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overview" sheetId="2" r:id="rId5"/>
  </sheets>
  <definedNames>
    <definedName hidden="1" localSheetId="0" name="_xlnm._FilterDatabase">data!$D$1:$D$50500</definedName>
  </definedNames>
  <calcPr/>
  <pivotCaches>
    <pivotCache cacheId="0" r:id="rId6"/>
  </pivotCaches>
</workbook>
</file>

<file path=xl/sharedStrings.xml><?xml version="1.0" encoding="utf-8"?>
<sst xmlns="http://schemas.openxmlformats.org/spreadsheetml/2006/main" count="106033" uniqueCount="41878">
  <si>
    <t>show_id</t>
  </si>
  <si>
    <t>type</t>
  </si>
  <si>
    <t>title</t>
  </si>
  <si>
    <t>director</t>
  </si>
  <si>
    <t>cast</t>
  </si>
  <si>
    <t>country</t>
  </si>
  <si>
    <t>date_added</t>
  </si>
  <si>
    <t>release_year</t>
  </si>
  <si>
    <t>rating</t>
  </si>
  <si>
    <t>duration</t>
  </si>
  <si>
    <t>listed_in</t>
  </si>
  <si>
    <t>description</t>
  </si>
  <si>
    <t>.</t>
  </si>
  <si>
    <t>date_added_clean</t>
  </si>
  <si>
    <t>rating_standarized</t>
  </si>
  <si>
    <t>rating_values</t>
  </si>
  <si>
    <t>director_empy_cells</t>
  </si>
  <si>
    <t>titles_standarized</t>
  </si>
  <si>
    <t>titles_without_duplicates_and_organized</t>
  </si>
  <si>
    <t>country_standarized</t>
  </si>
  <si>
    <t>director_standarized</t>
  </si>
  <si>
    <t>director_organized</t>
  </si>
  <si>
    <t>director_final_version</t>
  </si>
  <si>
    <t>director_amount_of_movies</t>
  </si>
  <si>
    <t>duration_amount</t>
  </si>
  <si>
    <t xml:space="preserve">duration_measurement </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</si>
  <si>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</si>
  <si>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</si>
  <si>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</si>
  <si>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</si>
  <si>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</si>
  <si>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</si>
  <si>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</si>
  <si>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</si>
  <si>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</si>
  <si>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</si>
  <si>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</si>
  <si>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</si>
  <si>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</si>
  <si>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</si>
  <si>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</si>
  <si>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</si>
  <si>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</si>
  <si>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</si>
  <si>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</si>
  <si>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</si>
  <si>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A. Raajdheep</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</si>
  <si>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</si>
  <si>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</si>
  <si>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</si>
  <si>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</si>
  <si>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</si>
  <si>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</si>
  <si>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</si>
  <si>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A. Salaam</t>
  </si>
  <si>
    <t>s4</t>
  </si>
  <si>
    <t>Jailbirds New Orleans</t>
  </si>
  <si>
    <t>Docuseries, Reality TV</t>
  </si>
  <si>
    <t>Feuds, flirtations and toilet talk go down among the incarcerated women at the Orleans Justice Center in New Orleans on this gritty reality series.</t>
  </si>
  <si>
    <t>A.R. Murugadoss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</si>
  <si>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</si>
  <si>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</si>
  <si>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</si>
  <si>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</si>
  <si>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</si>
  <si>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</si>
  <si>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Aadish Keluskar</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</si>
  <si>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</si>
  <si>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</si>
  <si>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</si>
  <si>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</si>
  <si>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</si>
  <si>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</si>
  <si>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Aamir Bashir</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</si>
  <si>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</si>
  <si>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</si>
  <si>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</si>
  <si>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</si>
  <si>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</si>
  <si>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</si>
  <si>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</si>
  <si>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</si>
  <si>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Aamir Khan</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</si>
  <si>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</si>
  <si>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</si>
  <si>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</si>
  <si>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</si>
  <si>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</si>
  <si>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</si>
  <si>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</si>
  <si>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</si>
  <si>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Aanand Rai</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</si>
  <si>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</si>
  <si>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</si>
  <si>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</si>
  <si>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</si>
  <si>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</si>
  <si>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</si>
  <si>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</si>
  <si>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</si>
  <si>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</si>
  <si>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Aaron Burns</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</si>
  <si>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</si>
  <si>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</si>
  <si>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</si>
  <si>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</si>
  <si>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</si>
  <si>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</si>
  <si>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</si>
  <si>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Aaron Hancox, Michael Mcnamara</t>
  </si>
  <si>
    <t>s11</t>
  </si>
  <si>
    <t>Vendetta: Truth, Lies and The Mafia</t>
  </si>
  <si>
    <t>Crime TV Shows, Docuseries, International TV Shows</t>
  </si>
  <si>
    <t>Sicily boasts a bold "Anti-Mafia" coalition. But what happens when those trying to bring down organized crime are accused of being criminals themselves?</t>
  </si>
  <si>
    <t>Aaron Hann, Mario Miscione</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</si>
  <si>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</si>
  <si>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</si>
  <si>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</si>
  <si>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</si>
  <si>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</si>
  <si>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</si>
  <si>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Aaron Lieber</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</si>
  <si>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</si>
  <si>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</si>
  <si>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</si>
  <si>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</si>
  <si>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</si>
  <si>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</si>
  <si>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</si>
  <si>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</si>
  <si>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Aaron Nee, Adam Nee</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</si>
  <si>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</si>
  <si>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</si>
  <si>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</si>
  <si>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</si>
  <si>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</si>
  <si>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</si>
  <si>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</si>
  <si>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</si>
  <si>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Aaron Sorkin</t>
  </si>
  <si>
    <t>s15</t>
  </si>
  <si>
    <t>Crime Stories: India Detectives</t>
  </si>
  <si>
    <t>British TV Shows, Crime TV Shows, Docuseries</t>
  </si>
  <si>
    <t>Cameras following Bengaluru police on the job offer a rare glimpse into the complex and challenging inner workings of four major crime investigations.</t>
  </si>
  <si>
    <t>Aaron Woodley</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</si>
  <si>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</si>
  <si>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</si>
  <si>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</si>
  <si>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</si>
  <si>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</si>
  <si>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</si>
  <si>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Aatmaram Dharne</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</si>
  <si>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</si>
  <si>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</si>
  <si>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</si>
  <si>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</si>
  <si>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</si>
  <si>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</si>
  <si>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Abba T. Makama</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</si>
  <si>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</si>
  <si>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</si>
  <si>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</si>
  <si>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</si>
  <si>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</si>
  <si>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</si>
  <si>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Abbas Alibhai Burmawalla, Mastan Alibhai Burmawalla</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</si>
  <si>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</si>
  <si>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</si>
  <si>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</si>
  <si>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</si>
  <si>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</si>
  <si>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</si>
  <si>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</si>
  <si>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Abbas Mustan</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</si>
  <si>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</si>
  <si>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</si>
  <si>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</si>
  <si>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</si>
  <si>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</si>
  <si>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Abbas Tyrewala</t>
  </si>
  <si>
    <t>s21</t>
  </si>
  <si>
    <t>Monsters Inside: The 24 Faces of Billy Milligan</t>
  </si>
  <si>
    <t>Olivier Megaton</t>
  </si>
  <si>
    <t>In the late 1970s, an accused serial rapist claims multiple personalities control his behavior, setting off a legal odyssey that captivates America.</t>
  </si>
  <si>
    <t>Abby Epstein</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</si>
  <si>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</si>
  <si>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</si>
  <si>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</si>
  <si>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</si>
  <si>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</si>
  <si>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</si>
  <si>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</si>
  <si>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Abdellatif Kechiche</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</si>
  <si>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</si>
  <si>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</si>
  <si>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</si>
  <si>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</si>
  <si>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</si>
  <si>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</si>
  <si>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</si>
  <si>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</si>
  <si>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Abdul Aziz Hashad</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</si>
  <si>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</si>
  <si>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</si>
  <si>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</si>
  <si>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</si>
  <si>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</si>
  <si>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</si>
  <si>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</si>
  <si>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Abdulaziz Alshlahei</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</si>
  <si>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</si>
  <si>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</si>
  <si>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</si>
  <si>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</si>
  <si>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</si>
  <si>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</si>
  <si>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</si>
  <si>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Abel Ferrara</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</si>
  <si>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</si>
  <si>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</si>
  <si>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</si>
  <si>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</si>
  <si>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</si>
  <si>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</si>
  <si>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Abhay Chopra</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</si>
  <si>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</si>
  <si>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</si>
  <si>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</si>
  <si>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</si>
  <si>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</si>
  <si>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</si>
  <si>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</si>
  <si>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Abhijeet Deshpande</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</si>
  <si>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</si>
  <si>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</si>
  <si>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</si>
  <si>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</si>
  <si>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</si>
  <si>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</si>
  <si>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</si>
  <si>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</si>
  <si>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Abhijit Kokate, Srivinay Salian</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</si>
  <si>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</si>
  <si>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</si>
  <si>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</si>
  <si>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</si>
  <si>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</si>
  <si>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</si>
  <si>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</si>
  <si>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</si>
  <si>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Abhijit Panse</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</si>
  <si>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</si>
  <si>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</si>
  <si>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</si>
  <si>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</si>
  <si>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</si>
  <si>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</si>
  <si>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</si>
  <si>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Abhinay Deo</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</si>
  <si>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</si>
  <si>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</si>
  <si>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</si>
  <si>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</si>
  <si>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</si>
  <si>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</si>
  <si>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</si>
  <si>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Abhishek Chaubey</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</si>
  <si>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</si>
  <si>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</si>
  <si>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</si>
  <si>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</si>
  <si>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</si>
  <si>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Abhishek Kapoor</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</si>
  <si>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</si>
  <si>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</si>
  <si>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</si>
  <si>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</si>
  <si>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</si>
  <si>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</si>
  <si>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Abhishek Saxena</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</si>
  <si>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</si>
  <si>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</si>
  <si>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</si>
  <si>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</si>
  <si>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</si>
  <si>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Abhishek Sharma</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</si>
  <si>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</si>
  <si>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</si>
  <si>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</si>
  <si>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</si>
  <si>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</si>
  <si>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</si>
  <si>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Abhishek Varman</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</si>
  <si>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</si>
  <si>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</si>
  <si>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</si>
  <si>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</si>
  <si>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</si>
  <si>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</si>
  <si>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</si>
  <si>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Abir Sengupta</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</si>
  <si>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</si>
  <si>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</si>
  <si>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</si>
  <si>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</si>
  <si>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</si>
  <si>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</si>
  <si>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</si>
  <si>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Abu Bakr Shawky</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</si>
  <si>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</si>
  <si>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</si>
  <si>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</si>
  <si>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</si>
  <si>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</si>
  <si>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</si>
  <si>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</si>
  <si>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Achille Brice</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</si>
  <si>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</si>
  <si>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</si>
  <si>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</si>
  <si>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</si>
  <si>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</si>
  <si>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</si>
  <si>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</si>
  <si>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</si>
  <si>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Adam Alleca</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</si>
  <si>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</si>
  <si>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</si>
  <si>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</si>
  <si>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</si>
  <si>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Adam B. Stein, Zach Lipovsky</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</si>
  <si>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</si>
  <si>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</si>
  <si>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</si>
  <si>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</si>
  <si>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</si>
  <si>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Adam Bhala Lough</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</si>
  <si>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</si>
  <si>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</si>
  <si>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</si>
  <si>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</si>
  <si>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</si>
  <si>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</si>
  <si>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</si>
  <si>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Adam Bolt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</si>
  <si>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</si>
  <si>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</si>
  <si>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</si>
  <si>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</si>
  <si>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</si>
  <si>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</si>
  <si>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</si>
  <si>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Adam Collins, Luke Radford</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</si>
  <si>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</si>
  <si>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</si>
  <si>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</si>
  <si>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</si>
  <si>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</si>
  <si>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</si>
  <si>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</si>
  <si>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Adam Davis, Jerry Kolber, Trey Nelson, Erich Sturm</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</si>
  <si>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</si>
  <si>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</si>
  <si>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</si>
  <si>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</si>
  <si>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</si>
  <si>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Adam Del Giudice</t>
  </si>
  <si>
    <t>s46</t>
  </si>
  <si>
    <t>My Heroes Were Cowboys</t>
  </si>
  <si>
    <t>Tyler Greco</t>
  </si>
  <si>
    <t>23 min</t>
  </si>
  <si>
    <t>Robin Wiltshire's painful childhood was rescued by Westerns. Now he lives on the frontier of his dreams, training the horses he loves for the big screen.</t>
  </si>
  <si>
    <t>Adam Deyoe</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</si>
  <si>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</si>
  <si>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</si>
  <si>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</si>
  <si>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</si>
  <si>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</si>
  <si>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</si>
  <si>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</si>
  <si>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</si>
  <si>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</si>
  <si>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Adam Dubin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</si>
  <si>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</si>
  <si>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</si>
  <si>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</si>
  <si>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</si>
  <si>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</si>
  <si>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Adam Leon</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</si>
  <si>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</si>
  <si>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</si>
  <si>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</si>
  <si>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</si>
  <si>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</si>
  <si>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</si>
  <si>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</si>
  <si>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Adam Macdonald</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</si>
  <si>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</si>
  <si>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</si>
  <si>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</si>
  <si>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</si>
  <si>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</si>
  <si>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</si>
  <si>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</si>
  <si>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Adam Marino</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</si>
  <si>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</si>
  <si>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</si>
  <si>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</si>
  <si>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</si>
  <si>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</si>
  <si>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Adam Mckay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</si>
  <si>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</si>
  <si>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</si>
  <si>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</si>
  <si>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</si>
  <si>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</si>
  <si>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</si>
  <si>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</si>
  <si>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</si>
  <si>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Adam Nimoy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</si>
  <si>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</si>
  <si>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</si>
  <si>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</si>
  <si>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</si>
  <si>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Adam Randall</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</si>
  <si>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</si>
  <si>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</si>
  <si>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</si>
  <si>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</si>
  <si>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</si>
  <si>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</si>
  <si>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</si>
  <si>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</si>
  <si>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</si>
  <si>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</si>
  <si>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Adam Shankman</t>
  </si>
  <si>
    <t>s56</t>
  </si>
  <si>
    <t>Nailed It</t>
  </si>
  <si>
    <t>Nicole Byer, Jacques Torres</t>
  </si>
  <si>
    <t>6 Seasons</t>
  </si>
  <si>
    <t>Reality TV</t>
  </si>
  <si>
    <t>Home bakers with a terrible track record take a crack at re-creating edible masterpieces for a $10,000 prize. It's part reality contest, part hot mess.</t>
  </si>
  <si>
    <t>Adam Sjöberg</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</si>
  <si>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</si>
  <si>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</si>
  <si>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</si>
  <si>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</si>
  <si>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</si>
  <si>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</si>
  <si>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Adam Smith</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</si>
  <si>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</si>
  <si>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</si>
  <si>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</si>
  <si>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</si>
  <si>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</si>
  <si>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</si>
  <si>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Adam Wingard</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</si>
  <si>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</si>
  <si>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</si>
  <si>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</si>
  <si>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</si>
  <si>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Adam Wood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</si>
  <si>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</si>
  <si>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</si>
  <si>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</si>
  <si>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</si>
  <si>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</si>
  <si>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Adarsh Eshwarappa</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</si>
  <si>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</si>
  <si>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</si>
  <si>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</si>
  <si>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</si>
  <si>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</si>
  <si>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Adekunle Nodash Adejuyigbe</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</si>
  <si>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</si>
  <si>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</si>
  <si>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</si>
  <si>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</si>
  <si>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</si>
  <si>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Adele K. Thomas, Richard Bailey</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</si>
  <si>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</si>
  <si>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</si>
  <si>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</si>
  <si>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</si>
  <si>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</si>
  <si>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Adisorn Tresirikasem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</si>
  <si>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</si>
  <si>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</si>
  <si>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</si>
  <si>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</si>
  <si>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</si>
  <si>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</si>
  <si>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Aditya Kripalani</t>
  </si>
  <si>
    <t>s65</t>
  </si>
  <si>
    <t>Nightbooks</t>
  </si>
  <si>
    <t>David Yarovesky</t>
  </si>
  <si>
    <t>Winslow Fegley, Lidya Jewett, Krysten Ritter</t>
  </si>
  <si>
    <t>Scary story fan Alex must tell a spine-tingling tale every night — or stay trapped with his new friend in a wicked witch's magical apartment forever.</t>
  </si>
  <si>
    <t>Aditya Sarpotdar</t>
  </si>
  <si>
    <t>s66</t>
  </si>
  <si>
    <t>Numberblocks</t>
  </si>
  <si>
    <t>Beth Chalmers, David Holt, Marcel McCalla, Teresa Gallagher</t>
  </si>
  <si>
    <t>In a place called Numberland, math adds up to tons of fun when a group of cheerful blocks work, play and sing together.</t>
  </si>
  <si>
    <t>Aditya Vikram Sengupta</t>
  </si>
  <si>
    <t>s67</t>
  </si>
  <si>
    <t>Raja Rasoi Aur Anya Kahaniyan</t>
  </si>
  <si>
    <t>TV-G</t>
  </si>
  <si>
    <t>Docuseries, International TV Shows</t>
  </si>
  <si>
    <t>Explore the history and flavors of regional Indian cuisine, from traditional Kashmiri feasts to the vegetarian dishes of Gujarat.</t>
  </si>
  <si>
    <t>Adrián García Bogliano</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</si>
  <si>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</si>
  <si>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</si>
  <si>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</si>
  <si>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</si>
  <si>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Adrian Murray</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</si>
  <si>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</si>
  <si>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</si>
  <si>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</si>
  <si>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</si>
  <si>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</si>
  <si>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</si>
  <si>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</si>
  <si>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Adrian Teh</t>
  </si>
  <si>
    <t>s70</t>
  </si>
  <si>
    <t>Stories by Rabindranath Tagore</t>
  </si>
  <si>
    <t>The writings of Nobel Prize winner Rabindranath Tagore come to life in this collection of tales set in early-20th-century Bengal.</t>
  </si>
  <si>
    <t>Adriana Trigiani</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</si>
  <si>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</si>
  <si>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</si>
  <si>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</si>
  <si>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</si>
  <si>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</si>
  <si>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Adriano Rudiman</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</si>
  <si>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</si>
  <si>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</si>
  <si>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</si>
  <si>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</si>
  <si>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</si>
  <si>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</si>
  <si>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</si>
  <si>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Adrien Lagier, Ousmane Ly</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</si>
  <si>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</si>
  <si>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</si>
  <si>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</si>
  <si>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</si>
  <si>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</si>
  <si>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Advait Chandan</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</si>
  <si>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</si>
  <si>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</si>
  <si>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</si>
  <si>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</si>
  <si>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</si>
  <si>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</si>
  <si>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Adze Ugah</t>
  </si>
  <si>
    <t>s75</t>
  </si>
  <si>
    <t>The World's Most Amazing Vacation Rentals</t>
  </si>
  <si>
    <t>With an eye for every budget, three travelers visit vacation rentals around the globe and share their expert tips and tricks in this reality series.</t>
  </si>
  <si>
    <t>Afia Nathaniel</t>
  </si>
  <si>
    <t>s76</t>
  </si>
  <si>
    <t>You vs. Wild: Out Cold</t>
  </si>
  <si>
    <t>Ben Simms</t>
  </si>
  <si>
    <t>Bear Grylls, Jason Derek Prempeh</t>
  </si>
  <si>
    <t>After a plane crash leaves Bear with amnesia, he must make choices to save the missing pilot and survive in this high-stakes interactive adventure.</t>
  </si>
  <si>
    <t>Afonso Poyart</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</si>
  <si>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</si>
  <si>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</si>
  <si>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</si>
  <si>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</si>
  <si>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</si>
  <si>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Agasyah Karim, Khalid Kashogi</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</si>
  <si>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</si>
  <si>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</si>
  <si>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</si>
  <si>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</si>
  <si>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</si>
  <si>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</si>
  <si>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</si>
  <si>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Agnidev Chatterjee</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</si>
  <si>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</si>
  <si>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</si>
  <si>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</si>
  <si>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</si>
  <si>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</si>
  <si>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</si>
  <si>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</si>
  <si>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Agustí Villaronga</t>
  </si>
  <si>
    <t>s80</t>
  </si>
  <si>
    <t>Tughlaq Durbar (Telugu)</t>
  </si>
  <si>
    <t>Ah Loong</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</si>
  <si>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</si>
  <si>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</si>
  <si>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</si>
  <si>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</si>
  <si>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</si>
  <si>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</si>
  <si>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Ahishor Solomon</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</si>
  <si>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</si>
  <si>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</si>
  <si>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</si>
  <si>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</si>
  <si>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</si>
  <si>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Ahmad El-Badri</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</si>
  <si>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</si>
  <si>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</si>
  <si>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</si>
  <si>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</si>
  <si>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</si>
  <si>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Ahmad Samir Farag</t>
  </si>
  <si>
    <t>s84</t>
  </si>
  <si>
    <t>Metal Shop Masters</t>
  </si>
  <si>
    <t>Jo Koy</t>
  </si>
  <si>
    <t>On this competition show, a group of metal artists torch, cut and weld epic, badass creations from hardened steel. Only one will win a $50,000 prize.</t>
  </si>
  <si>
    <t>Ahmed Al-Badry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</si>
  <si>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</si>
  <si>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</si>
  <si>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</si>
  <si>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</si>
  <si>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</si>
  <si>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</si>
  <si>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Ahmed El Gendy</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</si>
  <si>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</si>
  <si>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</si>
  <si>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</si>
  <si>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</si>
  <si>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</si>
  <si>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Ahmed Medhat</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</si>
  <si>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</si>
  <si>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</si>
  <si>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</si>
  <si>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</si>
  <si>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</si>
  <si>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</si>
  <si>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</si>
  <si>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Ahmed Nader Galal</t>
  </si>
  <si>
    <t>s88</t>
  </si>
  <si>
    <t>Titipo Titipo</t>
  </si>
  <si>
    <t>Jeon Hae-ri, Kim Eun-ah, Hong Bum-ki, Nam Do-hyeong, Um Sang-hyun</t>
  </si>
  <si>
    <t>Kids' TV, Korean TV Shows</t>
  </si>
  <si>
    <t>Titipo the train is out to prove that he's got what it takes to help the folks of Train Village ride the rails safely and reliably.</t>
  </si>
  <si>
    <t>Ahmed Saleh</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</si>
  <si>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</si>
  <si>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</si>
  <si>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</si>
  <si>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</si>
  <si>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</si>
  <si>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</si>
  <si>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</si>
  <si>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Ahmed Siddiqui</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</si>
  <si>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</si>
  <si>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</si>
  <si>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</si>
  <si>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</si>
  <si>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Ahmed Yousry, Hazem Fouda</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</si>
  <si>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</si>
  <si>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</si>
  <si>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</si>
  <si>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</si>
  <si>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</si>
  <si>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</si>
  <si>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</si>
  <si>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Ahmed Zain</t>
  </si>
  <si>
    <t>s92</t>
  </si>
  <si>
    <t>The Women and the Murderer</t>
  </si>
  <si>
    <t>Mona Achache, Patricia Tourancheau</t>
  </si>
  <si>
    <t>France</t>
  </si>
  <si>
    <t>92 min</t>
  </si>
  <si>
    <t>This documentary traces the capture of serial killer Guy Georges through the tireless work of two women: a police chief and a victim's mother.</t>
  </si>
  <si>
    <t>Ahmed Zein</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</si>
  <si>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</si>
  <si>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</si>
  <si>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</si>
  <si>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</si>
  <si>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</si>
  <si>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</si>
  <si>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Ahmet Katıksız</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</si>
  <si>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</si>
  <si>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</si>
  <si>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</si>
  <si>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</si>
  <si>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</si>
  <si>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</si>
  <si>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Ahn Byoung-Wook</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</si>
  <si>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</si>
  <si>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</si>
  <si>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</si>
  <si>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</si>
  <si>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</si>
  <si>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</si>
  <si>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Ahsan Rahim</t>
  </si>
  <si>
    <t>s96</t>
  </si>
  <si>
    <t>The Circle</t>
  </si>
  <si>
    <t>Michelle Buteau</t>
  </si>
  <si>
    <t>United States, United Kingdom</t>
  </si>
  <si>
    <t>Status and strategy collide in this social experiment and competition show where online players flirt, befriend and catfish their way toward $100,000.</t>
  </si>
  <si>
    <t>Aijaz Khan</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</si>
  <si>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</si>
  <si>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</si>
  <si>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</si>
  <si>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</si>
  <si>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</si>
  <si>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</si>
  <si>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</si>
  <si>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Ainsley Gardiner, Briar Grace-Smith</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</si>
  <si>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</si>
  <si>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</si>
  <si>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</si>
  <si>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</si>
  <si>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</si>
  <si>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Aitor Arregi, Jon Garaño</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</si>
  <si>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</si>
  <si>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</si>
  <si>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</si>
  <si>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</si>
  <si>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</si>
  <si>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Aitor Arregi, Jon Garaño, Jose Mari Goenaga</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</si>
  <si>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</si>
  <si>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</si>
  <si>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</si>
  <si>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</si>
  <si>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</si>
  <si>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Ajay Bahl</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</si>
  <si>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</si>
  <si>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</si>
  <si>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</si>
  <si>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</si>
  <si>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Ajay Bhuyan, Kunal Kohli</t>
  </si>
  <si>
    <t>s102</t>
  </si>
  <si>
    <t>Untold: Breaking Point</t>
  </si>
  <si>
    <t>Chapman Way, Maclain Way</t>
  </si>
  <si>
    <t>80 min</t>
  </si>
  <si>
    <t>Under pressure to continue a winning tradition in American tennis, Mardy Fish faced mental health challenges that changed his life on and off the court.</t>
  </si>
  <si>
    <t>Ajay Phansekar</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</si>
  <si>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</si>
  <si>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</si>
  <si>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</si>
  <si>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</si>
  <si>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</si>
  <si>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</si>
  <si>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Ajithkumar</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</si>
  <si>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</si>
  <si>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</si>
  <si>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</si>
  <si>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</si>
  <si>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</si>
  <si>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</si>
  <si>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Akashdeep</t>
  </si>
  <si>
    <t>s105</t>
  </si>
  <si>
    <t>Tayo the Little Bus</t>
  </si>
  <si>
    <t>Robyn Slade, Kami Desilets</t>
  </si>
  <si>
    <t>South Korea</t>
  </si>
  <si>
    <t>As they learn their routes around the busy city, Tayo and his little bus friends discover new sights and go on exciting adventures every day.</t>
  </si>
  <si>
    <t>Akay Mason, Abosi Ogba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</si>
  <si>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</si>
  <si>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</si>
  <si>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</si>
  <si>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</si>
  <si>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</si>
  <si>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</si>
  <si>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</si>
  <si>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Akhigbe Ilozobhie</t>
  </si>
  <si>
    <t>s107</t>
  </si>
  <si>
    <t>Bunk'd</t>
  </si>
  <si>
    <t>Peyton List, Karan Brar, Skai Jackson, Miranda May, Kevin G. Quinn, Nathan Arenas, Nina Lu</t>
  </si>
  <si>
    <t>The Ross siblings of Disney's hit series "Jessie" spend a summer full of fun and adventure at Maine's Camp Kikiwaka, where their parents first met.</t>
  </si>
  <si>
    <t>Akhil Paul, Anas Khan</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</si>
  <si>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</si>
  <si>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</si>
  <si>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</si>
  <si>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</si>
  <si>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</si>
  <si>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</si>
  <si>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</si>
  <si>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</si>
  <si>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Akin Omotoso</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</si>
  <si>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</si>
  <si>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</si>
  <si>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</si>
  <si>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</si>
  <si>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</si>
  <si>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</si>
  <si>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Akira Saitoh</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</si>
  <si>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</si>
  <si>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</si>
  <si>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</si>
  <si>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</si>
  <si>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</si>
  <si>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</si>
  <si>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Akiva Goldsman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</si>
  <si>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</si>
  <si>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</si>
  <si>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</si>
  <si>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</si>
  <si>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</si>
  <si>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Akiva Schaffer</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</si>
  <si>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</si>
  <si>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</si>
  <si>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</si>
  <si>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</si>
  <si>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</si>
  <si>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Akiyuki Shinbo, Nobuyuki Takeuchi</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</si>
  <si>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</si>
  <si>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</si>
  <si>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</si>
  <si>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</si>
  <si>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</si>
  <si>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</si>
  <si>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</si>
  <si>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Akram Farouk</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</si>
  <si>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</si>
  <si>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</si>
  <si>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</si>
  <si>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</si>
  <si>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</si>
  <si>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</si>
  <si>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</si>
  <si>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Akshay Akkineni</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</si>
  <si>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</si>
  <si>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</si>
  <si>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</si>
  <si>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</si>
  <si>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</si>
  <si>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</si>
  <si>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Akshay Sanjeev Chavan, Sumit Das</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</si>
  <si>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</si>
  <si>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</si>
  <si>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</si>
  <si>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</si>
  <si>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</si>
  <si>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</si>
  <si>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</si>
  <si>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Al Campbell, Alice Mathias</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</si>
  <si>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</si>
  <si>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</si>
  <si>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</si>
  <si>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</si>
  <si>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</si>
  <si>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</si>
  <si>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</si>
  <si>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Alaa Eddine Aljem</t>
  </si>
  <si>
    <t>s118</t>
  </si>
  <si>
    <t>Final Account</t>
  </si>
  <si>
    <t>Luke Holland</t>
  </si>
  <si>
    <t>This documentary stitches together never-before-seen interviews with the last living generation of people who participated in Hitler's Third Reich.</t>
  </si>
  <si>
    <t>Alain Brunard</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</si>
  <si>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</si>
  <si>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</si>
  <si>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</si>
  <si>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</si>
  <si>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</si>
  <si>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Alain Darborg</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</si>
  <si>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</si>
  <si>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</si>
  <si>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</si>
  <si>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</si>
  <si>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</si>
  <si>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Alain Desrochers</t>
  </si>
  <si>
    <t>s121</t>
  </si>
  <si>
    <t>Heroes of Goo Jit Zu</t>
  </si>
  <si>
    <t>Jon Allen, Kellen Goff, Joe Hernandez, Kaiji Tang</t>
  </si>
  <si>
    <t>After a meteor crash, a group of zoo animals transforms into squishy, gooey and stretchy superheroes with special powers and soon takes on evildoers.</t>
  </si>
  <si>
    <t>Alan Alda</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</si>
  <si>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</si>
  <si>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</si>
  <si>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</si>
  <si>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</si>
  <si>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Alan J. Pakula</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</si>
  <si>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</si>
  <si>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</si>
  <si>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</si>
  <si>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</si>
  <si>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</si>
  <si>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</si>
  <si>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Alan Parker</t>
  </si>
  <si>
    <t>s124</t>
  </si>
  <si>
    <t>Luv Kushh</t>
  </si>
  <si>
    <t>Based on the last book of the epic Ramayana, this series follows the endeavors and adventures of Lord Rama’s twin sons through their childhood.</t>
  </si>
  <si>
    <t>Alan Rickman</t>
  </si>
  <si>
    <t>s125</t>
  </si>
  <si>
    <t>Pororo - The Little Penguin</t>
  </si>
  <si>
    <t>On a tiny island, Pororo the penguin has fun adventures with his friends Eddy the fox, Loopy the beaver, Poby the polar bear and Crong the dinosaur.</t>
  </si>
  <si>
    <t>Alan Yang</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</si>
  <si>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</si>
  <si>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</si>
  <si>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</si>
  <si>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</si>
  <si>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</si>
  <si>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Alankrita Shrivastava</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</si>
  <si>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</si>
  <si>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</si>
  <si>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</si>
  <si>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</si>
  <si>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</si>
  <si>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Alastair Fothergill</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</si>
  <si>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</si>
  <si>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</si>
  <si>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</si>
  <si>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</si>
  <si>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</si>
  <si>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</si>
  <si>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</si>
  <si>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Alastair Fothergill, Jonnie Hughes, Keith Scholey</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</si>
  <si>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</si>
  <si>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</si>
  <si>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</si>
  <si>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</si>
  <si>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</si>
  <si>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Albert Hughes, Allen Hughes</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</si>
  <si>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</si>
  <si>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</si>
  <si>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</si>
  <si>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</si>
  <si>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</si>
  <si>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</si>
  <si>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</si>
  <si>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Albert Sharpe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</si>
  <si>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</si>
  <si>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</si>
  <si>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</si>
  <si>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</si>
  <si>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</si>
  <si>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</si>
  <si>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</si>
  <si>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Alberto Arnaut Estrada</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</si>
  <si>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</si>
  <si>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</si>
  <si>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</si>
  <si>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</si>
  <si>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</si>
  <si>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</si>
  <si>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Alberto Rodríguez</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</si>
  <si>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</si>
  <si>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</si>
  <si>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</si>
  <si>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</si>
  <si>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</si>
  <si>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Alê Abreu</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</si>
  <si>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</si>
  <si>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</si>
  <si>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</si>
  <si>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</si>
  <si>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</si>
  <si>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</si>
  <si>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</si>
  <si>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</si>
  <si>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Alejandra Márquez Abella</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</si>
  <si>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</si>
  <si>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</si>
  <si>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</si>
  <si>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</si>
  <si>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</si>
  <si>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</si>
  <si>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</si>
  <si>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Alejandro Agresti</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</si>
  <si>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</si>
  <si>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</si>
  <si>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</si>
  <si>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</si>
  <si>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</si>
  <si>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</si>
  <si>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Alejandro De Grazia, Juan Stadler</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</si>
  <si>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</si>
  <si>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</si>
  <si>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</si>
  <si>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</si>
  <si>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</si>
  <si>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</si>
  <si>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</si>
  <si>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Alejandro Doria</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</si>
  <si>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</si>
  <si>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</si>
  <si>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</si>
  <si>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</si>
  <si>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</si>
  <si>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</si>
  <si>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</si>
  <si>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Alejandro Fernández Almendras</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</si>
  <si>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</si>
  <si>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</si>
  <si>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</si>
  <si>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</si>
  <si>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Alejandro G. Iñárritu</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</si>
  <si>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</si>
  <si>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</si>
  <si>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</si>
  <si>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</si>
  <si>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</si>
  <si>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</si>
  <si>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</si>
  <si>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Alejandro Hartmann</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</si>
  <si>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</si>
  <si>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</si>
  <si>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</si>
  <si>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</si>
  <si>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</si>
  <si>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</si>
  <si>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Alejandro Lozano</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</si>
  <si>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</si>
  <si>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</si>
  <si>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</si>
  <si>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</si>
  <si>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</si>
  <si>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</si>
  <si>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</si>
  <si>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Alejandro Montiel</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</si>
  <si>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</si>
  <si>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</si>
  <si>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</si>
  <si>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</si>
  <si>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</si>
  <si>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Alejandro Ruax, Ramiro Martínez</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</si>
  <si>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</si>
  <si>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</si>
  <si>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</si>
  <si>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</si>
  <si>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</si>
  <si>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Aleksey German</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</si>
  <si>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</si>
  <si>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</si>
  <si>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</si>
  <si>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</si>
  <si>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</si>
  <si>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</si>
  <si>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Aleksey Tsitsilin</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</si>
  <si>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</si>
  <si>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</si>
  <si>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</si>
  <si>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</si>
  <si>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</si>
  <si>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</si>
  <si>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Alessandra De Rossi</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</si>
  <si>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</si>
  <si>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</si>
  <si>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</si>
  <si>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</si>
  <si>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</si>
  <si>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</si>
  <si>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Alessandro Angulo</t>
  </si>
  <si>
    <t>s148</t>
  </si>
  <si>
    <t>How to Be a Cowboy</t>
  </si>
  <si>
    <t>Dale Brisby uses social media savvy and rodeo skills to keep cowboy traditions alive — and now he's teaching the world how to cowboy right, ol' son.</t>
  </si>
  <si>
    <t>Alessandro Pepe</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</si>
  <si>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</si>
  <si>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</si>
  <si>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</si>
  <si>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</si>
  <si>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</si>
  <si>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</si>
  <si>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Alessio Cremonini</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</si>
  <si>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</si>
  <si>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</si>
  <si>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</si>
  <si>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</si>
  <si>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</si>
  <si>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Alethea Jones</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</si>
  <si>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</si>
  <si>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</si>
  <si>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</si>
  <si>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</si>
  <si>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</si>
  <si>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Alex Burunova</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</si>
  <si>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</si>
  <si>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</si>
  <si>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</si>
  <si>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</si>
  <si>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</si>
  <si>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</si>
  <si>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</si>
  <si>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</si>
  <si>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Alex Coletti</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</si>
  <si>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</si>
  <si>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</si>
  <si>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</si>
  <si>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</si>
  <si>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</si>
  <si>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Álex De La Iglesia</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</si>
  <si>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</si>
  <si>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</si>
  <si>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</si>
  <si>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</si>
  <si>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</si>
  <si>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Alex Díaz</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</si>
  <si>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</si>
  <si>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</si>
  <si>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</si>
  <si>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</si>
  <si>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</si>
  <si>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Alex Díaz, Marcos Bucay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</si>
  <si>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</si>
  <si>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</si>
  <si>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</si>
  <si>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</si>
  <si>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</si>
  <si>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</si>
  <si>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</si>
  <si>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Alex Garland</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</si>
  <si>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</si>
  <si>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</si>
  <si>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</si>
  <si>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</si>
  <si>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</si>
  <si>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</si>
  <si>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Alex Gibney</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</si>
  <si>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</si>
  <si>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</si>
  <si>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</si>
  <si>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</si>
  <si>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</si>
  <si>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</si>
  <si>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Alex Holmes</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</si>
  <si>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</si>
  <si>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</si>
  <si>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</si>
  <si>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</si>
  <si>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</si>
  <si>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Alex Infascelli</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</si>
  <si>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</si>
  <si>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</si>
  <si>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</si>
  <si>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</si>
  <si>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</si>
  <si>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</si>
  <si>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Alex Israel</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</si>
  <si>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</si>
  <si>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</si>
  <si>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</si>
  <si>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</si>
  <si>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Alex Law</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</si>
  <si>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</si>
  <si>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</si>
  <si>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</si>
  <si>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</si>
  <si>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</si>
  <si>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</si>
  <si>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Alex Lehmann</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</si>
  <si>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</si>
  <si>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</si>
  <si>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</si>
  <si>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</si>
  <si>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</si>
  <si>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Alex Merkin</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</si>
  <si>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</si>
  <si>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</si>
  <si>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</si>
  <si>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</si>
  <si>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</si>
  <si>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</si>
  <si>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Alex Parkinson, Richard Da Costa</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</si>
  <si>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</si>
  <si>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</si>
  <si>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</si>
  <si>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</si>
  <si>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</si>
  <si>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Àlex Pastor, David Pastor</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</si>
  <si>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</si>
  <si>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</si>
  <si>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</si>
  <si>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</si>
  <si>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Alex Proyas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</si>
  <si>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</si>
  <si>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</si>
  <si>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</si>
  <si>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</si>
  <si>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</si>
  <si>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</si>
  <si>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</si>
  <si>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</si>
  <si>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Alex Ranarivelo</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</si>
  <si>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</si>
  <si>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</si>
  <si>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</si>
  <si>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</si>
  <si>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</si>
  <si>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</si>
  <si>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Alex Richanbach</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</si>
  <si>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</si>
  <si>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</si>
  <si>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</si>
  <si>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</si>
  <si>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</si>
  <si>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</si>
  <si>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Alex Smith, Andrew J. Smith</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</si>
  <si>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</si>
  <si>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</si>
  <si>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</si>
  <si>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</si>
  <si>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</si>
  <si>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Alex Stapleton</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</si>
  <si>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</si>
  <si>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</si>
  <si>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</si>
  <si>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</si>
  <si>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</si>
  <si>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</si>
  <si>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Alex Timbers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</si>
  <si>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</si>
  <si>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</si>
  <si>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</si>
  <si>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</si>
  <si>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</si>
  <si>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</si>
  <si>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Alex Timbers, Sam Wrench</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</si>
  <si>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</si>
  <si>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</si>
  <si>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</si>
  <si>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</si>
  <si>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</si>
  <si>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</si>
  <si>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Alex Winter</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</si>
  <si>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</si>
  <si>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</si>
  <si>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</si>
  <si>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</si>
  <si>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</si>
  <si>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</si>
  <si>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</si>
  <si>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</si>
  <si>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</si>
  <si>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</si>
  <si>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Alex Zamm</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</si>
  <si>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</si>
  <si>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</si>
  <si>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</si>
  <si>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</si>
  <si>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</si>
  <si>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Alexandra Dean</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</si>
  <si>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</si>
  <si>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</si>
  <si>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</si>
  <si>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</si>
  <si>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</si>
  <si>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Alexandre Aja</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</si>
  <si>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</si>
  <si>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</si>
  <si>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</si>
  <si>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</si>
  <si>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</si>
  <si>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</si>
  <si>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</si>
  <si>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Alexandre Avancini</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</si>
  <si>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</si>
  <si>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</si>
  <si>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</si>
  <si>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</si>
  <si>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</si>
  <si>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</si>
  <si>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Alexandre Espigares</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</si>
  <si>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</si>
  <si>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</si>
  <si>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</si>
  <si>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</si>
  <si>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</si>
  <si>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Alexandre Heboyan, Benoît Philippon</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</si>
  <si>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</si>
  <si>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</si>
  <si>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</si>
  <si>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</si>
  <si>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</si>
  <si>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</si>
  <si>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Alexandre Reinecke</t>
  </si>
  <si>
    <t>s182</t>
  </si>
  <si>
    <t>Turning Point: 9/11 and the War on Terror</t>
  </si>
  <si>
    <t>Docuseries</t>
  </si>
  <si>
    <t>This unflinching series documents the 9/11 terrorist attacks, from Al Qaeda's roots in the 1980s to America's response, both at home and abroad.</t>
  </si>
  <si>
    <t>Alexandros Avranas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</si>
  <si>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</si>
  <si>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</si>
  <si>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</si>
  <si>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</si>
  <si>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</si>
  <si>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</si>
  <si>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</si>
  <si>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</si>
  <si>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</si>
  <si>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</si>
  <si>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</si>
  <si>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Alexis Morante</t>
  </si>
  <si>
    <t>s185</t>
  </si>
  <si>
    <t>Sparking Joy</t>
  </si>
  <si>
    <t>Marie Kondo</t>
  </si>
  <si>
    <t>In this reality series, Marie Kondo brings her joyful tidying tactics to people struggling to balance work and home life — and shares her own world.</t>
  </si>
  <si>
    <t>Alexx Media</t>
  </si>
  <si>
    <t>s186</t>
  </si>
  <si>
    <t>Untold: Crime &amp; Penalties</t>
  </si>
  <si>
    <t>They were the bad boys of hockey — a team bought by a man with mob ties, run by his 17-year-old son, and with a rep for being as violent as they were good.</t>
  </si>
  <si>
    <t>Alfons Adetuyi</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</si>
  <si>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</si>
  <si>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</si>
  <si>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</si>
  <si>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</si>
  <si>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</si>
  <si>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Alfonso Arau</t>
  </si>
  <si>
    <t>s188</t>
  </si>
  <si>
    <t>The Ingenuity of the Househusband</t>
  </si>
  <si>
    <t>Kenjiro Tsuda</t>
  </si>
  <si>
    <t>International TV Shows, TV Comedies</t>
  </si>
  <si>
    <t>A tough guy with a knack for housework tackles household tasks with meticulous care in these comedic live-action vignettes.</t>
  </si>
  <si>
    <t>Alfonso Cortés-Cavanillas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</si>
  <si>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</si>
  <si>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</si>
  <si>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</si>
  <si>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</si>
  <si>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</si>
  <si>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</si>
  <si>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Alfonso Cuarón</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</si>
  <si>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</si>
  <si>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</si>
  <si>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</si>
  <si>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</si>
  <si>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Alfonso Rodríguez</t>
  </si>
  <si>
    <t>s191</t>
  </si>
  <si>
    <t>Thimmarusu</t>
  </si>
  <si>
    <t>Sharan Koppisetty</t>
  </si>
  <si>
    <t>Satya Dev, Priyanka Jawalkar, Brahmaji</t>
  </si>
  <si>
    <t>Eight years after a young man is framed for murder, an up-and-coming lawyer re-opens the case, beginning a tricky mission to find the real culprit.</t>
  </si>
  <si>
    <t>Alfonso Serrano Maturino</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</si>
  <si>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</si>
  <si>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</si>
  <si>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</si>
  <si>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</si>
  <si>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</si>
  <si>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</si>
  <si>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</si>
  <si>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Ali Bin Matar, Ibrahim Bin Mohamed</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</si>
  <si>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</si>
  <si>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</si>
  <si>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</si>
  <si>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</si>
  <si>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</si>
  <si>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</si>
  <si>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</si>
  <si>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Ali F. Mostafa</t>
  </si>
  <si>
    <t>s194</t>
  </si>
  <si>
    <t>D.P.</t>
  </si>
  <si>
    <t>Jung Hae-in, Koo Kyo-hwan, Kim Sung-kyun, Son Suk-ku</t>
  </si>
  <si>
    <t>A young private’s assignment to capture army deserters reveals the painful reality endured by each enlistee during his compulsory call of duty.</t>
  </si>
  <si>
    <t>Ali Kalthami, Meshal Aljaser, Faris Godus, Mohamed Al Salman, Faisal Al Amer</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</si>
  <si>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</si>
  <si>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</si>
  <si>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</si>
  <si>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</si>
  <si>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</si>
  <si>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Ali Ragab</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</si>
  <si>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</si>
  <si>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</si>
  <si>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</si>
  <si>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</si>
  <si>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</si>
  <si>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Ali Samadi Ahadi</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</si>
  <si>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</si>
  <si>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</si>
  <si>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</si>
  <si>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</si>
  <si>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</si>
  <si>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Ali Scher</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</si>
  <si>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</si>
  <si>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</si>
  <si>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</si>
  <si>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</si>
  <si>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Ali Tabrizi</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</si>
  <si>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</si>
  <si>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</si>
  <si>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</si>
  <si>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</si>
  <si>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</si>
  <si>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Ali Taner Baltacı</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</si>
  <si>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</si>
  <si>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</si>
  <si>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</si>
  <si>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</si>
  <si>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</si>
  <si>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</si>
  <si>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Ali Taner Baltacı, Cem Yılmaz</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</si>
  <si>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</si>
  <si>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</si>
  <si>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</si>
  <si>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</si>
  <si>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</si>
  <si>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</si>
  <si>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Ali Yorgancıoğlu</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</si>
  <si>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</si>
  <si>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</si>
  <si>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</si>
  <si>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</si>
  <si>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</si>
  <si>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</si>
  <si>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Alice Filippi</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</si>
  <si>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</si>
  <si>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</si>
  <si>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</si>
  <si>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</si>
  <si>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</si>
  <si>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</si>
  <si>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Alice Rohrwacher</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</si>
  <si>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</si>
  <si>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</si>
  <si>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</si>
  <si>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</si>
  <si>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</si>
  <si>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</si>
  <si>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</si>
  <si>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</si>
  <si>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</si>
  <si>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Alice Wu</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</si>
  <si>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</si>
  <si>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</si>
  <si>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</si>
  <si>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</si>
  <si>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</si>
  <si>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</si>
  <si>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</si>
  <si>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Alik Sakharov</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</si>
  <si>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</si>
  <si>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</si>
  <si>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</si>
  <si>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</si>
  <si>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</si>
  <si>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Alina Teodorescu</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</si>
  <si>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</si>
  <si>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</si>
  <si>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</si>
  <si>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</si>
  <si>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</si>
  <si>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</si>
  <si>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Alison E. Rose</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</si>
  <si>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</si>
  <si>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</si>
  <si>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</si>
  <si>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</si>
  <si>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</si>
  <si>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</si>
  <si>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</si>
  <si>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Alison Klayman</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</si>
  <si>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</si>
  <si>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</si>
  <si>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</si>
  <si>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</si>
  <si>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Alison Maclean</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</si>
  <si>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</si>
  <si>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</si>
  <si>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</si>
  <si>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</si>
  <si>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</si>
  <si>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</si>
  <si>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Alistair Legrand</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</si>
  <si>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</si>
  <si>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</si>
  <si>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</si>
  <si>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</si>
  <si>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</si>
  <si>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Allan Ungar</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</si>
  <si>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</si>
  <si>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</si>
  <si>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</si>
  <si>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</si>
  <si>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</si>
  <si>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Allen Coulter</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</si>
  <si>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</si>
  <si>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</si>
  <si>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</si>
  <si>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</si>
  <si>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Ally Pankiw</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</si>
  <si>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</si>
  <si>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</si>
  <si>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</si>
  <si>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</si>
  <si>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</si>
  <si>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Alma Har'El</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</si>
  <si>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</si>
  <si>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</si>
  <si>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</si>
  <si>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</si>
  <si>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Almudena Carracedo, Robert Bahar</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</si>
  <si>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</si>
  <si>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</si>
  <si>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</si>
  <si>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</si>
  <si>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</si>
  <si>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Almunsif Alsuwaisi</t>
  </si>
  <si>
    <t>s218</t>
  </si>
  <si>
    <t>The Dirty Picture</t>
  </si>
  <si>
    <t>Vidya Balan, Emraan Hashmi, Tusshar Kapoor, Naseeruddin Shah, Rajesh Sharma, Imran Hasnee, Anju Mahendru</t>
  </si>
  <si>
    <t>After running away from home in search of movie stardom, a village girl rises to become a prominent sex symbol.</t>
  </si>
  <si>
    <t>Alo Sarkar</t>
  </si>
  <si>
    <t>s219</t>
  </si>
  <si>
    <t>Titletown High</t>
  </si>
  <si>
    <t>Reality TV, Teen TV Shows</t>
  </si>
  <si>
    <t>In a Georgia town where football rules and winning is paramount, a high school team tackles romance, rivalries and real life while vying for a title.</t>
  </si>
  <si>
    <t>Alphonso J. Wesson</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</si>
  <si>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</si>
  <si>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</si>
  <si>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</si>
  <si>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</si>
  <si>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</si>
  <si>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Álvaro Brechner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</si>
  <si>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</si>
  <si>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</si>
  <si>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</si>
  <si>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</si>
  <si>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Álvaro Delgado-Aparicio L.</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</si>
  <si>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</si>
  <si>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</si>
  <si>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</si>
  <si>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</si>
  <si>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</si>
  <si>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</si>
  <si>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Álvaro Longoria, Gerardo Olivares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</si>
  <si>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</si>
  <si>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</si>
  <si>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</si>
  <si>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</si>
  <si>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</si>
  <si>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</si>
  <si>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Amaan Khan</t>
  </si>
  <si>
    <t>s224</t>
  </si>
  <si>
    <t>John of God: The Crimes of a Spiritual Healer</t>
  </si>
  <si>
    <t>Mauricio Dias, Tatiana Villela</t>
  </si>
  <si>
    <t>Idolized medium João Teixeira de Faria rises to international fame before horrifying abuse is revealed by survivors, prosecutors and the press.</t>
  </si>
  <si>
    <t>Amal Neerad</t>
  </si>
  <si>
    <t>s225</t>
  </si>
  <si>
    <t>Motel Makeover</t>
  </si>
  <si>
    <t>International TV Shows, Reality TV</t>
  </si>
  <si>
    <t>Amid project pitfalls and a pandemic, besties-turned-business partners bring their design magic to a rundown motel and revamp it into a go-to getaway.</t>
  </si>
  <si>
    <t>Amanda Micheli</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</si>
  <si>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</si>
  <si>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</si>
  <si>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</si>
  <si>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</si>
  <si>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Amanda Raymond</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</si>
  <si>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</si>
  <si>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</si>
  <si>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</si>
  <si>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</si>
  <si>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</si>
  <si>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Amar Gupte</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</si>
  <si>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</si>
  <si>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</si>
  <si>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</si>
  <si>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</si>
  <si>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</si>
  <si>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</si>
  <si>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Amar Kaushik</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</si>
  <si>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</si>
  <si>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</si>
  <si>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</si>
  <si>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</si>
  <si>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</si>
  <si>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Amara Cash</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</si>
  <si>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</si>
  <si>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</si>
  <si>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</si>
  <si>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</si>
  <si>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</si>
  <si>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</si>
  <si>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Amardeep Singh Gill</t>
  </si>
  <si>
    <t>s231</t>
  </si>
  <si>
    <t>The River Runner</t>
  </si>
  <si>
    <t>Rush Sturges</t>
  </si>
  <si>
    <t>In this documentary, a kayaker sets out to become the first man to paddle the four great rivers that flow from Tibet's sacred Mount Kailash.</t>
  </si>
  <si>
    <t>Amarjit Virdi</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</si>
  <si>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</si>
  <si>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</si>
  <si>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</si>
  <si>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</si>
  <si>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</si>
  <si>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Amarpreet G S Chabbra</t>
  </si>
  <si>
    <t>s233</t>
  </si>
  <si>
    <t>Wheel of Fortune</t>
  </si>
  <si>
    <t>Pat Sajak, Vanna White</t>
  </si>
  <si>
    <t>Pat Sajak and Vanna White host one of TV's most popular, long-running game shows, where players spin a wheel for prizes and solve mystery phrases.</t>
  </si>
  <si>
    <t>Amber Tamblyn</t>
  </si>
  <si>
    <t>s234</t>
  </si>
  <si>
    <t>Count Me In</t>
  </si>
  <si>
    <t>Mark Lo</t>
  </si>
  <si>
    <t>August 24, 2021</t>
  </si>
  <si>
    <t>This documentary features some of rock's greatest drummers as they come together in an inspiring rhythmic journey about the power of human connection.</t>
  </si>
  <si>
    <t>Amin Dora</t>
  </si>
  <si>
    <t>s235</t>
  </si>
  <si>
    <t>Oggy Oggy</t>
  </si>
  <si>
    <t>Join adorable kitten Oggy and his cast of cat pals in a bright and colorful kitty world. They're always on the go for fun times and fantastic adventures!</t>
  </si>
  <si>
    <t>Amir Mohiuddin</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</si>
  <si>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</si>
  <si>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</si>
  <si>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</si>
  <si>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</si>
  <si>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</si>
  <si>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</si>
  <si>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Amit Barot</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</si>
  <si>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</si>
  <si>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</si>
  <si>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</si>
  <si>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</si>
  <si>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</si>
  <si>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</si>
  <si>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</si>
  <si>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Amit Rai</t>
  </si>
  <si>
    <t>s238</t>
  </si>
  <si>
    <t>Boomika (Hindi)</t>
  </si>
  <si>
    <t>Amit Roy</t>
  </si>
  <si>
    <t>s239</t>
  </si>
  <si>
    <t>Boomika (Malayalam)</t>
  </si>
  <si>
    <t>Amit Saxena</t>
  </si>
  <si>
    <t>s240</t>
  </si>
  <si>
    <t>Boomika (Telugu)</t>
  </si>
  <si>
    <t>Amitabha Singh</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</si>
  <si>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</si>
  <si>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</si>
  <si>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</si>
  <si>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</si>
  <si>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</si>
  <si>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</si>
  <si>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</si>
  <si>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Amitava Bhattacharya</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</si>
  <si>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</si>
  <si>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</si>
  <si>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</si>
  <si>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</si>
  <si>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</si>
  <si>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</si>
  <si>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Amitoj Mann</t>
  </si>
  <si>
    <t>s243</t>
  </si>
  <si>
    <t>Comedy Premium League</t>
  </si>
  <si>
    <t>August 20, 2021</t>
  </si>
  <si>
    <t>With satirical sketches, cheeky debates and blistering roasts, 16 of India’s wittiest entertainers compete in teams to be named the ultimate comedy champs.</t>
  </si>
  <si>
    <t>Amman Abbasi</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</si>
  <si>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</si>
  <si>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</si>
  <si>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</si>
  <si>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</si>
  <si>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</si>
  <si>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Amol Palekar</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</si>
  <si>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</si>
  <si>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</si>
  <si>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</si>
  <si>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</si>
  <si>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</si>
  <si>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Amr Arafa</t>
  </si>
  <si>
    <t>s246</t>
  </si>
  <si>
    <t>Korean Cold Noodle Rhapsody</t>
  </si>
  <si>
    <t>Paik Jong-won</t>
  </si>
  <si>
    <t>Refreshing and flavorful, naengmyeon is Korea's coolest summertime staple. A journey through its history begins, from how it's cooked to how it's loved.</t>
  </si>
  <si>
    <t>Amr Salama</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</si>
  <si>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</si>
  <si>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</si>
  <si>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</si>
  <si>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</si>
  <si>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</si>
  <si>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Amro Salah</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</si>
  <si>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</si>
  <si>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</si>
  <si>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</si>
  <si>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</si>
  <si>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</si>
  <si>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Amshan Kumar</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</si>
  <si>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</si>
  <si>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</si>
  <si>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</si>
  <si>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</si>
  <si>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Amy Poehler</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</si>
  <si>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</si>
  <si>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</si>
  <si>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</si>
  <si>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</si>
  <si>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</si>
  <si>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</si>
  <si>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</si>
  <si>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</si>
  <si>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</si>
  <si>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</si>
  <si>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</si>
  <si>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</si>
  <si>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Amy Schumer</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</si>
  <si>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</si>
  <si>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</si>
  <si>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</si>
  <si>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</si>
  <si>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</si>
  <si>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Amy Segal</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</si>
  <si>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</si>
  <si>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</si>
  <si>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</si>
  <si>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</si>
  <si>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</si>
  <si>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</si>
  <si>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Ana Kokkinos</t>
  </si>
  <si>
    <t>s254</t>
  </si>
  <si>
    <t>Bombay</t>
  </si>
  <si>
    <t>Mani Ratnam</t>
  </si>
  <si>
    <t>Arvind Swamy, Manisha Koirala, Nasser, Raja Krishnamoorthy</t>
  </si>
  <si>
    <t>Years after they elope against their family’s wishes, a couple and their sons become caught in the throes of conflict in their city.</t>
  </si>
  <si>
    <t>Ana Lily Amirpour</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</si>
  <si>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</si>
  <si>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</si>
  <si>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</si>
  <si>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</si>
  <si>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Ana Quiroga</t>
  </si>
  <si>
    <t>s256</t>
  </si>
  <si>
    <t>Memories of a Murderer: The Nilsen Tapes</t>
  </si>
  <si>
    <t>Michael Harte</t>
  </si>
  <si>
    <t>Serial killer Dennis Nilsen narrates his life and horrific crimes via a series of chilling audiotapes recorded from his jail cell.</t>
  </si>
  <si>
    <t>Anand Kamalakar</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</si>
  <si>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</si>
  <si>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</si>
  <si>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</si>
  <si>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</si>
  <si>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</si>
  <si>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</si>
  <si>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Anand Ravichandran</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</si>
  <si>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</si>
  <si>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</si>
  <si>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</si>
  <si>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</si>
  <si>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Anand Tiwari</t>
  </si>
  <si>
    <t>s259</t>
  </si>
  <si>
    <t>Out of my league</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</si>
  <si>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</si>
  <si>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</si>
  <si>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Anand Tucker</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</si>
  <si>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</si>
  <si>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</si>
  <si>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</si>
  <si>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</si>
  <si>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</si>
  <si>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</si>
  <si>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Ananda Krishnan</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</si>
  <si>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</si>
  <si>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</si>
  <si>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</si>
  <si>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</si>
  <si>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Anant Balani</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</si>
  <si>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</si>
  <si>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</si>
  <si>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</si>
  <si>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</si>
  <si>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Ananth Narayan Mahadevan</t>
  </si>
  <si>
    <t>s263</t>
  </si>
  <si>
    <t>Untold: Deal With the Devil</t>
  </si>
  <si>
    <t>Laura Brownson</t>
  </si>
  <si>
    <t>78 min</t>
  </si>
  <si>
    <t>Christy Martin broke boundaries and noses as she rose in the boxing world, but her public persona belied personal demons, abuse and a threat on her life.</t>
  </si>
  <si>
    <t>Andaç Haznedaroğlu</t>
  </si>
  <si>
    <t>s264</t>
  </si>
  <si>
    <t>Mother Goose Club</t>
  </si>
  <si>
    <t>August 16, 2021</t>
  </si>
  <si>
    <t>Classic nursery rhymes and children's songs get a fresh twist in this high-energy program that helps kids learn as they dance and sing along.</t>
  </si>
  <si>
    <t>Anders Falck, Stinus Morell Vithner</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</si>
  <si>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</si>
  <si>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</si>
  <si>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</si>
  <si>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</si>
  <si>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</si>
  <si>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</si>
  <si>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Anders Sømme Hammer, Marius Arnesen, Klaus Erik Okstad, Olav Njaastad</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</si>
  <si>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</si>
  <si>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</si>
  <si>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</si>
  <si>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</si>
  <si>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</si>
  <si>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</si>
  <si>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Andibachtiar Yusuf</t>
  </si>
  <si>
    <t>s267</t>
  </si>
  <si>
    <t>The Creative Indians</t>
  </si>
  <si>
    <t>From chefs and comedians to filmmakers and fashion designers, India’s most notable imaginative minds share their artistic journeys.</t>
  </si>
  <si>
    <t>André D'Elia</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</si>
  <si>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</si>
  <si>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</si>
  <si>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</si>
  <si>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</si>
  <si>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</si>
  <si>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</si>
  <si>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André Odendaal, Johan Vorster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</si>
  <si>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</si>
  <si>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</si>
  <si>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</si>
  <si>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</si>
  <si>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</si>
  <si>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André Øvredal</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</si>
  <si>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</si>
  <si>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</si>
  <si>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</si>
  <si>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</si>
  <si>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</si>
  <si>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Andrea Arnold</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</si>
  <si>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</si>
  <si>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</si>
  <si>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</si>
  <si>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</si>
  <si>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</si>
  <si>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</si>
  <si>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</si>
  <si>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Andrea Molaioli</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</si>
  <si>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</si>
  <si>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</si>
  <si>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</si>
  <si>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</si>
  <si>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Andreas Johnsen</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</si>
  <si>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</si>
  <si>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</si>
  <si>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</si>
  <si>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</si>
  <si>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Andreas Pichler</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</si>
  <si>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</si>
  <si>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</si>
  <si>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</si>
  <si>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</si>
  <si>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</si>
  <si>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Andreas Prochaska</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</si>
  <si>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</si>
  <si>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</si>
  <si>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</si>
  <si>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</si>
  <si>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</si>
  <si>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Andres Clariond</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</si>
  <si>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</si>
  <si>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</si>
  <si>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</si>
  <si>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</si>
  <si>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</si>
  <si>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Andrés Couturier</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</si>
  <si>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</si>
  <si>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</si>
  <si>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</si>
  <si>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</si>
  <si>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</si>
  <si>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</si>
  <si>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Andrés Feddersen</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</si>
  <si>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</si>
  <si>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</si>
  <si>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</si>
  <si>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</si>
  <si>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</si>
  <si>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</si>
  <si>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</si>
  <si>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Andrew Bergman</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</si>
  <si>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</si>
  <si>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</si>
  <si>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</si>
  <si>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</si>
  <si>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</si>
  <si>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</si>
  <si>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</si>
  <si>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</si>
  <si>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Andrew Bujalski</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</si>
  <si>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</si>
  <si>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</si>
  <si>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</si>
  <si>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</si>
  <si>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</si>
  <si>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</si>
  <si>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</si>
  <si>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</si>
  <si>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Andrew C. Erin</t>
  </si>
  <si>
    <t>s281</t>
  </si>
  <si>
    <t>Bake Squad</t>
  </si>
  <si>
    <t>August 11, 2021</t>
  </si>
  <si>
    <t>Expert bakers elevate desserts with next-level ideas and epic execution. Now the battle is on to win over clients in need of very special sweets.</t>
  </si>
  <si>
    <t>Andrew Davis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</si>
  <si>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</si>
  <si>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</si>
  <si>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</si>
  <si>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</si>
  <si>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</si>
  <si>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Andrew Dean</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</si>
  <si>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</si>
  <si>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</si>
  <si>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</si>
  <si>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</si>
  <si>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</si>
  <si>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Andrew Dominik</t>
  </si>
  <si>
    <t>s284</t>
  </si>
  <si>
    <t>Misha and the Wolves</t>
  </si>
  <si>
    <t>Sam Hobkinson</t>
  </si>
  <si>
    <t>Belgium, United Kingdom</t>
  </si>
  <si>
    <t>As a little girl, she escaped the Holocaust and lived among wolves. Or did she? An extraordinary story elicits sympathy — then draws scrutiny.</t>
  </si>
  <si>
    <t>Andrew Douglas</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</si>
  <si>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</si>
  <si>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</si>
  <si>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</si>
  <si>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</si>
  <si>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</si>
  <si>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Andrew Duncan, Ken Cunningham</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</si>
  <si>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</si>
  <si>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</si>
  <si>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</si>
  <si>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</si>
  <si>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</si>
  <si>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</si>
  <si>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Andrew Fleming</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</si>
  <si>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</si>
  <si>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</si>
  <si>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</si>
  <si>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</si>
  <si>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</si>
  <si>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Andrew Goth</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</si>
  <si>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</si>
  <si>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</si>
  <si>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</si>
  <si>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</si>
  <si>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</si>
  <si>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Andrew Jenks</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</si>
  <si>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</si>
  <si>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</si>
  <si>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</si>
  <si>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</si>
  <si>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Andrew Lau Wai-Keung</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</si>
  <si>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</si>
  <si>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</si>
  <si>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</si>
  <si>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</si>
  <si>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</si>
  <si>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Andrew Lau Wai-Keung, Alan Mak</t>
  </si>
  <si>
    <t>s291</t>
  </si>
  <si>
    <t>Untold: Malice at the Palace</t>
  </si>
  <si>
    <t>Floyd Russ</t>
  </si>
  <si>
    <t>Key figures from an infamous 2004 incident between players and fans at an NBA game in Michigan discuss the fight, its fallout and its lasting legacy.</t>
  </si>
  <si>
    <t>Andrew Lau Wai-Keung, Andrew Loo</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</si>
  <si>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</si>
  <si>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</si>
  <si>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</si>
  <si>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</si>
  <si>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</si>
  <si>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Andrew Nackman</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</si>
  <si>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</si>
  <si>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</si>
  <si>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</si>
  <si>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</si>
  <si>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</si>
  <si>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</si>
  <si>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Andrew Niccol</t>
  </si>
  <si>
    <t>s294</t>
  </si>
  <si>
    <t>Slay</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</si>
  <si>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</si>
  <si>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</si>
  <si>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Andrew Renzi</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</si>
  <si>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</si>
  <si>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</si>
  <si>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</si>
  <si>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</si>
  <si>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</si>
  <si>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</si>
  <si>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</si>
  <si>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</si>
  <si>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Andrew Sandler</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</si>
  <si>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</si>
  <si>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</si>
  <si>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</si>
  <si>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</si>
  <si>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</si>
  <si>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Andrew Slater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</si>
  <si>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</si>
  <si>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</si>
  <si>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</si>
  <si>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</si>
  <si>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</si>
  <si>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</si>
  <si>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</si>
  <si>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Andrew Stanton</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</si>
  <si>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</si>
  <si>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</si>
  <si>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</si>
  <si>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</si>
  <si>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</si>
  <si>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Andrew Tan, Michael Goguen</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</si>
  <si>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</si>
  <si>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</si>
  <si>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</si>
  <si>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</si>
  <si>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</si>
  <si>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Andrew Tan, Stephen Murray</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</si>
  <si>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</si>
  <si>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</si>
  <si>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</si>
  <si>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</si>
  <si>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</si>
  <si>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</si>
  <si>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Andrew Wessels</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</si>
  <si>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</si>
  <si>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</si>
  <si>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</si>
  <si>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</si>
  <si>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</si>
  <si>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</si>
  <si>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Andrucha Waddington, Pedro Waddington</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</si>
  <si>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</si>
  <si>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</si>
  <si>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</si>
  <si>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</si>
  <si>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</si>
  <si>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</si>
  <si>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Andrzej Bartkowiak</t>
  </si>
  <si>
    <t>s303</t>
  </si>
  <si>
    <t>City of God: 10 Years Later</t>
  </si>
  <si>
    <t>Cavi Borges, Luciano Vidigal</t>
  </si>
  <si>
    <t>Brazil</t>
  </si>
  <si>
    <t>69 min</t>
  </si>
  <si>
    <t>A decade after the seminal Brazilian film "City of God," this documentary reunites some of the cast and crew to find out what paths their lives took.</t>
  </si>
  <si>
    <t>Andy Caballero, Diego Corsini</t>
  </si>
  <si>
    <t>s304</t>
  </si>
  <si>
    <t>Esperando la carroza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</si>
  <si>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</si>
  <si>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</si>
  <si>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</si>
  <si>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Andy Capper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</si>
  <si>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</si>
  <si>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</si>
  <si>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</si>
  <si>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</si>
  <si>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</si>
  <si>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</si>
  <si>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</si>
  <si>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</si>
  <si>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</si>
  <si>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</si>
  <si>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</si>
  <si>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</si>
  <si>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Andy Fickman</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</si>
  <si>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</si>
  <si>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</si>
  <si>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</si>
  <si>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</si>
  <si>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</si>
  <si>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</si>
  <si>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Andy Goddard</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</si>
  <si>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</si>
  <si>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</si>
  <si>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</si>
  <si>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</si>
  <si>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</si>
  <si>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Andy Serkis</t>
  </si>
  <si>
    <t>s309</t>
  </si>
  <si>
    <t>American Masters: Inventing David Geffen</t>
  </si>
  <si>
    <t>Susan Lacy</t>
  </si>
  <si>
    <t>David Geffen</t>
  </si>
  <si>
    <t>Movies</t>
  </si>
  <si>
    <t>The son of Jewish immigrants, David Geffen emerged from a humble upbringing to become one of the most powerful media personalities in America.</t>
  </si>
  <si>
    <t>Andy Tennant</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</si>
  <si>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</si>
  <si>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</si>
  <si>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</si>
  <si>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</si>
  <si>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Anees Bazmee</t>
  </si>
  <si>
    <t>s311</t>
  </si>
  <si>
    <t>Cocaine Cowboys: The Kings of Miami</t>
  </si>
  <si>
    <t>Billy Corben</t>
  </si>
  <si>
    <t>Crime TV Shows, Docuseries</t>
  </si>
  <si>
    <t>Two childhood friends go from high school dropouts to the most powerful drug kingpins in Miami in this true story of a crime saga that spanned decades.</t>
  </si>
  <si>
    <t>Ang Lee</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</si>
  <si>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</si>
  <si>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</si>
  <si>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</si>
  <si>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</si>
  <si>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Ange Basterga, Nicolas Lopez</t>
  </si>
  <si>
    <t>s313</t>
  </si>
  <si>
    <t>Cooking With Paris</t>
  </si>
  <si>
    <t>Paris Hilton</t>
  </si>
  <si>
    <t>With an anyone-can-cook attitude, Paris Hilton adds her own flair to every dish. Fun is just one edible glitter bomb away on this unique cooking show.</t>
  </si>
  <si>
    <t>Ángel Gómez Hernández</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</si>
  <si>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</si>
  <si>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</si>
  <si>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</si>
  <si>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</si>
  <si>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</si>
  <si>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</si>
  <si>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</si>
  <si>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</si>
  <si>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</si>
  <si>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</si>
  <si>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</si>
  <si>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Ángeles Reiné</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</si>
  <si>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</si>
  <si>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</si>
  <si>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</si>
  <si>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</si>
  <si>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</si>
  <si>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</si>
  <si>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Angelina Jolie</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</si>
  <si>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</si>
  <si>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</si>
  <si>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</si>
  <si>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</si>
  <si>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</si>
  <si>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Angga Dwimas Sasongko</t>
  </si>
  <si>
    <t>s318</t>
  </si>
  <si>
    <t>Pray Away</t>
  </si>
  <si>
    <t>Kristine Stolakis</t>
  </si>
  <si>
    <t>Ex-leaders and a survivor of the so-called "conversion therapy" movement speak out about its harm to the LGBTQ+ community and its devastating persistence.</t>
  </si>
  <si>
    <t>Anggy Umbara</t>
  </si>
  <si>
    <t>s319</t>
  </si>
  <si>
    <t>Shiny_Flakes: The Teenage Drug Lord</t>
  </si>
  <si>
    <t>Eva Müller, Michael Schmitt</t>
  </si>
  <si>
    <t>Maximilian Schmidt</t>
  </si>
  <si>
    <t>Max S. reveals how he built a drug empire from his childhood bedroom in this story that inspired the series "How to Sell Drugs Online (Fast)."</t>
  </si>
  <si>
    <t>Angshuman Ghosh</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</si>
  <si>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</si>
  <si>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</si>
  <si>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</si>
  <si>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</si>
  <si>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Aniedi Anwah</t>
  </si>
  <si>
    <t>s321</t>
  </si>
  <si>
    <t>Top Secret UFO Projects: Declassified</t>
  </si>
  <si>
    <t>Though claims of extraterrestrial encounters have long been dismissed, many believe the existence of UFOs is not just likely, but a certainty.</t>
  </si>
  <si>
    <t>Anik Datta</t>
  </si>
  <si>
    <t>s322</t>
  </si>
  <si>
    <t>Two Fathers</t>
  </si>
  <si>
    <t>Weber Yang, Lin Yo-Wei, Megan Lai, Amanda Chou, Lucia Xie, Cherry Leung</t>
  </si>
  <si>
    <t>When two single guys learn a woman they both slept with disappeared after giving birth, they decide to raise her baby girl together as a family.</t>
  </si>
  <si>
    <t>Anil Sharma</t>
  </si>
  <si>
    <t>s323</t>
  </si>
  <si>
    <t>You're My Destiny</t>
  </si>
  <si>
    <t>Joe Chen, Ethan Juan, Baron Chen, Bianca Bai, Na Wei-hsun, Tan Ai-Chen</t>
  </si>
  <si>
    <t>A young woman's romantic cruise ends in a twist when she gets pregnant after a one-night stand with a rich executive, turning their lives upside down.</t>
  </si>
  <si>
    <t>Anil Thomas</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</si>
  <si>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</si>
  <si>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</si>
  <si>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</si>
  <si>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</si>
  <si>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</si>
  <si>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</si>
  <si>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</si>
  <si>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</si>
  <si>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</si>
  <si>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Anindya Chatterjee</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</si>
  <si>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</si>
  <si>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</si>
  <si>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</si>
  <si>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</si>
  <si>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</si>
  <si>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Anirban Majumder</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</si>
  <si>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</si>
  <si>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</si>
  <si>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</si>
  <si>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</si>
  <si>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</si>
  <si>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Aniruddha Roy Chowdhury</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</si>
  <si>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</si>
  <si>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</si>
  <si>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</si>
  <si>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</si>
  <si>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</si>
  <si>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Anissa Bonnefont</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</si>
  <si>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</si>
  <si>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</si>
  <si>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</si>
  <si>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</si>
  <si>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</si>
  <si>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</si>
  <si>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Anita Barbosa</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</si>
  <si>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</si>
  <si>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</si>
  <si>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</si>
  <si>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</si>
  <si>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Anita Udeep</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</si>
  <si>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</si>
  <si>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</si>
  <si>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</si>
  <si>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</si>
  <si>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</si>
  <si>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</si>
  <si>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Anjali Nayar</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</si>
  <si>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</si>
  <si>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</si>
  <si>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</si>
  <si>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</si>
  <si>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</si>
  <si>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Anjum Shahzad</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</si>
  <si>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</si>
  <si>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</si>
  <si>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</si>
  <si>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</si>
  <si>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</si>
  <si>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Ann Deborah Fishman</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</si>
  <si>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</si>
  <si>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</si>
  <si>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</si>
  <si>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</si>
  <si>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</si>
  <si>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</si>
  <si>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Anna Boden, Ryan Fleck</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</si>
  <si>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</si>
  <si>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</si>
  <si>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</si>
  <si>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</si>
  <si>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</si>
  <si>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Anna Elizabeth James</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</si>
  <si>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</si>
  <si>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</si>
  <si>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</si>
  <si>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</si>
  <si>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</si>
  <si>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Anna Stone</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</si>
  <si>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</si>
  <si>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</si>
  <si>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</si>
  <si>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</si>
  <si>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</si>
  <si>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Anna Wieczur-Bluszcz</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</si>
  <si>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</si>
  <si>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</si>
  <si>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</si>
  <si>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</si>
  <si>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</si>
  <si>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Anne Fletcher</t>
  </si>
  <si>
    <t>s339</t>
  </si>
  <si>
    <t>Hunter X Hunter (2011)</t>
  </si>
  <si>
    <t>Megumi Han, Mariya Ise, Keiji Fujiwara, Miyuki Sawashiro, Daisuke Namikawa</t>
  </si>
  <si>
    <t>To fulfill his dreams of becoming a legendary Hunter like his dad, a young boy must pass a rigorous examination and find his missing father.</t>
  </si>
  <si>
    <t>Anne Fontaine</t>
  </si>
  <si>
    <t>s340</t>
  </si>
  <si>
    <t>I missed you: Director's Cut</t>
  </si>
  <si>
    <t>Mag Hsu, Hsu Chih-yen</t>
  </si>
  <si>
    <t>Wu Kang-ren, Eve Ai, Fu Meng-po, Lin Mei-hsiu, 9m88</t>
  </si>
  <si>
    <t>A workaholic reconnects with two men she blocked on social media five years ago and begins to reflect on her past life choices.</t>
  </si>
  <si>
    <t>Anoop Sathyan</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</si>
  <si>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</si>
  <si>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</si>
  <si>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</si>
  <si>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</si>
  <si>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</si>
  <si>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</si>
  <si>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</si>
  <si>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Anthony Abrams, Adam Larson Broder</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</si>
  <si>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</si>
  <si>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</si>
  <si>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</si>
  <si>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</si>
  <si>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</si>
  <si>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</si>
  <si>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Anthony Bell</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</si>
  <si>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</si>
  <si>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</si>
  <si>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</si>
  <si>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</si>
  <si>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</si>
  <si>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Anthony Byrne</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</si>
  <si>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</si>
  <si>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</si>
  <si>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</si>
  <si>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</si>
  <si>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</si>
  <si>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Anthony Caronna, Alexander Smith</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</si>
  <si>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</si>
  <si>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</si>
  <si>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</si>
  <si>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</si>
  <si>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</si>
  <si>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Anthony Chan</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</si>
  <si>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</si>
  <si>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</si>
  <si>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</si>
  <si>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</si>
  <si>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</si>
  <si>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Anthony D'Souza</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</si>
  <si>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</si>
  <si>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</si>
  <si>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</si>
  <si>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</si>
  <si>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</si>
  <si>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Anthony Giordano</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</si>
  <si>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</si>
  <si>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</si>
  <si>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</si>
  <si>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</si>
  <si>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</si>
  <si>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</si>
  <si>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Anthony Lucero</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</si>
  <si>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</si>
  <si>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</si>
  <si>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</si>
  <si>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</si>
  <si>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</si>
  <si>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Anthony Mandler</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</si>
  <si>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</si>
  <si>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</si>
  <si>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</si>
  <si>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</si>
  <si>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</si>
  <si>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</si>
  <si>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</si>
  <si>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</si>
  <si>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</si>
  <si>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</si>
  <si>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</si>
  <si>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</si>
  <si>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</si>
  <si>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</si>
  <si>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Anthony Pierce</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</si>
  <si>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</si>
  <si>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</si>
  <si>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</si>
  <si>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</si>
  <si>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</si>
  <si>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</si>
  <si>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Anthony Russo, Joe Russo</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</si>
  <si>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</si>
  <si>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</si>
  <si>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</si>
  <si>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</si>
  <si>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</si>
  <si>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</si>
  <si>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Anthony Scott Burns</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</si>
  <si>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</si>
  <si>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</si>
  <si>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</si>
  <si>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</si>
  <si>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</si>
  <si>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Anthony Scott Burns, Nicholas Mccarthy, Adam Egypt Mortimer, Gary Shore, Kevin Smith, Sarah Adina Smith, Scott Stewart, Kevin Kolsch, Dennis Widmyer</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</si>
  <si>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</si>
  <si>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</si>
  <si>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</si>
  <si>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</si>
  <si>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</si>
  <si>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Anthony Wonke</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</si>
  <si>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</si>
  <si>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</si>
  <si>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</si>
  <si>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</si>
  <si>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</si>
  <si>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Antoine Bardou-Jacquet</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</si>
  <si>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</si>
  <si>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</si>
  <si>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</si>
  <si>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</si>
  <si>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</si>
  <si>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</si>
  <si>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</si>
  <si>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</si>
  <si>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</si>
  <si>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</si>
  <si>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</si>
  <si>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</si>
  <si>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Antoinette Jadaone</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</si>
  <si>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</si>
  <si>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</si>
  <si>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</si>
  <si>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</si>
  <si>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</si>
  <si>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Anton Corbijn</t>
  </si>
  <si>
    <t>s360</t>
  </si>
  <si>
    <t>The Original Kings of Comedy</t>
  </si>
  <si>
    <t>Steve Harvey, D.L. Hughley, Cedric the Entertainer, Bernie Mac</t>
  </si>
  <si>
    <t>Comedians Steve Harvey, Cedric the Entertainer, D.L. Hughley and Bernie Mac hit the stage in an iconic stand-up concert directed by Spike Lee.</t>
  </si>
  <si>
    <t>Antoni Krauze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</si>
  <si>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</si>
  <si>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</si>
  <si>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</si>
  <si>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</si>
  <si>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</si>
  <si>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Antonin Baudry</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</si>
  <si>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</si>
  <si>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</si>
  <si>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</si>
  <si>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</si>
  <si>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</si>
  <si>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</si>
  <si>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Antonio Campos</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</si>
  <si>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</si>
  <si>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</si>
  <si>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</si>
  <si>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</si>
  <si>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</si>
  <si>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Antonio Chavarrías</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</si>
  <si>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</si>
  <si>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</si>
  <si>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</si>
  <si>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</si>
  <si>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</si>
  <si>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</si>
  <si>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Antonio Díaz</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</si>
  <si>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</si>
  <si>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</si>
  <si>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</si>
  <si>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</si>
  <si>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</si>
  <si>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Antonio Morabito</t>
  </si>
  <si>
    <t>s366</t>
  </si>
  <si>
    <t>Eyes of a Thief</t>
  </si>
  <si>
    <t>Najwa Najjar</t>
  </si>
  <si>
    <t>Khaled Abol El Naga, Souad Massi, Suhail Haddad, Malak Ermileh, Maisa Abd Elhadi, Walid Abdul Salam, Nisreen Faour, Areen Omari</t>
  </si>
  <si>
    <t>France, Algeria</t>
  </si>
  <si>
    <t>After a decade in prison, a Palestinian man with a dark secret returns to the West Bank and searches for the daughter he lost long ago.</t>
  </si>
  <si>
    <t>Antonio Serrano</t>
  </si>
  <si>
    <t>s367</t>
  </si>
  <si>
    <t>Glow Up</t>
  </si>
  <si>
    <t>British TV Shows, International TV Shows, Reality TV</t>
  </si>
  <si>
    <t>In this competition show, aspiring makeup artists navigate colorful challenges to win a career-making opportunity in the beauty industry.</t>
  </si>
  <si>
    <t>Anu Menon</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</si>
  <si>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</si>
  <si>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</si>
  <si>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</si>
  <si>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</si>
  <si>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</si>
  <si>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Anubhav Sinha</t>
  </si>
  <si>
    <t>s369</t>
  </si>
  <si>
    <t>Khawatir</t>
  </si>
  <si>
    <t>Saudi media personality Ahmad Al Shugairi travels around the world on a quest for knowledge in various cities while offering his personal reflections.</t>
  </si>
  <si>
    <t>Anurag Basu</t>
  </si>
  <si>
    <t>s370</t>
  </si>
  <si>
    <t>Myth &amp; Mogul: John DeLorean</t>
  </si>
  <si>
    <t>In the automotive world, John DeLorean rose from engineer to executive to icon. But under the hood of his self-created legend lies darkness and deceit.</t>
  </si>
  <si>
    <t>Anurag Kashyap</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</si>
  <si>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</si>
  <si>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</si>
  <si>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</si>
  <si>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</si>
  <si>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</si>
  <si>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Anurag Kashyap, Dibakar Banerjee, Karan Johar, Zoya Akhtar</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</si>
  <si>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</si>
  <si>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</si>
  <si>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</si>
  <si>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</si>
  <si>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Anurag Singh</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</si>
  <si>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</si>
  <si>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</si>
  <si>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</si>
  <si>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</si>
  <si>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</si>
  <si>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</si>
  <si>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Anuranjan Premji</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</si>
  <si>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</si>
  <si>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</si>
  <si>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</si>
  <si>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</si>
  <si>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</si>
  <si>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Anurin Nwunembom</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</si>
  <si>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</si>
  <si>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</si>
  <si>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</si>
  <si>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</si>
  <si>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</si>
  <si>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</si>
  <si>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Anurin Nwunembom, Musing Derrick</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</si>
  <si>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</si>
  <si>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</si>
  <si>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</si>
  <si>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</si>
  <si>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</si>
  <si>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Anusha Rizvi, Mahmood Farooqui</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</si>
  <si>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</si>
  <si>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</si>
  <si>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</si>
  <si>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</si>
  <si>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</si>
  <si>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Anvita Dutt</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</si>
  <si>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</si>
  <si>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</si>
  <si>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</si>
  <si>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</si>
  <si>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</si>
  <si>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</si>
  <si>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</si>
  <si>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</si>
  <si>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</si>
  <si>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</si>
  <si>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</si>
  <si>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</si>
  <si>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Appie Boudellah, Aram Van De Rest</t>
  </si>
  <si>
    <t>s380</t>
  </si>
  <si>
    <t>Tattoo Redo</t>
  </si>
  <si>
    <t>Bad tattoos walk in. Great tattoos walk out. Top artists transform tattoo disasters into stunning cover-ups, with designs chosen by clients' loved ones.</t>
  </si>
  <si>
    <t>April Mullen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</si>
  <si>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</si>
  <si>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</si>
  <si>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</si>
  <si>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</si>
  <si>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</si>
  <si>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</si>
  <si>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Apurva Dhar Badgaiyann</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</si>
  <si>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</si>
  <si>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</si>
  <si>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</si>
  <si>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</si>
  <si>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Arati Kadav</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</si>
  <si>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</si>
  <si>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</si>
  <si>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</si>
  <si>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</si>
  <si>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</si>
  <si>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Archie Borders</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</si>
  <si>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</si>
  <si>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</si>
  <si>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</si>
  <si>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</si>
  <si>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</si>
  <si>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Archie Hekagery</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</si>
  <si>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</si>
  <si>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</si>
  <si>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</si>
  <si>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</si>
  <si>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</si>
  <si>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Ari Folman</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</si>
  <si>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</si>
  <si>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</si>
  <si>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</si>
  <si>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</si>
  <si>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</si>
  <si>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</si>
  <si>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Ari Levinson</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</si>
  <si>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</si>
  <si>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</si>
  <si>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</si>
  <si>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</si>
  <si>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Ari Sandel</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</si>
  <si>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</si>
  <si>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</si>
  <si>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</si>
  <si>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</si>
  <si>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</si>
  <si>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</si>
  <si>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Ariel Boles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</si>
  <si>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</si>
  <si>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</si>
  <si>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</si>
  <si>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</si>
  <si>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</si>
  <si>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</si>
  <si>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Ariel Vromen</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</si>
  <si>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</si>
  <si>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</si>
  <si>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</si>
  <si>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</si>
  <si>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</si>
  <si>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</si>
  <si>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Arjun Gourisaria, Moinak Biswas</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</si>
  <si>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</si>
  <si>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</si>
  <si>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</si>
  <si>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</si>
  <si>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</si>
  <si>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</si>
  <si>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</si>
  <si>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Arjun Jandyala</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</si>
  <si>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</si>
  <si>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</si>
  <si>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</si>
  <si>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</si>
  <si>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Armando Iannucci</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</si>
  <si>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</si>
  <si>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</si>
  <si>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</si>
  <si>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</si>
  <si>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</si>
  <si>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</si>
  <si>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Arnab Chaudhuri</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</si>
  <si>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</si>
  <si>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</si>
  <si>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</si>
  <si>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</si>
  <si>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</si>
  <si>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</si>
  <si>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</si>
  <si>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Arne Birkenstock</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</si>
  <si>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</si>
  <si>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</si>
  <si>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</si>
  <si>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</si>
  <si>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</si>
  <si>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Arnon Manor, Timothy Ware-Hill</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</si>
  <si>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</si>
  <si>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</si>
  <si>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</si>
  <si>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</si>
  <si>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</si>
  <si>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Arpan Sarkar, Shyamal Chaulia</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</si>
  <si>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</si>
  <si>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</si>
  <si>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</si>
  <si>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</si>
  <si>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</si>
  <si>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</si>
  <si>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Arthur Allan Seidelman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</si>
  <si>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</si>
  <si>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</si>
  <si>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</si>
  <si>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</si>
  <si>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Arthur Muhammad</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</si>
  <si>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</si>
  <si>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</si>
  <si>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</si>
  <si>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</si>
  <si>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</si>
  <si>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Arthur Penn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</si>
  <si>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</si>
  <si>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</si>
  <si>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</si>
  <si>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</si>
  <si>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</si>
  <si>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Arun Chidambaram</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</si>
  <si>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</si>
  <si>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</si>
  <si>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</si>
  <si>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</si>
  <si>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</si>
  <si>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Arun Vaidyanathan</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</si>
  <si>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</si>
  <si>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</si>
  <si>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</si>
  <si>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</si>
  <si>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Aruna Raje</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</si>
  <si>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</si>
  <si>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</si>
  <si>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</si>
  <si>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</si>
  <si>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</si>
  <si>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Asghar Farhadi</t>
  </si>
  <si>
    <t>s404</t>
  </si>
  <si>
    <t>The Movies That Made Us</t>
  </si>
  <si>
    <t>These blockbusters brought us together and gave us the time of our lives. Meet the actors, directors and industry insiders who made them happen.</t>
  </si>
  <si>
    <t>Ash Brannon, Chris Buck</t>
  </si>
  <si>
    <t>s405</t>
  </si>
  <si>
    <t>9to5: The Story of a Movement</t>
  </si>
  <si>
    <t>July 22, 2021</t>
  </si>
  <si>
    <t>In this documentary, female office workers in '70s Boston inspire change with a call for better pay, more opportunities and an end to sexual harassment.</t>
  </si>
  <si>
    <t>Ashim Ahluwalia</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</si>
  <si>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</si>
  <si>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</si>
  <si>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</si>
  <si>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</si>
  <si>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</si>
  <si>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</si>
  <si>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Ashish R. Mohan</t>
  </si>
  <si>
    <t>s407</t>
  </si>
  <si>
    <t>Chhota Bheem - Neeli Pahaadi</t>
  </si>
  <si>
    <t>Rajiv Chilaka</t>
  </si>
  <si>
    <t>Things get spooky when Bheem and his buddies travel to the border of Dholakpur, known for its eerie history and rumored to be haunted.</t>
  </si>
  <si>
    <t>Ashish R. Shukla</t>
  </si>
  <si>
    <t>s408</t>
  </si>
  <si>
    <t>Chhota Bheem &amp; Ganesh</t>
  </si>
  <si>
    <t>68 min</t>
  </si>
  <si>
    <t>Bheem and Lord Ganesha join forces to save Dholakpur from fire-spitting dragons, who have also captured Ganesh’s mouse companion!</t>
  </si>
  <si>
    <t>Ashok Nanda</t>
  </si>
  <si>
    <t>s409</t>
  </si>
  <si>
    <t>Chhota Bheem &amp; Krishna: Mayanagari</t>
  </si>
  <si>
    <t>Young lord Krishna has fallen for demoness Maayandri’s revenge plot against him! Can Bheem rescue him and thwart Maayandri’s other destructive plans?</t>
  </si>
  <si>
    <t>Ashraf Fayeq</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</si>
  <si>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</si>
  <si>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</si>
  <si>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</si>
  <si>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</si>
  <si>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</si>
  <si>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Ashu Trikha</t>
  </si>
  <si>
    <t>s411</t>
  </si>
  <si>
    <t>Chhota Bheem And The Broken Amulet</t>
  </si>
  <si>
    <t>When a stranger tries to steal an amulet from the palace, Bheem learns the sad story behind the ornament and heads to Africa to defeat the real villain.</t>
  </si>
  <si>
    <t>Ashutosh Gowariker</t>
  </si>
  <si>
    <t>s412</t>
  </si>
  <si>
    <t>Chhota Bheem And The Crown of Valhalla</t>
  </si>
  <si>
    <t>To save the kingdom of Valhalla from invasion by Vikings, Bheem is gathering his army of friends, who are ready to put up a formidable fight!</t>
  </si>
  <si>
    <t>Ashwin Saravanan</t>
  </si>
  <si>
    <t>s413</t>
  </si>
  <si>
    <t>Chhota Bheem and the Incan Adventure</t>
  </si>
  <si>
    <t>When Dholakpur’s princess is kidnapped, Bheem is off to the land of the Incas to save her, but he’s in for an even bigger challenge upon his arrival.</t>
  </si>
  <si>
    <t>Ashwiny Iyer Tiwari</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</si>
  <si>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</si>
  <si>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</si>
  <si>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</si>
  <si>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</si>
  <si>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</si>
  <si>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</si>
  <si>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Asif Kapadia</t>
  </si>
  <si>
    <t>s416</t>
  </si>
  <si>
    <t>Chhota Bheem aur Krishna</t>
  </si>
  <si>
    <t>Centuries after the end of a conqueror's rule, he is mysteriously back from the dead. It’s up to Bheem to save Dholakpur from being taken over!</t>
  </si>
  <si>
    <t>Asim Abbasi</t>
  </si>
  <si>
    <t>s417</t>
  </si>
  <si>
    <t>Chhota Bheem aur Krishna vs Zimbara</t>
  </si>
  <si>
    <t>A demon of darkness is plotting world domination — but when Bheem and Krishna catch wind of his plans, they’ll stop at nothing to destroy him.</t>
  </si>
  <si>
    <t>Asim Raza</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</si>
  <si>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</si>
  <si>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</si>
  <si>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</si>
  <si>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</si>
  <si>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</si>
  <si>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</si>
  <si>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Asit Mohapatra, Shyamal Chaulia</t>
  </si>
  <si>
    <t>s419</t>
  </si>
  <si>
    <t>Chhota Bheem Ka Roosi Romanch</t>
  </si>
  <si>
    <t>Julie Tejwani, Sabina Malik, Jigna Bharadwaj, Rupa Bhimani, Lalit Agarwal, Rajesh Shukla, Disha, Rajesh Kava, Raju</t>
  </si>
  <si>
    <t>A faulty transportation machine lands Chhota Bheem and his friends in Russia, where they must save a princess from an evil, power-hungry magician.</t>
  </si>
  <si>
    <t>Asri Bendacha</t>
  </si>
  <si>
    <t>s420</t>
  </si>
  <si>
    <t>Chhota Bheem: Bheem vs Aliens</t>
  </si>
  <si>
    <t>Space invaders have kidnapped Dholakpur’s king and princess! The only way Bheem can rescue them? Defeat the aliens in a cricket match.</t>
  </si>
  <si>
    <t>Atanu Ghosh</t>
  </si>
  <si>
    <t>s421</t>
  </si>
  <si>
    <t>Chhota Bheem: Dholakpur to Kathmandu</t>
  </si>
  <si>
    <t>Bheem’s holiday in Nepal takes an unexpected turn when he is called on to save a monkey cub from snow leopards and reunite him with his father.</t>
  </si>
  <si>
    <t>Atanu Mukherjee</t>
  </si>
  <si>
    <t>s422</t>
  </si>
  <si>
    <t>Chhota Bheem: Dus Pe Dus</t>
  </si>
  <si>
    <t>Rajiv Chilaka, Owll Mina</t>
  </si>
  <si>
    <t>After a precious temple stone is stolen under his watch, Bheem trains in a special martial art to prepare for a showdown with the thief.</t>
  </si>
  <si>
    <t>Atharv Baluja</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</si>
  <si>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</si>
  <si>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</si>
  <si>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</si>
  <si>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</si>
  <si>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Athiyan Athirai</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</si>
  <si>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</si>
  <si>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</si>
  <si>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</si>
  <si>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</si>
  <si>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</si>
  <si>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Atlee Kumar</t>
  </si>
  <si>
    <t>s425</t>
  </si>
  <si>
    <t>Chhota Bheem: The Rise of Kirmada</t>
  </si>
  <si>
    <t>Bheem and young lord Krishna team up to protect the world against the wicked and powerful Kirmada and his equally dangerous bat army.</t>
  </si>
  <si>
    <t>Atom Egoyan</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</si>
  <si>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</si>
  <si>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</si>
  <si>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</si>
  <si>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</si>
  <si>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</si>
  <si>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Atsajun Sattakovit</t>
  </si>
  <si>
    <t>s427</t>
  </si>
  <si>
    <t>Cousins</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</si>
  <si>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</si>
  <si>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</si>
  <si>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</si>
  <si>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Atsuko Ishizuka</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</si>
  <si>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</si>
  <si>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</si>
  <si>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</si>
  <si>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</si>
  <si>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</si>
  <si>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Attila Till</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</si>
  <si>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</si>
  <si>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</si>
  <si>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</si>
  <si>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</si>
  <si>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</si>
  <si>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</si>
  <si>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Atul Malhotra</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</si>
  <si>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</si>
  <si>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</si>
  <si>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</si>
  <si>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</si>
  <si>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</si>
  <si>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</si>
  <si>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Atul Sabharwal</t>
  </si>
  <si>
    <t>s431</t>
  </si>
  <si>
    <t>Sexy Beasts</t>
  </si>
  <si>
    <t>Hoping to say goodbye to superficial dating, real-life singles sport elaborate makeup and prosthetics to put true blind-date chemistry to the test.</t>
  </si>
  <si>
    <t>Audu Paden, Eric Radomski</t>
  </si>
  <si>
    <t>s432</t>
  </si>
  <si>
    <t>Too Hot to Handle: Brazil</t>
  </si>
  <si>
    <t>Bruna Louise</t>
  </si>
  <si>
    <t>Sizzling hot young Brazilians meet at a dreamy beach resort. But for a shot at R$500,000 in this fun reality show, they'll have to give up sex.</t>
  </si>
  <si>
    <t>August Jakobsson</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</si>
  <si>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</si>
  <si>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</si>
  <si>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</si>
  <si>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</si>
  <si>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</si>
  <si>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</si>
  <si>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</si>
  <si>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</si>
  <si>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</si>
  <si>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</si>
  <si>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</si>
  <si>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Aurora Guerrero</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</si>
  <si>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</si>
  <si>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</si>
  <si>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</si>
  <si>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</si>
  <si>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</si>
  <si>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Austin Peck, Anneliese Vandenberg</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</si>
  <si>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</si>
  <si>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</si>
  <si>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</si>
  <si>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</si>
  <si>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</si>
  <si>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Austin Stark</t>
  </si>
  <si>
    <t>s437</t>
  </si>
  <si>
    <t>The Tambour of Retribution</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</si>
  <si>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</si>
  <si>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</si>
  <si>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</si>
  <si>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</si>
  <si>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Ava Duvernay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</si>
  <si>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</si>
  <si>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</si>
  <si>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</si>
  <si>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</si>
  <si>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</si>
  <si>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</si>
  <si>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Avadhoot Gupte</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</si>
  <si>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</si>
  <si>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</si>
  <si>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</si>
  <si>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</si>
  <si>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</si>
  <si>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</si>
  <si>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Avgousta Zourelidi</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</si>
  <si>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</si>
  <si>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</si>
  <si>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</si>
  <si>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</si>
  <si>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</si>
  <si>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</si>
  <si>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Avi Federgreen</t>
  </si>
  <si>
    <t>s441</t>
  </si>
  <si>
    <t>Explained</t>
  </si>
  <si>
    <t>This enlightening series from Vox digs into a wide range of topics such as the rise of cryptocurrency, why diets fail, and the wild world of K-pop.</t>
  </si>
  <si>
    <t>Avinash Arun</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</si>
  <si>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</si>
  <si>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</si>
  <si>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</si>
  <si>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</si>
  <si>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</si>
  <si>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</si>
  <si>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Avinash Das</t>
  </si>
  <si>
    <t>s443</t>
  </si>
  <si>
    <t>Johnny Test</t>
  </si>
  <si>
    <t>James Arnold Taylor, Trevor Devall, Maryke Hendrikse, Emily Tennant</t>
  </si>
  <si>
    <t>How much trouble could one imaginative boy, his faithful dog and two science-loving sisters possibly get into? Hmm, that sounds like a challenge!</t>
  </si>
  <si>
    <t>Avinash Walzade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</si>
  <si>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</si>
  <si>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</si>
  <si>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</si>
  <si>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</si>
  <si>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</si>
  <si>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Awi Suryadi</t>
  </si>
  <si>
    <t>s445</t>
  </si>
  <si>
    <t>Naomi Osaka</t>
  </si>
  <si>
    <t>Garrett Bradley</t>
  </si>
  <si>
    <t>This intimate series follows Naomi Osaka as she explores her cultural roots and navigates her multifaceted identity as a tennis champ and rising leader.</t>
  </si>
  <si>
    <t>Axelle Laffont</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</si>
  <si>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</si>
  <si>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</si>
  <si>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</si>
  <si>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</si>
  <si>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</si>
  <si>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Ayaan Mukherji</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</si>
  <si>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</si>
  <si>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</si>
  <si>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</si>
  <si>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</si>
  <si>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</si>
  <si>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Ayman Makram</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</si>
  <si>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</si>
  <si>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</si>
  <si>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</si>
  <si>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</si>
  <si>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</si>
  <si>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Aytaç Ağırlar</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</si>
  <si>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</si>
  <si>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</si>
  <si>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</si>
  <si>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</si>
  <si>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Ayumu Watanabe</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</si>
  <si>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</si>
  <si>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</si>
  <si>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</si>
  <si>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</si>
  <si>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</si>
  <si>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Ayush Raina</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</si>
  <si>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</si>
  <si>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</si>
  <si>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</si>
  <si>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</si>
  <si>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</si>
  <si>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</si>
  <si>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Azazel Jacobs</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</si>
  <si>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</si>
  <si>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</si>
  <si>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</si>
  <si>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</si>
  <si>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</si>
  <si>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</si>
  <si>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Azfar Jafri</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</si>
  <si>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</si>
  <si>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</si>
  <si>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</si>
  <si>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</si>
  <si>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</si>
  <si>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</si>
  <si>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</si>
  <si>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Aziz Ansari</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</si>
  <si>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</si>
  <si>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</si>
  <si>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</si>
  <si>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</si>
  <si>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Aziz Mirza</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</si>
  <si>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</si>
  <si>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</si>
  <si>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</si>
  <si>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</si>
  <si>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</si>
  <si>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B. Subhash</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</si>
  <si>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</si>
  <si>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</si>
  <si>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</si>
  <si>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</si>
  <si>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</si>
  <si>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</si>
  <si>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B. T Thomas</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</si>
  <si>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</si>
  <si>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</si>
  <si>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</si>
  <si>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</si>
  <si>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B. Unnikrishnan</t>
  </si>
  <si>
    <t>s458</t>
  </si>
  <si>
    <t>Lift Like a Girl</t>
  </si>
  <si>
    <t>Mayye Zayed</t>
  </si>
  <si>
    <t>Egypt, Denmark, Germany</t>
  </si>
  <si>
    <t>With the guidance of her relentless coach, a teen weightlifter emerges from a scrappy training camp in Egypt to compete at the championship level.</t>
  </si>
  <si>
    <t>B. V. Nandini Reddy</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</si>
  <si>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</si>
  <si>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</si>
  <si>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</si>
  <si>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</si>
  <si>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</si>
  <si>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B.N. Shajeer Sha</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</si>
  <si>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</si>
  <si>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</si>
  <si>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</si>
  <si>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</si>
  <si>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</si>
  <si>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Babak Anvari</t>
  </si>
  <si>
    <t>s461</t>
  </si>
  <si>
    <t>Surf's Up</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</si>
  <si>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</si>
  <si>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</si>
  <si>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</si>
  <si>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Bahij Hojeij</t>
  </si>
  <si>
    <t>s462</t>
  </si>
  <si>
    <t>The Unknown Saint</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</si>
  <si>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</si>
  <si>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</si>
  <si>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Baljit Singh Deo</t>
  </si>
  <si>
    <t>s463</t>
  </si>
  <si>
    <t>This Changes Everything</t>
  </si>
  <si>
    <t>Tom Donahue</t>
  </si>
  <si>
    <t>This documentary takes a deep look at gender disparity in Hollywood through the eyes of well-known actresses and female filmmakers.</t>
  </si>
  <si>
    <t>Baltasar Kormákur</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</si>
  <si>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</si>
  <si>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</si>
  <si>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</si>
  <si>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</si>
  <si>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</si>
  <si>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</si>
  <si>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Balu Mahendra</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</si>
  <si>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</si>
  <si>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</si>
  <si>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</si>
  <si>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</si>
  <si>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</si>
  <si>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Banjong Pisanthanakun</t>
  </si>
  <si>
    <t>s466</t>
  </si>
  <si>
    <t>Heist</t>
  </si>
  <si>
    <t>Millions in stolen cash. Missing luxury bourbon. Watch ordinary people almost get away with these extraordinary heists in this true crime series.</t>
  </si>
  <si>
    <t>Banjong Pisanthanakun, Parkpoom Wongpoom</t>
  </si>
  <si>
    <t>s467</t>
  </si>
  <si>
    <t>My Unorthodox Life</t>
  </si>
  <si>
    <t>Follow Julia Haart, Elite World Group CEO and a former member of an ultra-Orthodox Jewish community, and her adult kids in this reality series.</t>
  </si>
  <si>
    <t>Banjong Pisanthanakun, Paween Purikitpanya, Songyos Sugmakanan, Parkpoom Wongpoom, Visute Poolvoralaks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</si>
  <si>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</si>
  <si>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</si>
  <si>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</si>
  <si>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</si>
  <si>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</si>
  <si>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Bao Nhan, Namcito</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</si>
  <si>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</si>
  <si>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</si>
  <si>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</si>
  <si>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</si>
  <si>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</si>
  <si>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Barak Goodman</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</si>
  <si>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</si>
  <si>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</si>
  <si>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</si>
  <si>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</si>
  <si>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</si>
  <si>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</si>
  <si>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Baran Bo Odar</t>
  </si>
  <si>
    <t>s471</t>
  </si>
  <si>
    <t>Bridgerton - The Afterparty</t>
  </si>
  <si>
    <t>David Spade, London Hughes, Fortune Feimster</t>
  </si>
  <si>
    <t>39 min</t>
  </si>
  <si>
    <t>"Bridgerton" cast members share behind-the-scenes stories from the hit show, plus comedian Nikki Glaser breaks down the costume drama's sexiest moments.</t>
  </si>
  <si>
    <t>Barbara Białowąs, Tomasz Mandes</t>
  </si>
  <si>
    <t>s472</t>
  </si>
  <si>
    <t>Day of Destiny</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</si>
  <si>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</si>
  <si>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</si>
  <si>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</si>
  <si>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Barbara Kopple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</si>
  <si>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</si>
  <si>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</si>
  <si>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</si>
  <si>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</si>
  <si>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Barbra Streisand</t>
  </si>
  <si>
    <t>s474</t>
  </si>
  <si>
    <t>Born to Play</t>
  </si>
  <si>
    <t>Viridiana Lieberman</t>
  </si>
  <si>
    <t>July 12, 2021</t>
  </si>
  <si>
    <t>This documentary follows the Boston Renegades — an all-woman, tackle football team — as they risk their time, families and day jobs for the game.</t>
  </si>
  <si>
    <t>Barbra Streisand, Jim Gable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</si>
  <si>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</si>
  <si>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</si>
  <si>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</si>
  <si>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</si>
  <si>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</si>
  <si>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</si>
  <si>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</si>
  <si>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Barney Clay</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</si>
  <si>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</si>
  <si>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</si>
  <si>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</si>
  <si>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</si>
  <si>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</si>
  <si>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Barry Avrich</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</si>
  <si>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</si>
  <si>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</si>
  <si>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</si>
  <si>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</si>
  <si>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</si>
  <si>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</si>
  <si>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Barry Gonzalez</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</si>
  <si>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</si>
  <si>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</si>
  <si>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</si>
  <si>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</si>
  <si>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</si>
  <si>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Barry Jenkins</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</si>
  <si>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</si>
  <si>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</si>
  <si>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</si>
  <si>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</si>
  <si>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Barry Levinson</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</si>
  <si>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</si>
  <si>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</si>
  <si>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</si>
  <si>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</si>
  <si>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Barry Sonnenfeld</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</si>
  <si>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</si>
  <si>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</si>
  <si>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</si>
  <si>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</si>
  <si>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</si>
  <si>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Bart Freundlich</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</si>
  <si>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</si>
  <si>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</si>
  <si>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</si>
  <si>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</si>
  <si>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</si>
  <si>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Bartosz M. Kowalski</t>
  </si>
  <si>
    <t>s483</t>
  </si>
  <si>
    <t>How to Become a Tyrant</t>
  </si>
  <si>
    <t>Peter Dinklage</t>
  </si>
  <si>
    <t>Ruling with an iron fist requires an aspiring dictator to know the playbook for absolute power, as history's despots prove in this sardonic docuseries.</t>
  </si>
  <si>
    <t>Basava Shankar Eeday</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</si>
  <si>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</si>
  <si>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</si>
  <si>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</si>
  <si>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</si>
  <si>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Bashir El Deek</t>
  </si>
  <si>
    <t>s485</t>
  </si>
  <si>
    <t>Lee Su-geun: The Sense Coach</t>
  </si>
  <si>
    <t>Kim Joo-hyung</t>
  </si>
  <si>
    <t>Lee Su-geun</t>
  </si>
  <si>
    <t>46 min</t>
  </si>
  <si>
    <t>Lee Su-geun's rise to Korean comedy stardom went hand in hand with his mastery over picking up social cues. Now, he's ready to share his know-hows.</t>
  </si>
  <si>
    <t>Bassam Kurdali</t>
  </si>
  <si>
    <t>s486</t>
  </si>
  <si>
    <t>Lethal Love</t>
  </si>
  <si>
    <t>David Pinard, Joelle Farrow, Torri Higginson, Tommie-Amber Pirie</t>
  </si>
  <si>
    <t>After a business owner starts receiving online threats, doubts and paranoia creep in when she reconnects with a former flame and meets a new client.</t>
  </si>
  <si>
    <t>Bassam Tariq</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</si>
  <si>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</si>
  <si>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</si>
  <si>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</si>
  <si>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</si>
  <si>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</si>
  <si>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</si>
  <si>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Basu Chatterjee</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</si>
  <si>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</si>
  <si>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</si>
  <si>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</si>
  <si>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</si>
  <si>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Bauddhayan Mukherji</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</si>
  <si>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</si>
  <si>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</si>
  <si>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</si>
  <si>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</si>
  <si>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</si>
  <si>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Baz Luhrmann</t>
  </si>
  <si>
    <t>s490</t>
  </si>
  <si>
    <t>Back to Q82</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</si>
  <si>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</si>
  <si>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</si>
  <si>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</si>
  <si>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</si>
  <si>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Bb Sasore</t>
  </si>
  <si>
    <t>s491</t>
  </si>
  <si>
    <t>Elize Matsunaga: Once Upon a Crime</t>
  </si>
  <si>
    <t>The crime shocked Brazil: Elize Matsunaga shot and dismembered her rich husband. Featuring her first interview, this docuseries dives deep into the case.</t>
  </si>
  <si>
    <t>Bedabrata Pain</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</si>
  <si>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</si>
  <si>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</si>
  <si>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</si>
  <si>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</si>
  <si>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</si>
  <si>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Bedran Güzel</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</si>
  <si>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</si>
  <si>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</si>
  <si>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</si>
  <si>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</si>
  <si>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</si>
  <si>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Beeban Kidron</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</si>
  <si>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</si>
  <si>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</si>
  <si>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</si>
  <si>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</si>
  <si>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</si>
  <si>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Bejoy Nambiar</t>
  </si>
  <si>
    <t>s495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</si>
  <si>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</si>
  <si>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</si>
  <si>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</si>
  <si>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</si>
  <si>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</si>
  <si>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</si>
  <si>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</si>
  <si>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</si>
  <si>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</si>
  <si>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Ben A. Williams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</si>
  <si>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</si>
  <si>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</si>
  <si>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</si>
  <si>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</si>
  <si>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</si>
  <si>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</si>
  <si>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Ben Bowie, Geoff Luck</t>
  </si>
  <si>
    <t>s498</t>
  </si>
  <si>
    <t>Cat People</t>
  </si>
  <si>
    <t>Cat people come in all shapes and sizes, but they share a love for their enchanting, unique feline friends. This docuseries reveals their tales.</t>
  </si>
  <si>
    <t>Ben Brewer, Alex Brewer</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</si>
  <si>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</si>
  <si>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</si>
  <si>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</si>
  <si>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</si>
  <si>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</si>
  <si>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Ben C. Lucas</t>
  </si>
  <si>
    <t>s500</t>
  </si>
  <si>
    <t>Dogs</t>
  </si>
  <si>
    <t>These six intimate stories explore the abiding emotional bonds that form between dogs and their caregivers, no matter the circumstances.</t>
  </si>
  <si>
    <t>Ben Falcone</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</si>
  <si>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</si>
  <si>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</si>
  <si>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</si>
  <si>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</si>
  <si>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</si>
  <si>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Ben Kasulke</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</si>
  <si>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</si>
  <si>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</si>
  <si>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</si>
  <si>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</si>
  <si>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Ben Palmer</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</si>
  <si>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</si>
  <si>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</si>
  <si>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</si>
  <si>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</si>
  <si>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</si>
  <si>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Ben Patterson</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</si>
  <si>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</si>
  <si>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</si>
  <si>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</si>
  <si>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</si>
  <si>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</si>
  <si>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Ben Ryder</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</si>
  <si>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</si>
  <si>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</si>
  <si>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</si>
  <si>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</si>
  <si>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Ben Shelton</t>
  </si>
  <si>
    <t>s506</t>
  </si>
  <si>
    <t>Therapy</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</si>
  <si>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</si>
  <si>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</si>
  <si>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</si>
  <si>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</si>
  <si>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</si>
  <si>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</si>
  <si>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</si>
  <si>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</si>
  <si>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Ben Steele</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</si>
  <si>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</si>
  <si>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</si>
  <si>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</si>
  <si>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</si>
  <si>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</si>
  <si>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Ben Wallis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</si>
  <si>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</si>
  <si>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</si>
  <si>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</si>
  <si>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</si>
  <si>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</si>
  <si>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</si>
  <si>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</si>
  <si>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Ben Wheatley</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</si>
  <si>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</si>
  <si>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</si>
  <si>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</si>
  <si>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</si>
  <si>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Ben Young</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</si>
  <si>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</si>
  <si>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</si>
  <si>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</si>
  <si>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</si>
  <si>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Ben Younger</t>
  </si>
  <si>
    <t>s512</t>
  </si>
  <si>
    <t>Chelsea</t>
  </si>
  <si>
    <t>It's not her first talk show, but it is a first of its kind. Ideas, people and places that fascinate her, all in her unique style.</t>
  </si>
  <si>
    <t>Benedict Andrews</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</si>
  <si>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</si>
  <si>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</si>
  <si>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</si>
  <si>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</si>
  <si>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</si>
  <si>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Benjamin Arfmann</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</si>
  <si>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</si>
  <si>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</si>
  <si>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</si>
  <si>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</si>
  <si>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</si>
  <si>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Benjamin Cohen, Nicolas Cotto</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</si>
  <si>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</si>
  <si>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</si>
  <si>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</si>
  <si>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</si>
  <si>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Benjamin Dickinson</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</si>
  <si>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</si>
  <si>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</si>
  <si>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</si>
  <si>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</si>
  <si>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Benjamin Ree</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</si>
  <si>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</si>
  <si>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</si>
  <si>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</si>
  <si>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</si>
  <si>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Benjamin Ross</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</si>
  <si>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</si>
  <si>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</si>
  <si>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</si>
  <si>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</si>
  <si>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Benjamin Turner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</si>
  <si>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</si>
  <si>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</si>
  <si>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</si>
  <si>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</si>
  <si>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</si>
  <si>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Benjamin Turner, Gabe Turner</t>
  </si>
  <si>
    <t>s520</t>
  </si>
  <si>
    <t>I AM A KILLER</t>
  </si>
  <si>
    <t>Death row inmates convicted of capital murder give a firsthand account of their crimes in this documentary series.</t>
  </si>
  <si>
    <t>Benjamin Weill</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</si>
  <si>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</si>
  <si>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</si>
  <si>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</si>
  <si>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</si>
  <si>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Benny Fine</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</si>
  <si>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</si>
  <si>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</si>
  <si>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</si>
  <si>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</si>
  <si>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Benny Fredman</t>
  </si>
  <si>
    <t>s523</t>
  </si>
  <si>
    <t>Larva</t>
  </si>
  <si>
    <t>Kids' TV, Korean TV Shows, TV Comedies</t>
  </si>
  <si>
    <t>Two curious worms spend their days investigating the otherworldly objects that fall through the grate into their subterranean world.</t>
  </si>
  <si>
    <t>Benny Safdie, Josh Safdie</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</si>
  <si>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</si>
  <si>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</si>
  <si>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</si>
  <si>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</si>
  <si>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</si>
  <si>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Benoît Jacquot</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</si>
  <si>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</si>
  <si>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</si>
  <si>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</si>
  <si>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</si>
  <si>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Benson Lee</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</si>
  <si>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</si>
  <si>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</si>
  <si>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</si>
  <si>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</si>
  <si>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</si>
  <si>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Bent-Jorgen Perlmutt</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</si>
  <si>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</si>
  <si>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</si>
  <si>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</si>
  <si>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</si>
  <si>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Bernard Rose</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</si>
  <si>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</si>
  <si>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</si>
  <si>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</si>
  <si>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</si>
  <si>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</si>
  <si>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Bernardo Arellano</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</si>
  <si>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</si>
  <si>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</si>
  <si>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</si>
  <si>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</si>
  <si>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</si>
  <si>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Bernie Denk</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</si>
  <si>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</si>
  <si>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</si>
  <si>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</si>
  <si>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</si>
  <si>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</si>
  <si>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</si>
  <si>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Bert Marcus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</si>
  <si>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</si>
  <si>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</si>
  <si>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</si>
  <si>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</si>
  <si>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Bert Marcus, Cyrus Saidi</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</si>
  <si>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</si>
  <si>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</si>
  <si>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</si>
  <si>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</si>
  <si>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</si>
  <si>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</si>
  <si>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Beth Sleven, Allan Jacobsen, Kevin Wotton</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</si>
  <si>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</si>
  <si>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</si>
  <si>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</si>
  <si>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</si>
  <si>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</si>
  <si>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Bette Gordon</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</si>
  <si>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</si>
  <si>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</si>
  <si>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</si>
  <si>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</si>
  <si>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</si>
  <si>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Betty Thomas</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</si>
  <si>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</si>
  <si>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</si>
  <si>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</si>
  <si>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</si>
  <si>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</si>
  <si>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Beyoncé Knowles-Carter</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</si>
  <si>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</si>
  <si>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</si>
  <si>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</si>
  <si>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</si>
  <si>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Bhagyaraj</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</si>
  <si>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</si>
  <si>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</si>
  <si>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</si>
  <si>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</si>
  <si>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</si>
  <si>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Bharat Jain</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</si>
  <si>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</si>
  <si>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</si>
  <si>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</si>
  <si>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</si>
  <si>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Bharat Nalluri</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</si>
  <si>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</si>
  <si>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</si>
  <si>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</si>
  <si>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</si>
  <si>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</si>
  <si>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Bhavik Thakore</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</si>
  <si>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</si>
  <si>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</si>
  <si>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</si>
  <si>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</si>
  <si>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</si>
  <si>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</si>
  <si>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Bhavin Wadia</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</si>
  <si>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</si>
  <si>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</si>
  <si>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</si>
  <si>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</si>
  <si>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</si>
  <si>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</si>
  <si>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</si>
  <si>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</si>
  <si>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</si>
  <si>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</si>
  <si>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Bigflo &amp; Oli, Jérémie Levypon</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</si>
  <si>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</si>
  <si>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</si>
  <si>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</si>
  <si>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</si>
  <si>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</si>
  <si>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Bilal Lashari</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</si>
  <si>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</si>
  <si>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</si>
  <si>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</si>
  <si>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</si>
  <si>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</si>
  <si>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</si>
  <si>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</si>
  <si>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</si>
  <si>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</si>
  <si>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Bill D'Elia</t>
  </si>
  <si>
    <t>s546</t>
  </si>
  <si>
    <t>YooHoo to the Rescue</t>
  </si>
  <si>
    <t>Kira Buckland, Ryan Bartley, Bryce Papenbrook, Cassandra Morris, Lucien Dodge, Kyle Hebert</t>
  </si>
  <si>
    <t>In a series of magical missions, quick-witted YooHoo and his can-do crew travel the globe to help animals in need.</t>
  </si>
  <si>
    <t>Bill Guttentag, Michael Ware</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</si>
  <si>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</si>
  <si>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</si>
  <si>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</si>
  <si>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</si>
  <si>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Bill Oliver</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</si>
  <si>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</si>
  <si>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</si>
  <si>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</si>
  <si>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</si>
  <si>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</si>
  <si>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Bille August</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</si>
  <si>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</si>
  <si>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</si>
  <si>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</si>
  <si>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</si>
  <si>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</si>
  <si>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</si>
  <si>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Bille Woodruff</t>
  </si>
  <si>
    <t>s550</t>
  </si>
  <si>
    <t>Big Timber</t>
  </si>
  <si>
    <t>July 2, 2021</t>
  </si>
  <si>
    <t>A no-nonsense logger and his loyal crew battle brutal elements and finicky machines to chop and transport valuable lumber on Vancouver Island.</t>
  </si>
  <si>
    <t>Billy Bob Thornton</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</si>
  <si>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</si>
  <si>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</si>
  <si>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</si>
  <si>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</si>
  <si>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</si>
  <si>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</si>
  <si>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</si>
  <si>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</si>
  <si>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</si>
  <si>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</si>
  <si>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Billy Lyons</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</si>
  <si>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</si>
  <si>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</si>
  <si>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</si>
  <si>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</si>
  <si>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</si>
  <si>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Billy Ray</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</si>
  <si>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</si>
  <si>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</si>
  <si>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</si>
  <si>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</si>
  <si>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Bin Bunluerit</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</si>
  <si>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</si>
  <si>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</si>
  <si>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</si>
  <si>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</si>
  <si>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</si>
  <si>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</si>
  <si>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</si>
  <si>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</si>
  <si>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</si>
  <si>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</si>
  <si>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</si>
  <si>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</si>
  <si>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</si>
  <si>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Binu Ulahhannan</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</si>
  <si>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</si>
  <si>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</si>
  <si>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</si>
  <si>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</si>
  <si>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</si>
  <si>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Biodun Stephen</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</si>
  <si>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</si>
  <si>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</si>
  <si>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</si>
  <si>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</si>
  <si>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</si>
  <si>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Biswajeet Bora</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</si>
  <si>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</si>
  <si>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</si>
  <si>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</si>
  <si>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</si>
  <si>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</si>
  <si>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</si>
  <si>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Biyi Bandele</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</si>
  <si>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</si>
  <si>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</si>
  <si>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</si>
  <si>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</si>
  <si>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Blair Hayes</t>
  </si>
  <si>
    <t>s561</t>
  </si>
  <si>
    <t>Audible</t>
  </si>
  <si>
    <t>Matt Ogens</t>
  </si>
  <si>
    <t>Shaken by a friend's suicide, a Deaf high school football player copes with family and relationships while anticipating his final homecoming game.</t>
  </si>
  <si>
    <t>Blair Simmons</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</si>
  <si>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</si>
  <si>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</si>
  <si>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</si>
  <si>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</si>
  <si>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</si>
  <si>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Blake Harris, Chris Bouchard</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</si>
  <si>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</si>
  <si>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</si>
  <si>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</si>
  <si>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</si>
  <si>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Blayne Weaver</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</si>
  <si>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</si>
  <si>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</si>
  <si>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</si>
  <si>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</si>
  <si>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</si>
  <si>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 Burnham</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</si>
  <si>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</si>
  <si>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</si>
  <si>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</si>
  <si>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</si>
  <si>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</si>
  <si>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Bo Burnham, Christopher Storer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</si>
  <si>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</si>
  <si>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</si>
  <si>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</si>
  <si>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</si>
  <si>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</si>
  <si>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</si>
  <si>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Bo Welch</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</si>
  <si>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</si>
  <si>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</si>
  <si>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</si>
  <si>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</si>
  <si>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</si>
  <si>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Bob Hercules, Rita Coburn Whack</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</si>
  <si>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</si>
  <si>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</si>
  <si>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</si>
  <si>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</si>
  <si>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</si>
  <si>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</si>
  <si>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Bob Nelson</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</si>
  <si>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</si>
  <si>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</si>
  <si>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</si>
  <si>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</si>
  <si>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Bob Odenkirk</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</si>
  <si>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</si>
  <si>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</si>
  <si>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</si>
  <si>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</si>
  <si>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</si>
  <si>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</si>
  <si>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Bob Rose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</si>
  <si>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</si>
  <si>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</si>
  <si>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</si>
  <si>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</si>
  <si>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</si>
  <si>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</si>
  <si>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</si>
  <si>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</si>
  <si>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</si>
  <si>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Bobby Roth</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</si>
  <si>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</si>
  <si>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</si>
  <si>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</si>
  <si>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</si>
  <si>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</si>
  <si>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</si>
  <si>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Bobcat Goldthwait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</si>
  <si>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</si>
  <si>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</si>
  <si>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</si>
  <si>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</si>
  <si>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</si>
  <si>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Bolanle Austen-Peters</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</si>
  <si>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</si>
  <si>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</si>
  <si>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</si>
  <si>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</si>
  <si>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</si>
  <si>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</si>
  <si>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</si>
  <si>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</si>
  <si>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</si>
  <si>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</si>
  <si>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Bonni Cohen, Jon Shenk</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</si>
  <si>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</si>
  <si>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</si>
  <si>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</si>
  <si>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</si>
  <si>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</si>
  <si>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</si>
  <si>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</si>
  <si>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Borja Cobeaga</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</si>
  <si>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</si>
  <si>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</si>
  <si>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</si>
  <si>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</si>
  <si>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</si>
  <si>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</si>
  <si>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</si>
  <si>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</si>
  <si>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</si>
  <si>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</si>
  <si>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</si>
  <si>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Brad Bird</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</si>
  <si>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</si>
  <si>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</si>
  <si>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</si>
  <si>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</si>
  <si>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</si>
  <si>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</si>
  <si>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</si>
  <si>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</si>
  <si>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</si>
  <si>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</si>
  <si>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</si>
  <si>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Brad Peyton</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</si>
  <si>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</si>
  <si>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</si>
  <si>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</si>
  <si>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</si>
  <si>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</si>
  <si>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Brad Silberling</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</si>
  <si>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</si>
  <si>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</si>
  <si>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</si>
  <si>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</si>
  <si>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Braden R. Duemmler</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</si>
  <si>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</si>
  <si>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</si>
  <si>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</si>
  <si>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</si>
  <si>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</si>
  <si>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Bradley Parker</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</si>
  <si>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</si>
  <si>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</si>
  <si>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</si>
  <si>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</si>
  <si>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</si>
  <si>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Bradley Walsh</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</si>
  <si>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</si>
  <si>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</si>
  <si>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</si>
  <si>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</si>
  <si>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</si>
  <si>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Brandon Camp</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</si>
  <si>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</si>
  <si>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</si>
  <si>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</si>
  <si>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</si>
  <si>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</si>
  <si>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Brandon Dickerson</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</si>
  <si>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</si>
  <si>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</si>
  <si>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</si>
  <si>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</si>
  <si>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</si>
  <si>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Brandon Jones</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</si>
  <si>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</si>
  <si>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</si>
  <si>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</si>
  <si>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</si>
  <si>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Brant Sersen</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</si>
  <si>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</si>
  <si>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</si>
  <si>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</si>
  <si>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</si>
  <si>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</si>
  <si>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Brendan Byrne</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</si>
  <si>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</si>
  <si>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</si>
  <si>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</si>
  <si>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</si>
  <si>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Brendan Malloy, Emmett Malloy</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</si>
  <si>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</si>
  <si>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</si>
  <si>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</si>
  <si>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</si>
  <si>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</si>
  <si>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Brendan Toller</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</si>
  <si>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</si>
  <si>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</si>
  <si>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</si>
  <si>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</si>
  <si>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</si>
  <si>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Brendon Marotta</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</si>
  <si>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</si>
  <si>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</si>
  <si>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</si>
  <si>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</si>
  <si>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</si>
  <si>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Brent Bonacorso</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</si>
  <si>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</si>
  <si>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</si>
  <si>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</si>
  <si>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</si>
  <si>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</si>
  <si>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Brent Dawes</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</si>
  <si>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</si>
  <si>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</si>
  <si>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</si>
  <si>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</si>
  <si>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</si>
  <si>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Brent Maddock</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</si>
  <si>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</si>
  <si>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</si>
  <si>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</si>
  <si>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</si>
  <si>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</si>
  <si>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Brett Donowho</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</si>
  <si>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</si>
  <si>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</si>
  <si>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</si>
  <si>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</si>
  <si>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</si>
  <si>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</si>
  <si>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Brett Haley</t>
  </si>
  <si>
    <t>s599</t>
  </si>
  <si>
    <t>The American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</si>
  <si>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</si>
  <si>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</si>
  <si>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Brett Harvey</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</si>
  <si>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</si>
  <si>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</si>
  <si>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</si>
  <si>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</si>
  <si>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</si>
  <si>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Brett Hedlund</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</si>
  <si>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</si>
  <si>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</si>
  <si>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</si>
  <si>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</si>
  <si>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</si>
  <si>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Brett Ratner</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</si>
  <si>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</si>
  <si>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</si>
  <si>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</si>
  <si>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</si>
  <si>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</si>
  <si>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</si>
  <si>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</si>
  <si>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</si>
  <si>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</si>
  <si>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</si>
  <si>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</si>
  <si>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Brett Whitcomb</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</si>
  <si>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</si>
  <si>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</si>
  <si>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</si>
  <si>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</si>
  <si>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Brian A. Miller</t>
  </si>
  <si>
    <t>s605</t>
  </si>
  <si>
    <t>The Life of David Gale</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</si>
  <si>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</si>
  <si>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</si>
  <si>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</si>
  <si>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</si>
  <si>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</si>
  <si>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</si>
  <si>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</si>
  <si>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</si>
  <si>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Brian Baugh</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</si>
  <si>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</si>
  <si>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</si>
  <si>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</si>
  <si>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</si>
  <si>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</si>
  <si>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</si>
  <si>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Brian De Palma</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</si>
  <si>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</si>
  <si>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</si>
  <si>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</si>
  <si>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</si>
  <si>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</si>
  <si>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</si>
  <si>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Brian Helgeland</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</si>
  <si>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</si>
  <si>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</si>
  <si>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</si>
  <si>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</si>
  <si>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</si>
  <si>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</si>
  <si>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Brian Henson</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</si>
  <si>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</si>
  <si>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</si>
  <si>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</si>
  <si>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</si>
  <si>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</si>
  <si>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</si>
  <si>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</si>
  <si>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Brian Klein</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</si>
  <si>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</si>
  <si>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</si>
  <si>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</si>
  <si>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</si>
  <si>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</si>
  <si>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</si>
  <si>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Brian Knappenberger</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</si>
  <si>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</si>
  <si>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</si>
  <si>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</si>
  <si>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</si>
  <si>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</si>
  <si>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</si>
  <si>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</si>
  <si>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</si>
  <si>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</si>
  <si>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</si>
  <si>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</si>
  <si>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Brian M. Conley, Nathan Ives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</si>
  <si>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</si>
  <si>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</si>
  <si>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</si>
  <si>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</si>
  <si>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</si>
  <si>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Brian O'Malley</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</si>
  <si>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</si>
  <si>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</si>
  <si>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</si>
  <si>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</si>
  <si>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</si>
  <si>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</si>
  <si>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Brian Oakes</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</si>
  <si>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</si>
  <si>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</si>
  <si>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</si>
  <si>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</si>
  <si>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</si>
  <si>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</si>
  <si>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Brian Robbins</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</si>
  <si>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</si>
  <si>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</si>
  <si>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</si>
  <si>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</si>
  <si>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</si>
  <si>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Brian Skiba</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</si>
  <si>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</si>
  <si>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</si>
  <si>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</si>
  <si>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</si>
  <si>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</si>
  <si>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Brian Smith</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</si>
  <si>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</si>
  <si>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</si>
  <si>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</si>
  <si>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</si>
  <si>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</si>
  <si>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</si>
  <si>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Brian Smrz</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</si>
  <si>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</si>
  <si>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</si>
  <si>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</si>
  <si>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</si>
  <si>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</si>
  <si>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Brian Volk-Weiss</t>
  </si>
  <si>
    <t>s621</t>
  </si>
  <si>
    <t>Droppin' Cash: Los Angeles</t>
  </si>
  <si>
    <t>This Complex series follows the paper trail of musicians and athletes in Los Angeles as they blow through stacks on the finer things in life.</t>
  </si>
  <si>
    <t>Brian Webber</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</si>
  <si>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</si>
  <si>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</si>
  <si>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</si>
  <si>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</si>
  <si>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</si>
  <si>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</si>
  <si>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Brie Larson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</si>
  <si>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</si>
  <si>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</si>
  <si>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</si>
  <si>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</si>
  <si>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</si>
  <si>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Brit Mcadams</t>
  </si>
  <si>
    <t>s624</t>
  </si>
  <si>
    <t>Mommy Issues</t>
  </si>
  <si>
    <t>Jose Javier Reyes</t>
  </si>
  <si>
    <t>Pokwang, Sue Ramirez, Jerome Ponce, Ryan Bang, Gloria Diaz</t>
  </si>
  <si>
    <t>Close quarters and new romances add trouble to the rocky relationship between a high-strung young woman and her demanding mother.</t>
  </si>
  <si>
    <t>Brittany Andrews</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</si>
  <si>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</si>
  <si>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</si>
  <si>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</si>
  <si>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</si>
  <si>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</si>
  <si>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Brodje Wemboendja</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</si>
  <si>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</si>
  <si>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</si>
  <si>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</si>
  <si>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</si>
  <si>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Brody Chu</t>
  </si>
  <si>
    <t>s627</t>
  </si>
  <si>
    <t>Sophie: A Murder in West Cork</t>
  </si>
  <si>
    <t>John Dower</t>
  </si>
  <si>
    <t>A shocking murder in rural Ireland sets off an increasingly convoluted quest for justice that spans decades and cuts across national borders.</t>
  </si>
  <si>
    <t>Bronwen Hughes</t>
  </si>
  <si>
    <t>s628</t>
  </si>
  <si>
    <t>The Daily Life of the Immortal King</t>
  </si>
  <si>
    <t>Sun Lulu, Qian Chen, Gu Jiangshan</t>
  </si>
  <si>
    <t>China</t>
  </si>
  <si>
    <t>Having vanquished a powerful demon at age six, precocious wizard Wang Ling must now navigate high school life as an ordinary teen.</t>
  </si>
  <si>
    <t>Bruce Beresford</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</si>
  <si>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</si>
  <si>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</si>
  <si>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</si>
  <si>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</si>
  <si>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</si>
  <si>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Bruce Gowers</t>
  </si>
  <si>
    <t>s630</t>
  </si>
  <si>
    <t>A Way Back Home</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</si>
  <si>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</si>
  <si>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</si>
  <si>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</si>
  <si>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Bruce Leddy</t>
  </si>
  <si>
    <t>s631</t>
  </si>
  <si>
    <t>Killing Them Softly</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</si>
  <si>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</si>
  <si>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</si>
  <si>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Bruce Macdonald, Gabriel Sabloff</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</si>
  <si>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</si>
  <si>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</si>
  <si>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</si>
  <si>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</si>
  <si>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Bruce Mcculloch</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</si>
  <si>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</si>
  <si>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</si>
  <si>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</si>
  <si>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</si>
  <si>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</si>
  <si>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Bruce Mcdonald</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</si>
  <si>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</si>
  <si>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</si>
  <si>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</si>
  <si>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</si>
  <si>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</si>
  <si>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</si>
  <si>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Bruce Robinson</t>
  </si>
  <si>
    <t>s635</t>
  </si>
  <si>
    <t>Wonder Boy</t>
  </si>
  <si>
    <t>Olivier Rousteing</t>
  </si>
  <si>
    <t>This revealing documentary follows Balmain creative director Olivier Rousteing as he brings his bold designs to life and goes in search of his origins.</t>
  </si>
  <si>
    <t>Bruce W. Smith</t>
  </si>
  <si>
    <t>s636</t>
  </si>
  <si>
    <t>Here Comes the Rain</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</si>
  <si>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</si>
  <si>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</si>
  <si>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</si>
  <si>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</si>
  <si>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</si>
  <si>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</si>
  <si>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</si>
  <si>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</si>
  <si>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</si>
  <si>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</si>
  <si>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</si>
  <si>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</si>
  <si>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</si>
  <si>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</si>
  <si>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Bryan Buckley</t>
  </si>
  <si>
    <t>s639</t>
  </si>
  <si>
    <t>Sex/Life</t>
  </si>
  <si>
    <t>Sarah Shahi, Mike Vogel, Adam Demos, Margaret Odette</t>
  </si>
  <si>
    <t>A woman's daring sexual past collides with her married-with-kids present when the bad-boy ex she can't stop fantasizing about crashes back into her life.</t>
  </si>
  <si>
    <t>Bryan Fogel</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</si>
  <si>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</si>
  <si>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</si>
  <si>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</si>
  <si>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</si>
  <si>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</si>
  <si>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Bryan Singer</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</si>
  <si>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</si>
  <si>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</si>
  <si>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</si>
  <si>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</si>
  <si>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Bryce Wagoner</t>
  </si>
  <si>
    <t>s642</t>
  </si>
  <si>
    <t>Sisters on Track</t>
  </si>
  <si>
    <t>Three track star sisters face obstacles in life and in competition as they pursue Junior Olympic dreams in this extraordinary coming of age journey.</t>
  </si>
  <si>
    <t>Bryn Evans</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</si>
  <si>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</si>
  <si>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</si>
  <si>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</si>
  <si>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</si>
  <si>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Buchi Babu Sana</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</si>
  <si>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</si>
  <si>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</si>
  <si>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</si>
  <si>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</si>
  <si>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</si>
  <si>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Buddhadev Dasgupta</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</si>
  <si>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</si>
  <si>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</si>
  <si>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</si>
  <si>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</si>
  <si>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</si>
  <si>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</si>
  <si>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Bumpy</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</si>
  <si>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</si>
  <si>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</si>
  <si>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</si>
  <si>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</si>
  <si>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</si>
  <si>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</si>
  <si>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</si>
  <si>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</si>
  <si>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</si>
  <si>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Burak Aksak</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</si>
  <si>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</si>
  <si>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</si>
  <si>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</si>
  <si>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</si>
  <si>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Burhan Qurbani</t>
  </si>
  <si>
    <t>s649</t>
  </si>
  <si>
    <t>Too Hot to Handle</t>
  </si>
  <si>
    <t>Desiree Burch</t>
  </si>
  <si>
    <t>Reality TV, Romantic TV Shows</t>
  </si>
  <si>
    <t>On the shores of paradise, gorgeous singles meet and mingle. But there’s a twist. To win a $100,000 grand prize, they’ll have to give up sex.</t>
  </si>
  <si>
    <t>Burr Steers</t>
  </si>
  <si>
    <t>s650</t>
  </si>
  <si>
    <t>Broken</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</si>
  <si>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</si>
  <si>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</si>
  <si>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</si>
  <si>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Buta Singh</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</si>
  <si>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</si>
  <si>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</si>
  <si>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</si>
  <si>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</si>
  <si>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</si>
  <si>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Buz Wallick</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</si>
  <si>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</si>
  <si>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</si>
  <si>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</si>
  <si>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</si>
  <si>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</si>
  <si>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Buzz Kulik</t>
  </si>
  <si>
    <t>s653</t>
  </si>
  <si>
    <t>Osuofia in London II</t>
  </si>
  <si>
    <t>After collecting his brother's inheritance, Osoufia returns to his Nigerian village with wealth and a British wife whose presence soon causes trouble.</t>
  </si>
  <si>
    <t>Byeon Hee-Sun</t>
  </si>
  <si>
    <t>s654</t>
  </si>
  <si>
    <t>This Is Pop</t>
  </si>
  <si>
    <t>Uncover the real stories behind your favorite pop songs as this docuseries charts the impact of the festival scene, Auto-Tune, boy bands and more.</t>
  </si>
  <si>
    <t>Byron Howard, Chris Williams</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</si>
  <si>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</si>
  <si>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</si>
  <si>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</si>
  <si>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</si>
  <si>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</si>
  <si>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</si>
  <si>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</si>
  <si>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Byun Hyuk</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</si>
  <si>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</si>
  <si>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</si>
  <si>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</si>
  <si>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</si>
  <si>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C. Fitz</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</si>
  <si>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</si>
  <si>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</si>
  <si>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</si>
  <si>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</si>
  <si>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</si>
  <si>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C.J. Wallis</t>
  </si>
  <si>
    <t>s658</t>
  </si>
  <si>
    <t>The Mole</t>
  </si>
  <si>
    <t>Anderson Cooper</t>
  </si>
  <si>
    <t>Reality TV, TV Action &amp; Adventure, TV Mysteries</t>
  </si>
  <si>
    <t>In this competition show, contestants try to earn $1 million for a pot that only one of them will win — while one player secretly sabotages them.</t>
  </si>
  <si>
    <t>Çagan Irmak</t>
  </si>
  <si>
    <t>s659</t>
  </si>
  <si>
    <t>Nevertheless,</t>
  </si>
  <si>
    <t>Song Kang, Han So-hee, Chae Jong-hyeop, Lee Yul-eum, Yang Hye-ji</t>
  </si>
  <si>
    <t>June 20, 2021</t>
  </si>
  <si>
    <t>The intoxicating charm of a flirtatious art school classmate pulls a reluctant love cynic into a friends-with-benefits relationship.</t>
  </si>
  <si>
    <t>Cai Cong</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</si>
  <si>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</si>
  <si>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</si>
  <si>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</si>
  <si>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</si>
  <si>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</si>
  <si>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Caio Cobra</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</si>
  <si>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</si>
  <si>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</si>
  <si>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</si>
  <si>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</si>
  <si>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 Brunker</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</si>
  <si>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</si>
  <si>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</si>
  <si>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</si>
  <si>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</si>
  <si>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Cal Saville</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</si>
  <si>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</si>
  <si>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</si>
  <si>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</si>
  <si>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</si>
  <si>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Cal Seville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</si>
  <si>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</si>
  <si>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</si>
  <si>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</si>
  <si>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</si>
  <si>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Callie Khouri, Jesse V. Johnson</t>
  </si>
  <si>
    <t>s665</t>
  </si>
  <si>
    <t>Cleo &amp; Cuquin</t>
  </si>
  <si>
    <t>Fernando Moro</t>
  </si>
  <si>
    <t>Spirited sister-brother duo Cleo and Cuquín try on different professions each day to help their other siblings solve problems and enjoy new adventures.</t>
  </si>
  <si>
    <t>Camilla Nielsson</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</si>
  <si>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</si>
  <si>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</si>
  <si>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</si>
  <si>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</si>
  <si>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</si>
  <si>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</si>
  <si>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</si>
  <si>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</si>
  <si>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</si>
  <si>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</si>
  <si>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Camille Shooshani</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</si>
  <si>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</si>
  <si>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</si>
  <si>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</si>
  <si>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</si>
  <si>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Can Ulkay</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</si>
  <si>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</si>
  <si>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</si>
  <si>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</si>
  <si>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</si>
  <si>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</si>
  <si>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Caradog W. James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</si>
  <si>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</si>
  <si>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</si>
  <si>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</si>
  <si>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</si>
  <si>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Carey Mckenzie</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</si>
  <si>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</si>
  <si>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</si>
  <si>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</si>
  <si>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</si>
  <si>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</si>
  <si>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Carla Barros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</si>
  <si>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</si>
  <si>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</si>
  <si>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</si>
  <si>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</si>
  <si>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Carles Torras</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</si>
  <si>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</si>
  <si>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</si>
  <si>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</si>
  <si>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</si>
  <si>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</si>
  <si>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Carlo Padial</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</si>
  <si>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</si>
  <si>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</si>
  <si>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</si>
  <si>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</si>
  <si>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</si>
  <si>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Carlos Algara, Alejandro Martinez-Beltran</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</si>
  <si>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</si>
  <si>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</si>
  <si>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</si>
  <si>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</si>
  <si>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Carlos Bolado</t>
  </si>
  <si>
    <t>s676</t>
  </si>
  <si>
    <t>REA(L)OVE</t>
  </si>
  <si>
    <t>Atsushi Tamura, Mari Yaguchi</t>
  </si>
  <si>
    <t>A group of men and women, each burdened with a dark secret, look for love in this dating show with a twist. Hosted by reformed playboy Atsushi Tamura.</t>
  </si>
  <si>
    <t>Carlos Marques-Marcet</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</si>
  <si>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</si>
  <si>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</si>
  <si>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</si>
  <si>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</si>
  <si>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</si>
  <si>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Carlos Moreno</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</si>
  <si>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</si>
  <si>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</si>
  <si>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</si>
  <si>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</si>
  <si>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Carlos Morett</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</si>
  <si>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</si>
  <si>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</si>
  <si>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</si>
  <si>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</si>
  <si>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</si>
  <si>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Carlos Pérez Osorio</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</si>
  <si>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</si>
  <si>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</si>
  <si>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</si>
  <si>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</si>
  <si>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Carlos Sedes</t>
  </si>
  <si>
    <t>s681</t>
  </si>
  <si>
    <t>The Last Dance</t>
  </si>
  <si>
    <t>Michael Jordan, Scottie Pippen, Dennis Rodman</t>
  </si>
  <si>
    <t>This docuseries gives a definitive account of Michael Jordan’s career and the 1990s Chicago Bulls, packed with unaired footage from the 1997-98 season.</t>
  </si>
  <si>
    <t>Carlos Sorín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</si>
  <si>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</si>
  <si>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</si>
  <si>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</si>
  <si>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</si>
  <si>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</si>
  <si>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</si>
  <si>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Carlos Therón</t>
  </si>
  <si>
    <t>s683</t>
  </si>
  <si>
    <t>Why Are You Like This</t>
  </si>
  <si>
    <t>Naomi Higgins, Olivia Junkeer, Wil King</t>
  </si>
  <si>
    <t>Three best friends negotiate work, fun, identity politics, hookups and wild nights out in this razor-sharp satire of 20-something life in Melbourne.</t>
  </si>
  <si>
    <t>Carlos Vermut</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</si>
  <si>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</si>
  <si>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</si>
  <si>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</si>
  <si>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</si>
  <si>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</si>
  <si>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</si>
  <si>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Carly Stone</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</si>
  <si>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</si>
  <si>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</si>
  <si>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</si>
  <si>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</si>
  <si>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Caroline Suh</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</si>
  <si>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</si>
  <si>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</si>
  <si>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</si>
  <si>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</si>
  <si>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</si>
  <si>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Cary Joji Fukunaga</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</si>
  <si>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</si>
  <si>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</si>
  <si>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</si>
  <si>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</si>
  <si>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</si>
  <si>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Cary Murnion, Jonathan Milott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</si>
  <si>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</si>
  <si>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</si>
  <si>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</si>
  <si>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</si>
  <si>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</si>
  <si>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</si>
  <si>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Caryn Waechter</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</si>
  <si>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</si>
  <si>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</si>
  <si>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</si>
  <si>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</si>
  <si>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Cassi Simonds</t>
  </si>
  <si>
    <t>s690</t>
  </si>
  <si>
    <t>Mobile Suit Gundam I</t>
  </si>
  <si>
    <t>Action &amp; Adventure, Anime Features, Classic Movies</t>
  </si>
  <si>
    <t>The Earth Federation's last hope in its fight against the Principality of Zeon is the prototype mobile suit Gundam, piloted by civilian Amur Ray.</t>
  </si>
  <si>
    <t>Cassia Dian</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</si>
  <si>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</si>
  <si>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</si>
  <si>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</si>
  <si>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</si>
  <si>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</si>
  <si>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Castille Landon</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</si>
  <si>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</si>
  <si>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</si>
  <si>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</si>
  <si>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</si>
  <si>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Cate Shortland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</si>
  <si>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</si>
  <si>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</si>
  <si>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</si>
  <si>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</si>
  <si>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</si>
  <si>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</si>
  <si>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</si>
  <si>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</si>
  <si>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</si>
  <si>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</si>
  <si>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Cathy Garcia-Molina</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</si>
  <si>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</si>
  <si>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</si>
  <si>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</si>
  <si>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</si>
  <si>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</si>
  <si>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</si>
  <si>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</si>
  <si>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</si>
  <si>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</si>
  <si>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</si>
  <si>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</si>
  <si>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Cecilia Atán, Valeria Pivato</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</si>
  <si>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</si>
  <si>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</si>
  <si>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</si>
  <si>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</si>
  <si>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</si>
  <si>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Cecilia Peck</t>
  </si>
  <si>
    <t>s698</t>
  </si>
  <si>
    <t>Elite Short Stories: Carla Samuel</t>
  </si>
  <si>
    <t>Ester Expósito, Itzan Escamilla</t>
  </si>
  <si>
    <t>Samuel attempts a big, romantic gesture at the airport in order to persuade Carla not to board her flight to London.</t>
  </si>
  <si>
    <t>Cecilia Verheyden</t>
  </si>
  <si>
    <t>s699</t>
  </si>
  <si>
    <t>Fan Girl</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</si>
  <si>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</si>
  <si>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</si>
  <si>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</si>
  <si>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</si>
  <si>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</si>
  <si>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</si>
  <si>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</si>
  <si>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</si>
  <si>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</si>
  <si>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</si>
  <si>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</si>
  <si>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</si>
  <si>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Célia Catunda, Kiko Mistrorigo, Rodrigo Eba</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</si>
  <si>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</si>
  <si>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</si>
  <si>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</si>
  <si>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</si>
  <si>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</si>
  <si>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Cem Yılmaz</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</si>
  <si>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</si>
  <si>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</si>
  <si>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</si>
  <si>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</si>
  <si>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</si>
  <si>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César Rodrigues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</si>
  <si>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</si>
  <si>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</si>
  <si>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</si>
  <si>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</si>
  <si>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Chad Archibald</t>
  </si>
  <si>
    <t>s705</t>
  </si>
  <si>
    <t>A Man For The Week End</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</si>
  <si>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</si>
  <si>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</si>
  <si>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</si>
  <si>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Chad Hartigan</t>
  </si>
  <si>
    <t>s706</t>
  </si>
  <si>
    <t>Biking Borders</t>
  </si>
  <si>
    <t>Max Jabs</t>
  </si>
  <si>
    <t>Max Jabs, Nono Konopka</t>
  </si>
  <si>
    <t>Best friends Max and Nono bike from Berlin to Beijing, collecting donations to build a school for a unique fundraising adventure in this documentary.</t>
  </si>
  <si>
    <t>Chad L. Scheifele</t>
  </si>
  <si>
    <t>s707</t>
  </si>
  <si>
    <t>Elite Short Stories: Omar Ander Alexis</t>
  </si>
  <si>
    <t>Arón Piper, Omar Ayuso, Claudia Salas, Jorge Clemente, Laura Calero, Jon Rod</t>
  </si>
  <si>
    <t>Now in remission, Ander is set on spending his summer helping Alexis, his chemo partner, go through treatment.</t>
  </si>
  <si>
    <t>Chad Van De Keere</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</si>
  <si>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</si>
  <si>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</si>
  <si>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</si>
  <si>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</si>
  <si>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</si>
  <si>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Chairun Nissa</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</si>
  <si>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</si>
  <si>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</si>
  <si>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</si>
  <si>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</si>
  <si>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</si>
  <si>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Chaitanya Tamhane</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</si>
  <si>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</si>
  <si>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</si>
  <si>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</si>
  <si>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</si>
  <si>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Chakri Toleti</t>
  </si>
  <si>
    <t>s711</t>
  </si>
  <si>
    <t>Penguin Town</t>
  </si>
  <si>
    <t>In a picturesque South African town, an eclectic group of endangered penguins flock together to find mates, raise families and mix with the locals.</t>
  </si>
  <si>
    <t>Chan-Sang Lim</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</si>
  <si>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</si>
  <si>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</si>
  <si>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</si>
  <si>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</si>
  <si>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</si>
  <si>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Chanda Bell</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</si>
  <si>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</si>
  <si>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</si>
  <si>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</si>
  <si>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</si>
  <si>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</si>
  <si>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Chandan Arora</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</si>
  <si>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</si>
  <si>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</si>
  <si>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</si>
  <si>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</si>
  <si>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</si>
  <si>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Chandra Liow</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</si>
  <si>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</si>
  <si>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</si>
  <si>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</si>
  <si>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</si>
  <si>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</si>
  <si>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Chandra Prakash Dwivedi</t>
  </si>
  <si>
    <t>s716</t>
  </si>
  <si>
    <t>Elite Short Stories: Nadia Guzmán</t>
  </si>
  <si>
    <t>Mina El Hammani, Miguel Bernardeau, Omar Ayuso</t>
  </si>
  <si>
    <t>Nadia feels conflicted about whether or not to see her long distance boyfriend, Guzmán, when she returns to Spain for her sister's wedding.</t>
  </si>
  <si>
    <t>Chandrakant Kanse</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</si>
  <si>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</si>
  <si>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</si>
  <si>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</si>
  <si>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</si>
  <si>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</si>
  <si>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Chandrakant Kulkarni</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</si>
  <si>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</si>
  <si>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</si>
  <si>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</si>
  <si>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</si>
  <si>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</si>
  <si>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Chandran Narikode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</si>
  <si>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</si>
  <si>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</si>
  <si>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</si>
  <si>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</si>
  <si>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</si>
  <si>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Chang Chin-Jung, Chen Rong-Hui</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</si>
  <si>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</si>
  <si>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</si>
  <si>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</si>
  <si>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</si>
  <si>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Chang-Min Lee</t>
  </si>
  <si>
    <t>s721</t>
  </si>
  <si>
    <t>Rhyme Time Town</t>
  </si>
  <si>
    <t>Luke Amis, Annabelle Westenholz-Smith, Maddie Evans, Jude Muir</t>
  </si>
  <si>
    <t>Fun-loving friends Daisy and Cole use music and imagination to solve problems in a town filled with nursery rhyme characters.</t>
  </si>
  <si>
    <t>Chanon Yingyong, Phuwanit Pholdee</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</si>
  <si>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</si>
  <si>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</si>
  <si>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</si>
  <si>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</si>
  <si>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</si>
  <si>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</si>
  <si>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</si>
  <si>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</si>
  <si>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</si>
  <si>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</si>
  <si>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Charles A. Nichols, Iwao Takamoto</t>
  </si>
  <si>
    <t>s724</t>
  </si>
  <si>
    <t>The American Bible Challenge</t>
  </si>
  <si>
    <t>Michael Simon</t>
  </si>
  <si>
    <t>Jeff Foxworthy</t>
  </si>
  <si>
    <t>Join host Jeff Foxworthy as contestants test their knowledge of all things biblical, competing to win money for the charities of their choice.</t>
  </si>
  <si>
    <t>Charles Gozali, Bagus Bramanti</t>
  </si>
  <si>
    <t>s725</t>
  </si>
  <si>
    <t>The Reason I Jump</t>
  </si>
  <si>
    <t>Jerry Rothwell</t>
  </si>
  <si>
    <t>The diverse experiences and emotions of five young people with autism fuel this illuminating documentary based on Naoki Higashida's bestselling memoir.</t>
  </si>
  <si>
    <t>Charles Martin</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</si>
  <si>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</si>
  <si>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</si>
  <si>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</si>
  <si>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</si>
  <si>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</si>
  <si>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Charles Martin Smith</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</si>
  <si>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</si>
  <si>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</si>
  <si>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</si>
  <si>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</si>
  <si>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</si>
  <si>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</si>
  <si>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Charles Officer</t>
  </si>
  <si>
    <t>s728</t>
  </si>
  <si>
    <t>Picture a Scientist</t>
  </si>
  <si>
    <t>Ian Cheney, Sharon Shattuck</t>
  </si>
  <si>
    <t>In this documentary, leading women scientists discuss the inequalities they've faced as they set out to create a new formula to make STEM open to all.</t>
  </si>
  <si>
    <t>Charles Stone Iii</t>
  </si>
  <si>
    <t>s729</t>
  </si>
  <si>
    <t>The Devil Below</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</si>
  <si>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</si>
  <si>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</si>
  <si>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</si>
  <si>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</si>
  <si>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</si>
  <si>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</si>
  <si>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</si>
  <si>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Charlie Haskell, Koichi Sakamoto</t>
  </si>
  <si>
    <t>s731</t>
  </si>
  <si>
    <t>Cobra Kai - The Afterparty</t>
  </si>
  <si>
    <t>34 min</t>
  </si>
  <si>
    <t>Ralph Macchio, William Zabka and more from the "Cobra Kai" cast drop by to chat Season 3 (spoilers ahead!), followed by Bill Burr of "F Is for Family."</t>
  </si>
  <si>
    <t>Charlie Kaufman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</si>
  <si>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</si>
  <si>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</si>
  <si>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</si>
  <si>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</si>
  <si>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Charlie Lightening</t>
  </si>
  <si>
    <t>s733</t>
  </si>
  <si>
    <t>To All the Boys: Always and Forever - The Afterparty</t>
  </si>
  <si>
    <t>Cast members of the "To All the Boys" films dish about the third movie and answer some fan questions, plus Whitney Cummings gives suspect dating advice.</t>
  </si>
  <si>
    <t>Charlie Mcdowell</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</si>
  <si>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</si>
  <si>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</si>
  <si>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</si>
  <si>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</si>
  <si>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</si>
  <si>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</si>
  <si>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Charlie Siskel</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</si>
  <si>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</si>
  <si>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</si>
  <si>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</si>
  <si>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</si>
  <si>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Charlie Vaughn</t>
  </si>
  <si>
    <t>s736</t>
  </si>
  <si>
    <t>Sarbath</t>
  </si>
  <si>
    <t>Prabhakaran</t>
  </si>
  <si>
    <t>Kathir, Soori, Rahasya Gorak, Ashvatt</t>
  </si>
  <si>
    <t>When a city man returns to his native village for his brother’s wedding, several unforeseen snags make his visit more eventful than anticipated.</t>
  </si>
  <si>
    <t>Charlotte Zwerin</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</si>
  <si>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</si>
  <si>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</si>
  <si>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</si>
  <si>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</si>
  <si>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</si>
  <si>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</si>
  <si>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Charneice Fox</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</si>
  <si>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</si>
  <si>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</si>
  <si>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</si>
  <si>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</si>
  <si>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</si>
  <si>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</si>
  <si>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</si>
  <si>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Chatchai Katenut, Manussa Vorasingha, Tanwarin Sukkhapisit, Poj Arnon</t>
  </si>
  <si>
    <t>s739</t>
  </si>
  <si>
    <t>Trese After Dark</t>
  </si>
  <si>
    <t>Anime Features, Documentaries</t>
  </si>
  <si>
    <t>Stars and creators gather to discuss “Trese,” from its Filipino folklore inspirations to the comic’s beginnings and its journey to an anime series.</t>
  </si>
  <si>
    <t>Chayanop Boonprakob</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</si>
  <si>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</si>
  <si>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</si>
  <si>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</si>
  <si>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</si>
  <si>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</si>
  <si>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</si>
  <si>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Che Sandoval</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</si>
  <si>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</si>
  <si>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</si>
  <si>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</si>
  <si>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</si>
  <si>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</si>
  <si>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</si>
  <si>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</si>
  <si>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Cheang Pou Soi</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</si>
  <si>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</si>
  <si>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</si>
  <si>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</si>
  <si>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</si>
  <si>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</si>
  <si>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</si>
  <si>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Cheh Chang</t>
  </si>
  <si>
    <t>s743</t>
  </si>
  <si>
    <t>Camellia Sisters</t>
  </si>
  <si>
    <t>Le Khanh, Kaity Nguyen, Hong Van, Khuong Le, Hoang Dung, Anh Dung, Si Nguyen, Huyng Kien An</t>
  </si>
  <si>
    <t>Tensions rise and untold secrets surface for three royal sisters when a family treasure is stolen the night before an antique auction.</t>
  </si>
  <si>
    <t>Cheng Wei-Hao</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</si>
  <si>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</si>
  <si>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</si>
  <si>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</si>
  <si>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</si>
  <si>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</si>
  <si>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</si>
  <si>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Chester Tam</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</si>
  <si>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</si>
  <si>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</si>
  <si>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</si>
  <si>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</si>
  <si>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</si>
  <si>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Cheta Chukwu</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</si>
  <si>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</si>
  <si>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</si>
  <si>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</si>
  <si>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</si>
  <si>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</si>
  <si>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</si>
  <si>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</si>
  <si>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Chi Fat Chan</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</si>
  <si>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</si>
  <si>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</si>
  <si>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</si>
  <si>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</si>
  <si>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</si>
  <si>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Chi Keung Fung</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</si>
  <si>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</si>
  <si>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</si>
  <si>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</si>
  <si>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</si>
  <si>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Chia Tang</t>
  </si>
  <si>
    <t>s749</t>
  </si>
  <si>
    <t>Fresh, Fried &amp; Crispy</t>
  </si>
  <si>
    <t>Passionate about food and ready for fun, critic Daym Drops drops in on America's smokin' hot spots for the best, freshest takes on fried food.</t>
  </si>
  <si>
    <t>Chia-Liang Liu</t>
  </si>
  <si>
    <t>s750</t>
  </si>
  <si>
    <t>L.A.’s Finest</t>
  </si>
  <si>
    <t>Jessica Alba, Gabrielle Union</t>
  </si>
  <si>
    <t>In this spinoff of the "Bad Boys" franchise, two police detectives team up while trying to keep their stormy pasts — and differences — from interfering.</t>
  </si>
  <si>
    <t>Chiaki Kon</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</si>
  <si>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</si>
  <si>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</si>
  <si>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</si>
  <si>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</si>
  <si>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</si>
  <si>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</si>
  <si>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Chinaza Onuzo</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</si>
  <si>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</si>
  <si>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</si>
  <si>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</si>
  <si>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</si>
  <si>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</si>
  <si>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</si>
  <si>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</si>
  <si>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</si>
  <si>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</si>
  <si>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</si>
  <si>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Chito S. Roño</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</si>
  <si>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</si>
  <si>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</si>
  <si>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</si>
  <si>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</si>
  <si>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</si>
  <si>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Chiwetel Ejiofor</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</si>
  <si>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</si>
  <si>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</si>
  <si>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</si>
  <si>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</si>
  <si>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</si>
  <si>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</si>
  <si>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Cho Il</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</si>
  <si>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</si>
  <si>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</si>
  <si>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</si>
  <si>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</si>
  <si>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</si>
  <si>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</si>
  <si>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Cho Li, Chen Hung-Yi, Weica Wang, Liu Bang-Yao, Lin Guan-Fu, Shen Chi, Yc Tom Lee</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</si>
  <si>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</si>
  <si>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</si>
  <si>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</si>
  <si>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</si>
  <si>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</si>
  <si>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Choi Jin-Seong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</si>
  <si>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</si>
  <si>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</si>
  <si>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</si>
  <si>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</si>
  <si>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</si>
  <si>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</si>
  <si>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</si>
  <si>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</si>
  <si>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</si>
  <si>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</si>
  <si>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</si>
  <si>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</si>
  <si>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</si>
  <si>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</si>
  <si>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</si>
  <si>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</si>
  <si>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Chris Baugh</t>
  </si>
  <si>
    <t>s761</t>
  </si>
  <si>
    <t>Fireplace 4K: Crackling Birchwood from Fireplace for Your Home</t>
  </si>
  <si>
    <t>For the first time in 4K Ultra-HD, everyone's favorite Yuletide fireplace snaps and crackles in crystal clear, high-def holiday warmth.</t>
  </si>
  <si>
    <t>Chris Bell</t>
  </si>
  <si>
    <t>s762</t>
  </si>
  <si>
    <t>Human: The World Within</t>
  </si>
  <si>
    <t>Cutting-edge science and captivating personal stories collide in this illuminating docuseries about the incredible workings of the human body.</t>
  </si>
  <si>
    <t>Chris Bell, Josh Alexander, Greg Young</t>
  </si>
  <si>
    <t>s763</t>
  </si>
  <si>
    <t>Sweet &amp; Sour</t>
  </si>
  <si>
    <t>Lee Kae-byeok</t>
  </si>
  <si>
    <t>Jang Ki-yong, Chae Soo-bin, Jung Soo-jung</t>
  </si>
  <si>
    <t>Faced with real-world opportunities and challenges, a couple endures the highs and lows of trying to make a long-distance relationship survive.</t>
  </si>
  <si>
    <t>Chris Blake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</si>
  <si>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</si>
  <si>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</si>
  <si>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</si>
  <si>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</si>
  <si>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Chris Bolan</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</si>
  <si>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</si>
  <si>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</si>
  <si>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</si>
  <si>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</si>
  <si>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</si>
  <si>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Chris Bould</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</si>
  <si>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</si>
  <si>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</si>
  <si>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</si>
  <si>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</si>
  <si>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</si>
  <si>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Chris Buck, Jennifer Lee, Patrick Osborne, Lauren Macmullan, John Kahrs, Nathan Greno, Byron Howard, Stevie Wermers, Dean Wellins, Kevin Deters, Roger Allers, Mike Gabriel, Mark Henn</t>
  </si>
  <si>
    <t>s767</t>
  </si>
  <si>
    <t>Alan Saldaña: Locked Up</t>
  </si>
  <si>
    <t>Alan Saldaña</t>
  </si>
  <si>
    <t>June 3, 2021</t>
  </si>
  <si>
    <t>49 min</t>
  </si>
  <si>
    <t>Mexican comedian Alan Saldaña is back, poking gentle fun at himself and parceling advice, especially about how to stay married and how to be parents.</t>
  </si>
  <si>
    <t>Chris Buck, Kevin Lima</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</si>
  <si>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</si>
  <si>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</si>
  <si>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</si>
  <si>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</si>
  <si>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Chris Burkard</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</si>
  <si>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</si>
  <si>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</si>
  <si>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</si>
  <si>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</si>
  <si>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</si>
  <si>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Chris Columbus</t>
  </si>
  <si>
    <t>s770</t>
  </si>
  <si>
    <t>From Stress to Happiness</t>
  </si>
  <si>
    <t>58 min</t>
  </si>
  <si>
    <t>A stressed-out documentary filmmaker goes on a journey of discovery with a pair of monks, one of whom is known as "the happiest man in the world."</t>
  </si>
  <si>
    <t>Chris Eigeman</t>
  </si>
  <si>
    <t>s771</t>
  </si>
  <si>
    <t>Myriam Fares: The Journey</t>
  </si>
  <si>
    <t>Myriam Fares</t>
  </si>
  <si>
    <t>72 min</t>
  </si>
  <si>
    <t>From pregnancy to album preparations, Lebanese singer and “Queen of the Stage” Myriam Fares documents her experiences with her family while in lockdown.</t>
  </si>
  <si>
    <t>Chris Eneng Enaji</t>
  </si>
  <si>
    <t>s772</t>
  </si>
  <si>
    <t>Pretty Guardian Sailor Moon Eternal The Movie</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</si>
  <si>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</si>
  <si>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</si>
  <si>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Chris Foggin</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</si>
  <si>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</si>
  <si>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</si>
  <si>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</si>
  <si>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</si>
  <si>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Chris Gorak</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</si>
  <si>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</si>
  <si>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</si>
  <si>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</si>
  <si>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</si>
  <si>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</si>
  <si>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Chris Howe</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</si>
  <si>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</si>
  <si>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</si>
  <si>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</si>
  <si>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</si>
  <si>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</si>
  <si>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</si>
  <si>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</si>
  <si>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Chris Jenkins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</si>
  <si>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</si>
  <si>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</si>
  <si>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</si>
  <si>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</si>
  <si>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</si>
  <si>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</si>
  <si>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Chris Kelly</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</si>
  <si>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</si>
  <si>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</si>
  <si>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</si>
  <si>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</si>
  <si>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</si>
  <si>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</si>
  <si>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</si>
  <si>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</si>
  <si>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</si>
  <si>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</si>
  <si>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</si>
  <si>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Chris Mccoy</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</si>
  <si>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</si>
  <si>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</si>
  <si>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</si>
  <si>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</si>
  <si>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Chris Miller</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</si>
  <si>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</si>
  <si>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</si>
  <si>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</si>
  <si>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</si>
  <si>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</si>
  <si>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</si>
  <si>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Chris Moukarbel</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</si>
  <si>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</si>
  <si>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</si>
  <si>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</si>
  <si>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</si>
  <si>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Chris Nahon</t>
  </si>
  <si>
    <t>s782</t>
  </si>
  <si>
    <t>Black Holes | The Edge of All We Know</t>
  </si>
  <si>
    <t>Peter Galison</t>
  </si>
  <si>
    <t>Follow scientists on their quest to understand and capture the first image of a black hole while exploring the limits of our knowledge of the universe.</t>
  </si>
  <si>
    <t>Chris Nelson</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</si>
  <si>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</si>
  <si>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</si>
  <si>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</si>
  <si>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</si>
  <si>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</si>
  <si>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Chris Perkel</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</si>
  <si>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</si>
  <si>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</si>
  <si>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</si>
  <si>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</si>
  <si>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</si>
  <si>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Chris Renaud</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</si>
  <si>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</si>
  <si>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</si>
  <si>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</si>
  <si>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</si>
  <si>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</si>
  <si>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Chris Renaud, Kyle Balda</t>
  </si>
  <si>
    <t>s786</t>
  </si>
  <si>
    <t>Cocomelon</t>
  </si>
  <si>
    <t>Learn letters, numbers, animal sounds and more with J.J. in this edutaining series that brings fun times with nursery rhymes for the whole family!</t>
  </si>
  <si>
    <t>Chris Robinson</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</si>
  <si>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</si>
  <si>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</si>
  <si>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</si>
  <si>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</si>
  <si>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</si>
  <si>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Chris Rock</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</si>
  <si>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</si>
  <si>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</si>
  <si>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</si>
  <si>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</si>
  <si>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Chris Roland, Maradona Dias Dos Santos</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</si>
  <si>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</si>
  <si>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</si>
  <si>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</si>
  <si>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</si>
  <si>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</si>
  <si>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Chris Sivertson</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</si>
  <si>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</si>
  <si>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</si>
  <si>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</si>
  <si>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</si>
  <si>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Chris Smith</t>
  </si>
  <si>
    <t>s791</t>
  </si>
  <si>
    <t>Dream/Killer</t>
  </si>
  <si>
    <t>Bill Ferguson, Ryan Ferguson</t>
  </si>
  <si>
    <t>This riveting crime doc follows Bill as he confronts America's broken judicial system after his son is falsely sentenced to 40 years in prison.</t>
  </si>
  <si>
    <t>Chris Sparling</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</si>
  <si>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</si>
  <si>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</si>
  <si>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</si>
  <si>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</si>
  <si>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</si>
  <si>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Chris Stokes</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</si>
  <si>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</si>
  <si>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</si>
  <si>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</si>
  <si>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</si>
  <si>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</si>
  <si>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</si>
  <si>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</si>
  <si>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</si>
  <si>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</si>
  <si>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Chris Weitz, Paul Weitz</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</si>
  <si>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</si>
  <si>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</si>
  <si>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</si>
  <si>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</si>
  <si>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</si>
  <si>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Christel Gibson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</si>
  <si>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</si>
  <si>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</si>
  <si>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</si>
  <si>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</si>
  <si>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Christian Alvart</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</si>
  <si>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</si>
  <si>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</si>
  <si>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</si>
  <si>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</si>
  <si>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</si>
  <si>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</si>
  <si>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Christian Charles</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</si>
  <si>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</si>
  <si>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</si>
  <si>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</si>
  <si>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</si>
  <si>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</si>
  <si>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Christian De Vita</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</si>
  <si>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</si>
  <si>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</si>
  <si>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</si>
  <si>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</si>
  <si>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</si>
  <si>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Christian Desmares, Franck Ekinci</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</si>
  <si>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</si>
  <si>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</si>
  <si>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</si>
  <si>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</si>
  <si>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Christian Ditter</t>
  </si>
  <si>
    <t>s801</t>
  </si>
  <si>
    <t>Mosquita y Mari</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</si>
  <si>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</si>
  <si>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</si>
  <si>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Christian Duguay</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</si>
  <si>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</si>
  <si>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</si>
  <si>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</si>
  <si>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</si>
  <si>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</si>
  <si>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</si>
  <si>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Christian E. Christiansen</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</si>
  <si>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</si>
  <si>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</si>
  <si>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</si>
  <si>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</si>
  <si>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</si>
  <si>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</si>
  <si>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Christian Gudegast</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</si>
  <si>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</si>
  <si>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</si>
  <si>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</si>
  <si>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</si>
  <si>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</si>
  <si>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</si>
  <si>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</si>
  <si>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</si>
  <si>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</si>
  <si>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</si>
  <si>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</si>
  <si>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Christian Zübert</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</si>
  <si>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</si>
  <si>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</si>
  <si>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</si>
  <si>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</si>
  <si>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</si>
  <si>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</si>
  <si>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</si>
  <si>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</si>
  <si>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</si>
  <si>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</si>
  <si>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Christophe Charrier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</si>
  <si>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</si>
  <si>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</si>
  <si>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</si>
  <si>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</si>
  <si>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</si>
  <si>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Christophe Honoré</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</si>
  <si>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</si>
  <si>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</si>
  <si>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</si>
  <si>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</si>
  <si>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</si>
  <si>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</si>
  <si>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</si>
  <si>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</si>
  <si>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</si>
  <si>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</si>
  <si>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Christopher Amos</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</si>
  <si>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</si>
  <si>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</si>
  <si>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</si>
  <si>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</si>
  <si>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Christopher Cain</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</si>
  <si>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</si>
  <si>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</si>
  <si>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</si>
  <si>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</si>
  <si>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</si>
  <si>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</si>
  <si>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Christopher Chambers</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</si>
  <si>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</si>
  <si>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</si>
  <si>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</si>
  <si>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</si>
  <si>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</si>
  <si>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Christopher Guest</t>
  </si>
  <si>
    <t>s814</t>
  </si>
  <si>
    <t>The Adventures of Sonic the Hedgehog</t>
  </si>
  <si>
    <t>Jaleel White, Long John Baldry, Garry Chalk</t>
  </si>
  <si>
    <t>Hyper hedgehog Sonic and his cohort Miles "Tails" Prower defend the planet Mobius against Dr. Robotnik and his evil schemes in this animated series.</t>
  </si>
  <si>
    <t>Christopher Louie</t>
  </si>
  <si>
    <t>s815</t>
  </si>
  <si>
    <t>The Four Seasons</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</si>
  <si>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</si>
  <si>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</si>
  <si>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Christopher Martin</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</si>
  <si>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</si>
  <si>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</si>
  <si>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</si>
  <si>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</si>
  <si>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</si>
  <si>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</si>
  <si>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Christopher Murray</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</si>
  <si>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</si>
  <si>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</si>
  <si>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</si>
  <si>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</si>
  <si>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</si>
  <si>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</si>
  <si>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</si>
  <si>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</si>
  <si>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</si>
  <si>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</si>
  <si>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</si>
  <si>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Christopher Nolen</t>
  </si>
  <si>
    <t>s819</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</si>
  <si>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</si>
  <si>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</si>
  <si>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</si>
  <si>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Christopher Ray</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</si>
  <si>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</si>
  <si>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</si>
  <si>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</si>
  <si>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</si>
  <si>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Christopher S. Rech, Brandon Kimber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</si>
  <si>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</si>
  <si>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</si>
  <si>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</si>
  <si>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</si>
  <si>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Christopher Smith</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</si>
  <si>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</si>
  <si>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</si>
  <si>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</si>
  <si>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</si>
  <si>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</si>
  <si>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</si>
  <si>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Christopher Storer</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</si>
  <si>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</si>
  <si>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</si>
  <si>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</si>
  <si>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</si>
  <si>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</si>
  <si>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Chuck Russell</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</si>
  <si>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</si>
  <si>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</si>
  <si>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</si>
  <si>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</si>
  <si>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</si>
  <si>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Chun Wong</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</si>
  <si>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</si>
  <si>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</si>
  <si>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</si>
  <si>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</si>
  <si>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</si>
  <si>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Chung Mong-Hong</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</si>
  <si>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</si>
  <si>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</si>
  <si>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</si>
  <si>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</si>
  <si>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Ciarán Foy</t>
  </si>
  <si>
    <t>s827</t>
  </si>
  <si>
    <t>Bo Burnham: Inside</t>
  </si>
  <si>
    <t>A new comedy special shot and performed by Bo Burnham, alone, over the course of the past year.</t>
  </si>
  <si>
    <t>Claire Mccarthy</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</si>
  <si>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</si>
  <si>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</si>
  <si>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</si>
  <si>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</si>
  <si>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</si>
  <si>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Claire Scanlon</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</si>
  <si>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</si>
  <si>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</si>
  <si>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</si>
  <si>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</si>
  <si>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</si>
  <si>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Clara Martínez-Lázaro</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</si>
  <si>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</si>
  <si>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</si>
  <si>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</si>
  <si>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</si>
  <si>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</si>
  <si>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Clarence Yiu-Leung Fok</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</si>
  <si>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</si>
  <si>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</si>
  <si>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</si>
  <si>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</si>
  <si>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Clark Johnson</t>
  </si>
  <si>
    <t>s832</t>
  </si>
  <si>
    <t>The Least Expected Day: Inside the Movistar Team 2019</t>
  </si>
  <si>
    <t>José Larraza, Marc Pons</t>
  </si>
  <si>
    <t>Pro cycling’s Movistar Team sets their sights on victory while on the road as they face challenges, controversy and internal conflict.</t>
  </si>
  <si>
    <t>Claude Barras</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</si>
  <si>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</si>
  <si>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</si>
  <si>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</si>
  <si>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</si>
  <si>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</si>
  <si>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Claude Lelouch</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</si>
  <si>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</si>
  <si>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</si>
  <si>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</si>
  <si>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</si>
  <si>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</si>
  <si>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</si>
  <si>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</si>
  <si>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</si>
  <si>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</si>
  <si>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</si>
  <si>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Clay Kaytis</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</si>
  <si>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</si>
  <si>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</si>
  <si>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</si>
  <si>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</si>
  <si>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Clay Porter</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</si>
  <si>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</si>
  <si>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</si>
  <si>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</si>
  <si>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</si>
  <si>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</si>
  <si>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Clay Staub</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</si>
  <si>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</si>
  <si>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</si>
  <si>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</si>
  <si>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</si>
  <si>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</si>
  <si>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Clementine Malpas, Leslie Knott</t>
  </si>
  <si>
    <t>s839</t>
  </si>
  <si>
    <t>Soy Rada: Serendipity</t>
  </si>
  <si>
    <t>Pablo Faro</t>
  </si>
  <si>
    <t>Agustín Aristarán</t>
  </si>
  <si>
    <t>The delightful Argentine comic Agustín Aristarán (aka Soy Rada) is back, this time putting the spotlight on family and parenting, magic and music.</t>
  </si>
  <si>
    <t>Clint Butler</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</si>
  <si>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</si>
  <si>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</si>
  <si>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</si>
  <si>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</si>
  <si>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</si>
  <si>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</si>
  <si>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</si>
  <si>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</si>
  <si>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</si>
  <si>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</si>
  <si>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</si>
  <si>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Clive Tonge</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</si>
  <si>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</si>
  <si>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</si>
  <si>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</si>
  <si>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</si>
  <si>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</si>
  <si>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Clovis Cornillac</t>
  </si>
  <si>
    <t>s843</t>
  </si>
  <si>
    <t>High on the Hog: How African American Cuisine Transformed America</t>
  </si>
  <si>
    <t>Black food is American food. Chef and writer Stephen Satterfield traces the delicious, moving throughlines from Africa to Texas in this docuseries.</t>
  </si>
  <si>
    <t>Cody Cameron, Kris Pearn</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</si>
  <si>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</si>
  <si>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</si>
  <si>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</si>
  <si>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</si>
  <si>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Cody Stokes</t>
  </si>
  <si>
    <t>s845</t>
  </si>
  <si>
    <t>Nail Bomber: Manhunt</t>
  </si>
  <si>
    <t>Daniel Vernon</t>
  </si>
  <si>
    <t>73 min</t>
  </si>
  <si>
    <t>This documentary examines the 1999 London bombings that targeted Black, Bangladeshi and gay communities, and the race to find the far-right perpetrator.</t>
  </si>
  <si>
    <t>Coerte Voorhees, John Voorhees</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</si>
  <si>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</si>
  <si>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</si>
  <si>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</si>
  <si>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</si>
  <si>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</si>
  <si>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Colin Dench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</si>
  <si>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</si>
  <si>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</si>
  <si>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</si>
  <si>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</si>
  <si>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</si>
  <si>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Colin Minihan</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</si>
  <si>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</si>
  <si>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</si>
  <si>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</si>
  <si>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</si>
  <si>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Colin Strause, Greg Strause</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</si>
  <si>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</si>
  <si>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</si>
  <si>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</si>
  <si>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</si>
  <si>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Colin Teague</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</si>
  <si>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</si>
  <si>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</si>
  <si>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</si>
  <si>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</si>
  <si>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</si>
  <si>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</si>
  <si>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</si>
  <si>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</si>
  <si>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</si>
  <si>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Conor Allyn</t>
  </si>
  <si>
    <t>s852</t>
  </si>
  <si>
    <t>99 Songs (Tamil)</t>
  </si>
  <si>
    <t>Conrad Helten</t>
  </si>
  <si>
    <t>s853</t>
  </si>
  <si>
    <t>99 Songs (Telugu)</t>
  </si>
  <si>
    <t>Conrad Helten, Ezekiel Norton, Michael Goguen</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</si>
  <si>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</si>
  <si>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</si>
  <si>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</si>
  <si>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</si>
  <si>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</si>
  <si>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</si>
  <si>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Constance Marks</t>
  </si>
  <si>
    <t>s855</t>
  </si>
  <si>
    <t>Creating an Army of the Dead</t>
  </si>
  <si>
    <t>29 min</t>
  </si>
  <si>
    <t>Zack Snyder and his "Army of the Dead" team dive into the film's wild stunts, groundbreaking effects and the evolution of the zombie genre.</t>
  </si>
  <si>
    <t>Coodie, Chike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</si>
  <si>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</si>
  <si>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</si>
  <si>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</si>
  <si>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</si>
  <si>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Cooper Karl</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</si>
  <si>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</si>
  <si>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</si>
  <si>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</si>
  <si>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</si>
  <si>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</si>
  <si>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Corbin Bernsen</t>
  </si>
  <si>
    <t>s858</t>
  </si>
  <si>
    <t>The Neighbor</t>
  </si>
  <si>
    <t>Quim Gutiérrez, Clara Lago, Adrián Pino, Catelina Sopelana</t>
  </si>
  <si>
    <t>Self-centered Javier's life gets a bit messy when he unexpectedly becomes a superhero – and his recent ex is tasked with uncovering his identity.</t>
  </si>
  <si>
    <t>Corey Grant</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</si>
  <si>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</si>
  <si>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</si>
  <si>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</si>
  <si>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</si>
  <si>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Corey Yuen</t>
  </si>
  <si>
    <t>s860</t>
  </si>
  <si>
    <t>Asmaa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</si>
  <si>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</si>
  <si>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</si>
  <si>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Corey Yuen, Patrick Leung</t>
  </si>
  <si>
    <t>s861</t>
  </si>
  <si>
    <t>Hating Peter Tatchell</t>
  </si>
  <si>
    <t>Documentaries, International Movies, LGBTQ Movies</t>
  </si>
  <si>
    <t>This documentary follows gay rights activist Peter Tatchell from his early life to his fight for justice amid controversy and political turmoil.</t>
  </si>
  <si>
    <t>Cory Edwards</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</si>
  <si>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</si>
  <si>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</si>
  <si>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</si>
  <si>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</si>
  <si>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</si>
  <si>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Cosima Spender</t>
  </si>
  <si>
    <t>s863</t>
  </si>
  <si>
    <t>Special</t>
  </si>
  <si>
    <t>Ryan O'Connell, Jessica Hecht, Punam Patel, Marla Mindelle, Augustus Prew, Patrick Fabian</t>
  </si>
  <si>
    <t>A young gay man with cerebral palsy branches out from his insular existence in hopes of finally going after the life he wants.</t>
  </si>
  <si>
    <t>Cosmo Feilding-Mellen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</si>
  <si>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</si>
  <si>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</si>
  <si>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</si>
  <si>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</si>
  <si>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</si>
  <si>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Courtney Hunt</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</si>
  <si>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</si>
  <si>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</si>
  <si>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</si>
  <si>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</si>
  <si>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Craig Anderson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</si>
  <si>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</si>
  <si>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</si>
  <si>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</si>
  <si>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</si>
  <si>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</si>
  <si>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Craig Brewer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</si>
  <si>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</si>
  <si>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</si>
  <si>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</si>
  <si>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</si>
  <si>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</si>
  <si>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Craig Elrod</t>
  </si>
  <si>
    <t>s868</t>
  </si>
  <si>
    <t>The Last Days</t>
  </si>
  <si>
    <t>James Moll</t>
  </si>
  <si>
    <t>This Oscar-winning documentary recounts the harrowing stories of five Hungarian Jews who endured the horrors of the Holocaust and Hitler's reign.</t>
  </si>
  <si>
    <t>Craig Freimond</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</si>
  <si>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</si>
  <si>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</si>
  <si>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</si>
  <si>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</si>
  <si>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Craig Gillespie</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</si>
  <si>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</si>
  <si>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</si>
  <si>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</si>
  <si>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</si>
  <si>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Craig Goodwill</t>
  </si>
  <si>
    <t>s871</t>
  </si>
  <si>
    <t>Amy Tan: Unintended Memoir</t>
  </si>
  <si>
    <t>James Redford</t>
  </si>
  <si>
    <t>Amy Tan</t>
  </si>
  <si>
    <t>From her painful past to her successful career after "The Joy Luck Club," groundbreaking writer Amy Tan shares her life story in this documentary.</t>
  </si>
  <si>
    <t>Craig Johnson</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</si>
  <si>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</si>
  <si>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</si>
  <si>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</si>
  <si>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</si>
  <si>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</si>
  <si>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Craig Moss</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</si>
  <si>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</si>
  <si>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</si>
  <si>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</si>
  <si>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</si>
  <si>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</si>
  <si>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</si>
  <si>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Cris D'Amato</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</si>
  <si>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</si>
  <si>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</si>
  <si>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</si>
  <si>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</si>
  <si>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</si>
  <si>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Cristi Puiu</t>
  </si>
  <si>
    <t>s875</t>
  </si>
  <si>
    <t>Booba: Food Puzzle</t>
  </si>
  <si>
    <t>Artem Kretov, Elena Solovieva, Vyacheslav Kataev</t>
  </si>
  <si>
    <t>Curious Booba is now a chef! With friends Loola and Spike, he creates tasty treats with delightful designs using fruits, vegetables and other food.</t>
  </si>
  <si>
    <t>Cristina Costantini, Kareem Tabsch</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</si>
  <si>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</si>
  <si>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</si>
  <si>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</si>
  <si>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</si>
  <si>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</si>
  <si>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</si>
  <si>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</si>
  <si>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</si>
  <si>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</si>
  <si>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</si>
  <si>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</si>
  <si>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</si>
  <si>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</si>
  <si>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</si>
  <si>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Cüneyt Kaya</t>
  </si>
  <si>
    <t>s879</t>
  </si>
  <si>
    <t>Ferry</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</si>
  <si>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</si>
  <si>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</si>
  <si>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Curro Velázquez</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</si>
  <si>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</si>
  <si>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</si>
  <si>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</si>
  <si>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</si>
  <si>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</si>
  <si>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Curtis Graham</t>
  </si>
  <si>
    <t>s881</t>
  </si>
  <si>
    <t>Haunted</t>
  </si>
  <si>
    <t>United States, Czech Republic</t>
  </si>
  <si>
    <t>Reality TV, TV Horror, TV Thrillers</t>
  </si>
  <si>
    <t>Real people sit down with friends and family to share terrifying true stories from their past, re-created through chilling re-enactments.</t>
  </si>
  <si>
    <t>Curtis Hanson</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</si>
  <si>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</si>
  <si>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</si>
  <si>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</si>
  <si>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</si>
  <si>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</si>
  <si>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Cyrus Nowrasteh</t>
  </si>
  <si>
    <t>s883</t>
  </si>
  <si>
    <t>Jungle Beat: The Movie</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</si>
  <si>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</si>
  <si>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</si>
  <si>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</si>
  <si>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D Ho</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</si>
  <si>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</si>
  <si>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</si>
  <si>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</si>
  <si>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</si>
  <si>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</si>
  <si>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Daan Jansen, Stijn Verlinde</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</si>
  <si>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</si>
  <si>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</si>
  <si>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</si>
  <si>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</si>
  <si>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Dado C. Lumibao</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</si>
  <si>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</si>
  <si>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</si>
  <si>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</si>
  <si>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</si>
  <si>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</si>
  <si>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</si>
  <si>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Dallas Jackson</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</si>
  <si>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</si>
  <si>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</si>
  <si>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</si>
  <si>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</si>
  <si>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</si>
  <si>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</si>
  <si>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Dallas Jenkins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</si>
  <si>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</si>
  <si>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</si>
  <si>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</si>
  <si>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</si>
  <si>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</si>
  <si>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</si>
  <si>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Damani Baker</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</si>
  <si>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</si>
  <si>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</si>
  <si>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</si>
  <si>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</si>
  <si>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</si>
  <si>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Damián Romay</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</si>
  <si>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</si>
  <si>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</si>
  <si>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</si>
  <si>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</si>
  <si>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</si>
  <si>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Damien Chazelle, Houda Benyamina, Laïla Marrakchi, Alan Poul</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</si>
  <si>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</si>
  <si>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</si>
  <si>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</si>
  <si>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</si>
  <si>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Damien Leone</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</si>
  <si>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</si>
  <si>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</si>
  <si>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</si>
  <si>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</si>
  <si>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</si>
  <si>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</si>
  <si>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Damien O’Connor</t>
  </si>
  <si>
    <t>s893</t>
  </si>
  <si>
    <t>Tottaa Pataaka Item Maal</t>
  </si>
  <si>
    <t>Shalini Vatsa, Chitrangada Chakraborty, Vinay Sharma, Sonal Joshi, Kritika Pande</t>
  </si>
  <si>
    <t>Exasperated with living in perpetual fear for their safety, four women kidnap a man to show him the realities of being female in Delhi.</t>
  </si>
  <si>
    <t>Damien Piscarel, Florent Bodin</t>
  </si>
  <si>
    <t>s894</t>
  </si>
  <si>
    <t>Wave of Cinema: Filosofi Kopi</t>
  </si>
  <si>
    <t>Maliq &amp; D'Essentials, Fourtwnty, Gede Robi, Nadin Amizah, Ananda Badudu, Leanna Rachel, Rio Dewanto, Chicco Jerikho</t>
  </si>
  <si>
    <t>In this concert film, artists perform music from the soundtrack of "Filosofi Kopi," which tells the story of coffee and the people who cherish it.</t>
  </si>
  <si>
    <t>Damon Cardasis</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</si>
  <si>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</si>
  <si>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</si>
  <si>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</si>
  <si>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</si>
  <si>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</si>
  <si>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</si>
  <si>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Dan Forgione, Pete Jacobs, Matt Whitlock</t>
  </si>
  <si>
    <t>s896</t>
  </si>
  <si>
    <t>Oxygen</t>
  </si>
  <si>
    <t>Mélanie Laurent, Mathieu Amalric, Malik Zidi</t>
  </si>
  <si>
    <t>After waking up in a cryogenic unit, Liz fights to survive and remember who she is before her oxygen runs out.</t>
  </si>
  <si>
    <t>Dan Forrer</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</si>
  <si>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</si>
  <si>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</si>
  <si>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</si>
  <si>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</si>
  <si>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Dan Fraga, William Lau</t>
  </si>
  <si>
    <t>s898</t>
  </si>
  <si>
    <t>Use For My Talent</t>
  </si>
  <si>
    <t>Shen Yue, Jasper Liu, Dai Yunfan, Yan An, Su Mengdi, Huang Sirui, Charles Lin, Tan Quan, Xiao Ran</t>
  </si>
  <si>
    <t>When the germophobic owner of a cleaning company encounters a slovenly employee, a romance blossoms as they help one another heal from their pasts.</t>
  </si>
  <si>
    <t>Dan Gilroy</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</si>
  <si>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</si>
  <si>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</si>
  <si>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</si>
  <si>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</si>
  <si>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</si>
  <si>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Dan Harris</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</si>
  <si>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</si>
  <si>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</si>
  <si>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</si>
  <si>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</si>
  <si>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</si>
  <si>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Dan Krauss</t>
  </si>
  <si>
    <t>s901</t>
  </si>
  <si>
    <t>Money, Explained</t>
  </si>
  <si>
    <t>We spend it, borrow it and save it. Now let's talk about money and its many minefields, from credit cards to casinos, scammers to student loans.</t>
  </si>
  <si>
    <t>Dan Kwan, Daniel Scheinert</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</si>
  <si>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</si>
  <si>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</si>
  <si>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</si>
  <si>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</si>
  <si>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</si>
  <si>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</si>
  <si>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Dan Lucchesi</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</si>
  <si>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</si>
  <si>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</si>
  <si>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</si>
  <si>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</si>
  <si>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Dan Villegas</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</si>
  <si>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</si>
  <si>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</si>
  <si>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</si>
  <si>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</si>
  <si>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</si>
  <si>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Dana Doron, Uriel Sinai</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</si>
  <si>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</si>
  <si>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</si>
  <si>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</si>
  <si>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</si>
  <si>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</si>
  <si>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Dana Nachman, Don Hardy Jr.</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</si>
  <si>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</si>
  <si>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</si>
  <si>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</si>
  <si>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</si>
  <si>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</si>
  <si>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Dani De La Orden</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</si>
  <si>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</si>
  <si>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</si>
  <si>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</si>
  <si>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</si>
  <si>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</si>
  <si>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Dani De La Torre</t>
  </si>
  <si>
    <t>s908</t>
  </si>
  <si>
    <t>In Our Mothers' Gardens</t>
  </si>
  <si>
    <t>Shantrelle P. Lewis</t>
  </si>
  <si>
    <t>An unplanned pregnancy upends the carefree lives of a young woman and her flatmate as they discover the struggles of single motherhood.</t>
  </si>
  <si>
    <t>Dani Levy</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</si>
  <si>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</si>
  <si>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</si>
  <si>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</si>
  <si>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</si>
  <si>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Daniel Ablin</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</si>
  <si>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</si>
  <si>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</si>
  <si>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</si>
  <si>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</si>
  <si>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</si>
  <si>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Daniel Alfredson</t>
  </si>
  <si>
    <t>s911</t>
  </si>
  <si>
    <t>Monster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</si>
  <si>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</si>
  <si>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</si>
  <si>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Daniel Arasanz</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</si>
  <si>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</si>
  <si>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</si>
  <si>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</si>
  <si>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</si>
  <si>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</si>
  <si>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</si>
  <si>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</si>
  <si>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</si>
  <si>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Daniel Burman</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</si>
  <si>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</si>
  <si>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</si>
  <si>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</si>
  <si>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</si>
  <si>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</si>
  <si>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Daniel Calparsoro</t>
  </si>
  <si>
    <t>s915</t>
  </si>
  <si>
    <t>Unrest</t>
  </si>
  <si>
    <t>Jennifer Brea</t>
  </si>
  <si>
    <t>Jennifer Brea, Omar Wasow, Jessica Taylor-Bearman</t>
  </si>
  <si>
    <t>In this heart-wrenching documentary, a 28-year-old Ph.D. student turns the camera on herself to capture her struggles with chronic fatigue syndrome.</t>
  </si>
  <si>
    <t>Daniel Effiong</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</si>
  <si>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</si>
  <si>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</si>
  <si>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</si>
  <si>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</si>
  <si>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</si>
  <si>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</si>
  <si>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</si>
  <si>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</si>
  <si>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</si>
  <si>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</si>
  <si>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</si>
  <si>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Daniel Goldhaber</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</si>
  <si>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</si>
  <si>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</si>
  <si>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</si>
  <si>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</si>
  <si>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</si>
  <si>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</si>
  <si>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Daniel Gordon</t>
  </si>
  <si>
    <t>s919</t>
  </si>
  <si>
    <t>Lava Ka Dhaava</t>
  </si>
  <si>
    <t>Jaaved Jaaferi, Rutledge Wood</t>
  </si>
  <si>
    <t>Actor Jaaved Jaafferi brings his signature humor to this Hindi dubbing of the show where teams creatively navigate rooms flooded with make-believe lava.</t>
  </si>
  <si>
    <t>Daniel Gray Longino</t>
  </si>
  <si>
    <t>s920</t>
  </si>
  <si>
    <t>The Sons of Sam: A Descent into Darkness</t>
  </si>
  <si>
    <t>Joshua Zeman</t>
  </si>
  <si>
    <t>The Son of Sam case grew into a lifelong obsession for journalist Maury Terry, who became convinced that the murders were linked to a satanic cult.</t>
  </si>
  <si>
    <t>Daniel J. Clark</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</si>
  <si>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</si>
  <si>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</si>
  <si>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</si>
  <si>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</si>
  <si>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</si>
  <si>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Daniel Joseph</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</si>
  <si>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</si>
  <si>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</si>
  <si>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</si>
  <si>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</si>
  <si>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Daniel Kontur</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</si>
  <si>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</si>
  <si>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</si>
  <si>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</si>
  <si>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</si>
  <si>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</si>
  <si>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Daniel Lee</t>
  </si>
  <si>
    <t>s924</t>
  </si>
  <si>
    <t>Trash Truck</t>
  </si>
  <si>
    <t>Henry Keane, Glen Keane, Lucas Neff, Brian Baumgartner, Jackie Loeb, Olive Keane</t>
  </si>
  <si>
    <t>Six-year old Hank and his best pal, a giant trash truck, explore the world around them on fantastical adventures with their animal friends.</t>
  </si>
  <si>
    <t>Daniel Lindsay, T.J. Martin</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</si>
  <si>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</si>
  <si>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</si>
  <si>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</si>
  <si>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</si>
  <si>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</si>
  <si>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Daniel Mann</t>
  </si>
  <si>
    <t>s926</t>
  </si>
  <si>
    <t>Angelina Ballerina</t>
  </si>
  <si>
    <t>Angelina is crazy about ballet dancing, even though she's a young mouse, and studies hard with a famous teacher to become a prima ballerina.</t>
  </si>
  <si>
    <t>Daniel Mann, Joseph Sargent</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</si>
  <si>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</si>
  <si>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</si>
  <si>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</si>
  <si>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</si>
  <si>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</si>
  <si>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</si>
  <si>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</si>
  <si>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</si>
  <si>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</si>
  <si>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Daniel Mccabe</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</si>
  <si>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</si>
  <si>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</si>
  <si>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</si>
  <si>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</si>
  <si>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</si>
  <si>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</si>
  <si>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</si>
  <si>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</si>
  <si>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</si>
  <si>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</si>
  <si>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</si>
  <si>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Daniel Monzón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</si>
  <si>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</si>
  <si>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</si>
  <si>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</si>
  <si>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</si>
  <si>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Daniel Noah</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</si>
  <si>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</si>
  <si>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</si>
  <si>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</si>
  <si>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</si>
  <si>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</si>
  <si>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Daniel Oriahi</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</si>
  <si>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</si>
  <si>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</si>
  <si>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</si>
  <si>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</si>
  <si>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</si>
  <si>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</si>
  <si>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</si>
  <si>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</si>
  <si>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</si>
  <si>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</si>
  <si>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Daniel Raim</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</si>
  <si>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</si>
  <si>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</si>
  <si>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</si>
  <si>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</si>
  <si>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</si>
  <si>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</si>
  <si>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</si>
  <si>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</si>
  <si>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</si>
  <si>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</si>
  <si>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Daniel Sánchez Arévalo</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</si>
  <si>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</si>
  <si>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</si>
  <si>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</si>
  <si>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</si>
  <si>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</si>
  <si>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</si>
  <si>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</si>
  <si>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</si>
  <si>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</si>
  <si>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</si>
  <si>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</si>
  <si>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</si>
  <si>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Daniel Stamm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</si>
  <si>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</si>
  <si>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</si>
  <si>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</si>
  <si>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</si>
  <si>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</si>
  <si>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</si>
  <si>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</si>
  <si>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</si>
  <si>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Daniel Wilner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</si>
  <si>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</si>
  <si>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</si>
  <si>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</si>
  <si>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</si>
  <si>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</si>
  <si>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Daniel Yee Heng Chan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</si>
  <si>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</si>
  <si>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</si>
  <si>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</si>
  <si>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</si>
  <si>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</si>
  <si>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Daniela Goggi</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</si>
  <si>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</si>
  <si>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</si>
  <si>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</si>
  <si>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</si>
  <si>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</si>
  <si>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Daniele Thompson</t>
  </si>
  <si>
    <t>s945</t>
  </si>
  <si>
    <t>S.M.A.R.T Chase</t>
  </si>
  <si>
    <t>Orlando Bloom, Leo Wu, Simon Yam, Hannah Quinlivan</t>
  </si>
  <si>
    <t>A disgraced security agent who specializes in transporting valuable objects gets a shot at redemption when he's hired to safeguard a precious antique.</t>
  </si>
  <si>
    <t>Danish Aslam</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</si>
  <si>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</si>
  <si>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</si>
  <si>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</si>
  <si>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</si>
  <si>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</si>
  <si>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</si>
  <si>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</si>
  <si>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</si>
  <si>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</si>
  <si>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</si>
  <si>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Danny Boyle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</si>
  <si>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</si>
  <si>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</si>
  <si>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</si>
  <si>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</si>
  <si>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</si>
  <si>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</si>
  <si>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Danny Cannon</t>
  </si>
  <si>
    <t>s949</t>
  </si>
  <si>
    <t>Swiped</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</si>
  <si>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</si>
  <si>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</si>
  <si>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Danny J. Boyle</t>
  </si>
  <si>
    <t>s950</t>
  </si>
  <si>
    <t>The Darkest Hour</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</si>
  <si>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</si>
  <si>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</si>
  <si>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</si>
  <si>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Danny Leiner</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</si>
  <si>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</si>
  <si>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</si>
  <si>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</si>
  <si>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</si>
  <si>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</si>
  <si>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</si>
  <si>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</si>
  <si>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Dante Lam</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</si>
  <si>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</si>
  <si>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</si>
  <si>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</si>
  <si>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</si>
  <si>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</si>
  <si>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Dar Gai</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</si>
  <si>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</si>
  <si>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</si>
  <si>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</si>
  <si>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</si>
  <si>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</si>
  <si>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Dare Olaitan</t>
  </si>
  <si>
    <t>s954</t>
  </si>
  <si>
    <t>The Whole Truth</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</si>
  <si>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</si>
  <si>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</si>
  <si>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Darragh O'Connell</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</si>
  <si>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</si>
  <si>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</si>
  <si>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</si>
  <si>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</si>
  <si>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</si>
  <si>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Darren Grant</t>
  </si>
  <si>
    <t>s956</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</si>
  <si>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</si>
  <si>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</si>
  <si>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</si>
  <si>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Darren Lynn Bousman</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</si>
  <si>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</si>
  <si>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</si>
  <si>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</si>
  <si>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</si>
  <si>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</si>
  <si>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</si>
  <si>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Daryl Hannah</t>
  </si>
  <si>
    <t>s958</t>
  </si>
  <si>
    <t>Pet Stars</t>
  </si>
  <si>
    <t>April 30, 2021</t>
  </si>
  <si>
    <t>Follow talent management company Pets on Q as they work with the biggest animal influencers on social media in this reality series.</t>
  </si>
  <si>
    <t>Dash Shaw</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</si>
  <si>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</si>
  <si>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</si>
  <si>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</si>
  <si>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</si>
  <si>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Datta Mohan Bhandare</t>
  </si>
  <si>
    <t>s960</t>
  </si>
  <si>
    <t>The Disciple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</si>
  <si>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</si>
  <si>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</si>
  <si>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Dava Whisenant</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</si>
  <si>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</si>
  <si>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</si>
  <si>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</si>
  <si>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</si>
  <si>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</si>
  <si>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Dave Green</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</si>
  <si>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</si>
  <si>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</si>
  <si>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</si>
  <si>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</si>
  <si>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</si>
  <si>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Dave Higby</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</si>
  <si>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</si>
  <si>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</si>
  <si>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</si>
  <si>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</si>
  <si>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</si>
  <si>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</si>
  <si>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</si>
  <si>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</si>
  <si>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</si>
  <si>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Dave Patten</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</si>
  <si>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</si>
  <si>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</si>
  <si>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</si>
  <si>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</si>
  <si>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</si>
  <si>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</si>
  <si>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Dave Skinner, Freddie Waters</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</si>
  <si>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</si>
  <si>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</si>
  <si>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</si>
  <si>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</si>
  <si>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David 'Tosh' Gitonga, Michael Jones</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</si>
  <si>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</si>
  <si>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</si>
  <si>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</si>
  <si>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</si>
  <si>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</si>
  <si>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</si>
  <si>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</si>
  <si>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</si>
  <si>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</si>
  <si>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</si>
  <si>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David Allensworth, Monière</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</si>
  <si>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</si>
  <si>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</si>
  <si>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</si>
  <si>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</si>
  <si>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</si>
  <si>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</si>
  <si>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</si>
  <si>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</si>
  <si>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</si>
  <si>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</si>
  <si>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David Batra, Jon Rudberg</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</si>
  <si>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</si>
  <si>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</si>
  <si>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</si>
  <si>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</si>
  <si>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</si>
  <si>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David Batty</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</si>
  <si>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</si>
  <si>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</si>
  <si>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</si>
  <si>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</si>
  <si>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</si>
  <si>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David Benioff, D.B. Weiss</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</si>
  <si>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</si>
  <si>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</si>
  <si>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</si>
  <si>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</si>
  <si>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</si>
  <si>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</si>
  <si>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</si>
  <si>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</si>
  <si>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</si>
  <si>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</si>
  <si>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David Blair</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</si>
  <si>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</si>
  <si>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</si>
  <si>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</si>
  <si>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</si>
  <si>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</si>
  <si>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</si>
  <si>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David Briggs</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</si>
  <si>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</si>
  <si>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</si>
  <si>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</si>
  <si>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</si>
  <si>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</si>
  <si>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David Bruckner</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</si>
  <si>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</si>
  <si>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</si>
  <si>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</si>
  <si>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</si>
  <si>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</si>
  <si>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</si>
  <si>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</si>
  <si>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</si>
  <si>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</si>
  <si>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</si>
  <si>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</si>
  <si>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David Chirchirillo</t>
  </si>
  <si>
    <t>s979</t>
  </si>
  <si>
    <t>Deliha</t>
  </si>
  <si>
    <t>Hakan Algül</t>
  </si>
  <si>
    <t>Gupse Özay, Barış Arduç, Cihan Ercan</t>
  </si>
  <si>
    <t>Short on sense but long on self-confidence, dotty Deliha sets her sights on a hunky photographer who opens up shop in her neighborhood.</t>
  </si>
  <si>
    <t>David Chuang, Chen Kuan-Chung</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</si>
  <si>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</si>
  <si>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</si>
  <si>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</si>
  <si>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</si>
  <si>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</si>
  <si>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David Cronenberg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</si>
  <si>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</si>
  <si>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</si>
  <si>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</si>
  <si>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</si>
  <si>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</si>
  <si>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David De Vos</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</si>
  <si>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</si>
  <si>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</si>
  <si>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</si>
  <si>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</si>
  <si>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</si>
  <si>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</si>
  <si>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</si>
  <si>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</si>
  <si>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</si>
  <si>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</si>
  <si>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David Dobkin</t>
  </si>
  <si>
    <t>s984</t>
  </si>
  <si>
    <t>Heroes: Silence and Rock &amp; Roll</t>
  </si>
  <si>
    <t>Enrique Bunbury, Juan Valdivia, Joaquín Cardiel, Pedro Andreu</t>
  </si>
  <si>
    <t>An exploration of the rise of Héroes del Silencio, the seminal 1980s Spanish rock band. Anchored by Enrique Bunbury, they focused on a harder sound.</t>
  </si>
  <si>
    <t>David E. Talbert</t>
  </si>
  <si>
    <t>s985</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</si>
  <si>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</si>
  <si>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</si>
  <si>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</si>
  <si>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David Fairhead</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</si>
  <si>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</si>
  <si>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</si>
  <si>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</si>
  <si>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</si>
  <si>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</si>
  <si>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David Fairhead, Anthony Palmer</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</si>
  <si>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</si>
  <si>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</si>
  <si>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</si>
  <si>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</si>
  <si>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</si>
  <si>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</si>
  <si>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</si>
  <si>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</si>
  <si>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</si>
  <si>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</si>
  <si>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</si>
  <si>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</si>
  <si>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</si>
  <si>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</si>
  <si>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David France</t>
  </si>
  <si>
    <t>s990</t>
  </si>
  <si>
    <t>My Travel Buddy</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</si>
  <si>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</si>
  <si>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</si>
  <si>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</si>
  <si>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</si>
  <si>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</si>
  <si>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</si>
  <si>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David Galán Galindo</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</si>
  <si>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</si>
  <si>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</si>
  <si>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</si>
  <si>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</si>
  <si>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</si>
  <si>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</si>
  <si>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David Gelb</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</si>
  <si>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</si>
  <si>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</si>
  <si>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</si>
  <si>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</si>
  <si>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</si>
  <si>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</si>
  <si>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</si>
  <si>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</si>
  <si>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</si>
  <si>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</si>
  <si>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David Grossman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</si>
  <si>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</si>
  <si>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</si>
  <si>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</si>
  <si>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</si>
  <si>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David Guy Levy</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</si>
  <si>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</si>
  <si>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</si>
  <si>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</si>
  <si>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</si>
  <si>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</si>
  <si>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David Hackl</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</si>
  <si>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</si>
  <si>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</si>
  <si>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</si>
  <si>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</si>
  <si>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</si>
  <si>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</si>
  <si>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David Hunt</t>
  </si>
  <si>
    <t>s998</t>
  </si>
  <si>
    <t>Life in Color with David Attenborough</t>
  </si>
  <si>
    <t>David Attenborough</t>
  </si>
  <si>
    <t>Australia, United Kingdom</t>
  </si>
  <si>
    <t>Using innovative technology, this docuseries explores nature from a fresh perspective as animals use color to survive and thrive in the wild.</t>
  </si>
  <si>
    <t>David Koepp</t>
  </si>
  <si>
    <t>s999</t>
  </si>
  <si>
    <t>Searching For Sheela</t>
  </si>
  <si>
    <t>Ma Anand Sheela</t>
  </si>
  <si>
    <t>Journalists and fans await Ma Anand Sheela as the infamous former Rajneesh commune’s spokesperson returns to India after decades for an interview tour.</t>
  </si>
  <si>
    <t>David L. Cunningham</t>
  </si>
  <si>
    <t>s1000</t>
  </si>
  <si>
    <t>Stowaway</t>
  </si>
  <si>
    <t>Joe Penna</t>
  </si>
  <si>
    <t>Anna Kendrick, Toni Collette, Daniel Dae Kim, Shamier Anderson</t>
  </si>
  <si>
    <t>A three-person crew on a mission to Mars faces an impossible choice when an unplanned passenger jeopardizes the lives of everyone on board.</t>
  </si>
  <si>
    <t>David L.G. Hughes</t>
  </si>
  <si>
    <t>s1001</t>
  </si>
  <si>
    <t>Wild Dog</t>
  </si>
  <si>
    <t>Nagarjuna Akkineni, Dia Mirza, Saiyami Kher, Atul Kulakarni, Bilal Hussain, Ali Reza, Mayank Parakh</t>
  </si>
  <si>
    <t>A brash but brilliant Indian intelligence agent leads a covert operation to nab the mastermind behind a series of attacks threatening national security.</t>
  </si>
  <si>
    <t>David Lachapelle</t>
  </si>
  <si>
    <t>s1002</t>
  </si>
  <si>
    <t>Oloibiri</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</si>
  <si>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</si>
  <si>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</si>
  <si>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</si>
  <si>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</si>
  <si>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David Lam</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</si>
  <si>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</si>
  <si>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</si>
  <si>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</si>
  <si>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</si>
  <si>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</si>
  <si>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David Lean</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</si>
  <si>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</si>
  <si>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</si>
  <si>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</si>
  <si>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</si>
  <si>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David Lee Miller</t>
  </si>
  <si>
    <t>s1005</t>
  </si>
  <si>
    <t>Izzy's Koala World</t>
  </si>
  <si>
    <t>Izzy Bee, Ali Bee, Tim Bee</t>
  </si>
  <si>
    <t>April 20, 2021</t>
  </si>
  <si>
    <t>Young koala caretaker Izzy Bee and her family rescue cuddly creatures in need and help them head back into the wild on Australia’s Magnetic Island.</t>
  </si>
  <si>
    <t>David Leveaux</t>
  </si>
  <si>
    <t>s1006</t>
  </si>
  <si>
    <t>Keymon and Nani in Space Adventure</t>
  </si>
  <si>
    <t>For Rohan and his magical pal, Keymon, a trip to visit their grandmother turns into the rescue mission of a lifetime when she is kidnapped by aliens!</t>
  </si>
  <si>
    <t>David Lowery</t>
  </si>
  <si>
    <t>s1007</t>
  </si>
  <si>
    <t>Motu Patlu Dino Invasion</t>
  </si>
  <si>
    <t>Sourav Chakraborty, Mayur Vyas, Anil Datt</t>
  </si>
  <si>
    <t>A time machine sends Motu and Patlu back to the dinosaur period, but the real trouble starts when the reptiles travel back to the present day with them!</t>
  </si>
  <si>
    <t>David Lynch</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</si>
  <si>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</si>
  <si>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</si>
  <si>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</si>
  <si>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</si>
  <si>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David M. Rosenthal</t>
  </si>
  <si>
    <t>s1009</t>
  </si>
  <si>
    <t>Motu Patlu VS Robo Kids</t>
  </si>
  <si>
    <t>Sourav Chakraborty, Anil Dutt</t>
  </si>
  <si>
    <t>For Motu, facing off against three children becomes an unexpected challenge when he realizes they have superstrength — and a secret!</t>
  </si>
  <si>
    <t>David Mackenzie</t>
  </si>
  <si>
    <t>s1010</t>
  </si>
  <si>
    <t>Rudra: Secret of the Black Moon</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</si>
  <si>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</si>
  <si>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</si>
  <si>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David Marmor</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</si>
  <si>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</si>
  <si>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</si>
  <si>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</si>
  <si>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</si>
  <si>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David Mccracken</t>
  </si>
  <si>
    <t>s1012</t>
  </si>
  <si>
    <t>Free to Play</t>
  </si>
  <si>
    <t>April 19, 2021</t>
  </si>
  <si>
    <t>This documentary follows three professional video game players as they compete in an international tournament with a million-dollar prize.</t>
  </si>
  <si>
    <t>David Michôd</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</si>
  <si>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</si>
  <si>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</si>
  <si>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</si>
  <si>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</si>
  <si>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David Mirkin</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</si>
  <si>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</si>
  <si>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</si>
  <si>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</si>
  <si>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</si>
  <si>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</si>
  <si>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</si>
  <si>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David Moreton</t>
  </si>
  <si>
    <t>s1015</t>
  </si>
  <si>
    <t>PJ Masks</t>
  </si>
  <si>
    <t>Jacob Ewaniuk, Kyle Breitkopf, Addison Holley</t>
  </si>
  <si>
    <t>France, United Kingdom</t>
  </si>
  <si>
    <t>Three 6-year-old kids who live normal lives during the day become superheroes at night, fighting crime as a team known as PJ Masks.</t>
  </si>
  <si>
    <t>David Morris, Jacqui Morris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</si>
  <si>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</si>
  <si>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</si>
  <si>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</si>
  <si>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</si>
  <si>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</si>
  <si>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</si>
  <si>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David Mrnka</t>
  </si>
  <si>
    <t>s1017</t>
  </si>
  <si>
    <t>Delhi Belly</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</si>
  <si>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</si>
  <si>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</si>
  <si>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</si>
  <si>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</si>
  <si>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</si>
  <si>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</si>
  <si>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</si>
  <si>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David Oelhoffen</t>
  </si>
  <si>
    <t>s1019</t>
  </si>
  <si>
    <t>Jaane Tu... Ya Jaane Na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</si>
  <si>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</si>
  <si>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</si>
  <si>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</si>
  <si>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</si>
  <si>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</si>
  <si>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</si>
  <si>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</si>
  <si>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</si>
  <si>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</si>
  <si>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</si>
  <si>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</si>
  <si>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</si>
  <si>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</si>
  <si>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David Paul Meyer</t>
  </si>
  <si>
    <t>s1022</t>
  </si>
  <si>
    <t>Peepli Live</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</si>
  <si>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</si>
  <si>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</si>
  <si>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David R. Ellis</t>
  </si>
  <si>
    <t>s1023</t>
  </si>
  <si>
    <t>Taare Zameen Par</t>
  </si>
  <si>
    <t>Aamir Khan, Darsheel Safary, Tanay Chheda, Tisca Chopra, Vipin Sharma, Girija Oak, M.K. Raina</t>
  </si>
  <si>
    <t>162 min</t>
  </si>
  <si>
    <t>When daydreamer Ishaan is sent to boarding school, an unconventional art teacher tries to help the imaginative student discover his true identity.</t>
  </si>
  <si>
    <t>David Raynr</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</si>
  <si>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</si>
  <si>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</si>
  <si>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</si>
  <si>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</si>
  <si>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</si>
  <si>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</si>
  <si>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David Salzberg, Christian Tureaud</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</si>
  <si>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</si>
  <si>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</si>
  <si>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</si>
  <si>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</si>
  <si>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</si>
  <si>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David Sampliner</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</si>
  <si>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</si>
  <si>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</si>
  <si>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</si>
  <si>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</si>
  <si>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David Schalko</t>
  </si>
  <si>
    <t>s1027</t>
  </si>
  <si>
    <t>Barbie &amp; Chelsea: The Lost Birthday</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</si>
  <si>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</si>
  <si>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</si>
  <si>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David Serrano</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</si>
  <si>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</si>
  <si>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</si>
  <si>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</si>
  <si>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</si>
  <si>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</si>
  <si>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</si>
  <si>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</si>
  <si>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David Shisgall</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</si>
  <si>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</si>
  <si>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</si>
  <si>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</si>
  <si>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</si>
  <si>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</si>
  <si>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David Silberg</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</si>
  <si>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</si>
  <si>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</si>
  <si>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</si>
  <si>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</si>
  <si>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</si>
  <si>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David Sington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</si>
  <si>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</si>
  <si>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</si>
  <si>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</si>
  <si>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</si>
  <si>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David Sington, Heather Walsh</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</si>
  <si>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</si>
  <si>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</si>
  <si>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</si>
  <si>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</si>
  <si>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</si>
  <si>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</si>
  <si>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</si>
  <si>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</si>
  <si>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</si>
  <si>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</si>
  <si>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David Soren</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</si>
  <si>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</si>
  <si>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</si>
  <si>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</si>
  <si>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</si>
  <si>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</si>
  <si>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</si>
  <si>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David Stubbs</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</si>
  <si>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</si>
  <si>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</si>
  <si>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</si>
  <si>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</si>
  <si>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</si>
  <si>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David Tryhorn, Ben Nicholas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</si>
  <si>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</si>
  <si>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</si>
  <si>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</si>
  <si>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</si>
  <si>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</si>
  <si>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</si>
  <si>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David Wain</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</si>
  <si>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</si>
  <si>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</si>
  <si>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</si>
  <si>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</si>
  <si>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</si>
  <si>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David Wnendt</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</si>
  <si>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</si>
  <si>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</si>
  <si>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</si>
  <si>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</si>
  <si>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</si>
  <si>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</si>
  <si>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</si>
  <si>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</si>
  <si>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</si>
  <si>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</si>
  <si>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</si>
  <si>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</si>
  <si>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</si>
  <si>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</si>
  <si>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</si>
  <si>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</si>
  <si>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</si>
  <si>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</si>
  <si>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Davis Guggenheim</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</si>
  <si>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</si>
  <si>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</si>
  <si>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</si>
  <si>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</si>
  <si>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</si>
  <si>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</si>
  <si>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Dawn Porter</t>
  </si>
  <si>
    <t>s1043</t>
  </si>
  <si>
    <t>Garth Brooks: The Road I’m On</t>
  </si>
  <si>
    <t>Glenn Weiss</t>
  </si>
  <si>
    <t>Garth Brooks</t>
  </si>
  <si>
    <t>Revealing interviews and archive footage tell the story of Garth Brooks' humble beginnings, rise to fame and unprecedented impact on country music.</t>
  </si>
  <si>
    <t>Dean Craig</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</si>
  <si>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</si>
  <si>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</si>
  <si>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</si>
  <si>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</si>
  <si>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Dean Deblois</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</si>
  <si>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</si>
  <si>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</si>
  <si>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</si>
  <si>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</si>
  <si>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</si>
  <si>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</si>
  <si>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</si>
  <si>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</si>
  <si>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Dean Wright</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</si>
  <si>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</si>
  <si>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</si>
  <si>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</si>
  <si>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</si>
  <si>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</si>
  <si>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Deane Taylor</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</si>
  <si>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</si>
  <si>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</si>
  <si>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</si>
  <si>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</si>
  <si>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Debaloy Dey</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</si>
  <si>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</si>
  <si>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</si>
  <si>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</si>
  <si>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</si>
  <si>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Debamitra Biswal</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</si>
  <si>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</si>
  <si>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</si>
  <si>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</si>
  <si>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</si>
  <si>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</si>
  <si>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Debbie Allen</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</si>
  <si>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</si>
  <si>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</si>
  <si>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</si>
  <si>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</si>
  <si>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</si>
  <si>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Debra Granik</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</si>
  <si>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</si>
  <si>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</si>
  <si>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</si>
  <si>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</si>
  <si>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Dee Rees</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</si>
  <si>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</si>
  <si>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</si>
  <si>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</si>
  <si>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</si>
  <si>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Deep Joshi</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</si>
  <si>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</si>
  <si>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</si>
  <si>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</si>
  <si>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</si>
  <si>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</si>
  <si>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</si>
  <si>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Deepa Mehta</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</si>
  <si>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</si>
  <si>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</si>
  <si>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</si>
  <si>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</si>
  <si>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Deepika Narayan Bhardwaj</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</si>
  <si>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</si>
  <si>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</si>
  <si>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</si>
  <si>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</si>
  <si>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</si>
  <si>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</si>
  <si>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Deepti Naval</t>
  </si>
  <si>
    <t>s1057</t>
  </si>
  <si>
    <t>Ajaibnya Cinta</t>
  </si>
  <si>
    <t>April 14, 2021</t>
  </si>
  <si>
    <t>Upon returning home from his studies abroad, young grad Akif finds himself involved with four women in this continuation of the series "Spain Uoolss."</t>
  </si>
  <si>
    <t>Dejan Zečević</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</si>
  <si>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</si>
  <si>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</si>
  <si>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</si>
  <si>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</si>
  <si>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</si>
  <si>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</si>
  <si>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</si>
  <si>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</si>
  <si>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</si>
  <si>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Demetri Martin</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</si>
  <si>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</si>
  <si>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</si>
  <si>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</si>
  <si>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</si>
  <si>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</si>
  <si>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Denis Do</t>
  </si>
  <si>
    <t>s1061</t>
  </si>
  <si>
    <t>Indian Matchmaking</t>
  </si>
  <si>
    <t>Matchmaker Sima Taparia guides clients in the U.S. and India in the arranged marriage process, offering an inside look at the custom in a modern era.</t>
  </si>
  <si>
    <t>Denis Hennelly, Casey Suchan</t>
  </si>
  <si>
    <t>s1062</t>
  </si>
  <si>
    <t>Jeffrey Epstein: Filthy Rich</t>
  </si>
  <si>
    <t>Stories from survivors fuel this docuseries examining how convicted sex offender Jeffrey Epstein used his wealth and power to carry out his abuses.</t>
  </si>
  <si>
    <t>Denis Villeneuve</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</si>
  <si>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</si>
  <si>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</si>
  <si>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</si>
  <si>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</si>
  <si>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Deniz Gamze Ergüven</t>
  </si>
  <si>
    <t>s1064</t>
  </si>
  <si>
    <t>Living with Yourself</t>
  </si>
  <si>
    <t>Paul Rudd, Aisling Bea, Desmin Borges, Zoë Chao, Karen Pittman</t>
  </si>
  <si>
    <t>Burned out on life, Miles undergoes a strange procedure at a strip mall spa – and wakes to find he's been replaced by a better version of himself.</t>
  </si>
  <si>
    <t>Dennie Gordon</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</si>
  <si>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</si>
  <si>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</si>
  <si>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</si>
  <si>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</si>
  <si>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</si>
  <si>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Dennis Bartok</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</si>
  <si>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</si>
  <si>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</si>
  <si>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</si>
  <si>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</si>
  <si>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</si>
  <si>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</si>
  <si>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</si>
  <si>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</si>
  <si>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</si>
  <si>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</si>
  <si>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</si>
  <si>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Dennis Iliadis</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</si>
  <si>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</si>
  <si>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</si>
  <si>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</si>
  <si>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</si>
  <si>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</si>
  <si>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Dennis Rovira Van Boekholt</t>
  </si>
  <si>
    <t>s1069</t>
  </si>
  <si>
    <t>Unnatural Selection</t>
  </si>
  <si>
    <t>From eradicating disease to selecting a child’s traits, gene editing gives humans the chance to hack biology. Meet the real people behind the science.</t>
  </si>
  <si>
    <t>Dennis Scholl, Kareem Tabsch</t>
  </si>
  <si>
    <t>s1070</t>
  </si>
  <si>
    <t>Uppena</t>
  </si>
  <si>
    <t>Panja Vaisshnav Tej, Krithi Shetty, Vijay Sethupathi</t>
  </si>
  <si>
    <t>The son of a fishing community falls for a village head's daughter, but they face violent opposition from the girl’s doggedly old-fashioned father.</t>
  </si>
  <si>
    <t>Denny Lu, Mike Myhre</t>
  </si>
  <si>
    <t>s1071</t>
  </si>
  <si>
    <t>Why Did You Kill Me?</t>
  </si>
  <si>
    <t>Fredrick Munk</t>
  </si>
  <si>
    <t>The line between justice and revenge blurs when a devastated family uses social media to track down the people who killed 24-year-old Crystal Theobald.</t>
  </si>
  <si>
    <t>Derek Cianfrance</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</si>
  <si>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</si>
  <si>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</si>
  <si>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</si>
  <si>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</si>
  <si>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</si>
  <si>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Derek Hui</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</si>
  <si>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</si>
  <si>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</si>
  <si>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</si>
  <si>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</si>
  <si>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Derek Peck</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</si>
  <si>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</si>
  <si>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</si>
  <si>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</si>
  <si>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</si>
  <si>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Derek Yee</t>
  </si>
  <si>
    <t>s1075</t>
  </si>
  <si>
    <t>Motu Patlu the Superheroes – Super Villains from Mars</t>
  </si>
  <si>
    <t>79 min</t>
  </si>
  <si>
    <t>Friends Motu and Patlu must save the world from three space thieves, but the job gets much harder when a cosmic collision gives the enemies superpowers!</t>
  </si>
  <si>
    <t>Derick Cabrido</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</si>
  <si>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</si>
  <si>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</si>
  <si>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</si>
  <si>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</si>
  <si>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</si>
  <si>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Desingh Periyasamy</t>
  </si>
  <si>
    <t>s1077</t>
  </si>
  <si>
    <t>Shiva VS Autobots</t>
  </si>
  <si>
    <t>When an evil enemy gains control of a gadget that sends vehicles destructively spinning out of control, kid superhero Shiva must stop the chaos!</t>
  </si>
  <si>
    <t>Destin Daniel Cretton</t>
  </si>
  <si>
    <t>s1078</t>
  </si>
  <si>
    <t>Shiva: Journey to Plunotaria</t>
  </si>
  <si>
    <t>Young superhero Shiva must use his powers to thwart a scheming scientist’s plans to blast Earth with explosive pellets from planet Plunotaria.</t>
  </si>
  <si>
    <t>Detlev Buck</t>
  </si>
  <si>
    <t>s1079</t>
  </si>
  <si>
    <t>Shiva: The Secret World Of Vedas City</t>
  </si>
  <si>
    <t>When the residents of Vedas are ordered to evacuate by a prince who claims the town as his own, young Shiva sets out to save the city and its citizens.</t>
  </si>
  <si>
    <t>Devaki Singh, Luke Kenny</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</si>
  <si>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</si>
  <si>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</si>
  <si>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</si>
  <si>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</si>
  <si>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Devashish Makhija</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</si>
  <si>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</si>
  <si>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</si>
  <si>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</si>
  <si>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</si>
  <si>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</si>
  <si>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</si>
  <si>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Devika Bhagat</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</si>
  <si>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</si>
  <si>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</si>
  <si>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</si>
  <si>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</si>
  <si>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Devin Chanda</t>
  </si>
  <si>
    <t>s1083</t>
  </si>
  <si>
    <t>Don't be the First one</t>
  </si>
  <si>
    <t>Park Mi-sun, Jang Do-youn</t>
  </si>
  <si>
    <t>April 11, 2021</t>
  </si>
  <si>
    <t>Is marriage just better between funny people? Revealing their day-to-day lives, celebrity comedian couples explore the bonds that keep them together.</t>
  </si>
  <si>
    <t>Dhanush</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</si>
  <si>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</si>
  <si>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</si>
  <si>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</si>
  <si>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</si>
  <si>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</si>
  <si>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</si>
  <si>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Dharmendra Suresh Desai</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</si>
  <si>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</si>
  <si>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</si>
  <si>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</si>
  <si>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</si>
  <si>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</si>
  <si>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Dharmesh Darshan</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</si>
  <si>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</si>
  <si>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</si>
  <si>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</si>
  <si>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</si>
  <si>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</si>
  <si>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Dheeraj Berry</t>
  </si>
  <si>
    <t>s1087</t>
  </si>
  <si>
    <t>Ojukokoro: Greed</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</si>
  <si>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</si>
  <si>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</si>
  <si>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Dhilip Kumar</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</si>
  <si>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</si>
  <si>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</si>
  <si>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</si>
  <si>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</si>
  <si>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</si>
  <si>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Dhruv Dhawan</t>
  </si>
  <si>
    <t>s1089</t>
  </si>
  <si>
    <t>Thunder Force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</si>
  <si>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</si>
  <si>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</si>
  <si>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Dianne Dreyer</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</si>
  <si>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</si>
  <si>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</si>
  <si>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</si>
  <si>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</si>
  <si>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</si>
  <si>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</si>
  <si>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</si>
  <si>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</si>
  <si>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</si>
  <si>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</si>
  <si>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Diego Cohen</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</si>
  <si>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</si>
  <si>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</si>
  <si>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</si>
  <si>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</si>
  <si>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Diego Enrique Osorno</t>
  </si>
  <si>
    <t>s1093</t>
  </si>
  <si>
    <t>Dolly Parton: A MusiCares Tribute</t>
  </si>
  <si>
    <t>Dolly Parton</t>
  </si>
  <si>
    <t>April 7, 2021</t>
  </si>
  <si>
    <t>55 min</t>
  </si>
  <si>
    <t>In a star-studded evening of music and memories, a community of iconic performers honor Dolly Parton as the MusiCares Person of the Year.</t>
  </si>
  <si>
    <t>Diego Kaplan</t>
  </si>
  <si>
    <t>s1094</t>
  </si>
  <si>
    <t>The Big Day</t>
  </si>
  <si>
    <t>For six engaged couples, happily ever after begins on a spectacular note in this eye-popping look at India’s multibillion-dollar wedding industry.</t>
  </si>
  <si>
    <t>Diego Lerman</t>
  </si>
  <si>
    <t>s1095</t>
  </si>
  <si>
    <t>The Wedding Coach</t>
  </si>
  <si>
    <t>Former bride and forever comedian Jamie Lee shares her irreverent yet practical tips and tricks for wedding planning with struggling lovebirds.</t>
  </si>
  <si>
    <t>Diego Luna</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</si>
  <si>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</si>
  <si>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</si>
  <si>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</si>
  <si>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</si>
  <si>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Diego Pignataro</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</si>
  <si>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</si>
  <si>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</si>
  <si>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</si>
  <si>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</si>
  <si>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</si>
  <si>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</si>
  <si>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Digo Ricio</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</si>
  <si>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</si>
  <si>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</si>
  <si>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</si>
  <si>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</si>
  <si>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</si>
  <si>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</si>
  <si>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Dileep Narayanan</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</si>
  <si>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</si>
  <si>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</si>
  <si>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</si>
  <si>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</si>
  <si>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</si>
  <si>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Dilip Mehta</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</si>
  <si>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</si>
  <si>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</si>
  <si>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</si>
  <si>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</si>
  <si>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</si>
  <si>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</si>
  <si>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</si>
  <si>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Dimitri Logothetis</t>
  </si>
  <si>
    <t>s1101</t>
  </si>
  <si>
    <t>What Lies Below</t>
  </si>
  <si>
    <t>Ema Horvath, Trey Tucker, Mena Suvari, Haskiri Velazquez, Danny Corbo, Olan Montgomery, Troy Iwata</t>
  </si>
  <si>
    <t>Back home at her lake house, a teenager begins to suspect that a sinister force lurks beneath the surface of her mother's too-perfect new lover.</t>
  </si>
  <si>
    <t>Ding Sheng</t>
  </si>
  <si>
    <t>s1102</t>
  </si>
  <si>
    <t>Escape from Planet Earth</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</si>
  <si>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</si>
  <si>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</si>
  <si>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</si>
  <si>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Ding-Lin Wang</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</si>
  <si>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</si>
  <si>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</si>
  <si>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</si>
  <si>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</si>
  <si>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</si>
  <si>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</si>
  <si>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Dino Risi</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</si>
  <si>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</si>
  <si>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</si>
  <si>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</si>
  <si>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</si>
  <si>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</si>
  <si>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Dito Montiel</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</si>
  <si>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</si>
  <si>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</si>
  <si>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</si>
  <si>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</si>
  <si>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Dj Chen</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</si>
  <si>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</si>
  <si>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</si>
  <si>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</si>
  <si>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</si>
  <si>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</si>
  <si>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Doesjka Van Hoogdalem</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</si>
  <si>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</si>
  <si>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</si>
  <si>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</si>
  <si>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</si>
  <si>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</si>
  <si>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Dolapo Adeleke</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</si>
  <si>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</si>
  <si>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</si>
  <si>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</si>
  <si>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</si>
  <si>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</si>
  <si>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Domenico De Feudis</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</si>
  <si>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</si>
  <si>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</si>
  <si>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</si>
  <si>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</si>
  <si>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</si>
  <si>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</si>
  <si>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</si>
  <si>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</si>
  <si>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</si>
  <si>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</si>
  <si>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</si>
  <si>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</si>
  <si>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</si>
  <si>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</si>
  <si>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</si>
  <si>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Don Bluth</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</si>
  <si>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</si>
  <si>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</si>
  <si>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</si>
  <si>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</si>
  <si>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</si>
  <si>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Don Bluth, Gary Goldman, Dan Kuenster</t>
  </si>
  <si>
    <t>s1113</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</si>
  <si>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</si>
  <si>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</si>
  <si>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</si>
  <si>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Don Mancini</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</si>
  <si>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</si>
  <si>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</si>
  <si>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</si>
  <si>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</si>
  <si>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</si>
  <si>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</si>
  <si>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</si>
  <si>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</si>
  <si>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</si>
  <si>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</si>
  <si>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</si>
  <si>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Don Omope</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</si>
  <si>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</si>
  <si>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</si>
  <si>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</si>
  <si>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</si>
  <si>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</si>
  <si>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</si>
  <si>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Donald Petrie</t>
  </si>
  <si>
    <t>s1117</t>
  </si>
  <si>
    <t>Glimpses of a Future</t>
  </si>
  <si>
    <t>This docuseries celebrates the virtual collaborations between a group of artists, dancers and writers from around the world during the pandemic.</t>
  </si>
  <si>
    <t>Donick Cary</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</si>
  <si>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</si>
  <si>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</si>
  <si>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</si>
  <si>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</si>
  <si>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</si>
  <si>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</si>
  <si>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</si>
  <si>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</si>
  <si>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</si>
  <si>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</si>
  <si>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Dorian Fernández-Moris</t>
  </si>
  <si>
    <t>s1120</t>
  </si>
  <si>
    <t>Into the Grizzly Maze</t>
  </si>
  <si>
    <t>James Marsden, Thomas Jane, Billy Bob Thornton, Piper Perabo, Scott Glenn, Michaela McManus, Adam Beach, Kelly Curran</t>
  </si>
  <si>
    <t>Estranged brothers Beckett and Rowan reunite in the Alaskan wild to confront a savage grizzly bear wreaking havoc on their hometown.</t>
  </si>
  <si>
    <t>Doron Paz, Yoav Paz</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</si>
  <si>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</si>
  <si>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</si>
  <si>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</si>
  <si>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</si>
  <si>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</si>
  <si>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</si>
  <si>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Doug Hamilton</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</si>
  <si>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</si>
  <si>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</si>
  <si>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</si>
  <si>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</si>
  <si>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Doug Lefler</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</si>
  <si>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</si>
  <si>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</si>
  <si>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</si>
  <si>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</si>
  <si>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</si>
  <si>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</si>
  <si>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</si>
  <si>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</si>
  <si>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</si>
  <si>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Douglas Mcgrath</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</si>
  <si>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</si>
  <si>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</si>
  <si>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</si>
  <si>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</si>
  <si>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</si>
  <si>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</si>
  <si>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</si>
  <si>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</si>
  <si>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</si>
  <si>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Drea Cooper, Zackary Canepari</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</si>
  <si>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</si>
  <si>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</si>
  <si>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</si>
  <si>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</si>
  <si>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</si>
  <si>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</si>
  <si>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</si>
  <si>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Drew Casson</t>
  </si>
  <si>
    <t>s1128</t>
  </si>
  <si>
    <t>Prank Encounters</t>
  </si>
  <si>
    <t>Gaten Matarazzo</t>
  </si>
  <si>
    <t>Reality TV, TV Comedies, TV Horror</t>
  </si>
  <si>
    <t>Monstrous frights meet hilarious reveals on this hidden-camera prank show as real people become the stars of their own full-blown horror movie.</t>
  </si>
  <si>
    <t>Drew Heriot</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</si>
  <si>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</si>
  <si>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</si>
  <si>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</si>
  <si>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</si>
  <si>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</si>
  <si>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Drew Stone</t>
  </si>
  <si>
    <t>s1130</t>
  </si>
  <si>
    <t>Secrets of Great British Castles</t>
  </si>
  <si>
    <t>Dan Jones</t>
  </si>
  <si>
    <t>Join historian Dan Jones on a journey back in time to the zenith of Britain's most iconic structures and their infamous inhabitants.</t>
  </si>
  <si>
    <t>Duncan Jones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</si>
  <si>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</si>
  <si>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</si>
  <si>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</si>
  <si>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</si>
  <si>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Duncan Mcmath</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</si>
  <si>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</si>
  <si>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</si>
  <si>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</si>
  <si>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</si>
  <si>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</si>
  <si>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</si>
  <si>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</si>
  <si>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</si>
  <si>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</si>
  <si>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</si>
  <si>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</si>
  <si>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</si>
  <si>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</si>
  <si>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</si>
  <si>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Dustin Mckenzie</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</si>
  <si>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</si>
  <si>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</si>
  <si>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</si>
  <si>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</si>
  <si>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</si>
  <si>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Dustin Mckenzie, Andrew Duncan, Audu Paden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</si>
  <si>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</si>
  <si>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</si>
  <si>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</si>
  <si>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</si>
  <si>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</si>
  <si>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Dustin Mckenzie, Steve Sacks</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</si>
  <si>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</si>
  <si>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</si>
  <si>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</si>
  <si>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</si>
  <si>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</si>
  <si>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Dustin Nguyen</t>
  </si>
  <si>
    <t>s1138</t>
  </si>
  <si>
    <t>The Knight and the Princess</t>
  </si>
  <si>
    <t>Sedky Sakhr, Hashem El Garhy, Shahira Kamal, Aiemzy, Hani R. Eskander, Saif Abu-Kandil</t>
  </si>
  <si>
    <t>Egypt, Saudi Arabia</t>
  </si>
  <si>
    <t>A fictional account of the heroic quests of a 7th-century knight, from rescuing hostages abducted by pirates in the Indian Sea to taking on a tyrant.</t>
  </si>
  <si>
    <t>Dylan Bank, Daniel Dimauro, Morgan Pehme</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</si>
  <si>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</si>
  <si>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</si>
  <si>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</si>
  <si>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</si>
  <si>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</si>
  <si>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</si>
  <si>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Dylan C. Brown</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</si>
  <si>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</si>
  <si>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</si>
  <si>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</si>
  <si>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</si>
  <si>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</si>
  <si>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Dylan Haegens, Bas Van Teylingen</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</si>
  <si>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</si>
  <si>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</si>
  <si>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</si>
  <si>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</si>
  <si>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</si>
  <si>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Dylan Howitt</t>
  </si>
  <si>
    <t>s1142</t>
  </si>
  <si>
    <t>Wazir</t>
  </si>
  <si>
    <t>Amitabh Bachchan, Farhan Akhtar, Aditi Rao Hydari, Manav Kaul, Neil Nitin Mukesh, John Abraham</t>
  </si>
  <si>
    <t>Helping an amputee grandmaster settle the score for his tragic past, a grieving detective unravels a conspiracy more complicated than he imagined.</t>
  </si>
  <si>
    <t>Dylan Mohan Gray</t>
  </si>
  <si>
    <t>s1143</t>
  </si>
  <si>
    <t>White Boy</t>
  </si>
  <si>
    <t>Shawn Rech</t>
  </si>
  <si>
    <t>Richard Wershe Jr.</t>
  </si>
  <si>
    <t>This true-crime documentary exposes new facts about alleged teen drug lord "White Boy Rick" and his lesser-known role as an FBI informant.</t>
  </si>
  <si>
    <t>Ed Lilly</t>
  </si>
  <si>
    <t>s1144</t>
  </si>
  <si>
    <t>Worn Stories</t>
  </si>
  <si>
    <t>In this funny, heartfelt and moving docuseries, real people unpack the fascinating and quirky stories around their most meaningful pieces of clothing.</t>
  </si>
  <si>
    <t>Ed Perkins</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</si>
  <si>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</si>
  <si>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</si>
  <si>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</si>
  <si>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</si>
  <si>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</si>
  <si>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Eddie Martin</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</si>
  <si>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</si>
  <si>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</si>
  <si>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</si>
  <si>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</si>
  <si>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</si>
  <si>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</si>
  <si>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</si>
  <si>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Eddie Mensore</t>
  </si>
  <si>
    <t>s1147</t>
  </si>
  <si>
    <t>Haunted: Latin America</t>
  </si>
  <si>
    <t>Real people's terrifying tales of the chilling, unexplained and paranormal come to life with dramatic reenactments in this reality series.</t>
  </si>
  <si>
    <t>Eddie Rosas</t>
  </si>
  <si>
    <t>s1148</t>
  </si>
  <si>
    <t>Not a Game</t>
  </si>
  <si>
    <t>Jose Gomez</t>
  </si>
  <si>
    <t>Brendon Mcdonnell</t>
  </si>
  <si>
    <t>This documentary offers an honest look at our fraught, complex relationship to video games from the perspectives of gamers and their concerned parents.</t>
  </si>
  <si>
    <t>Edgar Wright</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</si>
  <si>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</si>
  <si>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</si>
  <si>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</si>
  <si>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</si>
  <si>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Edoardo Ponti</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</si>
  <si>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</si>
  <si>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</si>
  <si>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</si>
  <si>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</si>
  <si>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Eduardo Casanova</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</si>
  <si>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</si>
  <si>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</si>
  <si>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</si>
  <si>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</si>
  <si>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</si>
  <si>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</si>
  <si>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Eduardo Chauvet</t>
  </si>
  <si>
    <t>s1152</t>
  </si>
  <si>
    <t>Octonauts &amp; the Ring of Fire</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</si>
  <si>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</si>
  <si>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</si>
  <si>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Eduardo Mendoza De Echave</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</si>
  <si>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</si>
  <si>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</si>
  <si>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</si>
  <si>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</si>
  <si>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Eduardo Pinto</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</si>
  <si>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</si>
  <si>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</si>
  <si>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</si>
  <si>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</si>
  <si>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</si>
  <si>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</si>
  <si>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</si>
  <si>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Eduardo Roy Jr.</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</si>
  <si>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</si>
  <si>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</si>
  <si>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</si>
  <si>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</si>
  <si>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</si>
  <si>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</si>
  <si>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Edward Cotterill</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</si>
  <si>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</si>
  <si>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</si>
  <si>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</si>
  <si>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</si>
  <si>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</si>
  <si>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</si>
  <si>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</si>
  <si>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</si>
  <si>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</si>
  <si>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</si>
  <si>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</si>
  <si>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</si>
  <si>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Edward Ellis, Flor Salcedo, Aaron Woolf</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</si>
  <si>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</si>
  <si>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</si>
  <si>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</si>
  <si>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</si>
  <si>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</si>
  <si>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</si>
  <si>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</si>
  <si>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</si>
  <si>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Edward Zwick</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</si>
  <si>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</si>
  <si>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</si>
  <si>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</si>
  <si>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</si>
  <si>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</si>
  <si>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Edwin</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</si>
  <si>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</si>
  <si>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</si>
  <si>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</si>
  <si>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</si>
  <si>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</si>
  <si>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</si>
  <si>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Eeshwar Nivas</t>
  </si>
  <si>
    <t>s1162</t>
  </si>
  <si>
    <t>Elizabeth and Margaret: Love and Loyalty</t>
  </si>
  <si>
    <t>This documentary takes an intimate look at the complex, widely misunderstood relationship between Queen Elizabeth II and her sister, Princess Margaret.</t>
  </si>
  <si>
    <t>Ehtesham Uddin</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</si>
  <si>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</si>
  <si>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</si>
  <si>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</si>
  <si>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</si>
  <si>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</si>
  <si>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Einar Gabbassov</t>
  </si>
  <si>
    <t>s1164</t>
  </si>
  <si>
    <t>Magic for Humans Spain</t>
  </si>
  <si>
    <t>In this Spanish adaptation of "Magic for Humans," folks of all ages on the streets of Barcelona are amazed by tricks that inspire delight and wonder.</t>
  </si>
  <si>
    <t>Ekachai Uekrongtham</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</si>
  <si>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</si>
  <si>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</si>
  <si>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</si>
  <si>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</si>
  <si>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</si>
  <si>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</si>
  <si>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</si>
  <si>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</si>
  <si>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</si>
  <si>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</si>
  <si>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Elaine Bogan, John Sanford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</si>
  <si>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</si>
  <si>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</si>
  <si>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</si>
  <si>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</si>
  <si>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Elaine Mcmillion Sheldon</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</si>
  <si>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</si>
  <si>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</si>
  <si>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</si>
  <si>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</si>
  <si>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</si>
  <si>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</si>
  <si>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Eleonore Pourriat</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</si>
  <si>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</si>
  <si>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</si>
  <si>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</si>
  <si>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</si>
  <si>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Eli Craig</t>
  </si>
  <si>
    <t>s1170</t>
  </si>
  <si>
    <t>Pui Pui Molcar</t>
  </si>
  <si>
    <t>They’re guinea pigs! And they’re cars! The fuzzy and adorable molcars have lots of fun adventures in this delightful stop-motion animation.</t>
  </si>
  <si>
    <t>Eli Roth</t>
  </si>
  <si>
    <t>s1171</t>
  </si>
  <si>
    <t>Secret Magic Control Agency</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</si>
  <si>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</si>
  <si>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</si>
  <si>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</si>
  <si>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Elías León</t>
  </si>
  <si>
    <t>s1172</t>
  </si>
  <si>
    <t>Seaspiracy</t>
  </si>
  <si>
    <t>March 24, 2021</t>
  </si>
  <si>
    <t>Passionate about ocean life, a filmmaker sets out to document the harm that humans do to marine species — and uncovers alarming global corruption.</t>
  </si>
  <si>
    <t>Elisa Fuksas</t>
  </si>
  <si>
    <t>s1173</t>
  </si>
  <si>
    <t>Loyiso Gola: Unlearning</t>
  </si>
  <si>
    <t>Kagiso Lediga</t>
  </si>
  <si>
    <t>Loyiso Gola</t>
  </si>
  <si>
    <t>March 23, 2021</t>
  </si>
  <si>
    <t>South African comedian Loyiso Gola serves up filter-free humor as he riffs about race, identity, politics, and a school prank gone embarrassingly wrong!</t>
  </si>
  <si>
    <t>Elisabeth Vogler</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</si>
  <si>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</si>
  <si>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</si>
  <si>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</si>
  <si>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</si>
  <si>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</si>
  <si>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</si>
  <si>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Elissa Down</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</si>
  <si>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</si>
  <si>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</si>
  <si>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</si>
  <si>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</si>
  <si>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Elite Zexer</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</si>
  <si>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</si>
  <si>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</si>
  <si>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</si>
  <si>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</si>
  <si>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</si>
  <si>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</si>
  <si>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Elizabeth Chai Vasarhelyi</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</si>
  <si>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</si>
  <si>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</si>
  <si>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</si>
  <si>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</si>
  <si>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</si>
  <si>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</si>
  <si>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Elizabeth Wood</t>
  </si>
  <si>
    <t>s1178</t>
  </si>
  <si>
    <t>Hospital</t>
  </si>
  <si>
    <t>Lin Po-Hung, Tai Bo, Jacqueline Zhu, Lei Hong, Hsu Lichi, Yoko Young, Samuel Gu, Eunice Lin</t>
  </si>
  <si>
    <t>In an abandoned hospital in Tainan, visitors seeking to communicate with their relatives' spirits are haunted by disturbing, supernatural occurrences.</t>
  </si>
  <si>
    <t>Elle Callahan</t>
  </si>
  <si>
    <t>s1179</t>
  </si>
  <si>
    <t>Jiu Jitsu</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</si>
  <si>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</si>
  <si>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</si>
  <si>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Elle-Máijá Tailfeathers, Kathleen Hepburn</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</si>
  <si>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</si>
  <si>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</si>
  <si>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</si>
  <si>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</si>
  <si>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Ellen Brown</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</si>
  <si>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</si>
  <si>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</si>
  <si>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</si>
  <si>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</si>
  <si>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</si>
  <si>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Ellen Page, Ian Daniel</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</si>
  <si>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</si>
  <si>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</si>
  <si>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</si>
  <si>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</si>
  <si>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</si>
  <si>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</si>
  <si>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</si>
  <si>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Ellen Weissbrod</t>
  </si>
  <si>
    <t>s1184</t>
  </si>
  <si>
    <t>Reframe THEATER EXPERIENCE with you</t>
  </si>
  <si>
    <t>Taketoshi Sado</t>
  </si>
  <si>
    <t>Perfume's Reframe 2019 concert, performed to great effect in the newly reconstructed Line Cube Shibuya, is recreated as a high-tech concert film.</t>
  </si>
  <si>
    <t>Ellena Wood, Jesse Vile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</si>
  <si>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</si>
  <si>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</si>
  <si>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</si>
  <si>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</si>
  <si>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</si>
  <si>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Elliot Hegarty</t>
  </si>
  <si>
    <t>s1186</t>
  </si>
  <si>
    <t>Who's the Boss</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</si>
  <si>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</si>
  <si>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</si>
  <si>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Elliot Silverstein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</si>
  <si>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</si>
  <si>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</si>
  <si>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</si>
  <si>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</si>
  <si>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</si>
  <si>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Elsa Flores Almaraz, Richard J Montoya</t>
  </si>
  <si>
    <t>s1188</t>
  </si>
  <si>
    <t>Deadly Illusions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</si>
  <si>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</si>
  <si>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</si>
  <si>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Elvira Lind</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</si>
  <si>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</si>
  <si>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</si>
  <si>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</si>
  <si>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</si>
  <si>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</si>
  <si>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Emanuel Hoss-Desmarais</t>
  </si>
  <si>
    <t>s1190</t>
  </si>
  <si>
    <t>Nate Bargatze: The Greatest Average American</t>
  </si>
  <si>
    <t>Troy Miller</t>
  </si>
  <si>
    <t>Nate Bargatze</t>
  </si>
  <si>
    <t>Nate Bargatze touches on Zoom comedy shows, losing his phone, hotel breakfast fails, animal caddies, new math and much more in this special.</t>
  </si>
  <si>
    <t>Emcy Joseph</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</si>
  <si>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</si>
  <si>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</si>
  <si>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</si>
  <si>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</si>
  <si>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</si>
  <si>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Emil Ben-Shimon</t>
  </si>
  <si>
    <t>s1192</t>
  </si>
  <si>
    <t>The Fluffy Movie</t>
  </si>
  <si>
    <t>Manny Rodriguez, Jay Lavender</t>
  </si>
  <si>
    <t>Gabriel Iglesias</t>
  </si>
  <si>
    <t>Comedian Gabriel Iglesias takes the stage in San Jose, California, for a stand-up performance featuring wild stories and even wilder impersonations.</t>
  </si>
  <si>
    <t>Emilio Martínez Lázaro</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</si>
  <si>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</si>
  <si>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</si>
  <si>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</si>
  <si>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</si>
  <si>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</si>
  <si>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</si>
  <si>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</si>
  <si>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Emily Hagins</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</si>
  <si>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</si>
  <si>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</si>
  <si>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</si>
  <si>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</si>
  <si>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</si>
  <si>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Emir Kusturica</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</si>
  <si>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</si>
  <si>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</si>
  <si>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</si>
  <si>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</si>
  <si>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</si>
  <si>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</si>
  <si>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Emma Hatherley</t>
  </si>
  <si>
    <t>s1196</t>
  </si>
  <si>
    <t>Operation Varsity Blues: The College Admissions Scandal</t>
  </si>
  <si>
    <t>Matthew Modine</t>
  </si>
  <si>
    <t>Reenactments drive this documentary investigating the mastermind behind a scam to get the kids of rich and famous families into top US universities.</t>
  </si>
  <si>
    <t>s1197</t>
  </si>
  <si>
    <t>Under Suspicion: Uncovering the Wesphael Case</t>
  </si>
  <si>
    <t>This docuseries follows the high-profile case of Belgian politician Bernard Wesphael, who was accused of murdering his wife in 2013.</t>
  </si>
  <si>
    <t>Emmanuel Amara</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</si>
  <si>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</si>
  <si>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</si>
  <si>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</si>
  <si>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</si>
  <si>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</si>
  <si>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</si>
  <si>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</si>
  <si>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Emmanuel Mouret</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</si>
  <si>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</si>
  <si>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</si>
  <si>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</si>
  <si>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</si>
  <si>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</si>
  <si>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Emmett Malloy</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</si>
  <si>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</si>
  <si>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</si>
  <si>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</si>
  <si>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</si>
  <si>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</si>
  <si>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</si>
  <si>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</si>
  <si>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</si>
  <si>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</si>
  <si>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Enrico Bisi</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</si>
  <si>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</si>
  <si>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</si>
  <si>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</si>
  <si>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</si>
  <si>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</si>
  <si>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Enrique García Meza</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</si>
  <si>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</si>
  <si>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</si>
  <si>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</si>
  <si>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</si>
  <si>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</si>
  <si>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Eric Abrams</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</si>
  <si>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</si>
  <si>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</si>
  <si>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</si>
  <si>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</si>
  <si>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</si>
  <si>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Eric Aghimien</t>
  </si>
  <si>
    <t>s1205</t>
  </si>
  <si>
    <t>The Last Blockbuster</t>
  </si>
  <si>
    <t>Taylor Morden</t>
  </si>
  <si>
    <t>This nostalgic documentary reveals the real story of Blockbuster's demise, and how one last location in Oregon keeps the spirit of a bygone era alive.</t>
  </si>
  <si>
    <t>Eric Bress</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</si>
  <si>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</si>
  <si>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</si>
  <si>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</si>
  <si>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</si>
  <si>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</si>
  <si>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Eric Bross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</si>
  <si>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</si>
  <si>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</si>
  <si>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</si>
  <si>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</si>
  <si>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</si>
  <si>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Eric D. Cabello Díaz</t>
  </si>
  <si>
    <t>s1208</t>
  </si>
  <si>
    <t>Audrey</t>
  </si>
  <si>
    <t>Helena Coan</t>
  </si>
  <si>
    <t>Audrey Hepburn</t>
  </si>
  <si>
    <t>March 14, 2021</t>
  </si>
  <si>
    <t>An intimate portrait of legendary Hollywood actress, fashion icon and humanitarian Audrey Hepburn, who stood for love above all else.</t>
  </si>
  <si>
    <t>Eric Darnell, Simon J. Smith</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</si>
  <si>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</si>
  <si>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</si>
  <si>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</si>
  <si>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</si>
  <si>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</si>
  <si>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</si>
  <si>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Eric Darnell, Tom Mcgrath</t>
  </si>
  <si>
    <t>s1210</t>
  </si>
  <si>
    <t>Just In Time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</si>
  <si>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</si>
  <si>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</si>
  <si>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</si>
  <si>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Eric Darnell, Tom Mcgrath, Conrad Vernon</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</si>
  <si>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</si>
  <si>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</si>
  <si>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</si>
  <si>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</si>
  <si>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</si>
  <si>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Eric Drath</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</si>
  <si>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</si>
  <si>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</si>
  <si>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</si>
  <si>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</si>
  <si>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</si>
  <si>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Eric Goode, Rebecca Chaiklin</t>
  </si>
  <si>
    <t>s1213</t>
  </si>
  <si>
    <t>Paper Lives</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</si>
  <si>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</si>
  <si>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</si>
  <si>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Eric Idle</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</si>
  <si>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</si>
  <si>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</si>
  <si>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</si>
  <si>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</si>
  <si>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Eric Idle, Aubrey Powell</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</si>
  <si>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</si>
  <si>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</si>
  <si>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</si>
  <si>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</si>
  <si>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</si>
  <si>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Eric Juhola</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</si>
  <si>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</si>
  <si>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</si>
  <si>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</si>
  <si>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</si>
  <si>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</si>
  <si>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Eric Khoo</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</si>
  <si>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</si>
  <si>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</si>
  <si>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</si>
  <si>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</si>
  <si>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</si>
  <si>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Eric Laneuville</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</si>
  <si>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</si>
  <si>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</si>
  <si>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</si>
  <si>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</si>
  <si>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</si>
  <si>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</si>
  <si>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</si>
  <si>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</si>
  <si>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</si>
  <si>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Eric Notarnicola</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</si>
  <si>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</si>
  <si>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</si>
  <si>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</si>
  <si>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</si>
  <si>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</si>
  <si>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Eric Stoltz</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</si>
  <si>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</si>
  <si>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</si>
  <si>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</si>
  <si>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</si>
  <si>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</si>
  <si>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</si>
  <si>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</si>
  <si>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Eric Summer, Éric Warin</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</si>
  <si>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</si>
  <si>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</si>
  <si>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</si>
  <si>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</si>
  <si>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</si>
  <si>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Eric Zaragosa</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</si>
  <si>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</si>
  <si>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</si>
  <si>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</si>
  <si>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</si>
  <si>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</si>
  <si>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</si>
  <si>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Erik Canuel</t>
  </si>
  <si>
    <t>s1224</t>
  </si>
  <si>
    <t>Dealer</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</si>
  <si>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</si>
  <si>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</si>
  <si>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</si>
  <si>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Erik Kling, Kevin Peaty</t>
  </si>
  <si>
    <t>s1225</t>
  </si>
  <si>
    <t>Last Chance U: Basketball</t>
  </si>
  <si>
    <t>“Last Chance U” hits the hardwood in East Los Angeles as a coach with strong convictions leads young men who hope to fulfill major college potential.</t>
  </si>
  <si>
    <t>Erik Matti</t>
  </si>
  <si>
    <t>s1226</t>
  </si>
  <si>
    <t>Marriage or Mortgage</t>
  </si>
  <si>
    <t>A wedding planner and a real estate agent compete to win the hearts and budgets of spouses-to-be. Will they pick fairy-tale nuptials or a dream home?</t>
  </si>
  <si>
    <t>Erik Nelson</t>
  </si>
  <si>
    <t>s1227</t>
  </si>
  <si>
    <t>The Houseboat</t>
  </si>
  <si>
    <t>Olli Schulz, Fynn Kliemann</t>
  </si>
  <si>
    <t>March 9, 2021</t>
  </si>
  <si>
    <t>With plenty of passion and little know-how, two musicians undertake a daunting project: turn a late singer's houseboat into a creative musical space.</t>
  </si>
  <si>
    <t>Erik White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</si>
  <si>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</si>
  <si>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</si>
  <si>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</si>
  <si>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</si>
  <si>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</si>
  <si>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</si>
  <si>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</si>
  <si>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</si>
  <si>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</si>
  <si>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</si>
  <si>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</si>
  <si>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</si>
  <si>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</si>
  <si>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</si>
  <si>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</si>
  <si>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</si>
  <si>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Errol Morris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</si>
  <si>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</si>
  <si>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</si>
  <si>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</si>
  <si>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</si>
  <si>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</si>
  <si>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</si>
  <si>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</si>
  <si>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Ertanto Robby Soediskam</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</si>
  <si>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</si>
  <si>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</si>
  <si>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</si>
  <si>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</si>
  <si>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Erwin Van Den Eshof</t>
  </si>
  <si>
    <t>s1233</t>
  </si>
  <si>
    <t>Dogwashers</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</si>
  <si>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</si>
  <si>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</si>
  <si>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</si>
  <si>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</si>
  <si>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</si>
  <si>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</si>
  <si>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Esteban Crespo</t>
  </si>
  <si>
    <t>s1235</t>
  </si>
  <si>
    <t>Nevenka: Breaking the Silence</t>
  </si>
  <si>
    <t>Maribel Sánchez-Maroto</t>
  </si>
  <si>
    <t>Nevenka Fernández, the plaintiff in Spain's first successful lawsuit against a politician for sexual harassment, breaks her silence after 20 years.</t>
  </si>
  <si>
    <t>Esteban Sapir</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</si>
  <si>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</si>
  <si>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</si>
  <si>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</si>
  <si>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</si>
  <si>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</si>
  <si>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Esteban Vidal</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</si>
  <si>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</si>
  <si>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</si>
  <si>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</si>
  <si>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</si>
  <si>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Estela Renner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</si>
  <si>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</si>
  <si>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</si>
  <si>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</si>
  <si>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</si>
  <si>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</si>
  <si>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</si>
  <si>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Ester Gould, Reijer Zwaan</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</si>
  <si>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</si>
  <si>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</si>
  <si>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</si>
  <si>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</si>
  <si>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Ethan Coen, Joel Coen</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</si>
  <si>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</si>
  <si>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</si>
  <si>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</si>
  <si>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</si>
  <si>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</si>
  <si>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Ethan Hawke</t>
  </si>
  <si>
    <t>s1241</t>
  </si>
  <si>
    <t>Safe Haven</t>
  </si>
  <si>
    <t>Josh Duhamel, Julianne Hough, Cobie Smulders, David Lyons, Noah Lomax, Mimi Kirkland</t>
  </si>
  <si>
    <t>When a mysterious woman arrives in a small North Carolina town, she begins a new life but remains haunted by a terrifying secret.</t>
  </si>
  <si>
    <t>Eugenio Derbez</t>
  </si>
  <si>
    <t>s1242</t>
  </si>
  <si>
    <t>Moxie</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</si>
  <si>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</si>
  <si>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</si>
  <si>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</si>
  <si>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</si>
  <si>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</si>
  <si>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</si>
  <si>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</si>
  <si>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</si>
  <si>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Eva Orner</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</si>
  <si>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</si>
  <si>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</si>
  <si>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</si>
  <si>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</si>
  <si>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</si>
  <si>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</si>
  <si>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Eva Trobisch</t>
  </si>
  <si>
    <t>s1245</t>
  </si>
  <si>
    <t>Indoo Ki Jawani</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</si>
  <si>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</si>
  <si>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</si>
  <si>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Eva Vives</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</si>
  <si>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</si>
  <si>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</si>
  <si>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</si>
  <si>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</si>
  <si>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</si>
  <si>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</si>
  <si>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</si>
  <si>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</si>
  <si>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</si>
  <si>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</si>
  <si>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Evan Katz</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</si>
  <si>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</si>
  <si>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</si>
  <si>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</si>
  <si>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</si>
  <si>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Evan Spiridellis, Jeff Gill</t>
  </si>
  <si>
    <t>s1249</t>
  </si>
  <si>
    <t>Biggie: I Got a Story to Tell</t>
  </si>
  <si>
    <t>The Notorious B.I.G., Sean "P. Diddy" Combs</t>
  </si>
  <si>
    <t>Featuring rare footage and in-depth interviews, this documentary celebrates the life of The Notorious B.I.G. on his journey from hustler to rap king.</t>
  </si>
  <si>
    <t>Everardo González</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</si>
  <si>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</si>
  <si>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</si>
  <si>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</si>
  <si>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</si>
  <si>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</si>
  <si>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Everardo Gout</t>
  </si>
  <si>
    <t>s1251</t>
  </si>
  <si>
    <t>Connected</t>
  </si>
  <si>
    <t>Milton Kremer</t>
  </si>
  <si>
    <t>Hernán Cattáneo, Richard Coleman</t>
  </si>
  <si>
    <t>42 min</t>
  </si>
  <si>
    <t>Argentine DJ Hernán Cattáneo, known for his house music innovations, invites a symphonic orchestra for a four-night run at Buenos Aires' Teatro Colón.</t>
  </si>
  <si>
    <t>Evgeny Afineevsky</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</si>
  <si>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</si>
  <si>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</si>
  <si>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</si>
  <si>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</si>
  <si>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</si>
  <si>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</si>
  <si>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</si>
  <si>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</si>
  <si>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</si>
  <si>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</si>
  <si>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Ezekiel Norton</t>
  </si>
  <si>
    <t>s1254</t>
  </si>
  <si>
    <t>LEGO Marvel Spider-Man: Vexed by Venom</t>
  </si>
  <si>
    <t>Robbie Daymond, Ben Pronsky, Josh Keaton, Tara Strong, Jennifer Hale, Laura Bailey</t>
  </si>
  <si>
    <t>22 min</t>
  </si>
  <si>
    <t>When Green Goblin and Venom team up for a disastrous scheme, Spider-Man calls in a wall-crawling ally and must rely on his Spidey senses to stop them.</t>
  </si>
  <si>
    <t>Fab Five Freddie</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</si>
  <si>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</si>
  <si>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</si>
  <si>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</si>
  <si>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</si>
  <si>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</si>
  <si>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Fabien Beziat, Hugues Nancy</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</si>
  <si>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</si>
  <si>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</si>
  <si>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</si>
  <si>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</si>
  <si>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</si>
  <si>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Fabio Grassadonia, Antonio Piazza</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</si>
  <si>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</si>
  <si>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</si>
  <si>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</si>
  <si>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</si>
  <si>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</si>
  <si>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Fabio Ock, Joana Mazzucchelli</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</si>
  <si>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</si>
  <si>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</si>
  <si>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</si>
  <si>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</si>
  <si>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</si>
  <si>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Fabrice Du Welz</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</si>
  <si>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</si>
  <si>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</si>
  <si>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</si>
  <si>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</si>
  <si>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</si>
  <si>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</si>
  <si>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</si>
  <si>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Fabrizio Copano, Augusto Matte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</si>
  <si>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</si>
  <si>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</si>
  <si>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</si>
  <si>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</si>
  <si>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</si>
  <si>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</si>
  <si>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</si>
  <si>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</si>
  <si>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</si>
  <si>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</si>
  <si>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Fajar Bustomi, Pidi Baiq</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</si>
  <si>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</si>
  <si>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</si>
  <si>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</si>
  <si>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</si>
  <si>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</si>
  <si>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</si>
  <si>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Falz</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</si>
  <si>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</si>
  <si>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</si>
  <si>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</si>
  <si>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</si>
  <si>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Faozan Rizal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</si>
  <si>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</si>
  <si>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</si>
  <si>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</si>
  <si>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</si>
  <si>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</si>
  <si>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</si>
  <si>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Faraday Okoro</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</si>
  <si>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</si>
  <si>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</si>
  <si>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</si>
  <si>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</si>
  <si>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</si>
  <si>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Farah Khan</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</si>
  <si>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</si>
  <si>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</si>
  <si>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</si>
  <si>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</si>
  <si>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</si>
  <si>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</si>
  <si>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</si>
  <si>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</si>
  <si>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</si>
  <si>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</si>
  <si>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Faraz Haider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</si>
  <si>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</si>
  <si>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</si>
  <si>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</si>
  <si>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</si>
  <si>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Farhad Safinia</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</si>
  <si>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</si>
  <si>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</si>
  <si>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</si>
  <si>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</si>
  <si>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</si>
  <si>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</si>
  <si>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Farhan Akhtar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</si>
  <si>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</si>
  <si>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</si>
  <si>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</si>
  <si>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</si>
  <si>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</si>
  <si>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Farhan Alam</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</si>
  <si>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</si>
  <si>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</si>
  <si>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</si>
  <si>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</si>
  <si>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Faris Godus</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</si>
  <si>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</si>
  <si>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</si>
  <si>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</si>
  <si>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</si>
  <si>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Farishad I. Latjuba</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</si>
  <si>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</si>
  <si>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</si>
  <si>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</si>
  <si>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</si>
  <si>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</si>
  <si>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Fazila Allana</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</si>
  <si>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</si>
  <si>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</si>
  <si>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</si>
  <si>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</si>
  <si>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</si>
  <si>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Federico D'Alessandro</t>
  </si>
  <si>
    <t>s1275</t>
  </si>
  <si>
    <t>Canine Intervention</t>
  </si>
  <si>
    <t>Jas Leverette</t>
  </si>
  <si>
    <t>No dog, no breed, no behavior is unfixable for Cali K9's Jas Leverette. Follow the Oakland dog trainer as he works with a range of canines and owners.</t>
  </si>
  <si>
    <t>Federico Lemos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</si>
  <si>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</si>
  <si>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</si>
  <si>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</si>
  <si>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</si>
  <si>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Federico Veiroj</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</si>
  <si>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</si>
  <si>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</si>
  <si>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</si>
  <si>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</si>
  <si>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</si>
  <si>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Felipe Cano</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</si>
  <si>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</si>
  <si>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</si>
  <si>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</si>
  <si>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</si>
  <si>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</si>
  <si>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Felix Binder</t>
  </si>
  <si>
    <t>s1279</t>
  </si>
  <si>
    <t>Brian Regan: On the Rocks</t>
  </si>
  <si>
    <t>Brian Regan</t>
  </si>
  <si>
    <t>February 23, 2021</t>
  </si>
  <si>
    <t>Brian Regan tackles the big issues weighing on him, including aging, time, obsessive behavior, backpacks on airplanes, ungrateful horses and raisins.</t>
  </si>
  <si>
    <t>Felix Chong</t>
  </si>
  <si>
    <t>s1280</t>
  </si>
  <si>
    <t>Made You Look: A True Story About Fake Art</t>
  </si>
  <si>
    <t>A woman walks into a New York gallery with a cache of unknown masterworks. Thus begins a story of art world greed, willfulness and a high-stakes con.</t>
  </si>
  <si>
    <t>Felix Herngren, Måns Herngren</t>
  </si>
  <si>
    <t>s1281</t>
  </si>
  <si>
    <t>Pelé</t>
  </si>
  <si>
    <t>Against the backdrop of a turbulent era in Brazil, this documentary captures Pelé’s extraordinary path from breakthrough talent to national hero.</t>
  </si>
  <si>
    <t>Felix Starck</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</si>
  <si>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</si>
  <si>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</si>
  <si>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</si>
  <si>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</si>
  <si>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</si>
  <si>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Felix Thompson</t>
  </si>
  <si>
    <t>s1283</t>
  </si>
  <si>
    <t>Zindagi in Short</t>
  </si>
  <si>
    <t>February 22, 2021</t>
  </si>
  <si>
    <t>Complicated marriages, digital romances, domestic dilemmas and schoolyard bullies get the spotlight in these seven, slice-of-life short films.</t>
  </si>
  <si>
    <t>Felix Van Groeningen, Felix Van Groeningen</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</si>
  <si>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</si>
  <si>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</si>
  <si>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</si>
  <si>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</si>
  <si>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</si>
  <si>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Fellipe Barbosa</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</si>
  <si>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</si>
  <si>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</si>
  <si>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</si>
  <si>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</si>
  <si>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</si>
  <si>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</si>
  <si>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</si>
  <si>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</si>
  <si>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</si>
  <si>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Femi Oyeniran, Kalvadour Peterson</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</si>
  <si>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</si>
  <si>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</si>
  <si>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</si>
  <si>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</si>
  <si>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</si>
  <si>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</si>
  <si>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Femi Oyeniran, Nicky Slimting Walker</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</si>
  <si>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</si>
  <si>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</si>
  <si>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</si>
  <si>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</si>
  <si>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Feng Xiaogang</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</si>
  <si>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</si>
  <si>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</si>
  <si>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</si>
  <si>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</si>
  <si>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</si>
  <si>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</si>
  <si>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</si>
  <si>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</si>
  <si>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</si>
  <si>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</si>
  <si>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</si>
  <si>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</si>
  <si>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</si>
  <si>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</si>
  <si>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</si>
  <si>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</si>
  <si>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</si>
  <si>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</si>
  <si>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</si>
  <si>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</si>
  <si>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</si>
  <si>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Fernando Coimbra</t>
  </si>
  <si>
    <t>s1293</t>
  </si>
  <si>
    <t>Perú: Tesoro escondido</t>
  </si>
  <si>
    <t>Luis Ara</t>
  </si>
  <si>
    <t>Uruguay</t>
  </si>
  <si>
    <t>It's a country steeped in cultural traditions that stretch back more than 1,000 years. But Peru is also a land of surprising natural riches.</t>
  </si>
  <si>
    <t>Fernando Colomo</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</si>
  <si>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</si>
  <si>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</si>
  <si>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</si>
  <si>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</si>
  <si>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</si>
  <si>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Fernando Frías De La Parra</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</si>
  <si>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</si>
  <si>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</si>
  <si>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</si>
  <si>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</si>
  <si>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Fernando González Molina</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</si>
  <si>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</si>
  <si>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</si>
  <si>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</si>
  <si>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</si>
  <si>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</si>
  <si>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</si>
  <si>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Fernando Lebrija</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</si>
  <si>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</si>
  <si>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</si>
  <si>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</si>
  <si>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</si>
  <si>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Fernando Meirelles</t>
  </si>
  <si>
    <t>s1298</t>
  </si>
  <si>
    <t>No Escape Room</t>
  </si>
  <si>
    <t>Jeni Ross, Mark Ghanimé, Hamza Haq, Kathyrn Davis, Dennis Andres, Brianna Barnes</t>
  </si>
  <si>
    <t>A lighthearted bonding opportunity takes a dark and decidedly dangerous turn when a father and daughter try out an escape room in a small town.</t>
  </si>
  <si>
    <t>Fernando Meirelles, Katia Lund</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</si>
  <si>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</si>
  <si>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</si>
  <si>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</si>
  <si>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</si>
  <si>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</si>
  <si>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</si>
  <si>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</si>
  <si>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</si>
  <si>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Fernando Sariñana, José Luis Gutiérrez</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</si>
  <si>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</si>
  <si>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</si>
  <si>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</si>
  <si>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</si>
  <si>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</si>
  <si>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Feroz</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</si>
  <si>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</si>
  <si>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</si>
  <si>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</si>
  <si>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</si>
  <si>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Ferzan Özpetek</t>
  </si>
  <si>
    <t>s1303</t>
  </si>
  <si>
    <t>MeatEater</t>
  </si>
  <si>
    <t>Steven Rinella</t>
  </si>
  <si>
    <t>Docuseries, Reality TV, Science &amp; Nature TV</t>
  </si>
  <si>
    <t>Steven Rinella scrounges in some of America's wildest terrains in this unscripted series showing him on the hunt for wild animals from ducks to deer.</t>
  </si>
  <si>
    <t>Filip Renc</t>
  </si>
  <si>
    <t>s1304</t>
  </si>
  <si>
    <t>The Most Unknown</t>
  </si>
  <si>
    <t>Ian Cheney</t>
  </si>
  <si>
    <t>Traversing disciplines from physics to psychology, nine scientists share ideas and seek common ground by delving into deep existential questions.</t>
  </si>
  <si>
    <t>Filip Zylber</t>
  </si>
  <si>
    <t>s1305</t>
  </si>
  <si>
    <t>Animals on the Loose: A You vs. Wild Movie</t>
  </si>
  <si>
    <t>Bear Grylls</t>
  </si>
  <si>
    <t>February 16, 2021</t>
  </si>
  <si>
    <t>When wild animals escape from a sanctuary, Bear Grylls — and you — must pursue them and secure their protective habitat. An interactive special.</t>
  </si>
  <si>
    <t>Fisher Stevens</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</si>
  <si>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</si>
  <si>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</si>
  <si>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</si>
  <si>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</si>
  <si>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</si>
  <si>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Florent Bodin</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</si>
  <si>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</si>
  <si>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</si>
  <si>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</si>
  <si>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</si>
  <si>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Floria Sigismondi</t>
  </si>
  <si>
    <t>s1308</t>
  </si>
  <si>
    <t>The Resurrection of Gavin Stone</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</si>
  <si>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</si>
  <si>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</si>
  <si>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Florian Gallenberger</t>
  </si>
  <si>
    <t>s1309</t>
  </si>
  <si>
    <t>Booba</t>
  </si>
  <si>
    <t>Roman Karev</t>
  </si>
  <si>
    <t>February 15, 2021</t>
  </si>
  <si>
    <t>The world is a mystery to little Booba. But he approaches the curiosities around him with wonder, finding adventure in his everyday surroundings.</t>
  </si>
  <si>
    <t>Florian Henckel Von Donnersmarck</t>
  </si>
  <si>
    <t>s1310</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</si>
  <si>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</si>
  <si>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</si>
  <si>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</si>
  <si>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Florian Schnell</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</si>
  <si>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</si>
  <si>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</si>
  <si>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</si>
  <si>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</si>
  <si>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Florian Schott</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</si>
  <si>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</si>
  <si>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</si>
  <si>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</si>
  <si>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</si>
  <si>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</si>
  <si>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</si>
  <si>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</si>
  <si>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</si>
  <si>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</si>
  <si>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</si>
  <si>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</si>
  <si>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</si>
  <si>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Fluvio Iannuci, Roly Santos</t>
  </si>
  <si>
    <t>s1314</t>
  </si>
  <si>
    <t>Buried by the Bernards</t>
  </si>
  <si>
    <t>February 12, 2021</t>
  </si>
  <si>
    <t>In this reality series, the bickering but big-hearted Bernards manage their budget-friendly funeral home while helping grieving families say farewell.</t>
  </si>
  <si>
    <t>Fouad Al Shatti</t>
  </si>
  <si>
    <t>s1315</t>
  </si>
  <si>
    <t>Chappelle's Show</t>
  </si>
  <si>
    <t>Dave Chappelle</t>
  </si>
  <si>
    <t>The brilliant Dave Chappelle performs blistering stand-up, impressions and sketches that skewer topics like racism, politics, celebrities and sex.</t>
  </si>
  <si>
    <t>Fouad El-Mohandes</t>
  </si>
  <si>
    <t>s1316</t>
  </si>
  <si>
    <t>Hate by Dani Rovira</t>
  </si>
  <si>
    <t>Mario Briongos</t>
  </si>
  <si>
    <t>Dani Rovira</t>
  </si>
  <si>
    <t>From his hometown of Málaga, Dani Rovira reflects on human beings’ nonsensical hatred in this hilarious and unfiltered comedy special.</t>
  </si>
  <si>
    <t>Francesco Amato</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</si>
  <si>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</si>
  <si>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</si>
  <si>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</si>
  <si>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</si>
  <si>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</si>
  <si>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Francesco Carnesecchi</t>
  </si>
  <si>
    <t>s1318</t>
  </si>
  <si>
    <t>Nadiya Bakes</t>
  </si>
  <si>
    <t>Nadiya Hussain</t>
  </si>
  <si>
    <t>Delightful cakes and heavenly breads pop from the oven as Nadiya Hussain returns to baking, her happy place, and spotlights creative kindred spirits.</t>
  </si>
  <si>
    <t>Francesco Carrozzini</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</si>
  <si>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</si>
  <si>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</si>
  <si>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</si>
  <si>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</si>
  <si>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</si>
  <si>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Francesco Imperato</t>
  </si>
  <si>
    <t>s1320</t>
  </si>
  <si>
    <t>Xico's Journey</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</si>
  <si>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</si>
  <si>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</si>
  <si>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Francesco Lettieri</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</si>
  <si>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</si>
  <si>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</si>
  <si>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</si>
  <si>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</si>
  <si>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</si>
  <si>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</si>
  <si>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</si>
  <si>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</si>
  <si>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</si>
  <si>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</si>
  <si>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</si>
  <si>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Francis Ford Coppola</t>
  </si>
  <si>
    <t>s1323</t>
  </si>
  <si>
    <t>Growing up and other problems</t>
  </si>
  <si>
    <t>Silvia Alonso, Bárbara Goenaga, María Esteve, Vito Sanz, Francesco Carril</t>
  </si>
  <si>
    <t>A 30-something woman without a steady partner or income samples stability when her pregnant best friend asks her to be the godmother of her child.</t>
  </si>
  <si>
    <t>Francis Lee</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</si>
  <si>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</si>
  <si>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</si>
  <si>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</si>
  <si>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</si>
  <si>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</si>
  <si>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Francis Whately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</si>
  <si>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</si>
  <si>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</si>
  <si>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</si>
  <si>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</si>
  <si>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</si>
  <si>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Francisco D'Eufemia</t>
  </si>
  <si>
    <t>s1326</t>
  </si>
  <si>
    <t>Red Dot</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</si>
  <si>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</si>
  <si>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</si>
  <si>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Francisco Macri</t>
  </si>
  <si>
    <t>s1327</t>
  </si>
  <si>
    <t>Squared Love</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</si>
  <si>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</si>
  <si>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</si>
  <si>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Franck Nataf</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</si>
  <si>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</si>
  <si>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</si>
  <si>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</si>
  <si>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</si>
  <si>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Franck Phelizon</t>
  </si>
  <si>
    <t>s1329</t>
  </si>
  <si>
    <t>Crime Scene: The Vanishing at the Cecil Hotel</t>
  </si>
  <si>
    <t>Joe Berlinger</t>
  </si>
  <si>
    <t>February 10, 2021</t>
  </si>
  <si>
    <t>The notorious Cecil Hotel grows in infamy when guest Elisa Lam vanishes. From the creator of "The Ted Bundy Tapes," a dive into crime's darkest places.</t>
  </si>
  <si>
    <t>Franck Ribière</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</si>
  <si>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</si>
  <si>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</si>
  <si>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</si>
  <si>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</si>
  <si>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</si>
  <si>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Frank Ariza</t>
  </si>
  <si>
    <t>s1331</t>
  </si>
  <si>
    <t>The World We Make</t>
  </si>
  <si>
    <t>Caleb Castille, Rose Reid, Kevin Sizemore, Gregory Alan Williams</t>
  </si>
  <si>
    <t>A teenage equestrian and a local football player fall for each other, but simmering racism in their small town puts their relationship to the test.</t>
  </si>
  <si>
    <t>Frank Capra</t>
  </si>
  <si>
    <t>s1332</t>
  </si>
  <si>
    <t>Five Came Back: The Reference Films</t>
  </si>
  <si>
    <t>February 9, 2021</t>
  </si>
  <si>
    <t>This collection includes 12 World War II-era propaganda films — many of which are graphic and offensive — discussed in the docuseries "Five Came Back."</t>
  </si>
  <si>
    <t>Frank Capra, Anatole Litvak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</si>
  <si>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</si>
  <si>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</si>
  <si>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</si>
  <si>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</si>
  <si>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</si>
  <si>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Frank Capra, John Huston, Hugh Stewart, Roy Boulting, Anthony Veiller</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</si>
  <si>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</si>
  <si>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</si>
  <si>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</si>
  <si>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</si>
  <si>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</si>
  <si>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Frank Capra, Joris Ivens</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</si>
  <si>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</si>
  <si>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</si>
  <si>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</si>
  <si>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</si>
  <si>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</si>
  <si>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</si>
  <si>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Frank Coraci</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</si>
  <si>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</si>
  <si>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</si>
  <si>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</si>
  <si>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</si>
  <si>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</si>
  <si>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Frank E. Abney Iii</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</si>
  <si>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</si>
  <si>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</si>
  <si>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</si>
  <si>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</si>
  <si>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</si>
  <si>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</si>
  <si>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</si>
  <si>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</si>
  <si>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</si>
  <si>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</si>
  <si>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</si>
  <si>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Frank Oz</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</si>
  <si>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</si>
  <si>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</si>
  <si>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</si>
  <si>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</si>
  <si>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Frank Oz, Jim Henson</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</si>
  <si>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</si>
  <si>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</si>
  <si>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</si>
  <si>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</si>
  <si>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Frank Rajah Arase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</si>
  <si>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</si>
  <si>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</si>
  <si>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</si>
  <si>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</si>
  <si>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</si>
  <si>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Frank W Chen</t>
  </si>
  <si>
    <t>s1342</t>
  </si>
  <si>
    <t>Malcolm &amp; Marie</t>
  </si>
  <si>
    <t>Sam Levinson</t>
  </si>
  <si>
    <t>Zendaya, John David Washington</t>
  </si>
  <si>
    <t>As a filmmaker and his girlfriend return home from his movie premiere, smoldering tensions and painful revelations push them toward a romantic reckoning.</t>
  </si>
  <si>
    <t>Frant Gwo</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</si>
  <si>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</si>
  <si>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</si>
  <si>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</si>
  <si>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</si>
  <si>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</si>
  <si>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Franziska Meyer Price</t>
  </si>
  <si>
    <t>s1344</t>
  </si>
  <si>
    <t>Strip Down, Rise Up</t>
  </si>
  <si>
    <t>Michèle Ohayon</t>
  </si>
  <si>
    <t>In an effort to reclaim their bodies and lives, a group of women explore the intersections of movement and meaning in a powerful pole dancing program.</t>
  </si>
  <si>
    <t>Frasco Mortiz</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</si>
  <si>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</si>
  <si>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</si>
  <si>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</si>
  <si>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</si>
  <si>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</si>
  <si>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Fred Cavayé</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</si>
  <si>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</si>
  <si>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</si>
  <si>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</si>
  <si>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</si>
  <si>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</si>
  <si>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Fred Durst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</si>
  <si>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</si>
  <si>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</si>
  <si>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</si>
  <si>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</si>
  <si>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</si>
  <si>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</si>
  <si>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Fred M. Wilcox</t>
  </si>
  <si>
    <t>s1348</t>
  </si>
  <si>
    <t>Black Beach</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</si>
  <si>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</si>
  <si>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</si>
  <si>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</si>
  <si>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Fred Olen Ray</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</si>
  <si>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</si>
  <si>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</si>
  <si>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</si>
  <si>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</si>
  <si>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</si>
  <si>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</si>
  <si>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</si>
  <si>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</si>
  <si>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Fred Wolf</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</si>
  <si>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</si>
  <si>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</si>
  <si>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</si>
  <si>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</si>
  <si>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Frédéric Tonolli</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</si>
  <si>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</si>
  <si>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</si>
  <si>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</si>
  <si>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</si>
  <si>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</si>
  <si>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</si>
  <si>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Frederick Cipoletti</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</si>
  <si>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</si>
  <si>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</si>
  <si>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</si>
  <si>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</si>
  <si>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Fredric Lean</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</si>
  <si>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</si>
  <si>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</si>
  <si>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</si>
  <si>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</si>
  <si>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</si>
  <si>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</si>
  <si>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</si>
  <si>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</si>
  <si>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</si>
  <si>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</si>
  <si>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Fritz Böhm</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</si>
  <si>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</si>
  <si>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</si>
  <si>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</si>
  <si>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</si>
  <si>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</si>
  <si>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Fritz Ofner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</si>
  <si>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</si>
  <si>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</si>
  <si>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</si>
  <si>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</si>
  <si>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</si>
  <si>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Fumihiko Sori</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</si>
  <si>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</si>
  <si>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</si>
  <si>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</si>
  <si>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</si>
  <si>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</si>
  <si>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Funke Akindele</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</si>
  <si>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</si>
  <si>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</si>
  <si>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</si>
  <si>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</si>
  <si>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</si>
  <si>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Fuwad Khan</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</si>
  <si>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</si>
  <si>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</si>
  <si>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</si>
  <si>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</si>
  <si>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</si>
  <si>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G.J. Echternkamp</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</si>
  <si>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</si>
  <si>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</si>
  <si>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</si>
  <si>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</si>
  <si>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</si>
  <si>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Gabe Ibáñez</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</si>
  <si>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</si>
  <si>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</si>
  <si>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</si>
  <si>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</si>
  <si>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Gabe Klinger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</si>
  <si>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</si>
  <si>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</si>
  <si>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</si>
  <si>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</si>
  <si>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</si>
  <si>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Gabriel Clarke, Torquil Jones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</si>
  <si>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</si>
  <si>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</si>
  <si>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</si>
  <si>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</si>
  <si>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</si>
  <si>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Gabriel Grieco</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</si>
  <si>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</si>
  <si>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</si>
  <si>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</si>
  <si>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</si>
  <si>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</si>
  <si>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</si>
  <si>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Gabriela Cowperthwaite</t>
  </si>
  <si>
    <t>s1366</t>
  </si>
  <si>
    <t>Zig &amp; Sharko</t>
  </si>
  <si>
    <t>Zig, an island-bound hyena, will do anything to get his paws on Marina the mermaid, but her devoted pal Sharko always comes to her rescue in time.</t>
  </si>
  <si>
    <t>Gabriela García Rivas</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</si>
  <si>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</si>
  <si>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</si>
  <si>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</si>
  <si>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</si>
  <si>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</si>
  <si>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</si>
  <si>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</si>
  <si>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Gabriela Tagliavini</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</si>
  <si>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</si>
  <si>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</si>
  <si>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</si>
  <si>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</si>
  <si>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</si>
  <si>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</si>
  <si>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</si>
  <si>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</si>
  <si>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</si>
  <si>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</si>
  <si>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</si>
  <si>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Gaby Dellal</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</si>
  <si>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</si>
  <si>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</si>
  <si>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</si>
  <si>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</si>
  <si>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</si>
  <si>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Gafoor Y. Elliyaas</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</si>
  <si>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</si>
  <si>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</si>
  <si>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</si>
  <si>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</si>
  <si>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</si>
  <si>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Gagan Puri</t>
  </si>
  <si>
    <t>s1372</t>
  </si>
  <si>
    <t>We Are: The Brooklyn Saints</t>
  </si>
  <si>
    <t>A Brooklyn youth football program and its selfless coaches provide a safe haven for kids to compete and learn lessons that will take them far in life.</t>
  </si>
  <si>
    <t>Gail Willumsen</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</si>
  <si>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</si>
  <si>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</si>
  <si>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</si>
  <si>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</si>
  <si>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</si>
  <si>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</si>
  <si>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Gajendra Ahire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</si>
  <si>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</si>
  <si>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</si>
  <si>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</si>
  <si>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</si>
  <si>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</si>
  <si>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Gajendra Ahire, Viju Mane, Girish Mohite, Ravi Jadhav</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</si>
  <si>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</si>
  <si>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</si>
  <si>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</si>
  <si>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</si>
  <si>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</si>
  <si>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</si>
  <si>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Ganesh Kadam</t>
  </si>
  <si>
    <t>s1376</t>
  </si>
  <si>
    <t>BONDING</t>
  </si>
  <si>
    <t>Zoe Levin, Brendan Scannell, Micah Stock, Theo Stockman, Alex Hurt, D'Arcy Carden, Gabrielle Ryan, Charles Gould</t>
  </si>
  <si>
    <t>A New York City grad student moonlighting as a dominatrix enlists her gay BFF from high school to be her assistant.</t>
  </si>
  <si>
    <t>Gangadhar Salimath</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</si>
  <si>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</si>
  <si>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</si>
  <si>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</si>
  <si>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</si>
  <si>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</si>
  <si>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Gareth Evans</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</si>
  <si>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</si>
  <si>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</si>
  <si>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</si>
  <si>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</si>
  <si>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</si>
  <si>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Garin Nugroho</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</si>
  <si>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</si>
  <si>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</si>
  <si>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</si>
  <si>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</si>
  <si>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</si>
  <si>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</si>
  <si>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</si>
  <si>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</si>
  <si>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</si>
  <si>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</si>
  <si>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</si>
  <si>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</si>
  <si>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</si>
  <si>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</si>
  <si>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</si>
  <si>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</si>
  <si>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</si>
  <si>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</si>
  <si>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</si>
  <si>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</si>
  <si>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Gary Andrews</t>
  </si>
  <si>
    <t>s1383</t>
  </si>
  <si>
    <t>She Is</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</si>
  <si>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</si>
  <si>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</si>
  <si>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Gary Binkow</t>
  </si>
  <si>
    <t>s1384</t>
  </si>
  <si>
    <t>Blown Away</t>
  </si>
  <si>
    <t>January 22, 2021</t>
  </si>
  <si>
    <t>Ten master artists turn up the heat in glassblowing sculpture challenges for the chance to win $60,000 in prizes and the title of champion.</t>
  </si>
  <si>
    <t>Gary Cohen, Ross Hockrow</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</si>
  <si>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</si>
  <si>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</si>
  <si>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</si>
  <si>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</si>
  <si>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Gary David Goldberg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</si>
  <si>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</si>
  <si>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</si>
  <si>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</si>
  <si>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</si>
  <si>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Gary Fleder</t>
  </si>
  <si>
    <t>s1387</t>
  </si>
  <si>
    <t>So My Grandma’s a Lesbian!</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</si>
  <si>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</si>
  <si>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</si>
  <si>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</si>
  <si>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</si>
  <si>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Gary Howsam, Mike Smith, John Paul Tremblay, Robb Wells</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</si>
  <si>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</si>
  <si>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</si>
  <si>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</si>
  <si>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</si>
  <si>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</si>
  <si>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Gary Mak</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</si>
  <si>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</si>
  <si>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</si>
  <si>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</si>
  <si>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</si>
  <si>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</si>
  <si>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</si>
  <si>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Gary Michael Schultz</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</si>
  <si>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</si>
  <si>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</si>
  <si>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</si>
  <si>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</si>
  <si>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</si>
  <si>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</si>
  <si>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</si>
  <si>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</si>
  <si>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</si>
  <si>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</si>
  <si>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</si>
  <si>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</si>
  <si>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</si>
  <si>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</si>
  <si>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</si>
  <si>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</si>
  <si>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</si>
  <si>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</si>
  <si>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Gary Stretch</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</si>
  <si>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</si>
  <si>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</si>
  <si>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</si>
  <si>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</si>
  <si>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Gary Wang</t>
  </si>
  <si>
    <t>s1394</t>
  </si>
  <si>
    <t>Sightless</t>
  </si>
  <si>
    <t>Madelaine Petsch, Alexander Koch, December Ensminger, Lee Jones</t>
  </si>
  <si>
    <t>A former violinist grows suspicious of the new people in her life and their alarming behavior as she recovers from an assault that left her blind.</t>
  </si>
  <si>
    <t>Gary Wheeler</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</si>
  <si>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</si>
  <si>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</si>
  <si>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</si>
  <si>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</si>
  <si>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</si>
  <si>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</si>
  <si>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</si>
  <si>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</si>
  <si>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Gary Young</t>
  </si>
  <si>
    <t>s1397</t>
  </si>
  <si>
    <t>Homefront</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</si>
  <si>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</si>
  <si>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</si>
  <si>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</si>
  <si>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Gaspar Antillo</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</si>
  <si>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</si>
  <si>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</si>
  <si>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</si>
  <si>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</si>
  <si>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</si>
  <si>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</si>
  <si>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</si>
  <si>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</si>
  <si>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Gastón Duprat</t>
  </si>
  <si>
    <t>s1399</t>
  </si>
  <si>
    <t>Death of Me</t>
  </si>
  <si>
    <t>Maggie Q, Luke Hemsworth, Alex Essoe, Ingkarat Jaraswongkosol, Kelly B. Jones, Caledonia Burr</t>
  </si>
  <si>
    <t>With no memory of the previous night, a vacationing couple uncovers a disturbing personal video that inexplicably shows one of them killing the other.</t>
  </si>
  <si>
    <t>Gastón Duprat, Mariano Cohn</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</si>
  <si>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</si>
  <si>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</si>
  <si>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</si>
  <si>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</si>
  <si>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</si>
  <si>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Gaurav Bavdankar</t>
  </si>
  <si>
    <t>s1401</t>
  </si>
  <si>
    <t>Bling Empire</t>
  </si>
  <si>
    <t>January 15, 2021</t>
  </si>
  <si>
    <t>Follow LA's wildly wealthy Asian and Asian American fun seekers as they go all out with fabulous parties, glamour and drama in this reality series.</t>
  </si>
  <si>
    <t>Gaurav Narayanan</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</si>
  <si>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</si>
  <si>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</si>
  <si>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</si>
  <si>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</si>
  <si>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</si>
  <si>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Gauravv K Chawla</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</si>
  <si>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</si>
  <si>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</si>
  <si>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</si>
  <si>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</si>
  <si>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</si>
  <si>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Gauri Shinde</t>
  </si>
  <si>
    <t>s1404</t>
  </si>
  <si>
    <t>Double Dad</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</si>
  <si>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</si>
  <si>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</si>
  <si>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Gautier &amp; Leduc</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</si>
  <si>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</si>
  <si>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</si>
  <si>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</si>
  <si>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</si>
  <si>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Gavin Fitzgerald</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</si>
  <si>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</si>
  <si>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</si>
  <si>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</si>
  <si>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</si>
  <si>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</si>
  <si>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</si>
  <si>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Gavin O'Connor</t>
  </si>
  <si>
    <t>s1407</t>
  </si>
  <si>
    <t>Penguins of Madagascar: The Movie</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</si>
  <si>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</si>
  <si>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</si>
  <si>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Gayane Petrosyan</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</si>
  <si>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</si>
  <si>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</si>
  <si>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</si>
  <si>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</si>
  <si>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</si>
  <si>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</si>
  <si>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Geetu Mohandas</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</si>
  <si>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</si>
  <si>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</si>
  <si>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</si>
  <si>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</si>
  <si>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Gene Quintano</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</si>
  <si>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</si>
  <si>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</si>
  <si>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</si>
  <si>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</si>
  <si>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</si>
  <si>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Genevieve Nnaji</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</si>
  <si>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</si>
  <si>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</si>
  <si>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</si>
  <si>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</si>
  <si>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</si>
  <si>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Genndy Tartakovsky</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</si>
  <si>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</si>
  <si>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</si>
  <si>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</si>
  <si>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</si>
  <si>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</si>
  <si>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Geoff Anderson</t>
  </si>
  <si>
    <t>s1413</t>
  </si>
  <si>
    <t>Wish You</t>
  </si>
  <si>
    <t>Sung Do-jun</t>
  </si>
  <si>
    <t>Kang In-soo, Lee Sang, Soo-bin</t>
  </si>
  <si>
    <t>Singing and dreaming together, a talented singer-songwriter and a same-aged keyboardist add harmony and love to each other’s lives.</t>
  </si>
  <si>
    <t>Geoffrey Orthwein, Andrew Sullivan</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</si>
  <si>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</si>
  <si>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</si>
  <si>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</si>
  <si>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</si>
  <si>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</si>
  <si>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</si>
  <si>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George C. Wolfe</t>
  </si>
  <si>
    <t>s1415</t>
  </si>
  <si>
    <t>The Heartbreak Club</t>
  </si>
  <si>
    <t>Bhisma Mulia, Denira Wiraguna, Didi Kempot, Sisca JKT48, Erick Estrada, Asri Welas, Mo Sidik, Emil Kusumo, Dede Satria, Rezca Syam</t>
  </si>
  <si>
    <t>Coping with heartbreak, the shy owner of a floundering cafe finds solace in the Javanese love songs of Didi Kempot.</t>
  </si>
  <si>
    <t>George Clooney</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</si>
  <si>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</si>
  <si>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</si>
  <si>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</si>
  <si>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</si>
  <si>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</si>
  <si>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</si>
  <si>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</si>
  <si>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</si>
  <si>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</si>
  <si>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</si>
  <si>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</si>
  <si>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</si>
  <si>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Rodrigo de la Serna, Belen Blanco, Walter Jakob, Facundo Aquinos, Patricia Calisaya</t>
  </si>
  <si>
    <t>January 12, 2021</t>
  </si>
  <si>
    <t>Looking for a fresh start, a park ranger gets a new assignment. When he discovers a network of poachers, survival depends on his lethal instincts.</t>
  </si>
  <si>
    <t>George Gallo</t>
  </si>
  <si>
    <t>s1419</t>
  </si>
  <si>
    <t>Chris Rock Total Blackout: The Tamborine Extended Cut</t>
  </si>
  <si>
    <t>In this extended cut of his 2018 special, Chris Rock takes the stage for a special filled with searing observations on fatherhood, infidelity and politics.</t>
  </si>
  <si>
    <t>George Jackson, Doug Mchenry</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</si>
  <si>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</si>
  <si>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</si>
  <si>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</si>
  <si>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</si>
  <si>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</si>
  <si>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</si>
  <si>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George Mendeluk</t>
  </si>
  <si>
    <t>s1421</t>
  </si>
  <si>
    <t>Crack: Cocaine, Corruption &amp; Conspiracy</t>
  </si>
  <si>
    <t>Stanley Nelson</t>
  </si>
  <si>
    <t>January 11, 2021</t>
  </si>
  <si>
    <t>A cheap, powerful drug emerges during a recession, igniting a moral panic fueled by racism. Explore the complex history of crack in the 1980s.</t>
  </si>
  <si>
    <t>George Miller</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</si>
  <si>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</si>
  <si>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</si>
  <si>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</si>
  <si>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</si>
  <si>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</si>
  <si>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</si>
  <si>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</si>
  <si>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</si>
  <si>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</si>
  <si>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</si>
  <si>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</si>
  <si>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</si>
  <si>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</si>
  <si>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</si>
  <si>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</si>
  <si>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</si>
  <si>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George Stevens</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</si>
  <si>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</si>
  <si>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</si>
  <si>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</si>
  <si>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</si>
  <si>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</si>
  <si>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</si>
  <si>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Georges Hachem</t>
  </si>
  <si>
    <t>s1426</t>
  </si>
  <si>
    <t>Creating The Queen's Gambit</t>
  </si>
  <si>
    <t>14 min</t>
  </si>
  <si>
    <t>A fascinating character. Exquisite sets. A wig for every era. The stars, creators and crew reveal how the hit series about a chess prodigy came to life.</t>
  </si>
  <si>
    <t>Gerard Barrett</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</si>
  <si>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</si>
  <si>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</si>
  <si>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</si>
  <si>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</si>
  <si>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Gerard Mcmurray</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</si>
  <si>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</si>
  <si>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</si>
  <si>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</si>
  <si>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</si>
  <si>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</si>
  <si>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</si>
  <si>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</si>
  <si>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</si>
  <si>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</si>
  <si>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</si>
  <si>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Gerardo Olivares</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</si>
  <si>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</si>
  <si>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</si>
  <si>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</si>
  <si>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</si>
  <si>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</si>
  <si>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</si>
  <si>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</si>
  <si>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</si>
  <si>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Gerry Blaksley</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</si>
  <si>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</si>
  <si>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</si>
  <si>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</si>
  <si>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</si>
  <si>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Gerry Hoban</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</si>
  <si>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</si>
  <si>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</si>
  <si>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</si>
  <si>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</si>
  <si>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</si>
  <si>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</si>
  <si>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Gervasio Iglesias, Alexis Morante</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</si>
  <si>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</si>
  <si>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</si>
  <si>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</si>
  <si>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</si>
  <si>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</si>
  <si>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</si>
  <si>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Geun-Hyun Cho</t>
  </si>
  <si>
    <t>s1435</t>
  </si>
  <si>
    <t>Leap!</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</si>
  <si>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</si>
  <si>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</si>
  <si>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</si>
  <si>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Giancarlo Esposito</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</si>
  <si>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</si>
  <si>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</si>
  <si>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</si>
  <si>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</si>
  <si>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</si>
  <si>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</si>
  <si>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Gianfranco Rosi</t>
  </si>
  <si>
    <t>s1437</t>
  </si>
  <si>
    <t>Ratones Paranoicos: The Band that Rocked Argentina</t>
  </si>
  <si>
    <t>Juan Sebastián Gutiérrez, Pablo Cano, Pablo Memi, Roy Quiroga</t>
  </si>
  <si>
    <t>January 6, 2021</t>
  </si>
  <si>
    <t>The irrepressible Ratones Paranoicos, Argentina's most enduring rock band, are featured in vintage concert and backstage footage as their story's told.</t>
  </si>
  <si>
    <t>Gideon Raff</t>
  </si>
  <si>
    <t>s1438</t>
  </si>
  <si>
    <t>Surviving Death</t>
  </si>
  <si>
    <t>What happens after we die? This docuseries explores personal stories and research on near-death experiences, reincarnation and paranormal phenomena.</t>
  </si>
  <si>
    <t>Gil Baroni</t>
  </si>
  <si>
    <t>s1439</t>
  </si>
  <si>
    <t>Tony Parker: The Final Shot</t>
  </si>
  <si>
    <t>Tony Parker</t>
  </si>
  <si>
    <t>This film examines the background and career of Tony Parker, whose determination led him to become arguably the greatest French basketball player.</t>
  </si>
  <si>
    <t>Gil Kenan</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</si>
  <si>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</si>
  <si>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</si>
  <si>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</si>
  <si>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</si>
  <si>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</si>
  <si>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</si>
  <si>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Gilbert Chan</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</si>
  <si>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</si>
  <si>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</si>
  <si>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</si>
  <si>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</si>
  <si>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</si>
  <si>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</si>
  <si>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</si>
  <si>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</si>
  <si>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</si>
  <si>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</si>
  <si>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Gillian Armstrong</t>
  </si>
  <si>
    <t>s1443</t>
  </si>
  <si>
    <t>Korean Pork Belly Rhapsody</t>
  </si>
  <si>
    <t>A love letter to pork belly — a perennial favorite among Koreans of every generation — unfolds with an exploration of its history and cooking methods.</t>
  </si>
  <si>
    <t>Gillian Robespierre</t>
  </si>
  <si>
    <t>s1444</t>
  </si>
  <si>
    <t>QB1: Beyond the Lights</t>
  </si>
  <si>
    <t>This riveting series follows three star high school quarterbacks as they play their final season before moving on to Division I college football.</t>
  </si>
  <si>
    <t>Gina Prince-Bythewood</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</si>
  <si>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</si>
  <si>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</si>
  <si>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</si>
  <si>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</si>
  <si>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</si>
  <si>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</si>
  <si>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Girish Joshi</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</si>
  <si>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</si>
  <si>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</si>
  <si>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</si>
  <si>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</si>
  <si>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</si>
  <si>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</si>
  <si>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</si>
  <si>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Girish Malik</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</si>
  <si>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</si>
  <si>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</si>
  <si>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</si>
  <si>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</si>
  <si>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</si>
  <si>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</si>
  <si>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</si>
  <si>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</si>
  <si>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</si>
  <si>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</si>
  <si>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Giulia Clark</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</si>
  <si>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</si>
  <si>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</si>
  <si>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</si>
  <si>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</si>
  <si>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</si>
  <si>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Giulio Base</t>
  </si>
  <si>
    <t>s1450</t>
  </si>
  <si>
    <t>Dream Home Makeover</t>
  </si>
  <si>
    <t>Dreams come true for real families looking for the perfect home tailored to their own unique style, thanks to Shea and Syd McGee of Studio McGee.</t>
  </si>
  <si>
    <t>Glen Goei, Gavin Yap</t>
  </si>
  <si>
    <t>s1451</t>
  </si>
  <si>
    <t>Eddie Murphy: Raw</t>
  </si>
  <si>
    <t>Robert Townsend</t>
  </si>
  <si>
    <t>Eddie Murphy</t>
  </si>
  <si>
    <t>This stand-up comedy classic features Eddie Murphy live in a provocative series of impressions, observations and remembrances of his childhood.</t>
  </si>
  <si>
    <t>Glen Keane</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</si>
  <si>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</si>
  <si>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</si>
  <si>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</si>
  <si>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</si>
  <si>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</si>
  <si>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</si>
  <si>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</si>
  <si>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</si>
  <si>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</si>
  <si>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</si>
  <si>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</si>
  <si>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</si>
  <si>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</si>
  <si>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</si>
  <si>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</si>
  <si>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Glenn Miller</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</si>
  <si>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</si>
  <si>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</si>
  <si>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</si>
  <si>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</si>
  <si>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</si>
  <si>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</si>
  <si>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</si>
  <si>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</si>
  <si>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</si>
  <si>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Go Koga</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</si>
  <si>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</si>
  <si>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</si>
  <si>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</si>
  <si>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</si>
  <si>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</si>
  <si>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</si>
  <si>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Gonzalo Bendala</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</si>
  <si>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</si>
  <si>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</si>
  <si>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</si>
  <si>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</si>
  <si>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</si>
  <si>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Gonzalo López-Gallego</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</si>
  <si>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</si>
  <si>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</si>
  <si>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</si>
  <si>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</si>
  <si>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</si>
  <si>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Gordon Anderson</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</si>
  <si>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</si>
  <si>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</si>
  <si>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</si>
  <si>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</si>
  <si>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</si>
  <si>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Gordon Chan</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</si>
  <si>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</si>
  <si>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</si>
  <si>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</si>
  <si>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</si>
  <si>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Gordon Parks</t>
  </si>
  <si>
    <t>s1462</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</si>
  <si>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</si>
  <si>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</si>
  <si>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</si>
  <si>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Gore Verbinski</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</si>
  <si>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</si>
  <si>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</si>
  <si>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</si>
  <si>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</si>
  <si>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Graham Phillips, Parker Phillips</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</si>
  <si>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</si>
  <si>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</si>
  <si>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</si>
  <si>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</si>
  <si>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</si>
  <si>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</si>
  <si>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Graham Townsley</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</si>
  <si>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</si>
  <si>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</si>
  <si>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</si>
  <si>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</si>
  <si>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</si>
  <si>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</si>
  <si>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Grand Corps Malade, Mehdi Idir</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</si>
  <si>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</si>
  <si>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</si>
  <si>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</si>
  <si>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</si>
  <si>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Grant Heslov</t>
  </si>
  <si>
    <t>s1467</t>
  </si>
  <si>
    <t>The Minimalists: Less Is Now</t>
  </si>
  <si>
    <t>They've built a movement out of minimalism. Longtime friends Joshua Fields Millburn and Ryan Nicodemus share how our lives can be better with less.</t>
  </si>
  <si>
    <t>Grant Korgan, Brian Niles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</si>
  <si>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</si>
  <si>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</si>
  <si>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</si>
  <si>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</si>
  <si>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</si>
  <si>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</si>
  <si>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Grant S. Johnson, Ippsie Jones</t>
  </si>
  <si>
    <t>s1469</t>
  </si>
  <si>
    <t>What Happened to Mr. Cha?</t>
  </si>
  <si>
    <t>Kim Dong-kyu</t>
  </si>
  <si>
    <t>Cha In-pyo, Cho Dal-hwan, Song Jae-ryong</t>
  </si>
  <si>
    <t>With the peak of his career long behind him, an actor clings to his past glory — until a sudden wake-up call forces him to face who he's become.</t>
  </si>
  <si>
    <t>Grant Singer</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</si>
  <si>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</si>
  <si>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</si>
  <si>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</si>
  <si>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</si>
  <si>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Grant Sputore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</si>
  <si>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</si>
  <si>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</si>
  <si>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</si>
  <si>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</si>
  <si>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</si>
  <si>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</si>
  <si>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</si>
  <si>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Greg Barker</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</si>
  <si>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</si>
  <si>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</si>
  <si>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</si>
  <si>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</si>
  <si>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</si>
  <si>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</si>
  <si>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</si>
  <si>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</si>
  <si>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</si>
  <si>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Greg Coolidge</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</si>
  <si>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</si>
  <si>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</si>
  <si>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</si>
  <si>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</si>
  <si>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</si>
  <si>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Greg Kohs</t>
  </si>
  <si>
    <t>s1475</t>
  </si>
  <si>
    <t>Tarung Sarung</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</si>
  <si>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</si>
  <si>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</si>
  <si>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</si>
  <si>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Greg Macgillivray</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</si>
  <si>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</si>
  <si>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</si>
  <si>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</si>
  <si>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</si>
  <si>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</si>
  <si>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Greg Mclean</t>
  </si>
  <si>
    <t>s1477</t>
  </si>
  <si>
    <t>Best Leftovers Ever!</t>
  </si>
  <si>
    <t>Jackie Tohn, David So, Rosemary Shrager</t>
  </si>
  <si>
    <t>December 30, 2020</t>
  </si>
  <si>
    <t>Decadent pasta from day-old fries? Skillful cooks transform tired leftovers into tantalizing new dishes in this wildly creative culinary competition.</t>
  </si>
  <si>
    <t>Greg Mottola</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</si>
  <si>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</si>
  <si>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</si>
  <si>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</si>
  <si>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</si>
  <si>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Greg Pritikin</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</si>
  <si>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</si>
  <si>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</si>
  <si>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</si>
  <si>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</si>
  <si>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</si>
  <si>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</si>
  <si>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Greg Rankin, Tj Sullivan</t>
  </si>
  <si>
    <t>s1480</t>
  </si>
  <si>
    <t>SanPa: Sins of the Savior</t>
  </si>
  <si>
    <t>Amidst a heroin crisis, Vincenzo Muccioli cared for the addicted, earning him fierce public devotion — even as charges of violence began to mount.</t>
  </si>
  <si>
    <t>Greg Richardson</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</si>
  <si>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</si>
  <si>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</si>
  <si>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</si>
  <si>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</si>
  <si>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</si>
  <si>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Greg Tiernan</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</si>
  <si>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</si>
  <si>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</si>
  <si>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</si>
  <si>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</si>
  <si>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</si>
  <si>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Greg Whiteley</t>
  </si>
  <si>
    <t>s1483</t>
  </si>
  <si>
    <t>Transformers: War for Cybertron: Earthrise</t>
  </si>
  <si>
    <t>While Megatron takes drastic measures to save the Decepticons, the Autobots fight to save all of Cybertron from both on the planet and aboard the Ark.</t>
  </si>
  <si>
    <t>Gregg Bishop</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</si>
  <si>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</si>
  <si>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</si>
  <si>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</si>
  <si>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</si>
  <si>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</si>
  <si>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Gregory Caruso</t>
  </si>
  <si>
    <t>s1485</t>
  </si>
  <si>
    <t>Cops and Robbers</t>
  </si>
  <si>
    <t>Timothy Ware-Hill</t>
  </si>
  <si>
    <t>8 min</t>
  </si>
  <si>
    <t>Animation and activism unite in this multimedia spoken-word response to police brutality and racial injustice.</t>
  </si>
  <si>
    <t>Gregory Hoblit</t>
  </si>
  <si>
    <t>s1486</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</si>
  <si>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</si>
  <si>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</si>
  <si>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</si>
  <si>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Gregory Jacobs</t>
  </si>
  <si>
    <t>s1487</t>
  </si>
  <si>
    <t>Death to 2020</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</si>
  <si>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</si>
  <si>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</si>
  <si>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</si>
  <si>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</si>
  <si>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</si>
  <si>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</si>
  <si>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</si>
  <si>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</si>
  <si>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</si>
  <si>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</si>
  <si>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</si>
  <si>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</si>
  <si>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December 26, 2020</t>
  </si>
  <si>
    <t>Grieving the death of her grandfather, Neige navigates family conflict and questions her world in this meditation about cultural identity and roots.</t>
  </si>
  <si>
    <t>Greta Gerwig</t>
  </si>
  <si>
    <t>s1490</t>
  </si>
  <si>
    <t>Regiment Diaries</t>
  </si>
  <si>
    <t>Historical footage and interviews with soldiers showcase war stories, unique traditions and unifying principles of the Indian Army’s various regiments.</t>
  </si>
  <si>
    <t>Griffin Dunne</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</si>
  <si>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</si>
  <si>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</si>
  <si>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</si>
  <si>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</si>
  <si>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</si>
  <si>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Guilherme Fontes</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</si>
  <si>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</si>
  <si>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</si>
  <si>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</si>
  <si>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</si>
  <si>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</si>
  <si>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</si>
  <si>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Guillaume Pierret</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</si>
  <si>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</si>
  <si>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</si>
  <si>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</si>
  <si>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</si>
  <si>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Guillermo De Oliveira</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</si>
  <si>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</si>
  <si>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</si>
  <si>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</si>
  <si>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</si>
  <si>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</si>
  <si>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Guillermo Del Toro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</si>
  <si>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</si>
  <si>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</si>
  <si>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</si>
  <si>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</si>
  <si>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Guillermo Garcia, David Cantolla</t>
  </si>
  <si>
    <t>s1496</t>
  </si>
  <si>
    <t>Bridezilla</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</si>
  <si>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</si>
  <si>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</si>
  <si>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</si>
  <si>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Gulzar</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</si>
  <si>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</si>
  <si>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</si>
  <si>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</si>
  <si>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</si>
  <si>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</si>
  <si>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Guntur Soeharjanto</t>
  </si>
  <si>
    <t>s1498</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</si>
  <si>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</si>
  <si>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</si>
  <si>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</si>
  <si>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</si>
  <si>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</si>
  <si>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</si>
  <si>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</si>
  <si>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</si>
  <si>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</si>
  <si>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</si>
  <si>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Gupse Özay</t>
  </si>
  <si>
    <t>s1500</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</si>
  <si>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</si>
  <si>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</si>
  <si>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</si>
  <si>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Gurinder Chadha</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</si>
  <si>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</si>
  <si>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</si>
  <si>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</si>
  <si>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</si>
  <si>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</si>
  <si>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Gurmmeet Singh</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</si>
  <si>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</si>
  <si>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</si>
  <si>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</si>
  <si>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</si>
  <si>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</si>
  <si>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Gurudev Bhalla</t>
  </si>
  <si>
    <t>s1503</t>
  </si>
  <si>
    <t>London Hughes: To Catch a D*ck</t>
  </si>
  <si>
    <t>Kristian Mercado</t>
  </si>
  <si>
    <t>London Hughes</t>
  </si>
  <si>
    <t>Bawdy comedian and television presenter London Hughes revisits her past in this acclaimed breakout special filled with unfiltered tales and wild stories.</t>
  </si>
  <si>
    <t>Gurvinder Singh</t>
  </si>
  <si>
    <t>s1504</t>
  </si>
  <si>
    <t>Lovestruck in the City</t>
  </si>
  <si>
    <t>Ji Chang-wook, Kim Ji-won, Kim Min-seok, Han Ji-eun, Ryu Gyeong-soo, So Joo-yeon</t>
  </si>
  <si>
    <t>Heart stolen by a free-spirited woman after a beachside romance, a passionate architect sets out to reunite with her on the streets of Seoul.</t>
  </si>
  <si>
    <t>Gus Van Sant</t>
  </si>
  <si>
    <t>s1505</t>
  </si>
  <si>
    <t>QLIMAX THE SOURCE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</si>
  <si>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</si>
  <si>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</si>
  <si>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</si>
  <si>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</si>
  <si>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Gustavo Ron</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</si>
  <si>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</si>
  <si>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</si>
  <si>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</si>
  <si>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</si>
  <si>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Guy Ritchie</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</si>
  <si>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</si>
  <si>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</si>
  <si>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</si>
  <si>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</si>
  <si>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</si>
  <si>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</si>
  <si>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Guy Vasilovich</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</si>
  <si>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</si>
  <si>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</si>
  <si>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</si>
  <si>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</si>
  <si>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</si>
  <si>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</si>
  <si>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Habib Faisal</t>
  </si>
  <si>
    <t>s1509</t>
  </si>
  <si>
    <t>Timmy Time</t>
  </si>
  <si>
    <t>Kate Harbour, Justin Fletcher, Louis Jones</t>
  </si>
  <si>
    <t>This delightful animated series centers on impish lamb Timmy as he enters nursery school, where he learns about sharing, responsibility and fairness.</t>
  </si>
  <si>
    <t>Hadi El Bagoury</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</si>
  <si>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</si>
  <si>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</si>
  <si>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</si>
  <si>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</si>
  <si>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</si>
  <si>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</si>
  <si>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</si>
  <si>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</si>
  <si>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</si>
  <si>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</si>
  <si>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</si>
  <si>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Haifaa Al-Mansour</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</si>
  <si>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</si>
  <si>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</si>
  <si>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</si>
  <si>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</si>
  <si>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</si>
  <si>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</si>
  <si>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</si>
  <si>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</si>
  <si>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</si>
  <si>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</si>
  <si>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</si>
  <si>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Haissam Hussain</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</si>
  <si>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</si>
  <si>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</si>
  <si>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</si>
  <si>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</si>
  <si>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</si>
  <si>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</si>
  <si>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</si>
  <si>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</si>
  <si>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</si>
  <si>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</si>
  <si>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</si>
  <si>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</si>
  <si>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</si>
  <si>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</si>
  <si>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</si>
  <si>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</si>
  <si>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Hakan Yonat</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</si>
  <si>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</si>
  <si>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</si>
  <si>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</si>
  <si>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</si>
  <si>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Halder Gomes</t>
  </si>
  <si>
    <t>s1518</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</si>
  <si>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</si>
  <si>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</si>
  <si>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</si>
  <si>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</si>
  <si>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</si>
  <si>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</si>
  <si>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</si>
  <si>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</si>
  <si>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</si>
  <si>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</si>
  <si>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</si>
  <si>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</si>
  <si>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</si>
  <si>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</si>
  <si>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</si>
  <si>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</si>
  <si>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</si>
  <si>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Ham Tran</t>
  </si>
  <si>
    <t>s1522</t>
  </si>
  <si>
    <t>Rabun</t>
  </si>
  <si>
    <t>M. Rajoli, Kartina Aziz, Rozie Rashid, Irwan Iskandar, Noor Khiriah, Hafiz Ibrahim</t>
  </si>
  <si>
    <t>A free-spirited couple leave the city to retire in the country. But when they're swindled by a relative, life in the countryside loses its luster.</t>
  </si>
  <si>
    <t>Hamad Alsarraf</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</si>
  <si>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</si>
  <si>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</si>
  <si>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</si>
  <si>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</si>
  <si>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</si>
  <si>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</si>
  <si>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</si>
  <si>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</si>
  <si>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</si>
  <si>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</si>
  <si>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Han Han</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</si>
  <si>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</si>
  <si>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</si>
  <si>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</si>
  <si>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</si>
  <si>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</si>
  <si>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</si>
  <si>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</si>
  <si>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</si>
  <si>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</si>
  <si>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</si>
  <si>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Han Qing</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</si>
  <si>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</si>
  <si>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</si>
  <si>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</si>
  <si>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</si>
  <si>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Han Yan</t>
  </si>
  <si>
    <t>s1528</t>
  </si>
  <si>
    <t>Morphle</t>
  </si>
  <si>
    <t>Little Mila turns playtime into a series of fun and educational adventures with her magical pet Morphle, who transforms into anything she dreams up!</t>
  </si>
  <si>
    <t>Handan İpekçi</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</si>
  <si>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</si>
  <si>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</si>
  <si>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</si>
  <si>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</si>
  <si>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Hang-Jun Jang</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</si>
  <si>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</si>
  <si>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</si>
  <si>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</si>
  <si>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</si>
  <si>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Hani Al-Shaibani</t>
  </si>
  <si>
    <t>s1531</t>
  </si>
  <si>
    <t>Schulz Saves America</t>
  </si>
  <si>
    <t>Andrew Schulz</t>
  </si>
  <si>
    <t>Comedian Andrew Schulz takes on the year's most divisive topics in this fearlessly unfiltered and irreverent four-part special.</t>
  </si>
  <si>
    <t>Hani Hamdi</t>
  </si>
  <si>
    <t>s1532</t>
  </si>
  <si>
    <t>The Wedding Shaman</t>
  </si>
  <si>
    <t>Atiqah Hasiholan, Tutie Kirana, Arifin Putra, Tio Pakusadewo, Marthino Lio, Oxcel, Dodit Mulyanto</t>
  </si>
  <si>
    <t>After a betrayal at work, a finance professional becomes an assistant to a bride shaman in order to salvage her only remaining property — and love life.</t>
  </si>
  <si>
    <t>Hannah Fidell</t>
  </si>
  <si>
    <t>s1533</t>
  </si>
  <si>
    <t>Anitta: Made In Honório</t>
  </si>
  <si>
    <t>Anitta</t>
  </si>
  <si>
    <t>December 16, 2020</t>
  </si>
  <si>
    <t>In this intimate documentary, Brazilian pop queen Anitta opens up about fame, family and her fierce work ethic, revealing the woman behind the hits.</t>
  </si>
  <si>
    <t>Hannes Stöhr</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</si>
  <si>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</si>
  <si>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</si>
  <si>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</si>
  <si>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</si>
  <si>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</si>
  <si>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Hanno Olderdissen</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</si>
  <si>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</si>
  <si>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</si>
  <si>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</si>
  <si>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</si>
  <si>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</si>
  <si>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</si>
  <si>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</si>
  <si>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</si>
  <si>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</si>
  <si>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Hans Petter Moland</t>
  </si>
  <si>
    <t>s1537</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</si>
  <si>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</si>
  <si>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</si>
  <si>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</si>
  <si>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</si>
  <si>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</si>
  <si>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</si>
  <si>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</si>
  <si>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</si>
  <si>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Hanung Bramantyo, Meisa Felaroze</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</si>
  <si>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</si>
  <si>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</si>
  <si>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</si>
  <si>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</si>
  <si>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</si>
  <si>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</si>
  <si>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</si>
  <si>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</si>
  <si>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Hao Wu</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</si>
  <si>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</si>
  <si>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</si>
  <si>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</si>
  <si>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</si>
  <si>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</si>
  <si>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Harald Zwart</t>
  </si>
  <si>
    <t>s1542</t>
  </si>
  <si>
    <t>The Ripper</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</si>
  <si>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</si>
  <si>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</si>
  <si>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</si>
  <si>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</si>
  <si>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</si>
  <si>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</si>
  <si>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Hari Nath</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</si>
  <si>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</si>
  <si>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</si>
  <si>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</si>
  <si>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</si>
  <si>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</si>
  <si>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Hari Viswanath</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</si>
  <si>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</si>
  <si>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</si>
  <si>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</si>
  <si>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</si>
  <si>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</si>
  <si>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</si>
  <si>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Harjit Singh</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</si>
  <si>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</si>
  <si>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</si>
  <si>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</si>
  <si>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</si>
  <si>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Hark Tsui</t>
  </si>
  <si>
    <t>s1547</t>
  </si>
  <si>
    <t>Song Exploder</t>
  </si>
  <si>
    <t>Hrishikesh Hirway</t>
  </si>
  <si>
    <t>Get inspired as musicians dig deep into the creative process of songwriting and reveal their intimate thoughts in a series based on the hit podcast.</t>
  </si>
  <si>
    <t>Harmony Korine</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</si>
  <si>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</si>
  <si>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</si>
  <si>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</si>
  <si>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</si>
  <si>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</si>
  <si>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</si>
  <si>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</si>
  <si>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</si>
  <si>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Harold Cronk</t>
  </si>
  <si>
    <t>s1550</t>
  </si>
  <si>
    <t>The Professor and the Madman</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</si>
  <si>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</si>
  <si>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</si>
  <si>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</si>
  <si>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Harrison Smith</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</si>
  <si>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</si>
  <si>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</si>
  <si>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</si>
  <si>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</si>
  <si>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</si>
  <si>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</si>
  <si>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Harry Baweja</t>
  </si>
  <si>
    <t>s1552</t>
  </si>
  <si>
    <t>Hilda</t>
  </si>
  <si>
    <t>Bella Ramsey, Ameerah Falzon-Ojo, Oliver Nelson, Daisy Haggard, Rasmus Hardiker</t>
  </si>
  <si>
    <t>Fearless, free-spirited Hilda finds new friends, adventure and magical creatures when she leaves her enchanted forest home and journeys to the city.</t>
  </si>
  <si>
    <t>Harry Bradbeer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</si>
  <si>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</si>
  <si>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</si>
  <si>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</si>
  <si>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</si>
  <si>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</si>
  <si>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Harry Chaskin</t>
  </si>
  <si>
    <t>s1554</t>
  </si>
  <si>
    <t>The Netflix Afterparty: The Best Shows of The Worst Year</t>
  </si>
  <si>
    <t>December 13, 2020</t>
  </si>
  <si>
    <t>David Spade, Fortune Feimster and London Hughes welcome guests from "Tiger King," "Emily in Paris," "The Queen's Gambit" and more. Plus: Kevin Hart.</t>
  </si>
  <si>
    <t>Harry Elfont, Deborah Kaplan</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</si>
  <si>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</si>
  <si>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</si>
  <si>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</si>
  <si>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</si>
  <si>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</si>
  <si>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Harshavardhan Kulkarni</t>
  </si>
  <si>
    <t>s1556</t>
  </si>
  <si>
    <t>Grizzy et les Lemmings</t>
  </si>
  <si>
    <t>Pierre-Alain de Garrigues, Josselin Charier</t>
  </si>
  <si>
    <t>Strong, whip-smart Grizzy rules a Canadian forest, where he has his paws full with a family of frolicsome lemmings.</t>
  </si>
  <si>
    <t>Haruka Fujita</t>
  </si>
  <si>
    <t>s1557</t>
  </si>
  <si>
    <t>A Trash Truck Christmas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</si>
  <si>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</si>
  <si>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</si>
  <si>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</si>
  <si>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Harvey Glazer, Stuart Stone</t>
  </si>
  <si>
    <t>s1558</t>
  </si>
  <si>
    <t>Canvas</t>
  </si>
  <si>
    <t>Frank E. Abney III</t>
  </si>
  <si>
    <t>9 min</t>
  </si>
  <si>
    <t>After a heartbreaking loss, a grandfather struggling to reclaim his passion for painting finds the inspiration to create again.</t>
  </si>
  <si>
    <t>Harvey Lilley</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</si>
  <si>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</si>
  <si>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</si>
  <si>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</si>
  <si>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</si>
  <si>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</si>
  <si>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Harvey Lowry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</si>
  <si>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</si>
  <si>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</si>
  <si>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</si>
  <si>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</si>
  <si>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Hasan Karacadağ</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</si>
  <si>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</si>
  <si>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</si>
  <si>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</si>
  <si>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</si>
  <si>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</si>
  <si>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</si>
  <si>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Hashim Nadeem Khan</t>
  </si>
  <si>
    <t>s1562</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</si>
  <si>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</si>
  <si>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</si>
  <si>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</si>
  <si>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Hasraf Dulull</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</si>
  <si>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</si>
  <si>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</si>
  <si>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</si>
  <si>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</si>
  <si>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</si>
  <si>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</si>
  <si>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Hassan Abdulsalam</t>
  </si>
  <si>
    <t>s1564</t>
  </si>
  <si>
    <t>Funny Boy</t>
  </si>
  <si>
    <t>Brandon Ingram, Nimmi Harasgama, Ali Kazmi, Arush Nand, Agam Darshi, Rehan Mudannayake, Shivantha Wijesinha, Seema Biswas, Hidaayath Hazeer</t>
  </si>
  <si>
    <t>A student must navigate issues of sexuality, identity and family amid Sri Lanka's social turmoil of the 1970s and 1980s.</t>
  </si>
  <si>
    <t>Hassan Hegazy, Shady Ali</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</si>
  <si>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</si>
  <si>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</si>
  <si>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</si>
  <si>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</si>
  <si>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</si>
  <si>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Hatem Khraiche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</si>
  <si>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</si>
  <si>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</si>
  <si>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</si>
  <si>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</si>
  <si>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</si>
  <si>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Hayao Miyazaki</t>
  </si>
  <si>
    <t>s1567</t>
  </si>
  <si>
    <t>She's the One</t>
  </si>
  <si>
    <t>Bea Alonzo, Dingdong Dantes, Enrique Gil</t>
  </si>
  <si>
    <t>When his best friend gets stranded in the rain and becomes the subject of a romantic viral video, a morning show host must confront his true feelings.</t>
  </si>
  <si>
    <t>Hayato Date</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</si>
  <si>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</si>
  <si>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</si>
  <si>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</si>
  <si>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</si>
  <si>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Hayden Guppy</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</si>
  <si>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</si>
  <si>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</si>
  <si>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</si>
  <si>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</si>
  <si>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</si>
  <si>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He Xiaofeng</t>
  </si>
  <si>
    <t>s1570</t>
  </si>
  <si>
    <t>Masameer Classics</t>
  </si>
  <si>
    <t>Malik Nejer, Abdulaziz Alshehri</t>
  </si>
  <si>
    <t>Through dark comedy and eccentric characters, this web series offers a humorous view of the changes and cultural shifts in Saudi Arabia from 2011-2019.</t>
  </si>
  <si>
    <t>Heber Cannon</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</si>
  <si>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</si>
  <si>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</si>
  <si>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</si>
  <si>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</si>
  <si>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Heber Cannon, Mariah Moore, Marston Sawyers</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</si>
  <si>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</si>
  <si>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</si>
  <si>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</si>
  <si>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</si>
  <si>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</si>
  <si>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Hèctor Hernández Vicens</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</si>
  <si>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</si>
  <si>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</si>
  <si>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</si>
  <si>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</si>
  <si>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Heidi Brandenburg, Mathew Orzel</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</si>
  <si>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</si>
  <si>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</si>
  <si>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</si>
  <si>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</si>
  <si>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</si>
  <si>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Heidi Ewing, Rachel Grady</t>
  </si>
  <si>
    <t>s1575</t>
  </si>
  <si>
    <t>The Surgeon's Cut</t>
  </si>
  <si>
    <t>They’re philosophers, storytellers and pioneers in their fields. Four surgeons reflect on their lives and professions in this inspiring docuseries.</t>
  </si>
  <si>
    <t>Heidi Saman</t>
  </si>
  <si>
    <t>s1576</t>
  </si>
  <si>
    <t>André &amp; his olive tree</t>
  </si>
  <si>
    <t>Josiah Ng</t>
  </si>
  <si>
    <t>André Chiang</t>
  </si>
  <si>
    <t>Singapore</t>
  </si>
  <si>
    <t>December 8, 2020</t>
  </si>
  <si>
    <t>As he prepares to close his restaurant, Michelin-starred Chef André Chiang embarks on a personal and emotional journey of reflection.</t>
  </si>
  <si>
    <t>Heitor Dhalia</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</si>
  <si>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</si>
  <si>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</si>
  <si>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</si>
  <si>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</si>
  <si>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</si>
  <si>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</si>
  <si>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</si>
  <si>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</si>
  <si>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</si>
  <si>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</si>
  <si>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</si>
  <si>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</si>
  <si>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</si>
  <si>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</si>
  <si>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</si>
  <si>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</si>
  <si>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</si>
  <si>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Hemant Gaba, Pratim D. Gupta, Sudhish Kamath, Nalan Kumarasamy, Anu Menon, Sandeep Mohan, Qaushiq Mukherjee, Rajshree Ojha, Raja Sen, Abhinav Shiv Tiwari, Suparn Verma</t>
  </si>
  <si>
    <t>s1581</t>
  </si>
  <si>
    <t>Spirit Riding Free: Ride Along Adventure</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</si>
  <si>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</si>
  <si>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</si>
  <si>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</si>
  <si>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</si>
  <si>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</si>
  <si>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</si>
  <si>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Henrik Martin Dahlsbakken</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</si>
  <si>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</si>
  <si>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</si>
  <si>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</si>
  <si>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</si>
  <si>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Henrik Ruben Genz</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</si>
  <si>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</si>
  <si>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</si>
  <si>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</si>
  <si>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</si>
  <si>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</si>
  <si>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Henry Hathaway</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</si>
  <si>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</si>
  <si>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</si>
  <si>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</si>
  <si>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</si>
  <si>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Henry Joost, Ariel Schulman</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</si>
  <si>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</si>
  <si>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</si>
  <si>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</si>
  <si>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</si>
  <si>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Henry Sarwer-Foner</t>
  </si>
  <si>
    <t>s1587</t>
  </si>
  <si>
    <t>Room 2806: The Accusation</t>
  </si>
  <si>
    <t>Jalil Lespert</t>
  </si>
  <si>
    <t>This docuseries follows the 2011 sexual assault case involving French politician Dominique Strauss-Kahn at the height of his career.</t>
  </si>
  <si>
    <t>Henry Selick</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</si>
  <si>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</si>
  <si>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</si>
  <si>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</si>
  <si>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</si>
  <si>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</si>
  <si>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</si>
  <si>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</si>
  <si>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Hepi Mita</t>
  </si>
  <si>
    <t>s1589</t>
  </si>
  <si>
    <t>Mighty Express: A Mighty Christmas</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</si>
  <si>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</si>
  <si>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</si>
  <si>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</si>
  <si>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Herman Yau</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</si>
  <si>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</si>
  <si>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</si>
  <si>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</si>
  <si>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</si>
  <si>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</si>
  <si>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Hernán Guerschuny</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</si>
  <si>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</si>
  <si>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</si>
  <si>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</si>
  <si>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</si>
  <si>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Hernán Zin</t>
  </si>
  <si>
    <t>s1592</t>
  </si>
  <si>
    <t>Captain Underpants Mega Blissmas</t>
  </si>
  <si>
    <t>Nat Faxon, Jay Gragnani, Ramone Hamilton, Sean Astin, Dayci Brookshire, Jim Cummings, Jorge Diaz</t>
  </si>
  <si>
    <t>Christmas gets weird — really weird — after George and Harold go back in time to change up a few of their beloved holiday's traditions.</t>
  </si>
  <si>
    <t>Hideaki Anno</t>
  </si>
  <si>
    <t>s1593</t>
  </si>
  <si>
    <t>Christmas Crossfire</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</si>
  <si>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</si>
  <si>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</si>
  <si>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</si>
  <si>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Hideaki Anno, Kazuya Tsurumaki</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</si>
  <si>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</si>
  <si>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</si>
  <si>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</si>
  <si>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</si>
  <si>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</si>
  <si>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</si>
  <si>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</si>
  <si>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</si>
  <si>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</si>
  <si>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</si>
  <si>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</si>
  <si>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</si>
  <si>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Hidetaka Inazuka</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</si>
  <si>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</si>
  <si>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</si>
  <si>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</si>
  <si>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</si>
  <si>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Hikari</t>
  </si>
  <si>
    <t>s1598</t>
  </si>
  <si>
    <t>You Are My Home</t>
  </si>
  <si>
    <t>Alyssa Milano, Angel Parker, Cristián de la Fuente, Eva Ariel Binder, Joel Steingold</t>
  </si>
  <si>
    <t>After becoming separated from her family, a young girl finds herself in the care of a heartbroken woman who faces her own struggles.</t>
  </si>
  <si>
    <t>Hiromasa Yonebayashi</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</si>
  <si>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</si>
  <si>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</si>
  <si>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</si>
  <si>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</si>
  <si>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</si>
  <si>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</si>
  <si>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Hiromasa Yonebayashi, Yoshiyuki Momose, Akihiko Yamashita</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</si>
  <si>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</si>
  <si>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</si>
  <si>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</si>
  <si>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</si>
  <si>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</si>
  <si>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Hiroshi Aoyama, Kazumi Fukushima, Jim Stenstrum</t>
  </si>
  <si>
    <t>s1601</t>
  </si>
  <si>
    <t>Chico Bon Bon and the Very Berry Holiday</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</si>
  <si>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</si>
  <si>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</si>
  <si>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Hiroshi Katagiri</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</si>
  <si>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</si>
  <si>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</si>
  <si>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</si>
  <si>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</si>
  <si>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</si>
  <si>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</si>
  <si>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</si>
  <si>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Kathryn Bernardo, Daniel Padilla, Liza Soberano, John Estrada, John Lapus</t>
  </si>
  <si>
    <t>When a teenage girl develops romantic feelings for her childhood best friend, she finds herself changing her ways to win him over.</t>
  </si>
  <si>
    <t>Hiroyuki Seshita</t>
  </si>
  <si>
    <t>s1604</t>
  </si>
  <si>
    <t>Alien Worlds</t>
  </si>
  <si>
    <t>December 2, 2020</t>
  </si>
  <si>
    <t>Applying the laws of life on Earth to the rest of the galaxy, this series blends science fact and fiction to imagine alien life on other planets.</t>
  </si>
  <si>
    <t>Hitoshi Namba</t>
  </si>
  <si>
    <t>s1605</t>
  </si>
  <si>
    <t>Ari Eldjárn: Pardon My Icelandic</t>
  </si>
  <si>
    <t>Ari Eldjárn</t>
  </si>
  <si>
    <t>In this English-language special, Icelandic comedian Ari Eldjárn pokes fun at Nordic rivalries, Hollywood's take on Thor, the whims of toddlers and more.</t>
  </si>
  <si>
    <t>Holger Tappe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</si>
  <si>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</si>
  <si>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</si>
  <si>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</si>
  <si>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</si>
  <si>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Honey Trehan</t>
  </si>
  <si>
    <t>s1607</t>
  </si>
  <si>
    <t>Fierce</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</si>
  <si>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</si>
  <si>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</si>
  <si>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</si>
  <si>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</si>
  <si>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</si>
  <si>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</si>
  <si>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Hong Won-Ki</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</si>
  <si>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</si>
  <si>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</si>
  <si>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</si>
  <si>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</si>
  <si>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</si>
  <si>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</si>
  <si>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Hong-Seon Kim</t>
  </si>
  <si>
    <t>s1610</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</si>
  <si>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</si>
  <si>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</si>
  <si>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</si>
  <si>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Houda Benyamina</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</si>
  <si>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</si>
  <si>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</si>
  <si>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</si>
  <si>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</si>
  <si>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</si>
  <si>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Houssam El-Din Mustafa</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</si>
  <si>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</si>
  <si>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</si>
  <si>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</si>
  <si>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</si>
  <si>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</si>
  <si>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</si>
  <si>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</si>
  <si>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</si>
  <si>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Hoyt Yeatman</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</si>
  <si>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</si>
  <si>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</si>
  <si>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</si>
  <si>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</si>
  <si>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</si>
  <si>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Hrishikesh Mukherjee</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</si>
  <si>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</si>
  <si>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</si>
  <si>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</si>
  <si>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</si>
  <si>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</si>
  <si>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Hsu Chih-Yen, Mag Hsu</t>
  </si>
  <si>
    <t>s1616</t>
  </si>
  <si>
    <t>Ink Master</t>
  </si>
  <si>
    <t>Dave Navarro, Chris Nuñez, Oliver Peck</t>
  </si>
  <si>
    <t>Ten of the country's most skilled tattoo artists compete for $100,000 and the title of Ink Master in this high-stakes elimination competition.</t>
  </si>
  <si>
    <t>Hsu Fu-Chun</t>
  </si>
  <si>
    <t>s1617</t>
  </si>
  <si>
    <t>Monster House</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</si>
  <si>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</si>
  <si>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</si>
  <si>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Hua Shan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</si>
  <si>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</si>
  <si>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</si>
  <si>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</si>
  <si>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</si>
  <si>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</si>
  <si>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</si>
  <si>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</si>
  <si>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</si>
  <si>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</si>
  <si>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</si>
  <si>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Huang Jianming</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</si>
  <si>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</si>
  <si>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</si>
  <si>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</si>
  <si>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</si>
  <si>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</si>
  <si>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Huang Lei</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</si>
  <si>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</si>
  <si>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</si>
  <si>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</si>
  <si>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</si>
  <si>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</si>
  <si>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</si>
  <si>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Hubert Woroniecki</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</si>
  <si>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</si>
  <si>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</si>
  <si>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</si>
  <si>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</si>
  <si>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Hugh Wilson</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</si>
  <si>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</si>
  <si>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</si>
  <si>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</si>
  <si>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</si>
  <si>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</si>
  <si>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Hugo Stuven</t>
  </si>
  <si>
    <t>s1624</t>
  </si>
  <si>
    <t>The Bachelorette</t>
  </si>
  <si>
    <t>Beloved “Bachelor” contestant Ali Fedotowsky embarks on her own search for happily ever after and navigates the thrills and spills of reality TV romance.</t>
  </si>
  <si>
    <t>Hugues Nancy, Fabien Beziat</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</si>
  <si>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</si>
  <si>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</si>
  <si>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</si>
  <si>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</si>
  <si>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</si>
  <si>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Husam El-Gohari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</si>
  <si>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</si>
  <si>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</si>
  <si>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</si>
  <si>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</si>
  <si>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</si>
  <si>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Hussein El Ansary</t>
  </si>
  <si>
    <t>s1627</t>
  </si>
  <si>
    <t>The Happytime Murders</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</si>
  <si>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</si>
  <si>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</si>
  <si>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</si>
  <si>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Hussein Kamal</t>
  </si>
  <si>
    <t>s1628</t>
  </si>
  <si>
    <t>The Holiday Movies That Made Us</t>
  </si>
  <si>
    <t>Unwrap the real stories behind these iconic Christmas blockbusters, thanks to insider interviews and behind-the-scenes peeks.</t>
  </si>
  <si>
    <t>Huw Cordey</t>
  </si>
  <si>
    <t>s1629</t>
  </si>
  <si>
    <t>The Repair Shop</t>
  </si>
  <si>
    <t>Expert artisans restore timeworn family heirlooms with touching sentimental value while also uncovering their uniquely rich histories.</t>
  </si>
  <si>
    <t>Iain Softley</t>
  </si>
  <si>
    <t>s1630</t>
  </si>
  <si>
    <t>U-Turn</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</si>
  <si>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</si>
  <si>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</si>
  <si>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Ian Barber</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</si>
  <si>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</si>
  <si>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</si>
  <si>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</si>
  <si>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</si>
  <si>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</si>
  <si>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</si>
  <si>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</si>
  <si>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</si>
  <si>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</si>
  <si>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</si>
  <si>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</si>
  <si>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</si>
  <si>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</si>
  <si>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</si>
  <si>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</si>
  <si>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</si>
  <si>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Ian Edelman</t>
  </si>
  <si>
    <t>s1634</t>
  </si>
  <si>
    <t>The 2nd</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</si>
  <si>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</si>
  <si>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</si>
  <si>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Ian Kirby</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</si>
  <si>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</si>
  <si>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</si>
  <si>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</si>
  <si>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</si>
  <si>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</si>
  <si>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Ian Macallister-Mcdonald</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</si>
  <si>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</si>
  <si>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</si>
  <si>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</si>
  <si>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</si>
  <si>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</si>
  <si>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</si>
  <si>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Ian Macnaughton</t>
  </si>
  <si>
    <t>s1637</t>
  </si>
  <si>
    <t>Dance Dreams: Hot Chocolate Nutcracker</t>
  </si>
  <si>
    <t>Oliver Bokelberg</t>
  </si>
  <si>
    <t>Children &amp; Family Movies, Documentaries</t>
  </si>
  <si>
    <t>This documentary spotlights Debbie Allen's career and follows her group of dance students as they prepare for Allen's annual "Hot Chocolate Nutcracker."</t>
  </si>
  <si>
    <t>Ian Samuels</t>
  </si>
  <si>
    <t>s1638</t>
  </si>
  <si>
    <t>Don’t Listen</t>
  </si>
  <si>
    <t>Rodolfo Sancho, Ana Fernández, Ramón Barea, Belén Fabra, Lucas Blas</t>
  </si>
  <si>
    <t>After a tragic turn of events at the new home he's fixing up, Daniel hears a ghostly plea for help, spurring him to seek out a famous paranormal expert.</t>
  </si>
  <si>
    <t>Ibai Abad</t>
  </si>
  <si>
    <t>s1639</t>
  </si>
  <si>
    <t>Fabulous Lives of Bollywood Wives</t>
  </si>
  <si>
    <t>Cameras follow the banter and bonding between four fun-loving women from Bollywood’s inner circle as they juggle professions, family and friendship.</t>
  </si>
  <si>
    <t>Ibrahim Bin Mohamed, Hasan Aljaberi</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</si>
  <si>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</si>
  <si>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</si>
  <si>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</si>
  <si>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</si>
  <si>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Icíar Bollaín</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</si>
  <si>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</si>
  <si>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</si>
  <si>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</si>
  <si>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</si>
  <si>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Ifa Isfansyah</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</si>
  <si>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</si>
  <si>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</si>
  <si>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</si>
  <si>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</si>
  <si>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</si>
  <si>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</si>
  <si>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</si>
  <si>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</si>
  <si>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</si>
  <si>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Iginio Straffi</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</si>
  <si>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</si>
  <si>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</si>
  <si>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</si>
  <si>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</si>
  <si>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</si>
  <si>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Ignacio López Escrivá</t>
  </si>
  <si>
    <t>s1645</t>
  </si>
  <si>
    <t>Fantastica</t>
  </si>
  <si>
    <t>Vice Ganda, Richard Gutierrez, Dingdong Dantes, Bela Padilla</t>
  </si>
  <si>
    <t>November 26, 2020</t>
  </si>
  <si>
    <t>The owner of a struggling carnival starts putting on small-time shows to save his wonderland as an old friend asks for help with a magical mission.</t>
  </si>
  <si>
    <t>Igor Kovalyov, Norton Virgien</t>
  </si>
  <si>
    <t>s1646</t>
  </si>
  <si>
    <t>Larry the Cable Guy: Remain Seated</t>
  </si>
  <si>
    <t>Larry the Cable Guy</t>
  </si>
  <si>
    <t>With his signature call to "Git-R-Done," Larry muses on swampy weather, late-night shopping at Walmart and other raunchy tales of life in rural America.</t>
  </si>
  <si>
    <t>Ildiko Enyedi</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</si>
  <si>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</si>
  <si>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</si>
  <si>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</si>
  <si>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</si>
  <si>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</si>
  <si>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Ilya Naishuller</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</si>
  <si>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</si>
  <si>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</si>
  <si>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</si>
  <si>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</si>
  <si>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Iman Brotoseno</t>
  </si>
  <si>
    <t>s1649</t>
  </si>
  <si>
    <t>Ghosts of War</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</si>
  <si>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</si>
  <si>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</si>
  <si>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</si>
  <si>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Imtiaz Ali</t>
  </si>
  <si>
    <t>s1650</t>
  </si>
  <si>
    <t>Great Pretender</t>
  </si>
  <si>
    <t>Chiaki Kobayashi, Junichi Suwabe, Natsumi Fujiwara, Mie Sonozaki</t>
  </si>
  <si>
    <t>Supposedly Japan's greatest swindler, Makoto Edamura gets more than he bargained for when he tries to con Laurent Thierry, a real world-class crook.</t>
  </si>
  <si>
    <t>Inas El-Degheidy</t>
  </si>
  <si>
    <t>s1651</t>
  </si>
  <si>
    <t>Shawn Mendes: Live in Concert</t>
  </si>
  <si>
    <t>Shawn Mendes</t>
  </si>
  <si>
    <t>In his hometown of Toronto, Shawn Mendes pours his heart out on stage with a live performance in a stadium packed with adoring fans.</t>
  </si>
  <si>
    <t>Indra Kumar</t>
  </si>
  <si>
    <t>s1652</t>
  </si>
  <si>
    <t>The Christmas Chronicles: Part Two</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</si>
  <si>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</si>
  <si>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</si>
  <si>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Indrajit Nattoji</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</si>
  <si>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</si>
  <si>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</si>
  <si>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</si>
  <si>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</si>
  <si>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</si>
  <si>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</si>
  <si>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</si>
  <si>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Indrasis Acharya</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</si>
  <si>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</si>
  <si>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</si>
  <si>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</si>
  <si>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</si>
  <si>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</si>
  <si>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</si>
  <si>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Iñaki Dorronsoro</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</si>
  <si>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</si>
  <si>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</si>
  <si>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</si>
  <si>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</si>
  <si>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</si>
  <si>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Ira Sachs</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</si>
  <si>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</si>
  <si>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</si>
  <si>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</si>
  <si>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</si>
  <si>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Irek Dobrowolski</t>
  </si>
  <si>
    <t>s1658</t>
  </si>
  <si>
    <t>Notes for My Son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</si>
  <si>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</si>
  <si>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</si>
  <si>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</si>
  <si>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</si>
  <si>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</si>
  <si>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</si>
  <si>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Isaac Ezban</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</si>
  <si>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</si>
  <si>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</si>
  <si>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</si>
  <si>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</si>
  <si>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</si>
  <si>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</si>
  <si>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Isaac Florentine</t>
  </si>
  <si>
    <t>s1661</t>
  </si>
  <si>
    <t>Shawn Mendes: In Wonder</t>
  </si>
  <si>
    <t>Over the course of a world tour, this unguarded documentary follows Shawn Mendes as he opens up about his stardom, relationships and musical future.</t>
  </si>
  <si>
    <t>Isaac Rentz</t>
  </si>
  <si>
    <t>s1662</t>
  </si>
  <si>
    <t>Strongest Deliveryman</t>
  </si>
  <si>
    <t>Ko Kyung-pyo, Chae Soo-bin, Kim Seon-ho, Go Won-hee</t>
  </si>
  <si>
    <t>Two gutsy food delivery workers strive to overcome their socioeconomic disadvantages to achieve big goals – and bump into love along the way.</t>
  </si>
  <si>
    <t>Isabel Coixet</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</si>
  <si>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</si>
  <si>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</si>
  <si>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</si>
  <si>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</si>
  <si>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</si>
  <si>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Isabel Sandoval</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</si>
  <si>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</si>
  <si>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</si>
  <si>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</si>
  <si>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</si>
  <si>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</si>
  <si>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Isabelle Nanty</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</si>
  <si>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</si>
  <si>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</si>
  <si>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</si>
  <si>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</si>
  <si>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Isaki Lacuesta, Isa Campo</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</si>
  <si>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</si>
  <si>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</si>
  <si>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</si>
  <si>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</si>
  <si>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</si>
  <si>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</si>
  <si>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Isao Yukisada</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</si>
  <si>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</si>
  <si>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</si>
  <si>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</si>
  <si>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</si>
  <si>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</si>
  <si>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Ishaan Trivedi</t>
  </si>
  <si>
    <t>s1668</t>
  </si>
  <si>
    <t>Flavorful Origins</t>
  </si>
  <si>
    <t>Yang Chen</t>
  </si>
  <si>
    <t>Delve into the delectable world of Chaoshan cuisine, explore its unique ingredients and hear the stories of the people behind its creation.</t>
  </si>
  <si>
    <t>Ishaya Bako</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</si>
  <si>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</si>
  <si>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</si>
  <si>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</si>
  <si>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</si>
  <si>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Ishi Rudell</t>
  </si>
  <si>
    <t>s1670</t>
  </si>
  <si>
    <t>If Anything Happens I Love You</t>
  </si>
  <si>
    <t>Will McCormack, Michael Govier</t>
  </si>
  <si>
    <t>Grieving parents journey through an emotional void as they mourn the loss of a child in the aftermath of a tragic school shooting.</t>
  </si>
  <si>
    <t>Ishi Rudell, Jayson Thiessen</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</si>
  <si>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</si>
  <si>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</si>
  <si>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</si>
  <si>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</si>
  <si>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Ismail Farouk</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</si>
  <si>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</si>
  <si>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</si>
  <si>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</si>
  <si>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</si>
  <si>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</si>
  <si>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Ismail Farouk, Hazem Fouda</t>
  </si>
  <si>
    <t>s1673</t>
  </si>
  <si>
    <t>Voices of Fire</t>
  </si>
  <si>
    <t>Pharrell Williams</t>
  </si>
  <si>
    <t>In this faith-based docuseries, Bishop Ezekiel Williams builds an inspiring, nontraditional gospel choir with the help of superstar nephew Pharrell.</t>
  </si>
  <si>
    <t>Ísold Uggadóttir</t>
  </si>
  <si>
    <t>s1674</t>
  </si>
  <si>
    <t>Black Friday</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</si>
  <si>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</si>
  <si>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</si>
  <si>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</si>
  <si>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Israel Adrián Caetano</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</si>
  <si>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</si>
  <si>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</si>
  <si>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</si>
  <si>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</si>
  <si>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</si>
  <si>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Israel Adrián Caetano, Bruno Stagnaro</t>
  </si>
  <si>
    <t>s1676</t>
  </si>
  <si>
    <t>Break Ke Baad</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</si>
  <si>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</si>
  <si>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</si>
  <si>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</si>
  <si>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</si>
  <si>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</si>
  <si>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</si>
  <si>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</si>
  <si>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</si>
  <si>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</si>
  <si>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</si>
  <si>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</si>
  <si>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</si>
  <si>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</si>
  <si>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</si>
  <si>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</si>
  <si>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Ivan Sen</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</si>
  <si>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</si>
  <si>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</si>
  <si>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</si>
  <si>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</si>
  <si>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Ivan Silvestrini</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</si>
  <si>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</si>
  <si>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</si>
  <si>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</si>
  <si>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</si>
  <si>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Ivona Juka</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</si>
  <si>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</si>
  <si>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</si>
  <si>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</si>
  <si>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</si>
  <si>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</si>
  <si>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Izidore K. Musallam</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</si>
  <si>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</si>
  <si>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</si>
  <si>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</si>
  <si>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</si>
  <si>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</si>
  <si>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</si>
  <si>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</si>
  <si>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</si>
  <si>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</si>
  <si>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</si>
  <si>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</si>
  <si>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</si>
  <si>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</si>
  <si>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</si>
  <si>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J. Davis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</si>
  <si>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</si>
  <si>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</si>
  <si>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</si>
  <si>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</si>
  <si>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</si>
  <si>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</si>
  <si>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</si>
  <si>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</si>
  <si>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</si>
  <si>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</si>
  <si>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</si>
  <si>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J. Michael Long</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</si>
  <si>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</si>
  <si>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</si>
  <si>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</si>
  <si>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</si>
  <si>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</si>
  <si>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</si>
  <si>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</si>
  <si>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J.C. Chandor</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</si>
  <si>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</si>
  <si>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</si>
  <si>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</si>
  <si>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</si>
  <si>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</si>
  <si>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</si>
  <si>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J.C. Falcón</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</si>
  <si>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</si>
  <si>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</si>
  <si>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</si>
  <si>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</si>
  <si>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</si>
  <si>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</si>
  <si>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</si>
  <si>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</si>
  <si>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</si>
  <si>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</si>
  <si>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</si>
  <si>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J.F. Musial, Josh Vietze</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</si>
  <si>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</si>
  <si>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</si>
  <si>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</si>
  <si>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</si>
  <si>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</si>
  <si>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</si>
  <si>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</si>
  <si>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</si>
  <si>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J.M. Berrios</t>
  </si>
  <si>
    <t>s1695</t>
  </si>
  <si>
    <t>Cloudy with a Chance of Meatballs 2</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</si>
  <si>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</si>
  <si>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</si>
  <si>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Jacek Koprowicz</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</si>
  <si>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</si>
  <si>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</si>
  <si>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</si>
  <si>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</si>
  <si>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</si>
  <si>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Jack C. Newell</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</si>
  <si>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</si>
  <si>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</si>
  <si>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</si>
  <si>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</si>
  <si>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</si>
  <si>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Jack Starrett</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</si>
  <si>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</si>
  <si>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</si>
  <si>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</si>
  <si>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</si>
  <si>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Jack Zagha Kababie</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</si>
  <si>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</si>
  <si>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</si>
  <si>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</si>
  <si>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</si>
  <si>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Jackie Van Beek, Madeleine Sami</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</si>
  <si>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</si>
  <si>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</si>
  <si>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</si>
  <si>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</si>
  <si>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</si>
  <si>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</si>
  <si>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Jacob Joice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</si>
  <si>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</si>
  <si>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</si>
  <si>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</si>
  <si>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</si>
  <si>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</si>
  <si>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Jacob Joice, Steve Ball</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</si>
  <si>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</si>
  <si>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</si>
  <si>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</si>
  <si>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</si>
  <si>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</si>
  <si>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Jacob Kornbluth</t>
  </si>
  <si>
    <t>s1703</t>
  </si>
  <si>
    <t>Fukrey Boyzzz: Space Mein Fukrapanti</t>
  </si>
  <si>
    <t>Viraaj Modgill, Jasleen Singh, Pooja Punjabi, Amit Deondi, Ketan Kava, Zeel Thakkar, Manish Bhavan, Viswanathan Sridhar</t>
  </si>
  <si>
    <t>After a foreboding dream about aliens comes true, a fun-loving trio must prevent human intelligence from being stolen from planet Earth.</t>
  </si>
  <si>
    <t>Jacob Lamendola</t>
  </si>
  <si>
    <t>s1704</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</si>
  <si>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</si>
  <si>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</si>
  <si>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</si>
  <si>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Jacob Schwab</t>
  </si>
  <si>
    <t>s1705</t>
  </si>
  <si>
    <t>The Beginning of Life 2: Outside</t>
  </si>
  <si>
    <t>Renata Terra</t>
  </si>
  <si>
    <t>As urbanization expands throughout society, this documentary discusses the value of finding ways for children to forge real connections with nature.</t>
  </si>
  <si>
    <t>Jacques Perrin, Jacques Cluzaud</t>
  </si>
  <si>
    <t>s1706</t>
  </si>
  <si>
    <t>The Life Ahead</t>
  </si>
  <si>
    <t>Sophia Loren, Ibrahima Gueye, Renato Carpentieri, Diego Iosif Pirvu, Massimiliano Rossi, Abril Zamora, Babak Karimi</t>
  </si>
  <si>
    <t>A Holocaust survivor running a daycare business forms an unlikely friendship with a bitter street kid when she takes him in after he robs her.</t>
  </si>
  <si>
    <t>Jadesola Osiberu</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</si>
  <si>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</si>
  <si>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</si>
  <si>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</si>
  <si>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</si>
  <si>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</si>
  <si>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Jagdeep Sidhu</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</si>
  <si>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</si>
  <si>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</si>
  <si>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</si>
  <si>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</si>
  <si>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</si>
  <si>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Jaivi Dhanda</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</si>
  <si>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</si>
  <si>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</si>
  <si>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</si>
  <si>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</si>
  <si>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Jake Szymanski</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</si>
  <si>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</si>
  <si>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</si>
  <si>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</si>
  <si>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</si>
  <si>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</si>
  <si>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Jaki Bradley</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</si>
  <si>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</si>
  <si>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</si>
  <si>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</si>
  <si>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</si>
  <si>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</si>
  <si>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Jakob Lass</t>
  </si>
  <si>
    <t>s1712</t>
  </si>
  <si>
    <t>Graceful Friends</t>
  </si>
  <si>
    <t>Yu Jun-sang, Song Yoon-a, Bae Soo-bin, Kim Sung-oh, Jung Seok-yong, Kim Won-hae</t>
  </si>
  <si>
    <t>When a sudden death brings everyone’s dirty secrets to the surface, the lives and marriages of a group of close-knit friends unravel out of control.</t>
  </si>
  <si>
    <t>Jakob Verbruggen</t>
  </si>
  <si>
    <t>s1713</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</si>
  <si>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</si>
  <si>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</si>
  <si>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</si>
  <si>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</si>
  <si>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</si>
  <si>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</si>
  <si>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</si>
  <si>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</si>
  <si>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</si>
  <si>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</si>
  <si>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</si>
  <si>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</si>
  <si>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Jamal Hill</t>
  </si>
  <si>
    <t>s1716</t>
  </si>
  <si>
    <t>A Queen Is Born</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</si>
  <si>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</si>
  <si>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</si>
  <si>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</si>
  <si>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</si>
  <si>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</si>
  <si>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</si>
  <si>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</si>
  <si>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James Bamford</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</si>
  <si>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</si>
  <si>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</si>
  <si>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</si>
  <si>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</si>
  <si>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</si>
  <si>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James Barr</t>
  </si>
  <si>
    <t>s1719</t>
  </si>
  <si>
    <t>Trial 4</t>
  </si>
  <si>
    <t>Charged as a teen in the 1993 killing of a Boston cop, Sean K. Ellis fights to prove his innocence while exposing police corruption and systemic racism.</t>
  </si>
  <si>
    <t>James Bobin</t>
  </si>
  <si>
    <t>s1720</t>
  </si>
  <si>
    <t>We Are All For The Fatherland</t>
  </si>
  <si>
    <t>Lebanon, Canada, France</t>
  </si>
  <si>
    <t>After the 1978 Israeli invasion of Lebanon, children try to sing the national anthem as citizens search for hope in the war-torn South.</t>
  </si>
  <si>
    <t>James Brown</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</si>
  <si>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</si>
  <si>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</si>
  <si>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</si>
  <si>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</si>
  <si>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</si>
  <si>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</si>
  <si>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</si>
  <si>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</si>
  <si>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</si>
  <si>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</si>
  <si>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James Dearden</t>
  </si>
  <si>
    <t>s1723</t>
  </si>
  <si>
    <t>DASH &amp; LILY</t>
  </si>
  <si>
    <t>Midori Francis, Austin Abrams, Dante Brown, Troy Iwata</t>
  </si>
  <si>
    <t>Opposites attract at Christmas as cynical Dash and sunny Lily trade messages and dares in a red notebook they pass back and forth around New York City.</t>
  </si>
  <si>
    <t>James Foley</t>
  </si>
  <si>
    <t>s1724</t>
  </si>
  <si>
    <t>Bakugan: Armored Alliance</t>
  </si>
  <si>
    <t>November 6, 2020</t>
  </si>
  <si>
    <t>Dan Kouzo and his crew of heroic brawlers battle both challengers and powerful, evil forces as they work to protect humans and the Bakugan.</t>
  </si>
  <si>
    <t>James Franco</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</si>
  <si>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</si>
  <si>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</si>
  <si>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</si>
  <si>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</si>
  <si>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</si>
  <si>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</si>
  <si>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</si>
  <si>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</si>
  <si>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</si>
  <si>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</si>
  <si>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James Hawes</t>
  </si>
  <si>
    <t>s1727</t>
  </si>
  <si>
    <t>Country Ever After</t>
  </si>
  <si>
    <t>Country artist Coffey Anderson and his wife, hip-hop dancer Criscilla, juggle family life, career goals and tests of faith in this reality series.</t>
  </si>
  <si>
    <t>James Ivory</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</si>
  <si>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</si>
  <si>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</si>
  <si>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</si>
  <si>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</si>
  <si>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</si>
  <si>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James L. Brooks</t>
  </si>
  <si>
    <t>s1729</t>
  </si>
  <si>
    <t>The Endless Trench</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</si>
  <si>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</si>
  <si>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</si>
  <si>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</si>
  <si>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James Lee</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</si>
  <si>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</si>
  <si>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</si>
  <si>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</si>
  <si>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</si>
  <si>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</si>
  <si>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</si>
  <si>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</si>
  <si>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</si>
  <si>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</si>
  <si>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James Marsh</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</si>
  <si>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</si>
  <si>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</si>
  <si>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</si>
  <si>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</si>
  <si>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</si>
  <si>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</si>
  <si>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</si>
  <si>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James Mather, Steve Saint Leger</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</si>
  <si>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</si>
  <si>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</si>
  <si>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</si>
  <si>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</si>
  <si>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James Mcteigue</t>
  </si>
  <si>
    <t>s1734</t>
  </si>
  <si>
    <t>Carmel: Who Killed Maria Marta?</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</si>
  <si>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</si>
  <si>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</si>
  <si>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</si>
  <si>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</si>
  <si>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</si>
  <si>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</si>
  <si>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James Ponsoldt</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</si>
  <si>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</si>
  <si>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</si>
  <si>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</si>
  <si>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</si>
  <si>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</si>
  <si>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</si>
  <si>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</si>
  <si>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</si>
  <si>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</si>
  <si>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</si>
  <si>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</si>
  <si>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James Sweeney</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</si>
  <si>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</si>
  <si>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</si>
  <si>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</si>
  <si>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</si>
  <si>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</si>
  <si>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</si>
  <si>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</si>
  <si>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</si>
  <si>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</si>
  <si>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James Tovell</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</si>
  <si>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</si>
  <si>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</si>
  <si>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</si>
  <si>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</si>
  <si>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</si>
  <si>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</si>
  <si>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</si>
  <si>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</si>
  <si>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James Watkins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</si>
  <si>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</si>
  <si>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</si>
  <si>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</si>
  <si>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</si>
  <si>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</si>
  <si>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James Wong</t>
  </si>
  <si>
    <t>s1743</t>
  </si>
  <si>
    <t>Felix Lobrecht: Hype</t>
  </si>
  <si>
    <t>Jan-Peter Horns</t>
  </si>
  <si>
    <t>Felix Lobrecht</t>
  </si>
  <si>
    <t>November 3, 2020</t>
  </si>
  <si>
    <t>Felix Lobrecht aims his dark humor at overly polite culture, weird laughter, the sheer awkwardness of a walking baby and more in this stand-up special.</t>
  </si>
  <si>
    <t>James Woodroffe</t>
  </si>
  <si>
    <t>s1744</t>
  </si>
  <si>
    <t>MOTHER</t>
  </si>
  <si>
    <t>Tatsushi Omori</t>
  </si>
  <si>
    <t>Masami Nagasawa, Sadao Abe, Daiken Okudaira</t>
  </si>
  <si>
    <t>Shuhei’s erratic mother feels threatened when he starts to awaken to a world beyond her distorted control, sending the family hurtling towards tragedy.</t>
  </si>
  <si>
    <t>James Yukich</t>
  </si>
  <si>
    <t>s1745</t>
  </si>
  <si>
    <t>The Beginning of Life</t>
  </si>
  <si>
    <t>Scientists, advocates and parents around the world explore how carefully tending to kids' earliest needs can shape the course of human society.</t>
  </si>
  <si>
    <t>Jami</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</si>
  <si>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</si>
  <si>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</si>
  <si>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</si>
  <si>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</si>
  <si>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</si>
  <si>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</si>
  <si>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</si>
  <si>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</si>
  <si>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</si>
  <si>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Jamie M. Dagg</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</si>
  <si>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</si>
  <si>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</si>
  <si>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</si>
  <si>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</si>
  <si>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</si>
  <si>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</si>
  <si>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</si>
  <si>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</si>
  <si>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</si>
  <si>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</si>
  <si>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</si>
  <si>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</si>
  <si>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</si>
  <si>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</si>
  <si>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Jan Komasa</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</si>
  <si>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</si>
  <si>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</si>
  <si>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</si>
  <si>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</si>
  <si>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Jan Suter</t>
  </si>
  <si>
    <t>s1752</t>
  </si>
  <si>
    <t>Elf Pets: A Fox Cub’s Christmas Tale</t>
  </si>
  <si>
    <t>Leslie Bellair, Brad Hyland, Brody Rose, Carol Aebersold</t>
  </si>
  <si>
    <t>An elite team of elves – and their furry fox cub friends – help bring the Christmas spirit to a boy whose mom may not make it home for the holidays.</t>
  </si>
  <si>
    <t>Jan Suter, Raúl Campos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</si>
  <si>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</si>
  <si>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</si>
  <si>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</si>
  <si>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</si>
  <si>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</si>
  <si>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Jan Suter, Raúl Campos Delgado</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</si>
  <si>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</si>
  <si>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</si>
  <si>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</si>
  <si>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</si>
  <si>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</si>
  <si>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</si>
  <si>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</si>
  <si>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</si>
  <si>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</si>
  <si>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</si>
  <si>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</si>
  <si>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</si>
  <si>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</si>
  <si>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Janet Tobias, Claus Wehlisch</t>
  </si>
  <si>
    <t>s1757</t>
  </si>
  <si>
    <t>LEGO Jurassic World: Legend of Isla Nublar</t>
  </si>
  <si>
    <t>At Jurassic Park, a velociraptor handler and an operations manager tackle crises of epic proportions as they try to prevent dinosaur-sized disasters.</t>
  </si>
  <si>
    <t>Jang Jae-Hyun</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</si>
  <si>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</si>
  <si>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</si>
  <si>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</si>
  <si>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</si>
  <si>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Jani Lachauer, Jakob Schuh</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</si>
  <si>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</si>
  <si>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</si>
  <si>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</si>
  <si>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</si>
  <si>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Janusz Majewski</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</si>
  <si>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</si>
  <si>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</si>
  <si>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</si>
  <si>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</si>
  <si>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</si>
  <si>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Jarand Herdal</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</si>
  <si>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</si>
  <si>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</si>
  <si>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</si>
  <si>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</si>
  <si>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</si>
  <si>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Jared Hess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</si>
  <si>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</si>
  <si>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</si>
  <si>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</si>
  <si>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</si>
  <si>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</si>
  <si>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</si>
  <si>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</si>
  <si>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</si>
  <si>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</si>
  <si>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</si>
  <si>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</si>
  <si>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Jared Moshé</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</si>
  <si>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</si>
  <si>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</si>
  <si>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</si>
  <si>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</si>
  <si>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</si>
  <si>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Jared Stern</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</si>
  <si>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</si>
  <si>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</si>
  <si>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</si>
  <si>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</si>
  <si>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Jarrad Paul, Andrew Mogel</t>
  </si>
  <si>
    <t>s1766</t>
  </si>
  <si>
    <t>The Garfield Show</t>
  </si>
  <si>
    <t>Frank Welker, Wally Wingert, Gregg Berger</t>
  </si>
  <si>
    <t>Lazy, lasagna-loving fat cat Garfield lives life on his own terms, which includes teasing his geeky owner, Jon, and tormenting dimwitted dog Odie.</t>
  </si>
  <si>
    <t>Jasbir Bijendra Bhati</t>
  </si>
  <si>
    <t>s1767</t>
  </si>
  <si>
    <t>The Good Detective</t>
  </si>
  <si>
    <t>Son Hyun-joo, Jang Seung-jo, Lee Elijah, Oh Jung-se</t>
  </si>
  <si>
    <t>When doubts rise about a five-year-old murder conviction, a veteran detective partners with a young hotshot to hunt down the case's hidden truths.</t>
  </si>
  <si>
    <t>Jasmine D'Souza</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</si>
  <si>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</si>
  <si>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</si>
  <si>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</si>
  <si>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</si>
  <si>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</si>
  <si>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Jason Bourque</t>
  </si>
  <si>
    <t>s1769</t>
  </si>
  <si>
    <t>The Next Karate Kid</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</si>
  <si>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</si>
  <si>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</si>
  <si>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Jason Cohen</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</si>
  <si>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</si>
  <si>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</si>
  <si>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</si>
  <si>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</si>
  <si>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</si>
  <si>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</si>
  <si>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</si>
  <si>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</si>
  <si>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</si>
  <si>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Jason James</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</si>
  <si>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</si>
  <si>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</si>
  <si>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</si>
  <si>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</si>
  <si>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</si>
  <si>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</si>
  <si>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Jason Krawczyk</t>
  </si>
  <si>
    <t>s1773</t>
  </si>
  <si>
    <t>The 12th Man</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</si>
  <si>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</si>
  <si>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</si>
  <si>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Jason Lai</t>
  </si>
  <si>
    <t>s1774</t>
  </si>
  <si>
    <t>Zumbo's Just Desserts</t>
  </si>
  <si>
    <t>Adriano Zumbo, Rachel Khoo</t>
  </si>
  <si>
    <t>Dessert wizard Adriano Zumbo looks for the next “Willy Wonka” in this tense competition that finds skilled amateurs competing for a $100,000 prize.</t>
  </si>
  <si>
    <t>Jason Moore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</si>
  <si>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</si>
  <si>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</si>
  <si>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</si>
  <si>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</si>
  <si>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</si>
  <si>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</si>
  <si>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Jason Orley</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</si>
  <si>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</si>
  <si>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</si>
  <si>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</si>
  <si>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</si>
  <si>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</si>
  <si>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</si>
  <si>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</si>
  <si>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</si>
  <si>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</si>
  <si>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</si>
  <si>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Jason Priestley</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</si>
  <si>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</si>
  <si>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</si>
  <si>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</si>
  <si>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</si>
  <si>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</si>
  <si>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Jason Reitman</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</si>
  <si>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</si>
  <si>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</si>
  <si>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</si>
  <si>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</si>
  <si>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Jason Spingarn-Koff</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</si>
  <si>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</si>
  <si>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</si>
  <si>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</si>
  <si>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</si>
  <si>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Jason Stone</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</si>
  <si>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</si>
  <si>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</si>
  <si>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</si>
  <si>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</si>
  <si>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</si>
  <si>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Jason Sussberg, David Alvarado</t>
  </si>
  <si>
    <t>s1782</t>
  </si>
  <si>
    <t>Somebody Feed Phil</t>
  </si>
  <si>
    <t>Philip Rosenthal</t>
  </si>
  <si>
    <t>"Everybody Loves Raymond" creator Phil Rosenthal travels the globe to take in the local cuisine and culture of Bangkok, Lisbon, Mexico City and more.</t>
  </si>
  <si>
    <t>Jason Winer</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</si>
  <si>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</si>
  <si>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</si>
  <si>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</si>
  <si>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</si>
  <si>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Jason Zada</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</si>
  <si>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</si>
  <si>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</si>
  <si>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</si>
  <si>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</si>
  <si>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</si>
  <si>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</si>
  <si>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</si>
  <si>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</si>
  <si>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</si>
  <si>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</si>
  <si>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</si>
  <si>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Jatla Siddartha</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</si>
  <si>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</si>
  <si>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</si>
  <si>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</si>
  <si>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</si>
  <si>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</si>
  <si>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</si>
  <si>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</si>
  <si>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</si>
  <si>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</si>
  <si>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</si>
  <si>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</si>
  <si>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</si>
  <si>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</si>
  <si>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</si>
  <si>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</si>
  <si>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Javier Ambrossi, Javier Calvo</t>
  </si>
  <si>
    <t>s1789</t>
  </si>
  <si>
    <t>Nobody Sleeps in the Woods Tonight</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</si>
  <si>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</si>
  <si>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</si>
  <si>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Javier Colinas</t>
  </si>
  <si>
    <t>s1790</t>
  </si>
  <si>
    <t>Secrets of the Saqqara Tomb</t>
  </si>
  <si>
    <t>After unearthing a tomb that had been untouched for 4,400 years, Egyptian archaeologists attempt to decipher the history of the extraordinary find.</t>
  </si>
  <si>
    <t>Javier Ruiz Caldera</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</si>
  <si>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</si>
  <si>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</si>
  <si>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</si>
  <si>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</si>
  <si>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</si>
  <si>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Jay Baruchel</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</si>
  <si>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</si>
  <si>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</si>
  <si>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</si>
  <si>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</si>
  <si>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Jay Bulger</t>
  </si>
  <si>
    <t>s1793</t>
  </si>
  <si>
    <t>Guillermo Vilas: Settling the Score</t>
  </si>
  <si>
    <t>Matías Gueilburt</t>
  </si>
  <si>
    <t>An Argentine journalist strives to prove that his countryman, tennis star Guillermo Vilas, was wrongly denied the No. 1 world ranking in the 1970s.</t>
  </si>
  <si>
    <t>Jay Chandrasekhar</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</si>
  <si>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</si>
  <si>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</si>
  <si>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</si>
  <si>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</si>
  <si>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</si>
  <si>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Jay Chapman</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</si>
  <si>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</si>
  <si>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</si>
  <si>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</si>
  <si>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</si>
  <si>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</si>
  <si>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</si>
  <si>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</si>
  <si>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Jay Chou</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</si>
  <si>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</si>
  <si>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</si>
  <si>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</si>
  <si>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</si>
  <si>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</si>
  <si>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</si>
  <si>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</si>
  <si>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</si>
  <si>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</si>
  <si>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</si>
  <si>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</si>
  <si>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</si>
  <si>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</si>
  <si>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Jay Karas</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</si>
  <si>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</si>
  <si>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</si>
  <si>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</si>
  <si>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</si>
  <si>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</si>
  <si>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Jay Karas, Demetri Martin</t>
  </si>
  <si>
    <t>s1799</t>
  </si>
  <si>
    <t>Alice Junior</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</si>
  <si>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</si>
  <si>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</si>
  <si>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</si>
  <si>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Jay Lyons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</si>
  <si>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</si>
  <si>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</si>
  <si>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</si>
  <si>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</si>
  <si>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</si>
  <si>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</si>
  <si>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</si>
  <si>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</si>
  <si>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</si>
  <si>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</si>
  <si>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</si>
  <si>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</si>
  <si>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</si>
  <si>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Jay Russell</t>
  </si>
  <si>
    <t>s1803</t>
  </si>
  <si>
    <t>Shattered Memories</t>
  </si>
  <si>
    <t>Elizabeth Bogush, Brad Schmidt, Sarah Lind, Eddie Kaye Thomas, Phillip Boyd, Victoria Barabas, Mark Famiglietti, Walker Borba, Meg DeLacy</t>
  </si>
  <si>
    <t>When her former lover's mysteriously murdered, a woman must clear her name – and avoid the killer.</t>
  </si>
  <si>
    <t>Jay Surridge</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</si>
  <si>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</si>
  <si>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</si>
  <si>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</si>
  <si>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</si>
  <si>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</si>
  <si>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</si>
  <si>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</si>
  <si>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</si>
  <si>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Jayan Vannery</t>
  </si>
  <si>
    <t>s1806</t>
  </si>
  <si>
    <t>Bending the Arc</t>
  </si>
  <si>
    <t>Kief Davidson, Pedro Kos</t>
  </si>
  <si>
    <t>October 22, 2020</t>
  </si>
  <si>
    <t>This documentary follows a group of ambitious advocates whose mission to save lives in Haiti turns into a global fight for health care and justice.</t>
  </si>
  <si>
    <t>Jayaprakash Radhakrishnan</t>
  </si>
  <si>
    <t>s1807</t>
  </si>
  <si>
    <t>Cadaver</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</si>
  <si>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</si>
  <si>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</si>
  <si>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Jayaraj Rajasekharan Nair</t>
  </si>
  <si>
    <t>s1808</t>
  </si>
  <si>
    <t>Exes Baggage</t>
  </si>
  <si>
    <t>Angelica Panganiban, Carlo Aquino, Dionne Monsanto</t>
  </si>
  <si>
    <t>After years apart, a former couple reunites and gets reacquainted with the pains of love as they work to heal wounds from the past.</t>
  </si>
  <si>
    <t>s1809</t>
  </si>
  <si>
    <t>Fisherman's Friends</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</si>
  <si>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</si>
  <si>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</si>
  <si>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Jayson Thiessen, Ishi Rudell</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</si>
  <si>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</si>
  <si>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</si>
  <si>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</si>
  <si>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</si>
  <si>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Jazz Boon</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</si>
  <si>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</si>
  <si>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</si>
  <si>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</si>
  <si>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</si>
  <si>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</si>
  <si>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</si>
  <si>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Jean-Bernard Marlin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</si>
  <si>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</si>
  <si>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</si>
  <si>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</si>
  <si>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</si>
  <si>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</si>
  <si>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Jean-Claude Flamand-Barny</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</si>
  <si>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</si>
  <si>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</si>
  <si>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</si>
  <si>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</si>
  <si>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</si>
  <si>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</si>
  <si>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</si>
  <si>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Jean-Claude La Marre</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</si>
  <si>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</si>
  <si>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</si>
  <si>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</si>
  <si>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</si>
  <si>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</si>
  <si>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Jean-François Blais</t>
  </si>
  <si>
    <t>s1815</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</si>
  <si>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</si>
  <si>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</si>
  <si>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</si>
  <si>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Jean-François Richet</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</si>
  <si>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</si>
  <si>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</si>
  <si>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</si>
  <si>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</si>
  <si>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</si>
  <si>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Jean-Loup Felicioli, Alain Gagnol</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</si>
  <si>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</si>
  <si>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</si>
  <si>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</si>
  <si>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</si>
  <si>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Jean-Marc Vallée</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</si>
  <si>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</si>
  <si>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</si>
  <si>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</si>
  <si>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</si>
  <si>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</si>
  <si>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</si>
  <si>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Jean-Patrick Benes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</si>
  <si>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</si>
  <si>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</si>
  <si>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</si>
  <si>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</si>
  <si>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</si>
  <si>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Jean-Pierre Dardenne, Luc Dardenne</t>
  </si>
  <si>
    <t>s1820</t>
  </si>
  <si>
    <t>Ghadi</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</si>
  <si>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</si>
  <si>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</si>
  <si>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Jean-Pierre Devillers</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</si>
  <si>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</si>
  <si>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</si>
  <si>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</si>
  <si>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</si>
  <si>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</si>
  <si>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Jean-Simon Chartier</t>
  </si>
  <si>
    <t>s1822</t>
  </si>
  <si>
    <t>Listen</t>
  </si>
  <si>
    <t>Hadi Bou Ayash, Ruba Zarour, Yara Bou Nassar, Rafik Ali Ahmad, Joseph Bou Nassar, Lama Lawand</t>
  </si>
  <si>
    <t>A sound engineer falls for a model but after an unfortunate accident, he fights to save their love by triggering her senses.</t>
  </si>
  <si>
    <t>Jeannie Gaffigan</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</si>
  <si>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</si>
  <si>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</si>
  <si>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</si>
  <si>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</si>
  <si>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</si>
  <si>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</si>
  <si>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</si>
  <si>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</si>
  <si>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</si>
  <si>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Jedd Wider, Todd Wider</t>
  </si>
  <si>
    <t>s1825</t>
  </si>
  <si>
    <t>Taxi Ballad</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</si>
  <si>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</si>
  <si>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</si>
  <si>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</si>
  <si>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Jee-Woon Kim</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</si>
  <si>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</si>
  <si>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</si>
  <si>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</si>
  <si>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</si>
  <si>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</si>
  <si>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</si>
  <si>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Jeethu Joseph</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</si>
  <si>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</si>
  <si>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</si>
  <si>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</si>
  <si>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</si>
  <si>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</si>
  <si>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Jeeva</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</si>
  <si>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</si>
  <si>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</si>
  <si>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</si>
  <si>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</si>
  <si>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</si>
  <si>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</si>
  <si>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</si>
  <si>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</si>
  <si>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Jeff Baena</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</si>
  <si>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</si>
  <si>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</si>
  <si>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</si>
  <si>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</si>
  <si>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</si>
  <si>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</si>
  <si>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Jeff Chan</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</si>
  <si>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</si>
  <si>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</si>
  <si>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</si>
  <si>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</si>
  <si>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</si>
  <si>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</si>
  <si>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</si>
  <si>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</si>
  <si>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</si>
  <si>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Jeff Garlin</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</si>
  <si>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</si>
  <si>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</si>
  <si>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</si>
  <si>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</si>
  <si>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</si>
  <si>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</si>
  <si>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Jeff Margolis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</si>
  <si>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</si>
  <si>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</si>
  <si>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</si>
  <si>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</si>
  <si>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</si>
  <si>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</si>
  <si>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</si>
  <si>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</si>
  <si>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</si>
  <si>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</si>
  <si>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Jeff Orlowski</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</si>
  <si>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</si>
  <si>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</si>
  <si>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</si>
  <si>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</si>
  <si>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</si>
  <si>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</si>
  <si>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</si>
  <si>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</si>
  <si>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</si>
  <si>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</si>
  <si>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</si>
  <si>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Jeff Tomsic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</si>
  <si>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</si>
  <si>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</si>
  <si>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</si>
  <si>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</si>
  <si>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</si>
  <si>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</si>
  <si>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</si>
  <si>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</si>
  <si>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</si>
  <si>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</si>
  <si>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</si>
  <si>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</si>
  <si>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</si>
  <si>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Jeffrey C. Bell</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</si>
  <si>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</si>
  <si>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</si>
  <si>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</si>
  <si>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</si>
  <si>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Jeffrey G. Hunt</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</si>
  <si>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</si>
  <si>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</si>
  <si>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</si>
  <si>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</si>
  <si>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Jeffrey Nachmanoff</t>
  </si>
  <si>
    <t>s1843</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</si>
  <si>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</si>
  <si>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</si>
  <si>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</si>
  <si>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</si>
  <si>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Jeffrey Schwarz</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</si>
  <si>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</si>
  <si>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</si>
  <si>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</si>
  <si>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</si>
  <si>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</si>
  <si>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Jeffrey W. Byrd</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</si>
  <si>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</si>
  <si>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</si>
  <si>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</si>
  <si>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</si>
  <si>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</si>
  <si>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</si>
  <si>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Jeffrey Walker</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</si>
  <si>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</si>
  <si>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</si>
  <si>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</si>
  <si>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</si>
  <si>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</si>
  <si>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Jehane Noujaim</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</si>
  <si>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</si>
  <si>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</si>
  <si>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</si>
  <si>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</si>
  <si>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</si>
  <si>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Jelle De Jonge</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</si>
  <si>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</si>
  <si>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</si>
  <si>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</si>
  <si>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</si>
  <si>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Jen Mcgowan</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</si>
  <si>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</si>
  <si>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</si>
  <si>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</si>
  <si>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</si>
  <si>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Jenée Lamarque</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</si>
  <si>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</si>
  <si>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</si>
  <si>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</si>
  <si>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</si>
  <si>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</si>
  <si>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Jenna Laurenzo</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</si>
  <si>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</si>
  <si>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</si>
  <si>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</si>
  <si>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</si>
  <si>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</si>
  <si>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Jennie Livingston</t>
  </si>
  <si>
    <t>s1852</t>
  </si>
  <si>
    <t>One on One</t>
  </si>
  <si>
    <t>Flex Alexander, Kyla Pratt, Kelly Perine, Sicily Johnson, Robert Ri'chard</t>
  </si>
  <si>
    <t>When his ex-wife lands a job abroad, athlete-turned-sportscaster Flex Washington assumes full-time custody of their teenage daughter, Breanna.</t>
  </si>
  <si>
    <t>Jennifer Baichwal, Nicholas De Pencier</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</si>
  <si>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</si>
  <si>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</si>
  <si>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</si>
  <si>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</si>
  <si>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</si>
  <si>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</si>
  <si>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</si>
  <si>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</si>
  <si>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</si>
  <si>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</si>
  <si>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</si>
  <si>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</si>
  <si>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Jennifer Kaytin Robinson</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</si>
  <si>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</si>
  <si>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</si>
  <si>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</si>
  <si>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</si>
  <si>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</si>
  <si>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</si>
  <si>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</si>
  <si>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Jennifer Lynch</t>
  </si>
  <si>
    <t>s1857</t>
  </si>
  <si>
    <t>BLACKPINK: Light Up the Sky</t>
  </si>
  <si>
    <t>Blackpink</t>
  </si>
  <si>
    <t>Record-shattering Korean girl band BLACKPINK tell their story — and detail the hard-fought journey of the dreams and trials behind their meteoric rise.</t>
  </si>
  <si>
    <t>Jennifer M. Kroot</t>
  </si>
  <si>
    <t>s1858</t>
  </si>
  <si>
    <t>The Three Deaths of Marisela Escobedo</t>
  </si>
  <si>
    <t>This documentary examines a mother's tireless crusade to jail her daughter's murderer after Mexico's justice system failed to do so.</t>
  </si>
  <si>
    <t>Jennifer Morrison</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</si>
  <si>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</si>
  <si>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</si>
  <si>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</si>
  <si>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</si>
  <si>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</si>
  <si>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</si>
  <si>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Jennifer Peedom</t>
  </si>
  <si>
    <t>s1860</t>
  </si>
  <si>
    <t>Octonauts &amp; the Great Barrier Reef</t>
  </si>
  <si>
    <t>In this musical special, the Octonauts must find a way to hold back hungry swarms of coral-eating starfish to save a new friend’s fragile reef home.</t>
  </si>
  <si>
    <t>Jennifer Phang</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</si>
  <si>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</si>
  <si>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</si>
  <si>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</si>
  <si>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</si>
  <si>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</si>
  <si>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Jennifer Siebel Newsom</t>
  </si>
  <si>
    <t>s1862</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</si>
  <si>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</si>
  <si>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</si>
  <si>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</si>
  <si>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</si>
  <si>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</si>
  <si>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</si>
  <si>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</si>
  <si>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</si>
  <si>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</si>
  <si>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</si>
  <si>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</si>
  <si>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Gulshan Devaiah, Radhika Apte, Sai Tamhankar, Veera Saxena, Sagar Deshmukh</t>
  </si>
  <si>
    <t>A sex-obsessed young man tries to put his past behind him when he falls for an extraordinary woman who makes him want to change his lifestyle.</t>
  </si>
  <si>
    <t>Jenny Carchman</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</si>
  <si>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</si>
  <si>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</si>
  <si>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</si>
  <si>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</si>
  <si>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Jenny Gage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</si>
  <si>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</si>
  <si>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</si>
  <si>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</si>
  <si>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</si>
  <si>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</si>
  <si>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Jenny Popplewell</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</si>
  <si>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</si>
  <si>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</si>
  <si>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</si>
  <si>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</si>
  <si>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</si>
  <si>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</si>
  <si>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</si>
  <si>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</si>
  <si>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</si>
  <si>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Jeremiah Jones</t>
  </si>
  <si>
    <t>s1869</t>
  </si>
  <si>
    <t>Deaf U</t>
  </si>
  <si>
    <t>October 9, 2020</t>
  </si>
  <si>
    <t>In this reality series, a tight-knit group of Deaf and hard of hearing students share their stories and explore life at Gallaudet University.</t>
  </si>
  <si>
    <t>Jeremiah Zagar</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</si>
  <si>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</si>
  <si>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</si>
  <si>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</si>
  <si>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</si>
  <si>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</si>
  <si>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</si>
  <si>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</si>
  <si>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</si>
  <si>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</si>
  <si>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</si>
  <si>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Jérémy Clapin</t>
  </si>
  <si>
    <t>s1872</t>
  </si>
  <si>
    <t>Super Monsters: Dia de los Monsters</t>
  </si>
  <si>
    <t>The Super Monsters celebrate Día de los Muertos in Vida’s hometown with her magical family, some new monster friends and a spook-tacular parade!</t>
  </si>
  <si>
    <t>Jeremy Coon, Tim Skousen</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</si>
  <si>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</si>
  <si>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</si>
  <si>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</si>
  <si>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</si>
  <si>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</si>
  <si>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</si>
  <si>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</si>
  <si>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</si>
  <si>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</si>
  <si>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Jeremy Kenyon Lockyer Corbell</t>
  </si>
  <si>
    <t>s1875</t>
  </si>
  <si>
    <t>Bigflo &amp; Oli: Hip Hop Frenzy</t>
  </si>
  <si>
    <t>Bigflo &amp; Oli</t>
  </si>
  <si>
    <t>October 8, 2020</t>
  </si>
  <si>
    <t>Go backstage with French rap duo Bigflo &amp; Oli in this intimate music documentary, then join the superstar siblings as they embark on a major tour.</t>
  </si>
  <si>
    <t>Jeremy Rush</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</si>
  <si>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</si>
  <si>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</si>
  <si>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</si>
  <si>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</si>
  <si>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Jeremy Saulnier</t>
  </si>
  <si>
    <t>s1877</t>
  </si>
  <si>
    <t>Palermo Hollywood</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</si>
  <si>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</si>
  <si>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</si>
  <si>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</si>
  <si>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</si>
  <si>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</si>
  <si>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</si>
  <si>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Jerrold Tarog</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</si>
  <si>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</si>
  <si>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</si>
  <si>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</si>
  <si>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</si>
  <si>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Jerry G. Angelo</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</si>
  <si>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</si>
  <si>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</si>
  <si>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</si>
  <si>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</si>
  <si>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</si>
  <si>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</si>
  <si>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</si>
  <si>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</si>
  <si>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</si>
  <si>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</si>
  <si>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Jerry Rothwell, Reuben Atlas</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</si>
  <si>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</si>
  <si>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</si>
  <si>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</si>
  <si>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</si>
  <si>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</si>
  <si>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</si>
  <si>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Jerry Seinfeld</t>
  </si>
  <si>
    <t>s1883</t>
  </si>
  <si>
    <t>Dolly Parton: Here I Am</t>
  </si>
  <si>
    <t>Dolly Parton leads a moving, musical journey in this documentary that details the people and places who have helped shape her iconic career.</t>
  </si>
  <si>
    <t>Jesse Adang, Syrine Boulanouar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</si>
  <si>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</si>
  <si>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</si>
  <si>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</si>
  <si>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</si>
  <si>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</si>
  <si>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Jesse Gustafson</t>
  </si>
  <si>
    <t>s1885</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</si>
  <si>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</si>
  <si>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</si>
  <si>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</si>
  <si>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Jesse Handsher, Olivier Roland</t>
  </si>
  <si>
    <t>s1886</t>
  </si>
  <si>
    <t>Bad Boy Billionaires: India</t>
  </si>
  <si>
    <t>October 5, 2020</t>
  </si>
  <si>
    <t>This investigative docuseries explores the greed, fraud and corruption that built up — and ultimately brought down — India’s most infamous tycoons.</t>
  </si>
  <si>
    <t>Jesse Moss</t>
  </si>
  <si>
    <t>s1887</t>
  </si>
  <si>
    <t>David Attenborough: A Life on Our Planet</t>
  </si>
  <si>
    <t>October 4, 2020</t>
  </si>
  <si>
    <t>A broadcaster recounts his life, and the evolutionary history of life on Earth, to grieve the loss of wild places and offer a vision for the future.</t>
  </si>
  <si>
    <t>s1888</t>
  </si>
  <si>
    <t>Best Wishes, Warmest Regards: A Schitt's Creek Farewell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</si>
  <si>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</si>
  <si>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</si>
  <si>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</si>
  <si>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</si>
  <si>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Jesse V. Johnson</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</si>
  <si>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</si>
  <si>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</si>
  <si>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</si>
  <si>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</si>
  <si>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</si>
  <si>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Jesse V. Johnson, Jesse Johnson</t>
  </si>
  <si>
    <t>s1890</t>
  </si>
  <si>
    <t>Pat a Pat Como</t>
  </si>
  <si>
    <t>For Como and his friends, each new adventure is a lesson on why it's important to be considerate — and to take care of one another!</t>
  </si>
  <si>
    <t>Jesse Warn</t>
  </si>
  <si>
    <t>s1891</t>
  </si>
  <si>
    <t>Qurious Como</t>
  </si>
  <si>
    <t>Shrunk down in size, Como and his friends examine the wonder-filled world around them one item at a time, from foods to household goods.</t>
  </si>
  <si>
    <t>Jessica Yu</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</si>
  <si>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</si>
  <si>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</si>
  <si>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</si>
  <si>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</si>
  <si>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</si>
  <si>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</si>
  <si>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</si>
  <si>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</si>
  <si>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</si>
  <si>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</si>
  <si>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Jesús Magaña Vázquez</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</si>
  <si>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</si>
  <si>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</si>
  <si>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</si>
  <si>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</si>
  <si>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Jesús Torres Torres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</si>
  <si>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</si>
  <si>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</si>
  <si>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</si>
  <si>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</si>
  <si>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Jevons Au, Zune Kwok, Chow Kwun-Wai, Ng Ka-Leung, Wong Fei-Pang</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</si>
  <si>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</si>
  <si>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</si>
  <si>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</si>
  <si>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</si>
  <si>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</si>
  <si>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Jijo Pancode</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</si>
  <si>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</si>
  <si>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</si>
  <si>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</si>
  <si>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</si>
  <si>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Jill Bauer, Ronna Gradus</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</si>
  <si>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</si>
  <si>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</si>
  <si>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</si>
  <si>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</si>
  <si>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</si>
  <si>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Jill Bauer, Ronna Gradus, Rashida Jones</t>
  </si>
  <si>
    <t>s1899</t>
  </si>
  <si>
    <t>The Binding</t>
  </si>
  <si>
    <t>Domenico de Feudis</t>
  </si>
  <si>
    <t>Riccardo Scamarcio, Mía Maestro</t>
  </si>
  <si>
    <t>While visiting her fiancé's mother in southern Italy, a woman must fight the mysterious and malevolent curse intent on claiming her daughter.</t>
  </si>
  <si>
    <t>Jim Fall</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</si>
  <si>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</si>
  <si>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</si>
  <si>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</si>
  <si>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</si>
  <si>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</si>
  <si>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</si>
  <si>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</si>
  <si>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</si>
  <si>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</si>
  <si>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</si>
  <si>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</si>
  <si>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</si>
  <si>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</si>
  <si>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</si>
  <si>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Jim Hosking</t>
  </si>
  <si>
    <t>s1903</t>
  </si>
  <si>
    <t>All Because of You</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</si>
  <si>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</si>
  <si>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</si>
  <si>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</si>
  <si>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Jim Mickle</t>
  </si>
  <si>
    <t>s1904</t>
  </si>
  <si>
    <t>An Ordinary Man</t>
  </si>
  <si>
    <t>Ben Kingsley, Hera Hilmar, Peter Serafinowicz</t>
  </si>
  <si>
    <t>Serbia, United States</t>
  </si>
  <si>
    <t>A war criminal in hiding begins to suspect that the maid, his only confidant and contact with the outside world, may be hiding something herself.</t>
  </si>
  <si>
    <t>Jim Monaco</t>
  </si>
  <si>
    <t>s1905</t>
  </si>
  <si>
    <t>Carlos Almaraz: Playing with Fire</t>
  </si>
  <si>
    <t>Edward James Olmos, Zach De La Rocha</t>
  </si>
  <si>
    <t>Mixing archival footage with interviews, this film celebrates one of Los Angeles's most influential painters and Chicano art activists from the 1970s.</t>
  </si>
  <si>
    <t>Jim Strouse</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</si>
  <si>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</si>
  <si>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</si>
  <si>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</si>
  <si>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</si>
  <si>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</si>
  <si>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Jimmy Henderson</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</si>
  <si>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</si>
  <si>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</si>
  <si>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</si>
  <si>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</si>
  <si>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Jitender Pawar</t>
  </si>
  <si>
    <t>s1908</t>
  </si>
  <si>
    <t>Familiar Wife</t>
  </si>
  <si>
    <t>Ji Sung, Han Ji-min, Kang Han-na, Jang Seung-jo</t>
  </si>
  <si>
    <t>After receiving a bizarre chance to go back in time, a man wakes up to find that his whole life — including the person he married — is different.</t>
  </si>
  <si>
    <t>Jitendra Tiwari, Pranav Singh</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</si>
  <si>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</si>
  <si>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</si>
  <si>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</si>
  <si>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</si>
  <si>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Jjc Skillz, Funke Akindele</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</si>
  <si>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</si>
  <si>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</si>
  <si>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</si>
  <si>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</si>
  <si>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Jo Sung-Hee</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</si>
  <si>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</si>
  <si>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</si>
  <si>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</si>
  <si>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</si>
  <si>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</si>
  <si>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Joachim Fest, Christian Herrendoerfer</t>
  </si>
  <si>
    <t>s1912</t>
  </si>
  <si>
    <t>Human Nature</t>
  </si>
  <si>
    <t>From breakthrough science to the boundaries of morality, this documentary spotlights a revelation in genetic modification research known as CRISPR.</t>
  </si>
  <si>
    <t>Joachim Rønning, Espen Sandberg</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</si>
  <si>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</si>
  <si>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</si>
  <si>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</si>
  <si>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</si>
  <si>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</si>
  <si>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Joanna Lombardi, Bruno Ascenzo</t>
  </si>
  <si>
    <t>s1914</t>
  </si>
  <si>
    <t>I'm Leaving Now</t>
  </si>
  <si>
    <t>Lindsey Cordero, Armando Croda</t>
  </si>
  <si>
    <t>In this evocative documentary, an undocumented immigrant plans to return to Mexico after 16 years but his family tells him he needs to stay in the US.</t>
  </si>
  <si>
    <t>Joaquín Mazón</t>
  </si>
  <si>
    <t>s1915</t>
  </si>
  <si>
    <t>Journey of an African Colony</t>
  </si>
  <si>
    <t>Olasupo Shasore</t>
  </si>
  <si>
    <t>This docuseries delves into the untold stories and unsung heroes that paved Nigeria's road to independence. Based on the books by host Olasupo Shasore.</t>
  </si>
  <si>
    <t>Jocelyn Moorhouse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</si>
  <si>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</si>
  <si>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</si>
  <si>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</si>
  <si>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</si>
  <si>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Jody Hill</t>
  </si>
  <si>
    <t>s1917</t>
  </si>
  <si>
    <t>Rize</t>
  </si>
  <si>
    <t>David LaChapelle</t>
  </si>
  <si>
    <t>Tommy the Clown, Tight Eyez</t>
  </si>
  <si>
    <t>This documentary explores "krumping," a fast-paced urban dance, and follows the man that originated the phenomenon in South Central Los Angeles.</t>
  </si>
  <si>
    <t>Jody Lambert</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</si>
  <si>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</si>
  <si>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</si>
  <si>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</si>
  <si>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</si>
  <si>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</si>
  <si>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</si>
  <si>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</si>
  <si>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</si>
  <si>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</si>
  <si>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</si>
  <si>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</si>
  <si>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</si>
  <si>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</si>
  <si>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</si>
  <si>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</si>
  <si>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Baraa Alem, Ismail Alhassan, Ahmed Saddam, Sohayb Godus, Nawaf Alshubaili, Eyad Ayman Kaifi</t>
  </si>
  <si>
    <t>A high school senior sets out to make a no-budget horror film with his friend, one-time rival and teacher, but the project soon jeopardizes their future.</t>
  </si>
  <si>
    <t>Joe Boyd</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</si>
  <si>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</si>
  <si>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</si>
  <si>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</si>
  <si>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</si>
  <si>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</si>
  <si>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Joe Camp</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</si>
  <si>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</si>
  <si>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</si>
  <si>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</si>
  <si>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</si>
  <si>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Joe Dante</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</si>
  <si>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</si>
  <si>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</si>
  <si>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</si>
  <si>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</si>
  <si>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Joe Demaio</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</si>
  <si>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</si>
  <si>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</si>
  <si>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</si>
  <si>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</si>
  <si>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</si>
  <si>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Joe Dietsch, Louie Gibson</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</si>
  <si>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</si>
  <si>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</si>
  <si>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</si>
  <si>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</si>
  <si>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Joe Lynch</t>
  </si>
  <si>
    <t>s1927</t>
  </si>
  <si>
    <t>American Murder: The Family Next Door</t>
  </si>
  <si>
    <t>September 30, 2020</t>
  </si>
  <si>
    <t>Using raw, firsthand footage, this documentary examines the disappearance of Shanann Watts and her children, and the terrible events that followed.</t>
  </si>
  <si>
    <t>Joe Mantello</t>
  </si>
  <si>
    <t>s1928</t>
  </si>
  <si>
    <t>Baxu and the Giants</t>
  </si>
  <si>
    <t>Camilla Jo-Ann Daries, Wafeeq Narimab, Anna Louw, Steven Afrikaner, Ashwyn Mberi, Robert Hara Gaeb</t>
  </si>
  <si>
    <t>Namibia</t>
  </si>
  <si>
    <t>A young girl grows increasingly concerned about the rhino poaching in her village when it begins to directly impact her impoverished family.</t>
  </si>
  <si>
    <t>Joe Menendez</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</si>
  <si>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</si>
  <si>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</si>
  <si>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</si>
  <si>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</si>
  <si>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Joe Miale</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</si>
  <si>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</si>
  <si>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</si>
  <si>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</si>
  <si>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</si>
  <si>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Joe Murray, Cosmo Segurson</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</si>
  <si>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</si>
  <si>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</si>
  <si>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</si>
  <si>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</si>
  <si>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</si>
  <si>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</si>
  <si>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Joe Nussbaum</t>
  </si>
  <si>
    <t>s1932</t>
  </si>
  <si>
    <t>The Boys in the Band</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</si>
  <si>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</si>
  <si>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</si>
  <si>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</si>
  <si>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</si>
  <si>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</si>
  <si>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</si>
  <si>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Joe Piscatella</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</si>
  <si>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</si>
  <si>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</si>
  <si>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</si>
  <si>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</si>
  <si>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Joe Robert Cole</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</si>
  <si>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</si>
  <si>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</si>
  <si>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</si>
  <si>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</si>
  <si>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</si>
  <si>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</si>
  <si>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</si>
  <si>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</si>
  <si>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</si>
  <si>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Joe Swanberg</t>
  </si>
  <si>
    <t>s1937</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</si>
  <si>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</si>
  <si>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</si>
  <si>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</si>
  <si>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</si>
  <si>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</si>
  <si>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</si>
  <si>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</si>
  <si>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</si>
  <si>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Joel Coen, Ethan Coen</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</si>
  <si>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</si>
  <si>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</si>
  <si>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</si>
  <si>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</si>
  <si>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</si>
  <si>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Joel Crawford</t>
  </si>
  <si>
    <t>s1940</t>
  </si>
  <si>
    <t>Dedh Ishqiya</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</si>
  <si>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</si>
  <si>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</si>
  <si>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</si>
  <si>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</si>
  <si>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</si>
  <si>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</si>
  <si>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</si>
  <si>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Joel Gallen, Tig Notaro</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</si>
  <si>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</si>
  <si>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</si>
  <si>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</si>
  <si>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</si>
  <si>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</si>
  <si>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</si>
  <si>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</si>
  <si>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</si>
  <si>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Joel Oliansky</t>
  </si>
  <si>
    <t>s1944</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</si>
  <si>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</si>
  <si>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</si>
  <si>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</si>
  <si>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Joel Schumacher</t>
  </si>
  <si>
    <t>s1945</t>
  </si>
  <si>
    <t>Mann</t>
  </si>
  <si>
    <t>Aamir Khan, Manisha Koirala, Sharmila Tagore, Dipti Bhatnagar, Dalip Tahil, Anil Kapoor</t>
  </si>
  <si>
    <t>A smooth talker falls for a music teacher aboard a cruise, but a cruel twist of fate hinders their plans to meet again months later.</t>
  </si>
  <si>
    <t>Joey Curtis</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</si>
  <si>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</si>
  <si>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</si>
  <si>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</si>
  <si>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</si>
  <si>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</si>
  <si>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Joey Kern</t>
  </si>
  <si>
    <t>s1947</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</si>
  <si>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</si>
  <si>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</si>
  <si>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</si>
  <si>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Joey So</t>
  </si>
  <si>
    <t>s1948</t>
  </si>
  <si>
    <t>Whose Vote Counts, Explained</t>
  </si>
  <si>
    <t>The right to vote is at the foundation of America's democracy. But not every vote is created equal. How does the system work, and can it be fixed?</t>
  </si>
  <si>
    <t>Johan Brisinger</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</si>
  <si>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</si>
  <si>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</si>
  <si>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</si>
  <si>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</si>
  <si>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</si>
  <si>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</si>
  <si>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</si>
  <si>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</si>
  <si>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</si>
  <si>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</si>
  <si>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Johanna Demetrakas</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</si>
  <si>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</si>
  <si>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</si>
  <si>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</si>
  <si>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</si>
  <si>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</si>
  <si>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</si>
  <si>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</si>
  <si>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</si>
  <si>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</si>
  <si>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John A. Davis</t>
  </si>
  <si>
    <t>s1953</t>
  </si>
  <si>
    <t>Mighty Little Bheem</t>
  </si>
  <si>
    <t>An innocent toddler’s boundless curiosity – and extraordinary might – lead to mischief and adventure in his small Indian town.</t>
  </si>
  <si>
    <t>John Asher</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</si>
  <si>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</si>
  <si>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</si>
  <si>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</si>
  <si>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</si>
  <si>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John Banas</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</si>
  <si>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</si>
  <si>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</si>
  <si>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</si>
  <si>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</si>
  <si>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John Barnard</t>
  </si>
  <si>
    <t>s1956</t>
  </si>
  <si>
    <t>The School Nurse Files</t>
  </si>
  <si>
    <t>Jung Yu-mi, Nam Joo-hyuk</t>
  </si>
  <si>
    <t>Wielding a light-up sword through the dark corners of a high school, a nurse with an unusual gift protects students from monsters only she can see.</t>
  </si>
  <si>
    <t>John Bridcut</t>
  </si>
  <si>
    <t>s1957</t>
  </si>
  <si>
    <t>Zulu Man in Japan</t>
  </si>
  <si>
    <t>Nasty C</t>
  </si>
  <si>
    <t>In this documentary, South African rapper Nasty C hits the stage and streets of Tokyo, introducing himself to the city's sights, sounds and culture.</t>
  </si>
  <si>
    <t>John Butler</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</si>
  <si>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</si>
  <si>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</si>
  <si>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</si>
  <si>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</si>
  <si>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</si>
  <si>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</si>
  <si>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</si>
  <si>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John Carchietta</t>
  </si>
  <si>
    <t>s1959</t>
  </si>
  <si>
    <t>The Chef Show</t>
  </si>
  <si>
    <t>Jon Favreau, Roy Choi</t>
  </si>
  <si>
    <t>Writer, director and food enthusiast Jon Favreau and chef Roy Choi explore food in and out of the kitchen with accomplished chefs and celebrity friends.</t>
  </si>
  <si>
    <t>John Crowley</t>
  </si>
  <si>
    <t>s1960</t>
  </si>
  <si>
    <t>Enola Holmes</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</si>
  <si>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</si>
  <si>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</si>
  <si>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</si>
  <si>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John Curran</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</si>
  <si>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</si>
  <si>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</si>
  <si>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</si>
  <si>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</si>
  <si>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</si>
  <si>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</si>
  <si>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John Dahl</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</si>
  <si>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</si>
  <si>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</si>
  <si>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</si>
  <si>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</si>
  <si>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</si>
  <si>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</si>
  <si>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</si>
  <si>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</si>
  <si>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</si>
  <si>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John Duigan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</si>
  <si>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</si>
  <si>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</si>
  <si>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</si>
  <si>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</si>
  <si>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</si>
  <si>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</si>
  <si>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John Edginton</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</si>
  <si>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</si>
  <si>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</si>
  <si>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</si>
  <si>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</si>
  <si>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</si>
  <si>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</si>
  <si>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</si>
  <si>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</si>
  <si>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</si>
  <si>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</si>
  <si>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John Ford</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</si>
  <si>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</si>
  <si>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</si>
  <si>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</si>
  <si>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</si>
  <si>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John Fortenberry</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</si>
  <si>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</si>
  <si>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</si>
  <si>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</si>
  <si>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</si>
  <si>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</si>
  <si>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</si>
  <si>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</si>
  <si>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</si>
  <si>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</si>
  <si>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John H. Lee</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</si>
  <si>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</si>
  <si>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</si>
  <si>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</si>
  <si>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</si>
  <si>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John Haptas, Kristine Samuelson</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</si>
  <si>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</si>
  <si>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</si>
  <si>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</si>
  <si>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</si>
  <si>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</si>
  <si>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John Herzfeld</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</si>
  <si>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</si>
  <si>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</si>
  <si>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</si>
  <si>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</si>
  <si>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</si>
  <si>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</si>
  <si>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</si>
  <si>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</si>
  <si>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</si>
  <si>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</si>
  <si>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</si>
  <si>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John Hoffman, Nanfu Wang</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</si>
  <si>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</si>
  <si>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</si>
  <si>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</si>
  <si>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</si>
  <si>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</si>
  <si>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</si>
  <si>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</si>
  <si>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</si>
  <si>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</si>
  <si>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John Huston</t>
  </si>
  <si>
    <t>s1976</t>
  </si>
  <si>
    <t>Santa Banta Pvt Ltd</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</si>
  <si>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</si>
  <si>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</si>
  <si>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John Irvin</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</si>
  <si>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</si>
  <si>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</si>
  <si>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</si>
  <si>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</si>
  <si>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</si>
  <si>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John L. Spencer</t>
  </si>
  <si>
    <t>s1978</t>
  </si>
  <si>
    <t>Dolly Kitty Aur Woh Chamakte Sitare</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</si>
  <si>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</si>
  <si>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</si>
  <si>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</si>
  <si>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John Lee</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</si>
  <si>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</si>
  <si>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</si>
  <si>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</si>
  <si>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</si>
  <si>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John Lee Hancock</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</si>
  <si>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</si>
  <si>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</si>
  <si>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</si>
  <si>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</si>
  <si>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</si>
  <si>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</si>
  <si>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</si>
  <si>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</si>
  <si>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John Lyde</t>
  </si>
  <si>
    <t>s1982</t>
  </si>
  <si>
    <t>Whipped</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</si>
  <si>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</si>
  <si>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</si>
  <si>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John Maclean</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</si>
  <si>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</si>
  <si>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</si>
  <si>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</si>
  <si>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</si>
  <si>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</si>
  <si>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</si>
  <si>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</si>
  <si>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</si>
  <si>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</si>
  <si>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</si>
  <si>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John Michael Mcdonagh</t>
  </si>
  <si>
    <t>s1985</t>
  </si>
  <si>
    <t>GIMS: On the Record</t>
  </si>
  <si>
    <t>Maître Gims</t>
  </si>
  <si>
    <t>Go backstage with beloved rap superstar Gims in the year leading up to his major 2019 Stade de France performance in this up-close documentary.</t>
  </si>
  <si>
    <t>John Mikulak, Joshua Brown</t>
  </si>
  <si>
    <t>s1986</t>
  </si>
  <si>
    <t>Horrid Henry's Gross Day Out</t>
  </si>
  <si>
    <t>Lizzie Waterworth-Santo, Emma Tate, Sue Elliot Nicholls, Tamsin Heatley, Wayne Forester, Aidan Cook, Philip Pope</t>
  </si>
  <si>
    <t>Worlds collide when Henry makes plans to spend Saturday on the sofa watching a "Gross Class Zero" marathon — and his favorite characters come to life!</t>
  </si>
  <si>
    <t>John Milius</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</si>
  <si>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</si>
  <si>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</si>
  <si>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</si>
  <si>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</si>
  <si>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</si>
  <si>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</si>
  <si>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</si>
  <si>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John Murlowski</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</si>
  <si>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</si>
  <si>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</si>
  <si>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</si>
  <si>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</si>
  <si>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John Papola</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</si>
  <si>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</si>
  <si>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</si>
  <si>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</si>
  <si>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</si>
  <si>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</si>
  <si>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John Patrick Shanley</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</si>
  <si>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</si>
  <si>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</si>
  <si>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</si>
  <si>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</si>
  <si>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</si>
  <si>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</si>
  <si>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</si>
  <si>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</si>
  <si>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John R. Leonetti</t>
  </si>
  <si>
    <t>s1993</t>
  </si>
  <si>
    <t>Dr Jason Leong Hashtag Blessed</t>
  </si>
  <si>
    <t>Kubhaer T. Jethwani</t>
  </si>
  <si>
    <t>Jason Leong</t>
  </si>
  <si>
    <t>In this stand-up special, former doctor Jason Leong gives his diagnoses on the nonsense of traditional healers, business-class show-offs and more.</t>
  </si>
  <si>
    <t>John Ridley</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</si>
  <si>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</si>
  <si>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</si>
  <si>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</si>
  <si>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</si>
  <si>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John Scheinfeld</t>
  </si>
  <si>
    <t>s1995</t>
  </si>
  <si>
    <t>Sing On!</t>
  </si>
  <si>
    <t>Tituss Burgess</t>
  </si>
  <si>
    <t>In this fun, fast-paced music contest hosted by Tituss Burgess, players sing their hearts out and try to hit the right notes to win up to $60,000.</t>
  </si>
  <si>
    <t>John Schultz</t>
  </si>
  <si>
    <t>s1996</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</si>
  <si>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</si>
  <si>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</si>
  <si>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</si>
  <si>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John Smithson</t>
  </si>
  <si>
    <t>s1997</t>
  </si>
  <si>
    <t>The Paramedic</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</si>
  <si>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</si>
  <si>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</si>
  <si>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John Stephenson</t>
  </si>
  <si>
    <t>s1998</t>
  </si>
  <si>
    <t>The Take</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</si>
  <si>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</si>
  <si>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</si>
  <si>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</si>
  <si>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</si>
  <si>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</si>
  <si>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</si>
  <si>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</si>
  <si>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</si>
  <si>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</si>
  <si>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John Stewart Muller</t>
  </si>
  <si>
    <t>s2000</t>
  </si>
  <si>
    <t>Hope Frozen: A Quest to Live Twice</t>
  </si>
  <si>
    <t>Pailin Wedel</t>
  </si>
  <si>
    <t>Thailand, United States</t>
  </si>
  <si>
    <t>A Thai scientist and his family decide to cryonically freeze their cherished, dying toddler. This heartfelt documentary follows their journey.</t>
  </si>
  <si>
    <t>John Stockwell</t>
  </si>
  <si>
    <t>s2001</t>
  </si>
  <si>
    <t>Michael McIntyre: Showman</t>
  </si>
  <si>
    <t>Michael McIntyre</t>
  </si>
  <si>
    <t>Charming comic Michael McIntyre talks family, technology, sharks, accents and the time he confused himself for a world leader in this stand-up special.</t>
  </si>
  <si>
    <t>John Suits</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</si>
  <si>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</si>
  <si>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</si>
  <si>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</si>
  <si>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</si>
  <si>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</si>
  <si>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John Trengove</t>
  </si>
  <si>
    <t>s2003</t>
  </si>
  <si>
    <t>Taco Chronicles</t>
  </si>
  <si>
    <t>Many of the most popular taco styles have long, rich, little-known histories. Explore some of them in this eye-opening, mouth-watering food adventure.</t>
  </si>
  <si>
    <t>John Upchurch</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</si>
  <si>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</si>
  <si>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</si>
  <si>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</si>
  <si>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</si>
  <si>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</si>
  <si>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</si>
  <si>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</si>
  <si>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</si>
  <si>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</si>
  <si>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</si>
  <si>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</si>
  <si>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</si>
  <si>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</si>
  <si>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</si>
  <si>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</si>
  <si>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</si>
  <si>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John Woo</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</si>
  <si>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</si>
  <si>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</si>
  <si>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</si>
  <si>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</si>
  <si>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</si>
  <si>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</si>
  <si>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Johnnie To</t>
  </si>
  <si>
    <t>s2008</t>
  </si>
  <si>
    <t>Dad Wanted</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</si>
  <si>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</si>
  <si>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</si>
  <si>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Johnny Breedt</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</si>
  <si>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</si>
  <si>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</si>
  <si>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</si>
  <si>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</si>
  <si>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Johnny Kevorkian</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</si>
  <si>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</si>
  <si>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</si>
  <si>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</si>
  <si>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</si>
  <si>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Johnny Martin</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</si>
  <si>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</si>
  <si>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</si>
  <si>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</si>
  <si>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</si>
  <si>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</si>
  <si>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Johnny To</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</si>
  <si>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</si>
  <si>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</si>
  <si>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</si>
  <si>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</si>
  <si>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</si>
  <si>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</si>
  <si>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Johnson Esthappan</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</si>
  <si>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</si>
  <si>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</si>
  <si>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</si>
  <si>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</si>
  <si>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Jon Alpert</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</si>
  <si>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</si>
  <si>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</si>
  <si>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</si>
  <si>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</si>
  <si>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Jon Avnet</t>
  </si>
  <si>
    <t>s2015</t>
  </si>
  <si>
    <t>Wonho Chung: Live in New York</t>
  </si>
  <si>
    <t>Shaun Mir</t>
  </si>
  <si>
    <t>Wonho Chung</t>
  </si>
  <si>
    <t>At the Comic Strip's first Arabic stand-up show, Wonho Chung ratchets up the laughs by tackling unique names, life in Jordan, accents and more.</t>
  </si>
  <si>
    <t>Jon Carey, Adam Darke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</si>
  <si>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</si>
  <si>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</si>
  <si>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</si>
  <si>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</si>
  <si>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</si>
  <si>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</si>
  <si>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</si>
  <si>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</si>
  <si>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</si>
  <si>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</si>
  <si>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</si>
  <si>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Jon Greenhalgh</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</si>
  <si>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</si>
  <si>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</si>
  <si>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</si>
  <si>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</si>
  <si>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</si>
  <si>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Jon Gunn</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</si>
  <si>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</si>
  <si>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</si>
  <si>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</si>
  <si>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</si>
  <si>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Jon Hurwitz, Hayden Schlossberg</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</si>
  <si>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</si>
  <si>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</si>
  <si>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</si>
  <si>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</si>
  <si>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</si>
  <si>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</si>
  <si>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</si>
  <si>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</si>
  <si>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</si>
  <si>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</si>
  <si>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Jon J. Whelan</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</si>
  <si>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</si>
  <si>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</si>
  <si>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</si>
  <si>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</si>
  <si>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Jon Lucas, Scott Moore</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</si>
  <si>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</si>
  <si>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</si>
  <si>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</si>
  <si>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</si>
  <si>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</si>
  <si>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Jon M. Chu</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</si>
  <si>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</si>
  <si>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</si>
  <si>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</si>
  <si>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</si>
  <si>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</si>
  <si>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Jon Manning</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</si>
  <si>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</si>
  <si>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</si>
  <si>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</si>
  <si>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</si>
  <si>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Jon Reiner, Brad Rothschild</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</si>
  <si>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</si>
  <si>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</si>
  <si>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</si>
  <si>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</si>
  <si>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</si>
  <si>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Jon Rosenbaum</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</si>
  <si>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</si>
  <si>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</si>
  <si>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</si>
  <si>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</si>
  <si>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</si>
  <si>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Jon Schnitzer</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</si>
  <si>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</si>
  <si>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</si>
  <si>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</si>
  <si>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</si>
  <si>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</si>
  <si>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Jon Spira</t>
  </si>
  <si>
    <t>s2029</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</si>
  <si>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</si>
  <si>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</si>
  <si>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</si>
  <si>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Jon Turteltaub</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</si>
  <si>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</si>
  <si>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</si>
  <si>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</si>
  <si>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</si>
  <si>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Jon Watts</t>
  </si>
  <si>
    <t>s2031</t>
  </si>
  <si>
    <t>Cargo</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</si>
  <si>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</si>
  <si>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</si>
  <si>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</si>
  <si>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Jonás Trueba</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</si>
  <si>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</si>
  <si>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</si>
  <si>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</si>
  <si>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</si>
  <si>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</si>
  <si>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Jonathan A. Rosenbaum</t>
  </si>
  <si>
    <t>s2033</t>
  </si>
  <si>
    <t>Get Organized with The Home Edit</t>
  </si>
  <si>
    <t>Expert home organizers Clea and Joanna help celebrities and everyday clients edit, categorize and contain their clutter to create stunning spaces.</t>
  </si>
  <si>
    <t>Jonathan Augustin</t>
  </si>
  <si>
    <t>s2034</t>
  </si>
  <si>
    <t>La Línea: Shadow of Narco</t>
  </si>
  <si>
    <t>Pepe Mora</t>
  </si>
  <si>
    <t>A stone's throw from Africa, the Spanish beach town of La Línea is a drug smuggling hot spot. But the police and mayor are determined to change that.</t>
  </si>
  <si>
    <t>Jonathan Baker</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</si>
  <si>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</si>
  <si>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</si>
  <si>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</si>
  <si>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</si>
  <si>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</si>
  <si>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</si>
  <si>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</si>
  <si>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Skyler Gisondo, Kara Hayward, Vincent Kartheiser</t>
  </si>
  <si>
    <t>This documentary-drama hybrid explores the dangerous human impact of social networking, with tech experts sounding the alarm on their own creations.</t>
  </si>
  <si>
    <t>Jonathan Demme</t>
  </si>
  <si>
    <t>s2037</t>
  </si>
  <si>
    <t>#Alive</t>
  </si>
  <si>
    <t>Yoo Ah-in, Park Shin-hye</t>
  </si>
  <si>
    <t>September 8, 2020</t>
  </si>
  <si>
    <t>As a grisly virus rampages a city, a lone man stays locked inside his apartment, digitally cut off from seeking help and desperate to find a way out.</t>
  </si>
  <si>
    <t>Jonathan Glazer</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</si>
  <si>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</si>
  <si>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</si>
  <si>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</si>
  <si>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</si>
  <si>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Jonathan Helpert</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</si>
  <si>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</si>
  <si>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</si>
  <si>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</si>
  <si>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</si>
  <si>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</si>
  <si>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</si>
  <si>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</si>
  <si>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</si>
  <si>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</si>
  <si>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</si>
  <si>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Jonathan Ignatius Green</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</si>
  <si>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</si>
  <si>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</si>
  <si>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</si>
  <si>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</si>
  <si>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Jonathan Levine</t>
  </si>
  <si>
    <t>s2042</t>
  </si>
  <si>
    <t>Waiting for "Superman"</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</si>
  <si>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</si>
  <si>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</si>
  <si>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</si>
  <si>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</si>
  <si>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</si>
  <si>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</si>
  <si>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</si>
  <si>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</si>
  <si>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</si>
  <si>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</si>
  <si>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</si>
  <si>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</si>
  <si>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</si>
  <si>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Jonathan Mostow</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</si>
  <si>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</si>
  <si>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</si>
  <si>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</si>
  <si>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</si>
  <si>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</si>
  <si>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</si>
  <si>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Jonathan Sobol</t>
  </si>
  <si>
    <t>s2046</t>
  </si>
  <si>
    <t>I'm Thinking of Ending Things</t>
  </si>
  <si>
    <t>Jessie Buckley, Jesse Plemons, Toni Collette, David Thewlis, Guy Boyd</t>
  </si>
  <si>
    <t>Nothing is as it seems when a woman experiencing misgivings about her new boyfriend joins him on a road trip to meet his parents at their remote farm.</t>
  </si>
  <si>
    <t>Jonathan Taylor</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</si>
  <si>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</si>
  <si>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</si>
  <si>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</si>
  <si>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</si>
  <si>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</si>
  <si>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</si>
  <si>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</si>
  <si>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</si>
  <si>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</si>
  <si>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</si>
  <si>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</si>
  <si>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</si>
  <si>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Joram Lürsen</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</si>
  <si>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</si>
  <si>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</si>
  <si>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</si>
  <si>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</si>
  <si>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Jordan Brady</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</si>
  <si>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</si>
  <si>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</si>
  <si>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</si>
  <si>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</si>
  <si>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</si>
  <si>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</si>
  <si>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Jordan Ross</t>
  </si>
  <si>
    <t>s2052</t>
  </si>
  <si>
    <t>Ave Maryam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</si>
  <si>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</si>
  <si>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</si>
  <si>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Jordana Spiro</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</si>
  <si>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</si>
  <si>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</si>
  <si>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</si>
  <si>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</si>
  <si>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</si>
  <si>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Jordi Llompart</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</si>
  <si>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</si>
  <si>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</si>
  <si>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</si>
  <si>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</si>
  <si>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</si>
  <si>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</si>
  <si>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</si>
  <si>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</si>
  <si>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Jorge Granier</t>
  </si>
  <si>
    <t>s2056</t>
  </si>
  <si>
    <t>Freaks – You're One of Us</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</si>
  <si>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</si>
  <si>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</si>
  <si>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Jorge Hernandez Aldana</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</si>
  <si>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</si>
  <si>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</si>
  <si>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</si>
  <si>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</si>
  <si>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</si>
  <si>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Jorge M. Fontana</t>
  </si>
  <si>
    <t>s2058</t>
  </si>
  <si>
    <t>Sky Tour: The Movie</t>
  </si>
  <si>
    <t>Nguyen Thanh Tung</t>
  </si>
  <si>
    <t>Son Tung M-TP</t>
  </si>
  <si>
    <t>From the preparations to the performances, this documentary showcases Vietnamese pop idol Sơn Tùng M-TP and the passion behind his Sky Tour concerts.</t>
  </si>
  <si>
    <t>Jorge Michel Grau</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</si>
  <si>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</si>
  <si>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</si>
  <si>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</si>
  <si>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</si>
  <si>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</si>
  <si>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Jos Humphrey</t>
  </si>
  <si>
    <t>s2060</t>
  </si>
  <si>
    <t>Adrift</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</si>
  <si>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</si>
  <si>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</si>
  <si>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</si>
  <si>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</si>
  <si>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José Eduardo Belmonte</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</si>
  <si>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</si>
  <si>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</si>
  <si>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</si>
  <si>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</si>
  <si>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</si>
  <si>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</si>
  <si>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</si>
  <si>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</si>
  <si>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</si>
  <si>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</si>
  <si>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</si>
  <si>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</si>
  <si>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</si>
  <si>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</si>
  <si>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</si>
  <si>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</si>
  <si>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Jose Manuel Colón</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</si>
  <si>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</si>
  <si>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</si>
  <si>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</si>
  <si>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</si>
  <si>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José Miguel Contreras</t>
  </si>
  <si>
    <t>s2066</t>
  </si>
  <si>
    <t>Children of the Sea</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</si>
  <si>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</si>
  <si>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</si>
  <si>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</si>
  <si>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Joseduardo Giordano, Sergio Goyri Jr.</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</si>
  <si>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</si>
  <si>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</si>
  <si>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</si>
  <si>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</si>
  <si>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</si>
  <si>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</si>
  <si>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Nobunaga Shimazaki, Rie Takahashi, Ayako Kawasumi, Madoka Yonezawa, Kenichi Suzumura, Tomokazu Sugita</t>
  </si>
  <si>
    <t>Discovering that humanity is facing extinction, a new recruit to the Chaldea Security Organization goes back in time in order to save the future.</t>
  </si>
  <si>
    <t>Joseph Cross</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</si>
  <si>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</si>
  <si>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</si>
  <si>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</si>
  <si>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</si>
  <si>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</si>
  <si>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</si>
  <si>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</si>
  <si>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</si>
  <si>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Joseph Mbah</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</si>
  <si>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</si>
  <si>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</si>
  <si>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</si>
  <si>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</si>
  <si>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</si>
  <si>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Joseph Ruben</t>
  </si>
  <si>
    <t>s2072</t>
  </si>
  <si>
    <t>Puss in Boots</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</si>
  <si>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</si>
  <si>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</si>
  <si>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</si>
  <si>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</si>
  <si>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</si>
  <si>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</si>
  <si>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</si>
  <si>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Josh Aronson</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</si>
  <si>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</si>
  <si>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</si>
  <si>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</si>
  <si>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</si>
  <si>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Josh Greenbaum</t>
  </si>
  <si>
    <t>s2075</t>
  </si>
  <si>
    <t>Soldier</t>
  </si>
  <si>
    <t>Rakhee Gulzar, Bobby Deol, Preity Zinta</t>
  </si>
  <si>
    <t>On the run from Indian police, a mysterious man escapes to Australia and falls in love with the daughter of an Indian criminal who lives there.</t>
  </si>
  <si>
    <t>Josh Izenberg, Wynn Padula</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</si>
  <si>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</si>
  <si>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</si>
  <si>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</si>
  <si>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</si>
  <si>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</si>
  <si>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Josh Mendoza</t>
  </si>
  <si>
    <t>s2077</t>
  </si>
  <si>
    <t>The Boss Baby: Get That Baby!</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</si>
  <si>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</si>
  <si>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</si>
  <si>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Josh Safdie, Benny Safdie</t>
  </si>
  <si>
    <t>s2078</t>
  </si>
  <si>
    <t>The Match</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</si>
  <si>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</si>
  <si>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</si>
  <si>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Josh Wakely</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</si>
  <si>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</si>
  <si>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</si>
  <si>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</si>
  <si>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</si>
  <si>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Josh Webber</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</si>
  <si>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</si>
  <si>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</si>
  <si>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</si>
  <si>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</si>
  <si>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</si>
  <si>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Josh Z. Weinstein, Joshua Z. Weinstein</t>
  </si>
  <si>
    <t>s2081</t>
  </si>
  <si>
    <t>Thomas and Friends</t>
  </si>
  <si>
    <t>Michael Angelis, Ben Small, Keith Wickham, Kerry Shale</t>
  </si>
  <si>
    <t>British TV Shows, Classic &amp; Cult TV, Kids' TV</t>
  </si>
  <si>
    <t>This animated children's series follows the adventures of Thomas, a cheerful blue tank engine who lives on the island of Sodor.</t>
  </si>
  <si>
    <t>Joshua Caldwell</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</si>
  <si>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</si>
  <si>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</si>
  <si>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</si>
  <si>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</si>
  <si>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</si>
  <si>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Joshua Marston</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</si>
  <si>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</si>
  <si>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</si>
  <si>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</si>
  <si>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</si>
  <si>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</si>
  <si>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</si>
  <si>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Joshua Oppenheimer</t>
  </si>
  <si>
    <t>s2084</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</si>
  <si>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</si>
  <si>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</si>
  <si>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</si>
  <si>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</si>
  <si>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</si>
  <si>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</si>
  <si>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</si>
  <si>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</si>
  <si>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</si>
  <si>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</si>
  <si>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</si>
  <si>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</si>
  <si>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</si>
  <si>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</si>
  <si>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</si>
  <si>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</si>
  <si>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</si>
  <si>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</si>
  <si>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</si>
  <si>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</si>
  <si>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</si>
  <si>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Jota Linares</t>
  </si>
  <si>
    <t>s2089</t>
  </si>
  <si>
    <t>Unknown Origins</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</si>
  <si>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</si>
  <si>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</si>
  <si>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Jovanka Vuckovic, Annie Clark, Roxanne Benjamin, Karyn Kusama</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</si>
  <si>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</si>
  <si>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</si>
  <si>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</si>
  <si>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</si>
  <si>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</si>
  <si>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Joyce Bernal</t>
  </si>
  <si>
    <t>s2091</t>
  </si>
  <si>
    <t>Edge of Seventeen</t>
  </si>
  <si>
    <t>Chris Stafford, Tina Holmes, Andersen Gabrych, Stephanie McVay, Lea DeLaria, John Eby, Antonio Carriero, Jason Lockhart</t>
  </si>
  <si>
    <t>A 17-year-old confronts confusion and heartbreak as he rediscovers his sexuality in this story about coming out and its social consequences.</t>
  </si>
  <si>
    <t>Jp Habac</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</si>
  <si>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</si>
  <si>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</si>
  <si>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</si>
  <si>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</si>
  <si>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</si>
  <si>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Juan Antin</t>
  </si>
  <si>
    <t>s2093</t>
  </si>
  <si>
    <t>The Young Messiah</t>
  </si>
  <si>
    <t>Adam Greaves-Neal, Sara Lazzaro, Vincent Walsh, Sean Bean, Jonathan Bailey, Agni Scott</t>
  </si>
  <si>
    <t>Tormented by a demon and on the run from a Roman centurion, a 7-year-old Jesus and his parents, Mary and Joseph, flee Egypt for Nazareth.</t>
  </si>
  <si>
    <t>Juan Antonio De La Riva</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</si>
  <si>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</si>
  <si>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</si>
  <si>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</si>
  <si>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</si>
  <si>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</si>
  <si>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</si>
  <si>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</si>
  <si>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</si>
  <si>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</si>
  <si>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</si>
  <si>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</si>
  <si>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</si>
  <si>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</si>
  <si>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</si>
  <si>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</si>
  <si>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Juan Carlos Rulfo</t>
  </si>
  <si>
    <t>s2097</t>
  </si>
  <si>
    <t>Million Dollar Beach House</t>
  </si>
  <si>
    <t>The competition is fierce — and the drama undeniable — as a group of young and hungry agents try to seal the deal on luxury listings in the Hamptons.</t>
  </si>
  <si>
    <t>Juan José Campanella</t>
  </si>
  <si>
    <t>s2098</t>
  </si>
  <si>
    <t>Rising Phoenix</t>
  </si>
  <si>
    <t>Elite athletes and insiders reflect on the Paralympic Games and examine how they impact a global understanding of disability, diversity and excellence.</t>
  </si>
  <si>
    <t>Juan Manuel Cotelo</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</si>
  <si>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</si>
  <si>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</si>
  <si>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</si>
  <si>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</si>
  <si>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</si>
  <si>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Juan Pablo Buscarini</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</si>
  <si>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</si>
  <si>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</si>
  <si>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</si>
  <si>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</si>
  <si>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Juan Zapata</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</si>
  <si>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</si>
  <si>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</si>
  <si>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</si>
  <si>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</si>
  <si>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</si>
  <si>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</si>
  <si>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Juani Libonatti</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</si>
  <si>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</si>
  <si>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</si>
  <si>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</si>
  <si>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</si>
  <si>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</si>
  <si>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Judah Friedlander</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</si>
  <si>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</si>
  <si>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</si>
  <si>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</si>
  <si>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</si>
  <si>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Jude Okwudiafor Johnson</t>
  </si>
  <si>
    <t>s2104</t>
  </si>
  <si>
    <t>Class of '83</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</si>
  <si>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</si>
  <si>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</si>
  <si>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</si>
  <si>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</si>
  <si>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</si>
  <si>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</si>
  <si>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</si>
  <si>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Julia Hart</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</si>
  <si>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</si>
  <si>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</si>
  <si>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</si>
  <si>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</si>
  <si>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Julia Knowles</t>
  </si>
  <si>
    <t>s2107</t>
  </si>
  <si>
    <t>Rust Valley Restorers</t>
  </si>
  <si>
    <t>Mike Hall, Michael Daingerfield</t>
  </si>
  <si>
    <t>Old-school auto collector Mike Hall, his pal Avery Shoaf and son Connor Hall go the extra mile to restore retro cars – and hopefully turn a profit.</t>
  </si>
  <si>
    <t>Julia Von Heinz</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</si>
  <si>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</si>
  <si>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</si>
  <si>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</si>
  <si>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</si>
  <si>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</si>
  <si>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Julia Willoughby Nason, Jenner Furst</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</si>
  <si>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</si>
  <si>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</si>
  <si>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</si>
  <si>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</si>
  <si>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</si>
  <si>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</si>
  <si>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</si>
  <si>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</si>
  <si>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</si>
  <si>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</si>
  <si>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</si>
  <si>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</si>
  <si>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</si>
  <si>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</si>
  <si>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</si>
  <si>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Julian Jarrold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</si>
  <si>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</si>
  <si>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</si>
  <si>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</si>
  <si>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</si>
  <si>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</si>
  <si>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</si>
  <si>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</si>
  <si>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</si>
  <si>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</si>
  <si>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</si>
  <si>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</si>
  <si>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Julie Dash</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</si>
  <si>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</si>
  <si>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</si>
  <si>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</si>
  <si>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</si>
  <si>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Julie Taymor</t>
  </si>
  <si>
    <t>s2116</t>
  </si>
  <si>
    <t>Drunk Parents</t>
  </si>
  <si>
    <t>Alec Baldwin, Salma Hayek, Jim Gaffigan, Joe Manganiello, Treat Williams, Ben Platt, Aasif Mandvi, Natalia Cigliuti</t>
  </si>
  <si>
    <t>August 18, 2020</t>
  </si>
  <si>
    <t>Two desperate parents go to extreme lengths to hide their dire financial straits from their daughter and friends.</t>
  </si>
  <si>
    <t>Julien Abraham</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</si>
  <si>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</si>
  <si>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</si>
  <si>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</si>
  <si>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</si>
  <si>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</si>
  <si>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Julien Christian Lutz</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</si>
  <si>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</si>
  <si>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</si>
  <si>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</si>
  <si>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</si>
  <si>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</si>
  <si>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</si>
  <si>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</si>
  <si>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</si>
  <si>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</si>
  <si>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</si>
  <si>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Julien Rambaldi</t>
  </si>
  <si>
    <t>s2120</t>
  </si>
  <si>
    <t>Islands of Faith</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</si>
  <si>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</si>
  <si>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</si>
  <si>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</si>
  <si>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</si>
  <si>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</si>
  <si>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</si>
  <si>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</si>
  <si>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</si>
  <si>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Julien Seri</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</si>
  <si>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</si>
  <si>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</si>
  <si>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</si>
  <si>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</si>
  <si>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</si>
  <si>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</si>
  <si>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</si>
  <si>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</si>
  <si>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</si>
  <si>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</si>
  <si>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Julio Fernández Talamantes</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</si>
  <si>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</si>
  <si>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</si>
  <si>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</si>
  <si>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</si>
  <si>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</si>
  <si>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Julio Medem</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</si>
  <si>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</si>
  <si>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</si>
  <si>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</si>
  <si>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</si>
  <si>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</si>
  <si>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</si>
  <si>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</si>
  <si>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</si>
  <si>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Julius Avery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</si>
  <si>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</si>
  <si>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</si>
  <si>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</si>
  <si>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</si>
  <si>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</si>
  <si>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Julius Onah</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</si>
  <si>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</si>
  <si>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</si>
  <si>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</si>
  <si>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</si>
  <si>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Julius R. Nasso</t>
  </si>
  <si>
    <t>s2129</t>
  </si>
  <si>
    <t>Beyond the Boundary: ICC Women's T20 World Cup Australia 2020</t>
  </si>
  <si>
    <t>With highlights from the 2020 tourney, this program offers an inside look at the global showcase for women's cricket — the ICC Women's T20 World Cup.</t>
  </si>
  <si>
    <t>July Hygreck</t>
  </si>
  <si>
    <t>s2130</t>
  </si>
  <si>
    <t>Fearless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</si>
  <si>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</si>
  <si>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</si>
  <si>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Jumpei Mizusaki, Koji Morimoto, Michael Arias, Masaru Matsumoto, Arthell Isom, Henry Thurlow, Takanobu Mizuno, Elsa Nakamichi, Hajime Sasaki, Shinji Takagi</t>
  </si>
  <si>
    <t>s2131</t>
  </si>
  <si>
    <t>Nigerian Prince</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</si>
  <si>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</si>
  <si>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</si>
  <si>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</si>
  <si>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</si>
  <si>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</si>
  <si>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</si>
  <si>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Jun-Seong Kim</t>
  </si>
  <si>
    <t>s2133</t>
  </si>
  <si>
    <t>Project Power</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</si>
  <si>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</si>
  <si>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</si>
  <si>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Jung Ji-Woo</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</si>
  <si>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</si>
  <si>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</si>
  <si>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</si>
  <si>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</si>
  <si>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Jung-Ah Im</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</si>
  <si>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</si>
  <si>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</si>
  <si>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</si>
  <si>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</si>
  <si>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Jung-Ah Im, Seung-Uk Jo</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</si>
  <si>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</si>
  <si>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</si>
  <si>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</si>
  <si>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</si>
  <si>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Jung-Woo Park</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</si>
  <si>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</si>
  <si>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</si>
  <si>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</si>
  <si>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</si>
  <si>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Junichi Sato, Tomotaka Shibayama</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</si>
  <si>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</si>
  <si>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</si>
  <si>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</si>
  <si>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</si>
  <si>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</si>
  <si>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</si>
  <si>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</si>
  <si>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</si>
  <si>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</si>
  <si>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</si>
  <si>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</si>
  <si>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</si>
  <si>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</si>
  <si>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</si>
  <si>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</si>
  <si>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</si>
  <si>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</si>
  <si>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</si>
  <si>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</si>
  <si>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</si>
  <si>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</si>
  <si>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</si>
  <si>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</si>
  <si>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Justin Bare, Matthew Miele</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</si>
  <si>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</si>
  <si>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</si>
  <si>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</si>
  <si>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</si>
  <si>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</si>
  <si>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</si>
  <si>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</si>
  <si>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</si>
  <si>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</si>
  <si>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</si>
  <si>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</si>
  <si>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</si>
  <si>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</si>
  <si>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</si>
  <si>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</si>
  <si>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Justin Chon</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</si>
  <si>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</si>
  <si>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</si>
  <si>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</si>
  <si>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</si>
  <si>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</si>
  <si>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</si>
  <si>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</si>
  <si>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</si>
  <si>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</si>
  <si>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</si>
  <si>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</si>
  <si>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</si>
  <si>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</si>
  <si>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Justin Krook</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</si>
  <si>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</si>
  <si>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</si>
  <si>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</si>
  <si>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</si>
  <si>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Justin Lee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</si>
  <si>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</si>
  <si>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</si>
  <si>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</si>
  <si>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</si>
  <si>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</si>
  <si>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</si>
  <si>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Justin Mcconnell</t>
  </si>
  <si>
    <t>s2151</t>
  </si>
  <si>
    <t>Berlin, Berlin: Lolle on the Run</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</si>
  <si>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</si>
  <si>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</si>
  <si>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</si>
  <si>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</si>
  <si>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</si>
  <si>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</si>
  <si>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</si>
  <si>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Justin Pemberton</t>
  </si>
  <si>
    <t>s2153</t>
  </si>
  <si>
    <t>Selling Sunset</t>
  </si>
  <si>
    <t>The elite real estate brokers at The Oppenheim Group sell the luxe life to affluent buyers in LA. The drama ramps up when a new agent joins the team.</t>
  </si>
  <si>
    <t>Justin Webster</t>
  </si>
  <si>
    <t>s2154</t>
  </si>
  <si>
    <t>Sing On! Germany</t>
  </si>
  <si>
    <t>Palina Rojinski</t>
  </si>
  <si>
    <t>In this karaoke competition hosted by Palina Rojinski, contestants must hit the right note for a chance to win up to 30,000 euros.</t>
  </si>
  <si>
    <t>K. Gopinathan</t>
  </si>
  <si>
    <t>s2155</t>
  </si>
  <si>
    <t>Stars in the Sky: A Hunting Story</t>
  </si>
  <si>
    <t>This documentary follows a group of hunters as they grapple with the complexities, controversies, and contradictions of pursuing animals in the wild.</t>
  </si>
  <si>
    <t>K. Rajagopal</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</si>
  <si>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</si>
  <si>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</si>
  <si>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</si>
  <si>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</si>
  <si>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K. Ramanlal</t>
  </si>
  <si>
    <t>s2157</t>
  </si>
  <si>
    <t>Tiny Creatures</t>
  </si>
  <si>
    <t>Mike Colter</t>
  </si>
  <si>
    <t>Little animals embark on big adventures across the U.S. in a dramatic nature series that explores their hidden worlds and epic survival stories.</t>
  </si>
  <si>
    <t>K. Subhash</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</si>
  <si>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</si>
  <si>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</si>
  <si>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</si>
  <si>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</si>
  <si>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K.C. Bokadia</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</si>
  <si>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</si>
  <si>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</si>
  <si>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</si>
  <si>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</si>
  <si>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</si>
  <si>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</si>
  <si>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</si>
  <si>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</si>
  <si>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</si>
  <si>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</si>
  <si>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</si>
  <si>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</si>
  <si>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</si>
  <si>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Kabir Bhatia</t>
  </si>
  <si>
    <t>s2162</t>
  </si>
  <si>
    <t>Nasha Natasha</t>
  </si>
  <si>
    <t>Martín Sastre</t>
  </si>
  <si>
    <t>Natalia Oreiro</t>
  </si>
  <si>
    <t>Concert and behind-the-scenes footage capture life on tour for Uruguayan sensation Natalia Oreiro as she performs for packed crowds throughout Russia.</t>
  </si>
  <si>
    <t>Kabir Khan</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</si>
  <si>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</si>
  <si>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</si>
  <si>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</si>
  <si>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</si>
  <si>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Kabir Sadanand</t>
  </si>
  <si>
    <t>s2164</t>
  </si>
  <si>
    <t>Anelka: Misunderstood</t>
  </si>
  <si>
    <t>Nicolas Anelka</t>
  </si>
  <si>
    <t>August 5, 2020</t>
  </si>
  <si>
    <t>Inscrutable, incomparable or both? Famed French footballer Nicolas Anelka’s controversial legacy is explored in this in-depth documentary.</t>
  </si>
  <si>
    <t>Kader Aoun</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</si>
  <si>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</si>
  <si>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</si>
  <si>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</si>
  <si>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</si>
  <si>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</si>
  <si>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</si>
  <si>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</si>
  <si>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</si>
  <si>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Kaila York</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</si>
  <si>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</si>
  <si>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</si>
  <si>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</si>
  <si>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</si>
  <si>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</si>
  <si>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Kaizad Gustad</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</si>
  <si>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</si>
  <si>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</si>
  <si>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</si>
  <si>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</si>
  <si>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</si>
  <si>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Kamal Sahani</t>
  </si>
  <si>
    <t>s2169</t>
  </si>
  <si>
    <t>Mystery Lab</t>
  </si>
  <si>
    <t>Felipe Castanhari, Lilian Regina, Bruno Miranda, Guilherme Briggs</t>
  </si>
  <si>
    <t>Host Felipe Castanhari explores science, history, mysteries and marvels, uncovering mind-blowing facts with help from his lab buddies.</t>
  </si>
  <si>
    <t>Kang Cheng, Shan Hua</t>
  </si>
  <si>
    <t>s2170</t>
  </si>
  <si>
    <t>Sam Jay: 3 In The Morning</t>
  </si>
  <si>
    <t>Sam Jay</t>
  </si>
  <si>
    <t>Comedian and "Saturday Night Live" writer Sam Jay serves up fresh takes on relationships, travel nightmares, the audacity of white people and more.</t>
  </si>
  <si>
    <t>Kanika Batra</t>
  </si>
  <si>
    <t>s2171</t>
  </si>
  <si>
    <t>Immigration Nation</t>
  </si>
  <si>
    <t>August 3, 2020</t>
  </si>
  <si>
    <t>With unprecedented access to ICE operations, as well as moving portraits of immigrants, this docuseries takes a deep look at US immigration today.</t>
  </si>
  <si>
    <t>Kanwal Sethi</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</si>
  <si>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</si>
  <si>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</si>
  <si>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</si>
  <si>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</si>
  <si>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</si>
  <si>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</si>
  <si>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Karan Anshuman</t>
  </si>
  <si>
    <t>s2173</t>
  </si>
  <si>
    <t>Killing Hasselhoff</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</si>
  <si>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</si>
  <si>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</si>
  <si>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</si>
  <si>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Karan Bali</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</si>
  <si>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</si>
  <si>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</si>
  <si>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</si>
  <si>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</si>
  <si>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Karan Johar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</si>
  <si>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</si>
  <si>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</si>
  <si>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</si>
  <si>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</si>
  <si>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Karan Lalit Butani</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</si>
  <si>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</si>
  <si>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</si>
  <si>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</si>
  <si>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</si>
  <si>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Karan Malhotra</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</si>
  <si>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</si>
  <si>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</si>
  <si>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</si>
  <si>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</si>
  <si>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Karan Shivajirao Chavan, Vikram Tanajirao Patil</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</si>
  <si>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</si>
  <si>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</si>
  <si>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</si>
  <si>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</si>
  <si>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Karen J. Lloyd</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</si>
  <si>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</si>
  <si>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</si>
  <si>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</si>
  <si>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</si>
  <si>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</si>
  <si>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</si>
  <si>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</si>
  <si>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</si>
  <si>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</si>
  <si>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</si>
  <si>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Karen Moncrieff</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</si>
  <si>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</si>
  <si>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</si>
  <si>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</si>
  <si>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</si>
  <si>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Karey Kirkpatrick</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</si>
  <si>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</si>
  <si>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</si>
  <si>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</si>
  <si>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</si>
  <si>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Karim Amer, Jehane Noujaim</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</si>
  <si>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</si>
  <si>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</si>
  <si>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</si>
  <si>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</si>
  <si>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</si>
  <si>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</si>
  <si>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</si>
  <si>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</si>
  <si>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</si>
  <si>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</si>
  <si>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Karim El Sobky</t>
  </si>
  <si>
    <t>s2185</t>
  </si>
  <si>
    <t>Get Even</t>
  </si>
  <si>
    <t>Kim Adis, Mia McKenna-Bruce, Bethany Antonia, Jessica Alexander</t>
  </si>
  <si>
    <t>July 31, 2020</t>
  </si>
  <si>
    <t>In a secret act of skillful revenge, four private school classmates team up and work together to expose a string of schoolwide injustices.</t>
  </si>
  <si>
    <t>Karl Mueller</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</si>
  <si>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</si>
  <si>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</si>
  <si>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</si>
  <si>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</si>
  <si>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</si>
  <si>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</si>
  <si>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</si>
  <si>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</si>
  <si>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</si>
  <si>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Karyn Kusama</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</si>
  <si>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</si>
  <si>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</si>
  <si>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</si>
  <si>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</si>
  <si>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</si>
  <si>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Kasia Uscinska</t>
  </si>
  <si>
    <t>s2189</t>
  </si>
  <si>
    <t>Sugar High</t>
  </si>
  <si>
    <t>Hunter March</t>
  </si>
  <si>
    <t>Talented sugar artists compete for $10,000 over two rounds of competition — candy and sugar sculpture — in this "Sugar Rush" spinoff special.</t>
  </si>
  <si>
    <t>Kaspar Astrup Schröder</t>
  </si>
  <si>
    <t>s2190</t>
  </si>
  <si>
    <t>Sugar Rush</t>
  </si>
  <si>
    <t>Candace Nelson, Adriano Zumbo, Hunter March</t>
  </si>
  <si>
    <t>Time's the most important ingredient as teams race against the clock – and each other – to bake up the best-tasting sweets.</t>
  </si>
  <si>
    <t>Kasper Barfoed</t>
  </si>
  <si>
    <t>s2191</t>
  </si>
  <si>
    <t>The Umbrella Academy</t>
  </si>
  <si>
    <t>TV Action &amp; Adventure, TV Mysteries, TV Sci-Fi &amp; Fantasy</t>
  </si>
  <si>
    <t>Reunited by their father's death, estranged siblings with extraordinary powers uncover shocking family secrets – and a looming threat to humanity.</t>
  </si>
  <si>
    <t>Kasper Collin</t>
  </si>
  <si>
    <t>s2192</t>
  </si>
  <si>
    <t>Retablo</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</si>
  <si>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</si>
  <si>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</si>
  <si>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</si>
  <si>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</si>
  <si>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Kasra Farahani</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</si>
  <si>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</si>
  <si>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</si>
  <si>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</si>
  <si>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</si>
  <si>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Katarina Launing</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</si>
  <si>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</si>
  <si>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</si>
  <si>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</si>
  <si>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</si>
  <si>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</si>
  <si>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Kate Horne</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</si>
  <si>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</si>
  <si>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</si>
  <si>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</si>
  <si>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</si>
  <si>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</si>
  <si>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Kate Melville</t>
  </si>
  <si>
    <t>s2196</t>
  </si>
  <si>
    <t>It's Her Day</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</si>
  <si>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</si>
  <si>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</si>
  <si>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</si>
  <si>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Kate Mulleavy, Laura Mulleavy</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</si>
  <si>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</si>
  <si>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</si>
  <si>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</si>
  <si>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</si>
  <si>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</si>
  <si>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</si>
  <si>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Katherine Brooks</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</si>
  <si>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</si>
  <si>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</si>
  <si>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</si>
  <si>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</si>
  <si>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</si>
  <si>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</si>
  <si>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Katherine Dieckmann</t>
  </si>
  <si>
    <t>s2199</t>
  </si>
  <si>
    <t>The Hater</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</si>
  <si>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</si>
  <si>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</si>
  <si>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Katherine Fairfax Wright</t>
  </si>
  <si>
    <t>s2200</t>
  </si>
  <si>
    <t>The Speed Cubers</t>
  </si>
  <si>
    <t>Sue Kim</t>
  </si>
  <si>
    <t>41 min</t>
  </si>
  <si>
    <t>This documentary captures the extraordinary twists and turns in the journeys of Rubik's Cube-solving champions Max Park and Feliks Zemdegs.</t>
  </si>
  <si>
    <t>Kathryn Bigelow</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</si>
  <si>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</si>
  <si>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</si>
  <si>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</si>
  <si>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</si>
  <si>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</si>
  <si>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</si>
  <si>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</si>
  <si>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</si>
  <si>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</si>
  <si>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</si>
  <si>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</si>
  <si>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</si>
  <si>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</si>
  <si>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</si>
  <si>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Katy Chevigny, Ross Kauffman</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</si>
  <si>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</si>
  <si>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</si>
  <si>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</si>
  <si>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</si>
  <si>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Kavi Raz</t>
  </si>
  <si>
    <t>s2205</t>
  </si>
  <si>
    <t>Door Ke Darshan</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</si>
  <si>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</si>
  <si>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</si>
  <si>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</si>
  <si>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</si>
  <si>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</si>
  <si>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</si>
  <si>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</si>
  <si>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</si>
  <si>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Kazuaki Kiriya</t>
  </si>
  <si>
    <t>s2207</t>
  </si>
  <si>
    <t>Project Marathwada</t>
  </si>
  <si>
    <t>Om Puri, Seema Biswas, Kunal Sheth, Rahul Patel, Katarina Kajkus, Farrah Kader, Govind Namdeo, Dalip Tahil</t>
  </si>
  <si>
    <t>After his son’s suicide, a debt-ridden farmer seeks justice from the government. But as his pleas are mocked and rebuffed, his own will to live erodes.</t>
  </si>
  <si>
    <t>Kazuchika Kise</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</si>
  <si>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</si>
  <si>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</si>
  <si>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</si>
  <si>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</si>
  <si>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</si>
  <si>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</si>
  <si>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</si>
  <si>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Kazuchika Kise, Masahiko Murata</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</si>
  <si>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</si>
  <si>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</si>
  <si>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</si>
  <si>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</si>
  <si>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Kazuya Murata</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</si>
  <si>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</si>
  <si>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</si>
  <si>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</si>
  <si>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</si>
  <si>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</si>
  <si>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Keanu Reeves</t>
  </si>
  <si>
    <t>s2211</t>
  </si>
  <si>
    <t>Offering to the Storm</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</si>
  <si>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</si>
  <si>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</si>
  <si>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</si>
  <si>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Kedar Shinde</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</si>
  <si>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</si>
  <si>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</si>
  <si>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</si>
  <si>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</si>
  <si>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</si>
  <si>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Keenen Ivory Wayans</t>
  </si>
  <si>
    <t>s2213</t>
  </si>
  <si>
    <t>Sing On! Spain</t>
  </si>
  <si>
    <t>Ricky Merino</t>
  </si>
  <si>
    <t>In this fast-paced, high-energy karaoke competition, singers from all walks of life battle it out for up to 30,000 euros!</t>
  </si>
  <si>
    <t>Keerthi</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</si>
  <si>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</si>
  <si>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</si>
  <si>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</si>
  <si>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</si>
  <si>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Kees Van Oostrum</t>
  </si>
  <si>
    <t>s2215</t>
  </si>
  <si>
    <t>Sinatra: All or Nothing at All</t>
  </si>
  <si>
    <t>July 23, 2020</t>
  </si>
  <si>
    <t>Legendary crooner Frank Sinatra's life and talent are captured in this documentary series featuring fond memories from friends, family and colleagues.</t>
  </si>
  <si>
    <t>Keiichi Hara</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</si>
  <si>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</si>
  <si>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</si>
  <si>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</si>
  <si>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</si>
  <si>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</si>
  <si>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</si>
  <si>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</si>
  <si>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</si>
  <si>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</si>
  <si>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</si>
  <si>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</si>
  <si>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Keiko Yagi</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</si>
  <si>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</si>
  <si>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</si>
  <si>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</si>
  <si>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</si>
  <si>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</si>
  <si>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</si>
  <si>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</si>
  <si>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</si>
  <si>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Keith Fulton, Louis Pepe</t>
  </si>
  <si>
    <t>s2220</t>
  </si>
  <si>
    <t>The Remix: Hip Hop X Fashion</t>
  </si>
  <si>
    <t>Lisa Cortés, Farah X</t>
  </si>
  <si>
    <t>This documentary profiles Black visionaries in fashion who rewrote narratives on the runway and turned hip-hop style into a global phenomenon.</t>
  </si>
  <si>
    <t>Keith L. Smith</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</si>
  <si>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</si>
  <si>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</si>
  <si>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</si>
  <si>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</si>
  <si>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</si>
  <si>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</si>
  <si>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</si>
  <si>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Keith Malloy</t>
  </si>
  <si>
    <t>s2222</t>
  </si>
  <si>
    <t>Jack Whitehall: I'm Only Joking</t>
  </si>
  <si>
    <t>Jack Whitehall</t>
  </si>
  <si>
    <t>Jack Whitehall hits the stage with hilarious tales about happy couples, life in hotels, human stupidity and his well-traveled father.</t>
  </si>
  <si>
    <t>Keith Scholey</t>
  </si>
  <si>
    <t>s2223</t>
  </si>
  <si>
    <t>Street Food: Latin America</t>
  </si>
  <si>
    <t>In this vibrant docuseries, Latin American chefs tell their stories and bring a taste of tradition and innovation to their delicious offerings.</t>
  </si>
  <si>
    <t>Kelly Duane De La Vega</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</si>
  <si>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</si>
  <si>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</si>
  <si>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</si>
  <si>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</si>
  <si>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</si>
  <si>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</si>
  <si>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</si>
  <si>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</si>
  <si>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</si>
  <si>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</si>
  <si>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</si>
  <si>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Kelly Noonan</t>
  </si>
  <si>
    <t>s2226</t>
  </si>
  <si>
    <t>Gigantosaurus</t>
  </si>
  <si>
    <t>Four prehistoric friends go on an array of adventures while trying to unravel a mystery about a big, fierce creature. Based on Jonny Duddle's book.</t>
  </si>
  <si>
    <t>Kelly Reichardt</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</si>
  <si>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</si>
  <si>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</si>
  <si>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</si>
  <si>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</si>
  <si>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</si>
  <si>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</si>
  <si>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</si>
  <si>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</si>
  <si>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</si>
  <si>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</si>
  <si>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Ken Barbet</t>
  </si>
  <si>
    <t>s2229</t>
  </si>
  <si>
    <t>Father Soldier Son</t>
  </si>
  <si>
    <t>Leslye Davis, Catrin Einhorn</t>
  </si>
  <si>
    <t>After a single father is severely wounded in Afghanistan, he and his sons embark on a journey of sacrifice and a search for redemption.</t>
  </si>
  <si>
    <t>Ken Burns</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</si>
  <si>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</si>
  <si>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</si>
  <si>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</si>
  <si>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</si>
  <si>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Ken Burns, Artemis Joukowsky</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</si>
  <si>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</si>
  <si>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</si>
  <si>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</si>
  <si>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</si>
  <si>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Ken Burns, Christopher Loren Ewers, Erik Ewers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</si>
  <si>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</si>
  <si>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</si>
  <si>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</si>
  <si>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</si>
  <si>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</si>
  <si>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Ken Burns, Lynn Novick</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</si>
  <si>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</si>
  <si>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</si>
  <si>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</si>
  <si>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</si>
  <si>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</si>
  <si>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</si>
  <si>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</si>
  <si>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</si>
  <si>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</si>
  <si>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</si>
  <si>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Ken Hughes</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</si>
  <si>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</si>
  <si>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</si>
  <si>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</si>
  <si>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</si>
  <si>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</si>
  <si>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Ken Kushner</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</si>
  <si>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</si>
  <si>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</si>
  <si>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</si>
  <si>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</si>
  <si>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Ken Kwapis</t>
  </si>
  <si>
    <t>s2237</t>
  </si>
  <si>
    <t>Little Singham: Legend of Dugabakka</t>
  </si>
  <si>
    <t>As fears rise over a ghost known for nighttime abductions, Mirchi Nagar residents look to the only person they know can save them: Little Singham!</t>
  </si>
  <si>
    <t>Ken Loach</t>
  </si>
  <si>
    <t>s2238</t>
  </si>
  <si>
    <t>Skin Decision: Before and After</t>
  </si>
  <si>
    <t>Reality TV, Science &amp; Nature TV</t>
  </si>
  <si>
    <t>Skin and beauty expert Nurse Jamie and plastic surgeon Dr. Sheila Nazarian use the latest procedures to bring out their clients' best selves.</t>
  </si>
  <si>
    <t>Ken Marino</t>
  </si>
  <si>
    <t>s2239</t>
  </si>
  <si>
    <t>Sunny Bunnies</t>
  </si>
  <si>
    <t>Svetlana Tsimokhina, Dmitri Davidovich</t>
  </si>
  <si>
    <t>Belarus</t>
  </si>
  <si>
    <t>Furry little bunnies hop through wild adventures as they find solutions, fun and sometimes mischief wherever there is light.</t>
  </si>
  <si>
    <t>s2240</t>
  </si>
  <si>
    <t>Sylvia</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</si>
  <si>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</si>
  <si>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</si>
  <si>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Kenneth Müller</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</si>
  <si>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</si>
  <si>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</si>
  <si>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</si>
  <si>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</si>
  <si>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</si>
  <si>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Kenny Leon</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</si>
  <si>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</si>
  <si>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</si>
  <si>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</si>
  <si>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</si>
  <si>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</si>
  <si>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</si>
  <si>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</si>
  <si>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Urzila Carlson</t>
  </si>
  <si>
    <t>Stand-up comedian Urzila Carlson keeps the crowd roaring with her thoughts on recasting "The Biggest Loser," sex tape regrets and boxed wine hangovers.</t>
  </si>
  <si>
    <t>Kenny Young</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</si>
  <si>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</si>
  <si>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</si>
  <si>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</si>
  <si>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</si>
  <si>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</si>
  <si>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</si>
  <si>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</si>
  <si>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</si>
  <si>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</si>
  <si>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Keoni Waxman</t>
  </si>
  <si>
    <t>s2246</t>
  </si>
  <si>
    <t>Dating Around: Brazil</t>
  </si>
  <si>
    <t>July 10, 2020</t>
  </si>
  <si>
    <t>In this reality show, six singles meet five different blind dates at trendy urban hot spots in Brazil. Who will they choose for a second outing?</t>
  </si>
  <si>
    <t>Kepa Sojo</t>
  </si>
  <si>
    <t>s2247</t>
  </si>
  <si>
    <t>Down to Earth with Zac Efron</t>
  </si>
  <si>
    <t>Zac Efron, Darin Olien</t>
  </si>
  <si>
    <t>Actor Zac Efron journeys around the world with wellness expert Darin Olien in a travel show that explores healthy, sustainable ways to live.</t>
  </si>
  <si>
    <t>Ketan Mehta</t>
  </si>
  <si>
    <t>s2248</t>
  </si>
  <si>
    <t>Mama's Boy</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</si>
  <si>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</si>
  <si>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</si>
  <si>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</si>
  <si>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</si>
  <si>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</si>
  <si>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</si>
  <si>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Kevan Peterson</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</si>
  <si>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</si>
  <si>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</si>
  <si>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</si>
  <si>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</si>
  <si>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</si>
  <si>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Kevin Booth, David Johndrow</t>
  </si>
  <si>
    <t>s2251</t>
  </si>
  <si>
    <t>The Old Guard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</si>
  <si>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</si>
  <si>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</si>
  <si>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Kevin Bray</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</si>
  <si>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</si>
  <si>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</si>
  <si>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</si>
  <si>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</si>
  <si>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</si>
  <si>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</si>
  <si>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</si>
  <si>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</si>
  <si>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</si>
  <si>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Kevin Derek</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</si>
  <si>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</si>
  <si>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</si>
  <si>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</si>
  <si>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</si>
  <si>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</si>
  <si>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Kevin Donovan</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</si>
  <si>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</si>
  <si>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</si>
  <si>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</si>
  <si>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</si>
  <si>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</si>
  <si>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Kevin Ford, Smriti Keshari, Eric Schlosser</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</si>
  <si>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</si>
  <si>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</si>
  <si>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</si>
  <si>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</si>
  <si>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Kevin Hooks</t>
  </si>
  <si>
    <t>s2257</t>
  </si>
  <si>
    <t>Born Racer</t>
  </si>
  <si>
    <t>Scott Dixon</t>
  </si>
  <si>
    <t>July 8, 2020</t>
  </si>
  <si>
    <t>In this all-access pass, IndyCar champion Scott Dixon and his team navigate the risks on the road in the quest to win it all.</t>
  </si>
  <si>
    <t>s2258</t>
  </si>
  <si>
    <t>Mucho Mucho Amor: The Legend of Walter Mercado</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</si>
  <si>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</si>
  <si>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</si>
  <si>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</si>
  <si>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</si>
  <si>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</si>
  <si>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</si>
  <si>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Kevin Layne</t>
  </si>
  <si>
    <t>s2260</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</si>
  <si>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</si>
  <si>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</si>
  <si>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</si>
  <si>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</si>
  <si>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</si>
  <si>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</si>
  <si>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</si>
  <si>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</si>
  <si>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Kevin Mcmanus, Matthew Mcmanus</t>
  </si>
  <si>
    <t>s2262</t>
  </si>
  <si>
    <t>Jim Jefferies: Intolerant</t>
  </si>
  <si>
    <t>Scott Zabielski</t>
  </si>
  <si>
    <t>Jim Jefferies</t>
  </si>
  <si>
    <t>Between scenes from an excruciating date, Jim Jefferies digs into generational differences, his own bad habits and the shifting boundaries in comedy.</t>
  </si>
  <si>
    <t>Kevin Munroe</t>
  </si>
  <si>
    <t>s2263</t>
  </si>
  <si>
    <t>A Kid from Coney Island</t>
  </si>
  <si>
    <t>Stephon Marbury</t>
  </si>
  <si>
    <t>July 6, 2020</t>
  </si>
  <si>
    <t>From gifted athlete to professional NBA hooper, Coney Island's Stephon Marbury navigates the pressures, pitfalls and peaks of his basketball journey.</t>
  </si>
  <si>
    <t>Kevin Peeples</t>
  </si>
  <si>
    <t>s2264</t>
  </si>
  <si>
    <t>PNL - Dans la légende tour</t>
  </si>
  <si>
    <t>QLF</t>
  </si>
  <si>
    <t>PNL</t>
  </si>
  <si>
    <t>French rap duo PNL deliver hypnotic visuals and perform popular tracks from their album "Dans la légende" and more at the Bercy Arena in Paris.</t>
  </si>
  <si>
    <t>Kevin Phillips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</si>
  <si>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</si>
  <si>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</si>
  <si>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</si>
  <si>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</si>
  <si>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</si>
  <si>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</si>
  <si>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</si>
  <si>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</si>
  <si>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</si>
  <si>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</si>
  <si>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</si>
  <si>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Kevin R. Adams, Joe Ksander</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</si>
  <si>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</si>
  <si>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</si>
  <si>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</si>
  <si>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</si>
  <si>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</si>
  <si>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Kevin Reynolds</t>
  </si>
  <si>
    <t>s2268</t>
  </si>
  <si>
    <t>Bombay Talkies</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</si>
  <si>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</si>
  <si>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</si>
  <si>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</si>
  <si>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</si>
  <si>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</si>
  <si>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</si>
  <si>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Khaled El Halafawy</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</si>
  <si>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</si>
  <si>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</si>
  <si>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</si>
  <si>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</si>
  <si>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</si>
  <si>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</si>
  <si>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</si>
  <si>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</si>
  <si>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</si>
  <si>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Khaled Youssef</t>
  </si>
  <si>
    <t>s2272</t>
  </si>
  <si>
    <t>Dharam Sankat Mein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</si>
  <si>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</si>
  <si>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</si>
  <si>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Khalid Mohamed</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</si>
  <si>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</si>
  <si>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</si>
  <si>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</si>
  <si>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</si>
  <si>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</si>
  <si>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</si>
  <si>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</si>
  <si>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</si>
  <si>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</si>
  <si>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</si>
  <si>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Kheiron</t>
  </si>
  <si>
    <t>s2275</t>
  </si>
  <si>
    <t>Gollu Aur Pappu</t>
  </si>
  <si>
    <t>Vir Das, Sandeepa Dhar, Dimple Kapadia, Kunaal Roy Kapur, Deepak Tijori</t>
  </si>
  <si>
    <t>Hapless brothers Gollu and Pappu stumble into a terrorist plot and end up being ordered to detonate a bomb, a task they are destined to bungle.</t>
  </si>
  <si>
    <t>Kief Davidson</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</si>
  <si>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</si>
  <si>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</si>
  <si>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</si>
  <si>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</si>
  <si>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</si>
  <si>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</si>
  <si>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</si>
  <si>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</si>
  <si>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</si>
  <si>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Kief Davidson, Richard Ladkani</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</si>
  <si>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</si>
  <si>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</si>
  <si>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</si>
  <si>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</si>
  <si>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</si>
  <si>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Kieran Darcy-Smith</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</si>
  <si>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</si>
  <si>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</si>
  <si>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</si>
  <si>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</si>
  <si>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</si>
  <si>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Kike Maíllo</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</si>
  <si>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</si>
  <si>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</si>
  <si>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</si>
  <si>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</si>
  <si>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Kiki Goshay, Jacqueline Monetta</t>
  </si>
  <si>
    <t>s2281</t>
  </si>
  <si>
    <t>Mumbai Delhi Mumbai</t>
  </si>
  <si>
    <t>Shiv Pandit, Piaa Bajpai</t>
  </si>
  <si>
    <t>In Delhi for the first time, a Mumbai girl loses her phone but gets a surprise chance at true love with a local boy who begrudgingly helps her.</t>
  </si>
  <si>
    <t>Kiko Cruz Claverol, Patricia Font</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</si>
  <si>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</si>
  <si>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</si>
  <si>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</si>
  <si>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</si>
  <si>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</si>
  <si>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Kim A. Snyder</t>
  </si>
  <si>
    <t>s2283</t>
  </si>
  <si>
    <t>One by Two</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</si>
  <si>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</si>
  <si>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</si>
  <si>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Kim Dong-Kyu</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</si>
  <si>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</si>
  <si>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</si>
  <si>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</si>
  <si>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</si>
  <si>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</si>
  <si>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Kim Jee-Woon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</si>
  <si>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</si>
  <si>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</si>
  <si>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</si>
  <si>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</si>
  <si>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</si>
  <si>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Kim Joo-Hyung</t>
  </si>
  <si>
    <t>s2286</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</si>
  <si>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</si>
  <si>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</si>
  <si>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</si>
  <si>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</si>
  <si>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</si>
  <si>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</si>
  <si>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</si>
  <si>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</si>
  <si>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Kim Seong-Hun</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</si>
  <si>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</si>
  <si>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</si>
  <si>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</si>
  <si>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</si>
  <si>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</si>
  <si>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Kim Sung-Hoon</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</si>
  <si>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</si>
  <si>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</si>
  <si>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</si>
  <si>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</si>
  <si>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Kim Tae-Hyung</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</si>
  <si>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</si>
  <si>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</si>
  <si>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</si>
  <si>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</si>
  <si>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</si>
  <si>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</si>
  <si>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</si>
  <si>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</si>
  <si>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</si>
  <si>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</si>
  <si>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</si>
  <si>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</si>
  <si>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</si>
  <si>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</si>
  <si>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</si>
  <si>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</si>
  <si>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</si>
  <si>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</si>
  <si>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Kip Andersen, Keegan Kuhn</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</si>
  <si>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</si>
  <si>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</si>
  <si>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</si>
  <si>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</si>
  <si>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</si>
  <si>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Kiran Narayanan</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</si>
  <si>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</si>
  <si>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</si>
  <si>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</si>
  <si>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</si>
  <si>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</si>
  <si>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</si>
  <si>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</si>
  <si>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</si>
  <si>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</si>
  <si>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</si>
  <si>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</si>
  <si>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Kirati Nakintanon</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</si>
  <si>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</si>
  <si>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</si>
  <si>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</si>
  <si>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</si>
  <si>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</si>
  <si>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</si>
  <si>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Kirby Dick</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</si>
  <si>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</si>
  <si>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</si>
  <si>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</si>
  <si>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</si>
  <si>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Kireet Khurana, Padmakumar Narasimhamurthy</t>
  </si>
  <si>
    <t>s2299</t>
  </si>
  <si>
    <t>Southern Survival</t>
  </si>
  <si>
    <t>The BattlBox crew tests out products designed to help people survive dangerous situations, including explosions, natural disasters and intruders.</t>
  </si>
  <si>
    <t>Kirk De Micco, Chris Sanders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</si>
  <si>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</si>
  <si>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</si>
  <si>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</si>
  <si>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</si>
  <si>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Kirk Demicco, Brandon Jeffords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</si>
  <si>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</si>
  <si>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</si>
  <si>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</si>
  <si>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</si>
  <si>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</si>
  <si>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</si>
  <si>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</si>
  <si>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</si>
  <si>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</si>
  <si>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</si>
  <si>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</si>
  <si>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</si>
  <si>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Thiago Ventura</t>
  </si>
  <si>
    <t>In a rollicking special, Thiago Ventura jokes about life in the hood, social issues and more, explaining how actions speak louder than words.</t>
  </si>
  <si>
    <t>Kitaro Kosaka</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</si>
  <si>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</si>
  <si>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</si>
  <si>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</si>
  <si>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</si>
  <si>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Kittiphak Thonguam</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</si>
  <si>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</si>
  <si>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</si>
  <si>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</si>
  <si>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</si>
  <si>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</si>
  <si>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</si>
  <si>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Kitty Green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</si>
  <si>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</si>
  <si>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</si>
  <si>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</si>
  <si>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</si>
  <si>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</si>
  <si>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</si>
  <si>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</si>
  <si>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</si>
  <si>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Kobun Shizuno, Hiroyuki Seshita</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</si>
  <si>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</si>
  <si>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</si>
  <si>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</si>
  <si>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</si>
  <si>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</si>
  <si>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</si>
  <si>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</si>
  <si>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</si>
  <si>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</si>
  <si>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</si>
  <si>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</si>
  <si>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</si>
  <si>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</si>
  <si>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</si>
  <si>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</si>
  <si>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</si>
  <si>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</si>
  <si>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</si>
  <si>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Kranthi Madhav</t>
  </si>
  <si>
    <t>s2312</t>
  </si>
  <si>
    <t>Double Jeopardy</t>
  </si>
  <si>
    <t>Tommy Lee Jones, Ashley Judd, Bruce Greenwood, Annabeth Gish, Roma Maffia, Jay Brazeau, Michael Gaston, Daniel Lapaine</t>
  </si>
  <si>
    <t>After being framed and serving time for her husband's supposed murder, Libby decides to kill her "late" husband for good.</t>
  </si>
  <si>
    <t>Kranti Kanade</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</si>
  <si>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</si>
  <si>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</si>
  <si>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</si>
  <si>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</si>
  <si>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Kranti Redkar</t>
  </si>
  <si>
    <t>s2314</t>
  </si>
  <si>
    <t>Say I Do</t>
  </si>
  <si>
    <t>Jeremiah Brent, Thai Nguyen, Gabriele Bertaccini</t>
  </si>
  <si>
    <t>In this reality show, couples overcome obstacles to celebrate their love in surprise dream weddings designed by three experts in less than a week.</t>
  </si>
  <si>
    <t>Kris Pearn</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</si>
  <si>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</si>
  <si>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</si>
  <si>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</si>
  <si>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</si>
  <si>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</si>
  <si>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</si>
  <si>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</si>
  <si>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</si>
  <si>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</si>
  <si>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Krishna Agazzi, Filippo Gastaldi</t>
  </si>
  <si>
    <t>s2317</t>
  </si>
  <si>
    <t>The Silence of Others</t>
  </si>
  <si>
    <t>Spain, France, Canada, United States</t>
  </si>
  <si>
    <t>Filmed over six years, this documentary captures the struggles of victims who suffered abuse under Gen. Francisco Franco's regime as they seek justice.</t>
  </si>
  <si>
    <t>Krishna Vamshi</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</si>
  <si>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</si>
  <si>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</si>
  <si>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</si>
  <si>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</si>
  <si>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</si>
  <si>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Kristian Levring</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</si>
  <si>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</si>
  <si>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</si>
  <si>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</si>
  <si>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</si>
  <si>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</si>
  <si>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</si>
  <si>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</si>
  <si>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</si>
  <si>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Kristin Hanggi</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</si>
  <si>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</si>
  <si>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</si>
  <si>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</si>
  <si>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</si>
  <si>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</si>
  <si>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Kristina Goolsby, Ashley York</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</si>
  <si>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</si>
  <si>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</si>
  <si>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</si>
  <si>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</si>
  <si>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</si>
  <si>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</si>
  <si>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</si>
  <si>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</si>
  <si>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Krysia Plonka</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</si>
  <si>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</si>
  <si>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</si>
  <si>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</si>
  <si>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</si>
  <si>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</si>
  <si>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</si>
  <si>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Krzysztof Zanussi</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</si>
  <si>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</si>
  <si>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</si>
  <si>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</si>
  <si>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</si>
  <si>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</si>
  <si>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Ksshitij Chaudhary</t>
  </si>
  <si>
    <t>s2326</t>
  </si>
  <si>
    <t>Skin</t>
  </si>
  <si>
    <t>Beverly Naya</t>
  </si>
  <si>
    <t>On a quest to find beauty in all complexions, actress Beverly Naya travels to her home country of Nigeria and explores colorism's impact on society.</t>
  </si>
  <si>
    <t>s2327</t>
  </si>
  <si>
    <t>Thackeray (Marathi)</t>
  </si>
  <si>
    <t>Nawazuddin Siddiqui, Amrita Rao, Rajeev Panday, Sanjay Narvekar, Rajesh Khera, Prakash Belawadi, Avantika Akerkar</t>
  </si>
  <si>
    <t>This biopic maps the meteoric rise of far-right Shiv Sena party founder, Bal Thackeray, from controversial cartoonist to powerful Mumbai politician.</t>
  </si>
  <si>
    <t>Kumaran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</si>
  <si>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</si>
  <si>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</si>
  <si>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</si>
  <si>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</si>
  <si>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</si>
  <si>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Kunal Deshmukh</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</si>
  <si>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</si>
  <si>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</si>
  <si>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</si>
  <si>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</si>
  <si>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</si>
  <si>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</si>
  <si>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Kunal Kohli</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</si>
  <si>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</si>
  <si>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</si>
  <si>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</si>
  <si>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</si>
  <si>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</si>
  <si>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Kundan Shah</t>
  </si>
  <si>
    <t>s2331</t>
  </si>
  <si>
    <t>Eurovision Song Contest: The Story of Fire Saga</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</si>
  <si>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</si>
  <si>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</si>
  <si>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</si>
  <si>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Kunihiko Yuyama</t>
  </si>
  <si>
    <t>s2332</t>
  </si>
  <si>
    <t>Home Game</t>
  </si>
  <si>
    <t>This docuseries profiles unique and dangerous traditional sports from around the world, as well as the communities and cultures where they thrive.</t>
  </si>
  <si>
    <t>Kunihiko Yuyama, Motonori Sakakibara</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</si>
  <si>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</si>
  <si>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</si>
  <si>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</si>
  <si>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</si>
  <si>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</si>
  <si>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</si>
  <si>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</si>
  <si>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Ronwaldo Martin, Hasmine Killip, Maria Isabel Lopez, Raymond Lee, Erlinda Villalobos, Sue Prado</t>
  </si>
  <si>
    <t>Barely making a living as pickpockets, a teenage couple in Manila resort to desperate measures when their one-month-old child is kidnapped.</t>
  </si>
  <si>
    <t>Kuntz Agus</t>
  </si>
  <si>
    <t>s2335</t>
  </si>
  <si>
    <t>Seven (Tamil)</t>
  </si>
  <si>
    <t>Multiple women report their husbands as missing but when it appears they are looking for the same man, a police officer traces their cryptic connection.</t>
  </si>
  <si>
    <t>Kurt Voelker</t>
  </si>
  <si>
    <t>s2336</t>
  </si>
  <si>
    <t>Seven (Telugu)</t>
  </si>
  <si>
    <t>Kurt Wimmer</t>
  </si>
  <si>
    <t>s2337</t>
  </si>
  <si>
    <t>Thackeray (Hindi)</t>
  </si>
  <si>
    <t>From controversial cartoonist to powerful Mumbai politician, this biopic maps the meteoric rise of far-right Shiv Sena party founder, Bal Thackeray.</t>
  </si>
  <si>
    <t>Kushal Srivastava</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</si>
  <si>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</si>
  <si>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</si>
  <si>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</si>
  <si>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</si>
  <si>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</si>
  <si>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Kvr Mahendra</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</si>
  <si>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</si>
  <si>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</si>
  <si>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</si>
  <si>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</si>
  <si>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</si>
  <si>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</si>
  <si>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Kwabena Gyansah</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</si>
  <si>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</si>
  <si>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</si>
  <si>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</si>
  <si>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</si>
  <si>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</si>
  <si>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Kyle Newacheck</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</si>
  <si>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</si>
  <si>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</si>
  <si>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</si>
  <si>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</si>
  <si>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Kyle Newman</t>
  </si>
  <si>
    <t>s2342</t>
  </si>
  <si>
    <t>Athlete A</t>
  </si>
  <si>
    <t>June 24, 2020</t>
  </si>
  <si>
    <t>This documentary focuses on the gymnasts who survived USA Gymnastics doctor Larry Nassar's abuse and the reporters who exposed USAG's toxic culture.</t>
  </si>
  <si>
    <t>Kyle Patrick Alvarez</t>
  </si>
  <si>
    <t>s2343</t>
  </si>
  <si>
    <t>Bulbbul</t>
  </si>
  <si>
    <t>Tripti Dimri, Avinash Tiwary, Rahul Bose, Parambrata Chatterjee, Paoli Dam, Veera Kapur Ee</t>
  </si>
  <si>
    <t>A child bride grows up to be an enigmatic woman presiding over her household, harboring a painful past as supernatural murders of men plague her village.</t>
  </si>
  <si>
    <t>Kyle Rankin</t>
  </si>
  <si>
    <t>s2344</t>
  </si>
  <si>
    <t>Crazy Delicious</t>
  </si>
  <si>
    <t>Jayde Adams, Carla Hall, Heston Blumenthal, Niklas Ekstedt</t>
  </si>
  <si>
    <t>In this competition show, daring home chefs tempt the food gods with reinvented classics and fanciful feasts in their quest to win a golden apple.</t>
  </si>
  <si>
    <t>Kyle Rideout</t>
  </si>
  <si>
    <t>s2345</t>
  </si>
  <si>
    <t>Nobody Knows I'm Here</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</si>
  <si>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</si>
  <si>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</si>
  <si>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</si>
  <si>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</si>
  <si>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</si>
  <si>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André</t>
  </si>
  <si>
    <t>June 23, 2020</t>
  </si>
  <si>
    <t>Eric Andre takes the stage in New Orleans and tackles flawed fast-food icons, the wonders of autofill and the bizarre choice for the "Cops" theme song.</t>
  </si>
  <si>
    <t>Kyoko Miyake</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</si>
  <si>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</si>
  <si>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</si>
  <si>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</si>
  <si>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</si>
  <si>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</si>
  <si>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</si>
  <si>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</si>
  <si>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</si>
  <si>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</si>
  <si>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</si>
  <si>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</si>
  <si>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Kyzza Terrazas</t>
  </si>
  <si>
    <t>s2349</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</si>
  <si>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</si>
  <si>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</si>
  <si>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</si>
  <si>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L. Frazier</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</si>
  <si>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</si>
  <si>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</si>
  <si>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</si>
  <si>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</si>
  <si>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</si>
  <si>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</si>
  <si>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</si>
  <si>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Kirsten Dunst, Joe Cole, Pilou Asbæk, Jack Kilmer, Steph DuVall, Susan Traylor, Joel McCoy, Michael Pavlicek</t>
  </si>
  <si>
    <t>Shattered after her mother's death, a woman floats away from reality under the effect of a potent, hallucinatory drug as her life decays into chaos.</t>
  </si>
  <si>
    <t>Lai Chun-Yu</t>
  </si>
  <si>
    <t>s2352</t>
  </si>
  <si>
    <t>Elevator Baby</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</si>
  <si>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</si>
  <si>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</si>
  <si>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</si>
  <si>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Lana Wachowski, Lilly Wachowski</t>
  </si>
  <si>
    <t>s2353</t>
  </si>
  <si>
    <t>Babies</t>
  </si>
  <si>
    <t>June 19, 2020</t>
  </si>
  <si>
    <t>From nature to nurture, this docuseries explores the groundbreaking science that reveals how infants discover life during their very first year.</t>
  </si>
  <si>
    <t>Lana Wilson</t>
  </si>
  <si>
    <t>s2354</t>
  </si>
  <si>
    <t>Chaman Bahaar</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</si>
  <si>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</si>
  <si>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</si>
  <si>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Lance Bangs</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</si>
  <si>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</si>
  <si>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</si>
  <si>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</si>
  <si>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</si>
  <si>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</si>
  <si>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</si>
  <si>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</si>
  <si>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</si>
  <si>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</si>
  <si>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</si>
  <si>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</si>
  <si>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</si>
  <si>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</si>
  <si>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</si>
  <si>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</si>
  <si>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</si>
  <si>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</si>
  <si>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</si>
  <si>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</si>
  <si>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</si>
  <si>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Larry Elikann</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</si>
  <si>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</si>
  <si>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</si>
  <si>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</si>
  <si>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</si>
  <si>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Larry Latham</t>
  </si>
  <si>
    <t>s2361</t>
  </si>
  <si>
    <t>One-Way to Tomorrow</t>
  </si>
  <si>
    <t>Dilan Çiçek Deniz, Metin Akdülger</t>
  </si>
  <si>
    <t>Two strangers cross paths on a train en route to Izmir, bonding over their turbulent — and unexpectedly intertwined — romantic pasts.</t>
  </si>
  <si>
    <t>Lars Büchel</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</si>
  <si>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</si>
  <si>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</si>
  <si>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</si>
  <si>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</si>
  <si>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</si>
  <si>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Lars Kaalund</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</si>
  <si>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</si>
  <si>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</si>
  <si>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</si>
  <si>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</si>
  <si>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Lars Klevberg</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</si>
  <si>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</si>
  <si>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</si>
  <si>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</si>
  <si>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</si>
  <si>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</si>
  <si>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</si>
  <si>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Lars Von Trier</t>
  </si>
  <si>
    <t>s2365</t>
  </si>
  <si>
    <t>A Whisker Away</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</si>
  <si>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</si>
  <si>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</si>
  <si>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</si>
  <si>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</si>
  <si>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</si>
  <si>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</si>
  <si>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</si>
  <si>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</si>
  <si>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</si>
  <si>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</si>
  <si>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</si>
  <si>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</si>
  <si>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Lasse Hallström, Joe Johnston</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</si>
  <si>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</si>
  <si>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</si>
  <si>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</si>
  <si>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</si>
  <si>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Latif Faiziyev, Umesh Mehra</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</si>
  <si>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</si>
  <si>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</si>
  <si>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</si>
  <si>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</si>
  <si>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Laura Alvea, José Ortuño</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</si>
  <si>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</si>
  <si>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</si>
  <si>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</si>
  <si>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</si>
  <si>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</si>
  <si>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</si>
  <si>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</si>
  <si>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</si>
  <si>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</si>
  <si>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</si>
  <si>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</si>
  <si>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</si>
  <si>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</si>
  <si>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Laura Mañá</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</si>
  <si>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</si>
  <si>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</si>
  <si>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</si>
  <si>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</si>
  <si>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</si>
  <si>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</si>
  <si>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</si>
  <si>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</si>
  <si>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</si>
  <si>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</si>
  <si>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Laura Vanzee Taylor</t>
  </si>
  <si>
    <t>s2375</t>
  </si>
  <si>
    <t>Stray Bullet</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</si>
  <si>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</si>
  <si>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</si>
  <si>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Lauren Miller Rogen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</si>
  <si>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</si>
  <si>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</si>
  <si>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</si>
  <si>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</si>
  <si>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Laurent Bouzereau</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</si>
  <si>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</si>
  <si>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</si>
  <si>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</si>
  <si>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</si>
  <si>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Laurent Cantet</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</si>
  <si>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</si>
  <si>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</si>
  <si>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</si>
  <si>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</si>
  <si>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</si>
  <si>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</si>
  <si>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Law Wing-Cheong</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</si>
  <si>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</si>
  <si>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</si>
  <si>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</si>
  <si>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</si>
  <si>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Lawrence Cheng</t>
  </si>
  <si>
    <t>s2380</t>
  </si>
  <si>
    <t>An Evening with Beverly Luff Linn</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</si>
  <si>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</si>
  <si>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</si>
  <si>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</si>
  <si>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Lawrence Kasdan</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</si>
  <si>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</si>
  <si>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</si>
  <si>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</si>
  <si>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</si>
  <si>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</si>
  <si>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</si>
  <si>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</si>
  <si>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</si>
  <si>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</si>
  <si>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</si>
  <si>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</si>
  <si>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Le Van Kiet</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</si>
  <si>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</si>
  <si>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</si>
  <si>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</si>
  <si>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</si>
  <si>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</si>
  <si>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Leandro Mark, Nicolás Silbert</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</si>
  <si>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</si>
  <si>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</si>
  <si>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</si>
  <si>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</si>
  <si>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</si>
  <si>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</si>
  <si>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</si>
  <si>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</si>
  <si>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</si>
  <si>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Leanne Gater</t>
  </si>
  <si>
    <t>s2386</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</si>
  <si>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</si>
  <si>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</si>
  <si>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</si>
  <si>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Lee Chang-Dong</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</si>
  <si>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</si>
  <si>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</si>
  <si>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</si>
  <si>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</si>
  <si>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Lee Chung-Hyun</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</si>
  <si>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</si>
  <si>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</si>
  <si>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</si>
  <si>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</si>
  <si>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</si>
  <si>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</si>
  <si>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</si>
  <si>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</si>
  <si>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</si>
  <si>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Lee Eung-Bok</t>
  </si>
  <si>
    <t>s2390</t>
  </si>
  <si>
    <t>Asura Guru</t>
  </si>
  <si>
    <t>Vikram Prabhu, Subbaraju, Mahima Nambiar, Yogi Babu, Jagan</t>
  </si>
  <si>
    <t>For a tech-savvy thief, elaborate robberies and evading the police are second nature until a private detective is hired to investigate his latest heist.</t>
  </si>
  <si>
    <t>Lee Fulkerson</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</si>
  <si>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</si>
  <si>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</si>
  <si>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</si>
  <si>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</si>
  <si>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</si>
  <si>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</si>
  <si>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</si>
  <si>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</si>
  <si>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Lee Jeong-Beom</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</si>
  <si>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</si>
  <si>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</si>
  <si>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</si>
  <si>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</si>
  <si>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</si>
  <si>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</si>
  <si>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Lee Kae-Byeok</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</si>
  <si>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</si>
  <si>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</si>
  <si>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</si>
  <si>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</si>
  <si>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Lee Kirk</t>
  </si>
  <si>
    <t>s2395</t>
  </si>
  <si>
    <t>Dating Around</t>
  </si>
  <si>
    <t>In each episode of flirtations and fails, one real-life single navigates five blind dates. The mission: Find one match worthy of a second date.</t>
  </si>
  <si>
    <t>Lee Kyoungmi, Yim Pilsung, Jeon Go-Woon, Kim Jong-Kwan</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</si>
  <si>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</si>
  <si>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</si>
  <si>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</si>
  <si>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</si>
  <si>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</si>
  <si>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Lee Seung-Won</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</si>
  <si>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</si>
  <si>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</si>
  <si>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</si>
  <si>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</si>
  <si>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Lee Tamahori</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</si>
  <si>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</si>
  <si>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</si>
  <si>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</si>
  <si>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</si>
  <si>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</si>
  <si>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Lee Toland Krieger</t>
  </si>
  <si>
    <t>s2399</t>
  </si>
  <si>
    <t>Okko's Inn</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</si>
  <si>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</si>
  <si>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</si>
  <si>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</si>
  <si>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Lee Yoon-Jung</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</si>
  <si>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</si>
  <si>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</si>
  <si>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</si>
  <si>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</si>
  <si>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Leena Yadav</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</si>
  <si>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</si>
  <si>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</si>
  <si>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</si>
  <si>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</si>
  <si>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Leif Tilden</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</si>
  <si>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</si>
  <si>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</si>
  <si>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</si>
  <si>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</si>
  <si>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</si>
  <si>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</si>
  <si>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</si>
  <si>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</si>
  <si>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</si>
  <si>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</si>
  <si>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</si>
  <si>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Leïla Sy, Kery James</t>
  </si>
  <si>
    <t>s2404</t>
  </si>
  <si>
    <t>Menahi</t>
  </si>
  <si>
    <t>Fayez Al-Malki, Mona Wasef, Abdel Imam Abdullah, Reem Abdel Aziz, Dana Jabr, Emad Al Youssef, Remas Mansoor, Khalid Mengah</t>
  </si>
  <si>
    <t>A stranger to civilian life, a young Saudi farmer travels to Dubai, where he experiences a series of hilarious misadventures.</t>
  </si>
  <si>
    <t>Lekh Tandon</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</si>
  <si>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</si>
  <si>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</si>
  <si>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</si>
  <si>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</si>
  <si>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</si>
  <si>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</si>
  <si>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</si>
  <si>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</si>
  <si>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</si>
  <si>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</si>
  <si>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</si>
  <si>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</si>
  <si>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Lena Khan</t>
  </si>
  <si>
    <t>s2408</t>
  </si>
  <si>
    <t>Middle Men</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</si>
  <si>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</si>
  <si>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</si>
  <si>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Lenin Bharathi</t>
  </si>
  <si>
    <t>s2409</t>
  </si>
  <si>
    <t>My Mister</t>
  </si>
  <si>
    <t>Lee Sun-kyun, Lee Ji-eun (IU), Go Du-sim, Park Ho-san, Song Sae-byeok, Kim Young-min</t>
  </si>
  <si>
    <t>In a world that is less than kind, a young woman and a middle-aged man develop a sense of kinship as they find warmth and comfort in one another.</t>
  </si>
  <si>
    <t>Lennart Ruff</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</si>
  <si>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</si>
  <si>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</si>
  <si>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</si>
  <si>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</si>
  <si>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Lenny Abrahamson</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</si>
  <si>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</si>
  <si>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</si>
  <si>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</si>
  <si>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</si>
  <si>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</si>
  <si>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Leo Riley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</si>
  <si>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</si>
  <si>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</si>
  <si>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</si>
  <si>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</si>
  <si>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</si>
  <si>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</si>
  <si>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Leo Riley, Eric Radomski</t>
  </si>
  <si>
    <t>s2413</t>
  </si>
  <si>
    <t>365 Days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</si>
  <si>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</si>
  <si>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</si>
  <si>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</si>
  <si>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Leopoldo Aguilar</t>
  </si>
  <si>
    <t>s2414</t>
  </si>
  <si>
    <t>Forensic</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</si>
  <si>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</si>
  <si>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</si>
  <si>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</si>
  <si>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</si>
  <si>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Rakesh Batra, Kanika Batra, Sneha Kapoor, Rohn Malhotra, Munira Sen, Anaitha Nair, Rajit Kapoor</t>
  </si>
  <si>
    <t>When a busy entrepreneur pauses her career to spend time with her aging father, both learn valuable lessons on happiness, love and living in the moment.</t>
  </si>
  <si>
    <t>Lesli Linka Glatter</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</si>
  <si>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</si>
  <si>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</si>
  <si>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</si>
  <si>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</si>
  <si>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</si>
  <si>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</si>
  <si>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</si>
  <si>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Leslie Iwerks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</si>
  <si>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</si>
  <si>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</si>
  <si>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</si>
  <si>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</si>
  <si>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</si>
  <si>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</si>
  <si>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</si>
  <si>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</si>
  <si>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</si>
  <si>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</si>
  <si>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Leslie Small, Tim Story</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</si>
  <si>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</si>
  <si>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</si>
  <si>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</si>
  <si>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</si>
  <si>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</si>
  <si>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</si>
  <si>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</si>
  <si>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</si>
  <si>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</si>
  <si>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Leslye Headland</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</si>
  <si>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</si>
  <si>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</si>
  <si>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</si>
  <si>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</si>
  <si>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</si>
  <si>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</si>
  <si>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</si>
  <si>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</si>
  <si>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Leticia Jorge Romero</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</si>
  <si>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</si>
  <si>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</si>
  <si>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</si>
  <si>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</si>
  <si>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</si>
  <si>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</si>
  <si>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</si>
  <si>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</si>
  <si>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</si>
  <si>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</si>
  <si>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</si>
  <si>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Leung Lok Man, Luk Kim-Ching</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</si>
  <si>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</si>
  <si>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</si>
  <si>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</si>
  <si>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</si>
  <si>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Lev L. Spiro</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</si>
  <si>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</si>
  <si>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</si>
  <si>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</si>
  <si>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</si>
  <si>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</si>
  <si>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</si>
  <si>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</si>
  <si>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</si>
  <si>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Levan Tsikurishvili</t>
  </si>
  <si>
    <t>s2428</t>
  </si>
  <si>
    <t>Hot Sweet Sour</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</si>
  <si>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</si>
  <si>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</si>
  <si>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Lewis Milestone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</si>
  <si>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</si>
  <si>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</si>
  <si>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</si>
  <si>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</si>
  <si>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</si>
  <si>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Lewis Milestone, Carol Reed</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</si>
  <si>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</si>
  <si>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</si>
  <si>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</si>
  <si>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</si>
  <si>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</si>
  <si>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Li Jun</t>
  </si>
  <si>
    <t>s2431</t>
  </si>
  <si>
    <t>Lady Bird</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</si>
  <si>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</si>
  <si>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</si>
  <si>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Li Pei-Chuan</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</si>
  <si>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</si>
  <si>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</si>
  <si>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</si>
  <si>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</si>
  <si>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</si>
  <si>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</si>
  <si>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</si>
  <si>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</si>
  <si>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</si>
  <si>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</si>
  <si>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</si>
  <si>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</si>
  <si>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</si>
  <si>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</si>
  <si>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</si>
  <si>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Yousra, Tamer Hagras, Ezzat Abou Aouf, Hala Sedki, Marwan Azab</t>
  </si>
  <si>
    <t>Disillusioned with her humdrum routine, a married lawyer secretly enrolls in a dance school in this remake of the 1996 Japanese film “Shall We Dance?”</t>
  </si>
  <si>
    <t>Liao Shih-Han</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</si>
  <si>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</si>
  <si>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</si>
  <si>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</si>
  <si>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</si>
  <si>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</si>
  <si>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</si>
  <si>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</si>
  <si>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</si>
  <si>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Lilibet Foster</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</si>
  <si>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</si>
  <si>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</si>
  <si>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</si>
  <si>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</si>
  <si>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</si>
  <si>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Lilly Wachowski, Lana Wachowski</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</si>
  <si>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</si>
  <si>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</si>
  <si>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</si>
  <si>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</si>
  <si>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Lilly Wachowski, Lana Wachowski, Tom Tykwer</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</si>
  <si>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</si>
  <si>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</si>
  <si>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</si>
  <si>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</si>
  <si>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</si>
  <si>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Limbert Fabian, Brandon Oldenburg</t>
  </si>
  <si>
    <t>s2441</t>
  </si>
  <si>
    <t>True: Rainbow Rescue</t>
  </si>
  <si>
    <t>True and Bartleby travel to the other side of the Neverending Rainbow to bring back Dillydally — a brave explorer who's the Rainbow King's best friend!</t>
  </si>
  <si>
    <t>s2442</t>
  </si>
  <si>
    <t>What's Up?</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</si>
  <si>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</si>
  <si>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</si>
  <si>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</si>
  <si>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</si>
  <si>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</si>
  <si>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</si>
  <si>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</si>
  <si>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</si>
  <si>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Linas Phillips</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</si>
  <si>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</si>
  <si>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</si>
  <si>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</si>
  <si>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</si>
  <si>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</si>
  <si>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Linda Korsten</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</si>
  <si>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</si>
  <si>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</si>
  <si>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</si>
  <si>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</si>
  <si>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Linda Mendoza</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</si>
  <si>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</si>
  <si>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</si>
  <si>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</si>
  <si>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</si>
  <si>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</si>
  <si>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Linda Otto</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</si>
  <si>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</si>
  <si>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</si>
  <si>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</si>
  <si>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</si>
  <si>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</si>
  <si>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</si>
  <si>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Linda Saffire, Adam Schlesinger</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</si>
  <si>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</si>
  <si>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</si>
  <si>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</si>
  <si>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</si>
  <si>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</si>
  <si>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</si>
  <si>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</si>
  <si>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</si>
  <si>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</si>
  <si>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Lionel C. Martin</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</si>
  <si>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</si>
  <si>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</si>
  <si>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</si>
  <si>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</si>
  <si>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Lisa Arnold</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</si>
  <si>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</si>
  <si>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</si>
  <si>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</si>
  <si>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</si>
  <si>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</si>
  <si>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</si>
  <si>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</si>
  <si>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</si>
  <si>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</si>
  <si>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Liu Jiang</t>
  </si>
  <si>
    <t>s2453</t>
  </si>
  <si>
    <t>My Shy Boss</t>
  </si>
  <si>
    <t>Yeon Woo-jin, Park Hye-su, Yoon Bak, Gong Seung-yeon</t>
  </si>
  <si>
    <t>The isolated life of an extreme introvert is thrown out of order when his company hires a new employee: a cheery extrovert who's not all she seems.</t>
  </si>
  <si>
    <t>Liu Jie</t>
  </si>
  <si>
    <t>s2454</t>
  </si>
  <si>
    <t>Revolutionary Love</t>
  </si>
  <si>
    <t>Choi Si-won, Kang So-ra, Gong Myoung</t>
  </si>
  <si>
    <t>A third-generation chaebol falls in love with a woman who opens his eyes to the struggles of the working class and inspires him to make a difference.</t>
  </si>
  <si>
    <t>Liu Kuang-Hui</t>
  </si>
  <si>
    <t>s2455</t>
  </si>
  <si>
    <t>The Disaster Artist</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</si>
  <si>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</si>
  <si>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</si>
  <si>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Liv Ullmann</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</si>
  <si>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</si>
  <si>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</si>
  <si>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</si>
  <si>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</si>
  <si>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</si>
  <si>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</si>
  <si>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Liz Garbus</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</si>
  <si>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</si>
  <si>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</si>
  <si>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</si>
  <si>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</si>
  <si>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</si>
  <si>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</si>
  <si>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Liz Plonka</t>
  </si>
  <si>
    <t>s2458</t>
  </si>
  <si>
    <t>Freej Al Taibeen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</si>
  <si>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</si>
  <si>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</si>
  <si>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Llewellyn M. Smith</t>
  </si>
  <si>
    <t>s2459</t>
  </si>
  <si>
    <t>Kenny Sebastian: The Most Interesting Person in the Room</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</si>
  <si>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</si>
  <si>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</si>
  <si>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</si>
  <si>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</si>
  <si>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</si>
  <si>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</si>
  <si>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Lô Politi</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</si>
  <si>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</si>
  <si>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</si>
  <si>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</si>
  <si>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</si>
  <si>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Logan Kibens</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</si>
  <si>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</si>
  <si>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</si>
  <si>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</si>
  <si>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</si>
  <si>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Lone Scherfig</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</si>
  <si>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</si>
  <si>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</si>
  <si>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</si>
  <si>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</si>
  <si>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Lonny Price</t>
  </si>
  <si>
    <t>s2464</t>
  </si>
  <si>
    <t>Grandmother's Farm</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</si>
  <si>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</si>
  <si>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</si>
  <si>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Lonzo Nzekwe</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</si>
  <si>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</si>
  <si>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</si>
  <si>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</si>
  <si>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</si>
  <si>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Lorena Munoz</t>
  </si>
  <si>
    <t>s2466</t>
  </si>
  <si>
    <t>Intuition</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</si>
  <si>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</si>
  <si>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</si>
  <si>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Lorene Machado</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</si>
  <si>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</si>
  <si>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</si>
  <si>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</si>
  <si>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</si>
  <si>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</si>
  <si>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</si>
  <si>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</si>
  <si>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</si>
  <si>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</si>
  <si>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Lori Kaye</t>
  </si>
  <si>
    <t>s2469</t>
  </si>
  <si>
    <t>Hannah Gadsby: Douglas</t>
  </si>
  <si>
    <t>Madeleine Parry</t>
  </si>
  <si>
    <t>Hannah Gadsby</t>
  </si>
  <si>
    <t>Hannah Gadsby returns for her second special and digs deep into the complexities of popularity, identity and her most unusual dog park encounter.</t>
  </si>
  <si>
    <t>Louie Psihoyos</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</si>
  <si>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</si>
  <si>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</si>
  <si>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</si>
  <si>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</si>
  <si>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</si>
  <si>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</si>
  <si>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</si>
  <si>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</si>
  <si>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</si>
  <si>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Louis C.K.</t>
  </si>
  <si>
    <t>s2472</t>
  </si>
  <si>
    <t>Uncut Gems</t>
  </si>
  <si>
    <t>Adam Sandler, LaKeith Stanfield, Kevin Garnett, Julia Fox, Idina Menzel, Eric Bogosian, Judd Hirsch, Abel Tesfaye</t>
  </si>
  <si>
    <t>With his debts mounting and angry collectors closing in, a fast-talking New York City jeweler risks everything in hopes of staying afloat and alive.</t>
  </si>
  <si>
    <t>Louis J. Horvitz</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</si>
  <si>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</si>
  <si>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</si>
  <si>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</si>
  <si>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</si>
  <si>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</si>
  <si>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Louis Leterrier</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</si>
  <si>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</si>
  <si>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</si>
  <si>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</si>
  <si>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</si>
  <si>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Louise Alston</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</si>
  <si>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</si>
  <si>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</si>
  <si>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</si>
  <si>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</si>
  <si>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Louise Wardle</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</si>
  <si>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</si>
  <si>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</si>
  <si>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</si>
  <si>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</si>
  <si>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Lp</t>
  </si>
  <si>
    <t>s2477</t>
  </si>
  <si>
    <t>History 101</t>
  </si>
  <si>
    <t>Infographics and archival footage deliver bite-size history lessons on scientific breakthroughs, social movements and world-changing discoveries.</t>
  </si>
  <si>
    <t>Lu Yang</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</si>
  <si>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</si>
  <si>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</si>
  <si>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</si>
  <si>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</si>
  <si>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Luc Vinciguerra</t>
  </si>
  <si>
    <t>s2479</t>
  </si>
  <si>
    <t>Modest Heroes: Ponoc Short Films Theatre</t>
  </si>
  <si>
    <t>Fumino Kimura, Rio Suzuki, Machiko Ono, Sota Shinohara, Kentaro Sakaguchi, Joe Odagiri, Min Tanaka</t>
  </si>
  <si>
    <t>Two underwater siblings surviving on their own. A boy with a serious egg allergy. A man invisible to the rest of society. Three short animated tales.</t>
  </si>
  <si>
    <t>Luca Vullo</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</si>
  <si>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</si>
  <si>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</si>
  <si>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</si>
  <si>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</si>
  <si>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</si>
  <si>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</si>
  <si>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Lucas Figueroa</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</si>
  <si>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</si>
  <si>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</si>
  <si>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</si>
  <si>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</si>
  <si>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</si>
  <si>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Lucas Margutti</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</si>
  <si>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</si>
  <si>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</si>
  <si>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</si>
  <si>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</si>
  <si>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</si>
  <si>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</si>
  <si>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Abdulhussain Abdulredah, Ghanem Al-Saleh, Mariam Al-Ghadban, Dawood Hussain, Entesar Alsharah, Mohamed Gaber</t>
  </si>
  <si>
    <t>In this satirical play, a wealthy Kuwaiti businessman travels to London for pleasure and encounters a host of eccentric characters.</t>
  </si>
  <si>
    <t>Lucien Bourjeily</t>
  </si>
  <si>
    <t>s2484</t>
  </si>
  <si>
    <t>Fifty Year Old Teenager</t>
  </si>
  <si>
    <t>Abdulhussain Abdulredah, Haifaa Adel, Dawood Hussain, Mohamed Gaber</t>
  </si>
  <si>
    <t>The life of a married 50-year-old doctor turns topsy-turvy when he falls in love with a younger woman and begins to act like a teenager.</t>
  </si>
  <si>
    <t>Lucien Jean-Baptiste</t>
  </si>
  <si>
    <t>s2485</t>
  </si>
  <si>
    <t>Lock Your Girls In</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</si>
  <si>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</si>
  <si>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</si>
  <si>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</si>
  <si>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</si>
  <si>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</si>
  <si>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</si>
  <si>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</si>
  <si>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Lucy Cohen</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</si>
  <si>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</si>
  <si>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</si>
  <si>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</si>
  <si>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</si>
  <si>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Lucy Van Beek</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</si>
  <si>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</si>
  <si>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</si>
  <si>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</si>
  <si>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</si>
  <si>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</si>
  <si>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</si>
  <si>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Ludovic Bernard</t>
  </si>
  <si>
    <t>s2489</t>
  </si>
  <si>
    <t>Raya and Sakina</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</si>
  <si>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</si>
  <si>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</si>
  <si>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</si>
  <si>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</si>
  <si>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</si>
  <si>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</si>
  <si>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</si>
  <si>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Luis Alberto Restrepo, Andrés Beltrán, Jaime Rayo</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</si>
  <si>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</si>
  <si>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</si>
  <si>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</si>
  <si>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</si>
  <si>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</si>
  <si>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</si>
  <si>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</si>
  <si>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</si>
  <si>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</si>
  <si>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</si>
  <si>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</si>
  <si>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</si>
  <si>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</si>
  <si>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</si>
  <si>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</si>
  <si>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</si>
  <si>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</si>
  <si>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</si>
  <si>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Omoni Oboli, Sam Sarpong, Terri Oliver, Colin Paradine, Mark Cassius</t>
  </si>
  <si>
    <t>Canada, Nigeria</t>
  </si>
  <si>
    <t>A Nigerian couple living in the U.S. face agonizing fallout when they defy deportation orders with the hopes of giving their unborn child citizenship.</t>
  </si>
  <si>
    <t>Luis Ara, Ignacio Jaunsolo</t>
  </si>
  <si>
    <t>s2495</t>
  </si>
  <si>
    <t>Ben Platt Live from Radio City Music Hall</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</si>
  <si>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</si>
  <si>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</si>
  <si>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</si>
  <si>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</si>
  <si>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</si>
  <si>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Luis Javier Henaine</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</si>
  <si>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</si>
  <si>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</si>
  <si>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</si>
  <si>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</si>
  <si>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</si>
  <si>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Luis Javier M. Henaine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</si>
  <si>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</si>
  <si>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</si>
  <si>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</si>
  <si>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</si>
  <si>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Luis Lopez</t>
  </si>
  <si>
    <t>s2499</t>
  </si>
  <si>
    <t>Mutiny of the Worker Bees</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</si>
  <si>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</si>
  <si>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</si>
  <si>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Luis Lopez, Clay Tweel</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</si>
  <si>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</si>
  <si>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</si>
  <si>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</si>
  <si>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</si>
  <si>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Luis Mandoki</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</si>
  <si>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</si>
  <si>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</si>
  <si>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</si>
  <si>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</si>
  <si>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</si>
  <si>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Luis Prieto</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</si>
  <si>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</si>
  <si>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</si>
  <si>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</si>
  <si>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</si>
  <si>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</si>
  <si>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</si>
  <si>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</si>
  <si>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</si>
  <si>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</si>
  <si>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Lukas Dhont</t>
  </si>
  <si>
    <t>s2504</t>
  </si>
  <si>
    <t>Game Over</t>
  </si>
  <si>
    <t>Yousra, Mai Ezz El-Din, Ezzat Abou Aouf, Mohamed Nour</t>
  </si>
  <si>
    <t>A woman ends up working at the same nightclub as her son’s girlfriend — who she doesn’t like — and tries to break up their relationship.</t>
  </si>
  <si>
    <t>Lukasz Kosmicki</t>
  </si>
  <si>
    <t>s2505</t>
  </si>
  <si>
    <t>Karkar</t>
  </si>
  <si>
    <t>Mohamed Saad, Hassan Hosny, Ragaa Al-Geddawy, Yasmin Abdulaziz, Alaa Morsy</t>
  </si>
  <si>
    <t>After electrocution leaves a wealthy man brain-damaged, his money-hungry aunt and uncle try to con him by marrying him off to a fake relative.</t>
  </si>
  <si>
    <t>s2506</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</si>
  <si>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</si>
  <si>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</si>
  <si>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</si>
  <si>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Luke Jurevicius</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</si>
  <si>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</si>
  <si>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</si>
  <si>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</si>
  <si>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</si>
  <si>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Luke Snellin</t>
  </si>
  <si>
    <t>s2508</t>
  </si>
  <si>
    <t>Patton Oswalt: I Love Everything</t>
  </si>
  <si>
    <t>Marcus Raboy</t>
  </si>
  <si>
    <t>Patton Oswalt, Bob Rubin</t>
  </si>
  <si>
    <t>Turning 50. Finding love again. Buying a house. Experiencing existential dread at Denny's. Life comes at Patton Oswalt fast in this stand-up special.</t>
  </si>
  <si>
    <t>Luke Sparke</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</si>
  <si>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</si>
  <si>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</si>
  <si>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</si>
  <si>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</si>
  <si>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</si>
  <si>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</si>
  <si>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</si>
  <si>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</si>
  <si>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</si>
  <si>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</si>
  <si>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</si>
  <si>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</si>
  <si>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Lydia Tenaglia</t>
  </si>
  <si>
    <t>s2512</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</si>
  <si>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</si>
  <si>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</si>
  <si>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</si>
  <si>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</si>
  <si>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Lygia Barbosa Da Silva, Eliane Brum</t>
  </si>
  <si>
    <t>s2513</t>
  </si>
  <si>
    <t>Zaki Chan</t>
  </si>
  <si>
    <t>Ahmed Helmy, Yasmin Abdulaziz, Hassan Hosny, Hasan Kami</t>
  </si>
  <si>
    <t>An unqualified young man has his work cut out for him when he is hired as a rich girl’s bodyguard to keep her from the boyfriend her dad disapproves of.</t>
  </si>
  <si>
    <t>Lynn Novick</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</si>
  <si>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</si>
  <si>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</si>
  <si>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</si>
  <si>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</si>
  <si>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</si>
  <si>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</si>
  <si>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</si>
  <si>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</si>
  <si>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Lyric R. Cabral, David Felix Sutcliffe</t>
  </si>
  <si>
    <t>s2516</t>
  </si>
  <si>
    <t>Patriot Act with Hasan Minhaj</t>
  </si>
  <si>
    <t>Hasan Minhaj</t>
  </si>
  <si>
    <t>Every Sunday, Hasan Minhaj brings an incisive and nuanced perspective to global news, politics and culture in his unique comedy series.</t>
  </si>
  <si>
    <t>M. Night Shyamalan</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</si>
  <si>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</si>
  <si>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</si>
  <si>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</si>
  <si>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</si>
  <si>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</si>
  <si>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M.J. Bassett</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</si>
  <si>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</si>
  <si>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</si>
  <si>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</si>
  <si>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</si>
  <si>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M.J. Isakson</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</si>
  <si>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</si>
  <si>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</si>
  <si>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</si>
  <si>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</si>
  <si>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</si>
  <si>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Maciej Dejczer</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</si>
  <si>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</si>
  <si>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</si>
  <si>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</si>
  <si>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</si>
  <si>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</si>
  <si>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Macon Blair</t>
  </si>
  <si>
    <t>s2521</t>
  </si>
  <si>
    <t>Heaven Without People</t>
  </si>
  <si>
    <t>Farah Shaer, Jean Paul Hage, Samira Sarkis, Jenny Gebara, Laeticia Semaan, Nadim Abou Samra, Hussein Hijazi, Ghassan Chemali</t>
  </si>
  <si>
    <t>From long resentments to deep secrets, an overdue family reunion erupts with drama when the matriarch makes a disturbing discovery.</t>
  </si>
  <si>
    <t>Madeleine Gavin</t>
  </si>
  <si>
    <t>s2522</t>
  </si>
  <si>
    <t>I love you, stupid</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</si>
  <si>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</si>
  <si>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</si>
  <si>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</si>
  <si>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</si>
  <si>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</si>
  <si>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</si>
  <si>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Madeleine Parry, Jon Olb</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</si>
  <si>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</si>
  <si>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</si>
  <si>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</si>
  <si>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</si>
  <si>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Madhumita</t>
  </si>
  <si>
    <t>s2525</t>
  </si>
  <si>
    <t>Magic for Humans</t>
  </si>
  <si>
    <t>Justin Willman</t>
  </si>
  <si>
    <t>From baffling people on the street to orchestrating elaborate tricks, Justin Willman blends good-natured magic with grown-up laughs.</t>
  </si>
  <si>
    <t>Madhur Bhandarkar</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</si>
  <si>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</si>
  <si>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</si>
  <si>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</si>
  <si>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</si>
  <si>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</si>
  <si>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Madonna</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</si>
  <si>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</si>
  <si>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</si>
  <si>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</si>
  <si>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</si>
  <si>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</si>
  <si>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</si>
  <si>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</si>
  <si>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</si>
  <si>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</si>
  <si>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Mads Matthiesen</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</si>
  <si>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</si>
  <si>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</si>
  <si>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</si>
  <si>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</si>
  <si>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</si>
  <si>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</si>
  <si>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</si>
  <si>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</si>
  <si>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</si>
  <si>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Mag Hsu, Hsu Chih-Yen</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</si>
  <si>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</si>
  <si>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</si>
  <si>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</si>
  <si>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</si>
  <si>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</si>
  <si>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Magdy Al-Hawwary</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</si>
  <si>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</si>
  <si>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</si>
  <si>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</si>
  <si>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</si>
  <si>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</si>
  <si>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</si>
  <si>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</si>
  <si>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</si>
  <si>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Maha Venkatesh</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</si>
  <si>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</si>
  <si>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</si>
  <si>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</si>
  <si>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</si>
  <si>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</si>
  <si>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Mahesh Bhatt</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</si>
  <si>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</si>
  <si>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</si>
  <si>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</si>
  <si>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</si>
  <si>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</si>
  <si>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</si>
  <si>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</si>
  <si>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</si>
  <si>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</si>
  <si>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</si>
  <si>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Mahin Ibrahim, Austin Kolodney, Will Lowell, David Beier, Dave Dorsey, Xu Zhang, Alana Waksman, Jon Yonkondy, Drue Metz, Brandon Somerhalder</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</si>
  <si>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</si>
  <si>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</si>
  <si>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</si>
  <si>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</si>
  <si>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</si>
  <si>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</si>
  <si>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</si>
  <si>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Jamal Ibrahim, Jemima Osunde, Charles Etubiebi, Jude Chukwuka, Chris Iheuwa, Kehinde Fasuyi</t>
  </si>
  <si>
    <t>A teen criminal and a young sex worker forge an unlikely alliance during a night that forces them to confront painful pasts and crises of conscience.</t>
  </si>
  <si>
    <t>Mahmoud Al Massad</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</si>
  <si>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</si>
  <si>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</si>
  <si>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</si>
  <si>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</si>
  <si>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</si>
  <si>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</si>
  <si>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</si>
  <si>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William Hurt</t>
  </si>
  <si>
    <t>Dylan Mohan Gray examines Africa's AIDS crisis and activists' battle with pharmaceutical companies to make life-saving HIV drugs more affordable.</t>
  </si>
  <si>
    <t>Mahmoud Sabbagh</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</si>
  <si>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</si>
  <si>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</si>
  <si>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</si>
  <si>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</si>
  <si>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</si>
  <si>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</si>
  <si>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</si>
  <si>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</si>
  <si>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</si>
  <si>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</si>
  <si>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</si>
  <si>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</si>
  <si>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</si>
  <si>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</si>
  <si>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</si>
  <si>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</si>
  <si>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</si>
  <si>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</si>
  <si>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</si>
  <si>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</si>
  <si>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</si>
  <si>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</si>
  <si>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</si>
  <si>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</si>
  <si>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</si>
  <si>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</si>
  <si>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</si>
  <si>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Majid Al Ansari</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</si>
  <si>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</si>
  <si>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</si>
  <si>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</si>
  <si>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</si>
  <si>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</si>
  <si>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Majid Majidi</t>
  </si>
  <si>
    <t>s2548</t>
  </si>
  <si>
    <t>Have a Good Trip: Adventures in Psychedelics</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</si>
  <si>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</si>
  <si>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</si>
  <si>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</si>
  <si>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</si>
  <si>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</si>
  <si>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Makoto Shinkai</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</si>
  <si>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</si>
  <si>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</si>
  <si>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</si>
  <si>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</si>
  <si>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</si>
  <si>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</si>
  <si>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</si>
  <si>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</si>
  <si>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</si>
  <si>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Malik Bendjelloul</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</si>
  <si>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</si>
  <si>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</si>
  <si>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</si>
  <si>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</si>
  <si>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</si>
  <si>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</si>
  <si>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</si>
  <si>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</si>
  <si>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Malik Vitthal</t>
  </si>
  <si>
    <t>s2554</t>
  </si>
  <si>
    <t>The Eddy</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</si>
  <si>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</si>
  <si>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</si>
  <si>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</si>
  <si>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Mamat Khalid</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</si>
  <si>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</si>
  <si>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</si>
  <si>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</si>
  <si>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</si>
  <si>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</si>
  <si>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</si>
  <si>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</si>
  <si>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</si>
  <si>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</si>
  <si>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</si>
  <si>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Mana Yasuda</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</si>
  <si>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</si>
  <si>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</si>
  <si>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</si>
  <si>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</si>
  <si>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</si>
  <si>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</si>
  <si>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</si>
  <si>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</si>
  <si>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</si>
  <si>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</si>
  <si>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Manav Shah</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</si>
  <si>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</si>
  <si>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</si>
  <si>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</si>
  <si>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</si>
  <si>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Manbhavan Singh</t>
  </si>
  <si>
    <t>s2560</t>
  </si>
  <si>
    <t>Becoming</t>
  </si>
  <si>
    <t>Nadia Hallgren</t>
  </si>
  <si>
    <t>Michelle Obama</t>
  </si>
  <si>
    <t>Join former first lady Michelle Obama in an intimate documentary looking at her life, hopes and connection with others as she tours with "Becoming."</t>
  </si>
  <si>
    <t>Mandeep Kumar</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</si>
  <si>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</si>
  <si>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</si>
  <si>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</si>
  <si>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</si>
  <si>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</si>
  <si>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Mandie Fletcher</t>
  </si>
  <si>
    <t>s2562</t>
  </si>
  <si>
    <t>Jerry Seinfeld: 23 Hours To Kill</t>
  </si>
  <si>
    <t>Joe DeMaio</t>
  </si>
  <si>
    <t>Jerry Seinfeld takes the stage in New York and tackles talking vs. texting, bad buffets vs. so-called "great" restaurants and the magic of Pop Tarts.</t>
  </si>
  <si>
    <t>Mandla Dube</t>
  </si>
  <si>
    <t>s2563</t>
  </si>
  <si>
    <t>Arctic Dogs</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</si>
  <si>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</si>
  <si>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</si>
  <si>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</si>
  <si>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Mangesh Hadawale</t>
  </si>
  <si>
    <t>s2564</t>
  </si>
  <si>
    <t>Luccas Neto em: Acampamento de Férias 2</t>
  </si>
  <si>
    <t>Luccas Neto, Giovanna Alparone, Jéssica Diehl, Vivian Duarte</t>
  </si>
  <si>
    <t>Luccas and his band of buddies make music and mischief at a new summer camp, where they face off with talented rivals and their tough coach.</t>
  </si>
  <si>
    <t>Mangesh Kanthale</t>
  </si>
  <si>
    <t>s2565</t>
  </si>
  <si>
    <t>One Day: Justice Delivered</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</si>
  <si>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</si>
  <si>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</si>
  <si>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</si>
  <si>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</si>
  <si>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Sebastián Wainraich, Natalie Pérez, Santiago Korovsky</t>
  </si>
  <si>
    <t>Sebastián is a radio show host of modest fame, trying to find a way in the world as he deals with his ex-wife (whom he still loves) and two kids.</t>
  </si>
  <si>
    <t>Manika Sharma</t>
  </si>
  <si>
    <t>s2567</t>
  </si>
  <si>
    <t>Bennett's War</t>
  </si>
  <si>
    <t>Michael Roark, Trace Adkins, Ali Afshar, Allison Paige, Tony Panterra, Brando Eaton, Hunter Clowdus, Michael King</t>
  </si>
  <si>
    <t>A medically discharged soldier attempts an improbable return to motorcycle racing to win enough prize money to save his father's farm.</t>
  </si>
  <si>
    <t>Manish Gupta</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</si>
  <si>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</si>
  <si>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</si>
  <si>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</si>
  <si>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</si>
  <si>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Manish Jha</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</si>
  <si>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</si>
  <si>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</si>
  <si>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</si>
  <si>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</si>
  <si>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</si>
  <si>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</si>
  <si>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Manish Tiwary</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</si>
  <si>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</si>
  <si>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</si>
  <si>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</si>
  <si>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</si>
  <si>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</si>
  <si>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</si>
  <si>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</si>
  <si>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</si>
  <si>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</si>
  <si>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Manjeet Maan</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</si>
  <si>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</si>
  <si>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</si>
  <si>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</si>
  <si>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</si>
  <si>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</si>
  <si>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Manjeet Singh</t>
  </si>
  <si>
    <t>s2574</t>
  </si>
  <si>
    <t>The Stand at Paxton County</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</si>
  <si>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</si>
  <si>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</si>
  <si>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Manmohan Desai</t>
  </si>
  <si>
    <t>s2575</t>
  </si>
  <si>
    <t>The Universe: Ancient Mysteries Solved</t>
  </si>
  <si>
    <t>Erik Thompson</t>
  </si>
  <si>
    <t>From astronomical events to shapes and patterns in space, strange and wonderful phenomena are explored with modern science in this series.</t>
  </si>
  <si>
    <t>Manny Rodriguez</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</si>
  <si>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</si>
  <si>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</si>
  <si>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</si>
  <si>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</si>
  <si>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</si>
  <si>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</si>
  <si>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Jeffrey Wright, Ashton Sanders, Regina Taylor, Yahya Abdul-Mateen II, Isaiah John, Kelly Jenrette, Shakira Ja-nai Paye</t>
  </si>
  <si>
    <t>While serving life in prison, a young man looks back at the people, the circumstances and the system that set him on the path toward his crime.</t>
  </si>
  <si>
    <t>Manoj Beedha</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</si>
  <si>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</si>
  <si>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</si>
  <si>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</si>
  <si>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</si>
  <si>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</si>
  <si>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</si>
  <si>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</si>
  <si>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</si>
  <si>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</si>
  <si>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</si>
  <si>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Manop Janjarasskul</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</si>
  <si>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</si>
  <si>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</si>
  <si>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</si>
  <si>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</si>
  <si>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</si>
  <si>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</si>
  <si>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</si>
  <si>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</si>
  <si>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Mansore</t>
  </si>
  <si>
    <t>s2582</t>
  </si>
  <si>
    <t>I Am Divine</t>
  </si>
  <si>
    <t>This captivating documentary explores the life and work of filmmaker John Waters's muse: internationally celebrated drag superstar Divine.</t>
  </si>
  <si>
    <t>Manu Ashokan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</si>
  <si>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</si>
  <si>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</si>
  <si>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</si>
  <si>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</si>
  <si>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</si>
  <si>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</si>
  <si>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</si>
  <si>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</si>
  <si>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</si>
  <si>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Manuel Martín Cuenca</t>
  </si>
  <si>
    <t>s2585</t>
  </si>
  <si>
    <t>Material</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</si>
  <si>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</si>
  <si>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</si>
  <si>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Mar Targarona</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</si>
  <si>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</si>
  <si>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</si>
  <si>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</si>
  <si>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</si>
  <si>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</si>
  <si>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Marc Abraham</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</si>
  <si>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</si>
  <si>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</si>
  <si>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</si>
  <si>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</si>
  <si>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</si>
  <si>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Marc Forster</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</si>
  <si>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</si>
  <si>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</si>
  <si>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</si>
  <si>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</si>
  <si>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</si>
  <si>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</si>
  <si>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</si>
  <si>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</si>
  <si>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</si>
  <si>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Marc Francis, Max Pugh</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</si>
  <si>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</si>
  <si>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</si>
  <si>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</si>
  <si>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</si>
  <si>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</si>
  <si>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Marc Levin</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</si>
  <si>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</si>
  <si>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</si>
  <si>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</si>
  <si>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</si>
  <si>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</si>
  <si>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</si>
  <si>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</si>
  <si>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</si>
  <si>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</si>
  <si>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Marc Vigil</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</si>
  <si>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</si>
  <si>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</si>
  <si>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</si>
  <si>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</si>
  <si>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Marcel Barrena</t>
  </si>
  <si>
    <t>s2594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</si>
  <si>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</si>
  <si>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</si>
  <si>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</si>
  <si>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Marcelo Altmark, Mariano Mucci, Luis A. Scalella</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</si>
  <si>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</si>
  <si>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</si>
  <si>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</si>
  <si>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</si>
  <si>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Marcelo Galvão</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</si>
  <si>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</si>
  <si>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</si>
  <si>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</si>
  <si>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</si>
  <si>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Marcelo González</t>
  </si>
  <si>
    <t>s2597</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</si>
  <si>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</si>
  <si>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</si>
  <si>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</si>
  <si>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</si>
  <si>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</si>
  <si>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</si>
  <si>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</si>
  <si>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</si>
  <si>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</si>
  <si>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Marco Bonfanti</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</si>
  <si>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</si>
  <si>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</si>
  <si>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</si>
  <si>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</si>
  <si>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Marco Deufemia, Justin G. Dyck</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</si>
  <si>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</si>
  <si>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</si>
  <si>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</si>
  <si>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</si>
  <si>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</si>
  <si>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Marco Dutra</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</si>
  <si>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</si>
  <si>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</si>
  <si>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</si>
  <si>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</si>
  <si>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</si>
  <si>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</si>
  <si>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</si>
  <si>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</si>
  <si>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</si>
  <si>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</si>
  <si>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</si>
  <si>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</si>
  <si>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</si>
  <si>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Marco Risi</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</si>
  <si>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</si>
  <si>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</si>
  <si>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</si>
  <si>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</si>
  <si>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</si>
  <si>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Marco Schnabel</t>
  </si>
  <si>
    <t>s2605</t>
  </si>
  <si>
    <t>A Secret Love</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</si>
  <si>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</si>
  <si>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</si>
  <si>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</si>
  <si>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</si>
  <si>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</si>
  <si>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</si>
  <si>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</si>
  <si>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</si>
  <si>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</si>
  <si>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</si>
  <si>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</si>
  <si>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</si>
  <si>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</si>
  <si>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</si>
  <si>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</si>
  <si>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Marcus Nispel</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</si>
  <si>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</si>
  <si>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</si>
  <si>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</si>
  <si>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</si>
  <si>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</si>
  <si>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</si>
  <si>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Marek Kanievska</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</si>
  <si>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</si>
  <si>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</si>
  <si>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</si>
  <si>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</si>
  <si>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</si>
  <si>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Marek Losey</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</si>
  <si>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</si>
  <si>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</si>
  <si>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</si>
  <si>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</si>
  <si>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Marek Piwowski</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</si>
  <si>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</si>
  <si>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</si>
  <si>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</si>
  <si>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</si>
  <si>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</si>
  <si>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</si>
  <si>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Maria Burton</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</si>
  <si>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</si>
  <si>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</si>
  <si>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</si>
  <si>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</si>
  <si>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</si>
  <si>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</si>
  <si>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Maria Demeshkina Peek</t>
  </si>
  <si>
    <t>s2615</t>
  </si>
  <si>
    <t>Boushkash</t>
  </si>
  <si>
    <t>Mohamed Saad, Zeina, Ezzat Abou Aouf, Edward, Hassan Hosny, Ahmed Rateb, Hamdi el Sakhawy, Safaa El-Toukhy</t>
  </si>
  <si>
    <t>A former goalkeeper-turned-talent scout embarks on a mischievous adventure to recruit players for Egyptian football clubs.</t>
  </si>
  <si>
    <t>María Jose Cuevas</t>
  </si>
  <si>
    <t>s2616</t>
  </si>
  <si>
    <t>Cinar Agaci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</si>
  <si>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</si>
  <si>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</si>
  <si>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</si>
  <si>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</si>
  <si>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</si>
  <si>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</si>
  <si>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Maria Ripoll</t>
  </si>
  <si>
    <t>s2618</t>
  </si>
  <si>
    <t>İstanbul Kırmızısı</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</si>
  <si>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</si>
  <si>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</si>
  <si>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</si>
  <si>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Maria Sadowska</t>
  </si>
  <si>
    <t>s2619</t>
  </si>
  <si>
    <t>Küçük Esnaf</t>
  </si>
  <si>
    <t>İbrahim Büyükak, Zeynep Koçak, Gupse Özay, Cengiz Bozkurt</t>
  </si>
  <si>
    <t>As an honest locksmith scrambles to pay his late father's hefty debt to the mafia, he crosses paths with a woman in similar trouble and falls for her.</t>
  </si>
  <si>
    <t>Mariana Tschudi, Héctor Gálvez</t>
  </si>
  <si>
    <t>s2620</t>
  </si>
  <si>
    <t>Lembi 8 Giga</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</si>
  <si>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</si>
  <si>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</si>
  <si>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Marianna Palka</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</si>
  <si>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</si>
  <si>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</si>
  <si>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</si>
  <si>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</si>
  <si>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Mariano Baez</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</si>
  <si>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</si>
  <si>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</si>
  <si>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</si>
  <si>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</si>
  <si>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Mariano Barroso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</si>
  <si>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</si>
  <si>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</si>
  <si>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</si>
  <si>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</si>
  <si>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</si>
  <si>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Mariano Cohn, Gastón Duprat</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</si>
  <si>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</si>
  <si>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</si>
  <si>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</si>
  <si>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</si>
  <si>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</si>
  <si>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</si>
  <si>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</si>
  <si>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</si>
  <si>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</si>
  <si>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</si>
  <si>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</si>
  <si>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</si>
  <si>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</si>
  <si>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</si>
  <si>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Marie Madinier</t>
  </si>
  <si>
    <t>s2627</t>
  </si>
  <si>
    <t>The Lift Boy</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</si>
  <si>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</si>
  <si>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</si>
  <si>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Marina Seresesky</t>
  </si>
  <si>
    <t>s2628</t>
  </si>
  <si>
    <t>Coronavirus, Explained</t>
  </si>
  <si>
    <t>April 26, 2020</t>
  </si>
  <si>
    <t>In 2020, the world changed. This topical series examines the coronavirus pandemic, the efforts to combat it and ways to manage its mental health toll.</t>
  </si>
  <si>
    <t>Marina Willer</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</si>
  <si>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</si>
  <si>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</si>
  <si>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</si>
  <si>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</si>
  <si>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</si>
  <si>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Marina Zenovich</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</si>
  <si>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</si>
  <si>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</si>
  <si>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</si>
  <si>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</si>
  <si>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</si>
  <si>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</si>
  <si>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</si>
  <si>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</si>
  <si>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</si>
  <si>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</si>
  <si>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Mario Cambi</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</si>
  <si>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</si>
  <si>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</si>
  <si>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</si>
  <si>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</si>
  <si>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Mario Mattei</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</si>
  <si>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</si>
  <si>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</si>
  <si>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</si>
  <si>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</si>
  <si>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</si>
  <si>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</si>
  <si>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Mario Rouleau</t>
  </si>
  <si>
    <t>s2634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</si>
  <si>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</si>
  <si>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</si>
  <si>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</si>
  <si>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Mario Van Peebles</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</si>
  <si>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</si>
  <si>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</si>
  <si>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</si>
  <si>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</si>
  <si>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</si>
  <si>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</si>
  <si>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Maris Curran</t>
  </si>
  <si>
    <t>s2636</t>
  </si>
  <si>
    <t>The Dealer</t>
  </si>
  <si>
    <t>Ahmed El Sakka, Khaled El Nabawy, Mai Selim, Nedal El Shafey, Boris Abramov, Selami Şahin</t>
  </si>
  <si>
    <t>Separated by distance and circumstance, two bitter rivals cross paths when the perils of the drug trade unexpectedly unite them.</t>
  </si>
  <si>
    <t>Marita Grabiak</t>
  </si>
  <si>
    <t>s2637</t>
  </si>
  <si>
    <t>The International Player</t>
  </si>
  <si>
    <t>Youssef El Sherif, Arwa Gouda, Salah Abdullah, Mohamed Lotfy, Dalal Abdel Aziz, Rahmah Hasan</t>
  </si>
  <si>
    <t>A footballer for a local club aspires to join the big leagues then gets his shot at going pro, fueling his team's rise to victory.</t>
  </si>
  <si>
    <t>Marja Lewis Ryan</t>
  </si>
  <si>
    <t>s2638</t>
  </si>
  <si>
    <t>The Promise</t>
  </si>
  <si>
    <t>Mohamed Yassin</t>
  </si>
  <si>
    <t>Asser Yassin, Ruby, Ghassan Massoud, Bassem Samra, Ahmed Azmy</t>
  </si>
  <si>
    <t>When his powerful crime czar boss kills the man he considered a mentor, a young gangster on the rise goes to war in order to get revenge.</t>
  </si>
  <si>
    <t>Mark A.Z. Dippé</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</si>
  <si>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</si>
  <si>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</si>
  <si>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</si>
  <si>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</si>
  <si>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Mark A.Z. Dippé, Eondeok Han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</si>
  <si>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</si>
  <si>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</si>
  <si>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</si>
  <si>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</si>
  <si>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Mark A.Z. Dippé, Kyung Ho Lee</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</si>
  <si>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</si>
  <si>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</si>
  <si>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</si>
  <si>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</si>
  <si>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</si>
  <si>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Mark Columbus, Lauren Hoekstra, Sarah Kruchowski, Ryan Moody, Simon Savelyev, Vanita Shastry, Shadae Lamar Smith, Jeremy David White</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</si>
  <si>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</si>
  <si>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</si>
  <si>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</si>
  <si>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</si>
  <si>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Mark Craig</t>
  </si>
  <si>
    <t>s2643</t>
  </si>
  <si>
    <t>Kolaiyuthir Kaalam</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</si>
  <si>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</si>
  <si>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</si>
  <si>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</si>
  <si>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</si>
  <si>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</si>
  <si>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</si>
  <si>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Mark Dindal</t>
  </si>
  <si>
    <t>s2645</t>
  </si>
  <si>
    <t>Yours Sincerely, Kanan Gill</t>
  </si>
  <si>
    <t>Neville Shah</t>
  </si>
  <si>
    <t>Kanan Gill</t>
  </si>
  <si>
    <t>Revisiting life goals set in a letter written as a teen to his future self, comedian Kanan Gill reports back on if he's lived up to his own expectations.</t>
  </si>
  <si>
    <t>Mark Franchetti, Andrew Meier</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</si>
  <si>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</si>
  <si>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</si>
  <si>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</si>
  <si>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</si>
  <si>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</si>
  <si>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Mark Harris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</si>
  <si>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</si>
  <si>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</si>
  <si>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</si>
  <si>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</si>
  <si>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</si>
  <si>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Mark Helenowski, Kevin Pang</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</si>
  <si>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</si>
  <si>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</si>
  <si>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</si>
  <si>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</si>
  <si>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</si>
  <si>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</si>
  <si>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</si>
  <si>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</si>
  <si>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Mark Herman</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</si>
  <si>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</si>
  <si>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</si>
  <si>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</si>
  <si>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</si>
  <si>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</si>
  <si>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Mark Landre Gould</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</si>
  <si>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</si>
  <si>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</si>
  <si>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</si>
  <si>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</si>
  <si>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</si>
  <si>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Mark Lewis</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</si>
  <si>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</si>
  <si>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</si>
  <si>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</si>
  <si>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</si>
  <si>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</si>
  <si>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</si>
  <si>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</si>
  <si>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</si>
  <si>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</si>
  <si>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</si>
  <si>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Mark Mcqueen</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</si>
  <si>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</si>
  <si>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</si>
  <si>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</si>
  <si>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</si>
  <si>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</si>
  <si>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Mark Murphy</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</si>
  <si>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</si>
  <si>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</si>
  <si>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</si>
  <si>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</si>
  <si>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Mark Neveldine</t>
  </si>
  <si>
    <t>s2656</t>
  </si>
  <si>
    <t>The Silence of the Marsh</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</si>
  <si>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</si>
  <si>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</si>
  <si>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Mark O'Connor</t>
  </si>
  <si>
    <t>s2657</t>
  </si>
  <si>
    <t>The Willoughbys</t>
  </si>
  <si>
    <t>Will Forte, Maya Rudolph, Ricky Gervais, Alessia Cara, Terry Crews, Jane Krakowski, Martin Short, Seán Cullen</t>
  </si>
  <si>
    <t>Four siblings with horribly selfish parents hatch a plan to get rid of them for good and form a perfectly imperfect family of their own.</t>
  </si>
  <si>
    <t>Mark Osborne</t>
  </si>
  <si>
    <t>s2658</t>
  </si>
  <si>
    <t>Win the Wilderness</t>
  </si>
  <si>
    <t>Six couples compete to prove they've got the survival skills to win the deed to an extraordinary home deep in the vast, rugged wilderness of Alaska.</t>
  </si>
  <si>
    <t>Mark Palansky</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</si>
  <si>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</si>
  <si>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</si>
  <si>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</si>
  <si>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</si>
  <si>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</si>
  <si>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</si>
  <si>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</si>
  <si>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</si>
  <si>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</si>
  <si>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</si>
  <si>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Mark Risley</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</si>
  <si>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</si>
  <si>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</si>
  <si>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</si>
  <si>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</si>
  <si>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</si>
  <si>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Mark Ritchie</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</si>
  <si>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</si>
  <si>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</si>
  <si>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</si>
  <si>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</si>
  <si>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</si>
  <si>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</si>
  <si>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</si>
  <si>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</si>
  <si>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</si>
  <si>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Mark Sloper</t>
  </si>
  <si>
    <t>s2664</t>
  </si>
  <si>
    <t>Varane Avashyamund</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</si>
  <si>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</si>
  <si>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</si>
  <si>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</si>
  <si>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</si>
  <si>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</si>
  <si>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</si>
  <si>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</si>
  <si>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</si>
  <si>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</si>
  <si>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</si>
  <si>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</si>
  <si>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Mark Tonderai</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</si>
  <si>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</si>
  <si>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</si>
  <si>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</si>
  <si>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</si>
  <si>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</si>
  <si>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</si>
  <si>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</si>
  <si>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</si>
  <si>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</si>
  <si>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</si>
  <si>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Mark Williams</t>
  </si>
  <si>
    <t>s2669</t>
  </si>
  <si>
    <t>Earth and Blood</t>
  </si>
  <si>
    <t>Sami Bouajila, Eriq Ebouaney, Samy Seghir, Sofia Lesaffre</t>
  </si>
  <si>
    <t>A sawmill owner and his teenage daughter become tangled in a deadly feud when a drug dealer stashes stolen cocaine on their remote property.</t>
  </si>
  <si>
    <t>Mark Zwonitzer</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</si>
  <si>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</si>
  <si>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</si>
  <si>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</si>
  <si>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</si>
  <si>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</si>
  <si>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</si>
  <si>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</si>
  <si>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</si>
  <si>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Marlene Melchior</t>
  </si>
  <si>
    <t>s2672</t>
  </si>
  <si>
    <t>Rising High</t>
  </si>
  <si>
    <t>David Kross, Frederick Lau, Janina Uhse, Anne Schäfer, Sophia Thomalla</t>
  </si>
  <si>
    <t>Ready to do anything to get rich, a young man upends the Berlin property market with his shady pal, till the good times threaten to destroy it all.</t>
  </si>
  <si>
    <t>s2673</t>
  </si>
  <si>
    <t>Sergio</t>
  </si>
  <si>
    <t>Wagner Moura, Ana de Armas, Brían F. O'Byrne, Clemens Schick, Bradley Whitford</t>
  </si>
  <si>
    <t>Passions, ideals and bitter realities collide as charismatic UN diplomat Sergio Vieira de Mello becomes trapped in a life-threatening situation in Iraq.</t>
  </si>
  <si>
    <t>Marta Jaenes, Rosa Márquez</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</si>
  <si>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</si>
  <si>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</si>
  <si>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</si>
  <si>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</si>
  <si>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Martha Coolidge</t>
  </si>
  <si>
    <t>s2675</t>
  </si>
  <si>
    <t>Alelí</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</si>
  <si>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</si>
  <si>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</si>
  <si>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</si>
  <si>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</si>
  <si>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Marti Noxon</t>
  </si>
  <si>
    <t>s2676</t>
  </si>
  <si>
    <t>Fary : Hexagone</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</si>
  <si>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</si>
  <si>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</si>
  <si>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</si>
  <si>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</si>
  <si>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</si>
  <si>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</si>
  <si>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</si>
  <si>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</si>
  <si>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</si>
  <si>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</si>
  <si>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</si>
  <si>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</si>
  <si>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Martin Gorst</t>
  </si>
  <si>
    <t>s2679</t>
  </si>
  <si>
    <t>Jem and the Holograms</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</si>
  <si>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</si>
  <si>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</si>
  <si>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</si>
  <si>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Martin Hodara</t>
  </si>
  <si>
    <t>s2680</t>
  </si>
  <si>
    <t>Maurício Meirelles: Generating Chaos</t>
  </si>
  <si>
    <t>Maurício Meirelles</t>
  </si>
  <si>
    <t>Comedian Maurício Meirelles explores his chaotic mind with scathingly funny views on family, prejudices, turtles and more in this stand-up special.</t>
  </si>
  <si>
    <t>Martin Lawrence</t>
  </si>
  <si>
    <t>s2681</t>
  </si>
  <si>
    <t>Puerto Ricans in Paris</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</si>
  <si>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</si>
  <si>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</si>
  <si>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</si>
  <si>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</si>
  <si>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</si>
  <si>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</si>
  <si>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Martin Rosete</t>
  </si>
  <si>
    <t>s2683</t>
  </si>
  <si>
    <t>For the Broken Hearted</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</si>
  <si>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</si>
  <si>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</si>
  <si>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</si>
  <si>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</si>
  <si>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</si>
  <si>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</si>
  <si>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</si>
  <si>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</si>
  <si>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</si>
  <si>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</si>
  <si>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</si>
  <si>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</si>
  <si>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Vijay Deverakonda, Raashi Khanna, Aishwarya Rajesh, Catherine Tresa, Izabelle Leite</t>
  </si>
  <si>
    <t>When his frustrated girlfriend decides to leave him, a struggling writer gets down to work on stories of romance he hopes will win her back.</t>
  </si>
  <si>
    <t>Martin Zandvliet</t>
  </si>
  <si>
    <t>s2687</t>
  </si>
  <si>
    <t>Chris D'Elia: No Pain</t>
  </si>
  <si>
    <t>Matt D'Elia</t>
  </si>
  <si>
    <t>Chris D'Elia</t>
  </si>
  <si>
    <t>April 14, 2020</t>
  </si>
  <si>
    <t>Chris D'Elia takes the stage in Minneapolis to offer his thoughts on everything from self-censorship to problematic dolphins to lame mutant powers.</t>
  </si>
  <si>
    <t>Marty Callner</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</si>
  <si>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</si>
  <si>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</si>
  <si>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</si>
  <si>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</si>
  <si>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Marty Stalker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</si>
  <si>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</si>
  <si>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</si>
  <si>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</si>
  <si>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</si>
  <si>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</si>
  <si>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</si>
  <si>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</si>
  <si>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</si>
  <si>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</si>
  <si>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</si>
  <si>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</si>
  <si>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</si>
  <si>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</si>
  <si>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</si>
  <si>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</si>
  <si>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</si>
  <si>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</si>
  <si>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</si>
  <si>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</si>
  <si>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</si>
  <si>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</si>
  <si>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</si>
  <si>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</si>
  <si>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</si>
  <si>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Mary Mazzio</t>
  </si>
  <si>
    <t>s2694</t>
  </si>
  <si>
    <t>Love Wedding Repeat</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</si>
  <si>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</si>
  <si>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</si>
  <si>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</si>
  <si>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Maryo J. De Los Reyes</t>
  </si>
  <si>
    <t>s2695</t>
  </si>
  <si>
    <t>School Life</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</si>
  <si>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</si>
  <si>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</si>
  <si>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Masaaki Yuasa</t>
  </si>
  <si>
    <t>s2696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</si>
  <si>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</si>
  <si>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</si>
  <si>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</si>
  <si>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</si>
  <si>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</si>
  <si>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</si>
  <si>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</si>
  <si>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</si>
  <si>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</si>
  <si>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</si>
  <si>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Tzi Ma, Christine Ko, Hong-Chi Lee, Hayden Szeto, Kunjue Li, Fiona Fu, James Saito, Joan Chen</t>
  </si>
  <si>
    <t>A man reflects on the lost love of his youth and his long-ago journey from Taiwan to America as he begins to reconnect with his estranged daughter.</t>
  </si>
  <si>
    <t>Massy Tadjedin</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</si>
  <si>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</si>
  <si>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</si>
  <si>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</si>
  <si>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</si>
  <si>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</si>
  <si>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Mastan Alibhai Burmawalla, Abbas Alibhai Burmawalla</t>
  </si>
  <si>
    <t>s2700</t>
  </si>
  <si>
    <t>The Circle France</t>
  </si>
  <si>
    <t>Status and strategy collide in this social media competition where online players flirt, befriend and catfish their way toward 100,000 euros.</t>
  </si>
  <si>
    <t>Mat King</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</si>
  <si>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</si>
  <si>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</si>
  <si>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</si>
  <si>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</si>
  <si>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</si>
  <si>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</si>
  <si>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Mat Whitecross</t>
  </si>
  <si>
    <t>s2702</t>
  </si>
  <si>
    <t>The Last Airbender</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</si>
  <si>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</si>
  <si>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</si>
  <si>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</si>
  <si>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</si>
  <si>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</si>
  <si>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Tiffany Haddish</t>
  </si>
  <si>
    <t>April 7, 2020</t>
  </si>
  <si>
    <t>Comedic breakout Tiffany Haddish delivers a riotous stand-up ripe with the unpretentious and filthy tales of her meteoric rise to stardom.</t>
  </si>
  <si>
    <t>s2704</t>
  </si>
  <si>
    <t>Mine 9</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</si>
  <si>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</si>
  <si>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</si>
  <si>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</si>
  <si>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Matheus Souza</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</si>
  <si>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</si>
  <si>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</si>
  <si>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</si>
  <si>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</si>
  <si>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</si>
  <si>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Mathias Malzieu, Stéphane Berla</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</si>
  <si>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</si>
  <si>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</si>
  <si>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</si>
  <si>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</si>
  <si>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</si>
  <si>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</si>
  <si>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</si>
  <si>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Mathieu Auvray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</si>
  <si>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</si>
  <si>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</si>
  <si>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</si>
  <si>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</si>
  <si>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</si>
  <si>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</si>
  <si>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Mathieu Kassovitz</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</si>
  <si>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</si>
  <si>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</si>
  <si>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</si>
  <si>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</si>
  <si>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</si>
  <si>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Mati Diop</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</si>
  <si>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</si>
  <si>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</si>
  <si>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</si>
  <si>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</si>
  <si>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Matías Bize</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</si>
  <si>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</si>
  <si>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</si>
  <si>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</si>
  <si>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</si>
  <si>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</si>
  <si>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</si>
  <si>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</si>
  <si>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</si>
  <si>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</si>
  <si>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</si>
  <si>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</si>
  <si>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</si>
  <si>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</si>
  <si>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</si>
  <si>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</si>
  <si>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Matt Angel, Suzanne Coote</t>
  </si>
  <si>
    <t>s2713</t>
  </si>
  <si>
    <t>The Death of Stalin</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</si>
  <si>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</si>
  <si>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</si>
  <si>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</si>
  <si>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</si>
  <si>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</si>
  <si>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April 2, 2020</t>
  </si>
  <si>
    <t>5 min</t>
  </si>
  <si>
    <t>A young warrior and her familiar search for the sacred place said to fulfill wishes. It's best not to anger the ancient guardians and spirits.</t>
  </si>
  <si>
    <t>Matt Askem</t>
  </si>
  <si>
    <t>s2715</t>
  </si>
  <si>
    <t>Violet Evergarden: Eternity and the Auto Memory Doll</t>
  </si>
  <si>
    <t>Yui Ishikawa, Minako Kotobuki, Aoi Yuki</t>
  </si>
  <si>
    <t>Anime Features, International Movies, Sci-Fi &amp; Fantasy</t>
  </si>
  <si>
    <t>A lonely young woman feels trapped at her all girls' school. But metal hands and heartfelt letters warm her heart when Violet becomes her tutor.</t>
  </si>
  <si>
    <t>Matt Bell</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</si>
  <si>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</si>
  <si>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</si>
  <si>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</si>
  <si>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</si>
  <si>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</si>
  <si>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</si>
  <si>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</si>
  <si>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Matt D'Avella</t>
  </si>
  <si>
    <t>s2717</t>
  </si>
  <si>
    <t>Brothers</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</si>
  <si>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</si>
  <si>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</si>
  <si>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</si>
  <si>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</si>
  <si>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</si>
  <si>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</si>
  <si>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</si>
  <si>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</si>
  <si>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</si>
  <si>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</si>
  <si>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Matt Kay</t>
  </si>
  <si>
    <t>s2720</t>
  </si>
  <si>
    <t>David Batra: Elefanten i rummet</t>
  </si>
  <si>
    <t>David Batra</t>
  </si>
  <si>
    <t>Swedish comedian David Batra gets personal as he playfully details the perks and pitfalls of being married to a recently resigned political leader.</t>
  </si>
  <si>
    <t>Matt Kugelman</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</si>
  <si>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</si>
  <si>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</si>
  <si>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</si>
  <si>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</si>
  <si>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</si>
  <si>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</si>
  <si>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</si>
  <si>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</si>
  <si>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</si>
  <si>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</si>
  <si>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</si>
  <si>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Matt Palmer</t>
  </si>
  <si>
    <t>s2723</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</si>
  <si>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</si>
  <si>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</si>
  <si>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</si>
  <si>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Matt Piedmont</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</si>
  <si>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</si>
  <si>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</si>
  <si>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</si>
  <si>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</si>
  <si>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</si>
  <si>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Matt Reeves</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</si>
  <si>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</si>
  <si>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</si>
  <si>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</si>
  <si>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</si>
  <si>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</si>
  <si>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</si>
  <si>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</si>
  <si>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</si>
  <si>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</si>
  <si>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Matt Shakman</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</si>
  <si>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</si>
  <si>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</si>
  <si>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</si>
  <si>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</si>
  <si>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</si>
  <si>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</si>
  <si>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</si>
  <si>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Matt Toronto</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</si>
  <si>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</si>
  <si>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</si>
  <si>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</si>
  <si>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</si>
  <si>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</si>
  <si>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Matt Tyrnauer</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</si>
  <si>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</si>
  <si>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</si>
  <si>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</si>
  <si>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</si>
  <si>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</si>
  <si>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Matt Wechsler</t>
  </si>
  <si>
    <t>s2731</t>
  </si>
  <si>
    <t>Kabhi Alvida Naa Kehna</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</si>
  <si>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</si>
  <si>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</si>
  <si>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</si>
  <si>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Matthew Atkinson</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</si>
  <si>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</si>
  <si>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</si>
  <si>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</si>
  <si>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</si>
  <si>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</si>
  <si>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Matthew Cooke</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</si>
  <si>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</si>
  <si>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</si>
  <si>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</si>
  <si>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</si>
  <si>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</si>
  <si>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</si>
  <si>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</si>
  <si>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</si>
  <si>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</si>
  <si>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</si>
  <si>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</si>
  <si>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Matthew Hope</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</si>
  <si>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</si>
  <si>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</si>
  <si>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</si>
  <si>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</si>
  <si>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</si>
  <si>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</si>
  <si>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</si>
  <si>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</si>
  <si>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</si>
  <si>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</si>
  <si>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</si>
  <si>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Matthew Ross</t>
  </si>
  <si>
    <t>s2738</t>
  </si>
  <si>
    <t>Mighty Raju Rio Calling</t>
  </si>
  <si>
    <t>Rajiv Chilaka, Anirban Majumder, Alka Amarkant Dubey</t>
  </si>
  <si>
    <t>Mighty Raju preps for a new adventure in Rio de Janeiro, where he goes toe-to-toe with rival soccer players, faces capoeira fighters and more.</t>
  </si>
  <si>
    <t>Matthew Salleh</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</si>
  <si>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</si>
  <si>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</si>
  <si>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</si>
  <si>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</si>
  <si>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</si>
  <si>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</si>
  <si>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Matthew Shoychet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</si>
  <si>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</si>
  <si>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</si>
  <si>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</si>
  <si>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</si>
  <si>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</si>
  <si>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</si>
  <si>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</si>
  <si>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</si>
  <si>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Matthias Hoene</t>
  </si>
  <si>
    <t>s2742</t>
  </si>
  <si>
    <t>SETHUM AAYIRAM PON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</si>
  <si>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</si>
  <si>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</si>
  <si>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</si>
  <si>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</si>
  <si>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</si>
  <si>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Mauro Scandolari</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</si>
  <si>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</si>
  <si>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</si>
  <si>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</si>
  <si>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</si>
  <si>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Max Amini</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</si>
  <si>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</si>
  <si>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</si>
  <si>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</si>
  <si>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</si>
  <si>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</si>
  <si>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</si>
  <si>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</si>
  <si>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</si>
  <si>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</si>
  <si>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</si>
  <si>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</si>
  <si>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Max Joseph</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</si>
  <si>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</si>
  <si>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</si>
  <si>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</si>
  <si>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</si>
  <si>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Max Lang, Jani Lachauer</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</si>
  <si>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</si>
  <si>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</si>
  <si>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</si>
  <si>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</si>
  <si>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</si>
  <si>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Max Martini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</si>
  <si>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</si>
  <si>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</si>
  <si>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</si>
  <si>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</si>
  <si>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Max Mcgill</t>
  </si>
  <si>
    <t>s2750</t>
  </si>
  <si>
    <t>Wildling</t>
  </si>
  <si>
    <t>Bel Powley, Brad Dourif, Liv Tyler, Collin Kelly-Sordelet, James Le Gros</t>
  </si>
  <si>
    <t>Confined to an attic for years by a man claiming to be her protector, teenage Anna is liberated and begins learning the rest of her terrifying story.</t>
  </si>
  <si>
    <t>Maximilian Erlenwein</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</si>
  <si>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</si>
  <si>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</si>
  <si>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</si>
  <si>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</si>
  <si>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</si>
  <si>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</si>
  <si>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Maxwell Mcguire</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</si>
  <si>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</si>
  <si>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</si>
  <si>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</si>
  <si>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</si>
  <si>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</si>
  <si>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Maya Forbes</t>
  </si>
  <si>
    <t>s2753</t>
  </si>
  <si>
    <t>Bal Ganesh</t>
  </si>
  <si>
    <t>Vijay S. Bhanushali</t>
  </si>
  <si>
    <t>Meghna Erande Joshi, Parminder Ghumman</t>
  </si>
  <si>
    <t>Watch Ganesh destroy demons, disarm invaders and defeat dacoits in this series based on the mythological Hindu elephant god’s childhood.</t>
  </si>
  <si>
    <t>Maya Gallus</t>
  </si>
  <si>
    <t>s2754</t>
  </si>
  <si>
    <t>Dave Chappelle: The Kennedy Center Mark Twain Prize for American Humor</t>
  </si>
  <si>
    <t>Dave Chappelle is awarded the prestigious Mark Twain Prize for American Humor in a star-studded ceremony from the Kennedy Center in Washington, D.C.</t>
  </si>
  <si>
    <t>Maya Zinshtein</t>
  </si>
  <si>
    <t>s2755</t>
  </si>
  <si>
    <t>Greater</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</si>
  <si>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</si>
  <si>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</si>
  <si>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</si>
  <si>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</si>
  <si>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</si>
  <si>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</si>
  <si>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</si>
  <si>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Maz Jobrani</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</si>
  <si>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</si>
  <si>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</si>
  <si>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</si>
  <si>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</si>
  <si>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</si>
  <si>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Mcg</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</si>
  <si>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</si>
  <si>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</si>
  <si>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</si>
  <si>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</si>
  <si>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</si>
  <si>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Meenu Gaur, Farjad Nabi</t>
  </si>
  <si>
    <t>s2759</t>
  </si>
  <si>
    <t>Through My Father's Eyes: The Ronda Rousey Story</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</si>
  <si>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</si>
  <si>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</si>
  <si>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</si>
  <si>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</si>
  <si>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</si>
  <si>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</si>
  <si>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Meghan O'Hara</t>
  </si>
  <si>
    <t>s2761</t>
  </si>
  <si>
    <t>Kannum Kannum Kollaiyadithaal</t>
  </si>
  <si>
    <t>Dulquer Salmaan, Ritu Varma, Rakshan, Niranjani, Gautham Menon, Anish Kuruvilla</t>
  </si>
  <si>
    <t>March 29, 2020</t>
  </si>
  <si>
    <t>A carefree racing enthusiast’s womanizing ways end when he meets the girl of his dreams, but their newfound peace is disrupted by a dangerous killer.</t>
  </si>
  <si>
    <t>Mehmet Ada Öztekin</t>
  </si>
  <si>
    <t>s2762</t>
  </si>
  <si>
    <t>Rugal</t>
  </si>
  <si>
    <t>Choi Jin-hyuk, Park Sung-woong, Cho Dong-hyuk, Jung Hye-in, Han Ji-wan, Park Sun-ho, Kim Min-sang</t>
  </si>
  <si>
    <t>A police detective who loses everything to a criminal organization seeks payback when he gains special abilities through biotechnology.</t>
  </si>
  <si>
    <t>Mel Smith</t>
  </si>
  <si>
    <t>s2763</t>
  </si>
  <si>
    <t>Rogue Warfare</t>
  </si>
  <si>
    <t>March 28, 2020</t>
  </si>
  <si>
    <t>An elite international squad of uniquely skilled special forces is assembled to combat a rising underground terrorist threat in the Middle East.</t>
  </si>
  <si>
    <t>Mel Stuart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</si>
  <si>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</si>
  <si>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</si>
  <si>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</si>
  <si>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</si>
  <si>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</si>
  <si>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</si>
  <si>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</si>
  <si>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</si>
  <si>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</si>
  <si>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</si>
  <si>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Melinda Janko</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</si>
  <si>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</si>
  <si>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</si>
  <si>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</si>
  <si>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</si>
  <si>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</si>
  <si>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</si>
  <si>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</si>
  <si>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</si>
  <si>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</si>
  <si>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Meng Hua Ho</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</si>
  <si>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</si>
  <si>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</si>
  <si>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</si>
  <si>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</si>
  <si>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</si>
  <si>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</si>
  <si>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</si>
  <si>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</si>
  <si>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</si>
  <si>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Mercedes Cordova</t>
  </si>
  <si>
    <t>s2770</t>
  </si>
  <si>
    <t>There's Something in the Water</t>
  </si>
  <si>
    <t>Ellen Page</t>
  </si>
  <si>
    <t>This documentary spotlights the struggle of minority communities in Nova Scotia as they fight officials over the lethal effects of industrial waste.</t>
  </si>
  <si>
    <t>Mez Tharatorn</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</si>
  <si>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</si>
  <si>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</si>
  <si>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</si>
  <si>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</si>
  <si>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</si>
  <si>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</si>
  <si>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</si>
  <si>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</si>
  <si>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</si>
  <si>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</si>
  <si>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</si>
  <si>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</si>
  <si>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</si>
  <si>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</si>
  <si>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Micah Bickham, Galley Molina</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</si>
  <si>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</si>
  <si>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</si>
  <si>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</si>
  <si>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</si>
  <si>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</si>
  <si>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</si>
  <si>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Michael A. Nickles</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</si>
  <si>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</si>
  <si>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</si>
  <si>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</si>
  <si>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</si>
  <si>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</si>
  <si>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Michael Anderson</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</si>
  <si>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</si>
  <si>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</si>
  <si>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</si>
  <si>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</si>
  <si>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</si>
  <si>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Michael Apted</t>
  </si>
  <si>
    <t>s2777</t>
  </si>
  <si>
    <t>Making Unorthodox</t>
  </si>
  <si>
    <t>A look at the making of one of the first series to authentically portray and explore issues in a Hasidic community as they pertain to women's lives.</t>
  </si>
  <si>
    <t>Michael Barnett</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</si>
  <si>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</si>
  <si>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</si>
  <si>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</si>
  <si>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</si>
  <si>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Michael Barrett</t>
  </si>
  <si>
    <t>s2779</t>
  </si>
  <si>
    <t>Bethany Hamilton: Unstoppable</t>
  </si>
  <si>
    <t>Bethany Hamilton</t>
  </si>
  <si>
    <t>March 25, 2020</t>
  </si>
  <si>
    <t>Children &amp; Family Movies, Documentaries, Sports Movies</t>
  </si>
  <si>
    <t>This documentary follows the rising tide of Bethany Hamilton who lost her arm as a teen before making waves in pro surfing and her personal life.</t>
  </si>
  <si>
    <t>Michael Bay</t>
  </si>
  <si>
    <t>s2780</t>
  </si>
  <si>
    <t>Crip Camp: A Disability Revolution</t>
  </si>
  <si>
    <t>A groundbreaking summer camp galvanizes a group of teens with disabilities to help build a movement, forging a new path toward greater equality.</t>
  </si>
  <si>
    <t>Michael Blieden</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</si>
  <si>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</si>
  <si>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</si>
  <si>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</si>
  <si>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</si>
  <si>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</si>
  <si>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Michael Bonfiglio</t>
  </si>
  <si>
    <t>s2782</t>
  </si>
  <si>
    <t>The Occupant</t>
  </si>
  <si>
    <t>Javier Gutiérrez, Mario Casas, Bruna Cusí, Ruth Díaz</t>
  </si>
  <si>
    <t>An unemployed advertising executive begins stalking the new tenants of his former home and his motives toward the family turn sinister.</t>
  </si>
  <si>
    <t>Michael Buster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</si>
  <si>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</si>
  <si>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</si>
  <si>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</si>
  <si>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</si>
  <si>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</si>
  <si>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</si>
  <si>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</si>
  <si>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</si>
  <si>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</si>
  <si>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</si>
  <si>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</si>
  <si>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</si>
  <si>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</si>
  <si>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</si>
  <si>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</si>
  <si>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</si>
  <si>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</si>
  <si>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</si>
  <si>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</si>
  <si>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</si>
  <si>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</si>
  <si>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</si>
  <si>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</si>
  <si>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Michael Cuesta</t>
  </si>
  <si>
    <t>s2787</t>
  </si>
  <si>
    <t>A Life of Speed: The Juan Manuel Fangio Story</t>
  </si>
  <si>
    <t>March 20, 2020</t>
  </si>
  <si>
    <t>Juan Manuel Fangio was the Formula One king, winning five world championships in the early 1950s — before protective gear or safety features were used.</t>
  </si>
  <si>
    <t>Michael Cumming</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</si>
  <si>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</si>
  <si>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</si>
  <si>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</si>
  <si>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</si>
  <si>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</si>
  <si>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</si>
  <si>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</si>
  <si>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</si>
  <si>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Michael D. Black</t>
  </si>
  <si>
    <t>s2790</t>
  </si>
  <si>
    <t>El silencio es bienvenido</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</si>
  <si>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</si>
  <si>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</si>
  <si>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</si>
  <si>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</si>
  <si>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</si>
  <si>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</si>
  <si>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Michael Del Monte</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</si>
  <si>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</si>
  <si>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</si>
  <si>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</si>
  <si>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</si>
  <si>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Michael Doneger</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</si>
  <si>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</si>
  <si>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</si>
  <si>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</si>
  <si>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</si>
  <si>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</si>
  <si>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</si>
  <si>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</si>
  <si>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</si>
  <si>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Michael Drumm</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</si>
  <si>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</si>
  <si>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</si>
  <si>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</si>
  <si>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</si>
  <si>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</si>
  <si>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</si>
  <si>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A zoo owner spirals out of control amid a cast of eccentric characters in this true murder-for-hire story from the underworld of big cat breeding.</t>
  </si>
  <si>
    <t>Michael Epstein</t>
  </si>
  <si>
    <t>s2797</t>
  </si>
  <si>
    <t>Ultras</t>
  </si>
  <si>
    <t>Aniello Arena, Antonia Truppo, Ciro Nacca, Simone Borelli, Daniele Vicorito, Salvatore Pelliccia</t>
  </si>
  <si>
    <t>An aging soccer fanatic faces down the reality of his past while struggling to give himself and a young follower very different futures.</t>
  </si>
  <si>
    <t>Michael Fahey</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</si>
  <si>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</si>
  <si>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</si>
  <si>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</si>
  <si>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</si>
  <si>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Michael Feifer</t>
  </si>
  <si>
    <t>s2799</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</si>
  <si>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</si>
  <si>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</si>
  <si>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</si>
  <si>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</si>
  <si>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</si>
  <si>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</si>
  <si>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</si>
  <si>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</si>
  <si>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</si>
  <si>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Michael G. Kehoe</t>
  </si>
  <si>
    <t>s2801</t>
  </si>
  <si>
    <t>Masameer - The Movie</t>
  </si>
  <si>
    <t>Malik Nejer, Shahad Alahmari, Abdulaziz Almuzaini, Yousef Aldakheel</t>
  </si>
  <si>
    <t>A young girl passionate about AI sets out to make an impact as three friends become crime-fighting superheroes. Based on the hit animated web series.</t>
  </si>
  <si>
    <t>Michael Gallagher</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</si>
  <si>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</si>
  <si>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</si>
  <si>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</si>
  <si>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</si>
  <si>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</si>
  <si>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</si>
  <si>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</si>
  <si>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</si>
  <si>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</si>
  <si>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</si>
  <si>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Michael J. Bassett</t>
  </si>
  <si>
    <t>s2804</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</si>
  <si>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</si>
  <si>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</si>
  <si>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</si>
  <si>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</si>
  <si>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</si>
  <si>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</si>
  <si>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</si>
  <si>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</si>
  <si>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Michael James Regan</t>
  </si>
  <si>
    <t>s2806</t>
  </si>
  <si>
    <t>XV: Beyond the Tryline</t>
  </si>
  <si>
    <t>Pierre Deschamps</t>
  </si>
  <si>
    <t>Set against the 2015 Rugby World Cup, this documentary captures the allure of rugby as told by fans, players and others who have touched the game.</t>
  </si>
  <si>
    <t>Michael John Warren</t>
  </si>
  <si>
    <t>s2807</t>
  </si>
  <si>
    <t>Bert Kreischer: Hey Big Boy</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</si>
  <si>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</si>
  <si>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</si>
  <si>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</si>
  <si>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</si>
  <si>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</si>
  <si>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</si>
  <si>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</si>
  <si>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</si>
  <si>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Michael Kennedy</t>
  </si>
  <si>
    <t>s2809</t>
  </si>
  <si>
    <t>We Speak Dance</t>
  </si>
  <si>
    <t>Vandana Hart</t>
  </si>
  <si>
    <t>Trained dancer Vandana Hart travels the world to learn traditional and urban dance styles from the local experts who know them best.</t>
  </si>
  <si>
    <t>Michael Larnell</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</si>
  <si>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</si>
  <si>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</si>
  <si>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</si>
  <si>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</si>
  <si>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</si>
  <si>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</si>
  <si>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Michael Lennox</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</si>
  <si>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</si>
  <si>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</si>
  <si>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</si>
  <si>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</si>
  <si>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</si>
  <si>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</si>
  <si>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</si>
  <si>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</si>
  <si>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</si>
  <si>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</si>
  <si>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</si>
  <si>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</si>
  <si>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</si>
  <si>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</si>
  <si>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Michael Margolis</t>
  </si>
  <si>
    <t>s2814</t>
  </si>
  <si>
    <t>Ken Burns Presents: College Behind Bars: A Film by Lynn Novick and Produced by Sarah Botstein</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</si>
  <si>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</si>
  <si>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</si>
  <si>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</si>
  <si>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</si>
  <si>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</si>
  <si>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Michael Mason</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</si>
  <si>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</si>
  <si>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</si>
  <si>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</si>
  <si>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</si>
  <si>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</si>
  <si>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</si>
  <si>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Michael Mayer</t>
  </si>
  <si>
    <t>s2817</t>
  </si>
  <si>
    <t>100 Humans</t>
  </si>
  <si>
    <t>Zainab Johnson, Sammy Obeid, Alie Ward</t>
  </si>
  <si>
    <t>March 13, 2020</t>
  </si>
  <si>
    <t>One hundred hardy souls from diverse backgrounds participate in playful experiments exploring age, sex, happiness and other aspects of being human.</t>
  </si>
  <si>
    <t>Michael Mazzola</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</si>
  <si>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</si>
  <si>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</si>
  <si>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</si>
  <si>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</si>
  <si>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</si>
  <si>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Michael Mckay</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</si>
  <si>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</si>
  <si>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</si>
  <si>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</si>
  <si>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</si>
  <si>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Michael Patrick King</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</si>
  <si>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</si>
  <si>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</si>
  <si>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</si>
  <si>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</si>
  <si>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</si>
  <si>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Michael Paul Stephenson</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</si>
  <si>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</si>
  <si>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</si>
  <si>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</si>
  <si>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</si>
  <si>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</si>
  <si>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Michael Petroni</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</si>
  <si>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</si>
  <si>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</si>
  <si>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</si>
  <si>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</si>
  <si>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</si>
  <si>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Michael Polish</t>
  </si>
  <si>
    <t>s2823</t>
  </si>
  <si>
    <t>Lost Girls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</si>
  <si>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</si>
  <si>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</si>
  <si>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Michael Pressman</t>
  </si>
  <si>
    <t>s2824</t>
  </si>
  <si>
    <t>Miracle in Cell No. 7</t>
  </si>
  <si>
    <t>Aras Bulut İynemli, Nisa Sofiya Aksongur, Deniz Baysal, Celile Toyon Uysal, İlker Aksum, Mesut Akusta</t>
  </si>
  <si>
    <t>Separated from his daughter, a father with an intellectual disability must prove his innocence when he is jailed for the death of a commander's child.</t>
  </si>
  <si>
    <t>Michael Radford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</si>
  <si>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</si>
  <si>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</si>
  <si>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</si>
  <si>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</si>
  <si>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</si>
  <si>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</si>
  <si>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</si>
  <si>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</si>
  <si>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Michael Roberts</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</si>
  <si>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</si>
  <si>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</si>
  <si>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</si>
  <si>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</si>
  <si>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</si>
  <si>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</si>
  <si>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</si>
  <si>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</si>
  <si>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</si>
  <si>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Michael Samuels</t>
  </si>
  <si>
    <t>s2829</t>
  </si>
  <si>
    <t>Carmen Sandiego: To Steal or Not to Steal</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</si>
  <si>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</si>
  <si>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</si>
  <si>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</si>
  <si>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Michael Seater</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</si>
  <si>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</si>
  <si>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</si>
  <si>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</si>
  <si>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</si>
  <si>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</si>
  <si>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</si>
  <si>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</si>
  <si>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</si>
  <si>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</si>
  <si>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</si>
  <si>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</si>
  <si>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</si>
  <si>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</si>
  <si>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</si>
  <si>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</si>
  <si>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</si>
  <si>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</si>
  <si>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Michael Simon, Matthew Mcneil</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</si>
  <si>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</si>
  <si>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</si>
  <si>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</si>
  <si>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</si>
  <si>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</si>
  <si>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</si>
  <si>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</si>
  <si>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</si>
  <si>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</si>
  <si>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Michael Steed</t>
  </si>
  <si>
    <t>s2835</t>
  </si>
  <si>
    <t>I am Jonas</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</si>
  <si>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</si>
  <si>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</si>
  <si>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Michael Steiner</t>
  </si>
  <si>
    <t>s2836</t>
  </si>
  <si>
    <t>Miles Davis: Birth of the Cool</t>
  </si>
  <si>
    <t>Miles Davis, Carl Lumbly</t>
  </si>
  <si>
    <t>Unpack the mythology of Miles Davis and learn the true story of a jazz legend with never-before-seen footage and celebrity interviews.</t>
  </si>
  <si>
    <t>Michael Thelin</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</si>
  <si>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</si>
  <si>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</si>
  <si>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</si>
  <si>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</si>
  <si>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</si>
  <si>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</si>
  <si>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</si>
  <si>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</si>
  <si>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Michael Tolajian</t>
  </si>
  <si>
    <t>s2839</t>
  </si>
  <si>
    <t>Ugly Delicious</t>
  </si>
  <si>
    <t>David Chang, Peter Meehan</t>
  </si>
  <si>
    <t>All the flavor. None of the BS. Star chef David Chang leads friends on a mouthwatering, cross-cultural hunt for the world's most satisfying grub.</t>
  </si>
  <si>
    <t>Michael Whitton</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</si>
  <si>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</si>
  <si>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</si>
  <si>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</si>
  <si>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</si>
  <si>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</si>
  <si>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Michael Winnick</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</si>
  <si>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</si>
  <si>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</si>
  <si>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</si>
  <si>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</si>
  <si>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</si>
  <si>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</si>
  <si>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</si>
  <si>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</si>
  <si>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</si>
  <si>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Michał Tylka</t>
  </si>
  <si>
    <t>s2843</t>
  </si>
  <si>
    <t>Tootsies &amp; The Fake</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</si>
  <si>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</si>
  <si>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</si>
  <si>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Michel Gondry</t>
  </si>
  <si>
    <t>s2844</t>
  </si>
  <si>
    <t>Aurora</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</si>
  <si>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</si>
  <si>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</si>
  <si>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</si>
  <si>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</si>
  <si>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</si>
  <si>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</si>
  <si>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</si>
  <si>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</si>
  <si>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</si>
  <si>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</si>
  <si>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Michel Tikhomiroff</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</si>
  <si>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</si>
  <si>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</si>
  <si>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</si>
  <si>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</si>
  <si>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</si>
  <si>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</si>
  <si>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</si>
  <si>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</si>
  <si>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</si>
  <si>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</si>
  <si>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</si>
  <si>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</si>
  <si>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</si>
  <si>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</si>
  <si>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</si>
  <si>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</si>
  <si>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</si>
  <si>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Michelle Johnston</t>
  </si>
  <si>
    <t>s2850</t>
  </si>
  <si>
    <t>Taylor Tomlinson: Quarter-Life Crisis</t>
  </si>
  <si>
    <t>Taylor Tomlinson</t>
  </si>
  <si>
    <t>She's halfway through her 20s — and she's over it. Too old to party, too young to settle down, comedian Taylor Tomlinson takes aim at her life choices.</t>
  </si>
  <si>
    <t>Michelle Maclaren</t>
  </si>
  <si>
    <t>s2851</t>
  </si>
  <si>
    <t>The Last Bomb of the Second World War</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</si>
  <si>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</si>
  <si>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</si>
  <si>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</si>
  <si>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</si>
  <si>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</si>
  <si>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</si>
  <si>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</si>
  <si>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Mick Grogan</t>
  </si>
  <si>
    <t>s2853</t>
  </si>
  <si>
    <t>W.E.</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</si>
  <si>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</si>
  <si>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</si>
  <si>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</si>
  <si>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</si>
  <si>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</si>
  <si>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</si>
  <si>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</si>
  <si>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</si>
  <si>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Mickey Liddell</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</si>
  <si>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</si>
  <si>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</si>
  <si>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</si>
  <si>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</si>
  <si>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</si>
  <si>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Midhun Manuel Thomas</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</si>
  <si>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</si>
  <si>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</si>
  <si>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</si>
  <si>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</si>
  <si>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</si>
  <si>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</si>
  <si>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</si>
  <si>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</si>
  <si>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</si>
  <si>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Miguel Ángel Lamata</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</si>
  <si>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</si>
  <si>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</si>
  <si>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</si>
  <si>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</si>
  <si>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Miguel Ángel Vivas</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</si>
  <si>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</si>
  <si>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</si>
  <si>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</si>
  <si>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</si>
  <si>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</si>
  <si>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</si>
  <si>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</si>
  <si>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</si>
  <si>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</si>
  <si>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</si>
  <si>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Miguel Cohan, Miguel Cohan</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</si>
  <si>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</si>
  <si>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</si>
  <si>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</si>
  <si>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</si>
  <si>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Miguel Conde</t>
  </si>
  <si>
    <t>s2862</t>
  </si>
  <si>
    <t>Ordinary World</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</si>
  <si>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</si>
  <si>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</si>
  <si>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Mijke De Jong</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</si>
  <si>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</si>
  <si>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</si>
  <si>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</si>
  <si>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</si>
  <si>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</si>
  <si>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</si>
  <si>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</si>
  <si>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</si>
  <si>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</si>
  <si>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</si>
  <si>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</si>
  <si>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</si>
  <si>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</si>
  <si>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</si>
  <si>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</si>
  <si>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</si>
  <si>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</si>
  <si>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</si>
  <si>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</si>
  <si>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</si>
  <si>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</si>
  <si>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</si>
  <si>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Mike Clattenburg</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</si>
  <si>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</si>
  <si>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</si>
  <si>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</si>
  <si>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</si>
  <si>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</si>
  <si>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Mike Disa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</si>
  <si>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</si>
  <si>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</si>
  <si>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</si>
  <si>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</si>
  <si>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Mike Diva, Akiva Schaffer</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</si>
  <si>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</si>
  <si>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</si>
  <si>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</si>
  <si>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</si>
  <si>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</si>
  <si>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</si>
  <si>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</si>
  <si>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</si>
  <si>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</si>
  <si>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</si>
  <si>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</si>
  <si>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</si>
  <si>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Mike Ezuruonye</t>
  </si>
  <si>
    <t>s2873</t>
  </si>
  <si>
    <t>Unstoppable</t>
  </si>
  <si>
    <t>Tessa Ia, Bárbara López, Lucía Uribe, Coty Camacho, Diego Calva Hernández, Tomás Ruiz</t>
  </si>
  <si>
    <t>A group of friends set out on a road trip when an unexpected fourth passenger forces an abrupt change of plans.</t>
  </si>
  <si>
    <t>Mike Fetterly, Steve Sacks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</si>
  <si>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</si>
  <si>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</si>
  <si>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</si>
  <si>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</si>
  <si>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</si>
  <si>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</si>
  <si>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</si>
  <si>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Mike Fleiss</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</si>
  <si>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</si>
  <si>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</si>
  <si>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</si>
  <si>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</si>
  <si>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</si>
  <si>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</si>
  <si>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</si>
  <si>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</si>
  <si>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</si>
  <si>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</si>
  <si>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</si>
  <si>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</si>
  <si>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</si>
  <si>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Mike Judge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</si>
  <si>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</si>
  <si>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</si>
  <si>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</si>
  <si>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</si>
  <si>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</si>
  <si>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</si>
  <si>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Mike Mccoy, Scott Waugh</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</si>
  <si>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</si>
  <si>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</si>
  <si>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</si>
  <si>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</si>
  <si>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Mike Mills</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</si>
  <si>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</si>
  <si>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</si>
  <si>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</si>
  <si>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</si>
  <si>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</si>
  <si>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Mike Newell</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</si>
  <si>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</si>
  <si>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</si>
  <si>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</si>
  <si>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</si>
  <si>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Mike Nicoll</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</si>
  <si>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</si>
  <si>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</si>
  <si>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</si>
  <si>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</si>
  <si>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</si>
  <si>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</si>
  <si>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</si>
  <si>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</si>
  <si>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</si>
  <si>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</si>
  <si>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</si>
  <si>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</si>
  <si>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Mike Rossiter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</si>
  <si>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</si>
  <si>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</si>
  <si>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</si>
  <si>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</si>
  <si>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Mike Smith, John Paul Tremblay, Robb Wells</t>
  </si>
  <si>
    <t>s2887</t>
  </si>
  <si>
    <t>Pete Davidson: Alive From New York</t>
  </si>
  <si>
    <t>Pete Davidson</t>
  </si>
  <si>
    <t>February 25, 2020</t>
  </si>
  <si>
    <t>Comedian and "SNL" star Pete Davidson drops a candid and intimate stand-up special shot live in New York City.</t>
  </si>
  <si>
    <t>Mike Wiluan</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</si>
  <si>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</si>
  <si>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</si>
  <si>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</si>
  <si>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</si>
  <si>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</si>
  <si>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</si>
  <si>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Mikhail Red</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</si>
  <si>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</si>
  <si>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</si>
  <si>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</si>
  <si>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</si>
  <si>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Mikhil Musale</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</si>
  <si>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</si>
  <si>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</si>
  <si>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</si>
  <si>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</si>
  <si>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</si>
  <si>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</si>
  <si>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Mikiko, Daito Manabe</t>
  </si>
  <si>
    <t>s2891</t>
  </si>
  <si>
    <t>Unabomber - In His Own Words</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</si>
  <si>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</si>
  <si>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</si>
  <si>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</si>
  <si>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</si>
  <si>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</si>
  <si>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</si>
  <si>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</si>
  <si>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Milind Dhaimade</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</si>
  <si>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</si>
  <si>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</si>
  <si>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</si>
  <si>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</si>
  <si>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Milind Rau</t>
  </si>
  <si>
    <t>s2894</t>
  </si>
  <si>
    <t>Passion. Panache. Pep</t>
  </si>
  <si>
    <t>From delicious delicacies to dream destinations, this collection features vibrant stories on cultural trends across food, fashion and travel in India.</t>
  </si>
  <si>
    <t>Milla Harrison-Hansley, Alicky Sussman</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</si>
  <si>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</si>
  <si>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</si>
  <si>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</si>
  <si>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</si>
  <si>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</si>
  <si>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</si>
  <si>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</si>
  <si>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</si>
  <si>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</si>
  <si>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</si>
  <si>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</si>
  <si>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</si>
  <si>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</si>
  <si>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Mimi Leder</t>
  </si>
  <si>
    <t>s2898</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</si>
  <si>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</si>
  <si>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</si>
  <si>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</si>
  <si>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Mina Shum</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</si>
  <si>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</si>
  <si>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</si>
  <si>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</si>
  <si>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</si>
  <si>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</si>
  <si>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Mir-Jean Bou Chaaya</t>
  </si>
  <si>
    <t>s2900</t>
  </si>
  <si>
    <t>Pretville</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</si>
  <si>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</si>
  <si>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</si>
  <si>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</si>
  <si>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Miranda De Pencier</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</si>
  <si>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</si>
  <si>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</si>
  <si>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</si>
  <si>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</si>
  <si>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Miriam Chandy Menacherry</t>
  </si>
  <si>
    <t>s2902</t>
  </si>
  <si>
    <t>Untamed Romania</t>
  </si>
  <si>
    <t>Tom Barton-Humphreys</t>
  </si>
  <si>
    <t>Romania, United Kingdom</t>
  </si>
  <si>
    <t>This documentary explores how the legendary creatures of Romania's vast wilderness roam free yet endure the ever-changing seasons.</t>
  </si>
  <si>
    <t>Mitch Dickman</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</si>
  <si>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</si>
  <si>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</si>
  <si>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</si>
  <si>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</si>
  <si>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</si>
  <si>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Mitch Gould</t>
  </si>
  <si>
    <t>s2904</t>
  </si>
  <si>
    <t>By the Sea</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</si>
  <si>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</si>
  <si>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</si>
  <si>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</si>
  <si>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</si>
  <si>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Mitch Schauer</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</si>
  <si>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</si>
  <si>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</si>
  <si>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</si>
  <si>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</si>
  <si>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</si>
  <si>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Mitzi Vanessa Arreola, Amir Galvan Cervera</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</si>
  <si>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</si>
  <si>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</si>
  <si>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</si>
  <si>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</si>
  <si>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</si>
  <si>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Moataz El Tony</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</si>
  <si>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</si>
  <si>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</si>
  <si>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</si>
  <si>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</si>
  <si>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</si>
  <si>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</si>
  <si>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</si>
  <si>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</si>
  <si>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</si>
  <si>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Mohamed Hamdy</t>
  </si>
  <si>
    <t>s2909</t>
  </si>
  <si>
    <t>The Forest</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</si>
  <si>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</si>
  <si>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</si>
  <si>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</si>
  <si>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</si>
  <si>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</si>
  <si>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</si>
  <si>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</si>
  <si>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Mohamed Samy</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</si>
  <si>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</si>
  <si>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</si>
  <si>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</si>
  <si>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</si>
  <si>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</si>
  <si>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</si>
  <si>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</si>
  <si>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</si>
  <si>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</si>
  <si>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</si>
  <si>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</si>
  <si>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</si>
  <si>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</si>
  <si>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</si>
  <si>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</si>
  <si>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</si>
  <si>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</si>
  <si>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</si>
  <si>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</si>
  <si>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</si>
  <si>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</si>
  <si>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</si>
  <si>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</si>
  <si>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</si>
  <si>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</si>
  <si>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</si>
  <si>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Mohammed El-Tahawy, Mohamed Mostafa</t>
  </si>
  <si>
    <t>s2916</t>
  </si>
  <si>
    <t>Liefling</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</si>
  <si>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</si>
  <si>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</si>
  <si>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Mohammed Hussain</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</si>
  <si>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</si>
  <si>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</si>
  <si>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</si>
  <si>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</si>
  <si>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Mohd Khairul Azri Bin Md Noor</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</si>
  <si>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</si>
  <si>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</si>
  <si>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</si>
  <si>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</si>
  <si>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</si>
  <si>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</si>
  <si>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</si>
  <si>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</si>
  <si>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Mohsin Ali</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</si>
  <si>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</si>
  <si>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</si>
  <si>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</si>
  <si>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</si>
  <si>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</si>
  <si>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</si>
  <si>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</si>
  <si>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</si>
  <si>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</si>
  <si>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</si>
  <si>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</si>
  <si>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</si>
  <si>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</si>
  <si>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</si>
  <si>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</si>
  <si>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</si>
  <si>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</si>
  <si>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</si>
  <si>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Monika Mitchell</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</si>
  <si>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</si>
  <si>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</si>
  <si>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</si>
  <si>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</si>
  <si>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</si>
  <si>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Monique Gardenberg</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</si>
  <si>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</si>
  <si>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</si>
  <si>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</si>
  <si>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</si>
  <si>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</si>
  <si>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</si>
  <si>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</si>
  <si>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</si>
  <si>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</si>
  <si>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</si>
  <si>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</si>
  <si>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</si>
  <si>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</si>
  <si>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</si>
  <si>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Morgan Matthews</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</si>
  <si>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</si>
  <si>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</si>
  <si>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</si>
  <si>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</si>
  <si>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</si>
  <si>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Morgan Neville</t>
  </si>
  <si>
    <t>s2929</t>
  </si>
  <si>
    <t>Good Time</t>
  </si>
  <si>
    <t>Robert Pattinson, Benny Safdie, Jennifer Jason Leigh, Barkhad Abdi, Buddy Duress, Peter Verby, Taliah Webster, Necro</t>
  </si>
  <si>
    <t>After spearheading an ill-fated bank robbery, a man must get his mentally challenged younger brother out of jail while eluding his own capture.</t>
  </si>
  <si>
    <t>Morgan Spurlock</t>
  </si>
  <si>
    <t>s2930</t>
  </si>
  <si>
    <t>ROAD TO ROMA</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</si>
  <si>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</si>
  <si>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</si>
  <si>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</si>
  <si>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</si>
  <si>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</si>
  <si>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</si>
  <si>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</si>
  <si>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</si>
  <si>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</si>
  <si>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</si>
  <si>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</si>
  <si>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</si>
  <si>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</si>
  <si>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</si>
  <si>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</si>
  <si>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Moto Sakakibara</t>
  </si>
  <si>
    <t>s2934</t>
  </si>
  <si>
    <t>Polaroid</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</si>
  <si>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</si>
  <si>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</si>
  <si>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</si>
  <si>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Moyoung Jin, Caroline Sá, Deepti Kakkar, Fahad Mustafa, Hikaru Toda, Chico Pereira, Elaine Mcmillion Sheldon</t>
  </si>
  <si>
    <t>s2935</t>
  </si>
  <si>
    <t>The Coldest Game</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</si>
  <si>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</si>
  <si>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</si>
  <si>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</si>
  <si>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Mozez Singh</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</si>
  <si>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</si>
  <si>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</si>
  <si>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</si>
  <si>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</si>
  <si>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</si>
  <si>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Mrighdeep Singh Lamba</t>
  </si>
  <si>
    <t>s2937</t>
  </si>
  <si>
    <t>Azali</t>
  </si>
  <si>
    <t>Ama K. Abebrese, Asana Alhassan, Adjetey Anang, Akofa Edjeani Asiedu, Emmanuel Nii Adom Quaye, Peter Ritchie</t>
  </si>
  <si>
    <t>February 7, 2020</t>
  </si>
  <si>
    <t>Sent away to evade an arranged marriage, a 14-year-old begins a harrowing journey of sex work and poverty in the slums of Accra.</t>
  </si>
  <si>
    <t>Mu Chu</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</si>
  <si>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</si>
  <si>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</si>
  <si>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</si>
  <si>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</si>
  <si>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</si>
  <si>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</si>
  <si>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</si>
  <si>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</si>
  <si>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Muh Chen</t>
  </si>
  <si>
    <t>s2940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</si>
  <si>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</si>
  <si>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</si>
  <si>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</si>
  <si>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</si>
  <si>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</si>
  <si>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</si>
  <si>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</si>
  <si>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</si>
  <si>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</si>
  <si>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</si>
  <si>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</si>
  <si>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</si>
  <si>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</si>
  <si>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</si>
  <si>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</si>
  <si>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</si>
  <si>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</si>
  <si>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Bill Pullman, Kathy Baker, Jim Caviezel, Joseph Anderson, Diego Josef, Tommy Flanagan, Peter Fonda</t>
  </si>
  <si>
    <t>After his longtime partner is assassinated, a slow-footed cowboy sets out to find his killer and uncovers a conspiracy engineered by some powerful men.</t>
  </si>
  <si>
    <t>Mukesh Vohra</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</si>
  <si>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</si>
  <si>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</si>
  <si>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</si>
  <si>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</si>
  <si>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</si>
  <si>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</si>
  <si>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</si>
  <si>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</si>
  <si>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Munish Bhardwaj</t>
  </si>
  <si>
    <t>s2947</t>
  </si>
  <si>
    <t>Gardeners of Eden</t>
  </si>
  <si>
    <t>Kristin Davis, Daphne Sheldrick, Nick Trent, Julious Shivenga, Benjamin Kyalo</t>
  </si>
  <si>
    <t>Kenya, United States</t>
  </si>
  <si>
    <t>As corrupt governments fail to stop the slaughter of elephants for ivory, an 80-year-old woman and a crew of rangers bravely try to end the poaching.</t>
  </si>
  <si>
    <t>Munjal Shroff, Tilak Shetty</t>
  </si>
  <si>
    <t>s2948</t>
  </si>
  <si>
    <t>Arrow</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</si>
  <si>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</si>
  <si>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</si>
  <si>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</si>
  <si>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</si>
  <si>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</si>
  <si>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</si>
  <si>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</si>
  <si>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</si>
  <si>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</si>
  <si>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</si>
  <si>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</si>
  <si>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</si>
  <si>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</si>
  <si>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</si>
  <si>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</si>
  <si>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</si>
  <si>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</si>
  <si>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Myles Kane, Josh Koury</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</si>
  <si>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</si>
  <si>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</si>
  <si>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</si>
  <si>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</si>
  <si>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</si>
  <si>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</si>
  <si>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Myriam Aziza</t>
  </si>
  <si>
    <t>s2953</t>
  </si>
  <si>
    <t>Tom Papa: You're Doing Great!</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</si>
  <si>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</si>
  <si>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</si>
  <si>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</si>
  <si>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</si>
  <si>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</si>
  <si>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</si>
  <si>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</si>
  <si>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</si>
  <si>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</si>
  <si>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</si>
  <si>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</si>
  <si>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N. Chandra</t>
  </si>
  <si>
    <t>s2956</t>
  </si>
  <si>
    <t>The Silent War</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</si>
  <si>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</si>
  <si>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</si>
  <si>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N. Linguswamy</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</si>
  <si>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</si>
  <si>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</si>
  <si>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</si>
  <si>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</si>
  <si>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</si>
  <si>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</si>
  <si>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N.D. Wilson</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</si>
  <si>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</si>
  <si>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</si>
  <si>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</si>
  <si>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</si>
  <si>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</si>
  <si>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Na Hyeon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</si>
  <si>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</si>
  <si>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</si>
  <si>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</si>
  <si>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</si>
  <si>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Nabil Ayouch</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</si>
  <si>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</si>
  <si>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</si>
  <si>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</si>
  <si>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</si>
  <si>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Nacho G. Velilla</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</si>
  <si>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</si>
  <si>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</si>
  <si>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</si>
  <si>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</si>
  <si>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</si>
  <si>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</si>
  <si>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</si>
  <si>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</si>
  <si>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</si>
  <si>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</si>
  <si>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</si>
  <si>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</si>
  <si>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</si>
  <si>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</si>
  <si>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</si>
  <si>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</si>
  <si>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</si>
  <si>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</si>
  <si>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</si>
  <si>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</si>
  <si>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</si>
  <si>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Nagraj Manjule</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</si>
  <si>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</si>
  <si>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</si>
  <si>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</si>
  <si>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</si>
  <si>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</si>
  <si>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</si>
  <si>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</si>
  <si>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</si>
  <si>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Nakul Singh Sawhney</t>
  </si>
  <si>
    <t>s2967</t>
  </si>
  <si>
    <t>Pop Team Epic</t>
  </si>
  <si>
    <t>This animated adaptation of the quirky four-panel comic brings the random exploits of Popuko and Pipimi to life.</t>
  </si>
  <si>
    <t>Nam Ron</t>
  </si>
  <si>
    <t>s2968</t>
  </si>
  <si>
    <t>Shopkins</t>
  </si>
  <si>
    <t>Kate Murphy</t>
  </si>
  <si>
    <t>Tiny grocery store items come to life as the Shopkins, who have fun adventures with each other at Small Mart and the magical town called Shopville.</t>
  </si>
  <si>
    <t>s2969</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</si>
  <si>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</si>
  <si>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</si>
  <si>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</si>
  <si>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Nana Ekvtimishvili, Simon Gross</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</si>
  <si>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</si>
  <si>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</si>
  <si>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</si>
  <si>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</si>
  <si>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</si>
  <si>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Nancy Meyers</t>
  </si>
  <si>
    <t>s2971</t>
  </si>
  <si>
    <t>37 Seconds</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</si>
  <si>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</si>
  <si>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</si>
  <si>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</si>
  <si>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Nancy Schwartzman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</si>
  <si>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</si>
  <si>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</si>
  <si>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</si>
  <si>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</si>
  <si>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Nandita Das</t>
  </si>
  <si>
    <t>s2973</t>
  </si>
  <si>
    <t>Gang of the Caribbean</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</si>
  <si>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</si>
  <si>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</si>
  <si>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Nanette Burstein</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</si>
  <si>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</si>
  <si>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</si>
  <si>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</si>
  <si>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</si>
  <si>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Naoko Yamada</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</si>
  <si>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</si>
  <si>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</si>
  <si>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</si>
  <si>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</si>
  <si>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Naoto Amazutsumi</t>
  </si>
  <si>
    <t>s2976</t>
  </si>
  <si>
    <t>Miss Americana</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</si>
  <si>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</si>
  <si>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</si>
  <si>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</si>
  <si>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</si>
  <si>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</si>
  <si>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</si>
  <si>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</si>
  <si>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</si>
  <si>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</si>
  <si>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</si>
  <si>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</si>
  <si>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</si>
  <si>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</si>
  <si>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</si>
  <si>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</si>
  <si>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Natalia Garagiola</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</si>
  <si>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</si>
  <si>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</si>
  <si>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</si>
  <si>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</si>
  <si>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Natalia Valdebenito</t>
  </si>
  <si>
    <t>s2981</t>
  </si>
  <si>
    <t>What the Love! with Karan Johar</t>
  </si>
  <si>
    <t>With help from celebrity guests and a glam squad, filmmaker Karan Johar mentors six singletons through their personal struggles as they look for love.</t>
  </si>
  <si>
    <t>Natalie Portman</t>
  </si>
  <si>
    <t>s2982</t>
  </si>
  <si>
    <t>Close Enemies</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</si>
  <si>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</si>
  <si>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</si>
  <si>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</si>
  <si>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</si>
  <si>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</si>
  <si>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</si>
  <si>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</si>
  <si>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</si>
  <si>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</si>
  <si>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Nathan Landeg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</si>
  <si>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</si>
  <si>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</si>
  <si>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</si>
  <si>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</si>
  <si>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Nathan Morlando</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</si>
  <si>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</si>
  <si>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</si>
  <si>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</si>
  <si>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</si>
  <si>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</si>
  <si>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</si>
  <si>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</si>
  <si>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</si>
  <si>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</si>
  <si>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</si>
  <si>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</si>
  <si>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Nathaniel Warsh</t>
  </si>
  <si>
    <t>s2988</t>
  </si>
  <si>
    <t>Vir Das: For India</t>
  </si>
  <si>
    <t>Vir Das, Ajay Bhuyan</t>
  </si>
  <si>
    <t>From the Vedas to Vasco da Gama to vacuous Bollywood plotlines, comedian Vir Das celebrates the history of India with his one-of-a-kind perspective.</t>
  </si>
  <si>
    <t>Nattawut Poonpiriya</t>
  </si>
  <si>
    <t>s2989</t>
  </si>
  <si>
    <t>Menashe</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</si>
  <si>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</si>
  <si>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</si>
  <si>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</si>
  <si>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Navaniat Singh</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</si>
  <si>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</si>
  <si>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</si>
  <si>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</si>
  <si>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</si>
  <si>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</si>
  <si>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</si>
  <si>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</si>
  <si>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</si>
  <si>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</si>
  <si>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</si>
  <si>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Navinder Pal Singh</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</si>
  <si>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</si>
  <si>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</si>
  <si>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</si>
  <si>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</si>
  <si>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</si>
  <si>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</si>
  <si>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</si>
  <si>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</si>
  <si>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Navneet Behal</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</si>
  <si>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</si>
  <si>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</si>
  <si>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</si>
  <si>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</si>
  <si>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</si>
  <si>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</si>
  <si>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</si>
  <si>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</si>
  <si>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</si>
  <si>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</si>
  <si>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</si>
  <si>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</si>
  <si>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</si>
  <si>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</si>
  <si>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</si>
  <si>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</si>
  <si>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</si>
  <si>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Neal Brennan</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</si>
  <si>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</si>
  <si>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</si>
  <si>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</si>
  <si>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</si>
  <si>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</si>
  <si>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</si>
  <si>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</si>
  <si>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</si>
  <si>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</si>
  <si>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</si>
  <si>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</si>
  <si>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</si>
  <si>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</si>
  <si>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</si>
  <si>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</si>
  <si>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</si>
  <si>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</si>
  <si>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</si>
  <si>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Neil Armfield</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</si>
  <si>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</si>
  <si>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</si>
  <si>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</si>
  <si>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</si>
  <si>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Neil Jordan</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</si>
  <si>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</si>
  <si>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</si>
  <si>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</si>
  <si>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</si>
  <si>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</si>
  <si>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</si>
  <si>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Neil Labute</t>
  </si>
  <si>
    <t>s3004</t>
  </si>
  <si>
    <t>Fortune Feimster: Sweet &amp; Salty</t>
  </si>
  <si>
    <t>Fortune Feimster</t>
  </si>
  <si>
    <t>January 21, 2020</t>
  </si>
  <si>
    <t>Actor, comedian and writer Fortune Feimster takes the stage and riffs on her southern roots, sexual awakenings, showbiz career and more.</t>
  </si>
  <si>
    <t>Neil Rawles</t>
  </si>
  <si>
    <t>s3005</t>
  </si>
  <si>
    <t>KD (A) Karuppudurai</t>
  </si>
  <si>
    <t>Mu Ramaswamy, Naga Vishal, Yog Japee, Ganesan Kaliamoorthy, Guna Babu</t>
  </si>
  <si>
    <t>As his children plot his death to claim their inheritance, an aging patriarch leaves home, befriending a spunky boy who adds direction to his life.</t>
  </si>
  <si>
    <t>Neil Triffett</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</si>
  <si>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</si>
  <si>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</si>
  <si>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</si>
  <si>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</si>
  <si>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</si>
  <si>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</si>
  <si>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</si>
  <si>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</si>
  <si>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</si>
  <si>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Nelson Mccormick</t>
  </si>
  <si>
    <t>s3008</t>
  </si>
  <si>
    <t>WHAT DID JACK DO?</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</si>
  <si>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</si>
  <si>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</si>
  <si>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</si>
  <si>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</si>
  <si>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</si>
  <si>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</si>
  <si>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</si>
  <si>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Neslihan Yesilyurt</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</si>
  <si>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</si>
  <si>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</si>
  <si>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</si>
  <si>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</si>
  <si>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</si>
  <si>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</si>
  <si>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Néstor Sánchez Sotelo</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</si>
  <si>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</si>
  <si>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</si>
  <si>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</si>
  <si>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</si>
  <si>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</si>
  <si>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</si>
  <si>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</si>
  <si>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</si>
  <si>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</si>
  <si>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</si>
  <si>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</si>
  <si>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</si>
  <si>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Nia Dinata</t>
  </si>
  <si>
    <t>s3014</t>
  </si>
  <si>
    <t>Tiny House Nation</t>
  </si>
  <si>
    <t>Traveling the U.S., host John Weisbarth and expert Zack Giffin are helping families prep for the tiny lifestyle and create hypercustomized mini homes.</t>
  </si>
  <si>
    <t>s3015</t>
  </si>
  <si>
    <t>Deadcon</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</si>
  <si>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</si>
  <si>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</si>
  <si>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</si>
  <si>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</si>
  <si>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</si>
  <si>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</si>
  <si>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</si>
  <si>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Nic Mathieu</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</si>
  <si>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</si>
  <si>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</si>
  <si>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</si>
  <si>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</si>
  <si>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</si>
  <si>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</si>
  <si>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Nicanor Loreti</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</si>
  <si>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</si>
  <si>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</si>
  <si>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</si>
  <si>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</si>
  <si>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</si>
  <si>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Nicholas Hytner</t>
  </si>
  <si>
    <t>s3019</t>
  </si>
  <si>
    <t>Legend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</si>
  <si>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</si>
  <si>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</si>
  <si>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</si>
  <si>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</si>
  <si>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</si>
  <si>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</si>
  <si>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</si>
  <si>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</si>
  <si>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Nicholas Ray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</si>
  <si>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</si>
  <si>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</si>
  <si>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</si>
  <si>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</si>
  <si>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Nicholas Stoller</t>
  </si>
  <si>
    <t>s3022</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</si>
  <si>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</si>
  <si>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</si>
  <si>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</si>
  <si>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Nicholas Winter</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</si>
  <si>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</si>
  <si>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</si>
  <si>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</si>
  <si>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</si>
  <si>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</si>
  <si>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</si>
  <si>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Nicholas Zeig-Owens</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</si>
  <si>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</si>
  <si>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</si>
  <si>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</si>
  <si>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</si>
  <si>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</si>
  <si>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</si>
  <si>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Nicholaus Goossen</t>
  </si>
  <si>
    <t>s3025</t>
  </si>
  <si>
    <t>Killer Inside: The Mind of Aaron Hernandez</t>
  </si>
  <si>
    <t>Aaron Hernandez</t>
  </si>
  <si>
    <t>Via interviews with friends, players and insiders, this docuseries examines how Aaron Hernandez went from an NFL star to a convicted killer.</t>
  </si>
  <si>
    <t>Nick Broomfield</t>
  </si>
  <si>
    <t>s3026</t>
  </si>
  <si>
    <t>MindGamers</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</si>
  <si>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</si>
  <si>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</si>
  <si>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Nick Cassavetes</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</si>
  <si>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</si>
  <si>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</si>
  <si>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</si>
  <si>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</si>
  <si>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</si>
  <si>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</si>
  <si>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</si>
  <si>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</si>
  <si>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Leslie Jones</t>
  </si>
  <si>
    <t>January 14, 2020</t>
  </si>
  <si>
    <t>From trying to seduce Prince to battling sleep apnea, Leslie Jones traces her evolution as an adult in a joyfully raw and outrageous stand-up special.</t>
  </si>
  <si>
    <t>Nick Davis</t>
  </si>
  <si>
    <t>s3029</t>
  </si>
  <si>
    <t>The Ollie &amp; Moon Show</t>
  </si>
  <si>
    <t>Mattea Conforti, Kobi Frumer</t>
  </si>
  <si>
    <t>Two quirky cats, Ollie and Moon, and their friend Stanley the snail travel the world, solving everyday problems and learning about different cultures.</t>
  </si>
  <si>
    <t>Nick Gomez</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</si>
  <si>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</si>
  <si>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</si>
  <si>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</si>
  <si>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</si>
  <si>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Nick Mead</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</si>
  <si>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</si>
  <si>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</si>
  <si>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</si>
  <si>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</si>
  <si>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</si>
  <si>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</si>
  <si>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</si>
  <si>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</si>
  <si>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</si>
  <si>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</si>
  <si>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</si>
  <si>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</si>
  <si>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</si>
  <si>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</si>
  <si>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</si>
  <si>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</si>
  <si>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Nick Simon</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</si>
  <si>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</si>
  <si>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</si>
  <si>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</si>
  <si>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</si>
  <si>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</si>
  <si>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</si>
  <si>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</si>
  <si>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</si>
  <si>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</si>
  <si>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Nicolas Brossette</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</si>
  <si>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</si>
  <si>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</si>
  <si>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</si>
  <si>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</si>
  <si>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Nicolás López</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</si>
  <si>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</si>
  <si>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</si>
  <si>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</si>
  <si>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</si>
  <si>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</si>
  <si>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</si>
  <si>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</si>
  <si>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</si>
  <si>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Nicolas Winding Refn</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</si>
  <si>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</si>
  <si>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</si>
  <si>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</si>
  <si>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</si>
  <si>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</si>
  <si>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</si>
  <si>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</si>
  <si>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</si>
  <si>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</si>
  <si>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Nicole Holofcener</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</si>
  <si>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</si>
  <si>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</si>
  <si>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</si>
  <si>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</si>
  <si>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</si>
  <si>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Nidhi Sharma</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</si>
  <si>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</si>
  <si>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</si>
  <si>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</si>
  <si>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</si>
  <si>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</si>
  <si>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</si>
  <si>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</si>
  <si>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</si>
  <si>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</si>
  <si>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</si>
  <si>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Nikhil Advani</t>
  </si>
  <si>
    <t>s3044</t>
  </si>
  <si>
    <t>A Ghost Story</t>
  </si>
  <si>
    <t>Casey Affleck, Rooney Mara, Liz Franke, Rob Zabrecky, Will Oldham, Sonia Acevedo</t>
  </si>
  <si>
    <t>January 7, 2020</t>
  </si>
  <si>
    <t>Following a fatal car crash, a man's spirit remains stuck in the home he shared with his wife as doors into the past and future begin to open.</t>
  </si>
  <si>
    <t>Nikhil Nagesh Bhat</t>
  </si>
  <si>
    <t>s3045</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</si>
  <si>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</si>
  <si>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</si>
  <si>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</si>
  <si>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</si>
  <si>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</si>
  <si>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</si>
  <si>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</si>
  <si>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</si>
  <si>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</si>
  <si>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</si>
  <si>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</si>
  <si>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</si>
  <si>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</si>
  <si>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</si>
  <si>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</si>
  <si>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</si>
  <si>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</si>
  <si>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</si>
  <si>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Nila Madhab Panda</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</si>
  <si>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</si>
  <si>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</si>
  <si>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</si>
  <si>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</si>
  <si>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</si>
  <si>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Nils Tavernier</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</si>
  <si>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</si>
  <si>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</si>
  <si>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</si>
  <si>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</si>
  <si>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</si>
  <si>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</si>
  <si>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</si>
  <si>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</si>
  <si>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</si>
  <si>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</si>
  <si>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</si>
  <si>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</si>
  <si>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</si>
  <si>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</si>
  <si>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Nirpal Bhogal</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</si>
  <si>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</si>
  <si>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</si>
  <si>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</si>
  <si>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</si>
  <si>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Nishanth Ravindaran, Jathin Sanker Raj</t>
  </si>
  <si>
    <t>s3054</t>
  </si>
  <si>
    <t>Border Security: America's Front Line</t>
  </si>
  <si>
    <t>Crime TV Shows, International TV Shows, Reality TV</t>
  </si>
  <si>
    <t>This reality series chronicles the behind-the-scenes action as U.S. Customs and Border Protection agents safeguard the nation's crossings and ports.</t>
  </si>
  <si>
    <t>Nisheeta Keni</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</si>
  <si>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</si>
  <si>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</si>
  <si>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</si>
  <si>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</si>
  <si>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</si>
  <si>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</si>
  <si>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</si>
  <si>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</si>
  <si>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</si>
  <si>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</si>
  <si>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Nishil Sheth</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</si>
  <si>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</si>
  <si>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</si>
  <si>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</si>
  <si>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</si>
  <si>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Nitesh Tiwari</t>
  </si>
  <si>
    <t>s3058</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</si>
  <si>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</si>
  <si>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</si>
  <si>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</si>
  <si>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</si>
  <si>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</si>
  <si>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</si>
  <si>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</si>
  <si>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Nizar Shafi</t>
  </si>
  <si>
    <t>s3060</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</si>
  <si>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</si>
  <si>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</si>
  <si>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</si>
  <si>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Noah Baumbach</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</si>
  <si>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</si>
  <si>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</si>
  <si>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</si>
  <si>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</si>
  <si>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Noah Baumbach, Jake Paltrow</t>
  </si>
  <si>
    <t>s3062</t>
  </si>
  <si>
    <t>Jeff Dunham: Unhinged in Hollywood</t>
  </si>
  <si>
    <t>Jeff Dunham</t>
  </si>
  <si>
    <t>Unfiltered ventriloquist Jeff Dunham brings his ragtag crew of puppet pals to Hollywood for big laughs about celebrity culture and California living.</t>
  </si>
  <si>
    <t>Noah Moskin</t>
  </si>
  <si>
    <t>s3063</t>
  </si>
  <si>
    <t>Jimmy Neutron: Boy Genius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</si>
  <si>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</si>
  <si>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</si>
  <si>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</si>
  <si>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Noam Murro</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</si>
  <si>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</si>
  <si>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</si>
  <si>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</si>
  <si>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</si>
  <si>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</si>
  <si>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</si>
  <si>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</si>
  <si>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</si>
  <si>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Noel Dockstader, Quinn Kanaly</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</si>
  <si>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</si>
  <si>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</si>
  <si>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</si>
  <si>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</si>
  <si>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Noël Wells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</si>
  <si>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</si>
  <si>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</si>
  <si>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</si>
  <si>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</si>
  <si>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</si>
  <si>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Nonzee Nimibutr</t>
  </si>
  <si>
    <t>s3068</t>
  </si>
  <si>
    <t>Nisman: The Prosecutor, the President, and the Spy</t>
  </si>
  <si>
    <t>Spain, Germany, Denmark, United States</t>
  </si>
  <si>
    <t>This docuseries details the suspicious death of Alberto Nisman, investigator of the 1994 bombing of the Argentine Israelite Mutual Association building.</t>
  </si>
  <si>
    <t>Noor Imran Mithu</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</si>
  <si>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</si>
  <si>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</si>
  <si>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</si>
  <si>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</si>
  <si>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</si>
  <si>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</si>
  <si>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</si>
  <si>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</si>
  <si>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</si>
  <si>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Nora Ephron</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</si>
  <si>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</si>
  <si>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</si>
  <si>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</si>
  <si>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</si>
  <si>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</si>
  <si>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</si>
  <si>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</si>
  <si>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</si>
  <si>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Nora Twomey</t>
  </si>
  <si>
    <t>s3073</t>
  </si>
  <si>
    <t>Riot</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</si>
  <si>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</si>
  <si>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</si>
  <si>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Norberto López Amado</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</si>
  <si>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</si>
  <si>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</si>
  <si>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</si>
  <si>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</si>
  <si>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</si>
  <si>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</si>
  <si>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</si>
  <si>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</si>
  <si>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</si>
  <si>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Noriyuki Abe</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</si>
  <si>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</si>
  <si>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</si>
  <si>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</si>
  <si>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</si>
  <si>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</si>
  <si>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</si>
  <si>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</si>
  <si>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</si>
  <si>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Norman Jewison</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</si>
  <si>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</si>
  <si>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</si>
  <si>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</si>
  <si>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</si>
  <si>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</si>
  <si>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</si>
  <si>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Note Chern-Yim</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</si>
  <si>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</si>
  <si>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</si>
  <si>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</si>
  <si>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</si>
  <si>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</si>
  <si>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Nottapon Boonprakob</t>
  </si>
  <si>
    <t>s3080</t>
  </si>
  <si>
    <t>ARASHI's Diary -Voyage-</t>
  </si>
  <si>
    <t>Arashi</t>
  </si>
  <si>
    <t>Twenty years after their debut, join the beloved members of Arashi on a new journey as they showcase their lives, talents and gifts to the world.</t>
  </si>
  <si>
    <t>Noushad</t>
  </si>
  <si>
    <t>s3081</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</si>
  <si>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</si>
  <si>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</si>
  <si>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</si>
  <si>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</si>
  <si>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</si>
  <si>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</si>
  <si>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</si>
  <si>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Nuel Naval</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</si>
  <si>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</si>
  <si>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</si>
  <si>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</si>
  <si>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</si>
  <si>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</si>
  <si>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Nuhash Humayun, Syed Ahmed Shawki, Rahat Rahman, Robiul Alam Robi, Golam Kibria Farooki, Mir Mukarram Hossain, Tanvir Ahsan, Mahmudul Islam, Abdullah Al Noor, Krishnendu Chattopadhyay, Syed Saleh Ahmed Sobhan</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</si>
  <si>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</si>
  <si>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</si>
  <si>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</si>
  <si>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</si>
  <si>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</si>
  <si>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</si>
  <si>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</si>
  <si>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</si>
  <si>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</si>
  <si>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Nzingha Stewart</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</si>
  <si>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</si>
  <si>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</si>
  <si>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</si>
  <si>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</si>
  <si>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</si>
  <si>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</si>
  <si>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</si>
  <si>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</si>
  <si>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</si>
  <si>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</si>
  <si>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</si>
  <si>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</si>
  <si>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Oded Raz</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</si>
  <si>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</si>
  <si>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</si>
  <si>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</si>
  <si>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</si>
  <si>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</si>
  <si>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Odunlade Adekola</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</si>
  <si>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</si>
  <si>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</si>
  <si>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</si>
  <si>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</si>
  <si>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</si>
  <si>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</si>
  <si>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Ofir Raul Graizer</t>
  </si>
  <si>
    <t>s3091</t>
  </si>
  <si>
    <t>Blitz Patrollie</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</si>
  <si>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</si>
  <si>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</si>
  <si>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</si>
  <si>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</si>
  <si>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</si>
  <si>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José Mujica, Emir Kusturica</t>
  </si>
  <si>
    <t>Argentina, Uruguay, Serbia</t>
  </si>
  <si>
    <t>In this intimate documentary, former Uruguayan President José "Pepe" Mujica talks about lessons he learned while in prison, his ideals and the future.</t>
  </si>
  <si>
    <t>Ola Flyum, David Hebditch</t>
  </si>
  <si>
    <t>s3093</t>
  </si>
  <si>
    <t>Kevin Hart: Don’t F**k This Up</t>
  </si>
  <si>
    <t>Amid turmoil in his career and marriage, comedian and film star Kevin Hart opens up about his personal breakthroughs as he navigates crises and fame.</t>
  </si>
  <si>
    <t>Olaf De Fleur</t>
  </si>
  <si>
    <t>s3094</t>
  </si>
  <si>
    <t>The Vendor</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</si>
  <si>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</si>
  <si>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</si>
  <si>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Ole Bornedal</t>
  </si>
  <si>
    <t>s3095</t>
  </si>
  <si>
    <t>The App</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</si>
  <si>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</si>
  <si>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</si>
  <si>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</si>
  <si>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</si>
  <si>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</si>
  <si>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</si>
  <si>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</si>
  <si>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Oliver Blackburn</t>
  </si>
  <si>
    <t>s3097</t>
  </si>
  <si>
    <t>You</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</si>
  <si>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</si>
  <si>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</si>
  <si>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</si>
  <si>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</si>
  <si>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</si>
  <si>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</si>
  <si>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</si>
  <si>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</si>
  <si>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Oliver Daly</t>
  </si>
  <si>
    <t>s3099</t>
  </si>
  <si>
    <t>Fireworks</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</si>
  <si>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</si>
  <si>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</si>
  <si>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</si>
  <si>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Oliver Frampton</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</si>
  <si>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</si>
  <si>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</si>
  <si>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</si>
  <si>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</si>
  <si>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</si>
  <si>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</si>
  <si>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</si>
  <si>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</si>
  <si>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</si>
  <si>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Oliver Schmitz</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</si>
  <si>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</si>
  <si>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</si>
  <si>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</si>
  <si>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</si>
  <si>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</si>
  <si>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</si>
  <si>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</si>
  <si>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</si>
  <si>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</si>
  <si>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</si>
  <si>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</si>
  <si>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Oliver Twinch</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</si>
  <si>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</si>
  <si>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</si>
  <si>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</si>
  <si>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</si>
  <si>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</si>
  <si>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Olivia M. Lamasan</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</si>
  <si>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</si>
  <si>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</si>
  <si>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</si>
  <si>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</si>
  <si>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</si>
  <si>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Olivia Milch</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</si>
  <si>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</si>
  <si>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</si>
  <si>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</si>
  <si>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</si>
  <si>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</si>
  <si>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Olivia Newman</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</si>
  <si>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</si>
  <si>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</si>
  <si>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</si>
  <si>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</si>
  <si>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</si>
  <si>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</si>
  <si>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</si>
  <si>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</si>
  <si>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</si>
  <si>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Olivier Afonso</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</si>
  <si>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</si>
  <si>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</si>
  <si>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</si>
  <si>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</si>
  <si>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</si>
  <si>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</si>
  <si>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</si>
  <si>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</si>
  <si>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</si>
  <si>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Olivier Jean-Marie</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</si>
  <si>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</si>
  <si>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</si>
  <si>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</si>
  <si>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</si>
  <si>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</si>
  <si>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Olivier Loustau</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</si>
  <si>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</si>
  <si>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</si>
  <si>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</si>
  <si>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</si>
  <si>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</si>
  <si>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</si>
  <si>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</si>
  <si>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</si>
  <si>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</si>
  <si>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</si>
  <si>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</si>
  <si>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</si>
  <si>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 Adunni Ade, Bisola Aiyeola, Frank Donga</t>
  </si>
  <si>
    <t>Playing multiple characters, from lawyer to preacher, Nigerian artist Falz combines cinema with a concert after his successful 2017 end-of-year show.</t>
  </si>
  <si>
    <t>s3115</t>
  </si>
  <si>
    <t>Iyore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</si>
  <si>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</si>
  <si>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</si>
  <si>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</si>
  <si>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</si>
  <si>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</si>
  <si>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</si>
  <si>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</si>
  <si>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</si>
  <si>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</si>
  <si>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</si>
  <si>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</si>
  <si>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</si>
  <si>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</si>
  <si>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</si>
  <si>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</si>
  <si>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</si>
  <si>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</si>
  <si>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</si>
  <si>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</si>
  <si>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</si>
  <si>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</si>
  <si>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</si>
  <si>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</si>
  <si>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</si>
  <si>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Onir</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</si>
  <si>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</si>
  <si>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</si>
  <si>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</si>
  <si>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</si>
  <si>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Onur Bilgetay</t>
  </si>
  <si>
    <t>s3122</t>
  </si>
  <si>
    <t>Don't F**k with Cats: Hunting an Internet Killer</t>
  </si>
  <si>
    <t>December 18, 2019</t>
  </si>
  <si>
    <t>A twisted criminal's gruesome videos drive a group of amateur online sleuths to launch a risky manhunt that pulls them into a dark underworld.</t>
  </si>
  <si>
    <t>Onur Tukel</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</si>
  <si>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</si>
  <si>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</si>
  <si>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</si>
  <si>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</si>
  <si>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Onur Ünlü</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</si>
  <si>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</si>
  <si>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</si>
  <si>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</si>
  <si>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</si>
  <si>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</si>
  <si>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</si>
  <si>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Oren Peli</t>
  </si>
  <si>
    <t>s3125</t>
  </si>
  <si>
    <t>Sincerely Yours, Dhaka</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</si>
  <si>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</si>
  <si>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</si>
  <si>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</si>
  <si>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Oren Uziel</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</si>
  <si>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</si>
  <si>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</si>
  <si>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</si>
  <si>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</si>
  <si>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</si>
  <si>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</si>
  <si>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</si>
  <si>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</si>
  <si>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</si>
  <si>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</si>
  <si>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Orlando Von Einsiedel</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</si>
  <si>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</si>
  <si>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</si>
  <si>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</si>
  <si>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</si>
  <si>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Orson Welles</t>
  </si>
  <si>
    <t>s3129</t>
  </si>
  <si>
    <t>Cocomong</t>
  </si>
  <si>
    <t>Jung Sun-hye, Yang Jeong-hwa, Kim Jang, Ryoo Jeom-hee, Hong Bum-ki, Shin Yong-woo</t>
  </si>
  <si>
    <t>What's in your fridge? In sunny Refrigerator Land, everyday ingredients transform into animal friends who love a good adventure.</t>
  </si>
  <si>
    <t>Oscar Micheaux, Spencer Williams, Richard E. Norman, Richard Maurice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</si>
  <si>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</si>
  <si>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</si>
  <si>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</si>
  <si>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</si>
  <si>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Osgood Perkins</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</si>
  <si>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</si>
  <si>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</si>
  <si>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</si>
  <si>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</si>
  <si>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Oskar Santos</t>
  </si>
  <si>
    <t>s3132</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</si>
  <si>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</si>
  <si>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</si>
  <si>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</si>
  <si>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Óskar Thór Axelsson</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</si>
  <si>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</si>
  <si>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</si>
  <si>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</si>
  <si>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</si>
  <si>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</si>
  <si>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Osman Ali</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</si>
  <si>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</si>
  <si>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</si>
  <si>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</si>
  <si>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</si>
  <si>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</si>
  <si>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Ossama Abu El Atta, Tarek Al Eryan</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</si>
  <si>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</si>
  <si>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</si>
  <si>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</si>
  <si>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</si>
  <si>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</si>
  <si>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Otilia Portillo Padua</t>
  </si>
  <si>
    <t>s3136</t>
  </si>
  <si>
    <t>Fukrey</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</si>
  <si>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</si>
  <si>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</si>
  <si>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</si>
  <si>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</si>
  <si>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</si>
  <si>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</si>
  <si>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Owen Egerton</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</si>
  <si>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</si>
  <si>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</si>
  <si>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</si>
  <si>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</si>
  <si>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</si>
  <si>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</si>
  <si>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</si>
  <si>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</si>
  <si>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</si>
  <si>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</si>
  <si>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</si>
  <si>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</si>
  <si>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</si>
  <si>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</si>
  <si>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</si>
  <si>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</si>
  <si>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</si>
  <si>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</si>
  <si>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</si>
  <si>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</si>
  <si>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</si>
  <si>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</si>
  <si>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</si>
  <si>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P.K. Baaburaaj</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</si>
  <si>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</si>
  <si>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</si>
  <si>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</si>
  <si>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</si>
  <si>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P.T. Kunju Muhammad</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</si>
  <si>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</si>
  <si>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</si>
  <si>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</si>
  <si>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</si>
  <si>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Pa. Ranjith</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</si>
  <si>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</si>
  <si>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</si>
  <si>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</si>
  <si>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</si>
  <si>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</si>
  <si>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</si>
  <si>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</si>
  <si>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</si>
  <si>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</si>
  <si>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</si>
  <si>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</si>
  <si>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</si>
  <si>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</si>
  <si>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</si>
  <si>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</si>
  <si>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</si>
  <si>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Pablo D'Alo Abba</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</si>
  <si>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</si>
  <si>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</si>
  <si>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</si>
  <si>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</si>
  <si>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</si>
  <si>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</si>
  <si>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</si>
  <si>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</si>
  <si>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Pablo Giorgelli</t>
  </si>
  <si>
    <t>s3151</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</si>
  <si>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</si>
  <si>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</si>
  <si>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</si>
  <si>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</si>
  <si>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</si>
  <si>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</si>
  <si>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</si>
  <si>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</si>
  <si>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</si>
  <si>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</si>
  <si>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</si>
  <si>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</si>
  <si>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Pablo Parés</t>
  </si>
  <si>
    <t>s3154</t>
  </si>
  <si>
    <t>Okafor's Law</t>
  </si>
  <si>
    <t>An unapologetic lothario sets out to seduce three ex-flames – but gets an unexpected education in love along the way.</t>
  </si>
  <si>
    <t>s3155</t>
  </si>
  <si>
    <t>Seven and a half dates</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</si>
  <si>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</si>
  <si>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</si>
  <si>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</si>
  <si>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</si>
  <si>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Roy Chiu, Chia-Chia Peng, Wen Chen-ling, Eugenie Liu, Yeo Yann Yann</t>
  </si>
  <si>
    <t>An idealistic cop joins an underground police unit and battles ghoulish forces threatening the balance between the human and the supernatural realms.</t>
  </si>
  <si>
    <t>Paco Arango</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</si>
  <si>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</si>
  <si>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</si>
  <si>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</si>
  <si>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</si>
  <si>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</si>
  <si>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</si>
  <si>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</si>
  <si>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</si>
  <si>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</si>
  <si>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</si>
  <si>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</si>
  <si>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</si>
  <si>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</si>
  <si>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</si>
  <si>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</si>
  <si>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</si>
  <si>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</si>
  <si>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Padmakumar Narasimhamurthy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</si>
  <si>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</si>
  <si>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</si>
  <si>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</si>
  <si>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</si>
  <si>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</si>
  <si>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Padraic Mckinley</t>
  </si>
  <si>
    <t>s3161</t>
  </si>
  <si>
    <t>Michelle Wolf: Joke Show</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</si>
  <si>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</si>
  <si>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</si>
  <si>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</si>
  <si>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</si>
  <si>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</si>
  <si>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</si>
  <si>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</si>
  <si>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</si>
  <si>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</si>
  <si>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</si>
  <si>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</si>
  <si>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</si>
  <si>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</si>
  <si>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</si>
  <si>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</si>
  <si>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</si>
  <si>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</si>
  <si>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</si>
  <si>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</si>
  <si>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Pali Yahya</t>
  </si>
  <si>
    <t>s3165</t>
  </si>
  <si>
    <t>Nothing to Lose 2</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</si>
  <si>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</si>
  <si>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</si>
  <si>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</si>
  <si>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Pamela Romanowsky</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</si>
  <si>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</si>
  <si>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</si>
  <si>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</si>
  <si>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</si>
  <si>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</si>
  <si>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Pan Nalin</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</si>
  <si>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</si>
  <si>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</si>
  <si>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</si>
  <si>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</si>
  <si>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Pang Ho-Cheung</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</si>
  <si>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</si>
  <si>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</si>
  <si>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</si>
  <si>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</si>
  <si>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Pankaj Batra</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</si>
  <si>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</si>
  <si>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</si>
  <si>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</si>
  <si>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</si>
  <si>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</si>
  <si>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</si>
  <si>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</si>
  <si>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</si>
  <si>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Param Gill</t>
  </si>
  <si>
    <t>s3171</t>
  </si>
  <si>
    <t>No Game No Life: Zero</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</si>
  <si>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</si>
  <si>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</si>
  <si>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Parambrata Chatterjee</t>
  </si>
  <si>
    <t>s3172</t>
  </si>
  <si>
    <t>Slow Country</t>
  </si>
  <si>
    <t>Ivie Okujaye, Sambasa Nzeribe, Tope Tedela, Gina Castel, Majid Michel, Victor Erabie, Brutus Richard, Adebayo Thomas</t>
  </si>
  <si>
    <t>Desperate to leave a life of prostitution, a teenage mother attempts to outsmart her ruthless boss who is determined to keep his prized asset.</t>
  </si>
  <si>
    <t>Paresh Mokashi</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</si>
  <si>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</si>
  <si>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</si>
  <si>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</si>
  <si>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</si>
  <si>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Paritosh Painter</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</si>
  <si>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</si>
  <si>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</si>
  <si>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</si>
  <si>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</si>
  <si>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Park Hoon-Jung</t>
  </si>
  <si>
    <t>s3175</t>
  </si>
  <si>
    <t>The Chosen One</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</si>
  <si>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</si>
  <si>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</si>
  <si>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Park In-Je</t>
  </si>
  <si>
    <t>s3176</t>
  </si>
  <si>
    <t>The Confession Killer</t>
  </si>
  <si>
    <t>Robert Kenner, Taki Oldham</t>
  </si>
  <si>
    <t>Henry Lee Lucas rose to infamy when he confessed to hundreds of unsolved murders. This docuseries examines the truth – and horrifying consequences.</t>
  </si>
  <si>
    <t>Park Joon-Hwa</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</si>
  <si>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</si>
  <si>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</si>
  <si>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</si>
  <si>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</si>
  <si>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Partha Chakraborty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</si>
  <si>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</si>
  <si>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</si>
  <si>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</si>
  <si>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</si>
  <si>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Parthiban</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</si>
  <si>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</si>
  <si>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</si>
  <si>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</si>
  <si>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</si>
  <si>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Partho Ghosh</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</si>
  <si>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</si>
  <si>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</si>
  <si>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</si>
  <si>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</si>
  <si>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</si>
  <si>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</si>
  <si>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</si>
  <si>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</si>
  <si>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</si>
  <si>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Partho Sen-Gupta</t>
  </si>
  <si>
    <t>s3182</t>
  </si>
  <si>
    <t>The Irishman: In Conversation</t>
  </si>
  <si>
    <t>Martin Scorsese, Robert De Niro, Al Pacino, Joe Pesci</t>
  </si>
  <si>
    <t>Join director Martin Scorsese as he sits down with stars Robert De Niro, Al Pacino and Joe Pesci for an intimate, intriguing look inside "The Irishman."</t>
  </si>
  <si>
    <t>Parveen Kumar</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</si>
  <si>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</si>
  <si>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</si>
  <si>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</si>
  <si>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</si>
  <si>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</si>
  <si>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</si>
  <si>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</si>
  <si>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</si>
  <si>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</si>
  <si>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</si>
  <si>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</si>
  <si>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</si>
  <si>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</si>
  <si>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Pascal Blanchard, Sonia Dauger, David Dietz</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</si>
  <si>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</si>
  <si>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</si>
  <si>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</si>
  <si>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</si>
  <si>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Pascale Lamche</t>
  </si>
  <si>
    <t>s3187</t>
  </si>
  <si>
    <t>Tiffany Haddish: Black Mitzvah</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</si>
  <si>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</si>
  <si>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</si>
  <si>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</si>
  <si>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</si>
  <si>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</si>
  <si>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</si>
  <si>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</si>
  <si>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Pat Healy</t>
  </si>
  <si>
    <t>s3189</t>
  </si>
  <si>
    <t>A Cinderella Story: Christmas Wish</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</si>
  <si>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</si>
  <si>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</si>
  <si>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</si>
  <si>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</si>
  <si>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</si>
  <si>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</si>
  <si>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</si>
  <si>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</si>
  <si>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Patricia Ferreira</t>
  </si>
  <si>
    <t>s3191</t>
  </si>
  <si>
    <t>Cut Bank</t>
  </si>
  <si>
    <t>Liam Hemsworth, Teresa Palmer, Billy Bob Thornton, Bruce Dern, John Malkovich, Michael Stuhlbarg, Oliver Platt</t>
  </si>
  <si>
    <t>A small-town dreamer is sure he's landed on a gold mine after accidentally filming a murder but is sucked into a violent tale of greed and deception.</t>
  </si>
  <si>
    <t>Patricia Font</t>
  </si>
  <si>
    <t>s3192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</si>
  <si>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</si>
  <si>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</si>
  <si>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</si>
  <si>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</si>
  <si>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Patricia Rozema</t>
  </si>
  <si>
    <t>s3193</t>
  </si>
  <si>
    <t>Eastsiders</t>
  </si>
  <si>
    <t>Kit Williamson, Van Hansis, Constance Wu, Matthew McKelligon, John Halbach, Stephen Guarino</t>
  </si>
  <si>
    <t>Cal turns to his friends for help through a hilariously dark time when he discovers that his partner Thom's been cheating on him.</t>
  </si>
  <si>
    <t>Patrick Brice</t>
  </si>
  <si>
    <t>s3194</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</si>
  <si>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</si>
  <si>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</si>
  <si>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</si>
  <si>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</si>
  <si>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</si>
  <si>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</si>
  <si>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</si>
  <si>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Patrick Graham</t>
  </si>
  <si>
    <t>s3196</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</si>
  <si>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</si>
  <si>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</si>
  <si>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</si>
  <si>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</si>
  <si>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</si>
  <si>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</si>
  <si>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</si>
  <si>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Patrik Syversen</t>
  </si>
  <si>
    <t>s3198</t>
  </si>
  <si>
    <t>Mahi NRI</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</si>
  <si>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</si>
  <si>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</si>
  <si>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</si>
  <si>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</si>
  <si>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</si>
  <si>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</si>
  <si>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Paul Andrew Williams</t>
  </si>
  <si>
    <t>s3200</t>
  </si>
  <si>
    <t>Space Jungle</t>
  </si>
  <si>
    <t>Kim Min-hee, Park Yoon-hee, Sun Sung-wook</t>
  </si>
  <si>
    <t>A broken spaceship strands four very tiny aliens on Earth, where they discover an adventure (and strange dangers!) that they never expected.</t>
  </si>
  <si>
    <t>Paul Berczeller, Mark Radice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</si>
  <si>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</si>
  <si>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</si>
  <si>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</si>
  <si>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</si>
  <si>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</si>
  <si>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Paul Dano</t>
  </si>
  <si>
    <t>s3202</t>
  </si>
  <si>
    <t>Thug Life</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</si>
  <si>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</si>
  <si>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</si>
  <si>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</si>
  <si>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</si>
  <si>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</si>
  <si>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</si>
  <si>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</si>
  <si>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Paul Feig</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</si>
  <si>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</si>
  <si>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</si>
  <si>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</si>
  <si>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</si>
  <si>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</si>
  <si>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</si>
  <si>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</si>
  <si>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</si>
  <si>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</si>
  <si>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</si>
  <si>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</si>
  <si>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</si>
  <si>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</si>
  <si>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Christian Morales</t>
  </si>
  <si>
    <t>Uruguay, Guatemala</t>
  </si>
  <si>
    <t>From Sierra de las Minas to Esquipulas, explore Guatemala's cultural and geological wealth, including ancient Mayan cities and other natural wonders.</t>
  </si>
  <si>
    <t>Paul Katis</t>
  </si>
  <si>
    <t>s3207</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</si>
  <si>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</si>
  <si>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</si>
  <si>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</si>
  <si>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</si>
  <si>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</si>
  <si>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</si>
  <si>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</si>
  <si>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</si>
  <si>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</si>
  <si>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Paul M. Green</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</si>
  <si>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</si>
  <si>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</si>
  <si>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</si>
  <si>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</si>
  <si>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</si>
  <si>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Paul Miller</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</si>
  <si>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</si>
  <si>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</si>
  <si>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</si>
  <si>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</si>
  <si>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</si>
  <si>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</si>
  <si>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Hakim Faris, Victoire Du Bois, Patrick d'Assumçao, Dev Patel, Alia Shawkat, George Wendt</t>
  </si>
  <si>
    <t>Romance, mystery and adventure intertwine as a young man falls in love and a severed hand scours Paris for its owner in this mesmerizing animated film.</t>
  </si>
  <si>
    <t>Paul Raschid</t>
  </si>
  <si>
    <t>s3212</t>
  </si>
  <si>
    <t>Kalushi: The Story of Solomon Mahlangu</t>
  </si>
  <si>
    <t>Thabo Rametsi, Thabo Malema, Welile Nzuza, Jafta Mamabolo, Louw Venter, Pearl Thusi</t>
  </si>
  <si>
    <t>The life and times of iconic South African liberation fighter Solomon Mahlangu, who battled the forces of apartheid, come into focus.</t>
  </si>
  <si>
    <t>Paul Reubens, Wayne Orr</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</si>
  <si>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</si>
  <si>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</si>
  <si>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</si>
  <si>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</si>
  <si>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</si>
  <si>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Paul Schrader</t>
  </si>
  <si>
    <t>s3214</t>
  </si>
  <si>
    <t>Lagos Real Fake Life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</si>
  <si>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</si>
  <si>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</si>
  <si>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Paul Serafini</t>
  </si>
  <si>
    <t>s3215</t>
  </si>
  <si>
    <t>Payday</t>
  </si>
  <si>
    <t>Baaj Adebule, Ebiye Victor, Meg Otanwa, Bisola Aiyeola, Mawuli Gavor, Zack Orji, Segilola Ogidan</t>
  </si>
  <si>
    <t>After an expensive night out, two flatmates get tangled in an overnight misadventure to recover their rent money to pay their dead landlord's daughter.</t>
  </si>
  <si>
    <t>Paul Shoulberg</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</si>
  <si>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</si>
  <si>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</si>
  <si>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</si>
  <si>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</si>
  <si>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</si>
  <si>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</si>
  <si>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</si>
  <si>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</si>
  <si>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</si>
  <si>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Paul Solet, Rick Benattar</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</si>
  <si>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</si>
  <si>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</si>
  <si>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</si>
  <si>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</si>
  <si>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</si>
  <si>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</si>
  <si>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</si>
  <si>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</si>
  <si>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</si>
  <si>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</si>
  <si>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Paul Spurrier</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</si>
  <si>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</si>
  <si>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</si>
  <si>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</si>
  <si>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</si>
  <si>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Paul Tanter</t>
  </si>
  <si>
    <t>s3221</t>
  </si>
  <si>
    <t>Lugar de Mulher</t>
  </si>
  <si>
    <t>Four comedians from Brazil riff on sexuality, politics, religion and motherhood – and set out to prove a woman's place is anywhere she wants it to be.</t>
  </si>
  <si>
    <t>Paul Taublieb, Jon Freeman</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</si>
  <si>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</si>
  <si>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</si>
  <si>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</si>
  <si>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</si>
  <si>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</si>
  <si>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</si>
  <si>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</si>
  <si>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</si>
  <si>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Paul Urkijo Alijo</t>
  </si>
  <si>
    <t>s3224</t>
  </si>
  <si>
    <t>Defiance</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</si>
  <si>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</si>
  <si>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</si>
  <si>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</si>
  <si>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</si>
  <si>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</si>
  <si>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</si>
  <si>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</si>
  <si>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</si>
  <si>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</si>
  <si>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</si>
  <si>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</si>
  <si>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</si>
  <si>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</si>
  <si>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</si>
  <si>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</si>
  <si>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</si>
  <si>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Paula Apsell, Kirk Wolfinger</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</si>
  <si>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</si>
  <si>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</si>
  <si>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</si>
  <si>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</si>
  <si>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Paulo Oriol</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</si>
  <si>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</si>
  <si>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</si>
  <si>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</si>
  <si>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</si>
  <si>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</si>
  <si>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</si>
  <si>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</si>
  <si>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</si>
  <si>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Pavel Parkhomenko</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</si>
  <si>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</si>
  <si>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</si>
  <si>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</si>
  <si>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</si>
  <si>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</si>
  <si>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</si>
  <si>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</si>
  <si>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Pawan K Shrivastava</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</si>
  <si>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</si>
  <si>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</si>
  <si>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</si>
  <si>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</si>
  <si>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</si>
  <si>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</si>
  <si>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</si>
  <si>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</si>
  <si>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</si>
  <si>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</si>
  <si>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Pawan Kumar</t>
  </si>
  <si>
    <t>s3235</t>
  </si>
  <si>
    <t>What the F* Is Going On?</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</si>
  <si>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</si>
  <si>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</si>
  <si>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</si>
  <si>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</si>
  <si>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</si>
  <si>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</si>
  <si>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Pedring A. Lopez</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</si>
  <si>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</si>
  <si>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</si>
  <si>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</si>
  <si>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</si>
  <si>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</si>
  <si>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</si>
  <si>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</si>
  <si>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</si>
  <si>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</si>
  <si>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</si>
  <si>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</si>
  <si>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Pedro Coutinho</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</si>
  <si>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</si>
  <si>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</si>
  <si>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</si>
  <si>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</si>
  <si>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Pedro De Echave García, Pablo Azorín Williams</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</si>
  <si>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</si>
  <si>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</si>
  <si>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</si>
  <si>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</si>
  <si>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</si>
  <si>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</si>
  <si>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</si>
  <si>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Peggy Holmes</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</si>
  <si>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</si>
  <si>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</si>
  <si>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</si>
  <si>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</si>
  <si>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</si>
  <si>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</si>
  <si>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</si>
  <si>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</si>
  <si>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</si>
  <si>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</si>
  <si>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</si>
  <si>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</si>
  <si>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</si>
  <si>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</si>
  <si>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Perry Lang</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</si>
  <si>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</si>
  <si>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</si>
  <si>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</si>
  <si>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</si>
  <si>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</si>
  <si>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Pete Travis</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</si>
  <si>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</si>
  <si>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</si>
  <si>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</si>
  <si>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</si>
  <si>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</si>
  <si>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</si>
  <si>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</si>
  <si>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</si>
  <si>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</si>
  <si>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</si>
  <si>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</si>
  <si>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</si>
  <si>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</si>
  <si>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</si>
  <si>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</si>
  <si>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</si>
  <si>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</si>
  <si>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</si>
  <si>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Peter Deluise</t>
  </si>
  <si>
    <t>s3251</t>
  </si>
  <si>
    <t>Bikram: Yogi, Guru, Predator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</si>
  <si>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</si>
  <si>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</si>
  <si>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</si>
  <si>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</si>
  <si>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</si>
  <si>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</si>
  <si>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</si>
  <si>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Peter Farrelly, Bobby Farrelly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</si>
  <si>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</si>
  <si>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</si>
  <si>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</si>
  <si>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</si>
  <si>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Peter Farrelly, Will Graham, Steve Carr, Griffin Dunne, Steve Brill, James Duffy, Jonathan Van Tulleken, Elizabeth Banks, Patrik Forsberg, Brett Ratner, Rusty Cundieff, James Gunn</t>
  </si>
  <si>
    <t>s3254</t>
  </si>
  <si>
    <t>Lorena, Light-Footed Woman</t>
  </si>
  <si>
    <t>Lorena Ramírez</t>
  </si>
  <si>
    <t>Lorena Ramírez of Mexico's Rarámuri community lives a pastoral life – except when she straps on her sandals to compete as an ultramarathon runner.</t>
  </si>
  <si>
    <t>Peter Fison</t>
  </si>
  <si>
    <t>s3255</t>
  </si>
  <si>
    <t>Mallesham</t>
  </si>
  <si>
    <t>Raj R</t>
  </si>
  <si>
    <t>Jhansi, Priyadarshi Pullikonda, Ananya Nagalla</t>
  </si>
  <si>
    <t>A self-trained engineer risks debt, love and reputation in his quest to improve the grueling work conditions of his mother and her weaving community.</t>
  </si>
  <si>
    <t>Peter Foott</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</si>
  <si>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</si>
  <si>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</si>
  <si>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</si>
  <si>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</si>
  <si>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</si>
  <si>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</si>
  <si>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</si>
  <si>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</si>
  <si>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</si>
  <si>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Peter Hewitt</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</si>
  <si>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</si>
  <si>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</si>
  <si>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</si>
  <si>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</si>
  <si>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Peter Ho</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</si>
  <si>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</si>
  <si>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</si>
  <si>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</si>
  <si>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</si>
  <si>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</si>
  <si>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Peter Howitt</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</si>
  <si>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</si>
  <si>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</si>
  <si>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</si>
  <si>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</si>
  <si>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</si>
  <si>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</si>
  <si>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</si>
  <si>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</si>
  <si>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</si>
  <si>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</si>
  <si>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</si>
  <si>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</si>
  <si>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</si>
  <si>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</si>
  <si>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</si>
  <si>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</si>
  <si>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</si>
  <si>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</si>
  <si>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</si>
  <si>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</si>
  <si>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Peter Lord, Jeff Newitt</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</si>
  <si>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</si>
  <si>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</si>
  <si>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</si>
  <si>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</si>
  <si>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</si>
  <si>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</si>
  <si>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Peter Mcdonnell</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</si>
  <si>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</si>
  <si>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</si>
  <si>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</si>
  <si>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</si>
  <si>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</si>
  <si>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</si>
  <si>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Peter Middleton, James Spinney</t>
  </si>
  <si>
    <t>s3266</t>
  </si>
  <si>
    <t>El sendero de la anaconda</t>
  </si>
  <si>
    <t>Wade Davis, Martin von Hildebrand</t>
  </si>
  <si>
    <t>In the most remote areas of the Amazon jungle, a writer and his anthropologist friend meet communities who have resisted change for centuries.</t>
  </si>
  <si>
    <t>s3267</t>
  </si>
  <si>
    <t>GO! The Unforgettable Party</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</si>
  <si>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</si>
  <si>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</si>
  <si>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Peter Mortimer, Josh Lowell</t>
  </si>
  <si>
    <t>s3268</t>
  </si>
  <si>
    <t>Guna 369</t>
  </si>
  <si>
    <t>Adithya Menon, Kartikeya Gummakonda, Anagha LK</t>
  </si>
  <si>
    <t>A pampered but kind-hearted average joe ditches his romancing and peacekeeping ways when he’s framed for a murder he didn’t commit.</t>
  </si>
  <si>
    <t>Peter Nicks</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</si>
  <si>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</si>
  <si>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</si>
  <si>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</si>
  <si>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</si>
  <si>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</si>
  <si>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Peter Orton</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</si>
  <si>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</si>
  <si>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</si>
  <si>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</si>
  <si>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</si>
  <si>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Peter Pardini</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</si>
  <si>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</si>
  <si>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</si>
  <si>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</si>
  <si>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</si>
  <si>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Peter Ramsey, Rodney Rothman, Bob Persichetti</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</si>
  <si>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</si>
  <si>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</si>
  <si>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</si>
  <si>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</si>
  <si>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Peter Sattler</t>
  </si>
  <si>
    <t>s3273</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</si>
  <si>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</si>
  <si>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</si>
  <si>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</si>
  <si>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</si>
  <si>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</si>
  <si>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</si>
  <si>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</si>
  <si>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</si>
  <si>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</si>
  <si>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</si>
  <si>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</si>
  <si>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</si>
  <si>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</si>
  <si>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</si>
  <si>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</si>
  <si>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</si>
  <si>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</si>
  <si>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</si>
  <si>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</si>
  <si>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</si>
  <si>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</si>
  <si>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</si>
  <si>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Peter Svatek</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</si>
  <si>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</si>
  <si>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</si>
  <si>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</si>
  <si>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</si>
  <si>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</si>
  <si>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</si>
  <si>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</si>
  <si>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</si>
  <si>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</si>
  <si>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Peter Webber</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</si>
  <si>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</si>
  <si>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</si>
  <si>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</si>
  <si>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</si>
  <si>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</si>
  <si>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</si>
  <si>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</si>
  <si>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</si>
  <si>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</si>
  <si>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Peter Yost</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</si>
  <si>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</si>
  <si>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</si>
  <si>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</si>
  <si>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</si>
  <si>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Petra Costa</t>
  </si>
  <si>
    <t>s3283</t>
  </si>
  <si>
    <t>The Toys That Made Us</t>
  </si>
  <si>
    <t>The minds behind history's most iconic toy franchises discuss the rise – and sometimes fall – of their billion-dollar creations.</t>
  </si>
  <si>
    <t>Petra Costa, Lea Glob</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</si>
  <si>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</si>
  <si>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</si>
  <si>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</si>
  <si>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</si>
  <si>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</si>
  <si>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</si>
  <si>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</si>
  <si>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</si>
  <si>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Phanindra Narsetti</t>
  </si>
  <si>
    <t>s3286</t>
  </si>
  <si>
    <t>Fadily Camara : La plus drôle de tes copines</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</si>
  <si>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</si>
  <si>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</si>
  <si>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</si>
  <si>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</si>
  <si>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</si>
  <si>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</si>
  <si>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</si>
  <si>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</si>
  <si>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</si>
  <si>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</si>
  <si>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</si>
  <si>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</si>
  <si>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</si>
  <si>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Phil Joanou</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</si>
  <si>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</si>
  <si>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</si>
  <si>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</si>
  <si>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</si>
  <si>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</si>
  <si>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Phil Johnston, Rich Moore</t>
  </si>
  <si>
    <t>s3290</t>
  </si>
  <si>
    <t>Jeff Garlin: Our Man In Chicago</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</si>
  <si>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</si>
  <si>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</si>
  <si>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</si>
  <si>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</si>
  <si>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</si>
  <si>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</si>
  <si>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Phil Morrison</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</si>
  <si>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</si>
  <si>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</si>
  <si>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</si>
  <si>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</si>
  <si>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</si>
  <si>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Phil Nibbelink, Simon Wells</t>
  </si>
  <si>
    <t>s3293</t>
  </si>
  <si>
    <t>To Be of Service</t>
  </si>
  <si>
    <t>Traumatized by combat, newly returned war veterans find solace in service dogs that guide them back to a fulfilling civilian life.</t>
  </si>
  <si>
    <t>Phil Roman</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</si>
  <si>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</si>
  <si>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</si>
  <si>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</si>
  <si>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</si>
  <si>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</si>
  <si>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</si>
  <si>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</si>
  <si>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</si>
  <si>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</si>
  <si>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Phil Weinstein</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</si>
  <si>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</si>
  <si>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</si>
  <si>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</si>
  <si>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</si>
  <si>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</si>
  <si>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</si>
  <si>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</si>
  <si>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</si>
  <si>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Philip Einstein Lipski, Jørgen Lerdam, Amalie Næsby Fick</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</si>
  <si>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</si>
  <si>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</si>
  <si>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</si>
  <si>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</si>
  <si>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</si>
  <si>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Philip G. Atwell</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</si>
  <si>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</si>
  <si>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</si>
  <si>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</si>
  <si>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</si>
  <si>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Philip Marlatt</t>
  </si>
  <si>
    <t>s3300</t>
  </si>
  <si>
    <t>U Turn</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</si>
  <si>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</si>
  <si>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</si>
  <si>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</si>
  <si>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Philip Yung</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</si>
  <si>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</si>
  <si>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</si>
  <si>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</si>
  <si>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</si>
  <si>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</si>
  <si>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</si>
  <si>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Philipp Eichholtz</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</si>
  <si>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</si>
  <si>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</si>
  <si>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</si>
  <si>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</si>
  <si>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Philipp Stölzl</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</si>
  <si>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</si>
  <si>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</si>
  <si>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</si>
  <si>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</si>
  <si>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</si>
  <si>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</si>
  <si>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</si>
  <si>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</si>
  <si>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</si>
  <si>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</si>
  <si>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</si>
  <si>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</si>
  <si>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</si>
  <si>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</si>
  <si>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Philippe Falardeau</t>
  </si>
  <si>
    <t>s3306</t>
  </si>
  <si>
    <t>Seth Meyers: Lobby Baby</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</si>
  <si>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</si>
  <si>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</si>
  <si>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</si>
  <si>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</si>
  <si>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</si>
  <si>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</si>
  <si>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</si>
  <si>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</si>
  <si>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Aidan Gillen, Melora Walters, Tyler Ross, Jessica Sula, Lesley Fera, Tracy Letts, Debra Winger</t>
  </si>
  <si>
    <t>On the verge of divorce, a middle-aged couple, each involved in a serious affair, rethink their marriage and the meaning of love and fidelity.</t>
  </si>
  <si>
    <t>Phyllida Lloyd</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</si>
  <si>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</si>
  <si>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</si>
  <si>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</si>
  <si>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</si>
  <si>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</si>
  <si>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Pia Sukanya</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</si>
  <si>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</si>
  <si>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</si>
  <si>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</si>
  <si>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</si>
  <si>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</si>
  <si>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</si>
  <si>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</si>
  <si>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</si>
  <si>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</si>
  <si>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Pierfrancesco Diliberto</t>
  </si>
  <si>
    <t>s3312</t>
  </si>
  <si>
    <t>Minimalism: A Documentary About the Important Things</t>
  </si>
  <si>
    <t>Joshua Fields Millburn, Ryan Nicodemus</t>
  </si>
  <si>
    <t>People dedicated to rejecting the American ideal that things bring happiness are interviewed in this documentary showing the virtues of less is more.</t>
  </si>
  <si>
    <t>Pierre Coré</t>
  </si>
  <si>
    <t>s3313</t>
  </si>
  <si>
    <t>Oththa Seruppu Size 7</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</si>
  <si>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</si>
  <si>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</si>
  <si>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</si>
  <si>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</si>
  <si>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</si>
  <si>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</si>
  <si>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</si>
  <si>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</si>
  <si>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</si>
  <si>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</si>
  <si>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</si>
  <si>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</si>
  <si>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</si>
  <si>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Pieter Kuijpers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</si>
  <si>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</si>
  <si>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</si>
  <si>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</si>
  <si>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</si>
  <si>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Pieter-Jan De Pue</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</si>
  <si>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</si>
  <si>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</si>
  <si>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</si>
  <si>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</si>
  <si>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</si>
  <si>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</si>
  <si>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</si>
  <si>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</si>
  <si>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</si>
  <si>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Piti Jaturaphat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</si>
  <si>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</si>
  <si>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</si>
  <si>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</si>
  <si>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</si>
  <si>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</si>
  <si>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</si>
  <si>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Poj Arnon</t>
  </si>
  <si>
    <t>s3321</t>
  </si>
  <si>
    <t>Jinxed</t>
  </si>
  <si>
    <t>Ciara Bravo, Jacob Bertrand, Elena Kampouris, Jack Griffo, Donavon Stinson, Keegan Connor Tracy, Jay Brazeau</t>
  </si>
  <si>
    <t>After a century-old curse of bad luck, a determined teen embarks on a journey to break her family’s generational misfortune.</t>
  </si>
  <si>
    <t>Pooja Bhatt</t>
  </si>
  <si>
    <t>s3322</t>
  </si>
  <si>
    <t>LEGENDS OF THE HIDDEN TEMPLE</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</si>
  <si>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</si>
  <si>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</si>
  <si>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</si>
  <si>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</si>
  <si>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</si>
  <si>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</si>
  <si>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Prabhu Deva</t>
  </si>
  <si>
    <t>s3324</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</si>
  <si>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</si>
  <si>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</si>
  <si>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</si>
  <si>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Prabhuraj</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</si>
  <si>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</si>
  <si>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</si>
  <si>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</si>
  <si>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</si>
  <si>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</si>
  <si>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</si>
  <si>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Pradeep Verma</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</si>
  <si>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</si>
  <si>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</si>
  <si>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</si>
  <si>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</si>
  <si>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Pradip Kurbah</t>
  </si>
  <si>
    <t>s3327</t>
  </si>
  <si>
    <t>A Remarkable Tale</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</si>
  <si>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</si>
  <si>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</si>
  <si>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</si>
  <si>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Prakash Balwant Saini</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</si>
  <si>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</si>
  <si>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</si>
  <si>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</si>
  <si>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</si>
  <si>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</si>
  <si>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</si>
  <si>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</si>
  <si>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</si>
  <si>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</si>
  <si>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</si>
  <si>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</si>
  <si>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</si>
  <si>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</si>
  <si>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</si>
  <si>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</si>
  <si>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</si>
  <si>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</si>
  <si>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</si>
  <si>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</si>
  <si>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</si>
  <si>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</si>
  <si>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</si>
  <si>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</si>
  <si>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</si>
  <si>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Prasanth Varma</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</si>
  <si>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</si>
  <si>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</si>
  <si>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</si>
  <si>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</si>
  <si>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Prashant Nair</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</si>
  <si>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</si>
  <si>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</si>
  <si>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</si>
  <si>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</si>
  <si>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Prasobh Vijayan</t>
  </si>
  <si>
    <t>s3336</t>
  </si>
  <si>
    <t>Fire in Paradise</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</si>
  <si>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</si>
  <si>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</si>
  <si>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</si>
  <si>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</si>
  <si>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</si>
  <si>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Pratim D. Gupta</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</si>
  <si>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</si>
  <si>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</si>
  <si>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</si>
  <si>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</si>
  <si>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</si>
  <si>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</si>
  <si>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Katlyn Carlson, Brian Muller, Teya Patt, Pamela Chabora</t>
  </si>
  <si>
    <t>Home for the holidays, a broke puppeteer knows there’s treasure buried somewhere under her town. To find it, all she has to do is die – almost.</t>
  </si>
  <si>
    <t>Praveen Nischol</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</si>
  <si>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</si>
  <si>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</si>
  <si>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</si>
  <si>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</si>
  <si>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Prawal Raman</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</si>
  <si>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</si>
  <si>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</si>
  <si>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</si>
  <si>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</si>
  <si>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Prem Soni</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</si>
  <si>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</si>
  <si>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</si>
  <si>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</si>
  <si>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</si>
  <si>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</si>
  <si>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</si>
  <si>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</si>
  <si>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</si>
  <si>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Preston A. Whitmore Ii</t>
  </si>
  <si>
    <t>s3344</t>
  </si>
  <si>
    <t>Santa Girl</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</si>
  <si>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</si>
  <si>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</si>
  <si>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</si>
  <si>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</si>
  <si>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</si>
  <si>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</si>
  <si>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Priyadarshan</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</si>
  <si>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</si>
  <si>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</si>
  <si>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</si>
  <si>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</si>
  <si>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</si>
  <si>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Priyadarshan, Kookie V. Gulati</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</si>
  <si>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</si>
  <si>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</si>
  <si>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</si>
  <si>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</si>
  <si>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Pulkit</t>
  </si>
  <si>
    <t>s3348</t>
  </si>
  <si>
    <t>The King</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</si>
  <si>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</si>
  <si>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</si>
  <si>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</si>
  <si>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</si>
  <si>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</si>
  <si>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Elio Germano, Michela Cescon, Elena Cotta, Silvia D'Amico, Vincent Scarito</t>
  </si>
  <si>
    <t>Italy, Belgium</t>
  </si>
  <si>
    <t>A gravity-defying boy raised in seclusion matures into an extraordinary man – and an international celebrity – who longs for human connection.</t>
  </si>
  <si>
    <t>Puneet Sira</t>
  </si>
  <si>
    <t>s3350</t>
  </si>
  <si>
    <t>The Old Thieves: The Legend of Artegios</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</si>
  <si>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</si>
  <si>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</si>
  <si>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</si>
  <si>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</si>
  <si>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</si>
  <si>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</si>
  <si>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</si>
  <si>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</si>
  <si>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Qaushiq Mukherjee</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</si>
  <si>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</si>
  <si>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</si>
  <si>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</si>
  <si>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</si>
  <si>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Qlf</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</si>
  <si>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</si>
  <si>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</si>
  <si>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</si>
  <si>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</si>
  <si>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</si>
  <si>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Quek Shio-Chuan</t>
  </si>
  <si>
    <t>s3355</t>
  </si>
  <si>
    <t>Grego Rossello: Disculpe las molestias</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</si>
  <si>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</si>
  <si>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</si>
  <si>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</si>
  <si>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</si>
  <si>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</si>
  <si>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</si>
  <si>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</si>
  <si>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Quinn Lasher</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</si>
  <si>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</si>
  <si>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</si>
  <si>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</si>
  <si>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</si>
  <si>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</si>
  <si>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</si>
  <si>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</si>
  <si>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</si>
  <si>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</si>
  <si>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R. Balki</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</si>
  <si>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</si>
  <si>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</si>
  <si>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</si>
  <si>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</si>
  <si>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</si>
  <si>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</si>
  <si>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R. Ellis Frazier</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</si>
  <si>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</si>
  <si>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</si>
  <si>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</si>
  <si>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</si>
  <si>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</si>
  <si>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R. Kannan</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</si>
  <si>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</si>
  <si>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</si>
  <si>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</si>
  <si>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</si>
  <si>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</si>
  <si>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</si>
  <si>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</si>
  <si>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</si>
  <si>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Raaghav Dar</t>
  </si>
  <si>
    <t>s3363</t>
  </si>
  <si>
    <t>Arsenio Hall: Smart &amp; Classy</t>
  </si>
  <si>
    <t>Arsenio Hall</t>
  </si>
  <si>
    <t>October 29, 2019</t>
  </si>
  <si>
    <t>In his first stand-up special, Arsenio Hall discusses getting older, the changing times and culture, social issues and even bothersome baby toes.</t>
  </si>
  <si>
    <t>Raam Reddy</t>
  </si>
  <si>
    <t>s3364</t>
  </si>
  <si>
    <t>Shine On with Reese</t>
  </si>
  <si>
    <t>Reese Witherspoon</t>
  </si>
  <si>
    <t>Docuseries, Stand-Up Comedy &amp; Talk Shows</t>
  </si>
  <si>
    <t>In a talk show straight from the heart, actor and producer Reese Witherspoon visits with groundbreaking women to discuss their inspiring journeys.</t>
  </si>
  <si>
    <t>Rachel Bell</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</si>
  <si>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</si>
  <si>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</si>
  <si>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</si>
  <si>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</si>
  <si>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</si>
  <si>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</si>
  <si>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</si>
  <si>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Rachel Lears</t>
  </si>
  <si>
    <t>s3367</t>
  </si>
  <si>
    <t>Little Miss Sumo</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</si>
  <si>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</si>
  <si>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</si>
  <si>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</si>
  <si>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</si>
  <si>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</si>
  <si>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</si>
  <si>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</si>
  <si>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</si>
  <si>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</si>
  <si>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</si>
  <si>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</si>
  <si>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</si>
  <si>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</si>
  <si>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</si>
  <si>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</si>
  <si>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</si>
  <si>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</si>
  <si>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</si>
  <si>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</si>
  <si>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</si>
  <si>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</si>
  <si>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Radhika Rao, Vinay Sapru</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</si>
  <si>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</si>
  <si>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</si>
  <si>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</si>
  <si>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</si>
  <si>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Radhu Karmakar</t>
  </si>
  <si>
    <t>s3373</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</si>
  <si>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</si>
  <si>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</si>
  <si>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</si>
  <si>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Raditya Dika</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</si>
  <si>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</si>
  <si>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</si>
  <si>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</si>
  <si>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</si>
  <si>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</si>
  <si>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</si>
  <si>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United States, United Kingdom, Germany</t>
  </si>
  <si>
    <t>The extraordinary life of beloved acting teacher and theatre producer Wynn Handman is recalled in this portrait of a provocative, innovative artist.</t>
  </si>
  <si>
    <t>Rahat Kazmi</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</si>
  <si>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</si>
  <si>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</si>
  <si>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</si>
  <si>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</si>
  <si>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Rahul Dholakia</t>
  </si>
  <si>
    <t>s3377</t>
  </si>
  <si>
    <t>My Next Guest with David Letterman and Shah Rukh Khan</t>
  </si>
  <si>
    <t>Shah Rukh Khan, David Letterman</t>
  </si>
  <si>
    <t>"King of Bollywood" Shah Rukh Khan opens up about his rise to fame, his family and his billions of fans as he and Dave meet up in Mumbai and New York.</t>
  </si>
  <si>
    <t>Rahul Ravindran</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</si>
  <si>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</si>
  <si>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</si>
  <si>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</si>
  <si>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</si>
  <si>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</si>
  <si>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</si>
  <si>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</si>
  <si>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</si>
  <si>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Rai Yuvraj Bains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</si>
  <si>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</si>
  <si>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</si>
  <si>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</si>
  <si>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</si>
  <si>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</si>
  <si>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</si>
  <si>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Raj Amit Kumar</t>
  </si>
  <si>
    <t>s3381</t>
  </si>
  <si>
    <t>The Awakening of Motti Wolkenbruch</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</si>
  <si>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</si>
  <si>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</si>
  <si>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</si>
  <si>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Raj B. Shetty</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</si>
  <si>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</si>
  <si>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</si>
  <si>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</si>
  <si>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</si>
  <si>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Raj Babu</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</si>
  <si>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</si>
  <si>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</si>
  <si>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</si>
  <si>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</si>
  <si>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</si>
  <si>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</si>
  <si>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Raj Kanwar</t>
  </si>
  <si>
    <t>s3384</t>
  </si>
  <si>
    <t>Echo in the Canyon</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</si>
  <si>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</si>
  <si>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</si>
  <si>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Raj Kapoor</t>
  </si>
  <si>
    <t>s3385</t>
  </si>
  <si>
    <t>Revenge of the Pontianak</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</si>
  <si>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</si>
  <si>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</si>
  <si>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</si>
  <si>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Raj Kaushal</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</si>
  <si>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</si>
  <si>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</si>
  <si>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</si>
  <si>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</si>
  <si>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</si>
  <si>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</si>
  <si>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</si>
  <si>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Stephen Fry</t>
  </si>
  <si>
    <t>From ruffling their majestic feathers to nailing im-peck-able courtship routines, birds in paradise flaunt their best moves in hopes of landing a mate.</t>
  </si>
  <si>
    <t>Raj Kumar Gupta</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</si>
  <si>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</si>
  <si>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</si>
  <si>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</si>
  <si>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</si>
  <si>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</si>
  <si>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Raj N. Sippy</t>
  </si>
  <si>
    <t>s3389</t>
  </si>
  <si>
    <t>Jenny Slate: Stage Fright</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</si>
  <si>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</si>
  <si>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</si>
  <si>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</si>
  <si>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</si>
  <si>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</si>
  <si>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</si>
  <si>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</si>
  <si>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</si>
  <si>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</si>
  <si>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</si>
  <si>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</si>
  <si>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</si>
  <si>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</si>
  <si>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</si>
  <si>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</si>
  <si>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</si>
  <si>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</si>
  <si>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</si>
  <si>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</si>
  <si>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</si>
  <si>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</si>
  <si>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</si>
  <si>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</si>
  <si>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</si>
  <si>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</si>
  <si>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Raja Menon</t>
  </si>
  <si>
    <t>s3394</t>
  </si>
  <si>
    <t>ChuChu TV Kids Songs, Learning Videos &amp; Bedtime Stories</t>
  </si>
  <si>
    <t>Rajan Madhav</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</si>
  <si>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</si>
  <si>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</si>
  <si>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</si>
  <si>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</si>
  <si>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</si>
  <si>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</si>
  <si>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Rajeev Chaudhari</t>
  </si>
  <si>
    <t>s3397</t>
  </si>
  <si>
    <t>ChuChuTV Surprise Eggs Learning Videos (English)</t>
  </si>
  <si>
    <t>From colors and letters to animals of all kinds, each egg holds a fun-filled lesson waiting to be learned. ChuChu and friends are opening them all!</t>
  </si>
  <si>
    <t>Rajeev Patil</t>
  </si>
  <si>
    <t>s3398</t>
  </si>
  <si>
    <t>ChuChuTV Surprise Eggs Learning Videos (Hindi)</t>
  </si>
  <si>
    <t>Magic elephant Mr. Harlo uses playtime to help the children discover various surprises hidden inside colorful eggs.</t>
  </si>
  <si>
    <t>s3399</t>
  </si>
  <si>
    <t>Eli</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</si>
  <si>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</si>
  <si>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</si>
  <si>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</si>
  <si>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</si>
  <si>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</si>
  <si>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</si>
  <si>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Rajesh Touchriver</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</si>
  <si>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</si>
  <si>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</si>
  <si>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</si>
  <si>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</si>
  <si>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</si>
  <si>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</si>
  <si>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</si>
  <si>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</si>
  <si>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</si>
  <si>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</si>
  <si>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</si>
  <si>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Rajiv Chilaka, Binayak Das</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</si>
  <si>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</si>
  <si>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</si>
  <si>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</si>
  <si>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</si>
  <si>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</si>
  <si>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</si>
  <si>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</si>
  <si>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</si>
  <si>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Rajiv Mehra</t>
  </si>
  <si>
    <t>s3406</t>
  </si>
  <si>
    <t>Seventeen</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</si>
  <si>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</si>
  <si>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</si>
  <si>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</si>
  <si>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</si>
  <si>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</si>
  <si>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</si>
  <si>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</si>
  <si>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</si>
  <si>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</si>
  <si>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</si>
  <si>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</si>
  <si>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</si>
  <si>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</si>
  <si>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</si>
  <si>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</si>
  <si>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</si>
  <si>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</si>
  <si>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</si>
  <si>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Rakesh Mehta</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</si>
  <si>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</si>
  <si>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</si>
  <si>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</si>
  <si>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</si>
  <si>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</si>
  <si>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</si>
  <si>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</si>
  <si>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</si>
  <si>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Rakeysh Omprakash Mehra</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</si>
  <si>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</si>
  <si>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</si>
  <si>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</si>
  <si>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</si>
  <si>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</si>
  <si>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</si>
  <si>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</si>
  <si>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</si>
  <si>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</si>
  <si>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Rakshith Thirthahalli</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</si>
  <si>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</si>
  <si>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</si>
  <si>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</si>
  <si>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</si>
  <si>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</si>
  <si>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Ralph Macchio</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</si>
  <si>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</si>
  <si>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</si>
  <si>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</si>
  <si>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</si>
  <si>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Ram</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</si>
  <si>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</si>
  <si>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</si>
  <si>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</si>
  <si>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</si>
  <si>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</si>
  <si>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</si>
  <si>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</si>
  <si>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Shocked when their friend embraces extremism, a group of Muslim Americans in Texas recount their time with him and theories about his fate.</t>
  </si>
  <si>
    <t>Raman Kumar</t>
  </si>
  <si>
    <t>s3419</t>
  </si>
  <si>
    <t>League of Legends Origins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</si>
  <si>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</si>
  <si>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</si>
  <si>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</si>
  <si>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</si>
  <si>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</si>
  <si>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</si>
  <si>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</si>
  <si>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</si>
  <si>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</si>
  <si>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</si>
  <si>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</si>
  <si>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</si>
  <si>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</si>
  <si>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</si>
  <si>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</si>
  <si>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</si>
  <si>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</si>
  <si>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Ramón Salazar</t>
  </si>
  <si>
    <t>s3424</t>
  </si>
  <si>
    <t>Black Money Love</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</si>
  <si>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</si>
  <si>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</si>
  <si>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</si>
  <si>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</si>
  <si>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</si>
  <si>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Martin Matte</t>
  </si>
  <si>
    <t>October 14, 2019</t>
  </si>
  <si>
    <t>Quebecois comedy star Martin Matte serves up embarrassing personal stories, a solution for social media trolls and more in this unpredictable special.</t>
  </si>
  <si>
    <t>s3426</t>
  </si>
  <si>
    <t>Street Flow</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</si>
  <si>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</si>
  <si>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</si>
  <si>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</si>
  <si>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</si>
  <si>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</si>
  <si>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</si>
  <si>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</si>
  <si>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</si>
  <si>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</si>
  <si>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</si>
  <si>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</si>
  <si>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</si>
  <si>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Rana Ranbir</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</si>
  <si>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</si>
  <si>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</si>
  <si>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</si>
  <si>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</si>
  <si>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</si>
  <si>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</si>
  <si>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</si>
  <si>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</si>
  <si>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</si>
  <si>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</si>
  <si>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</si>
  <si>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</si>
  <si>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</si>
  <si>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Randall Lobb</t>
  </si>
  <si>
    <t>s3432</t>
  </si>
  <si>
    <t>The Bling Lagosians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</si>
  <si>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</si>
  <si>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</si>
  <si>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Randall Lobb, Robert Mccallum</t>
  </si>
  <si>
    <t>s3433</t>
  </si>
  <si>
    <t>The Forest of Love</t>
  </si>
  <si>
    <t>A con man and a would-be filmmaking crew force themselves into the lives of two grief-scarred young women. But nothing is as it seems.</t>
  </si>
  <si>
    <t>Ranjit Jeyakodi</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</si>
  <si>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</si>
  <si>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</si>
  <si>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</si>
  <si>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</si>
  <si>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Ranjit Tiwari</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</si>
  <si>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</si>
  <si>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</si>
  <si>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</si>
  <si>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</si>
  <si>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</si>
  <si>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</si>
  <si>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</si>
  <si>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</si>
  <si>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</si>
  <si>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</si>
  <si>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</si>
  <si>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</si>
  <si>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</si>
  <si>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Gen Hoshino</t>
  </si>
  <si>
    <t>Singer-songwriter Gen Hoshino takes the stage at the sold out Tokyo Dome in his highly anticipated 2019 Pop Virus dome tour.</t>
  </si>
  <si>
    <t>Raphael Erichsen</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</si>
  <si>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</si>
  <si>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</si>
  <si>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</si>
  <si>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</si>
  <si>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Rarecho</t>
  </si>
  <si>
    <t>s3439</t>
  </si>
  <si>
    <t>After</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</si>
  <si>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</si>
  <si>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</si>
  <si>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</si>
  <si>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Rashida Jones, Alan Hicks</t>
  </si>
  <si>
    <t>s3440</t>
  </si>
  <si>
    <t>Home Is Where the Killer Is</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</si>
  <si>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</si>
  <si>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</si>
  <si>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</si>
  <si>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</si>
  <si>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</si>
  <si>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</si>
  <si>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Raúl Arévalo</t>
  </si>
  <si>
    <t>s3442</t>
  </si>
  <si>
    <t>Deon Cole: Cole Hearted</t>
  </si>
  <si>
    <t>Deon Cole</t>
  </si>
  <si>
    <t>October 8, 2019</t>
  </si>
  <si>
    <t>Embracing his belief that comedy is the last raw form of expression, Deon Cole explains the right time to thank Jesus and the wrong time to say "welp."</t>
  </si>
  <si>
    <t>Raúl Campos, Jan Suter</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</si>
  <si>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</si>
  <si>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</si>
  <si>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</si>
  <si>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</si>
  <si>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</si>
  <si>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</si>
  <si>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</si>
  <si>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</si>
  <si>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</si>
  <si>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Ravi Udyawar</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</si>
  <si>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</si>
  <si>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</si>
  <si>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</si>
  <si>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</si>
  <si>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</si>
  <si>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</si>
  <si>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</si>
  <si>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</si>
  <si>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</si>
  <si>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</si>
  <si>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</si>
  <si>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</si>
  <si>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</si>
  <si>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</si>
  <si>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</si>
  <si>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</si>
  <si>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</si>
  <si>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</si>
  <si>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</si>
  <si>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</si>
  <si>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</si>
  <si>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Rayka Zehtabchi</t>
  </si>
  <si>
    <t>s3449</t>
  </si>
  <si>
    <t>Brother in Love</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</si>
  <si>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</si>
  <si>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</si>
  <si>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</si>
  <si>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</si>
  <si>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</si>
  <si>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</si>
  <si>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</si>
  <si>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Raymond Mcgrath</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</si>
  <si>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</si>
  <si>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</si>
  <si>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</si>
  <si>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</si>
  <si>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</si>
  <si>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Raymond Wood</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</si>
  <si>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</si>
  <si>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</si>
  <si>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</si>
  <si>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</si>
  <si>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</si>
  <si>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Raz Degan</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</si>
  <si>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</si>
  <si>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</si>
  <si>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</si>
  <si>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</si>
  <si>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Rebecca Addelman</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</si>
  <si>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</si>
  <si>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</si>
  <si>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</si>
  <si>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</si>
  <si>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</si>
  <si>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Rebecca Harrison</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</si>
  <si>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</si>
  <si>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</si>
  <si>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</si>
  <si>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</si>
  <si>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</si>
  <si>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</si>
  <si>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</si>
  <si>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</si>
  <si>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</si>
  <si>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</si>
  <si>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</si>
  <si>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Reem Kherici</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</si>
  <si>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</si>
  <si>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</si>
  <si>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</si>
  <si>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</si>
  <si>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</si>
  <si>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</si>
  <si>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</si>
  <si>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</si>
  <si>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</si>
  <si>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</si>
  <si>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</si>
  <si>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</si>
  <si>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</si>
  <si>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</si>
  <si>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</si>
  <si>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</si>
  <si>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Shunned by his country due to religion, Abdus Salam strives for an achievement that would define modern physics and redefine his place back home.</t>
  </si>
  <si>
    <t>Reiner Holzemer</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</si>
  <si>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</si>
  <si>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</si>
  <si>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</si>
  <si>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</si>
  <si>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</si>
  <si>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</si>
  <si>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</si>
  <si>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</si>
  <si>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</si>
  <si>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</si>
  <si>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</si>
  <si>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</si>
  <si>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</si>
  <si>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</si>
  <si>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Remo D'Souza</t>
  </si>
  <si>
    <t>s3465</t>
  </si>
  <si>
    <t>Engineering Girls</t>
  </si>
  <si>
    <t>Barkha Singh, Kritika Avasthi, Sejal Kumar</t>
  </si>
  <si>
    <t>Three engineering students deal with dorm drama, date around, and do whatever it takes to make their dreams come true.</t>
  </si>
  <si>
    <t>Rémy Four, Julien War</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</si>
  <si>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</si>
  <si>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</si>
  <si>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</si>
  <si>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</si>
  <si>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</si>
  <si>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Remy Kohli</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</si>
  <si>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</si>
  <si>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</si>
  <si>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</si>
  <si>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</si>
  <si>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</si>
  <si>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</si>
  <si>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</si>
  <si>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</si>
  <si>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Renato De Maria</t>
  </si>
  <si>
    <t>s3469</t>
  </si>
  <si>
    <t>Limitless</t>
  </si>
  <si>
    <t>Vrinda Samartha</t>
  </si>
  <si>
    <t>This documentary follows eight women in India who struggle with self-confidence and society's expectations but rediscover themselves through running.</t>
  </si>
  <si>
    <t>Rene Bueno</t>
  </si>
  <si>
    <t>s3470</t>
  </si>
  <si>
    <t>Little Baby Bum: Go Buster</t>
  </si>
  <si>
    <t>This compilation for preschoolers features a peppy young bus and his first life experiences where bumps in the road won't stop him from a fun ride.</t>
  </si>
  <si>
    <t>Rene Liu</t>
  </si>
  <si>
    <t>s3471</t>
  </si>
  <si>
    <t>Miniforce X</t>
  </si>
  <si>
    <t>Zenos wants to use the Earth’s negative energy for his own good – and it's up to Miniforce X to stop this space alien’s evil plans.</t>
  </si>
  <si>
    <t>René Pérez Joglar</t>
  </si>
  <si>
    <t>s3472</t>
  </si>
  <si>
    <t>Nikki Glaser: Bangin’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</si>
  <si>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</si>
  <si>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</si>
  <si>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</si>
  <si>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</si>
  <si>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</si>
  <si>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</si>
  <si>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</si>
  <si>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</si>
  <si>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</si>
  <si>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</si>
  <si>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</si>
  <si>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</si>
  <si>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</si>
  <si>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</si>
  <si>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</si>
  <si>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Rhiannon Bannenberg</t>
  </si>
  <si>
    <t>s3476</t>
  </si>
  <si>
    <t>The Rugrats Movie</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</si>
  <si>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</si>
  <si>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</si>
  <si>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</si>
  <si>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</si>
  <si>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</si>
  <si>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</si>
  <si>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Rian Johnson</t>
  </si>
  <si>
    <t>s3478</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</si>
  <si>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</si>
  <si>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</si>
  <si>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</si>
  <si>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</si>
  <si>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</si>
  <si>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</si>
  <si>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</si>
  <si>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</si>
  <si>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</si>
  <si>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</si>
  <si>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September 28, 2019</t>
  </si>
  <si>
    <t>An in-depth look at the full-cycle breeding program for bluefin Kindai tuna pioneered by Kinki University’s Aqua Culture Research Institute.</t>
  </si>
  <si>
    <t>Ricardo De Montreuil</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</si>
  <si>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</si>
  <si>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</si>
  <si>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</si>
  <si>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</si>
  <si>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Ricardo Maldonado</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</si>
  <si>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</si>
  <si>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</si>
  <si>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</si>
  <si>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</si>
  <si>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</si>
  <si>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</si>
  <si>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</si>
  <si>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 Eda Ece, Aksel Bonfil, Derya Alabora, Esin Eden, Hülya Duyar, Ali Çelik, Mert Öner</t>
  </si>
  <si>
    <t>While chasing her dream of becoming a chef, Zeliha cooks up trouble in the kitchen with her wild, kooky and unsuspecting ways.</t>
  </si>
  <si>
    <t>Riccardo Milani</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</si>
  <si>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</si>
  <si>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</si>
  <si>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</si>
  <si>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</si>
  <si>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Riccardo Pilizzeri</t>
  </si>
  <si>
    <t>s3485</t>
  </si>
  <si>
    <t>In the Shadow of the Moon</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</si>
  <si>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</si>
  <si>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</si>
  <si>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</si>
  <si>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Rich Ragsdale</t>
  </si>
  <si>
    <t>s3486</t>
  </si>
  <si>
    <t>Sturgill Simpson Presents Sound &amp; Fury</t>
  </si>
  <si>
    <t>In this anime visual album, a mysterious driver heads deep into a postapocalyptic hellscape toward a ferocious showdown with two monstrous opponents.</t>
  </si>
  <si>
    <t>s3487</t>
  </si>
  <si>
    <t>Malaal</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</si>
  <si>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</si>
  <si>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</si>
  <si>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</si>
  <si>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Richard Attenborough</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</si>
  <si>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</si>
  <si>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</si>
  <si>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</si>
  <si>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</si>
  <si>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</si>
  <si>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Richard Bailey</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</si>
  <si>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</si>
  <si>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</si>
  <si>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</si>
  <si>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</si>
  <si>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Richard Bates Jr.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</si>
  <si>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</si>
  <si>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</si>
  <si>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</si>
  <si>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</si>
  <si>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</si>
  <si>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Richard Brooks</t>
  </si>
  <si>
    <t>s3491</t>
  </si>
  <si>
    <t>Birders</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</si>
  <si>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</si>
  <si>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</si>
  <si>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</si>
  <si>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</si>
  <si>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</si>
  <si>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Richard Correll</t>
  </si>
  <si>
    <t>s3493</t>
  </si>
  <si>
    <t>Oh! Baby (Malayalam)</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</si>
  <si>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</si>
  <si>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</si>
  <si>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Richard Curtis</t>
  </si>
  <si>
    <t>s3494</t>
  </si>
  <si>
    <t>Oh! Baby (Tamil)</t>
  </si>
  <si>
    <t>Richard Donner</t>
  </si>
  <si>
    <t>s3495</t>
  </si>
  <si>
    <t>Inside Man: Most Wanted</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</si>
  <si>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</si>
  <si>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</si>
  <si>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</si>
  <si>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Richard Finn, Tim Maltby</t>
  </si>
  <si>
    <t>s3496</t>
  </si>
  <si>
    <t>Jeff Dunham: Beside Himself</t>
  </si>
  <si>
    <t>Jeff Dunham takes the stage in Dallas with his old pals Peanut, Walter, José Jalapeño, Bubba J and Achmed to poke fun at himself and American culture.</t>
  </si>
  <si>
    <t>s3497</t>
  </si>
  <si>
    <t>Manmadhudu 2</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</si>
  <si>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</si>
  <si>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</si>
  <si>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</si>
  <si>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</si>
  <si>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</si>
  <si>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Matt Walsh, Judith Godreche, Reid Scott, Michaela Watkins, David Wain, Gary Cole</t>
  </si>
  <si>
    <t>An American man in the midst of a mid-life crisis travels to the French countryside to find a new lease on life.</t>
  </si>
  <si>
    <t>Richard Kelly</t>
  </si>
  <si>
    <t>s3499</t>
  </si>
  <si>
    <t>Do Paise Ki Dhoop Chaar Aane Ki Baarish</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</si>
  <si>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</si>
  <si>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</si>
  <si>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</si>
  <si>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Richard Lagravenese</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</si>
  <si>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</si>
  <si>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</si>
  <si>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</si>
  <si>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</si>
  <si>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</si>
  <si>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</si>
  <si>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</si>
  <si>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</si>
  <si>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</si>
  <si>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</si>
  <si>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</si>
  <si>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</si>
  <si>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</si>
  <si>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</si>
  <si>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</si>
  <si>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Richard Loncraine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</si>
  <si>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</si>
  <si>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</si>
  <si>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</si>
  <si>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</si>
  <si>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Richard Mears</t>
  </si>
  <si>
    <t>s3504</t>
  </si>
  <si>
    <t>Criminal: Spain</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</si>
  <si>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</si>
  <si>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</si>
  <si>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Richard Michaels</t>
  </si>
  <si>
    <t>s3505</t>
  </si>
  <si>
    <t>Fastest Car</t>
  </si>
  <si>
    <t>The drivers of exotic supercars put their street cred on the line against deceptively fast sleeper cars built and modified by true gearheads.</t>
  </si>
  <si>
    <t>Richard Miron</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</si>
  <si>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</si>
  <si>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</si>
  <si>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</si>
  <si>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</si>
  <si>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</si>
  <si>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</si>
  <si>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</si>
  <si>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</si>
  <si>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Richard Rich</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</si>
  <si>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</si>
  <si>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</si>
  <si>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</si>
  <si>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</si>
  <si>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Richard Sears</t>
  </si>
  <si>
    <t>s3509</t>
  </si>
  <si>
    <t>True: Tricky Treat Day</t>
  </si>
  <si>
    <t>It's up to True and her friends to save the day when a hungry Yeti sneaks a forbidden treat and fills the kingdom with Howling Greenies.</t>
  </si>
  <si>
    <t>Richard Shepard</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</si>
  <si>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</si>
  <si>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</si>
  <si>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</si>
  <si>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</si>
  <si>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</si>
  <si>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</si>
  <si>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Richard Van'T Riet</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</si>
  <si>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</si>
  <si>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</si>
  <si>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</si>
  <si>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</si>
  <si>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</si>
  <si>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</si>
  <si>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</si>
  <si>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</si>
  <si>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</si>
  <si>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</si>
  <si>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Richie Smyth</t>
  </si>
  <si>
    <t>s3513</t>
  </si>
  <si>
    <t>Sebastian Maniscalco: What's Wrong with People?</t>
  </si>
  <si>
    <t>Sebastian Maniscalco</t>
  </si>
  <si>
    <t>With his uproarious tirade on modern behavior and decorum, the popular comic tackles the question we've all asked in this hilarious standup special.</t>
  </si>
  <si>
    <t>Rick Morales</t>
  </si>
  <si>
    <t>s3514</t>
  </si>
  <si>
    <t>Los Tigres del Norte at Folsom Prison</t>
  </si>
  <si>
    <t>Los Tigres del Norte</t>
  </si>
  <si>
    <t>September 15, 2019</t>
  </si>
  <si>
    <t>The beloved norteño band Los Tigres del Norte performs for the inmates of Folsom Prison on the 50th anniversary of Johnny Cash's iconic concert.</t>
  </si>
  <si>
    <t>Ricky Gervais</t>
  </si>
  <si>
    <t>s3515</t>
  </si>
  <si>
    <t>Steal a Pencil for Me</t>
  </si>
  <si>
    <t>Jack Polak, Ina Soep</t>
  </si>
  <si>
    <t>This moving documentary chronicles the unshakeable romance between a couple who met and fell in love while imprisoned in a Nazi concentration camp.</t>
  </si>
  <si>
    <t>Ricky Gervais, Matthew Robinson</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</si>
  <si>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</si>
  <si>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</si>
  <si>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</si>
  <si>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</si>
  <si>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</si>
  <si>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</si>
  <si>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</si>
  <si>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</si>
  <si>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Taron Egerton, Natalie Dormer, Simon Pegg, Jason Isaacs</t>
  </si>
  <si>
    <t>Go behind the scenes with stars, puppeteers and creators as they bring Jim Henson's magical world of Thra back to life in a sweeping fantasy series.</t>
  </si>
  <si>
    <t>Rik Reinholdtsen</t>
  </si>
  <si>
    <t>s3519</t>
  </si>
  <si>
    <t>Hello, Privilege. It's Me, Chelsea</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</si>
  <si>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</si>
  <si>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</si>
  <si>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</si>
  <si>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</si>
  <si>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</si>
  <si>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</si>
  <si>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</si>
  <si>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Riki Lindhome, Jeremy Konner</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</si>
  <si>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</si>
  <si>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</si>
  <si>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</si>
  <si>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</si>
  <si>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</si>
  <si>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</si>
  <si>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</si>
  <si>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</si>
  <si>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</si>
  <si>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</si>
  <si>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</si>
  <si>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</si>
  <si>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</si>
  <si>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</si>
  <si>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</si>
  <si>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</si>
  <si>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</si>
  <si>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Riri Riza</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</si>
  <si>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</si>
  <si>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</si>
  <si>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</si>
  <si>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</si>
  <si>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Ritesh Batra</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</si>
  <si>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</si>
  <si>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</si>
  <si>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</si>
  <si>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</si>
  <si>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Ritu Sarin, Tenzing Sonam</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</si>
  <si>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</si>
  <si>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</si>
  <si>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</si>
  <si>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</si>
  <si>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</si>
  <si>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Rizal Mantovani</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</si>
  <si>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</si>
  <si>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</si>
  <si>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</si>
  <si>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</si>
  <si>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</si>
  <si>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</si>
  <si>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</si>
  <si>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</si>
  <si>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</si>
  <si>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Rob Burnett</t>
  </si>
  <si>
    <t>s3530</t>
  </si>
  <si>
    <t>Evelyn</t>
  </si>
  <si>
    <t>Orlando von Einsiedel</t>
  </si>
  <si>
    <t>Haunted by the suicide of a brother, a director and his kin walk across the U.K. in an emotionally trying, visually sublime journey toward healing.</t>
  </si>
  <si>
    <t>Rob Cohen</t>
  </si>
  <si>
    <t>s3531</t>
  </si>
  <si>
    <t>Article 15</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</si>
  <si>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</si>
  <si>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</si>
  <si>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</si>
  <si>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Rob Epstein, Jeffrey Friedman</t>
  </si>
  <si>
    <t>s3532</t>
  </si>
  <si>
    <t>Care of Kancharapalem</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</si>
  <si>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</si>
  <si>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</si>
  <si>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Rob Laduca, Robert C. Ramirez</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</si>
  <si>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</si>
  <si>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</si>
  <si>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</si>
  <si>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</si>
  <si>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</si>
  <si>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</si>
  <si>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</si>
  <si>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</si>
  <si>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</si>
  <si>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Rob Mckittrick</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</si>
  <si>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</si>
  <si>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</si>
  <si>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</si>
  <si>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</si>
  <si>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Rob Meyer</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</si>
  <si>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</si>
  <si>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</si>
  <si>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</si>
  <si>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</si>
  <si>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</si>
  <si>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</si>
  <si>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</si>
  <si>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</si>
  <si>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</si>
  <si>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</si>
  <si>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</si>
  <si>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</si>
  <si>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</si>
  <si>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</si>
  <si>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</si>
  <si>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</si>
  <si>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</si>
  <si>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</si>
  <si>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</si>
  <si>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Brazil, United States</t>
  </si>
  <si>
    <t>September 1, 2019</t>
  </si>
  <si>
    <t>In this documentary, the director remembers a sister who left behind her life under Brazil’s dictatorship and moved to New York with dreams of acting.</t>
  </si>
  <si>
    <t>Rob Silvestri</t>
  </si>
  <si>
    <t>s3540</t>
  </si>
  <si>
    <t>Loo Loo Kids: Johny &amp; Friends Musical Adventures</t>
  </si>
  <si>
    <t>Music-loving baby Johny goes on dance-filled adventures with his family, friends and adorable critters in this colorful, animated preschooler series.</t>
  </si>
  <si>
    <t>Rob Smat</t>
  </si>
  <si>
    <t>s3541</t>
  </si>
  <si>
    <t>Moving Art</t>
  </si>
  <si>
    <t>Experience nature's art as filmmaker Louie Schwartzberg highlights the beauty that lurks in oceans, forests, deserts and flowers.</t>
  </si>
  <si>
    <t>Rob W. King</t>
  </si>
  <si>
    <t>s3542</t>
  </si>
  <si>
    <t>Naruto</t>
  </si>
  <si>
    <t>Junko Takeuchi, Chie Nakamura, Noriaki Sugiyama, Kazuhiko Inoue, Toshihiko Seki, Hidekatsu Shibata, Masako Katsuki, Nana Mizuki</t>
  </si>
  <si>
    <t>Guided by the spirit demon within him, orphaned Naruto learns to harness his powers as a ninja in this anime adventure series.</t>
  </si>
  <si>
    <t>Rob Zombie</t>
  </si>
  <si>
    <t>s3543</t>
  </si>
  <si>
    <t>Olmo &amp; the Seagull</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</si>
  <si>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</si>
  <si>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</si>
  <si>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</si>
  <si>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</si>
  <si>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</si>
  <si>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</si>
  <si>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</si>
  <si>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</si>
  <si>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</si>
  <si>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</si>
  <si>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Robbie Grewal</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</si>
  <si>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</si>
  <si>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</si>
  <si>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</si>
  <si>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</si>
  <si>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Robert Adetuyi</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</si>
  <si>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</si>
  <si>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</si>
  <si>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</si>
  <si>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</si>
  <si>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</si>
  <si>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Robert Aldrich</t>
  </si>
  <si>
    <t>s3548</t>
  </si>
  <si>
    <t>Back to School</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</si>
  <si>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</si>
  <si>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</si>
  <si>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</si>
  <si>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Robert Altman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</si>
  <si>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</si>
  <si>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</si>
  <si>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</si>
  <si>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</si>
  <si>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Robert Berlinger</t>
  </si>
  <si>
    <t>s3550</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</si>
  <si>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</si>
  <si>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</si>
  <si>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</si>
  <si>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Robert Cannan, Ross Adam</t>
  </si>
  <si>
    <t>s3551</t>
  </si>
  <si>
    <t>Styling Hollywood</t>
  </si>
  <si>
    <t>Jason Bolden, Adair Curtis</t>
  </si>
  <si>
    <t>Whether styling superstars or elevating A-list homes, couple Jason Bolden and Adair Curtis of JSN Studio connect famous clientele with the chicest looks.</t>
  </si>
  <si>
    <t>Robert Clouse</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</si>
  <si>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</si>
  <si>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</si>
  <si>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</si>
  <si>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</si>
  <si>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</si>
  <si>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</si>
  <si>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</si>
  <si>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</si>
  <si>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</si>
  <si>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</si>
  <si>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</si>
  <si>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</si>
  <si>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Robert Eggers</t>
  </si>
  <si>
    <t>s3555</t>
  </si>
  <si>
    <t>Unbridled</t>
  </si>
  <si>
    <t>Natalia de Molina, Daniel Grao, Natalia Mateo, Ignacio Mateos, Borja Luna, Mario Tardón, Mariana Cordero</t>
  </si>
  <si>
    <t>Desperate to keep her husband’s secret, a devoted politician’s wife struggles to stave off threats that could ruin their promising new life.</t>
  </si>
  <si>
    <t>Robert Kenner</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</si>
  <si>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</si>
  <si>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</si>
  <si>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</si>
  <si>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</si>
  <si>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</si>
  <si>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</si>
  <si>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</si>
  <si>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</si>
  <si>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</si>
  <si>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</si>
  <si>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Robert Kouba</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</si>
  <si>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</si>
  <si>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</si>
  <si>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</si>
  <si>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</si>
  <si>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</si>
  <si>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</si>
  <si>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</si>
  <si>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</si>
  <si>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</si>
  <si>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</si>
  <si>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</si>
  <si>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</si>
  <si>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</si>
  <si>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</si>
  <si>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</si>
  <si>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Robert Markowitz</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</si>
  <si>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</si>
  <si>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</si>
  <si>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</si>
  <si>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</si>
  <si>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</si>
  <si>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</si>
  <si>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Robert Mccullough Jr.</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</si>
  <si>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</si>
  <si>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</si>
  <si>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</si>
  <si>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</si>
  <si>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</si>
  <si>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Robert Moresco</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</si>
  <si>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</si>
  <si>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</si>
  <si>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</si>
  <si>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</si>
  <si>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Robert Nixon, Fisher Stevens</t>
  </si>
  <si>
    <t>s3564</t>
  </si>
  <si>
    <t>Kaake Da Viyah</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</si>
  <si>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</si>
  <si>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</si>
  <si>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</si>
  <si>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</si>
  <si>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</si>
  <si>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</si>
  <si>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</si>
  <si>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Robert Osman, Nathanael Wiseman</t>
  </si>
  <si>
    <t>s3566</t>
  </si>
  <si>
    <t>Mayday Life</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</si>
  <si>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</si>
  <si>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</si>
  <si>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</si>
  <si>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</si>
  <si>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</si>
  <si>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</si>
  <si>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</si>
  <si>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</si>
  <si>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</si>
  <si>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</si>
  <si>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</si>
  <si>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</si>
  <si>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</si>
  <si>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</si>
  <si>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</si>
  <si>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</si>
  <si>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</si>
  <si>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</si>
  <si>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Robert Schwentke</t>
  </si>
  <si>
    <t>s3571</t>
  </si>
  <si>
    <t>Game Over (Telugu Version)</t>
  </si>
  <si>
    <t>As a series of murders hit close to home, a video game designer with PTSD must confront her demons, or risk becoming their victim.</t>
  </si>
  <si>
    <t>Robert Smigel</t>
  </si>
  <si>
    <t>s3572</t>
  </si>
  <si>
    <t>Hyperdrive</t>
  </si>
  <si>
    <t>Rutledge Wood, Mike Hill, Michael Bisping, Lindsay Czarniak</t>
  </si>
  <si>
    <t>Elite street racers from around the world test their limits in supercharged custom cars on the biggest, baddest automotive obstacle course ever built.</t>
  </si>
  <si>
    <t>Robert Tate</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</si>
  <si>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</si>
  <si>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</si>
  <si>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</si>
  <si>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</si>
  <si>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</si>
  <si>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</si>
  <si>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</si>
  <si>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</si>
  <si>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Robert Vince</t>
  </si>
  <si>
    <t>s3575</t>
  </si>
  <si>
    <t>Simon Amstell: Set Free</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</si>
  <si>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</si>
  <si>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</si>
  <si>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</si>
  <si>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</si>
  <si>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</si>
  <si>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</si>
  <si>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</si>
  <si>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Roberta Grossman, Sophie Sartain</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</si>
  <si>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</si>
  <si>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</si>
  <si>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</si>
  <si>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</si>
  <si>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</si>
  <si>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</si>
  <si>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</si>
  <si>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</si>
  <si>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Roberto Girault Facha</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</si>
  <si>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</si>
  <si>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</si>
  <si>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</si>
  <si>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</si>
  <si>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</si>
  <si>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</si>
  <si>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</si>
  <si>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</si>
  <si>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Robi Michael</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</si>
  <si>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</si>
  <si>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</si>
  <si>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</si>
  <si>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</si>
  <si>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Robin Aubert</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</si>
  <si>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</si>
  <si>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</si>
  <si>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</si>
  <si>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</si>
  <si>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</si>
  <si>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</si>
  <si>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</si>
  <si>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</si>
  <si>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</si>
  <si>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Robin Swicord</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</si>
  <si>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</si>
  <si>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</si>
  <si>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</si>
  <si>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</si>
  <si>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Robyn Butler</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</si>
  <si>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</si>
  <si>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</si>
  <si>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</si>
  <si>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</si>
  <si>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</si>
  <si>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</si>
  <si>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</si>
  <si>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</si>
  <si>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Rocky Soraya</t>
  </si>
  <si>
    <t>s3587</t>
  </si>
  <si>
    <t>The Little Switzerland</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</si>
  <si>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</si>
  <si>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</si>
  <si>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Rocky Soraya, Anggy Umbara</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</si>
  <si>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</si>
  <si>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</si>
  <si>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</si>
  <si>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</si>
  <si>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Rod Blackhurst</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</si>
  <si>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</si>
  <si>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</si>
  <si>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</si>
  <si>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</si>
  <si>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</si>
  <si>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Rod Blackhurst, Brian Mcginn</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</si>
  <si>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</si>
  <si>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</si>
  <si>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</si>
  <si>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</si>
  <si>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</si>
  <si>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</si>
  <si>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</si>
  <si>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</si>
  <si>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</si>
  <si>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</si>
  <si>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</si>
  <si>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</si>
  <si>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</si>
  <si>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</si>
  <si>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</si>
  <si>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</si>
  <si>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</si>
  <si>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</si>
  <si>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Rodolphe Guenoden</t>
  </si>
  <si>
    <t>s3594</t>
  </si>
  <si>
    <t>Uyare</t>
  </si>
  <si>
    <t>Parvathy, Asif Ali, Tovino Thomas, Siddique, Pratap Pothan, Samyuktha Menon, Anarkali Marikar, Prem Prakash</t>
  </si>
  <si>
    <t>An aspiring pilot fights for her future – and justice – after surviving an acid attack from her abusive boyfriend.</t>
  </si>
  <si>
    <t>s3595</t>
  </si>
  <si>
    <t>90 ML</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</si>
  <si>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</si>
  <si>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</si>
  <si>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</si>
  <si>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</si>
  <si>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</si>
  <si>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</si>
  <si>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</si>
  <si>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</si>
  <si>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Rodrigo Salomón, Pietro Scappini</t>
  </si>
  <si>
    <t>s3597</t>
  </si>
  <si>
    <t>Hasta los dientes</t>
  </si>
  <si>
    <t>This documentary follows the controversy surrounding the 2010 murders of two students, who were framed as criminals and killed by the Mexican military.</t>
  </si>
  <si>
    <t>Rodrigo Toro, Francisco Schultz</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</si>
  <si>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</si>
  <si>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</si>
  <si>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</si>
  <si>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</si>
  <si>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Rodrigo Triana</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</si>
  <si>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</si>
  <si>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</si>
  <si>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</si>
  <si>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</si>
  <si>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</si>
  <si>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Rodrigo Van Der Put</t>
  </si>
  <si>
    <t>s3600</t>
  </si>
  <si>
    <t>Colin Quinn: Red State Blue State</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</si>
  <si>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</si>
  <si>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</si>
  <si>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</si>
  <si>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</si>
  <si>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</si>
  <si>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</si>
  <si>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</si>
  <si>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Roger Allers, Gaëtan Brizzi, Paul Brizzi, Joan C. Gratz, Mohammed Saeed Harib, Tomm Moore, Nina Paley, Bill Plympton, Joann Sfar, Michael Socha</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</si>
  <si>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</si>
  <si>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</si>
  <si>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</si>
  <si>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</si>
  <si>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</si>
  <si>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Roger Allers, Jill Culton</t>
  </si>
  <si>
    <t>s3603</t>
  </si>
  <si>
    <t>Jaoon Kahan Bata Ae Dil</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</si>
  <si>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</si>
  <si>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</si>
  <si>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</si>
  <si>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</si>
  <si>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</si>
  <si>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</si>
  <si>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</si>
  <si>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</si>
  <si>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</si>
  <si>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</si>
  <si>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</si>
  <si>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Roger Graef, James Rogan</t>
  </si>
  <si>
    <t>s3606</t>
  </si>
  <si>
    <t>The Family</t>
  </si>
  <si>
    <t>James Cromwell, David Rysdahl, Ben Rosenfield, Zachary Booth</t>
  </si>
  <si>
    <t>An enigmatic conservative Christian group known as the Family wields enormous influence in Washington, D.C., in pursuit of its global ambitions.</t>
  </si>
  <si>
    <t>Roger Gual</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</si>
  <si>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</si>
  <si>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</si>
  <si>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</si>
  <si>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</si>
  <si>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</si>
  <si>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</si>
  <si>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</si>
  <si>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</si>
  <si>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</si>
  <si>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</si>
  <si>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</si>
  <si>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</si>
  <si>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</si>
  <si>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Roger Spottiswoode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</si>
  <si>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</si>
  <si>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</si>
  <si>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</si>
  <si>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</si>
  <si>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</si>
  <si>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Roger Young</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</si>
  <si>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</si>
  <si>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</si>
  <si>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</si>
  <si>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</si>
  <si>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</si>
  <si>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</si>
  <si>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</si>
  <si>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</si>
  <si>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</si>
  <si>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</si>
  <si>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</si>
  <si>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</si>
  <si>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Rohit Jugraj</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</si>
  <si>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</si>
  <si>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</si>
  <si>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</si>
  <si>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</si>
  <si>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</si>
  <si>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Rohit Mittal</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</si>
  <si>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</si>
  <si>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</si>
  <si>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</si>
  <si>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</si>
  <si>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</si>
  <si>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</si>
  <si>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</si>
  <si>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</si>
  <si>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</si>
  <si>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</si>
  <si>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</si>
  <si>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</si>
  <si>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</si>
  <si>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</si>
  <si>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Rolfe Kanefsky</t>
  </si>
  <si>
    <t>s3618</t>
  </si>
  <si>
    <t>Theo Von: No Offense</t>
  </si>
  <si>
    <t>Theo Von</t>
  </si>
  <si>
    <t>Southern charmer Theo Von offers up a twisted take on his dating mishaps, meeting Brad Pitt, chasing down fugitive chimpanzees and more.</t>
  </si>
  <si>
    <t>Romain Gavras</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</si>
  <si>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</si>
  <si>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</si>
  <si>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</si>
  <si>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</si>
  <si>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</si>
  <si>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Roman Atwood, Ben Pluimer</t>
  </si>
  <si>
    <t>s3620</t>
  </si>
  <si>
    <t>I'm Brent Morin</t>
  </si>
  <si>
    <t>Brent Morin</t>
  </si>
  <si>
    <t>In a witty solo show, Brent Morin serves up infectious laughs on the agony of puberty, hot guy problems and the time a girl dumped him for a magician.</t>
  </si>
  <si>
    <t>Roman Coppola</t>
  </si>
  <si>
    <t>s3621</t>
  </si>
  <si>
    <t>Jim Jefferies : BARE</t>
  </si>
  <si>
    <t>Nothing is sacred in this show from Australian comic Jim Jefferies, whether it’s the mother of his child, auditioning disabled actors, or gun control.</t>
  </si>
  <si>
    <t>Roman Gackowski</t>
  </si>
  <si>
    <t>s3622</t>
  </si>
  <si>
    <t>Screwball</t>
  </si>
  <si>
    <t>A steroid peddler explains how he went from an unlicensed anti-aging expert to the point man for the biggest scandal in baseball history.</t>
  </si>
  <si>
    <t>Roman Polanski</t>
  </si>
  <si>
    <t>s3623</t>
  </si>
  <si>
    <t>Sebastian Maniscalco: Why Would You Do That</t>
  </si>
  <si>
    <t>Sebastian Maniscalco delivers an expressive stand-up at the legendary Beacon Theatre on Whole Foods, family nicknames and dodging obnoxious neighbors.</t>
  </si>
  <si>
    <t>s3624</t>
  </si>
  <si>
    <t>Enter the Anime</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</si>
  <si>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</si>
  <si>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</si>
  <si>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</si>
  <si>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</si>
  <si>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</si>
  <si>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</si>
  <si>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</si>
  <si>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Ron Clements, John Musker</t>
  </si>
  <si>
    <t>s3626</t>
  </si>
  <si>
    <t>No One Will Ever Know</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</si>
  <si>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</si>
  <si>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</si>
  <si>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Ron Davis</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</si>
  <si>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</si>
  <si>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</si>
  <si>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</si>
  <si>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</si>
  <si>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</si>
  <si>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</si>
  <si>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</si>
  <si>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</si>
  <si>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</si>
  <si>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</si>
  <si>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</si>
  <si>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Léa Moret, Camille Shooshani</t>
  </si>
  <si>
    <t>Best friends Léa and Camille explore the notion of healing while traveling to Latin America in search of a cure for a terminal disease.</t>
  </si>
  <si>
    <t>Ron Myrick</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</si>
  <si>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</si>
  <si>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</si>
  <si>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</si>
  <si>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</si>
  <si>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</si>
  <si>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</si>
  <si>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</si>
  <si>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</si>
  <si>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Ron Underwood</t>
  </si>
  <si>
    <t>s3632</t>
  </si>
  <si>
    <t>Manu</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</si>
  <si>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</si>
  <si>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</si>
  <si>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</si>
  <si>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</si>
  <si>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</si>
  <si>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</si>
  <si>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</si>
  <si>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</si>
  <si>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</si>
  <si>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</si>
  <si>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</si>
  <si>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</si>
  <si>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</si>
  <si>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</si>
  <si>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</si>
  <si>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</si>
  <si>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Rowan Athale</t>
  </si>
  <si>
    <t>s3636</t>
  </si>
  <si>
    <t>Whitney Cummings: Can I Touch It?</t>
  </si>
  <si>
    <t>Whitney Cummings</t>
  </si>
  <si>
    <t>July 30, 2019</t>
  </si>
  <si>
    <t>In her fourth stand-up special, Whitney Cummings returns to her hometown of Washington, D.C., and riffs on modern feminism, technology and more.</t>
  </si>
  <si>
    <t>Roy Allen Smith</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</si>
  <si>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</si>
  <si>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</si>
  <si>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</si>
  <si>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</si>
  <si>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</si>
  <si>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Roy Burdine, Johnny Castuciano</t>
  </si>
  <si>
    <t>s3638</t>
  </si>
  <si>
    <t>Boi</t>
  </si>
  <si>
    <t>Bernat Quintana, Adrian Pang, Andrew Lua, Rachel Lascar, Fina Rius, Miranda Gas</t>
  </si>
  <si>
    <t>July 26, 2019</t>
  </si>
  <si>
    <t>A young chauffeur who's at a crossroads in his life escorts a pair of clients around Barcelona and becomes embroiled in their mysterious quest.</t>
  </si>
  <si>
    <t>Roy Campanella Ii</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</si>
  <si>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</si>
  <si>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</si>
  <si>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</si>
  <si>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</si>
  <si>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</si>
  <si>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</si>
  <si>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</si>
  <si>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</si>
  <si>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</si>
  <si>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</si>
  <si>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</si>
  <si>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</si>
  <si>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</si>
  <si>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Ruben Fleischer</t>
  </si>
  <si>
    <t>s3642</t>
  </si>
  <si>
    <t>The Son</t>
  </si>
  <si>
    <t>Joaquín Furriel, Martina Gusmán, Luciano Cáceres, Heidi Toini, Regina Lamm</t>
  </si>
  <si>
    <t>In this psychological thriller, painter Lorenzo's life spirals out of control as he fears his wife is trying to isolate him from their infant son.</t>
  </si>
  <si>
    <t>Rucha Humnabadkar</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</si>
  <si>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</si>
  <si>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</si>
  <si>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</si>
  <si>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</si>
  <si>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</si>
  <si>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</si>
  <si>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</si>
  <si>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July 24, 2019</t>
  </si>
  <si>
    <t>Explore how a data company named Cambridge Analytica came to symbolize the dark side of social media in the wake of the 2016 U.S. presidential election.</t>
  </si>
  <si>
    <t>Rudradeep Bhattacharjee</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</si>
  <si>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</si>
  <si>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</si>
  <si>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</si>
  <si>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</si>
  <si>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</si>
  <si>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</si>
  <si>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Rudy Soedjarwo</t>
  </si>
  <si>
    <t>s3646</t>
  </si>
  <si>
    <t>D.L. Hughley: Contrarian</t>
  </si>
  <si>
    <t>D.L. Hughley</t>
  </si>
  <si>
    <t>D.L. Hughley riffs on hot-button political issues, celebrity scandals, his mother's tough love and more in a rapid-fire stand-up show in Philadelphia.</t>
  </si>
  <si>
    <t>Rudy Soedjarwo, Riri Riza</t>
  </si>
  <si>
    <t>s3647</t>
  </si>
  <si>
    <t>Demetri Martin: The Overthinker</t>
  </si>
  <si>
    <t>With his signature one-liners and drawings, Demetri Martin muses on doughnut holes, dogs, sports bars, the alphabet's most aggressive letters and more.</t>
  </si>
  <si>
    <t>s3648</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</si>
  <si>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</si>
  <si>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</si>
  <si>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</si>
  <si>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Rupert Jones</t>
  </si>
  <si>
    <t>s3649</t>
  </si>
  <si>
    <t>The Midas Touch</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</si>
  <si>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</si>
  <si>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</si>
  <si>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</si>
  <si>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</si>
  <si>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</si>
  <si>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</si>
  <si>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Rushmore Denooyer</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</si>
  <si>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</si>
  <si>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</si>
  <si>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</si>
  <si>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</si>
  <si>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</si>
  <si>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Russell Crowe</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</si>
  <si>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</si>
  <si>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</si>
  <si>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</si>
  <si>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</si>
  <si>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</si>
  <si>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Rusty Cundieff, Darin Scott</t>
  </si>
  <si>
    <t>s3653</t>
  </si>
  <si>
    <t>¡Ay, mi madre!</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</si>
  <si>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</si>
  <si>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</si>
  <si>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</si>
  <si>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Rusty Nixon</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</si>
  <si>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</si>
  <si>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</si>
  <si>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</si>
  <si>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</si>
  <si>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</si>
  <si>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</si>
  <si>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</si>
  <si>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</si>
  <si>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</si>
  <si>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</si>
  <si>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</si>
  <si>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</si>
  <si>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</si>
  <si>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</si>
  <si>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</si>
  <si>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</si>
  <si>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Ryan Koo</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</si>
  <si>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</si>
  <si>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</si>
  <si>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</si>
  <si>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</si>
  <si>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</si>
  <si>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</si>
  <si>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</si>
  <si>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</si>
  <si>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</si>
  <si>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</si>
  <si>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</si>
  <si>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</si>
  <si>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</si>
  <si>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Ryu Jung-Woo</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</si>
  <si>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</si>
  <si>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</si>
  <si>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</si>
  <si>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</si>
  <si>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</si>
  <si>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</si>
  <si>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</si>
  <si>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</si>
  <si>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</si>
  <si>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Rza</t>
  </si>
  <si>
    <t>s3663</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</si>
  <si>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</si>
  <si>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</si>
  <si>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</si>
  <si>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</si>
  <si>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</si>
  <si>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</si>
  <si>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</si>
  <si>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</si>
  <si>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</si>
  <si>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</si>
  <si>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</si>
  <si>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</si>
  <si>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S.S. Rajamouli</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</si>
  <si>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</si>
  <si>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</si>
  <si>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</si>
  <si>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</si>
  <si>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S.S. Wilson</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</si>
  <si>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</si>
  <si>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</si>
  <si>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</si>
  <si>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</si>
  <si>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Saandeep Patel</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</si>
  <si>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</si>
  <si>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</si>
  <si>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</si>
  <si>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</si>
  <si>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</si>
  <si>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Saara Cantell</t>
  </si>
  <si>
    <t>s3669</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</si>
  <si>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</si>
  <si>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</si>
  <si>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</si>
  <si>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</si>
  <si>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</si>
  <si>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</si>
  <si>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</si>
  <si>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Sabal Singh Shekawat</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</si>
  <si>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</si>
  <si>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</si>
  <si>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</si>
  <si>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</si>
  <si>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</si>
  <si>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</si>
  <si>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</si>
  <si>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</si>
  <si>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</si>
  <si>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</si>
  <si>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Sabir Khan</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</si>
  <si>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</si>
  <si>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</si>
  <si>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</si>
  <si>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</si>
  <si>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</si>
  <si>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</si>
  <si>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</si>
  <si>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</si>
  <si>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Sabu Varghese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</si>
  <si>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</si>
  <si>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</si>
  <si>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</si>
  <si>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</si>
  <si>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</si>
  <si>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Sacha Gervasi</t>
  </si>
  <si>
    <t>s3676</t>
  </si>
  <si>
    <t>Point Blank</t>
  </si>
  <si>
    <t>Frank Grillo, Anthony Mackie, Marcia Gay Harden, Teyonah Parris, Boris McGiver, Christian Cooke, Markice Moore</t>
  </si>
  <si>
    <t>To save his pregnant wife, an emergency room nurse unwillingly partners with an injured murder suspect in a race against time and renegade cops.</t>
  </si>
  <si>
    <t>Sacha Wolff</t>
  </si>
  <si>
    <t>s3677</t>
  </si>
  <si>
    <t>The Milk System</t>
  </si>
  <si>
    <t>Germany, Italy</t>
  </si>
  <si>
    <t>Farmers, scientists and industry insiders delve into the hidden costs and consequences of global dairy production and offer up possible solutions.</t>
  </si>
  <si>
    <t>Sachin</t>
  </si>
  <si>
    <t>s3678</t>
  </si>
  <si>
    <t>True Tunes</t>
  </si>
  <si>
    <t>True and her friends are dropping sweet, silly beats with freshly modern music videos set to the sounds of classic nursery rhyme songs.</t>
  </si>
  <si>
    <t>Sachin Kamlakar Khot</t>
  </si>
  <si>
    <t>s3679</t>
  </si>
  <si>
    <t>Parchís: the Documentary</t>
  </si>
  <si>
    <t>July 11, 2019</t>
  </si>
  <si>
    <t>The spotlight's on Parchís, a record company-created Spanish boy/girl band that had unprecedented success with Top 10 songs and hit films in the '80s.</t>
  </si>
  <si>
    <t>s3680</t>
  </si>
  <si>
    <t>Aziz Ansari: RIGHT NOW</t>
  </si>
  <si>
    <t>Spike Jonze</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</si>
  <si>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</si>
  <si>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</si>
  <si>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</si>
  <si>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</si>
  <si>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</si>
  <si>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</si>
  <si>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</si>
  <si>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</si>
  <si>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</si>
  <si>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</si>
  <si>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</si>
  <si>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</si>
  <si>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</si>
  <si>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</si>
  <si>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</si>
  <si>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</si>
  <si>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</si>
  <si>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</si>
  <si>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</si>
  <si>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Sagar Sarhadi</t>
  </si>
  <si>
    <t>s3685</t>
  </si>
  <si>
    <t>Kakegurui</t>
  </si>
  <si>
    <t>Minami Hamabe, Mahiro Takasugi, Aoi Morikawa</t>
  </si>
  <si>
    <t>Yumeko Jabami enrolls at Hyakkaou Private Academy, where students are ranked by their gambling winnings and fame and fortune awaits those on top.</t>
  </si>
  <si>
    <t>Saheed Arafath</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</si>
  <si>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</si>
  <si>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</si>
  <si>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</si>
  <si>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</si>
  <si>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Sai Paranjape</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</si>
  <si>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</si>
  <si>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</si>
  <si>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</si>
  <si>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</si>
  <si>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</si>
  <si>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</si>
  <si>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Saji Surendran</t>
  </si>
  <si>
    <t>s3688</t>
  </si>
  <si>
    <t>Yummy Mummies</t>
  </si>
  <si>
    <t>Lorinska Merrington, Jane Scandizzo, Rachel Watts, Maria DiGeronimo</t>
  </si>
  <si>
    <t>It's drama Down Under when expectant mothers with model good looks and lavish lifestyles pull out all the stops to prepare for their new arrivals.</t>
  </si>
  <si>
    <t>Sajid Khan</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</si>
  <si>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</si>
  <si>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</si>
  <si>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</si>
  <si>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</si>
  <si>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</si>
  <si>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Saket Behl</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</si>
  <si>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</si>
  <si>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</si>
  <si>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</si>
  <si>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</si>
  <si>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Saket Chaudhary</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</si>
  <si>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</si>
  <si>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</si>
  <si>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</si>
  <si>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</si>
  <si>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</si>
  <si>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</si>
  <si>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</si>
  <si>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</si>
  <si>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</si>
  <si>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Salim Akil</t>
  </si>
  <si>
    <t>s3693</t>
  </si>
  <si>
    <t>Hatchimals | Adventures in Hatchtopia</t>
  </si>
  <si>
    <t>Sam Vincent, Kira Tozer, Andrea Libman</t>
  </si>
  <si>
    <t>These fun-loving creatures hatch from their shells and spread friendship, laughter and life lessons in the land of Hatchtopia.</t>
  </si>
  <si>
    <t>Salima Koroma</t>
  </si>
  <si>
    <t>s3694</t>
  </si>
  <si>
    <t>Katherine Ryan: Glitter Room</t>
  </si>
  <si>
    <t>Katherine Ryan</t>
  </si>
  <si>
    <t>Fresh from a tour, comedian Katherine Ryan shares shrewd observations about school bullies, revenge bodies and raising a very fancy child.</t>
  </si>
  <si>
    <t>Sally Potter</t>
  </si>
  <si>
    <t>s3695</t>
  </si>
  <si>
    <t>Molang</t>
  </si>
  <si>
    <t>Bruno Guéraçague</t>
  </si>
  <si>
    <t>An imaginative, big-hearted bunny and his friend, a shy chick, explore the everyday joys of their pastel-colored world.</t>
  </si>
  <si>
    <t>Salmeen Almurry Amer</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</si>
  <si>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</si>
  <si>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</si>
  <si>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</si>
  <si>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</si>
  <si>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</si>
  <si>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</si>
  <si>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</si>
  <si>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</si>
  <si>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</si>
  <si>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</si>
  <si>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Filmed over three years in 10 countries, this documentary gives voice to the women who have become victims of sexual violence as weapons of war.</t>
  </si>
  <si>
    <t>Sam "Blitz" Bazawule</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</si>
  <si>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</si>
  <si>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</si>
  <si>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</si>
  <si>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</si>
  <si>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</si>
  <si>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</si>
  <si>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</si>
  <si>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Sam Cullman</t>
  </si>
  <si>
    <t>s3700</t>
  </si>
  <si>
    <t>Romeo Akbar Walter</t>
  </si>
  <si>
    <t>John Abraham, Jackie Shroff, Mouni Roy, Sikander Kher, Raghuvir Yadav, Alka Amin, Rajesh Shringarpure, Anil George</t>
  </si>
  <si>
    <t>In 1971, a fallen army major’s son is tapped by India's Research and Analysis Wing to serve as an undercover agent in Pakistan in the lead-up to war.</t>
  </si>
  <si>
    <t>Sam De Jong</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</si>
  <si>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</si>
  <si>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</si>
  <si>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</si>
  <si>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</si>
  <si>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</si>
  <si>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</si>
  <si>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</si>
  <si>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</si>
  <si>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</si>
  <si>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</si>
  <si>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Sam Dunn, Scot Mcfadyen</t>
  </si>
  <si>
    <t>s3703</t>
  </si>
  <si>
    <t>Dope</t>
  </si>
  <si>
    <t>June 28, 2019</t>
  </si>
  <si>
    <t>Filmed from the perspectives of dealers, users and the police, this vivid series offers a bracing look at the war on drugs.</t>
  </si>
  <si>
    <t>s3704</t>
  </si>
  <si>
    <t>El testigo</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</si>
  <si>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</si>
  <si>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</si>
  <si>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</si>
  <si>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</si>
  <si>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</si>
  <si>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</si>
  <si>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</si>
  <si>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</si>
  <si>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</si>
  <si>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</si>
  <si>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</si>
  <si>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</si>
  <si>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</si>
  <si>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</si>
  <si>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</si>
  <si>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</si>
  <si>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</si>
  <si>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</si>
  <si>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Sam Liu, Frank Paur</t>
  </si>
  <si>
    <t>s3709</t>
  </si>
  <si>
    <t>Paquita Salas</t>
  </si>
  <si>
    <t>Brays Efe, Belén Cuesta, Lidia San José, Álex de Lucas, Mariona Terés</t>
  </si>
  <si>
    <t>One of Spain's best talent agents in the '90s, Paquita now finds herself searching desperately for new stars after suddenly losing her biggest client.</t>
  </si>
  <si>
    <t>Sam Loh</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</si>
  <si>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</si>
  <si>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</si>
  <si>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</si>
  <si>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</si>
  <si>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</si>
  <si>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</si>
  <si>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</si>
  <si>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</si>
  <si>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</si>
  <si>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Sam Mendes</t>
  </si>
  <si>
    <t>s3712</t>
  </si>
  <si>
    <t>Daniel Sosa: Maleducado</t>
  </si>
  <si>
    <t>Daniel Sosa</t>
  </si>
  <si>
    <t>In his second stand-up special, Daniel Sosa reminisces about his childhood, ponders Mexican traditions and points out a major problem with "Coco."</t>
  </si>
  <si>
    <t>Sam O'Steen</t>
  </si>
  <si>
    <t>s3713</t>
  </si>
  <si>
    <t>Hikaru Utada Laughter in the Dark Tour 2018</t>
  </si>
  <si>
    <t>Hikaru Utada</t>
  </si>
  <si>
    <t>June 26, 2019</t>
  </si>
  <si>
    <t>Celebrating twenty years since her debut, Hikaru Utada takes the stage at Makuhari Messe for the final performance of her Laughter in the Dark Tour.</t>
  </si>
  <si>
    <t>Sam Patton</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</si>
  <si>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</si>
  <si>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</si>
  <si>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</si>
  <si>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</si>
  <si>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</si>
  <si>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Sam Raimi</t>
  </si>
  <si>
    <t>s3715</t>
  </si>
  <si>
    <t>Unbroken</t>
  </si>
  <si>
    <t>Svati Chakravarty Bhatkal</t>
  </si>
  <si>
    <t>After the brutal murders of their loved ones, three individuals share how they healed through forgiveness in this documentary presented by Aamir Khan.</t>
  </si>
  <si>
    <t>s3716</t>
  </si>
  <si>
    <t>Mike Epps: Only One Mike</t>
  </si>
  <si>
    <t>Mike Epps</t>
  </si>
  <si>
    <t>June 25, 2019</t>
  </si>
  <si>
    <t>In a raw stand-up comedy special, Mike Epps mixes it up as he tackles sexual misconduct, special ed, aging body parts and much more.</t>
  </si>
  <si>
    <t>Sam Taplin</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</si>
  <si>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</si>
  <si>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</si>
  <si>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</si>
  <si>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</si>
  <si>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</si>
  <si>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Sam Taylor-Johnson</t>
  </si>
  <si>
    <t>s3718</t>
  </si>
  <si>
    <t>Triple Threat</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</si>
  <si>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</si>
  <si>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</si>
  <si>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</si>
  <si>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</si>
  <si>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Sam Upton</t>
  </si>
  <si>
    <t>s3719</t>
  </si>
  <si>
    <t>Blood Will Tell</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</si>
  <si>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</si>
  <si>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</si>
  <si>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</si>
  <si>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</si>
  <si>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Sam Voutas</t>
  </si>
  <si>
    <t>s3720</t>
  </si>
  <si>
    <t>Bolívar</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</si>
  <si>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</si>
  <si>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</si>
  <si>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Sam Wrench</t>
  </si>
  <si>
    <t>s3721</t>
  </si>
  <si>
    <t>EVANGELION: DEATH (TRUE)²</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</si>
  <si>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</si>
  <si>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</si>
  <si>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Samar Khan</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</si>
  <si>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</si>
  <si>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</si>
  <si>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</si>
  <si>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</si>
  <si>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</si>
  <si>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</si>
  <si>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</si>
  <si>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</si>
  <si>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</si>
  <si>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</si>
  <si>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</si>
  <si>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</si>
  <si>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Sameer Sharma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</si>
  <si>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</si>
  <si>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</si>
  <si>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</si>
  <si>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</si>
  <si>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Sameer Vidwans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</si>
  <si>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</si>
  <si>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</si>
  <si>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</si>
  <si>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</si>
  <si>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</si>
  <si>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</si>
  <si>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</si>
  <si>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</si>
  <si>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</si>
  <si>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</si>
  <si>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Samir Karnik</t>
  </si>
  <si>
    <t>s3729</t>
  </si>
  <si>
    <t>The End of Evangelion</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</si>
  <si>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</si>
  <si>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</si>
  <si>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Samir Soni</t>
  </si>
  <si>
    <t>s3730</t>
  </si>
  <si>
    <t>Rakkhosh</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</si>
  <si>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</si>
  <si>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</si>
  <si>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</si>
  <si>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Samit Kakkad</t>
  </si>
  <si>
    <t>s3731</t>
  </si>
  <si>
    <t>The Wolf's Call</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</si>
  <si>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</si>
  <si>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</si>
  <si>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</si>
  <si>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</si>
  <si>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</si>
  <si>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</si>
  <si>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</si>
  <si>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Samu Fuentes</t>
  </si>
  <si>
    <t>s3733</t>
  </si>
  <si>
    <t>The Edge of Democracy</t>
  </si>
  <si>
    <t>Political documentary and personal memoir collide in this exploration into the complex truth behind the unraveling of two Brazilian presidencies.</t>
  </si>
  <si>
    <t>Samuel D. Pollard</t>
  </si>
  <si>
    <t>s3734</t>
  </si>
  <si>
    <t>Adam Devine: Best Time of Our Lives</t>
  </si>
  <si>
    <t>Adam Devine</t>
  </si>
  <si>
    <t>June 18, 2019</t>
  </si>
  <si>
    <t>Frenetic comic Adam Devine talks teen awkwardness, celebrity encounters, his "Pitch Perfect" audition and more in a special from his hometown of Omaha.</t>
  </si>
  <si>
    <t>Samuel Jouy</t>
  </si>
  <si>
    <t>s3735</t>
  </si>
  <si>
    <t>Cop Car</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</si>
  <si>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</si>
  <si>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</si>
  <si>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</si>
  <si>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</si>
  <si>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</si>
  <si>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</si>
  <si>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</si>
  <si>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Sandeep Chatterjee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</si>
  <si>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</si>
  <si>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</si>
  <si>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</si>
  <si>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</si>
  <si>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</si>
  <si>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</si>
  <si>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</si>
  <si>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</si>
  <si>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</si>
  <si>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Sandi Tan</t>
  </si>
  <si>
    <t>s3739</t>
  </si>
  <si>
    <t>Life Overtakes Me</t>
  </si>
  <si>
    <t>Sweden, United States</t>
  </si>
  <si>
    <t>In the grip of trauma, hundreds of refugee children in Sweden withdraw from life's uncertainties into a coma-like illness called Resignation Syndrome.</t>
  </si>
  <si>
    <t>Sandra Restrepo</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</si>
  <si>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</si>
  <si>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</si>
  <si>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</si>
  <si>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</si>
  <si>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</si>
  <si>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Sandy Chronopoulos</t>
  </si>
  <si>
    <t>s3741</t>
  </si>
  <si>
    <t>Pihu</t>
  </si>
  <si>
    <t>Vinod Kapri</t>
  </si>
  <si>
    <t>Pihu Myra Vishwakarma</t>
  </si>
  <si>
    <t>A two-year-old must fend for herself when her mother suddenly passes away while her father is gone for a conference, leaving her prone to danger.</t>
  </si>
  <si>
    <t>Sang-Ho Yeon</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</si>
  <si>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</si>
  <si>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</si>
  <si>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</si>
  <si>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</si>
  <si>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</si>
  <si>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</si>
  <si>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</si>
  <si>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</si>
  <si>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Sanjay Dayma</t>
  </si>
  <si>
    <t>s3744</t>
  </si>
  <si>
    <t>The Alcàsser Murders</t>
  </si>
  <si>
    <t>New interviews and an up-to-date analysis of evidence shed light on the 1992 murders of three girls in Spain and their profound impact on the nation.</t>
  </si>
  <si>
    <t>Sanjay Gupta</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</si>
  <si>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</si>
  <si>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</si>
  <si>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</si>
  <si>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</si>
  <si>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</si>
  <si>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</si>
  <si>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</si>
  <si>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</si>
  <si>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</si>
  <si>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Sanjay Leela Bhansali</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</si>
  <si>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</si>
  <si>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</si>
  <si>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</si>
  <si>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</si>
  <si>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Sanjay Patel</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</si>
  <si>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</si>
  <si>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</si>
  <si>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</si>
  <si>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</si>
  <si>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Sanjay Soorkar</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</si>
  <si>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</si>
  <si>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</si>
  <si>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</si>
  <si>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</si>
  <si>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Sanjeev Gupta</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</si>
  <si>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</si>
  <si>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</si>
  <si>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</si>
  <si>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</si>
  <si>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Sanjib Dey</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</si>
  <si>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</si>
  <si>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</si>
  <si>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</si>
  <si>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</si>
  <si>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</si>
  <si>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</si>
  <si>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</si>
  <si>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</si>
  <si>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</si>
  <si>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</si>
  <si>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</si>
  <si>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</si>
  <si>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</si>
  <si>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</si>
  <si>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</si>
  <si>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</si>
  <si>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Santiago Diaz, Pablo Martin Farina</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</si>
  <si>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</si>
  <si>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</si>
  <si>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</si>
  <si>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</si>
  <si>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Santosh Manjrekar</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</si>
  <si>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</si>
  <si>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</si>
  <si>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</si>
  <si>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</si>
  <si>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</si>
  <si>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Santosh Sivan</t>
  </si>
  <si>
    <t>s3757</t>
  </si>
  <si>
    <t>Oprah Presents When They See Us Now</t>
  </si>
  <si>
    <t>Oprah Winfrey, Ava DuVernay</t>
  </si>
  <si>
    <t>Oprah Winfrey talks with the exonerated men once known as the Central Park Five, plus the cast and producers who tell their story in "When They See Us."</t>
  </si>
  <si>
    <t>s3758</t>
  </si>
  <si>
    <t>The 3rd Eye 2</t>
  </si>
  <si>
    <t>Jessica Mila, Bianca Hello, Nabilah Ayu, Sophia Latjuba, Jeremy Thomas</t>
  </si>
  <si>
    <t>Working in an orphanage, Alia meets teen Nadia, who says she hears a strange voice in the walls. When they try to find the source, things go very wrong.</t>
  </si>
  <si>
    <t>Santwana Bardoloi</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</si>
  <si>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</si>
  <si>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</si>
  <si>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</si>
  <si>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</si>
  <si>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</si>
  <si>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</si>
  <si>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</si>
  <si>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</si>
  <si>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Sara Dosa</t>
  </si>
  <si>
    <t>s3761</t>
  </si>
  <si>
    <t>Upin &amp; Ipin</t>
  </si>
  <si>
    <t>Nurfathiah Diaz</t>
  </si>
  <si>
    <t>June 10, 2019</t>
  </si>
  <si>
    <t>Two mischievous yet lovable five-year-old twins and their friends enjoy daily life and new discoveries with the residents of their Malaysian village.</t>
  </si>
  <si>
    <t>Sarah Adina Smith</t>
  </si>
  <si>
    <t>s3762</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</si>
  <si>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</si>
  <si>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</si>
  <si>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</si>
  <si>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</si>
  <si>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</si>
  <si>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</si>
  <si>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</si>
  <si>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</si>
  <si>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</si>
  <si>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Sarah Holt</t>
  </si>
  <si>
    <t>s3764</t>
  </si>
  <si>
    <t>Elisa &amp; Marcela</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</si>
  <si>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</si>
  <si>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</si>
  <si>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Sarah Moshman</t>
  </si>
  <si>
    <t>s3765</t>
  </si>
  <si>
    <t>I Am Mother</t>
  </si>
  <si>
    <t>Clara Rugaard, Rose Byrne, Hilary Swank, Luke Hawker</t>
  </si>
  <si>
    <t>Following humanity's mass extinction, a teen raised alone by a maternal droid finds her entire world shaken when she encounters another human.</t>
  </si>
  <si>
    <t>Sarah Smith</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</si>
  <si>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</si>
  <si>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</si>
  <si>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</si>
  <si>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</si>
  <si>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Saratswadee Wongsomphet</t>
  </si>
  <si>
    <t>s3767</t>
  </si>
  <si>
    <t>Pachamama</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</si>
  <si>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</si>
  <si>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</si>
  <si>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</si>
  <si>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</si>
  <si>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</si>
  <si>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</si>
  <si>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</si>
  <si>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</si>
  <si>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</si>
  <si>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</si>
  <si>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</si>
  <si>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</si>
  <si>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</si>
  <si>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</si>
  <si>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</si>
  <si>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</si>
  <si>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Sarik Andreasyan</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</si>
  <si>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</si>
  <si>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</si>
  <si>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</si>
  <si>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</si>
  <si>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Sarjun</t>
  </si>
  <si>
    <t>s3772</t>
  </si>
  <si>
    <t>The Black Godfather</t>
  </si>
  <si>
    <t>Clarence Avant, Quincy Jones</t>
  </si>
  <si>
    <t>This documentary follows the life of Clarence Avant, the ultimate, uncensored mentor and behind-the-scenes rainmaker in music, film, TV and politics.</t>
  </si>
  <si>
    <t>s3773</t>
  </si>
  <si>
    <t>Alles ist gut</t>
  </si>
  <si>
    <t>Aenne Schwarz, Andreas Döhler, Hans Löw, Tilo Nest, Lina Wendel, Lisa Hagmeister</t>
  </si>
  <si>
    <t>June 6, 2019</t>
  </si>
  <si>
    <t>A woman sexually assaulted by her new boss's brother-in-law tries to move on as if nothing happened, but the night weighs heavily on her mind and body.</t>
  </si>
  <si>
    <t>Sartaj Singh Pannu</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</si>
  <si>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</si>
  <si>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</si>
  <si>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</si>
  <si>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</si>
  <si>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</si>
  <si>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Sarthak Dasgupta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</si>
  <si>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</si>
  <si>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</si>
  <si>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</si>
  <si>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</si>
  <si>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Sathyan Anthikad</t>
  </si>
  <si>
    <t>s3776</t>
  </si>
  <si>
    <t>Cosmos Laundromat: First Cycle</t>
  </si>
  <si>
    <t>Pierre Bokma, Reinout Scholten van Aschat</t>
  </si>
  <si>
    <t>June 4, 2019</t>
  </si>
  <si>
    <t>Despondent on a desolate island, a suicidal sheep is thrown a lifeline by a quirky salesman, who offers him the gift of a lifetime.</t>
  </si>
  <si>
    <t>Satish Kaushik</t>
  </si>
  <si>
    <t>s3777</t>
  </si>
  <si>
    <t>Miranda Sings Live…Your Welcome</t>
  </si>
  <si>
    <t>Colleen Ballinger</t>
  </si>
  <si>
    <t>Viral video star Miranda Sings and her real-world alter ego Colleen Ballinger share the stage in a special packed with music, comedy and "magichinry."</t>
  </si>
  <si>
    <t>Satish Manwar</t>
  </si>
  <si>
    <t>s3778</t>
  </si>
  <si>
    <t>Silent</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</si>
  <si>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</si>
  <si>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</si>
  <si>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</si>
  <si>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</si>
  <si>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</si>
  <si>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</si>
  <si>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</si>
  <si>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</si>
  <si>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</si>
  <si>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</si>
  <si>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</si>
  <si>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Saul Dibb</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</si>
  <si>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</si>
  <si>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</si>
  <si>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</si>
  <si>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</si>
  <si>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</si>
  <si>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</si>
  <si>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</si>
  <si>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</si>
  <si>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</si>
  <si>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</si>
  <si>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</si>
  <si>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</si>
  <si>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</si>
  <si>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</si>
  <si>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Saurav Palodhi</t>
  </si>
  <si>
    <t>s3784</t>
  </si>
  <si>
    <t>III Smoking Barrels</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</si>
  <si>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</si>
  <si>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</si>
  <si>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</si>
  <si>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</si>
  <si>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</si>
  <si>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</si>
  <si>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</si>
  <si>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</si>
  <si>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</si>
  <si>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</si>
  <si>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</si>
  <si>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</si>
  <si>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</si>
  <si>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</si>
  <si>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</si>
  <si>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</si>
  <si>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</si>
  <si>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</si>
  <si>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</si>
  <si>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Scott Aukerman, Akiva Schaffer</t>
  </si>
  <si>
    <t>s3789</t>
  </si>
  <si>
    <t>Chopsticks</t>
  </si>
  <si>
    <t>Abhay Deol, Mithila Palkar, Vijay Raaz</t>
  </si>
  <si>
    <t>A gifted but insecure woman embarks on a transformative journey when she enlists an enigmatic con man to recover her stolen car from an eccentric thug.</t>
  </si>
  <si>
    <t>Scott Cooper</t>
  </si>
  <si>
    <t>s3790</t>
  </si>
  <si>
    <t>Killer Ratings</t>
  </si>
  <si>
    <t>Brazilian TV personality and politician Wallace Souza faces accusations of masterminding the violent crimes he reported on and rallied against.</t>
  </si>
  <si>
    <t>Scott Hicks</t>
  </si>
  <si>
    <t>s3791</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</si>
  <si>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</si>
  <si>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</si>
  <si>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</si>
  <si>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Scott Hussion, Seth Fuller</t>
  </si>
  <si>
    <t>s3792</t>
  </si>
  <si>
    <t>Pegasus</t>
  </si>
  <si>
    <t>Shen Teng, Yin Zheng, Johnny Huang, Zhang Benyu, Yin Fang, Tian Yu, Wei Xiang</t>
  </si>
  <si>
    <t>After a five-year suspension, a once-legendary race car driver decides to get back in the game against a new generation of opponents.</t>
  </si>
  <si>
    <t>Scott L. Montoya</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</si>
  <si>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</si>
  <si>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</si>
  <si>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</si>
  <si>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</si>
  <si>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Scott Marshall Smith</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</si>
  <si>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</si>
  <si>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</si>
  <si>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</si>
  <si>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</si>
  <si>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</si>
  <si>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Scott Martin</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</si>
  <si>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</si>
  <si>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</si>
  <si>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</si>
  <si>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</si>
  <si>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Scott Mcaboy</t>
  </si>
  <si>
    <t>s3796</t>
  </si>
  <si>
    <t>After Maria</t>
  </si>
  <si>
    <t>Displaced by Hurricane Maria, three Puerto Rican women navigate their families' uncertain futures as their federal housing aid in New York expires.</t>
  </si>
  <si>
    <t>Scott Moran</t>
  </si>
  <si>
    <t>s3797</t>
  </si>
  <si>
    <t>Hyper HardBoiled Gourmet Report</t>
  </si>
  <si>
    <t>Kazutoyo Koyabu</t>
  </si>
  <si>
    <t>To live is to eat. For people around the world in precarious and dangerous circumstances, eating itself is dangerous, precarious – and essential.</t>
  </si>
  <si>
    <t>Scott Mosier, Yarrow Cheney</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</si>
  <si>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</si>
  <si>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</si>
  <si>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</si>
  <si>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</si>
  <si>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</si>
  <si>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</si>
  <si>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</si>
  <si>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</si>
  <si>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</si>
  <si>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</si>
  <si>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</si>
  <si>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</si>
  <si>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</si>
  <si>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</si>
  <si>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</si>
  <si>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</si>
  <si>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</si>
  <si>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</si>
  <si>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</si>
  <si>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</si>
  <si>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</si>
  <si>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</si>
  <si>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</si>
  <si>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Scott Walker</t>
  </si>
  <si>
    <t>s3803</t>
  </si>
  <si>
    <t>The Lonely Island Presents: The Unauthorized Bash Brothers Experience</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</si>
  <si>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</si>
  <si>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</si>
  <si>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</si>
  <si>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</si>
  <si>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</si>
  <si>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</si>
  <si>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</si>
  <si>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</si>
  <si>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</si>
  <si>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</si>
  <si>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</si>
  <si>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</si>
  <si>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</si>
  <si>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</si>
  <si>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</si>
  <si>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</si>
  <si>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Sean Cisterna</t>
  </si>
  <si>
    <t>s3807</t>
  </si>
  <si>
    <t>Prince of Peoria</t>
  </si>
  <si>
    <t>Gavin Lewis, Theodore Barnes, Shelby Simmons, Cynthia Kaye McWilliams</t>
  </si>
  <si>
    <t>A prankster prince who wants to experience life as an ordinary teen leaves his kingdom to live incognito with a single mom and her studious son.</t>
  </si>
  <si>
    <t>Sean Foley</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</si>
  <si>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</si>
  <si>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</si>
  <si>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</si>
  <si>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</si>
  <si>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Sean Hanish</t>
  </si>
  <si>
    <t>s3809</t>
  </si>
  <si>
    <t>Archival video and new interviews examine Mexican politics in 1994, a year marked by the rise of the EZLN and the assassination of Luis Donaldo Colosio.</t>
  </si>
  <si>
    <t>Sean Mcnamara</t>
  </si>
  <si>
    <t>s3810</t>
  </si>
  <si>
    <t>Born in Gaza</t>
  </si>
  <si>
    <t>This documentary focuses on the devastating violence of the Israel-Palestine conflict and its effects on the children of Gaza.</t>
  </si>
  <si>
    <t>Sean Menard</t>
  </si>
  <si>
    <t>s3811</t>
  </si>
  <si>
    <t>Born in Syria</t>
  </si>
  <si>
    <t>Denmark, Spain</t>
  </si>
  <si>
    <t>This intimate documentary follows a group of Syrian children refugees who narrowly escape a life of torment and integrate into a foreign land.</t>
  </si>
  <si>
    <t>Sean Olson</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</si>
  <si>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</si>
  <si>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</si>
  <si>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</si>
  <si>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</si>
  <si>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</si>
  <si>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</si>
  <si>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</si>
  <si>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Sebastian Dinatale</t>
  </si>
  <si>
    <t>s3814</t>
  </si>
  <si>
    <t>Maria</t>
  </si>
  <si>
    <t>Cristine Reyes, Germaine De Leon, KC Montero, Ronnie Lazaro, Freddie Webb</t>
  </si>
  <si>
    <t>An ex-assassin tries to leave her dark past behind until a power-hungry gang targets her and her family, forcing her to summon her killer instincts.</t>
  </si>
  <si>
    <t>Sebastian Gutierrez</t>
  </si>
  <si>
    <t>s3815</t>
  </si>
  <si>
    <t>ReMastered: The Lion's Share</t>
  </si>
  <si>
    <t>After discovering the family of Solomon Linda, the writer of "The Lion Sleeps Tonight," a reporter tries to help them fight for fair compensation.</t>
  </si>
  <si>
    <t>Sebastián Hofmann</t>
  </si>
  <si>
    <t>s3816</t>
  </si>
  <si>
    <t>Saverio Raimondo: Il Satiro Parlante</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</si>
  <si>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</si>
  <si>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</si>
  <si>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</si>
  <si>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</si>
  <si>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</si>
  <si>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</si>
  <si>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</si>
  <si>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</si>
  <si>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</si>
  <si>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</si>
  <si>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</si>
  <si>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Sébastien Betbeder</t>
  </si>
  <si>
    <t>s3819</t>
  </si>
  <si>
    <t>Good Sam</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</si>
  <si>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</si>
  <si>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</si>
  <si>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Sedat Kirtan, Kubilay Sarikaya</t>
  </si>
  <si>
    <t>s3820</t>
  </si>
  <si>
    <t>Jonaki</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</si>
  <si>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</si>
  <si>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</si>
  <si>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</si>
  <si>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</si>
  <si>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Beattie Edmondson, Ed Skrein, Tom Bennett, Jennifer Saunders</t>
  </si>
  <si>
    <t>When a schoolteacher inherits an adorable pug, she has to find a way to take care of it while dealing with her flatlining love life.</t>
  </si>
  <si>
    <t>Seiji Mizushima</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</si>
  <si>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</si>
  <si>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</si>
  <si>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</si>
  <si>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</si>
  <si>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</si>
  <si>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</si>
  <si>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</si>
  <si>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</si>
  <si>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</si>
  <si>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</si>
  <si>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</si>
  <si>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</si>
  <si>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</si>
  <si>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</si>
  <si>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</si>
  <si>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</si>
  <si>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</si>
  <si>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</si>
  <si>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</si>
  <si>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</si>
  <si>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Selima Taibi</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</si>
  <si>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</si>
  <si>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</si>
  <si>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</si>
  <si>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</si>
  <si>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Selvamani Selvaraj</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</si>
  <si>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</si>
  <si>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</si>
  <si>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</si>
  <si>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</si>
  <si>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</si>
  <si>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</si>
  <si>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</si>
  <si>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</si>
  <si>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</si>
  <si>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</si>
  <si>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</si>
  <si>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Serdar Akar</t>
  </si>
  <si>
    <t>s3831</t>
  </si>
  <si>
    <t>Merata: How Mum Decolonised the Screen</t>
  </si>
  <si>
    <t>New Zealand film archivist Heperi Mita traces the cinematic legacy of his mother and trailblazing Maori filmmaker Merata Mita.</t>
  </si>
  <si>
    <t>Seren Yüce</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</si>
  <si>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</si>
  <si>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</si>
  <si>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</si>
  <si>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</si>
  <si>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</si>
  <si>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</si>
  <si>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</si>
  <si>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</si>
  <si>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</si>
  <si>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</si>
  <si>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</si>
  <si>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</si>
  <si>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</si>
  <si>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Sergio Barrejón</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</si>
  <si>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</si>
  <si>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</si>
  <si>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</si>
  <si>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</si>
  <si>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</si>
  <si>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</si>
  <si>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</si>
  <si>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</si>
  <si>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</si>
  <si>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</si>
  <si>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</si>
  <si>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</si>
  <si>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</si>
  <si>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</si>
  <si>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</si>
  <si>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</si>
  <si>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</si>
  <si>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</si>
  <si>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</si>
  <si>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</si>
  <si>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Seth Barrish, Mike Birbiglia</t>
  </si>
  <si>
    <t>s3840</t>
  </si>
  <si>
    <t>The Princess Weiyoung</t>
  </si>
  <si>
    <t>Tiffany Tang, Luo Jin, Vanness Wu, Rachel Momo, Hsin Ai Lee</t>
  </si>
  <si>
    <t>A princess descended from a ruined noble family disguises herself as the woman who saved her life and embarks on a mission to avenge her loved ones.</t>
  </si>
  <si>
    <t>Seth Gordon</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</si>
  <si>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</si>
  <si>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</si>
  <si>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</si>
  <si>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</si>
  <si>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Seth Henrikson</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</si>
  <si>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</si>
  <si>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</si>
  <si>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</si>
  <si>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</si>
  <si>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</si>
  <si>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</si>
  <si>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</si>
  <si>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</si>
  <si>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</si>
  <si>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Shaad Ali</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</si>
  <si>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</si>
  <si>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</si>
  <si>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</si>
  <si>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</si>
  <si>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Shadab Khan</t>
  </si>
  <si>
    <t>s3845</t>
  </si>
  <si>
    <t>Bibik-Bibikku</t>
  </si>
  <si>
    <t>Ungku Ismail, Fasha Sandha, Bell Ngasri, Wan Sharmila</t>
  </si>
  <si>
    <t>When a busy mother and father realize they need help with their two young children, they hire a series of maids, often with humorous results.</t>
  </si>
  <si>
    <t>Shadi Ali</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</si>
  <si>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</si>
  <si>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</si>
  <si>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</si>
  <si>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</si>
  <si>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</si>
  <si>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</si>
  <si>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</si>
  <si>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</si>
  <si>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Shagufta Rafique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</si>
  <si>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</si>
  <si>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</si>
  <si>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</si>
  <si>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</si>
  <si>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Shaina Allen</t>
  </si>
  <si>
    <t>s3849</t>
  </si>
  <si>
    <t>Cinta Teruna Kimchi</t>
  </si>
  <si>
    <t>Nazim Othman, Johan As'ari, Nur Risteena, Niena Baharun</t>
  </si>
  <si>
    <t>When a young man determines to discover his father's true identity, he faces unexpected realizations that shake his sense of self.</t>
  </si>
  <si>
    <t>Shakti Samanta</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</si>
  <si>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</si>
  <si>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</si>
  <si>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</si>
  <si>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</si>
  <si>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</si>
  <si>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</si>
  <si>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</si>
  <si>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</si>
  <si>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</si>
  <si>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</si>
  <si>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</si>
  <si>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</si>
  <si>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Shammi Kapoor</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</si>
  <si>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</si>
  <si>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</si>
  <si>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</si>
  <si>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</si>
  <si>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Shamyl Othman</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</si>
  <si>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</si>
  <si>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</si>
  <si>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</si>
  <si>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</si>
  <si>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</si>
  <si>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</si>
  <si>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</si>
  <si>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</si>
  <si>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</si>
  <si>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</si>
  <si>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</si>
  <si>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</si>
  <si>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Shanawaz Nellikunnil</t>
  </si>
  <si>
    <t>s3857</t>
  </si>
  <si>
    <t>What If?</t>
  </si>
  <si>
    <t>Monther Rayahnah, Khaled Ameen, Aseel Omran, Rawan Mahdi, Ali Al-Husseini, Abdullah Al-Turkumani</t>
  </si>
  <si>
    <t>Four individuals at a crossroads in life are given the chance to take both paths, and decide which road is best for them.</t>
  </si>
  <si>
    <t>Shane Acker</t>
  </si>
  <si>
    <t>s3858</t>
  </si>
  <si>
    <t>Last Breath</t>
  </si>
  <si>
    <t>Alex Parkinson, Richard da Costa</t>
  </si>
  <si>
    <t>United Kingdom, Belgium, Sweden</t>
  </si>
  <si>
    <t>A commercial diver becomes trapped on the ocean floor with dwindling oxygen and little hope of a timely rescue, so he tries to save himself.</t>
  </si>
  <si>
    <t>Shanjey Kumar Perumal</t>
  </si>
  <si>
    <t>s3859</t>
  </si>
  <si>
    <t>The Wandering Earth</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</si>
  <si>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</si>
  <si>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</si>
  <si>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</si>
  <si>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</si>
  <si>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After starting a family of his very own in America, a gay filmmaker documents his loving, traditional Chinese family's process of acceptance.</t>
  </si>
  <si>
    <t>s3861</t>
  </si>
  <si>
    <t>Crime Diaries: Night Out</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</si>
  <si>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</si>
  <si>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</si>
  <si>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Shannon Hartman, Michelle Caputo</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</si>
  <si>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</si>
  <si>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</si>
  <si>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</si>
  <si>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</si>
  <si>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</si>
  <si>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</si>
  <si>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</si>
  <si>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</si>
  <si>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</si>
  <si>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</si>
  <si>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</si>
  <si>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</si>
  <si>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</si>
  <si>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</si>
  <si>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</si>
  <si>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</si>
  <si>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</si>
  <si>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</si>
  <si>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</si>
  <si>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</si>
  <si>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</si>
  <si>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</si>
  <si>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Sharon Grimberg</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</si>
  <si>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</si>
  <si>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</si>
  <si>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</si>
  <si>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</si>
  <si>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</si>
  <si>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</si>
  <si>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</si>
  <si>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</si>
  <si>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</si>
  <si>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</si>
  <si>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</si>
  <si>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</si>
  <si>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</si>
  <si>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Shashanka Ghosh</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</si>
  <si>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</si>
  <si>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</si>
  <si>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</si>
  <si>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</si>
  <si>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</si>
  <si>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</si>
  <si>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</si>
  <si>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</si>
  <si>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Shashilal K. Nair</t>
  </si>
  <si>
    <t>s3872</t>
  </si>
  <si>
    <t>John &amp; Yoko: Above Us Only Sky</t>
  </si>
  <si>
    <t>John Lennon, Yoko Ono</t>
  </si>
  <si>
    <t>Featuring interviews and never-before-seen footage, this film tells the story behind John Lennon and Yoko Ono’s seminal 1971 album, “Imagine.”</t>
  </si>
  <si>
    <t>Shaul Schwarz, Christina Clusiau</t>
  </si>
  <si>
    <t>s3873</t>
  </si>
  <si>
    <t>Knock Down The House</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</si>
  <si>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</si>
  <si>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</si>
  <si>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</si>
  <si>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</si>
  <si>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</si>
  <si>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</si>
  <si>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</si>
  <si>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</si>
  <si>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</si>
  <si>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</si>
  <si>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</si>
  <si>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Shawn Arranha</t>
  </si>
  <si>
    <t>s3876</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</si>
  <si>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</si>
  <si>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</si>
  <si>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</si>
  <si>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</si>
  <si>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Shawn Crahan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</si>
  <si>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</si>
  <si>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</si>
  <si>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</si>
  <si>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</si>
  <si>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</si>
  <si>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</si>
  <si>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</si>
  <si>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</si>
  <si>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</si>
  <si>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</si>
  <si>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</si>
  <si>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</si>
  <si>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</si>
  <si>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</si>
  <si>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</si>
  <si>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</si>
  <si>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Shazia Ali Khan</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</si>
  <si>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</si>
  <si>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</si>
  <si>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</si>
  <si>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</si>
  <si>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Shazia Javed</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</si>
  <si>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</si>
  <si>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</si>
  <si>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</si>
  <si>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</si>
  <si>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Shekhar Kapur</t>
  </si>
  <si>
    <t>s3883</t>
  </si>
  <si>
    <t>KO One Return</t>
  </si>
  <si>
    <t>Jiro Wang, Pets Tseng, Sam Lin, Xu Ming-jie, Sylvia Wang, Monkey Shao, Zhang Hao Ming, Na Wei-hsun</t>
  </si>
  <si>
    <t>A time quake propels Wang Dadong into the future, where he encounters a classmate named King who presides over the KO One.</t>
  </si>
  <si>
    <t>Shelly Chopra Dhar</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</si>
  <si>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</si>
  <si>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</si>
  <si>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</si>
  <si>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</si>
  <si>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</si>
  <si>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</si>
  <si>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</si>
  <si>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</si>
  <si>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</si>
  <si>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</si>
  <si>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</si>
  <si>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Zoya Hussain, Suhasini Mulay, Jim Sarbh, Aarya Dave, Anjum Rajabali, M.K. Raina</t>
  </si>
  <si>
    <t>At a 50-year-old house that served as a school, a brothel, and now a home, tales unfold of the residents who have lived there, longing for an escape.</t>
  </si>
  <si>
    <t>Sherif Ismail</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</si>
  <si>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</si>
  <si>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</si>
  <si>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</si>
  <si>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</si>
  <si>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</si>
  <si>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Sherif Mandour</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</si>
  <si>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</si>
  <si>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</si>
  <si>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</si>
  <si>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</si>
  <si>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</si>
  <si>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</si>
  <si>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</si>
  <si>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</si>
  <si>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</si>
  <si>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</si>
  <si>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</si>
  <si>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</si>
  <si>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</si>
  <si>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</si>
  <si>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Shikha Makan</t>
  </si>
  <si>
    <t>s3891</t>
  </si>
  <si>
    <t>Njan Prakashan</t>
  </si>
  <si>
    <t>Fahadh Faasil, Sreenivasan, Nikhila Vimal, Devika Sanjay, Anju Kurian, K.P.A.C. Lalitha</t>
  </si>
  <si>
    <t>Yearning for a lavish life abroad, an entitled, lazy sexist crafts a scam to ditch his thankless nursing job and find a wealthy spouse to secure a visa.</t>
  </si>
  <si>
    <t>Shin Won-Ho</t>
  </si>
  <si>
    <t>s3892</t>
  </si>
  <si>
    <t>ReMastered: Devil at the Crossroads</t>
  </si>
  <si>
    <t>Cloaked in mystery, bluesman Robert Johnson left his mark on American music. Now family, critics and famous fans look for the real man behind the music.</t>
  </si>
  <si>
    <t>Shin-Yeon Won</t>
  </si>
  <si>
    <t>s3893</t>
  </si>
  <si>
    <t>Street Food</t>
  </si>
  <si>
    <t>Embark on a global cultural journey into street food and discover the stories of the people who create the flavorful dishes.</t>
  </si>
  <si>
    <t>Shinji Aramaki, Mamoru Oshii, Hideki Futamura, Toshiyuki Kanno, Tomoki Kyoda, Koichi Mashimo, Yasushi Muraki, Daisuke Nishio, Frank O'Connor, Koji Sawai, Joseph Chou, Hiroshi Yamazaki</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</si>
  <si>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</si>
  <si>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</si>
  <si>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</si>
  <si>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</si>
  <si>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</si>
  <si>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</si>
  <si>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</si>
  <si>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</si>
  <si>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</si>
  <si>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</si>
  <si>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</si>
  <si>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</si>
  <si>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</si>
  <si>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It lit up jazz and hip-hop – and ignited a war on drugs steeped in racial injustice. Experts explore America's complicated relationship with weed.</t>
  </si>
  <si>
    <t>s3897</t>
  </si>
  <si>
    <t>Brené Brown: The Call to Courage</t>
  </si>
  <si>
    <t>Brené Brown</t>
  </si>
  <si>
    <t>April 19, 2019</t>
  </si>
  <si>
    <t>With humor and empathy, Brené Brown discusses what it takes to choose courage over comfort in a culture defined by scarcity, fear and uncertainty.</t>
  </si>
  <si>
    <t>Shivam Nair</t>
  </si>
  <si>
    <t>s3898</t>
  </si>
  <si>
    <t>KO One</t>
  </si>
  <si>
    <t>Aaron Yan, Jiro Wang, Calvin Ka-Sing Chen, Danson Tang, Tsai Yi-chen, Alien Huang</t>
  </si>
  <si>
    <t>Gifted with special powers, fighting skills and slick hair, the rowdy KO One navigates tough friendships and high school romance.</t>
  </si>
  <si>
    <t>Shivendra Singh Dungarpur</t>
  </si>
  <si>
    <t>s3899</t>
  </si>
  <si>
    <t>Lunatics</t>
  </si>
  <si>
    <t>Chris Lilley</t>
  </si>
  <si>
    <t>This mockumentary series follows the peculiar lives of six eccentric – and sometimes obscene – misfits who march to their own beat.</t>
  </si>
  <si>
    <t>Shlok Sharma</t>
  </si>
  <si>
    <t>s3900</t>
  </si>
  <si>
    <t>Music Teacher</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</si>
  <si>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</si>
  <si>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</si>
  <si>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</si>
  <si>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</si>
  <si>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</si>
  <si>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</si>
  <si>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</si>
  <si>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</si>
  <si>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</si>
  <si>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</si>
  <si>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</si>
  <si>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</si>
  <si>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</si>
  <si>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</si>
  <si>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Shravan Kumar</t>
  </si>
  <si>
    <t>s3904</t>
  </si>
  <si>
    <t>Someone Great</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</si>
  <si>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</si>
  <si>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</si>
  <si>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Shree Narayan Singh</t>
  </si>
  <si>
    <t>s3905</t>
  </si>
  <si>
    <t>The Ruthless</t>
  </si>
  <si>
    <t>Riccardo Scamarcio, Sara Serraiocco, Alessio Praticò, Alessandro Tedeschi, Marie-Ange Casta</t>
  </si>
  <si>
    <t>Italy, France</t>
  </si>
  <si>
    <t>A rebellious teen grows up to become one of Milan's most ambitious criminals during the golden years of the 'ndrangheta Mafia in the 1980s.</t>
  </si>
  <si>
    <t>Shreyas Talpade</t>
  </si>
  <si>
    <t>s3906</t>
  </si>
  <si>
    <t>A Little Chaos</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</si>
  <si>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</si>
  <si>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</si>
  <si>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</si>
  <si>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Shrihari Sathe</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</si>
  <si>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</si>
  <si>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</si>
  <si>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</si>
  <si>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</si>
  <si>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</si>
  <si>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</si>
  <si>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</si>
  <si>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This intimate, in-depth look at Beyoncé's celebrated 2018 Coachella performance reveals the emotional road from creative concept to cultural movement.</t>
  </si>
  <si>
    <t>s3909</t>
  </si>
  <si>
    <t>About Time</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</si>
  <si>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</si>
  <si>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</si>
  <si>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</si>
  <si>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</si>
  <si>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</si>
  <si>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</si>
  <si>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</si>
  <si>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Shweta Basu Prasad</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</si>
  <si>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</si>
  <si>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</si>
  <si>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</si>
  <si>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</si>
  <si>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</si>
  <si>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</si>
  <si>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</si>
  <si>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</si>
  <si>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</si>
  <si>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</si>
  <si>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Shyamal Chaulia, Asit Mohapatra</t>
  </si>
  <si>
    <t>s3913</t>
  </si>
  <si>
    <t>Generation Iron 3</t>
  </si>
  <si>
    <t>Bodybuilders come together from around the world to compete in the Mr. Olympia competition and try to achieve their goals of physical perfection.</t>
  </si>
  <si>
    <t>Sian Heder</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</si>
  <si>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</si>
  <si>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</si>
  <si>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</si>
  <si>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</si>
  <si>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</si>
  <si>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</si>
  <si>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</si>
  <si>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</si>
  <si>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</si>
  <si>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</si>
  <si>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</si>
  <si>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</si>
  <si>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</si>
  <si>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</si>
  <si>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</si>
  <si>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</si>
  <si>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</si>
  <si>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Sidharth Malhotra</t>
  </si>
  <si>
    <t>s3918</t>
  </si>
  <si>
    <t>Shabd</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</si>
  <si>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</si>
  <si>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</si>
  <si>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</si>
  <si>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</si>
  <si>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</si>
  <si>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</si>
  <si>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Sidheswar Shukla, Asit Mohapatra</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</si>
  <si>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</si>
  <si>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</si>
  <si>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</si>
  <si>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</si>
  <si>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</si>
  <si>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Sigrid Andrea Bernardo</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</si>
  <si>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</si>
  <si>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</si>
  <si>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</si>
  <si>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</si>
  <si>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</si>
  <si>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</si>
  <si>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Simon Baker</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</si>
  <si>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</si>
  <si>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</si>
  <si>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</si>
  <si>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</si>
  <si>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Simon Curtis</t>
  </si>
  <si>
    <t>s3923</t>
  </si>
  <si>
    <t>Dabbe 5: Zehr-i Cin</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</si>
  <si>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</si>
  <si>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</si>
  <si>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</si>
  <si>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</si>
  <si>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</si>
  <si>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</si>
  <si>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</si>
  <si>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Simon Napier-Bell</t>
  </si>
  <si>
    <t>s3925</t>
  </si>
  <si>
    <t>Francesco De Carlo: Cose di Questo Mondo</t>
  </si>
  <si>
    <t>Francesco De Carlo</t>
  </si>
  <si>
    <t>Taking the stage in Milan, Francesco De Carlo opens up about his bad habits, religion, politics and what he's learned from traveling the world.</t>
  </si>
  <si>
    <t>Simon Rumley</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</si>
  <si>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</si>
  <si>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</si>
  <si>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</si>
  <si>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</si>
  <si>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</si>
  <si>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</si>
  <si>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</si>
  <si>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</si>
  <si>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Simon Verhoeven</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</si>
  <si>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</si>
  <si>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</si>
  <si>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</si>
  <si>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</si>
  <si>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</si>
  <si>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Simon Wells</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</si>
  <si>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</si>
  <si>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</si>
  <si>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</si>
  <si>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</si>
  <si>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</si>
  <si>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</si>
  <si>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</si>
  <si>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</si>
  <si>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</si>
  <si>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</si>
  <si>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Simranjit Singh Hundal</t>
  </si>
  <si>
    <t>s3931</t>
  </si>
  <si>
    <t>The Silence</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</si>
  <si>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</si>
  <si>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</si>
  <si>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</si>
  <si>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Sinan Akkuş</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</si>
  <si>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</si>
  <si>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</si>
  <si>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</si>
  <si>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</si>
  <si>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</si>
  <si>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</si>
  <si>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</si>
  <si>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</si>
  <si>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</si>
  <si>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</si>
  <si>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</si>
  <si>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</si>
  <si>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</si>
  <si>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</si>
  <si>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</si>
  <si>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</si>
  <si>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</si>
  <si>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Siu-Hung Chung, Wong Jing</t>
  </si>
  <si>
    <t>s3936</t>
  </si>
  <si>
    <t>Alien Warfare</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</si>
  <si>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</si>
  <si>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</si>
  <si>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</si>
  <si>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</si>
  <si>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</si>
  <si>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</si>
  <si>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</si>
  <si>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Skye Borgman</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</si>
  <si>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</si>
  <si>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</si>
  <si>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</si>
  <si>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</si>
  <si>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</si>
  <si>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</si>
  <si>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</si>
  <si>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</si>
  <si>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</si>
  <si>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So Yong Kim</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</si>
  <si>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</si>
  <si>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</si>
  <si>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</si>
  <si>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</si>
  <si>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</si>
  <si>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</si>
  <si>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</si>
  <si>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</si>
  <si>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</si>
  <si>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</si>
  <si>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</si>
  <si>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</si>
  <si>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</si>
  <si>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</si>
  <si>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</si>
  <si>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</si>
  <si>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Sohail Tatari</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</si>
  <si>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</si>
  <si>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</si>
  <si>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</si>
  <si>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</si>
  <si>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</si>
  <si>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</si>
  <si>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</si>
  <si>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</si>
  <si>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Sonia Kennebeck</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</si>
  <si>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</si>
  <si>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</si>
  <si>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</si>
  <si>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</si>
  <si>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</si>
  <si>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Sonia Lowman</t>
  </si>
  <si>
    <t>s3948</t>
  </si>
  <si>
    <t>Ricardo Quevedo: Los amargados somos más</t>
  </si>
  <si>
    <t>Ricardo Quevedo</t>
  </si>
  <si>
    <t>April 3, 2019</t>
  </si>
  <si>
    <t>From how social media can ruin relationships to the perils of buying a gift for a woman, comic Ricardo Quevedo dissects life's trials and tribulations.</t>
  </si>
  <si>
    <t>Sonny Mallhi</t>
  </si>
  <si>
    <t>s3949</t>
  </si>
  <si>
    <t>Suzzanna: Buried Alive</t>
  </si>
  <si>
    <t>Luna Maya, Herjunot Ali, Teuku Rifnu Wikana, Verdi Solaiman, Alex Abbad</t>
  </si>
  <si>
    <t>After a pregnant woman is murdered, her spirit seeks revenge against her increasingly terrified killers, who are determined to finish her off for good.</t>
  </si>
  <si>
    <t>Sonny Marler</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</si>
  <si>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</si>
  <si>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</si>
  <si>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</si>
  <si>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</si>
  <si>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</si>
  <si>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</si>
  <si>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</si>
  <si>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</si>
  <si>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</si>
  <si>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</si>
  <si>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</si>
  <si>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</si>
  <si>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</si>
  <si>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</si>
  <si>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</si>
  <si>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</si>
  <si>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Sophie Robinson, Lotje Sodderland</t>
  </si>
  <si>
    <t>s3954</t>
  </si>
  <si>
    <t>Kicko &amp; Super Speedo</t>
  </si>
  <si>
    <t>April 1, 2019</t>
  </si>
  <si>
    <t>This high-energy animated series follows a gutsy kid and his trusty race-car pal as they save their city from bad guys and their scary vehicles.</t>
  </si>
  <si>
    <t>Sopon Sukdapisit</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</si>
  <si>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</si>
  <si>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</si>
  <si>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</si>
  <si>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</si>
  <si>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</si>
  <si>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</si>
  <si>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Sorin Dan Mihalcescu</t>
  </si>
  <si>
    <t>s3956</t>
  </si>
  <si>
    <t>Pinky Memsaab</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</si>
  <si>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</si>
  <si>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</si>
  <si>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</si>
  <si>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</si>
  <si>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</si>
  <si>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</si>
  <si>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</si>
  <si>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</si>
  <si>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</si>
  <si>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</si>
  <si>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</si>
  <si>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</si>
  <si>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</si>
  <si>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</si>
  <si>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</si>
  <si>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</si>
  <si>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</si>
  <si>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</si>
  <si>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</si>
  <si>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</si>
  <si>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</si>
  <si>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</si>
  <si>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</si>
  <si>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</si>
  <si>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</si>
  <si>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</si>
  <si>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</si>
  <si>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</si>
  <si>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</si>
  <si>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</si>
  <si>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Sridhar Jetty</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</si>
  <si>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</si>
  <si>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</si>
  <si>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</si>
  <si>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</si>
  <si>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</si>
  <si>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</si>
  <si>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Sridhar Rangayan</t>
  </si>
  <si>
    <t>s3964</t>
  </si>
  <si>
    <t>Bayonet</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</si>
  <si>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</si>
  <si>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</si>
  <si>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</si>
  <si>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</si>
  <si>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</si>
  <si>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</si>
  <si>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</si>
  <si>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Sriram Raghavan</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</si>
  <si>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</si>
  <si>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</si>
  <si>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</si>
  <si>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</si>
  <si>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</si>
  <si>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</si>
  <si>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</si>
  <si>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</si>
  <si>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</si>
  <si>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</si>
  <si>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</si>
  <si>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</si>
  <si>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</si>
  <si>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Stacy Title</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</si>
  <si>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</si>
  <si>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</si>
  <si>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</si>
  <si>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</si>
  <si>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</si>
  <si>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</si>
  <si>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</si>
  <si>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</si>
  <si>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Stanisław Różewicz</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</si>
  <si>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</si>
  <si>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</si>
  <si>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</si>
  <si>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</si>
  <si>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Stanley Kubrick</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</si>
  <si>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</si>
  <si>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</si>
  <si>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</si>
  <si>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</si>
  <si>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</si>
  <si>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</si>
  <si>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</si>
  <si>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</si>
  <si>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</si>
  <si>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</si>
  <si>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</si>
  <si>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</si>
  <si>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</si>
  <si>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</si>
  <si>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</si>
  <si>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</si>
  <si>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</si>
  <si>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</si>
  <si>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Stanley Tong</t>
  </si>
  <si>
    <t>s3976</t>
  </si>
  <si>
    <t>Sei</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</si>
  <si>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</si>
  <si>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</si>
  <si>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</si>
  <si>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Stefan Aust, Dirk Laabs</t>
  </si>
  <si>
    <t>s3977</t>
  </si>
  <si>
    <t>The Eagle of El-Se'eed</t>
  </si>
  <si>
    <t>Mohamed Ramadan, Sayed Rajab, Dorra Zarrouk, Dina Talaat, Aida Reyad</t>
  </si>
  <si>
    <t>A police officer and a drug lord become embroiled in a cycle of revenge, each man bent on taking the other down.</t>
  </si>
  <si>
    <t>Stefan Brogren</t>
  </si>
  <si>
    <t>s3978</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</si>
  <si>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</si>
  <si>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</si>
  <si>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</si>
  <si>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</si>
  <si>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</si>
  <si>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</si>
  <si>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</si>
  <si>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</si>
  <si>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</si>
  <si>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</si>
  <si>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</si>
  <si>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</si>
  <si>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</si>
  <si>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</si>
  <si>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</si>
  <si>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</si>
  <si>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</si>
  <si>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</si>
  <si>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Stefano Sollima</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</si>
  <si>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</si>
  <si>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</si>
  <si>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</si>
  <si>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</si>
  <si>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</si>
  <si>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</si>
  <si>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</si>
  <si>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</si>
  <si>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</si>
  <si>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</si>
  <si>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</si>
  <si>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</si>
  <si>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Stephan Rick</t>
  </si>
  <si>
    <t>s3985</t>
  </si>
  <si>
    <t>The 10 Sins</t>
  </si>
  <si>
    <t>Abdul Mohsen Alnimer, Haifa Hussien, Qahtan Alqahtani, Mohammed Sefer, Abdulla Bu Shehri</t>
  </si>
  <si>
    <t>In this social drama of sin and remorse, a man reels at the discovery that his wife has been unfaithful, and gives her an ultimatum.</t>
  </si>
  <si>
    <t>Stéphane De Freitas</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</si>
  <si>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</si>
  <si>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</si>
  <si>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</si>
  <si>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</si>
  <si>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Stephanie Laing</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</si>
  <si>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</si>
  <si>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</si>
  <si>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</si>
  <si>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</si>
  <si>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Stephanie Soechtig, Jeremy Seifert</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</si>
  <si>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</si>
  <si>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</si>
  <si>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</si>
  <si>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</si>
  <si>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</si>
  <si>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</si>
  <si>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</si>
  <si>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</si>
  <si>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</si>
  <si>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</si>
  <si>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</si>
  <si>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</si>
  <si>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Stephen Amezdroz</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</si>
  <si>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</si>
  <si>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</si>
  <si>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</si>
  <si>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</si>
  <si>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</si>
  <si>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Stephen Chbosky</t>
  </si>
  <si>
    <t>s3992</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</si>
  <si>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</si>
  <si>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</si>
  <si>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</si>
  <si>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</si>
  <si>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</si>
  <si>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</si>
  <si>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</si>
  <si>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Stephen Chow</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</si>
  <si>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</si>
  <si>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</si>
  <si>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</si>
  <si>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</si>
  <si>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</si>
  <si>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Stephen Cone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</si>
  <si>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</si>
  <si>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</si>
  <si>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</si>
  <si>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</si>
  <si>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Stephen Daldry</t>
  </si>
  <si>
    <t>s3996</t>
  </si>
  <si>
    <t>Alexis Viera: A Story of Surviving</t>
  </si>
  <si>
    <t>Alexis Viera</t>
  </si>
  <si>
    <t>March 20, 2019</t>
  </si>
  <si>
    <t>After being shot during a robbery in Colombia and losing sensation in his legs, Uruguayan soccer star Alexis Viera finds a new sense of purpose.</t>
  </si>
  <si>
    <t>Stephen Donnelly, Olly Reid, Jun Falkenstein</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</si>
  <si>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</si>
  <si>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</si>
  <si>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</si>
  <si>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</si>
  <si>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</si>
  <si>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</si>
  <si>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</si>
  <si>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</si>
  <si>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Stephen Gyllenhaal</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</si>
  <si>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</si>
  <si>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</si>
  <si>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</si>
  <si>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</si>
  <si>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</si>
  <si>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</si>
  <si>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March 19, 2019</t>
  </si>
  <si>
    <t>Amy Schumer spills on her new marriage, personal growth, making a baby and her mom's misguided advice in a special that's both raunchy and sincere.</t>
  </si>
  <si>
    <t>Stephen Hopkins</t>
  </si>
  <si>
    <t>s4001</t>
  </si>
  <si>
    <t>5 Flights Up</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</si>
  <si>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</si>
  <si>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</si>
  <si>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</si>
  <si>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</si>
  <si>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</si>
  <si>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</si>
  <si>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</si>
  <si>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</si>
  <si>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</si>
  <si>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</si>
  <si>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</si>
  <si>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</si>
  <si>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</si>
  <si>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Steve Antin</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</si>
  <si>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</si>
  <si>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</si>
  <si>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</si>
  <si>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</si>
  <si>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</si>
  <si>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</si>
  <si>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</si>
  <si>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</si>
  <si>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</si>
  <si>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Steve Ball, Andrew Duncan</t>
  </si>
  <si>
    <t>s4006</t>
  </si>
  <si>
    <t>Girl</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</si>
  <si>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</si>
  <si>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</si>
  <si>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</si>
  <si>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Steve Barker</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</si>
  <si>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</si>
  <si>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</si>
  <si>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</si>
  <si>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</si>
  <si>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Steve Barron</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</si>
  <si>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</si>
  <si>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</si>
  <si>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</si>
  <si>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</si>
  <si>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</si>
  <si>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</si>
  <si>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</si>
  <si>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</si>
  <si>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</si>
  <si>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</si>
  <si>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</si>
  <si>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</si>
  <si>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</si>
  <si>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</si>
  <si>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Steve Carr</t>
  </si>
  <si>
    <t>s4012</t>
  </si>
  <si>
    <t>Late Life: The Chien-Ming Wang Story</t>
  </si>
  <si>
    <t>Chien-Ming Wang</t>
  </si>
  <si>
    <t>United States, Taiwan</t>
  </si>
  <si>
    <t>Injuries sidelined the bright career of New York Yankees pitcher Chien-Ming Wang. This documentary captures his relentless battle back to the majors.</t>
  </si>
  <si>
    <t>Steve Cheng</t>
  </si>
  <si>
    <t>s4013</t>
  </si>
  <si>
    <t>My Pride</t>
  </si>
  <si>
    <t>Khaled Amin, Elham Al Fadalah, Fatima Al Safi, Fahad Basim, Farah ElSaraf, Hala</t>
  </si>
  <si>
    <t>After their mother's death, Amal and her brothers struggle to live with their authoritarian father, whose cruelty and neglect break the family apart.</t>
  </si>
  <si>
    <t>Steve Greenwood</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</si>
  <si>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</si>
  <si>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</si>
  <si>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</si>
  <si>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</si>
  <si>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</si>
  <si>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</si>
  <si>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</si>
  <si>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</si>
  <si>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Steve Hickner, Simon J. Smith</t>
  </si>
  <si>
    <t>s4016</t>
  </si>
  <si>
    <t>The Disappearance of Madeleine McCann</t>
  </si>
  <si>
    <t>The documentary takes a detailed look at the disappearance of 3-year-old Madeleine McCann, who vanished while on holiday with her family.</t>
  </si>
  <si>
    <t>Steve Loter</t>
  </si>
  <si>
    <t>s4017</t>
  </si>
  <si>
    <t>Turn Up Charlie</t>
  </si>
  <si>
    <t>Idris Elba, Piper Perabo, JJ Feild, Frankie Hervey, Guz Khan</t>
  </si>
  <si>
    <t>A down-and-out DJ plots to rebuild his music career while working as a nanny for his famous best friend's wild 11-year-old daughter.</t>
  </si>
  <si>
    <t>Steve Mclean</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</si>
  <si>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</si>
  <si>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</si>
  <si>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</si>
  <si>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</si>
  <si>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</si>
  <si>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</si>
  <si>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</si>
  <si>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</si>
  <si>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</si>
  <si>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</si>
  <si>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</si>
  <si>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</si>
  <si>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</si>
  <si>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Steve Race</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</si>
  <si>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</si>
  <si>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</si>
  <si>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</si>
  <si>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</si>
  <si>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</si>
  <si>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</si>
  <si>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</si>
  <si>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</si>
  <si>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</si>
  <si>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</si>
  <si>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</si>
  <si>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</si>
  <si>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</si>
  <si>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Steve Sacks</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</si>
  <si>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</si>
  <si>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</si>
  <si>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</si>
  <si>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</si>
  <si>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</si>
  <si>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</si>
  <si>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Ben Affleck, Oscar Isaac, Charlie Hunnam, Pedro Pascal, Garrett Hedlund, Adria Arjona</t>
  </si>
  <si>
    <t>Loyalties are tested when five former special forces operatives reunite to steal a drug lord's fortune, unleashing a chain of unintended consequences.</t>
  </si>
  <si>
    <t>Steven Brill</t>
  </si>
  <si>
    <t>s4026</t>
  </si>
  <si>
    <t>Jimmy Carr: The Best of Ultimate Gold Greatest Hits</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</si>
  <si>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</si>
  <si>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</si>
  <si>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</si>
  <si>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</si>
  <si>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</si>
  <si>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</si>
  <si>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</si>
  <si>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</si>
  <si>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Steven Fine</t>
  </si>
  <si>
    <t>s4028</t>
  </si>
  <si>
    <t>This Evening</t>
  </si>
  <si>
    <t>Eyad Nassar, Ahmed Dawood, Mohamed Farraag, Hanan Motawie, Arwa Gouda, Bassel Alzaro</t>
  </si>
  <si>
    <t>The lives of a wealthy couple hiding their marital problems intersect with a group of hackers and the young women they exploit.</t>
  </si>
  <si>
    <t>Steven Gomez</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</si>
  <si>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</si>
  <si>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</si>
  <si>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</si>
  <si>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</si>
  <si>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</si>
  <si>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</si>
  <si>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Steven Knight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</si>
  <si>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</si>
  <si>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</si>
  <si>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</si>
  <si>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</si>
  <si>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</si>
  <si>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Steven R. Monroe</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</si>
  <si>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</si>
  <si>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</si>
  <si>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</si>
  <si>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</si>
  <si>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</si>
  <si>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</si>
  <si>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</si>
  <si>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</si>
  <si>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</si>
  <si>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</si>
  <si>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</si>
  <si>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</si>
  <si>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</si>
  <si>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</si>
  <si>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</si>
  <si>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</si>
  <si>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</si>
  <si>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</si>
  <si>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</si>
  <si>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</si>
  <si>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</si>
  <si>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</si>
  <si>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</si>
  <si>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</si>
  <si>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Steven Zaillian</t>
  </si>
  <si>
    <t>s4037</t>
  </si>
  <si>
    <t>Walk. Ride. Rodeo.</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</si>
  <si>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</si>
  <si>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</si>
  <si>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</si>
  <si>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</si>
  <si>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</si>
  <si>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</si>
  <si>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</si>
  <si>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Storm Saulter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</si>
  <si>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</si>
  <si>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</si>
  <si>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</si>
  <si>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</si>
  <si>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Storm Theunissen</t>
  </si>
  <si>
    <t>s4040</t>
  </si>
  <si>
    <t>Starting Over Again</t>
  </si>
  <si>
    <t>Piolo Pascual, Toni Gonzaga, Iza Calzado</t>
  </si>
  <si>
    <t>An architecture student and a history professor fall in love, pursue a dream, split up and bump into each other years later. Can there be a second chance?</t>
  </si>
  <si>
    <t>Stuart Baird</t>
  </si>
  <si>
    <t>s4041</t>
  </si>
  <si>
    <t>That Thing Called Tadhana</t>
  </si>
  <si>
    <t>Angelica Panganiban, JM de Guzman</t>
  </si>
  <si>
    <t>A devastating breakup with her boyfriend may be the start of a new beginning for Mace, thanks to an adventurous and kind stranger named Anthony.</t>
  </si>
  <si>
    <t>Stuart Heisler</t>
  </si>
  <si>
    <t>s4042</t>
  </si>
  <si>
    <t>The Love Affair</t>
  </si>
  <si>
    <t>Richard Gomez, Dawn Zulueta, Bea Alonzo, Tom Rodriguez, Tetchie Agbayani, Al Tantay, Ana Capri, Ina Feleo</t>
  </si>
  <si>
    <t>Feeling betrayed by their romantic partners' infidelity, Adrianne and Vince struggle to forgive while finding comfort with each other.</t>
  </si>
  <si>
    <t>Stuart Orme</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</si>
  <si>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</si>
  <si>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</si>
  <si>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</si>
  <si>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</si>
  <si>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</si>
  <si>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Stuart Rosenberg</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</si>
  <si>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</si>
  <si>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</si>
  <si>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</si>
  <si>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</si>
  <si>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</si>
  <si>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</si>
  <si>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</si>
  <si>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</si>
  <si>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</si>
  <si>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Su I-Hsuan, Chuang Shiang-An, Liu Yi</t>
  </si>
  <si>
    <t>s4046</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</si>
  <si>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</si>
  <si>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</si>
  <si>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</si>
  <si>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Subhash Ghai</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</si>
  <si>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</si>
  <si>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</si>
  <si>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</si>
  <si>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</si>
  <si>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</si>
  <si>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</si>
  <si>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</si>
  <si>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</si>
  <si>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</si>
  <si>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</si>
  <si>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</si>
  <si>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Fumi Nikaido, Ryo Yoshizawa, Shuhei Uesugi, Sumire, Shiori Doi, Aoi Morikawa</t>
  </si>
  <si>
    <t>March 2, 2019</t>
  </si>
  <si>
    <t>High schooler Haruna befriends loner Yamada, then is drawn into the tangled relationship between him, a model and the girl who loves him unreasonably.</t>
  </si>
  <si>
    <t>Sudesh Manjrekar</t>
  </si>
  <si>
    <t>s4050</t>
  </si>
  <si>
    <t>Sarkar</t>
  </si>
  <si>
    <t>Vijay, Varalakshmi Sarathkumar, Keerthi Suresh, Radha Ravi, Pala Karuppaiah, Yogi Babu</t>
  </si>
  <si>
    <t>A ruthless businessman’s mission to expose electoral fraud brings him into a heated and dangerous political conflict with two corrupt ministers.</t>
  </si>
  <si>
    <t>Sudesh Manjrekar, Atul Kale</t>
  </si>
  <si>
    <t>s4051</t>
  </si>
  <si>
    <t>Weapon of Choice</t>
  </si>
  <si>
    <t>Austria, Iraq, United States</t>
  </si>
  <si>
    <t>Speaking to retailers and owners of the Glock pistol, two filmmakers shed light on the politics of violence and its implications from Chicago to Kirkuk.</t>
  </si>
  <si>
    <t>s4052</t>
  </si>
  <si>
    <t>Artiwara Kongmalai</t>
  </si>
  <si>
    <t>March 1, 2019</t>
  </si>
  <si>
    <t>This intimate documentary follows rock star Artiwara Kongmalai on his historic, 2,215-kilometer charity run across Thailand in 2017.</t>
  </si>
  <si>
    <t>Sudhanshu Saria</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</si>
  <si>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</si>
  <si>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</si>
  <si>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</si>
  <si>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</si>
  <si>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</si>
  <si>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</si>
  <si>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</si>
  <si>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</si>
  <si>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Sudip Bandyopadhyay</t>
  </si>
  <si>
    <t>s4055</t>
  </si>
  <si>
    <t>Cricket Fever: Mumbai Indians</t>
  </si>
  <si>
    <t>Follow Indian Premier League champions Mumbai Indians through the 2018 season in this series featuring insider insights and intense cricket action.</t>
  </si>
  <si>
    <t>Sudipto Roy</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</si>
  <si>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</si>
  <si>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</si>
  <si>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</si>
  <si>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</si>
  <si>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</si>
  <si>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</si>
  <si>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</si>
  <si>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</si>
  <si>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</si>
  <si>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</si>
  <si>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</si>
  <si>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</si>
  <si>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</si>
  <si>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</si>
  <si>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</si>
  <si>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</si>
  <si>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</si>
  <si>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</si>
  <si>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</si>
  <si>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</si>
  <si>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</si>
  <si>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Debby Ryan, Sarena Parmar, Adam DiMarco, Merritt Patterson, Nancy Robertson</t>
  </si>
  <si>
    <t>Shy student Tara has a secret identity: She is smooth-talking Radio Rebel, a DJ who lends her voice to all kids, popular and unpopular alike.</t>
  </si>
  <si>
    <t>Sukhbir Singh</t>
  </si>
  <si>
    <t>s4062</t>
  </si>
  <si>
    <t>Sarvam Thaala Mayam (Tamil Version)</t>
  </si>
  <si>
    <t>Sukum Maetawanitch</t>
  </si>
  <si>
    <t>s4063</t>
  </si>
  <si>
    <t>The Boy Who Harnessed the Wind</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</si>
  <si>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</si>
  <si>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</si>
  <si>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</si>
  <si>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Suman Ghosh</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</si>
  <si>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</si>
  <si>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</si>
  <si>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</si>
  <si>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</si>
  <si>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Suman Mukhopadhyay</t>
  </si>
  <si>
    <t>s4065</t>
  </si>
  <si>
    <t>The Last Runway</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</si>
  <si>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</si>
  <si>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</si>
  <si>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</si>
  <si>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Sumit Das</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</si>
  <si>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</si>
  <si>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</si>
  <si>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</si>
  <si>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</si>
  <si>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Sumitra Bhave, Sunil Sukthankar</t>
  </si>
  <si>
    <t>s4067</t>
  </si>
  <si>
    <t>Your Son</t>
  </si>
  <si>
    <t>José Coronado, Ana Wagener, Asia Ortega, Pol Monen, Ester Expósito</t>
  </si>
  <si>
    <t>After his son is brutally beaten outside a nightclub, a surgeon takes the law into his own hands and seeks vengeance against the perpetrators.</t>
  </si>
  <si>
    <t>Sunao Katabuchi</t>
  </si>
  <si>
    <t>s4068</t>
  </si>
  <si>
    <t>Quién te cantará</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</si>
  <si>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</si>
  <si>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</si>
  <si>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</si>
  <si>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Sundar C.</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</si>
  <si>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</si>
  <si>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</si>
  <si>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</si>
  <si>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</si>
  <si>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</si>
  <si>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Sung Do-Jun</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</si>
  <si>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</si>
  <si>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</si>
  <si>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</si>
  <si>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</si>
  <si>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Sung-Soo Kim</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</si>
  <si>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</si>
  <si>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</si>
  <si>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</si>
  <si>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</si>
  <si>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Sunil Soraya</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</si>
  <si>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</si>
  <si>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</si>
  <si>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</si>
  <si>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</si>
  <si>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</si>
  <si>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</si>
  <si>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</si>
  <si>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</si>
  <si>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</si>
  <si>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</si>
  <si>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</si>
  <si>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</si>
  <si>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</si>
  <si>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</si>
  <si>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</si>
  <si>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</si>
  <si>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</si>
  <si>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</si>
  <si>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</si>
  <si>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</si>
  <si>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Supavitra Babul</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</si>
  <si>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</si>
  <si>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</si>
  <si>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</si>
  <si>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</si>
  <si>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Suresh Pillai</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</si>
  <si>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</si>
  <si>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</si>
  <si>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</si>
  <si>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</si>
  <si>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Surya S.J., Sunil Kumar Agrawal</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</si>
  <si>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</si>
  <si>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</si>
  <si>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</si>
  <si>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</si>
  <si>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Susan Glatzer</t>
  </si>
  <si>
    <t>s4080</t>
  </si>
  <si>
    <t>Unsolved</t>
  </si>
  <si>
    <t>Josh Duhamel, Jimmi Simpson, Bokeem Woodbine</t>
  </si>
  <si>
    <t>Ride along for a dramatized version of the real-life investigations into the murders of rap icons Tupac Shakur and Biggie Smalls.</t>
  </si>
  <si>
    <t>Susan Johnson</t>
  </si>
  <si>
    <t>s4081</t>
  </si>
  <si>
    <t>Zach Galifianakis: Live at the Purple Onion</t>
  </si>
  <si>
    <t>Zach Galifianakis, Brian Unger</t>
  </si>
  <si>
    <t>February 26, 2019</t>
  </si>
  <si>
    <t>The unorthodox, piano-playing stand-up star Zach Galifianakis makes a splash on the scene and serves up a healthy dose of his signature wit.</t>
  </si>
  <si>
    <t>s4082</t>
  </si>
  <si>
    <t>Life of An Outcast</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</si>
  <si>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</si>
  <si>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</si>
  <si>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</si>
  <si>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Susan Lambert, Stefan Moore</t>
  </si>
  <si>
    <t>s4083</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</si>
  <si>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</si>
  <si>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</si>
  <si>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</si>
  <si>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</si>
  <si>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</si>
  <si>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</si>
  <si>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</si>
  <si>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</si>
  <si>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Susannah Heath-Eves</t>
  </si>
  <si>
    <t>s4085</t>
  </si>
  <si>
    <t>Chef's Table</t>
  </si>
  <si>
    <t>In this Emmy-nominated docuseries, find out what's inside the kitchens and minds of the international culinary stars who are redefining gourmet food.</t>
  </si>
  <si>
    <t>Susannah Ward</t>
  </si>
  <si>
    <t>s4086</t>
  </si>
  <si>
    <t>Firebrand</t>
  </si>
  <si>
    <t>Usha Jadhav, Girish Kulkarni, Sachin Khedekar, Rajeshwari Sachdev, Rushad Rana, Mrunal Oak</t>
  </si>
  <si>
    <t>While she successfully advocates for her female clients in difficult divorce cases, a lawyer’s trauma from sexual assault impacts her own marriage.</t>
  </si>
  <si>
    <t>Susanne Bier</t>
  </si>
  <si>
    <t>s4087</t>
  </si>
  <si>
    <t>Paddleton</t>
  </si>
  <si>
    <t>Mark Duplass, Ray Romano</t>
  </si>
  <si>
    <t>After he's diagnosed with terminal cancer, middle-aged Michael asks his neighbor friend Andy to help him end his life before the disease does.</t>
  </si>
  <si>
    <t>Suseenthiran</t>
  </si>
  <si>
    <t>s4088</t>
  </si>
  <si>
    <t>Paris Is Us</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</si>
  <si>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</si>
  <si>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</si>
  <si>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Sushil Majumdar</t>
  </si>
  <si>
    <t>s4089</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</si>
  <si>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</si>
  <si>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</si>
  <si>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</si>
  <si>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Sushrut Jain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</si>
  <si>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</si>
  <si>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</si>
  <si>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</si>
  <si>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</si>
  <si>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</si>
  <si>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</si>
  <si>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</si>
  <si>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</si>
  <si>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</si>
  <si>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</si>
  <si>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</si>
  <si>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</si>
  <si>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</si>
  <si>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</si>
  <si>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Swapna Waghmare Joshi</t>
  </si>
  <si>
    <t>s4093</t>
  </si>
  <si>
    <t>Kevin James: Sweat the Small Stuff</t>
  </si>
  <si>
    <t>Kevin James</t>
  </si>
  <si>
    <t>February 20, 2019</t>
  </si>
  <si>
    <t>The film and television star riffs on life's many royal pains in this hourlong special taped at New York City's Hudson Theatre in 2001.</t>
  </si>
  <si>
    <t>s4094</t>
  </si>
  <si>
    <t>Transformer</t>
  </si>
  <si>
    <t>Janae Marie Kroczaleski</t>
  </si>
  <si>
    <t>Powerlifter Matt Kroczaleski faced his greatest challenge when he came out as transgender. This documentary captures his transition into a woman.</t>
  </si>
  <si>
    <t>s4095</t>
  </si>
  <si>
    <t>Genius</t>
  </si>
  <si>
    <t>Roshan, Priyaa Lal, Aadukalam Naren, Singam Puli, Meera Krishnan, Jayaprakash</t>
  </si>
  <si>
    <t>February 17, 2019</t>
  </si>
  <si>
    <t>Extreme pressure from his father to excel at school during childhood has dangerous psychological effects on a brilliant but suicidal man’s adult life.</t>
  </si>
  <si>
    <t>Sydney Freeland</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</si>
  <si>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</si>
  <si>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</si>
  <si>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</si>
  <si>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</si>
  <si>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</si>
  <si>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</si>
  <si>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</si>
  <si>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</si>
  <si>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</si>
  <si>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This documentary follows the rapid rise and fall of the Manhattan discotheque and the glittery debauchery that attracted the city's eccentric and elite.</t>
  </si>
  <si>
    <t>s4098</t>
  </si>
  <si>
    <t>Awe</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</si>
  <si>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</si>
  <si>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</si>
  <si>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</si>
  <si>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Syed Ahmad Afzal</t>
  </si>
  <si>
    <t>s4099</t>
  </si>
  <si>
    <t>Ayana</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</si>
  <si>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</si>
  <si>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</si>
  <si>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Syed Atif Ali</t>
  </si>
  <si>
    <t>s4100</t>
  </si>
  <si>
    <t>Behind the Curve</t>
  </si>
  <si>
    <t>Meet the growing, worldwide community of theorists who defend the belief that the Earth is flat while living in a society who vehemently rejects it.</t>
  </si>
  <si>
    <t>s4101</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</si>
  <si>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</si>
  <si>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</si>
  <si>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</si>
  <si>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Sylvester Stallone</t>
  </si>
  <si>
    <t>s4102</t>
  </si>
  <si>
    <t>Candyflip</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</si>
  <si>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</si>
  <si>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</si>
  <si>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</si>
  <si>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</si>
  <si>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</si>
  <si>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</si>
  <si>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</si>
  <si>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</si>
  <si>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</si>
  <si>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</si>
  <si>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Sze Yu Lau</t>
  </si>
  <si>
    <t>s4105</t>
  </si>
  <si>
    <t>Hjørdis</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</si>
  <si>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</si>
  <si>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</si>
  <si>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</si>
  <si>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</si>
  <si>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</si>
  <si>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</si>
  <si>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</si>
  <si>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</si>
  <si>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Aadhi, Tapsee Pannu, Ritika Singh, Vennela Kishore, Sapthagiri</t>
  </si>
  <si>
    <t>When a blind chef’s girlfriend goes missing, his unnerving search for her leads him to find there's more to her disappearance than what meets the eye.</t>
  </si>
  <si>
    <t>s4108</t>
  </si>
  <si>
    <t>Pyaar Ke Side Effects</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</si>
  <si>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</si>
  <si>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</si>
  <si>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</si>
  <si>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</si>
  <si>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</si>
  <si>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</si>
  <si>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</si>
  <si>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</si>
  <si>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</si>
  <si>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</si>
  <si>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</si>
  <si>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</si>
  <si>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</si>
  <si>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</si>
  <si>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</si>
  <si>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</si>
  <si>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</si>
  <si>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</si>
  <si>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</si>
  <si>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</si>
  <si>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</si>
  <si>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</si>
  <si>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</si>
  <si>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</si>
  <si>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</si>
  <si>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</si>
  <si>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</si>
  <si>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</si>
  <si>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</si>
  <si>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</si>
  <si>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</si>
  <si>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</si>
  <si>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</si>
  <si>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</si>
  <si>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</si>
  <si>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</si>
  <si>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</si>
  <si>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</si>
  <si>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Takuya Inaba</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</si>
  <si>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</si>
  <si>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</si>
  <si>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</si>
  <si>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</si>
  <si>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Tamara Jenkins</t>
  </si>
  <si>
    <t>s4118</t>
  </si>
  <si>
    <t>Period. End of Sentence.</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</si>
  <si>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</si>
  <si>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</si>
  <si>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</si>
  <si>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</si>
  <si>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</si>
  <si>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</si>
  <si>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</si>
  <si>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Tamer Bassiouni</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</si>
  <si>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</si>
  <si>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</si>
  <si>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</si>
  <si>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</si>
  <si>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Tamta Gabrichidze</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</si>
  <si>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</si>
  <si>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</si>
  <si>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</si>
  <si>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</si>
  <si>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</si>
  <si>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Tan Bing</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</si>
  <si>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</si>
  <si>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</si>
  <si>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</si>
  <si>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</si>
  <si>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</si>
  <si>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</si>
  <si>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</si>
  <si>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</si>
  <si>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</si>
  <si>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</si>
  <si>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</si>
  <si>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</si>
  <si>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</si>
  <si>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</si>
  <si>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Tanit Jitnukul</t>
  </si>
  <si>
    <t>s4125</t>
  </si>
  <si>
    <t>The Tree of Blood</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</si>
  <si>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</si>
  <si>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</si>
  <si>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Tanuj Bhramar</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</si>
  <si>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</si>
  <si>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</si>
  <si>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</si>
  <si>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</si>
  <si>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</si>
  <si>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Tanuj Chopra</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</si>
  <si>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</si>
  <si>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</si>
  <si>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</si>
  <si>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</si>
  <si>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</si>
  <si>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</si>
  <si>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</si>
  <si>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</si>
  <si>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</si>
  <si>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Tanveer Khan</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</si>
  <si>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</si>
  <si>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</si>
  <si>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</si>
  <si>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</si>
  <si>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</si>
  <si>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</si>
  <si>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</si>
  <si>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</si>
  <si>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Tarek Abdel Moaty</t>
  </si>
  <si>
    <t>s4131</t>
  </si>
  <si>
    <t>Tayee</t>
  </si>
  <si>
    <t>Amr Youssef, Amr Abdel Guelil, Saba Mubarak</t>
  </si>
  <si>
    <t>An Egyptian doctor becomes a police informant and uses his rare gift of tracking ancient artifacts in the smuggling business.</t>
  </si>
  <si>
    <t>Tarek Al Eryan</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</si>
  <si>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</si>
  <si>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</si>
  <si>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</si>
  <si>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</si>
  <si>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</si>
  <si>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</si>
  <si>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</si>
  <si>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</si>
  <si>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</si>
  <si>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Tariq Khan</t>
  </si>
  <si>
    <t>s4134</t>
  </si>
  <si>
    <t>Await Further Instructions</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</si>
  <si>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</si>
  <si>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</si>
  <si>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</si>
  <si>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Taron Lexton</t>
  </si>
  <si>
    <t>s4135</t>
  </si>
  <si>
    <t>Manusangada</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</si>
  <si>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</si>
  <si>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</si>
  <si>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</si>
  <si>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</si>
  <si>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</si>
  <si>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</si>
  <si>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</si>
  <si>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</si>
  <si>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</si>
  <si>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</si>
  <si>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</si>
  <si>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</si>
  <si>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</si>
  <si>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</si>
  <si>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</si>
  <si>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Tathagata Banerjee</t>
  </si>
  <si>
    <t>s4139</t>
  </si>
  <si>
    <t>Lego DC Comics: Batman Be-Leaguered</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</si>
  <si>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</si>
  <si>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</si>
  <si>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</si>
  <si>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</si>
  <si>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</si>
  <si>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</si>
  <si>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</si>
  <si>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</si>
  <si>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</si>
  <si>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</si>
  <si>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</si>
  <si>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</si>
  <si>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</si>
  <si>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</si>
  <si>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</si>
  <si>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</si>
  <si>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</si>
  <si>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Ted Braun</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</si>
  <si>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</si>
  <si>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</si>
  <si>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</si>
  <si>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</si>
  <si>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Ted Demme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</si>
  <si>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</si>
  <si>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</si>
  <si>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</si>
  <si>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</si>
  <si>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Ted Emery</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</si>
  <si>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</si>
  <si>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</si>
  <si>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</si>
  <si>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</si>
  <si>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Ted Geoghegan</t>
  </si>
  <si>
    <t>s4147</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</si>
  <si>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</si>
  <si>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</si>
  <si>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</si>
  <si>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</si>
  <si>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</si>
  <si>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</si>
  <si>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</si>
  <si>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</si>
  <si>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Teddy Lussi-Modeste</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</si>
  <si>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</si>
  <si>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</si>
  <si>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</si>
  <si>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</si>
  <si>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Tejas Prabha Vijay Deoskar</t>
  </si>
  <si>
    <t>s4150</t>
  </si>
  <si>
    <t>Paprika</t>
  </si>
  <si>
    <t>Kaycie Chase, David Gasman, Tom Morton, Lee Delong, Barbara Weber-Scaff</t>
  </si>
  <si>
    <t>Stan and Olivia – the amazingly different Paprika twins – use their boundless enthusiasm to turn everyday life into an extraordinary adventure.</t>
  </si>
  <si>
    <t>Tekin Girgin</t>
  </si>
  <si>
    <t>s4151</t>
  </si>
  <si>
    <t>Maharaja: The Story of Ranjit Singh</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</si>
  <si>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</si>
  <si>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</si>
  <si>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</si>
  <si>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</si>
  <si>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</si>
  <si>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</si>
  <si>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</si>
  <si>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</si>
  <si>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</si>
  <si>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</si>
  <si>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</si>
  <si>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</si>
  <si>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</si>
  <si>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Teo Konuralp</t>
  </si>
  <si>
    <t>s4154</t>
  </si>
  <si>
    <t>Gabriel "Fluffy" Iglesias: One Show Fits All</t>
  </si>
  <si>
    <t>Gabriel "Fluffy" Iglesias discusses his teenage son and encounters with Snoop Dogg, Chris Rock and Vicente Fernández in this stand-up special for 2019.</t>
  </si>
  <si>
    <t>Terri Randall</t>
  </si>
  <si>
    <t>s4155</t>
  </si>
  <si>
    <t>High Society</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</si>
  <si>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</si>
  <si>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</si>
  <si>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</si>
  <si>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</si>
  <si>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</si>
  <si>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</si>
  <si>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</si>
  <si>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Terry Gilliam</t>
  </si>
  <si>
    <t>s4157</t>
  </si>
  <si>
    <t>Alt-Right: Age of Rage</t>
  </si>
  <si>
    <t>Daryle Lamont Jenkins, Richard Spencer</t>
  </si>
  <si>
    <t>January 28, 2019</t>
  </si>
  <si>
    <t>This documentary follows a white power leader and an Antifa activist leading up to the Charlottesville riots in the first year of Trump's presidency.</t>
  </si>
  <si>
    <t>Terry Gilliam, Terry Jones</t>
  </si>
  <si>
    <t>s4158</t>
  </si>
  <si>
    <t>Habibie &amp; Ainun</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</si>
  <si>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</si>
  <si>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</si>
  <si>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</si>
  <si>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Terry Hughes, Ian Macnaughton</t>
  </si>
  <si>
    <t>s4159</t>
  </si>
  <si>
    <t>Nathicharami</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</si>
  <si>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</si>
  <si>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</si>
  <si>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Terry Jones</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</si>
  <si>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</si>
  <si>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</si>
  <si>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</si>
  <si>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</si>
  <si>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Terry Loane</t>
  </si>
  <si>
    <t>s4161</t>
  </si>
  <si>
    <t>Surga Yang Tak Dirindukan</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</si>
  <si>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</si>
  <si>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</si>
  <si>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</si>
  <si>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</si>
  <si>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</si>
  <si>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</si>
  <si>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</si>
  <si>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</si>
  <si>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</si>
  <si>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</si>
  <si>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</si>
  <si>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</si>
  <si>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</si>
  <si>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</si>
  <si>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</si>
  <si>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Theo Davies</t>
  </si>
  <si>
    <t>s4165</t>
  </si>
  <si>
    <t>Goyo: The Boy General</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</si>
  <si>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</si>
  <si>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</si>
  <si>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</si>
  <si>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</si>
  <si>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</si>
  <si>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</si>
  <si>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</si>
  <si>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</si>
  <si>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</si>
  <si>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</si>
  <si>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</si>
  <si>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</si>
  <si>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</si>
  <si>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</si>
  <si>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</si>
  <si>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</si>
  <si>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</si>
  <si>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</si>
  <si>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</si>
  <si>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</si>
  <si>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</si>
  <si>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</si>
  <si>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</si>
  <si>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</si>
  <si>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</si>
  <si>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</si>
  <si>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</si>
  <si>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Thierry Donard</t>
  </si>
  <si>
    <t>s4172</t>
  </si>
  <si>
    <t>The Perfect Match</t>
  </si>
  <si>
    <t>Wu Kang-jen, Ivy Shao, Ben Wu, Xiao Man, Nylon Chen</t>
  </si>
  <si>
    <t>A night market vendor clashes with a lofty celebrity chef in a culinary challenge, fueling the first sparks of a romance.</t>
  </si>
  <si>
    <t>Thiru</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</si>
  <si>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</si>
  <si>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</si>
  <si>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</si>
  <si>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</si>
  <si>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</si>
  <si>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</si>
  <si>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</si>
  <si>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</si>
  <si>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Thom Zimny</t>
  </si>
  <si>
    <t>s4175</t>
  </si>
  <si>
    <t>Innocent</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</si>
  <si>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</si>
  <si>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</si>
  <si>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</si>
  <si>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</si>
  <si>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</si>
  <si>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</si>
  <si>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</si>
  <si>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</si>
  <si>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Thomas Carter</t>
  </si>
  <si>
    <t>s4177</t>
  </si>
  <si>
    <t>FYRE: The Greatest Party That Never Happened</t>
  </si>
  <si>
    <t>The Fyre Festival was billed as a luxury music experience on a posh private island, but it failed spectacularly in the hands of a cocky entrepreneur.</t>
  </si>
  <si>
    <t>Thomas Meadmore</t>
  </si>
  <si>
    <t>s4178</t>
  </si>
  <si>
    <t>IO</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</si>
  <si>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</si>
  <si>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</si>
  <si>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</si>
  <si>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</si>
  <si>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</si>
  <si>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</si>
  <si>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</si>
  <si>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Thomas Sorriaux</t>
  </si>
  <si>
    <t>s4180</t>
  </si>
  <si>
    <t>Memory Love</t>
  </si>
  <si>
    <t>Andy Chen, Mandy Wei, Jolin Chien, Mandy Tao, Kris Shen, Nylon Chen</t>
  </si>
  <si>
    <t>Losing her memory – and her boyfriend – after a car accident, Jia-en crosses paths with a heart transplant recipient who helps her recall her past.</t>
  </si>
  <si>
    <t>Thomas Stuber</t>
  </si>
  <si>
    <t>s4181</t>
  </si>
  <si>
    <t>Old Lord Savanna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</si>
  <si>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</si>
  <si>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</si>
  <si>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</si>
  <si>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</si>
  <si>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</si>
  <si>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</si>
  <si>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</si>
  <si>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</si>
  <si>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</si>
  <si>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</si>
  <si>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</si>
  <si>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</si>
  <si>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</si>
  <si>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Thurop Van Orman, John Rice</t>
  </si>
  <si>
    <t>s4185</t>
  </si>
  <si>
    <t>Trigger Warning with Killer Mike</t>
  </si>
  <si>
    <t>Killer Mike</t>
  </si>
  <si>
    <t>In this funny and provocative series, rapper and activist Killer Mike puts his revolutionary ideas about achieving social change into action.</t>
  </si>
  <si>
    <t>s4186</t>
  </si>
  <si>
    <t>Abducted in Plain Sight</t>
  </si>
  <si>
    <t>January 15, 2019</t>
  </si>
  <si>
    <t>In this true crime documentary, a family falls prey to the manipulative charms of a neighbor, who abducts their adolescent daughter. Twice.</t>
  </si>
  <si>
    <t>s4187</t>
  </si>
  <si>
    <t>Abdullah, The Final Witness</t>
  </si>
  <si>
    <t>Sajid Hasan, Hameed Sheikh, Habibullah Panezai, Imraan Abbas, Sadia, Imran Tareen, Asal Deen, Yameen Shah</t>
  </si>
  <si>
    <t>Inspired by real events, this drama follows a trucker jailed after driving five ill-fated travelers across Quetta, and the officer taking on his case.</t>
  </si>
  <si>
    <t>Ticoy Rodriguez</t>
  </si>
  <si>
    <t>s4188</t>
  </si>
  <si>
    <t>Adhugo</t>
  </si>
  <si>
    <t>A fast-footed piglet named Bunty becomes an object of desire for rival criminals that want the swift swine for their profitable animal-racing schemes.</t>
  </si>
  <si>
    <t>Tiffanie Hsu</t>
  </si>
  <si>
    <t>s4189</t>
  </si>
  <si>
    <t>Echcharikkai</t>
  </si>
  <si>
    <t>Sathyaraj, Varalakshmi Sarathkumar, Kishore Kumar G., Vivek Rajgopal, Jayakumar, Yogi Babu, Soundar, L. Alice</t>
  </si>
  <si>
    <t>After kidnapping a millionaire’s daughter, two men get swept up in a power struggle as her father enlists a brilliant cop to hunt them down.</t>
  </si>
  <si>
    <t>Tig Notaro</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</si>
  <si>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</si>
  <si>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</si>
  <si>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</si>
  <si>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</si>
  <si>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</si>
  <si>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</si>
  <si>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Kreshna, Anandhi, Saravanan, Madhusudhanan, Black Pandi, Nitin Sathyaa, Aruldass, Karunas, Shanmugha Rajan, Prinz Nithik</t>
  </si>
  <si>
    <t>Looking for a way out of his impoverished life, a lowly hotel waiter joins an underground fight club. Then he needs a way out of that.</t>
  </si>
  <si>
    <t>Tilak Shetty</t>
  </si>
  <si>
    <t>s4192</t>
  </si>
  <si>
    <t>Pari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</si>
  <si>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</si>
  <si>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</si>
  <si>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</si>
  <si>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</si>
  <si>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</si>
  <si>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</si>
  <si>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</si>
  <si>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Tim Bartley</t>
  </si>
  <si>
    <t>s4194</t>
  </si>
  <si>
    <t>Sebastian Maniscalco: Stay Hungry</t>
  </si>
  <si>
    <t>Sebastian Maniscalco brings an acerbically unique approach to peacocks on planes, life hacks, rich in-laws and life's annoyances in this comedy special.</t>
  </si>
  <si>
    <t>Tim Blake Nelson</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</si>
  <si>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</si>
  <si>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</si>
  <si>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</si>
  <si>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</si>
  <si>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</si>
  <si>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</si>
  <si>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</si>
  <si>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</si>
  <si>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</si>
  <si>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</si>
  <si>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</si>
  <si>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</si>
  <si>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</si>
  <si>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</si>
  <si>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</si>
  <si>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</si>
  <si>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</si>
  <si>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</si>
  <si>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Tim Maltby</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</si>
  <si>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</si>
  <si>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</si>
  <si>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</si>
  <si>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</si>
  <si>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</si>
  <si>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</si>
  <si>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</si>
  <si>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</si>
  <si>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Tim Rouhana</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</si>
  <si>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</si>
  <si>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</si>
  <si>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</si>
  <si>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</si>
  <si>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Tim Van Someren</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</si>
  <si>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</si>
  <si>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</si>
  <si>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</si>
  <si>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</si>
  <si>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Timo Tjahjanto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</si>
  <si>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</si>
  <si>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</si>
  <si>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</si>
  <si>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</si>
  <si>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Timo Tjahjanto, Kimo Stamboel</t>
  </si>
  <si>
    <t>s4204</t>
  </si>
  <si>
    <t>ReMastered: Massacre at the Stadium</t>
  </si>
  <si>
    <t>The shocking murder of singer Victor Jara in 1973 turned him into a powerful symbol of Chile's struggle. Decades later, a quest for justice unfolds.</t>
  </si>
  <si>
    <t>s4205</t>
  </si>
  <si>
    <t>Solo</t>
  </si>
  <si>
    <t>Alain Hernández, Aura Garrido, Ben Temple</t>
  </si>
  <si>
    <t>In a remote area of the Canary Islands, a surfer falls off a cliff. Fighting to survive, he reflects on his life and past romance. Based on true events.</t>
  </si>
  <si>
    <t>Timothy Reckart</t>
  </si>
  <si>
    <t>s4206</t>
  </si>
  <si>
    <t>The Last Laugh</t>
  </si>
  <si>
    <t>Chevy Chase, Richard Dreyfuss, Andie MacDowell, Kate Micucci, Chris Parnell, George Wallace, Lewis Black</t>
  </si>
  <si>
    <t>After moving to a retirement home, restless talent manager Al reconnects with long-ago client Buddy and coaxes him back out on the comedy circuit.</t>
  </si>
  <si>
    <t>Timothy Woodward Jr.</t>
  </si>
  <si>
    <t>s4207</t>
  </si>
  <si>
    <t>Pocoyo</t>
  </si>
  <si>
    <t>Stephen Fry, Alex Marty</t>
  </si>
  <si>
    <t>January 10, 2019</t>
  </si>
  <si>
    <t>Discovery is the name of the game for friendly toddler Pocoyo in this lifelike and richly colored animated adventure series for preschoolers.</t>
  </si>
  <si>
    <t>Tinge Krishnan</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</si>
  <si>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</si>
  <si>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</si>
  <si>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</si>
  <si>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</si>
  <si>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Tinnu Anand</t>
  </si>
  <si>
    <t>s4209</t>
  </si>
  <si>
    <t>GODZILLA The Planet Eater</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</si>
  <si>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</si>
  <si>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</si>
  <si>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</si>
  <si>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Tinu Pappachan</t>
  </si>
  <si>
    <t>s4210</t>
  </si>
  <si>
    <t>Next Enti?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</si>
  <si>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</si>
  <si>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</si>
  <si>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</si>
  <si>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</si>
  <si>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Tauquir Ahmed, Mosharraf Karim, Joyraj, Samia Said, Dominic Gomez</t>
  </si>
  <si>
    <t>January 7, 2019</t>
  </si>
  <si>
    <t>As the lives of rich and poor passengers aboard a steamship unfold, buried secrets, lustful affairs and selfish desires are exposed.</t>
  </si>
  <si>
    <t>Tj Sullivan, Greg Rankin</t>
  </si>
  <si>
    <t>s4212</t>
  </si>
  <si>
    <t>Nang Nak</t>
  </si>
  <si>
    <t>Inthira Charoenpura, Winai Kraibutr</t>
  </si>
  <si>
    <t>January 5, 2019</t>
  </si>
  <si>
    <t>In this adaptation of a Thai folk tale, a man returns from war to his family, unaware of a sad secret about what happened to them while he was away.</t>
  </si>
  <si>
    <t>To-Hoi Kong</t>
  </si>
  <si>
    <t>s4213</t>
  </si>
  <si>
    <t>And Breathe Normally</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</si>
  <si>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</si>
  <si>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</si>
  <si>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</si>
  <si>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</si>
  <si>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Toa Fraser</t>
  </si>
  <si>
    <t>s4214</t>
  </si>
  <si>
    <t>El Potro: Unstoppable</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</si>
  <si>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</si>
  <si>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</si>
  <si>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Tobe Hooper</t>
  </si>
  <si>
    <t>s4215</t>
  </si>
  <si>
    <t>Lionheart</t>
  </si>
  <si>
    <t>Genevieve Nnaji, Nkem Owoh, Pete Edochie, Onyeka Onwenu, Kanayo O. Kanayo</t>
  </si>
  <si>
    <t>When her father falls ill, Adaeze steps up to run the family business – alongside her uncle – and prove herself in a male-dominated world.</t>
  </si>
  <si>
    <t>Toby Haynes</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</si>
  <si>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</si>
  <si>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</si>
  <si>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</si>
  <si>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</si>
  <si>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Todd Biermann</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</si>
  <si>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</si>
  <si>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</si>
  <si>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</si>
  <si>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</si>
  <si>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</si>
  <si>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Todd Haynes</t>
  </si>
  <si>
    <t>s4218</t>
  </si>
  <si>
    <t>Monty Python and the Holy Grail</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</si>
  <si>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</si>
  <si>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</si>
  <si>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</si>
  <si>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</si>
  <si>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</si>
  <si>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</si>
  <si>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</si>
  <si>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</si>
  <si>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</si>
  <si>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</si>
  <si>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</si>
  <si>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</si>
  <si>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Todd S. Yellin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</si>
  <si>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</si>
  <si>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</si>
  <si>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</si>
  <si>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</si>
  <si>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Todd Standing</t>
  </si>
  <si>
    <t>s4222</t>
  </si>
  <si>
    <t>Merku Thodarchi Malai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</si>
  <si>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</si>
  <si>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</si>
  <si>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</si>
  <si>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</si>
  <si>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</si>
  <si>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</si>
  <si>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Toka Mcbaror</t>
  </si>
  <si>
    <t>s4224</t>
  </si>
  <si>
    <t>Pokémon the Movie: I Choose You!</t>
  </si>
  <si>
    <t>Ikue Otani, Sarah Natochenny, David Oliver Nelson, Mike Pollock, Kate Bristol, Suzy Myers, Rodger Parsons</t>
  </si>
  <si>
    <t>When Ash tries to pick his first Pokémon on his birthday, he ends up with a stubborn Pikachu and they embark on a journey to find the legendary Ho-Oh.</t>
  </si>
  <si>
    <t>Toka Mcbaror, Tunde Apalowo</t>
  </si>
  <si>
    <t>s4225</t>
  </si>
  <si>
    <t>Puriyatha Puthir</t>
  </si>
  <si>
    <t>Vijay Sethupathi, Gayathrie, Mahima Nambiar, Arjunan, Ramesh Thilak, Ranjith</t>
  </si>
  <si>
    <t>An aspiring music director begins to receive voyeuristic footage of his girlfriend from her apparent stalker as tragedy strikes those around him.</t>
  </si>
  <si>
    <t>s4226</t>
  </si>
  <si>
    <t>Taramani</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</si>
  <si>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</si>
  <si>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</si>
  <si>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</si>
  <si>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</si>
  <si>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</si>
  <si>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</si>
  <si>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</si>
  <si>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</si>
  <si>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</si>
  <si>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</si>
  <si>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</si>
  <si>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</si>
  <si>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</si>
  <si>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</si>
  <si>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</si>
  <si>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</si>
  <si>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</si>
  <si>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</si>
  <si>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</si>
  <si>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</si>
  <si>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</si>
  <si>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</si>
  <si>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Tom Edmunds</t>
  </si>
  <si>
    <t>s4232</t>
  </si>
  <si>
    <t>Bill Hicks: Relentless</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</si>
  <si>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</si>
  <si>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</si>
  <si>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</si>
  <si>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</si>
  <si>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Tom Fassaert</t>
  </si>
  <si>
    <t>s4234</t>
  </si>
  <si>
    <t>Bill Hicks: Sane Man</t>
  </si>
  <si>
    <t>Filmed in 1989 at a turning point in comedian Bill Hicks's career, this rare onstage performance captures him spouting off on a variety of topics.</t>
  </si>
  <si>
    <t>s4235</t>
  </si>
  <si>
    <t>Gina Yashere: Laughing to America</t>
  </si>
  <si>
    <t>Gina Yashere</t>
  </si>
  <si>
    <t>British comic Gina Yashere takes the stage in San Francisco, where she shares her thoughts on everything from toilet ninjas to her troublesome name.</t>
  </si>
  <si>
    <t>Tom Forrest</t>
  </si>
  <si>
    <t>s4236</t>
  </si>
  <si>
    <t>Gina Yashere: Skinny B*tch</t>
  </si>
  <si>
    <t>Standup comedian and "Daily Show" correspondent Gina Yashere delivers a sharp set of wry observations on the environment, money and more.</t>
  </si>
  <si>
    <t>Tom Gianas, Ross R. Shuman</t>
  </si>
  <si>
    <t>s4237</t>
  </si>
  <si>
    <t>Mexicanos de Bronce</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</si>
  <si>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</si>
  <si>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</si>
  <si>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</si>
  <si>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</si>
  <si>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</si>
  <si>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</si>
  <si>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Tom Holland</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</si>
  <si>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</si>
  <si>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</si>
  <si>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</si>
  <si>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</si>
  <si>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</si>
  <si>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</si>
  <si>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Tom Mccarthy</t>
  </si>
  <si>
    <t>s4241</t>
  </si>
  <si>
    <t>Sam Kinison: The Scream Continues</t>
  </si>
  <si>
    <t>Sam's brother and former manager Bill Kinison speaks about the late comedian's journey from preacher to standup legend.</t>
  </si>
  <si>
    <t>Tom O'Brien</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</si>
  <si>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</si>
  <si>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</si>
  <si>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</si>
  <si>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</si>
  <si>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Tom O'Dell</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</si>
  <si>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</si>
  <si>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</si>
  <si>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</si>
  <si>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</si>
  <si>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</si>
  <si>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</si>
  <si>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</si>
  <si>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</si>
  <si>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</si>
  <si>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Tim Allen</t>
  </si>
  <si>
    <t>Standup comedian Tim Allen delivers a set dedicated to "men stuff" like lawn care, power tools and why he grunts like an animal.</t>
  </si>
  <si>
    <t>Tom Stubberfield</t>
  </si>
  <si>
    <t>s4246</t>
  </si>
  <si>
    <t>Tim Allen: ReWires America</t>
  </si>
  <si>
    <t>Standup star Tim Allen storms the stage for a set chock-full of observations about powerful cars, beautiful lawns and more of the things he loves.</t>
  </si>
  <si>
    <t>Tom Whitter</t>
  </si>
  <si>
    <t>s4247</t>
  </si>
  <si>
    <t>Tim Minchin And The Heritage Orchestra Live</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</si>
  <si>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</si>
  <si>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</si>
  <si>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</si>
  <si>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</si>
  <si>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</si>
  <si>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</si>
  <si>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</si>
  <si>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</si>
  <si>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</si>
  <si>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</si>
  <si>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</si>
  <si>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Tomas Portella</t>
  </si>
  <si>
    <t>s4250</t>
  </si>
  <si>
    <t>Tom Papa Live in New York City</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</si>
  <si>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</si>
  <si>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</si>
  <si>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</si>
  <si>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</si>
  <si>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</si>
  <si>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Tomer Heymann</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</si>
  <si>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</si>
  <si>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</si>
  <si>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</si>
  <si>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</si>
  <si>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</si>
  <si>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Tommy Avallone</t>
  </si>
  <si>
    <t>s4253</t>
  </si>
  <si>
    <t>A Twelve Year Night</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</si>
  <si>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</si>
  <si>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</si>
  <si>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</si>
  <si>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</si>
  <si>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</si>
  <si>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</si>
  <si>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</si>
  <si>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</si>
  <si>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</si>
  <si>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Tommy O'Haver</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</si>
  <si>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</si>
  <si>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</si>
  <si>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</si>
  <si>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</si>
  <si>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Tommy Wirkola</t>
  </si>
  <si>
    <t>s4256</t>
  </si>
  <si>
    <t>Life Ki Toh Lag Gayi</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</si>
  <si>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</si>
  <si>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</si>
  <si>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</si>
  <si>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</si>
  <si>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</si>
  <si>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</si>
  <si>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</si>
  <si>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</si>
  <si>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</si>
  <si>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</si>
  <si>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</si>
  <si>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This intimate look at a São Paulo birth center features interviews with mothers, activists, doctors and midwives. Third in a series of films.</t>
  </si>
  <si>
    <t>Tony Datis</t>
  </si>
  <si>
    <t>s4260</t>
  </si>
  <si>
    <t>When Angels Sleep</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</si>
  <si>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</si>
  <si>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</si>
  <si>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Tony Elliott</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</si>
  <si>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</si>
  <si>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</si>
  <si>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</si>
  <si>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</si>
  <si>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</si>
  <si>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</si>
  <si>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</si>
  <si>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</si>
  <si>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Tony Kaye</t>
  </si>
  <si>
    <t>s4263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</si>
  <si>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</si>
  <si>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</si>
  <si>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</si>
  <si>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</si>
  <si>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</si>
  <si>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Tony Leondis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</si>
  <si>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</si>
  <si>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</si>
  <si>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</si>
  <si>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</si>
  <si>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</si>
  <si>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</si>
  <si>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</si>
  <si>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</si>
  <si>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</si>
  <si>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</si>
  <si>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Tony Stone</t>
  </si>
  <si>
    <t>s4266</t>
  </si>
  <si>
    <t>Single Ladies Senior</t>
  </si>
  <si>
    <t>Summer Meng, Christina Mok, Alina Cheng, Bonnie Wang</t>
  </si>
  <si>
    <t>Four best friends and spirited career women navigate the treacherous world of romance – even as it stands in the way of work and friendship.</t>
  </si>
  <si>
    <t>Tony Zierra</t>
  </si>
  <si>
    <t>s4267</t>
  </si>
  <si>
    <t>7 Days Out</t>
  </si>
  <si>
    <t>December 21, 2018</t>
  </si>
  <si>
    <t>Witness the excitement and drama behind the scenes in the seven days leading up to major live events in the worlds of sports, fashion, space and food.</t>
  </si>
  <si>
    <t>s4268</t>
  </si>
  <si>
    <t>Bad Seeds</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</si>
  <si>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</si>
  <si>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</si>
  <si>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</si>
  <si>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</si>
  <si>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</si>
  <si>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</si>
  <si>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</si>
  <si>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</si>
  <si>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</si>
  <si>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</si>
  <si>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Toshiyuki Kubooka</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</si>
  <si>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</si>
  <si>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</si>
  <si>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</si>
  <si>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</si>
  <si>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</si>
  <si>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</si>
  <si>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</si>
  <si>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</si>
  <si>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</si>
  <si>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</si>
  <si>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</si>
  <si>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</si>
  <si>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</si>
  <si>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</si>
  <si>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</si>
  <si>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</si>
  <si>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</si>
  <si>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</si>
  <si>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</si>
  <si>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</si>
  <si>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</si>
  <si>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Artists in LA discover the work of forgotten Polish sculptor Stanislav Szukalski, a mad genius whose true story unfolds chapter by astounding chapter.</t>
  </si>
  <si>
    <t>Travis Zariwny</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</si>
  <si>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</si>
  <si>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</si>
  <si>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</si>
  <si>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</si>
  <si>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</si>
  <si>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</si>
  <si>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</si>
  <si>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</si>
  <si>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Trent Haaga</t>
  </si>
  <si>
    <t>s4279</t>
  </si>
  <si>
    <t>Aggretsuko: We Wish You a Metal Christmas</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</si>
  <si>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</si>
  <si>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</si>
  <si>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</si>
  <si>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</si>
  <si>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</si>
  <si>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</si>
  <si>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Trevor Ryan</t>
  </si>
  <si>
    <t>s4281</t>
  </si>
  <si>
    <t>Imperfect</t>
  </si>
  <si>
    <t>Edwin Goh, Ian Fang Weijie, Phua Yida, Kimberly Chia</t>
  </si>
  <si>
    <t>After a brawl lands him in a Boys’ Home, a teen seems to be on a promising path until loyalty to his gangster buddy leads to even bigger trouble.</t>
  </si>
  <si>
    <t>Trey Borzillieri, Barbara Schroeder</t>
  </si>
  <si>
    <t>s4282</t>
  </si>
  <si>
    <t>Lang Tong</t>
  </si>
  <si>
    <t>William Lawandi, Angeline Yap, Vivienne Tseng, Esther Goh, Alan Tan</t>
  </si>
  <si>
    <t>After seducing a philandering con man, a rebellious young woman enlists his help in carrying out a heinous crime against her sister.</t>
  </si>
  <si>
    <t>s4283</t>
  </si>
  <si>
    <t>Miss J Contemplates Her Choice</t>
  </si>
  <si>
    <t>Kit Chan, Xiang Yun, Bobby Tonelli, Shane Pow, Seraph Sun, Marcus Chiau, Sierra Bustos, Amy Cheng, Lin Yu Hui, Youyi</t>
  </si>
  <si>
    <t>The life of a radio talk-show host is turned upside down after a murderous caller dials into her program and asks her to choose his next victim.</t>
  </si>
  <si>
    <t>Trey Haley</t>
  </si>
  <si>
    <t>s4284</t>
  </si>
  <si>
    <t>Ascharyachakit!</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</si>
  <si>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</si>
  <si>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</si>
  <si>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</si>
  <si>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</si>
  <si>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</si>
  <si>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Ellen DeGeneres</t>
  </si>
  <si>
    <t>December 18, 2018</t>
  </si>
  <si>
    <t>In her first special since 2003, Ellen revisits her road to stardom and details the heartfelt – and hilarious – lessons she's learned along the way.</t>
  </si>
  <si>
    <t>s4286</t>
  </si>
  <si>
    <t>Lilli</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</si>
  <si>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</si>
  <si>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</si>
  <si>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</si>
  <si>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</si>
  <si>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</si>
  <si>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</si>
  <si>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Tristan Ferland Milewski</t>
  </si>
  <si>
    <t>s4288</t>
  </si>
  <si>
    <t>Andhadhun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</si>
  <si>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</si>
  <si>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</si>
  <si>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</si>
  <si>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</si>
  <si>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</si>
  <si>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</si>
  <si>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</si>
  <si>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</si>
  <si>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</si>
  <si>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</si>
  <si>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</si>
  <si>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</si>
  <si>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</si>
  <si>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</si>
  <si>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</si>
  <si>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Troy Nixey</t>
  </si>
  <si>
    <t>s4292</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</si>
  <si>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</si>
  <si>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</si>
  <si>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</si>
  <si>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Trudie Styler</t>
  </si>
  <si>
    <t>s4293</t>
  </si>
  <si>
    <t>Maps to the Stars</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</si>
  <si>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</si>
  <si>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</si>
  <si>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</si>
  <si>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</si>
  <si>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</si>
  <si>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Bruce Springsteen</t>
  </si>
  <si>
    <t>153 min</t>
  </si>
  <si>
    <t>Bruce Springsteen shares personal stories from his life and acoustic versions of some of his best-known songs in an intimate one-man show.</t>
  </si>
  <si>
    <t>Tt The Artist</t>
  </si>
  <si>
    <t>s4295</t>
  </si>
  <si>
    <t>The Theory of Everything</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</si>
  <si>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</si>
  <si>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</si>
  <si>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</si>
  <si>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</si>
  <si>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</si>
  <si>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</si>
  <si>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</si>
  <si>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</si>
  <si>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</si>
  <si>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</si>
  <si>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</si>
  <si>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</si>
  <si>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</si>
  <si>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</si>
  <si>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</si>
  <si>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</si>
  <si>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</si>
  <si>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</si>
  <si>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</si>
  <si>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</si>
  <si>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</si>
  <si>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</si>
  <si>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</si>
  <si>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</si>
  <si>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</si>
  <si>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</si>
  <si>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</si>
  <si>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</si>
  <si>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</si>
  <si>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</si>
  <si>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</si>
  <si>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</si>
  <si>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</si>
  <si>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</si>
  <si>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Ui-Seok Jo</t>
  </si>
  <si>
    <t>s4304</t>
  </si>
  <si>
    <t>Vanjagar Ulagam</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</si>
  <si>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</si>
  <si>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</si>
  <si>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</si>
  <si>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</si>
  <si>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</si>
  <si>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</si>
  <si>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</si>
  <si>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</si>
  <si>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</si>
  <si>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</si>
  <si>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</si>
  <si>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Umer Adil</t>
  </si>
  <si>
    <t>s4307</t>
  </si>
  <si>
    <t>ROMA</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</si>
  <si>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</si>
  <si>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</si>
  <si>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</si>
  <si>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</si>
  <si>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</si>
  <si>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</si>
  <si>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</si>
  <si>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</si>
  <si>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</si>
  <si>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</si>
  <si>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Umesh Mehra</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</si>
  <si>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</si>
  <si>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</si>
  <si>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</si>
  <si>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</si>
  <si>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</si>
  <si>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</si>
  <si>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</si>
  <si>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</si>
  <si>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</si>
  <si>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</si>
  <si>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</si>
  <si>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</si>
  <si>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</si>
  <si>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</si>
  <si>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</si>
  <si>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</si>
  <si>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</si>
  <si>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</si>
  <si>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</si>
  <si>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</si>
  <si>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</si>
  <si>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</si>
  <si>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</si>
  <si>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</si>
  <si>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Uraaz Bahl</t>
  </si>
  <si>
    <t>s4316</t>
  </si>
  <si>
    <t>5 Star Christmas</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</si>
  <si>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</si>
  <si>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</si>
  <si>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</si>
  <si>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Uttung Shelar</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</si>
  <si>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</si>
  <si>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</si>
  <si>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</si>
  <si>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</si>
  <si>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Uwe Boll</t>
  </si>
  <si>
    <t>s4318</t>
  </si>
  <si>
    <t>Dumplin'</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</si>
  <si>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</si>
  <si>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</si>
  <si>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</si>
  <si>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</si>
  <si>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</si>
  <si>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</si>
  <si>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V C Abhilash</t>
  </si>
  <si>
    <t>s4320</t>
  </si>
  <si>
    <t>Mowgli: Legend of the Jungle</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</si>
  <si>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</si>
  <si>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</si>
  <si>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</si>
  <si>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</si>
  <si>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</si>
  <si>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</si>
  <si>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</si>
  <si>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V. K. Prakash</t>
  </si>
  <si>
    <t>s4322</t>
  </si>
  <si>
    <t>Pine Gap</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</si>
  <si>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</si>
  <si>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</si>
  <si>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V. Scott Balcerek</t>
  </si>
  <si>
    <t>s4323</t>
  </si>
  <si>
    <t>ReMastered: Who Killed Jam Master Jay?</t>
  </si>
  <si>
    <t>Run-DMC DJ Jam Master Jay made a huge impact in music and his community. But friends and family still seek closure years after his unsolved murder.</t>
  </si>
  <si>
    <t>s4324</t>
  </si>
  <si>
    <t>Super Monsters and the Wish Star</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</si>
  <si>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</si>
  <si>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</si>
  <si>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Valeria Golino</t>
  </si>
  <si>
    <t>s4325</t>
  </si>
  <si>
    <t>The American Meme</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</si>
  <si>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</si>
  <si>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</si>
  <si>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</si>
  <si>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</si>
  <si>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</si>
  <si>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</si>
  <si>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</si>
  <si>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Van M. Pham</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</si>
  <si>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</si>
  <si>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</si>
  <si>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</si>
  <si>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</si>
  <si>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</si>
  <si>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</si>
  <si>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</si>
  <si>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</si>
  <si>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</si>
  <si>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</si>
  <si>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Vanessa Roth</t>
  </si>
  <si>
    <t>s4329</t>
  </si>
  <si>
    <t>Teefa in Trouble</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</si>
  <si>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</si>
  <si>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</si>
  <si>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Varun Narvekar</t>
  </si>
  <si>
    <t>s4330</t>
  </si>
  <si>
    <t>A Beautiful Life</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</si>
  <si>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</si>
  <si>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</si>
  <si>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</si>
  <si>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</si>
  <si>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</si>
  <si>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</si>
  <si>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</si>
  <si>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</si>
  <si>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</si>
  <si>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Delving into the disappearance of 43 college students in Mexico, this documentary seeks to give justice and a voice to the victims and their families.</t>
  </si>
  <si>
    <t>s4333</t>
  </si>
  <si>
    <t>Battle</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</si>
  <si>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</si>
  <si>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</si>
  <si>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</si>
  <si>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Venugopan</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</si>
  <si>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</si>
  <si>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</si>
  <si>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</si>
  <si>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</si>
  <si>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</si>
  <si>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</si>
  <si>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Ekin Cheng, Chrissie Chow, Ivana Wong, Jase Ho, Alex Lam, Wen Xin, Miriam Chin Wah Yeung, Eric Kot, Kar Lok Chin</t>
  </si>
  <si>
    <t>After their 99th breakup, a career woman and her carefree partner open a cafe where customers can put up souvenirs of past relationships.</t>
  </si>
  <si>
    <t>Vetrimaaran</t>
  </si>
  <si>
    <t>s4336</t>
  </si>
  <si>
    <t>Chal Bhaag</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</si>
  <si>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</si>
  <si>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</si>
  <si>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Vibeke Idsøe</t>
  </si>
  <si>
    <t>s4337</t>
  </si>
  <si>
    <t>Crossroads: One Two Jaga</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</si>
  <si>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</si>
  <si>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</si>
  <si>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</si>
  <si>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</si>
  <si>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</si>
  <si>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</si>
  <si>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Vic Armstrong</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</si>
  <si>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</si>
  <si>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</si>
  <si>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</si>
  <si>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</si>
  <si>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Vicente Villanueva</t>
  </si>
  <si>
    <t>s4340</t>
  </si>
  <si>
    <t>Faraar</t>
  </si>
  <si>
    <t>Kainaat Arora, Jaggi Singh, Gippy Grewal</t>
  </si>
  <si>
    <t>When a man is arrested on arrival in America because authorities mistake him for a wanted gangster, a new friend tries to help him prove his innocence.</t>
  </si>
  <si>
    <t>Vicky Matthews</t>
  </si>
  <si>
    <t>s4341</t>
  </si>
  <si>
    <t>Haunted House</t>
  </si>
  <si>
    <t>Jo Hyun-jung, Gim Young-eun, Gim Chae-ha, I So Eun, Choe Jae-ho</t>
  </si>
  <si>
    <t>With help from a 102-year-old goblin dwelling beneath their haunted apartment building, two siblings deal with ghosts and take on spooky mysteries.</t>
  </si>
  <si>
    <t>Vicky Matthews, Gareth Sacala</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</si>
  <si>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</si>
  <si>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</si>
  <si>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</si>
  <si>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</si>
  <si>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</si>
  <si>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</si>
  <si>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</si>
  <si>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</si>
  <si>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</si>
  <si>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</si>
  <si>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Victor Cook</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</si>
  <si>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</si>
  <si>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</si>
  <si>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</si>
  <si>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</si>
  <si>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Victor Dal Chele, Alfred Gimeno</t>
  </si>
  <si>
    <t>s4345</t>
  </si>
  <si>
    <t>Oddbods: The Festive Menace</t>
  </si>
  <si>
    <t>In this "Oddbods" special, Bubbles's latest invention, the Naughty-or-Nice Machine, zaps Santa Claus, jeopardizing the whole Christmas holiday season.</t>
  </si>
  <si>
    <t>Víctor García</t>
  </si>
  <si>
    <t>s4346</t>
  </si>
  <si>
    <t>Once a Gangster</t>
  </si>
  <si>
    <t>Ekin Cheng, Jordan Chan, Alex Fong, Michelle Ye, On-on Yu, Wilfred Lau, Conroy Chan</t>
  </si>
  <si>
    <t>Two former triads are tapped to run in an election for leader of the underworld, but both want normal lives. Each must outwit the other to lose.</t>
  </si>
  <si>
    <t>s4347</t>
  </si>
  <si>
    <t>Power Paandi</t>
  </si>
  <si>
    <t>Rajkiran, Dhanush, Prasanna, Chaya Singh, Revathy, Madonna Sebastian, Vidyullekha Raman</t>
  </si>
  <si>
    <t>Retired, restless and constantly butting heads with his son, a former stuntman escapes on a road trip that becomes a journey to find his first love.</t>
  </si>
  <si>
    <t>Victor Levin</t>
  </si>
  <si>
    <t>s4348</t>
  </si>
  <si>
    <t>Roll With Me</t>
  </si>
  <si>
    <t>Backed by a crew of unlikely allies, newly sober paraplegic Gabriel Cordell teams up with his nephew for a grueling wheelchair trek across America.</t>
  </si>
  <si>
    <t>s4349</t>
  </si>
  <si>
    <t>SDU: Sex Duties Unit</t>
  </si>
  <si>
    <t>Chapman To, Shawn Yue, Matt Chow, Kwok Cheung Tsang</t>
  </si>
  <si>
    <t>Four man-children in an elite tactical unit gallivant around Macau for a weekend of debauchery that gets them in trouble with the law.</t>
  </si>
  <si>
    <t>Victor Zarcoff</t>
  </si>
  <si>
    <t>s4350</t>
  </si>
  <si>
    <t>Set Off</t>
  </si>
  <si>
    <t>Wenpei Ju, Fan Wei, Liu Hua, Qianyuan Wang, Ren Zhengbin, He Jiang</t>
  </si>
  <si>
    <t>When a restaurant owner in Cyprus returns to Beijing to sign divorce papers, a drunk woman he encounters triggers a string of mishaps.</t>
  </si>
  <si>
    <t>Victoria Bromley</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</si>
  <si>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</si>
  <si>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</si>
  <si>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</si>
  <si>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</si>
  <si>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</si>
  <si>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</si>
  <si>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</si>
  <si>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</si>
  <si>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Vijay</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</si>
  <si>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</si>
  <si>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</si>
  <si>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</si>
  <si>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</si>
  <si>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</si>
  <si>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Vijay Jayapal</t>
  </si>
  <si>
    <t>s4354</t>
  </si>
  <si>
    <t>Death by Magic</t>
  </si>
  <si>
    <t>Drummond Money-Coutts</t>
  </si>
  <si>
    <t>Magician Drummond Money-Coutts travels the globe, sharing his infectious love of his craft and attempting feats that proved fatal to other magicians.</t>
  </si>
  <si>
    <t>s4355</t>
  </si>
  <si>
    <t>El club de los insomnes</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</si>
  <si>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</si>
  <si>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</si>
  <si>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</si>
  <si>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</si>
  <si>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</si>
  <si>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</si>
  <si>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</si>
  <si>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</si>
  <si>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</si>
  <si>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</si>
  <si>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</si>
  <si>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</si>
  <si>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</si>
  <si>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Nawazuddin Siddiqui, Rasika Dugal, Tahir Raj Bhasin</t>
  </si>
  <si>
    <t>The controversial and troubled Indo-Pakistani writer Saadat Hasan Manto finds his artistic choices challenged by censors.</t>
  </si>
  <si>
    <t>Vijay Milton</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</si>
  <si>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</si>
  <si>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</si>
  <si>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</si>
  <si>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</si>
  <si>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</si>
  <si>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</si>
  <si>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</si>
  <si>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</si>
  <si>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</si>
  <si>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</si>
  <si>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Isabelle Adjani, Karim Leklou, François Damiens, Vincent Cassel, Oulaya Amamra</t>
  </si>
  <si>
    <t>To escape his life of crime, a Paris drug dealer takes on one last job involving Spain, unhinged gangsters, his longtime crush and his scheming mother.</t>
  </si>
  <si>
    <t>Vijay Yelakanti</t>
  </si>
  <si>
    <t>s4362</t>
  </si>
  <si>
    <t>Time Share</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</si>
  <si>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</si>
  <si>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</si>
  <si>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</si>
  <si>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</si>
  <si>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</si>
  <si>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</si>
  <si>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</si>
  <si>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</si>
  <si>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Vikas Bahl, Nitesh Tiwari</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</si>
  <si>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</si>
  <si>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</si>
  <si>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</si>
  <si>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</si>
  <si>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</si>
  <si>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</si>
  <si>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</si>
  <si>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</si>
  <si>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</si>
  <si>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</si>
  <si>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Vikram Gandhi</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</si>
  <si>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</si>
  <si>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</si>
  <si>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</si>
  <si>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</si>
  <si>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</si>
  <si>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Vikram Pradhan</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</si>
  <si>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</si>
  <si>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</si>
  <si>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</si>
  <si>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</si>
  <si>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</si>
  <si>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</si>
  <si>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</si>
  <si>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</si>
  <si>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</si>
  <si>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</si>
  <si>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</si>
  <si>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</si>
  <si>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</si>
  <si>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</si>
  <si>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</si>
  <si>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</si>
  <si>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</si>
  <si>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</si>
  <si>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</si>
  <si>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</si>
  <si>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</si>
  <si>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</si>
  <si>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</si>
  <si>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</si>
  <si>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</si>
  <si>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</si>
  <si>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</si>
  <si>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</si>
  <si>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Vincent Kok</t>
  </si>
  <si>
    <t>s4373</t>
  </si>
  <si>
    <t>Paap-O-Meter</t>
  </si>
  <si>
    <t>A trio of sky-dwelling ghosts must travel to Earth to teach sinning humans a lesson, but they somehow manage to botch each well-intentioned mission.</t>
  </si>
  <si>
    <t>Vincent Perez</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</si>
  <si>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</si>
  <si>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</si>
  <si>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</si>
  <si>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</si>
  <si>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</si>
  <si>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</si>
  <si>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</si>
  <si>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</si>
  <si>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Vincente Minnelli, Charles Walters</t>
  </si>
  <si>
    <t>s4376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</si>
  <si>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</si>
  <si>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</si>
  <si>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</si>
  <si>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</si>
  <si>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</si>
  <si>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</si>
  <si>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</si>
  <si>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Vineeth Anil</t>
  </si>
  <si>
    <t>s4378</t>
  </si>
  <si>
    <t>Trevor Noah: Son of Patricia</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</si>
  <si>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</si>
  <si>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</si>
  <si>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</si>
  <si>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</si>
  <si>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</si>
  <si>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</si>
  <si>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</si>
  <si>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</si>
  <si>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</si>
  <si>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</si>
  <si>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</si>
  <si>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</si>
  <si>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Vipin Parashar</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</si>
  <si>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</si>
  <si>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</si>
  <si>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</si>
  <si>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</si>
  <si>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</si>
  <si>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</si>
  <si>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</si>
  <si>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</si>
  <si>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</si>
  <si>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</si>
  <si>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</si>
  <si>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</si>
  <si>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</si>
  <si>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</si>
  <si>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</si>
  <si>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</si>
  <si>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</si>
  <si>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</si>
  <si>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</si>
  <si>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</si>
  <si>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</si>
  <si>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</si>
  <si>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Vishal Bhardwaj</t>
  </si>
  <si>
    <t>s4386</t>
  </si>
  <si>
    <t>The Ballad of Buster Scruggs</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</si>
  <si>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</si>
  <si>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</si>
  <si>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</si>
  <si>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</si>
  <si>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</si>
  <si>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</si>
  <si>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Vishal Mishra</t>
  </si>
  <si>
    <t>s4388</t>
  </si>
  <si>
    <t>Vai Anitta</t>
  </si>
  <si>
    <t>Go behind the scenes with Brazilian pop icon Anitta, along with her friends and family, as she aims to create a new song and music video each month.</t>
  </si>
  <si>
    <t>Vishnu Govindhan</t>
  </si>
  <si>
    <t>s4389</t>
  </si>
  <si>
    <t>Aalorukkam</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</si>
  <si>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</si>
  <si>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</si>
  <si>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</si>
  <si>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</si>
  <si>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</si>
  <si>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</si>
  <si>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</si>
  <si>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</si>
  <si>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</si>
  <si>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</si>
  <si>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</si>
  <si>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Vivek Agnihotri</t>
  </si>
  <si>
    <t>s4392</t>
  </si>
  <si>
    <t>Halkaa</t>
  </si>
  <si>
    <t>Tathastu, Aryan Preet, Ranvir Shorey, Paoli Dam, Kumud Mishra, Devender Chaudhary, Shrikant Verma</t>
  </si>
  <si>
    <t>Up against a corrupt government official and crushing poverty, a young boy in the Delhi slums attempts to raise funds to build himself his own toilet.</t>
  </si>
  <si>
    <t>Vivek Wagh</t>
  </si>
  <si>
    <t>s4393</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</si>
  <si>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</si>
  <si>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</si>
  <si>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</si>
  <si>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Vivieno Caldinelli</t>
  </si>
  <si>
    <t>s4394</t>
  </si>
  <si>
    <t>Muzaffarnagar Baaqi Hai</t>
  </si>
  <si>
    <t>Through interviews with locals, this documentary investigates the triggers and outcomes of the 2013 communal riots in the heart of Uttar Pradesh.</t>
  </si>
  <si>
    <t>s4395</t>
  </si>
  <si>
    <t>Odu Raja Odu</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</si>
  <si>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</si>
  <si>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</si>
  <si>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Volker Arzt, Angelika Sigl</t>
  </si>
  <si>
    <t>s4396</t>
  </si>
  <si>
    <t>Savita Damodar Paranjpe</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</si>
  <si>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</si>
  <si>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</si>
  <si>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Volker Weicker</t>
  </si>
  <si>
    <t>s4397</t>
  </si>
  <si>
    <t>The Giant</t>
  </si>
  <si>
    <t>Joseba Usabiaga, Eneko Sagardoy, Iñigo Aranburu, Ramón Aguirre, Aia Kruse, Iñigo Azpitarte</t>
  </si>
  <si>
    <t>In 1843, crippled Martin returns from war to his Basque hometown and finds his brother has grown into a giant, which they turn into a circus act.</t>
  </si>
  <si>
    <t>Vonda Harrell, Daniel Camenisch</t>
  </si>
  <si>
    <t>s4398</t>
  </si>
  <si>
    <t>BuyBust</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</si>
  <si>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</si>
  <si>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</si>
  <si>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</si>
  <si>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</si>
  <si>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</si>
  <si>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</si>
  <si>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</si>
  <si>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</si>
  <si>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</si>
  <si>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</si>
  <si>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</si>
  <si>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Wade Allain-Marcus, Jesse Allain-Marcus</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</si>
  <si>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</si>
  <si>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</si>
  <si>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</si>
  <si>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</si>
  <si>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</si>
  <si>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</si>
  <si>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</si>
  <si>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</si>
  <si>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</si>
  <si>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</si>
  <si>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</si>
  <si>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</si>
  <si>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</si>
  <si>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</si>
  <si>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Wagner De Assis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</si>
  <si>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</si>
  <si>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</si>
  <si>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</si>
  <si>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</si>
  <si>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Walerian Borowczyk</t>
  </si>
  <si>
    <t>s4405</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</si>
  <si>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</si>
  <si>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</si>
  <si>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</si>
  <si>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Wally Pfister</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</si>
  <si>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</si>
  <si>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</si>
  <si>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</si>
  <si>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</si>
  <si>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</si>
  <si>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</si>
  <si>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</si>
  <si>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</si>
  <si>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</si>
  <si>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</si>
  <si>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</si>
  <si>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</si>
  <si>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</si>
  <si>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</si>
  <si>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</si>
  <si>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Warren P. Sonoda</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</si>
  <si>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</si>
  <si>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</si>
  <si>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</si>
  <si>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</si>
  <si>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</si>
  <si>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</si>
  <si>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</si>
  <si>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</si>
  <si>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</si>
  <si>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</si>
  <si>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</si>
  <si>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Waymon Boone</t>
  </si>
  <si>
    <t>s4412</t>
  </si>
  <si>
    <t>Bucket List</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</si>
  <si>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</si>
  <si>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</si>
  <si>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</si>
  <si>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</si>
  <si>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</si>
  <si>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</si>
  <si>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</si>
  <si>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</si>
  <si>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</si>
  <si>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</si>
  <si>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</si>
  <si>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</si>
  <si>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Wendy Jo Carlton</t>
  </si>
  <si>
    <t>s4415</t>
  </si>
  <si>
    <t>Ana e Vitória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</si>
  <si>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</si>
  <si>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</si>
  <si>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</si>
  <si>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</si>
  <si>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</si>
  <si>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</si>
  <si>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</si>
  <si>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Werner Herzog</t>
  </si>
  <si>
    <t>s4417</t>
  </si>
  <si>
    <t>ReMastered: Tricky Dick &amp; The Man in Black</t>
  </si>
  <si>
    <t>This documentary chronicles Johnny Cash's 1970 visit to the White House, where Cash's emerging ideals clashed with Richard Nixon's policies.</t>
  </si>
  <si>
    <t>Wes Craven</t>
  </si>
  <si>
    <t>s4418</t>
  </si>
  <si>
    <t>The Holiday Calendar</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</si>
  <si>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</si>
  <si>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</si>
  <si>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</si>
  <si>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</si>
  <si>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</si>
  <si>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</si>
  <si>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</si>
  <si>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</si>
  <si>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</si>
  <si>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Orson Welles, Alan Cumming</t>
  </si>
  <si>
    <t>Actors, crew members and others who were there discuss the tumultuous creation of Orson Welles's final, unfinished film, “The Other Side of the Wind.”</t>
  </si>
  <si>
    <t>Will Allen</t>
  </si>
  <si>
    <t>s4421</t>
  </si>
  <si>
    <t>Aagey Se Right</t>
  </si>
  <si>
    <t>Shreyas Talpade, Kay Kay Menon, Shiv Pandit, Sanjay Sharma, Shenaz Treasury, Mahie Gill</t>
  </si>
  <si>
    <t>November 1, 2018</t>
  </si>
  <si>
    <t>A cop full of self-doubt loses his gun five days before he's due to leave the force, and becomes an unexpected hero as he tries to retrieve it.</t>
  </si>
  <si>
    <t>Will Canon</t>
  </si>
  <si>
    <t>s4422</t>
  </si>
  <si>
    <t>Aamir</t>
  </si>
  <si>
    <t>Rajeev Khandelwal, Gajraj Rao, Shashanka Ghosh, Jhilmil Hazrika, Gazala Amin, Allauddin Khan</t>
  </si>
  <si>
    <t>In this high-tension thriller, an anonymous caller on a cell phone threatens to harm a man's family if he doesn't carry out every order.</t>
  </si>
  <si>
    <t>s4423</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</si>
  <si>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</si>
  <si>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</si>
  <si>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</si>
  <si>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</si>
  <si>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</si>
  <si>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</si>
  <si>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</si>
  <si>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Will Gluck</t>
  </si>
  <si>
    <t>s4425</t>
  </si>
  <si>
    <t>Arjun: The Warrior Prince</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</si>
  <si>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</si>
  <si>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</si>
  <si>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Will Lockhart, Cole D. Pruitt</t>
  </si>
  <si>
    <t>s4426</t>
  </si>
  <si>
    <t>Asees</t>
  </si>
  <si>
    <t>Rana Ranbir, Neha Pawar, Kuljinder Sidhu, Rupinder Roopi, Sardar Sohi, Pardeep Sran, Seema Kaushal, Rajvir Boparai</t>
  </si>
  <si>
    <t>When a dispute breaks out between five siblings over their mother’s property, one devoted son will go to any lengths to protect her land.</t>
  </si>
  <si>
    <t>Will Lovelace, Dylan Southern</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</si>
  <si>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</si>
  <si>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</si>
  <si>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</si>
  <si>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</si>
  <si>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Will Mccormack, Michael Govier</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</si>
  <si>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</si>
  <si>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</si>
  <si>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</si>
  <si>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</si>
  <si>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Will Yapp</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</si>
  <si>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</si>
  <si>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</si>
  <si>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</si>
  <si>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</si>
  <si>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</si>
  <si>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</si>
  <si>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Shahid Kapoor, Kareena Kapoor, Om Puri, Neha Dhupia, Sunil Shetty, Paresh Rawal, Rajpal Yadav, Shakti Kapoor</t>
  </si>
  <si>
    <t>Mistaking a broke, small-time hustler for a millionaire, two bumbling fishermen hatch a scheme to use him to help pay off their debts.</t>
  </si>
  <si>
    <t>William Brent Bell</t>
  </si>
  <si>
    <t>s4431</t>
  </si>
  <si>
    <t>Creators</t>
  </si>
  <si>
    <t>Fabio Aste, Héctor Segura, Sebastian Rosas</t>
  </si>
  <si>
    <t>Two brilliant scientists discover the hidden virtual city of Creápolis, where citizens have the power to solve problems by believing and creating.</t>
  </si>
  <si>
    <t>William Eubank, Will Eubank</t>
  </si>
  <si>
    <t>s4432</t>
  </si>
  <si>
    <t>Dhan Dhana Dhan Goal</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</si>
  <si>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</si>
  <si>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</si>
  <si>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</si>
  <si>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William Friedkin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</si>
  <si>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</si>
  <si>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</si>
  <si>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</si>
  <si>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</si>
  <si>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William H. Macy</t>
  </si>
  <si>
    <t>s4434</t>
  </si>
  <si>
    <t>Do Dooni Chaar</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</si>
  <si>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</si>
  <si>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</si>
  <si>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</si>
  <si>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</si>
  <si>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</si>
  <si>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</si>
  <si>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William Lau</t>
  </si>
  <si>
    <t>s4436</t>
  </si>
  <si>
    <t>Edmilson Filho: Notas, Comedy about Relationships</t>
  </si>
  <si>
    <t>Edmilson Filho</t>
  </si>
  <si>
    <t>Brazilian comedian Edmilson Filho walks his audience through the stages of a modern relationship, playing up the differences between men and women.</t>
  </si>
  <si>
    <t>William Lau, Sylvain Blais</t>
  </si>
  <si>
    <t>s4437</t>
  </si>
  <si>
    <t>Follow This</t>
  </si>
  <si>
    <t>John Stanton, Scaachi Koul, Azeen Ghorayshi, Bim Adewunmi, Juliane Loffler, Charlie Warzel</t>
  </si>
  <si>
    <t>Follow the reporters at BuzzFeed as they probe topics ranging from quirky internet crazes to safe injection spaces for opioid users.</t>
  </si>
  <si>
    <t>William Monahan</t>
  </si>
  <si>
    <t>s4438</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</si>
  <si>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</si>
  <si>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</si>
  <si>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</si>
  <si>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William Wyler</t>
  </si>
  <si>
    <t>s4439</t>
  </si>
  <si>
    <t>Ghanchakkar</t>
  </si>
  <si>
    <t>Emraan Hashmi, Vidya Balan, Rajesh Sharma, Namit Das, Parvin Dabas</t>
  </si>
  <si>
    <t>Former con artist Sanju surrounds himself with the finer things, a blissful life troubled by only one thing: his wife, who wants even more.</t>
  </si>
  <si>
    <t>William Wyler, John Sturges</t>
  </si>
  <si>
    <t>s4440</t>
  </si>
  <si>
    <t>Grandmaster</t>
  </si>
  <si>
    <t>Mithra Kurian, Anoop Menon, Mohanlal, Narein, Priyamani, Roma, Siddique, Jagathy Sreekumar</t>
  </si>
  <si>
    <t>Anticipating the next move in a serial killer's grisly game, a police chief realizes that his daughter and estranged wife are the next likely victims.</t>
  </si>
  <si>
    <t>Wilson Coneybeare</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</si>
  <si>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</si>
  <si>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</si>
  <si>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</si>
  <si>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</si>
  <si>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</si>
  <si>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</si>
  <si>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</si>
  <si>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</si>
  <si>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Wim Bonte</t>
  </si>
  <si>
    <t>s4443</t>
  </si>
  <si>
    <t>Himmatwala</t>
  </si>
  <si>
    <t>Ajay Devgn, Tamannaah Bhatia, Paresh Rawal, Zarina Wahab, Mahesh Manjrekar</t>
  </si>
  <si>
    <t>A young man returns to his native village on a mission of vengeance after his father commits suicide in the wake of false accusations.</t>
  </si>
  <si>
    <t>Wim Wenders</t>
  </si>
  <si>
    <t>s4444</t>
  </si>
  <si>
    <t>Husbands in Goa</t>
  </si>
  <si>
    <t>Jayasurya, Indrajith, Asif Ali, Lal, Bhama, Ramya Nambeeshan, Rima Kallingal, Praveena</t>
  </si>
  <si>
    <t>Three professional friends, all husbands living with domineering wives, take a well-deserved vacation in the resort city of Goa.</t>
  </si>
  <si>
    <t>Wojciech Marczewski</t>
  </si>
  <si>
    <t>s4445</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</si>
  <si>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</si>
  <si>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</si>
  <si>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</si>
  <si>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</si>
  <si>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</si>
  <si>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</si>
  <si>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</si>
  <si>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Wong Jing</t>
  </si>
  <si>
    <t>s4447</t>
  </si>
  <si>
    <t>Kalakalappu</t>
  </si>
  <si>
    <t>Vimal, Anjali, Shiva, Oviya, Santhanam, John Vijay, M. Ilavarasu, Manobala</t>
  </si>
  <si>
    <t>Cheenu dreams of resurrecting the restaurant he has inherited to its former glory, but his brother, a compulsive gambler, loses the place to a cop.</t>
  </si>
  <si>
    <t>Wong Jing, Jason Kwan</t>
  </si>
  <si>
    <t>s4448</t>
  </si>
  <si>
    <t>Katt Williams: The Pimp Chronicles: Pt. 1</t>
  </si>
  <si>
    <t>Katt Williams, Anthony Anderson</t>
  </si>
  <si>
    <t>In this 2006 show, comic Katt Williams uses his edgy style and personal experiences to paint a sassy, hilarious portrait of life in black America.</t>
  </si>
  <si>
    <t>s4449</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</si>
  <si>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</si>
  <si>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</si>
  <si>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</si>
  <si>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Woo Min-Ho</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</si>
  <si>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</si>
  <si>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</si>
  <si>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</si>
  <si>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</si>
  <si>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Woo Ming Jin</t>
  </si>
  <si>
    <t>s4451</t>
  </si>
  <si>
    <t>Marc Maron: Thinky Pain</t>
  </si>
  <si>
    <t>Alternative comic Marc Maron is back on stage in New York to talk Chinese food, drug abuse, sex in hotel rooms and life with his girlfriend.</t>
  </si>
  <si>
    <t>Woody Allen</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</si>
  <si>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</si>
  <si>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</si>
  <si>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</si>
  <si>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</si>
  <si>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</si>
  <si>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</si>
  <si>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</si>
  <si>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</si>
  <si>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Wyatt Cenac</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</si>
  <si>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</si>
  <si>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</si>
  <si>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</si>
  <si>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</si>
  <si>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</si>
  <si>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</si>
  <si>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</si>
  <si>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</si>
  <si>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</si>
  <si>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</si>
  <si>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</si>
  <si>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</si>
  <si>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</si>
  <si>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</si>
  <si>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</si>
  <si>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</si>
  <si>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</si>
  <si>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</si>
  <si>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</si>
  <si>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</si>
  <si>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</si>
  <si>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</si>
  <si>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Arya, Anjali, Hansika Motwani, Santhanam, Premgi Amaren, Nasser</t>
  </si>
  <si>
    <t>Asked to deliver a package for a friend, Madhu gets her fiancé, Jayaganthan, to take care of it, and he then passes the task to one of his roommates.</t>
  </si>
  <si>
    <t>Xiaoxing Yi, Yoshitaka Takeuchi, Haoling Li</t>
  </si>
  <si>
    <t>s4460</t>
  </si>
  <si>
    <t>Sigaram Thodu</t>
  </si>
  <si>
    <t>Vikram Prabhu, Sathyaraj, Monal Gajjar, Sathish, Erode Mahesh, Gaurav Narayanan</t>
  </si>
  <si>
    <t>A policeman's son overcomes his reluctance to join the force following a brutal attack on his father and ends up in the middle of a robbery case.</t>
  </si>
  <si>
    <t>Y. Joon Chung</t>
  </si>
  <si>
    <t>s4461</t>
  </si>
  <si>
    <t>Sommore: The Reign Continues</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</si>
  <si>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</si>
  <si>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</si>
  <si>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</si>
  <si>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</si>
  <si>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</si>
  <si>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</si>
  <si>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Yance Ford</t>
  </si>
  <si>
    <t>s4463</t>
  </si>
  <si>
    <t>The Untold Tales of Armistead Maupin</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</si>
  <si>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</si>
  <si>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</si>
  <si>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</si>
  <si>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</si>
  <si>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</si>
  <si>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</si>
  <si>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Yang Lei</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</si>
  <si>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</si>
  <si>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</si>
  <si>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</si>
  <si>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</si>
  <si>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Yang Woo-Seok</t>
  </si>
  <si>
    <t>s4466</t>
  </si>
  <si>
    <t>Yeh Hai Bakrapur</t>
  </si>
  <si>
    <t>Amit Sial, Yoshika Verma, Anshuman Jha, Asif Basra, Suruchi Aulakh</t>
  </si>
  <si>
    <t>A poor family’s goat suddenly acquires divine status, sparking a widespread frenzy as everyone clamors to benefit from its unexpected celebrity.</t>
  </si>
  <si>
    <t>Yann Arthus-Bertrand, Michael Pitiot</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</si>
  <si>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</si>
  <si>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</si>
  <si>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</si>
  <si>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</si>
  <si>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</si>
  <si>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</si>
  <si>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</si>
  <si>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</si>
  <si>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</si>
  <si>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</si>
  <si>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</si>
  <si>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</si>
  <si>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</si>
  <si>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</si>
  <si>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</si>
  <si>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</si>
  <si>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</si>
  <si>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</si>
  <si>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</si>
  <si>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Yasir Nawaz</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</si>
  <si>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</si>
  <si>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</si>
  <si>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</si>
  <si>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</si>
  <si>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</si>
  <si>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</si>
  <si>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</si>
  <si>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</si>
  <si>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</si>
  <si>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</si>
  <si>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Yasuhiro Irie</t>
  </si>
  <si>
    <t>s4473</t>
  </si>
  <si>
    <t>Dovlatov</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</si>
  <si>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</si>
  <si>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</si>
  <si>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</si>
  <si>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Yayo Herrero</t>
  </si>
  <si>
    <t>s4474</t>
  </si>
  <si>
    <t>Jefe</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</si>
  <si>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</si>
  <si>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</si>
  <si>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</si>
  <si>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</si>
  <si>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</si>
  <si>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</si>
  <si>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</si>
  <si>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</si>
  <si>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In 1992, Sandi Tan and her friends shot a quirky film on the streets of Singapore. Then the footage disappeared, sending her on a hunt for answers.</t>
  </si>
  <si>
    <t>Yen Cheng-Kuo</t>
  </si>
  <si>
    <t>s4477</t>
  </si>
  <si>
    <t>Terrorism Close Calls</t>
  </si>
  <si>
    <t>Law enforcement officials look back on attempted terrorist attacks that were thwarted in the nick of time.</t>
  </si>
  <si>
    <t>s4478</t>
  </si>
  <si>
    <t>W/O Ram</t>
  </si>
  <si>
    <t>Lakshmi Manchu, Aadarsh Balakrishna, Priyadarshi Pullikonda, Samrat Reddy, Shrikanth Iyyangar, Shrusti Dange</t>
  </si>
  <si>
    <t>Frustrated with the stalled investigation into her husband's murder, a woman searches for the killer on her own, putting herself in grave danger.</t>
  </si>
  <si>
    <t>Yesim Ustaoglu</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</si>
  <si>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</si>
  <si>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</si>
  <si>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</si>
  <si>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</si>
  <si>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</si>
  <si>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</si>
  <si>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</si>
  <si>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</si>
  <si>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</si>
  <si>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</si>
  <si>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</si>
  <si>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</si>
  <si>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</si>
  <si>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Yin Chen-Hao</t>
  </si>
  <si>
    <t>s4482</t>
  </si>
  <si>
    <t>Baahubali: The Beginning (English Version)</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</si>
  <si>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</si>
  <si>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</si>
  <si>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</si>
  <si>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</si>
  <si>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</si>
  <si>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</si>
  <si>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</si>
  <si>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</si>
  <si>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</si>
  <si>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</si>
  <si>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</si>
  <si>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</si>
  <si>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Yoo Byung-Jae</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</si>
  <si>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</si>
  <si>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</si>
  <si>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</si>
  <si>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</si>
  <si>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Yoon Sung-Hyun</t>
  </si>
  <si>
    <t>s4486</t>
  </si>
  <si>
    <t>The Hollywood Masters</t>
  </si>
  <si>
    <t>Top Hollywood stars and directors open up about their dreams, struggles and lifelong obsessions in interviews filmed in front of a live audience.</t>
  </si>
  <si>
    <t>s4487</t>
  </si>
  <si>
    <t>How to Get Over a Breakup</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</si>
  <si>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</si>
  <si>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</si>
  <si>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</si>
  <si>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</si>
  <si>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</si>
  <si>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</si>
  <si>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</si>
  <si>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</si>
  <si>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</si>
  <si>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</si>
  <si>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</si>
  <si>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</si>
  <si>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</si>
  <si>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</si>
  <si>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</si>
  <si>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</si>
  <si>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</si>
  <si>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You-Jeong Chang</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</si>
  <si>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</si>
  <si>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</si>
  <si>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</si>
  <si>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</si>
  <si>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</si>
  <si>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Young Jun Lee</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</si>
  <si>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</si>
  <si>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</si>
  <si>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</si>
  <si>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</si>
  <si>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</si>
  <si>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</si>
  <si>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</si>
  <si>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</si>
  <si>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</si>
  <si>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</si>
  <si>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</si>
  <si>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</si>
  <si>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</si>
  <si>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</si>
  <si>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</si>
  <si>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</si>
  <si>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</si>
  <si>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</si>
  <si>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</si>
  <si>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</si>
  <si>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</si>
  <si>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Yuen Wo-Ping</t>
  </si>
  <si>
    <t>s4497</t>
  </si>
  <si>
    <t>Naa Bangaaru Talli</t>
  </si>
  <si>
    <t>Siddique, Anjali Patil, Lakshmi Menon, Nina Kurup, Rathna Shekar Reddy, Anoop Aravindan</t>
  </si>
  <si>
    <t>A father leading a dark double life and his daughter, who's eager to pursue her studies in Hyderabad, face the tragic consequences of sex trafficking.</t>
  </si>
  <si>
    <t>Yuen Woo-Ping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</si>
  <si>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</si>
  <si>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</si>
  <si>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</si>
  <si>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</si>
  <si>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</si>
  <si>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</si>
  <si>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</si>
  <si>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</si>
  <si>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</si>
  <si>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</si>
  <si>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</si>
  <si>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</si>
  <si>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</si>
  <si>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</si>
  <si>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</si>
  <si>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</si>
  <si>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Yusuf Pirhasan</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</si>
  <si>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</si>
  <si>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</si>
  <si>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</si>
  <si>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</si>
  <si>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</si>
  <si>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</si>
  <si>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</si>
  <si>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</si>
  <si>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</si>
  <si>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</si>
  <si>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Yvan Attal</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</si>
  <si>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</si>
  <si>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</si>
  <si>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</si>
  <si>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</si>
  <si>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</si>
  <si>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Zach Braff</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</si>
  <si>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</si>
  <si>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</si>
  <si>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</si>
  <si>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</si>
  <si>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</si>
  <si>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Zach Clark</t>
  </si>
  <si>
    <t>s4506</t>
  </si>
  <si>
    <t>Ron White: If You Quit Listening, I'll Shut Up</t>
  </si>
  <si>
    <t>Ron White</t>
  </si>
  <si>
    <t>Ron “Tater Salad” White dishes out his signature brand of cynicism, riffing on sex, celebrity and the sinister habits of wild geese.</t>
  </si>
  <si>
    <t>Zachary Heinzerling</t>
  </si>
  <si>
    <t>s4507</t>
  </si>
  <si>
    <t>Meghnadbodh Rohoshyo</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</si>
  <si>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</si>
  <si>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</si>
  <si>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</si>
  <si>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</si>
  <si>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</si>
  <si>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</si>
  <si>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</si>
  <si>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Zack Whedon</t>
  </si>
  <si>
    <t>s4509</t>
  </si>
  <si>
    <t>Stunt Science</t>
  </si>
  <si>
    <t>When it comes to daring stunts and outrageous pranks, we often wonder: What were they thinking? This high-octane series tries to find some answers.</t>
  </si>
  <si>
    <t>s4510</t>
  </si>
  <si>
    <t>Soorma</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</si>
  <si>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</si>
  <si>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</si>
  <si>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</si>
  <si>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Zakariya</t>
  </si>
  <si>
    <t>s4511</t>
  </si>
  <si>
    <t>Apostle</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</si>
  <si>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</si>
  <si>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</si>
  <si>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</si>
  <si>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</si>
  <si>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</si>
  <si>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</si>
  <si>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</si>
  <si>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</si>
  <si>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Zatella Beatty</t>
  </si>
  <si>
    <t>s4513</t>
  </si>
  <si>
    <t>Errementari: The Blacksmith and the Devil</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</si>
  <si>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</si>
  <si>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</si>
  <si>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</si>
  <si>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</si>
  <si>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</si>
  <si>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Revisiting 1970s photos of women that captured a feminist awakening, this film explores those women's lives and examines the continued need for change.</t>
  </si>
  <si>
    <t>Zeke Norton</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</si>
  <si>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</si>
  <si>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</si>
  <si>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</si>
  <si>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</si>
  <si>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</si>
  <si>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</si>
  <si>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</si>
  <si>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</si>
  <si>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</si>
  <si>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</si>
  <si>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</si>
  <si>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</si>
  <si>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</si>
  <si>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</si>
  <si>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</si>
  <si>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</si>
  <si>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</si>
  <si>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</si>
  <si>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</si>
  <si>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</si>
  <si>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</si>
  <si>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Ziga Virc</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</si>
  <si>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</si>
  <si>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</si>
  <si>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</si>
  <si>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</si>
  <si>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</si>
  <si>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</si>
  <si>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</si>
  <si>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</si>
  <si>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</si>
  <si>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</si>
  <si>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</si>
  <si>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</si>
  <si>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</si>
  <si>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</si>
  <si>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Zoe Lister-Jones</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</si>
  <si>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</si>
  <si>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</si>
  <si>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</si>
  <si>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</si>
  <si>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</si>
  <si>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</si>
  <si>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</si>
  <si>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</si>
  <si>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</si>
  <si>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</si>
  <si>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Zoya Akhtar, Karan Johar, Anurag Kashyap, Dibakar Banerjee</t>
  </si>
  <si>
    <t>s4525</t>
  </si>
  <si>
    <t>Tales From the Hood 2</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</si>
  <si>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</si>
  <si>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</si>
  <si>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</si>
  <si>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</si>
  <si>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</si>
  <si>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</si>
  <si>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</si>
  <si>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</si>
  <si>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</si>
  <si>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</si>
  <si>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</si>
  <si>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</si>
  <si>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</si>
  <si>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</si>
  <si>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</si>
  <si>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</si>
  <si>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</si>
  <si>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</si>
  <si>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</si>
  <si>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</si>
  <si>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</si>
  <si>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</si>
  <si>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</si>
  <si>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</si>
  <si>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</si>
  <si>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</si>
  <si>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</si>
  <si>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</si>
  <si>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</si>
  <si>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</si>
  <si>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</si>
  <si>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</si>
  <si>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</si>
  <si>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</si>
  <si>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</si>
  <si>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</si>
  <si>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</si>
  <si>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</si>
  <si>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</si>
  <si>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</si>
  <si>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</si>
  <si>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</si>
  <si>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</si>
  <si>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</si>
  <si>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</si>
  <si>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</si>
  <si>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</si>
  <si>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</si>
  <si>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</si>
  <si>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</si>
  <si>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</si>
  <si>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</si>
  <si>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</si>
  <si>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</si>
  <si>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</si>
  <si>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</si>
  <si>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</si>
  <si>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</si>
  <si>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</si>
  <si>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</si>
  <si>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</si>
  <si>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</si>
  <si>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</si>
  <si>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</si>
  <si>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</si>
  <si>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</si>
  <si>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</si>
  <si>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</si>
  <si>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</si>
  <si>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</si>
  <si>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</si>
  <si>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</si>
  <si>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</si>
  <si>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</si>
  <si>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</si>
  <si>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</si>
  <si>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</si>
  <si>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</si>
  <si>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</si>
  <si>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</si>
  <si>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</si>
  <si>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</si>
  <si>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</si>
  <si>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</si>
  <si>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</si>
  <si>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</si>
  <si>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</si>
  <si>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</si>
  <si>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</si>
  <si>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</si>
  <si>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</si>
  <si>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</si>
  <si>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</si>
  <si>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</si>
  <si>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</si>
  <si>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</si>
  <si>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</si>
  <si>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</si>
  <si>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</si>
  <si>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</si>
  <si>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</si>
  <si>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</si>
  <si>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</si>
  <si>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</si>
  <si>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</si>
  <si>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</si>
  <si>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</si>
  <si>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</si>
  <si>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</si>
  <si>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</si>
  <si>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</si>
  <si>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</si>
  <si>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</si>
  <si>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</si>
  <si>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</si>
  <si>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</si>
  <si>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</si>
  <si>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</si>
  <si>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</si>
  <si>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</si>
  <si>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</si>
  <si>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</si>
  <si>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</si>
  <si>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</si>
  <si>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</si>
  <si>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</si>
  <si>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</si>
  <si>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</si>
  <si>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</si>
  <si>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</si>
  <si>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</si>
  <si>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</si>
  <si>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</si>
  <si>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</si>
  <si>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</si>
  <si>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</si>
  <si>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</si>
  <si>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</si>
  <si>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</si>
  <si>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Five Pythons reflect on their creative process, politics, television and the making of their award-winning final film, "The Meaning of Life."</t>
  </si>
  <si>
    <t>s4557</t>
  </si>
  <si>
    <t>25 Kille</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</si>
  <si>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</si>
  <si>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</si>
  <si>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</si>
  <si>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</si>
  <si>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</si>
  <si>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</si>
  <si>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</si>
  <si>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</si>
  <si>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</si>
  <si>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</si>
  <si>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</si>
  <si>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</si>
  <si>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</si>
  <si>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Suriya, Samantha Ruth Prabhu, Vidyut Jammwal, Manoj Bajpayee, Soori</t>
  </si>
  <si>
    <t>Mild-mannered Krishna comes to Mumbai to search for his gang-leader brother, and quickly finds himself in way over his head.</t>
  </si>
  <si>
    <t>s4561</t>
  </si>
  <si>
    <t>Bathinda Express</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</si>
  <si>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</si>
  <si>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</si>
  <si>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</si>
  <si>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</si>
  <si>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</si>
  <si>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</si>
  <si>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</si>
  <si>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</si>
  <si>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</si>
  <si>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</si>
  <si>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</si>
  <si>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</si>
  <si>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</si>
  <si>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</si>
  <si>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</si>
  <si>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</si>
  <si>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</si>
  <si>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</si>
  <si>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</si>
  <si>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</si>
  <si>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</si>
  <si>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</si>
  <si>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</si>
  <si>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</si>
  <si>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</si>
  <si>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</si>
  <si>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</si>
  <si>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</si>
  <si>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</si>
  <si>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</si>
  <si>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</si>
  <si>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</si>
  <si>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</si>
  <si>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</si>
  <si>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</si>
  <si>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</si>
  <si>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</si>
  <si>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</si>
  <si>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</si>
  <si>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</si>
  <si>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</si>
  <si>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</si>
  <si>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</si>
  <si>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</si>
  <si>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</si>
  <si>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</si>
  <si>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</si>
  <si>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</si>
  <si>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</si>
  <si>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</si>
  <si>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</si>
  <si>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</si>
  <si>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</si>
  <si>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</si>
  <si>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</si>
  <si>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</si>
  <si>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</si>
  <si>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</si>
  <si>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</si>
  <si>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</si>
  <si>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</si>
  <si>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</si>
  <si>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</si>
  <si>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</si>
  <si>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</si>
  <si>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</si>
  <si>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</si>
  <si>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</si>
  <si>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</si>
  <si>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</si>
  <si>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</si>
  <si>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</si>
  <si>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</si>
  <si>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</si>
  <si>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</si>
  <si>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</si>
  <si>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</si>
  <si>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</si>
  <si>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</si>
  <si>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</si>
  <si>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</si>
  <si>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</si>
  <si>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</si>
  <si>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</si>
  <si>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</si>
  <si>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</si>
  <si>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</si>
  <si>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</si>
  <si>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</si>
  <si>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</si>
  <si>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</si>
  <si>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</si>
  <si>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</si>
  <si>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</si>
  <si>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</si>
  <si>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</si>
  <si>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</si>
  <si>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</si>
  <si>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</si>
  <si>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</si>
  <si>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</si>
  <si>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</si>
  <si>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</si>
  <si>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</si>
  <si>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</si>
  <si>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</si>
  <si>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</si>
  <si>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</si>
  <si>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</si>
  <si>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Prasanna, Cheran, Haripriya, Nikhita, Suma Bhattacharya, Jayaprakash</t>
  </si>
  <si>
    <t>When jingle composer Nanda's car breaks down on his way to Chennai, he hitchhikes there with Arjun, who tries to rope Nanda into a shady deal.</t>
  </si>
  <si>
    <t>s4589</t>
  </si>
  <si>
    <t>My Friend Pinto</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</si>
  <si>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</si>
  <si>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</si>
  <si>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</si>
  <si>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</si>
  <si>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</si>
  <si>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</si>
  <si>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</si>
  <si>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</si>
  <si>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</si>
  <si>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</si>
  <si>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</si>
  <si>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</si>
  <si>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</si>
  <si>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</si>
  <si>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</si>
  <si>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</si>
  <si>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</si>
  <si>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</si>
  <si>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</si>
  <si>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</si>
  <si>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</si>
  <si>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</si>
  <si>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</si>
  <si>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</si>
  <si>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</si>
  <si>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</si>
  <si>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</si>
  <si>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</si>
  <si>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</si>
  <si>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</si>
  <si>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</si>
  <si>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</si>
  <si>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Soumitra Chatterjee, Paran Banerjee, Arun Mukherjee, Sujan Mukherjee</t>
  </si>
  <si>
    <t>Complications around the cremation of their deceased friend inspire three septuagenarian friends to build their own mortuary.</t>
  </si>
  <si>
    <t>s4598</t>
  </si>
  <si>
    <t>Phantom</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</si>
  <si>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</si>
  <si>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</si>
  <si>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</si>
  <si>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</si>
  <si>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</si>
  <si>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</si>
  <si>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</si>
  <si>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</si>
  <si>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</si>
  <si>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</si>
  <si>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</si>
  <si>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</si>
  <si>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</si>
  <si>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</si>
  <si>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</si>
  <si>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</si>
  <si>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</si>
  <si>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</si>
  <si>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</si>
  <si>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</si>
  <si>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</si>
  <si>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</si>
  <si>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</si>
  <si>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</si>
  <si>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</si>
  <si>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</si>
  <si>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</si>
  <si>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</si>
  <si>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</si>
  <si>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</si>
  <si>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</si>
  <si>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</si>
  <si>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</si>
  <si>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</si>
  <si>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</si>
  <si>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</si>
  <si>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</si>
  <si>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</si>
  <si>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</si>
  <si>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</si>
  <si>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</si>
  <si>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</si>
  <si>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</si>
  <si>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</si>
  <si>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</si>
  <si>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</si>
  <si>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</si>
  <si>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</si>
  <si>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</si>
  <si>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</si>
  <si>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</si>
  <si>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</si>
  <si>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</si>
  <si>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</si>
  <si>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</si>
  <si>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</si>
  <si>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</si>
  <si>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</si>
  <si>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</si>
  <si>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</si>
  <si>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</si>
  <si>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</si>
  <si>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</si>
  <si>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</si>
  <si>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</si>
  <si>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</si>
  <si>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</si>
  <si>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</si>
  <si>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</si>
  <si>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</si>
  <si>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</si>
  <si>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</si>
  <si>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</si>
  <si>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</si>
  <si>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</si>
  <si>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</si>
  <si>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</si>
  <si>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</si>
  <si>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</si>
  <si>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</si>
  <si>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</si>
  <si>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</si>
  <si>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</si>
  <si>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</si>
  <si>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</si>
  <si>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</si>
  <si>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</si>
  <si>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</si>
  <si>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</si>
  <si>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</si>
  <si>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</si>
  <si>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</si>
  <si>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</si>
  <si>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</si>
  <si>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</si>
  <si>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</si>
  <si>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</si>
  <si>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</si>
  <si>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</si>
  <si>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</si>
  <si>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</si>
  <si>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</si>
  <si>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</si>
  <si>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</si>
  <si>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</si>
  <si>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</si>
  <si>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</si>
  <si>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</si>
  <si>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</si>
  <si>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</si>
  <si>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</si>
  <si>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</si>
  <si>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</si>
  <si>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</si>
  <si>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</si>
  <si>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</si>
  <si>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</si>
  <si>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</si>
  <si>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</si>
  <si>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</si>
  <si>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</si>
  <si>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</si>
  <si>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</si>
  <si>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</si>
  <si>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</si>
  <si>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</si>
  <si>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</si>
  <si>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</si>
  <si>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</si>
  <si>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</si>
  <si>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</si>
  <si>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</si>
  <si>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</si>
  <si>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</si>
  <si>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</si>
  <si>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</si>
  <si>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</si>
  <si>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</si>
  <si>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</si>
  <si>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</si>
  <si>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</si>
  <si>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</si>
  <si>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</si>
  <si>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</si>
  <si>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</si>
  <si>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</si>
  <si>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</si>
  <si>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</si>
  <si>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</si>
  <si>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</si>
  <si>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</si>
  <si>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</si>
  <si>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</si>
  <si>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</si>
  <si>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</si>
  <si>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</si>
  <si>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</si>
  <si>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</si>
  <si>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</si>
  <si>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</si>
  <si>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</si>
  <si>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</si>
  <si>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</si>
  <si>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</si>
  <si>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</si>
  <si>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</si>
  <si>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</si>
  <si>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</si>
  <si>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</si>
  <si>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</si>
  <si>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</si>
  <si>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</si>
  <si>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</si>
  <si>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</si>
  <si>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</si>
  <si>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</si>
  <si>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</si>
  <si>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</si>
  <si>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</si>
  <si>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</si>
  <si>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</si>
  <si>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</si>
  <si>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</si>
  <si>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</si>
  <si>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</si>
  <si>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</si>
  <si>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</si>
  <si>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</si>
  <si>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</si>
  <si>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</si>
  <si>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</si>
  <si>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</si>
  <si>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</si>
  <si>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</si>
  <si>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</si>
  <si>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</si>
  <si>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</si>
  <si>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</si>
  <si>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</si>
  <si>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</si>
  <si>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</si>
  <si>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</si>
  <si>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</si>
  <si>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</si>
  <si>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</si>
  <si>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</si>
  <si>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</si>
  <si>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</si>
  <si>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</si>
  <si>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</si>
  <si>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</si>
  <si>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</si>
  <si>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</si>
  <si>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</si>
  <si>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</si>
  <si>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</si>
  <si>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</si>
  <si>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</si>
  <si>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</si>
  <si>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</si>
  <si>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</si>
  <si>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</si>
  <si>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</si>
  <si>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</si>
  <si>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</si>
  <si>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</si>
  <si>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</si>
  <si>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</si>
  <si>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</si>
  <si>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</si>
  <si>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</si>
  <si>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</si>
  <si>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</si>
  <si>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</si>
  <si>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</si>
  <si>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</si>
  <si>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</si>
  <si>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</si>
  <si>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</si>
  <si>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</si>
  <si>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</si>
  <si>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</si>
  <si>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</si>
  <si>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</si>
  <si>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</si>
  <si>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</si>
  <si>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</si>
  <si>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</si>
  <si>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</si>
  <si>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</si>
  <si>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</si>
  <si>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</si>
  <si>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</si>
  <si>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</si>
  <si>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</si>
  <si>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</si>
  <si>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</si>
  <si>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</si>
  <si>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</si>
  <si>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</si>
  <si>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</si>
  <si>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</si>
  <si>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</si>
  <si>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</si>
  <si>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</si>
  <si>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</si>
  <si>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</si>
  <si>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</si>
  <si>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</si>
  <si>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</si>
  <si>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</si>
  <si>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</si>
  <si>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</si>
  <si>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</si>
  <si>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</si>
  <si>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</si>
  <si>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</si>
  <si>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</si>
  <si>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</si>
  <si>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</si>
  <si>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</si>
  <si>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</si>
  <si>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</si>
  <si>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</si>
  <si>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</si>
  <si>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</si>
  <si>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</si>
  <si>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</si>
  <si>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</si>
  <si>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</si>
  <si>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</si>
  <si>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</si>
  <si>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</si>
  <si>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</si>
  <si>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</si>
  <si>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</si>
  <si>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</si>
  <si>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</si>
  <si>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</si>
  <si>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Saharsh Kumar Shukla, Taneea Rajawat, Hima Singh, Aparna Upadhyay, Loknath Tiwari, Sambhaji Sasane</t>
  </si>
  <si>
    <t>A sexually inexperienced rickshaw driver struggles to build intimacy with his shy new wife in their tiny, overcrowded quarters.</t>
  </si>
  <si>
    <t>s4670</t>
  </si>
  <si>
    <t>Once Again</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</si>
  <si>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</si>
  <si>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</si>
  <si>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</si>
  <si>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</si>
  <si>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</si>
  <si>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</si>
  <si>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</si>
  <si>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</si>
  <si>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</si>
  <si>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</si>
  <si>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</si>
  <si>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</si>
  <si>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</si>
  <si>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</si>
  <si>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</si>
  <si>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</si>
  <si>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</si>
  <si>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</si>
  <si>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</si>
  <si>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</si>
  <si>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</si>
  <si>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</si>
  <si>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</si>
  <si>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</si>
  <si>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</si>
  <si>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</si>
  <si>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</si>
  <si>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</si>
  <si>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</si>
  <si>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</si>
  <si>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</si>
  <si>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</si>
  <si>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</si>
  <si>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</si>
  <si>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</si>
  <si>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</si>
  <si>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</si>
  <si>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</si>
  <si>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</si>
  <si>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</si>
  <si>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</si>
  <si>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</si>
  <si>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</si>
  <si>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</si>
  <si>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</si>
  <si>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</si>
  <si>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</si>
  <si>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</si>
  <si>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</si>
  <si>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</si>
  <si>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</si>
  <si>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</si>
  <si>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</si>
  <si>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</si>
  <si>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</si>
  <si>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</si>
  <si>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</si>
  <si>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</si>
  <si>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</si>
  <si>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</si>
  <si>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Maria Bamford, Wayne Federman, Jackie Kashian</t>
  </si>
  <si>
    <t>August 25, 2018</t>
  </si>
  <si>
    <t>Spend an evening with gleeful, oh-so-awkward Maria Bamford via her cozy, shot-at-home comedy special, which has a two-person audience: her parents.</t>
  </si>
  <si>
    <t>s4685</t>
  </si>
  <si>
    <t>Bert Kreischer: Secret Time</t>
  </si>
  <si>
    <t>August 24, 2018</t>
  </si>
  <si>
    <t>Shirtless comic Bert Kreischer relays personal secrets and stories about being a cool – if not always responsible – dad in this stand-up special.</t>
  </si>
  <si>
    <t>s4686</t>
  </si>
  <si>
    <t>GHOUL</t>
  </si>
  <si>
    <t>Radhika Apte, Manav Kaul, Ratnabali Bhattacharjee, Mahesh Balraj</t>
  </si>
  <si>
    <t>When a new prisoner at a military detention center exhibits eerie behavior, a young interrogator’s search for the truth becomes a battle for survival.</t>
  </si>
  <si>
    <t>s4687</t>
  </si>
  <si>
    <t>One Last Shot</t>
  </si>
  <si>
    <t>Robb Wells, John Paul Tremblay, John Dunsworth</t>
  </si>
  <si>
    <t>31 min</t>
  </si>
  <si>
    <t>In this low-budget short film, two best buddies meet up for a night of booze-fueled fun before one of them moves to Vancouver.</t>
  </si>
  <si>
    <t>s4688</t>
  </si>
  <si>
    <t>Take My Brother Away</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</si>
  <si>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</si>
  <si>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</si>
  <si>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</si>
  <si>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</si>
  <si>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</si>
  <si>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</si>
  <si>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</si>
  <si>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</si>
  <si>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</si>
  <si>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</si>
  <si>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</si>
  <si>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</si>
  <si>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</si>
  <si>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</si>
  <si>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</si>
  <si>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</si>
  <si>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</si>
  <si>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</si>
  <si>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</si>
  <si>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</si>
  <si>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</si>
  <si>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</si>
  <si>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</si>
  <si>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</si>
  <si>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</si>
  <si>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</si>
  <si>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</si>
  <si>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</si>
  <si>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</si>
  <si>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</si>
  <si>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</si>
  <si>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</si>
  <si>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</si>
  <si>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</si>
  <si>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</si>
  <si>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</si>
  <si>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</si>
  <si>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</si>
  <si>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</si>
  <si>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</si>
  <si>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</si>
  <si>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</si>
  <si>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</si>
  <si>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</si>
  <si>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</si>
  <si>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</si>
  <si>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</si>
  <si>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</si>
  <si>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</si>
  <si>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</si>
  <si>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</si>
  <si>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</si>
  <si>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</si>
  <si>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</si>
  <si>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</si>
  <si>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</si>
  <si>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</si>
  <si>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</si>
  <si>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</si>
  <si>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</si>
  <si>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</si>
  <si>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</si>
  <si>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</si>
  <si>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</si>
  <si>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</si>
  <si>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</si>
  <si>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</si>
  <si>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</si>
  <si>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</si>
  <si>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</si>
  <si>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</si>
  <si>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</si>
  <si>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</si>
  <si>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</si>
  <si>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</si>
  <si>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</si>
  <si>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</si>
  <si>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</si>
  <si>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</si>
  <si>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</si>
  <si>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</si>
  <si>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</si>
  <si>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</si>
  <si>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</si>
  <si>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</si>
  <si>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</si>
  <si>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</si>
  <si>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</si>
  <si>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</si>
  <si>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</si>
  <si>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</si>
  <si>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</si>
  <si>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</si>
  <si>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</si>
  <si>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</si>
  <si>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</si>
  <si>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</si>
  <si>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</si>
  <si>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</si>
  <si>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</si>
  <si>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</si>
  <si>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</si>
  <si>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</si>
  <si>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</si>
  <si>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</si>
  <si>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</si>
  <si>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</si>
  <si>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</si>
  <si>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</si>
  <si>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</si>
  <si>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</si>
  <si>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</si>
  <si>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</si>
  <si>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</si>
  <si>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</si>
  <si>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</si>
  <si>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</si>
  <si>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</si>
  <si>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</si>
  <si>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</si>
  <si>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</si>
  <si>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</si>
  <si>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</si>
  <si>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</si>
  <si>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</si>
  <si>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</si>
  <si>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</si>
  <si>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</si>
  <si>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</si>
  <si>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</si>
  <si>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</si>
  <si>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</si>
  <si>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</si>
  <si>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</si>
  <si>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</si>
  <si>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</si>
  <si>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</si>
  <si>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</si>
  <si>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</si>
  <si>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</si>
  <si>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</si>
  <si>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</si>
  <si>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</si>
  <si>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</si>
  <si>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</si>
  <si>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</si>
  <si>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</si>
  <si>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</si>
  <si>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</si>
  <si>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</si>
  <si>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</si>
  <si>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</si>
  <si>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</si>
  <si>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</si>
  <si>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</si>
  <si>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</si>
  <si>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</si>
  <si>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</si>
  <si>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</si>
  <si>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</si>
  <si>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</si>
  <si>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</si>
  <si>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</si>
  <si>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</si>
  <si>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</si>
  <si>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</si>
  <si>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</si>
  <si>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</si>
  <si>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</si>
  <si>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</si>
  <si>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</si>
  <si>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</si>
  <si>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</si>
  <si>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</si>
  <si>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</si>
  <si>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</si>
  <si>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</si>
  <si>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</si>
  <si>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</si>
  <si>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</si>
  <si>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</si>
  <si>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</si>
  <si>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</si>
  <si>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</si>
  <si>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</si>
  <si>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</si>
  <si>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</si>
  <si>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</si>
  <si>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</si>
  <si>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</si>
  <si>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</si>
  <si>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</si>
  <si>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</si>
  <si>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</si>
  <si>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</si>
  <si>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</si>
  <si>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</si>
  <si>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</si>
  <si>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</si>
  <si>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</si>
  <si>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</si>
  <si>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</si>
  <si>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</si>
  <si>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</si>
  <si>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</si>
  <si>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</si>
  <si>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</si>
  <si>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</si>
  <si>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</si>
  <si>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</si>
  <si>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</si>
  <si>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</si>
  <si>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</si>
  <si>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</si>
  <si>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</si>
  <si>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</si>
  <si>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</si>
  <si>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</si>
  <si>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</si>
  <si>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</si>
  <si>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</si>
  <si>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Mark Schneider, Frank Samson</t>
  </si>
  <si>
    <t>On the 200th anniversary of the Battle of Waterloo, thousands of enthusiasts reenact the epic clash. But there can only be one Napoleon.</t>
  </si>
  <si>
    <t>s4741</t>
  </si>
  <si>
    <t>Invisible</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</si>
  <si>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</si>
  <si>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</si>
  <si>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</si>
  <si>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</si>
  <si>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</si>
  <si>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</si>
  <si>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</si>
  <si>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</si>
  <si>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</si>
  <si>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</si>
  <si>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</si>
  <si>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</si>
  <si>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</si>
  <si>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</si>
  <si>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</si>
  <si>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</si>
  <si>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</si>
  <si>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</si>
  <si>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</si>
  <si>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</si>
  <si>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</si>
  <si>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</si>
  <si>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</si>
  <si>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</si>
  <si>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</si>
  <si>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</si>
  <si>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</si>
  <si>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</si>
  <si>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</si>
  <si>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</si>
  <si>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</si>
  <si>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</si>
  <si>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</si>
  <si>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</si>
  <si>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</si>
  <si>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</si>
  <si>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</si>
  <si>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</si>
  <si>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</si>
  <si>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</si>
  <si>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</si>
  <si>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</si>
  <si>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</si>
  <si>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</si>
  <si>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</si>
  <si>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</si>
  <si>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</si>
  <si>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</si>
  <si>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</si>
  <si>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</si>
  <si>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</si>
  <si>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</si>
  <si>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</si>
  <si>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</si>
  <si>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</si>
  <si>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</si>
  <si>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</si>
  <si>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</si>
  <si>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</si>
  <si>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</si>
  <si>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</si>
  <si>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</si>
  <si>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</si>
  <si>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</si>
  <si>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</si>
  <si>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</si>
  <si>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</si>
  <si>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</si>
  <si>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</si>
  <si>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</si>
  <si>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</si>
  <si>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</si>
  <si>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</si>
  <si>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</si>
  <si>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</si>
  <si>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</si>
  <si>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</si>
  <si>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</si>
  <si>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</si>
  <si>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</si>
  <si>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</si>
  <si>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</si>
  <si>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</si>
  <si>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</si>
  <si>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</si>
  <si>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</si>
  <si>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</si>
  <si>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</si>
  <si>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</si>
  <si>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</si>
  <si>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</si>
  <si>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</si>
  <si>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</si>
  <si>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</si>
  <si>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</si>
  <si>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</si>
  <si>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</si>
  <si>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</si>
  <si>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</si>
  <si>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</si>
  <si>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</si>
  <si>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</si>
  <si>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</si>
  <si>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</si>
  <si>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</si>
  <si>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</si>
  <si>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</si>
  <si>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</si>
  <si>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</si>
  <si>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</si>
  <si>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</si>
  <si>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</si>
  <si>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</si>
  <si>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</si>
  <si>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</si>
  <si>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</si>
  <si>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</si>
  <si>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</si>
  <si>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</si>
  <si>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</si>
  <si>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</si>
  <si>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</si>
  <si>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</si>
  <si>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</si>
  <si>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</si>
  <si>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</si>
  <si>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</si>
  <si>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</si>
  <si>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</si>
  <si>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</si>
  <si>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</si>
  <si>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</si>
  <si>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</si>
  <si>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</si>
  <si>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</si>
  <si>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</si>
  <si>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</si>
  <si>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</si>
  <si>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</si>
  <si>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</si>
  <si>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</si>
  <si>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</si>
  <si>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</si>
  <si>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</si>
  <si>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</si>
  <si>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</si>
  <si>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</si>
  <si>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</si>
  <si>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</si>
  <si>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</si>
  <si>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</si>
  <si>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</si>
  <si>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</si>
  <si>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</si>
  <si>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</si>
  <si>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</si>
  <si>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</si>
  <si>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</si>
  <si>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</si>
  <si>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</si>
  <si>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</si>
  <si>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</si>
  <si>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</si>
  <si>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</si>
  <si>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</si>
  <si>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</si>
  <si>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</si>
  <si>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</si>
  <si>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</si>
  <si>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</si>
  <si>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</si>
  <si>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</si>
  <si>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</si>
  <si>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</si>
  <si>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</si>
  <si>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</si>
  <si>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</si>
  <si>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Josh Brolin, Danny McBride, Montana Jordan, Scoot McNairy, Carrie Coon</t>
  </si>
  <si>
    <t>A star of hunting videos strives to bond with his 12-year-old son on a wilderness trip but learns familial connections can't be forced.</t>
  </si>
  <si>
    <t>s4784</t>
  </si>
  <si>
    <t>The Skin of the Wolf</t>
  </si>
  <si>
    <t>Mario Casas, Irene Escolar, Ruth Díaz</t>
  </si>
  <si>
    <t>An animal trapper living in an abandoned mountain town in northern Spain seeks to resolve his loneliness by securing a wife.</t>
  </si>
  <si>
    <t>s4785</t>
  </si>
  <si>
    <t>White Fang</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</si>
  <si>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</si>
  <si>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</si>
  <si>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</si>
  <si>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</si>
  <si>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</si>
  <si>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</si>
  <si>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</si>
  <si>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</si>
  <si>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</si>
  <si>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</si>
  <si>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</si>
  <si>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</si>
  <si>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</si>
  <si>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</si>
  <si>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</si>
  <si>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</si>
  <si>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</si>
  <si>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</si>
  <si>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</si>
  <si>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</si>
  <si>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</si>
  <si>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</si>
  <si>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</si>
  <si>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</si>
  <si>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</si>
  <si>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</si>
  <si>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</si>
  <si>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</si>
  <si>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</si>
  <si>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</si>
  <si>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</si>
  <si>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</si>
  <si>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</si>
  <si>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</si>
  <si>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</si>
  <si>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</si>
  <si>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</si>
  <si>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</si>
  <si>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</si>
  <si>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</si>
  <si>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</si>
  <si>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</si>
  <si>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</si>
  <si>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</si>
  <si>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</si>
  <si>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</si>
  <si>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</si>
  <si>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</si>
  <si>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</si>
  <si>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</si>
  <si>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</si>
  <si>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</si>
  <si>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</si>
  <si>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</si>
  <si>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</si>
  <si>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</si>
  <si>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</si>
  <si>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</si>
  <si>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</si>
  <si>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</si>
  <si>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</si>
  <si>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</si>
  <si>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</si>
  <si>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</si>
  <si>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</si>
  <si>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</si>
  <si>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</si>
  <si>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</si>
  <si>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</si>
  <si>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</si>
  <si>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</si>
  <si>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</si>
  <si>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DJs and industry insiders offer a backstage pass to the world of electronic dance music, reflecting on its radical origins and the future of the genre.</t>
  </si>
  <si>
    <t>s4803</t>
  </si>
  <si>
    <t>Zoo</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</si>
  <si>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</si>
  <si>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</si>
  <si>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</si>
  <si>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</si>
  <si>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</si>
  <si>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</si>
  <si>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</si>
  <si>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</si>
  <si>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</si>
  <si>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</si>
  <si>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</si>
  <si>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</si>
  <si>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</si>
  <si>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</si>
  <si>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</si>
  <si>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</si>
  <si>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</si>
  <si>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</si>
  <si>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</si>
  <si>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</si>
  <si>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</si>
  <si>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</si>
  <si>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</si>
  <si>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</si>
  <si>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</si>
  <si>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</si>
  <si>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</si>
  <si>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</si>
  <si>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</si>
  <si>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</si>
  <si>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</si>
  <si>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</si>
  <si>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</si>
  <si>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</si>
  <si>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</si>
  <si>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</si>
  <si>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</si>
  <si>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</si>
  <si>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</si>
  <si>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</si>
  <si>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</si>
  <si>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</si>
  <si>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</si>
  <si>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</si>
  <si>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</si>
  <si>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</si>
  <si>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</si>
  <si>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</si>
  <si>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</si>
  <si>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</si>
  <si>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</si>
  <si>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</si>
  <si>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</si>
  <si>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</si>
  <si>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</si>
  <si>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</si>
  <si>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</si>
  <si>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</si>
  <si>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</si>
  <si>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</si>
  <si>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</si>
  <si>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</si>
  <si>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</si>
  <si>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</si>
  <si>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</si>
  <si>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</si>
  <si>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</si>
  <si>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</si>
  <si>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</si>
  <si>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</si>
  <si>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</si>
  <si>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</si>
  <si>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</si>
  <si>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</si>
  <si>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</si>
  <si>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</si>
  <si>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</si>
  <si>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</si>
  <si>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</si>
  <si>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</si>
  <si>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</si>
  <si>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</si>
  <si>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</si>
  <si>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</si>
  <si>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</si>
  <si>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</si>
  <si>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</si>
  <si>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</si>
  <si>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</si>
  <si>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</si>
  <si>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</si>
  <si>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</si>
  <si>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</si>
  <si>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</si>
  <si>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</si>
  <si>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</si>
  <si>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</si>
  <si>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</si>
  <si>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</si>
  <si>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</si>
  <si>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</si>
  <si>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</si>
  <si>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</si>
  <si>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</si>
  <si>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</si>
  <si>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Guy Amir, Hanan Savyon, Itzik Cohen, Igal Naor</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</si>
  <si>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</si>
  <si>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</si>
  <si>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</si>
  <si>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</si>
  <si>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</si>
  <si>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</si>
  <si>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</si>
  <si>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</si>
  <si>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</si>
  <si>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</si>
  <si>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</si>
  <si>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</si>
  <si>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</si>
  <si>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</si>
  <si>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</si>
  <si>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</si>
  <si>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</si>
  <si>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</si>
  <si>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</si>
  <si>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</si>
  <si>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</si>
  <si>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</si>
  <si>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</si>
  <si>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</si>
  <si>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</si>
  <si>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</si>
  <si>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</si>
  <si>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</si>
  <si>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</si>
  <si>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</si>
  <si>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</si>
  <si>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</si>
  <si>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</si>
  <si>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</si>
  <si>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</si>
  <si>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</si>
  <si>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</si>
  <si>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</si>
  <si>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</si>
  <si>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</si>
  <si>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</si>
  <si>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</si>
  <si>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</si>
  <si>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</si>
  <si>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</si>
  <si>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</si>
  <si>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</si>
  <si>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</si>
  <si>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</si>
  <si>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</si>
  <si>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</si>
  <si>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</si>
  <si>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</si>
  <si>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</si>
  <si>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</si>
  <si>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</si>
  <si>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</si>
  <si>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</si>
  <si>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</si>
  <si>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</si>
  <si>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</si>
  <si>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</si>
  <si>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</si>
  <si>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</si>
  <si>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</si>
  <si>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</si>
  <si>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</si>
  <si>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</si>
  <si>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</si>
  <si>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</si>
  <si>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</si>
  <si>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</si>
  <si>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</si>
  <si>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</si>
  <si>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</si>
  <si>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</si>
  <si>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</si>
  <si>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</si>
  <si>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</si>
  <si>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</si>
  <si>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</si>
  <si>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</si>
  <si>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</si>
  <si>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</si>
  <si>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</si>
  <si>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</si>
  <si>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</si>
  <si>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</si>
  <si>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</si>
  <si>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</si>
  <si>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</si>
  <si>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</si>
  <si>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</si>
  <si>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</si>
  <si>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</si>
  <si>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</si>
  <si>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</si>
  <si>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</si>
  <si>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</si>
  <si>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</si>
  <si>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</si>
  <si>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</si>
  <si>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</si>
  <si>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</si>
  <si>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</si>
  <si>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</si>
  <si>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</si>
  <si>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</si>
  <si>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</si>
  <si>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</si>
  <si>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</si>
  <si>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</si>
  <si>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</si>
  <si>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</si>
  <si>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</si>
  <si>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</si>
  <si>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</si>
  <si>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</si>
  <si>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</si>
  <si>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</si>
  <si>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</si>
  <si>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</si>
  <si>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</si>
  <si>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</si>
  <si>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</si>
  <si>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</si>
  <si>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</si>
  <si>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</si>
  <si>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</si>
  <si>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</si>
  <si>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</si>
  <si>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</si>
  <si>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</si>
  <si>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</si>
  <si>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</si>
  <si>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</si>
  <si>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</si>
  <si>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</si>
  <si>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</si>
  <si>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</si>
  <si>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</si>
  <si>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</si>
  <si>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</si>
  <si>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</si>
  <si>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</si>
  <si>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</si>
  <si>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</si>
  <si>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</si>
  <si>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</si>
  <si>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</si>
  <si>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</si>
  <si>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</si>
  <si>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</si>
  <si>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</si>
  <si>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</si>
  <si>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</si>
  <si>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</si>
  <si>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</si>
  <si>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</si>
  <si>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</si>
  <si>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</si>
  <si>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</si>
  <si>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</si>
  <si>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</si>
  <si>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</si>
  <si>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</si>
  <si>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</si>
  <si>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</si>
  <si>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</si>
  <si>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</si>
  <si>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</si>
  <si>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</si>
  <si>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Hari Kondabolu</t>
  </si>
  <si>
    <t>Hari Kondabolu breaks down identity politics, celebrity encounters, his mango obsession and more in an unpredictable stand-up comedy special.</t>
  </si>
  <si>
    <t>s4872</t>
  </si>
  <si>
    <t>My Fuhrer</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</si>
  <si>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</si>
  <si>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</si>
  <si>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</si>
  <si>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</si>
  <si>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</si>
  <si>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</si>
  <si>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</si>
  <si>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</si>
  <si>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</si>
  <si>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</si>
  <si>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</si>
  <si>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</si>
  <si>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</si>
  <si>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</si>
  <si>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</si>
  <si>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</si>
  <si>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</si>
  <si>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</si>
  <si>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</si>
  <si>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</si>
  <si>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</si>
  <si>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</si>
  <si>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Dany Boon</t>
  </si>
  <si>
    <t>In an eclectic one-man show, French superstar Dany Boon reflects on his homeland, his first comedy gig and the challenges of parenting hostile teens.</t>
  </si>
  <si>
    <t>s4878</t>
  </si>
  <si>
    <t>End Game</t>
  </si>
  <si>
    <t>Facing an inevitable outcome, terminally ill patients meet extraordinary medical practitioners seeking to change our approach to life and death.</t>
  </si>
  <si>
    <t>s4879</t>
  </si>
  <si>
    <t>Forgive Us Our Debts</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</si>
  <si>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</si>
  <si>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</si>
  <si>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</si>
  <si>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</si>
  <si>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</si>
  <si>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</si>
  <si>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</si>
  <si>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</si>
  <si>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</si>
  <si>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</si>
  <si>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</si>
  <si>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</si>
  <si>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</si>
  <si>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</si>
  <si>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</si>
  <si>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</si>
  <si>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</si>
  <si>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</si>
  <si>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</si>
  <si>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</si>
  <si>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</si>
  <si>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</si>
  <si>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</si>
  <si>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</si>
  <si>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</si>
  <si>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</si>
  <si>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</si>
  <si>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</si>
  <si>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</si>
  <si>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</si>
  <si>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</si>
  <si>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</si>
  <si>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</si>
  <si>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</si>
  <si>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</si>
  <si>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</si>
  <si>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</si>
  <si>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</si>
  <si>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</si>
  <si>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Italy, United States, Argentina</t>
  </si>
  <si>
    <t>In Naples, Buenos Aires and New York, people reflect on the Neapolitan tradition of "suspended coffee" and how it changed their lives.</t>
  </si>
  <si>
    <t>s4889</t>
  </si>
  <si>
    <t>Darc</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</si>
  <si>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</si>
  <si>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</si>
  <si>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</si>
  <si>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</si>
  <si>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</si>
  <si>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</si>
  <si>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</si>
  <si>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</si>
  <si>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</si>
  <si>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</si>
  <si>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</si>
  <si>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</si>
  <si>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</si>
  <si>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</si>
  <si>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</si>
  <si>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</si>
  <si>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</si>
  <si>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</si>
  <si>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</si>
  <si>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</si>
  <si>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</si>
  <si>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</si>
  <si>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</si>
  <si>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</si>
  <si>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</si>
  <si>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</si>
  <si>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</si>
  <si>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</si>
  <si>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</si>
  <si>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</si>
  <si>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</si>
  <si>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</si>
  <si>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</si>
  <si>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</si>
  <si>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</si>
  <si>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</si>
  <si>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</si>
  <si>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</si>
  <si>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</si>
  <si>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</si>
  <si>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</si>
  <si>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</si>
  <si>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</si>
  <si>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</si>
  <si>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</si>
  <si>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</si>
  <si>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</si>
  <si>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</si>
  <si>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</si>
  <si>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</si>
  <si>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</si>
  <si>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</si>
  <si>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</si>
  <si>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</si>
  <si>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</si>
  <si>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</si>
  <si>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</si>
  <si>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</si>
  <si>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</si>
  <si>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</si>
  <si>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</si>
  <si>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</si>
  <si>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</si>
  <si>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Sadh, Tapsee Pannu, Arsh Bajwa, Brijendra Kala, Mahavir Bhullar, Pankaj Jha, Neeta Mohindra</t>
  </si>
  <si>
    <t>A Bihari migrant runs a successful service to help couples elope, until the daughter of his former boss stirs the pot.</t>
  </si>
  <si>
    <t>s4906</t>
  </si>
  <si>
    <t>The Price of Success</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</si>
  <si>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</si>
  <si>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</si>
  <si>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</si>
  <si>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</si>
  <si>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Robert F. Kennedy</t>
  </si>
  <si>
    <t>April 27, 2018</t>
  </si>
  <si>
    <t>Historic footage and leading voices of the era examine the "Bobby Phenomenon" of the 1960s and the legacy of the man who helped redefine the country.</t>
  </si>
  <si>
    <t>s4908</t>
  </si>
  <si>
    <t>Candy Jar</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</si>
  <si>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</si>
  <si>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</si>
  <si>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</si>
  <si>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</si>
  <si>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</si>
  <si>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</si>
  <si>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</si>
  <si>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</si>
  <si>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</si>
  <si>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</si>
  <si>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</si>
  <si>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</si>
  <si>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</si>
  <si>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</si>
  <si>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</si>
  <si>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</si>
  <si>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</si>
  <si>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</si>
  <si>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</si>
  <si>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</si>
  <si>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</si>
  <si>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</si>
  <si>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</si>
  <si>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</si>
  <si>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</si>
  <si>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</si>
  <si>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</si>
  <si>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</si>
  <si>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</si>
  <si>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</si>
  <si>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</si>
  <si>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Enissa Amani</t>
  </si>
  <si>
    <t>April 26, 2018</t>
  </si>
  <si>
    <t>Live from Hamburg, Iranian-German comedian Enissa Amani shares her take on German engineering, tax deductions and online fan-mail etiquette.</t>
  </si>
  <si>
    <t>s4917</t>
  </si>
  <si>
    <t>Bill Nye: Science Guy</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</si>
  <si>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</si>
  <si>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</si>
  <si>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</si>
  <si>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</si>
  <si>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</si>
  <si>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</si>
  <si>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</si>
  <si>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</si>
  <si>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</si>
  <si>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</si>
  <si>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</si>
  <si>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</si>
  <si>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</si>
  <si>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</si>
  <si>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April 24, 2018</t>
  </si>
  <si>
    <t>Kevin James makes his long-awaited return to stand-up in this family-friendly special, dishing on fatherhood, fans, his disdain for allergies and more.</t>
  </si>
  <si>
    <t>s4921</t>
  </si>
  <si>
    <t>Dude</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</si>
  <si>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</si>
  <si>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</si>
  <si>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</si>
  <si>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</si>
  <si>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</si>
  <si>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</si>
  <si>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</si>
  <si>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</si>
  <si>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</si>
  <si>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After rigorous testing in 1961, a small group of skilled female pilots are asked to step aside when only men are selected for spaceflight.</t>
  </si>
  <si>
    <t>s4924</t>
  </si>
  <si>
    <t>All The Reasons To Forget</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</si>
  <si>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</si>
  <si>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</si>
  <si>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</si>
  <si>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</si>
  <si>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</si>
  <si>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</si>
  <si>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</si>
  <si>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</si>
  <si>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</si>
  <si>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</si>
  <si>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</si>
  <si>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</si>
  <si>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</si>
  <si>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</si>
  <si>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</si>
  <si>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</si>
  <si>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</si>
  <si>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</si>
  <si>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</si>
  <si>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</si>
  <si>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</si>
  <si>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</si>
  <si>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</si>
  <si>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</si>
  <si>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</si>
  <si>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</si>
  <si>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</si>
  <si>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</si>
  <si>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</si>
  <si>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</si>
  <si>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</si>
  <si>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</si>
  <si>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</si>
  <si>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</si>
  <si>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</si>
  <si>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</si>
  <si>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</si>
  <si>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</si>
  <si>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</si>
  <si>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</si>
  <si>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</si>
  <si>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</si>
  <si>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</si>
  <si>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</si>
  <si>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</si>
  <si>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</si>
  <si>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</si>
  <si>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</si>
  <si>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</si>
  <si>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</si>
  <si>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</si>
  <si>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</si>
  <si>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</si>
  <si>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</si>
  <si>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</si>
  <si>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</si>
  <si>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</si>
  <si>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</si>
  <si>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Michael Rainey Jr., Josh Charles, Brian White, Sharon Leal, Ashlee Brian, Corey Parker Robinson</t>
  </si>
  <si>
    <t>After he's recruited to an elite prep school, a 14-year-old basketball phenom is confronted by corruption and greed in amateur sports.</t>
  </si>
  <si>
    <t>s4937</t>
  </si>
  <si>
    <t>Orbiter 9</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</si>
  <si>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</si>
  <si>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</si>
  <si>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</si>
  <si>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</si>
  <si>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</si>
  <si>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</si>
  <si>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</si>
  <si>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</si>
  <si>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</si>
  <si>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</si>
  <si>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</si>
  <si>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</si>
  <si>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</si>
  <si>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</si>
  <si>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</si>
  <si>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</si>
  <si>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</si>
  <si>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</si>
  <si>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</si>
  <si>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</si>
  <si>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</si>
  <si>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</si>
  <si>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</si>
  <si>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</si>
  <si>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</si>
  <si>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</si>
  <si>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</si>
  <si>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</si>
  <si>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</si>
  <si>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</si>
  <si>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</si>
  <si>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</si>
  <si>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</si>
  <si>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</si>
  <si>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</si>
  <si>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</si>
  <si>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</si>
  <si>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April 3, 2018</t>
  </si>
  <si>
    <t>Armed with sly wit, a fresh outlook and plenty of style, French comedy star Fary veers from dating to stereotypes and beyond in this exclusive special.</t>
  </si>
  <si>
    <t>s4946</t>
  </si>
  <si>
    <t>Ittefaq</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</si>
  <si>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</si>
  <si>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</si>
  <si>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</si>
  <si>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</si>
  <si>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</si>
  <si>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</si>
  <si>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</si>
  <si>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</si>
  <si>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</si>
  <si>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</si>
  <si>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</si>
  <si>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</si>
  <si>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</si>
  <si>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</si>
  <si>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</si>
  <si>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</si>
  <si>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</si>
  <si>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</si>
  <si>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</si>
  <si>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</si>
  <si>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</si>
  <si>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</si>
  <si>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</si>
  <si>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</si>
  <si>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</si>
  <si>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</si>
  <si>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</si>
  <si>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</si>
  <si>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</si>
  <si>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</si>
  <si>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</si>
  <si>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</si>
  <si>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</si>
  <si>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</si>
  <si>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</si>
  <si>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</si>
  <si>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</si>
  <si>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</si>
  <si>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</si>
  <si>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</si>
  <si>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</si>
  <si>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</si>
  <si>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</si>
  <si>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</si>
  <si>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</si>
  <si>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</si>
  <si>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</si>
  <si>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</si>
  <si>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</si>
  <si>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</si>
  <si>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</si>
  <si>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</si>
  <si>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</si>
  <si>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</si>
  <si>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</si>
  <si>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</si>
  <si>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</si>
  <si>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</si>
  <si>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</si>
  <si>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</si>
  <si>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</si>
  <si>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</si>
  <si>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</si>
  <si>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</si>
  <si>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</si>
  <si>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</si>
  <si>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</si>
  <si>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</si>
  <si>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</si>
  <si>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</si>
  <si>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</si>
  <si>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</si>
  <si>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</si>
  <si>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</si>
  <si>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</si>
  <si>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</si>
  <si>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</si>
  <si>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</si>
  <si>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</si>
  <si>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</si>
  <si>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</si>
  <si>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</si>
  <si>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</si>
  <si>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</si>
  <si>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</si>
  <si>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</si>
  <si>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</si>
  <si>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</si>
  <si>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</si>
  <si>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</si>
  <si>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</si>
  <si>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</si>
  <si>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</si>
  <si>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</si>
  <si>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</si>
  <si>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</si>
  <si>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</si>
  <si>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</si>
  <si>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</si>
  <si>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</si>
  <si>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</si>
  <si>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</si>
  <si>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</si>
  <si>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</si>
  <si>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</si>
  <si>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</si>
  <si>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</si>
  <si>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</si>
  <si>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</si>
  <si>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</si>
  <si>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</si>
  <si>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</si>
  <si>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</si>
  <si>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</si>
  <si>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</si>
  <si>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</si>
  <si>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</si>
  <si>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</si>
  <si>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</si>
  <si>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</si>
  <si>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</si>
  <si>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</si>
  <si>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</si>
  <si>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</si>
  <si>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</si>
  <si>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</si>
  <si>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</si>
  <si>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</si>
  <si>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</si>
  <si>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</si>
  <si>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</si>
  <si>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</si>
  <si>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</si>
  <si>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</si>
  <si>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</si>
  <si>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</si>
  <si>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</si>
  <si>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</si>
  <si>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</si>
  <si>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</si>
  <si>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</si>
  <si>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</si>
  <si>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</si>
  <si>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</si>
  <si>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</si>
  <si>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</si>
  <si>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</si>
  <si>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</si>
  <si>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</si>
  <si>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</si>
  <si>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</si>
  <si>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</si>
  <si>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</si>
  <si>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</si>
  <si>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</si>
  <si>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</si>
  <si>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</si>
  <si>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</si>
  <si>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</si>
  <si>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</si>
  <si>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</si>
  <si>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</si>
  <si>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</si>
  <si>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</si>
  <si>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</si>
  <si>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</si>
  <si>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</si>
  <si>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</si>
  <si>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</si>
  <si>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</si>
  <si>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</si>
  <si>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</si>
  <si>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</si>
  <si>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</si>
  <si>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</si>
  <si>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</si>
  <si>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</si>
  <si>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</si>
  <si>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</si>
  <si>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</si>
  <si>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</si>
  <si>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</si>
  <si>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</si>
  <si>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</si>
  <si>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</si>
  <si>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</si>
  <si>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</si>
  <si>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</si>
  <si>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</si>
  <si>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</si>
  <si>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</si>
  <si>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</si>
  <si>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</si>
  <si>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</si>
  <si>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In his first special in seven years, Ricky Gervais slings his trademark snark at celebrity, mortality and a society that takes everything personally.</t>
  </si>
  <si>
    <t>s4991</t>
  </si>
  <si>
    <t>Stretch Armstrong: The Breakout</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</si>
  <si>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</si>
  <si>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</si>
  <si>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</si>
  <si>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</si>
  <si>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</si>
  <si>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</si>
  <si>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</si>
  <si>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</si>
  <si>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</si>
  <si>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</si>
  <si>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</si>
  <si>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</si>
  <si>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</si>
  <si>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</si>
  <si>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</si>
  <si>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</si>
  <si>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</si>
  <si>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</si>
  <si>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</si>
  <si>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</si>
  <si>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</si>
  <si>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</si>
  <si>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Born amid poverty and limited women's rights in the village of Ratu, India, Deepika Kumari rose to become the No.1 female archer in the world at 18.</t>
  </si>
  <si>
    <t>s4997</t>
  </si>
  <si>
    <t>Bullet Head</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</si>
  <si>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</si>
  <si>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</si>
  <si>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</si>
  <si>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</si>
  <si>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</si>
  <si>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</si>
  <si>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</si>
  <si>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</si>
  <si>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</si>
  <si>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</si>
  <si>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</si>
  <si>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</si>
  <si>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</si>
  <si>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</si>
  <si>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</si>
  <si>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</si>
  <si>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</si>
  <si>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</si>
  <si>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</si>
  <si>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</si>
  <si>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</si>
  <si>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</si>
  <si>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</si>
  <si>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</si>
  <si>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</si>
  <si>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</si>
  <si>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</si>
  <si>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</si>
  <si>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A Chilean comedian fuses activism with irreverence for a stand-up set filled with jokes about misogyny, reproductive rights and respecting women.</t>
  </si>
  <si>
    <t>s5004</t>
  </si>
  <si>
    <t>Ravenous</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</si>
  <si>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</si>
  <si>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</si>
  <si>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</si>
  <si>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</si>
  <si>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</si>
  <si>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</si>
  <si>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</si>
  <si>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</si>
  <si>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</si>
  <si>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</si>
  <si>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</si>
  <si>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</si>
  <si>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</si>
  <si>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</si>
  <si>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</si>
  <si>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</si>
  <si>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</si>
  <si>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</si>
  <si>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</si>
  <si>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</si>
  <si>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</si>
  <si>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</si>
  <si>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</si>
  <si>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</si>
  <si>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</si>
  <si>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</si>
  <si>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</si>
  <si>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</si>
  <si>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</si>
  <si>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</si>
  <si>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</si>
  <si>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</si>
  <si>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</si>
  <si>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</si>
  <si>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</si>
  <si>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</si>
  <si>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</si>
  <si>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Harsh Chhaya, Prachi Shah, Bharat Chawda, Deeksha Joshi, Aarjav Trivedi, Prashant Barot, Harsha Bhavsar</t>
  </si>
  <si>
    <t>As her own wedding looms on the horizon, a marriage counselor strives to save her future in-laws' crumbling relationship.</t>
  </si>
  <si>
    <t>s5014</t>
  </si>
  <si>
    <t>Something Huge</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</si>
  <si>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</si>
  <si>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</si>
  <si>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</si>
  <si>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</si>
  <si>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</si>
  <si>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</si>
  <si>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</si>
  <si>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</si>
  <si>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</si>
  <si>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</si>
  <si>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</si>
  <si>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</si>
  <si>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</si>
  <si>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</si>
  <si>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</si>
  <si>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</si>
  <si>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</si>
  <si>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</si>
  <si>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</si>
  <si>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</si>
  <si>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</si>
  <si>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</si>
  <si>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</si>
  <si>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</si>
  <si>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</si>
  <si>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</si>
  <si>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</si>
  <si>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</si>
  <si>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</si>
  <si>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</si>
  <si>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</si>
  <si>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</si>
  <si>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</si>
  <si>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</si>
  <si>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</si>
  <si>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</si>
  <si>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</si>
  <si>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</si>
  <si>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</si>
  <si>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</si>
  <si>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</si>
  <si>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</si>
  <si>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</si>
  <si>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</si>
  <si>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</si>
  <si>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</si>
  <si>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</si>
  <si>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</si>
  <si>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</si>
  <si>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</si>
  <si>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</si>
  <si>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</si>
  <si>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</si>
  <si>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</si>
  <si>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</si>
  <si>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</si>
  <si>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</si>
  <si>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</si>
  <si>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</si>
  <si>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</si>
  <si>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</si>
  <si>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</si>
  <si>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</si>
  <si>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</si>
  <si>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</si>
  <si>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</si>
  <si>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</si>
  <si>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</si>
  <si>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</si>
  <si>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</si>
  <si>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</si>
  <si>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</si>
  <si>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</si>
  <si>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</si>
  <si>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</si>
  <si>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</si>
  <si>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</si>
  <si>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</si>
  <si>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</si>
  <si>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</si>
  <si>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</si>
  <si>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</si>
  <si>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</si>
  <si>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</si>
  <si>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</si>
  <si>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</si>
  <si>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</si>
  <si>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</si>
  <si>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</si>
  <si>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</si>
  <si>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</si>
  <si>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</si>
  <si>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</si>
  <si>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</si>
  <si>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</si>
  <si>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</si>
  <si>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</si>
  <si>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</si>
  <si>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</si>
  <si>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</si>
  <si>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</si>
  <si>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</si>
  <si>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</si>
  <si>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</si>
  <si>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</si>
  <si>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</si>
  <si>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</si>
  <si>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</si>
  <si>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</si>
  <si>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</si>
  <si>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</si>
  <si>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</si>
  <si>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</si>
  <si>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</si>
  <si>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</si>
  <si>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</si>
  <si>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</si>
  <si>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</si>
  <si>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</si>
  <si>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</si>
  <si>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</si>
  <si>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</si>
  <si>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Gloria Allred</t>
  </si>
  <si>
    <t>February 9, 2018</t>
  </si>
  <si>
    <t>Explore the public and private sides of feminist firebrand attorney Gloria Allred, who's battled some of the biggest names in politics and business.</t>
  </si>
  <si>
    <t>s5043</t>
  </si>
  <si>
    <t>The Ritual</t>
  </si>
  <si>
    <t>Rafe Spall, Arsher Ali, Robert James-Collier, Sam Troughton</t>
  </si>
  <si>
    <t>Four friends with a long-standing – but strained – connection take a hiking trip into the Swedish wilderness, from which they may never return.</t>
  </si>
  <si>
    <t>s5044</t>
  </si>
  <si>
    <t>The Trader (Sovdagari)</t>
  </si>
  <si>
    <t>Georgia</t>
  </si>
  <si>
    <t>A traveling trader provides a window into rural life in the Republic of Georgia, where potatoes are currency and ambition is crushed by poverty.</t>
  </si>
  <si>
    <t>s5045</t>
  </si>
  <si>
    <t>When We First Met</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</si>
  <si>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</si>
  <si>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</si>
  <si>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</si>
  <si>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</si>
  <si>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</si>
  <si>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</si>
  <si>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</si>
  <si>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</si>
  <si>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</si>
  <si>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</si>
  <si>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</si>
  <si>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</si>
  <si>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</si>
  <si>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</si>
  <si>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</si>
  <si>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</si>
  <si>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</si>
  <si>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</si>
  <si>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</si>
  <si>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</si>
  <si>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</si>
  <si>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</si>
  <si>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</si>
  <si>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</si>
  <si>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</si>
  <si>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</si>
  <si>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</si>
  <si>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</si>
  <si>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</si>
  <si>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</si>
  <si>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</si>
  <si>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</si>
  <si>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</si>
  <si>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</si>
  <si>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</si>
  <si>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</si>
  <si>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</si>
  <si>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</si>
  <si>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</si>
  <si>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</si>
  <si>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</si>
  <si>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</si>
  <si>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</si>
  <si>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Cameras follow police officers as they solve crimes, assist the public and arrest lawbreakers in this reality series.</t>
  </si>
  <si>
    <t>s5056</t>
  </si>
  <si>
    <t>Expedition Happiness</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</si>
  <si>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</si>
  <si>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</si>
  <si>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</si>
  <si>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</si>
  <si>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</si>
  <si>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</si>
  <si>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</si>
  <si>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</si>
  <si>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</si>
  <si>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</si>
  <si>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</si>
  <si>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</si>
  <si>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</si>
  <si>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</si>
  <si>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</si>
  <si>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</si>
  <si>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</si>
  <si>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</si>
  <si>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</si>
  <si>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</si>
  <si>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</si>
  <si>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</si>
  <si>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</si>
  <si>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</si>
  <si>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</si>
  <si>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</si>
  <si>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</si>
  <si>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</si>
  <si>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</si>
  <si>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</si>
  <si>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</si>
  <si>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</si>
  <si>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</si>
  <si>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</si>
  <si>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</si>
  <si>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</si>
  <si>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</si>
  <si>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</si>
  <si>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</si>
  <si>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</si>
  <si>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</si>
  <si>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</si>
  <si>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</si>
  <si>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</si>
  <si>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</si>
  <si>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</si>
  <si>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</si>
  <si>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</si>
  <si>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</si>
  <si>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</si>
  <si>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</si>
  <si>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</si>
  <si>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January 23, 2018</t>
  </si>
  <si>
    <t>Try to keep up as comedian Todd Glass delivers rapid-fire stand-up that bounces from his heart attack to his coming out to how to eat a Kit Kat.</t>
  </si>
  <si>
    <t>s5069</t>
  </si>
  <si>
    <t>Countdown to Death: Pablo Escobar</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</si>
  <si>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</si>
  <si>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</si>
  <si>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</si>
  <si>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</si>
  <si>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</si>
  <si>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</si>
  <si>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</si>
  <si>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</si>
  <si>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</si>
  <si>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</si>
  <si>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</si>
  <si>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</si>
  <si>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</si>
  <si>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</si>
  <si>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</si>
  <si>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</si>
  <si>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</si>
  <si>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</si>
  <si>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</si>
  <si>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</si>
  <si>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</si>
  <si>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</si>
  <si>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</si>
  <si>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</si>
  <si>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</si>
  <si>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</si>
  <si>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</si>
  <si>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</si>
  <si>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</si>
  <si>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</si>
  <si>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</si>
  <si>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</si>
  <si>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</si>
  <si>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</si>
  <si>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</si>
  <si>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</si>
  <si>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</si>
  <si>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</si>
  <si>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</si>
  <si>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</si>
  <si>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</si>
  <si>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</si>
  <si>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</si>
  <si>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</si>
  <si>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</si>
  <si>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</si>
  <si>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</si>
  <si>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</si>
  <si>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</si>
  <si>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</si>
  <si>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</si>
  <si>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</si>
  <si>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</si>
  <si>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</si>
  <si>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</si>
  <si>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</si>
  <si>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</si>
  <si>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</si>
  <si>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</si>
  <si>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</si>
  <si>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</si>
  <si>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</si>
  <si>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</si>
  <si>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</si>
  <si>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</si>
  <si>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</si>
  <si>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</si>
  <si>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</si>
  <si>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</si>
  <si>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</si>
  <si>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</si>
  <si>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</si>
  <si>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</si>
  <si>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</si>
  <si>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</si>
  <si>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</si>
  <si>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</si>
  <si>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</si>
  <si>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</si>
  <si>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</si>
  <si>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</si>
  <si>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</si>
  <si>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</si>
  <si>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</si>
  <si>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</si>
  <si>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</si>
  <si>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</si>
  <si>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</si>
  <si>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</si>
  <si>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</si>
  <si>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</si>
  <si>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</si>
  <si>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</si>
  <si>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</si>
  <si>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</si>
  <si>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</si>
  <si>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</si>
  <si>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</si>
  <si>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</si>
  <si>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</si>
  <si>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</si>
  <si>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</si>
  <si>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</si>
  <si>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</si>
  <si>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</si>
  <si>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</si>
  <si>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</si>
  <si>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</si>
  <si>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</si>
  <si>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</si>
  <si>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</si>
  <si>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</si>
  <si>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</si>
  <si>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</si>
  <si>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</si>
  <si>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</si>
  <si>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</si>
  <si>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</si>
  <si>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</si>
  <si>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</si>
  <si>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</si>
  <si>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</si>
  <si>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</si>
  <si>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</si>
  <si>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</si>
  <si>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</si>
  <si>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</si>
  <si>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</si>
  <si>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</si>
  <si>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</si>
  <si>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</si>
  <si>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</si>
  <si>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</si>
  <si>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</si>
  <si>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</si>
  <si>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</si>
  <si>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</si>
  <si>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</si>
  <si>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</si>
  <si>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</si>
  <si>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</si>
  <si>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</si>
  <si>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</si>
  <si>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</si>
  <si>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</si>
  <si>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</si>
  <si>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</si>
  <si>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</si>
  <si>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</si>
  <si>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</si>
  <si>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</si>
  <si>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</si>
  <si>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</si>
  <si>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</si>
  <si>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</si>
  <si>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</si>
  <si>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</si>
  <si>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</si>
  <si>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</si>
  <si>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</si>
  <si>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</si>
  <si>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</si>
  <si>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</si>
  <si>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</si>
  <si>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</si>
  <si>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</si>
  <si>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</si>
  <si>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</si>
  <si>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</si>
  <si>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</si>
  <si>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</si>
  <si>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</si>
  <si>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</si>
  <si>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</si>
  <si>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</si>
  <si>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</si>
  <si>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</si>
  <si>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</si>
  <si>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</si>
  <si>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</si>
  <si>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</si>
  <si>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</si>
  <si>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</si>
  <si>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</si>
  <si>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</si>
  <si>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</si>
  <si>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</si>
  <si>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</si>
  <si>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Mark Duplass, Desiree Akhavan, Karan Soni</t>
  </si>
  <si>
    <t>December 23, 2017</t>
  </si>
  <si>
    <t>A video artist finds the perfect character for a sensational piece, but the subject of her dreams soon reveals his insidious side.</t>
  </si>
  <si>
    <t>s5112</t>
  </si>
  <si>
    <t>Myths &amp; Monsters</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</si>
  <si>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</si>
  <si>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</si>
  <si>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</si>
  <si>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</si>
  <si>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</si>
  <si>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</si>
  <si>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</si>
  <si>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</si>
  <si>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</si>
  <si>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</si>
  <si>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</si>
  <si>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</si>
  <si>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</si>
  <si>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</si>
  <si>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</si>
  <si>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</si>
  <si>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</si>
  <si>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</si>
  <si>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</si>
  <si>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</si>
  <si>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</si>
  <si>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</si>
  <si>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</si>
  <si>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</si>
  <si>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</si>
  <si>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</si>
  <si>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</si>
  <si>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</si>
  <si>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</si>
  <si>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</si>
  <si>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</si>
  <si>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</si>
  <si>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</si>
  <si>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</si>
  <si>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</si>
  <si>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</si>
  <si>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</si>
  <si>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</si>
  <si>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</si>
  <si>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</si>
  <si>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</si>
  <si>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</si>
  <si>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</si>
  <si>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</si>
  <si>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</si>
  <si>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</si>
  <si>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</si>
  <si>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</si>
  <si>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</si>
  <si>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Mithila Palkar, Amey Wagh, Sachin Khedekar, Chinmayi Sumit</t>
  </si>
  <si>
    <t>A young man and his parents ponder the reasons behind the recent breakdown of a relationship he was in – and the possibility of reconciliation.</t>
  </si>
  <si>
    <t>s5124</t>
  </si>
  <si>
    <t>Pottersville</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</si>
  <si>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</si>
  <si>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</si>
  <si>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</si>
  <si>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</si>
  <si>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</si>
  <si>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</si>
  <si>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</si>
  <si>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</si>
  <si>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</si>
  <si>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</si>
  <si>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</si>
  <si>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</si>
  <si>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</si>
  <si>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</si>
  <si>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</si>
  <si>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</si>
  <si>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</si>
  <si>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</si>
  <si>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</si>
  <si>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</si>
  <si>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</si>
  <si>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</si>
  <si>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</si>
  <si>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</si>
  <si>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</si>
  <si>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</si>
  <si>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</si>
  <si>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</si>
  <si>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</si>
  <si>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</si>
  <si>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</si>
  <si>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</si>
  <si>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</si>
  <si>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</si>
  <si>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</si>
  <si>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</si>
  <si>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</si>
  <si>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</si>
  <si>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</si>
  <si>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</si>
  <si>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</si>
  <si>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</si>
  <si>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December 7, 2017</t>
  </si>
  <si>
    <t>An assembly of writers, philosophers and scientists share The Secret, which reputedly brought success to Plato, da Vinci, Einstein and other greats.</t>
  </si>
  <si>
    <t>s5134</t>
  </si>
  <si>
    <t>Trolls Holiday Special</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</si>
  <si>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</si>
  <si>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</si>
  <si>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</si>
  <si>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</si>
  <si>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</si>
  <si>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</si>
  <si>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</si>
  <si>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</si>
  <si>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</si>
  <si>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</si>
  <si>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</si>
  <si>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</si>
  <si>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</si>
  <si>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</si>
  <si>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</si>
  <si>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</si>
  <si>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</si>
  <si>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</si>
  <si>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</si>
  <si>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</si>
  <si>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</si>
  <si>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</si>
  <si>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</si>
  <si>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</si>
  <si>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</si>
  <si>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</si>
  <si>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</si>
  <si>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</si>
  <si>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</si>
  <si>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</si>
  <si>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</si>
  <si>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</si>
  <si>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</si>
  <si>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</si>
  <si>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</si>
  <si>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</si>
  <si>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</si>
  <si>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</si>
  <si>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</si>
  <si>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</si>
  <si>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</si>
  <si>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</si>
  <si>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</si>
  <si>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</si>
  <si>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</si>
  <si>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</si>
  <si>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</si>
  <si>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</si>
  <si>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</si>
  <si>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</si>
  <si>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</si>
  <si>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</si>
  <si>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</si>
  <si>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</si>
  <si>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</si>
  <si>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</si>
  <si>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</si>
  <si>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</si>
  <si>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</si>
  <si>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</si>
  <si>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</si>
  <si>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</si>
  <si>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</si>
  <si>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</si>
  <si>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</si>
  <si>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</si>
  <si>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</si>
  <si>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</si>
  <si>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</si>
  <si>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</si>
  <si>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</si>
  <si>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</si>
  <si>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</si>
  <si>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</si>
  <si>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</si>
  <si>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</si>
  <si>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</si>
  <si>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</si>
  <si>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</si>
  <si>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</si>
  <si>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</si>
  <si>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</si>
  <si>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</si>
  <si>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</si>
  <si>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</si>
  <si>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November 24, 2017</t>
  </si>
  <si>
    <t>Emmy-winning filmmaker Jon Alpert chronicles the fortunes of three Cuban families over the course of four tumultuous decades in the nation's history.</t>
  </si>
  <si>
    <t>s5154</t>
  </si>
  <si>
    <t>The Girl from the Song</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</si>
  <si>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</si>
  <si>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</si>
  <si>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</si>
  <si>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</si>
  <si>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</si>
  <si>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</si>
  <si>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</si>
  <si>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</si>
  <si>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</si>
  <si>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</si>
  <si>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</si>
  <si>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</si>
  <si>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</si>
  <si>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</si>
  <si>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</si>
  <si>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</si>
  <si>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</si>
  <si>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</si>
  <si>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</si>
  <si>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</si>
  <si>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</si>
  <si>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</si>
  <si>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</si>
  <si>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</si>
  <si>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</si>
  <si>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</si>
  <si>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</si>
  <si>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</si>
  <si>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</si>
  <si>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</si>
  <si>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</si>
  <si>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</si>
  <si>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</si>
  <si>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</si>
  <si>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</si>
  <si>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</si>
  <si>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</si>
  <si>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</si>
  <si>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</si>
  <si>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</si>
  <si>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</si>
  <si>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</si>
  <si>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</si>
  <si>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</si>
  <si>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</si>
  <si>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</si>
  <si>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</si>
  <si>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</si>
  <si>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</si>
  <si>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</si>
  <si>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</si>
  <si>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</si>
  <si>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</si>
  <si>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</si>
  <si>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</si>
  <si>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</si>
  <si>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</si>
  <si>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</si>
  <si>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</si>
  <si>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</si>
  <si>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</si>
  <si>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</si>
  <si>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</si>
  <si>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</si>
  <si>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</si>
  <si>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</si>
  <si>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</si>
  <si>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</si>
  <si>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</si>
  <si>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</si>
  <si>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</si>
  <si>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</si>
  <si>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</si>
  <si>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</si>
  <si>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</si>
  <si>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</si>
  <si>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</si>
  <si>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</si>
  <si>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</si>
  <si>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</si>
  <si>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</si>
  <si>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</si>
  <si>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</si>
  <si>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</si>
  <si>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</si>
  <si>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</si>
  <si>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</si>
  <si>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</si>
  <si>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</si>
  <si>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</si>
  <si>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</si>
  <si>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</si>
  <si>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</si>
  <si>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</si>
  <si>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</si>
  <si>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</si>
  <si>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</si>
  <si>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</si>
  <si>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</si>
  <si>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</si>
  <si>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</si>
  <si>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</si>
  <si>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</si>
  <si>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</si>
  <si>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</si>
  <si>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</si>
  <si>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</si>
  <si>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</si>
  <si>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</si>
  <si>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</si>
  <si>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</si>
  <si>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</si>
  <si>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</si>
  <si>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</si>
  <si>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</si>
  <si>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</si>
  <si>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</si>
  <si>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</si>
  <si>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</si>
  <si>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</si>
  <si>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</si>
  <si>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</si>
  <si>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</si>
  <si>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</si>
  <si>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</si>
  <si>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</si>
  <si>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</si>
  <si>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</si>
  <si>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</si>
  <si>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</si>
  <si>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</si>
  <si>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</si>
  <si>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</si>
  <si>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</si>
  <si>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</si>
  <si>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</si>
  <si>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</si>
  <si>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</si>
  <si>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</si>
  <si>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</si>
  <si>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</si>
  <si>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</si>
  <si>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</si>
  <si>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</si>
  <si>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</si>
  <si>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</si>
  <si>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</si>
  <si>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</si>
  <si>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</si>
  <si>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</si>
  <si>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</si>
  <si>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</si>
  <si>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Stefan Kurt, Marianne Sägebrecht, Max Herbrechter</t>
  </si>
  <si>
    <t>Christmas is just around the corner, but Pettersson and Findus are worried the snowy weather (and lack of a tree) may keep them from celebrating.</t>
  </si>
  <si>
    <t>s5191</t>
  </si>
  <si>
    <t>The Bittersweet</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</si>
  <si>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</si>
  <si>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</si>
  <si>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</si>
  <si>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</si>
  <si>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</si>
  <si>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</si>
  <si>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</si>
  <si>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</si>
  <si>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</si>
  <si>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</si>
  <si>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</si>
  <si>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</si>
  <si>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</si>
  <si>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</si>
  <si>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</si>
  <si>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</si>
  <si>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</si>
  <si>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</si>
  <si>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</si>
  <si>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</si>
  <si>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</si>
  <si>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</si>
  <si>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</si>
  <si>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</si>
  <si>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October 31, 2017</t>
  </si>
  <si>
    <t>Deadpan comic and self-proclaimed world champion Judah Friedlander performs over several nights in New York, explaining why America is No. 1.</t>
  </si>
  <si>
    <t>s5198</t>
  </si>
  <si>
    <t>The B-Side: Elsa Dorfman's Portrait Photography</t>
  </si>
  <si>
    <t>Elsa Dorfman</t>
  </si>
  <si>
    <t>Filmmaker Errol Morris probes the life, work and studio of his pal Elsa Dorfman, a Polaroid photographer who's shot luminaries and regular folk alike.</t>
  </si>
  <si>
    <t>s5199</t>
  </si>
  <si>
    <t>SPF-18</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</si>
  <si>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</si>
  <si>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</si>
  <si>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</si>
  <si>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</si>
  <si>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</si>
  <si>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</si>
  <si>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</si>
  <si>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</si>
  <si>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</si>
  <si>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</si>
  <si>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</si>
  <si>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</si>
  <si>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</si>
  <si>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</si>
  <si>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</si>
  <si>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</si>
  <si>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</si>
  <si>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Joan Didion</t>
  </si>
  <si>
    <t>Literary icon Joan Didion reflects on her remarkable career and personal struggles in this intimate documentary directed by her nephew, Griffin Dunne.</t>
  </si>
  <si>
    <t>s5203</t>
  </si>
  <si>
    <t>Strange Weather</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</si>
  <si>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</si>
  <si>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</si>
  <si>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</si>
  <si>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</si>
  <si>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</si>
  <si>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</si>
  <si>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</si>
  <si>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</si>
  <si>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</si>
  <si>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</si>
  <si>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</si>
  <si>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</si>
  <si>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</si>
  <si>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</si>
  <si>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</si>
  <si>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</si>
  <si>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</si>
  <si>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</si>
  <si>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</si>
  <si>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</si>
  <si>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</si>
  <si>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</si>
  <si>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</si>
  <si>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</si>
  <si>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</si>
  <si>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</si>
  <si>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</si>
  <si>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</si>
  <si>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</si>
  <si>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</si>
  <si>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</si>
  <si>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</si>
  <si>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</si>
  <si>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</si>
  <si>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</si>
  <si>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</si>
  <si>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</si>
  <si>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</si>
  <si>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</si>
  <si>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</si>
  <si>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</si>
  <si>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</si>
  <si>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</si>
  <si>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</si>
  <si>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</si>
  <si>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</si>
  <si>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</si>
  <si>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</si>
  <si>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</si>
  <si>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</si>
  <si>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</si>
  <si>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</si>
  <si>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</si>
  <si>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</si>
  <si>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</si>
  <si>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</si>
  <si>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</si>
  <si>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</si>
  <si>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</si>
  <si>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</si>
  <si>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</si>
  <si>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</si>
  <si>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</si>
  <si>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</si>
  <si>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</si>
  <si>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</si>
  <si>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</si>
  <si>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</si>
  <si>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</si>
  <si>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</si>
  <si>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</si>
  <si>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</si>
  <si>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</si>
  <si>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</si>
  <si>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</si>
  <si>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</si>
  <si>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</si>
  <si>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</si>
  <si>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</si>
  <si>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</si>
  <si>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</si>
  <si>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</si>
  <si>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</si>
  <si>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</si>
  <si>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</si>
  <si>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</si>
  <si>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</si>
  <si>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</si>
  <si>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</si>
  <si>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</si>
  <si>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</si>
  <si>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</si>
  <si>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</si>
  <si>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</si>
  <si>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</si>
  <si>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</si>
  <si>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</si>
  <si>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From a Mexico City theme park, energetic stand-up Alex Fernández riffs on music, cheap toys, insecurity and other fun things about growing up.</t>
  </si>
  <si>
    <t>s5226</t>
  </si>
  <si>
    <t>Kingdom of Us</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</si>
  <si>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</si>
  <si>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</si>
  <si>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</si>
  <si>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</si>
  <si>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</si>
  <si>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</si>
  <si>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</si>
  <si>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</si>
  <si>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</si>
  <si>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</si>
  <si>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</si>
  <si>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</si>
  <si>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</si>
  <si>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</si>
  <si>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</si>
  <si>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</si>
  <si>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</si>
  <si>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</si>
  <si>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</si>
  <si>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</si>
  <si>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</si>
  <si>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</si>
  <si>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</si>
  <si>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</si>
  <si>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</si>
  <si>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</si>
  <si>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</si>
  <si>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</si>
  <si>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</si>
  <si>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</si>
  <si>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</si>
  <si>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</si>
  <si>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</si>
  <si>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</si>
  <si>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Greece, United States</t>
  </si>
  <si>
    <t>As she fights the tide of violence against trans women, activist Victoria Cruz probes the suspicious 1992 death of her friend Marsha P. Johnson.</t>
  </si>
  <si>
    <t>s5235</t>
  </si>
  <si>
    <t>Rodney Carrington: Here Comes the Truth</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</si>
  <si>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</si>
  <si>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</si>
  <si>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</si>
  <si>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</si>
  <si>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</si>
  <si>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</si>
  <si>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</si>
  <si>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</si>
  <si>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</si>
  <si>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</si>
  <si>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</si>
  <si>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</si>
  <si>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</si>
  <si>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</si>
  <si>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</si>
  <si>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</si>
  <si>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</si>
  <si>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</si>
  <si>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</si>
  <si>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</si>
  <si>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</si>
  <si>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</si>
  <si>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</si>
  <si>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</si>
  <si>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</si>
  <si>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</si>
  <si>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</si>
  <si>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</si>
  <si>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</si>
  <si>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</si>
  <si>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</si>
  <si>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</si>
  <si>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</si>
  <si>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</si>
  <si>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</si>
  <si>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</si>
  <si>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</si>
  <si>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</si>
  <si>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</si>
  <si>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</si>
  <si>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</si>
  <si>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</si>
  <si>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</si>
  <si>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</si>
  <si>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</si>
  <si>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</si>
  <si>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</si>
  <si>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</si>
  <si>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</si>
  <si>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</si>
  <si>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</si>
  <si>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</si>
  <si>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</si>
  <si>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</si>
  <si>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</si>
  <si>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</si>
  <si>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</si>
  <si>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</si>
  <si>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</si>
  <si>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</si>
  <si>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</si>
  <si>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</si>
  <si>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</si>
  <si>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</si>
  <si>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</si>
  <si>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</si>
  <si>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</si>
  <si>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</si>
  <si>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</si>
  <si>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</si>
  <si>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</si>
  <si>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</si>
  <si>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</si>
  <si>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</si>
  <si>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</si>
  <si>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</si>
  <si>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</si>
  <si>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</si>
  <si>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</si>
  <si>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</si>
  <si>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</si>
  <si>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</si>
  <si>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</si>
  <si>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</si>
  <si>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</si>
  <si>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</si>
  <si>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</si>
  <si>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</si>
  <si>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</si>
  <si>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</si>
  <si>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</si>
  <si>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</si>
  <si>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</si>
  <si>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</si>
  <si>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</si>
  <si>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</si>
  <si>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</si>
  <si>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</si>
  <si>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</si>
  <si>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</si>
  <si>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</si>
  <si>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</si>
  <si>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</si>
  <si>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</si>
  <si>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</si>
  <si>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</si>
  <si>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</si>
  <si>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</si>
  <si>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</si>
  <si>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</si>
  <si>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</si>
  <si>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</si>
  <si>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</si>
  <si>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</si>
  <si>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</si>
  <si>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</si>
  <si>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</si>
  <si>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</si>
  <si>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</si>
  <si>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</si>
  <si>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</si>
  <si>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</si>
  <si>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</si>
  <si>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</si>
  <si>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</si>
  <si>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</si>
  <si>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</si>
  <si>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</si>
  <si>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</si>
  <si>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</si>
  <si>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</si>
  <si>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</si>
  <si>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</si>
  <si>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</si>
  <si>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</si>
  <si>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</si>
  <si>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</si>
  <si>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</si>
  <si>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Lady Gaga</t>
  </si>
  <si>
    <t>September 22, 2017</t>
  </si>
  <si>
    <t>Follow pop provocateur Lady Gaga as she releases a new album, preps for her Super Bowl halftime show, and confronts physical and emotional struggles.</t>
  </si>
  <si>
    <t>s5268</t>
  </si>
  <si>
    <t>The Bad Batch</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</si>
  <si>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</si>
  <si>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</si>
  <si>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</si>
  <si>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</si>
  <si>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</si>
  <si>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</si>
  <si>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</si>
  <si>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</si>
  <si>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</si>
  <si>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</si>
  <si>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</si>
  <si>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</si>
  <si>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</si>
  <si>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</si>
  <si>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</si>
  <si>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</si>
  <si>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</si>
  <si>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</si>
  <si>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</si>
  <si>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</si>
  <si>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</si>
  <si>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</si>
  <si>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</si>
  <si>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</si>
  <si>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</si>
  <si>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</si>
  <si>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</si>
  <si>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</si>
  <si>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</si>
  <si>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</si>
  <si>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</si>
  <si>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</si>
  <si>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</si>
  <si>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</si>
  <si>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</si>
  <si>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</si>
  <si>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</si>
  <si>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</si>
  <si>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</si>
  <si>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</si>
  <si>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</si>
  <si>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</si>
  <si>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</si>
  <si>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</si>
  <si>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</si>
  <si>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</si>
  <si>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</si>
  <si>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</si>
  <si>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</si>
  <si>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</si>
  <si>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</si>
  <si>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</si>
  <si>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</si>
  <si>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</si>
  <si>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</si>
  <si>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</si>
  <si>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</si>
  <si>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</si>
  <si>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</si>
  <si>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</si>
  <si>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</si>
  <si>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</si>
  <si>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</si>
  <si>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</si>
  <si>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</si>
  <si>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</si>
  <si>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</si>
  <si>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</si>
  <si>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</si>
  <si>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</si>
  <si>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</si>
  <si>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</si>
  <si>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</si>
  <si>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</si>
  <si>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</si>
  <si>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</si>
  <si>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</si>
  <si>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</si>
  <si>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</si>
  <si>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</si>
  <si>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</si>
  <si>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</si>
  <si>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</si>
  <si>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</si>
  <si>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</si>
  <si>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</si>
  <si>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</si>
  <si>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</si>
  <si>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</si>
  <si>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</si>
  <si>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</si>
  <si>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</si>
  <si>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</si>
  <si>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</si>
  <si>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</si>
  <si>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</si>
  <si>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</si>
  <si>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</si>
  <si>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</si>
  <si>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</si>
  <si>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</si>
  <si>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</si>
  <si>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</si>
  <si>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</si>
  <si>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</si>
  <si>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</si>
  <si>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</si>
  <si>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</si>
  <si>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</si>
  <si>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</si>
  <si>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</si>
  <si>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</si>
  <si>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</si>
  <si>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</si>
  <si>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</si>
  <si>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</si>
  <si>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</si>
  <si>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</si>
  <si>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</si>
  <si>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</si>
  <si>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</si>
  <si>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</si>
  <si>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</si>
  <si>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</si>
  <si>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</si>
  <si>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</si>
  <si>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</si>
  <si>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</si>
  <si>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</si>
  <si>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</si>
  <si>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</si>
  <si>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</si>
  <si>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</si>
  <si>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</si>
  <si>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</si>
  <si>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</si>
  <si>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</si>
  <si>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</si>
  <si>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</si>
  <si>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</si>
  <si>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</si>
  <si>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</si>
  <si>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</si>
  <si>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</si>
  <si>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</si>
  <si>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</si>
  <si>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</si>
  <si>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</si>
  <si>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</si>
  <si>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</si>
  <si>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</si>
  <si>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</si>
  <si>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</si>
  <si>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</si>
  <si>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</si>
  <si>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</si>
  <si>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</si>
  <si>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</si>
  <si>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</si>
  <si>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</si>
  <si>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</si>
  <si>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</si>
  <si>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</si>
  <si>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</si>
  <si>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</si>
  <si>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</si>
  <si>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</si>
  <si>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</si>
  <si>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</si>
  <si>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</si>
  <si>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</si>
  <si>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</si>
  <si>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</si>
  <si>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</si>
  <si>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</si>
  <si>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</si>
  <si>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</si>
  <si>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</si>
  <si>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</si>
  <si>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</si>
  <si>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</si>
  <si>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</si>
  <si>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James Freeman</t>
  </si>
  <si>
    <t>United Kingdom, Italy, Israel, Peru, United States</t>
  </si>
  <si>
    <t>In a last-ditch effort to prevent suicide, a clinically depressed young man travels to the Amazon to engage in an ancient hallucinatory ritual.</t>
  </si>
  <si>
    <t>s5314</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</si>
  <si>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</si>
  <si>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</si>
  <si>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</si>
  <si>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</si>
  <si>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</si>
  <si>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</si>
  <si>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</si>
  <si>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</si>
  <si>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</si>
  <si>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</si>
  <si>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</si>
  <si>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</si>
  <si>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</si>
  <si>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</si>
  <si>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</si>
  <si>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</si>
  <si>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</si>
  <si>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</si>
  <si>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</si>
  <si>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</si>
  <si>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</si>
  <si>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</si>
  <si>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</si>
  <si>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</si>
  <si>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</si>
  <si>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</si>
  <si>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</si>
  <si>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</si>
  <si>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</si>
  <si>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</si>
  <si>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</si>
  <si>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</si>
  <si>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</si>
  <si>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</si>
  <si>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</si>
  <si>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</si>
  <si>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</si>
  <si>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</si>
  <si>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</si>
  <si>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</si>
  <si>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</si>
  <si>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</si>
  <si>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</si>
  <si>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Montrail 'Money' Brown, O.C. Brown, Bill Courtney, Chavis Daniels</t>
  </si>
  <si>
    <t>An inspirational profile of an inner-city high school football team's valiant effort to reach the school's first-ever playoff game.</t>
  </si>
  <si>
    <t>s5324</t>
  </si>
  <si>
    <t>What Happened to Monday</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</si>
  <si>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</si>
  <si>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</si>
  <si>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</si>
  <si>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</si>
  <si>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</si>
  <si>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</si>
  <si>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</si>
  <si>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</si>
  <si>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</si>
  <si>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</si>
  <si>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</si>
  <si>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</si>
  <si>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</si>
  <si>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</si>
  <si>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</si>
  <si>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</si>
  <si>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</si>
  <si>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</si>
  <si>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</si>
  <si>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</si>
  <si>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</si>
  <si>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</si>
  <si>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</si>
  <si>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</si>
  <si>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</si>
  <si>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</si>
  <si>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</si>
  <si>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</si>
  <si>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</si>
  <si>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</si>
  <si>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</si>
  <si>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</si>
  <si>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</si>
  <si>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</si>
  <si>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</si>
  <si>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</si>
  <si>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</si>
  <si>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</si>
  <si>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</si>
  <si>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</si>
  <si>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</si>
  <si>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</si>
  <si>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</si>
  <si>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</si>
  <si>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</si>
  <si>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</si>
  <si>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</si>
  <si>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</si>
  <si>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</si>
  <si>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</si>
  <si>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</si>
  <si>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</si>
  <si>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</si>
  <si>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</si>
  <si>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</si>
  <si>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</si>
  <si>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</si>
  <si>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</si>
  <si>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</si>
  <si>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</si>
  <si>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</si>
  <si>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</si>
  <si>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</si>
  <si>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</si>
  <si>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</si>
  <si>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</si>
  <si>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</si>
  <si>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</si>
  <si>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</si>
  <si>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</si>
  <si>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</si>
  <si>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</si>
  <si>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</si>
  <si>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</si>
  <si>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</si>
  <si>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</si>
  <si>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</si>
  <si>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</si>
  <si>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</si>
  <si>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</si>
  <si>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</si>
  <si>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</si>
  <si>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</si>
  <si>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</si>
  <si>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 Grigory Rodchenkov</t>
  </si>
  <si>
    <t>An American filmmaker and cyclist unwittingly wades into a global scandal when a Russian scientist leaks shocking details of a vast doping conspiracy.</t>
  </si>
  <si>
    <t>s5345</t>
  </si>
  <si>
    <t>Message from the King</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</si>
  <si>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</si>
  <si>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</si>
  <si>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</si>
  <si>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</si>
  <si>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</si>
  <si>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</si>
  <si>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</si>
  <si>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</si>
  <si>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</si>
  <si>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</si>
  <si>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</si>
  <si>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</si>
  <si>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</si>
  <si>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</si>
  <si>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</si>
  <si>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</si>
  <si>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</si>
  <si>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</si>
  <si>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</si>
  <si>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</si>
  <si>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</si>
  <si>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</si>
  <si>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</si>
  <si>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</si>
  <si>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</si>
  <si>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</si>
  <si>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</si>
  <si>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</si>
  <si>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</si>
  <si>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</si>
  <si>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</si>
  <si>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</si>
  <si>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</si>
  <si>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</si>
  <si>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</si>
  <si>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</si>
  <si>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</si>
  <si>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</si>
  <si>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</si>
  <si>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</si>
  <si>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</si>
  <si>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</si>
  <si>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</si>
  <si>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</si>
  <si>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</si>
  <si>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</si>
  <si>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</si>
  <si>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</si>
  <si>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</si>
  <si>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</si>
  <si>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</si>
  <si>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</si>
  <si>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</si>
  <si>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</si>
  <si>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</si>
  <si>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Iranian American comic Maz Jobrani lights up the Kennedy Center with riffs on immigrant life in the Trump era, modern parenting pitfalls and more.</t>
  </si>
  <si>
    <t>s5359</t>
  </si>
  <si>
    <t>Opening Night</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</si>
  <si>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</si>
  <si>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</si>
  <si>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</si>
  <si>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</si>
  <si>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</si>
  <si>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</si>
  <si>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</si>
  <si>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</si>
  <si>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</si>
  <si>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</si>
  <si>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</si>
  <si>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</si>
  <si>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</si>
  <si>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</si>
  <si>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</si>
  <si>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</si>
  <si>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</si>
  <si>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</si>
  <si>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</si>
  <si>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</si>
  <si>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</si>
  <si>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</si>
  <si>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</si>
  <si>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</si>
  <si>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</si>
  <si>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</si>
  <si>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</si>
  <si>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</si>
  <si>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</si>
  <si>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</si>
  <si>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</si>
  <si>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</si>
  <si>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</si>
  <si>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</si>
  <si>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</si>
  <si>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</si>
  <si>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</si>
  <si>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</si>
  <si>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July 28, 2017</t>
  </si>
  <si>
    <t>Five girls from India's most impoverished families attend a boarding school designed to create opportunities as they strive for a brighter future.</t>
  </si>
  <si>
    <t>s5369</t>
  </si>
  <si>
    <t>The Incredible Jessica James</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</si>
  <si>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</si>
  <si>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</si>
  <si>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</si>
  <si>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</si>
  <si>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</si>
  <si>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</si>
  <si>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</si>
  <si>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</si>
  <si>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</si>
  <si>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July 24, 2017</t>
  </si>
  <si>
    <t>Decades after serving a prison sentence for killing jazz musician Lee Morgan, his common-law wife, Helen, reflects on their lives and his legacy.</t>
  </si>
  <si>
    <t>s5372</t>
  </si>
  <si>
    <t>Aditi Mittal: Things They Wouldn't Let Me Say</t>
  </si>
  <si>
    <t>Aditi Mittal</t>
  </si>
  <si>
    <t>July 18, 2017</t>
  </si>
  <si>
    <t>Trailblazing comic Aditi Mittal mixes topical stand-up with frank talk about being single, wearing thongs and the awkwardness of Indian movie ratings.</t>
  </si>
  <si>
    <t>s5373</t>
  </si>
  <si>
    <t>Ari Shaffir: Double Negative</t>
  </si>
  <si>
    <t>Ari Shaffir</t>
  </si>
  <si>
    <t>Wry yet thoughtful, comedian Ari Shaffir brings his edgy humor to two fast-paced stand-up specials about children and adulthood.</t>
  </si>
  <si>
    <t>s5374</t>
  </si>
  <si>
    <t>Uncertain Glory</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</si>
  <si>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</si>
  <si>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</si>
  <si>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</si>
  <si>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</si>
  <si>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</si>
  <si>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</si>
  <si>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</si>
  <si>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</si>
  <si>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</si>
  <si>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</si>
  <si>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</si>
  <si>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</si>
  <si>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</si>
  <si>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</si>
  <si>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</si>
  <si>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</si>
  <si>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</si>
  <si>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</si>
  <si>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</si>
  <si>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</si>
  <si>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</si>
  <si>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</si>
  <si>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</si>
  <si>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</si>
  <si>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</si>
  <si>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</si>
  <si>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</si>
  <si>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</si>
  <si>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</si>
  <si>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</si>
  <si>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</si>
  <si>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</si>
  <si>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</si>
  <si>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</si>
  <si>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</si>
  <si>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</si>
  <si>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</si>
  <si>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</si>
  <si>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</si>
  <si>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</si>
  <si>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</si>
  <si>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</si>
  <si>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</si>
  <si>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</si>
  <si>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</si>
  <si>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</si>
  <si>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</si>
  <si>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</si>
  <si>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</si>
  <si>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</si>
  <si>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</si>
  <si>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</si>
  <si>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</si>
  <si>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</si>
  <si>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</si>
  <si>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</si>
  <si>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</si>
  <si>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</si>
  <si>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Franck Dubosc, Claude Rich, Marie Kremer, Mathis Touré, Rufus, Olivier Claverie</t>
  </si>
  <si>
    <t>July 1, 2017</t>
  </si>
  <si>
    <t>When a carefree bachelor is unexpectedly left in charge of a young boy, the two embark on a road trip that will change both of their lives.</t>
  </si>
  <si>
    <t>s5389</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</si>
  <si>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</si>
  <si>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</si>
  <si>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</si>
  <si>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</si>
  <si>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</si>
  <si>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</si>
  <si>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</si>
  <si>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</si>
  <si>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</si>
  <si>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</si>
  <si>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</si>
  <si>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</si>
  <si>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</si>
  <si>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</si>
  <si>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</si>
  <si>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</si>
  <si>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</si>
  <si>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</si>
  <si>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</si>
  <si>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</si>
  <si>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</si>
  <si>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</si>
  <si>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</si>
  <si>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</si>
  <si>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</si>
  <si>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</si>
  <si>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</si>
  <si>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</si>
  <si>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</si>
  <si>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</si>
  <si>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</si>
  <si>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</si>
  <si>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</si>
  <si>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</si>
  <si>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</si>
  <si>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</si>
  <si>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</si>
  <si>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</si>
  <si>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</si>
  <si>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</si>
  <si>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</si>
  <si>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</si>
  <si>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</si>
  <si>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</si>
  <si>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</si>
  <si>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</si>
  <si>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</si>
  <si>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</si>
  <si>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</si>
  <si>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</si>
  <si>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</si>
  <si>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</si>
  <si>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</si>
  <si>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</si>
  <si>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</si>
  <si>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</si>
  <si>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</si>
  <si>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</si>
  <si>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</si>
  <si>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</si>
  <si>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</si>
  <si>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</si>
  <si>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</si>
  <si>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</si>
  <si>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</si>
  <si>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</si>
  <si>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</si>
  <si>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</si>
  <si>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</si>
  <si>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</si>
  <si>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</si>
  <si>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</si>
  <si>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</si>
  <si>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</si>
  <si>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</si>
  <si>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</si>
  <si>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</si>
  <si>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</si>
  <si>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</si>
  <si>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</si>
  <si>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</si>
  <si>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</si>
  <si>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</si>
  <si>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</si>
  <si>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</si>
  <si>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</si>
  <si>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</si>
  <si>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</si>
  <si>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</si>
  <si>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</si>
  <si>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</si>
  <si>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</si>
  <si>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</si>
  <si>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</si>
  <si>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</si>
  <si>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</si>
  <si>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</si>
  <si>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</si>
  <si>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</si>
  <si>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</si>
  <si>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</si>
  <si>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</si>
  <si>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</si>
  <si>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</si>
  <si>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</si>
  <si>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</si>
  <si>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</si>
  <si>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</si>
  <si>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</si>
  <si>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</si>
  <si>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</si>
  <si>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</si>
  <si>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</si>
  <si>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</si>
  <si>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</si>
  <si>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</si>
  <si>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</si>
  <si>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</si>
  <si>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</si>
  <si>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</si>
  <si>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</si>
  <si>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</si>
  <si>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</si>
  <si>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Netherlands, United States</t>
  </si>
  <si>
    <t>June 23, 2017</t>
  </si>
  <si>
    <t>Hulk Hogan's court case against Gawker Media sheds light on wealthy, powerful figures who challenge freedom of the press in order to silence critics.</t>
  </si>
  <si>
    <t>s5420</t>
  </si>
  <si>
    <t>You Get Me</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</si>
  <si>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</si>
  <si>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</si>
  <si>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</si>
  <si>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</si>
  <si>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</si>
  <si>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</si>
  <si>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</si>
  <si>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</si>
  <si>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</si>
  <si>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</si>
  <si>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</si>
  <si>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</si>
  <si>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</si>
  <si>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</si>
  <si>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</si>
  <si>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</si>
  <si>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</si>
  <si>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</si>
  <si>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</si>
  <si>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</si>
  <si>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</si>
  <si>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</si>
  <si>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</si>
  <si>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</si>
  <si>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</si>
  <si>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</si>
  <si>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</si>
  <si>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</si>
  <si>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</si>
  <si>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</si>
  <si>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</si>
  <si>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As boxing's popularity wanes, three fighters at different stages of their career make sacrifices to pursue their dreams of becoming champions.</t>
  </si>
  <si>
    <t>s5428</t>
  </si>
  <si>
    <t>What the Health</t>
  </si>
  <si>
    <t>This film examines the link between diet and disease, and the billions of dollars at stake in the healthcare, pharmaceutical and food industries.</t>
  </si>
  <si>
    <t>s5429</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</si>
  <si>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</si>
  <si>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</si>
  <si>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</si>
  <si>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</si>
  <si>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</si>
  <si>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</si>
  <si>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</si>
  <si>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</si>
  <si>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</si>
  <si>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</si>
  <si>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Marco Luque</t>
  </si>
  <si>
    <t>Eclectic character comedian Marco Luque plays himself in this stand-up special about relationships, regional differences and his own love of movies.</t>
  </si>
  <si>
    <t>s5432</t>
  </si>
  <si>
    <t>The Russian Revolution</t>
  </si>
  <si>
    <t>Jonathan Kydd</t>
  </si>
  <si>
    <t>Starting in 1881, this film describes how the personal battle between the royal Romanovs and Lenin's Ulyanov family led to the Russian Revolution.</t>
  </si>
  <si>
    <t>s5433</t>
  </si>
  <si>
    <t>Oh, Hello On Broadway</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</si>
  <si>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</si>
  <si>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</si>
  <si>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</si>
  <si>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</si>
  <si>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</si>
  <si>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</si>
  <si>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</si>
  <si>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</si>
  <si>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</si>
  <si>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</si>
  <si>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</si>
  <si>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</si>
  <si>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</si>
  <si>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</si>
  <si>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</si>
  <si>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</si>
  <si>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</si>
  <si>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</si>
  <si>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</si>
  <si>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</si>
  <si>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</si>
  <si>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</si>
  <si>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</si>
  <si>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</si>
  <si>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</si>
  <si>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</si>
  <si>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</si>
  <si>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</si>
  <si>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</si>
  <si>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</si>
  <si>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</si>
  <si>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</si>
  <si>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</si>
  <si>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</si>
  <si>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</si>
  <si>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</si>
  <si>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</si>
  <si>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</si>
  <si>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</si>
  <si>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</si>
  <si>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</si>
  <si>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</si>
  <si>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</si>
  <si>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</si>
  <si>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</si>
  <si>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</si>
  <si>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</si>
  <si>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</si>
  <si>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</si>
  <si>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</si>
  <si>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</si>
  <si>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</si>
  <si>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</si>
  <si>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</si>
  <si>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</si>
  <si>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</si>
  <si>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</si>
  <si>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</si>
  <si>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</si>
  <si>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</si>
  <si>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</si>
  <si>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</si>
  <si>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</si>
  <si>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</si>
  <si>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</si>
  <si>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</si>
  <si>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</si>
  <si>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</si>
  <si>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</si>
  <si>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</si>
  <si>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</si>
  <si>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</si>
  <si>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Rachael Stirling</t>
  </si>
  <si>
    <t>Eight decades after her disappearance, Amelia Earhart's incredible accomplishments are still celebrated, thanks in large part to her sister Muriel.</t>
  </si>
  <si>
    <t>s5450</t>
  </si>
  <si>
    <t>Catfight</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</si>
  <si>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</si>
  <si>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</si>
  <si>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</si>
  <si>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</si>
  <si>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</si>
  <si>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</si>
  <si>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</si>
  <si>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</si>
  <si>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</si>
  <si>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</si>
  <si>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 Anand Sami, Aswathy Lal, Misha Ghoshal</t>
  </si>
  <si>
    <t>Addicted to webcams and voyeurism, a married man gets more than he bargained for when an online stranger tries to force him to watch a suicide.</t>
  </si>
  <si>
    <t>s5454</t>
  </si>
  <si>
    <t>Little Boxes</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</si>
  <si>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</si>
  <si>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</si>
  <si>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</si>
  <si>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</si>
  <si>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</si>
  <si>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</si>
  <si>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</si>
  <si>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</si>
  <si>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</si>
  <si>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</si>
  <si>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</si>
  <si>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</si>
  <si>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</si>
  <si>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</si>
  <si>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</si>
  <si>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</si>
  <si>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</si>
  <si>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</si>
  <si>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</si>
  <si>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</si>
  <si>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</si>
  <si>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</si>
  <si>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</si>
  <si>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</si>
  <si>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</si>
  <si>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</si>
  <si>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</si>
  <si>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</si>
  <si>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</si>
  <si>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</si>
  <si>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</si>
  <si>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</si>
  <si>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</si>
  <si>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</si>
  <si>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</si>
  <si>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</si>
  <si>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</si>
  <si>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</si>
  <si>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</si>
  <si>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</si>
  <si>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</si>
  <si>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</si>
  <si>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</si>
  <si>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</si>
  <si>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</si>
  <si>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</si>
  <si>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</si>
  <si>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</si>
  <si>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</si>
  <si>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</si>
  <si>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</si>
  <si>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</si>
  <si>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</si>
  <si>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</si>
  <si>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</si>
  <si>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</si>
  <si>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</si>
  <si>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</si>
  <si>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</si>
  <si>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</si>
  <si>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</si>
  <si>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</si>
  <si>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</si>
  <si>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</si>
  <si>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</si>
  <si>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</si>
  <si>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</si>
  <si>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</si>
  <si>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</si>
  <si>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</si>
  <si>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Mobilized by teenage activist Joshua Wong, young citizens of Hong Kong take to the streets in a bid to preserve their history of autonomy from China.</t>
  </si>
  <si>
    <t>s5473</t>
  </si>
  <si>
    <t>Raees</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</si>
  <si>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</si>
  <si>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</si>
  <si>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</si>
  <si>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</si>
  <si>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</si>
  <si>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</si>
  <si>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</si>
  <si>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</si>
  <si>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</si>
  <si>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</si>
  <si>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</si>
  <si>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</si>
  <si>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</si>
  <si>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</si>
  <si>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</si>
  <si>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</si>
  <si>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</si>
  <si>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</si>
  <si>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</si>
  <si>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</si>
  <si>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</si>
  <si>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</si>
  <si>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</si>
  <si>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</si>
  <si>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</si>
  <si>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</si>
  <si>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</si>
  <si>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</si>
  <si>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</si>
  <si>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</si>
  <si>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</si>
  <si>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</si>
  <si>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</si>
  <si>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</si>
  <si>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</si>
  <si>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</si>
  <si>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</si>
  <si>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</si>
  <si>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</si>
  <si>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</si>
  <si>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</si>
  <si>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</si>
  <si>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</si>
  <si>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</si>
  <si>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</si>
  <si>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</si>
  <si>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</si>
  <si>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</si>
  <si>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</si>
  <si>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</si>
  <si>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</si>
  <si>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</si>
  <si>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</si>
  <si>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</si>
  <si>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</si>
  <si>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</si>
  <si>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</si>
  <si>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</si>
  <si>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</si>
  <si>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</si>
  <si>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</si>
  <si>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</si>
  <si>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</si>
  <si>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</si>
  <si>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</si>
  <si>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</si>
  <si>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</si>
  <si>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</si>
  <si>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</si>
  <si>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</si>
  <si>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</si>
  <si>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</si>
  <si>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</si>
  <si>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</si>
  <si>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</si>
  <si>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</si>
  <si>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</si>
  <si>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</si>
  <si>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</si>
  <si>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</si>
  <si>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</si>
  <si>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</si>
  <si>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</si>
  <si>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</si>
  <si>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</si>
  <si>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</si>
  <si>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</si>
  <si>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</si>
  <si>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</si>
  <si>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</si>
  <si>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</si>
  <si>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</si>
  <si>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</si>
  <si>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</si>
  <si>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</si>
  <si>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</si>
  <si>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</si>
  <si>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Neil deGrasse Tyson, Bill Nye, Michio Kaku</t>
  </si>
  <si>
    <t>Self-professed teenage "space nerds" at Space Camp chase their dreams of traveling to Mars, while experts reflect on NASA's history and future.</t>
  </si>
  <si>
    <t>s5498</t>
  </si>
  <si>
    <t>Maria Bamford: Old Baby</t>
  </si>
  <si>
    <t>Maria Bamford</t>
  </si>
  <si>
    <t>Maria Bamford performs a rapid-fire, playful stand-up set for crowds at park benches, bowling alleys and LA theaters in this roving comedy special.</t>
  </si>
  <si>
    <t>s5499</t>
  </si>
  <si>
    <t>A Yellow Bird</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</si>
  <si>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</si>
  <si>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</si>
  <si>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</si>
  <si>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</si>
  <si>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</si>
  <si>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</si>
  <si>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</si>
  <si>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</si>
  <si>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</si>
  <si>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</si>
  <si>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</si>
  <si>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</si>
  <si>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</si>
  <si>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</si>
  <si>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</si>
  <si>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</si>
  <si>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</si>
  <si>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</si>
  <si>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</si>
  <si>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</si>
  <si>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</si>
  <si>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</si>
  <si>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</si>
  <si>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</si>
  <si>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</si>
  <si>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</si>
  <si>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</si>
  <si>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</si>
  <si>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Shiv Pandit, Dhruv Ganesh, Siddharth Menon, Rishabh Chaddha</t>
  </si>
  <si>
    <t>Lives are upended when a hiking trip leads a Wall Street hotshot to explore his true feelings for an old pal who’s disenchanted with his boyfriend.</t>
  </si>
  <si>
    <t>s5507</t>
  </si>
  <si>
    <t>Mostly Sunny</t>
  </si>
  <si>
    <t>Sunny Leone</t>
  </si>
  <si>
    <t>Explore the unconventional career of Sunny Leone, who transitioned from adult film star to Bollywood actress and reality TV star.</t>
  </si>
  <si>
    <t>s5508</t>
  </si>
  <si>
    <t>The Next Skin</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</si>
  <si>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</si>
  <si>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</si>
  <si>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</si>
  <si>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</si>
  <si>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</si>
  <si>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</si>
  <si>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</si>
  <si>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</si>
  <si>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</si>
  <si>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</si>
  <si>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</si>
  <si>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</si>
  <si>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</si>
  <si>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</si>
  <si>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</si>
  <si>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</si>
  <si>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</si>
  <si>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</si>
  <si>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</si>
  <si>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</si>
  <si>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</si>
  <si>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</si>
  <si>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</si>
  <si>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</si>
  <si>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</si>
  <si>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</si>
  <si>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</si>
  <si>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</si>
  <si>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</si>
  <si>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</si>
  <si>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</si>
  <si>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</si>
  <si>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</si>
  <si>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</si>
  <si>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</si>
  <si>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</si>
  <si>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</si>
  <si>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</si>
  <si>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</si>
  <si>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</si>
  <si>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</si>
  <si>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</si>
  <si>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</si>
  <si>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</si>
  <si>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</si>
  <si>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</si>
  <si>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</si>
  <si>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</si>
  <si>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</si>
  <si>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</si>
  <si>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</si>
  <si>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</si>
  <si>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</si>
  <si>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</si>
  <si>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</si>
  <si>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</si>
  <si>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</si>
  <si>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</si>
  <si>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</si>
  <si>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</si>
  <si>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</si>
  <si>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</si>
  <si>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Personal stories reveal how the intersection of sex, technology and intimate relationships is rewiring us in fundamental ways.</t>
  </si>
  <si>
    <t>s5523</t>
  </si>
  <si>
    <t>Sand Castle</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</si>
  <si>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</si>
  <si>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</si>
  <si>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</si>
  <si>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</si>
  <si>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</si>
  <si>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</si>
  <si>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</si>
  <si>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</si>
  <si>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</si>
  <si>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</si>
  <si>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</si>
  <si>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</si>
  <si>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</si>
  <si>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</si>
  <si>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</si>
  <si>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</si>
  <si>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</si>
  <si>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</si>
  <si>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</si>
  <si>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</si>
  <si>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</si>
  <si>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</si>
  <si>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</si>
  <si>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</si>
  <si>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</si>
  <si>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</si>
  <si>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</si>
  <si>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</si>
  <si>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</si>
  <si>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</si>
  <si>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</si>
  <si>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</si>
  <si>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</si>
  <si>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</si>
  <si>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</si>
  <si>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</si>
  <si>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</si>
  <si>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</si>
  <si>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</si>
  <si>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</si>
  <si>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</si>
  <si>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</si>
  <si>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</si>
  <si>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Eduardo Noriega, Michelle Jenner, Fele Martínez, Amaia Salamanca</t>
  </si>
  <si>
    <t>A love-challenged man and a woman he meets at a bookshop bar begin dating, but only at the shop – and without knowing anything about each other.</t>
  </si>
  <si>
    <t>s5534</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</si>
  <si>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</si>
  <si>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</si>
  <si>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</si>
  <si>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</si>
  <si>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</si>
  <si>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</si>
  <si>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</si>
  <si>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</si>
  <si>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</si>
  <si>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</si>
  <si>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</si>
  <si>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</si>
  <si>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</si>
  <si>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</si>
  <si>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</si>
  <si>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</si>
  <si>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</si>
  <si>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</si>
  <si>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</si>
  <si>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</si>
  <si>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</si>
  <si>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</si>
  <si>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</si>
  <si>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</si>
  <si>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</si>
  <si>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</si>
  <si>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</si>
  <si>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</si>
  <si>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</si>
  <si>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</si>
  <si>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</si>
  <si>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</si>
  <si>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</si>
  <si>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Jake Johnson, Aislinn Derbez, Joe Lo Truglio, Keegan-Michael Key, Nicky Excitement</t>
  </si>
  <si>
    <t>After losing $50,000 that wasn't his, gambling addict Eddie starts to rebuild his life. But an unwelcome surprise pushes him toward his old ways.</t>
  </si>
  <si>
    <t>s5542</t>
  </si>
  <si>
    <t>Louis C.K. 2017</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</si>
  <si>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</si>
  <si>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</si>
  <si>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</si>
  <si>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</si>
  <si>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</si>
  <si>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</si>
  <si>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</si>
  <si>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</si>
  <si>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</si>
  <si>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Zezé Polessa, Daniel Dantas, Paulo Vilhena, Fernanda Paes Leme, Juliana Mesquita</t>
  </si>
  <si>
    <t>A seasoned couples therapist comes to realize she might need help with her own marriage after meeting a new pair of young clients.</t>
  </si>
  <si>
    <t>s5545</t>
  </si>
  <si>
    <t>Deuces</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</si>
  <si>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</si>
  <si>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</si>
  <si>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</si>
  <si>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</si>
  <si>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Vinod Mehra, Rekha, Vinod Khanna, Helen, Madan Puri, Brahm Bhardwaj</t>
  </si>
  <si>
    <t>Journalist Naresh is hired to probe illegal activities on an island. When he's captured, a fellow prisoner gives him a ring with magic powers.</t>
  </si>
  <si>
    <t>s5547</t>
  </si>
  <si>
    <t>Five Nights in Maine</t>
  </si>
  <si>
    <t>David Oyelowo, Dianne Wiest, Rosie Perez, Teyonah Parris, Hani Furstenberg, Bill Raymond</t>
  </si>
  <si>
    <t>After his wife dies in a car accident, a grief-stricken man visits his estranged mother-in-law in Maine, where they try to help each other heal.</t>
  </si>
  <si>
    <t>s5548</t>
  </si>
  <si>
    <t>Killa</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</si>
  <si>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</si>
  <si>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</si>
  <si>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</si>
  <si>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</si>
  <si>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Computer users across the globe log onto the virtual world of Second Life. But some users' lives are dramatically consumed by this alternate reality.</t>
  </si>
  <si>
    <t>s5550</t>
  </si>
  <si>
    <t>Salaakhen</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</si>
  <si>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</si>
  <si>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</si>
  <si>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</si>
  <si>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</si>
  <si>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</si>
  <si>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</si>
  <si>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</si>
  <si>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</si>
  <si>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</si>
  <si>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</si>
  <si>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</si>
  <si>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</si>
  <si>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</si>
  <si>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</si>
  <si>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</si>
  <si>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</si>
  <si>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</si>
  <si>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</si>
  <si>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</si>
  <si>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</si>
  <si>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</si>
  <si>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</si>
  <si>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</si>
  <si>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</si>
  <si>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</si>
  <si>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</si>
  <si>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</si>
  <si>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</si>
  <si>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</si>
  <si>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</si>
  <si>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</si>
  <si>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</si>
  <si>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</si>
  <si>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</si>
  <si>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</si>
  <si>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</si>
  <si>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</si>
  <si>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</si>
  <si>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</si>
  <si>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</si>
  <si>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</si>
  <si>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</si>
  <si>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</si>
  <si>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</si>
  <si>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</si>
  <si>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</si>
  <si>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</si>
  <si>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</si>
  <si>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Morgan Freeman</t>
  </si>
  <si>
    <t>To solve the mystery of cancer, challenging the status quo is a must. Witness how lifestyle and societal changes may help beat the disease.</t>
  </si>
  <si>
    <t>s5562</t>
  </si>
  <si>
    <t>The Most Hated Woman in America</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</si>
  <si>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</si>
  <si>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</si>
  <si>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</si>
  <si>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</si>
  <si>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</si>
  <si>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</si>
  <si>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</si>
  <si>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</si>
  <si>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</si>
  <si>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</si>
  <si>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</si>
  <si>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</si>
  <si>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</si>
  <si>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</si>
  <si>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</si>
  <si>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</si>
  <si>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</si>
  <si>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</si>
  <si>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</si>
  <si>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</si>
  <si>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</si>
  <si>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</si>
  <si>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</si>
  <si>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</si>
  <si>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</si>
  <si>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</si>
  <si>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</si>
  <si>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</si>
  <si>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</si>
  <si>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</si>
  <si>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</si>
  <si>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</si>
  <si>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</si>
  <si>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</si>
  <si>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</si>
  <si>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</si>
  <si>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</si>
  <si>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</si>
  <si>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</si>
  <si>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</si>
  <si>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</si>
  <si>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</si>
  <si>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</si>
  <si>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</si>
  <si>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</si>
  <si>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</si>
  <si>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</si>
  <si>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</si>
  <si>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</si>
  <si>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</si>
  <si>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</si>
  <si>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</si>
  <si>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</si>
  <si>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</si>
  <si>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</si>
  <si>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</si>
  <si>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</si>
  <si>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</si>
  <si>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</si>
  <si>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</si>
  <si>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</si>
  <si>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</si>
  <si>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</si>
  <si>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</si>
  <si>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</si>
  <si>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</si>
  <si>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</si>
  <si>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</si>
  <si>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</si>
  <si>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</si>
  <si>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</si>
  <si>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</si>
  <si>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</si>
  <si>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</si>
  <si>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</si>
  <si>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</si>
  <si>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</si>
  <si>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</si>
  <si>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</si>
  <si>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</si>
  <si>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</si>
  <si>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</si>
  <si>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</si>
  <si>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</si>
  <si>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</si>
  <si>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</si>
  <si>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</si>
  <si>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</si>
  <si>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</si>
  <si>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</si>
  <si>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</si>
  <si>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</si>
  <si>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</si>
  <si>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</si>
  <si>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</si>
  <si>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</si>
  <si>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</si>
  <si>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</si>
  <si>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</si>
  <si>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</si>
  <si>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</si>
  <si>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</si>
  <si>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</si>
  <si>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</si>
  <si>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</si>
  <si>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</si>
  <si>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</si>
  <si>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</si>
  <si>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</si>
  <si>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</si>
  <si>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</si>
  <si>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</si>
  <si>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</si>
  <si>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</si>
  <si>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</si>
  <si>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</si>
  <si>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</si>
  <si>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</si>
  <si>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</si>
  <si>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</si>
  <si>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</si>
  <si>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</si>
  <si>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</si>
  <si>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</si>
  <si>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</si>
  <si>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</si>
  <si>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</si>
  <si>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</si>
  <si>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</si>
  <si>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</si>
  <si>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</si>
  <si>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</si>
  <si>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</si>
  <si>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</si>
  <si>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</si>
  <si>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</si>
  <si>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</si>
  <si>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</si>
  <si>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</si>
  <si>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</si>
  <si>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</si>
  <si>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</si>
  <si>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</si>
  <si>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</si>
  <si>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</si>
  <si>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</si>
  <si>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</si>
  <si>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</si>
  <si>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</si>
  <si>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</si>
  <si>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</si>
  <si>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</si>
  <si>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</si>
  <si>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</si>
  <si>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Daveed Diggs</t>
  </si>
  <si>
    <t>Five baby animals from different parts of the world grow up learning to survive in the wild, nurtured by the love and guidance of their families.</t>
  </si>
  <si>
    <t>s5598</t>
  </si>
  <si>
    <t>Tini: The New Life of Violetta</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</si>
  <si>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</si>
  <si>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</si>
  <si>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</si>
  <si>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</si>
  <si>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</si>
  <si>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</si>
  <si>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</si>
  <si>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</si>
  <si>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</si>
  <si>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</si>
  <si>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</si>
  <si>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</si>
  <si>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</si>
  <si>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</si>
  <si>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</si>
  <si>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</si>
  <si>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</si>
  <si>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</si>
  <si>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</si>
  <si>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</si>
  <si>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</si>
  <si>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</si>
  <si>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</si>
  <si>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</si>
  <si>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</si>
  <si>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</si>
  <si>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</si>
  <si>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</si>
  <si>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</si>
  <si>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</si>
  <si>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</si>
  <si>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</si>
  <si>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</si>
  <si>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</si>
  <si>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</si>
  <si>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</si>
  <si>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</si>
  <si>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</si>
  <si>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</si>
  <si>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</si>
  <si>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</si>
  <si>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</si>
  <si>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</si>
  <si>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</si>
  <si>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</si>
  <si>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</si>
  <si>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</si>
  <si>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</si>
  <si>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</si>
  <si>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</si>
  <si>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</si>
  <si>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</si>
  <si>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</si>
  <si>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</si>
  <si>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</si>
  <si>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</si>
  <si>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</si>
  <si>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</si>
  <si>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</si>
  <si>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</si>
  <si>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</si>
  <si>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</si>
  <si>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</si>
  <si>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</si>
  <si>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</si>
  <si>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West Germany</t>
  </si>
  <si>
    <t>This documentary examines how Adolf Hitler's talent for manipulation, psychology and image-making led him from humble origins to near-world conquest.</t>
  </si>
  <si>
    <t>s5614</t>
  </si>
  <si>
    <t>Michael Bolton's Big, Sexy Valentine's Day Special</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</si>
  <si>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</si>
  <si>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</si>
  <si>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</si>
  <si>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</si>
  <si>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</si>
  <si>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</si>
  <si>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</si>
  <si>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</si>
  <si>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</si>
  <si>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</si>
  <si>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</si>
  <si>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</si>
  <si>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</si>
  <si>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</si>
  <si>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</si>
  <si>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</si>
  <si>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</si>
  <si>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</si>
  <si>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</si>
  <si>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</si>
  <si>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</si>
  <si>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</si>
  <si>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</si>
  <si>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</si>
  <si>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</si>
  <si>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</si>
  <si>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</si>
  <si>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</si>
  <si>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</si>
  <si>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</si>
  <si>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</si>
  <si>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</si>
  <si>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</si>
  <si>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</si>
  <si>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</si>
  <si>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</si>
  <si>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</si>
  <si>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</si>
  <si>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</si>
  <si>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</si>
  <si>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</si>
  <si>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</si>
  <si>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</si>
  <si>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</si>
  <si>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</si>
  <si>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</si>
  <si>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</si>
  <si>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</si>
  <si>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</si>
  <si>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</si>
  <si>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</si>
  <si>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</si>
  <si>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</si>
  <si>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</si>
  <si>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</si>
  <si>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</si>
  <si>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</si>
  <si>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</si>
  <si>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</si>
  <si>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</si>
  <si>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</si>
  <si>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</si>
  <si>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</si>
  <si>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</si>
  <si>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</si>
  <si>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</si>
  <si>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</si>
  <si>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</si>
  <si>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January 23, 2017</t>
  </si>
  <si>
    <t>French comic Gad Elmaleh regales a Montreal crowd with tales of awkward mix-ups and baffling customs he's encountered since moving to the U.S.</t>
  </si>
  <si>
    <t>s5630</t>
  </si>
  <si>
    <t>Pink</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</si>
  <si>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</si>
  <si>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</si>
  <si>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</si>
  <si>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</si>
  <si>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</si>
  <si>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</si>
  <si>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</si>
  <si>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</si>
  <si>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</si>
  <si>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</si>
  <si>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</si>
  <si>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</si>
  <si>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</si>
  <si>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</si>
  <si>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</si>
  <si>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</si>
  <si>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</si>
  <si>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</si>
  <si>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</si>
  <si>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</si>
  <si>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</si>
  <si>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</si>
  <si>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</si>
  <si>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</si>
  <si>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</si>
  <si>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</si>
  <si>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</si>
  <si>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</si>
  <si>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</si>
  <si>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</si>
  <si>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</si>
  <si>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January 13, 2017</t>
  </si>
  <si>
    <t>The rise and smash success of Elite modeling agency founder John Casablancas is chronicled in this biography of the man who invented the supermodel.</t>
  </si>
  <si>
    <t>s5638</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</si>
  <si>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</si>
  <si>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</si>
  <si>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</si>
  <si>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</si>
  <si>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</si>
  <si>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</si>
  <si>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</si>
  <si>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</si>
  <si>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</si>
  <si>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</si>
  <si>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</si>
  <si>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</si>
  <si>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</si>
  <si>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</si>
  <si>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</si>
  <si>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</si>
  <si>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</si>
  <si>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</si>
  <si>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</si>
  <si>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</si>
  <si>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</si>
  <si>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</si>
  <si>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</si>
  <si>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</si>
  <si>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</si>
  <si>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</si>
  <si>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</si>
  <si>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</si>
  <si>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</si>
  <si>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</si>
  <si>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</si>
  <si>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</si>
  <si>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</si>
  <si>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</si>
  <si>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</si>
  <si>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</si>
  <si>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</si>
  <si>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</si>
  <si>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</si>
  <si>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</si>
  <si>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</si>
  <si>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</si>
  <si>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</si>
  <si>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</si>
  <si>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</si>
  <si>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</si>
  <si>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</si>
  <si>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</si>
  <si>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</si>
  <si>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</si>
  <si>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</si>
  <si>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</si>
  <si>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</si>
  <si>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</si>
  <si>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</si>
  <si>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</si>
  <si>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</si>
  <si>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</si>
  <si>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</si>
  <si>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</si>
  <si>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</si>
  <si>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</si>
  <si>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</si>
  <si>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</si>
  <si>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</si>
  <si>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</si>
  <si>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</si>
  <si>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</si>
  <si>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</si>
  <si>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</si>
  <si>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</si>
  <si>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</si>
  <si>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</si>
  <si>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</si>
  <si>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</si>
  <si>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</si>
  <si>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</si>
  <si>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</si>
  <si>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</si>
  <si>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</si>
  <si>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</si>
  <si>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</si>
  <si>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</si>
  <si>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</si>
  <si>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</si>
  <si>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</si>
  <si>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</si>
  <si>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</si>
  <si>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</si>
  <si>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</si>
  <si>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</si>
  <si>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</si>
  <si>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</si>
  <si>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</si>
  <si>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</si>
  <si>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</si>
  <si>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</si>
  <si>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</si>
  <si>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</si>
  <si>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</si>
  <si>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</si>
  <si>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</si>
  <si>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</si>
  <si>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</si>
  <si>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</si>
  <si>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</si>
  <si>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</si>
  <si>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</si>
  <si>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</si>
  <si>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</si>
  <si>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</si>
  <si>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</si>
  <si>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</si>
  <si>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</si>
  <si>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</si>
  <si>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</si>
  <si>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</si>
  <si>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</si>
  <si>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</si>
  <si>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</si>
  <si>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</si>
  <si>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</si>
  <si>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</si>
  <si>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</si>
  <si>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</si>
  <si>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</si>
  <si>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</si>
  <si>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</si>
  <si>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</si>
  <si>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</si>
  <si>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</si>
  <si>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</si>
  <si>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</si>
  <si>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</si>
  <si>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</si>
  <si>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</si>
  <si>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</si>
  <si>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</si>
  <si>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</si>
  <si>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</si>
  <si>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</si>
  <si>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</si>
  <si>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</si>
  <si>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</si>
  <si>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</si>
  <si>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</si>
  <si>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</si>
  <si>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</si>
  <si>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</si>
  <si>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</si>
  <si>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</si>
  <si>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</si>
  <si>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</si>
  <si>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</si>
  <si>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</si>
  <si>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</si>
  <si>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</si>
  <si>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</si>
  <si>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</si>
  <si>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</si>
  <si>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</si>
  <si>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</si>
  <si>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</si>
  <si>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</si>
  <si>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</si>
  <si>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</si>
  <si>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</si>
  <si>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</si>
  <si>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</si>
  <si>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</si>
  <si>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</si>
  <si>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</si>
  <si>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</si>
  <si>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</si>
  <si>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</si>
  <si>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</si>
  <si>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</si>
  <si>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</si>
  <si>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</si>
  <si>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</si>
  <si>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</si>
  <si>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</si>
  <si>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</si>
  <si>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</si>
  <si>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</si>
  <si>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</si>
  <si>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</si>
  <si>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</si>
  <si>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</si>
  <si>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</si>
  <si>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</si>
  <si>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</si>
  <si>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</si>
  <si>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</si>
  <si>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</si>
  <si>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</si>
  <si>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</si>
  <si>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</si>
  <si>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</si>
  <si>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</si>
  <si>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</si>
  <si>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</si>
  <si>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</si>
  <si>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</si>
  <si>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</si>
  <si>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</si>
  <si>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</si>
  <si>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</si>
  <si>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</si>
  <si>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</si>
  <si>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</si>
  <si>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</si>
  <si>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</si>
  <si>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</si>
  <si>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</si>
  <si>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</si>
  <si>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</si>
  <si>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</si>
  <si>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</si>
  <si>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</si>
  <si>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</si>
  <si>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</si>
  <si>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</si>
  <si>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</si>
  <si>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</si>
  <si>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</si>
  <si>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</si>
  <si>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</si>
  <si>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</si>
  <si>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Satnam Singh Bhamara, Mark Cuban, Adam Silver, Vivek Ranadivé</t>
  </si>
  <si>
    <t>Follow the journey of Satnam Singh Bhamara as he works to fulfill his dream of becoming the first India-born player to be drafted into the NBA.</t>
  </si>
  <si>
    <t>s5690</t>
  </si>
  <si>
    <t>Reggie Watts: Spatial</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</si>
  <si>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</si>
  <si>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</si>
  <si>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</si>
  <si>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</si>
  <si>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</si>
  <si>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</si>
  <si>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</si>
  <si>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</si>
  <si>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</si>
  <si>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</si>
  <si>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</si>
  <si>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</si>
  <si>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</si>
  <si>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</si>
  <si>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</si>
  <si>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</si>
  <si>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</si>
  <si>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</si>
  <si>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</si>
  <si>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</si>
  <si>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</si>
  <si>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</si>
  <si>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</si>
  <si>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</si>
  <si>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</si>
  <si>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</si>
  <si>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</si>
  <si>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</si>
  <si>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</si>
  <si>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</si>
  <si>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</si>
  <si>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</si>
  <si>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</si>
  <si>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</si>
  <si>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</si>
  <si>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</si>
  <si>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</si>
  <si>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</si>
  <si>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</si>
  <si>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</si>
  <si>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</si>
  <si>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</si>
  <si>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</si>
  <si>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</si>
  <si>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</si>
  <si>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</si>
  <si>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</si>
  <si>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</si>
  <si>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</si>
  <si>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</si>
  <si>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</si>
  <si>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</si>
  <si>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</si>
  <si>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</si>
  <si>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</si>
  <si>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</si>
  <si>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</si>
  <si>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</si>
  <si>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</si>
  <si>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</si>
  <si>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</si>
  <si>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</si>
  <si>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</si>
  <si>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</si>
  <si>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</si>
  <si>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Richard Pryor</t>
  </si>
  <si>
    <t>Richard Pryor's classic 1979 concert film has him discussing a wide range of topics, including race, the police and his favorite target – himself.</t>
  </si>
  <si>
    <t>s5706</t>
  </si>
  <si>
    <t>The Violin Player</t>
  </si>
  <si>
    <t>Ritwick Chakraborty, Adil Hussain, Nayani Dixit, Sonam Stobgais</t>
  </si>
  <si>
    <t>An unemployed Bollywood session violinist in Mumbai finally lands a small gig, but it's what happens on his way home that proves truly transformative.</t>
  </si>
  <si>
    <t>s5707</t>
  </si>
  <si>
    <t>Beauties of the Night</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</si>
  <si>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</si>
  <si>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</si>
  <si>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</si>
  <si>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</si>
  <si>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</si>
  <si>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</si>
  <si>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</si>
  <si>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</si>
  <si>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</si>
  <si>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</si>
  <si>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</si>
  <si>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</si>
  <si>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</si>
  <si>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</si>
  <si>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</si>
  <si>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</si>
  <si>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</si>
  <si>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</si>
  <si>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</si>
  <si>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</si>
  <si>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</si>
  <si>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</si>
  <si>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November 21, 2016</t>
  </si>
  <si>
    <t>Carlos Ballarta mocks daily life in Mexico, including public transit, the education system and the corn seller who betrays your confidence.</t>
  </si>
  <si>
    <t>s5713</t>
  </si>
  <si>
    <t>Donald Glover: Weirdo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</si>
  <si>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</si>
  <si>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</si>
  <si>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</si>
  <si>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</si>
  <si>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</si>
  <si>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</si>
  <si>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</si>
  <si>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</si>
  <si>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</si>
  <si>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</si>
  <si>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</si>
  <si>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</si>
  <si>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</si>
  <si>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</si>
  <si>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</si>
  <si>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</si>
  <si>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</si>
  <si>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</si>
  <si>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</si>
  <si>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</si>
  <si>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</si>
  <si>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</si>
  <si>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</si>
  <si>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Dieter Nuhr</t>
  </si>
  <si>
    <t>November 15, 2016</t>
  </si>
  <si>
    <t>The cerebral and popular German cabaret comic expounds his theories on gender norms, primal instincts and a decidedly gastrointestinal Big Bang.</t>
  </si>
  <si>
    <t>s5719</t>
  </si>
  <si>
    <t>Mumbai Cha Raja</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</si>
  <si>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</si>
  <si>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</si>
  <si>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</si>
  <si>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</si>
  <si>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</si>
  <si>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</si>
  <si>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</si>
  <si>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</si>
  <si>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</si>
  <si>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</si>
  <si>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</si>
  <si>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</si>
  <si>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</si>
  <si>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</si>
  <si>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</si>
  <si>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</si>
  <si>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</si>
  <si>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</si>
  <si>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</si>
  <si>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</si>
  <si>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</si>
  <si>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</si>
  <si>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</si>
  <si>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</si>
  <si>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</si>
  <si>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</si>
  <si>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</si>
  <si>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</si>
  <si>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</si>
  <si>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</si>
  <si>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</si>
  <si>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</si>
  <si>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Filmmakers infiltrate the corrupt global network of ivory trafficking, exposing poachers and dealers as African elephants edge closer to extinction.</t>
  </si>
  <si>
    <t>s5727</t>
  </si>
  <si>
    <t>A Grand Night In: The Story of Aardman</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</si>
  <si>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</si>
  <si>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</si>
  <si>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</si>
  <si>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</si>
  <si>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</si>
  <si>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</si>
  <si>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</si>
  <si>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</si>
  <si>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</si>
  <si>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</si>
  <si>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</si>
  <si>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</si>
  <si>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</si>
  <si>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</si>
  <si>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</si>
  <si>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</si>
  <si>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</si>
  <si>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</si>
  <si>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</si>
  <si>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</si>
  <si>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</si>
  <si>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</si>
  <si>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</si>
  <si>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</si>
  <si>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</si>
  <si>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</si>
  <si>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</si>
  <si>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</si>
  <si>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</si>
  <si>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</si>
  <si>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</si>
  <si>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</si>
  <si>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</si>
  <si>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</si>
  <si>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</si>
  <si>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</si>
  <si>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</si>
  <si>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</si>
  <si>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</si>
  <si>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</si>
  <si>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</si>
  <si>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</si>
  <si>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</si>
  <si>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</si>
  <si>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</si>
  <si>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</si>
  <si>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Ruth Wilson, Bob Balaban, Lucy Boynton, Paula Prentiss</t>
  </si>
  <si>
    <t>October 28, 2016</t>
  </si>
  <si>
    <t>A nervous nurse who scares easily finds herself caring for an ailing horror novelist while living in a house with hidden secrets.</t>
  </si>
  <si>
    <t>s5739</t>
  </si>
  <si>
    <t>Into the Inferno</t>
  </si>
  <si>
    <t>United Kingdom, Germany, Canada</t>
  </si>
  <si>
    <t>With stunning views of eruptions and lava flows, Werner Herzog captures the raw power of volcanoes and their ties to indigenous spiritual practices.</t>
  </si>
  <si>
    <t>s5740</t>
  </si>
  <si>
    <t>The African Doctor</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</si>
  <si>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</si>
  <si>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</si>
  <si>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</si>
  <si>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</si>
  <si>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</si>
  <si>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</si>
  <si>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</si>
  <si>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</si>
  <si>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</si>
  <si>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</si>
  <si>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</si>
  <si>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</si>
  <si>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</si>
  <si>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</si>
  <si>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</si>
  <si>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</si>
  <si>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</si>
  <si>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</si>
  <si>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</si>
  <si>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</si>
  <si>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</si>
  <si>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</si>
  <si>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</si>
  <si>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</si>
  <si>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</si>
  <si>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</si>
  <si>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</si>
  <si>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</si>
  <si>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</si>
  <si>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</si>
  <si>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</si>
  <si>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</si>
  <si>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</si>
  <si>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</si>
  <si>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</si>
  <si>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</si>
  <si>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</si>
  <si>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</si>
  <si>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</si>
  <si>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</si>
  <si>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</si>
  <si>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</si>
  <si>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</si>
  <si>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</si>
  <si>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</si>
  <si>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</si>
  <si>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</si>
  <si>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</si>
  <si>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</si>
  <si>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</si>
  <si>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</si>
  <si>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</si>
  <si>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</si>
  <si>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</si>
  <si>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</si>
  <si>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</si>
  <si>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</si>
  <si>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</si>
  <si>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</si>
  <si>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</si>
  <si>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</si>
  <si>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</si>
  <si>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</si>
  <si>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</si>
  <si>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</si>
  <si>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</si>
  <si>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</si>
  <si>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</si>
  <si>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</si>
  <si>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</si>
  <si>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</si>
  <si>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</si>
  <si>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</si>
  <si>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</si>
  <si>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</si>
  <si>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</si>
  <si>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</si>
  <si>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</si>
  <si>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</si>
  <si>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</si>
  <si>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</si>
  <si>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</si>
  <si>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</si>
  <si>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</si>
  <si>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</si>
  <si>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</si>
  <si>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</si>
  <si>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</si>
  <si>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</si>
  <si>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</si>
  <si>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</si>
  <si>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</si>
  <si>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</si>
  <si>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</si>
  <si>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</si>
  <si>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</si>
  <si>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</si>
  <si>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</si>
  <si>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</si>
  <si>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</si>
  <si>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</si>
  <si>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</si>
  <si>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</si>
  <si>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</si>
  <si>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</si>
  <si>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</si>
  <si>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</si>
  <si>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</si>
  <si>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</si>
  <si>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</si>
  <si>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</si>
  <si>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</si>
  <si>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</si>
  <si>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</si>
  <si>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</si>
  <si>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</si>
  <si>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</si>
  <si>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</si>
  <si>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</si>
  <si>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</si>
  <si>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</si>
  <si>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</si>
  <si>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</si>
  <si>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</si>
  <si>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</si>
  <si>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</si>
  <si>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</si>
  <si>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</si>
  <si>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</si>
  <si>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</si>
  <si>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</si>
  <si>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</si>
  <si>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</si>
  <si>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</si>
  <si>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</si>
  <si>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</si>
  <si>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</si>
  <si>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</si>
  <si>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</si>
  <si>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</si>
  <si>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</si>
  <si>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</si>
  <si>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</si>
  <si>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</si>
  <si>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</si>
  <si>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</si>
  <si>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</si>
  <si>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</si>
  <si>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</si>
  <si>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</si>
  <si>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</si>
  <si>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</si>
  <si>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</si>
  <si>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</si>
  <si>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</si>
  <si>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</si>
  <si>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</si>
  <si>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</si>
  <si>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</si>
  <si>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</si>
  <si>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</si>
  <si>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</si>
  <si>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</si>
  <si>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</si>
  <si>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</si>
  <si>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</si>
  <si>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Josh Brolin</t>
  </si>
  <si>
    <t>This adrenaline-rush documentary traces the rise of freestyle motocross, arguably the world's most extreme sport, and spotlights its pioneers.</t>
  </si>
  <si>
    <t>s5781</t>
  </si>
  <si>
    <t>Welcome Mr. President</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</si>
  <si>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</si>
  <si>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</si>
  <si>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</si>
  <si>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</si>
  <si>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</si>
  <si>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</si>
  <si>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</si>
  <si>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</si>
  <si>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</si>
  <si>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</si>
  <si>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</si>
  <si>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</si>
  <si>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</si>
  <si>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</si>
  <si>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</si>
  <si>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</si>
  <si>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</si>
  <si>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</si>
  <si>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</si>
  <si>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</si>
  <si>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</si>
  <si>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</si>
  <si>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</si>
  <si>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</si>
  <si>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</si>
  <si>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</si>
  <si>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</si>
  <si>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</si>
  <si>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</si>
  <si>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</si>
  <si>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</si>
  <si>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</si>
  <si>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</si>
  <si>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</si>
  <si>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</si>
  <si>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</si>
  <si>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</si>
  <si>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</si>
  <si>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</si>
  <si>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</si>
  <si>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</si>
  <si>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</si>
  <si>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</si>
  <si>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</si>
  <si>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</si>
  <si>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</si>
  <si>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</si>
  <si>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</si>
  <si>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</si>
  <si>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</si>
  <si>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</si>
  <si>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</si>
  <si>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</si>
  <si>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</si>
  <si>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</si>
  <si>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</si>
  <si>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</si>
  <si>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</si>
  <si>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</si>
  <si>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</si>
  <si>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</si>
  <si>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</si>
  <si>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</si>
  <si>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</si>
  <si>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</si>
  <si>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</si>
  <si>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</si>
  <si>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</si>
  <si>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</si>
  <si>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</si>
  <si>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</si>
  <si>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</si>
  <si>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</si>
  <si>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</si>
  <si>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</si>
  <si>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</si>
  <si>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</si>
  <si>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</si>
  <si>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</si>
  <si>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</si>
  <si>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</si>
  <si>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</si>
  <si>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</si>
  <si>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</si>
  <si>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</si>
  <si>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</si>
  <si>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</si>
  <si>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</si>
  <si>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</si>
  <si>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</si>
  <si>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</si>
  <si>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</si>
  <si>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</si>
  <si>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</si>
  <si>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</si>
  <si>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</si>
  <si>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</si>
  <si>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</si>
  <si>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</si>
  <si>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</si>
  <si>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</si>
  <si>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</si>
  <si>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</si>
  <si>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</si>
  <si>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</si>
  <si>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</si>
  <si>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</si>
  <si>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</si>
  <si>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</si>
  <si>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</si>
  <si>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</si>
  <si>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</si>
  <si>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</si>
  <si>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</si>
  <si>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</si>
  <si>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</si>
  <si>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</si>
  <si>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</si>
  <si>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</si>
  <si>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</si>
  <si>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</si>
  <si>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</si>
  <si>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</si>
  <si>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</si>
  <si>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</si>
  <si>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</si>
  <si>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</si>
  <si>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</si>
  <si>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</si>
  <si>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</si>
  <si>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</si>
  <si>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</si>
  <si>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</si>
  <si>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</si>
  <si>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</si>
  <si>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</si>
  <si>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</si>
  <si>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</si>
  <si>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</si>
  <si>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</si>
  <si>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</si>
  <si>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</si>
  <si>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</si>
  <si>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</si>
  <si>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</si>
  <si>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</si>
  <si>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</si>
  <si>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</si>
  <si>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</si>
  <si>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</si>
  <si>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</si>
  <si>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</si>
  <si>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</si>
  <si>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</si>
  <si>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</si>
  <si>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</si>
  <si>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</si>
  <si>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</si>
  <si>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</si>
  <si>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</si>
  <si>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</si>
  <si>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</si>
  <si>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</si>
  <si>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</si>
  <si>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</si>
  <si>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</si>
  <si>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</si>
  <si>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</si>
  <si>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</si>
  <si>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</si>
  <si>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</si>
  <si>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</si>
  <si>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</si>
  <si>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</si>
  <si>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</si>
  <si>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</si>
  <si>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</si>
  <si>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</si>
  <si>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</si>
  <si>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</si>
  <si>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</si>
  <si>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</si>
  <si>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</si>
  <si>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</si>
  <si>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</si>
  <si>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</si>
  <si>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</si>
  <si>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</si>
  <si>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</si>
  <si>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</si>
  <si>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</si>
  <si>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</si>
  <si>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</si>
  <si>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</si>
  <si>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</si>
  <si>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</si>
  <si>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</si>
  <si>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</si>
  <si>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</si>
  <si>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</si>
  <si>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</si>
  <si>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</si>
  <si>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</si>
  <si>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</si>
  <si>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</si>
  <si>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</si>
  <si>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</si>
  <si>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</si>
  <si>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</si>
  <si>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</si>
  <si>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</si>
  <si>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</si>
  <si>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</si>
  <si>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</si>
  <si>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</si>
  <si>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</si>
  <si>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</si>
  <si>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</si>
  <si>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</si>
  <si>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</si>
  <si>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</si>
  <si>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</si>
  <si>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</si>
  <si>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</si>
  <si>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</si>
  <si>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</si>
  <si>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</si>
  <si>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</si>
  <si>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</si>
  <si>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</si>
  <si>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</si>
  <si>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</si>
  <si>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</si>
  <si>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</si>
  <si>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</si>
  <si>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</si>
  <si>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</si>
  <si>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</si>
  <si>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</si>
  <si>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</si>
  <si>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</si>
  <si>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</si>
  <si>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</si>
  <si>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</si>
  <si>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</si>
  <si>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</si>
  <si>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</si>
  <si>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</si>
  <si>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</si>
  <si>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</si>
  <si>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</si>
  <si>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</si>
  <si>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</si>
  <si>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</si>
  <si>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</si>
  <si>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</si>
  <si>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</si>
  <si>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</si>
  <si>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</si>
  <si>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</si>
  <si>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</si>
  <si>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</si>
  <si>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</si>
  <si>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</si>
  <si>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</si>
  <si>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</si>
  <si>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</si>
  <si>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</si>
  <si>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</si>
  <si>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</si>
  <si>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</si>
  <si>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</si>
  <si>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</si>
  <si>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</si>
  <si>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</si>
  <si>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</si>
  <si>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</si>
  <si>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</si>
  <si>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</si>
  <si>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</si>
  <si>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</si>
  <si>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</si>
  <si>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</si>
  <si>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</si>
  <si>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</si>
  <si>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</si>
  <si>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</si>
  <si>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</si>
  <si>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</si>
  <si>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</si>
  <si>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</si>
  <si>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</si>
  <si>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</si>
  <si>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</si>
  <si>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</si>
  <si>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</si>
  <si>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</si>
  <si>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</si>
  <si>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</si>
  <si>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</si>
  <si>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</si>
  <si>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</si>
  <si>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</si>
  <si>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</si>
  <si>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</si>
  <si>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</si>
  <si>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</si>
  <si>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</si>
  <si>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</si>
  <si>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</si>
  <si>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</si>
  <si>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</si>
  <si>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</si>
  <si>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</si>
  <si>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</si>
  <si>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</si>
  <si>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</si>
  <si>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</si>
  <si>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</si>
  <si>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</si>
  <si>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</si>
  <si>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</si>
  <si>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</si>
  <si>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</si>
  <si>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</si>
  <si>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</si>
  <si>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</si>
  <si>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</si>
  <si>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</si>
  <si>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British comedian Jimmy Carr unleashes his deadpan delivery and wickedly funny one-liners to a sold-out audience at the UK's Hammersmith Apollo.</t>
  </si>
  <si>
    <t>s5861</t>
  </si>
  <si>
    <t>My Beautiful Broken Brain</t>
  </si>
  <si>
    <t>After suffering a stroke at age 34, a woman documents her struggles, setbacks and eventual breakthrough as she relearns to speak, read and write.</t>
  </si>
  <si>
    <t>s5862</t>
  </si>
  <si>
    <t>Pee-wee's Big Holiday</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</si>
  <si>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</si>
  <si>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</si>
  <si>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</si>
  <si>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</si>
  <si>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</si>
  <si>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</si>
  <si>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</si>
  <si>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</si>
  <si>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</si>
  <si>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</si>
  <si>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</si>
  <si>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</si>
  <si>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</si>
  <si>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</si>
  <si>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</si>
  <si>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</si>
  <si>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</si>
  <si>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</si>
  <si>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</si>
  <si>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</si>
  <si>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</si>
  <si>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</si>
  <si>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</si>
  <si>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</si>
  <si>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</si>
  <si>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</si>
  <si>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</si>
  <si>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</si>
  <si>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</si>
  <si>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</si>
  <si>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</si>
  <si>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</si>
  <si>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</si>
  <si>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</si>
  <si>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</si>
  <si>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</si>
  <si>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</si>
  <si>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</si>
  <si>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</si>
  <si>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</si>
  <si>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</si>
  <si>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</si>
  <si>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</si>
  <si>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</si>
  <si>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</si>
  <si>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</si>
  <si>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</si>
  <si>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</si>
  <si>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</si>
  <si>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</si>
  <si>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</si>
  <si>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</si>
  <si>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</si>
  <si>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</si>
  <si>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</si>
  <si>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</si>
  <si>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</si>
  <si>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</si>
  <si>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</si>
  <si>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</si>
  <si>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</si>
  <si>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</si>
  <si>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</si>
  <si>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</si>
  <si>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</si>
  <si>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</si>
  <si>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</si>
  <si>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</si>
  <si>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</si>
  <si>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</si>
  <si>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</si>
  <si>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</si>
  <si>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</si>
  <si>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</si>
  <si>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</si>
  <si>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</si>
  <si>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</si>
  <si>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</si>
  <si>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December 18, 2015</t>
  </si>
  <si>
    <t>Mike Epps tears up the stage at L.A.'s historic Orpheum Theatre in a special packed with blistering impressions and unapologetically raunchy swagger.</t>
  </si>
  <si>
    <t>s5880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</si>
  <si>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</si>
  <si>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</si>
  <si>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</si>
  <si>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</si>
  <si>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</si>
  <si>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</si>
  <si>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</si>
  <si>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</si>
  <si>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</si>
  <si>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</si>
  <si>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</si>
  <si>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</si>
  <si>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</si>
  <si>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</si>
  <si>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</si>
  <si>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</si>
  <si>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</si>
  <si>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</si>
  <si>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</si>
  <si>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</si>
  <si>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</si>
  <si>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</si>
  <si>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</si>
  <si>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</si>
  <si>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</si>
  <si>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</si>
  <si>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</si>
  <si>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</si>
  <si>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</si>
  <si>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</si>
  <si>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</si>
  <si>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</si>
  <si>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</si>
  <si>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</si>
  <si>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</si>
  <si>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</si>
  <si>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</si>
  <si>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</si>
  <si>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</si>
  <si>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</si>
  <si>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</si>
  <si>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</si>
  <si>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</si>
  <si>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</si>
  <si>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</si>
  <si>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</si>
  <si>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</si>
  <si>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</si>
  <si>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</si>
  <si>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</si>
  <si>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</si>
  <si>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</si>
  <si>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</si>
  <si>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</si>
  <si>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</si>
  <si>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October 16, 2015</t>
  </si>
  <si>
    <t>There's no subject too dark as the comedian skewers taboos and riffs on national tragedies before pulling back the curtain on his provocative style.</t>
  </si>
  <si>
    <t>s5892</t>
  </si>
  <si>
    <t>Beasts of No Nation</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</si>
  <si>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</si>
  <si>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</si>
  <si>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</si>
  <si>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</si>
  <si>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</si>
  <si>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</si>
  <si>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</si>
  <si>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</si>
  <si>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</si>
  <si>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</si>
  <si>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</si>
  <si>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</si>
  <si>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</si>
  <si>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</si>
  <si>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</si>
  <si>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</si>
  <si>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</si>
  <si>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</si>
  <si>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</si>
  <si>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</si>
  <si>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</si>
  <si>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</si>
  <si>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</si>
  <si>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</si>
  <si>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</si>
  <si>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</si>
  <si>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</si>
  <si>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</si>
  <si>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</si>
  <si>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</si>
  <si>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</si>
  <si>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</si>
  <si>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</si>
  <si>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</si>
  <si>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</si>
  <si>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</si>
  <si>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</si>
  <si>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</si>
  <si>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</si>
  <si>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</si>
  <si>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</si>
  <si>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</si>
  <si>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</si>
  <si>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</si>
  <si>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</si>
  <si>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</si>
  <si>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</si>
  <si>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</si>
  <si>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</si>
  <si>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</si>
  <si>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</si>
  <si>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</si>
  <si>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</si>
  <si>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</si>
  <si>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</si>
  <si>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</si>
  <si>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</si>
  <si>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</si>
  <si>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</si>
  <si>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</si>
  <si>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</si>
  <si>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</si>
  <si>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Chris Tucker</t>
  </si>
  <si>
    <t>July 10, 2015</t>
  </si>
  <si>
    <t>Filmed in his hometown of Atlanta, Chris Tucker showcases his stand-up comedic chops as he shares his experiences from childhood to the big time.</t>
  </si>
  <si>
    <t>s5906</t>
  </si>
  <si>
    <t>Ralphie May: Imperfectly Yours</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</si>
  <si>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</si>
  <si>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</si>
  <si>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</si>
  <si>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</si>
  <si>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</si>
  <si>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</si>
  <si>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</si>
  <si>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</si>
  <si>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</si>
  <si>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</si>
  <si>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</si>
  <si>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</si>
  <si>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</si>
  <si>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</si>
  <si>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</si>
  <si>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</si>
  <si>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</si>
  <si>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</si>
  <si>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</si>
  <si>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</si>
  <si>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</si>
  <si>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</si>
  <si>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</si>
  <si>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</si>
  <si>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</si>
  <si>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</si>
  <si>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</si>
  <si>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</si>
  <si>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</si>
  <si>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</si>
  <si>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</si>
  <si>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</si>
  <si>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</si>
  <si>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</si>
  <si>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</si>
  <si>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</si>
  <si>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</si>
  <si>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</si>
  <si>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</si>
  <si>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</si>
  <si>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</si>
  <si>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</si>
  <si>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</si>
  <si>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</si>
  <si>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</si>
  <si>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</si>
  <si>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</si>
  <si>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</si>
  <si>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</si>
  <si>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</si>
  <si>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</si>
  <si>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</si>
  <si>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</si>
  <si>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</si>
  <si>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</si>
  <si>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</si>
  <si>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</si>
  <si>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</si>
  <si>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</si>
  <si>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</si>
  <si>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</si>
  <si>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</si>
  <si>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</si>
  <si>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</si>
  <si>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</si>
  <si>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</si>
  <si>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</si>
  <si>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</si>
  <si>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</si>
  <si>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</si>
  <si>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</si>
  <si>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</si>
  <si>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</si>
  <si>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</si>
  <si>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</si>
  <si>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</si>
  <si>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</si>
  <si>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</si>
  <si>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</si>
  <si>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</si>
  <si>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</si>
  <si>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</si>
  <si>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</si>
  <si>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</si>
  <si>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</si>
  <si>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</si>
  <si>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</si>
  <si>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</si>
  <si>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</si>
  <si>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</si>
  <si>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October 24, 2014</t>
  </si>
  <si>
    <t>The courageous investigators of Human Rights Watch's Emergencies Team risk their lives to document unlawful attacks on civilians by brutal dictators.</t>
  </si>
  <si>
    <t>s5928</t>
  </si>
  <si>
    <t>Wyatt Cenac: Brooklyn</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</si>
  <si>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</si>
  <si>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</si>
  <si>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</si>
  <si>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</si>
  <si>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</si>
  <si>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</si>
  <si>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</si>
  <si>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</si>
  <si>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September 26, 2014</t>
  </si>
  <si>
    <t>This award-winning, original documentary chronicles the race for market leadership in 3D printing, the next wave of technological evolution.</t>
  </si>
  <si>
    <t>s5931</t>
  </si>
  <si>
    <t>Mission Blue</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</si>
  <si>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</si>
  <si>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</si>
  <si>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</si>
  <si>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</si>
  <si>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</si>
  <si>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</si>
  <si>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</si>
  <si>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</si>
  <si>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</si>
  <si>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</si>
  <si>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</si>
  <si>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</si>
  <si>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</si>
  <si>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</si>
  <si>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</si>
  <si>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</si>
  <si>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</si>
  <si>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</si>
  <si>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</si>
  <si>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</si>
  <si>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</si>
  <si>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Mitt Romney</t>
  </si>
  <si>
    <t>January 24, 2014</t>
  </si>
  <si>
    <t>The real Mitt Romney is revealed in this documentary that goes beyond the sound bites with unprecedented access to his 2012 presidential campaign.</t>
  </si>
  <si>
    <t>s5936</t>
  </si>
  <si>
    <t>The Square</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</si>
  <si>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</si>
  <si>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</si>
  <si>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</si>
  <si>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</si>
  <si>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</si>
  <si>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</si>
  <si>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</si>
  <si>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</si>
  <si>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</si>
  <si>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</si>
  <si>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</si>
  <si>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</si>
  <si>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</si>
  <si>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</si>
  <si>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</si>
  <si>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</si>
  <si>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</si>
  <si>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</si>
  <si>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</si>
  <si>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</si>
  <si>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</si>
  <si>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</si>
  <si>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</si>
  <si>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</si>
  <si>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</si>
  <si>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</si>
  <si>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</si>
  <si>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</si>
  <si>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</si>
  <si>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</si>
  <si>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Kevin Clash, Whoopi Goldberg</t>
  </si>
  <si>
    <t>February 21, 2012</t>
  </si>
  <si>
    <t>Whoopi Goldberg narrates Elmo creator Kevin Clash's remarkable journey from a working-class Baltimore neighborhood to Jim Henson's "Sesame Street."</t>
  </si>
  <si>
    <t>s5943</t>
  </si>
  <si>
    <t>A Stoning in Fulham County</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</si>
  <si>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</si>
  <si>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</si>
  <si>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</si>
  <si>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</si>
  <si>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</si>
  <si>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Daniel J. Travanti, JoBeth Williams, Richard Masur, Martha Scott, Paul Regina</t>
  </si>
  <si>
    <t>After their child was abducted and murdered, John and Reve Walsh fought to raise national awareness of the problem of missing children.</t>
  </si>
  <si>
    <t>s5945</t>
  </si>
  <si>
    <t>Hard Lessons</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</si>
  <si>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</si>
  <si>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</si>
  <si>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</si>
  <si>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</si>
  <si>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</si>
  <si>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</si>
  <si>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</si>
  <si>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</si>
  <si>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</si>
  <si>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</si>
  <si>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</si>
  <si>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</si>
  <si>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</si>
  <si>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</si>
  <si>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</si>
  <si>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</si>
  <si>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</si>
  <si>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</si>
  <si>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</si>
  <si>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</si>
  <si>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</si>
  <si>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</si>
  <si>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</si>
  <si>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</si>
  <si>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</si>
  <si>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</si>
  <si>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</si>
  <si>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</si>
  <si>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</si>
  <si>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Jill Clayburgh, Brad Davis, Sam Behrens</t>
  </si>
  <si>
    <t>Laurie and Joseph are doctors who interview sexually abused children. With a lot of energy they track down a pedophile who has abused many toddlers.</t>
  </si>
  <si>
    <t>s5953</t>
  </si>
  <si>
    <t>Victim of Beauty</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</si>
  <si>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</si>
  <si>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</si>
  <si>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</si>
  <si>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</si>
  <si>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</si>
  <si>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</si>
  <si>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</si>
  <si>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</si>
  <si>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</si>
  <si>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</si>
  <si>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</si>
  <si>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</si>
  <si>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</si>
  <si>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</si>
  <si>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</si>
  <si>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</si>
  <si>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</si>
  <si>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</si>
  <si>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</si>
  <si>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</si>
  <si>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</si>
  <si>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</si>
  <si>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</si>
  <si>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</si>
  <si>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</si>
  <si>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</si>
  <si>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</si>
  <si>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</si>
  <si>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</si>
  <si>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</si>
  <si>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</si>
  <si>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</si>
  <si>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</si>
  <si>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</si>
  <si>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</si>
  <si>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</si>
  <si>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</si>
  <si>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</si>
  <si>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</si>
  <si>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</si>
  <si>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</si>
  <si>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</si>
  <si>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</si>
  <si>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</si>
  <si>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</si>
  <si>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</si>
  <si>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</si>
  <si>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</si>
  <si>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</si>
  <si>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</si>
  <si>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</si>
  <si>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</si>
  <si>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</si>
  <si>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</si>
  <si>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</si>
  <si>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</si>
  <si>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</si>
  <si>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</si>
  <si>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</si>
  <si>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</si>
  <si>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</si>
  <si>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</si>
  <si>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</si>
  <si>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</si>
  <si>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</si>
  <si>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</si>
  <si>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</si>
  <si>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</si>
  <si>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</si>
  <si>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</si>
  <si>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June 30, 2016</t>
  </si>
  <si>
    <t>NR</t>
  </si>
  <si>
    <t>This real-life look at FBI counterterrorism operations features access to both sides of a sting: the government informant and the radicalized target.</t>
  </si>
  <si>
    <t>s5973</t>
  </si>
  <si>
    <t>#cats_the_mewvie</t>
  </si>
  <si>
    <t>This pawesome documentary explores how our feline friends became online icons, from the earliest text memes to the rise of celebrity cat influencers.</t>
  </si>
  <si>
    <t>s5974</t>
  </si>
  <si>
    <t>#Roxy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</si>
  <si>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</si>
  <si>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</si>
  <si>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</si>
  <si>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</si>
  <si>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</si>
  <si>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</si>
  <si>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</si>
  <si>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</si>
  <si>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</si>
  <si>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</si>
  <si>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</si>
  <si>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</si>
  <si>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</si>
  <si>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</si>
  <si>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</si>
  <si>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</si>
  <si>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</si>
  <si>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</si>
  <si>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</si>
  <si>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</si>
  <si>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</si>
  <si>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</si>
  <si>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</si>
  <si>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</si>
  <si>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</si>
  <si>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</si>
  <si>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</si>
  <si>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</si>
  <si>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</si>
  <si>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</si>
  <si>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</si>
  <si>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</si>
  <si>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</si>
  <si>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</si>
  <si>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</si>
  <si>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</si>
  <si>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</si>
  <si>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</si>
  <si>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</si>
  <si>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</si>
  <si>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</si>
  <si>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</si>
  <si>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</si>
  <si>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</si>
  <si>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</si>
  <si>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</si>
  <si>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</si>
  <si>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</si>
  <si>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</si>
  <si>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</si>
  <si>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</si>
  <si>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</si>
  <si>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</si>
  <si>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</si>
  <si>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</si>
  <si>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</si>
  <si>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</si>
  <si>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</si>
  <si>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</si>
  <si>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</si>
  <si>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</si>
  <si>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</si>
  <si>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</si>
  <si>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</si>
  <si>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</si>
  <si>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</si>
  <si>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</si>
  <si>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</si>
  <si>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</si>
  <si>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</si>
  <si>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</si>
  <si>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</si>
  <si>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</si>
  <si>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</si>
  <si>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</si>
  <si>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</si>
  <si>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</si>
  <si>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</si>
  <si>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</si>
  <si>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</si>
  <si>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</si>
  <si>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</si>
  <si>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</si>
  <si>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</si>
  <si>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</si>
  <si>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</si>
  <si>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</si>
  <si>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</si>
  <si>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</si>
  <si>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</si>
  <si>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</si>
  <si>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</si>
  <si>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</si>
  <si>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</si>
  <si>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</si>
  <si>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</si>
  <si>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</si>
  <si>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</si>
  <si>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</si>
  <si>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</si>
  <si>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</si>
  <si>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</si>
  <si>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</si>
  <si>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</si>
  <si>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</si>
  <si>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</si>
  <si>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</si>
  <si>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Annette Bening, Elle Fanning, Greta Gerwig, Lucas Jade Zumann, Billy Crudup</t>
  </si>
  <si>
    <t>In 1979, single bohemian mom Dorothea, hoping to help her teen son find his place as a man, asks two young women to share their lives with him.</t>
  </si>
  <si>
    <t>s6001</t>
  </si>
  <si>
    <t>21 &amp; Over</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</si>
  <si>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</si>
  <si>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</si>
  <si>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</si>
  <si>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</si>
  <si>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</si>
  <si>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</si>
  <si>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</si>
  <si>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</si>
  <si>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</si>
  <si>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</si>
  <si>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</si>
  <si>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</si>
  <si>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</si>
  <si>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</si>
  <si>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</si>
  <si>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</si>
  <si>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</si>
  <si>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</si>
  <si>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</si>
  <si>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</si>
  <si>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</si>
  <si>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</si>
  <si>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Janis Joplin, Jimi Hendrix, Amy Winehouse, Jim Morrison, Kurt Cobain</t>
  </si>
  <si>
    <t>Explore the circumstances surrounding the tragic deaths at 27 of Jimi Hendrix, Jim Morrison, Brian Jones, Janis Joplin, Kurt Cobain and Amy Winehouse.</t>
  </si>
  <si>
    <t>s6007</t>
  </si>
  <si>
    <t>28 Days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</si>
  <si>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</si>
  <si>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</si>
  <si>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</si>
  <si>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</si>
  <si>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</si>
  <si>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</si>
  <si>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</si>
  <si>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</si>
  <si>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</si>
  <si>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</si>
  <si>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</si>
  <si>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</si>
  <si>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</si>
  <si>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Reza Rahadian, Bunga Citra Lestari, Tara Basro, Chelsea Islan</t>
  </si>
  <si>
    <t>Three Indonesian women break records by becoming the first of their nation to medal in archery at the Seoul Olympics in the summer of 1988.</t>
  </si>
  <si>
    <t>s6011</t>
  </si>
  <si>
    <t>3 Seconds Divorce</t>
  </si>
  <si>
    <t>A Muslim women's activist group in India protests against oral divorces, starting a movement to reclaim their religious and constitutional rights.</t>
  </si>
  <si>
    <t>s6012</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</si>
  <si>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</si>
  <si>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</si>
  <si>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</si>
  <si>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</si>
  <si>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</si>
  <si>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</si>
  <si>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</si>
  <si>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</si>
  <si>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</si>
  <si>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</si>
  <si>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</si>
  <si>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</si>
  <si>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</si>
  <si>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</si>
  <si>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</si>
  <si>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Jake Bickelhaupt</t>
  </si>
  <si>
    <t>After launching a successful underground restaurant out of their apartment, an ambitious chef and his wife open an all-consuming upscale eatery.</t>
  </si>
  <si>
    <t>s6016</t>
  </si>
  <si>
    <t>4th Man Out</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</si>
  <si>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</si>
  <si>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</si>
  <si>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</si>
  <si>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</si>
  <si>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</si>
  <si>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</si>
  <si>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</si>
  <si>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</si>
  <si>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</si>
  <si>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</si>
  <si>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</si>
  <si>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</si>
  <si>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</si>
  <si>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</si>
  <si>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</si>
  <si>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</si>
  <si>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</si>
  <si>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</si>
  <si>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</si>
  <si>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</si>
  <si>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</si>
  <si>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</si>
  <si>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</si>
  <si>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</si>
  <si>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</si>
  <si>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</si>
  <si>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</si>
  <si>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</si>
  <si>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</si>
  <si>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</si>
  <si>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</si>
  <si>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</si>
  <si>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</si>
  <si>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</si>
  <si>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</si>
  <si>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</si>
  <si>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</si>
  <si>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</si>
  <si>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</si>
  <si>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</si>
  <si>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Rahman, Havish, Regina Cassandra, Nandita Swetha, Anisha Ambrose, Tridha Choudhury, Pujitha Ponnada, Aditi Arya</t>
  </si>
  <si>
    <t>s6026</t>
  </si>
  <si>
    <t>7 Din Mohabbat In</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</si>
  <si>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</si>
  <si>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</si>
  <si>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</si>
  <si>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</si>
  <si>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</si>
  <si>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</si>
  <si>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</si>
  <si>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</si>
  <si>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</si>
  <si>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</si>
  <si>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</si>
  <si>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</si>
  <si>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</si>
  <si>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</si>
  <si>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</si>
  <si>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</si>
  <si>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</si>
  <si>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</si>
  <si>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</si>
  <si>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</si>
  <si>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</si>
  <si>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</si>
  <si>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</si>
  <si>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</si>
  <si>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</si>
  <si>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</si>
  <si>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</si>
  <si>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</si>
  <si>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</si>
  <si>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</si>
  <si>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</si>
  <si>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</si>
  <si>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</si>
  <si>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Netherlands, Denmark, South Africa</t>
  </si>
  <si>
    <t>October 16, 2016</t>
  </si>
  <si>
    <t>The filmmaker hunts for the missing puzzle pieces of his family history during a visit with a complex and controversial figure: his grandmother.</t>
  </si>
  <si>
    <t>s6035</t>
  </si>
  <si>
    <t>A Family Man</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</si>
  <si>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</si>
  <si>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</si>
  <si>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</si>
  <si>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</si>
  <si>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</si>
  <si>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</si>
  <si>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</si>
  <si>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</si>
  <si>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</si>
  <si>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</si>
  <si>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</si>
  <si>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</si>
  <si>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</si>
  <si>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</si>
  <si>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</si>
  <si>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</si>
  <si>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</si>
  <si>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</si>
  <si>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</si>
  <si>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</si>
  <si>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</si>
  <si>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</si>
  <si>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</si>
  <si>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</si>
  <si>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</si>
  <si>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</si>
  <si>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</si>
  <si>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</si>
  <si>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</si>
  <si>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</si>
  <si>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</si>
  <si>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</si>
  <si>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</si>
  <si>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</si>
  <si>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</si>
  <si>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</si>
  <si>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</si>
  <si>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</si>
  <si>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</si>
  <si>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</si>
  <si>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</si>
  <si>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</si>
  <si>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</si>
  <si>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</si>
  <si>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</si>
  <si>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</si>
  <si>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</si>
  <si>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</si>
  <si>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</si>
  <si>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</si>
  <si>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</si>
  <si>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</si>
  <si>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</si>
  <si>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</si>
  <si>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</si>
  <si>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</si>
  <si>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</si>
  <si>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</si>
  <si>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</si>
  <si>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</si>
  <si>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</si>
  <si>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</si>
  <si>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</si>
  <si>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</si>
  <si>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</si>
  <si>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</si>
  <si>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</si>
  <si>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</si>
  <si>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</si>
  <si>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</si>
  <si>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</si>
  <si>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</si>
  <si>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</si>
  <si>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</si>
  <si>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</si>
  <si>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</si>
  <si>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</si>
  <si>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</si>
  <si>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</si>
  <si>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</si>
  <si>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</si>
  <si>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</si>
  <si>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</si>
  <si>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</si>
  <si>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</si>
  <si>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</si>
  <si>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</si>
  <si>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</si>
  <si>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</si>
  <si>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</si>
  <si>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</si>
  <si>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</si>
  <si>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</si>
  <si>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</si>
  <si>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</si>
  <si>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</si>
  <si>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</si>
  <si>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</si>
  <si>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</si>
  <si>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</si>
  <si>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</si>
  <si>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</si>
  <si>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</si>
  <si>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</si>
  <si>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</si>
  <si>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</si>
  <si>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</si>
  <si>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</si>
  <si>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</si>
  <si>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</si>
  <si>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</si>
  <si>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</si>
  <si>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</si>
  <si>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</si>
  <si>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</si>
  <si>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</si>
  <si>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</si>
  <si>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</si>
  <si>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</si>
  <si>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</si>
  <si>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</si>
  <si>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</si>
  <si>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</si>
  <si>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</si>
  <si>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</si>
  <si>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</si>
  <si>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</si>
  <si>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</si>
  <si>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</si>
  <si>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</si>
  <si>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</si>
  <si>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</si>
  <si>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</si>
  <si>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</si>
  <si>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</si>
  <si>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</si>
  <si>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</si>
  <si>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</si>
  <si>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</si>
  <si>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</si>
  <si>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</si>
  <si>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</si>
  <si>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</si>
  <si>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</si>
  <si>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</si>
  <si>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</si>
  <si>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</si>
  <si>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</si>
  <si>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</si>
  <si>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</si>
  <si>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</si>
  <si>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</si>
  <si>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</si>
  <si>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</si>
  <si>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</si>
  <si>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</si>
  <si>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</si>
  <si>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</si>
  <si>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</si>
  <si>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</si>
  <si>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</si>
  <si>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</si>
  <si>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</si>
  <si>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</si>
  <si>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</si>
  <si>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</si>
  <si>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</si>
  <si>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</si>
  <si>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</si>
  <si>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</si>
  <si>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</si>
  <si>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</si>
  <si>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</si>
  <si>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</si>
  <si>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</si>
  <si>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</si>
  <si>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</si>
  <si>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</si>
  <si>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</si>
  <si>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</si>
  <si>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</si>
  <si>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</si>
  <si>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</si>
  <si>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</si>
  <si>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</si>
  <si>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</si>
  <si>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</si>
  <si>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</si>
  <si>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</si>
  <si>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</si>
  <si>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</si>
  <si>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</si>
  <si>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</si>
  <si>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</si>
  <si>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</si>
  <si>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</si>
  <si>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</si>
  <si>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</si>
  <si>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</si>
  <si>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</si>
  <si>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</si>
  <si>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</si>
  <si>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</si>
  <si>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</si>
  <si>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</si>
  <si>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</si>
  <si>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</si>
  <si>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</si>
  <si>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</si>
  <si>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</si>
  <si>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</si>
  <si>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</si>
  <si>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</si>
  <si>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</si>
  <si>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</si>
  <si>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</si>
  <si>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</si>
  <si>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</si>
  <si>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</si>
  <si>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</si>
  <si>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</si>
  <si>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</si>
  <si>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</si>
  <si>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</si>
  <si>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</si>
  <si>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</si>
  <si>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</si>
  <si>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</si>
  <si>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</si>
  <si>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</si>
  <si>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</si>
  <si>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</si>
  <si>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</si>
  <si>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</si>
  <si>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</si>
  <si>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</si>
  <si>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</si>
  <si>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</si>
  <si>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</si>
  <si>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</si>
  <si>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</si>
  <si>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</si>
  <si>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</si>
  <si>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</si>
  <si>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</si>
  <si>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</si>
  <si>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</si>
  <si>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</si>
  <si>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</si>
  <si>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</si>
  <si>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</si>
  <si>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</si>
  <si>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</si>
  <si>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</si>
  <si>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</si>
  <si>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</si>
  <si>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This documentary explores the careers of some of porn's top stars and examines their adjustment to "normal" society after leaving adult entertainment.</t>
  </si>
  <si>
    <t>s6097</t>
  </si>
  <si>
    <t>After Porn Ends 3</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</si>
  <si>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</si>
  <si>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</si>
  <si>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</si>
  <si>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</si>
  <si>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</si>
  <si>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</si>
  <si>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</si>
  <si>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</si>
  <si>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</si>
  <si>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</si>
  <si>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</si>
  <si>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</si>
  <si>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</si>
  <si>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</si>
  <si>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</si>
  <si>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</si>
  <si>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</si>
  <si>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</si>
  <si>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</si>
  <si>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</si>
  <si>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</si>
  <si>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</si>
  <si>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</si>
  <si>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</si>
  <si>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</si>
  <si>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</si>
  <si>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</si>
  <si>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</si>
  <si>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</si>
  <si>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</si>
  <si>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</si>
  <si>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</si>
  <si>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</si>
  <si>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</si>
  <si>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</si>
  <si>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</si>
  <si>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</si>
  <si>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</si>
  <si>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</si>
  <si>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</si>
  <si>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</si>
  <si>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</si>
  <si>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</si>
  <si>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</si>
  <si>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</si>
  <si>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</si>
  <si>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</si>
  <si>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</si>
  <si>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</si>
  <si>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</si>
  <si>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</si>
  <si>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</si>
  <si>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</si>
  <si>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</si>
  <si>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</si>
  <si>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</si>
  <si>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</si>
  <si>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</si>
  <si>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</si>
  <si>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</si>
  <si>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</si>
  <si>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</si>
  <si>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</si>
  <si>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</si>
  <si>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</si>
  <si>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</si>
  <si>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</si>
  <si>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</si>
  <si>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</si>
  <si>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</si>
  <si>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Take an inside look at swing dancing's continued prosperity and the lively and joyous personalities that make the art form so unique.</t>
  </si>
  <si>
    <t>s6116</t>
  </si>
  <si>
    <t>All About Nina</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</si>
  <si>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</si>
  <si>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</si>
  <si>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</si>
  <si>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</si>
  <si>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</si>
  <si>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</si>
  <si>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</si>
  <si>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</si>
  <si>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</si>
  <si>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</si>
  <si>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Claire Forlani, Jake Abel, Titus Welliver, Melina Matthews</t>
  </si>
  <si>
    <t>When a mysterious figure blackmails an adulterous couple during a romantic getaway, their secret affair turns into a fight for survival.</t>
  </si>
  <si>
    <t>s6119</t>
  </si>
  <si>
    <t>All Hallows' Eve</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</si>
  <si>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</si>
  <si>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</si>
  <si>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</si>
  <si>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</si>
  <si>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</si>
  <si>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</si>
  <si>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</si>
  <si>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</si>
  <si>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</si>
  <si>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</si>
  <si>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</si>
  <si>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</si>
  <si>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</si>
  <si>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</si>
  <si>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</si>
  <si>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</si>
  <si>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</si>
  <si>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</si>
  <si>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</si>
  <si>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</si>
  <si>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</si>
  <si>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</si>
  <si>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</si>
  <si>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</si>
  <si>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</si>
  <si>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</si>
  <si>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</si>
  <si>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</si>
  <si>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</si>
  <si>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</si>
  <si>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</si>
  <si>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</si>
  <si>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</si>
  <si>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</si>
  <si>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</si>
  <si>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</si>
  <si>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</si>
  <si>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</si>
  <si>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Seemingly simple but deceptively complex, the game of "Go" serves as the backdrop for this battle between artificial intelligence and man.</t>
  </si>
  <si>
    <t>s6129</t>
  </si>
  <si>
    <t>Always a Bridesmaid</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</si>
  <si>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</si>
  <si>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</si>
  <si>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</si>
  <si>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</si>
  <si>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</si>
  <si>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</si>
  <si>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</si>
  <si>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</si>
  <si>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</si>
  <si>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</si>
  <si>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</si>
  <si>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</si>
  <si>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</si>
  <si>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</si>
  <si>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</si>
  <si>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</si>
  <si>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</si>
  <si>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</si>
  <si>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</si>
  <si>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</si>
  <si>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</si>
  <si>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</si>
  <si>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</si>
  <si>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</si>
  <si>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</si>
  <si>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</si>
  <si>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</si>
  <si>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</si>
  <si>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</si>
  <si>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</si>
  <si>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</si>
  <si>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</si>
  <si>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</si>
  <si>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</si>
  <si>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</si>
  <si>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</si>
  <si>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</si>
  <si>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</si>
  <si>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</si>
  <si>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Dave Hunt, Bo Gritz, Sara Weaver</t>
  </si>
  <si>
    <t>April 19, 2017</t>
  </si>
  <si>
    <t>A botched attempt to arrest a white supremacist in Idaho results in a gun battle, a standoff and three deaths that galvanize public opinion in 1992.</t>
  </si>
  <si>
    <t>s6140</t>
  </si>
  <si>
    <t>American Experience: The Circus</t>
  </si>
  <si>
    <t>An exploration of the American circus, as the spectacle evolved from a one-ring show to a cultural event and eventually, a dying breed.</t>
  </si>
  <si>
    <t>s6141</t>
  </si>
  <si>
    <t>American Experience: The Island Murder</t>
  </si>
  <si>
    <t>Blair Brown</t>
  </si>
  <si>
    <t>In 1931, a young Navy wife tore apart Hawaii on racial lines after claiming she was raped by a gang of nonwhite islanders.</t>
  </si>
  <si>
    <t>s6142</t>
  </si>
  <si>
    <t>American Hangman</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</si>
  <si>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</si>
  <si>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</si>
  <si>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</si>
  <si>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</si>
  <si>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</si>
  <si>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</si>
  <si>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</si>
  <si>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</si>
  <si>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</si>
  <si>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</si>
  <si>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</si>
  <si>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</si>
  <si>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</si>
  <si>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</si>
  <si>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</si>
  <si>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</si>
  <si>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</si>
  <si>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</si>
  <si>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</si>
  <si>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</si>
  <si>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</si>
  <si>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</si>
  <si>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</si>
  <si>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</si>
  <si>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</si>
  <si>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</si>
  <si>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</si>
  <si>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</si>
  <si>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</si>
  <si>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</si>
  <si>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</si>
  <si>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</si>
  <si>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</si>
  <si>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</si>
  <si>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</si>
  <si>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</si>
  <si>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Amy Winehouse, Lauren Gilbert</t>
  </si>
  <si>
    <t>July 26, 2018</t>
  </si>
  <si>
    <t>Rare home videos and interviews with Amy Winehouse's inner circle offer an intimate look at her journey from charismatic teen to troubled star.</t>
  </si>
  <si>
    <t>s6151</t>
  </si>
  <si>
    <t>An American in Madras</t>
  </si>
  <si>
    <t>Extensive film clips and interviews tell the story of American filmmaker Ellis R. Dungan, who spent 15 years in India and helped define Tamil cinema.</t>
  </si>
  <si>
    <t>s6152</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</si>
  <si>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</si>
  <si>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</si>
  <si>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</si>
  <si>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</si>
  <si>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</si>
  <si>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</si>
  <si>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</si>
  <si>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</si>
  <si>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</si>
  <si>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</si>
  <si>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</si>
  <si>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</si>
  <si>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</si>
  <si>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</si>
  <si>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</si>
  <si>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</si>
  <si>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</si>
  <si>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</si>
  <si>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</si>
  <si>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</si>
  <si>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</si>
  <si>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</si>
  <si>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</si>
  <si>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</si>
  <si>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</si>
  <si>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Brenton Thwaites, David Strathairn, Hill Harper, Charlbi Dean, Yael Grobglas</t>
  </si>
  <si>
    <t>After an assignment in a war zone, a journalist trying to put his life back together is granted an interview with someone claiming to be God.</t>
  </si>
  <si>
    <t>s6159</t>
  </si>
  <si>
    <t>An Upper Egyptian</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</si>
  <si>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</si>
  <si>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</si>
  <si>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</si>
  <si>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</si>
  <si>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</si>
  <si>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</si>
  <si>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</si>
  <si>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</si>
  <si>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</si>
  <si>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</si>
  <si>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</si>
  <si>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</si>
  <si>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</si>
  <si>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</si>
  <si>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</si>
  <si>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</si>
  <si>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</si>
  <si>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</si>
  <si>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</si>
  <si>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</si>
  <si>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</si>
  <si>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</si>
  <si>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</si>
  <si>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</si>
  <si>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</si>
  <si>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</si>
  <si>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</si>
  <si>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</si>
  <si>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</si>
  <si>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</si>
  <si>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</si>
  <si>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</si>
  <si>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</si>
  <si>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</si>
  <si>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</si>
  <si>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</si>
  <si>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</si>
  <si>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</si>
  <si>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</si>
  <si>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</si>
  <si>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</si>
  <si>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</si>
  <si>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</si>
  <si>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</si>
  <si>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</si>
  <si>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</si>
  <si>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</si>
  <si>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</si>
  <si>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</si>
  <si>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</si>
  <si>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</si>
  <si>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</si>
  <si>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</si>
  <si>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</si>
  <si>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</si>
  <si>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</si>
  <si>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</si>
  <si>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Mohamed Henedi, Bassem Samra, Dorra Zarrouk, Lotfy Labib</t>
  </si>
  <si>
    <t>Learning he is the grandson of a famous knight, a young man hilariously fights a rival gang to win over the most beautiful woman in the tribe.</t>
  </si>
  <si>
    <t>s6174</t>
  </si>
  <si>
    <t>Antariksha Ke Rakhwale</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</si>
  <si>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</si>
  <si>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</si>
  <si>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</si>
  <si>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</si>
  <si>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</si>
  <si>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</si>
  <si>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</si>
  <si>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</si>
  <si>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</si>
  <si>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</si>
  <si>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</si>
  <si>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</si>
  <si>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</si>
  <si>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</si>
  <si>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</si>
  <si>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</si>
  <si>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</si>
  <si>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</si>
  <si>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</si>
  <si>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</si>
  <si>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Recovered cockpit footage and telling interviews reveal the true stories of US fighter pilots in one of the largest combat strikes in history.</t>
  </si>
  <si>
    <t>s6180</t>
  </si>
  <si>
    <t>APEX: The Story of the Hypercar</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</si>
  <si>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</si>
  <si>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</si>
  <si>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</si>
  <si>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</si>
  <si>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</si>
  <si>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</si>
  <si>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</si>
  <si>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</si>
  <si>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</si>
  <si>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</si>
  <si>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</si>
  <si>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</si>
  <si>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</si>
  <si>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</si>
  <si>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</si>
  <si>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</si>
  <si>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</si>
  <si>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</si>
  <si>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Ahmed Eid, Ayten Amer, Ahmed Fouad Selim, Mohsen Mansour</t>
  </si>
  <si>
    <t>When authorities arrest his young son, a taxi driver must convince the courts and rabid media that he's not the criminal they seek.</t>
  </si>
  <si>
    <t>s6185</t>
  </si>
  <si>
    <t>Arisan 2</t>
  </si>
  <si>
    <t>Surya Saputra, Cut Mini Theo, Tora Sudiro</t>
  </si>
  <si>
    <t>A group of friends reunites for a vacation amid nature, where they laugh about their shared history and bond over difficult truths.</t>
  </si>
  <si>
    <t>s6186</t>
  </si>
  <si>
    <t>Arthur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</si>
  <si>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</si>
  <si>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</si>
  <si>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</si>
  <si>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</si>
  <si>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</si>
  <si>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</si>
  <si>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</si>
  <si>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</si>
  <si>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</si>
  <si>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</si>
  <si>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</si>
  <si>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</si>
  <si>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</si>
  <si>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</si>
  <si>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</si>
  <si>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</si>
  <si>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</si>
  <si>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</si>
  <si>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</si>
  <si>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</si>
  <si>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</si>
  <si>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</si>
  <si>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</si>
  <si>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</si>
  <si>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</si>
  <si>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</si>
  <si>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Parker Jackson Cartwright, Gabe York</t>
  </si>
  <si>
    <t>December 14, 2016</t>
  </si>
  <si>
    <t>This revealing documentary explores how the high-stakes world of Amateur Athletic Union basketball has professionalized youth sports in America.</t>
  </si>
  <si>
    <t>s6193</t>
  </si>
  <si>
    <t>At First Light</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</si>
  <si>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</si>
  <si>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</si>
  <si>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</si>
  <si>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</si>
  <si>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</si>
  <si>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</si>
  <si>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</si>
  <si>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</si>
  <si>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</si>
  <si>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</si>
  <si>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</si>
  <si>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</si>
  <si>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</si>
  <si>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</si>
  <si>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</si>
  <si>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Harold Evans</t>
  </si>
  <si>
    <t>Intrepid newspaper editor Harold Evans wages an ongoing battle to expose the truth about a dangerous drug and obtain compensation for its victims.</t>
  </si>
  <si>
    <t>s6197</t>
  </si>
  <si>
    <t>Attitude Test</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</si>
  <si>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</si>
  <si>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</si>
  <si>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</si>
  <si>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</si>
  <si>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</si>
  <si>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</si>
  <si>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</si>
  <si>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</si>
  <si>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</si>
  <si>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</si>
  <si>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</si>
  <si>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</si>
  <si>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</si>
  <si>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</si>
  <si>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</si>
  <si>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</si>
  <si>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</si>
  <si>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</si>
  <si>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</si>
  <si>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</si>
  <si>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</si>
  <si>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</si>
  <si>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</si>
  <si>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</si>
  <si>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</si>
  <si>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</si>
  <si>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</si>
  <si>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</si>
  <si>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</si>
  <si>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</si>
  <si>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</si>
  <si>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</si>
  <si>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</si>
  <si>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</si>
  <si>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</si>
  <si>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</si>
  <si>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</si>
  <si>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</si>
  <si>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</si>
  <si>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</si>
  <si>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</si>
  <si>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</si>
  <si>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</si>
  <si>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</si>
  <si>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</si>
  <si>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Through intimate interviews, this documentary explores the stigma facing independent women who seek housing in modern Mumbai.</t>
  </si>
  <si>
    <t>s6208</t>
  </si>
  <si>
    <t>Back and Forth</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</si>
  <si>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</si>
  <si>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</si>
  <si>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</si>
  <si>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</si>
  <si>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</si>
  <si>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</si>
  <si>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</si>
  <si>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</si>
  <si>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</si>
  <si>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</si>
  <si>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Black Deniro, Byron "Squally" Vinson, Dominic Costa, Nick Ferraro, Peter Ferriero, Jowharah Jones</t>
  </si>
  <si>
    <t>When two would-be robbers accidentally kill a made man, they find themselves on the run from the South Philly Italian mob.</t>
  </si>
  <si>
    <t>s6211</t>
  </si>
  <si>
    <t>Backtrack</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</si>
  <si>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</si>
  <si>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</si>
  <si>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</si>
  <si>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</si>
  <si>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</si>
  <si>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</si>
  <si>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</si>
  <si>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</si>
  <si>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</si>
  <si>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</si>
  <si>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</si>
  <si>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</si>
  <si>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</si>
  <si>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</si>
  <si>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</si>
  <si>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</si>
  <si>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</si>
  <si>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</si>
  <si>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</si>
  <si>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</si>
  <si>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</si>
  <si>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</si>
  <si>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</si>
  <si>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</si>
  <si>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</si>
  <si>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</si>
  <si>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</si>
  <si>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</si>
  <si>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</si>
  <si>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</si>
  <si>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</si>
  <si>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</si>
  <si>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</si>
  <si>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</si>
  <si>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</si>
  <si>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</si>
  <si>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</si>
  <si>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</si>
  <si>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</si>
  <si>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</si>
  <si>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</si>
  <si>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</si>
  <si>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</si>
  <si>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</si>
  <si>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</si>
  <si>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</si>
  <si>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</si>
  <si>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</si>
  <si>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</si>
  <si>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</si>
  <si>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</si>
  <si>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</si>
  <si>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</si>
  <si>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</si>
  <si>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</si>
  <si>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</si>
  <si>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</si>
  <si>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</si>
  <si>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</si>
  <si>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</si>
  <si>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</si>
  <si>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</si>
  <si>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</si>
  <si>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</si>
  <si>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</si>
  <si>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</si>
  <si>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</si>
  <si>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</si>
  <si>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</si>
  <si>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</si>
  <si>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</si>
  <si>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</si>
  <si>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</si>
  <si>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</si>
  <si>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</si>
  <si>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</si>
  <si>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</si>
  <si>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</si>
  <si>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</si>
  <si>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</si>
  <si>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</si>
  <si>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</si>
  <si>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</si>
  <si>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</si>
  <si>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</si>
  <si>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</si>
  <si>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</si>
  <si>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</si>
  <si>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</si>
  <si>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Johan Cruyff, Andrés Iniesta, Gary Lineker, Xavi Hernández, Lionel Messi, Pau Gasol</t>
  </si>
  <si>
    <t>Explore the history and philosophies behind one of the world's most beloved – and successful – soccer franchises: FC Barcelona.</t>
  </si>
  <si>
    <t>s6233</t>
  </si>
  <si>
    <t>Barah Aana</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</si>
  <si>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</si>
  <si>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</si>
  <si>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</si>
  <si>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</si>
  <si>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</si>
  <si>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</si>
  <si>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</si>
  <si>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</si>
  <si>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</si>
  <si>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</si>
  <si>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</si>
  <si>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</si>
  <si>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</si>
  <si>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</si>
  <si>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</si>
  <si>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</si>
  <si>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</si>
  <si>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</si>
  <si>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</si>
  <si>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</si>
  <si>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</si>
  <si>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</si>
  <si>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</si>
  <si>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</si>
  <si>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</si>
  <si>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</si>
  <si>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</si>
  <si>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</si>
  <si>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</si>
  <si>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</si>
  <si>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</si>
  <si>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</si>
  <si>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</si>
  <si>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</si>
  <si>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</si>
  <si>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</si>
  <si>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</si>
  <si>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</si>
  <si>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</si>
  <si>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</si>
  <si>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</si>
  <si>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</si>
  <si>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</si>
  <si>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</si>
  <si>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</si>
  <si>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</si>
  <si>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</si>
  <si>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</si>
  <si>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</si>
  <si>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</si>
  <si>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</si>
  <si>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</si>
  <si>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</si>
  <si>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</si>
  <si>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</si>
  <si>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</si>
  <si>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</si>
  <si>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</si>
  <si>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</si>
  <si>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</si>
  <si>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</si>
  <si>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</si>
  <si>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</si>
  <si>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</si>
  <si>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</si>
  <si>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</si>
  <si>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</si>
  <si>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</si>
  <si>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</si>
  <si>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</si>
  <si>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</si>
  <si>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</si>
  <si>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</si>
  <si>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</si>
  <si>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</si>
  <si>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</si>
  <si>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</si>
  <si>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</si>
  <si>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</si>
  <si>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</si>
  <si>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</si>
  <si>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</si>
  <si>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</si>
  <si>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</si>
  <si>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</si>
  <si>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</si>
  <si>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</si>
  <si>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</si>
  <si>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</si>
  <si>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</si>
  <si>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</si>
  <si>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</si>
  <si>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</si>
  <si>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</si>
  <si>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</si>
  <si>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</si>
  <si>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</si>
  <si>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</si>
  <si>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</si>
  <si>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Andy Whitfield</t>
  </si>
  <si>
    <t>Trace the brave journey of actor Andy Whitfield, who received a devastating cancer diagnosis while starring in the series "Spartacus: Blood and Sand."</t>
  </si>
  <si>
    <t>s6258</t>
  </si>
  <si>
    <t>Be Somebody</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</si>
  <si>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</si>
  <si>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</si>
  <si>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</si>
  <si>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</si>
  <si>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</si>
  <si>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</si>
  <si>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</si>
  <si>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</si>
  <si>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</si>
  <si>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Whoever came up with the term "bird brain" never met these feathered thinkers, who use their claws and beaks to solve puzzles, make tools and more.</t>
  </si>
  <si>
    <t>s6261</t>
  </si>
  <si>
    <t>Bean: The Ultimate Disaster Movie</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</si>
  <si>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</si>
  <si>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</si>
  <si>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</si>
  <si>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</si>
  <si>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</si>
  <si>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</si>
  <si>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</si>
  <si>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</si>
  <si>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</si>
  <si>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</si>
  <si>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</si>
  <si>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</si>
  <si>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</si>
  <si>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</si>
  <si>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</si>
  <si>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</si>
  <si>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</si>
  <si>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</si>
  <si>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</si>
  <si>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</si>
  <si>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</si>
  <si>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</si>
  <si>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</si>
  <si>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</si>
  <si>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</si>
  <si>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</si>
  <si>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</si>
  <si>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</si>
  <si>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</si>
  <si>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</si>
  <si>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</si>
  <si>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</si>
  <si>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</si>
  <si>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</si>
  <si>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</si>
  <si>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</si>
  <si>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</si>
  <si>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</si>
  <si>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</si>
  <si>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</si>
  <si>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</si>
  <si>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</si>
  <si>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</si>
  <si>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</si>
  <si>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</si>
  <si>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</si>
  <si>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</si>
  <si>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</si>
  <si>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</si>
  <si>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</si>
  <si>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Leonardo DiCaprio</t>
  </si>
  <si>
    <t>Leonardo DiCaprio crisscrosses the globe to investigate the consequences of man-made globe warming and the measures being taken to reverse it.</t>
  </si>
  <si>
    <t>s6274</t>
  </si>
  <si>
    <t>Behind "The Cove": The Quiet Japanese Speak Out</t>
  </si>
  <si>
    <t>After a documentary about the Japanese whaling industry garnered international attention, an amateur filmmaker decides to tell the rest of the story.</t>
  </si>
  <si>
    <t>s6275</t>
  </si>
  <si>
    <t>Behind the Curtain: Todrick Hall</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</si>
  <si>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</si>
  <si>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</si>
  <si>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</si>
  <si>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</si>
  <si>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</si>
  <si>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</si>
  <si>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</si>
  <si>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</si>
  <si>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</si>
  <si>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</si>
  <si>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</si>
  <si>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</si>
  <si>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</si>
  <si>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Sunny Leone, Rajneesh Duggal, Rajeev Verma, Daniel Weber, Yuvraj Siddharth Singh, Ziesha Nancy</t>
  </si>
  <si>
    <t>After having her heart broken by a man who seduced her at a party, a young, ambitious woman concocts a scheme to get revenge.</t>
  </si>
  <si>
    <t>s6279</t>
  </si>
  <si>
    <t>Being AP</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</si>
  <si>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</si>
  <si>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</si>
  <si>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</si>
  <si>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</si>
  <si>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</si>
  <si>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</si>
  <si>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</si>
  <si>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</si>
  <si>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</si>
  <si>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</si>
  <si>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</si>
  <si>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</si>
  <si>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</si>
  <si>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</si>
  <si>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</si>
  <si>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</si>
  <si>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</si>
  <si>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</si>
  <si>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</si>
  <si>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</si>
  <si>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</si>
  <si>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</si>
  <si>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</si>
  <si>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</si>
  <si>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</si>
  <si>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</si>
  <si>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</si>
  <si>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</si>
  <si>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</si>
  <si>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</si>
  <si>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</si>
  <si>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</si>
  <si>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</si>
  <si>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</si>
  <si>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</si>
  <si>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</si>
  <si>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</si>
  <si>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Sameh Hussain, Menna Arafa, Merna al-Mohandes</t>
  </si>
  <si>
    <t>A just-married couple moves into their new home, finding themselves at war with the kids next door, who seem determined to make their lives miserable.</t>
  </si>
  <si>
    <t>s6289</t>
  </si>
  <si>
    <t>Betting on Zero</t>
  </si>
  <si>
    <t>William Ackman</t>
  </si>
  <si>
    <t>This documentary dives into the complex world of Herbalife, the international nutritional products company accused of being a pyramid scheme.</t>
  </si>
  <si>
    <t>s6290</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</si>
  <si>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</si>
  <si>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</si>
  <si>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</si>
  <si>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</si>
  <si>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</si>
  <si>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</si>
  <si>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</si>
  <si>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</si>
  <si>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</si>
  <si>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</si>
  <si>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</si>
  <si>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</si>
  <si>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</si>
  <si>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Kunal Nayyar</t>
  </si>
  <si>
    <t>As the 2011 Cricket World Cup begins, three Indians demonstrate their passion and the sacrifices they've made for the country's most popular sport.</t>
  </si>
  <si>
    <t>s6294</t>
  </si>
  <si>
    <t>Beyond the Clouds</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</si>
  <si>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</si>
  <si>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</si>
  <si>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</si>
  <si>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</si>
  <si>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</si>
  <si>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</si>
  <si>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</si>
  <si>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</si>
  <si>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</si>
  <si>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</si>
  <si>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</si>
  <si>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</si>
  <si>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</si>
  <si>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</si>
  <si>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</si>
  <si>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</si>
  <si>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</si>
  <si>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</si>
  <si>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</si>
  <si>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</si>
  <si>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</si>
  <si>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</si>
  <si>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</si>
  <si>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</si>
  <si>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</si>
  <si>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</si>
  <si>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</si>
  <si>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</si>
  <si>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</si>
  <si>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</si>
  <si>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</si>
  <si>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</si>
  <si>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</si>
  <si>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</si>
  <si>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</si>
  <si>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</si>
  <si>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</si>
  <si>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</si>
  <si>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</si>
  <si>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</si>
  <si>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</si>
  <si>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</si>
  <si>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</si>
  <si>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</si>
  <si>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</si>
  <si>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</si>
  <si>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</si>
  <si>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</si>
  <si>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</si>
  <si>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</si>
  <si>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</si>
  <si>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</si>
  <si>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</si>
  <si>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</si>
  <si>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</si>
  <si>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</si>
  <si>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</si>
  <si>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</si>
  <si>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</si>
  <si>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</si>
  <si>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</si>
  <si>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</si>
  <si>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</si>
  <si>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</si>
  <si>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</si>
  <si>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</si>
  <si>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</si>
  <si>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</si>
  <si>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</si>
  <si>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</si>
  <si>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</si>
  <si>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</si>
  <si>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</si>
  <si>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</si>
  <si>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</si>
  <si>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</si>
  <si>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</si>
  <si>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</si>
  <si>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</si>
  <si>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</si>
  <si>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Joy Sengupta, Koneenica Banerjee, Kanchana Moitra, Pradip Mukherjee</t>
  </si>
  <si>
    <t>Torn between his demanding corporate career, his passion for music and his turbulent family life, a man struggles to keep his inner demons in check.</t>
  </si>
  <si>
    <t>s6315</t>
  </si>
  <si>
    <t>Bioscope</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</si>
  <si>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</si>
  <si>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</si>
  <si>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</si>
  <si>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</si>
  <si>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</si>
  <si>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</si>
  <si>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</si>
  <si>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</si>
  <si>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</si>
  <si>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</si>
  <si>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</si>
  <si>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</si>
  <si>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</si>
  <si>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</si>
  <si>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</si>
  <si>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</si>
  <si>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</si>
  <si>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</si>
  <si>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</si>
  <si>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</si>
  <si>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</si>
  <si>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</si>
  <si>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</si>
  <si>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</si>
  <si>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</si>
  <si>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</si>
  <si>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</si>
  <si>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</si>
  <si>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</si>
  <si>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</si>
  <si>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</si>
  <si>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</si>
  <si>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</si>
  <si>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</si>
  <si>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</si>
  <si>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</si>
  <si>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</si>
  <si>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</si>
  <si>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</si>
  <si>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</si>
  <si>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</si>
  <si>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</si>
  <si>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</si>
  <si>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</si>
  <si>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</si>
  <si>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</si>
  <si>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</si>
  <si>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</si>
  <si>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</si>
  <si>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</si>
  <si>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</si>
  <si>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</si>
  <si>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</si>
  <si>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</si>
  <si>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</si>
  <si>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</si>
  <si>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</si>
  <si>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</si>
  <si>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</si>
  <si>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</si>
  <si>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</si>
  <si>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</si>
  <si>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</si>
  <si>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This fascinating documentary examines the life of performing killer whale Tilikum, who has caused the deaths of several people while in captivity.</t>
  </si>
  <si>
    <t>s6331</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</si>
  <si>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</si>
  <si>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</si>
  <si>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</si>
  <si>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</si>
  <si>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</si>
  <si>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</si>
  <si>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</si>
  <si>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</si>
  <si>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</si>
  <si>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</si>
  <si>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</si>
  <si>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</si>
  <si>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</si>
  <si>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</si>
  <si>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</si>
  <si>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</si>
  <si>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</si>
  <si>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</si>
  <si>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</si>
  <si>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</si>
  <si>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</si>
  <si>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</si>
  <si>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</si>
  <si>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</si>
  <si>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</si>
  <si>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</si>
  <si>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</si>
  <si>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</si>
  <si>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</si>
  <si>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</si>
  <si>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</si>
  <si>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</si>
  <si>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</si>
  <si>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</si>
  <si>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</si>
  <si>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</si>
  <si>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</si>
  <si>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</si>
  <si>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</si>
  <si>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</si>
  <si>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</si>
  <si>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</si>
  <si>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</si>
  <si>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</si>
  <si>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</si>
  <si>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</si>
  <si>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</si>
  <si>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</si>
  <si>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</si>
  <si>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</si>
  <si>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</si>
  <si>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</si>
  <si>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</si>
  <si>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</si>
  <si>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</si>
  <si>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</si>
  <si>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</si>
  <si>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</si>
  <si>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</si>
  <si>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</si>
  <si>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</si>
  <si>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</si>
  <si>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</si>
  <si>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</si>
  <si>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</si>
  <si>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</si>
  <si>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</si>
  <si>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</si>
  <si>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</si>
  <si>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</si>
  <si>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</si>
  <si>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</si>
  <si>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</si>
  <si>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</si>
  <si>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</si>
  <si>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</si>
  <si>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</si>
  <si>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</si>
  <si>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</si>
  <si>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Bobbi Jene Smith</t>
  </si>
  <si>
    <t>Denmark, Sweden, Israel, United States</t>
  </si>
  <si>
    <t>This candid profile follows dancer Bobbi Jene Smith as she leaves the company of Israeli choreographer Ohad Naharin to forge her own artistic path.</t>
  </si>
  <si>
    <t>s6351</t>
  </si>
  <si>
    <t>Bobby</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</si>
  <si>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</si>
  <si>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</si>
  <si>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</si>
  <si>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</si>
  <si>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Bobby Robson</t>
  </si>
  <si>
    <t>Explore the life and times of legendary soccer manager Bobby Robson, whose keen mind for the game was matched only by his devotion to his teams.</t>
  </si>
  <si>
    <t>s6353</t>
  </si>
  <si>
    <t>Bobby Sands: 66 Days</t>
  </si>
  <si>
    <t>September 28, 2017</t>
  </si>
  <si>
    <t>In 1981, an imprisoned Irish Republican Army soldier went on a hunger strike that galvanized his movement and made him a controversial global icon.</t>
  </si>
  <si>
    <t>s6354</t>
  </si>
  <si>
    <t>Bokeh</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</si>
  <si>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</si>
  <si>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</si>
  <si>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</si>
  <si>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</si>
  <si>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</si>
  <si>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</si>
  <si>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</si>
  <si>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</si>
  <si>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</si>
  <si>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</si>
  <si>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</si>
  <si>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</si>
  <si>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</si>
  <si>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</si>
  <si>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</si>
  <si>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</si>
  <si>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</si>
  <si>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</si>
  <si>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</si>
  <si>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</si>
  <si>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</si>
  <si>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</si>
  <si>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</si>
  <si>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</si>
  <si>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</si>
  <si>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</si>
  <si>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</si>
  <si>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</si>
  <si>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</si>
  <si>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</si>
  <si>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</si>
  <si>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</si>
  <si>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</si>
  <si>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</si>
  <si>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</si>
  <si>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</si>
  <si>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</si>
  <si>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</si>
  <si>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</si>
  <si>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</si>
  <si>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</si>
  <si>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Eddie Hall, Hafþór Júlíus Björnsson, Brian Shaw, Zydrunas Savickas</t>
  </si>
  <si>
    <t>Four 400-pound giants fight for the crown at the Arnold Strongman Classic and offer a glimpse into their lives leading up to the competition.</t>
  </si>
  <si>
    <t>s6364</t>
  </si>
  <si>
    <t>Born to Be Free</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</si>
  <si>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</si>
  <si>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</si>
  <si>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</si>
  <si>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</si>
  <si>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</si>
  <si>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</si>
  <si>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</si>
  <si>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</si>
  <si>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</si>
  <si>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</si>
  <si>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</si>
  <si>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</si>
  <si>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Vinícius Garcia, Felipe Zilse, Alê Abreu, Lu Horta, Marco Aurélio Campos, Cassius Romero, Alfredo Rollo</t>
  </si>
  <si>
    <t>Young Cuca leaves his idyllic village on a grand adventure to find his father, who has traveled to the city seeking work.</t>
  </si>
  <si>
    <t>s6368</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</si>
  <si>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</si>
  <si>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</si>
  <si>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</si>
  <si>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</si>
  <si>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</si>
  <si>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</si>
  <si>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</si>
  <si>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</si>
  <si>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</si>
  <si>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</si>
  <si>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</si>
  <si>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</si>
  <si>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</si>
  <si>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</si>
  <si>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</si>
  <si>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</si>
  <si>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</si>
  <si>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</si>
  <si>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</si>
  <si>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</si>
  <si>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</si>
  <si>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</si>
  <si>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</si>
  <si>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</si>
  <si>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</si>
  <si>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</si>
  <si>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</si>
  <si>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</si>
  <si>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</si>
  <si>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</si>
  <si>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</si>
  <si>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</si>
  <si>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</si>
  <si>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</si>
  <si>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</si>
  <si>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</si>
  <si>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</si>
  <si>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</si>
  <si>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</si>
  <si>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</si>
  <si>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</si>
  <si>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</si>
  <si>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</si>
  <si>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</si>
  <si>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</si>
  <si>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</si>
  <si>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</si>
  <si>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</si>
  <si>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</si>
  <si>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</si>
  <si>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</si>
  <si>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</si>
  <si>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</si>
  <si>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</si>
  <si>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</si>
  <si>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</si>
  <si>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</si>
  <si>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</si>
  <si>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</si>
  <si>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</si>
  <si>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</si>
  <si>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</si>
  <si>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</si>
  <si>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</si>
  <si>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</si>
  <si>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</si>
  <si>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</si>
  <si>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</si>
  <si>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</si>
  <si>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</si>
  <si>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</si>
  <si>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</si>
  <si>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</si>
  <si>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</si>
  <si>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</si>
  <si>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</si>
  <si>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</si>
  <si>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</si>
  <si>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</si>
  <si>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</si>
  <si>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</si>
  <si>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</si>
  <si>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</si>
  <si>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</si>
  <si>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</si>
  <si>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</si>
  <si>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</si>
  <si>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</si>
  <si>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</si>
  <si>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</si>
  <si>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</si>
  <si>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</si>
  <si>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</si>
  <si>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</si>
  <si>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</si>
  <si>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</si>
  <si>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</si>
  <si>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</si>
  <si>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</si>
  <si>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</si>
  <si>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</si>
  <si>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</si>
  <si>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</si>
  <si>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</si>
  <si>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</si>
  <si>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</si>
  <si>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</si>
  <si>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</si>
  <si>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</si>
  <si>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</si>
  <si>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</si>
  <si>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</si>
  <si>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</si>
  <si>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</si>
  <si>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</si>
  <si>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</si>
  <si>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</si>
  <si>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</si>
  <si>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</si>
  <si>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</si>
  <si>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</si>
  <si>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</si>
  <si>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</si>
  <si>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</si>
  <si>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</si>
  <si>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</si>
  <si>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</si>
  <si>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</si>
  <si>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</si>
  <si>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</si>
  <si>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</si>
  <si>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</si>
  <si>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</si>
  <si>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</si>
  <si>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</si>
  <si>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</si>
  <si>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</si>
  <si>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</si>
  <si>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</si>
  <si>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</si>
  <si>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</si>
  <si>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</si>
  <si>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</si>
  <si>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</si>
  <si>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</si>
  <si>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</si>
  <si>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</si>
  <si>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</si>
  <si>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</si>
  <si>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</si>
  <si>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</si>
  <si>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</si>
  <si>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</si>
  <si>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</si>
  <si>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</si>
  <si>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</si>
  <si>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</si>
  <si>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</si>
  <si>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</si>
  <si>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</si>
  <si>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</si>
  <si>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</si>
  <si>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</si>
  <si>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</si>
  <si>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</si>
  <si>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</si>
  <si>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</si>
  <si>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</si>
  <si>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</si>
  <si>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</si>
  <si>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</si>
  <si>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</si>
  <si>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</si>
  <si>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</si>
  <si>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</si>
  <si>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</si>
  <si>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</si>
  <si>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</si>
  <si>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</si>
  <si>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</si>
  <si>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</si>
  <si>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</si>
  <si>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</si>
  <si>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</si>
  <si>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</si>
  <si>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</si>
  <si>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</si>
  <si>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</si>
  <si>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</si>
  <si>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</si>
  <si>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</si>
  <si>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</si>
  <si>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</si>
  <si>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</si>
  <si>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</si>
  <si>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</si>
  <si>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</si>
  <si>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</si>
  <si>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</si>
  <si>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</si>
  <si>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</si>
  <si>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</si>
  <si>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</si>
  <si>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</si>
  <si>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</si>
  <si>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</si>
  <si>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</si>
  <si>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</si>
  <si>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</si>
  <si>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</si>
  <si>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</si>
  <si>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</si>
  <si>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France, New Zealand</t>
  </si>
  <si>
    <t>Based on economist Thomas Piketty's best-selling book, this documentary examines wealth accumulation and its looming social repercussions.</t>
  </si>
  <si>
    <t>s6419</t>
  </si>
  <si>
    <t>Cappuccino</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</si>
  <si>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</si>
  <si>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</si>
  <si>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</si>
  <si>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</si>
  <si>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</si>
  <si>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</si>
  <si>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</si>
  <si>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</si>
  <si>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</si>
  <si>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</si>
  <si>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</si>
  <si>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</si>
  <si>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</si>
  <si>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</si>
  <si>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</si>
  <si>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</si>
  <si>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</si>
  <si>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</si>
  <si>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</si>
  <si>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</si>
  <si>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</si>
  <si>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</si>
  <si>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</si>
  <si>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</si>
  <si>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</si>
  <si>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</si>
  <si>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</si>
  <si>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</si>
  <si>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</si>
  <si>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</si>
  <si>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</si>
  <si>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</si>
  <si>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</si>
  <si>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</si>
  <si>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</si>
  <si>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</si>
  <si>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</si>
  <si>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</si>
  <si>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</si>
  <si>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</si>
  <si>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</si>
  <si>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</si>
  <si>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</si>
  <si>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</si>
  <si>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</si>
  <si>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</si>
  <si>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</si>
  <si>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</si>
  <si>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</si>
  <si>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</si>
  <si>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</si>
  <si>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</si>
  <si>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</si>
  <si>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</si>
  <si>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</si>
  <si>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</si>
  <si>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</si>
  <si>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</si>
  <si>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</si>
  <si>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</si>
  <si>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</si>
  <si>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</si>
  <si>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</si>
  <si>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</si>
  <si>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</si>
  <si>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</si>
  <si>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</si>
  <si>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</si>
  <si>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</si>
  <si>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</si>
  <si>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</si>
  <si>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Heidi Toini, Benjamin Helstad, Mads Sjogard Pettersen, Ingar Helge Gimle</t>
  </si>
  <si>
    <t>Torn between old camaraderie and recent tensions, three ex-soldiers reunite to explore a deadly cave but soon discover terror beyond all expectations.</t>
  </si>
  <si>
    <t>s6437</t>
  </si>
  <si>
    <t>Celluloid Man</t>
  </si>
  <si>
    <t>P.K. Nair</t>
  </si>
  <si>
    <t>This documentary chronicles the philosophy and life's work of archivist P.K. Nair, who made a mission of preserving Indian cinema’s rich history.</t>
  </si>
  <si>
    <t>s6438</t>
  </si>
  <si>
    <t>Center Stage</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</si>
  <si>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</si>
  <si>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</si>
  <si>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</si>
  <si>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</si>
  <si>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Om Puri</t>
  </si>
  <si>
    <t>With a horde of enemy invaders bearing down, four sons of an illustrious Sikh guru lead a tiny but valiant army into a desperate fight for freedom.</t>
  </si>
  <si>
    <t>s6440</t>
  </si>
  <si>
    <t>Chal Dhar Pakad</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</si>
  <si>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</si>
  <si>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</si>
  <si>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</si>
  <si>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</si>
  <si>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</si>
  <si>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</si>
  <si>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</si>
  <si>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</si>
  <si>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</si>
  <si>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</si>
  <si>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</si>
  <si>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</si>
  <si>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K.G. Chandani Renuka Ratnayake</t>
  </si>
  <si>
    <t>Germany, Sri Lanka</t>
  </si>
  <si>
    <t>A girl who wants to be an elephant driver like her father is given the chance to raise a calf and becomes even more determined when it's taken away.</t>
  </si>
  <si>
    <t>s6444</t>
  </si>
  <si>
    <t>Change in the Air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</si>
  <si>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</si>
  <si>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</si>
  <si>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</si>
  <si>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</si>
  <si>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Chicco Jerikho, Pevita Pearce</t>
  </si>
  <si>
    <t>Spanning the 1970s, ‘80s and ‘90s, this lyrical love story of two childhood neighbors plays out amidst a rapidly evolving Indonesia.</t>
  </si>
  <si>
    <t>s6446</t>
  </si>
  <si>
    <t>Chappaquiddick</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</si>
  <si>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</si>
  <si>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</si>
  <si>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</si>
  <si>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</si>
  <si>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</si>
  <si>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</si>
  <si>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</si>
  <si>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</si>
  <si>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</si>
  <si>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</si>
  <si>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</si>
  <si>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</si>
  <si>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</si>
  <si>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</si>
  <si>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</si>
  <si>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</si>
  <si>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</si>
  <si>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</si>
  <si>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</si>
  <si>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</si>
  <si>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</si>
  <si>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</si>
  <si>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</si>
  <si>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</si>
  <si>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</si>
  <si>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</si>
  <si>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</si>
  <si>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</si>
  <si>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</si>
  <si>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</si>
  <si>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</si>
  <si>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</si>
  <si>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</si>
  <si>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</si>
  <si>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</si>
  <si>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</si>
  <si>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</si>
  <si>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</si>
  <si>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</si>
  <si>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</si>
  <si>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</si>
  <si>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</si>
  <si>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</si>
  <si>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</si>
  <si>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</si>
  <si>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</si>
  <si>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</si>
  <si>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</si>
  <si>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</si>
  <si>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</si>
  <si>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</si>
  <si>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</si>
  <si>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</si>
  <si>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</si>
  <si>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</si>
  <si>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</si>
  <si>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</si>
  <si>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</si>
  <si>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</si>
  <si>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</si>
  <si>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</si>
  <si>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</si>
  <si>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</si>
  <si>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</si>
  <si>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</si>
  <si>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</si>
  <si>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</si>
  <si>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</si>
  <si>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</si>
  <si>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</si>
  <si>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</si>
  <si>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</si>
  <si>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Bheem and King Indraverma travel to Rome for a trading venture, but when the king of a neighboring land attacks, can Bheem’s wile and wit save the day?</t>
  </si>
  <si>
    <t>s6464</t>
  </si>
  <si>
    <t>Chhota Bheem Ka Troll Se Takkar</t>
  </si>
  <si>
    <t>Trolls kidnap the king's daughters and overtake the kingdom of Messina. Can Bheem track them down and bring the princesses home?</t>
  </si>
  <si>
    <t>s6465</t>
  </si>
  <si>
    <t>Chhota Bheem Kungfu Dhamaka</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</si>
  <si>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</si>
  <si>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</si>
  <si>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</si>
  <si>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</si>
  <si>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</si>
  <si>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</si>
  <si>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</si>
  <si>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</si>
  <si>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</si>
  <si>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</si>
  <si>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</si>
  <si>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</si>
  <si>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</si>
  <si>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</si>
  <si>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</si>
  <si>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</si>
  <si>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</si>
  <si>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</si>
  <si>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</si>
  <si>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</si>
  <si>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</si>
  <si>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</si>
  <si>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</si>
  <si>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</si>
  <si>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</si>
  <si>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</si>
  <si>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</si>
  <si>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</si>
  <si>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</si>
  <si>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Chingo Bling</t>
  </si>
  <si>
    <t>On point and larger than life, rapper and stand-up comic Chingo Bling gathers his funniest friends for a rambunctious take on Tex-Mex culture.</t>
  </si>
  <si>
    <t>s6473</t>
  </si>
  <si>
    <t>Chittagong</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</si>
  <si>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</si>
  <si>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</si>
  <si>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</si>
  <si>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</si>
  <si>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</si>
  <si>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</si>
  <si>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</si>
  <si>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</si>
  <si>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</si>
  <si>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</si>
  <si>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</si>
  <si>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</si>
  <si>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</si>
  <si>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</si>
  <si>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Chris Brown</t>
  </si>
  <si>
    <t>October 7, 2017</t>
  </si>
  <si>
    <t>Featuring interviews, concert footage and behind-the-scenes access, this documentary delivers fans an all-access look at the life of Chris Brown.</t>
  </si>
  <si>
    <t>s6477</t>
  </si>
  <si>
    <t>Christian Mingle</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</si>
  <si>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</si>
  <si>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</si>
  <si>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</si>
  <si>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</si>
  <si>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</si>
  <si>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</si>
  <si>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</si>
  <si>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</si>
  <si>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</si>
  <si>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</si>
  <si>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</si>
  <si>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</si>
  <si>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</si>
  <si>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</si>
  <si>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</si>
  <si>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</si>
  <si>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</si>
  <si>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</si>
  <si>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</si>
  <si>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</si>
  <si>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</si>
  <si>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</si>
  <si>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</si>
  <si>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</si>
  <si>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</si>
  <si>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</si>
  <si>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</si>
  <si>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</si>
  <si>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</si>
  <si>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</si>
  <si>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</si>
  <si>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</si>
  <si>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</si>
  <si>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</si>
  <si>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</si>
  <si>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</si>
  <si>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</si>
  <si>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</si>
  <si>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</si>
  <si>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</si>
  <si>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</si>
  <si>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</si>
  <si>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</si>
  <si>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</si>
  <si>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</si>
  <si>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</si>
  <si>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</si>
  <si>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</si>
  <si>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</si>
  <si>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</si>
  <si>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</si>
  <si>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</si>
  <si>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</si>
  <si>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</si>
  <si>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</si>
  <si>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</si>
  <si>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</si>
  <si>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</si>
  <si>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</si>
  <si>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</si>
  <si>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Clarence Clemons</t>
  </si>
  <si>
    <t>This intimate documentary follows the life of legendary saxophonist Clarence Clemons and his spiritual awakening before his death in 2011.</t>
  </si>
  <si>
    <t>s6493</t>
  </si>
  <si>
    <t>Clash of the Titans</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</si>
  <si>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</si>
  <si>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</si>
  <si>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</si>
  <si>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</si>
  <si>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</si>
  <si>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</si>
  <si>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</si>
  <si>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</si>
  <si>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</si>
  <si>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</si>
  <si>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</si>
  <si>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</si>
  <si>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</si>
  <si>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</si>
  <si>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</si>
  <si>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</si>
  <si>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</si>
  <si>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</si>
  <si>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</si>
  <si>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</si>
  <si>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</si>
  <si>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</si>
  <si>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</si>
  <si>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</si>
  <si>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</si>
  <si>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</si>
  <si>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</si>
  <si>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</si>
  <si>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</si>
  <si>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</si>
  <si>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</si>
  <si>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Clive Davis</t>
  </si>
  <si>
    <t>This music-driven documentary charts Clive Davis' 50-year career as one of the world's most influential record moguls.</t>
  </si>
  <si>
    <t>s6501</t>
  </si>
  <si>
    <t>Closed Circuit</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</si>
  <si>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</si>
  <si>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</si>
  <si>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</si>
  <si>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</si>
  <si>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</si>
  <si>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</si>
  <si>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</si>
  <si>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</si>
  <si>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</si>
  <si>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</si>
  <si>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</si>
  <si>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</si>
  <si>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</si>
  <si>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</si>
  <si>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</si>
  <si>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</si>
  <si>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</si>
  <si>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</si>
  <si>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</si>
  <si>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</si>
  <si>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</si>
  <si>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</si>
  <si>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</si>
  <si>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</si>
  <si>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</si>
  <si>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</si>
  <si>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</si>
  <si>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</si>
  <si>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</si>
  <si>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</si>
  <si>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</si>
  <si>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</si>
  <si>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</si>
  <si>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</si>
  <si>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</si>
  <si>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</si>
  <si>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</si>
  <si>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</si>
  <si>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</si>
  <si>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</si>
  <si>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</si>
  <si>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</si>
  <si>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</si>
  <si>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</si>
  <si>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</si>
  <si>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</si>
  <si>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</si>
  <si>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</si>
  <si>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</si>
  <si>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</si>
  <si>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</si>
  <si>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</si>
  <si>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</si>
  <si>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</si>
  <si>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</si>
  <si>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</si>
  <si>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</si>
  <si>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</si>
  <si>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</si>
  <si>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</si>
  <si>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</si>
  <si>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</si>
  <si>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</si>
  <si>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</si>
  <si>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</si>
  <si>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</si>
  <si>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</si>
  <si>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</si>
  <si>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</si>
  <si>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</si>
  <si>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</si>
  <si>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</si>
  <si>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</si>
  <si>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</si>
  <si>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</si>
  <si>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</si>
  <si>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</si>
  <si>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</si>
  <si>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</si>
  <si>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</si>
  <si>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</si>
  <si>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</si>
  <si>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</si>
  <si>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</si>
  <si>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</si>
  <si>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</si>
  <si>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</si>
  <si>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</si>
  <si>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</si>
  <si>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</si>
  <si>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</si>
  <si>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</si>
  <si>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</si>
  <si>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</si>
  <si>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</si>
  <si>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</si>
  <si>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</si>
  <si>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</si>
  <si>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</si>
  <si>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</si>
  <si>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</si>
  <si>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</si>
  <si>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</si>
  <si>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</si>
  <si>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</si>
  <si>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</si>
  <si>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</si>
  <si>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</si>
  <si>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</si>
  <si>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</si>
  <si>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</si>
  <si>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</si>
  <si>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</si>
  <si>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</si>
  <si>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</si>
  <si>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</si>
  <si>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</si>
  <si>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</si>
  <si>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</si>
  <si>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</si>
  <si>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</si>
  <si>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</si>
  <si>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</si>
  <si>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</si>
  <si>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</si>
  <si>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</si>
  <si>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</si>
  <si>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</si>
  <si>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</si>
  <si>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</si>
  <si>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</si>
  <si>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</si>
  <si>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</si>
  <si>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</si>
  <si>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</si>
  <si>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</si>
  <si>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</si>
  <si>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</si>
  <si>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</si>
  <si>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</si>
  <si>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</si>
  <si>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</si>
  <si>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</si>
  <si>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</si>
  <si>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Explore the stories of the citizens who seek to deter police brutality by observing and videotaping arrests made by the New York Police Department.</t>
  </si>
  <si>
    <t>s6537</t>
  </si>
  <si>
    <t>Coraline</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</si>
  <si>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</si>
  <si>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</si>
  <si>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</si>
  <si>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</si>
  <si>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</si>
  <si>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</si>
  <si>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</si>
  <si>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</si>
  <si>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</si>
  <si>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</si>
  <si>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</si>
  <si>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</si>
  <si>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</si>
  <si>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</si>
  <si>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</si>
  <si>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</si>
  <si>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</si>
  <si>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</si>
  <si>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</si>
  <si>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</si>
  <si>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</si>
  <si>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</si>
  <si>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</si>
  <si>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</si>
  <si>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</si>
  <si>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</si>
  <si>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</si>
  <si>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</si>
  <si>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</si>
  <si>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</si>
  <si>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</si>
  <si>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</si>
  <si>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</si>
  <si>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</si>
  <si>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</si>
  <si>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</si>
  <si>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</si>
  <si>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</si>
  <si>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</si>
  <si>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Noriko Shinohara, Ushio Shinohara</t>
  </si>
  <si>
    <t>June 14, 2018</t>
  </si>
  <si>
    <t>A 2014 Oscar nominee for Best Documentary Feature, this film explores the symbiotic relationship of artists Ushio and Noriko Shinohara.</t>
  </si>
  <si>
    <t>s6547</t>
  </si>
  <si>
    <t>Daagdi Chaawl</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</si>
  <si>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</si>
  <si>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</si>
  <si>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</si>
  <si>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</si>
  <si>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</si>
  <si>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</si>
  <si>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</si>
  <si>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</si>
  <si>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</si>
  <si>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</si>
  <si>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</si>
  <si>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</si>
  <si>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</si>
  <si>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</si>
  <si>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</si>
  <si>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</si>
  <si>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</si>
  <si>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</si>
  <si>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</si>
  <si>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</si>
  <si>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</si>
  <si>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</si>
  <si>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</si>
  <si>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</si>
  <si>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</si>
  <si>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</si>
  <si>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</si>
  <si>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</si>
  <si>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</si>
  <si>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</si>
  <si>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Tini Tom, Malavikka, Sudheer Karamana, Indrans</t>
  </si>
  <si>
    <t>A retired government worker continues to dedicate himself to public service, but his principled ways soon clash with those of his extravagant sons.</t>
  </si>
  <si>
    <t>s6555</t>
  </si>
  <si>
    <t>Dagh Ujala</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</si>
  <si>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</si>
  <si>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</si>
  <si>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</si>
  <si>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</si>
  <si>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</si>
  <si>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</si>
  <si>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</si>
  <si>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</si>
  <si>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</si>
  <si>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</si>
  <si>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</si>
  <si>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</si>
  <si>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</si>
  <si>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</si>
  <si>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</si>
  <si>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</si>
  <si>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</si>
  <si>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</si>
  <si>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</si>
  <si>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</si>
  <si>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</si>
  <si>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</si>
  <si>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</si>
  <si>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</si>
  <si>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</si>
  <si>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</si>
  <si>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</si>
  <si>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</si>
  <si>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</si>
  <si>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</si>
  <si>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</si>
  <si>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</si>
  <si>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</si>
  <si>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</si>
  <si>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</si>
  <si>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</si>
  <si>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</si>
  <si>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</si>
  <si>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</si>
  <si>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</si>
  <si>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</si>
  <si>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</si>
  <si>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</si>
  <si>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</si>
  <si>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</si>
  <si>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</si>
  <si>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</si>
  <si>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</si>
  <si>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</si>
  <si>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</si>
  <si>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</si>
  <si>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</si>
  <si>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</si>
  <si>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</si>
  <si>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</si>
  <si>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</si>
  <si>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</si>
  <si>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</si>
  <si>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</si>
  <si>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</si>
  <si>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</si>
  <si>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</si>
  <si>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</si>
  <si>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</si>
  <si>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</si>
  <si>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</si>
  <si>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</si>
  <si>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</si>
  <si>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</si>
  <si>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</si>
  <si>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</si>
  <si>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</si>
  <si>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</si>
  <si>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</si>
  <si>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</si>
  <si>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</si>
  <si>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</si>
  <si>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</si>
  <si>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</si>
  <si>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</si>
  <si>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</si>
  <si>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</si>
  <si>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</si>
  <si>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</si>
  <si>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</si>
  <si>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</si>
  <si>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</si>
  <si>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</si>
  <si>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</si>
  <si>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Iconoclastic film director Brian DePalma takes a look back at the production of such classic movies as "Carrie," "Scarface" and "The Untouchables."</t>
  </si>
  <si>
    <t>s6577</t>
  </si>
  <si>
    <t>Dead in a Week (Or Your Money Back)</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</si>
  <si>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</si>
  <si>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</si>
  <si>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</si>
  <si>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</si>
  <si>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</si>
  <si>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</si>
  <si>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</si>
  <si>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</si>
  <si>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</si>
  <si>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</si>
  <si>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</si>
  <si>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</si>
  <si>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</si>
  <si>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</si>
  <si>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</si>
  <si>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</si>
  <si>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</si>
  <si>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</si>
  <si>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</si>
  <si>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</si>
  <si>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</si>
  <si>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</si>
  <si>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</si>
  <si>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</si>
  <si>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</si>
  <si>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</si>
  <si>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</si>
  <si>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</si>
  <si>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</si>
  <si>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</si>
  <si>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</si>
  <si>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</si>
  <si>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</si>
  <si>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</si>
  <si>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</si>
  <si>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</si>
  <si>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</si>
  <si>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</si>
  <si>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</si>
  <si>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</si>
  <si>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</si>
  <si>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</si>
  <si>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</si>
  <si>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</si>
  <si>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</si>
  <si>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</si>
  <si>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</si>
  <si>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</si>
  <si>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</si>
  <si>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</si>
  <si>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</si>
  <si>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</si>
  <si>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</si>
  <si>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</si>
  <si>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</si>
  <si>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</si>
  <si>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Tom Hanks, Marina Goldman</t>
  </si>
  <si>
    <t>This film documents the story of minister Waitstill Sharp and his wife, Martha, who risked everything to save thousands of refugees fleeing the Nazis.</t>
  </si>
  <si>
    <t>s6591</t>
  </si>
  <si>
    <t>Delirium</t>
  </si>
  <si>
    <t>Topher Grace, Genesis Rodriguez, Patricia Clarkson, Callan Mulvey, Robin Thomas, Daisy McCrackin</t>
  </si>
  <si>
    <t>A man with a history of mental issues moves into his late parents' mansion and comes to suspect his new home may be haunted.</t>
  </si>
  <si>
    <t>s6592</t>
  </si>
  <si>
    <t>Democrats</t>
  </si>
  <si>
    <t>Denmark, Zimbabwe</t>
  </si>
  <si>
    <t>April 25, 2016</t>
  </si>
  <si>
    <t>After Zimbabwe's disputed 2008 election results, political enemies are asked to write a new constitution and save their country from a bleak future.</t>
  </si>
  <si>
    <t>s6593</t>
  </si>
  <si>
    <t>Den of Thieves</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</si>
  <si>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</si>
  <si>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</si>
  <si>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</si>
  <si>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</si>
  <si>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</si>
  <si>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</si>
  <si>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</si>
  <si>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</si>
  <si>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</si>
  <si>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</si>
  <si>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</si>
  <si>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</si>
  <si>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</si>
  <si>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Jaimi Paige, Alyshia Ochse, Toby Nichols, Claude Duhamel</t>
  </si>
  <si>
    <t>Along with her son and best friend, a grieving widow hikes into the woods to scatter her late husband's ashes, only to discover they're being stalked.</t>
  </si>
  <si>
    <t>s6597</t>
  </si>
  <si>
    <t>Detention Letter</t>
  </si>
  <si>
    <t>Mohamed Ramadan, Dina El-Sherbiny, Eyad Nassar, Sayed Rajab, Walid Fawaz, Eman El-Assy</t>
  </si>
  <si>
    <t>A man begins to regret his choices when his brother decides to join him as a member of the same terrorist organization.</t>
  </si>
  <si>
    <t>s6598</t>
  </si>
  <si>
    <t>Detour</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</si>
  <si>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</si>
  <si>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</si>
  <si>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</si>
  <si>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</si>
  <si>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</si>
  <si>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</si>
  <si>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</si>
  <si>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</si>
  <si>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</si>
  <si>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</si>
  <si>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</si>
  <si>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</si>
  <si>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</si>
  <si>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</si>
  <si>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</si>
  <si>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</si>
  <si>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</si>
  <si>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</si>
  <si>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</si>
  <si>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</si>
  <si>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</si>
  <si>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</si>
  <si>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</si>
  <si>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</si>
  <si>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</si>
  <si>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</si>
  <si>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</si>
  <si>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</si>
  <si>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</si>
  <si>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</si>
  <si>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</si>
  <si>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</si>
  <si>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</si>
  <si>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</si>
  <si>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</si>
  <si>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</si>
  <si>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</si>
  <si>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</si>
  <si>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</si>
  <si>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</si>
  <si>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</si>
  <si>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</si>
  <si>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</si>
  <si>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</si>
  <si>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</si>
  <si>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</si>
  <si>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</si>
  <si>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</si>
  <si>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</si>
  <si>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</si>
  <si>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</si>
  <si>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</si>
  <si>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</si>
  <si>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</si>
  <si>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</si>
  <si>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</si>
  <si>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</si>
  <si>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</si>
  <si>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</si>
  <si>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</si>
  <si>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</si>
  <si>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</si>
  <si>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</si>
  <si>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</si>
  <si>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</si>
  <si>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</si>
  <si>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</si>
  <si>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</si>
  <si>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</si>
  <si>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</si>
  <si>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</si>
  <si>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Hou Hsiao, Gordon Liu, Lily Li, Jason Pai Piao, Chia-Liang Liu</t>
  </si>
  <si>
    <t>Shaolin monk San Te returns to protect a fellow hero with a talent for finding trouble in this action-packed sequel to "The 36th Chamber of Shaolin."</t>
  </si>
  <si>
    <t>s6616</t>
  </si>
  <si>
    <t>Discovering Bigfoot</t>
  </si>
  <si>
    <t>Follow Todd Standing, Dr. Jeff Meldrum and other researchers into the wilderness, where they try to capture definitive proof of Sasquatch's existence.</t>
  </si>
  <si>
    <t>s6617</t>
  </si>
  <si>
    <t>Dismissed</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</si>
  <si>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</si>
  <si>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</si>
  <si>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</si>
  <si>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</si>
  <si>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</si>
  <si>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</si>
  <si>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</si>
  <si>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</si>
  <si>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</si>
  <si>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</si>
  <si>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</si>
  <si>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</si>
  <si>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</si>
  <si>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</si>
  <si>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</si>
  <si>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</si>
  <si>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</si>
  <si>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</si>
  <si>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</si>
  <si>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</si>
  <si>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</si>
  <si>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</si>
  <si>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</si>
  <si>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</si>
  <si>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</si>
  <si>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</si>
  <si>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</si>
  <si>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</si>
  <si>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</si>
  <si>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</si>
  <si>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</si>
  <si>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</si>
  <si>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</si>
  <si>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</si>
  <si>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</si>
  <si>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</si>
  <si>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</si>
  <si>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</si>
  <si>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</si>
  <si>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</si>
  <si>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</si>
  <si>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</si>
  <si>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</si>
  <si>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</si>
  <si>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</si>
  <si>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</si>
  <si>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</si>
  <si>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</si>
  <si>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</si>
  <si>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</si>
  <si>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</si>
  <si>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</si>
  <si>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</si>
  <si>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</si>
  <si>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</si>
  <si>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</si>
  <si>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</si>
  <si>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</si>
  <si>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</si>
  <si>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</si>
  <si>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</si>
  <si>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</si>
  <si>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</si>
  <si>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</si>
  <si>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</si>
  <si>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</si>
  <si>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</si>
  <si>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</si>
  <si>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</si>
  <si>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</si>
  <si>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</si>
  <si>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</si>
  <si>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</si>
  <si>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</si>
  <si>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</si>
  <si>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</si>
  <si>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</si>
  <si>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</si>
  <si>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</si>
  <si>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</si>
  <si>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</si>
  <si>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</si>
  <si>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</si>
  <si>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</si>
  <si>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</si>
  <si>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</si>
  <si>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</si>
  <si>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</si>
  <si>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</si>
  <si>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</si>
  <si>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</si>
  <si>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</si>
  <si>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</si>
  <si>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</si>
  <si>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The human-equine bond propels the unique and challenging sport of reined cow horse, in which dedicated trainers compete for the national championship.</t>
  </si>
  <si>
    <t>s6640</t>
  </si>
  <si>
    <t>Dr. Seuss' The Cat in the Hat</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</si>
  <si>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</si>
  <si>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</si>
  <si>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</si>
  <si>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</si>
  <si>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</si>
  <si>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</si>
  <si>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</si>
  <si>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</si>
  <si>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</si>
  <si>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</si>
  <si>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</si>
  <si>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</si>
  <si>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</si>
  <si>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</si>
  <si>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</si>
  <si>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</si>
  <si>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</si>
  <si>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</si>
  <si>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</si>
  <si>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</si>
  <si>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</si>
  <si>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</si>
  <si>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</si>
  <si>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</si>
  <si>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</si>
  <si>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</si>
  <si>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</si>
  <si>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</si>
  <si>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</si>
  <si>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</si>
  <si>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</si>
  <si>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</si>
  <si>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</si>
  <si>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</si>
  <si>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</si>
  <si>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</si>
  <si>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</si>
  <si>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</si>
  <si>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On a cruise for gay men, five passengers of different nationalities take a break from their families and cultures to party and reflect on life.</t>
  </si>
  <si>
    <t>s6650</t>
  </si>
  <si>
    <t>Dries</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</si>
  <si>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</si>
  <si>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</si>
  <si>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</si>
  <si>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</si>
  <si>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</si>
  <si>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</si>
  <si>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</si>
  <si>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</si>
  <si>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</si>
  <si>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</si>
  <si>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</si>
  <si>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</si>
  <si>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</si>
  <si>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</si>
  <si>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</si>
  <si>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</si>
  <si>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</si>
  <si>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</si>
  <si>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</si>
  <si>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</si>
  <si>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</si>
  <si>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</si>
  <si>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</si>
  <si>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</si>
  <si>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</si>
  <si>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</si>
  <si>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</si>
  <si>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</si>
  <si>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</si>
  <si>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</si>
  <si>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</si>
  <si>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Michael Mosley</t>
  </si>
  <si>
    <t>This documentary investigates the surge in vaping culture and whether e-cigarettes can really help smokers kick the habit.</t>
  </si>
  <si>
    <t>s6658</t>
  </si>
  <si>
    <t>Earth to Echo</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</si>
  <si>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</si>
  <si>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</si>
  <si>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</si>
  <si>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</si>
  <si>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</si>
  <si>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</si>
  <si>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</si>
  <si>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</si>
  <si>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</si>
  <si>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</si>
  <si>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</si>
  <si>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</si>
  <si>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</si>
  <si>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</si>
  <si>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</si>
  <si>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</si>
  <si>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</si>
  <si>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</si>
  <si>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</si>
  <si>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</si>
  <si>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</si>
  <si>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</si>
  <si>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</si>
  <si>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</si>
  <si>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</si>
  <si>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</si>
  <si>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</si>
  <si>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</si>
  <si>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</si>
  <si>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</si>
  <si>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</si>
  <si>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</si>
  <si>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Flashing the wild stand-up comedy that made him a household name, Eddie Murphy unleashes uncensored observations and parodies in this 1983 live show.</t>
  </si>
  <si>
    <t>s6667</t>
  </si>
  <si>
    <t>Eeda</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</si>
  <si>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</si>
  <si>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</si>
  <si>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</si>
  <si>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</si>
  <si>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</si>
  <si>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</si>
  <si>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</si>
  <si>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</si>
  <si>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</si>
  <si>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</si>
  <si>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</si>
  <si>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</si>
  <si>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</si>
  <si>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</si>
  <si>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</si>
  <si>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</si>
  <si>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</si>
  <si>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</si>
  <si>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</si>
  <si>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</si>
  <si>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</si>
  <si>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</si>
  <si>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</si>
  <si>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</si>
  <si>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</si>
  <si>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</si>
  <si>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</si>
  <si>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</si>
  <si>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</si>
  <si>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</si>
  <si>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</si>
  <si>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</si>
  <si>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</si>
  <si>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</si>
  <si>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</si>
  <si>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</si>
  <si>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</si>
  <si>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</si>
  <si>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</si>
  <si>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</si>
  <si>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</si>
  <si>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</si>
  <si>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</si>
  <si>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</si>
  <si>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</si>
  <si>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</si>
  <si>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</si>
  <si>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</si>
  <si>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</si>
  <si>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</si>
  <si>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</si>
  <si>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</si>
  <si>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</si>
  <si>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</si>
  <si>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</si>
  <si>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</si>
  <si>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</si>
  <si>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October 18, 2017</t>
  </si>
  <si>
    <t>Popular South American bands Márama and Rombai share footage of behind-the-scenes antics and discuss their sudden rise to stardom.</t>
  </si>
  <si>
    <t>s6681</t>
  </si>
  <si>
    <t>Elephants Dream 4 Hour</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</si>
  <si>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</si>
  <si>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</si>
  <si>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</si>
  <si>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</si>
  <si>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</si>
  <si>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</si>
  <si>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A blend of the royal family's intimate recollections and rarely seen home movies pays tribute to Queen Elizabeth II on the eve of her 90th birthday.</t>
  </si>
  <si>
    <t>s6683</t>
  </si>
  <si>
    <t>Elizabeth Harvest</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</si>
  <si>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</si>
  <si>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</si>
  <si>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</si>
  <si>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</si>
  <si>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Nathalie Baye</t>
  </si>
  <si>
    <t>Trace the overlapping journeys of exceptional women swept up in World War I and hear their tales of bravery on history's front lines.</t>
  </si>
  <si>
    <t>s6685</t>
  </si>
  <si>
    <t>Elles étaient en guerre 1939-1945</t>
  </si>
  <si>
    <t>Mothers, nurses, soldiers and deportees – these women fought against persecution for freedom and survival amid the turbulence of World War II.</t>
  </si>
  <si>
    <t>s6686</t>
  </si>
  <si>
    <t>Elles ont toutes une histoire</t>
  </si>
  <si>
    <t>From Asia, Africa and Latin America, five women share extraordinary stories of strength and determination in the face of violence and inequality.</t>
  </si>
  <si>
    <t>s6687</t>
  </si>
  <si>
    <t>Elstree 1976</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</si>
  <si>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</si>
  <si>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</si>
  <si>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</si>
  <si>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</si>
  <si>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</si>
  <si>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Sarah Bolger, Joshua Rush, Carly Adams, Thomas Bair, Susan Pourfar, Chris Beetem</t>
  </si>
  <si>
    <t>A suburban couple hires a new sitter to watch their three kids for the night, unaware that the young woman isn't who she claims to be.</t>
  </si>
  <si>
    <t>s6689</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</si>
  <si>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</si>
  <si>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</si>
  <si>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</si>
  <si>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</si>
  <si>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</si>
  <si>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</si>
  <si>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</si>
  <si>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</si>
  <si>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</si>
  <si>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</si>
  <si>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</si>
  <si>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</si>
  <si>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</si>
  <si>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</si>
  <si>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</si>
  <si>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</si>
  <si>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</si>
  <si>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</si>
  <si>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</si>
  <si>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</si>
  <si>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</si>
  <si>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</si>
  <si>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</si>
  <si>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</si>
  <si>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</si>
  <si>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</si>
  <si>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</si>
  <si>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</si>
  <si>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</si>
  <si>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</si>
  <si>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</si>
  <si>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</si>
  <si>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</si>
  <si>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</si>
  <si>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</si>
  <si>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</si>
  <si>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</si>
  <si>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</si>
  <si>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</si>
  <si>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</si>
  <si>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</si>
  <si>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</si>
  <si>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</si>
  <si>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</si>
  <si>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</si>
  <si>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James Arthur Ray</t>
  </si>
  <si>
    <t>January 18, 2017</t>
  </si>
  <si>
    <t>This documentary digs deep to recount the saga of the superstar self-help guru convicted of negligent homicide in the deaths of three followers.</t>
  </si>
  <si>
    <t>s6701</t>
  </si>
  <si>
    <t>Entanglement</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</si>
  <si>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</si>
  <si>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</si>
  <si>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</si>
  <si>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</si>
  <si>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</si>
  <si>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</si>
  <si>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</si>
  <si>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</si>
  <si>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</si>
  <si>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</si>
  <si>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</si>
  <si>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</si>
  <si>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</si>
  <si>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</si>
  <si>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</si>
  <si>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</si>
  <si>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</si>
  <si>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</si>
  <si>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</si>
  <si>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</si>
  <si>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</si>
  <si>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</si>
  <si>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</si>
  <si>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</si>
  <si>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</si>
  <si>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</si>
  <si>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</si>
  <si>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</si>
  <si>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</si>
  <si>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</si>
  <si>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</si>
  <si>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</si>
  <si>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</si>
  <si>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</si>
  <si>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</si>
  <si>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</si>
  <si>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</si>
  <si>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</si>
  <si>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</si>
  <si>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</si>
  <si>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</si>
  <si>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</si>
  <si>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</si>
  <si>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</si>
  <si>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</si>
  <si>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</si>
  <si>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</si>
  <si>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</si>
  <si>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</si>
  <si>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</si>
  <si>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</si>
  <si>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</si>
  <si>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</si>
  <si>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</si>
  <si>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</si>
  <si>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</si>
  <si>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</si>
  <si>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</si>
  <si>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</si>
  <si>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</si>
  <si>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</si>
  <si>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</si>
  <si>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</si>
  <si>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</si>
  <si>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</si>
  <si>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</si>
  <si>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</si>
  <si>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</si>
  <si>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</si>
  <si>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</si>
  <si>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</si>
  <si>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</si>
  <si>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</si>
  <si>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</si>
  <si>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</si>
  <si>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</si>
  <si>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</si>
  <si>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</si>
  <si>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</si>
  <si>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</si>
  <si>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</si>
  <si>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</si>
  <si>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</si>
  <si>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</si>
  <si>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</si>
  <si>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</si>
  <si>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</si>
  <si>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</si>
  <si>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</si>
  <si>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</si>
  <si>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</si>
  <si>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</si>
  <si>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</si>
  <si>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</si>
  <si>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</si>
  <si>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</si>
  <si>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</si>
  <si>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</si>
  <si>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</si>
  <si>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</si>
  <si>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</si>
  <si>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</si>
  <si>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</si>
  <si>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</si>
  <si>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</si>
  <si>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</si>
  <si>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</si>
  <si>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</si>
  <si>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</si>
  <si>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</si>
  <si>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</si>
  <si>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</si>
  <si>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</si>
  <si>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</si>
  <si>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</si>
  <si>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</si>
  <si>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</si>
  <si>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</si>
  <si>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</si>
  <si>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</si>
  <si>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</si>
  <si>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</si>
  <si>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</si>
  <si>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</si>
  <si>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</si>
  <si>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</si>
  <si>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</si>
  <si>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</si>
  <si>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</si>
  <si>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</si>
  <si>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</si>
  <si>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</si>
  <si>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</si>
  <si>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</si>
  <si>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</si>
  <si>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</si>
  <si>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</si>
  <si>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</si>
  <si>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</si>
  <si>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</si>
  <si>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</si>
  <si>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</si>
  <si>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</si>
  <si>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</si>
  <si>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</si>
  <si>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</si>
  <si>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</si>
  <si>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</si>
  <si>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</si>
  <si>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</si>
  <si>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</si>
  <si>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</si>
  <si>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</si>
  <si>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</si>
  <si>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</si>
  <si>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</si>
  <si>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</si>
  <si>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</si>
  <si>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</si>
  <si>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</si>
  <si>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</si>
  <si>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</si>
  <si>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</si>
  <si>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</si>
  <si>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</si>
  <si>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</si>
  <si>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</si>
  <si>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</si>
  <si>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</si>
  <si>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</si>
  <si>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</si>
  <si>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</si>
  <si>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</si>
  <si>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</si>
  <si>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</si>
  <si>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</si>
  <si>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</si>
  <si>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</si>
  <si>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</si>
  <si>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</si>
  <si>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</si>
  <si>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</si>
  <si>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</si>
  <si>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</si>
  <si>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</si>
  <si>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</si>
  <si>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</si>
  <si>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</si>
  <si>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</si>
  <si>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</si>
  <si>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</si>
  <si>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</si>
  <si>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</si>
  <si>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</si>
  <si>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</si>
  <si>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Dakore Akande, Ireti Doyle, Nse Ikpe-Etim, Omoni Oboli</t>
  </si>
  <si>
    <t>December 28, 2015</t>
  </si>
  <si>
    <t>In Lagos, Nigeria, four successful women on the verge of 50 take stock of their lives and loves over the course of one week.</t>
  </si>
  <si>
    <t>s6749</t>
  </si>
  <si>
    <t>Figaro Pho</t>
  </si>
  <si>
    <t>Quirky little Figaro has a whole alphabet's worth of phobias. These wordless animated shorts follow his many fears from A to Z.</t>
  </si>
  <si>
    <t>s6750</t>
  </si>
  <si>
    <t>Figures of Speech</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</si>
  <si>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</si>
  <si>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</si>
  <si>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</si>
  <si>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</si>
  <si>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</si>
  <si>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</si>
  <si>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</si>
  <si>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</si>
  <si>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</si>
  <si>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</si>
  <si>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</si>
  <si>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</si>
  <si>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</si>
  <si>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</si>
  <si>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</si>
  <si>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</si>
  <si>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</si>
  <si>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</si>
  <si>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</si>
  <si>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</si>
  <si>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</si>
  <si>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</si>
  <si>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</si>
  <si>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</si>
  <si>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</si>
  <si>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</si>
  <si>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</si>
  <si>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</si>
  <si>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</si>
  <si>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</si>
  <si>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Samuele Caruana, Giuseppe Fragapane</t>
  </si>
  <si>
    <t>Heartbreak, hope and nostalgia collide in this complex portrait of Lampedusa, a Mediterranean island where thousands of migrants land each year.</t>
  </si>
  <si>
    <t>s6758</t>
  </si>
  <si>
    <t>Fireflies</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</si>
  <si>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</si>
  <si>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</si>
  <si>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</si>
  <si>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</si>
  <si>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</si>
  <si>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</si>
  <si>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</si>
  <si>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</si>
  <si>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</si>
  <si>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</si>
  <si>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</si>
  <si>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</si>
  <si>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</si>
  <si>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Antonia Thomas, Luke Norris, Thea Petrie, Eileen Davies, Jonathan Hyde</t>
  </si>
  <si>
    <t>A young couple fights supernatural foes in an attempt to save their daughter from the dark and mysterious forces that follow her every move.</t>
  </si>
  <si>
    <t>s6762</t>
  </si>
  <si>
    <t>Fishpeople</t>
  </si>
  <si>
    <t>In this exploration of the life-changing power of the ocean, six people from very different backgrounds find purpose and meaning in the sea.</t>
  </si>
  <si>
    <t>s6763</t>
  </si>
  <si>
    <t>Fishtail</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</si>
  <si>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</si>
  <si>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</si>
  <si>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</si>
  <si>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</si>
  <si>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</si>
  <si>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</si>
  <si>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</si>
  <si>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</si>
  <si>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</si>
  <si>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Top athletes from around the globe test their fitness in a four-day competition at the first-ever CrossFit Sanctional event. Let the games begin.</t>
  </si>
  <si>
    <t>s6766</t>
  </si>
  <si>
    <t>Five Elements Ninjas</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</si>
  <si>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</si>
  <si>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</si>
  <si>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</si>
  <si>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</si>
  <si>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</si>
  <si>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</si>
  <si>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</si>
  <si>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</si>
  <si>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</si>
  <si>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</si>
  <si>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</si>
  <si>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</si>
  <si>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</si>
  <si>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</si>
  <si>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</si>
  <si>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</si>
  <si>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</si>
  <si>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</si>
  <si>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</si>
  <si>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</si>
  <si>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</si>
  <si>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</si>
  <si>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</si>
  <si>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</si>
  <si>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</si>
  <si>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</si>
  <si>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Feng Ku, Chung Wang, Szu Shih, Lung Ti, Lo Lieh, Szu-Chia Chen</t>
  </si>
  <si>
    <t>July 31, 2018</t>
  </si>
  <si>
    <t>The emperor's reign of terror expands. Heroic outlaw Ma Teng joins a squad of female rebels, whose leader is torn between family loyalties.</t>
  </si>
  <si>
    <t>s6773</t>
  </si>
  <si>
    <t>Follow Me</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</si>
  <si>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</si>
  <si>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</si>
  <si>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</si>
  <si>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</si>
  <si>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</si>
  <si>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</si>
  <si>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</si>
  <si>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</si>
  <si>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</si>
  <si>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</si>
  <si>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</si>
  <si>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</si>
  <si>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</si>
  <si>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</si>
  <si>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</si>
  <si>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</si>
  <si>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</si>
  <si>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</si>
  <si>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</si>
  <si>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March 2, 2016</t>
  </si>
  <si>
    <t>As chef Curtis Duffy oversees every aspect of opening his own restaurant, Grace, he recalls his turbulent childhood and difficult adult relationships.</t>
  </si>
  <si>
    <t>s6779</t>
  </si>
  <si>
    <t>For Greater Glory</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</si>
  <si>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</si>
  <si>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</si>
  <si>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</si>
  <si>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</si>
  <si>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</si>
  <si>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</si>
  <si>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</si>
  <si>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</si>
  <si>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</si>
  <si>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</si>
  <si>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</si>
  <si>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</si>
  <si>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</si>
  <si>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</si>
  <si>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</si>
  <si>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</si>
  <si>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</si>
  <si>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</si>
  <si>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</si>
  <si>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</si>
  <si>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Justin Fashanu, John Fashanu</t>
  </si>
  <si>
    <t>This documentary chronicles the tragic, true story of Justin Fashanu, the first – and only – openly gay man to have played professional soccer.</t>
  </si>
  <si>
    <t>s6785</t>
  </si>
  <si>
    <t>Forbidden Planet</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</si>
  <si>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</si>
  <si>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</si>
  <si>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</si>
  <si>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</si>
  <si>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</si>
  <si>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</si>
  <si>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</si>
  <si>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</si>
  <si>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</si>
  <si>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</si>
  <si>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</si>
  <si>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</si>
  <si>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</si>
  <si>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</si>
  <si>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</si>
  <si>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</si>
  <si>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</si>
  <si>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</si>
  <si>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According to the research of two food scientists, the popularity of processed foods has led to epidemic rates of obesity, diabetes and other diseases.</t>
  </si>
  <si>
    <t>s6791</t>
  </si>
  <si>
    <t>Four Christmases</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</si>
  <si>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</si>
  <si>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</si>
  <si>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</si>
  <si>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</si>
  <si>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</si>
  <si>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</si>
  <si>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</si>
  <si>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</si>
  <si>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</si>
  <si>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</si>
  <si>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</si>
  <si>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</si>
  <si>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</si>
  <si>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</si>
  <si>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</si>
  <si>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</si>
  <si>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</si>
  <si>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</si>
  <si>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</si>
  <si>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</si>
  <si>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</si>
  <si>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</si>
  <si>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</si>
  <si>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</si>
  <si>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</si>
  <si>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</si>
  <si>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</si>
  <si>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</si>
  <si>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</si>
  <si>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</si>
  <si>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</si>
  <si>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</si>
  <si>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</si>
  <si>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</si>
  <si>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</si>
  <si>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</si>
  <si>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</si>
  <si>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</si>
  <si>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</si>
  <si>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</si>
  <si>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</si>
  <si>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</si>
  <si>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</si>
  <si>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</si>
  <si>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</si>
  <si>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</si>
  <si>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</si>
  <si>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</si>
  <si>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</si>
  <si>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</si>
  <si>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</si>
  <si>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</si>
  <si>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</si>
  <si>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</si>
  <si>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</si>
  <si>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</si>
  <si>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</si>
  <si>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</si>
  <si>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</si>
  <si>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</si>
  <si>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</si>
  <si>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</si>
  <si>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</si>
  <si>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</si>
  <si>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</si>
  <si>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</si>
  <si>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</si>
  <si>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</si>
  <si>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</si>
  <si>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</si>
  <si>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</si>
  <si>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</si>
  <si>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</si>
  <si>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</si>
  <si>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</si>
  <si>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</si>
  <si>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</si>
  <si>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</si>
  <si>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</si>
  <si>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</si>
  <si>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</si>
  <si>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Rich Froning</t>
  </si>
  <si>
    <t>Follow the grueling training regimen of Rich Froning Jr. as he sets his sights on winning an unprecedented fourth CrossFit Games title.</t>
  </si>
  <si>
    <t>s6811</t>
  </si>
  <si>
    <t>Frozen Planet</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</si>
  <si>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</si>
  <si>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</si>
  <si>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</si>
  <si>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</si>
  <si>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</si>
  <si>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</si>
  <si>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</si>
  <si>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</si>
  <si>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</si>
  <si>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</si>
  <si>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</si>
  <si>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</si>
  <si>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</si>
  <si>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</si>
  <si>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</si>
  <si>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</si>
  <si>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</si>
  <si>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</si>
  <si>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</si>
  <si>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This documentary explores the challenging, transformative world of high-intensity fitness programs through the eyes of the people who've embraced them.</t>
  </si>
  <si>
    <t>s6817</t>
  </si>
  <si>
    <t>Furie</t>
  </si>
  <si>
    <t>Ngo Thanh Van, Phan Thanh Nhien, Mai Cat Vi, Thanh Hoa, Pham Anh Khoa</t>
  </si>
  <si>
    <t>When traffickers kidnap her daughter from their village, vengeful Hai Phuong returns to Saigon – and her outlaw roots – to take down the abductors.</t>
  </si>
  <si>
    <t>s6818</t>
  </si>
  <si>
    <t>Furthest Witness</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</si>
  <si>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</si>
  <si>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</si>
  <si>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</si>
  <si>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</si>
  <si>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</si>
  <si>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</si>
  <si>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</si>
  <si>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</si>
  <si>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</si>
  <si>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</si>
  <si>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</si>
  <si>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</si>
  <si>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</si>
  <si>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</si>
  <si>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</si>
  <si>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</si>
  <si>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</si>
  <si>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</si>
  <si>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</si>
  <si>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</si>
  <si>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</si>
  <si>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</si>
  <si>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</si>
  <si>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</si>
  <si>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</si>
  <si>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</si>
  <si>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</si>
  <si>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</si>
  <si>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</si>
  <si>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</si>
  <si>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</si>
  <si>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</si>
  <si>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</si>
  <si>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</si>
  <si>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</si>
  <si>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</si>
  <si>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</si>
  <si>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</si>
  <si>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</si>
  <si>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</si>
  <si>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</si>
  <si>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</si>
  <si>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</si>
  <si>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</si>
  <si>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</si>
  <si>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</si>
  <si>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</si>
  <si>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Emir Mahira, Maudy Koesnaedi, Ikranagara, Aldo Tansani, Marsha Aruan, Ari Sihasale</t>
  </si>
  <si>
    <t>A determined boy will do anything to become a great soccer player, despite the wishes of his grandfather.</t>
  </si>
  <si>
    <t>s6830</t>
  </si>
  <si>
    <t>Garuda in My Heart 2</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</si>
  <si>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</si>
  <si>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</si>
  <si>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</si>
  <si>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</si>
  <si>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</si>
  <si>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</si>
  <si>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</si>
  <si>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</si>
  <si>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</si>
  <si>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</si>
  <si>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</si>
  <si>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</si>
  <si>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</si>
  <si>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</si>
  <si>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</si>
  <si>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</si>
  <si>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</si>
  <si>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</si>
  <si>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</si>
  <si>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</si>
  <si>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</si>
  <si>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</si>
  <si>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</si>
  <si>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</si>
  <si>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</si>
  <si>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</si>
  <si>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</si>
  <si>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</si>
  <si>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</si>
  <si>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</si>
  <si>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</si>
  <si>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</si>
  <si>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</si>
  <si>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</si>
  <si>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</si>
  <si>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</si>
  <si>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</si>
  <si>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</si>
  <si>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</si>
  <si>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</si>
  <si>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</si>
  <si>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</si>
  <si>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</si>
  <si>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</si>
  <si>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</si>
  <si>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</si>
  <si>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</si>
  <si>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</si>
  <si>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</si>
  <si>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</si>
  <si>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</si>
  <si>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</si>
  <si>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</si>
  <si>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</si>
  <si>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</si>
  <si>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</si>
  <si>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</si>
  <si>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</si>
  <si>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</si>
  <si>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</si>
  <si>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</si>
  <si>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</si>
  <si>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</si>
  <si>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</si>
  <si>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</si>
  <si>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</si>
  <si>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</si>
  <si>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</si>
  <si>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</si>
  <si>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</si>
  <si>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</si>
  <si>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</si>
  <si>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</si>
  <si>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</si>
  <si>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</si>
  <si>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</si>
  <si>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</si>
  <si>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</si>
  <si>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</si>
  <si>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</si>
  <si>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</si>
  <si>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</si>
  <si>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</si>
  <si>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</si>
  <si>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</si>
  <si>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</si>
  <si>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</si>
  <si>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</si>
  <si>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</si>
  <si>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</si>
  <si>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</si>
  <si>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</si>
  <si>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</si>
  <si>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</si>
  <si>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</si>
  <si>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</si>
  <si>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</si>
  <si>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</si>
  <si>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</si>
  <si>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</si>
  <si>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</si>
  <si>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</si>
  <si>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</si>
  <si>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</si>
  <si>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</si>
  <si>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</si>
  <si>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</si>
  <si>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</si>
  <si>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</si>
  <si>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</si>
  <si>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</si>
  <si>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</si>
  <si>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</si>
  <si>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</si>
  <si>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</si>
  <si>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</si>
  <si>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</si>
  <si>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</si>
  <si>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</si>
  <si>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</si>
  <si>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</si>
  <si>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</si>
  <si>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</si>
  <si>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</si>
  <si>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Lori Singer</t>
  </si>
  <si>
    <t>October 22, 2018</t>
  </si>
  <si>
    <t>Through diary entries, this documentary follows the life and death of homeless woman Linda Bishop and her struggles with starvation, sanity and God.</t>
  </si>
  <si>
    <t>s6861</t>
  </si>
  <si>
    <t>God of War</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</si>
  <si>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</si>
  <si>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</si>
  <si>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</si>
  <si>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</si>
  <si>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</si>
  <si>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</si>
  <si>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</si>
  <si>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</si>
  <si>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</si>
  <si>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</si>
  <si>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</si>
  <si>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</si>
  <si>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</si>
  <si>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</si>
  <si>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</si>
  <si>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</si>
  <si>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</si>
  <si>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</si>
  <si>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</si>
  <si>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</si>
  <si>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</si>
  <si>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</si>
  <si>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</si>
  <si>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</si>
  <si>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</si>
  <si>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</si>
  <si>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</si>
  <si>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</si>
  <si>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</si>
  <si>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</si>
  <si>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</si>
  <si>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</si>
  <si>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</si>
  <si>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</si>
  <si>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</si>
  <si>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</si>
  <si>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</si>
  <si>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</si>
  <si>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</si>
  <si>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</si>
  <si>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</si>
  <si>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</si>
  <si>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</si>
  <si>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</si>
  <si>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</si>
  <si>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</si>
  <si>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</si>
  <si>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</si>
  <si>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</si>
  <si>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</si>
  <si>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</si>
  <si>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</si>
  <si>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Lance Henriksen, Tom Berenger, Meg Steedle, Danny Trejo</t>
  </si>
  <si>
    <t>Independent Movies</t>
  </si>
  <si>
    <t>As a notorious outlaw comes to grips with his past, he reconnects with his estranged daughter and gets one more shot to make things right.</t>
  </si>
  <si>
    <t>s6874</t>
  </si>
  <si>
    <t>Gonul</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</si>
  <si>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</si>
  <si>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</si>
  <si>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</si>
  <si>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</si>
  <si>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</si>
  <si>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</si>
  <si>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</si>
  <si>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</si>
  <si>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</si>
  <si>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</si>
  <si>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</si>
  <si>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</si>
  <si>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</si>
  <si>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</si>
  <si>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</si>
  <si>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</si>
  <si>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Kari Alison Hodge, Rachel Paulson, Julia Eringer</t>
  </si>
  <si>
    <t>Hoping to give their relationship a boost, Jenna and Kate arrange to spend an evening with a third woman, but things take a turn once the sparks fly.</t>
  </si>
  <si>
    <t>s6878</t>
  </si>
  <si>
    <t>Good Luck</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</si>
  <si>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</si>
  <si>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</si>
  <si>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</si>
  <si>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</si>
  <si>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</si>
  <si>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</si>
  <si>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</si>
  <si>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</si>
  <si>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</si>
  <si>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</si>
  <si>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</si>
  <si>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</si>
  <si>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</si>
  <si>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</si>
  <si>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</si>
  <si>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</si>
  <si>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</si>
  <si>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</si>
  <si>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</si>
  <si>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</si>
  <si>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</si>
  <si>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</si>
  <si>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</si>
  <si>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</si>
  <si>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</si>
  <si>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</si>
  <si>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</si>
  <si>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</si>
  <si>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</si>
  <si>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</si>
  <si>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</si>
  <si>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</si>
  <si>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</si>
  <si>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</si>
  <si>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</si>
  <si>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</si>
  <si>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</si>
  <si>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</si>
  <si>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</si>
  <si>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</si>
  <si>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</si>
  <si>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</si>
  <si>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</si>
  <si>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</si>
  <si>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</si>
  <si>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</si>
  <si>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</si>
  <si>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</si>
  <si>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</si>
  <si>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</si>
  <si>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</si>
  <si>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</si>
  <si>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</si>
  <si>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</si>
  <si>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</si>
  <si>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</si>
  <si>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</si>
  <si>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</si>
  <si>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</si>
  <si>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</si>
  <si>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</si>
  <si>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</si>
  <si>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</si>
  <si>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</si>
  <si>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</si>
  <si>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</si>
  <si>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</si>
  <si>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</si>
  <si>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</si>
  <si>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</si>
  <si>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</si>
  <si>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</si>
  <si>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</si>
  <si>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</si>
  <si>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</si>
  <si>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</si>
  <si>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</si>
  <si>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</si>
  <si>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</si>
  <si>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</si>
  <si>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</si>
  <si>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</si>
  <si>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</si>
  <si>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</si>
  <si>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</si>
  <si>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</si>
  <si>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</si>
  <si>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</si>
  <si>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</si>
  <si>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</si>
  <si>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</si>
  <si>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Tech tycoon John McAfee made millions from his anti-virus software. Now, he may be best known for his bizarre and scandalous lifestyle.</t>
  </si>
  <si>
    <t>s6900</t>
  </si>
  <si>
    <t>Growing Up Coy</t>
  </si>
  <si>
    <t>Filmmakers follow a Colorado family's highly public battle for the rights of their transgender daughter, Coy, in a landmark civil rights case.</t>
  </si>
  <si>
    <t>s6901</t>
  </si>
  <si>
    <t>Gun Runners</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</si>
  <si>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</si>
  <si>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</si>
  <si>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</si>
  <si>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</si>
  <si>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</si>
  <si>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</si>
  <si>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</si>
  <si>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</si>
  <si>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</si>
  <si>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</si>
  <si>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</si>
  <si>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</si>
  <si>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</si>
  <si>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</si>
  <si>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</si>
  <si>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</si>
  <si>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</si>
  <si>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</si>
  <si>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</si>
  <si>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</si>
  <si>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</si>
  <si>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</si>
  <si>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</si>
  <si>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</si>
  <si>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</si>
  <si>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</si>
  <si>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</si>
  <si>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</si>
  <si>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</si>
  <si>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</si>
  <si>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</si>
  <si>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</si>
  <si>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</si>
  <si>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</si>
  <si>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</si>
  <si>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</si>
  <si>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</si>
  <si>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</si>
  <si>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</si>
  <si>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Andy McAvin, James Faulkner, Luci Christian, John Swasey</t>
  </si>
  <si>
    <t>This anthology features seven independent anime shorts from renowned directors, delving into the futuristic universe of the video game franchise Halo.</t>
  </si>
  <si>
    <t>s6912</t>
  </si>
  <si>
    <t>Halo: The Fall of Reach</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</si>
  <si>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</si>
  <si>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</si>
  <si>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</si>
  <si>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</si>
  <si>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</si>
  <si>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</si>
  <si>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</si>
  <si>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</si>
  <si>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</si>
  <si>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</si>
  <si>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</si>
  <si>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</si>
  <si>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</si>
  <si>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</si>
  <si>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</si>
  <si>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</si>
  <si>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</si>
  <si>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</si>
  <si>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</si>
  <si>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</si>
  <si>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</si>
  <si>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</si>
  <si>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</si>
  <si>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</si>
  <si>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</si>
  <si>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</si>
  <si>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</si>
  <si>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</si>
  <si>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</si>
  <si>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</si>
  <si>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</si>
  <si>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</si>
  <si>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</si>
  <si>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</si>
  <si>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</si>
  <si>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</si>
  <si>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</si>
  <si>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</si>
  <si>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</si>
  <si>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</si>
  <si>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</si>
  <si>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</si>
  <si>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</si>
  <si>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</si>
  <si>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</si>
  <si>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</si>
  <si>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</si>
  <si>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</si>
  <si>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</si>
  <si>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</si>
  <si>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</si>
  <si>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</si>
  <si>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</si>
  <si>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</si>
  <si>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</si>
  <si>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</si>
  <si>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</si>
  <si>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</si>
  <si>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</si>
  <si>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</si>
  <si>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</si>
  <si>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</si>
  <si>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</si>
  <si>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</si>
  <si>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</si>
  <si>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</si>
  <si>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</si>
  <si>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</si>
  <si>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</si>
  <si>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</si>
  <si>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</si>
  <si>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</si>
  <si>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</si>
  <si>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</si>
  <si>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</si>
  <si>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</si>
  <si>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</si>
  <si>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</si>
  <si>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</si>
  <si>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</si>
  <si>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</si>
  <si>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</si>
  <si>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</si>
  <si>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</si>
  <si>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</si>
  <si>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</si>
  <si>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</si>
  <si>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</si>
  <si>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</si>
  <si>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 young wannabe magician and his mischievous stage rabbit battle and sabotage each other while putting on shows.</t>
  </si>
  <si>
    <t>s6934</t>
  </si>
  <si>
    <t>Harry and Snowman</t>
  </si>
  <si>
    <t>Harry DeLeyer</t>
  </si>
  <si>
    <t>With only a strong will and a cheap horse, a former agent of the Dutch underground in World War II sets out to become a champion show jumper.</t>
  </si>
  <si>
    <t>s6935</t>
  </si>
  <si>
    <t>Harry Benson: Shoot First</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</si>
  <si>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</si>
  <si>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</si>
  <si>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</si>
  <si>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</si>
  <si>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</si>
  <si>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</si>
  <si>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</si>
  <si>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</si>
  <si>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</si>
  <si>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</si>
  <si>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</si>
  <si>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</si>
  <si>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</si>
  <si>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</si>
  <si>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</si>
  <si>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</si>
  <si>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</si>
  <si>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Documentaries, Horror Movies</t>
  </si>
  <si>
    <t>This documentary takes us into the world of those who create horror simulations for willing audiences, and examines the culture they have spawned.</t>
  </si>
  <si>
    <t>s6940</t>
  </si>
  <si>
    <t>Haunting on Fraternity Row</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</si>
  <si>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</si>
  <si>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</si>
  <si>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</si>
  <si>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</si>
  <si>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</si>
  <si>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</si>
  <si>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</si>
  <si>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</si>
  <si>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</si>
  <si>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</si>
  <si>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</si>
  <si>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</si>
  <si>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</si>
  <si>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</si>
  <si>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</si>
  <si>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</si>
  <si>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</si>
  <si>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</si>
  <si>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</si>
  <si>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</si>
  <si>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</si>
  <si>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</si>
  <si>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</si>
  <si>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</si>
  <si>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</si>
  <si>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</si>
  <si>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</si>
  <si>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</si>
  <si>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</si>
  <si>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</si>
  <si>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</si>
  <si>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</si>
  <si>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</si>
  <si>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</si>
  <si>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</si>
  <si>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</si>
  <si>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</si>
  <si>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</si>
  <si>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</si>
  <si>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</si>
  <si>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</si>
  <si>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</si>
  <si>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</si>
  <si>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</si>
  <si>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</si>
  <si>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</si>
  <si>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</si>
  <si>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</si>
  <si>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</si>
  <si>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</si>
  <si>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</si>
  <si>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</si>
  <si>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</si>
  <si>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</si>
  <si>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</si>
  <si>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</si>
  <si>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</si>
  <si>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</si>
  <si>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</si>
  <si>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</si>
  <si>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</si>
  <si>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</si>
  <si>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</si>
  <si>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</si>
  <si>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</si>
  <si>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</si>
  <si>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</si>
  <si>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</si>
  <si>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</si>
  <si>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</si>
  <si>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</si>
  <si>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</si>
  <si>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</si>
  <si>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</si>
  <si>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</si>
  <si>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</si>
  <si>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</si>
  <si>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</si>
  <si>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</si>
  <si>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</si>
  <si>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</si>
  <si>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</si>
  <si>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</si>
  <si>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</si>
  <si>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</si>
  <si>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</si>
  <si>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</si>
  <si>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</si>
  <si>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</si>
  <si>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</si>
  <si>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</si>
  <si>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</si>
  <si>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</si>
  <si>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</si>
  <si>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</si>
  <si>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</si>
  <si>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</si>
  <si>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</si>
  <si>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</si>
  <si>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</si>
  <si>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</si>
  <si>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</si>
  <si>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</si>
  <si>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</si>
  <si>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</si>
  <si>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</si>
  <si>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</si>
  <si>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</si>
  <si>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</si>
  <si>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</si>
  <si>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</si>
  <si>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</si>
  <si>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</si>
  <si>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</si>
  <si>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</si>
  <si>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</si>
  <si>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</si>
  <si>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</si>
  <si>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</si>
  <si>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</si>
  <si>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</si>
  <si>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</si>
  <si>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</si>
  <si>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</si>
  <si>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</si>
  <si>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</si>
  <si>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</si>
  <si>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</si>
  <si>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</si>
  <si>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</si>
  <si>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</si>
  <si>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</si>
  <si>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</si>
  <si>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</si>
  <si>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</si>
  <si>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</si>
  <si>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</si>
  <si>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</si>
  <si>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</si>
  <si>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</si>
  <si>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</si>
  <si>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</si>
  <si>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</si>
  <si>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</si>
  <si>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</si>
  <si>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</si>
  <si>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</si>
  <si>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</si>
  <si>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</si>
  <si>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</si>
  <si>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</si>
  <si>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</si>
  <si>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</si>
  <si>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</si>
  <si>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</si>
  <si>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</si>
  <si>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</si>
  <si>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</si>
  <si>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</si>
  <si>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</si>
  <si>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</si>
  <si>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</si>
  <si>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</si>
  <si>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</si>
  <si>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</si>
  <si>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</si>
  <si>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Trace the history of Hitler's armored private train, a 15-car mobile headquarters boasting state-of-the-art communications and anti-aircraft cannons.</t>
  </si>
  <si>
    <t>s6981</t>
  </si>
  <si>
    <t>Ho Mann Jahaan</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</si>
  <si>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</si>
  <si>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</si>
  <si>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</si>
  <si>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</si>
  <si>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</si>
  <si>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</si>
  <si>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</si>
  <si>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</si>
  <si>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</si>
  <si>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</si>
  <si>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</si>
  <si>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</si>
  <si>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</si>
  <si>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</si>
  <si>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</si>
  <si>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</si>
  <si>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</si>
  <si>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</si>
  <si>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</si>
  <si>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</si>
  <si>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</si>
  <si>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</si>
  <si>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An ex-member charts his path from idealism to disenchantment in a California cult when alarming revelations about the group's leader come to light.</t>
  </si>
  <si>
    <t>s6987</t>
  </si>
  <si>
    <t>Holy Man 2</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</si>
  <si>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</si>
  <si>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</si>
  <si>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</si>
  <si>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</si>
  <si>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</si>
  <si>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</si>
  <si>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</si>
  <si>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</si>
  <si>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</si>
  <si>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</si>
  <si>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</si>
  <si>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</si>
  <si>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</si>
  <si>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</si>
  <si>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</si>
  <si>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</si>
  <si>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</si>
  <si>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</si>
  <si>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</si>
  <si>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</si>
  <si>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</si>
  <si>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</si>
  <si>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</si>
  <si>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</si>
  <si>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</si>
  <si>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</si>
  <si>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</si>
  <si>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</si>
  <si>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</si>
  <si>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</si>
  <si>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</si>
  <si>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</si>
  <si>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</si>
  <si>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</si>
  <si>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</si>
  <si>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</si>
  <si>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</si>
  <si>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</si>
  <si>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</si>
  <si>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</si>
  <si>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</si>
  <si>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</si>
  <si>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</si>
  <si>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</si>
  <si>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</si>
  <si>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</si>
  <si>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</si>
  <si>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</si>
  <si>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</si>
  <si>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</si>
  <si>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</si>
  <si>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</si>
  <si>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</si>
  <si>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</si>
  <si>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</si>
  <si>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</si>
  <si>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</si>
  <si>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</si>
  <si>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</si>
  <si>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</si>
  <si>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</si>
  <si>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</si>
  <si>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</si>
  <si>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</si>
  <si>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</si>
  <si>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</si>
  <si>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</si>
  <si>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</si>
  <si>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</si>
  <si>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</si>
  <si>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</si>
  <si>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</si>
  <si>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</si>
  <si>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</si>
  <si>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</si>
  <si>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</si>
  <si>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</si>
  <si>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</si>
  <si>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</si>
  <si>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</si>
  <si>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</si>
  <si>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</si>
  <si>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</si>
  <si>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</si>
  <si>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</si>
  <si>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</si>
  <si>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</si>
  <si>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</si>
  <si>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</si>
  <si>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</si>
  <si>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</si>
  <si>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</si>
  <si>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</si>
  <si>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</si>
  <si>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</si>
  <si>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</si>
  <si>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</si>
  <si>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</si>
  <si>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</si>
  <si>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</si>
  <si>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Zac Posen</t>
  </si>
  <si>
    <t>Featuring archival footage and exclusive interviews, this documentary looks at the rise, fall and comeback of charismatic fashion designer Zac Posen.</t>
  </si>
  <si>
    <t>s7012</t>
  </si>
  <si>
    <t>Houston, We Have a Problem!</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</si>
  <si>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</si>
  <si>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</si>
  <si>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</si>
  <si>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</si>
  <si>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</si>
  <si>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</si>
  <si>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</si>
  <si>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</si>
  <si>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</si>
  <si>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</si>
  <si>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</si>
  <si>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</si>
  <si>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</si>
  <si>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</si>
  <si>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</si>
  <si>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</si>
  <si>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</si>
  <si>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</si>
  <si>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</si>
  <si>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</si>
  <si>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</si>
  <si>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</si>
  <si>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</si>
  <si>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</si>
  <si>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</si>
  <si>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</si>
  <si>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</si>
  <si>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</si>
  <si>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</si>
  <si>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</si>
  <si>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</si>
  <si>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</si>
  <si>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</si>
  <si>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This whimsical look at rough-and-tumble American politics examines the influence of money, religion and even ancient Rome on presidential campaigns.</t>
  </si>
  <si>
    <t>s7021</t>
  </si>
  <si>
    <t>Hridaynath</t>
  </si>
  <si>
    <t>Jackie Shroff, Aditya Pancholi, Swarangi Maharte, Ameya Hunaswadkar, Urmila Matondkar</t>
  </si>
  <si>
    <t>A schoolteacher known for his good deeds and benevolence takes a walk on the dark side after undergoing a heart transplant.</t>
  </si>
  <si>
    <t>s7022</t>
  </si>
  <si>
    <t>Hulk Vs.</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</si>
  <si>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</si>
  <si>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</si>
  <si>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</si>
  <si>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</si>
  <si>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</si>
  <si>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</si>
  <si>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</si>
  <si>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</si>
  <si>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</si>
  <si>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</si>
  <si>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</si>
  <si>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</si>
  <si>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</si>
  <si>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</si>
  <si>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</si>
  <si>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</si>
  <si>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</si>
  <si>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</si>
  <si>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</si>
  <si>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</si>
  <si>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</si>
  <si>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</si>
  <si>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</si>
  <si>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</si>
  <si>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</si>
  <si>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</si>
  <si>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</si>
  <si>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</si>
  <si>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</si>
  <si>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</si>
  <si>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</si>
  <si>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</si>
  <si>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</si>
  <si>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</si>
  <si>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</si>
  <si>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</si>
  <si>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</si>
  <si>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</si>
  <si>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</si>
  <si>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</si>
  <si>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</si>
  <si>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</si>
  <si>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</si>
  <si>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</si>
  <si>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</si>
  <si>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</si>
  <si>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</si>
  <si>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</si>
  <si>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</si>
  <si>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</si>
  <si>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</si>
  <si>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</si>
  <si>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</si>
  <si>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</si>
  <si>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</si>
  <si>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</si>
  <si>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</si>
  <si>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</si>
  <si>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</si>
  <si>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</si>
  <si>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</si>
  <si>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</si>
  <si>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</si>
  <si>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Usain Bolt</t>
  </si>
  <si>
    <t>Mixing archival footage with present-day interviews, Olympic champion and global icon Usain Bolt opens up about his athletic legacy.</t>
  </si>
  <si>
    <t>s7038</t>
  </si>
  <si>
    <t>I Am Jane Doe</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</si>
  <si>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</si>
  <si>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</si>
  <si>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</si>
  <si>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</si>
  <si>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</si>
  <si>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</si>
  <si>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</si>
  <si>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</si>
  <si>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</si>
  <si>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</si>
  <si>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</si>
  <si>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</si>
  <si>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</si>
  <si>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</si>
  <si>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</si>
  <si>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</si>
  <si>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</si>
  <si>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</si>
  <si>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</si>
  <si>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</si>
  <si>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</si>
  <si>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</si>
  <si>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</si>
  <si>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</si>
  <si>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</si>
  <si>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</si>
  <si>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</si>
  <si>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</si>
  <si>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</si>
  <si>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</si>
  <si>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</si>
  <si>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</si>
  <si>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</si>
  <si>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</si>
  <si>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</si>
  <si>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</si>
  <si>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</si>
  <si>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</si>
  <si>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</si>
  <si>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</si>
  <si>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</si>
  <si>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</si>
  <si>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</si>
  <si>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</si>
  <si>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</si>
  <si>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</si>
  <si>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</si>
  <si>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</si>
  <si>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</si>
  <si>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</si>
  <si>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</si>
  <si>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</si>
  <si>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</si>
  <si>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</si>
  <si>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</si>
  <si>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</si>
  <si>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</si>
  <si>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</si>
  <si>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</si>
  <si>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</si>
  <si>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</si>
  <si>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</si>
  <si>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</si>
  <si>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</si>
  <si>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</si>
  <si>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</si>
  <si>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</si>
  <si>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</si>
  <si>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</si>
  <si>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</si>
  <si>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</si>
  <si>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</si>
  <si>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</si>
  <si>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</si>
  <si>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</si>
  <si>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</si>
  <si>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</si>
  <si>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</si>
  <si>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</si>
  <si>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</si>
  <si>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</si>
  <si>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</si>
  <si>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</si>
  <si>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</si>
  <si>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</si>
  <si>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</si>
  <si>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</si>
  <si>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</si>
  <si>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</si>
  <si>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</si>
  <si>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</si>
  <si>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</si>
  <si>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</si>
  <si>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</si>
  <si>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</si>
  <si>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</si>
  <si>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</si>
  <si>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</si>
  <si>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</si>
  <si>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</si>
  <si>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</si>
  <si>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</si>
  <si>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</si>
  <si>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</si>
  <si>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</si>
  <si>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</si>
  <si>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</si>
  <si>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</si>
  <si>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</si>
  <si>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</si>
  <si>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</si>
  <si>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</si>
  <si>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</si>
  <si>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</si>
  <si>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</si>
  <si>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</si>
  <si>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</si>
  <si>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</si>
  <si>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</si>
  <si>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</si>
  <si>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</si>
  <si>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</si>
  <si>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</si>
  <si>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</si>
  <si>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United States, Senegal</t>
  </si>
  <si>
    <t>In the streets of Senegal, a youth movement rises up against a regime bent on retaining power in this chronicle of the nation's stormy 2012 elections.</t>
  </si>
  <si>
    <t>s7068</t>
  </si>
  <si>
    <t>Incredibles 2 (Spanish Version)</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</si>
  <si>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</si>
  <si>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</si>
  <si>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</si>
  <si>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</si>
  <si>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</si>
  <si>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</si>
  <si>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</si>
  <si>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</si>
  <si>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</si>
  <si>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</si>
  <si>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</si>
  <si>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</si>
  <si>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</si>
  <si>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</si>
  <si>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</si>
  <si>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</si>
  <si>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</si>
  <si>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</si>
  <si>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</si>
  <si>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</si>
  <si>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</si>
  <si>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</si>
  <si>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</si>
  <si>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</si>
  <si>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</si>
  <si>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</si>
  <si>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</si>
  <si>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</si>
  <si>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</si>
  <si>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</si>
  <si>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</si>
  <si>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</si>
  <si>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</si>
  <si>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</si>
  <si>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</si>
  <si>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</si>
  <si>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</si>
  <si>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</si>
  <si>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</si>
  <si>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</si>
  <si>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</si>
  <si>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</si>
  <si>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</si>
  <si>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</si>
  <si>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</si>
  <si>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</si>
  <si>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</si>
  <si>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</si>
  <si>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</si>
  <si>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</si>
  <si>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</si>
  <si>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</si>
  <si>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</si>
  <si>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</si>
  <si>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</si>
  <si>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</si>
  <si>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</si>
  <si>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</si>
  <si>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</si>
  <si>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</si>
  <si>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</si>
  <si>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</si>
  <si>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</si>
  <si>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</si>
  <si>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</si>
  <si>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</si>
  <si>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</si>
  <si>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</si>
  <si>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</si>
  <si>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</si>
  <si>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</si>
  <si>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</si>
  <si>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</si>
  <si>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</si>
  <si>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</si>
  <si>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</si>
  <si>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</si>
  <si>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</si>
  <si>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</si>
  <si>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</si>
  <si>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</si>
  <si>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</si>
  <si>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</si>
  <si>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</si>
  <si>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</si>
  <si>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</si>
  <si>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</si>
  <si>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</si>
  <si>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</si>
  <si>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</si>
  <si>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</si>
  <si>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</si>
  <si>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</si>
  <si>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</si>
  <si>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</si>
  <si>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Artists and writers delve into the heart of Antoine de Saint-Exupéry's timeless fable, which captured the imagination of children and adults worldwide.</t>
  </si>
  <si>
    <t>s7094</t>
  </si>
  <si>
    <t>Inxeba</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</si>
  <si>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</si>
  <si>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</si>
  <si>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</si>
  <si>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</si>
  <si>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</si>
  <si>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</si>
  <si>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</si>
  <si>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</si>
  <si>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</si>
  <si>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Smita Jaykar, Siddarth Jadhav</t>
  </si>
  <si>
    <t>Bored in their happy marriage, a couple decides to spice things up by fighting more, but their game takes the relationship on an unexpected path.</t>
  </si>
  <si>
    <t>s7097</t>
  </si>
  <si>
    <t>Iron Cowboy: The Story of the 50.50.50</t>
  </si>
  <si>
    <t>James Lawrence</t>
  </si>
  <si>
    <t>A record-setting triathlete dares to complete 50 Ironman races – a 2.4-mile swim, a 112-mile bike ride, and a 26.2-mile run – in 50 days in 50 states.</t>
  </si>
  <si>
    <t>s7098</t>
  </si>
  <si>
    <t>Iron Man &amp; Captain America: Heroes United</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</si>
  <si>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</si>
  <si>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</si>
  <si>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</si>
  <si>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</si>
  <si>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</si>
  <si>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</si>
  <si>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</si>
  <si>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</si>
  <si>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</si>
  <si>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</si>
  <si>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</si>
  <si>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</si>
  <si>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</si>
  <si>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</si>
  <si>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</si>
  <si>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</si>
  <si>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</si>
  <si>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</si>
  <si>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</si>
  <si>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</si>
  <si>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</si>
  <si>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</si>
  <si>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</si>
  <si>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</si>
  <si>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</si>
  <si>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</si>
  <si>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</si>
  <si>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</si>
  <si>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</si>
  <si>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</si>
  <si>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</si>
  <si>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</si>
  <si>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</si>
  <si>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</si>
  <si>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</si>
  <si>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</si>
  <si>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</si>
  <si>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</si>
  <si>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</si>
  <si>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</si>
  <si>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</si>
  <si>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Allen Iverson</t>
  </si>
  <si>
    <t>This unfiltered documentary follows the rocky life and stratospheric career of Allen Iverson, an NBA icon who left an indelible mark on the sport.</t>
  </si>
  <si>
    <t>s7109</t>
  </si>
  <si>
    <t>최강전사 미니특공대 : 영웅의 탄생</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</si>
  <si>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</si>
  <si>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</si>
  <si>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</si>
  <si>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</si>
  <si>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</si>
  <si>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</si>
  <si>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</si>
  <si>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</si>
  <si>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</si>
  <si>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</si>
  <si>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</si>
  <si>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</si>
  <si>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Once upon a time, baseball cards were as much an American pastime as the sport. But then scandal rocked the multi-million-dollar industry for good.</t>
  </si>
  <si>
    <t>s7113</t>
  </si>
  <si>
    <t>Jack Taylor</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</si>
  <si>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</si>
  <si>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</si>
  <si>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</si>
  <si>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</si>
  <si>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</si>
  <si>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</si>
  <si>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</si>
  <si>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</si>
  <si>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</si>
  <si>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</si>
  <si>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</si>
  <si>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</si>
  <si>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</si>
  <si>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</si>
  <si>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</si>
  <si>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</si>
  <si>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</si>
  <si>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</si>
  <si>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</si>
  <si>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</si>
  <si>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</si>
  <si>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</si>
  <si>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</si>
  <si>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</si>
  <si>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</si>
  <si>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</si>
  <si>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</si>
  <si>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</si>
  <si>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</si>
  <si>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</si>
  <si>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</si>
  <si>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</si>
  <si>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</si>
  <si>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</si>
  <si>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</si>
  <si>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</si>
  <si>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</si>
  <si>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</si>
  <si>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</si>
  <si>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</si>
  <si>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</si>
  <si>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</si>
  <si>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</si>
  <si>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</si>
  <si>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</si>
  <si>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</si>
  <si>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</si>
  <si>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</si>
  <si>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</si>
  <si>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</si>
  <si>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</si>
  <si>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</si>
  <si>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</si>
  <si>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</si>
  <si>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</si>
  <si>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</si>
  <si>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</si>
  <si>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</si>
  <si>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</si>
  <si>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</si>
  <si>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</si>
  <si>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</si>
  <si>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Hugh Bonneville</t>
  </si>
  <si>
    <t>Ireland, United States, France</t>
  </si>
  <si>
    <t>Host Hugh Bonneville traces Jesus' last days to learn how the execution of an itinerant Jewish preacher had an immense impact on society.</t>
  </si>
  <si>
    <t>s7129</t>
  </si>
  <si>
    <t>Jewel's Catch One</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</si>
  <si>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</si>
  <si>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</si>
  <si>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</si>
  <si>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</si>
  <si>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</si>
  <si>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</si>
  <si>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</si>
  <si>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</si>
  <si>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</si>
  <si>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</si>
  <si>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</si>
  <si>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</si>
  <si>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</si>
  <si>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</si>
  <si>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</si>
  <si>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Jiro Ono</t>
  </si>
  <si>
    <t>This documentary profiles sushi chef Jiro Ono, an 85-year-old master whose 10-seat, $300-a-plate restaurant is legendary among Tokyo foodies.</t>
  </si>
  <si>
    <t>s7134</t>
  </si>
  <si>
    <t>Jis Desh Men Ganga Behti Hai</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</si>
  <si>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</si>
  <si>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</si>
  <si>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</si>
  <si>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</si>
  <si>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From his star turn at Woodstock to his battles with addiction, this film chronicles the stormy life and unique talent of soulful singer Joe Cocker.</t>
  </si>
  <si>
    <t>s7136</t>
  </si>
  <si>
    <t>John &amp; Jane</t>
  </si>
  <si>
    <t>Truth and fiction blend in this quasi-documentary about six exhausted workers at a Mumbai call center servicing U.S. customers.</t>
  </si>
  <si>
    <t>s7137</t>
  </si>
  <si>
    <t>John Carter</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</si>
  <si>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</si>
  <si>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</si>
  <si>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</si>
  <si>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</si>
  <si>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</si>
  <si>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</si>
  <si>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</si>
  <si>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</si>
  <si>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</si>
  <si>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</si>
  <si>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</si>
  <si>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</si>
  <si>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</si>
  <si>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</si>
  <si>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</si>
  <si>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</si>
  <si>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</si>
  <si>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</si>
  <si>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</si>
  <si>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</si>
  <si>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</si>
  <si>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</si>
  <si>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</si>
  <si>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</si>
  <si>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</si>
  <si>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</si>
  <si>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</si>
  <si>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</si>
  <si>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</si>
  <si>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</si>
  <si>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</si>
  <si>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</si>
  <si>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</si>
  <si>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</si>
  <si>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</si>
  <si>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</si>
  <si>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</si>
  <si>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</si>
  <si>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</si>
  <si>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</si>
  <si>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</si>
  <si>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Following the stories of five diverse individuals, this documentary offers a glimpse into the indomitable tenacity of several Mumbai residents.</t>
  </si>
  <si>
    <t>s7148</t>
  </si>
  <si>
    <t>Julie &amp; Julia</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</si>
  <si>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</si>
  <si>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</si>
  <si>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</si>
  <si>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</si>
  <si>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</si>
  <si>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</si>
  <si>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</si>
  <si>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</si>
  <si>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</si>
  <si>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</si>
  <si>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</si>
  <si>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</si>
  <si>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</si>
  <si>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</si>
  <si>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</si>
  <si>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</si>
  <si>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</si>
  <si>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</si>
  <si>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</si>
  <si>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</si>
  <si>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</si>
  <si>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</si>
  <si>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</si>
  <si>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</si>
  <si>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</si>
  <si>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</si>
  <si>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</si>
  <si>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</si>
  <si>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</si>
  <si>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</si>
  <si>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</si>
  <si>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</si>
  <si>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</si>
  <si>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</si>
  <si>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</si>
  <si>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</si>
  <si>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</si>
  <si>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</si>
  <si>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</si>
  <si>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</si>
  <si>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</si>
  <si>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</si>
  <si>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</si>
  <si>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</si>
  <si>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</si>
  <si>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</si>
  <si>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</si>
  <si>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</si>
  <si>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</si>
  <si>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</si>
  <si>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</si>
  <si>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</si>
  <si>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Jitendra Joshi, Urmila Kanitkar, Ashutosh Gaikwad, Ashok Shinde, Madhavi Juvekar</t>
  </si>
  <si>
    <t>Star-crossed lovers from different social strata struggle to overcome differences in class and family expectation, as well as a long separation.</t>
  </si>
  <si>
    <t>s7161</t>
  </si>
  <si>
    <t>Kaalia</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</si>
  <si>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</si>
  <si>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</si>
  <si>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</si>
  <si>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</si>
  <si>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</si>
  <si>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</si>
  <si>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</si>
  <si>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</si>
  <si>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</si>
  <si>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</si>
  <si>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</si>
  <si>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</si>
  <si>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</si>
  <si>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</si>
  <si>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</si>
  <si>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</si>
  <si>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</si>
  <si>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</si>
  <si>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</si>
  <si>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</si>
  <si>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</si>
  <si>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</si>
  <si>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</si>
  <si>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</si>
  <si>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</si>
  <si>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</si>
  <si>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</si>
  <si>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</si>
  <si>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</si>
  <si>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</si>
  <si>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</si>
  <si>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</si>
  <si>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</si>
  <si>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</si>
  <si>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</si>
  <si>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</si>
  <si>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</si>
  <si>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</si>
  <si>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</si>
  <si>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</si>
  <si>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</si>
  <si>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</si>
  <si>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</si>
  <si>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</si>
  <si>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</si>
  <si>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</si>
  <si>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</si>
  <si>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</si>
  <si>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</si>
  <si>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Outspoken comedian Katt Williams pokes fun at a variety of topics, including sex, relationships, parenthood and trying to make it as an entertainer.</t>
  </si>
  <si>
    <t>s7174</t>
  </si>
  <si>
    <t>Kaviyude Osyath</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</si>
  <si>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</si>
  <si>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</si>
  <si>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</si>
  <si>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</si>
  <si>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</si>
  <si>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</si>
  <si>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</si>
  <si>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</si>
  <si>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</si>
  <si>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</si>
  <si>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</si>
  <si>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</si>
  <si>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</si>
  <si>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</si>
  <si>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</si>
  <si>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</si>
  <si>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</si>
  <si>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</si>
  <si>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</si>
  <si>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</si>
  <si>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</si>
  <si>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</si>
  <si>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</si>
  <si>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</si>
  <si>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</si>
  <si>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</si>
  <si>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</si>
  <si>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</si>
  <si>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</si>
  <si>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</si>
  <si>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</si>
  <si>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</si>
  <si>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</si>
  <si>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</si>
  <si>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</si>
  <si>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</si>
  <si>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</si>
  <si>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</si>
  <si>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</si>
  <si>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</si>
  <si>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</si>
  <si>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</si>
  <si>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</si>
  <si>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</si>
  <si>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</si>
  <si>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</si>
  <si>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</si>
  <si>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</si>
  <si>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</si>
  <si>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</si>
  <si>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</si>
  <si>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</si>
  <si>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</si>
  <si>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</si>
  <si>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</si>
  <si>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</si>
  <si>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</si>
  <si>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</si>
  <si>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</si>
  <si>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</si>
  <si>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</si>
  <si>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</si>
  <si>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</si>
  <si>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</si>
  <si>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</si>
  <si>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</si>
  <si>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</si>
  <si>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</si>
  <si>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</si>
  <si>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</si>
  <si>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</si>
  <si>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</si>
  <si>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</si>
  <si>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</si>
  <si>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</si>
  <si>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</si>
  <si>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</si>
  <si>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</si>
  <si>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</si>
  <si>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</si>
  <si>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</si>
  <si>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</si>
  <si>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</si>
  <si>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</si>
  <si>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</si>
  <si>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</si>
  <si>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</si>
  <si>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</si>
  <si>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</si>
  <si>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</si>
  <si>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</si>
  <si>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</si>
  <si>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</si>
  <si>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</si>
  <si>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</si>
  <si>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</si>
  <si>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</si>
  <si>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</si>
  <si>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</si>
  <si>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</si>
  <si>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</si>
  <si>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</si>
  <si>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</si>
  <si>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</si>
  <si>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</si>
  <si>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</si>
  <si>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Jean-Baptiste Marcenac</t>
  </si>
  <si>
    <t>From politicians to officers, many attempted to kill Hitler – and failed. This documentary delves into the details of how their plots unraveled.</t>
  </si>
  <si>
    <t>s7202</t>
  </si>
  <si>
    <t>Kill Ratio</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</si>
  <si>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</si>
  <si>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</si>
  <si>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</si>
  <si>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</si>
  <si>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</si>
  <si>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</si>
  <si>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</si>
  <si>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</si>
  <si>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</si>
  <si>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</si>
  <si>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</si>
  <si>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</si>
  <si>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</si>
  <si>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</si>
  <si>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</si>
  <si>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</si>
  <si>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</si>
  <si>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</si>
  <si>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</si>
  <si>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</si>
  <si>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</si>
  <si>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</si>
  <si>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</si>
  <si>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</si>
  <si>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</si>
  <si>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</si>
  <si>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</si>
  <si>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</si>
  <si>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</si>
  <si>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</si>
  <si>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</si>
  <si>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</si>
  <si>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</si>
  <si>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Meet the astonishing animals and adventurous people living on some of the most spectacular – and formidable – mountain ranges in the world.</t>
  </si>
  <si>
    <t>s7211</t>
  </si>
  <si>
    <t>Kingpin</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</si>
  <si>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</si>
  <si>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</si>
  <si>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</si>
  <si>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</si>
  <si>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</si>
  <si>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</si>
  <si>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</si>
  <si>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</si>
  <si>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</si>
  <si>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</si>
  <si>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</si>
  <si>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</si>
  <si>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</si>
  <si>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</si>
  <si>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</si>
  <si>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</si>
  <si>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</si>
  <si>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</si>
  <si>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</si>
  <si>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</si>
  <si>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</si>
  <si>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</si>
  <si>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</si>
  <si>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</si>
  <si>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</si>
  <si>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</si>
  <si>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</si>
  <si>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</si>
  <si>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</si>
  <si>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</si>
  <si>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</si>
  <si>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</si>
  <si>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</si>
  <si>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</si>
  <si>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</si>
  <si>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</si>
  <si>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</si>
  <si>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</si>
  <si>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</si>
  <si>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</si>
  <si>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</si>
  <si>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Walter Huston, Dana Andrews</t>
  </si>
  <si>
    <t>Classic Movies, Documentaries</t>
  </si>
  <si>
    <t>Though culturally insensitive by modern standards, this propaganda film examines the history of Japan from the 16th century through the 1930s.</t>
  </si>
  <si>
    <t>s7221</t>
  </si>
  <si>
    <t>Knowing</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</si>
  <si>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</si>
  <si>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</si>
  <si>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</si>
  <si>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</si>
  <si>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</si>
  <si>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</si>
  <si>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</si>
  <si>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</si>
  <si>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</si>
  <si>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</si>
  <si>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</si>
  <si>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</si>
  <si>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</si>
  <si>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</si>
  <si>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</si>
  <si>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Sanjeev Kumar, Jaya Bhaduri, Asrani, Seema, Om Shivpuri, Dina Pathak</t>
  </si>
  <si>
    <t>A speech and hearing-impaired couple persists through unforgiving obstacles to be accepted by society and live a life of dignity.</t>
  </si>
  <si>
    <t>s7226</t>
  </si>
  <si>
    <t>Kraftidioten</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</si>
  <si>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</si>
  <si>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</si>
  <si>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</si>
  <si>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</si>
  <si>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</si>
  <si>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</si>
  <si>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</si>
  <si>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</si>
  <si>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</si>
  <si>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</si>
  <si>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</si>
  <si>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</si>
  <si>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</si>
  <si>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</si>
  <si>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</si>
  <si>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</si>
  <si>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</si>
  <si>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</si>
  <si>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</si>
  <si>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</si>
  <si>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</si>
  <si>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</si>
  <si>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</si>
  <si>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</si>
  <si>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</si>
  <si>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</si>
  <si>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</si>
  <si>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</si>
  <si>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</si>
  <si>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</si>
  <si>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</si>
  <si>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</si>
  <si>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</si>
  <si>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</si>
  <si>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</si>
  <si>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</si>
  <si>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</si>
  <si>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</si>
  <si>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</si>
  <si>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</si>
  <si>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</si>
  <si>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</si>
  <si>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</si>
  <si>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</si>
  <si>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</si>
  <si>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</si>
  <si>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</si>
  <si>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</si>
  <si>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</si>
  <si>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</si>
  <si>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</si>
  <si>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</si>
  <si>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</si>
  <si>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</si>
  <si>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</si>
  <si>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</si>
  <si>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</si>
  <si>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</si>
  <si>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</si>
  <si>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</si>
  <si>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</si>
  <si>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</si>
  <si>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</si>
  <si>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</si>
  <si>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</si>
  <si>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</si>
  <si>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</si>
  <si>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</si>
  <si>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</si>
  <si>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</si>
  <si>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</si>
  <si>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</si>
  <si>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</si>
  <si>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</si>
  <si>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</si>
  <si>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</si>
  <si>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</si>
  <si>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</si>
  <si>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</si>
  <si>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</si>
  <si>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</si>
  <si>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</si>
  <si>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</si>
  <si>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</si>
  <si>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</si>
  <si>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</si>
  <si>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</si>
  <si>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</si>
  <si>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</si>
  <si>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</si>
  <si>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</si>
  <si>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</si>
  <si>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</si>
  <si>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</si>
  <si>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</si>
  <si>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Kygo</t>
  </si>
  <si>
    <t>March 12, 2018</t>
  </si>
  <si>
    <t>Join Norwegian electronic music superstar Kygo onstage and behind the scenes as he performs at the famed L.A. venue with a bevy of special guests.</t>
  </si>
  <si>
    <t>s7250</t>
  </si>
  <si>
    <t>Kyun! Ho Gaya Na</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</si>
  <si>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</si>
  <si>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</si>
  <si>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</si>
  <si>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</si>
  <si>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</si>
  <si>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</si>
  <si>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</si>
  <si>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</si>
  <si>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</si>
  <si>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</si>
  <si>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</si>
  <si>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</si>
  <si>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</si>
  <si>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</si>
  <si>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</si>
  <si>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</si>
  <si>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</si>
  <si>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</si>
  <si>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</si>
  <si>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</si>
  <si>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</si>
  <si>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</si>
  <si>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</si>
  <si>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</si>
  <si>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</si>
  <si>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</si>
  <si>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</si>
  <si>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</si>
  <si>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</si>
  <si>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</si>
  <si>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</si>
  <si>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</si>
  <si>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</si>
  <si>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</si>
  <si>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</si>
  <si>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</si>
  <si>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</si>
  <si>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</si>
  <si>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</si>
  <si>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</si>
  <si>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</si>
  <si>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</si>
  <si>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</si>
  <si>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</si>
  <si>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</si>
  <si>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</si>
  <si>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</si>
  <si>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</si>
  <si>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</si>
  <si>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</si>
  <si>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</si>
  <si>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</si>
  <si>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</si>
  <si>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</si>
  <si>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</si>
  <si>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</si>
  <si>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</si>
  <si>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</si>
  <si>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</si>
  <si>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</si>
  <si>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</si>
  <si>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</si>
  <si>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</si>
  <si>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</si>
  <si>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</si>
  <si>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</si>
  <si>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</si>
  <si>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</si>
  <si>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</si>
  <si>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</si>
  <si>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</si>
  <si>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</si>
  <si>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</si>
  <si>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</si>
  <si>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</si>
  <si>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</si>
  <si>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</si>
  <si>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</si>
  <si>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</si>
  <si>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</si>
  <si>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Ramón O. Torres, Sheldon Best, Myles Clohessy, Larry Owens, Gabriel Sloyer</t>
  </si>
  <si>
    <t>Seeking romance and friendship, a young gay lawyer travels to Fire Island in the off-season and is soon on the run after witnessing a murder.</t>
  </si>
  <si>
    <t>s7271</t>
  </si>
  <si>
    <t>Last Knights</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</si>
  <si>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</si>
  <si>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</si>
  <si>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</si>
  <si>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</si>
  <si>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</si>
  <si>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</si>
  <si>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</si>
  <si>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</si>
  <si>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</si>
  <si>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Karim Benzema</t>
  </si>
  <si>
    <t>After a blackmailing scandal and being sidelined from the French national team, Real Madrid forward Karim Benzema tells his side of the story.</t>
  </si>
  <si>
    <t>s7274</t>
  </si>
  <si>
    <t>Le serment des Hitler</t>
  </si>
  <si>
    <t>This documentary retraces the footsteps of Adolf Hitler's mysterious nephew and explores what became of the Hitler family line.</t>
  </si>
  <si>
    <t>s7275</t>
  </si>
  <si>
    <t>Leap Year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</si>
  <si>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</si>
  <si>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</si>
  <si>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</si>
  <si>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</si>
  <si>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</si>
  <si>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</si>
  <si>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</si>
  <si>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</si>
  <si>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</si>
  <si>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</si>
  <si>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</si>
  <si>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</si>
  <si>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</si>
  <si>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</si>
  <si>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</si>
  <si>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</si>
  <si>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</si>
  <si>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</si>
  <si>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</si>
  <si>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</si>
  <si>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</si>
  <si>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</si>
  <si>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</si>
  <si>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Parvathy Ratheesh, Biju Sopanam, Sethulekshmi Amma, Molly Angamaly</t>
  </si>
  <si>
    <t>The spirit of a murdered woman contacts four bachelors, enlisting their help to find her killer.</t>
  </si>
  <si>
    <t>s7282</t>
  </si>
  <si>
    <t>Left Behind</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</si>
  <si>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</si>
  <si>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</si>
  <si>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</si>
  <si>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</si>
  <si>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</si>
  <si>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</si>
  <si>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</si>
  <si>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</si>
  <si>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</si>
  <si>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</si>
  <si>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</si>
  <si>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</si>
  <si>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</si>
  <si>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</si>
  <si>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</si>
  <si>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</si>
  <si>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</si>
  <si>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</si>
  <si>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</si>
  <si>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</si>
  <si>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</si>
  <si>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</si>
  <si>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</si>
  <si>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</si>
  <si>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</si>
  <si>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</si>
  <si>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</si>
  <si>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</si>
  <si>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</si>
  <si>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</si>
  <si>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</si>
  <si>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</si>
  <si>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</si>
  <si>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</si>
  <si>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</si>
  <si>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</si>
  <si>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</si>
  <si>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</si>
  <si>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</si>
  <si>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</si>
  <si>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</si>
  <si>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</si>
  <si>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</si>
  <si>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</si>
  <si>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</si>
  <si>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</si>
  <si>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</si>
  <si>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</si>
  <si>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</si>
  <si>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</si>
  <si>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</si>
  <si>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</si>
  <si>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This documentary charts 20 years of the French national soccer team, Les Bleus, whose ups and downs have mirrored those of French society.</t>
  </si>
  <si>
    <t>s7295</t>
  </si>
  <si>
    <t>Let There Be Light</t>
  </si>
  <si>
    <t>Walter Huston</t>
  </si>
  <si>
    <t>Some returning combat veterans suffer scars that are more psychological than physical. This film follows patients and staff during their treatment.</t>
  </si>
  <si>
    <t>s7296</t>
  </si>
  <si>
    <t>Leyla and Mecnun</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</si>
  <si>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</si>
  <si>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</si>
  <si>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</si>
  <si>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</si>
  <si>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</si>
  <si>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</si>
  <si>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</si>
  <si>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</si>
  <si>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</si>
  <si>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</si>
  <si>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</si>
  <si>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</si>
  <si>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</si>
  <si>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</si>
  <si>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</si>
  <si>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</si>
  <si>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</si>
  <si>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</si>
  <si>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</si>
  <si>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</si>
  <si>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</si>
  <si>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</si>
  <si>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</si>
  <si>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</si>
  <si>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</si>
  <si>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</si>
  <si>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</si>
  <si>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</si>
  <si>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</si>
  <si>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</si>
  <si>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</si>
  <si>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</si>
  <si>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</si>
  <si>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</si>
  <si>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</si>
  <si>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</si>
  <si>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</si>
  <si>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</si>
  <si>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</si>
  <si>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</si>
  <si>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</si>
  <si>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</si>
  <si>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</si>
  <si>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</si>
  <si>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</si>
  <si>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</si>
  <si>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</si>
  <si>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</si>
  <si>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</si>
  <si>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</si>
  <si>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</si>
  <si>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</si>
  <si>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</si>
  <si>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</si>
  <si>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</si>
  <si>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</si>
  <si>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</si>
  <si>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</si>
  <si>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</si>
  <si>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</si>
  <si>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</si>
  <si>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</si>
  <si>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</si>
  <si>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</si>
  <si>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</si>
  <si>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</si>
  <si>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</si>
  <si>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</si>
  <si>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</si>
  <si>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</si>
  <si>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</si>
  <si>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</si>
  <si>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</si>
  <si>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</si>
  <si>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</si>
  <si>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</si>
  <si>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</si>
  <si>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Mrs. Gonsha's students are excited about the end of primary school – until they discover that a classmate might not move on with them.</t>
  </si>
  <si>
    <t>s7316</t>
  </si>
  <si>
    <t>Little Men</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</si>
  <si>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</si>
  <si>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</si>
  <si>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</si>
  <si>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</si>
  <si>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</si>
  <si>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</si>
  <si>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</si>
  <si>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</si>
  <si>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</si>
  <si>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</si>
  <si>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</si>
  <si>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</si>
  <si>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</si>
  <si>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</si>
  <si>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</si>
  <si>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</si>
  <si>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</si>
  <si>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</si>
  <si>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</si>
  <si>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</si>
  <si>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</si>
  <si>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</si>
  <si>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</si>
  <si>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</si>
  <si>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</si>
  <si>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</si>
  <si>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</si>
  <si>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</si>
  <si>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</si>
  <si>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</si>
  <si>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</si>
  <si>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</si>
  <si>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</si>
  <si>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</si>
  <si>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</si>
  <si>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</si>
  <si>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</si>
  <si>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</si>
  <si>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</si>
  <si>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</si>
  <si>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</si>
  <si>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</si>
  <si>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</si>
  <si>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</si>
  <si>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</si>
  <si>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</si>
  <si>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</si>
  <si>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</si>
  <si>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</si>
  <si>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</si>
  <si>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</si>
  <si>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</si>
  <si>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</si>
  <si>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</si>
  <si>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</si>
  <si>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</si>
  <si>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</si>
  <si>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</si>
  <si>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</si>
  <si>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</si>
  <si>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</si>
  <si>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</si>
  <si>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</si>
  <si>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</si>
  <si>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</si>
  <si>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</si>
  <si>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</si>
  <si>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</si>
  <si>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</si>
  <si>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</si>
  <si>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</si>
  <si>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</si>
  <si>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</si>
  <si>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</si>
  <si>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</si>
  <si>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</si>
  <si>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</si>
  <si>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</si>
  <si>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</si>
  <si>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</si>
  <si>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</si>
  <si>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</si>
  <si>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</si>
  <si>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</si>
  <si>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</si>
  <si>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</si>
  <si>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</si>
  <si>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</si>
  <si>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</si>
  <si>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</si>
  <si>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</si>
  <si>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</si>
  <si>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</si>
  <si>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</si>
  <si>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</si>
  <si>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</si>
  <si>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</si>
  <si>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</si>
  <si>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</si>
  <si>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</si>
  <si>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</si>
  <si>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</si>
  <si>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</si>
  <si>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</si>
  <si>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</si>
  <si>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</si>
  <si>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</si>
  <si>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</si>
  <si>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</si>
  <si>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</si>
  <si>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</si>
  <si>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</si>
  <si>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</si>
  <si>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</si>
  <si>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</si>
  <si>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</si>
  <si>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</si>
  <si>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</si>
  <si>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</si>
  <si>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</si>
  <si>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</si>
  <si>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</si>
  <si>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</si>
  <si>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</si>
  <si>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</si>
  <si>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</si>
  <si>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</si>
  <si>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</si>
  <si>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</si>
  <si>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</si>
  <si>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</si>
  <si>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</si>
  <si>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</si>
  <si>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</si>
  <si>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</si>
  <si>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</si>
  <si>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</si>
  <si>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</si>
  <si>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</si>
  <si>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</si>
  <si>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</si>
  <si>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</si>
  <si>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</si>
  <si>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</si>
  <si>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</si>
  <si>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</si>
  <si>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</si>
  <si>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</si>
  <si>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</si>
  <si>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</si>
  <si>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</si>
  <si>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</si>
  <si>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</si>
  <si>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</si>
  <si>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</si>
  <si>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</si>
  <si>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</si>
  <si>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</si>
  <si>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</si>
  <si>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</si>
  <si>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</si>
  <si>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</si>
  <si>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</si>
  <si>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</si>
  <si>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</si>
  <si>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</si>
  <si>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</si>
  <si>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</si>
  <si>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</si>
  <si>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</si>
  <si>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</si>
  <si>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</si>
  <si>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</si>
  <si>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</si>
  <si>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</si>
  <si>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</si>
  <si>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</si>
  <si>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</si>
  <si>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</si>
  <si>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</si>
  <si>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</si>
  <si>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</si>
  <si>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</si>
  <si>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</si>
  <si>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</si>
  <si>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</si>
  <si>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</si>
  <si>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</si>
  <si>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</si>
  <si>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</si>
  <si>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</si>
  <si>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</si>
  <si>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</si>
  <si>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</si>
  <si>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</si>
  <si>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</si>
  <si>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</si>
  <si>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</si>
  <si>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Pasupathy, Janani Iyer, Pratap Pothen</t>
  </si>
  <si>
    <t>The relationship between a journalist and a lawyer she meets while investigating a story grows complicated as she uncovers layers of deception.</t>
  </si>
  <si>
    <t>s7365</t>
  </si>
  <si>
    <t>Maacher Jhol</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</si>
  <si>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</si>
  <si>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</si>
  <si>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</si>
  <si>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</si>
  <si>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</si>
  <si>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</si>
  <si>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</si>
  <si>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</si>
  <si>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</si>
  <si>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</si>
  <si>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</si>
  <si>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</si>
  <si>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</si>
  <si>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</si>
  <si>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</si>
  <si>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</si>
  <si>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</si>
  <si>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</si>
  <si>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</si>
  <si>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</si>
  <si>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</si>
  <si>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</si>
  <si>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</si>
  <si>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</si>
  <si>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</si>
  <si>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</si>
  <si>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</si>
  <si>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</si>
  <si>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</si>
  <si>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</si>
  <si>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</si>
  <si>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</si>
  <si>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</si>
  <si>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</si>
  <si>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</si>
  <si>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</si>
  <si>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</si>
  <si>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</si>
  <si>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</si>
  <si>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Steve Madden</t>
  </si>
  <si>
    <t>This documentary chronicles the rise of the footwear designer behind a billion-dollar empire and his subsequent comeback after a financial scandal.</t>
  </si>
  <si>
    <t>s7375</t>
  </si>
  <si>
    <t>Madre</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</si>
  <si>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</si>
  <si>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</si>
  <si>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</si>
  <si>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</si>
  <si>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</si>
  <si>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</si>
  <si>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</si>
  <si>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</si>
  <si>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</si>
  <si>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</si>
  <si>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</si>
  <si>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</si>
  <si>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</si>
  <si>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</si>
  <si>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</si>
  <si>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</si>
  <si>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</si>
  <si>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</si>
  <si>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</si>
  <si>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</si>
  <si>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Magnus Carlsen</t>
  </si>
  <si>
    <t>This dramatic documentary explores the life and mind of Magnus Carlsen, the charismatic Norwegian prodigy who became world chess champion.</t>
  </si>
  <si>
    <t>s7381</t>
  </si>
  <si>
    <t>Mahabharat</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</si>
  <si>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</si>
  <si>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</si>
  <si>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</si>
  <si>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</si>
  <si>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</si>
  <si>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</si>
  <si>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</si>
  <si>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</si>
  <si>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</si>
  <si>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</si>
  <si>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</si>
  <si>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</si>
  <si>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</si>
  <si>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</si>
  <si>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</si>
  <si>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</si>
  <si>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</si>
  <si>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</si>
  <si>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</si>
  <si>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</si>
  <si>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</si>
  <si>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</si>
  <si>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</si>
  <si>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</si>
  <si>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</si>
  <si>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</si>
  <si>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</si>
  <si>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</si>
  <si>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</si>
  <si>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</si>
  <si>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</si>
  <si>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</si>
  <si>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</si>
  <si>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</si>
  <si>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</si>
  <si>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</si>
  <si>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</si>
  <si>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</si>
  <si>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</si>
  <si>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</si>
  <si>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</si>
  <si>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 Tiger Chen, Karen Mok, Simon Yam, Qing Ye, Hai Yu, Sam Lee, Iko Uwais</t>
  </si>
  <si>
    <t>In this kung fu tale set in Beijing, a young man armed with incomparable martial arts skills gets embroiled in the world of underground fight clubs.</t>
  </si>
  <si>
    <t>s7392</t>
  </si>
  <si>
    <t>Man Up</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</si>
  <si>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</si>
  <si>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</si>
  <si>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</si>
  <si>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</si>
  <si>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</si>
  <si>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</si>
  <si>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</si>
  <si>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</si>
  <si>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</si>
  <si>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</si>
  <si>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</si>
  <si>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</si>
  <si>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</si>
  <si>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</si>
  <si>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</si>
  <si>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</si>
  <si>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</si>
  <si>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</si>
  <si>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</si>
  <si>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</si>
  <si>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</si>
  <si>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</si>
  <si>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Ram Gopal Bajaj, Pankaj Tripathi, Sameer Kochhar</t>
  </si>
  <si>
    <t>Concerned that dementia will soon steal his most cherished memories, a Hindu doctor hires a Mulsim rickshaw driver to take him to his childhood home.</t>
  </si>
  <si>
    <t>s7398</t>
  </si>
  <si>
    <t>Manhattan Romance</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</si>
  <si>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</si>
  <si>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</si>
  <si>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</si>
  <si>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</si>
  <si>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</si>
  <si>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</si>
  <si>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</si>
  <si>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</si>
  <si>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</si>
  <si>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</si>
  <si>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</si>
  <si>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</si>
  <si>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</si>
  <si>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</si>
  <si>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</si>
  <si>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</si>
  <si>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</si>
  <si>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</si>
  <si>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</si>
  <si>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</si>
  <si>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</si>
  <si>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</si>
  <si>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</si>
  <si>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</si>
  <si>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</si>
  <si>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</si>
  <si>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</si>
  <si>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</si>
  <si>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</si>
  <si>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</si>
  <si>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</si>
  <si>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</si>
  <si>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</si>
  <si>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</si>
  <si>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</si>
  <si>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</si>
  <si>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</si>
  <si>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</si>
  <si>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</si>
  <si>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</si>
  <si>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</si>
  <si>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</si>
  <si>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</si>
  <si>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</si>
  <si>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</si>
  <si>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</si>
  <si>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</si>
  <si>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</si>
  <si>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</si>
  <si>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</si>
  <si>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</si>
  <si>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</si>
  <si>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</si>
  <si>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</si>
  <si>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</si>
  <si>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</si>
  <si>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This provocative film sheds light on actor-comedian Martin Lawrence's roots, his rise to fame and his walk on the wild side.</t>
  </si>
  <si>
    <t>s7413</t>
  </si>
  <si>
    <t>Martin Luther: The Idea that Changed the World</t>
  </si>
  <si>
    <t>This docudrama tells the dramatic story of the monk who took on the Catholic Church, tracing his life before and after the contentious "95 Theses."</t>
  </si>
  <si>
    <t>s7414</t>
  </si>
  <si>
    <t>Martyrs of Marriage</t>
  </si>
  <si>
    <t>This documentary reveals the cracks in India's anti-dowry act and gives voice to both women and men who've been victimized by the law's abusers.</t>
  </si>
  <si>
    <t>s7415</t>
  </si>
  <si>
    <t>Marvel &amp; ESPN Films Present: 1 of 1: Genesis</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</si>
  <si>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</si>
  <si>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</si>
  <si>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</si>
  <si>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</si>
  <si>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</si>
  <si>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</si>
  <si>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</si>
  <si>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</si>
  <si>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</si>
  <si>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</si>
  <si>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</si>
  <si>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</si>
  <si>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</si>
  <si>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</si>
  <si>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</si>
  <si>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</si>
  <si>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</si>
  <si>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</si>
  <si>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</si>
  <si>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</si>
  <si>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</si>
  <si>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</si>
  <si>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</si>
  <si>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</si>
  <si>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</si>
  <si>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</si>
  <si>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</si>
  <si>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</si>
  <si>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</si>
  <si>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</si>
  <si>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</si>
  <si>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</si>
  <si>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</si>
  <si>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</si>
  <si>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</si>
  <si>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Sudhir Joshi, Vandana Gupte, Ankush Chaudhari, Madhura Velankar, Sanjay Mone, Anand Abhyankar</t>
  </si>
  <si>
    <t>A jealous, possessive mother thinks she is competing with her new daughter-in-law for the affections of her overindulged son.</t>
  </si>
  <si>
    <t>s7424</t>
  </si>
  <si>
    <t>Max Rose</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</si>
  <si>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</si>
  <si>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</si>
  <si>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</si>
  <si>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</si>
  <si>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</si>
  <si>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</si>
  <si>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</si>
  <si>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</si>
  <si>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</si>
  <si>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</si>
  <si>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</si>
  <si>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</si>
  <si>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</si>
  <si>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</si>
  <si>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</si>
  <si>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</si>
  <si>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</si>
  <si>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</si>
  <si>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</si>
  <si>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</si>
  <si>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</si>
  <si>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</si>
  <si>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</si>
  <si>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</si>
  <si>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</si>
  <si>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</si>
  <si>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</si>
  <si>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</si>
  <si>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</si>
  <si>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</si>
  <si>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</si>
  <si>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</si>
  <si>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</si>
  <si>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</si>
  <si>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</si>
  <si>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</si>
  <si>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</si>
  <si>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</si>
  <si>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</si>
  <si>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</si>
  <si>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</si>
  <si>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</si>
  <si>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</si>
  <si>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</si>
  <si>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</si>
  <si>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</si>
  <si>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</si>
  <si>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</si>
  <si>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</si>
  <si>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</si>
  <si>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</si>
  <si>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</si>
  <si>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</si>
  <si>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</si>
  <si>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</si>
  <si>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</si>
  <si>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</si>
  <si>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</si>
  <si>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</si>
  <si>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</si>
  <si>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</si>
  <si>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</si>
  <si>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</si>
  <si>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</si>
  <si>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</si>
  <si>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</si>
  <si>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</si>
  <si>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</si>
  <si>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</si>
  <si>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</si>
  <si>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Germany, United States, Sweden</t>
  </si>
  <si>
    <t>Glimpse into the brain's vast potential for memorization through the eyes of four competitive memory athletes as they share techniques and insights.</t>
  </si>
  <si>
    <t>s7443</t>
  </si>
  <si>
    <t>Men in Black</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</si>
  <si>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</si>
  <si>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</si>
  <si>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</si>
  <si>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</si>
  <si>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</si>
  <si>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</si>
  <si>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</si>
  <si>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</si>
  <si>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</si>
  <si>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</si>
  <si>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</si>
  <si>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</si>
  <si>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</si>
  <si>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</si>
  <si>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</si>
  <si>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</si>
  <si>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</si>
  <si>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</si>
  <si>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</si>
  <si>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</si>
  <si>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</si>
  <si>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</si>
  <si>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</si>
  <si>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</si>
  <si>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</si>
  <si>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</si>
  <si>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</si>
  <si>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</si>
  <si>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</si>
  <si>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</si>
  <si>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</si>
  <si>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</si>
  <si>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</si>
  <si>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</si>
  <si>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</si>
  <si>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</si>
  <si>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</si>
  <si>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</si>
  <si>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</si>
  <si>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</si>
  <si>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</si>
  <si>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</si>
  <si>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</si>
  <si>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</si>
  <si>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</si>
  <si>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</si>
  <si>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</si>
  <si>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</si>
  <si>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</si>
  <si>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</si>
  <si>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</si>
  <si>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</si>
  <si>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</si>
  <si>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</si>
  <si>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</si>
  <si>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</si>
  <si>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</si>
  <si>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</si>
  <si>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</si>
  <si>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</si>
  <si>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</si>
  <si>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</si>
  <si>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</si>
  <si>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</si>
  <si>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</si>
  <si>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</si>
  <si>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</si>
  <si>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</si>
  <si>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</si>
  <si>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</si>
  <si>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</si>
  <si>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</si>
  <si>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</si>
  <si>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</si>
  <si>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</si>
  <si>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</si>
  <si>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</si>
  <si>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</si>
  <si>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</si>
  <si>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</si>
  <si>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</si>
  <si>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</si>
  <si>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</si>
  <si>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</si>
  <si>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</si>
  <si>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</si>
  <si>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</si>
  <si>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</si>
  <si>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</si>
  <si>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</si>
  <si>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</si>
  <si>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</si>
  <si>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</si>
  <si>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</si>
  <si>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</si>
  <si>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</si>
  <si>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</si>
  <si>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</si>
  <si>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</si>
  <si>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</si>
  <si>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</si>
  <si>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</si>
  <si>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</si>
  <si>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</si>
  <si>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</si>
  <si>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</si>
  <si>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</si>
  <si>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</si>
  <si>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</si>
  <si>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</si>
  <si>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</si>
  <si>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</si>
  <si>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</si>
  <si>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</si>
  <si>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</si>
  <si>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</si>
  <si>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Sharon Jones</t>
  </si>
  <si>
    <t>This uplifting documentary follows R&amp;B singer Sharon Jones's battle with pancreatic cancer while keeping her band intact for a return to the stage.</t>
  </si>
  <si>
    <t>s7471</t>
  </si>
  <si>
    <t>Miss Stevens</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</si>
  <si>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</si>
  <si>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</si>
  <si>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</si>
  <si>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</si>
  <si>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</si>
  <si>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Combining archive footage with present-day interviews, this documentary explores how Apollo's mission control helped change the course of history.</t>
  </si>
  <si>
    <t>s7473</t>
  </si>
  <si>
    <t>Mission of Honor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</si>
  <si>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</si>
  <si>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</si>
  <si>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</si>
  <si>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</si>
  <si>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</si>
  <si>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</si>
  <si>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</si>
  <si>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</si>
  <si>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</si>
  <si>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</si>
  <si>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</si>
  <si>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</si>
  <si>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</si>
  <si>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Ranvir Shorey, Neha Dhupia, Devendra Chowhan, Ashwath Bhatt, Vidushi Mehra, Anant Raina</t>
  </si>
  <si>
    <t>After investing in a shady deal that quickly falls apart, a morally flexible real estate agent involves his wife in a dangerous recovery plan.</t>
  </si>
  <si>
    <t>s7477</t>
  </si>
  <si>
    <t>Mohawk</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</si>
  <si>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</si>
  <si>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</si>
  <si>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</si>
  <si>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</si>
  <si>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</si>
  <si>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</si>
  <si>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</si>
  <si>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</si>
  <si>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</si>
  <si>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</si>
  <si>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</si>
  <si>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</si>
  <si>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</si>
  <si>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</si>
  <si>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</si>
  <si>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</si>
  <si>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</si>
  <si>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</si>
  <si>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</si>
  <si>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</si>
  <si>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</si>
  <si>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</si>
  <si>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</si>
  <si>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</si>
  <si>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</si>
  <si>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</si>
  <si>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</si>
  <si>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</si>
  <si>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</si>
  <si>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</si>
  <si>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</si>
  <si>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</si>
  <si>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</si>
  <si>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</si>
  <si>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</si>
  <si>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</si>
  <si>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</si>
  <si>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</si>
  <si>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</si>
  <si>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</si>
  <si>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</si>
  <si>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</si>
  <si>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</si>
  <si>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</si>
  <si>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</si>
  <si>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Mohamed Mamdouh, Mohammed Tharwat, Akram Hosny</t>
  </si>
  <si>
    <t>Seeking revenge on his employer, a lazy bank agent and his two dim-witted friends concoct an elaborate but flawed heist.</t>
  </si>
  <si>
    <t>s7489</t>
  </si>
  <si>
    <t>Monster Family</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</si>
  <si>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</si>
  <si>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</si>
  <si>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</si>
  <si>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</si>
  <si>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</si>
  <si>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</si>
  <si>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</si>
  <si>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</si>
  <si>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</si>
  <si>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</si>
  <si>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</si>
  <si>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</si>
  <si>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</si>
  <si>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</si>
  <si>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</si>
  <si>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</si>
  <si>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</si>
  <si>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</si>
  <si>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</si>
  <si>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</si>
  <si>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</si>
  <si>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</si>
  <si>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</si>
  <si>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</si>
  <si>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</si>
  <si>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</si>
  <si>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</si>
  <si>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</si>
  <si>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</si>
  <si>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</si>
  <si>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</si>
  <si>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</si>
  <si>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</si>
  <si>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</si>
  <si>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</si>
  <si>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</si>
  <si>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</si>
  <si>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</si>
  <si>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</si>
  <si>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</si>
  <si>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</si>
  <si>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</si>
  <si>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March 24, 2018</t>
  </si>
  <si>
    <t>Hearing that their old school is being haunted, Spectra Vondergeist and her pals head back to Monster High to get to the bottom of the scary spookery.</t>
  </si>
  <si>
    <t>s7500</t>
  </si>
  <si>
    <t>Monster High: New Ghoul at School</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</si>
  <si>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</si>
  <si>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</si>
  <si>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</si>
  <si>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</si>
  <si>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</si>
  <si>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</si>
  <si>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</si>
  <si>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</si>
  <si>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</si>
  <si>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</si>
  <si>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</si>
  <si>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</si>
  <si>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</si>
  <si>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</si>
  <si>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</si>
  <si>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</si>
  <si>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</si>
  <si>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</si>
  <si>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</si>
  <si>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</si>
  <si>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</si>
  <si>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</si>
  <si>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</si>
  <si>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</si>
  <si>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</si>
  <si>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</si>
  <si>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</si>
  <si>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</si>
  <si>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</si>
  <si>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</si>
  <si>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</si>
  <si>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</si>
  <si>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</si>
  <si>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</si>
  <si>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</si>
  <si>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</si>
  <si>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</si>
  <si>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</si>
  <si>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</si>
  <si>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</si>
  <si>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</si>
  <si>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</si>
  <si>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</si>
  <si>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</si>
  <si>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</si>
  <si>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</si>
  <si>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</si>
  <si>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</si>
  <si>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</si>
  <si>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This comic documentary follows the Mortified movement, a series of stage events where adults share awkward childhood moments in front of strangers.</t>
  </si>
  <si>
    <t>s7513</t>
  </si>
  <si>
    <t>Morya</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</si>
  <si>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</si>
  <si>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</si>
  <si>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</si>
  <si>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</si>
  <si>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</si>
  <si>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</si>
  <si>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</si>
  <si>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</si>
  <si>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</si>
  <si>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</si>
  <si>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</si>
  <si>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</si>
  <si>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</si>
  <si>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</si>
  <si>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</si>
  <si>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</si>
  <si>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</si>
  <si>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</si>
  <si>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</si>
  <si>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</si>
  <si>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</si>
  <si>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</si>
  <si>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</si>
  <si>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</si>
  <si>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</si>
  <si>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</si>
  <si>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Ohad Naharin</t>
  </si>
  <si>
    <t>Israel, Sweden, Germany, Netherlands</t>
  </si>
  <si>
    <t>World-renowned choreographer Ohad Naharin is profiled in this vivid documentary that mixes rehearsal footage with insights about his influence.</t>
  </si>
  <si>
    <t>s7520</t>
  </si>
  <si>
    <t>Mr. Virgin</t>
  </si>
  <si>
    <t>Olivia Cheng, Alfred Cheung, Hu Chin, Chung Ping Geung, Anglie Leung</t>
  </si>
  <si>
    <t>When a young man ignores a feng shui master’s warning and decides to marry before turning 30, a series of mishaps begins to curse his life.</t>
  </si>
  <si>
    <t>s7521</t>
  </si>
  <si>
    <t>Mr. Woodcock</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</si>
  <si>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</si>
  <si>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</si>
  <si>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</si>
  <si>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</si>
  <si>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</si>
  <si>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</si>
  <si>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</si>
  <si>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</si>
  <si>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</si>
  <si>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</si>
  <si>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</si>
  <si>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</si>
  <si>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</si>
  <si>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</si>
  <si>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</si>
  <si>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</si>
  <si>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</si>
  <si>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</si>
  <si>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</si>
  <si>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</si>
  <si>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</si>
  <si>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</si>
  <si>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</si>
  <si>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</si>
  <si>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</si>
  <si>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</si>
  <si>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</si>
  <si>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</si>
  <si>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</si>
  <si>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</si>
  <si>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</si>
  <si>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</si>
  <si>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</si>
  <si>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</si>
  <si>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</si>
  <si>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</si>
  <si>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</si>
  <si>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</si>
  <si>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</si>
  <si>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</si>
  <si>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</si>
  <si>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</si>
  <si>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</si>
  <si>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</si>
  <si>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</si>
  <si>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</si>
  <si>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</si>
  <si>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</si>
  <si>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</si>
  <si>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</si>
  <si>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</si>
  <si>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</si>
  <si>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</si>
  <si>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</si>
  <si>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</si>
  <si>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</si>
  <si>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</si>
  <si>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</si>
  <si>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</si>
  <si>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</si>
  <si>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</si>
  <si>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</si>
  <si>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</si>
  <si>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</si>
  <si>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</si>
  <si>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</si>
  <si>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</si>
  <si>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</si>
  <si>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</si>
  <si>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</si>
  <si>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</si>
  <si>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</si>
  <si>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</si>
  <si>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</si>
  <si>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</si>
  <si>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</si>
  <si>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</si>
  <si>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</si>
  <si>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</si>
  <si>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</si>
  <si>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</si>
  <si>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</si>
  <si>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</si>
  <si>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</si>
  <si>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</si>
  <si>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</si>
  <si>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</si>
  <si>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</si>
  <si>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</si>
  <si>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</si>
  <si>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</si>
  <si>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</si>
  <si>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</si>
  <si>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</si>
  <si>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</si>
  <si>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</si>
  <si>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</si>
  <si>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</si>
  <si>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</si>
  <si>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</si>
  <si>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</si>
  <si>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</si>
  <si>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</si>
  <si>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</si>
  <si>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</si>
  <si>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</si>
  <si>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</si>
  <si>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</si>
  <si>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</si>
  <si>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</si>
  <si>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</si>
  <si>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</si>
  <si>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</si>
  <si>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</si>
  <si>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</si>
  <si>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</si>
  <si>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</si>
  <si>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</si>
  <si>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</si>
  <si>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</si>
  <si>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</si>
  <si>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</si>
  <si>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</si>
  <si>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</si>
  <si>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</si>
  <si>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</si>
  <si>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</si>
  <si>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</si>
  <si>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</si>
  <si>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</si>
  <si>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</si>
  <si>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</si>
  <si>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</si>
  <si>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</si>
  <si>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</si>
  <si>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</si>
  <si>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</si>
  <si>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</si>
  <si>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</si>
  <si>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</si>
  <si>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</si>
  <si>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Italy, India</t>
  </si>
  <si>
    <t>February 5, 2017</t>
  </si>
  <si>
    <t>This documentary examines the naked yoga gurus of India whose devout spiritual practice connects them to the eternal, transcending the material world.</t>
  </si>
  <si>
    <t>s7556</t>
  </si>
  <si>
    <t>Nails</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</si>
  <si>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</si>
  <si>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</si>
  <si>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</si>
  <si>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</si>
  <si>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</si>
  <si>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</si>
  <si>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</si>
  <si>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</si>
  <si>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</si>
  <si>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</si>
  <si>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</si>
  <si>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</si>
  <si>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</si>
  <si>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</si>
  <si>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</si>
  <si>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</si>
  <si>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</si>
  <si>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</si>
  <si>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</si>
  <si>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</si>
  <si>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</si>
  <si>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</si>
  <si>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Three former military operatives offer disturbing, firsthand accounts of the deadly impact that U.S. drone warfare has had on civilians overseas.</t>
  </si>
  <si>
    <t>s7563</t>
  </si>
  <si>
    <t>National Lampoon's Loaded Weapon 1</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</si>
  <si>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</si>
  <si>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</si>
  <si>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</si>
  <si>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</si>
  <si>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</si>
  <si>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</si>
  <si>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</si>
  <si>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</si>
  <si>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</si>
  <si>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</si>
  <si>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</si>
  <si>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</si>
  <si>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</si>
  <si>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</si>
  <si>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</si>
  <si>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</si>
  <si>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Vitaly Zdorovetskiy, Dennis Roady</t>
  </si>
  <si>
    <t>The biggest pranksters on YouTube – VitalyzdTV, Dennis Roady and Roman Atwood – turn Hollywood into "Prankwood" with their most over-the-top stunts.</t>
  </si>
  <si>
    <t>s7568</t>
  </si>
  <si>
    <t>Natural Selection</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</si>
  <si>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</si>
  <si>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</si>
  <si>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</si>
  <si>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</si>
  <si>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</si>
  <si>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</si>
  <si>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</si>
  <si>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</si>
  <si>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</si>
  <si>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</si>
  <si>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</si>
  <si>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</si>
  <si>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</si>
  <si>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</si>
  <si>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</si>
  <si>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</si>
  <si>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</si>
  <si>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</si>
  <si>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</si>
  <si>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</si>
  <si>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</si>
  <si>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</si>
  <si>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</si>
  <si>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</si>
  <si>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</si>
  <si>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</si>
  <si>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</si>
  <si>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</si>
  <si>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</si>
  <si>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</si>
  <si>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</si>
  <si>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</si>
  <si>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</si>
  <si>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</si>
  <si>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</si>
  <si>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</si>
  <si>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</si>
  <si>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</si>
  <si>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</si>
  <si>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</si>
  <si>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</si>
  <si>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</si>
  <si>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</si>
  <si>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</si>
  <si>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</si>
  <si>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</si>
  <si>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</si>
  <si>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</si>
  <si>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</si>
  <si>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</si>
  <si>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</si>
  <si>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</si>
  <si>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</si>
  <si>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</si>
  <si>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</si>
  <si>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</si>
  <si>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</si>
  <si>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</si>
  <si>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</si>
  <si>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</si>
  <si>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</si>
  <si>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</si>
  <si>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</si>
  <si>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</si>
  <si>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</si>
  <si>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</si>
  <si>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</si>
  <si>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</si>
  <si>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</si>
  <si>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</si>
  <si>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</si>
  <si>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</si>
  <si>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</si>
  <si>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</si>
  <si>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</si>
  <si>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</si>
  <si>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</si>
  <si>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</si>
  <si>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</si>
  <si>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</si>
  <si>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</si>
  <si>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</si>
  <si>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</si>
  <si>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</si>
  <si>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</si>
  <si>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</si>
  <si>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</si>
  <si>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</si>
  <si>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</si>
  <si>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</si>
  <si>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</si>
  <si>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</si>
  <si>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</si>
  <si>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</si>
  <si>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</si>
  <si>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</si>
  <si>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</si>
  <si>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</si>
  <si>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</si>
  <si>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</si>
  <si>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</si>
  <si>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</si>
  <si>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</si>
  <si>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</si>
  <si>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</si>
  <si>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</si>
  <si>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</si>
  <si>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</si>
  <si>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</si>
  <si>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</si>
  <si>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</si>
  <si>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</si>
  <si>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</si>
  <si>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</si>
  <si>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</si>
  <si>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</si>
  <si>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</si>
  <si>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</si>
  <si>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</si>
  <si>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</si>
  <si>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</si>
  <si>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</si>
  <si>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</si>
  <si>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</si>
  <si>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</si>
  <si>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</si>
  <si>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</si>
  <si>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</si>
  <si>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</si>
  <si>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</si>
  <si>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</si>
  <si>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</si>
  <si>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</si>
  <si>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</si>
  <si>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</si>
  <si>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</si>
  <si>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</si>
  <si>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</si>
  <si>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Eric Meyers</t>
  </si>
  <si>
    <t>Thirty years after Chernobyl’s nuclear disaster, engineers race against time to complete a new dome to contain the reactor’s lethal radiation.</t>
  </si>
  <si>
    <t>s7603</t>
  </si>
  <si>
    <t>NOVA: Chinese Chariot Revealed</t>
  </si>
  <si>
    <t>The chariot dominated Chinese warfare for millennia. Now, a team of experts is building their own and unlocking its many secrets.</t>
  </si>
  <si>
    <t>s7604</t>
  </si>
  <si>
    <t>NOVA: Day the Dinosaurs Died</t>
  </si>
  <si>
    <t>Drilling into the impact crater of the asteroid that wiped out the dinosaurs, a group of scientists unearths new evidence about the catastrophic event.</t>
  </si>
  <si>
    <t>s7605</t>
  </si>
  <si>
    <t>NOVA: Death Dive to Saturn</t>
  </si>
  <si>
    <t>After decades of amazing discoveries, spacecraft Cassini embarks on its final – and most daring – mission: a dive below Saturn’s rings.</t>
  </si>
  <si>
    <t>s7606</t>
  </si>
  <si>
    <t>NOVA: Decoding the Weather Machine</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</si>
  <si>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</si>
  <si>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</si>
  <si>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</si>
  <si>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</si>
  <si>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</si>
  <si>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</si>
  <si>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</si>
  <si>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Doug Averill</t>
  </si>
  <si>
    <t>From huge tusks to giant horns, some animals sport weaponry that’s larger than life. Researchers explain the science behind this biological arms race.</t>
  </si>
  <si>
    <t>s7609</t>
  </si>
  <si>
    <t>NOVA: First Face of America</t>
  </si>
  <si>
    <t>During risky expeditions in an underwater cave, scientists unearth a 13,000-year-old skeleton to gain insight into the earliest known humans in America.</t>
  </si>
  <si>
    <t>s7610</t>
  </si>
  <si>
    <t>NOVA: Holocaust Escape Tunnel</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</si>
  <si>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</si>
  <si>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</si>
  <si>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</si>
  <si>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</si>
  <si>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</si>
  <si>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</si>
  <si>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</si>
  <si>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</si>
  <si>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</si>
  <si>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</si>
  <si>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</si>
  <si>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</si>
  <si>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</si>
  <si>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</si>
  <si>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</si>
  <si>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</si>
  <si>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</si>
  <si>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</si>
  <si>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</si>
  <si>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</si>
  <si>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A master armorer and his team recreate parts of a knight's medieval armor and test its strength while rediscovering centuries-old metalworking secrets.</t>
  </si>
  <si>
    <t>s7617</t>
  </si>
  <si>
    <t>NOVA: Thai Cave Rescue</t>
  </si>
  <si>
    <t>An international team of rescue workers race to save 12 young soccer players and their coach trapped in a flooded cave in Thailand.</t>
  </si>
  <si>
    <t>s7618</t>
  </si>
  <si>
    <t>NOVA: The Impossible Flight</t>
  </si>
  <si>
    <t>Two adventurous pilots attempt to fly around the world without using any fuel, relying only on the power of the sun.</t>
  </si>
  <si>
    <t>s7619</t>
  </si>
  <si>
    <t>Nova: Ultimate Mars Challenge</t>
  </si>
  <si>
    <t>Lance Lewman</t>
  </si>
  <si>
    <t>With access to the scientists and engineers responsible for the Curiosity rover's on-the-ground experiments, NOVA captures its landing on Mars.</t>
  </si>
  <si>
    <t>s7620</t>
  </si>
  <si>
    <t>November Criminals</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</si>
  <si>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</si>
  <si>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</si>
  <si>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</si>
  <si>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</si>
  <si>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</si>
  <si>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</si>
  <si>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</si>
  <si>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</si>
  <si>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Chicago</t>
  </si>
  <si>
    <t>This rockumentary tells the behind-the-scenes story of the Hall-of-Fame band Chicago, from their jazz-rock fusion roots to chart-topping pop hits.</t>
  </si>
  <si>
    <t>s7623</t>
  </si>
  <si>
    <t>Nowhere Boy</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</si>
  <si>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</si>
  <si>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</si>
  <si>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</si>
  <si>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</si>
  <si>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</si>
  <si>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</si>
  <si>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</si>
  <si>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</si>
  <si>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</si>
  <si>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</si>
  <si>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</si>
  <si>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</si>
  <si>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</si>
  <si>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Guided by survivors' testimonies, this documentary explores the history and meaning of the numbers tattooed on the bodies of Auschwitz prisoners.</t>
  </si>
  <si>
    <t>s7627</t>
  </si>
  <si>
    <t>Numero Zero. The Roots of Italian Rap</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</si>
  <si>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</si>
  <si>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</si>
  <si>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</si>
  <si>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</si>
  <si>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</si>
  <si>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</si>
  <si>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</si>
  <si>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</si>
  <si>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</si>
  <si>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</si>
  <si>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</si>
  <si>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</si>
  <si>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</si>
  <si>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</si>
  <si>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</si>
  <si>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</si>
  <si>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</si>
  <si>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</si>
  <si>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</si>
  <si>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</si>
  <si>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</si>
  <si>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</si>
  <si>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</si>
  <si>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</si>
  <si>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</si>
  <si>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</si>
  <si>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</si>
  <si>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</si>
  <si>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</si>
  <si>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</si>
  <si>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</si>
  <si>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</si>
  <si>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</si>
  <si>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</si>
  <si>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</si>
  <si>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</si>
  <si>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</si>
  <si>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</si>
  <si>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</si>
  <si>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</si>
  <si>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</si>
  <si>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</si>
  <si>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</si>
  <si>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</si>
  <si>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</si>
  <si>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</si>
  <si>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</si>
  <si>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</si>
  <si>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</si>
  <si>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</si>
  <si>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</si>
  <si>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</si>
  <si>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</si>
  <si>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</si>
  <si>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</si>
  <si>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</si>
  <si>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</si>
  <si>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</si>
  <si>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</si>
  <si>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</si>
  <si>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</si>
  <si>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</si>
  <si>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</si>
  <si>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</si>
  <si>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</si>
  <si>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</si>
  <si>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</si>
  <si>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</si>
  <si>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</si>
  <si>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</si>
  <si>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</si>
  <si>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</si>
  <si>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</si>
  <si>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</si>
  <si>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</si>
  <si>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</si>
  <si>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</si>
  <si>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</si>
  <si>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</si>
  <si>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</si>
  <si>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</si>
  <si>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</si>
  <si>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</si>
  <si>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</si>
  <si>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</si>
  <si>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</si>
  <si>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</si>
  <si>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</si>
  <si>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</si>
  <si>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</si>
  <si>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</si>
  <si>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</si>
  <si>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</si>
  <si>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</si>
  <si>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</si>
  <si>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</si>
  <si>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</si>
  <si>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</si>
  <si>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</si>
  <si>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</si>
  <si>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</si>
  <si>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</si>
  <si>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</si>
  <si>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</si>
  <si>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</si>
  <si>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Michael O’Neill</t>
  </si>
  <si>
    <t>Brazil, India, China, United States</t>
  </si>
  <si>
    <t>Based on photographer Michael O’Neill’s book of the same name, this documentary traces the author’s 10-year journey through the landscape of yoga.</t>
  </si>
  <si>
    <t>s7654</t>
  </si>
  <si>
    <t>Onaatah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</si>
  <si>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</si>
  <si>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</si>
  <si>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</si>
  <si>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</si>
  <si>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</si>
  <si>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</si>
  <si>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</si>
  <si>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</si>
  <si>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</si>
  <si>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</si>
  <si>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</si>
  <si>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</si>
  <si>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</si>
  <si>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</si>
  <si>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</si>
  <si>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</si>
  <si>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</si>
  <si>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</si>
  <si>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</si>
  <si>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</si>
  <si>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</si>
  <si>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</si>
  <si>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</si>
  <si>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</si>
  <si>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</si>
  <si>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</si>
  <si>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</si>
  <si>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</si>
  <si>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</si>
  <si>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</si>
  <si>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</si>
  <si>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</si>
  <si>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</si>
  <si>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</si>
  <si>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</si>
  <si>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</si>
  <si>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</si>
  <si>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</si>
  <si>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</si>
  <si>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</si>
  <si>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</si>
  <si>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</si>
  <si>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</si>
  <si>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</si>
  <si>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</si>
  <si>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Infertility affects millions. One couple copes with the assisted reproduction process by documenting its pain, disappointment and potential joy.</t>
  </si>
  <si>
    <t>s7666</t>
  </si>
  <si>
    <t>One Night Stand</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</si>
  <si>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</si>
  <si>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</si>
  <si>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</si>
  <si>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</si>
  <si>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</si>
  <si>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</si>
  <si>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</si>
  <si>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</si>
  <si>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</si>
  <si>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</si>
  <si>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</si>
  <si>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</si>
  <si>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</si>
  <si>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</si>
  <si>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Michael Ware</t>
  </si>
  <si>
    <t>Australia, Iraq</t>
  </si>
  <si>
    <t>Given unprecedented access to soldiers and terrorists alike, journalist Michael Ware presents an epic, uncensored, intimate account of the Iraq War.</t>
  </si>
  <si>
    <t>s7670</t>
  </si>
  <si>
    <t>Open Season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</si>
  <si>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</si>
  <si>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</si>
  <si>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</si>
  <si>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</si>
  <si>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</si>
  <si>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</si>
  <si>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</si>
  <si>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</si>
  <si>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</si>
  <si>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</si>
  <si>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</si>
  <si>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</si>
  <si>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</si>
  <si>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</si>
  <si>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</si>
  <si>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</si>
  <si>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</si>
  <si>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</si>
  <si>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</si>
  <si>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</si>
  <si>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</si>
  <si>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</si>
  <si>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</si>
  <si>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</si>
  <si>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</si>
  <si>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</si>
  <si>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</si>
  <si>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</si>
  <si>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</si>
  <si>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</si>
  <si>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</si>
  <si>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</si>
  <si>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</si>
  <si>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</si>
  <si>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</si>
  <si>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</si>
  <si>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</si>
  <si>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</si>
  <si>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</si>
  <si>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</si>
  <si>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</si>
  <si>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</si>
  <si>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</si>
  <si>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</si>
  <si>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Nedumudi Venu, V.K. Sriraman, Lena, Sunil Sukhada, Mammukoya, Joju George, Bhagath Baby Manuel, Sasi Kalinga</t>
  </si>
  <si>
    <t>When the village's biryani cook unexpectedly passes, a widow steps up to the plate and takes on new delectable challenges.</t>
  </si>
  <si>
    <t>s7682</t>
  </si>
  <si>
    <t>OtherLife</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</si>
  <si>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</si>
  <si>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</si>
  <si>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</si>
  <si>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</si>
  <si>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</si>
  <si>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</si>
  <si>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</si>
  <si>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</si>
  <si>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Tommaso Buscetta</t>
  </si>
  <si>
    <t>In 1986, Tommaso Buscetta became the first top-level Mafia boss ever to testify against the mob. It cost him and his family everything.</t>
  </si>
  <si>
    <t>s7685</t>
  </si>
  <si>
    <t>Our House</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</si>
  <si>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</si>
  <si>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</si>
  <si>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</si>
  <si>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</si>
  <si>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</si>
  <si>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</si>
  <si>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</si>
  <si>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</si>
  <si>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</si>
  <si>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</si>
  <si>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</si>
  <si>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</si>
  <si>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</si>
  <si>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</si>
  <si>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</si>
  <si>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</si>
  <si>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</si>
  <si>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</si>
  <si>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</si>
  <si>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</si>
  <si>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</si>
  <si>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</si>
  <si>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</si>
  <si>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</si>
  <si>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</si>
  <si>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</si>
  <si>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</si>
  <si>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</si>
  <si>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</si>
  <si>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</si>
  <si>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</si>
  <si>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</si>
  <si>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</si>
  <si>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</si>
  <si>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</si>
  <si>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</si>
  <si>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</si>
  <si>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</si>
  <si>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</si>
  <si>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</si>
  <si>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</si>
  <si>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</si>
  <si>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</si>
  <si>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</si>
  <si>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</si>
  <si>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</si>
  <si>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</si>
  <si>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</si>
  <si>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</si>
  <si>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</si>
  <si>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</si>
  <si>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</si>
  <si>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</si>
  <si>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</si>
  <si>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</si>
  <si>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</si>
  <si>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</si>
  <si>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</si>
  <si>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</si>
  <si>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</si>
  <si>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</si>
  <si>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</si>
  <si>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</si>
  <si>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</si>
  <si>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</si>
  <si>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</si>
  <si>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</si>
  <si>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</si>
  <si>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</si>
  <si>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</si>
  <si>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</si>
  <si>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</si>
  <si>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</si>
  <si>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</si>
  <si>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</si>
  <si>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</si>
  <si>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</si>
  <si>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</si>
  <si>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Hamish Linklater, Eve Hewson, Avan Jogia, Andie MacDowell</t>
  </si>
  <si>
    <t>A young newlywed tries to keep her relationship afloat after developing feelings for her older, TV writer boss.</t>
  </si>
  <si>
    <t>s7705</t>
  </si>
  <si>
    <t>Paranormal Activity</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</si>
  <si>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</si>
  <si>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</si>
  <si>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</si>
  <si>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</si>
  <si>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</si>
  <si>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</si>
  <si>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</si>
  <si>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</si>
  <si>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</si>
  <si>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</si>
  <si>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</si>
  <si>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</si>
  <si>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</si>
  <si>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</si>
  <si>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</si>
  <si>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</si>
  <si>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</si>
  <si>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</si>
  <si>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</si>
  <si>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</si>
  <si>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</si>
  <si>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</si>
  <si>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</si>
  <si>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</si>
  <si>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</si>
  <si>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</si>
  <si>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</si>
  <si>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</si>
  <si>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</si>
  <si>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</si>
  <si>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</si>
  <si>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</si>
  <si>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</si>
  <si>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</si>
  <si>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</si>
  <si>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</si>
  <si>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</si>
  <si>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</si>
  <si>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</si>
  <si>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</si>
  <si>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</si>
  <si>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</si>
  <si>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</si>
  <si>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</si>
  <si>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</si>
  <si>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</si>
  <si>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</si>
  <si>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</si>
  <si>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</si>
  <si>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</si>
  <si>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</si>
  <si>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</si>
  <si>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</si>
  <si>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</si>
  <si>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</si>
  <si>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</si>
  <si>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</si>
  <si>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</si>
  <si>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</si>
  <si>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</si>
  <si>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</si>
  <si>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</si>
  <si>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</si>
  <si>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</si>
  <si>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</si>
  <si>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</si>
  <si>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</si>
  <si>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</si>
  <si>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</si>
  <si>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</si>
  <si>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</si>
  <si>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</si>
  <si>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</si>
  <si>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</si>
  <si>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</si>
  <si>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</si>
  <si>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</si>
  <si>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</si>
  <si>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</si>
  <si>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</si>
  <si>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</si>
  <si>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</si>
  <si>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</si>
  <si>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</si>
  <si>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</si>
  <si>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</si>
  <si>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</si>
  <si>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</si>
  <si>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</si>
  <si>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</si>
  <si>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</si>
  <si>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</si>
  <si>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</si>
  <si>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</si>
  <si>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</si>
  <si>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</si>
  <si>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Theodore Slauson</t>
  </si>
  <si>
    <t>A "Price Is Right" superfan brings a bit of scandal to the long-running show by figuring out the answers to the questions before they're asked.</t>
  </si>
  <si>
    <t>s7729</t>
  </si>
  <si>
    <t>Perfect Stranger</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</si>
  <si>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</si>
  <si>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</si>
  <si>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</si>
  <si>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</si>
  <si>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</si>
  <si>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</si>
  <si>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</si>
  <si>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</si>
  <si>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</si>
  <si>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</si>
  <si>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</si>
  <si>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</si>
  <si>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</si>
  <si>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</si>
  <si>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</si>
  <si>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</si>
  <si>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</si>
  <si>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</si>
  <si>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</si>
  <si>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</si>
  <si>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</si>
  <si>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</si>
  <si>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</si>
  <si>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</si>
  <si>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</si>
  <si>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</si>
  <si>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</si>
  <si>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</si>
  <si>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</si>
  <si>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</si>
  <si>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</si>
  <si>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</si>
  <si>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</si>
  <si>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</si>
  <si>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</si>
  <si>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</si>
  <si>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</si>
  <si>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</si>
  <si>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</si>
  <si>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</si>
  <si>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</si>
  <si>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</si>
  <si>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</si>
  <si>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</si>
  <si>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</si>
  <si>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</si>
  <si>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</si>
  <si>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</si>
  <si>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</si>
  <si>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</si>
  <si>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</si>
  <si>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</si>
  <si>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</si>
  <si>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</si>
  <si>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</si>
  <si>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</si>
  <si>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</si>
  <si>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</si>
  <si>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</si>
  <si>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</si>
  <si>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</si>
  <si>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</si>
  <si>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</si>
  <si>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</si>
  <si>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</si>
  <si>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</si>
  <si>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</si>
  <si>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</si>
  <si>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</si>
  <si>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</si>
  <si>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</si>
  <si>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</si>
  <si>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</si>
  <si>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</si>
  <si>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</si>
  <si>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</si>
  <si>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</si>
  <si>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</si>
  <si>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</si>
  <si>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</si>
  <si>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</si>
  <si>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</si>
  <si>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</si>
  <si>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</si>
  <si>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</si>
  <si>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</si>
  <si>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</si>
  <si>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</si>
  <si>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</si>
  <si>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</si>
  <si>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</si>
  <si>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</si>
  <si>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</si>
  <si>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</si>
  <si>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</si>
  <si>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</si>
  <si>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</si>
  <si>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</si>
  <si>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</si>
  <si>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</si>
  <si>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</si>
  <si>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Step inside the Ubisoft offices, and follow designer Jason VandenBerghe's fight to create the video game "For Honor" over four years.</t>
  </si>
  <si>
    <t>s7755</t>
  </si>
  <si>
    <t>Pope Francis: A Man of His Word</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</si>
  <si>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</si>
  <si>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</si>
  <si>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</si>
  <si>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</si>
  <si>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</si>
  <si>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</si>
  <si>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</si>
  <si>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</si>
  <si>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</si>
  <si>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</si>
  <si>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</si>
  <si>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</si>
  <si>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</si>
  <si>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</si>
  <si>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</si>
  <si>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</si>
  <si>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</si>
  <si>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</si>
  <si>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</si>
  <si>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</si>
  <si>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</si>
  <si>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</si>
  <si>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</si>
  <si>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</si>
  <si>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</si>
  <si>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</si>
  <si>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</si>
  <si>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</si>
  <si>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</si>
  <si>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</si>
  <si>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</si>
  <si>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</si>
  <si>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</si>
  <si>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</si>
  <si>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</si>
  <si>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</si>
  <si>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</si>
  <si>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</si>
  <si>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</si>
  <si>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</si>
  <si>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</si>
  <si>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</si>
  <si>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</si>
  <si>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</si>
  <si>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</si>
  <si>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</si>
  <si>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</si>
  <si>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</si>
  <si>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</si>
  <si>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</si>
  <si>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</si>
  <si>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</si>
  <si>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</si>
  <si>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</si>
  <si>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</si>
  <si>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</si>
  <si>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</si>
  <si>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</si>
  <si>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</si>
  <si>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</si>
  <si>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</si>
  <si>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</si>
  <si>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</si>
  <si>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</si>
  <si>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</si>
  <si>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</si>
  <si>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</si>
  <si>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</si>
  <si>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</si>
  <si>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</si>
  <si>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</si>
  <si>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</si>
  <si>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</si>
  <si>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</si>
  <si>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</si>
  <si>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</si>
  <si>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</si>
  <si>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</si>
  <si>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</si>
  <si>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</si>
  <si>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</si>
  <si>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</si>
  <si>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</si>
  <si>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</si>
  <si>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</si>
  <si>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</si>
  <si>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</si>
  <si>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</si>
  <si>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</si>
  <si>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</si>
  <si>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</si>
  <si>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</si>
  <si>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</si>
  <si>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</si>
  <si>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</si>
  <si>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</si>
  <si>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</si>
  <si>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</si>
  <si>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</si>
  <si>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</si>
  <si>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</si>
  <si>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</si>
  <si>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</si>
  <si>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</si>
  <si>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</si>
  <si>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</si>
  <si>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</si>
  <si>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</si>
  <si>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</si>
  <si>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</si>
  <si>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</si>
  <si>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</si>
  <si>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</si>
  <si>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</si>
  <si>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</si>
  <si>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</si>
  <si>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</si>
  <si>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</si>
  <si>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</si>
  <si>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</si>
  <si>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</si>
  <si>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</si>
  <si>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</si>
  <si>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</si>
  <si>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</si>
  <si>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</si>
  <si>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</si>
  <si>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</si>
  <si>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</si>
  <si>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</si>
  <si>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</si>
  <si>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</si>
  <si>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</si>
  <si>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</si>
  <si>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</si>
  <si>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</si>
  <si>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</si>
  <si>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</si>
  <si>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</si>
  <si>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</si>
  <si>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</si>
  <si>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</si>
  <si>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Robo Knight learns the meaning of Christmas from a group of children when he is mistaken for a donated Christmas toy and is shipped to a foreign land.</t>
  </si>
  <si>
    <t>s7790</t>
  </si>
  <si>
    <t>Prague</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</si>
  <si>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</si>
  <si>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</si>
  <si>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</si>
  <si>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</si>
  <si>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</si>
  <si>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</si>
  <si>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</si>
  <si>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</si>
  <si>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</si>
  <si>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</si>
  <si>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</si>
  <si>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</si>
  <si>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</si>
  <si>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</si>
  <si>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</si>
  <si>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</si>
  <si>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</si>
  <si>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</si>
  <si>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</si>
  <si>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</si>
  <si>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</si>
  <si>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</si>
  <si>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</si>
  <si>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A prince and a commoner who are best friends keep having to thwart the plots of the prince's scheming, ambitious minister.</t>
  </si>
  <si>
    <t>s7797</t>
  </si>
  <si>
    <t>Princess Cyd</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</si>
  <si>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</si>
  <si>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</si>
  <si>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</si>
  <si>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</si>
  <si>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</si>
  <si>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</si>
  <si>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</si>
  <si>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</si>
  <si>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</si>
  <si>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</si>
  <si>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</si>
  <si>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</si>
  <si>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</si>
  <si>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</si>
  <si>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</si>
  <si>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</si>
  <si>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</si>
  <si>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</si>
  <si>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</si>
  <si>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</si>
  <si>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</si>
  <si>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</si>
  <si>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</si>
  <si>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</si>
  <si>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</si>
  <si>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</si>
  <si>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</si>
  <si>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</si>
  <si>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</si>
  <si>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</si>
  <si>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</si>
  <si>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</si>
  <si>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</si>
  <si>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</si>
  <si>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</si>
  <si>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</si>
  <si>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</si>
  <si>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</si>
  <si>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</si>
  <si>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</si>
  <si>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</si>
  <si>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</si>
  <si>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</si>
  <si>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</si>
  <si>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</si>
  <si>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</si>
  <si>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</si>
  <si>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</si>
  <si>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</si>
  <si>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</si>
  <si>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</si>
  <si>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</si>
  <si>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</si>
  <si>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</si>
  <si>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</si>
  <si>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</si>
  <si>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</si>
  <si>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</si>
  <si>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</si>
  <si>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</si>
  <si>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</si>
  <si>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</si>
  <si>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</si>
  <si>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</si>
  <si>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</si>
  <si>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</si>
  <si>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</si>
  <si>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</si>
  <si>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</si>
  <si>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</si>
  <si>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</si>
  <si>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</si>
  <si>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</si>
  <si>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</si>
  <si>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</si>
  <si>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</si>
  <si>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</si>
  <si>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</si>
  <si>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</si>
  <si>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</si>
  <si>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</si>
  <si>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</si>
  <si>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</si>
  <si>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</si>
  <si>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</si>
  <si>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</si>
  <si>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</si>
  <si>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</si>
  <si>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This film chronicles the career of surfer Dadá Figueiredo, whose stormy personal life upended his status as a trendsetting '70s sports hero.</t>
  </si>
  <si>
    <t>s7820</t>
  </si>
  <si>
    <t>Radiopetti</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</si>
  <si>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</si>
  <si>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</si>
  <si>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</si>
  <si>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</si>
  <si>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</si>
  <si>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</si>
  <si>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</si>
  <si>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</si>
  <si>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</si>
  <si>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</si>
  <si>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</si>
  <si>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</si>
  <si>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</si>
  <si>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Three childhood friends attempt to finish the pet project they've worked on for over 30 years: re-creating "Raiders of the Lost Ark" shot for shot.</t>
  </si>
  <si>
    <t>s7824</t>
  </si>
  <si>
    <t>Railroad Tigers</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</si>
  <si>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</si>
  <si>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</si>
  <si>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</si>
  <si>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</si>
  <si>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</si>
  <si>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</si>
  <si>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</si>
  <si>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</si>
  <si>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</si>
  <si>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</si>
  <si>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</si>
  <si>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</si>
  <si>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</si>
  <si>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</si>
  <si>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</si>
  <si>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</si>
  <si>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</si>
  <si>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</si>
  <si>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</si>
  <si>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</si>
  <si>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</si>
  <si>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</si>
  <si>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</si>
  <si>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</si>
  <si>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</si>
  <si>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</si>
  <si>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</si>
  <si>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</si>
  <si>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</si>
  <si>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</si>
  <si>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</si>
  <si>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</si>
  <si>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</si>
  <si>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</si>
  <si>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</si>
  <si>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</si>
  <si>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</si>
  <si>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</si>
  <si>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</si>
  <si>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</si>
  <si>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</si>
  <si>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</si>
  <si>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</si>
  <si>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</si>
  <si>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</si>
  <si>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</si>
  <si>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</si>
  <si>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</si>
  <si>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</si>
  <si>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</si>
  <si>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</si>
  <si>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</si>
  <si>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</si>
  <si>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</si>
  <si>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</si>
  <si>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</si>
  <si>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</si>
  <si>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</si>
  <si>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</si>
  <si>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</si>
  <si>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</si>
  <si>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</si>
  <si>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</si>
  <si>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</si>
  <si>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</si>
  <si>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</si>
  <si>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</si>
  <si>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</si>
  <si>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</si>
  <si>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</si>
  <si>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</si>
  <si>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</si>
  <si>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</si>
  <si>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</si>
  <si>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</si>
  <si>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</si>
  <si>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</si>
  <si>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</si>
  <si>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</si>
  <si>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</si>
  <si>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</si>
  <si>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</si>
  <si>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</si>
  <si>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</si>
  <si>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</si>
  <si>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</si>
  <si>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</si>
  <si>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</si>
  <si>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</si>
  <si>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</si>
  <si>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</si>
  <si>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</si>
  <si>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</si>
  <si>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</si>
  <si>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</si>
  <si>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</si>
  <si>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</si>
  <si>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</si>
  <si>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</si>
  <si>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</si>
  <si>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</si>
  <si>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</si>
  <si>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</si>
  <si>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</si>
  <si>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</si>
  <si>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</si>
  <si>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</si>
  <si>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</si>
  <si>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</si>
  <si>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</si>
  <si>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</si>
  <si>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</si>
  <si>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</si>
  <si>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</si>
  <si>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</si>
  <si>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</si>
  <si>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</si>
  <si>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Snoop Dogg, Dr. Dre, Bunny Wailer</t>
  </si>
  <si>
    <t>June 13, 2016</t>
  </si>
  <si>
    <t>Vice magazine's Andy Capper follows rapper Snoop Dogg on a pilgrimage to Jamaica, where he rechristens himself Snoop Lion, a reggae artist.</t>
  </si>
  <si>
    <t>s7853</t>
  </si>
  <si>
    <t>Rembat</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</si>
  <si>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</si>
  <si>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</si>
  <si>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</si>
  <si>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</si>
  <si>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</si>
  <si>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</si>
  <si>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</si>
  <si>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</si>
  <si>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</si>
  <si>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</si>
  <si>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</si>
  <si>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</si>
  <si>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</si>
  <si>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</si>
  <si>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</si>
  <si>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</si>
  <si>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</si>
  <si>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</si>
  <si>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</si>
  <si>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</si>
  <si>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</si>
  <si>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</si>
  <si>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</si>
  <si>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</si>
  <si>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</si>
  <si>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</si>
  <si>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</si>
  <si>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The results of a DNA test spur Puerto Rican rap icon Residente to set out on a global voyage in search of his roots and fresh musical inspiration.</t>
  </si>
  <si>
    <t>s7860</t>
  </si>
  <si>
    <t>Restless Creature: Wendy Whelan</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</si>
  <si>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</si>
  <si>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</si>
  <si>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</si>
  <si>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</si>
  <si>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</si>
  <si>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</si>
  <si>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</si>
  <si>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</si>
  <si>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</si>
  <si>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</si>
  <si>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</si>
  <si>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</si>
  <si>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</si>
  <si>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</si>
  <si>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</si>
  <si>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</si>
  <si>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</si>
  <si>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</si>
  <si>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</si>
  <si>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</si>
  <si>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</si>
  <si>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</si>
  <si>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</si>
  <si>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</si>
  <si>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</si>
  <si>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</si>
  <si>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</si>
  <si>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</si>
  <si>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</si>
  <si>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</si>
  <si>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</si>
  <si>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</si>
  <si>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</si>
  <si>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</si>
  <si>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</si>
  <si>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</si>
  <si>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</si>
  <si>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</si>
  <si>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</si>
  <si>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</si>
  <si>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</si>
  <si>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</si>
  <si>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</si>
  <si>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</si>
  <si>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</si>
  <si>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</si>
  <si>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</si>
  <si>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</si>
  <si>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</si>
  <si>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</si>
  <si>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</si>
  <si>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</si>
  <si>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</si>
  <si>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</si>
  <si>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</si>
  <si>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</si>
  <si>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</si>
  <si>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</si>
  <si>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</si>
  <si>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</si>
  <si>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</si>
  <si>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</si>
  <si>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</si>
  <si>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</si>
  <si>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</si>
  <si>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</si>
  <si>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</si>
  <si>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Italian TV host Pif revisits Roberto Saviano, who's been living under protection since publishing "Gomorrah," his exposé on organized crime in Naples.</t>
  </si>
  <si>
    <t>s7878</t>
  </si>
  <si>
    <t>Robin Hood: The Rebellion</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</si>
  <si>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</si>
  <si>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</si>
  <si>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</si>
  <si>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</si>
  <si>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</si>
  <si>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</si>
  <si>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</si>
  <si>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</si>
  <si>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</si>
  <si>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</si>
  <si>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</si>
  <si>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</si>
  <si>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</si>
  <si>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</si>
  <si>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</si>
  <si>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</si>
  <si>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</si>
  <si>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</si>
  <si>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</si>
  <si>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</si>
  <si>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</si>
  <si>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</si>
  <si>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</si>
  <si>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</si>
  <si>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</si>
  <si>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</si>
  <si>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</si>
  <si>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</si>
  <si>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</si>
  <si>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</si>
  <si>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</si>
  <si>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</si>
  <si>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</si>
  <si>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</si>
  <si>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</si>
  <si>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</si>
  <si>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This compelling documentary follows the 2012 Steubenville, Ohio rape case, putting social media and high school football culture in the spotlight.</t>
  </si>
  <si>
    <t>s7888</t>
  </si>
  <si>
    <t>Rolling Papers</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</si>
  <si>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</si>
  <si>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</si>
  <si>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</si>
  <si>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</si>
  <si>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</si>
  <si>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</si>
  <si>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</si>
  <si>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</si>
  <si>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</si>
  <si>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</si>
  <si>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</si>
  <si>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</si>
  <si>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</si>
  <si>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</si>
  <si>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</si>
  <si>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Brett Gelman, Mark Little, Carla Gallo, Stephnie Weir, Patrick J. Adams, Mark McKinney</t>
  </si>
  <si>
    <t>To save his parents’ home, a lottery-squandering 32-year-old man sublets a room to a disarmingly creepy tenant.</t>
  </si>
  <si>
    <t>s7892</t>
  </si>
  <si>
    <t>Room on the Broom</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</si>
  <si>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</si>
  <si>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</si>
  <si>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</si>
  <si>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</si>
  <si>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</si>
  <si>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</si>
  <si>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</si>
  <si>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</si>
  <si>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This documentary explores the rich heritage of Indian classical music and the reasons behind its modern decline in popularity.</t>
  </si>
  <si>
    <t>s7895</t>
  </si>
  <si>
    <t>Rosemary's Baby</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</si>
  <si>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</si>
  <si>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</si>
  <si>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</si>
  <si>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</si>
  <si>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</si>
  <si>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</si>
  <si>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</si>
  <si>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</si>
  <si>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</si>
  <si>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</si>
  <si>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</si>
  <si>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</si>
  <si>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</si>
  <si>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</si>
  <si>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</si>
  <si>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</si>
  <si>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</si>
  <si>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</si>
  <si>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</si>
  <si>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</si>
  <si>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</si>
  <si>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</si>
  <si>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</si>
  <si>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</si>
  <si>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</si>
  <si>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</si>
  <si>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</si>
  <si>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</si>
  <si>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</si>
  <si>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</si>
  <si>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</si>
  <si>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</si>
  <si>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</si>
  <si>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</si>
  <si>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</si>
  <si>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</si>
  <si>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</si>
  <si>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</si>
  <si>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</si>
  <si>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</si>
  <si>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</si>
  <si>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</si>
  <si>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</si>
  <si>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</si>
  <si>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</si>
  <si>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</si>
  <si>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</si>
  <si>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</si>
  <si>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</si>
  <si>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</si>
  <si>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</si>
  <si>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</si>
  <si>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</si>
  <si>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</si>
  <si>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</si>
  <si>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</si>
  <si>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</si>
  <si>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</si>
  <si>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</si>
  <si>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</si>
  <si>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</si>
  <si>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</si>
  <si>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</si>
  <si>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</si>
  <si>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</si>
  <si>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</si>
  <si>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</si>
  <si>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</si>
  <si>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</si>
  <si>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</si>
  <si>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</si>
  <si>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</si>
  <si>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</si>
  <si>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</si>
  <si>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</si>
  <si>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</si>
  <si>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</si>
  <si>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</si>
  <si>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</si>
  <si>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</si>
  <si>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</si>
  <si>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</si>
  <si>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</si>
  <si>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</si>
  <si>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</si>
  <si>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</si>
  <si>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</si>
  <si>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</si>
  <si>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</si>
  <si>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</si>
  <si>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</si>
  <si>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</si>
  <si>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Kamal Hassan, Sridevi, Silk Smitha, Gulshan Grover, Paintal, Arvind Deshpande</t>
  </si>
  <si>
    <t>After a traumatic injury leaves her with amnesia and age regression, a young woman is sold to a brothel before a teacher becomes her savior.</t>
  </si>
  <si>
    <t>s7919</t>
  </si>
  <si>
    <t>Sadqay Tumhare</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</si>
  <si>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</si>
  <si>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</si>
  <si>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</si>
  <si>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</si>
  <si>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</si>
  <si>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</si>
  <si>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</si>
  <si>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</si>
  <si>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</si>
  <si>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</si>
  <si>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</si>
  <si>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</si>
  <si>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</si>
  <si>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</si>
  <si>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</si>
  <si>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</si>
  <si>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</si>
  <si>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</si>
  <si>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</si>
  <si>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</si>
  <si>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</si>
  <si>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</si>
  <si>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</si>
  <si>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</si>
  <si>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</si>
  <si>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</si>
  <si>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</si>
  <si>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</si>
  <si>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</si>
  <si>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</si>
  <si>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</si>
  <si>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</si>
  <si>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</si>
  <si>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</si>
  <si>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</si>
  <si>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</si>
  <si>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</si>
  <si>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</si>
  <si>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</si>
  <si>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</si>
  <si>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</si>
  <si>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</si>
  <si>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</si>
  <si>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</si>
  <si>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</si>
  <si>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</si>
  <si>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</si>
  <si>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</si>
  <si>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</si>
  <si>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</si>
  <si>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</si>
  <si>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</si>
  <si>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</si>
  <si>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</si>
  <si>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</si>
  <si>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</si>
  <si>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</si>
  <si>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</si>
  <si>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</si>
  <si>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</si>
  <si>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</si>
  <si>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</si>
  <si>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</si>
  <si>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</si>
  <si>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</si>
  <si>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</si>
  <si>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</si>
  <si>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</si>
  <si>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</si>
  <si>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</si>
  <si>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</si>
  <si>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</si>
  <si>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</si>
  <si>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</si>
  <si>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</si>
  <si>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</si>
  <si>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</si>
  <si>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</si>
  <si>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</si>
  <si>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</si>
  <si>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</si>
  <si>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</si>
  <si>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</si>
  <si>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</si>
  <si>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</si>
  <si>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</si>
  <si>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</si>
  <si>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</si>
  <si>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</si>
  <si>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</si>
  <si>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</si>
  <si>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</si>
  <si>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</si>
  <si>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</si>
  <si>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</si>
  <si>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</si>
  <si>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</si>
  <si>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</si>
  <si>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</si>
  <si>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</si>
  <si>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</si>
  <si>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</si>
  <si>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</si>
  <si>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</si>
  <si>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</si>
  <si>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</si>
  <si>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</si>
  <si>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</si>
  <si>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</si>
  <si>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</si>
  <si>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</si>
  <si>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</si>
  <si>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</si>
  <si>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</si>
  <si>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</si>
  <si>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</si>
  <si>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</si>
  <si>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</si>
  <si>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</si>
  <si>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</si>
  <si>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</si>
  <si>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</si>
  <si>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</si>
  <si>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</si>
  <si>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</si>
  <si>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</si>
  <si>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</si>
  <si>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</si>
  <si>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</si>
  <si>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</si>
  <si>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</si>
  <si>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</si>
  <si>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</si>
  <si>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</si>
  <si>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</si>
  <si>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</si>
  <si>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</si>
  <si>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</si>
  <si>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</si>
  <si>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</si>
  <si>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</si>
  <si>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</si>
  <si>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</si>
  <si>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</si>
  <si>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</si>
  <si>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</si>
  <si>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</si>
  <si>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</si>
  <si>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</si>
  <si>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</si>
  <si>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</si>
  <si>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</si>
  <si>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</si>
  <si>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</si>
  <si>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</si>
  <si>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</si>
  <si>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</si>
  <si>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</si>
  <si>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</si>
  <si>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</si>
  <si>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</si>
  <si>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</si>
  <si>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</si>
  <si>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</si>
  <si>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</si>
  <si>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</si>
  <si>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</si>
  <si>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</si>
  <si>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</si>
  <si>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</si>
  <si>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</si>
  <si>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</si>
  <si>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</si>
  <si>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</si>
  <si>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</si>
  <si>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</si>
  <si>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</si>
  <si>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</si>
  <si>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</si>
  <si>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</si>
  <si>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</si>
  <si>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</si>
  <si>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</si>
  <si>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</si>
  <si>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</si>
  <si>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</si>
  <si>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</si>
  <si>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</si>
  <si>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</si>
  <si>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</si>
  <si>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</si>
  <si>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</si>
  <si>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</si>
  <si>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</si>
  <si>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</si>
  <si>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</si>
  <si>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</si>
  <si>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</si>
  <si>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</si>
  <si>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</si>
  <si>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</si>
  <si>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</si>
  <si>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</si>
  <si>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</si>
  <si>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</si>
  <si>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</si>
  <si>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</si>
  <si>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</si>
  <si>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</si>
  <si>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</si>
  <si>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</si>
  <si>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</si>
  <si>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</si>
  <si>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</si>
  <si>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</si>
  <si>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</si>
  <si>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Samuel West</t>
  </si>
  <si>
    <t>Princess Diana's brother, Charles, the ninth Earl Spencer, leads a tour of Althorp House, the manor the Spencer family has called home for 500 years.</t>
  </si>
  <si>
    <t>s7972</t>
  </si>
  <si>
    <t>Secrets of Chatsworth</t>
  </si>
  <si>
    <t>Tales of tragedy and scandal unfold through the history of Chatsworth, a grand estate that has been home to some of England's most noted aristocrats.</t>
  </si>
  <si>
    <t>s7973</t>
  </si>
  <si>
    <t>Secrets of Henry VIII's Palace: Hampton Court</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</si>
  <si>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</si>
  <si>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</si>
  <si>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</si>
  <si>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</si>
  <si>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</si>
  <si>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</si>
  <si>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</si>
  <si>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</si>
  <si>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</si>
  <si>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</si>
  <si>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</si>
  <si>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</si>
  <si>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</si>
  <si>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</si>
  <si>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</si>
  <si>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</si>
  <si>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</si>
  <si>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</si>
  <si>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</si>
  <si>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</si>
  <si>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</si>
  <si>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</si>
  <si>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</si>
  <si>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</si>
  <si>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</si>
  <si>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</si>
  <si>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</si>
  <si>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</si>
  <si>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</si>
  <si>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</si>
  <si>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</si>
  <si>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</si>
  <si>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</si>
  <si>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</si>
  <si>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</si>
  <si>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</si>
  <si>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</si>
  <si>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</si>
  <si>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</si>
  <si>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</si>
  <si>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</si>
  <si>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</si>
  <si>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</si>
  <si>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</si>
  <si>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</si>
  <si>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</si>
  <si>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</si>
  <si>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</si>
  <si>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</si>
  <si>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</si>
  <si>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</si>
  <si>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</si>
  <si>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</si>
  <si>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</si>
  <si>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</si>
  <si>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</si>
  <si>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</si>
  <si>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</si>
  <si>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</si>
  <si>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</si>
  <si>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</si>
  <si>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</si>
  <si>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</si>
  <si>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</si>
  <si>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</si>
  <si>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</si>
  <si>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</si>
  <si>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</si>
  <si>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</si>
  <si>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</si>
  <si>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</si>
  <si>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</si>
  <si>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</si>
  <si>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</si>
  <si>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</si>
  <si>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</si>
  <si>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</si>
  <si>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</si>
  <si>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</si>
  <si>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</si>
  <si>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</si>
  <si>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</si>
  <si>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</si>
  <si>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</si>
  <si>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</si>
  <si>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</si>
  <si>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</si>
  <si>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</si>
  <si>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</si>
  <si>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</si>
  <si>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</si>
  <si>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</si>
  <si>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</si>
  <si>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</si>
  <si>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</si>
  <si>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</si>
  <si>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</si>
  <si>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</si>
  <si>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</si>
  <si>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</si>
  <si>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</si>
  <si>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</si>
  <si>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</si>
  <si>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</si>
  <si>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</si>
  <si>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</si>
  <si>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</si>
  <si>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</si>
  <si>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</si>
  <si>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</si>
  <si>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</si>
  <si>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</si>
  <si>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</si>
  <si>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</si>
  <si>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</si>
  <si>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</si>
  <si>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</si>
  <si>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</si>
  <si>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</si>
  <si>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</si>
  <si>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</si>
  <si>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</si>
  <si>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</si>
  <si>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</si>
  <si>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</si>
  <si>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</si>
  <si>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</si>
  <si>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</si>
  <si>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</si>
  <si>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</si>
  <si>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</si>
  <si>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</si>
  <si>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</si>
  <si>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</si>
  <si>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</si>
  <si>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</si>
  <si>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</si>
  <si>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</si>
  <si>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</si>
  <si>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</si>
  <si>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</si>
  <si>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</si>
  <si>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</si>
  <si>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</si>
  <si>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</si>
  <si>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</si>
  <si>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</si>
  <si>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</si>
  <si>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</si>
  <si>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</si>
  <si>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</si>
  <si>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</si>
  <si>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</si>
  <si>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Mick Rock</t>
  </si>
  <si>
    <t>Aptly named iconic rock photographer Mick Rock reconstructs his journey through the thrilling and murky universe of rock 'n' roll history.</t>
  </si>
  <si>
    <t>s8013</t>
  </si>
  <si>
    <t>Shuddhi</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</si>
  <si>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</si>
  <si>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</si>
  <si>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</si>
  <si>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</si>
  <si>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</si>
  <si>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</si>
  <si>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</si>
  <si>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</si>
  <si>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</si>
  <si>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</si>
  <si>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</si>
  <si>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</si>
  <si>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</si>
  <si>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</si>
  <si>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</si>
  <si>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</si>
  <si>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</si>
  <si>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</si>
  <si>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</si>
  <si>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</si>
  <si>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</si>
  <si>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</si>
  <si>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</si>
  <si>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</si>
  <si>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</si>
  <si>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</si>
  <si>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</si>
  <si>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</si>
  <si>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</si>
  <si>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</si>
  <si>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</si>
  <si>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</si>
  <si>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</si>
  <si>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</si>
  <si>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</si>
  <si>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</si>
  <si>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</si>
  <si>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</si>
  <si>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</si>
  <si>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</si>
  <si>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</si>
  <si>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</si>
  <si>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</si>
  <si>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</si>
  <si>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</si>
  <si>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</si>
  <si>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</si>
  <si>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</si>
  <si>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</si>
  <si>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</si>
  <si>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</si>
  <si>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</si>
  <si>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</si>
  <si>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</si>
  <si>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</si>
  <si>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</si>
  <si>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</si>
  <si>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</si>
  <si>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</si>
  <si>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</si>
  <si>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</si>
  <si>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</si>
  <si>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</si>
  <si>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</si>
  <si>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</si>
  <si>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</si>
  <si>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</si>
  <si>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</si>
  <si>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</si>
  <si>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</si>
  <si>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</si>
  <si>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</si>
  <si>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</si>
  <si>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</si>
  <si>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</si>
  <si>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</si>
  <si>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</si>
  <si>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</si>
  <si>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</si>
  <si>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</si>
  <si>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</si>
  <si>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</si>
  <si>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</si>
  <si>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</si>
  <si>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</si>
  <si>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</si>
  <si>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</si>
  <si>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</si>
  <si>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</si>
  <si>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</si>
  <si>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</si>
  <si>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</si>
  <si>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</si>
  <si>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June 27, 2018</t>
  </si>
  <si>
    <t>Only a few women pilots take part in the sport of aerobatics. Director Fredric Lean captures their powerful spirit at the World Aerobatic Championships.</t>
  </si>
  <si>
    <t>s8036</t>
  </si>
  <si>
    <t>Skyline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</si>
  <si>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</si>
  <si>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</si>
  <si>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</si>
  <si>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</si>
  <si>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</si>
  <si>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</si>
  <si>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</si>
  <si>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</si>
  <si>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</si>
  <si>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</si>
  <si>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</si>
  <si>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</si>
  <si>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</si>
  <si>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</si>
  <si>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</si>
  <si>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</si>
  <si>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</si>
  <si>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</si>
  <si>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</si>
  <si>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</si>
  <si>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</si>
  <si>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</si>
  <si>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</si>
  <si>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</si>
  <si>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</si>
  <si>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</si>
  <si>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</si>
  <si>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</si>
  <si>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</si>
  <si>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</si>
  <si>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</si>
  <si>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</si>
  <si>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</si>
  <si>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</si>
  <si>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</si>
  <si>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</si>
  <si>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</si>
  <si>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</si>
  <si>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</si>
  <si>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</si>
  <si>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</si>
  <si>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</si>
  <si>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</si>
  <si>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</si>
  <si>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</si>
  <si>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</si>
  <si>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</si>
  <si>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</si>
  <si>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</si>
  <si>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</si>
  <si>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</si>
  <si>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</si>
  <si>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</si>
  <si>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</si>
  <si>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</si>
  <si>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</si>
  <si>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</si>
  <si>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</si>
  <si>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</si>
  <si>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</si>
  <si>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</si>
  <si>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</si>
  <si>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</si>
  <si>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</si>
  <si>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</si>
  <si>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</si>
  <si>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</si>
  <si>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</si>
  <si>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</si>
  <si>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</si>
  <si>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</si>
  <si>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</si>
  <si>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</si>
  <si>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</si>
  <si>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</si>
  <si>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</si>
  <si>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</si>
  <si>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</si>
  <si>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</si>
  <si>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</si>
  <si>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</si>
  <si>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</si>
  <si>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</si>
  <si>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</si>
  <si>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</si>
  <si>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</si>
  <si>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</si>
  <si>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</si>
  <si>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</si>
  <si>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</si>
  <si>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</si>
  <si>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</si>
  <si>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</si>
  <si>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</si>
  <si>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</si>
  <si>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</si>
  <si>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</si>
  <si>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</si>
  <si>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</si>
  <si>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</si>
  <si>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</si>
  <si>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</si>
  <si>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</si>
  <si>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</si>
  <si>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</si>
  <si>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</si>
  <si>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</si>
  <si>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</si>
  <si>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</si>
  <si>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</si>
  <si>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</si>
  <si>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</si>
  <si>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</si>
  <si>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</si>
  <si>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</si>
  <si>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</si>
  <si>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</si>
  <si>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</si>
  <si>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</si>
  <si>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</si>
  <si>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</si>
  <si>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</si>
  <si>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</si>
  <si>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</si>
  <si>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</si>
  <si>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</si>
  <si>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This daredevil documentary trails behind and into the minds of the biggest names in one of the world's most dangerous sports, superbike racing.</t>
  </si>
  <si>
    <t>s8068</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</si>
  <si>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</si>
  <si>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</si>
  <si>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</si>
  <si>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</si>
  <si>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</si>
  <si>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</si>
  <si>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</si>
  <si>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</si>
  <si>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</si>
  <si>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</si>
  <si>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</si>
  <si>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</si>
  <si>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</si>
  <si>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</si>
  <si>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</si>
  <si>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</si>
  <si>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</si>
  <si>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</si>
  <si>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</si>
  <si>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</si>
  <si>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</si>
  <si>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</si>
  <si>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</si>
  <si>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</si>
  <si>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</si>
  <si>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</si>
  <si>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</si>
  <si>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</si>
  <si>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</si>
  <si>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</si>
  <si>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</si>
  <si>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</si>
  <si>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</si>
  <si>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</si>
  <si>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</si>
  <si>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</si>
  <si>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</si>
  <si>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</si>
  <si>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</si>
  <si>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</si>
  <si>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</si>
  <si>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</si>
  <si>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</si>
  <si>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</si>
  <si>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</si>
  <si>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</si>
  <si>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</si>
  <si>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</si>
  <si>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</si>
  <si>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</si>
  <si>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</si>
  <si>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</si>
  <si>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</si>
  <si>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</si>
  <si>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</si>
  <si>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</si>
  <si>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</si>
  <si>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</si>
  <si>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</si>
  <si>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</si>
  <si>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</si>
  <si>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</si>
  <si>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</si>
  <si>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</si>
  <si>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</si>
  <si>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</si>
  <si>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</si>
  <si>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</si>
  <si>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</si>
  <si>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</si>
  <si>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</si>
  <si>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</si>
  <si>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</si>
  <si>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</si>
  <si>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</si>
  <si>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</si>
  <si>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</si>
  <si>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</si>
  <si>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</si>
  <si>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</si>
  <si>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</si>
  <si>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</si>
  <si>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</si>
  <si>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</si>
  <si>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</si>
  <si>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</si>
  <si>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</si>
  <si>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</si>
  <si>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</si>
  <si>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</si>
  <si>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</si>
  <si>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</si>
  <si>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</si>
  <si>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Shree Cooks, Frank Grillo, Anna Torv</t>
  </si>
  <si>
    <t>A menacing, unseen force stalks a young girl living by herself in a suburban house, where she's surrounded by reminders of her once-happy family.</t>
  </si>
  <si>
    <t>s8091</t>
  </si>
  <si>
    <t>Sthaniya Sambaad</t>
  </si>
  <si>
    <t>In post-Partition Kolkata, a young Bengali poet from an urban colony wanders the city in search of the woman he loves and a channel for his sorrows.</t>
  </si>
  <si>
    <t>s8092</t>
  </si>
  <si>
    <t>Still</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</si>
  <si>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</si>
  <si>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</si>
  <si>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</si>
  <si>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</si>
  <si>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</si>
  <si>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</si>
  <si>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</si>
  <si>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</si>
  <si>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</si>
  <si>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</si>
  <si>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</si>
  <si>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</si>
  <si>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</si>
  <si>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</si>
  <si>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</si>
  <si>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</si>
  <si>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</si>
  <si>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</si>
  <si>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</si>
  <si>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</si>
  <si>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</si>
  <si>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</si>
  <si>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</si>
  <si>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</si>
  <si>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</si>
  <si>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</si>
  <si>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</si>
  <si>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</si>
  <si>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</si>
  <si>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</si>
  <si>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</si>
  <si>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</si>
  <si>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</si>
  <si>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</si>
  <si>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</si>
  <si>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</si>
  <si>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</si>
  <si>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</si>
  <si>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</si>
  <si>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</si>
  <si>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</si>
  <si>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</si>
  <si>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</si>
  <si>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</si>
  <si>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</si>
  <si>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</si>
  <si>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</si>
  <si>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</si>
  <si>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</si>
  <si>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</si>
  <si>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</si>
  <si>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</si>
  <si>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</si>
  <si>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</si>
  <si>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</si>
  <si>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</si>
  <si>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</si>
  <si>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</si>
  <si>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</si>
  <si>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</si>
  <si>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</si>
  <si>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</si>
  <si>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</si>
  <si>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</si>
  <si>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</si>
  <si>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</si>
  <si>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</si>
  <si>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</si>
  <si>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</si>
  <si>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</si>
  <si>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</si>
  <si>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</si>
  <si>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</si>
  <si>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</si>
  <si>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</si>
  <si>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</si>
  <si>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</si>
  <si>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</si>
  <si>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</si>
  <si>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</si>
  <si>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</si>
  <si>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</si>
  <si>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</si>
  <si>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</si>
  <si>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</si>
  <si>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</si>
  <si>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</si>
  <si>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</si>
  <si>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</si>
  <si>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</si>
  <si>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</si>
  <si>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</si>
  <si>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</si>
  <si>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</si>
  <si>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</si>
  <si>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</si>
  <si>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</si>
  <si>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</si>
  <si>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</si>
  <si>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Mali Levi, Rotem Keinan, Dror Keren, Igal Naor</t>
  </si>
  <si>
    <t>A failed businessman must kill himself to pay off a loan shark or his family will die, but a detective discovers the case turns on a shocking secret.</t>
  </si>
  <si>
    <t>s8117</t>
  </si>
  <si>
    <t>Suite Française</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</si>
  <si>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</si>
  <si>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</si>
  <si>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</si>
  <si>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</si>
  <si>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</si>
  <si>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</si>
  <si>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</si>
  <si>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</si>
  <si>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</si>
  <si>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</si>
  <si>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</si>
  <si>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</si>
  <si>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</si>
  <si>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</si>
  <si>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</si>
  <si>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</si>
  <si>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</si>
  <si>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</si>
  <si>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</si>
  <si>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</si>
  <si>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</si>
  <si>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</si>
  <si>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</si>
  <si>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</si>
  <si>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</si>
  <si>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</si>
  <si>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Hoping to find a magical root, a monster has captured farmers in the land of Vyom. It’s up to Bheem and the gang to foil his plan and save the kingdom!</t>
  </si>
  <si>
    <t>s8124</t>
  </si>
  <si>
    <t>Super Dark Times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</si>
  <si>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</si>
  <si>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</si>
  <si>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</si>
  <si>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</si>
  <si>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</si>
  <si>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</si>
  <si>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</si>
  <si>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</si>
  <si>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</si>
  <si>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</si>
  <si>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</si>
  <si>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</si>
  <si>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</si>
  <si>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</si>
  <si>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</si>
  <si>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</si>
  <si>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</si>
  <si>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</si>
  <si>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</si>
  <si>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</si>
  <si>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</si>
  <si>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</si>
  <si>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</si>
  <si>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</si>
  <si>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</si>
  <si>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</si>
  <si>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</si>
  <si>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</si>
  <si>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</si>
  <si>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</si>
  <si>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</si>
  <si>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</si>
  <si>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</si>
  <si>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</si>
  <si>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</si>
  <si>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</si>
  <si>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</si>
  <si>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</si>
  <si>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</si>
  <si>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Susan Sarandon</t>
  </si>
  <si>
    <t>Former inmates, officers and celebrities critique the U.S. prison system in this documentary packaged as a how-to handbook for the incarcerated.</t>
  </si>
  <si>
    <t>s8135</t>
  </si>
  <si>
    <t>Susanne Bartsch: On Top</t>
  </si>
  <si>
    <t>Susanne Bartsch</t>
  </si>
  <si>
    <t>Beyond her larger-than-life persona, this documentary reveals the woman behind the famed event planner, and her legacy as a cultural icon and activist.</t>
  </si>
  <si>
    <t>s8136</t>
  </si>
  <si>
    <t>Sustainable</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</si>
  <si>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</si>
  <si>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</si>
  <si>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</si>
  <si>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</si>
  <si>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</si>
  <si>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</si>
  <si>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</si>
  <si>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</si>
  <si>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</si>
  <si>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</si>
  <si>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</si>
  <si>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</si>
  <si>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</si>
  <si>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</si>
  <si>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</si>
  <si>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</si>
  <si>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</si>
  <si>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</si>
  <si>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</si>
  <si>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</si>
  <si>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</si>
  <si>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</si>
  <si>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</si>
  <si>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</si>
  <si>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</si>
  <si>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</si>
  <si>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</si>
  <si>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</si>
  <si>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</si>
  <si>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</si>
  <si>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</si>
  <si>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</si>
  <si>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</si>
  <si>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</si>
  <si>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</si>
  <si>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</si>
  <si>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</si>
  <si>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</si>
  <si>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</si>
  <si>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</si>
  <si>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</si>
  <si>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</si>
  <si>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</si>
  <si>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</si>
  <si>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</si>
  <si>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</si>
  <si>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</si>
  <si>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</si>
  <si>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</si>
  <si>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</si>
  <si>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</si>
  <si>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</si>
  <si>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</si>
  <si>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</si>
  <si>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</si>
  <si>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</si>
  <si>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</si>
  <si>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</si>
  <si>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</si>
  <si>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</si>
  <si>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</si>
  <si>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Jonathan Howard, Jonathan Demurger, Fanny Valette, Jess Liaudin</t>
  </si>
  <si>
    <t>A night out in Paris quickly unravels when two friends provoke the wrong taxi driver, who's after something bigger than cab fare.</t>
  </si>
  <si>
    <t>s8152</t>
  </si>
  <si>
    <t>Tarzan</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</si>
  <si>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</si>
  <si>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</si>
  <si>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</si>
  <si>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</si>
  <si>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</si>
  <si>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</si>
  <si>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</si>
  <si>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</si>
  <si>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</si>
  <si>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</si>
  <si>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</si>
  <si>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</si>
  <si>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</si>
  <si>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</si>
  <si>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</si>
  <si>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</si>
  <si>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</si>
  <si>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</si>
  <si>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</si>
  <si>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</si>
  <si>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</si>
  <si>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</si>
  <si>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</si>
  <si>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</si>
  <si>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</si>
  <si>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</si>
  <si>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</si>
  <si>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</si>
  <si>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</si>
  <si>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</si>
  <si>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</si>
  <si>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</si>
  <si>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</si>
  <si>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</si>
  <si>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</si>
  <si>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</si>
  <si>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</si>
  <si>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</si>
  <si>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</si>
  <si>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</si>
  <si>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</si>
  <si>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</si>
  <si>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</si>
  <si>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</si>
  <si>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</si>
  <si>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United States, Kazakhstan</t>
  </si>
  <si>
    <t>Three teenaged best friends on the planet Telluria begin an incredible journey of adventure as they fight against the most evil being in the universe.</t>
  </si>
  <si>
    <t>s8164</t>
  </si>
  <si>
    <t>Temporada de Caza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</si>
  <si>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</si>
  <si>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</si>
  <si>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</si>
  <si>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</si>
  <si>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</si>
  <si>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</si>
  <si>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</si>
  <si>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</si>
  <si>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</si>
  <si>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</si>
  <si>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</si>
  <si>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</si>
  <si>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</si>
  <si>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</si>
  <si>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</si>
  <si>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</si>
  <si>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</si>
  <si>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</si>
  <si>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</si>
  <si>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</si>
  <si>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</si>
  <si>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</si>
  <si>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</si>
  <si>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</si>
  <si>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Vanessa Paradis</t>
  </si>
  <si>
    <t>This visually arresting documentary essay reflects on our relationship to other living creatures as humanity becomes more isolated from nature.</t>
  </si>
  <si>
    <t>s8170</t>
  </si>
  <si>
    <t>Terrifier</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</si>
  <si>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</si>
  <si>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</si>
  <si>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</si>
  <si>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</si>
  <si>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</si>
  <si>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</si>
  <si>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</si>
  <si>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</si>
  <si>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</si>
  <si>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</si>
  <si>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</si>
  <si>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</si>
  <si>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</si>
  <si>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</si>
  <si>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</si>
  <si>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</si>
  <si>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</si>
  <si>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</si>
  <si>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</si>
  <si>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</si>
  <si>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</si>
  <si>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</si>
  <si>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</si>
  <si>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</si>
  <si>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</si>
  <si>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</si>
  <si>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</si>
  <si>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</si>
  <si>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</si>
  <si>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</si>
  <si>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</si>
  <si>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</si>
  <si>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Decades after WWII, a former SS officer stands trial in his native Germany after being charged for his complicity in the murder of Jews at Auschwitz.</t>
  </si>
  <si>
    <t>s8180</t>
  </si>
  <si>
    <t>The Adderall Diaries</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</si>
  <si>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</si>
  <si>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</si>
  <si>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</si>
  <si>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</si>
  <si>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</si>
  <si>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</si>
  <si>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</si>
  <si>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</si>
  <si>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</si>
  <si>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</si>
  <si>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</si>
  <si>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</si>
  <si>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</si>
  <si>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</si>
  <si>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</si>
  <si>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</si>
  <si>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</si>
  <si>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</si>
  <si>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</si>
  <si>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</si>
  <si>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</si>
  <si>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</si>
  <si>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</si>
  <si>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</si>
  <si>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</si>
  <si>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</si>
  <si>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</si>
  <si>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</si>
  <si>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</si>
  <si>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</si>
  <si>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</si>
  <si>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</si>
  <si>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</si>
  <si>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</si>
  <si>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</si>
  <si>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</si>
  <si>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</si>
  <si>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</si>
  <si>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</si>
  <si>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</si>
  <si>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</si>
  <si>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</si>
  <si>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</si>
  <si>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</si>
  <si>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</si>
  <si>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</si>
  <si>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</si>
  <si>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</si>
  <si>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</si>
  <si>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</si>
  <si>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</si>
  <si>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</si>
  <si>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</si>
  <si>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</si>
  <si>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</si>
  <si>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</si>
  <si>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</si>
  <si>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</si>
  <si>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</si>
  <si>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</si>
  <si>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</si>
  <si>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</si>
  <si>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</si>
  <si>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</si>
  <si>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</si>
  <si>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</si>
  <si>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</si>
  <si>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</si>
  <si>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</si>
  <si>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</si>
  <si>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</si>
  <si>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</si>
  <si>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</si>
  <si>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</si>
  <si>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</si>
  <si>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</si>
  <si>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</si>
  <si>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</si>
  <si>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</si>
  <si>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</si>
  <si>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</si>
  <si>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</si>
  <si>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</si>
  <si>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</si>
  <si>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</si>
  <si>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</si>
  <si>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</si>
  <si>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</si>
  <si>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</si>
  <si>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</si>
  <si>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</si>
  <si>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</si>
  <si>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</si>
  <si>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</si>
  <si>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</si>
  <si>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</si>
  <si>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</si>
  <si>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</si>
  <si>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</si>
  <si>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</si>
  <si>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</si>
  <si>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</si>
  <si>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</si>
  <si>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</si>
  <si>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</si>
  <si>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</si>
  <si>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</si>
  <si>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</si>
  <si>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</si>
  <si>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</si>
  <si>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</si>
  <si>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</si>
  <si>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</si>
  <si>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</si>
  <si>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</si>
  <si>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</si>
  <si>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</si>
  <si>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</si>
  <si>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</si>
  <si>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</si>
  <si>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</si>
  <si>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</si>
  <si>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</si>
  <si>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</si>
  <si>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</si>
  <si>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</si>
  <si>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 Bill Murray, Joel Murray, Peter Farrelly</t>
  </si>
  <si>
    <t>This documentary highlights spontaneous encounters with the elusive, comedic veteran, who touches lives by simply showing up anywhere.</t>
  </si>
  <si>
    <t>s8212</t>
  </si>
  <si>
    <t>The Black Room</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</si>
  <si>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</si>
  <si>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</si>
  <si>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</si>
  <si>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</si>
  <si>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</si>
  <si>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</si>
  <si>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</si>
  <si>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</si>
  <si>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</si>
  <si>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</si>
  <si>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</si>
  <si>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</si>
  <si>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</si>
  <si>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</si>
  <si>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</si>
  <si>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</si>
  <si>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</si>
  <si>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</si>
  <si>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</si>
  <si>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</si>
  <si>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</si>
  <si>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</si>
  <si>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</si>
  <si>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</si>
  <si>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</si>
  <si>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</si>
  <si>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</si>
  <si>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</si>
  <si>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</si>
  <si>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</si>
  <si>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</si>
  <si>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</si>
  <si>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</si>
  <si>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</si>
  <si>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</si>
  <si>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</si>
  <si>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</si>
  <si>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</si>
  <si>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</si>
  <si>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</si>
  <si>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</si>
  <si>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</si>
  <si>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</si>
  <si>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</si>
  <si>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</si>
  <si>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</si>
  <si>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</si>
  <si>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</si>
  <si>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</si>
  <si>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</si>
  <si>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</si>
  <si>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</si>
  <si>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</si>
  <si>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</si>
  <si>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</si>
  <si>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</si>
  <si>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</si>
  <si>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</si>
  <si>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</si>
  <si>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</si>
  <si>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</si>
  <si>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</si>
  <si>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</si>
  <si>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</si>
  <si>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</si>
  <si>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</si>
  <si>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</si>
  <si>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</si>
  <si>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</si>
  <si>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</si>
  <si>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</si>
  <si>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</si>
  <si>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</si>
  <si>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</si>
  <si>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</si>
  <si>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</si>
  <si>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</si>
  <si>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</si>
  <si>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</si>
  <si>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</si>
  <si>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</si>
  <si>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</si>
  <si>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</si>
  <si>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</si>
  <si>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</si>
  <si>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</si>
  <si>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</si>
  <si>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</si>
  <si>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</si>
  <si>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</si>
  <si>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</si>
  <si>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</si>
  <si>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</si>
  <si>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</si>
  <si>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</si>
  <si>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</si>
  <si>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</si>
  <si>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</si>
  <si>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</si>
  <si>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</si>
  <si>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</si>
  <si>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</si>
  <si>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</si>
  <si>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</si>
  <si>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</si>
  <si>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</si>
  <si>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</si>
  <si>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</si>
  <si>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</si>
  <si>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Vince Carter</t>
  </si>
  <si>
    <t>Featuring eight-time NBA All-Star Vince Carter, this documentary takes an in-depth look at his impact on pop culture and the Canadian basketball scene.</t>
  </si>
  <si>
    <t>s8240</t>
  </si>
  <si>
    <t>The Case for Christ</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</si>
  <si>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</si>
  <si>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</si>
  <si>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</si>
  <si>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</si>
  <si>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</si>
  <si>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</si>
  <si>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</si>
  <si>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</si>
  <si>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</si>
  <si>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</si>
  <si>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</si>
  <si>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</si>
  <si>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</si>
  <si>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</si>
  <si>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</si>
  <si>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</si>
  <si>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</si>
  <si>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</si>
  <si>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</si>
  <si>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</si>
  <si>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</si>
  <si>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</si>
  <si>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</si>
  <si>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</si>
  <si>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</si>
  <si>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</si>
  <si>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</si>
  <si>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</si>
  <si>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</si>
  <si>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</si>
  <si>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</si>
  <si>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</si>
  <si>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</si>
  <si>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</si>
  <si>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</si>
  <si>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</si>
  <si>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</si>
  <si>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</si>
  <si>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</si>
  <si>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</si>
  <si>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</si>
  <si>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</si>
  <si>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</si>
  <si>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</si>
  <si>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</si>
  <si>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</si>
  <si>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</si>
  <si>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</si>
  <si>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</si>
  <si>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</si>
  <si>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</si>
  <si>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</si>
  <si>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</si>
  <si>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</si>
  <si>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</si>
  <si>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</si>
  <si>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</si>
  <si>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</si>
  <si>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</si>
  <si>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</si>
  <si>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</si>
  <si>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</si>
  <si>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</si>
  <si>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</si>
  <si>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</si>
  <si>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</si>
  <si>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</si>
  <si>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</si>
  <si>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</si>
  <si>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</si>
  <si>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</si>
  <si>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</si>
  <si>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</si>
  <si>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</si>
  <si>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</si>
  <si>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</si>
  <si>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</si>
  <si>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</si>
  <si>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</si>
  <si>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</si>
  <si>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</si>
  <si>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</si>
  <si>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</si>
  <si>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</si>
  <si>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</si>
  <si>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</si>
  <si>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</si>
  <si>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</si>
  <si>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</si>
  <si>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</si>
  <si>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</si>
  <si>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</si>
  <si>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</si>
  <si>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</si>
  <si>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</si>
  <si>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</si>
  <si>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</si>
  <si>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</si>
  <si>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</si>
  <si>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</si>
  <si>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</si>
  <si>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</si>
  <si>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</si>
  <si>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</si>
  <si>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</si>
  <si>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</si>
  <si>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</si>
  <si>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</si>
  <si>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</si>
  <si>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</si>
  <si>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</si>
  <si>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</si>
  <si>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</si>
  <si>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</si>
  <si>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</si>
  <si>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</si>
  <si>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</si>
  <si>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</si>
  <si>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</si>
  <si>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</si>
  <si>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</si>
  <si>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</si>
  <si>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</si>
  <si>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</si>
  <si>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</si>
  <si>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</si>
  <si>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</si>
  <si>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</si>
  <si>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</si>
  <si>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</si>
  <si>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</si>
  <si>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</si>
  <si>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</si>
  <si>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</si>
  <si>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</si>
  <si>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</si>
  <si>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</si>
  <si>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</si>
  <si>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</si>
  <si>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</si>
  <si>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</si>
  <si>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</si>
  <si>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Paulina García, Claudio Rissi</t>
  </si>
  <si>
    <t>While traveling across Argentina to a new job, a longtime maid encounters a salesman who opens her eyes to life's beauty and possibilities.</t>
  </si>
  <si>
    <t>s8275</t>
  </si>
  <si>
    <t>The Detained</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</si>
  <si>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</si>
  <si>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</si>
  <si>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</si>
  <si>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</si>
  <si>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</si>
  <si>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</si>
  <si>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</si>
  <si>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</si>
  <si>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</si>
  <si>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</si>
  <si>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</si>
  <si>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</si>
  <si>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</si>
  <si>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</si>
  <si>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</si>
  <si>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</si>
  <si>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</si>
  <si>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</si>
  <si>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</si>
  <si>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</si>
  <si>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</si>
  <si>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</si>
  <si>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</si>
  <si>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</si>
  <si>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</si>
  <si>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</si>
  <si>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</si>
  <si>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</si>
  <si>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</si>
  <si>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</si>
  <si>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</si>
  <si>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</si>
  <si>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</si>
  <si>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</si>
  <si>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</si>
  <si>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</si>
  <si>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</si>
  <si>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</si>
  <si>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</si>
  <si>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</si>
  <si>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</si>
  <si>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</si>
  <si>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</si>
  <si>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</si>
  <si>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</si>
  <si>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</si>
  <si>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</si>
  <si>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</si>
  <si>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</si>
  <si>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</si>
  <si>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</si>
  <si>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</si>
  <si>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</si>
  <si>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</si>
  <si>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</si>
  <si>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</si>
  <si>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</si>
  <si>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</si>
  <si>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</si>
  <si>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</si>
  <si>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</si>
  <si>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</si>
  <si>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</si>
  <si>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</si>
  <si>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</si>
  <si>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</si>
  <si>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</si>
  <si>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</si>
  <si>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</si>
  <si>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</si>
  <si>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</si>
  <si>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</si>
  <si>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</si>
  <si>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</si>
  <si>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</si>
  <si>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</si>
  <si>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</si>
  <si>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</si>
  <si>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</si>
  <si>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</si>
  <si>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</si>
  <si>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</si>
  <si>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</si>
  <si>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</si>
  <si>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</si>
  <si>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</si>
  <si>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</si>
  <si>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</si>
  <si>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</si>
  <si>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</si>
  <si>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</si>
  <si>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</si>
  <si>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</si>
  <si>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</si>
  <si>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</si>
  <si>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</si>
  <si>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</si>
  <si>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</si>
  <si>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</si>
  <si>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</si>
  <si>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</si>
  <si>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</si>
  <si>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</si>
  <si>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</si>
  <si>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</si>
  <si>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</si>
  <si>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</si>
  <si>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</si>
  <si>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</si>
  <si>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</si>
  <si>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</si>
  <si>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</si>
  <si>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</si>
  <si>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</si>
  <si>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</si>
  <si>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</si>
  <si>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</si>
  <si>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</si>
  <si>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</si>
  <si>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</si>
  <si>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</si>
  <si>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</si>
  <si>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</si>
  <si>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</si>
  <si>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</si>
  <si>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</si>
  <si>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</si>
  <si>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</si>
  <si>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</si>
  <si>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</si>
  <si>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</si>
  <si>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</si>
  <si>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</si>
  <si>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</si>
  <si>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</si>
  <si>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</si>
  <si>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</si>
  <si>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</si>
  <si>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</si>
  <si>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</si>
  <si>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</si>
  <si>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</si>
  <si>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</si>
  <si>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</si>
  <si>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</si>
  <si>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</si>
  <si>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</si>
  <si>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</si>
  <si>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</si>
  <si>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</si>
  <si>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</si>
  <si>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</si>
  <si>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</si>
  <si>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</si>
  <si>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</si>
  <si>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</si>
  <si>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</si>
  <si>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</si>
  <si>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</si>
  <si>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</si>
  <si>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</si>
  <si>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</si>
  <si>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</si>
  <si>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</si>
  <si>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</si>
  <si>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</si>
  <si>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</si>
  <si>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</si>
  <si>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</si>
  <si>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</si>
  <si>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</si>
  <si>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</si>
  <si>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</si>
  <si>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</si>
  <si>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</si>
  <si>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</si>
  <si>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</si>
  <si>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</si>
  <si>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</si>
  <si>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</si>
  <si>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</si>
  <si>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</si>
  <si>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This documentary follows four tycoons who moonlight as motorsport competitors and examines what fuels them to succeed, both at work and on the track.</t>
  </si>
  <si>
    <t>s8320</t>
  </si>
  <si>
    <t>The Ghost Who Walks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</si>
  <si>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</si>
  <si>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</si>
  <si>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</si>
  <si>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</si>
  <si>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</si>
  <si>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</si>
  <si>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</si>
  <si>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</si>
  <si>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</si>
  <si>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</si>
  <si>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</si>
  <si>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</si>
  <si>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</si>
  <si>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</si>
  <si>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</si>
  <si>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</si>
  <si>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Zachary Spicer, Wrenn Schmidt, Danny Glover, John C. McGinley</t>
  </si>
  <si>
    <t>A young priest’s faith is tested when he finds himself attracted to a woman he meets at confession and his ideals are shaken to the core.</t>
  </si>
  <si>
    <t>s8325</t>
  </si>
  <si>
    <t>The Good Neighbor</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</si>
  <si>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</si>
  <si>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</si>
  <si>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</si>
  <si>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</si>
  <si>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</si>
  <si>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</si>
  <si>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</si>
  <si>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</si>
  <si>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</si>
  <si>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</si>
  <si>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</si>
  <si>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</si>
  <si>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</si>
  <si>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</si>
  <si>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</si>
  <si>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</si>
  <si>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</si>
  <si>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</si>
  <si>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</si>
  <si>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</si>
  <si>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</si>
  <si>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</si>
  <si>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</si>
  <si>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</si>
  <si>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</si>
  <si>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</si>
  <si>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</si>
  <si>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</si>
  <si>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</si>
  <si>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</si>
  <si>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</si>
  <si>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</si>
  <si>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</si>
  <si>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</si>
  <si>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</si>
  <si>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</si>
  <si>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</si>
  <si>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</si>
  <si>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</si>
  <si>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</si>
  <si>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</si>
  <si>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</si>
  <si>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</si>
  <si>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</si>
  <si>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</si>
  <si>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</si>
  <si>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</si>
  <si>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</si>
  <si>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</si>
  <si>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</si>
  <si>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</si>
  <si>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</si>
  <si>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</si>
  <si>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</si>
  <si>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</si>
  <si>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</si>
  <si>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</si>
  <si>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</si>
  <si>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</si>
  <si>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</si>
  <si>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</si>
  <si>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</si>
  <si>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</si>
  <si>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</si>
  <si>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</si>
  <si>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</si>
  <si>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</si>
  <si>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</si>
  <si>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</si>
  <si>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</si>
  <si>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</si>
  <si>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</si>
  <si>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</si>
  <si>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</si>
  <si>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</si>
  <si>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</si>
  <si>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</si>
  <si>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</si>
  <si>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</si>
  <si>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</si>
  <si>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</si>
  <si>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</si>
  <si>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</si>
  <si>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</si>
  <si>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</si>
  <si>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</si>
  <si>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</si>
  <si>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</si>
  <si>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</si>
  <si>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</si>
  <si>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</si>
  <si>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</si>
  <si>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</si>
  <si>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</si>
  <si>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</si>
  <si>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</si>
  <si>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</si>
  <si>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</si>
  <si>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</si>
  <si>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</si>
  <si>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</si>
  <si>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</si>
  <si>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</si>
  <si>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</si>
  <si>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</si>
  <si>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</si>
  <si>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</si>
  <si>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A family of Parsi musicians collectively works for over 60 years scoring the orchestral soundtracks for some of Bollywood's most memorable films.</t>
  </si>
  <si>
    <t>s8352</t>
  </si>
  <si>
    <t>The Humanity Bureau</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</si>
  <si>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</si>
  <si>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</si>
  <si>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</si>
  <si>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</si>
  <si>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</si>
  <si>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</si>
  <si>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</si>
  <si>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</si>
  <si>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</si>
  <si>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</si>
  <si>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</si>
  <si>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</si>
  <si>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</si>
  <si>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</si>
  <si>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</si>
  <si>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</si>
  <si>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</si>
  <si>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</si>
  <si>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</si>
  <si>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</si>
  <si>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</si>
  <si>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</si>
  <si>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</si>
  <si>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</si>
  <si>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</si>
  <si>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</si>
  <si>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</si>
  <si>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</si>
  <si>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</si>
  <si>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</si>
  <si>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</si>
  <si>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</si>
  <si>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</si>
  <si>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</si>
  <si>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</si>
  <si>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</si>
  <si>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</si>
  <si>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</si>
  <si>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</si>
  <si>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</si>
  <si>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</si>
  <si>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</si>
  <si>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</si>
  <si>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</si>
  <si>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</si>
  <si>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</si>
  <si>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</si>
  <si>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</si>
  <si>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</si>
  <si>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</si>
  <si>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</si>
  <si>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</si>
  <si>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</si>
  <si>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</si>
  <si>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</si>
  <si>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</si>
  <si>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</si>
  <si>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</si>
  <si>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</si>
  <si>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</si>
  <si>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</si>
  <si>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</si>
  <si>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</si>
  <si>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</si>
  <si>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</si>
  <si>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</si>
  <si>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</si>
  <si>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</si>
  <si>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</si>
  <si>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</si>
  <si>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</si>
  <si>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</si>
  <si>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</si>
  <si>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</si>
  <si>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</si>
  <si>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</si>
  <si>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</si>
  <si>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</si>
  <si>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</si>
  <si>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</si>
  <si>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</si>
  <si>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</si>
  <si>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</si>
  <si>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</si>
  <si>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</si>
  <si>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</si>
  <si>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</si>
  <si>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</si>
  <si>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</si>
  <si>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</si>
  <si>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</si>
  <si>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</si>
  <si>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</si>
  <si>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</si>
  <si>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</si>
  <si>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</si>
  <si>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</si>
  <si>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</si>
  <si>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</si>
  <si>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</si>
  <si>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</si>
  <si>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</si>
  <si>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</si>
  <si>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</si>
  <si>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</si>
  <si>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</si>
  <si>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</si>
  <si>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</si>
  <si>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</si>
  <si>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</si>
  <si>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</si>
  <si>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</si>
  <si>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</si>
  <si>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</si>
  <si>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</si>
  <si>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</si>
  <si>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</si>
  <si>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</si>
  <si>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</si>
  <si>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</si>
  <si>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</si>
  <si>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</si>
  <si>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</si>
  <si>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</si>
  <si>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</si>
  <si>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</si>
  <si>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</si>
  <si>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</si>
  <si>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</si>
  <si>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</si>
  <si>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</si>
  <si>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</si>
  <si>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</si>
  <si>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</si>
  <si>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</si>
  <si>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</si>
  <si>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</si>
  <si>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</si>
  <si>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</si>
  <si>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</si>
  <si>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</si>
  <si>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</si>
  <si>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</si>
  <si>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</si>
  <si>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</si>
  <si>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</si>
  <si>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</si>
  <si>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</si>
  <si>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</si>
  <si>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</si>
  <si>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Eugene Cernan</t>
  </si>
  <si>
    <t>Astronaut Gene Cernan looks back on the exciting history of NASA's lunar landings and how being the last man to stand on the moon changed his life.</t>
  </si>
  <si>
    <t>s8389</t>
  </si>
  <si>
    <t>The Last Resort</t>
  </si>
  <si>
    <t>April 21, 2019</t>
  </si>
  <si>
    <t>In the waning days of the 70s, two young photographers document the Jewish retirees who dominated the sunny shores of South Beach.</t>
  </si>
  <si>
    <t>s8390</t>
  </si>
  <si>
    <t>The Last Whistle</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</si>
  <si>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</si>
  <si>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</si>
  <si>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</si>
  <si>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</si>
  <si>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</si>
  <si>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</si>
  <si>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</si>
  <si>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</si>
  <si>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</si>
  <si>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</si>
  <si>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</si>
  <si>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</si>
  <si>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</si>
  <si>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</si>
  <si>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</si>
  <si>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</si>
  <si>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</si>
  <si>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</si>
  <si>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</si>
  <si>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</si>
  <si>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</si>
  <si>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</si>
  <si>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</si>
  <si>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</si>
  <si>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</si>
  <si>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</si>
  <si>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</si>
  <si>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</si>
  <si>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</si>
  <si>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</si>
  <si>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</si>
  <si>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</si>
  <si>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</si>
  <si>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</si>
  <si>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</si>
  <si>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</si>
  <si>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</si>
  <si>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</si>
  <si>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</si>
  <si>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</si>
  <si>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</si>
  <si>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</si>
  <si>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</si>
  <si>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</si>
  <si>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</si>
  <si>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</si>
  <si>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June 23, 2019</t>
  </si>
  <si>
    <t>Faced with terminal breast cancer, a courageous wife and mother turns her suffering into a resilient message of faith, love and compassion.</t>
  </si>
  <si>
    <t>s8402</t>
  </si>
  <si>
    <t>The Longest Yard</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</si>
  <si>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</si>
  <si>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</si>
  <si>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</si>
  <si>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</si>
  <si>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</si>
  <si>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</si>
  <si>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</si>
  <si>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</si>
  <si>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</si>
  <si>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</si>
  <si>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</si>
  <si>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</si>
  <si>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</si>
  <si>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</si>
  <si>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</si>
  <si>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</si>
  <si>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</si>
  <si>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</si>
  <si>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</si>
  <si>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</si>
  <si>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</si>
  <si>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</si>
  <si>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</si>
  <si>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</si>
  <si>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</si>
  <si>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</si>
  <si>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</si>
  <si>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</si>
  <si>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This firsthand account tells of two kidnapped South Korean movie professionals who became the unwilling personal filmmakers of dictator Kim Jong-il.</t>
  </si>
  <si>
    <t>s8409</t>
  </si>
  <si>
    <t>The lynx</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</si>
  <si>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</si>
  <si>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</si>
  <si>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</si>
  <si>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</si>
  <si>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</si>
  <si>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</si>
  <si>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</si>
  <si>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</si>
  <si>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</si>
  <si>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</si>
  <si>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</si>
  <si>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</si>
  <si>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</si>
  <si>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</si>
  <si>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</si>
  <si>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</si>
  <si>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</si>
  <si>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</si>
  <si>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</si>
  <si>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</si>
  <si>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</si>
  <si>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</si>
  <si>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</si>
  <si>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</si>
  <si>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</si>
  <si>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</si>
  <si>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</si>
  <si>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</si>
  <si>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</si>
  <si>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</si>
  <si>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</si>
  <si>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</si>
  <si>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</si>
  <si>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</si>
  <si>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</si>
  <si>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</si>
  <si>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</si>
  <si>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</si>
  <si>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</si>
  <si>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</si>
  <si>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</si>
  <si>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</si>
  <si>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</si>
  <si>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</si>
  <si>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</si>
  <si>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This documentary centers on the crew of the B-17 Flying Fortress Memphis Belle as it prepares to execute a strategic bombing mission over Germany.</t>
  </si>
  <si>
    <t>s8421</t>
  </si>
  <si>
    <t>The Men Who Stare at Goats</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</si>
  <si>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</si>
  <si>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</si>
  <si>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</si>
  <si>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</si>
  <si>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</si>
  <si>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</si>
  <si>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</si>
  <si>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</si>
  <si>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</si>
  <si>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</si>
  <si>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</si>
  <si>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</si>
  <si>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</si>
  <si>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</si>
  <si>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</si>
  <si>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</si>
  <si>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</si>
  <si>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</si>
  <si>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</si>
  <si>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</si>
  <si>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</si>
  <si>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</si>
  <si>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</si>
  <si>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</si>
  <si>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</si>
  <si>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</si>
  <si>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</si>
  <si>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</si>
  <si>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</si>
  <si>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</si>
  <si>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</si>
  <si>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</si>
  <si>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</si>
  <si>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</si>
  <si>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</si>
  <si>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</si>
  <si>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</si>
  <si>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</si>
  <si>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</si>
  <si>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</si>
  <si>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</si>
  <si>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</si>
  <si>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</si>
  <si>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</si>
  <si>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</si>
  <si>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</si>
  <si>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</si>
  <si>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</si>
  <si>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</si>
  <si>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</si>
  <si>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</si>
  <si>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</si>
  <si>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</si>
  <si>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</si>
  <si>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</si>
  <si>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</si>
  <si>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</si>
  <si>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</si>
  <si>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</si>
  <si>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</si>
  <si>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</si>
  <si>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</si>
  <si>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</si>
  <si>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</si>
  <si>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</si>
  <si>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</si>
  <si>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</si>
  <si>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</si>
  <si>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</si>
  <si>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</si>
  <si>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</si>
  <si>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</si>
  <si>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</si>
  <si>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</si>
  <si>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</si>
  <si>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</si>
  <si>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</si>
  <si>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</si>
  <si>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December 28, 2016</t>
  </si>
  <si>
    <t>For 13 years, the underground neo-Nazi organization NSU eluded German police while planting bombs, robbing banks and killing immigrants at random.</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</si>
  <si>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</si>
  <si>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</si>
  <si>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</si>
  <si>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</si>
  <si>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</si>
  <si>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</si>
  <si>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</si>
  <si>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</si>
  <si>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</si>
  <si>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</si>
  <si>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</si>
  <si>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</si>
  <si>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</si>
  <si>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</si>
  <si>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</si>
  <si>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</si>
  <si>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</si>
  <si>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</si>
  <si>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</si>
  <si>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</si>
  <si>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</si>
  <si>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</si>
  <si>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</si>
  <si>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</si>
  <si>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</si>
  <si>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</si>
  <si>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</si>
  <si>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Russell Tovey, Arinzé Kene, Lisa McGrillis, Nico Mirallegro, Rory J. Saper</t>
  </si>
  <si>
    <t>The lives and careers of two professional soccer players are profoundly impacted by a single moment of intimacy that took place between them.</t>
  </si>
  <si>
    <t>s8449</t>
  </si>
  <si>
    <t>The Peacemaker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</si>
  <si>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</si>
  <si>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</si>
  <si>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</si>
  <si>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</si>
  <si>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</si>
  <si>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</si>
  <si>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</si>
  <si>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</si>
  <si>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French soccer fans, celebrities and athletes retrace the exhilarating events of July 12, 1998, as France earned a historic win in the World Cup final.</t>
  </si>
  <si>
    <t>s8452</t>
  </si>
  <si>
    <t>The Perks of Being a Wallflower</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</si>
  <si>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</si>
  <si>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</si>
  <si>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</si>
  <si>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</si>
  <si>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</si>
  <si>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</si>
  <si>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</si>
  <si>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</si>
  <si>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</si>
  <si>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</si>
  <si>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</si>
  <si>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</si>
  <si>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</si>
  <si>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</si>
  <si>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</si>
  <si>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</si>
  <si>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</si>
  <si>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</si>
  <si>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</si>
  <si>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</si>
  <si>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</si>
  <si>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</si>
  <si>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</si>
  <si>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</si>
  <si>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</si>
  <si>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</si>
  <si>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</si>
  <si>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</si>
  <si>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</si>
  <si>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</si>
  <si>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</si>
  <si>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</si>
  <si>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</si>
  <si>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</si>
  <si>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</si>
  <si>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</si>
  <si>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</si>
  <si>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</si>
  <si>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</si>
  <si>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</si>
  <si>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</si>
  <si>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</si>
  <si>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</si>
  <si>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</si>
  <si>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</si>
  <si>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</si>
  <si>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</si>
  <si>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</si>
  <si>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</si>
  <si>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</si>
  <si>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</si>
  <si>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</si>
  <si>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</si>
  <si>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</si>
  <si>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</si>
  <si>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</si>
  <si>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</si>
  <si>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</si>
  <si>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</si>
  <si>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</si>
  <si>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</si>
  <si>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</si>
  <si>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</si>
  <si>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</si>
  <si>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</si>
  <si>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</si>
  <si>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</si>
  <si>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</si>
  <si>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</si>
  <si>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</si>
  <si>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</si>
  <si>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</si>
  <si>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</si>
  <si>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</si>
  <si>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</si>
  <si>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</si>
  <si>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</si>
  <si>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</si>
  <si>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</si>
  <si>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</si>
  <si>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</si>
  <si>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</si>
  <si>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</si>
  <si>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</si>
  <si>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</si>
  <si>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</si>
  <si>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</si>
  <si>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</si>
  <si>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</si>
  <si>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</si>
  <si>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</si>
  <si>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</si>
  <si>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</si>
  <si>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</si>
  <si>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</si>
  <si>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</si>
  <si>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</si>
  <si>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</si>
  <si>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</si>
  <si>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</si>
  <si>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</si>
  <si>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</si>
  <si>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</si>
  <si>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</si>
  <si>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</si>
  <si>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</si>
  <si>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</si>
  <si>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</si>
  <si>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</si>
  <si>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Fumio Demura</t>
  </si>
  <si>
    <t>United States, Canada, Japan, Panama</t>
  </si>
  <si>
    <t>A look at the life of karate master Fumio Demura shows how he spread the discipline in the West, winning countless devotees and influencing Hollywood.</t>
  </si>
  <si>
    <t>s8479</t>
  </si>
  <si>
    <t>The Rebound</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</si>
  <si>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</si>
  <si>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</si>
  <si>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</si>
  <si>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</si>
  <si>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</si>
  <si>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</si>
  <si>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</si>
  <si>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</si>
  <si>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</si>
  <si>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</si>
  <si>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</si>
  <si>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</si>
  <si>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</si>
  <si>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</si>
  <si>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</si>
  <si>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</si>
  <si>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</si>
  <si>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</si>
  <si>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</si>
  <si>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</si>
  <si>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</si>
  <si>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</si>
  <si>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</si>
  <si>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</si>
  <si>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</si>
  <si>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</si>
  <si>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</si>
  <si>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</si>
  <si>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</si>
  <si>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</si>
  <si>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</si>
  <si>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</si>
  <si>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</si>
  <si>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</si>
  <si>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</si>
  <si>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</si>
  <si>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</si>
  <si>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</si>
  <si>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</si>
  <si>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</si>
  <si>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</si>
  <si>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</si>
  <si>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</si>
  <si>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</si>
  <si>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</si>
  <si>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</si>
  <si>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</si>
  <si>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</si>
  <si>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</si>
  <si>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</si>
  <si>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</si>
  <si>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</si>
  <si>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</si>
  <si>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</si>
  <si>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</si>
  <si>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</si>
  <si>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</si>
  <si>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</si>
  <si>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</si>
  <si>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</si>
  <si>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</si>
  <si>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</si>
  <si>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</si>
  <si>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</si>
  <si>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</si>
  <si>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</si>
  <si>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</si>
  <si>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</si>
  <si>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</si>
  <si>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</si>
  <si>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</si>
  <si>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</si>
  <si>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</si>
  <si>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</si>
  <si>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</si>
  <si>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</si>
  <si>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</si>
  <si>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</si>
  <si>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</si>
  <si>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</si>
  <si>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</si>
  <si>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</si>
  <si>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</si>
  <si>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</si>
  <si>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</si>
  <si>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</si>
  <si>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</si>
  <si>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</si>
  <si>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</si>
  <si>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</si>
  <si>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</si>
  <si>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</si>
  <si>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To determine whether we're alone in the universe, astrobiologists look to Jupiter, Mars and, closer to home, extreme environments on Earth.</t>
  </si>
  <si>
    <t>s8502</t>
  </si>
  <si>
    <t>The Secret Life of Pets 2</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</si>
  <si>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</si>
  <si>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</si>
  <si>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</si>
  <si>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</si>
  <si>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</si>
  <si>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</si>
  <si>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</si>
  <si>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</si>
  <si>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</si>
  <si>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</si>
  <si>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</si>
  <si>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</si>
  <si>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</si>
  <si>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</si>
  <si>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</si>
  <si>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</si>
  <si>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</si>
  <si>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</si>
  <si>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</si>
  <si>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</si>
  <si>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</si>
  <si>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</si>
  <si>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</si>
  <si>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</si>
  <si>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</si>
  <si>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</si>
  <si>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</si>
  <si>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</si>
  <si>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</si>
  <si>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</si>
  <si>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</si>
  <si>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</si>
  <si>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</si>
  <si>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</si>
  <si>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</si>
  <si>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</si>
  <si>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</si>
  <si>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</si>
  <si>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</si>
  <si>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</si>
  <si>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</si>
  <si>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</si>
  <si>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</si>
  <si>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</si>
  <si>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</si>
  <si>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</si>
  <si>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</si>
  <si>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</si>
  <si>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</si>
  <si>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</si>
  <si>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</si>
  <si>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</si>
  <si>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</si>
  <si>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</si>
  <si>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</si>
  <si>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</si>
  <si>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</si>
  <si>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</si>
  <si>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</si>
  <si>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</si>
  <si>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Based on Dr. Ahron Bregman's book, this documentary examines the life and mysterious death of Ashraf Marwan, an Egyptian billionaire and Israeli spy.</t>
  </si>
  <si>
    <t>s8518</t>
  </si>
  <si>
    <t>The Stanford Prison Experiment</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</si>
  <si>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</si>
  <si>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</si>
  <si>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</si>
  <si>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</si>
  <si>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</si>
  <si>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</si>
  <si>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</si>
  <si>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</si>
  <si>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</si>
  <si>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</si>
  <si>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</si>
  <si>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</si>
  <si>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</si>
  <si>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</si>
  <si>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</si>
  <si>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Take a trip and witness the rise and fall of Tim Scully and Nicholas Sand, improbable pioneers of the drug counterculture during the 1960s.</t>
  </si>
  <si>
    <t>s8523</t>
  </si>
  <si>
    <t>The Super</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</si>
  <si>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</si>
  <si>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</si>
  <si>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</si>
  <si>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</si>
  <si>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</si>
  <si>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</si>
  <si>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</si>
  <si>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</si>
  <si>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</si>
  <si>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</si>
  <si>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</si>
  <si>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</si>
  <si>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</si>
  <si>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</si>
  <si>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</si>
  <si>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</si>
  <si>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</si>
  <si>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</si>
  <si>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</si>
  <si>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</si>
  <si>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</si>
  <si>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</si>
  <si>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</si>
  <si>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</si>
  <si>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Khaled El Sawy, Khaled Saleh, Ruby</t>
  </si>
  <si>
    <t>A street beggar befriends a man who lost his eye in a brawl, unaware that his new acquaintance is plotting to make him his unwitting organ donor.</t>
  </si>
  <si>
    <t>s8530</t>
  </si>
  <si>
    <t>The Tiger Hunter</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</si>
  <si>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</si>
  <si>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</si>
  <si>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</si>
  <si>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</si>
  <si>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</si>
  <si>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</si>
  <si>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</si>
  <si>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</si>
  <si>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</si>
  <si>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</si>
  <si>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</si>
  <si>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</si>
  <si>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</si>
  <si>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</si>
  <si>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</si>
  <si>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</si>
  <si>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</si>
  <si>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</si>
  <si>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</si>
  <si>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</si>
  <si>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</si>
  <si>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</si>
  <si>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</si>
  <si>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</si>
  <si>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</si>
  <si>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</si>
  <si>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</si>
  <si>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</si>
  <si>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</si>
  <si>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</si>
  <si>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</si>
  <si>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</si>
  <si>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</si>
  <si>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</si>
  <si>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</si>
  <si>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</si>
  <si>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</si>
  <si>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</si>
  <si>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</si>
  <si>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</si>
  <si>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</si>
  <si>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</si>
  <si>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</si>
  <si>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</si>
  <si>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</si>
  <si>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</si>
  <si>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</si>
  <si>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</si>
  <si>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</si>
  <si>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</si>
  <si>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</si>
  <si>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</si>
  <si>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</si>
  <si>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</si>
  <si>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</si>
  <si>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</si>
  <si>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</si>
  <si>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</si>
  <si>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</si>
  <si>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</si>
  <si>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</si>
  <si>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</si>
  <si>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</si>
  <si>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</si>
  <si>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</si>
  <si>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</si>
  <si>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</si>
  <si>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</si>
  <si>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</si>
  <si>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</si>
  <si>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</si>
  <si>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</si>
  <si>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</si>
  <si>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</si>
  <si>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</si>
  <si>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</si>
  <si>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</si>
  <si>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</si>
  <si>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</si>
  <si>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</si>
  <si>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</si>
  <si>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</si>
  <si>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June 20, 2018</t>
  </si>
  <si>
    <t>Ken Burns presents an epic 10-part, 18-hour chronicle of the Vietnam War, featuring the soldiers, protesters, politicians and families that lived it.</t>
  </si>
  <si>
    <t>s8551</t>
  </si>
  <si>
    <t>The Walls of the Moon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</si>
  <si>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</si>
  <si>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</si>
  <si>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</si>
  <si>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</si>
  <si>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</si>
  <si>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</si>
  <si>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</si>
  <si>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</si>
  <si>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</si>
  <si>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</si>
  <si>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</si>
  <si>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</si>
  <si>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</si>
  <si>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</si>
  <si>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</si>
  <si>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</si>
  <si>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</si>
  <si>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</si>
  <si>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</si>
  <si>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</si>
  <si>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</si>
  <si>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</si>
  <si>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</si>
  <si>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</si>
  <si>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</si>
  <si>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</si>
  <si>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</si>
  <si>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</si>
  <si>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</si>
  <si>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</si>
  <si>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</si>
  <si>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</si>
  <si>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</si>
  <si>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</si>
  <si>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</si>
  <si>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</si>
  <si>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</si>
  <si>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</si>
  <si>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</si>
  <si>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</si>
  <si>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</si>
  <si>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</si>
  <si>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</si>
  <si>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</si>
  <si>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</si>
  <si>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</si>
  <si>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</si>
  <si>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</si>
  <si>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</si>
  <si>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Experience an up-close look at the controversial passion and resulting infamy of big-game hunters Rebecca Francis and Jacine Jadresko.</t>
  </si>
  <si>
    <t>s8563</t>
  </si>
  <si>
    <t>The Women's Balcony</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</si>
  <si>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</si>
  <si>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</si>
  <si>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</si>
  <si>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</si>
  <si>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</si>
  <si>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</si>
  <si>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</si>
  <si>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</si>
  <si>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</si>
  <si>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</si>
  <si>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</si>
  <si>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</si>
  <si>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Maria Diekmann</t>
  </si>
  <si>
    <t>A conservationist shares her emotional journey in helping save rare, scaly mammals that have been illegally trafficked and now face extinction.</t>
  </si>
  <si>
    <t>s8567</t>
  </si>
  <si>
    <t>The Wrong Babysitter</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</si>
  <si>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</si>
  <si>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</si>
  <si>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</si>
  <si>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</si>
  <si>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</si>
  <si>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</si>
  <si>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</si>
  <si>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</si>
  <si>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</si>
  <si>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</si>
  <si>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</si>
  <si>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</si>
  <si>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</si>
  <si>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</si>
  <si>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</si>
  <si>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</si>
  <si>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Massimo Bottura</t>
  </si>
  <si>
    <t>This documentary follows chef Massimo Bottura as he opens a soup kitchen to cook gourmet meals for the needy from food waste at the 2015 Milan Expo.</t>
  </si>
  <si>
    <t>s8572</t>
  </si>
  <si>
    <t>Theeram</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</si>
  <si>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</si>
  <si>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</si>
  <si>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</si>
  <si>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</si>
  <si>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Thelonious Monk, Samuel E. Wright</t>
  </si>
  <si>
    <t>The spotlight shines on iconic jazz pianist and composer Thelonious Monk in this 1988 documentary featuring vintage performance clips and interviews.</t>
  </si>
  <si>
    <t>s8574</t>
  </si>
  <si>
    <t>Theo Who Lived</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</si>
  <si>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</si>
  <si>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</si>
  <si>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</si>
  <si>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</si>
  <si>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</si>
  <si>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</si>
  <si>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</si>
  <si>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</si>
  <si>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</si>
  <si>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</si>
  <si>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</si>
  <si>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</si>
  <si>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</si>
  <si>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</si>
  <si>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</si>
  <si>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</si>
  <si>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The Tomorrowland music festival marks its 10th anniversary in Belgium, the U.S. and Brazil, with all the diverse excitement of the annual event.</t>
  </si>
  <si>
    <t>s8579</t>
  </si>
  <si>
    <t>Thithi</t>
  </si>
  <si>
    <t>Thammegowda S., Channegowda, Abhishek H.N., Pooja, Singri Gowda</t>
  </si>
  <si>
    <t>In a South Indian village, a centenarian's funeral brings together his free-spirited son, inheritance-hungry grandson and girl-crazy great-grandson.</t>
  </si>
  <si>
    <t>s8580</t>
  </si>
  <si>
    <t>Thong Dee Fun Khao</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</si>
  <si>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</si>
  <si>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</si>
  <si>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</si>
  <si>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</si>
  <si>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</si>
  <si>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</si>
  <si>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</si>
  <si>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</si>
  <si>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</si>
  <si>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</si>
  <si>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</si>
  <si>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</si>
  <si>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</si>
  <si>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</si>
  <si>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</si>
  <si>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</si>
  <si>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</si>
  <si>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</si>
  <si>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</si>
  <si>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</si>
  <si>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</si>
  <si>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</si>
  <si>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</si>
  <si>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</si>
  <si>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</si>
  <si>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</si>
  <si>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</si>
  <si>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</si>
  <si>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</si>
  <si>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</si>
  <si>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</si>
  <si>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</si>
  <si>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</si>
  <si>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</si>
  <si>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</si>
  <si>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</si>
  <si>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</si>
  <si>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</si>
  <si>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</si>
  <si>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</si>
  <si>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</si>
  <si>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</si>
  <si>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</si>
  <si>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</si>
  <si>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</si>
  <si>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</si>
  <si>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</si>
  <si>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</si>
  <si>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</si>
  <si>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</si>
  <si>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</si>
  <si>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</si>
  <si>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</si>
  <si>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</si>
  <si>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</si>
  <si>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</si>
  <si>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</si>
  <si>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</si>
  <si>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</si>
  <si>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</si>
  <si>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</si>
  <si>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</si>
  <si>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</si>
  <si>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</si>
  <si>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</si>
  <si>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</si>
  <si>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</si>
  <si>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</si>
  <si>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</si>
  <si>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</si>
  <si>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</si>
  <si>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</si>
  <si>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</si>
  <si>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</si>
  <si>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</si>
  <si>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</si>
  <si>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United States, Venezuela</t>
  </si>
  <si>
    <t>Explore how the media and nationalism have fueled Venezuela's passion for physical appearance and the multibillion-dollar beauty pageant industry.</t>
  </si>
  <si>
    <t>s8599</t>
  </si>
  <si>
    <t>To Wong Foo, Thanks for Everything! Julie Newmar</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</si>
  <si>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</si>
  <si>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</si>
  <si>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</si>
  <si>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</si>
  <si>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</si>
  <si>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</si>
  <si>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</si>
  <si>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</si>
  <si>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</si>
  <si>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</si>
  <si>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</si>
  <si>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</si>
  <si>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</si>
  <si>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</si>
  <si>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United Kingdom, Canada, Japan</t>
  </si>
  <si>
    <t>This documentary follows J-Pop idol Rio and her predominantly middle-aged fans, and their seemingly transactional interactions.</t>
  </si>
  <si>
    <t>s8603</t>
  </si>
  <si>
    <t>Tom and Jerry: The Magic Ring</t>
  </si>
  <si>
    <t>Richard Kind, Dana Hill, Anndi McAfee, Tony Jay, Rip Taylor, Henry Gibson</t>
  </si>
  <si>
    <t>When a young wizard leaves Tom to guard his priceless magic ring, Jerry gets the ring stuck on his head, igniting a series of slapstick antics.</t>
  </si>
  <si>
    <t>s8604</t>
  </si>
  <si>
    <t>Tomorrow Never Dies</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</si>
  <si>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</si>
  <si>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</si>
  <si>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</si>
  <si>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</si>
  <si>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</si>
  <si>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</si>
  <si>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</si>
  <si>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</si>
  <si>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</si>
  <si>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</si>
  <si>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</si>
  <si>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</si>
  <si>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</si>
  <si>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</si>
  <si>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</si>
  <si>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</si>
  <si>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</si>
  <si>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</si>
  <si>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</si>
  <si>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</si>
  <si>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</si>
  <si>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</si>
  <si>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</si>
  <si>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</si>
  <si>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</si>
  <si>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</si>
  <si>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</si>
  <si>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</si>
  <si>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</si>
  <si>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</si>
  <si>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</si>
  <si>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</si>
  <si>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</si>
  <si>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</si>
  <si>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</si>
  <si>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</si>
  <si>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</si>
  <si>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</si>
  <si>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</si>
  <si>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</si>
  <si>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</si>
  <si>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</si>
  <si>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</si>
  <si>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</si>
  <si>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</si>
  <si>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</si>
  <si>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</si>
  <si>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</si>
  <si>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</si>
  <si>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</si>
  <si>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</si>
  <si>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</si>
  <si>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</si>
  <si>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</si>
  <si>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</si>
  <si>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</si>
  <si>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</si>
  <si>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</si>
  <si>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</si>
  <si>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</si>
  <si>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</si>
  <si>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</si>
  <si>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</si>
  <si>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</si>
  <si>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</si>
  <si>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</si>
  <si>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</si>
  <si>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</si>
  <si>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Entrepreneurs from Vermont and Quebec sell Christmas trees on the streets of New York, becoming a cherished part of neighborhood holiday traditions.</t>
  </si>
  <si>
    <t>s8622</t>
  </si>
  <si>
    <t>Tremors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</si>
  <si>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</si>
  <si>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</si>
  <si>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</si>
  <si>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</si>
  <si>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</si>
  <si>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</si>
  <si>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</si>
  <si>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</si>
  <si>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</si>
  <si>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</si>
  <si>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</si>
  <si>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</si>
  <si>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</si>
  <si>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</si>
  <si>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</si>
  <si>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</si>
  <si>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</si>
  <si>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</si>
  <si>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</si>
  <si>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</si>
  <si>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</si>
  <si>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</si>
  <si>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</si>
  <si>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</si>
  <si>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</si>
  <si>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</si>
  <si>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</si>
  <si>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</si>
  <si>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</si>
  <si>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</si>
  <si>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</si>
  <si>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</si>
  <si>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</si>
  <si>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</si>
  <si>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</si>
  <si>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</si>
  <si>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</si>
  <si>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</si>
  <si>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</si>
  <si>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</si>
  <si>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</si>
  <si>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</si>
  <si>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Brian Firkus</t>
  </si>
  <si>
    <t>Drag queen Trixie Mattel deals with the bittersweet reality of success in this documentary that explores her rise to fame and subsequent music career.</t>
  </si>
  <si>
    <t>s8633</t>
  </si>
  <si>
    <t>Trophy</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</si>
  <si>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</si>
  <si>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</si>
  <si>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</si>
  <si>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</si>
  <si>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</si>
  <si>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</si>
  <si>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</si>
  <si>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</si>
  <si>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</si>
  <si>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</si>
  <si>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</si>
  <si>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</si>
  <si>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</si>
  <si>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</si>
  <si>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</si>
  <si>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</si>
  <si>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</si>
  <si>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</si>
  <si>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</si>
  <si>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</si>
  <si>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</si>
  <si>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</si>
  <si>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</si>
  <si>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</si>
  <si>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</si>
  <si>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</si>
  <si>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</si>
  <si>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</si>
  <si>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</si>
  <si>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</si>
  <si>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</si>
  <si>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</si>
  <si>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</si>
  <si>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</si>
  <si>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</si>
  <si>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Burgess Meredith</t>
  </si>
  <si>
    <t>British and American troops join forces to liberate a Nazi stranglehold in North Africa, sharing battles, hard work and a peaceful Christmas dinner.</t>
  </si>
  <si>
    <t>s8642</t>
  </si>
  <si>
    <t>Turbo</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</si>
  <si>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</si>
  <si>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</si>
  <si>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</si>
  <si>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</si>
  <si>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</si>
  <si>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</si>
  <si>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</si>
  <si>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</si>
  <si>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</si>
  <si>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</si>
  <si>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</si>
  <si>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</si>
  <si>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</si>
  <si>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</si>
  <si>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</si>
  <si>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</si>
  <si>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</si>
  <si>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</si>
  <si>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</si>
  <si>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</si>
  <si>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</si>
  <si>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</si>
  <si>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</si>
  <si>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</si>
  <si>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</si>
  <si>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</si>
  <si>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</si>
  <si>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</si>
  <si>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</si>
  <si>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</si>
  <si>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</si>
  <si>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</si>
  <si>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</si>
  <si>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</si>
  <si>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</si>
  <si>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</si>
  <si>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</si>
  <si>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</si>
  <si>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</si>
  <si>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</si>
  <si>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</si>
  <si>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</si>
  <si>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</si>
  <si>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</si>
  <si>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</si>
  <si>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</si>
  <si>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</si>
  <si>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</si>
  <si>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</si>
  <si>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</si>
  <si>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</si>
  <si>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</si>
  <si>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</si>
  <si>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</si>
  <si>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</si>
  <si>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</si>
  <si>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</si>
  <si>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</si>
  <si>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</si>
  <si>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</si>
  <si>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Noted UFO expert Dr. Steven Greer interviews witnesses and presents classified documents concerning the existence of extraterrestrials.</t>
  </si>
  <si>
    <t>s8658</t>
  </si>
  <si>
    <t>Under an Arctic Sky</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</si>
  <si>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</si>
  <si>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</si>
  <si>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</si>
  <si>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</si>
  <si>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</si>
  <si>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</si>
  <si>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</si>
  <si>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</si>
  <si>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</si>
  <si>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</si>
  <si>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</si>
  <si>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</si>
  <si>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</si>
  <si>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</si>
  <si>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</si>
  <si>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</si>
  <si>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</si>
  <si>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</si>
  <si>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</si>
  <si>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</si>
  <si>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</si>
  <si>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</si>
  <si>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</si>
  <si>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</si>
  <si>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</si>
  <si>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</si>
  <si>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</si>
  <si>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</si>
  <si>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</si>
  <si>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</si>
  <si>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</si>
  <si>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</si>
  <si>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</si>
  <si>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</si>
  <si>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</si>
  <si>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</si>
  <si>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</si>
  <si>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</si>
  <si>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</si>
  <si>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</si>
  <si>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</si>
  <si>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</si>
  <si>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</si>
  <si>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</si>
  <si>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</si>
  <si>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</si>
  <si>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</si>
  <si>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</si>
  <si>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</si>
  <si>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</si>
  <si>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</si>
  <si>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</si>
  <si>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</si>
  <si>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</si>
  <si>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</si>
  <si>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</si>
  <si>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</si>
  <si>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</si>
  <si>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</si>
  <si>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</si>
  <si>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</si>
  <si>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</si>
  <si>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</si>
  <si>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</si>
  <si>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</si>
  <si>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July 4, 2017</t>
  </si>
  <si>
    <t>A Las Vegas doctor's controversial online contest sees anxious entrants vie for free in vitro fertilization, a procedure rarely covered by insurance.</t>
  </si>
  <si>
    <t>s8675</t>
  </si>
  <si>
    <t>Viceroy's House</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</si>
  <si>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</si>
  <si>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</si>
  <si>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</si>
  <si>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</si>
  <si>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</si>
  <si>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</si>
  <si>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</si>
  <si>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</si>
  <si>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</si>
  <si>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</si>
  <si>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</si>
  <si>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</si>
  <si>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</si>
  <si>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Archaeologist Sarah Parcak follows clues to early Viking explorations and discusses just what these notoriously fierce warriors were really like.</t>
  </si>
  <si>
    <t>s8679</t>
  </si>
  <si>
    <t>Vincent N Roxxy</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</si>
  <si>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</si>
  <si>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</si>
  <si>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</si>
  <si>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</si>
  <si>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</si>
  <si>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</si>
  <si>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</si>
  <si>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</si>
  <si>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</si>
  <si>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</si>
  <si>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</si>
  <si>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</si>
  <si>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</si>
  <si>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</si>
  <si>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</si>
  <si>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</si>
  <si>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</si>
  <si>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</si>
  <si>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</si>
  <si>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</si>
  <si>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</si>
  <si>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</si>
  <si>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</si>
  <si>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</si>
  <si>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</si>
  <si>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</si>
  <si>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</si>
  <si>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</si>
  <si>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</si>
  <si>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</si>
  <si>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</si>
  <si>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</si>
  <si>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</si>
  <si>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</si>
  <si>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</si>
  <si>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</si>
  <si>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</si>
  <si>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</si>
  <si>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</si>
  <si>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</si>
  <si>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</si>
  <si>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</si>
  <si>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</si>
  <si>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</si>
  <si>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</si>
  <si>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</si>
  <si>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</si>
  <si>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</si>
  <si>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</si>
  <si>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</si>
  <si>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</si>
  <si>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</si>
  <si>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</si>
  <si>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</si>
  <si>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</si>
  <si>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</si>
  <si>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</si>
  <si>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</si>
  <si>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Benedict Cumberbatch, Thich Nhat Hanh</t>
  </si>
  <si>
    <t>A community of monks in France led by Zen Buddhist master Thich Nhat Hanh offers an intimate glimpse into mindfulness practice and the monastic life.</t>
  </si>
  <si>
    <t>s8694</t>
  </si>
  <si>
    <t>Walking Out</t>
  </si>
  <si>
    <t>Matt Bomer, Josh Wiggins, Bill Pullman, Alex Neustaedter, Lily Gladstone</t>
  </si>
  <si>
    <t>A suburban teen goes hunting with his estranged father. When a mishap with a bear occurs, he must his use his survival skills to save them both.</t>
  </si>
  <si>
    <t>s8695</t>
  </si>
  <si>
    <t>War</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</si>
  <si>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</si>
  <si>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</si>
  <si>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</si>
  <si>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</si>
  <si>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</si>
  <si>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</si>
  <si>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</si>
  <si>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</si>
  <si>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</si>
  <si>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</si>
  <si>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</si>
  <si>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</si>
  <si>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</si>
  <si>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</si>
  <si>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</si>
  <si>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</si>
  <si>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</si>
  <si>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</si>
  <si>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</si>
  <si>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</si>
  <si>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</si>
  <si>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</si>
  <si>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</si>
  <si>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</si>
  <si>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</si>
  <si>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</si>
  <si>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</si>
  <si>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</si>
  <si>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California residents and farmers face powerful barons in the struggle to secure water rights in this fresh historical account of profit and interests.</t>
  </si>
  <si>
    <t>s8703</t>
  </si>
  <si>
    <t>Waterschool</t>
  </si>
  <si>
    <t>United States, Brazil, India, Uganda, China</t>
  </si>
  <si>
    <t>Six young women, who each live near one of Earth's major rivers, share how the Waterschool environmental education program has impacted their lives.</t>
  </si>
  <si>
    <t>s8704</t>
  </si>
  <si>
    <t>We Are Your Friends</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</si>
  <si>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</si>
  <si>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</si>
  <si>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</si>
  <si>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</si>
  <si>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</si>
  <si>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</si>
  <si>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</si>
  <si>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</si>
  <si>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</si>
  <si>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</si>
  <si>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</si>
  <si>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</si>
  <si>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</si>
  <si>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</si>
  <si>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</si>
  <si>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</si>
  <si>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</si>
  <si>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</si>
  <si>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</si>
  <si>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</si>
  <si>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</si>
  <si>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</si>
  <si>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</si>
  <si>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</si>
  <si>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</si>
  <si>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</si>
  <si>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</si>
  <si>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</si>
  <si>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</si>
  <si>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</si>
  <si>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</si>
  <si>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</si>
  <si>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</si>
  <si>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</si>
  <si>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</si>
  <si>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</si>
  <si>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</si>
  <si>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</si>
  <si>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</si>
  <si>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</si>
  <si>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</si>
  <si>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</si>
  <si>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</si>
  <si>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</si>
  <si>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</si>
  <si>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</si>
  <si>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</si>
  <si>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</si>
  <si>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</si>
  <si>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</si>
  <si>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</si>
  <si>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</si>
  <si>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</si>
  <si>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</si>
  <si>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</si>
  <si>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</si>
  <si>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</si>
  <si>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</si>
  <si>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</si>
  <si>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</si>
  <si>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</si>
  <si>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</si>
  <si>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</si>
  <si>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Ron Perlman, Louie Simmons</t>
  </si>
  <si>
    <t>A look into the journey of influential strength coach Louie Simmons and the Westside Barbell gym he founded, evolving the sport of powerlifting.</t>
  </si>
  <si>
    <t>s8720</t>
  </si>
  <si>
    <t>What a Wonderful Family!</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</si>
  <si>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</si>
  <si>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</si>
  <si>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</si>
  <si>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</si>
  <si>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</si>
  <si>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</si>
  <si>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</si>
  <si>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</si>
  <si>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</si>
  <si>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</si>
  <si>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</si>
  <si>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</si>
  <si>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</si>
  <si>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</si>
  <si>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</si>
  <si>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</si>
  <si>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This wide-ranging documentary examines the behaviors considered in a diagnosis of psychopathy and includes nonviolent, successful figures in history.</t>
  </si>
  <si>
    <t>s8725</t>
  </si>
  <si>
    <t>What Still Remains</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</si>
  <si>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</si>
  <si>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</si>
  <si>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</si>
  <si>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</si>
  <si>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</si>
  <si>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</si>
  <si>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</si>
  <si>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</si>
  <si>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</si>
  <si>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</si>
  <si>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</si>
  <si>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</si>
  <si>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December 25, 2016</t>
  </si>
  <si>
    <t>A small-town taxi driver is arranged to be married, resulting in an intimate look at the clash between modernity and tradition in India.</t>
  </si>
  <si>
    <t>s8729</t>
  </si>
  <si>
    <t>When Two Worlds Collide</t>
  </si>
  <si>
    <t>Peru, United States, United Kingdom</t>
  </si>
  <si>
    <t>November 30, 2016</t>
  </si>
  <si>
    <t>This documentary takes a hard look at how indigenous peoples clashed violently with the Peruvian government over land and economics in the Amazon.</t>
  </si>
  <si>
    <t>s8730</t>
  </si>
  <si>
    <t>Where the Money Is</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</si>
  <si>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</si>
  <si>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</si>
  <si>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</si>
  <si>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</si>
  <si>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</si>
  <si>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</si>
  <si>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</si>
  <si>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</si>
  <si>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</si>
  <si>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</si>
  <si>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</si>
  <si>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</si>
  <si>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</si>
  <si>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</si>
  <si>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</si>
  <si>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</si>
  <si>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</si>
  <si>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</si>
  <si>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</si>
  <si>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</si>
  <si>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</si>
  <si>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</si>
  <si>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</si>
  <si>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</si>
  <si>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</si>
  <si>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</si>
  <si>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</si>
  <si>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</si>
  <si>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</si>
  <si>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</si>
  <si>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</si>
  <si>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</si>
  <si>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</si>
  <si>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</si>
  <si>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Giles Yeo</t>
  </si>
  <si>
    <t>A Cambridge geneticist dispels misconceptions about living with obesity and explores why the epidemic continues to expand across the UK and America.</t>
  </si>
  <si>
    <t>s8739</t>
  </si>
  <si>
    <t>Why Knot</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</si>
  <si>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</si>
  <si>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</si>
  <si>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</si>
  <si>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</si>
  <si>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</si>
  <si>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</si>
  <si>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</si>
  <si>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</si>
  <si>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</si>
  <si>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</si>
  <si>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</si>
  <si>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</si>
  <si>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</si>
  <si>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</si>
  <si>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</si>
  <si>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</si>
  <si>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</si>
  <si>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</si>
  <si>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</si>
  <si>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</si>
  <si>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</si>
  <si>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</si>
  <si>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</si>
  <si>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November 4, 2017</t>
  </si>
  <si>
    <t>This inspiring documentary charts the birth of Sir Frank Williams's renowned racing empire – and the near-fatal crash that nearly stalled its future.</t>
  </si>
  <si>
    <t>s8746</t>
  </si>
  <si>
    <t>Willy Wonka &amp; the Chocolate Factory</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</si>
  <si>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</si>
  <si>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</si>
  <si>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</si>
  <si>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</si>
  <si>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</si>
  <si>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</si>
  <si>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</si>
  <si>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</si>
  <si>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</si>
  <si>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</si>
  <si>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</si>
  <si>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</si>
  <si>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</si>
  <si>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</si>
  <si>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</si>
  <si>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</si>
  <si>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</si>
  <si>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</si>
  <si>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</si>
  <si>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</si>
  <si>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</si>
  <si>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</si>
  <si>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</si>
  <si>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</si>
  <si>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</si>
  <si>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</si>
  <si>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</si>
  <si>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</si>
  <si>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</si>
  <si>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</si>
  <si>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</si>
  <si>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</si>
  <si>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</si>
  <si>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</si>
  <si>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</si>
  <si>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</si>
  <si>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</si>
  <si>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</si>
  <si>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</si>
  <si>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</si>
  <si>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</si>
  <si>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</si>
  <si>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</si>
  <si>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</si>
  <si>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</si>
  <si>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</si>
  <si>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</si>
  <si>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</si>
  <si>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</si>
  <si>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</si>
  <si>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</si>
  <si>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</si>
  <si>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</si>
  <si>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</si>
  <si>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</si>
  <si>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Charlie Luxton</t>
  </si>
  <si>
    <t>From a bubble-shaped palace to an island built on plastic bottles, tour the world’s most fantastically bizarre residences.</t>
  </si>
  <si>
    <t>s8761</t>
  </si>
  <si>
    <t>Would You Rather</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</si>
  <si>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</si>
  <si>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</si>
  <si>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</si>
  <si>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</si>
  <si>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</si>
  <si>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</si>
  <si>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</si>
  <si>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</si>
  <si>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</si>
  <si>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</si>
  <si>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</si>
  <si>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</si>
  <si>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</si>
  <si>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</si>
  <si>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</si>
  <si>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</si>
  <si>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</si>
  <si>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</si>
  <si>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</si>
  <si>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</si>
  <si>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</si>
  <si>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</si>
  <si>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</si>
  <si>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</si>
  <si>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</si>
  <si>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</si>
  <si>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</si>
  <si>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</si>
  <si>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</si>
  <si>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</si>
  <si>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</si>
  <si>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</si>
  <si>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</si>
  <si>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</si>
  <si>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</si>
  <si>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</si>
  <si>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</si>
  <si>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</si>
  <si>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</si>
  <si>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</si>
  <si>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</si>
  <si>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</si>
  <si>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</si>
  <si>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</si>
  <si>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</si>
  <si>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</si>
  <si>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</si>
  <si>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</si>
  <si>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</si>
  <si>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</si>
  <si>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</si>
  <si>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</si>
  <si>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</si>
  <si>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</si>
  <si>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</si>
  <si>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</si>
  <si>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</si>
  <si>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</si>
  <si>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</si>
  <si>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</si>
  <si>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</si>
  <si>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</si>
  <si>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</si>
  <si>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</si>
  <si>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</si>
  <si>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</si>
  <si>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</si>
  <si>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</si>
  <si>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</si>
  <si>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</si>
  <si>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</si>
  <si>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</si>
  <si>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</si>
  <si>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</si>
  <si>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</si>
  <si>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</si>
  <si>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</si>
  <si>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</si>
  <si>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</si>
  <si>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</si>
  <si>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</si>
  <si>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</si>
  <si>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</si>
  <si>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</si>
  <si>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</si>
  <si>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</si>
  <si>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</si>
  <si>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</si>
  <si>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</si>
  <si>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</si>
  <si>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</si>
  <si>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</si>
  <si>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</si>
  <si>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</si>
  <si>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</si>
  <si>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</si>
  <si>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</si>
  <si>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</si>
  <si>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</si>
  <si>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</si>
  <si>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</si>
  <si>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</si>
  <si>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</si>
  <si>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</si>
  <si>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</si>
  <si>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</si>
  <si>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</si>
  <si>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</si>
  <si>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</si>
  <si>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</si>
  <si>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</si>
  <si>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</si>
  <si>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</si>
  <si>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</si>
  <si>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</si>
  <si>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</si>
  <si>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</si>
  <si>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</si>
  <si>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</si>
  <si>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</si>
  <si>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</si>
  <si>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</si>
  <si>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</si>
  <si>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</si>
  <si>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</si>
  <si>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</si>
  <si>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</si>
  <si>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</si>
  <si>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</si>
  <si>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</si>
  <si>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</si>
  <si>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</si>
  <si>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</si>
  <si>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</si>
  <si>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</si>
  <si>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</si>
  <si>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</si>
  <si>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</si>
  <si>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</si>
  <si>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</si>
  <si>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</si>
  <si>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</si>
  <si>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</si>
  <si>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</si>
  <si>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</si>
  <si>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</si>
  <si>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</si>
  <si>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</si>
  <si>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</si>
  <si>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</si>
  <si>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</si>
  <si>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</si>
  <si>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</si>
  <si>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</si>
  <si>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</si>
  <si>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</si>
  <si>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</si>
  <si>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</si>
  <si>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</si>
  <si>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</si>
  <si>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</si>
  <si>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</si>
  <si>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</si>
  <si>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</si>
  <si>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</si>
  <si>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</si>
  <si>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</si>
  <si>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</si>
  <si>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</si>
  <si>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</si>
  <si>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</si>
  <si>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</si>
  <si>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</si>
  <si>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</si>
  <si>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</si>
  <si>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</si>
  <si>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</si>
  <si>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</si>
  <si>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</si>
  <si>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</si>
  <si>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</si>
  <si>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</si>
  <si>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</si>
  <si>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</si>
  <si>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</si>
  <si>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</si>
  <si>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</si>
  <si>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</si>
  <si>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</si>
  <si>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</si>
  <si>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</si>
  <si>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</si>
  <si>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</si>
  <si>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</si>
  <si>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</si>
  <si>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</si>
  <si>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#_of_titles</t>
  </si>
  <si>
    <t>rating_list</t>
  </si>
  <si>
    <t>AVERAGE de #_of_titles</t>
  </si>
  <si>
    <t>TV show</t>
  </si>
  <si>
    <t>Suma total</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</si>
</sst>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 d, yyyy"/>
    <numFmt numFmtId="165" formatCode="mmm-dd"/>
    <numFmt numFmtId="166" formatCode="d-mmm"/>
  </numFmts>
  <fonts count="6">
    <font>
      <sz val="10.0"/>
      <color rgb="FF000000"/>
      <name val="Arial"/>
      <scheme val="minor"/>
    </font>
    <font>
      <color theme="1"/>
      <name val="Arial"/>
      <scheme val="minor"/>
    </font>
    <font>
      <color rgb="FF19191A"/>
      <name val="Arial"/>
      <scheme val="minor"/>
    </font>
    <font>
      <color rgb="FF000000"/>
      <name val="Arial"/>
      <scheme val="minor"/>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1" numFmtId="14" xfId="0" applyAlignment="1" applyFont="1" applyNumberFormat="1">
      <alignment readingOrder="0"/>
    </xf>
    <xf borderId="0" fillId="0" fontId="1" numFmtId="0" xfId="0" applyFont="1"/>
    <xf quotePrefix="1" borderId="0" fillId="0" fontId="1" numFmtId="0" xfId="0" applyAlignment="1" applyFont="1">
      <alignment readingOrder="0"/>
    </xf>
    <xf borderId="0" fillId="0" fontId="1" numFmtId="164" xfId="0" applyAlignment="1" applyFont="1" applyNumberFormat="1">
      <alignment readingOrder="0"/>
    </xf>
    <xf borderId="0" fillId="0" fontId="4" numFmtId="0" xfId="0" applyAlignment="1" applyFont="1">
      <alignment readingOrder="0"/>
    </xf>
    <xf borderId="0" fillId="0" fontId="5" numFmtId="0" xfId="0" applyFont="1"/>
    <xf borderId="0" fillId="0" fontId="1" numFmtId="9" xfId="0" applyAlignment="1" applyFont="1" applyNumberFormat="1">
      <alignment readingOrder="0"/>
    </xf>
    <xf borderId="0" fillId="0" fontId="1" numFmtId="0" xfId="0" applyAlignment="1" applyFon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Movies per country</a:t>
            </a:r>
          </a:p>
        </c:rich>
      </c:tx>
      <c:overlay val="0"/>
    </c:title>
    <c:plotArea>
      <c:layout/>
      <c:pieChart>
        <c:varyColors val="1"/>
        <c:ser>
          <c:idx val="0"/>
          <c:order val="0"/>
          <c:tx>
            <c:strRef>
              <c:f>overview!$J$2</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00C31"/>
              </a:solidFill>
            </c:spPr>
          </c:dPt>
          <c:dPt>
            <c:idx val="27"/>
            <c:spPr>
              <a:solidFill>
                <a:srgbClr val="281021"/>
              </a:solidFill>
            </c:spPr>
          </c:dPt>
          <c:dPt>
            <c:idx val="28"/>
            <c:spPr>
              <a:solidFill>
                <a:srgbClr val="FF1C32"/>
              </a:solidFill>
            </c:spPr>
          </c:dPt>
          <c:dPt>
            <c:idx val="29"/>
            <c:spPr>
              <a:solidFill>
                <a:srgbClr val="240C0A"/>
              </a:solidFill>
            </c:spPr>
          </c:dPt>
          <c:dPt>
            <c:idx val="30"/>
            <c:spPr>
              <a:solidFill>
                <a:srgbClr val="5E3C05"/>
              </a:solidFill>
            </c:spPr>
          </c:dPt>
          <c:dPt>
            <c:idx val="31"/>
            <c:spPr>
              <a:solidFill>
                <a:srgbClr val="0A5D64"/>
              </a:solidFill>
            </c:spPr>
          </c:dPt>
          <c:dPt>
            <c:idx val="32"/>
            <c:spPr>
              <a:solidFill>
                <a:srgbClr val="01217D"/>
              </a:solidFill>
            </c:spPr>
          </c:dPt>
          <c:dPt>
            <c:idx val="33"/>
            <c:spPr>
              <a:solidFill>
                <a:srgbClr val="652B55"/>
              </a:solidFill>
            </c:spPr>
          </c:dPt>
          <c:dPt>
            <c:idx val="34"/>
            <c:spPr>
              <a:solidFill>
                <a:srgbClr val="FF487E"/>
              </a:solidFill>
            </c:spPr>
          </c:dPt>
          <c:dPt>
            <c:idx val="35"/>
            <c:spPr>
              <a:solidFill>
                <a:srgbClr val="5C201C"/>
              </a:solidFill>
            </c:spPr>
          </c:dPt>
          <c:dPt>
            <c:idx val="36"/>
            <c:spPr>
              <a:solidFill>
                <a:srgbClr val="966108"/>
              </a:solidFill>
            </c:spPr>
          </c:dPt>
          <c:dPt>
            <c:idx val="37"/>
            <c:spPr>
              <a:solidFill>
                <a:srgbClr val="1095A1"/>
              </a:solidFill>
            </c:spPr>
          </c:dPt>
          <c:dPt>
            <c:idx val="38"/>
            <c:spPr>
              <a:solidFill>
                <a:srgbClr val="0235C8"/>
              </a:solidFill>
            </c:spPr>
          </c:dPt>
          <c:dPt>
            <c:idx val="39"/>
            <c:spPr>
              <a:solidFill>
                <a:srgbClr val="A14589"/>
              </a:solidFill>
            </c:spPr>
          </c:dPt>
          <c:dPt>
            <c:idx val="40"/>
            <c:spPr>
              <a:solidFill>
                <a:srgbClr val="FF74CA"/>
              </a:solidFill>
            </c:spPr>
          </c:dPt>
          <c:dPt>
            <c:idx val="41"/>
            <c:spPr>
              <a:solidFill>
                <a:srgbClr val="93342D"/>
              </a:solidFill>
            </c:spPr>
          </c:dPt>
          <c:dPt>
            <c:idx val="42"/>
            <c:spPr>
              <a:solidFill>
                <a:srgbClr val="CF850B"/>
              </a:solidFill>
            </c:spPr>
          </c:dPt>
          <c:dPt>
            <c:idx val="43"/>
            <c:spPr>
              <a:solidFill>
                <a:srgbClr val="16CEDD"/>
              </a:solidFill>
            </c:spPr>
          </c:dPt>
          <c:dPt>
            <c:idx val="44"/>
            <c:spPr>
              <a:solidFill>
                <a:srgbClr val="034913"/>
              </a:solidFill>
            </c:spPr>
          </c:dPt>
          <c:dPt>
            <c:idx val="45"/>
            <c:spPr>
              <a:solidFill>
                <a:srgbClr val="DE5FBC"/>
              </a:solidFill>
            </c:spPr>
          </c:dPt>
          <c:dPt>
            <c:idx val="46"/>
            <c:spPr>
              <a:solidFill>
                <a:srgbClr val="FFA016"/>
              </a:solidFill>
            </c:spPr>
          </c:dPt>
          <c:dPt>
            <c:idx val="47"/>
            <c:spPr>
              <a:solidFill>
                <a:srgbClr val="CA483E"/>
              </a:solidFill>
            </c:spPr>
          </c:dPt>
          <c:dPt>
            <c:idx val="48"/>
            <c:spPr>
              <a:solidFill>
                <a:srgbClr val="08AA0E"/>
              </a:solidFill>
            </c:spPr>
          </c:dPt>
          <c:dPt>
            <c:idx val="49"/>
            <c:spPr>
              <a:solidFill>
                <a:srgbClr val="1C061A"/>
              </a:solidFill>
            </c:spPr>
          </c:dPt>
          <c:dPt>
            <c:idx val="50"/>
            <c:spPr>
              <a:solidFill>
                <a:srgbClr val="055D5E"/>
              </a:solidFill>
            </c:spPr>
          </c:dPt>
          <c:dPt>
            <c:idx val="51"/>
            <c:spPr>
              <a:solidFill>
                <a:srgbClr val="1B79F0"/>
              </a:solidFill>
            </c:spPr>
          </c:dPt>
          <c:dPt>
            <c:idx val="52"/>
            <c:spPr>
              <a:solidFill>
                <a:srgbClr val="FFCB63"/>
              </a:solidFill>
            </c:spPr>
          </c:dPt>
          <c:dPt>
            <c:idx val="53"/>
            <c:spPr>
              <a:solidFill>
                <a:srgbClr val="025B4F"/>
              </a:solidFill>
            </c:spPr>
          </c:dPt>
          <c:dPt>
            <c:idx val="54"/>
            <c:spPr>
              <a:solidFill>
                <a:srgbClr val="40CE12"/>
              </a:solidFill>
            </c:spPr>
          </c:dPt>
          <c:dPt>
            <c:idx val="55"/>
            <c:spPr>
              <a:solidFill>
                <a:srgbClr val="233F56"/>
              </a:solidFill>
            </c:spPr>
          </c:dPt>
          <c:dPt>
            <c:idx val="56"/>
            <c:spPr>
              <a:solidFill>
                <a:srgbClr val="0671AA"/>
              </a:solidFill>
            </c:spPr>
          </c:dPt>
          <c:dPt>
            <c:idx val="57"/>
            <c:spPr>
              <a:solidFill>
                <a:srgbClr val="589323"/>
              </a:solidFill>
            </c:spPr>
          </c:dPt>
          <c:dPt>
            <c:idx val="58"/>
            <c:spPr>
              <a:solidFill>
                <a:srgbClr val="FFF7AF"/>
              </a:solidFill>
            </c:spPr>
          </c:dPt>
          <c:dPt>
            <c:idx val="59"/>
            <c:spPr>
              <a:solidFill>
                <a:srgbClr val="3A6F60"/>
              </a:solidFill>
            </c:spPr>
          </c:dPt>
          <c:dPt>
            <c:idx val="60"/>
            <c:spPr>
              <a:solidFill>
                <a:srgbClr val="79F315"/>
              </a:solidFill>
            </c:spPr>
          </c:dPt>
          <c:dPt>
            <c:idx val="61"/>
            <c:spPr>
              <a:solidFill>
                <a:srgbClr val="297793"/>
              </a:solidFill>
            </c:spPr>
          </c:dPt>
          <c:dPt>
            <c:idx val="62"/>
            <c:spPr>
              <a:solidFill>
                <a:srgbClr val="0785F5"/>
              </a:solidFill>
            </c:spPr>
          </c:dPt>
          <c:dPt>
            <c:idx val="63"/>
            <c:spPr>
              <a:solidFill>
                <a:srgbClr val="95AD57"/>
              </a:solidFill>
            </c:spPr>
          </c:dPt>
          <c:dPt>
            <c:idx val="64"/>
            <c:spPr>
              <a:solidFill>
                <a:srgbClr val="FF23FB"/>
              </a:solidFill>
            </c:spPr>
          </c:dPt>
          <c:dPt>
            <c:idx val="65"/>
            <c:spPr>
              <a:solidFill>
                <a:srgbClr val="718371"/>
              </a:solidFill>
            </c:spPr>
          </c:dPt>
          <c:dPt>
            <c:idx val="66"/>
            <c:spPr>
              <a:solidFill>
                <a:srgbClr val="B21818"/>
              </a:solidFill>
            </c:spPr>
          </c:dPt>
          <c:dPt>
            <c:idx val="67"/>
            <c:spPr>
              <a:solidFill>
                <a:srgbClr val="2FAFD0"/>
              </a:solidFill>
            </c:spPr>
          </c:dPt>
          <c:dPt>
            <c:idx val="68"/>
            <c:spPr>
              <a:solidFill>
                <a:srgbClr val="089940"/>
              </a:solidFill>
            </c:spPr>
          </c:dPt>
          <c:dPt>
            <c:idx val="69"/>
            <c:spPr>
              <a:solidFill>
                <a:srgbClr val="D2C78B"/>
              </a:solidFill>
            </c:spPr>
          </c:dPt>
          <c:dPt>
            <c:idx val="70"/>
            <c:spPr>
              <a:solidFill>
                <a:srgbClr val="FF4F47"/>
              </a:solidFill>
            </c:spPr>
          </c:dPt>
          <c:dPt>
            <c:idx val="71"/>
            <c:spPr>
              <a:solidFill>
                <a:srgbClr val="A99782"/>
              </a:solidFill>
            </c:spPr>
          </c:dPt>
          <c:dPt>
            <c:idx val="72"/>
            <c:spPr>
              <a:solidFill>
                <a:srgbClr val="EA3C1C"/>
              </a:solidFill>
            </c:spPr>
          </c:dPt>
          <c:dPt>
            <c:idx val="73"/>
            <c:spPr>
              <a:solidFill>
                <a:srgbClr val="36E80C"/>
              </a:solidFill>
            </c:spPr>
          </c:dPt>
          <c:dPt>
            <c:idx val="74"/>
            <c:spPr>
              <a:solidFill>
                <a:srgbClr val="09AD8C"/>
              </a:solidFill>
            </c:spPr>
          </c:dPt>
          <c:dPt>
            <c:idx val="75"/>
            <c:spPr>
              <a:solidFill>
                <a:srgbClr val="0FE1BE"/>
              </a:solidFill>
            </c:spPr>
          </c:dPt>
          <c:dPt>
            <c:idx val="76"/>
            <c:spPr>
              <a:solidFill>
                <a:srgbClr val="FF7B93"/>
              </a:solidFill>
            </c:spPr>
          </c:dPt>
          <c:dPt>
            <c:idx val="77"/>
            <c:spPr>
              <a:solidFill>
                <a:srgbClr val="E0AB93"/>
              </a:solidFill>
            </c:spPr>
          </c:dPt>
          <c:dPt>
            <c:idx val="78"/>
            <c:spPr>
              <a:solidFill>
                <a:srgbClr val="23611F"/>
              </a:solidFill>
            </c:spPr>
          </c:dPt>
          <c:dPt>
            <c:idx val="79"/>
            <c:spPr>
              <a:solidFill>
                <a:srgbClr val="3C2049"/>
              </a:solidFill>
            </c:spPr>
          </c:dPt>
          <c:dPt>
            <c:idx val="80"/>
            <c:spPr>
              <a:solidFill>
                <a:srgbClr val="0BC1D7"/>
              </a:solidFill>
            </c:spPr>
          </c:dPt>
          <c:dPt>
            <c:idx val="81"/>
            <c:spPr>
              <a:solidFill>
                <a:srgbClr val="4CFBF2"/>
              </a:solidFill>
            </c:spPr>
          </c:dPt>
          <c:dPt>
            <c:idx val="82"/>
            <c:spPr>
              <a:solidFill>
                <a:srgbClr val="FFA6E0"/>
              </a:solidFill>
            </c:spPr>
          </c:dPt>
          <c:dPt>
            <c:idx val="83"/>
            <c:spPr>
              <a:solidFill>
                <a:srgbClr val="18BEA4"/>
              </a:solidFill>
            </c:spPr>
          </c:dPt>
          <c:dPt>
            <c:idx val="84"/>
            <c:spPr>
              <a:solidFill>
                <a:srgbClr val="5C8522"/>
              </a:solidFill>
            </c:spPr>
          </c:dPt>
          <c:dPt>
            <c:idx val="85"/>
            <c:spPr>
              <a:solidFill>
                <a:srgbClr val="425985"/>
              </a:solidFill>
            </c:spPr>
          </c:dPt>
          <c:dPt>
            <c:idx val="86"/>
            <c:spPr>
              <a:solidFill>
                <a:srgbClr val="0CD522"/>
              </a:solidFill>
            </c:spPr>
          </c:dPt>
          <c:dPt>
            <c:idx val="87"/>
            <c:spPr>
              <a:solidFill>
                <a:srgbClr val="891525"/>
              </a:solidFill>
            </c:spPr>
          </c:dPt>
          <c:dPt>
            <c:idx val="88"/>
            <c:spPr>
              <a:solidFill>
                <a:srgbClr val="FFD22C"/>
              </a:solidFill>
            </c:spPr>
          </c:dPt>
          <c:dPt>
            <c:idx val="89"/>
            <c:spPr>
              <a:solidFill>
                <a:srgbClr val="4FD2B5"/>
              </a:solidFill>
            </c:spPr>
          </c:dPt>
          <c:dPt>
            <c:idx val="90"/>
            <c:spPr>
              <a:solidFill>
                <a:srgbClr val="95AA26"/>
              </a:solidFill>
            </c:spPr>
          </c:dPt>
          <c:dPt>
            <c:idx val="91"/>
            <c:spPr>
              <a:solidFill>
                <a:srgbClr val="4991C2"/>
              </a:solidFill>
            </c:spPr>
          </c:dPt>
          <c:dPt>
            <c:idx val="92"/>
            <c:spPr>
              <a:solidFill>
                <a:srgbClr val="0DEA6E"/>
              </a:solidFill>
            </c:spPr>
          </c:dPt>
          <c:dPt>
            <c:idx val="93"/>
            <c:spPr>
              <a:solidFill>
                <a:srgbClr val="C63059"/>
              </a:solidFill>
            </c:spPr>
          </c:dPt>
          <c:dPt>
            <c:idx val="94"/>
            <c:spPr>
              <a:solidFill>
                <a:srgbClr val="FFFE78"/>
              </a:solidFill>
            </c:spPr>
          </c:dPt>
          <c:dPt>
            <c:idx val="95"/>
            <c:spPr>
              <a:solidFill>
                <a:srgbClr val="87E6C7"/>
              </a:solidFill>
            </c:spPr>
          </c:dPt>
          <c:dPt>
            <c:idx val="96"/>
            <c:spPr>
              <a:solidFill>
                <a:srgbClr val="CDCF29"/>
              </a:solidFill>
            </c:spPr>
          </c:dPt>
          <c:dPt>
            <c:idx val="97"/>
            <c:spPr>
              <a:solidFill>
                <a:srgbClr val="4FC9FF"/>
              </a:solidFill>
            </c:spPr>
          </c:dPt>
          <c:dPt>
            <c:idx val="98"/>
            <c:spPr>
              <a:solidFill>
                <a:srgbClr val="0EFEB9"/>
              </a:solidFill>
            </c:spPr>
          </c:dPt>
          <c:dPt>
            <c:idx val="99"/>
            <c:spPr>
              <a:solidFill>
                <a:srgbClr val="024A8D"/>
              </a:solidFill>
            </c:spPr>
          </c:dPt>
          <c:dPt>
            <c:idx val="100"/>
            <c:spPr>
              <a:solidFill>
                <a:srgbClr val="FF2AC4"/>
              </a:solidFill>
            </c:spPr>
          </c:dPt>
          <c:dPt>
            <c:idx val="101"/>
            <c:spPr>
              <a:solidFill>
                <a:srgbClr val="BEFAD8"/>
              </a:solidFill>
            </c:spPr>
          </c:dPt>
          <c:dPt>
            <c:idx val="102"/>
            <c:spPr>
              <a:solidFill>
                <a:srgbClr val="06F32C"/>
              </a:solidFill>
            </c:spPr>
          </c:dPt>
          <c:dPt>
            <c:idx val="103"/>
            <c:spPr>
              <a:solidFill>
                <a:srgbClr val="55023B"/>
              </a:solidFill>
            </c:spPr>
          </c:dPt>
          <c:dPt>
            <c:idx val="104"/>
            <c:spPr>
              <a:solidFill>
                <a:srgbClr val="0F1204"/>
              </a:solidFill>
            </c:spPr>
          </c:dPt>
          <c:dPt>
            <c:idx val="105"/>
            <c:spPr>
              <a:solidFill>
                <a:srgbClr val="3F64C0"/>
              </a:solidFill>
            </c:spPr>
          </c:dPt>
          <c:dPt>
            <c:idx val="106"/>
            <c:spPr>
              <a:solidFill>
                <a:srgbClr val="FF5610"/>
              </a:solidFill>
            </c:spPr>
          </c:dPt>
          <c:dPt>
            <c:idx val="107"/>
            <c:spPr>
              <a:solidFill>
                <a:srgbClr val="F60EE9"/>
              </a:solidFill>
            </c:spPr>
          </c:dPt>
          <c:dPt>
            <c:idx val="108"/>
            <c:spPr>
              <a:solidFill>
                <a:srgbClr val="3F182F"/>
              </a:solidFill>
            </c:spPr>
          </c:dPt>
          <c:dPt>
            <c:idx val="109"/>
            <c:spPr>
              <a:solidFill>
                <a:srgbClr val="5B3A78"/>
              </a:solidFill>
            </c:spPr>
          </c:dPt>
          <c:dPt>
            <c:idx val="110"/>
            <c:spPr>
              <a:solidFill>
                <a:srgbClr val="11264F"/>
              </a:solidFill>
            </c:spPr>
          </c:dPt>
          <c:dPt>
            <c:idx val="111"/>
            <c:spPr>
              <a:solidFill>
                <a:srgbClr val="7C7EF4"/>
              </a:solidFill>
            </c:spPr>
          </c:dPt>
          <c:dPt>
            <c:idx val="112"/>
            <c:spPr>
              <a:solidFill>
                <a:srgbClr val="FF815D"/>
              </a:solidFill>
            </c:spPr>
          </c:dPt>
          <c:dPt>
            <c:idx val="113"/>
            <c:spPr>
              <a:solidFill>
                <a:srgbClr val="2D21FA"/>
              </a:solidFill>
            </c:spPr>
          </c:dPt>
          <c:dPt>
            <c:idx val="114"/>
            <c:spPr>
              <a:solidFill>
                <a:srgbClr val="773C33"/>
              </a:solidFill>
            </c:spPr>
          </c:dPt>
          <c:dPt>
            <c:idx val="115"/>
            <c:spPr>
              <a:solidFill>
                <a:srgbClr val="6273B4"/>
              </a:solidFill>
            </c:spPr>
          </c:dPt>
          <c:dPt>
            <c:idx val="116"/>
            <c:spPr>
              <a:solidFill>
                <a:srgbClr val="123A9B"/>
              </a:solidFill>
            </c:spPr>
          </c:dPt>
          <c:dPt>
            <c:idx val="117"/>
            <c:spPr>
              <a:solidFill>
                <a:srgbClr val="B99827"/>
              </a:solidFill>
            </c:spPr>
          </c:dPt>
          <c:dPt>
            <c:idx val="118"/>
            <c:spPr>
              <a:solidFill>
                <a:srgbClr val="FFADA9"/>
              </a:solidFill>
            </c:spPr>
          </c:dPt>
          <c:dPt>
            <c:idx val="119"/>
            <c:spPr>
              <a:solidFill>
                <a:srgbClr val="65350B"/>
              </a:solidFill>
            </c:spPr>
          </c:dPt>
          <c:dPt>
            <c:idx val="120"/>
            <c:spPr>
              <a:solidFill>
                <a:srgbClr val="B06136"/>
              </a:solidFill>
            </c:spPr>
          </c:dPt>
          <c:dPt>
            <c:idx val="121"/>
            <c:spPr>
              <a:solidFill>
                <a:srgbClr val="68ABF1"/>
              </a:solidFill>
            </c:spPr>
          </c:dPt>
          <c:dPt>
            <c:idx val="122"/>
            <c:spPr>
              <a:solidFill>
                <a:srgbClr val="134EE6"/>
              </a:solidFill>
            </c:spPr>
          </c:dPt>
          <c:dPt>
            <c:idx val="123"/>
            <c:spPr>
              <a:solidFill>
                <a:srgbClr val="F6B25B"/>
              </a:solidFill>
            </c:spPr>
          </c:dPt>
          <c:dPt>
            <c:idx val="124"/>
            <c:spPr>
              <a:solidFill>
                <a:srgbClr val="FFD9F5"/>
              </a:solidFill>
            </c:spPr>
          </c:dPt>
          <c:dPt>
            <c:idx val="125"/>
            <c:spPr>
              <a:solidFill>
                <a:srgbClr val="9C491C"/>
              </a:solidFill>
            </c:spPr>
          </c:dPt>
          <c:dPt>
            <c:idx val="126"/>
            <c:spPr>
              <a:solidFill>
                <a:srgbClr val="E98639"/>
              </a:solidFill>
            </c:spPr>
          </c:dPt>
          <c:dPt>
            <c:idx val="127"/>
            <c:spPr>
              <a:solidFill>
                <a:srgbClr val="6EE32E"/>
              </a:solidFill>
            </c:spPr>
          </c:dPt>
          <c:dPt>
            <c:idx val="128"/>
            <c:spPr>
              <a:solidFill>
                <a:srgbClr val="146231"/>
              </a:solidFill>
            </c:spPr>
          </c:dPt>
          <c:dPt>
            <c:idx val="129"/>
            <c:spPr>
              <a:solidFill>
                <a:srgbClr val="33CC8F"/>
              </a:solidFill>
            </c:spPr>
          </c:dPt>
          <c:dPt>
            <c:idx val="130"/>
            <c:spPr>
              <a:solidFill>
                <a:srgbClr val="FF0541"/>
              </a:solidFill>
            </c:spPr>
          </c:dPt>
          <c:dPt>
            <c:idx val="131"/>
            <c:spPr>
              <a:solidFill>
                <a:srgbClr val="D45D2D"/>
              </a:solidFill>
            </c:spPr>
          </c:dPt>
          <c:dPt>
            <c:idx val="132"/>
            <c:spPr>
              <a:solidFill>
                <a:srgbClr val="21AA3D"/>
              </a:solidFill>
            </c:spPr>
          </c:dPt>
          <c:dPt>
            <c:idx val="133"/>
            <c:spPr>
              <a:solidFill>
                <a:srgbClr val="751C6A"/>
              </a:solidFill>
            </c:spPr>
          </c:dPt>
          <c:dPt>
            <c:idx val="134"/>
            <c:spPr>
              <a:solidFill>
                <a:srgbClr val="15767D"/>
              </a:solidFill>
            </c:spPr>
          </c:dPt>
          <c:dPt>
            <c:idx val="135"/>
            <c:spPr>
              <a:solidFill>
                <a:srgbClr val="70E6C2"/>
              </a:solidFill>
            </c:spPr>
          </c:dPt>
          <c:dPt>
            <c:idx val="136"/>
            <c:spPr>
              <a:solidFill>
                <a:srgbClr val="FF318D"/>
              </a:solidFill>
            </c:spPr>
          </c:dPt>
          <c:dPt>
            <c:idx val="137"/>
            <c:spPr>
              <a:solidFill>
                <a:srgbClr val="0B713E"/>
              </a:solidFill>
            </c:spPr>
          </c:dPt>
          <c:dPt>
            <c:idx val="138"/>
            <c:spPr>
              <a:solidFill>
                <a:srgbClr val="5ACF40"/>
              </a:solidFill>
            </c:spPr>
          </c:dPt>
          <c:dPt>
            <c:idx val="139"/>
            <c:spPr>
              <a:solidFill>
                <a:srgbClr val="7B54A7"/>
              </a:solidFill>
            </c:spPr>
          </c:dPt>
          <c:dPt>
            <c:idx val="140"/>
            <c:spPr>
              <a:solidFill>
                <a:srgbClr val="178AC8"/>
              </a:solidFill>
            </c:spPr>
          </c:dPt>
          <c:dPt>
            <c:idx val="141"/>
            <c:spPr>
              <a:solidFill>
                <a:srgbClr val="AD00F6"/>
              </a:solidFill>
            </c:spPr>
          </c:dPt>
          <c:dPt>
            <c:idx val="142"/>
            <c:spPr>
              <a:solidFill>
                <a:srgbClr val="FF5CDA"/>
              </a:solidFill>
            </c:spPr>
          </c:dPt>
          <c:dPt>
            <c:idx val="143"/>
            <c:spPr>
              <a:solidFill>
                <a:srgbClr val="43844F"/>
              </a:solidFill>
            </c:spPr>
          </c:dPt>
          <c:dPt>
            <c:idx val="144"/>
            <c:spPr>
              <a:solidFill>
                <a:srgbClr val="93F343"/>
              </a:solidFill>
            </c:spPr>
          </c:dPt>
          <c:dPt>
            <c:idx val="145"/>
            <c:spPr>
              <a:solidFill>
                <a:srgbClr val="818DE3"/>
              </a:solidFill>
            </c:spPr>
          </c:dPt>
          <c:dPt>
            <c:idx val="146"/>
            <c:spPr>
              <a:solidFill>
                <a:srgbClr val="189E13"/>
              </a:solidFill>
            </c:spPr>
          </c:dPt>
          <c:dPt>
            <c:idx val="147"/>
            <c:spPr>
              <a:solidFill>
                <a:srgbClr val="EA1A29"/>
              </a:solidFill>
            </c:spPr>
          </c:dPt>
          <c:dPt>
            <c:idx val="148"/>
            <c:spPr>
              <a:solidFill>
                <a:srgbClr val="FF8826"/>
              </a:solidFill>
            </c:spPr>
          </c:dPt>
          <c:dPt>
            <c:idx val="149"/>
            <c:spPr>
              <a:solidFill>
                <a:srgbClr val="7A9860"/>
              </a:solidFill>
            </c:spPr>
          </c:dPt>
          <c:dPt>
            <c:idx val="150"/>
            <c:spPr>
              <a:solidFill>
                <a:srgbClr val="CC1847"/>
              </a:solidFill>
            </c:spPr>
          </c:dPt>
          <c:dPt>
            <c:idx val="151"/>
            <c:spPr>
              <a:solidFill>
                <a:srgbClr val="88C520"/>
              </a:solidFill>
            </c:spPr>
          </c:dPt>
          <c:dPt>
            <c:idx val="152"/>
            <c:spPr>
              <a:solidFill>
                <a:srgbClr val="19B35F"/>
              </a:solidFill>
            </c:spPr>
          </c:dPt>
          <c:dPt>
            <c:idx val="153"/>
            <c:spPr>
              <a:solidFill>
                <a:srgbClr val="27355D"/>
              </a:solidFill>
            </c:spPr>
          </c:dPt>
          <c:dPt>
            <c:idx val="154"/>
            <c:spPr>
              <a:solidFill>
                <a:srgbClr val="FFB472"/>
              </a:solidFill>
            </c:spPr>
          </c:dPt>
          <c:dPt>
            <c:idx val="155"/>
            <c:spPr>
              <a:solidFill>
                <a:srgbClr val="B2AC72"/>
              </a:solidFill>
            </c:spPr>
          </c:dPt>
          <c:dPt>
            <c:idx val="156"/>
            <c:spPr>
              <a:solidFill>
                <a:srgbClr val="043D4A"/>
              </a:solidFill>
            </c:spPr>
          </c:dPt>
          <c:dPt>
            <c:idx val="157"/>
            <c:spPr>
              <a:solidFill>
                <a:srgbClr val="8EFD5D"/>
              </a:solidFill>
            </c:spPr>
          </c:dPt>
          <c:dPt>
            <c:idx val="158"/>
            <c:spPr>
              <a:solidFill>
                <a:srgbClr val="1AC7AA"/>
              </a:solidFill>
            </c:spPr>
          </c:dPt>
          <c:dPt>
            <c:idx val="159"/>
            <c:spPr>
              <a:solidFill>
                <a:srgbClr val="634F91"/>
              </a:solidFill>
            </c:spPr>
          </c:dPt>
          <c:dPt>
            <c:idx val="160"/>
            <c:spPr>
              <a:solidFill>
                <a:srgbClr val="FFE0BE"/>
              </a:solidFill>
            </c:spPr>
          </c:dPt>
          <c:dPt>
            <c:idx val="161"/>
            <c:spPr>
              <a:solidFill>
                <a:srgbClr val="E9C083"/>
              </a:solidFill>
            </c:spPr>
          </c:dPt>
          <c:dPt>
            <c:idx val="162"/>
            <c:spPr>
              <a:solidFill>
                <a:srgbClr val="3D614D"/>
              </a:solidFill>
            </c:spPr>
          </c:dPt>
          <c:dPt>
            <c:idx val="163"/>
            <c:spPr>
              <a:solidFill>
                <a:srgbClr val="943699"/>
              </a:solidFill>
            </c:spPr>
          </c:dPt>
          <c:dPt>
            <c:idx val="164"/>
            <c:spPr>
              <a:solidFill>
                <a:srgbClr val="1BDBF5"/>
              </a:solidFill>
            </c:spPr>
          </c:dPt>
          <c:dPt>
            <c:idx val="165"/>
            <c:spPr>
              <a:solidFill>
                <a:srgbClr val="A069C4"/>
              </a:solidFill>
            </c:spPr>
          </c:dPt>
          <c:dPt>
            <c:idx val="166"/>
            <c:spPr>
              <a:solidFill>
                <a:srgbClr val="FF0C0A"/>
              </a:solidFill>
            </c:spPr>
          </c:dPt>
          <c:dPt>
            <c:idx val="167"/>
            <c:spPr>
              <a:solidFill>
                <a:srgbClr val="21D494"/>
              </a:solidFill>
            </c:spPr>
          </c:dPt>
          <c:dPt>
            <c:idx val="168"/>
            <c:spPr>
              <a:solidFill>
                <a:srgbClr val="768650"/>
              </a:solidFill>
            </c:spPr>
          </c:dPt>
          <c:dPt>
            <c:idx val="169"/>
            <c:spPr>
              <a:solidFill>
                <a:srgbClr val="9A6ED6"/>
              </a:solidFill>
            </c:spPr>
          </c:dPt>
          <c:dPt>
            <c:idx val="170"/>
            <c:spPr>
              <a:solidFill>
                <a:srgbClr val="1DEF40"/>
              </a:solidFill>
            </c:spPr>
          </c:dPt>
          <c:dPt>
            <c:idx val="171"/>
            <c:spPr>
              <a:solidFill>
                <a:srgbClr val="DD83F8"/>
              </a:solidFill>
            </c:spPr>
          </c:dPt>
          <c:dPt>
            <c:idx val="172"/>
            <c:spPr>
              <a:solidFill>
                <a:srgbClr val="FF3757"/>
              </a:solidFill>
            </c:spPr>
          </c:dPt>
          <c:dPt>
            <c:idx val="173"/>
            <c:spPr>
              <a:solidFill>
                <a:srgbClr val="58E7A5"/>
              </a:solidFill>
            </c:spPr>
          </c:dPt>
          <c:dPt>
            <c:idx val="174"/>
            <c:spPr>
              <a:solidFill>
                <a:srgbClr val="AEAA54"/>
              </a:solidFill>
            </c:spPr>
          </c:dPt>
          <c:dPt>
            <c:idx val="175"/>
            <c:spPr>
              <a:solidFill>
                <a:srgbClr val="A1A712"/>
              </a:solidFill>
            </c:spPr>
          </c:dPt>
          <c:dPt>
            <c:idx val="176"/>
            <c:spPr>
              <a:solidFill>
                <a:srgbClr val="1E038C"/>
              </a:solidFill>
            </c:spPr>
          </c:dPt>
          <c:dPt>
            <c:idx val="177"/>
            <c:spPr>
              <a:solidFill>
                <a:srgbClr val="1A9D2B"/>
              </a:solidFill>
            </c:spPr>
          </c:dPt>
          <c:dPt>
            <c:idx val="178"/>
            <c:spPr>
              <a:solidFill>
                <a:srgbClr val="FF63A3"/>
              </a:solidFill>
            </c:spPr>
          </c:dPt>
          <c:dPt>
            <c:idx val="179"/>
            <c:spPr>
              <a:solidFill>
                <a:srgbClr val="90FBB6"/>
              </a:solidFill>
            </c:spPr>
          </c:dPt>
          <c:dPt>
            <c:idx val="180"/>
            <c:spPr>
              <a:solidFill>
                <a:srgbClr val="E7CF57"/>
              </a:solidFill>
            </c:spPr>
          </c:dPt>
          <c:dPt>
            <c:idx val="181"/>
            <c:spPr>
              <a:solidFill>
                <a:srgbClr val="A7DF4F"/>
              </a:solidFill>
            </c:spPr>
          </c:dPt>
          <c:dPt>
            <c:idx val="182"/>
            <c:spPr>
              <a:solidFill>
                <a:srgbClr val="1F17D7"/>
              </a:solidFill>
            </c:spPr>
          </c:dPt>
          <c:dPt>
            <c:idx val="183"/>
            <c:spPr>
              <a:solidFill>
                <a:srgbClr val="57B75F"/>
              </a:solidFill>
            </c:spPr>
          </c:dPt>
          <c:dPt>
            <c:idx val="184"/>
            <c:spPr>
              <a:solidFill>
                <a:srgbClr val="FF8FEF"/>
              </a:solidFill>
            </c:spPr>
          </c:dPt>
          <c:dPt>
            <c:idx val="185"/>
            <c:spPr>
              <a:solidFill>
                <a:srgbClr val="C70FC7"/>
              </a:solidFill>
            </c:spPr>
          </c:dPt>
          <c:dPt>
            <c:idx val="186"/>
            <c:spPr>
              <a:solidFill>
                <a:srgbClr val="20F45A"/>
              </a:solidFill>
            </c:spPr>
          </c:dPt>
          <c:dPt>
            <c:idx val="187"/>
            <c:spPr>
              <a:solidFill>
                <a:srgbClr val="AD178C"/>
              </a:solidFill>
            </c:spPr>
          </c:dPt>
          <c:dPt>
            <c:idx val="188"/>
            <c:spPr>
              <a:solidFill>
                <a:srgbClr val="202B22"/>
              </a:solidFill>
            </c:spPr>
          </c:dPt>
          <c:dPt>
            <c:idx val="189"/>
            <c:spPr>
              <a:solidFill>
                <a:srgbClr val="94D193"/>
              </a:solidFill>
            </c:spPr>
          </c:dPt>
          <c:dPt>
            <c:idx val="190"/>
            <c:spPr>
              <a:solidFill>
                <a:srgbClr val="FFBB3B"/>
              </a:solidFill>
            </c:spPr>
          </c:dPt>
          <c:dPt>
            <c:idx val="191"/>
            <c:spPr>
              <a:solidFill>
                <a:srgbClr val="FF23D8"/>
              </a:solidFill>
            </c:spPr>
          </c:dPt>
          <c:dPt>
            <c:idx val="192"/>
            <c:spPr>
              <a:solidFill>
                <a:srgbClr val="58185E"/>
              </a:solidFill>
            </c:spPr>
          </c:dPt>
          <c:dPt>
            <c:idx val="193"/>
            <c:spPr>
              <a:solidFill>
                <a:srgbClr val="B450C8"/>
              </a:solidFill>
            </c:spPr>
          </c:dPt>
          <c:dPt>
            <c:idx val="194"/>
            <c:spPr>
              <a:solidFill>
                <a:srgbClr val="213F6E"/>
              </a:solidFill>
            </c:spPr>
          </c:dPt>
          <c:dPt>
            <c:idx val="195"/>
            <c:spPr>
              <a:solidFill>
                <a:srgbClr val="D1EBC6"/>
              </a:solidFill>
            </c:spPr>
          </c:dPt>
          <c:dPt>
            <c:idx val="196"/>
            <c:spPr>
              <a:solidFill>
                <a:srgbClr val="FFE787"/>
              </a:solidFill>
            </c:spPr>
          </c:dPt>
          <c:dPt>
            <c:idx val="197"/>
            <c:spPr>
              <a:solidFill>
                <a:srgbClr val="3637E9"/>
              </a:solidFill>
            </c:spPr>
          </c:dPt>
          <c:dPt>
            <c:idx val="198"/>
            <c:spPr>
              <a:solidFill>
                <a:srgbClr val="913D61"/>
              </a:solidFill>
            </c:spPr>
          </c:dPt>
          <c:dPt>
            <c:idx val="199"/>
            <c:spPr>
              <a:solidFill>
                <a:srgbClr val="BA8805"/>
              </a:solidFill>
            </c:spPr>
          </c:dPt>
          <c:dPt>
            <c:idx val="200"/>
            <c:spPr>
              <a:solidFill>
                <a:srgbClr val="2353B9"/>
              </a:solidFill>
            </c:spPr>
          </c:dPt>
          <c:dPt>
            <c:idx val="201"/>
            <c:spPr>
              <a:solidFill>
                <a:srgbClr val="0E05FA"/>
              </a:solidFill>
            </c:spPr>
          </c:dPt>
          <c:dPt>
            <c:idx val="202"/>
            <c:spPr>
              <a:solidFill>
                <a:srgbClr val="FF12D4"/>
              </a:solidFill>
            </c:spPr>
          </c:dPt>
          <c:dPt>
            <c:idx val="203"/>
            <c:spPr>
              <a:solidFill>
                <a:srgbClr val="6D4AFA"/>
              </a:solidFill>
            </c:spPr>
          </c:dPt>
          <c:dPt>
            <c:idx val="204"/>
            <c:spPr>
              <a:solidFill>
                <a:srgbClr val="CA6164"/>
              </a:solidFill>
            </c:spPr>
          </c:dPt>
          <c:dPt>
            <c:idx val="205"/>
            <c:spPr>
              <a:solidFill>
                <a:srgbClr val="C0C141"/>
              </a:solidFill>
            </c:spPr>
          </c:dPt>
          <c:dPt>
            <c:idx val="206"/>
            <c:spPr>
              <a:solidFill>
                <a:srgbClr val="246704"/>
              </a:solidFill>
            </c:spPr>
          </c:dPt>
          <c:dPt>
            <c:idx val="207"/>
            <c:spPr>
              <a:solidFill>
                <a:srgbClr val="4B1F2D"/>
              </a:solidFill>
            </c:spPr>
          </c:dPt>
          <c:dPt>
            <c:idx val="208"/>
            <c:spPr>
              <a:solidFill>
                <a:srgbClr val="FF3E20"/>
              </a:solidFill>
            </c:spPr>
          </c:dPt>
          <c:dPt>
            <c:idx val="209"/>
            <c:spPr>
              <a:solidFill>
                <a:srgbClr val="A55E0B"/>
              </a:solidFill>
            </c:spPr>
          </c:dPt>
          <c:dPt>
            <c:idx val="210"/>
            <c:spPr>
              <a:solidFill>
                <a:srgbClr val="038668"/>
              </a:solidFill>
            </c:spPr>
          </c:dPt>
          <c:dPt>
            <c:idx val="211"/>
            <c:spPr>
              <a:solidFill>
                <a:srgbClr val="C7F97E"/>
              </a:solidFill>
            </c:spPr>
          </c:dPt>
          <c:dPt>
            <c:idx val="212"/>
            <c:spPr>
              <a:solidFill>
                <a:srgbClr val="257C50"/>
              </a:solidFill>
            </c:spPr>
          </c:dPt>
          <c:dPt>
            <c:idx val="213"/>
            <c:spPr>
              <a:solidFill>
                <a:srgbClr val="883A61"/>
              </a:solidFill>
            </c:spPr>
          </c:dPt>
          <c:dPt>
            <c:idx val="214"/>
            <c:spPr>
              <a:solidFill>
                <a:srgbClr val="FF6A6C"/>
              </a:solidFill>
            </c:spPr>
          </c:dPt>
          <c:dPt>
            <c:idx val="215"/>
            <c:spPr>
              <a:solidFill>
                <a:srgbClr val="DD721D"/>
              </a:solidFill>
            </c:spPr>
          </c:dPt>
          <c:dPt>
            <c:idx val="216"/>
            <c:spPr>
              <a:solidFill>
                <a:srgbClr val="3BAB6B"/>
              </a:solidFill>
            </c:spPr>
          </c:dPt>
          <c:dPt>
            <c:idx val="217"/>
            <c:spPr>
              <a:solidFill>
                <a:srgbClr val="CD31BB"/>
              </a:solidFill>
            </c:spPr>
          </c:dPt>
          <c:dPt>
            <c:idx val="218"/>
            <c:spPr>
              <a:solidFill>
                <a:srgbClr val="26909B"/>
              </a:solidFill>
            </c:spPr>
          </c:dPt>
          <c:dPt>
            <c:idx val="219"/>
            <c:spPr>
              <a:solidFill>
                <a:srgbClr val="C45495"/>
              </a:solidFill>
            </c:spPr>
          </c:dPt>
          <c:dPt>
            <c:idx val="220"/>
            <c:spPr>
              <a:solidFill>
                <a:srgbClr val="FF96B8"/>
              </a:solidFill>
            </c:spPr>
          </c:dPt>
          <c:dPt>
            <c:idx val="221"/>
            <c:spPr>
              <a:solidFill>
                <a:srgbClr val="14862E"/>
              </a:solidFill>
            </c:spPr>
          </c:dPt>
          <c:dPt>
            <c:idx val="222"/>
            <c:spPr>
              <a:solidFill>
                <a:srgbClr val="74CF6E"/>
              </a:solidFill>
            </c:spPr>
          </c:dPt>
          <c:dPt>
            <c:idx val="223"/>
            <c:spPr>
              <a:solidFill>
                <a:srgbClr val="D36AF7"/>
              </a:solidFill>
            </c:spPr>
          </c:dPt>
          <c:dPt>
            <c:idx val="224"/>
            <c:spPr>
              <a:solidFill>
                <a:srgbClr val="27A4E6"/>
              </a:solidFill>
            </c:spPr>
          </c:dPt>
          <c:dPt>
            <c:idx val="225"/>
            <c:spPr>
              <a:solidFill>
                <a:srgbClr val="016EC8"/>
              </a:solidFill>
            </c:spPr>
          </c:dPt>
          <c:dPt>
            <c:idx val="226"/>
            <c:spPr>
              <a:solidFill>
                <a:srgbClr val="FFC204"/>
              </a:solidFill>
            </c:spPr>
          </c:dPt>
          <c:dPt>
            <c:idx val="227"/>
            <c:spPr>
              <a:solidFill>
                <a:srgbClr val="4C9A3F"/>
              </a:solidFill>
            </c:spPr>
          </c:dPt>
          <c:dPt>
            <c:idx val="228"/>
            <c:spPr>
              <a:solidFill>
                <a:srgbClr val="ADF471"/>
              </a:solidFill>
            </c:spPr>
          </c:dPt>
          <c:dPt>
            <c:idx val="229"/>
            <c:spPr>
              <a:solidFill>
                <a:srgbClr val="D9A234"/>
              </a:solidFill>
            </c:spPr>
          </c:dPt>
          <c:dPt>
            <c:idx val="230"/>
            <c:spPr>
              <a:solidFill>
                <a:srgbClr val="29B831"/>
              </a:solidFill>
            </c:spPr>
          </c:dPt>
          <c:dPt>
            <c:idx val="231"/>
            <c:spPr>
              <a:solidFill>
                <a:srgbClr val="3E88FC"/>
              </a:solidFill>
            </c:spPr>
          </c:dPt>
          <c:dPt>
            <c:idx val="232"/>
            <c:spPr>
              <a:solidFill>
                <a:srgbClr val="FFED51"/>
              </a:solidFill>
            </c:spPr>
          </c:dPt>
          <c:dPt>
            <c:idx val="233"/>
            <c:spPr>
              <a:solidFill>
                <a:srgbClr val="83AD50"/>
              </a:solidFill>
            </c:spPr>
          </c:dPt>
          <c:dPt>
            <c:idx val="234"/>
            <c:spPr>
              <a:solidFill>
                <a:srgbClr val="E51875"/>
              </a:solidFill>
            </c:spPr>
          </c:dPt>
          <c:dPt>
            <c:idx val="235"/>
            <c:spPr>
              <a:solidFill>
                <a:srgbClr val="E0DB70"/>
              </a:solidFill>
            </c:spPr>
          </c:dPt>
          <c:dPt>
            <c:idx val="236"/>
            <c:spPr>
              <a:solidFill>
                <a:srgbClr val="2ACC7D"/>
              </a:solidFill>
            </c:spPr>
          </c:dPt>
          <c:dPt>
            <c:idx val="237"/>
            <c:spPr>
              <a:solidFill>
                <a:srgbClr val="7BA22F"/>
              </a:solidFill>
            </c:spPr>
          </c:dPt>
          <c:dPt>
            <c:idx val="238"/>
            <c:spPr>
              <a:solidFill>
                <a:srgbClr val="FF199D"/>
              </a:solidFill>
            </c:spPr>
          </c:dPt>
          <c:dPt>
            <c:idx val="239"/>
            <c:spPr>
              <a:solidFill>
                <a:srgbClr val="BBC161"/>
              </a:solidFill>
            </c:spPr>
          </c:dPt>
          <c:dPt>
            <c:idx val="240"/>
            <c:spPr>
              <a:solidFill>
                <a:srgbClr val="1E3D78"/>
              </a:solidFill>
            </c:spPr>
          </c:dPt>
          <c:dPt>
            <c:idx val="241"/>
            <c:spPr>
              <a:solidFill>
                <a:srgbClr val="E613AD"/>
              </a:solidFill>
            </c:spPr>
          </c:dPt>
          <c:dPt>
            <c:idx val="242"/>
            <c:spPr>
              <a:solidFill>
                <a:srgbClr val="2BE0C8"/>
              </a:solidFill>
            </c:spPr>
          </c:dPt>
          <c:dPt>
            <c:idx val="243"/>
            <c:spPr>
              <a:solidFill>
                <a:srgbClr val="B8BC63"/>
              </a:solidFill>
            </c:spPr>
          </c:dPt>
          <c:dPt>
            <c:idx val="244"/>
            <c:spPr>
              <a:solidFill>
                <a:srgbClr val="FF45E9"/>
              </a:solidFill>
            </c:spPr>
          </c:dPt>
          <c:dPt>
            <c:idx val="245"/>
            <c:spPr>
              <a:solidFill>
                <a:srgbClr val="F2D572"/>
              </a:solidFill>
            </c:spPr>
          </c:dPt>
          <c:dPt>
            <c:idx val="246"/>
            <c:spPr>
              <a:solidFill>
                <a:srgbClr val="57627B"/>
              </a:solidFill>
            </c:spPr>
          </c:dPt>
          <c:dPt>
            <c:idx val="247"/>
            <c:spPr>
              <a:solidFill>
                <a:srgbClr val="EC4BEA"/>
              </a:solidFill>
            </c:spPr>
          </c:dPt>
          <c:dPt>
            <c:idx val="248"/>
            <c:spPr>
              <a:solidFill>
                <a:srgbClr val="2CF413"/>
              </a:solidFill>
            </c:spPr>
          </c:dPt>
          <c:dPt>
            <c:idx val="249"/>
            <c:spPr>
              <a:solidFill>
                <a:srgbClr val="F5D697"/>
              </a:solidFill>
            </c:spPr>
          </c:dPt>
          <c:dPt>
            <c:idx val="250"/>
            <c:spPr>
              <a:solidFill>
                <a:srgbClr val="FF7135"/>
              </a:solidFill>
            </c:spPr>
          </c:dPt>
          <c:dPt>
            <c:idx val="251"/>
            <c:spPr>
              <a:solidFill>
                <a:srgbClr val="2AE983"/>
              </a:solidFill>
            </c:spPr>
          </c:dPt>
          <c:dPt>
            <c:idx val="252"/>
            <c:spPr>
              <a:solidFill>
                <a:srgbClr val="8F867F"/>
              </a:solidFill>
            </c:spPr>
          </c:dPt>
          <c:dPt>
            <c:idx val="253"/>
            <c:spPr>
              <a:solidFill>
                <a:srgbClr val="F38426"/>
              </a:solidFill>
            </c:spPr>
          </c:dPt>
          <c:dPt>
            <c:idx val="254"/>
            <c:spPr>
              <a:solidFill>
                <a:srgbClr val="2D085F"/>
              </a:solidFill>
            </c:spPr>
          </c:dPt>
          <c:dPt>
            <c:idx val="255"/>
            <c:spPr>
              <a:solidFill>
                <a:srgbClr val="32F0CA"/>
              </a:solidFill>
            </c:spPr>
          </c:dPt>
          <c:dPt>
            <c:idx val="256"/>
            <c:spPr>
              <a:solidFill>
                <a:srgbClr val="FF9D81"/>
              </a:solidFill>
            </c:spPr>
          </c:dPt>
          <c:dPt>
            <c:idx val="257"/>
            <c:spPr>
              <a:solidFill>
                <a:srgbClr val="61FD94"/>
              </a:solidFill>
            </c:spPr>
          </c:dPt>
          <c:dPt>
            <c:idx val="258"/>
            <c:spPr>
              <a:solidFill>
                <a:srgbClr val="C8AB82"/>
              </a:solidFill>
            </c:spPr>
          </c:dPt>
          <c:dPt>
            <c:idx val="259"/>
            <c:spPr>
              <a:solidFill>
                <a:srgbClr val="F9BC63"/>
              </a:solidFill>
            </c:spPr>
          </c:dPt>
          <c:dPt>
            <c:idx val="260"/>
            <c:spPr>
              <a:solidFill>
                <a:srgbClr val="2F1CAA"/>
              </a:solidFill>
            </c:spPr>
          </c:dPt>
          <c:dPt>
            <c:idx val="261"/>
            <c:spPr>
              <a:solidFill>
                <a:srgbClr val="6F0AFE"/>
              </a:solidFill>
            </c:spPr>
          </c:dPt>
          <c:dPt>
            <c:idx val="262"/>
            <c:spPr>
              <a:solidFill>
                <a:srgbClr val="FFC8CE"/>
              </a:solidFill>
            </c:spPr>
          </c:dPt>
          <c:dPt>
            <c:idx val="263"/>
            <c:spPr>
              <a:solidFill>
                <a:srgbClr val="9910A5"/>
              </a:solidFill>
            </c:spPr>
          </c:dPt>
          <c:dPt>
            <c:idx val="264"/>
            <c:spPr>
              <a:solidFill>
                <a:srgbClr val="01CF85"/>
              </a:solidFill>
            </c:spPr>
          </c:dPt>
          <c:dPt>
            <c:idx val="265"/>
            <c:spPr>
              <a:solidFill>
                <a:srgbClr val="FFF59F"/>
              </a:solidFill>
            </c:spPr>
          </c:dPt>
          <c:dPt>
            <c:idx val="266"/>
            <c:spPr>
              <a:solidFill>
                <a:srgbClr val="3030F5"/>
              </a:solidFill>
            </c:spPr>
          </c:dPt>
          <c:dPt>
            <c:idx val="267"/>
            <c:spPr>
              <a:solidFill>
                <a:srgbClr val="AC2431"/>
              </a:solidFill>
            </c:spPr>
          </c:dPt>
          <c:dPt>
            <c:idx val="268"/>
            <c:spPr>
              <a:solidFill>
                <a:srgbClr val="FFF41A"/>
              </a:solidFill>
            </c:spPr>
          </c:dPt>
          <c:dPt>
            <c:idx val="269"/>
            <c:spPr>
              <a:solidFill>
                <a:srgbClr val="D024B6"/>
              </a:solidFill>
            </c:spPr>
          </c:dPt>
          <c:dPt>
            <c:idx val="270"/>
            <c:spPr>
              <a:solidFill>
                <a:srgbClr val="3AF489"/>
              </a:solidFill>
            </c:spPr>
          </c:dPt>
          <c:dPt>
            <c:idx val="271"/>
            <c:spPr>
              <a:solidFill>
                <a:srgbClr val="062DDC"/>
              </a:solidFill>
            </c:spPr>
          </c:dPt>
          <c:dPt>
            <c:idx val="272"/>
            <c:spPr>
              <a:solidFill>
                <a:srgbClr val="314541"/>
              </a:solidFill>
            </c:spPr>
          </c:dPt>
          <c:dPt>
            <c:idx val="273"/>
            <c:spPr>
              <a:solidFill>
                <a:srgbClr val="E93F65"/>
              </a:solidFill>
            </c:spPr>
          </c:dPt>
          <c:dPt>
            <c:idx val="274"/>
            <c:spPr>
              <a:solidFill>
                <a:srgbClr val="FF2066"/>
              </a:solidFill>
            </c:spPr>
          </c:dPt>
          <c:dPt>
            <c:idx val="275"/>
            <c:spPr>
              <a:solidFill>
                <a:srgbClr val="0838C8"/>
              </a:solidFill>
            </c:spPr>
          </c:dPt>
          <c:dPt>
            <c:idx val="276"/>
            <c:spPr>
              <a:solidFill>
                <a:srgbClr val="72198C"/>
              </a:solidFill>
            </c:spPr>
          </c:dPt>
          <c:dPt>
            <c:idx val="277"/>
            <c:spPr>
              <a:solidFill>
                <a:srgbClr val="0C6519"/>
              </a:solidFill>
            </c:spPr>
          </c:dPt>
          <c:dPt>
            <c:idx val="278"/>
            <c:spPr>
              <a:solidFill>
                <a:srgbClr val="32598C"/>
              </a:solidFill>
            </c:spPr>
          </c:dPt>
          <c:dPt>
            <c:idx val="279"/>
            <c:spPr>
              <a:solidFill>
                <a:srgbClr val="255999"/>
              </a:solidFill>
            </c:spPr>
          </c:dPt>
          <c:dPt>
            <c:idx val="280"/>
            <c:spPr>
              <a:solidFill>
                <a:srgbClr val="FF4CB2"/>
              </a:solidFill>
            </c:spPr>
          </c:dPt>
          <c:dPt>
            <c:idx val="281"/>
            <c:spPr>
              <a:solidFill>
                <a:srgbClr val="3F4CD9"/>
              </a:solidFill>
            </c:spPr>
          </c:dPt>
          <c:dPt>
            <c:idx val="282"/>
            <c:spPr>
              <a:solidFill>
                <a:srgbClr val="AB3D8F"/>
              </a:solidFill>
            </c:spPr>
          </c:dPt>
          <c:dPt>
            <c:idx val="283"/>
            <c:spPr>
              <a:solidFill>
                <a:srgbClr val="129E55"/>
              </a:solidFill>
            </c:spPr>
          </c:dPt>
          <c:dPt>
            <c:idx val="284"/>
            <c:spPr>
              <a:solidFill>
                <a:srgbClr val="336DD7"/>
              </a:solidFill>
            </c:spPr>
          </c:dPt>
          <c:dPt>
            <c:idx val="285"/>
            <c:spPr>
              <a:solidFill>
                <a:srgbClr val="6273CC"/>
              </a:solidFill>
            </c:spPr>
          </c:dPt>
          <c:dPt>
            <c:idx val="286"/>
            <c:spPr>
              <a:solidFill>
                <a:srgbClr val="FF78FE"/>
              </a:solidFill>
            </c:spPr>
          </c:dPt>
          <c:dPt>
            <c:idx val="287"/>
            <c:spPr>
              <a:solidFill>
                <a:srgbClr val="7760EA"/>
              </a:solidFill>
            </c:spPr>
          </c:dPt>
          <c:dPt>
            <c:idx val="288"/>
            <c:spPr>
              <a:solidFill>
                <a:srgbClr val="E46292"/>
              </a:solidFill>
            </c:spPr>
          </c:dPt>
          <c:dPt>
            <c:idx val="289"/>
            <c:spPr>
              <a:solidFill>
                <a:srgbClr val="18D692"/>
              </a:solidFill>
            </c:spPr>
          </c:dPt>
          <c:dPt>
            <c:idx val="290"/>
            <c:spPr>
              <a:solidFill>
                <a:srgbClr val="358122"/>
              </a:solidFill>
            </c:spPr>
          </c:dPt>
          <c:dPt>
            <c:idx val="291"/>
            <c:spPr>
              <a:solidFill>
                <a:srgbClr val="9F8D00"/>
              </a:solidFill>
            </c:spPr>
          </c:dPt>
          <c:dPt>
            <c:idx val="292"/>
            <c:spPr>
              <a:solidFill>
                <a:srgbClr val="FFA34B"/>
              </a:solidFill>
            </c:spPr>
          </c:dPt>
          <c:dPt>
            <c:idx val="293"/>
            <c:spPr>
              <a:solidFill>
                <a:srgbClr val="AE73FB"/>
              </a:solidFill>
            </c:spPr>
          </c:dPt>
          <c:dPt>
            <c:idx val="294"/>
            <c:spPr>
              <a:solidFill>
                <a:srgbClr val="1C8696"/>
              </a:solidFill>
            </c:spPr>
          </c:dPt>
          <c:dPt>
            <c:idx val="295"/>
            <c:spPr>
              <a:solidFill>
                <a:srgbClr val="1F0FCE"/>
              </a:solidFill>
            </c:spPr>
          </c:dPt>
          <c:dPt>
            <c:idx val="296"/>
            <c:spPr>
              <a:solidFill>
                <a:srgbClr val="36956E"/>
              </a:solidFill>
            </c:spPr>
          </c:dPt>
          <c:dPt>
            <c:idx val="297"/>
            <c:spPr>
              <a:solidFill>
                <a:srgbClr val="DCA733"/>
              </a:solidFill>
            </c:spPr>
          </c:dPt>
          <c:dPt>
            <c:idx val="298"/>
            <c:spPr>
              <a:solidFill>
                <a:srgbClr val="FFCF97"/>
              </a:solidFill>
            </c:spPr>
          </c:dPt>
          <c:dPt>
            <c:idx val="299"/>
            <c:spPr>
              <a:solidFill>
                <a:srgbClr val="E6870C"/>
              </a:solidFill>
            </c:spPr>
          </c:dPt>
          <c:dPt>
            <c:idx val="300"/>
            <c:spPr>
              <a:solidFill>
                <a:srgbClr val="55AB99"/>
              </a:solidFill>
            </c:spPr>
          </c:dPt>
          <c:dPt>
            <c:idx val="301"/>
            <c:spPr>
              <a:solidFill>
                <a:srgbClr val="25470B"/>
              </a:solidFill>
            </c:spPr>
          </c:dPt>
          <c:dPt>
            <c:idx val="302"/>
            <c:spPr>
              <a:solidFill>
                <a:srgbClr val="37A9B9"/>
              </a:solidFill>
            </c:spPr>
          </c:dPt>
          <c:dPt>
            <c:idx val="303"/>
            <c:spPr>
              <a:solidFill>
                <a:srgbClr val="19C167"/>
              </a:solidFill>
            </c:spPr>
          </c:dPt>
          <c:dPt>
            <c:idx val="304"/>
            <c:spPr>
              <a:solidFill>
                <a:srgbClr val="FFFBE3"/>
              </a:solidFill>
            </c:spPr>
          </c:dPt>
          <c:dPt>
            <c:idx val="305"/>
            <c:spPr>
              <a:solidFill>
                <a:srgbClr val="1D9B1D"/>
              </a:solidFill>
            </c:spPr>
          </c:dPt>
          <c:dPt>
            <c:idx val="306"/>
            <c:spPr>
              <a:solidFill>
                <a:srgbClr val="8ED09C"/>
              </a:solidFill>
            </c:spPr>
          </c:dPt>
          <c:dPt>
            <c:idx val="307"/>
            <c:spPr>
              <a:solidFill>
                <a:srgbClr val="2B7F48"/>
              </a:solidFill>
            </c:spPr>
          </c:dPt>
          <c:dPt>
            <c:idx val="308"/>
            <c:spPr>
              <a:solidFill>
                <a:srgbClr val="38BD04"/>
              </a:solidFill>
            </c:spPr>
          </c:dPt>
          <c:dPt>
            <c:idx val="309"/>
            <c:spPr>
              <a:solidFill>
                <a:srgbClr val="56DB9B"/>
              </a:solidFill>
            </c:spPr>
          </c:dPt>
          <c:dPt>
            <c:idx val="310"/>
            <c:spPr>
              <a:solidFill>
                <a:srgbClr val="FF272F"/>
              </a:solidFill>
            </c:spPr>
          </c:dPt>
          <c:dPt>
            <c:idx val="311"/>
            <c:spPr>
              <a:solidFill>
                <a:srgbClr val="55AF2E"/>
              </a:solidFill>
            </c:spPr>
          </c:dPt>
          <c:dPt>
            <c:idx val="312"/>
            <c:spPr>
              <a:solidFill>
                <a:srgbClr val="C6F4A0"/>
              </a:solidFill>
            </c:spPr>
          </c:dPt>
          <c:dPt>
            <c:idx val="313"/>
            <c:spPr>
              <a:solidFill>
                <a:srgbClr val="32B884"/>
              </a:solidFill>
            </c:spPr>
          </c:dPt>
          <c:dPt>
            <c:idx val="314"/>
            <c:spPr>
              <a:solidFill>
                <a:srgbClr val="39D150"/>
              </a:solidFill>
            </c:spPr>
          </c:dPt>
          <c:dPt>
            <c:idx val="315"/>
            <c:spPr>
              <a:solidFill>
                <a:srgbClr val="93F5CE"/>
              </a:solidFill>
            </c:spPr>
          </c:dPt>
          <c:dPt>
            <c:idx val="316"/>
            <c:spPr>
              <a:solidFill>
                <a:srgbClr val="FF537B"/>
              </a:solidFill>
            </c:spPr>
          </c:dPt>
          <c:dPt>
            <c:idx val="317"/>
            <c:spPr>
              <a:solidFill>
                <a:srgbClr val="8CC33F"/>
              </a:solidFill>
            </c:spPr>
          </c:dPt>
          <c:dPt>
            <c:idx val="318"/>
            <c:spPr>
              <a:solidFill>
                <a:srgbClr val="FF19A3"/>
              </a:solidFill>
            </c:spPr>
          </c:dPt>
          <c:dPt>
            <c:idx val="319"/>
            <c:spPr>
              <a:solidFill>
                <a:srgbClr val="38F0C1"/>
              </a:solidFill>
            </c:spPr>
          </c:dPt>
          <c:dPt>
            <c:idx val="320"/>
            <c:spPr>
              <a:solidFill>
                <a:srgbClr val="3BE59B"/>
              </a:solidFill>
            </c:spPr>
          </c:dPt>
          <c:dPt>
            <c:idx val="321"/>
            <c:spPr>
              <a:solidFill>
                <a:srgbClr val="D00F02"/>
              </a:solidFill>
            </c:spPr>
          </c:dPt>
          <c:dPt>
            <c:idx val="322"/>
            <c:spPr>
              <a:solidFill>
                <a:srgbClr val="FF7EC8"/>
              </a:solidFill>
            </c:spPr>
          </c:dPt>
          <c:dPt>
            <c:idx val="323"/>
            <c:spPr>
              <a:solidFill>
                <a:srgbClr val="C4D650"/>
              </a:solidFill>
            </c:spPr>
          </c:dPt>
          <c:dPt>
            <c:idx val="324"/>
            <c:spPr>
              <a:solidFill>
                <a:srgbClr val="383DA6"/>
              </a:solidFill>
            </c:spPr>
          </c:dPt>
          <c:dPt>
            <c:idx val="325"/>
            <c:spPr>
              <a:solidFill>
                <a:srgbClr val="3E29FD"/>
              </a:solidFill>
            </c:spPr>
          </c:dPt>
          <c:dPt>
            <c:idx val="326"/>
            <c:spPr>
              <a:solidFill>
                <a:srgbClr val="3CF9E6"/>
              </a:solidFill>
            </c:spPr>
          </c:dPt>
          <c:dPt>
            <c:idx val="327"/>
            <c:spPr>
              <a:solidFill>
                <a:srgbClr val="0D2935"/>
              </a:solidFill>
            </c:spPr>
          </c:dPt>
          <c:dPt>
            <c:idx val="328"/>
            <c:spPr>
              <a:solidFill>
                <a:srgbClr val="FFAA14"/>
              </a:solidFill>
            </c:spPr>
          </c:dPt>
          <c:dPt>
            <c:idx val="329"/>
            <c:spPr>
              <a:solidFill>
                <a:srgbClr val="FBEA61"/>
              </a:solidFill>
            </c:spPr>
          </c:dPt>
          <c:dPt>
            <c:idx val="330"/>
            <c:spPr>
              <a:solidFill>
                <a:srgbClr val="7162AA"/>
              </a:solidFill>
            </c:spPr>
          </c:dPt>
          <c:dPt>
            <c:idx val="331"/>
            <c:spPr>
              <a:solidFill>
                <a:srgbClr val="45613A"/>
              </a:solidFill>
            </c:spPr>
          </c:dPt>
          <c:dPt>
            <c:idx val="332"/>
            <c:spPr>
              <a:solidFill>
                <a:srgbClr val="3D0E32"/>
              </a:solidFill>
            </c:spPr>
          </c:dPt>
          <c:dPt>
            <c:idx val="333"/>
            <c:spPr>
              <a:solidFill>
                <a:srgbClr val="4A4469"/>
              </a:solidFill>
            </c:spPr>
          </c:dPt>
          <c:dPt>
            <c:idx val="334"/>
            <c:spPr>
              <a:solidFill>
                <a:srgbClr val="FFD660"/>
              </a:solidFill>
            </c:spPr>
          </c:dPt>
          <c:dPt>
            <c:idx val="335"/>
            <c:spPr>
              <a:solidFill>
                <a:srgbClr val="33FE73"/>
              </a:solidFill>
            </c:spPr>
          </c:dPt>
          <c:dPt>
            <c:idx val="336"/>
            <c:spPr>
              <a:solidFill>
                <a:srgbClr val="A987AD"/>
              </a:solidFill>
            </c:spPr>
          </c:dPt>
          <c:dPt>
            <c:idx val="337"/>
            <c:spPr>
              <a:solidFill>
                <a:srgbClr val="4B9977"/>
              </a:solidFill>
            </c:spPr>
          </c:dPt>
          <c:dPt>
            <c:idx val="338"/>
            <c:spPr>
              <a:solidFill>
                <a:srgbClr val="3E227D"/>
              </a:solidFill>
            </c:spPr>
          </c:dPt>
          <c:dPt>
            <c:idx val="339"/>
            <c:spPr>
              <a:solidFill>
                <a:srgbClr val="865E9D"/>
              </a:solidFill>
            </c:spPr>
          </c:dPt>
          <c:dPt>
            <c:idx val="340"/>
            <c:spPr>
              <a:solidFill>
                <a:srgbClr val="FF02AC"/>
              </a:solidFill>
            </c:spPr>
          </c:dPt>
          <c:dPt>
            <c:idx val="341"/>
            <c:spPr>
              <a:solidFill>
                <a:srgbClr val="6A1284"/>
              </a:solidFill>
            </c:spPr>
          </c:dPt>
          <c:dPt>
            <c:idx val="342"/>
            <c:spPr>
              <a:solidFill>
                <a:srgbClr val="E2ABB0"/>
              </a:solidFill>
            </c:spPr>
          </c:dPt>
          <c:dPt>
            <c:idx val="343"/>
            <c:spPr>
              <a:solidFill>
                <a:srgbClr val="51D2B3"/>
              </a:solidFill>
            </c:spPr>
          </c:dPt>
          <c:dPt>
            <c:idx val="344"/>
            <c:spPr>
              <a:solidFill>
                <a:srgbClr val="3F36C8"/>
              </a:solidFill>
            </c:spPr>
          </c:dPt>
          <c:dPt>
            <c:idx val="345"/>
            <c:spPr>
              <a:solidFill>
                <a:srgbClr val="C378D0"/>
              </a:solidFill>
            </c:spPr>
          </c:dPt>
          <c:dPt>
            <c:idx val="346"/>
            <c:spPr>
              <a:solidFill>
                <a:srgbClr val="FF2EF8"/>
              </a:solidFill>
            </c:spPr>
          </c:dPt>
          <c:dPt>
            <c:idx val="347"/>
            <c:spPr>
              <a:solidFill>
                <a:srgbClr val="A22695"/>
              </a:solidFill>
            </c:spPr>
          </c:dPt>
          <c:dPt>
            <c:idx val="348"/>
            <c:spPr>
              <a:solidFill>
                <a:srgbClr val="1BD0B3"/>
              </a:solidFill>
            </c:spPr>
          </c:dPt>
          <c:dPt>
            <c:idx val="349"/>
            <c:spPr>
              <a:solidFill>
                <a:srgbClr val="570AF0"/>
              </a:solidFill>
            </c:spPr>
          </c:dPt>
          <c:dPt>
            <c:idx val="350"/>
            <c:spPr>
              <a:solidFill>
                <a:srgbClr val="414A13"/>
              </a:solidFill>
            </c:spPr>
          </c:dPt>
          <c:dPt>
            <c:idx val="351"/>
            <c:spPr>
              <a:solidFill>
                <a:srgbClr val="009204"/>
              </a:solidFill>
            </c:spPr>
          </c:dPt>
          <c:dPt>
            <c:idx val="352"/>
            <c:spPr>
              <a:solidFill>
                <a:srgbClr val="FF5945"/>
              </a:solidFill>
            </c:spPr>
          </c:dPt>
          <c:dPt>
            <c:idx val="353"/>
            <c:spPr>
              <a:solidFill>
                <a:srgbClr val="D939A6"/>
              </a:solidFill>
            </c:spPr>
          </c:dPt>
          <c:dPt>
            <c:idx val="354"/>
            <c:spPr>
              <a:solidFill>
                <a:srgbClr val="53F4B7"/>
              </a:solidFill>
            </c:spPr>
          </c:dPt>
          <c:dPt>
            <c:idx val="355"/>
            <c:spPr>
              <a:solidFill>
                <a:srgbClr val="5E432C"/>
              </a:solidFill>
            </c:spPr>
          </c:dPt>
          <c:dPt>
            <c:idx val="356"/>
            <c:spPr>
              <a:solidFill>
                <a:srgbClr val="425E5F"/>
              </a:solidFill>
            </c:spPr>
          </c:dPt>
          <c:dPt>
            <c:idx val="357"/>
            <c:spPr>
              <a:solidFill>
                <a:srgbClr val="3DAC37"/>
              </a:solidFill>
            </c:spPr>
          </c:dPt>
          <c:dPt>
            <c:idx val="358"/>
            <c:spPr>
              <a:solidFill>
                <a:srgbClr val="FF8591"/>
              </a:solidFill>
            </c:spPr>
          </c:dPt>
          <c:dPt>
            <c:idx val="359"/>
            <c:spPr>
              <a:solidFill>
                <a:srgbClr val="114DB7"/>
              </a:solidFill>
            </c:spPr>
          </c:dPt>
          <c:dPt>
            <c:idx val="360"/>
            <c:spPr>
              <a:solidFill>
                <a:srgbClr val="8C19BA"/>
              </a:solidFill>
            </c:spPr>
          </c:dPt>
          <c:dPt>
            <c:idx val="361"/>
            <c:spPr>
              <a:solidFill>
                <a:srgbClr val="647B69"/>
              </a:solidFill>
            </c:spPr>
          </c:dPt>
          <c:dPt>
            <c:idx val="362"/>
            <c:spPr>
              <a:solidFill>
                <a:srgbClr val="4372AA"/>
              </a:solidFill>
            </c:spPr>
          </c:dPt>
          <c:dPt>
            <c:idx val="363"/>
            <c:spPr>
              <a:solidFill>
                <a:srgbClr val="7AC66B"/>
              </a:solidFill>
            </c:spPr>
          </c:dPt>
          <c:dPt>
            <c:idx val="364"/>
            <c:spPr>
              <a:solidFill>
                <a:srgbClr val="FFB1DD"/>
              </a:solidFill>
            </c:spPr>
          </c:dPt>
          <c:dPt>
            <c:idx val="365"/>
            <c:spPr>
              <a:solidFill>
                <a:srgbClr val="4861C8"/>
              </a:solidFill>
            </c:spPr>
          </c:dPt>
          <c:dPt>
            <c:idx val="366"/>
            <c:spPr>
              <a:solidFill>
                <a:srgbClr val="C53EBD"/>
              </a:solidFill>
            </c:spPr>
          </c:dPt>
          <c:dPt>
            <c:idx val="367"/>
            <c:spPr>
              <a:solidFill>
                <a:srgbClr val="6AB3A6"/>
              </a:solidFill>
            </c:spPr>
          </c:dPt>
          <c:dPt>
            <c:idx val="368"/>
            <c:spPr>
              <a:solidFill>
                <a:srgbClr val="4486F5"/>
              </a:solidFill>
            </c:spPr>
          </c:dPt>
          <c:dPt>
            <c:idx val="369"/>
            <c:spPr>
              <a:solidFill>
                <a:srgbClr val="B7E09F"/>
              </a:solidFill>
            </c:spPr>
          </c:dPt>
          <c:dPt>
            <c:idx val="370"/>
            <c:spPr>
              <a:solidFill>
                <a:srgbClr val="FFDD29"/>
              </a:solidFill>
            </c:spPr>
          </c:dPt>
          <c:dPt>
            <c:idx val="371"/>
            <c:spPr>
              <a:solidFill>
                <a:srgbClr val="7F75D9"/>
              </a:solidFill>
            </c:spPr>
          </c:dPt>
          <c:dPt>
            <c:idx val="372"/>
            <c:spPr>
              <a:solidFill>
                <a:srgbClr val="FD62C1"/>
              </a:solidFill>
            </c:spPr>
          </c:dPt>
          <c:dPt>
            <c:idx val="373"/>
            <c:spPr>
              <a:solidFill>
                <a:srgbClr val="71ECE2"/>
              </a:solidFill>
            </c:spPr>
          </c:dPt>
          <c:dPt>
            <c:idx val="374"/>
            <c:spPr>
              <a:solidFill>
                <a:srgbClr val="459A41"/>
              </a:solidFill>
            </c:spPr>
          </c:dPt>
          <c:dPt>
            <c:idx val="375"/>
            <c:spPr>
              <a:solidFill>
                <a:srgbClr val="F4FAD2"/>
              </a:solidFill>
            </c:spPr>
          </c:dPt>
          <c:dPt>
            <c:idx val="376"/>
            <c:spPr>
              <a:solidFill>
                <a:srgbClr val="FF0975"/>
              </a:solidFill>
            </c:spPr>
          </c:dPt>
          <c:dPt>
            <c:idx val="377"/>
            <c:spPr>
              <a:solidFill>
                <a:srgbClr val="B789EA"/>
              </a:solidFill>
            </c:spPr>
          </c:dPt>
          <c:dPt>
            <c:idx val="378"/>
            <c:spPr>
              <a:solidFill>
                <a:srgbClr val="3687C4"/>
              </a:solidFill>
            </c:spPr>
          </c:dPt>
          <c:dPt>
            <c:idx val="379"/>
            <c:spPr>
              <a:solidFill>
                <a:srgbClr val="77241F"/>
              </a:solidFill>
            </c:spPr>
          </c:dPt>
          <c:dPt>
            <c:idx val="380"/>
            <c:spPr>
              <a:solidFill>
                <a:srgbClr val="47AE8C"/>
              </a:solidFill>
            </c:spPr>
          </c:dPt>
          <c:dPt>
            <c:idx val="381"/>
            <c:spPr>
              <a:solidFill>
                <a:srgbClr val="311406"/>
              </a:solidFill>
            </c:spPr>
          </c:dPt>
          <c:dPt>
            <c:idx val="382"/>
            <c:spPr>
              <a:solidFill>
                <a:srgbClr val="FF34C2"/>
              </a:solidFill>
            </c:spPr>
          </c:dPt>
          <c:dPt>
            <c:idx val="383"/>
            <c:spPr>
              <a:solidFill>
                <a:srgbClr val="EF9CFB"/>
              </a:solidFill>
            </c:spPr>
          </c:dPt>
          <c:dPt>
            <c:idx val="384"/>
            <c:spPr>
              <a:solidFill>
                <a:srgbClr val="6FABC7"/>
              </a:solidFill>
            </c:spPr>
          </c:dPt>
          <c:dPt>
            <c:idx val="385"/>
            <c:spPr>
              <a:solidFill>
                <a:srgbClr val="7D5D5B"/>
              </a:solidFill>
            </c:spPr>
          </c:dPt>
          <c:dPt>
            <c:idx val="386"/>
            <c:spPr>
              <a:solidFill>
                <a:srgbClr val="48C2D7"/>
              </a:solidFill>
            </c:spPr>
          </c:dPt>
          <c:dPt>
            <c:idx val="387"/>
            <c:spPr>
              <a:solidFill>
                <a:srgbClr val="6E2E39"/>
              </a:solidFill>
            </c:spPr>
          </c:dPt>
          <c:dPt>
            <c:idx val="388"/>
            <c:spPr>
              <a:solidFill>
                <a:srgbClr val="FF600E"/>
              </a:solidFill>
            </c:spPr>
          </c:dPt>
          <c:dPt>
            <c:idx val="389"/>
            <c:spPr>
              <a:solidFill>
                <a:srgbClr val="26B00C"/>
              </a:solidFill>
            </c:spPr>
          </c:dPt>
          <c:dPt>
            <c:idx val="390"/>
            <c:spPr>
              <a:solidFill>
                <a:srgbClr val="A8D0CB"/>
              </a:solidFill>
            </c:spPr>
          </c:dPt>
          <c:dPt>
            <c:idx val="391"/>
            <c:spPr>
              <a:solidFill>
                <a:srgbClr val="849598"/>
              </a:solidFill>
            </c:spPr>
          </c:dPt>
          <c:dPt>
            <c:idx val="392"/>
            <c:spPr>
              <a:solidFill>
                <a:srgbClr val="49D723"/>
              </a:solidFill>
            </c:spPr>
          </c:dPt>
          <c:dPt>
            <c:idx val="393"/>
            <c:spPr>
              <a:solidFill>
                <a:srgbClr val="AB496D"/>
              </a:solidFill>
            </c:spPr>
          </c:dPt>
          <c:dPt>
            <c:idx val="394"/>
            <c:spPr>
              <a:solidFill>
                <a:srgbClr val="FF8C5A"/>
              </a:solidFill>
            </c:spPr>
          </c:dPt>
          <c:dPt>
            <c:idx val="395"/>
            <c:spPr>
              <a:solidFill>
                <a:srgbClr val="5EC41E"/>
              </a:solidFill>
            </c:spPr>
          </c:dPt>
          <c:dPt>
            <c:idx val="396"/>
            <c:spPr>
              <a:solidFill>
                <a:srgbClr val="E0F5CE"/>
              </a:solidFill>
            </c:spPr>
          </c:dPt>
          <c:dPt>
            <c:idx val="397"/>
            <c:spPr>
              <a:solidFill>
                <a:srgbClr val="8ACDD5"/>
              </a:solidFill>
            </c:spPr>
          </c:dPt>
          <c:dPt>
            <c:idx val="398"/>
            <c:spPr>
              <a:solidFill>
                <a:srgbClr val="4AEB6E"/>
              </a:solidFill>
            </c:spPr>
          </c:dPt>
          <c:dPt>
            <c:idx val="399"/>
            <c:spPr>
              <a:solidFill>
                <a:srgbClr val="E763A1"/>
              </a:solidFill>
            </c:spPr>
          </c:dPt>
          <c:dPt>
            <c:idx val="400"/>
            <c:spPr>
              <a:solidFill>
                <a:srgbClr val="FFB8A6"/>
              </a:solidFill>
            </c:spPr>
          </c:dPt>
          <c:dPt>
            <c:idx val="401"/>
            <c:spPr>
              <a:solidFill>
                <a:srgbClr val="95D82F"/>
              </a:solidFill>
            </c:spPr>
          </c:dPt>
          <c:dPt>
            <c:idx val="402"/>
            <c:spPr>
              <a:solidFill>
                <a:srgbClr val="1919D1"/>
              </a:solidFill>
            </c:spPr>
          </c:dPt>
          <c:dPt>
            <c:idx val="403"/>
            <c:spPr>
              <a:solidFill>
                <a:srgbClr val="900611"/>
              </a:solidFill>
            </c:spPr>
          </c:dPt>
          <c:dPt>
            <c:idx val="404"/>
            <c:spPr>
              <a:solidFill>
                <a:srgbClr val="4BFFB9"/>
              </a:solidFill>
            </c:spPr>
          </c:dPt>
          <c:dPt>
            <c:idx val="405"/>
            <c:spPr>
              <a:solidFill>
                <a:srgbClr val="247DD4"/>
              </a:solidFill>
            </c:spPr>
          </c:dPt>
          <c:dPt>
            <c:idx val="406"/>
            <c:spPr>
              <a:solidFill>
                <a:srgbClr val="FFE4F2"/>
              </a:solidFill>
            </c:spPr>
          </c:dPt>
          <c:dPt>
            <c:idx val="407"/>
            <c:spPr>
              <a:solidFill>
                <a:srgbClr val="CDEC40"/>
              </a:solidFill>
            </c:spPr>
          </c:dPt>
          <c:dPt>
            <c:idx val="408"/>
            <c:spPr>
              <a:solidFill>
                <a:srgbClr val="523ED4"/>
              </a:solidFill>
            </c:spPr>
          </c:dPt>
          <c:dPt>
            <c:idx val="409"/>
            <c:spPr>
              <a:solidFill>
                <a:srgbClr val="963E4E"/>
              </a:solidFill>
            </c:spPr>
          </c:dPt>
          <c:dPt>
            <c:idx val="410"/>
            <c:spPr>
              <a:solidFill>
                <a:srgbClr val="4D1304"/>
              </a:solidFill>
            </c:spPr>
          </c:dPt>
          <c:dPt>
            <c:idx val="411"/>
            <c:spPr>
              <a:solidFill>
                <a:srgbClr val="619708"/>
              </a:solidFill>
            </c:spPr>
          </c:dPt>
          <c:dPt>
            <c:idx val="412"/>
            <c:spPr>
              <a:solidFill>
                <a:srgbClr val="FF0F3F"/>
              </a:solidFill>
            </c:spPr>
          </c:dPt>
          <c:dPt>
            <c:idx val="413"/>
            <c:spPr>
              <a:solidFill>
                <a:srgbClr val="04FF51"/>
              </a:solidFill>
            </c:spPr>
          </c:dPt>
          <c:dPt>
            <c:idx val="414"/>
            <c:spPr>
              <a:solidFill>
                <a:srgbClr val="8A62D8"/>
              </a:solidFill>
            </c:spPr>
          </c:dPt>
          <c:dPt>
            <c:idx val="415"/>
            <c:spPr>
              <a:solidFill>
                <a:srgbClr val="9D778A"/>
              </a:solidFill>
            </c:spPr>
          </c:dPt>
          <c:dPt>
            <c:idx val="416"/>
            <c:spPr>
              <a:solidFill>
                <a:srgbClr val="4E2750"/>
              </a:solidFill>
            </c:spPr>
          </c:dPt>
          <c:dPt>
            <c:idx val="417"/>
            <c:spPr>
              <a:solidFill>
                <a:srgbClr val="9EB13B"/>
              </a:solidFill>
            </c:spPr>
          </c:dPt>
          <c:dPt>
            <c:idx val="418"/>
            <c:spPr>
              <a:solidFill>
                <a:srgbClr val="FF3B8B"/>
              </a:solidFill>
            </c:spPr>
          </c:dPt>
          <c:dPt>
            <c:idx val="419"/>
            <c:spPr>
              <a:solidFill>
                <a:srgbClr val="3C1362"/>
              </a:solidFill>
            </c:spPr>
          </c:dPt>
          <c:dPt>
            <c:idx val="420"/>
            <c:spPr>
              <a:solidFill>
                <a:srgbClr val="C387DB"/>
              </a:solidFill>
            </c:spPr>
          </c:dPt>
          <c:dPt>
            <c:idx val="421"/>
            <c:spPr>
              <a:solidFill>
                <a:srgbClr val="A3AFC7"/>
              </a:solidFill>
            </c:spPr>
          </c:dPt>
          <c:dPt>
            <c:idx val="422"/>
            <c:spPr>
              <a:solidFill>
                <a:srgbClr val="4F3B9B"/>
              </a:solidFill>
            </c:spPr>
          </c:dPt>
          <c:dPt>
            <c:idx val="423"/>
            <c:spPr>
              <a:solidFill>
                <a:srgbClr val="DBCB6F"/>
              </a:solidFill>
            </c:spPr>
          </c:dPt>
          <c:dPt>
            <c:idx val="424"/>
            <c:spPr>
              <a:solidFill>
                <a:srgbClr val="FF67D7"/>
              </a:solidFill>
            </c:spPr>
          </c:dPt>
          <c:dPt>
            <c:idx val="425"/>
            <c:spPr>
              <a:solidFill>
                <a:srgbClr val="732773"/>
              </a:solidFill>
            </c:spPr>
          </c:dPt>
          <c:dPt>
            <c:idx val="426"/>
            <c:spPr>
              <a:solidFill>
                <a:srgbClr val="FCACDE"/>
              </a:solidFill>
            </c:spPr>
          </c:dPt>
          <c:dPt>
            <c:idx val="427"/>
            <c:spPr>
              <a:solidFill>
                <a:srgbClr val="A9E704"/>
              </a:solidFill>
            </c:spPr>
          </c:dPt>
          <c:dPt>
            <c:idx val="428"/>
            <c:spPr>
              <a:solidFill>
                <a:srgbClr val="504FE6"/>
              </a:solidFill>
            </c:spPr>
          </c:dPt>
          <c:dPt>
            <c:idx val="429"/>
            <c:spPr>
              <a:solidFill>
                <a:srgbClr val="18E5A3"/>
              </a:solidFill>
            </c:spPr>
          </c:dPt>
          <c:dPt>
            <c:idx val="430"/>
            <c:spPr>
              <a:solidFill>
                <a:srgbClr val="FF9323"/>
              </a:solidFill>
            </c:spPr>
          </c:dPt>
          <c:dPt>
            <c:idx val="431"/>
            <c:spPr>
              <a:solidFill>
                <a:srgbClr val="AA3B84"/>
              </a:solidFill>
            </c:spPr>
          </c:dPt>
          <c:dPt>
            <c:idx val="432"/>
            <c:spPr>
              <a:solidFill>
                <a:srgbClr val="34D0E2"/>
              </a:solidFill>
            </c:spPr>
          </c:dPt>
          <c:dPt>
            <c:idx val="433"/>
            <c:spPr>
              <a:solidFill>
                <a:srgbClr val="B02040"/>
              </a:solidFill>
            </c:spPr>
          </c:dPt>
          <c:dPt>
            <c:idx val="434"/>
            <c:spPr>
              <a:solidFill>
                <a:srgbClr val="516332"/>
              </a:solidFill>
            </c:spPr>
          </c:dPt>
          <c:dPt>
            <c:idx val="435"/>
            <c:spPr>
              <a:solidFill>
                <a:srgbClr val="55FFD6"/>
              </a:solidFill>
            </c:spPr>
          </c:dPt>
          <c:dPt>
            <c:idx val="436"/>
            <c:spPr>
              <a:solidFill>
                <a:srgbClr val="FFBF6F"/>
              </a:solidFill>
            </c:spPr>
          </c:dPt>
          <c:dPt>
            <c:idx val="437"/>
            <c:spPr>
              <a:solidFill>
                <a:srgbClr val="E24F95"/>
              </a:solidFill>
            </c:spPr>
          </c:dPt>
          <c:dPt>
            <c:idx val="438"/>
            <c:spPr>
              <a:solidFill>
                <a:srgbClr val="6DF5E5"/>
              </a:solidFill>
            </c:spPr>
          </c:dPt>
          <c:dPt>
            <c:idx val="439"/>
            <c:spPr>
              <a:solidFill>
                <a:srgbClr val="B6587D"/>
              </a:solidFill>
            </c:spPr>
          </c:dPt>
          <c:dPt>
            <c:idx val="440"/>
            <c:spPr>
              <a:solidFill>
                <a:srgbClr val="53777D"/>
              </a:solidFill>
            </c:spPr>
          </c:dPt>
          <c:dPt>
            <c:idx val="441"/>
            <c:spPr>
              <a:solidFill>
                <a:srgbClr val="92190A"/>
              </a:solidFill>
            </c:spPr>
          </c:dPt>
          <c:dPt>
            <c:idx val="442"/>
            <c:spPr>
              <a:solidFill>
                <a:srgbClr val="FFEABC"/>
              </a:solidFill>
            </c:spPr>
          </c:dPt>
          <c:dPt>
            <c:idx val="443"/>
            <c:spPr>
              <a:solidFill>
                <a:srgbClr val="1A62A6"/>
              </a:solidFill>
            </c:spPr>
          </c:dPt>
          <c:dPt>
            <c:idx val="444"/>
            <c:spPr>
              <a:solidFill>
                <a:srgbClr val="A619E8"/>
              </a:solidFill>
            </c:spPr>
          </c:dPt>
          <c:dPt>
            <c:idx val="445"/>
            <c:spPr>
              <a:solidFill>
                <a:srgbClr val="BC91B9"/>
              </a:solidFill>
            </c:spPr>
          </c:dPt>
          <c:dPt>
            <c:idx val="446"/>
            <c:spPr>
              <a:solidFill>
                <a:srgbClr val="548BC8"/>
              </a:solidFill>
            </c:spPr>
          </c:dPt>
          <c:dPt>
            <c:idx val="447"/>
            <c:spPr>
              <a:solidFill>
                <a:srgbClr val="CF333D"/>
              </a:solidFill>
            </c:spPr>
          </c:dPt>
          <c:dPt>
            <c:idx val="448"/>
            <c:spPr>
              <a:solidFill>
                <a:srgbClr val="FF1608"/>
              </a:solidFill>
            </c:spPr>
          </c:dPt>
          <c:dPt>
            <c:idx val="449"/>
            <c:spPr>
              <a:solidFill>
                <a:srgbClr val="5176B7"/>
              </a:solidFill>
            </c:spPr>
          </c:dPt>
          <c:dPt>
            <c:idx val="450"/>
            <c:spPr>
              <a:solidFill>
                <a:srgbClr val="DF3EEC"/>
              </a:solidFill>
            </c:spPr>
          </c:dPt>
          <c:dPt>
            <c:idx val="451"/>
            <c:spPr>
              <a:solidFill>
                <a:srgbClr val="C3C9F6"/>
              </a:solidFill>
            </c:spPr>
          </c:dPt>
          <c:dPt>
            <c:idx val="452"/>
            <c:spPr>
              <a:solidFill>
                <a:srgbClr val="55A014"/>
              </a:solidFill>
            </c:spPr>
          </c:dPt>
          <c:dPt>
            <c:idx val="453"/>
            <c:spPr>
              <a:solidFill>
                <a:srgbClr val="0C4E71"/>
              </a:solidFill>
            </c:spPr>
          </c:dPt>
          <c:dPt>
            <c:idx val="454"/>
            <c:spPr>
              <a:solidFill>
                <a:srgbClr val="FF4254"/>
              </a:solidFill>
            </c:spPr>
          </c:dPt>
          <c:dPt>
            <c:idx val="455"/>
            <c:spPr>
              <a:solidFill>
                <a:srgbClr val="898AC9"/>
              </a:solidFill>
            </c:spPr>
          </c:dPt>
          <c:dPt>
            <c:idx val="456"/>
            <c:spPr>
              <a:solidFill>
                <a:srgbClr val="1763EF"/>
              </a:solidFill>
            </c:spPr>
          </c:dPt>
          <c:dPt>
            <c:idx val="457"/>
            <c:spPr>
              <a:solidFill>
                <a:srgbClr val="C90133"/>
              </a:solidFill>
            </c:spPr>
          </c:dPt>
          <c:dPt>
            <c:idx val="458"/>
            <c:spPr>
              <a:solidFill>
                <a:srgbClr val="56B45F"/>
              </a:solidFill>
            </c:spPr>
          </c:dPt>
          <c:dPt>
            <c:idx val="459"/>
            <c:spPr>
              <a:solidFill>
                <a:srgbClr val="4868A5"/>
              </a:solidFill>
            </c:spPr>
          </c:dPt>
          <c:dPt>
            <c:idx val="460"/>
            <c:spPr>
              <a:solidFill>
                <a:srgbClr val="FF6EA0"/>
              </a:solidFill>
            </c:spPr>
          </c:dPt>
          <c:dPt>
            <c:idx val="461"/>
            <c:spPr>
              <a:solidFill>
                <a:srgbClr val="C09EDA"/>
              </a:solidFill>
            </c:spPr>
          </c:dPt>
          <c:dPt>
            <c:idx val="462"/>
            <c:spPr>
              <a:solidFill>
                <a:srgbClr val="5087F2"/>
              </a:solidFill>
            </c:spPr>
          </c:dPt>
          <c:dPt>
            <c:idx val="463"/>
            <c:spPr>
              <a:solidFill>
                <a:srgbClr val="CF3A6F"/>
              </a:solidFill>
            </c:spPr>
          </c:dPt>
          <c:dPt>
            <c:idx val="464"/>
            <c:spPr>
              <a:solidFill>
                <a:srgbClr val="57C8AA"/>
              </a:solidFill>
            </c:spPr>
          </c:dPt>
          <c:dPt>
            <c:idx val="465"/>
            <c:spPr>
              <a:solidFill>
                <a:srgbClr val="8582D8"/>
              </a:solidFill>
            </c:spPr>
          </c:dPt>
          <c:dPt>
            <c:idx val="466"/>
            <c:spPr>
              <a:solidFill>
                <a:srgbClr val="FF9AEC"/>
              </a:solidFill>
            </c:spPr>
          </c:dPt>
          <c:dPt>
            <c:idx val="467"/>
            <c:spPr>
              <a:solidFill>
                <a:srgbClr val="F8B2EB"/>
              </a:solidFill>
            </c:spPr>
          </c:dPt>
          <c:dPt>
            <c:idx val="468"/>
            <c:spPr>
              <a:solidFill>
                <a:srgbClr val="89ACF5"/>
              </a:solidFill>
            </c:spPr>
          </c:dPt>
          <c:dPt>
            <c:idx val="469"/>
            <c:spPr>
              <a:solidFill>
                <a:srgbClr val="D572AC"/>
              </a:solidFill>
            </c:spPr>
          </c:dPt>
          <c:dPt>
            <c:idx val="470"/>
            <c:spPr>
              <a:solidFill>
                <a:srgbClr val="59DCF5"/>
              </a:solidFill>
            </c:spPr>
          </c:dPt>
          <c:dPt>
            <c:idx val="471"/>
            <c:spPr>
              <a:solidFill>
                <a:srgbClr val="C29C0C"/>
              </a:solidFill>
            </c:spPr>
          </c:dPt>
          <c:dPt>
            <c:idx val="472"/>
            <c:spPr>
              <a:solidFill>
                <a:srgbClr val="FFC539"/>
              </a:solidFill>
            </c:spPr>
          </c:dPt>
          <c:dPt>
            <c:idx val="473"/>
            <c:spPr>
              <a:solidFill>
                <a:srgbClr val="2FC5FC"/>
              </a:solidFill>
            </c:spPr>
          </c:dPt>
          <c:dPt>
            <c:idx val="474"/>
            <c:spPr>
              <a:solidFill>
                <a:srgbClr val="C1D0F9"/>
              </a:solidFill>
            </c:spPr>
          </c:dPt>
          <c:dPt>
            <c:idx val="475"/>
            <c:spPr>
              <a:solidFill>
                <a:srgbClr val="DCABE8"/>
              </a:solidFill>
            </c:spPr>
          </c:dPt>
          <c:dPt>
            <c:idx val="476"/>
            <c:spPr>
              <a:solidFill>
                <a:srgbClr val="5AF041"/>
              </a:solidFill>
            </c:spPr>
          </c:dPt>
          <c:dPt>
            <c:idx val="477"/>
            <c:spPr>
              <a:solidFill>
                <a:srgbClr val="FFB63F"/>
              </a:solidFill>
            </c:spPr>
          </c:dPt>
          <c:dPt>
            <c:idx val="478"/>
            <c:spPr>
              <a:solidFill>
                <a:srgbClr val="FFF185"/>
              </a:solidFill>
            </c:spPr>
          </c:dPt>
          <c:dPt>
            <c:idx val="479"/>
            <c:spPr>
              <a:solidFill>
                <a:srgbClr val="67D90D"/>
              </a:solidFill>
            </c:spPr>
          </c:dPt>
          <c:dPt>
            <c:idx val="480"/>
            <c:spPr>
              <a:solidFill>
                <a:srgbClr val="FAF5FC"/>
              </a:solidFill>
            </c:spPr>
          </c:dPt>
          <c:dPt>
            <c:idx val="481"/>
            <c:spPr>
              <a:solidFill>
                <a:srgbClr val="E2E325"/>
              </a:solidFill>
            </c:spPr>
          </c:dPt>
          <c:dPt>
            <c:idx val="482"/>
            <c:spPr>
              <a:solidFill>
                <a:srgbClr val="5B048C"/>
              </a:solidFill>
            </c:spPr>
          </c:dPt>
          <c:dPt>
            <c:idx val="483"/>
            <c:spPr>
              <a:solidFill>
                <a:srgbClr val="3CD073"/>
              </a:solidFill>
            </c:spPr>
          </c:dPt>
          <c:dPt>
            <c:idx val="484"/>
            <c:spPr>
              <a:solidFill>
                <a:srgbClr val="FF1DD1"/>
              </a:solidFill>
            </c:spPr>
          </c:dPt>
          <c:dPt>
            <c:idx val="485"/>
            <c:spPr>
              <a:solidFill>
                <a:srgbClr val="9EED1E"/>
              </a:solidFill>
            </c:spPr>
          </c:dPt>
          <c:dPt>
            <c:idx val="486"/>
            <c:spPr>
              <a:solidFill>
                <a:srgbClr val="331AFF"/>
              </a:solidFill>
            </c:spPr>
          </c:dPt>
          <c:dPt>
            <c:idx val="487"/>
            <c:spPr>
              <a:solidFill>
                <a:srgbClr val="E81B62"/>
              </a:solidFill>
            </c:spPr>
          </c:dPt>
          <c:dPt>
            <c:idx val="488"/>
            <c:spPr>
              <a:solidFill>
                <a:srgbClr val="5C18D7"/>
              </a:solidFill>
            </c:spPr>
          </c:dPt>
          <c:dPt>
            <c:idx val="489"/>
            <c:spPr>
              <a:solidFill>
                <a:srgbClr val="79EAA7"/>
              </a:solidFill>
            </c:spPr>
          </c:dPt>
          <c:dPt>
            <c:idx val="490"/>
            <c:spPr>
              <a:solidFill>
                <a:srgbClr val="FF491D"/>
              </a:solidFill>
            </c:spPr>
          </c:dPt>
          <c:dPt>
            <c:idx val="491"/>
            <c:spPr>
              <a:solidFill>
                <a:srgbClr val="D6012F"/>
              </a:solidFill>
            </c:spPr>
          </c:dPt>
          <c:dPt>
            <c:idx val="492"/>
            <c:spPr>
              <a:solidFill>
                <a:srgbClr val="6B3E03"/>
              </a:solidFill>
            </c:spPr>
          </c:dPt>
          <c:dPt>
            <c:idx val="493"/>
            <c:spPr>
              <a:solidFill>
                <a:srgbClr val="EF549E"/>
              </a:solidFill>
            </c:spPr>
          </c:dPt>
          <c:dPt>
            <c:idx val="494"/>
            <c:spPr>
              <a:solidFill>
                <a:srgbClr val="5D2C23"/>
              </a:solidFill>
            </c:spPr>
          </c:dPt>
          <c:dPt>
            <c:idx val="495"/>
            <c:spPr>
              <a:solidFill>
                <a:srgbClr val="B604DA"/>
              </a:solidFill>
            </c:spPr>
          </c:dPt>
          <c:dPt>
            <c:idx val="496"/>
            <c:spPr>
              <a:solidFill>
                <a:srgbClr val="FF7569"/>
              </a:solidFill>
            </c:spPr>
          </c:dPt>
          <c:dPt>
            <c:idx val="497"/>
            <c:spPr>
              <a:solidFill>
                <a:srgbClr val="0D1540"/>
              </a:solidFill>
            </c:spPr>
          </c:dPt>
          <c:dPt>
            <c:idx val="498"/>
            <c:spPr>
              <a:solidFill>
                <a:srgbClr val="A46306"/>
              </a:solidFill>
            </c:spPr>
          </c:dPt>
          <c:dPt>
            <c:idx val="499"/>
            <c:spPr>
              <a:solidFill>
                <a:srgbClr val="F58CDB"/>
              </a:solidFill>
            </c:spPr>
          </c:dPt>
          <c:dPt>
            <c:idx val="500"/>
            <c:spPr>
              <a:solidFill>
                <a:srgbClr val="5F406E"/>
              </a:solidFill>
            </c:spPr>
          </c:dPt>
          <c:dPt>
            <c:idx val="501"/>
            <c:spPr>
              <a:solidFill>
                <a:srgbClr val="F31E0E"/>
              </a:solidFill>
            </c:spPr>
          </c:dPt>
          <c:dPt>
            <c:idx val="502"/>
            <c:spPr>
              <a:solidFill>
                <a:srgbClr val="FFA0B6"/>
              </a:solidFill>
            </c:spPr>
          </c:dPt>
          <c:dPt>
            <c:idx val="503"/>
            <c:spPr>
              <a:solidFill>
                <a:srgbClr val="452851"/>
              </a:solidFill>
            </c:spPr>
          </c:dPt>
          <c:dPt>
            <c:idx val="504"/>
            <c:spPr>
              <a:solidFill>
                <a:srgbClr val="DD8709"/>
              </a:solidFill>
            </c:spPr>
          </c:dPt>
          <c:dPt>
            <c:idx val="505"/>
            <c:spPr>
              <a:solidFill>
                <a:srgbClr val="FBC517"/>
              </a:solidFill>
            </c:spPr>
          </c:dPt>
          <c:dPt>
            <c:idx val="506"/>
            <c:spPr>
              <a:solidFill>
                <a:srgbClr val="6054B9"/>
              </a:solidFill>
            </c:spPr>
          </c:dPt>
          <c:dPt>
            <c:idx val="507"/>
            <c:spPr>
              <a:solidFill>
                <a:srgbClr val="303841"/>
              </a:solidFill>
            </c:spPr>
          </c:dPt>
          <c:dPt>
            <c:idx val="508"/>
            <c:spPr>
              <a:solidFill>
                <a:srgbClr val="FFCC02"/>
              </a:solidFill>
            </c:spPr>
          </c:dPt>
          <c:dPt>
            <c:idx val="509"/>
            <c:spPr>
              <a:solidFill>
                <a:srgbClr val="7C3C62"/>
              </a:solidFill>
            </c:spPr>
          </c:dPt>
          <c:dPt>
            <c:idx val="510"/>
            <c:spPr>
              <a:solidFill>
                <a:srgbClr val="16AC0D"/>
              </a:solidFill>
            </c:spPr>
          </c:dPt>
          <c:dPt>
            <c:idx val="511"/>
            <c:spPr>
              <a:solidFill>
                <a:srgbClr val="02FD54"/>
              </a:solidFill>
            </c:spPr>
          </c:dPt>
          <c:dPt>
            <c:idx val="512"/>
            <c:spPr>
              <a:solidFill>
                <a:srgbClr val="616905"/>
              </a:solidFill>
            </c:spPr>
          </c:dPt>
          <c:dPt>
            <c:idx val="513"/>
            <c:spPr>
              <a:solidFill>
                <a:srgbClr val="6D5375"/>
              </a:solidFill>
            </c:spPr>
          </c:dPt>
          <c:dPt>
            <c:idx val="514"/>
            <c:spPr>
              <a:solidFill>
                <a:srgbClr val="FFF84E"/>
              </a:solidFill>
            </c:spPr>
          </c:dPt>
          <c:dPt>
            <c:idx val="515"/>
            <c:spPr>
              <a:solidFill>
                <a:srgbClr val="B45074"/>
              </a:solidFill>
            </c:spPr>
          </c:dPt>
          <c:dPt>
            <c:idx val="516"/>
            <c:spPr>
              <a:solidFill>
                <a:srgbClr val="4ED110"/>
              </a:solidFill>
            </c:spPr>
          </c:dPt>
          <c:dPt>
            <c:idx val="517"/>
            <c:spPr>
              <a:solidFill>
                <a:srgbClr val="083591"/>
              </a:solidFill>
            </c:spPr>
          </c:dPt>
          <c:dPt>
            <c:idx val="518"/>
            <c:spPr>
              <a:solidFill>
                <a:srgbClr val="627D50"/>
              </a:solidFill>
            </c:spPr>
          </c:dPt>
          <c:dPt>
            <c:idx val="519"/>
            <c:spPr>
              <a:solidFill>
                <a:srgbClr val="A96DA9"/>
              </a:solidFill>
            </c:spPr>
          </c:dPt>
          <c:dPt>
            <c:idx val="520"/>
            <c:spPr>
              <a:solidFill>
                <a:srgbClr val="FF249A"/>
              </a:solidFill>
            </c:spPr>
          </c:dPt>
          <c:dPt>
            <c:idx val="521"/>
            <c:spPr>
              <a:solidFill>
                <a:srgbClr val="EB6485"/>
              </a:solidFill>
            </c:spPr>
          </c:dPt>
          <c:dPt>
            <c:idx val="522"/>
            <c:spPr>
              <a:solidFill>
                <a:srgbClr val="87F513"/>
              </a:solidFill>
            </c:spPr>
          </c:dPt>
          <c:dPt>
            <c:idx val="523"/>
            <c:spPr>
              <a:solidFill>
                <a:srgbClr val="0E6ECD"/>
              </a:solidFill>
            </c:spPr>
          </c:dPt>
          <c:dPt>
            <c:idx val="524"/>
            <c:spPr>
              <a:solidFill>
                <a:srgbClr val="63919B"/>
              </a:solidFill>
            </c:spPr>
          </c:dPt>
          <c:dPt>
            <c:idx val="525"/>
            <c:spPr>
              <a:solidFill>
                <a:srgbClr val="E687DC"/>
              </a:solidFill>
            </c:spPr>
          </c:dPt>
          <c:dPt>
            <c:idx val="526"/>
            <c:spPr>
              <a:solidFill>
                <a:srgbClr val="FF50E6"/>
              </a:solidFill>
            </c:spPr>
          </c:dPt>
          <c:dPt>
            <c:idx val="527"/>
            <c:spPr>
              <a:solidFill>
                <a:srgbClr val="237896"/>
              </a:solidFill>
            </c:spPr>
          </c:dPt>
          <c:dPt>
            <c:idx val="528"/>
            <c:spPr>
              <a:solidFill>
                <a:srgbClr val="C01A16"/>
              </a:solidFill>
            </c:spPr>
          </c:dPt>
          <c:dPt>
            <c:idx val="529"/>
            <c:spPr>
              <a:solidFill>
                <a:srgbClr val="14A60A"/>
              </a:solidFill>
            </c:spPr>
          </c:dPt>
          <c:dPt>
            <c:idx val="530"/>
            <c:spPr>
              <a:solidFill>
                <a:srgbClr val="65A5E6"/>
              </a:solidFill>
            </c:spPr>
          </c:dPt>
          <c:dPt>
            <c:idx val="531"/>
            <c:spPr>
              <a:solidFill>
                <a:srgbClr val="23A110"/>
              </a:solidFill>
            </c:spPr>
          </c:dPt>
          <c:dPt>
            <c:idx val="532"/>
            <c:spPr>
              <a:solidFill>
                <a:srgbClr val="FF7B33"/>
              </a:solidFill>
            </c:spPr>
          </c:dPt>
          <c:dPt>
            <c:idx val="533"/>
            <c:spPr>
              <a:solidFill>
                <a:srgbClr val="5A8BA7"/>
              </a:solidFill>
            </c:spPr>
          </c:dPt>
          <c:dPt>
            <c:idx val="534"/>
            <c:spPr>
              <a:solidFill>
                <a:srgbClr val="F83E1A"/>
              </a:solidFill>
            </c:spPr>
          </c:dPt>
          <c:dPt>
            <c:idx val="535"/>
            <c:spPr>
              <a:solidFill>
                <a:srgbClr val="1BDF46"/>
              </a:solidFill>
            </c:spPr>
          </c:dPt>
          <c:dPt>
            <c:idx val="536"/>
            <c:spPr>
              <a:solidFill>
                <a:srgbClr val="66B932"/>
              </a:solidFill>
            </c:spPr>
          </c:dPt>
          <c:dPt>
            <c:idx val="537"/>
            <c:spPr>
              <a:solidFill>
                <a:srgbClr val="60BB43"/>
              </a:solidFill>
            </c:spPr>
          </c:dPt>
          <c:dPt>
            <c:idx val="538"/>
            <c:spPr>
              <a:solidFill>
                <a:srgbClr val="FFA77F"/>
              </a:solidFill>
            </c:spPr>
          </c:dPt>
          <c:dPt>
            <c:idx val="539"/>
            <c:spPr>
              <a:solidFill>
                <a:srgbClr val="929FB8"/>
              </a:solidFill>
            </c:spPr>
          </c:dPt>
          <c:dPt>
            <c:idx val="540"/>
            <c:spPr>
              <a:solidFill>
                <a:srgbClr val="31631D"/>
              </a:solidFill>
            </c:spPr>
          </c:dPt>
          <c:dPt>
            <c:idx val="541"/>
            <c:spPr>
              <a:solidFill>
                <a:srgbClr val="211783"/>
              </a:solidFill>
            </c:spPr>
          </c:dPt>
          <c:dPt>
            <c:idx val="542"/>
            <c:spPr>
              <a:solidFill>
                <a:srgbClr val="67CD7D"/>
              </a:solidFill>
            </c:spPr>
          </c:dPt>
          <c:dPt>
            <c:idx val="543"/>
            <c:spPr>
              <a:solidFill>
                <a:srgbClr val="9DD577"/>
              </a:solidFill>
            </c:spPr>
          </c:dPt>
          <c:dPt>
            <c:idx val="544"/>
            <c:spPr>
              <a:solidFill>
                <a:srgbClr val="FFD3CB"/>
              </a:solidFill>
            </c:spPr>
          </c:dPt>
          <c:dPt>
            <c:idx val="545"/>
            <c:spPr>
              <a:solidFill>
                <a:srgbClr val="C9B3C9"/>
              </a:solidFill>
            </c:spPr>
          </c:dPt>
          <c:dPt>
            <c:idx val="546"/>
            <c:spPr>
              <a:solidFill>
                <a:srgbClr val="6A8820"/>
              </a:solidFill>
            </c:spPr>
          </c:dPt>
          <c:dPt>
            <c:idx val="547"/>
            <c:spPr>
              <a:solidFill>
                <a:srgbClr val="274FC0"/>
              </a:solidFill>
            </c:spPr>
          </c:dPt>
          <c:dPt>
            <c:idx val="548"/>
            <c:spPr>
              <a:solidFill>
                <a:srgbClr val="68E1C8"/>
              </a:solidFill>
            </c:spPr>
          </c:dPt>
          <c:dPt>
            <c:idx val="549"/>
            <c:spPr>
              <a:solidFill>
                <a:srgbClr val="DAEFAB"/>
              </a:solidFill>
            </c:spPr>
          </c:dPt>
          <c:dPt>
            <c:idx val="550"/>
            <c:spPr>
              <a:solidFill>
                <a:srgbClr val="FFFF17"/>
              </a:solidFill>
            </c:spPr>
          </c:dPt>
          <c:dPt>
            <c:idx val="551"/>
            <c:spPr>
              <a:solidFill>
                <a:srgbClr val="01C7DA"/>
              </a:solidFill>
            </c:spPr>
          </c:dPt>
          <c:dPt>
            <c:idx val="552"/>
            <c:spPr>
              <a:solidFill>
                <a:srgbClr val="A2AC24"/>
              </a:solidFill>
            </c:spPr>
          </c:dPt>
          <c:dPt>
            <c:idx val="553"/>
            <c:spPr>
              <a:solidFill>
                <a:srgbClr val="2E88FC"/>
              </a:solidFill>
            </c:spPr>
          </c:dPt>
          <c:dPt>
            <c:idx val="554"/>
            <c:spPr>
              <a:solidFill>
                <a:srgbClr val="69F514"/>
              </a:solidFill>
            </c:spPr>
          </c:dPt>
          <c:dPt>
            <c:idx val="555"/>
            <c:spPr>
              <a:solidFill>
                <a:srgbClr val="1709DE"/>
              </a:solidFill>
            </c:spPr>
          </c:dPt>
          <c:dPt>
            <c:idx val="556"/>
            <c:spPr>
              <a:solidFill>
                <a:srgbClr val="FF2B63"/>
              </a:solidFill>
            </c:spPr>
          </c:dPt>
          <c:dPt>
            <c:idx val="557"/>
            <c:spPr>
              <a:solidFill>
                <a:srgbClr val="38DBEB"/>
              </a:solidFill>
            </c:spPr>
          </c:dPt>
          <c:dPt>
            <c:idx val="558"/>
            <c:spPr>
              <a:solidFill>
                <a:srgbClr val="DBD127"/>
              </a:solidFill>
            </c:spPr>
          </c:dPt>
          <c:dPt>
            <c:idx val="559"/>
            <c:spPr>
              <a:solidFill>
                <a:srgbClr val="34C039"/>
              </a:solidFill>
            </c:spPr>
          </c:dPt>
          <c:dPt>
            <c:idx val="560"/>
            <c:spPr>
              <a:solidFill>
                <a:srgbClr val="6B095F"/>
              </a:solidFill>
            </c:spPr>
          </c:dPt>
          <c:dPt>
            <c:idx val="561"/>
            <c:spPr>
              <a:solidFill>
                <a:srgbClr val="542312"/>
              </a:solidFill>
            </c:spPr>
          </c:dPt>
          <c:dPt>
            <c:idx val="562"/>
            <c:spPr>
              <a:solidFill>
                <a:srgbClr val="FF56B0"/>
              </a:solidFill>
            </c:spPr>
          </c:dPt>
          <c:dPt>
            <c:idx val="563"/>
            <c:spPr>
              <a:solidFill>
                <a:srgbClr val="70EEFC"/>
              </a:solidFill>
            </c:spPr>
          </c:dPt>
          <c:dPt>
            <c:idx val="564"/>
            <c:spPr>
              <a:solidFill>
                <a:srgbClr val="14F52A"/>
              </a:solidFill>
            </c:spPr>
          </c:dPt>
          <c:dPt>
            <c:idx val="565"/>
            <c:spPr>
              <a:solidFill>
                <a:srgbClr val="3AF975"/>
              </a:solidFill>
            </c:spPr>
          </c:dPt>
          <c:dPt>
            <c:idx val="566"/>
            <c:spPr>
              <a:solidFill>
                <a:srgbClr val="6C1DAA"/>
              </a:solidFill>
            </c:spPr>
          </c:dPt>
          <c:dPt>
            <c:idx val="567"/>
            <c:spPr>
              <a:solidFill>
                <a:srgbClr val="913D45"/>
              </a:solidFill>
            </c:spPr>
          </c:dPt>
          <c:dPt>
            <c:idx val="568"/>
            <c:spPr>
              <a:solidFill>
                <a:srgbClr val="FF82FC"/>
              </a:solidFill>
            </c:spPr>
          </c:dPt>
          <c:dPt>
            <c:idx val="569"/>
            <c:spPr>
              <a:solidFill>
                <a:srgbClr val="A7020D"/>
              </a:solidFill>
            </c:spPr>
          </c:dPt>
          <c:dPt>
            <c:idx val="570"/>
            <c:spPr>
              <a:solidFill>
                <a:srgbClr val="4D1A2E"/>
              </a:solidFill>
            </c:spPr>
          </c:dPt>
          <c:dPt>
            <c:idx val="571"/>
            <c:spPr>
              <a:solidFill>
                <a:srgbClr val="4131B2"/>
              </a:solidFill>
            </c:spPr>
          </c:dPt>
          <c:dPt>
            <c:idx val="572"/>
            <c:spPr>
              <a:solidFill>
                <a:srgbClr val="6D32F6"/>
              </a:solidFill>
            </c:spPr>
          </c:dPt>
          <c:dPt>
            <c:idx val="573"/>
            <c:spPr>
              <a:solidFill>
                <a:srgbClr val="CE5879"/>
              </a:solidFill>
            </c:spPr>
          </c:dPt>
          <c:dPt>
            <c:idx val="574"/>
            <c:spPr>
              <a:solidFill>
                <a:srgbClr val="FFAE48"/>
              </a:solidFill>
            </c:spPr>
          </c:dPt>
          <c:dPt>
            <c:idx val="575"/>
            <c:spPr>
              <a:solidFill>
                <a:srgbClr val="DF161F"/>
              </a:solidFill>
            </c:spPr>
          </c:dPt>
          <c:dPt>
            <c:idx val="576"/>
            <c:spPr>
              <a:solidFill>
                <a:srgbClr val="853F31"/>
              </a:solidFill>
            </c:spPr>
          </c:dPt>
          <c:dPt>
            <c:idx val="577"/>
            <c:spPr>
              <a:solidFill>
                <a:srgbClr val="4769EF"/>
              </a:solidFill>
            </c:spPr>
          </c:dPt>
          <c:dPt>
            <c:idx val="578"/>
            <c:spPr>
              <a:solidFill>
                <a:srgbClr val="6E4641"/>
              </a:solidFill>
            </c:spPr>
          </c:dPt>
          <c:dPt>
            <c:idx val="579"/>
            <c:spPr>
              <a:solidFill>
                <a:srgbClr val="0A72AD"/>
              </a:solidFill>
            </c:spPr>
          </c:dPt>
          <c:dPt>
            <c:idx val="580"/>
            <c:spPr>
              <a:solidFill>
                <a:srgbClr val="FFDA94"/>
              </a:solidFill>
            </c:spPr>
          </c:dPt>
          <c:dPt>
            <c:idx val="581"/>
            <c:spPr>
              <a:solidFill>
                <a:srgbClr val="162A30"/>
              </a:solidFill>
            </c:spPr>
          </c:dPt>
          <c:dPt>
            <c:idx val="582"/>
            <c:spPr>
              <a:solidFill>
                <a:srgbClr val="BE6334"/>
              </a:solidFill>
            </c:spPr>
          </c:dPt>
          <c:dPt>
            <c:idx val="583"/>
            <c:spPr>
              <a:solidFill>
                <a:srgbClr val="4DA22B"/>
              </a:solidFill>
            </c:spPr>
          </c:dPt>
          <c:dPt>
            <c:idx val="584"/>
            <c:spPr>
              <a:solidFill>
                <a:srgbClr val="6F5A8C"/>
              </a:solidFill>
            </c:spPr>
          </c:dPt>
          <c:dPt>
            <c:idx val="585"/>
            <c:spPr>
              <a:solidFill>
                <a:srgbClr val="478CE0"/>
              </a:solidFill>
            </c:spPr>
          </c:dPt>
          <c:dPt>
            <c:idx val="586"/>
            <c:spPr>
              <a:solidFill>
                <a:srgbClr val="FF06E0"/>
              </a:solidFill>
            </c:spPr>
          </c:dPt>
          <c:dPt>
            <c:idx val="587"/>
            <c:spPr>
              <a:solidFill>
                <a:srgbClr val="4E3E41"/>
              </a:solidFill>
            </c:spPr>
          </c:dPt>
          <c:dPt>
            <c:idx val="588"/>
            <c:spPr>
              <a:solidFill>
                <a:srgbClr val="F78837"/>
              </a:solidFill>
            </c:spPr>
          </c:dPt>
          <c:dPt>
            <c:idx val="589"/>
            <c:spPr>
              <a:solidFill>
                <a:srgbClr val="53DA68"/>
              </a:solidFill>
            </c:spPr>
          </c:dPt>
          <c:dPt>
            <c:idx val="590"/>
            <c:spPr>
              <a:solidFill>
                <a:srgbClr val="716ED7"/>
              </a:solidFill>
            </c:spPr>
          </c:dPt>
          <c:dPt>
            <c:idx val="591"/>
            <c:spPr>
              <a:solidFill>
                <a:srgbClr val="84A614"/>
              </a:solidFill>
            </c:spPr>
          </c:dPt>
          <c:dPt>
            <c:idx val="592"/>
            <c:spPr>
              <a:solidFill>
                <a:srgbClr val="FF312D"/>
              </a:solidFill>
            </c:spPr>
          </c:dPt>
          <c:dPt>
            <c:idx val="593"/>
            <c:spPr>
              <a:solidFill>
                <a:srgbClr val="855152"/>
              </a:solidFill>
            </c:spPr>
          </c:dPt>
          <c:dPt>
            <c:idx val="594"/>
            <c:spPr>
              <a:solidFill>
                <a:srgbClr val="2FAC3B"/>
              </a:solidFill>
            </c:spPr>
          </c:dPt>
          <c:dPt>
            <c:idx val="595"/>
            <c:spPr>
              <a:solidFill>
                <a:srgbClr val="5A13A4"/>
              </a:solidFill>
            </c:spPr>
          </c:dPt>
          <c:dPt>
            <c:idx val="596"/>
            <c:spPr>
              <a:solidFill>
                <a:srgbClr val="728223"/>
              </a:solidFill>
            </c:spPr>
          </c:dPt>
          <c:dPt>
            <c:idx val="597"/>
            <c:spPr>
              <a:solidFill>
                <a:srgbClr val="C1C047"/>
              </a:solidFill>
            </c:spPr>
          </c:dPt>
          <c:dPt>
            <c:idx val="598"/>
            <c:spPr>
              <a:solidFill>
                <a:srgbClr val="FF5D79"/>
              </a:solidFill>
            </c:spPr>
          </c:dPt>
          <c:dPt>
            <c:idx val="599"/>
            <c:spPr>
              <a:solidFill>
                <a:srgbClr val="BD6563"/>
              </a:solidFill>
            </c:spPr>
          </c:dPt>
          <c:dPt>
            <c:idx val="600"/>
            <c:spPr>
              <a:solidFill>
                <a:srgbClr val="68D13E"/>
              </a:solidFill>
            </c:spPr>
          </c:dPt>
          <c:dPt>
            <c:idx val="601"/>
            <c:spPr>
              <a:solidFill>
                <a:srgbClr val="604BE1"/>
              </a:solidFill>
            </c:spPr>
          </c:dPt>
          <c:dPt>
            <c:idx val="602"/>
            <c:spPr>
              <a:solidFill>
                <a:srgbClr val="73966E"/>
              </a:solidFill>
            </c:spPr>
          </c:dPt>
          <c:dPt>
            <c:idx val="603"/>
            <c:spPr>
              <a:solidFill>
                <a:srgbClr val="FEDA7B"/>
              </a:solidFill>
            </c:spPr>
          </c:dPt>
          <c:dPt>
            <c:idx val="604"/>
            <c:spPr>
              <a:solidFill>
                <a:srgbClr val="FF89C5"/>
              </a:solidFill>
            </c:spPr>
          </c:dPt>
          <c:dPt>
            <c:idx val="605"/>
            <c:spPr>
              <a:solidFill>
                <a:srgbClr val="F47974"/>
              </a:solidFill>
            </c:spPr>
          </c:dPt>
          <c:dPt>
            <c:idx val="606"/>
            <c:spPr>
              <a:solidFill>
                <a:srgbClr val="A1F641"/>
              </a:solidFill>
            </c:spPr>
          </c:dPt>
          <c:dPt>
            <c:idx val="607"/>
            <c:spPr>
              <a:solidFill>
                <a:srgbClr val="66831E"/>
              </a:solidFill>
            </c:spPr>
          </c:dPt>
          <c:dPt>
            <c:idx val="608"/>
            <c:spPr>
              <a:solidFill>
                <a:srgbClr val="74AAB9"/>
              </a:solidFill>
            </c:spPr>
          </c:dPt>
          <c:dPt>
            <c:idx val="609"/>
            <c:spPr>
              <a:solidFill>
                <a:srgbClr val="3BF4AF"/>
              </a:solidFill>
            </c:spPr>
          </c:dPt>
          <c:dPt>
            <c:idx val="610"/>
            <c:spPr>
              <a:solidFill>
                <a:srgbClr val="FFB511"/>
              </a:solidFill>
            </c:spPr>
          </c:dPt>
          <c:dPt>
            <c:idx val="611"/>
            <c:spPr>
              <a:solidFill>
                <a:srgbClr val="2C8D85"/>
              </a:solidFill>
            </c:spPr>
          </c:dPt>
          <c:dPt>
            <c:idx val="612"/>
            <c:spPr>
              <a:solidFill>
                <a:srgbClr val="D91A45"/>
              </a:solidFill>
            </c:spPr>
          </c:dPt>
          <c:dPt>
            <c:idx val="613"/>
            <c:spPr>
              <a:solidFill>
                <a:srgbClr val="6DBC5A"/>
              </a:solidFill>
            </c:spPr>
          </c:dPt>
          <c:dPt>
            <c:idx val="614"/>
            <c:spPr>
              <a:solidFill>
                <a:srgbClr val="75BE05"/>
              </a:solidFill>
            </c:spPr>
          </c:dPt>
          <c:dPt>
            <c:idx val="615"/>
            <c:spPr>
              <a:solidFill>
                <a:srgbClr val="780EE2"/>
              </a:solidFill>
            </c:spPr>
          </c:dPt>
          <c:dPt>
            <c:idx val="616"/>
            <c:spPr>
              <a:solidFill>
                <a:srgbClr val="FFE15D"/>
              </a:solidFill>
            </c:spPr>
          </c:dPt>
          <c:dPt>
            <c:idx val="617"/>
            <c:spPr>
              <a:solidFill>
                <a:srgbClr val="63A196"/>
              </a:solidFill>
            </c:spPr>
          </c:dPt>
          <c:dPt>
            <c:idx val="618"/>
            <c:spPr>
              <a:solidFill>
                <a:srgbClr val="123F48"/>
              </a:solidFill>
            </c:spPr>
          </c:dPt>
          <c:dPt>
            <c:idx val="619"/>
            <c:spPr>
              <a:solidFill>
                <a:srgbClr val="73F497"/>
              </a:solidFill>
            </c:spPr>
          </c:dPt>
          <c:dPt>
            <c:idx val="620"/>
            <c:spPr>
              <a:solidFill>
                <a:srgbClr val="77D250"/>
              </a:solidFill>
            </c:spPr>
          </c:dPt>
          <c:dPt>
            <c:idx val="621"/>
            <c:spPr>
              <a:solidFill>
                <a:srgbClr val="B52816"/>
              </a:solidFill>
            </c:spPr>
          </c:dPt>
          <c:dPt>
            <c:idx val="622"/>
            <c:spPr>
              <a:solidFill>
                <a:srgbClr val="FF0CAA"/>
              </a:solidFill>
            </c:spPr>
          </c:dPt>
          <c:dPt>
            <c:idx val="623"/>
            <c:spPr>
              <a:solidFill>
                <a:srgbClr val="9BB4A7"/>
              </a:solidFill>
            </c:spPr>
          </c:dPt>
          <c:dPt>
            <c:idx val="624"/>
            <c:spPr>
              <a:solidFill>
                <a:srgbClr val="4B634B"/>
              </a:solidFill>
            </c:spPr>
          </c:dPt>
          <c:dPt>
            <c:idx val="625"/>
            <c:spPr>
              <a:solidFill>
                <a:srgbClr val="792DD3"/>
              </a:solidFill>
            </c:spPr>
          </c:dPt>
          <c:dPt>
            <c:idx val="626"/>
            <c:spPr>
              <a:solidFill>
                <a:srgbClr val="78E69B"/>
              </a:solidFill>
            </c:spPr>
          </c:dPt>
          <c:dPt>
            <c:idx val="627"/>
            <c:spPr>
              <a:solidFill>
                <a:srgbClr val="F24249"/>
              </a:solidFill>
            </c:spPr>
          </c:dPt>
          <c:dPt>
            <c:idx val="628"/>
            <c:spPr>
              <a:solidFill>
                <a:srgbClr val="FF38F6"/>
              </a:solidFill>
            </c:spPr>
          </c:dPt>
          <c:dPt>
            <c:idx val="629"/>
            <c:spPr>
              <a:solidFill>
                <a:srgbClr val="D2C8B8"/>
              </a:solidFill>
            </c:spPr>
          </c:dPt>
          <c:dPt>
            <c:idx val="630"/>
            <c:spPr>
              <a:solidFill>
                <a:srgbClr val="84884F"/>
              </a:solidFill>
            </c:spPr>
          </c:dPt>
          <c:dPt>
            <c:idx val="631"/>
            <c:spPr>
              <a:solidFill>
                <a:srgbClr val="806510"/>
              </a:solidFill>
            </c:spPr>
          </c:dPt>
          <c:dPt>
            <c:idx val="632"/>
            <c:spPr>
              <a:solidFill>
                <a:srgbClr val="79FBE7"/>
              </a:solidFill>
            </c:spPr>
          </c:dPt>
          <c:dPt>
            <c:idx val="633"/>
            <c:spPr>
              <a:solidFill>
                <a:srgbClr val="2F5D7D"/>
              </a:solidFill>
            </c:spPr>
          </c:dPt>
          <c:dPt>
            <c:idx val="634"/>
            <c:spPr>
              <a:solidFill>
                <a:srgbClr val="FF6442"/>
              </a:solidFill>
            </c:spPr>
          </c:dPt>
          <c:dPt>
            <c:idx val="635"/>
            <c:spPr>
              <a:solidFill>
                <a:srgbClr val="0ADCCA"/>
              </a:solidFill>
            </c:spPr>
          </c:dPt>
          <c:dPt>
            <c:idx val="636"/>
            <c:spPr>
              <a:solidFill>
                <a:srgbClr val="BCAD52"/>
              </a:solidFill>
            </c:spPr>
          </c:dPt>
          <c:dPt>
            <c:idx val="637"/>
            <c:spPr>
              <a:solidFill>
                <a:srgbClr val="869D4D"/>
              </a:solidFill>
            </c:spPr>
          </c:dPt>
          <c:dPt>
            <c:idx val="638"/>
            <c:spPr>
              <a:solidFill>
                <a:srgbClr val="7A0F32"/>
              </a:solidFill>
            </c:spPr>
          </c:dPt>
          <c:dPt>
            <c:idx val="639"/>
            <c:spPr>
              <a:solidFill>
                <a:srgbClr val="6B77B1"/>
              </a:solidFill>
            </c:spPr>
          </c:dPt>
          <c:dPt>
            <c:idx val="640"/>
            <c:spPr>
              <a:solidFill>
                <a:srgbClr val="FF908E"/>
              </a:solidFill>
            </c:spPr>
          </c:dPt>
          <c:dPt>
            <c:idx val="641"/>
            <c:spPr>
              <a:solidFill>
                <a:srgbClr val="41F0DB"/>
              </a:solidFill>
            </c:spPr>
          </c:dPt>
          <c:dPt>
            <c:idx val="642"/>
            <c:spPr>
              <a:solidFill>
                <a:srgbClr val="F5D155"/>
              </a:solidFill>
            </c:spPr>
          </c:dPt>
          <c:dPt>
            <c:idx val="643"/>
            <c:spPr>
              <a:solidFill>
                <a:srgbClr val="8CD689"/>
              </a:solidFill>
            </c:spPr>
          </c:dPt>
          <c:dPt>
            <c:idx val="644"/>
            <c:spPr>
              <a:solidFill>
                <a:srgbClr val="7B237D"/>
              </a:solidFill>
            </c:spPr>
          </c:dPt>
          <c:dPt>
            <c:idx val="645"/>
            <c:spPr>
              <a:solidFill>
                <a:srgbClr val="A891E4"/>
              </a:solidFill>
            </c:spPr>
          </c:dPt>
          <c:dPt>
            <c:idx val="646"/>
            <c:spPr>
              <a:solidFill>
                <a:srgbClr val="FFBCDA"/>
              </a:solidFill>
            </c:spPr>
          </c:dPt>
          <c:dPt>
            <c:idx val="647"/>
            <c:spPr>
              <a:solidFill>
                <a:srgbClr val="7804EC"/>
              </a:solidFill>
            </c:spPr>
          </c:dPt>
          <c:dPt>
            <c:idx val="648"/>
            <c:spPr>
              <a:solidFill>
                <a:srgbClr val="2EF658"/>
              </a:solidFill>
            </c:spPr>
          </c:dPt>
          <c:dPt>
            <c:idx val="649"/>
            <c:spPr>
              <a:solidFill>
                <a:srgbClr val="920EC6"/>
              </a:solidFill>
            </c:spPr>
          </c:dPt>
          <c:dPt>
            <c:idx val="650"/>
            <c:spPr>
              <a:solidFill>
                <a:srgbClr val="7D37C8"/>
              </a:solidFill>
            </c:spPr>
          </c:dPt>
          <c:dPt>
            <c:idx val="651"/>
            <c:spPr>
              <a:solidFill>
                <a:srgbClr val="E5AB18"/>
              </a:solidFill>
            </c:spPr>
          </c:dPt>
          <c:dPt>
            <c:idx val="652"/>
            <c:spPr>
              <a:solidFill>
                <a:srgbClr val="FFE727"/>
              </a:solidFill>
            </c:spPr>
          </c:dPt>
          <c:dPt>
            <c:idx val="653"/>
            <c:spPr>
              <a:solidFill>
                <a:srgbClr val="B017FD"/>
              </a:solidFill>
            </c:spPr>
          </c:dPt>
          <c:dPt>
            <c:idx val="654"/>
            <c:spPr>
              <a:solidFill>
                <a:srgbClr val="661A5C"/>
              </a:solidFill>
            </c:spPr>
          </c:dPt>
          <c:dPt>
            <c:idx val="655"/>
            <c:spPr>
              <a:solidFill>
                <a:srgbClr val="994702"/>
              </a:solidFill>
            </c:spPr>
          </c:dPt>
          <c:dPt>
            <c:idx val="656"/>
            <c:spPr>
              <a:solidFill>
                <a:srgbClr val="7E4B14"/>
              </a:solidFill>
            </c:spPr>
          </c:dPt>
          <c:dPt>
            <c:idx val="657"/>
            <c:spPr>
              <a:solidFill>
                <a:srgbClr val="22C54B"/>
              </a:solidFill>
            </c:spPr>
          </c:dPt>
          <c:dPt>
            <c:idx val="658"/>
            <c:spPr>
              <a:solidFill>
                <a:srgbClr val="FF1373"/>
              </a:solidFill>
            </c:spPr>
          </c:dPt>
          <c:dPt>
            <c:idx val="659"/>
            <c:spPr>
              <a:solidFill>
                <a:srgbClr val="E82B0E"/>
              </a:solidFill>
            </c:spPr>
          </c:dPt>
          <c:dPt>
            <c:idx val="660"/>
            <c:spPr>
              <a:solidFill>
                <a:srgbClr val="9F3F5F"/>
              </a:solidFill>
            </c:spPr>
          </c:dPt>
          <c:dPt>
            <c:idx val="661"/>
            <c:spPr>
              <a:solidFill>
                <a:srgbClr val="9F7F3F"/>
              </a:solidFill>
            </c:spPr>
          </c:dPt>
          <c:dPt>
            <c:idx val="662"/>
            <c:spPr>
              <a:solidFill>
                <a:srgbClr val="7F5F5F"/>
              </a:solidFill>
            </c:spPr>
          </c:dPt>
          <c:dPt>
            <c:idx val="663"/>
            <c:spPr>
              <a:solidFill>
                <a:srgbClr val="5FDF7F"/>
              </a:solidFill>
            </c:spPr>
          </c:dPt>
          <c:dPt>
            <c:idx val="664"/>
            <c:spPr>
              <a:solidFill>
                <a:srgbClr val="FF3FBF"/>
              </a:solidFill>
            </c:spPr>
          </c:dPt>
          <c:dPt>
            <c:idx val="665"/>
            <c:spPr>
              <a:solidFill>
                <a:srgbClr val="1F3F1F"/>
              </a:solidFill>
            </c:spPr>
          </c:dPt>
          <c:dPt>
            <c:idx val="666"/>
            <c:spPr>
              <a:solidFill>
                <a:srgbClr val="D86462"/>
              </a:solidFill>
            </c:spPr>
          </c:dPt>
          <c:dPt>
            <c:idx val="667"/>
            <c:spPr>
              <a:solidFill>
                <a:srgbClr val="A5B77C"/>
              </a:solidFill>
            </c:spPr>
          </c:dPt>
          <c:dPt>
            <c:idx val="668"/>
            <c:spPr>
              <a:solidFill>
                <a:srgbClr val="8073AA"/>
              </a:solidFill>
            </c:spPr>
          </c:dPt>
          <c:dPt>
            <c:idx val="669"/>
            <c:spPr>
              <a:solidFill>
                <a:srgbClr val="9CF9B3"/>
              </a:solidFill>
            </c:spPr>
          </c:dPt>
          <c:dPt>
            <c:idx val="670"/>
            <c:spPr>
              <a:solidFill>
                <a:srgbClr val="FF6B0B"/>
              </a:solidFill>
            </c:spPr>
          </c:dPt>
          <c:dPt>
            <c:idx val="671"/>
            <c:spPr>
              <a:solidFill>
                <a:srgbClr val="575330"/>
              </a:solidFill>
            </c:spPr>
          </c:dPt>
          <c:dPt>
            <c:idx val="672"/>
            <c:spPr>
              <a:solidFill>
                <a:srgbClr val="108866"/>
              </a:solidFill>
            </c:spPr>
          </c:dPt>
          <c:dPt>
            <c:idx val="673"/>
            <c:spPr>
              <a:solidFill>
                <a:srgbClr val="ACF0B8"/>
              </a:solidFill>
            </c:spPr>
          </c:dPt>
          <c:dPt>
            <c:idx val="674"/>
            <c:spPr>
              <a:solidFill>
                <a:srgbClr val="8187F6"/>
              </a:solidFill>
            </c:spPr>
          </c:dPt>
          <c:dPt>
            <c:idx val="675"/>
            <c:spPr>
              <a:solidFill>
                <a:srgbClr val="D913E6"/>
              </a:solidFill>
            </c:spPr>
          </c:dPt>
          <c:dPt>
            <c:idx val="676"/>
            <c:spPr>
              <a:solidFill>
                <a:srgbClr val="FF9757"/>
              </a:solidFill>
            </c:spPr>
          </c:dPt>
          <c:dPt>
            <c:idx val="677"/>
            <c:spPr>
              <a:solidFill>
                <a:srgbClr val="8E6741"/>
              </a:solidFill>
            </c:spPr>
          </c:dPt>
          <c:dPt>
            <c:idx val="678"/>
            <c:spPr>
              <a:solidFill>
                <a:srgbClr val="49AD69"/>
              </a:solidFill>
            </c:spPr>
          </c:dPt>
          <c:dPt>
            <c:idx val="679"/>
            <c:spPr>
              <a:solidFill>
                <a:srgbClr val="B228F5"/>
              </a:solidFill>
            </c:spPr>
          </c:dPt>
          <c:dPt>
            <c:idx val="680"/>
            <c:spPr>
              <a:solidFill>
                <a:srgbClr val="839B41"/>
              </a:solidFill>
            </c:spPr>
          </c:dPt>
          <c:dPt>
            <c:idx val="681"/>
            <c:spPr>
              <a:solidFill>
                <a:srgbClr val="162D1A"/>
              </a:solidFill>
            </c:spPr>
          </c:dPt>
          <c:dPt>
            <c:idx val="682"/>
            <c:spPr>
              <a:solidFill>
                <a:srgbClr val="FFC2A4"/>
              </a:solidFill>
            </c:spPr>
          </c:dPt>
          <c:dPt>
            <c:idx val="683"/>
            <c:spPr>
              <a:solidFill>
                <a:srgbClr val="C67A52"/>
              </a:solidFill>
            </c:spPr>
          </c:dPt>
          <c:dPt>
            <c:idx val="684"/>
            <c:spPr>
              <a:solidFill>
                <a:srgbClr val="82D16C"/>
              </a:solidFill>
            </c:spPr>
          </c:dPt>
          <c:dPt>
            <c:idx val="685"/>
            <c:spPr>
              <a:solidFill>
                <a:srgbClr val="B86131"/>
              </a:solidFill>
            </c:spPr>
          </c:dPt>
          <c:dPt>
            <c:idx val="686"/>
            <c:spPr>
              <a:solidFill>
                <a:srgbClr val="84AF8C"/>
              </a:solidFill>
            </c:spPr>
          </c:dPt>
          <c:dPt>
            <c:idx val="687"/>
            <c:spPr>
              <a:solidFill>
                <a:srgbClr val="53474D"/>
              </a:solidFill>
            </c:spPr>
          </c:dPt>
          <c:dPt>
            <c:idx val="688"/>
            <c:spPr>
              <a:solidFill>
                <a:srgbClr val="FFEEF0"/>
              </a:solidFill>
            </c:spPr>
          </c:dPt>
          <c:dPt>
            <c:idx val="689"/>
            <c:spPr>
              <a:solidFill>
                <a:srgbClr val="FD8E63"/>
              </a:solidFill>
            </c:spPr>
          </c:dPt>
          <c:dPt>
            <c:idx val="690"/>
            <c:spPr>
              <a:solidFill>
                <a:srgbClr val="BBF670"/>
              </a:solidFill>
            </c:spPr>
          </c:dPt>
          <c:dPt>
            <c:idx val="691"/>
            <c:spPr>
              <a:solidFill>
                <a:srgbClr val="BF996E"/>
              </a:solidFill>
            </c:spPr>
          </c:dPt>
          <c:dPt>
            <c:idx val="692"/>
            <c:spPr>
              <a:solidFill>
                <a:srgbClr val="85C4D8"/>
              </a:solidFill>
            </c:spPr>
          </c:dPt>
          <c:dPt>
            <c:idx val="693"/>
            <c:spPr>
              <a:solidFill>
                <a:srgbClr val="906281"/>
              </a:solidFill>
            </c:spPr>
          </c:dPt>
          <c:dPt>
            <c:idx val="694"/>
            <c:spPr>
              <a:solidFill>
                <a:srgbClr val="FF1A3C"/>
              </a:solidFill>
            </c:spPr>
          </c:dPt>
          <c:dPt>
            <c:idx val="695"/>
            <c:spPr>
              <a:solidFill>
                <a:srgbClr val="35A275"/>
              </a:solidFill>
            </c:spPr>
          </c:dPt>
          <c:dPt>
            <c:idx val="696"/>
            <c:spPr>
              <a:solidFill>
                <a:srgbClr val="F31B73"/>
              </a:solidFill>
            </c:spPr>
          </c:dPt>
          <c:dPt>
            <c:idx val="697"/>
            <c:spPr>
              <a:solidFill>
                <a:srgbClr val="C5D1AB"/>
              </a:solidFill>
            </c:spPr>
          </c:dPt>
          <c:dPt>
            <c:idx val="698"/>
            <c:spPr>
              <a:solidFill>
                <a:srgbClr val="86D823"/>
              </a:solidFill>
            </c:spPr>
          </c:dPt>
          <c:dPt>
            <c:idx val="699"/>
            <c:spPr>
              <a:solidFill>
                <a:srgbClr val="CC7CB5"/>
              </a:solidFill>
            </c:spPr>
          </c:dPt>
          <c:dPt>
            <c:idx val="700"/>
            <c:spPr>
              <a:solidFill>
                <a:srgbClr val="FF4688"/>
              </a:solidFill>
            </c:spPr>
          </c:dPt>
          <c:dPt>
            <c:idx val="701"/>
            <c:spPr>
              <a:solidFill>
                <a:srgbClr val="6CB686"/>
              </a:solidFill>
            </c:spPr>
          </c:dPt>
          <c:dPt>
            <c:idx val="702"/>
            <c:spPr>
              <a:solidFill>
                <a:srgbClr val="2C3F76"/>
              </a:solidFill>
            </c:spPr>
          </c:dPt>
          <c:dPt>
            <c:idx val="703"/>
            <c:spPr>
              <a:solidFill>
                <a:srgbClr val="CB0AE7"/>
              </a:solidFill>
            </c:spPr>
          </c:dPt>
          <c:dPt>
            <c:idx val="704"/>
            <c:spPr>
              <a:solidFill>
                <a:srgbClr val="87EC6E"/>
              </a:solidFill>
            </c:spPr>
          </c:dPt>
          <c:dPt>
            <c:idx val="705"/>
            <c:spPr>
              <a:solidFill>
                <a:srgbClr val="0996E8"/>
              </a:solidFill>
            </c:spPr>
          </c:dPt>
          <c:dPt>
            <c:idx val="706"/>
            <c:spPr>
              <a:solidFill>
                <a:srgbClr val="FF72D4"/>
              </a:solidFill>
            </c:spPr>
          </c:dPt>
          <c:dPt>
            <c:idx val="707"/>
            <c:spPr>
              <a:solidFill>
                <a:srgbClr val="A3CA97"/>
              </a:solidFill>
            </c:spPr>
          </c:dPt>
          <c:dPt>
            <c:idx val="708"/>
            <c:spPr>
              <a:solidFill>
                <a:srgbClr val="656479"/>
              </a:solidFill>
            </c:spPr>
          </c:dPt>
          <c:dPt>
            <c:idx val="709"/>
            <c:spPr>
              <a:solidFill>
                <a:srgbClr val="D14224"/>
              </a:solidFill>
            </c:spPr>
          </c:dPt>
          <c:dPt>
            <c:idx val="710"/>
            <c:spPr>
              <a:solidFill>
                <a:srgbClr val="8900B9"/>
              </a:solidFill>
            </c:spPr>
          </c:dPt>
          <c:dPt>
            <c:idx val="711"/>
            <c:spPr>
              <a:solidFill>
                <a:srgbClr val="46B01C"/>
              </a:solidFill>
            </c:spPr>
          </c:dPt>
          <c:dPt>
            <c:idx val="712"/>
            <c:spPr>
              <a:solidFill>
                <a:srgbClr val="FF9D21"/>
              </a:solidFill>
            </c:spPr>
          </c:dPt>
          <c:dPt>
            <c:idx val="713"/>
            <c:spPr>
              <a:solidFill>
                <a:srgbClr val="DBDDA8"/>
              </a:solidFill>
            </c:spPr>
          </c:dPt>
          <c:dPt>
            <c:idx val="714"/>
            <c:spPr>
              <a:solidFill>
                <a:srgbClr val="9D887D"/>
              </a:solidFill>
            </c:spPr>
          </c:dPt>
          <c:dPt>
            <c:idx val="715"/>
            <c:spPr>
              <a:solidFill>
                <a:srgbClr val="D87B60"/>
              </a:solidFill>
            </c:spPr>
          </c:dPt>
          <c:dPt>
            <c:idx val="716"/>
            <c:spPr>
              <a:solidFill>
                <a:srgbClr val="8A1405"/>
              </a:solidFill>
            </c:spPr>
          </c:dPt>
          <c:dPt>
            <c:idx val="717"/>
            <c:spPr>
              <a:solidFill>
                <a:srgbClr val="83CA4F"/>
              </a:solidFill>
            </c:spPr>
          </c:dPt>
          <c:dPt>
            <c:idx val="718"/>
            <c:spPr>
              <a:solidFill>
                <a:srgbClr val="FFC96D"/>
              </a:solidFill>
            </c:spPr>
          </c:dPt>
          <c:dPt>
            <c:idx val="719"/>
            <c:spPr>
              <a:solidFill>
                <a:srgbClr val="13F1B9"/>
              </a:solidFill>
            </c:spPr>
          </c:dPt>
          <c:dPt>
            <c:idx val="720"/>
            <c:spPr>
              <a:solidFill>
                <a:srgbClr val="D6AD80"/>
              </a:solidFill>
            </c:spPr>
          </c:dPt>
          <c:dPt>
            <c:idx val="721"/>
            <c:spPr>
              <a:solidFill>
                <a:srgbClr val="DEB39D"/>
              </a:solidFill>
            </c:spPr>
          </c:dPt>
          <c:dPt>
            <c:idx val="722"/>
            <c:spPr>
              <a:solidFill>
                <a:srgbClr val="8B2850"/>
              </a:solidFill>
            </c:spPr>
          </c:dPt>
          <c:dPt>
            <c:idx val="723"/>
            <c:spPr>
              <a:solidFill>
                <a:srgbClr val="C0E483"/>
              </a:solidFill>
            </c:spPr>
          </c:dPt>
          <c:dPt>
            <c:idx val="724"/>
            <c:spPr>
              <a:solidFill>
                <a:srgbClr val="FFF5B9"/>
              </a:solidFill>
            </c:spPr>
          </c:dPt>
          <c:dPt>
            <c:idx val="725"/>
            <c:spPr>
              <a:solidFill>
                <a:srgbClr val="4A05CA"/>
              </a:solidFill>
            </c:spPr>
          </c:dPt>
          <c:dPt>
            <c:idx val="726"/>
            <c:spPr>
              <a:solidFill>
                <a:srgbClr val="0FD283"/>
              </a:solidFill>
            </c:spPr>
          </c:dPt>
          <c:dPt>
            <c:idx val="727"/>
            <c:spPr>
              <a:solidFill>
                <a:srgbClr val="E4EBDA"/>
              </a:solidFill>
            </c:spPr>
          </c:dPt>
          <c:dPt>
            <c:idx val="728"/>
            <c:spPr>
              <a:solidFill>
                <a:srgbClr val="8C3C9B"/>
              </a:solidFill>
            </c:spPr>
          </c:dPt>
          <c:dPt>
            <c:idx val="729"/>
            <c:spPr>
              <a:solidFill>
                <a:srgbClr val="FDFEB7"/>
              </a:solidFill>
            </c:spPr>
          </c:dPt>
          <c:dPt>
            <c:idx val="730"/>
            <c:spPr>
              <a:solidFill>
                <a:srgbClr val="FF2105"/>
              </a:solidFill>
            </c:spPr>
          </c:dPt>
          <c:dPt>
            <c:idx val="731"/>
            <c:spPr>
              <a:solidFill>
                <a:srgbClr val="8219DB"/>
              </a:solidFill>
            </c:spPr>
          </c:dPt>
          <c:dPt>
            <c:idx val="732"/>
            <c:spPr>
              <a:solidFill>
                <a:srgbClr val="47F687"/>
              </a:solidFill>
            </c:spPr>
          </c:dPt>
          <c:dPt>
            <c:idx val="733"/>
            <c:spPr>
              <a:solidFill>
                <a:srgbClr val="EB2416"/>
              </a:solidFill>
            </c:spPr>
          </c:dPt>
          <c:dPt>
            <c:idx val="734"/>
            <c:spPr>
              <a:solidFill>
                <a:srgbClr val="8D50E7"/>
              </a:solidFill>
            </c:spPr>
          </c:dPt>
          <c:dPt>
            <c:idx val="735"/>
            <c:spPr>
              <a:solidFill>
                <a:srgbClr val="3A18EA"/>
              </a:solidFill>
            </c:spPr>
          </c:dPt>
          <c:dPt>
            <c:idx val="736"/>
            <c:spPr>
              <a:solidFill>
                <a:srgbClr val="FF4D51"/>
              </a:solidFill>
            </c:spPr>
          </c:dPt>
          <c:dPt>
            <c:idx val="737"/>
            <c:spPr>
              <a:solidFill>
                <a:srgbClr val="B92DEC"/>
              </a:solidFill>
            </c:spPr>
          </c:dPt>
          <c:dPt>
            <c:idx val="738"/>
            <c:spPr>
              <a:solidFill>
                <a:srgbClr val="801B8A"/>
              </a:solidFill>
            </c:spPr>
          </c:dPt>
          <c:dPt>
            <c:idx val="739"/>
            <c:spPr>
              <a:solidFill>
                <a:srgbClr val="F15C53"/>
              </a:solidFill>
            </c:spPr>
          </c:dPt>
          <c:dPt>
            <c:idx val="740"/>
            <c:spPr>
              <a:solidFill>
                <a:srgbClr val="8F6432"/>
              </a:solidFill>
            </c:spPr>
          </c:dPt>
          <c:dPt>
            <c:idx val="741"/>
            <c:spPr>
              <a:solidFill>
                <a:srgbClr val="77321E"/>
              </a:solidFill>
            </c:spPr>
          </c:dPt>
          <c:dPt>
            <c:idx val="742"/>
            <c:spPr>
              <a:solidFill>
                <a:srgbClr val="FF789E"/>
              </a:solidFill>
            </c:spPr>
          </c:dPt>
          <c:dPt>
            <c:idx val="743"/>
            <c:spPr>
              <a:solidFill>
                <a:srgbClr val="F140FD"/>
              </a:solidFill>
            </c:spPr>
          </c:dPt>
          <c:dPt>
            <c:idx val="744"/>
            <c:spPr>
              <a:solidFill>
                <a:srgbClr val="B93F8D"/>
              </a:solidFill>
            </c:spPr>
          </c:dPt>
          <c:dPt>
            <c:idx val="745"/>
            <c:spPr>
              <a:solidFill>
                <a:srgbClr val="F7958F"/>
              </a:solidFill>
            </c:spPr>
          </c:dPt>
          <c:dPt>
            <c:idx val="746"/>
            <c:spPr>
              <a:solidFill>
                <a:srgbClr val="90787D"/>
              </a:solidFill>
            </c:spPr>
          </c:dPt>
          <c:dLbls>
            <c:showLegendKey val="0"/>
            <c:showVal val="0"/>
            <c:showCatName val="0"/>
            <c:showSerName val="0"/>
            <c:showPercent val="0"/>
            <c:showBubbleSize val="0"/>
            <c:showLeaderLines val="1"/>
          </c:dLbls>
          <c:cat>
            <c:strRef>
              <c:f>overview!$I$3:$I$749</c:f>
            </c:strRef>
          </c:cat>
          <c:val>
            <c:numRef>
              <c:f>overview!$J$3:$J$749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333375</xdr:colOff>
      <xdr:row>7</xdr:row>
      <xdr:rowOff>123825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747" sheet="overview"/>
  </cacheSource>
  <cacheFields>
    <cacheField name="country" numFmtId="0">
      <sharedItems>
        <s v="Argentina"/>
        <s v="Argentina, Brazil, France, Poland, Germany, Denmark"/>
        <s v="Argentina, Chile"/>
        <s v="Argentina, Chile, Peru"/>
        <s v="Argentina, France"/>
        <s v="Argentina, France, United States, Germany, Qatar"/>
        <s v="Argentina, Italy"/>
        <s v="Argentina, Spain"/>
        <s v="Argentina, United States"/>
        <s v="Argentina, United States, Mexico"/>
        <s v="Argentina, Uruguay, Serbia"/>
        <s v="Argentina, Uruguay, Spain, France"/>
        <s v="Argentina, Venezuela"/>
        <s v="Australia"/>
        <s v="Australia, Armenia, Japan, Jordan, Mexico, Mongolia, New Zealand, Philippines, South Africa, Sweden, United States, Uruguay"/>
        <s v="Australia, Canada"/>
        <s v="Australia, France"/>
        <s v="Australia, France, Ireland"/>
        <s v="Australia, Germany"/>
        <s v="Australia, India"/>
        <s v="Australia, Iraq"/>
        <s v="Australia, New Zealand"/>
        <s v="Australia, New Zealand, United States"/>
        <s v="Australia, United Arab Emirates"/>
        <s v="Australia, United Kingdom"/>
        <s v="Australia, United Kingdom, Canada"/>
        <s v="Australia, United Kingdom, United Arab Emirates, Canada"/>
        <s v="Australia, United Kingdom, United States, New Zealand, Italy, France"/>
        <s v="Australia, United States"/>
        <s v="Austria"/>
        <s v="Austria, Czech Republic"/>
        <s v="Austria, Germany"/>
        <s v="Austria, Iraq, United States"/>
        <s v="Austria, United States"/>
        <s v="Bangladesh"/>
        <s v="Belarus"/>
        <s v="Belgium"/>
        <s v="Belgium, France"/>
        <s v="Belgium, France, Netherlands"/>
        <s v="Belgium, Ireland, Netherlands, Germany, Afghanistan"/>
        <s v="Belgium, Netherlands"/>
        <s v="Belgium, United Kingdom"/>
        <s v="Belgium, United Kingdom, United States"/>
        <s v="Brazil"/>
        <s v="Brazil, France"/>
        <s v="Brazil, France, Germany"/>
        <s v="Brazil, India, China, United States"/>
        <s v="Brazil, Netherlands, United States, Colombia, Austria, Germany"/>
        <s v="Brazil, United Kingdom"/>
        <s v="Brazil, United States"/>
        <s v="Bulgaria"/>
        <s v="Bulgaria, United States"/>
        <s v="Bulgaria, United States, Spain, Canada"/>
        <s v="Cambodia"/>
        <s v="Cambodia, United States"/>
        <s v="Cameroon"/>
        <s v="Canada"/>
        <s v="Canada, Australia"/>
        <s v="Canada, Belgium"/>
        <s v="Canada, Brazil"/>
        <s v="Canada, France"/>
        <s v="Canada, France, Italy, Morocco, United States"/>
        <s v="Canada, France, United States"/>
        <s v="Canada, Germany"/>
        <s v="Canada, Germany, France, United States"/>
        <s v="Canada, Germany, South Africa"/>
        <s v="Canada, Hungary, United States"/>
        <s v="Canada, India"/>
        <s v="Canada, India, Thailand, United States, United Arab Emirates"/>
        <s v="Canada, Ireland, United States"/>
        <s v="Canada, Japan, Netherlands"/>
        <s v="Canada, Japan, United States"/>
        <s v="Canada, Luxembourg"/>
        <s v="Canada, Mexico, Germany, South Africa"/>
        <s v="Canada, Nigeria"/>
        <s v="Canada, Nigeria, United States"/>
        <s v="Canada, Norway"/>
        <s v="Canada, South Africa"/>
        <s v="Canada, South Korea, United States"/>
        <s v="Canada, Spain"/>
        <s v="Canada, Spain, France"/>
        <s v="Canada, United Kingdom"/>
        <s v="Canada, United Kingdom, Netherlands"/>
        <s v="Canada, United Kingdom, United States"/>
        <s v="Canada, United States"/>
        <s v="Canada, United States, Cayman Islands"/>
        <s v="Canada, United States, Denmark"/>
        <s v="Canada, United States, France"/>
        <s v="Canada, United States, Germany"/>
        <s v="Canada, United States, India, United Kingdom"/>
        <s v="Canada, United States, Ireland"/>
        <s v="Canada, United States, Mexico"/>
        <s v="Canada, United States, United Kingdom"/>
        <s v="Canada, United States, United Kingdom, France, Luxembourg"/>
        <s v="Chile"/>
        <s v="Chile, Argentina"/>
        <s v="Chile, Argentina, France, Spain, United States"/>
        <s v="Chile, Brazil"/>
        <s v="Chile, France"/>
        <s v="Chile, Italy"/>
        <s v="Chile, Peru"/>
        <s v="Chile, Spain, Argentina, Germany"/>
        <s v="Chile, United States, France"/>
        <s v="China"/>
        <s v="China, Canada, United States"/>
        <s v="China, Germany, India, United States"/>
        <s v="China, Hong Kong"/>
        <s v="China, Hong Kong, United States"/>
        <s v="China, India, Nepal"/>
        <s v="China, Japan"/>
        <s v="China, Morocco, Hong Kong"/>
        <s v="China, South Korea, United States"/>
        <s v="China, Spain, South Korea, United States"/>
        <s v="China, Taiwan"/>
        <s v="China, United Kingdom"/>
        <s v="China, United States"/>
        <s v="China, United States, Australia"/>
        <s v="China, United States, Canada"/>
        <s v="China, United States, United Kingdom"/>
        <s v="Colombia"/>
        <s v="Colombia, Mexico"/>
        <s v="Colombia, Mexico, United States"/>
        <s v="Colombia, Peru, United Kingdom"/>
        <s v="Colombia, United States"/>
        <s v="Croatia"/>
        <s v="Croatia, Slovenia, Serbia, Montenegro"/>
        <s v="Cyprus"/>
        <s v="Czech Republic, France"/>
        <s v="Czech Republic, Slovakia"/>
        <s v="Czech Republic, United Kingdom, France"/>
        <s v="Czech Republic, United Kingdom, United States"/>
        <s v="Czech Republic, United States"/>
        <s v="Denmark"/>
        <s v="Denmark, Brazil, France, Portugal, Sweden"/>
        <s v="Denmark, China"/>
        <s v="Denmark, France, Belgium, Italy, Netherlands, United States, United Kingdom"/>
        <s v="Denmark, France, Poland"/>
        <s v="Denmark, France, United States, Sweden"/>
        <s v="Denmark, Germany, Belgium, United Kingdom, France"/>
        <s v="Denmark, Germany, Belgium, United Kingdom, France, Sweden"/>
        <s v="Denmark, Indonesia, Finland, Norway, United Kingdom, Israel, France, United States, Germany, Netherlands"/>
        <s v="Denmark, Singapore, Canada, United States"/>
        <s v="Denmark, Spain"/>
        <s v="Denmark, Sweden, Israel, United States"/>
        <s v="Denmark, United Kingdom, South Africa, Sweden, Belgium"/>
        <s v="Denmark, United Kingdom, Sweden"/>
        <s v="Denmark, United States"/>
        <s v="Denmark, Zimbabwe"/>
        <s v="Egypt"/>
        <s v="Egypt, Algeria"/>
        <s v="Egypt, Austria, United States"/>
        <s v="Egypt, Denmark, Germany"/>
        <s v="Egypt, France"/>
        <s v="Egypt, Saudi Arabia"/>
        <s v="Finland"/>
        <s v="Finland, France"/>
        <s v="Finland, Germany"/>
        <s v="Finland, Germany, Belgium"/>
        <s v="Finland, Sweden, Norway, Latvia, Germany"/>
        <s v="Finland, United States"/>
        <s v="France"/>
        <s v="France, Algeria"/>
        <s v="France, Australia, Germany"/>
        <s v="France, Belgium"/>
        <s v="France, Belgium, China, United States"/>
        <s v="France, Belgium, Italy"/>
        <s v="France, Belgium, Luxembourg, Cambodia,"/>
        <s v="France, Belgium, Luxembourg, Romania, Canada, United States"/>
        <s v="France, Belgium, Spain"/>
        <s v="France, Belgium, United States"/>
        <s v="France, Brazil, Spain, Belgium"/>
        <s v="France, Canada"/>
        <s v="France, Canada, Belgium"/>
        <s v="France, Canada, China, Cambodia"/>
        <s v="France, Canada, Italy, United States, China"/>
        <s v="France, Canada, United States"/>
        <s v="France, Canada, United States, Spain"/>
        <s v="France, China, Japan, United States"/>
        <s v="France, Egypt"/>
        <s v="France, Germany"/>
        <s v="France, Germany, Czech Republic, Belgium"/>
        <s v="France, Germany, Switzerland"/>
        <s v="France, Iran, United States"/>
        <s v="France, Israel, Germany, United States, United Kingdom"/>
        <s v="France, Japan"/>
        <s v="France, Japan, United States"/>
        <s v="France, Lebanon"/>
        <s v="France, Lebanon, United Kingdom"/>
        <s v="France, Luxembourg, Canada"/>
        <s v="France, Luxembourg, United States"/>
        <s v="France, Malta, United States"/>
        <s v="France, Morocco"/>
        <s v="France, Netherlands, Singapore"/>
        <s v="France, Netherlands, South Africa, Finland"/>
        <s v="France, New Zealand"/>
        <s v="France, Norway, Lebanon, Belgium"/>
        <s v="France, Qatar"/>
        <s v="France, Senegal, Belgium"/>
        <s v="France, South Korea, Japan"/>
        <s v="France, South Korea, Japan, United States"/>
        <s v="France, Switzerland, Spain, United States, United Arab Emirates"/>
        <s v="France, United Kingdom"/>
        <s v="France, United Kingdom, India"/>
        <s v="France, United Kingdom, United States"/>
        <s v="France, United States"/>
        <s v="France, United States, Canada"/>
        <s v="France, United States, Mexico"/>
        <s v="France, United States, United Kingdom, Canada"/>
        <s v="Georgia"/>
        <s v="Georgia, Germany, France"/>
        <s v="Germany"/>
        <s v="Germany, Australia"/>
        <s v="Germany, Australia, France, China"/>
        <s v="Germany, Belgium"/>
        <s v="Germany, Canada, United States"/>
        <s v="Germany, China, United Kingdom"/>
        <s v="Germany, Czech Republic"/>
        <s v="Germany, France"/>
        <s v="Germany, France, Luxembourg, United Kingdom, United States"/>
        <s v="Germany, France, Russia"/>
        <s v="Germany, France, United States, Canada, United Kingdom"/>
        <s v="Germany, Italy"/>
        <s v="Germany, Jordan, Netherlands"/>
        <s v="Germany, Sri Lanka"/>
        <s v="Germany, United Kingdom"/>
        <s v="Germany, United Kingdom, United States"/>
        <s v="Germany, United States"/>
        <s v="Germany, United States, Canada"/>
        <s v="Germany, United States, France"/>
        <s v="Germany, United States, Hong Kong, Singapore"/>
        <s v="Germany, United States, Italy"/>
        <s v="Germany, United States, Sweden"/>
        <s v="Germany, United States, United Kingdom, Canada"/>
        <s v="Ghana"/>
        <s v="Ghana, United States"/>
        <s v="Greece, United States"/>
        <s v="Guatemala"/>
        <s v="Hong Kong"/>
        <s v="Hong Kong, Canada, United States"/>
        <s v="Hong Kong, China"/>
        <s v="Hong Kong, China, Singapore"/>
        <s v="Hong Kong, China, United States"/>
        <s v="Hong Kong, Iceland, United States"/>
        <s v="Hong Kong, Taiwan"/>
        <s v="Hong Kong, United States"/>
        <s v="Hungary"/>
        <s v="Hungary, United States"/>
        <s v="Iceland"/>
        <s v="Iceland, Sweden, Belgium"/>
        <s v="India"/>
        <s v="India, Australia"/>
        <s v="India, Canada"/>
        <s v="India, France"/>
        <s v="India, Germany"/>
        <s v="India, Germany, Austria"/>
        <s v="India, Germany, France"/>
        <s v="India, Iran"/>
        <s v="India, Japan"/>
        <s v="India, Malaysia"/>
        <s v="India, Mexico"/>
        <s v="India, Nepal"/>
        <s v="India, Pakistan"/>
        <s v="India, Soviet Union"/>
        <s v="India, Switzerland"/>
        <s v="India, Turkey"/>
        <s v="India, United Kingdom"/>
        <s v="India, United Kingdom, Canada, United States"/>
        <s v="India, United Kingdom, China, Canada, Japan, South Korea, United States"/>
        <s v="India, United Kingdom, France, Qatar"/>
        <s v="India, United States"/>
        <s v="Indonesia"/>
        <s v="Indonesia, Netherlands"/>
        <s v="Indonesia, Singapore"/>
        <s v="Indonesia, South Korea, Singapore"/>
        <s v="Indonesia, United Kingdom"/>
        <s v="Indonesia, United States"/>
        <s v="Iran, France"/>
        <s v="Ireland"/>
        <s v="Ireland, Canada"/>
        <s v="Ireland, Canada, Luxembourg, United States, United Kingdom, Philippines, India"/>
        <s v="Ireland, Canada, United Kingdom, United States"/>
        <s v="Ireland, Canada, United States, United Kingdom"/>
        <s v="Ireland, France, Iceland, United States, Mexico, Belgium, United Kingdom, Hong Kong"/>
        <s v="Ireland, Luxembourg, Belgium"/>
        <s v="Ireland, South Africa"/>
        <s v="Ireland, Switzerland, United Kingdom, France, United States"/>
        <s v="Ireland, United Kingdom"/>
        <s v="Ireland, United Kingdom, France, Germany"/>
        <s v="Ireland, United Kingdom, Greece, France, Netherlands"/>
        <s v="Ireland, United Kingdom, Italy, United States"/>
        <s v="Ireland, United Kingdom, United States"/>
        <s v="Ireland, United States"/>
        <s v="Ireland, United States, France"/>
        <s v="Ireland, United States, United Kingdom"/>
        <s v="Israel"/>
        <s v="Israel, Germany"/>
        <s v="Israel, Germany, France"/>
        <s v="Israel, Germany, Poland, Luxembourg, Belgium, France, United States"/>
        <s v="Israel, Sweden, Germany, Netherlands"/>
        <s v="Israel, United States"/>
        <s v="Italy"/>
        <s v="Italy, Belgium"/>
        <s v="Italy, Brazil, Greece"/>
        <s v="Italy, Canada, France"/>
        <s v="Italy, France"/>
        <s v="Italy, France, Switzerland"/>
        <s v="Italy, Germany"/>
        <s v="Italy, India"/>
        <s v="Italy, South Africa, West Germany, Australia, United States"/>
        <s v="Italy, Switzerland, Albania, Poland"/>
        <s v="Italy, Switzerland, France, Germany"/>
        <s v="Italy, Turkey"/>
        <s v="Italy, United Kingdom"/>
        <s v="Italy, United Kingdom, France"/>
        <s v="Italy, United States"/>
        <s v="Italy, United States, Argentina"/>
        <s v="Jamaica, United States"/>
        <s v="Japan"/>
        <s v="Japan, Canada"/>
        <s v="Japan, Canada, United States"/>
        <s v="Japan, United States"/>
        <s v="Jordan"/>
        <s v="Kenya"/>
        <s v="Kenya, United States"/>
        <s v="Kuwait"/>
        <s v="Kuwait, United States"/>
        <s v="Lebanon"/>
        <s v="Lebanon, Canada, France"/>
        <s v="Lebanon, France"/>
        <s v="Lebanon, Palestine, Denmark, Qatar"/>
        <s v="Lebanon, Qatar"/>
        <s v="Lebanon, Syria"/>
        <s v="Lebanon, United Arab Emirates"/>
        <s v="Lebanon, United Arab Emirates, France, Switzerland, Germany"/>
        <s v="Lebanon, United States, United Arab Emirates"/>
        <s v="Luxembourg"/>
        <s v="Malaysia"/>
        <s v="Malaysia, Singapore, Hong Kong"/>
        <s v="Mauritius"/>
        <s v="Mauritius, South Africa"/>
        <s v="Mexico"/>
        <s v="Mexico, Argentina"/>
        <s v="Mexico, Brazil"/>
        <s v="Mexico, Finland"/>
        <s v="Mexico, France"/>
        <s v="Mexico, France, Colombia"/>
        <s v="Mexico, Netherlands"/>
        <s v="Mexico, Spain"/>
        <s v="Mexico, United States"/>
        <s v="Mexico, United States, Spain, Colombia"/>
        <s v="Mozambique"/>
        <s v="Namibia"/>
        <s v="Netherlands"/>
        <s v="Netherlands, Belgium"/>
        <s v="Netherlands, Belgium, Germany, Jordan"/>
        <s v="Netherlands, Belgium, United Kingdom, United States"/>
        <s v="Netherlands, Denmark, France, Germany"/>
        <s v="Netherlands, Denmark, South Africa"/>
        <s v="Netherlands, Germany, Denmark, United Kingdom"/>
        <s v="Netherlands, Germany, Italy, Canada"/>
        <s v="Netherlands, United States"/>
        <s v="New Zealand"/>
        <s v="New Zealand, Australia, France, United States"/>
        <s v="New Zealand, United Kingdom"/>
        <s v="New Zealand, United Kingdom, Australia"/>
        <s v="New Zealand, United States"/>
        <s v="Nigeria"/>
        <s v="Nigeria, United Kingdom"/>
        <s v="Norway"/>
        <s v="Norway, Denmark"/>
        <s v="Norway, Denmark, Netherlands, Sweden"/>
        <s v="Norway, Denmark, Sweden"/>
        <s v="Norway, Germany"/>
        <s v="Norway, Germany, Sweden"/>
        <s v="Norway, Iceland, United States"/>
        <s v="Norway, Sweden"/>
        <s v="Norway, United Kingdom, France, Ireland"/>
        <s v="Norway, United States"/>
        <s v="Pakistan"/>
        <s v="Pakistan, Norway, United States"/>
        <s v="Pakistan, United Arab Emirates"/>
        <s v="Pakistan, United States"/>
        <s v="Paraguay, Argentina"/>
        <s v="Peru"/>
        <s v="Peru, Germany, Norway"/>
        <s v="Peru, United States, United Kingdom"/>
        <s v="Philippines"/>
        <s v="Philippines, Canada, United Kingdom, United States"/>
        <s v="Philippines, Qatar"/>
        <s v="Philippines, Singapore"/>
        <s v="Philippines, Singapore, Indonesia"/>
        <s v="Philippines, United States"/>
        <s v="Poland"/>
        <s v="Poland,"/>
        <s v="Poland, United States"/>
        <s v="Poland, West Germany"/>
        <s v="Portugal, France, Poland, United States"/>
        <s v="Portugal, Spain"/>
        <s v="Portugal, United States"/>
        <s v="Puerto Rico, United States, Colombia"/>
        <s v="Romania"/>
        <s v="Romania, Bulgaria, Hungary"/>
        <s v="Romania, France, Switzerland, Germany"/>
        <s v="Romania, United Kingdom"/>
        <s v="Romania, United States"/>
        <s v="Russia"/>
        <s v="Russia, Poland, Serbia"/>
        <s v="Russia, Spain"/>
        <s v="Russia, United States"/>
        <s v="Russia, United States, China"/>
        <s v="Saudi Arabia"/>
        <s v="Saudi Arabia, Netherlands, Germany, Jordan, United Arab Emirates, United States"/>
        <s v="Saudi Arabia, Syria, Egypt, Lebanon, Kuwait"/>
        <s v="Saudi Arabia, United Arab Emirates"/>
        <s v="Senegal"/>
        <s v="Serbia, South Korea, Slovenia"/>
        <s v="Serbia, United States"/>
        <s v="Singapore"/>
        <s v="Singapore, France"/>
        <s v="Singapore, Japan, France"/>
        <s v="Singapore, Malaysia"/>
        <s v="Singapore, United States"/>
        <s v="Slovenia, Croatia, Germany, Czech Republic, Qatar"/>
        <s v="Somalia, Kenya, Sudan, South Africa, United States"/>
        <s v="South Africa"/>
        <s v="South Africa, Angola"/>
        <s v="South Africa, China, United States"/>
        <s v="South Africa, Germany, Netherlands, France"/>
        <s v="South Africa, Nigeria"/>
        <s v="South Africa, United States"/>
        <s v="South Africa, United States, Germany"/>
        <s v="South Africa, United States, Japan"/>
        <s v="South Africa, United States, New Zealand, Canada"/>
        <s v="South Korea"/>
        <s v="South Korea, Canada, United States, China"/>
        <s v="South Korea, China"/>
        <s v="South Korea, China, United States"/>
        <s v="South Korea, Czech Republic"/>
        <s v="South Korea, France"/>
        <s v="South Korea, Japan"/>
        <s v="South Korea, United States"/>
        <s v="Soviet Union, India"/>
        <s v="Spain"/>
        <s v="Spain, Argentina"/>
        <s v="Spain, Belgium"/>
        <s v="Spain, Belgium, United States"/>
        <s v="Spain, Canada, United States"/>
        <s v="Spain, Colombia"/>
        <s v="Spain, Cuba"/>
        <s v="Spain, France"/>
        <s v="Spain, France, Canada"/>
        <s v="Spain, France, Canada, United States"/>
        <s v="Spain, France, Italy"/>
        <s v="Spain, France, United Kingdom, United States"/>
        <s v="Spain, France, United States"/>
        <s v="Spain, France, Uruguay"/>
        <s v="Spain, Germany"/>
        <s v="Spain, Germany, Denmark, United States"/>
        <s v="Spain, Italy"/>
        <s v="Spain, Italy, Argentina"/>
        <s v="Spain, Mexico"/>
        <s v="Spain, Mexico, France"/>
        <s v="Spain, Portugal"/>
        <s v="Spain, Switzerland"/>
        <s v="Spain, Thailand, United States"/>
        <s v="Spain, United Kingdom"/>
        <s v="Spain, United Kingdom, United States"/>
        <s v="Spain, United States"/>
        <s v="Sweden"/>
        <s v="Sweden, Czech Republic, United Kingdom, Denmark, Netherlands"/>
        <s v="Sweden, Netherlands"/>
        <s v="Sweden, United Kingdom, Finland"/>
        <s v="Sweden, United States"/>
        <s v="Switzerland"/>
        <s v="Switzerland, France"/>
        <s v="Switzerland, France, Belgium, United States"/>
        <s v="Switzerland, United Kingdom, Australia"/>
        <s v="Switzerland, United Kingdom, United States"/>
        <s v="Switzerland, United States"/>
        <s v="Switzerland, Vatican City, Italy, Germany, France"/>
        <s v="Syria, France, Lebanon, Qatar"/>
        <s v="Taiwan"/>
        <s v="Taiwan, China"/>
        <s v="Taiwan, China, France, United States"/>
        <s v="Taiwan, Hong Kong, United States, China"/>
        <s v="Taiwan, Malaysia"/>
        <s v="Thailand"/>
        <s v="Thailand, Canada, United States"/>
        <s v="Thailand, China, United States"/>
        <s v="Thailand, United States"/>
        <s v="Turkey"/>
        <s v="Turkey, Azerbaijan"/>
        <s v="Turkey, France, Germany, Poland"/>
        <s v="Turkey, India"/>
        <s v="Turkey, South Korea"/>
        <s v="Turkey, United States"/>
        <s v="Ukraine"/>
        <s v="United Arab Emirates"/>
        <s v="United Arab Emirates, Jordan"/>
        <s v="United Arab Emirates, Jordan, Lebanon, Saudi Arabia"/>
        <s v="United Arab Emirates, Romania"/>
        <s v="United Arab Emirates, United Kingdom, India"/>
        <s v="United Arab Emirates, United States"/>
        <s v="United Arab Emirates, United States, United Kingdom"/>
        <s v="United Kingdom"/>
        <s v="United Kingdom,"/>
        <s v="United Kingdom, Australia"/>
        <s v="United Kingdom, Australia, Canada, United States"/>
        <s v="United Kingdom, Australia, France"/>
        <s v="United Kingdom, Australia, France, United States"/>
        <s v="United Kingdom, Australia, United States"/>
        <s v="United Kingdom, Belgium"/>
        <s v="United Kingdom, Belgium, Sweden"/>
        <s v="United Kingdom, Brazil, Germany"/>
        <s v="United Kingdom, Canada"/>
        <s v="United Kingdom, Canada, France, United States"/>
        <s v="United Kingdom, Canada, Italy"/>
        <s v="United Kingdom, Canada, Japan"/>
        <s v="United Kingdom, Canada, United States"/>
        <s v="United Kingdom, Canada, United States, Cayman Islands"/>
        <s v="United Kingdom, Canada, United States, Germany"/>
        <s v="United Kingdom, China"/>
        <s v="United Kingdom, China, United States"/>
        <s v="United Kingdom, China, United States, India"/>
        <s v="United Kingdom, Czech Republic, Germany, United States"/>
        <s v="United Kingdom, Czech Republic, United States, Germany, Bahamas"/>
        <s v="United Kingdom, Denmark, Canada, Croatia"/>
        <s v="United Kingdom, Egypt, United States"/>
        <s v="United Kingdom, Finland, Germany, United States, Australia, Japan, France, Ireland"/>
        <s v="United Kingdom, France"/>
        <s v="United Kingdom, France, Belgium"/>
        <s v="United Kingdom, France, Belgium, Canada, United States"/>
        <s v="United Kingdom, France, Belgium, Ireland, United States"/>
        <s v="United Kingdom, France, Belgium, United States"/>
        <s v="United Kingdom, France, Canada, Belgium, United States"/>
        <s v="United Kingdom, France, Germany"/>
        <s v="United Kingdom, France, Germany, Spain"/>
        <s v="United Kingdom, France, Germany, United States"/>
        <s v="United Kingdom, France, Poland, Germany, United States"/>
        <s v="United Kingdom, France, Spain, United States"/>
        <s v="United Kingdom, France, United States"/>
        <s v="United Kingdom, France, United States, Belgium"/>
        <s v="United Kingdom, France, United States, Belgium, Luxembourg, China, Germany"/>
        <s v="United Kingdom, Germany"/>
        <s v="United Kingdom, Germany, Canada"/>
        <s v="United Kingdom, Germany, Canada, United States"/>
        <s v="United Kingdom, Germany, France, United States"/>
        <s v="United Kingdom, Germany, Spain, United States"/>
        <s v="United Kingdom, Germany, United Arab Emirates, New Zealand"/>
        <s v="United Kingdom, Germany, United States"/>
        <s v="United Kingdom, Germany, United States, France"/>
        <s v="United Kingdom, Hong Kong"/>
        <s v="United Kingdom, Hungary, Australia"/>
        <s v="United Kingdom, India"/>
        <s v="United Kingdom, India, Sweden"/>
        <s v="United Kingdom, India, United States"/>
        <s v="United Kingdom, Ireland"/>
        <s v="United Kingdom, Ireland, United States"/>
        <s v="United Kingdom, Israel, Russia"/>
        <s v="United Kingdom, Italy"/>
        <s v="United Kingdom, Italy, Israel, Peru, United States"/>
        <s v="United Kingdom, Japan"/>
        <s v="United Kingdom, Japan, United States"/>
        <s v="United Kingdom, Jordan, Qatar, Iran"/>
        <s v="United Kingdom, Kenya"/>
        <s v="United Kingdom, Lithuania"/>
        <s v="United Kingdom, Malawi"/>
        <s v="United Kingdom, Namibia, South Africa, Zimbabwe, United States"/>
        <s v="United Kingdom, New Zealand"/>
        <s v="United Kingdom, Nigeria"/>
        <s v="United Kingdom, Norway, Denmark, Germany, Sweden"/>
        <s v="United Kingdom, Pakistan"/>
        <s v="United Kingdom, Poland"/>
        <s v="United Kingdom, Poland, United States"/>
        <s v="United Kingdom, Russia"/>
        <s v="United Kingdom, Russia, United States"/>
        <s v="United Kingdom, Singapore"/>
        <s v="United Kingdom, South Africa"/>
        <s v="United Kingdom, South Africa, Australia, United States"/>
        <s v="United Kingdom, South Africa, France"/>
        <s v="United Kingdom, South Korea"/>
        <s v="United Kingdom, Spain"/>
        <s v="United Kingdom, Spain, Belgium"/>
        <s v="United Kingdom, Spain, United States"/>
        <s v="United Kingdom, Spain, United States, Germany"/>
        <s v="United Kingdom, Thailand"/>
        <s v="United Kingdom, Ukraine, United States"/>
        <s v="United Kingdom, United States"/>
        <s v="United Kingdom, United States, Australia"/>
        <s v="United Kingdom, United States, Canada"/>
        <s v="United Kingdom, United States, Czech Republic"/>
        <s v="United Kingdom, United States, Dominican Republic"/>
        <s v="United Kingdom, United States, France"/>
        <s v="United Kingdom, United States, France, Germany"/>
        <s v="United Kingdom, United States, France, Italy"/>
        <s v="United Kingdom, United States, Germany, Denmark, Belgium, Japan"/>
        <s v="United Kingdom, United States, Ireland"/>
        <s v="United Kingdom, United States, Japan"/>
        <s v="United Kingdom, United States, Morocco"/>
        <s v="United Kingdom, United States, Spain, Germany, Greece, Canada"/>
        <s v="United Kingdom, West Germany"/>
        <s v="United States"/>
        <s v="United States,"/>
        <s v="United States, Argentina"/>
        <s v="United States, Australia"/>
        <s v="United States, Australia, China"/>
        <s v="United States, Australia, Mexico"/>
        <s v="United States, Australia, Samoa, United Kingdom"/>
        <s v="United States, Australia, South Africa, United Kingdom"/>
        <s v="United States, Belgium, Canada, France"/>
        <s v="United States, Bermuda, Ecuador"/>
        <s v="United States, Botswana"/>
        <s v="United States, Brazil"/>
        <s v="United States, Brazil, India, Uganda, China"/>
        <s v="United States, Brazil, Japan, Spain, India"/>
        <s v="United States, Brazil, South Korea, Mexico, Japan, Germany"/>
        <s v="United States, Bulgaria"/>
        <s v="United States, Cambodia"/>
        <s v="United States, Cambodia, Romania"/>
        <s v="United States, Canada"/>
        <s v="United States, Canada, Belgium, United Kingdom"/>
        <s v="United States, Canada, China"/>
        <s v="United States, Canada, France"/>
        <s v="United States, Canada, Germany"/>
        <s v="United States, Canada, Indonesia, United Kingdom, China, Singapore"/>
        <s v="United States, Canada, Ireland"/>
        <s v="United States, Canada, Japan, Panama"/>
        <s v="United States, Canada, United Kingdom"/>
        <s v="United States, Chile"/>
        <s v="United States, Chile, Israel"/>
        <s v="United States, China"/>
        <s v="United States, China, Canada"/>
        <s v="United States, China, Colombia"/>
        <s v="United States, China, Hong Kong"/>
        <s v="United States, China, United Kingdom"/>
        <s v="United States, Colombia"/>
        <s v="United States, Colombia, Mexico"/>
        <s v="United States, Czech Republic"/>
        <s v="United States, Czech Republic, United Kingdom"/>
        <s v="United States, Denmark"/>
        <s v="United States, East Germany, West Germany"/>
        <s v="United States, France"/>
        <s v="United States, France, Canada"/>
        <s v="United States, France, Canada, Belgium"/>
        <s v="United States, France, Canada, Lebanon, Qatar"/>
        <s v="United States, France, Canada, Spain"/>
        <s v="United States, France, Denmark"/>
        <s v="United States, France, Italy, United Kingdom"/>
        <s v="United States, France, Japan"/>
        <s v="United States, France, Mexico"/>
        <s v="United States, France, Serbia"/>
        <s v="United States, France, South Korea, Indonesia"/>
        <s v="United States, France, United Kingdom"/>
        <s v="United States, France, United Kingdom, Japan"/>
        <s v="United States, Germany"/>
        <s v="United States, Germany, Australia"/>
        <s v="United States, Germany, Canada"/>
        <s v="United States, Germany, Mexico"/>
        <s v="United States, Germany, United Kingdom"/>
        <s v="United States, Germany, United Kingdom, Australia"/>
        <s v="United States, Germany, United Kingdom, Italy"/>
        <s v="United States, Ghana, Burkina Faso, United Kingdom, Germany, Ethiopia"/>
        <s v="United States, Greece"/>
        <s v="United States, Greece, Brazil"/>
        <s v="United States, Greece, United Kingdom"/>
        <s v="United States, Hong Kong"/>
        <s v="United States, Hungary"/>
        <s v="United States, Hungary, Ireland, Canada"/>
        <s v="United States, Iceland"/>
        <s v="United States, India"/>
        <s v="United States, India, Bangladesh"/>
        <s v="United States, India, France"/>
        <s v="United States, India, South Korea, China"/>
        <s v="United States, India, United Arab Emirates"/>
        <s v="United States, India, United Kingdom"/>
        <s v="United States, Indonesia"/>
        <s v="United States, Ireland"/>
        <s v="United States, Ireland, United Kingdom, India"/>
        <s v="United States, Israel, Italy, South Africa"/>
        <s v="United States, Israel, United Kingdom, Canada"/>
        <s v="United States, Italy"/>
        <s v="United States, Italy, France, Japan"/>
        <s v="United States, Italy, Romania, United Kingdom"/>
        <s v="United States, Italy, United Kingdom, Liechtenstein"/>
        <s v="United States, Japan"/>
        <s v="United States, Japan, Canada"/>
        <s v="United States, Kazakhstan"/>
        <s v="United States, Malta, France, United Kingdom"/>
        <s v="United States, Mexico"/>
        <s v="United States, Mexico, Colombia"/>
        <s v="United States, Mexico, Spain, Malta"/>
        <s v="United States, Morocco"/>
        <s v="United States, Netherlands, Japan, France"/>
        <s v="United States, New Zealand"/>
        <s v="United States, New Zealand, Japan"/>
        <s v="United States, New Zealand, United Kingdom"/>
        <s v="United States, Nicaragua"/>
        <s v="United States, Nigeria"/>
        <s v="United States, Norway, Canada"/>
        <s v="United States, Philippines"/>
        <s v="United States, Poland"/>
        <s v="United States, Russia"/>
        <s v="United States, Senegal"/>
        <s v="United States, Singapore"/>
        <s v="United States, South Africa"/>
        <s v="United States, South Korea"/>
        <s v="United States, South Korea, China"/>
        <s v="United States, South Korea, Japan"/>
        <s v="United States, Spain"/>
        <s v="United States, Spain, Germany"/>
        <s v="United States, Sweden"/>
        <s v="United States, Sweden, Norway"/>
        <s v="United States, Switzerland"/>
        <s v="United States, Taiwan"/>
        <s v="United States, Thailand"/>
        <s v="United States, United Arab Emirates"/>
        <s v="United States, United Kingdom"/>
        <s v="United States, United Kingdom, Australia"/>
        <s v="United States, United Kingdom, Canada"/>
        <s v="United States, United Kingdom, Canada, China"/>
        <s v="United States, United Kingdom, Canada, Japan"/>
        <s v="United States, United Kingdom, Denmark, Sweden"/>
        <s v="United States, United Kingdom, France"/>
        <s v="United States, United Kingdom, France, Germany, Japan"/>
        <s v="United States, United Kingdom, Germany"/>
        <s v="United States, United Kingdom, Germany, Hungary"/>
        <s v="United States, United Kingdom, India"/>
        <s v="United States, United Kingdom, Italy"/>
        <s v="United States, United Kingdom, Japan"/>
        <s v="United States, United Kingdom, Morocco"/>
        <s v="United States, United Kingdom, New Zealand"/>
        <s v="United States, United Kingdom, Spain, South Korea"/>
        <s v="United States, Uruguay"/>
        <s v="United States, Venezuela"/>
        <s v="Uruguay"/>
        <s v="Uruguay, Argentina"/>
        <s v="Uruguay, Argentina, Germany, Spain"/>
        <s v="Uruguay, Argentina, Spain"/>
        <s v="Uruguay, Germany"/>
        <s v="Uruguay, Guatemala"/>
        <s v="Uruguay, Spain, Mexico"/>
        <s v="Venezuela"/>
        <s v="Venezuela, Colombia"/>
        <s v="Vietnam"/>
        <s v="West Germany"/>
        <s v="Zimbabwe"/>
      </sharedItems>
    </cacheField>
    <cacheField name="#_of_titles" numFmtId="0">
      <sharedItems containsSemiMixedTypes="0" containsString="0" containsNumber="1" containsInteger="1">
        <n v="56.0"/>
        <n v="1.0"/>
        <n v="2.0"/>
        <n v="8.0"/>
        <n v="87.0"/>
        <n v="13.0"/>
        <n v="5.0"/>
        <n v="3.0"/>
        <n v="9.0"/>
        <n v="77.0"/>
        <n v="181.0"/>
        <n v="45.0"/>
        <n v="4.0"/>
        <n v="14.0"/>
        <n v="66.0"/>
        <n v="35.0"/>
        <n v="106.0"/>
        <n v="124.0"/>
        <n v="27.0"/>
        <n v="10.0"/>
        <n v="67.0"/>
        <n v="53.0"/>
        <n v="16.0"/>
        <n v="972.0"/>
        <n v="79.0"/>
        <n v="245.0"/>
        <n v="12.0"/>
        <n v="6.0"/>
        <n v="15.0"/>
        <n v="22.0"/>
        <n v="110.0"/>
        <n v="19.0"/>
        <n v="95.0"/>
        <n v="11.0"/>
        <n v="18.0"/>
        <n v="75.0"/>
        <n v="24.0"/>
        <n v="23.0"/>
        <n v="30.0"/>
        <n v="200.0"/>
        <n v="145.0"/>
        <n v="81.0"/>
        <n v="61.0"/>
        <n v="105.0"/>
        <n v="419.0"/>
        <n v="2818.0"/>
        <n v="73.0"/>
        <n v="7.0"/>
        <n v="17.0"/>
        <n v="47.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overview" cacheId="0" dataCaption="" compact="0" compactData="0">
  <location ref="I2:J749" firstHeaderRow="0" firstDataRow="1" firstDataCol="0"/>
  <pivotFields>
    <pivotField name="country"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t="default"/>
      </items>
    </pivotField>
    <pivotField name="#_of_tit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s>
  <rowFields>
    <field x="0"/>
  </rowFields>
  <dataFields>
    <dataField name="AVERAGE of #_of_titles" fld="1" subtotal="average"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catch.er" TargetMode="External"/><Relationship Id="rId3" Type="http://schemas.openxmlformats.org/officeDocument/2006/relationships/hyperlink" Target="http://futmalls.com" TargetMode="External"/><Relationship Id="rId4" Type="http://schemas.openxmlformats.org/officeDocument/2006/relationships/hyperlink" Target="http://futmalls.com" TargetMode="External"/><Relationship Id="rId9" Type="http://schemas.openxmlformats.org/officeDocument/2006/relationships/drawing" Target="../drawings/drawing1.xml"/><Relationship Id="rId5" Type="http://schemas.openxmlformats.org/officeDocument/2006/relationships/hyperlink" Target="http://love.com" TargetMode="External"/><Relationship Id="rId6" Type="http://schemas.openxmlformats.org/officeDocument/2006/relationships/hyperlink" Target="http://love.com" TargetMode="External"/><Relationship Id="rId7" Type="http://schemas.openxmlformats.org/officeDocument/2006/relationships/hyperlink" Target="http://rishta.com" TargetMode="External"/><Relationship Id="rId8" Type="http://schemas.openxmlformats.org/officeDocument/2006/relationships/hyperlink" Target="http://rishta.com"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4.38"/>
  </cols>
  <sheetData>
    <row r="1">
      <c r="A1" s="1" t="s">
        <v>0</v>
      </c>
      <c r="B1" s="1" t="s">
        <v>1</v>
      </c>
      <c r="C1" s="1" t="s">
        <v>2</v>
      </c>
      <c r="D1" s="1" t="s">
        <v>3</v>
      </c>
      <c r="E1" s="1" t="s">
        <v>4</v>
      </c>
      <c r="F1" s="1" t="s">
        <v>5</v>
      </c>
      <c r="G1" s="1" t="s">
        <v>6</v>
      </c>
      <c r="H1" s="1" t="s">
        <v>7</v>
      </c>
      <c r="I1" s="1" t="s">
        <v>8</v>
      </c>
      <c r="J1" s="1" t="s">
        <v>9</v>
      </c>
      <c r="K1" s="1" t="s">
        <v>10</v>
      </c>
      <c r="L1" s="1" t="s">
        <v>11</v>
      </c>
      <c r="M1" s="2" t="s">
        <v>12</v>
      </c>
      <c r="N1" s="3" t="s">
        <v>13</v>
      </c>
      <c r="O1" s="1" t="s">
        <v>14</v>
      </c>
      <c r="P1" s="2" t="s">
        <v>15</v>
      </c>
      <c r="Q1" s="1" t="s">
        <v>16</v>
      </c>
      <c r="R1" s="1" t="s">
        <v>17</v>
      </c>
      <c r="S1" s="1" t="s">
        <v>18</v>
      </c>
      <c r="T1" s="1" t="s">
        <v>19</v>
      </c>
      <c r="U1" s="2" t="s">
        <v>20</v>
      </c>
      <c r="V1" s="2" t="s">
        <v>21</v>
      </c>
      <c r="W1" s="2" t="s">
        <v>22</v>
      </c>
      <c r="X1" s="1" t="s">
        <v>23</v>
      </c>
      <c r="Y1" s="1" t="s">
        <v>24</v>
      </c>
      <c r="Z1" s="2" t="s">
        <v>25</v>
      </c>
      <c r="AA1" s="1" t="s">
        <v>1</v>
      </c>
    </row>
    <row r="2">
      <c r="A2" s="1" t="s">
        <v>26</v>
      </c>
      <c r="B2" s="1" t="s">
        <v>27</v>
      </c>
      <c r="C2" s="1" t="s">
        <v>28</v>
      </c>
      <c r="D2" s="1" t="s">
        <v>29</v>
      </c>
      <c r="F2" s="1" t="s">
        <v>30</v>
      </c>
      <c r="G2" s="1" t="s">
        <v>31</v>
      </c>
      <c r="H2" s="1">
        <v>2020.0</v>
      </c>
      <c r="I2" s="1" t="s">
        <v>32</v>
      </c>
      <c r="J2" s="1" t="s">
        <v>33</v>
      </c>
      <c r="K2" s="1" t="s">
        <v>34</v>
      </c>
      <c r="L2" s="1" t="s">
        <v>35</v>
      </c>
      <c r="M2" s="2" t="s">
        <v>12</v>
      </c>
      <c r="N2" s="4">
        <f t="shared" ref="N2:N8808" si="1">DATE(RIGHT(G2,4), MATCH(LEFT(G2,FIND(" ",G2)-1), {"January","February","March","April","May","June","July","August","September","October","November","December"}, 0), MID(G2,FIND(" ",G2)+1,FIND(",",G2)-FIND(" ",G2)-1))</f>
        <v>44464</v>
      </c>
      <c r="O2" s="5" t="str">
        <f>IFERROR(__xludf.DUMMYFUNCTION("IF(REGEXMATCH(TRIM(I2), ""^\d+\s*min""), ""Unclassified"", IF(I2 = """", ""NR"", I2))"),"PG-13")</f>
        <v>PG-13</v>
      </c>
      <c r="P2" s="5" t="str">
        <f>IFERROR(__xludf.DUMMYFUNCTION("UNIQUE(O2:O50500)"),"PG-13")</f>
        <v>PG-13</v>
      </c>
      <c r="Q2" s="5">
        <f>COUNTBLANK(D2:D8807)</f>
        <v>2634</v>
      </c>
      <c r="R2" s="5" t="str">
        <f t="shared" ref="R2:R8808" si="2">PROPER(TRIM(CLEAN(C2)))</f>
        <v>Dick Johnson Is Dead</v>
      </c>
      <c r="S2" s="5" t="str">
        <f>IFERROR(__xludf.DUMMYFUNCTION("SORT(UNIQUE(R2:R50500))"),"¡Ay, Mi Madre!")</f>
        <v>¡Ay, Mi Madre!</v>
      </c>
      <c r="T2" s="5" t="str">
        <f>IFERROR(__xludf.DUMMYFUNCTION("sort(UNIQUE(F2:F50500))"),"Argentina")</f>
        <v>Argentina</v>
      </c>
      <c r="U2" s="5" t="str">
        <f>IFERROR(__xludf.DUMMYFUNCTION("UNIQUE(FILTER(TRIM(PROPER(D2:D50500)), TRIM(D2:D50500) &lt;&gt; """"))"),"Kirsten Johnson")</f>
        <v>Kirsten Johnson</v>
      </c>
      <c r="V2" s="5" t="str">
        <f t="array" ref="V2:V50500">SORT(U2:U50500)</f>
        <v>A. L. Vijay</v>
      </c>
      <c r="W2" s="5" t="str">
        <f t="shared" ref="W2:W4527" si="3">IF(V2="", "Unknown", V2)</f>
        <v>A. L. Vijay</v>
      </c>
      <c r="X2" s="5">
        <f t="shared" ref="X2:X4527" si="4">COUNTIF(D:D, V2)</f>
        <v>2</v>
      </c>
      <c r="Y2" s="5" t="str">
        <f>IFERROR(__xludf.DUMMYFUNCTION("REGEXEXTRACT(J2, ""^\d+"")"),"90")</f>
        <v>90</v>
      </c>
      <c r="Z2" s="5" t="str">
        <f>IFERROR(__xludf.DUMMYFUNCTION("REGEXEXTRACT(J2, ""[A-Za-z ]+$"")")," min")</f>
        <v> min</v>
      </c>
      <c r="AA2" s="5" t="str">
        <f>IFERROR(__xludf.DUMMYFUNCTION("IF(REGEXMATCH(Z2, ""Season""), ""TV Show"", ""Movie"")"),"Movie")</f>
        <v>Movie</v>
      </c>
    </row>
    <row r="3">
      <c r="A3" s="1" t="s">
        <v>36</v>
      </c>
      <c r="B3" s="1" t="s">
        <v>37</v>
      </c>
      <c r="C3" s="1" t="s">
        <v>38</v>
      </c>
      <c r="E3" s="1" t="s">
        <v>39</v>
      </c>
      <c r="F3" s="1" t="s">
        <v>40</v>
      </c>
      <c r="G3" s="1" t="s">
        <v>41</v>
      </c>
      <c r="H3" s="1">
        <v>2021.0</v>
      </c>
      <c r="I3" s="1" t="s">
        <v>42</v>
      </c>
      <c r="J3" s="1" t="s">
        <v>43</v>
      </c>
      <c r="K3" s="1" t="s">
        <v>44</v>
      </c>
      <c r="L3" s="1" t="s">
        <v>45</v>
      </c>
      <c r="M3" s="2" t="s">
        <v>12</v>
      </c>
      <c r="N3" s="4">
        <f t="shared" si="1"/>
        <v>44463</v>
      </c>
      <c r="O3" s="5" t="str">
        <f>IFERROR(__xludf.DUMMYFUNCTION("IF(REGEXMATCH(TRIM(I3), ""^\d+\s*min""), ""Unclassified"", IF(I3 = """", ""NR"", I3))"),"TV-MA")</f>
        <v>TV-MA</v>
      </c>
      <c r="P3" s="5" t="str">
        <f>IFERROR(__xludf.DUMMYFUNCTION("""COMPUTED_VALUE"""),"TV-MA")</f>
        <v>TV-MA</v>
      </c>
      <c r="R3" s="5" t="str">
        <f t="shared" si="2"/>
        <v>Blood &amp; Water</v>
      </c>
      <c r="S3" s="5" t="str">
        <f>IFERROR(__xludf.DUMMYFUNCTION("""COMPUTED_VALUE"""),"(T)Error")</f>
        <v>(T)Error</v>
      </c>
      <c r="T3" s="5" t="str">
        <f>IFERROR(__xludf.DUMMYFUNCTION("""COMPUTED_VALUE"""),"Argentina, Brazil, France, Poland, Germany, Denmark")</f>
        <v>Argentina, Brazil, France, Poland, Germany, Denmark</v>
      </c>
      <c r="U3" s="5" t="str">
        <f>IFERROR(__xludf.DUMMYFUNCTION("""COMPUTED_VALUE"""),"Julien Leclercq")</f>
        <v>Julien Leclercq</v>
      </c>
      <c r="V3" s="5" t="s">
        <v>46</v>
      </c>
      <c r="W3" s="5" t="str">
        <f t="shared" si="3"/>
        <v>A. Raajdheep</v>
      </c>
      <c r="X3" s="5">
        <f t="shared" si="4"/>
        <v>1</v>
      </c>
      <c r="Y3" s="5" t="str">
        <f>IFERROR(__xludf.DUMMYFUNCTION("REGEXEXTRACT(J3, ""^\d+"")"),"2")</f>
        <v>2</v>
      </c>
      <c r="Z3" s="5" t="str">
        <f>IFERROR(__xludf.DUMMYFUNCTION("REGEXEXTRACT(J3, ""[A-Za-z ]+$"")")," Seasons")</f>
        <v> Seasons</v>
      </c>
      <c r="AA3" s="5" t="str">
        <f>IFERROR(__xludf.DUMMYFUNCTION("IF(REGEXMATCH(Z3, ""Season""), ""TV Show"", ""Movie"")"),"TV Show")</f>
        <v>TV Show</v>
      </c>
    </row>
    <row r="4">
      <c r="A4" s="1" t="s">
        <v>47</v>
      </c>
      <c r="B4" s="1" t="s">
        <v>37</v>
      </c>
      <c r="C4" s="1" t="s">
        <v>48</v>
      </c>
      <c r="D4" s="1" t="s">
        <v>49</v>
      </c>
      <c r="E4" s="1" t="s">
        <v>50</v>
      </c>
      <c r="G4" s="1" t="s">
        <v>41</v>
      </c>
      <c r="H4" s="1">
        <v>2021.0</v>
      </c>
      <c r="I4" s="1" t="s">
        <v>42</v>
      </c>
      <c r="J4" s="1" t="s">
        <v>51</v>
      </c>
      <c r="K4" s="1" t="s">
        <v>52</v>
      </c>
      <c r="L4" s="1" t="s">
        <v>53</v>
      </c>
      <c r="M4" s="2" t="s">
        <v>12</v>
      </c>
      <c r="N4" s="4">
        <f t="shared" si="1"/>
        <v>44463</v>
      </c>
      <c r="O4" s="5" t="str">
        <f>IFERROR(__xludf.DUMMYFUNCTION("IF(REGEXMATCH(TRIM(I4), ""^\d+\s*min""), ""Unclassified"", IF(I4 = """", ""NR"", I4))"),"TV-MA")</f>
        <v>TV-MA</v>
      </c>
      <c r="P4" s="5" t="str">
        <f>IFERROR(__xludf.DUMMYFUNCTION("""COMPUTED_VALUE"""),"PG")</f>
        <v>PG</v>
      </c>
      <c r="R4" s="5" t="str">
        <f t="shared" si="2"/>
        <v>Ganglands</v>
      </c>
      <c r="S4" s="5" t="str">
        <f>IFERROR(__xludf.DUMMYFUNCTION("""COMPUTED_VALUE"""),"(Un)Well")</f>
        <v>(Un)Well</v>
      </c>
      <c r="T4" s="5" t="str">
        <f>IFERROR(__xludf.DUMMYFUNCTION("""COMPUTED_VALUE"""),"Argentina, Chile")</f>
        <v>Argentina, Chile</v>
      </c>
      <c r="U4" s="5" t="str">
        <f>IFERROR(__xludf.DUMMYFUNCTION("""COMPUTED_VALUE"""),"Mike Flanagan")</f>
        <v>Mike Flanagan</v>
      </c>
      <c r="V4" s="5" t="s">
        <v>54</v>
      </c>
      <c r="W4" s="5" t="str">
        <f t="shared" si="3"/>
        <v>A. Salaam</v>
      </c>
      <c r="X4" s="5">
        <f t="shared" si="4"/>
        <v>1</v>
      </c>
      <c r="Y4" s="5" t="str">
        <f>IFERROR(__xludf.DUMMYFUNCTION("REGEXEXTRACT(J4, ""^\d+"")"),"1")</f>
        <v>1</v>
      </c>
      <c r="Z4" s="5" t="str">
        <f>IFERROR(__xludf.DUMMYFUNCTION("REGEXEXTRACT(J4, ""[A-Za-z ]+$"")")," Season")</f>
        <v> Season</v>
      </c>
      <c r="AA4" s="5" t="str">
        <f>IFERROR(__xludf.DUMMYFUNCTION("IF(REGEXMATCH(Z4, ""Season""), ""TV Show"", ""Movie"")"),"TV Show")</f>
        <v>TV Show</v>
      </c>
    </row>
    <row r="5">
      <c r="A5" s="1" t="s">
        <v>55</v>
      </c>
      <c r="B5" s="1" t="s">
        <v>37</v>
      </c>
      <c r="C5" s="1" t="s">
        <v>56</v>
      </c>
      <c r="G5" s="1" t="s">
        <v>41</v>
      </c>
      <c r="H5" s="1">
        <v>2021.0</v>
      </c>
      <c r="I5" s="1" t="s">
        <v>42</v>
      </c>
      <c r="J5" s="1" t="s">
        <v>51</v>
      </c>
      <c r="K5" s="1" t="s">
        <v>57</v>
      </c>
      <c r="L5" s="1" t="s">
        <v>58</v>
      </c>
      <c r="M5" s="2" t="s">
        <v>12</v>
      </c>
      <c r="N5" s="4">
        <f t="shared" si="1"/>
        <v>44463</v>
      </c>
      <c r="O5" s="5" t="str">
        <f>IFERROR(__xludf.DUMMYFUNCTION("IF(REGEXMATCH(TRIM(I5), ""^\d+\s*min""), ""Unclassified"", IF(I5 = """", ""NR"", I5))"),"TV-MA")</f>
        <v>TV-MA</v>
      </c>
      <c r="P5" s="5" t="str">
        <f>IFERROR(__xludf.DUMMYFUNCTION("""COMPUTED_VALUE"""),"TV-14")</f>
        <v>TV-14</v>
      </c>
      <c r="R5" s="5" t="str">
        <f t="shared" si="2"/>
        <v>Jailbirds New Orleans</v>
      </c>
      <c r="S5" s="5" t="str">
        <f>IFERROR(__xludf.DUMMYFUNCTION("""COMPUTED_VALUE"""),"#Alive")</f>
        <v>#Alive</v>
      </c>
      <c r="T5" s="5" t="str">
        <f>IFERROR(__xludf.DUMMYFUNCTION("""COMPUTED_VALUE"""),"Argentina, Chile, Peru")</f>
        <v>Argentina, Chile, Peru</v>
      </c>
      <c r="U5" s="5" t="str">
        <f>IFERROR(__xludf.DUMMYFUNCTION("""COMPUTED_VALUE"""),"Robert Cullen, José Luis Ucha")</f>
        <v>Robert Cullen, José Luis Ucha</v>
      </c>
      <c r="V5" s="5" t="s">
        <v>59</v>
      </c>
      <c r="W5" s="5" t="str">
        <f t="shared" si="3"/>
        <v>A.R. Murugadoss</v>
      </c>
      <c r="X5" s="5">
        <f t="shared" si="4"/>
        <v>2</v>
      </c>
      <c r="Y5" s="5" t="str">
        <f>IFERROR(__xludf.DUMMYFUNCTION("REGEXEXTRACT(J5, ""^\d+"")"),"1")</f>
        <v>1</v>
      </c>
      <c r="Z5" s="5" t="str">
        <f>IFERROR(__xludf.DUMMYFUNCTION("REGEXEXTRACT(J5, ""[A-Za-z ]+$"")")," Season")</f>
        <v> Season</v>
      </c>
      <c r="AA5" s="5" t="str">
        <f>IFERROR(__xludf.DUMMYFUNCTION("IF(REGEXMATCH(Z5, ""Season""), ""TV Show"", ""Movie"")"),"TV Show")</f>
        <v>TV Show</v>
      </c>
    </row>
    <row r="6">
      <c r="A6" s="1" t="s">
        <v>60</v>
      </c>
      <c r="B6" s="1" t="s">
        <v>37</v>
      </c>
      <c r="C6" s="1" t="s">
        <v>61</v>
      </c>
      <c r="E6" s="1" t="s">
        <v>62</v>
      </c>
      <c r="F6" s="1" t="s">
        <v>63</v>
      </c>
      <c r="G6" s="1" t="s">
        <v>41</v>
      </c>
      <c r="H6" s="1">
        <v>2021.0</v>
      </c>
      <c r="I6" s="1" t="s">
        <v>42</v>
      </c>
      <c r="J6" s="1" t="s">
        <v>43</v>
      </c>
      <c r="K6" s="1" t="s">
        <v>64</v>
      </c>
      <c r="L6" s="1" t="s">
        <v>65</v>
      </c>
      <c r="M6" s="2" t="s">
        <v>12</v>
      </c>
      <c r="N6" s="4">
        <f t="shared" si="1"/>
        <v>44463</v>
      </c>
      <c r="O6" s="5" t="str">
        <f>IFERROR(__xludf.DUMMYFUNCTION("IF(REGEXMATCH(TRIM(I6), ""^\d+\s*min""), ""Unclassified"", IF(I6 = """", ""NR"", I6))"),"TV-MA")</f>
        <v>TV-MA</v>
      </c>
      <c r="P6" s="5" t="str">
        <f>IFERROR(__xludf.DUMMYFUNCTION("""COMPUTED_VALUE"""),"TV-PG")</f>
        <v>TV-PG</v>
      </c>
      <c r="R6" s="5" t="str">
        <f t="shared" si="2"/>
        <v>Kota Factory</v>
      </c>
      <c r="S6" s="5" t="str">
        <f>IFERROR(__xludf.DUMMYFUNCTION("""COMPUTED_VALUE"""),"#Annefrank - Parallel Stories")</f>
        <v>#Annefrank - Parallel Stories</v>
      </c>
      <c r="T6" s="5" t="str">
        <f>IFERROR(__xludf.DUMMYFUNCTION("""COMPUTED_VALUE"""),"Argentina, France")</f>
        <v>Argentina, France</v>
      </c>
      <c r="U6" s="5" t="str">
        <f>IFERROR(__xludf.DUMMYFUNCTION("""COMPUTED_VALUE"""),"Haile Gerima")</f>
        <v>Haile Gerima</v>
      </c>
      <c r="V6" s="5" t="s">
        <v>66</v>
      </c>
      <c r="W6" s="5" t="str">
        <f t="shared" si="3"/>
        <v>Aadish Keluskar</v>
      </c>
      <c r="X6" s="5">
        <f t="shared" si="4"/>
        <v>1</v>
      </c>
      <c r="Y6" s="5" t="str">
        <f>IFERROR(__xludf.DUMMYFUNCTION("REGEXEXTRACT(J6, ""^\d+"")"),"2")</f>
        <v>2</v>
      </c>
      <c r="Z6" s="5" t="str">
        <f>IFERROR(__xludf.DUMMYFUNCTION("REGEXEXTRACT(J6, ""[A-Za-z ]+$"")")," Seasons")</f>
        <v> Seasons</v>
      </c>
      <c r="AA6" s="5" t="str">
        <f>IFERROR(__xludf.DUMMYFUNCTION("IF(REGEXMATCH(Z6, ""Season""), ""TV Show"", ""Movie"")"),"TV Show")</f>
        <v>TV Show</v>
      </c>
    </row>
    <row r="7">
      <c r="A7" s="1" t="s">
        <v>67</v>
      </c>
      <c r="B7" s="1" t="s">
        <v>37</v>
      </c>
      <c r="C7" s="1" t="s">
        <v>68</v>
      </c>
      <c r="D7" s="1" t="s">
        <v>69</v>
      </c>
      <c r="E7" s="1" t="s">
        <v>70</v>
      </c>
      <c r="G7" s="1" t="s">
        <v>41</v>
      </c>
      <c r="H7" s="1">
        <v>2021.0</v>
      </c>
      <c r="I7" s="1" t="s">
        <v>42</v>
      </c>
      <c r="J7" s="1" t="s">
        <v>51</v>
      </c>
      <c r="K7" s="1" t="s">
        <v>71</v>
      </c>
      <c r="L7" s="1" t="s">
        <v>72</v>
      </c>
      <c r="M7" s="2" t="s">
        <v>12</v>
      </c>
      <c r="N7" s="4">
        <f t="shared" si="1"/>
        <v>44463</v>
      </c>
      <c r="O7" s="5" t="str">
        <f>IFERROR(__xludf.DUMMYFUNCTION("IF(REGEXMATCH(TRIM(I7), ""^\d+\s*min""), ""Unclassified"", IF(I7 = """", ""NR"", I7))"),"TV-MA")</f>
        <v>TV-MA</v>
      </c>
      <c r="P7" s="5" t="str">
        <f>IFERROR(__xludf.DUMMYFUNCTION("""COMPUTED_VALUE"""),"TV-Y")</f>
        <v>TV-Y</v>
      </c>
      <c r="R7" s="5" t="str">
        <f t="shared" si="2"/>
        <v>Midnight Mass</v>
      </c>
      <c r="S7" s="5" t="str">
        <f>IFERROR(__xludf.DUMMYFUNCTION("""COMPUTED_VALUE"""),"#Blackaf")</f>
        <v>#Blackaf</v>
      </c>
      <c r="T7" s="5" t="str">
        <f>IFERROR(__xludf.DUMMYFUNCTION("""COMPUTED_VALUE"""),"Argentina, France, United States, Germany, Qatar")</f>
        <v>Argentina, France, United States, Germany, Qatar</v>
      </c>
      <c r="U7" s="5" t="str">
        <f>IFERROR(__xludf.DUMMYFUNCTION("""COMPUTED_VALUE"""),"Andy Devonshire")</f>
        <v>Andy Devonshire</v>
      </c>
      <c r="V7" s="5" t="s">
        <v>73</v>
      </c>
      <c r="W7" s="5" t="str">
        <f t="shared" si="3"/>
        <v>Aamir Bashir</v>
      </c>
      <c r="X7" s="5">
        <f t="shared" si="4"/>
        <v>1</v>
      </c>
      <c r="Y7" s="5" t="str">
        <f>IFERROR(__xludf.DUMMYFUNCTION("REGEXEXTRACT(J7, ""^\d+"")"),"1")</f>
        <v>1</v>
      </c>
      <c r="Z7" s="5" t="str">
        <f>IFERROR(__xludf.DUMMYFUNCTION("REGEXEXTRACT(J7, ""[A-Za-z ]+$"")")," Season")</f>
        <v> Season</v>
      </c>
      <c r="AA7" s="5" t="str">
        <f>IFERROR(__xludf.DUMMYFUNCTION("IF(REGEXMATCH(Z7, ""Season""), ""TV Show"", ""Movie"")"),"TV Show")</f>
        <v>TV Show</v>
      </c>
    </row>
    <row r="8">
      <c r="A8" s="1" t="s">
        <v>74</v>
      </c>
      <c r="B8" s="1" t="s">
        <v>27</v>
      </c>
      <c r="C8" s="1" t="s">
        <v>75</v>
      </c>
      <c r="D8" s="1" t="s">
        <v>76</v>
      </c>
      <c r="E8" s="1" t="s">
        <v>77</v>
      </c>
      <c r="G8" s="1" t="s">
        <v>41</v>
      </c>
      <c r="H8" s="1">
        <v>2021.0</v>
      </c>
      <c r="I8" s="1" t="s">
        <v>78</v>
      </c>
      <c r="J8" s="1" t="s">
        <v>79</v>
      </c>
      <c r="K8" s="1" t="s">
        <v>80</v>
      </c>
      <c r="L8" s="1" t="s">
        <v>81</v>
      </c>
      <c r="M8" s="2" t="s">
        <v>12</v>
      </c>
      <c r="N8" s="4">
        <f t="shared" si="1"/>
        <v>44463</v>
      </c>
      <c r="O8" s="5" t="str">
        <f>IFERROR(__xludf.DUMMYFUNCTION("IF(REGEXMATCH(TRIM(I8), ""^\d+\s*min""), ""Unclassified"", IF(I8 = """", ""NR"", I8))"),"PG")</f>
        <v>PG</v>
      </c>
      <c r="P8" s="5" t="str">
        <f>IFERROR(__xludf.DUMMYFUNCTION("""COMPUTED_VALUE"""),"TV-Y7")</f>
        <v>TV-Y7</v>
      </c>
      <c r="R8" s="5" t="str">
        <f t="shared" si="2"/>
        <v>My Little Pony: A New Generation</v>
      </c>
      <c r="S8" s="5" t="str">
        <f>IFERROR(__xludf.DUMMYFUNCTION("""COMPUTED_VALUE"""),"#Cats_The_Mewvie")</f>
        <v>#Cats_The_Mewvie</v>
      </c>
      <c r="T8" s="5" t="str">
        <f>IFERROR(__xludf.DUMMYFUNCTION("""COMPUTED_VALUE"""),"Argentina, Italy")</f>
        <v>Argentina, Italy</v>
      </c>
      <c r="U8" s="5" t="str">
        <f>IFERROR(__xludf.DUMMYFUNCTION("""COMPUTED_VALUE"""),"Theodore Melfi")</f>
        <v>Theodore Melfi</v>
      </c>
      <c r="V8" s="5" t="s">
        <v>82</v>
      </c>
      <c r="W8" s="5" t="str">
        <f t="shared" si="3"/>
        <v>Aamir Khan</v>
      </c>
      <c r="X8" s="5">
        <f t="shared" si="4"/>
        <v>1</v>
      </c>
      <c r="Y8" s="5" t="str">
        <f>IFERROR(__xludf.DUMMYFUNCTION("REGEXEXTRACT(J8, ""^\d+"")"),"91")</f>
        <v>91</v>
      </c>
      <c r="Z8" s="5" t="str">
        <f>IFERROR(__xludf.DUMMYFUNCTION("REGEXEXTRACT(J8, ""[A-Za-z ]+$"")")," min")</f>
        <v> min</v>
      </c>
      <c r="AA8" s="5" t="str">
        <f>IFERROR(__xludf.DUMMYFUNCTION("IF(REGEXMATCH(Z8, ""Season""), ""TV Show"", ""Movie"")"),"Movie")</f>
        <v>Movie</v>
      </c>
    </row>
    <row r="9">
      <c r="A9" s="1" t="s">
        <v>83</v>
      </c>
      <c r="B9" s="1" t="s">
        <v>27</v>
      </c>
      <c r="C9" s="1" t="s">
        <v>84</v>
      </c>
      <c r="D9" s="1" t="s">
        <v>85</v>
      </c>
      <c r="E9" s="1" t="s">
        <v>86</v>
      </c>
      <c r="F9" s="1" t="s">
        <v>87</v>
      </c>
      <c r="G9" s="1" t="s">
        <v>41</v>
      </c>
      <c r="H9" s="1">
        <v>1993.0</v>
      </c>
      <c r="I9" s="1" t="s">
        <v>42</v>
      </c>
      <c r="J9" s="1" t="s">
        <v>88</v>
      </c>
      <c r="K9" s="1" t="s">
        <v>89</v>
      </c>
      <c r="L9" s="1" t="s">
        <v>90</v>
      </c>
      <c r="M9" s="2" t="s">
        <v>12</v>
      </c>
      <c r="N9" s="4">
        <f t="shared" si="1"/>
        <v>44463</v>
      </c>
      <c r="O9" s="5" t="str">
        <f>IFERROR(__xludf.DUMMYFUNCTION("IF(REGEXMATCH(TRIM(I9), ""^\d+\s*min""), ""Unclassified"", IF(I9 = """", ""NR"", I9))"),"TV-MA")</f>
        <v>TV-MA</v>
      </c>
      <c r="P9" s="5" t="str">
        <f>IFERROR(__xludf.DUMMYFUNCTION("""COMPUTED_VALUE"""),"R")</f>
        <v>R</v>
      </c>
      <c r="R9" s="5" t="str">
        <f t="shared" si="2"/>
        <v>Sankofa</v>
      </c>
      <c r="S9" s="5" t="str">
        <f>IFERROR(__xludf.DUMMYFUNCTION("""COMPUTED_VALUE"""),"#Friendbutmarried")</f>
        <v>#Friendbutmarried</v>
      </c>
      <c r="T9" s="5" t="str">
        <f>IFERROR(__xludf.DUMMYFUNCTION("""COMPUTED_VALUE"""),"Argentina, Spain")</f>
        <v>Argentina, Spain</v>
      </c>
      <c r="U9" s="5" t="str">
        <f>IFERROR(__xludf.DUMMYFUNCTION("""COMPUTED_VALUE"""),"Kongkiat Komesiri")</f>
        <v>Kongkiat Komesiri</v>
      </c>
      <c r="V9" s="5" t="s">
        <v>91</v>
      </c>
      <c r="W9" s="5" t="str">
        <f t="shared" si="3"/>
        <v>Aanand Rai</v>
      </c>
      <c r="X9" s="5">
        <f t="shared" si="4"/>
        <v>1</v>
      </c>
      <c r="Y9" s="5" t="str">
        <f>IFERROR(__xludf.DUMMYFUNCTION("REGEXEXTRACT(J9, ""^\d+"")"),"125")</f>
        <v>125</v>
      </c>
      <c r="Z9" s="5" t="str">
        <f>IFERROR(__xludf.DUMMYFUNCTION("REGEXEXTRACT(J9, ""[A-Za-z ]+$"")")," min")</f>
        <v> min</v>
      </c>
      <c r="AA9" s="5" t="str">
        <f>IFERROR(__xludf.DUMMYFUNCTION("IF(REGEXMATCH(Z9, ""Season""), ""TV Show"", ""Movie"")"),"Movie")</f>
        <v>Movie</v>
      </c>
    </row>
    <row r="10">
      <c r="A10" s="1" t="s">
        <v>92</v>
      </c>
      <c r="B10" s="1" t="s">
        <v>37</v>
      </c>
      <c r="C10" s="1" t="s">
        <v>93</v>
      </c>
      <c r="D10" s="1" t="s">
        <v>94</v>
      </c>
      <c r="E10" s="1" t="s">
        <v>95</v>
      </c>
      <c r="F10" s="1" t="s">
        <v>96</v>
      </c>
      <c r="G10" s="1" t="s">
        <v>41</v>
      </c>
      <c r="H10" s="1">
        <v>2021.0</v>
      </c>
      <c r="I10" s="1" t="s">
        <v>97</v>
      </c>
      <c r="J10" s="1" t="s">
        <v>98</v>
      </c>
      <c r="K10" s="1" t="s">
        <v>99</v>
      </c>
      <c r="L10" s="1" t="s">
        <v>100</v>
      </c>
      <c r="M10" s="2" t="s">
        <v>12</v>
      </c>
      <c r="N10" s="4">
        <f t="shared" si="1"/>
        <v>44463</v>
      </c>
      <c r="O10" s="5" t="str">
        <f>IFERROR(__xludf.DUMMYFUNCTION("IF(REGEXMATCH(TRIM(I10), ""^\d+\s*min""), ""Unclassified"", IF(I10 = """", ""NR"", I10))"),"TV-14")</f>
        <v>TV-14</v>
      </c>
      <c r="P10" s="5" t="str">
        <f>IFERROR(__xludf.DUMMYFUNCTION("""COMPUTED_VALUE"""),"TV-G")</f>
        <v>TV-G</v>
      </c>
      <c r="R10" s="5" t="str">
        <f t="shared" si="2"/>
        <v>The Great British Baking Show</v>
      </c>
      <c r="S10" s="5" t="str">
        <f>IFERROR(__xludf.DUMMYFUNCTION("""COMPUTED_VALUE"""),"#Friendbutmarried 2")</f>
        <v>#Friendbutmarried 2</v>
      </c>
      <c r="T10" s="5" t="str">
        <f>IFERROR(__xludf.DUMMYFUNCTION("""COMPUTED_VALUE"""),"Argentina, United States")</f>
        <v>Argentina, United States</v>
      </c>
      <c r="U10" s="5" t="str">
        <f>IFERROR(__xludf.DUMMYFUNCTION("""COMPUTED_VALUE"""),"Christian Schwochow")</f>
        <v>Christian Schwochow</v>
      </c>
      <c r="V10" s="5" t="s">
        <v>101</v>
      </c>
      <c r="W10" s="5" t="str">
        <f t="shared" si="3"/>
        <v>Aaron Burns</v>
      </c>
      <c r="X10" s="5">
        <f t="shared" si="4"/>
        <v>1</v>
      </c>
      <c r="Y10" s="5" t="str">
        <f>IFERROR(__xludf.DUMMYFUNCTION("REGEXEXTRACT(J10, ""^\d+"")"),"9")</f>
        <v>9</v>
      </c>
      <c r="Z10" s="5" t="str">
        <f>IFERROR(__xludf.DUMMYFUNCTION("REGEXEXTRACT(J10, ""[A-Za-z ]+$"")")," Seasons")</f>
        <v> Seasons</v>
      </c>
      <c r="AA10" s="5" t="str">
        <f>IFERROR(__xludf.DUMMYFUNCTION("IF(REGEXMATCH(Z10, ""Season""), ""TV Show"", ""Movie"")"),"TV Show")</f>
        <v>TV Show</v>
      </c>
    </row>
    <row r="11">
      <c r="A11" s="1" t="s">
        <v>102</v>
      </c>
      <c r="B11" s="1" t="s">
        <v>27</v>
      </c>
      <c r="C11" s="1" t="s">
        <v>103</v>
      </c>
      <c r="D11" s="1" t="s">
        <v>104</v>
      </c>
      <c r="E11" s="1" t="s">
        <v>105</v>
      </c>
      <c r="F11" s="1" t="s">
        <v>30</v>
      </c>
      <c r="G11" s="1" t="s">
        <v>41</v>
      </c>
      <c r="H11" s="1">
        <v>2021.0</v>
      </c>
      <c r="I11" s="1" t="s">
        <v>32</v>
      </c>
      <c r="J11" s="1" t="s">
        <v>106</v>
      </c>
      <c r="K11" s="1" t="s">
        <v>107</v>
      </c>
      <c r="L11" s="1" t="s">
        <v>108</v>
      </c>
      <c r="M11" s="2" t="s">
        <v>12</v>
      </c>
      <c r="N11" s="4">
        <f t="shared" si="1"/>
        <v>44463</v>
      </c>
      <c r="O11" s="5" t="str">
        <f>IFERROR(__xludf.DUMMYFUNCTION("IF(REGEXMATCH(TRIM(I11), ""^\d+\s*min""), ""Unclassified"", IF(I11 = """", ""NR"", I11))"),"PG-13")</f>
        <v>PG-13</v>
      </c>
      <c r="P11" s="5" t="str">
        <f>IFERROR(__xludf.DUMMYFUNCTION("""COMPUTED_VALUE"""),"G")</f>
        <v>G</v>
      </c>
      <c r="R11" s="5" t="str">
        <f t="shared" si="2"/>
        <v>The Starling</v>
      </c>
      <c r="S11" s="5" t="str">
        <f>IFERROR(__xludf.DUMMYFUNCTION("""COMPUTED_VALUE"""),"#Realityhigh")</f>
        <v>#Realityhigh</v>
      </c>
      <c r="T11" s="5" t="str">
        <f>IFERROR(__xludf.DUMMYFUNCTION("""COMPUTED_VALUE"""),"Argentina, United States, Mexico")</f>
        <v>Argentina, United States, Mexico</v>
      </c>
      <c r="U11" s="5" t="str">
        <f>IFERROR(__xludf.DUMMYFUNCTION("""COMPUTED_VALUE"""),"Bruno Garotti")</f>
        <v>Bruno Garotti</v>
      </c>
      <c r="V11" s="5" t="s">
        <v>109</v>
      </c>
      <c r="W11" s="5" t="str">
        <f t="shared" si="3"/>
        <v>Aaron Hancox, Michael Mcnamara</v>
      </c>
      <c r="X11" s="5">
        <f t="shared" si="4"/>
        <v>1</v>
      </c>
      <c r="Y11" s="5" t="str">
        <f>IFERROR(__xludf.DUMMYFUNCTION("REGEXEXTRACT(J11, ""^\d+"")"),"104")</f>
        <v>104</v>
      </c>
      <c r="Z11" s="5" t="str">
        <f>IFERROR(__xludf.DUMMYFUNCTION("REGEXEXTRACT(J11, ""[A-Za-z ]+$"")")," min")</f>
        <v> min</v>
      </c>
      <c r="AA11" s="5" t="str">
        <f>IFERROR(__xludf.DUMMYFUNCTION("IF(REGEXMATCH(Z11, ""Season""), ""TV Show"", ""Movie"")"),"Movie")</f>
        <v>Movie</v>
      </c>
    </row>
    <row r="12">
      <c r="A12" s="1" t="s">
        <v>110</v>
      </c>
      <c r="B12" s="1" t="s">
        <v>37</v>
      </c>
      <c r="C12" s="1" t="s">
        <v>111</v>
      </c>
      <c r="G12" s="1" t="s">
        <v>41</v>
      </c>
      <c r="H12" s="1">
        <v>2021.0</v>
      </c>
      <c r="I12" s="1" t="s">
        <v>42</v>
      </c>
      <c r="J12" s="1" t="s">
        <v>51</v>
      </c>
      <c r="K12" s="1" t="s">
        <v>112</v>
      </c>
      <c r="L12" s="1" t="s">
        <v>113</v>
      </c>
      <c r="M12" s="2" t="s">
        <v>12</v>
      </c>
      <c r="N12" s="4">
        <f t="shared" si="1"/>
        <v>44463</v>
      </c>
      <c r="O12" s="5" t="str">
        <f>IFERROR(__xludf.DUMMYFUNCTION("IF(REGEXMATCH(TRIM(I12), ""^\d+\s*min""), ""Unclassified"", IF(I12 = """", ""NR"", I12))"),"TV-MA")</f>
        <v>TV-MA</v>
      </c>
      <c r="P12" s="5" t="str">
        <f>IFERROR(__xludf.DUMMYFUNCTION("""COMPUTED_VALUE"""),"NC-17")</f>
        <v>NC-17</v>
      </c>
      <c r="R12" s="5" t="str">
        <f t="shared" si="2"/>
        <v>Vendetta: Truth, Lies And The Mafia</v>
      </c>
      <c r="S12" s="5" t="str">
        <f>IFERROR(__xludf.DUMMYFUNCTION("""COMPUTED_VALUE"""),"#Roxy")</f>
        <v>#Roxy</v>
      </c>
      <c r="T12" s="5" t="str">
        <f>IFERROR(__xludf.DUMMYFUNCTION("""COMPUTED_VALUE"""),"Argentina, Uruguay, Serbia")</f>
        <v>Argentina, Uruguay, Serbia</v>
      </c>
      <c r="U12" s="5" t="str">
        <f>IFERROR(__xludf.DUMMYFUNCTION("""COMPUTED_VALUE"""),"Pedro De Echave García, Pablo Azorín Williams")</f>
        <v>Pedro De Echave García, Pablo Azorín Williams</v>
      </c>
      <c r="V12" s="5" t="s">
        <v>114</v>
      </c>
      <c r="W12" s="5" t="str">
        <f t="shared" si="3"/>
        <v>Aaron Hann, Mario Miscione</v>
      </c>
      <c r="X12" s="5">
        <f t="shared" si="4"/>
        <v>1</v>
      </c>
      <c r="Y12" s="5" t="str">
        <f>IFERROR(__xludf.DUMMYFUNCTION("REGEXEXTRACT(J12, ""^\d+"")"),"1")</f>
        <v>1</v>
      </c>
      <c r="Z12" s="5" t="str">
        <f>IFERROR(__xludf.DUMMYFUNCTION("REGEXEXTRACT(J12, ""[A-Za-z ]+$"")")," Season")</f>
        <v> Season</v>
      </c>
      <c r="AA12" s="5" t="str">
        <f>IFERROR(__xludf.DUMMYFUNCTION("IF(REGEXMATCH(Z12, ""Season""), ""TV Show"", ""Movie"")"),"TV Show")</f>
        <v>TV Show</v>
      </c>
    </row>
    <row r="13">
      <c r="A13" s="1" t="s">
        <v>115</v>
      </c>
      <c r="B13" s="1" t="s">
        <v>37</v>
      </c>
      <c r="C13" s="1" t="s">
        <v>116</v>
      </c>
      <c r="D13" s="1" t="s">
        <v>117</v>
      </c>
      <c r="E13" s="1" t="s">
        <v>118</v>
      </c>
      <c r="G13" s="1" t="s">
        <v>119</v>
      </c>
      <c r="H13" s="1">
        <v>2021.0</v>
      </c>
      <c r="I13" s="1" t="s">
        <v>42</v>
      </c>
      <c r="J13" s="1" t="s">
        <v>51</v>
      </c>
      <c r="K13" s="1" t="s">
        <v>52</v>
      </c>
      <c r="L13" s="1" t="s">
        <v>120</v>
      </c>
      <c r="M13" s="2" t="s">
        <v>12</v>
      </c>
      <c r="N13" s="4">
        <f t="shared" si="1"/>
        <v>44462</v>
      </c>
      <c r="O13" s="5" t="str">
        <f>IFERROR(__xludf.DUMMYFUNCTION("IF(REGEXMATCH(TRIM(I13), ""^\d+\s*min""), ""Unclassified"", IF(I13 = """", ""NR"", I13))"),"TV-MA")</f>
        <v>TV-MA</v>
      </c>
      <c r="P13" s="5" t="str">
        <f>IFERROR(__xludf.DUMMYFUNCTION("""COMPUTED_VALUE"""),"Unclassified")</f>
        <v>Unclassified</v>
      </c>
      <c r="R13" s="5" t="str">
        <f t="shared" si="2"/>
        <v>Bangkok Breaking</v>
      </c>
      <c r="S13" s="5" t="str">
        <f>IFERROR(__xludf.DUMMYFUNCTION("""COMPUTED_VALUE"""),"#Rucker50")</f>
        <v>#Rucker50</v>
      </c>
      <c r="T13" s="5" t="str">
        <f>IFERROR(__xludf.DUMMYFUNCTION("""COMPUTED_VALUE"""),"Argentina, Uruguay, Spain, France")</f>
        <v>Argentina, Uruguay, Spain, France</v>
      </c>
      <c r="U13" s="5" t="str">
        <f>IFERROR(__xludf.DUMMYFUNCTION("""COMPUTED_VALUE"""),"Adam Salky")</f>
        <v>Adam Salky</v>
      </c>
      <c r="V13" s="5" t="s">
        <v>121</v>
      </c>
      <c r="W13" s="5" t="str">
        <f t="shared" si="3"/>
        <v>Aaron Lieber</v>
      </c>
      <c r="X13" s="5">
        <f t="shared" si="4"/>
        <v>1</v>
      </c>
      <c r="Y13" s="5" t="str">
        <f>IFERROR(__xludf.DUMMYFUNCTION("REGEXEXTRACT(J13, ""^\d+"")"),"1")</f>
        <v>1</v>
      </c>
      <c r="Z13" s="5" t="str">
        <f>IFERROR(__xludf.DUMMYFUNCTION("REGEXEXTRACT(J13, ""[A-Za-z ]+$"")")," Season")</f>
        <v> Season</v>
      </c>
      <c r="AA13" s="5" t="str">
        <f>IFERROR(__xludf.DUMMYFUNCTION("IF(REGEXMATCH(Z13, ""Season""), ""TV Show"", ""Movie"")"),"TV Show")</f>
        <v>TV Show</v>
      </c>
    </row>
    <row r="14">
      <c r="A14" s="1" t="s">
        <v>122</v>
      </c>
      <c r="B14" s="1" t="s">
        <v>27</v>
      </c>
      <c r="C14" s="1" t="s">
        <v>123</v>
      </c>
      <c r="D14" s="1" t="s">
        <v>124</v>
      </c>
      <c r="E14" s="1" t="s">
        <v>125</v>
      </c>
      <c r="F14" s="1" t="s">
        <v>126</v>
      </c>
      <c r="G14" s="1" t="s">
        <v>119</v>
      </c>
      <c r="H14" s="1">
        <v>2021.0</v>
      </c>
      <c r="I14" s="1" t="s">
        <v>42</v>
      </c>
      <c r="J14" s="1" t="s">
        <v>127</v>
      </c>
      <c r="K14" s="1" t="s">
        <v>128</v>
      </c>
      <c r="L14" s="1" t="s">
        <v>129</v>
      </c>
      <c r="M14" s="2" t="s">
        <v>12</v>
      </c>
      <c r="N14" s="4">
        <f t="shared" si="1"/>
        <v>44462</v>
      </c>
      <c r="O14" s="5" t="str">
        <f>IFERROR(__xludf.DUMMYFUNCTION("IF(REGEXMATCH(TRIM(I14), ""^\d+\s*min""), ""Unclassified"", IF(I14 = """", ""NR"", I14))"),"TV-MA")</f>
        <v>TV-MA</v>
      </c>
      <c r="P14" s="5" t="str">
        <f>IFERROR(__xludf.DUMMYFUNCTION("""COMPUTED_VALUE"""),"NR")</f>
        <v>NR</v>
      </c>
      <c r="R14" s="5" t="str">
        <f t="shared" si="2"/>
        <v>Je Suis Karl</v>
      </c>
      <c r="S14" s="5" t="str">
        <f>IFERROR(__xludf.DUMMYFUNCTION("""COMPUTED_VALUE"""),"#Selfie")</f>
        <v>#Selfie</v>
      </c>
      <c r="T14" s="5" t="str">
        <f>IFERROR(__xludf.DUMMYFUNCTION("""COMPUTED_VALUE"""),"Argentina, Venezuela")</f>
        <v>Argentina, Venezuela</v>
      </c>
      <c r="U14" s="5" t="str">
        <f>IFERROR(__xludf.DUMMYFUNCTION("""COMPUTED_VALUE"""),"Olivier Megaton")</f>
        <v>Olivier Megaton</v>
      </c>
      <c r="V14" s="5" t="s">
        <v>130</v>
      </c>
      <c r="W14" s="5" t="str">
        <f t="shared" si="3"/>
        <v>Aaron Nee, Adam Nee</v>
      </c>
      <c r="X14" s="5">
        <f t="shared" si="4"/>
        <v>1</v>
      </c>
      <c r="Y14" s="5" t="str">
        <f>IFERROR(__xludf.DUMMYFUNCTION("REGEXEXTRACT(J14, ""^\d+"")"),"127")</f>
        <v>127</v>
      </c>
      <c r="Z14" s="5" t="str">
        <f>IFERROR(__xludf.DUMMYFUNCTION("REGEXEXTRACT(J14, ""[A-Za-z ]+$"")")," min")</f>
        <v> min</v>
      </c>
      <c r="AA14" s="5" t="str">
        <f>IFERROR(__xludf.DUMMYFUNCTION("IF(REGEXMATCH(Z14, ""Season""), ""TV Show"", ""Movie"")"),"Movie")</f>
        <v>Movie</v>
      </c>
    </row>
    <row r="15">
      <c r="A15" s="1" t="s">
        <v>131</v>
      </c>
      <c r="B15" s="1" t="s">
        <v>27</v>
      </c>
      <c r="C15" s="1" t="s">
        <v>132</v>
      </c>
      <c r="D15" s="1" t="s">
        <v>133</v>
      </c>
      <c r="E15" s="1" t="s">
        <v>134</v>
      </c>
      <c r="G15" s="1" t="s">
        <v>135</v>
      </c>
      <c r="H15" s="1">
        <v>2021.0</v>
      </c>
      <c r="I15" s="1" t="s">
        <v>136</v>
      </c>
      <c r="J15" s="1" t="s">
        <v>79</v>
      </c>
      <c r="K15" s="1" t="s">
        <v>137</v>
      </c>
      <c r="L15" s="1" t="s">
        <v>138</v>
      </c>
      <c r="M15" s="2" t="s">
        <v>12</v>
      </c>
      <c r="N15" s="4">
        <f t="shared" si="1"/>
        <v>44461</v>
      </c>
      <c r="O15" s="5" t="str">
        <f>IFERROR(__xludf.DUMMYFUNCTION("IF(REGEXMATCH(TRIM(I15), ""^\d+\s*min""), ""Unclassified"", IF(I15 = """", ""NR"", I15))"),"TV-PG")</f>
        <v>TV-PG</v>
      </c>
      <c r="P15" s="5" t="str">
        <f>IFERROR(__xludf.DUMMYFUNCTION("""COMPUTED_VALUE"""),"TV-Y7-FV")</f>
        <v>TV-Y7-FV</v>
      </c>
      <c r="R15" s="5" t="str">
        <f t="shared" si="2"/>
        <v>Confessions Of An Invisible Girl</v>
      </c>
      <c r="S15" s="5" t="str">
        <f>IFERROR(__xludf.DUMMYFUNCTION("""COMPUTED_VALUE"""),"#Selfie 69")</f>
        <v>#Selfie 69</v>
      </c>
      <c r="T15" s="5" t="str">
        <f>IFERROR(__xludf.DUMMYFUNCTION("""COMPUTED_VALUE"""),"Australia")</f>
        <v>Australia</v>
      </c>
      <c r="U15" s="5" t="str">
        <f>IFERROR(__xludf.DUMMYFUNCTION("""COMPUTED_VALUE"""),"K.S. Ravikumar")</f>
        <v>K.S. Ravikumar</v>
      </c>
      <c r="V15" s="5" t="s">
        <v>139</v>
      </c>
      <c r="W15" s="5" t="str">
        <f t="shared" si="3"/>
        <v>Aaron Sorkin</v>
      </c>
      <c r="X15" s="5">
        <f t="shared" si="4"/>
        <v>2</v>
      </c>
      <c r="Y15" s="5" t="str">
        <f>IFERROR(__xludf.DUMMYFUNCTION("REGEXEXTRACT(J15, ""^\d+"")"),"91")</f>
        <v>91</v>
      </c>
      <c r="Z15" s="5" t="str">
        <f>IFERROR(__xludf.DUMMYFUNCTION("REGEXEXTRACT(J15, ""[A-Za-z ]+$"")")," min")</f>
        <v> min</v>
      </c>
      <c r="AA15" s="5" t="str">
        <f>IFERROR(__xludf.DUMMYFUNCTION("IF(REGEXMATCH(Z15, ""Season""), ""TV Show"", ""Movie"")"),"Movie")</f>
        <v>Movie</v>
      </c>
    </row>
    <row r="16">
      <c r="A16" s="1" t="s">
        <v>140</v>
      </c>
      <c r="B16" s="1" t="s">
        <v>37</v>
      </c>
      <c r="C16" s="1" t="s">
        <v>141</v>
      </c>
      <c r="G16" s="1" t="s">
        <v>135</v>
      </c>
      <c r="H16" s="1">
        <v>2021.0</v>
      </c>
      <c r="I16" s="1" t="s">
        <v>42</v>
      </c>
      <c r="J16" s="1" t="s">
        <v>51</v>
      </c>
      <c r="K16" s="1" t="s">
        <v>142</v>
      </c>
      <c r="L16" s="1" t="s">
        <v>143</v>
      </c>
      <c r="M16" s="2" t="s">
        <v>12</v>
      </c>
      <c r="N16" s="4">
        <f t="shared" si="1"/>
        <v>44461</v>
      </c>
      <c r="O16" s="5" t="str">
        <f>IFERROR(__xludf.DUMMYFUNCTION("IF(REGEXMATCH(TRIM(I16), ""^\d+\s*min""), ""Unclassified"", IF(I16 = """", ""NR"", I16))"),"TV-MA")</f>
        <v>TV-MA</v>
      </c>
      <c r="P16" s="5" t="str">
        <f>IFERROR(__xludf.DUMMYFUNCTION("""COMPUTED_VALUE"""),"UR")</f>
        <v>UR</v>
      </c>
      <c r="R16" s="5" t="str">
        <f t="shared" si="2"/>
        <v>Crime Stories: India Detectives</v>
      </c>
      <c r="S16" s="5" t="str">
        <f>IFERROR(__xludf.DUMMYFUNCTION("""COMPUTED_VALUE"""),"1 Chance 2 Dance")</f>
        <v>1 Chance 2 Dance</v>
      </c>
      <c r="T16" s="5" t="str">
        <f>IFERROR(__xludf.DUMMYFUNCTION("""COMPUTED_VALUE"""),"Australia, Armenia, Japan, Jordan, Mexico, Mongolia, New Zealand, Philippines, South Africa, Sweden, United States, Uruguay")</f>
        <v>Australia, Armenia, Japan, Jordan, Mexico, Mongolia, New Zealand, Philippines, South Africa, Sweden, United States, Uruguay</v>
      </c>
      <c r="U16" s="5" t="str">
        <f>IFERROR(__xludf.DUMMYFUNCTION("""COMPUTED_VALUE"""),"Alex Woo, Stanley Moore")</f>
        <v>Alex Woo, Stanley Moore</v>
      </c>
      <c r="V16" s="5" t="s">
        <v>144</v>
      </c>
      <c r="W16" s="5" t="str">
        <f t="shared" si="3"/>
        <v>Aaron Woodley</v>
      </c>
      <c r="X16" s="5">
        <f t="shared" si="4"/>
        <v>1</v>
      </c>
      <c r="Y16" s="5" t="str">
        <f>IFERROR(__xludf.DUMMYFUNCTION("REGEXEXTRACT(J16, ""^\d+"")"),"1")</f>
        <v>1</v>
      </c>
      <c r="Z16" s="5" t="str">
        <f>IFERROR(__xludf.DUMMYFUNCTION("REGEXEXTRACT(J16, ""[A-Za-z ]+$"")")," Season")</f>
        <v> Season</v>
      </c>
      <c r="AA16" s="5" t="str">
        <f>IFERROR(__xludf.DUMMYFUNCTION("IF(REGEXMATCH(Z16, ""Season""), ""TV Show"", ""Movie"")"),"TV Show")</f>
        <v>TV Show</v>
      </c>
    </row>
    <row r="17">
      <c r="A17" s="1" t="s">
        <v>145</v>
      </c>
      <c r="B17" s="1" t="s">
        <v>37</v>
      </c>
      <c r="C17" s="1" t="s">
        <v>146</v>
      </c>
      <c r="E17" s="1" t="s">
        <v>147</v>
      </c>
      <c r="F17" s="1" t="s">
        <v>30</v>
      </c>
      <c r="G17" s="1" t="s">
        <v>135</v>
      </c>
      <c r="H17" s="1">
        <v>2021.0</v>
      </c>
      <c r="I17" s="1" t="s">
        <v>42</v>
      </c>
      <c r="J17" s="1" t="s">
        <v>148</v>
      </c>
      <c r="K17" s="1" t="s">
        <v>149</v>
      </c>
      <c r="L17" s="1" t="s">
        <v>150</v>
      </c>
      <c r="M17" s="2" t="s">
        <v>12</v>
      </c>
      <c r="N17" s="4">
        <f t="shared" si="1"/>
        <v>44461</v>
      </c>
      <c r="O17" s="5" t="str">
        <f>IFERROR(__xludf.DUMMYFUNCTION("IF(REGEXMATCH(TRIM(I17), ""^\d+\s*min""), ""Unclassified"", IF(I17 = """", ""NR"", I17))"),"TV-MA")</f>
        <v>TV-MA</v>
      </c>
      <c r="P17" s="5"/>
      <c r="R17" s="5" t="str">
        <f t="shared" si="2"/>
        <v>Dear White People</v>
      </c>
      <c r="S17" s="5" t="str">
        <f>IFERROR(__xludf.DUMMYFUNCTION("""COMPUTED_VALUE"""),"1 Mile To You")</f>
        <v>1 Mile To You</v>
      </c>
      <c r="T17" s="5" t="str">
        <f>IFERROR(__xludf.DUMMYFUNCTION("""COMPUTED_VALUE"""),"Australia, Canada")</f>
        <v>Australia, Canada</v>
      </c>
      <c r="U17" s="5" t="str">
        <f>IFERROR(__xludf.DUMMYFUNCTION("""COMPUTED_VALUE"""),"S. Shankar")</f>
        <v>S. Shankar</v>
      </c>
      <c r="V17" s="5" t="s">
        <v>151</v>
      </c>
      <c r="W17" s="5" t="str">
        <f t="shared" si="3"/>
        <v>Aatmaram Dharne</v>
      </c>
      <c r="X17" s="5">
        <f t="shared" si="4"/>
        <v>1</v>
      </c>
      <c r="Y17" s="5" t="str">
        <f>IFERROR(__xludf.DUMMYFUNCTION("REGEXEXTRACT(J17, ""^\d+"")"),"4")</f>
        <v>4</v>
      </c>
      <c r="Z17" s="5" t="str">
        <f>IFERROR(__xludf.DUMMYFUNCTION("REGEXEXTRACT(J17, ""[A-Za-z ]+$"")")," Seasons")</f>
        <v> Seasons</v>
      </c>
      <c r="AA17" s="5" t="str">
        <f>IFERROR(__xludf.DUMMYFUNCTION("IF(REGEXMATCH(Z17, ""Season""), ""TV Show"", ""Movie"")"),"TV Show")</f>
        <v>TV Show</v>
      </c>
    </row>
    <row r="18">
      <c r="A18" s="1" t="s">
        <v>152</v>
      </c>
      <c r="B18" s="1" t="s">
        <v>27</v>
      </c>
      <c r="C18" s="1" t="s">
        <v>153</v>
      </c>
      <c r="D18" s="1" t="s">
        <v>154</v>
      </c>
      <c r="G18" s="1" t="s">
        <v>135</v>
      </c>
      <c r="H18" s="1">
        <v>2020.0</v>
      </c>
      <c r="I18" s="1" t="s">
        <v>42</v>
      </c>
      <c r="J18" s="1" t="s">
        <v>155</v>
      </c>
      <c r="K18" s="1" t="s">
        <v>156</v>
      </c>
      <c r="L18" s="1" t="s">
        <v>157</v>
      </c>
      <c r="M18" s="2" t="s">
        <v>12</v>
      </c>
      <c r="N18" s="4">
        <f t="shared" si="1"/>
        <v>44461</v>
      </c>
      <c r="O18" s="5" t="str">
        <f>IFERROR(__xludf.DUMMYFUNCTION("IF(REGEXMATCH(TRIM(I18), ""^\d+\s*min""), ""Unclassified"", IF(I18 = """", ""NR"", I18))"),"TV-MA")</f>
        <v>TV-MA</v>
      </c>
      <c r="R18" s="5" t="str">
        <f t="shared" si="2"/>
        <v>Europe'S Most Dangerous Man: Otto Skorzeny In Spain</v>
      </c>
      <c r="S18" s="5" t="str">
        <f>IFERROR(__xludf.DUMMYFUNCTION("""COMPUTED_VALUE"""),"10 Days In Sun City")</f>
        <v>10 Days In Sun City</v>
      </c>
      <c r="T18" s="5" t="str">
        <f>IFERROR(__xludf.DUMMYFUNCTION("""COMPUTED_VALUE"""),"Australia, France")</f>
        <v>Australia, France</v>
      </c>
      <c r="U18" s="5" t="str">
        <f>IFERROR(__xludf.DUMMYFUNCTION("""COMPUTED_VALUE"""),"Rajiv Menon")</f>
        <v>Rajiv Menon</v>
      </c>
      <c r="V18" s="5" t="s">
        <v>158</v>
      </c>
      <c r="W18" s="5" t="str">
        <f t="shared" si="3"/>
        <v>Abba T. Makama</v>
      </c>
      <c r="X18" s="5">
        <f t="shared" si="4"/>
        <v>2</v>
      </c>
      <c r="Y18" s="5" t="str">
        <f>IFERROR(__xludf.DUMMYFUNCTION("REGEXEXTRACT(J18, ""^\d+"")"),"67")</f>
        <v>67</v>
      </c>
      <c r="Z18" s="5" t="str">
        <f>IFERROR(__xludf.DUMMYFUNCTION("REGEXEXTRACT(J18, ""[A-Za-z ]+$"")")," min")</f>
        <v> min</v>
      </c>
      <c r="AA18" s="5" t="str">
        <f>IFERROR(__xludf.DUMMYFUNCTION("IF(REGEXMATCH(Z18, ""Season""), ""TV Show"", ""Movie"")"),"Movie")</f>
        <v>Movie</v>
      </c>
    </row>
    <row r="19">
      <c r="A19" s="1" t="s">
        <v>159</v>
      </c>
      <c r="B19" s="1" t="s">
        <v>37</v>
      </c>
      <c r="C19" s="1" t="s">
        <v>160</v>
      </c>
      <c r="E19" s="1" t="s">
        <v>161</v>
      </c>
      <c r="F19" s="1" t="s">
        <v>162</v>
      </c>
      <c r="G19" s="1" t="s">
        <v>135</v>
      </c>
      <c r="H19" s="1">
        <v>2020.0</v>
      </c>
      <c r="I19" s="1" t="s">
        <v>42</v>
      </c>
      <c r="J19" s="1" t="s">
        <v>43</v>
      </c>
      <c r="K19" s="1" t="s">
        <v>163</v>
      </c>
      <c r="L19" s="1" t="s">
        <v>164</v>
      </c>
      <c r="M19" s="2" t="s">
        <v>12</v>
      </c>
      <c r="N19" s="4">
        <f t="shared" si="1"/>
        <v>44461</v>
      </c>
      <c r="O19" s="5" t="str">
        <f>IFERROR(__xludf.DUMMYFUNCTION("IF(REGEXMATCH(TRIM(I19), ""^\d+\s*min""), ""Unclassified"", IF(I19 = """", ""NR"", I19))"),"TV-MA")</f>
        <v>TV-MA</v>
      </c>
      <c r="R19" s="5" t="str">
        <f t="shared" si="2"/>
        <v>Falsa Identidad</v>
      </c>
      <c r="S19" s="5" t="str">
        <f>IFERROR(__xludf.DUMMYFUNCTION("""COMPUTED_VALUE"""),"10 Jours En Or")</f>
        <v>10 Jours En Or</v>
      </c>
      <c r="T19" s="5" t="str">
        <f>IFERROR(__xludf.DUMMYFUNCTION("""COMPUTED_VALUE"""),"Australia, France, Ireland")</f>
        <v>Australia, France, Ireland</v>
      </c>
      <c r="U19" s="5" t="str">
        <f>IFERROR(__xludf.DUMMYFUNCTION("""COMPUTED_VALUE"""),"Dennis Dugan")</f>
        <v>Dennis Dugan</v>
      </c>
      <c r="V19" s="5" t="s">
        <v>165</v>
      </c>
      <c r="W19" s="5" t="str">
        <f t="shared" si="3"/>
        <v>Abbas Alibhai Burmawalla, Mastan Alibhai Burmawalla</v>
      </c>
      <c r="X19" s="5">
        <f t="shared" si="4"/>
        <v>4</v>
      </c>
      <c r="Y19" s="5" t="str">
        <f>IFERROR(__xludf.DUMMYFUNCTION("REGEXEXTRACT(J19, ""^\d+"")"),"2")</f>
        <v>2</v>
      </c>
      <c r="Z19" s="5" t="str">
        <f>IFERROR(__xludf.DUMMYFUNCTION("REGEXEXTRACT(J19, ""[A-Za-z ]+$"")")," Seasons")</f>
        <v> Seasons</v>
      </c>
      <c r="AA19" s="5" t="str">
        <f>IFERROR(__xludf.DUMMYFUNCTION("IF(REGEXMATCH(Z19, ""Season""), ""TV Show"", ""Movie"")"),"TV Show")</f>
        <v>TV Show</v>
      </c>
    </row>
    <row r="20">
      <c r="A20" s="1" t="s">
        <v>166</v>
      </c>
      <c r="B20" s="1" t="s">
        <v>27</v>
      </c>
      <c r="C20" s="1" t="s">
        <v>167</v>
      </c>
      <c r="D20" s="1" t="s">
        <v>168</v>
      </c>
      <c r="E20" s="1" t="s">
        <v>169</v>
      </c>
      <c r="G20" s="1" t="s">
        <v>135</v>
      </c>
      <c r="H20" s="1">
        <v>2021.0</v>
      </c>
      <c r="I20" s="1" t="s">
        <v>97</v>
      </c>
      <c r="J20" s="1" t="s">
        <v>170</v>
      </c>
      <c r="K20" s="1" t="s">
        <v>171</v>
      </c>
      <c r="L20" s="1" t="s">
        <v>172</v>
      </c>
      <c r="M20" s="2" t="s">
        <v>12</v>
      </c>
      <c r="N20" s="4">
        <f t="shared" si="1"/>
        <v>44461</v>
      </c>
      <c r="O20" s="5" t="str">
        <f>IFERROR(__xludf.DUMMYFUNCTION("IF(REGEXMATCH(TRIM(I20), ""^\d+\s*min""), ""Unclassified"", IF(I20 = """", ""NR"", I20))"),"TV-14")</f>
        <v>TV-14</v>
      </c>
      <c r="R20" s="5" t="str">
        <f t="shared" si="2"/>
        <v>Intrusion</v>
      </c>
      <c r="S20" s="5" t="str">
        <f>IFERROR(__xludf.DUMMYFUNCTION("""COMPUTED_VALUE"""),"10,000 B.C.")</f>
        <v>10,000 B.C.</v>
      </c>
      <c r="T20" s="5" t="str">
        <f>IFERROR(__xludf.DUMMYFUNCTION("""COMPUTED_VALUE"""),"Australia, Germany")</f>
        <v>Australia, Germany</v>
      </c>
      <c r="U20" s="5" t="str">
        <f>IFERROR(__xludf.DUMMYFUNCTION("""COMPUTED_VALUE"""),"Scott Stewart")</f>
        <v>Scott Stewart</v>
      </c>
      <c r="V20" s="5" t="s">
        <v>173</v>
      </c>
      <c r="W20" s="5" t="str">
        <f t="shared" si="3"/>
        <v>Abbas Mustan</v>
      </c>
      <c r="X20" s="5">
        <f t="shared" si="4"/>
        <v>1</v>
      </c>
      <c r="Y20" s="5" t="str">
        <f>IFERROR(__xludf.DUMMYFUNCTION("REGEXEXTRACT(J20, ""^\d+"")"),"94")</f>
        <v>94</v>
      </c>
      <c r="Z20" s="5" t="str">
        <f>IFERROR(__xludf.DUMMYFUNCTION("REGEXEXTRACT(J20, ""[A-Za-z ]+$"")")," min")</f>
        <v> min</v>
      </c>
      <c r="AA20" s="5" t="str">
        <f>IFERROR(__xludf.DUMMYFUNCTION("IF(REGEXMATCH(Z20, ""Season""), ""TV Show"", ""Movie"")"),"Movie")</f>
        <v>Movie</v>
      </c>
    </row>
    <row r="21">
      <c r="A21" s="1" t="s">
        <v>174</v>
      </c>
      <c r="B21" s="1" t="s">
        <v>37</v>
      </c>
      <c r="C21" s="1" t="s">
        <v>175</v>
      </c>
      <c r="E21" s="1" t="s">
        <v>176</v>
      </c>
      <c r="G21" s="1" t="s">
        <v>135</v>
      </c>
      <c r="H21" s="1">
        <v>2021.0</v>
      </c>
      <c r="I21" s="1" t="s">
        <v>42</v>
      </c>
      <c r="J21" s="1" t="s">
        <v>51</v>
      </c>
      <c r="K21" s="1" t="s">
        <v>177</v>
      </c>
      <c r="L21" s="1" t="s">
        <v>178</v>
      </c>
      <c r="M21" s="2" t="s">
        <v>12</v>
      </c>
      <c r="N21" s="4">
        <f t="shared" si="1"/>
        <v>44461</v>
      </c>
      <c r="O21" s="5" t="str">
        <f>IFERROR(__xludf.DUMMYFUNCTION("IF(REGEXMATCH(TRIM(I21), ""^\d+\s*min""), ""Unclassified"", IF(I21 = """", ""NR"", I21))"),"TV-MA")</f>
        <v>TV-MA</v>
      </c>
      <c r="R21" s="5" t="str">
        <f t="shared" si="2"/>
        <v>Jaguar</v>
      </c>
      <c r="S21" s="5" t="str">
        <f>IFERROR(__xludf.DUMMYFUNCTION("""COMPUTED_VALUE"""),"100 Days My Prince")</f>
        <v>100 Days My Prince</v>
      </c>
      <c r="T21" s="5" t="str">
        <f>IFERROR(__xludf.DUMMYFUNCTION("""COMPUTED_VALUE"""),"Australia, India")</f>
        <v>Australia, India</v>
      </c>
      <c r="U21" s="5" t="str">
        <f>IFERROR(__xludf.DUMMYFUNCTION("""COMPUTED_VALUE"""),"Robert Luketic")</f>
        <v>Robert Luketic</v>
      </c>
      <c r="V21" s="5" t="s">
        <v>179</v>
      </c>
      <c r="W21" s="5" t="str">
        <f t="shared" si="3"/>
        <v>Abbas Tyrewala</v>
      </c>
      <c r="X21" s="5">
        <f t="shared" si="4"/>
        <v>1</v>
      </c>
      <c r="Y21" s="5" t="str">
        <f>IFERROR(__xludf.DUMMYFUNCTION("REGEXEXTRACT(J21, ""^\d+"")"),"1")</f>
        <v>1</v>
      </c>
      <c r="Z21" s="5" t="str">
        <f>IFERROR(__xludf.DUMMYFUNCTION("REGEXEXTRACT(J21, ""[A-Za-z ]+$"")")," Season")</f>
        <v> Season</v>
      </c>
      <c r="AA21" s="5" t="str">
        <f>IFERROR(__xludf.DUMMYFUNCTION("IF(REGEXMATCH(Z21, ""Season""), ""TV Show"", ""Movie"")"),"TV Show")</f>
        <v>TV Show</v>
      </c>
    </row>
    <row r="22">
      <c r="A22" s="1" t="s">
        <v>180</v>
      </c>
      <c r="B22" s="1" t="s">
        <v>37</v>
      </c>
      <c r="C22" s="1" t="s">
        <v>181</v>
      </c>
      <c r="D22" s="1" t="s">
        <v>182</v>
      </c>
      <c r="G22" s="1" t="s">
        <v>135</v>
      </c>
      <c r="H22" s="1">
        <v>2021.0</v>
      </c>
      <c r="I22" s="1" t="s">
        <v>97</v>
      </c>
      <c r="J22" s="1" t="s">
        <v>51</v>
      </c>
      <c r="K22" s="1" t="s">
        <v>112</v>
      </c>
      <c r="L22" s="1" t="s">
        <v>183</v>
      </c>
      <c r="M22" s="2" t="s">
        <v>12</v>
      </c>
      <c r="N22" s="4">
        <f t="shared" si="1"/>
        <v>44461</v>
      </c>
      <c r="O22" s="5" t="str">
        <f>IFERROR(__xludf.DUMMYFUNCTION("IF(REGEXMATCH(TRIM(I22), ""^\d+\s*min""), ""Unclassified"", IF(I22 = """", ""NR"", I22))"),"TV-14")</f>
        <v>TV-14</v>
      </c>
      <c r="R22" s="5" t="str">
        <f t="shared" si="2"/>
        <v>Monsters Inside: The 24 Faces Of Billy Milligan</v>
      </c>
      <c r="S22" s="5" t="str">
        <f>IFERROR(__xludf.DUMMYFUNCTION("""COMPUTED_VALUE"""),"100 Days Of Solitude")</f>
        <v>100 Days Of Solitude</v>
      </c>
      <c r="T22" s="5" t="str">
        <f>IFERROR(__xludf.DUMMYFUNCTION("""COMPUTED_VALUE"""),"Australia, Iraq")</f>
        <v>Australia, Iraq</v>
      </c>
      <c r="U22" s="5" t="str">
        <f>IFERROR(__xludf.DUMMYFUNCTION("""COMPUTED_VALUE"""),"Ashwiny Iyer Tiwari, Abhishek Chaubey, Saket Chaudhary")</f>
        <v>Ashwiny Iyer Tiwari, Abhishek Chaubey, Saket Chaudhary</v>
      </c>
      <c r="V22" s="5" t="s">
        <v>184</v>
      </c>
      <c r="W22" s="5" t="str">
        <f t="shared" si="3"/>
        <v>Abby Epstein</v>
      </c>
      <c r="X22" s="5">
        <f t="shared" si="4"/>
        <v>1</v>
      </c>
      <c r="Y22" s="5" t="str">
        <f>IFERROR(__xludf.DUMMYFUNCTION("REGEXEXTRACT(J22, ""^\d+"")"),"1")</f>
        <v>1</v>
      </c>
      <c r="Z22" s="5" t="str">
        <f>IFERROR(__xludf.DUMMYFUNCTION("REGEXEXTRACT(J22, ""[A-Za-z ]+$"")")," Season")</f>
        <v> Season</v>
      </c>
      <c r="AA22" s="5" t="str">
        <f>IFERROR(__xludf.DUMMYFUNCTION("IF(REGEXMATCH(Z22, ""Season""), ""TV Show"", ""Movie"")"),"TV Show")</f>
        <v>TV Show</v>
      </c>
    </row>
    <row r="23">
      <c r="A23" s="1" t="s">
        <v>185</v>
      </c>
      <c r="B23" s="1" t="s">
        <v>37</v>
      </c>
      <c r="C23" s="1" t="s">
        <v>186</v>
      </c>
      <c r="E23" s="1" t="s">
        <v>187</v>
      </c>
      <c r="F23" s="1" t="s">
        <v>188</v>
      </c>
      <c r="G23" s="1" t="s">
        <v>135</v>
      </c>
      <c r="H23" s="1">
        <v>2018.0</v>
      </c>
      <c r="I23" s="1" t="s">
        <v>97</v>
      </c>
      <c r="J23" s="1" t="s">
        <v>189</v>
      </c>
      <c r="K23" s="1" t="s">
        <v>190</v>
      </c>
      <c r="L23" s="1" t="s">
        <v>191</v>
      </c>
      <c r="M23" s="2" t="s">
        <v>12</v>
      </c>
      <c r="N23" s="4">
        <f t="shared" si="1"/>
        <v>44461</v>
      </c>
      <c r="O23" s="5" t="str">
        <f>IFERROR(__xludf.DUMMYFUNCTION("IF(REGEXMATCH(TRIM(I23), ""^\d+\s*min""), ""Unclassified"", IF(I23 = """", ""NR"", I23))"),"TV-14")</f>
        <v>TV-14</v>
      </c>
      <c r="R23" s="5" t="str">
        <f t="shared" si="2"/>
        <v>Resurrection: Ertugrul</v>
      </c>
      <c r="S23" s="5" t="str">
        <f>IFERROR(__xludf.DUMMYFUNCTION("""COMPUTED_VALUE"""),"100 Humans")</f>
        <v>100 Humans</v>
      </c>
      <c r="T23" s="5" t="str">
        <f>IFERROR(__xludf.DUMMYFUNCTION("""COMPUTED_VALUE"""),"Australia, New Zealand")</f>
        <v>Australia, New Zealand</v>
      </c>
      <c r="U23" s="5" t="str">
        <f>IFERROR(__xludf.DUMMYFUNCTION("""COMPUTED_VALUE"""),"Daniel Sandu")</f>
        <v>Daniel Sandu</v>
      </c>
      <c r="V23" s="5" t="s">
        <v>192</v>
      </c>
      <c r="W23" s="5" t="str">
        <f t="shared" si="3"/>
        <v>Abdellatif Kechiche</v>
      </c>
      <c r="X23" s="5">
        <f t="shared" si="4"/>
        <v>1</v>
      </c>
      <c r="Y23" s="5" t="str">
        <f>IFERROR(__xludf.DUMMYFUNCTION("REGEXEXTRACT(J23, ""^\d+"")"),"5")</f>
        <v>5</v>
      </c>
      <c r="Z23" s="5" t="str">
        <f>IFERROR(__xludf.DUMMYFUNCTION("REGEXEXTRACT(J23, ""[A-Za-z ]+$"")")," Seasons")</f>
        <v> Seasons</v>
      </c>
      <c r="AA23" s="5" t="str">
        <f>IFERROR(__xludf.DUMMYFUNCTION("IF(REGEXMATCH(Z23, ""Season""), ""TV Show"", ""Movie"")"),"TV Show")</f>
        <v>TV Show</v>
      </c>
    </row>
    <row r="24">
      <c r="A24" s="1" t="s">
        <v>193</v>
      </c>
      <c r="B24" s="1" t="s">
        <v>27</v>
      </c>
      <c r="C24" s="1" t="s">
        <v>194</v>
      </c>
      <c r="D24" s="1" t="s">
        <v>195</v>
      </c>
      <c r="E24" s="1" t="s">
        <v>196</v>
      </c>
      <c r="G24" s="1" t="s">
        <v>197</v>
      </c>
      <c r="H24" s="1">
        <v>1996.0</v>
      </c>
      <c r="I24" s="1" t="s">
        <v>136</v>
      </c>
      <c r="J24" s="1" t="s">
        <v>198</v>
      </c>
      <c r="K24" s="1" t="s">
        <v>199</v>
      </c>
      <c r="L24" s="1" t="s">
        <v>200</v>
      </c>
      <c r="M24" s="2" t="s">
        <v>12</v>
      </c>
      <c r="N24" s="4">
        <f t="shared" si="1"/>
        <v>44460</v>
      </c>
      <c r="O24" s="5" t="str">
        <f>IFERROR(__xludf.DUMMYFUNCTION("IF(REGEXMATCH(TRIM(I24), ""^\d+\s*min""), ""Unclassified"", IF(I24 = """", ""NR"", I24))"),"TV-PG")</f>
        <v>TV-PG</v>
      </c>
      <c r="R24" s="5" t="str">
        <f t="shared" si="2"/>
        <v>Avvai Shanmughi</v>
      </c>
      <c r="S24" s="5" t="str">
        <f>IFERROR(__xludf.DUMMYFUNCTION("""COMPUTED_VALUE"""),"100 Meters")</f>
        <v>100 Meters</v>
      </c>
      <c r="T24" s="5" t="str">
        <f>IFERROR(__xludf.DUMMYFUNCTION("""COMPUTED_VALUE"""),"Australia, New Zealand, United States")</f>
        <v>Australia, New Zealand, United States</v>
      </c>
      <c r="U24" s="5" t="str">
        <f>IFERROR(__xludf.DUMMYFUNCTION("""COMPUTED_VALUE"""),"Cédric Jimenez")</f>
        <v>Cédric Jimenez</v>
      </c>
      <c r="V24" s="5" t="s">
        <v>201</v>
      </c>
      <c r="W24" s="5" t="str">
        <f t="shared" si="3"/>
        <v>Abdul Aziz Hashad</v>
      </c>
      <c r="X24" s="5">
        <f t="shared" si="4"/>
        <v>1</v>
      </c>
      <c r="Y24" s="5" t="str">
        <f>IFERROR(__xludf.DUMMYFUNCTION("REGEXEXTRACT(J24, ""^\d+"")"),"161")</f>
        <v>161</v>
      </c>
      <c r="Z24" s="5" t="str">
        <f>IFERROR(__xludf.DUMMYFUNCTION("REGEXEXTRACT(J24, ""[A-Za-z ]+$"")")," min")</f>
        <v> min</v>
      </c>
      <c r="AA24" s="5" t="str">
        <f>IFERROR(__xludf.DUMMYFUNCTION("IF(REGEXMATCH(Z24, ""Season""), ""TV Show"", ""Movie"")"),"Movie")</f>
        <v>Movie</v>
      </c>
    </row>
    <row r="25">
      <c r="A25" s="1" t="s">
        <v>202</v>
      </c>
      <c r="B25" s="1" t="s">
        <v>27</v>
      </c>
      <c r="C25" s="1" t="s">
        <v>203</v>
      </c>
      <c r="D25" s="1" t="s">
        <v>204</v>
      </c>
      <c r="E25" s="1" t="s">
        <v>205</v>
      </c>
      <c r="G25" s="1" t="s">
        <v>197</v>
      </c>
      <c r="H25" s="1">
        <v>2021.0</v>
      </c>
      <c r="I25" s="1" t="s">
        <v>206</v>
      </c>
      <c r="J25" s="1" t="s">
        <v>207</v>
      </c>
      <c r="K25" s="1" t="s">
        <v>80</v>
      </c>
      <c r="L25" s="1" t="s">
        <v>208</v>
      </c>
      <c r="M25" s="2" t="s">
        <v>12</v>
      </c>
      <c r="N25" s="4">
        <f t="shared" si="1"/>
        <v>44460</v>
      </c>
      <c r="O25" s="5" t="str">
        <f>IFERROR(__xludf.DUMMYFUNCTION("IF(REGEXMATCH(TRIM(I25), ""^\d+\s*min""), ""Unclassified"", IF(I25 = """", ""NR"", I25))"),"TV-Y")</f>
        <v>TV-Y</v>
      </c>
      <c r="R25" s="5" t="str">
        <f t="shared" si="2"/>
        <v>Go! Go! Cory Carson: Chrissy Takes The Wheel</v>
      </c>
      <c r="S25" s="5" t="str">
        <f>IFERROR(__xludf.DUMMYFUNCTION("""COMPUTED_VALUE"""),"100 Things To Do Before High School")</f>
        <v>100 Things To Do Before High School</v>
      </c>
      <c r="T25" s="5" t="str">
        <f>IFERROR(__xludf.DUMMYFUNCTION("""COMPUTED_VALUE"""),"Australia, United Arab Emirates")</f>
        <v>Australia, United Arab Emirates</v>
      </c>
      <c r="U25" s="5" t="str">
        <f>IFERROR(__xludf.DUMMYFUNCTION("""COMPUTED_VALUE"""),"George Nolfi")</f>
        <v>George Nolfi</v>
      </c>
      <c r="V25" s="5" t="s">
        <v>209</v>
      </c>
      <c r="W25" s="5" t="str">
        <f t="shared" si="3"/>
        <v>Abdulaziz Alshlahei</v>
      </c>
      <c r="X25" s="5">
        <f t="shared" si="4"/>
        <v>1</v>
      </c>
      <c r="Y25" s="5" t="str">
        <f>IFERROR(__xludf.DUMMYFUNCTION("REGEXEXTRACT(J25, ""^\d+"")"),"61")</f>
        <v>61</v>
      </c>
      <c r="Z25" s="5" t="str">
        <f>IFERROR(__xludf.DUMMYFUNCTION("REGEXEXTRACT(J25, ""[A-Za-z ]+$"")")," min")</f>
        <v> min</v>
      </c>
      <c r="AA25" s="5" t="str">
        <f>IFERROR(__xludf.DUMMYFUNCTION("IF(REGEXMATCH(Z25, ""Season""), ""TV Show"", ""Movie"")"),"Movie")</f>
        <v>Movie</v>
      </c>
    </row>
    <row r="26">
      <c r="A26" s="1" t="s">
        <v>210</v>
      </c>
      <c r="B26" s="1" t="s">
        <v>27</v>
      </c>
      <c r="C26" s="1" t="s">
        <v>211</v>
      </c>
      <c r="D26" s="1" t="s">
        <v>212</v>
      </c>
      <c r="E26" s="1" t="s">
        <v>213</v>
      </c>
      <c r="F26" s="1" t="s">
        <v>63</v>
      </c>
      <c r="G26" s="1" t="s">
        <v>197</v>
      </c>
      <c r="H26" s="1">
        <v>1998.0</v>
      </c>
      <c r="I26" s="1" t="s">
        <v>97</v>
      </c>
      <c r="J26" s="1" t="s">
        <v>214</v>
      </c>
      <c r="K26" s="1" t="s">
        <v>215</v>
      </c>
      <c r="L26" s="1" t="s">
        <v>216</v>
      </c>
      <c r="M26" s="2" t="s">
        <v>12</v>
      </c>
      <c r="N26" s="4">
        <f t="shared" si="1"/>
        <v>44460</v>
      </c>
      <c r="O26" s="5" t="str">
        <f>IFERROR(__xludf.DUMMYFUNCTION("IF(REGEXMATCH(TRIM(I26), ""^\d+\s*min""), ""Unclassified"", IF(I26 = """", ""NR"", I26))"),"TV-14")</f>
        <v>TV-14</v>
      </c>
      <c r="R26" s="5" t="str">
        <f t="shared" si="2"/>
        <v>Jeans</v>
      </c>
      <c r="S26" s="5" t="str">
        <f>IFERROR(__xludf.DUMMYFUNCTION("""COMPUTED_VALUE"""),"100 Years: One Woman'S Fight For Justice")</f>
        <v>100 Years: One Woman'S Fight For Justice</v>
      </c>
      <c r="T26" s="5" t="str">
        <f>IFERROR(__xludf.DUMMYFUNCTION("""COMPUTED_VALUE"""),"Australia, United Kingdom")</f>
        <v>Australia, United Kingdom</v>
      </c>
      <c r="U26" s="5" t="str">
        <f>IFERROR(__xludf.DUMMYFUNCTION("""COMPUTED_VALUE"""),"Steven Spielberg")</f>
        <v>Steven Spielberg</v>
      </c>
      <c r="V26" s="5" t="s">
        <v>217</v>
      </c>
      <c r="W26" s="5" t="str">
        <f t="shared" si="3"/>
        <v>Abel Ferrara</v>
      </c>
      <c r="X26" s="5">
        <f t="shared" si="4"/>
        <v>1</v>
      </c>
      <c r="Y26" s="5" t="str">
        <f>IFERROR(__xludf.DUMMYFUNCTION("REGEXEXTRACT(J26, ""^\d+"")"),"166")</f>
        <v>166</v>
      </c>
      <c r="Z26" s="5" t="str">
        <f>IFERROR(__xludf.DUMMYFUNCTION("REGEXEXTRACT(J26, ""[A-Za-z ]+$"")")," min")</f>
        <v> min</v>
      </c>
      <c r="AA26" s="5" t="str">
        <f>IFERROR(__xludf.DUMMYFUNCTION("IF(REGEXMATCH(Z26, ""Season""), ""TV Show"", ""Movie"")"),"Movie")</f>
        <v>Movie</v>
      </c>
    </row>
    <row r="27">
      <c r="A27" s="1" t="s">
        <v>218</v>
      </c>
      <c r="B27" s="1" t="s">
        <v>37</v>
      </c>
      <c r="C27" s="1" t="s">
        <v>219</v>
      </c>
      <c r="E27" s="1" t="s">
        <v>220</v>
      </c>
      <c r="F27" s="1" t="s">
        <v>221</v>
      </c>
      <c r="G27" s="1" t="s">
        <v>197</v>
      </c>
      <c r="H27" s="1">
        <v>2021.0</v>
      </c>
      <c r="I27" s="1" t="s">
        <v>97</v>
      </c>
      <c r="J27" s="1" t="s">
        <v>43</v>
      </c>
      <c r="K27" s="1" t="s">
        <v>222</v>
      </c>
      <c r="L27" s="1" t="s">
        <v>223</v>
      </c>
      <c r="M27" s="2" t="s">
        <v>12</v>
      </c>
      <c r="N27" s="4">
        <f t="shared" si="1"/>
        <v>44460</v>
      </c>
      <c r="O27" s="5" t="str">
        <f>IFERROR(__xludf.DUMMYFUNCTION("IF(REGEXMATCH(TRIM(I27), ""^\d+\s*min""), ""Unclassified"", IF(I27 = """", ""NR"", I27))"),"TV-14")</f>
        <v>TV-14</v>
      </c>
      <c r="R27" s="5" t="str">
        <f t="shared" si="2"/>
        <v>Love On The Spectrum</v>
      </c>
      <c r="S27" s="5" t="str">
        <f>IFERROR(__xludf.DUMMYFUNCTION("""COMPUTED_VALUE"""),"100% Halal")</f>
        <v>100% Halal</v>
      </c>
      <c r="T27" s="5" t="str">
        <f>IFERROR(__xludf.DUMMYFUNCTION("""COMPUTED_VALUE"""),"Australia, United Kingdom, Canada")</f>
        <v>Australia, United Kingdom, Canada</v>
      </c>
      <c r="U27" s="5" t="str">
        <f>IFERROR(__xludf.DUMMYFUNCTION("""COMPUTED_VALUE"""),"Jeannot Szwarc")</f>
        <v>Jeannot Szwarc</v>
      </c>
      <c r="V27" s="5" t="s">
        <v>224</v>
      </c>
      <c r="W27" s="5" t="str">
        <f t="shared" si="3"/>
        <v>Abhay Chopra</v>
      </c>
      <c r="X27" s="5">
        <f t="shared" si="4"/>
        <v>1</v>
      </c>
      <c r="Y27" s="5" t="str">
        <f>IFERROR(__xludf.DUMMYFUNCTION("REGEXEXTRACT(J27, ""^\d+"")"),"2")</f>
        <v>2</v>
      </c>
      <c r="Z27" s="5" t="str">
        <f>IFERROR(__xludf.DUMMYFUNCTION("REGEXEXTRACT(J27, ""[A-Za-z ]+$"")")," Seasons")</f>
        <v> Seasons</v>
      </c>
      <c r="AA27" s="5" t="str">
        <f>IFERROR(__xludf.DUMMYFUNCTION("IF(REGEXMATCH(Z27, ""Season""), ""TV Show"", ""Movie"")"),"TV Show")</f>
        <v>TV Show</v>
      </c>
    </row>
    <row r="28">
      <c r="A28" s="1" t="s">
        <v>225</v>
      </c>
      <c r="B28" s="1" t="s">
        <v>27</v>
      </c>
      <c r="C28" s="1" t="s">
        <v>226</v>
      </c>
      <c r="D28" s="1" t="s">
        <v>227</v>
      </c>
      <c r="E28" s="1" t="s">
        <v>228</v>
      </c>
      <c r="G28" s="1" t="s">
        <v>197</v>
      </c>
      <c r="H28" s="1">
        <v>1997.0</v>
      </c>
      <c r="I28" s="1" t="s">
        <v>136</v>
      </c>
      <c r="J28" s="1" t="s">
        <v>229</v>
      </c>
      <c r="K28" s="1" t="s">
        <v>230</v>
      </c>
      <c r="L28" s="1" t="s">
        <v>231</v>
      </c>
      <c r="M28" s="2" t="s">
        <v>12</v>
      </c>
      <c r="N28" s="4">
        <f t="shared" si="1"/>
        <v>44460</v>
      </c>
      <c r="O28" s="5" t="str">
        <f>IFERROR(__xludf.DUMMYFUNCTION("IF(REGEXMATCH(TRIM(I28), ""^\d+\s*min""), ""Unclassified"", IF(I28 = """", ""NR"", I28))"),"TV-PG")</f>
        <v>TV-PG</v>
      </c>
      <c r="R28" s="5" t="str">
        <f t="shared" si="2"/>
        <v>Minsara Kanavu</v>
      </c>
      <c r="S28" s="5" t="str">
        <f>IFERROR(__xludf.DUMMYFUNCTION("""COMPUTED_VALUE"""),"100% Hotter")</f>
        <v>100% Hotter</v>
      </c>
      <c r="T28" s="5" t="str">
        <f>IFERROR(__xludf.DUMMYFUNCTION("""COMPUTED_VALUE"""),"Australia, United Kingdom, United Arab Emirates, Canada")</f>
        <v>Australia, United Kingdom, United Arab Emirates, Canada</v>
      </c>
      <c r="U28" s="5" t="str">
        <f>IFERROR(__xludf.DUMMYFUNCTION("""COMPUTED_VALUE"""),"Joe Alves")</f>
        <v>Joe Alves</v>
      </c>
      <c r="V28" s="5" t="s">
        <v>232</v>
      </c>
      <c r="W28" s="5" t="str">
        <f t="shared" si="3"/>
        <v>Abhijeet Deshpande</v>
      </c>
      <c r="X28" s="5">
        <f t="shared" si="4"/>
        <v>1</v>
      </c>
      <c r="Y28" s="5" t="str">
        <f>IFERROR(__xludf.DUMMYFUNCTION("REGEXEXTRACT(J28, ""^\d+"")"),"147")</f>
        <v>147</v>
      </c>
      <c r="Z28" s="5" t="str">
        <f>IFERROR(__xludf.DUMMYFUNCTION("REGEXEXTRACT(J28, ""[A-Za-z ]+$"")")," min")</f>
        <v> min</v>
      </c>
      <c r="AA28" s="5" t="str">
        <f>IFERROR(__xludf.DUMMYFUNCTION("IF(REGEXMATCH(Z28, ""Season""), ""TV Show"", ""Movie"")"),"Movie")</f>
        <v>Movie</v>
      </c>
    </row>
    <row r="29">
      <c r="A29" s="1" t="s">
        <v>233</v>
      </c>
      <c r="B29" s="1" t="s">
        <v>27</v>
      </c>
      <c r="C29" s="1" t="s">
        <v>234</v>
      </c>
      <c r="D29" s="1" t="s">
        <v>235</v>
      </c>
      <c r="E29" s="1" t="s">
        <v>236</v>
      </c>
      <c r="F29" s="1" t="s">
        <v>30</v>
      </c>
      <c r="G29" s="1" t="s">
        <v>237</v>
      </c>
      <c r="H29" s="1">
        <v>2010.0</v>
      </c>
      <c r="I29" s="1" t="s">
        <v>32</v>
      </c>
      <c r="J29" s="1" t="s">
        <v>238</v>
      </c>
      <c r="K29" s="1" t="s">
        <v>239</v>
      </c>
      <c r="L29" s="1" t="s">
        <v>240</v>
      </c>
      <c r="M29" s="2" t="s">
        <v>12</v>
      </c>
      <c r="N29" s="4">
        <f t="shared" si="1"/>
        <v>44459</v>
      </c>
      <c r="O29" s="5" t="str">
        <f>IFERROR(__xludf.DUMMYFUNCTION("IF(REGEXMATCH(TRIM(I29), ""^\d+\s*min""), ""Unclassified"", IF(I29 = """", ""NR"", I29))"),"PG-13")</f>
        <v>PG-13</v>
      </c>
      <c r="R29" s="5" t="str">
        <f t="shared" si="2"/>
        <v>Grown Ups</v>
      </c>
      <c r="S29" s="5" t="str">
        <f>IFERROR(__xludf.DUMMYFUNCTION("""COMPUTED_VALUE"""),"1000 Rupee Note")</f>
        <v>1000 Rupee Note</v>
      </c>
      <c r="T29" s="5" t="str">
        <f>IFERROR(__xludf.DUMMYFUNCTION("""COMPUTED_VALUE"""),"Australia, United Kingdom, United States, New Zealand, Italy, France")</f>
        <v>Australia, United Kingdom, United States, New Zealand, Italy, France</v>
      </c>
      <c r="U29" s="5" t="str">
        <f>IFERROR(__xludf.DUMMYFUNCTION("""COMPUTED_VALUE"""),"Joseph Sargent")</f>
        <v>Joseph Sargent</v>
      </c>
      <c r="V29" s="5" t="s">
        <v>241</v>
      </c>
      <c r="W29" s="5" t="str">
        <f t="shared" si="3"/>
        <v>Abhijit Kokate, Srivinay Salian</v>
      </c>
      <c r="X29" s="5">
        <f t="shared" si="4"/>
        <v>1</v>
      </c>
      <c r="Y29" s="5" t="str">
        <f>IFERROR(__xludf.DUMMYFUNCTION("REGEXEXTRACT(J29, ""^\d+"")"),"103")</f>
        <v>103</v>
      </c>
      <c r="Z29" s="5" t="str">
        <f>IFERROR(__xludf.DUMMYFUNCTION("REGEXEXTRACT(J29, ""[A-Za-z ]+$"")")," min")</f>
        <v> min</v>
      </c>
      <c r="AA29" s="5" t="str">
        <f>IFERROR(__xludf.DUMMYFUNCTION("IF(REGEXMATCH(Z29, ""Season""), ""TV Show"", ""Movie"")"),"Movie")</f>
        <v>Movie</v>
      </c>
    </row>
    <row r="30">
      <c r="A30" s="1" t="s">
        <v>242</v>
      </c>
      <c r="B30" s="1" t="s">
        <v>27</v>
      </c>
      <c r="C30" s="1" t="s">
        <v>243</v>
      </c>
      <c r="D30" s="1" t="s">
        <v>244</v>
      </c>
      <c r="E30" s="1" t="s">
        <v>245</v>
      </c>
      <c r="F30" s="1" t="s">
        <v>30</v>
      </c>
      <c r="G30" s="1" t="s">
        <v>246</v>
      </c>
      <c r="H30" s="1">
        <v>2013.0</v>
      </c>
      <c r="I30" s="1" t="s">
        <v>32</v>
      </c>
      <c r="J30" s="1" t="s">
        <v>247</v>
      </c>
      <c r="K30" s="1" t="s">
        <v>248</v>
      </c>
      <c r="L30" s="1" t="s">
        <v>249</v>
      </c>
      <c r="M30" s="2" t="s">
        <v>12</v>
      </c>
      <c r="N30" s="4">
        <f t="shared" si="1"/>
        <v>44458</v>
      </c>
      <c r="O30" s="5" t="str">
        <f>IFERROR(__xludf.DUMMYFUNCTION("IF(REGEXMATCH(TRIM(I30), ""^\d+\s*min""), ""Unclassified"", IF(I30 = """", ""NR"", I30))"),"PG-13")</f>
        <v>PG-13</v>
      </c>
      <c r="R30" s="5" t="str">
        <f t="shared" si="2"/>
        <v>Dark Skies</v>
      </c>
      <c r="S30" s="5" t="str">
        <f>IFERROR(__xludf.DUMMYFUNCTION("""COMPUTED_VALUE"""),"12 Round Gun")</f>
        <v>12 Round Gun</v>
      </c>
      <c r="T30" s="5" t="str">
        <f>IFERROR(__xludf.DUMMYFUNCTION("""COMPUTED_VALUE"""),"Australia, United States")</f>
        <v>Australia, United States</v>
      </c>
      <c r="U30" s="5" t="str">
        <f>IFERROR(__xludf.DUMMYFUNCTION("""COMPUTED_VALUE"""),"Tyler Greco")</f>
        <v>Tyler Greco</v>
      </c>
      <c r="V30" s="5" t="s">
        <v>250</v>
      </c>
      <c r="W30" s="5" t="str">
        <f t="shared" si="3"/>
        <v>Abhijit Panse</v>
      </c>
      <c r="X30" s="5">
        <f t="shared" si="4"/>
        <v>2</v>
      </c>
      <c r="Y30" s="5" t="str">
        <f>IFERROR(__xludf.DUMMYFUNCTION("REGEXEXTRACT(J30, ""^\d+"")"),"97")</f>
        <v>97</v>
      </c>
      <c r="Z30" s="5" t="str">
        <f>IFERROR(__xludf.DUMMYFUNCTION("REGEXEXTRACT(J30, ""[A-Za-z ]+$"")")," min")</f>
        <v> min</v>
      </c>
      <c r="AA30" s="5" t="str">
        <f>IFERROR(__xludf.DUMMYFUNCTION("IF(REGEXMATCH(Z30, ""Season""), ""TV Show"", ""Movie"")"),"Movie")</f>
        <v>Movie</v>
      </c>
    </row>
    <row r="31">
      <c r="A31" s="1" t="s">
        <v>251</v>
      </c>
      <c r="B31" s="1" t="s">
        <v>27</v>
      </c>
      <c r="C31" s="1" t="s">
        <v>252</v>
      </c>
      <c r="D31" s="1" t="s">
        <v>253</v>
      </c>
      <c r="E31" s="1" t="s">
        <v>254</v>
      </c>
      <c r="F31" s="1" t="s">
        <v>255</v>
      </c>
      <c r="G31" s="1" t="s">
        <v>246</v>
      </c>
      <c r="H31" s="1">
        <v>2013.0</v>
      </c>
      <c r="I31" s="1" t="s">
        <v>32</v>
      </c>
      <c r="J31" s="1" t="s">
        <v>256</v>
      </c>
      <c r="K31" s="1" t="s">
        <v>171</v>
      </c>
      <c r="L31" s="1" t="s">
        <v>257</v>
      </c>
      <c r="M31" s="2" t="s">
        <v>12</v>
      </c>
      <c r="N31" s="4">
        <f t="shared" si="1"/>
        <v>44458</v>
      </c>
      <c r="O31" s="5" t="str">
        <f>IFERROR(__xludf.DUMMYFUNCTION("IF(REGEXMATCH(TRIM(I31), ""^\d+\s*min""), ""Unclassified"", IF(I31 = """", ""NR"", I31))"),"PG-13")</f>
        <v>PG-13</v>
      </c>
      <c r="R31" s="5" t="str">
        <f t="shared" si="2"/>
        <v>Paranoia</v>
      </c>
      <c r="S31" s="5" t="str">
        <f>IFERROR(__xludf.DUMMYFUNCTION("""COMPUTED_VALUE"""),"12 Years Promise")</f>
        <v>12 Years Promise</v>
      </c>
      <c r="T31" s="5" t="str">
        <f>IFERROR(__xludf.DUMMYFUNCTION("""COMPUTED_VALUE"""),"Austria")</f>
        <v>Austria</v>
      </c>
      <c r="U31" s="5" t="str">
        <f>IFERROR(__xludf.DUMMYFUNCTION("""COMPUTED_VALUE"""),"Daniel Espinosa")</f>
        <v>Daniel Espinosa</v>
      </c>
      <c r="V31" s="5" t="s">
        <v>258</v>
      </c>
      <c r="W31" s="5" t="str">
        <f t="shared" si="3"/>
        <v>Abhinay Deo</v>
      </c>
      <c r="X31" s="5">
        <f t="shared" si="4"/>
        <v>3</v>
      </c>
      <c r="Y31" s="5" t="str">
        <f>IFERROR(__xludf.DUMMYFUNCTION("REGEXEXTRACT(J31, ""^\d+"")"),"106")</f>
        <v>106</v>
      </c>
      <c r="Z31" s="5" t="str">
        <f>IFERROR(__xludf.DUMMYFUNCTION("REGEXEXTRACT(J31, ""[A-Za-z ]+$"")")," min")</f>
        <v> min</v>
      </c>
      <c r="AA31" s="5" t="str">
        <f>IFERROR(__xludf.DUMMYFUNCTION("IF(REGEXMATCH(Z31, ""Season""), ""TV Show"", ""Movie"")"),"Movie")</f>
        <v>Movie</v>
      </c>
    </row>
    <row r="32">
      <c r="A32" s="1" t="s">
        <v>259</v>
      </c>
      <c r="B32" s="1" t="s">
        <v>27</v>
      </c>
      <c r="C32" s="1" t="s">
        <v>260</v>
      </c>
      <c r="D32" s="1" t="s">
        <v>261</v>
      </c>
      <c r="E32" s="1" t="s">
        <v>262</v>
      </c>
      <c r="G32" s="1" t="s">
        <v>263</v>
      </c>
      <c r="H32" s="1">
        <v>2021.0</v>
      </c>
      <c r="I32" s="1" t="s">
        <v>97</v>
      </c>
      <c r="J32" s="1" t="s">
        <v>264</v>
      </c>
      <c r="K32" s="1" t="s">
        <v>89</v>
      </c>
      <c r="L32" s="1" t="s">
        <v>265</v>
      </c>
      <c r="M32" s="2" t="s">
        <v>12</v>
      </c>
      <c r="N32" s="4">
        <f t="shared" si="1"/>
        <v>44456</v>
      </c>
      <c r="O32" s="5" t="str">
        <f>IFERROR(__xludf.DUMMYFUNCTION("IF(REGEXMATCH(TRIM(I32), ""^\d+\s*min""), ""Unclassified"", IF(I32 = """", ""NR"", I32))"),"TV-14")</f>
        <v>TV-14</v>
      </c>
      <c r="R32" s="5" t="str">
        <f t="shared" si="2"/>
        <v>Ankahi Kahaniya</v>
      </c>
      <c r="S32" s="5" t="str">
        <f>IFERROR(__xludf.DUMMYFUNCTION("""COMPUTED_VALUE"""),"122")</f>
        <v>122</v>
      </c>
      <c r="T32" s="5" t="str">
        <f>IFERROR(__xludf.DUMMYFUNCTION("""COMPUTED_VALUE"""),"Austria, Czech Republic")</f>
        <v>Austria, Czech Republic</v>
      </c>
      <c r="U32" s="5" t="str">
        <f>IFERROR(__xludf.DUMMYFUNCTION("""COMPUTED_VALUE"""),"Bunmi Ajakaiye")</f>
        <v>Bunmi Ajakaiye</v>
      </c>
      <c r="V32" s="5" t="s">
        <v>266</v>
      </c>
      <c r="W32" s="5" t="str">
        <f t="shared" si="3"/>
        <v>Abhishek Chaubey</v>
      </c>
      <c r="X32" s="5">
        <f t="shared" si="4"/>
        <v>3</v>
      </c>
      <c r="Y32" s="5" t="str">
        <f>IFERROR(__xludf.DUMMYFUNCTION("REGEXEXTRACT(J32, ""^\d+"")"),"111")</f>
        <v>111</v>
      </c>
      <c r="Z32" s="5" t="str">
        <f>IFERROR(__xludf.DUMMYFUNCTION("REGEXEXTRACT(J32, ""[A-Za-z ]+$"")")," min")</f>
        <v> min</v>
      </c>
      <c r="AA32" s="5" t="str">
        <f>IFERROR(__xludf.DUMMYFUNCTION("IF(REGEXMATCH(Z32, ""Season""), ""TV Show"", ""Movie"")"),"Movie")</f>
        <v>Movie</v>
      </c>
    </row>
    <row r="33">
      <c r="A33" s="1" t="s">
        <v>267</v>
      </c>
      <c r="B33" s="1" t="s">
        <v>37</v>
      </c>
      <c r="C33" s="1" t="s">
        <v>268</v>
      </c>
      <c r="E33" s="1" t="s">
        <v>269</v>
      </c>
      <c r="G33" s="1" t="s">
        <v>263</v>
      </c>
      <c r="H33" s="1">
        <v>2021.0</v>
      </c>
      <c r="I33" s="1" t="s">
        <v>42</v>
      </c>
      <c r="J33" s="1" t="s">
        <v>51</v>
      </c>
      <c r="K33" s="1" t="s">
        <v>270</v>
      </c>
      <c r="L33" s="1" t="s">
        <v>271</v>
      </c>
      <c r="M33" s="2" t="s">
        <v>12</v>
      </c>
      <c r="N33" s="4">
        <f t="shared" si="1"/>
        <v>44456</v>
      </c>
      <c r="O33" s="5" t="str">
        <f>IFERROR(__xludf.DUMMYFUNCTION("IF(REGEXMATCH(TRIM(I33), ""^\d+\s*min""), ""Unclassified"", IF(I33 = """", ""NR"", I33))"),"TV-MA")</f>
        <v>TV-MA</v>
      </c>
      <c r="R33" s="5" t="str">
        <f t="shared" si="2"/>
        <v>Chicago Party Aunt</v>
      </c>
      <c r="S33" s="5" t="str">
        <f>IFERROR(__xludf.DUMMYFUNCTION("""COMPUTED_VALUE"""),"13 Cameras")</f>
        <v>13 Cameras</v>
      </c>
      <c r="T33" s="5" t="str">
        <f>IFERROR(__xludf.DUMMYFUNCTION("""COMPUTED_VALUE"""),"Austria, Germany")</f>
        <v>Austria, Germany</v>
      </c>
      <c r="U33" s="5" t="str">
        <f>IFERROR(__xludf.DUMMYFUNCTION("""COMPUTED_VALUE"""),"Antoine Fuqua")</f>
        <v>Antoine Fuqua</v>
      </c>
      <c r="V33" s="5" t="s">
        <v>272</v>
      </c>
      <c r="W33" s="5" t="str">
        <f t="shared" si="3"/>
        <v>Abhishek Kapoor</v>
      </c>
      <c r="X33" s="5">
        <f t="shared" si="4"/>
        <v>3</v>
      </c>
      <c r="Y33" s="5" t="str">
        <f>IFERROR(__xludf.DUMMYFUNCTION("REGEXEXTRACT(J33, ""^\d+"")"),"1")</f>
        <v>1</v>
      </c>
      <c r="Z33" s="5" t="str">
        <f>IFERROR(__xludf.DUMMYFUNCTION("REGEXEXTRACT(J33, ""[A-Za-z ]+$"")")," Season")</f>
        <v> Season</v>
      </c>
      <c r="AA33" s="5" t="str">
        <f>IFERROR(__xludf.DUMMYFUNCTION("IF(REGEXMATCH(Z33, ""Season""), ""TV Show"", ""Movie"")"),"TV Show")</f>
        <v>TV Show</v>
      </c>
    </row>
    <row r="34">
      <c r="A34" s="1" t="s">
        <v>273</v>
      </c>
      <c r="B34" s="1" t="s">
        <v>37</v>
      </c>
      <c r="C34" s="1" t="s">
        <v>274</v>
      </c>
      <c r="E34" s="1" t="s">
        <v>275</v>
      </c>
      <c r="F34" s="1" t="s">
        <v>96</v>
      </c>
      <c r="G34" s="1" t="s">
        <v>263</v>
      </c>
      <c r="H34" s="1">
        <v>2020.0</v>
      </c>
      <c r="I34" s="1" t="s">
        <v>42</v>
      </c>
      <c r="J34" s="1" t="s">
        <v>276</v>
      </c>
      <c r="K34" s="1" t="s">
        <v>277</v>
      </c>
      <c r="L34" s="1" t="s">
        <v>278</v>
      </c>
      <c r="M34" s="2" t="s">
        <v>12</v>
      </c>
      <c r="N34" s="4">
        <f t="shared" si="1"/>
        <v>44456</v>
      </c>
      <c r="O34" s="5" t="str">
        <f>IFERROR(__xludf.DUMMYFUNCTION("IF(REGEXMATCH(TRIM(I34), ""^\d+\s*min""), ""Unclassified"", IF(I34 = """", ""NR"", I34))"),"TV-MA")</f>
        <v>TV-MA</v>
      </c>
      <c r="R34" s="5" t="str">
        <f t="shared" si="2"/>
        <v>Sex Education</v>
      </c>
      <c r="S34" s="5" t="str">
        <f>IFERROR(__xludf.DUMMYFUNCTION("""COMPUTED_VALUE"""),"13 Reasons Why")</f>
        <v>13 Reasons Why</v>
      </c>
      <c r="T34" s="5" t="str">
        <f>IFERROR(__xludf.DUMMYFUNCTION("""COMPUTED_VALUE"""),"Austria, Iraq, United States")</f>
        <v>Austria, Iraq, United States</v>
      </c>
      <c r="U34" s="5" t="str">
        <f>IFERROR(__xludf.DUMMYFUNCTION("""COMPUTED_VALUE"""),"Toshiya Shinohara")</f>
        <v>Toshiya Shinohara</v>
      </c>
      <c r="V34" s="5" t="s">
        <v>279</v>
      </c>
      <c r="W34" s="5" t="str">
        <f t="shared" si="3"/>
        <v>Abhishek Saxena</v>
      </c>
      <c r="X34" s="5">
        <f t="shared" si="4"/>
        <v>1</v>
      </c>
      <c r="Y34" s="5" t="str">
        <f>IFERROR(__xludf.DUMMYFUNCTION("REGEXEXTRACT(J34, ""^\d+"")"),"3")</f>
        <v>3</v>
      </c>
      <c r="Z34" s="5" t="str">
        <f>IFERROR(__xludf.DUMMYFUNCTION("REGEXEXTRACT(J34, ""[A-Za-z ]+$"")")," Seasons")</f>
        <v> Seasons</v>
      </c>
      <c r="AA34" s="5" t="str">
        <f>IFERROR(__xludf.DUMMYFUNCTION("IF(REGEXMATCH(Z34, ""Season""), ""TV Show"", ""Movie"")"),"TV Show")</f>
        <v>TV Show</v>
      </c>
    </row>
    <row r="35">
      <c r="A35" s="1" t="s">
        <v>280</v>
      </c>
      <c r="B35" s="1" t="s">
        <v>37</v>
      </c>
      <c r="C35" s="1" t="s">
        <v>281</v>
      </c>
      <c r="E35" s="1" t="s">
        <v>282</v>
      </c>
      <c r="G35" s="1" t="s">
        <v>263</v>
      </c>
      <c r="H35" s="1">
        <v>2021.0</v>
      </c>
      <c r="I35" s="1" t="s">
        <v>42</v>
      </c>
      <c r="J35" s="1" t="s">
        <v>51</v>
      </c>
      <c r="K35" s="1" t="s">
        <v>283</v>
      </c>
      <c r="L35" s="1" t="s">
        <v>284</v>
      </c>
      <c r="M35" s="2" t="s">
        <v>12</v>
      </c>
      <c r="N35" s="4">
        <f t="shared" si="1"/>
        <v>44456</v>
      </c>
      <c r="O35" s="5" t="str">
        <f>IFERROR(__xludf.DUMMYFUNCTION("IF(REGEXMATCH(TRIM(I35), ""^\d+\s*min""), ""Unclassified"", IF(I35 = """", ""NR"", I35))"),"TV-MA")</f>
        <v>TV-MA</v>
      </c>
      <c r="R35" s="5" t="str">
        <f t="shared" si="2"/>
        <v>Squid Game</v>
      </c>
      <c r="S35" s="5" t="str">
        <f>IFERROR(__xludf.DUMMYFUNCTION("""COMPUTED_VALUE"""),"13 Reasons Why: Beyond The Reasons")</f>
        <v>13 Reasons Why: Beyond The Reasons</v>
      </c>
      <c r="T35" s="5" t="str">
        <f>IFERROR(__xludf.DUMMYFUNCTION("""COMPUTED_VALUE"""),"Austria, United States")</f>
        <v>Austria, United States</v>
      </c>
      <c r="U35" s="5" t="str">
        <f>IFERROR(__xludf.DUMMYFUNCTION("""COMPUTED_VALUE"""),"Masahiko Murata")</f>
        <v>Masahiko Murata</v>
      </c>
      <c r="V35" s="5" t="s">
        <v>285</v>
      </c>
      <c r="W35" s="5" t="str">
        <f t="shared" si="3"/>
        <v>Abhishek Sharma</v>
      </c>
      <c r="X35" s="5">
        <f t="shared" si="4"/>
        <v>3</v>
      </c>
      <c r="Y35" s="5" t="str">
        <f>IFERROR(__xludf.DUMMYFUNCTION("REGEXEXTRACT(J35, ""^\d+"")"),"1")</f>
        <v>1</v>
      </c>
      <c r="Z35" s="5" t="str">
        <f>IFERROR(__xludf.DUMMYFUNCTION("REGEXEXTRACT(J35, ""[A-Za-z ]+$"")")," Season")</f>
        <v> Season</v>
      </c>
      <c r="AA35" s="5" t="str">
        <f>IFERROR(__xludf.DUMMYFUNCTION("IF(REGEXMATCH(Z35, ""Season""), ""TV Show"", ""Movie"")"),"TV Show")</f>
        <v>TV Show</v>
      </c>
    </row>
    <row r="36">
      <c r="A36" s="1" t="s">
        <v>286</v>
      </c>
      <c r="B36" s="1" t="s">
        <v>37</v>
      </c>
      <c r="C36" s="1" t="s">
        <v>287</v>
      </c>
      <c r="E36" s="1" t="s">
        <v>288</v>
      </c>
      <c r="G36" s="1" t="s">
        <v>263</v>
      </c>
      <c r="H36" s="1">
        <v>2020.0</v>
      </c>
      <c r="I36" s="1" t="s">
        <v>289</v>
      </c>
      <c r="J36" s="1" t="s">
        <v>51</v>
      </c>
      <c r="K36" s="1" t="s">
        <v>290</v>
      </c>
      <c r="L36" s="1" t="s">
        <v>291</v>
      </c>
      <c r="M36" s="2" t="s">
        <v>12</v>
      </c>
      <c r="N36" s="4">
        <f t="shared" si="1"/>
        <v>44456</v>
      </c>
      <c r="O36" s="5" t="str">
        <f>IFERROR(__xludf.DUMMYFUNCTION("IF(REGEXMATCH(TRIM(I36), ""^\d+\s*min""), ""Unclassified"", IF(I36 = """", ""NR"", I36))"),"TV-Y7")</f>
        <v>TV-Y7</v>
      </c>
      <c r="R36" s="5" t="str">
        <f t="shared" si="2"/>
        <v>Tayo And Little Wizards</v>
      </c>
      <c r="S36" s="5" t="str">
        <f>IFERROR(__xludf.DUMMYFUNCTION("""COMPUTED_VALUE"""),"13 Sins")</f>
        <v>13 Sins</v>
      </c>
      <c r="T36" s="5" t="str">
        <f>IFERROR(__xludf.DUMMYFUNCTION("""COMPUTED_VALUE"""),"Bangladesh")</f>
        <v>Bangladesh</v>
      </c>
      <c r="U36" s="5" t="str">
        <f>IFERROR(__xludf.DUMMYFUNCTION("""COMPUTED_VALUE"""),"Hajime Kamegaki")</f>
        <v>Hajime Kamegaki</v>
      </c>
      <c r="V36" s="5" t="s">
        <v>292</v>
      </c>
      <c r="W36" s="5" t="str">
        <f t="shared" si="3"/>
        <v>Abhishek Varman</v>
      </c>
      <c r="X36" s="5">
        <f t="shared" si="4"/>
        <v>1</v>
      </c>
      <c r="Y36" s="5" t="str">
        <f>IFERROR(__xludf.DUMMYFUNCTION("REGEXEXTRACT(J36, ""^\d+"")"),"1")</f>
        <v>1</v>
      </c>
      <c r="Z36" s="5" t="str">
        <f>IFERROR(__xludf.DUMMYFUNCTION("REGEXEXTRACT(J36, ""[A-Za-z ]+$"")")," Season")</f>
        <v> Season</v>
      </c>
      <c r="AA36" s="5" t="str">
        <f>IFERROR(__xludf.DUMMYFUNCTION("IF(REGEXMATCH(Z36, ""Season""), ""TV Show"", ""Movie"")"),"TV Show")</f>
        <v>TV Show</v>
      </c>
    </row>
    <row r="37">
      <c r="A37" s="1" t="s">
        <v>293</v>
      </c>
      <c r="B37" s="1" t="s">
        <v>27</v>
      </c>
      <c r="C37" s="1" t="s">
        <v>294</v>
      </c>
      <c r="D37" s="1" t="s">
        <v>295</v>
      </c>
      <c r="E37" s="1" t="s">
        <v>296</v>
      </c>
      <c r="G37" s="1" t="s">
        <v>263</v>
      </c>
      <c r="H37" s="1">
        <v>2021.0</v>
      </c>
      <c r="I37" s="1" t="s">
        <v>42</v>
      </c>
      <c r="J37" s="1" t="s">
        <v>297</v>
      </c>
      <c r="K37" s="1" t="s">
        <v>298</v>
      </c>
      <c r="L37" s="1" t="s">
        <v>299</v>
      </c>
      <c r="M37" s="2" t="s">
        <v>12</v>
      </c>
      <c r="N37" s="4">
        <f t="shared" si="1"/>
        <v>44456</v>
      </c>
      <c r="O37" s="5" t="str">
        <f>IFERROR(__xludf.DUMMYFUNCTION("IF(REGEXMATCH(TRIM(I37), ""^\d+\s*min""), ""Unclassified"", IF(I37 = """", ""NR"", I37))"),"TV-MA")</f>
        <v>TV-MA</v>
      </c>
      <c r="R37" s="5" t="str">
        <f t="shared" si="2"/>
        <v>The Father Who Moves Mountains</v>
      </c>
      <c r="S37" s="5" t="str">
        <f>IFERROR(__xludf.DUMMYFUNCTION("""COMPUTED_VALUE"""),"13Th")</f>
        <v>13Th</v>
      </c>
      <c r="T37" s="5" t="str">
        <f>IFERROR(__xludf.DUMMYFUNCTION("""COMPUTED_VALUE"""),"Belarus")</f>
        <v>Belarus</v>
      </c>
      <c r="U37" s="5" t="str">
        <f>IFERROR(__xludf.DUMMYFUNCTION("""COMPUTED_VALUE"""),"Hirotsugu Kawasaki")</f>
        <v>Hirotsugu Kawasaki</v>
      </c>
      <c r="V37" s="5" t="s">
        <v>300</v>
      </c>
      <c r="W37" s="5" t="str">
        <f t="shared" si="3"/>
        <v>Abir Sengupta</v>
      </c>
      <c r="X37" s="5">
        <f t="shared" si="4"/>
        <v>1</v>
      </c>
      <c r="Y37" s="5" t="str">
        <f>IFERROR(__xludf.DUMMYFUNCTION("REGEXEXTRACT(J37, ""^\d+"")"),"110")</f>
        <v>110</v>
      </c>
      <c r="Z37" s="5" t="str">
        <f>IFERROR(__xludf.DUMMYFUNCTION("REGEXEXTRACT(J37, ""[A-Za-z ]+$"")")," min")</f>
        <v> min</v>
      </c>
      <c r="AA37" s="5" t="str">
        <f>IFERROR(__xludf.DUMMYFUNCTION("IF(REGEXMATCH(Z37, ""Season""), ""TV Show"", ""Movie"")"),"Movie")</f>
        <v>Movie</v>
      </c>
    </row>
    <row r="38">
      <c r="A38" s="1" t="s">
        <v>301</v>
      </c>
      <c r="B38" s="1" t="s">
        <v>27</v>
      </c>
      <c r="C38" s="1" t="s">
        <v>302</v>
      </c>
      <c r="D38" s="1" t="s">
        <v>303</v>
      </c>
      <c r="E38" s="1" t="s">
        <v>304</v>
      </c>
      <c r="G38" s="1" t="s">
        <v>263</v>
      </c>
      <c r="H38" s="1">
        <v>2021.0</v>
      </c>
      <c r="I38" s="1" t="s">
        <v>42</v>
      </c>
      <c r="J38" s="1" t="s">
        <v>305</v>
      </c>
      <c r="K38" s="1" t="s">
        <v>306</v>
      </c>
      <c r="L38" s="1" t="s">
        <v>307</v>
      </c>
      <c r="M38" s="2" t="s">
        <v>12</v>
      </c>
      <c r="N38" s="4">
        <f t="shared" si="1"/>
        <v>44456</v>
      </c>
      <c r="O38" s="5" t="str">
        <f>IFERROR(__xludf.DUMMYFUNCTION("IF(REGEXMATCH(TRIM(I38), ""^\d+\s*min""), ""Unclassified"", IF(I38 = """", ""NR"", I38))"),"TV-MA")</f>
        <v>TV-MA</v>
      </c>
      <c r="R38" s="5" t="str">
        <f t="shared" si="2"/>
        <v>The Stronghold</v>
      </c>
      <c r="S38" s="5" t="str">
        <f>IFERROR(__xludf.DUMMYFUNCTION("""COMPUTED_VALUE"""),"13Th: A Conversation With Oprah Winfrey &amp; Ava Duvernay")</f>
        <v>13Th: A Conversation With Oprah Winfrey &amp; Ava Duvernay</v>
      </c>
      <c r="T38" s="5" t="str">
        <f>IFERROR(__xludf.DUMMYFUNCTION("""COMPUTED_VALUE"""),"Belgium")</f>
        <v>Belgium</v>
      </c>
      <c r="U38" s="5" t="str">
        <f>IFERROR(__xludf.DUMMYFUNCTION("""COMPUTED_VALUE"""),"Toshiyuki Tsuru")</f>
        <v>Toshiyuki Tsuru</v>
      </c>
      <c r="V38" s="5" t="s">
        <v>308</v>
      </c>
      <c r="W38" s="5" t="str">
        <f t="shared" si="3"/>
        <v>Abu Bakr Shawky</v>
      </c>
      <c r="X38" s="5">
        <f t="shared" si="4"/>
        <v>1</v>
      </c>
      <c r="Y38" s="5" t="str">
        <f>IFERROR(__xludf.DUMMYFUNCTION("REGEXEXTRACT(J38, ""^\d+"")"),"105")</f>
        <v>105</v>
      </c>
      <c r="Z38" s="5" t="str">
        <f>IFERROR(__xludf.DUMMYFUNCTION("REGEXEXTRACT(J38, ""[A-Za-z ]+$"")")," min")</f>
        <v> min</v>
      </c>
      <c r="AA38" s="5" t="str">
        <f>IFERROR(__xludf.DUMMYFUNCTION("IF(REGEXMATCH(Z38, ""Season""), ""TV Show"", ""Movie"")"),"Movie")</f>
        <v>Movie</v>
      </c>
    </row>
    <row r="39">
      <c r="A39" s="1" t="s">
        <v>309</v>
      </c>
      <c r="B39" s="1" t="s">
        <v>37</v>
      </c>
      <c r="C39" s="1" t="s">
        <v>310</v>
      </c>
      <c r="E39" s="1" t="s">
        <v>311</v>
      </c>
      <c r="F39" s="1" t="s">
        <v>312</v>
      </c>
      <c r="G39" s="1" t="s">
        <v>313</v>
      </c>
      <c r="H39" s="1">
        <v>2018.0</v>
      </c>
      <c r="I39" s="1" t="s">
        <v>289</v>
      </c>
      <c r="J39" s="1" t="s">
        <v>51</v>
      </c>
      <c r="K39" s="1" t="s">
        <v>314</v>
      </c>
      <c r="L39" s="1" t="s">
        <v>315</v>
      </c>
      <c r="M39" s="2" t="s">
        <v>12</v>
      </c>
      <c r="N39" s="4">
        <f t="shared" si="1"/>
        <v>44455</v>
      </c>
      <c r="O39" s="5" t="str">
        <f>IFERROR(__xludf.DUMMYFUNCTION("IF(REGEXMATCH(TRIM(I39), ""^\d+\s*min""), ""Unclassified"", IF(I39 = """", ""NR"", I39))"),"TV-Y7")</f>
        <v>TV-Y7</v>
      </c>
      <c r="R39" s="5" t="str">
        <f t="shared" si="2"/>
        <v>Angry Birds</v>
      </c>
      <c r="S39" s="5" t="str">
        <f>IFERROR(__xludf.DUMMYFUNCTION("""COMPUTED_VALUE"""),"14 Blades")</f>
        <v>14 Blades</v>
      </c>
      <c r="T39" s="5" t="str">
        <f>IFERROR(__xludf.DUMMYFUNCTION("""COMPUTED_VALUE"""),"Belgium, France")</f>
        <v>Belgium, France</v>
      </c>
      <c r="U39" s="5" t="str">
        <f>IFERROR(__xludf.DUMMYFUNCTION("""COMPUTED_VALUE"""),"Tensai Okamura")</f>
        <v>Tensai Okamura</v>
      </c>
      <c r="V39" s="5" t="s">
        <v>316</v>
      </c>
      <c r="W39" s="5" t="str">
        <f t="shared" si="3"/>
        <v>Achille Brice</v>
      </c>
      <c r="X39" s="5">
        <f t="shared" si="4"/>
        <v>1</v>
      </c>
      <c r="Y39" s="5" t="str">
        <f>IFERROR(__xludf.DUMMYFUNCTION("REGEXEXTRACT(J39, ""^\d+"")"),"1")</f>
        <v>1</v>
      </c>
      <c r="Z39" s="5" t="str">
        <f>IFERROR(__xludf.DUMMYFUNCTION("REGEXEXTRACT(J39, ""[A-Za-z ]+$"")")," Season")</f>
        <v> Season</v>
      </c>
      <c r="AA39" s="5" t="str">
        <f>IFERROR(__xludf.DUMMYFUNCTION("IF(REGEXMATCH(Z39, ""Season""), ""TV Show"", ""Movie"")"),"TV Show")</f>
        <v>TV Show</v>
      </c>
    </row>
    <row r="40">
      <c r="A40" s="1" t="s">
        <v>317</v>
      </c>
      <c r="B40" s="1" t="s">
        <v>27</v>
      </c>
      <c r="C40" s="1" t="s">
        <v>318</v>
      </c>
      <c r="D40" s="1" t="s">
        <v>319</v>
      </c>
      <c r="E40" s="1" t="s">
        <v>320</v>
      </c>
      <c r="F40" s="1" t="s">
        <v>321</v>
      </c>
      <c r="G40" s="1" t="s">
        <v>313</v>
      </c>
      <c r="H40" s="1">
        <v>2017.0</v>
      </c>
      <c r="I40" s="1" t="s">
        <v>32</v>
      </c>
      <c r="J40" s="1" t="s">
        <v>322</v>
      </c>
      <c r="K40" s="1" t="s">
        <v>323</v>
      </c>
      <c r="L40" s="1" t="s">
        <v>324</v>
      </c>
      <c r="M40" s="2" t="s">
        <v>12</v>
      </c>
      <c r="N40" s="4">
        <f t="shared" si="1"/>
        <v>44455</v>
      </c>
      <c r="O40" s="5" t="str">
        <f>IFERROR(__xludf.DUMMYFUNCTION("IF(REGEXMATCH(TRIM(I40), ""^\d+\s*min""), ""Unclassified"", IF(I40 = """", ""NR"", I40))"),"PG-13")</f>
        <v>PG-13</v>
      </c>
      <c r="R40" s="5" t="str">
        <f t="shared" si="2"/>
        <v>Birth Of The Dragon</v>
      </c>
      <c r="S40" s="5" t="str">
        <f>IFERROR(__xludf.DUMMYFUNCTION("""COMPUTED_VALUE"""),"14 Cameras")</f>
        <v>14 Cameras</v>
      </c>
      <c r="T40" s="5" t="str">
        <f>IFERROR(__xludf.DUMMYFUNCTION("""COMPUTED_VALUE"""),"Belgium, France, Netherlands")</f>
        <v>Belgium, France, Netherlands</v>
      </c>
      <c r="U40" s="5" t="str">
        <f>IFERROR(__xludf.DUMMYFUNCTION("""COMPUTED_VALUE"""),"David Yarovesky")</f>
        <v>David Yarovesky</v>
      </c>
      <c r="V40" s="5" t="s">
        <v>325</v>
      </c>
      <c r="W40" s="5" t="str">
        <f t="shared" si="3"/>
        <v>Adam Alleca</v>
      </c>
      <c r="X40" s="5">
        <f t="shared" si="4"/>
        <v>1</v>
      </c>
      <c r="Y40" s="5" t="str">
        <f>IFERROR(__xludf.DUMMYFUNCTION("REGEXEXTRACT(J40, ""^\d+"")"),"96")</f>
        <v>96</v>
      </c>
      <c r="Z40" s="5" t="str">
        <f>IFERROR(__xludf.DUMMYFUNCTION("REGEXEXTRACT(J40, ""[A-Za-z ]+$"")")," min")</f>
        <v> min</v>
      </c>
      <c r="AA40" s="5" t="str">
        <f>IFERROR(__xludf.DUMMYFUNCTION("IF(REGEXMATCH(Z40, ""Season""), ""TV Show"", ""Movie"")"),"Movie")</f>
        <v>Movie</v>
      </c>
    </row>
    <row r="41">
      <c r="A41" s="1" t="s">
        <v>326</v>
      </c>
      <c r="B41" s="1" t="s">
        <v>37</v>
      </c>
      <c r="C41" s="1" t="s">
        <v>327</v>
      </c>
      <c r="E41" s="1" t="s">
        <v>328</v>
      </c>
      <c r="F41" s="1" t="s">
        <v>63</v>
      </c>
      <c r="G41" s="1" t="s">
        <v>313</v>
      </c>
      <c r="H41" s="1">
        <v>2021.0</v>
      </c>
      <c r="I41" s="1" t="s">
        <v>289</v>
      </c>
      <c r="J41" s="1" t="s">
        <v>276</v>
      </c>
      <c r="K41" s="1" t="s">
        <v>290</v>
      </c>
      <c r="L41" s="1" t="s">
        <v>329</v>
      </c>
      <c r="M41" s="2" t="s">
        <v>12</v>
      </c>
      <c r="N41" s="4">
        <f t="shared" si="1"/>
        <v>44455</v>
      </c>
      <c r="O41" s="5" t="str">
        <f>IFERROR(__xludf.DUMMYFUNCTION("IF(REGEXMATCH(TRIM(I41), ""^\d+\s*min""), ""Unclassified"", IF(I41 = """", ""NR"", I41))"),"TV-Y7")</f>
        <v>TV-Y7</v>
      </c>
      <c r="R41" s="5" t="str">
        <f t="shared" si="2"/>
        <v>Chhota Bheem</v>
      </c>
      <c r="S41" s="5" t="str">
        <f>IFERROR(__xludf.DUMMYFUNCTION("""COMPUTED_VALUE"""),"14 Minutes From Earth")</f>
        <v>14 Minutes From Earth</v>
      </c>
      <c r="T41" s="5" t="str">
        <f>IFERROR(__xludf.DUMMYFUNCTION("""COMPUTED_VALUE"""),"Belgium, Ireland, Netherlands, Germany, Afghanistan")</f>
        <v>Belgium, Ireland, Netherlands, Germany, Afghanistan</v>
      </c>
      <c r="U41" s="5" t="str">
        <f>IFERROR(__xludf.DUMMYFUNCTION("""COMPUTED_VALUE"""),"Hanns-Bruno Kammertöns, Vanessa Nöcker, Michael Wech")</f>
        <v>Hanns-Bruno Kammertöns, Vanessa Nöcker, Michael Wech</v>
      </c>
      <c r="V41" s="5" t="s">
        <v>330</v>
      </c>
      <c r="W41" s="5" t="str">
        <f t="shared" si="3"/>
        <v>Adam B. Stein, Zach Lipovsky</v>
      </c>
      <c r="X41" s="5">
        <f t="shared" si="4"/>
        <v>1</v>
      </c>
      <c r="Y41" s="5" t="str">
        <f>IFERROR(__xludf.DUMMYFUNCTION("REGEXEXTRACT(J41, ""^\d+"")"),"3")</f>
        <v>3</v>
      </c>
      <c r="Z41" s="5" t="str">
        <f>IFERROR(__xludf.DUMMYFUNCTION("REGEXEXTRACT(J41, ""[A-Za-z ]+$"")")," Seasons")</f>
        <v> Seasons</v>
      </c>
      <c r="AA41" s="5" t="str">
        <f>IFERROR(__xludf.DUMMYFUNCTION("IF(REGEXMATCH(Z41, ""Season""), ""TV Show"", ""Movie"")"),"TV Show")</f>
        <v>TV Show</v>
      </c>
    </row>
    <row r="42">
      <c r="A42" s="1" t="s">
        <v>331</v>
      </c>
      <c r="B42" s="1" t="s">
        <v>37</v>
      </c>
      <c r="C42" s="1" t="s">
        <v>332</v>
      </c>
      <c r="E42" s="1" t="s">
        <v>333</v>
      </c>
      <c r="F42" s="1" t="s">
        <v>30</v>
      </c>
      <c r="G42" s="1" t="s">
        <v>313</v>
      </c>
      <c r="H42" s="1">
        <v>2021.0</v>
      </c>
      <c r="I42" s="1" t="s">
        <v>289</v>
      </c>
      <c r="J42" s="1" t="s">
        <v>51</v>
      </c>
      <c r="K42" s="1" t="s">
        <v>334</v>
      </c>
      <c r="L42" s="1" t="s">
        <v>335</v>
      </c>
      <c r="M42" s="2" t="s">
        <v>12</v>
      </c>
      <c r="N42" s="4">
        <f t="shared" si="1"/>
        <v>44455</v>
      </c>
      <c r="O42" s="5" t="str">
        <f>IFERROR(__xludf.DUMMYFUNCTION("IF(REGEXMATCH(TRIM(I42), ""^\d+\s*min""), ""Unclassified"", IF(I42 = """", ""NR"", I42))"),"TV-Y7")</f>
        <v>TV-Y7</v>
      </c>
      <c r="R42" s="5" t="str">
        <f t="shared" si="2"/>
        <v>He-Man And The Masters Of The Universe</v>
      </c>
      <c r="S42" s="5" t="str">
        <f>IFERROR(__xludf.DUMMYFUNCTION("""COMPUTED_VALUE"""),"15 August")</f>
        <v>15 August</v>
      </c>
      <c r="T42" s="5" t="str">
        <f>IFERROR(__xludf.DUMMYFUNCTION("""COMPUTED_VALUE"""),"Belgium, Netherlands")</f>
        <v>Belgium, Netherlands</v>
      </c>
      <c r="U42" s="5" t="str">
        <f>IFERROR(__xludf.DUMMYFUNCTION("""COMPUTED_VALUE"""),"David A. Vargas")</f>
        <v>David A. Vargas</v>
      </c>
      <c r="V42" s="5" t="s">
        <v>336</v>
      </c>
      <c r="W42" s="5" t="str">
        <f t="shared" si="3"/>
        <v>Adam Bhala Lough</v>
      </c>
      <c r="X42" s="5">
        <f t="shared" si="4"/>
        <v>1</v>
      </c>
      <c r="Y42" s="5" t="str">
        <f>IFERROR(__xludf.DUMMYFUNCTION("REGEXEXTRACT(J42, ""^\d+"")"),"1")</f>
        <v>1</v>
      </c>
      <c r="Z42" s="5" t="str">
        <f>IFERROR(__xludf.DUMMYFUNCTION("REGEXEXTRACT(J42, ""[A-Za-z ]+$"")")," Season")</f>
        <v> Season</v>
      </c>
      <c r="AA42" s="5" t="str">
        <f>IFERROR(__xludf.DUMMYFUNCTION("IF(REGEXMATCH(Z42, ""Season""), ""TV Show"", ""Movie"")"),"TV Show")</f>
        <v>TV Show</v>
      </c>
    </row>
    <row r="43">
      <c r="A43" s="1" t="s">
        <v>337</v>
      </c>
      <c r="B43" s="1" t="s">
        <v>27</v>
      </c>
      <c r="C43" s="1" t="s">
        <v>338</v>
      </c>
      <c r="D43" s="1" t="s">
        <v>339</v>
      </c>
      <c r="E43" s="1" t="s">
        <v>340</v>
      </c>
      <c r="F43" s="1" t="s">
        <v>30</v>
      </c>
      <c r="G43" s="1" t="s">
        <v>313</v>
      </c>
      <c r="H43" s="1">
        <v>1975.0</v>
      </c>
      <c r="I43" s="1" t="s">
        <v>78</v>
      </c>
      <c r="J43" s="1" t="s">
        <v>341</v>
      </c>
      <c r="K43" s="1" t="s">
        <v>342</v>
      </c>
      <c r="L43" s="1" t="s">
        <v>343</v>
      </c>
      <c r="M43" s="2" t="s">
        <v>12</v>
      </c>
      <c r="N43" s="4">
        <f t="shared" si="1"/>
        <v>44455</v>
      </c>
      <c r="O43" s="5" t="str">
        <f>IFERROR(__xludf.DUMMYFUNCTION("IF(REGEXMATCH(TRIM(I43), ""^\d+\s*min""), ""Unclassified"", IF(I43 = """", ""NR"", I43))"),"PG")</f>
        <v>PG</v>
      </c>
      <c r="R43" s="5" t="str">
        <f t="shared" si="2"/>
        <v>Jaws</v>
      </c>
      <c r="S43" s="5" t="str">
        <f>IFERROR(__xludf.DUMMYFUNCTION("""COMPUTED_VALUE"""),"15-Aug")</f>
        <v>15-Aug</v>
      </c>
      <c r="T43" s="5" t="str">
        <f>IFERROR(__xludf.DUMMYFUNCTION("""COMPUTED_VALUE"""),"Belgium, United Kingdom")</f>
        <v>Belgium, United Kingdom</v>
      </c>
      <c r="U43" s="5" t="str">
        <f>IFERROR(__xludf.DUMMYFUNCTION("""COMPUTED_VALUE"""),"Kemi Adetiba")</f>
        <v>Kemi Adetiba</v>
      </c>
      <c r="V43" s="5" t="s">
        <v>344</v>
      </c>
      <c r="W43" s="5" t="str">
        <f t="shared" si="3"/>
        <v>Adam Bolt</v>
      </c>
      <c r="X43" s="5">
        <f t="shared" si="4"/>
        <v>1</v>
      </c>
      <c r="Y43" s="5" t="str">
        <f>IFERROR(__xludf.DUMMYFUNCTION("REGEXEXTRACT(J43, ""^\d+"")"),"124")</f>
        <v>124</v>
      </c>
      <c r="Z43" s="5" t="str">
        <f>IFERROR(__xludf.DUMMYFUNCTION("REGEXEXTRACT(J43, ""[A-Za-z ]+$"")")," min")</f>
        <v> min</v>
      </c>
      <c r="AA43" s="5" t="str">
        <f>IFERROR(__xludf.DUMMYFUNCTION("IF(REGEXMATCH(Z43, ""Season""), ""TV Show"", ""Movie"")"),"Movie")</f>
        <v>Movie</v>
      </c>
    </row>
    <row r="44">
      <c r="A44" s="1" t="s">
        <v>345</v>
      </c>
      <c r="B44" s="1" t="s">
        <v>27</v>
      </c>
      <c r="C44" s="1" t="s">
        <v>346</v>
      </c>
      <c r="D44" s="1" t="s">
        <v>347</v>
      </c>
      <c r="E44" s="1" t="s">
        <v>348</v>
      </c>
      <c r="F44" s="1" t="s">
        <v>30</v>
      </c>
      <c r="G44" s="1" t="s">
        <v>313</v>
      </c>
      <c r="H44" s="1">
        <v>1978.0</v>
      </c>
      <c r="I44" s="1" t="s">
        <v>78</v>
      </c>
      <c r="J44" s="1" t="s">
        <v>349</v>
      </c>
      <c r="K44" s="1" t="s">
        <v>350</v>
      </c>
      <c r="L44" s="1" t="s">
        <v>351</v>
      </c>
      <c r="M44" s="2" t="s">
        <v>12</v>
      </c>
      <c r="N44" s="4">
        <f t="shared" si="1"/>
        <v>44455</v>
      </c>
      <c r="O44" s="5" t="str">
        <f>IFERROR(__xludf.DUMMYFUNCTION("IF(REGEXMATCH(TRIM(I44), ""^\d+\s*min""), ""Unclassified"", IF(I44 = """", ""NR"", I44))"),"PG")</f>
        <v>PG</v>
      </c>
      <c r="R44" s="5" t="str">
        <f t="shared" si="2"/>
        <v>Jaws 2</v>
      </c>
      <c r="S44" s="5" t="str">
        <f>IFERROR(__xludf.DUMMYFUNCTION("""COMPUTED_VALUE"""),"16 Blocks")</f>
        <v>16 Blocks</v>
      </c>
      <c r="T44" s="5" t="str">
        <f>IFERROR(__xludf.DUMMYFUNCTION("""COMPUTED_VALUE"""),"Belgium, United Kingdom, United States")</f>
        <v>Belgium, United Kingdom, United States</v>
      </c>
      <c r="U44" s="5" t="str">
        <f>IFERROR(__xludf.DUMMYFUNCTION("""COMPUTED_VALUE"""),"Ben Simms")</f>
        <v>Ben Simms</v>
      </c>
      <c r="V44" s="5" t="s">
        <v>352</v>
      </c>
      <c r="W44" s="5" t="str">
        <f t="shared" si="3"/>
        <v>Adam Collins, Luke Radford</v>
      </c>
      <c r="X44" s="5">
        <f t="shared" si="4"/>
        <v>1</v>
      </c>
      <c r="Y44" s="5" t="str">
        <f>IFERROR(__xludf.DUMMYFUNCTION("REGEXEXTRACT(J44, ""^\d+"")"),"116")</f>
        <v>116</v>
      </c>
      <c r="Z44" s="5" t="str">
        <f>IFERROR(__xludf.DUMMYFUNCTION("REGEXEXTRACT(J44, ""[A-Za-z ]+$"")")," min")</f>
        <v> min</v>
      </c>
      <c r="AA44" s="5" t="str">
        <f>IFERROR(__xludf.DUMMYFUNCTION("IF(REGEXMATCH(Z44, ""Season""), ""TV Show"", ""Movie"")"),"Movie")</f>
        <v>Movie</v>
      </c>
    </row>
    <row r="45">
      <c r="A45" s="1" t="s">
        <v>353</v>
      </c>
      <c r="B45" s="1" t="s">
        <v>27</v>
      </c>
      <c r="C45" s="1" t="s">
        <v>354</v>
      </c>
      <c r="D45" s="1" t="s">
        <v>355</v>
      </c>
      <c r="E45" s="1" t="s">
        <v>356</v>
      </c>
      <c r="F45" s="1" t="s">
        <v>30</v>
      </c>
      <c r="G45" s="1" t="s">
        <v>313</v>
      </c>
      <c r="H45" s="1">
        <v>1983.0</v>
      </c>
      <c r="I45" s="1" t="s">
        <v>78</v>
      </c>
      <c r="J45" s="1" t="s">
        <v>357</v>
      </c>
      <c r="K45" s="1" t="s">
        <v>358</v>
      </c>
      <c r="L45" s="1" t="s">
        <v>359</v>
      </c>
      <c r="M45" s="2" t="s">
        <v>12</v>
      </c>
      <c r="N45" s="4">
        <f t="shared" si="1"/>
        <v>44455</v>
      </c>
      <c r="O45" s="5" t="str">
        <f>IFERROR(__xludf.DUMMYFUNCTION("IF(REGEXMATCH(TRIM(I45), ""^\d+\s*min""), ""Unclassified"", IF(I45 = """", ""NR"", I45))"),"PG")</f>
        <v>PG</v>
      </c>
      <c r="R45" s="5" t="str">
        <f t="shared" si="2"/>
        <v>Jaws 3</v>
      </c>
      <c r="S45" s="5" t="str">
        <f>IFERROR(__xludf.DUMMYFUNCTION("""COMPUTED_VALUE"""),"17 Again")</f>
        <v>17 Again</v>
      </c>
      <c r="T45" s="5" t="str">
        <f>IFERROR(__xludf.DUMMYFUNCTION("""COMPUTED_VALUE"""),"Brazil")</f>
        <v>Brazil</v>
      </c>
      <c r="U45" s="5" t="str">
        <f>IFERROR(__xludf.DUMMYFUNCTION("""COMPUTED_VALUE"""),"Prakash Satam")</f>
        <v>Prakash Satam</v>
      </c>
      <c r="V45" s="5" t="s">
        <v>360</v>
      </c>
      <c r="W45" s="5" t="str">
        <f t="shared" si="3"/>
        <v>Adam Davis, Jerry Kolber, Trey Nelson, Erich Sturm</v>
      </c>
      <c r="X45" s="5">
        <f t="shared" si="4"/>
        <v>1</v>
      </c>
      <c r="Y45" s="5" t="str">
        <f>IFERROR(__xludf.DUMMYFUNCTION("REGEXEXTRACT(J45, ""^\d+"")"),"98")</f>
        <v>98</v>
      </c>
      <c r="Z45" s="5" t="str">
        <f>IFERROR(__xludf.DUMMYFUNCTION("REGEXEXTRACT(J45, ""[A-Za-z ]+$"")")," min")</f>
        <v> min</v>
      </c>
      <c r="AA45" s="5" t="str">
        <f>IFERROR(__xludf.DUMMYFUNCTION("IF(REGEXMATCH(Z45, ""Season""), ""TV Show"", ""Movie"")"),"Movie")</f>
        <v>Movie</v>
      </c>
    </row>
    <row r="46">
      <c r="A46" s="1" t="s">
        <v>361</v>
      </c>
      <c r="B46" s="1" t="s">
        <v>27</v>
      </c>
      <c r="C46" s="1" t="s">
        <v>362</v>
      </c>
      <c r="D46" s="1" t="s">
        <v>363</v>
      </c>
      <c r="E46" s="1" t="s">
        <v>364</v>
      </c>
      <c r="F46" s="1" t="s">
        <v>30</v>
      </c>
      <c r="G46" s="1" t="s">
        <v>313</v>
      </c>
      <c r="H46" s="1">
        <v>1987.0</v>
      </c>
      <c r="I46" s="1" t="s">
        <v>32</v>
      </c>
      <c r="J46" s="1" t="s">
        <v>79</v>
      </c>
      <c r="K46" s="1" t="s">
        <v>358</v>
      </c>
      <c r="L46" s="1" t="s">
        <v>365</v>
      </c>
      <c r="M46" s="2" t="s">
        <v>12</v>
      </c>
      <c r="N46" s="4">
        <f t="shared" si="1"/>
        <v>44455</v>
      </c>
      <c r="O46" s="5" t="str">
        <f>IFERROR(__xludf.DUMMYFUNCTION("IF(REGEXMATCH(TRIM(I46), ""^\d+\s*min""), ""Unclassified"", IF(I46 = """", ""NR"", I46))"),"PG-13")</f>
        <v>PG-13</v>
      </c>
      <c r="R46" s="5" t="str">
        <f t="shared" si="2"/>
        <v>Jaws: The Revenge</v>
      </c>
      <c r="S46" s="5" t="str">
        <f>IFERROR(__xludf.DUMMYFUNCTION("""COMPUTED_VALUE"""),"18 Presents")</f>
        <v>18 Presents</v>
      </c>
      <c r="T46" s="5" t="str">
        <f>IFERROR(__xludf.DUMMYFUNCTION("""COMPUTED_VALUE"""),"Brazil, France")</f>
        <v>Brazil, France</v>
      </c>
      <c r="U46" s="5" t="str">
        <f>IFERROR(__xludf.DUMMYFUNCTION("""COMPUTED_VALUE"""),"Delhiprasad Deenadayalan")</f>
        <v>Delhiprasad Deenadayalan</v>
      </c>
      <c r="V46" s="5" t="s">
        <v>366</v>
      </c>
      <c r="W46" s="5" t="str">
        <f t="shared" si="3"/>
        <v>Adam Del Giudice</v>
      </c>
      <c r="X46" s="5">
        <f t="shared" si="4"/>
        <v>1</v>
      </c>
      <c r="Y46" s="5" t="str">
        <f>IFERROR(__xludf.DUMMYFUNCTION("REGEXEXTRACT(J46, ""^\d+"")"),"91")</f>
        <v>91</v>
      </c>
      <c r="Z46" s="5" t="str">
        <f>IFERROR(__xludf.DUMMYFUNCTION("REGEXEXTRACT(J46, ""[A-Za-z ]+$"")")," min")</f>
        <v> min</v>
      </c>
      <c r="AA46" s="5" t="str">
        <f>IFERROR(__xludf.DUMMYFUNCTION("IF(REGEXMATCH(Z46, ""Season""), ""TV Show"", ""Movie"")"),"Movie")</f>
        <v>Movie</v>
      </c>
    </row>
    <row r="47">
      <c r="A47" s="1" t="s">
        <v>367</v>
      </c>
      <c r="B47" s="1" t="s">
        <v>27</v>
      </c>
      <c r="C47" s="1" t="s">
        <v>368</v>
      </c>
      <c r="D47" s="1" t="s">
        <v>369</v>
      </c>
      <c r="G47" s="1" t="s">
        <v>313</v>
      </c>
      <c r="H47" s="1">
        <v>2021.0</v>
      </c>
      <c r="I47" s="1" t="s">
        <v>78</v>
      </c>
      <c r="J47" s="1" t="s">
        <v>370</v>
      </c>
      <c r="K47" s="1" t="s">
        <v>34</v>
      </c>
      <c r="L47" s="1" t="s">
        <v>371</v>
      </c>
      <c r="M47" s="2" t="s">
        <v>12</v>
      </c>
      <c r="N47" s="4">
        <f t="shared" si="1"/>
        <v>44455</v>
      </c>
      <c r="O47" s="5" t="str">
        <f>IFERROR(__xludf.DUMMYFUNCTION("IF(REGEXMATCH(TRIM(I47), ""^\d+\s*min""), ""Unclassified"", IF(I47 = """", ""NR"", I47))"),"PG")</f>
        <v>PG</v>
      </c>
      <c r="R47" s="5" t="str">
        <f t="shared" si="2"/>
        <v>My Heroes Were Cowboys</v>
      </c>
      <c r="S47" s="5" t="str">
        <f>IFERROR(__xludf.DUMMYFUNCTION("""COMPUTED_VALUE"""),"187")</f>
        <v>187</v>
      </c>
      <c r="T47" s="5" t="str">
        <f>IFERROR(__xludf.DUMMYFUNCTION("""COMPUTED_VALUE"""),"Brazil, France, Germany")</f>
        <v>Brazil, France, Germany</v>
      </c>
      <c r="U47" s="5" t="str">
        <f>IFERROR(__xludf.DUMMYFUNCTION("""COMPUTED_VALUE"""),"Tomer Eshed")</f>
        <v>Tomer Eshed</v>
      </c>
      <c r="V47" s="5" t="s">
        <v>372</v>
      </c>
      <c r="W47" s="5" t="str">
        <f t="shared" si="3"/>
        <v>Adam Deyoe</v>
      </c>
      <c r="X47" s="5">
        <f t="shared" si="4"/>
        <v>1</v>
      </c>
      <c r="Y47" s="5" t="str">
        <f>IFERROR(__xludf.DUMMYFUNCTION("REGEXEXTRACT(J47, ""^\d+"")"),"23")</f>
        <v>23</v>
      </c>
      <c r="Z47" s="5" t="str">
        <f>IFERROR(__xludf.DUMMYFUNCTION("REGEXEXTRACT(J47, ""[A-Za-z ]+$"")")," min")</f>
        <v> min</v>
      </c>
      <c r="AA47" s="5" t="str">
        <f>IFERROR(__xludf.DUMMYFUNCTION("IF(REGEXMATCH(Z47, ""Season""), ""TV Show"", ""Movie"")"),"Movie")</f>
        <v>Movie</v>
      </c>
    </row>
    <row r="48">
      <c r="A48" s="1" t="s">
        <v>373</v>
      </c>
      <c r="B48" s="1" t="s">
        <v>27</v>
      </c>
      <c r="C48" s="1" t="s">
        <v>374</v>
      </c>
      <c r="D48" s="1" t="s">
        <v>375</v>
      </c>
      <c r="E48" s="1" t="s">
        <v>376</v>
      </c>
      <c r="F48" s="1" t="s">
        <v>377</v>
      </c>
      <c r="G48" s="1" t="s">
        <v>313</v>
      </c>
      <c r="H48" s="1">
        <v>2012.0</v>
      </c>
      <c r="I48" s="1" t="s">
        <v>378</v>
      </c>
      <c r="J48" s="1" t="s">
        <v>379</v>
      </c>
      <c r="K48" s="1" t="s">
        <v>380</v>
      </c>
      <c r="L48" s="1" t="s">
        <v>381</v>
      </c>
      <c r="M48" s="2" t="s">
        <v>12</v>
      </c>
      <c r="N48" s="4">
        <f t="shared" si="1"/>
        <v>44455</v>
      </c>
      <c r="O48" s="5" t="str">
        <f>IFERROR(__xludf.DUMMYFUNCTION("IF(REGEXMATCH(TRIM(I48), ""^\d+\s*min""), ""Unclassified"", IF(I48 = """", ""NR"", I48))"),"R")</f>
        <v>R</v>
      </c>
      <c r="R48" s="5" t="str">
        <f t="shared" si="2"/>
        <v>Safe House</v>
      </c>
      <c r="S48" s="5" t="str">
        <f>IFERROR(__xludf.DUMMYFUNCTION("""COMPUTED_VALUE"""),"1898: Our Last Men In The Philippines")</f>
        <v>1898: Our Last Men In The Philippines</v>
      </c>
      <c r="T48" s="5" t="str">
        <f>IFERROR(__xludf.DUMMYFUNCTION("""COMPUTED_VALUE"""),"Brazil, India, China, United States")</f>
        <v>Brazil, India, China, United States</v>
      </c>
      <c r="U48" s="5" t="str">
        <f>IFERROR(__xludf.DUMMYFUNCTION("""COMPUTED_VALUE"""),"Cedric Nicolas-Troyan")</f>
        <v>Cedric Nicolas-Troyan</v>
      </c>
      <c r="V48" s="5" t="s">
        <v>382</v>
      </c>
      <c r="W48" s="5" t="str">
        <f t="shared" si="3"/>
        <v>Adam Dubin</v>
      </c>
      <c r="X48" s="5">
        <f t="shared" si="4"/>
        <v>1</v>
      </c>
      <c r="Y48" s="5" t="str">
        <f>IFERROR(__xludf.DUMMYFUNCTION("REGEXEXTRACT(J48, ""^\d+"")"),"115")</f>
        <v>115</v>
      </c>
      <c r="Z48" s="5" t="str">
        <f>IFERROR(__xludf.DUMMYFUNCTION("REGEXEXTRACT(J48, ""[A-Za-z ]+$"")")," min")</f>
        <v> min</v>
      </c>
      <c r="AA48" s="5" t="str">
        <f>IFERROR(__xludf.DUMMYFUNCTION("IF(REGEXMATCH(Z48, ""Season""), ""TV Show"", ""Movie"")"),"Movie")</f>
        <v>Movie</v>
      </c>
    </row>
    <row r="49">
      <c r="A49" s="1" t="s">
        <v>383</v>
      </c>
      <c r="B49" s="1" t="s">
        <v>37</v>
      </c>
      <c r="C49" s="1" t="s">
        <v>384</v>
      </c>
      <c r="D49" s="1" t="s">
        <v>385</v>
      </c>
      <c r="E49" s="1" t="s">
        <v>386</v>
      </c>
      <c r="G49" s="1" t="s">
        <v>313</v>
      </c>
      <c r="H49" s="1">
        <v>2020.0</v>
      </c>
      <c r="I49" s="1" t="s">
        <v>42</v>
      </c>
      <c r="J49" s="1" t="s">
        <v>51</v>
      </c>
      <c r="K49" s="1" t="s">
        <v>64</v>
      </c>
      <c r="L49" s="1" t="s">
        <v>387</v>
      </c>
      <c r="M49" s="2" t="s">
        <v>12</v>
      </c>
      <c r="N49" s="4">
        <f t="shared" si="1"/>
        <v>44455</v>
      </c>
      <c r="O49" s="5" t="str">
        <f>IFERROR(__xludf.DUMMYFUNCTION("IF(REGEXMATCH(TRIM(I49), ""^\d+\s*min""), ""Unclassified"", IF(I49 = """", ""NR"", I49))"),"TV-MA")</f>
        <v>TV-MA</v>
      </c>
      <c r="R49" s="5" t="str">
        <f t="shared" si="2"/>
        <v>The Smart Money Woman</v>
      </c>
      <c r="S49" s="5" t="str">
        <f>IFERROR(__xludf.DUMMYFUNCTION("""COMPUTED_VALUE"""),"1920")</f>
        <v>1920</v>
      </c>
      <c r="T49" s="5" t="str">
        <f>IFERROR(__xludf.DUMMYFUNCTION("""COMPUTED_VALUE"""),"Brazil, Netherlands, United States, Colombia, Austria, Germany")</f>
        <v>Brazil, Netherlands, United States, Colombia, Austria, Germany</v>
      </c>
      <c r="U49" s="5" t="str">
        <f>IFERROR(__xludf.DUMMYFUNCTION("""COMPUTED_VALUE"""),"Jjc Skillz, Funke Akindele")</f>
        <v>Jjc Skillz, Funke Akindele</v>
      </c>
      <c r="V49" s="5" t="s">
        <v>388</v>
      </c>
      <c r="W49" s="5" t="str">
        <f t="shared" si="3"/>
        <v>Adam Leon</v>
      </c>
      <c r="X49" s="5">
        <f t="shared" si="4"/>
        <v>1</v>
      </c>
      <c r="Y49" s="5" t="str">
        <f>IFERROR(__xludf.DUMMYFUNCTION("REGEXEXTRACT(J49, ""^\d+"")"),"1")</f>
        <v>1</v>
      </c>
      <c r="Z49" s="5" t="str">
        <f>IFERROR(__xludf.DUMMYFUNCTION("REGEXEXTRACT(J49, ""[A-Za-z ]+$"")")," Season")</f>
        <v> Season</v>
      </c>
      <c r="AA49" s="5" t="str">
        <f>IFERROR(__xludf.DUMMYFUNCTION("IF(REGEXMATCH(Z49, ""Season""), ""TV Show"", ""Movie"")"),"TV Show")</f>
        <v>TV Show</v>
      </c>
    </row>
    <row r="50">
      <c r="A50" s="1" t="s">
        <v>389</v>
      </c>
      <c r="B50" s="1" t="s">
        <v>27</v>
      </c>
      <c r="C50" s="1" t="s">
        <v>390</v>
      </c>
      <c r="D50" s="1" t="s">
        <v>391</v>
      </c>
      <c r="E50" s="1" t="s">
        <v>392</v>
      </c>
      <c r="F50" s="1" t="s">
        <v>30</v>
      </c>
      <c r="G50" s="1" t="s">
        <v>313</v>
      </c>
      <c r="H50" s="1">
        <v>2001.0</v>
      </c>
      <c r="I50" s="1" t="s">
        <v>378</v>
      </c>
      <c r="J50" s="1" t="s">
        <v>393</v>
      </c>
      <c r="K50" s="1" t="s">
        <v>394</v>
      </c>
      <c r="L50" s="1" t="s">
        <v>395</v>
      </c>
      <c r="M50" s="2" t="s">
        <v>12</v>
      </c>
      <c r="N50" s="4">
        <f t="shared" si="1"/>
        <v>44455</v>
      </c>
      <c r="O50" s="5" t="str">
        <f>IFERROR(__xludf.DUMMYFUNCTION("IF(REGEXMATCH(TRIM(I50), ""^\d+\s*min""), ""Unclassified"", IF(I50 = """", ""NR"", I50))"),"R")</f>
        <v>R</v>
      </c>
      <c r="R50" s="5" t="str">
        <f t="shared" si="2"/>
        <v>Training Day</v>
      </c>
      <c r="S50" s="5" t="str">
        <f>IFERROR(__xludf.DUMMYFUNCTION("""COMPUTED_VALUE"""),"1922")</f>
        <v>1922</v>
      </c>
      <c r="T50" s="5" t="str">
        <f>IFERROR(__xludf.DUMMYFUNCTION("""COMPUTED_VALUE"""),"Brazil, United Kingdom")</f>
        <v>Brazil, United Kingdom</v>
      </c>
      <c r="U50" s="5" t="str">
        <f>IFERROR(__xludf.DUMMYFUNCTION("""COMPUTED_VALUE"""),"Thomas Sieben")</f>
        <v>Thomas Sieben</v>
      </c>
      <c r="V50" s="5" t="s">
        <v>396</v>
      </c>
      <c r="W50" s="5" t="str">
        <f t="shared" si="3"/>
        <v>Adam Macdonald</v>
      </c>
      <c r="X50" s="5">
        <f t="shared" si="4"/>
        <v>1</v>
      </c>
      <c r="Y50" s="5" t="str">
        <f>IFERROR(__xludf.DUMMYFUNCTION("REGEXEXTRACT(J50, ""^\d+"")"),"122")</f>
        <v>122</v>
      </c>
      <c r="Z50" s="5" t="str">
        <f>IFERROR(__xludf.DUMMYFUNCTION("REGEXEXTRACT(J50, ""[A-Za-z ]+$"")")," min")</f>
        <v> min</v>
      </c>
      <c r="AA50" s="5" t="str">
        <f>IFERROR(__xludf.DUMMYFUNCTION("IF(REGEXMATCH(Z50, ""Season""), ""TV Show"", ""Movie"")"),"Movie")</f>
        <v>Movie</v>
      </c>
    </row>
    <row r="51">
      <c r="A51" s="1" t="s">
        <v>397</v>
      </c>
      <c r="B51" s="1" t="s">
        <v>37</v>
      </c>
      <c r="C51" s="1" t="s">
        <v>398</v>
      </c>
      <c r="E51" s="1" t="s">
        <v>399</v>
      </c>
      <c r="F51" s="1" t="s">
        <v>400</v>
      </c>
      <c r="G51" s="1" t="s">
        <v>401</v>
      </c>
      <c r="H51" s="1">
        <v>2021.0</v>
      </c>
      <c r="I51" s="1" t="s">
        <v>42</v>
      </c>
      <c r="J51" s="1" t="s">
        <v>43</v>
      </c>
      <c r="K51" s="1" t="s">
        <v>402</v>
      </c>
      <c r="L51" s="1" t="s">
        <v>403</v>
      </c>
      <c r="M51" s="2" t="s">
        <v>12</v>
      </c>
      <c r="N51" s="4">
        <f t="shared" si="1"/>
        <v>44454</v>
      </c>
      <c r="O51" s="5" t="str">
        <f>IFERROR(__xludf.DUMMYFUNCTION("IF(REGEXMATCH(TRIM(I51), ""^\d+\s*min""), ""Unclassified"", IF(I51 = """", ""NR"", I51))"),"TV-MA")</f>
        <v>TV-MA</v>
      </c>
      <c r="R51" s="5" t="str">
        <f t="shared" si="2"/>
        <v>Castle And Castle</v>
      </c>
      <c r="S51" s="5" t="str">
        <f>IFERROR(__xludf.DUMMYFUNCTION("""COMPUTED_VALUE"""),"1983")</f>
        <v>1983</v>
      </c>
      <c r="T51" s="5" t="str">
        <f>IFERROR(__xludf.DUMMYFUNCTION("""COMPUTED_VALUE"""),"Brazil, United States")</f>
        <v>Brazil, United States</v>
      </c>
      <c r="U51" s="5" t="str">
        <f>IFERROR(__xludf.DUMMYFUNCTION("""COMPUTED_VALUE"""),"Marcus Clarke")</f>
        <v>Marcus Clarke</v>
      </c>
      <c r="V51" s="5" t="s">
        <v>404</v>
      </c>
      <c r="W51" s="5" t="str">
        <f t="shared" si="3"/>
        <v>Adam Marino</v>
      </c>
      <c r="X51" s="5">
        <f t="shared" si="4"/>
        <v>1</v>
      </c>
      <c r="Y51" s="5" t="str">
        <f>IFERROR(__xludf.DUMMYFUNCTION("REGEXEXTRACT(J51, ""^\d+"")"),"2")</f>
        <v>2</v>
      </c>
      <c r="Z51" s="5" t="str">
        <f>IFERROR(__xludf.DUMMYFUNCTION("REGEXEXTRACT(J51, ""[A-Za-z ]+$"")")," Seasons")</f>
        <v> Seasons</v>
      </c>
      <c r="AA51" s="5" t="str">
        <f>IFERROR(__xludf.DUMMYFUNCTION("IF(REGEXMATCH(Z51, ""Season""), ""TV Show"", ""Movie"")"),"TV Show")</f>
        <v>TV Show</v>
      </c>
    </row>
    <row r="52">
      <c r="A52" s="1" t="s">
        <v>405</v>
      </c>
      <c r="B52" s="1" t="s">
        <v>37</v>
      </c>
      <c r="C52" s="1" t="s">
        <v>406</v>
      </c>
      <c r="E52" s="1" t="s">
        <v>407</v>
      </c>
      <c r="F52" s="1" t="s">
        <v>63</v>
      </c>
      <c r="G52" s="1" t="s">
        <v>401</v>
      </c>
      <c r="H52" s="1">
        <v>2014.0</v>
      </c>
      <c r="I52" s="1" t="s">
        <v>136</v>
      </c>
      <c r="J52" s="1" t="s">
        <v>51</v>
      </c>
      <c r="K52" s="1" t="s">
        <v>408</v>
      </c>
      <c r="L52" s="1" t="s">
        <v>409</v>
      </c>
      <c r="M52" s="2" t="s">
        <v>12</v>
      </c>
      <c r="N52" s="4">
        <f t="shared" si="1"/>
        <v>44454</v>
      </c>
      <c r="O52" s="5" t="str">
        <f>IFERROR(__xludf.DUMMYFUNCTION("IF(REGEXMATCH(TRIM(I52), ""^\d+\s*min""), ""Unclassified"", IF(I52 = """", ""NR"", I52))"),"TV-PG")</f>
        <v>TV-PG</v>
      </c>
      <c r="R52" s="5" t="str">
        <f t="shared" si="2"/>
        <v>Dharmakshetra</v>
      </c>
      <c r="S52" s="5" t="str">
        <f>IFERROR(__xludf.DUMMYFUNCTION("""COMPUTED_VALUE"""),"1994")</f>
        <v>1994</v>
      </c>
      <c r="T52" s="5" t="str">
        <f>IFERROR(__xludf.DUMMYFUNCTION("""COMPUTED_VALUE"""),"Bulgaria")</f>
        <v>Bulgaria</v>
      </c>
      <c r="U52" s="5" t="str">
        <f>IFERROR(__xludf.DUMMYFUNCTION("""COMPUTED_VALUE"""),"Alice Waddington")</f>
        <v>Alice Waddington</v>
      </c>
      <c r="V52" s="5" t="s">
        <v>410</v>
      </c>
      <c r="W52" s="5" t="str">
        <f t="shared" si="3"/>
        <v>Adam Mckay</v>
      </c>
      <c r="X52" s="5">
        <f t="shared" si="4"/>
        <v>3</v>
      </c>
      <c r="Y52" s="5" t="str">
        <f>IFERROR(__xludf.DUMMYFUNCTION("REGEXEXTRACT(J52, ""^\d+"")"),"1")</f>
        <v>1</v>
      </c>
      <c r="Z52" s="5" t="str">
        <f>IFERROR(__xludf.DUMMYFUNCTION("REGEXEXTRACT(J52, ""[A-Za-z ]+$"")")," Season")</f>
        <v> Season</v>
      </c>
      <c r="AA52" s="5" t="str">
        <f>IFERROR(__xludf.DUMMYFUNCTION("IF(REGEXMATCH(Z52, ""Season""), ""TV Show"", ""Movie"")"),"TV Show")</f>
        <v>TV Show</v>
      </c>
    </row>
    <row r="53">
      <c r="A53" s="1" t="s">
        <v>411</v>
      </c>
      <c r="B53" s="1" t="s">
        <v>27</v>
      </c>
      <c r="C53" s="1" t="s">
        <v>412</v>
      </c>
      <c r="D53" s="1" t="s">
        <v>413</v>
      </c>
      <c r="E53" s="1" t="s">
        <v>414</v>
      </c>
      <c r="F53" s="1" t="s">
        <v>415</v>
      </c>
      <c r="G53" s="1" t="s">
        <v>401</v>
      </c>
      <c r="H53" s="1">
        <v>2002.0</v>
      </c>
      <c r="I53" s="1" t="s">
        <v>97</v>
      </c>
      <c r="J53" s="1" t="s">
        <v>416</v>
      </c>
      <c r="K53" s="1" t="s">
        <v>417</v>
      </c>
      <c r="L53" s="1" t="s">
        <v>418</v>
      </c>
      <c r="M53" s="2" t="s">
        <v>12</v>
      </c>
      <c r="N53" s="4">
        <f t="shared" si="1"/>
        <v>44454</v>
      </c>
      <c r="O53" s="5" t="str">
        <f>IFERROR(__xludf.DUMMYFUNCTION("IF(REGEXMATCH(TRIM(I53), ""^\d+\s*min""), ""Unclassified"", IF(I53 = """", ""NR"", I53))"),"TV-14")</f>
        <v>TV-14</v>
      </c>
      <c r="R53" s="5" t="str">
        <f t="shared" si="2"/>
        <v>Inuyasha The Movie 2: The Castle Beyond The Looking Glass</v>
      </c>
      <c r="S53" s="5" t="str">
        <f>IFERROR(__xludf.DUMMYFUNCTION("""COMPUTED_VALUE"""),"1Br")</f>
        <v>1Br</v>
      </c>
      <c r="T53" s="5" t="str">
        <f>IFERROR(__xludf.DUMMYFUNCTION("""COMPUTED_VALUE"""),"Bulgaria, United States")</f>
        <v>Bulgaria, United States</v>
      </c>
      <c r="U53" s="5" t="str">
        <f>IFERROR(__xludf.DUMMYFUNCTION("""COMPUTED_VALUE"""),"Mona Achache, Patricia Tourancheau")</f>
        <v>Mona Achache, Patricia Tourancheau</v>
      </c>
      <c r="V53" s="5" t="s">
        <v>419</v>
      </c>
      <c r="W53" s="5" t="str">
        <f t="shared" si="3"/>
        <v>Adam Nimoy</v>
      </c>
      <c r="X53" s="5">
        <f t="shared" si="4"/>
        <v>1</v>
      </c>
      <c r="Y53" s="5" t="str">
        <f>IFERROR(__xludf.DUMMYFUNCTION("REGEXEXTRACT(J53, ""^\d+"")"),"99")</f>
        <v>99</v>
      </c>
      <c r="Z53" s="5" t="str">
        <f>IFERROR(__xludf.DUMMYFUNCTION("REGEXEXTRACT(J53, ""[A-Za-z ]+$"")")," min")</f>
        <v> min</v>
      </c>
      <c r="AA53" s="5" t="str">
        <f>IFERROR(__xludf.DUMMYFUNCTION("IF(REGEXMATCH(Z53, ""Season""), ""TV Show"", ""Movie"")"),"Movie")</f>
        <v>Movie</v>
      </c>
    </row>
    <row r="54">
      <c r="A54" s="1" t="s">
        <v>420</v>
      </c>
      <c r="B54" s="1" t="s">
        <v>27</v>
      </c>
      <c r="C54" s="1" t="s">
        <v>421</v>
      </c>
      <c r="D54" s="1" t="s">
        <v>413</v>
      </c>
      <c r="E54" s="1" t="s">
        <v>422</v>
      </c>
      <c r="F54" s="1" t="s">
        <v>415</v>
      </c>
      <c r="G54" s="1" t="s">
        <v>401</v>
      </c>
      <c r="H54" s="1">
        <v>2003.0</v>
      </c>
      <c r="I54" s="1" t="s">
        <v>97</v>
      </c>
      <c r="J54" s="1" t="s">
        <v>416</v>
      </c>
      <c r="K54" s="1" t="s">
        <v>417</v>
      </c>
      <c r="L54" s="1" t="s">
        <v>423</v>
      </c>
      <c r="M54" s="2" t="s">
        <v>12</v>
      </c>
      <c r="N54" s="4">
        <f t="shared" si="1"/>
        <v>44454</v>
      </c>
      <c r="O54" s="5" t="str">
        <f>IFERROR(__xludf.DUMMYFUNCTION("IF(REGEXMATCH(TRIM(I54), ""^\d+\s*min""), ""Unclassified"", IF(I54 = """", ""NR"", I54))"),"TV-14")</f>
        <v>TV-14</v>
      </c>
      <c r="R54" s="5" t="str">
        <f t="shared" si="2"/>
        <v>Inuyasha The Movie 3: Swords Of An Honorable Ruler</v>
      </c>
      <c r="S54" s="5" t="str">
        <f>IFERROR(__xludf.DUMMYFUNCTION("""COMPUTED_VALUE"""),"1St Summoning")</f>
        <v>1St Summoning</v>
      </c>
      <c r="T54" s="5" t="str">
        <f>IFERROR(__xludf.DUMMYFUNCTION("""COMPUTED_VALUE"""),"Bulgaria, United States, Spain, Canada")</f>
        <v>Bulgaria, United States, Spain, Canada</v>
      </c>
      <c r="U54" s="5" t="str">
        <f>IFERROR(__xludf.DUMMYFUNCTION("""COMPUTED_VALUE"""),"Alexis Almström")</f>
        <v>Alexis Almström</v>
      </c>
      <c r="V54" s="5" t="s">
        <v>424</v>
      </c>
      <c r="W54" s="5" t="str">
        <f t="shared" si="3"/>
        <v>Adam Randall</v>
      </c>
      <c r="X54" s="5">
        <f t="shared" si="4"/>
        <v>1</v>
      </c>
      <c r="Y54" s="5" t="str">
        <f>IFERROR(__xludf.DUMMYFUNCTION("REGEXEXTRACT(J54, ""^\d+"")"),"99")</f>
        <v>99</v>
      </c>
      <c r="Z54" s="5" t="str">
        <f>IFERROR(__xludf.DUMMYFUNCTION("REGEXEXTRACT(J54, ""[A-Za-z ]+$"")")," min")</f>
        <v> min</v>
      </c>
      <c r="AA54" s="5" t="str">
        <f>IFERROR(__xludf.DUMMYFUNCTION("IF(REGEXMATCH(Z54, ""Season""), ""TV Show"", ""Movie"")"),"Movie")</f>
        <v>Movie</v>
      </c>
    </row>
    <row r="55">
      <c r="A55" s="1" t="s">
        <v>425</v>
      </c>
      <c r="B55" s="1" t="s">
        <v>27</v>
      </c>
      <c r="C55" s="1" t="s">
        <v>426</v>
      </c>
      <c r="D55" s="1" t="s">
        <v>413</v>
      </c>
      <c r="E55" s="1" t="s">
        <v>427</v>
      </c>
      <c r="F55" s="1" t="s">
        <v>415</v>
      </c>
      <c r="G55" s="1" t="s">
        <v>401</v>
      </c>
      <c r="H55" s="1">
        <v>2004.0</v>
      </c>
      <c r="I55" s="1" t="s">
        <v>136</v>
      </c>
      <c r="J55" s="1" t="s">
        <v>428</v>
      </c>
      <c r="K55" s="1" t="s">
        <v>417</v>
      </c>
      <c r="L55" s="1" t="s">
        <v>429</v>
      </c>
      <c r="M55" s="2" t="s">
        <v>12</v>
      </c>
      <c r="N55" s="4">
        <f t="shared" si="1"/>
        <v>44454</v>
      </c>
      <c r="O55" s="5" t="str">
        <f>IFERROR(__xludf.DUMMYFUNCTION("IF(REGEXMATCH(TRIM(I55), ""^\d+\s*min""), ""Unclassified"", IF(I55 = """", ""NR"", I55))"),"TV-PG")</f>
        <v>TV-PG</v>
      </c>
      <c r="R55" s="5" t="str">
        <f t="shared" si="2"/>
        <v>Inuyasha The Movie 4: Fire On The Mystic Island</v>
      </c>
      <c r="S55" s="5" t="str">
        <f>IFERROR(__xludf.DUMMYFUNCTION("""COMPUTED_VALUE"""),"2 Alone In Paris")</f>
        <v>2 Alone In Paris</v>
      </c>
      <c r="T55" s="5" t="str">
        <f>IFERROR(__xludf.DUMMYFUNCTION("""COMPUTED_VALUE"""),"Cambodia")</f>
        <v>Cambodia</v>
      </c>
      <c r="U55" s="5" t="str">
        <f>IFERROR(__xludf.DUMMYFUNCTION("""COMPUTED_VALUE"""),"Raja Gosnell")</f>
        <v>Raja Gosnell</v>
      </c>
      <c r="V55" s="5" t="s">
        <v>168</v>
      </c>
      <c r="W55" s="5" t="str">
        <f t="shared" si="3"/>
        <v>Adam Salky</v>
      </c>
      <c r="X55" s="5">
        <f t="shared" si="4"/>
        <v>1</v>
      </c>
      <c r="Y55" s="5" t="str">
        <f>IFERROR(__xludf.DUMMYFUNCTION("REGEXEXTRACT(J55, ""^\d+"")"),"88")</f>
        <v>88</v>
      </c>
      <c r="Z55" s="5" t="str">
        <f>IFERROR(__xludf.DUMMYFUNCTION("REGEXEXTRACT(J55, ""[A-Za-z ]+$"")")," min")</f>
        <v> min</v>
      </c>
      <c r="AA55" s="5" t="str">
        <f>IFERROR(__xludf.DUMMYFUNCTION("IF(REGEXMATCH(Z55, ""Season""), ""TV Show"", ""Movie"")"),"Movie")</f>
        <v>Movie</v>
      </c>
    </row>
    <row r="56">
      <c r="A56" s="1" t="s">
        <v>430</v>
      </c>
      <c r="B56" s="1" t="s">
        <v>27</v>
      </c>
      <c r="C56" s="1" t="s">
        <v>431</v>
      </c>
      <c r="D56" s="1" t="s">
        <v>413</v>
      </c>
      <c r="E56" s="1" t="s">
        <v>432</v>
      </c>
      <c r="F56" s="1" t="s">
        <v>415</v>
      </c>
      <c r="G56" s="1" t="s">
        <v>401</v>
      </c>
      <c r="H56" s="1">
        <v>2001.0</v>
      </c>
      <c r="I56" s="1" t="s">
        <v>136</v>
      </c>
      <c r="J56" s="1" t="s">
        <v>433</v>
      </c>
      <c r="K56" s="1" t="s">
        <v>417</v>
      </c>
      <c r="L56" s="1" t="s">
        <v>434</v>
      </c>
      <c r="M56" s="2" t="s">
        <v>12</v>
      </c>
      <c r="N56" s="4">
        <f t="shared" si="1"/>
        <v>44454</v>
      </c>
      <c r="O56" s="5" t="str">
        <f>IFERROR(__xludf.DUMMYFUNCTION("IF(REGEXMATCH(TRIM(I56), ""^\d+\s*min""), ""Unclassified"", IF(I56 = """", ""NR"", I56))"),"TV-PG")</f>
        <v>TV-PG</v>
      </c>
      <c r="R56" s="5" t="str">
        <f t="shared" si="2"/>
        <v>Inuyasha The Movie: Affections Touching Across Time</v>
      </c>
      <c r="S56" s="5" t="str">
        <f>IFERROR(__xludf.DUMMYFUNCTION("""COMPUTED_VALUE"""),"2 Hearts")</f>
        <v>2 Hearts</v>
      </c>
      <c r="T56" s="5" t="str">
        <f>IFERROR(__xludf.DUMMYFUNCTION("""COMPUTED_VALUE"""),"Cambodia, United States")</f>
        <v>Cambodia, United States</v>
      </c>
      <c r="U56" s="5" t="str">
        <f>IFERROR(__xludf.DUMMYFUNCTION("""COMPUTED_VALUE"""),"Stephen Kijak")</f>
        <v>Stephen Kijak</v>
      </c>
      <c r="V56" s="5" t="s">
        <v>435</v>
      </c>
      <c r="W56" s="5" t="str">
        <f t="shared" si="3"/>
        <v>Adam Shankman</v>
      </c>
      <c r="X56" s="5">
        <f t="shared" si="4"/>
        <v>3</v>
      </c>
      <c r="Y56" s="5" t="str">
        <f>IFERROR(__xludf.DUMMYFUNCTION("REGEXEXTRACT(J56, ""^\d+"")"),"100")</f>
        <v>100</v>
      </c>
      <c r="Z56" s="5" t="str">
        <f>IFERROR(__xludf.DUMMYFUNCTION("REGEXEXTRACT(J56, ""[A-Za-z ]+$"")")," min")</f>
        <v> min</v>
      </c>
      <c r="AA56" s="5" t="str">
        <f>IFERROR(__xludf.DUMMYFUNCTION("IF(REGEXMATCH(Z56, ""Season""), ""TV Show"", ""Movie"")"),"Movie")</f>
        <v>Movie</v>
      </c>
    </row>
    <row r="57">
      <c r="A57" s="1" t="s">
        <v>436</v>
      </c>
      <c r="B57" s="1" t="s">
        <v>37</v>
      </c>
      <c r="C57" s="1" t="s">
        <v>437</v>
      </c>
      <c r="E57" s="1" t="s">
        <v>438</v>
      </c>
      <c r="F57" s="1" t="s">
        <v>30</v>
      </c>
      <c r="G57" s="1" t="s">
        <v>401</v>
      </c>
      <c r="H57" s="1">
        <v>2021.0</v>
      </c>
      <c r="I57" s="1" t="s">
        <v>136</v>
      </c>
      <c r="J57" s="1" t="s">
        <v>439</v>
      </c>
      <c r="K57" s="1" t="s">
        <v>440</v>
      </c>
      <c r="L57" s="1" t="s">
        <v>441</v>
      </c>
      <c r="M57" s="2" t="s">
        <v>12</v>
      </c>
      <c r="N57" s="4">
        <f t="shared" si="1"/>
        <v>44454</v>
      </c>
      <c r="O57" s="5" t="str">
        <f>IFERROR(__xludf.DUMMYFUNCTION("IF(REGEXMATCH(TRIM(I57), ""^\d+\s*min""), ""Unclassified"", IF(I57 = """", ""NR"", I57))"),"TV-PG")</f>
        <v>TV-PG</v>
      </c>
      <c r="R57" s="5" t="str">
        <f t="shared" si="2"/>
        <v>Nailed It</v>
      </c>
      <c r="S57" s="5" t="str">
        <f>IFERROR(__xludf.DUMMYFUNCTION("""COMPUTED_VALUE"""),"2 States")</f>
        <v>2 States</v>
      </c>
      <c r="T57" s="5" t="str">
        <f>IFERROR(__xludf.DUMMYFUNCTION("""COMPUTED_VALUE"""),"Cameroon")</f>
        <v>Cameroon</v>
      </c>
      <c r="U57" s="5" t="str">
        <f>IFERROR(__xludf.DUMMYFUNCTION("""COMPUTED_VALUE"""),"Chapman Way, Maclain Way")</f>
        <v>Chapman Way, Maclain Way</v>
      </c>
      <c r="V57" s="5" t="s">
        <v>442</v>
      </c>
      <c r="W57" s="5" t="str">
        <f t="shared" si="3"/>
        <v>Adam Sjöberg</v>
      </c>
      <c r="X57" s="5">
        <f t="shared" si="4"/>
        <v>1</v>
      </c>
      <c r="Y57" s="5" t="str">
        <f>IFERROR(__xludf.DUMMYFUNCTION("REGEXEXTRACT(J57, ""^\d+"")"),"6")</f>
        <v>6</v>
      </c>
      <c r="Z57" s="5" t="str">
        <f>IFERROR(__xludf.DUMMYFUNCTION("REGEXEXTRACT(J57, ""[A-Za-z ]+$"")")," Seasons")</f>
        <v> Seasons</v>
      </c>
      <c r="AA57" s="5" t="str">
        <f>IFERROR(__xludf.DUMMYFUNCTION("IF(REGEXMATCH(Z57, ""Season""), ""TV Show"", ""Movie"")"),"TV Show")</f>
        <v>TV Show</v>
      </c>
    </row>
    <row r="58">
      <c r="A58" s="1" t="s">
        <v>443</v>
      </c>
      <c r="B58" s="1" t="s">
        <v>27</v>
      </c>
      <c r="C58" s="1" t="s">
        <v>444</v>
      </c>
      <c r="D58" s="1" t="s">
        <v>445</v>
      </c>
      <c r="E58" s="1" t="s">
        <v>446</v>
      </c>
      <c r="F58" s="1" t="s">
        <v>415</v>
      </c>
      <c r="G58" s="1" t="s">
        <v>401</v>
      </c>
      <c r="H58" s="1">
        <v>2011.0</v>
      </c>
      <c r="I58" s="1" t="s">
        <v>97</v>
      </c>
      <c r="J58" s="1" t="s">
        <v>447</v>
      </c>
      <c r="K58" s="1" t="s">
        <v>417</v>
      </c>
      <c r="L58" s="1" t="s">
        <v>448</v>
      </c>
      <c r="M58" s="2" t="s">
        <v>12</v>
      </c>
      <c r="N58" s="4">
        <f t="shared" si="1"/>
        <v>44454</v>
      </c>
      <c r="O58" s="5" t="str">
        <f>IFERROR(__xludf.DUMMYFUNCTION("IF(REGEXMATCH(TRIM(I58), ""^\d+\s*min""), ""Unclassified"", IF(I58 = """", ""NR"", I58))"),"TV-14")</f>
        <v>TV-14</v>
      </c>
      <c r="R58" s="5" t="str">
        <f t="shared" si="2"/>
        <v>Naruto Shippuden The Movie: Blood Prison</v>
      </c>
      <c r="S58" s="5" t="str">
        <f>IFERROR(__xludf.DUMMYFUNCTION("""COMPUTED_VALUE"""),"2 Weeks In Lagos")</f>
        <v>2 Weeks In Lagos</v>
      </c>
      <c r="T58" s="5" t="str">
        <f>IFERROR(__xludf.DUMMYFUNCTION("""COMPUTED_VALUE"""),"Canada")</f>
        <v>Canada</v>
      </c>
      <c r="U58" s="5" t="str">
        <f>IFERROR(__xludf.DUMMYFUNCTION("""COMPUTED_VALUE"""),"Jason Hehir")</f>
        <v>Jason Hehir</v>
      </c>
      <c r="V58" s="5" t="s">
        <v>449</v>
      </c>
      <c r="W58" s="5" t="str">
        <f t="shared" si="3"/>
        <v>Adam Smith</v>
      </c>
      <c r="X58" s="5">
        <f t="shared" si="4"/>
        <v>1</v>
      </c>
      <c r="Y58" s="5" t="str">
        <f>IFERROR(__xludf.DUMMYFUNCTION("REGEXEXTRACT(J58, ""^\d+"")"),"102")</f>
        <v>102</v>
      </c>
      <c r="Z58" s="5" t="str">
        <f>IFERROR(__xludf.DUMMYFUNCTION("REGEXEXTRACT(J58, ""[A-Za-z ]+$"")")," min")</f>
        <v> min</v>
      </c>
      <c r="AA58" s="5" t="str">
        <f>IFERROR(__xludf.DUMMYFUNCTION("IF(REGEXMATCH(Z58, ""Season""), ""TV Show"", ""Movie"")"),"Movie")</f>
        <v>Movie</v>
      </c>
    </row>
    <row r="59">
      <c r="A59" s="1" t="s">
        <v>450</v>
      </c>
      <c r="B59" s="1" t="s">
        <v>27</v>
      </c>
      <c r="C59" s="1" t="s">
        <v>451</v>
      </c>
      <c r="D59" s="1" t="s">
        <v>452</v>
      </c>
      <c r="E59" s="1" t="s">
        <v>453</v>
      </c>
      <c r="F59" s="1" t="s">
        <v>415</v>
      </c>
      <c r="G59" s="1" t="s">
        <v>401</v>
      </c>
      <c r="H59" s="1">
        <v>2008.0</v>
      </c>
      <c r="I59" s="1" t="s">
        <v>136</v>
      </c>
      <c r="J59" s="1" t="s">
        <v>454</v>
      </c>
      <c r="K59" s="1" t="s">
        <v>417</v>
      </c>
      <c r="L59" s="1" t="s">
        <v>455</v>
      </c>
      <c r="M59" s="2" t="s">
        <v>12</v>
      </c>
      <c r="N59" s="4">
        <f t="shared" si="1"/>
        <v>44454</v>
      </c>
      <c r="O59" s="5" t="str">
        <f>IFERROR(__xludf.DUMMYFUNCTION("IF(REGEXMATCH(TRIM(I59), ""^\d+\s*min""), ""Unclassified"", IF(I59 = """", ""NR"", I59))"),"TV-PG")</f>
        <v>TV-PG</v>
      </c>
      <c r="R59" s="5" t="str">
        <f t="shared" si="2"/>
        <v>Naruto Shippûden The Movie: Bonds</v>
      </c>
      <c r="S59" s="5" t="str">
        <f>IFERROR(__xludf.DUMMYFUNCTION("""COMPUTED_VALUE"""),"2,215")</f>
        <v>2,215</v>
      </c>
      <c r="T59" s="5" t="str">
        <f>IFERROR(__xludf.DUMMYFUNCTION("""COMPUTED_VALUE"""),"Canada, Australia")</f>
        <v>Canada, Australia</v>
      </c>
      <c r="U59" s="5" t="str">
        <f>IFERROR(__xludf.DUMMYFUNCTION("""COMPUTED_VALUE"""),"Yemi Amodu")</f>
        <v>Yemi Amodu</v>
      </c>
      <c r="V59" s="5" t="s">
        <v>456</v>
      </c>
      <c r="W59" s="5" t="str">
        <f t="shared" si="3"/>
        <v>Adam Wingard</v>
      </c>
      <c r="X59" s="5">
        <f t="shared" si="4"/>
        <v>1</v>
      </c>
      <c r="Y59" s="5" t="str">
        <f>IFERROR(__xludf.DUMMYFUNCTION("REGEXEXTRACT(J59, ""^\d+"")"),"93")</f>
        <v>93</v>
      </c>
      <c r="Z59" s="5" t="str">
        <f>IFERROR(__xludf.DUMMYFUNCTION("REGEXEXTRACT(J59, ""[A-Za-z ]+$"")")," min")</f>
        <v> min</v>
      </c>
      <c r="AA59" s="5" t="str">
        <f>IFERROR(__xludf.DUMMYFUNCTION("IF(REGEXMATCH(Z59, ""Season""), ""TV Show"", ""Movie"")"),"Movie")</f>
        <v>Movie</v>
      </c>
    </row>
    <row r="60">
      <c r="A60" s="1" t="s">
        <v>457</v>
      </c>
      <c r="B60" s="1" t="s">
        <v>27</v>
      </c>
      <c r="C60" s="1" t="s">
        <v>458</v>
      </c>
      <c r="D60" s="1" t="s">
        <v>445</v>
      </c>
      <c r="E60" s="1" t="s">
        <v>459</v>
      </c>
      <c r="F60" s="1" t="s">
        <v>415</v>
      </c>
      <c r="G60" s="1" t="s">
        <v>401</v>
      </c>
      <c r="H60" s="1">
        <v>2009.0</v>
      </c>
      <c r="I60" s="1" t="s">
        <v>136</v>
      </c>
      <c r="J60" s="1" t="s">
        <v>322</v>
      </c>
      <c r="K60" s="1" t="s">
        <v>417</v>
      </c>
      <c r="L60" s="1" t="s">
        <v>460</v>
      </c>
      <c r="M60" s="2" t="s">
        <v>12</v>
      </c>
      <c r="N60" s="4">
        <f t="shared" si="1"/>
        <v>44454</v>
      </c>
      <c r="O60" s="5" t="str">
        <f>IFERROR(__xludf.DUMMYFUNCTION("IF(REGEXMATCH(TRIM(I60), ""^\d+\s*min""), ""Unclassified"", IF(I60 = """", ""NR"", I60))"),"TV-PG")</f>
        <v>TV-PG</v>
      </c>
      <c r="R60" s="5" t="str">
        <f t="shared" si="2"/>
        <v>Naruto Shippûden The Movie: The Will Of Fire</v>
      </c>
      <c r="S60" s="5" t="str">
        <f>IFERROR(__xludf.DUMMYFUNCTION("""COMPUTED_VALUE"""),"20 Feet From Stardom")</f>
        <v>20 Feet From Stardom</v>
      </c>
      <c r="T60" s="5" t="str">
        <f>IFERROR(__xludf.DUMMYFUNCTION("""COMPUTED_VALUE"""),"Canada, Belgium")</f>
        <v>Canada, Belgium</v>
      </c>
      <c r="U60" s="5" t="str">
        <f>IFERROR(__xludf.DUMMYFUNCTION("""COMPUTED_VALUE"""),"Lijo Jose Pellissery")</f>
        <v>Lijo Jose Pellissery</v>
      </c>
      <c r="V60" s="5" t="s">
        <v>461</v>
      </c>
      <c r="W60" s="5" t="str">
        <f t="shared" si="3"/>
        <v>Adam Wood</v>
      </c>
      <c r="X60" s="5">
        <f t="shared" si="4"/>
        <v>1</v>
      </c>
      <c r="Y60" s="5" t="str">
        <f>IFERROR(__xludf.DUMMYFUNCTION("REGEXEXTRACT(J60, ""^\d+"")"),"96")</f>
        <v>96</v>
      </c>
      <c r="Z60" s="5" t="str">
        <f>IFERROR(__xludf.DUMMYFUNCTION("REGEXEXTRACT(J60, ""[A-Za-z ]+$"")")," min")</f>
        <v> min</v>
      </c>
      <c r="AA60" s="5" t="str">
        <f>IFERROR(__xludf.DUMMYFUNCTION("IF(REGEXMATCH(Z60, ""Season""), ""TV Show"", ""Movie"")"),"Movie")</f>
        <v>Movie</v>
      </c>
    </row>
    <row r="61">
      <c r="A61" s="1" t="s">
        <v>462</v>
      </c>
      <c r="B61" s="1" t="s">
        <v>27</v>
      </c>
      <c r="C61" s="1" t="s">
        <v>463</v>
      </c>
      <c r="D61" s="1" t="s">
        <v>452</v>
      </c>
      <c r="E61" s="1" t="s">
        <v>464</v>
      </c>
      <c r="F61" s="1" t="s">
        <v>415</v>
      </c>
      <c r="G61" s="1" t="s">
        <v>401</v>
      </c>
      <c r="H61" s="1">
        <v>2007.0</v>
      </c>
      <c r="I61" s="1" t="s">
        <v>136</v>
      </c>
      <c r="J61" s="1" t="s">
        <v>465</v>
      </c>
      <c r="K61" s="1" t="s">
        <v>417</v>
      </c>
      <c r="L61" s="1" t="s">
        <v>466</v>
      </c>
      <c r="M61" s="2" t="s">
        <v>12</v>
      </c>
      <c r="N61" s="4">
        <f t="shared" si="1"/>
        <v>44454</v>
      </c>
      <c r="O61" s="5" t="str">
        <f>IFERROR(__xludf.DUMMYFUNCTION("IF(REGEXMATCH(TRIM(I61), ""^\d+\s*min""), ""Unclassified"", IF(I61 = """", ""NR"", I61))"),"TV-PG")</f>
        <v>TV-PG</v>
      </c>
      <c r="R61" s="5" t="str">
        <f t="shared" si="2"/>
        <v>Naruto Shippuden: The Movie</v>
      </c>
      <c r="S61" s="5" t="str">
        <f>IFERROR(__xludf.DUMMYFUNCTION("""COMPUTED_VALUE"""),"20 Minutes")</f>
        <v>20 Minutes</v>
      </c>
      <c r="T61" s="5" t="str">
        <f>IFERROR(__xludf.DUMMYFUNCTION("""COMPUTED_VALUE"""),"Canada, Brazil")</f>
        <v>Canada, Brazil</v>
      </c>
      <c r="U61" s="5" t="str">
        <f>IFERROR(__xludf.DUMMYFUNCTION("""COMPUTED_VALUE"""),"David De Vos")</f>
        <v>David De Vos</v>
      </c>
      <c r="V61" s="5" t="s">
        <v>467</v>
      </c>
      <c r="W61" s="5" t="str">
        <f t="shared" si="3"/>
        <v>Adarsh Eshwarappa</v>
      </c>
      <c r="X61" s="5">
        <f t="shared" si="4"/>
        <v>1</v>
      </c>
      <c r="Y61" s="5" t="str">
        <f>IFERROR(__xludf.DUMMYFUNCTION("REGEXEXTRACT(J61, ""^\d+"")"),"95")</f>
        <v>95</v>
      </c>
      <c r="Z61" s="5" t="str">
        <f>IFERROR(__xludf.DUMMYFUNCTION("REGEXEXTRACT(J61, ""[A-Za-z ]+$"")")," min")</f>
        <v> min</v>
      </c>
      <c r="AA61" s="5" t="str">
        <f>IFERROR(__xludf.DUMMYFUNCTION("IF(REGEXMATCH(Z61, ""Season""), ""TV Show"", ""Movie"")"),"Movie")</f>
        <v>Movie</v>
      </c>
    </row>
    <row r="62">
      <c r="A62" s="1" t="s">
        <v>468</v>
      </c>
      <c r="B62" s="1" t="s">
        <v>27</v>
      </c>
      <c r="C62" s="1" t="s">
        <v>469</v>
      </c>
      <c r="D62" s="1" t="s">
        <v>445</v>
      </c>
      <c r="E62" s="1" t="s">
        <v>470</v>
      </c>
      <c r="F62" s="1" t="s">
        <v>415</v>
      </c>
      <c r="G62" s="1" t="s">
        <v>401</v>
      </c>
      <c r="H62" s="1">
        <v>2010.0</v>
      </c>
      <c r="I62" s="1" t="s">
        <v>97</v>
      </c>
      <c r="J62" s="1" t="s">
        <v>471</v>
      </c>
      <c r="K62" s="1" t="s">
        <v>417</v>
      </c>
      <c r="L62" s="1" t="s">
        <v>472</v>
      </c>
      <c r="M62" s="2" t="s">
        <v>12</v>
      </c>
      <c r="N62" s="4">
        <f t="shared" si="1"/>
        <v>44454</v>
      </c>
      <c r="O62" s="5" t="str">
        <f>IFERROR(__xludf.DUMMYFUNCTION("IF(REGEXMATCH(TRIM(I62), ""^\d+\s*min""), ""Unclassified"", IF(I62 = """", ""NR"", I62))"),"TV-14")</f>
        <v>TV-14</v>
      </c>
      <c r="R62" s="5" t="str">
        <f t="shared" si="2"/>
        <v>Naruto Shippuden: The Movie: The Lost Tower</v>
      </c>
      <c r="S62" s="5" t="str">
        <f>IFERROR(__xludf.DUMMYFUNCTION("""COMPUTED_VALUE"""),"2012")</f>
        <v>2012</v>
      </c>
      <c r="T62" s="5" t="str">
        <f>IFERROR(__xludf.DUMMYFUNCTION("""COMPUTED_VALUE"""),"Canada, France")</f>
        <v>Canada, France</v>
      </c>
      <c r="U62" s="5" t="str">
        <f>IFERROR(__xludf.DUMMYFUNCTION("""COMPUTED_VALUE"""),"Luis Alfaro, Javier Gómez Santander")</f>
        <v>Luis Alfaro, Javier Gómez Santander</v>
      </c>
      <c r="V62" s="5" t="s">
        <v>473</v>
      </c>
      <c r="W62" s="5" t="str">
        <f t="shared" si="3"/>
        <v>Adekunle Nodash Adejuyigbe</v>
      </c>
      <c r="X62" s="5">
        <f t="shared" si="4"/>
        <v>1</v>
      </c>
      <c r="Y62" s="5" t="str">
        <f>IFERROR(__xludf.DUMMYFUNCTION("REGEXEXTRACT(J62, ""^\d+"")"),"85")</f>
        <v>85</v>
      </c>
      <c r="Z62" s="5" t="str">
        <f>IFERROR(__xludf.DUMMYFUNCTION("REGEXEXTRACT(J62, ""[A-Za-z ]+$"")")," min")</f>
        <v> min</v>
      </c>
      <c r="AA62" s="5" t="str">
        <f>IFERROR(__xludf.DUMMYFUNCTION("IF(REGEXMATCH(Z62, ""Season""), ""TV Show"", ""Movie"")"),"Movie")</f>
        <v>Movie</v>
      </c>
    </row>
    <row r="63">
      <c r="A63" s="1" t="s">
        <v>474</v>
      </c>
      <c r="B63" s="1" t="s">
        <v>27</v>
      </c>
      <c r="C63" s="1" t="s">
        <v>475</v>
      </c>
      <c r="D63" s="1" t="s">
        <v>476</v>
      </c>
      <c r="E63" s="1" t="s">
        <v>477</v>
      </c>
      <c r="F63" s="1" t="s">
        <v>415</v>
      </c>
      <c r="G63" s="1" t="s">
        <v>401</v>
      </c>
      <c r="H63" s="1">
        <v>2005.0</v>
      </c>
      <c r="I63" s="1" t="s">
        <v>136</v>
      </c>
      <c r="J63" s="1" t="s">
        <v>247</v>
      </c>
      <c r="K63" s="1" t="s">
        <v>417</v>
      </c>
      <c r="L63" s="1" t="s">
        <v>478</v>
      </c>
      <c r="M63" s="2" t="s">
        <v>12</v>
      </c>
      <c r="N63" s="4">
        <f t="shared" si="1"/>
        <v>44454</v>
      </c>
      <c r="O63" s="5" t="str">
        <f>IFERROR(__xludf.DUMMYFUNCTION("IF(REGEXMATCH(TRIM(I63), ""^\d+\s*min""), ""Unclassified"", IF(I63 = """", ""NR"", I63))"),"TV-PG")</f>
        <v>TV-PG</v>
      </c>
      <c r="R63" s="5" t="str">
        <f t="shared" si="2"/>
        <v>Naruto The Movie 2: Legend Of The Stone Of Gelel</v>
      </c>
      <c r="S63" s="5" t="str">
        <f>IFERROR(__xludf.DUMMYFUNCTION("""COMPUTED_VALUE"""),"2015 Dream Concert")</f>
        <v>2015 Dream Concert</v>
      </c>
      <c r="T63" s="5" t="str">
        <f>IFERROR(__xludf.DUMMYFUNCTION("""COMPUTED_VALUE"""),"Canada, France, Italy, Morocco, United States")</f>
        <v>Canada, France, Italy, Morocco, United States</v>
      </c>
      <c r="U63" s="5" t="str">
        <f>IFERROR(__xludf.DUMMYFUNCTION("""COMPUTED_VALUE"""),"Sara Colangelo")</f>
        <v>Sara Colangelo</v>
      </c>
      <c r="V63" s="5" t="s">
        <v>479</v>
      </c>
      <c r="W63" s="5" t="str">
        <f t="shared" si="3"/>
        <v>Adele K. Thomas, Richard Bailey</v>
      </c>
      <c r="X63" s="5">
        <f t="shared" si="4"/>
        <v>1</v>
      </c>
      <c r="Y63" s="5" t="str">
        <f>IFERROR(__xludf.DUMMYFUNCTION("REGEXEXTRACT(J63, ""^\d+"")"),"97")</f>
        <v>97</v>
      </c>
      <c r="Z63" s="5" t="str">
        <f>IFERROR(__xludf.DUMMYFUNCTION("REGEXEXTRACT(J63, ""[A-Za-z ]+$"")")," min")</f>
        <v> min</v>
      </c>
      <c r="AA63" s="5" t="str">
        <f>IFERROR(__xludf.DUMMYFUNCTION("IF(REGEXMATCH(Z63, ""Season""), ""TV Show"", ""Movie"")"),"Movie")</f>
        <v>Movie</v>
      </c>
    </row>
    <row r="64">
      <c r="A64" s="1" t="s">
        <v>480</v>
      </c>
      <c r="B64" s="1" t="s">
        <v>27</v>
      </c>
      <c r="C64" s="1" t="s">
        <v>481</v>
      </c>
      <c r="D64" s="1" t="s">
        <v>482</v>
      </c>
      <c r="E64" s="1" t="s">
        <v>483</v>
      </c>
      <c r="F64" s="1" t="s">
        <v>415</v>
      </c>
      <c r="G64" s="1" t="s">
        <v>401</v>
      </c>
      <c r="H64" s="1">
        <v>2006.0</v>
      </c>
      <c r="I64" s="1" t="s">
        <v>136</v>
      </c>
      <c r="J64" s="1" t="s">
        <v>465</v>
      </c>
      <c r="K64" s="1" t="s">
        <v>417</v>
      </c>
      <c r="L64" s="1" t="s">
        <v>484</v>
      </c>
      <c r="M64" s="2" t="s">
        <v>12</v>
      </c>
      <c r="N64" s="4">
        <f t="shared" si="1"/>
        <v>44454</v>
      </c>
      <c r="O64" s="5" t="str">
        <f>IFERROR(__xludf.DUMMYFUNCTION("IF(REGEXMATCH(TRIM(I64), ""^\d+\s*min""), ""Unclassified"", IF(I64 = """", ""NR"", I64))"),"TV-PG")</f>
        <v>TV-PG</v>
      </c>
      <c r="R64" s="5" t="str">
        <f t="shared" si="2"/>
        <v>Naruto The Movie 3: Guardians Of The Crescent Moon Kingdom</v>
      </c>
      <c r="S64" s="5" t="str">
        <f>IFERROR(__xludf.DUMMYFUNCTION("""COMPUTED_VALUE"""),"2036 Origin Unknown")</f>
        <v>2036 Origin Unknown</v>
      </c>
      <c r="T64" s="5" t="str">
        <f>IFERROR(__xludf.DUMMYFUNCTION("""COMPUTED_VALUE"""),"Canada, France, United States")</f>
        <v>Canada, France, United States</v>
      </c>
      <c r="U64" s="5" t="str">
        <f>IFERROR(__xludf.DUMMYFUNCTION("""COMPUTED_VALUE"""),"Stephen Herek")</f>
        <v>Stephen Herek</v>
      </c>
      <c r="V64" s="5" t="s">
        <v>485</v>
      </c>
      <c r="W64" s="5" t="str">
        <f t="shared" si="3"/>
        <v>Adisorn Tresirikasem</v>
      </c>
      <c r="X64" s="5">
        <f t="shared" si="4"/>
        <v>1</v>
      </c>
      <c r="Y64" s="5" t="str">
        <f>IFERROR(__xludf.DUMMYFUNCTION("REGEXEXTRACT(J64, ""^\d+"")"),"95")</f>
        <v>95</v>
      </c>
      <c r="Z64" s="5" t="str">
        <f>IFERROR(__xludf.DUMMYFUNCTION("REGEXEXTRACT(J64, ""[A-Za-z ]+$"")")," min")</f>
        <v> min</v>
      </c>
      <c r="AA64" s="5" t="str">
        <f>IFERROR(__xludf.DUMMYFUNCTION("IF(REGEXMATCH(Z64, ""Season""), ""TV Show"", ""Movie"")"),"Movie")</f>
        <v>Movie</v>
      </c>
    </row>
    <row r="65">
      <c r="A65" s="1" t="s">
        <v>486</v>
      </c>
      <c r="B65" s="1" t="s">
        <v>27</v>
      </c>
      <c r="C65" s="1" t="s">
        <v>487</v>
      </c>
      <c r="D65" s="1" t="s">
        <v>488</v>
      </c>
      <c r="E65" s="1" t="s">
        <v>489</v>
      </c>
      <c r="F65" s="1" t="s">
        <v>415</v>
      </c>
      <c r="G65" s="1" t="s">
        <v>401</v>
      </c>
      <c r="H65" s="1">
        <v>2004.0</v>
      </c>
      <c r="I65" s="1" t="s">
        <v>136</v>
      </c>
      <c r="J65" s="1" t="s">
        <v>490</v>
      </c>
      <c r="K65" s="1" t="s">
        <v>417</v>
      </c>
      <c r="L65" s="1" t="s">
        <v>491</v>
      </c>
      <c r="M65" s="2" t="s">
        <v>12</v>
      </c>
      <c r="N65" s="4">
        <f t="shared" si="1"/>
        <v>44454</v>
      </c>
      <c r="O65" s="5" t="str">
        <f>IFERROR(__xludf.DUMMYFUNCTION("IF(REGEXMATCH(TRIM(I65), ""^\d+\s*min""), ""Unclassified"", IF(I65 = """", ""NR"", I65))"),"TV-PG")</f>
        <v>TV-PG</v>
      </c>
      <c r="R65" s="5" t="str">
        <f t="shared" si="2"/>
        <v>Naruto The Movie: Ninja Clash In The Land Of Snow</v>
      </c>
      <c r="S65" s="5" t="str">
        <f>IFERROR(__xludf.DUMMYFUNCTION("""COMPUTED_VALUE"""),"20Th Century Women")</f>
        <v>20Th Century Women</v>
      </c>
      <c r="T65" s="5" t="str">
        <f>IFERROR(__xludf.DUMMYFUNCTION("""COMPUTED_VALUE"""),"Canada, Germany")</f>
        <v>Canada, Germany</v>
      </c>
      <c r="U65" s="5" t="str">
        <f>IFERROR(__xludf.DUMMYFUNCTION("""COMPUTED_VALUE"""),"Rahul Rawail")</f>
        <v>Rahul Rawail</v>
      </c>
      <c r="V65" s="5" t="s">
        <v>492</v>
      </c>
      <c r="W65" s="5" t="str">
        <f t="shared" si="3"/>
        <v>Aditya Kripalani</v>
      </c>
      <c r="X65" s="5">
        <f t="shared" si="4"/>
        <v>2</v>
      </c>
      <c r="Y65" s="5" t="str">
        <f>IFERROR(__xludf.DUMMYFUNCTION("REGEXEXTRACT(J65, ""^\d+"")"),"83")</f>
        <v>83</v>
      </c>
      <c r="Z65" s="5" t="str">
        <f>IFERROR(__xludf.DUMMYFUNCTION("REGEXEXTRACT(J65, ""[A-Za-z ]+$"")")," min")</f>
        <v> min</v>
      </c>
      <c r="AA65" s="5" t="str">
        <f>IFERROR(__xludf.DUMMYFUNCTION("IF(REGEXMATCH(Z65, ""Season""), ""TV Show"", ""Movie"")"),"Movie")</f>
        <v>Movie</v>
      </c>
    </row>
    <row r="66">
      <c r="A66" s="1" t="s">
        <v>493</v>
      </c>
      <c r="B66" s="1" t="s">
        <v>27</v>
      </c>
      <c r="C66" s="1" t="s">
        <v>494</v>
      </c>
      <c r="D66" s="1" t="s">
        <v>495</v>
      </c>
      <c r="E66" s="1" t="s">
        <v>496</v>
      </c>
      <c r="G66" s="1" t="s">
        <v>401</v>
      </c>
      <c r="H66" s="1">
        <v>2021.0</v>
      </c>
      <c r="I66" s="1" t="s">
        <v>136</v>
      </c>
      <c r="J66" s="1" t="s">
        <v>238</v>
      </c>
      <c r="K66" s="1" t="s">
        <v>80</v>
      </c>
      <c r="L66" s="1" t="s">
        <v>497</v>
      </c>
      <c r="M66" s="2" t="s">
        <v>12</v>
      </c>
      <c r="N66" s="4">
        <f t="shared" si="1"/>
        <v>44454</v>
      </c>
      <c r="O66" s="5" t="str">
        <f>IFERROR(__xludf.DUMMYFUNCTION("IF(REGEXMATCH(TRIM(I66), ""^\d+\s*min""), ""Unclassified"", IF(I66 = """", ""NR"", I66))"),"TV-PG")</f>
        <v>TV-PG</v>
      </c>
      <c r="R66" s="5" t="str">
        <f t="shared" si="2"/>
        <v>Nightbooks</v>
      </c>
      <c r="S66" s="5" t="str">
        <f>IFERROR(__xludf.DUMMYFUNCTION("""COMPUTED_VALUE"""),"21")</f>
        <v>21</v>
      </c>
      <c r="T66" s="5" t="str">
        <f>IFERROR(__xludf.DUMMYFUNCTION("""COMPUTED_VALUE"""),"Canada, Germany, France, United States")</f>
        <v>Canada, Germany, France, United States</v>
      </c>
      <c r="U66" s="5" t="str">
        <f>IFERROR(__xludf.DUMMYFUNCTION("""COMPUTED_VALUE"""),"Jane Campion")</f>
        <v>Jane Campion</v>
      </c>
      <c r="V66" s="5" t="s">
        <v>498</v>
      </c>
      <c r="W66" s="5" t="str">
        <f t="shared" si="3"/>
        <v>Aditya Sarpotdar</v>
      </c>
      <c r="X66" s="5">
        <f t="shared" si="4"/>
        <v>2</v>
      </c>
      <c r="Y66" s="5" t="str">
        <f>IFERROR(__xludf.DUMMYFUNCTION("REGEXEXTRACT(J66, ""^\d+"")"),"103")</f>
        <v>103</v>
      </c>
      <c r="Z66" s="5" t="str">
        <f>IFERROR(__xludf.DUMMYFUNCTION("REGEXEXTRACT(J66, ""[A-Za-z ]+$"")")," min")</f>
        <v> min</v>
      </c>
      <c r="AA66" s="5" t="str">
        <f>IFERROR(__xludf.DUMMYFUNCTION("IF(REGEXMATCH(Z66, ""Season""), ""TV Show"", ""Movie"")"),"Movie")</f>
        <v>Movie</v>
      </c>
    </row>
    <row r="67">
      <c r="A67" s="1" t="s">
        <v>499</v>
      </c>
      <c r="B67" s="1" t="s">
        <v>37</v>
      </c>
      <c r="C67" s="1" t="s">
        <v>500</v>
      </c>
      <c r="E67" s="1" t="s">
        <v>501</v>
      </c>
      <c r="F67" s="1" t="s">
        <v>96</v>
      </c>
      <c r="G67" s="1" t="s">
        <v>401</v>
      </c>
      <c r="H67" s="1">
        <v>2021.0</v>
      </c>
      <c r="I67" s="1" t="s">
        <v>206</v>
      </c>
      <c r="J67" s="1" t="s">
        <v>439</v>
      </c>
      <c r="K67" s="1" t="s">
        <v>290</v>
      </c>
      <c r="L67" s="1" t="s">
        <v>502</v>
      </c>
      <c r="M67" s="2" t="s">
        <v>12</v>
      </c>
      <c r="N67" s="4">
        <f t="shared" si="1"/>
        <v>44454</v>
      </c>
      <c r="O67" s="5" t="str">
        <f>IFERROR(__xludf.DUMMYFUNCTION("IF(REGEXMATCH(TRIM(I67), ""^\d+\s*min""), ""Unclassified"", IF(I67 = """", ""NR"", I67))"),"TV-Y")</f>
        <v>TV-Y</v>
      </c>
      <c r="R67" s="5" t="str">
        <f t="shared" si="2"/>
        <v>Numberblocks</v>
      </c>
      <c r="S67" s="5" t="str">
        <f>IFERROR(__xludf.DUMMYFUNCTION("""COMPUTED_VALUE"""),"21 &amp; Over")</f>
        <v>21 &amp; Over</v>
      </c>
      <c r="T67" s="5" t="str">
        <f>IFERROR(__xludf.DUMMYFUNCTION("""COMPUTED_VALUE"""),"Canada, Germany, South Africa")</f>
        <v>Canada, Germany, South Africa</v>
      </c>
      <c r="U67" s="5" t="str">
        <f>IFERROR(__xludf.DUMMYFUNCTION("""COMPUTED_VALUE"""),"Nagesh Kukunoor")</f>
        <v>Nagesh Kukunoor</v>
      </c>
      <c r="V67" s="5" t="s">
        <v>503</v>
      </c>
      <c r="W67" s="5" t="str">
        <f t="shared" si="3"/>
        <v>Aditya Vikram Sengupta</v>
      </c>
      <c r="X67" s="5">
        <f t="shared" si="4"/>
        <v>1</v>
      </c>
      <c r="Y67" s="5" t="str">
        <f>IFERROR(__xludf.DUMMYFUNCTION("REGEXEXTRACT(J67, ""^\d+"")"),"6")</f>
        <v>6</v>
      </c>
      <c r="Z67" s="5" t="str">
        <f>IFERROR(__xludf.DUMMYFUNCTION("REGEXEXTRACT(J67, ""[A-Za-z ]+$"")")," Seasons")</f>
        <v> Seasons</v>
      </c>
      <c r="AA67" s="5" t="str">
        <f>IFERROR(__xludf.DUMMYFUNCTION("IF(REGEXMATCH(Z67, ""Season""), ""TV Show"", ""Movie"")"),"TV Show")</f>
        <v>TV Show</v>
      </c>
    </row>
    <row r="68">
      <c r="A68" s="1" t="s">
        <v>504</v>
      </c>
      <c r="B68" s="1" t="s">
        <v>37</v>
      </c>
      <c r="C68" s="1" t="s">
        <v>505</v>
      </c>
      <c r="F68" s="1" t="s">
        <v>63</v>
      </c>
      <c r="G68" s="1" t="s">
        <v>401</v>
      </c>
      <c r="H68" s="1">
        <v>2014.0</v>
      </c>
      <c r="I68" s="1" t="s">
        <v>506</v>
      </c>
      <c r="J68" s="1" t="s">
        <v>51</v>
      </c>
      <c r="K68" s="1" t="s">
        <v>507</v>
      </c>
      <c r="L68" s="1" t="s">
        <v>508</v>
      </c>
      <c r="M68" s="2" t="s">
        <v>12</v>
      </c>
      <c r="N68" s="4">
        <f t="shared" si="1"/>
        <v>44454</v>
      </c>
      <c r="O68" s="5" t="str">
        <f>IFERROR(__xludf.DUMMYFUNCTION("IF(REGEXMATCH(TRIM(I68), ""^\d+\s*min""), ""Unclassified"", IF(I68 = """", ""NR"", I68))"),"TV-G")</f>
        <v>TV-G</v>
      </c>
      <c r="R68" s="5" t="str">
        <f t="shared" si="2"/>
        <v>Raja Rasoi Aur Anya Kahaniyan</v>
      </c>
      <c r="S68" s="5" t="str">
        <f>IFERROR(__xludf.DUMMYFUNCTION("""COMPUTED_VALUE"""),"21 Again")</f>
        <v>21 Again</v>
      </c>
      <c r="T68" s="5" t="str">
        <f>IFERROR(__xludf.DUMMYFUNCTION("""COMPUTED_VALUE"""),"Canada, Hungary, United States")</f>
        <v>Canada, Hungary, United States</v>
      </c>
      <c r="U68" s="5" t="str">
        <f>IFERROR(__xludf.DUMMYFUNCTION("""COMPUTED_VALUE"""),"Luke Holland")</f>
        <v>Luke Holland</v>
      </c>
      <c r="V68" s="5" t="s">
        <v>509</v>
      </c>
      <c r="W68" s="5" t="str">
        <f t="shared" si="3"/>
        <v>Adrián García Bogliano</v>
      </c>
      <c r="X68" s="5">
        <f t="shared" si="4"/>
        <v>1</v>
      </c>
      <c r="Y68" s="5" t="str">
        <f>IFERROR(__xludf.DUMMYFUNCTION("REGEXEXTRACT(J68, ""^\d+"")"),"1")</f>
        <v>1</v>
      </c>
      <c r="Z68" s="5" t="str">
        <f>IFERROR(__xludf.DUMMYFUNCTION("REGEXEXTRACT(J68, ""[A-Za-z ]+$"")")," Season")</f>
        <v> Season</v>
      </c>
      <c r="AA68" s="5" t="str">
        <f>IFERROR(__xludf.DUMMYFUNCTION("IF(REGEXMATCH(Z68, ""Season""), ""TV Show"", ""Movie"")"),"TV Show")</f>
        <v>TV Show</v>
      </c>
    </row>
    <row r="69">
      <c r="A69" s="1" t="s">
        <v>510</v>
      </c>
      <c r="B69" s="1" t="s">
        <v>37</v>
      </c>
      <c r="C69" s="1" t="s">
        <v>511</v>
      </c>
      <c r="E69" s="1" t="s">
        <v>512</v>
      </c>
      <c r="F69" s="1" t="s">
        <v>30</v>
      </c>
      <c r="G69" s="1" t="s">
        <v>401</v>
      </c>
      <c r="H69" s="1">
        <v>1994.0</v>
      </c>
      <c r="I69" s="1" t="s">
        <v>136</v>
      </c>
      <c r="J69" s="1" t="s">
        <v>98</v>
      </c>
      <c r="K69" s="1" t="s">
        <v>314</v>
      </c>
      <c r="L69" s="1" t="s">
        <v>513</v>
      </c>
      <c r="M69" s="2" t="s">
        <v>12</v>
      </c>
      <c r="N69" s="4">
        <f t="shared" si="1"/>
        <v>44454</v>
      </c>
      <c r="O69" s="5" t="str">
        <f>IFERROR(__xludf.DUMMYFUNCTION("IF(REGEXMATCH(TRIM(I69), ""^\d+\s*min""), ""Unclassified"", IF(I69 = """", ""NR"", I69))"),"TV-PG")</f>
        <v>TV-PG</v>
      </c>
      <c r="R69" s="5" t="str">
        <f t="shared" si="2"/>
        <v>Saved By The Bell</v>
      </c>
      <c r="S69" s="5" t="str">
        <f>IFERROR(__xludf.DUMMYFUNCTION("""COMPUTED_VALUE"""),"21 Sarfarosh: Saragarhi 1897")</f>
        <v>21 Sarfarosh: Saragarhi 1897</v>
      </c>
      <c r="T69" s="5" t="str">
        <f>IFERROR(__xludf.DUMMYFUNCTION("""COMPUTED_VALUE"""),"Canada, India")</f>
        <v>Canada, India</v>
      </c>
      <c r="U69" s="5" t="str">
        <f>IFERROR(__xludf.DUMMYFUNCTION("""COMPUTED_VALUE"""),"Shanker Raman")</f>
        <v>Shanker Raman</v>
      </c>
      <c r="V69" s="5" t="s">
        <v>514</v>
      </c>
      <c r="W69" s="5" t="str">
        <f t="shared" si="3"/>
        <v>Adrian Murray</v>
      </c>
      <c r="X69" s="5">
        <f t="shared" si="4"/>
        <v>1</v>
      </c>
      <c r="Y69" s="5" t="str">
        <f>IFERROR(__xludf.DUMMYFUNCTION("REGEXEXTRACT(J69, ""^\d+"")"),"9")</f>
        <v>9</v>
      </c>
      <c r="Z69" s="5" t="str">
        <f>IFERROR(__xludf.DUMMYFUNCTION("REGEXEXTRACT(J69, ""[A-Za-z ]+$"")")," Seasons")</f>
        <v> Seasons</v>
      </c>
      <c r="AA69" s="5" t="str">
        <f>IFERROR(__xludf.DUMMYFUNCTION("IF(REGEXMATCH(Z69, ""Season""), ""TV Show"", ""Movie"")"),"TV Show")</f>
        <v>TV Show</v>
      </c>
    </row>
    <row r="70">
      <c r="A70" s="1" t="s">
        <v>515</v>
      </c>
      <c r="B70" s="1" t="s">
        <v>27</v>
      </c>
      <c r="C70" s="1" t="s">
        <v>516</v>
      </c>
      <c r="D70" s="1" t="s">
        <v>517</v>
      </c>
      <c r="E70" s="1" t="s">
        <v>518</v>
      </c>
      <c r="G70" s="1" t="s">
        <v>401</v>
      </c>
      <c r="H70" s="1">
        <v>2021.0</v>
      </c>
      <c r="I70" s="1" t="s">
        <v>97</v>
      </c>
      <c r="J70" s="1" t="s">
        <v>519</v>
      </c>
      <c r="K70" s="1" t="s">
        <v>520</v>
      </c>
      <c r="L70" s="1" t="s">
        <v>521</v>
      </c>
      <c r="M70" s="2" t="s">
        <v>12</v>
      </c>
      <c r="N70" s="4">
        <f t="shared" si="1"/>
        <v>44454</v>
      </c>
      <c r="O70" s="5" t="str">
        <f>IFERROR(__xludf.DUMMYFUNCTION("IF(REGEXMATCH(TRIM(I70), ""^\d+\s*min""), ""Unclassified"", IF(I70 = """", ""NR"", I70))"),"TV-14")</f>
        <v>TV-14</v>
      </c>
      <c r="R70" s="5" t="str">
        <f t="shared" si="2"/>
        <v>Schumacher</v>
      </c>
      <c r="S70" s="5" t="str">
        <f>IFERROR(__xludf.DUMMYFUNCTION("""COMPUTED_VALUE"""),"21 Thunder")</f>
        <v>21 Thunder</v>
      </c>
      <c r="T70" s="5" t="str">
        <f>IFERROR(__xludf.DUMMYFUNCTION("""COMPUTED_VALUE"""),"Canada, India, Thailand, United States, United Arab Emirates")</f>
        <v>Canada, India, Thailand, United States, United Arab Emirates</v>
      </c>
      <c r="U70" s="5" t="str">
        <f>IFERROR(__xludf.DUMMYFUNCTION("""COMPUTED_VALUE"""),"Jp Habac")</f>
        <v>Jp Habac</v>
      </c>
      <c r="V70" s="5" t="s">
        <v>522</v>
      </c>
      <c r="W70" s="5" t="str">
        <f t="shared" si="3"/>
        <v>Adrian Teh</v>
      </c>
      <c r="X70" s="5">
        <f t="shared" si="4"/>
        <v>3</v>
      </c>
      <c r="Y70" s="5" t="str">
        <f>IFERROR(__xludf.DUMMYFUNCTION("REGEXEXTRACT(J70, ""^\d+"")"),"113")</f>
        <v>113</v>
      </c>
      <c r="Z70" s="5" t="str">
        <f>IFERROR(__xludf.DUMMYFUNCTION("REGEXEXTRACT(J70, ""[A-Za-z ]+$"")")," min")</f>
        <v> min</v>
      </c>
      <c r="AA70" s="5" t="str">
        <f>IFERROR(__xludf.DUMMYFUNCTION("IF(REGEXMATCH(Z70, ""Season""), ""TV Show"", ""Movie"")"),"Movie")</f>
        <v>Movie</v>
      </c>
    </row>
    <row r="71">
      <c r="A71" s="1" t="s">
        <v>523</v>
      </c>
      <c r="B71" s="1" t="s">
        <v>37</v>
      </c>
      <c r="C71" s="1" t="s">
        <v>524</v>
      </c>
      <c r="F71" s="1" t="s">
        <v>63</v>
      </c>
      <c r="G71" s="1" t="s">
        <v>401</v>
      </c>
      <c r="H71" s="1">
        <v>2015.0</v>
      </c>
      <c r="I71" s="1" t="s">
        <v>136</v>
      </c>
      <c r="J71" s="1" t="s">
        <v>51</v>
      </c>
      <c r="K71" s="1" t="s">
        <v>402</v>
      </c>
      <c r="L71" s="1" t="s">
        <v>525</v>
      </c>
      <c r="M71" s="2" t="s">
        <v>12</v>
      </c>
      <c r="N71" s="4">
        <f t="shared" si="1"/>
        <v>44454</v>
      </c>
      <c r="O71" s="5" t="str">
        <f>IFERROR(__xludf.DUMMYFUNCTION("IF(REGEXMATCH(TRIM(I71), ""^\d+\s*min""), ""Unclassified"", IF(I71 = """", ""NR"", I71))"),"TV-PG")</f>
        <v>TV-PG</v>
      </c>
      <c r="R71" s="5" t="str">
        <f t="shared" si="2"/>
        <v>Stories By Rabindranath Tagore</v>
      </c>
      <c r="S71" s="5" t="str">
        <f>IFERROR(__xludf.DUMMYFUNCTION("""COMPUTED_VALUE"""),"22 July")</f>
        <v>22 July</v>
      </c>
      <c r="T71" s="5" t="str">
        <f>IFERROR(__xludf.DUMMYFUNCTION("""COMPUTED_VALUE"""),"Canada, Ireland, United States")</f>
        <v>Canada, Ireland, United States</v>
      </c>
      <c r="U71" s="5" t="str">
        <f>IFERROR(__xludf.DUMMYFUNCTION("""COMPUTED_VALUE"""),"Vidhu Vinod Chopra")</f>
        <v>Vidhu Vinod Chopra</v>
      </c>
      <c r="V71" s="5" t="s">
        <v>526</v>
      </c>
      <c r="W71" s="5" t="str">
        <f t="shared" si="3"/>
        <v>Adriana Trigiani</v>
      </c>
      <c r="X71" s="5">
        <f t="shared" si="4"/>
        <v>1</v>
      </c>
      <c r="Y71" s="5" t="str">
        <f>IFERROR(__xludf.DUMMYFUNCTION("REGEXEXTRACT(J71, ""^\d+"")"),"1")</f>
        <v>1</v>
      </c>
      <c r="Z71" s="5" t="str">
        <f>IFERROR(__xludf.DUMMYFUNCTION("REGEXEXTRACT(J71, ""[A-Za-z ]+$"")")," Season")</f>
        <v> Season</v>
      </c>
      <c r="AA71" s="5" t="str">
        <f>IFERROR(__xludf.DUMMYFUNCTION("IF(REGEXMATCH(Z71, ""Season""), ""TV Show"", ""Movie"")"),"TV Show")</f>
        <v>TV Show</v>
      </c>
    </row>
    <row r="72">
      <c r="A72" s="1" t="s">
        <v>527</v>
      </c>
      <c r="B72" s="1" t="s">
        <v>37</v>
      </c>
      <c r="C72" s="1" t="s">
        <v>528</v>
      </c>
      <c r="E72" s="1" t="s">
        <v>529</v>
      </c>
      <c r="G72" s="1" t="s">
        <v>401</v>
      </c>
      <c r="H72" s="1">
        <v>2021.0</v>
      </c>
      <c r="I72" s="1" t="s">
        <v>42</v>
      </c>
      <c r="J72" s="1" t="s">
        <v>51</v>
      </c>
      <c r="K72" s="1" t="s">
        <v>530</v>
      </c>
      <c r="L72" s="1" t="s">
        <v>531</v>
      </c>
      <c r="M72" s="2" t="s">
        <v>12</v>
      </c>
      <c r="N72" s="4">
        <f t="shared" si="1"/>
        <v>44454</v>
      </c>
      <c r="O72" s="5" t="str">
        <f>IFERROR(__xludf.DUMMYFUNCTION("IF(REGEXMATCH(TRIM(I72), ""^\d+\s*min""), ""Unclassified"", IF(I72 = """", ""NR"", I72))"),"TV-MA")</f>
        <v>TV-MA</v>
      </c>
      <c r="R72" s="5" t="str">
        <f t="shared" si="2"/>
        <v>Too Hot To Handle: Latino</v>
      </c>
      <c r="S72" s="5" t="str">
        <f>IFERROR(__xludf.DUMMYFUNCTION("""COMPUTED_VALUE"""),"22-Jul")</f>
        <v>22-Jul</v>
      </c>
      <c r="T72" s="5" t="str">
        <f>IFERROR(__xludf.DUMMYFUNCTION("""COMPUTED_VALUE"""),"Canada, Japan, Netherlands")</f>
        <v>Canada, Japan, Netherlands</v>
      </c>
      <c r="U72" s="5" t="str">
        <f>IFERROR(__xludf.DUMMYFUNCTION("""COMPUTED_VALUE"""),"Mark Rosman")</f>
        <v>Mark Rosman</v>
      </c>
      <c r="V72" s="5" t="s">
        <v>532</v>
      </c>
      <c r="W72" s="5" t="str">
        <f t="shared" si="3"/>
        <v>Adriano Rudiman</v>
      </c>
      <c r="X72" s="5">
        <f t="shared" si="4"/>
        <v>3</v>
      </c>
      <c r="Y72" s="5" t="str">
        <f>IFERROR(__xludf.DUMMYFUNCTION("REGEXEXTRACT(J72, ""^\d+"")"),"1")</f>
        <v>1</v>
      </c>
      <c r="Z72" s="5" t="str">
        <f>IFERROR(__xludf.DUMMYFUNCTION("REGEXEXTRACT(J72, ""[A-Za-z ]+$"")")," Season")</f>
        <v> Season</v>
      </c>
      <c r="AA72" s="5" t="str">
        <f>IFERROR(__xludf.DUMMYFUNCTION("IF(REGEXMATCH(Z72, ""Season""), ""TV Show"", ""Movie"")"),"TV Show")</f>
        <v>TV Show</v>
      </c>
    </row>
    <row r="73">
      <c r="A73" s="1" t="s">
        <v>533</v>
      </c>
      <c r="B73" s="1" t="s">
        <v>27</v>
      </c>
      <c r="C73" s="1" t="s">
        <v>534</v>
      </c>
      <c r="D73" s="1" t="s">
        <v>535</v>
      </c>
      <c r="E73" s="1" t="s">
        <v>536</v>
      </c>
      <c r="G73" s="1" t="s">
        <v>537</v>
      </c>
      <c r="H73" s="1">
        <v>2021.0</v>
      </c>
      <c r="I73" s="1" t="s">
        <v>206</v>
      </c>
      <c r="J73" s="1" t="s">
        <v>538</v>
      </c>
      <c r="K73" s="1" t="s">
        <v>80</v>
      </c>
      <c r="L73" s="1" t="s">
        <v>539</v>
      </c>
      <c r="M73" s="2" t="s">
        <v>12</v>
      </c>
      <c r="N73" s="4">
        <f t="shared" si="1"/>
        <v>44453</v>
      </c>
      <c r="O73" s="5" t="str">
        <f>IFERROR(__xludf.DUMMYFUNCTION("IF(REGEXMATCH(TRIM(I73), ""^\d+\s*min""), ""Unclassified"", IF(I73 = """", ""NR"", I73))"),"TV-Y")</f>
        <v>TV-Y</v>
      </c>
      <c r="R73" s="5" t="str">
        <f t="shared" si="2"/>
        <v>A Storybots Space Adventure</v>
      </c>
      <c r="S73" s="5" t="str">
        <f>IFERROR(__xludf.DUMMYFUNCTION("""COMPUTED_VALUE"""),"23:59")</f>
        <v>23:59</v>
      </c>
      <c r="T73" s="5" t="str">
        <f>IFERROR(__xludf.DUMMYFUNCTION("""COMPUTED_VALUE"""),"Canada, Japan, United States")</f>
        <v>Canada, Japan, United States</v>
      </c>
      <c r="U73" s="5" t="str">
        <f>IFERROR(__xludf.DUMMYFUNCTION("""COMPUTED_VALUE"""),"Gilles Paquet-Brenner")</f>
        <v>Gilles Paquet-Brenner</v>
      </c>
      <c r="V73" s="5" t="s">
        <v>540</v>
      </c>
      <c r="W73" s="5" t="str">
        <f t="shared" si="3"/>
        <v>Adrien Lagier, Ousmane Ly</v>
      </c>
      <c r="X73" s="5">
        <f t="shared" si="4"/>
        <v>1</v>
      </c>
      <c r="Y73" s="5" t="str">
        <f>IFERROR(__xludf.DUMMYFUNCTION("REGEXEXTRACT(J73, ""^\d+"")"),"13")</f>
        <v>13</v>
      </c>
      <c r="Z73" s="5" t="str">
        <f>IFERROR(__xludf.DUMMYFUNCTION("REGEXEXTRACT(J73, ""[A-Za-z ]+$"")")," min")</f>
        <v> min</v>
      </c>
      <c r="AA73" s="5" t="str">
        <f>IFERROR(__xludf.DUMMYFUNCTION("IF(REGEXMATCH(Z73, ""Season""), ""TV Show"", ""Movie"")"),"Movie")</f>
        <v>Movie</v>
      </c>
    </row>
    <row r="74">
      <c r="A74" s="1" t="s">
        <v>541</v>
      </c>
      <c r="B74" s="1" t="s">
        <v>37</v>
      </c>
      <c r="C74" s="1" t="s">
        <v>542</v>
      </c>
      <c r="E74" s="1" t="s">
        <v>543</v>
      </c>
      <c r="F74" s="1" t="s">
        <v>96</v>
      </c>
      <c r="G74" s="1" t="s">
        <v>537</v>
      </c>
      <c r="H74" s="1">
        <v>2021.0</v>
      </c>
      <c r="I74" s="1" t="s">
        <v>42</v>
      </c>
      <c r="J74" s="1" t="s">
        <v>189</v>
      </c>
      <c r="K74" s="1" t="s">
        <v>544</v>
      </c>
      <c r="L74" s="1" t="s">
        <v>545</v>
      </c>
      <c r="M74" s="2" t="s">
        <v>12</v>
      </c>
      <c r="N74" s="4">
        <f t="shared" si="1"/>
        <v>44453</v>
      </c>
      <c r="O74" s="5" t="str">
        <f>IFERROR(__xludf.DUMMYFUNCTION("IF(REGEXMATCH(TRIM(I74), ""^\d+\s*min""), ""Unclassified"", IF(I74 = """", ""NR"", I74))"),"TV-MA")</f>
        <v>TV-MA</v>
      </c>
      <c r="R74" s="5" t="str">
        <f t="shared" si="2"/>
        <v>Jack Whitehall: Travels With My Father</v>
      </c>
      <c r="S74" s="5" t="str">
        <f>IFERROR(__xludf.DUMMYFUNCTION("""COMPUTED_VALUE"""),"2307: Winter'S Dream")</f>
        <v>2307: Winter'S Dream</v>
      </c>
      <c r="T74" s="5" t="str">
        <f>IFERROR(__xludf.DUMMYFUNCTION("""COMPUTED_VALUE"""),"Canada, Luxembourg")</f>
        <v>Canada, Luxembourg</v>
      </c>
      <c r="U74" s="5" t="str">
        <f>IFERROR(__xludf.DUMMYFUNCTION("""COMPUTED_VALUE"""),"Lasse Hallström")</f>
        <v>Lasse Hallström</v>
      </c>
      <c r="V74" s="5" t="s">
        <v>546</v>
      </c>
      <c r="W74" s="5" t="str">
        <f t="shared" si="3"/>
        <v>Advait Chandan</v>
      </c>
      <c r="X74" s="5">
        <f t="shared" si="4"/>
        <v>1</v>
      </c>
      <c r="Y74" s="5" t="str">
        <f>IFERROR(__xludf.DUMMYFUNCTION("REGEXEXTRACT(J74, ""^\d+"")"),"5")</f>
        <v>5</v>
      </c>
      <c r="Z74" s="5" t="str">
        <f>IFERROR(__xludf.DUMMYFUNCTION("REGEXEXTRACT(J74, ""[A-Za-z ]+$"")")," Seasons")</f>
        <v> Seasons</v>
      </c>
      <c r="AA74" s="5" t="str">
        <f>IFERROR(__xludf.DUMMYFUNCTION("IF(REGEXMATCH(Z74, ""Season""), ""TV Show"", ""Movie"")"),"TV Show")</f>
        <v>TV Show</v>
      </c>
    </row>
    <row r="75">
      <c r="A75" s="1" t="s">
        <v>547</v>
      </c>
      <c r="B75" s="1" t="s">
        <v>27</v>
      </c>
      <c r="C75" s="1" t="s">
        <v>548</v>
      </c>
      <c r="D75" s="1" t="s">
        <v>549</v>
      </c>
      <c r="E75" s="1" t="s">
        <v>550</v>
      </c>
      <c r="F75" s="1" t="s">
        <v>400</v>
      </c>
      <c r="G75" s="1" t="s">
        <v>537</v>
      </c>
      <c r="H75" s="1">
        <v>2018.0</v>
      </c>
      <c r="I75" s="1" t="s">
        <v>42</v>
      </c>
      <c r="J75" s="1" t="s">
        <v>551</v>
      </c>
      <c r="K75" s="1" t="s">
        <v>128</v>
      </c>
      <c r="L75" s="1" t="s">
        <v>552</v>
      </c>
      <c r="M75" s="2" t="s">
        <v>12</v>
      </c>
      <c r="N75" s="4">
        <f t="shared" si="1"/>
        <v>44453</v>
      </c>
      <c r="O75" s="5" t="str">
        <f>IFERROR(__xludf.DUMMYFUNCTION("IF(REGEXMATCH(TRIM(I75), ""^\d+\s*min""), ""Unclassified"", IF(I75 = """", ""NR"", I75))"),"TV-MA")</f>
        <v>TV-MA</v>
      </c>
      <c r="R75" s="5" t="str">
        <f t="shared" si="2"/>
        <v>King Of Boys</v>
      </c>
      <c r="S75" s="5" t="str">
        <f>IFERROR(__xludf.DUMMYFUNCTION("""COMPUTED_VALUE"""),"24 Hours To Live")</f>
        <v>24 Hours To Live</v>
      </c>
      <c r="T75" s="5" t="str">
        <f>IFERROR(__xludf.DUMMYFUNCTION("""COMPUTED_VALUE"""),"Canada, Mexico, Germany, South Africa")</f>
        <v>Canada, Mexico, Germany, South Africa</v>
      </c>
      <c r="U75" s="5" t="str">
        <f>IFERROR(__xludf.DUMMYFUNCTION("""COMPUTED_VALUE"""),"Scott Pleydell-Pearce")</f>
        <v>Scott Pleydell-Pearce</v>
      </c>
      <c r="V75" s="5" t="s">
        <v>553</v>
      </c>
      <c r="W75" s="5" t="str">
        <f t="shared" si="3"/>
        <v>Adze Ugah</v>
      </c>
      <c r="X75" s="5">
        <f t="shared" si="4"/>
        <v>3</v>
      </c>
      <c r="Y75" s="5" t="str">
        <f>IFERROR(__xludf.DUMMYFUNCTION("REGEXEXTRACT(J75, ""^\d+"")"),"182")</f>
        <v>182</v>
      </c>
      <c r="Z75" s="5" t="str">
        <f>IFERROR(__xludf.DUMMYFUNCTION("REGEXEXTRACT(J75, ""[A-Za-z ]+$"")")," min")</f>
        <v> min</v>
      </c>
      <c r="AA75" s="5" t="str">
        <f>IFERROR(__xludf.DUMMYFUNCTION("IF(REGEXMATCH(Z75, ""Season""), ""TV Show"", ""Movie"")"),"Movie")</f>
        <v>Movie</v>
      </c>
    </row>
    <row r="76">
      <c r="A76" s="1" t="s">
        <v>554</v>
      </c>
      <c r="B76" s="1" t="s">
        <v>37</v>
      </c>
      <c r="C76" s="1" t="s">
        <v>555</v>
      </c>
      <c r="G76" s="1" t="s">
        <v>537</v>
      </c>
      <c r="H76" s="1">
        <v>2021.0</v>
      </c>
      <c r="I76" s="1" t="s">
        <v>136</v>
      </c>
      <c r="J76" s="1" t="s">
        <v>43</v>
      </c>
      <c r="K76" s="1" t="s">
        <v>440</v>
      </c>
      <c r="L76" s="1" t="s">
        <v>556</v>
      </c>
      <c r="M76" s="2" t="s">
        <v>12</v>
      </c>
      <c r="N76" s="4">
        <f t="shared" si="1"/>
        <v>44453</v>
      </c>
      <c r="O76" s="5" t="str">
        <f>IFERROR(__xludf.DUMMYFUNCTION("IF(REGEXMATCH(TRIM(I76), ""^\d+\s*min""), ""Unclassified"", IF(I76 = """", ""NR"", I76))"),"TV-PG")</f>
        <v>TV-PG</v>
      </c>
      <c r="R76" s="5" t="str">
        <f t="shared" si="2"/>
        <v>The World'S Most Amazing Vacation Rentals</v>
      </c>
      <c r="S76" s="5" t="str">
        <f>IFERROR(__xludf.DUMMYFUNCTION("""COMPUTED_VALUE"""),"25 Kille")</f>
        <v>25 Kille</v>
      </c>
      <c r="T76" s="5" t="str">
        <f>IFERROR(__xludf.DUMMYFUNCTION("""COMPUTED_VALUE"""),"Canada, Nigeria")</f>
        <v>Canada, Nigeria</v>
      </c>
      <c r="U76" s="5" t="str">
        <f>IFERROR(__xludf.DUMMYFUNCTION("""COMPUTED_VALUE"""),"Ridley Scott")</f>
        <v>Ridley Scott</v>
      </c>
      <c r="V76" s="5" t="s">
        <v>557</v>
      </c>
      <c r="W76" s="5" t="str">
        <f t="shared" si="3"/>
        <v>Afia Nathaniel</v>
      </c>
      <c r="X76" s="5">
        <f t="shared" si="4"/>
        <v>1</v>
      </c>
      <c r="Y76" s="5" t="str">
        <f>IFERROR(__xludf.DUMMYFUNCTION("REGEXEXTRACT(J76, ""^\d+"")"),"2")</f>
        <v>2</v>
      </c>
      <c r="Z76" s="5" t="str">
        <f>IFERROR(__xludf.DUMMYFUNCTION("REGEXEXTRACT(J76, ""[A-Za-z ]+$"")")," Seasons")</f>
        <v> Seasons</v>
      </c>
      <c r="AA76" s="5" t="str">
        <f>IFERROR(__xludf.DUMMYFUNCTION("IF(REGEXMATCH(Z76, ""Season""), ""TV Show"", ""Movie"")"),"TV Show")</f>
        <v>TV Show</v>
      </c>
    </row>
    <row r="77">
      <c r="A77" s="1" t="s">
        <v>558</v>
      </c>
      <c r="B77" s="1" t="s">
        <v>27</v>
      </c>
      <c r="C77" s="1" t="s">
        <v>559</v>
      </c>
      <c r="D77" s="1" t="s">
        <v>560</v>
      </c>
      <c r="E77" s="1" t="s">
        <v>561</v>
      </c>
      <c r="G77" s="1" t="s">
        <v>537</v>
      </c>
      <c r="H77" s="1">
        <v>2021.0</v>
      </c>
      <c r="I77" s="1" t="s">
        <v>506</v>
      </c>
      <c r="J77" s="1" t="s">
        <v>256</v>
      </c>
      <c r="K77" s="1" t="s">
        <v>80</v>
      </c>
      <c r="L77" s="1" t="s">
        <v>562</v>
      </c>
      <c r="M77" s="2" t="s">
        <v>12</v>
      </c>
      <c r="N77" s="4">
        <f t="shared" si="1"/>
        <v>44453</v>
      </c>
      <c r="O77" s="5" t="str">
        <f>IFERROR(__xludf.DUMMYFUNCTION("IF(REGEXMATCH(TRIM(I77), ""^\d+\s*min""), ""Unclassified"", IF(I77 = """", ""NR"", I77))"),"TV-G")</f>
        <v>TV-G</v>
      </c>
      <c r="R77" s="5" t="str">
        <f t="shared" si="2"/>
        <v>You Vs. Wild: Out Cold</v>
      </c>
      <c r="S77" s="5" t="str">
        <f>IFERROR(__xludf.DUMMYFUNCTION("""COMPUTED_VALUE"""),"26 Years")</f>
        <v>26 Years</v>
      </c>
      <c r="T77" s="5" t="str">
        <f>IFERROR(__xludf.DUMMYFUNCTION("""COMPUTED_VALUE"""),"Canada, Nigeria, United States")</f>
        <v>Canada, Nigeria, United States</v>
      </c>
      <c r="U77" s="5" t="str">
        <f>IFERROR(__xludf.DUMMYFUNCTION("""COMPUTED_VALUE"""),"Neill Blomkamp")</f>
        <v>Neill Blomkamp</v>
      </c>
      <c r="V77" s="5" t="s">
        <v>563</v>
      </c>
      <c r="W77" s="5" t="str">
        <f t="shared" si="3"/>
        <v>Afonso Poyart</v>
      </c>
      <c r="X77" s="5">
        <f t="shared" si="4"/>
        <v>1</v>
      </c>
      <c r="Y77" s="5" t="str">
        <f>IFERROR(__xludf.DUMMYFUNCTION("REGEXEXTRACT(J77, ""^\d+"")"),"106")</f>
        <v>106</v>
      </c>
      <c r="Z77" s="5" t="str">
        <f>IFERROR(__xludf.DUMMYFUNCTION("REGEXEXTRACT(J77, ""[A-Za-z ]+$"")")," min")</f>
        <v> min</v>
      </c>
      <c r="AA77" s="5" t="str">
        <f>IFERROR(__xludf.DUMMYFUNCTION("IF(REGEXMATCH(Z77, ""Season""), ""TV Show"", ""Movie"")"),"Movie")</f>
        <v>Movie</v>
      </c>
    </row>
    <row r="78">
      <c r="A78" s="1" t="s">
        <v>564</v>
      </c>
      <c r="B78" s="1" t="s">
        <v>37</v>
      </c>
      <c r="C78" s="1" t="s">
        <v>565</v>
      </c>
      <c r="E78" s="1" t="s">
        <v>566</v>
      </c>
      <c r="F78" s="1" t="s">
        <v>415</v>
      </c>
      <c r="G78" s="1" t="s">
        <v>537</v>
      </c>
      <c r="H78" s="1">
        <v>2013.0</v>
      </c>
      <c r="I78" s="1" t="s">
        <v>97</v>
      </c>
      <c r="J78" s="1" t="s">
        <v>51</v>
      </c>
      <c r="K78" s="1" t="s">
        <v>567</v>
      </c>
      <c r="L78" s="1" t="s">
        <v>568</v>
      </c>
      <c r="M78" s="2" t="s">
        <v>12</v>
      </c>
      <c r="N78" s="4">
        <f t="shared" si="1"/>
        <v>44453</v>
      </c>
      <c r="O78" s="5" t="str">
        <f>IFERROR(__xludf.DUMMYFUNCTION("IF(REGEXMATCH(TRIM(I78), ""^\d+\s*min""), ""Unclassified"", IF(I78 = """", ""NR"", I78))"),"TV-14")</f>
        <v>TV-14</v>
      </c>
      <c r="R78" s="5" t="str">
        <f t="shared" si="2"/>
        <v>Yowamushi Pedal</v>
      </c>
      <c r="S78" s="5" t="str">
        <f>IFERROR(__xludf.DUMMYFUNCTION("""COMPUTED_VALUE"""),"27, El Club De Los Malditos")</f>
        <v>27, El Club De Los Malditos</v>
      </c>
      <c r="T78" s="5" t="str">
        <f>IFERROR(__xludf.DUMMYFUNCTION("""COMPUTED_VALUE"""),"Canada, Norway")</f>
        <v>Canada, Norway</v>
      </c>
      <c r="U78" s="5" t="str">
        <f>IFERROR(__xludf.DUMMYFUNCTION("""COMPUTED_VALUE"""),"Phillip Noyce")</f>
        <v>Phillip Noyce</v>
      </c>
      <c r="V78" s="5" t="s">
        <v>569</v>
      </c>
      <c r="W78" s="5" t="str">
        <f t="shared" si="3"/>
        <v>Agasyah Karim, Khalid Kashogi</v>
      </c>
      <c r="X78" s="5">
        <f t="shared" si="4"/>
        <v>1</v>
      </c>
      <c r="Y78" s="5" t="str">
        <f>IFERROR(__xludf.DUMMYFUNCTION("REGEXEXTRACT(J78, ""^\d+"")"),"1")</f>
        <v>1</v>
      </c>
      <c r="Z78" s="5" t="str">
        <f>IFERROR(__xludf.DUMMYFUNCTION("REGEXEXTRACT(J78, ""[A-Za-z ]+$"")")," Season")</f>
        <v> Season</v>
      </c>
      <c r="AA78" s="5" t="str">
        <f>IFERROR(__xludf.DUMMYFUNCTION("IF(REGEXMATCH(Z78, ""Season""), ""TV Show"", ""Movie"")"),"TV Show")</f>
        <v>TV Show</v>
      </c>
    </row>
    <row r="79">
      <c r="A79" s="1" t="s">
        <v>570</v>
      </c>
      <c r="B79" s="1" t="s">
        <v>27</v>
      </c>
      <c r="C79" s="1" t="s">
        <v>571</v>
      </c>
      <c r="D79" s="1" t="s">
        <v>572</v>
      </c>
      <c r="E79" s="1" t="s">
        <v>573</v>
      </c>
      <c r="G79" s="1" t="s">
        <v>574</v>
      </c>
      <c r="H79" s="1">
        <v>2021.0</v>
      </c>
      <c r="I79" s="1" t="s">
        <v>289</v>
      </c>
      <c r="J79" s="1" t="s">
        <v>575</v>
      </c>
      <c r="K79" s="1" t="s">
        <v>137</v>
      </c>
      <c r="L79" s="1" t="s">
        <v>576</v>
      </c>
      <c r="M79" s="2" t="s">
        <v>12</v>
      </c>
      <c r="N79" s="4">
        <f t="shared" si="1"/>
        <v>44450</v>
      </c>
      <c r="O79" s="5" t="str">
        <f>IFERROR(__xludf.DUMMYFUNCTION("IF(REGEXMATCH(TRIM(I79), ""^\d+\s*min""), ""Unclassified"", IF(I79 = """", ""NR"", I79))"),"TV-Y7")</f>
        <v>TV-Y7</v>
      </c>
      <c r="R79" s="5" t="str">
        <f t="shared" si="2"/>
        <v>Little Singham - Black Shadow</v>
      </c>
      <c r="S79" s="5" t="str">
        <f>IFERROR(__xludf.DUMMYFUNCTION("""COMPUTED_VALUE"""),"27: Gone Too Soon")</f>
        <v>27: Gone Too Soon</v>
      </c>
      <c r="T79" s="5" t="str">
        <f>IFERROR(__xludf.DUMMYFUNCTION("""COMPUTED_VALUE"""),"Canada, South Africa")</f>
        <v>Canada, South Africa</v>
      </c>
      <c r="U79" s="5" t="str">
        <f>IFERROR(__xludf.DUMMYFUNCTION("""COMPUTED_VALUE"""),"Renny Harlin")</f>
        <v>Renny Harlin</v>
      </c>
      <c r="V79" s="5" t="s">
        <v>577</v>
      </c>
      <c r="W79" s="5" t="str">
        <f t="shared" si="3"/>
        <v>Agnidev Chatterjee</v>
      </c>
      <c r="X79" s="5">
        <f t="shared" si="4"/>
        <v>1</v>
      </c>
      <c r="Y79" s="5" t="str">
        <f>IFERROR(__xludf.DUMMYFUNCTION("REGEXEXTRACT(J79, ""^\d+"")"),"48")</f>
        <v>48</v>
      </c>
      <c r="Z79" s="5" t="str">
        <f>IFERROR(__xludf.DUMMYFUNCTION("REGEXEXTRACT(J79, ""[A-Za-z ]+$"")")," min")</f>
        <v> min</v>
      </c>
      <c r="AA79" s="5" t="str">
        <f>IFERROR(__xludf.DUMMYFUNCTION("IF(REGEXMATCH(Z79, ""Season""), ""TV Show"", ""Movie"")"),"Movie")</f>
        <v>Movie</v>
      </c>
    </row>
    <row r="80">
      <c r="A80" s="1" t="s">
        <v>578</v>
      </c>
      <c r="B80" s="1" t="s">
        <v>27</v>
      </c>
      <c r="C80" s="1" t="s">
        <v>579</v>
      </c>
      <c r="D80" s="1" t="s">
        <v>580</v>
      </c>
      <c r="E80" s="1" t="s">
        <v>581</v>
      </c>
      <c r="G80" s="1" t="s">
        <v>574</v>
      </c>
      <c r="H80" s="1">
        <v>2020.0</v>
      </c>
      <c r="I80" s="1" t="s">
        <v>97</v>
      </c>
      <c r="J80" s="1" t="s">
        <v>582</v>
      </c>
      <c r="K80" s="1" t="s">
        <v>583</v>
      </c>
      <c r="L80" s="1" t="s">
        <v>584</v>
      </c>
      <c r="M80" s="2" t="s">
        <v>12</v>
      </c>
      <c r="N80" s="4">
        <f t="shared" si="1"/>
        <v>44450</v>
      </c>
      <c r="O80" s="5" t="str">
        <f>IFERROR(__xludf.DUMMYFUNCTION("IF(REGEXMATCH(TRIM(I80), ""^\d+\s*min""), ""Unclassified"", IF(I80 = """", ""NR"", I80))"),"TV-14")</f>
        <v>TV-14</v>
      </c>
      <c r="R80" s="5" t="str">
        <f t="shared" si="2"/>
        <v>Tughlaq Durbar</v>
      </c>
      <c r="S80" s="5" t="str">
        <f>IFERROR(__xludf.DUMMYFUNCTION("""COMPUTED_VALUE"""),"28 Days")</f>
        <v>28 Days</v>
      </c>
      <c r="T80" s="5" t="str">
        <f>IFERROR(__xludf.DUMMYFUNCTION("""COMPUTED_VALUE"""),"Canada, South Korea, United States")</f>
        <v>Canada, South Korea, United States</v>
      </c>
      <c r="U80" s="5" t="str">
        <f>IFERROR(__xludf.DUMMYFUNCTION("""COMPUTED_VALUE"""),"Anthony Minghella")</f>
        <v>Anthony Minghella</v>
      </c>
      <c r="V80" s="5" t="s">
        <v>585</v>
      </c>
      <c r="W80" s="5" t="str">
        <f t="shared" si="3"/>
        <v>Agustí Villaronga</v>
      </c>
      <c r="X80" s="5">
        <f t="shared" si="4"/>
        <v>1</v>
      </c>
      <c r="Y80" s="5" t="str">
        <f>IFERROR(__xludf.DUMMYFUNCTION("REGEXEXTRACT(J80, ""^\d+"")"),"145")</f>
        <v>145</v>
      </c>
      <c r="Z80" s="5" t="str">
        <f>IFERROR(__xludf.DUMMYFUNCTION("REGEXEXTRACT(J80, ""[A-Za-z ]+$"")")," min")</f>
        <v> min</v>
      </c>
      <c r="AA80" s="5" t="str">
        <f>IFERROR(__xludf.DUMMYFUNCTION("IF(REGEXMATCH(Z80, ""Season""), ""TV Show"", ""Movie"")"),"Movie")</f>
        <v>Movie</v>
      </c>
    </row>
    <row r="81">
      <c r="A81" s="1" t="s">
        <v>586</v>
      </c>
      <c r="B81" s="1" t="s">
        <v>27</v>
      </c>
      <c r="C81" s="1" t="s">
        <v>587</v>
      </c>
      <c r="D81" s="1" t="s">
        <v>580</v>
      </c>
      <c r="E81" s="1" t="s">
        <v>581</v>
      </c>
      <c r="G81" s="1" t="s">
        <v>574</v>
      </c>
      <c r="H81" s="1">
        <v>2021.0</v>
      </c>
      <c r="I81" s="1" t="s">
        <v>97</v>
      </c>
      <c r="J81" s="1" t="s">
        <v>582</v>
      </c>
      <c r="K81" s="1" t="s">
        <v>583</v>
      </c>
      <c r="L81" s="1" t="s">
        <v>584</v>
      </c>
      <c r="M81" s="2" t="s">
        <v>12</v>
      </c>
      <c r="N81" s="4">
        <f t="shared" si="1"/>
        <v>44450</v>
      </c>
      <c r="O81" s="5" t="str">
        <f>IFERROR(__xludf.DUMMYFUNCTION("IF(REGEXMATCH(TRIM(I81), ""^\d+\s*min""), ""Unclassified"", IF(I81 = """", ""NR"", I81))"),"TV-14")</f>
        <v>TV-14</v>
      </c>
      <c r="R81" s="5" t="str">
        <f t="shared" si="2"/>
        <v>Tughlaq Durbar (Telugu)</v>
      </c>
      <c r="S81" s="5" t="str">
        <f>IFERROR(__xludf.DUMMYFUNCTION("""COMPUTED_VALUE"""),"28 Moons")</f>
        <v>28 Moons</v>
      </c>
      <c r="T81" s="5" t="str">
        <f>IFERROR(__xludf.DUMMYFUNCTION("""COMPUTED_VALUE"""),"Canada, Spain")</f>
        <v>Canada, Spain</v>
      </c>
      <c r="U81" s="5" t="str">
        <f>IFERROR(__xludf.DUMMYFUNCTION("""COMPUTED_VALUE"""),"Simon Wincer")</f>
        <v>Simon Wincer</v>
      </c>
      <c r="V81" s="5" t="s">
        <v>588</v>
      </c>
      <c r="W81" s="5" t="str">
        <f t="shared" si="3"/>
        <v>Ah Loong</v>
      </c>
      <c r="X81" s="5">
        <f t="shared" si="4"/>
        <v>1</v>
      </c>
      <c r="Y81" s="5" t="str">
        <f>IFERROR(__xludf.DUMMYFUNCTION("REGEXEXTRACT(J81, ""^\d+"")"),"145")</f>
        <v>145</v>
      </c>
      <c r="Z81" s="5" t="str">
        <f>IFERROR(__xludf.DUMMYFUNCTION("REGEXEXTRACT(J81, ""[A-Za-z ]+$"")")," min")</f>
        <v> min</v>
      </c>
      <c r="AA81" s="5" t="str">
        <f>IFERROR(__xludf.DUMMYFUNCTION("IF(REGEXMATCH(Z81, ""Season""), ""TV Show"", ""Movie"")"),"Movie")</f>
        <v>Movie</v>
      </c>
    </row>
    <row r="82">
      <c r="A82" s="1" t="s">
        <v>589</v>
      </c>
      <c r="B82" s="1" t="s">
        <v>27</v>
      </c>
      <c r="C82" s="1" t="s">
        <v>590</v>
      </c>
      <c r="D82" s="1" t="s">
        <v>591</v>
      </c>
      <c r="E82" s="1" t="s">
        <v>592</v>
      </c>
      <c r="G82" s="1" t="s">
        <v>593</v>
      </c>
      <c r="H82" s="1">
        <v>2021.0</v>
      </c>
      <c r="I82" s="1" t="s">
        <v>289</v>
      </c>
      <c r="J82" s="1" t="s">
        <v>454</v>
      </c>
      <c r="K82" s="1" t="s">
        <v>80</v>
      </c>
      <c r="L82" s="1" t="s">
        <v>594</v>
      </c>
      <c r="M82" s="2" t="s">
        <v>12</v>
      </c>
      <c r="N82" s="4">
        <f t="shared" si="1"/>
        <v>44449</v>
      </c>
      <c r="O82" s="5" t="str">
        <f>IFERROR(__xludf.DUMMYFUNCTION("IF(REGEXMATCH(TRIM(I82), ""^\d+\s*min""), ""Unclassified"", IF(I82 = """", ""NR"", I82))"),"TV-Y7")</f>
        <v>TV-Y7</v>
      </c>
      <c r="R82" s="5" t="str">
        <f t="shared" si="2"/>
        <v>Firedrake The Silver Dragon</v>
      </c>
      <c r="S82" s="5" t="str">
        <f>IFERROR(__xludf.DUMMYFUNCTION("""COMPUTED_VALUE"""),"3 Days To Kill")</f>
        <v>3 Days To Kill</v>
      </c>
      <c r="T82" s="5" t="str">
        <f>IFERROR(__xludf.DUMMYFUNCTION("""COMPUTED_VALUE"""),"Canada, Spain, France")</f>
        <v>Canada, Spain, France</v>
      </c>
      <c r="U82" s="5" t="str">
        <f>IFERROR(__xludf.DUMMYFUNCTION("""COMPUTED_VALUE"""),"Spike Lee")</f>
        <v>Spike Lee</v>
      </c>
      <c r="V82" s="5" t="s">
        <v>595</v>
      </c>
      <c r="W82" s="5" t="str">
        <f t="shared" si="3"/>
        <v>Ahishor Solomon</v>
      </c>
      <c r="X82" s="5">
        <f t="shared" si="4"/>
        <v>2</v>
      </c>
      <c r="Y82" s="5" t="str">
        <f>IFERROR(__xludf.DUMMYFUNCTION("REGEXEXTRACT(J82, ""^\d+"")"),"93")</f>
        <v>93</v>
      </c>
      <c r="Z82" s="5" t="str">
        <f>IFERROR(__xludf.DUMMYFUNCTION("REGEXEXTRACT(J82, ""[A-Za-z ]+$"")")," min")</f>
        <v> min</v>
      </c>
      <c r="AA82" s="5" t="str">
        <f>IFERROR(__xludf.DUMMYFUNCTION("IF(REGEXMATCH(Z82, ""Season""), ""TV Show"", ""Movie"")"),"Movie")</f>
        <v>Movie</v>
      </c>
    </row>
    <row r="83">
      <c r="A83" s="1" t="s">
        <v>596</v>
      </c>
      <c r="B83" s="1" t="s">
        <v>27</v>
      </c>
      <c r="C83" s="1" t="s">
        <v>597</v>
      </c>
      <c r="D83" s="1" t="s">
        <v>598</v>
      </c>
      <c r="E83" s="1" t="s">
        <v>599</v>
      </c>
      <c r="F83" s="1" t="s">
        <v>30</v>
      </c>
      <c r="G83" s="1" t="s">
        <v>593</v>
      </c>
      <c r="H83" s="1">
        <v>2021.0</v>
      </c>
      <c r="I83" s="1" t="s">
        <v>378</v>
      </c>
      <c r="J83" s="1" t="s">
        <v>256</v>
      </c>
      <c r="K83" s="1" t="s">
        <v>380</v>
      </c>
      <c r="L83" s="1" t="s">
        <v>600</v>
      </c>
      <c r="M83" s="2" t="s">
        <v>12</v>
      </c>
      <c r="N83" s="4">
        <f t="shared" si="1"/>
        <v>44449</v>
      </c>
      <c r="O83" s="5" t="str">
        <f>IFERROR(__xludf.DUMMYFUNCTION("IF(REGEXMATCH(TRIM(I83), ""^\d+\s*min""), ""Unclassified"", IF(I83 = """", ""NR"", I83))"),"R")</f>
        <v>R</v>
      </c>
      <c r="R83" s="5" t="str">
        <f t="shared" si="2"/>
        <v>Kate</v>
      </c>
      <c r="S83" s="5" t="str">
        <f>IFERROR(__xludf.DUMMYFUNCTION("""COMPUTED_VALUE"""),"3 Deewarein")</f>
        <v>3 Deewarein</v>
      </c>
      <c r="T83" s="5" t="str">
        <f>IFERROR(__xludf.DUMMYFUNCTION("""COMPUTED_VALUE"""),"Canada, United Kingdom")</f>
        <v>Canada, United Kingdom</v>
      </c>
      <c r="U83" s="5" t="str">
        <f>IFERROR(__xludf.DUMMYFUNCTION("""COMPUTED_VALUE"""),"Sebastián Schindel")</f>
        <v>Sebastián Schindel</v>
      </c>
      <c r="V83" s="5" t="s">
        <v>601</v>
      </c>
      <c r="W83" s="5" t="str">
        <f t="shared" si="3"/>
        <v>Ahmad El-Badri</v>
      </c>
      <c r="X83" s="5">
        <f t="shared" si="4"/>
        <v>4</v>
      </c>
      <c r="Y83" s="5" t="str">
        <f>IFERROR(__xludf.DUMMYFUNCTION("REGEXEXTRACT(J83, ""^\d+"")"),"106")</f>
        <v>106</v>
      </c>
      <c r="Z83" s="5" t="str">
        <f>IFERROR(__xludf.DUMMYFUNCTION("REGEXEXTRACT(J83, ""[A-Za-z ]+$"")")," min")</f>
        <v> min</v>
      </c>
      <c r="AA83" s="5" t="str">
        <f>IFERROR(__xludf.DUMMYFUNCTION("IF(REGEXMATCH(Z83, ""Season""), ""TV Show"", ""Movie"")"),"Movie")</f>
        <v>Movie</v>
      </c>
    </row>
    <row r="84">
      <c r="A84" s="1" t="s">
        <v>602</v>
      </c>
      <c r="B84" s="1" t="s">
        <v>37</v>
      </c>
      <c r="C84" s="1" t="s">
        <v>603</v>
      </c>
      <c r="E84" s="1" t="s">
        <v>604</v>
      </c>
      <c r="F84" s="1" t="s">
        <v>30</v>
      </c>
      <c r="G84" s="1" t="s">
        <v>593</v>
      </c>
      <c r="H84" s="1">
        <v>2021.0</v>
      </c>
      <c r="I84" s="1" t="s">
        <v>97</v>
      </c>
      <c r="J84" s="1" t="s">
        <v>439</v>
      </c>
      <c r="K84" s="1" t="s">
        <v>605</v>
      </c>
      <c r="L84" s="1" t="s">
        <v>606</v>
      </c>
      <c r="M84" s="2" t="s">
        <v>12</v>
      </c>
      <c r="N84" s="4">
        <f t="shared" si="1"/>
        <v>44449</v>
      </c>
      <c r="O84" s="5" t="str">
        <f>IFERROR(__xludf.DUMMYFUNCTION("IF(REGEXMATCH(TRIM(I84), ""^\d+\s*min""), ""Unclassified"", IF(I84 = """", ""NR"", I84))"),"TV-14")</f>
        <v>TV-14</v>
      </c>
      <c r="R84" s="5" t="str">
        <f t="shared" si="2"/>
        <v>Lucifer</v>
      </c>
      <c r="S84" s="5" t="str">
        <f>IFERROR(__xludf.DUMMYFUNCTION("""COMPUTED_VALUE"""),"3 Generations")</f>
        <v>3 Generations</v>
      </c>
      <c r="T84" s="5" t="str">
        <f>IFERROR(__xludf.DUMMYFUNCTION("""COMPUTED_VALUE"""),"Canada, United Kingdom, Netherlands")</f>
        <v>Canada, United Kingdom, Netherlands</v>
      </c>
      <c r="U84" s="5" t="str">
        <f>IFERROR(__xludf.DUMMYFUNCTION("""COMPUTED_VALUE"""),"Steven C. Miller")</f>
        <v>Steven C. Miller</v>
      </c>
      <c r="V84" s="5" t="s">
        <v>607</v>
      </c>
      <c r="W84" s="5" t="str">
        <f t="shared" si="3"/>
        <v>Ahmad Samir Farag</v>
      </c>
      <c r="X84" s="5">
        <f t="shared" si="4"/>
        <v>1</v>
      </c>
      <c r="Y84" s="5" t="str">
        <f>IFERROR(__xludf.DUMMYFUNCTION("REGEXEXTRACT(J84, ""^\d+"")"),"6")</f>
        <v>6</v>
      </c>
      <c r="Z84" s="5" t="str">
        <f>IFERROR(__xludf.DUMMYFUNCTION("REGEXEXTRACT(J84, ""[A-Za-z ]+$"")")," Seasons")</f>
        <v> Seasons</v>
      </c>
      <c r="AA84" s="5" t="str">
        <f>IFERROR(__xludf.DUMMYFUNCTION("IF(REGEXMATCH(Z84, ""Season""), ""TV Show"", ""Movie"")"),"TV Show")</f>
        <v>TV Show</v>
      </c>
    </row>
    <row r="85">
      <c r="A85" s="1" t="s">
        <v>608</v>
      </c>
      <c r="B85" s="1" t="s">
        <v>37</v>
      </c>
      <c r="C85" s="1" t="s">
        <v>609</v>
      </c>
      <c r="E85" s="1" t="s">
        <v>610</v>
      </c>
      <c r="G85" s="1" t="s">
        <v>593</v>
      </c>
      <c r="H85" s="1">
        <v>2021.0</v>
      </c>
      <c r="I85" s="1" t="s">
        <v>42</v>
      </c>
      <c r="J85" s="1" t="s">
        <v>51</v>
      </c>
      <c r="K85" s="1" t="s">
        <v>440</v>
      </c>
      <c r="L85" s="1" t="s">
        <v>611</v>
      </c>
      <c r="M85" s="2" t="s">
        <v>12</v>
      </c>
      <c r="N85" s="4">
        <f t="shared" si="1"/>
        <v>44449</v>
      </c>
      <c r="O85" s="5" t="str">
        <f>IFERROR(__xludf.DUMMYFUNCTION("IF(REGEXMATCH(TRIM(I85), ""^\d+\s*min""), ""Unclassified"", IF(I85 = """", ""NR"", I85))"),"TV-MA")</f>
        <v>TV-MA</v>
      </c>
      <c r="R85" s="5" t="str">
        <f t="shared" si="2"/>
        <v>Metal Shop Masters</v>
      </c>
      <c r="S85" s="5" t="str">
        <f>IFERROR(__xludf.DUMMYFUNCTION("""COMPUTED_VALUE"""),"3 Heroines")</f>
        <v>3 Heroines</v>
      </c>
      <c r="T85" s="5" t="str">
        <f>IFERROR(__xludf.DUMMYFUNCTION("""COMPUTED_VALUE"""),"Canada, United Kingdom, United States")</f>
        <v>Canada, United Kingdom, United States</v>
      </c>
      <c r="U85" s="5" t="str">
        <f>IFERROR(__xludf.DUMMYFUNCTION("""COMPUTED_VALUE"""),"Richard Lagravenese")</f>
        <v>Richard Lagravenese</v>
      </c>
      <c r="V85" s="5" t="s">
        <v>612</v>
      </c>
      <c r="W85" s="5" t="str">
        <f t="shared" si="3"/>
        <v>Ahmed Al-Badry</v>
      </c>
      <c r="X85" s="5">
        <f t="shared" si="4"/>
        <v>3</v>
      </c>
      <c r="Y85" s="5" t="str">
        <f>IFERROR(__xludf.DUMMYFUNCTION("REGEXEXTRACT(J85, ""^\d+"")"),"1")</f>
        <v>1</v>
      </c>
      <c r="Z85" s="5" t="str">
        <f>IFERROR(__xludf.DUMMYFUNCTION("REGEXEXTRACT(J85, ""[A-Za-z ]+$"")")," Season")</f>
        <v> Season</v>
      </c>
      <c r="AA85" s="5" t="str">
        <f>IFERROR(__xludf.DUMMYFUNCTION("IF(REGEXMATCH(Z85, ""Season""), ""TV Show"", ""Movie"")"),"TV Show")</f>
        <v>TV Show</v>
      </c>
    </row>
    <row r="86">
      <c r="A86" s="1" t="s">
        <v>613</v>
      </c>
      <c r="B86" s="1" t="s">
        <v>27</v>
      </c>
      <c r="C86" s="1" t="s">
        <v>614</v>
      </c>
      <c r="D86" s="1" t="s">
        <v>615</v>
      </c>
      <c r="E86" s="1" t="s">
        <v>616</v>
      </c>
      <c r="F86" s="1" t="s">
        <v>400</v>
      </c>
      <c r="G86" s="1" t="s">
        <v>593</v>
      </c>
      <c r="H86" s="1">
        <v>2020.0</v>
      </c>
      <c r="I86" s="1" t="s">
        <v>42</v>
      </c>
      <c r="J86" s="1" t="s">
        <v>229</v>
      </c>
      <c r="K86" s="1" t="s">
        <v>617</v>
      </c>
      <c r="L86" s="1" t="s">
        <v>618</v>
      </c>
      <c r="M86" s="2" t="s">
        <v>12</v>
      </c>
      <c r="N86" s="4">
        <f t="shared" si="1"/>
        <v>44449</v>
      </c>
      <c r="O86" s="5" t="str">
        <f>IFERROR(__xludf.DUMMYFUNCTION("IF(REGEXMATCH(TRIM(I86), ""^\d+\s*min""), ""Unclassified"", IF(I86 = """", ""NR"", I86))"),"TV-MA")</f>
        <v>TV-MA</v>
      </c>
      <c r="R86" s="5" t="str">
        <f t="shared" si="2"/>
        <v>Omo Ghetto: The Saga</v>
      </c>
      <c r="S86" s="5" t="str">
        <f>IFERROR(__xludf.DUMMYFUNCTION("""COMPUTED_VALUE"""),"3 Idiots")</f>
        <v>3 Idiots</v>
      </c>
      <c r="T86" s="5" t="str">
        <f>IFERROR(__xludf.DUMMYFUNCTION("""COMPUTED_VALUE"""),"Canada, United States")</f>
        <v>Canada, United States</v>
      </c>
      <c r="U86" s="5" t="str">
        <f>IFERROR(__xludf.DUMMYFUNCTION("""COMPUTED_VALUE"""),"Martin Campbell")</f>
        <v>Martin Campbell</v>
      </c>
      <c r="V86" s="5" t="s">
        <v>619</v>
      </c>
      <c r="W86" s="5" t="str">
        <f t="shared" si="3"/>
        <v>Ahmed El Gendy</v>
      </c>
      <c r="X86" s="5">
        <f t="shared" si="4"/>
        <v>1</v>
      </c>
      <c r="Y86" s="5" t="str">
        <f>IFERROR(__xludf.DUMMYFUNCTION("REGEXEXTRACT(J86, ""^\d+"")"),"147")</f>
        <v>147</v>
      </c>
      <c r="Z86" s="5" t="str">
        <f>IFERROR(__xludf.DUMMYFUNCTION("REGEXEXTRACT(J86, ""[A-Za-z ]+$"")")," min")</f>
        <v> min</v>
      </c>
      <c r="AA86" s="5" t="str">
        <f>IFERROR(__xludf.DUMMYFUNCTION("IF(REGEXMATCH(Z86, ""Season""), ""TV Show"", ""Movie"")"),"Movie")</f>
        <v>Movie</v>
      </c>
    </row>
    <row r="87">
      <c r="A87" s="1" t="s">
        <v>620</v>
      </c>
      <c r="B87" s="1" t="s">
        <v>37</v>
      </c>
      <c r="C87" s="1" t="s">
        <v>621</v>
      </c>
      <c r="E87" s="1" t="s">
        <v>622</v>
      </c>
      <c r="G87" s="1" t="s">
        <v>593</v>
      </c>
      <c r="H87" s="1">
        <v>2021.0</v>
      </c>
      <c r="I87" s="1" t="s">
        <v>289</v>
      </c>
      <c r="J87" s="1" t="s">
        <v>51</v>
      </c>
      <c r="K87" s="1" t="s">
        <v>623</v>
      </c>
      <c r="L87" s="1" t="s">
        <v>624</v>
      </c>
      <c r="M87" s="2" t="s">
        <v>12</v>
      </c>
      <c r="N87" s="4">
        <f t="shared" si="1"/>
        <v>44449</v>
      </c>
      <c r="O87" s="5" t="str">
        <f>IFERROR(__xludf.DUMMYFUNCTION("IF(REGEXMATCH(TRIM(I87), ""^\d+\s*min""), ""Unclassified"", IF(I87 = """", ""NR"", I87))"),"TV-Y7")</f>
        <v>TV-Y7</v>
      </c>
      <c r="R87" s="5" t="str">
        <f t="shared" si="2"/>
        <v>Pokémon Master Journeys: The Series</v>
      </c>
      <c r="S87" s="5" t="str">
        <f>IFERROR(__xludf.DUMMYFUNCTION("""COMPUTED_VALUE"""),"3 Seconds Divorce")</f>
        <v>3 Seconds Divorce</v>
      </c>
      <c r="T87" s="5" t="str">
        <f>IFERROR(__xludf.DUMMYFUNCTION("""COMPUTED_VALUE"""),"Canada, United States, Cayman Islands")</f>
        <v>Canada, United States, Cayman Islands</v>
      </c>
      <c r="U87" s="5" t="str">
        <f>IFERROR(__xludf.DUMMYFUNCTION("""COMPUTED_VALUE"""),"Reginald Hudlin")</f>
        <v>Reginald Hudlin</v>
      </c>
      <c r="V87" s="5" t="s">
        <v>625</v>
      </c>
      <c r="W87" s="5" t="str">
        <f t="shared" si="3"/>
        <v>Ahmed Medhat</v>
      </c>
      <c r="X87" s="5">
        <f t="shared" si="4"/>
        <v>1</v>
      </c>
      <c r="Y87" s="5" t="str">
        <f>IFERROR(__xludf.DUMMYFUNCTION("REGEXEXTRACT(J87, ""^\d+"")"),"1")</f>
        <v>1</v>
      </c>
      <c r="Z87" s="5" t="str">
        <f>IFERROR(__xludf.DUMMYFUNCTION("REGEXEXTRACT(J87, ""[A-Za-z ]+$"")")," Season")</f>
        <v> Season</v>
      </c>
      <c r="AA87" s="5" t="str">
        <f>IFERROR(__xludf.DUMMYFUNCTION("IF(REGEXMATCH(Z87, ""Season""), ""TV Show"", ""Movie"")"),"TV Show")</f>
        <v>TV Show</v>
      </c>
    </row>
    <row r="88">
      <c r="A88" s="1" t="s">
        <v>626</v>
      </c>
      <c r="B88" s="1" t="s">
        <v>27</v>
      </c>
      <c r="C88" s="1" t="s">
        <v>627</v>
      </c>
      <c r="D88" s="1" t="s">
        <v>628</v>
      </c>
      <c r="E88" s="1" t="s">
        <v>629</v>
      </c>
      <c r="G88" s="1" t="s">
        <v>593</v>
      </c>
      <c r="H88" s="1">
        <v>2021.0</v>
      </c>
      <c r="I88" s="1" t="s">
        <v>42</v>
      </c>
      <c r="J88" s="1" t="s">
        <v>630</v>
      </c>
      <c r="K88" s="1" t="s">
        <v>631</v>
      </c>
      <c r="L88" s="1" t="s">
        <v>632</v>
      </c>
      <c r="M88" s="2" t="s">
        <v>12</v>
      </c>
      <c r="N88" s="4">
        <f t="shared" si="1"/>
        <v>44449</v>
      </c>
      <c r="O88" s="5" t="str">
        <f>IFERROR(__xludf.DUMMYFUNCTION("IF(REGEXMATCH(TRIM(I88), ""^\d+\s*min""), ""Unclassified"", IF(I88 = """", ""NR"", I88))"),"TV-MA")</f>
        <v>TV-MA</v>
      </c>
      <c r="R88" s="5" t="str">
        <f t="shared" si="2"/>
        <v>Prey</v>
      </c>
      <c r="S88" s="5" t="str">
        <f>IFERROR(__xludf.DUMMYFUNCTION("""COMPUTED_VALUE"""),"3 Türken &amp; Ein Baby")</f>
        <v>3 Türken &amp; Ein Baby</v>
      </c>
      <c r="T88" s="5" t="str">
        <f>IFERROR(__xludf.DUMMYFUNCTION("""COMPUTED_VALUE"""),"Canada, United States, Denmark")</f>
        <v>Canada, United States, Denmark</v>
      </c>
      <c r="U88" s="5" t="str">
        <f>IFERROR(__xludf.DUMMYFUNCTION("""COMPUTED_VALUE"""),"George Jackson, Doug Mchenry")</f>
        <v>George Jackson, Doug Mchenry</v>
      </c>
      <c r="V88" s="5" t="s">
        <v>633</v>
      </c>
      <c r="W88" s="5" t="str">
        <f t="shared" si="3"/>
        <v>Ahmed Nader Galal</v>
      </c>
      <c r="X88" s="5">
        <f t="shared" si="4"/>
        <v>4</v>
      </c>
      <c r="Y88" s="5" t="str">
        <f>IFERROR(__xludf.DUMMYFUNCTION("REGEXEXTRACT(J88, ""^\d+"")"),"87")</f>
        <v>87</v>
      </c>
      <c r="Z88" s="5" t="str">
        <f>IFERROR(__xludf.DUMMYFUNCTION("REGEXEXTRACT(J88, ""[A-Za-z ]+$"")")," min")</f>
        <v> min</v>
      </c>
      <c r="AA88" s="5" t="str">
        <f>IFERROR(__xludf.DUMMYFUNCTION("IF(REGEXMATCH(Z88, ""Season""), ""TV Show"", ""Movie"")"),"Movie")</f>
        <v>Movie</v>
      </c>
    </row>
    <row r="89">
      <c r="A89" s="1" t="s">
        <v>634</v>
      </c>
      <c r="B89" s="1" t="s">
        <v>37</v>
      </c>
      <c r="C89" s="1" t="s">
        <v>635</v>
      </c>
      <c r="E89" s="1" t="s">
        <v>636</v>
      </c>
      <c r="G89" s="1" t="s">
        <v>593</v>
      </c>
      <c r="H89" s="1">
        <v>2019.0</v>
      </c>
      <c r="I89" s="1" t="s">
        <v>206</v>
      </c>
      <c r="J89" s="1" t="s">
        <v>43</v>
      </c>
      <c r="K89" s="1" t="s">
        <v>637</v>
      </c>
      <c r="L89" s="1" t="s">
        <v>638</v>
      </c>
      <c r="M89" s="2" t="s">
        <v>12</v>
      </c>
      <c r="N89" s="4">
        <f t="shared" si="1"/>
        <v>44449</v>
      </c>
      <c r="O89" s="5" t="str">
        <f>IFERROR(__xludf.DUMMYFUNCTION("IF(REGEXMATCH(TRIM(I89), ""^\d+\s*min""), ""Unclassified"", IF(I89 = """", ""NR"", I89))"),"TV-Y")</f>
        <v>TV-Y</v>
      </c>
      <c r="R89" s="5" t="str">
        <f t="shared" si="2"/>
        <v>Titipo Titipo</v>
      </c>
      <c r="S89" s="5" t="str">
        <f>IFERROR(__xludf.DUMMYFUNCTION("""COMPUTED_VALUE"""),"3%")</f>
        <v>3%</v>
      </c>
      <c r="T89" s="5" t="str">
        <f>IFERROR(__xludf.DUMMYFUNCTION("""COMPUTED_VALUE"""),"Canada, United States, France")</f>
        <v>Canada, United States, France</v>
      </c>
      <c r="U89" s="5" t="str">
        <f>IFERROR(__xludf.DUMMYFUNCTION("""COMPUTED_VALUE"""),"Eric Meza")</f>
        <v>Eric Meza</v>
      </c>
      <c r="V89" s="5" t="s">
        <v>639</v>
      </c>
      <c r="W89" s="5" t="str">
        <f t="shared" si="3"/>
        <v>Ahmed Saleh</v>
      </c>
      <c r="X89" s="5">
        <f t="shared" si="4"/>
        <v>1</v>
      </c>
      <c r="Y89" s="5" t="str">
        <f>IFERROR(__xludf.DUMMYFUNCTION("REGEXEXTRACT(J89, ""^\d+"")"),"2")</f>
        <v>2</v>
      </c>
      <c r="Z89" s="5" t="str">
        <f>IFERROR(__xludf.DUMMYFUNCTION("REGEXEXTRACT(J89, ""[A-Za-z ]+$"")")," Seasons")</f>
        <v> Seasons</v>
      </c>
      <c r="AA89" s="5" t="str">
        <f>IFERROR(__xludf.DUMMYFUNCTION("IF(REGEXMATCH(Z89, ""Season""), ""TV Show"", ""Movie"")"),"TV Show")</f>
        <v>TV Show</v>
      </c>
    </row>
    <row r="90">
      <c r="A90" s="1" t="s">
        <v>640</v>
      </c>
      <c r="B90" s="1" t="s">
        <v>27</v>
      </c>
      <c r="C90" s="1" t="s">
        <v>641</v>
      </c>
      <c r="D90" s="1" t="s">
        <v>642</v>
      </c>
      <c r="E90" s="1" t="s">
        <v>643</v>
      </c>
      <c r="G90" s="1" t="s">
        <v>644</v>
      </c>
      <c r="H90" s="1">
        <v>2021.0</v>
      </c>
      <c r="I90" s="1" t="s">
        <v>32</v>
      </c>
      <c r="J90" s="1" t="s">
        <v>322</v>
      </c>
      <c r="K90" s="1" t="s">
        <v>645</v>
      </c>
      <c r="L90" s="1" t="s">
        <v>646</v>
      </c>
      <c r="M90" s="2" t="s">
        <v>12</v>
      </c>
      <c r="N90" s="4">
        <f t="shared" si="1"/>
        <v>44448</v>
      </c>
      <c r="O90" s="5" t="str">
        <f>IFERROR(__xludf.DUMMYFUNCTION("IF(REGEXMATCH(TRIM(I90), ""^\d+\s*min""), ""Unclassified"", IF(I90 = """", ""NR"", I90))"),"PG-13")</f>
        <v>PG-13</v>
      </c>
      <c r="R90" s="5" t="str">
        <f t="shared" si="2"/>
        <v>Blood Brothers: Malcolm X &amp; Muhammad Ali</v>
      </c>
      <c r="S90" s="5" t="str">
        <f>IFERROR(__xludf.DUMMYFUNCTION("""COMPUTED_VALUE"""),"30 Days Of Luxury")</f>
        <v>30 Days Of Luxury</v>
      </c>
      <c r="T90" s="5" t="str">
        <f>IFERROR(__xludf.DUMMYFUNCTION("""COMPUTED_VALUE"""),"Canada, United States, Germany")</f>
        <v>Canada, United States, Germany</v>
      </c>
      <c r="U90" s="5" t="str">
        <f>IFERROR(__xludf.DUMMYFUNCTION("""COMPUTED_VALUE"""),"Gerhard Mostert")</f>
        <v>Gerhard Mostert</v>
      </c>
      <c r="V90" s="5" t="s">
        <v>647</v>
      </c>
      <c r="W90" s="5" t="str">
        <f t="shared" si="3"/>
        <v>Ahmed Siddiqui</v>
      </c>
      <c r="X90" s="5">
        <f t="shared" si="4"/>
        <v>1</v>
      </c>
      <c r="Y90" s="5" t="str">
        <f>IFERROR(__xludf.DUMMYFUNCTION("REGEXEXTRACT(J90, ""^\d+"")"),"96")</f>
        <v>96</v>
      </c>
      <c r="Z90" s="5" t="str">
        <f>IFERROR(__xludf.DUMMYFUNCTION("REGEXEXTRACT(J90, ""[A-Za-z ]+$"")")," min")</f>
        <v> min</v>
      </c>
      <c r="AA90" s="5" t="str">
        <f>IFERROR(__xludf.DUMMYFUNCTION("IF(REGEXMATCH(Z90, ""Season""), ""TV Show"", ""Movie"")"),"Movie")</f>
        <v>Movie</v>
      </c>
    </row>
    <row r="91">
      <c r="A91" s="1" t="s">
        <v>648</v>
      </c>
      <c r="B91" s="1" t="s">
        <v>37</v>
      </c>
      <c r="C91" s="1" t="s">
        <v>649</v>
      </c>
      <c r="E91" s="1" t="s">
        <v>650</v>
      </c>
      <c r="G91" s="1" t="s">
        <v>644</v>
      </c>
      <c r="H91" s="1">
        <v>2017.0</v>
      </c>
      <c r="I91" s="1" t="s">
        <v>289</v>
      </c>
      <c r="J91" s="1" t="s">
        <v>148</v>
      </c>
      <c r="K91" s="1" t="s">
        <v>290</v>
      </c>
      <c r="L91" s="1" t="s">
        <v>651</v>
      </c>
      <c r="M91" s="2" t="s">
        <v>12</v>
      </c>
      <c r="N91" s="4">
        <f t="shared" si="1"/>
        <v>44448</v>
      </c>
      <c r="O91" s="5" t="str">
        <f>IFERROR(__xludf.DUMMYFUNCTION("IF(REGEXMATCH(TRIM(I91), ""^\d+\s*min""), ""Unclassified"", IF(I91 = """", ""NR"", I91))"),"TV-Y7")</f>
        <v>TV-Y7</v>
      </c>
      <c r="R91" s="5" t="str">
        <f t="shared" si="2"/>
        <v>Mighty Raju</v>
      </c>
      <c r="S91" s="5" t="str">
        <f>IFERROR(__xludf.DUMMYFUNCTION("""COMPUTED_VALUE"""),"30 Minutes Or Less")</f>
        <v>30 Minutes Or Less</v>
      </c>
      <c r="T91" s="5" t="str">
        <f>IFERROR(__xludf.DUMMYFUNCTION("""COMPUTED_VALUE"""),"Canada, United States, India, United Kingdom")</f>
        <v>Canada, United States, India, United Kingdom</v>
      </c>
      <c r="U91" s="5" t="str">
        <f>IFERROR(__xludf.DUMMYFUNCTION("""COMPUTED_VALUE"""),"Michael Martin")</f>
        <v>Michael Martin</v>
      </c>
      <c r="V91" s="5" t="s">
        <v>652</v>
      </c>
      <c r="W91" s="5" t="str">
        <f t="shared" si="3"/>
        <v>Ahmed Yousry, Hazem Fouda</v>
      </c>
      <c r="X91" s="5">
        <f t="shared" si="4"/>
        <v>1</v>
      </c>
      <c r="Y91" s="5" t="str">
        <f>IFERROR(__xludf.DUMMYFUNCTION("REGEXEXTRACT(J91, ""^\d+"")"),"4")</f>
        <v>4</v>
      </c>
      <c r="Z91" s="5" t="str">
        <f>IFERROR(__xludf.DUMMYFUNCTION("REGEXEXTRACT(J91, ""[A-Za-z ]+$"")")," Seasons")</f>
        <v> Seasons</v>
      </c>
      <c r="AA91" s="5" t="str">
        <f>IFERROR(__xludf.DUMMYFUNCTION("IF(REGEXMATCH(Z91, ""Season""), ""TV Show"", ""Movie"")"),"TV Show")</f>
        <v>TV Show</v>
      </c>
    </row>
    <row r="92">
      <c r="A92" s="1" t="s">
        <v>653</v>
      </c>
      <c r="B92" s="1" t="s">
        <v>27</v>
      </c>
      <c r="C92" s="1" t="s">
        <v>654</v>
      </c>
      <c r="D92" s="1" t="s">
        <v>655</v>
      </c>
      <c r="E92" s="1" t="s">
        <v>656</v>
      </c>
      <c r="F92" s="1" t="s">
        <v>657</v>
      </c>
      <c r="G92" s="1" t="s">
        <v>644</v>
      </c>
      <c r="H92" s="1">
        <v>2019.0</v>
      </c>
      <c r="I92" s="1" t="s">
        <v>42</v>
      </c>
      <c r="J92" s="1" t="s">
        <v>465</v>
      </c>
      <c r="K92" s="1" t="s">
        <v>658</v>
      </c>
      <c r="L92" s="1" t="s">
        <v>659</v>
      </c>
      <c r="M92" s="2" t="s">
        <v>12</v>
      </c>
      <c r="N92" s="4">
        <f t="shared" si="1"/>
        <v>44448</v>
      </c>
      <c r="O92" s="5" t="str">
        <f>IFERROR(__xludf.DUMMYFUNCTION("IF(REGEXMATCH(TRIM(I92), ""^\d+\s*min""), ""Unclassified"", IF(I92 = """", ""NR"", I92))"),"TV-MA")</f>
        <v>TV-MA</v>
      </c>
      <c r="R92" s="5" t="str">
        <f t="shared" si="2"/>
        <v>Paradise Hills</v>
      </c>
      <c r="S92" s="5" t="str">
        <f>IFERROR(__xludf.DUMMYFUNCTION("""COMPUTED_VALUE"""),"30 Rock")</f>
        <v>30 Rock</v>
      </c>
      <c r="T92" s="5" t="str">
        <f>IFERROR(__xludf.DUMMYFUNCTION("""COMPUTED_VALUE"""),"Canada, United States, Ireland")</f>
        <v>Canada, United States, Ireland</v>
      </c>
      <c r="U92" s="5" t="str">
        <f>IFERROR(__xludf.DUMMYFUNCTION("""COMPUTED_VALUE"""),"Michael Rymer")</f>
        <v>Michael Rymer</v>
      </c>
      <c r="V92" s="5" t="s">
        <v>660</v>
      </c>
      <c r="W92" s="5" t="str">
        <f t="shared" si="3"/>
        <v>Ahmed Zain</v>
      </c>
      <c r="X92" s="5">
        <f t="shared" si="4"/>
        <v>2</v>
      </c>
      <c r="Y92" s="5" t="str">
        <f>IFERROR(__xludf.DUMMYFUNCTION("REGEXEXTRACT(J92, ""^\d+"")"),"95")</f>
        <v>95</v>
      </c>
      <c r="Z92" s="5" t="str">
        <f>IFERROR(__xludf.DUMMYFUNCTION("REGEXEXTRACT(J92, ""[A-Za-z ]+$"")")," min")</f>
        <v> min</v>
      </c>
      <c r="AA92" s="5" t="str">
        <f>IFERROR(__xludf.DUMMYFUNCTION("IF(REGEXMATCH(Z92, ""Season""), ""TV Show"", ""Movie"")"),"Movie")</f>
        <v>Movie</v>
      </c>
    </row>
    <row r="93">
      <c r="A93" s="1" t="s">
        <v>661</v>
      </c>
      <c r="B93" s="1" t="s">
        <v>27</v>
      </c>
      <c r="C93" s="1" t="s">
        <v>662</v>
      </c>
      <c r="D93" s="1" t="s">
        <v>663</v>
      </c>
      <c r="F93" s="1" t="s">
        <v>664</v>
      </c>
      <c r="G93" s="1" t="s">
        <v>644</v>
      </c>
      <c r="H93" s="1">
        <v>2021.0</v>
      </c>
      <c r="I93" s="1" t="s">
        <v>97</v>
      </c>
      <c r="J93" s="1" t="s">
        <v>665</v>
      </c>
      <c r="K93" s="1" t="s">
        <v>156</v>
      </c>
      <c r="L93" s="1" t="s">
        <v>666</v>
      </c>
      <c r="M93" s="2" t="s">
        <v>12</v>
      </c>
      <c r="N93" s="4">
        <f t="shared" si="1"/>
        <v>44448</v>
      </c>
      <c r="O93" s="5" t="str">
        <f>IFERROR(__xludf.DUMMYFUNCTION("IF(REGEXMATCH(TRIM(I93), ""^\d+\s*min""), ""Unclassified"", IF(I93 = """", ""NR"", I93))"),"TV-14")</f>
        <v>TV-14</v>
      </c>
      <c r="R93" s="5" t="str">
        <f t="shared" si="2"/>
        <v>The Women And The Murderer</v>
      </c>
      <c r="S93" s="5" t="str">
        <f>IFERROR(__xludf.DUMMYFUNCTION("""COMPUTED_VALUE"""),"300 Miles To Heaven")</f>
        <v>300 Miles To Heaven</v>
      </c>
      <c r="T93" s="5" t="str">
        <f>IFERROR(__xludf.DUMMYFUNCTION("""COMPUTED_VALUE"""),"Canada, United States, Mexico")</f>
        <v>Canada, United States, Mexico</v>
      </c>
      <c r="U93" s="5" t="str">
        <f>IFERROR(__xludf.DUMMYFUNCTION("""COMPUTED_VALUE"""),"Andrew Lau Wai-Keung, Alan Mak")</f>
        <v>Andrew Lau Wai-Keung, Alan Mak</v>
      </c>
      <c r="V93" s="5" t="s">
        <v>667</v>
      </c>
      <c r="W93" s="5" t="str">
        <f t="shared" si="3"/>
        <v>Ahmed Zein</v>
      </c>
      <c r="X93" s="5">
        <f t="shared" si="4"/>
        <v>2</v>
      </c>
      <c r="Y93" s="5" t="str">
        <f>IFERROR(__xludf.DUMMYFUNCTION("REGEXEXTRACT(J93, ""^\d+"")"),"92")</f>
        <v>92</v>
      </c>
      <c r="Z93" s="5" t="str">
        <f>IFERROR(__xludf.DUMMYFUNCTION("REGEXEXTRACT(J93, ""[A-Za-z ]+$"")")," min")</f>
        <v> min</v>
      </c>
      <c r="AA93" s="5" t="str">
        <f>IFERROR(__xludf.DUMMYFUNCTION("IF(REGEXMATCH(Z93, ""Season""), ""TV Show"", ""Movie"")"),"Movie")</f>
        <v>Movie</v>
      </c>
    </row>
    <row r="94">
      <c r="A94" s="1" t="s">
        <v>668</v>
      </c>
      <c r="B94" s="1" t="s">
        <v>37</v>
      </c>
      <c r="C94" s="1" t="s">
        <v>669</v>
      </c>
      <c r="E94" s="1" t="s">
        <v>670</v>
      </c>
      <c r="F94" s="1" t="s">
        <v>671</v>
      </c>
      <c r="G94" s="1" t="s">
        <v>672</v>
      </c>
      <c r="H94" s="1">
        <v>2021.0</v>
      </c>
      <c r="I94" s="1" t="s">
        <v>42</v>
      </c>
      <c r="J94" s="1" t="s">
        <v>43</v>
      </c>
      <c r="K94" s="1" t="s">
        <v>44</v>
      </c>
      <c r="L94" s="1" t="s">
        <v>673</v>
      </c>
      <c r="M94" s="2" t="s">
        <v>12</v>
      </c>
      <c r="N94" s="4">
        <f t="shared" si="1"/>
        <v>44447</v>
      </c>
      <c r="O94" s="5" t="str">
        <f>IFERROR(__xludf.DUMMYFUNCTION("IF(REGEXMATCH(TRIM(I94), ""^\d+\s*min""), ""Unclassified"", IF(I94 = """", ""NR"", I94))"),"TV-MA")</f>
        <v>TV-MA</v>
      </c>
      <c r="R94" s="5" t="str">
        <f t="shared" si="2"/>
        <v>Into The Night</v>
      </c>
      <c r="S94" s="5" t="str">
        <f>IFERROR(__xludf.DUMMYFUNCTION("""COMPUTED_VALUE"""),"3022")</f>
        <v>3022</v>
      </c>
      <c r="T94" s="5" t="str">
        <f>IFERROR(__xludf.DUMMYFUNCTION("""COMPUTED_VALUE"""),"Canada, United States, United Kingdom")</f>
        <v>Canada, United States, United Kingdom</v>
      </c>
      <c r="U94" s="5" t="str">
        <f>IFERROR(__xludf.DUMMYFUNCTION("""COMPUTED_VALUE"""),"Brett Weiner")</f>
        <v>Brett Weiner</v>
      </c>
      <c r="V94" s="5" t="s">
        <v>674</v>
      </c>
      <c r="W94" s="5" t="str">
        <f t="shared" si="3"/>
        <v>Ahmet Katıksız</v>
      </c>
      <c r="X94" s="5">
        <f t="shared" si="4"/>
        <v>1</v>
      </c>
      <c r="Y94" s="5" t="str">
        <f>IFERROR(__xludf.DUMMYFUNCTION("REGEXEXTRACT(J94, ""^\d+"")"),"2")</f>
        <v>2</v>
      </c>
      <c r="Z94" s="5" t="str">
        <f>IFERROR(__xludf.DUMMYFUNCTION("REGEXEXTRACT(J94, ""[A-Za-z ]+$"")")," Seasons")</f>
        <v> Seasons</v>
      </c>
      <c r="AA94" s="5" t="str">
        <f>IFERROR(__xludf.DUMMYFUNCTION("IF(REGEXMATCH(Z94, ""Season""), ""TV Show"", ""Movie"")"),"TV Show")</f>
        <v>TV Show</v>
      </c>
    </row>
    <row r="95">
      <c r="A95" s="1" t="s">
        <v>675</v>
      </c>
      <c r="B95" s="1" t="s">
        <v>27</v>
      </c>
      <c r="C95" s="1" t="s">
        <v>676</v>
      </c>
      <c r="D95" s="1" t="s">
        <v>677</v>
      </c>
      <c r="E95" s="1" t="s">
        <v>678</v>
      </c>
      <c r="G95" s="1" t="s">
        <v>672</v>
      </c>
      <c r="H95" s="1">
        <v>2021.0</v>
      </c>
      <c r="I95" s="1" t="s">
        <v>42</v>
      </c>
      <c r="J95" s="1" t="s">
        <v>79</v>
      </c>
      <c r="K95" s="1" t="s">
        <v>679</v>
      </c>
      <c r="L95" s="1" t="s">
        <v>680</v>
      </c>
      <c r="M95" s="2" t="s">
        <v>12</v>
      </c>
      <c r="N95" s="4">
        <f t="shared" si="1"/>
        <v>44447</v>
      </c>
      <c r="O95" s="5" t="str">
        <f>IFERROR(__xludf.DUMMYFUNCTION("IF(REGEXMATCH(TRIM(I95), ""^\d+\s*min""), ""Unclassified"", IF(I95 = """", ""NR"", I95))"),"TV-MA")</f>
        <v>TV-MA</v>
      </c>
      <c r="R95" s="5" t="str">
        <f t="shared" si="2"/>
        <v>Jj+E</v>
      </c>
      <c r="S95" s="5" t="str">
        <f>IFERROR(__xludf.DUMMYFUNCTION("""COMPUTED_VALUE"""),"365 Days")</f>
        <v>365 Days</v>
      </c>
      <c r="T95" s="5" t="str">
        <f>IFERROR(__xludf.DUMMYFUNCTION("""COMPUTED_VALUE"""),"Canada, United States, United Kingdom, France, Luxembourg")</f>
        <v>Canada, United States, United Kingdom, France, Luxembourg</v>
      </c>
      <c r="U95" s="5" t="str">
        <f>IFERROR(__xludf.DUMMYFUNCTION("""COMPUTED_VALUE"""),"Jim Henson")</f>
        <v>Jim Henson</v>
      </c>
      <c r="V95" s="5" t="s">
        <v>681</v>
      </c>
      <c r="W95" s="5" t="str">
        <f t="shared" si="3"/>
        <v>Ahn Byoung-Wook</v>
      </c>
      <c r="X95" s="5">
        <f t="shared" si="4"/>
        <v>1</v>
      </c>
      <c r="Y95" s="5" t="str">
        <f>IFERROR(__xludf.DUMMYFUNCTION("REGEXEXTRACT(J95, ""^\d+"")"),"91")</f>
        <v>91</v>
      </c>
      <c r="Z95" s="5" t="str">
        <f>IFERROR(__xludf.DUMMYFUNCTION("REGEXEXTRACT(J95, ""[A-Za-z ]+$"")")," min")</f>
        <v> min</v>
      </c>
      <c r="AA95" s="5" t="str">
        <f>IFERROR(__xludf.DUMMYFUNCTION("IF(REGEXMATCH(Z95, ""Season""), ""TV Show"", ""Movie"")"),"Movie")</f>
        <v>Movie</v>
      </c>
    </row>
    <row r="96">
      <c r="A96" s="1" t="s">
        <v>682</v>
      </c>
      <c r="B96" s="1" t="s">
        <v>27</v>
      </c>
      <c r="C96" s="1" t="s">
        <v>683</v>
      </c>
      <c r="D96" s="1" t="s">
        <v>684</v>
      </c>
      <c r="E96" s="1" t="s">
        <v>685</v>
      </c>
      <c r="F96" s="1" t="s">
        <v>686</v>
      </c>
      <c r="G96" s="1" t="s">
        <v>672</v>
      </c>
      <c r="H96" s="1">
        <v>2018.0</v>
      </c>
      <c r="I96" s="1" t="s">
        <v>78</v>
      </c>
      <c r="J96" s="1" t="s">
        <v>33</v>
      </c>
      <c r="K96" s="1" t="s">
        <v>137</v>
      </c>
      <c r="L96" s="1" t="s">
        <v>687</v>
      </c>
      <c r="M96" s="2" t="s">
        <v>12</v>
      </c>
      <c r="N96" s="4">
        <f t="shared" si="1"/>
        <v>44447</v>
      </c>
      <c r="O96" s="5" t="str">
        <f>IFERROR(__xludf.DUMMYFUNCTION("IF(REGEXMATCH(TRIM(I96), ""^\d+\s*min""), ""Unclassified"", IF(I96 = """", ""NR"", I96))"),"PG")</f>
        <v>PG</v>
      </c>
      <c r="R96" s="5" t="str">
        <f t="shared" si="2"/>
        <v>Show Dogs</v>
      </c>
      <c r="S96" s="5" t="str">
        <f>IFERROR(__xludf.DUMMYFUNCTION("""COMPUTED_VALUE"""),"37 Seconds")</f>
        <v>37 Seconds</v>
      </c>
      <c r="T96" s="5" t="str">
        <f>IFERROR(__xludf.DUMMYFUNCTION("""COMPUTED_VALUE"""),"Chile")</f>
        <v>Chile</v>
      </c>
      <c r="U96" s="5" t="str">
        <f>IFERROR(__xludf.DUMMYFUNCTION("""COMPUTED_VALUE"""),"Gary Winick")</f>
        <v>Gary Winick</v>
      </c>
      <c r="V96" s="5" t="s">
        <v>688</v>
      </c>
      <c r="W96" s="5" t="str">
        <f t="shared" si="3"/>
        <v>Ahsan Rahim</v>
      </c>
      <c r="X96" s="5">
        <f t="shared" si="4"/>
        <v>1</v>
      </c>
      <c r="Y96" s="5" t="str">
        <f>IFERROR(__xludf.DUMMYFUNCTION("REGEXEXTRACT(J96, ""^\d+"")"),"90")</f>
        <v>90</v>
      </c>
      <c r="Z96" s="5" t="str">
        <f>IFERROR(__xludf.DUMMYFUNCTION("REGEXEXTRACT(J96, ""[A-Za-z ]+$"")")," min")</f>
        <v> min</v>
      </c>
      <c r="AA96" s="5" t="str">
        <f>IFERROR(__xludf.DUMMYFUNCTION("IF(REGEXMATCH(Z96, ""Season""), ""TV Show"", ""Movie"")"),"Movie")</f>
        <v>Movie</v>
      </c>
    </row>
    <row r="97">
      <c r="A97" s="1" t="s">
        <v>689</v>
      </c>
      <c r="B97" s="1" t="s">
        <v>37</v>
      </c>
      <c r="C97" s="1" t="s">
        <v>690</v>
      </c>
      <c r="E97" s="1" t="s">
        <v>691</v>
      </c>
      <c r="F97" s="1" t="s">
        <v>692</v>
      </c>
      <c r="G97" s="1" t="s">
        <v>672</v>
      </c>
      <c r="H97" s="1">
        <v>2021.0</v>
      </c>
      <c r="I97" s="1" t="s">
        <v>42</v>
      </c>
      <c r="J97" s="1" t="s">
        <v>276</v>
      </c>
      <c r="K97" s="1" t="s">
        <v>440</v>
      </c>
      <c r="L97" s="1" t="s">
        <v>693</v>
      </c>
      <c r="M97" s="2" t="s">
        <v>12</v>
      </c>
      <c r="N97" s="4">
        <f t="shared" si="1"/>
        <v>44447</v>
      </c>
      <c r="O97" s="5" t="str">
        <f>IFERROR(__xludf.DUMMYFUNCTION("IF(REGEXMATCH(TRIM(I97), ""^\d+\s*min""), ""Unclassified"", IF(I97 = """", ""NR"", I97))"),"TV-MA")</f>
        <v>TV-MA</v>
      </c>
      <c r="R97" s="5" t="str">
        <f t="shared" si="2"/>
        <v>The Circle</v>
      </c>
      <c r="S97" s="5" t="str">
        <f>IFERROR(__xludf.DUMMYFUNCTION("""COMPUTED_VALUE"""),"3Below: Tales Of Arcadia")</f>
        <v>3Below: Tales Of Arcadia</v>
      </c>
      <c r="T97" s="5" t="str">
        <f>IFERROR(__xludf.DUMMYFUNCTION("""COMPUTED_VALUE"""),"Chile, Argentina")</f>
        <v>Chile, Argentina</v>
      </c>
      <c r="U97" s="5" t="str">
        <f>IFERROR(__xludf.DUMMYFUNCTION("""COMPUTED_VALUE"""),"Danishka Esterhazy")</f>
        <v>Danishka Esterhazy</v>
      </c>
      <c r="V97" s="5" t="s">
        <v>694</v>
      </c>
      <c r="W97" s="5" t="str">
        <f t="shared" si="3"/>
        <v>Aijaz Khan</v>
      </c>
      <c r="X97" s="5">
        <f t="shared" si="4"/>
        <v>1</v>
      </c>
      <c r="Y97" s="5" t="str">
        <f>IFERROR(__xludf.DUMMYFUNCTION("REGEXEXTRACT(J97, ""^\d+"")"),"3")</f>
        <v>3</v>
      </c>
      <c r="Z97" s="5" t="str">
        <f>IFERROR(__xludf.DUMMYFUNCTION("REGEXEXTRACT(J97, ""[A-Za-z ]+$"")")," Seasons")</f>
        <v> Seasons</v>
      </c>
      <c r="AA97" s="5" t="str">
        <f>IFERROR(__xludf.DUMMYFUNCTION("IF(REGEXMATCH(Z97, ""Season""), ""TV Show"", ""Movie"")"),"TV Show")</f>
        <v>TV Show</v>
      </c>
    </row>
    <row r="98">
      <c r="A98" s="1" t="s">
        <v>695</v>
      </c>
      <c r="B98" s="1" t="s">
        <v>27</v>
      </c>
      <c r="C98" s="1" t="s">
        <v>696</v>
      </c>
      <c r="D98" s="1" t="s">
        <v>697</v>
      </c>
      <c r="E98" s="1" t="s">
        <v>698</v>
      </c>
      <c r="F98" s="1" t="s">
        <v>30</v>
      </c>
      <c r="G98" s="1" t="s">
        <v>699</v>
      </c>
      <c r="H98" s="1">
        <v>2018.0</v>
      </c>
      <c r="I98" s="1" t="s">
        <v>42</v>
      </c>
      <c r="J98" s="1" t="s">
        <v>247</v>
      </c>
      <c r="K98" s="1" t="s">
        <v>700</v>
      </c>
      <c r="L98" s="1" t="s">
        <v>701</v>
      </c>
      <c r="M98" s="2" t="s">
        <v>12</v>
      </c>
      <c r="N98" s="4">
        <f t="shared" si="1"/>
        <v>44446</v>
      </c>
      <c r="O98" s="5" t="str">
        <f>IFERROR(__xludf.DUMMYFUNCTION("IF(REGEXMATCH(TRIM(I98), ""^\d+\s*min""), ""Unclassified"", IF(I98 = """", ""NR"", I98))"),"TV-MA")</f>
        <v>TV-MA</v>
      </c>
      <c r="R98" s="5" t="str">
        <f t="shared" si="2"/>
        <v>If I Leave Here Tomorrow: A Film About Lynyrd Skynyrd</v>
      </c>
      <c r="S98" s="5" t="str">
        <f>IFERROR(__xludf.DUMMYFUNCTION("""COMPUTED_VALUE"""),"40 Sticks")</f>
        <v>40 Sticks</v>
      </c>
      <c r="T98" s="5" t="str">
        <f>IFERROR(__xludf.DUMMYFUNCTION("""COMPUTED_VALUE"""),"Chile, Argentina, France, Spain, United States")</f>
        <v>Chile, Argentina, France, Spain, United States</v>
      </c>
      <c r="U98" s="5" t="str">
        <f>IFERROR(__xludf.DUMMYFUNCTION("""COMPUTED_VALUE"""),"Troy Byer")</f>
        <v>Troy Byer</v>
      </c>
      <c r="V98" s="5" t="s">
        <v>702</v>
      </c>
      <c r="W98" s="5" t="str">
        <f t="shared" si="3"/>
        <v>Ainsley Gardiner, Briar Grace-Smith</v>
      </c>
      <c r="X98" s="5">
        <f t="shared" si="4"/>
        <v>1</v>
      </c>
      <c r="Y98" s="5" t="str">
        <f>IFERROR(__xludf.DUMMYFUNCTION("REGEXEXTRACT(J98, ""^\d+"")"),"97")</f>
        <v>97</v>
      </c>
      <c r="Z98" s="5" t="str">
        <f>IFERROR(__xludf.DUMMYFUNCTION("REGEXEXTRACT(J98, ""[A-Za-z ]+$"")")," min")</f>
        <v> min</v>
      </c>
      <c r="AA98" s="5" t="str">
        <f>IFERROR(__xludf.DUMMYFUNCTION("IF(REGEXMATCH(Z98, ""Season""), ""TV Show"", ""Movie"")"),"Movie")</f>
        <v>Movie</v>
      </c>
    </row>
    <row r="99">
      <c r="A99" s="1" t="s">
        <v>703</v>
      </c>
      <c r="B99" s="1" t="s">
        <v>37</v>
      </c>
      <c r="C99" s="1" t="s">
        <v>704</v>
      </c>
      <c r="E99" s="1" t="s">
        <v>705</v>
      </c>
      <c r="F99" s="1" t="s">
        <v>30</v>
      </c>
      <c r="G99" s="1" t="s">
        <v>699</v>
      </c>
      <c r="H99" s="1">
        <v>2021.0</v>
      </c>
      <c r="I99" s="1" t="s">
        <v>289</v>
      </c>
      <c r="J99" s="1" t="s">
        <v>43</v>
      </c>
      <c r="K99" s="1" t="s">
        <v>706</v>
      </c>
      <c r="L99" s="1" t="s">
        <v>707</v>
      </c>
      <c r="M99" s="2" t="s">
        <v>12</v>
      </c>
      <c r="N99" s="4">
        <f t="shared" si="1"/>
        <v>44446</v>
      </c>
      <c r="O99" s="5" t="str">
        <f>IFERROR(__xludf.DUMMYFUNCTION("IF(REGEXMATCH(TRIM(I99), ""^\d+\s*min""), ""Unclassified"", IF(I99 = """", ""NR"", I99))"),"TV-Y7")</f>
        <v>TV-Y7</v>
      </c>
      <c r="R99" s="5" t="str">
        <f t="shared" si="2"/>
        <v>Kid Cosmic</v>
      </c>
      <c r="S99" s="5" t="str">
        <f>IFERROR(__xludf.DUMMYFUNCTION("""COMPUTED_VALUE"""),"42 Grams")</f>
        <v>42 Grams</v>
      </c>
      <c r="T99" s="5" t="str">
        <f>IFERROR(__xludf.DUMMYFUNCTION("""COMPUTED_VALUE"""),"Chile, Brazil")</f>
        <v>Chile, Brazil</v>
      </c>
      <c r="U99" s="5" t="str">
        <f>IFERROR(__xludf.DUMMYFUNCTION("""COMPUTED_VALUE"""),"Pang Ho-Cheung")</f>
        <v>Pang Ho-Cheung</v>
      </c>
      <c r="V99" s="5" t="s">
        <v>708</v>
      </c>
      <c r="W99" s="5" t="str">
        <f t="shared" si="3"/>
        <v>Aitor Arregi, Jon Garaño</v>
      </c>
      <c r="X99" s="5">
        <f t="shared" si="4"/>
        <v>1</v>
      </c>
      <c r="Y99" s="5" t="str">
        <f>IFERROR(__xludf.DUMMYFUNCTION("REGEXEXTRACT(J99, ""^\d+"")"),"2")</f>
        <v>2</v>
      </c>
      <c r="Z99" s="5" t="str">
        <f>IFERROR(__xludf.DUMMYFUNCTION("REGEXEXTRACT(J99, ""[A-Za-z ]+$"")")," Seasons")</f>
        <v> Seasons</v>
      </c>
      <c r="AA99" s="5" t="str">
        <f>IFERROR(__xludf.DUMMYFUNCTION("IF(REGEXMATCH(Z99, ""Season""), ""TV Show"", ""Movie"")"),"TV Show")</f>
        <v>TV Show</v>
      </c>
    </row>
    <row r="100">
      <c r="A100" s="1" t="s">
        <v>709</v>
      </c>
      <c r="B100" s="1" t="s">
        <v>37</v>
      </c>
      <c r="C100" s="1" t="s">
        <v>710</v>
      </c>
      <c r="E100" s="1" t="s">
        <v>711</v>
      </c>
      <c r="F100" s="1" t="s">
        <v>96</v>
      </c>
      <c r="G100" s="1" t="s">
        <v>699</v>
      </c>
      <c r="H100" s="1">
        <v>2021.0</v>
      </c>
      <c r="I100" s="1" t="s">
        <v>206</v>
      </c>
      <c r="J100" s="1" t="s">
        <v>51</v>
      </c>
      <c r="K100" s="1" t="s">
        <v>712</v>
      </c>
      <c r="L100" s="1" t="s">
        <v>713</v>
      </c>
      <c r="M100" s="2" t="s">
        <v>12</v>
      </c>
      <c r="N100" s="4">
        <f t="shared" si="1"/>
        <v>44446</v>
      </c>
      <c r="O100" s="5" t="str">
        <f>IFERROR(__xludf.DUMMYFUNCTION("IF(REGEXMATCH(TRIM(I100), ""^\d+\s*min""), ""Unclassified"", IF(I100 = """", ""NR"", I100))"),"TV-Y")</f>
        <v>TV-Y</v>
      </c>
      <c r="R100" s="5" t="str">
        <f t="shared" si="2"/>
        <v>Octonauts: Above &amp; Beyond</v>
      </c>
      <c r="S100" s="5" t="str">
        <f>IFERROR(__xludf.DUMMYFUNCTION("""COMPUTED_VALUE"""),"44 Cats")</f>
        <v>44 Cats</v>
      </c>
      <c r="T100" s="5" t="str">
        <f>IFERROR(__xludf.DUMMYFUNCTION("""COMPUTED_VALUE"""),"Chile, France")</f>
        <v>Chile, France</v>
      </c>
      <c r="U100" s="5" t="str">
        <f>IFERROR(__xludf.DUMMYFUNCTION("""COMPUTED_VALUE"""),"Tim Burton")</f>
        <v>Tim Burton</v>
      </c>
      <c r="V100" s="5" t="s">
        <v>714</v>
      </c>
      <c r="W100" s="5" t="str">
        <f t="shared" si="3"/>
        <v>Aitor Arregi, Jon Garaño, Jose Mari Goenaga</v>
      </c>
      <c r="X100" s="5">
        <f t="shared" si="4"/>
        <v>1</v>
      </c>
      <c r="Y100" s="5" t="str">
        <f>IFERROR(__xludf.DUMMYFUNCTION("REGEXEXTRACT(J100, ""^\d+"")"),"1")</f>
        <v>1</v>
      </c>
      <c r="Z100" s="5" t="str">
        <f>IFERROR(__xludf.DUMMYFUNCTION("REGEXEXTRACT(J100, ""[A-Za-z ]+$"")")," Season")</f>
        <v> Season</v>
      </c>
      <c r="AA100" s="5" t="str">
        <f>IFERROR(__xludf.DUMMYFUNCTION("IF(REGEXMATCH(Z100, ""Season""), ""TV Show"", ""Movie"")"),"TV Show")</f>
        <v>TV Show</v>
      </c>
    </row>
    <row r="101">
      <c r="A101" s="1" t="s">
        <v>715</v>
      </c>
      <c r="B101" s="1" t="s">
        <v>37</v>
      </c>
      <c r="C101" s="1" t="s">
        <v>716</v>
      </c>
      <c r="E101" s="1" t="s">
        <v>717</v>
      </c>
      <c r="F101" s="1" t="s">
        <v>718</v>
      </c>
      <c r="G101" s="1" t="s">
        <v>699</v>
      </c>
      <c r="H101" s="1">
        <v>2021.0</v>
      </c>
      <c r="I101" s="1" t="s">
        <v>42</v>
      </c>
      <c r="J101" s="1" t="s">
        <v>51</v>
      </c>
      <c r="K101" s="1" t="s">
        <v>149</v>
      </c>
      <c r="L101" s="1" t="s">
        <v>719</v>
      </c>
      <c r="M101" s="2" t="s">
        <v>12</v>
      </c>
      <c r="N101" s="4">
        <f t="shared" si="1"/>
        <v>44446</v>
      </c>
      <c r="O101" s="5" t="str">
        <f>IFERROR(__xludf.DUMMYFUNCTION("IF(REGEXMATCH(TRIM(I101), ""^\d+\s*min""), ""Unclassified"", IF(I101 = """", ""NR"", I101))"),"TV-MA")</f>
        <v>TV-MA</v>
      </c>
      <c r="R101" s="5" t="str">
        <f t="shared" si="2"/>
        <v>On The Verge</v>
      </c>
      <c r="S101" s="5" t="str">
        <f>IFERROR(__xludf.DUMMYFUNCTION("""COMPUTED_VALUE"""),"45 Rpm")</f>
        <v>45 Rpm</v>
      </c>
      <c r="T101" s="5" t="str">
        <f>IFERROR(__xludf.DUMMYFUNCTION("""COMPUTED_VALUE"""),"Chile, Italy")</f>
        <v>Chile, Italy</v>
      </c>
      <c r="U101" s="5" t="str">
        <f>IFERROR(__xludf.DUMMYFUNCTION("""COMPUTED_VALUE"""),"David Zucker")</f>
        <v>David Zucker</v>
      </c>
      <c r="V101" s="5" t="s">
        <v>720</v>
      </c>
      <c r="W101" s="5" t="str">
        <f t="shared" si="3"/>
        <v>Ajay Bahl</v>
      </c>
      <c r="X101" s="5">
        <f t="shared" si="4"/>
        <v>1</v>
      </c>
      <c r="Y101" s="5" t="str">
        <f>IFERROR(__xludf.DUMMYFUNCTION("REGEXEXTRACT(J101, ""^\d+"")"),"1")</f>
        <v>1</v>
      </c>
      <c r="Z101" s="5" t="str">
        <f>IFERROR(__xludf.DUMMYFUNCTION("REGEXEXTRACT(J101, ""[A-Za-z ]+$"")")," Season")</f>
        <v> Season</v>
      </c>
      <c r="AA101" s="5" t="str">
        <f>IFERROR(__xludf.DUMMYFUNCTION("IF(REGEXMATCH(Z101, ""Season""), ""TV Show"", ""Movie"")"),"TV Show")</f>
        <v>TV Show</v>
      </c>
    </row>
    <row r="102">
      <c r="A102" s="1" t="s">
        <v>721</v>
      </c>
      <c r="B102" s="1" t="s">
        <v>37</v>
      </c>
      <c r="C102" s="1" t="s">
        <v>722</v>
      </c>
      <c r="E102" s="1" t="s">
        <v>723</v>
      </c>
      <c r="G102" s="1" t="s">
        <v>699</v>
      </c>
      <c r="H102" s="1">
        <v>2019.0</v>
      </c>
      <c r="I102" s="1" t="s">
        <v>289</v>
      </c>
      <c r="J102" s="1" t="s">
        <v>43</v>
      </c>
      <c r="K102" s="1" t="s">
        <v>290</v>
      </c>
      <c r="L102" s="1" t="s">
        <v>724</v>
      </c>
      <c r="M102" s="2" t="s">
        <v>12</v>
      </c>
      <c r="N102" s="4">
        <f t="shared" si="1"/>
        <v>44446</v>
      </c>
      <c r="O102" s="5" t="str">
        <f>IFERROR(__xludf.DUMMYFUNCTION("IF(REGEXMATCH(TRIM(I102), ""^\d+\s*min""), ""Unclassified"", IF(I102 = """", ""NR"", I102))"),"TV-Y7")</f>
        <v>TV-Y7</v>
      </c>
      <c r="R102" s="5" t="str">
        <f t="shared" si="2"/>
        <v>Tobot Galaxy Detectives</v>
      </c>
      <c r="S102" s="5" t="str">
        <f>IFERROR(__xludf.DUMMYFUNCTION("""COMPUTED_VALUE"""),"46")</f>
        <v>46</v>
      </c>
      <c r="T102" s="5" t="str">
        <f>IFERROR(__xludf.DUMMYFUNCTION("""COMPUTED_VALUE"""),"Chile, Peru")</f>
        <v>Chile, Peru</v>
      </c>
      <c r="U102" s="5" t="str">
        <f>IFERROR(__xludf.DUMMYFUNCTION("""COMPUTED_VALUE"""),"Kinka Usher")</f>
        <v>Kinka Usher</v>
      </c>
      <c r="V102" s="5" t="s">
        <v>725</v>
      </c>
      <c r="W102" s="5" t="str">
        <f t="shared" si="3"/>
        <v>Ajay Bhuyan, Kunal Kohli</v>
      </c>
      <c r="X102" s="5">
        <f t="shared" si="4"/>
        <v>1</v>
      </c>
      <c r="Y102" s="5" t="str">
        <f>IFERROR(__xludf.DUMMYFUNCTION("REGEXEXTRACT(J102, ""^\d+"")"),"2")</f>
        <v>2</v>
      </c>
      <c r="Z102" s="5" t="str">
        <f>IFERROR(__xludf.DUMMYFUNCTION("REGEXEXTRACT(J102, ""[A-Za-z ]+$"")")," Seasons")</f>
        <v> Seasons</v>
      </c>
      <c r="AA102" s="5" t="str">
        <f>IFERROR(__xludf.DUMMYFUNCTION("IF(REGEXMATCH(Z102, ""Season""), ""TV Show"", ""Movie"")"),"TV Show")</f>
        <v>TV Show</v>
      </c>
    </row>
    <row r="103">
      <c r="A103" s="1" t="s">
        <v>726</v>
      </c>
      <c r="B103" s="1" t="s">
        <v>27</v>
      </c>
      <c r="C103" s="1" t="s">
        <v>727</v>
      </c>
      <c r="D103" s="1" t="s">
        <v>728</v>
      </c>
      <c r="F103" s="1" t="s">
        <v>30</v>
      </c>
      <c r="G103" s="1" t="s">
        <v>699</v>
      </c>
      <c r="H103" s="1">
        <v>2021.0</v>
      </c>
      <c r="I103" s="1" t="s">
        <v>42</v>
      </c>
      <c r="J103" s="1" t="s">
        <v>729</v>
      </c>
      <c r="K103" s="1" t="s">
        <v>645</v>
      </c>
      <c r="L103" s="1" t="s">
        <v>730</v>
      </c>
      <c r="M103" s="2" t="s">
        <v>12</v>
      </c>
      <c r="N103" s="4">
        <f t="shared" si="1"/>
        <v>44446</v>
      </c>
      <c r="O103" s="5" t="str">
        <f>IFERROR(__xludf.DUMMYFUNCTION("IF(REGEXMATCH(TRIM(I103), ""^\d+\s*min""), ""Unclassified"", IF(I103 = """", ""NR"", I103))"),"TV-MA")</f>
        <v>TV-MA</v>
      </c>
      <c r="R103" s="5" t="str">
        <f t="shared" si="2"/>
        <v>Untold: Breaking Point</v>
      </c>
      <c r="S103" s="5" t="str">
        <f>IFERROR(__xludf.DUMMYFUNCTION("""COMPUTED_VALUE"""),"48 Christmas Wishes")</f>
        <v>48 Christmas Wishes</v>
      </c>
      <c r="T103" s="5" t="str">
        <f>IFERROR(__xludf.DUMMYFUNCTION("""COMPUTED_VALUE"""),"Chile, Spain, Argentina, Germany")</f>
        <v>Chile, Spain, Argentina, Germany</v>
      </c>
      <c r="U103" s="5" t="str">
        <f>IFERROR(__xludf.DUMMYFUNCTION("""COMPUTED_VALUE"""),"Sergio Leone")</f>
        <v>Sergio Leone</v>
      </c>
      <c r="V103" s="5" t="s">
        <v>731</v>
      </c>
      <c r="W103" s="5" t="str">
        <f t="shared" si="3"/>
        <v>Ajay Phansekar</v>
      </c>
      <c r="X103" s="5">
        <f t="shared" si="4"/>
        <v>1</v>
      </c>
      <c r="Y103" s="5" t="str">
        <f>IFERROR(__xludf.DUMMYFUNCTION("REGEXEXTRACT(J103, ""^\d+"")"),"80")</f>
        <v>80</v>
      </c>
      <c r="Z103" s="5" t="str">
        <f>IFERROR(__xludf.DUMMYFUNCTION("REGEXEXTRACT(J103, ""[A-Za-z ]+$"")")," min")</f>
        <v> min</v>
      </c>
      <c r="AA103" s="5" t="str">
        <f>IFERROR(__xludf.DUMMYFUNCTION("IF(REGEXMATCH(Z103, ""Season""), ""TV Show"", ""Movie"")"),"Movie")</f>
        <v>Movie</v>
      </c>
    </row>
    <row r="104">
      <c r="A104" s="1" t="s">
        <v>732</v>
      </c>
      <c r="B104" s="1" t="s">
        <v>37</v>
      </c>
      <c r="C104" s="1" t="s">
        <v>733</v>
      </c>
      <c r="D104" s="1" t="s">
        <v>734</v>
      </c>
      <c r="G104" s="1" t="s">
        <v>735</v>
      </c>
      <c r="H104" s="1">
        <v>2021.0</v>
      </c>
      <c r="I104" s="1" t="s">
        <v>97</v>
      </c>
      <c r="J104" s="1" t="s">
        <v>51</v>
      </c>
      <c r="K104" s="1" t="s">
        <v>736</v>
      </c>
      <c r="L104" s="1" t="s">
        <v>737</v>
      </c>
      <c r="M104" s="2" t="s">
        <v>12</v>
      </c>
      <c r="N104" s="4">
        <f t="shared" si="1"/>
        <v>44445</v>
      </c>
      <c r="O104" s="5" t="str">
        <f>IFERROR(__xludf.DUMMYFUNCTION("IF(REGEXMATCH(TRIM(I104), ""^\d+\s*min""), ""Unclassified"", IF(I104 = """", ""NR"", I104))"),"TV-14")</f>
        <v>TV-14</v>
      </c>
      <c r="R104" s="5" t="str">
        <f t="shared" si="2"/>
        <v>Countdown: Inspiration4 Mission To Space</v>
      </c>
      <c r="S104" s="5" t="str">
        <f>IFERROR(__xludf.DUMMYFUNCTION("""COMPUTED_VALUE"""),"4L")</f>
        <v>4L</v>
      </c>
      <c r="T104" s="5" t="str">
        <f>IFERROR(__xludf.DUMMYFUNCTION("""COMPUTED_VALUE"""),"Chile, United States, France")</f>
        <v>Chile, United States, France</v>
      </c>
      <c r="U104" s="5" t="str">
        <f>IFERROR(__xludf.DUMMYFUNCTION("""COMPUTED_VALUE"""),"Matthew O'Callaghan, Todd Wilderman")</f>
        <v>Matthew O'Callaghan, Todd Wilderman</v>
      </c>
      <c r="V104" s="5" t="s">
        <v>738</v>
      </c>
      <c r="W104" s="5" t="str">
        <f t="shared" si="3"/>
        <v>Ajithkumar</v>
      </c>
      <c r="X104" s="5">
        <f t="shared" si="4"/>
        <v>1</v>
      </c>
      <c r="Y104" s="5" t="str">
        <f>IFERROR(__xludf.DUMMYFUNCTION("REGEXEXTRACT(J104, ""^\d+"")"),"1")</f>
        <v>1</v>
      </c>
      <c r="Z104" s="5" t="str">
        <f>IFERROR(__xludf.DUMMYFUNCTION("REGEXEXTRACT(J104, ""[A-Za-z ]+$"")")," Season")</f>
        <v> Season</v>
      </c>
      <c r="AA104" s="5" t="str">
        <f>IFERROR(__xludf.DUMMYFUNCTION("IF(REGEXMATCH(Z104, ""Season""), ""TV Show"", ""Movie"")"),"TV Show")</f>
        <v>TV Show</v>
      </c>
    </row>
    <row r="105">
      <c r="A105" s="1" t="s">
        <v>739</v>
      </c>
      <c r="B105" s="1" t="s">
        <v>27</v>
      </c>
      <c r="C105" s="1" t="s">
        <v>740</v>
      </c>
      <c r="D105" s="1" t="s">
        <v>741</v>
      </c>
      <c r="E105" s="1" t="s">
        <v>742</v>
      </c>
      <c r="G105" s="1" t="s">
        <v>735</v>
      </c>
      <c r="H105" s="1">
        <v>2020.0</v>
      </c>
      <c r="I105" s="1" t="s">
        <v>42</v>
      </c>
      <c r="J105" s="1" t="s">
        <v>743</v>
      </c>
      <c r="K105" s="1" t="s">
        <v>298</v>
      </c>
      <c r="L105" s="1" t="s">
        <v>744</v>
      </c>
      <c r="M105" s="2" t="s">
        <v>12</v>
      </c>
      <c r="N105" s="4">
        <f t="shared" si="1"/>
        <v>44445</v>
      </c>
      <c r="O105" s="5" t="str">
        <f>IFERROR(__xludf.DUMMYFUNCTION("IF(REGEXMATCH(TRIM(I105), ""^\d+\s*min""), ""Unclassified"", IF(I105 = """", ""NR"", I105))"),"TV-MA")</f>
        <v>TV-MA</v>
      </c>
      <c r="R105" s="5" t="str">
        <f t="shared" si="2"/>
        <v>Shadow Parties</v>
      </c>
      <c r="S105" s="5" t="str">
        <f>IFERROR(__xludf.DUMMYFUNCTION("""COMPUTED_VALUE"""),"4Th Man Out")</f>
        <v>4Th Man Out</v>
      </c>
      <c r="T105" s="5" t="str">
        <f>IFERROR(__xludf.DUMMYFUNCTION("""COMPUTED_VALUE"""),"China")</f>
        <v>China</v>
      </c>
      <c r="U105" s="5" t="str">
        <f>IFERROR(__xludf.DUMMYFUNCTION("""COMPUTED_VALUE"""),"Bobby Farrelly, Peter Farrelly")</f>
        <v>Bobby Farrelly, Peter Farrelly</v>
      </c>
      <c r="V105" s="5" t="s">
        <v>745</v>
      </c>
      <c r="W105" s="5" t="str">
        <f t="shared" si="3"/>
        <v>Akashdeep</v>
      </c>
      <c r="X105" s="5">
        <f t="shared" si="4"/>
        <v>1</v>
      </c>
      <c r="Y105" s="5" t="str">
        <f>IFERROR(__xludf.DUMMYFUNCTION("REGEXEXTRACT(J105, ""^\d+"")"),"117")</f>
        <v>117</v>
      </c>
      <c r="Z105" s="5" t="str">
        <f>IFERROR(__xludf.DUMMYFUNCTION("REGEXEXTRACT(J105, ""[A-Za-z ]+$"")")," min")</f>
        <v> min</v>
      </c>
      <c r="AA105" s="5" t="str">
        <f>IFERROR(__xludf.DUMMYFUNCTION("IF(REGEXMATCH(Z105, ""Season""), ""TV Show"", ""Movie"")"),"Movie")</f>
        <v>Movie</v>
      </c>
    </row>
    <row r="106">
      <c r="A106" s="1" t="s">
        <v>746</v>
      </c>
      <c r="B106" s="1" t="s">
        <v>37</v>
      </c>
      <c r="C106" s="1" t="s">
        <v>747</v>
      </c>
      <c r="E106" s="1" t="s">
        <v>748</v>
      </c>
      <c r="F106" s="1" t="s">
        <v>749</v>
      </c>
      <c r="G106" s="1" t="s">
        <v>735</v>
      </c>
      <c r="H106" s="1">
        <v>2016.0</v>
      </c>
      <c r="I106" s="1" t="s">
        <v>206</v>
      </c>
      <c r="J106" s="1" t="s">
        <v>43</v>
      </c>
      <c r="K106" s="1" t="s">
        <v>637</v>
      </c>
      <c r="L106" s="1" t="s">
        <v>750</v>
      </c>
      <c r="M106" s="2" t="s">
        <v>12</v>
      </c>
      <c r="N106" s="4">
        <f t="shared" si="1"/>
        <v>44445</v>
      </c>
      <c r="O106" s="5" t="str">
        <f>IFERROR(__xludf.DUMMYFUNCTION("IF(REGEXMATCH(TRIM(I106), ""^\d+\s*min""), ""Unclassified"", IF(I106 = """", ""NR"", I106))"),"TV-Y")</f>
        <v>TV-Y</v>
      </c>
      <c r="R106" s="5" t="str">
        <f t="shared" si="2"/>
        <v>Tayo The Little Bus</v>
      </c>
      <c r="S106" s="5" t="str">
        <f>IFERROR(__xludf.DUMMYFUNCTION("""COMPUTED_VALUE"""),"4Th Republic")</f>
        <v>4Th Republic</v>
      </c>
      <c r="T106" s="5" t="str">
        <f>IFERROR(__xludf.DUMMYFUNCTION("""COMPUTED_VALUE"""),"China, Canada, United States")</f>
        <v>China, Canada, United States</v>
      </c>
      <c r="U106" s="5" t="str">
        <f>IFERROR(__xludf.DUMMYFUNCTION("""COMPUTED_VALUE"""),"Wolfgang Petersen")</f>
        <v>Wolfgang Petersen</v>
      </c>
      <c r="V106" s="5" t="s">
        <v>751</v>
      </c>
      <c r="W106" s="5" t="str">
        <f t="shared" si="3"/>
        <v>Akay Mason, Abosi Ogba</v>
      </c>
      <c r="X106" s="5">
        <f t="shared" si="4"/>
        <v>1</v>
      </c>
      <c r="Y106" s="5" t="str">
        <f>IFERROR(__xludf.DUMMYFUNCTION("REGEXEXTRACT(J106, ""^\d+"")"),"2")</f>
        <v>2</v>
      </c>
      <c r="Z106" s="5" t="str">
        <f>IFERROR(__xludf.DUMMYFUNCTION("REGEXEXTRACT(J106, ""[A-Za-z ]+$"")")," Seasons")</f>
        <v> Seasons</v>
      </c>
      <c r="AA106" s="5" t="str">
        <f>IFERROR(__xludf.DUMMYFUNCTION("IF(REGEXMATCH(Z106, ""Season""), ""TV Show"", ""Movie"")"),"TV Show")</f>
        <v>TV Show</v>
      </c>
    </row>
    <row r="107">
      <c r="A107" s="1" t="s">
        <v>752</v>
      </c>
      <c r="B107" s="1" t="s">
        <v>27</v>
      </c>
      <c r="C107" s="1" t="s">
        <v>753</v>
      </c>
      <c r="D107" s="1" t="s">
        <v>754</v>
      </c>
      <c r="E107" s="1" t="s">
        <v>755</v>
      </c>
      <c r="F107" s="1" t="s">
        <v>63</v>
      </c>
      <c r="G107" s="1" t="s">
        <v>756</v>
      </c>
      <c r="H107" s="1">
        <v>2017.0</v>
      </c>
      <c r="I107" s="1" t="s">
        <v>97</v>
      </c>
      <c r="J107" s="1" t="s">
        <v>757</v>
      </c>
      <c r="K107" s="1" t="s">
        <v>617</v>
      </c>
      <c r="L107" s="1" t="s">
        <v>758</v>
      </c>
      <c r="M107" s="2" t="s">
        <v>12</v>
      </c>
      <c r="N107" s="4">
        <f t="shared" si="1"/>
        <v>44444</v>
      </c>
      <c r="O107" s="5" t="str">
        <f>IFERROR(__xludf.DUMMYFUNCTION("IF(REGEXMATCH(TRIM(I107), ""^\d+\s*min""), ""Unclassified"", IF(I107 = """", ""NR"", I107))"),"TV-14")</f>
        <v>TV-14</v>
      </c>
      <c r="R107" s="5" t="str">
        <f t="shared" si="2"/>
        <v>Angamaly Diaries</v>
      </c>
      <c r="S107" s="5" t="str">
        <f>IFERROR(__xludf.DUMMYFUNCTION("""COMPUTED_VALUE"""),"5 Cowok Jagoan")</f>
        <v>5 Cowok Jagoan</v>
      </c>
      <c r="T107" s="5" t="str">
        <f>IFERROR(__xludf.DUMMYFUNCTION("""COMPUTED_VALUE"""),"China, Germany, India, United States")</f>
        <v>China, Germany, India, United States</v>
      </c>
      <c r="U107" s="5" t="str">
        <f>IFERROR(__xludf.DUMMYFUNCTION("""COMPUTED_VALUE"""),"Peter Spirer")</f>
        <v>Peter Spirer</v>
      </c>
      <c r="V107" s="5" t="s">
        <v>759</v>
      </c>
      <c r="W107" s="5" t="str">
        <f t="shared" si="3"/>
        <v>Akhigbe Ilozobhie</v>
      </c>
      <c r="X107" s="5">
        <f t="shared" si="4"/>
        <v>1</v>
      </c>
      <c r="Y107" s="5" t="str">
        <f>IFERROR(__xludf.DUMMYFUNCTION("REGEXEXTRACT(J107, ""^\d+"")"),"128")</f>
        <v>128</v>
      </c>
      <c r="Z107" s="5" t="str">
        <f>IFERROR(__xludf.DUMMYFUNCTION("REGEXEXTRACT(J107, ""[A-Za-z ]+$"")")," min")</f>
        <v> min</v>
      </c>
      <c r="AA107" s="5" t="str">
        <f>IFERROR(__xludf.DUMMYFUNCTION("IF(REGEXMATCH(Z107, ""Season""), ""TV Show"", ""Movie"")"),"Movie")</f>
        <v>Movie</v>
      </c>
    </row>
    <row r="108">
      <c r="A108" s="1" t="s">
        <v>760</v>
      </c>
      <c r="B108" s="1" t="s">
        <v>37</v>
      </c>
      <c r="C108" s="1" t="s">
        <v>761</v>
      </c>
      <c r="E108" s="1" t="s">
        <v>762</v>
      </c>
      <c r="F108" s="1" t="s">
        <v>30</v>
      </c>
      <c r="G108" s="1" t="s">
        <v>756</v>
      </c>
      <c r="H108" s="1">
        <v>2021.0</v>
      </c>
      <c r="I108" s="1" t="s">
        <v>506</v>
      </c>
      <c r="J108" s="1" t="s">
        <v>189</v>
      </c>
      <c r="K108" s="1" t="s">
        <v>314</v>
      </c>
      <c r="L108" s="1" t="s">
        <v>763</v>
      </c>
      <c r="M108" s="2" t="s">
        <v>12</v>
      </c>
      <c r="N108" s="4">
        <f t="shared" si="1"/>
        <v>44444</v>
      </c>
      <c r="O108" s="5" t="str">
        <f>IFERROR(__xludf.DUMMYFUNCTION("IF(REGEXMATCH(TRIM(I108), ""^\d+\s*min""), ""Unclassified"", IF(I108 = """", ""NR"", I108))"),"TV-G")</f>
        <v>TV-G</v>
      </c>
      <c r="R108" s="5" t="str">
        <f t="shared" si="2"/>
        <v>Bunk'D</v>
      </c>
      <c r="S108" s="5" t="str">
        <f>IFERROR(__xludf.DUMMYFUNCTION("""COMPUTED_VALUE"""),"5 Flights Up")</f>
        <v>5 Flights Up</v>
      </c>
      <c r="T108" s="5" t="str">
        <f>IFERROR(__xludf.DUMMYFUNCTION("""COMPUTED_VALUE"""),"China, Hong Kong")</f>
        <v>China, Hong Kong</v>
      </c>
      <c r="U108" s="5" t="str">
        <f>IFERROR(__xludf.DUMMYFUNCTION("""COMPUTED_VALUE"""),"Michael Carney")</f>
        <v>Michael Carney</v>
      </c>
      <c r="V108" s="5" t="s">
        <v>764</v>
      </c>
      <c r="W108" s="5" t="str">
        <f t="shared" si="3"/>
        <v>Akhil Paul, Anas Khan</v>
      </c>
      <c r="X108" s="5">
        <f t="shared" si="4"/>
        <v>1</v>
      </c>
      <c r="Y108" s="5" t="str">
        <f>IFERROR(__xludf.DUMMYFUNCTION("REGEXEXTRACT(J108, ""^\d+"")"),"5")</f>
        <v>5</v>
      </c>
      <c r="Z108" s="5" t="str">
        <f>IFERROR(__xludf.DUMMYFUNCTION("REGEXEXTRACT(J108, ""[A-Za-z ]+$"")")," Seasons")</f>
        <v> Seasons</v>
      </c>
      <c r="AA108" s="5" t="str">
        <f>IFERROR(__xludf.DUMMYFUNCTION("IF(REGEXMATCH(Z108, ""Season""), ""TV Show"", ""Movie"")"),"TV Show")</f>
        <v>TV Show</v>
      </c>
    </row>
    <row r="109">
      <c r="A109" s="1" t="s">
        <v>765</v>
      </c>
      <c r="B109" s="1" t="s">
        <v>27</v>
      </c>
      <c r="C109" s="1" t="s">
        <v>766</v>
      </c>
      <c r="D109" s="1" t="s">
        <v>767</v>
      </c>
      <c r="E109" s="1" t="s">
        <v>768</v>
      </c>
      <c r="F109" s="1" t="s">
        <v>30</v>
      </c>
      <c r="G109" s="1" t="s">
        <v>769</v>
      </c>
      <c r="H109" s="1">
        <v>2018.0</v>
      </c>
      <c r="I109" s="1" t="s">
        <v>770</v>
      </c>
      <c r="J109" s="1" t="s">
        <v>33</v>
      </c>
      <c r="K109" s="1" t="s">
        <v>771</v>
      </c>
      <c r="L109" s="1" t="s">
        <v>772</v>
      </c>
      <c r="M109" s="2" t="s">
        <v>12</v>
      </c>
      <c r="N109" s="4">
        <f t="shared" si="1"/>
        <v>44443</v>
      </c>
      <c r="O109" s="5" t="str">
        <f>IFERROR(__xludf.DUMMYFUNCTION("IF(REGEXMATCH(TRIM(I109), ""^\d+\s*min""), ""Unclassified"", IF(I109 = """", ""NR"", I109))"),"G")</f>
        <v>G</v>
      </c>
      <c r="R109" s="5" t="str">
        <f t="shared" si="2"/>
        <v>A Champion Heart</v>
      </c>
      <c r="S109" s="5" t="str">
        <f>IFERROR(__xludf.DUMMYFUNCTION("""COMPUTED_VALUE"""),"5 Star Christmas")</f>
        <v>5 Star Christmas</v>
      </c>
      <c r="T109" s="5" t="str">
        <f>IFERROR(__xludf.DUMMYFUNCTION("""COMPUTED_VALUE"""),"China, Hong Kong, United States")</f>
        <v>China, Hong Kong, United States</v>
      </c>
      <c r="U109" s="5" t="str">
        <f>IFERROR(__xludf.DUMMYFUNCTION("""COMPUTED_VALUE"""),"Richard Linklater")</f>
        <v>Richard Linklater</v>
      </c>
      <c r="V109" s="5" t="s">
        <v>773</v>
      </c>
      <c r="W109" s="5" t="str">
        <f t="shared" si="3"/>
        <v>Akin Omotoso</v>
      </c>
      <c r="X109" s="5">
        <f t="shared" si="4"/>
        <v>1</v>
      </c>
      <c r="Y109" s="5" t="str">
        <f>IFERROR(__xludf.DUMMYFUNCTION("REGEXEXTRACT(J109, ""^\d+"")"),"90")</f>
        <v>90</v>
      </c>
      <c r="Z109" s="5" t="str">
        <f>IFERROR(__xludf.DUMMYFUNCTION("REGEXEXTRACT(J109, ""[A-Za-z ]+$"")")," min")</f>
        <v> min</v>
      </c>
      <c r="AA109" s="5" t="str">
        <f>IFERROR(__xludf.DUMMYFUNCTION("IF(REGEXMATCH(Z109, ""Season""), ""TV Show"", ""Movie"")"),"Movie")</f>
        <v>Movie</v>
      </c>
    </row>
    <row r="110">
      <c r="A110" s="1" t="s">
        <v>774</v>
      </c>
      <c r="B110" s="1" t="s">
        <v>37</v>
      </c>
      <c r="C110" s="1" t="s">
        <v>775</v>
      </c>
      <c r="E110" s="1" t="s">
        <v>776</v>
      </c>
      <c r="F110" s="1" t="s">
        <v>221</v>
      </c>
      <c r="G110" s="1" t="s">
        <v>777</v>
      </c>
      <c r="H110" s="1">
        <v>2021.0</v>
      </c>
      <c r="I110" s="1" t="s">
        <v>506</v>
      </c>
      <c r="J110" s="1" t="s">
        <v>51</v>
      </c>
      <c r="K110" s="1" t="s">
        <v>778</v>
      </c>
      <c r="L110" s="1" t="s">
        <v>779</v>
      </c>
      <c r="M110" s="2" t="s">
        <v>12</v>
      </c>
      <c r="N110" s="4">
        <f t="shared" si="1"/>
        <v>44442</v>
      </c>
      <c r="O110" s="5" t="str">
        <f>IFERROR(__xludf.DUMMYFUNCTION("IF(REGEXMATCH(TRIM(I110), ""^\d+\s*min""), ""Unclassified"", IF(I110 = """", ""NR"", I110))"),"TV-G")</f>
        <v>TV-G</v>
      </c>
      <c r="R110" s="5" t="str">
        <f t="shared" si="2"/>
        <v>Dive Club</v>
      </c>
      <c r="S110" s="5" t="str">
        <f>IFERROR(__xludf.DUMMYFUNCTION("""COMPUTED_VALUE"""),"5 To 7")</f>
        <v>5 To 7</v>
      </c>
      <c r="T110" s="5" t="str">
        <f>IFERROR(__xludf.DUMMYFUNCTION("""COMPUTED_VALUE"""),"China, India, Nepal")</f>
        <v>China, India, Nepal</v>
      </c>
      <c r="U110" s="5" t="str">
        <f>IFERROR(__xludf.DUMMYFUNCTION("""COMPUTED_VALUE"""),"Amy Rice")</f>
        <v>Amy Rice</v>
      </c>
      <c r="V110" s="5" t="s">
        <v>780</v>
      </c>
      <c r="W110" s="5" t="str">
        <f t="shared" si="3"/>
        <v>Akira Saitoh</v>
      </c>
      <c r="X110" s="5">
        <f t="shared" si="4"/>
        <v>1</v>
      </c>
      <c r="Y110" s="5" t="str">
        <f>IFERROR(__xludf.DUMMYFUNCTION("REGEXEXTRACT(J110, ""^\d+"")"),"1")</f>
        <v>1</v>
      </c>
      <c r="Z110" s="5" t="str">
        <f>IFERROR(__xludf.DUMMYFUNCTION("REGEXEXTRACT(J110, ""[A-Za-z ]+$"")")," Season")</f>
        <v> Season</v>
      </c>
      <c r="AA110" s="5" t="str">
        <f>IFERROR(__xludf.DUMMYFUNCTION("IF(REGEXMATCH(Z110, ""Season""), ""TV Show"", ""Movie"")"),"TV Show")</f>
        <v>TV Show</v>
      </c>
    </row>
    <row r="111">
      <c r="A111" s="1" t="s">
        <v>781</v>
      </c>
      <c r="B111" s="1" t="s">
        <v>37</v>
      </c>
      <c r="C111" s="1" t="s">
        <v>782</v>
      </c>
      <c r="E111" s="1" t="s">
        <v>783</v>
      </c>
      <c r="F111" s="1" t="s">
        <v>784</v>
      </c>
      <c r="G111" s="1" t="s">
        <v>777</v>
      </c>
      <c r="H111" s="1">
        <v>2021.0</v>
      </c>
      <c r="I111" s="1" t="s">
        <v>42</v>
      </c>
      <c r="J111" s="1" t="s">
        <v>189</v>
      </c>
      <c r="K111" s="1" t="s">
        <v>785</v>
      </c>
      <c r="L111" s="1" t="s">
        <v>786</v>
      </c>
      <c r="M111" s="2" t="s">
        <v>12</v>
      </c>
      <c r="N111" s="4">
        <f t="shared" si="1"/>
        <v>44442</v>
      </c>
      <c r="O111" s="5" t="str">
        <f>IFERROR(__xludf.DUMMYFUNCTION("IF(REGEXMATCH(TRIM(I111), ""^\d+\s*min""), ""Unclassified"", IF(I111 = """", ""NR"", I111))"),"TV-MA")</f>
        <v>TV-MA</v>
      </c>
      <c r="R111" s="5" t="str">
        <f t="shared" si="2"/>
        <v>La Casa De Papel</v>
      </c>
      <c r="S111" s="5" t="str">
        <f>IFERROR(__xludf.DUMMYFUNCTION("""COMPUTED_VALUE"""),"50 First Dates")</f>
        <v>50 First Dates</v>
      </c>
      <c r="T111" s="5" t="str">
        <f>IFERROR(__xludf.DUMMYFUNCTION("""COMPUTED_VALUE"""),"China, Japan")</f>
        <v>China, Japan</v>
      </c>
      <c r="U111" s="5" t="str">
        <f>IFERROR(__xludf.DUMMYFUNCTION("""COMPUTED_VALUE"""),"Randal Kleiser")</f>
        <v>Randal Kleiser</v>
      </c>
      <c r="V111" s="5" t="s">
        <v>787</v>
      </c>
      <c r="W111" s="5" t="str">
        <f t="shared" si="3"/>
        <v>Akiva Goldsman</v>
      </c>
      <c r="X111" s="5">
        <f t="shared" si="4"/>
        <v>1</v>
      </c>
      <c r="Y111" s="5" t="str">
        <f>IFERROR(__xludf.DUMMYFUNCTION("REGEXEXTRACT(J111, ""^\d+"")"),"5")</f>
        <v>5</v>
      </c>
      <c r="Z111" s="5" t="str">
        <f>IFERROR(__xludf.DUMMYFUNCTION("REGEXEXTRACT(J111, ""[A-Za-z ]+$"")")," Seasons")</f>
        <v> Seasons</v>
      </c>
      <c r="AA111" s="5" t="str">
        <f>IFERROR(__xludf.DUMMYFUNCTION("IF(REGEXMATCH(Z111, ""Season""), ""TV Show"", ""Movie"")"),"TV Show")</f>
        <v>TV Show</v>
      </c>
    </row>
    <row r="112">
      <c r="A112" s="1" t="s">
        <v>788</v>
      </c>
      <c r="B112" s="1" t="s">
        <v>37</v>
      </c>
      <c r="C112" s="1" t="s">
        <v>789</v>
      </c>
      <c r="D112" s="1" t="s">
        <v>790</v>
      </c>
      <c r="G112" s="1" t="s">
        <v>777</v>
      </c>
      <c r="H112" s="1">
        <v>2021.0</v>
      </c>
      <c r="I112" s="1" t="s">
        <v>42</v>
      </c>
      <c r="J112" s="1" t="s">
        <v>51</v>
      </c>
      <c r="K112" s="1" t="s">
        <v>791</v>
      </c>
      <c r="L112" s="1" t="s">
        <v>792</v>
      </c>
      <c r="M112" s="2" t="s">
        <v>12</v>
      </c>
      <c r="N112" s="4">
        <f t="shared" si="1"/>
        <v>44442</v>
      </c>
      <c r="O112" s="5" t="str">
        <f>IFERROR(__xludf.DUMMYFUNCTION("IF(REGEXMATCH(TRIM(I112), ""^\d+\s*min""), ""Unclassified"", IF(I112 = """", ""NR"", I112))"),"TV-MA")</f>
        <v>TV-MA</v>
      </c>
      <c r="R112" s="5" t="str">
        <f t="shared" si="2"/>
        <v>Money Heist: From Tokyo To Berlin</v>
      </c>
      <c r="S112" s="5" t="str">
        <f>IFERROR(__xludf.DUMMYFUNCTION("""COMPUTED_VALUE"""),"50/50")</f>
        <v>50/50</v>
      </c>
      <c r="T112" s="5" t="str">
        <f>IFERROR(__xludf.DUMMYFUNCTION("""COMPUTED_VALUE"""),"China, Morocco, Hong Kong")</f>
        <v>China, Morocco, Hong Kong</v>
      </c>
      <c r="U112" s="5" t="str">
        <f>IFERROR(__xludf.DUMMYFUNCTION("""COMPUTED_VALUE"""),"Michael Ritchie")</f>
        <v>Michael Ritchie</v>
      </c>
      <c r="V112" s="5" t="s">
        <v>793</v>
      </c>
      <c r="W112" s="5" t="str">
        <f t="shared" si="3"/>
        <v>Akiva Schaffer</v>
      </c>
      <c r="X112" s="5">
        <f t="shared" si="4"/>
        <v>1</v>
      </c>
      <c r="Y112" s="5" t="str">
        <f>IFERROR(__xludf.DUMMYFUNCTION("REGEXEXTRACT(J112, ""^\d+"")"),"1")</f>
        <v>1</v>
      </c>
      <c r="Z112" s="5" t="str">
        <f>IFERROR(__xludf.DUMMYFUNCTION("REGEXEXTRACT(J112, ""[A-Za-z ]+$"")")," Season")</f>
        <v> Season</v>
      </c>
      <c r="AA112" s="5" t="str">
        <f>IFERROR(__xludf.DUMMYFUNCTION("IF(REGEXMATCH(Z112, ""Season""), ""TV Show"", ""Movie"")"),"TV Show")</f>
        <v>TV Show</v>
      </c>
    </row>
    <row r="113">
      <c r="A113" s="1" t="s">
        <v>794</v>
      </c>
      <c r="B113" s="1" t="s">
        <v>37</v>
      </c>
      <c r="C113" s="1" t="s">
        <v>795</v>
      </c>
      <c r="E113" s="1" t="s">
        <v>796</v>
      </c>
      <c r="F113" s="1" t="s">
        <v>797</v>
      </c>
      <c r="G113" s="1" t="s">
        <v>777</v>
      </c>
      <c r="H113" s="1">
        <v>2021.0</v>
      </c>
      <c r="I113" s="1" t="s">
        <v>206</v>
      </c>
      <c r="J113" s="1" t="s">
        <v>51</v>
      </c>
      <c r="K113" s="1" t="s">
        <v>290</v>
      </c>
      <c r="L113" s="1" t="s">
        <v>798</v>
      </c>
      <c r="M113" s="2" t="s">
        <v>12</v>
      </c>
      <c r="N113" s="4">
        <f t="shared" si="1"/>
        <v>44442</v>
      </c>
      <c r="O113" s="5" t="str">
        <f>IFERROR(__xludf.DUMMYFUNCTION("IF(REGEXMATCH(TRIM(I113), ""^\d+\s*min""), ""Unclassified"", IF(I113 = """", ""NR"", I113))"),"TV-Y")</f>
        <v>TV-Y</v>
      </c>
      <c r="R113" s="5" t="str">
        <f t="shared" si="2"/>
        <v>Sharkdog</v>
      </c>
      <c r="S113" s="5" t="str">
        <f>IFERROR(__xludf.DUMMYFUNCTION("""COMPUTED_VALUE"""),"50M2")</f>
        <v>50M2</v>
      </c>
      <c r="T113" s="5" t="str">
        <f>IFERROR(__xludf.DUMMYFUNCTION("""COMPUTED_VALUE"""),"China, South Korea, United States")</f>
        <v>China, South Korea, United States</v>
      </c>
      <c r="U113" s="5" t="str">
        <f>IFERROR(__xludf.DUMMYFUNCTION("""COMPUTED_VALUE"""),"J. Lee Thompson")</f>
        <v>J. Lee Thompson</v>
      </c>
      <c r="V113" s="5" t="s">
        <v>799</v>
      </c>
      <c r="W113" s="5" t="str">
        <f t="shared" si="3"/>
        <v>Akiyuki Shinbo, Nobuyuki Takeuchi</v>
      </c>
      <c r="X113" s="5">
        <f t="shared" si="4"/>
        <v>1</v>
      </c>
      <c r="Y113" s="5" t="str">
        <f>IFERROR(__xludf.DUMMYFUNCTION("REGEXEXTRACT(J113, ""^\d+"")"),"1")</f>
        <v>1</v>
      </c>
      <c r="Z113" s="5" t="str">
        <f>IFERROR(__xludf.DUMMYFUNCTION("REGEXEXTRACT(J113, ""[A-Za-z ]+$"")")," Season")</f>
        <v> Season</v>
      </c>
      <c r="AA113" s="5" t="str">
        <f>IFERROR(__xludf.DUMMYFUNCTION("IF(REGEXMATCH(Z113, ""Season""), ""TV Show"", ""Movie"")"),"TV Show")</f>
        <v>TV Show</v>
      </c>
    </row>
    <row r="114">
      <c r="A114" s="1" t="s">
        <v>800</v>
      </c>
      <c r="B114" s="1" t="s">
        <v>27</v>
      </c>
      <c r="C114" s="1" t="s">
        <v>801</v>
      </c>
      <c r="D114" s="1" t="s">
        <v>802</v>
      </c>
      <c r="E114" s="1" t="s">
        <v>803</v>
      </c>
      <c r="G114" s="1" t="s">
        <v>777</v>
      </c>
      <c r="H114" s="1">
        <v>2021.0</v>
      </c>
      <c r="I114" s="1" t="s">
        <v>32</v>
      </c>
      <c r="J114" s="1" t="s">
        <v>804</v>
      </c>
      <c r="K114" s="1" t="s">
        <v>805</v>
      </c>
      <c r="L114" s="1" t="s">
        <v>806</v>
      </c>
      <c r="M114" s="2" t="s">
        <v>12</v>
      </c>
      <c r="N114" s="4">
        <f t="shared" si="1"/>
        <v>44442</v>
      </c>
      <c r="O114" s="5" t="str">
        <f>IFERROR(__xludf.DUMMYFUNCTION("IF(REGEXMATCH(TRIM(I114), ""^\d+\s*min""), ""Unclassified"", IF(I114 = """", ""NR"", I114))"),"PG-13")</f>
        <v>PG-13</v>
      </c>
      <c r="R114" s="5" t="str">
        <f t="shared" si="2"/>
        <v>Worth</v>
      </c>
      <c r="S114" s="5" t="str">
        <f>IFERROR(__xludf.DUMMYFUNCTION("""COMPUTED_VALUE"""),"5Cm")</f>
        <v>5Cm</v>
      </c>
      <c r="T114" s="5" t="str">
        <f>IFERROR(__xludf.DUMMYFUNCTION("""COMPUTED_VALUE"""),"China, Spain, South Korea, United States")</f>
        <v>China, Spain, South Korea, United States</v>
      </c>
      <c r="U114" s="5" t="str">
        <f>IFERROR(__xludf.DUMMYFUNCTION("""COMPUTED_VALUE"""),"Evan Goldberg, Seth Rogen")</f>
        <v>Evan Goldberg, Seth Rogen</v>
      </c>
      <c r="V114" s="5" t="s">
        <v>807</v>
      </c>
      <c r="W114" s="5" t="str">
        <f t="shared" si="3"/>
        <v>Akram Farouk</v>
      </c>
      <c r="X114" s="5">
        <f t="shared" si="4"/>
        <v>1</v>
      </c>
      <c r="Y114" s="5" t="str">
        <f>IFERROR(__xludf.DUMMYFUNCTION("REGEXEXTRACT(J114, ""^\d+"")"),"119")</f>
        <v>119</v>
      </c>
      <c r="Z114" s="5" t="str">
        <f>IFERROR(__xludf.DUMMYFUNCTION("REGEXEXTRACT(J114, ""[A-Za-z ]+$"")")," min")</f>
        <v> min</v>
      </c>
      <c r="AA114" s="5" t="str">
        <f>IFERROR(__xludf.DUMMYFUNCTION("IF(REGEXMATCH(Z114, ""Season""), ""TV Show"", ""Movie"")"),"Movie")</f>
        <v>Movie</v>
      </c>
    </row>
    <row r="115">
      <c r="A115" s="1" t="s">
        <v>808</v>
      </c>
      <c r="B115" s="1" t="s">
        <v>27</v>
      </c>
      <c r="C115" s="1" t="s">
        <v>809</v>
      </c>
      <c r="D115" s="1" t="s">
        <v>810</v>
      </c>
      <c r="E115" s="1" t="s">
        <v>811</v>
      </c>
      <c r="G115" s="1" t="s">
        <v>812</v>
      </c>
      <c r="H115" s="1">
        <v>2021.0</v>
      </c>
      <c r="I115" s="1" t="s">
        <v>136</v>
      </c>
      <c r="J115" s="1" t="s">
        <v>297</v>
      </c>
      <c r="K115" s="1" t="s">
        <v>813</v>
      </c>
      <c r="L115" s="1" t="s">
        <v>814</v>
      </c>
      <c r="M115" s="2" t="s">
        <v>12</v>
      </c>
      <c r="N115" s="4">
        <f t="shared" si="1"/>
        <v>44441</v>
      </c>
      <c r="O115" s="5" t="str">
        <f>IFERROR(__xludf.DUMMYFUNCTION("IF(REGEXMATCH(TRIM(I115), ""^\d+\s*min""), ""Unclassified"", IF(I115 = """", ""NR"", I115))"),"TV-PG")</f>
        <v>TV-PG</v>
      </c>
      <c r="R115" s="5" t="str">
        <f t="shared" si="2"/>
        <v>Afterlife Of The Party</v>
      </c>
      <c r="S115" s="5" t="str">
        <f>IFERROR(__xludf.DUMMYFUNCTION("""COMPUTED_VALUE"""),"5Gang")</f>
        <v>5Gang</v>
      </c>
      <c r="T115" s="5" t="str">
        <f>IFERROR(__xludf.DUMMYFUNCTION("""COMPUTED_VALUE"""),"China, Taiwan")</f>
        <v>China, Taiwan</v>
      </c>
      <c r="U115" s="5" t="str">
        <f>IFERROR(__xludf.DUMMYFUNCTION("""COMPUTED_VALUE"""),"Tom Shadyac")</f>
        <v>Tom Shadyac</v>
      </c>
      <c r="V115" s="5" t="s">
        <v>815</v>
      </c>
      <c r="W115" s="5" t="str">
        <f t="shared" si="3"/>
        <v>Akshay Akkineni</v>
      </c>
      <c r="X115" s="5">
        <f t="shared" si="4"/>
        <v>1</v>
      </c>
      <c r="Y115" s="5" t="str">
        <f>IFERROR(__xludf.DUMMYFUNCTION("REGEXEXTRACT(J115, ""^\d+"")"),"110")</f>
        <v>110</v>
      </c>
      <c r="Z115" s="5" t="str">
        <f>IFERROR(__xludf.DUMMYFUNCTION("REGEXEXTRACT(J115, ""[A-Za-z ]+$"")")," min")</f>
        <v> min</v>
      </c>
      <c r="AA115" s="5" t="str">
        <f>IFERROR(__xludf.DUMMYFUNCTION("IF(REGEXMATCH(Z115, ""Season""), ""TV Show"", ""Movie"")"),"Movie")</f>
        <v>Movie</v>
      </c>
    </row>
    <row r="116">
      <c r="A116" s="1" t="s">
        <v>816</v>
      </c>
      <c r="B116" s="1" t="s">
        <v>27</v>
      </c>
      <c r="C116" s="1" t="s">
        <v>817</v>
      </c>
      <c r="D116" s="1" t="s">
        <v>818</v>
      </c>
      <c r="E116" s="1" t="s">
        <v>819</v>
      </c>
      <c r="F116" s="1" t="s">
        <v>63</v>
      </c>
      <c r="G116" s="1" t="s">
        <v>812</v>
      </c>
      <c r="H116" s="1">
        <v>1994.0</v>
      </c>
      <c r="I116" s="1" t="s">
        <v>97</v>
      </c>
      <c r="J116" s="1" t="s">
        <v>820</v>
      </c>
      <c r="K116" s="1" t="s">
        <v>298</v>
      </c>
      <c r="L116" s="1" t="s">
        <v>821</v>
      </c>
      <c r="M116" s="2" t="s">
        <v>12</v>
      </c>
      <c r="N116" s="4">
        <f t="shared" si="1"/>
        <v>44441</v>
      </c>
      <c r="O116" s="5" t="str">
        <f>IFERROR(__xludf.DUMMYFUNCTION("IF(REGEXMATCH(TRIM(I116), ""^\d+\s*min""), ""Unclassified"", IF(I116 = """", ""NR"", I116))"),"TV-14")</f>
        <v>TV-14</v>
      </c>
      <c r="R116" s="5" t="str">
        <f t="shared" si="2"/>
        <v>Anjaam</v>
      </c>
      <c r="S116" s="5" t="str">
        <f>IFERROR(__xludf.DUMMYFUNCTION("""COMPUTED_VALUE"""),"6 Balloons")</f>
        <v>6 Balloons</v>
      </c>
      <c r="T116" s="5" t="str">
        <f>IFERROR(__xludf.DUMMYFUNCTION("""COMPUTED_VALUE"""),"China, United Kingdom")</f>
        <v>China, United Kingdom</v>
      </c>
      <c r="U116" s="5" t="str">
        <f>IFERROR(__xludf.DUMMYFUNCTION("""COMPUTED_VALUE"""),"Peter Segal")</f>
        <v>Peter Segal</v>
      </c>
      <c r="V116" s="5" t="s">
        <v>822</v>
      </c>
      <c r="W116" s="5" t="str">
        <f t="shared" si="3"/>
        <v>Akshay Sanjeev Chavan, Sumit Das</v>
      </c>
      <c r="X116" s="5">
        <f t="shared" si="4"/>
        <v>1</v>
      </c>
      <c r="Y116" s="5" t="str">
        <f>IFERROR(__xludf.DUMMYFUNCTION("REGEXEXTRACT(J116, ""^\d+"")"),"143")</f>
        <v>143</v>
      </c>
      <c r="Z116" s="5" t="str">
        <f>IFERROR(__xludf.DUMMYFUNCTION("REGEXEXTRACT(J116, ""[A-Za-z ]+$"")")," min")</f>
        <v> min</v>
      </c>
      <c r="AA116" s="5" t="str">
        <f>IFERROR(__xludf.DUMMYFUNCTION("IF(REGEXMATCH(Z116, ""Season""), ""TV Show"", ""Movie"")"),"Movie")</f>
        <v>Movie</v>
      </c>
    </row>
    <row r="117">
      <c r="A117" s="1" t="s">
        <v>823</v>
      </c>
      <c r="B117" s="1" t="s">
        <v>27</v>
      </c>
      <c r="C117" s="1" t="s">
        <v>824</v>
      </c>
      <c r="D117" s="1" t="s">
        <v>825</v>
      </c>
      <c r="E117" s="1" t="s">
        <v>826</v>
      </c>
      <c r="F117" s="1" t="s">
        <v>827</v>
      </c>
      <c r="G117" s="1" t="s">
        <v>812</v>
      </c>
      <c r="H117" s="1">
        <v>2009.0</v>
      </c>
      <c r="I117" s="1" t="s">
        <v>78</v>
      </c>
      <c r="J117" s="1" t="s">
        <v>804</v>
      </c>
      <c r="K117" s="1" t="s">
        <v>828</v>
      </c>
      <c r="L117" s="1" t="s">
        <v>829</v>
      </c>
      <c r="M117" s="2" t="s">
        <v>12</v>
      </c>
      <c r="N117" s="4">
        <f t="shared" si="1"/>
        <v>44441</v>
      </c>
      <c r="O117" s="5" t="str">
        <f>IFERROR(__xludf.DUMMYFUNCTION("IF(REGEXMATCH(TRIM(I117), ""^\d+\s*min""), ""Unclassified"", IF(I117 = """", ""NR"", I117))"),"PG")</f>
        <v>PG</v>
      </c>
      <c r="R117" s="5" t="str">
        <f t="shared" si="2"/>
        <v>Bright Star</v>
      </c>
      <c r="S117" s="5" t="str">
        <f>IFERROR(__xludf.DUMMYFUNCTION("""COMPUTED_VALUE"""),"6 Bullets")</f>
        <v>6 Bullets</v>
      </c>
      <c r="T117" s="5" t="str">
        <f>IFERROR(__xludf.DUMMYFUNCTION("""COMPUTED_VALUE"""),"China, United States")</f>
        <v>China, United States</v>
      </c>
      <c r="U117" s="5" t="str">
        <f>IFERROR(__xludf.DUMMYFUNCTION("""COMPUTED_VALUE"""),"Malcolm D. Lee")</f>
        <v>Malcolm D. Lee</v>
      </c>
      <c r="V117" s="5" t="s">
        <v>830</v>
      </c>
      <c r="W117" s="5" t="str">
        <f t="shared" si="3"/>
        <v>Al Campbell, Alice Mathias</v>
      </c>
      <c r="X117" s="5">
        <f t="shared" si="4"/>
        <v>1</v>
      </c>
      <c r="Y117" s="5" t="str">
        <f>IFERROR(__xludf.DUMMYFUNCTION("REGEXEXTRACT(J117, ""^\d+"")"),"119")</f>
        <v>119</v>
      </c>
      <c r="Z117" s="5" t="str">
        <f>IFERROR(__xludf.DUMMYFUNCTION("REGEXEXTRACT(J117, ""[A-Za-z ]+$"")")," min")</f>
        <v> min</v>
      </c>
      <c r="AA117" s="5" t="str">
        <f>IFERROR(__xludf.DUMMYFUNCTION("IF(REGEXMATCH(Z117, ""Season""), ""TV Show"", ""Movie"")"),"Movie")</f>
        <v>Movie</v>
      </c>
    </row>
    <row r="118">
      <c r="A118" s="1" t="s">
        <v>831</v>
      </c>
      <c r="B118" s="1" t="s">
        <v>27</v>
      </c>
      <c r="C118" s="1" t="s">
        <v>832</v>
      </c>
      <c r="D118" s="1" t="s">
        <v>833</v>
      </c>
      <c r="E118" s="1" t="s">
        <v>834</v>
      </c>
      <c r="F118" s="1" t="s">
        <v>63</v>
      </c>
      <c r="G118" s="1" t="s">
        <v>812</v>
      </c>
      <c r="H118" s="1">
        <v>2015.0</v>
      </c>
      <c r="I118" s="1" t="s">
        <v>136</v>
      </c>
      <c r="J118" s="1" t="s">
        <v>835</v>
      </c>
      <c r="K118" s="1" t="s">
        <v>836</v>
      </c>
      <c r="L118" s="1" t="s">
        <v>837</v>
      </c>
      <c r="M118" s="2" t="s">
        <v>12</v>
      </c>
      <c r="N118" s="4">
        <f t="shared" si="1"/>
        <v>44441</v>
      </c>
      <c r="O118" s="5" t="str">
        <f>IFERROR(__xludf.DUMMYFUNCTION("IF(REGEXMATCH(TRIM(I118), ""^\d+\s*min""), ""Unclassified"", IF(I118 = """", ""NR"", I118))"),"TV-PG")</f>
        <v>TV-PG</v>
      </c>
      <c r="R118" s="5" t="str">
        <f t="shared" si="2"/>
        <v>Dhanak</v>
      </c>
      <c r="S118" s="5" t="str">
        <f>IFERROR(__xludf.DUMMYFUNCTION("""COMPUTED_VALUE"""),"6 Days")</f>
        <v>6 Days</v>
      </c>
      <c r="T118" s="5" t="str">
        <f>IFERROR(__xludf.DUMMYFUNCTION("""COMPUTED_VALUE"""),"China, United States, Australia")</f>
        <v>China, United States, Australia</v>
      </c>
      <c r="U118" s="5" t="str">
        <f>IFERROR(__xludf.DUMMYFUNCTION("""COMPUTED_VALUE"""),"Ramzy Bedia, Éric Judor")</f>
        <v>Ramzy Bedia, Éric Judor</v>
      </c>
      <c r="V118" s="5" t="s">
        <v>838</v>
      </c>
      <c r="W118" s="5" t="str">
        <f t="shared" si="3"/>
        <v>Alaa Eddine Aljem</v>
      </c>
      <c r="X118" s="5">
        <f t="shared" si="4"/>
        <v>1</v>
      </c>
      <c r="Y118" s="5" t="str">
        <f>IFERROR(__xludf.DUMMYFUNCTION("REGEXEXTRACT(J118, ""^\d+"")"),"114")</f>
        <v>114</v>
      </c>
      <c r="Z118" s="5" t="str">
        <f>IFERROR(__xludf.DUMMYFUNCTION("REGEXEXTRACT(J118, ""[A-Za-z ]+$"")")," min")</f>
        <v> min</v>
      </c>
      <c r="AA118" s="5" t="str">
        <f>IFERROR(__xludf.DUMMYFUNCTION("IF(REGEXMATCH(Z118, ""Season""), ""TV Show"", ""Movie"")"),"Movie")</f>
        <v>Movie</v>
      </c>
    </row>
    <row r="119">
      <c r="A119" s="1" t="s">
        <v>839</v>
      </c>
      <c r="B119" s="1" t="s">
        <v>27</v>
      </c>
      <c r="C119" s="1" t="s">
        <v>840</v>
      </c>
      <c r="D119" s="1" t="s">
        <v>841</v>
      </c>
      <c r="F119" s="1" t="s">
        <v>686</v>
      </c>
      <c r="G119" s="1" t="s">
        <v>812</v>
      </c>
      <c r="H119" s="1">
        <v>2021.0</v>
      </c>
      <c r="I119" s="1" t="s">
        <v>32</v>
      </c>
      <c r="J119" s="1" t="s">
        <v>170</v>
      </c>
      <c r="K119" s="1" t="s">
        <v>34</v>
      </c>
      <c r="L119" s="1" t="s">
        <v>842</v>
      </c>
      <c r="M119" s="2" t="s">
        <v>12</v>
      </c>
      <c r="N119" s="4">
        <f t="shared" si="1"/>
        <v>44441</v>
      </c>
      <c r="O119" s="5" t="str">
        <f>IFERROR(__xludf.DUMMYFUNCTION("IF(REGEXMATCH(TRIM(I119), ""^\d+\s*min""), ""Unclassified"", IF(I119 = """", ""NR"", I119))"),"PG-13")</f>
        <v>PG-13</v>
      </c>
      <c r="R119" s="5" t="str">
        <f t="shared" si="2"/>
        <v>Final Account</v>
      </c>
      <c r="S119" s="5" t="str">
        <f>IFERROR(__xludf.DUMMYFUNCTION("""COMPUTED_VALUE"""),"6 Underground")</f>
        <v>6 Underground</v>
      </c>
      <c r="T119" s="5" t="str">
        <f>IFERROR(__xludf.DUMMYFUNCTION("""COMPUTED_VALUE"""),"China, United States, Canada")</f>
        <v>China, United States, Canada</v>
      </c>
      <c r="U119" s="5" t="str">
        <f>IFERROR(__xludf.DUMMYFUNCTION("""COMPUTED_VALUE"""),"Sharan Koppisetty")</f>
        <v>Sharan Koppisetty</v>
      </c>
      <c r="V119" s="5" t="s">
        <v>843</v>
      </c>
      <c r="W119" s="5" t="str">
        <f t="shared" si="3"/>
        <v>Alain Brunard</v>
      </c>
      <c r="X119" s="5">
        <f t="shared" si="4"/>
        <v>1</v>
      </c>
      <c r="Y119" s="5" t="str">
        <f>IFERROR(__xludf.DUMMYFUNCTION("REGEXEXTRACT(J119, ""^\d+"")"),"94")</f>
        <v>94</v>
      </c>
      <c r="Z119" s="5" t="str">
        <f>IFERROR(__xludf.DUMMYFUNCTION("REGEXEXTRACT(J119, ""[A-Za-z ]+$"")")," min")</f>
        <v> min</v>
      </c>
      <c r="AA119" s="5" t="str">
        <f>IFERROR(__xludf.DUMMYFUNCTION("IF(REGEXMATCH(Z119, ""Season""), ""TV Show"", ""Movie"")"),"Movie")</f>
        <v>Movie</v>
      </c>
    </row>
    <row r="120">
      <c r="A120" s="1" t="s">
        <v>844</v>
      </c>
      <c r="B120" s="1" t="s">
        <v>27</v>
      </c>
      <c r="C120" s="1" t="s">
        <v>845</v>
      </c>
      <c r="D120" s="1" t="s">
        <v>846</v>
      </c>
      <c r="E120" s="1" t="s">
        <v>847</v>
      </c>
      <c r="F120" s="1" t="s">
        <v>63</v>
      </c>
      <c r="G120" s="1" t="s">
        <v>812</v>
      </c>
      <c r="H120" s="1">
        <v>2017.0</v>
      </c>
      <c r="I120" s="1" t="s">
        <v>97</v>
      </c>
      <c r="J120" s="1" t="s">
        <v>256</v>
      </c>
      <c r="K120" s="1" t="s">
        <v>298</v>
      </c>
      <c r="L120" s="1" t="s">
        <v>848</v>
      </c>
      <c r="M120" s="2" t="s">
        <v>12</v>
      </c>
      <c r="N120" s="4">
        <f t="shared" si="1"/>
        <v>44441</v>
      </c>
      <c r="O120" s="5" t="str">
        <f>IFERROR(__xludf.DUMMYFUNCTION("IF(REGEXMATCH(TRIM(I120), ""^\d+\s*min""), ""Unclassified"", IF(I120 = """", ""NR"", I120))"),"TV-14")</f>
        <v>TV-14</v>
      </c>
      <c r="R120" s="5" t="str">
        <f t="shared" si="2"/>
        <v>Gurgaon</v>
      </c>
      <c r="S120" s="5" t="str">
        <f>IFERROR(__xludf.DUMMYFUNCTION("""COMPUTED_VALUE"""),"6 Years")</f>
        <v>6 Years</v>
      </c>
      <c r="T120" s="5" t="str">
        <f>IFERROR(__xludf.DUMMYFUNCTION("""COMPUTED_VALUE"""),"China, United States, United Kingdom")</f>
        <v>China, United States, United Kingdom</v>
      </c>
      <c r="U120" s="5" t="str">
        <f>IFERROR(__xludf.DUMMYFUNCTION("""COMPUTED_VALUE"""),"Taylor Sheridan")</f>
        <v>Taylor Sheridan</v>
      </c>
      <c r="V120" s="5" t="s">
        <v>849</v>
      </c>
      <c r="W120" s="5" t="str">
        <f t="shared" si="3"/>
        <v>Alain Darborg</v>
      </c>
      <c r="X120" s="5">
        <f t="shared" si="4"/>
        <v>1</v>
      </c>
      <c r="Y120" s="5" t="str">
        <f>IFERROR(__xludf.DUMMYFUNCTION("REGEXEXTRACT(J120, ""^\d+"")"),"106")</f>
        <v>106</v>
      </c>
      <c r="Z120" s="5" t="str">
        <f>IFERROR(__xludf.DUMMYFUNCTION("REGEXEXTRACT(J120, ""[A-Za-z ]+$"")")," min")</f>
        <v> min</v>
      </c>
      <c r="AA120" s="5" t="str">
        <f>IFERROR(__xludf.DUMMYFUNCTION("IF(REGEXMATCH(Z120, ""Season""), ""TV Show"", ""Movie"")"),"Movie")</f>
        <v>Movie</v>
      </c>
    </row>
    <row r="121">
      <c r="A121" s="1" t="s">
        <v>850</v>
      </c>
      <c r="B121" s="1" t="s">
        <v>27</v>
      </c>
      <c r="C121" s="1" t="s">
        <v>851</v>
      </c>
      <c r="D121" s="1" t="s">
        <v>852</v>
      </c>
      <c r="E121" s="1" t="s">
        <v>853</v>
      </c>
      <c r="G121" s="1" t="s">
        <v>812</v>
      </c>
      <c r="H121" s="1">
        <v>2020.0</v>
      </c>
      <c r="I121" s="1" t="s">
        <v>42</v>
      </c>
      <c r="J121" s="1" t="s">
        <v>416</v>
      </c>
      <c r="K121" s="1" t="s">
        <v>679</v>
      </c>
      <c r="L121" s="1" t="s">
        <v>854</v>
      </c>
      <c r="M121" s="2" t="s">
        <v>12</v>
      </c>
      <c r="N121" s="4">
        <f t="shared" si="1"/>
        <v>44441</v>
      </c>
      <c r="O121" s="5" t="str">
        <f>IFERROR(__xludf.DUMMYFUNCTION("IF(REGEXMATCH(TRIM(I121), ""^\d+\s*min""), ""Unclassified"", IF(I121 = """", ""NR"", I121))"),"TV-MA")</f>
        <v>TV-MA</v>
      </c>
      <c r="R121" s="5" t="str">
        <f t="shared" si="2"/>
        <v>Here And There</v>
      </c>
      <c r="S121" s="5" t="str">
        <f>IFERROR(__xludf.DUMMYFUNCTION("""COMPUTED_VALUE"""),"6-5=2")</f>
        <v>6-5=2</v>
      </c>
      <c r="T121" s="5" t="str">
        <f>IFERROR(__xludf.DUMMYFUNCTION("""COMPUTED_VALUE"""),"Colombia")</f>
        <v>Colombia</v>
      </c>
      <c r="U121" s="5" t="str">
        <f>IFERROR(__xludf.DUMMYFUNCTION("""COMPUTED_VALUE"""),"Sachin Yardi")</f>
        <v>Sachin Yardi</v>
      </c>
      <c r="V121" s="5" t="s">
        <v>855</v>
      </c>
      <c r="W121" s="5" t="str">
        <f t="shared" si="3"/>
        <v>Alain Desrochers</v>
      </c>
      <c r="X121" s="5">
        <f t="shared" si="4"/>
        <v>1</v>
      </c>
      <c r="Y121" s="5" t="str">
        <f>IFERROR(__xludf.DUMMYFUNCTION("REGEXEXTRACT(J121, ""^\d+"")"),"99")</f>
        <v>99</v>
      </c>
      <c r="Z121" s="5" t="str">
        <f>IFERROR(__xludf.DUMMYFUNCTION("REGEXEXTRACT(J121, ""[A-Za-z ]+$"")")," min")</f>
        <v> min</v>
      </c>
      <c r="AA121" s="5" t="str">
        <f>IFERROR(__xludf.DUMMYFUNCTION("IF(REGEXMATCH(Z121, ""Season""), ""TV Show"", ""Movie"")"),"Movie")</f>
        <v>Movie</v>
      </c>
    </row>
    <row r="122">
      <c r="A122" s="1" t="s">
        <v>856</v>
      </c>
      <c r="B122" s="1" t="s">
        <v>37</v>
      </c>
      <c r="C122" s="1" t="s">
        <v>857</v>
      </c>
      <c r="E122" s="1" t="s">
        <v>858</v>
      </c>
      <c r="F122" s="1" t="s">
        <v>221</v>
      </c>
      <c r="G122" s="1" t="s">
        <v>812</v>
      </c>
      <c r="H122" s="1">
        <v>2021.0</v>
      </c>
      <c r="I122" s="1" t="s">
        <v>289</v>
      </c>
      <c r="J122" s="1" t="s">
        <v>51</v>
      </c>
      <c r="K122" s="1" t="s">
        <v>314</v>
      </c>
      <c r="L122" s="1" t="s">
        <v>859</v>
      </c>
      <c r="M122" s="2" t="s">
        <v>12</v>
      </c>
      <c r="N122" s="4">
        <f t="shared" si="1"/>
        <v>44441</v>
      </c>
      <c r="O122" s="5" t="str">
        <f>IFERROR(__xludf.DUMMYFUNCTION("IF(REGEXMATCH(TRIM(I122), ""^\d+\s*min""), ""Unclassified"", IF(I122 = """", ""NR"", I122))"),"TV-Y7")</f>
        <v>TV-Y7</v>
      </c>
      <c r="R122" s="5" t="str">
        <f t="shared" si="2"/>
        <v>Heroes Of Goo Jit Zu</v>
      </c>
      <c r="S122" s="5" t="str">
        <f>IFERROR(__xludf.DUMMYFUNCTION("""COMPUTED_VALUE"""),"60 Days In")</f>
        <v>60 Days In</v>
      </c>
      <c r="T122" s="5" t="str">
        <f>IFERROR(__xludf.DUMMYFUNCTION("""COMPUTED_VALUE"""),"Colombia, Mexico")</f>
        <v>Colombia, Mexico</v>
      </c>
      <c r="U122" s="5" t="str">
        <f>IFERROR(__xludf.DUMMYFUNCTION("""COMPUTED_VALUE"""),"Saurabh Kabra")</f>
        <v>Saurabh Kabra</v>
      </c>
      <c r="V122" s="5" t="s">
        <v>860</v>
      </c>
      <c r="W122" s="5" t="str">
        <f t="shared" si="3"/>
        <v>Alan Alda</v>
      </c>
      <c r="X122" s="5">
        <f t="shared" si="4"/>
        <v>1</v>
      </c>
      <c r="Y122" s="5" t="str">
        <f>IFERROR(__xludf.DUMMYFUNCTION("REGEXEXTRACT(J122, ""^\d+"")"),"1")</f>
        <v>1</v>
      </c>
      <c r="Z122" s="5" t="str">
        <f>IFERROR(__xludf.DUMMYFUNCTION("REGEXEXTRACT(J122, ""[A-Za-z ]+$"")")," Season")</f>
        <v> Season</v>
      </c>
      <c r="AA122" s="5" t="str">
        <f>IFERROR(__xludf.DUMMYFUNCTION("IF(REGEXMATCH(Z122, ""Season""), ""TV Show"", ""Movie"")"),"TV Show")</f>
        <v>TV Show</v>
      </c>
    </row>
    <row r="123">
      <c r="A123" s="1" t="s">
        <v>861</v>
      </c>
      <c r="B123" s="1" t="s">
        <v>37</v>
      </c>
      <c r="C123" s="1" t="s">
        <v>862</v>
      </c>
      <c r="E123" s="1" t="s">
        <v>863</v>
      </c>
      <c r="G123" s="1" t="s">
        <v>812</v>
      </c>
      <c r="H123" s="1">
        <v>2019.0</v>
      </c>
      <c r="I123" s="1" t="s">
        <v>97</v>
      </c>
      <c r="J123" s="1" t="s">
        <v>51</v>
      </c>
      <c r="K123" s="1" t="s">
        <v>64</v>
      </c>
      <c r="L123" s="1" t="s">
        <v>864</v>
      </c>
      <c r="M123" s="2" t="s">
        <v>12</v>
      </c>
      <c r="N123" s="4">
        <f t="shared" si="1"/>
        <v>44441</v>
      </c>
      <c r="O123" s="5" t="str">
        <f>IFERROR(__xludf.DUMMYFUNCTION("IF(REGEXMATCH(TRIM(I123), ""^\d+\s*min""), ""Unclassified"", IF(I123 = """", ""NR"", I123))"),"TV-14")</f>
        <v>TV-14</v>
      </c>
      <c r="R123" s="5" t="str">
        <f t="shared" si="2"/>
        <v>Hotel Del Luna</v>
      </c>
      <c r="S123" s="5" t="str">
        <f>IFERROR(__xludf.DUMMYFUNCTION("""COMPUTED_VALUE"""),"678")</f>
        <v>678</v>
      </c>
      <c r="T123" s="5" t="str">
        <f>IFERROR(__xludf.DUMMYFUNCTION("""COMPUTED_VALUE"""),"Colombia, Mexico, United States")</f>
        <v>Colombia, Mexico, United States</v>
      </c>
      <c r="U123" s="5" t="str">
        <f>IFERROR(__xludf.DUMMYFUNCTION("""COMPUTED_VALUE"""),"Mark Waters")</f>
        <v>Mark Waters</v>
      </c>
      <c r="V123" s="5" t="s">
        <v>865</v>
      </c>
      <c r="W123" s="5" t="str">
        <f t="shared" si="3"/>
        <v>Alan J. Pakula</v>
      </c>
      <c r="X123" s="5">
        <f t="shared" si="4"/>
        <v>1</v>
      </c>
      <c r="Y123" s="5" t="str">
        <f>IFERROR(__xludf.DUMMYFUNCTION("REGEXEXTRACT(J123, ""^\d+"")"),"1")</f>
        <v>1</v>
      </c>
      <c r="Z123" s="5" t="str">
        <f>IFERROR(__xludf.DUMMYFUNCTION("REGEXEXTRACT(J123, ""[A-Za-z ]+$"")")," Season")</f>
        <v> Season</v>
      </c>
      <c r="AA123" s="5" t="str">
        <f>IFERROR(__xludf.DUMMYFUNCTION("IF(REGEXMATCH(Z123, ""Season""), ""TV Show"", ""Movie"")"),"TV Show")</f>
        <v>TV Show</v>
      </c>
    </row>
    <row r="124">
      <c r="A124" s="1" t="s">
        <v>866</v>
      </c>
      <c r="B124" s="1" t="s">
        <v>27</v>
      </c>
      <c r="C124" s="1" t="s">
        <v>867</v>
      </c>
      <c r="D124" s="1" t="s">
        <v>825</v>
      </c>
      <c r="E124" s="1" t="s">
        <v>868</v>
      </c>
      <c r="F124" s="1" t="s">
        <v>869</v>
      </c>
      <c r="G124" s="1" t="s">
        <v>812</v>
      </c>
      <c r="H124" s="1">
        <v>2003.0</v>
      </c>
      <c r="I124" s="1" t="s">
        <v>378</v>
      </c>
      <c r="J124" s="1" t="s">
        <v>870</v>
      </c>
      <c r="K124" s="1" t="s">
        <v>171</v>
      </c>
      <c r="L124" s="1" t="s">
        <v>871</v>
      </c>
      <c r="M124" s="2" t="s">
        <v>12</v>
      </c>
      <c r="N124" s="4">
        <f t="shared" si="1"/>
        <v>44441</v>
      </c>
      <c r="O124" s="5" t="str">
        <f>IFERROR(__xludf.DUMMYFUNCTION("IF(REGEXMATCH(TRIM(I124), ""^\d+\s*min""), ""Unclassified"", IF(I124 = """", ""NR"", I124))"),"R")</f>
        <v>R</v>
      </c>
      <c r="R124" s="5" t="str">
        <f t="shared" si="2"/>
        <v>In The Cut</v>
      </c>
      <c r="S124" s="5" t="str">
        <f>IFERROR(__xludf.DUMMYFUNCTION("""COMPUTED_VALUE"""),"68 Kill")</f>
        <v>68 Kill</v>
      </c>
      <c r="T124" s="5" t="str">
        <f>IFERROR(__xludf.DUMMYFUNCTION("""COMPUTED_VALUE"""),"Colombia, Peru, United Kingdom")</f>
        <v>Colombia, Peru, United Kingdom</v>
      </c>
      <c r="U124" s="5" t="str">
        <f>IFERROR(__xludf.DUMMYFUNCTION("""COMPUTED_VALUE"""),"Partho Mitra")</f>
        <v>Partho Mitra</v>
      </c>
      <c r="V124" s="5" t="s">
        <v>872</v>
      </c>
      <c r="W124" s="5" t="str">
        <f t="shared" si="3"/>
        <v>Alan Parker</v>
      </c>
      <c r="X124" s="5">
        <f t="shared" si="4"/>
        <v>1</v>
      </c>
      <c r="Y124" s="5" t="str">
        <f>IFERROR(__xludf.DUMMYFUNCTION("REGEXEXTRACT(J124, ""^\d+"")"),"118")</f>
        <v>118</v>
      </c>
      <c r="Z124" s="5" t="str">
        <f>IFERROR(__xludf.DUMMYFUNCTION("REGEXEXTRACT(J124, ""[A-Za-z ]+$"")")," min")</f>
        <v> min</v>
      </c>
      <c r="AA124" s="5" t="str">
        <f>IFERROR(__xludf.DUMMYFUNCTION("IF(REGEXMATCH(Z124, ""Season""), ""TV Show"", ""Movie"")"),"Movie")</f>
        <v>Movie</v>
      </c>
    </row>
    <row r="125">
      <c r="A125" s="1" t="s">
        <v>873</v>
      </c>
      <c r="B125" s="1" t="s">
        <v>37</v>
      </c>
      <c r="C125" s="1" t="s">
        <v>874</v>
      </c>
      <c r="G125" s="1" t="s">
        <v>812</v>
      </c>
      <c r="H125" s="1">
        <v>2012.0</v>
      </c>
      <c r="I125" s="1" t="s">
        <v>289</v>
      </c>
      <c r="J125" s="1" t="s">
        <v>51</v>
      </c>
      <c r="K125" s="1" t="s">
        <v>290</v>
      </c>
      <c r="L125" s="1" t="s">
        <v>875</v>
      </c>
      <c r="M125" s="2" t="s">
        <v>12</v>
      </c>
      <c r="N125" s="4">
        <f t="shared" si="1"/>
        <v>44441</v>
      </c>
      <c r="O125" s="5" t="str">
        <f>IFERROR(__xludf.DUMMYFUNCTION("IF(REGEXMATCH(TRIM(I125), ""^\d+\s*min""), ""Unclassified"", IF(I125 = """", ""NR"", I125))"),"TV-Y7")</f>
        <v>TV-Y7</v>
      </c>
      <c r="R125" s="5" t="str">
        <f t="shared" si="2"/>
        <v>Luv Kushh</v>
      </c>
      <c r="S125" s="5" t="str">
        <f>IFERROR(__xludf.DUMMYFUNCTION("""COMPUTED_VALUE"""),"7 (Seven)")</f>
        <v>7 (Seven)</v>
      </c>
      <c r="T125" s="5" t="str">
        <f>IFERROR(__xludf.DUMMYFUNCTION("""COMPUTED_VALUE"""),"Colombia, United States")</f>
        <v>Colombia, United States</v>
      </c>
      <c r="U125" s="5" t="str">
        <f>IFERROR(__xludf.DUMMYFUNCTION("""COMPUTED_VALUE"""),"Santram Varma")</f>
        <v>Santram Varma</v>
      </c>
      <c r="V125" s="5" t="s">
        <v>876</v>
      </c>
      <c r="W125" s="5" t="str">
        <f t="shared" si="3"/>
        <v>Alan Rickman</v>
      </c>
      <c r="X125" s="5">
        <f t="shared" si="4"/>
        <v>1</v>
      </c>
      <c r="Y125" s="5" t="str">
        <f>IFERROR(__xludf.DUMMYFUNCTION("REGEXEXTRACT(J125, ""^\d+"")"),"1")</f>
        <v>1</v>
      </c>
      <c r="Z125" s="5" t="str">
        <f>IFERROR(__xludf.DUMMYFUNCTION("REGEXEXTRACT(J125, ""[A-Za-z ]+$"")")," Season")</f>
        <v> Season</v>
      </c>
      <c r="AA125" s="5" t="str">
        <f>IFERROR(__xludf.DUMMYFUNCTION("IF(REGEXMATCH(Z125, ""Season""), ""TV Show"", ""Movie"")"),"TV Show")</f>
        <v>TV Show</v>
      </c>
    </row>
    <row r="126">
      <c r="A126" s="1" t="s">
        <v>877</v>
      </c>
      <c r="B126" s="1" t="s">
        <v>37</v>
      </c>
      <c r="C126" s="1" t="s">
        <v>878</v>
      </c>
      <c r="F126" s="1" t="s">
        <v>749</v>
      </c>
      <c r="G126" s="1" t="s">
        <v>812</v>
      </c>
      <c r="H126" s="1">
        <v>2013.0</v>
      </c>
      <c r="I126" s="1" t="s">
        <v>289</v>
      </c>
      <c r="J126" s="1" t="s">
        <v>276</v>
      </c>
      <c r="K126" s="1" t="s">
        <v>637</v>
      </c>
      <c r="L126" s="1" t="s">
        <v>879</v>
      </c>
      <c r="M126" s="2" t="s">
        <v>12</v>
      </c>
      <c r="N126" s="4">
        <f t="shared" si="1"/>
        <v>44441</v>
      </c>
      <c r="O126" s="5" t="str">
        <f>IFERROR(__xludf.DUMMYFUNCTION("IF(REGEXMATCH(TRIM(I126), ""^\d+\s*min""), ""Unclassified"", IF(I126 = """", ""NR"", I126))"),"TV-Y7")</f>
        <v>TV-Y7</v>
      </c>
      <c r="R126" s="5" t="str">
        <f t="shared" si="2"/>
        <v>Pororo - The Little Penguin</v>
      </c>
      <c r="S126" s="5" t="str">
        <f>IFERROR(__xludf.DUMMYFUNCTION("""COMPUTED_VALUE"""),"7 Años")</f>
        <v>7 Años</v>
      </c>
      <c r="T126" s="5" t="str">
        <f>IFERROR(__xludf.DUMMYFUNCTION("""COMPUTED_VALUE"""),"Croatia")</f>
        <v>Croatia</v>
      </c>
      <c r="U126" s="5" t="str">
        <f>IFERROR(__xludf.DUMMYFUNCTION("""COMPUTED_VALUE"""),"Anil V. Kumar, Anurag Basu")</f>
        <v>Anil V. Kumar, Anurag Basu</v>
      </c>
      <c r="V126" s="5" t="s">
        <v>880</v>
      </c>
      <c r="W126" s="5" t="str">
        <f t="shared" si="3"/>
        <v>Alan Yang</v>
      </c>
      <c r="X126" s="5">
        <f t="shared" si="4"/>
        <v>1</v>
      </c>
      <c r="Y126" s="5" t="str">
        <f>IFERROR(__xludf.DUMMYFUNCTION("REGEXEXTRACT(J126, ""^\d+"")"),"3")</f>
        <v>3</v>
      </c>
      <c r="Z126" s="5" t="str">
        <f>IFERROR(__xludf.DUMMYFUNCTION("REGEXEXTRACT(J126, ""[A-Za-z ]+$"")")," Seasons")</f>
        <v> Seasons</v>
      </c>
      <c r="AA126" s="5" t="str">
        <f>IFERROR(__xludf.DUMMYFUNCTION("IF(REGEXMATCH(Z126, ""Season""), ""TV Show"", ""Movie"")"),"TV Show")</f>
        <v>TV Show</v>
      </c>
    </row>
    <row r="127">
      <c r="A127" s="1" t="s">
        <v>881</v>
      </c>
      <c r="B127" s="1" t="s">
        <v>37</v>
      </c>
      <c r="C127" s="1" t="s">
        <v>882</v>
      </c>
      <c r="E127" s="1" t="s">
        <v>883</v>
      </c>
      <c r="F127" s="1" t="s">
        <v>30</v>
      </c>
      <c r="G127" s="1" t="s">
        <v>812</v>
      </c>
      <c r="H127" s="1">
        <v>2021.0</v>
      </c>
      <c r="I127" s="1" t="s">
        <v>42</v>
      </c>
      <c r="J127" s="1" t="s">
        <v>51</v>
      </c>
      <c r="K127" s="1" t="s">
        <v>884</v>
      </c>
      <c r="L127" s="1" t="s">
        <v>885</v>
      </c>
      <c r="M127" s="2" t="s">
        <v>12</v>
      </c>
      <c r="N127" s="4">
        <f t="shared" si="1"/>
        <v>44441</v>
      </c>
      <c r="O127" s="5" t="str">
        <f>IFERROR(__xludf.DUMMYFUNCTION("IF(REGEXMATCH(TRIM(I127), ""^\d+\s*min""), ""Unclassified"", IF(I127 = """", ""NR"", I127))"),"TV-MA")</f>
        <v>TV-MA</v>
      </c>
      <c r="R127" s="5" t="str">
        <f t="shared" si="2"/>
        <v>Q-Force</v>
      </c>
      <c r="S127" s="5" t="str">
        <f>IFERROR(__xludf.DUMMYFUNCTION("""COMPUTED_VALUE"""),"7 Days Out")</f>
        <v>7 Days Out</v>
      </c>
      <c r="T127" s="5" t="str">
        <f>IFERROR(__xludf.DUMMYFUNCTION("""COMPUTED_VALUE"""),"Croatia, Slovenia, Serbia, Montenegro")</f>
        <v>Croatia, Slovenia, Serbia, Montenegro</v>
      </c>
      <c r="U127" s="5" t="str">
        <f>IFERROR(__xludf.DUMMYFUNCTION("""COMPUTED_VALUE"""),"Sangeeth Sivan")</f>
        <v>Sangeeth Sivan</v>
      </c>
      <c r="V127" s="5" t="s">
        <v>886</v>
      </c>
      <c r="W127" s="5" t="str">
        <f t="shared" si="3"/>
        <v>Alankrita Shrivastava</v>
      </c>
      <c r="X127" s="5">
        <f t="shared" si="4"/>
        <v>1</v>
      </c>
      <c r="Y127" s="5" t="str">
        <f>IFERROR(__xludf.DUMMYFUNCTION("REGEXEXTRACT(J127, ""^\d+"")"),"1")</f>
        <v>1</v>
      </c>
      <c r="Z127" s="5" t="str">
        <f>IFERROR(__xludf.DUMMYFUNCTION("REGEXEXTRACT(J127, ""[A-Za-z ]+$"")")," Season")</f>
        <v> Season</v>
      </c>
      <c r="AA127" s="5" t="str">
        <f>IFERROR(__xludf.DUMMYFUNCTION("IF(REGEXMATCH(Z127, ""Season""), ""TV Show"", ""Movie"")"),"TV Show")</f>
        <v>TV Show</v>
      </c>
    </row>
    <row r="128">
      <c r="A128" s="1" t="s">
        <v>887</v>
      </c>
      <c r="B128" s="1" t="s">
        <v>27</v>
      </c>
      <c r="C128" s="1" t="s">
        <v>888</v>
      </c>
      <c r="D128" s="1" t="s">
        <v>889</v>
      </c>
      <c r="E128" s="1" t="s">
        <v>890</v>
      </c>
      <c r="F128" s="1" t="s">
        <v>63</v>
      </c>
      <c r="G128" s="1" t="s">
        <v>812</v>
      </c>
      <c r="H128" s="1">
        <v>2020.0</v>
      </c>
      <c r="I128" s="1" t="s">
        <v>97</v>
      </c>
      <c r="J128" s="1" t="s">
        <v>379</v>
      </c>
      <c r="K128" s="1" t="s">
        <v>679</v>
      </c>
      <c r="L128" s="1" t="s">
        <v>891</v>
      </c>
      <c r="M128" s="2" t="s">
        <v>12</v>
      </c>
      <c r="N128" s="4">
        <f t="shared" si="1"/>
        <v>44441</v>
      </c>
      <c r="O128" s="5" t="str">
        <f>IFERROR(__xludf.DUMMYFUNCTION("IF(REGEXMATCH(TRIM(I128), ""^\d+\s*min""), ""Unclassified"", IF(I128 = """", ""NR"", I128))"),"TV-14")</f>
        <v>TV-14</v>
      </c>
      <c r="R128" s="5" t="str">
        <f t="shared" si="2"/>
        <v>Shikara</v>
      </c>
      <c r="S128" s="5" t="str">
        <f>IFERROR(__xludf.DUMMYFUNCTION("""COMPUTED_VALUE"""),"7 Din Mohabbat In")</f>
        <v>7 Din Mohabbat In</v>
      </c>
      <c r="T128" s="5" t="str">
        <f>IFERROR(__xludf.DUMMYFUNCTION("""COMPUTED_VALUE"""),"Cyprus")</f>
        <v>Cyprus</v>
      </c>
      <c r="U128" s="5" t="str">
        <f>IFERROR(__xludf.DUMMYFUNCTION("""COMPUTED_VALUE"""),"Umesh Ghadge")</f>
        <v>Umesh Ghadge</v>
      </c>
      <c r="V128" s="5" t="s">
        <v>892</v>
      </c>
      <c r="W128" s="5" t="str">
        <f t="shared" si="3"/>
        <v>Alastair Fothergill</v>
      </c>
      <c r="X128" s="5">
        <f t="shared" si="4"/>
        <v>3</v>
      </c>
      <c r="Y128" s="5" t="str">
        <f>IFERROR(__xludf.DUMMYFUNCTION("REGEXEXTRACT(J128, ""^\d+"")"),"115")</f>
        <v>115</v>
      </c>
      <c r="Z128" s="5" t="str">
        <f>IFERROR(__xludf.DUMMYFUNCTION("REGEXEXTRACT(J128, ""[A-Za-z ]+$"")")," min")</f>
        <v> min</v>
      </c>
      <c r="AA128" s="5" t="str">
        <f>IFERROR(__xludf.DUMMYFUNCTION("IF(REGEXMATCH(Z128, ""Season""), ""TV Show"", ""Movie"")"),"Movie")</f>
        <v>Movie</v>
      </c>
    </row>
    <row r="129">
      <c r="A129" s="1" t="s">
        <v>893</v>
      </c>
      <c r="B129" s="1" t="s">
        <v>27</v>
      </c>
      <c r="C129" s="1" t="s">
        <v>894</v>
      </c>
      <c r="D129" s="1" t="s">
        <v>895</v>
      </c>
      <c r="E129" s="1" t="s">
        <v>896</v>
      </c>
      <c r="F129" s="1" t="s">
        <v>897</v>
      </c>
      <c r="G129" s="1" t="s">
        <v>898</v>
      </c>
      <c r="H129" s="1">
        <v>2004.0</v>
      </c>
      <c r="I129" s="1" t="s">
        <v>78</v>
      </c>
      <c r="J129" s="1" t="s">
        <v>465</v>
      </c>
      <c r="K129" s="1" t="s">
        <v>137</v>
      </c>
      <c r="L129" s="1" t="s">
        <v>899</v>
      </c>
      <c r="M129" s="2" t="s">
        <v>12</v>
      </c>
      <c r="N129" s="4">
        <f t="shared" si="1"/>
        <v>44440</v>
      </c>
      <c r="O129" s="5" t="str">
        <f>IFERROR(__xludf.DUMMYFUNCTION("IF(REGEXMATCH(TRIM(I129), ""^\d+\s*min""), ""Unclassified"", IF(I129 = """", ""NR"", I129))"),"PG")</f>
        <v>PG</v>
      </c>
      <c r="R129" s="5" t="str">
        <f t="shared" si="2"/>
        <v>A Cinderella Story</v>
      </c>
      <c r="S129" s="5" t="str">
        <f>IFERROR(__xludf.DUMMYFUNCTION("""COMPUTED_VALUE"""),"7 Khoon Maaf")</f>
        <v>7 Khoon Maaf</v>
      </c>
      <c r="T129" s="5" t="str">
        <f>IFERROR(__xludf.DUMMYFUNCTION("""COMPUTED_VALUE"""),"Czech Republic, France")</f>
        <v>Czech Republic, France</v>
      </c>
      <c r="U129" s="5" t="str">
        <f>IFERROR(__xludf.DUMMYFUNCTION("""COMPUTED_VALUE"""),"David Dhawan")</f>
        <v>David Dhawan</v>
      </c>
      <c r="V129" s="5" t="s">
        <v>900</v>
      </c>
      <c r="W129" s="5" t="str">
        <f t="shared" si="3"/>
        <v>Alastair Fothergill, Jonnie Hughes, Keith Scholey</v>
      </c>
      <c r="X129" s="5">
        <f t="shared" si="4"/>
        <v>1</v>
      </c>
      <c r="Y129" s="5" t="str">
        <f>IFERROR(__xludf.DUMMYFUNCTION("REGEXEXTRACT(J129, ""^\d+"")"),"95")</f>
        <v>95</v>
      </c>
      <c r="Z129" s="5" t="str">
        <f>IFERROR(__xludf.DUMMYFUNCTION("REGEXEXTRACT(J129, ""[A-Za-z ]+$"")")," min")</f>
        <v> min</v>
      </c>
      <c r="AA129" s="5" t="str">
        <f>IFERROR(__xludf.DUMMYFUNCTION("IF(REGEXMATCH(Z129, ""Season""), ""TV Show"", ""Movie"")"),"Movie")</f>
        <v>Movie</v>
      </c>
    </row>
    <row r="130">
      <c r="A130" s="1" t="s">
        <v>901</v>
      </c>
      <c r="B130" s="1" t="s">
        <v>27</v>
      </c>
      <c r="C130" s="1" t="s">
        <v>902</v>
      </c>
      <c r="D130" s="1" t="s">
        <v>903</v>
      </c>
      <c r="E130" s="1" t="s">
        <v>904</v>
      </c>
      <c r="G130" s="1" t="s">
        <v>898</v>
      </c>
      <c r="H130" s="1">
        <v>2017.0</v>
      </c>
      <c r="I130" s="1" t="s">
        <v>32</v>
      </c>
      <c r="J130" s="1" t="s">
        <v>379</v>
      </c>
      <c r="K130" s="1" t="s">
        <v>298</v>
      </c>
      <c r="L130" s="1" t="s">
        <v>905</v>
      </c>
      <c r="M130" s="2" t="s">
        <v>12</v>
      </c>
      <c r="N130" s="4">
        <f t="shared" si="1"/>
        <v>44440</v>
      </c>
      <c r="O130" s="5" t="str">
        <f>IFERROR(__xludf.DUMMYFUNCTION("IF(REGEXMATCH(TRIM(I130), ""^\d+\s*min""), ""Unclassified"", IF(I130 = """", ""NR"", I130))"),"PG-13")</f>
        <v>PG-13</v>
      </c>
      <c r="R130" s="5" t="str">
        <f t="shared" si="2"/>
        <v>Agatha Christie'S Crooked House</v>
      </c>
      <c r="S130" s="5" t="str">
        <f>IFERROR(__xludf.DUMMYFUNCTION("""COMPUTED_VALUE"""),"7 Yards: The Chris Norton Story")</f>
        <v>7 Yards: The Chris Norton Story</v>
      </c>
      <c r="T130" s="5" t="str">
        <f>IFERROR(__xludf.DUMMYFUNCTION("""COMPUTED_VALUE"""),"Czech Republic, Slovakia")</f>
        <v>Czech Republic, Slovakia</v>
      </c>
      <c r="U130" s="5" t="str">
        <f>IFERROR(__xludf.DUMMYFUNCTION("""COMPUTED_VALUE"""),"Dibakar Banerjee")</f>
        <v>Dibakar Banerjee</v>
      </c>
      <c r="V130" s="5" t="s">
        <v>906</v>
      </c>
      <c r="W130" s="5" t="str">
        <f t="shared" si="3"/>
        <v>Albert Hughes, Allen Hughes</v>
      </c>
      <c r="X130" s="5">
        <f t="shared" si="4"/>
        <v>1</v>
      </c>
      <c r="Y130" s="5" t="str">
        <f>IFERROR(__xludf.DUMMYFUNCTION("REGEXEXTRACT(J130, ""^\d+"")"),"115")</f>
        <v>115</v>
      </c>
      <c r="Z130" s="5" t="str">
        <f>IFERROR(__xludf.DUMMYFUNCTION("REGEXEXTRACT(J130, ""[A-Za-z ]+$"")")," min")</f>
        <v> min</v>
      </c>
      <c r="AA130" s="5" t="str">
        <f>IFERROR(__xludf.DUMMYFUNCTION("IF(REGEXMATCH(Z130, ""Season""), ""TV Show"", ""Movie"")"),"Movie")</f>
        <v>Movie</v>
      </c>
    </row>
    <row r="131">
      <c r="A131" s="1" t="s">
        <v>907</v>
      </c>
      <c r="B131" s="1" t="s">
        <v>27</v>
      </c>
      <c r="C131" s="1" t="s">
        <v>908</v>
      </c>
      <c r="D131" s="1" t="s">
        <v>909</v>
      </c>
      <c r="E131" s="1" t="s">
        <v>910</v>
      </c>
      <c r="F131" s="1" t="s">
        <v>911</v>
      </c>
      <c r="G131" s="1" t="s">
        <v>898</v>
      </c>
      <c r="H131" s="1">
        <v>2005.0</v>
      </c>
      <c r="I131" s="1" t="s">
        <v>32</v>
      </c>
      <c r="J131" s="1" t="s">
        <v>912</v>
      </c>
      <c r="K131" s="1" t="s">
        <v>805</v>
      </c>
      <c r="L131" s="1" t="s">
        <v>913</v>
      </c>
      <c r="M131" s="2" t="s">
        <v>12</v>
      </c>
      <c r="N131" s="4">
        <f t="shared" si="1"/>
        <v>44440</v>
      </c>
      <c r="O131" s="5" t="str">
        <f>IFERROR(__xludf.DUMMYFUNCTION("IF(REGEXMATCH(TRIM(I131), ""^\d+\s*min""), ""Unclassified"", IF(I131 = """", ""NR"", I131))"),"PG-13")</f>
        <v>PG-13</v>
      </c>
      <c r="R131" s="5" t="str">
        <f t="shared" si="2"/>
        <v>An Unfinished Life</v>
      </c>
      <c r="S131" s="5" t="str">
        <f>IFERROR(__xludf.DUMMYFUNCTION("""COMPUTED_VALUE"""),"7:19")</f>
        <v>7:19</v>
      </c>
      <c r="T131" s="5" t="str">
        <f>IFERROR(__xludf.DUMMYFUNCTION("""COMPUTED_VALUE"""),"Czech Republic, United Kingdom, France")</f>
        <v>Czech Republic, United Kingdom, France</v>
      </c>
      <c r="U131" s="5" t="str">
        <f>IFERROR(__xludf.DUMMYFUNCTION("""COMPUTED_VALUE"""),"Apoorva Lakhia")</f>
        <v>Apoorva Lakhia</v>
      </c>
      <c r="V131" s="5" t="s">
        <v>914</v>
      </c>
      <c r="W131" s="5" t="str">
        <f t="shared" si="3"/>
        <v>Albert Sharpe</v>
      </c>
      <c r="X131" s="5">
        <f t="shared" si="4"/>
        <v>1</v>
      </c>
      <c r="Y131" s="5" t="str">
        <f>IFERROR(__xludf.DUMMYFUNCTION("REGEXEXTRACT(J131, ""^\d+"")"),"108")</f>
        <v>108</v>
      </c>
      <c r="Z131" s="5" t="str">
        <f>IFERROR(__xludf.DUMMYFUNCTION("REGEXEXTRACT(J131, ""[A-Za-z ]+$"")")," min")</f>
        <v> min</v>
      </c>
      <c r="AA131" s="5" t="str">
        <f>IFERROR(__xludf.DUMMYFUNCTION("IF(REGEXMATCH(Z131, ""Season""), ""TV Show"", ""Movie"")"),"Movie")</f>
        <v>Movie</v>
      </c>
    </row>
    <row r="132">
      <c r="A132" s="1" t="s">
        <v>915</v>
      </c>
      <c r="B132" s="1" t="s">
        <v>27</v>
      </c>
      <c r="C132" s="1" t="s">
        <v>916</v>
      </c>
      <c r="D132" s="1" t="s">
        <v>917</v>
      </c>
      <c r="E132" s="1" t="s">
        <v>918</v>
      </c>
      <c r="G132" s="1" t="s">
        <v>898</v>
      </c>
      <c r="H132" s="1">
        <v>2021.0</v>
      </c>
      <c r="I132" s="1" t="s">
        <v>206</v>
      </c>
      <c r="J132" s="1" t="s">
        <v>919</v>
      </c>
      <c r="K132" s="1" t="s">
        <v>920</v>
      </c>
      <c r="L132" s="1" t="s">
        <v>921</v>
      </c>
      <c r="M132" s="2" t="s">
        <v>12</v>
      </c>
      <c r="N132" s="4">
        <f t="shared" si="1"/>
        <v>44440</v>
      </c>
      <c r="O132" s="5" t="str">
        <f>IFERROR(__xludf.DUMMYFUNCTION("IF(REGEXMATCH(TRIM(I132), ""^\d+\s*min""), ""Unclassified"", IF(I132 = """", ""NR"", I132))"),"TV-Y")</f>
        <v>TV-Y</v>
      </c>
      <c r="R132" s="5" t="str">
        <f t="shared" si="2"/>
        <v>Barbie Big City Big Dreams</v>
      </c>
      <c r="S132" s="5" t="str">
        <f>IFERROR(__xludf.DUMMYFUNCTION("""COMPUTED_VALUE"""),"706")</f>
        <v>706</v>
      </c>
      <c r="T132" s="5" t="str">
        <f>IFERROR(__xludf.DUMMYFUNCTION("""COMPUTED_VALUE"""),"Czech Republic, United Kingdom, United States")</f>
        <v>Czech Republic, United Kingdom, United States</v>
      </c>
      <c r="U132" s="5" t="str">
        <f>IFERROR(__xludf.DUMMYFUNCTION("""COMPUTED_VALUE"""),"Milan Luthria")</f>
        <v>Milan Luthria</v>
      </c>
      <c r="V132" s="5" t="s">
        <v>922</v>
      </c>
      <c r="W132" s="5" t="str">
        <f t="shared" si="3"/>
        <v>Alberto Arnaut Estrada</v>
      </c>
      <c r="X132" s="5">
        <f t="shared" si="4"/>
        <v>1</v>
      </c>
      <c r="Y132" s="5" t="str">
        <f>IFERROR(__xludf.DUMMYFUNCTION("REGEXEXTRACT(J132, ""^\d+"")"),"63")</f>
        <v>63</v>
      </c>
      <c r="Z132" s="5" t="str">
        <f>IFERROR(__xludf.DUMMYFUNCTION("REGEXEXTRACT(J132, ""[A-Za-z ]+$"")")," min")</f>
        <v> min</v>
      </c>
      <c r="AA132" s="5" t="str">
        <f>IFERROR(__xludf.DUMMYFUNCTION("IF(REGEXMATCH(Z132, ""Season""), ""TV Show"", ""Movie"")"),"Movie")</f>
        <v>Movie</v>
      </c>
    </row>
    <row r="133">
      <c r="A133" s="1" t="s">
        <v>923</v>
      </c>
      <c r="B133" s="1" t="s">
        <v>27</v>
      </c>
      <c r="C133" s="1" t="s">
        <v>924</v>
      </c>
      <c r="D133" s="1" t="s">
        <v>925</v>
      </c>
      <c r="E133" s="1" t="s">
        <v>926</v>
      </c>
      <c r="F133" s="1" t="s">
        <v>30</v>
      </c>
      <c r="G133" s="1" t="s">
        <v>898</v>
      </c>
      <c r="H133" s="1">
        <v>1982.0</v>
      </c>
      <c r="I133" s="1" t="s">
        <v>378</v>
      </c>
      <c r="J133" s="1" t="s">
        <v>743</v>
      </c>
      <c r="K133" s="1" t="s">
        <v>927</v>
      </c>
      <c r="L133" s="1" t="s">
        <v>928</v>
      </c>
      <c r="M133" s="2" t="s">
        <v>12</v>
      </c>
      <c r="N133" s="4">
        <f t="shared" si="1"/>
        <v>44440</v>
      </c>
      <c r="O133" s="5" t="str">
        <f>IFERROR(__xludf.DUMMYFUNCTION("IF(REGEXMATCH(TRIM(I133), ""^\d+\s*min""), ""Unclassified"", IF(I133 = """", ""NR"", I133))"),"R")</f>
        <v>R</v>
      </c>
      <c r="R133" s="5" t="str">
        <f t="shared" si="2"/>
        <v>Blade Runner: The Final Cut</v>
      </c>
      <c r="S133" s="5" t="str">
        <f>IFERROR(__xludf.DUMMYFUNCTION("""COMPUTED_VALUE"""),"72 Cutest Animals")</f>
        <v>72 Cutest Animals</v>
      </c>
      <c r="T133" s="5" t="str">
        <f>IFERROR(__xludf.DUMMYFUNCTION("""COMPUTED_VALUE"""),"Czech Republic, United States")</f>
        <v>Czech Republic, United States</v>
      </c>
      <c r="U133" s="5" t="str">
        <f>IFERROR(__xludf.DUMMYFUNCTION("""COMPUTED_VALUE"""),"Pawan Kripalani")</f>
        <v>Pawan Kripalani</v>
      </c>
      <c r="V133" s="5" t="s">
        <v>929</v>
      </c>
      <c r="W133" s="5" t="str">
        <f t="shared" si="3"/>
        <v>Alberto Rodríguez</v>
      </c>
      <c r="X133" s="5">
        <f t="shared" si="4"/>
        <v>1</v>
      </c>
      <c r="Y133" s="5" t="str">
        <f>IFERROR(__xludf.DUMMYFUNCTION("REGEXEXTRACT(J133, ""^\d+"")"),"117")</f>
        <v>117</v>
      </c>
      <c r="Z133" s="5" t="str">
        <f>IFERROR(__xludf.DUMMYFUNCTION("REGEXEXTRACT(J133, ""[A-Za-z ]+$"")")," min")</f>
        <v> min</v>
      </c>
      <c r="AA133" s="5" t="str">
        <f>IFERROR(__xludf.DUMMYFUNCTION("IF(REGEXMATCH(Z133, ""Season""), ""TV Show"", ""Movie"")"),"Movie")</f>
        <v>Movie</v>
      </c>
    </row>
    <row r="134">
      <c r="A134" s="1" t="s">
        <v>930</v>
      </c>
      <c r="B134" s="1" t="s">
        <v>37</v>
      </c>
      <c r="C134" s="1" t="s">
        <v>931</v>
      </c>
      <c r="E134" s="1" t="s">
        <v>932</v>
      </c>
      <c r="G134" s="1" t="s">
        <v>898</v>
      </c>
      <c r="H134" s="1">
        <v>2021.0</v>
      </c>
      <c r="I134" s="1" t="s">
        <v>42</v>
      </c>
      <c r="J134" s="1" t="s">
        <v>51</v>
      </c>
      <c r="K134" s="1" t="s">
        <v>933</v>
      </c>
      <c r="L134" s="1" t="s">
        <v>934</v>
      </c>
      <c r="M134" s="2" t="s">
        <v>12</v>
      </c>
      <c r="N134" s="4">
        <f t="shared" si="1"/>
        <v>44440</v>
      </c>
      <c r="O134" s="5" t="str">
        <f>IFERROR(__xludf.DUMMYFUNCTION("IF(REGEXMATCH(TRIM(I134), ""^\d+\s*min""), ""Unclassified"", IF(I134 = """", ""NR"", I134))"),"TV-MA")</f>
        <v>TV-MA</v>
      </c>
      <c r="R134" s="5" t="str">
        <f t="shared" si="2"/>
        <v>Brave Animated Series</v>
      </c>
      <c r="S134" s="5" t="str">
        <f>IFERROR(__xludf.DUMMYFUNCTION("""COMPUTED_VALUE"""),"72 Dangerous Animals: Asia")</f>
        <v>72 Dangerous Animals: Asia</v>
      </c>
      <c r="T134" s="5" t="str">
        <f>IFERROR(__xludf.DUMMYFUNCTION("""COMPUTED_VALUE"""),"Denmark")</f>
        <v>Denmark</v>
      </c>
      <c r="U134" s="5" t="str">
        <f>IFERROR(__xludf.DUMMYFUNCTION("""COMPUTED_VALUE"""),"Bhushan Patel")</f>
        <v>Bhushan Patel</v>
      </c>
      <c r="V134" s="5" t="s">
        <v>935</v>
      </c>
      <c r="W134" s="5" t="str">
        <f t="shared" si="3"/>
        <v>Alê Abreu</v>
      </c>
      <c r="X134" s="5">
        <f t="shared" si="4"/>
        <v>1</v>
      </c>
      <c r="Y134" s="5" t="str">
        <f>IFERROR(__xludf.DUMMYFUNCTION("REGEXEXTRACT(J134, ""^\d+"")"),"1")</f>
        <v>1</v>
      </c>
      <c r="Z134" s="5" t="str">
        <f>IFERROR(__xludf.DUMMYFUNCTION("REGEXEXTRACT(J134, ""[A-Za-z ]+$"")")," Season")</f>
        <v> Season</v>
      </c>
      <c r="AA134" s="5" t="str">
        <f>IFERROR(__xludf.DUMMYFUNCTION("IF(REGEXMATCH(Z134, ""Season""), ""TV Show"", ""Movie"")"),"TV Show")</f>
        <v>TV Show</v>
      </c>
    </row>
    <row r="135">
      <c r="A135" s="1" t="s">
        <v>936</v>
      </c>
      <c r="B135" s="1" t="s">
        <v>27</v>
      </c>
      <c r="C135" s="1" t="s">
        <v>937</v>
      </c>
      <c r="D135" s="1" t="s">
        <v>938</v>
      </c>
      <c r="E135" s="1" t="s">
        <v>939</v>
      </c>
      <c r="F135" s="1" t="s">
        <v>940</v>
      </c>
      <c r="G135" s="1" t="s">
        <v>898</v>
      </c>
      <c r="H135" s="1">
        <v>2015.0</v>
      </c>
      <c r="I135" s="1" t="s">
        <v>378</v>
      </c>
      <c r="J135" s="1" t="s">
        <v>941</v>
      </c>
      <c r="K135" s="1" t="s">
        <v>942</v>
      </c>
      <c r="L135" s="1" t="s">
        <v>943</v>
      </c>
      <c r="M135" s="2" t="s">
        <v>12</v>
      </c>
      <c r="N135" s="4">
        <f t="shared" si="1"/>
        <v>44440</v>
      </c>
      <c r="O135" s="5" t="str">
        <f>IFERROR(__xludf.DUMMYFUNCTION("IF(REGEXMATCH(TRIM(I135), ""^\d+\s*min""), ""Unclassified"", IF(I135 = """", ""NR"", I135))"),"R")</f>
        <v>R</v>
      </c>
      <c r="R135" s="5" t="str">
        <f t="shared" si="2"/>
        <v>Chappie</v>
      </c>
      <c r="S135" s="5" t="str">
        <f>IFERROR(__xludf.DUMMYFUNCTION("""COMPUTED_VALUE"""),"72 Dangerous Animals: Latin America")</f>
        <v>72 Dangerous Animals: Latin America</v>
      </c>
      <c r="T135" s="5" t="str">
        <f>IFERROR(__xludf.DUMMYFUNCTION("""COMPUTED_VALUE"""),"Denmark, Brazil, France, Portugal, Sweden")</f>
        <v>Denmark, Brazil, France, Portugal, Sweden</v>
      </c>
      <c r="U135" s="5" t="str">
        <f>IFERROR(__xludf.DUMMYFUNCTION("""COMPUTED_VALUE"""),"Magnus Martens")</f>
        <v>Magnus Martens</v>
      </c>
      <c r="V135" s="5" t="s">
        <v>944</v>
      </c>
      <c r="W135" s="5" t="str">
        <f t="shared" si="3"/>
        <v>Alejandra Márquez Abella</v>
      </c>
      <c r="X135" s="5">
        <f t="shared" si="4"/>
        <v>1</v>
      </c>
      <c r="Y135" s="5" t="str">
        <f>IFERROR(__xludf.DUMMYFUNCTION("REGEXEXTRACT(J135, ""^\d+"")"),"121")</f>
        <v>121</v>
      </c>
      <c r="Z135" s="5" t="str">
        <f>IFERROR(__xludf.DUMMYFUNCTION("REGEXEXTRACT(J135, ""[A-Za-z ]+$"")")," min")</f>
        <v> min</v>
      </c>
      <c r="AA135" s="5" t="str">
        <f>IFERROR(__xludf.DUMMYFUNCTION("IF(REGEXMATCH(Z135, ""Season""), ""TV Show"", ""Movie"")"),"Movie")</f>
        <v>Movie</v>
      </c>
    </row>
    <row r="136">
      <c r="A136" s="1" t="s">
        <v>945</v>
      </c>
      <c r="B136" s="1" t="s">
        <v>27</v>
      </c>
      <c r="C136" s="1" t="s">
        <v>946</v>
      </c>
      <c r="D136" s="1" t="s">
        <v>947</v>
      </c>
      <c r="E136" s="1" t="s">
        <v>948</v>
      </c>
      <c r="F136" s="1" t="s">
        <v>949</v>
      </c>
      <c r="G136" s="1" t="s">
        <v>898</v>
      </c>
      <c r="H136" s="1">
        <v>1994.0</v>
      </c>
      <c r="I136" s="1" t="s">
        <v>32</v>
      </c>
      <c r="J136" s="1" t="s">
        <v>950</v>
      </c>
      <c r="K136" s="1" t="s">
        <v>323</v>
      </c>
      <c r="L136" s="1" t="s">
        <v>951</v>
      </c>
      <c r="M136" s="2" t="s">
        <v>12</v>
      </c>
      <c r="N136" s="4">
        <f t="shared" si="1"/>
        <v>44440</v>
      </c>
      <c r="O136" s="5" t="str">
        <f>IFERROR(__xludf.DUMMYFUNCTION("IF(REGEXMATCH(TRIM(I136), ""^\d+\s*min""), ""Unclassified"", IF(I136 = """", ""NR"", I136))"),"PG-13")</f>
        <v>PG-13</v>
      </c>
      <c r="R136" s="5" t="str">
        <f t="shared" si="2"/>
        <v>Clear And Present Danger</v>
      </c>
      <c r="S136" s="5" t="str">
        <f>IFERROR(__xludf.DUMMYFUNCTION("""COMPUTED_VALUE"""),"72 Dangerous Places To Live")</f>
        <v>72 Dangerous Places To Live</v>
      </c>
      <c r="T136" s="5" t="str">
        <f>IFERROR(__xludf.DUMMYFUNCTION("""COMPUTED_VALUE"""),"Denmark, China")</f>
        <v>Denmark, China</v>
      </c>
      <c r="U136" s="5" t="str">
        <f>IFERROR(__xludf.DUMMYFUNCTION("""COMPUTED_VALUE"""),"Raj Nidimoru, Krishna D.K.")</f>
        <v>Raj Nidimoru, Krishna D.K.</v>
      </c>
      <c r="V136" s="5" t="s">
        <v>952</v>
      </c>
      <c r="W136" s="5" t="str">
        <f t="shared" si="3"/>
        <v>Alejandro Agresti</v>
      </c>
      <c r="X136" s="5">
        <f t="shared" si="4"/>
        <v>2</v>
      </c>
      <c r="Y136" s="5" t="str">
        <f>IFERROR(__xludf.DUMMYFUNCTION("REGEXEXTRACT(J136, ""^\d+"")"),"142")</f>
        <v>142</v>
      </c>
      <c r="Z136" s="5" t="str">
        <f>IFERROR(__xludf.DUMMYFUNCTION("REGEXEXTRACT(J136, ""[A-Za-z ]+$"")")," min")</f>
        <v> min</v>
      </c>
      <c r="AA136" s="5" t="str">
        <f>IFERROR(__xludf.DUMMYFUNCTION("IF(REGEXMATCH(Z136, ""Season""), ""TV Show"", ""Movie"")"),"Movie")</f>
        <v>Movie</v>
      </c>
    </row>
    <row r="137">
      <c r="A137" s="1" t="s">
        <v>953</v>
      </c>
      <c r="B137" s="1" t="s">
        <v>27</v>
      </c>
      <c r="C137" s="1" t="s">
        <v>954</v>
      </c>
      <c r="D137" s="1" t="s">
        <v>955</v>
      </c>
      <c r="E137" s="1" t="s">
        <v>956</v>
      </c>
      <c r="F137" s="1" t="s">
        <v>957</v>
      </c>
      <c r="G137" s="1" t="s">
        <v>898</v>
      </c>
      <c r="H137" s="1">
        <v>1993.0</v>
      </c>
      <c r="I137" s="1" t="s">
        <v>378</v>
      </c>
      <c r="J137" s="1" t="s">
        <v>519</v>
      </c>
      <c r="K137" s="1" t="s">
        <v>380</v>
      </c>
      <c r="L137" s="1" t="s">
        <v>958</v>
      </c>
      <c r="M137" s="2" t="s">
        <v>12</v>
      </c>
      <c r="N137" s="4">
        <f t="shared" si="1"/>
        <v>44440</v>
      </c>
      <c r="O137" s="5" t="str">
        <f>IFERROR(__xludf.DUMMYFUNCTION("IF(REGEXMATCH(TRIM(I137), ""^\d+\s*min""), ""Unclassified"", IF(I137 = """", ""NR"", I137))"),"R")</f>
        <v>R</v>
      </c>
      <c r="R137" s="5" t="str">
        <f t="shared" si="2"/>
        <v>Cliffhanger</v>
      </c>
      <c r="S137" s="5" t="str">
        <f>IFERROR(__xludf.DUMMYFUNCTION("""COMPUTED_VALUE"""),"76")</f>
        <v>76</v>
      </c>
      <c r="T137" s="5" t="str">
        <f>IFERROR(__xludf.DUMMYFUNCTION("""COMPUTED_VALUE"""),"Denmark, France, Belgium, Italy, Netherlands, United States, United Kingdom")</f>
        <v>Denmark, France, Belgium, Italy, Netherlands, United States, United Kingdom</v>
      </c>
      <c r="U137" s="5" t="str">
        <f>IFERROR(__xludf.DUMMYFUNCTION("""COMPUTED_VALUE"""),"Joshua Rofé")</f>
        <v>Joshua Rofé</v>
      </c>
      <c r="V137" s="5" t="s">
        <v>959</v>
      </c>
      <c r="W137" s="5" t="str">
        <f t="shared" si="3"/>
        <v>Alejandro De Grazia, Juan Stadler</v>
      </c>
      <c r="X137" s="5">
        <f t="shared" si="4"/>
        <v>1</v>
      </c>
      <c r="Y137" s="5" t="str">
        <f>IFERROR(__xludf.DUMMYFUNCTION("REGEXEXTRACT(J137, ""^\d+"")"),"113")</f>
        <v>113</v>
      </c>
      <c r="Z137" s="5" t="str">
        <f>IFERROR(__xludf.DUMMYFUNCTION("REGEXEXTRACT(J137, ""[A-Za-z ]+$"")")," min")</f>
        <v> min</v>
      </c>
      <c r="AA137" s="5" t="str">
        <f>IFERROR(__xludf.DUMMYFUNCTION("IF(REGEXMATCH(Z137, ""Season""), ""TV Show"", ""Movie"")"),"Movie")</f>
        <v>Movie</v>
      </c>
    </row>
    <row r="138">
      <c r="A138" s="1" t="s">
        <v>960</v>
      </c>
      <c r="B138" s="1" t="s">
        <v>27</v>
      </c>
      <c r="C138" s="1" t="s">
        <v>961</v>
      </c>
      <c r="D138" s="1" t="s">
        <v>962</v>
      </c>
      <c r="E138" s="1" t="s">
        <v>963</v>
      </c>
      <c r="F138" s="1" t="s">
        <v>964</v>
      </c>
      <c r="G138" s="1" t="s">
        <v>898</v>
      </c>
      <c r="H138" s="1">
        <v>2003.0</v>
      </c>
      <c r="I138" s="1" t="s">
        <v>378</v>
      </c>
      <c r="J138" s="1" t="s">
        <v>965</v>
      </c>
      <c r="K138" s="1" t="s">
        <v>828</v>
      </c>
      <c r="L138" s="1" t="s">
        <v>966</v>
      </c>
      <c r="M138" s="2" t="s">
        <v>12</v>
      </c>
      <c r="N138" s="4">
        <f t="shared" si="1"/>
        <v>44440</v>
      </c>
      <c r="O138" s="5" t="str">
        <f>IFERROR(__xludf.DUMMYFUNCTION("IF(REGEXMATCH(TRIM(I138), ""^\d+\s*min""), ""Unclassified"", IF(I138 = """", ""NR"", I138))"),"R")</f>
        <v>R</v>
      </c>
      <c r="R138" s="5" t="str">
        <f t="shared" si="2"/>
        <v>Cold Mountain</v>
      </c>
      <c r="S138" s="5" t="str">
        <f>IFERROR(__xludf.DUMMYFUNCTION("""COMPUTED_VALUE"""),"7Seeds")</f>
        <v>7Seeds</v>
      </c>
      <c r="T138" s="5" t="str">
        <f>IFERROR(__xludf.DUMMYFUNCTION("""COMPUTED_VALUE"""),"Denmark, France, Poland")</f>
        <v>Denmark, France, Poland</v>
      </c>
      <c r="U138" s="5" t="str">
        <f>IFERROR(__xludf.DUMMYFUNCTION("""COMPUTED_VALUE"""),"Brad Anderson")</f>
        <v>Brad Anderson</v>
      </c>
      <c r="V138" s="5" t="s">
        <v>967</v>
      </c>
      <c r="W138" s="5" t="str">
        <f t="shared" si="3"/>
        <v>Alejandro Doria</v>
      </c>
      <c r="X138" s="5">
        <f t="shared" si="4"/>
        <v>2</v>
      </c>
      <c r="Y138" s="5" t="str">
        <f>IFERROR(__xludf.DUMMYFUNCTION("REGEXEXTRACT(J138, ""^\d+"")"),"154")</f>
        <v>154</v>
      </c>
      <c r="Z138" s="5" t="str">
        <f>IFERROR(__xludf.DUMMYFUNCTION("REGEXEXTRACT(J138, ""[A-Za-z ]+$"")")," min")</f>
        <v> min</v>
      </c>
      <c r="AA138" s="5" t="str">
        <f>IFERROR(__xludf.DUMMYFUNCTION("IF(REGEXMATCH(Z138, ""Season""), ""TV Show"", ""Movie"")"),"Movie")</f>
        <v>Movie</v>
      </c>
    </row>
    <row r="139">
      <c r="A139" s="1" t="s">
        <v>968</v>
      </c>
      <c r="B139" s="1" t="s">
        <v>27</v>
      </c>
      <c r="C139" s="1" t="s">
        <v>969</v>
      </c>
      <c r="D139" s="1" t="s">
        <v>970</v>
      </c>
      <c r="E139" s="1" t="s">
        <v>971</v>
      </c>
      <c r="F139" s="1" t="s">
        <v>972</v>
      </c>
      <c r="G139" s="1" t="s">
        <v>898</v>
      </c>
      <c r="H139" s="1">
        <v>2001.0</v>
      </c>
      <c r="I139" s="1" t="s">
        <v>78</v>
      </c>
      <c r="J139" s="1" t="s">
        <v>465</v>
      </c>
      <c r="K139" s="1" t="s">
        <v>973</v>
      </c>
      <c r="L139" s="1" t="s">
        <v>974</v>
      </c>
      <c r="M139" s="2" t="s">
        <v>12</v>
      </c>
      <c r="N139" s="4">
        <f t="shared" si="1"/>
        <v>44440</v>
      </c>
      <c r="O139" s="5" t="str">
        <f>IFERROR(__xludf.DUMMYFUNCTION("IF(REGEXMATCH(TRIM(I139), ""^\d+\s*min""), ""Unclassified"", IF(I139 = """", ""NR"", I139))"),"PG")</f>
        <v>PG</v>
      </c>
      <c r="R139" s="5" t="str">
        <f t="shared" si="2"/>
        <v>Crocodile Dundee In Los Angeles</v>
      </c>
      <c r="S139" s="5" t="str">
        <f>IFERROR(__xludf.DUMMYFUNCTION("""COMPUTED_VALUE"""),"89")</f>
        <v>89</v>
      </c>
      <c r="T139" s="5" t="str">
        <f>IFERROR(__xludf.DUMMYFUNCTION("""COMPUTED_VALUE"""),"Denmark, France, United States, Sweden")</f>
        <v>Denmark, France, United States, Sweden</v>
      </c>
      <c r="U139" s="5" t="str">
        <f>IFERROR(__xludf.DUMMYFUNCTION("""COMPUTED_VALUE"""),"Mauricio Dias, Tatiana Villela")</f>
        <v>Mauricio Dias, Tatiana Villela</v>
      </c>
      <c r="V139" s="5" t="s">
        <v>975</v>
      </c>
      <c r="W139" s="5" t="str">
        <f t="shared" si="3"/>
        <v>Alejandro Fernández Almendras</v>
      </c>
      <c r="X139" s="5">
        <f t="shared" si="4"/>
        <v>2</v>
      </c>
      <c r="Y139" s="5" t="str">
        <f>IFERROR(__xludf.DUMMYFUNCTION("REGEXEXTRACT(J139, ""^\d+"")"),"95")</f>
        <v>95</v>
      </c>
      <c r="Z139" s="5" t="str">
        <f>IFERROR(__xludf.DUMMYFUNCTION("REGEXEXTRACT(J139, ""[A-Za-z ]+$"")")," min")</f>
        <v> min</v>
      </c>
      <c r="AA139" s="5" t="str">
        <f>IFERROR(__xludf.DUMMYFUNCTION("IF(REGEXMATCH(Z139, ""Season""), ""TV Show"", ""Movie"")"),"Movie")</f>
        <v>Movie</v>
      </c>
    </row>
    <row r="140">
      <c r="A140" s="1" t="s">
        <v>976</v>
      </c>
      <c r="B140" s="1" t="s">
        <v>27</v>
      </c>
      <c r="C140" s="1" t="s">
        <v>977</v>
      </c>
      <c r="D140" s="1" t="s">
        <v>909</v>
      </c>
      <c r="E140" s="1" t="s">
        <v>978</v>
      </c>
      <c r="F140" s="1" t="s">
        <v>30</v>
      </c>
      <c r="G140" s="1" t="s">
        <v>898</v>
      </c>
      <c r="H140" s="1">
        <v>2010.0</v>
      </c>
      <c r="I140" s="1" t="s">
        <v>32</v>
      </c>
      <c r="J140" s="1" t="s">
        <v>912</v>
      </c>
      <c r="K140" s="1" t="s">
        <v>828</v>
      </c>
      <c r="L140" s="1" t="s">
        <v>979</v>
      </c>
      <c r="M140" s="2" t="s">
        <v>12</v>
      </c>
      <c r="N140" s="4">
        <f t="shared" si="1"/>
        <v>44440</v>
      </c>
      <c r="O140" s="5" t="str">
        <f>IFERROR(__xludf.DUMMYFUNCTION("IF(REGEXMATCH(TRIM(I140), ""^\d+\s*min""), ""Unclassified"", IF(I140 = """", ""NR"", I140))"),"PG-13")</f>
        <v>PG-13</v>
      </c>
      <c r="R140" s="5" t="str">
        <f t="shared" si="2"/>
        <v>Dear John</v>
      </c>
      <c r="S140" s="5" t="str">
        <f>IFERROR(__xludf.DUMMYFUNCTION("""COMPUTED_VALUE"""),"9")</f>
        <v>9</v>
      </c>
      <c r="T140" s="5" t="str">
        <f>IFERROR(__xludf.DUMMYFUNCTION("""COMPUTED_VALUE"""),"Denmark, Germany, Belgium, United Kingdom, France")</f>
        <v>Denmark, Germany, Belgium, United Kingdom, France</v>
      </c>
      <c r="U140" s="5" t="str">
        <f>IFERROR(__xludf.DUMMYFUNCTION("""COMPUTED_VALUE"""),"Angel Kristi Williams")</f>
        <v>Angel Kristi Williams</v>
      </c>
      <c r="V140" s="5" t="s">
        <v>980</v>
      </c>
      <c r="W140" s="5" t="str">
        <f t="shared" si="3"/>
        <v>Alejandro G. Iñárritu</v>
      </c>
      <c r="X140" s="5">
        <f t="shared" si="4"/>
        <v>1</v>
      </c>
      <c r="Y140" s="5" t="str">
        <f>IFERROR(__xludf.DUMMYFUNCTION("REGEXEXTRACT(J140, ""^\d+"")"),"108")</f>
        <v>108</v>
      </c>
      <c r="Z140" s="5" t="str">
        <f>IFERROR(__xludf.DUMMYFUNCTION("REGEXEXTRACT(J140, ""[A-Za-z ]+$"")")," min")</f>
        <v> min</v>
      </c>
      <c r="AA140" s="5" t="str">
        <f>IFERROR(__xludf.DUMMYFUNCTION("IF(REGEXMATCH(Z140, ""Season""), ""TV Show"", ""Movie"")"),"Movie")</f>
        <v>Movie</v>
      </c>
    </row>
    <row r="141">
      <c r="A141" s="1" t="s">
        <v>981</v>
      </c>
      <c r="B141" s="1" t="s">
        <v>27</v>
      </c>
      <c r="C141" s="1" t="s">
        <v>982</v>
      </c>
      <c r="D141" s="1" t="s">
        <v>983</v>
      </c>
      <c r="E141" s="1" t="s">
        <v>984</v>
      </c>
      <c r="F141" s="1" t="s">
        <v>30</v>
      </c>
      <c r="G141" s="1" t="s">
        <v>898</v>
      </c>
      <c r="H141" s="1">
        <v>1989.0</v>
      </c>
      <c r="I141" s="1" t="s">
        <v>378</v>
      </c>
      <c r="J141" s="1" t="s">
        <v>985</v>
      </c>
      <c r="K141" s="1" t="s">
        <v>986</v>
      </c>
      <c r="L141" s="1" t="s">
        <v>987</v>
      </c>
      <c r="M141" s="2" t="s">
        <v>12</v>
      </c>
      <c r="N141" s="4">
        <f t="shared" si="1"/>
        <v>44440</v>
      </c>
      <c r="O141" s="5" t="str">
        <f>IFERROR(__xludf.DUMMYFUNCTION("IF(REGEXMATCH(TRIM(I141), ""^\d+\s*min""), ""Unclassified"", IF(I141 = """", ""NR"", I141))"),"R")</f>
        <v>R</v>
      </c>
      <c r="R141" s="5" t="str">
        <f t="shared" si="2"/>
        <v>Do The Right Thing</v>
      </c>
      <c r="S141" s="5" t="str">
        <f>IFERROR(__xludf.DUMMYFUNCTION("""COMPUTED_VALUE"""),"9 Months That Made You")</f>
        <v>9 Months That Made You</v>
      </c>
      <c r="T141" s="5" t="str">
        <f>IFERROR(__xludf.DUMMYFUNCTION("""COMPUTED_VALUE"""),"Denmark, Germany, Belgium, United Kingdom, France, Sweden")</f>
        <v>Denmark, Germany, Belgium, United Kingdom, France, Sweden</v>
      </c>
      <c r="U141" s="5" t="str">
        <f>IFERROR(__xludf.DUMMYFUNCTION("""COMPUTED_VALUE"""),"Roger Donaldson")</f>
        <v>Roger Donaldson</v>
      </c>
      <c r="V141" s="5" t="s">
        <v>988</v>
      </c>
      <c r="W141" s="5" t="str">
        <f t="shared" si="3"/>
        <v>Alejandro Hartmann</v>
      </c>
      <c r="X141" s="5">
        <f t="shared" si="4"/>
        <v>1</v>
      </c>
      <c r="Y141" s="5" t="str">
        <f>IFERROR(__xludf.DUMMYFUNCTION("REGEXEXTRACT(J141, ""^\d+"")"),"120")</f>
        <v>120</v>
      </c>
      <c r="Z141" s="5" t="str">
        <f>IFERROR(__xludf.DUMMYFUNCTION("REGEXEXTRACT(J141, ""[A-Za-z ]+$"")")," min")</f>
        <v> min</v>
      </c>
      <c r="AA141" s="5" t="str">
        <f>IFERROR(__xludf.DUMMYFUNCTION("IF(REGEXMATCH(Z141, ""Season""), ""TV Show"", ""Movie"")"),"Movie")</f>
        <v>Movie</v>
      </c>
    </row>
    <row r="142">
      <c r="A142" s="1" t="s">
        <v>989</v>
      </c>
      <c r="B142" s="1" t="s">
        <v>27</v>
      </c>
      <c r="C142" s="1" t="s">
        <v>990</v>
      </c>
      <c r="D142" s="1" t="s">
        <v>991</v>
      </c>
      <c r="E142" s="1" t="s">
        <v>992</v>
      </c>
      <c r="F142" s="1" t="s">
        <v>993</v>
      </c>
      <c r="G142" s="1" t="s">
        <v>898</v>
      </c>
      <c r="H142" s="1">
        <v>2014.0</v>
      </c>
      <c r="I142" s="1" t="s">
        <v>42</v>
      </c>
      <c r="J142" s="1" t="s">
        <v>433</v>
      </c>
      <c r="K142" s="1" t="s">
        <v>298</v>
      </c>
      <c r="L142" s="1" t="s">
        <v>994</v>
      </c>
      <c r="M142" s="2" t="s">
        <v>12</v>
      </c>
      <c r="N142" s="4">
        <f t="shared" si="1"/>
        <v>44440</v>
      </c>
      <c r="O142" s="5" t="str">
        <f>IFERROR(__xludf.DUMMYFUNCTION("IF(REGEXMATCH(TRIM(I142), ""^\d+\s*min""), ""Unclassified"", IF(I142 = """", ""NR"", I142))"),"TV-MA")</f>
        <v>TV-MA</v>
      </c>
      <c r="R142" s="5" t="str">
        <f t="shared" si="2"/>
        <v>El Patrón, Radiografía De Un Crimen</v>
      </c>
      <c r="S142" s="5" t="str">
        <f>IFERROR(__xludf.DUMMYFUNCTION("""COMPUTED_VALUE"""),"90 Ml")</f>
        <v>90 Ml</v>
      </c>
      <c r="T142" s="5" t="str">
        <f>IFERROR(__xludf.DUMMYFUNCTION("""COMPUTED_VALUE"""),"Denmark, Indonesia, Finland, Norway, United Kingdom, Israel, France, United States, Germany, Netherlands")</f>
        <v>Denmark, Indonesia, Finland, Norway, United Kingdom, Israel, France, United States, Germany, Netherlands</v>
      </c>
      <c r="U142" s="5" t="str">
        <f>IFERROR(__xludf.DUMMYFUNCTION("""COMPUTED_VALUE"""),"Christopher Alender")</f>
        <v>Christopher Alender</v>
      </c>
      <c r="V142" s="5" t="s">
        <v>995</v>
      </c>
      <c r="W142" s="5" t="str">
        <f t="shared" si="3"/>
        <v>Alejandro Lozano</v>
      </c>
      <c r="X142" s="5">
        <f t="shared" si="4"/>
        <v>1</v>
      </c>
      <c r="Y142" s="5" t="str">
        <f>IFERROR(__xludf.DUMMYFUNCTION("REGEXEXTRACT(J142, ""^\d+"")"),"100")</f>
        <v>100</v>
      </c>
      <c r="Z142" s="5" t="str">
        <f>IFERROR(__xludf.DUMMYFUNCTION("REGEXEXTRACT(J142, ""[A-Za-z ]+$"")")," min")</f>
        <v> min</v>
      </c>
      <c r="AA142" s="5" t="str">
        <f>IFERROR(__xludf.DUMMYFUNCTION("IF(REGEXMATCH(Z142, ""Season""), ""TV Show"", ""Movie"")"),"Movie")</f>
        <v>Movie</v>
      </c>
    </row>
    <row r="143">
      <c r="A143" s="1" t="s">
        <v>996</v>
      </c>
      <c r="B143" s="1" t="s">
        <v>27</v>
      </c>
      <c r="C143" s="1" t="s">
        <v>997</v>
      </c>
      <c r="D143" s="1" t="s">
        <v>998</v>
      </c>
      <c r="E143" s="1" t="s">
        <v>999</v>
      </c>
      <c r="F143" s="1" t="s">
        <v>1000</v>
      </c>
      <c r="G143" s="1" t="s">
        <v>898</v>
      </c>
      <c r="H143" s="1">
        <v>2015.0</v>
      </c>
      <c r="I143" s="1" t="s">
        <v>378</v>
      </c>
      <c r="J143" s="1" t="s">
        <v>1001</v>
      </c>
      <c r="K143" s="1" t="s">
        <v>380</v>
      </c>
      <c r="L143" s="1" t="s">
        <v>1002</v>
      </c>
      <c r="M143" s="2" t="s">
        <v>12</v>
      </c>
      <c r="N143" s="4">
        <f t="shared" si="1"/>
        <v>44440</v>
      </c>
      <c r="O143" s="5" t="str">
        <f>IFERROR(__xludf.DUMMYFUNCTION("IF(REGEXMATCH(TRIM(I143), ""^\d+\s*min""), ""Unclassified"", IF(I143 = """", ""NR"", I143))"),"R")</f>
        <v>R</v>
      </c>
      <c r="R143" s="5" t="str">
        <f t="shared" si="2"/>
        <v>Extraction</v>
      </c>
      <c r="S143" s="5" t="str">
        <f>IFERROR(__xludf.DUMMYFUNCTION("""COMPUTED_VALUE"""),"93 Days")</f>
        <v>93 Days</v>
      </c>
      <c r="T143" s="5" t="str">
        <f>IFERROR(__xludf.DUMMYFUNCTION("""COMPUTED_VALUE"""),"Denmark, Singapore, Canada, United States")</f>
        <v>Denmark, Singapore, Canada, United States</v>
      </c>
      <c r="U143" s="5" t="str">
        <f>IFERROR(__xludf.DUMMYFUNCTION("""COMPUTED_VALUE"""),"Rush Sturges")</f>
        <v>Rush Sturges</v>
      </c>
      <c r="V143" s="5" t="s">
        <v>1003</v>
      </c>
      <c r="W143" s="5" t="str">
        <f t="shared" si="3"/>
        <v>Alejandro Montiel</v>
      </c>
      <c r="X143" s="5">
        <f t="shared" si="4"/>
        <v>2</v>
      </c>
      <c r="Y143" s="5" t="str">
        <f>IFERROR(__xludf.DUMMYFUNCTION("REGEXEXTRACT(J143, ""^\d+"")"),"82")</f>
        <v>82</v>
      </c>
      <c r="Z143" s="5" t="str">
        <f>IFERROR(__xludf.DUMMYFUNCTION("REGEXEXTRACT(J143, ""[A-Za-z ]+$"")")," min")</f>
        <v> min</v>
      </c>
      <c r="AA143" s="5" t="str">
        <f>IFERROR(__xludf.DUMMYFUNCTION("IF(REGEXMATCH(Z143, ""Season""), ""TV Show"", ""Movie"")"),"Movie")</f>
        <v>Movie</v>
      </c>
    </row>
    <row r="144">
      <c r="A144" s="1" t="s">
        <v>1004</v>
      </c>
      <c r="B144" s="1" t="s">
        <v>27</v>
      </c>
      <c r="C144" s="1" t="s">
        <v>1005</v>
      </c>
      <c r="D144" s="1" t="s">
        <v>1006</v>
      </c>
      <c r="E144" s="1" t="s">
        <v>1007</v>
      </c>
      <c r="F144" s="1" t="s">
        <v>911</v>
      </c>
      <c r="G144" s="1" t="s">
        <v>898</v>
      </c>
      <c r="H144" s="1">
        <v>2007.0</v>
      </c>
      <c r="I144" s="1" t="s">
        <v>32</v>
      </c>
      <c r="J144" s="1" t="s">
        <v>341</v>
      </c>
      <c r="K144" s="1" t="s">
        <v>805</v>
      </c>
      <c r="L144" s="1" t="s">
        <v>1008</v>
      </c>
      <c r="M144" s="2" t="s">
        <v>12</v>
      </c>
      <c r="N144" s="4">
        <f t="shared" si="1"/>
        <v>44440</v>
      </c>
      <c r="O144" s="5" t="str">
        <f>IFERROR(__xludf.DUMMYFUNCTION("IF(REGEXMATCH(TRIM(I144), ""^\d+\s*min""), ""Unclassified"", IF(I144 = """", ""NR"", I144))"),"PG-13")</f>
        <v>PG-13</v>
      </c>
      <c r="R144" s="5" t="str">
        <f t="shared" si="2"/>
        <v>Freedom Writers</v>
      </c>
      <c r="S144" s="5" t="str">
        <f>IFERROR(__xludf.DUMMYFUNCTION("""COMPUTED_VALUE"""),"99 Songs")</f>
        <v>99 Songs</v>
      </c>
      <c r="T144" s="5" t="str">
        <f>IFERROR(__xludf.DUMMYFUNCTION("""COMPUTED_VALUE"""),"Denmark, Spain")</f>
        <v>Denmark, Spain</v>
      </c>
      <c r="U144" s="5" t="str">
        <f>IFERROR(__xludf.DUMMYFUNCTION("""COMPUTED_VALUE"""),"David Oyelowo")</f>
        <v>David Oyelowo</v>
      </c>
      <c r="V144" s="5" t="s">
        <v>1009</v>
      </c>
      <c r="W144" s="5" t="str">
        <f t="shared" si="3"/>
        <v>Alejandro Ruax, Ramiro Martínez</v>
      </c>
      <c r="X144" s="5">
        <f t="shared" si="4"/>
        <v>1</v>
      </c>
      <c r="Y144" s="5" t="str">
        <f>IFERROR(__xludf.DUMMYFUNCTION("REGEXEXTRACT(J144, ""^\d+"")"),"124")</f>
        <v>124</v>
      </c>
      <c r="Z144" s="5" t="str">
        <f>IFERROR(__xludf.DUMMYFUNCTION("REGEXEXTRACT(J144, ""[A-Za-z ]+$"")")," min")</f>
        <v> min</v>
      </c>
      <c r="AA144" s="5" t="str">
        <f>IFERROR(__xludf.DUMMYFUNCTION("IF(REGEXMATCH(Z144, ""Season""), ""TV Show"", ""Movie"")"),"Movie")</f>
        <v>Movie</v>
      </c>
    </row>
    <row r="145">
      <c r="A145" s="1" t="s">
        <v>1010</v>
      </c>
      <c r="B145" s="1" t="s">
        <v>27</v>
      </c>
      <c r="C145" s="1" t="s">
        <v>1011</v>
      </c>
      <c r="D145" s="1" t="s">
        <v>1012</v>
      </c>
      <c r="E145" s="1" t="s">
        <v>1013</v>
      </c>
      <c r="F145" s="1" t="s">
        <v>30</v>
      </c>
      <c r="G145" s="1" t="s">
        <v>898</v>
      </c>
      <c r="H145" s="1">
        <v>2011.0</v>
      </c>
      <c r="I145" s="1" t="s">
        <v>32</v>
      </c>
      <c r="J145" s="1" t="s">
        <v>835</v>
      </c>
      <c r="K145" s="1" t="s">
        <v>942</v>
      </c>
      <c r="L145" s="1" t="s">
        <v>1014</v>
      </c>
      <c r="M145" s="2" t="s">
        <v>12</v>
      </c>
      <c r="N145" s="4">
        <f t="shared" si="1"/>
        <v>44440</v>
      </c>
      <c r="O145" s="5" t="str">
        <f>IFERROR(__xludf.DUMMYFUNCTION("IF(REGEXMATCH(TRIM(I145), ""^\d+\s*min""), ""Unclassified"", IF(I145 = """", ""NR"", I145))"),"PG-13")</f>
        <v>PG-13</v>
      </c>
      <c r="R145" s="5" t="str">
        <f t="shared" si="2"/>
        <v>Green Lantern</v>
      </c>
      <c r="S145" s="5" t="str">
        <f>IFERROR(__xludf.DUMMYFUNCTION("""COMPUTED_VALUE"""),"99 Songs (Tamil)")</f>
        <v>99 Songs (Tamil)</v>
      </c>
      <c r="T145" s="5" t="str">
        <f>IFERROR(__xludf.DUMMYFUNCTION("""COMPUTED_VALUE"""),"Denmark, Sweden, Israel, United States")</f>
        <v>Denmark, Sweden, Israel, United States</v>
      </c>
      <c r="U145" s="5" t="str">
        <f>IFERROR(__xludf.DUMMYFUNCTION("""COMPUTED_VALUE"""),"Mark Lo")</f>
        <v>Mark Lo</v>
      </c>
      <c r="V145" s="5" t="s">
        <v>1015</v>
      </c>
      <c r="W145" s="5" t="str">
        <f t="shared" si="3"/>
        <v>Aleksey German</v>
      </c>
      <c r="X145" s="5">
        <f t="shared" si="4"/>
        <v>1</v>
      </c>
      <c r="Y145" s="5" t="str">
        <f>IFERROR(__xludf.DUMMYFUNCTION("REGEXEXTRACT(J145, ""^\d+"")"),"114")</f>
        <v>114</v>
      </c>
      <c r="Z145" s="5" t="str">
        <f>IFERROR(__xludf.DUMMYFUNCTION("REGEXEXTRACT(J145, ""[A-Za-z ]+$"")")," min")</f>
        <v> min</v>
      </c>
      <c r="AA145" s="5" t="str">
        <f>IFERROR(__xludf.DUMMYFUNCTION("IF(REGEXMATCH(Z145, ""Season""), ""TV Show"", ""Movie"")"),"Movie")</f>
        <v>Movie</v>
      </c>
    </row>
    <row r="146">
      <c r="A146" s="1" t="s">
        <v>1016</v>
      </c>
      <c r="B146" s="1" t="s">
        <v>27</v>
      </c>
      <c r="C146" s="1" t="s">
        <v>1017</v>
      </c>
      <c r="D146" s="1" t="s">
        <v>1018</v>
      </c>
      <c r="E146" s="1" t="s">
        <v>1019</v>
      </c>
      <c r="F146" s="1" t="s">
        <v>30</v>
      </c>
      <c r="G146" s="1" t="s">
        <v>898</v>
      </c>
      <c r="H146" s="1">
        <v>1990.0</v>
      </c>
      <c r="I146" s="1" t="s">
        <v>378</v>
      </c>
      <c r="J146" s="1" t="s">
        <v>106</v>
      </c>
      <c r="K146" s="1" t="s">
        <v>1020</v>
      </c>
      <c r="L146" s="1" t="s">
        <v>1021</v>
      </c>
      <c r="M146" s="2" t="s">
        <v>12</v>
      </c>
      <c r="N146" s="4">
        <f t="shared" si="1"/>
        <v>44440</v>
      </c>
      <c r="O146" s="5" t="str">
        <f>IFERROR(__xludf.DUMMYFUNCTION("IF(REGEXMATCH(TRIM(I146), ""^\d+\s*min""), ""Unclassified"", IF(I146 = """", ""NR"", I146))"),"R")</f>
        <v>R</v>
      </c>
      <c r="R146" s="5" t="str">
        <f t="shared" si="2"/>
        <v>House Party</v>
      </c>
      <c r="S146" s="5" t="str">
        <f>IFERROR(__xludf.DUMMYFUNCTION("""COMPUTED_VALUE"""),"99 Songs (Telugu)")</f>
        <v>99 Songs (Telugu)</v>
      </c>
      <c r="T146" s="5" t="str">
        <f>IFERROR(__xludf.DUMMYFUNCTION("""COMPUTED_VALUE"""),"Denmark, United Kingdom, South Africa, Sweden, Belgium")</f>
        <v>Denmark, United Kingdom, South Africa, Sweden, Belgium</v>
      </c>
      <c r="U146" s="5" t="str">
        <f>IFERROR(__xludf.DUMMYFUNCTION("""COMPUTED_VALUE"""),"Crystal Moselle")</f>
        <v>Crystal Moselle</v>
      </c>
      <c r="V146" s="5" t="s">
        <v>1022</v>
      </c>
      <c r="W146" s="5" t="str">
        <f t="shared" si="3"/>
        <v>Aleksey Tsitsilin</v>
      </c>
      <c r="X146" s="5">
        <f t="shared" si="4"/>
        <v>1</v>
      </c>
      <c r="Y146" s="5" t="str">
        <f>IFERROR(__xludf.DUMMYFUNCTION("REGEXEXTRACT(J146, ""^\d+"")"),"104")</f>
        <v>104</v>
      </c>
      <c r="Z146" s="5" t="str">
        <f>IFERROR(__xludf.DUMMYFUNCTION("REGEXEXTRACT(J146, ""[A-Za-z ]+$"")")," min")</f>
        <v> min</v>
      </c>
      <c r="AA146" s="5" t="str">
        <f>IFERROR(__xludf.DUMMYFUNCTION("IF(REGEXMATCH(Z146, ""Season""), ""TV Show"", ""Movie"")"),"Movie")</f>
        <v>Movie</v>
      </c>
    </row>
    <row r="147">
      <c r="A147" s="1" t="s">
        <v>1023</v>
      </c>
      <c r="B147" s="1" t="s">
        <v>27</v>
      </c>
      <c r="C147" s="1" t="s">
        <v>1024</v>
      </c>
      <c r="D147" s="1" t="s">
        <v>1025</v>
      </c>
      <c r="E147" s="1" t="s">
        <v>1026</v>
      </c>
      <c r="F147" s="1" t="s">
        <v>30</v>
      </c>
      <c r="G147" s="1" t="s">
        <v>898</v>
      </c>
      <c r="H147" s="1">
        <v>1991.0</v>
      </c>
      <c r="I147" s="1" t="s">
        <v>378</v>
      </c>
      <c r="J147" s="1" t="s">
        <v>170</v>
      </c>
      <c r="K147" s="1" t="s">
        <v>1027</v>
      </c>
      <c r="L147" s="1" t="s">
        <v>1028</v>
      </c>
      <c r="M147" s="2" t="s">
        <v>12</v>
      </c>
      <c r="N147" s="4">
        <f t="shared" si="1"/>
        <v>44440</v>
      </c>
      <c r="O147" s="5" t="str">
        <f>IFERROR(__xludf.DUMMYFUNCTION("IF(REGEXMATCH(TRIM(I147), ""^\d+\s*min""), ""Unclassified"", IF(I147 = """", ""NR"", I147))"),"R")</f>
        <v>R</v>
      </c>
      <c r="R147" s="5" t="str">
        <f t="shared" si="2"/>
        <v>House Party 2</v>
      </c>
      <c r="S147" s="5" t="str">
        <f>IFERROR(__xludf.DUMMYFUNCTION("""COMPUTED_VALUE"""),"9To5: The Story Of A Movement")</f>
        <v>9To5: The Story Of A Movement</v>
      </c>
      <c r="T147" s="5" t="str">
        <f>IFERROR(__xludf.DUMMYFUNCTION("""COMPUTED_VALUE"""),"Denmark, United Kingdom, Sweden")</f>
        <v>Denmark, United Kingdom, Sweden</v>
      </c>
      <c r="U147" s="5" t="str">
        <f>IFERROR(__xludf.DUMMYFUNCTION("""COMPUTED_VALUE"""),"Rathindran R Prasad")</f>
        <v>Rathindran R Prasad</v>
      </c>
      <c r="V147" s="5" t="s">
        <v>1029</v>
      </c>
      <c r="W147" s="5" t="str">
        <f t="shared" si="3"/>
        <v>Alessandra De Rossi</v>
      </c>
      <c r="X147" s="5">
        <f t="shared" si="4"/>
        <v>1</v>
      </c>
      <c r="Y147" s="5" t="str">
        <f>IFERROR(__xludf.DUMMYFUNCTION("REGEXEXTRACT(J147, ""^\d+"")"),"94")</f>
        <v>94</v>
      </c>
      <c r="Z147" s="5" t="str">
        <f>IFERROR(__xludf.DUMMYFUNCTION("REGEXEXTRACT(J147, ""[A-Za-z ]+$"")")," min")</f>
        <v> min</v>
      </c>
      <c r="AA147" s="5" t="str">
        <f>IFERROR(__xludf.DUMMYFUNCTION("IF(REGEXMATCH(Z147, ""Season""), ""TV Show"", ""Movie"")"),"Movie")</f>
        <v>Movie</v>
      </c>
    </row>
    <row r="148">
      <c r="A148" s="1" t="s">
        <v>1030</v>
      </c>
      <c r="B148" s="1" t="s">
        <v>27</v>
      </c>
      <c r="C148" s="1" t="s">
        <v>1031</v>
      </c>
      <c r="D148" s="1" t="s">
        <v>1032</v>
      </c>
      <c r="E148" s="1" t="s">
        <v>1033</v>
      </c>
      <c r="F148" s="1" t="s">
        <v>30</v>
      </c>
      <c r="G148" s="1" t="s">
        <v>898</v>
      </c>
      <c r="H148" s="1">
        <v>1994.0</v>
      </c>
      <c r="I148" s="1" t="s">
        <v>378</v>
      </c>
      <c r="J148" s="1" t="s">
        <v>170</v>
      </c>
      <c r="K148" s="1" t="s">
        <v>1034</v>
      </c>
      <c r="L148" s="1" t="s">
        <v>1035</v>
      </c>
      <c r="M148" s="2" t="s">
        <v>12</v>
      </c>
      <c r="N148" s="4">
        <f t="shared" si="1"/>
        <v>44440</v>
      </c>
      <c r="O148" s="5" t="str">
        <f>IFERROR(__xludf.DUMMYFUNCTION("IF(REGEXMATCH(TRIM(I148), ""^\d+\s*min""), ""Unclassified"", IF(I148 = """", ""NR"", I148))"),"R")</f>
        <v>R</v>
      </c>
      <c r="R148" s="5" t="str">
        <f t="shared" si="2"/>
        <v>House Party 3</v>
      </c>
      <c r="S148" s="5" t="str">
        <f>IFERROR(__xludf.DUMMYFUNCTION("""COMPUTED_VALUE"""),"A 2Nd Chance")</f>
        <v>A 2Nd Chance</v>
      </c>
      <c r="T148" s="5" t="str">
        <f>IFERROR(__xludf.DUMMYFUNCTION("""COMPUTED_VALUE"""),"Denmark, United States")</f>
        <v>Denmark, United States</v>
      </c>
      <c r="U148" s="5" t="str">
        <f>IFERROR(__xludf.DUMMYFUNCTION("""COMPUTED_VALUE"""),"Han Kwang Il")</f>
        <v>Han Kwang Il</v>
      </c>
      <c r="V148" s="5" t="s">
        <v>1036</v>
      </c>
      <c r="W148" s="5" t="str">
        <f t="shared" si="3"/>
        <v>Alessandro Angulo</v>
      </c>
      <c r="X148" s="5">
        <f t="shared" si="4"/>
        <v>2</v>
      </c>
      <c r="Y148" s="5" t="str">
        <f>IFERROR(__xludf.DUMMYFUNCTION("REGEXEXTRACT(J148, ""^\d+"")"),"94")</f>
        <v>94</v>
      </c>
      <c r="Z148" s="5" t="str">
        <f>IFERROR(__xludf.DUMMYFUNCTION("REGEXEXTRACT(J148, ""[A-Za-z ]+$"")")," min")</f>
        <v> min</v>
      </c>
      <c r="AA148" s="5" t="str">
        <f>IFERROR(__xludf.DUMMYFUNCTION("IF(REGEXMATCH(Z148, ""Season""), ""TV Show"", ""Movie"")"),"Movie")</f>
        <v>Movie</v>
      </c>
    </row>
    <row r="149">
      <c r="A149" s="1" t="s">
        <v>1037</v>
      </c>
      <c r="B149" s="1" t="s">
        <v>37</v>
      </c>
      <c r="C149" s="1" t="s">
        <v>1038</v>
      </c>
      <c r="G149" s="1" t="s">
        <v>898</v>
      </c>
      <c r="H149" s="1">
        <v>2021.0</v>
      </c>
      <c r="I149" s="1" t="s">
        <v>136</v>
      </c>
      <c r="J149" s="1" t="s">
        <v>51</v>
      </c>
      <c r="K149" s="1" t="s">
        <v>440</v>
      </c>
      <c r="L149" s="1" t="s">
        <v>1039</v>
      </c>
      <c r="M149" s="2" t="s">
        <v>12</v>
      </c>
      <c r="N149" s="4">
        <f t="shared" si="1"/>
        <v>44440</v>
      </c>
      <c r="O149" s="5" t="str">
        <f>IFERROR(__xludf.DUMMYFUNCTION("IF(REGEXMATCH(TRIM(I149), ""^\d+\s*min""), ""Unclassified"", IF(I149 = """", ""NR"", I149))"),"TV-PG")</f>
        <v>TV-PG</v>
      </c>
      <c r="R149" s="5" t="str">
        <f t="shared" si="2"/>
        <v>How To Be A Cowboy</v>
      </c>
      <c r="S149" s="5" t="str">
        <f>IFERROR(__xludf.DUMMYFUNCTION("""COMPUTED_VALUE"""),"A 3 Minute Hug")</f>
        <v>A 3 Minute Hug</v>
      </c>
      <c r="T149" s="5" t="str">
        <f>IFERROR(__xludf.DUMMYFUNCTION("""COMPUTED_VALUE"""),"Denmark, Zimbabwe")</f>
        <v>Denmark, Zimbabwe</v>
      </c>
      <c r="U149" s="5" t="str">
        <f>IFERROR(__xludf.DUMMYFUNCTION("""COMPUTED_VALUE"""),"Karim El Shenawy")</f>
        <v>Karim El Shenawy</v>
      </c>
      <c r="V149" s="5" t="s">
        <v>1040</v>
      </c>
      <c r="W149" s="5" t="str">
        <f t="shared" si="3"/>
        <v>Alessandro Pepe</v>
      </c>
      <c r="X149" s="5">
        <f t="shared" si="4"/>
        <v>1</v>
      </c>
      <c r="Y149" s="5" t="str">
        <f>IFERROR(__xludf.DUMMYFUNCTION("REGEXEXTRACT(J149, ""^\d+"")"),"1")</f>
        <v>1</v>
      </c>
      <c r="Z149" s="5" t="str">
        <f>IFERROR(__xludf.DUMMYFUNCTION("REGEXEXTRACT(J149, ""[A-Za-z ]+$"")")," Season")</f>
        <v> Season</v>
      </c>
      <c r="AA149" s="5" t="str">
        <f>IFERROR(__xludf.DUMMYFUNCTION("IF(REGEXMATCH(Z149, ""Season""), ""TV Show"", ""Movie"")"),"TV Show")</f>
        <v>TV Show</v>
      </c>
    </row>
    <row r="150">
      <c r="A150" s="1" t="s">
        <v>1041</v>
      </c>
      <c r="B150" s="1" t="s">
        <v>37</v>
      </c>
      <c r="C150" s="1" t="s">
        <v>1042</v>
      </c>
      <c r="D150" s="1" t="s">
        <v>1043</v>
      </c>
      <c r="E150" s="1" t="s">
        <v>1044</v>
      </c>
      <c r="G150" s="1" t="s">
        <v>898</v>
      </c>
      <c r="H150" s="1">
        <v>2020.0</v>
      </c>
      <c r="I150" s="1" t="s">
        <v>97</v>
      </c>
      <c r="J150" s="1" t="s">
        <v>51</v>
      </c>
      <c r="K150" s="1" t="s">
        <v>1045</v>
      </c>
      <c r="L150" s="1" t="s">
        <v>1046</v>
      </c>
      <c r="M150" s="2" t="s">
        <v>12</v>
      </c>
      <c r="N150" s="4">
        <f t="shared" si="1"/>
        <v>44440</v>
      </c>
      <c r="O150" s="5" t="str">
        <f>IFERROR(__xludf.DUMMYFUNCTION("IF(REGEXMATCH(TRIM(I150), ""^\d+\s*min""), ""Unclassified"", IF(I150 = """", ""NR"", I150))"),"TV-14")</f>
        <v>TV-14</v>
      </c>
      <c r="R150" s="5" t="str">
        <f t="shared" si="2"/>
        <v>Hq Barbers</v>
      </c>
      <c r="S150" s="5" t="str">
        <f>IFERROR(__xludf.DUMMYFUNCTION("""COMPUTED_VALUE"""),"A Babysitter'S Guide To Monster Hunting")</f>
        <v>A Babysitter'S Guide To Monster Hunting</v>
      </c>
      <c r="T150" s="5" t="str">
        <f>IFERROR(__xludf.DUMMYFUNCTION("""COMPUTED_VALUE"""),"Egypt")</f>
        <v>Egypt</v>
      </c>
      <c r="U150" s="5" t="str">
        <f>IFERROR(__xludf.DUMMYFUNCTION("""COMPUTED_VALUE"""),"Yin Chen-Hao")</f>
        <v>Yin Chen-Hao</v>
      </c>
      <c r="V150" s="5" t="s">
        <v>1047</v>
      </c>
      <c r="W150" s="5" t="str">
        <f t="shared" si="3"/>
        <v>Alessio Cremonini</v>
      </c>
      <c r="X150" s="5">
        <f t="shared" si="4"/>
        <v>1</v>
      </c>
      <c r="Y150" s="5" t="str">
        <f>IFERROR(__xludf.DUMMYFUNCTION("REGEXEXTRACT(J150, ""^\d+"")"),"1")</f>
        <v>1</v>
      </c>
      <c r="Z150" s="5" t="str">
        <f>IFERROR(__xludf.DUMMYFUNCTION("REGEXEXTRACT(J150, ""[A-Za-z ]+$"")")," Season")</f>
        <v> Season</v>
      </c>
      <c r="AA150" s="5" t="str">
        <f>IFERROR(__xludf.DUMMYFUNCTION("IF(REGEXMATCH(Z150, ""Season""), ""TV Show"", ""Movie"")"),"TV Show")</f>
        <v>TV Show</v>
      </c>
    </row>
    <row r="151">
      <c r="A151" s="1" t="s">
        <v>1048</v>
      </c>
      <c r="B151" s="1" t="s">
        <v>27</v>
      </c>
      <c r="C151" s="1" t="s">
        <v>1049</v>
      </c>
      <c r="D151" s="1" t="s">
        <v>1050</v>
      </c>
      <c r="E151" s="1" t="s">
        <v>1051</v>
      </c>
      <c r="F151" s="1" t="s">
        <v>30</v>
      </c>
      <c r="G151" s="1" t="s">
        <v>898</v>
      </c>
      <c r="H151" s="1">
        <v>1998.0</v>
      </c>
      <c r="I151" s="1" t="s">
        <v>378</v>
      </c>
      <c r="J151" s="1" t="s">
        <v>454</v>
      </c>
      <c r="K151" s="1" t="s">
        <v>973</v>
      </c>
      <c r="L151" s="1" t="s">
        <v>1052</v>
      </c>
      <c r="M151" s="2" t="s">
        <v>12</v>
      </c>
      <c r="N151" s="4">
        <f t="shared" si="1"/>
        <v>44440</v>
      </c>
      <c r="O151" s="5" t="str">
        <f>IFERROR(__xludf.DUMMYFUNCTION("IF(REGEXMATCH(TRIM(I151), ""^\d+\s*min""), ""Unclassified"", IF(I151 = """", ""NR"", I151))"),"R")</f>
        <v>R</v>
      </c>
      <c r="R151" s="5" t="str">
        <f t="shared" si="2"/>
        <v>I Got The Hook Up</v>
      </c>
      <c r="S151" s="5" t="str">
        <f>IFERROR(__xludf.DUMMYFUNCTION("""COMPUTED_VALUE"""),"A Bad Moms Christmas")</f>
        <v>A Bad Moms Christmas</v>
      </c>
      <c r="T151" s="5" t="str">
        <f>IFERROR(__xludf.DUMMYFUNCTION("""COMPUTED_VALUE"""),"Egypt, Algeria")</f>
        <v>Egypt, Algeria</v>
      </c>
      <c r="U151" s="5" t="str">
        <f>IFERROR(__xludf.DUMMYFUNCTION("""COMPUTED_VALUE"""),"Brian Andrew Mendoza")</f>
        <v>Brian Andrew Mendoza</v>
      </c>
      <c r="V151" s="5" t="s">
        <v>1053</v>
      </c>
      <c r="W151" s="5" t="str">
        <f t="shared" si="3"/>
        <v>Alethea Jones</v>
      </c>
      <c r="X151" s="5">
        <f t="shared" si="4"/>
        <v>1</v>
      </c>
      <c r="Y151" s="5" t="str">
        <f>IFERROR(__xludf.DUMMYFUNCTION("REGEXEXTRACT(J151, ""^\d+"")"),"93")</f>
        <v>93</v>
      </c>
      <c r="Z151" s="5" t="str">
        <f>IFERROR(__xludf.DUMMYFUNCTION("REGEXEXTRACT(J151, ""[A-Za-z ]+$"")")," min")</f>
        <v> min</v>
      </c>
      <c r="AA151" s="5" t="str">
        <f>IFERROR(__xludf.DUMMYFUNCTION("IF(REGEXMATCH(Z151, ""Season""), ""TV Show"", ""Movie"")"),"Movie")</f>
        <v>Movie</v>
      </c>
    </row>
    <row r="152">
      <c r="A152" s="1" t="s">
        <v>1054</v>
      </c>
      <c r="B152" s="1" t="s">
        <v>27</v>
      </c>
      <c r="C152" s="1" t="s">
        <v>1055</v>
      </c>
      <c r="D152" s="1" t="s">
        <v>1056</v>
      </c>
      <c r="E152" s="1" t="s">
        <v>1057</v>
      </c>
      <c r="F152" s="1" t="s">
        <v>30</v>
      </c>
      <c r="G152" s="1" t="s">
        <v>898</v>
      </c>
      <c r="H152" s="1">
        <v>1999.0</v>
      </c>
      <c r="I152" s="1" t="s">
        <v>378</v>
      </c>
      <c r="J152" s="1" t="s">
        <v>247</v>
      </c>
      <c r="K152" s="1" t="s">
        <v>171</v>
      </c>
      <c r="L152" s="1" t="s">
        <v>1058</v>
      </c>
      <c r="M152" s="2" t="s">
        <v>12</v>
      </c>
      <c r="N152" s="4">
        <f t="shared" si="1"/>
        <v>44440</v>
      </c>
      <c r="O152" s="5" t="str">
        <f>IFERROR(__xludf.DUMMYFUNCTION("IF(REGEXMATCH(TRIM(I152), ""^\d+\s*min""), ""Unclassified"", IF(I152 = """", ""NR"", I152))"),"R")</f>
        <v>R</v>
      </c>
      <c r="R152" s="5" t="str">
        <f t="shared" si="2"/>
        <v>In Too Deep</v>
      </c>
      <c r="S152" s="5" t="str">
        <f>IFERROR(__xludf.DUMMYFUNCTION("""COMPUTED_VALUE"""),"A Beautiful Life")</f>
        <v>A Beautiful Life</v>
      </c>
      <c r="T152" s="5" t="str">
        <f>IFERROR(__xludf.DUMMYFUNCTION("""COMPUTED_VALUE"""),"Egypt, Austria, United States")</f>
        <v>Egypt, Austria, United States</v>
      </c>
      <c r="U152" s="5" t="str">
        <f>IFERROR(__xludf.DUMMYFUNCTION("""COMPUTED_VALUE"""),"Dave Needham")</f>
        <v>Dave Needham</v>
      </c>
      <c r="V152" s="5" t="s">
        <v>1059</v>
      </c>
      <c r="W152" s="5" t="str">
        <f t="shared" si="3"/>
        <v>Alex Burunova</v>
      </c>
      <c r="X152" s="5">
        <f t="shared" si="4"/>
        <v>1</v>
      </c>
      <c r="Y152" s="5" t="str">
        <f>IFERROR(__xludf.DUMMYFUNCTION("REGEXEXTRACT(J152, ""^\d+"")"),"97")</f>
        <v>97</v>
      </c>
      <c r="Z152" s="5" t="str">
        <f>IFERROR(__xludf.DUMMYFUNCTION("REGEXEXTRACT(J152, ""[A-Za-z ]+$"")")," min")</f>
        <v> min</v>
      </c>
      <c r="AA152" s="5" t="str">
        <f>IFERROR(__xludf.DUMMYFUNCTION("IF(REGEXMATCH(Z152, ""Season""), ""TV Show"", ""Movie"")"),"Movie")</f>
        <v>Movie</v>
      </c>
    </row>
    <row r="153">
      <c r="A153" s="1" t="s">
        <v>1060</v>
      </c>
      <c r="B153" s="1" t="s">
        <v>27</v>
      </c>
      <c r="C153" s="1" t="s">
        <v>1061</v>
      </c>
      <c r="D153" s="1" t="s">
        <v>1062</v>
      </c>
      <c r="E153" s="1" t="s">
        <v>1063</v>
      </c>
      <c r="F153" s="1" t="s">
        <v>1064</v>
      </c>
      <c r="G153" s="1" t="s">
        <v>898</v>
      </c>
      <c r="H153" s="1">
        <v>2005.0</v>
      </c>
      <c r="I153" s="1" t="s">
        <v>97</v>
      </c>
      <c r="J153" s="1" t="s">
        <v>1065</v>
      </c>
      <c r="K153" s="1" t="s">
        <v>1066</v>
      </c>
      <c r="L153" s="1" t="s">
        <v>1067</v>
      </c>
      <c r="M153" s="2" t="s">
        <v>12</v>
      </c>
      <c r="N153" s="4">
        <f t="shared" si="1"/>
        <v>44440</v>
      </c>
      <c r="O153" s="5" t="str">
        <f>IFERROR(__xludf.DUMMYFUNCTION("IF(REGEXMATCH(TRIM(I153), ""^\d+\s*min""), ""Unclassified"", IF(I153 = """", ""NR"", I153))"),"TV-14")</f>
        <v>TV-14</v>
      </c>
      <c r="R153" s="5" t="str">
        <f t="shared" si="2"/>
        <v>Initial D</v>
      </c>
      <c r="S153" s="5" t="str">
        <f>IFERROR(__xludf.DUMMYFUNCTION("""COMPUTED_VALUE"""),"A Billion Colour Story")</f>
        <v>A Billion Colour Story</v>
      </c>
      <c r="T153" s="5" t="str">
        <f>IFERROR(__xludf.DUMMYFUNCTION("""COMPUTED_VALUE"""),"Egypt, Denmark, Germany")</f>
        <v>Egypt, Denmark, Germany</v>
      </c>
      <c r="U153" s="5" t="str">
        <f>IFERROR(__xludf.DUMMYFUNCTION("""COMPUTED_VALUE"""),"Veronica Velasco")</f>
        <v>Veronica Velasco</v>
      </c>
      <c r="V153" s="5" t="s">
        <v>1068</v>
      </c>
      <c r="W153" s="5" t="str">
        <f t="shared" si="3"/>
        <v>Alex Coletti</v>
      </c>
      <c r="X153" s="5">
        <f t="shared" si="4"/>
        <v>1</v>
      </c>
      <c r="Y153" s="5" t="str">
        <f>IFERROR(__xludf.DUMMYFUNCTION("REGEXEXTRACT(J153, ""^\d+"")"),"109")</f>
        <v>109</v>
      </c>
      <c r="Z153" s="5" t="str">
        <f>IFERROR(__xludf.DUMMYFUNCTION("REGEXEXTRACT(J153, ""[A-Za-z ]+$"")")," min")</f>
        <v> min</v>
      </c>
      <c r="AA153" s="5" t="str">
        <f>IFERROR(__xludf.DUMMYFUNCTION("IF(REGEXMATCH(Z153, ""Season""), ""TV Show"", ""Movie"")"),"Movie")</f>
        <v>Movie</v>
      </c>
    </row>
    <row r="154">
      <c r="A154" s="1" t="s">
        <v>1069</v>
      </c>
      <c r="B154" s="1" t="s">
        <v>27</v>
      </c>
      <c r="C154" s="1" t="s">
        <v>1070</v>
      </c>
      <c r="D154" s="1" t="s">
        <v>1071</v>
      </c>
      <c r="E154" s="1" t="s">
        <v>1072</v>
      </c>
      <c r="F154" s="1" t="s">
        <v>30</v>
      </c>
      <c r="G154" s="1" t="s">
        <v>898</v>
      </c>
      <c r="H154" s="1">
        <v>2016.0</v>
      </c>
      <c r="I154" s="1" t="s">
        <v>42</v>
      </c>
      <c r="J154" s="1" t="s">
        <v>428</v>
      </c>
      <c r="K154" s="1" t="s">
        <v>239</v>
      </c>
      <c r="L154" s="1" t="s">
        <v>1073</v>
      </c>
      <c r="M154" s="2" t="s">
        <v>12</v>
      </c>
      <c r="N154" s="4">
        <f t="shared" si="1"/>
        <v>44440</v>
      </c>
      <c r="O154" s="5" t="str">
        <f>IFERROR(__xludf.DUMMYFUNCTION("IF(REGEXMATCH(TRIM(I154), ""^\d+\s*min""), ""Unclassified"", IF(I154 = """", ""NR"", I154))"),"TV-MA")</f>
        <v>TV-MA</v>
      </c>
      <c r="R154" s="5" t="str">
        <f t="shared" si="2"/>
        <v>Janoskians: Untold And Untrue</v>
      </c>
      <c r="S154" s="5" t="str">
        <f>IFERROR(__xludf.DUMMYFUNCTION("""COMPUTED_VALUE"""),"A Boy Called Po")</f>
        <v>A Boy Called Po</v>
      </c>
      <c r="T154" s="5" t="str">
        <f>IFERROR(__xludf.DUMMYFUNCTION("""COMPUTED_VALUE"""),"Egypt, France")</f>
        <v>Egypt, France</v>
      </c>
      <c r="U154" s="5" t="str">
        <f>IFERROR(__xludf.DUMMYFUNCTION("""COMPUTED_VALUE"""),"Drake Doremus")</f>
        <v>Drake Doremus</v>
      </c>
      <c r="V154" s="5" t="s">
        <v>1074</v>
      </c>
      <c r="W154" s="5" t="str">
        <f t="shared" si="3"/>
        <v>Álex De La Iglesia</v>
      </c>
      <c r="X154" s="5">
        <f t="shared" si="4"/>
        <v>2</v>
      </c>
      <c r="Y154" s="5" t="str">
        <f>IFERROR(__xludf.DUMMYFUNCTION("REGEXEXTRACT(J154, ""^\d+"")"),"88")</f>
        <v>88</v>
      </c>
      <c r="Z154" s="5" t="str">
        <f>IFERROR(__xludf.DUMMYFUNCTION("REGEXEXTRACT(J154, ""[A-Za-z ]+$"")")," min")</f>
        <v> min</v>
      </c>
      <c r="AA154" s="5" t="str">
        <f>IFERROR(__xludf.DUMMYFUNCTION("IF(REGEXMATCH(Z154, ""Season""), ""TV Show"", ""Movie"")"),"Movie")</f>
        <v>Movie</v>
      </c>
    </row>
    <row r="155">
      <c r="A155" s="1" t="s">
        <v>1075</v>
      </c>
      <c r="B155" s="1" t="s">
        <v>37</v>
      </c>
      <c r="C155" s="1" t="s">
        <v>1076</v>
      </c>
      <c r="E155" s="1" t="s">
        <v>1077</v>
      </c>
      <c r="F155" s="1" t="s">
        <v>1078</v>
      </c>
      <c r="G155" s="1" t="s">
        <v>898</v>
      </c>
      <c r="H155" s="1">
        <v>2016.0</v>
      </c>
      <c r="I155" s="1" t="s">
        <v>206</v>
      </c>
      <c r="J155" s="1" t="s">
        <v>43</v>
      </c>
      <c r="K155" s="1" t="s">
        <v>290</v>
      </c>
      <c r="L155" s="1" t="s">
        <v>1079</v>
      </c>
      <c r="M155" s="2" t="s">
        <v>12</v>
      </c>
      <c r="N155" s="4">
        <f t="shared" si="1"/>
        <v>44440</v>
      </c>
      <c r="O155" s="5" t="str">
        <f>IFERROR(__xludf.DUMMYFUNCTION("IF(REGEXMATCH(TRIM(I155), ""^\d+\s*min""), ""Unclassified"", IF(I155 = """", ""NR"", I155))"),"TV-Y")</f>
        <v>TV-Y</v>
      </c>
      <c r="R155" s="5" t="str">
        <f t="shared" si="2"/>
        <v>Kid-E-Cats</v>
      </c>
      <c r="S155" s="5" t="str">
        <f>IFERROR(__xludf.DUMMYFUNCTION("""COMPUTED_VALUE"""),"A Boy Name Flora A")</f>
        <v>A Boy Name Flora A</v>
      </c>
      <c r="T155" s="5" t="str">
        <f>IFERROR(__xludf.DUMMYFUNCTION("""COMPUTED_VALUE"""),"Egypt, Saudi Arabia")</f>
        <v>Egypt, Saudi Arabia</v>
      </c>
      <c r="U155" s="5" t="str">
        <f>IFERROR(__xludf.DUMMYFUNCTION("""COMPUTED_VALUE"""),"Miguel Alexandre")</f>
        <v>Miguel Alexandre</v>
      </c>
      <c r="V155" s="5" t="s">
        <v>1080</v>
      </c>
      <c r="W155" s="5" t="str">
        <f t="shared" si="3"/>
        <v>Alex Díaz</v>
      </c>
      <c r="X155" s="5">
        <f t="shared" si="4"/>
        <v>2</v>
      </c>
      <c r="Y155" s="5" t="str">
        <f>IFERROR(__xludf.DUMMYFUNCTION("REGEXEXTRACT(J155, ""^\d+"")"),"2")</f>
        <v>2</v>
      </c>
      <c r="Z155" s="5" t="str">
        <f>IFERROR(__xludf.DUMMYFUNCTION("REGEXEXTRACT(J155, ""[A-Za-z ]+$"")")," Seasons")</f>
        <v> Seasons</v>
      </c>
      <c r="AA155" s="5" t="str">
        <f>IFERROR(__xludf.DUMMYFUNCTION("IF(REGEXMATCH(Z155, ""Season""), ""TV Show"", ""Movie"")"),"TV Show")</f>
        <v>TV Show</v>
      </c>
    </row>
    <row r="156">
      <c r="A156" s="1" t="s">
        <v>1081</v>
      </c>
      <c r="B156" s="1" t="s">
        <v>37</v>
      </c>
      <c r="C156" s="1" t="s">
        <v>1082</v>
      </c>
      <c r="E156" s="1" t="s">
        <v>1083</v>
      </c>
      <c r="F156" s="1" t="s">
        <v>415</v>
      </c>
      <c r="G156" s="1" t="s">
        <v>898</v>
      </c>
      <c r="H156" s="1">
        <v>2015.0</v>
      </c>
      <c r="I156" s="1" t="s">
        <v>42</v>
      </c>
      <c r="J156" s="1" t="s">
        <v>276</v>
      </c>
      <c r="K156" s="1" t="s">
        <v>1084</v>
      </c>
      <c r="L156" s="1" t="s">
        <v>1085</v>
      </c>
      <c r="M156" s="2" t="s">
        <v>12</v>
      </c>
      <c r="N156" s="4">
        <f t="shared" si="1"/>
        <v>44440</v>
      </c>
      <c r="O156" s="5" t="str">
        <f>IFERROR(__xludf.DUMMYFUNCTION("IF(REGEXMATCH(TRIM(I156), ""^\d+\s*min""), ""Unclassified"", IF(I156 = """", ""NR"", I156))"),"TV-MA")</f>
        <v>TV-MA</v>
      </c>
      <c r="R156" s="5" t="str">
        <f t="shared" si="2"/>
        <v>Kuroko'S Basketball</v>
      </c>
      <c r="S156" s="5" t="str">
        <f>IFERROR(__xludf.DUMMYFUNCTION("""COMPUTED_VALUE"""),"A Bridge Too Far")</f>
        <v>A Bridge Too Far</v>
      </c>
      <c r="T156" s="5" t="str">
        <f>IFERROR(__xludf.DUMMYFUNCTION("""COMPUTED_VALUE"""),"Finland")</f>
        <v>Finland</v>
      </c>
      <c r="U156" s="5" t="str">
        <f>IFERROR(__xludf.DUMMYFUNCTION("""COMPUTED_VALUE"""),"Mani Ratnam")</f>
        <v>Mani Ratnam</v>
      </c>
      <c r="V156" s="5" t="s">
        <v>1086</v>
      </c>
      <c r="W156" s="5" t="str">
        <f t="shared" si="3"/>
        <v>Alex Díaz, Marcos Bucay</v>
      </c>
      <c r="X156" s="5">
        <f t="shared" si="4"/>
        <v>1</v>
      </c>
      <c r="Y156" s="5" t="str">
        <f>IFERROR(__xludf.DUMMYFUNCTION("REGEXEXTRACT(J156, ""^\d+"")"),"3")</f>
        <v>3</v>
      </c>
      <c r="Z156" s="5" t="str">
        <f>IFERROR(__xludf.DUMMYFUNCTION("REGEXEXTRACT(J156, ""[A-Za-z ]+$"")")," Seasons")</f>
        <v> Seasons</v>
      </c>
      <c r="AA156" s="5" t="str">
        <f>IFERROR(__xludf.DUMMYFUNCTION("IF(REGEXMATCH(Z156, ""Season""), ""TV Show"", ""Movie"")"),"TV Show")</f>
        <v>TV Show</v>
      </c>
    </row>
    <row r="157">
      <c r="A157" s="1" t="s">
        <v>1087</v>
      </c>
      <c r="B157" s="1" t="s">
        <v>27</v>
      </c>
      <c r="C157" s="1" t="s">
        <v>1088</v>
      </c>
      <c r="D157" s="1" t="s">
        <v>1089</v>
      </c>
      <c r="E157" s="1" t="s">
        <v>1090</v>
      </c>
      <c r="F157" s="1" t="s">
        <v>686</v>
      </c>
      <c r="G157" s="1" t="s">
        <v>898</v>
      </c>
      <c r="H157" s="1">
        <v>1986.0</v>
      </c>
      <c r="I157" s="1" t="s">
        <v>78</v>
      </c>
      <c r="J157" s="1" t="s">
        <v>1091</v>
      </c>
      <c r="K157" s="1" t="s">
        <v>1092</v>
      </c>
      <c r="L157" s="1" t="s">
        <v>1093</v>
      </c>
      <c r="M157" s="2" t="s">
        <v>12</v>
      </c>
      <c r="N157" s="4">
        <f t="shared" si="1"/>
        <v>44440</v>
      </c>
      <c r="O157" s="5" t="str">
        <f>IFERROR(__xludf.DUMMYFUNCTION("IF(REGEXMATCH(TRIM(I157), ""^\d+\s*min""), ""Unclassified"", IF(I157 = """", ""NR"", I157))"),"PG")</f>
        <v>PG</v>
      </c>
      <c r="R157" s="5" t="str">
        <f t="shared" si="2"/>
        <v>Labyrinth</v>
      </c>
      <c r="S157" s="5" t="str">
        <f>IFERROR(__xludf.DUMMYFUNCTION("""COMPUTED_VALUE"""),"A California Christmas")</f>
        <v>A California Christmas</v>
      </c>
      <c r="T157" s="5" t="str">
        <f>IFERROR(__xludf.DUMMYFUNCTION("""COMPUTED_VALUE"""),"Finland, France")</f>
        <v>Finland, France</v>
      </c>
      <c r="U157" s="5" t="str">
        <f>IFERROR(__xludf.DUMMYFUNCTION("""COMPUTED_VALUE"""),"Michael Harte")</f>
        <v>Michael Harte</v>
      </c>
      <c r="V157" s="5" t="s">
        <v>1094</v>
      </c>
      <c r="W157" s="5" t="str">
        <f t="shared" si="3"/>
        <v>Alex Garland</v>
      </c>
      <c r="X157" s="5">
        <f t="shared" si="4"/>
        <v>1</v>
      </c>
      <c r="Y157" s="5" t="str">
        <f>IFERROR(__xludf.DUMMYFUNCTION("REGEXEXTRACT(J157, ""^\d+"")"),"101")</f>
        <v>101</v>
      </c>
      <c r="Z157" s="5" t="str">
        <f>IFERROR(__xludf.DUMMYFUNCTION("REGEXEXTRACT(J157, ""[A-Za-z ]+$"")")," min")</f>
        <v> min</v>
      </c>
      <c r="AA157" s="5" t="str">
        <f>IFERROR(__xludf.DUMMYFUNCTION("IF(REGEXMATCH(Z157, ""Season""), ""TV Show"", ""Movie"")"),"Movie")</f>
        <v>Movie</v>
      </c>
    </row>
    <row r="158">
      <c r="A158" s="1" t="s">
        <v>1095</v>
      </c>
      <c r="B158" s="1" t="s">
        <v>27</v>
      </c>
      <c r="C158" s="1" t="s">
        <v>1096</v>
      </c>
      <c r="D158" s="1" t="s">
        <v>1097</v>
      </c>
      <c r="E158" s="1" t="s">
        <v>1098</v>
      </c>
      <c r="F158" s="1" t="s">
        <v>30</v>
      </c>
      <c r="G158" s="1" t="s">
        <v>898</v>
      </c>
      <c r="H158" s="1">
        <v>2010.0</v>
      </c>
      <c r="I158" s="1" t="s">
        <v>78</v>
      </c>
      <c r="J158" s="1" t="s">
        <v>305</v>
      </c>
      <c r="K158" s="1" t="s">
        <v>1099</v>
      </c>
      <c r="L158" s="1" t="s">
        <v>1100</v>
      </c>
      <c r="M158" s="2" t="s">
        <v>12</v>
      </c>
      <c r="N158" s="4">
        <f t="shared" si="1"/>
        <v>44440</v>
      </c>
      <c r="O158" s="5" t="str">
        <f>IFERROR(__xludf.DUMMYFUNCTION("IF(REGEXMATCH(TRIM(I158), ""^\d+\s*min""), ""Unclassified"", IF(I158 = """", ""NR"", I158))"),"PG")</f>
        <v>PG</v>
      </c>
      <c r="R158" s="5" t="str">
        <f t="shared" si="2"/>
        <v>Letters To Juliet</v>
      </c>
      <c r="S158" s="5" t="str">
        <f>IFERROR(__xludf.DUMMYFUNCTION("""COMPUTED_VALUE"""),"A Champion Heart")</f>
        <v>A Champion Heart</v>
      </c>
      <c r="T158" s="5" t="str">
        <f>IFERROR(__xludf.DUMMYFUNCTION("""COMPUTED_VALUE"""),"Finland, Germany")</f>
        <v>Finland, Germany</v>
      </c>
      <c r="U158" s="5" t="str">
        <f>IFERROR(__xludf.DUMMYFUNCTION("""COMPUTED_VALUE"""),"Tosin Igho")</f>
        <v>Tosin Igho</v>
      </c>
      <c r="V158" s="5" t="s">
        <v>1101</v>
      </c>
      <c r="W158" s="5" t="str">
        <f t="shared" si="3"/>
        <v>Alex Gibney</v>
      </c>
      <c r="X158" s="5">
        <f t="shared" si="4"/>
        <v>1</v>
      </c>
      <c r="Y158" s="5" t="str">
        <f>IFERROR(__xludf.DUMMYFUNCTION("REGEXEXTRACT(J158, ""^\d+"")"),"105")</f>
        <v>105</v>
      </c>
      <c r="Z158" s="5" t="str">
        <f>IFERROR(__xludf.DUMMYFUNCTION("REGEXEXTRACT(J158, ""[A-Za-z ]+$"")")," min")</f>
        <v> min</v>
      </c>
      <c r="AA158" s="5" t="str">
        <f>IFERROR(__xludf.DUMMYFUNCTION("IF(REGEXMATCH(Z158, ""Season""), ""TV Show"", ""Movie"")"),"Movie")</f>
        <v>Movie</v>
      </c>
    </row>
    <row r="159">
      <c r="A159" s="1" t="s">
        <v>1102</v>
      </c>
      <c r="B159" s="1" t="s">
        <v>27</v>
      </c>
      <c r="C159" s="1" t="s">
        <v>1103</v>
      </c>
      <c r="D159" s="1" t="s">
        <v>1104</v>
      </c>
      <c r="E159" s="1" t="s">
        <v>1105</v>
      </c>
      <c r="F159" s="1" t="s">
        <v>1106</v>
      </c>
      <c r="G159" s="1" t="s">
        <v>898</v>
      </c>
      <c r="H159" s="1">
        <v>2018.0</v>
      </c>
      <c r="I159" s="1" t="s">
        <v>97</v>
      </c>
      <c r="J159" s="1" t="s">
        <v>447</v>
      </c>
      <c r="K159" s="1" t="s">
        <v>658</v>
      </c>
      <c r="L159" s="1" t="s">
        <v>1107</v>
      </c>
      <c r="M159" s="2" t="s">
        <v>12</v>
      </c>
      <c r="N159" s="4">
        <f t="shared" si="1"/>
        <v>44440</v>
      </c>
      <c r="O159" s="5" t="str">
        <f>IFERROR(__xludf.DUMMYFUNCTION("IF(REGEXMATCH(TRIM(I159), ""^\d+\s*min""), ""Unclassified"", IF(I159 = """", ""NR"", I159))"),"TV-14")</f>
        <v>TV-14</v>
      </c>
      <c r="R159" s="5" t="str">
        <f t="shared" si="2"/>
        <v>Level 16</v>
      </c>
      <c r="S159" s="5" t="str">
        <f>IFERROR(__xludf.DUMMYFUNCTION("""COMPUTED_VALUE"""),"A Chaster Marriage")</f>
        <v>A Chaster Marriage</v>
      </c>
      <c r="T159" s="5" t="str">
        <f>IFERROR(__xludf.DUMMYFUNCTION("""COMPUTED_VALUE"""),"Finland, Germany, Belgium")</f>
        <v>Finland, Germany, Belgium</v>
      </c>
      <c r="U159" s="5" t="str">
        <f>IFERROR(__xludf.DUMMYFUNCTION("""COMPUTED_VALUE"""),"Alice Filippi")</f>
        <v>Alice Filippi</v>
      </c>
      <c r="V159" s="5" t="s">
        <v>1108</v>
      </c>
      <c r="W159" s="5" t="str">
        <f t="shared" si="3"/>
        <v>Alex Holmes</v>
      </c>
      <c r="X159" s="5">
        <f t="shared" si="4"/>
        <v>1</v>
      </c>
      <c r="Y159" s="5" t="str">
        <f>IFERROR(__xludf.DUMMYFUNCTION("REGEXEXTRACT(J159, ""^\d+"")"),"102")</f>
        <v>102</v>
      </c>
      <c r="Z159" s="5" t="str">
        <f>IFERROR(__xludf.DUMMYFUNCTION("REGEXEXTRACT(J159, ""[A-Za-z ]+$"")")," min")</f>
        <v> min</v>
      </c>
      <c r="AA159" s="5" t="str">
        <f>IFERROR(__xludf.DUMMYFUNCTION("IF(REGEXMATCH(Z159, ""Season""), ""TV Show"", ""Movie"")"),"Movie")</f>
        <v>Movie</v>
      </c>
    </row>
    <row r="160">
      <c r="A160" s="1" t="s">
        <v>1109</v>
      </c>
      <c r="B160" s="1" t="s">
        <v>27</v>
      </c>
      <c r="C160" s="1" t="s">
        <v>1110</v>
      </c>
      <c r="D160" s="1" t="s">
        <v>1111</v>
      </c>
      <c r="E160" s="1" t="s">
        <v>1112</v>
      </c>
      <c r="F160" s="1" t="s">
        <v>30</v>
      </c>
      <c r="G160" s="1" t="s">
        <v>898</v>
      </c>
      <c r="H160" s="1">
        <v>2003.0</v>
      </c>
      <c r="I160" s="1" t="s">
        <v>32</v>
      </c>
      <c r="J160" s="1" t="s">
        <v>1091</v>
      </c>
      <c r="K160" s="1" t="s">
        <v>813</v>
      </c>
      <c r="L160" s="1" t="s">
        <v>1113</v>
      </c>
      <c r="M160" s="2" t="s">
        <v>12</v>
      </c>
      <c r="N160" s="4">
        <f t="shared" si="1"/>
        <v>44440</v>
      </c>
      <c r="O160" s="5" t="str">
        <f>IFERROR(__xludf.DUMMYFUNCTION("IF(REGEXMATCH(TRIM(I160), ""^\d+\s*min""), ""Unclassified"", IF(I160 = """", ""NR"", I160))"),"PG-13")</f>
        <v>PG-13</v>
      </c>
      <c r="R160" s="5" t="str">
        <f t="shared" si="2"/>
        <v>Love Don'T Cost A Thing</v>
      </c>
      <c r="S160" s="5" t="str">
        <f>IFERROR(__xludf.DUMMYFUNCTION("""COMPUTED_VALUE"""),"A Choo")</f>
        <v>A Choo</v>
      </c>
      <c r="T160" s="5" t="str">
        <f>IFERROR(__xludf.DUMMYFUNCTION("""COMPUTED_VALUE"""),"Finland, Sweden, Norway, Latvia, Germany")</f>
        <v>Finland, Sweden, Norway, Latvia, Germany</v>
      </c>
      <c r="U160" s="5" t="str">
        <f>IFERROR(__xludf.DUMMYFUNCTION("""COMPUTED_VALUE"""),"Paakhi Tyrewala")</f>
        <v>Paakhi Tyrewala</v>
      </c>
      <c r="V160" s="5" t="s">
        <v>1114</v>
      </c>
      <c r="W160" s="5" t="str">
        <f t="shared" si="3"/>
        <v>Alex Infascelli</v>
      </c>
      <c r="X160" s="5">
        <f t="shared" si="4"/>
        <v>1</v>
      </c>
      <c r="Y160" s="5" t="str">
        <f>IFERROR(__xludf.DUMMYFUNCTION("REGEXEXTRACT(J160, ""^\d+"")"),"101")</f>
        <v>101</v>
      </c>
      <c r="Z160" s="5" t="str">
        <f>IFERROR(__xludf.DUMMYFUNCTION("REGEXEXTRACT(J160, ""[A-Za-z ]+$"")")," min")</f>
        <v> min</v>
      </c>
      <c r="AA160" s="5" t="str">
        <f>IFERROR(__xludf.DUMMYFUNCTION("IF(REGEXMATCH(Z160, ""Season""), ""TV Show"", ""Movie"")"),"Movie")</f>
        <v>Movie</v>
      </c>
    </row>
    <row r="161">
      <c r="A161" s="1" t="s">
        <v>1115</v>
      </c>
      <c r="B161" s="1" t="s">
        <v>27</v>
      </c>
      <c r="C161" s="1" t="s">
        <v>1116</v>
      </c>
      <c r="D161" s="1" t="s">
        <v>1117</v>
      </c>
      <c r="E161" s="1" t="s">
        <v>1118</v>
      </c>
      <c r="F161" s="1" t="s">
        <v>1119</v>
      </c>
      <c r="G161" s="1" t="s">
        <v>898</v>
      </c>
      <c r="H161" s="1">
        <v>2010.0</v>
      </c>
      <c r="I161" s="1" t="s">
        <v>42</v>
      </c>
      <c r="J161" s="1" t="s">
        <v>238</v>
      </c>
      <c r="K161" s="1" t="s">
        <v>583</v>
      </c>
      <c r="L161" s="1" t="s">
        <v>1120</v>
      </c>
      <c r="M161" s="2" t="s">
        <v>12</v>
      </c>
      <c r="N161" s="4">
        <f t="shared" si="1"/>
        <v>44440</v>
      </c>
      <c r="O161" s="5" t="str">
        <f>IFERROR(__xludf.DUMMYFUNCTION("IF(REGEXMATCH(TRIM(I161), ""^\d+\s*min""), ""Unclassified"", IF(I161 = """", ""NR"", I161))"),"TV-MA")</f>
        <v>TV-MA</v>
      </c>
      <c r="R161" s="5" t="str">
        <f t="shared" si="2"/>
        <v>Love In A Puff</v>
      </c>
      <c r="S161" s="5" t="str">
        <f>IFERROR(__xludf.DUMMYFUNCTION("""COMPUTED_VALUE"""),"A Christmas Catch")</f>
        <v>A Christmas Catch</v>
      </c>
      <c r="T161" s="5" t="str">
        <f>IFERROR(__xludf.DUMMYFUNCTION("""COMPUTED_VALUE"""),"Finland, United States")</f>
        <v>Finland, United States</v>
      </c>
      <c r="U161" s="5" t="str">
        <f>IFERROR(__xludf.DUMMYFUNCTION("""COMPUTED_VALUE"""),"Laura Brownson")</f>
        <v>Laura Brownson</v>
      </c>
      <c r="V161" s="5" t="s">
        <v>1121</v>
      </c>
      <c r="W161" s="5" t="str">
        <f t="shared" si="3"/>
        <v>Alex Israel</v>
      </c>
      <c r="X161" s="5">
        <f t="shared" si="4"/>
        <v>1</v>
      </c>
      <c r="Y161" s="5" t="str">
        <f>IFERROR(__xludf.DUMMYFUNCTION("REGEXEXTRACT(J161, ""^\d+"")"),"103")</f>
        <v>103</v>
      </c>
      <c r="Z161" s="5" t="str">
        <f>IFERROR(__xludf.DUMMYFUNCTION("REGEXEXTRACT(J161, ""[A-Za-z ]+$"")")," min")</f>
        <v> min</v>
      </c>
      <c r="AA161" s="5" t="str">
        <f>IFERROR(__xludf.DUMMYFUNCTION("IF(REGEXMATCH(Z161, ""Season""), ""TV Show"", ""Movie"")"),"Movie")</f>
        <v>Movie</v>
      </c>
    </row>
    <row r="162">
      <c r="A162" s="1" t="s">
        <v>1122</v>
      </c>
      <c r="B162" s="1" t="s">
        <v>37</v>
      </c>
      <c r="C162" s="1" t="s">
        <v>1123</v>
      </c>
      <c r="E162" s="1" t="s">
        <v>1124</v>
      </c>
      <c r="F162" s="1" t="s">
        <v>30</v>
      </c>
      <c r="G162" s="1" t="s">
        <v>898</v>
      </c>
      <c r="H162" s="1">
        <v>1992.0</v>
      </c>
      <c r="I162" s="1" t="s">
        <v>136</v>
      </c>
      <c r="J162" s="1" t="s">
        <v>148</v>
      </c>
      <c r="K162" s="1" t="s">
        <v>270</v>
      </c>
      <c r="L162" s="1" t="s">
        <v>1125</v>
      </c>
      <c r="M162" s="2" t="s">
        <v>12</v>
      </c>
      <c r="N162" s="4">
        <f t="shared" si="1"/>
        <v>44440</v>
      </c>
      <c r="O162" s="5" t="str">
        <f>IFERROR(__xludf.DUMMYFUNCTION("IF(REGEXMATCH(TRIM(I162), ""^\d+\s*min""), ""Unclassified"", IF(I162 = """", ""NR"", I162))"),"TV-PG")</f>
        <v>TV-PG</v>
      </c>
      <c r="R162" s="5" t="str">
        <f t="shared" si="2"/>
        <v>Major Dad</v>
      </c>
      <c r="S162" s="5" t="str">
        <f>IFERROR(__xludf.DUMMYFUNCTION("""COMPUTED_VALUE"""),"A Christmas Prince")</f>
        <v>A Christmas Prince</v>
      </c>
      <c r="T162" s="5" t="str">
        <f>IFERROR(__xludf.DUMMYFUNCTION("""COMPUTED_VALUE"""),"France")</f>
        <v>France</v>
      </c>
      <c r="U162" s="5" t="str">
        <f>IFERROR(__xludf.DUMMYFUNCTION("""COMPUTED_VALUE"""),"Steve Brill")</f>
        <v>Steve Brill</v>
      </c>
      <c r="V162" s="5" t="s">
        <v>1126</v>
      </c>
      <c r="W162" s="5" t="str">
        <f t="shared" si="3"/>
        <v>Alex Law</v>
      </c>
      <c r="X162" s="5">
        <f t="shared" si="4"/>
        <v>1</v>
      </c>
      <c r="Y162" s="5" t="str">
        <f>IFERROR(__xludf.DUMMYFUNCTION("REGEXEXTRACT(J162, ""^\d+"")"),"4")</f>
        <v>4</v>
      </c>
      <c r="Z162" s="5" t="str">
        <f>IFERROR(__xludf.DUMMYFUNCTION("REGEXEXTRACT(J162, ""[A-Za-z ]+$"")")," Seasons")</f>
        <v> Seasons</v>
      </c>
      <c r="AA162" s="5" t="str">
        <f>IFERROR(__xludf.DUMMYFUNCTION("IF(REGEXMATCH(Z162, ""Season""), ""TV Show"", ""Movie"")"),"TV Show")</f>
        <v>TV Show</v>
      </c>
    </row>
    <row r="163">
      <c r="A163" s="1" t="s">
        <v>1127</v>
      </c>
      <c r="B163" s="1" t="s">
        <v>27</v>
      </c>
      <c r="C163" s="1" t="s">
        <v>1128</v>
      </c>
      <c r="D163" s="1" t="s">
        <v>1129</v>
      </c>
      <c r="E163" s="1" t="s">
        <v>1130</v>
      </c>
      <c r="F163" s="1" t="s">
        <v>30</v>
      </c>
      <c r="G163" s="1" t="s">
        <v>898</v>
      </c>
      <c r="H163" s="1">
        <v>1996.0</v>
      </c>
      <c r="I163" s="1" t="s">
        <v>32</v>
      </c>
      <c r="J163" s="1" t="s">
        <v>256</v>
      </c>
      <c r="K163" s="1" t="s">
        <v>1131</v>
      </c>
      <c r="L163" s="1" t="s">
        <v>1132</v>
      </c>
      <c r="M163" s="2" t="s">
        <v>12</v>
      </c>
      <c r="N163" s="4">
        <f t="shared" si="1"/>
        <v>44440</v>
      </c>
      <c r="O163" s="5" t="str">
        <f>IFERROR(__xludf.DUMMYFUNCTION("IF(REGEXMATCH(TRIM(I163), ""^\d+\s*min""), ""Unclassified"", IF(I163 = """", ""NR"", I163))"),"PG-13")</f>
        <v>PG-13</v>
      </c>
      <c r="R163" s="5" t="str">
        <f t="shared" si="2"/>
        <v>Mars Attacks!</v>
      </c>
      <c r="S163" s="5" t="str">
        <f>IFERROR(__xludf.DUMMYFUNCTION("""COMPUTED_VALUE"""),"A Christmas Prince: The Royal Baby")</f>
        <v>A Christmas Prince: The Royal Baby</v>
      </c>
      <c r="T163" s="5" t="str">
        <f>IFERROR(__xludf.DUMMYFUNCTION("""COMPUTED_VALUE"""),"France, Algeria")</f>
        <v>France, Algeria</v>
      </c>
      <c r="U163" s="5" t="str">
        <f>IFERROR(__xludf.DUMMYFUNCTION("""COMPUTED_VALUE"""),"Moses Inwang")</f>
        <v>Moses Inwang</v>
      </c>
      <c r="V163" s="5" t="s">
        <v>1133</v>
      </c>
      <c r="W163" s="5" t="str">
        <f t="shared" si="3"/>
        <v>Alex Lehmann</v>
      </c>
      <c r="X163" s="5">
        <f t="shared" si="4"/>
        <v>3</v>
      </c>
      <c r="Y163" s="5" t="str">
        <f>IFERROR(__xludf.DUMMYFUNCTION("REGEXEXTRACT(J163, ""^\d+"")"),"106")</f>
        <v>106</v>
      </c>
      <c r="Z163" s="5" t="str">
        <f>IFERROR(__xludf.DUMMYFUNCTION("REGEXEXTRACT(J163, ""[A-Za-z ]+$"")")," min")</f>
        <v> min</v>
      </c>
      <c r="AA163" s="5" t="str">
        <f>IFERROR(__xludf.DUMMYFUNCTION("IF(REGEXMATCH(Z163, ""Season""), ""TV Show"", ""Movie"")"),"Movie")</f>
        <v>Movie</v>
      </c>
    </row>
    <row r="164">
      <c r="A164" s="1" t="s">
        <v>1134</v>
      </c>
      <c r="B164" s="1" t="s">
        <v>27</v>
      </c>
      <c r="C164" s="1" t="s">
        <v>1135</v>
      </c>
      <c r="D164" s="1" t="s">
        <v>1018</v>
      </c>
      <c r="E164" s="1" t="s">
        <v>1136</v>
      </c>
      <c r="F164" s="1" t="s">
        <v>1137</v>
      </c>
      <c r="G164" s="1" t="s">
        <v>898</v>
      </c>
      <c r="H164" s="1">
        <v>2017.0</v>
      </c>
      <c r="I164" s="1" t="s">
        <v>32</v>
      </c>
      <c r="J164" s="1" t="s">
        <v>870</v>
      </c>
      <c r="K164" s="1" t="s">
        <v>805</v>
      </c>
      <c r="L164" s="1" t="s">
        <v>1138</v>
      </c>
      <c r="M164" s="2" t="s">
        <v>12</v>
      </c>
      <c r="N164" s="4">
        <f t="shared" si="1"/>
        <v>44440</v>
      </c>
      <c r="O164" s="5" t="str">
        <f>IFERROR(__xludf.DUMMYFUNCTION("IF(REGEXMATCH(TRIM(I164), ""^\d+\s*min""), ""Unclassified"", IF(I164 = """", ""NR"", I164))"),"PG-13")</f>
        <v>PG-13</v>
      </c>
      <c r="R164" s="5" t="str">
        <f t="shared" si="2"/>
        <v>Marshall</v>
      </c>
      <c r="S164" s="5" t="str">
        <f>IFERROR(__xludf.DUMMYFUNCTION("""COMPUTED_VALUE"""),"A Christmas Prince: The Royal Wedding")</f>
        <v>A Christmas Prince: The Royal Wedding</v>
      </c>
      <c r="T164" s="5" t="str">
        <f>IFERROR(__xludf.DUMMYFUNCTION("""COMPUTED_VALUE"""),"France, Australia, Germany")</f>
        <v>France, Australia, Germany</v>
      </c>
      <c r="U164" s="5" t="str">
        <f>IFERROR(__xludf.DUMMYFUNCTION("""COMPUTED_VALUE"""),"Ferdinando Cito Filomarino")</f>
        <v>Ferdinando Cito Filomarino</v>
      </c>
      <c r="V164" s="5" t="s">
        <v>1139</v>
      </c>
      <c r="W164" s="5" t="str">
        <f t="shared" si="3"/>
        <v>Alex Merkin</v>
      </c>
      <c r="X164" s="5">
        <f t="shared" si="4"/>
        <v>2</v>
      </c>
      <c r="Y164" s="5" t="str">
        <f>IFERROR(__xludf.DUMMYFUNCTION("REGEXEXTRACT(J164, ""^\d+"")"),"118")</f>
        <v>118</v>
      </c>
      <c r="Z164" s="5" t="str">
        <f>IFERROR(__xludf.DUMMYFUNCTION("REGEXEXTRACT(J164, ""[A-Za-z ]+$"")")," min")</f>
        <v> min</v>
      </c>
      <c r="AA164" s="5" t="str">
        <f>IFERROR(__xludf.DUMMYFUNCTION("IF(REGEXMATCH(Z164, ""Season""), ""TV Show"", ""Movie"")"),"Movie")</f>
        <v>Movie</v>
      </c>
    </row>
    <row r="165">
      <c r="A165" s="1" t="s">
        <v>1140</v>
      </c>
      <c r="B165" s="1" t="s">
        <v>27</v>
      </c>
      <c r="C165" s="1" t="s">
        <v>1141</v>
      </c>
      <c r="D165" s="1" t="s">
        <v>1142</v>
      </c>
      <c r="E165" s="1" t="s">
        <v>1143</v>
      </c>
      <c r="F165" s="1" t="s">
        <v>30</v>
      </c>
      <c r="G165" s="1" t="s">
        <v>898</v>
      </c>
      <c r="H165" s="1">
        <v>2003.0</v>
      </c>
      <c r="I165" s="1" t="s">
        <v>378</v>
      </c>
      <c r="J165" s="1" t="s">
        <v>1144</v>
      </c>
      <c r="K165" s="1" t="s">
        <v>813</v>
      </c>
      <c r="L165" s="1" t="s">
        <v>1145</v>
      </c>
      <c r="M165" s="2" t="s">
        <v>12</v>
      </c>
      <c r="N165" s="4">
        <f t="shared" si="1"/>
        <v>44440</v>
      </c>
      <c r="O165" s="5" t="str">
        <f>IFERROR(__xludf.DUMMYFUNCTION("IF(REGEXMATCH(TRIM(I165), ""^\d+\s*min""), ""Unclassified"", IF(I165 = """", ""NR"", I165))"),"R")</f>
        <v>R</v>
      </c>
      <c r="R165" s="5" t="str">
        <f t="shared" si="2"/>
        <v>My Boss'S Daughter</v>
      </c>
      <c r="S165" s="5" t="str">
        <f>IFERROR(__xludf.DUMMYFUNCTION("""COMPUTED_VALUE"""),"A Christmas Special: Miraculous: Tales Of Ladybug &amp; Cat Noir")</f>
        <v>A Christmas Special: Miraculous: Tales Of Ladybug &amp; Cat Noir</v>
      </c>
      <c r="T165" s="5" t="str">
        <f>IFERROR(__xludf.DUMMYFUNCTION("""COMPUTED_VALUE"""),"France, Belgium")</f>
        <v>France, Belgium</v>
      </c>
      <c r="U165" s="5" t="str">
        <f>IFERROR(__xludf.DUMMYFUNCTION("""COMPUTED_VALUE"""),"Juan Carlos Medina")</f>
        <v>Juan Carlos Medina</v>
      </c>
      <c r="V165" s="5" t="s">
        <v>1146</v>
      </c>
      <c r="W165" s="5" t="str">
        <f t="shared" si="3"/>
        <v>Alex Parkinson, Richard Da Costa</v>
      </c>
      <c r="X165" s="5">
        <f t="shared" si="4"/>
        <v>1</v>
      </c>
      <c r="Y165" s="5" t="str">
        <f>IFERROR(__xludf.DUMMYFUNCTION("REGEXEXTRACT(J165, ""^\d+"")"),"86")</f>
        <v>86</v>
      </c>
      <c r="Z165" s="5" t="str">
        <f>IFERROR(__xludf.DUMMYFUNCTION("REGEXEXTRACT(J165, ""[A-Za-z ]+$"")")," min")</f>
        <v> min</v>
      </c>
      <c r="AA165" s="5" t="str">
        <f>IFERROR(__xludf.DUMMYFUNCTION("IF(REGEXMATCH(Z165, ""Season""), ""TV Show"", ""Movie"")"),"Movie")</f>
        <v>Movie</v>
      </c>
    </row>
    <row r="166">
      <c r="A166" s="1" t="s">
        <v>1147</v>
      </c>
      <c r="B166" s="1" t="s">
        <v>27</v>
      </c>
      <c r="C166" s="1" t="s">
        <v>1148</v>
      </c>
      <c r="D166" s="1" t="s">
        <v>1149</v>
      </c>
      <c r="E166" s="1" t="s">
        <v>1150</v>
      </c>
      <c r="F166" s="1" t="s">
        <v>30</v>
      </c>
      <c r="G166" s="1" t="s">
        <v>898</v>
      </c>
      <c r="H166" s="1">
        <v>1999.0</v>
      </c>
      <c r="I166" s="1" t="s">
        <v>32</v>
      </c>
      <c r="J166" s="1" t="s">
        <v>941</v>
      </c>
      <c r="K166" s="1" t="s">
        <v>973</v>
      </c>
      <c r="L166" s="1" t="s">
        <v>1151</v>
      </c>
      <c r="M166" s="2" t="s">
        <v>12</v>
      </c>
      <c r="N166" s="4">
        <f t="shared" si="1"/>
        <v>44440</v>
      </c>
      <c r="O166" s="5" t="str">
        <f>IFERROR(__xludf.DUMMYFUNCTION("IF(REGEXMATCH(TRIM(I166), ""^\d+\s*min""), ""Unclassified"", IF(I166 = """", ""NR"", I166))"),"PG-13")</f>
        <v>PG-13</v>
      </c>
      <c r="R166" s="5" t="str">
        <f t="shared" si="2"/>
        <v>Mystery Men</v>
      </c>
      <c r="S166" s="5" t="str">
        <f>IFERROR(__xludf.DUMMYFUNCTION("""COMPUTED_VALUE"""),"A Cinderella Story")</f>
        <v>A Cinderella Story</v>
      </c>
      <c r="T166" s="5" t="str">
        <f>IFERROR(__xludf.DUMMYFUNCTION("""COMPUTED_VALUE"""),"France, Belgium, China, United States")</f>
        <v>France, Belgium, China, United States</v>
      </c>
      <c r="U166" s="5" t="str">
        <f>IFERROR(__xludf.DUMMYFUNCTION("""COMPUTED_VALUE"""),"Inma Torrente")</f>
        <v>Inma Torrente</v>
      </c>
      <c r="V166" s="5" t="s">
        <v>1152</v>
      </c>
      <c r="W166" s="5" t="str">
        <f t="shared" si="3"/>
        <v>Àlex Pastor, David Pastor</v>
      </c>
      <c r="X166" s="5">
        <f t="shared" si="4"/>
        <v>2</v>
      </c>
      <c r="Y166" s="5" t="str">
        <f>IFERROR(__xludf.DUMMYFUNCTION("REGEXEXTRACT(J166, ""^\d+"")"),"121")</f>
        <v>121</v>
      </c>
      <c r="Z166" s="5" t="str">
        <f>IFERROR(__xludf.DUMMYFUNCTION("REGEXEXTRACT(J166, ""[A-Za-z ]+$"")")," min")</f>
        <v> min</v>
      </c>
      <c r="AA166" s="5" t="str">
        <f>IFERROR(__xludf.DUMMYFUNCTION("IF(REGEXMATCH(Z166, ""Season""), ""TV Show"", ""Movie"")"),"Movie")</f>
        <v>Movie</v>
      </c>
    </row>
    <row r="167">
      <c r="A167" s="1" t="s">
        <v>1153</v>
      </c>
      <c r="B167" s="1" t="s">
        <v>37</v>
      </c>
      <c r="C167" s="1" t="s">
        <v>1154</v>
      </c>
      <c r="E167" s="1" t="s">
        <v>1155</v>
      </c>
      <c r="G167" s="1" t="s">
        <v>898</v>
      </c>
      <c r="H167" s="1">
        <v>2019.0</v>
      </c>
      <c r="I167" s="1" t="s">
        <v>42</v>
      </c>
      <c r="J167" s="1" t="s">
        <v>51</v>
      </c>
      <c r="K167" s="1" t="s">
        <v>785</v>
      </c>
      <c r="L167" s="1" t="s">
        <v>1156</v>
      </c>
      <c r="M167" s="2" t="s">
        <v>12</v>
      </c>
      <c r="N167" s="4">
        <f t="shared" si="1"/>
        <v>44440</v>
      </c>
      <c r="O167" s="5" t="str">
        <f>IFERROR(__xludf.DUMMYFUNCTION("IF(REGEXMATCH(TRIM(I167), ""^\d+\s*min""), ""Unclassified"", IF(I167 = """", ""NR"", I167))"),"TV-MA")</f>
        <v>TV-MA</v>
      </c>
      <c r="R167" s="5" t="str">
        <f t="shared" si="2"/>
        <v>Oldsters</v>
      </c>
      <c r="S167" s="5" t="str">
        <f>IFERROR(__xludf.DUMMYFUNCTION("""COMPUTED_VALUE"""),"A Cinderella Story: Christmas Wish")</f>
        <v>A Cinderella Story: Christmas Wish</v>
      </c>
      <c r="T167" s="5" t="str">
        <f>IFERROR(__xludf.DUMMYFUNCTION("""COMPUTED_VALUE"""),"France, Belgium, Italy")</f>
        <v>France, Belgium, Italy</v>
      </c>
      <c r="U167" s="5" t="str">
        <f>IFERROR(__xludf.DUMMYFUNCTION("""COMPUTED_VALUE"""),"Julián Gaviria")</f>
        <v>Julián Gaviria</v>
      </c>
      <c r="V167" s="5" t="s">
        <v>1157</v>
      </c>
      <c r="W167" s="5" t="str">
        <f t="shared" si="3"/>
        <v>Alex Proyas</v>
      </c>
      <c r="X167" s="5">
        <f t="shared" si="4"/>
        <v>2</v>
      </c>
      <c r="Y167" s="5" t="str">
        <f>IFERROR(__xludf.DUMMYFUNCTION("REGEXEXTRACT(J167, ""^\d+"")"),"1")</f>
        <v>1</v>
      </c>
      <c r="Z167" s="5" t="str">
        <f>IFERROR(__xludf.DUMMYFUNCTION("REGEXEXTRACT(J167, ""[A-Za-z ]+$"")")," Season")</f>
        <v> Season</v>
      </c>
      <c r="AA167" s="5" t="str">
        <f>IFERROR(__xludf.DUMMYFUNCTION("IF(REGEXMATCH(Z167, ""Season""), ""TV Show"", ""Movie"")"),"TV Show")</f>
        <v>TV Show</v>
      </c>
    </row>
    <row r="168">
      <c r="A168" s="1" t="s">
        <v>1158</v>
      </c>
      <c r="B168" s="1" t="s">
        <v>27</v>
      </c>
      <c r="C168" s="1" t="s">
        <v>1159</v>
      </c>
      <c r="D168" s="1" t="s">
        <v>1160</v>
      </c>
      <c r="E168" s="1" t="s">
        <v>1161</v>
      </c>
      <c r="F168" s="1" t="s">
        <v>1162</v>
      </c>
      <c r="G168" s="1" t="s">
        <v>898</v>
      </c>
      <c r="H168" s="1">
        <v>1984.0</v>
      </c>
      <c r="I168" s="1" t="s">
        <v>378</v>
      </c>
      <c r="J168" s="1" t="s">
        <v>1163</v>
      </c>
      <c r="K168" s="1" t="s">
        <v>1164</v>
      </c>
      <c r="L168" s="1" t="s">
        <v>1165</v>
      </c>
      <c r="M168" s="2" t="s">
        <v>12</v>
      </c>
      <c r="N168" s="4">
        <f t="shared" si="1"/>
        <v>44440</v>
      </c>
      <c r="O168" s="5" t="str">
        <f>IFERROR(__xludf.DUMMYFUNCTION("IF(REGEXMATCH(TRIM(I168), ""^\d+\s*min""), ""Unclassified"", IF(I168 = """", ""NR"", I168))"),"R")</f>
        <v>R</v>
      </c>
      <c r="R168" s="5" t="str">
        <f t="shared" si="2"/>
        <v>Once Upon A Time In America</v>
      </c>
      <c r="S168" s="5" t="str">
        <f>IFERROR(__xludf.DUMMYFUNCTION("""COMPUTED_VALUE"""),"A Classic Horror Story")</f>
        <v>A Classic Horror Story</v>
      </c>
      <c r="T168" s="5" t="str">
        <f>IFERROR(__xludf.DUMMYFUNCTION("""COMPUTED_VALUE"""),"France, Belgium, Luxembourg, Cambodia,")</f>
        <v>France, Belgium, Luxembourg, Cambodia,</v>
      </c>
      <c r="U168" s="5" t="str">
        <f>IFERROR(__xludf.DUMMYFUNCTION("""COMPUTED_VALUE"""),"Steven Yamamoto")</f>
        <v>Steven Yamamoto</v>
      </c>
      <c r="V168" s="5" t="s">
        <v>1166</v>
      </c>
      <c r="W168" s="5" t="str">
        <f t="shared" si="3"/>
        <v>Alex Ranarivelo</v>
      </c>
      <c r="X168" s="5">
        <f t="shared" si="4"/>
        <v>1</v>
      </c>
      <c r="Y168" s="5" t="str">
        <f>IFERROR(__xludf.DUMMYFUNCTION("REGEXEXTRACT(J168, ""^\d+"")"),"229")</f>
        <v>229</v>
      </c>
      <c r="Z168" s="5" t="str">
        <f>IFERROR(__xludf.DUMMYFUNCTION("REGEXEXTRACT(J168, ""[A-Za-z ]+$"")")," min")</f>
        <v> min</v>
      </c>
      <c r="AA168" s="5" t="str">
        <f>IFERROR(__xludf.DUMMYFUNCTION("IF(REGEXMATCH(Z168, ""Season""), ""TV Show"", ""Movie"")"),"Movie")</f>
        <v>Movie</v>
      </c>
    </row>
    <row r="169">
      <c r="A169" s="1" t="s">
        <v>1167</v>
      </c>
      <c r="B169" s="1" t="s">
        <v>27</v>
      </c>
      <c r="C169" s="1" t="s">
        <v>1168</v>
      </c>
      <c r="D169" s="1" t="s">
        <v>1169</v>
      </c>
      <c r="E169" s="1" t="s">
        <v>1170</v>
      </c>
      <c r="F169" s="1" t="s">
        <v>897</v>
      </c>
      <c r="G169" s="1" t="s">
        <v>898</v>
      </c>
      <c r="H169" s="1">
        <v>2008.0</v>
      </c>
      <c r="I169" s="1" t="s">
        <v>78</v>
      </c>
      <c r="J169" s="1" t="s">
        <v>1171</v>
      </c>
      <c r="K169" s="1" t="s">
        <v>137</v>
      </c>
      <c r="L169" s="1" t="s">
        <v>1172</v>
      </c>
      <c r="M169" s="2" t="s">
        <v>12</v>
      </c>
      <c r="N169" s="4">
        <f t="shared" si="1"/>
        <v>44440</v>
      </c>
      <c r="O169" s="5" t="str">
        <f>IFERROR(__xludf.DUMMYFUNCTION("IF(REGEXMATCH(TRIM(I169), ""^\d+\s*min""), ""Unclassified"", IF(I169 = """", ""NR"", I169))"),"PG")</f>
        <v>PG</v>
      </c>
      <c r="R169" s="5" t="str">
        <f t="shared" si="2"/>
        <v>Open Season 2</v>
      </c>
      <c r="S169" s="5" t="str">
        <f>IFERROR(__xludf.DUMMYFUNCTION("""COMPUTED_VALUE"""),"A Clockwork Orange")</f>
        <v>A Clockwork Orange</v>
      </c>
      <c r="T169" s="5" t="str">
        <f>IFERROR(__xludf.DUMMYFUNCTION("""COMPUTED_VALUE"""),"France, Belgium, Luxembourg, Romania, Canada, United States")</f>
        <v>France, Belgium, Luxembourg, Romania, Canada, United States</v>
      </c>
      <c r="U169" s="5" t="str">
        <f>IFERROR(__xludf.DUMMYFUNCTION("""COMPUTED_VALUE"""),"Charles Uwagbai")</f>
        <v>Charles Uwagbai</v>
      </c>
      <c r="V169" s="5" t="s">
        <v>1173</v>
      </c>
      <c r="W169" s="5" t="str">
        <f t="shared" si="3"/>
        <v>Alex Richanbach</v>
      </c>
      <c r="X169" s="5">
        <f t="shared" si="4"/>
        <v>1</v>
      </c>
      <c r="Y169" s="5" t="str">
        <f>IFERROR(__xludf.DUMMYFUNCTION("REGEXEXTRACT(J169, ""^\d+"")"),"76")</f>
        <v>76</v>
      </c>
      <c r="Z169" s="5" t="str">
        <f>IFERROR(__xludf.DUMMYFUNCTION("REGEXEXTRACT(J169, ""[A-Za-z ]+$"")")," min")</f>
        <v> min</v>
      </c>
      <c r="AA169" s="5" t="str">
        <f>IFERROR(__xludf.DUMMYFUNCTION("IF(REGEXMATCH(Z169, ""Season""), ""TV Show"", ""Movie"")"),"Movie")</f>
        <v>Movie</v>
      </c>
    </row>
    <row r="170">
      <c r="A170" s="1" t="s">
        <v>1174</v>
      </c>
      <c r="B170" s="1" t="s">
        <v>27</v>
      </c>
      <c r="C170" s="1" t="s">
        <v>1175</v>
      </c>
      <c r="D170" s="1" t="s">
        <v>1176</v>
      </c>
      <c r="E170" s="1" t="s">
        <v>1177</v>
      </c>
      <c r="F170" s="1" t="s">
        <v>30</v>
      </c>
      <c r="G170" s="1" t="s">
        <v>898</v>
      </c>
      <c r="H170" s="1">
        <v>2001.0</v>
      </c>
      <c r="I170" s="1" t="s">
        <v>78</v>
      </c>
      <c r="J170" s="1" t="s">
        <v>465</v>
      </c>
      <c r="K170" s="1" t="s">
        <v>1178</v>
      </c>
      <c r="L170" s="1" t="s">
        <v>1179</v>
      </c>
      <c r="M170" s="2" t="s">
        <v>12</v>
      </c>
      <c r="N170" s="4">
        <f t="shared" si="1"/>
        <v>44440</v>
      </c>
      <c r="O170" s="5" t="str">
        <f>IFERROR(__xludf.DUMMYFUNCTION("IF(REGEXMATCH(TRIM(I170), ""^\d+\s*min""), ""Unclassified"", IF(I170 = """", ""NR"", I170))"),"PG")</f>
        <v>PG</v>
      </c>
      <c r="R170" s="5" t="str">
        <f t="shared" si="2"/>
        <v>Osmosis Jones</v>
      </c>
      <c r="S170" s="5" t="str">
        <f>IFERROR(__xludf.DUMMYFUNCTION("""COMPUTED_VALUE"""),"A Dangerous Woman")</f>
        <v>A Dangerous Woman</v>
      </c>
      <c r="T170" s="5" t="str">
        <f>IFERROR(__xludf.DUMMYFUNCTION("""COMPUTED_VALUE"""),"France, Belgium, Spain")</f>
        <v>France, Belgium, Spain</v>
      </c>
      <c r="U170" s="5" t="str">
        <f>IFERROR(__xludf.DUMMYFUNCTION("""COMPUTED_VALUE"""),"Julián Hernández")</f>
        <v>Julián Hernández</v>
      </c>
      <c r="V170" s="5" t="s">
        <v>1180</v>
      </c>
      <c r="W170" s="5" t="str">
        <f t="shared" si="3"/>
        <v>Alex Smith, Andrew J. Smith</v>
      </c>
      <c r="X170" s="5">
        <f t="shared" si="4"/>
        <v>1</v>
      </c>
      <c r="Y170" s="5" t="str">
        <f>IFERROR(__xludf.DUMMYFUNCTION("REGEXEXTRACT(J170, ""^\d+"")"),"95")</f>
        <v>95</v>
      </c>
      <c r="Z170" s="5" t="str">
        <f>IFERROR(__xludf.DUMMYFUNCTION("REGEXEXTRACT(J170, ""[A-Za-z ]+$"")")," min")</f>
        <v> min</v>
      </c>
      <c r="AA170" s="5" t="str">
        <f>IFERROR(__xludf.DUMMYFUNCTION("IF(REGEXMATCH(Z170, ""Season""), ""TV Show"", ""Movie"")"),"Movie")</f>
        <v>Movie</v>
      </c>
    </row>
    <row r="171">
      <c r="A171" s="1" t="s">
        <v>1181</v>
      </c>
      <c r="B171" s="1" t="s">
        <v>27</v>
      </c>
      <c r="C171" s="1" t="s">
        <v>1182</v>
      </c>
      <c r="D171" s="1" t="s">
        <v>1183</v>
      </c>
      <c r="E171" s="1" t="s">
        <v>1184</v>
      </c>
      <c r="F171" s="1" t="s">
        <v>30</v>
      </c>
      <c r="G171" s="1" t="s">
        <v>898</v>
      </c>
      <c r="H171" s="1">
        <v>2006.0</v>
      </c>
      <c r="I171" s="1" t="s">
        <v>32</v>
      </c>
      <c r="J171" s="1" t="s">
        <v>357</v>
      </c>
      <c r="K171" s="1" t="s">
        <v>323</v>
      </c>
      <c r="L171" s="1" t="s">
        <v>1185</v>
      </c>
      <c r="M171" s="2" t="s">
        <v>12</v>
      </c>
      <c r="N171" s="4">
        <f t="shared" si="1"/>
        <v>44440</v>
      </c>
      <c r="O171" s="5" t="str">
        <f>IFERROR(__xludf.DUMMYFUNCTION("IF(REGEXMATCH(TRIM(I171), ""^\d+\s*min""), ""Unclassified"", IF(I171 = """", ""NR"", I171))"),"PG-13")</f>
        <v>PG-13</v>
      </c>
      <c r="R171" s="5" t="str">
        <f t="shared" si="2"/>
        <v>Poseidon</v>
      </c>
      <c r="S171" s="5" t="str">
        <f>IFERROR(__xludf.DUMMYFUNCTION("""COMPUTED_VALUE"""),"A Fairly Odd Summer")</f>
        <v>A Fairly Odd Summer</v>
      </c>
      <c r="T171" s="5" t="str">
        <f>IFERROR(__xludf.DUMMYFUNCTION("""COMPUTED_VALUE"""),"France, Belgium, United States")</f>
        <v>France, Belgium, United States</v>
      </c>
      <c r="U171" s="5" t="str">
        <f>IFERROR(__xludf.DUMMYFUNCTION("""COMPUTED_VALUE"""),"Sam Hobkinson")</f>
        <v>Sam Hobkinson</v>
      </c>
      <c r="V171" s="5" t="s">
        <v>1186</v>
      </c>
      <c r="W171" s="5" t="str">
        <f t="shared" si="3"/>
        <v>Alex Stapleton</v>
      </c>
      <c r="X171" s="5">
        <f t="shared" si="4"/>
        <v>1</v>
      </c>
      <c r="Y171" s="5" t="str">
        <f>IFERROR(__xludf.DUMMYFUNCTION("REGEXEXTRACT(J171, ""^\d+"")"),"98")</f>
        <v>98</v>
      </c>
      <c r="Z171" s="5" t="str">
        <f>IFERROR(__xludf.DUMMYFUNCTION("REGEXEXTRACT(J171, ""[A-Za-z ]+$"")")," min")</f>
        <v> min</v>
      </c>
      <c r="AA171" s="5" t="str">
        <f>IFERROR(__xludf.DUMMYFUNCTION("IF(REGEXMATCH(Z171, ""Season""), ""TV Show"", ""Movie"")"),"Movie")</f>
        <v>Movie</v>
      </c>
    </row>
    <row r="172">
      <c r="A172" s="1" t="s">
        <v>1187</v>
      </c>
      <c r="B172" s="1" t="s">
        <v>27</v>
      </c>
      <c r="C172" s="1" t="s">
        <v>1188</v>
      </c>
      <c r="D172" s="1" t="s">
        <v>1189</v>
      </c>
      <c r="E172" s="1" t="s">
        <v>1190</v>
      </c>
      <c r="F172" s="1" t="s">
        <v>30</v>
      </c>
      <c r="G172" s="1" t="s">
        <v>898</v>
      </c>
      <c r="H172" s="1">
        <v>1997.0</v>
      </c>
      <c r="I172" s="1" t="s">
        <v>378</v>
      </c>
      <c r="J172" s="1" t="s">
        <v>1191</v>
      </c>
      <c r="K172" s="1" t="s">
        <v>700</v>
      </c>
      <c r="L172" s="1" t="s">
        <v>1192</v>
      </c>
      <c r="M172" s="2" t="s">
        <v>12</v>
      </c>
      <c r="N172" s="4">
        <f t="shared" si="1"/>
        <v>44440</v>
      </c>
      <c r="O172" s="5" t="str">
        <f>IFERROR(__xludf.DUMMYFUNCTION("IF(REGEXMATCH(TRIM(I172), ""^\d+\s*min""), ""Unclassified"", IF(I172 = """", ""NR"", I172))"),"R")</f>
        <v>R</v>
      </c>
      <c r="R172" s="5" t="str">
        <f t="shared" si="2"/>
        <v>Rhyme &amp; Reason</v>
      </c>
      <c r="S172" s="5" t="str">
        <f>IFERROR(__xludf.DUMMYFUNCTION("""COMPUTED_VALUE"""),"A Fall From Grace")</f>
        <v>A Fall From Grace</v>
      </c>
      <c r="T172" s="5" t="str">
        <f>IFERROR(__xludf.DUMMYFUNCTION("""COMPUTED_VALUE"""),"France, Brazil, Spain, Belgium")</f>
        <v>France, Brazil, Spain, Belgium</v>
      </c>
      <c r="U172" s="5" t="str">
        <f>IFERROR(__xludf.DUMMYFUNCTION("""COMPUTED_VALUE"""),"Vince Marcello")</f>
        <v>Vince Marcello</v>
      </c>
      <c r="V172" s="5" t="s">
        <v>1193</v>
      </c>
      <c r="W172" s="5" t="str">
        <f t="shared" si="3"/>
        <v>Alex Timbers</v>
      </c>
      <c r="X172" s="5">
        <f t="shared" si="4"/>
        <v>1</v>
      </c>
      <c r="Y172" s="5" t="str">
        <f>IFERROR(__xludf.DUMMYFUNCTION("REGEXEXTRACT(J172, ""^\d+"")"),"89")</f>
        <v>89</v>
      </c>
      <c r="Z172" s="5" t="str">
        <f>IFERROR(__xludf.DUMMYFUNCTION("REGEXEXTRACT(J172, ""[A-Za-z ]+$"")")," min")</f>
        <v> min</v>
      </c>
      <c r="AA172" s="5" t="str">
        <f>IFERROR(__xludf.DUMMYFUNCTION("IF(REGEXMATCH(Z172, ""Season""), ""TV Show"", ""Movie"")"),"Movie")</f>
        <v>Movie</v>
      </c>
    </row>
    <row r="173">
      <c r="A173" s="1" t="s">
        <v>1194</v>
      </c>
      <c r="B173" s="1" t="s">
        <v>27</v>
      </c>
      <c r="C173" s="1" t="s">
        <v>1195</v>
      </c>
      <c r="D173" s="1" t="s">
        <v>1196</v>
      </c>
      <c r="E173" s="1" t="s">
        <v>1197</v>
      </c>
      <c r="F173" s="1" t="s">
        <v>30</v>
      </c>
      <c r="G173" s="1" t="s">
        <v>898</v>
      </c>
      <c r="H173" s="1">
        <v>2017.0</v>
      </c>
      <c r="I173" s="1" t="s">
        <v>32</v>
      </c>
      <c r="J173" s="1" t="s">
        <v>985</v>
      </c>
      <c r="K173" s="1" t="s">
        <v>1198</v>
      </c>
      <c r="L173" s="1" t="s">
        <v>1199</v>
      </c>
      <c r="M173" s="2" t="s">
        <v>12</v>
      </c>
      <c r="N173" s="4">
        <f t="shared" si="1"/>
        <v>44440</v>
      </c>
      <c r="O173" s="5" t="str">
        <f>IFERROR(__xludf.DUMMYFUNCTION("IF(REGEXMATCH(TRIM(I173), ""^\d+\s*min""), ""Unclassified"", IF(I173 = """", ""NR"", I173))"),"PG-13")</f>
        <v>PG-13</v>
      </c>
      <c r="R173" s="5" t="str">
        <f t="shared" si="2"/>
        <v>Same Kind Of Different As Me</v>
      </c>
      <c r="S173" s="5" t="str">
        <f>IFERROR(__xludf.DUMMYFUNCTION("""COMPUTED_VALUE"""),"A Family")</f>
        <v>A Family</v>
      </c>
      <c r="T173" s="5" t="str">
        <f>IFERROR(__xludf.DUMMYFUNCTION("""COMPUTED_VALUE"""),"France, Canada")</f>
        <v>France, Canada</v>
      </c>
      <c r="U173" s="5" t="str">
        <f>IFERROR(__xludf.DUMMYFUNCTION("""COMPUTED_VALUE"""),"Jonathan Teplitzky")</f>
        <v>Jonathan Teplitzky</v>
      </c>
      <c r="V173" s="5" t="s">
        <v>1200</v>
      </c>
      <c r="W173" s="5" t="str">
        <f t="shared" si="3"/>
        <v>Alex Timbers, Sam Wrench</v>
      </c>
      <c r="X173" s="5">
        <f t="shared" si="4"/>
        <v>1</v>
      </c>
      <c r="Y173" s="5" t="str">
        <f>IFERROR(__xludf.DUMMYFUNCTION("REGEXEXTRACT(J173, ""^\d+"")"),"120")</f>
        <v>120</v>
      </c>
      <c r="Z173" s="5" t="str">
        <f>IFERROR(__xludf.DUMMYFUNCTION("REGEXEXTRACT(J173, ""[A-Za-z ]+$"")")," min")</f>
        <v> min</v>
      </c>
      <c r="AA173" s="5" t="str">
        <f>IFERROR(__xludf.DUMMYFUNCTION("IF(REGEXMATCH(Z173, ""Season""), ""TV Show"", ""Movie"")"),"Movie")</f>
        <v>Movie</v>
      </c>
    </row>
    <row r="174">
      <c r="A174" s="1" t="s">
        <v>1201</v>
      </c>
      <c r="B174" s="1" t="s">
        <v>27</v>
      </c>
      <c r="C174" s="1" t="s">
        <v>1202</v>
      </c>
      <c r="D174" s="1" t="s">
        <v>1203</v>
      </c>
      <c r="E174" s="1" t="s">
        <v>1204</v>
      </c>
      <c r="F174" s="1" t="s">
        <v>1205</v>
      </c>
      <c r="G174" s="1" t="s">
        <v>898</v>
      </c>
      <c r="H174" s="1">
        <v>2003.0</v>
      </c>
      <c r="I174" s="1" t="s">
        <v>32</v>
      </c>
      <c r="J174" s="1" t="s">
        <v>297</v>
      </c>
      <c r="K174" s="1" t="s">
        <v>1034</v>
      </c>
      <c r="L174" s="1" t="s">
        <v>1206</v>
      </c>
      <c r="M174" s="2" t="s">
        <v>12</v>
      </c>
      <c r="N174" s="4">
        <f t="shared" si="1"/>
        <v>44440</v>
      </c>
      <c r="O174" s="5" t="str">
        <f>IFERROR(__xludf.DUMMYFUNCTION("IF(REGEXMATCH(TRIM(I174), ""^\d+\s*min""), ""Unclassified"", IF(I174 = """", ""NR"", I174))"),"PG-13")</f>
        <v>PG-13</v>
      </c>
      <c r="R174" s="5" t="str">
        <f t="shared" si="2"/>
        <v>School Of Rock</v>
      </c>
      <c r="S174" s="5" t="str">
        <f>IFERROR(__xludf.DUMMYFUNCTION("""COMPUTED_VALUE"""),"A Family Affair")</f>
        <v>A Family Affair</v>
      </c>
      <c r="T174" s="5" t="str">
        <f>IFERROR(__xludf.DUMMYFUNCTION("""COMPUTED_VALUE"""),"France, Canada, Belgium")</f>
        <v>France, Canada, Belgium</v>
      </c>
      <c r="U174" s="5" t="str">
        <f>IFERROR(__xludf.DUMMYFUNCTION("""COMPUTED_VALUE"""),"Sakon Tiacharoen")</f>
        <v>Sakon Tiacharoen</v>
      </c>
      <c r="V174" s="5" t="s">
        <v>1207</v>
      </c>
      <c r="W174" s="5" t="str">
        <f t="shared" si="3"/>
        <v>Alex Winter</v>
      </c>
      <c r="X174" s="5">
        <f t="shared" si="4"/>
        <v>1</v>
      </c>
      <c r="Y174" s="5" t="str">
        <f>IFERROR(__xludf.DUMMYFUNCTION("REGEXEXTRACT(J174, ""^\d+"")"),"110")</f>
        <v>110</v>
      </c>
      <c r="Z174" s="5" t="str">
        <f>IFERROR(__xludf.DUMMYFUNCTION("REGEXEXTRACT(J174, ""[A-Za-z ]+$"")")," min")</f>
        <v> min</v>
      </c>
      <c r="AA174" s="5" t="str">
        <f>IFERROR(__xludf.DUMMYFUNCTION("IF(REGEXMATCH(Z174, ""Season""), ""TV Show"", ""Movie"")"),"Movie")</f>
        <v>Movie</v>
      </c>
    </row>
    <row r="175">
      <c r="A175" s="1" t="s">
        <v>1208</v>
      </c>
      <c r="B175" s="1" t="s">
        <v>27</v>
      </c>
      <c r="C175" s="1" t="s">
        <v>1209</v>
      </c>
      <c r="D175" s="1" t="s">
        <v>1210</v>
      </c>
      <c r="E175" s="1" t="s">
        <v>1211</v>
      </c>
      <c r="F175" s="1" t="s">
        <v>30</v>
      </c>
      <c r="G175" s="1" t="s">
        <v>898</v>
      </c>
      <c r="H175" s="1">
        <v>2015.0</v>
      </c>
      <c r="I175" s="1" t="s">
        <v>32</v>
      </c>
      <c r="J175" s="1" t="s">
        <v>490</v>
      </c>
      <c r="K175" s="1" t="s">
        <v>1212</v>
      </c>
      <c r="L175" s="1" t="s">
        <v>1213</v>
      </c>
      <c r="M175" s="2" t="s">
        <v>12</v>
      </c>
      <c r="N175" s="4">
        <f t="shared" si="1"/>
        <v>44440</v>
      </c>
      <c r="O175" s="5" t="str">
        <f>IFERROR(__xludf.DUMMYFUNCTION("IF(REGEXMATCH(TRIM(I175), ""^\d+\s*min""), ""Unclassified"", IF(I175 = """", ""NR"", I175))"),"PG-13")</f>
        <v>PG-13</v>
      </c>
      <c r="R175" s="5" t="str">
        <f t="shared" si="2"/>
        <v>Snervous Tyler Oakley</v>
      </c>
      <c r="S175" s="5" t="str">
        <f>IFERROR(__xludf.DUMMYFUNCTION("""COMPUTED_VALUE"""),"A Family Man")</f>
        <v>A Family Man</v>
      </c>
      <c r="T175" s="5" t="str">
        <f>IFERROR(__xludf.DUMMYFUNCTION("""COMPUTED_VALUE"""),"France, Canada, China, Cambodia")</f>
        <v>France, Canada, China, Cambodia</v>
      </c>
      <c r="U175" s="5" t="str">
        <f>IFERROR(__xludf.DUMMYFUNCTION("""COMPUTED_VALUE"""),"Floyd Russ")</f>
        <v>Floyd Russ</v>
      </c>
      <c r="V175" s="5" t="s">
        <v>204</v>
      </c>
      <c r="W175" s="5" t="str">
        <f t="shared" si="3"/>
        <v>Alex Woo, Stanley Moore</v>
      </c>
      <c r="X175" s="5">
        <f t="shared" si="4"/>
        <v>3</v>
      </c>
      <c r="Y175" s="5" t="str">
        <f>IFERROR(__xludf.DUMMYFUNCTION("REGEXEXTRACT(J175, ""^\d+"")"),"83")</f>
        <v>83</v>
      </c>
      <c r="Z175" s="5" t="str">
        <f>IFERROR(__xludf.DUMMYFUNCTION("REGEXEXTRACT(J175, ""[A-Za-z ]+$"")")," min")</f>
        <v> min</v>
      </c>
      <c r="AA175" s="5" t="str">
        <f>IFERROR(__xludf.DUMMYFUNCTION("IF(REGEXMATCH(Z175, ""Season""), ""TV Show"", ""Movie"")"),"Movie")</f>
        <v>Movie</v>
      </c>
    </row>
    <row r="176">
      <c r="A176" s="1" t="s">
        <v>1214</v>
      </c>
      <c r="B176" s="1" t="s">
        <v>27</v>
      </c>
      <c r="C176" s="1" t="s">
        <v>1215</v>
      </c>
      <c r="D176" s="1" t="s">
        <v>391</v>
      </c>
      <c r="E176" s="1" t="s">
        <v>1216</v>
      </c>
      <c r="F176" s="1" t="s">
        <v>30</v>
      </c>
      <c r="G176" s="1" t="s">
        <v>898</v>
      </c>
      <c r="H176" s="1">
        <v>2003.0</v>
      </c>
      <c r="I176" s="1" t="s">
        <v>378</v>
      </c>
      <c r="J176" s="1" t="s">
        <v>941</v>
      </c>
      <c r="K176" s="1" t="s">
        <v>323</v>
      </c>
      <c r="L176" s="1" t="s">
        <v>1217</v>
      </c>
      <c r="M176" s="2" t="s">
        <v>12</v>
      </c>
      <c r="N176" s="4">
        <f t="shared" si="1"/>
        <v>44440</v>
      </c>
      <c r="O176" s="5" t="str">
        <f>IFERROR(__xludf.DUMMYFUNCTION("IF(REGEXMATCH(TRIM(I176), ""^\d+\s*min""), ""Unclassified"", IF(I176 = """", ""NR"", I176))"),"R")</f>
        <v>R</v>
      </c>
      <c r="R176" s="5" t="str">
        <f t="shared" si="2"/>
        <v>Tears Of The Sun</v>
      </c>
      <c r="S176" s="5" t="str">
        <f>IFERROR(__xludf.DUMMYFUNCTION("""COMPUTED_VALUE"""),"A Family Reunion Christmas")</f>
        <v>A Family Reunion Christmas</v>
      </c>
      <c r="T176" s="5" t="str">
        <f>IFERROR(__xludf.DUMMYFUNCTION("""COMPUTED_VALUE"""),"France, Canada, Italy, United States, China")</f>
        <v>France, Canada, Italy, United States, China</v>
      </c>
      <c r="U176" s="5" t="str">
        <f>IFERROR(__xludf.DUMMYFUNCTION("""COMPUTED_VALUE"""),"Dustin Hoffman")</f>
        <v>Dustin Hoffman</v>
      </c>
      <c r="V176" s="5" t="s">
        <v>1218</v>
      </c>
      <c r="W176" s="5" t="str">
        <f t="shared" si="3"/>
        <v>Alex Zamm</v>
      </c>
      <c r="X176" s="5">
        <f t="shared" si="4"/>
        <v>2</v>
      </c>
      <c r="Y176" s="5" t="str">
        <f>IFERROR(__xludf.DUMMYFUNCTION("REGEXEXTRACT(J176, ""^\d+"")"),"121")</f>
        <v>121</v>
      </c>
      <c r="Z176" s="5" t="str">
        <f>IFERROR(__xludf.DUMMYFUNCTION("REGEXEXTRACT(J176, ""[A-Za-z ]+$"")")," min")</f>
        <v> min</v>
      </c>
      <c r="AA176" s="5" t="str">
        <f>IFERROR(__xludf.DUMMYFUNCTION("IF(REGEXMATCH(Z176, ""Season""), ""TV Show"", ""Movie"")"),"Movie")</f>
        <v>Movie</v>
      </c>
    </row>
    <row r="177">
      <c r="A177" s="1" t="s">
        <v>1219</v>
      </c>
      <c r="B177" s="1" t="s">
        <v>27</v>
      </c>
      <c r="C177" s="1" t="s">
        <v>1220</v>
      </c>
      <c r="D177" s="1" t="s">
        <v>1221</v>
      </c>
      <c r="E177" s="1" t="s">
        <v>1222</v>
      </c>
      <c r="F177" s="1" t="s">
        <v>30</v>
      </c>
      <c r="G177" s="1" t="s">
        <v>898</v>
      </c>
      <c r="H177" s="1">
        <v>1980.0</v>
      </c>
      <c r="I177" s="1" t="s">
        <v>378</v>
      </c>
      <c r="J177" s="1" t="s">
        <v>305</v>
      </c>
      <c r="K177" s="1" t="s">
        <v>828</v>
      </c>
      <c r="L177" s="1" t="s">
        <v>1223</v>
      </c>
      <c r="M177" s="2" t="s">
        <v>12</v>
      </c>
      <c r="N177" s="4">
        <f t="shared" si="1"/>
        <v>44440</v>
      </c>
      <c r="O177" s="5" t="str">
        <f>IFERROR(__xludf.DUMMYFUNCTION("IF(REGEXMATCH(TRIM(I177), ""^\d+\s*min""), ""Unclassified"", IF(I177 = """", ""NR"", I177))"),"R")</f>
        <v>R</v>
      </c>
      <c r="R177" s="5" t="str">
        <f t="shared" si="2"/>
        <v>The Blue Lagoon</v>
      </c>
      <c r="S177" s="5" t="str">
        <f>IFERROR(__xludf.DUMMYFUNCTION("""COMPUTED_VALUE"""),"A Faraway Land")</f>
        <v>A Faraway Land</v>
      </c>
      <c r="T177" s="5" t="str">
        <f>IFERROR(__xludf.DUMMYFUNCTION("""COMPUTED_VALUE"""),"France, Canada, United States")</f>
        <v>France, Canada, United States</v>
      </c>
      <c r="U177" s="5" t="str">
        <f>IFERROR(__xludf.DUMMYFUNCTION("""COMPUTED_VALUE"""),"Adze Ugah")</f>
        <v>Adze Ugah</v>
      </c>
      <c r="V177" s="5" t="s">
        <v>1224</v>
      </c>
      <c r="W177" s="5" t="str">
        <f t="shared" si="3"/>
        <v>Alexandra Dean</v>
      </c>
      <c r="X177" s="5">
        <f t="shared" si="4"/>
        <v>1</v>
      </c>
      <c r="Y177" s="5" t="str">
        <f>IFERROR(__xludf.DUMMYFUNCTION("REGEXEXTRACT(J177, ""^\d+"")"),"105")</f>
        <v>105</v>
      </c>
      <c r="Z177" s="5" t="str">
        <f>IFERROR(__xludf.DUMMYFUNCTION("REGEXEXTRACT(J177, ""[A-Za-z ]+$"")")," min")</f>
        <v> min</v>
      </c>
      <c r="AA177" s="5" t="str">
        <f>IFERROR(__xludf.DUMMYFUNCTION("IF(REGEXMATCH(Z177, ""Season""), ""TV Show"", ""Movie"")"),"Movie")</f>
        <v>Movie</v>
      </c>
    </row>
    <row r="178">
      <c r="A178" s="1" t="s">
        <v>1225</v>
      </c>
      <c r="B178" s="1" t="s">
        <v>27</v>
      </c>
      <c r="C178" s="1" t="s">
        <v>1226</v>
      </c>
      <c r="D178" s="1" t="s">
        <v>1227</v>
      </c>
      <c r="E178" s="1" t="s">
        <v>1228</v>
      </c>
      <c r="F178" s="1" t="s">
        <v>30</v>
      </c>
      <c r="G178" s="1" t="s">
        <v>898</v>
      </c>
      <c r="H178" s="1">
        <v>1986.0</v>
      </c>
      <c r="I178" s="1" t="s">
        <v>32</v>
      </c>
      <c r="J178" s="1" t="s">
        <v>170</v>
      </c>
      <c r="K178" s="1" t="s">
        <v>973</v>
      </c>
      <c r="L178" s="1" t="s">
        <v>1229</v>
      </c>
      <c r="M178" s="2" t="s">
        <v>12</v>
      </c>
      <c r="N178" s="4">
        <f t="shared" si="1"/>
        <v>44440</v>
      </c>
      <c r="O178" s="5" t="str">
        <f>IFERROR(__xludf.DUMMYFUNCTION("IF(REGEXMATCH(TRIM(I178), ""^\d+\s*min""), ""Unclassified"", IF(I178 = """", ""NR"", I178))"),"PG-13")</f>
        <v>PG-13</v>
      </c>
      <c r="R178" s="5" t="str">
        <f t="shared" si="2"/>
        <v>The Golden Child</v>
      </c>
      <c r="S178" s="5" t="str">
        <f>IFERROR(__xludf.DUMMYFUNCTION("""COMPUTED_VALUE"""),"A Flying Jatt")</f>
        <v>A Flying Jatt</v>
      </c>
      <c r="T178" s="5" t="str">
        <f>IFERROR(__xludf.DUMMYFUNCTION("""COMPUTED_VALUE"""),"France, Canada, United States, Spain")</f>
        <v>France, Canada, United States, Spain</v>
      </c>
      <c r="U178" s="5" t="str">
        <f>IFERROR(__xludf.DUMMYFUNCTION("""COMPUTED_VALUE"""),"Hideaki Takizawa")</f>
        <v>Hideaki Takizawa</v>
      </c>
      <c r="V178" s="5" t="s">
        <v>1230</v>
      </c>
      <c r="W178" s="5" t="str">
        <f t="shared" si="3"/>
        <v>Alexandre Aja</v>
      </c>
      <c r="X178" s="5">
        <f t="shared" si="4"/>
        <v>2</v>
      </c>
      <c r="Y178" s="5" t="str">
        <f>IFERROR(__xludf.DUMMYFUNCTION("REGEXEXTRACT(J178, ""^\d+"")"),"94")</f>
        <v>94</v>
      </c>
      <c r="Z178" s="5" t="str">
        <f>IFERROR(__xludf.DUMMYFUNCTION("REGEXEXTRACT(J178, ""[A-Za-z ]+$"")")," min")</f>
        <v> min</v>
      </c>
      <c r="AA178" s="5" t="str">
        <f>IFERROR(__xludf.DUMMYFUNCTION("IF(REGEXMATCH(Z178, ""Season""), ""TV Show"", ""Movie"")"),"Movie")</f>
        <v>Movie</v>
      </c>
    </row>
    <row r="179">
      <c r="A179" s="1" t="s">
        <v>1231</v>
      </c>
      <c r="B179" s="1" t="s">
        <v>27</v>
      </c>
      <c r="C179" s="1" t="s">
        <v>1232</v>
      </c>
      <c r="D179" s="1" t="s">
        <v>1233</v>
      </c>
      <c r="E179" s="1" t="s">
        <v>1234</v>
      </c>
      <c r="F179" s="1" t="s">
        <v>686</v>
      </c>
      <c r="G179" s="1" t="s">
        <v>898</v>
      </c>
      <c r="H179" s="1">
        <v>1961.0</v>
      </c>
      <c r="I179" s="1" t="s">
        <v>97</v>
      </c>
      <c r="J179" s="1" t="s">
        <v>1235</v>
      </c>
      <c r="K179" s="1" t="s">
        <v>1236</v>
      </c>
      <c r="L179" s="1" t="s">
        <v>1237</v>
      </c>
      <c r="M179" s="2" t="s">
        <v>12</v>
      </c>
      <c r="N179" s="4">
        <f t="shared" si="1"/>
        <v>44440</v>
      </c>
      <c r="O179" s="5" t="str">
        <f>IFERROR(__xludf.DUMMYFUNCTION("IF(REGEXMATCH(TRIM(I179), ""^\d+\s*min""), ""Unclassified"", IF(I179 = """", ""NR"", I179))"),"TV-14")</f>
        <v>TV-14</v>
      </c>
      <c r="R179" s="5" t="str">
        <f t="shared" si="2"/>
        <v>The Guns Of Navarone</v>
      </c>
      <c r="S179" s="5" t="str">
        <f>IFERROR(__xludf.DUMMYFUNCTION("""COMPUTED_VALUE"""),"A Fortunate Man")</f>
        <v>A Fortunate Man</v>
      </c>
      <c r="T179" s="5" t="str">
        <f>IFERROR(__xludf.DUMMYFUNCTION("""COMPUTED_VALUE"""),"France, China, Japan, United States")</f>
        <v>France, China, Japan, United States</v>
      </c>
      <c r="U179" s="5" t="str">
        <f>IFERROR(__xludf.DUMMYFUNCTION("""COMPUTED_VALUE"""),"Quoc Bao Tran")</f>
        <v>Quoc Bao Tran</v>
      </c>
      <c r="V179" s="5" t="s">
        <v>1238</v>
      </c>
      <c r="W179" s="5" t="str">
        <f t="shared" si="3"/>
        <v>Alexandre Avancini</v>
      </c>
      <c r="X179" s="5">
        <f t="shared" si="4"/>
        <v>2</v>
      </c>
      <c r="Y179" s="5" t="str">
        <f>IFERROR(__xludf.DUMMYFUNCTION("REGEXEXTRACT(J179, ""^\d+"")"),"156")</f>
        <v>156</v>
      </c>
      <c r="Z179" s="5" t="str">
        <f>IFERROR(__xludf.DUMMYFUNCTION("REGEXEXTRACT(J179, ""[A-Za-z ]+$"")")," min")</f>
        <v> min</v>
      </c>
      <c r="AA179" s="5" t="str">
        <f>IFERROR(__xludf.DUMMYFUNCTION("IF(REGEXMATCH(Z179, ""Season""), ""TV Show"", ""Movie"")"),"Movie")</f>
        <v>Movie</v>
      </c>
    </row>
    <row r="180">
      <c r="A180" s="1" t="s">
        <v>1239</v>
      </c>
      <c r="B180" s="1" t="s">
        <v>27</v>
      </c>
      <c r="C180" s="1" t="s">
        <v>1240</v>
      </c>
      <c r="D180" s="1" t="s">
        <v>1241</v>
      </c>
      <c r="E180" s="1" t="s">
        <v>1242</v>
      </c>
      <c r="F180" s="1" t="s">
        <v>30</v>
      </c>
      <c r="G180" s="1" t="s">
        <v>898</v>
      </c>
      <c r="H180" s="1">
        <v>2014.0</v>
      </c>
      <c r="I180" s="1" t="s">
        <v>378</v>
      </c>
      <c r="J180" s="1" t="s">
        <v>1243</v>
      </c>
      <c r="K180" s="1" t="s">
        <v>973</v>
      </c>
      <c r="L180" s="1" t="s">
        <v>1244</v>
      </c>
      <c r="M180" s="2" t="s">
        <v>12</v>
      </c>
      <c r="N180" s="4">
        <f t="shared" si="1"/>
        <v>44440</v>
      </c>
      <c r="O180" s="5" t="str">
        <f>IFERROR(__xludf.DUMMYFUNCTION("IF(REGEXMATCH(TRIM(I180), ""^\d+\s*min""), ""Unclassified"", IF(I180 = """", ""NR"", I180))"),"R")</f>
        <v>R</v>
      </c>
      <c r="R180" s="5" t="str">
        <f t="shared" si="2"/>
        <v>The Interview</v>
      </c>
      <c r="S180" s="5" t="str">
        <f>IFERROR(__xludf.DUMMYFUNCTION("""COMPUTED_VALUE"""),"A Futile And Stupid Gesture")</f>
        <v>A Futile And Stupid Gesture</v>
      </c>
      <c r="T180" s="5" t="str">
        <f>IFERROR(__xludf.DUMMYFUNCTION("""COMPUTED_VALUE"""),"France, Egypt")</f>
        <v>France, Egypt</v>
      </c>
      <c r="U180" s="5" t="str">
        <f>IFERROR(__xludf.DUMMYFUNCTION("""COMPUTED_VALUE"""),"Bejoy Nambiar, Priyadarshan, Karthik Narain, Vasanth Sai, Karthik Subbaraj, Arvind Swamy, Rathindran R Prasad, Sarjun, Gautham Vasudev Menon")</f>
        <v>Bejoy Nambiar, Priyadarshan, Karthik Narain, Vasanth Sai, Karthik Subbaraj, Arvind Swamy, Rathindran R Prasad, Sarjun, Gautham Vasudev Menon</v>
      </c>
      <c r="V180" s="5" t="s">
        <v>1245</v>
      </c>
      <c r="W180" s="5" t="str">
        <f t="shared" si="3"/>
        <v>Alexandre Espigares</v>
      </c>
      <c r="X180" s="5">
        <f t="shared" si="4"/>
        <v>1</v>
      </c>
      <c r="Y180" s="5" t="str">
        <f>IFERROR(__xludf.DUMMYFUNCTION("REGEXEXTRACT(J180, ""^\d+"")"),"112")</f>
        <v>112</v>
      </c>
      <c r="Z180" s="5" t="str">
        <f>IFERROR(__xludf.DUMMYFUNCTION("REGEXEXTRACT(J180, ""[A-Za-z ]+$"")")," min")</f>
        <v> min</v>
      </c>
      <c r="AA180" s="5" t="str">
        <f>IFERROR(__xludf.DUMMYFUNCTION("IF(REGEXMATCH(Z180, ""Season""), ""TV Show"", ""Movie"")"),"Movie")</f>
        <v>Movie</v>
      </c>
    </row>
    <row r="181">
      <c r="A181" s="1" t="s">
        <v>1246</v>
      </c>
      <c r="B181" s="1" t="s">
        <v>27</v>
      </c>
      <c r="C181" s="1" t="s">
        <v>1247</v>
      </c>
      <c r="D181" s="1" t="s">
        <v>1248</v>
      </c>
      <c r="E181" s="1" t="s">
        <v>1249</v>
      </c>
      <c r="F181" s="1" t="s">
        <v>30</v>
      </c>
      <c r="G181" s="1" t="s">
        <v>898</v>
      </c>
      <c r="H181" s="1">
        <v>1996.0</v>
      </c>
      <c r="I181" s="1" t="s">
        <v>32</v>
      </c>
      <c r="J181" s="1" t="s">
        <v>465</v>
      </c>
      <c r="K181" s="1" t="s">
        <v>813</v>
      </c>
      <c r="L181" s="1" t="s">
        <v>1250</v>
      </c>
      <c r="M181" s="2" t="s">
        <v>12</v>
      </c>
      <c r="N181" s="4">
        <f t="shared" si="1"/>
        <v>44440</v>
      </c>
      <c r="O181" s="5" t="str">
        <f>IFERROR(__xludf.DUMMYFUNCTION("IF(REGEXMATCH(TRIM(I181), ""^\d+\s*min""), ""Unclassified"", IF(I181 = """", ""NR"", I181))"),"PG-13")</f>
        <v>PG-13</v>
      </c>
      <c r="R181" s="5" t="str">
        <f t="shared" si="2"/>
        <v>The Nutty Professor</v>
      </c>
      <c r="S181" s="5" t="str">
        <f>IFERROR(__xludf.DUMMYFUNCTION("""COMPUTED_VALUE"""),"A Ghost Story")</f>
        <v>A Ghost Story</v>
      </c>
      <c r="T181" s="5" t="str">
        <f>IFERROR(__xludf.DUMMYFUNCTION("""COMPUTED_VALUE"""),"France, Germany")</f>
        <v>France, Germany</v>
      </c>
      <c r="U181" s="5" t="str">
        <f>IFERROR(__xludf.DUMMYFUNCTION("""COMPUTED_VALUE"""),"Kayode Kasum")</f>
        <v>Kayode Kasum</v>
      </c>
      <c r="V181" s="5" t="s">
        <v>1251</v>
      </c>
      <c r="W181" s="5" t="str">
        <f t="shared" si="3"/>
        <v>Alexandre Heboyan, Benoît Philippon</v>
      </c>
      <c r="X181" s="5">
        <f t="shared" si="4"/>
        <v>1</v>
      </c>
      <c r="Y181" s="5" t="str">
        <f>IFERROR(__xludf.DUMMYFUNCTION("REGEXEXTRACT(J181, ""^\d+"")"),"95")</f>
        <v>95</v>
      </c>
      <c r="Z181" s="5" t="str">
        <f>IFERROR(__xludf.DUMMYFUNCTION("REGEXEXTRACT(J181, ""[A-Za-z ]+$"")")," min")</f>
        <v> min</v>
      </c>
      <c r="AA181" s="5" t="str">
        <f>IFERROR(__xludf.DUMMYFUNCTION("IF(REGEXMATCH(Z181, ""Season""), ""TV Show"", ""Movie"")"),"Movie")</f>
        <v>Movie</v>
      </c>
    </row>
    <row r="182">
      <c r="A182" s="1" t="s">
        <v>1252</v>
      </c>
      <c r="B182" s="1" t="s">
        <v>27</v>
      </c>
      <c r="C182" s="1" t="s">
        <v>1253</v>
      </c>
      <c r="D182" s="1" t="s">
        <v>1254</v>
      </c>
      <c r="E182" s="1" t="s">
        <v>1255</v>
      </c>
      <c r="G182" s="1" t="s">
        <v>898</v>
      </c>
      <c r="H182" s="1">
        <v>2000.0</v>
      </c>
      <c r="I182" s="1" t="s">
        <v>32</v>
      </c>
      <c r="J182" s="1" t="s">
        <v>1256</v>
      </c>
      <c r="K182" s="1" t="s">
        <v>813</v>
      </c>
      <c r="L182" s="1" t="s">
        <v>1257</v>
      </c>
      <c r="M182" s="2" t="s">
        <v>12</v>
      </c>
      <c r="N182" s="4">
        <f t="shared" si="1"/>
        <v>44440</v>
      </c>
      <c r="O182" s="5" t="str">
        <f>IFERROR(__xludf.DUMMYFUNCTION("IF(REGEXMATCH(TRIM(I182), ""^\d+\s*min""), ""Unclassified"", IF(I182 = """", ""NR"", I182))"),"PG-13")</f>
        <v>PG-13</v>
      </c>
      <c r="R182" s="5" t="str">
        <f t="shared" si="2"/>
        <v>The Nutty Professor Ii: The Klumps</v>
      </c>
      <c r="S182" s="5" t="str">
        <f>IFERROR(__xludf.DUMMYFUNCTION("""COMPUTED_VALUE"""),"A Glimpse Inside The Mind Of Charles Swan Iii")</f>
        <v>A Glimpse Inside The Mind Of Charles Swan Iii</v>
      </c>
      <c r="T182" s="5" t="str">
        <f>IFERROR(__xludf.DUMMYFUNCTION("""COMPUTED_VALUE"""),"France, Germany, Czech Republic, Belgium")</f>
        <v>France, Germany, Czech Republic, Belgium</v>
      </c>
      <c r="U182" s="5" t="str">
        <f>IFERROR(__xludf.DUMMYFUNCTION("""COMPUTED_VALUE"""),"Just Philippot")</f>
        <v>Just Philippot</v>
      </c>
      <c r="V182" s="5" t="s">
        <v>1258</v>
      </c>
      <c r="W182" s="5" t="str">
        <f t="shared" si="3"/>
        <v>Alexandre Reinecke</v>
      </c>
      <c r="X182" s="5">
        <f t="shared" si="4"/>
        <v>1</v>
      </c>
      <c r="Y182" s="5" t="str">
        <f>IFERROR(__xludf.DUMMYFUNCTION("REGEXEXTRACT(J182, ""^\d+"")"),"107")</f>
        <v>107</v>
      </c>
      <c r="Z182" s="5" t="str">
        <f>IFERROR(__xludf.DUMMYFUNCTION("REGEXEXTRACT(J182, ""[A-Za-z ]+$"")")," min")</f>
        <v> min</v>
      </c>
      <c r="AA182" s="5" t="str">
        <f>IFERROR(__xludf.DUMMYFUNCTION("IF(REGEXMATCH(Z182, ""Season""), ""TV Show"", ""Movie"")"),"Movie")</f>
        <v>Movie</v>
      </c>
    </row>
    <row r="183">
      <c r="A183" s="1" t="s">
        <v>1259</v>
      </c>
      <c r="B183" s="1" t="s">
        <v>37</v>
      </c>
      <c r="C183" s="1" t="s">
        <v>1260</v>
      </c>
      <c r="G183" s="1" t="s">
        <v>898</v>
      </c>
      <c r="H183" s="1">
        <v>2021.0</v>
      </c>
      <c r="I183" s="1" t="s">
        <v>97</v>
      </c>
      <c r="J183" s="1" t="s">
        <v>51</v>
      </c>
      <c r="K183" s="1" t="s">
        <v>1261</v>
      </c>
      <c r="L183" s="1" t="s">
        <v>1262</v>
      </c>
      <c r="M183" s="2" t="s">
        <v>12</v>
      </c>
      <c r="N183" s="4">
        <f t="shared" si="1"/>
        <v>44440</v>
      </c>
      <c r="O183" s="5" t="str">
        <f>IFERROR(__xludf.DUMMYFUNCTION("IF(REGEXMATCH(TRIM(I183), ""^\d+\s*min""), ""Unclassified"", IF(I183 = """", ""NR"", I183))"),"TV-14")</f>
        <v>TV-14</v>
      </c>
      <c r="R183" s="5" t="str">
        <f t="shared" si="2"/>
        <v>Turning Point: 9/11 And The War On Terror</v>
      </c>
      <c r="S183" s="5" t="str">
        <f>IFERROR(__xludf.DUMMYFUNCTION("""COMPUTED_VALUE"""),"A Go! Go! Cory Carson Christmas")</f>
        <v>A Go! Go! Cory Carson Christmas</v>
      </c>
      <c r="T183" s="5" t="str">
        <f>IFERROR(__xludf.DUMMYFUNCTION("""COMPUTED_VALUE"""),"France, Germany, Switzerland")</f>
        <v>France, Germany, Switzerland</v>
      </c>
      <c r="U183" s="5" t="str">
        <f>IFERROR(__xludf.DUMMYFUNCTION("""COMPUTED_VALUE"""),"Kirk Demicco, Brandon Jeffords")</f>
        <v>Kirk Demicco, Brandon Jeffords</v>
      </c>
      <c r="V183" s="5" t="s">
        <v>1263</v>
      </c>
      <c r="W183" s="5" t="str">
        <f t="shared" si="3"/>
        <v>Alexandros Avranas</v>
      </c>
      <c r="X183" s="5">
        <f t="shared" si="4"/>
        <v>1</v>
      </c>
      <c r="Y183" s="5" t="str">
        <f>IFERROR(__xludf.DUMMYFUNCTION("REGEXEXTRACT(J183, ""^\d+"")"),"1")</f>
        <v>1</v>
      </c>
      <c r="Z183" s="5" t="str">
        <f>IFERROR(__xludf.DUMMYFUNCTION("REGEXEXTRACT(J183, ""[A-Za-z ]+$"")")," Season")</f>
        <v> Season</v>
      </c>
      <c r="AA183" s="5" t="str">
        <f>IFERROR(__xludf.DUMMYFUNCTION("IF(REGEXMATCH(Z183, ""Season""), ""TV Show"", ""Movie"")"),"TV Show")</f>
        <v>TV Show</v>
      </c>
    </row>
    <row r="184">
      <c r="A184" s="1" t="s">
        <v>1264</v>
      </c>
      <c r="B184" s="1" t="s">
        <v>27</v>
      </c>
      <c r="C184" s="1" t="s">
        <v>1265</v>
      </c>
      <c r="D184" s="1" t="s">
        <v>1266</v>
      </c>
      <c r="E184" s="1" t="s">
        <v>1267</v>
      </c>
      <c r="F184" s="1" t="s">
        <v>30</v>
      </c>
      <c r="G184" s="1" t="s">
        <v>898</v>
      </c>
      <c r="H184" s="1">
        <v>2008.0</v>
      </c>
      <c r="I184" s="1" t="s">
        <v>32</v>
      </c>
      <c r="J184" s="1" t="s">
        <v>835</v>
      </c>
      <c r="K184" s="1" t="s">
        <v>239</v>
      </c>
      <c r="L184" s="1" t="s">
        <v>1268</v>
      </c>
      <c r="M184" s="2" t="s">
        <v>12</v>
      </c>
      <c r="N184" s="4">
        <f t="shared" si="1"/>
        <v>44440</v>
      </c>
      <c r="O184" s="5" t="str">
        <f>IFERROR(__xludf.DUMMYFUNCTION("IF(REGEXMATCH(TRIM(I184), ""^\d+\s*min""), ""Unclassified"", IF(I184 = """", ""NR"", I184))"),"PG-13")</f>
        <v>PG-13</v>
      </c>
      <c r="R184" s="5" t="str">
        <f t="shared" si="2"/>
        <v>Welcome Home Roscoe Jenkins</v>
      </c>
      <c r="S184" s="5" t="str">
        <f>IFERROR(__xludf.DUMMYFUNCTION("""COMPUTED_VALUE"""),"A Go! Go! Cory Carson Halloween")</f>
        <v>A Go! Go! Cory Carson Halloween</v>
      </c>
      <c r="T184" s="5" t="str">
        <f>IFERROR(__xludf.DUMMYFUNCTION("""COMPUTED_VALUE"""),"France, Iran, United States")</f>
        <v>France, Iran, United States</v>
      </c>
      <c r="U184" s="5" t="str">
        <f>IFERROR(__xludf.DUMMYFUNCTION("""COMPUTED_VALUE"""),"Rohit Shetty")</f>
        <v>Rohit Shetty</v>
      </c>
      <c r="V184" s="5" t="s">
        <v>677</v>
      </c>
      <c r="W184" s="5" t="str">
        <f t="shared" si="3"/>
        <v>Alexis Almström</v>
      </c>
      <c r="X184" s="5">
        <f t="shared" si="4"/>
        <v>1</v>
      </c>
      <c r="Y184" s="5" t="str">
        <f>IFERROR(__xludf.DUMMYFUNCTION("REGEXEXTRACT(J184, ""^\d+"")"),"114")</f>
        <v>114</v>
      </c>
      <c r="Z184" s="5" t="str">
        <f>IFERROR(__xludf.DUMMYFUNCTION("REGEXEXTRACT(J184, ""[A-Za-z ]+$"")")," min")</f>
        <v> min</v>
      </c>
      <c r="AA184" s="5" t="str">
        <f>IFERROR(__xludf.DUMMYFUNCTION("IF(REGEXMATCH(Z184, ""Season""), ""TV Show"", ""Movie"")"),"Movie")</f>
        <v>Movie</v>
      </c>
    </row>
    <row r="185">
      <c r="A185" s="1" t="s">
        <v>1269</v>
      </c>
      <c r="B185" s="1" t="s">
        <v>27</v>
      </c>
      <c r="C185" s="1" t="s">
        <v>1270</v>
      </c>
      <c r="D185" s="1" t="s">
        <v>1183</v>
      </c>
      <c r="E185" s="1" t="s">
        <v>1271</v>
      </c>
      <c r="F185" s="1" t="s">
        <v>30</v>
      </c>
      <c r="G185" s="1" t="s">
        <v>1272</v>
      </c>
      <c r="H185" s="1">
        <v>1993.0</v>
      </c>
      <c r="I185" s="1" t="s">
        <v>378</v>
      </c>
      <c r="J185" s="1" t="s">
        <v>1273</v>
      </c>
      <c r="K185" s="1" t="s">
        <v>1236</v>
      </c>
      <c r="L185" s="1" t="s">
        <v>1274</v>
      </c>
      <c r="M185" s="2" t="s">
        <v>12</v>
      </c>
      <c r="N185" s="4">
        <f t="shared" si="1"/>
        <v>44439</v>
      </c>
      <c r="O185" s="5" t="str">
        <f>IFERROR(__xludf.DUMMYFUNCTION("IF(REGEXMATCH(TRIM(I185), ""^\d+\s*min""), ""Unclassified"", IF(I185 = """", ""NR"", I185))"),"R")</f>
        <v>R</v>
      </c>
      <c r="R185" s="5" t="str">
        <f t="shared" si="2"/>
        <v>In The Line Of Fire</v>
      </c>
      <c r="S185" s="5" t="str">
        <f>IFERROR(__xludf.DUMMYFUNCTION("""COMPUTED_VALUE"""),"A Go! Go! Cory Carson Summer Camp")</f>
        <v>A Go! Go! Cory Carson Summer Camp</v>
      </c>
      <c r="T185" s="5" t="str">
        <f>IFERROR(__xludf.DUMMYFUNCTION("""COMPUTED_VALUE"""),"France, Israel, Germany, United States, United Kingdom")</f>
        <v>France, Israel, Germany, United States, United Kingdom</v>
      </c>
      <c r="U185" s="5" t="str">
        <f>IFERROR(__xludf.DUMMYFUNCTION("""COMPUTED_VALUE"""),"Cavi Borges, Luciano Vidigal")</f>
        <v>Cavi Borges, Luciano Vidigal</v>
      </c>
      <c r="V185" s="5" t="s">
        <v>1275</v>
      </c>
      <c r="W185" s="5" t="str">
        <f t="shared" si="3"/>
        <v>Alexis Morante</v>
      </c>
      <c r="X185" s="5">
        <f t="shared" si="4"/>
        <v>2</v>
      </c>
      <c r="Y185" s="5" t="str">
        <f>IFERROR(__xludf.DUMMYFUNCTION("REGEXEXTRACT(J185, ""^\d+"")"),"129")</f>
        <v>129</v>
      </c>
      <c r="Z185" s="5" t="str">
        <f>IFERROR(__xludf.DUMMYFUNCTION("REGEXEXTRACT(J185, ""[A-Za-z ]+$"")")," min")</f>
        <v> min</v>
      </c>
      <c r="AA185" s="5" t="str">
        <f>IFERROR(__xludf.DUMMYFUNCTION("IF(REGEXMATCH(Z185, ""Season""), ""TV Show"", ""Movie"")"),"Movie")</f>
        <v>Movie</v>
      </c>
    </row>
    <row r="186">
      <c r="A186" s="1" t="s">
        <v>1276</v>
      </c>
      <c r="B186" s="1" t="s">
        <v>37</v>
      </c>
      <c r="C186" s="1" t="s">
        <v>1277</v>
      </c>
      <c r="E186" s="1" t="s">
        <v>1278</v>
      </c>
      <c r="F186" s="1" t="s">
        <v>30</v>
      </c>
      <c r="G186" s="1" t="s">
        <v>1272</v>
      </c>
      <c r="H186" s="1">
        <v>2021.0</v>
      </c>
      <c r="I186" s="1" t="s">
        <v>136</v>
      </c>
      <c r="J186" s="1" t="s">
        <v>51</v>
      </c>
      <c r="K186" s="1" t="s">
        <v>440</v>
      </c>
      <c r="L186" s="1" t="s">
        <v>1279</v>
      </c>
      <c r="M186" s="2" t="s">
        <v>12</v>
      </c>
      <c r="N186" s="4">
        <f t="shared" si="1"/>
        <v>44439</v>
      </c>
      <c r="O186" s="5" t="str">
        <f>IFERROR(__xludf.DUMMYFUNCTION("IF(REGEXMATCH(TRIM(I186), ""^\d+\s*min""), ""Unclassified"", IF(I186 = """", ""NR"", I186))"),"TV-PG")</f>
        <v>TV-PG</v>
      </c>
      <c r="R186" s="5" t="str">
        <f t="shared" si="2"/>
        <v>Sparking Joy</v>
      </c>
      <c r="S186" s="5" t="str">
        <f>IFERROR(__xludf.DUMMYFUNCTION("""COMPUTED_VALUE"""),"A Good Wife")</f>
        <v>A Good Wife</v>
      </c>
      <c r="T186" s="5" t="str">
        <f>IFERROR(__xludf.DUMMYFUNCTION("""COMPUTED_VALUE"""),"France, Japan")</f>
        <v>France, Japan</v>
      </c>
      <c r="U186" s="5" t="str">
        <f>IFERROR(__xludf.DUMMYFUNCTION("""COMPUTED_VALUE"""),"Alejandro Doria")</f>
        <v>Alejandro Doria</v>
      </c>
      <c r="V186" s="5" t="s">
        <v>1280</v>
      </c>
      <c r="W186" s="5" t="str">
        <f t="shared" si="3"/>
        <v>Alexx Media</v>
      </c>
      <c r="X186" s="5">
        <f t="shared" si="4"/>
        <v>1</v>
      </c>
      <c r="Y186" s="5" t="str">
        <f>IFERROR(__xludf.DUMMYFUNCTION("REGEXEXTRACT(J186, ""^\d+"")"),"1")</f>
        <v>1</v>
      </c>
      <c r="Z186" s="5" t="str">
        <f>IFERROR(__xludf.DUMMYFUNCTION("REGEXEXTRACT(J186, ""[A-Za-z ]+$"")")," Season")</f>
        <v> Season</v>
      </c>
      <c r="AA186" s="5" t="str">
        <f>IFERROR(__xludf.DUMMYFUNCTION("IF(REGEXMATCH(Z186, ""Season""), ""TV Show"", ""Movie"")"),"TV Show")</f>
        <v>TV Show</v>
      </c>
    </row>
    <row r="187">
      <c r="A187" s="1" t="s">
        <v>1281</v>
      </c>
      <c r="B187" s="1" t="s">
        <v>27</v>
      </c>
      <c r="C187" s="1" t="s">
        <v>1282</v>
      </c>
      <c r="D187" s="1" t="s">
        <v>728</v>
      </c>
      <c r="G187" s="1" t="s">
        <v>1272</v>
      </c>
      <c r="H187" s="1">
        <v>2021.0</v>
      </c>
      <c r="I187" s="1" t="s">
        <v>42</v>
      </c>
      <c r="J187" s="1" t="s">
        <v>1144</v>
      </c>
      <c r="K187" s="1" t="s">
        <v>645</v>
      </c>
      <c r="L187" s="1" t="s">
        <v>1283</v>
      </c>
      <c r="M187" s="2" t="s">
        <v>12</v>
      </c>
      <c r="N187" s="4">
        <f t="shared" si="1"/>
        <v>44439</v>
      </c>
      <c r="O187" s="5" t="str">
        <f>IFERROR(__xludf.DUMMYFUNCTION("IF(REGEXMATCH(TRIM(I187), ""^\d+\s*min""), ""Unclassified"", IF(I187 = """", ""NR"", I187))"),"TV-MA")</f>
        <v>TV-MA</v>
      </c>
      <c r="R187" s="5" t="str">
        <f t="shared" si="2"/>
        <v>Untold: Crime &amp; Penalties</v>
      </c>
      <c r="S187" s="5" t="str">
        <f>IFERROR(__xludf.DUMMYFUNCTION("""COMPUTED_VALUE"""),"A Grand Night In: The Story Of Aardman")</f>
        <v>A Grand Night In: The Story Of Aardman</v>
      </c>
      <c r="T187" s="5" t="str">
        <f>IFERROR(__xludf.DUMMYFUNCTION("""COMPUTED_VALUE"""),"France, Japan, United States")</f>
        <v>France, Japan, United States</v>
      </c>
      <c r="U187" s="5" t="str">
        <f>IFERROR(__xludf.DUMMYFUNCTION("""COMPUTED_VALUE"""),"Laura Fairrie")</f>
        <v>Laura Fairrie</v>
      </c>
      <c r="V187" s="5" t="s">
        <v>1284</v>
      </c>
      <c r="W187" s="5" t="str">
        <f t="shared" si="3"/>
        <v>Alfons Adetuyi</v>
      </c>
      <c r="X187" s="5">
        <f t="shared" si="4"/>
        <v>1</v>
      </c>
      <c r="Y187" s="5" t="str">
        <f>IFERROR(__xludf.DUMMYFUNCTION("REGEXEXTRACT(J187, ""^\d+"")"),"86")</f>
        <v>86</v>
      </c>
      <c r="Z187" s="5" t="str">
        <f>IFERROR(__xludf.DUMMYFUNCTION("REGEXEXTRACT(J187, ""[A-Za-z ]+$"")")," min")</f>
        <v> min</v>
      </c>
      <c r="AA187" s="5" t="str">
        <f>IFERROR(__xludf.DUMMYFUNCTION("IF(REGEXMATCH(Z187, ""Season""), ""TV Show"", ""Movie"")"),"Movie")</f>
        <v>Movie</v>
      </c>
    </row>
    <row r="188">
      <c r="A188" s="1" t="s">
        <v>1285</v>
      </c>
      <c r="B188" s="1" t="s">
        <v>37</v>
      </c>
      <c r="C188" s="1" t="s">
        <v>1286</v>
      </c>
      <c r="E188" s="1" t="s">
        <v>1287</v>
      </c>
      <c r="G188" s="1" t="s">
        <v>1288</v>
      </c>
      <c r="H188" s="1">
        <v>2021.0</v>
      </c>
      <c r="I188" s="1" t="s">
        <v>97</v>
      </c>
      <c r="J188" s="1" t="s">
        <v>51</v>
      </c>
      <c r="K188" s="1" t="s">
        <v>64</v>
      </c>
      <c r="L188" s="1" t="s">
        <v>1289</v>
      </c>
      <c r="M188" s="2" t="s">
        <v>12</v>
      </c>
      <c r="N188" s="4">
        <f t="shared" si="1"/>
        <v>44437</v>
      </c>
      <c r="O188" s="5" t="str">
        <f>IFERROR(__xludf.DUMMYFUNCTION("IF(REGEXMATCH(TRIM(I188), ""^\d+\s*min""), ""Unclassified"", IF(I188 = """", ""NR"", I188))"),"TV-14")</f>
        <v>TV-14</v>
      </c>
      <c r="R188" s="5" t="str">
        <f t="shared" si="2"/>
        <v>Hometown Cha-Cha-Cha</v>
      </c>
      <c r="S188" s="5" t="str">
        <f>IFERROR(__xludf.DUMMYFUNCTION("""COMPUTED_VALUE"""),"A Gray State")</f>
        <v>A Gray State</v>
      </c>
      <c r="T188" s="5" t="str">
        <f>IFERROR(__xludf.DUMMYFUNCTION("""COMPUTED_VALUE"""),"France, Lebanon")</f>
        <v>France, Lebanon</v>
      </c>
      <c r="U188" s="5" t="str">
        <f>IFERROR(__xludf.DUMMYFUNCTION("""COMPUTED_VALUE"""),"Marcelo Piñeyro")</f>
        <v>Marcelo Piñeyro</v>
      </c>
      <c r="V188" s="5" t="s">
        <v>1290</v>
      </c>
      <c r="W188" s="5" t="str">
        <f t="shared" si="3"/>
        <v>Alfonso Arau</v>
      </c>
      <c r="X188" s="5">
        <f t="shared" si="4"/>
        <v>1</v>
      </c>
      <c r="Y188" s="5" t="str">
        <f>IFERROR(__xludf.DUMMYFUNCTION("REGEXEXTRACT(J188, ""^\d+"")"),"1")</f>
        <v>1</v>
      </c>
      <c r="Z188" s="5" t="str">
        <f>IFERROR(__xludf.DUMMYFUNCTION("REGEXEXTRACT(J188, ""[A-Za-z ]+$"")")," Season")</f>
        <v> Season</v>
      </c>
      <c r="AA188" s="5" t="str">
        <f>IFERROR(__xludf.DUMMYFUNCTION("IF(REGEXMATCH(Z188, ""Season""), ""TV Show"", ""Movie"")"),"TV Show")</f>
        <v>TV Show</v>
      </c>
    </row>
    <row r="189">
      <c r="A189" s="1" t="s">
        <v>1291</v>
      </c>
      <c r="B189" s="1" t="s">
        <v>37</v>
      </c>
      <c r="C189" s="1" t="s">
        <v>1292</v>
      </c>
      <c r="E189" s="1" t="s">
        <v>1293</v>
      </c>
      <c r="G189" s="1" t="s">
        <v>1288</v>
      </c>
      <c r="H189" s="1">
        <v>2021.0</v>
      </c>
      <c r="I189" s="1" t="s">
        <v>506</v>
      </c>
      <c r="J189" s="1" t="s">
        <v>51</v>
      </c>
      <c r="K189" s="1" t="s">
        <v>1294</v>
      </c>
      <c r="L189" s="1" t="s">
        <v>1295</v>
      </c>
      <c r="M189" s="2" t="s">
        <v>12</v>
      </c>
      <c r="N189" s="4">
        <f t="shared" si="1"/>
        <v>44437</v>
      </c>
      <c r="O189" s="5" t="str">
        <f>IFERROR(__xludf.DUMMYFUNCTION("IF(REGEXMATCH(TRIM(I189), ""^\d+\s*min""), ""Unclassified"", IF(I189 = """", ""NR"", I189))"),"TV-G")</f>
        <v>TV-G</v>
      </c>
      <c r="R189" s="5" t="str">
        <f t="shared" si="2"/>
        <v>The Ingenuity Of The Househusband</v>
      </c>
      <c r="S189" s="5" t="str">
        <f>IFERROR(__xludf.DUMMYFUNCTION("""COMPUTED_VALUE"""),"A Haunted House")</f>
        <v>A Haunted House</v>
      </c>
      <c r="T189" s="5" t="str">
        <f>IFERROR(__xludf.DUMMYFUNCTION("""COMPUTED_VALUE"""),"France, Lebanon, United Kingdom")</f>
        <v>France, Lebanon, United Kingdom</v>
      </c>
      <c r="U189" s="5" t="str">
        <f>IFERROR(__xludf.DUMMYFUNCTION("""COMPUTED_VALUE"""),"Izu Ojukwu")</f>
        <v>Izu Ojukwu</v>
      </c>
      <c r="V189" s="5" t="s">
        <v>1296</v>
      </c>
      <c r="W189" s="5" t="str">
        <f t="shared" si="3"/>
        <v>Alfonso Cortés-Cavanillas</v>
      </c>
      <c r="X189" s="5">
        <f t="shared" si="4"/>
        <v>1</v>
      </c>
      <c r="Y189" s="5" t="str">
        <f>IFERROR(__xludf.DUMMYFUNCTION("REGEXEXTRACT(J189, ""^\d+"")"),"1")</f>
        <v>1</v>
      </c>
      <c r="Z189" s="5" t="str">
        <f>IFERROR(__xludf.DUMMYFUNCTION("REGEXEXTRACT(J189, ""[A-Za-z ]+$"")")," Season")</f>
        <v> Season</v>
      </c>
      <c r="AA189" s="5" t="str">
        <f>IFERROR(__xludf.DUMMYFUNCTION("IF(REGEXMATCH(Z189, ""Season""), ""TV Show"", ""Movie"")"),"TV Show")</f>
        <v>TV Show</v>
      </c>
    </row>
    <row r="190">
      <c r="A190" s="1" t="s">
        <v>1297</v>
      </c>
      <c r="B190" s="1" t="s">
        <v>27</v>
      </c>
      <c r="C190" s="1" t="s">
        <v>1298</v>
      </c>
      <c r="D190" s="1" t="s">
        <v>1299</v>
      </c>
      <c r="E190" s="1" t="s">
        <v>1300</v>
      </c>
      <c r="F190" s="1" t="s">
        <v>664</v>
      </c>
      <c r="G190" s="1" t="s">
        <v>1301</v>
      </c>
      <c r="H190" s="1">
        <v>2008.0</v>
      </c>
      <c r="I190" s="1" t="s">
        <v>42</v>
      </c>
      <c r="J190" s="1" t="s">
        <v>247</v>
      </c>
      <c r="K190" s="1" t="s">
        <v>199</v>
      </c>
      <c r="L190" s="1" t="s">
        <v>1302</v>
      </c>
      <c r="M190" s="2" t="s">
        <v>12</v>
      </c>
      <c r="N190" s="4">
        <f t="shared" si="1"/>
        <v>44436</v>
      </c>
      <c r="O190" s="5" t="str">
        <f>IFERROR(__xludf.DUMMYFUNCTION("IF(REGEXMATCH(TRIM(I190), ""^\d+\s*min""), ""Unclassified"", IF(I190 = """", ""NR"", I190))"),"TV-MA")</f>
        <v>TV-MA</v>
      </c>
      <c r="R190" s="5" t="str">
        <f t="shared" si="2"/>
        <v>2 Alone In Paris</v>
      </c>
      <c r="S190" s="5" t="str">
        <f>IFERROR(__xludf.DUMMYFUNCTION("""COMPUTED_VALUE"""),"A Haunted House 2")</f>
        <v>A Haunted House 2</v>
      </c>
      <c r="T190" s="5" t="str">
        <f>IFERROR(__xludf.DUMMYFUNCTION("""COMPUTED_VALUE"""),"France, Luxembourg, Canada")</f>
        <v>France, Luxembourg, Canada</v>
      </c>
      <c r="U190" s="5" t="str">
        <f>IFERROR(__xludf.DUMMYFUNCTION("""COMPUTED_VALUE"""),"Peter Winther")</f>
        <v>Peter Winther</v>
      </c>
      <c r="V190" s="5" t="s">
        <v>1303</v>
      </c>
      <c r="W190" s="5" t="str">
        <f t="shared" si="3"/>
        <v>Alfonso Cuarón</v>
      </c>
      <c r="X190" s="5">
        <f t="shared" si="4"/>
        <v>3</v>
      </c>
      <c r="Y190" s="5" t="str">
        <f>IFERROR(__xludf.DUMMYFUNCTION("REGEXEXTRACT(J190, ""^\d+"")"),"97")</f>
        <v>97</v>
      </c>
      <c r="Z190" s="5" t="str">
        <f>IFERROR(__xludf.DUMMYFUNCTION("REGEXEXTRACT(J190, ""[A-Za-z ]+$"")")," min")</f>
        <v> min</v>
      </c>
      <c r="AA190" s="5" t="str">
        <f>IFERROR(__xludf.DUMMYFUNCTION("IF(REGEXMATCH(Z190, ""Season""), ""TV Show"", ""Movie"")"),"Movie")</f>
        <v>Movie</v>
      </c>
    </row>
    <row r="191">
      <c r="A191" s="1" t="s">
        <v>1304</v>
      </c>
      <c r="B191" s="1" t="s">
        <v>37</v>
      </c>
      <c r="C191" s="1" t="s">
        <v>1305</v>
      </c>
      <c r="E191" s="1" t="s">
        <v>1306</v>
      </c>
      <c r="G191" s="1" t="s">
        <v>1301</v>
      </c>
      <c r="H191" s="1">
        <v>2020.0</v>
      </c>
      <c r="I191" s="1" t="s">
        <v>206</v>
      </c>
      <c r="J191" s="1" t="s">
        <v>43</v>
      </c>
      <c r="K191" s="1" t="s">
        <v>314</v>
      </c>
      <c r="L191" s="1" t="s">
        <v>1307</v>
      </c>
      <c r="M191" s="2" t="s">
        <v>12</v>
      </c>
      <c r="N191" s="4">
        <f t="shared" si="1"/>
        <v>44436</v>
      </c>
      <c r="O191" s="5" t="str">
        <f>IFERROR(__xludf.DUMMYFUNCTION("IF(REGEXMATCH(TRIM(I191), ""^\d+\s*min""), ""Unclassified"", IF(I191 = """", ""NR"", I191))"),"TV-Y")</f>
        <v>TV-Y</v>
      </c>
      <c r="R191" s="5" t="str">
        <f t="shared" si="2"/>
        <v>Bread Barbershop</v>
      </c>
      <c r="S191" s="5" t="str">
        <f>IFERROR(__xludf.DUMMYFUNCTION("""COMPUTED_VALUE"""),"A Haunting At Silver Falls: The Return")</f>
        <v>A Haunting At Silver Falls: The Return</v>
      </c>
      <c r="T191" s="5" t="str">
        <f>IFERROR(__xludf.DUMMYFUNCTION("""COMPUTED_VALUE"""),"France, Luxembourg, United States")</f>
        <v>France, Luxembourg, United States</v>
      </c>
      <c r="U191" s="5" t="str">
        <f>IFERROR(__xludf.DUMMYFUNCTION("""COMPUTED_VALUE"""),"Susan Lacy")</f>
        <v>Susan Lacy</v>
      </c>
      <c r="V191" s="5" t="s">
        <v>1308</v>
      </c>
      <c r="W191" s="5" t="str">
        <f t="shared" si="3"/>
        <v>Alfonso Rodríguez</v>
      </c>
      <c r="X191" s="5">
        <f t="shared" si="4"/>
        <v>1</v>
      </c>
      <c r="Y191" s="5" t="str">
        <f>IFERROR(__xludf.DUMMYFUNCTION("REGEXEXTRACT(J191, ""^\d+"")"),"2")</f>
        <v>2</v>
      </c>
      <c r="Z191" s="5" t="str">
        <f>IFERROR(__xludf.DUMMYFUNCTION("REGEXEXTRACT(J191, ""[A-Za-z ]+$"")")," Seasons")</f>
        <v> Seasons</v>
      </c>
      <c r="AA191" s="5" t="str">
        <f>IFERROR(__xludf.DUMMYFUNCTION("IF(REGEXMATCH(Z191, ""Season""), ""TV Show"", ""Movie"")"),"TV Show")</f>
        <v>TV Show</v>
      </c>
    </row>
    <row r="192">
      <c r="A192" s="1" t="s">
        <v>1309</v>
      </c>
      <c r="B192" s="1" t="s">
        <v>27</v>
      </c>
      <c r="C192" s="1" t="s">
        <v>1310</v>
      </c>
      <c r="D192" s="1" t="s">
        <v>1311</v>
      </c>
      <c r="E192" s="1" t="s">
        <v>1312</v>
      </c>
      <c r="F192" s="1" t="s">
        <v>63</v>
      </c>
      <c r="G192" s="1" t="s">
        <v>1301</v>
      </c>
      <c r="H192" s="1">
        <v>2021.0</v>
      </c>
      <c r="I192" s="1" t="s">
        <v>97</v>
      </c>
      <c r="J192" s="1" t="s">
        <v>88</v>
      </c>
      <c r="K192" s="1" t="s">
        <v>128</v>
      </c>
      <c r="L192" s="1" t="s">
        <v>1313</v>
      </c>
      <c r="M192" s="2" t="s">
        <v>12</v>
      </c>
      <c r="N192" s="4">
        <f t="shared" si="1"/>
        <v>44436</v>
      </c>
      <c r="O192" s="5" t="str">
        <f>IFERROR(__xludf.DUMMYFUNCTION("IF(REGEXMATCH(TRIM(I192), ""^\d+\s*min""), ""Unclassified"", IF(I192 = """", ""NR"", I192))"),"TV-14")</f>
        <v>TV-14</v>
      </c>
      <c r="R192" s="5" t="str">
        <f t="shared" si="2"/>
        <v>Thimmarusu</v>
      </c>
      <c r="S192" s="5" t="str">
        <f>IFERROR(__xludf.DUMMYFUNCTION("""COMPUTED_VALUE"""),"A Heavy Heart")</f>
        <v>A Heavy Heart</v>
      </c>
      <c r="T192" s="5" t="str">
        <f>IFERROR(__xludf.DUMMYFUNCTION("""COMPUTED_VALUE"""),"France, Malta, United States")</f>
        <v>France, Malta, United States</v>
      </c>
      <c r="U192" s="5" t="str">
        <f>IFERROR(__xludf.DUMMYFUNCTION("""COMPUTED_VALUE"""),"Billy Corben")</f>
        <v>Billy Corben</v>
      </c>
      <c r="V192" s="5" t="s">
        <v>1314</v>
      </c>
      <c r="W192" s="5" t="str">
        <f t="shared" si="3"/>
        <v>Alfonso Serrano Maturino</v>
      </c>
      <c r="X192" s="5">
        <f t="shared" si="4"/>
        <v>1</v>
      </c>
      <c r="Y192" s="5" t="str">
        <f>IFERROR(__xludf.DUMMYFUNCTION("REGEXEXTRACT(J192, ""^\d+"")"),"125")</f>
        <v>125</v>
      </c>
      <c r="Z192" s="5" t="str">
        <f>IFERROR(__xludf.DUMMYFUNCTION("REGEXEXTRACT(J192, ""[A-Za-z ]+$"")")," min")</f>
        <v> min</v>
      </c>
      <c r="AA192" s="5" t="str">
        <f>IFERROR(__xludf.DUMMYFUNCTION("IF(REGEXMATCH(Z192, ""Season""), ""TV Show"", ""Movie"")"),"Movie")</f>
        <v>Movie</v>
      </c>
    </row>
    <row r="193">
      <c r="A193" s="1" t="s">
        <v>1315</v>
      </c>
      <c r="B193" s="1" t="s">
        <v>27</v>
      </c>
      <c r="C193" s="1" t="s">
        <v>1316</v>
      </c>
      <c r="D193" s="1" t="s">
        <v>1317</v>
      </c>
      <c r="E193" s="1" t="s">
        <v>1318</v>
      </c>
      <c r="F193" s="1" t="s">
        <v>1319</v>
      </c>
      <c r="G193" s="1" t="s">
        <v>1301</v>
      </c>
      <c r="H193" s="1">
        <v>2017.0</v>
      </c>
      <c r="I193" s="1" t="s">
        <v>378</v>
      </c>
      <c r="J193" s="1" t="s">
        <v>1256</v>
      </c>
      <c r="K193" s="1" t="s">
        <v>1320</v>
      </c>
      <c r="L193" s="1" t="s">
        <v>1321</v>
      </c>
      <c r="M193" s="2" t="s">
        <v>12</v>
      </c>
      <c r="N193" s="4">
        <f t="shared" si="1"/>
        <v>44436</v>
      </c>
      <c r="O193" s="5" t="str">
        <f>IFERROR(__xludf.DUMMYFUNCTION("IF(REGEXMATCH(TRIM(I193), ""^\d+\s*min""), ""Unclassified"", IF(I193 = """", ""NR"", I193))"),"R")</f>
        <v>R</v>
      </c>
      <c r="R193" s="5" t="str">
        <f t="shared" si="2"/>
        <v>Wind River</v>
      </c>
      <c r="S193" s="5" t="str">
        <f>IFERROR(__xludf.DUMMYFUNCTION("""COMPUTED_VALUE"""),"A Holiday Engagement")</f>
        <v>A Holiday Engagement</v>
      </c>
      <c r="T193" s="5" t="str">
        <f>IFERROR(__xludf.DUMMYFUNCTION("""COMPUTED_VALUE"""),"France, Morocco")</f>
        <v>France, Morocco</v>
      </c>
      <c r="U193" s="5" t="str">
        <f>IFERROR(__xludf.DUMMYFUNCTION("""COMPUTED_VALUE"""),"James Mangold")</f>
        <v>James Mangold</v>
      </c>
      <c r="V193" s="5" t="s">
        <v>1322</v>
      </c>
      <c r="W193" s="5" t="str">
        <f t="shared" si="3"/>
        <v>Ali Bin Matar, Ibrahim Bin Mohamed</v>
      </c>
      <c r="X193" s="5">
        <f t="shared" si="4"/>
        <v>1</v>
      </c>
      <c r="Y193" s="5" t="str">
        <f>IFERROR(__xludf.DUMMYFUNCTION("REGEXEXTRACT(J193, ""^\d+"")"),"107")</f>
        <v>107</v>
      </c>
      <c r="Z193" s="5" t="str">
        <f>IFERROR(__xludf.DUMMYFUNCTION("REGEXEXTRACT(J193, ""[A-Za-z ]+$"")")," min")</f>
        <v> min</v>
      </c>
      <c r="AA193" s="5" t="str">
        <f>IFERROR(__xludf.DUMMYFUNCTION("IF(REGEXMATCH(Z193, ""Season""), ""TV Show"", ""Movie"")"),"Movie")</f>
        <v>Movie</v>
      </c>
    </row>
    <row r="194">
      <c r="A194" s="1" t="s">
        <v>1323</v>
      </c>
      <c r="B194" s="1" t="s">
        <v>27</v>
      </c>
      <c r="C194" s="1" t="s">
        <v>1324</v>
      </c>
      <c r="D194" s="1" t="s">
        <v>1325</v>
      </c>
      <c r="E194" s="1" t="s">
        <v>1326</v>
      </c>
      <c r="F194" s="1" t="s">
        <v>63</v>
      </c>
      <c r="G194" s="1" t="s">
        <v>1327</v>
      </c>
      <c r="H194" s="1">
        <v>2008.0</v>
      </c>
      <c r="I194" s="1" t="s">
        <v>97</v>
      </c>
      <c r="J194" s="1" t="s">
        <v>127</v>
      </c>
      <c r="K194" s="1" t="s">
        <v>1328</v>
      </c>
      <c r="L194" s="1" t="s">
        <v>1329</v>
      </c>
      <c r="M194" s="2" t="s">
        <v>12</v>
      </c>
      <c r="N194" s="4">
        <f t="shared" si="1"/>
        <v>44435</v>
      </c>
      <c r="O194" s="5" t="str">
        <f>IFERROR(__xludf.DUMMYFUNCTION("IF(REGEXMATCH(TRIM(I194), ""^\d+\s*min""), ""Unclassified"", IF(I194 = """", ""NR"", I194))"),"TV-14")</f>
        <v>TV-14</v>
      </c>
      <c r="R194" s="5" t="str">
        <f t="shared" si="2"/>
        <v>C Kkompany</v>
      </c>
      <c r="S194" s="5" t="str">
        <f>IFERROR(__xludf.DUMMYFUNCTION("""COMPUTED_VALUE"""),"A Home With A View")</f>
        <v>A Home With A View</v>
      </c>
      <c r="T194" s="5" t="str">
        <f>IFERROR(__xludf.DUMMYFUNCTION("""COMPUTED_VALUE"""),"France, Netherlands, Singapore")</f>
        <v>France, Netherlands, Singapore</v>
      </c>
      <c r="U194" s="5" t="str">
        <f>IFERROR(__xludf.DUMMYFUNCTION("""COMPUTED_VALUE"""),"Chineze Anyaene")</f>
        <v>Chineze Anyaene</v>
      </c>
      <c r="V194" s="5" t="s">
        <v>1330</v>
      </c>
      <c r="W194" s="5" t="str">
        <f t="shared" si="3"/>
        <v>Ali F. Mostafa</v>
      </c>
      <c r="X194" s="5">
        <f t="shared" si="4"/>
        <v>2</v>
      </c>
      <c r="Y194" s="5" t="str">
        <f>IFERROR(__xludf.DUMMYFUNCTION("REGEXEXTRACT(J194, ""^\d+"")"),"127")</f>
        <v>127</v>
      </c>
      <c r="Z194" s="5" t="str">
        <f>IFERROR(__xludf.DUMMYFUNCTION("REGEXEXTRACT(J194, ""[A-Za-z ]+$"")")," min")</f>
        <v> min</v>
      </c>
      <c r="AA194" s="5" t="str">
        <f>IFERROR(__xludf.DUMMYFUNCTION("IF(REGEXMATCH(Z194, ""Season""), ""TV Show"", ""Movie"")"),"Movie")</f>
        <v>Movie</v>
      </c>
    </row>
    <row r="195">
      <c r="A195" s="1" t="s">
        <v>1331</v>
      </c>
      <c r="B195" s="1" t="s">
        <v>37</v>
      </c>
      <c r="C195" s="1" t="s">
        <v>1332</v>
      </c>
      <c r="E195" s="1" t="s">
        <v>1333</v>
      </c>
      <c r="F195" s="1" t="s">
        <v>749</v>
      </c>
      <c r="G195" s="1" t="s">
        <v>1327</v>
      </c>
      <c r="H195" s="1">
        <v>2021.0</v>
      </c>
      <c r="I195" s="1" t="s">
        <v>42</v>
      </c>
      <c r="J195" s="1" t="s">
        <v>51</v>
      </c>
      <c r="K195" s="1" t="s">
        <v>402</v>
      </c>
      <c r="L195" s="1" t="s">
        <v>1334</v>
      </c>
      <c r="M195" s="2" t="s">
        <v>12</v>
      </c>
      <c r="N195" s="4">
        <f t="shared" si="1"/>
        <v>44435</v>
      </c>
      <c r="O195" s="5" t="str">
        <f>IFERROR(__xludf.DUMMYFUNCTION("IF(REGEXMATCH(TRIM(I195), ""^\d+\s*min""), ""Unclassified"", IF(I195 = """", ""NR"", I195))"),"TV-MA")</f>
        <v>TV-MA</v>
      </c>
      <c r="R195" s="5" t="str">
        <f t="shared" si="2"/>
        <v>D.P.</v>
      </c>
      <c r="S195" s="5" t="str">
        <f>IFERROR(__xludf.DUMMYFUNCTION("""COMPUTED_VALUE"""),"A House Of Blocks")</f>
        <v>A House Of Blocks</v>
      </c>
      <c r="T195" s="5" t="str">
        <f>IFERROR(__xludf.DUMMYFUNCTION("""COMPUTED_VALUE"""),"France, Netherlands, South Africa, Finland")</f>
        <v>France, Netherlands, South Africa, Finland</v>
      </c>
      <c r="U195" s="5" t="str">
        <f>IFERROR(__xludf.DUMMYFUNCTION("""COMPUTED_VALUE"""),"Hsu Fu-Chun")</f>
        <v>Hsu Fu-Chun</v>
      </c>
      <c r="V195" s="5" t="s">
        <v>1335</v>
      </c>
      <c r="W195" s="5" t="str">
        <f t="shared" si="3"/>
        <v>Ali Kalthami, Meshal Aljaser, Faris Godus, Mohamed Al Salman, Faisal Al Amer</v>
      </c>
      <c r="X195" s="5">
        <f t="shared" si="4"/>
        <v>1</v>
      </c>
      <c r="Y195" s="5" t="str">
        <f>IFERROR(__xludf.DUMMYFUNCTION("REGEXEXTRACT(J195, ""^\d+"")"),"1")</f>
        <v>1</v>
      </c>
      <c r="Z195" s="5" t="str">
        <f>IFERROR(__xludf.DUMMYFUNCTION("REGEXEXTRACT(J195, ""[A-Za-z ]+$"")")," Season")</f>
        <v> Season</v>
      </c>
      <c r="AA195" s="5" t="str">
        <f>IFERROR(__xludf.DUMMYFUNCTION("IF(REGEXMATCH(Z195, ""Season""), ""TV Show"", ""Movie"")"),"TV Show")</f>
        <v>TV Show</v>
      </c>
    </row>
    <row r="196">
      <c r="A196" s="1" t="s">
        <v>1336</v>
      </c>
      <c r="B196" s="1" t="s">
        <v>37</v>
      </c>
      <c r="C196" s="1" t="s">
        <v>1337</v>
      </c>
      <c r="E196" s="1" t="s">
        <v>1338</v>
      </c>
      <c r="G196" s="1" t="s">
        <v>1327</v>
      </c>
      <c r="H196" s="1">
        <v>2002.0</v>
      </c>
      <c r="I196" s="1" t="s">
        <v>42</v>
      </c>
      <c r="J196" s="1" t="s">
        <v>51</v>
      </c>
      <c r="K196" s="1" t="s">
        <v>1339</v>
      </c>
      <c r="L196" s="1" t="s">
        <v>1340</v>
      </c>
      <c r="M196" s="2" t="s">
        <v>12</v>
      </c>
      <c r="N196" s="4">
        <f t="shared" si="1"/>
        <v>44435</v>
      </c>
      <c r="O196" s="5" t="str">
        <f>IFERROR(__xludf.DUMMYFUNCTION("IF(REGEXMATCH(TRIM(I196), ""^\d+\s*min""), ""Unclassified"", IF(I196 = """", ""NR"", I196))"),"TV-MA")</f>
        <v>TV-MA</v>
      </c>
      <c r="R196" s="5" t="str">
        <f t="shared" si="2"/>
        <v>Deadly Sins</v>
      </c>
      <c r="S196" s="5" t="str">
        <f>IFERROR(__xludf.DUMMYFUNCTION("""COMPUTED_VALUE"""),"A Kid From Coney Island")</f>
        <v>A Kid From Coney Island</v>
      </c>
      <c r="T196" s="5" t="str">
        <f>IFERROR(__xludf.DUMMYFUNCTION("""COMPUTED_VALUE"""),"France, New Zealand")</f>
        <v>France, New Zealand</v>
      </c>
      <c r="U196" s="5" t="str">
        <f>IFERROR(__xludf.DUMMYFUNCTION("""COMPUTED_VALUE"""),"Kristine Stolakis")</f>
        <v>Kristine Stolakis</v>
      </c>
      <c r="V196" s="5" t="s">
        <v>1341</v>
      </c>
      <c r="W196" s="5" t="str">
        <f t="shared" si="3"/>
        <v>Ali Ragab</v>
      </c>
      <c r="X196" s="5">
        <f t="shared" si="4"/>
        <v>2</v>
      </c>
      <c r="Y196" s="5" t="str">
        <f>IFERROR(__xludf.DUMMYFUNCTION("REGEXEXTRACT(J196, ""^\d+"")"),"1")</f>
        <v>1</v>
      </c>
      <c r="Z196" s="5" t="str">
        <f>IFERROR(__xludf.DUMMYFUNCTION("REGEXEXTRACT(J196, ""[A-Za-z ]+$"")")," Season")</f>
        <v> Season</v>
      </c>
      <c r="AA196" s="5" t="str">
        <f>IFERROR(__xludf.DUMMYFUNCTION("IF(REGEXMATCH(Z196, ""Season""), ""TV Show"", ""Movie"")"),"TV Show")</f>
        <v>TV Show</v>
      </c>
    </row>
    <row r="197">
      <c r="A197" s="1" t="s">
        <v>1342</v>
      </c>
      <c r="B197" s="1" t="s">
        <v>27</v>
      </c>
      <c r="C197" s="1" t="s">
        <v>1343</v>
      </c>
      <c r="D197" s="1" t="s">
        <v>1344</v>
      </c>
      <c r="E197" s="1" t="s">
        <v>1345</v>
      </c>
      <c r="F197" s="1" t="s">
        <v>63</v>
      </c>
      <c r="G197" s="1" t="s">
        <v>1327</v>
      </c>
      <c r="H197" s="1">
        <v>2008.0</v>
      </c>
      <c r="I197" s="1" t="s">
        <v>97</v>
      </c>
      <c r="J197" s="1" t="s">
        <v>757</v>
      </c>
      <c r="K197" s="1" t="s">
        <v>583</v>
      </c>
      <c r="L197" s="1" t="s">
        <v>1346</v>
      </c>
      <c r="M197" s="2" t="s">
        <v>12</v>
      </c>
      <c r="N197" s="4">
        <f t="shared" si="1"/>
        <v>44435</v>
      </c>
      <c r="O197" s="5" t="str">
        <f>IFERROR(__xludf.DUMMYFUNCTION("IF(REGEXMATCH(TRIM(I197), ""^\d+\s*min""), ""Unclassified"", IF(I197 = """", ""NR"", I197))"),"TV-14")</f>
        <v>TV-14</v>
      </c>
      <c r="R197" s="5" t="str">
        <f t="shared" si="2"/>
        <v>Emi: Liya Hai To Chukana Padega</v>
      </c>
      <c r="S197" s="5" t="str">
        <f>IFERROR(__xludf.DUMMYFUNCTION("""COMPUTED_VALUE"""),"A Kind Of Murder")</f>
        <v>A Kind Of Murder</v>
      </c>
      <c r="T197" s="5" t="str">
        <f>IFERROR(__xludf.DUMMYFUNCTION("""COMPUTED_VALUE"""),"France, Norway, Lebanon, Belgium")</f>
        <v>France, Norway, Lebanon, Belgium</v>
      </c>
      <c r="U197" s="5" t="str">
        <f>IFERROR(__xludf.DUMMYFUNCTION("""COMPUTED_VALUE"""),"Eva Müller, Michael Schmitt")</f>
        <v>Eva Müller, Michael Schmitt</v>
      </c>
      <c r="V197" s="5" t="s">
        <v>1347</v>
      </c>
      <c r="W197" s="5" t="str">
        <f t="shared" si="3"/>
        <v>Ali Samadi Ahadi</v>
      </c>
      <c r="X197" s="5">
        <f t="shared" si="4"/>
        <v>1</v>
      </c>
      <c r="Y197" s="5" t="str">
        <f>IFERROR(__xludf.DUMMYFUNCTION("REGEXEXTRACT(J197, ""^\d+"")"),"128")</f>
        <v>128</v>
      </c>
      <c r="Z197" s="5" t="str">
        <f>IFERROR(__xludf.DUMMYFUNCTION("REGEXEXTRACT(J197, ""[A-Za-z ]+$"")")," min")</f>
        <v> min</v>
      </c>
      <c r="AA197" s="5" t="str">
        <f>IFERROR(__xludf.DUMMYFUNCTION("IF(REGEXMATCH(Z197, ""Season""), ""TV Show"", ""Movie"")"),"Movie")</f>
        <v>Movie</v>
      </c>
    </row>
    <row r="198">
      <c r="A198" s="1" t="s">
        <v>1348</v>
      </c>
      <c r="B198" s="1" t="s">
        <v>27</v>
      </c>
      <c r="C198" s="1" t="s">
        <v>1349</v>
      </c>
      <c r="D198" s="1" t="s">
        <v>1350</v>
      </c>
      <c r="E198" s="1" t="s">
        <v>1351</v>
      </c>
      <c r="G198" s="1" t="s">
        <v>1327</v>
      </c>
      <c r="H198" s="1">
        <v>2021.0</v>
      </c>
      <c r="I198" s="1" t="s">
        <v>97</v>
      </c>
      <c r="J198" s="1" t="s">
        <v>665</v>
      </c>
      <c r="K198" s="1" t="s">
        <v>813</v>
      </c>
      <c r="L198" s="1" t="s">
        <v>1352</v>
      </c>
      <c r="M198" s="2" t="s">
        <v>12</v>
      </c>
      <c r="N198" s="4">
        <f t="shared" si="1"/>
        <v>44435</v>
      </c>
      <c r="O198" s="5" t="str">
        <f>IFERROR(__xludf.DUMMYFUNCTION("IF(REGEXMATCH(TRIM(I198), ""^\d+\s*min""), ""Unclassified"", IF(I198 = """", ""NR"", I198))"),"TV-14")</f>
        <v>TV-14</v>
      </c>
      <c r="R198" s="5" t="str">
        <f t="shared" si="2"/>
        <v>He'S All That</v>
      </c>
      <c r="S198" s="5" t="str">
        <f>IFERROR(__xludf.DUMMYFUNCTION("""COMPUTED_VALUE"""),"A Korean Odyssey")</f>
        <v>A Korean Odyssey</v>
      </c>
      <c r="T198" s="5" t="str">
        <f>IFERROR(__xludf.DUMMYFUNCTION("""COMPUTED_VALUE"""),"France, Qatar")</f>
        <v>France, Qatar</v>
      </c>
      <c r="U198" s="5" t="str">
        <f>IFERROR(__xludf.DUMMYFUNCTION("""COMPUTED_VALUE"""),"Brian Levant")</f>
        <v>Brian Levant</v>
      </c>
      <c r="V198" s="5" t="s">
        <v>1353</v>
      </c>
      <c r="W198" s="5" t="str">
        <f t="shared" si="3"/>
        <v>Ali Scher</v>
      </c>
      <c r="X198" s="5">
        <f t="shared" si="4"/>
        <v>1</v>
      </c>
      <c r="Y198" s="5" t="str">
        <f>IFERROR(__xludf.DUMMYFUNCTION("REGEXEXTRACT(J198, ""^\d+"")"),"92")</f>
        <v>92</v>
      </c>
      <c r="Z198" s="5" t="str">
        <f>IFERROR(__xludf.DUMMYFUNCTION("REGEXEXTRACT(J198, ""[A-Za-z ]+$"")")," min")</f>
        <v> min</v>
      </c>
      <c r="AA198" s="5" t="str">
        <f>IFERROR(__xludf.DUMMYFUNCTION("IF(REGEXMATCH(Z198, ""Season""), ""TV Show"", ""Movie"")"),"Movie")</f>
        <v>Movie</v>
      </c>
    </row>
    <row r="199">
      <c r="A199" s="1" t="s">
        <v>1354</v>
      </c>
      <c r="B199" s="1" t="s">
        <v>37</v>
      </c>
      <c r="C199" s="1" t="s">
        <v>1355</v>
      </c>
      <c r="E199" s="1" t="s">
        <v>1356</v>
      </c>
      <c r="G199" s="1" t="s">
        <v>1327</v>
      </c>
      <c r="H199" s="1">
        <v>2021.0</v>
      </c>
      <c r="I199" s="1" t="s">
        <v>289</v>
      </c>
      <c r="J199" s="1" t="s">
        <v>51</v>
      </c>
      <c r="K199" s="1" t="s">
        <v>314</v>
      </c>
      <c r="L199" s="1" t="s">
        <v>1357</v>
      </c>
      <c r="M199" s="2" t="s">
        <v>12</v>
      </c>
      <c r="N199" s="4">
        <f t="shared" si="1"/>
        <v>44435</v>
      </c>
      <c r="O199" s="5" t="str">
        <f>IFERROR(__xludf.DUMMYFUNCTION("IF(REGEXMATCH(TRIM(I199), ""^\d+\s*min""), ""Unclassified"", IF(I199 = """", ""NR"", I199))"),"TV-Y7")</f>
        <v>TV-Y7</v>
      </c>
      <c r="R199" s="5" t="str">
        <f t="shared" si="2"/>
        <v>I Heart Arlo</v>
      </c>
      <c r="S199" s="5" t="str">
        <f>IFERROR(__xludf.DUMMYFUNCTION("""COMPUTED_VALUE"""),"A Land Imagined")</f>
        <v>A Land Imagined</v>
      </c>
      <c r="T199" s="5" t="str">
        <f>IFERROR(__xludf.DUMMYFUNCTION("""COMPUTED_VALUE"""),"France, Senegal, Belgium")</f>
        <v>France, Senegal, Belgium</v>
      </c>
      <c r="U199" s="5" t="str">
        <f>IFERROR(__xludf.DUMMYFUNCTION("""COMPUTED_VALUE"""),"Rod Daniel")</f>
        <v>Rod Daniel</v>
      </c>
      <c r="V199" s="5" t="s">
        <v>1358</v>
      </c>
      <c r="W199" s="5" t="str">
        <f t="shared" si="3"/>
        <v>Ali Tabrizi</v>
      </c>
      <c r="X199" s="5">
        <f t="shared" si="4"/>
        <v>1</v>
      </c>
      <c r="Y199" s="5" t="str">
        <f>IFERROR(__xludf.DUMMYFUNCTION("REGEXEXTRACT(J199, ""^\d+"")"),"1")</f>
        <v>1</v>
      </c>
      <c r="Z199" s="5" t="str">
        <f>IFERROR(__xludf.DUMMYFUNCTION("REGEXEXTRACT(J199, ""[A-Za-z ]+$"")")," Season")</f>
        <v> Season</v>
      </c>
      <c r="AA199" s="5" t="str">
        <f>IFERROR(__xludf.DUMMYFUNCTION("IF(REGEXMATCH(Z199, ""Season""), ""TV Show"", ""Movie"")"),"TV Show")</f>
        <v>TV Show</v>
      </c>
    </row>
    <row r="200">
      <c r="A200" s="1" t="s">
        <v>1359</v>
      </c>
      <c r="B200" s="1" t="s">
        <v>37</v>
      </c>
      <c r="C200" s="1" t="s">
        <v>1360</v>
      </c>
      <c r="D200" s="1" t="s">
        <v>549</v>
      </c>
      <c r="E200" s="1" t="s">
        <v>1361</v>
      </c>
      <c r="F200" s="1" t="s">
        <v>400</v>
      </c>
      <c r="G200" s="1" t="s">
        <v>1327</v>
      </c>
      <c r="H200" s="1">
        <v>2021.0</v>
      </c>
      <c r="I200" s="1" t="s">
        <v>42</v>
      </c>
      <c r="J200" s="1" t="s">
        <v>51</v>
      </c>
      <c r="K200" s="1" t="s">
        <v>1362</v>
      </c>
      <c r="L200" s="1" t="s">
        <v>1363</v>
      </c>
      <c r="M200" s="2" t="s">
        <v>12</v>
      </c>
      <c r="N200" s="4">
        <f t="shared" si="1"/>
        <v>44435</v>
      </c>
      <c r="O200" s="5" t="str">
        <f>IFERROR(__xludf.DUMMYFUNCTION("IF(REGEXMATCH(TRIM(I200), ""^\d+\s*min""), ""Unclassified"", IF(I200 = """", ""NR"", I200))"),"TV-MA")</f>
        <v>TV-MA</v>
      </c>
      <c r="R200" s="5" t="str">
        <f t="shared" si="2"/>
        <v>King Of Boys: The Return Of The King</v>
      </c>
      <c r="S200" s="5" t="str">
        <f>IFERROR(__xludf.DUMMYFUNCTION("""COMPUTED_VALUE"""),"A Leaf Of Faith")</f>
        <v>A Leaf Of Faith</v>
      </c>
      <c r="T200" s="5" t="str">
        <f>IFERROR(__xludf.DUMMYFUNCTION("""COMPUTED_VALUE"""),"France, South Korea, Japan")</f>
        <v>France, South Korea, Japan</v>
      </c>
      <c r="U200" s="5" t="str">
        <f>IFERROR(__xludf.DUMMYFUNCTION("""COMPUTED_VALUE"""),"Robert Zemeckis")</f>
        <v>Robert Zemeckis</v>
      </c>
      <c r="V200" s="5" t="s">
        <v>1364</v>
      </c>
      <c r="W200" s="5" t="str">
        <f t="shared" si="3"/>
        <v>Ali Taner Baltacı</v>
      </c>
      <c r="X200" s="5">
        <f t="shared" si="4"/>
        <v>1</v>
      </c>
      <c r="Y200" s="5" t="str">
        <f>IFERROR(__xludf.DUMMYFUNCTION("REGEXEXTRACT(J200, ""^\d+"")"),"1")</f>
        <v>1</v>
      </c>
      <c r="Z200" s="5" t="str">
        <f>IFERROR(__xludf.DUMMYFUNCTION("REGEXEXTRACT(J200, ""[A-Za-z ]+$"")")," Season")</f>
        <v> Season</v>
      </c>
      <c r="AA200" s="5" t="str">
        <f>IFERROR(__xludf.DUMMYFUNCTION("IF(REGEXMATCH(Z200, ""Season""), ""TV Show"", ""Movie"")"),"TV Show")</f>
        <v>TV Show</v>
      </c>
    </row>
    <row r="201">
      <c r="A201" s="1" t="s">
        <v>1365</v>
      </c>
      <c r="B201" s="1" t="s">
        <v>27</v>
      </c>
      <c r="C201" s="1" t="s">
        <v>1366</v>
      </c>
      <c r="D201" s="1" t="s">
        <v>1367</v>
      </c>
      <c r="E201" s="1" t="s">
        <v>1368</v>
      </c>
      <c r="F201" s="1" t="s">
        <v>63</v>
      </c>
      <c r="G201" s="1" t="s">
        <v>1327</v>
      </c>
      <c r="H201" s="1">
        <v>2006.0</v>
      </c>
      <c r="I201" s="1" t="s">
        <v>97</v>
      </c>
      <c r="J201" s="1" t="s">
        <v>1369</v>
      </c>
      <c r="K201" s="1" t="s">
        <v>583</v>
      </c>
      <c r="L201" s="1" t="s">
        <v>1370</v>
      </c>
      <c r="M201" s="2" t="s">
        <v>12</v>
      </c>
      <c r="N201" s="4">
        <f t="shared" si="1"/>
        <v>44435</v>
      </c>
      <c r="O201" s="5" t="str">
        <f>IFERROR(__xludf.DUMMYFUNCTION("IF(REGEXMATCH(TRIM(I201), ""^\d+\s*min""), ""Unclassified"", IF(I201 = """", ""NR"", I201))"),"TV-14")</f>
        <v>TV-14</v>
      </c>
      <c r="R201" s="5" t="str">
        <f t="shared" si="2"/>
        <v>Koi Aap Sa</v>
      </c>
      <c r="S201" s="5" t="str">
        <f>IFERROR(__xludf.DUMMYFUNCTION("""COMPUTED_VALUE"""),"A Life Of Speed: The Juan Manuel Fangio Story")</f>
        <v>A Life Of Speed: The Juan Manuel Fangio Story</v>
      </c>
      <c r="T201" s="5" t="str">
        <f>IFERROR(__xludf.DUMMYFUNCTION("""COMPUTED_VALUE"""),"France, South Korea, Japan, United States")</f>
        <v>France, South Korea, Japan, United States</v>
      </c>
      <c r="U201" s="5" t="str">
        <f>IFERROR(__xludf.DUMMYFUNCTION("""COMPUTED_VALUE"""),"Todor Chapkanov")</f>
        <v>Todor Chapkanov</v>
      </c>
      <c r="V201" s="5" t="s">
        <v>1371</v>
      </c>
      <c r="W201" s="5" t="str">
        <f t="shared" si="3"/>
        <v>Ali Taner Baltacı, Cem Yılmaz</v>
      </c>
      <c r="X201" s="5">
        <f t="shared" si="4"/>
        <v>1</v>
      </c>
      <c r="Y201" s="5" t="str">
        <f>IFERROR(__xludf.DUMMYFUNCTION("REGEXEXTRACT(J201, ""^\d+"")"),"135")</f>
        <v>135</v>
      </c>
      <c r="Z201" s="5" t="str">
        <f>IFERROR(__xludf.DUMMYFUNCTION("REGEXEXTRACT(J201, ""[A-Za-z ]+$"")")," min")</f>
        <v> min</v>
      </c>
      <c r="AA201" s="5" t="str">
        <f>IFERROR(__xludf.DUMMYFUNCTION("IF(REGEXMATCH(Z201, ""Season""), ""TV Show"", ""Movie"")"),"Movie")</f>
        <v>Movie</v>
      </c>
    </row>
    <row r="202">
      <c r="A202" s="1" t="s">
        <v>1372</v>
      </c>
      <c r="B202" s="1" t="s">
        <v>27</v>
      </c>
      <c r="C202" s="1" t="s">
        <v>1373</v>
      </c>
      <c r="D202" s="1" t="s">
        <v>1374</v>
      </c>
      <c r="E202" s="1" t="s">
        <v>1375</v>
      </c>
      <c r="F202" s="1" t="s">
        <v>63</v>
      </c>
      <c r="G202" s="1" t="s">
        <v>1327</v>
      </c>
      <c r="H202" s="1">
        <v>2004.0</v>
      </c>
      <c r="I202" s="1" t="s">
        <v>97</v>
      </c>
      <c r="J202" s="1" t="s">
        <v>341</v>
      </c>
      <c r="K202" s="1" t="s">
        <v>1376</v>
      </c>
      <c r="L202" s="1" t="s">
        <v>1377</v>
      </c>
      <c r="M202" s="2" t="s">
        <v>12</v>
      </c>
      <c r="N202" s="4">
        <f t="shared" si="1"/>
        <v>44435</v>
      </c>
      <c r="O202" s="5" t="str">
        <f>IFERROR(__xludf.DUMMYFUNCTION("IF(REGEXMATCH(TRIM(I202), ""^\d+\s*min""), ""Unclassified"", IF(I202 = """", ""NR"", I202))"),"TV-14")</f>
        <v>TV-14</v>
      </c>
      <c r="R202" s="5" t="str">
        <f t="shared" si="2"/>
        <v>Krishna Cottage</v>
      </c>
      <c r="S202" s="5" t="str">
        <f>IFERROR(__xludf.DUMMYFUNCTION("""COMPUTED_VALUE"""),"A Lion In The House")</f>
        <v>A Lion In The House</v>
      </c>
      <c r="T202" s="5" t="str">
        <f>IFERROR(__xludf.DUMMYFUNCTION("""COMPUTED_VALUE"""),"France, Switzerland, Spain, United States, United Arab Emirates")</f>
        <v>France, Switzerland, Spain, United States, United Arab Emirates</v>
      </c>
      <c r="U202" s="5" t="str">
        <f>IFERROR(__xludf.DUMMYFUNCTION("""COMPUTED_VALUE"""),"Phil Lord, Christopher Miller")</f>
        <v>Phil Lord, Christopher Miller</v>
      </c>
      <c r="V202" s="5" t="s">
        <v>1378</v>
      </c>
      <c r="W202" s="5" t="str">
        <f t="shared" si="3"/>
        <v>Ali Yorgancıoğlu</v>
      </c>
      <c r="X202" s="5">
        <f t="shared" si="4"/>
        <v>1</v>
      </c>
      <c r="Y202" s="5" t="str">
        <f>IFERROR(__xludf.DUMMYFUNCTION("REGEXEXTRACT(J202, ""^\d+"")"),"124")</f>
        <v>124</v>
      </c>
      <c r="Z202" s="5" t="str">
        <f>IFERROR(__xludf.DUMMYFUNCTION("REGEXEXTRACT(J202, ""[A-Za-z ]+$"")")," min")</f>
        <v> min</v>
      </c>
      <c r="AA202" s="5" t="str">
        <f>IFERROR(__xludf.DUMMYFUNCTION("IF(REGEXMATCH(Z202, ""Season""), ""TV Show"", ""Movie"")"),"Movie")</f>
        <v>Movie</v>
      </c>
    </row>
    <row r="203">
      <c r="A203" s="1" t="s">
        <v>1379</v>
      </c>
      <c r="B203" s="1" t="s">
        <v>27</v>
      </c>
      <c r="C203" s="1" t="s">
        <v>1380</v>
      </c>
      <c r="D203" s="1" t="s">
        <v>1381</v>
      </c>
      <c r="E203" s="1" t="s">
        <v>1382</v>
      </c>
      <c r="F203" s="1" t="s">
        <v>63</v>
      </c>
      <c r="G203" s="1" t="s">
        <v>1327</v>
      </c>
      <c r="H203" s="1">
        <v>2003.0</v>
      </c>
      <c r="I203" s="1" t="s">
        <v>97</v>
      </c>
      <c r="J203" s="1" t="s">
        <v>1383</v>
      </c>
      <c r="K203" s="1" t="s">
        <v>298</v>
      </c>
      <c r="L203" s="1" t="s">
        <v>1384</v>
      </c>
      <c r="M203" s="2" t="s">
        <v>12</v>
      </c>
      <c r="N203" s="4">
        <f t="shared" si="1"/>
        <v>44435</v>
      </c>
      <c r="O203" s="5" t="str">
        <f>IFERROR(__xludf.DUMMYFUNCTION("IF(REGEXMATCH(TRIM(I203), ""^\d+\s*min""), ""Unclassified"", IF(I203 = """", ""NR"", I203))"),"TV-14")</f>
        <v>TV-14</v>
      </c>
      <c r="R203" s="5" t="str">
        <f t="shared" si="2"/>
        <v>Kucch To Hai</v>
      </c>
      <c r="S203" s="5" t="str">
        <f>IFERROR(__xludf.DUMMYFUNCTION("""COMPUTED_VALUE"""),"A Little Chaos")</f>
        <v>A Little Chaos</v>
      </c>
      <c r="T203" s="5" t="str">
        <f>IFERROR(__xludf.DUMMYFUNCTION("""COMPUTED_VALUE"""),"France, United Kingdom")</f>
        <v>France, United Kingdom</v>
      </c>
      <c r="U203" s="5" t="str">
        <f>IFERROR(__xludf.DUMMYFUNCTION("""COMPUTED_VALUE"""),"John Hughes")</f>
        <v>John Hughes</v>
      </c>
      <c r="V203" s="5" t="s">
        <v>1385</v>
      </c>
      <c r="W203" s="5" t="str">
        <f t="shared" si="3"/>
        <v>Alice Filippi</v>
      </c>
      <c r="X203" s="5">
        <f t="shared" si="4"/>
        <v>1</v>
      </c>
      <c r="Y203" s="5" t="str">
        <f>IFERROR(__xludf.DUMMYFUNCTION("REGEXEXTRACT(J203, ""^\d+"")"),"136")</f>
        <v>136</v>
      </c>
      <c r="Z203" s="5" t="str">
        <f>IFERROR(__xludf.DUMMYFUNCTION("REGEXEXTRACT(J203, ""[A-Za-z ]+$"")")," min")</f>
        <v> min</v>
      </c>
      <c r="AA203" s="5" t="str">
        <f>IFERROR(__xludf.DUMMYFUNCTION("IF(REGEXMATCH(Z203, ""Season""), ""TV Show"", ""Movie"")"),"Movie")</f>
        <v>Movie</v>
      </c>
    </row>
    <row r="204">
      <c r="A204" s="1" t="s">
        <v>1386</v>
      </c>
      <c r="B204" s="1" t="s">
        <v>27</v>
      </c>
      <c r="C204" s="1" t="s">
        <v>1387</v>
      </c>
      <c r="D204" s="1" t="s">
        <v>1388</v>
      </c>
      <c r="E204" s="1" t="s">
        <v>1389</v>
      </c>
      <c r="F204" s="1" t="s">
        <v>63</v>
      </c>
      <c r="G204" s="1" t="s">
        <v>1327</v>
      </c>
      <c r="H204" s="1">
        <v>2005.0</v>
      </c>
      <c r="I204" s="1" t="s">
        <v>42</v>
      </c>
      <c r="J204" s="1" t="s">
        <v>1390</v>
      </c>
      <c r="K204" s="1" t="s">
        <v>230</v>
      </c>
      <c r="L204" s="1" t="s">
        <v>1391</v>
      </c>
      <c r="M204" s="2" t="s">
        <v>12</v>
      </c>
      <c r="N204" s="4">
        <f t="shared" si="1"/>
        <v>44435</v>
      </c>
      <c r="O204" s="5" t="str">
        <f>IFERROR(__xludf.DUMMYFUNCTION("IF(REGEXMATCH(TRIM(I204), ""^\d+\s*min""), ""Unclassified"", IF(I204 = """", ""NR"", I204))"),"TV-MA")</f>
        <v>TV-MA</v>
      </c>
      <c r="R204" s="5" t="str">
        <f t="shared" si="2"/>
        <v>Kyaa Kool Hai Hum</v>
      </c>
      <c r="S204" s="5" t="str">
        <f>IFERROR(__xludf.DUMMYFUNCTION("""COMPUTED_VALUE"""),"A Little Help With Carol Burnett")</f>
        <v>A Little Help With Carol Burnett</v>
      </c>
      <c r="T204" s="5" t="str">
        <f>IFERROR(__xludf.DUMMYFUNCTION("""COMPUTED_VALUE"""),"France, United Kingdom, India")</f>
        <v>France, United Kingdom, India</v>
      </c>
      <c r="U204" s="5" t="str">
        <f>IFERROR(__xludf.DUMMYFUNCTION("""COMPUTED_VALUE"""),"Justin Baldoni")</f>
        <v>Justin Baldoni</v>
      </c>
      <c r="V204" s="5" t="s">
        <v>1392</v>
      </c>
      <c r="W204" s="5" t="str">
        <f t="shared" si="3"/>
        <v>Alice Rohrwacher</v>
      </c>
      <c r="X204" s="5">
        <f t="shared" si="4"/>
        <v>1</v>
      </c>
      <c r="Y204" s="5" t="str">
        <f>IFERROR(__xludf.DUMMYFUNCTION("REGEXEXTRACT(J204, ""^\d+"")"),"165")</f>
        <v>165</v>
      </c>
      <c r="Z204" s="5" t="str">
        <f>IFERROR(__xludf.DUMMYFUNCTION("REGEXEXTRACT(J204, ""[A-Za-z ]+$"")")," min")</f>
        <v> min</v>
      </c>
      <c r="AA204" s="5" t="str">
        <f>IFERROR(__xludf.DUMMYFUNCTION("IF(REGEXMATCH(Z204, ""Season""), ""TV Show"", ""Movie"")"),"Movie")</f>
        <v>Movie</v>
      </c>
    </row>
    <row r="205">
      <c r="A205" s="1" t="s">
        <v>1393</v>
      </c>
      <c r="B205" s="1" t="s">
        <v>27</v>
      </c>
      <c r="C205" s="1" t="s">
        <v>1394</v>
      </c>
      <c r="D205" s="1" t="s">
        <v>1395</v>
      </c>
      <c r="E205" s="1" t="s">
        <v>1396</v>
      </c>
      <c r="F205" s="1" t="s">
        <v>63</v>
      </c>
      <c r="G205" s="1" t="s">
        <v>1327</v>
      </c>
      <c r="H205" s="1">
        <v>2016.0</v>
      </c>
      <c r="I205" s="1" t="s">
        <v>42</v>
      </c>
      <c r="J205" s="1" t="s">
        <v>341</v>
      </c>
      <c r="K205" s="1" t="s">
        <v>199</v>
      </c>
      <c r="L205" s="1" t="s">
        <v>1397</v>
      </c>
      <c r="M205" s="2" t="s">
        <v>12</v>
      </c>
      <c r="N205" s="4">
        <f t="shared" si="1"/>
        <v>44435</v>
      </c>
      <c r="O205" s="5" t="str">
        <f>IFERROR(__xludf.DUMMYFUNCTION("IF(REGEXMATCH(TRIM(I205), ""^\d+\s*min""), ""Unclassified"", IF(I205 = """", ""NR"", I205))"),"TV-MA")</f>
        <v>TV-MA</v>
      </c>
      <c r="R205" s="5" t="str">
        <f t="shared" si="2"/>
        <v>Kyaa Kool Hain Hum 3</v>
      </c>
      <c r="S205" s="5" t="str">
        <f>IFERROR(__xludf.DUMMYFUNCTION("""COMPUTED_VALUE"""),"A Little Thing Called First Love")</f>
        <v>A Little Thing Called First Love</v>
      </c>
      <c r="T205" s="5" t="str">
        <f>IFERROR(__xludf.DUMMYFUNCTION("""COMPUTED_VALUE"""),"France, United Kingdom, United States")</f>
        <v>France, United Kingdom, United States</v>
      </c>
      <c r="U205" s="5" t="str">
        <f>IFERROR(__xludf.DUMMYFUNCTION("""COMPUTED_VALUE"""),"Joe Roth")</f>
        <v>Joe Roth</v>
      </c>
      <c r="V205" s="5" t="s">
        <v>655</v>
      </c>
      <c r="W205" s="5" t="str">
        <f t="shared" si="3"/>
        <v>Alice Waddington</v>
      </c>
      <c r="X205" s="5">
        <f t="shared" si="4"/>
        <v>1</v>
      </c>
      <c r="Y205" s="5" t="str">
        <f>IFERROR(__xludf.DUMMYFUNCTION("REGEXEXTRACT(J205, ""^\d+"")"),"124")</f>
        <v>124</v>
      </c>
      <c r="Z205" s="5" t="str">
        <f>IFERROR(__xludf.DUMMYFUNCTION("REGEXEXTRACT(J205, ""[A-Za-z ]+$"")")," min")</f>
        <v> min</v>
      </c>
      <c r="AA205" s="5" t="str">
        <f>IFERROR(__xludf.DUMMYFUNCTION("IF(REGEXMATCH(Z205, ""Season""), ""TV Show"", ""Movie"")"),"Movie")</f>
        <v>Movie</v>
      </c>
    </row>
    <row r="206">
      <c r="A206" s="1" t="s">
        <v>1398</v>
      </c>
      <c r="B206" s="1" t="s">
        <v>27</v>
      </c>
      <c r="C206" s="1" t="s">
        <v>1399</v>
      </c>
      <c r="D206" s="1" t="s">
        <v>1325</v>
      </c>
      <c r="E206" s="1" t="s">
        <v>1400</v>
      </c>
      <c r="F206" s="1" t="s">
        <v>63</v>
      </c>
      <c r="G206" s="1" t="s">
        <v>1327</v>
      </c>
      <c r="H206" s="1">
        <v>2012.0</v>
      </c>
      <c r="I206" s="1" t="s">
        <v>42</v>
      </c>
      <c r="J206" s="1" t="s">
        <v>1383</v>
      </c>
      <c r="K206" s="1" t="s">
        <v>199</v>
      </c>
      <c r="L206" s="1" t="s">
        <v>1401</v>
      </c>
      <c r="M206" s="2" t="s">
        <v>12</v>
      </c>
      <c r="N206" s="4">
        <f t="shared" si="1"/>
        <v>44435</v>
      </c>
      <c r="O206" s="5" t="str">
        <f>IFERROR(__xludf.DUMMYFUNCTION("IF(REGEXMATCH(TRIM(I206), ""^\d+\s*min""), ""Unclassified"", IF(I206 = """", ""NR"", I206))"),"TV-MA")</f>
        <v>TV-MA</v>
      </c>
      <c r="R206" s="5" t="str">
        <f t="shared" si="2"/>
        <v>Kyaa Super Kool Hain Hum</v>
      </c>
      <c r="S206" s="5" t="str">
        <f>IFERROR(__xludf.DUMMYFUNCTION("""COMPUTED_VALUE"""),"A Love So Beautiful")</f>
        <v>A Love So Beautiful</v>
      </c>
      <c r="T206" s="5" t="str">
        <f>IFERROR(__xludf.DUMMYFUNCTION("""COMPUTED_VALUE"""),"France, United States")</f>
        <v>France, United States</v>
      </c>
      <c r="U206" s="5" t="str">
        <f>IFERROR(__xludf.DUMMYFUNCTION("""COMPUTED_VALUE"""),"Mark Helfrich")</f>
        <v>Mark Helfrich</v>
      </c>
      <c r="V206" s="5" t="s">
        <v>1402</v>
      </c>
      <c r="W206" s="5" t="str">
        <f t="shared" si="3"/>
        <v>Alice Wu</v>
      </c>
      <c r="X206" s="5">
        <f t="shared" si="4"/>
        <v>1</v>
      </c>
      <c r="Y206" s="5" t="str">
        <f>IFERROR(__xludf.DUMMYFUNCTION("REGEXEXTRACT(J206, ""^\d+"")"),"136")</f>
        <v>136</v>
      </c>
      <c r="Z206" s="5" t="str">
        <f>IFERROR(__xludf.DUMMYFUNCTION("REGEXEXTRACT(J206, ""[A-Za-z ]+$"")")," min")</f>
        <v> min</v>
      </c>
      <c r="AA206" s="5" t="str">
        <f>IFERROR(__xludf.DUMMYFUNCTION("IF(REGEXMATCH(Z206, ""Season""), ""TV Show"", ""Movie"")"),"Movie")</f>
        <v>Movie</v>
      </c>
    </row>
    <row r="207">
      <c r="A207" s="1" t="s">
        <v>1403</v>
      </c>
      <c r="B207" s="1" t="s">
        <v>27</v>
      </c>
      <c r="C207" s="1" t="s">
        <v>1404</v>
      </c>
      <c r="D207" s="1" t="s">
        <v>1405</v>
      </c>
      <c r="E207" s="1" t="s">
        <v>1406</v>
      </c>
      <c r="F207" s="1" t="s">
        <v>63</v>
      </c>
      <c r="G207" s="1" t="s">
        <v>1327</v>
      </c>
      <c r="H207" s="1">
        <v>2001.0</v>
      </c>
      <c r="I207" s="1" t="s">
        <v>97</v>
      </c>
      <c r="J207" s="1" t="s">
        <v>1407</v>
      </c>
      <c r="K207" s="1" t="s">
        <v>1408</v>
      </c>
      <c r="L207" s="1" t="s">
        <v>1409</v>
      </c>
      <c r="M207" s="2" t="s">
        <v>12</v>
      </c>
      <c r="N207" s="4">
        <f t="shared" si="1"/>
        <v>44435</v>
      </c>
      <c r="O207" s="5" t="str">
        <f>IFERROR(__xludf.DUMMYFUNCTION("IF(REGEXMATCH(TRIM(I207), ""^\d+\s*min""), ""Unclassified"", IF(I207 = """", ""NR"", I207))"),"TV-14")</f>
        <v>TV-14</v>
      </c>
      <c r="R207" s="5" t="str">
        <f t="shared" si="2"/>
        <v>Kyo Kii... Main Jhuth Nahin Bolta</v>
      </c>
      <c r="S207" s="5" t="str">
        <f>IFERROR(__xludf.DUMMYFUNCTION("""COMPUTED_VALUE"""),"A Love Song For Latasha")</f>
        <v>A Love Song For Latasha</v>
      </c>
      <c r="T207" s="5" t="str">
        <f>IFERROR(__xludf.DUMMYFUNCTION("""COMPUTED_VALUE"""),"France, United States, Canada")</f>
        <v>France, United States, Canada</v>
      </c>
      <c r="U207" s="5" t="str">
        <f>IFERROR(__xludf.DUMMYFUNCTION("""COMPUTED_VALUE"""),"Mag Hsu, Hsu Chih-Yen")</f>
        <v>Mag Hsu, Hsu Chih-Yen</v>
      </c>
      <c r="V207" s="5" t="s">
        <v>1410</v>
      </c>
      <c r="W207" s="5" t="str">
        <f t="shared" si="3"/>
        <v>Alik Sakharov</v>
      </c>
      <c r="X207" s="5">
        <f t="shared" si="4"/>
        <v>1</v>
      </c>
      <c r="Y207" s="5" t="str">
        <f>IFERROR(__xludf.DUMMYFUNCTION("REGEXEXTRACT(J207, ""^\d+"")"),"150")</f>
        <v>150</v>
      </c>
      <c r="Z207" s="5" t="str">
        <f>IFERROR(__xludf.DUMMYFUNCTION("REGEXEXTRACT(J207, ""[A-Za-z ]+$"")")," min")</f>
        <v> min</v>
      </c>
      <c r="AA207" s="5" t="str">
        <f>IFERROR(__xludf.DUMMYFUNCTION("IF(REGEXMATCH(Z207, ""Season""), ""TV Show"", ""Movie"")"),"Movie")</f>
        <v>Movie</v>
      </c>
    </row>
    <row r="208">
      <c r="A208" s="1" t="s">
        <v>1411</v>
      </c>
      <c r="B208" s="1" t="s">
        <v>27</v>
      </c>
      <c r="C208" s="1" t="s">
        <v>1412</v>
      </c>
      <c r="D208" s="1" t="s">
        <v>1413</v>
      </c>
      <c r="E208" s="1" t="s">
        <v>1414</v>
      </c>
      <c r="F208" s="1" t="s">
        <v>63</v>
      </c>
      <c r="G208" s="1" t="s">
        <v>1327</v>
      </c>
      <c r="H208" s="1">
        <v>2010.0</v>
      </c>
      <c r="I208" s="1" t="s">
        <v>42</v>
      </c>
      <c r="J208" s="1" t="s">
        <v>1243</v>
      </c>
      <c r="K208" s="1" t="s">
        <v>89</v>
      </c>
      <c r="L208" s="1" t="s">
        <v>1415</v>
      </c>
      <c r="M208" s="2" t="s">
        <v>12</v>
      </c>
      <c r="N208" s="4">
        <f t="shared" si="1"/>
        <v>44435</v>
      </c>
      <c r="O208" s="5" t="str">
        <f>IFERROR(__xludf.DUMMYFUNCTION("IF(REGEXMATCH(TRIM(I208), ""^\d+\s*min""), ""Unclassified"", IF(I208 = """", ""NR"", I208))"),"TV-MA")</f>
        <v>TV-MA</v>
      </c>
      <c r="R208" s="5" t="str">
        <f t="shared" si="2"/>
        <v>Lsd: Love, Sex Aur Dhokha</v>
      </c>
      <c r="S208" s="5" t="str">
        <f>IFERROR(__xludf.DUMMYFUNCTION("""COMPUTED_VALUE"""),"A Love Story")</f>
        <v>A Love Story</v>
      </c>
      <c r="T208" s="5" t="str">
        <f>IFERROR(__xludf.DUMMYFUNCTION("""COMPUTED_VALUE"""),"France, United States, Mexico")</f>
        <v>France, United States, Mexico</v>
      </c>
      <c r="U208" s="5" t="str">
        <f>IFERROR(__xludf.DUMMYFUNCTION("""COMPUTED_VALUE"""),"Christopher Nolan")</f>
        <v>Christopher Nolan</v>
      </c>
      <c r="V208" s="5" t="s">
        <v>1416</v>
      </c>
      <c r="W208" s="5" t="str">
        <f t="shared" si="3"/>
        <v>Alina Teodorescu</v>
      </c>
      <c r="X208" s="5">
        <f t="shared" si="4"/>
        <v>1</v>
      </c>
      <c r="Y208" s="5" t="str">
        <f>IFERROR(__xludf.DUMMYFUNCTION("REGEXEXTRACT(J208, ""^\d+"")"),"112")</f>
        <v>112</v>
      </c>
      <c r="Z208" s="5" t="str">
        <f>IFERROR(__xludf.DUMMYFUNCTION("REGEXEXTRACT(J208, ""[A-Za-z ]+$"")")," min")</f>
        <v> min</v>
      </c>
      <c r="AA208" s="5" t="str">
        <f>IFERROR(__xludf.DUMMYFUNCTION("IF(REGEXMATCH(Z208, ""Season""), ""TV Show"", ""Movie"")"),"Movie")</f>
        <v>Movie</v>
      </c>
    </row>
    <row r="209">
      <c r="A209" s="1" t="s">
        <v>1417</v>
      </c>
      <c r="B209" s="1" t="s">
        <v>27</v>
      </c>
      <c r="C209" s="1" t="s">
        <v>1418</v>
      </c>
      <c r="D209" s="1" t="s">
        <v>1419</v>
      </c>
      <c r="E209" s="1" t="s">
        <v>1420</v>
      </c>
      <c r="F209" s="1" t="s">
        <v>63</v>
      </c>
      <c r="G209" s="1" t="s">
        <v>1327</v>
      </c>
      <c r="H209" s="1">
        <v>2008.0</v>
      </c>
      <c r="I209" s="1" t="s">
        <v>97</v>
      </c>
      <c r="J209" s="1" t="s">
        <v>804</v>
      </c>
      <c r="K209" s="1" t="s">
        <v>1421</v>
      </c>
      <c r="L209" s="1" t="s">
        <v>1422</v>
      </c>
      <c r="M209" s="2" t="s">
        <v>12</v>
      </c>
      <c r="N209" s="4">
        <f t="shared" si="1"/>
        <v>44435</v>
      </c>
      <c r="O209" s="5" t="str">
        <f>IFERROR(__xludf.DUMMYFUNCTION("IF(REGEXMATCH(TRIM(I209), ""^\d+\s*min""), ""Unclassified"", IF(I209 = """", ""NR"", I209))"),"TV-14")</f>
        <v>TV-14</v>
      </c>
      <c r="R209" s="5" t="str">
        <f t="shared" si="2"/>
        <v>Mission Istaanbul: Darr Ke Aagey Jeet Hai</v>
      </c>
      <c r="S209" s="5" t="str">
        <f>IFERROR(__xludf.DUMMYFUNCTION("""COMPUTED_VALUE"""),"A Man Called God")</f>
        <v>A Man Called God</v>
      </c>
      <c r="T209" s="5" t="str">
        <f>IFERROR(__xludf.DUMMYFUNCTION("""COMPUTED_VALUE"""),"France, United States, United Kingdom, Canada")</f>
        <v>France, United States, United Kingdom, Canada</v>
      </c>
      <c r="U209" s="5" t="str">
        <f>IFERROR(__xludf.DUMMYFUNCTION("""COMPUTED_VALUE"""),"Paul Thomas Anderson")</f>
        <v>Paul Thomas Anderson</v>
      </c>
      <c r="V209" s="5" t="s">
        <v>1423</v>
      </c>
      <c r="W209" s="5" t="str">
        <f t="shared" si="3"/>
        <v>Alison E. Rose</v>
      </c>
      <c r="X209" s="5">
        <f t="shared" si="4"/>
        <v>1</v>
      </c>
      <c r="Y209" s="5" t="str">
        <f>IFERROR(__xludf.DUMMYFUNCTION("REGEXEXTRACT(J209, ""^\d+"")"),"119")</f>
        <v>119</v>
      </c>
      <c r="Z209" s="5" t="str">
        <f>IFERROR(__xludf.DUMMYFUNCTION("REGEXEXTRACT(J209, ""[A-Za-z ]+$"")")," min")</f>
        <v> min</v>
      </c>
      <c r="AA209" s="5" t="str">
        <f>IFERROR(__xludf.DUMMYFUNCTION("IF(REGEXMATCH(Z209, ""Season""), ""TV Show"", ""Movie"")"),"Movie")</f>
        <v>Movie</v>
      </c>
    </row>
    <row r="210">
      <c r="A210" s="1" t="s">
        <v>1424</v>
      </c>
      <c r="B210" s="1" t="s">
        <v>27</v>
      </c>
      <c r="C210" s="1" t="s">
        <v>1425</v>
      </c>
      <c r="D210" s="1" t="s">
        <v>1426</v>
      </c>
      <c r="E210" s="1" t="s">
        <v>1427</v>
      </c>
      <c r="F210" s="1" t="s">
        <v>63</v>
      </c>
      <c r="G210" s="1" t="s">
        <v>1327</v>
      </c>
      <c r="H210" s="1">
        <v>2010.0</v>
      </c>
      <c r="I210" s="1" t="s">
        <v>97</v>
      </c>
      <c r="J210" s="1" t="s">
        <v>1428</v>
      </c>
      <c r="K210" s="1" t="s">
        <v>1429</v>
      </c>
      <c r="L210" s="1" t="s">
        <v>1430</v>
      </c>
      <c r="M210" s="2" t="s">
        <v>12</v>
      </c>
      <c r="N210" s="4">
        <f t="shared" si="1"/>
        <v>44435</v>
      </c>
      <c r="O210" s="5" t="str">
        <f>IFERROR(__xludf.DUMMYFUNCTION("IF(REGEXMATCH(TRIM(I210), ""^\d+\s*min""), ""Unclassified"", IF(I210 = """", ""NR"", I210))"),"TV-14")</f>
        <v>TV-14</v>
      </c>
      <c r="R210" s="5" t="str">
        <f t="shared" si="2"/>
        <v>Once Upon A Time In Mumbaai</v>
      </c>
      <c r="S210" s="5" t="str">
        <f>IFERROR(__xludf.DUMMYFUNCTION("""COMPUTED_VALUE"""),"A Man For The Week End")</f>
        <v>A Man For The Week End</v>
      </c>
      <c r="T210" s="5" t="str">
        <f>IFERROR(__xludf.DUMMYFUNCTION("""COMPUTED_VALUE"""),"Georgia")</f>
        <v>Georgia</v>
      </c>
      <c r="U210" s="5" t="str">
        <f>IFERROR(__xludf.DUMMYFUNCTION("""COMPUTED_VALUE"""),"Nick Castle")</f>
        <v>Nick Castle</v>
      </c>
      <c r="V210" s="5" t="s">
        <v>1431</v>
      </c>
      <c r="W210" s="5" t="str">
        <f t="shared" si="3"/>
        <v>Alison Klayman</v>
      </c>
      <c r="X210" s="5">
        <f t="shared" si="4"/>
        <v>2</v>
      </c>
      <c r="Y210" s="5" t="str">
        <f>IFERROR(__xludf.DUMMYFUNCTION("REGEXEXTRACT(J210, ""^\d+"")"),"133")</f>
        <v>133</v>
      </c>
      <c r="Z210" s="5" t="str">
        <f>IFERROR(__xludf.DUMMYFUNCTION("REGEXEXTRACT(J210, ""[A-Za-z ]+$"")")," min")</f>
        <v> min</v>
      </c>
      <c r="AA210" s="5" t="str">
        <f>IFERROR(__xludf.DUMMYFUNCTION("IF(REGEXMATCH(Z210, ""Season""), ""TV Show"", ""Movie"")"),"Movie")</f>
        <v>Movie</v>
      </c>
    </row>
    <row r="211">
      <c r="A211" s="1" t="s">
        <v>1432</v>
      </c>
      <c r="B211" s="1" t="s">
        <v>27</v>
      </c>
      <c r="C211" s="1" t="s">
        <v>1433</v>
      </c>
      <c r="D211" s="1" t="s">
        <v>1426</v>
      </c>
      <c r="E211" s="1" t="s">
        <v>1434</v>
      </c>
      <c r="F211" s="1" t="s">
        <v>63</v>
      </c>
      <c r="G211" s="1" t="s">
        <v>1327</v>
      </c>
      <c r="H211" s="1">
        <v>2013.0</v>
      </c>
      <c r="I211" s="1" t="s">
        <v>97</v>
      </c>
      <c r="J211" s="1" t="s">
        <v>950</v>
      </c>
      <c r="K211" s="1" t="s">
        <v>1429</v>
      </c>
      <c r="L211" s="1" t="s">
        <v>1435</v>
      </c>
      <c r="M211" s="2" t="s">
        <v>12</v>
      </c>
      <c r="N211" s="4">
        <f t="shared" si="1"/>
        <v>44435</v>
      </c>
      <c r="O211" s="5" t="str">
        <f>IFERROR(__xludf.DUMMYFUNCTION("IF(REGEXMATCH(TRIM(I211), ""^\d+\s*min""), ""Unclassified"", IF(I211 = """", ""NR"", I211))"),"TV-14")</f>
        <v>TV-14</v>
      </c>
      <c r="R211" s="5" t="str">
        <f t="shared" si="2"/>
        <v>Once Upon A Time In Mumbai Dobaara!</v>
      </c>
      <c r="S211" s="5" t="str">
        <f>IFERROR(__xludf.DUMMYFUNCTION("""COMPUTED_VALUE"""),"A Mighty Team")</f>
        <v>A Mighty Team</v>
      </c>
      <c r="T211" s="5" t="str">
        <f>IFERROR(__xludf.DUMMYFUNCTION("""COMPUTED_VALUE"""),"Georgia, Germany, France")</f>
        <v>Georgia, Germany, France</v>
      </c>
      <c r="U211" s="5" t="str">
        <f>IFERROR(__xludf.DUMMYFUNCTION("""COMPUTED_VALUE"""),"Howard Zieff")</f>
        <v>Howard Zieff</v>
      </c>
      <c r="V211" s="5" t="s">
        <v>1436</v>
      </c>
      <c r="W211" s="5" t="str">
        <f t="shared" si="3"/>
        <v>Alison Maclean</v>
      </c>
      <c r="X211" s="5">
        <f t="shared" si="4"/>
        <v>1</v>
      </c>
      <c r="Y211" s="5" t="str">
        <f>IFERROR(__xludf.DUMMYFUNCTION("REGEXEXTRACT(J211, ""^\d+"")"),"142")</f>
        <v>142</v>
      </c>
      <c r="Z211" s="5" t="str">
        <f>IFERROR(__xludf.DUMMYFUNCTION("REGEXEXTRACT(J211, ""[A-Za-z ]+$"")")," min")</f>
        <v> min</v>
      </c>
      <c r="AA211" s="5" t="str">
        <f>IFERROR(__xludf.DUMMYFUNCTION("IF(REGEXMATCH(Z211, ""Season""), ""TV Show"", ""Movie"")"),"Movie")</f>
        <v>Movie</v>
      </c>
    </row>
    <row r="212">
      <c r="A212" s="1" t="s">
        <v>1437</v>
      </c>
      <c r="B212" s="1" t="s">
        <v>27</v>
      </c>
      <c r="C212" s="1" t="s">
        <v>1438</v>
      </c>
      <c r="D212" s="1" t="s">
        <v>1439</v>
      </c>
      <c r="E212" s="1" t="s">
        <v>1440</v>
      </c>
      <c r="F212" s="1" t="s">
        <v>63</v>
      </c>
      <c r="G212" s="1" t="s">
        <v>1327</v>
      </c>
      <c r="H212" s="1">
        <v>2011.0</v>
      </c>
      <c r="I212" s="1" t="s">
        <v>42</v>
      </c>
      <c r="J212" s="1" t="s">
        <v>454</v>
      </c>
      <c r="K212" s="1" t="s">
        <v>1441</v>
      </c>
      <c r="L212" s="1" t="s">
        <v>1442</v>
      </c>
      <c r="M212" s="2" t="s">
        <v>12</v>
      </c>
      <c r="N212" s="4">
        <f t="shared" si="1"/>
        <v>44435</v>
      </c>
      <c r="O212" s="5" t="str">
        <f>IFERROR(__xludf.DUMMYFUNCTION("IF(REGEXMATCH(TRIM(I212), ""^\d+\s*min""), ""Unclassified"", IF(I212 = """", ""NR"", I212))"),"TV-MA")</f>
        <v>TV-MA</v>
      </c>
      <c r="R212" s="5" t="str">
        <f t="shared" si="2"/>
        <v>Ragini Mms</v>
      </c>
      <c r="S212" s="5" t="str">
        <f>IFERROR(__xludf.DUMMYFUNCTION("""COMPUTED_VALUE"""),"A Mission In An Old Movie")</f>
        <v>A Mission In An Old Movie</v>
      </c>
      <c r="T212" s="5" t="str">
        <f>IFERROR(__xludf.DUMMYFUNCTION("""COMPUTED_VALUE"""),"Germany")</f>
        <v>Germany</v>
      </c>
      <c r="U212" s="5" t="str">
        <f>IFERROR(__xludf.DUMMYFUNCTION("""COMPUTED_VALUE"""),"David Feiss")</f>
        <v>David Feiss</v>
      </c>
      <c r="V212" s="5" t="s">
        <v>1443</v>
      </c>
      <c r="W212" s="5" t="str">
        <f t="shared" si="3"/>
        <v>Alistair Legrand</v>
      </c>
      <c r="X212" s="5">
        <f t="shared" si="4"/>
        <v>2</v>
      </c>
      <c r="Y212" s="5" t="str">
        <f>IFERROR(__xludf.DUMMYFUNCTION("REGEXEXTRACT(J212, ""^\d+"")"),"93")</f>
        <v>93</v>
      </c>
      <c r="Z212" s="5" t="str">
        <f>IFERROR(__xludf.DUMMYFUNCTION("REGEXEXTRACT(J212, ""[A-Za-z ]+$"")")," min")</f>
        <v> min</v>
      </c>
      <c r="AA212" s="5" t="str">
        <f>IFERROR(__xludf.DUMMYFUNCTION("IF(REGEXMATCH(Z212, ""Season""), ""TV Show"", ""Movie"")"),"Movie")</f>
        <v>Movie</v>
      </c>
    </row>
    <row r="213">
      <c r="A213" s="1" t="s">
        <v>1444</v>
      </c>
      <c r="B213" s="1" t="s">
        <v>27</v>
      </c>
      <c r="C213" s="1" t="s">
        <v>1445</v>
      </c>
      <c r="D213" s="1" t="s">
        <v>1446</v>
      </c>
      <c r="E213" s="1" t="s">
        <v>1447</v>
      </c>
      <c r="F213" s="1" t="s">
        <v>63</v>
      </c>
      <c r="G213" s="1" t="s">
        <v>1327</v>
      </c>
      <c r="H213" s="1">
        <v>2014.0</v>
      </c>
      <c r="I213" s="1" t="s">
        <v>42</v>
      </c>
      <c r="J213" s="1" t="s">
        <v>519</v>
      </c>
      <c r="K213" s="1" t="s">
        <v>1441</v>
      </c>
      <c r="L213" s="1" t="s">
        <v>1448</v>
      </c>
      <c r="M213" s="2" t="s">
        <v>12</v>
      </c>
      <c r="N213" s="4">
        <f t="shared" si="1"/>
        <v>44435</v>
      </c>
      <c r="O213" s="5" t="str">
        <f>IFERROR(__xludf.DUMMYFUNCTION("IF(REGEXMATCH(TRIM(I213), ""^\d+\s*min""), ""Unclassified"", IF(I213 = """", ""NR"", I213))"),"TV-MA")</f>
        <v>TV-MA</v>
      </c>
      <c r="R213" s="5" t="str">
        <f t="shared" si="2"/>
        <v>Ragini Mms 2</v>
      </c>
      <c r="S213" s="5" t="str">
        <f>IFERROR(__xludf.DUMMYFUNCTION("""COMPUTED_VALUE"""),"A Monster Calls")</f>
        <v>A Monster Calls</v>
      </c>
      <c r="T213" s="5" t="str">
        <f>IFERROR(__xludf.DUMMYFUNCTION("""COMPUTED_VALUE"""),"Germany, Australia")</f>
        <v>Germany, Australia</v>
      </c>
      <c r="U213" s="5" t="str">
        <f>IFERROR(__xludf.DUMMYFUNCTION("""COMPUTED_VALUE"""),"David Gordon Green")</f>
        <v>David Gordon Green</v>
      </c>
      <c r="V213" s="5" t="s">
        <v>1449</v>
      </c>
      <c r="W213" s="5" t="str">
        <f t="shared" si="3"/>
        <v>Allan Ungar</v>
      </c>
      <c r="X213" s="5">
        <f t="shared" si="4"/>
        <v>1</v>
      </c>
      <c r="Y213" s="5" t="str">
        <f>IFERROR(__xludf.DUMMYFUNCTION("REGEXEXTRACT(J213, ""^\d+"")"),"113")</f>
        <v>113</v>
      </c>
      <c r="Z213" s="5" t="str">
        <f>IFERROR(__xludf.DUMMYFUNCTION("REGEXEXTRACT(J213, ""[A-Za-z ]+$"")")," min")</f>
        <v> min</v>
      </c>
      <c r="AA213" s="5" t="str">
        <f>IFERROR(__xludf.DUMMYFUNCTION("IF(REGEXMATCH(Z213, ""Season""), ""TV Show"", ""Movie"")"),"Movie")</f>
        <v>Movie</v>
      </c>
    </row>
    <row r="214">
      <c r="A214" s="1" t="s">
        <v>1450</v>
      </c>
      <c r="B214" s="1" t="s">
        <v>37</v>
      </c>
      <c r="C214" s="1" t="s">
        <v>1451</v>
      </c>
      <c r="E214" s="1" t="s">
        <v>1452</v>
      </c>
      <c r="F214" s="1" t="s">
        <v>1453</v>
      </c>
      <c r="G214" s="1" t="s">
        <v>1327</v>
      </c>
      <c r="H214" s="1">
        <v>2016.0</v>
      </c>
      <c r="I214" s="1" t="s">
        <v>42</v>
      </c>
      <c r="J214" s="1" t="s">
        <v>43</v>
      </c>
      <c r="K214" s="1" t="s">
        <v>402</v>
      </c>
      <c r="L214" s="1" t="s">
        <v>1454</v>
      </c>
      <c r="M214" s="2" t="s">
        <v>12</v>
      </c>
      <c r="N214" s="4">
        <f t="shared" si="1"/>
        <v>44435</v>
      </c>
      <c r="O214" s="5" t="str">
        <f>IFERROR(__xludf.DUMMYFUNCTION("IF(REGEXMATCH(TRIM(I214), ""^\d+\s*min""), ""Unclassified"", IF(I214 = """", ""NR"", I214))"),"TV-MA")</f>
        <v>TV-MA</v>
      </c>
      <c r="R214" s="5" t="str">
        <f t="shared" si="2"/>
        <v>Rebellion</v>
      </c>
      <c r="S214" s="5" t="str">
        <f>IFERROR(__xludf.DUMMYFUNCTION("""COMPUTED_VALUE"""),"A Most Violent Year")</f>
        <v>A Most Violent Year</v>
      </c>
      <c r="T214" s="5" t="str">
        <f>IFERROR(__xludf.DUMMYFUNCTION("""COMPUTED_VALUE"""),"Germany, Australia, France, China")</f>
        <v>Germany, Australia, France, China</v>
      </c>
      <c r="U214" s="5" t="str">
        <f>IFERROR(__xludf.DUMMYFUNCTION("""COMPUTED_VALUE"""),"Jorge Blanco")</f>
        <v>Jorge Blanco</v>
      </c>
      <c r="V214" s="5" t="s">
        <v>1455</v>
      </c>
      <c r="W214" s="5" t="str">
        <f t="shared" si="3"/>
        <v>Allen Coulter</v>
      </c>
      <c r="X214" s="5">
        <f t="shared" si="4"/>
        <v>1</v>
      </c>
      <c r="Y214" s="5" t="str">
        <f>IFERROR(__xludf.DUMMYFUNCTION("REGEXEXTRACT(J214, ""^\d+"")"),"2")</f>
        <v>2</v>
      </c>
      <c r="Z214" s="5" t="str">
        <f>IFERROR(__xludf.DUMMYFUNCTION("REGEXEXTRACT(J214, ""[A-Za-z ]+$"")")," Seasons")</f>
        <v> Seasons</v>
      </c>
      <c r="AA214" s="5" t="str">
        <f>IFERROR(__xludf.DUMMYFUNCTION("IF(REGEXMATCH(Z214, ""Season""), ""TV Show"", ""Movie"")"),"TV Show")</f>
        <v>TV Show</v>
      </c>
    </row>
    <row r="215">
      <c r="A215" s="1" t="s">
        <v>1456</v>
      </c>
      <c r="B215" s="1" t="s">
        <v>37</v>
      </c>
      <c r="C215" s="1" t="s">
        <v>1457</v>
      </c>
      <c r="E215" s="1" t="s">
        <v>1458</v>
      </c>
      <c r="G215" s="1" t="s">
        <v>1327</v>
      </c>
      <c r="H215" s="1">
        <v>2021.0</v>
      </c>
      <c r="I215" s="1" t="s">
        <v>136</v>
      </c>
      <c r="J215" s="1" t="s">
        <v>276</v>
      </c>
      <c r="K215" s="1" t="s">
        <v>507</v>
      </c>
      <c r="L215" s="1" t="s">
        <v>1459</v>
      </c>
      <c r="M215" s="2" t="s">
        <v>12</v>
      </c>
      <c r="N215" s="4">
        <f t="shared" si="1"/>
        <v>44435</v>
      </c>
      <c r="O215" s="5" t="str">
        <f>IFERROR(__xludf.DUMMYFUNCTION("IF(REGEXMATCH(TRIM(I215), ""^\d+\s*min""), ""Unclassified"", IF(I215 = """", ""NR"", I215))"),"TV-PG")</f>
        <v>TV-PG</v>
      </c>
      <c r="R215" s="5" t="str">
        <f t="shared" si="2"/>
        <v>Ride On Time</v>
      </c>
      <c r="S215" s="5" t="str">
        <f>IFERROR(__xludf.DUMMYFUNCTION("""COMPUTED_VALUE"""),"A Murder In The Park")</f>
        <v>A Murder In The Park</v>
      </c>
      <c r="T215" s="5" t="str">
        <f>IFERROR(__xludf.DUMMYFUNCTION("""COMPUTED_VALUE"""),"Germany, Belgium")</f>
        <v>Germany, Belgium</v>
      </c>
      <c r="U215" s="5" t="str">
        <f>IFERROR(__xludf.DUMMYFUNCTION("""COMPUTED_VALUE"""),"Zara Hayes")</f>
        <v>Zara Hayes</v>
      </c>
      <c r="V215" s="5" t="s">
        <v>1460</v>
      </c>
      <c r="W215" s="5" t="str">
        <f t="shared" si="3"/>
        <v>Ally Pankiw</v>
      </c>
      <c r="X215" s="5">
        <f t="shared" si="4"/>
        <v>1</v>
      </c>
      <c r="Y215" s="5" t="str">
        <f>IFERROR(__xludf.DUMMYFUNCTION("REGEXEXTRACT(J215, ""^\d+"")"),"3")</f>
        <v>3</v>
      </c>
      <c r="Z215" s="5" t="str">
        <f>IFERROR(__xludf.DUMMYFUNCTION("REGEXEXTRACT(J215, ""[A-Za-z ]+$"")")," Seasons")</f>
        <v> Seasons</v>
      </c>
      <c r="AA215" s="5" t="str">
        <f>IFERROR(__xludf.DUMMYFUNCTION("IF(REGEXMATCH(Z215, ""Season""), ""TV Show"", ""Movie"")"),"TV Show")</f>
        <v>TV Show</v>
      </c>
    </row>
    <row r="216">
      <c r="A216" s="1" t="s">
        <v>1461</v>
      </c>
      <c r="B216" s="1" t="s">
        <v>27</v>
      </c>
      <c r="C216" s="1" t="s">
        <v>1462</v>
      </c>
      <c r="D216" s="1" t="s">
        <v>1463</v>
      </c>
      <c r="E216" s="1" t="s">
        <v>1464</v>
      </c>
      <c r="G216" s="1" t="s">
        <v>1327</v>
      </c>
      <c r="H216" s="1">
        <v>2021.0</v>
      </c>
      <c r="I216" s="1" t="s">
        <v>378</v>
      </c>
      <c r="J216" s="1" t="s">
        <v>341</v>
      </c>
      <c r="K216" s="1" t="s">
        <v>1066</v>
      </c>
      <c r="L216" s="1" t="s">
        <v>1465</v>
      </c>
      <c r="M216" s="2" t="s">
        <v>12</v>
      </c>
      <c r="N216" s="4">
        <f t="shared" si="1"/>
        <v>44435</v>
      </c>
      <c r="O216" s="5" t="str">
        <f>IFERROR(__xludf.DUMMYFUNCTION("IF(REGEXMATCH(TRIM(I216), ""^\d+\s*min""), ""Unclassified"", IF(I216 = """", ""NR"", I216))"),"R")</f>
        <v>R</v>
      </c>
      <c r="R216" s="5" t="str">
        <f t="shared" si="2"/>
        <v>Sas: Rise Of The Black Swan</v>
      </c>
      <c r="S216" s="5" t="str">
        <f>IFERROR(__xludf.DUMMYFUNCTION("""COMPUTED_VALUE"""),"A New Capitalism")</f>
        <v>A New Capitalism</v>
      </c>
      <c r="T216" s="5" t="str">
        <f>IFERROR(__xludf.DUMMYFUNCTION("""COMPUTED_VALUE"""),"Germany, Canada, United States")</f>
        <v>Germany, Canada, United States</v>
      </c>
      <c r="U216" s="5" t="str">
        <f>IFERROR(__xludf.DUMMYFUNCTION("""COMPUTED_VALUE"""),"Gary Ross")</f>
        <v>Gary Ross</v>
      </c>
      <c r="V216" s="5" t="s">
        <v>1466</v>
      </c>
      <c r="W216" s="5" t="str">
        <f t="shared" si="3"/>
        <v>Alma Har'El</v>
      </c>
      <c r="X216" s="5">
        <f t="shared" si="4"/>
        <v>1</v>
      </c>
      <c r="Y216" s="5" t="str">
        <f>IFERROR(__xludf.DUMMYFUNCTION("REGEXEXTRACT(J216, ""^\d+"")"),"124")</f>
        <v>124</v>
      </c>
      <c r="Z216" s="5" t="str">
        <f>IFERROR(__xludf.DUMMYFUNCTION("REGEXEXTRACT(J216, ""[A-Za-z ]+$"")")," min")</f>
        <v> min</v>
      </c>
      <c r="AA216" s="5" t="str">
        <f>IFERROR(__xludf.DUMMYFUNCTION("IF(REGEXMATCH(Z216, ""Season""), ""TV Show"", ""Movie"")"),"Movie")</f>
        <v>Movie</v>
      </c>
    </row>
    <row r="217">
      <c r="A217" s="1" t="s">
        <v>1467</v>
      </c>
      <c r="B217" s="1" t="s">
        <v>27</v>
      </c>
      <c r="C217" s="1" t="s">
        <v>1468</v>
      </c>
      <c r="D217" s="1" t="s">
        <v>1419</v>
      </c>
      <c r="E217" s="1" t="s">
        <v>1469</v>
      </c>
      <c r="F217" s="1" t="s">
        <v>63</v>
      </c>
      <c r="G217" s="1" t="s">
        <v>1327</v>
      </c>
      <c r="H217" s="1">
        <v>2007.0</v>
      </c>
      <c r="I217" s="1" t="s">
        <v>42</v>
      </c>
      <c r="J217" s="1" t="s">
        <v>349</v>
      </c>
      <c r="K217" s="1" t="s">
        <v>306</v>
      </c>
      <c r="L217" s="1" t="s">
        <v>1470</v>
      </c>
      <c r="M217" s="2" t="s">
        <v>12</v>
      </c>
      <c r="N217" s="4">
        <f t="shared" si="1"/>
        <v>44435</v>
      </c>
      <c r="O217" s="5" t="str">
        <f>IFERROR(__xludf.DUMMYFUNCTION("IF(REGEXMATCH(TRIM(I217), ""^\d+\s*min""), ""Unclassified"", IF(I217 = """", ""NR"", I217))"),"TV-MA")</f>
        <v>TV-MA</v>
      </c>
      <c r="R217" s="5" t="str">
        <f t="shared" si="2"/>
        <v>Shootout At Lokhandwala</v>
      </c>
      <c r="S217" s="5" t="str">
        <f>IFERROR(__xludf.DUMMYFUNCTION("""COMPUTED_VALUE"""),"A New York Christmas Wedding")</f>
        <v>A New York Christmas Wedding</v>
      </c>
      <c r="T217" s="5" t="str">
        <f>IFERROR(__xludf.DUMMYFUNCTION("""COMPUTED_VALUE"""),"Germany, China, United Kingdom")</f>
        <v>Germany, China, United Kingdom</v>
      </c>
      <c r="U217" s="5" t="str">
        <f>IFERROR(__xludf.DUMMYFUNCTION("""COMPUTED_VALUE"""),"Clint Eastwood")</f>
        <v>Clint Eastwood</v>
      </c>
      <c r="V217" s="5" t="s">
        <v>1471</v>
      </c>
      <c r="W217" s="5" t="str">
        <f t="shared" si="3"/>
        <v>Almudena Carracedo, Robert Bahar</v>
      </c>
      <c r="X217" s="5">
        <f t="shared" si="4"/>
        <v>1</v>
      </c>
      <c r="Y217" s="5" t="str">
        <f>IFERROR(__xludf.DUMMYFUNCTION("REGEXEXTRACT(J217, ""^\d+"")"),"116")</f>
        <v>116</v>
      </c>
      <c r="Z217" s="5" t="str">
        <f>IFERROR(__xludf.DUMMYFUNCTION("REGEXEXTRACT(J217, ""[A-Za-z ]+$"")")," min")</f>
        <v> min</v>
      </c>
      <c r="AA217" s="5" t="str">
        <f>IFERROR(__xludf.DUMMYFUNCTION("IF(REGEXMATCH(Z217, ""Season""), ""TV Show"", ""Movie"")"),"Movie")</f>
        <v>Movie</v>
      </c>
    </row>
    <row r="218">
      <c r="A218" s="1" t="s">
        <v>1472</v>
      </c>
      <c r="B218" s="1" t="s">
        <v>27</v>
      </c>
      <c r="C218" s="1" t="s">
        <v>1473</v>
      </c>
      <c r="D218" s="1" t="s">
        <v>1474</v>
      </c>
      <c r="E218" s="1" t="s">
        <v>1475</v>
      </c>
      <c r="F218" s="1" t="s">
        <v>63</v>
      </c>
      <c r="G218" s="1" t="s">
        <v>1327</v>
      </c>
      <c r="H218" s="1">
        <v>2011.0</v>
      </c>
      <c r="I218" s="1" t="s">
        <v>97</v>
      </c>
      <c r="J218" s="1" t="s">
        <v>256</v>
      </c>
      <c r="K218" s="1" t="s">
        <v>836</v>
      </c>
      <c r="L218" s="1" t="s">
        <v>1476</v>
      </c>
      <c r="M218" s="2" t="s">
        <v>12</v>
      </c>
      <c r="N218" s="4">
        <f t="shared" si="1"/>
        <v>44435</v>
      </c>
      <c r="O218" s="5" t="str">
        <f>IFERROR(__xludf.DUMMYFUNCTION("IF(REGEXMATCH(TRIM(I218), ""^\d+\s*min""), ""Unclassified"", IF(I218 = """", ""NR"", I218))"),"TV-14")</f>
        <v>TV-14</v>
      </c>
      <c r="R218" s="5" t="str">
        <f t="shared" si="2"/>
        <v>Shor In The City</v>
      </c>
      <c r="S218" s="5" t="str">
        <f>IFERROR(__xludf.DUMMYFUNCTION("""COMPUTED_VALUE"""),"A Night At The Roxbury")</f>
        <v>A Night At The Roxbury</v>
      </c>
      <c r="T218" s="5" t="str">
        <f>IFERROR(__xludf.DUMMYFUNCTION("""COMPUTED_VALUE"""),"Germany, Czech Republic")</f>
        <v>Germany, Czech Republic</v>
      </c>
      <c r="U218" s="5" t="str">
        <f>IFERROR(__xludf.DUMMYFUNCTION("""COMPUTED_VALUE"""),"Trey Parker")</f>
        <v>Trey Parker</v>
      </c>
      <c r="V218" s="5" t="s">
        <v>1477</v>
      </c>
      <c r="W218" s="5" t="str">
        <f t="shared" si="3"/>
        <v>Almunsif Alsuwaisi</v>
      </c>
      <c r="X218" s="5">
        <f t="shared" si="4"/>
        <v>1</v>
      </c>
      <c r="Y218" s="5" t="str">
        <f>IFERROR(__xludf.DUMMYFUNCTION("REGEXEXTRACT(J218, ""^\d+"")"),"106")</f>
        <v>106</v>
      </c>
      <c r="Z218" s="5" t="str">
        <f>IFERROR(__xludf.DUMMYFUNCTION("REGEXEXTRACT(J218, ""[A-Za-z ]+$"")")," min")</f>
        <v> min</v>
      </c>
      <c r="AA218" s="5" t="str">
        <f>IFERROR(__xludf.DUMMYFUNCTION("IF(REGEXMATCH(Z218, ""Season""), ""TV Show"", ""Movie"")"),"Movie")</f>
        <v>Movie</v>
      </c>
    </row>
    <row r="219">
      <c r="A219" s="1" t="s">
        <v>1478</v>
      </c>
      <c r="B219" s="1" t="s">
        <v>27</v>
      </c>
      <c r="C219" s="1" t="s">
        <v>1479</v>
      </c>
      <c r="D219" s="1" t="s">
        <v>1426</v>
      </c>
      <c r="E219" s="1" t="s">
        <v>1480</v>
      </c>
      <c r="F219" s="1" t="s">
        <v>63</v>
      </c>
      <c r="G219" s="1" t="s">
        <v>1327</v>
      </c>
      <c r="H219" s="1">
        <v>2011.0</v>
      </c>
      <c r="I219" s="1" t="s">
        <v>97</v>
      </c>
      <c r="J219" s="1" t="s">
        <v>582</v>
      </c>
      <c r="K219" s="1" t="s">
        <v>583</v>
      </c>
      <c r="L219" s="1" t="s">
        <v>1481</v>
      </c>
      <c r="M219" s="2" t="s">
        <v>12</v>
      </c>
      <c r="N219" s="4">
        <f t="shared" si="1"/>
        <v>44435</v>
      </c>
      <c r="O219" s="5" t="str">
        <f>IFERROR(__xludf.DUMMYFUNCTION("IF(REGEXMATCH(TRIM(I219), ""^\d+\s*min""), ""Unclassified"", IF(I219 = """", ""NR"", I219))"),"TV-14")</f>
        <v>TV-14</v>
      </c>
      <c r="R219" s="5" t="str">
        <f t="shared" si="2"/>
        <v>The Dirty Picture</v>
      </c>
      <c r="S219" s="5" t="str">
        <f>IFERROR(__xludf.DUMMYFUNCTION("""COMPUTED_VALUE"""),"A Noble Intention")</f>
        <v>A Noble Intention</v>
      </c>
      <c r="T219" s="5" t="str">
        <f>IFERROR(__xludf.DUMMYFUNCTION("""COMPUTED_VALUE"""),"Germany, France")</f>
        <v>Germany, France</v>
      </c>
      <c r="U219" s="5" t="str">
        <f>IFERROR(__xludf.DUMMYFUNCTION("""COMPUTED_VALUE"""),"Kelly Fremon Craig")</f>
        <v>Kelly Fremon Craig</v>
      </c>
      <c r="V219" s="5" t="s">
        <v>1482</v>
      </c>
      <c r="W219" s="5" t="str">
        <f t="shared" si="3"/>
        <v>Alo Sarkar</v>
      </c>
      <c r="X219" s="5">
        <f t="shared" si="4"/>
        <v>1</v>
      </c>
      <c r="Y219" s="5" t="str">
        <f>IFERROR(__xludf.DUMMYFUNCTION("REGEXEXTRACT(J219, ""^\d+"")"),"145")</f>
        <v>145</v>
      </c>
      <c r="Z219" s="5" t="str">
        <f>IFERROR(__xludf.DUMMYFUNCTION("REGEXEXTRACT(J219, ""[A-Za-z ]+$"")")," min")</f>
        <v> min</v>
      </c>
      <c r="AA219" s="5" t="str">
        <f>IFERROR(__xludf.DUMMYFUNCTION("IF(REGEXMATCH(Z219, ""Season""), ""TV Show"", ""Movie"")"),"Movie")</f>
        <v>Movie</v>
      </c>
    </row>
    <row r="220">
      <c r="A220" s="1" t="s">
        <v>1483</v>
      </c>
      <c r="B220" s="1" t="s">
        <v>37</v>
      </c>
      <c r="C220" s="1" t="s">
        <v>1484</v>
      </c>
      <c r="G220" s="1" t="s">
        <v>1327</v>
      </c>
      <c r="H220" s="1">
        <v>2021.0</v>
      </c>
      <c r="I220" s="1" t="s">
        <v>97</v>
      </c>
      <c r="J220" s="1" t="s">
        <v>51</v>
      </c>
      <c r="K220" s="1" t="s">
        <v>1485</v>
      </c>
      <c r="L220" s="1" t="s">
        <v>1486</v>
      </c>
      <c r="M220" s="2" t="s">
        <v>12</v>
      </c>
      <c r="N220" s="4">
        <f t="shared" si="1"/>
        <v>44435</v>
      </c>
      <c r="O220" s="5" t="str">
        <f>IFERROR(__xludf.DUMMYFUNCTION("IF(REGEXMATCH(TRIM(I220), ""^\d+\s*min""), ""Unclassified"", IF(I220 = """", ""NR"", I220))"),"TV-14")</f>
        <v>TV-14</v>
      </c>
      <c r="R220" s="5" t="str">
        <f t="shared" si="2"/>
        <v>Titletown High</v>
      </c>
      <c r="S220" s="5" t="str">
        <f>IFERROR(__xludf.DUMMYFUNCTION("""COMPUTED_VALUE"""),"A Patch Of Fog")</f>
        <v>A Patch Of Fog</v>
      </c>
      <c r="T220" s="5" t="str">
        <f>IFERROR(__xludf.DUMMYFUNCTION("""COMPUTED_VALUE"""),"Germany, France, Luxembourg, United Kingdom, United States")</f>
        <v>Germany, France, Luxembourg, United Kingdom, United States</v>
      </c>
      <c r="U220" s="5" t="str">
        <f>IFERROR(__xludf.DUMMYFUNCTION("""COMPUTED_VALUE"""),"Tom Elkins")</f>
        <v>Tom Elkins</v>
      </c>
      <c r="V220" s="5" t="s">
        <v>1487</v>
      </c>
      <c r="W220" s="5" t="str">
        <f t="shared" si="3"/>
        <v>Alphonso J. Wesson</v>
      </c>
      <c r="X220" s="5">
        <f t="shared" si="4"/>
        <v>1</v>
      </c>
      <c r="Y220" s="5" t="str">
        <f>IFERROR(__xludf.DUMMYFUNCTION("REGEXEXTRACT(J220, ""^\d+"")"),"1")</f>
        <v>1</v>
      </c>
      <c r="Z220" s="5" t="str">
        <f>IFERROR(__xludf.DUMMYFUNCTION("REGEXEXTRACT(J220, ""[A-Za-z ]+$"")")," Season")</f>
        <v> Season</v>
      </c>
      <c r="AA220" s="5" t="str">
        <f>IFERROR(__xludf.DUMMYFUNCTION("IF(REGEXMATCH(Z220, ""Season""), ""TV Show"", ""Movie"")"),"TV Show")</f>
        <v>TV Show</v>
      </c>
    </row>
    <row r="221">
      <c r="A221" s="1" t="s">
        <v>1488</v>
      </c>
      <c r="B221" s="1" t="s">
        <v>37</v>
      </c>
      <c r="C221" s="1" t="s">
        <v>1489</v>
      </c>
      <c r="E221" s="1" t="s">
        <v>1490</v>
      </c>
      <c r="F221" s="1" t="s">
        <v>415</v>
      </c>
      <c r="G221" s="1" t="s">
        <v>1491</v>
      </c>
      <c r="H221" s="1">
        <v>2021.0</v>
      </c>
      <c r="I221" s="1" t="s">
        <v>97</v>
      </c>
      <c r="J221" s="1" t="s">
        <v>51</v>
      </c>
      <c r="K221" s="1" t="s">
        <v>567</v>
      </c>
      <c r="L221" s="1" t="s">
        <v>1492</v>
      </c>
      <c r="M221" s="2" t="s">
        <v>12</v>
      </c>
      <c r="N221" s="4">
        <f t="shared" si="1"/>
        <v>44434</v>
      </c>
      <c r="O221" s="5" t="str">
        <f>IFERROR(__xludf.DUMMYFUNCTION("IF(REGEXMATCH(TRIM(I221), ""^\d+\s*min""), ""Unclassified"", IF(I221 = """", ""NR"", I221))"),"TV-14")</f>
        <v>TV-14</v>
      </c>
      <c r="R221" s="5" t="str">
        <f t="shared" si="2"/>
        <v>Edens Zero</v>
      </c>
      <c r="S221" s="5" t="str">
        <f>IFERROR(__xludf.DUMMYFUNCTION("""COMPUTED_VALUE"""),"A Perfect Crime")</f>
        <v>A Perfect Crime</v>
      </c>
      <c r="T221" s="5" t="str">
        <f>IFERROR(__xludf.DUMMYFUNCTION("""COMPUTED_VALUE"""),"Germany, France, Russia")</f>
        <v>Germany, France, Russia</v>
      </c>
      <c r="U221" s="5" t="str">
        <f>IFERROR(__xludf.DUMMYFUNCTION("""COMPUTED_VALUE"""),"Tony Scott")</f>
        <v>Tony Scott</v>
      </c>
      <c r="V221" s="5" t="s">
        <v>1493</v>
      </c>
      <c r="W221" s="5" t="str">
        <f t="shared" si="3"/>
        <v>Álvaro Brechner</v>
      </c>
      <c r="X221" s="5">
        <f t="shared" si="4"/>
        <v>1</v>
      </c>
      <c r="Y221" s="5" t="str">
        <f>IFERROR(__xludf.DUMMYFUNCTION("REGEXEXTRACT(J221, ""^\d+"")"),"1")</f>
        <v>1</v>
      </c>
      <c r="Z221" s="5" t="str">
        <f>IFERROR(__xludf.DUMMYFUNCTION("REGEXEXTRACT(J221, ""[A-Za-z ]+$"")")," Season")</f>
        <v> Season</v>
      </c>
      <c r="AA221" s="5" t="str">
        <f>IFERROR(__xludf.DUMMYFUNCTION("IF(REGEXMATCH(Z221, ""Season""), ""TV Show"", ""Movie"")"),"TV Show")</f>
        <v>TV Show</v>
      </c>
    </row>
    <row r="222">
      <c r="A222" s="1" t="s">
        <v>1494</v>
      </c>
      <c r="B222" s="1" t="s">
        <v>37</v>
      </c>
      <c r="C222" s="1" t="s">
        <v>1495</v>
      </c>
      <c r="E222" s="1" t="s">
        <v>1496</v>
      </c>
      <c r="F222" s="1" t="s">
        <v>30</v>
      </c>
      <c r="G222" s="1" t="s">
        <v>1491</v>
      </c>
      <c r="H222" s="1">
        <v>2021.0</v>
      </c>
      <c r="I222" s="1" t="s">
        <v>136</v>
      </c>
      <c r="J222" s="1" t="s">
        <v>148</v>
      </c>
      <c r="K222" s="1" t="s">
        <v>314</v>
      </c>
      <c r="L222" s="1" t="s">
        <v>1497</v>
      </c>
      <c r="M222" s="2" t="s">
        <v>12</v>
      </c>
      <c r="N222" s="4">
        <f t="shared" si="1"/>
        <v>44434</v>
      </c>
      <c r="O222" s="5" t="str">
        <f>IFERROR(__xludf.DUMMYFUNCTION("IF(REGEXMATCH(TRIM(I222), ""^\d+\s*min""), ""Unclassified"", IF(I222 = """", ""NR"", I222))"),"TV-PG")</f>
        <v>TV-PG</v>
      </c>
      <c r="R222" s="5" t="str">
        <f t="shared" si="2"/>
        <v>Family Reunion</v>
      </c>
      <c r="S222" s="5" t="str">
        <f>IFERROR(__xludf.DUMMYFUNCTION("""COMPUTED_VALUE"""),"A Perfect Day For Arsenide")</f>
        <v>A Perfect Day For Arsenide</v>
      </c>
      <c r="T222" s="5" t="str">
        <f>IFERROR(__xludf.DUMMYFUNCTION("""COMPUTED_VALUE"""),"Germany, France, United States, Canada, United Kingdom")</f>
        <v>Germany, France, United States, Canada, United Kingdom</v>
      </c>
      <c r="U222" s="5" t="str">
        <f>IFERROR(__xludf.DUMMYFUNCTION("""COMPUTED_VALUE"""),"Brad Furman")</f>
        <v>Brad Furman</v>
      </c>
      <c r="V222" s="5" t="s">
        <v>1498</v>
      </c>
      <c r="W222" s="5" t="str">
        <f t="shared" si="3"/>
        <v>Álvaro Delgado-Aparicio L.</v>
      </c>
      <c r="X222" s="5">
        <f t="shared" si="4"/>
        <v>1</v>
      </c>
      <c r="Y222" s="5" t="str">
        <f>IFERROR(__xludf.DUMMYFUNCTION("REGEXEXTRACT(J222, ""^\d+"")"),"4")</f>
        <v>4</v>
      </c>
      <c r="Z222" s="5" t="str">
        <f>IFERROR(__xludf.DUMMYFUNCTION("REGEXEXTRACT(J222, ""[A-Za-z ]+$"")")," Seasons")</f>
        <v> Seasons</v>
      </c>
      <c r="AA222" s="5" t="str">
        <f>IFERROR(__xludf.DUMMYFUNCTION("IF(REGEXMATCH(Z222, ""Season""), ""TV Show"", ""Movie"")"),"TV Show")</f>
        <v>TV Show</v>
      </c>
    </row>
    <row r="223">
      <c r="A223" s="1" t="s">
        <v>1499</v>
      </c>
      <c r="B223" s="1" t="s">
        <v>27</v>
      </c>
      <c r="C223" s="1" t="s">
        <v>1500</v>
      </c>
      <c r="D223" s="1" t="s">
        <v>1501</v>
      </c>
      <c r="E223" s="1" t="s">
        <v>1502</v>
      </c>
      <c r="G223" s="1" t="s">
        <v>1503</v>
      </c>
      <c r="H223" s="1">
        <v>2021.0</v>
      </c>
      <c r="I223" s="1" t="s">
        <v>97</v>
      </c>
      <c r="J223" s="1" t="s">
        <v>454</v>
      </c>
      <c r="K223" s="1" t="s">
        <v>34</v>
      </c>
      <c r="L223" s="1" t="s">
        <v>1504</v>
      </c>
      <c r="M223" s="2" t="s">
        <v>12</v>
      </c>
      <c r="N223" s="4">
        <f t="shared" si="1"/>
        <v>44433</v>
      </c>
      <c r="O223" s="5" t="str">
        <f>IFERROR(__xludf.DUMMYFUNCTION("IF(REGEXMATCH(TRIM(I223), ""^\d+\s*min""), ""Unclassified"", IF(I223 = """", ""NR"", I223))"),"TV-14")</f>
        <v>TV-14</v>
      </c>
      <c r="R223" s="5" t="str">
        <f t="shared" si="2"/>
        <v>Bob Ross: Happy Accidents, Betrayal &amp; Greed</v>
      </c>
      <c r="S223" s="5" t="str">
        <f>IFERROR(__xludf.DUMMYFUNCTION("""COMPUTED_VALUE"""),"A Perfect Ending")</f>
        <v>A Perfect Ending</v>
      </c>
      <c r="T223" s="5" t="str">
        <f>IFERROR(__xludf.DUMMYFUNCTION("""COMPUTED_VALUE"""),"Germany, Italy")</f>
        <v>Germany, Italy</v>
      </c>
      <c r="U223" s="5" t="str">
        <f>IFERROR(__xludf.DUMMYFUNCTION("""COMPUTED_VALUE"""),"Sylvain White")</f>
        <v>Sylvain White</v>
      </c>
      <c r="V223" s="5" t="s">
        <v>1505</v>
      </c>
      <c r="W223" s="5" t="str">
        <f t="shared" si="3"/>
        <v>Álvaro Longoria, Gerardo Olivares</v>
      </c>
      <c r="X223" s="5">
        <f t="shared" si="4"/>
        <v>1</v>
      </c>
      <c r="Y223" s="5" t="str">
        <f>IFERROR(__xludf.DUMMYFUNCTION("REGEXEXTRACT(J223, ""^\d+"")"),"93")</f>
        <v>93</v>
      </c>
      <c r="Z223" s="5" t="str">
        <f>IFERROR(__xludf.DUMMYFUNCTION("REGEXEXTRACT(J223, ""[A-Za-z ]+$"")")," min")</f>
        <v> min</v>
      </c>
      <c r="AA223" s="5" t="str">
        <f>IFERROR(__xludf.DUMMYFUNCTION("IF(REGEXMATCH(Z223, ""Season""), ""TV Show"", ""Movie"")"),"Movie")</f>
        <v>Movie</v>
      </c>
    </row>
    <row r="224">
      <c r="A224" s="1" t="s">
        <v>1506</v>
      </c>
      <c r="B224" s="1" t="s">
        <v>37</v>
      </c>
      <c r="C224" s="1" t="s">
        <v>1507</v>
      </c>
      <c r="D224" s="1" t="s">
        <v>1508</v>
      </c>
      <c r="E224" s="1" t="s">
        <v>1509</v>
      </c>
      <c r="G224" s="1" t="s">
        <v>1503</v>
      </c>
      <c r="H224" s="1">
        <v>2021.0</v>
      </c>
      <c r="I224" s="1" t="s">
        <v>42</v>
      </c>
      <c r="J224" s="1" t="s">
        <v>51</v>
      </c>
      <c r="K224" s="1" t="s">
        <v>1510</v>
      </c>
      <c r="L224" s="1" t="s">
        <v>1511</v>
      </c>
      <c r="M224" s="2" t="s">
        <v>12</v>
      </c>
      <c r="N224" s="4">
        <f t="shared" si="1"/>
        <v>44433</v>
      </c>
      <c r="O224" s="5" t="str">
        <f>IFERROR(__xludf.DUMMYFUNCTION("IF(REGEXMATCH(TRIM(I224), ""^\d+\s*min""), ""Unclassified"", IF(I224 = """", ""NR"", I224))"),"TV-MA")</f>
        <v>TV-MA</v>
      </c>
      <c r="R224" s="5" t="str">
        <f t="shared" si="2"/>
        <v>Clickbait</v>
      </c>
      <c r="S224" s="5" t="str">
        <f>IFERROR(__xludf.DUMMYFUNCTION("""COMPUTED_VALUE"""),"A Perfect Fit")</f>
        <v>A Perfect Fit</v>
      </c>
      <c r="T224" s="5" t="str">
        <f>IFERROR(__xludf.DUMMYFUNCTION("""COMPUTED_VALUE"""),"Germany, Jordan, Netherlands")</f>
        <v>Germany, Jordan, Netherlands</v>
      </c>
      <c r="U224" s="5" t="str">
        <f>IFERROR(__xludf.DUMMYFUNCTION("""COMPUTED_VALUE"""),"Irwin Winkler")</f>
        <v>Irwin Winkler</v>
      </c>
      <c r="V224" s="5" t="s">
        <v>1512</v>
      </c>
      <c r="W224" s="5" t="str">
        <f t="shared" si="3"/>
        <v>Amaan Khan</v>
      </c>
      <c r="X224" s="5">
        <f t="shared" si="4"/>
        <v>1</v>
      </c>
      <c r="Y224" s="5" t="str">
        <f>IFERROR(__xludf.DUMMYFUNCTION("REGEXEXTRACT(J224, ""^\d+"")"),"1")</f>
        <v>1</v>
      </c>
      <c r="Z224" s="5" t="str">
        <f>IFERROR(__xludf.DUMMYFUNCTION("REGEXEXTRACT(J224, ""[A-Za-z ]+$"")")," Season")</f>
        <v> Season</v>
      </c>
      <c r="AA224" s="5" t="str">
        <f>IFERROR(__xludf.DUMMYFUNCTION("IF(REGEXMATCH(Z224, ""Season""), ""TV Show"", ""Movie"")"),"TV Show")</f>
        <v>TV Show</v>
      </c>
    </row>
    <row r="225">
      <c r="A225" s="1" t="s">
        <v>1513</v>
      </c>
      <c r="B225" s="1" t="s">
        <v>37</v>
      </c>
      <c r="C225" s="1" t="s">
        <v>1514</v>
      </c>
      <c r="D225" s="1" t="s">
        <v>1515</v>
      </c>
      <c r="G225" s="1" t="s">
        <v>1503</v>
      </c>
      <c r="H225" s="1">
        <v>2021.0</v>
      </c>
      <c r="I225" s="1" t="s">
        <v>42</v>
      </c>
      <c r="J225" s="1" t="s">
        <v>51</v>
      </c>
      <c r="K225" s="1" t="s">
        <v>112</v>
      </c>
      <c r="L225" s="1" t="s">
        <v>1516</v>
      </c>
      <c r="M225" s="2" t="s">
        <v>12</v>
      </c>
      <c r="N225" s="4">
        <f t="shared" si="1"/>
        <v>44433</v>
      </c>
      <c r="O225" s="5" t="str">
        <f>IFERROR(__xludf.DUMMYFUNCTION("IF(REGEXMATCH(TRIM(I225), ""^\d+\s*min""), ""Unclassified"", IF(I225 = """", ""NR"", I225))"),"TV-MA")</f>
        <v>TV-MA</v>
      </c>
      <c r="R225" s="5" t="str">
        <f t="shared" si="2"/>
        <v>John Of God: The Crimes Of A Spiritual Healer</v>
      </c>
      <c r="S225" s="5" t="str">
        <f>IFERROR(__xludf.DUMMYFUNCTION("""COMPUTED_VALUE"""),"A Perfect Man")</f>
        <v>A Perfect Man</v>
      </c>
      <c r="T225" s="5" t="str">
        <f>IFERROR(__xludf.DUMMYFUNCTION("""COMPUTED_VALUE"""),"Germany, Sri Lanka")</f>
        <v>Germany, Sri Lanka</v>
      </c>
      <c r="U225" s="5" t="str">
        <f>IFERROR(__xludf.DUMMYFUNCTION("""COMPUTED_VALUE"""),"Garry Marshall")</f>
        <v>Garry Marshall</v>
      </c>
      <c r="V225" s="5" t="s">
        <v>1517</v>
      </c>
      <c r="W225" s="5" t="str">
        <f t="shared" si="3"/>
        <v>Amal Neerad</v>
      </c>
      <c r="X225" s="5">
        <f t="shared" si="4"/>
        <v>1</v>
      </c>
      <c r="Y225" s="5" t="str">
        <f>IFERROR(__xludf.DUMMYFUNCTION("REGEXEXTRACT(J225, ""^\d+"")"),"1")</f>
        <v>1</v>
      </c>
      <c r="Z225" s="5" t="str">
        <f>IFERROR(__xludf.DUMMYFUNCTION("REGEXEXTRACT(J225, ""[A-Za-z ]+$"")")," Season")</f>
        <v> Season</v>
      </c>
      <c r="AA225" s="5" t="str">
        <f>IFERROR(__xludf.DUMMYFUNCTION("IF(REGEXMATCH(Z225, ""Season""), ""TV Show"", ""Movie"")"),"TV Show")</f>
        <v>TV Show</v>
      </c>
    </row>
    <row r="226">
      <c r="A226" s="1" t="s">
        <v>1518</v>
      </c>
      <c r="B226" s="1" t="s">
        <v>37</v>
      </c>
      <c r="C226" s="1" t="s">
        <v>1519</v>
      </c>
      <c r="G226" s="1" t="s">
        <v>1503</v>
      </c>
      <c r="H226" s="1">
        <v>2021.0</v>
      </c>
      <c r="I226" s="1" t="s">
        <v>97</v>
      </c>
      <c r="J226" s="1" t="s">
        <v>51</v>
      </c>
      <c r="K226" s="1" t="s">
        <v>1520</v>
      </c>
      <c r="L226" s="1" t="s">
        <v>1521</v>
      </c>
      <c r="M226" s="2" t="s">
        <v>12</v>
      </c>
      <c r="N226" s="4">
        <f t="shared" si="1"/>
        <v>44433</v>
      </c>
      <c r="O226" s="5" t="str">
        <f>IFERROR(__xludf.DUMMYFUNCTION("IF(REGEXMATCH(TRIM(I226), ""^\d+\s*min""), ""Unclassified"", IF(I226 = """", ""NR"", I226))"),"TV-14")</f>
        <v>TV-14</v>
      </c>
      <c r="R226" s="5" t="str">
        <f t="shared" si="2"/>
        <v>Motel Makeover</v>
      </c>
      <c r="S226" s="5" t="str">
        <f>IFERROR(__xludf.DUMMYFUNCTION("""COMPUTED_VALUE"""),"A Place In The Stars")</f>
        <v>A Place In The Stars</v>
      </c>
      <c r="T226" s="5" t="str">
        <f>IFERROR(__xludf.DUMMYFUNCTION("""COMPUTED_VALUE"""),"Germany, United Kingdom")</f>
        <v>Germany, United Kingdom</v>
      </c>
      <c r="U226" s="5" t="str">
        <f>IFERROR(__xludf.DUMMYFUNCTION("""COMPUTED_VALUE"""),"Kenneth Gyang")</f>
        <v>Kenneth Gyang</v>
      </c>
      <c r="V226" s="5" t="s">
        <v>1522</v>
      </c>
      <c r="W226" s="5" t="str">
        <f t="shared" si="3"/>
        <v>Amanda Micheli</v>
      </c>
      <c r="X226" s="5">
        <f t="shared" si="4"/>
        <v>1</v>
      </c>
      <c r="Y226" s="5" t="str">
        <f>IFERROR(__xludf.DUMMYFUNCTION("REGEXEXTRACT(J226, ""^\d+"")"),"1")</f>
        <v>1</v>
      </c>
      <c r="Z226" s="5" t="str">
        <f>IFERROR(__xludf.DUMMYFUNCTION("REGEXEXTRACT(J226, ""[A-Za-z ]+$"")")," Season")</f>
        <v> Season</v>
      </c>
      <c r="AA226" s="5" t="str">
        <f>IFERROR(__xludf.DUMMYFUNCTION("IF(REGEXMATCH(Z226, ""Season""), ""TV Show"", ""Movie"")"),"TV Show")</f>
        <v>TV Show</v>
      </c>
    </row>
    <row r="227">
      <c r="A227" s="1" t="s">
        <v>1523</v>
      </c>
      <c r="B227" s="1" t="s">
        <v>37</v>
      </c>
      <c r="C227" s="1" t="s">
        <v>1524</v>
      </c>
      <c r="E227" s="1" t="s">
        <v>1525</v>
      </c>
      <c r="G227" s="1" t="s">
        <v>1503</v>
      </c>
      <c r="H227" s="1">
        <v>2021.0</v>
      </c>
      <c r="I227" s="1" t="s">
        <v>42</v>
      </c>
      <c r="J227" s="1" t="s">
        <v>51</v>
      </c>
      <c r="K227" s="1" t="s">
        <v>44</v>
      </c>
      <c r="L227" s="1" t="s">
        <v>1526</v>
      </c>
      <c r="M227" s="2" t="s">
        <v>12</v>
      </c>
      <c r="N227" s="4">
        <f t="shared" si="1"/>
        <v>44433</v>
      </c>
      <c r="O227" s="5" t="str">
        <f>IFERROR(__xludf.DUMMYFUNCTION("IF(REGEXMATCH(TRIM(I227), ""^\d+\s*min""), ""Unclassified"", IF(I227 = """", ""NR"", I227))"),"TV-MA")</f>
        <v>TV-MA</v>
      </c>
      <c r="R227" s="5" t="str">
        <f t="shared" si="2"/>
        <v>Open Your Eyes</v>
      </c>
      <c r="S227" s="5" t="str">
        <f>IFERROR(__xludf.DUMMYFUNCTION("""COMPUTED_VALUE"""),"A Plastic Ocean")</f>
        <v>A Plastic Ocean</v>
      </c>
      <c r="T227" s="5" t="str">
        <f>IFERROR(__xludf.DUMMYFUNCTION("""COMPUTED_VALUE"""),"Germany, United Kingdom, United States")</f>
        <v>Germany, United Kingdom, United States</v>
      </c>
      <c r="U227" s="5" t="str">
        <f>IFERROR(__xludf.DUMMYFUNCTION("""COMPUTED_VALUE"""),"Jaume Balagueró")</f>
        <v>Jaume Balagueró</v>
      </c>
      <c r="V227" s="5" t="s">
        <v>1527</v>
      </c>
      <c r="W227" s="5" t="str">
        <f t="shared" si="3"/>
        <v>Amanda Raymond</v>
      </c>
      <c r="X227" s="5">
        <f t="shared" si="4"/>
        <v>1</v>
      </c>
      <c r="Y227" s="5" t="str">
        <f>IFERROR(__xludf.DUMMYFUNCTION("REGEXEXTRACT(J227, ""^\d+"")"),"1")</f>
        <v>1</v>
      </c>
      <c r="Z227" s="5" t="str">
        <f>IFERROR(__xludf.DUMMYFUNCTION("REGEXEXTRACT(J227, ""[A-Za-z ]+$"")")," Season")</f>
        <v> Season</v>
      </c>
      <c r="AA227" s="5" t="str">
        <f>IFERROR(__xludf.DUMMYFUNCTION("IF(REGEXMATCH(Z227, ""Season""), ""TV Show"", ""Movie"")"),"TV Show")</f>
        <v>TV Show</v>
      </c>
    </row>
    <row r="228">
      <c r="A228" s="1" t="s">
        <v>1528</v>
      </c>
      <c r="B228" s="1" t="s">
        <v>37</v>
      </c>
      <c r="C228" s="1" t="s">
        <v>1529</v>
      </c>
      <c r="E228" s="1" t="s">
        <v>1530</v>
      </c>
      <c r="G228" s="1" t="s">
        <v>1503</v>
      </c>
      <c r="H228" s="1">
        <v>2021.0</v>
      </c>
      <c r="I228" s="1" t="s">
        <v>42</v>
      </c>
      <c r="J228" s="1" t="s">
        <v>51</v>
      </c>
      <c r="K228" s="1" t="s">
        <v>1531</v>
      </c>
      <c r="L228" s="1" t="s">
        <v>1532</v>
      </c>
      <c r="M228" s="2" t="s">
        <v>12</v>
      </c>
      <c r="N228" s="4">
        <f t="shared" si="1"/>
        <v>44433</v>
      </c>
      <c r="O228" s="5" t="str">
        <f>IFERROR(__xludf.DUMMYFUNCTION("IF(REGEXMATCH(TRIM(I228), ""^\d+\s*min""), ""Unclassified"", IF(I228 = """", ""NR"", I228))"),"TV-MA")</f>
        <v>TV-MA</v>
      </c>
      <c r="R228" s="5" t="str">
        <f t="shared" si="2"/>
        <v>Post Mortem: No One Dies In Skarnes</v>
      </c>
      <c r="S228" s="5" t="str">
        <f>IFERROR(__xludf.DUMMYFUNCTION("""COMPUTED_VALUE"""),"A Princess For Christmas")</f>
        <v>A Princess For Christmas</v>
      </c>
      <c r="T228" s="5" t="str">
        <f>IFERROR(__xludf.DUMMYFUNCTION("""COMPUTED_VALUE"""),"Germany, United States")</f>
        <v>Germany, United States</v>
      </c>
      <c r="U228" s="5" t="str">
        <f>IFERROR(__xludf.DUMMYFUNCTION("""COMPUTED_VALUE"""),"Najwa Najjar")</f>
        <v>Najwa Najjar</v>
      </c>
      <c r="V228" s="5" t="s">
        <v>1533</v>
      </c>
      <c r="W228" s="5" t="str">
        <f t="shared" si="3"/>
        <v>Amar Gupte</v>
      </c>
      <c r="X228" s="5">
        <f t="shared" si="4"/>
        <v>1</v>
      </c>
      <c r="Y228" s="5" t="str">
        <f>IFERROR(__xludf.DUMMYFUNCTION("REGEXEXTRACT(J228, ""^\d+"")"),"1")</f>
        <v>1</v>
      </c>
      <c r="Z228" s="5" t="str">
        <f>IFERROR(__xludf.DUMMYFUNCTION("REGEXEXTRACT(J228, ""[A-Za-z ]+$"")")," Season")</f>
        <v> Season</v>
      </c>
      <c r="AA228" s="5" t="str">
        <f>IFERROR(__xludf.DUMMYFUNCTION("IF(REGEXMATCH(Z228, ""Season""), ""TV Show"", ""Movie"")"),"TV Show")</f>
        <v>TV Show</v>
      </c>
    </row>
    <row r="229">
      <c r="A229" s="1" t="s">
        <v>1534</v>
      </c>
      <c r="B229" s="1" t="s">
        <v>27</v>
      </c>
      <c r="C229" s="1" t="s">
        <v>1535</v>
      </c>
      <c r="D229" s="1" t="s">
        <v>1536</v>
      </c>
      <c r="E229" s="1" t="s">
        <v>1537</v>
      </c>
      <c r="F229" s="1" t="s">
        <v>30</v>
      </c>
      <c r="G229" s="1" t="s">
        <v>1503</v>
      </c>
      <c r="H229" s="1">
        <v>2020.0</v>
      </c>
      <c r="I229" s="1" t="s">
        <v>42</v>
      </c>
      <c r="J229" s="1" t="s">
        <v>465</v>
      </c>
      <c r="K229" s="1" t="s">
        <v>1538</v>
      </c>
      <c r="L229" s="1" t="s">
        <v>1539</v>
      </c>
      <c r="M229" s="2" t="s">
        <v>12</v>
      </c>
      <c r="N229" s="4">
        <f t="shared" si="1"/>
        <v>44433</v>
      </c>
      <c r="O229" s="5" t="str">
        <f>IFERROR(__xludf.DUMMYFUNCTION("IF(REGEXMATCH(TRIM(I229), ""^\d+\s*min""), ""Unclassified"", IF(I229 = """", ""NR"", I229))"),"TV-MA")</f>
        <v>TV-MA</v>
      </c>
      <c r="R229" s="5" t="str">
        <f t="shared" si="2"/>
        <v>Really Love</v>
      </c>
      <c r="S229" s="5" t="str">
        <f>IFERROR(__xludf.DUMMYFUNCTION("""COMPUTED_VALUE"""),"A Private War")</f>
        <v>A Private War</v>
      </c>
      <c r="T229" s="5" t="str">
        <f>IFERROR(__xludf.DUMMYFUNCTION("""COMPUTED_VALUE"""),"Germany, United States, Canada")</f>
        <v>Germany, United States, Canada</v>
      </c>
      <c r="U229" s="5" t="str">
        <f>IFERROR(__xludf.DUMMYFUNCTION("""COMPUTED_VALUE"""),"Selçuk Metin")</f>
        <v>Selçuk Metin</v>
      </c>
      <c r="V229" s="5" t="s">
        <v>1540</v>
      </c>
      <c r="W229" s="5" t="str">
        <f t="shared" si="3"/>
        <v>Amar Kaushik</v>
      </c>
      <c r="X229" s="5">
        <f t="shared" si="4"/>
        <v>1</v>
      </c>
      <c r="Y229" s="5" t="str">
        <f>IFERROR(__xludf.DUMMYFUNCTION("REGEXEXTRACT(J229, ""^\d+"")"),"95")</f>
        <v>95</v>
      </c>
      <c r="Z229" s="5" t="str">
        <f>IFERROR(__xludf.DUMMYFUNCTION("REGEXEXTRACT(J229, ""[A-Za-z ]+$"")")," min")</f>
        <v> min</v>
      </c>
      <c r="AA229" s="5" t="str">
        <f>IFERROR(__xludf.DUMMYFUNCTION("IF(REGEXMATCH(Z229, ""Season""), ""TV Show"", ""Movie"")"),"Movie")</f>
        <v>Movie</v>
      </c>
    </row>
    <row r="230">
      <c r="A230" s="1" t="s">
        <v>1541</v>
      </c>
      <c r="B230" s="1" t="s">
        <v>27</v>
      </c>
      <c r="C230" s="1" t="s">
        <v>1542</v>
      </c>
      <c r="D230" s="1" t="s">
        <v>1543</v>
      </c>
      <c r="E230" s="1" t="s">
        <v>1544</v>
      </c>
      <c r="F230" s="1" t="s">
        <v>692</v>
      </c>
      <c r="G230" s="1" t="s">
        <v>1503</v>
      </c>
      <c r="H230" s="1">
        <v>2014.0</v>
      </c>
      <c r="I230" s="1" t="s">
        <v>378</v>
      </c>
      <c r="J230" s="1" t="s">
        <v>912</v>
      </c>
      <c r="K230" s="1" t="s">
        <v>380</v>
      </c>
      <c r="L230" s="1" t="s">
        <v>1545</v>
      </c>
      <c r="M230" s="2" t="s">
        <v>12</v>
      </c>
      <c r="N230" s="4">
        <f t="shared" si="1"/>
        <v>44433</v>
      </c>
      <c r="O230" s="5" t="str">
        <f>IFERROR(__xludf.DUMMYFUNCTION("IF(REGEXMATCH(TRIM(I230), ""^\d+\s*min""), ""Unclassified"", IF(I230 = """", ""NR"", I230))"),"R")</f>
        <v>R</v>
      </c>
      <c r="R230" s="5" t="str">
        <f t="shared" si="2"/>
        <v>The November Man</v>
      </c>
      <c r="S230" s="5" t="str">
        <f>IFERROR(__xludf.DUMMYFUNCTION("""COMPUTED_VALUE"""),"A Queen Is Born")</f>
        <v>A Queen Is Born</v>
      </c>
      <c r="T230" s="5" t="str">
        <f>IFERROR(__xludf.DUMMYFUNCTION("""COMPUTED_VALUE"""),"Germany, United States, France")</f>
        <v>Germany, United States, France</v>
      </c>
      <c r="U230" s="5" t="str">
        <f>IFERROR(__xludf.DUMMYFUNCTION("""COMPUTED_VALUE"""),"Keishi Otomo")</f>
        <v>Keishi Otomo</v>
      </c>
      <c r="V230" s="5" t="s">
        <v>1546</v>
      </c>
      <c r="W230" s="5" t="str">
        <f t="shared" si="3"/>
        <v>Amara Cash</v>
      </c>
      <c r="X230" s="5">
        <f t="shared" si="4"/>
        <v>1</v>
      </c>
      <c r="Y230" s="5" t="str">
        <f>IFERROR(__xludf.DUMMYFUNCTION("REGEXEXTRACT(J230, ""^\d+"")"),"108")</f>
        <v>108</v>
      </c>
      <c r="Z230" s="5" t="str">
        <f>IFERROR(__xludf.DUMMYFUNCTION("REGEXEXTRACT(J230, ""[A-Za-z ]+$"")")," min")</f>
        <v> min</v>
      </c>
      <c r="AA230" s="5" t="str">
        <f>IFERROR(__xludf.DUMMYFUNCTION("IF(REGEXMATCH(Z230, ""Season""), ""TV Show"", ""Movie"")"),"Movie")</f>
        <v>Movie</v>
      </c>
    </row>
    <row r="231">
      <c r="A231" s="1" t="s">
        <v>1547</v>
      </c>
      <c r="B231" s="1" t="s">
        <v>27</v>
      </c>
      <c r="C231" s="1" t="s">
        <v>1548</v>
      </c>
      <c r="D231" s="1" t="s">
        <v>1549</v>
      </c>
      <c r="E231" s="1" t="s">
        <v>1550</v>
      </c>
      <c r="F231" s="1" t="s">
        <v>30</v>
      </c>
      <c r="G231" s="1" t="s">
        <v>1503</v>
      </c>
      <c r="H231" s="1">
        <v>2020.0</v>
      </c>
      <c r="I231" s="1" t="s">
        <v>42</v>
      </c>
      <c r="J231" s="1" t="s">
        <v>33</v>
      </c>
      <c r="K231" s="1" t="s">
        <v>1551</v>
      </c>
      <c r="L231" s="1" t="s">
        <v>1552</v>
      </c>
      <c r="M231" s="2" t="s">
        <v>12</v>
      </c>
      <c r="N231" s="4">
        <f t="shared" si="1"/>
        <v>44433</v>
      </c>
      <c r="O231" s="5" t="str">
        <f>IFERROR(__xludf.DUMMYFUNCTION("IF(REGEXMATCH(TRIM(I231), ""^\d+\s*min""), ""Unclassified"", IF(I231 = """", ""NR"", I231))"),"TV-MA")</f>
        <v>TV-MA</v>
      </c>
      <c r="R231" s="5" t="str">
        <f t="shared" si="2"/>
        <v>The Old Ways</v>
      </c>
      <c r="S231" s="5" t="str">
        <f>IFERROR(__xludf.DUMMYFUNCTION("""COMPUTED_VALUE"""),"A Remarkable Tale")</f>
        <v>A Remarkable Tale</v>
      </c>
      <c r="T231" s="5" t="str">
        <f>IFERROR(__xludf.DUMMYFUNCTION("""COMPUTED_VALUE"""),"Germany, United States, Hong Kong, Singapore")</f>
        <v>Germany, United States, Hong Kong, Singapore</v>
      </c>
      <c r="U231" s="5" t="str">
        <f>IFERROR(__xludf.DUMMYFUNCTION("""COMPUTED_VALUE"""),"David Charhon")</f>
        <v>David Charhon</v>
      </c>
      <c r="V231" s="5" t="s">
        <v>1553</v>
      </c>
      <c r="W231" s="5" t="str">
        <f t="shared" si="3"/>
        <v>Amardeep Singh Gill</v>
      </c>
      <c r="X231" s="5">
        <f t="shared" si="4"/>
        <v>1</v>
      </c>
      <c r="Y231" s="5" t="str">
        <f>IFERROR(__xludf.DUMMYFUNCTION("REGEXEXTRACT(J231, ""^\d+"")"),"90")</f>
        <v>90</v>
      </c>
      <c r="Z231" s="5" t="str">
        <f>IFERROR(__xludf.DUMMYFUNCTION("REGEXEXTRACT(J231, ""[A-Za-z ]+$"")")," min")</f>
        <v> min</v>
      </c>
      <c r="AA231" s="5" t="str">
        <f>IFERROR(__xludf.DUMMYFUNCTION("IF(REGEXMATCH(Z231, ""Season""), ""TV Show"", ""Movie"")"),"Movie")</f>
        <v>Movie</v>
      </c>
    </row>
    <row r="232">
      <c r="A232" s="1" t="s">
        <v>1554</v>
      </c>
      <c r="B232" s="1" t="s">
        <v>27</v>
      </c>
      <c r="C232" s="1" t="s">
        <v>1555</v>
      </c>
      <c r="D232" s="1" t="s">
        <v>1556</v>
      </c>
      <c r="G232" s="1" t="s">
        <v>1503</v>
      </c>
      <c r="H232" s="1">
        <v>2021.0</v>
      </c>
      <c r="I232" s="1" t="s">
        <v>42</v>
      </c>
      <c r="J232" s="1" t="s">
        <v>1144</v>
      </c>
      <c r="K232" s="1" t="s">
        <v>645</v>
      </c>
      <c r="L232" s="1" t="s">
        <v>1557</v>
      </c>
      <c r="M232" s="2" t="s">
        <v>12</v>
      </c>
      <c r="N232" s="4">
        <f t="shared" si="1"/>
        <v>44433</v>
      </c>
      <c r="O232" s="5" t="str">
        <f>IFERROR(__xludf.DUMMYFUNCTION("IF(REGEXMATCH(TRIM(I232), ""^\d+\s*min""), ""Unclassified"", IF(I232 = """", ""NR"", I232))"),"TV-MA")</f>
        <v>TV-MA</v>
      </c>
      <c r="R232" s="5" t="str">
        <f t="shared" si="2"/>
        <v>The River Runner</v>
      </c>
      <c r="S232" s="5" t="str">
        <f>IFERROR(__xludf.DUMMYFUNCTION("""COMPUTED_VALUE"""),"A Russell Peters Christmas")</f>
        <v>A Russell Peters Christmas</v>
      </c>
      <c r="T232" s="5" t="str">
        <f>IFERROR(__xludf.DUMMYFUNCTION("""COMPUTED_VALUE"""),"Germany, United States, Italy")</f>
        <v>Germany, United States, Italy</v>
      </c>
      <c r="U232" s="5" t="str">
        <f>IFERROR(__xludf.DUMMYFUNCTION("""COMPUTED_VALUE"""),"Michelle Bello")</f>
        <v>Michelle Bello</v>
      </c>
      <c r="V232" s="5" t="s">
        <v>1558</v>
      </c>
      <c r="W232" s="5" t="str">
        <f t="shared" si="3"/>
        <v>Amarjit Virdi</v>
      </c>
      <c r="X232" s="5">
        <f t="shared" si="4"/>
        <v>1</v>
      </c>
      <c r="Y232" s="5" t="str">
        <f>IFERROR(__xludf.DUMMYFUNCTION("REGEXEXTRACT(J232, ""^\d+"")"),"86")</f>
        <v>86</v>
      </c>
      <c r="Z232" s="5" t="str">
        <f>IFERROR(__xludf.DUMMYFUNCTION("REGEXEXTRACT(J232, ""[A-Za-z ]+$"")")," min")</f>
        <v> min</v>
      </c>
      <c r="AA232" s="5" t="str">
        <f>IFERROR(__xludf.DUMMYFUNCTION("IF(REGEXMATCH(Z232, ""Season""), ""TV Show"", ""Movie"")"),"Movie")</f>
        <v>Movie</v>
      </c>
    </row>
    <row r="233">
      <c r="A233" s="1" t="s">
        <v>1559</v>
      </c>
      <c r="B233" s="1" t="s">
        <v>27</v>
      </c>
      <c r="C233" s="1" t="s">
        <v>1560</v>
      </c>
      <c r="D233" s="1" t="s">
        <v>1561</v>
      </c>
      <c r="E233" s="1" t="s">
        <v>1562</v>
      </c>
      <c r="F233" s="1" t="s">
        <v>30</v>
      </c>
      <c r="G233" s="1" t="s">
        <v>1503</v>
      </c>
      <c r="H233" s="1">
        <v>2021.0</v>
      </c>
      <c r="I233" s="1" t="s">
        <v>78</v>
      </c>
      <c r="J233" s="1" t="s">
        <v>665</v>
      </c>
      <c r="K233" s="1" t="s">
        <v>771</v>
      </c>
      <c r="L233" s="1" t="s">
        <v>1563</v>
      </c>
      <c r="M233" s="2" t="s">
        <v>12</v>
      </c>
      <c r="N233" s="4">
        <f t="shared" si="1"/>
        <v>44433</v>
      </c>
      <c r="O233" s="5" t="str">
        <f>IFERROR(__xludf.DUMMYFUNCTION("IF(REGEXMATCH(TRIM(I233), ""^\d+\s*min""), ""Unclassified"", IF(I233 = """", ""NR"", I233))"),"PG")</f>
        <v>PG</v>
      </c>
      <c r="R233" s="5" t="str">
        <f t="shared" si="2"/>
        <v>The Water Man</v>
      </c>
      <c r="S233" s="5" t="str">
        <f>IFERROR(__xludf.DUMMYFUNCTION("""COMPUTED_VALUE"""),"A Scandall")</f>
        <v>A Scandall</v>
      </c>
      <c r="T233" s="5" t="str">
        <f>IFERROR(__xludf.DUMMYFUNCTION("""COMPUTED_VALUE"""),"Germany, United States, Sweden")</f>
        <v>Germany, United States, Sweden</v>
      </c>
      <c r="U233" s="5" t="str">
        <f>IFERROR(__xludf.DUMMYFUNCTION("""COMPUTED_VALUE"""),"Steven Tsuchida")</f>
        <v>Steven Tsuchida</v>
      </c>
      <c r="V233" s="5" t="s">
        <v>1564</v>
      </c>
      <c r="W233" s="5" t="str">
        <f t="shared" si="3"/>
        <v>Amarpreet G S Chabbra</v>
      </c>
      <c r="X233" s="5">
        <f t="shared" si="4"/>
        <v>1</v>
      </c>
      <c r="Y233" s="5" t="str">
        <f>IFERROR(__xludf.DUMMYFUNCTION("REGEXEXTRACT(J233, ""^\d+"")"),"92")</f>
        <v>92</v>
      </c>
      <c r="Z233" s="5" t="str">
        <f>IFERROR(__xludf.DUMMYFUNCTION("REGEXEXTRACT(J233, ""[A-Za-z ]+$"")")," min")</f>
        <v> min</v>
      </c>
      <c r="AA233" s="5" t="str">
        <f>IFERROR(__xludf.DUMMYFUNCTION("IF(REGEXMATCH(Z233, ""Season""), ""TV Show"", ""Movie"")"),"Movie")</f>
        <v>Movie</v>
      </c>
    </row>
    <row r="234">
      <c r="A234" s="1" t="s">
        <v>1565</v>
      </c>
      <c r="B234" s="1" t="s">
        <v>37</v>
      </c>
      <c r="C234" s="1" t="s">
        <v>1566</v>
      </c>
      <c r="E234" s="1" t="s">
        <v>1567</v>
      </c>
      <c r="F234" s="1" t="s">
        <v>30</v>
      </c>
      <c r="G234" s="1" t="s">
        <v>1503</v>
      </c>
      <c r="H234" s="1">
        <v>2019.0</v>
      </c>
      <c r="I234" s="1" t="s">
        <v>506</v>
      </c>
      <c r="J234" s="1" t="s">
        <v>276</v>
      </c>
      <c r="K234" s="1" t="s">
        <v>440</v>
      </c>
      <c r="L234" s="1" t="s">
        <v>1568</v>
      </c>
      <c r="M234" s="2" t="s">
        <v>12</v>
      </c>
      <c r="N234" s="4">
        <f t="shared" si="1"/>
        <v>44433</v>
      </c>
      <c r="O234" s="5" t="str">
        <f>IFERROR(__xludf.DUMMYFUNCTION("IF(REGEXMATCH(TRIM(I234), ""^\d+\s*min""), ""Unclassified"", IF(I234 = """", ""NR"", I234))"),"TV-G")</f>
        <v>TV-G</v>
      </c>
      <c r="R234" s="5" t="str">
        <f t="shared" si="2"/>
        <v>Wheel Of Fortune</v>
      </c>
      <c r="S234" s="5" t="str">
        <f>IFERROR(__xludf.DUMMYFUNCTION("""COMPUTED_VALUE"""),"A Second Chance")</f>
        <v>A Second Chance</v>
      </c>
      <c r="T234" s="5" t="str">
        <f>IFERROR(__xludf.DUMMYFUNCTION("""COMPUTED_VALUE"""),"Germany, United States, United Kingdom, Canada")</f>
        <v>Germany, United States, United Kingdom, Canada</v>
      </c>
      <c r="U234" s="5" t="str">
        <f>IFERROR(__xludf.DUMMYFUNCTION("""COMPUTED_VALUE"""),"Daniel Markowicz")</f>
        <v>Daniel Markowicz</v>
      </c>
      <c r="V234" s="5" t="s">
        <v>1569</v>
      </c>
      <c r="W234" s="5" t="str">
        <f t="shared" si="3"/>
        <v>Amber Tamblyn</v>
      </c>
      <c r="X234" s="5">
        <f t="shared" si="4"/>
        <v>1</v>
      </c>
      <c r="Y234" s="5" t="str">
        <f>IFERROR(__xludf.DUMMYFUNCTION("REGEXEXTRACT(J234, ""^\d+"")"),"3")</f>
        <v>3</v>
      </c>
      <c r="Z234" s="5" t="str">
        <f>IFERROR(__xludf.DUMMYFUNCTION("REGEXEXTRACT(J234, ""[A-Za-z ]+$"")")," Seasons")</f>
        <v> Seasons</v>
      </c>
      <c r="AA234" s="5" t="str">
        <f>IFERROR(__xludf.DUMMYFUNCTION("IF(REGEXMATCH(Z234, ""Season""), ""TV Show"", ""Movie"")"),"TV Show")</f>
        <v>TV Show</v>
      </c>
    </row>
    <row r="235">
      <c r="A235" s="1" t="s">
        <v>1570</v>
      </c>
      <c r="B235" s="1" t="s">
        <v>27</v>
      </c>
      <c r="C235" s="1" t="s">
        <v>1571</v>
      </c>
      <c r="D235" s="1" t="s">
        <v>1572</v>
      </c>
      <c r="F235" s="1" t="s">
        <v>96</v>
      </c>
      <c r="G235" s="1" t="s">
        <v>1573</v>
      </c>
      <c r="H235" s="1">
        <v>2021.0</v>
      </c>
      <c r="I235" s="1" t="s">
        <v>42</v>
      </c>
      <c r="J235" s="1" t="s">
        <v>1001</v>
      </c>
      <c r="K235" s="1" t="s">
        <v>700</v>
      </c>
      <c r="L235" s="1" t="s">
        <v>1574</v>
      </c>
      <c r="M235" s="2" t="s">
        <v>12</v>
      </c>
      <c r="N235" s="4">
        <f t="shared" si="1"/>
        <v>44432</v>
      </c>
      <c r="O235" s="5" t="str">
        <f>IFERROR(__xludf.DUMMYFUNCTION("IF(REGEXMATCH(TRIM(I235), ""^\d+\s*min""), ""Unclassified"", IF(I235 = """", ""NR"", I235))"),"TV-MA")</f>
        <v>TV-MA</v>
      </c>
      <c r="R235" s="5" t="str">
        <f t="shared" si="2"/>
        <v>Count Me In</v>
      </c>
      <c r="S235" s="5" t="str">
        <f>IFERROR(__xludf.DUMMYFUNCTION("""COMPUTED_VALUE"""),"A Second Chance: Rivals!")</f>
        <v>A Second Chance: Rivals!</v>
      </c>
      <c r="T235" s="5" t="str">
        <f>IFERROR(__xludf.DUMMYFUNCTION("""COMPUTED_VALUE"""),"Ghana")</f>
        <v>Ghana</v>
      </c>
      <c r="U235" s="5" t="str">
        <f>IFERROR(__xludf.DUMMYFUNCTION("""COMPUTED_VALUE"""),"Louie Schwartzberg")</f>
        <v>Louie Schwartzberg</v>
      </c>
      <c r="V235" s="5" t="s">
        <v>1575</v>
      </c>
      <c r="W235" s="5" t="str">
        <f t="shared" si="3"/>
        <v>Amin Dora</v>
      </c>
      <c r="X235" s="5">
        <f t="shared" si="4"/>
        <v>1</v>
      </c>
      <c r="Y235" s="5" t="str">
        <f>IFERROR(__xludf.DUMMYFUNCTION("REGEXEXTRACT(J235, ""^\d+"")"),"82")</f>
        <v>82</v>
      </c>
      <c r="Z235" s="5" t="str">
        <f>IFERROR(__xludf.DUMMYFUNCTION("REGEXEXTRACT(J235, ""[A-Za-z ]+$"")")," min")</f>
        <v> min</v>
      </c>
      <c r="AA235" s="5" t="str">
        <f>IFERROR(__xludf.DUMMYFUNCTION("IF(REGEXMATCH(Z235, ""Season""), ""TV Show"", ""Movie"")"),"Movie")</f>
        <v>Movie</v>
      </c>
    </row>
    <row r="236">
      <c r="A236" s="1" t="s">
        <v>1576</v>
      </c>
      <c r="B236" s="1" t="s">
        <v>37</v>
      </c>
      <c r="C236" s="1" t="s">
        <v>1577</v>
      </c>
      <c r="G236" s="1" t="s">
        <v>1573</v>
      </c>
      <c r="H236" s="1">
        <v>2021.0</v>
      </c>
      <c r="I236" s="1" t="s">
        <v>206</v>
      </c>
      <c r="J236" s="1" t="s">
        <v>51</v>
      </c>
      <c r="K236" s="1" t="s">
        <v>314</v>
      </c>
      <c r="L236" s="1" t="s">
        <v>1578</v>
      </c>
      <c r="M236" s="2" t="s">
        <v>12</v>
      </c>
      <c r="N236" s="4">
        <f t="shared" si="1"/>
        <v>44432</v>
      </c>
      <c r="O236" s="5" t="str">
        <f>IFERROR(__xludf.DUMMYFUNCTION("IF(REGEXMATCH(TRIM(I236), ""^\d+\s*min""), ""Unclassified"", IF(I236 = """", ""NR"", I236))"),"TV-Y")</f>
        <v>TV-Y</v>
      </c>
      <c r="R236" s="5" t="str">
        <f t="shared" si="2"/>
        <v>Oggy Oggy</v>
      </c>
      <c r="S236" s="5" t="str">
        <f>IFERROR(__xludf.DUMMYFUNCTION("""COMPUTED_VALUE"""),"A Secret Love")</f>
        <v>A Secret Love</v>
      </c>
      <c r="T236" s="5" t="str">
        <f>IFERROR(__xludf.DUMMYFUNCTION("""COMPUTED_VALUE"""),"Ghana, United States")</f>
        <v>Ghana, United States</v>
      </c>
      <c r="U236" s="5" t="str">
        <f>IFERROR(__xludf.DUMMYFUNCTION("""COMPUTED_VALUE"""),"Glen Winter")</f>
        <v>Glen Winter</v>
      </c>
      <c r="V236" s="5" t="s">
        <v>1579</v>
      </c>
      <c r="W236" s="5" t="str">
        <f t="shared" si="3"/>
        <v>Amir Mohiuddin</v>
      </c>
      <c r="X236" s="5">
        <f t="shared" si="4"/>
        <v>1</v>
      </c>
      <c r="Y236" s="5" t="str">
        <f>IFERROR(__xludf.DUMMYFUNCTION("REGEXEXTRACT(J236, ""^\d+"")"),"1")</f>
        <v>1</v>
      </c>
      <c r="Z236" s="5" t="str">
        <f>IFERROR(__xludf.DUMMYFUNCTION("REGEXEXTRACT(J236, ""[A-Za-z ]+$"")")," Season")</f>
        <v> Season</v>
      </c>
      <c r="AA236" s="5" t="str">
        <f>IFERROR(__xludf.DUMMYFUNCTION("IF(REGEXMATCH(Z236, ""Season""), ""TV Show"", ""Movie"")"),"TV Show")</f>
        <v>TV Show</v>
      </c>
    </row>
    <row r="237">
      <c r="A237" s="1" t="s">
        <v>1580</v>
      </c>
      <c r="B237" s="1" t="s">
        <v>27</v>
      </c>
      <c r="C237" s="1" t="s">
        <v>1581</v>
      </c>
      <c r="D237" s="1" t="s">
        <v>1582</v>
      </c>
      <c r="G237" s="1" t="s">
        <v>1573</v>
      </c>
      <c r="H237" s="1">
        <v>2021.0</v>
      </c>
      <c r="I237" s="1" t="s">
        <v>136</v>
      </c>
      <c r="J237" s="1" t="s">
        <v>1583</v>
      </c>
      <c r="K237" s="1" t="s">
        <v>1584</v>
      </c>
      <c r="L237" s="1" t="s">
        <v>1585</v>
      </c>
      <c r="M237" s="2" t="s">
        <v>12</v>
      </c>
      <c r="N237" s="4">
        <f t="shared" si="1"/>
        <v>44432</v>
      </c>
      <c r="O237" s="5" t="str">
        <f>IFERROR(__xludf.DUMMYFUNCTION("IF(REGEXMATCH(TRIM(I237), ""^\d+\s*min""), ""Unclassified"", IF(I237 = """", ""NR"", I237))"),"TV-PG")</f>
        <v>TV-PG</v>
      </c>
      <c r="R237" s="5" t="str">
        <f t="shared" si="2"/>
        <v>Untold: Caitlyn Jenner</v>
      </c>
      <c r="S237" s="5" t="str">
        <f>IFERROR(__xludf.DUMMYFUNCTION("""COMPUTED_VALUE"""),"A Separation")</f>
        <v>A Separation</v>
      </c>
      <c r="T237" s="5" t="str">
        <f>IFERROR(__xludf.DUMMYFUNCTION("""COMPUTED_VALUE"""),"Greece, United States")</f>
        <v>Greece, United States</v>
      </c>
      <c r="U237" s="5" t="str">
        <f>IFERROR(__xludf.DUMMYFUNCTION("""COMPUTED_VALUE"""),"Ram Gopal Varma")</f>
        <v>Ram Gopal Varma</v>
      </c>
      <c r="V237" s="5" t="s">
        <v>1586</v>
      </c>
      <c r="W237" s="5" t="str">
        <f t="shared" si="3"/>
        <v>Amit Barot</v>
      </c>
      <c r="X237" s="5">
        <f t="shared" si="4"/>
        <v>1</v>
      </c>
      <c r="Y237" s="5" t="str">
        <f>IFERROR(__xludf.DUMMYFUNCTION("REGEXEXTRACT(J237, ""^\d+"")"),"70")</f>
        <v>70</v>
      </c>
      <c r="Z237" s="5" t="str">
        <f>IFERROR(__xludf.DUMMYFUNCTION("REGEXEXTRACT(J237, ""[A-Za-z ]+$"")")," min")</f>
        <v> min</v>
      </c>
      <c r="AA237" s="5" t="str">
        <f>IFERROR(__xludf.DUMMYFUNCTION("IF(REGEXMATCH(Z237, ""Season""), ""TV Show"", ""Movie"")"),"Movie")</f>
        <v>Movie</v>
      </c>
    </row>
    <row r="238">
      <c r="A238" s="1" t="s">
        <v>1587</v>
      </c>
      <c r="B238" s="1" t="s">
        <v>27</v>
      </c>
      <c r="C238" s="1" t="s">
        <v>1588</v>
      </c>
      <c r="D238" s="1" t="s">
        <v>1589</v>
      </c>
      <c r="E238" s="1" t="s">
        <v>1590</v>
      </c>
      <c r="G238" s="1" t="s">
        <v>1591</v>
      </c>
      <c r="H238" s="1">
        <v>2021.0</v>
      </c>
      <c r="I238" s="1" t="s">
        <v>97</v>
      </c>
      <c r="J238" s="1" t="s">
        <v>393</v>
      </c>
      <c r="K238" s="1" t="s">
        <v>1592</v>
      </c>
      <c r="L238" s="1" t="s">
        <v>1593</v>
      </c>
      <c r="M238" s="2" t="s">
        <v>12</v>
      </c>
      <c r="N238" s="4">
        <f t="shared" si="1"/>
        <v>44431</v>
      </c>
      <c r="O238" s="5" t="str">
        <f>IFERROR(__xludf.DUMMYFUNCTION("IF(REGEXMATCH(TRIM(I238), ""^\d+\s*min""), ""Unclassified"", IF(I238 = """", ""NR"", I238))"),"TV-14")</f>
        <v>TV-14</v>
      </c>
      <c r="R238" s="5" t="str">
        <f t="shared" si="2"/>
        <v>Boomika</v>
      </c>
      <c r="S238" s="5" t="str">
        <f>IFERROR(__xludf.DUMMYFUNCTION("""COMPUTED_VALUE"""),"A Series Of Unfortunate Events")</f>
        <v>A Series Of Unfortunate Events</v>
      </c>
      <c r="T238" s="5" t="str">
        <f>IFERROR(__xludf.DUMMYFUNCTION("""COMPUTED_VALUE"""),"Guatemala")</f>
        <v>Guatemala</v>
      </c>
      <c r="U238" s="5" t="str">
        <f>IFERROR(__xludf.DUMMYFUNCTION("""COMPUTED_VALUE"""),"David Benullo")</f>
        <v>David Benullo</v>
      </c>
      <c r="V238" s="5" t="s">
        <v>1594</v>
      </c>
      <c r="W238" s="5" t="str">
        <f t="shared" si="3"/>
        <v>Amit Rai</v>
      </c>
      <c r="X238" s="5">
        <f t="shared" si="4"/>
        <v>1</v>
      </c>
      <c r="Y238" s="5" t="str">
        <f>IFERROR(__xludf.DUMMYFUNCTION("REGEXEXTRACT(J238, ""^\d+"")"),"122")</f>
        <v>122</v>
      </c>
      <c r="Z238" s="5" t="str">
        <f>IFERROR(__xludf.DUMMYFUNCTION("REGEXEXTRACT(J238, ""[A-Za-z ]+$"")")," min")</f>
        <v> min</v>
      </c>
      <c r="AA238" s="5" t="str">
        <f>IFERROR(__xludf.DUMMYFUNCTION("IF(REGEXMATCH(Z238, ""Season""), ""TV Show"", ""Movie"")"),"Movie")</f>
        <v>Movie</v>
      </c>
    </row>
    <row r="239">
      <c r="A239" s="1" t="s">
        <v>1595</v>
      </c>
      <c r="B239" s="1" t="s">
        <v>27</v>
      </c>
      <c r="C239" s="1" t="s">
        <v>1596</v>
      </c>
      <c r="D239" s="1" t="s">
        <v>1589</v>
      </c>
      <c r="E239" s="1" t="s">
        <v>1590</v>
      </c>
      <c r="G239" s="1" t="s">
        <v>1591</v>
      </c>
      <c r="H239" s="1">
        <v>2021.0</v>
      </c>
      <c r="I239" s="1" t="s">
        <v>97</v>
      </c>
      <c r="J239" s="1" t="s">
        <v>393</v>
      </c>
      <c r="K239" s="1" t="s">
        <v>1592</v>
      </c>
      <c r="L239" s="1" t="s">
        <v>1593</v>
      </c>
      <c r="M239" s="2" t="s">
        <v>12</v>
      </c>
      <c r="N239" s="4">
        <f t="shared" si="1"/>
        <v>44431</v>
      </c>
      <c r="O239" s="5" t="str">
        <f>IFERROR(__xludf.DUMMYFUNCTION("IF(REGEXMATCH(TRIM(I239), ""^\d+\s*min""), ""Unclassified"", IF(I239 = """", ""NR"", I239))"),"TV-14")</f>
        <v>TV-14</v>
      </c>
      <c r="R239" s="5" t="str">
        <f t="shared" si="2"/>
        <v>Boomika (Hindi)</v>
      </c>
      <c r="S239" s="5" t="str">
        <f>IFERROR(__xludf.DUMMYFUNCTION("""COMPUTED_VALUE"""),"A Serious Man")</f>
        <v>A Serious Man</v>
      </c>
      <c r="T239" s="5" t="str">
        <f>IFERROR(__xludf.DUMMYFUNCTION("""COMPUTED_VALUE"""),"Hong Kong")</f>
        <v>Hong Kong</v>
      </c>
      <c r="U239" s="5" t="str">
        <f>IFERROR(__xludf.DUMMYFUNCTION("""COMPUTED_VALUE"""),"Laxman Utekar")</f>
        <v>Laxman Utekar</v>
      </c>
      <c r="V239" s="5" t="s">
        <v>1597</v>
      </c>
      <c r="W239" s="5" t="str">
        <f t="shared" si="3"/>
        <v>Amit Roy</v>
      </c>
      <c r="X239" s="5">
        <f t="shared" si="4"/>
        <v>1</v>
      </c>
      <c r="Y239" s="5" t="str">
        <f>IFERROR(__xludf.DUMMYFUNCTION("REGEXEXTRACT(J239, ""^\d+"")"),"122")</f>
        <v>122</v>
      </c>
      <c r="Z239" s="5" t="str">
        <f>IFERROR(__xludf.DUMMYFUNCTION("REGEXEXTRACT(J239, ""[A-Za-z ]+$"")")," min")</f>
        <v> min</v>
      </c>
      <c r="AA239" s="5" t="str">
        <f>IFERROR(__xludf.DUMMYFUNCTION("IF(REGEXMATCH(Z239, ""Season""), ""TV Show"", ""Movie"")"),"Movie")</f>
        <v>Movie</v>
      </c>
    </row>
    <row r="240">
      <c r="A240" s="1" t="s">
        <v>1598</v>
      </c>
      <c r="B240" s="1" t="s">
        <v>27</v>
      </c>
      <c r="C240" s="1" t="s">
        <v>1599</v>
      </c>
      <c r="D240" s="1" t="s">
        <v>1589</v>
      </c>
      <c r="E240" s="1" t="s">
        <v>1590</v>
      </c>
      <c r="G240" s="1" t="s">
        <v>1591</v>
      </c>
      <c r="H240" s="1">
        <v>2021.0</v>
      </c>
      <c r="I240" s="1" t="s">
        <v>97</v>
      </c>
      <c r="J240" s="1" t="s">
        <v>393</v>
      </c>
      <c r="K240" s="1" t="s">
        <v>1592</v>
      </c>
      <c r="L240" s="1" t="s">
        <v>1593</v>
      </c>
      <c r="M240" s="2" t="s">
        <v>12</v>
      </c>
      <c r="N240" s="4">
        <f t="shared" si="1"/>
        <v>44431</v>
      </c>
      <c r="O240" s="5" t="str">
        <f>IFERROR(__xludf.DUMMYFUNCTION("IF(REGEXMATCH(TRIM(I240), ""^\d+\s*min""), ""Unclassified"", IF(I240 = """", ""NR"", I240))"),"TV-14")</f>
        <v>TV-14</v>
      </c>
      <c r="R240" s="5" t="str">
        <f t="shared" si="2"/>
        <v>Boomika (Malayalam)</v>
      </c>
      <c r="S240" s="5" t="str">
        <f>IFERROR(__xludf.DUMMYFUNCTION("""COMPUTED_VALUE"""),"A Shaun The Sheep Movie: Farmageddon")</f>
        <v>A Shaun The Sheep Movie: Farmageddon</v>
      </c>
      <c r="T240" s="5" t="str">
        <f>IFERROR(__xludf.DUMMYFUNCTION("""COMPUTED_VALUE"""),"Hong Kong, Canada, United States")</f>
        <v>Hong Kong, Canada, United States</v>
      </c>
      <c r="U240" s="5" t="str">
        <f>IFERROR(__xludf.DUMMYFUNCTION("""COMPUTED_VALUE"""),"Royale Watkins, Rich Schlansker")</f>
        <v>Royale Watkins, Rich Schlansker</v>
      </c>
      <c r="V240" s="5" t="s">
        <v>1600</v>
      </c>
      <c r="W240" s="5" t="str">
        <f t="shared" si="3"/>
        <v>Amit Saxena</v>
      </c>
      <c r="X240" s="5">
        <f t="shared" si="4"/>
        <v>1</v>
      </c>
      <c r="Y240" s="5" t="str">
        <f>IFERROR(__xludf.DUMMYFUNCTION("REGEXEXTRACT(J240, ""^\d+"")"),"122")</f>
        <v>122</v>
      </c>
      <c r="Z240" s="5" t="str">
        <f>IFERROR(__xludf.DUMMYFUNCTION("REGEXEXTRACT(J240, ""[A-Za-z ]+$"")")," min")</f>
        <v> min</v>
      </c>
      <c r="AA240" s="5" t="str">
        <f>IFERROR(__xludf.DUMMYFUNCTION("IF(REGEXMATCH(Z240, ""Season""), ""TV Show"", ""Movie"")"),"Movie")</f>
        <v>Movie</v>
      </c>
    </row>
    <row r="241">
      <c r="A241" s="1" t="s">
        <v>1601</v>
      </c>
      <c r="B241" s="1" t="s">
        <v>27</v>
      </c>
      <c r="C241" s="1" t="s">
        <v>1602</v>
      </c>
      <c r="D241" s="1" t="s">
        <v>1589</v>
      </c>
      <c r="E241" s="1" t="s">
        <v>1590</v>
      </c>
      <c r="G241" s="1" t="s">
        <v>1591</v>
      </c>
      <c r="H241" s="1">
        <v>2021.0</v>
      </c>
      <c r="I241" s="1" t="s">
        <v>97</v>
      </c>
      <c r="J241" s="1" t="s">
        <v>393</v>
      </c>
      <c r="K241" s="1" t="s">
        <v>1592</v>
      </c>
      <c r="L241" s="1" t="s">
        <v>1593</v>
      </c>
      <c r="M241" s="2" t="s">
        <v>12</v>
      </c>
      <c r="N241" s="4">
        <f t="shared" si="1"/>
        <v>44431</v>
      </c>
      <c r="O241" s="5" t="str">
        <f>IFERROR(__xludf.DUMMYFUNCTION("IF(REGEXMATCH(TRIM(I241), ""^\d+\s*min""), ""Unclassified"", IF(I241 = """", ""NR"", I241))"),"TV-14")</f>
        <v>TV-14</v>
      </c>
      <c r="R241" s="5" t="str">
        <f t="shared" si="2"/>
        <v>Boomika (Telugu)</v>
      </c>
      <c r="S241" s="5" t="str">
        <f>IFERROR(__xludf.DUMMYFUNCTION("""COMPUTED_VALUE"""),"A Silent Voice")</f>
        <v>A Silent Voice</v>
      </c>
      <c r="T241" s="5" t="str">
        <f>IFERROR(__xludf.DUMMYFUNCTION("""COMPUTED_VALUE"""),"Hong Kong, China")</f>
        <v>Hong Kong, China</v>
      </c>
      <c r="U241" s="5" t="str">
        <f>IFERROR(__xludf.DUMMYFUNCTION("""COMPUTED_VALUE"""),"Yuval Adler")</f>
        <v>Yuval Adler</v>
      </c>
      <c r="V241" s="5" t="s">
        <v>1603</v>
      </c>
      <c r="W241" s="5" t="str">
        <f t="shared" si="3"/>
        <v>Amitabha Singh</v>
      </c>
      <c r="X241" s="5">
        <f t="shared" si="4"/>
        <v>1</v>
      </c>
      <c r="Y241" s="5" t="str">
        <f>IFERROR(__xludf.DUMMYFUNCTION("REGEXEXTRACT(J241, ""^\d+"")"),"122")</f>
        <v>122</v>
      </c>
      <c r="Z241" s="5" t="str">
        <f>IFERROR(__xludf.DUMMYFUNCTION("REGEXEXTRACT(J241, ""[A-Za-z ]+$"")")," min")</f>
        <v> min</v>
      </c>
      <c r="AA241" s="5" t="str">
        <f>IFERROR(__xludf.DUMMYFUNCTION("IF(REGEXMATCH(Z241, ""Season""), ""TV Show"", ""Movie"")"),"Movie")</f>
        <v>Movie</v>
      </c>
    </row>
    <row r="242">
      <c r="A242" s="1" t="s">
        <v>1604</v>
      </c>
      <c r="B242" s="1" t="s">
        <v>27</v>
      </c>
      <c r="C242" s="1" t="s">
        <v>1605</v>
      </c>
      <c r="D242" s="1" t="s">
        <v>1606</v>
      </c>
      <c r="E242" s="1" t="s">
        <v>1607</v>
      </c>
      <c r="G242" s="1" t="s">
        <v>1591</v>
      </c>
      <c r="H242" s="1">
        <v>2021.0</v>
      </c>
      <c r="I242" s="1" t="s">
        <v>42</v>
      </c>
      <c r="J242" s="1" t="s">
        <v>1608</v>
      </c>
      <c r="K242" s="1" t="s">
        <v>1609</v>
      </c>
      <c r="L242" s="1" t="s">
        <v>1610</v>
      </c>
      <c r="M242" s="2" t="s">
        <v>12</v>
      </c>
      <c r="N242" s="4">
        <f t="shared" si="1"/>
        <v>44431</v>
      </c>
      <c r="O242" s="5" t="str">
        <f>IFERROR(__xludf.DUMMYFUNCTION("IF(REGEXMATCH(TRIM(I242), ""^\d+\s*min""), ""Unclassified"", IF(I242 = """", ""NR"", I242))"),"TV-MA")</f>
        <v>TV-MA</v>
      </c>
      <c r="R242" s="5" t="str">
        <f t="shared" si="2"/>
        <v>The Witcher: Nightmare Of The Wolf</v>
      </c>
      <c r="S242" s="5" t="str">
        <f>IFERROR(__xludf.DUMMYFUNCTION("""COMPUTED_VALUE"""),"A Single Man")</f>
        <v>A Single Man</v>
      </c>
      <c r="T242" s="5" t="str">
        <f>IFERROR(__xludf.DUMMYFUNCTION("""COMPUTED_VALUE"""),"Hong Kong, China, Singapore")</f>
        <v>Hong Kong, China, Singapore</v>
      </c>
      <c r="U242" s="5" t="str">
        <f>IFERROR(__xludf.DUMMYFUNCTION("""COMPUTED_VALUE"""),"Quentin Tarantino")</f>
        <v>Quentin Tarantino</v>
      </c>
      <c r="V242" s="5" t="s">
        <v>1611</v>
      </c>
      <c r="W242" s="5" t="str">
        <f t="shared" si="3"/>
        <v>Amitava Bhattacharya</v>
      </c>
      <c r="X242" s="5">
        <f t="shared" si="4"/>
        <v>1</v>
      </c>
      <c r="Y242" s="5" t="str">
        <f>IFERROR(__xludf.DUMMYFUNCTION("REGEXEXTRACT(J242, ""^\d+"")"),"84")</f>
        <v>84</v>
      </c>
      <c r="Z242" s="5" t="str">
        <f>IFERROR(__xludf.DUMMYFUNCTION("REGEXEXTRACT(J242, ""[A-Za-z ]+$"")")," min")</f>
        <v> min</v>
      </c>
      <c r="AA242" s="5" t="str">
        <f>IFERROR(__xludf.DUMMYFUNCTION("IF(REGEXMATCH(Z242, ""Season""), ""TV Show"", ""Movie"")"),"Movie")</f>
        <v>Movie</v>
      </c>
    </row>
    <row r="243">
      <c r="A243" s="1" t="s">
        <v>1612</v>
      </c>
      <c r="B243" s="1" t="s">
        <v>37</v>
      </c>
      <c r="C243" s="1" t="s">
        <v>1613</v>
      </c>
      <c r="E243" s="1" t="s">
        <v>1614</v>
      </c>
      <c r="F243" s="1" t="s">
        <v>30</v>
      </c>
      <c r="G243" s="1" t="s">
        <v>1615</v>
      </c>
      <c r="H243" s="1">
        <v>2021.0</v>
      </c>
      <c r="I243" s="1" t="s">
        <v>97</v>
      </c>
      <c r="J243" s="1" t="s">
        <v>276</v>
      </c>
      <c r="K243" s="1" t="s">
        <v>1616</v>
      </c>
      <c r="L243" s="1" t="s">
        <v>1617</v>
      </c>
      <c r="M243" s="2" t="s">
        <v>12</v>
      </c>
      <c r="N243" s="4">
        <f t="shared" si="1"/>
        <v>44429</v>
      </c>
      <c r="O243" s="5" t="str">
        <f>IFERROR(__xludf.DUMMYFUNCTION("IF(REGEXMATCH(TRIM(I243), ""^\d+\s*min""), ""Unclassified"", IF(I243 = """", ""NR"", I243))"),"TV-14")</f>
        <v>TV-14</v>
      </c>
      <c r="R243" s="5" t="str">
        <f t="shared" si="2"/>
        <v>Manifest</v>
      </c>
      <c r="S243" s="5" t="str">
        <f>IFERROR(__xludf.DUMMYFUNCTION("""COMPUTED_VALUE"""),"A Sort Of Family")</f>
        <v>A Sort Of Family</v>
      </c>
      <c r="T243" s="5" t="str">
        <f>IFERROR(__xludf.DUMMYFUNCTION("""COMPUTED_VALUE"""),"Hong Kong, China, United States")</f>
        <v>Hong Kong, China, United States</v>
      </c>
      <c r="U243" s="5" t="str">
        <f>IFERROR(__xludf.DUMMYFUNCTION("""COMPUTED_VALUE"""),"Clay Glen")</f>
        <v>Clay Glen</v>
      </c>
      <c r="V243" s="5" t="s">
        <v>1618</v>
      </c>
      <c r="W243" s="5" t="str">
        <f t="shared" si="3"/>
        <v>Amitoj Mann</v>
      </c>
      <c r="X243" s="5">
        <f t="shared" si="4"/>
        <v>3</v>
      </c>
      <c r="Y243" s="5" t="str">
        <f>IFERROR(__xludf.DUMMYFUNCTION("REGEXEXTRACT(J243, ""^\d+"")"),"3")</f>
        <v>3</v>
      </c>
      <c r="Z243" s="5" t="str">
        <f>IFERROR(__xludf.DUMMYFUNCTION("REGEXEXTRACT(J243, ""[A-Za-z ]+$"")")," Seasons")</f>
        <v> Seasons</v>
      </c>
      <c r="AA243" s="5" t="str">
        <f>IFERROR(__xludf.DUMMYFUNCTION("IF(REGEXMATCH(Z243, ""Season""), ""TV Show"", ""Movie"")"),"TV Show")</f>
        <v>TV Show</v>
      </c>
    </row>
    <row r="244">
      <c r="A244" s="1" t="s">
        <v>1619</v>
      </c>
      <c r="B244" s="1" t="s">
        <v>37</v>
      </c>
      <c r="C244" s="1" t="s">
        <v>1620</v>
      </c>
      <c r="G244" s="1" t="s">
        <v>1621</v>
      </c>
      <c r="H244" s="1">
        <v>2021.0</v>
      </c>
      <c r="I244" s="1" t="s">
        <v>42</v>
      </c>
      <c r="J244" s="1" t="s">
        <v>51</v>
      </c>
      <c r="K244" s="1" t="s">
        <v>1294</v>
      </c>
      <c r="L244" s="1" t="s">
        <v>1622</v>
      </c>
      <c r="M244" s="2" t="s">
        <v>12</v>
      </c>
      <c r="N244" s="4">
        <f t="shared" si="1"/>
        <v>44428</v>
      </c>
      <c r="O244" s="5" t="str">
        <f>IFERROR(__xludf.DUMMYFUNCTION("IF(REGEXMATCH(TRIM(I244), ""^\d+\s*min""), ""Unclassified"", IF(I244 = """", ""NR"", I244))"),"TV-MA")</f>
        <v>TV-MA</v>
      </c>
      <c r="R244" s="5" t="str">
        <f t="shared" si="2"/>
        <v>Comedy Premium League</v>
      </c>
      <c r="S244" s="5" t="str">
        <f>IFERROR(__xludf.DUMMYFUNCTION("""COMPUTED_VALUE"""),"A Sort Of Homecoming")</f>
        <v>A Sort Of Homecoming</v>
      </c>
      <c r="T244" s="5" t="str">
        <f>IFERROR(__xludf.DUMMYFUNCTION("""COMPUTED_VALUE"""),"Hong Kong, Iceland, United States")</f>
        <v>Hong Kong, Iceland, United States</v>
      </c>
      <c r="U244" s="5" t="str">
        <f>IFERROR(__xludf.DUMMYFUNCTION("""COMPUTED_VALUE"""),"Muzi Mthembu")</f>
        <v>Muzi Mthembu</v>
      </c>
      <c r="V244" s="5" t="s">
        <v>1623</v>
      </c>
      <c r="W244" s="5" t="str">
        <f t="shared" si="3"/>
        <v>Amman Abbasi</v>
      </c>
      <c r="X244" s="5">
        <f t="shared" si="4"/>
        <v>1</v>
      </c>
      <c r="Y244" s="5" t="str">
        <f>IFERROR(__xludf.DUMMYFUNCTION("REGEXEXTRACT(J244, ""^\d+"")"),"1")</f>
        <v>1</v>
      </c>
      <c r="Z244" s="5" t="str">
        <f>IFERROR(__xludf.DUMMYFUNCTION("REGEXEXTRACT(J244, ""[A-Za-z ]+$"")")," Season")</f>
        <v> Season</v>
      </c>
      <c r="AA244" s="5" t="str">
        <f>IFERROR(__xludf.DUMMYFUNCTION("IF(REGEXMATCH(Z244, ""Season""), ""TV Show"", ""Movie"")"),"TV Show")</f>
        <v>TV Show</v>
      </c>
    </row>
    <row r="245">
      <c r="A245" s="1" t="s">
        <v>1624</v>
      </c>
      <c r="B245" s="1" t="s">
        <v>37</v>
      </c>
      <c r="C245" s="1" t="s">
        <v>1625</v>
      </c>
      <c r="E245" s="1" t="s">
        <v>1626</v>
      </c>
      <c r="G245" s="1" t="s">
        <v>1621</v>
      </c>
      <c r="H245" s="1">
        <v>2021.0</v>
      </c>
      <c r="I245" s="1" t="s">
        <v>42</v>
      </c>
      <c r="J245" s="1" t="s">
        <v>51</v>
      </c>
      <c r="K245" s="1" t="s">
        <v>1627</v>
      </c>
      <c r="L245" s="1" t="s">
        <v>1628</v>
      </c>
      <c r="M245" s="2" t="s">
        <v>12</v>
      </c>
      <c r="N245" s="4">
        <f t="shared" si="1"/>
        <v>44428</v>
      </c>
      <c r="O245" s="5" t="str">
        <f>IFERROR(__xludf.DUMMYFUNCTION("IF(REGEXMATCH(TRIM(I245), ""^\d+\s*min""), ""Unclassified"", IF(I245 = """", ""NR"", I245))"),"TV-MA")</f>
        <v>TV-MA</v>
      </c>
      <c r="R245" s="5" t="str">
        <f t="shared" si="2"/>
        <v>Everything Will Be Fine</v>
      </c>
      <c r="S245" s="5" t="str">
        <f>IFERROR(__xludf.DUMMYFUNCTION("""COMPUTED_VALUE"""),"A Stoning In Fulham County")</f>
        <v>A Stoning In Fulham County</v>
      </c>
      <c r="T245" s="5" t="str">
        <f>IFERROR(__xludf.DUMMYFUNCTION("""COMPUTED_VALUE"""),"Hong Kong, Taiwan")</f>
        <v>Hong Kong, Taiwan</v>
      </c>
      <c r="U245" s="5" t="str">
        <f>IFERROR(__xludf.DUMMYFUNCTION("""COMPUTED_VALUE"""),"Marcos Bucay")</f>
        <v>Marcos Bucay</v>
      </c>
      <c r="V245" s="5" t="s">
        <v>1629</v>
      </c>
      <c r="W245" s="5" t="str">
        <f t="shared" si="3"/>
        <v>Amol Palekar</v>
      </c>
      <c r="X245" s="5">
        <f t="shared" si="4"/>
        <v>1</v>
      </c>
      <c r="Y245" s="5" t="str">
        <f>IFERROR(__xludf.DUMMYFUNCTION("REGEXEXTRACT(J245, ""^\d+"")"),"1")</f>
        <v>1</v>
      </c>
      <c r="Z245" s="5" t="str">
        <f>IFERROR(__xludf.DUMMYFUNCTION("REGEXEXTRACT(J245, ""[A-Za-z ]+$"")")," Season")</f>
        <v> Season</v>
      </c>
      <c r="AA245" s="5" t="str">
        <f>IFERROR(__xludf.DUMMYFUNCTION("IF(REGEXMATCH(Z245, ""Season""), ""TV Show"", ""Movie"")"),"TV Show")</f>
        <v>TV Show</v>
      </c>
    </row>
    <row r="246">
      <c r="A246" s="1" t="s">
        <v>1630</v>
      </c>
      <c r="B246" s="1" t="s">
        <v>27</v>
      </c>
      <c r="C246" s="1" t="s">
        <v>1631</v>
      </c>
      <c r="D246" s="1" t="s">
        <v>1632</v>
      </c>
      <c r="E246" s="1" t="s">
        <v>1633</v>
      </c>
      <c r="G246" s="1" t="s">
        <v>1621</v>
      </c>
      <c r="H246" s="1">
        <v>2018.0</v>
      </c>
      <c r="I246" s="1" t="s">
        <v>97</v>
      </c>
      <c r="J246" s="1" t="s">
        <v>322</v>
      </c>
      <c r="K246" s="1" t="s">
        <v>298</v>
      </c>
      <c r="L246" s="1" t="s">
        <v>1634</v>
      </c>
      <c r="M246" s="2" t="s">
        <v>12</v>
      </c>
      <c r="N246" s="4">
        <f t="shared" si="1"/>
        <v>44428</v>
      </c>
      <c r="O246" s="5" t="str">
        <f>IFERROR(__xludf.DUMMYFUNCTION("IF(REGEXMATCH(TRIM(I246), ""^\d+\s*min""), ""Unclassified"", IF(I246 = """", ""NR"", I246))"),"TV-14")</f>
        <v>TV-14</v>
      </c>
      <c r="R246" s="5" t="str">
        <f t="shared" si="2"/>
        <v>Gunshot</v>
      </c>
      <c r="S246" s="5" t="str">
        <f>IFERROR(__xludf.DUMMYFUNCTION("""COMPUTED_VALUE"""),"A Storybots Christmas")</f>
        <v>A Storybots Christmas</v>
      </c>
      <c r="T246" s="5" t="str">
        <f>IFERROR(__xludf.DUMMYFUNCTION("""COMPUTED_VALUE"""),"Hong Kong, United States")</f>
        <v>Hong Kong, United States</v>
      </c>
      <c r="U246" s="5" t="str">
        <f>IFERROR(__xludf.DUMMYFUNCTION("""COMPUTED_VALUE"""),"Peter Thorwarth")</f>
        <v>Peter Thorwarth</v>
      </c>
      <c r="V246" s="5" t="s">
        <v>1635</v>
      </c>
      <c r="W246" s="5" t="str">
        <f t="shared" si="3"/>
        <v>Amr Arafa</v>
      </c>
      <c r="X246" s="5">
        <f t="shared" si="4"/>
        <v>3</v>
      </c>
      <c r="Y246" s="5" t="str">
        <f>IFERROR(__xludf.DUMMYFUNCTION("REGEXEXTRACT(J246, ""^\d+"")"),"96")</f>
        <v>96</v>
      </c>
      <c r="Z246" s="5" t="str">
        <f>IFERROR(__xludf.DUMMYFUNCTION("REGEXEXTRACT(J246, ""[A-Za-z ]+$"")")," min")</f>
        <v> min</v>
      </c>
      <c r="AA246" s="5" t="str">
        <f>IFERROR(__xludf.DUMMYFUNCTION("IF(REGEXMATCH(Z246, ""Season""), ""TV Show"", ""Movie"")"),"Movie")</f>
        <v>Movie</v>
      </c>
    </row>
    <row r="247">
      <c r="A247" s="1" t="s">
        <v>1636</v>
      </c>
      <c r="B247" s="1" t="s">
        <v>37</v>
      </c>
      <c r="C247" s="1" t="s">
        <v>1637</v>
      </c>
      <c r="E247" s="1" t="s">
        <v>1638</v>
      </c>
      <c r="G247" s="1" t="s">
        <v>1621</v>
      </c>
      <c r="H247" s="1">
        <v>2021.0</v>
      </c>
      <c r="I247" s="1" t="s">
        <v>136</v>
      </c>
      <c r="J247" s="1" t="s">
        <v>51</v>
      </c>
      <c r="K247" s="1" t="s">
        <v>507</v>
      </c>
      <c r="L247" s="1" t="s">
        <v>1639</v>
      </c>
      <c r="M247" s="2" t="s">
        <v>12</v>
      </c>
      <c r="N247" s="4">
        <f t="shared" si="1"/>
        <v>44428</v>
      </c>
      <c r="O247" s="5" t="str">
        <f>IFERROR(__xludf.DUMMYFUNCTION("IF(REGEXMATCH(TRIM(I247), ""^\d+\s*min""), ""Unclassified"", IF(I247 = """", ""NR"", I247))"),"TV-PG")</f>
        <v>TV-PG</v>
      </c>
      <c r="R247" s="5" t="str">
        <f t="shared" si="2"/>
        <v>Korean Cold Noodle Rhapsody</v>
      </c>
      <c r="S247" s="5" t="str">
        <f>IFERROR(__xludf.DUMMYFUNCTION("""COMPUTED_VALUE"""),"A Storybots Space Adventure")</f>
        <v>A Storybots Space Adventure</v>
      </c>
      <c r="T247" s="5" t="str">
        <f>IFERROR(__xludf.DUMMYFUNCTION("""COMPUTED_VALUE"""),"Hungary")</f>
        <v>Hungary</v>
      </c>
      <c r="U247" s="5" t="str">
        <f>IFERROR(__xludf.DUMMYFUNCTION("""COMPUTED_VALUE"""),"Kim Seong-Hun")</f>
        <v>Kim Seong-Hun</v>
      </c>
      <c r="V247" s="5" t="s">
        <v>1640</v>
      </c>
      <c r="W247" s="5" t="str">
        <f t="shared" si="3"/>
        <v>Amr Salama</v>
      </c>
      <c r="X247" s="5">
        <f t="shared" si="4"/>
        <v>1</v>
      </c>
      <c r="Y247" s="5" t="str">
        <f>IFERROR(__xludf.DUMMYFUNCTION("REGEXEXTRACT(J247, ""^\d+"")"),"1")</f>
        <v>1</v>
      </c>
      <c r="Z247" s="5" t="str">
        <f>IFERROR(__xludf.DUMMYFUNCTION("REGEXEXTRACT(J247, ""[A-Za-z ]+$"")")," Season")</f>
        <v> Season</v>
      </c>
      <c r="AA247" s="5" t="str">
        <f>IFERROR(__xludf.DUMMYFUNCTION("IF(REGEXMATCH(Z247, ""Season""), ""TV Show"", ""Movie"")"),"TV Show")</f>
        <v>TV Show</v>
      </c>
    </row>
    <row r="248">
      <c r="A248" s="1" t="s">
        <v>1641</v>
      </c>
      <c r="B248" s="1" t="s">
        <v>27</v>
      </c>
      <c r="C248" s="1" t="s">
        <v>1642</v>
      </c>
      <c r="D248" s="1" t="s">
        <v>1643</v>
      </c>
      <c r="E248" s="1" t="s">
        <v>1644</v>
      </c>
      <c r="G248" s="1" t="s">
        <v>1621</v>
      </c>
      <c r="H248" s="1">
        <v>2021.0</v>
      </c>
      <c r="I248" s="1" t="s">
        <v>42</v>
      </c>
      <c r="J248" s="1" t="s">
        <v>379</v>
      </c>
      <c r="K248" s="1" t="s">
        <v>679</v>
      </c>
      <c r="L248" s="1" t="s">
        <v>1645</v>
      </c>
      <c r="M248" s="2" t="s">
        <v>12</v>
      </c>
      <c r="N248" s="4">
        <f t="shared" si="1"/>
        <v>44428</v>
      </c>
      <c r="O248" s="5" t="str">
        <f>IFERROR(__xludf.DUMMYFUNCTION("IF(REGEXMATCH(TRIM(I248), ""^\d+\s*min""), ""Unclassified"", IF(I248 = """", ""NR"", I248))"),"TV-MA")</f>
        <v>TV-MA</v>
      </c>
      <c r="R248" s="5" t="str">
        <f t="shared" si="2"/>
        <v>Man In Love</v>
      </c>
      <c r="S248" s="5" t="str">
        <f>IFERROR(__xludf.DUMMYFUNCTION("""COMPUTED_VALUE"""),"A Sun")</f>
        <v>A Sun</v>
      </c>
      <c r="T248" s="5" t="str">
        <f>IFERROR(__xludf.DUMMYFUNCTION("""COMPUTED_VALUE"""),"Hungary, United States")</f>
        <v>Hungary, United States</v>
      </c>
      <c r="U248" s="5" t="str">
        <f>IFERROR(__xludf.DUMMYFUNCTION("""COMPUTED_VALUE"""),"Augustine Frizzell")</f>
        <v>Augustine Frizzell</v>
      </c>
      <c r="V248" s="5" t="s">
        <v>1646</v>
      </c>
      <c r="W248" s="5" t="str">
        <f t="shared" si="3"/>
        <v>Amro Salah</v>
      </c>
      <c r="X248" s="5">
        <f t="shared" si="4"/>
        <v>1</v>
      </c>
      <c r="Y248" s="5" t="str">
        <f>IFERROR(__xludf.DUMMYFUNCTION("REGEXEXTRACT(J248, ""^\d+"")"),"115")</f>
        <v>115</v>
      </c>
      <c r="Z248" s="5" t="str">
        <f>IFERROR(__xludf.DUMMYFUNCTION("REGEXEXTRACT(J248, ""[A-Za-z ]+$"")")," min")</f>
        <v> min</v>
      </c>
      <c r="AA248" s="5" t="str">
        <f>IFERROR(__xludf.DUMMYFUNCTION("IF(REGEXMATCH(Z248, ""Season""), ""TV Show"", ""Movie"")"),"Movie")</f>
        <v>Movie</v>
      </c>
    </row>
    <row r="249">
      <c r="A249" s="1" t="s">
        <v>1647</v>
      </c>
      <c r="B249" s="1" t="s">
        <v>27</v>
      </c>
      <c r="C249" s="1" t="s">
        <v>1648</v>
      </c>
      <c r="D249" s="1" t="s">
        <v>1649</v>
      </c>
      <c r="E249" s="1" t="s">
        <v>1650</v>
      </c>
      <c r="F249" s="1" t="s">
        <v>30</v>
      </c>
      <c r="G249" s="1" t="s">
        <v>1621</v>
      </c>
      <c r="H249" s="1">
        <v>2021.0</v>
      </c>
      <c r="I249" s="1" t="s">
        <v>378</v>
      </c>
      <c r="J249" s="1" t="s">
        <v>297</v>
      </c>
      <c r="K249" s="1" t="s">
        <v>323</v>
      </c>
      <c r="L249" s="1" t="s">
        <v>1651</v>
      </c>
      <c r="M249" s="2" t="s">
        <v>12</v>
      </c>
      <c r="N249" s="4">
        <f t="shared" si="1"/>
        <v>44428</v>
      </c>
      <c r="O249" s="5" t="str">
        <f>IFERROR(__xludf.DUMMYFUNCTION("IF(REGEXMATCH(TRIM(I249), ""^\d+\s*min""), ""Unclassified"", IF(I249 = """", ""NR"", I249))"),"R")</f>
        <v>R</v>
      </c>
      <c r="R249" s="5" t="str">
        <f t="shared" si="2"/>
        <v>Sweet Girl</v>
      </c>
      <c r="S249" s="5" t="str">
        <f>IFERROR(__xludf.DUMMYFUNCTION("""COMPUTED_VALUE"""),"A Taiwanese Tale Of Two Cities")</f>
        <v>A Taiwanese Tale Of Two Cities</v>
      </c>
      <c r="T249" s="5" t="str">
        <f>IFERROR(__xludf.DUMMYFUNCTION("""COMPUTED_VALUE"""),"Iceland")</f>
        <v>Iceland</v>
      </c>
      <c r="U249" s="5" t="str">
        <f>IFERROR(__xludf.DUMMYFUNCTION("""COMPUTED_VALUE"""),"Sidheswar Shukla")</f>
        <v>Sidheswar Shukla</v>
      </c>
      <c r="V249" s="5" t="s">
        <v>1652</v>
      </c>
      <c r="W249" s="5" t="str">
        <f t="shared" si="3"/>
        <v>Amshan Kumar</v>
      </c>
      <c r="X249" s="5">
        <f t="shared" si="4"/>
        <v>1</v>
      </c>
      <c r="Y249" s="5" t="str">
        <f>IFERROR(__xludf.DUMMYFUNCTION("REGEXEXTRACT(J249, ""^\d+"")"),"110")</f>
        <v>110</v>
      </c>
      <c r="Z249" s="5" t="str">
        <f>IFERROR(__xludf.DUMMYFUNCTION("REGEXEXTRACT(J249, ""[A-Za-z ]+$"")")," min")</f>
        <v> min</v>
      </c>
      <c r="AA249" s="5" t="str">
        <f>IFERROR(__xludf.DUMMYFUNCTION("IF(REGEXMATCH(Z249, ""Season""), ""TV Show"", ""Movie"")"),"Movie")</f>
        <v>Movie</v>
      </c>
    </row>
    <row r="250">
      <c r="A250" s="1" t="s">
        <v>1653</v>
      </c>
      <c r="B250" s="1" t="s">
        <v>37</v>
      </c>
      <c r="C250" s="1" t="s">
        <v>1654</v>
      </c>
      <c r="E250" s="1" t="s">
        <v>1655</v>
      </c>
      <c r="G250" s="1" t="s">
        <v>1621</v>
      </c>
      <c r="H250" s="1">
        <v>2021.0</v>
      </c>
      <c r="I250" s="1" t="s">
        <v>42</v>
      </c>
      <c r="J250" s="1" t="s">
        <v>51</v>
      </c>
      <c r="K250" s="1" t="s">
        <v>149</v>
      </c>
      <c r="L250" s="1" t="s">
        <v>1656</v>
      </c>
      <c r="M250" s="2" t="s">
        <v>12</v>
      </c>
      <c r="N250" s="4">
        <f t="shared" si="1"/>
        <v>44428</v>
      </c>
      <c r="O250" s="5" t="str">
        <f>IFERROR(__xludf.DUMMYFUNCTION("IF(REGEXMATCH(TRIM(I250), ""^\d+\s*min""), ""Unclassified"", IF(I250 = """", ""NR"", I250))"),"TV-MA")</f>
        <v>TV-MA</v>
      </c>
      <c r="R250" s="5" t="str">
        <f t="shared" si="2"/>
        <v>The Chair</v>
      </c>
      <c r="S250" s="5" t="str">
        <f>IFERROR(__xludf.DUMMYFUNCTION("""COMPUTED_VALUE"""),"A Tale Of Love And Darkness")</f>
        <v>A Tale Of Love And Darkness</v>
      </c>
      <c r="T250" s="5" t="str">
        <f>IFERROR(__xludf.DUMMYFUNCTION("""COMPUTED_VALUE"""),"Iceland, Sweden, Belgium")</f>
        <v>Iceland, Sweden, Belgium</v>
      </c>
      <c r="U250" s="5" t="str">
        <f>IFERROR(__xludf.DUMMYFUNCTION("""COMPUTED_VALUE"""),"Rajiv Chilaka")</f>
        <v>Rajiv Chilaka</v>
      </c>
      <c r="V250" s="5" t="s">
        <v>1657</v>
      </c>
      <c r="W250" s="5" t="str">
        <f t="shared" si="3"/>
        <v>Amy Poehler</v>
      </c>
      <c r="X250" s="5">
        <f t="shared" si="4"/>
        <v>2</v>
      </c>
      <c r="Y250" s="5" t="str">
        <f>IFERROR(__xludf.DUMMYFUNCTION("REGEXEXTRACT(J250, ""^\d+"")"),"1")</f>
        <v>1</v>
      </c>
      <c r="Z250" s="5" t="str">
        <f>IFERROR(__xludf.DUMMYFUNCTION("REGEXEXTRACT(J250, ""[A-Za-z ]+$"")")," Season")</f>
        <v> Season</v>
      </c>
      <c r="AA250" s="5" t="str">
        <f>IFERROR(__xludf.DUMMYFUNCTION("IF(REGEXMATCH(Z250, ""Season""), ""TV Show"", ""Movie"")"),"TV Show")</f>
        <v>TV Show</v>
      </c>
    </row>
    <row r="251">
      <c r="A251" s="1" t="s">
        <v>1658</v>
      </c>
      <c r="B251" s="1" t="s">
        <v>27</v>
      </c>
      <c r="C251" s="1" t="s">
        <v>1659</v>
      </c>
      <c r="D251" s="1" t="s">
        <v>1660</v>
      </c>
      <c r="E251" s="1" t="s">
        <v>1661</v>
      </c>
      <c r="G251" s="1" t="s">
        <v>1621</v>
      </c>
      <c r="H251" s="1">
        <v>2021.0</v>
      </c>
      <c r="I251" s="1" t="s">
        <v>289</v>
      </c>
      <c r="J251" s="1" t="s">
        <v>428</v>
      </c>
      <c r="K251" s="1" t="s">
        <v>1662</v>
      </c>
      <c r="L251" s="1" t="s">
        <v>1663</v>
      </c>
      <c r="M251" s="2" t="s">
        <v>12</v>
      </c>
      <c r="N251" s="4">
        <f t="shared" si="1"/>
        <v>44428</v>
      </c>
      <c r="O251" s="5" t="str">
        <f>IFERROR(__xludf.DUMMYFUNCTION("IF(REGEXMATCH(TRIM(I251), ""^\d+\s*min""), ""Unclassified"", IF(I251 = """", ""NR"", I251))"),"TV-Y7")</f>
        <v>TV-Y7</v>
      </c>
      <c r="R251" s="5" t="str">
        <f t="shared" si="2"/>
        <v>The Loud House Movie</v>
      </c>
      <c r="S251" s="5" t="str">
        <f>IFERROR(__xludf.DUMMYFUNCTION("""COMPUTED_VALUE"""),"A Tale Of Two Kitchens")</f>
        <v>A Tale Of Two Kitchens</v>
      </c>
      <c r="T251" s="5" t="str">
        <f>IFERROR(__xludf.DUMMYFUNCTION("""COMPUTED_VALUE"""),"India")</f>
        <v>India</v>
      </c>
      <c r="U251" s="5" t="str">
        <f>IFERROR(__xludf.DUMMYFUNCTION("""COMPUTED_VALUE"""),"Binayak Das")</f>
        <v>Binayak Das</v>
      </c>
      <c r="V251" s="5" t="s">
        <v>1210</v>
      </c>
      <c r="W251" s="5" t="str">
        <f t="shared" si="3"/>
        <v>Amy Rice</v>
      </c>
      <c r="X251" s="5">
        <f t="shared" si="4"/>
        <v>1</v>
      </c>
      <c r="Y251" s="5" t="str">
        <f>IFERROR(__xludf.DUMMYFUNCTION("REGEXEXTRACT(J251, ""^\d+"")"),"88")</f>
        <v>88</v>
      </c>
      <c r="Z251" s="5" t="str">
        <f>IFERROR(__xludf.DUMMYFUNCTION("REGEXEXTRACT(J251, ""[A-Za-z ]+$"")")," min")</f>
        <v> min</v>
      </c>
      <c r="AA251" s="5" t="str">
        <f>IFERROR(__xludf.DUMMYFUNCTION("IF(REGEXMATCH(Z251, ""Season""), ""TV Show"", ""Movie"")"),"Movie")</f>
        <v>Movie</v>
      </c>
    </row>
    <row r="252">
      <c r="A252" s="1" t="s">
        <v>1664</v>
      </c>
      <c r="B252" s="1" t="s">
        <v>27</v>
      </c>
      <c r="C252" s="1" t="s">
        <v>1665</v>
      </c>
      <c r="D252" s="1" t="s">
        <v>1666</v>
      </c>
      <c r="E252" s="1" t="s">
        <v>1667</v>
      </c>
      <c r="G252" s="1" t="s">
        <v>1668</v>
      </c>
      <c r="H252" s="1">
        <v>2020.0</v>
      </c>
      <c r="I252" s="1" t="s">
        <v>136</v>
      </c>
      <c r="J252" s="1" t="s">
        <v>447</v>
      </c>
      <c r="K252" s="1" t="s">
        <v>679</v>
      </c>
      <c r="L252" s="1" t="s">
        <v>1669</v>
      </c>
      <c r="M252" s="2" t="s">
        <v>12</v>
      </c>
      <c r="N252" s="4">
        <f t="shared" si="1"/>
        <v>44427</v>
      </c>
      <c r="O252" s="5" t="str">
        <f>IFERROR(__xludf.DUMMYFUNCTION("IF(REGEXMATCH(TRIM(I252), ""^\d+\s*min""), ""Unclassified"", IF(I252 = """", ""NR"", I252))"),"TV-PG")</f>
        <v>TV-PG</v>
      </c>
      <c r="R252" s="5" t="str">
        <f t="shared" si="2"/>
        <v>A Faraway Land</v>
      </c>
      <c r="S252" s="5" t="str">
        <f>IFERROR(__xludf.DUMMYFUNCTION("""COMPUTED_VALUE"""),"A Thin Line Between Love &amp; Hate")</f>
        <v>A Thin Line Between Love &amp; Hate</v>
      </c>
      <c r="T252" s="5" t="str">
        <f>IFERROR(__xludf.DUMMYFUNCTION("""COMPUTED_VALUE"""),"India, Australia")</f>
        <v>India, Australia</v>
      </c>
      <c r="U252" s="5" t="str">
        <f>IFERROR(__xludf.DUMMYFUNCTION("""COMPUTED_VALUE"""),"Arpan Sarkar, Shyamal Chaulia")</f>
        <v>Arpan Sarkar, Shyamal Chaulia</v>
      </c>
      <c r="V252" s="5" t="s">
        <v>1670</v>
      </c>
      <c r="W252" s="5" t="str">
        <f t="shared" si="3"/>
        <v>Amy Schumer</v>
      </c>
      <c r="X252" s="5">
        <f t="shared" si="4"/>
        <v>2</v>
      </c>
      <c r="Y252" s="5" t="str">
        <f>IFERROR(__xludf.DUMMYFUNCTION("REGEXEXTRACT(J252, ""^\d+"")"),"102")</f>
        <v>102</v>
      </c>
      <c r="Z252" s="5" t="str">
        <f>IFERROR(__xludf.DUMMYFUNCTION("REGEXEXTRACT(J252, ""[A-Za-z ]+$"")")," min")</f>
        <v> min</v>
      </c>
      <c r="AA252" s="5" t="str">
        <f>IFERROR(__xludf.DUMMYFUNCTION("IF(REGEXMATCH(Z252, ""Season""), ""TV Show"", ""Movie"")"),"Movie")</f>
        <v>Movie</v>
      </c>
    </row>
    <row r="253">
      <c r="A253" s="1" t="s">
        <v>1671</v>
      </c>
      <c r="B253" s="1" t="s">
        <v>27</v>
      </c>
      <c r="C253" s="1" t="s">
        <v>1672</v>
      </c>
      <c r="D253" s="1" t="s">
        <v>1673</v>
      </c>
      <c r="E253" s="1" t="s">
        <v>1674</v>
      </c>
      <c r="F253" s="1" t="s">
        <v>30</v>
      </c>
      <c r="G253" s="1" t="s">
        <v>1668</v>
      </c>
      <c r="H253" s="1">
        <v>2011.0</v>
      </c>
      <c r="I253" s="1" t="s">
        <v>32</v>
      </c>
      <c r="J253" s="1" t="s">
        <v>79</v>
      </c>
      <c r="K253" s="1" t="s">
        <v>1538</v>
      </c>
      <c r="L253" s="1" t="s">
        <v>1675</v>
      </c>
      <c r="M253" s="2" t="s">
        <v>12</v>
      </c>
      <c r="N253" s="4">
        <f t="shared" si="1"/>
        <v>44427</v>
      </c>
      <c r="O253" s="5" t="str">
        <f>IFERROR(__xludf.DUMMYFUNCTION("IF(REGEXMATCH(TRIM(I253), ""^\d+\s*min""), ""Unclassified"", IF(I253 = """", ""NR"", I253))"),"PG-13")</f>
        <v>PG-13</v>
      </c>
      <c r="R253" s="5" t="str">
        <f t="shared" si="2"/>
        <v>Like Crazy</v>
      </c>
      <c r="S253" s="5" t="str">
        <f>IFERROR(__xludf.DUMMYFUNCTION("""COMPUTED_VALUE"""),"A Thousand Goodnights")</f>
        <v>A Thousand Goodnights</v>
      </c>
      <c r="T253" s="5" t="str">
        <f>IFERROR(__xludf.DUMMYFUNCTION("""COMPUTED_VALUE"""),"India, Canada")</f>
        <v>India, Canada</v>
      </c>
      <c r="U253" s="5" t="str">
        <f>IFERROR(__xludf.DUMMYFUNCTION("""COMPUTED_VALUE"""),"Rajiv Chilaka, Owll Mina")</f>
        <v>Rajiv Chilaka, Owll Mina</v>
      </c>
      <c r="V253" s="5" t="s">
        <v>1676</v>
      </c>
      <c r="W253" s="5" t="str">
        <f t="shared" si="3"/>
        <v>Amy Segal</v>
      </c>
      <c r="X253" s="5">
        <f t="shared" si="4"/>
        <v>1</v>
      </c>
      <c r="Y253" s="5" t="str">
        <f>IFERROR(__xludf.DUMMYFUNCTION("REGEXEXTRACT(J253, ""^\d+"")"),"91")</f>
        <v>91</v>
      </c>
      <c r="Z253" s="5" t="str">
        <f>IFERROR(__xludf.DUMMYFUNCTION("REGEXEXTRACT(J253, ""[A-Za-z ]+$"")")," min")</f>
        <v> min</v>
      </c>
      <c r="AA253" s="5" t="str">
        <f>IFERROR(__xludf.DUMMYFUNCTION("IF(REGEXMATCH(Z253, ""Season""), ""TV Show"", ""Movie"")"),"Movie")</f>
        <v>Movie</v>
      </c>
    </row>
    <row r="254">
      <c r="A254" s="1" t="s">
        <v>1677</v>
      </c>
      <c r="B254" s="1" t="s">
        <v>27</v>
      </c>
      <c r="C254" s="1" t="s">
        <v>1678</v>
      </c>
      <c r="D254" s="1" t="s">
        <v>1679</v>
      </c>
      <c r="E254" s="1" t="s">
        <v>1680</v>
      </c>
      <c r="G254" s="1" t="s">
        <v>1681</v>
      </c>
      <c r="H254" s="1">
        <v>2021.0</v>
      </c>
      <c r="I254" s="1" t="s">
        <v>42</v>
      </c>
      <c r="J254" s="1" t="s">
        <v>305</v>
      </c>
      <c r="K254" s="1" t="s">
        <v>631</v>
      </c>
      <c r="L254" s="1" t="s">
        <v>1682</v>
      </c>
      <c r="M254" s="2" t="s">
        <v>12</v>
      </c>
      <c r="N254" s="4">
        <f t="shared" si="1"/>
        <v>44426</v>
      </c>
      <c r="O254" s="5" t="str">
        <f>IFERROR(__xludf.DUMMYFUNCTION("IF(REGEXMATCH(TRIM(I254), ""^\d+\s*min""), ""Unclassified"", IF(I254 = """", ""NR"", I254))"),"TV-MA")</f>
        <v>TV-MA</v>
      </c>
      <c r="R254" s="5" t="str">
        <f t="shared" si="2"/>
        <v>Black Island</v>
      </c>
      <c r="S254" s="5" t="str">
        <f>IFERROR(__xludf.DUMMYFUNCTION("""COMPUTED_VALUE"""),"A Thousand Words")</f>
        <v>A Thousand Words</v>
      </c>
      <c r="T254" s="5" t="str">
        <f>IFERROR(__xludf.DUMMYFUNCTION("""COMPUTED_VALUE"""),"India, France")</f>
        <v>India, France</v>
      </c>
      <c r="U254" s="5" t="str">
        <f>IFERROR(__xludf.DUMMYFUNCTION("""COMPUTED_VALUE"""),"Ainsley Gardiner, Briar Grace-Smith")</f>
        <v>Ainsley Gardiner, Briar Grace-Smith</v>
      </c>
      <c r="V254" s="5" t="s">
        <v>1683</v>
      </c>
      <c r="W254" s="5" t="str">
        <f t="shared" si="3"/>
        <v>Ana Kokkinos</v>
      </c>
      <c r="X254" s="5">
        <f t="shared" si="4"/>
        <v>1</v>
      </c>
      <c r="Y254" s="5" t="str">
        <f>IFERROR(__xludf.DUMMYFUNCTION("REGEXEXTRACT(J254, ""^\d+"")"),"105")</f>
        <v>105</v>
      </c>
      <c r="Z254" s="5" t="str">
        <f>IFERROR(__xludf.DUMMYFUNCTION("REGEXEXTRACT(J254, ""[A-Za-z ]+$"")")," min")</f>
        <v> min</v>
      </c>
      <c r="AA254" s="5" t="str">
        <f>IFERROR(__xludf.DUMMYFUNCTION("IF(REGEXMATCH(Z254, ""Season""), ""TV Show"", ""Movie"")"),"Movie")</f>
        <v>Movie</v>
      </c>
    </row>
    <row r="255">
      <c r="A255" s="1" t="s">
        <v>1684</v>
      </c>
      <c r="B255" s="1" t="s">
        <v>27</v>
      </c>
      <c r="C255" s="1" t="s">
        <v>1685</v>
      </c>
      <c r="D255" s="1" t="s">
        <v>1686</v>
      </c>
      <c r="E255" s="1" t="s">
        <v>1687</v>
      </c>
      <c r="F255" s="1" t="s">
        <v>63</v>
      </c>
      <c r="G255" s="1" t="s">
        <v>1681</v>
      </c>
      <c r="H255" s="1">
        <v>1995.0</v>
      </c>
      <c r="I255" s="1" t="s">
        <v>97</v>
      </c>
      <c r="J255" s="1" t="s">
        <v>1369</v>
      </c>
      <c r="K255" s="1" t="s">
        <v>679</v>
      </c>
      <c r="L255" s="1" t="s">
        <v>1688</v>
      </c>
      <c r="M255" s="2" t="s">
        <v>12</v>
      </c>
      <c r="N255" s="4">
        <f t="shared" si="1"/>
        <v>44426</v>
      </c>
      <c r="O255" s="5" t="str">
        <f>IFERROR(__xludf.DUMMYFUNCTION("IF(REGEXMATCH(TRIM(I255), ""^\d+\s*min""), ""Unclassified"", IF(I255 = """", ""NR"", I255))"),"TV-14")</f>
        <v>TV-14</v>
      </c>
      <c r="R255" s="5" t="str">
        <f t="shared" si="2"/>
        <v>Bombay</v>
      </c>
      <c r="S255" s="5" t="str">
        <f>IFERROR(__xludf.DUMMYFUNCTION("""COMPUTED_VALUE"""),"A Touch Of Green")</f>
        <v>A Touch Of Green</v>
      </c>
      <c r="T255" s="5" t="str">
        <f>IFERROR(__xludf.DUMMYFUNCTION("""COMPUTED_VALUE"""),"India, Germany")</f>
        <v>India, Germany</v>
      </c>
      <c r="U255" s="5" t="str">
        <f>IFERROR(__xludf.DUMMYFUNCTION("""COMPUTED_VALUE"""),"Mahmoud Karim")</f>
        <v>Mahmoud Karim</v>
      </c>
      <c r="V255" s="5" t="s">
        <v>1689</v>
      </c>
      <c r="W255" s="5" t="str">
        <f t="shared" si="3"/>
        <v>Ana Lily Amirpour</v>
      </c>
      <c r="X255" s="5">
        <f t="shared" si="4"/>
        <v>1</v>
      </c>
      <c r="Y255" s="5" t="str">
        <f>IFERROR(__xludf.DUMMYFUNCTION("REGEXEXTRACT(J255, ""^\d+"")"),"135")</f>
        <v>135</v>
      </c>
      <c r="Z255" s="5" t="str">
        <f>IFERROR(__xludf.DUMMYFUNCTION("REGEXEXTRACT(J255, ""[A-Za-z ]+$"")")," min")</f>
        <v> min</v>
      </c>
      <c r="AA255" s="5" t="str">
        <f>IFERROR(__xludf.DUMMYFUNCTION("IF(REGEXMATCH(Z255, ""Season""), ""TV Show"", ""Movie"")"),"Movie")</f>
        <v>Movie</v>
      </c>
    </row>
    <row r="256">
      <c r="A256" s="1" t="s">
        <v>1690</v>
      </c>
      <c r="B256" s="1" t="s">
        <v>37</v>
      </c>
      <c r="C256" s="1" t="s">
        <v>1691</v>
      </c>
      <c r="E256" s="1" t="s">
        <v>1692</v>
      </c>
      <c r="F256" s="1" t="s">
        <v>30</v>
      </c>
      <c r="G256" s="1" t="s">
        <v>1681</v>
      </c>
      <c r="H256" s="1">
        <v>2021.0</v>
      </c>
      <c r="I256" s="1" t="s">
        <v>206</v>
      </c>
      <c r="J256" s="1" t="s">
        <v>189</v>
      </c>
      <c r="K256" s="1" t="s">
        <v>290</v>
      </c>
      <c r="L256" s="1" t="s">
        <v>1693</v>
      </c>
      <c r="M256" s="2" t="s">
        <v>12</v>
      </c>
      <c r="N256" s="4">
        <f t="shared" si="1"/>
        <v>44426</v>
      </c>
      <c r="O256" s="5" t="str">
        <f>IFERROR(__xludf.DUMMYFUNCTION("IF(REGEXMATCH(TRIM(I256), ""^\d+\s*min""), ""Unclassified"", IF(I256 = """", ""NR"", I256))"),"TV-Y")</f>
        <v>TV-Y</v>
      </c>
      <c r="R256" s="5" t="str">
        <f t="shared" si="2"/>
        <v>Go! Go! Cory Carson</v>
      </c>
      <c r="S256" s="5" t="str">
        <f>IFERROR(__xludf.DUMMYFUNCTION("""COMPUTED_VALUE"""),"A Trash Truck Christmas")</f>
        <v>A Trash Truck Christmas</v>
      </c>
      <c r="T256" s="5" t="str">
        <f>IFERROR(__xludf.DUMMYFUNCTION("""COMPUTED_VALUE"""),"India, Germany, Austria")</f>
        <v>India, Germany, Austria</v>
      </c>
      <c r="U256" s="5" t="str">
        <f>IFERROR(__xludf.DUMMYFUNCTION("""COMPUTED_VALUE"""),"Kyohei Ishiguro")</f>
        <v>Kyohei Ishiguro</v>
      </c>
      <c r="V256" s="5" t="s">
        <v>1694</v>
      </c>
      <c r="W256" s="5" t="str">
        <f t="shared" si="3"/>
        <v>Ana Quiroga</v>
      </c>
      <c r="X256" s="5">
        <f t="shared" si="4"/>
        <v>1</v>
      </c>
      <c r="Y256" s="5" t="str">
        <f>IFERROR(__xludf.DUMMYFUNCTION("REGEXEXTRACT(J256, ""^\d+"")"),"5")</f>
        <v>5</v>
      </c>
      <c r="Z256" s="5" t="str">
        <f>IFERROR(__xludf.DUMMYFUNCTION("REGEXEXTRACT(J256, ""[A-Za-z ]+$"")")," Seasons")</f>
        <v> Seasons</v>
      </c>
      <c r="AA256" s="5" t="str">
        <f>IFERROR(__xludf.DUMMYFUNCTION("IF(REGEXMATCH(Z256, ""Season""), ""TV Show"", ""Movie"")"),"TV Show")</f>
        <v>TV Show</v>
      </c>
    </row>
    <row r="257">
      <c r="A257" s="1" t="s">
        <v>1695</v>
      </c>
      <c r="B257" s="1" t="s">
        <v>27</v>
      </c>
      <c r="C257" s="1" t="s">
        <v>1696</v>
      </c>
      <c r="D257" s="1" t="s">
        <v>1697</v>
      </c>
      <c r="G257" s="1" t="s">
        <v>1681</v>
      </c>
      <c r="H257" s="1">
        <v>2021.0</v>
      </c>
      <c r="I257" s="1" t="s">
        <v>42</v>
      </c>
      <c r="J257" s="1" t="s">
        <v>1144</v>
      </c>
      <c r="K257" s="1" t="s">
        <v>156</v>
      </c>
      <c r="L257" s="1" t="s">
        <v>1698</v>
      </c>
      <c r="M257" s="2" t="s">
        <v>12</v>
      </c>
      <c r="N257" s="4">
        <f t="shared" si="1"/>
        <v>44426</v>
      </c>
      <c r="O257" s="5" t="str">
        <f>IFERROR(__xludf.DUMMYFUNCTION("IF(REGEXMATCH(TRIM(I257), ""^\d+\s*min""), ""Unclassified"", IF(I257 = """", ""NR"", I257))"),"TV-MA")</f>
        <v>TV-MA</v>
      </c>
      <c r="R257" s="5" t="str">
        <f t="shared" si="2"/>
        <v>Memories Of A Murderer: The Nilsen Tapes</v>
      </c>
      <c r="S257" s="5" t="str">
        <f>IFERROR(__xludf.DUMMYFUNCTION("""COMPUTED_VALUE"""),"A Trip To Jamaica")</f>
        <v>A Trip To Jamaica</v>
      </c>
      <c r="T257" s="5" t="str">
        <f>IFERROR(__xludf.DUMMYFUNCTION("""COMPUTED_VALUE"""),"India, Germany, France")</f>
        <v>India, Germany, France</v>
      </c>
      <c r="U257" s="5" t="str">
        <f>IFERROR(__xludf.DUMMYFUNCTION("""COMPUTED_VALUE"""),"Seyi Babatope")</f>
        <v>Seyi Babatope</v>
      </c>
      <c r="V257" s="5" t="s">
        <v>1699</v>
      </c>
      <c r="W257" s="5" t="str">
        <f t="shared" si="3"/>
        <v>Anand Kamalakar</v>
      </c>
      <c r="X257" s="5">
        <f t="shared" si="4"/>
        <v>1</v>
      </c>
      <c r="Y257" s="5" t="str">
        <f>IFERROR(__xludf.DUMMYFUNCTION("REGEXEXTRACT(J257, ""^\d+"")"),"86")</f>
        <v>86</v>
      </c>
      <c r="Z257" s="5" t="str">
        <f>IFERROR(__xludf.DUMMYFUNCTION("REGEXEXTRACT(J257, ""[A-Za-z ]+$"")")," min")</f>
        <v> min</v>
      </c>
      <c r="AA257" s="5" t="str">
        <f>IFERROR(__xludf.DUMMYFUNCTION("IF(REGEXMATCH(Z257, ""Season""), ""TV Show"", ""Movie"")"),"Movie")</f>
        <v>Movie</v>
      </c>
    </row>
    <row r="258">
      <c r="A258" s="1" t="s">
        <v>1700</v>
      </c>
      <c r="B258" s="1" t="s">
        <v>27</v>
      </c>
      <c r="C258" s="1" t="s">
        <v>1701</v>
      </c>
      <c r="D258" s="1" t="s">
        <v>1702</v>
      </c>
      <c r="E258" s="1" t="s">
        <v>1703</v>
      </c>
      <c r="G258" s="1" t="s">
        <v>1681</v>
      </c>
      <c r="H258" s="1">
        <v>2020.0</v>
      </c>
      <c r="I258" s="1" t="s">
        <v>97</v>
      </c>
      <c r="J258" s="1" t="s">
        <v>1704</v>
      </c>
      <c r="K258" s="1" t="s">
        <v>128</v>
      </c>
      <c r="L258" s="1" t="s">
        <v>1705</v>
      </c>
      <c r="M258" s="2" t="s">
        <v>12</v>
      </c>
      <c r="N258" s="4">
        <f t="shared" si="1"/>
        <v>44426</v>
      </c>
      <c r="O258" s="5" t="str">
        <f>IFERROR(__xludf.DUMMYFUNCTION("IF(REGEXMATCH(TRIM(I258), ""^\d+\s*min""), ""Unclassified"", IF(I258 = """", ""NR"", I258))"),"TV-14")</f>
        <v>TV-14</v>
      </c>
      <c r="R258" s="5" t="str">
        <f t="shared" si="2"/>
        <v>Nneka The Pretty Serpent</v>
      </c>
      <c r="S258" s="5" t="str">
        <f>IFERROR(__xludf.DUMMYFUNCTION("""COMPUTED_VALUE"""),"A Truthful Mother")</f>
        <v>A Truthful Mother</v>
      </c>
      <c r="T258" s="5" t="str">
        <f>IFERROR(__xludf.DUMMYFUNCTION("""COMPUTED_VALUE"""),"India, Iran")</f>
        <v>India, Iran</v>
      </c>
      <c r="U258" s="5" t="str">
        <f>IFERROR(__xludf.DUMMYFUNCTION("""COMPUTED_VALUE"""),"Johane Matte, Andrew L. Schmidt, Francisco Ruiz Velasco")</f>
        <v>Johane Matte, Andrew L. Schmidt, Francisco Ruiz Velasco</v>
      </c>
      <c r="V258" s="5" t="s">
        <v>1706</v>
      </c>
      <c r="W258" s="5" t="str">
        <f t="shared" si="3"/>
        <v>Anand Ravichandran</v>
      </c>
      <c r="X258" s="5">
        <f t="shared" si="4"/>
        <v>1</v>
      </c>
      <c r="Y258" s="5" t="str">
        <f>IFERROR(__xludf.DUMMYFUNCTION("REGEXEXTRACT(J258, ""^\d+"")"),"140")</f>
        <v>140</v>
      </c>
      <c r="Z258" s="5" t="str">
        <f>IFERROR(__xludf.DUMMYFUNCTION("REGEXEXTRACT(J258, ""[A-Za-z ]+$"")")," min")</f>
        <v> min</v>
      </c>
      <c r="AA258" s="5" t="str">
        <f>IFERROR(__xludf.DUMMYFUNCTION("IF(REGEXMATCH(Z258, ""Season""), ""TV Show"", ""Movie"")"),"Movie")</f>
        <v>Movie</v>
      </c>
    </row>
    <row r="259">
      <c r="A259" s="1" t="s">
        <v>1707</v>
      </c>
      <c r="B259" s="1" t="s">
        <v>27</v>
      </c>
      <c r="C259" s="1" t="s">
        <v>1708</v>
      </c>
      <c r="D259" s="1" t="s">
        <v>1686</v>
      </c>
      <c r="E259" s="1" t="s">
        <v>1709</v>
      </c>
      <c r="G259" s="1" t="s">
        <v>1681</v>
      </c>
      <c r="H259" s="1">
        <v>2015.0</v>
      </c>
      <c r="I259" s="1" t="s">
        <v>97</v>
      </c>
      <c r="J259" s="1" t="s">
        <v>1428</v>
      </c>
      <c r="K259" s="1" t="s">
        <v>679</v>
      </c>
      <c r="L259" s="1" t="s">
        <v>1710</v>
      </c>
      <c r="M259" s="2" t="s">
        <v>12</v>
      </c>
      <c r="N259" s="4">
        <f t="shared" si="1"/>
        <v>44426</v>
      </c>
      <c r="O259" s="5" t="str">
        <f>IFERROR(__xludf.DUMMYFUNCTION("IF(REGEXMATCH(TRIM(I259), ""^\d+\s*min""), ""Unclassified"", IF(I259 = """", ""NR"", I259))"),"TV-14")</f>
        <v>TV-14</v>
      </c>
      <c r="R259" s="5" t="str">
        <f t="shared" si="2"/>
        <v>O Kadhal Kanmani</v>
      </c>
      <c r="S259" s="5" t="str">
        <f>IFERROR(__xludf.DUMMYFUNCTION("""COMPUTED_VALUE"""),"A Twelve Year Night")</f>
        <v>A Twelve Year Night</v>
      </c>
      <c r="T259" s="5" t="str">
        <f>IFERROR(__xludf.DUMMYFUNCTION("""COMPUTED_VALUE"""),"India, Japan")</f>
        <v>India, Japan</v>
      </c>
      <c r="U259" s="5" t="str">
        <f>IFERROR(__xludf.DUMMYFUNCTION("""COMPUTED_VALUE"""),"Morgan Ingari")</f>
        <v>Morgan Ingari</v>
      </c>
      <c r="V259" s="5" t="s">
        <v>1711</v>
      </c>
      <c r="W259" s="5" t="str">
        <f t="shared" si="3"/>
        <v>Anand Tiwari</v>
      </c>
      <c r="X259" s="5">
        <f t="shared" si="4"/>
        <v>1</v>
      </c>
      <c r="Y259" s="5" t="str">
        <f>IFERROR(__xludf.DUMMYFUNCTION("REGEXEXTRACT(J259, ""^\d+"")"),"133")</f>
        <v>133</v>
      </c>
      <c r="Z259" s="5" t="str">
        <f>IFERROR(__xludf.DUMMYFUNCTION("REGEXEXTRACT(J259, ""[A-Za-z ]+$"")")," min")</f>
        <v> min</v>
      </c>
      <c r="AA259" s="5" t="str">
        <f>IFERROR(__xludf.DUMMYFUNCTION("IF(REGEXMATCH(Z259, ""Season""), ""TV Show"", ""Movie"")"),"Movie")</f>
        <v>Movie</v>
      </c>
    </row>
    <row r="260">
      <c r="A260" s="1" t="s">
        <v>1712</v>
      </c>
      <c r="B260" s="1" t="s">
        <v>27</v>
      </c>
      <c r="C260" s="1" t="s">
        <v>1713</v>
      </c>
      <c r="D260" s="1" t="s">
        <v>1385</v>
      </c>
      <c r="E260" s="1" t="s">
        <v>1714</v>
      </c>
      <c r="G260" s="1" t="s">
        <v>1681</v>
      </c>
      <c r="H260" s="1">
        <v>2020.0</v>
      </c>
      <c r="I260" s="1" t="s">
        <v>42</v>
      </c>
      <c r="J260" s="1" t="s">
        <v>665</v>
      </c>
      <c r="K260" s="1" t="s">
        <v>583</v>
      </c>
      <c r="L260" s="1" t="s">
        <v>1715</v>
      </c>
      <c r="M260" s="2" t="s">
        <v>12</v>
      </c>
      <c r="N260" s="4">
        <f t="shared" si="1"/>
        <v>44426</v>
      </c>
      <c r="O260" s="5" t="str">
        <f>IFERROR(__xludf.DUMMYFUNCTION("IF(REGEXMATCH(TRIM(I260), ""^\d+\s*min""), ""Unclassified"", IF(I260 = """", ""NR"", I260))"),"TV-MA")</f>
        <v>TV-MA</v>
      </c>
      <c r="R260" s="5" t="str">
        <f t="shared" si="2"/>
        <v>Out Of My League</v>
      </c>
      <c r="S260" s="5" t="str">
        <f>IFERROR(__xludf.DUMMYFUNCTION("""COMPUTED_VALUE"""),"A Very Country Christmas")</f>
        <v>A Very Country Christmas</v>
      </c>
      <c r="T260" s="5" t="str">
        <f>IFERROR(__xludf.DUMMYFUNCTION("""COMPUTED_VALUE"""),"India, Malaysia")</f>
        <v>India, Malaysia</v>
      </c>
      <c r="U260" s="5" t="str">
        <f>IFERROR(__xludf.DUMMYFUNCTION("""COMPUTED_VALUE"""),"Abdulaziz Alshlahei")</f>
        <v>Abdulaziz Alshlahei</v>
      </c>
      <c r="V260" s="5" t="s">
        <v>1716</v>
      </c>
      <c r="W260" s="5" t="str">
        <f t="shared" si="3"/>
        <v>Anand Tucker</v>
      </c>
      <c r="X260" s="5">
        <f t="shared" si="4"/>
        <v>1</v>
      </c>
      <c r="Y260" s="5" t="str">
        <f>IFERROR(__xludf.DUMMYFUNCTION("REGEXEXTRACT(J260, ""^\d+"")"),"92")</f>
        <v>92</v>
      </c>
      <c r="Z260" s="5" t="str">
        <f>IFERROR(__xludf.DUMMYFUNCTION("REGEXEXTRACT(J260, ""[A-Za-z ]+$"")")," min")</f>
        <v> min</v>
      </c>
      <c r="AA260" s="5" t="str">
        <f>IFERROR(__xludf.DUMMYFUNCTION("IF(REGEXMATCH(Z260, ""Season""), ""TV Show"", ""Movie"")"),"Movie")</f>
        <v>Movie</v>
      </c>
    </row>
    <row r="261">
      <c r="A261" s="1" t="s">
        <v>1717</v>
      </c>
      <c r="B261" s="1" t="s">
        <v>27</v>
      </c>
      <c r="C261" s="1" t="s">
        <v>1718</v>
      </c>
      <c r="D261" s="1" t="s">
        <v>1719</v>
      </c>
      <c r="E261" s="1" t="s">
        <v>1720</v>
      </c>
      <c r="F261" s="1" t="s">
        <v>1721</v>
      </c>
      <c r="G261" s="1" t="s">
        <v>1681</v>
      </c>
      <c r="H261" s="1">
        <v>2018.0</v>
      </c>
      <c r="I261" s="1" t="s">
        <v>136</v>
      </c>
      <c r="J261" s="1" t="s">
        <v>1001</v>
      </c>
      <c r="K261" s="1" t="s">
        <v>583</v>
      </c>
      <c r="L261" s="1" t="s">
        <v>1722</v>
      </c>
      <c r="M261" s="2" t="s">
        <v>12</v>
      </c>
      <c r="N261" s="4">
        <f t="shared" si="1"/>
        <v>44426</v>
      </c>
      <c r="O261" s="5" t="str">
        <f>IFERROR(__xludf.DUMMYFUNCTION("IF(REGEXMATCH(TRIM(I261), ""^\d+\s*min""), ""Unclassified"", IF(I261 = """", ""NR"", I261))"),"TV-PG")</f>
        <v>TV-PG</v>
      </c>
      <c r="R261" s="5" t="str">
        <f t="shared" si="2"/>
        <v>Pahuna</v>
      </c>
      <c r="S261" s="5" t="str">
        <f>IFERROR(__xludf.DUMMYFUNCTION("""COMPUTED_VALUE"""),"A Very Murray Christmas")</f>
        <v>A Very Murray Christmas</v>
      </c>
      <c r="T261" s="5" t="str">
        <f>IFERROR(__xludf.DUMMYFUNCTION("""COMPUTED_VALUE"""),"India, Mexico")</f>
        <v>India, Mexico</v>
      </c>
      <c r="U261" s="5" t="str">
        <f>IFERROR(__xludf.DUMMYFUNCTION("""COMPUTED_VALUE"""),"Edward Drake")</f>
        <v>Edward Drake</v>
      </c>
      <c r="V261" s="5" t="s">
        <v>1723</v>
      </c>
      <c r="W261" s="5" t="str">
        <f t="shared" si="3"/>
        <v>Ananda Krishnan</v>
      </c>
      <c r="X261" s="5">
        <f t="shared" si="4"/>
        <v>1</v>
      </c>
      <c r="Y261" s="5" t="str">
        <f>IFERROR(__xludf.DUMMYFUNCTION("REGEXEXTRACT(J261, ""^\d+"")"),"82")</f>
        <v>82</v>
      </c>
      <c r="Z261" s="5" t="str">
        <f>IFERROR(__xludf.DUMMYFUNCTION("REGEXEXTRACT(J261, ""[A-Za-z ]+$"")")," min")</f>
        <v> min</v>
      </c>
      <c r="AA261" s="5" t="str">
        <f>IFERROR(__xludf.DUMMYFUNCTION("IF(REGEXMATCH(Z261, ""Season""), ""TV Show"", ""Movie"")"),"Movie")</f>
        <v>Movie</v>
      </c>
    </row>
    <row r="262">
      <c r="A262" s="1" t="s">
        <v>1724</v>
      </c>
      <c r="B262" s="1" t="s">
        <v>37</v>
      </c>
      <c r="C262" s="1" t="s">
        <v>1725</v>
      </c>
      <c r="E262" s="1" t="s">
        <v>1726</v>
      </c>
      <c r="G262" s="1" t="s">
        <v>1681</v>
      </c>
      <c r="H262" s="1">
        <v>2020.0</v>
      </c>
      <c r="I262" s="1" t="s">
        <v>42</v>
      </c>
      <c r="J262" s="1" t="s">
        <v>51</v>
      </c>
      <c r="K262" s="1" t="s">
        <v>1362</v>
      </c>
      <c r="L262" s="1" t="s">
        <v>1727</v>
      </c>
      <c r="M262" s="2" t="s">
        <v>12</v>
      </c>
      <c r="N262" s="4">
        <f t="shared" si="1"/>
        <v>44426</v>
      </c>
      <c r="O262" s="5" t="str">
        <f>IFERROR(__xludf.DUMMYFUNCTION("IF(REGEXMATCH(TRIM(I262), ""^\d+\s*min""), ""Unclassified"", IF(I262 = """", ""NR"", I262))"),"TV-MA")</f>
        <v>TV-MA</v>
      </c>
      <c r="R262" s="5" t="str">
        <f t="shared" si="2"/>
        <v>The Defeated</v>
      </c>
      <c r="S262" s="5" t="str">
        <f>IFERROR(__xludf.DUMMYFUNCTION("""COMPUTED_VALUE"""),"A Very Secret Service")</f>
        <v>A Very Secret Service</v>
      </c>
      <c r="T262" s="5" t="str">
        <f>IFERROR(__xludf.DUMMYFUNCTION("""COMPUTED_VALUE"""),"India, Nepal")</f>
        <v>India, Nepal</v>
      </c>
      <c r="U262" s="5" t="str">
        <f>IFERROR(__xludf.DUMMYFUNCTION("""COMPUTED_VALUE"""),"Kathryn Fasegha")</f>
        <v>Kathryn Fasegha</v>
      </c>
      <c r="V262" s="5" t="s">
        <v>1728</v>
      </c>
      <c r="W262" s="5" t="str">
        <f t="shared" si="3"/>
        <v>Anant Balani</v>
      </c>
      <c r="X262" s="5">
        <f t="shared" si="4"/>
        <v>1</v>
      </c>
      <c r="Y262" s="5" t="str">
        <f>IFERROR(__xludf.DUMMYFUNCTION("REGEXEXTRACT(J262, ""^\d+"")"),"1")</f>
        <v>1</v>
      </c>
      <c r="Z262" s="5" t="str">
        <f>IFERROR(__xludf.DUMMYFUNCTION("REGEXEXTRACT(J262, ""[A-Za-z ]+$"")")," Season")</f>
        <v> Season</v>
      </c>
      <c r="AA262" s="5" t="str">
        <f>IFERROR(__xludf.DUMMYFUNCTION("IF(REGEXMATCH(Z262, ""Season""), ""TV Show"", ""Movie"")"),"TV Show")</f>
        <v>TV Show</v>
      </c>
    </row>
    <row r="263">
      <c r="A263" s="1" t="s">
        <v>1729</v>
      </c>
      <c r="B263" s="1" t="s">
        <v>27</v>
      </c>
      <c r="C263" s="1" t="s">
        <v>1730</v>
      </c>
      <c r="D263" s="1" t="s">
        <v>133</v>
      </c>
      <c r="E263" s="1" t="s">
        <v>1731</v>
      </c>
      <c r="G263" s="1" t="s">
        <v>1681</v>
      </c>
      <c r="H263" s="1">
        <v>2021.0</v>
      </c>
      <c r="I263" s="1" t="s">
        <v>97</v>
      </c>
      <c r="J263" s="1" t="s">
        <v>247</v>
      </c>
      <c r="K263" s="1" t="s">
        <v>215</v>
      </c>
      <c r="L263" s="1" t="s">
        <v>1732</v>
      </c>
      <c r="M263" s="2" t="s">
        <v>12</v>
      </c>
      <c r="N263" s="4">
        <f t="shared" si="1"/>
        <v>44426</v>
      </c>
      <c r="O263" s="5" t="str">
        <f>IFERROR(__xludf.DUMMYFUNCTION("IF(REGEXMATCH(TRIM(I263), ""^\d+\s*min""), ""Unclassified"", IF(I263 = """", ""NR"", I263))"),"TV-14")</f>
        <v>TV-14</v>
      </c>
      <c r="R263" s="5" t="str">
        <f t="shared" si="2"/>
        <v>The Secret Diary Of An Exchange Student</v>
      </c>
      <c r="S263" s="5" t="str">
        <f>IFERROR(__xludf.DUMMYFUNCTION("""COMPUTED_VALUE"""),"A Very Special Love")</f>
        <v>A Very Special Love</v>
      </c>
      <c r="T263" s="5" t="str">
        <f>IFERROR(__xludf.DUMMYFUNCTION("""COMPUTED_VALUE"""),"India, Pakistan")</f>
        <v>India, Pakistan</v>
      </c>
      <c r="U263" s="5" t="str">
        <f>IFERROR(__xludf.DUMMYFUNCTION("""COMPUTED_VALUE"""),"Sita Likitvanichkul, Jetarin Ratanaserikiat, Apirak Samudkitpaisan, Thanabodee Uawithya, Adirek Wattaleela")</f>
        <v>Sita Likitvanichkul, Jetarin Ratanaserikiat, Apirak Samudkitpaisan, Thanabodee Uawithya, Adirek Wattaleela</v>
      </c>
      <c r="V263" s="5" t="s">
        <v>1733</v>
      </c>
      <c r="W263" s="5" t="str">
        <f t="shared" si="3"/>
        <v>Ananth Narayan Mahadevan</v>
      </c>
      <c r="X263" s="5">
        <f t="shared" si="4"/>
        <v>1</v>
      </c>
      <c r="Y263" s="5" t="str">
        <f>IFERROR(__xludf.DUMMYFUNCTION("REGEXEXTRACT(J263, ""^\d+"")"),"97")</f>
        <v>97</v>
      </c>
      <c r="Z263" s="5" t="str">
        <f>IFERROR(__xludf.DUMMYFUNCTION("REGEXEXTRACT(J263, ""[A-Za-z ]+$"")")," min")</f>
        <v> min</v>
      </c>
      <c r="AA263" s="5" t="str">
        <f>IFERROR(__xludf.DUMMYFUNCTION("IF(REGEXMATCH(Z263, ""Season""), ""TV Show"", ""Movie"")"),"Movie")</f>
        <v>Movie</v>
      </c>
    </row>
    <row r="264">
      <c r="A264" s="1" t="s">
        <v>1734</v>
      </c>
      <c r="B264" s="1" t="s">
        <v>27</v>
      </c>
      <c r="C264" s="1" t="s">
        <v>1735</v>
      </c>
      <c r="D264" s="1" t="s">
        <v>1736</v>
      </c>
      <c r="G264" s="1" t="s">
        <v>1681</v>
      </c>
      <c r="H264" s="1">
        <v>2021.0</v>
      </c>
      <c r="I264" s="1" t="s">
        <v>42</v>
      </c>
      <c r="J264" s="1" t="s">
        <v>1737</v>
      </c>
      <c r="K264" s="1" t="s">
        <v>1584</v>
      </c>
      <c r="L264" s="1" t="s">
        <v>1738</v>
      </c>
      <c r="M264" s="2" t="s">
        <v>12</v>
      </c>
      <c r="N264" s="4">
        <f t="shared" si="1"/>
        <v>44426</v>
      </c>
      <c r="O264" s="5" t="str">
        <f>IFERROR(__xludf.DUMMYFUNCTION("IF(REGEXMATCH(TRIM(I264), ""^\d+\s*min""), ""Unclassified"", IF(I264 = """", ""NR"", I264))"),"TV-MA")</f>
        <v>TV-MA</v>
      </c>
      <c r="R264" s="5" t="str">
        <f t="shared" si="2"/>
        <v>Untold: Deal With The Devil</v>
      </c>
      <c r="S264" s="5" t="str">
        <f>IFERROR(__xludf.DUMMYFUNCTION("""COMPUTED_VALUE"""),"A Walk To Remember")</f>
        <v>A Walk To Remember</v>
      </c>
      <c r="T264" s="5" t="str">
        <f>IFERROR(__xludf.DUMMYFUNCTION("""COMPUTED_VALUE"""),"India, Soviet Union")</f>
        <v>India, Soviet Union</v>
      </c>
      <c r="U264" s="5" t="str">
        <f>IFERROR(__xludf.DUMMYFUNCTION("""COMPUTED_VALUE"""),"Leigh Janiak")</f>
        <v>Leigh Janiak</v>
      </c>
      <c r="V264" s="5" t="s">
        <v>1739</v>
      </c>
      <c r="W264" s="5" t="str">
        <f t="shared" si="3"/>
        <v>Andaç Haznedaroğlu</v>
      </c>
      <c r="X264" s="5">
        <f t="shared" si="4"/>
        <v>1</v>
      </c>
      <c r="Y264" s="5" t="str">
        <f>IFERROR(__xludf.DUMMYFUNCTION("REGEXEXTRACT(J264, ""^\d+"")"),"78")</f>
        <v>78</v>
      </c>
      <c r="Z264" s="5" t="str">
        <f>IFERROR(__xludf.DUMMYFUNCTION("REGEXEXTRACT(J264, ""[A-Za-z ]+$"")")," min")</f>
        <v> min</v>
      </c>
      <c r="AA264" s="5" t="str">
        <f>IFERROR(__xludf.DUMMYFUNCTION("IF(REGEXMATCH(Z264, ""Season""), ""TV Show"", ""Movie"")"),"Movie")</f>
        <v>Movie</v>
      </c>
    </row>
    <row r="265">
      <c r="A265" s="1" t="s">
        <v>1740</v>
      </c>
      <c r="B265" s="1" t="s">
        <v>37</v>
      </c>
      <c r="C265" s="1" t="s">
        <v>1741</v>
      </c>
      <c r="F265" s="1" t="s">
        <v>30</v>
      </c>
      <c r="G265" s="1" t="s">
        <v>1742</v>
      </c>
      <c r="H265" s="1">
        <v>2016.0</v>
      </c>
      <c r="I265" s="1" t="s">
        <v>206</v>
      </c>
      <c r="J265" s="1" t="s">
        <v>43</v>
      </c>
      <c r="K265" s="1" t="s">
        <v>290</v>
      </c>
      <c r="L265" s="1" t="s">
        <v>1743</v>
      </c>
      <c r="M265" s="2" t="s">
        <v>12</v>
      </c>
      <c r="N265" s="4">
        <f t="shared" si="1"/>
        <v>44424</v>
      </c>
      <c r="O265" s="5" t="str">
        <f>IFERROR(__xludf.DUMMYFUNCTION("IF(REGEXMATCH(TRIM(I265), ""^\d+\s*min""), ""Unclassified"", IF(I265 = """", ""NR"", I265))"),"TV-Y")</f>
        <v>TV-Y</v>
      </c>
      <c r="R265" s="5" t="str">
        <f t="shared" si="2"/>
        <v>Mother Goose Club</v>
      </c>
      <c r="S265" s="5" t="str">
        <f>IFERROR(__xludf.DUMMYFUNCTION("""COMPUTED_VALUE"""),"A Way Back Home")</f>
        <v>A Way Back Home</v>
      </c>
      <c r="T265" s="5" t="str">
        <f>IFERROR(__xludf.DUMMYFUNCTION("""COMPUTED_VALUE"""),"India, Switzerland")</f>
        <v>India, Switzerland</v>
      </c>
      <c r="U265" s="5" t="str">
        <f>IFERROR(__xludf.DUMMYFUNCTION("""COMPUTED_VALUE"""),"Luis Estrada")</f>
        <v>Luis Estrada</v>
      </c>
      <c r="V265" s="5" t="s">
        <v>1744</v>
      </c>
      <c r="W265" s="5" t="str">
        <f t="shared" si="3"/>
        <v>Anders Falck, Stinus Morell Vithner</v>
      </c>
      <c r="X265" s="5">
        <f t="shared" si="4"/>
        <v>1</v>
      </c>
      <c r="Y265" s="5" t="str">
        <f>IFERROR(__xludf.DUMMYFUNCTION("REGEXEXTRACT(J265, ""^\d+"")"),"2")</f>
        <v>2</v>
      </c>
      <c r="Z265" s="5" t="str">
        <f>IFERROR(__xludf.DUMMYFUNCTION("REGEXEXTRACT(J265, ""[A-Za-z ]+$"")")," Seasons")</f>
        <v> Seasons</v>
      </c>
      <c r="AA265" s="5" t="str">
        <f>IFERROR(__xludf.DUMMYFUNCTION("IF(REGEXMATCH(Z265, ""Season""), ""TV Show"", ""Movie"")"),"TV Show")</f>
        <v>TV Show</v>
      </c>
    </row>
    <row r="266">
      <c r="A266" s="1" t="s">
        <v>1745</v>
      </c>
      <c r="B266" s="1" t="s">
        <v>27</v>
      </c>
      <c r="C266" s="1" t="s">
        <v>1746</v>
      </c>
      <c r="D266" s="1" t="s">
        <v>1747</v>
      </c>
      <c r="E266" s="1" t="s">
        <v>1748</v>
      </c>
      <c r="F266" s="1" t="s">
        <v>30</v>
      </c>
      <c r="G266" s="1" t="s">
        <v>1742</v>
      </c>
      <c r="H266" s="1">
        <v>2014.0</v>
      </c>
      <c r="I266" s="1" t="s">
        <v>378</v>
      </c>
      <c r="J266" s="1" t="s">
        <v>170</v>
      </c>
      <c r="K266" s="1" t="s">
        <v>1749</v>
      </c>
      <c r="L266" s="1" t="s">
        <v>1750</v>
      </c>
      <c r="M266" s="2" t="s">
        <v>12</v>
      </c>
      <c r="N266" s="4">
        <f t="shared" si="1"/>
        <v>44424</v>
      </c>
      <c r="O266" s="5" t="str">
        <f>IFERROR(__xludf.DUMMYFUNCTION("IF(REGEXMATCH(TRIM(I266), ""^\d+\s*min""), ""Unclassified"", IF(I266 = """", ""NR"", I266))"),"R")</f>
        <v>R</v>
      </c>
      <c r="R266" s="5" t="str">
        <f t="shared" si="2"/>
        <v>Walk Of Shame</v>
      </c>
      <c r="S266" s="5" t="str">
        <f>IFERROR(__xludf.DUMMYFUNCTION("""COMPUTED_VALUE"""),"A Wednesday")</f>
        <v>A Wednesday</v>
      </c>
      <c r="T266" s="5" t="str">
        <f>IFERROR(__xludf.DUMMYFUNCTION("""COMPUTED_VALUE"""),"India, Turkey")</f>
        <v>India, Turkey</v>
      </c>
      <c r="U266" s="5" t="str">
        <f>IFERROR(__xludf.DUMMYFUNCTION("""COMPUTED_VALUE"""),"Garrett Bradley")</f>
        <v>Garrett Bradley</v>
      </c>
      <c r="V266" s="5" t="s">
        <v>1751</v>
      </c>
      <c r="W266" s="5" t="str">
        <f t="shared" si="3"/>
        <v>Anders Sømme Hammer, Marius Arnesen, Klaus Erik Okstad, Olav Njaastad</v>
      </c>
      <c r="X266" s="5">
        <f t="shared" si="4"/>
        <v>1</v>
      </c>
      <c r="Y266" s="5" t="str">
        <f>IFERROR(__xludf.DUMMYFUNCTION("REGEXEXTRACT(J266, ""^\d+"")"),"94")</f>
        <v>94</v>
      </c>
      <c r="Z266" s="5" t="str">
        <f>IFERROR(__xludf.DUMMYFUNCTION("REGEXEXTRACT(J266, ""[A-Za-z ]+$"")")," min")</f>
        <v> min</v>
      </c>
      <c r="AA266" s="5" t="str">
        <f>IFERROR(__xludf.DUMMYFUNCTION("IF(REGEXMATCH(Z266, ""Season""), ""TV Show"", ""Movie"")"),"Movie")</f>
        <v>Movie</v>
      </c>
    </row>
    <row r="267">
      <c r="A267" s="1" t="s">
        <v>1752</v>
      </c>
      <c r="B267" s="1" t="s">
        <v>37</v>
      </c>
      <c r="C267" s="1" t="s">
        <v>1753</v>
      </c>
      <c r="E267" s="1" t="s">
        <v>1754</v>
      </c>
      <c r="F267" s="1" t="s">
        <v>415</v>
      </c>
      <c r="G267" s="1" t="s">
        <v>1755</v>
      </c>
      <c r="H267" s="1">
        <v>2018.0</v>
      </c>
      <c r="I267" s="1" t="s">
        <v>97</v>
      </c>
      <c r="J267" s="1" t="s">
        <v>51</v>
      </c>
      <c r="K267" s="1" t="s">
        <v>1756</v>
      </c>
      <c r="L267" s="1" t="s">
        <v>1757</v>
      </c>
      <c r="M267" s="2" t="s">
        <v>12</v>
      </c>
      <c r="N267" s="4">
        <f t="shared" si="1"/>
        <v>44423</v>
      </c>
      <c r="O267" s="5" t="str">
        <f>IFERROR(__xludf.DUMMYFUNCTION("IF(REGEXMATCH(TRIM(I267), ""^\d+\s*min""), ""Unclassified"", IF(I267 = """", ""NR"", I267))"),"TV-14")</f>
        <v>TV-14</v>
      </c>
      <c r="R267" s="5" t="str">
        <f t="shared" si="2"/>
        <v>Rascal Does Not Dream Of Bunny Girl Senpai</v>
      </c>
      <c r="S267" s="5" t="str">
        <f>IFERROR(__xludf.DUMMYFUNCTION("""COMPUTED_VALUE"""),"A Week Away")</f>
        <v>A Week Away</v>
      </c>
      <c r="T267" s="5" t="str">
        <f>IFERROR(__xludf.DUMMYFUNCTION("""COMPUTED_VALUE"""),"India, United Kingdom")</f>
        <v>India, United Kingdom</v>
      </c>
      <c r="U267" s="5" t="str">
        <f>IFERROR(__xludf.DUMMYFUNCTION("""COMPUTED_VALUE"""),"Sofia Coppola")</f>
        <v>Sofia Coppola</v>
      </c>
      <c r="V267" s="5" t="s">
        <v>1758</v>
      </c>
      <c r="W267" s="5" t="str">
        <f t="shared" si="3"/>
        <v>Andibachtiar Yusuf</v>
      </c>
      <c r="X267" s="5">
        <f t="shared" si="4"/>
        <v>3</v>
      </c>
      <c r="Y267" s="5" t="str">
        <f>IFERROR(__xludf.DUMMYFUNCTION("REGEXEXTRACT(J267, ""^\d+"")"),"1")</f>
        <v>1</v>
      </c>
      <c r="Z267" s="5" t="str">
        <f>IFERROR(__xludf.DUMMYFUNCTION("REGEXEXTRACT(J267, ""[A-Za-z ]+$"")")," Season")</f>
        <v> Season</v>
      </c>
      <c r="AA267" s="5" t="str">
        <f>IFERROR(__xludf.DUMMYFUNCTION("IF(REGEXMATCH(Z267, ""Season""), ""TV Show"", ""Movie"")"),"TV Show")</f>
        <v>TV Show</v>
      </c>
    </row>
    <row r="268">
      <c r="A268" s="1" t="s">
        <v>1759</v>
      </c>
      <c r="B268" s="1" t="s">
        <v>37</v>
      </c>
      <c r="C268" s="1" t="s">
        <v>1760</v>
      </c>
      <c r="F268" s="1" t="s">
        <v>63</v>
      </c>
      <c r="G268" s="1" t="s">
        <v>1755</v>
      </c>
      <c r="H268" s="1">
        <v>2020.0</v>
      </c>
      <c r="I268" s="1" t="s">
        <v>42</v>
      </c>
      <c r="J268" s="1" t="s">
        <v>51</v>
      </c>
      <c r="K268" s="1" t="s">
        <v>507</v>
      </c>
      <c r="L268" s="1" t="s">
        <v>1761</v>
      </c>
      <c r="M268" s="2" t="s">
        <v>12</v>
      </c>
      <c r="N268" s="4">
        <f t="shared" si="1"/>
        <v>44423</v>
      </c>
      <c r="O268" s="5" t="str">
        <f>IFERROR(__xludf.DUMMYFUNCTION("IF(REGEXMATCH(TRIM(I268), ""^\d+\s*min""), ""Unclassified"", IF(I268 = """", ""NR"", I268))"),"TV-MA")</f>
        <v>TV-MA</v>
      </c>
      <c r="R268" s="5" t="str">
        <f t="shared" si="2"/>
        <v>The Creative Indians</v>
      </c>
      <c r="S268" s="5" t="str">
        <f>IFERROR(__xludf.DUMMYFUNCTION("""COMPUTED_VALUE"""),"A Week In Watts")</f>
        <v>A Week In Watts</v>
      </c>
      <c r="T268" s="5" t="str">
        <f>IFERROR(__xludf.DUMMYFUNCTION("""COMPUTED_VALUE"""),"India, United Kingdom, Canada, United States")</f>
        <v>India, United Kingdom, Canada, United States</v>
      </c>
      <c r="U268" s="5" t="str">
        <f>IFERROR(__xludf.DUMMYFUNCTION("""COMPUTED_VALUE"""),"Colin Trevorrow")</f>
        <v>Colin Trevorrow</v>
      </c>
      <c r="V268" s="5" t="s">
        <v>1762</v>
      </c>
      <c r="W268" s="5" t="str">
        <f t="shared" si="3"/>
        <v>André D'Elia</v>
      </c>
      <c r="X268" s="5">
        <f t="shared" si="4"/>
        <v>1</v>
      </c>
      <c r="Y268" s="5" t="str">
        <f>IFERROR(__xludf.DUMMYFUNCTION("REGEXEXTRACT(J268, ""^\d+"")"),"1")</f>
        <v>1</v>
      </c>
      <c r="Z268" s="5" t="str">
        <f>IFERROR(__xludf.DUMMYFUNCTION("REGEXEXTRACT(J268, ""[A-Za-z ]+$"")")," Season")</f>
        <v> Season</v>
      </c>
      <c r="AA268" s="5" t="str">
        <f>IFERROR(__xludf.DUMMYFUNCTION("IF(REGEXMATCH(Z268, ""Season""), ""TV Show"", ""Movie"")"),"TV Show")</f>
        <v>TV Show</v>
      </c>
    </row>
    <row r="269">
      <c r="A269" s="1" t="s">
        <v>1763</v>
      </c>
      <c r="B269" s="1" t="s">
        <v>27</v>
      </c>
      <c r="C269" s="1" t="s">
        <v>1764</v>
      </c>
      <c r="D269" s="1" t="s">
        <v>825</v>
      </c>
      <c r="E269" s="1" t="s">
        <v>1765</v>
      </c>
      <c r="F269" s="1" t="s">
        <v>1766</v>
      </c>
      <c r="G269" s="1" t="s">
        <v>1755</v>
      </c>
      <c r="H269" s="1">
        <v>1993.0</v>
      </c>
      <c r="I269" s="1" t="s">
        <v>378</v>
      </c>
      <c r="J269" s="1" t="s">
        <v>941</v>
      </c>
      <c r="K269" s="1" t="s">
        <v>1767</v>
      </c>
      <c r="L269" s="1" t="s">
        <v>1768</v>
      </c>
      <c r="M269" s="2" t="s">
        <v>12</v>
      </c>
      <c r="N269" s="4">
        <f t="shared" si="1"/>
        <v>44423</v>
      </c>
      <c r="O269" s="5" t="str">
        <f>IFERROR(__xludf.DUMMYFUNCTION("IF(REGEXMATCH(TRIM(I269), ""^\d+\s*min""), ""Unclassified"", IF(I269 = """", ""NR"", I269))"),"R")</f>
        <v>R</v>
      </c>
      <c r="R269" s="5" t="str">
        <f t="shared" si="2"/>
        <v>The Piano</v>
      </c>
      <c r="S269" s="5" t="str">
        <f>IFERROR(__xludf.DUMMYFUNCTION("""COMPUTED_VALUE"""),"A Whisker Away")</f>
        <v>A Whisker Away</v>
      </c>
      <c r="T269" s="5" t="str">
        <f>IFERROR(__xludf.DUMMYFUNCTION("""COMPUTED_VALUE"""),"India, United Kingdom, China, Canada, Japan, South Korea, United States")</f>
        <v>India, United Kingdom, China, Canada, Japan, South Korea, United States</v>
      </c>
      <c r="U269" s="5" t="str">
        <f>IFERROR(__xludf.DUMMYFUNCTION("""COMPUTED_VALUE"""),"Bill Condon")</f>
        <v>Bill Condon</v>
      </c>
      <c r="V269" s="5" t="s">
        <v>1769</v>
      </c>
      <c r="W269" s="5" t="str">
        <f t="shared" si="3"/>
        <v>André Odendaal, Johan Vorster</v>
      </c>
      <c r="X269" s="5">
        <f t="shared" si="4"/>
        <v>1</v>
      </c>
      <c r="Y269" s="5" t="str">
        <f>IFERROR(__xludf.DUMMYFUNCTION("REGEXEXTRACT(J269, ""^\d+"")"),"121")</f>
        <v>121</v>
      </c>
      <c r="Z269" s="5" t="str">
        <f>IFERROR(__xludf.DUMMYFUNCTION("REGEXEXTRACT(J269, ""[A-Za-z ]+$"")")," min")</f>
        <v> min</v>
      </c>
      <c r="AA269" s="5" t="str">
        <f>IFERROR(__xludf.DUMMYFUNCTION("IF(REGEXMATCH(Z269, ""Season""), ""TV Show"", ""Movie"")"),"Movie")</f>
        <v>Movie</v>
      </c>
    </row>
    <row r="270">
      <c r="A270" s="1" t="s">
        <v>1770</v>
      </c>
      <c r="B270" s="1" t="s">
        <v>27</v>
      </c>
      <c r="C270" s="1" t="s">
        <v>1771</v>
      </c>
      <c r="D270" s="1" t="s">
        <v>1772</v>
      </c>
      <c r="E270" s="1" t="s">
        <v>1773</v>
      </c>
      <c r="G270" s="1" t="s">
        <v>1755</v>
      </c>
      <c r="H270" s="1">
        <v>2020.0</v>
      </c>
      <c r="I270" s="1" t="s">
        <v>42</v>
      </c>
      <c r="J270" s="1" t="s">
        <v>247</v>
      </c>
      <c r="K270" s="1" t="s">
        <v>128</v>
      </c>
      <c r="L270" s="1" t="s">
        <v>1774</v>
      </c>
      <c r="M270" s="2" t="s">
        <v>12</v>
      </c>
      <c r="N270" s="4">
        <f t="shared" si="1"/>
        <v>44423</v>
      </c>
      <c r="O270" s="5" t="str">
        <f>IFERROR(__xludf.DUMMYFUNCTION("IF(REGEXMATCH(TRIM(I270), ""^\d+\s*min""), ""Unclassified"", IF(I270 = """", ""NR"", I270))"),"TV-MA")</f>
        <v>TV-MA</v>
      </c>
      <c r="R270" s="5" t="str">
        <f t="shared" si="2"/>
        <v>Unroyal</v>
      </c>
      <c r="S270" s="5" t="str">
        <f>IFERROR(__xludf.DUMMYFUNCTION("""COMPUTED_VALUE"""),"A Witches' Ball")</f>
        <v>A Witches' Ball</v>
      </c>
      <c r="T270" s="5" t="str">
        <f>IFERROR(__xludf.DUMMYFUNCTION("""COMPUTED_VALUE"""),"India, United Kingdom, France, Qatar")</f>
        <v>India, United Kingdom, France, Qatar</v>
      </c>
      <c r="U270" s="5" t="str">
        <f>IFERROR(__xludf.DUMMYFUNCTION("""COMPUTED_VALUE"""),"David Slade")</f>
        <v>David Slade</v>
      </c>
      <c r="V270" s="5" t="s">
        <v>1775</v>
      </c>
      <c r="W270" s="5" t="str">
        <f t="shared" si="3"/>
        <v>André Øvredal</v>
      </c>
      <c r="X270" s="5">
        <f t="shared" si="4"/>
        <v>1</v>
      </c>
      <c r="Y270" s="5" t="str">
        <f>IFERROR(__xludf.DUMMYFUNCTION("REGEXEXTRACT(J270, ""^\d+"")"),"97")</f>
        <v>97</v>
      </c>
      <c r="Z270" s="5" t="str">
        <f>IFERROR(__xludf.DUMMYFUNCTION("REGEXEXTRACT(J270, ""[A-Za-z ]+$"")")," min")</f>
        <v> min</v>
      </c>
      <c r="AA270" s="5" t="str">
        <f>IFERROR(__xludf.DUMMYFUNCTION("IF(REGEXMATCH(Z270, ""Season""), ""TV Show"", ""Movie"")"),"Movie")</f>
        <v>Movie</v>
      </c>
    </row>
    <row r="271">
      <c r="A271" s="1" t="s">
        <v>1776</v>
      </c>
      <c r="B271" s="1" t="s">
        <v>37</v>
      </c>
      <c r="C271" s="1" t="s">
        <v>1777</v>
      </c>
      <c r="E271" s="1" t="s">
        <v>1778</v>
      </c>
      <c r="F271" s="1" t="s">
        <v>1779</v>
      </c>
      <c r="G271" s="1" t="s">
        <v>1755</v>
      </c>
      <c r="H271" s="1">
        <v>2015.0</v>
      </c>
      <c r="I271" s="1" t="s">
        <v>289</v>
      </c>
      <c r="J271" s="1" t="s">
        <v>43</v>
      </c>
      <c r="K271" s="1" t="s">
        <v>290</v>
      </c>
      <c r="L271" s="1" t="s">
        <v>1780</v>
      </c>
      <c r="M271" s="2" t="s">
        <v>12</v>
      </c>
      <c r="N271" s="4">
        <f t="shared" si="1"/>
        <v>44423</v>
      </c>
      <c r="O271" s="5" t="str">
        <f>IFERROR(__xludf.DUMMYFUNCTION("IF(REGEXMATCH(TRIM(I271), ""^\d+\s*min""), ""Unclassified"", IF(I271 = """", ""NR"", I271))"),"TV-Y7")</f>
        <v>TV-Y7</v>
      </c>
      <c r="R271" s="5" t="str">
        <f t="shared" si="2"/>
        <v>Winx Club</v>
      </c>
      <c r="S271" s="5" t="str">
        <f>IFERROR(__xludf.DUMMYFUNCTION("""COMPUTED_VALUE"""),"A Wrinkle In Time")</f>
        <v>A Wrinkle In Time</v>
      </c>
      <c r="T271" s="5" t="str">
        <f>IFERROR(__xludf.DUMMYFUNCTION("""COMPUTED_VALUE"""),"India, United States")</f>
        <v>India, United States</v>
      </c>
      <c r="U271" s="5" t="str">
        <f>IFERROR(__xludf.DUMMYFUNCTION("""COMPUTED_VALUE"""),"Chris Weitz")</f>
        <v>Chris Weitz</v>
      </c>
      <c r="V271" s="5" t="s">
        <v>1781</v>
      </c>
      <c r="W271" s="5" t="str">
        <f t="shared" si="3"/>
        <v>Andrea Arnold</v>
      </c>
      <c r="X271" s="5">
        <f t="shared" si="4"/>
        <v>1</v>
      </c>
      <c r="Y271" s="5" t="str">
        <f>IFERROR(__xludf.DUMMYFUNCTION("REGEXEXTRACT(J271, ""^\d+"")"),"2")</f>
        <v>2</v>
      </c>
      <c r="Z271" s="5" t="str">
        <f>IFERROR(__xludf.DUMMYFUNCTION("REGEXEXTRACT(J271, ""[A-Za-z ]+$"")")," Seasons")</f>
        <v> Seasons</v>
      </c>
      <c r="AA271" s="5" t="str">
        <f>IFERROR(__xludf.DUMMYFUNCTION("IF(REGEXMATCH(Z271, ""Season""), ""TV Show"", ""Movie"")"),"TV Show")</f>
        <v>TV Show</v>
      </c>
    </row>
    <row r="272">
      <c r="A272" s="1" t="s">
        <v>1782</v>
      </c>
      <c r="B272" s="1" t="s">
        <v>27</v>
      </c>
      <c r="C272" s="1" t="s">
        <v>1783</v>
      </c>
      <c r="D272" s="1" t="s">
        <v>1784</v>
      </c>
      <c r="E272" s="1" t="s">
        <v>1785</v>
      </c>
      <c r="F272" s="1" t="s">
        <v>1786</v>
      </c>
      <c r="G272" s="1" t="s">
        <v>1787</v>
      </c>
      <c r="H272" s="1">
        <v>2021.0</v>
      </c>
      <c r="I272" s="1" t="s">
        <v>42</v>
      </c>
      <c r="J272" s="1" t="s">
        <v>297</v>
      </c>
      <c r="K272" s="1" t="s">
        <v>380</v>
      </c>
      <c r="L272" s="1" t="s">
        <v>1788</v>
      </c>
      <c r="M272" s="2" t="s">
        <v>12</v>
      </c>
      <c r="N272" s="4">
        <f t="shared" si="1"/>
        <v>44421</v>
      </c>
      <c r="O272" s="5" t="str">
        <f>IFERROR(__xludf.DUMMYFUNCTION("IF(REGEXMATCH(TRIM(I272), ""^\d+\s*min""), ""Unclassified"", IF(I272 = """", ""NR"", I272))"),"TV-MA")</f>
        <v>TV-MA</v>
      </c>
      <c r="R272" s="5" t="str">
        <f t="shared" si="2"/>
        <v>Beckett</v>
      </c>
      <c r="S272" s="5" t="str">
        <f>IFERROR(__xludf.DUMMYFUNCTION("""COMPUTED_VALUE"""),"A Year In Space")</f>
        <v>A Year In Space</v>
      </c>
      <c r="T272" s="5" t="str">
        <f>IFERROR(__xludf.DUMMYFUNCTION("""COMPUTED_VALUE"""),"Indonesia")</f>
        <v>Indonesia</v>
      </c>
      <c r="U272" s="5" t="str">
        <f>IFERROR(__xludf.DUMMYFUNCTION("""COMPUTED_VALUE"""),"Catherine Hardwicke")</f>
        <v>Catherine Hardwicke</v>
      </c>
      <c r="V272" s="5" t="s">
        <v>1789</v>
      </c>
      <c r="W272" s="5" t="str">
        <f t="shared" si="3"/>
        <v>Andrea Molaioli</v>
      </c>
      <c r="X272" s="5">
        <f t="shared" si="4"/>
        <v>1</v>
      </c>
      <c r="Y272" s="5" t="str">
        <f>IFERROR(__xludf.DUMMYFUNCTION("REGEXEXTRACT(J272, ""^\d+"")"),"110")</f>
        <v>110</v>
      </c>
      <c r="Z272" s="5" t="str">
        <f>IFERROR(__xludf.DUMMYFUNCTION("REGEXEXTRACT(J272, ""[A-Za-z ]+$"")")," min")</f>
        <v> min</v>
      </c>
      <c r="AA272" s="5" t="str">
        <f>IFERROR(__xludf.DUMMYFUNCTION("IF(REGEXMATCH(Z272, ""Season""), ""TV Show"", ""Movie"")"),"Movie")</f>
        <v>Movie</v>
      </c>
    </row>
    <row r="273">
      <c r="A273" s="1" t="s">
        <v>1790</v>
      </c>
      <c r="B273" s="1" t="s">
        <v>37</v>
      </c>
      <c r="C273" s="1" t="s">
        <v>1791</v>
      </c>
      <c r="E273" s="1" t="s">
        <v>1792</v>
      </c>
      <c r="F273" s="1" t="s">
        <v>30</v>
      </c>
      <c r="G273" s="1" t="s">
        <v>1787</v>
      </c>
      <c r="H273" s="1">
        <v>2021.0</v>
      </c>
      <c r="I273" s="1" t="s">
        <v>42</v>
      </c>
      <c r="J273" s="1" t="s">
        <v>51</v>
      </c>
      <c r="K273" s="1" t="s">
        <v>71</v>
      </c>
      <c r="L273" s="1" t="s">
        <v>1793</v>
      </c>
      <c r="M273" s="2" t="s">
        <v>12</v>
      </c>
      <c r="N273" s="4">
        <f t="shared" si="1"/>
        <v>44421</v>
      </c>
      <c r="O273" s="5" t="str">
        <f>IFERROR(__xludf.DUMMYFUNCTION("IF(REGEXMATCH(TRIM(I273), ""^\d+\s*min""), ""Unclassified"", IF(I273 = """", ""NR"", I273))"),"TV-MA")</f>
        <v>TV-MA</v>
      </c>
      <c r="R273" s="5" t="str">
        <f t="shared" si="2"/>
        <v>Brand New Cherry Flavor</v>
      </c>
      <c r="S273" s="5" t="str">
        <f>IFERROR(__xludf.DUMMYFUNCTION("""COMPUTED_VALUE"""),"A Yellow Bird")</f>
        <v>A Yellow Bird</v>
      </c>
      <c r="T273" s="5" t="str">
        <f>IFERROR(__xludf.DUMMYFUNCTION("""COMPUTED_VALUE"""),"Indonesia, Netherlands")</f>
        <v>Indonesia, Netherlands</v>
      </c>
      <c r="U273" s="5" t="str">
        <f>IFERROR(__xludf.DUMMYFUNCTION("""COMPUTED_VALUE"""),"Hadrah Daeng Ratu")</f>
        <v>Hadrah Daeng Ratu</v>
      </c>
      <c r="V273" s="5" t="s">
        <v>1794</v>
      </c>
      <c r="W273" s="5" t="str">
        <f t="shared" si="3"/>
        <v>Andreas Johnsen</v>
      </c>
      <c r="X273" s="5">
        <f t="shared" si="4"/>
        <v>1</v>
      </c>
      <c r="Y273" s="5" t="str">
        <f>IFERROR(__xludf.DUMMYFUNCTION("REGEXEXTRACT(J273, ""^\d+"")"),"1")</f>
        <v>1</v>
      </c>
      <c r="Z273" s="5" t="str">
        <f>IFERROR(__xludf.DUMMYFUNCTION("REGEXEXTRACT(J273, ""[A-Za-z ]+$"")")," Season")</f>
        <v> Season</v>
      </c>
      <c r="AA273" s="5" t="str">
        <f>IFERROR(__xludf.DUMMYFUNCTION("IF(REGEXMATCH(Z273, ""Season""), ""TV Show"", ""Movie"")"),"TV Show")</f>
        <v>TV Show</v>
      </c>
    </row>
    <row r="274">
      <c r="A274" s="1" t="s">
        <v>1795</v>
      </c>
      <c r="B274" s="1" t="s">
        <v>37</v>
      </c>
      <c r="C274" s="1" t="s">
        <v>1796</v>
      </c>
      <c r="E274" s="1" t="s">
        <v>1797</v>
      </c>
      <c r="F274" s="1" t="s">
        <v>30</v>
      </c>
      <c r="G274" s="1" t="s">
        <v>1787</v>
      </c>
      <c r="H274" s="1">
        <v>2021.0</v>
      </c>
      <c r="I274" s="1" t="s">
        <v>289</v>
      </c>
      <c r="J274" s="1" t="s">
        <v>189</v>
      </c>
      <c r="K274" s="1" t="s">
        <v>290</v>
      </c>
      <c r="L274" s="1" t="s">
        <v>1798</v>
      </c>
      <c r="M274" s="2" t="s">
        <v>12</v>
      </c>
      <c r="N274" s="4">
        <f t="shared" si="1"/>
        <v>44421</v>
      </c>
      <c r="O274" s="5" t="str">
        <f>IFERROR(__xludf.DUMMYFUNCTION("IF(REGEXMATCH(TRIM(I274), ""^\d+\s*min""), ""Unclassified"", IF(I274 = """", ""NR"", I274))"),"TV-Y7")</f>
        <v>TV-Y7</v>
      </c>
      <c r="R274" s="5" t="str">
        <f t="shared" si="2"/>
        <v>Fast &amp; Furious Spy Racers</v>
      </c>
      <c r="S274" s="5" t="str">
        <f>IFERROR(__xludf.DUMMYFUNCTION("""COMPUTED_VALUE"""),"A Young Doctor'S Notebook And Other Stories")</f>
        <v>A Young Doctor'S Notebook And Other Stories</v>
      </c>
      <c r="T274" s="5" t="str">
        <f>IFERROR(__xludf.DUMMYFUNCTION("""COMPUTED_VALUE"""),"Indonesia, Singapore")</f>
        <v>Indonesia, Singapore</v>
      </c>
      <c r="U274" s="5" t="str">
        <f>IFERROR(__xludf.DUMMYFUNCTION("""COMPUTED_VALUE"""),"Tommy Chong")</f>
        <v>Tommy Chong</v>
      </c>
      <c r="V274" s="5" t="s">
        <v>1799</v>
      </c>
      <c r="W274" s="5" t="str">
        <f t="shared" si="3"/>
        <v>Andreas Pichler</v>
      </c>
      <c r="X274" s="5">
        <f t="shared" si="4"/>
        <v>1</v>
      </c>
      <c r="Y274" s="5" t="str">
        <f>IFERROR(__xludf.DUMMYFUNCTION("REGEXEXTRACT(J274, ""^\d+"")"),"5")</f>
        <v>5</v>
      </c>
      <c r="Z274" s="5" t="str">
        <f>IFERROR(__xludf.DUMMYFUNCTION("REGEXEXTRACT(J274, ""[A-Za-z ]+$"")")," Seasons")</f>
        <v> Seasons</v>
      </c>
      <c r="AA274" s="5" t="str">
        <f>IFERROR(__xludf.DUMMYFUNCTION("IF(REGEXMATCH(Z274, ""Season""), ""TV Show"", ""Movie"")"),"TV Show")</f>
        <v>TV Show</v>
      </c>
    </row>
    <row r="275">
      <c r="A275" s="1" t="s">
        <v>1800</v>
      </c>
      <c r="B275" s="1" t="s">
        <v>37</v>
      </c>
      <c r="C275" s="1" t="s">
        <v>1801</v>
      </c>
      <c r="D275" s="1" t="s">
        <v>1802</v>
      </c>
      <c r="E275" s="1" t="s">
        <v>1803</v>
      </c>
      <c r="F275" s="1" t="s">
        <v>664</v>
      </c>
      <c r="G275" s="1" t="s">
        <v>1787</v>
      </c>
      <c r="H275" s="1">
        <v>2021.0</v>
      </c>
      <c r="I275" s="1" t="s">
        <v>42</v>
      </c>
      <c r="J275" s="1" t="s">
        <v>51</v>
      </c>
      <c r="K275" s="1" t="s">
        <v>1362</v>
      </c>
      <c r="L275" s="1" t="s">
        <v>1804</v>
      </c>
      <c r="M275" s="2" t="s">
        <v>12</v>
      </c>
      <c r="N275" s="4">
        <f t="shared" si="1"/>
        <v>44421</v>
      </c>
      <c r="O275" s="5" t="str">
        <f>IFERROR(__xludf.DUMMYFUNCTION("IF(REGEXMATCH(TRIM(I275), ""^\d+\s*min""), ""Unclassified"", IF(I275 = """", ""NR"", I275))"),"TV-MA")</f>
        <v>TV-MA</v>
      </c>
      <c r="R275" s="5" t="str">
        <f t="shared" si="2"/>
        <v>Gone For Good</v>
      </c>
      <c r="S275" s="5" t="str">
        <f>IFERROR(__xludf.DUMMYFUNCTION("""COMPUTED_VALUE"""),"A.D. Kingdom And Empire")</f>
        <v>A.D. Kingdom And Empire</v>
      </c>
      <c r="T275" s="5" t="str">
        <f>IFERROR(__xludf.DUMMYFUNCTION("""COMPUTED_VALUE"""),"Indonesia, South Korea, Singapore")</f>
        <v>Indonesia, South Korea, Singapore</v>
      </c>
      <c r="U275" s="5" t="str">
        <f>IFERROR(__xludf.DUMMYFUNCTION("""COMPUTED_VALUE"""),"Fred Ouro Preto")</f>
        <v>Fred Ouro Preto</v>
      </c>
      <c r="V275" s="5" t="s">
        <v>1805</v>
      </c>
      <c r="W275" s="5" t="str">
        <f t="shared" si="3"/>
        <v>Andreas Prochaska</v>
      </c>
      <c r="X275" s="5">
        <f t="shared" si="4"/>
        <v>1</v>
      </c>
      <c r="Y275" s="5" t="str">
        <f>IFERROR(__xludf.DUMMYFUNCTION("REGEXEXTRACT(J275, ""^\d+"")"),"1")</f>
        <v>1</v>
      </c>
      <c r="Z275" s="5" t="str">
        <f>IFERROR(__xludf.DUMMYFUNCTION("REGEXEXTRACT(J275, ""[A-Za-z ]+$"")")," Season")</f>
        <v> Season</v>
      </c>
      <c r="AA275" s="5" t="str">
        <f>IFERROR(__xludf.DUMMYFUNCTION("IF(REGEXMATCH(Z275, ""Season""), ""TV Show"", ""Movie"")"),"TV Show")</f>
        <v>TV Show</v>
      </c>
    </row>
    <row r="276">
      <c r="A276" s="1" t="s">
        <v>1806</v>
      </c>
      <c r="B276" s="1" t="s">
        <v>37</v>
      </c>
      <c r="C276" s="1" t="s">
        <v>1807</v>
      </c>
      <c r="E276" s="1" t="s">
        <v>1808</v>
      </c>
      <c r="F276" s="1" t="s">
        <v>30</v>
      </c>
      <c r="G276" s="1" t="s">
        <v>1787</v>
      </c>
      <c r="H276" s="1">
        <v>2021.0</v>
      </c>
      <c r="I276" s="1" t="s">
        <v>42</v>
      </c>
      <c r="J276" s="1" t="s">
        <v>1809</v>
      </c>
      <c r="K276" s="1" t="s">
        <v>149</v>
      </c>
      <c r="L276" s="1" t="s">
        <v>1810</v>
      </c>
      <c r="M276" s="2" t="s">
        <v>12</v>
      </c>
      <c r="N276" s="4">
        <f t="shared" si="1"/>
        <v>44421</v>
      </c>
      <c r="O276" s="5" t="str">
        <f>IFERROR(__xludf.DUMMYFUNCTION("IF(REGEXMATCH(TRIM(I276), ""^\d+\s*min""), ""Unclassified"", IF(I276 = """", ""NR"", I276))"),"TV-MA")</f>
        <v>TV-MA</v>
      </c>
      <c r="R276" s="5" t="str">
        <f t="shared" si="2"/>
        <v>Grace And Frankie</v>
      </c>
      <c r="S276" s="5" t="str">
        <f>IFERROR(__xludf.DUMMYFUNCTION("""COMPUTED_VALUE"""),"A.I.C.O.")</f>
        <v>A.I.C.O.</v>
      </c>
      <c r="T276" s="5" t="str">
        <f>IFERROR(__xludf.DUMMYFUNCTION("""COMPUTED_VALUE"""),"Indonesia, United Kingdom")</f>
        <v>Indonesia, United Kingdom</v>
      </c>
      <c r="U276" s="5" t="str">
        <f>IFERROR(__xludf.DUMMYFUNCTION("""COMPUTED_VALUE"""),"Mayye Zayed")</f>
        <v>Mayye Zayed</v>
      </c>
      <c r="V276" s="5" t="s">
        <v>1811</v>
      </c>
      <c r="W276" s="5" t="str">
        <f t="shared" si="3"/>
        <v>Andres Clariond</v>
      </c>
      <c r="X276" s="5">
        <f t="shared" si="4"/>
        <v>1</v>
      </c>
      <c r="Y276" s="5" t="str">
        <f>IFERROR(__xludf.DUMMYFUNCTION("REGEXEXTRACT(J276, ""^\d+"")"),"7")</f>
        <v>7</v>
      </c>
      <c r="Z276" s="5" t="str">
        <f>IFERROR(__xludf.DUMMYFUNCTION("REGEXEXTRACT(J276, ""[A-Za-z ]+$"")")," Seasons")</f>
        <v> Seasons</v>
      </c>
      <c r="AA276" s="5" t="str">
        <f>IFERROR(__xludf.DUMMYFUNCTION("IF(REGEXMATCH(Z276, ""Season""), ""TV Show"", ""Movie"")"),"TV Show")</f>
        <v>TV Show</v>
      </c>
    </row>
    <row r="277">
      <c r="A277" s="1" t="s">
        <v>1812</v>
      </c>
      <c r="B277" s="1" t="s">
        <v>37</v>
      </c>
      <c r="C277" s="1" t="s">
        <v>1813</v>
      </c>
      <c r="E277" s="1" t="s">
        <v>1814</v>
      </c>
      <c r="F277" s="1" t="s">
        <v>1815</v>
      </c>
      <c r="G277" s="1" t="s">
        <v>1787</v>
      </c>
      <c r="H277" s="1">
        <v>2021.0</v>
      </c>
      <c r="I277" s="1" t="s">
        <v>42</v>
      </c>
      <c r="J277" s="1" t="s">
        <v>51</v>
      </c>
      <c r="K277" s="1" t="s">
        <v>785</v>
      </c>
      <c r="L277" s="1" t="s">
        <v>1816</v>
      </c>
      <c r="M277" s="2" t="s">
        <v>12</v>
      </c>
      <c r="N277" s="4">
        <f t="shared" si="1"/>
        <v>44421</v>
      </c>
      <c r="O277" s="5" t="str">
        <f>IFERROR(__xludf.DUMMYFUNCTION("IF(REGEXMATCH(TRIM(I277), ""^\d+\s*min""), ""Unclassified"", IF(I277 = """", ""NR"", I277))"),"TV-MA")</f>
        <v>TV-MA</v>
      </c>
      <c r="R277" s="5" t="str">
        <f t="shared" si="2"/>
        <v>The Kingdom</v>
      </c>
      <c r="S277" s="5" t="str">
        <f>IFERROR(__xludf.DUMMYFUNCTION("""COMPUTED_VALUE"""),"A.M.I.")</f>
        <v>A.M.I.</v>
      </c>
      <c r="T277" s="5" t="str">
        <f>IFERROR(__xludf.DUMMYFUNCTION("""COMPUTED_VALUE"""),"Indonesia, United States")</f>
        <v>Indonesia, United States</v>
      </c>
      <c r="U277" s="5" t="str">
        <f>IFERROR(__xludf.DUMMYFUNCTION("""COMPUTED_VALUE"""),"Alessandra De Rossi")</f>
        <v>Alessandra De Rossi</v>
      </c>
      <c r="V277" s="5" t="s">
        <v>1817</v>
      </c>
      <c r="W277" s="5" t="str">
        <f t="shared" si="3"/>
        <v>Andrés Couturier</v>
      </c>
      <c r="X277" s="5">
        <f t="shared" si="4"/>
        <v>1</v>
      </c>
      <c r="Y277" s="5" t="str">
        <f>IFERROR(__xludf.DUMMYFUNCTION("REGEXEXTRACT(J277, ""^\d+"")"),"1")</f>
        <v>1</v>
      </c>
      <c r="Z277" s="5" t="str">
        <f>IFERROR(__xludf.DUMMYFUNCTION("REGEXEXTRACT(J277, ""[A-Za-z ]+$"")")," Season")</f>
        <v> Season</v>
      </c>
      <c r="AA277" s="5" t="str">
        <f>IFERROR(__xludf.DUMMYFUNCTION("IF(REGEXMATCH(Z277, ""Season""), ""TV Show"", ""Movie"")"),"TV Show")</f>
        <v>TV Show</v>
      </c>
    </row>
    <row r="278">
      <c r="A278" s="1" t="s">
        <v>1818</v>
      </c>
      <c r="B278" s="1" t="s">
        <v>37</v>
      </c>
      <c r="C278" s="1" t="s">
        <v>1819</v>
      </c>
      <c r="D278" s="1" t="s">
        <v>1820</v>
      </c>
      <c r="E278" s="1" t="s">
        <v>1821</v>
      </c>
      <c r="F278" s="1" t="s">
        <v>784</v>
      </c>
      <c r="G278" s="1" t="s">
        <v>1787</v>
      </c>
      <c r="H278" s="1">
        <v>2021.0</v>
      </c>
      <c r="I278" s="1" t="s">
        <v>42</v>
      </c>
      <c r="J278" s="1" t="s">
        <v>43</v>
      </c>
      <c r="K278" s="1" t="s">
        <v>1822</v>
      </c>
      <c r="L278" s="1" t="s">
        <v>1823</v>
      </c>
      <c r="M278" s="2" t="s">
        <v>12</v>
      </c>
      <c r="N278" s="4">
        <f t="shared" si="1"/>
        <v>44421</v>
      </c>
      <c r="O278" s="5" t="str">
        <f>IFERROR(__xludf.DUMMYFUNCTION("IF(REGEXMATCH(TRIM(I278), ""^\d+\s*min""), ""Unclassified"", IF(I278 = """", ""NR"", I278))"),"TV-MA")</f>
        <v>TV-MA</v>
      </c>
      <c r="R278" s="5" t="str">
        <f t="shared" si="2"/>
        <v>Valeria</v>
      </c>
      <c r="S278" s="5" t="str">
        <f>IFERROR(__xludf.DUMMYFUNCTION("""COMPUTED_VALUE"""),"A.X.L.")</f>
        <v>A.X.L.</v>
      </c>
      <c r="T278" s="5" t="str">
        <f>IFERROR(__xludf.DUMMYFUNCTION("""COMPUTED_VALUE"""),"Iran, France")</f>
        <v>Iran, France</v>
      </c>
      <c r="U278" s="5" t="str">
        <f>IFERROR(__xludf.DUMMYFUNCTION("""COMPUTED_VALUE"""),"Ash Brannon, Chris Buck")</f>
        <v>Ash Brannon, Chris Buck</v>
      </c>
      <c r="V278" s="5" t="s">
        <v>1824</v>
      </c>
      <c r="W278" s="5" t="str">
        <f t="shared" si="3"/>
        <v>Andrés Feddersen</v>
      </c>
      <c r="X278" s="5">
        <f t="shared" si="4"/>
        <v>1</v>
      </c>
      <c r="Y278" s="5" t="str">
        <f>IFERROR(__xludf.DUMMYFUNCTION("REGEXEXTRACT(J278, ""^\d+"")"),"2")</f>
        <v>2</v>
      </c>
      <c r="Z278" s="5" t="str">
        <f>IFERROR(__xludf.DUMMYFUNCTION("REGEXEXTRACT(J278, ""[A-Za-z ]+$"")")," Seasons")</f>
        <v> Seasons</v>
      </c>
      <c r="AA278" s="5" t="str">
        <f>IFERROR(__xludf.DUMMYFUNCTION("IF(REGEXMATCH(Z278, ""Season""), ""TV Show"", ""Movie"")"),"TV Show")</f>
        <v>TV Show</v>
      </c>
    </row>
    <row r="279">
      <c r="A279" s="1" t="s">
        <v>1825</v>
      </c>
      <c r="B279" s="1" t="s">
        <v>37</v>
      </c>
      <c r="C279" s="1" t="s">
        <v>1826</v>
      </c>
      <c r="E279" s="1" t="s">
        <v>1827</v>
      </c>
      <c r="F279" s="1" t="s">
        <v>1828</v>
      </c>
      <c r="G279" s="1" t="s">
        <v>1829</v>
      </c>
      <c r="H279" s="1">
        <v>2021.0</v>
      </c>
      <c r="I279" s="1" t="s">
        <v>97</v>
      </c>
      <c r="J279" s="1" t="s">
        <v>51</v>
      </c>
      <c r="K279" s="1" t="s">
        <v>1830</v>
      </c>
      <c r="L279" s="1" t="s">
        <v>1831</v>
      </c>
      <c r="M279" s="2" t="s">
        <v>12</v>
      </c>
      <c r="N279" s="4">
        <f t="shared" si="1"/>
        <v>44420</v>
      </c>
      <c r="O279" s="5" t="str">
        <f>IFERROR(__xludf.DUMMYFUNCTION("IF(REGEXMATCH(TRIM(I279), ""^\d+\s*min""), ""Unclassified"", IF(I279 = """", ""NR"", I279))"),"TV-14")</f>
        <v>TV-14</v>
      </c>
      <c r="R279" s="5" t="str">
        <f t="shared" si="2"/>
        <v>Alrawabi School For Girls</v>
      </c>
      <c r="S279" s="5" t="str">
        <f>IFERROR(__xludf.DUMMYFUNCTION("""COMPUTED_VALUE"""),"Aadu 2")</f>
        <v>Aadu 2</v>
      </c>
      <c r="T279" s="5" t="str">
        <f>IFERROR(__xludf.DUMMYFUNCTION("""COMPUTED_VALUE"""),"Ireland")</f>
        <v>Ireland</v>
      </c>
      <c r="U279" s="5" t="str">
        <f>IFERROR(__xludf.DUMMYFUNCTION("""COMPUTED_VALUE"""),"Alaa Eddine Aljem")</f>
        <v>Alaa Eddine Aljem</v>
      </c>
      <c r="V279" s="5" t="s">
        <v>1832</v>
      </c>
      <c r="W279" s="5" t="str">
        <f t="shared" si="3"/>
        <v>Andrew Bergman</v>
      </c>
      <c r="X279" s="5">
        <f t="shared" si="4"/>
        <v>1</v>
      </c>
      <c r="Y279" s="5" t="str">
        <f>IFERROR(__xludf.DUMMYFUNCTION("REGEXEXTRACT(J279, ""^\d+"")"),"1")</f>
        <v>1</v>
      </c>
      <c r="Z279" s="5" t="str">
        <f>IFERROR(__xludf.DUMMYFUNCTION("REGEXEXTRACT(J279, ""[A-Za-z ]+$"")")," Season")</f>
        <v> Season</v>
      </c>
      <c r="AA279" s="5" t="str">
        <f>IFERROR(__xludf.DUMMYFUNCTION("IF(REGEXMATCH(Z279, ""Season""), ""TV Show"", ""Movie"")"),"TV Show")</f>
        <v>TV Show</v>
      </c>
    </row>
    <row r="280">
      <c r="A280" s="1" t="s">
        <v>1833</v>
      </c>
      <c r="B280" s="1" t="s">
        <v>27</v>
      </c>
      <c r="C280" s="1" t="s">
        <v>1834</v>
      </c>
      <c r="D280" s="1" t="s">
        <v>1835</v>
      </c>
      <c r="E280" s="1" t="s">
        <v>1836</v>
      </c>
      <c r="F280" s="1" t="s">
        <v>1837</v>
      </c>
      <c r="G280" s="1" t="s">
        <v>1829</v>
      </c>
      <c r="H280" s="1">
        <v>2021.0</v>
      </c>
      <c r="I280" s="1" t="s">
        <v>42</v>
      </c>
      <c r="J280" s="1" t="s">
        <v>1838</v>
      </c>
      <c r="K280" s="1" t="s">
        <v>1839</v>
      </c>
      <c r="L280" s="1" t="s">
        <v>1840</v>
      </c>
      <c r="M280" s="2" t="s">
        <v>12</v>
      </c>
      <c r="N280" s="4">
        <f t="shared" si="1"/>
        <v>44420</v>
      </c>
      <c r="O280" s="5" t="str">
        <f>IFERROR(__xludf.DUMMYFUNCTION("IF(REGEXMATCH(TRIM(I280), ""^\d+\s*min""), ""Unclassified"", IF(I280 = """", ""NR"", I280))"),"TV-MA")</f>
        <v>TV-MA</v>
      </c>
      <c r="R280" s="5" t="str">
        <f t="shared" si="2"/>
        <v>Lokillo: Nothing'S The Same</v>
      </c>
      <c r="S280" s="5" t="str">
        <f>IFERROR(__xludf.DUMMYFUNCTION("""COMPUTED_VALUE"""),"Aagey Se Right")</f>
        <v>Aagey Se Right</v>
      </c>
      <c r="T280" s="5" t="str">
        <f>IFERROR(__xludf.DUMMYFUNCTION("""COMPUTED_VALUE"""),"Ireland, Canada")</f>
        <v>Ireland, Canada</v>
      </c>
      <c r="U280" s="5" t="str">
        <f>IFERROR(__xludf.DUMMYFUNCTION("""COMPUTED_VALUE"""),"Tom Donahue")</f>
        <v>Tom Donahue</v>
      </c>
      <c r="V280" s="5" t="s">
        <v>1841</v>
      </c>
      <c r="W280" s="5" t="str">
        <f t="shared" si="3"/>
        <v>Andrew Bujalski</v>
      </c>
      <c r="X280" s="5">
        <f t="shared" si="4"/>
        <v>1</v>
      </c>
      <c r="Y280" s="5" t="str">
        <f>IFERROR(__xludf.DUMMYFUNCTION("REGEXEXTRACT(J280, ""^\d+"")"),"64")</f>
        <v>64</v>
      </c>
      <c r="Z280" s="5" t="str">
        <f>IFERROR(__xludf.DUMMYFUNCTION("REGEXEXTRACT(J280, ""[A-Za-z ]+$"")")," min")</f>
        <v> min</v>
      </c>
      <c r="AA280" s="5" t="str">
        <f>IFERROR(__xludf.DUMMYFUNCTION("IF(REGEXMATCH(Z280, ""Season""), ""TV Show"", ""Movie"")"),"Movie")</f>
        <v>Movie</v>
      </c>
    </row>
    <row r="281">
      <c r="A281" s="1" t="s">
        <v>1842</v>
      </c>
      <c r="B281" s="1" t="s">
        <v>27</v>
      </c>
      <c r="C281" s="1" t="s">
        <v>1843</v>
      </c>
      <c r="D281" s="1" t="s">
        <v>1844</v>
      </c>
      <c r="E281" s="1" t="s">
        <v>1845</v>
      </c>
      <c r="F281" s="1" t="s">
        <v>1846</v>
      </c>
      <c r="G281" s="1" t="s">
        <v>1829</v>
      </c>
      <c r="H281" s="1">
        <v>2021.0</v>
      </c>
      <c r="I281" s="1" t="s">
        <v>136</v>
      </c>
      <c r="J281" s="1" t="s">
        <v>1847</v>
      </c>
      <c r="K281" s="1" t="s">
        <v>1848</v>
      </c>
      <c r="L281" s="1" t="s">
        <v>1849</v>
      </c>
      <c r="M281" s="2" t="s">
        <v>12</v>
      </c>
      <c r="N281" s="4">
        <f t="shared" si="1"/>
        <v>44420</v>
      </c>
      <c r="O281" s="5" t="str">
        <f>IFERROR(__xludf.DUMMYFUNCTION("IF(REGEXMATCH(TRIM(I281), ""^\d+\s*min""), ""Unclassified"", IF(I281 = """", ""NR"", I281))"),"TV-PG")</f>
        <v>TV-PG</v>
      </c>
      <c r="R281" s="5" t="str">
        <f t="shared" si="2"/>
        <v>Monster Hunter: Legends Of The Guild</v>
      </c>
      <c r="S281" s="5" t="str">
        <f>IFERROR(__xludf.DUMMYFUNCTION("""COMPUTED_VALUE"""),"Aajcha Divas Majha")</f>
        <v>Aajcha Divas Majha</v>
      </c>
      <c r="T281" s="5" t="str">
        <f>IFERROR(__xludf.DUMMYFUNCTION("""COMPUTED_VALUE"""),"Ireland, Canada, Luxembourg, United States, United Kingdom, Philippines, India")</f>
        <v>Ireland, Canada, Luxembourg, United States, United Kingdom, Philippines, India</v>
      </c>
      <c r="U281" s="5" t="str">
        <f>IFERROR(__xludf.DUMMYFUNCTION("""COMPUTED_VALUE"""),"Roberto De Feo, Paolo Strippoli")</f>
        <v>Roberto De Feo, Paolo Strippoli</v>
      </c>
      <c r="V281" s="5" t="s">
        <v>1850</v>
      </c>
      <c r="W281" s="5" t="str">
        <f t="shared" si="3"/>
        <v>Andrew C. Erin</v>
      </c>
      <c r="X281" s="5">
        <f t="shared" si="4"/>
        <v>1</v>
      </c>
      <c r="Y281" s="5" t="str">
        <f>IFERROR(__xludf.DUMMYFUNCTION("REGEXEXTRACT(J281, ""^\d+"")"),"59")</f>
        <v>59</v>
      </c>
      <c r="Z281" s="5" t="str">
        <f>IFERROR(__xludf.DUMMYFUNCTION("REGEXEXTRACT(J281, ""[A-Za-z ]+$"")")," min")</f>
        <v> min</v>
      </c>
      <c r="AA281" s="5" t="str">
        <f>IFERROR(__xludf.DUMMYFUNCTION("IF(REGEXMATCH(Z281, ""Season""), ""TV Show"", ""Movie"")"),"Movie")</f>
        <v>Movie</v>
      </c>
    </row>
    <row r="282">
      <c r="A282" s="1" t="s">
        <v>1851</v>
      </c>
      <c r="B282" s="1" t="s">
        <v>37</v>
      </c>
      <c r="C282" s="1" t="s">
        <v>1852</v>
      </c>
      <c r="F282" s="1" t="s">
        <v>30</v>
      </c>
      <c r="G282" s="1" t="s">
        <v>1853</v>
      </c>
      <c r="H282" s="1">
        <v>2021.0</v>
      </c>
      <c r="I282" s="1" t="s">
        <v>136</v>
      </c>
      <c r="J282" s="1" t="s">
        <v>51</v>
      </c>
      <c r="K282" s="1" t="s">
        <v>440</v>
      </c>
      <c r="L282" s="1" t="s">
        <v>1854</v>
      </c>
      <c r="M282" s="2" t="s">
        <v>12</v>
      </c>
      <c r="N282" s="4">
        <f t="shared" si="1"/>
        <v>44419</v>
      </c>
      <c r="O282" s="5" t="str">
        <f>IFERROR(__xludf.DUMMYFUNCTION("IF(REGEXMATCH(TRIM(I282), ""^\d+\s*min""), ""Unclassified"", IF(I282 = """", ""NR"", I282))"),"TV-PG")</f>
        <v>TV-PG</v>
      </c>
      <c r="R282" s="5" t="str">
        <f t="shared" si="2"/>
        <v>Bake Squad</v>
      </c>
      <c r="S282" s="5" t="str">
        <f>IFERROR(__xludf.DUMMYFUNCTION("""COMPUTED_VALUE"""),"Aakhri Adaalat")</f>
        <v>Aakhri Adaalat</v>
      </c>
      <c r="T282" s="5" t="str">
        <f>IFERROR(__xludf.DUMMYFUNCTION("""COMPUTED_VALUE"""),"Ireland, Canada, United Kingdom, United States")</f>
        <v>Ireland, Canada, United Kingdom, United States</v>
      </c>
      <c r="U282" s="5" t="str">
        <f>IFERROR(__xludf.DUMMYFUNCTION("""COMPUTED_VALUE"""),"Navot Papushado")</f>
        <v>Navot Papushado</v>
      </c>
      <c r="V282" s="5" t="s">
        <v>1855</v>
      </c>
      <c r="W282" s="5" t="str">
        <f t="shared" si="3"/>
        <v>Andrew Davis</v>
      </c>
      <c r="X282" s="5">
        <f t="shared" si="4"/>
        <v>1</v>
      </c>
      <c r="Y282" s="5" t="str">
        <f>IFERROR(__xludf.DUMMYFUNCTION("REGEXEXTRACT(J282, ""^\d+"")"),"1")</f>
        <v>1</v>
      </c>
      <c r="Z282" s="5" t="str">
        <f>IFERROR(__xludf.DUMMYFUNCTION("REGEXEXTRACT(J282, ""[A-Za-z ]+$"")")," Season")</f>
        <v> Season</v>
      </c>
      <c r="AA282" s="5" t="str">
        <f>IFERROR(__xludf.DUMMYFUNCTION("IF(REGEXMATCH(Z282, ""Season""), ""TV Show"", ""Movie"")"),"TV Show")</f>
        <v>TV Show</v>
      </c>
    </row>
    <row r="283">
      <c r="A283" s="1" t="s">
        <v>1856</v>
      </c>
      <c r="B283" s="1" t="s">
        <v>27</v>
      </c>
      <c r="C283" s="1" t="s">
        <v>1857</v>
      </c>
      <c r="D283" s="1" t="s">
        <v>1858</v>
      </c>
      <c r="E283" s="1" t="s">
        <v>1859</v>
      </c>
      <c r="F283" s="1" t="s">
        <v>400</v>
      </c>
      <c r="G283" s="1" t="s">
        <v>1853</v>
      </c>
      <c r="H283" s="1">
        <v>2016.0</v>
      </c>
      <c r="I283" s="1" t="s">
        <v>97</v>
      </c>
      <c r="J283" s="1" t="s">
        <v>1091</v>
      </c>
      <c r="K283" s="1" t="s">
        <v>199</v>
      </c>
      <c r="L283" s="1" t="s">
        <v>1860</v>
      </c>
      <c r="M283" s="2" t="s">
        <v>12</v>
      </c>
      <c r="N283" s="4">
        <f t="shared" si="1"/>
        <v>44419</v>
      </c>
      <c r="O283" s="5" t="str">
        <f>IFERROR(__xludf.DUMMYFUNCTION("IF(REGEXMATCH(TRIM(I283), ""^\d+\s*min""), ""Unclassified"", IF(I283 = """", ""NR"", I283))"),"TV-14")</f>
        <v>TV-14</v>
      </c>
      <c r="R283" s="5" t="str">
        <f t="shared" si="2"/>
        <v>Brother Jekwu</v>
      </c>
      <c r="S283" s="5" t="str">
        <f>IFERROR(__xludf.DUMMYFUNCTION("""COMPUTED_VALUE"""),"Aalorukkam")</f>
        <v>Aalorukkam</v>
      </c>
      <c r="T283" s="5" t="str">
        <f>IFERROR(__xludf.DUMMYFUNCTION("""COMPUTED_VALUE"""),"Ireland, Canada, United States, United Kingdom")</f>
        <v>Ireland, Canada, United States, United Kingdom</v>
      </c>
      <c r="U283" s="5" t="str">
        <f>IFERROR(__xludf.DUMMYFUNCTION("""COMPUTED_VALUE"""),"Manuel Alcalá")</f>
        <v>Manuel Alcalá</v>
      </c>
      <c r="V283" s="5" t="s">
        <v>1861</v>
      </c>
      <c r="W283" s="5" t="str">
        <f t="shared" si="3"/>
        <v>Andrew Dean</v>
      </c>
      <c r="X283" s="5">
        <f t="shared" si="4"/>
        <v>1</v>
      </c>
      <c r="Y283" s="5" t="str">
        <f>IFERROR(__xludf.DUMMYFUNCTION("REGEXEXTRACT(J283, ""^\d+"")"),"101")</f>
        <v>101</v>
      </c>
      <c r="Z283" s="5" t="str">
        <f>IFERROR(__xludf.DUMMYFUNCTION("REGEXEXTRACT(J283, ""[A-Za-z ]+$"")")," min")</f>
        <v> min</v>
      </c>
      <c r="AA283" s="5" t="str">
        <f>IFERROR(__xludf.DUMMYFUNCTION("IF(REGEXMATCH(Z283, ""Season""), ""TV Show"", ""Movie"")"),"Movie")</f>
        <v>Movie</v>
      </c>
    </row>
    <row r="284">
      <c r="A284" s="1" t="s">
        <v>1862</v>
      </c>
      <c r="B284" s="1" t="s">
        <v>27</v>
      </c>
      <c r="C284" s="1" t="s">
        <v>1863</v>
      </c>
      <c r="D284" s="1" t="s">
        <v>1864</v>
      </c>
      <c r="E284" s="1" t="s">
        <v>1865</v>
      </c>
      <c r="F284" s="1" t="s">
        <v>162</v>
      </c>
      <c r="G284" s="1" t="s">
        <v>1853</v>
      </c>
      <c r="H284" s="1">
        <v>2020.0</v>
      </c>
      <c r="I284" s="1" t="s">
        <v>42</v>
      </c>
      <c r="J284" s="1" t="s">
        <v>127</v>
      </c>
      <c r="K284" s="1" t="s">
        <v>89</v>
      </c>
      <c r="L284" s="1" t="s">
        <v>1866</v>
      </c>
      <c r="M284" s="2" t="s">
        <v>12</v>
      </c>
      <c r="N284" s="4">
        <f t="shared" si="1"/>
        <v>44419</v>
      </c>
      <c r="O284" s="5" t="str">
        <f>IFERROR(__xludf.DUMMYFUNCTION("IF(REGEXMATCH(TRIM(I284), ""^\d+\s*min""), ""Unclassified"", IF(I284 = """", ""NR"", I284))"),"TV-MA")</f>
        <v>TV-MA</v>
      </c>
      <c r="R284" s="5" t="str">
        <f t="shared" si="2"/>
        <v>La Diosa Del Asfalto</v>
      </c>
      <c r="S284" s="5" t="str">
        <f>IFERROR(__xludf.DUMMYFUNCTION("""COMPUTED_VALUE"""),"Aamir")</f>
        <v>Aamir</v>
      </c>
      <c r="T284" s="5" t="str">
        <f>IFERROR(__xludf.DUMMYFUNCTION("""COMPUTED_VALUE"""),"Ireland, France, Iceland, United States, Mexico, Belgium, United Kingdom, Hong Kong")</f>
        <v>Ireland, France, Iceland, United States, Mexico, Belgium, United Kingdom, Hong Kong</v>
      </c>
      <c r="U284" s="5" t="str">
        <f>IFERROR(__xludf.DUMMYFUNCTION("""COMPUTED_VALUE"""),"Ricardo Trogi")</f>
        <v>Ricardo Trogi</v>
      </c>
      <c r="V284" s="5" t="s">
        <v>1867</v>
      </c>
      <c r="W284" s="5" t="str">
        <f t="shared" si="3"/>
        <v>Andrew Dominik</v>
      </c>
      <c r="X284" s="5">
        <f t="shared" si="4"/>
        <v>1</v>
      </c>
      <c r="Y284" s="5" t="str">
        <f>IFERROR(__xludf.DUMMYFUNCTION("REGEXEXTRACT(J284, ""^\d+"")"),"127")</f>
        <v>127</v>
      </c>
      <c r="Z284" s="5" t="str">
        <f>IFERROR(__xludf.DUMMYFUNCTION("REGEXEXTRACT(J284, ""[A-Za-z ]+$"")")," min")</f>
        <v> min</v>
      </c>
      <c r="AA284" s="5" t="str">
        <f>IFERROR(__xludf.DUMMYFUNCTION("IF(REGEXMATCH(Z284, ""Season""), ""TV Show"", ""Movie"")"),"Movie")</f>
        <v>Movie</v>
      </c>
    </row>
    <row r="285">
      <c r="A285" s="1" t="s">
        <v>1868</v>
      </c>
      <c r="B285" s="1" t="s">
        <v>27</v>
      </c>
      <c r="C285" s="1" t="s">
        <v>1869</v>
      </c>
      <c r="D285" s="1" t="s">
        <v>1870</v>
      </c>
      <c r="F285" s="1" t="s">
        <v>1871</v>
      </c>
      <c r="G285" s="1" t="s">
        <v>1853</v>
      </c>
      <c r="H285" s="1">
        <v>2021.0</v>
      </c>
      <c r="I285" s="1" t="s">
        <v>32</v>
      </c>
      <c r="J285" s="1" t="s">
        <v>33</v>
      </c>
      <c r="K285" s="1" t="s">
        <v>156</v>
      </c>
      <c r="L285" s="1" t="s">
        <v>1872</v>
      </c>
      <c r="M285" s="2" t="s">
        <v>12</v>
      </c>
      <c r="N285" s="4">
        <f t="shared" si="1"/>
        <v>44419</v>
      </c>
      <c r="O285" s="5" t="str">
        <f>IFERROR(__xludf.DUMMYFUNCTION("IF(REGEXMATCH(TRIM(I285), ""^\d+\s*min""), ""Unclassified"", IF(I285 = """", ""NR"", I285))"),"PG-13")</f>
        <v>PG-13</v>
      </c>
      <c r="R285" s="5" t="str">
        <f t="shared" si="2"/>
        <v>Misha And The Wolves</v>
      </c>
      <c r="S285" s="5" t="str">
        <f>IFERROR(__xludf.DUMMYFUNCTION("""COMPUTED_VALUE"""),"Aapla Manus")</f>
        <v>Aapla Manus</v>
      </c>
      <c r="T285" s="5" t="str">
        <f>IFERROR(__xludf.DUMMYFUNCTION("""COMPUTED_VALUE"""),"Ireland, Luxembourg, Belgium")</f>
        <v>Ireland, Luxembourg, Belgium</v>
      </c>
      <c r="U285" s="5" t="str">
        <f>IFERROR(__xludf.DUMMYFUNCTION("""COMPUTED_VALUE"""),"Semi Chellas")</f>
        <v>Semi Chellas</v>
      </c>
      <c r="V285" s="5" t="s">
        <v>1873</v>
      </c>
      <c r="W285" s="5" t="str">
        <f t="shared" si="3"/>
        <v>Andrew Douglas</v>
      </c>
      <c r="X285" s="5">
        <f t="shared" si="4"/>
        <v>1</v>
      </c>
      <c r="Y285" s="5" t="str">
        <f>IFERROR(__xludf.DUMMYFUNCTION("REGEXEXTRACT(J285, ""^\d+"")"),"90")</f>
        <v>90</v>
      </c>
      <c r="Z285" s="5" t="str">
        <f>IFERROR(__xludf.DUMMYFUNCTION("REGEXEXTRACT(J285, ""[A-Za-z ]+$"")")," min")</f>
        <v> min</v>
      </c>
      <c r="AA285" s="5" t="str">
        <f>IFERROR(__xludf.DUMMYFUNCTION("IF(REGEXMATCH(Z285, ""Season""), ""TV Show"", ""Movie"")"),"Movie")</f>
        <v>Movie</v>
      </c>
    </row>
    <row r="286">
      <c r="A286" s="1" t="s">
        <v>1874</v>
      </c>
      <c r="B286" s="1" t="s">
        <v>27</v>
      </c>
      <c r="C286" s="1" t="s">
        <v>1875</v>
      </c>
      <c r="D286" s="1" t="s">
        <v>1876</v>
      </c>
      <c r="E286" s="1" t="s">
        <v>1877</v>
      </c>
      <c r="F286" s="1" t="s">
        <v>686</v>
      </c>
      <c r="G286" s="1" t="s">
        <v>1853</v>
      </c>
      <c r="H286" s="1">
        <v>2021.0</v>
      </c>
      <c r="I286" s="1" t="s">
        <v>97</v>
      </c>
      <c r="J286" s="1" t="s">
        <v>835</v>
      </c>
      <c r="K286" s="1" t="s">
        <v>813</v>
      </c>
      <c r="L286" s="1" t="s">
        <v>1878</v>
      </c>
      <c r="M286" s="2" t="s">
        <v>12</v>
      </c>
      <c r="N286" s="4">
        <f t="shared" si="1"/>
        <v>44419</v>
      </c>
      <c r="O286" s="5" t="str">
        <f>IFERROR(__xludf.DUMMYFUNCTION("IF(REGEXMATCH(TRIM(I286), ""^\d+\s*min""), ""Unclassified"", IF(I286 = """", ""NR"", I286))"),"TV-14")</f>
        <v>TV-14</v>
      </c>
      <c r="R286" s="5" t="str">
        <f t="shared" si="2"/>
        <v>The Kissing Booth 3</v>
      </c>
      <c r="S286" s="5" t="str">
        <f>IFERROR(__xludf.DUMMYFUNCTION("""COMPUTED_VALUE"""),"Aarakshan")</f>
        <v>Aarakshan</v>
      </c>
      <c r="T286" s="5" t="str">
        <f>IFERROR(__xludf.DUMMYFUNCTION("""COMPUTED_VALUE"""),"Ireland, South Africa")</f>
        <v>Ireland, South Africa</v>
      </c>
      <c r="U286" s="5" t="str">
        <f>IFERROR(__xludf.DUMMYFUNCTION("""COMPUTED_VALUE"""),"Akay Mason, Abosi Ogba")</f>
        <v>Akay Mason, Abosi Ogba</v>
      </c>
      <c r="V286" s="5" t="s">
        <v>1879</v>
      </c>
      <c r="W286" s="5" t="str">
        <f t="shared" si="3"/>
        <v>Andrew Duncan, Ken Cunningham</v>
      </c>
      <c r="X286" s="5">
        <f t="shared" si="4"/>
        <v>1</v>
      </c>
      <c r="Y286" s="5" t="str">
        <f>IFERROR(__xludf.DUMMYFUNCTION("REGEXEXTRACT(J286, ""^\d+"")"),"114")</f>
        <v>114</v>
      </c>
      <c r="Z286" s="5" t="str">
        <f>IFERROR(__xludf.DUMMYFUNCTION("REGEXEXTRACT(J286, ""[A-Za-z ]+$"")")," min")</f>
        <v> min</v>
      </c>
      <c r="AA286" s="5" t="str">
        <f>IFERROR(__xludf.DUMMYFUNCTION("IF(REGEXMATCH(Z286, ""Season""), ""TV Show"", ""Movie"")"),"Movie")</f>
        <v>Movie</v>
      </c>
    </row>
    <row r="287">
      <c r="A287" s="1" t="s">
        <v>1880</v>
      </c>
      <c r="B287" s="1" t="s">
        <v>27</v>
      </c>
      <c r="C287" s="1" t="s">
        <v>1881</v>
      </c>
      <c r="D287" s="1" t="s">
        <v>1882</v>
      </c>
      <c r="E287" s="1" t="s">
        <v>1883</v>
      </c>
      <c r="F287" s="1" t="s">
        <v>1884</v>
      </c>
      <c r="G287" s="1" t="s">
        <v>1853</v>
      </c>
      <c r="H287" s="1">
        <v>2013.0</v>
      </c>
      <c r="I287" s="1" t="s">
        <v>378</v>
      </c>
      <c r="J287" s="1" t="s">
        <v>912</v>
      </c>
      <c r="K287" s="1" t="s">
        <v>128</v>
      </c>
      <c r="L287" s="1" t="s">
        <v>1885</v>
      </c>
      <c r="M287" s="2" t="s">
        <v>12</v>
      </c>
      <c r="N287" s="4">
        <f t="shared" si="1"/>
        <v>44419</v>
      </c>
      <c r="O287" s="5" t="str">
        <f>IFERROR(__xludf.DUMMYFUNCTION("IF(REGEXMATCH(TRIM(I287), ""^\d+\s*min""), ""Unclassified"", IF(I287 = """", ""NR"", I287))"),"R")</f>
        <v>R</v>
      </c>
      <c r="R287" s="5" t="str">
        <f t="shared" si="2"/>
        <v>The Railway Man</v>
      </c>
      <c r="S287" s="5" t="str">
        <f>IFERROR(__xludf.DUMMYFUNCTION("""COMPUTED_VALUE"""),"Aashayein")</f>
        <v>Aashayein</v>
      </c>
      <c r="T287" s="5" t="str">
        <f>IFERROR(__xludf.DUMMYFUNCTION("""COMPUTED_VALUE"""),"Ireland, Switzerland, United Kingdom, France, United States")</f>
        <v>Ireland, Switzerland, United Kingdom, France, United States</v>
      </c>
      <c r="U287" s="5" t="str">
        <f>IFERROR(__xludf.DUMMYFUNCTION("""COMPUTED_VALUE"""),"Viridiana Lieberman")</f>
        <v>Viridiana Lieberman</v>
      </c>
      <c r="V287" s="5" t="s">
        <v>1886</v>
      </c>
      <c r="W287" s="5" t="str">
        <f t="shared" si="3"/>
        <v>Andrew Fleming</v>
      </c>
      <c r="X287" s="5">
        <f t="shared" si="4"/>
        <v>1</v>
      </c>
      <c r="Y287" s="5" t="str">
        <f>IFERROR(__xludf.DUMMYFUNCTION("REGEXEXTRACT(J287, ""^\d+"")"),"108")</f>
        <v>108</v>
      </c>
      <c r="Z287" s="5" t="str">
        <f>IFERROR(__xludf.DUMMYFUNCTION("REGEXEXTRACT(J287, ""[A-Za-z ]+$"")")," min")</f>
        <v> min</v>
      </c>
      <c r="AA287" s="5" t="str">
        <f>IFERROR(__xludf.DUMMYFUNCTION("IF(REGEXMATCH(Z287, ""Season""), ""TV Show"", ""Movie"")"),"Movie")</f>
        <v>Movie</v>
      </c>
    </row>
    <row r="288">
      <c r="A288" s="1" t="s">
        <v>1887</v>
      </c>
      <c r="B288" s="1" t="s">
        <v>37</v>
      </c>
      <c r="C288" s="1" t="s">
        <v>1888</v>
      </c>
      <c r="E288" s="1" t="s">
        <v>1889</v>
      </c>
      <c r="F288" s="1" t="s">
        <v>30</v>
      </c>
      <c r="G288" s="1" t="s">
        <v>1890</v>
      </c>
      <c r="H288" s="1">
        <v>2021.0</v>
      </c>
      <c r="I288" s="1" t="s">
        <v>206</v>
      </c>
      <c r="J288" s="1" t="s">
        <v>43</v>
      </c>
      <c r="K288" s="1" t="s">
        <v>290</v>
      </c>
      <c r="L288" s="1" t="s">
        <v>1891</v>
      </c>
      <c r="M288" s="2" t="s">
        <v>12</v>
      </c>
      <c r="N288" s="4">
        <f t="shared" si="1"/>
        <v>44418</v>
      </c>
      <c r="O288" s="5" t="str">
        <f>IFERROR(__xludf.DUMMYFUNCTION("IF(REGEXMATCH(TRIM(I288), ""^\d+\s*min""), ""Unclassified"", IF(I288 = """", ""NR"", I288))"),"TV-Y")</f>
        <v>TV-Y</v>
      </c>
      <c r="R288" s="5" t="str">
        <f t="shared" si="2"/>
        <v>Gabby'S Dollhouse</v>
      </c>
      <c r="S288" s="5" t="str">
        <f>IFERROR(__xludf.DUMMYFUNCTION("""COMPUTED_VALUE"""),"Aashik Awara")</f>
        <v>Aashik Awara</v>
      </c>
      <c r="T288" s="5" t="str">
        <f>IFERROR(__xludf.DUMMYFUNCTION("""COMPUTED_VALUE"""),"Ireland, United Kingdom")</f>
        <v>Ireland, United Kingdom</v>
      </c>
      <c r="U288" s="5" t="str">
        <f>IFERROR(__xludf.DUMMYFUNCTION("""COMPUTED_VALUE"""),"Nima Nourizadeh")</f>
        <v>Nima Nourizadeh</v>
      </c>
      <c r="V288" s="5" t="s">
        <v>1892</v>
      </c>
      <c r="W288" s="5" t="str">
        <f t="shared" si="3"/>
        <v>Andrew Goth</v>
      </c>
      <c r="X288" s="5">
        <f t="shared" si="4"/>
        <v>1</v>
      </c>
      <c r="Y288" s="5" t="str">
        <f>IFERROR(__xludf.DUMMYFUNCTION("REGEXEXTRACT(J288, ""^\d+"")"),"2")</f>
        <v>2</v>
      </c>
      <c r="Z288" s="5" t="str">
        <f>IFERROR(__xludf.DUMMYFUNCTION("REGEXEXTRACT(J288, ""[A-Za-z ]+$"")")," Seasons")</f>
        <v> Seasons</v>
      </c>
      <c r="AA288" s="5" t="str">
        <f>IFERROR(__xludf.DUMMYFUNCTION("IF(REGEXMATCH(Z288, ""Season""), ""TV Show"", ""Movie"")"),"TV Show")</f>
        <v>TV Show</v>
      </c>
    </row>
    <row r="289">
      <c r="A289" s="1" t="s">
        <v>1893</v>
      </c>
      <c r="B289" s="1" t="s">
        <v>37</v>
      </c>
      <c r="C289" s="1" t="s">
        <v>1894</v>
      </c>
      <c r="D289" s="1" t="s">
        <v>1895</v>
      </c>
      <c r="E289" s="1" t="s">
        <v>1896</v>
      </c>
      <c r="G289" s="1" t="s">
        <v>1890</v>
      </c>
      <c r="H289" s="1">
        <v>2021.0</v>
      </c>
      <c r="I289" s="1" t="s">
        <v>97</v>
      </c>
      <c r="J289" s="1" t="s">
        <v>51</v>
      </c>
      <c r="K289" s="1" t="s">
        <v>64</v>
      </c>
      <c r="L289" s="1" t="s">
        <v>1897</v>
      </c>
      <c r="M289" s="2" t="s">
        <v>12</v>
      </c>
      <c r="N289" s="4">
        <f t="shared" si="1"/>
        <v>44418</v>
      </c>
      <c r="O289" s="5" t="str">
        <f>IFERROR(__xludf.DUMMYFUNCTION("IF(REGEXMATCH(TRIM(I289), ""^\d+\s*min""), ""Unclassified"", IF(I289 = """", ""NR"", I289))"),"TV-14")</f>
        <v>TV-14</v>
      </c>
      <c r="R289" s="5" t="str">
        <f t="shared" si="2"/>
        <v>I Need Romance</v>
      </c>
      <c r="S289" s="5" t="str">
        <f>IFERROR(__xludf.DUMMYFUNCTION("""COMPUTED_VALUE"""),"Aata Pita")</f>
        <v>Aata Pita</v>
      </c>
      <c r="T289" s="5" t="str">
        <f>IFERROR(__xludf.DUMMYFUNCTION("""COMPUTED_VALUE"""),"Ireland, United Kingdom, France, Germany")</f>
        <v>Ireland, United Kingdom, France, Germany</v>
      </c>
      <c r="U289" s="5" t="str">
        <f>IFERROR(__xludf.DUMMYFUNCTION("""COMPUTED_VALUE"""),"Daniel Růžička")</f>
        <v>Daniel Růžička</v>
      </c>
      <c r="V289" s="5" t="s">
        <v>1898</v>
      </c>
      <c r="W289" s="5" t="str">
        <f t="shared" si="3"/>
        <v>Andrew Jenks</v>
      </c>
      <c r="X289" s="5">
        <f t="shared" si="4"/>
        <v>1</v>
      </c>
      <c r="Y289" s="5" t="str">
        <f>IFERROR(__xludf.DUMMYFUNCTION("REGEXEXTRACT(J289, ""^\d+"")"),"1")</f>
        <v>1</v>
      </c>
      <c r="Z289" s="5" t="str">
        <f>IFERROR(__xludf.DUMMYFUNCTION("REGEXEXTRACT(J289, ""[A-Za-z ]+$"")")," Season")</f>
        <v> Season</v>
      </c>
      <c r="AA289" s="5" t="str">
        <f>IFERROR(__xludf.DUMMYFUNCTION("IF(REGEXMATCH(Z289, ""Season""), ""TV Show"", ""Movie"")"),"TV Show")</f>
        <v>TV Show</v>
      </c>
    </row>
    <row r="290">
      <c r="A290" s="1" t="s">
        <v>1899</v>
      </c>
      <c r="B290" s="1" t="s">
        <v>37</v>
      </c>
      <c r="C290" s="1" t="s">
        <v>1900</v>
      </c>
      <c r="E290" s="1" t="s">
        <v>1901</v>
      </c>
      <c r="F290" s="1" t="s">
        <v>1837</v>
      </c>
      <c r="G290" s="1" t="s">
        <v>1890</v>
      </c>
      <c r="H290" s="1">
        <v>2018.0</v>
      </c>
      <c r="I290" s="1" t="s">
        <v>42</v>
      </c>
      <c r="J290" s="1" t="s">
        <v>51</v>
      </c>
      <c r="K290" s="1" t="s">
        <v>785</v>
      </c>
      <c r="L290" s="1" t="s">
        <v>1902</v>
      </c>
      <c r="M290" s="2" t="s">
        <v>12</v>
      </c>
      <c r="N290" s="4">
        <f t="shared" si="1"/>
        <v>44418</v>
      </c>
      <c r="O290" s="5" t="str">
        <f>IFERROR(__xludf.DUMMYFUNCTION("IF(REGEXMATCH(TRIM(I290), ""^\d+\s*min""), ""Unclassified"", IF(I290 = """", ""NR"", I290))"),"TV-MA")</f>
        <v>TV-MA</v>
      </c>
      <c r="R290" s="5" t="str">
        <f t="shared" si="2"/>
        <v>Las Muñecas De La Mafia</v>
      </c>
      <c r="S290" s="5" t="str">
        <f>IFERROR(__xludf.DUMMYFUNCTION("""COMPUTED_VALUE"""),"Aaviri")</f>
        <v>Aaviri</v>
      </c>
      <c r="T290" s="5" t="str">
        <f>IFERROR(__xludf.DUMMYFUNCTION("""COMPUTED_VALUE"""),"Ireland, United Kingdom, Greece, France, Netherlands")</f>
        <v>Ireland, United Kingdom, Greece, France, Netherlands</v>
      </c>
      <c r="U290" s="5" t="str">
        <f>IFERROR(__xludf.DUMMYFUNCTION("""COMPUTED_VALUE"""),"Juraj Šajmovič")</f>
        <v>Juraj Šajmovič</v>
      </c>
      <c r="V290" s="5" t="s">
        <v>1903</v>
      </c>
      <c r="W290" s="5" t="str">
        <f t="shared" si="3"/>
        <v>Andrew Lau Wai-Keung</v>
      </c>
      <c r="X290" s="5">
        <f t="shared" si="4"/>
        <v>2</v>
      </c>
      <c r="Y290" s="5" t="str">
        <f>IFERROR(__xludf.DUMMYFUNCTION("REGEXEXTRACT(J290, ""^\d+"")"),"1")</f>
        <v>1</v>
      </c>
      <c r="Z290" s="5" t="str">
        <f>IFERROR(__xludf.DUMMYFUNCTION("REGEXEXTRACT(J290, ""[A-Za-z ]+$"")")," Season")</f>
        <v> Season</v>
      </c>
      <c r="AA290" s="5" t="str">
        <f>IFERROR(__xludf.DUMMYFUNCTION("IF(REGEXMATCH(Z290, ""Season""), ""TV Show"", ""Movie"")"),"TV Show")</f>
        <v>TV Show</v>
      </c>
    </row>
    <row r="291">
      <c r="A291" s="1" t="s">
        <v>1904</v>
      </c>
      <c r="B291" s="1" t="s">
        <v>37</v>
      </c>
      <c r="C291" s="1" t="s">
        <v>1905</v>
      </c>
      <c r="E291" s="1" t="s">
        <v>1906</v>
      </c>
      <c r="F291" s="1" t="s">
        <v>749</v>
      </c>
      <c r="G291" s="1" t="s">
        <v>1890</v>
      </c>
      <c r="H291" s="1">
        <v>2019.0</v>
      </c>
      <c r="I291" s="1" t="s">
        <v>97</v>
      </c>
      <c r="J291" s="1" t="s">
        <v>51</v>
      </c>
      <c r="K291" s="1" t="s">
        <v>1907</v>
      </c>
      <c r="L291" s="1" t="s">
        <v>1908</v>
      </c>
      <c r="M291" s="2" t="s">
        <v>12</v>
      </c>
      <c r="N291" s="4">
        <f t="shared" si="1"/>
        <v>44418</v>
      </c>
      <c r="O291" s="5" t="str">
        <f>IFERROR(__xludf.DUMMYFUNCTION("IF(REGEXMATCH(TRIM(I291), ""^\d+\s*min""), ""Unclassified"", IF(I291 = """", ""NR"", I291))"),"TV-14")</f>
        <v>TV-14</v>
      </c>
      <c r="R291" s="5" t="str">
        <f t="shared" si="2"/>
        <v>The Crowned Clown</v>
      </c>
      <c r="S291" s="5" t="str">
        <f>IFERROR(__xludf.DUMMYFUNCTION("""COMPUTED_VALUE"""),"Abby Hatcher")</f>
        <v>Abby Hatcher</v>
      </c>
      <c r="T291" s="5" t="str">
        <f>IFERROR(__xludf.DUMMYFUNCTION("""COMPUTED_VALUE"""),"Ireland, United Kingdom, Italy, United States")</f>
        <v>Ireland, United Kingdom, Italy, United States</v>
      </c>
      <c r="U291" s="5" t="str">
        <f>IFERROR(__xludf.DUMMYFUNCTION("""COMPUTED_VALUE"""),"Femi D. Ogunsanwo")</f>
        <v>Femi D. Ogunsanwo</v>
      </c>
      <c r="V291" s="5" t="s">
        <v>1909</v>
      </c>
      <c r="W291" s="5" t="str">
        <f t="shared" si="3"/>
        <v>Andrew Lau Wai-Keung, Alan Mak</v>
      </c>
      <c r="X291" s="5">
        <f t="shared" si="4"/>
        <v>1</v>
      </c>
      <c r="Y291" s="5" t="str">
        <f>IFERROR(__xludf.DUMMYFUNCTION("REGEXEXTRACT(J291, ""^\d+"")"),"1")</f>
        <v>1</v>
      </c>
      <c r="Z291" s="5" t="str">
        <f>IFERROR(__xludf.DUMMYFUNCTION("REGEXEXTRACT(J291, ""[A-Za-z ]+$"")")," Season")</f>
        <v> Season</v>
      </c>
      <c r="AA291" s="5" t="str">
        <f>IFERROR(__xludf.DUMMYFUNCTION("IF(REGEXMATCH(Z291, ""Season""), ""TV Show"", ""Movie"")"),"TV Show")</f>
        <v>TV Show</v>
      </c>
    </row>
    <row r="292">
      <c r="A292" s="1" t="s">
        <v>1910</v>
      </c>
      <c r="B292" s="1" t="s">
        <v>27</v>
      </c>
      <c r="C292" s="1" t="s">
        <v>1911</v>
      </c>
      <c r="D292" s="1" t="s">
        <v>1912</v>
      </c>
      <c r="F292" s="1" t="s">
        <v>30</v>
      </c>
      <c r="G292" s="1" t="s">
        <v>1890</v>
      </c>
      <c r="H292" s="1">
        <v>2021.0</v>
      </c>
      <c r="I292" s="1" t="s">
        <v>42</v>
      </c>
      <c r="J292" s="1" t="s">
        <v>1583</v>
      </c>
      <c r="K292" s="1" t="s">
        <v>645</v>
      </c>
      <c r="L292" s="1" t="s">
        <v>1913</v>
      </c>
      <c r="M292" s="2" t="s">
        <v>12</v>
      </c>
      <c r="N292" s="4">
        <f t="shared" si="1"/>
        <v>44418</v>
      </c>
      <c r="O292" s="5" t="str">
        <f>IFERROR(__xludf.DUMMYFUNCTION("IF(REGEXMATCH(TRIM(I292), ""^\d+\s*min""), ""Unclassified"", IF(I292 = """", ""NR"", I292))"),"TV-MA")</f>
        <v>TV-MA</v>
      </c>
      <c r="R292" s="5" t="str">
        <f t="shared" si="2"/>
        <v>Untold: Malice At The Palace</v>
      </c>
      <c r="S292" s="5" t="str">
        <f>IFERROR(__xludf.DUMMYFUNCTION("""COMPUTED_VALUE"""),"Abby Sen")</f>
        <v>Abby Sen</v>
      </c>
      <c r="T292" s="5" t="str">
        <f>IFERROR(__xludf.DUMMYFUNCTION("""COMPUTED_VALUE"""),"Ireland, United Kingdom, United States")</f>
        <v>Ireland, United Kingdom, United States</v>
      </c>
      <c r="U292" s="5" t="str">
        <f>IFERROR(__xludf.DUMMYFUNCTION("""COMPUTED_VALUE"""),"Douglas Attal")</f>
        <v>Douglas Attal</v>
      </c>
      <c r="V292" s="5" t="s">
        <v>1914</v>
      </c>
      <c r="W292" s="5" t="str">
        <f t="shared" si="3"/>
        <v>Andrew Lau Wai-Keung, Andrew Loo</v>
      </c>
      <c r="X292" s="5">
        <f t="shared" si="4"/>
        <v>1</v>
      </c>
      <c r="Y292" s="5" t="str">
        <f>IFERROR(__xludf.DUMMYFUNCTION("REGEXEXTRACT(J292, ""^\d+"")"),"70")</f>
        <v>70</v>
      </c>
      <c r="Z292" s="5" t="str">
        <f>IFERROR(__xludf.DUMMYFUNCTION("REGEXEXTRACT(J292, ""[A-Za-z ]+$"")")," min")</f>
        <v> min</v>
      </c>
      <c r="AA292" s="5" t="str">
        <f>IFERROR(__xludf.DUMMYFUNCTION("IF(REGEXMATCH(Z292, ""Season""), ""TV Show"", ""Movie"")"),"Movie")</f>
        <v>Movie</v>
      </c>
    </row>
    <row r="293">
      <c r="A293" s="1" t="s">
        <v>1915</v>
      </c>
      <c r="B293" s="1" t="s">
        <v>37</v>
      </c>
      <c r="C293" s="1" t="s">
        <v>1916</v>
      </c>
      <c r="E293" s="1" t="s">
        <v>1917</v>
      </c>
      <c r="F293" s="1" t="s">
        <v>415</v>
      </c>
      <c r="G293" s="1" t="s">
        <v>1918</v>
      </c>
      <c r="H293" s="1">
        <v>2021.0</v>
      </c>
      <c r="I293" s="1" t="s">
        <v>97</v>
      </c>
      <c r="J293" s="1" t="s">
        <v>51</v>
      </c>
      <c r="K293" s="1" t="s">
        <v>567</v>
      </c>
      <c r="L293" s="1" t="s">
        <v>1919</v>
      </c>
      <c r="M293" s="2" t="s">
        <v>12</v>
      </c>
      <c r="N293" s="4">
        <f t="shared" si="1"/>
        <v>44417</v>
      </c>
      <c r="O293" s="5" t="str">
        <f>IFERROR(__xludf.DUMMYFUNCTION("IF(REGEXMATCH(TRIM(I293), ""^\d+\s*min""), ""Unclassified"", IF(I293 = """", ""NR"", I293))"),"TV-14")</f>
        <v>TV-14</v>
      </c>
      <c r="R293" s="5" t="str">
        <f t="shared" si="2"/>
        <v>Shaman King</v>
      </c>
      <c r="S293" s="5" t="str">
        <f>IFERROR(__xludf.DUMMYFUNCTION("""COMPUTED_VALUE"""),"Abcd 2")</f>
        <v>Abcd 2</v>
      </c>
      <c r="T293" s="5" t="str">
        <f>IFERROR(__xludf.DUMMYFUNCTION("""COMPUTED_VALUE"""),"Ireland, United States")</f>
        <v>Ireland, United States</v>
      </c>
      <c r="U293" s="5" t="str">
        <f>IFERROR(__xludf.DUMMYFUNCTION("""COMPUTED_VALUE"""),"Kim Joo-Hyung")</f>
        <v>Kim Joo-Hyung</v>
      </c>
      <c r="V293" s="5" t="s">
        <v>1920</v>
      </c>
      <c r="W293" s="5" t="str">
        <f t="shared" si="3"/>
        <v>Andrew Nackman</v>
      </c>
      <c r="X293" s="5">
        <f t="shared" si="4"/>
        <v>1</v>
      </c>
      <c r="Y293" s="5" t="str">
        <f>IFERROR(__xludf.DUMMYFUNCTION("REGEXEXTRACT(J293, ""^\d+"")"),"1")</f>
        <v>1</v>
      </c>
      <c r="Z293" s="5" t="str">
        <f>IFERROR(__xludf.DUMMYFUNCTION("REGEXEXTRACT(J293, ""[A-Za-z ]+$"")")," Season")</f>
        <v> Season</v>
      </c>
      <c r="AA293" s="5" t="str">
        <f>IFERROR(__xludf.DUMMYFUNCTION("IF(REGEXMATCH(Z293, ""Season""), ""TV Show"", ""Movie"")"),"TV Show")</f>
        <v>TV Show</v>
      </c>
    </row>
    <row r="294">
      <c r="A294" s="1" t="s">
        <v>1921</v>
      </c>
      <c r="B294" s="1" t="s">
        <v>27</v>
      </c>
      <c r="C294" s="1" t="s">
        <v>1922</v>
      </c>
      <c r="D294" s="1" t="s">
        <v>1923</v>
      </c>
      <c r="E294" s="1" t="s">
        <v>1924</v>
      </c>
      <c r="F294" s="1" t="s">
        <v>96</v>
      </c>
      <c r="G294" s="1" t="s">
        <v>1925</v>
      </c>
      <c r="H294" s="1">
        <v>2012.0</v>
      </c>
      <c r="I294" s="1" t="s">
        <v>32</v>
      </c>
      <c r="J294" s="1" t="s">
        <v>357</v>
      </c>
      <c r="K294" s="1" t="s">
        <v>836</v>
      </c>
      <c r="L294" s="1" t="s">
        <v>1926</v>
      </c>
      <c r="M294" s="2" t="s">
        <v>12</v>
      </c>
      <c r="N294" s="4">
        <f t="shared" si="1"/>
        <v>44416</v>
      </c>
      <c r="O294" s="5" t="str">
        <f>IFERROR(__xludf.DUMMYFUNCTION("IF(REGEXMATCH(TRIM(I294), ""^\d+\s*min""), ""Unclassified"", IF(I294 = """", ""NR"", I294))"),"PG-13")</f>
        <v>PG-13</v>
      </c>
      <c r="R294" s="5" t="str">
        <f t="shared" si="2"/>
        <v>Quartet</v>
      </c>
      <c r="S294" s="5" t="str">
        <f>IFERROR(__xludf.DUMMYFUNCTION("""COMPUTED_VALUE"""),"Abcd: Any Body Can Dance")</f>
        <v>Abcd: Any Body Can Dance</v>
      </c>
      <c r="T294" s="5" t="str">
        <f>IFERROR(__xludf.DUMMYFUNCTION("""COMPUTED_VALUE"""),"Ireland, United States, France")</f>
        <v>Ireland, United States, France</v>
      </c>
      <c r="U294" s="5" t="str">
        <f>IFERROR(__xludf.DUMMYFUNCTION("""COMPUTED_VALUE"""),"Avi Federgreen")</f>
        <v>Avi Federgreen</v>
      </c>
      <c r="V294" s="5" t="s">
        <v>1927</v>
      </c>
      <c r="W294" s="5" t="str">
        <f t="shared" si="3"/>
        <v>Andrew Niccol</v>
      </c>
      <c r="X294" s="5">
        <f t="shared" si="4"/>
        <v>2</v>
      </c>
      <c r="Y294" s="5" t="str">
        <f>IFERROR(__xludf.DUMMYFUNCTION("REGEXEXTRACT(J294, ""^\d+"")"),"98")</f>
        <v>98</v>
      </c>
      <c r="Z294" s="5" t="str">
        <f>IFERROR(__xludf.DUMMYFUNCTION("REGEXEXTRACT(J294, ""[A-Za-z ]+$"")")," min")</f>
        <v> min</v>
      </c>
      <c r="AA294" s="5" t="str">
        <f>IFERROR(__xludf.DUMMYFUNCTION("IF(REGEXMATCH(Z294, ""Season""), ""TV Show"", ""Movie"")"),"Movie")</f>
        <v>Movie</v>
      </c>
    </row>
    <row r="295">
      <c r="A295" s="1" t="s">
        <v>1928</v>
      </c>
      <c r="B295" s="1" t="s">
        <v>27</v>
      </c>
      <c r="C295" s="1" t="s">
        <v>1929</v>
      </c>
      <c r="D295" s="1" t="s">
        <v>553</v>
      </c>
      <c r="E295" s="1" t="s">
        <v>1930</v>
      </c>
      <c r="F295" s="1" t="s">
        <v>40</v>
      </c>
      <c r="G295" s="1" t="s">
        <v>1925</v>
      </c>
      <c r="H295" s="1">
        <v>2021.0</v>
      </c>
      <c r="I295" s="1" t="s">
        <v>42</v>
      </c>
      <c r="J295" s="1" t="s">
        <v>1144</v>
      </c>
      <c r="K295" s="1" t="s">
        <v>215</v>
      </c>
      <c r="L295" s="1" t="s">
        <v>1931</v>
      </c>
      <c r="M295" s="2" t="s">
        <v>12</v>
      </c>
      <c r="N295" s="4">
        <f t="shared" si="1"/>
        <v>44416</v>
      </c>
      <c r="O295" s="5" t="str">
        <f>IFERROR(__xludf.DUMMYFUNCTION("IF(REGEXMATCH(TRIM(I295), ""^\d+\s*min""), ""Unclassified"", IF(I295 = """", ""NR"", I295))"),"TV-MA")</f>
        <v>TV-MA</v>
      </c>
      <c r="R295" s="5" t="str">
        <f t="shared" si="2"/>
        <v>Slay</v>
      </c>
      <c r="S295" s="5" t="str">
        <f>IFERROR(__xludf.DUMMYFUNCTION("""COMPUTED_VALUE"""),"Abdo Mota")</f>
        <v>Abdo Mota</v>
      </c>
      <c r="T295" s="5" t="str">
        <f>IFERROR(__xludf.DUMMYFUNCTION("""COMPUTED_VALUE"""),"Ireland, United States, United Kingdom")</f>
        <v>Ireland, United States, United Kingdom</v>
      </c>
      <c r="U295" s="5" t="str">
        <f>IFERROR(__xludf.DUMMYFUNCTION("""COMPUTED_VALUE"""),"Jericca Cleland, Kevin Munroe")</f>
        <v>Jericca Cleland, Kevin Munroe</v>
      </c>
      <c r="V295" s="5" t="s">
        <v>1932</v>
      </c>
      <c r="W295" s="5" t="str">
        <f t="shared" si="3"/>
        <v>Andrew Renzi</v>
      </c>
      <c r="X295" s="5">
        <f t="shared" si="4"/>
        <v>1</v>
      </c>
      <c r="Y295" s="5" t="str">
        <f>IFERROR(__xludf.DUMMYFUNCTION("REGEXEXTRACT(J295, ""^\d+"")"),"86")</f>
        <v>86</v>
      </c>
      <c r="Z295" s="5" t="str">
        <f>IFERROR(__xludf.DUMMYFUNCTION("REGEXEXTRACT(J295, ""[A-Za-z ]+$"")")," min")</f>
        <v> min</v>
      </c>
      <c r="AA295" s="5" t="str">
        <f>IFERROR(__xludf.DUMMYFUNCTION("IF(REGEXMATCH(Z295, ""Season""), ""TV Show"", ""Movie"")"),"Movie")</f>
        <v>Movie</v>
      </c>
    </row>
    <row r="296">
      <c r="A296" s="1" t="s">
        <v>1933</v>
      </c>
      <c r="B296" s="1" t="s">
        <v>27</v>
      </c>
      <c r="C296" s="1" t="s">
        <v>1934</v>
      </c>
      <c r="D296" s="1" t="s">
        <v>1935</v>
      </c>
      <c r="E296" s="1" t="s">
        <v>1936</v>
      </c>
      <c r="G296" s="1" t="s">
        <v>1937</v>
      </c>
      <c r="H296" s="1">
        <v>2020.0</v>
      </c>
      <c r="I296" s="1" t="s">
        <v>136</v>
      </c>
      <c r="J296" s="1" t="s">
        <v>1938</v>
      </c>
      <c r="K296" s="1" t="s">
        <v>1939</v>
      </c>
      <c r="L296" s="1" t="s">
        <v>1940</v>
      </c>
      <c r="M296" s="2" t="s">
        <v>12</v>
      </c>
      <c r="N296" s="4">
        <f t="shared" si="1"/>
        <v>44415</v>
      </c>
      <c r="O296" s="5" t="str">
        <f>IFERROR(__xludf.DUMMYFUNCTION("IF(REGEXMATCH(TRIM(I296), ""^\d+\s*min""), ""Unclassified"", IF(I296 = """", ""NR"", I296))"),"TV-PG")</f>
        <v>TV-PG</v>
      </c>
      <c r="R296" s="5" t="str">
        <f t="shared" si="2"/>
        <v>Takizawa Kabuki Zero 2020 The Movie</v>
      </c>
      <c r="S296" s="5" t="str">
        <f>IFERROR(__xludf.DUMMYFUNCTION("""COMPUTED_VALUE"""),"Abducted In Plain Sight")</f>
        <v>Abducted In Plain Sight</v>
      </c>
      <c r="T296" s="5" t="str">
        <f>IFERROR(__xludf.DUMMYFUNCTION("""COMPUTED_VALUE"""),"Israel")</f>
        <v>Israel</v>
      </c>
      <c r="U296" s="5" t="str">
        <f>IFERROR(__xludf.DUMMYFUNCTION("""COMPUTED_VALUE"""),"Ahmed Siddiqui")</f>
        <v>Ahmed Siddiqui</v>
      </c>
      <c r="V296" s="5" t="s">
        <v>1941</v>
      </c>
      <c r="W296" s="5" t="str">
        <f t="shared" si="3"/>
        <v>Andrew Sandler</v>
      </c>
      <c r="X296" s="5">
        <f t="shared" si="4"/>
        <v>1</v>
      </c>
      <c r="Y296" s="5" t="str">
        <f>IFERROR(__xludf.DUMMYFUNCTION("REGEXEXTRACT(J296, ""^\d+"")"),"139")</f>
        <v>139</v>
      </c>
      <c r="Z296" s="5" t="str">
        <f>IFERROR(__xludf.DUMMYFUNCTION("REGEXEXTRACT(J296, ""[A-Za-z ]+$"")")," min")</f>
        <v> min</v>
      </c>
      <c r="AA296" s="5" t="str">
        <f>IFERROR(__xludf.DUMMYFUNCTION("IF(REGEXMATCH(Z296, ""Season""), ""TV Show"", ""Movie"")"),"Movie")</f>
        <v>Movie</v>
      </c>
    </row>
    <row r="297">
      <c r="A297" s="1" t="s">
        <v>1942</v>
      </c>
      <c r="B297" s="1" t="s">
        <v>27</v>
      </c>
      <c r="C297" s="1" t="s">
        <v>1943</v>
      </c>
      <c r="D297" s="1" t="s">
        <v>1944</v>
      </c>
      <c r="E297" s="1" t="s">
        <v>1945</v>
      </c>
      <c r="F297" s="1" t="s">
        <v>30</v>
      </c>
      <c r="G297" s="1" t="s">
        <v>1937</v>
      </c>
      <c r="H297" s="1">
        <v>2021.0</v>
      </c>
      <c r="I297" s="1" t="s">
        <v>32</v>
      </c>
      <c r="J297" s="1" t="s">
        <v>264</v>
      </c>
      <c r="K297" s="1" t="s">
        <v>973</v>
      </c>
      <c r="L297" s="1" t="s">
        <v>1946</v>
      </c>
      <c r="M297" s="2" t="s">
        <v>12</v>
      </c>
      <c r="N297" s="4">
        <f t="shared" si="1"/>
        <v>44415</v>
      </c>
      <c r="O297" s="5" t="str">
        <f>IFERROR(__xludf.DUMMYFUNCTION("IF(REGEXMATCH(TRIM(I297), ""^\d+\s*min""), ""Unclassified"", IF(I297 = """", ""NR"", I297))"),"PG-13")</f>
        <v>PG-13</v>
      </c>
      <c r="R297" s="5" t="str">
        <f t="shared" si="2"/>
        <v>The Paper Tigers</v>
      </c>
      <c r="S297" s="5" t="str">
        <f>IFERROR(__xludf.DUMMYFUNCTION("""COMPUTED_VALUE"""),"Abdullah, The Final Witness")</f>
        <v>Abdullah, The Final Witness</v>
      </c>
      <c r="T297" s="5" t="str">
        <f>IFERROR(__xludf.DUMMYFUNCTION("""COMPUTED_VALUE"""),"Israel, Germany")</f>
        <v>Israel, Germany</v>
      </c>
      <c r="U297" s="5" t="str">
        <f>IFERROR(__xludf.DUMMYFUNCTION("""COMPUTED_VALUE"""),"Hallie Meyers-Shyer")</f>
        <v>Hallie Meyers-Shyer</v>
      </c>
      <c r="V297" s="5" t="s">
        <v>1947</v>
      </c>
      <c r="W297" s="5" t="str">
        <f t="shared" si="3"/>
        <v>Andrew Slater</v>
      </c>
      <c r="X297" s="5">
        <f t="shared" si="4"/>
        <v>1</v>
      </c>
      <c r="Y297" s="5" t="str">
        <f>IFERROR(__xludf.DUMMYFUNCTION("REGEXEXTRACT(J297, ""^\d+"")"),"111")</f>
        <v>111</v>
      </c>
      <c r="Z297" s="5" t="str">
        <f>IFERROR(__xludf.DUMMYFUNCTION("REGEXEXTRACT(J297, ""[A-Za-z ]+$"")")," min")</f>
        <v> min</v>
      </c>
      <c r="AA297" s="5" t="str">
        <f>IFERROR(__xludf.DUMMYFUNCTION("IF(REGEXMATCH(Z297, ""Season""), ""TV Show"", ""Movie"")"),"Movie")</f>
        <v>Movie</v>
      </c>
    </row>
    <row r="298">
      <c r="A298" s="1" t="s">
        <v>1948</v>
      </c>
      <c r="B298" s="1" t="s">
        <v>37</v>
      </c>
      <c r="C298" s="1" t="s">
        <v>1949</v>
      </c>
      <c r="E298" s="1" t="s">
        <v>1950</v>
      </c>
      <c r="F298" s="1" t="s">
        <v>1951</v>
      </c>
      <c r="G298" s="1" t="s">
        <v>1952</v>
      </c>
      <c r="H298" s="1">
        <v>2021.0</v>
      </c>
      <c r="I298" s="1" t="s">
        <v>42</v>
      </c>
      <c r="J298" s="1" t="s">
        <v>51</v>
      </c>
      <c r="K298" s="1" t="s">
        <v>1953</v>
      </c>
      <c r="L298" s="1" t="s">
        <v>1954</v>
      </c>
      <c r="M298" s="2" t="s">
        <v>12</v>
      </c>
      <c r="N298" s="4">
        <f t="shared" si="1"/>
        <v>44414</v>
      </c>
      <c r="O298" s="5" t="str">
        <f>IFERROR(__xludf.DUMMYFUNCTION("IF(REGEXMATCH(TRIM(I298), ""^\d+\s*min""), ""Unclassified"", IF(I298 = """", ""NR"", I298))"),"TV-MA")</f>
        <v>TV-MA</v>
      </c>
      <c r="R298" s="5" t="str">
        <f t="shared" si="2"/>
        <v>Hit &amp; Run</v>
      </c>
      <c r="S298" s="5" t="str">
        <f>IFERROR(__xludf.DUMMYFUNCTION("""COMPUTED_VALUE"""),"Abhinetri")</f>
        <v>Abhinetri</v>
      </c>
      <c r="T298" s="5" t="str">
        <f>IFERROR(__xludf.DUMMYFUNCTION("""COMPUTED_VALUE"""),"Israel, Germany, France")</f>
        <v>Israel, Germany, France</v>
      </c>
      <c r="U298" s="5" t="str">
        <f>IFERROR(__xludf.DUMMYFUNCTION("""COMPUTED_VALUE"""),"Scott Speer")</f>
        <v>Scott Speer</v>
      </c>
      <c r="V298" s="5" t="s">
        <v>1955</v>
      </c>
      <c r="W298" s="5" t="str">
        <f t="shared" si="3"/>
        <v>Andrew Stanton</v>
      </c>
      <c r="X298" s="5">
        <f t="shared" si="4"/>
        <v>1</v>
      </c>
      <c r="Y298" s="5" t="str">
        <f>IFERROR(__xludf.DUMMYFUNCTION("REGEXEXTRACT(J298, ""^\d+"")"),"1")</f>
        <v>1</v>
      </c>
      <c r="Z298" s="5" t="str">
        <f>IFERROR(__xludf.DUMMYFUNCTION("REGEXEXTRACT(J298, ""[A-Za-z ]+$"")")," Season")</f>
        <v> Season</v>
      </c>
      <c r="AA298" s="5" t="str">
        <f>IFERROR(__xludf.DUMMYFUNCTION("IF(REGEXMATCH(Z298, ""Season""), ""TV Show"", ""Movie"")"),"TV Show")</f>
        <v>TV Show</v>
      </c>
    </row>
    <row r="299">
      <c r="A299" s="1" t="s">
        <v>1956</v>
      </c>
      <c r="B299" s="1" t="s">
        <v>37</v>
      </c>
      <c r="C299" s="1" t="s">
        <v>1957</v>
      </c>
      <c r="D299" s="1" t="s">
        <v>1958</v>
      </c>
      <c r="E299" s="1" t="s">
        <v>1959</v>
      </c>
      <c r="F299" s="1" t="s">
        <v>63</v>
      </c>
      <c r="G299" s="1" t="s">
        <v>1952</v>
      </c>
      <c r="H299" s="1">
        <v>2021.0</v>
      </c>
      <c r="I299" s="1" t="s">
        <v>42</v>
      </c>
      <c r="J299" s="1" t="s">
        <v>51</v>
      </c>
      <c r="K299" s="1" t="s">
        <v>1045</v>
      </c>
      <c r="L299" s="1" t="s">
        <v>1960</v>
      </c>
      <c r="M299" s="2" t="s">
        <v>12</v>
      </c>
      <c r="N299" s="4">
        <f t="shared" si="1"/>
        <v>44414</v>
      </c>
      <c r="O299" s="5" t="str">
        <f>IFERROR(__xludf.DUMMYFUNCTION("IF(REGEXMATCH(TRIM(I299), ""^\d+\s*min""), ""Unclassified"", IF(I299 = """", ""NR"", I299))"),"TV-MA")</f>
        <v>TV-MA</v>
      </c>
      <c r="R299" s="5" t="str">
        <f t="shared" si="2"/>
        <v>Navarasa</v>
      </c>
      <c r="S299" s="5" t="str">
        <f>IFERROR(__xludf.DUMMYFUNCTION("""COMPUTED_VALUE"""),"Abla Fahita: Drama Queen")</f>
        <v>Abla Fahita: Drama Queen</v>
      </c>
      <c r="T299" s="5" t="str">
        <f>IFERROR(__xludf.DUMMYFUNCTION("""COMPUTED_VALUE"""),"Israel, Germany, Poland, Luxembourg, Belgium, France, United States")</f>
        <v>Israel, Germany, Poland, Luxembourg, Belgium, France, United States</v>
      </c>
      <c r="U299" s="5" t="str">
        <f>IFERROR(__xludf.DUMMYFUNCTION("""COMPUTED_VALUE"""),"Barry Levinson")</f>
        <v>Barry Levinson</v>
      </c>
      <c r="V299" s="5" t="s">
        <v>1961</v>
      </c>
      <c r="W299" s="5" t="str">
        <f t="shared" si="3"/>
        <v>Andrew Tan, Michael Goguen</v>
      </c>
      <c r="X299" s="5">
        <f t="shared" si="4"/>
        <v>1</v>
      </c>
      <c r="Y299" s="5" t="str">
        <f>IFERROR(__xludf.DUMMYFUNCTION("REGEXEXTRACT(J299, ""^\d+"")"),"1")</f>
        <v>1</v>
      </c>
      <c r="Z299" s="5" t="str">
        <f>IFERROR(__xludf.DUMMYFUNCTION("REGEXEXTRACT(J299, ""[A-Za-z ]+$"")")," Season")</f>
        <v> Season</v>
      </c>
      <c r="AA299" s="5" t="str">
        <f>IFERROR(__xludf.DUMMYFUNCTION("IF(REGEXMATCH(Z299, ""Season""), ""TV Show"", ""Movie"")"),"TV Show")</f>
        <v>TV Show</v>
      </c>
    </row>
    <row r="300">
      <c r="A300" s="1" t="s">
        <v>1962</v>
      </c>
      <c r="B300" s="1" t="s">
        <v>27</v>
      </c>
      <c r="C300" s="1" t="s">
        <v>1963</v>
      </c>
      <c r="D300" s="1" t="s">
        <v>1964</v>
      </c>
      <c r="E300" s="1" t="s">
        <v>1965</v>
      </c>
      <c r="F300" s="1" t="s">
        <v>400</v>
      </c>
      <c r="G300" s="1" t="s">
        <v>1952</v>
      </c>
      <c r="H300" s="1">
        <v>2020.0</v>
      </c>
      <c r="I300" s="1" t="s">
        <v>42</v>
      </c>
      <c r="J300" s="1" t="s">
        <v>379</v>
      </c>
      <c r="K300" s="1" t="s">
        <v>583</v>
      </c>
      <c r="L300" s="1" t="s">
        <v>1966</v>
      </c>
      <c r="M300" s="2" t="s">
        <v>12</v>
      </c>
      <c r="N300" s="4">
        <f t="shared" si="1"/>
        <v>44414</v>
      </c>
      <c r="O300" s="5" t="str">
        <f>IFERROR(__xludf.DUMMYFUNCTION("IF(REGEXMATCH(TRIM(I300), ""^\d+\s*min""), ""Unclassified"", IF(I300 = """", ""NR"", I300))"),"TV-MA")</f>
        <v>TV-MA</v>
      </c>
      <c r="R300" s="5" t="str">
        <f t="shared" si="2"/>
        <v>Quam'S Money</v>
      </c>
      <c r="S300" s="5" t="str">
        <f>IFERROR(__xludf.DUMMYFUNCTION("""COMPUTED_VALUE"""),"Abnormal Summit")</f>
        <v>Abnormal Summit</v>
      </c>
      <c r="T300" s="5" t="str">
        <f>IFERROR(__xludf.DUMMYFUNCTION("""COMPUTED_VALUE"""),"Israel, Sweden, Germany, Netherlands")</f>
        <v>Israel, Sweden, Germany, Netherlands</v>
      </c>
      <c r="U300" s="5" t="str">
        <f>IFERROR(__xludf.DUMMYFUNCTION("""COMPUTED_VALUE"""),"Tolulope Itegboje")</f>
        <v>Tolulope Itegboje</v>
      </c>
      <c r="V300" s="5" t="s">
        <v>1967</v>
      </c>
      <c r="W300" s="5" t="str">
        <f t="shared" si="3"/>
        <v>Andrew Tan, Stephen Murray</v>
      </c>
      <c r="X300" s="5">
        <f t="shared" si="4"/>
        <v>1</v>
      </c>
      <c r="Y300" s="5" t="str">
        <f>IFERROR(__xludf.DUMMYFUNCTION("REGEXEXTRACT(J300, ""^\d+"")"),"115")</f>
        <v>115</v>
      </c>
      <c r="Z300" s="5" t="str">
        <f>IFERROR(__xludf.DUMMYFUNCTION("REGEXEXTRACT(J300, ""[A-Za-z ]+$"")")," min")</f>
        <v> min</v>
      </c>
      <c r="AA300" s="5" t="str">
        <f>IFERROR(__xludf.DUMMYFUNCTION("IF(REGEXMATCH(Z300, ""Season""), ""TV Show"", ""Movie"")"),"Movie")</f>
        <v>Movie</v>
      </c>
    </row>
    <row r="301">
      <c r="A301" s="1" t="s">
        <v>1968</v>
      </c>
      <c r="B301" s="1" t="s">
        <v>27</v>
      </c>
      <c r="C301" s="1" t="s">
        <v>1969</v>
      </c>
      <c r="D301" s="1" t="s">
        <v>1970</v>
      </c>
      <c r="E301" s="1" t="s">
        <v>1971</v>
      </c>
      <c r="F301" s="1" t="s">
        <v>664</v>
      </c>
      <c r="G301" s="1" t="s">
        <v>1952</v>
      </c>
      <c r="H301" s="1">
        <v>2021.0</v>
      </c>
      <c r="I301" s="1" t="s">
        <v>97</v>
      </c>
      <c r="J301" s="1" t="s">
        <v>447</v>
      </c>
      <c r="K301" s="1" t="s">
        <v>1972</v>
      </c>
      <c r="L301" s="1" t="s">
        <v>1973</v>
      </c>
      <c r="M301" s="2" t="s">
        <v>12</v>
      </c>
      <c r="N301" s="4">
        <f t="shared" si="1"/>
        <v>44414</v>
      </c>
      <c r="O301" s="5" t="str">
        <f>IFERROR(__xludf.DUMMYFUNCTION("IF(REGEXMATCH(TRIM(I301), ""^\d+\s*min""), ""Unclassified"", IF(I301 = """", ""NR"", I301))"),"TV-14")</f>
        <v>TV-14</v>
      </c>
      <c r="R301" s="5" t="str">
        <f t="shared" si="2"/>
        <v>The Swarm</v>
      </c>
      <c r="S301" s="5" t="str">
        <f>IFERROR(__xludf.DUMMYFUNCTION("""COMPUTED_VALUE"""),"Abominable Christmas")</f>
        <v>Abominable Christmas</v>
      </c>
      <c r="T301" s="5" t="str">
        <f>IFERROR(__xludf.DUMMYFUNCTION("""COMPUTED_VALUE"""),"Israel, United States")</f>
        <v>Israel, United States</v>
      </c>
      <c r="U301" s="5" t="str">
        <f>IFERROR(__xludf.DUMMYFUNCTION("""COMPUTED_VALUE"""),"Camille Delamarre")</f>
        <v>Camille Delamarre</v>
      </c>
      <c r="V301" s="5" t="s">
        <v>1974</v>
      </c>
      <c r="W301" s="5" t="str">
        <f t="shared" si="3"/>
        <v>Andrew Wessels</v>
      </c>
      <c r="X301" s="5">
        <f t="shared" si="4"/>
        <v>1</v>
      </c>
      <c r="Y301" s="5" t="str">
        <f>IFERROR(__xludf.DUMMYFUNCTION("REGEXEXTRACT(J301, ""^\d+"")"),"102")</f>
        <v>102</v>
      </c>
      <c r="Z301" s="5" t="str">
        <f>IFERROR(__xludf.DUMMYFUNCTION("REGEXEXTRACT(J301, ""[A-Za-z ]+$"")")," min")</f>
        <v> min</v>
      </c>
      <c r="AA301" s="5" t="str">
        <f>IFERROR(__xludf.DUMMYFUNCTION("IF(REGEXMATCH(Z301, ""Season""), ""TV Show"", ""Movie"")"),"Movie")</f>
        <v>Movie</v>
      </c>
    </row>
    <row r="302">
      <c r="A302" s="1" t="s">
        <v>1975</v>
      </c>
      <c r="B302" s="1" t="s">
        <v>27</v>
      </c>
      <c r="C302" s="1" t="s">
        <v>1976</v>
      </c>
      <c r="D302" s="1" t="s">
        <v>1977</v>
      </c>
      <c r="E302" s="1" t="s">
        <v>1978</v>
      </c>
      <c r="F302" s="1" t="s">
        <v>1979</v>
      </c>
      <c r="G302" s="1" t="s">
        <v>1952</v>
      </c>
      <c r="H302" s="1">
        <v>2021.0</v>
      </c>
      <c r="I302" s="1" t="s">
        <v>78</v>
      </c>
      <c r="J302" s="1" t="s">
        <v>433</v>
      </c>
      <c r="K302" s="1" t="s">
        <v>920</v>
      </c>
      <c r="L302" s="1" t="s">
        <v>1980</v>
      </c>
      <c r="M302" s="2" t="s">
        <v>12</v>
      </c>
      <c r="N302" s="4">
        <f t="shared" si="1"/>
        <v>44414</v>
      </c>
      <c r="O302" s="5" t="str">
        <f>IFERROR(__xludf.DUMMYFUNCTION("IF(REGEXMATCH(TRIM(I302), ""^\d+\s*min""), ""Unclassified"", IF(I302 = """", ""NR"", I302))"),"PG")</f>
        <v>PG</v>
      </c>
      <c r="R302" s="5" t="str">
        <f t="shared" si="2"/>
        <v>Vivo</v>
      </c>
      <c r="S302" s="5" t="str">
        <f>IFERROR(__xludf.DUMMYFUNCTION("""COMPUTED_VALUE"""),"About A Boy")</f>
        <v>About A Boy</v>
      </c>
      <c r="T302" s="5" t="str">
        <f>IFERROR(__xludf.DUMMYFUNCTION("""COMPUTED_VALUE"""),"Italy")</f>
        <v>Italy</v>
      </c>
      <c r="U302" s="5" t="str">
        <f>IFERROR(__xludf.DUMMYFUNCTION("""COMPUTED_VALUE"""),"Pascal Atuma")</f>
        <v>Pascal Atuma</v>
      </c>
      <c r="V302" s="5" t="s">
        <v>1981</v>
      </c>
      <c r="W302" s="5" t="str">
        <f t="shared" si="3"/>
        <v>Andrucha Waddington, Pedro Waddington</v>
      </c>
      <c r="X302" s="5">
        <f t="shared" si="4"/>
        <v>1</v>
      </c>
      <c r="Y302" s="5" t="str">
        <f>IFERROR(__xludf.DUMMYFUNCTION("REGEXEXTRACT(J302, ""^\d+"")"),"100")</f>
        <v>100</v>
      </c>
      <c r="Z302" s="5" t="str">
        <f>IFERROR(__xludf.DUMMYFUNCTION("REGEXEXTRACT(J302, ""[A-Za-z ]+$"")")," min")</f>
        <v> min</v>
      </c>
      <c r="AA302" s="5" t="str">
        <f>IFERROR(__xludf.DUMMYFUNCTION("IF(REGEXMATCH(Z302, ""Season""), ""TV Show"", ""Movie"")"),"Movie")</f>
        <v>Movie</v>
      </c>
    </row>
    <row r="303">
      <c r="A303" s="1" t="s">
        <v>1982</v>
      </c>
      <c r="B303" s="1" t="s">
        <v>27</v>
      </c>
      <c r="C303" s="1" t="s">
        <v>1983</v>
      </c>
      <c r="D303" s="1" t="s">
        <v>1984</v>
      </c>
      <c r="E303" s="1" t="s">
        <v>1985</v>
      </c>
      <c r="F303" s="1" t="s">
        <v>63</v>
      </c>
      <c r="G303" s="1" t="s">
        <v>1986</v>
      </c>
      <c r="H303" s="1">
        <v>2013.0</v>
      </c>
      <c r="I303" s="1" t="s">
        <v>97</v>
      </c>
      <c r="J303" s="1" t="s">
        <v>1369</v>
      </c>
      <c r="K303" s="1" t="s">
        <v>1328</v>
      </c>
      <c r="L303" s="1" t="s">
        <v>1987</v>
      </c>
      <c r="M303" s="2" t="s">
        <v>12</v>
      </c>
      <c r="N303" s="4">
        <f t="shared" si="1"/>
        <v>44413</v>
      </c>
      <c r="O303" s="5" t="str">
        <f>IFERROR(__xludf.DUMMYFUNCTION("IF(REGEXMATCH(TRIM(I303), ""^\d+\s*min""), ""Unclassified"", IF(I303 = """", ""NR"", I303))"),"TV-14")</f>
        <v>TV-14</v>
      </c>
      <c r="R303" s="5" t="str">
        <f t="shared" si="2"/>
        <v>Chennai Express</v>
      </c>
      <c r="S303" s="5" t="str">
        <f>IFERROR(__xludf.DUMMYFUNCTION("""COMPUTED_VALUE"""),"About Time")</f>
        <v>About Time</v>
      </c>
      <c r="T303" s="5" t="str">
        <f>IFERROR(__xludf.DUMMYFUNCTION("""COMPUTED_VALUE"""),"Italy, Belgium")</f>
        <v>Italy, Belgium</v>
      </c>
      <c r="U303" s="5" t="str">
        <f>IFERROR(__xludf.DUMMYFUNCTION("""COMPUTED_VALUE"""),"Oleg Trofim")</f>
        <v>Oleg Trofim</v>
      </c>
      <c r="V303" s="5" t="s">
        <v>1988</v>
      </c>
      <c r="W303" s="5" t="str">
        <f t="shared" si="3"/>
        <v>Andrzej Bartkowiak</v>
      </c>
      <c r="X303" s="5">
        <f t="shared" si="4"/>
        <v>3</v>
      </c>
      <c r="Y303" s="5" t="str">
        <f>IFERROR(__xludf.DUMMYFUNCTION("REGEXEXTRACT(J303, ""^\d+"")"),"135")</f>
        <v>135</v>
      </c>
      <c r="Z303" s="5" t="str">
        <f>IFERROR(__xludf.DUMMYFUNCTION("REGEXEXTRACT(J303, ""[A-Za-z ]+$"")")," min")</f>
        <v> min</v>
      </c>
      <c r="AA303" s="5" t="str">
        <f>IFERROR(__xludf.DUMMYFUNCTION("IF(REGEXMATCH(Z303, ""Season""), ""TV Show"", ""Movie"")"),"Movie")</f>
        <v>Movie</v>
      </c>
    </row>
    <row r="304">
      <c r="A304" s="1" t="s">
        <v>1989</v>
      </c>
      <c r="B304" s="1" t="s">
        <v>27</v>
      </c>
      <c r="C304" s="1" t="s">
        <v>1990</v>
      </c>
      <c r="D304" s="1" t="s">
        <v>1991</v>
      </c>
      <c r="F304" s="1" t="s">
        <v>1992</v>
      </c>
      <c r="G304" s="1" t="s">
        <v>1986</v>
      </c>
      <c r="H304" s="1">
        <v>2013.0</v>
      </c>
      <c r="I304" s="1" t="s">
        <v>42</v>
      </c>
      <c r="J304" s="1" t="s">
        <v>1993</v>
      </c>
      <c r="K304" s="1" t="s">
        <v>156</v>
      </c>
      <c r="L304" s="1" t="s">
        <v>1994</v>
      </c>
      <c r="M304" s="2" t="s">
        <v>12</v>
      </c>
      <c r="N304" s="4">
        <f t="shared" si="1"/>
        <v>44413</v>
      </c>
      <c r="O304" s="5" t="str">
        <f>IFERROR(__xludf.DUMMYFUNCTION("IF(REGEXMATCH(TRIM(I304), ""^\d+\s*min""), ""Unclassified"", IF(I304 = """", ""NR"", I304))"),"TV-MA")</f>
        <v>TV-MA</v>
      </c>
      <c r="R304" s="5" t="str">
        <f t="shared" si="2"/>
        <v>City Of God: 10 Years Later</v>
      </c>
      <c r="S304" s="5" t="str">
        <f>IFERROR(__xludf.DUMMYFUNCTION("""COMPUTED_VALUE"""),"Abstract: The Art Of Design")</f>
        <v>Abstract: The Art Of Design</v>
      </c>
      <c r="T304" s="5" t="str">
        <f>IFERROR(__xludf.DUMMYFUNCTION("""COMPUTED_VALUE"""),"Italy, Brazil, Greece")</f>
        <v>Italy, Brazil, Greece</v>
      </c>
      <c r="U304" s="5" t="str">
        <f>IFERROR(__xludf.DUMMYFUNCTION("""COMPUTED_VALUE"""),"Mahmood Ali-Balogun")</f>
        <v>Mahmood Ali-Balogun</v>
      </c>
      <c r="V304" s="5" t="s">
        <v>1995</v>
      </c>
      <c r="W304" s="5" t="str">
        <f t="shared" si="3"/>
        <v>Andy Caballero, Diego Corsini</v>
      </c>
      <c r="X304" s="5">
        <f t="shared" si="4"/>
        <v>1</v>
      </c>
      <c r="Y304" s="5" t="str">
        <f>IFERROR(__xludf.DUMMYFUNCTION("REGEXEXTRACT(J304, ""^\d+"")"),"69")</f>
        <v>69</v>
      </c>
      <c r="Z304" s="5" t="str">
        <f>IFERROR(__xludf.DUMMYFUNCTION("REGEXEXTRACT(J304, ""[A-Za-z ]+$"")")," min")</f>
        <v> min</v>
      </c>
      <c r="AA304" s="5" t="str">
        <f>IFERROR(__xludf.DUMMYFUNCTION("IF(REGEXMATCH(Z304, ""Season""), ""TV Show"", ""Movie"")"),"Movie")</f>
        <v>Movie</v>
      </c>
    </row>
    <row r="305">
      <c r="A305" s="1" t="s">
        <v>1996</v>
      </c>
      <c r="B305" s="1" t="s">
        <v>27</v>
      </c>
      <c r="C305" s="1" t="s">
        <v>1997</v>
      </c>
      <c r="D305" s="1" t="s">
        <v>967</v>
      </c>
      <c r="E305" s="1" t="s">
        <v>1998</v>
      </c>
      <c r="F305" s="1" t="s">
        <v>1815</v>
      </c>
      <c r="G305" s="1" t="s">
        <v>1986</v>
      </c>
      <c r="H305" s="1">
        <v>1985.0</v>
      </c>
      <c r="I305" s="1" t="s">
        <v>42</v>
      </c>
      <c r="J305" s="1" t="s">
        <v>465</v>
      </c>
      <c r="K305" s="1" t="s">
        <v>1999</v>
      </c>
      <c r="L305" s="1" t="s">
        <v>2000</v>
      </c>
      <c r="M305" s="2" t="s">
        <v>12</v>
      </c>
      <c r="N305" s="4">
        <f t="shared" si="1"/>
        <v>44413</v>
      </c>
      <c r="O305" s="5" t="str">
        <f>IFERROR(__xludf.DUMMYFUNCTION("IF(REGEXMATCH(TRIM(I305), ""^\d+\s*min""), ""Unclassified"", IF(I305 = """", ""NR"", I305))"),"TV-MA")</f>
        <v>TV-MA</v>
      </c>
      <c r="R305" s="5" t="str">
        <f t="shared" si="2"/>
        <v>Esperando La Carroza</v>
      </c>
      <c r="S305" s="5" t="str">
        <f>IFERROR(__xludf.DUMMYFUNCTION("""COMPUTED_VALUE"""),"Absurd Planet")</f>
        <v>Absurd Planet</v>
      </c>
      <c r="T305" s="5" t="str">
        <f>IFERROR(__xludf.DUMMYFUNCTION("""COMPUTED_VALUE"""),"Italy, Canada, France")</f>
        <v>Italy, Canada, France</v>
      </c>
      <c r="U305" s="5" t="str">
        <f>IFERROR(__xludf.DUMMYFUNCTION("""COMPUTED_VALUE"""),"Jan Holoubek")</f>
        <v>Jan Holoubek</v>
      </c>
      <c r="V305" s="5" t="s">
        <v>2001</v>
      </c>
      <c r="W305" s="5" t="str">
        <f t="shared" si="3"/>
        <v>Andy Capper</v>
      </c>
      <c r="X305" s="5">
        <f t="shared" si="4"/>
        <v>1</v>
      </c>
      <c r="Y305" s="5" t="str">
        <f>IFERROR(__xludf.DUMMYFUNCTION("REGEXEXTRACT(J305, ""^\d+"")"),"95")</f>
        <v>95</v>
      </c>
      <c r="Z305" s="5" t="str">
        <f>IFERROR(__xludf.DUMMYFUNCTION("REGEXEXTRACT(J305, ""[A-Za-z ]+$"")")," min")</f>
        <v> min</v>
      </c>
      <c r="AA305" s="5" t="str">
        <f>IFERROR(__xludf.DUMMYFUNCTION("IF(REGEXMATCH(Z305, ""Season""), ""TV Show"", ""Movie"")"),"Movie")</f>
        <v>Movie</v>
      </c>
    </row>
    <row r="306">
      <c r="A306" s="1" t="s">
        <v>2002</v>
      </c>
      <c r="B306" s="1" t="s">
        <v>27</v>
      </c>
      <c r="C306" s="1" t="s">
        <v>2003</v>
      </c>
      <c r="D306" s="1" t="s">
        <v>2004</v>
      </c>
      <c r="E306" s="1" t="s">
        <v>2005</v>
      </c>
      <c r="F306" s="1" t="s">
        <v>96</v>
      </c>
      <c r="G306" s="1" t="s">
        <v>1986</v>
      </c>
      <c r="H306" s="1">
        <v>2021.0</v>
      </c>
      <c r="I306" s="1" t="s">
        <v>97</v>
      </c>
      <c r="J306" s="1" t="s">
        <v>247</v>
      </c>
      <c r="K306" s="1" t="s">
        <v>34</v>
      </c>
      <c r="L306" s="1" t="s">
        <v>2006</v>
      </c>
      <c r="M306" s="2" t="s">
        <v>12</v>
      </c>
      <c r="N306" s="4">
        <f t="shared" si="1"/>
        <v>44413</v>
      </c>
      <c r="O306" s="5" t="str">
        <f>IFERROR(__xludf.DUMMYFUNCTION("IF(REGEXMATCH(TRIM(I306), ""^\d+\s*min""), ""Unclassified"", IF(I306 = """", ""NR"", I306))"),"TV-14")</f>
        <v>TV-14</v>
      </c>
      <c r="R306" s="5" t="str">
        <f t="shared" si="2"/>
        <v>Lady Boss: The Jackie Collins Story</v>
      </c>
      <c r="S306" s="5" t="str">
        <f>IFERROR(__xludf.DUMMYFUNCTION("""COMPUTED_VALUE"""),"Abyss")</f>
        <v>Abyss</v>
      </c>
      <c r="T306" s="5" t="str">
        <f>IFERROR(__xludf.DUMMYFUNCTION("""COMPUTED_VALUE"""),"Italy, France")</f>
        <v>Italy, France</v>
      </c>
      <c r="U306" s="5" t="str">
        <f>IFERROR(__xludf.DUMMYFUNCTION("""COMPUTED_VALUE"""),"Anurin Nwunembom, Musing Derrick")</f>
        <v>Anurin Nwunembom, Musing Derrick</v>
      </c>
      <c r="V306" s="5" t="s">
        <v>94</v>
      </c>
      <c r="W306" s="5" t="str">
        <f t="shared" si="3"/>
        <v>Andy Devonshire</v>
      </c>
      <c r="X306" s="5">
        <f t="shared" si="4"/>
        <v>1</v>
      </c>
      <c r="Y306" s="5" t="str">
        <f>IFERROR(__xludf.DUMMYFUNCTION("REGEXEXTRACT(J306, ""^\d+"")"),"97")</f>
        <v>97</v>
      </c>
      <c r="Z306" s="5" t="str">
        <f>IFERROR(__xludf.DUMMYFUNCTION("REGEXEXTRACT(J306, ""[A-Za-z ]+$"")")," min")</f>
        <v> min</v>
      </c>
      <c r="AA306" s="5" t="str">
        <f>IFERROR(__xludf.DUMMYFUNCTION("IF(REGEXMATCH(Z306, ""Season""), ""TV Show"", ""Movie"")"),"Movie")</f>
        <v>Movie</v>
      </c>
    </row>
    <row r="307">
      <c r="A307" s="1" t="s">
        <v>2007</v>
      </c>
      <c r="B307" s="1" t="s">
        <v>27</v>
      </c>
      <c r="C307" s="1" t="s">
        <v>2008</v>
      </c>
      <c r="D307" s="1" t="s">
        <v>2009</v>
      </c>
      <c r="E307" s="1" t="s">
        <v>2010</v>
      </c>
      <c r="F307" s="1" t="s">
        <v>2011</v>
      </c>
      <c r="G307" s="1" t="s">
        <v>1986</v>
      </c>
      <c r="H307" s="1">
        <v>1993.0</v>
      </c>
      <c r="I307" s="1" t="s">
        <v>42</v>
      </c>
      <c r="J307" s="1" t="s">
        <v>341</v>
      </c>
      <c r="K307" s="1" t="s">
        <v>2012</v>
      </c>
      <c r="L307" s="1" t="s">
        <v>2013</v>
      </c>
      <c r="M307" s="2" t="s">
        <v>12</v>
      </c>
      <c r="N307" s="4">
        <f t="shared" si="1"/>
        <v>44413</v>
      </c>
      <c r="O307" s="5" t="str">
        <f>IFERROR(__xludf.DUMMYFUNCTION("IF(REGEXMATCH(TRIM(I307), ""^\d+\s*min""), ""Unclassified"", IF(I307 = """", ""NR"", I307))"),"TV-MA")</f>
        <v>TV-MA</v>
      </c>
      <c r="R307" s="5" t="str">
        <f t="shared" si="2"/>
        <v>Tango Feroz</v>
      </c>
      <c r="S307" s="5" t="str">
        <f>IFERROR(__xludf.DUMMYFUNCTION("""COMPUTED_VALUE"""),"Abzurdah")</f>
        <v>Abzurdah</v>
      </c>
      <c r="T307" s="5" t="str">
        <f>IFERROR(__xludf.DUMMYFUNCTION("""COMPUTED_VALUE"""),"Italy, France, Switzerland")</f>
        <v>Italy, France, Switzerland</v>
      </c>
      <c r="U307" s="5" t="str">
        <f>IFERROR(__xludf.DUMMYFUNCTION("""COMPUTED_VALUE"""),"Christine Luby")</f>
        <v>Christine Luby</v>
      </c>
      <c r="V307" s="5" t="s">
        <v>2014</v>
      </c>
      <c r="W307" s="5" t="str">
        <f t="shared" si="3"/>
        <v>Andy Fickman</v>
      </c>
      <c r="X307" s="5">
        <f t="shared" si="4"/>
        <v>2</v>
      </c>
      <c r="Y307" s="5" t="str">
        <f>IFERROR(__xludf.DUMMYFUNCTION("REGEXEXTRACT(J307, ""^\d+"")"),"124")</f>
        <v>124</v>
      </c>
      <c r="Z307" s="5" t="str">
        <f>IFERROR(__xludf.DUMMYFUNCTION("REGEXEXTRACT(J307, ""[A-Za-z ]+$"")")," min")</f>
        <v> min</v>
      </c>
      <c r="AA307" s="5" t="str">
        <f>IFERROR(__xludf.DUMMYFUNCTION("IF(REGEXMATCH(Z307, ""Season""), ""TV Show"", ""Movie"")"),"Movie")</f>
        <v>Movie</v>
      </c>
    </row>
    <row r="308">
      <c r="A308" s="1" t="s">
        <v>2015</v>
      </c>
      <c r="B308" s="1" t="s">
        <v>27</v>
      </c>
      <c r="C308" s="6" t="s">
        <v>2016</v>
      </c>
      <c r="D308" s="1" t="s">
        <v>2017</v>
      </c>
      <c r="E308" s="1" t="s">
        <v>2018</v>
      </c>
      <c r="F308" s="1" t="s">
        <v>400</v>
      </c>
      <c r="G308" s="1" t="s">
        <v>2019</v>
      </c>
      <c r="H308" s="1">
        <v>2016.0</v>
      </c>
      <c r="I308" s="1" t="s">
        <v>136</v>
      </c>
      <c r="J308" s="1" t="s">
        <v>870</v>
      </c>
      <c r="K308" s="1" t="s">
        <v>128</v>
      </c>
      <c r="L308" s="1" t="s">
        <v>2020</v>
      </c>
      <c r="M308" s="2" t="s">
        <v>12</v>
      </c>
      <c r="N308" s="4">
        <f t="shared" si="1"/>
        <v>44412</v>
      </c>
      <c r="O308" s="5" t="str">
        <f>IFERROR(__xludf.DUMMYFUNCTION("IF(REGEXMATCH(TRIM(I308), ""^\d+\s*min""), ""Unclassified"", IF(I308 = """", ""NR"", I308))"),"TV-PG")</f>
        <v>TV-PG</v>
      </c>
      <c r="R308" s="5" t="str">
        <f t="shared" si="2"/>
        <v>76</v>
      </c>
      <c r="S308" s="5" t="str">
        <f>IFERROR(__xludf.DUMMYFUNCTION("""COMPUTED_VALUE"""),"Acapulco La Vida Va")</f>
        <v>Acapulco La Vida Va</v>
      </c>
      <c r="T308" s="5" t="str">
        <f>IFERROR(__xludf.DUMMYFUNCTION("""COMPUTED_VALUE"""),"Italy, Germany")</f>
        <v>Italy, Germany</v>
      </c>
      <c r="U308" s="5" t="str">
        <f>IFERROR(__xludf.DUMMYFUNCTION("""COMPUTED_VALUE"""),"Udoka Oyeka")</f>
        <v>Udoka Oyeka</v>
      </c>
      <c r="V308" s="5" t="s">
        <v>2021</v>
      </c>
      <c r="W308" s="5" t="str">
        <f t="shared" si="3"/>
        <v>Andy Goddard</v>
      </c>
      <c r="X308" s="5">
        <f t="shared" si="4"/>
        <v>1</v>
      </c>
      <c r="Y308" s="5" t="str">
        <f>IFERROR(__xludf.DUMMYFUNCTION("REGEXEXTRACT(J308, ""^\d+"")"),"118")</f>
        <v>118</v>
      </c>
      <c r="Z308" s="5" t="str">
        <f>IFERROR(__xludf.DUMMYFUNCTION("REGEXEXTRACT(J308, ""[A-Za-z ]+$"")")," min")</f>
        <v> min</v>
      </c>
      <c r="AA308" s="5" t="str">
        <f>IFERROR(__xludf.DUMMYFUNCTION("IF(REGEXMATCH(Z308, ""Season""), ""TV Show"", ""Movie"")"),"Movie")</f>
        <v>Movie</v>
      </c>
    </row>
    <row r="309">
      <c r="A309" s="1" t="s">
        <v>2022</v>
      </c>
      <c r="B309" s="1" t="s">
        <v>27</v>
      </c>
      <c r="C309" s="1" t="s">
        <v>2023</v>
      </c>
      <c r="D309" s="1" t="s">
        <v>2024</v>
      </c>
      <c r="E309" s="1" t="s">
        <v>2025</v>
      </c>
      <c r="F309" s="1" t="s">
        <v>30</v>
      </c>
      <c r="G309" s="1" t="s">
        <v>2019</v>
      </c>
      <c r="H309" s="1">
        <v>2021.0</v>
      </c>
      <c r="I309" s="1" t="s">
        <v>42</v>
      </c>
      <c r="J309" s="1" t="s">
        <v>379</v>
      </c>
      <c r="K309" s="1" t="s">
        <v>1551</v>
      </c>
      <c r="L309" s="1" t="s">
        <v>2026</v>
      </c>
      <c r="M309" s="2" t="s">
        <v>12</v>
      </c>
      <c r="N309" s="4">
        <f t="shared" si="1"/>
        <v>44412</v>
      </c>
      <c r="O309" s="5" t="str">
        <f>IFERROR(__xludf.DUMMYFUNCTION("IF(REGEXMATCH(TRIM(I309), ""^\d+\s*min""), ""Unclassified"", IF(I309 = """", ""NR"", I309))"),"TV-MA")</f>
        <v>TV-MA</v>
      </c>
      <c r="R309" s="5" t="str">
        <f t="shared" si="2"/>
        <v>Aftermath</v>
      </c>
      <c r="S309" s="5" t="str">
        <f>IFERROR(__xludf.DUMMYFUNCTION("""COMPUTED_VALUE"""),"Accepted")</f>
        <v>Accepted</v>
      </c>
      <c r="T309" s="5" t="str">
        <f>IFERROR(__xludf.DUMMYFUNCTION("""COMPUTED_VALUE"""),"Italy, India")</f>
        <v>Italy, India</v>
      </c>
      <c r="U309" s="5" t="str">
        <f>IFERROR(__xludf.DUMMYFUNCTION("""COMPUTED_VALUE"""),"Yeo Siew Hua")</f>
        <v>Yeo Siew Hua</v>
      </c>
      <c r="V309" s="5" t="s">
        <v>2027</v>
      </c>
      <c r="W309" s="5" t="str">
        <f t="shared" si="3"/>
        <v>Andy Serkis</v>
      </c>
      <c r="X309" s="5">
        <f t="shared" si="4"/>
        <v>1</v>
      </c>
      <c r="Y309" s="5" t="str">
        <f>IFERROR(__xludf.DUMMYFUNCTION("REGEXEXTRACT(J309, ""^\d+"")"),"115")</f>
        <v>115</v>
      </c>
      <c r="Z309" s="5" t="str">
        <f>IFERROR(__xludf.DUMMYFUNCTION("REGEXEXTRACT(J309, ""[A-Za-z ]+$"")")," min")</f>
        <v> min</v>
      </c>
      <c r="AA309" s="5" t="str">
        <f>IFERROR(__xludf.DUMMYFUNCTION("IF(REGEXMATCH(Z309, ""Season""), ""TV Show"", ""Movie"")"),"Movie")</f>
        <v>Movie</v>
      </c>
    </row>
    <row r="310">
      <c r="A310" s="1" t="s">
        <v>2028</v>
      </c>
      <c r="B310" s="1" t="s">
        <v>27</v>
      </c>
      <c r="C310" s="1" t="s">
        <v>2029</v>
      </c>
      <c r="D310" s="1" t="s">
        <v>2030</v>
      </c>
      <c r="E310" s="1" t="s">
        <v>2031</v>
      </c>
      <c r="F310" s="1" t="s">
        <v>30</v>
      </c>
      <c r="G310" s="1" t="s">
        <v>2019</v>
      </c>
      <c r="H310" s="1">
        <v>2012.0</v>
      </c>
      <c r="I310" s="1" t="s">
        <v>42</v>
      </c>
      <c r="J310" s="1" t="s">
        <v>379</v>
      </c>
      <c r="K310" s="1" t="s">
        <v>2032</v>
      </c>
      <c r="L310" s="1" t="s">
        <v>2033</v>
      </c>
      <c r="M310" s="2" t="s">
        <v>12</v>
      </c>
      <c r="N310" s="4">
        <f t="shared" si="1"/>
        <v>44412</v>
      </c>
      <c r="O310" s="5" t="str">
        <f>IFERROR(__xludf.DUMMYFUNCTION("IF(REGEXMATCH(TRIM(I310), ""^\d+\s*min""), ""Unclassified"", IF(I310 = """", ""NR"", I310))"),"TV-MA")</f>
        <v>TV-MA</v>
      </c>
      <c r="R310" s="5" t="str">
        <f t="shared" si="2"/>
        <v>American Masters: Inventing David Geffen</v>
      </c>
      <c r="S310" s="5" t="str">
        <f>IFERROR(__xludf.DUMMYFUNCTION("""COMPUTED_VALUE"""),"Accident")</f>
        <v>Accident</v>
      </c>
      <c r="T310" s="5" t="str">
        <f>IFERROR(__xludf.DUMMYFUNCTION("""COMPUTED_VALUE"""),"Italy, South Africa, West Germany, Australia, United States")</f>
        <v>Italy, South Africa, West Germany, Australia, United States</v>
      </c>
      <c r="U310" s="5" t="str">
        <f>IFERROR(__xludf.DUMMYFUNCTION("""COMPUTED_VALUE"""),"Hardik Mehta")</f>
        <v>Hardik Mehta</v>
      </c>
      <c r="V310" s="5" t="s">
        <v>2034</v>
      </c>
      <c r="W310" s="5" t="str">
        <f t="shared" si="3"/>
        <v>Andy Tennant</v>
      </c>
      <c r="X310" s="5">
        <f t="shared" si="4"/>
        <v>5</v>
      </c>
      <c r="Y310" s="5" t="str">
        <f>IFERROR(__xludf.DUMMYFUNCTION("REGEXEXTRACT(J310, ""^\d+"")"),"115")</f>
        <v>115</v>
      </c>
      <c r="Z310" s="5" t="str">
        <f>IFERROR(__xludf.DUMMYFUNCTION("REGEXEXTRACT(J310, ""[A-Za-z ]+$"")")," min")</f>
        <v> min</v>
      </c>
      <c r="AA310" s="5" t="str">
        <f>IFERROR(__xludf.DUMMYFUNCTION("IF(REGEXMATCH(Z310, ""Season""), ""TV Show"", ""Movie"")"),"Movie")</f>
        <v>Movie</v>
      </c>
    </row>
    <row r="311">
      <c r="A311" s="1" t="s">
        <v>2035</v>
      </c>
      <c r="B311" s="1" t="s">
        <v>37</v>
      </c>
      <c r="C311" s="1" t="s">
        <v>2036</v>
      </c>
      <c r="E311" s="1" t="s">
        <v>2037</v>
      </c>
      <c r="G311" s="1" t="s">
        <v>2019</v>
      </c>
      <c r="H311" s="1">
        <v>2021.0</v>
      </c>
      <c r="I311" s="1" t="s">
        <v>136</v>
      </c>
      <c r="J311" s="1" t="s">
        <v>276</v>
      </c>
      <c r="K311" s="1" t="s">
        <v>440</v>
      </c>
      <c r="L311" s="1" t="s">
        <v>2038</v>
      </c>
      <c r="M311" s="2" t="s">
        <v>12</v>
      </c>
      <c r="N311" s="4">
        <f t="shared" si="1"/>
        <v>44412</v>
      </c>
      <c r="O311" s="5" t="str">
        <f>IFERROR(__xludf.DUMMYFUNCTION("IF(REGEXMATCH(TRIM(I311), ""^\d+\s*min""), ""Unclassified"", IF(I311 = """", ""NR"", I311))"),"TV-PG")</f>
        <v>TV-PG</v>
      </c>
      <c r="R311" s="5" t="str">
        <f t="shared" si="2"/>
        <v>Car Masters: Rust To Riches</v>
      </c>
      <c r="S311" s="5" t="str">
        <f>IFERROR(__xludf.DUMMYFUNCTION("""COMPUTED_VALUE"""),"Accidentally In Love")</f>
        <v>Accidentally In Love</v>
      </c>
      <c r="T311" s="5" t="str">
        <f>IFERROR(__xludf.DUMMYFUNCTION("""COMPUTED_VALUE"""),"Italy, Switzerland, Albania, Poland")</f>
        <v>Italy, Switzerland, Albania, Poland</v>
      </c>
      <c r="U311" s="5" t="str">
        <f>IFERROR(__xludf.DUMMYFUNCTION("""COMPUTED_VALUE"""),"Rajveer Singh Maan, Harpeet Singh")</f>
        <v>Rajveer Singh Maan, Harpeet Singh</v>
      </c>
      <c r="V311" s="5" t="s">
        <v>2039</v>
      </c>
      <c r="W311" s="5" t="str">
        <f t="shared" si="3"/>
        <v>Anees Bazmee</v>
      </c>
      <c r="X311" s="5">
        <f t="shared" si="4"/>
        <v>6</v>
      </c>
      <c r="Y311" s="5" t="str">
        <f>IFERROR(__xludf.DUMMYFUNCTION("REGEXEXTRACT(J311, ""^\d+"")"),"3")</f>
        <v>3</v>
      </c>
      <c r="Z311" s="5" t="str">
        <f>IFERROR(__xludf.DUMMYFUNCTION("REGEXEXTRACT(J311, ""[A-Za-z ]+$"")")," Seasons")</f>
        <v> Seasons</v>
      </c>
      <c r="AA311" s="5" t="str">
        <f>IFERROR(__xludf.DUMMYFUNCTION("IF(REGEXMATCH(Z311, ""Season""), ""TV Show"", ""Movie"")"),"TV Show")</f>
        <v>TV Show</v>
      </c>
    </row>
    <row r="312">
      <c r="A312" s="1" t="s">
        <v>2040</v>
      </c>
      <c r="B312" s="1" t="s">
        <v>37</v>
      </c>
      <c r="C312" s="1" t="s">
        <v>2041</v>
      </c>
      <c r="D312" s="1" t="s">
        <v>2042</v>
      </c>
      <c r="F312" s="1" t="s">
        <v>30</v>
      </c>
      <c r="G312" s="1" t="s">
        <v>2019</v>
      </c>
      <c r="H312" s="1">
        <v>2021.0</v>
      </c>
      <c r="I312" s="1" t="s">
        <v>42</v>
      </c>
      <c r="J312" s="1" t="s">
        <v>51</v>
      </c>
      <c r="K312" s="1" t="s">
        <v>2043</v>
      </c>
      <c r="L312" s="1" t="s">
        <v>2044</v>
      </c>
      <c r="M312" s="2" t="s">
        <v>12</v>
      </c>
      <c r="N312" s="4">
        <f t="shared" si="1"/>
        <v>44412</v>
      </c>
      <c r="O312" s="5" t="str">
        <f>IFERROR(__xludf.DUMMYFUNCTION("IF(REGEXMATCH(TRIM(I312), ""^\d+\s*min""), ""Unclassified"", IF(I312 = """", ""NR"", I312))"),"TV-MA")</f>
        <v>TV-MA</v>
      </c>
      <c r="R312" s="5" t="str">
        <f t="shared" si="2"/>
        <v>Cocaine Cowboys: The Kings Of Miami</v>
      </c>
      <c r="S312" s="5" t="str">
        <f>IFERROR(__xludf.DUMMYFUNCTION("""COMPUTED_VALUE"""),"Accomplice")</f>
        <v>Accomplice</v>
      </c>
      <c r="T312" s="5" t="str">
        <f>IFERROR(__xludf.DUMMYFUNCTION("""COMPUTED_VALUE"""),"Italy, Switzerland, France, Germany")</f>
        <v>Italy, Switzerland, France, Germany</v>
      </c>
      <c r="U312" s="5" t="str">
        <f>IFERROR(__xludf.DUMMYFUNCTION("""COMPUTED_VALUE"""),"Youssef Chahine")</f>
        <v>Youssef Chahine</v>
      </c>
      <c r="V312" s="5" t="s">
        <v>2045</v>
      </c>
      <c r="W312" s="5" t="str">
        <f t="shared" si="3"/>
        <v>Ang Lee</v>
      </c>
      <c r="X312" s="5">
        <f t="shared" si="4"/>
        <v>1</v>
      </c>
      <c r="Y312" s="5" t="str">
        <f>IFERROR(__xludf.DUMMYFUNCTION("REGEXEXTRACT(J312, ""^\d+"")"),"1")</f>
        <v>1</v>
      </c>
      <c r="Z312" s="5" t="str">
        <f>IFERROR(__xludf.DUMMYFUNCTION("REGEXEXTRACT(J312, ""[A-Za-z ]+$"")")," Season")</f>
        <v> Season</v>
      </c>
      <c r="AA312" s="5" t="str">
        <f>IFERROR(__xludf.DUMMYFUNCTION("IF(REGEXMATCH(Z312, ""Season""), ""TV Show"", ""Movie"")"),"TV Show")</f>
        <v>TV Show</v>
      </c>
    </row>
    <row r="313">
      <c r="A313" s="1" t="s">
        <v>2046</v>
      </c>
      <c r="B313" s="1" t="s">
        <v>37</v>
      </c>
      <c r="C313" s="1" t="s">
        <v>2047</v>
      </c>
      <c r="E313" s="1" t="s">
        <v>2048</v>
      </c>
      <c r="F313" s="1" t="s">
        <v>162</v>
      </c>
      <c r="G313" s="1" t="s">
        <v>2019</v>
      </c>
      <c r="H313" s="1">
        <v>2021.0</v>
      </c>
      <c r="I313" s="1" t="s">
        <v>42</v>
      </c>
      <c r="J313" s="1" t="s">
        <v>43</v>
      </c>
      <c r="K313" s="1" t="s">
        <v>1339</v>
      </c>
      <c r="L313" s="1" t="s">
        <v>2049</v>
      </c>
      <c r="M313" s="2" t="s">
        <v>12</v>
      </c>
      <c r="N313" s="4">
        <f t="shared" si="1"/>
        <v>44412</v>
      </c>
      <c r="O313" s="5" t="str">
        <f>IFERROR(__xludf.DUMMYFUNCTION("IF(REGEXMATCH(TRIM(I313), ""^\d+\s*min""), ""Unclassified"", IF(I313 = """", ""NR"", I313))"),"TV-MA")</f>
        <v>TV-MA</v>
      </c>
      <c r="R313" s="5" t="str">
        <f t="shared" si="2"/>
        <v>Control Z</v>
      </c>
      <c r="S313" s="5" t="str">
        <f>IFERROR(__xludf.DUMMYFUNCTION("""COMPUTED_VALUE"""),"Across Grace Alley")</f>
        <v>Across Grace Alley</v>
      </c>
      <c r="T313" s="5" t="str">
        <f>IFERROR(__xludf.DUMMYFUNCTION("""COMPUTED_VALUE"""),"Italy, Turkey")</f>
        <v>Italy, Turkey</v>
      </c>
      <c r="U313" s="5" t="str">
        <f>IFERROR(__xludf.DUMMYFUNCTION("""COMPUTED_VALUE"""),"Saw Teong Hin, Nik Amir Mustapha, M.S. Prem Nath")</f>
        <v>Saw Teong Hin, Nik Amir Mustapha, M.S. Prem Nath</v>
      </c>
      <c r="V313" s="5" t="s">
        <v>2050</v>
      </c>
      <c r="W313" s="5" t="str">
        <f t="shared" si="3"/>
        <v>Ange Basterga, Nicolas Lopez</v>
      </c>
      <c r="X313" s="5">
        <f t="shared" si="4"/>
        <v>1</v>
      </c>
      <c r="Y313" s="5" t="str">
        <f>IFERROR(__xludf.DUMMYFUNCTION("REGEXEXTRACT(J313, ""^\d+"")"),"2")</f>
        <v>2</v>
      </c>
      <c r="Z313" s="5" t="str">
        <f>IFERROR(__xludf.DUMMYFUNCTION("REGEXEXTRACT(J313, ""[A-Za-z ]+$"")")," Seasons")</f>
        <v> Seasons</v>
      </c>
      <c r="AA313" s="5" t="str">
        <f>IFERROR(__xludf.DUMMYFUNCTION("IF(REGEXMATCH(Z313, ""Season""), ""TV Show"", ""Movie"")"),"TV Show")</f>
        <v>TV Show</v>
      </c>
    </row>
    <row r="314">
      <c r="A314" s="1" t="s">
        <v>2051</v>
      </c>
      <c r="B314" s="1" t="s">
        <v>37</v>
      </c>
      <c r="C314" s="1" t="s">
        <v>2052</v>
      </c>
      <c r="E314" s="1" t="s">
        <v>2053</v>
      </c>
      <c r="F314" s="1" t="s">
        <v>30</v>
      </c>
      <c r="G314" s="1" t="s">
        <v>2019</v>
      </c>
      <c r="H314" s="1">
        <v>2021.0</v>
      </c>
      <c r="I314" s="1" t="s">
        <v>42</v>
      </c>
      <c r="J314" s="1" t="s">
        <v>51</v>
      </c>
      <c r="K314" s="1" t="s">
        <v>440</v>
      </c>
      <c r="L314" s="1" t="s">
        <v>2054</v>
      </c>
      <c r="M314" s="2" t="s">
        <v>12</v>
      </c>
      <c r="N314" s="4">
        <f t="shared" si="1"/>
        <v>44412</v>
      </c>
      <c r="O314" s="5" t="str">
        <f>IFERROR(__xludf.DUMMYFUNCTION("IF(REGEXMATCH(TRIM(I314), ""^\d+\s*min""), ""Unclassified"", IF(I314 = """", ""NR"", I314))"),"TV-MA")</f>
        <v>TV-MA</v>
      </c>
      <c r="R314" s="5" t="str">
        <f t="shared" si="2"/>
        <v>Cooking With Paris</v>
      </c>
      <c r="S314" s="5" t="str">
        <f>IFERROR(__xludf.DUMMYFUNCTION("""COMPUTED_VALUE"""),"Across The Line")</f>
        <v>Across The Line</v>
      </c>
      <c r="T314" s="5" t="str">
        <f>IFERROR(__xludf.DUMMYFUNCTION("""COMPUTED_VALUE"""),"Italy, United Kingdom")</f>
        <v>Italy, United Kingdom</v>
      </c>
      <c r="U314" s="5" t="str">
        <f>IFERROR(__xludf.DUMMYFUNCTION("""COMPUTED_VALUE"""),"Rano Karno")</f>
        <v>Rano Karno</v>
      </c>
      <c r="V314" s="5" t="s">
        <v>2055</v>
      </c>
      <c r="W314" s="5" t="str">
        <f t="shared" si="3"/>
        <v>Ángel Gómez Hernández</v>
      </c>
      <c r="X314" s="5">
        <f t="shared" si="4"/>
        <v>1</v>
      </c>
      <c r="Y314" s="5" t="str">
        <f>IFERROR(__xludf.DUMMYFUNCTION("REGEXEXTRACT(J314, ""^\d+"")"),"1")</f>
        <v>1</v>
      </c>
      <c r="Z314" s="5" t="str">
        <f>IFERROR(__xludf.DUMMYFUNCTION("REGEXEXTRACT(J314, ""[A-Za-z ]+$"")")," Season")</f>
        <v> Season</v>
      </c>
      <c r="AA314" s="5" t="str">
        <f>IFERROR(__xludf.DUMMYFUNCTION("IF(REGEXMATCH(Z314, ""Season""), ""TV Show"", ""Movie"")"),"TV Show")</f>
        <v>TV Show</v>
      </c>
    </row>
    <row r="315">
      <c r="A315" s="1" t="s">
        <v>2056</v>
      </c>
      <c r="B315" s="1" t="s">
        <v>37</v>
      </c>
      <c r="C315" s="1" t="s">
        <v>2057</v>
      </c>
      <c r="E315" s="1" t="s">
        <v>2058</v>
      </c>
      <c r="F315" s="1" t="s">
        <v>2059</v>
      </c>
      <c r="G315" s="1" t="s">
        <v>2060</v>
      </c>
      <c r="H315" s="1">
        <v>2009.0</v>
      </c>
      <c r="I315" s="1" t="s">
        <v>97</v>
      </c>
      <c r="J315" s="1" t="s">
        <v>51</v>
      </c>
      <c r="K315" s="1" t="s">
        <v>1907</v>
      </c>
      <c r="L315" s="1" t="s">
        <v>2061</v>
      </c>
      <c r="M315" s="2" t="s">
        <v>12</v>
      </c>
      <c r="N315" s="4">
        <f t="shared" si="1"/>
        <v>44411</v>
      </c>
      <c r="O315" s="5" t="str">
        <f>IFERROR(__xludf.DUMMYFUNCTION("IF(REGEXMATCH(TRIM(I315), ""^\d+\s*min""), ""Unclassified"", IF(I315 = """", ""NR"", I315))"),"TV-14")</f>
        <v>TV-14</v>
      </c>
      <c r="R315" s="5" t="str">
        <f t="shared" si="2"/>
        <v>Autumn'S Concerto</v>
      </c>
      <c r="S315" s="5" t="str">
        <f>IFERROR(__xludf.DUMMYFUNCTION("""COMPUTED_VALUE"""),"Across The Universe")</f>
        <v>Across The Universe</v>
      </c>
      <c r="T315" s="5" t="str">
        <f>IFERROR(__xludf.DUMMYFUNCTION("""COMPUTED_VALUE"""),"Italy, United Kingdom, France")</f>
        <v>Italy, United Kingdom, France</v>
      </c>
      <c r="U315" s="5" t="str">
        <f>IFERROR(__xludf.DUMMYFUNCTION("""COMPUTED_VALUE"""),"Pramod Pawar")</f>
        <v>Pramod Pawar</v>
      </c>
      <c r="V315" s="5" t="s">
        <v>1536</v>
      </c>
      <c r="W315" s="5" t="str">
        <f t="shared" si="3"/>
        <v>Angel Kristi Williams</v>
      </c>
      <c r="X315" s="5">
        <f t="shared" si="4"/>
        <v>1</v>
      </c>
      <c r="Y315" s="5" t="str">
        <f>IFERROR(__xludf.DUMMYFUNCTION("REGEXEXTRACT(J315, ""^\d+"")"),"1")</f>
        <v>1</v>
      </c>
      <c r="Z315" s="5" t="str">
        <f>IFERROR(__xludf.DUMMYFUNCTION("REGEXEXTRACT(J315, ""[A-Za-z ]+$"")")," Season")</f>
        <v> Season</v>
      </c>
      <c r="AA315" s="5" t="str">
        <f>IFERROR(__xludf.DUMMYFUNCTION("IF(REGEXMATCH(Z315, ""Season""), ""TV Show"", ""Movie"")"),"TV Show")</f>
        <v>TV Show</v>
      </c>
    </row>
    <row r="316">
      <c r="A316" s="1" t="s">
        <v>2062</v>
      </c>
      <c r="B316" s="1" t="s">
        <v>27</v>
      </c>
      <c r="C316" s="1" t="s">
        <v>2063</v>
      </c>
      <c r="D316" s="1" t="s">
        <v>2064</v>
      </c>
      <c r="E316" s="1" t="s">
        <v>2065</v>
      </c>
      <c r="F316" s="1" t="s">
        <v>30</v>
      </c>
      <c r="G316" s="1" t="s">
        <v>2060</v>
      </c>
      <c r="H316" s="1">
        <v>1995.0</v>
      </c>
      <c r="I316" s="1" t="s">
        <v>378</v>
      </c>
      <c r="J316" s="1" t="s">
        <v>106</v>
      </c>
      <c r="K316" s="1" t="s">
        <v>1538</v>
      </c>
      <c r="L316" s="1" t="s">
        <v>2066</v>
      </c>
      <c r="M316" s="2" t="s">
        <v>12</v>
      </c>
      <c r="N316" s="4">
        <f t="shared" si="1"/>
        <v>44411</v>
      </c>
      <c r="O316" s="5" t="str">
        <f>IFERROR(__xludf.DUMMYFUNCTION("IF(REGEXMATCH(TRIM(I316), ""^\d+\s*min""), ""Unclassified"", IF(I316 = """", ""NR"", I316))"),"R")</f>
        <v>R</v>
      </c>
      <c r="R316" s="5" t="str">
        <f t="shared" si="2"/>
        <v>Heavy</v>
      </c>
      <c r="S316" s="5" t="str">
        <f>IFERROR(__xludf.DUMMYFUNCTION("""COMPUTED_VALUE"""),"Act Of Valor")</f>
        <v>Act Of Valor</v>
      </c>
      <c r="T316" s="5" t="str">
        <f>IFERROR(__xludf.DUMMYFUNCTION("""COMPUTED_VALUE"""),"Italy, United States")</f>
        <v>Italy, United States</v>
      </c>
      <c r="U316" s="5" t="str">
        <f>IFERROR(__xludf.DUMMYFUNCTION("""COMPUTED_VALUE"""),"Naresh Saigal")</f>
        <v>Naresh Saigal</v>
      </c>
      <c r="V316" s="5" t="s">
        <v>2067</v>
      </c>
      <c r="W316" s="5" t="str">
        <f t="shared" si="3"/>
        <v>Ángeles Reiné</v>
      </c>
      <c r="X316" s="5">
        <f t="shared" si="4"/>
        <v>1</v>
      </c>
      <c r="Y316" s="5" t="str">
        <f>IFERROR(__xludf.DUMMYFUNCTION("REGEXEXTRACT(J316, ""^\d+"")"),"104")</f>
        <v>104</v>
      </c>
      <c r="Z316" s="5" t="str">
        <f>IFERROR(__xludf.DUMMYFUNCTION("REGEXEXTRACT(J316, ""[A-Za-z ]+$"")")," min")</f>
        <v> min</v>
      </c>
      <c r="AA316" s="5" t="str">
        <f>IFERROR(__xludf.DUMMYFUNCTION("IF(REGEXMATCH(Z316, ""Season""), ""TV Show"", ""Movie"")"),"Movie")</f>
        <v>Movie</v>
      </c>
    </row>
    <row r="317">
      <c r="A317" s="1" t="s">
        <v>2068</v>
      </c>
      <c r="B317" s="1" t="s">
        <v>27</v>
      </c>
      <c r="C317" s="1" t="s">
        <v>2069</v>
      </c>
      <c r="D317" s="1" t="s">
        <v>2070</v>
      </c>
      <c r="E317" s="1" t="s">
        <v>2071</v>
      </c>
      <c r="F317" s="1" t="s">
        <v>2072</v>
      </c>
      <c r="G317" s="1" t="s">
        <v>2060</v>
      </c>
      <c r="H317" s="1">
        <v>2010.0</v>
      </c>
      <c r="I317" s="1" t="s">
        <v>42</v>
      </c>
      <c r="J317" s="1" t="s">
        <v>256</v>
      </c>
      <c r="K317" s="1" t="s">
        <v>128</v>
      </c>
      <c r="L317" s="1" t="s">
        <v>2073</v>
      </c>
      <c r="M317" s="2" t="s">
        <v>12</v>
      </c>
      <c r="N317" s="4">
        <f t="shared" si="1"/>
        <v>44411</v>
      </c>
      <c r="O317" s="5" t="str">
        <f>IFERROR(__xludf.DUMMYFUNCTION("IF(REGEXMATCH(TRIM(I317), ""^\d+\s*min""), ""Unclassified"", IF(I317 = """", ""NR"", I317))"),"TV-MA")</f>
        <v>TV-MA</v>
      </c>
      <c r="R317" s="5" t="str">
        <f t="shared" si="2"/>
        <v>Ije: The Journey</v>
      </c>
      <c r="S317" s="5" t="str">
        <f>IFERROR(__xludf.DUMMYFUNCTION("""COMPUTED_VALUE"""),"Act Of Vengeance")</f>
        <v>Act Of Vengeance</v>
      </c>
      <c r="T317" s="5" t="str">
        <f>IFERROR(__xludf.DUMMYFUNCTION("""COMPUTED_VALUE"""),"Italy, United States, Argentina")</f>
        <v>Italy, United States, Argentina</v>
      </c>
      <c r="U317" s="5" t="str">
        <f>IFERROR(__xludf.DUMMYFUNCTION("""COMPUTED_VALUE"""),"Vinil Mathew")</f>
        <v>Vinil Mathew</v>
      </c>
      <c r="V317" s="5" t="s">
        <v>2074</v>
      </c>
      <c r="W317" s="5" t="str">
        <f t="shared" si="3"/>
        <v>Angelina Jolie</v>
      </c>
      <c r="X317" s="5">
        <f t="shared" si="4"/>
        <v>2</v>
      </c>
      <c r="Y317" s="5" t="str">
        <f>IFERROR(__xludf.DUMMYFUNCTION("REGEXEXTRACT(J317, ""^\d+"")"),"106")</f>
        <v>106</v>
      </c>
      <c r="Z317" s="5" t="str">
        <f>IFERROR(__xludf.DUMMYFUNCTION("REGEXEXTRACT(J317, ""[A-Za-z ]+$"")")," min")</f>
        <v> min</v>
      </c>
      <c r="AA317" s="5" t="str">
        <f>IFERROR(__xludf.DUMMYFUNCTION("IF(REGEXMATCH(Z317, ""Season""), ""TV Show"", ""Movie"")"),"Movie")</f>
        <v>Movie</v>
      </c>
    </row>
    <row r="318">
      <c r="A318" s="1" t="s">
        <v>2075</v>
      </c>
      <c r="B318" s="1" t="s">
        <v>37</v>
      </c>
      <c r="C318" s="1" t="s">
        <v>2076</v>
      </c>
      <c r="D318" s="1" t="s">
        <v>2077</v>
      </c>
      <c r="E318" s="1" t="s">
        <v>2078</v>
      </c>
      <c r="F318" s="1" t="s">
        <v>2059</v>
      </c>
      <c r="G318" s="1" t="s">
        <v>2060</v>
      </c>
      <c r="H318" s="1">
        <v>2011.0</v>
      </c>
      <c r="I318" s="1" t="s">
        <v>97</v>
      </c>
      <c r="J318" s="1" t="s">
        <v>51</v>
      </c>
      <c r="K318" s="1" t="s">
        <v>64</v>
      </c>
      <c r="L318" s="1" t="s">
        <v>2079</v>
      </c>
      <c r="M318" s="2" t="s">
        <v>12</v>
      </c>
      <c r="N318" s="4">
        <f t="shared" si="1"/>
        <v>44411</v>
      </c>
      <c r="O318" s="5" t="str">
        <f>IFERROR(__xludf.DUMMYFUNCTION("IF(REGEXMATCH(TRIM(I318), ""^\d+\s*min""), ""Unclassified"", IF(I318 = """", ""NR"", I318))"),"TV-14")</f>
        <v>TV-14</v>
      </c>
      <c r="R318" s="5" t="str">
        <f t="shared" si="2"/>
        <v>Office Girls</v>
      </c>
      <c r="S318" s="5" t="str">
        <f>IFERROR(__xludf.DUMMYFUNCTION("""COMPUTED_VALUE"""),"Action Replayy")</f>
        <v>Action Replayy</v>
      </c>
      <c r="T318" s="5" t="str">
        <f>IFERROR(__xludf.DUMMYFUNCTION("""COMPUTED_VALUE"""),"Jamaica, United States")</f>
        <v>Jamaica, United States</v>
      </c>
      <c r="U318" s="5" t="str">
        <f>IFERROR(__xludf.DUMMYFUNCTION("""COMPUTED_VALUE"""),"Neri Parenti")</f>
        <v>Neri Parenti</v>
      </c>
      <c r="V318" s="5" t="s">
        <v>2080</v>
      </c>
      <c r="W318" s="5" t="str">
        <f t="shared" si="3"/>
        <v>Angga Dwimas Sasongko</v>
      </c>
      <c r="X318" s="5">
        <f t="shared" si="4"/>
        <v>5</v>
      </c>
      <c r="Y318" s="5" t="str">
        <f>IFERROR(__xludf.DUMMYFUNCTION("REGEXEXTRACT(J318, ""^\d+"")"),"1")</f>
        <v>1</v>
      </c>
      <c r="Z318" s="5" t="str">
        <f>IFERROR(__xludf.DUMMYFUNCTION("REGEXEXTRACT(J318, ""[A-Za-z ]+$"")")," Season")</f>
        <v> Season</v>
      </c>
      <c r="AA318" s="5" t="str">
        <f>IFERROR(__xludf.DUMMYFUNCTION("IF(REGEXMATCH(Z318, ""Season""), ""TV Show"", ""Movie"")"),"TV Show")</f>
        <v>TV Show</v>
      </c>
    </row>
    <row r="319">
      <c r="A319" s="1" t="s">
        <v>2081</v>
      </c>
      <c r="B319" s="1" t="s">
        <v>27</v>
      </c>
      <c r="C319" s="1" t="s">
        <v>2082</v>
      </c>
      <c r="D319" s="1" t="s">
        <v>2083</v>
      </c>
      <c r="F319" s="1" t="s">
        <v>30</v>
      </c>
      <c r="G319" s="1" t="s">
        <v>2060</v>
      </c>
      <c r="H319" s="1">
        <v>2021.0</v>
      </c>
      <c r="I319" s="1" t="s">
        <v>32</v>
      </c>
      <c r="J319" s="1" t="s">
        <v>447</v>
      </c>
      <c r="K319" s="1" t="s">
        <v>1212</v>
      </c>
      <c r="L319" s="1" t="s">
        <v>2084</v>
      </c>
      <c r="M319" s="2" t="s">
        <v>12</v>
      </c>
      <c r="N319" s="4">
        <f t="shared" si="1"/>
        <v>44411</v>
      </c>
      <c r="O319" s="5" t="str">
        <f>IFERROR(__xludf.DUMMYFUNCTION("IF(REGEXMATCH(TRIM(I319), ""^\d+\s*min""), ""Unclassified"", IF(I319 = """", ""NR"", I319))"),"PG-13")</f>
        <v>PG-13</v>
      </c>
      <c r="R319" s="5" t="str">
        <f t="shared" si="2"/>
        <v>Pray Away</v>
      </c>
      <c r="S319" s="5" t="str">
        <f>IFERROR(__xludf.DUMMYFUNCTION("""COMPUTED_VALUE"""),"Acts Of Vengeance")</f>
        <v>Acts Of Vengeance</v>
      </c>
      <c r="T319" s="5" t="str">
        <f>IFERROR(__xludf.DUMMYFUNCTION("""COMPUTED_VALUE"""),"Japan")</f>
        <v>Japan</v>
      </c>
      <c r="U319" s="5" t="str">
        <f>IFERROR(__xludf.DUMMYFUNCTION("""COMPUTED_VALUE"""),"Ramsey Nouah")</f>
        <v>Ramsey Nouah</v>
      </c>
      <c r="V319" s="5" t="s">
        <v>2085</v>
      </c>
      <c r="W319" s="5" t="str">
        <f t="shared" si="3"/>
        <v>Anggy Umbara</v>
      </c>
      <c r="X319" s="5">
        <f t="shared" si="4"/>
        <v>1</v>
      </c>
      <c r="Y319" s="5" t="str">
        <f>IFERROR(__xludf.DUMMYFUNCTION("REGEXEXTRACT(J319, ""^\d+"")"),"102")</f>
        <v>102</v>
      </c>
      <c r="Z319" s="5" t="str">
        <f>IFERROR(__xludf.DUMMYFUNCTION("REGEXEXTRACT(J319, ""[A-Za-z ]+$"")")," min")</f>
        <v> min</v>
      </c>
      <c r="AA319" s="5" t="str">
        <f>IFERROR(__xludf.DUMMYFUNCTION("IF(REGEXMATCH(Z319, ""Season""), ""TV Show"", ""Movie"")"),"Movie")</f>
        <v>Movie</v>
      </c>
    </row>
    <row r="320">
      <c r="A320" s="1" t="s">
        <v>2086</v>
      </c>
      <c r="B320" s="1" t="s">
        <v>27</v>
      </c>
      <c r="C320" s="1" t="s">
        <v>2087</v>
      </c>
      <c r="D320" s="1" t="s">
        <v>2088</v>
      </c>
      <c r="E320" s="1" t="s">
        <v>2089</v>
      </c>
      <c r="G320" s="1" t="s">
        <v>2060</v>
      </c>
      <c r="H320" s="1">
        <v>2021.0</v>
      </c>
      <c r="I320" s="1" t="s">
        <v>42</v>
      </c>
      <c r="J320" s="1" t="s">
        <v>247</v>
      </c>
      <c r="K320" s="1" t="s">
        <v>156</v>
      </c>
      <c r="L320" s="1" t="s">
        <v>2090</v>
      </c>
      <c r="M320" s="2" t="s">
        <v>12</v>
      </c>
      <c r="N320" s="4">
        <f t="shared" si="1"/>
        <v>44411</v>
      </c>
      <c r="O320" s="5" t="str">
        <f>IFERROR(__xludf.DUMMYFUNCTION("IF(REGEXMATCH(TRIM(I320), ""^\d+\s*min""), ""Unclassified"", IF(I320 = """", ""NR"", I320))"),"TV-MA")</f>
        <v>TV-MA</v>
      </c>
      <c r="R320" s="5" t="str">
        <f t="shared" si="2"/>
        <v>Shiny_Flakes: The Teenage Drug Lord</v>
      </c>
      <c r="S320" s="5" t="str">
        <f>IFERROR(__xludf.DUMMYFUNCTION("""COMPUTED_VALUE"""),"Acts Of Violence")</f>
        <v>Acts Of Violence</v>
      </c>
      <c r="T320" s="5" t="str">
        <f>IFERROR(__xludf.DUMMYFUNCTION("""COMPUTED_VALUE"""),"Japan, Canada")</f>
        <v>Japan, Canada</v>
      </c>
      <c r="U320" s="5" t="str">
        <f>IFERROR(__xludf.DUMMYFUNCTION("""COMPUTED_VALUE"""),"Bong Joon Ho")</f>
        <v>Bong Joon Ho</v>
      </c>
      <c r="V320" s="5" t="s">
        <v>2091</v>
      </c>
      <c r="W320" s="5" t="str">
        <f t="shared" si="3"/>
        <v>Angshuman Ghosh</v>
      </c>
      <c r="X320" s="5">
        <f t="shared" si="4"/>
        <v>1</v>
      </c>
      <c r="Y320" s="5" t="str">
        <f>IFERROR(__xludf.DUMMYFUNCTION("REGEXEXTRACT(J320, ""^\d+"")"),"97")</f>
        <v>97</v>
      </c>
      <c r="Z320" s="5" t="str">
        <f>IFERROR(__xludf.DUMMYFUNCTION("REGEXEXTRACT(J320, ""[A-Za-z ]+$"")")," min")</f>
        <v> min</v>
      </c>
      <c r="AA320" s="5" t="str">
        <f>IFERROR(__xludf.DUMMYFUNCTION("IF(REGEXMATCH(Z320, ""Season""), ""TV Show"", ""Movie"")"),"Movie")</f>
        <v>Movie</v>
      </c>
    </row>
    <row r="321">
      <c r="A321" s="1" t="s">
        <v>2092</v>
      </c>
      <c r="B321" s="1" t="s">
        <v>37</v>
      </c>
      <c r="C321" s="1" t="s">
        <v>2093</v>
      </c>
      <c r="E321" s="1" t="s">
        <v>2094</v>
      </c>
      <c r="F321" s="1" t="s">
        <v>2059</v>
      </c>
      <c r="G321" s="1" t="s">
        <v>2060</v>
      </c>
      <c r="H321" s="1">
        <v>2005.0</v>
      </c>
      <c r="I321" s="1" t="s">
        <v>97</v>
      </c>
      <c r="J321" s="1" t="s">
        <v>51</v>
      </c>
      <c r="K321" s="1" t="s">
        <v>64</v>
      </c>
      <c r="L321" s="1" t="s">
        <v>2095</v>
      </c>
      <c r="M321" s="2" t="s">
        <v>12</v>
      </c>
      <c r="N321" s="4">
        <f t="shared" si="1"/>
        <v>44411</v>
      </c>
      <c r="O321" s="5" t="str">
        <f>IFERROR(__xludf.DUMMYFUNCTION("IF(REGEXMATCH(TRIM(I321), ""^\d+\s*min""), ""Unclassified"", IF(I321 = """", ""NR"", I321))"),"TV-14")</f>
        <v>TV-14</v>
      </c>
      <c r="R321" s="5" t="str">
        <f t="shared" si="2"/>
        <v>The Prince Who Turns Into A Frog</v>
      </c>
      <c r="S321" s="5" t="str">
        <f>IFERROR(__xludf.DUMMYFUNCTION("""COMPUTED_VALUE"""),"Ad Vitam")</f>
        <v>Ad Vitam</v>
      </c>
      <c r="T321" s="5" t="str">
        <f>IFERROR(__xludf.DUMMYFUNCTION("""COMPUTED_VALUE"""),"Japan, Canada, United States")</f>
        <v>Japan, Canada, United States</v>
      </c>
      <c r="U321" s="5" t="str">
        <f>IFERROR(__xludf.DUMMYFUNCTION("""COMPUTED_VALUE"""),"Kim Tae-Hyung")</f>
        <v>Kim Tae-Hyung</v>
      </c>
      <c r="V321" s="5" t="s">
        <v>2096</v>
      </c>
      <c r="W321" s="5" t="str">
        <f t="shared" si="3"/>
        <v>Aniedi Anwah</v>
      </c>
      <c r="X321" s="5">
        <f t="shared" si="4"/>
        <v>1</v>
      </c>
      <c r="Y321" s="5" t="str">
        <f>IFERROR(__xludf.DUMMYFUNCTION("REGEXEXTRACT(J321, ""^\d+"")"),"1")</f>
        <v>1</v>
      </c>
      <c r="Z321" s="5" t="str">
        <f>IFERROR(__xludf.DUMMYFUNCTION("REGEXEXTRACT(J321, ""[A-Za-z ]+$"")")," Season")</f>
        <v> Season</v>
      </c>
      <c r="AA321" s="5" t="str">
        <f>IFERROR(__xludf.DUMMYFUNCTION("IF(REGEXMATCH(Z321, ""Season""), ""TV Show"", ""Movie"")"),"TV Show")</f>
        <v>TV Show</v>
      </c>
    </row>
    <row r="322">
      <c r="A322" s="1" t="s">
        <v>2097</v>
      </c>
      <c r="B322" s="1" t="s">
        <v>37</v>
      </c>
      <c r="C322" s="1" t="s">
        <v>2098</v>
      </c>
      <c r="G322" s="1" t="s">
        <v>2060</v>
      </c>
      <c r="H322" s="1">
        <v>2021.0</v>
      </c>
      <c r="I322" s="1" t="s">
        <v>136</v>
      </c>
      <c r="J322" s="1" t="s">
        <v>51</v>
      </c>
      <c r="K322" s="1" t="s">
        <v>1261</v>
      </c>
      <c r="L322" s="1" t="s">
        <v>2099</v>
      </c>
      <c r="M322" s="2" t="s">
        <v>12</v>
      </c>
      <c r="N322" s="4">
        <f t="shared" si="1"/>
        <v>44411</v>
      </c>
      <c r="O322" s="5" t="str">
        <f>IFERROR(__xludf.DUMMYFUNCTION("IF(REGEXMATCH(TRIM(I322), ""^\d+\s*min""), ""Unclassified"", IF(I322 = """", ""NR"", I322))"),"TV-PG")</f>
        <v>TV-PG</v>
      </c>
      <c r="R322" s="5" t="str">
        <f t="shared" si="2"/>
        <v>Top Secret Ufo Projects: Declassified</v>
      </c>
      <c r="S322" s="5" t="str">
        <f>IFERROR(__xludf.DUMMYFUNCTION("""COMPUTED_VALUE"""),"Adam Devine: Best Time Of Our Lives")</f>
        <v>Adam Devine: Best Time Of Our Lives</v>
      </c>
      <c r="T322" s="5" t="str">
        <f>IFERROR(__xludf.DUMMYFUNCTION("""COMPUTED_VALUE"""),"Japan, United States")</f>
        <v>Japan, United States</v>
      </c>
      <c r="U322" s="5" t="str">
        <f>IFERROR(__xludf.DUMMYFUNCTION("""COMPUTED_VALUE"""),"Michael Spierig, Peter Spierig")</f>
        <v>Michael Spierig, Peter Spierig</v>
      </c>
      <c r="V322" s="5" t="s">
        <v>2100</v>
      </c>
      <c r="W322" s="5" t="str">
        <f t="shared" si="3"/>
        <v>Anik Datta</v>
      </c>
      <c r="X322" s="5">
        <f t="shared" si="4"/>
        <v>1</v>
      </c>
      <c r="Y322" s="5" t="str">
        <f>IFERROR(__xludf.DUMMYFUNCTION("REGEXEXTRACT(J322, ""^\d+"")"),"1")</f>
        <v>1</v>
      </c>
      <c r="Z322" s="5" t="str">
        <f>IFERROR(__xludf.DUMMYFUNCTION("REGEXEXTRACT(J322, ""[A-Za-z ]+$"")")," Season")</f>
        <v> Season</v>
      </c>
      <c r="AA322" s="5" t="str">
        <f>IFERROR(__xludf.DUMMYFUNCTION("IF(REGEXMATCH(Z322, ""Season""), ""TV Show"", ""Movie"")"),"TV Show")</f>
        <v>TV Show</v>
      </c>
    </row>
    <row r="323">
      <c r="A323" s="1" t="s">
        <v>2101</v>
      </c>
      <c r="B323" s="1" t="s">
        <v>37</v>
      </c>
      <c r="C323" s="1" t="s">
        <v>2102</v>
      </c>
      <c r="E323" s="1" t="s">
        <v>2103</v>
      </c>
      <c r="F323" s="1" t="s">
        <v>2059</v>
      </c>
      <c r="G323" s="1" t="s">
        <v>2060</v>
      </c>
      <c r="H323" s="1">
        <v>2013.0</v>
      </c>
      <c r="I323" s="1" t="s">
        <v>97</v>
      </c>
      <c r="J323" s="1" t="s">
        <v>51</v>
      </c>
      <c r="K323" s="1" t="s">
        <v>64</v>
      </c>
      <c r="L323" s="1" t="s">
        <v>2104</v>
      </c>
      <c r="M323" s="2" t="s">
        <v>12</v>
      </c>
      <c r="N323" s="4">
        <f t="shared" si="1"/>
        <v>44411</v>
      </c>
      <c r="O323" s="5" t="str">
        <f>IFERROR(__xludf.DUMMYFUNCTION("IF(REGEXMATCH(TRIM(I323), ""^\d+\s*min""), ""Unclassified"", IF(I323 = """", ""NR"", I323))"),"TV-14")</f>
        <v>TV-14</v>
      </c>
      <c r="R323" s="5" t="str">
        <f t="shared" si="2"/>
        <v>Two Fathers</v>
      </c>
      <c r="S323" s="5" t="str">
        <f>IFERROR(__xludf.DUMMYFUNCTION("""COMPUTED_VALUE"""),"Adam Ruins Everything")</f>
        <v>Adam Ruins Everything</v>
      </c>
      <c r="T323" s="5" t="str">
        <f>IFERROR(__xludf.DUMMYFUNCTION("""COMPUTED_VALUE"""),"Jordan")</f>
        <v>Jordan</v>
      </c>
      <c r="U323" s="5" t="str">
        <f>IFERROR(__xludf.DUMMYFUNCTION("""COMPUTED_VALUE"""),"Ernie Barbarash")</f>
        <v>Ernie Barbarash</v>
      </c>
      <c r="V323" s="5" t="s">
        <v>2105</v>
      </c>
      <c r="W323" s="5" t="str">
        <f t="shared" si="3"/>
        <v>Anil Sharma</v>
      </c>
      <c r="X323" s="5">
        <f t="shared" si="4"/>
        <v>1</v>
      </c>
      <c r="Y323" s="5" t="str">
        <f>IFERROR(__xludf.DUMMYFUNCTION("REGEXEXTRACT(J323, ""^\d+"")"),"1")</f>
        <v>1</v>
      </c>
      <c r="Z323" s="5" t="str">
        <f>IFERROR(__xludf.DUMMYFUNCTION("REGEXEXTRACT(J323, ""[A-Za-z ]+$"")")," Season")</f>
        <v> Season</v>
      </c>
      <c r="AA323" s="5" t="str">
        <f>IFERROR(__xludf.DUMMYFUNCTION("IF(REGEXMATCH(Z323, ""Season""), ""TV Show"", ""Movie"")"),"TV Show")</f>
        <v>TV Show</v>
      </c>
    </row>
    <row r="324">
      <c r="A324" s="1" t="s">
        <v>2106</v>
      </c>
      <c r="B324" s="1" t="s">
        <v>37</v>
      </c>
      <c r="C324" s="1" t="s">
        <v>2107</v>
      </c>
      <c r="E324" s="1" t="s">
        <v>2108</v>
      </c>
      <c r="F324" s="1" t="s">
        <v>2059</v>
      </c>
      <c r="G324" s="1" t="s">
        <v>2060</v>
      </c>
      <c r="H324" s="1">
        <v>2008.0</v>
      </c>
      <c r="I324" s="1" t="s">
        <v>42</v>
      </c>
      <c r="J324" s="1" t="s">
        <v>51</v>
      </c>
      <c r="K324" s="1" t="s">
        <v>64</v>
      </c>
      <c r="L324" s="1" t="s">
        <v>2109</v>
      </c>
      <c r="M324" s="2" t="s">
        <v>12</v>
      </c>
      <c r="N324" s="4">
        <f t="shared" si="1"/>
        <v>44411</v>
      </c>
      <c r="O324" s="5" t="str">
        <f>IFERROR(__xludf.DUMMYFUNCTION("IF(REGEXMATCH(TRIM(I324), ""^\d+\s*min""), ""Unclassified"", IF(I324 = """", ""NR"", I324))"),"TV-MA")</f>
        <v>TV-MA</v>
      </c>
      <c r="R324" s="5" t="str">
        <f t="shared" si="2"/>
        <v>You'Re My Destiny</v>
      </c>
      <c r="S324" s="5" t="str">
        <f>IFERROR(__xludf.DUMMYFUNCTION("""COMPUTED_VALUE"""),"Adam Sandler 100% Fresh")</f>
        <v>Adam Sandler 100% Fresh</v>
      </c>
      <c r="T324" s="5" t="str">
        <f>IFERROR(__xludf.DUMMYFUNCTION("""COMPUTED_VALUE"""),"Kenya")</f>
        <v>Kenya</v>
      </c>
      <c r="U324" s="5" t="str">
        <f>IFERROR(__xludf.DUMMYFUNCTION("""COMPUTED_VALUE"""),"Matt Ogens")</f>
        <v>Matt Ogens</v>
      </c>
      <c r="V324" s="5" t="s">
        <v>2110</v>
      </c>
      <c r="W324" s="5" t="str">
        <f t="shared" si="3"/>
        <v>Anil Thomas</v>
      </c>
      <c r="X324" s="5">
        <f t="shared" si="4"/>
        <v>1</v>
      </c>
      <c r="Y324" s="5" t="str">
        <f>IFERROR(__xludf.DUMMYFUNCTION("REGEXEXTRACT(J324, ""^\d+"")"),"1")</f>
        <v>1</v>
      </c>
      <c r="Z324" s="5" t="str">
        <f>IFERROR(__xludf.DUMMYFUNCTION("REGEXEXTRACT(J324, ""[A-Za-z ]+$"")")," Season")</f>
        <v> Season</v>
      </c>
      <c r="AA324" s="5" t="str">
        <f>IFERROR(__xludf.DUMMYFUNCTION("IF(REGEXMATCH(Z324, ""Season""), ""TV Show"", ""Movie"")"),"TV Show")</f>
        <v>TV Show</v>
      </c>
    </row>
    <row r="325">
      <c r="A325" s="1" t="s">
        <v>2111</v>
      </c>
      <c r="B325" s="1" t="s">
        <v>37</v>
      </c>
      <c r="C325" s="1" t="s">
        <v>2112</v>
      </c>
      <c r="E325" s="1" t="s">
        <v>2113</v>
      </c>
      <c r="F325" s="1" t="s">
        <v>30</v>
      </c>
      <c r="G325" s="1" t="s">
        <v>2114</v>
      </c>
      <c r="H325" s="1">
        <v>2012.0</v>
      </c>
      <c r="I325" s="1" t="s">
        <v>97</v>
      </c>
      <c r="J325" s="1" t="s">
        <v>1809</v>
      </c>
      <c r="K325" s="1" t="s">
        <v>270</v>
      </c>
      <c r="L325" s="1" t="s">
        <v>2115</v>
      </c>
      <c r="M325" s="2" t="s">
        <v>12</v>
      </c>
      <c r="N325" s="4">
        <f t="shared" si="1"/>
        <v>44409</v>
      </c>
      <c r="O325" s="5" t="str">
        <f>IFERROR(__xludf.DUMMYFUNCTION("IF(REGEXMATCH(TRIM(I325), ""^\d+\s*min""), ""Unclassified"", IF(I325 = """", ""NR"", I325))"),"TV-14")</f>
        <v>TV-14</v>
      </c>
      <c r="R325" s="5" t="str">
        <f t="shared" si="2"/>
        <v>30 Rock</v>
      </c>
      <c r="S325" s="5" t="str">
        <f>IFERROR(__xludf.DUMMYFUNCTION("""COMPUTED_VALUE"""),"Adam: His Song Continues")</f>
        <v>Adam: His Song Continues</v>
      </c>
      <c r="T325" s="5" t="str">
        <f>IFERROR(__xludf.DUMMYFUNCTION("""COMPUTED_VALUE"""),"Kenya, United States")</f>
        <v>Kenya, United States</v>
      </c>
      <c r="U325" s="5" t="str">
        <f>IFERROR(__xludf.DUMMYFUNCTION("""COMPUTED_VALUE"""),"Jay Roach")</f>
        <v>Jay Roach</v>
      </c>
      <c r="V325" s="5" t="s">
        <v>1381</v>
      </c>
      <c r="W325" s="5" t="str">
        <f t="shared" si="3"/>
        <v>Anil V. Kumar, Anurag Basu</v>
      </c>
      <c r="X325" s="5">
        <f t="shared" si="4"/>
        <v>1</v>
      </c>
      <c r="Y325" s="5" t="str">
        <f>IFERROR(__xludf.DUMMYFUNCTION("REGEXEXTRACT(J325, ""^\d+"")"),"7")</f>
        <v>7</v>
      </c>
      <c r="Z325" s="5" t="str">
        <f>IFERROR(__xludf.DUMMYFUNCTION("REGEXEXTRACT(J325, ""[A-Za-z ]+$"")")," Seasons")</f>
        <v> Seasons</v>
      </c>
      <c r="AA325" s="5" t="str">
        <f>IFERROR(__xludf.DUMMYFUNCTION("IF(REGEXMATCH(Z325, ""Season""), ""TV Show"", ""Movie"")"),"TV Show")</f>
        <v>TV Show</v>
      </c>
    </row>
    <row r="326">
      <c r="A326" s="1" t="s">
        <v>2116</v>
      </c>
      <c r="B326" s="1" t="s">
        <v>37</v>
      </c>
      <c r="C326" s="1" t="s">
        <v>2117</v>
      </c>
      <c r="E326" s="1" t="s">
        <v>2118</v>
      </c>
      <c r="F326" s="1" t="s">
        <v>1779</v>
      </c>
      <c r="G326" s="1" t="s">
        <v>2114</v>
      </c>
      <c r="H326" s="1">
        <v>2020.0</v>
      </c>
      <c r="I326" s="1" t="s">
        <v>289</v>
      </c>
      <c r="J326" s="1" t="s">
        <v>276</v>
      </c>
      <c r="K326" s="1" t="s">
        <v>290</v>
      </c>
      <c r="L326" s="1" t="s">
        <v>2119</v>
      </c>
      <c r="M326" s="2" t="s">
        <v>12</v>
      </c>
      <c r="N326" s="4">
        <f t="shared" si="1"/>
        <v>44409</v>
      </c>
      <c r="O326" s="5" t="str">
        <f>IFERROR(__xludf.DUMMYFUNCTION("IF(REGEXMATCH(TRIM(I326), ""^\d+\s*min""), ""Unclassified"", IF(I326 = """", ""NR"", I326))"),"TV-Y7")</f>
        <v>TV-Y7</v>
      </c>
      <c r="R326" s="5" t="str">
        <f t="shared" si="2"/>
        <v>44 Cats</v>
      </c>
      <c r="S326" s="5" t="str">
        <f>IFERROR(__xludf.DUMMYFUNCTION("""COMPUTED_VALUE"""),"Addicted To Life")</f>
        <v>Addicted To Life</v>
      </c>
      <c r="T326" s="5" t="str">
        <f>IFERROR(__xludf.DUMMYFUNCTION("""COMPUTED_VALUE"""),"Kuwait")</f>
        <v>Kuwait</v>
      </c>
      <c r="U326" s="5" t="str">
        <f>IFERROR(__xludf.DUMMYFUNCTION("""COMPUTED_VALUE"""),"Mcg")</f>
        <v>Mcg</v>
      </c>
      <c r="V326" s="5" t="s">
        <v>2120</v>
      </c>
      <c r="W326" s="5" t="str">
        <f t="shared" si="3"/>
        <v>Anindya Chatterjee</v>
      </c>
      <c r="X326" s="5">
        <f t="shared" si="4"/>
        <v>1</v>
      </c>
      <c r="Y326" s="5" t="str">
        <f>IFERROR(__xludf.DUMMYFUNCTION("REGEXEXTRACT(J326, ""^\d+"")"),"3")</f>
        <v>3</v>
      </c>
      <c r="Z326" s="5" t="str">
        <f>IFERROR(__xludf.DUMMYFUNCTION("REGEXEXTRACT(J326, ""[A-Za-z ]+$"")")," Seasons")</f>
        <v> Seasons</v>
      </c>
      <c r="AA326" s="5" t="str">
        <f>IFERROR(__xludf.DUMMYFUNCTION("IF(REGEXMATCH(Z326, ""Season""), ""TV Show"", ""Movie"")"),"TV Show")</f>
        <v>TV Show</v>
      </c>
    </row>
    <row r="327">
      <c r="A327" s="1" t="s">
        <v>2121</v>
      </c>
      <c r="B327" s="1" t="s">
        <v>27</v>
      </c>
      <c r="C327" s="1" t="s">
        <v>2122</v>
      </c>
      <c r="D327" s="1" t="s">
        <v>2123</v>
      </c>
      <c r="E327" s="1" t="s">
        <v>2124</v>
      </c>
      <c r="F327" s="1" t="s">
        <v>30</v>
      </c>
      <c r="G327" s="1" t="s">
        <v>2114</v>
      </c>
      <c r="H327" s="1">
        <v>1992.0</v>
      </c>
      <c r="I327" s="1" t="s">
        <v>78</v>
      </c>
      <c r="J327" s="1" t="s">
        <v>630</v>
      </c>
      <c r="K327" s="1" t="s">
        <v>137</v>
      </c>
      <c r="L327" s="1" t="s">
        <v>2125</v>
      </c>
      <c r="M327" s="2" t="s">
        <v>12</v>
      </c>
      <c r="N327" s="4">
        <f t="shared" si="1"/>
        <v>44409</v>
      </c>
      <c r="O327" s="5" t="str">
        <f>IFERROR(__xludf.DUMMYFUNCTION("IF(REGEXMATCH(TRIM(I327), ""^\d+\s*min""), ""Unclassified"", IF(I327 = """", ""NR"", I327))"),"PG")</f>
        <v>PG</v>
      </c>
      <c r="R327" s="5" t="str">
        <f t="shared" si="2"/>
        <v>Beethoven</v>
      </c>
      <c r="S327" s="5" t="str">
        <f>IFERROR(__xludf.DUMMYFUNCTION("""COMPUTED_VALUE"""),"Adel Karam: Live From Beirut")</f>
        <v>Adel Karam: Live From Beirut</v>
      </c>
      <c r="T327" s="5" t="str">
        <f>IFERROR(__xludf.DUMMYFUNCTION("""COMPUTED_VALUE"""),"Kuwait, United States")</f>
        <v>Kuwait, United States</v>
      </c>
      <c r="U327" s="5" t="str">
        <f>IFERROR(__xludf.DUMMYFUNCTION("""COMPUTED_VALUE"""),"Frank Marshall")</f>
        <v>Frank Marshall</v>
      </c>
      <c r="V327" s="5" t="s">
        <v>2126</v>
      </c>
      <c r="W327" s="5" t="str">
        <f t="shared" si="3"/>
        <v>Anirban Majumder</v>
      </c>
      <c r="X327" s="5">
        <f t="shared" si="4"/>
        <v>2</v>
      </c>
      <c r="Y327" s="5" t="str">
        <f>IFERROR(__xludf.DUMMYFUNCTION("REGEXEXTRACT(J327, ""^\d+"")"),"87")</f>
        <v>87</v>
      </c>
      <c r="Z327" s="5" t="str">
        <f>IFERROR(__xludf.DUMMYFUNCTION("REGEXEXTRACT(J327, ""[A-Za-z ]+$"")")," min")</f>
        <v> min</v>
      </c>
      <c r="AA327" s="5" t="str">
        <f>IFERROR(__xludf.DUMMYFUNCTION("IF(REGEXMATCH(Z327, ""Season""), ""TV Show"", ""Movie"")"),"Movie")</f>
        <v>Movie</v>
      </c>
    </row>
    <row r="328">
      <c r="A328" s="1" t="s">
        <v>2127</v>
      </c>
      <c r="B328" s="1" t="s">
        <v>27</v>
      </c>
      <c r="C328" s="1" t="s">
        <v>2128</v>
      </c>
      <c r="D328" s="1" t="s">
        <v>2129</v>
      </c>
      <c r="E328" s="1" t="s">
        <v>2130</v>
      </c>
      <c r="F328" s="1" t="s">
        <v>30</v>
      </c>
      <c r="G328" s="1" t="s">
        <v>2114</v>
      </c>
      <c r="H328" s="1">
        <v>1993.0</v>
      </c>
      <c r="I328" s="1" t="s">
        <v>78</v>
      </c>
      <c r="J328" s="1" t="s">
        <v>428</v>
      </c>
      <c r="K328" s="1" t="s">
        <v>137</v>
      </c>
      <c r="L328" s="1" t="s">
        <v>2131</v>
      </c>
      <c r="M328" s="2" t="s">
        <v>12</v>
      </c>
      <c r="N328" s="4">
        <f t="shared" si="1"/>
        <v>44409</v>
      </c>
      <c r="O328" s="5" t="str">
        <f>IFERROR(__xludf.DUMMYFUNCTION("IF(REGEXMATCH(TRIM(I328), ""^\d+\s*min""), ""Unclassified"", IF(I328 = """", ""NR"", I328))"),"PG")</f>
        <v>PG</v>
      </c>
      <c r="R328" s="5" t="str">
        <f t="shared" si="2"/>
        <v>Beethoven'S 2Nd</v>
      </c>
      <c r="S328" s="5" t="str">
        <f>IFERROR(__xludf.DUMMYFUNCTION("""COMPUTED_VALUE"""),"Adhugo")</f>
        <v>Adhugo</v>
      </c>
      <c r="T328" s="5" t="str">
        <f>IFERROR(__xludf.DUMMYFUNCTION("""COMPUTED_VALUE"""),"Lebanon")</f>
        <v>Lebanon</v>
      </c>
      <c r="U328" s="5" t="str">
        <f>IFERROR(__xludf.DUMMYFUNCTION("""COMPUTED_VALUE"""),"Victor Vu")</f>
        <v>Victor Vu</v>
      </c>
      <c r="V328" s="5" t="s">
        <v>2132</v>
      </c>
      <c r="W328" s="5" t="str">
        <f t="shared" si="3"/>
        <v>Aniruddha Roy Chowdhury</v>
      </c>
      <c r="X328" s="5">
        <f t="shared" si="4"/>
        <v>1</v>
      </c>
      <c r="Y328" s="5" t="str">
        <f>IFERROR(__xludf.DUMMYFUNCTION("REGEXEXTRACT(J328, ""^\d+"")"),"88")</f>
        <v>88</v>
      </c>
      <c r="Z328" s="5" t="str">
        <f>IFERROR(__xludf.DUMMYFUNCTION("REGEXEXTRACT(J328, ""[A-Za-z ]+$"")")," min")</f>
        <v> min</v>
      </c>
      <c r="AA328" s="5" t="str">
        <f>IFERROR(__xludf.DUMMYFUNCTION("IF(REGEXMATCH(Z328, ""Season""), ""TV Show"", ""Movie"")"),"Movie")</f>
        <v>Movie</v>
      </c>
    </row>
    <row r="329">
      <c r="A329" s="1" t="s">
        <v>2133</v>
      </c>
      <c r="B329" s="1" t="s">
        <v>27</v>
      </c>
      <c r="C329" s="1" t="s">
        <v>2134</v>
      </c>
      <c r="D329" s="1" t="s">
        <v>2135</v>
      </c>
      <c r="E329" s="1" t="s">
        <v>2136</v>
      </c>
      <c r="F329" s="1" t="s">
        <v>692</v>
      </c>
      <c r="G329" s="1" t="s">
        <v>2114</v>
      </c>
      <c r="H329" s="1">
        <v>2007.0</v>
      </c>
      <c r="I329" s="1" t="s">
        <v>32</v>
      </c>
      <c r="J329" s="1" t="s">
        <v>835</v>
      </c>
      <c r="K329" s="1" t="s">
        <v>942</v>
      </c>
      <c r="L329" s="1" t="s">
        <v>2137</v>
      </c>
      <c r="M329" s="2" t="s">
        <v>12</v>
      </c>
      <c r="N329" s="4">
        <f t="shared" si="1"/>
        <v>44409</v>
      </c>
      <c r="O329" s="5" t="str">
        <f>IFERROR(__xludf.DUMMYFUNCTION("IF(REGEXMATCH(TRIM(I329), ""^\d+\s*min""), ""Unclassified"", IF(I329 = """", ""NR"", I329))"),"PG-13")</f>
        <v>PG-13</v>
      </c>
      <c r="R329" s="5" t="str">
        <f t="shared" si="2"/>
        <v>Beowulf</v>
      </c>
      <c r="S329" s="5" t="str">
        <f>IFERROR(__xludf.DUMMYFUNCTION("""COMPUTED_VALUE"""),"Aditi Mittal: Things They Wouldn'T Let Me Say")</f>
        <v>Aditi Mittal: Things They Wouldn'T Let Me Say</v>
      </c>
      <c r="T329" s="5" t="str">
        <f>IFERROR(__xludf.DUMMYFUNCTION("""COMPUTED_VALUE"""),"Lebanon, Canada, France")</f>
        <v>Lebanon, Canada, France</v>
      </c>
      <c r="U329" s="5" t="str">
        <f>IFERROR(__xludf.DUMMYFUNCTION("""COMPUTED_VALUE"""),"Chow Hin Yeung Roy")</f>
        <v>Chow Hin Yeung Roy</v>
      </c>
      <c r="V329" s="5" t="s">
        <v>2138</v>
      </c>
      <c r="W329" s="5" t="str">
        <f t="shared" si="3"/>
        <v>Anissa Bonnefont</v>
      </c>
      <c r="X329" s="5">
        <f t="shared" si="4"/>
        <v>1</v>
      </c>
      <c r="Y329" s="5" t="str">
        <f>IFERROR(__xludf.DUMMYFUNCTION("REGEXEXTRACT(J329, ""^\d+"")"),"114")</f>
        <v>114</v>
      </c>
      <c r="Z329" s="5" t="str">
        <f>IFERROR(__xludf.DUMMYFUNCTION("REGEXEXTRACT(J329, ""[A-Za-z ]+$"")")," min")</f>
        <v> min</v>
      </c>
      <c r="AA329" s="5" t="str">
        <f>IFERROR(__xludf.DUMMYFUNCTION("IF(REGEXMATCH(Z329, ""Season""), ""TV Show"", ""Movie"")"),"Movie")</f>
        <v>Movie</v>
      </c>
    </row>
    <row r="330">
      <c r="A330" s="1" t="s">
        <v>2139</v>
      </c>
      <c r="B330" s="1" t="s">
        <v>27</v>
      </c>
      <c r="C330" s="1" t="s">
        <v>2140</v>
      </c>
      <c r="D330" s="1" t="s">
        <v>2141</v>
      </c>
      <c r="E330" s="1" t="s">
        <v>2142</v>
      </c>
      <c r="F330" s="1" t="s">
        <v>2143</v>
      </c>
      <c r="G330" s="1" t="s">
        <v>2114</v>
      </c>
      <c r="H330" s="1">
        <v>2016.0</v>
      </c>
      <c r="I330" s="1" t="s">
        <v>378</v>
      </c>
      <c r="J330" s="1" t="s">
        <v>33</v>
      </c>
      <c r="K330" s="1" t="s">
        <v>380</v>
      </c>
      <c r="L330" s="1" t="s">
        <v>2144</v>
      </c>
      <c r="M330" s="2" t="s">
        <v>12</v>
      </c>
      <c r="N330" s="4">
        <f t="shared" si="1"/>
        <v>44409</v>
      </c>
      <c r="O330" s="5" t="str">
        <f>IFERROR(__xludf.DUMMYFUNCTION("IF(REGEXMATCH(TRIM(I330), ""^\d+\s*min""), ""Unclassified"", IF(I330 = """", ""NR"", I330))"),"R")</f>
        <v>R</v>
      </c>
      <c r="R330" s="5" t="str">
        <f t="shared" si="2"/>
        <v>Boyka: Undisputed</v>
      </c>
      <c r="S330" s="5" t="str">
        <f>IFERROR(__xludf.DUMMYFUNCTION("""COMPUTED_VALUE"""),"Adore")</f>
        <v>Adore</v>
      </c>
      <c r="T330" s="5" t="str">
        <f>IFERROR(__xludf.DUMMYFUNCTION("""COMPUTED_VALUE"""),"Lebanon, France")</f>
        <v>Lebanon, France</v>
      </c>
      <c r="U330" s="5" t="str">
        <f>IFERROR(__xludf.DUMMYFUNCTION("""COMPUTED_VALUE"""),"Joel Hopkins")</f>
        <v>Joel Hopkins</v>
      </c>
      <c r="V330" s="5" t="s">
        <v>2145</v>
      </c>
      <c r="W330" s="5" t="str">
        <f t="shared" si="3"/>
        <v>Anita Barbosa</v>
      </c>
      <c r="X330" s="5">
        <f t="shared" si="4"/>
        <v>1</v>
      </c>
      <c r="Y330" s="5" t="str">
        <f>IFERROR(__xludf.DUMMYFUNCTION("REGEXEXTRACT(J330, ""^\d+"")"),"90")</f>
        <v>90</v>
      </c>
      <c r="Z330" s="5" t="str">
        <f>IFERROR(__xludf.DUMMYFUNCTION("REGEXEXTRACT(J330, ""[A-Za-z ]+$"")")," min")</f>
        <v> min</v>
      </c>
      <c r="AA330" s="5" t="str">
        <f>IFERROR(__xludf.DUMMYFUNCTION("IF(REGEXMATCH(Z330, ""Season""), ""TV Show"", ""Movie"")"),"Movie")</f>
        <v>Movie</v>
      </c>
    </row>
    <row r="331">
      <c r="A331" s="1" t="s">
        <v>2146</v>
      </c>
      <c r="B331" s="1" t="s">
        <v>27</v>
      </c>
      <c r="C331" s="1" t="s">
        <v>2147</v>
      </c>
      <c r="D331" s="1" t="s">
        <v>339</v>
      </c>
      <c r="E331" s="1" t="s">
        <v>2148</v>
      </c>
      <c r="F331" s="1" t="s">
        <v>897</v>
      </c>
      <c r="G331" s="1" t="s">
        <v>2114</v>
      </c>
      <c r="H331" s="1">
        <v>2002.0</v>
      </c>
      <c r="I331" s="1" t="s">
        <v>32</v>
      </c>
      <c r="J331" s="1" t="s">
        <v>950</v>
      </c>
      <c r="K331" s="1" t="s">
        <v>805</v>
      </c>
      <c r="L331" s="1" t="s">
        <v>2149</v>
      </c>
      <c r="M331" s="2" t="s">
        <v>12</v>
      </c>
      <c r="N331" s="4">
        <f t="shared" si="1"/>
        <v>44409</v>
      </c>
      <c r="O331" s="5" t="str">
        <f>IFERROR(__xludf.DUMMYFUNCTION("IF(REGEXMATCH(TRIM(I331), ""^\d+\s*min""), ""Unclassified"", IF(I331 = """", ""NR"", I331))"),"PG-13")</f>
        <v>PG-13</v>
      </c>
      <c r="R331" s="5" t="str">
        <f t="shared" si="2"/>
        <v>Catch Me If You Can</v>
      </c>
      <c r="S331" s="5" t="str">
        <f>IFERROR(__xludf.DUMMYFUNCTION("""COMPUTED_VALUE"""),"Adrift")</f>
        <v>Adrift</v>
      </c>
      <c r="T331" s="5" t="str">
        <f>IFERROR(__xludf.DUMMYFUNCTION("""COMPUTED_VALUE"""),"Lebanon, Palestine, Denmark, Qatar")</f>
        <v>Lebanon, Palestine, Denmark, Qatar</v>
      </c>
      <c r="U331" s="5" t="str">
        <f>IFERROR(__xludf.DUMMYFUNCTION("""COMPUTED_VALUE"""),"John Stevenson, Mark Osborne")</f>
        <v>John Stevenson, Mark Osborne</v>
      </c>
      <c r="V331" s="5" t="s">
        <v>2150</v>
      </c>
      <c r="W331" s="5" t="str">
        <f t="shared" si="3"/>
        <v>Anita Udeep</v>
      </c>
      <c r="X331" s="5">
        <f t="shared" si="4"/>
        <v>1</v>
      </c>
      <c r="Y331" s="5" t="str">
        <f>IFERROR(__xludf.DUMMYFUNCTION("REGEXEXTRACT(J331, ""^\d+"")"),"142")</f>
        <v>142</v>
      </c>
      <c r="Z331" s="5" t="str">
        <f>IFERROR(__xludf.DUMMYFUNCTION("REGEXEXTRACT(J331, ""[A-Za-z ]+$"")")," min")</f>
        <v> min</v>
      </c>
      <c r="AA331" s="5" t="str">
        <f>IFERROR(__xludf.DUMMYFUNCTION("IF(REGEXMATCH(Z331, ""Season""), ""TV Show"", ""Movie"")"),"Movie")</f>
        <v>Movie</v>
      </c>
    </row>
    <row r="332">
      <c r="A332" s="1" t="s">
        <v>2151</v>
      </c>
      <c r="B332" s="1" t="s">
        <v>27</v>
      </c>
      <c r="C332" s="1" t="s">
        <v>2152</v>
      </c>
      <c r="D332" s="1" t="s">
        <v>2153</v>
      </c>
      <c r="E332" s="1" t="s">
        <v>2154</v>
      </c>
      <c r="F332" s="1" t="s">
        <v>897</v>
      </c>
      <c r="G332" s="1" t="s">
        <v>2114</v>
      </c>
      <c r="H332" s="1">
        <v>2009.0</v>
      </c>
      <c r="I332" s="1" t="s">
        <v>78</v>
      </c>
      <c r="J332" s="1" t="s">
        <v>33</v>
      </c>
      <c r="K332" s="1" t="s">
        <v>2155</v>
      </c>
      <c r="L332" s="1" t="s">
        <v>2156</v>
      </c>
      <c r="M332" s="2" t="s">
        <v>12</v>
      </c>
      <c r="N332" s="4">
        <f t="shared" si="1"/>
        <v>44409</v>
      </c>
      <c r="O332" s="5" t="str">
        <f>IFERROR(__xludf.DUMMYFUNCTION("IF(REGEXMATCH(TRIM(I332), ""^\d+\s*min""), ""Unclassified"", IF(I332 = """", ""NR"", I332))"),"PG")</f>
        <v>PG</v>
      </c>
      <c r="R332" s="5" t="str">
        <f t="shared" si="2"/>
        <v>Cloudy With A Chance Of Meatballs</v>
      </c>
      <c r="S332" s="5" t="str">
        <f>IFERROR(__xludf.DUMMYFUNCTION("""COMPUTED_VALUE"""),"Adrishya")</f>
        <v>Adrishya</v>
      </c>
      <c r="T332" s="5" t="str">
        <f>IFERROR(__xludf.DUMMYFUNCTION("""COMPUTED_VALUE"""),"Lebanon, Qatar")</f>
        <v>Lebanon, Qatar</v>
      </c>
      <c r="U332" s="5" t="str">
        <f>IFERROR(__xludf.DUMMYFUNCTION("""COMPUTED_VALUE"""),"Jennifer Yuh Nelson")</f>
        <v>Jennifer Yuh Nelson</v>
      </c>
      <c r="V332" s="5" t="s">
        <v>2157</v>
      </c>
      <c r="W332" s="5" t="str">
        <f t="shared" si="3"/>
        <v>Anjali Nayar</v>
      </c>
      <c r="X332" s="5">
        <f t="shared" si="4"/>
        <v>1</v>
      </c>
      <c r="Y332" s="5" t="str">
        <f>IFERROR(__xludf.DUMMYFUNCTION("REGEXEXTRACT(J332, ""^\d+"")"),"90")</f>
        <v>90</v>
      </c>
      <c r="Z332" s="5" t="str">
        <f>IFERROR(__xludf.DUMMYFUNCTION("REGEXEXTRACT(J332, ""[A-Za-z ]+$"")")," min")</f>
        <v> min</v>
      </c>
      <c r="AA332" s="5" t="str">
        <f>IFERROR(__xludf.DUMMYFUNCTION("IF(REGEXMATCH(Z332, ""Season""), ""TV Show"", ""Movie"")"),"Movie")</f>
        <v>Movie</v>
      </c>
    </row>
    <row r="333">
      <c r="A333" s="1" t="s">
        <v>2158</v>
      </c>
      <c r="B333" s="1" t="s">
        <v>37</v>
      </c>
      <c r="C333" s="1" t="s">
        <v>2159</v>
      </c>
      <c r="E333" s="1" t="s">
        <v>2160</v>
      </c>
      <c r="G333" s="1" t="s">
        <v>2114</v>
      </c>
      <c r="H333" s="1">
        <v>2020.0</v>
      </c>
      <c r="I333" s="1" t="s">
        <v>42</v>
      </c>
      <c r="J333" s="1" t="s">
        <v>51</v>
      </c>
      <c r="K333" s="1" t="s">
        <v>2161</v>
      </c>
      <c r="L333" s="1" t="s">
        <v>2162</v>
      </c>
      <c r="M333" s="2" t="s">
        <v>12</v>
      </c>
      <c r="N333" s="4">
        <f t="shared" si="1"/>
        <v>44409</v>
      </c>
      <c r="O333" s="5" t="str">
        <f>IFERROR(__xludf.DUMMYFUNCTION("IF(REGEXMATCH(TRIM(I333), ""^\d+\s*min""), ""Unclassified"", IF(I333 = """", ""NR"", I333))"),"TV-MA")</f>
        <v>TV-MA</v>
      </c>
      <c r="R333" s="5" t="str">
        <f t="shared" si="2"/>
        <v>Darwin’S Game</v>
      </c>
      <c r="S333" s="5" t="str">
        <f>IFERROR(__xludf.DUMMYFUNCTION("""COMPUTED_VALUE"""),"Adú")</f>
        <v>Adú</v>
      </c>
      <c r="T333" s="5" t="str">
        <f>IFERROR(__xludf.DUMMYFUNCTION("""COMPUTED_VALUE"""),"Lebanon, Syria")</f>
        <v>Lebanon, Syria</v>
      </c>
      <c r="U333" s="5" t="str">
        <f>IFERROR(__xludf.DUMMYFUNCTION("""COMPUTED_VALUE"""),"Greg Berlanti")</f>
        <v>Greg Berlanti</v>
      </c>
      <c r="V333" s="5" t="s">
        <v>2163</v>
      </c>
      <c r="W333" s="5" t="str">
        <f t="shared" si="3"/>
        <v>Anjum Shahzad</v>
      </c>
      <c r="X333" s="5">
        <f t="shared" si="4"/>
        <v>1</v>
      </c>
      <c r="Y333" s="5" t="str">
        <f>IFERROR(__xludf.DUMMYFUNCTION("REGEXEXTRACT(J333, ""^\d+"")"),"1")</f>
        <v>1</v>
      </c>
      <c r="Z333" s="5" t="str">
        <f>IFERROR(__xludf.DUMMYFUNCTION("REGEXEXTRACT(J333, ""[A-Za-z ]+$"")")," Season")</f>
        <v> Season</v>
      </c>
      <c r="AA333" s="5" t="str">
        <f>IFERROR(__xludf.DUMMYFUNCTION("IF(REGEXMATCH(Z333, ""Season""), ""TV Show"", ""Movie"")"),"TV Show")</f>
        <v>TV Show</v>
      </c>
    </row>
    <row r="334">
      <c r="A334" s="1" t="s">
        <v>2164</v>
      </c>
      <c r="B334" s="1" t="s">
        <v>27</v>
      </c>
      <c r="C334" s="1" t="s">
        <v>2165</v>
      </c>
      <c r="D334" s="1" t="s">
        <v>955</v>
      </c>
      <c r="E334" s="1" t="s">
        <v>2166</v>
      </c>
      <c r="F334" s="1" t="s">
        <v>949</v>
      </c>
      <c r="G334" s="1" t="s">
        <v>2114</v>
      </c>
      <c r="H334" s="1">
        <v>1999.0</v>
      </c>
      <c r="I334" s="1" t="s">
        <v>378</v>
      </c>
      <c r="J334" s="1" t="s">
        <v>305</v>
      </c>
      <c r="K334" s="1" t="s">
        <v>2167</v>
      </c>
      <c r="L334" s="1" t="s">
        <v>2168</v>
      </c>
      <c r="M334" s="2" t="s">
        <v>12</v>
      </c>
      <c r="N334" s="4">
        <f t="shared" si="1"/>
        <v>44409</v>
      </c>
      <c r="O334" s="5" t="str">
        <f>IFERROR(__xludf.DUMMYFUNCTION("IF(REGEXMATCH(TRIM(I334), ""^\d+\s*min""), ""Unclassified"", IF(I334 = """", ""NR"", I334))"),"R")</f>
        <v>R</v>
      </c>
      <c r="R334" s="5" t="str">
        <f t="shared" si="2"/>
        <v>Deep Blue Sea</v>
      </c>
      <c r="S334" s="5" t="str">
        <f>IFERROR(__xludf.DUMMYFUNCTION("""COMPUTED_VALUE"""),"Advantageous")</f>
        <v>Advantageous</v>
      </c>
      <c r="T334" s="5" t="str">
        <f>IFERROR(__xludf.DUMMYFUNCTION("""COMPUTED_VALUE"""),"Lebanon, United Arab Emirates")</f>
        <v>Lebanon, United Arab Emirates</v>
      </c>
      <c r="U334" s="5" t="str">
        <f>IFERROR(__xludf.DUMMYFUNCTION("""COMPUTED_VALUE"""),"Garth Davis")</f>
        <v>Garth Davis</v>
      </c>
      <c r="V334" s="5" t="s">
        <v>2169</v>
      </c>
      <c r="W334" s="5" t="str">
        <f t="shared" si="3"/>
        <v>Ann Deborah Fishman</v>
      </c>
      <c r="X334" s="5">
        <f t="shared" si="4"/>
        <v>1</v>
      </c>
      <c r="Y334" s="5" t="str">
        <f>IFERROR(__xludf.DUMMYFUNCTION("REGEXEXTRACT(J334, ""^\d+"")"),"105")</f>
        <v>105</v>
      </c>
      <c r="Z334" s="5" t="str">
        <f>IFERROR(__xludf.DUMMYFUNCTION("REGEXEXTRACT(J334, ""[A-Za-z ]+$"")")," min")</f>
        <v> min</v>
      </c>
      <c r="AA334" s="5" t="str">
        <f>IFERROR(__xludf.DUMMYFUNCTION("IF(REGEXMATCH(Z334, ""Season""), ""TV Show"", ""Movie"")"),"Movie")</f>
        <v>Movie</v>
      </c>
    </row>
    <row r="335">
      <c r="A335" s="1" t="s">
        <v>2170</v>
      </c>
      <c r="B335" s="1" t="s">
        <v>27</v>
      </c>
      <c r="C335" s="1" t="s">
        <v>2171</v>
      </c>
      <c r="D335" s="1" t="s">
        <v>2172</v>
      </c>
      <c r="E335" s="1" t="s">
        <v>2173</v>
      </c>
      <c r="F335" s="1" t="s">
        <v>30</v>
      </c>
      <c r="G335" s="1" t="s">
        <v>2114</v>
      </c>
      <c r="H335" s="1">
        <v>1986.0</v>
      </c>
      <c r="I335" s="1" t="s">
        <v>32</v>
      </c>
      <c r="J335" s="1" t="s">
        <v>238</v>
      </c>
      <c r="K335" s="1" t="s">
        <v>2174</v>
      </c>
      <c r="L335" s="1" t="s">
        <v>2175</v>
      </c>
      <c r="M335" s="2" t="s">
        <v>12</v>
      </c>
      <c r="N335" s="4">
        <f t="shared" si="1"/>
        <v>44409</v>
      </c>
      <c r="O335" s="5" t="str">
        <f>IFERROR(__xludf.DUMMYFUNCTION("IF(REGEXMATCH(TRIM(I335), ""^\d+\s*min""), ""Unclassified"", IF(I335 = """", ""NR"", I335))"),"PG-13")</f>
        <v>PG-13</v>
      </c>
      <c r="R335" s="5" t="str">
        <f t="shared" si="2"/>
        <v>Ferris Bueller'S Day Off</v>
      </c>
      <c r="S335" s="5" t="str">
        <f>IFERROR(__xludf.DUMMYFUNCTION("""COMPUTED_VALUE"""),"Adventures In Public School")</f>
        <v>Adventures In Public School</v>
      </c>
      <c r="T335" s="5" t="str">
        <f>IFERROR(__xludf.DUMMYFUNCTION("""COMPUTED_VALUE"""),"Lebanon, United Arab Emirates, France, Switzerland, Germany")</f>
        <v>Lebanon, United Arab Emirates, France, Switzerland, Germany</v>
      </c>
      <c r="U335" s="5" t="str">
        <f>IFERROR(__xludf.DUMMYFUNCTION("""COMPUTED_VALUE"""),"Malik Nejer")</f>
        <v>Malik Nejer</v>
      </c>
      <c r="V335" s="5" t="s">
        <v>2176</v>
      </c>
      <c r="W335" s="5" t="str">
        <f t="shared" si="3"/>
        <v>Anna Boden, Ryan Fleck</v>
      </c>
      <c r="X335" s="5">
        <f t="shared" si="4"/>
        <v>1</v>
      </c>
      <c r="Y335" s="5" t="str">
        <f>IFERROR(__xludf.DUMMYFUNCTION("REGEXEXTRACT(J335, ""^\d+"")"),"103")</f>
        <v>103</v>
      </c>
      <c r="Z335" s="5" t="str">
        <f>IFERROR(__xludf.DUMMYFUNCTION("REGEXEXTRACT(J335, ""[A-Za-z ]+$"")")," min")</f>
        <v> min</v>
      </c>
      <c r="AA335" s="5" t="str">
        <f>IFERROR(__xludf.DUMMYFUNCTION("IF(REGEXMATCH(Z335, ""Season""), ""TV Show"", ""Movie"")"),"Movie")</f>
        <v>Movie</v>
      </c>
    </row>
    <row r="336">
      <c r="A336" s="1" t="s">
        <v>2177</v>
      </c>
      <c r="B336" s="1" t="s">
        <v>27</v>
      </c>
      <c r="C336" s="1" t="s">
        <v>2178</v>
      </c>
      <c r="D336" s="1" t="s">
        <v>2179</v>
      </c>
      <c r="E336" s="1" t="s">
        <v>2180</v>
      </c>
      <c r="F336" s="1" t="s">
        <v>30</v>
      </c>
      <c r="G336" s="1" t="s">
        <v>2114</v>
      </c>
      <c r="H336" s="1">
        <v>2019.0</v>
      </c>
      <c r="I336" s="1" t="s">
        <v>32</v>
      </c>
      <c r="J336" s="1" t="s">
        <v>349</v>
      </c>
      <c r="K336" s="1" t="s">
        <v>828</v>
      </c>
      <c r="L336" s="1" t="s">
        <v>2181</v>
      </c>
      <c r="M336" s="2" t="s">
        <v>12</v>
      </c>
      <c r="N336" s="4">
        <f t="shared" si="1"/>
        <v>44409</v>
      </c>
      <c r="O336" s="5" t="str">
        <f>IFERROR(__xludf.DUMMYFUNCTION("IF(REGEXMATCH(TRIM(I336), ""^\d+\s*min""), ""Unclassified"", IF(I336 = """", ""NR"", I336))"),"PG-13")</f>
        <v>PG-13</v>
      </c>
      <c r="R336" s="5" t="str">
        <f t="shared" si="2"/>
        <v>Five Feet Apart</v>
      </c>
      <c r="S336" s="5" t="str">
        <f>IFERROR(__xludf.DUMMYFUNCTION("""COMPUTED_VALUE"""),"Aelay")</f>
        <v>Aelay</v>
      </c>
      <c r="T336" s="5" t="str">
        <f>IFERROR(__xludf.DUMMYFUNCTION("""COMPUTED_VALUE"""),"Lebanon, United States, United Arab Emirates")</f>
        <v>Lebanon, United States, United Arab Emirates</v>
      </c>
      <c r="U336" s="5" t="str">
        <f>IFERROR(__xludf.DUMMYFUNCTION("""COMPUTED_VALUE"""),"Rob Marshall")</f>
        <v>Rob Marshall</v>
      </c>
      <c r="V336" s="5" t="s">
        <v>2182</v>
      </c>
      <c r="W336" s="5" t="str">
        <f t="shared" si="3"/>
        <v>Anna Elizabeth James</v>
      </c>
      <c r="X336" s="5">
        <f t="shared" si="4"/>
        <v>1</v>
      </c>
      <c r="Y336" s="5" t="str">
        <f>IFERROR(__xludf.DUMMYFUNCTION("REGEXEXTRACT(J336, ""^\d+"")"),"116")</f>
        <v>116</v>
      </c>
      <c r="Z336" s="5" t="str">
        <f>IFERROR(__xludf.DUMMYFUNCTION("REGEXEXTRACT(J336, ""[A-Za-z ]+$"")")," min")</f>
        <v> min</v>
      </c>
      <c r="AA336" s="5" t="str">
        <f>IFERROR(__xludf.DUMMYFUNCTION("IF(REGEXMATCH(Z336, ""Season""), ""TV Show"", ""Movie"")"),"Movie")</f>
        <v>Movie</v>
      </c>
    </row>
    <row r="337">
      <c r="A337" s="1" t="s">
        <v>2183</v>
      </c>
      <c r="B337" s="1" t="s">
        <v>27</v>
      </c>
      <c r="C337" s="1" t="s">
        <v>2184</v>
      </c>
      <c r="D337" s="1" t="s">
        <v>2185</v>
      </c>
      <c r="E337" s="1" t="s">
        <v>2186</v>
      </c>
      <c r="F337" s="1" t="s">
        <v>30</v>
      </c>
      <c r="G337" s="1" t="s">
        <v>2114</v>
      </c>
      <c r="H337" s="1">
        <v>2006.0</v>
      </c>
      <c r="I337" s="1" t="s">
        <v>378</v>
      </c>
      <c r="J337" s="1" t="s">
        <v>519</v>
      </c>
      <c r="K337" s="1" t="s">
        <v>394</v>
      </c>
      <c r="L337" s="1" t="s">
        <v>2187</v>
      </c>
      <c r="M337" s="2" t="s">
        <v>12</v>
      </c>
      <c r="N337" s="4">
        <f t="shared" si="1"/>
        <v>44409</v>
      </c>
      <c r="O337" s="5" t="str">
        <f>IFERROR(__xludf.DUMMYFUNCTION("IF(REGEXMATCH(TRIM(I337), ""^\d+\s*min""), ""Unclassified"", IF(I337 = """", ""NR"", I337))"),"R")</f>
        <v>R</v>
      </c>
      <c r="R337" s="5" t="str">
        <f t="shared" si="2"/>
        <v>Freedomland</v>
      </c>
      <c r="S337" s="5" t="str">
        <f>IFERROR(__xludf.DUMMYFUNCTION("""COMPUTED_VALUE"""),"Æon Flux")</f>
        <v>Æon Flux</v>
      </c>
      <c r="T337" s="5" t="str">
        <f>IFERROR(__xludf.DUMMYFUNCTION("""COMPUTED_VALUE"""),"Luxembourg")</f>
        <v>Luxembourg</v>
      </c>
      <c r="U337" s="5" t="str">
        <f>IFERROR(__xludf.DUMMYFUNCTION("""COMPUTED_VALUE"""),"Martin Brest")</f>
        <v>Martin Brest</v>
      </c>
      <c r="V337" s="5" t="s">
        <v>2188</v>
      </c>
      <c r="W337" s="5" t="str">
        <f t="shared" si="3"/>
        <v>Anna Stone</v>
      </c>
      <c r="X337" s="5">
        <f t="shared" si="4"/>
        <v>1</v>
      </c>
      <c r="Y337" s="5" t="str">
        <f>IFERROR(__xludf.DUMMYFUNCTION("REGEXEXTRACT(J337, ""^\d+"")"),"113")</f>
        <v>113</v>
      </c>
      <c r="Z337" s="5" t="str">
        <f>IFERROR(__xludf.DUMMYFUNCTION("REGEXEXTRACT(J337, ""[A-Za-z ]+$"")")," min")</f>
        <v> min</v>
      </c>
      <c r="AA337" s="5" t="str">
        <f>IFERROR(__xludf.DUMMYFUNCTION("IF(REGEXMATCH(Z337, ""Season""), ""TV Show"", ""Movie"")"),"Movie")</f>
        <v>Movie</v>
      </c>
    </row>
    <row r="338">
      <c r="A338" s="1" t="s">
        <v>2189</v>
      </c>
      <c r="B338" s="1" t="s">
        <v>37</v>
      </c>
      <c r="C338" s="1" t="s">
        <v>2190</v>
      </c>
      <c r="E338" s="1" t="s">
        <v>2191</v>
      </c>
      <c r="G338" s="1" t="s">
        <v>2114</v>
      </c>
      <c r="H338" s="1">
        <v>2010.0</v>
      </c>
      <c r="I338" s="1" t="s">
        <v>97</v>
      </c>
      <c r="J338" s="1" t="s">
        <v>189</v>
      </c>
      <c r="K338" s="1" t="s">
        <v>2192</v>
      </c>
      <c r="L338" s="1" t="s">
        <v>2193</v>
      </c>
      <c r="M338" s="2" t="s">
        <v>12</v>
      </c>
      <c r="N338" s="4">
        <f t="shared" si="1"/>
        <v>44409</v>
      </c>
      <c r="O338" s="5" t="str">
        <f>IFERROR(__xludf.DUMMYFUNCTION("IF(REGEXMATCH(TRIM(I338), ""^\d+\s*min""), ""Unclassified"", IF(I338 = """", ""NR"", I338))"),"TV-14")</f>
        <v>TV-14</v>
      </c>
      <c r="R338" s="5" t="str">
        <f t="shared" si="2"/>
        <v>Friday Night Lights</v>
      </c>
      <c r="S338" s="5" t="str">
        <f>IFERROR(__xludf.DUMMYFUNCTION("""COMPUTED_VALUE"""),"Aerials")</f>
        <v>Aerials</v>
      </c>
      <c r="T338" s="5" t="str">
        <f>IFERROR(__xludf.DUMMYFUNCTION("""COMPUTED_VALUE"""),"Malaysia")</f>
        <v>Malaysia</v>
      </c>
      <c r="U338" s="5" t="str">
        <f>IFERROR(__xludf.DUMMYFUNCTION("""COMPUTED_VALUE"""),"Shuko Murase")</f>
        <v>Shuko Murase</v>
      </c>
      <c r="V338" s="5" t="s">
        <v>2194</v>
      </c>
      <c r="W338" s="5" t="str">
        <f t="shared" si="3"/>
        <v>Anna Wieczur-Bluszcz</v>
      </c>
      <c r="X338" s="5">
        <f t="shared" si="4"/>
        <v>1</v>
      </c>
      <c r="Y338" s="5" t="str">
        <f>IFERROR(__xludf.DUMMYFUNCTION("REGEXEXTRACT(J338, ""^\d+"")"),"5")</f>
        <v>5</v>
      </c>
      <c r="Z338" s="5" t="str">
        <f>IFERROR(__xludf.DUMMYFUNCTION("REGEXEXTRACT(J338, ""[A-Za-z ]+$"")")," Seasons")</f>
        <v> Seasons</v>
      </c>
      <c r="AA338" s="5" t="str">
        <f>IFERROR(__xludf.DUMMYFUNCTION("IF(REGEXMATCH(Z338, ""Season""), ""TV Show"", ""Movie"")"),"TV Show")</f>
        <v>TV Show</v>
      </c>
    </row>
    <row r="339">
      <c r="A339" s="1" t="s">
        <v>2195</v>
      </c>
      <c r="B339" s="1" t="s">
        <v>27</v>
      </c>
      <c r="C339" s="1" t="s">
        <v>2196</v>
      </c>
      <c r="D339" s="1" t="s">
        <v>2197</v>
      </c>
      <c r="E339" s="1" t="s">
        <v>2198</v>
      </c>
      <c r="F339" s="1" t="s">
        <v>897</v>
      </c>
      <c r="G339" s="1" t="s">
        <v>2114</v>
      </c>
      <c r="H339" s="1">
        <v>2007.0</v>
      </c>
      <c r="I339" s="1" t="s">
        <v>378</v>
      </c>
      <c r="J339" s="1" t="s">
        <v>416</v>
      </c>
      <c r="K339" s="1" t="s">
        <v>813</v>
      </c>
      <c r="L339" s="1" t="s">
        <v>2199</v>
      </c>
      <c r="M339" s="2" t="s">
        <v>12</v>
      </c>
      <c r="N339" s="4">
        <f t="shared" si="1"/>
        <v>44409</v>
      </c>
      <c r="O339" s="5" t="str">
        <f>IFERROR(__xludf.DUMMYFUNCTION("IF(REGEXMATCH(TRIM(I339), ""^\d+\s*min""), ""Unclassified"", IF(I339 = """", ""NR"", I339))"),"R")</f>
        <v>R</v>
      </c>
      <c r="R339" s="5" t="str">
        <f t="shared" si="2"/>
        <v>Good Luck Chuck</v>
      </c>
      <c r="S339" s="5" t="str">
        <f>IFERROR(__xludf.DUMMYFUNCTION("""COMPUTED_VALUE"""),"Afflicted")</f>
        <v>Afflicted</v>
      </c>
      <c r="T339" s="5" t="str">
        <f>IFERROR(__xludf.DUMMYFUNCTION("""COMPUTED_VALUE"""),"Malaysia, Singapore, Hong Kong")</f>
        <v>Malaysia, Singapore, Hong Kong</v>
      </c>
      <c r="U339" s="5" t="str">
        <f>IFERROR(__xludf.DUMMYFUNCTION("""COMPUTED_VALUE"""),"Paul W.S. Anderson")</f>
        <v>Paul W.S. Anderson</v>
      </c>
      <c r="V339" s="5" t="s">
        <v>2200</v>
      </c>
      <c r="W339" s="5" t="str">
        <f t="shared" si="3"/>
        <v>Anne Fletcher</v>
      </c>
      <c r="X339" s="5">
        <f t="shared" si="4"/>
        <v>1</v>
      </c>
      <c r="Y339" s="5" t="str">
        <f>IFERROR(__xludf.DUMMYFUNCTION("REGEXEXTRACT(J339, ""^\d+"")"),"99")</f>
        <v>99</v>
      </c>
      <c r="Z339" s="5" t="str">
        <f>IFERROR(__xludf.DUMMYFUNCTION("REGEXEXTRACT(J339, ""[A-Za-z ]+$"")")," min")</f>
        <v> min</v>
      </c>
      <c r="AA339" s="5" t="str">
        <f>IFERROR(__xludf.DUMMYFUNCTION("IF(REGEXMATCH(Z339, ""Season""), ""TV Show"", ""Movie"")"),"Movie")</f>
        <v>Movie</v>
      </c>
    </row>
    <row r="340">
      <c r="A340" s="1" t="s">
        <v>2201</v>
      </c>
      <c r="B340" s="1" t="s">
        <v>37</v>
      </c>
      <c r="C340" s="1" t="s">
        <v>2202</v>
      </c>
      <c r="E340" s="1" t="s">
        <v>2203</v>
      </c>
      <c r="F340" s="1" t="s">
        <v>415</v>
      </c>
      <c r="G340" s="1" t="s">
        <v>2114</v>
      </c>
      <c r="H340" s="1">
        <v>2014.0</v>
      </c>
      <c r="I340" s="1" t="s">
        <v>97</v>
      </c>
      <c r="J340" s="1" t="s">
        <v>439</v>
      </c>
      <c r="K340" s="1" t="s">
        <v>567</v>
      </c>
      <c r="L340" s="1" t="s">
        <v>2204</v>
      </c>
      <c r="M340" s="2" t="s">
        <v>12</v>
      </c>
      <c r="N340" s="4">
        <f t="shared" si="1"/>
        <v>44409</v>
      </c>
      <c r="O340" s="5" t="str">
        <f>IFERROR(__xludf.DUMMYFUNCTION("IF(REGEXMATCH(TRIM(I340), ""^\d+\s*min""), ""Unclassified"", IF(I340 = """", ""NR"", I340))"),"TV-14")</f>
        <v>TV-14</v>
      </c>
      <c r="R340" s="5" t="str">
        <f t="shared" si="2"/>
        <v>Hunter X Hunter (2011)</v>
      </c>
      <c r="S340" s="5" t="str">
        <f>IFERROR(__xludf.DUMMYFUNCTION("""COMPUTED_VALUE"""),"Afonso Padilha: Classless")</f>
        <v>Afonso Padilha: Classless</v>
      </c>
      <c r="T340" s="5" t="str">
        <f>IFERROR(__xludf.DUMMYFUNCTION("""COMPUTED_VALUE"""),"Mauritius")</f>
        <v>Mauritius</v>
      </c>
      <c r="U340" s="5" t="str">
        <f>IFERROR(__xludf.DUMMYFUNCTION("""COMPUTED_VALUE"""),"Ivan Reitman")</f>
        <v>Ivan Reitman</v>
      </c>
      <c r="V340" s="5" t="s">
        <v>2205</v>
      </c>
      <c r="W340" s="5" t="str">
        <f t="shared" si="3"/>
        <v>Anne Fontaine</v>
      </c>
      <c r="X340" s="5">
        <f t="shared" si="4"/>
        <v>1</v>
      </c>
      <c r="Y340" s="5" t="str">
        <f>IFERROR(__xludf.DUMMYFUNCTION("REGEXEXTRACT(J340, ""^\d+"")"),"6")</f>
        <v>6</v>
      </c>
      <c r="Z340" s="5" t="str">
        <f>IFERROR(__xludf.DUMMYFUNCTION("REGEXEXTRACT(J340, ""[A-Za-z ]+$"")")," Seasons")</f>
        <v> Seasons</v>
      </c>
      <c r="AA340" s="5" t="str">
        <f>IFERROR(__xludf.DUMMYFUNCTION("IF(REGEXMATCH(Z340, ""Season""), ""TV Show"", ""Movie"")"),"TV Show")</f>
        <v>TV Show</v>
      </c>
    </row>
    <row r="341">
      <c r="A341" s="1" t="s">
        <v>2206</v>
      </c>
      <c r="B341" s="1" t="s">
        <v>27</v>
      </c>
      <c r="C341" s="1" t="s">
        <v>2207</v>
      </c>
      <c r="D341" s="1" t="s">
        <v>2208</v>
      </c>
      <c r="E341" s="1" t="s">
        <v>2209</v>
      </c>
      <c r="G341" s="1" t="s">
        <v>2114</v>
      </c>
      <c r="H341" s="1">
        <v>2021.0</v>
      </c>
      <c r="I341" s="1" t="s">
        <v>97</v>
      </c>
      <c r="J341" s="1" t="s">
        <v>322</v>
      </c>
      <c r="K341" s="1" t="s">
        <v>89</v>
      </c>
      <c r="L341" s="1" t="s">
        <v>2210</v>
      </c>
      <c r="M341" s="2" t="s">
        <v>12</v>
      </c>
      <c r="N341" s="4">
        <f t="shared" si="1"/>
        <v>44409</v>
      </c>
      <c r="O341" s="5" t="str">
        <f>IFERROR(__xludf.DUMMYFUNCTION("IF(REGEXMATCH(TRIM(I341), ""^\d+\s*min""), ""Unclassified"", IF(I341 = """", ""NR"", I341))"),"TV-14")</f>
        <v>TV-14</v>
      </c>
      <c r="R341" s="5" t="str">
        <f t="shared" si="2"/>
        <v>I Missed You: Director'S Cut</v>
      </c>
      <c r="S341" s="5" t="str">
        <f>IFERROR(__xludf.DUMMYFUNCTION("""COMPUTED_VALUE"""),"Africa")</f>
        <v>Africa</v>
      </c>
      <c r="T341" s="5" t="str">
        <f>IFERROR(__xludf.DUMMYFUNCTION("""COMPUTED_VALUE"""),"Mauritius, South Africa")</f>
        <v>Mauritius, South Africa</v>
      </c>
      <c r="U341" s="5" t="str">
        <f>IFERROR(__xludf.DUMMYFUNCTION("""COMPUTED_VALUE"""),"Joel Gallen")</f>
        <v>Joel Gallen</v>
      </c>
      <c r="V341" s="5" t="s">
        <v>2211</v>
      </c>
      <c r="W341" s="5" t="str">
        <f t="shared" si="3"/>
        <v>Anoop Sathyan</v>
      </c>
      <c r="X341" s="5">
        <f t="shared" si="4"/>
        <v>1</v>
      </c>
      <c r="Y341" s="5" t="str">
        <f>IFERROR(__xludf.DUMMYFUNCTION("REGEXEXTRACT(J341, ""^\d+"")"),"96")</f>
        <v>96</v>
      </c>
      <c r="Z341" s="5" t="str">
        <f>IFERROR(__xludf.DUMMYFUNCTION("REGEXEXTRACT(J341, ""[A-Za-z ]+$"")")," min")</f>
        <v> min</v>
      </c>
      <c r="AA341" s="5" t="str">
        <f>IFERROR(__xludf.DUMMYFUNCTION("IF(REGEXMATCH(Z341, ""Season""), ""TV Show"", ""Movie"")"),"Movie")</f>
        <v>Movie</v>
      </c>
    </row>
    <row r="342">
      <c r="A342" s="1" t="s">
        <v>2212</v>
      </c>
      <c r="B342" s="1" t="s">
        <v>27</v>
      </c>
      <c r="C342" s="1" t="s">
        <v>2213</v>
      </c>
      <c r="D342" s="1" t="s">
        <v>2214</v>
      </c>
      <c r="E342" s="1" t="s">
        <v>2215</v>
      </c>
      <c r="F342" s="1" t="s">
        <v>692</v>
      </c>
      <c r="G342" s="1" t="s">
        <v>2114</v>
      </c>
      <c r="H342" s="1">
        <v>2010.0</v>
      </c>
      <c r="I342" s="1" t="s">
        <v>32</v>
      </c>
      <c r="J342" s="1" t="s">
        <v>2216</v>
      </c>
      <c r="K342" s="1" t="s">
        <v>2217</v>
      </c>
      <c r="L342" s="1" t="s">
        <v>2218</v>
      </c>
      <c r="M342" s="2" t="s">
        <v>12</v>
      </c>
      <c r="N342" s="4">
        <f t="shared" si="1"/>
        <v>44409</v>
      </c>
      <c r="O342" s="5" t="str">
        <f>IFERROR(__xludf.DUMMYFUNCTION("IF(REGEXMATCH(TRIM(I342), ""^\d+\s*min""), ""Unclassified"", IF(I342 = """", ""NR"", I342))"),"PG-13")</f>
        <v>PG-13</v>
      </c>
      <c r="R342" s="5" t="str">
        <f t="shared" si="2"/>
        <v>Inception</v>
      </c>
      <c r="S342" s="5" t="str">
        <f>IFERROR(__xludf.DUMMYFUNCTION("""COMPUTED_VALUE"""),"African America")</f>
        <v>African America</v>
      </c>
      <c r="T342" s="5" t="str">
        <f>IFERROR(__xludf.DUMMYFUNCTION("""COMPUTED_VALUE"""),"Mexico")</f>
        <v>Mexico</v>
      </c>
      <c r="U342" s="5" t="str">
        <f>IFERROR(__xludf.DUMMYFUNCTION("""COMPUTED_VALUE"""),"Claire Mccarthy")</f>
        <v>Claire Mccarthy</v>
      </c>
      <c r="V342" s="5" t="s">
        <v>2219</v>
      </c>
      <c r="W342" s="5" t="str">
        <f t="shared" si="3"/>
        <v>Anthony Abrams, Adam Larson Broder</v>
      </c>
      <c r="X342" s="5">
        <f t="shared" si="4"/>
        <v>1</v>
      </c>
      <c r="Y342" s="5" t="str">
        <f>IFERROR(__xludf.DUMMYFUNCTION("REGEXEXTRACT(J342, ""^\d+"")"),"148")</f>
        <v>148</v>
      </c>
      <c r="Z342" s="5" t="str">
        <f>IFERROR(__xludf.DUMMYFUNCTION("REGEXEXTRACT(J342, ""[A-Za-z ]+$"")")," min")</f>
        <v> min</v>
      </c>
      <c r="AA342" s="5" t="str">
        <f>IFERROR(__xludf.DUMMYFUNCTION("IF(REGEXMATCH(Z342, ""Season""), ""TV Show"", ""Movie"")"),"Movie")</f>
        <v>Movie</v>
      </c>
    </row>
    <row r="343">
      <c r="A343" s="1" t="s">
        <v>2220</v>
      </c>
      <c r="B343" s="1" t="s">
        <v>27</v>
      </c>
      <c r="C343" s="1" t="s">
        <v>2221</v>
      </c>
      <c r="D343" s="1" t="s">
        <v>2222</v>
      </c>
      <c r="E343" s="1" t="s">
        <v>2223</v>
      </c>
      <c r="F343" s="1" t="s">
        <v>30</v>
      </c>
      <c r="G343" s="1" t="s">
        <v>2114</v>
      </c>
      <c r="H343" s="1">
        <v>1999.0</v>
      </c>
      <c r="I343" s="1" t="s">
        <v>378</v>
      </c>
      <c r="J343" s="1" t="s">
        <v>2224</v>
      </c>
      <c r="K343" s="1" t="s">
        <v>1320</v>
      </c>
      <c r="L343" s="1" t="s">
        <v>2225</v>
      </c>
      <c r="M343" s="2" t="s">
        <v>12</v>
      </c>
      <c r="N343" s="4">
        <f t="shared" si="1"/>
        <v>44409</v>
      </c>
      <c r="O343" s="5" t="str">
        <f>IFERROR(__xludf.DUMMYFUNCTION("IF(REGEXMATCH(TRIM(I343), ""^\d+\s*min""), ""Unclassified"", IF(I343 = """", ""NR"", I343))"),"R")</f>
        <v>R</v>
      </c>
      <c r="R343" s="5" t="str">
        <f t="shared" si="2"/>
        <v>Magnolia</v>
      </c>
      <c r="S343" s="5" t="str">
        <f>IFERROR(__xludf.DUMMYFUNCTION("""COMPUTED_VALUE"""),"Afronta! Facing It!")</f>
        <v>Afronta! Facing It!</v>
      </c>
      <c r="T343" s="5" t="str">
        <f>IFERROR(__xludf.DUMMYFUNCTION("""COMPUTED_VALUE"""),"Mexico, Argentina")</f>
        <v>Mexico, Argentina</v>
      </c>
      <c r="U343" s="5" t="str">
        <f>IFERROR(__xludf.DUMMYFUNCTION("""COMPUTED_VALUE"""),"Mary Lambert")</f>
        <v>Mary Lambert</v>
      </c>
      <c r="V343" s="5" t="s">
        <v>2226</v>
      </c>
      <c r="W343" s="5" t="str">
        <f t="shared" si="3"/>
        <v>Anthony Bell</v>
      </c>
      <c r="X343" s="5">
        <f t="shared" si="4"/>
        <v>1</v>
      </c>
      <c r="Y343" s="5" t="str">
        <f>IFERROR(__xludf.DUMMYFUNCTION("REGEXEXTRACT(J343, ""^\d+"")"),"189")</f>
        <v>189</v>
      </c>
      <c r="Z343" s="5" t="str">
        <f>IFERROR(__xludf.DUMMYFUNCTION("REGEXEXTRACT(J343, ""[A-Za-z ]+$"")")," min")</f>
        <v> min</v>
      </c>
      <c r="AA343" s="5" t="str">
        <f>IFERROR(__xludf.DUMMYFUNCTION("IF(REGEXMATCH(Z343, ""Season""), ""TV Show"", ""Movie"")"),"Movie")</f>
        <v>Movie</v>
      </c>
    </row>
    <row r="344">
      <c r="A344" s="1" t="s">
        <v>2227</v>
      </c>
      <c r="B344" s="1" t="s">
        <v>27</v>
      </c>
      <c r="C344" s="1" t="s">
        <v>2228</v>
      </c>
      <c r="D344" s="1" t="s">
        <v>2229</v>
      </c>
      <c r="E344" s="1" t="s">
        <v>2230</v>
      </c>
      <c r="F344" s="1" t="s">
        <v>30</v>
      </c>
      <c r="G344" s="1" t="s">
        <v>2114</v>
      </c>
      <c r="H344" s="1">
        <v>1995.0</v>
      </c>
      <c r="I344" s="1" t="s">
        <v>32</v>
      </c>
      <c r="J344" s="1" t="s">
        <v>247</v>
      </c>
      <c r="K344" s="1" t="s">
        <v>239</v>
      </c>
      <c r="L344" s="1" t="s">
        <v>2231</v>
      </c>
      <c r="M344" s="2" t="s">
        <v>12</v>
      </c>
      <c r="N344" s="4">
        <f t="shared" si="1"/>
        <v>44409</v>
      </c>
      <c r="O344" s="5" t="str">
        <f>IFERROR(__xludf.DUMMYFUNCTION("IF(REGEXMATCH(TRIM(I344), ""^\d+\s*min""), ""Unclassified"", IF(I344 = """", ""NR"", I344))"),"PG-13")</f>
        <v>PG-13</v>
      </c>
      <c r="R344" s="5" t="str">
        <f t="shared" si="2"/>
        <v>Major Payne</v>
      </c>
      <c r="S344" s="5" t="str">
        <f>IFERROR(__xludf.DUMMYFUNCTION("""COMPUTED_VALUE"""),"After")</f>
        <v>After</v>
      </c>
      <c r="T344" s="5" t="str">
        <f>IFERROR(__xludf.DUMMYFUNCTION("""COMPUTED_VALUE"""),"Mexico, Brazil")</f>
        <v>Mexico, Brazil</v>
      </c>
      <c r="U344" s="5" t="str">
        <f>IFERROR(__xludf.DUMMYFUNCTION("""COMPUTED_VALUE"""),"Sidharta Tata, Aco Tenriyagelli, Dian Sastrowardoyo, Ifa Isfansyah, Jason Iskandar")</f>
        <v>Sidharta Tata, Aco Tenriyagelli, Dian Sastrowardoyo, Ifa Isfansyah, Jason Iskandar</v>
      </c>
      <c r="V344" s="5" t="s">
        <v>2232</v>
      </c>
      <c r="W344" s="5" t="str">
        <f t="shared" si="3"/>
        <v>Anthony Byrne</v>
      </c>
      <c r="X344" s="5">
        <f t="shared" si="4"/>
        <v>1</v>
      </c>
      <c r="Y344" s="5" t="str">
        <f>IFERROR(__xludf.DUMMYFUNCTION("REGEXEXTRACT(J344, ""^\d+"")"),"97")</f>
        <v>97</v>
      </c>
      <c r="Z344" s="5" t="str">
        <f>IFERROR(__xludf.DUMMYFUNCTION("REGEXEXTRACT(J344, ""[A-Za-z ]+$"")")," min")</f>
        <v> min</v>
      </c>
      <c r="AA344" s="5" t="str">
        <f>IFERROR(__xludf.DUMMYFUNCTION("IF(REGEXMATCH(Z344, ""Season""), ""TV Show"", ""Movie"")"),"Movie")</f>
        <v>Movie</v>
      </c>
    </row>
    <row r="345">
      <c r="A345" s="1" t="s">
        <v>2233</v>
      </c>
      <c r="B345" s="1" t="s">
        <v>27</v>
      </c>
      <c r="C345" s="1" t="s">
        <v>2234</v>
      </c>
      <c r="D345" s="1" t="s">
        <v>2235</v>
      </c>
      <c r="E345" s="1" t="s">
        <v>2236</v>
      </c>
      <c r="F345" s="1" t="s">
        <v>30</v>
      </c>
      <c r="G345" s="1" t="s">
        <v>2114</v>
      </c>
      <c r="H345" s="1">
        <v>1991.0</v>
      </c>
      <c r="I345" s="1" t="s">
        <v>32</v>
      </c>
      <c r="J345" s="1" t="s">
        <v>447</v>
      </c>
      <c r="K345" s="1" t="s">
        <v>805</v>
      </c>
      <c r="L345" s="1" t="s">
        <v>2237</v>
      </c>
      <c r="M345" s="2" t="s">
        <v>12</v>
      </c>
      <c r="N345" s="4">
        <f t="shared" si="1"/>
        <v>44409</v>
      </c>
      <c r="O345" s="5" t="str">
        <f>IFERROR(__xludf.DUMMYFUNCTION("IF(REGEXMATCH(TRIM(I345), ""^\d+\s*min""), ""Unclassified"", IF(I345 = """", ""NR"", I345))"),"PG-13")</f>
        <v>PG-13</v>
      </c>
      <c r="R345" s="5" t="str">
        <f t="shared" si="2"/>
        <v>My Girl</v>
      </c>
      <c r="S345" s="5" t="str">
        <f>IFERROR(__xludf.DUMMYFUNCTION("""COMPUTED_VALUE"""),"After Life")</f>
        <v>After Life</v>
      </c>
      <c r="T345" s="5" t="str">
        <f>IFERROR(__xludf.DUMMYFUNCTION("""COMPUTED_VALUE"""),"Mexico, Finland")</f>
        <v>Mexico, Finland</v>
      </c>
      <c r="U345" s="5" t="str">
        <f>IFERROR(__xludf.DUMMYFUNCTION("""COMPUTED_VALUE"""),"Trevor Nunn")</f>
        <v>Trevor Nunn</v>
      </c>
      <c r="V345" s="5" t="s">
        <v>2238</v>
      </c>
      <c r="W345" s="5" t="str">
        <f t="shared" si="3"/>
        <v>Anthony Caronna, Alexander Smith</v>
      </c>
      <c r="X345" s="5">
        <f t="shared" si="4"/>
        <v>1</v>
      </c>
      <c r="Y345" s="5" t="str">
        <f>IFERROR(__xludf.DUMMYFUNCTION("REGEXEXTRACT(J345, ""^\d+"")"),"102")</f>
        <v>102</v>
      </c>
      <c r="Z345" s="5" t="str">
        <f>IFERROR(__xludf.DUMMYFUNCTION("REGEXEXTRACT(J345, ""[A-Za-z ]+$"")")," min")</f>
        <v> min</v>
      </c>
      <c r="AA345" s="5" t="str">
        <f>IFERROR(__xludf.DUMMYFUNCTION("IF(REGEXMATCH(Z345, ""Season""), ""TV Show"", ""Movie"")"),"Movie")</f>
        <v>Movie</v>
      </c>
    </row>
    <row r="346">
      <c r="A346" s="1" t="s">
        <v>2239</v>
      </c>
      <c r="B346" s="1" t="s">
        <v>27</v>
      </c>
      <c r="C346" s="1" t="s">
        <v>2240</v>
      </c>
      <c r="D346" s="1" t="s">
        <v>2235</v>
      </c>
      <c r="E346" s="1" t="s">
        <v>2241</v>
      </c>
      <c r="F346" s="1" t="s">
        <v>30</v>
      </c>
      <c r="G346" s="1" t="s">
        <v>2114</v>
      </c>
      <c r="H346" s="1">
        <v>1994.0</v>
      </c>
      <c r="I346" s="1" t="s">
        <v>78</v>
      </c>
      <c r="J346" s="1" t="s">
        <v>416</v>
      </c>
      <c r="K346" s="1" t="s">
        <v>2242</v>
      </c>
      <c r="L346" s="1" t="s">
        <v>2243</v>
      </c>
      <c r="M346" s="2" t="s">
        <v>12</v>
      </c>
      <c r="N346" s="4">
        <f t="shared" si="1"/>
        <v>44409</v>
      </c>
      <c r="O346" s="5" t="str">
        <f>IFERROR(__xludf.DUMMYFUNCTION("IF(REGEXMATCH(TRIM(I346), ""^\d+\s*min""), ""Unclassified"", IF(I346 = """", ""NR"", I346))"),"PG")</f>
        <v>PG</v>
      </c>
      <c r="R346" s="5" t="str">
        <f t="shared" si="2"/>
        <v>My Girl 2</v>
      </c>
      <c r="S346" s="5" t="str">
        <f>IFERROR(__xludf.DUMMYFUNCTION("""COMPUTED_VALUE"""),"After Maria")</f>
        <v>After Maria</v>
      </c>
      <c r="T346" s="5" t="str">
        <f>IFERROR(__xludf.DUMMYFUNCTION("""COMPUTED_VALUE"""),"Mexico, France")</f>
        <v>Mexico, France</v>
      </c>
      <c r="U346" s="5" t="str">
        <f>IFERROR(__xludf.DUMMYFUNCTION("""COMPUTED_VALUE"""),"Gabriele Muccino")</f>
        <v>Gabriele Muccino</v>
      </c>
      <c r="V346" s="5" t="s">
        <v>2244</v>
      </c>
      <c r="W346" s="5" t="str">
        <f t="shared" si="3"/>
        <v>Anthony Chan</v>
      </c>
      <c r="X346" s="5">
        <f t="shared" si="4"/>
        <v>1</v>
      </c>
      <c r="Y346" s="5" t="str">
        <f>IFERROR(__xludf.DUMMYFUNCTION("REGEXEXTRACT(J346, ""^\d+"")"),"99")</f>
        <v>99</v>
      </c>
      <c r="Z346" s="5" t="str">
        <f>IFERROR(__xludf.DUMMYFUNCTION("REGEXEXTRACT(J346, ""[A-Za-z ]+$"")")," min")</f>
        <v> min</v>
      </c>
      <c r="AA346" s="5" t="str">
        <f>IFERROR(__xludf.DUMMYFUNCTION("IF(REGEXMATCH(Z346, ""Season""), ""TV Show"", ""Movie"")"),"Movie")</f>
        <v>Movie</v>
      </c>
    </row>
    <row r="347">
      <c r="A347" s="1" t="s">
        <v>2245</v>
      </c>
      <c r="B347" s="1" t="s">
        <v>27</v>
      </c>
      <c r="C347" s="1" t="s">
        <v>2246</v>
      </c>
      <c r="D347" s="1" t="s">
        <v>2247</v>
      </c>
      <c r="E347" s="1" t="s">
        <v>2248</v>
      </c>
      <c r="F347" s="1" t="s">
        <v>897</v>
      </c>
      <c r="G347" s="1" t="s">
        <v>2114</v>
      </c>
      <c r="H347" s="1">
        <v>2015.0</v>
      </c>
      <c r="I347" s="1" t="s">
        <v>78</v>
      </c>
      <c r="J347" s="1" t="s">
        <v>471</v>
      </c>
      <c r="K347" s="1" t="s">
        <v>137</v>
      </c>
      <c r="L347" s="1" t="s">
        <v>2249</v>
      </c>
      <c r="M347" s="2" t="s">
        <v>12</v>
      </c>
      <c r="N347" s="4">
        <f t="shared" si="1"/>
        <v>44409</v>
      </c>
      <c r="O347" s="5" t="str">
        <f>IFERROR(__xludf.DUMMYFUNCTION("IF(REGEXMATCH(TRIM(I347), ""^\d+\s*min""), ""Unclassified"", IF(I347 = """", ""NR"", I347))"),"PG")</f>
        <v>PG</v>
      </c>
      <c r="R347" s="5" t="str">
        <f t="shared" si="2"/>
        <v>Open Season: Scared Silly</v>
      </c>
      <c r="S347" s="5" t="str">
        <f>IFERROR(__xludf.DUMMYFUNCTION("""COMPUTED_VALUE"""),"After Porn Ends")</f>
        <v>After Porn Ends</v>
      </c>
      <c r="T347" s="5" t="str">
        <f>IFERROR(__xludf.DUMMYFUNCTION("""COMPUTED_VALUE"""),"Mexico, France, Colombia")</f>
        <v>Mexico, France, Colombia</v>
      </c>
      <c r="U347" s="5" t="str">
        <f>IFERROR(__xludf.DUMMYFUNCTION("""COMPUTED_VALUE"""),"Jim Field Smith")</f>
        <v>Jim Field Smith</v>
      </c>
      <c r="V347" s="5" t="s">
        <v>2250</v>
      </c>
      <c r="W347" s="5" t="str">
        <f t="shared" si="3"/>
        <v>Anthony D'Souza</v>
      </c>
      <c r="X347" s="5">
        <f t="shared" si="4"/>
        <v>2</v>
      </c>
      <c r="Y347" s="5" t="str">
        <f>IFERROR(__xludf.DUMMYFUNCTION("REGEXEXTRACT(J347, ""^\d+"")"),"85")</f>
        <v>85</v>
      </c>
      <c r="Z347" s="5" t="str">
        <f>IFERROR(__xludf.DUMMYFUNCTION("REGEXEXTRACT(J347, ""[A-Za-z ]+$"")")," min")</f>
        <v> min</v>
      </c>
      <c r="AA347" s="5" t="str">
        <f>IFERROR(__xludf.DUMMYFUNCTION("IF(REGEXMATCH(Z347, ""Season""), ""TV Show"", ""Movie"")"),"Movie")</f>
        <v>Movie</v>
      </c>
    </row>
    <row r="348">
      <c r="A348" s="1" t="s">
        <v>2251</v>
      </c>
      <c r="B348" s="1" t="s">
        <v>27</v>
      </c>
      <c r="C348" s="1" t="s">
        <v>2252</v>
      </c>
      <c r="D348" s="1" t="s">
        <v>2253</v>
      </c>
      <c r="E348" s="1" t="s">
        <v>2254</v>
      </c>
      <c r="F348" s="1" t="s">
        <v>30</v>
      </c>
      <c r="G348" s="1" t="s">
        <v>2114</v>
      </c>
      <c r="H348" s="1">
        <v>2008.0</v>
      </c>
      <c r="I348" s="1" t="s">
        <v>378</v>
      </c>
      <c r="J348" s="1" t="s">
        <v>1243</v>
      </c>
      <c r="K348" s="1" t="s">
        <v>973</v>
      </c>
      <c r="L348" s="1" t="s">
        <v>2255</v>
      </c>
      <c r="M348" s="2" t="s">
        <v>12</v>
      </c>
      <c r="N348" s="4">
        <f t="shared" si="1"/>
        <v>44409</v>
      </c>
      <c r="O348" s="5" t="str">
        <f>IFERROR(__xludf.DUMMYFUNCTION("IF(REGEXMATCH(TRIM(I348), ""^\d+\s*min""), ""Unclassified"", IF(I348 = """", ""NR"", I348))"),"R")</f>
        <v>R</v>
      </c>
      <c r="R348" s="5" t="str">
        <f t="shared" si="2"/>
        <v>Pineapple Express</v>
      </c>
      <c r="S348" s="5" t="str">
        <f>IFERROR(__xludf.DUMMYFUNCTION("""COMPUTED_VALUE"""),"After Porn Ends 3")</f>
        <v>After Porn Ends 3</v>
      </c>
      <c r="T348" s="5" t="str">
        <f>IFERROR(__xludf.DUMMYFUNCTION("""COMPUTED_VALUE"""),"Mexico, Netherlands")</f>
        <v>Mexico, Netherlands</v>
      </c>
      <c r="U348" s="5" t="str">
        <f>IFERROR(__xludf.DUMMYFUNCTION("""COMPUTED_VALUE"""),"Chris Koch")</f>
        <v>Chris Koch</v>
      </c>
      <c r="V348" s="5" t="s">
        <v>2256</v>
      </c>
      <c r="W348" s="5" t="str">
        <f t="shared" si="3"/>
        <v>Anthony Giordano</v>
      </c>
      <c r="X348" s="5">
        <f t="shared" si="4"/>
        <v>2</v>
      </c>
      <c r="Y348" s="5" t="str">
        <f>IFERROR(__xludf.DUMMYFUNCTION("REGEXEXTRACT(J348, ""^\d+"")"),"112")</f>
        <v>112</v>
      </c>
      <c r="Z348" s="5" t="str">
        <f>IFERROR(__xludf.DUMMYFUNCTION("REGEXEXTRACT(J348, ""[A-Za-z ]+$"")")," min")</f>
        <v> min</v>
      </c>
      <c r="AA348" s="5" t="str">
        <f>IFERROR(__xludf.DUMMYFUNCTION("IF(REGEXMATCH(Z348, ""Season""), ""TV Show"", ""Movie"")"),"Movie")</f>
        <v>Movie</v>
      </c>
    </row>
    <row r="349">
      <c r="A349" s="1" t="s">
        <v>2257</v>
      </c>
      <c r="B349" s="1" t="s">
        <v>27</v>
      </c>
      <c r="C349" s="1" t="s">
        <v>2258</v>
      </c>
      <c r="D349" s="1" t="s">
        <v>2259</v>
      </c>
      <c r="E349" s="1" t="s">
        <v>2260</v>
      </c>
      <c r="F349" s="1" t="s">
        <v>2261</v>
      </c>
      <c r="G349" s="1" t="s">
        <v>2114</v>
      </c>
      <c r="H349" s="1">
        <v>2009.0</v>
      </c>
      <c r="I349" s="1" t="s">
        <v>78</v>
      </c>
      <c r="J349" s="1" t="s">
        <v>79</v>
      </c>
      <c r="K349" s="1" t="s">
        <v>2155</v>
      </c>
      <c r="L349" s="1" t="s">
        <v>2262</v>
      </c>
      <c r="M349" s="2" t="s">
        <v>12</v>
      </c>
      <c r="N349" s="4">
        <f t="shared" si="1"/>
        <v>44409</v>
      </c>
      <c r="O349" s="5" t="str">
        <f>IFERROR(__xludf.DUMMYFUNCTION("IF(REGEXMATCH(TRIM(I349), ""^\d+\s*min""), ""Unclassified"", IF(I349 = """", ""NR"", I349))"),"PG")</f>
        <v>PG</v>
      </c>
      <c r="R349" s="5" t="str">
        <f t="shared" si="2"/>
        <v>Planet 51</v>
      </c>
      <c r="S349" s="5" t="str">
        <f>IFERROR(__xludf.DUMMYFUNCTION("""COMPUTED_VALUE"""),"After The Raid")</f>
        <v>After The Raid</v>
      </c>
      <c r="T349" s="5" t="str">
        <f>IFERROR(__xludf.DUMMYFUNCTION("""COMPUTED_VALUE"""),"Mexico, Spain")</f>
        <v>Mexico, Spain</v>
      </c>
      <c r="U349" s="5" t="str">
        <f>IFERROR(__xludf.DUMMYFUNCTION("""COMPUTED_VALUE"""),"J.J. Abrams")</f>
        <v>J.J. Abrams</v>
      </c>
      <c r="V349" s="5" t="s">
        <v>2263</v>
      </c>
      <c r="W349" s="5" t="str">
        <f t="shared" si="3"/>
        <v>Anthony Lucero</v>
      </c>
      <c r="X349" s="5">
        <f t="shared" si="4"/>
        <v>1</v>
      </c>
      <c r="Y349" s="5" t="str">
        <f>IFERROR(__xludf.DUMMYFUNCTION("REGEXEXTRACT(J349, ""^\d+"")"),"91")</f>
        <v>91</v>
      </c>
      <c r="Z349" s="5" t="str">
        <f>IFERROR(__xludf.DUMMYFUNCTION("REGEXEXTRACT(J349, ""[A-Za-z ]+$"")")," min")</f>
        <v> min</v>
      </c>
      <c r="AA349" s="5" t="str">
        <f>IFERROR(__xludf.DUMMYFUNCTION("IF(REGEXMATCH(Z349, ""Season""), ""TV Show"", ""Movie"")"),"Movie")</f>
        <v>Movie</v>
      </c>
    </row>
    <row r="350">
      <c r="A350" s="1" t="s">
        <v>2264</v>
      </c>
      <c r="B350" s="1" t="s">
        <v>27</v>
      </c>
      <c r="C350" s="1" t="s">
        <v>2265</v>
      </c>
      <c r="D350" s="1" t="s">
        <v>2266</v>
      </c>
      <c r="E350" s="1" t="s">
        <v>2267</v>
      </c>
      <c r="F350" s="1" t="s">
        <v>686</v>
      </c>
      <c r="G350" s="1" t="s">
        <v>2114</v>
      </c>
      <c r="H350" s="1">
        <v>2019.0</v>
      </c>
      <c r="I350" s="1" t="s">
        <v>32</v>
      </c>
      <c r="J350" s="1" t="s">
        <v>79</v>
      </c>
      <c r="K350" s="1" t="s">
        <v>239</v>
      </c>
      <c r="L350" s="1" t="s">
        <v>2268</v>
      </c>
      <c r="M350" s="2" t="s">
        <v>12</v>
      </c>
      <c r="N350" s="4">
        <f t="shared" si="1"/>
        <v>44409</v>
      </c>
      <c r="O350" s="5" t="str">
        <f>IFERROR(__xludf.DUMMYFUNCTION("IF(REGEXMATCH(TRIM(I350), ""^\d+\s*min""), ""Unclassified"", IF(I350 = """", ""NR"", I350))"),"PG-13")</f>
        <v>PG-13</v>
      </c>
      <c r="R350" s="5" t="str">
        <f t="shared" si="2"/>
        <v>Poms</v>
      </c>
      <c r="S350" s="5" t="str">
        <f>IFERROR(__xludf.DUMMYFUNCTION("""COMPUTED_VALUE"""),"After We Collided")</f>
        <v>After We Collided</v>
      </c>
      <c r="T350" s="5" t="str">
        <f>IFERROR(__xludf.DUMMYFUNCTION("""COMPUTED_VALUE"""),"Mexico, United States")</f>
        <v>Mexico, United States</v>
      </c>
      <c r="U350" s="5" t="str">
        <f>IFERROR(__xludf.DUMMYFUNCTION("""COMPUTED_VALUE"""),"Rob Minkoff")</f>
        <v>Rob Minkoff</v>
      </c>
      <c r="V350" s="5" t="s">
        <v>2269</v>
      </c>
      <c r="W350" s="5" t="str">
        <f t="shared" si="3"/>
        <v>Anthony Mandler</v>
      </c>
      <c r="X350" s="5">
        <f t="shared" si="4"/>
        <v>1</v>
      </c>
      <c r="Y350" s="5" t="str">
        <f>IFERROR(__xludf.DUMMYFUNCTION("REGEXEXTRACT(J350, ""^\d+"")"),"91")</f>
        <v>91</v>
      </c>
      <c r="Z350" s="5" t="str">
        <f>IFERROR(__xludf.DUMMYFUNCTION("REGEXEXTRACT(J350, ""[A-Za-z ]+$"")")," min")</f>
        <v> min</v>
      </c>
      <c r="AA350" s="5" t="str">
        <f>IFERROR(__xludf.DUMMYFUNCTION("IF(REGEXMATCH(Z350, ""Season""), ""TV Show"", ""Movie"")"),"Movie")</f>
        <v>Movie</v>
      </c>
    </row>
    <row r="351">
      <c r="A351" s="1" t="s">
        <v>2270</v>
      </c>
      <c r="B351" s="1" t="s">
        <v>27</v>
      </c>
      <c r="C351" s="1" t="s">
        <v>2271</v>
      </c>
      <c r="D351" s="1" t="s">
        <v>2272</v>
      </c>
      <c r="E351" s="1" t="s">
        <v>2273</v>
      </c>
      <c r="F351" s="1" t="s">
        <v>30</v>
      </c>
      <c r="G351" s="1" t="s">
        <v>2114</v>
      </c>
      <c r="H351" s="1">
        <v>2003.0</v>
      </c>
      <c r="I351" s="1" t="s">
        <v>32</v>
      </c>
      <c r="J351" s="1" t="s">
        <v>2274</v>
      </c>
      <c r="K351" s="1" t="s">
        <v>2275</v>
      </c>
      <c r="L351" s="1" t="s">
        <v>2276</v>
      </c>
      <c r="M351" s="2" t="s">
        <v>12</v>
      </c>
      <c r="N351" s="4">
        <f t="shared" si="1"/>
        <v>44409</v>
      </c>
      <c r="O351" s="5" t="str">
        <f>IFERROR(__xludf.DUMMYFUNCTION("IF(REGEXMATCH(TRIM(I351), ""^\d+\s*min""), ""Unclassified"", IF(I351 = """", ""NR"", I351))"),"PG-13")</f>
        <v>PG-13</v>
      </c>
      <c r="R351" s="5" t="str">
        <f t="shared" si="2"/>
        <v>Seabiscuit</v>
      </c>
      <c r="S351" s="5" t="str">
        <f>IFERROR(__xludf.DUMMYFUNCTION("""COMPUTED_VALUE"""),"Afterlife Of The Party")</f>
        <v>Afterlife Of The Party</v>
      </c>
      <c r="T351" s="5" t="str">
        <f>IFERROR(__xludf.DUMMYFUNCTION("""COMPUTED_VALUE"""),"Mexico, United States, Spain, Colombia")</f>
        <v>Mexico, United States, Spain, Colombia</v>
      </c>
      <c r="U351" s="5" t="str">
        <f>IFERROR(__xludf.DUMMYFUNCTION("""COMPUTED_VALUE"""),"Lynn Shelton")</f>
        <v>Lynn Shelton</v>
      </c>
      <c r="V351" s="5" t="s">
        <v>962</v>
      </c>
      <c r="W351" s="5" t="str">
        <f t="shared" si="3"/>
        <v>Anthony Minghella</v>
      </c>
      <c r="X351" s="5">
        <f t="shared" si="4"/>
        <v>2</v>
      </c>
      <c r="Y351" s="5" t="str">
        <f>IFERROR(__xludf.DUMMYFUNCTION("REGEXEXTRACT(J351, ""^\d+"")"),"141")</f>
        <v>141</v>
      </c>
      <c r="Z351" s="5" t="str">
        <f>IFERROR(__xludf.DUMMYFUNCTION("REGEXEXTRACT(J351, ""[A-Za-z ]+$"")")," min")</f>
        <v> min</v>
      </c>
      <c r="AA351" s="5" t="str">
        <f>IFERROR(__xludf.DUMMYFUNCTION("IF(REGEXMATCH(Z351, ""Season""), ""TV Show"", ""Movie"")"),"Movie")</f>
        <v>Movie</v>
      </c>
    </row>
    <row r="352">
      <c r="A352" s="1" t="s">
        <v>2277</v>
      </c>
      <c r="B352" s="1" t="s">
        <v>27</v>
      </c>
      <c r="C352" s="1" t="s">
        <v>2278</v>
      </c>
      <c r="D352" s="1" t="s">
        <v>2279</v>
      </c>
      <c r="E352" s="1" t="s">
        <v>2280</v>
      </c>
      <c r="F352" s="1" t="s">
        <v>30</v>
      </c>
      <c r="G352" s="1" t="s">
        <v>2114</v>
      </c>
      <c r="H352" s="1">
        <v>2000.0</v>
      </c>
      <c r="I352" s="1" t="s">
        <v>32</v>
      </c>
      <c r="J352" s="1" t="s">
        <v>2281</v>
      </c>
      <c r="K352" s="1" t="s">
        <v>2282</v>
      </c>
      <c r="L352" s="1" t="s">
        <v>2283</v>
      </c>
      <c r="M352" s="2" t="s">
        <v>12</v>
      </c>
      <c r="N352" s="4">
        <f t="shared" si="1"/>
        <v>44409</v>
      </c>
      <c r="O352" s="5" t="str">
        <f>IFERROR(__xludf.DUMMYFUNCTION("IF(REGEXMATCH(TRIM(I352), ""^\d+\s*min""), ""Unclassified"", IF(I352 = """", ""NR"", I352))"),"PG-13")</f>
        <v>PG-13</v>
      </c>
      <c r="R352" s="5" t="str">
        <f t="shared" si="2"/>
        <v>Space Cowboys</v>
      </c>
      <c r="S352" s="5" t="str">
        <f>IFERROR(__xludf.DUMMYFUNCTION("""COMPUTED_VALUE"""),"Aftermath")</f>
        <v>Aftermath</v>
      </c>
      <c r="T352" s="5" t="str">
        <f>IFERROR(__xludf.DUMMYFUNCTION("""COMPUTED_VALUE"""),"Mozambique")</f>
        <v>Mozambique</v>
      </c>
      <c r="U352" s="5" t="str">
        <f>IFERROR(__xludf.DUMMYFUNCTION("""COMPUTED_VALUE"""),"Adam Mckay")</f>
        <v>Adam Mckay</v>
      </c>
      <c r="V352" s="5" t="s">
        <v>2284</v>
      </c>
      <c r="W352" s="5" t="str">
        <f t="shared" si="3"/>
        <v>Anthony Pierce</v>
      </c>
      <c r="X352" s="5">
        <f t="shared" si="4"/>
        <v>1</v>
      </c>
      <c r="Y352" s="5" t="str">
        <f>IFERROR(__xludf.DUMMYFUNCTION("REGEXEXTRACT(J352, ""^\d+"")"),"130")</f>
        <v>130</v>
      </c>
      <c r="Z352" s="5" t="str">
        <f>IFERROR(__xludf.DUMMYFUNCTION("REGEXEXTRACT(J352, ""[A-Za-z ]+$"")")," min")</f>
        <v> min</v>
      </c>
      <c r="AA352" s="5" t="str">
        <f>IFERROR(__xludf.DUMMYFUNCTION("IF(REGEXMATCH(Z352, ""Season""), ""TV Show"", ""Movie"")"),"Movie")</f>
        <v>Movie</v>
      </c>
    </row>
    <row r="353">
      <c r="A353" s="1" t="s">
        <v>2285</v>
      </c>
      <c r="B353" s="1" t="s">
        <v>27</v>
      </c>
      <c r="C353" s="1" t="s">
        <v>2286</v>
      </c>
      <c r="D353" s="1" t="s">
        <v>2287</v>
      </c>
      <c r="E353" s="1" t="s">
        <v>2288</v>
      </c>
      <c r="F353" s="1" t="s">
        <v>1205</v>
      </c>
      <c r="G353" s="1" t="s">
        <v>2114</v>
      </c>
      <c r="H353" s="1">
        <v>2004.0</v>
      </c>
      <c r="I353" s="1" t="s">
        <v>378</v>
      </c>
      <c r="J353" s="1" t="s">
        <v>357</v>
      </c>
      <c r="K353" s="1" t="s">
        <v>2289</v>
      </c>
      <c r="L353" s="1" t="s">
        <v>2290</v>
      </c>
      <c r="M353" s="2" t="s">
        <v>12</v>
      </c>
      <c r="N353" s="4">
        <f t="shared" si="1"/>
        <v>44409</v>
      </c>
      <c r="O353" s="5" t="str">
        <f>IFERROR(__xludf.DUMMYFUNCTION("IF(REGEXMATCH(TRIM(I353), ""^\d+\s*min""), ""Unclassified"", IF(I353 = """", ""NR"", I353))"),"R")</f>
        <v>R</v>
      </c>
      <c r="R353" s="5" t="str">
        <f t="shared" si="2"/>
        <v>Team America: World Police</v>
      </c>
      <c r="S353" s="5" t="str">
        <f>IFERROR(__xludf.DUMMYFUNCTION("""COMPUTED_VALUE"""),"Afterschool")</f>
        <v>Afterschool</v>
      </c>
      <c r="T353" s="5" t="str">
        <f>IFERROR(__xludf.DUMMYFUNCTION("""COMPUTED_VALUE"""),"Namibia")</f>
        <v>Namibia</v>
      </c>
      <c r="U353" s="5" t="str">
        <f>IFERROR(__xludf.DUMMYFUNCTION("""COMPUTED_VALUE"""),"Anton Corbijn")</f>
        <v>Anton Corbijn</v>
      </c>
      <c r="V353" s="5" t="s">
        <v>2291</v>
      </c>
      <c r="W353" s="5" t="str">
        <f t="shared" si="3"/>
        <v>Anthony Russo, Joe Russo</v>
      </c>
      <c r="X353" s="5">
        <f t="shared" si="4"/>
        <v>1</v>
      </c>
      <c r="Y353" s="5" t="str">
        <f>IFERROR(__xludf.DUMMYFUNCTION("REGEXEXTRACT(J353, ""^\d+"")"),"98")</f>
        <v>98</v>
      </c>
      <c r="Z353" s="5" t="str">
        <f>IFERROR(__xludf.DUMMYFUNCTION("REGEXEXTRACT(J353, ""[A-Za-z ]+$"")")," min")</f>
        <v> min</v>
      </c>
      <c r="AA353" s="5" t="str">
        <f>IFERROR(__xludf.DUMMYFUNCTION("IF(REGEXMATCH(Z353, ""Season""), ""TV Show"", ""Movie"")"),"Movie")</f>
        <v>Movie</v>
      </c>
    </row>
    <row r="354">
      <c r="A354" s="1" t="s">
        <v>2292</v>
      </c>
      <c r="B354" s="1" t="s">
        <v>27</v>
      </c>
      <c r="C354" s="1" t="s">
        <v>2293</v>
      </c>
      <c r="D354" s="1" t="s">
        <v>2294</v>
      </c>
      <c r="E354" s="1" t="s">
        <v>2295</v>
      </c>
      <c r="F354" s="1" t="s">
        <v>2296</v>
      </c>
      <c r="G354" s="1" t="s">
        <v>2114</v>
      </c>
      <c r="H354" s="1">
        <v>2016.0</v>
      </c>
      <c r="I354" s="1" t="s">
        <v>378</v>
      </c>
      <c r="J354" s="1" t="s">
        <v>305</v>
      </c>
      <c r="K354" s="1" t="s">
        <v>107</v>
      </c>
      <c r="L354" s="1" t="s">
        <v>2297</v>
      </c>
      <c r="M354" s="2" t="s">
        <v>12</v>
      </c>
      <c r="N354" s="4">
        <f t="shared" si="1"/>
        <v>44409</v>
      </c>
      <c r="O354" s="5" t="str">
        <f>IFERROR(__xludf.DUMMYFUNCTION("IF(REGEXMATCH(TRIM(I354), ""^\d+\s*min""), ""Unclassified"", IF(I354 = """", ""NR"", I354))"),"R")</f>
        <v>R</v>
      </c>
      <c r="R354" s="5" t="str">
        <f t="shared" si="2"/>
        <v>The Edge Of Seventeen</v>
      </c>
      <c r="S354" s="5" t="str">
        <f>IFERROR(__xludf.DUMMYFUNCTION("""COMPUTED_VALUE"""),"Aftershock")</f>
        <v>Aftershock</v>
      </c>
      <c r="T354" s="5" t="str">
        <f>IFERROR(__xludf.DUMMYFUNCTION("""COMPUTED_VALUE"""),"Netherlands")</f>
        <v>Netherlands</v>
      </c>
      <c r="U354" s="5" t="str">
        <f>IFERROR(__xludf.DUMMYFUNCTION("""COMPUTED_VALUE"""),"Robin Bissell")</f>
        <v>Robin Bissell</v>
      </c>
      <c r="V354" s="5" t="s">
        <v>2298</v>
      </c>
      <c r="W354" s="5" t="str">
        <f t="shared" si="3"/>
        <v>Anthony Scott Burns</v>
      </c>
      <c r="X354" s="5">
        <f t="shared" si="4"/>
        <v>1</v>
      </c>
      <c r="Y354" s="5" t="str">
        <f>IFERROR(__xludf.DUMMYFUNCTION("REGEXEXTRACT(J354, ""^\d+"")"),"105")</f>
        <v>105</v>
      </c>
      <c r="Z354" s="5" t="str">
        <f>IFERROR(__xludf.DUMMYFUNCTION("REGEXEXTRACT(J354, ""[A-Za-z ]+$"")")," min")</f>
        <v> min</v>
      </c>
      <c r="AA354" s="5" t="str">
        <f>IFERROR(__xludf.DUMMYFUNCTION("IF(REGEXMATCH(Z354, ""Season""), ""TV Show"", ""Movie"")"),"Movie")</f>
        <v>Movie</v>
      </c>
    </row>
    <row r="355">
      <c r="A355" s="1" t="s">
        <v>2299</v>
      </c>
      <c r="B355" s="1" t="s">
        <v>27</v>
      </c>
      <c r="C355" s="1" t="s">
        <v>2300</v>
      </c>
      <c r="D355" s="1" t="s">
        <v>2301</v>
      </c>
      <c r="E355" s="1" t="s">
        <v>2302</v>
      </c>
      <c r="F355" s="1" t="s">
        <v>30</v>
      </c>
      <c r="G355" s="1" t="s">
        <v>2114</v>
      </c>
      <c r="H355" s="1">
        <v>2013.0</v>
      </c>
      <c r="I355" s="1" t="s">
        <v>378</v>
      </c>
      <c r="J355" s="1" t="s">
        <v>1091</v>
      </c>
      <c r="K355" s="1" t="s">
        <v>1551</v>
      </c>
      <c r="L355" s="1" t="s">
        <v>2303</v>
      </c>
      <c r="M355" s="2" t="s">
        <v>12</v>
      </c>
      <c r="N355" s="4">
        <f t="shared" si="1"/>
        <v>44409</v>
      </c>
      <c r="O355" s="5" t="str">
        <f>IFERROR(__xludf.DUMMYFUNCTION("IF(REGEXMATCH(TRIM(I355), ""^\d+\s*min""), ""Unclassified"", IF(I355 = """", ""NR"", I355))"),"R")</f>
        <v>R</v>
      </c>
      <c r="R355" s="5" t="str">
        <f t="shared" si="2"/>
        <v>The Haunting In Connecticut 2: Ghosts Of Georgia</v>
      </c>
      <c r="S355" s="5" t="str">
        <f>IFERROR(__xludf.DUMMYFUNCTION("""COMPUTED_VALUE"""),"Against The Tide")</f>
        <v>Against The Tide</v>
      </c>
      <c r="T355" s="5" t="str">
        <f>IFERROR(__xludf.DUMMYFUNCTION("""COMPUTED_VALUE"""),"Netherlands, Belgium")</f>
        <v>Netherlands, Belgium</v>
      </c>
      <c r="U355" s="5" t="str">
        <f>IFERROR(__xludf.DUMMYFUNCTION("""COMPUTED_VALUE"""),"David Fincher")</f>
        <v>David Fincher</v>
      </c>
      <c r="V355" s="5" t="s">
        <v>2304</v>
      </c>
      <c r="W355" s="5" t="str">
        <f t="shared" si="3"/>
        <v>Anthony Scott Burns, Nicholas Mccarthy, Adam Egypt Mortimer, Gary Shore, Kevin Smith, Sarah Adina Smith, Scott Stewart, Kevin Kolsch, Dennis Widmyer</v>
      </c>
      <c r="X355" s="5">
        <f t="shared" si="4"/>
        <v>1</v>
      </c>
      <c r="Y355" s="5" t="str">
        <f>IFERROR(__xludf.DUMMYFUNCTION("REGEXEXTRACT(J355, ""^\d+"")"),"101")</f>
        <v>101</v>
      </c>
      <c r="Z355" s="5" t="str">
        <f>IFERROR(__xludf.DUMMYFUNCTION("REGEXEXTRACT(J355, ""[A-Za-z ]+$"")")," min")</f>
        <v> min</v>
      </c>
      <c r="AA355" s="5" t="str">
        <f>IFERROR(__xludf.DUMMYFUNCTION("IF(REGEXMATCH(Z355, ""Season""), ""TV Show"", ""Movie"")"),"Movie")</f>
        <v>Movie</v>
      </c>
    </row>
    <row r="356">
      <c r="A356" s="1" t="s">
        <v>2305</v>
      </c>
      <c r="B356" s="1" t="s">
        <v>27</v>
      </c>
      <c r="C356" s="1" t="s">
        <v>2306</v>
      </c>
      <c r="D356" s="1" t="s">
        <v>2307</v>
      </c>
      <c r="E356" s="1" t="s">
        <v>2308</v>
      </c>
      <c r="F356" s="1" t="s">
        <v>30</v>
      </c>
      <c r="G356" s="1" t="s">
        <v>2114</v>
      </c>
      <c r="H356" s="1">
        <v>1991.0</v>
      </c>
      <c r="I356" s="1" t="s">
        <v>378</v>
      </c>
      <c r="J356" s="1" t="s">
        <v>305</v>
      </c>
      <c r="K356" s="1" t="s">
        <v>973</v>
      </c>
      <c r="L356" s="1" t="s">
        <v>2309</v>
      </c>
      <c r="M356" s="2" t="s">
        <v>12</v>
      </c>
      <c r="N356" s="4">
        <f t="shared" si="1"/>
        <v>44409</v>
      </c>
      <c r="O356" s="5" t="str">
        <f>IFERROR(__xludf.DUMMYFUNCTION("IF(REGEXMATCH(TRIM(I356), ""^\d+\s*min""), ""Unclassified"", IF(I356 = """", ""NR"", I356))"),"R")</f>
        <v>R</v>
      </c>
      <c r="R356" s="5" t="str">
        <f t="shared" si="2"/>
        <v>The Last Boy Scout</v>
      </c>
      <c r="S356" s="5" t="str">
        <f>IFERROR(__xludf.DUMMYFUNCTION("""COMPUTED_VALUE"""),"Agatha And The Truth Of Murder")</f>
        <v>Agatha And The Truth Of Murder</v>
      </c>
      <c r="T356" s="5" t="str">
        <f>IFERROR(__xludf.DUMMYFUNCTION("""COMPUTED_VALUE"""),"Netherlands, Belgium, Germany, Jordan")</f>
        <v>Netherlands, Belgium, Germany, Jordan</v>
      </c>
      <c r="U356" s="5" t="str">
        <f>IFERROR(__xludf.DUMMYFUNCTION("""COMPUTED_VALUE"""),"John G. Avildsen")</f>
        <v>John G. Avildsen</v>
      </c>
      <c r="V356" s="5" t="s">
        <v>2310</v>
      </c>
      <c r="W356" s="5" t="str">
        <f t="shared" si="3"/>
        <v>Anthony Wonke</v>
      </c>
      <c r="X356" s="5">
        <f t="shared" si="4"/>
        <v>1</v>
      </c>
      <c r="Y356" s="5" t="str">
        <f>IFERROR(__xludf.DUMMYFUNCTION("REGEXEXTRACT(J356, ""^\d+"")"),"105")</f>
        <v>105</v>
      </c>
      <c r="Z356" s="5" t="str">
        <f>IFERROR(__xludf.DUMMYFUNCTION("REGEXEXTRACT(J356, ""[A-Za-z ]+$"")")," min")</f>
        <v> min</v>
      </c>
      <c r="AA356" s="5" t="str">
        <f>IFERROR(__xludf.DUMMYFUNCTION("IF(REGEXMATCH(Z356, ""Season""), ""TV Show"", ""Movie"")"),"Movie")</f>
        <v>Movie</v>
      </c>
    </row>
    <row r="357">
      <c r="A357" s="1" t="s">
        <v>2311</v>
      </c>
      <c r="B357" s="1" t="s">
        <v>27</v>
      </c>
      <c r="C357" s="1" t="s">
        <v>2312</v>
      </c>
      <c r="D357" s="1" t="s">
        <v>2313</v>
      </c>
      <c r="E357" s="1" t="s">
        <v>2314</v>
      </c>
      <c r="F357" s="1" t="s">
        <v>30</v>
      </c>
      <c r="G357" s="1" t="s">
        <v>2114</v>
      </c>
      <c r="H357" s="1">
        <v>2011.0</v>
      </c>
      <c r="I357" s="1" t="s">
        <v>378</v>
      </c>
      <c r="J357" s="1" t="s">
        <v>870</v>
      </c>
      <c r="K357" s="1" t="s">
        <v>394</v>
      </c>
      <c r="L357" s="1" t="s">
        <v>2315</v>
      </c>
      <c r="M357" s="2" t="s">
        <v>12</v>
      </c>
      <c r="N357" s="4">
        <f t="shared" si="1"/>
        <v>44409</v>
      </c>
      <c r="O357" s="5" t="str">
        <f>IFERROR(__xludf.DUMMYFUNCTION("IF(REGEXMATCH(TRIM(I357), ""^\d+\s*min""), ""Unclassified"", IF(I357 = """", ""NR"", I357))"),"R")</f>
        <v>R</v>
      </c>
      <c r="R357" s="5" t="str">
        <f t="shared" si="2"/>
        <v>The Lincoln Lawyer</v>
      </c>
      <c r="S357" s="5" t="str">
        <f>IFERROR(__xludf.DUMMYFUNCTION("""COMPUTED_VALUE"""),"Agatha Christie'S Crooked House")</f>
        <v>Agatha Christie'S Crooked House</v>
      </c>
      <c r="T357" s="5" t="str">
        <f>IFERROR(__xludf.DUMMYFUNCTION("""COMPUTED_VALUE"""),"Netherlands, Belgium, United Kingdom, United States")</f>
        <v>Netherlands, Belgium, United Kingdom, United States</v>
      </c>
      <c r="U357" s="5" t="str">
        <f>IFERROR(__xludf.DUMMYFUNCTION("""COMPUTED_VALUE"""),"Alan Parker")</f>
        <v>Alan Parker</v>
      </c>
      <c r="V357" s="5" t="s">
        <v>2316</v>
      </c>
      <c r="W357" s="5" t="str">
        <f t="shared" si="3"/>
        <v>Antoine Bardou-Jacquet</v>
      </c>
      <c r="X357" s="5">
        <f t="shared" si="4"/>
        <v>1</v>
      </c>
      <c r="Y357" s="5" t="str">
        <f>IFERROR(__xludf.DUMMYFUNCTION("REGEXEXTRACT(J357, ""^\d+"")"),"118")</f>
        <v>118</v>
      </c>
      <c r="Z357" s="5" t="str">
        <f>IFERROR(__xludf.DUMMYFUNCTION("REGEXEXTRACT(J357, ""[A-Za-z ]+$"")")," min")</f>
        <v> min</v>
      </c>
      <c r="AA357" s="5" t="str">
        <f>IFERROR(__xludf.DUMMYFUNCTION("IF(REGEXMATCH(Z357, ""Season""), ""TV Show"", ""Movie"")"),"Movie")</f>
        <v>Movie</v>
      </c>
    </row>
    <row r="358">
      <c r="A358" s="1" t="s">
        <v>2317</v>
      </c>
      <c r="B358" s="1" t="s">
        <v>27</v>
      </c>
      <c r="C358" s="1" t="s">
        <v>2318</v>
      </c>
      <c r="D358" s="1" t="s">
        <v>2319</v>
      </c>
      <c r="E358" s="1" t="s">
        <v>2320</v>
      </c>
      <c r="F358" s="1" t="s">
        <v>2321</v>
      </c>
      <c r="G358" s="1" t="s">
        <v>2114</v>
      </c>
      <c r="H358" s="1">
        <v>2010.0</v>
      </c>
      <c r="I358" s="1" t="s">
        <v>32</v>
      </c>
      <c r="J358" s="1" t="s">
        <v>247</v>
      </c>
      <c r="K358" s="1" t="s">
        <v>380</v>
      </c>
      <c r="L358" s="1" t="s">
        <v>2322</v>
      </c>
      <c r="M358" s="2" t="s">
        <v>12</v>
      </c>
      <c r="N358" s="4">
        <f t="shared" si="1"/>
        <v>44409</v>
      </c>
      <c r="O358" s="5" t="str">
        <f>IFERROR(__xludf.DUMMYFUNCTION("IF(REGEXMATCH(TRIM(I358), ""^\d+\s*min""), ""Unclassified"", IF(I358 = """", ""NR"", I358))"),"PG-13")</f>
        <v>PG-13</v>
      </c>
      <c r="R358" s="5" t="str">
        <f t="shared" si="2"/>
        <v>The Losers</v>
      </c>
      <c r="S358" s="5" t="str">
        <f>IFERROR(__xludf.DUMMYFUNCTION("""COMPUTED_VALUE"""),"Age Gap Love")</f>
        <v>Age Gap Love</v>
      </c>
      <c r="T358" s="5" t="str">
        <f>IFERROR(__xludf.DUMMYFUNCTION("""COMPUTED_VALUE"""),"Netherlands, Denmark, France, Germany")</f>
        <v>Netherlands, Denmark, France, Germany</v>
      </c>
      <c r="U358" s="5" t="str">
        <f>IFERROR(__xludf.DUMMYFUNCTION("""COMPUTED_VALUE"""),"Walter Hill")</f>
        <v>Walter Hill</v>
      </c>
      <c r="V358" s="5" t="s">
        <v>391</v>
      </c>
      <c r="W358" s="5" t="str">
        <f t="shared" si="3"/>
        <v>Antoine Fuqua</v>
      </c>
      <c r="X358" s="5">
        <f t="shared" si="4"/>
        <v>4</v>
      </c>
      <c r="Y358" s="5" t="str">
        <f>IFERROR(__xludf.DUMMYFUNCTION("REGEXEXTRACT(J358, ""^\d+"")"),"97")</f>
        <v>97</v>
      </c>
      <c r="Z358" s="5" t="str">
        <f>IFERROR(__xludf.DUMMYFUNCTION("REGEXEXTRACT(J358, ""[A-Za-z ]+$"")")," min")</f>
        <v> min</v>
      </c>
      <c r="AA358" s="5" t="str">
        <f>IFERROR(__xludf.DUMMYFUNCTION("IF(REGEXMATCH(Z358, ""Season""), ""TV Show"", ""Movie"")"),"Movie")</f>
        <v>Movie</v>
      </c>
    </row>
    <row r="359">
      <c r="A359" s="1" t="s">
        <v>2323</v>
      </c>
      <c r="B359" s="1" t="s">
        <v>27</v>
      </c>
      <c r="C359" s="1" t="s">
        <v>2324</v>
      </c>
      <c r="D359" s="1" t="s">
        <v>1508</v>
      </c>
      <c r="E359" s="1" t="s">
        <v>2325</v>
      </c>
      <c r="F359" s="1" t="s">
        <v>2326</v>
      </c>
      <c r="G359" s="1" t="s">
        <v>2114</v>
      </c>
      <c r="H359" s="1">
        <v>2004.0</v>
      </c>
      <c r="I359" s="1" t="s">
        <v>378</v>
      </c>
      <c r="J359" s="1" t="s">
        <v>447</v>
      </c>
      <c r="K359" s="1" t="s">
        <v>2327</v>
      </c>
      <c r="L359" s="1" t="s">
        <v>2328</v>
      </c>
      <c r="M359" s="2" t="s">
        <v>12</v>
      </c>
      <c r="N359" s="4">
        <f t="shared" si="1"/>
        <v>44409</v>
      </c>
      <c r="O359" s="5" t="str">
        <f>IFERROR(__xludf.DUMMYFUNCTION("IF(REGEXMATCH(TRIM(I359), ""^\d+\s*min""), ""Unclassified"", IF(I359 = """", ""NR"", I359))"),"R")</f>
        <v>R</v>
      </c>
      <c r="R359" s="5" t="str">
        <f t="shared" si="2"/>
        <v>The Machinist</v>
      </c>
      <c r="S359" s="5" t="str">
        <f>IFERROR(__xludf.DUMMYFUNCTION("""COMPUTED_VALUE"""),"Age Of Glory")</f>
        <v>Age Of Glory</v>
      </c>
      <c r="T359" s="5" t="str">
        <f>IFERROR(__xludf.DUMMYFUNCTION("""COMPUTED_VALUE"""),"Netherlands, Denmark, South Africa")</f>
        <v>Netherlands, Denmark, South Africa</v>
      </c>
      <c r="U359" s="5" t="str">
        <f>IFERROR(__xludf.DUMMYFUNCTION("""COMPUTED_VALUE"""),"Stephen Frears")</f>
        <v>Stephen Frears</v>
      </c>
      <c r="V359" s="5" t="s">
        <v>2329</v>
      </c>
      <c r="W359" s="5" t="str">
        <f t="shared" si="3"/>
        <v>Antoinette Jadaone</v>
      </c>
      <c r="X359" s="5">
        <f t="shared" si="4"/>
        <v>5</v>
      </c>
      <c r="Y359" s="5" t="str">
        <f>IFERROR(__xludf.DUMMYFUNCTION("REGEXEXTRACT(J359, ""^\d+"")"),"102")</f>
        <v>102</v>
      </c>
      <c r="Z359" s="5" t="str">
        <f>IFERROR(__xludf.DUMMYFUNCTION("REGEXEXTRACT(J359, ""[A-Za-z ]+$"")")," min")</f>
        <v> min</v>
      </c>
      <c r="AA359" s="5" t="str">
        <f>IFERROR(__xludf.DUMMYFUNCTION("IF(REGEXMATCH(Z359, ""Season""), ""TV Show"", ""Movie"")"),"Movie")</f>
        <v>Movie</v>
      </c>
    </row>
    <row r="360">
      <c r="A360" s="1" t="s">
        <v>2330</v>
      </c>
      <c r="B360" s="1" t="s">
        <v>27</v>
      </c>
      <c r="C360" s="1" t="s">
        <v>2331</v>
      </c>
      <c r="D360" s="1" t="s">
        <v>2332</v>
      </c>
      <c r="E360" s="1" t="s">
        <v>2333</v>
      </c>
      <c r="F360" s="1" t="s">
        <v>30</v>
      </c>
      <c r="G360" s="1" t="s">
        <v>2114</v>
      </c>
      <c r="H360" s="1">
        <v>1995.0</v>
      </c>
      <c r="I360" s="1" t="s">
        <v>32</v>
      </c>
      <c r="J360" s="1" t="s">
        <v>835</v>
      </c>
      <c r="K360" s="1" t="s">
        <v>171</v>
      </c>
      <c r="L360" s="1" t="s">
        <v>2334</v>
      </c>
      <c r="M360" s="2" t="s">
        <v>12</v>
      </c>
      <c r="N360" s="4">
        <f t="shared" si="1"/>
        <v>44409</v>
      </c>
      <c r="O360" s="5" t="str">
        <f>IFERROR(__xludf.DUMMYFUNCTION("IF(REGEXMATCH(TRIM(I360), ""^\d+\s*min""), ""Unclassified"", IF(I360 = """", ""NR"", I360))"),"PG-13")</f>
        <v>PG-13</v>
      </c>
      <c r="R360" s="5" t="str">
        <f t="shared" si="2"/>
        <v>The Net</v>
      </c>
      <c r="S360" s="5" t="str">
        <f>IFERROR(__xludf.DUMMYFUNCTION("""COMPUTED_VALUE"""),"Age Of Rebellion")</f>
        <v>Age Of Rebellion</v>
      </c>
      <c r="T360" s="5" t="str">
        <f>IFERROR(__xludf.DUMMYFUNCTION("""COMPUTED_VALUE"""),"Netherlands, Germany, Denmark, United Kingdom")</f>
        <v>Netherlands, Germany, Denmark, United Kingdom</v>
      </c>
      <c r="U360" s="5" t="str">
        <f>IFERROR(__xludf.DUMMYFUNCTION("""COMPUTED_VALUE"""),"Bryan Bertino")</f>
        <v>Bryan Bertino</v>
      </c>
      <c r="V360" s="5" t="s">
        <v>2335</v>
      </c>
      <c r="W360" s="5" t="str">
        <f t="shared" si="3"/>
        <v>Anton Corbijn</v>
      </c>
      <c r="X360" s="5">
        <f t="shared" si="4"/>
        <v>1</v>
      </c>
      <c r="Y360" s="5" t="str">
        <f>IFERROR(__xludf.DUMMYFUNCTION("REGEXEXTRACT(J360, ""^\d+"")"),"114")</f>
        <v>114</v>
      </c>
      <c r="Z360" s="5" t="str">
        <f>IFERROR(__xludf.DUMMYFUNCTION("REGEXEXTRACT(J360, ""[A-Za-z ]+$"")")," min")</f>
        <v> min</v>
      </c>
      <c r="AA360" s="5" t="str">
        <f>IFERROR(__xludf.DUMMYFUNCTION("IF(REGEXMATCH(Z360, ""Season""), ""TV Show"", ""Movie"")"),"Movie")</f>
        <v>Movie</v>
      </c>
    </row>
    <row r="361">
      <c r="A361" s="1" t="s">
        <v>2336</v>
      </c>
      <c r="B361" s="1" t="s">
        <v>27</v>
      </c>
      <c r="C361" s="1" t="s">
        <v>2337</v>
      </c>
      <c r="D361" s="1" t="s">
        <v>983</v>
      </c>
      <c r="E361" s="1" t="s">
        <v>2338</v>
      </c>
      <c r="F361" s="1" t="s">
        <v>30</v>
      </c>
      <c r="G361" s="1" t="s">
        <v>2114</v>
      </c>
      <c r="H361" s="1">
        <v>2000.0</v>
      </c>
      <c r="I361" s="1" t="s">
        <v>378</v>
      </c>
      <c r="J361" s="1" t="s">
        <v>264</v>
      </c>
      <c r="K361" s="1" t="s">
        <v>1839</v>
      </c>
      <c r="L361" s="1" t="s">
        <v>2339</v>
      </c>
      <c r="M361" s="2" t="s">
        <v>12</v>
      </c>
      <c r="N361" s="4">
        <f t="shared" si="1"/>
        <v>44409</v>
      </c>
      <c r="O361" s="5" t="str">
        <f>IFERROR(__xludf.DUMMYFUNCTION("IF(REGEXMATCH(TRIM(I361), ""^\d+\s*min""), ""Unclassified"", IF(I361 = """", ""NR"", I361))"),"R")</f>
        <v>R</v>
      </c>
      <c r="R361" s="5" t="str">
        <f t="shared" si="2"/>
        <v>The Original Kings Of Comedy</v>
      </c>
      <c r="S361" s="5" t="str">
        <f>IFERROR(__xludf.DUMMYFUNCTION("""COMPUTED_VALUE"""),"Age Of Samurai: Battle For Japan")</f>
        <v>Age Of Samurai: Battle For Japan</v>
      </c>
      <c r="T361" s="5" t="str">
        <f>IFERROR(__xludf.DUMMYFUNCTION("""COMPUTED_VALUE"""),"Netherlands, Germany, Italy, Canada")</f>
        <v>Netherlands, Germany, Italy, Canada</v>
      </c>
      <c r="U361" s="5" t="str">
        <f>IFERROR(__xludf.DUMMYFUNCTION("""COMPUTED_VALUE"""),"Phil Alden Robinson")</f>
        <v>Phil Alden Robinson</v>
      </c>
      <c r="V361" s="5" t="s">
        <v>2340</v>
      </c>
      <c r="W361" s="5" t="str">
        <f t="shared" si="3"/>
        <v>Antoni Krauze</v>
      </c>
      <c r="X361" s="5">
        <f t="shared" si="4"/>
        <v>1</v>
      </c>
      <c r="Y361" s="5" t="str">
        <f>IFERROR(__xludf.DUMMYFUNCTION("REGEXEXTRACT(J361, ""^\d+"")"),"111")</f>
        <v>111</v>
      </c>
      <c r="Z361" s="5" t="str">
        <f>IFERROR(__xludf.DUMMYFUNCTION("REGEXEXTRACT(J361, ""[A-Za-z ]+$"")")," min")</f>
        <v> min</v>
      </c>
      <c r="AA361" s="5" t="str">
        <f>IFERROR(__xludf.DUMMYFUNCTION("IF(REGEXMATCH(Z361, ""Season""), ""TV Show"", ""Movie"")"),"Movie")</f>
        <v>Movie</v>
      </c>
    </row>
    <row r="362">
      <c r="A362" s="1" t="s">
        <v>2341</v>
      </c>
      <c r="B362" s="1" t="s">
        <v>27</v>
      </c>
      <c r="C362" s="1" t="s">
        <v>2342</v>
      </c>
      <c r="D362" s="1" t="s">
        <v>2343</v>
      </c>
      <c r="E362" s="1" t="s">
        <v>2344</v>
      </c>
      <c r="F362" s="1" t="s">
        <v>30</v>
      </c>
      <c r="G362" s="1" t="s">
        <v>2114</v>
      </c>
      <c r="H362" s="1">
        <v>2010.0</v>
      </c>
      <c r="I362" s="1" t="s">
        <v>32</v>
      </c>
      <c r="J362" s="1" t="s">
        <v>88</v>
      </c>
      <c r="K362" s="1" t="s">
        <v>813</v>
      </c>
      <c r="L362" s="1" t="s">
        <v>2345</v>
      </c>
      <c r="M362" s="2" t="s">
        <v>12</v>
      </c>
      <c r="N362" s="4">
        <f t="shared" si="1"/>
        <v>44409</v>
      </c>
      <c r="O362" s="5" t="str">
        <f>IFERROR(__xludf.DUMMYFUNCTION("IF(REGEXMATCH(TRIM(I362), ""^\d+\s*min""), ""Unclassified"", IF(I362 = """", ""NR"", I362))"),"PG-13")</f>
        <v>PG-13</v>
      </c>
      <c r="R362" s="5" t="str">
        <f t="shared" si="2"/>
        <v>Valentine'S Day</v>
      </c>
      <c r="S362" s="5" t="str">
        <f>IFERROR(__xludf.DUMMYFUNCTION("""COMPUTED_VALUE"""),"Age Of Tanks")</f>
        <v>Age Of Tanks</v>
      </c>
      <c r="T362" s="5" t="str">
        <f>IFERROR(__xludf.DUMMYFUNCTION("""COMPUTED_VALUE"""),"Netherlands, United States")</f>
        <v>Netherlands, United States</v>
      </c>
      <c r="U362" s="5" t="str">
        <f>IFERROR(__xludf.DUMMYFUNCTION("""COMPUTED_VALUE"""),"Florian Henckel Von Donnersmarck")</f>
        <v>Florian Henckel Von Donnersmarck</v>
      </c>
      <c r="V362" s="5" t="s">
        <v>2346</v>
      </c>
      <c r="W362" s="5" t="str">
        <f t="shared" si="3"/>
        <v>Antonin Baudry</v>
      </c>
      <c r="X362" s="5">
        <f t="shared" si="4"/>
        <v>1</v>
      </c>
      <c r="Y362" s="5" t="str">
        <f>IFERROR(__xludf.DUMMYFUNCTION("REGEXEXTRACT(J362, ""^\d+"")"),"125")</f>
        <v>125</v>
      </c>
      <c r="Z362" s="5" t="str">
        <f>IFERROR(__xludf.DUMMYFUNCTION("REGEXEXTRACT(J362, ""[A-Za-z ]+$"")")," min")</f>
        <v> min</v>
      </c>
      <c r="AA362" s="5" t="str">
        <f>IFERROR(__xludf.DUMMYFUNCTION("IF(REGEXMATCH(Z362, ""Season""), ""TV Show"", ""Movie"")"),"Movie")</f>
        <v>Movie</v>
      </c>
    </row>
    <row r="363">
      <c r="A363" s="1" t="s">
        <v>2347</v>
      </c>
      <c r="B363" s="1" t="s">
        <v>37</v>
      </c>
      <c r="C363" s="1" t="s">
        <v>2348</v>
      </c>
      <c r="E363" s="1" t="s">
        <v>2349</v>
      </c>
      <c r="F363" s="1" t="s">
        <v>30</v>
      </c>
      <c r="G363" s="1" t="s">
        <v>2350</v>
      </c>
      <c r="H363" s="1">
        <v>2021.0</v>
      </c>
      <c r="I363" s="1" t="s">
        <v>97</v>
      </c>
      <c r="J363" s="1" t="s">
        <v>276</v>
      </c>
      <c r="K363" s="1" t="s">
        <v>2351</v>
      </c>
      <c r="L363" s="1" t="s">
        <v>2352</v>
      </c>
      <c r="M363" s="2" t="s">
        <v>12</v>
      </c>
      <c r="N363" s="4">
        <f t="shared" si="1"/>
        <v>44408</v>
      </c>
      <c r="O363" s="5" t="str">
        <f>IFERROR(__xludf.DUMMYFUNCTION("IF(REGEXMATCH(TRIM(I363), ""^\d+\s*min""), ""Unclassified"", IF(I363 = """", ""NR"", I363))"),"TV-14")</f>
        <v>TV-14</v>
      </c>
      <c r="R363" s="5" t="str">
        <f t="shared" si="2"/>
        <v>Charmed</v>
      </c>
      <c r="S363" s="5" t="str">
        <f>IFERROR(__xludf.DUMMYFUNCTION("""COMPUTED_VALUE"""),"Agent")</f>
        <v>Agent</v>
      </c>
      <c r="T363" s="5" t="str">
        <f>IFERROR(__xludf.DUMMYFUNCTION("""COMPUTED_VALUE"""),"New Zealand")</f>
        <v>New Zealand</v>
      </c>
      <c r="U363" s="5" t="str">
        <f>IFERROR(__xludf.DUMMYFUNCTION("""COMPUTED_VALUE"""),"Len Wiseman")</f>
        <v>Len Wiseman</v>
      </c>
      <c r="V363" s="5" t="s">
        <v>2353</v>
      </c>
      <c r="W363" s="5" t="str">
        <f t="shared" si="3"/>
        <v>Antonio Campos</v>
      </c>
      <c r="X363" s="5">
        <f t="shared" si="4"/>
        <v>4</v>
      </c>
      <c r="Y363" s="5" t="str">
        <f>IFERROR(__xludf.DUMMYFUNCTION("REGEXEXTRACT(J363, ""^\d+"")"),"3")</f>
        <v>3</v>
      </c>
      <c r="Z363" s="5" t="str">
        <f>IFERROR(__xludf.DUMMYFUNCTION("REGEXEXTRACT(J363, ""[A-Za-z ]+$"")")," Seasons")</f>
        <v> Seasons</v>
      </c>
      <c r="AA363" s="5" t="str">
        <f>IFERROR(__xludf.DUMMYFUNCTION("IF(REGEXMATCH(Z363, ""Season""), ""TV Show"", ""Movie"")"),"TV Show")</f>
        <v>TV Show</v>
      </c>
    </row>
    <row r="364">
      <c r="A364" s="1" t="s">
        <v>2354</v>
      </c>
      <c r="B364" s="1" t="s">
        <v>27</v>
      </c>
      <c r="C364" s="1" t="s">
        <v>2355</v>
      </c>
      <c r="D364" s="1" t="s">
        <v>2356</v>
      </c>
      <c r="E364" s="1" t="s">
        <v>2357</v>
      </c>
      <c r="G364" s="1" t="s">
        <v>2350</v>
      </c>
      <c r="H364" s="1">
        <v>2018.0</v>
      </c>
      <c r="I364" s="1" t="s">
        <v>97</v>
      </c>
      <c r="J364" s="1" t="s">
        <v>1171</v>
      </c>
      <c r="K364" s="1" t="s">
        <v>128</v>
      </c>
      <c r="L364" s="1" t="s">
        <v>2358</v>
      </c>
      <c r="M364" s="2" t="s">
        <v>12</v>
      </c>
      <c r="N364" s="4">
        <f t="shared" si="1"/>
        <v>44408</v>
      </c>
      <c r="O364" s="5" t="str">
        <f>IFERROR(__xludf.DUMMYFUNCTION("IF(REGEXMATCH(TRIM(I364), ""^\d+\s*min""), ""Unclassified"", IF(I364 = """", ""NR"", I364))"),"TV-14")</f>
        <v>TV-14</v>
      </c>
      <c r="R364" s="5" t="str">
        <f t="shared" si="2"/>
        <v>The Lost Café</v>
      </c>
      <c r="S364" s="5" t="str">
        <f>IFERROR(__xludf.DUMMYFUNCTION("""COMPUTED_VALUE"""),"Agent Raghav")</f>
        <v>Agent Raghav</v>
      </c>
      <c r="T364" s="5" t="str">
        <f>IFERROR(__xludf.DUMMYFUNCTION("""COMPUTED_VALUE"""),"New Zealand, Australia, France, United States")</f>
        <v>New Zealand, Australia, France, United States</v>
      </c>
      <c r="U364" s="5" t="str">
        <f>IFERROR(__xludf.DUMMYFUNCTION("""COMPUTED_VALUE"""),"Måns Mårlind, Björn Stein")</f>
        <v>Måns Mårlind, Björn Stein</v>
      </c>
      <c r="V364" s="5" t="s">
        <v>2359</v>
      </c>
      <c r="W364" s="5" t="str">
        <f t="shared" si="3"/>
        <v>Antonio Chavarrías</v>
      </c>
      <c r="X364" s="5">
        <f t="shared" si="4"/>
        <v>1</v>
      </c>
      <c r="Y364" s="5" t="str">
        <f>IFERROR(__xludf.DUMMYFUNCTION("REGEXEXTRACT(J364, ""^\d+"")"),"76")</f>
        <v>76</v>
      </c>
      <c r="Z364" s="5" t="str">
        <f>IFERROR(__xludf.DUMMYFUNCTION("REGEXEXTRACT(J364, ""[A-Za-z ]+$"")")," min")</f>
        <v> min</v>
      </c>
      <c r="AA364" s="5" t="str">
        <f>IFERROR(__xludf.DUMMYFUNCTION("IF(REGEXMATCH(Z364, ""Season""), ""TV Show"", ""Movie"")"),"Movie")</f>
        <v>Movie</v>
      </c>
    </row>
    <row r="365">
      <c r="A365" s="1" t="s">
        <v>2360</v>
      </c>
      <c r="B365" s="1" t="s">
        <v>27</v>
      </c>
      <c r="C365" s="1" t="s">
        <v>2361</v>
      </c>
      <c r="D365" s="1" t="s">
        <v>2362</v>
      </c>
      <c r="E365" s="1" t="s">
        <v>2363</v>
      </c>
      <c r="G365" s="1" t="s">
        <v>2350</v>
      </c>
      <c r="H365" s="1">
        <v>2021.0</v>
      </c>
      <c r="I365" s="1" t="s">
        <v>378</v>
      </c>
      <c r="J365" s="1" t="s">
        <v>870</v>
      </c>
      <c r="K365" s="1" t="s">
        <v>2364</v>
      </c>
      <c r="L365" s="1" t="s">
        <v>2365</v>
      </c>
      <c r="M365" s="2" t="s">
        <v>12</v>
      </c>
      <c r="N365" s="4">
        <f t="shared" si="1"/>
        <v>44408</v>
      </c>
      <c r="O365" s="5" t="str">
        <f>IFERROR(__xludf.DUMMYFUNCTION("IF(REGEXMATCH(TRIM(I365), ""^\d+\s*min""), ""Unclassified"", IF(I365 = """", ""NR"", I365))"),"R")</f>
        <v>R</v>
      </c>
      <c r="R365" s="5" t="str">
        <f t="shared" si="2"/>
        <v>The Vault</v>
      </c>
      <c r="S365" s="5" t="str">
        <f>IFERROR(__xludf.DUMMYFUNCTION("""COMPUTED_VALUE"""),"Aggretsuko")</f>
        <v>Aggretsuko</v>
      </c>
      <c r="T365" s="5" t="str">
        <f>IFERROR(__xludf.DUMMYFUNCTION("""COMPUTED_VALUE"""),"New Zealand, United Kingdom")</f>
        <v>New Zealand, United Kingdom</v>
      </c>
      <c r="U365" s="5" t="str">
        <f>IFERROR(__xludf.DUMMYFUNCTION("""COMPUTED_VALUE"""),"Patrick Tatopoulos")</f>
        <v>Patrick Tatopoulos</v>
      </c>
      <c r="V365" s="5" t="s">
        <v>2366</v>
      </c>
      <c r="W365" s="5" t="str">
        <f t="shared" si="3"/>
        <v>Antonio Díaz</v>
      </c>
      <c r="X365" s="5">
        <f t="shared" si="4"/>
        <v>1</v>
      </c>
      <c r="Y365" s="5" t="str">
        <f>IFERROR(__xludf.DUMMYFUNCTION("REGEXEXTRACT(J365, ""^\d+"")"),"118")</f>
        <v>118</v>
      </c>
      <c r="Z365" s="5" t="str">
        <f>IFERROR(__xludf.DUMMYFUNCTION("REGEXEXTRACT(J365, ""[A-Za-z ]+$"")")," min")</f>
        <v> min</v>
      </c>
      <c r="AA365" s="5" t="str">
        <f>IFERROR(__xludf.DUMMYFUNCTION("IF(REGEXMATCH(Z365, ""Season""), ""TV Show"", ""Movie"")"),"Movie")</f>
        <v>Movie</v>
      </c>
    </row>
    <row r="366">
      <c r="A366" s="1" t="s">
        <v>2367</v>
      </c>
      <c r="B366" s="1" t="s">
        <v>37</v>
      </c>
      <c r="C366" s="1" t="s">
        <v>2368</v>
      </c>
      <c r="E366" s="1" t="s">
        <v>2369</v>
      </c>
      <c r="G366" s="1" t="s">
        <v>2370</v>
      </c>
      <c r="H366" s="1">
        <v>2021.0</v>
      </c>
      <c r="I366" s="1" t="s">
        <v>289</v>
      </c>
      <c r="J366" s="1" t="s">
        <v>51</v>
      </c>
      <c r="K366" s="1" t="s">
        <v>314</v>
      </c>
      <c r="L366" s="1" t="s">
        <v>2371</v>
      </c>
      <c r="M366" s="2" t="s">
        <v>12</v>
      </c>
      <c r="N366" s="4">
        <f t="shared" si="1"/>
        <v>44407</v>
      </c>
      <c r="O366" s="5" t="str">
        <f>IFERROR(__xludf.DUMMYFUNCTION("IF(REGEXMATCH(TRIM(I366), ""^\d+\s*min""), ""Unclassified"", IF(I366 = """", ""NR"", I366))"),"TV-Y7")</f>
        <v>TV-Y7</v>
      </c>
      <c r="R366" s="5" t="str">
        <f t="shared" si="2"/>
        <v>Centaurworld</v>
      </c>
      <c r="S366" s="5" t="str">
        <f>IFERROR(__xludf.DUMMYFUNCTION("""COMPUTED_VALUE"""),"Aggretsuko: We Wish You A Metal Christmas")</f>
        <v>Aggretsuko: We Wish You A Metal Christmas</v>
      </c>
      <c r="T366" s="5" t="str">
        <f>IFERROR(__xludf.DUMMYFUNCTION("""COMPUTED_VALUE"""),"New Zealand, United Kingdom, Australia")</f>
        <v>New Zealand, United Kingdom, Australia</v>
      </c>
      <c r="U366" s="5" t="str">
        <f>IFERROR(__xludf.DUMMYFUNCTION("""COMPUTED_VALUE"""),"Robert O. Peters")</f>
        <v>Robert O. Peters</v>
      </c>
      <c r="V366" s="5" t="s">
        <v>2372</v>
      </c>
      <c r="W366" s="5" t="str">
        <f t="shared" si="3"/>
        <v>Antonio Morabito</v>
      </c>
      <c r="X366" s="5">
        <f t="shared" si="4"/>
        <v>1</v>
      </c>
      <c r="Y366" s="5" t="str">
        <f>IFERROR(__xludf.DUMMYFUNCTION("REGEXEXTRACT(J366, ""^\d+"")"),"1")</f>
        <v>1</v>
      </c>
      <c r="Z366" s="5" t="str">
        <f>IFERROR(__xludf.DUMMYFUNCTION("REGEXEXTRACT(J366, ""[A-Za-z ]+$"")")," Season")</f>
        <v> Season</v>
      </c>
      <c r="AA366" s="5" t="str">
        <f>IFERROR(__xludf.DUMMYFUNCTION("IF(REGEXMATCH(Z366, ""Season""), ""TV Show"", ""Movie"")"),"TV Show")</f>
        <v>TV Show</v>
      </c>
    </row>
    <row r="367">
      <c r="A367" s="1" t="s">
        <v>2373</v>
      </c>
      <c r="B367" s="1" t="s">
        <v>27</v>
      </c>
      <c r="C367" s="1" t="s">
        <v>2374</v>
      </c>
      <c r="D367" s="1" t="s">
        <v>2375</v>
      </c>
      <c r="E367" s="1" t="s">
        <v>2376</v>
      </c>
      <c r="F367" s="1" t="s">
        <v>2377</v>
      </c>
      <c r="G367" s="1" t="s">
        <v>2370</v>
      </c>
      <c r="H367" s="1">
        <v>2014.0</v>
      </c>
      <c r="I367" s="1" t="s">
        <v>97</v>
      </c>
      <c r="J367" s="1" t="s">
        <v>238</v>
      </c>
      <c r="K367" s="1" t="s">
        <v>89</v>
      </c>
      <c r="L367" s="1" t="s">
        <v>2378</v>
      </c>
      <c r="M367" s="2" t="s">
        <v>12</v>
      </c>
      <c r="N367" s="4">
        <f t="shared" si="1"/>
        <v>44407</v>
      </c>
      <c r="O367" s="5" t="str">
        <f>IFERROR(__xludf.DUMMYFUNCTION("IF(REGEXMATCH(TRIM(I367), ""^\d+\s*min""), ""Unclassified"", IF(I367 = """", ""NR"", I367))"),"TV-14")</f>
        <v>TV-14</v>
      </c>
      <c r="R367" s="5" t="str">
        <f t="shared" si="2"/>
        <v>Eyes Of A Thief</v>
      </c>
      <c r="S367" s="5" t="str">
        <f>IFERROR(__xludf.DUMMYFUNCTION("""COMPUTED_VALUE"""),"Agneepath")</f>
        <v>Agneepath</v>
      </c>
      <c r="T367" s="5" t="str">
        <f>IFERROR(__xludf.DUMMYFUNCTION("""COMPUTED_VALUE"""),"New Zealand, United States")</f>
        <v>New Zealand, United States</v>
      </c>
      <c r="U367" s="5" t="str">
        <f>IFERROR(__xludf.DUMMYFUNCTION("""COMPUTED_VALUE"""),"Vincent Ward")</f>
        <v>Vincent Ward</v>
      </c>
      <c r="V367" s="5" t="s">
        <v>2379</v>
      </c>
      <c r="W367" s="5" t="str">
        <f t="shared" si="3"/>
        <v>Antonio Serrano</v>
      </c>
      <c r="X367" s="5">
        <f t="shared" si="4"/>
        <v>2</v>
      </c>
      <c r="Y367" s="5" t="str">
        <f>IFERROR(__xludf.DUMMYFUNCTION("REGEXEXTRACT(J367, ""^\d+"")"),"103")</f>
        <v>103</v>
      </c>
      <c r="Z367" s="5" t="str">
        <f>IFERROR(__xludf.DUMMYFUNCTION("REGEXEXTRACT(J367, ""[A-Za-z ]+$"")")," min")</f>
        <v> min</v>
      </c>
      <c r="AA367" s="5" t="str">
        <f>IFERROR(__xludf.DUMMYFUNCTION("IF(REGEXMATCH(Z367, ""Season""), ""TV Show"", ""Movie"")"),"Movie")</f>
        <v>Movie</v>
      </c>
    </row>
    <row r="368">
      <c r="A368" s="1" t="s">
        <v>2380</v>
      </c>
      <c r="B368" s="1" t="s">
        <v>37</v>
      </c>
      <c r="C368" s="1" t="s">
        <v>2381</v>
      </c>
      <c r="F368" s="1" t="s">
        <v>96</v>
      </c>
      <c r="G368" s="1" t="s">
        <v>2370</v>
      </c>
      <c r="H368" s="1">
        <v>2021.0</v>
      </c>
      <c r="I368" s="1" t="s">
        <v>97</v>
      </c>
      <c r="J368" s="1" t="s">
        <v>276</v>
      </c>
      <c r="K368" s="1" t="s">
        <v>2382</v>
      </c>
      <c r="L368" s="1" t="s">
        <v>2383</v>
      </c>
      <c r="M368" s="2" t="s">
        <v>12</v>
      </c>
      <c r="N368" s="4">
        <f t="shared" si="1"/>
        <v>44407</v>
      </c>
      <c r="O368" s="5" t="str">
        <f>IFERROR(__xludf.DUMMYFUNCTION("IF(REGEXMATCH(TRIM(I368), ""^\d+\s*min""), ""Unclassified"", IF(I368 = """", ""NR"", I368))"),"TV-14")</f>
        <v>TV-14</v>
      </c>
      <c r="R368" s="5" t="str">
        <f t="shared" si="2"/>
        <v>Glow Up</v>
      </c>
      <c r="S368" s="5" t="str">
        <f>IFERROR(__xludf.DUMMYFUNCTION("""COMPUTED_VALUE"""),"Agustín Aristarán: Soy Rada")</f>
        <v>Agustín Aristarán: Soy Rada</v>
      </c>
      <c r="T368" s="5" t="str">
        <f>IFERROR(__xludf.DUMMYFUNCTION("""COMPUTED_VALUE"""),"Nigeria")</f>
        <v>Nigeria</v>
      </c>
      <c r="U368" s="5" t="str">
        <f>IFERROR(__xludf.DUMMYFUNCTION("""COMPUTED_VALUE"""),"Gregory Nava")</f>
        <v>Gregory Nava</v>
      </c>
      <c r="V368" s="5" t="s">
        <v>2384</v>
      </c>
      <c r="W368" s="5" t="str">
        <f t="shared" si="3"/>
        <v>Anu Menon</v>
      </c>
      <c r="X368" s="5">
        <f t="shared" si="4"/>
        <v>1</v>
      </c>
      <c r="Y368" s="5" t="str">
        <f>IFERROR(__xludf.DUMMYFUNCTION("REGEXEXTRACT(J368, ""^\d+"")"),"3")</f>
        <v>3</v>
      </c>
      <c r="Z368" s="5" t="str">
        <f>IFERROR(__xludf.DUMMYFUNCTION("REGEXEXTRACT(J368, ""[A-Za-z ]+$"")")," Seasons")</f>
        <v> Seasons</v>
      </c>
      <c r="AA368" s="5" t="str">
        <f>IFERROR(__xludf.DUMMYFUNCTION("IF(REGEXMATCH(Z368, ""Season""), ""TV Show"", ""Movie"")"),"TV Show")</f>
        <v>TV Show</v>
      </c>
    </row>
    <row r="369">
      <c r="A369" s="1" t="s">
        <v>2385</v>
      </c>
      <c r="B369" s="1" t="s">
        <v>27</v>
      </c>
      <c r="C369" s="1" t="s">
        <v>2386</v>
      </c>
      <c r="D369" s="1" t="s">
        <v>2387</v>
      </c>
      <c r="E369" s="1" t="s">
        <v>2388</v>
      </c>
      <c r="G369" s="1" t="s">
        <v>2370</v>
      </c>
      <c r="H369" s="1">
        <v>2020.0</v>
      </c>
      <c r="I369" s="1" t="s">
        <v>97</v>
      </c>
      <c r="J369" s="1" t="s">
        <v>835</v>
      </c>
      <c r="K369" s="1" t="s">
        <v>156</v>
      </c>
      <c r="L369" s="1" t="s">
        <v>2389</v>
      </c>
      <c r="M369" s="2" t="s">
        <v>12</v>
      </c>
      <c r="N369" s="4">
        <f t="shared" si="1"/>
        <v>44407</v>
      </c>
      <c r="O369" s="5" t="str">
        <f>IFERROR(__xludf.DUMMYFUNCTION("IF(REGEXMATCH(TRIM(I369), ""^\d+\s*min""), ""Unclassified"", IF(I369 = """", ""NR"", I369))"),"TV-14")</f>
        <v>TV-14</v>
      </c>
      <c r="R369" s="5" t="str">
        <f t="shared" si="2"/>
        <v>I'M Glad I Did</v>
      </c>
      <c r="S369" s="5" t="str">
        <f>IFERROR(__xludf.DUMMYFUNCTION("""COMPUTED_VALUE"""),"Agyaat")</f>
        <v>Agyaat</v>
      </c>
      <c r="T369" s="5" t="str">
        <f>IFERROR(__xludf.DUMMYFUNCTION("""COMPUTED_VALUE"""),"Nigeria, United Kingdom")</f>
        <v>Nigeria, United Kingdom</v>
      </c>
      <c r="U369" s="5" t="str">
        <f>IFERROR(__xludf.DUMMYFUNCTION("""COMPUTED_VALUE"""),"Mary Harron")</f>
        <v>Mary Harron</v>
      </c>
      <c r="V369" s="5" t="s">
        <v>2390</v>
      </c>
      <c r="W369" s="5" t="str">
        <f t="shared" si="3"/>
        <v>Anubhav Sinha</v>
      </c>
      <c r="X369" s="5">
        <f t="shared" si="4"/>
        <v>1</v>
      </c>
      <c r="Y369" s="5" t="str">
        <f>IFERROR(__xludf.DUMMYFUNCTION("REGEXEXTRACT(J369, ""^\d+"")"),"114")</f>
        <v>114</v>
      </c>
      <c r="Z369" s="5" t="str">
        <f>IFERROR(__xludf.DUMMYFUNCTION("REGEXEXTRACT(J369, ""[A-Za-z ]+$"")")," min")</f>
        <v> min</v>
      </c>
      <c r="AA369" s="5" t="str">
        <f>IFERROR(__xludf.DUMMYFUNCTION("IF(REGEXMATCH(Z369, ""Season""), ""TV Show"", ""Movie"")"),"Movie")</f>
        <v>Movie</v>
      </c>
    </row>
    <row r="370">
      <c r="A370" s="1" t="s">
        <v>2391</v>
      </c>
      <c r="B370" s="1" t="s">
        <v>37</v>
      </c>
      <c r="C370" s="1" t="s">
        <v>2392</v>
      </c>
      <c r="G370" s="1" t="s">
        <v>2370</v>
      </c>
      <c r="H370" s="1">
        <v>2009.0</v>
      </c>
      <c r="I370" s="1" t="s">
        <v>97</v>
      </c>
      <c r="J370" s="1" t="s">
        <v>51</v>
      </c>
      <c r="K370" s="1" t="s">
        <v>1520</v>
      </c>
      <c r="L370" s="1" t="s">
        <v>2393</v>
      </c>
      <c r="M370" s="2" t="s">
        <v>12</v>
      </c>
      <c r="N370" s="4">
        <f t="shared" si="1"/>
        <v>44407</v>
      </c>
      <c r="O370" s="5" t="str">
        <f>IFERROR(__xludf.DUMMYFUNCTION("IF(REGEXMATCH(TRIM(I370), ""^\d+\s*min""), ""Unclassified"", IF(I370 = """", ""NR"", I370))"),"TV-14")</f>
        <v>TV-14</v>
      </c>
      <c r="R370" s="5" t="str">
        <f t="shared" si="2"/>
        <v>Khawatir</v>
      </c>
      <c r="S370" s="5" t="str">
        <f>IFERROR(__xludf.DUMMYFUNCTION("""COMPUTED_VALUE"""),"Ahaan")</f>
        <v>Ahaan</v>
      </c>
      <c r="T370" s="5" t="str">
        <f>IFERROR(__xludf.DUMMYFUNCTION("""COMPUTED_VALUE"""),"Norway")</f>
        <v>Norway</v>
      </c>
      <c r="U370" s="5" t="str">
        <f>IFERROR(__xludf.DUMMYFUNCTION("""COMPUTED_VALUE"""),"Matt Thompson")</f>
        <v>Matt Thompson</v>
      </c>
      <c r="V370" s="5" t="s">
        <v>2394</v>
      </c>
      <c r="W370" s="5" t="str">
        <f t="shared" si="3"/>
        <v>Anurag Basu</v>
      </c>
      <c r="X370" s="5">
        <f t="shared" si="4"/>
        <v>4</v>
      </c>
      <c r="Y370" s="5" t="str">
        <f>IFERROR(__xludf.DUMMYFUNCTION("REGEXEXTRACT(J370, ""^\d+"")"),"1")</f>
        <v>1</v>
      </c>
      <c r="Z370" s="5" t="str">
        <f>IFERROR(__xludf.DUMMYFUNCTION("REGEXEXTRACT(J370, ""[A-Za-z ]+$"")")," Season")</f>
        <v> Season</v>
      </c>
      <c r="AA370" s="5" t="str">
        <f>IFERROR(__xludf.DUMMYFUNCTION("IF(REGEXMATCH(Z370, ""Season""), ""TV Show"", ""Movie"")"),"TV Show")</f>
        <v>TV Show</v>
      </c>
    </row>
    <row r="371">
      <c r="A371" s="1" t="s">
        <v>2395</v>
      </c>
      <c r="B371" s="1" t="s">
        <v>37</v>
      </c>
      <c r="C371" s="1" t="s">
        <v>2396</v>
      </c>
      <c r="G371" s="1" t="s">
        <v>2370</v>
      </c>
      <c r="H371" s="1">
        <v>2021.0</v>
      </c>
      <c r="I371" s="1" t="s">
        <v>97</v>
      </c>
      <c r="J371" s="1" t="s">
        <v>51</v>
      </c>
      <c r="K371" s="1" t="s">
        <v>142</v>
      </c>
      <c r="L371" s="1" t="s">
        <v>2397</v>
      </c>
      <c r="M371" s="2" t="s">
        <v>12</v>
      </c>
      <c r="N371" s="4">
        <f t="shared" si="1"/>
        <v>44407</v>
      </c>
      <c r="O371" s="5" t="str">
        <f>IFERROR(__xludf.DUMMYFUNCTION("IF(REGEXMATCH(TRIM(I371), ""^\d+\s*min""), ""Unclassified"", IF(I371 = """", ""NR"", I371))"),"TV-14")</f>
        <v>TV-14</v>
      </c>
      <c r="R371" s="5" t="str">
        <f t="shared" si="2"/>
        <v>Myth &amp; Mogul: John Delorean</v>
      </c>
      <c r="S371" s="5" t="str">
        <f>IFERROR(__xludf.DUMMYFUNCTION("""COMPUTED_VALUE"""),"Ahista Ahista")</f>
        <v>Ahista Ahista</v>
      </c>
      <c r="T371" s="5" t="str">
        <f>IFERROR(__xludf.DUMMYFUNCTION("""COMPUTED_VALUE"""),"Norway, Denmark")</f>
        <v>Norway, Denmark</v>
      </c>
      <c r="U371" s="5" t="str">
        <f>IFERROR(__xludf.DUMMYFUNCTION("""COMPUTED_VALUE"""),"Jameel Buari")</f>
        <v>Jameel Buari</v>
      </c>
      <c r="V371" s="5" t="s">
        <v>2398</v>
      </c>
      <c r="W371" s="5" t="str">
        <f t="shared" si="3"/>
        <v>Anurag Kashyap</v>
      </c>
      <c r="X371" s="5">
        <f t="shared" si="4"/>
        <v>5</v>
      </c>
      <c r="Y371" s="5" t="str">
        <f>IFERROR(__xludf.DUMMYFUNCTION("REGEXEXTRACT(J371, ""^\d+"")"),"1")</f>
        <v>1</v>
      </c>
      <c r="Z371" s="5" t="str">
        <f>IFERROR(__xludf.DUMMYFUNCTION("REGEXEXTRACT(J371, ""[A-Za-z ]+$"")")," Season")</f>
        <v> Season</v>
      </c>
      <c r="AA371" s="5" t="str">
        <f>IFERROR(__xludf.DUMMYFUNCTION("IF(REGEXMATCH(Z371, ""Season""), ""TV Show"", ""Movie"")"),"TV Show")</f>
        <v>TV Show</v>
      </c>
    </row>
    <row r="372">
      <c r="A372" s="1" t="s">
        <v>2399</v>
      </c>
      <c r="B372" s="1" t="s">
        <v>37</v>
      </c>
      <c r="C372" s="1" t="s">
        <v>2400</v>
      </c>
      <c r="E372" s="1" t="s">
        <v>2401</v>
      </c>
      <c r="F372" s="1" t="s">
        <v>30</v>
      </c>
      <c r="G372" s="1" t="s">
        <v>2370</v>
      </c>
      <c r="H372" s="1">
        <v>2021.0</v>
      </c>
      <c r="I372" s="1" t="s">
        <v>42</v>
      </c>
      <c r="J372" s="1" t="s">
        <v>43</v>
      </c>
      <c r="K372" s="1" t="s">
        <v>2402</v>
      </c>
      <c r="L372" s="1" t="s">
        <v>2403</v>
      </c>
      <c r="M372" s="2" t="s">
        <v>12</v>
      </c>
      <c r="N372" s="4">
        <f t="shared" si="1"/>
        <v>44407</v>
      </c>
      <c r="O372" s="5" t="str">
        <f>IFERROR(__xludf.DUMMYFUNCTION("IF(REGEXMATCH(TRIM(I372), ""^\d+\s*min""), ""Unclassified"", IF(I372 = """", ""NR"", I372))"),"TV-MA")</f>
        <v>TV-MA</v>
      </c>
      <c r="R372" s="5" t="str">
        <f t="shared" si="2"/>
        <v>Outer Banks</v>
      </c>
      <c r="S372" s="5" t="str">
        <f>IFERROR(__xludf.DUMMYFUNCTION("""COMPUTED_VALUE"""),"Ai Weiwei: Never Sorry")</f>
        <v>Ai Weiwei: Never Sorry</v>
      </c>
      <c r="T372" s="5" t="str">
        <f>IFERROR(__xludf.DUMMYFUNCTION("""COMPUTED_VALUE"""),"Norway, Denmark, Netherlands, Sweden")</f>
        <v>Norway, Denmark, Netherlands, Sweden</v>
      </c>
      <c r="U372" s="5" t="str">
        <f>IFERROR(__xludf.DUMMYFUNCTION("""COMPUTED_VALUE"""),"Shen Leping")</f>
        <v>Shen Leping</v>
      </c>
      <c r="V372" s="5" t="s">
        <v>2404</v>
      </c>
      <c r="W372" s="5" t="str">
        <f t="shared" si="3"/>
        <v>Anurag Kashyap, Dibakar Banerjee, Karan Johar, Zoya Akhtar</v>
      </c>
      <c r="X372" s="5">
        <f t="shared" si="4"/>
        <v>2</v>
      </c>
      <c r="Y372" s="5" t="str">
        <f>IFERROR(__xludf.DUMMYFUNCTION("REGEXEXTRACT(J372, ""^\d+"")"),"2")</f>
        <v>2</v>
      </c>
      <c r="Z372" s="5" t="str">
        <f>IFERROR(__xludf.DUMMYFUNCTION("REGEXEXTRACT(J372, ""[A-Za-z ]+$"")")," Seasons")</f>
        <v> Seasons</v>
      </c>
      <c r="AA372" s="5" t="str">
        <f>IFERROR(__xludf.DUMMYFUNCTION("IF(REGEXMATCH(Z372, ""Season""), ""TV Show"", ""Movie"")"),"TV Show")</f>
        <v>TV Show</v>
      </c>
    </row>
    <row r="373">
      <c r="A373" s="1" t="s">
        <v>2405</v>
      </c>
      <c r="B373" s="1" t="s">
        <v>27</v>
      </c>
      <c r="C373" s="1" t="s">
        <v>2406</v>
      </c>
      <c r="D373" s="1" t="s">
        <v>2375</v>
      </c>
      <c r="E373" s="1" t="s">
        <v>2407</v>
      </c>
      <c r="G373" s="1" t="s">
        <v>2370</v>
      </c>
      <c r="H373" s="1">
        <v>2009.0</v>
      </c>
      <c r="I373" s="1" t="s">
        <v>97</v>
      </c>
      <c r="J373" s="1" t="s">
        <v>465</v>
      </c>
      <c r="K373" s="1" t="s">
        <v>89</v>
      </c>
      <c r="L373" s="1" t="s">
        <v>2408</v>
      </c>
      <c r="M373" s="2" t="s">
        <v>12</v>
      </c>
      <c r="N373" s="4">
        <f t="shared" si="1"/>
        <v>44407</v>
      </c>
      <c r="O373" s="5" t="str">
        <f>IFERROR(__xludf.DUMMYFUNCTION("IF(REGEXMATCH(TRIM(I373), ""^\d+\s*min""), ""Unclassified"", IF(I373 = """", ""NR"", I373))"),"TV-14")</f>
        <v>TV-14</v>
      </c>
      <c r="R373" s="5" t="str">
        <f t="shared" si="2"/>
        <v>Pomegranates And Myrrh</v>
      </c>
      <c r="S373" s="5" t="str">
        <f>IFERROR(__xludf.DUMMYFUNCTION("""COMPUTED_VALUE"""),"Ainori Love Wagon: African Journey")</f>
        <v>Ainori Love Wagon: African Journey</v>
      </c>
      <c r="T373" s="5" t="str">
        <f>IFERROR(__xludf.DUMMYFUNCTION("""COMPUTED_VALUE"""),"Norway, Denmark, Sweden")</f>
        <v>Norway, Denmark, Sweden</v>
      </c>
      <c r="U373" s="5" t="str">
        <f>IFERROR(__xludf.DUMMYFUNCTION("""COMPUTED_VALUE"""),"Matt Aselton")</f>
        <v>Matt Aselton</v>
      </c>
      <c r="V373" s="5" t="s">
        <v>2409</v>
      </c>
      <c r="W373" s="5" t="str">
        <f t="shared" si="3"/>
        <v>Anurag Singh</v>
      </c>
      <c r="X373" s="5">
        <f t="shared" si="4"/>
        <v>1</v>
      </c>
      <c r="Y373" s="5" t="str">
        <f>IFERROR(__xludf.DUMMYFUNCTION("REGEXEXTRACT(J373, ""^\d+"")"),"95")</f>
        <v>95</v>
      </c>
      <c r="Z373" s="5" t="str">
        <f>IFERROR(__xludf.DUMMYFUNCTION("REGEXEXTRACT(J373, ""[A-Za-z ]+$"")")," min")</f>
        <v> min</v>
      </c>
      <c r="AA373" s="5" t="str">
        <f>IFERROR(__xludf.DUMMYFUNCTION("IF(REGEXMATCH(Z373, ""Season""), ""TV Show"", ""Movie"")"),"Movie")</f>
        <v>Movie</v>
      </c>
    </row>
    <row r="374">
      <c r="A374" s="1" t="s">
        <v>2410</v>
      </c>
      <c r="B374" s="1" t="s">
        <v>27</v>
      </c>
      <c r="C374" s="1" t="s">
        <v>2411</v>
      </c>
      <c r="D374" s="1" t="s">
        <v>2412</v>
      </c>
      <c r="E374" s="1" t="s">
        <v>2413</v>
      </c>
      <c r="G374" s="1" t="s">
        <v>2370</v>
      </c>
      <c r="H374" s="1">
        <v>2021.0</v>
      </c>
      <c r="I374" s="1" t="s">
        <v>42</v>
      </c>
      <c r="J374" s="1" t="s">
        <v>2414</v>
      </c>
      <c r="K374" s="1" t="s">
        <v>1066</v>
      </c>
      <c r="L374" s="1" t="s">
        <v>2415</v>
      </c>
      <c r="M374" s="2" t="s">
        <v>12</v>
      </c>
      <c r="N374" s="4">
        <f t="shared" si="1"/>
        <v>44407</v>
      </c>
      <c r="O374" s="5" t="str">
        <f>IFERROR(__xludf.DUMMYFUNCTION("IF(REGEXMATCH(TRIM(I374), ""^\d+\s*min""), ""Unclassified"", IF(I374 = """", ""NR"", I374))"),"TV-MA")</f>
        <v>TV-MA</v>
      </c>
      <c r="R374" s="5" t="str">
        <f t="shared" si="2"/>
        <v>Rurouni Kenshin: The Beginning</v>
      </c>
      <c r="S374" s="5" t="str">
        <f>IFERROR(__xludf.DUMMYFUNCTION("""COMPUTED_VALUE"""),"Ainori Love Wagon: Asian Journey")</f>
        <v>Ainori Love Wagon: Asian Journey</v>
      </c>
      <c r="T374" s="5" t="str">
        <f>IFERROR(__xludf.DUMMYFUNCTION("""COMPUTED_VALUE"""),"Norway, Germany")</f>
        <v>Norway, Germany</v>
      </c>
      <c r="U374" s="5" t="str">
        <f>IFERROR(__xludf.DUMMYFUNCTION("""COMPUTED_VALUE"""),"Jose Javier Reyes")</f>
        <v>Jose Javier Reyes</v>
      </c>
      <c r="V374" s="5" t="s">
        <v>2416</v>
      </c>
      <c r="W374" s="5" t="str">
        <f t="shared" si="3"/>
        <v>Anuranjan Premji</v>
      </c>
      <c r="X374" s="5">
        <f t="shared" si="4"/>
        <v>1</v>
      </c>
      <c r="Y374" s="5" t="str">
        <f>IFERROR(__xludf.DUMMYFUNCTION("REGEXEXTRACT(J374, ""^\d+"")"),"138")</f>
        <v>138</v>
      </c>
      <c r="Z374" s="5" t="str">
        <f>IFERROR(__xludf.DUMMYFUNCTION("REGEXEXTRACT(J374, ""[A-Za-z ]+$"")")," min")</f>
        <v> min</v>
      </c>
      <c r="AA374" s="5" t="str">
        <f>IFERROR(__xludf.DUMMYFUNCTION("IF(REGEXMATCH(Z374, ""Season""), ""TV Show"", ""Movie"")"),"Movie")</f>
        <v>Movie</v>
      </c>
    </row>
    <row r="375">
      <c r="A375" s="1" t="s">
        <v>2417</v>
      </c>
      <c r="B375" s="1" t="s">
        <v>27</v>
      </c>
      <c r="C375" s="1" t="s">
        <v>2418</v>
      </c>
      <c r="D375" s="1" t="s">
        <v>2419</v>
      </c>
      <c r="E375" s="1" t="s">
        <v>2420</v>
      </c>
      <c r="G375" s="1" t="s">
        <v>2370</v>
      </c>
      <c r="H375" s="1">
        <v>2021.0</v>
      </c>
      <c r="I375" s="1" t="s">
        <v>42</v>
      </c>
      <c r="J375" s="1" t="s">
        <v>1243</v>
      </c>
      <c r="K375" s="1" t="s">
        <v>1328</v>
      </c>
      <c r="L375" s="1" t="s">
        <v>2421</v>
      </c>
      <c r="M375" s="2" t="s">
        <v>12</v>
      </c>
      <c r="N375" s="4">
        <f t="shared" si="1"/>
        <v>44407</v>
      </c>
      <c r="O375" s="5" t="str">
        <f>IFERROR(__xludf.DUMMYFUNCTION("IF(REGEXMATCH(TRIM(I375), ""^\d+\s*min""), ""Unclassified"", IF(I375 = """", ""NR"", I375))"),"TV-MA")</f>
        <v>TV-MA</v>
      </c>
      <c r="R375" s="5" t="str">
        <f t="shared" si="2"/>
        <v>The Last Mercenary</v>
      </c>
      <c r="S375" s="5" t="str">
        <f>IFERROR(__xludf.DUMMYFUNCTION("""COMPUTED_VALUE"""),"Ainsley Eats The Streets")</f>
        <v>Ainsley Eats The Streets</v>
      </c>
      <c r="T375" s="5" t="str">
        <f>IFERROR(__xludf.DUMMYFUNCTION("""COMPUTED_VALUE"""),"Norway, Germany, Sweden")</f>
        <v>Norway, Germany, Sweden</v>
      </c>
      <c r="U375" s="5" t="str">
        <f>IFERROR(__xludf.DUMMYFUNCTION("""COMPUTED_VALUE"""),"Jakub Piątek")</f>
        <v>Jakub Piątek</v>
      </c>
      <c r="V375" s="5" t="s">
        <v>2422</v>
      </c>
      <c r="W375" s="5" t="str">
        <f t="shared" si="3"/>
        <v>Anurin Nwunembom</v>
      </c>
      <c r="X375" s="5">
        <f t="shared" si="4"/>
        <v>1</v>
      </c>
      <c r="Y375" s="5" t="str">
        <f>IFERROR(__xludf.DUMMYFUNCTION("REGEXEXTRACT(J375, ""^\d+"")"),"112")</f>
        <v>112</v>
      </c>
      <c r="Z375" s="5" t="str">
        <f>IFERROR(__xludf.DUMMYFUNCTION("REGEXEXTRACT(J375, ""[A-Za-z ]+$"")")," min")</f>
        <v> min</v>
      </c>
      <c r="AA375" s="5" t="str">
        <f>IFERROR(__xludf.DUMMYFUNCTION("IF(REGEXMATCH(Z375, ""Season""), ""TV Show"", ""Movie"")"),"Movie")</f>
        <v>Movie</v>
      </c>
    </row>
    <row r="376">
      <c r="A376" s="1" t="s">
        <v>2423</v>
      </c>
      <c r="B376" s="1" t="s">
        <v>27</v>
      </c>
      <c r="C376" s="1" t="s">
        <v>2424</v>
      </c>
      <c r="D376" s="1" t="s">
        <v>2425</v>
      </c>
      <c r="E376" s="1" t="s">
        <v>2426</v>
      </c>
      <c r="F376" s="1" t="s">
        <v>400</v>
      </c>
      <c r="G376" s="1" t="s">
        <v>2427</v>
      </c>
      <c r="H376" s="1">
        <v>2013.0</v>
      </c>
      <c r="I376" s="1" t="s">
        <v>136</v>
      </c>
      <c r="J376" s="1" t="s">
        <v>170</v>
      </c>
      <c r="K376" s="1" t="s">
        <v>215</v>
      </c>
      <c r="L376" s="1" t="s">
        <v>2428</v>
      </c>
      <c r="M376" s="2" t="s">
        <v>12</v>
      </c>
      <c r="N376" s="4">
        <f t="shared" si="1"/>
        <v>44406</v>
      </c>
      <c r="O376" s="5" t="str">
        <f>IFERROR(__xludf.DUMMYFUNCTION("IF(REGEXMATCH(TRIM(I376), ""^\d+\s*min""), ""Unclassified"", IF(I376 = """", ""NR"", I376))"),"TV-PG")</f>
        <v>TV-PG</v>
      </c>
      <c r="R376" s="5" t="str">
        <f t="shared" si="2"/>
        <v>Flower Girl</v>
      </c>
      <c r="S376" s="5" t="str">
        <f>IFERROR(__xludf.DUMMYFUNCTION("""COMPUTED_VALUE"""),"Ainu Mosir")</f>
        <v>Ainu Mosir</v>
      </c>
      <c r="T376" s="5" t="str">
        <f>IFERROR(__xludf.DUMMYFUNCTION("""COMPUTED_VALUE"""),"Norway, Iceland, United States")</f>
        <v>Norway, Iceland, United States</v>
      </c>
      <c r="U376" s="5" t="str">
        <f>IFERROR(__xludf.DUMMYFUNCTION("""COMPUTED_VALUE"""),"John Dower")</f>
        <v>John Dower</v>
      </c>
      <c r="V376" s="5" t="s">
        <v>2429</v>
      </c>
      <c r="W376" s="5" t="str">
        <f t="shared" si="3"/>
        <v>Anurin Nwunembom, Musing Derrick</v>
      </c>
      <c r="X376" s="5">
        <f t="shared" si="4"/>
        <v>1</v>
      </c>
      <c r="Y376" s="5" t="str">
        <f>IFERROR(__xludf.DUMMYFUNCTION("REGEXEXTRACT(J376, ""^\d+"")"),"94")</f>
        <v>94</v>
      </c>
      <c r="Z376" s="5" t="str">
        <f>IFERROR(__xludf.DUMMYFUNCTION("REGEXEXTRACT(J376, ""[A-Za-z ]+$"")")," min")</f>
        <v> min</v>
      </c>
      <c r="AA376" s="5" t="str">
        <f>IFERROR(__xludf.DUMMYFUNCTION("IF(REGEXMATCH(Z376, ""Season""), ""TV Show"", ""Movie"")"),"Movie")</f>
        <v>Movie</v>
      </c>
    </row>
    <row r="377">
      <c r="A377" s="1" t="s">
        <v>2430</v>
      </c>
      <c r="B377" s="1" t="s">
        <v>27</v>
      </c>
      <c r="C377" s="1" t="s">
        <v>2431</v>
      </c>
      <c r="D377" s="1" t="s">
        <v>2432</v>
      </c>
      <c r="E377" s="1" t="s">
        <v>2433</v>
      </c>
      <c r="G377" s="1" t="s">
        <v>2427</v>
      </c>
      <c r="H377" s="1">
        <v>2021.0</v>
      </c>
      <c r="I377" s="1" t="s">
        <v>97</v>
      </c>
      <c r="J377" s="1" t="s">
        <v>447</v>
      </c>
      <c r="K377" s="1" t="s">
        <v>813</v>
      </c>
      <c r="L377" s="1" t="s">
        <v>2434</v>
      </c>
      <c r="M377" s="2" t="s">
        <v>12</v>
      </c>
      <c r="N377" s="4">
        <f t="shared" si="1"/>
        <v>44406</v>
      </c>
      <c r="O377" s="5" t="str">
        <f>IFERROR(__xludf.DUMMYFUNCTION("IF(REGEXMATCH(TRIM(I377), ""^\d+\s*min""), ""Unclassified"", IF(I377 = """", ""NR"", I377))"),"TV-14")</f>
        <v>TV-14</v>
      </c>
      <c r="R377" s="5" t="str">
        <f t="shared" si="2"/>
        <v>Resort To Love</v>
      </c>
      <c r="S377" s="5" t="str">
        <f>IFERROR(__xludf.DUMMYFUNCTION("""COMPUTED_VALUE"""),"Air Force One")</f>
        <v>Air Force One</v>
      </c>
      <c r="T377" s="5" t="str">
        <f>IFERROR(__xludf.DUMMYFUNCTION("""COMPUTED_VALUE"""),"Norway, Sweden")</f>
        <v>Norway, Sweden</v>
      </c>
      <c r="U377" s="5" t="str">
        <f>IFERROR(__xludf.DUMMYFUNCTION("""COMPUTED_VALUE"""),"B. T Thomas")</f>
        <v>B. T Thomas</v>
      </c>
      <c r="V377" s="5" t="s">
        <v>2435</v>
      </c>
      <c r="W377" s="5" t="str">
        <f t="shared" si="3"/>
        <v>Anusha Rizvi, Mahmood Farooqui</v>
      </c>
      <c r="X377" s="5">
        <f t="shared" si="4"/>
        <v>1</v>
      </c>
      <c r="Y377" s="5" t="str">
        <f>IFERROR(__xludf.DUMMYFUNCTION("REGEXEXTRACT(J377, ""^\d+"")"),"102")</f>
        <v>102</v>
      </c>
      <c r="Z377" s="5" t="str">
        <f>IFERROR(__xludf.DUMMYFUNCTION("REGEXEXTRACT(J377, ""[A-Za-z ]+$"")")," min")</f>
        <v> min</v>
      </c>
      <c r="AA377" s="5" t="str">
        <f>IFERROR(__xludf.DUMMYFUNCTION("IF(REGEXMATCH(Z377, ""Season""), ""TV Show"", ""Movie"")"),"Movie")</f>
        <v>Movie</v>
      </c>
    </row>
    <row r="378">
      <c r="A378" s="1" t="s">
        <v>2436</v>
      </c>
      <c r="B378" s="1" t="s">
        <v>37</v>
      </c>
      <c r="C378" s="1" t="s">
        <v>2437</v>
      </c>
      <c r="E378" s="1" t="s">
        <v>2438</v>
      </c>
      <c r="G378" s="1" t="s">
        <v>2427</v>
      </c>
      <c r="H378" s="1">
        <v>2021.0</v>
      </c>
      <c r="I378" s="1" t="s">
        <v>289</v>
      </c>
      <c r="J378" s="1" t="s">
        <v>51</v>
      </c>
      <c r="K378" s="1" t="s">
        <v>2439</v>
      </c>
      <c r="L378" s="1" t="s">
        <v>2440</v>
      </c>
      <c r="M378" s="2" t="s">
        <v>12</v>
      </c>
      <c r="N378" s="4">
        <f t="shared" si="1"/>
        <v>44406</v>
      </c>
      <c r="O378" s="5" t="str">
        <f>IFERROR(__xludf.DUMMYFUNCTION("IF(REGEXMATCH(TRIM(I378), ""^\d+\s*min""), ""Unclassified"", IF(I378 = """", ""NR"", I378))"),"TV-Y7")</f>
        <v>TV-Y7</v>
      </c>
      <c r="R378" s="5" t="str">
        <f t="shared" si="2"/>
        <v>Transformers: War For Cybertron: Kingdom</v>
      </c>
      <c r="S378" s="5" t="str">
        <f>IFERROR(__xludf.DUMMYFUNCTION("""COMPUTED_VALUE"""),"Air Strike")</f>
        <v>Air Strike</v>
      </c>
      <c r="T378" s="5" t="str">
        <f>IFERROR(__xludf.DUMMYFUNCTION("""COMPUTED_VALUE"""),"Norway, United Kingdom, France, Ireland")</f>
        <v>Norway, United Kingdom, France, Ireland</v>
      </c>
      <c r="U378" s="5" t="str">
        <f>IFERROR(__xludf.DUMMYFUNCTION("""COMPUTED_VALUE"""),"Andrew Dominik")</f>
        <v>Andrew Dominik</v>
      </c>
      <c r="V378" s="5" t="s">
        <v>2441</v>
      </c>
      <c r="W378" s="5" t="str">
        <f t="shared" si="3"/>
        <v>Anvita Dutt</v>
      </c>
      <c r="X378" s="5">
        <f t="shared" si="4"/>
        <v>1</v>
      </c>
      <c r="Y378" s="5" t="str">
        <f>IFERROR(__xludf.DUMMYFUNCTION("REGEXEXTRACT(J378, ""^\d+"")"),"1")</f>
        <v>1</v>
      </c>
      <c r="Z378" s="5" t="str">
        <f>IFERROR(__xludf.DUMMYFUNCTION("REGEXEXTRACT(J378, ""[A-Za-z ]+$"")")," Season")</f>
        <v> Season</v>
      </c>
      <c r="AA378" s="5" t="str">
        <f>IFERROR(__xludf.DUMMYFUNCTION("IF(REGEXMATCH(Z378, ""Season""), ""TV Show"", ""Movie"")"),"TV Show")</f>
        <v>TV Show</v>
      </c>
    </row>
    <row r="379">
      <c r="A379" s="1" t="s">
        <v>2442</v>
      </c>
      <c r="B379" s="1" t="s">
        <v>27</v>
      </c>
      <c r="C379" s="1" t="s">
        <v>2443</v>
      </c>
      <c r="D379" s="1" t="s">
        <v>2444</v>
      </c>
      <c r="E379" s="1" t="s">
        <v>2445</v>
      </c>
      <c r="F379" s="1" t="s">
        <v>2446</v>
      </c>
      <c r="G379" s="1" t="s">
        <v>2447</v>
      </c>
      <c r="H379" s="1">
        <v>2021.0</v>
      </c>
      <c r="I379" s="1" t="s">
        <v>42</v>
      </c>
      <c r="J379" s="1" t="s">
        <v>665</v>
      </c>
      <c r="K379" s="1" t="s">
        <v>1066</v>
      </c>
      <c r="L379" s="1" t="s">
        <v>2448</v>
      </c>
      <c r="M379" s="2" t="s">
        <v>12</v>
      </c>
      <c r="N379" s="4">
        <f t="shared" si="1"/>
        <v>44405</v>
      </c>
      <c r="O379" s="5" t="str">
        <f>IFERROR(__xludf.DUMMYFUNCTION("IF(REGEXMATCH(TRIM(I379), ""^\d+\s*min""), ""Unclassified"", IF(I379 = """", ""NR"", I379))"),"TV-MA")</f>
        <v>TV-MA</v>
      </c>
      <c r="R379" s="5" t="str">
        <f t="shared" si="2"/>
        <v>Bartkowiak</v>
      </c>
      <c r="S379" s="5" t="str">
        <f>IFERROR(__xludf.DUMMYFUNCTION("""COMPUTED_VALUE"""),"Airplane Mode")</f>
        <v>Airplane Mode</v>
      </c>
      <c r="T379" s="5" t="str">
        <f>IFERROR(__xludf.DUMMYFUNCTION("""COMPUTED_VALUE"""),"Norway, United States")</f>
        <v>Norway, United States</v>
      </c>
      <c r="U379" s="5" t="str">
        <f>IFERROR(__xludf.DUMMYFUNCTION("""COMPUTED_VALUE"""),"Nibal Arakji")</f>
        <v>Nibal Arakji</v>
      </c>
      <c r="V379" s="5" t="s">
        <v>1419</v>
      </c>
      <c r="W379" s="5" t="str">
        <f t="shared" si="3"/>
        <v>Apoorva Lakhia</v>
      </c>
      <c r="X379" s="5">
        <f t="shared" si="4"/>
        <v>2</v>
      </c>
      <c r="Y379" s="5" t="str">
        <f>IFERROR(__xludf.DUMMYFUNCTION("REGEXEXTRACT(J379, ""^\d+"")"),"92")</f>
        <v>92</v>
      </c>
      <c r="Z379" s="5" t="str">
        <f>IFERROR(__xludf.DUMMYFUNCTION("REGEXEXTRACT(J379, ""[A-Za-z ]+$"")")," min")</f>
        <v> min</v>
      </c>
      <c r="AA379" s="5" t="str">
        <f>IFERROR(__xludf.DUMMYFUNCTION("IF(REGEXMATCH(Z379, ""Season""), ""TV Show"", ""Movie"")"),"Movie")</f>
        <v>Movie</v>
      </c>
    </row>
    <row r="380">
      <c r="A380" s="1" t="s">
        <v>2449</v>
      </c>
      <c r="B380" s="1" t="s">
        <v>27</v>
      </c>
      <c r="C380" s="1" t="s">
        <v>2450</v>
      </c>
      <c r="D380" s="1" t="s">
        <v>2451</v>
      </c>
      <c r="F380" s="1" t="s">
        <v>30</v>
      </c>
      <c r="G380" s="1" t="s">
        <v>2447</v>
      </c>
      <c r="H380" s="1">
        <v>2019.0</v>
      </c>
      <c r="I380" s="1" t="s">
        <v>97</v>
      </c>
      <c r="J380" s="1" t="s">
        <v>2452</v>
      </c>
      <c r="K380" s="1" t="s">
        <v>34</v>
      </c>
      <c r="L380" s="1" t="s">
        <v>2453</v>
      </c>
      <c r="M380" s="2" t="s">
        <v>12</v>
      </c>
      <c r="N380" s="4">
        <f t="shared" si="1"/>
        <v>44405</v>
      </c>
      <c r="O380" s="5" t="str">
        <f>IFERROR(__xludf.DUMMYFUNCTION("IF(REGEXMATCH(TRIM(I380), ""^\d+\s*min""), ""Unclassified"", IF(I380 = """", ""NR"", I380))"),"TV-14")</f>
        <v>TV-14</v>
      </c>
      <c r="R380" s="5" t="str">
        <f t="shared" si="2"/>
        <v>Fantastic Fungi</v>
      </c>
      <c r="S380" s="5" t="str">
        <f>IFERROR(__xludf.DUMMYFUNCTION("""COMPUTED_VALUE"""),"Aisa Yeh Jahaan")</f>
        <v>Aisa Yeh Jahaan</v>
      </c>
      <c r="T380" s="5" t="str">
        <f>IFERROR(__xludf.DUMMYFUNCTION("""COMPUTED_VALUE"""),"Pakistan")</f>
        <v>Pakistan</v>
      </c>
      <c r="U380" s="5" t="str">
        <f>IFERROR(__xludf.DUMMYFUNCTION("""COMPUTED_VALUE"""),"Sofie Šustková")</f>
        <v>Sofie Šustková</v>
      </c>
      <c r="V380" s="5" t="s">
        <v>2454</v>
      </c>
      <c r="W380" s="5" t="str">
        <f t="shared" si="3"/>
        <v>Appie Boudellah, Aram Van De Rest</v>
      </c>
      <c r="X380" s="5">
        <f t="shared" si="4"/>
        <v>1</v>
      </c>
      <c r="Y380" s="5" t="str">
        <f>IFERROR(__xludf.DUMMYFUNCTION("REGEXEXTRACT(J380, ""^\d+"")"),"81")</f>
        <v>81</v>
      </c>
      <c r="Z380" s="5" t="str">
        <f>IFERROR(__xludf.DUMMYFUNCTION("REGEXEXTRACT(J380, ""[A-Za-z ]+$"")")," min")</f>
        <v> min</v>
      </c>
      <c r="AA380" s="5" t="str">
        <f>IFERROR(__xludf.DUMMYFUNCTION("IF(REGEXMATCH(Z380, ""Season""), ""TV Show"", ""Movie"")"),"Movie")</f>
        <v>Movie</v>
      </c>
    </row>
    <row r="381">
      <c r="A381" s="1" t="s">
        <v>2455</v>
      </c>
      <c r="B381" s="1" t="s">
        <v>37</v>
      </c>
      <c r="C381" s="1" t="s">
        <v>2456</v>
      </c>
      <c r="G381" s="1" t="s">
        <v>2447</v>
      </c>
      <c r="H381" s="1">
        <v>2021.0</v>
      </c>
      <c r="I381" s="1" t="s">
        <v>42</v>
      </c>
      <c r="J381" s="1" t="s">
        <v>51</v>
      </c>
      <c r="K381" s="1" t="s">
        <v>440</v>
      </c>
      <c r="L381" s="1" t="s">
        <v>2457</v>
      </c>
      <c r="M381" s="2" t="s">
        <v>12</v>
      </c>
      <c r="N381" s="4">
        <f t="shared" si="1"/>
        <v>44405</v>
      </c>
      <c r="O381" s="5" t="str">
        <f>IFERROR(__xludf.DUMMYFUNCTION("IF(REGEXMATCH(TRIM(I381), ""^\d+\s*min""), ""Unclassified"", IF(I381 = """", ""NR"", I381))"),"TV-MA")</f>
        <v>TV-MA</v>
      </c>
      <c r="R381" s="5" t="str">
        <f t="shared" si="2"/>
        <v>Tattoo Redo</v>
      </c>
      <c r="S381" s="5" t="str">
        <f>IFERROR(__xludf.DUMMYFUNCTION("""COMPUTED_VALUE"""),"Aitraaz")</f>
        <v>Aitraaz</v>
      </c>
      <c r="T381" s="5" t="str">
        <f>IFERROR(__xludf.DUMMYFUNCTION("""COMPUTED_VALUE"""),"Pakistan, Norway, United States")</f>
        <v>Pakistan, Norway, United States</v>
      </c>
      <c r="U381" s="5" t="str">
        <f>IFERROR(__xludf.DUMMYFUNCTION("""COMPUTED_VALUE"""),"Anissa Bonnefont")</f>
        <v>Anissa Bonnefont</v>
      </c>
      <c r="V381" s="5" t="s">
        <v>2458</v>
      </c>
      <c r="W381" s="5" t="str">
        <f t="shared" si="3"/>
        <v>April Mullen</v>
      </c>
      <c r="X381" s="5">
        <f t="shared" si="4"/>
        <v>1</v>
      </c>
      <c r="Y381" s="5" t="str">
        <f>IFERROR(__xludf.DUMMYFUNCTION("REGEXEXTRACT(J381, ""^\d+"")"),"1")</f>
        <v>1</v>
      </c>
      <c r="Z381" s="5" t="str">
        <f>IFERROR(__xludf.DUMMYFUNCTION("REGEXEXTRACT(J381, ""[A-Za-z ]+$"")")," Season")</f>
        <v> Season</v>
      </c>
      <c r="AA381" s="5" t="str">
        <f>IFERROR(__xludf.DUMMYFUNCTION("IF(REGEXMATCH(Z381, ""Season""), ""TV Show"", ""Movie"")"),"TV Show")</f>
        <v>TV Show</v>
      </c>
    </row>
    <row r="382">
      <c r="A382" s="1" t="s">
        <v>2459</v>
      </c>
      <c r="B382" s="1" t="s">
        <v>37</v>
      </c>
      <c r="C382" s="1" t="s">
        <v>2460</v>
      </c>
      <c r="D382" s="1" t="s">
        <v>2461</v>
      </c>
      <c r="E382" s="1" t="s">
        <v>2462</v>
      </c>
      <c r="F382" s="1" t="s">
        <v>30</v>
      </c>
      <c r="G382" s="1" t="s">
        <v>2447</v>
      </c>
      <c r="H382" s="1">
        <v>2021.0</v>
      </c>
      <c r="I382" s="1" t="s">
        <v>97</v>
      </c>
      <c r="J382" s="1" t="s">
        <v>1809</v>
      </c>
      <c r="K382" s="1" t="s">
        <v>2463</v>
      </c>
      <c r="L382" s="1" t="s">
        <v>2464</v>
      </c>
      <c r="M382" s="2" t="s">
        <v>12</v>
      </c>
      <c r="N382" s="4">
        <f t="shared" si="1"/>
        <v>44405</v>
      </c>
      <c r="O382" s="5" t="str">
        <f>IFERROR(__xludf.DUMMYFUNCTION("IF(REGEXMATCH(TRIM(I382), ""^\d+\s*min""), ""Unclassified"", IF(I382 = """", ""NR"", I382))"),"TV-14")</f>
        <v>TV-14</v>
      </c>
      <c r="R382" s="5" t="str">
        <f t="shared" si="2"/>
        <v>The Flash</v>
      </c>
      <c r="S382" s="5" t="str">
        <f>IFERROR(__xludf.DUMMYFUNCTION("""COMPUTED_VALUE"""),"Aiyaary")</f>
        <v>Aiyaary</v>
      </c>
      <c r="T382" s="5" t="str">
        <f>IFERROR(__xludf.DUMMYFUNCTION("""COMPUTED_VALUE"""),"Pakistan, United Arab Emirates")</f>
        <v>Pakistan, United Arab Emirates</v>
      </c>
      <c r="U382" s="5" t="str">
        <f>IFERROR(__xludf.DUMMYFUNCTION("""COMPUTED_VALUE"""),"Bahij Hojeij")</f>
        <v>Bahij Hojeij</v>
      </c>
      <c r="V382" s="5" t="s">
        <v>2465</v>
      </c>
      <c r="W382" s="5" t="str">
        <f t="shared" si="3"/>
        <v>Apurva Dhar Badgaiyann</v>
      </c>
      <c r="X382" s="5">
        <f t="shared" si="4"/>
        <v>1</v>
      </c>
      <c r="Y382" s="5" t="str">
        <f>IFERROR(__xludf.DUMMYFUNCTION("REGEXEXTRACT(J382, ""^\d+"")"),"7")</f>
        <v>7</v>
      </c>
      <c r="Z382" s="5" t="str">
        <f>IFERROR(__xludf.DUMMYFUNCTION("REGEXEXTRACT(J382, ""[A-Za-z ]+$"")")," Seasons")</f>
        <v> Seasons</v>
      </c>
      <c r="AA382" s="5" t="str">
        <f>IFERROR(__xludf.DUMMYFUNCTION("IF(REGEXMATCH(Z382, ""Season""), ""TV Show"", ""Movie"")"),"TV Show")</f>
        <v>TV Show</v>
      </c>
    </row>
    <row r="383">
      <c r="A383" s="1" t="s">
        <v>2466</v>
      </c>
      <c r="B383" s="1" t="s">
        <v>37</v>
      </c>
      <c r="C383" s="1" t="s">
        <v>2467</v>
      </c>
      <c r="E383" s="1" t="s">
        <v>2468</v>
      </c>
      <c r="G383" s="1" t="s">
        <v>2447</v>
      </c>
      <c r="H383" s="1">
        <v>2021.0</v>
      </c>
      <c r="I383" s="1" t="s">
        <v>42</v>
      </c>
      <c r="J383" s="1" t="s">
        <v>51</v>
      </c>
      <c r="K383" s="1" t="s">
        <v>785</v>
      </c>
      <c r="L383" s="1" t="s">
        <v>2469</v>
      </c>
      <c r="M383" s="2" t="s">
        <v>12</v>
      </c>
      <c r="N383" s="4">
        <f t="shared" si="1"/>
        <v>44405</v>
      </c>
      <c r="O383" s="5" t="str">
        <f>IFERROR(__xludf.DUMMYFUNCTION("IF(REGEXMATCH(TRIM(I383), ""^\d+\s*min""), ""Unclassified"", IF(I383 = """", ""NR"", I383))"),"TV-MA")</f>
        <v>TV-MA</v>
      </c>
      <c r="R383" s="5" t="str">
        <f t="shared" si="2"/>
        <v>The Snitch Cartel: Origins</v>
      </c>
      <c r="S383" s="5" t="str">
        <f>IFERROR(__xludf.DUMMYFUNCTION("""COMPUTED_VALUE"""),"Aiyyaa")</f>
        <v>Aiyyaa</v>
      </c>
      <c r="T383" s="5" t="str">
        <f>IFERROR(__xludf.DUMMYFUNCTION("""COMPUTED_VALUE"""),"Pakistan, United States")</f>
        <v>Pakistan, United States</v>
      </c>
      <c r="U383" s="5" t="str">
        <f>IFERROR(__xludf.DUMMYFUNCTION("""COMPUTED_VALUE"""),"Jonathan Hensleigh")</f>
        <v>Jonathan Hensleigh</v>
      </c>
      <c r="V383" s="5" t="s">
        <v>2470</v>
      </c>
      <c r="W383" s="5" t="str">
        <f t="shared" si="3"/>
        <v>Arati Kadav</v>
      </c>
      <c r="X383" s="5">
        <f t="shared" si="4"/>
        <v>1</v>
      </c>
      <c r="Y383" s="5" t="str">
        <f>IFERROR(__xludf.DUMMYFUNCTION("REGEXEXTRACT(J383, ""^\d+"")"),"1")</f>
        <v>1</v>
      </c>
      <c r="Z383" s="5" t="str">
        <f>IFERROR(__xludf.DUMMYFUNCTION("REGEXEXTRACT(J383, ""[A-Za-z ]+$"")")," Season")</f>
        <v> Season</v>
      </c>
      <c r="AA383" s="5" t="str">
        <f>IFERROR(__xludf.DUMMYFUNCTION("IF(REGEXMATCH(Z383, ""Season""), ""TV Show"", ""Movie"")"),"TV Show")</f>
        <v>TV Show</v>
      </c>
    </row>
    <row r="384">
      <c r="A384" s="1" t="s">
        <v>2471</v>
      </c>
      <c r="B384" s="1" t="s">
        <v>37</v>
      </c>
      <c r="C384" s="1" t="s">
        <v>2472</v>
      </c>
      <c r="E384" s="1" t="s">
        <v>2473</v>
      </c>
      <c r="F384" s="1" t="s">
        <v>30</v>
      </c>
      <c r="G384" s="1" t="s">
        <v>2474</v>
      </c>
      <c r="H384" s="1">
        <v>2021.0</v>
      </c>
      <c r="I384" s="1" t="s">
        <v>97</v>
      </c>
      <c r="J384" s="1" t="s">
        <v>276</v>
      </c>
      <c r="K384" s="1" t="s">
        <v>2192</v>
      </c>
      <c r="L384" s="1" t="s">
        <v>2475</v>
      </c>
      <c r="M384" s="2" t="s">
        <v>12</v>
      </c>
      <c r="N384" s="4">
        <f t="shared" si="1"/>
        <v>44404</v>
      </c>
      <c r="O384" s="5" t="str">
        <f>IFERROR(__xludf.DUMMYFUNCTION("IF(REGEXMATCH(TRIM(I384), ""^\d+\s*min""), ""Unclassified"", IF(I384 = """", ""NR"", I384))"),"TV-14")</f>
        <v>TV-14</v>
      </c>
      <c r="R384" s="5" t="str">
        <f t="shared" si="2"/>
        <v>All American</v>
      </c>
      <c r="S384" s="5" t="str">
        <f>IFERROR(__xludf.DUMMYFUNCTION("""COMPUTED_VALUE"""),"Aj And The Queen")</f>
        <v>Aj And The Queen</v>
      </c>
      <c r="T384" s="5" t="str">
        <f>IFERROR(__xludf.DUMMYFUNCTION("""COMPUTED_VALUE"""),"Paraguay, Argentina")</f>
        <v>Paraguay, Argentina</v>
      </c>
      <c r="U384" s="5" t="str">
        <f>IFERROR(__xludf.DUMMYFUNCTION("""COMPUTED_VALUE"""),"Srijit Mukherji, Vasan Bala, Abhishek Chaubey")</f>
        <v>Srijit Mukherji, Vasan Bala, Abhishek Chaubey</v>
      </c>
      <c r="V384" s="5" t="s">
        <v>2476</v>
      </c>
      <c r="W384" s="5" t="str">
        <f t="shared" si="3"/>
        <v>Archie Borders</v>
      </c>
      <c r="X384" s="5">
        <f t="shared" si="4"/>
        <v>1</v>
      </c>
      <c r="Y384" s="5" t="str">
        <f>IFERROR(__xludf.DUMMYFUNCTION("REGEXEXTRACT(J384, ""^\d+"")"),"3")</f>
        <v>3</v>
      </c>
      <c r="Z384" s="5" t="str">
        <f>IFERROR(__xludf.DUMMYFUNCTION("REGEXEXTRACT(J384, ""[A-Za-z ]+$"")")," Seasons")</f>
        <v> Seasons</v>
      </c>
      <c r="AA384" s="5" t="str">
        <f>IFERROR(__xludf.DUMMYFUNCTION("IF(REGEXMATCH(Z384, ""Season""), ""TV Show"", ""Movie"")"),"TV Show")</f>
        <v>TV Show</v>
      </c>
    </row>
    <row r="385">
      <c r="A385" s="1" t="s">
        <v>2477</v>
      </c>
      <c r="B385" s="1" t="s">
        <v>27</v>
      </c>
      <c r="C385" s="1" t="s">
        <v>2478</v>
      </c>
      <c r="D385" s="1" t="s">
        <v>2479</v>
      </c>
      <c r="E385" s="1" t="s">
        <v>2480</v>
      </c>
      <c r="F385" s="1" t="s">
        <v>63</v>
      </c>
      <c r="G385" s="1" t="s">
        <v>2474</v>
      </c>
      <c r="H385" s="1">
        <v>2012.0</v>
      </c>
      <c r="I385" s="1" t="s">
        <v>42</v>
      </c>
      <c r="J385" s="1" t="s">
        <v>820</v>
      </c>
      <c r="K385" s="1" t="s">
        <v>1066</v>
      </c>
      <c r="L385" s="1" t="s">
        <v>2481</v>
      </c>
      <c r="M385" s="2" t="s">
        <v>12</v>
      </c>
      <c r="N385" s="4">
        <f t="shared" si="1"/>
        <v>44404</v>
      </c>
      <c r="O385" s="5" t="str">
        <f>IFERROR(__xludf.DUMMYFUNCTION("IF(REGEXMATCH(TRIM(I385), ""^\d+\s*min""), ""Unclassified"", IF(I385 = """", ""NR"", I385))"),"TV-MA")</f>
        <v>TV-MA</v>
      </c>
      <c r="R385" s="5" t="str">
        <f t="shared" si="2"/>
        <v>Department</v>
      </c>
      <c r="S385" s="5" t="str">
        <f>IFERROR(__xludf.DUMMYFUNCTION("""COMPUTED_VALUE"""),"Ajab Prem Ki Ghazab Kahani")</f>
        <v>Ajab Prem Ki Ghazab Kahani</v>
      </c>
      <c r="T385" s="5" t="str">
        <f>IFERROR(__xludf.DUMMYFUNCTION("""COMPUTED_VALUE"""),"Peru")</f>
        <v>Peru</v>
      </c>
      <c r="U385" s="5" t="str">
        <f>IFERROR(__xludf.DUMMYFUNCTION("""COMPUTED_VALUE"""),"Justin P. Lange")</f>
        <v>Justin P. Lange</v>
      </c>
      <c r="V385" s="5" t="s">
        <v>2482</v>
      </c>
      <c r="W385" s="5" t="str">
        <f t="shared" si="3"/>
        <v>Archie Hekagery</v>
      </c>
      <c r="X385" s="5">
        <f t="shared" si="4"/>
        <v>1</v>
      </c>
      <c r="Y385" s="5" t="str">
        <f>IFERROR(__xludf.DUMMYFUNCTION("REGEXEXTRACT(J385, ""^\d+"")"),"143")</f>
        <v>143</v>
      </c>
      <c r="Z385" s="5" t="str">
        <f>IFERROR(__xludf.DUMMYFUNCTION("REGEXEXTRACT(J385, ""[A-Za-z ]+$"")")," min")</f>
        <v> min</v>
      </c>
      <c r="AA385" s="5" t="str">
        <f>IFERROR(__xludf.DUMMYFUNCTION("IF(REGEXMATCH(Z385, ""Season""), ""TV Show"", ""Movie"")"),"Movie")</f>
        <v>Movie</v>
      </c>
    </row>
    <row r="386">
      <c r="A386" s="1" t="s">
        <v>2483</v>
      </c>
      <c r="B386" s="1" t="s">
        <v>27</v>
      </c>
      <c r="C386" s="1" t="s">
        <v>2484</v>
      </c>
      <c r="D386" s="1" t="s">
        <v>2485</v>
      </c>
      <c r="E386" s="1" t="s">
        <v>2486</v>
      </c>
      <c r="G386" s="1" t="s">
        <v>2474</v>
      </c>
      <c r="H386" s="1">
        <v>2021.0</v>
      </c>
      <c r="I386" s="1" t="s">
        <v>97</v>
      </c>
      <c r="J386" s="1" t="s">
        <v>1144</v>
      </c>
      <c r="K386" s="1" t="s">
        <v>171</v>
      </c>
      <c r="L386" s="1" t="s">
        <v>2487</v>
      </c>
      <c r="M386" s="2" t="s">
        <v>12</v>
      </c>
      <c r="N386" s="4">
        <f t="shared" si="1"/>
        <v>44404</v>
      </c>
      <c r="O386" s="5" t="str">
        <f>IFERROR(__xludf.DUMMYFUNCTION("IF(REGEXMATCH(TRIM(I386), ""^\d+\s*min""), ""Unclassified"", IF(I386 = """", ""NR"", I386))"),"TV-14")</f>
        <v>TV-14</v>
      </c>
      <c r="R386" s="5" t="str">
        <f t="shared" si="2"/>
        <v>Hostage House</v>
      </c>
      <c r="S386" s="5" t="str">
        <f>IFERROR(__xludf.DUMMYFUNCTION("""COMPUTED_VALUE"""),"Ajaibnya Cinta")</f>
        <v>Ajaibnya Cinta</v>
      </c>
      <c r="T386" s="5" t="str">
        <f>IFERROR(__xludf.DUMMYFUNCTION("""COMPUTED_VALUE"""),"Peru, Germany, Norway")</f>
        <v>Peru, Germany, Norway</v>
      </c>
      <c r="U386" s="5" t="str">
        <f>IFERROR(__xludf.DUMMYFUNCTION("""COMPUTED_VALUE"""),"Kimmy Gatewood")</f>
        <v>Kimmy Gatewood</v>
      </c>
      <c r="V386" s="5" t="s">
        <v>2488</v>
      </c>
      <c r="W386" s="5" t="str">
        <f t="shared" si="3"/>
        <v>Ari Folman</v>
      </c>
      <c r="X386" s="5">
        <f t="shared" si="4"/>
        <v>1</v>
      </c>
      <c r="Y386" s="5" t="str">
        <f>IFERROR(__xludf.DUMMYFUNCTION("REGEXEXTRACT(J386, ""^\d+"")"),"86")</f>
        <v>86</v>
      </c>
      <c r="Z386" s="5" t="str">
        <f>IFERROR(__xludf.DUMMYFUNCTION("REGEXEXTRACT(J386, ""[A-Za-z ]+$"")")," min")</f>
        <v> min</v>
      </c>
      <c r="AA386" s="5" t="str">
        <f>IFERROR(__xludf.DUMMYFUNCTION("IF(REGEXMATCH(Z386, ""Season""), ""TV Show"", ""Movie"")"),"Movie")</f>
        <v>Movie</v>
      </c>
    </row>
    <row r="387">
      <c r="A387" s="1" t="s">
        <v>2489</v>
      </c>
      <c r="B387" s="1" t="s">
        <v>37</v>
      </c>
      <c r="C387" s="1" t="s">
        <v>2490</v>
      </c>
      <c r="E387" s="1" t="s">
        <v>2491</v>
      </c>
      <c r="F387" s="1" t="s">
        <v>2492</v>
      </c>
      <c r="G387" s="1" t="s">
        <v>2474</v>
      </c>
      <c r="H387" s="1">
        <v>2021.0</v>
      </c>
      <c r="I387" s="1" t="s">
        <v>42</v>
      </c>
      <c r="J387" s="1" t="s">
        <v>276</v>
      </c>
      <c r="K387" s="1" t="s">
        <v>2493</v>
      </c>
      <c r="L387" s="1" t="s">
        <v>2494</v>
      </c>
      <c r="M387" s="2" t="s">
        <v>12</v>
      </c>
      <c r="N387" s="4">
        <f t="shared" si="1"/>
        <v>44404</v>
      </c>
      <c r="O387" s="5" t="str">
        <f>IFERROR(__xludf.DUMMYFUNCTION("IF(REGEXMATCH(TRIM(I387), ""^\d+\s*min""), ""Unclassified"", IF(I387 = """", ""NR"", I387))"),"TV-MA")</f>
        <v>TV-MA</v>
      </c>
      <c r="R387" s="5" t="str">
        <f t="shared" si="2"/>
        <v>How To Sell Drugs Online (Fast)</v>
      </c>
      <c r="S387" s="5" t="str">
        <f>IFERROR(__xludf.DUMMYFUNCTION("""COMPUTED_VALUE"""),"Ajeeb Daastaans")</f>
        <v>Ajeeb Daastaans</v>
      </c>
      <c r="T387" s="5" t="str">
        <f>IFERROR(__xludf.DUMMYFUNCTION("""COMPUTED_VALUE"""),"Peru, United States, United Kingdom")</f>
        <v>Peru, United States, United Kingdom</v>
      </c>
      <c r="U387" s="5" t="str">
        <f>IFERROR(__xludf.DUMMYFUNCTION("""COMPUTED_VALUE"""),"Tània Balló")</f>
        <v>Tània Balló</v>
      </c>
      <c r="V387" s="5" t="s">
        <v>2495</v>
      </c>
      <c r="W387" s="5" t="str">
        <f t="shared" si="3"/>
        <v>Ari Levinson</v>
      </c>
      <c r="X387" s="5">
        <f t="shared" si="4"/>
        <v>1</v>
      </c>
      <c r="Y387" s="5" t="str">
        <f>IFERROR(__xludf.DUMMYFUNCTION("REGEXEXTRACT(J387, ""^\d+"")"),"3")</f>
        <v>3</v>
      </c>
      <c r="Z387" s="5" t="str">
        <f>IFERROR(__xludf.DUMMYFUNCTION("REGEXEXTRACT(J387, ""[A-Za-z ]+$"")")," Seasons")</f>
        <v> Seasons</v>
      </c>
      <c r="AA387" s="5" t="str">
        <f>IFERROR(__xludf.DUMMYFUNCTION("IF(REGEXMATCH(Z387, ""Season""), ""TV Show"", ""Movie"")"),"TV Show")</f>
        <v>TV Show</v>
      </c>
    </row>
    <row r="388">
      <c r="A388" s="1" t="s">
        <v>2496</v>
      </c>
      <c r="B388" s="1" t="s">
        <v>37</v>
      </c>
      <c r="C388" s="1" t="s">
        <v>2497</v>
      </c>
      <c r="E388" s="1" t="s">
        <v>2498</v>
      </c>
      <c r="F388" s="1" t="s">
        <v>897</v>
      </c>
      <c r="G388" s="1" t="s">
        <v>2474</v>
      </c>
      <c r="H388" s="1">
        <v>2021.0</v>
      </c>
      <c r="I388" s="1" t="s">
        <v>206</v>
      </c>
      <c r="J388" s="1" t="s">
        <v>148</v>
      </c>
      <c r="K388" s="1" t="s">
        <v>290</v>
      </c>
      <c r="L388" s="1" t="s">
        <v>2499</v>
      </c>
      <c r="M388" s="2" t="s">
        <v>12</v>
      </c>
      <c r="N388" s="4">
        <f t="shared" si="1"/>
        <v>44404</v>
      </c>
      <c r="O388" s="5" t="str">
        <f>IFERROR(__xludf.DUMMYFUNCTION("IF(REGEXMATCH(TRIM(I388), ""^\d+\s*min""), ""Unclassified"", IF(I388 = """", ""NR"", I388))"),"TV-Y")</f>
        <v>TV-Y</v>
      </c>
      <c r="R388" s="5" t="str">
        <f t="shared" si="2"/>
        <v>Mighty Express</v>
      </c>
      <c r="S388" s="5" t="str">
        <f>IFERROR(__xludf.DUMMYFUNCTION("""COMPUTED_VALUE"""),"Ajin: Demi-Human")</f>
        <v>Ajin: Demi-Human</v>
      </c>
      <c r="T388" s="5" t="str">
        <f>IFERROR(__xludf.DUMMYFUNCTION("""COMPUTED_VALUE"""),"Philippines")</f>
        <v>Philippines</v>
      </c>
      <c r="U388" s="5" t="str">
        <f>IFERROR(__xludf.DUMMYFUNCTION("""COMPUTED_VALUE"""),"Manolo Caro")</f>
        <v>Manolo Caro</v>
      </c>
      <c r="V388" s="5" t="s">
        <v>2500</v>
      </c>
      <c r="W388" s="5" t="str">
        <f t="shared" si="3"/>
        <v>Ari Sandel</v>
      </c>
      <c r="X388" s="5">
        <f t="shared" si="4"/>
        <v>2</v>
      </c>
      <c r="Y388" s="5" t="str">
        <f>IFERROR(__xludf.DUMMYFUNCTION("REGEXEXTRACT(J388, ""^\d+"")"),"4")</f>
        <v>4</v>
      </c>
      <c r="Z388" s="5" t="str">
        <f>IFERROR(__xludf.DUMMYFUNCTION("REGEXEXTRACT(J388, ""[A-Za-z ]+$"")")," Seasons")</f>
        <v> Seasons</v>
      </c>
      <c r="AA388" s="5" t="str">
        <f>IFERROR(__xludf.DUMMYFUNCTION("IF(REGEXMATCH(Z388, ""Season""), ""TV Show"", ""Movie"")"),"TV Show")</f>
        <v>TV Show</v>
      </c>
    </row>
    <row r="389">
      <c r="A389" s="1" t="s">
        <v>2501</v>
      </c>
      <c r="B389" s="1" t="s">
        <v>27</v>
      </c>
      <c r="C389" s="1" t="s">
        <v>2502</v>
      </c>
      <c r="D389" s="1" t="s">
        <v>2503</v>
      </c>
      <c r="E389" s="1" t="s">
        <v>2504</v>
      </c>
      <c r="G389" s="1" t="s">
        <v>2474</v>
      </c>
      <c r="H389" s="1">
        <v>2021.0</v>
      </c>
      <c r="I389" s="1" t="s">
        <v>97</v>
      </c>
      <c r="J389" s="1" t="s">
        <v>2505</v>
      </c>
      <c r="K389" s="1" t="s">
        <v>583</v>
      </c>
      <c r="L389" s="1" t="s">
        <v>2506</v>
      </c>
      <c r="M389" s="2" t="s">
        <v>12</v>
      </c>
      <c r="N389" s="4">
        <f t="shared" si="1"/>
        <v>44404</v>
      </c>
      <c r="O389" s="5" t="str">
        <f>IFERROR(__xludf.DUMMYFUNCTION("IF(REGEXMATCH(TRIM(I389), ""^\d+\s*min""), ""Unclassified"", IF(I389 = """", ""NR"", I389))"),"TV-14")</f>
        <v>TV-14</v>
      </c>
      <c r="R389" s="5" t="str">
        <f t="shared" si="2"/>
        <v>Mimi</v>
      </c>
      <c r="S389" s="5" t="str">
        <f>IFERROR(__xludf.DUMMYFUNCTION("""COMPUTED_VALUE"""),"Ajji")</f>
        <v>Ajji</v>
      </c>
      <c r="T389" s="5" t="str">
        <f>IFERROR(__xludf.DUMMYFUNCTION("""COMPUTED_VALUE"""),"Philippines, Canada, United Kingdom, United States")</f>
        <v>Philippines, Canada, United Kingdom, United States</v>
      </c>
      <c r="U389" s="5" t="str">
        <f>IFERROR(__xludf.DUMMYFUNCTION("""COMPUTED_VALUE"""),"Anurin Nwunembom")</f>
        <v>Anurin Nwunembom</v>
      </c>
      <c r="V389" s="5" t="s">
        <v>2507</v>
      </c>
      <c r="W389" s="5" t="str">
        <f t="shared" si="3"/>
        <v>Ariel Boles</v>
      </c>
      <c r="X389" s="5">
        <f t="shared" si="4"/>
        <v>1</v>
      </c>
      <c r="Y389" s="5" t="str">
        <f>IFERROR(__xludf.DUMMYFUNCTION("REGEXEXTRACT(J389, ""^\d+"")"),"132")</f>
        <v>132</v>
      </c>
      <c r="Z389" s="5" t="str">
        <f>IFERROR(__xludf.DUMMYFUNCTION("REGEXEXTRACT(J389, ""[A-Za-z ]+$"")")," min")</f>
        <v> min</v>
      </c>
      <c r="AA389" s="5" t="str">
        <f>IFERROR(__xludf.DUMMYFUNCTION("IF(REGEXMATCH(Z389, ""Season""), ""TV Show"", ""Movie"")"),"Movie")</f>
        <v>Movie</v>
      </c>
    </row>
    <row r="390">
      <c r="A390" s="1" t="s">
        <v>2508</v>
      </c>
      <c r="B390" s="1" t="s">
        <v>37</v>
      </c>
      <c r="C390" s="1" t="s">
        <v>2509</v>
      </c>
      <c r="D390" s="1" t="s">
        <v>2510</v>
      </c>
      <c r="E390" s="1" t="s">
        <v>2511</v>
      </c>
      <c r="G390" s="1" t="s">
        <v>2474</v>
      </c>
      <c r="H390" s="1">
        <v>2021.0</v>
      </c>
      <c r="I390" s="1" t="s">
        <v>42</v>
      </c>
      <c r="J390" s="1" t="s">
        <v>51</v>
      </c>
      <c r="K390" s="1" t="s">
        <v>2512</v>
      </c>
      <c r="L390" s="1" t="s">
        <v>2513</v>
      </c>
      <c r="M390" s="2" t="s">
        <v>12</v>
      </c>
      <c r="N390" s="4">
        <f t="shared" si="1"/>
        <v>44404</v>
      </c>
      <c r="O390" s="5" t="str">
        <f>IFERROR(__xludf.DUMMYFUNCTION("IF(REGEXMATCH(TRIM(I390), ""^\d+\s*min""), ""Unclassified"", IF(I390 = """", ""NR"", I390))"),"TV-MA")</f>
        <v>TV-MA</v>
      </c>
      <c r="R390" s="5" t="str">
        <f t="shared" si="2"/>
        <v>Plastic Cup Boyz: Laughing My Mask Off!</v>
      </c>
      <c r="S390" s="5" t="str">
        <f>IFERROR(__xludf.DUMMYFUNCTION("""COMPUTED_VALUE"""),"Ak Vs Ak")</f>
        <v>Ak Vs Ak</v>
      </c>
      <c r="T390" s="5" t="str">
        <f>IFERROR(__xludf.DUMMYFUNCTION("""COMPUTED_VALUE"""),"Philippines, Qatar")</f>
        <v>Philippines, Qatar</v>
      </c>
      <c r="U390" s="5" t="str">
        <f>IFERROR(__xludf.DUMMYFUNCTION("""COMPUTED_VALUE"""),"Jayme Monjardim")</f>
        <v>Jayme Monjardim</v>
      </c>
      <c r="V390" s="5" t="s">
        <v>2514</v>
      </c>
      <c r="W390" s="5" t="str">
        <f t="shared" si="3"/>
        <v>Ariel Vromen</v>
      </c>
      <c r="X390" s="5">
        <f t="shared" si="4"/>
        <v>1</v>
      </c>
      <c r="Y390" s="5" t="str">
        <f>IFERROR(__xludf.DUMMYFUNCTION("REGEXEXTRACT(J390, ""^\d+"")"),"1")</f>
        <v>1</v>
      </c>
      <c r="Z390" s="5" t="str">
        <f>IFERROR(__xludf.DUMMYFUNCTION("REGEXEXTRACT(J390, ""[A-Za-z ]+$"")")," Season")</f>
        <v> Season</v>
      </c>
      <c r="AA390" s="5" t="str">
        <f>IFERROR(__xludf.DUMMYFUNCTION("IF(REGEXMATCH(Z390, ""Season""), ""TV Show"", ""Movie"")"),"TV Show")</f>
        <v>TV Show</v>
      </c>
    </row>
    <row r="391">
      <c r="A391" s="1" t="s">
        <v>2515</v>
      </c>
      <c r="B391" s="1" t="s">
        <v>27</v>
      </c>
      <c r="C391" s="1" t="s">
        <v>2516</v>
      </c>
      <c r="D391" s="1" t="s">
        <v>2517</v>
      </c>
      <c r="E391" s="1" t="s">
        <v>2518</v>
      </c>
      <c r="F391" s="1" t="s">
        <v>2519</v>
      </c>
      <c r="G391" s="1" t="s">
        <v>2474</v>
      </c>
      <c r="H391" s="1">
        <v>2019.0</v>
      </c>
      <c r="I391" s="1" t="s">
        <v>42</v>
      </c>
      <c r="J391" s="1" t="s">
        <v>743</v>
      </c>
      <c r="K391" s="1" t="s">
        <v>298</v>
      </c>
      <c r="L391" s="1" t="s">
        <v>2520</v>
      </c>
      <c r="M391" s="2" t="s">
        <v>12</v>
      </c>
      <c r="N391" s="4">
        <f t="shared" si="1"/>
        <v>44404</v>
      </c>
      <c r="O391" s="5" t="str">
        <f>IFERROR(__xludf.DUMMYFUNCTION("IF(REGEXMATCH(TRIM(I391), ""^\d+\s*min""), ""Unclassified"", IF(I391 = """", ""NR"", I391))"),"TV-MA")</f>
        <v>TV-MA</v>
      </c>
      <c r="R391" s="5" t="str">
        <f t="shared" si="2"/>
        <v>The Operative</v>
      </c>
      <c r="S391" s="5" t="str">
        <f>IFERROR(__xludf.DUMMYFUNCTION("""COMPUTED_VALUE"""),"Akame Ga Kill!")</f>
        <v>Akame Ga Kill!</v>
      </c>
      <c r="T391" s="5" t="str">
        <f>IFERROR(__xludf.DUMMYFUNCTION("""COMPUTED_VALUE"""),"Philippines, Singapore")</f>
        <v>Philippines, Singapore</v>
      </c>
      <c r="U391" s="5" t="str">
        <f>IFERROR(__xludf.DUMMYFUNCTION("""COMPUTED_VALUE"""),"Kingsley Ogoro")</f>
        <v>Kingsley Ogoro</v>
      </c>
      <c r="V391" s="5" t="s">
        <v>2521</v>
      </c>
      <c r="W391" s="5" t="str">
        <f t="shared" si="3"/>
        <v>Arjun Gourisaria, Moinak Biswas</v>
      </c>
      <c r="X391" s="5">
        <f t="shared" si="4"/>
        <v>1</v>
      </c>
      <c r="Y391" s="5" t="str">
        <f>IFERROR(__xludf.DUMMYFUNCTION("REGEXEXTRACT(J391, ""^\d+"")"),"117")</f>
        <v>117</v>
      </c>
      <c r="Z391" s="5" t="str">
        <f>IFERROR(__xludf.DUMMYFUNCTION("REGEXEXTRACT(J391, ""[A-Za-z ]+$"")")," min")</f>
        <v> min</v>
      </c>
      <c r="AA391" s="5" t="str">
        <f>IFERROR(__xludf.DUMMYFUNCTION("IF(REGEXMATCH(Z391, ""Season""), ""TV Show"", ""Movie"")"),"Movie")</f>
        <v>Movie</v>
      </c>
    </row>
    <row r="392">
      <c r="A392" s="1" t="s">
        <v>2522</v>
      </c>
      <c r="B392" s="1" t="s">
        <v>37</v>
      </c>
      <c r="C392" s="1" t="s">
        <v>2523</v>
      </c>
      <c r="E392" s="1" t="s">
        <v>2524</v>
      </c>
      <c r="F392" s="1" t="s">
        <v>30</v>
      </c>
      <c r="G392" s="1" t="s">
        <v>2525</v>
      </c>
      <c r="H392" s="1">
        <v>2019.0</v>
      </c>
      <c r="I392" s="1" t="s">
        <v>42</v>
      </c>
      <c r="J392" s="1" t="s">
        <v>2526</v>
      </c>
      <c r="K392" s="1" t="s">
        <v>2527</v>
      </c>
      <c r="L392" s="1" t="s">
        <v>2528</v>
      </c>
      <c r="M392" s="2" t="s">
        <v>12</v>
      </c>
      <c r="N392" s="4">
        <f t="shared" si="1"/>
        <v>44403</v>
      </c>
      <c r="O392" s="5" t="str">
        <f>IFERROR(__xludf.DUMMYFUNCTION("IF(REGEXMATCH(TRIM(I392), ""^\d+\s*min""), ""Unclassified"", IF(I392 = """", ""NR"", I392))"),"TV-MA")</f>
        <v>TV-MA</v>
      </c>
      <c r="R392" s="5" t="str">
        <f t="shared" si="2"/>
        <v>The Walking Dead</v>
      </c>
      <c r="S392" s="5" t="str">
        <f>IFERROR(__xludf.DUMMYFUNCTION("""COMPUTED_VALUE"""),"Akbar Birbal")</f>
        <v>Akbar Birbal</v>
      </c>
      <c r="T392" s="5" t="str">
        <f>IFERROR(__xludf.DUMMYFUNCTION("""COMPUTED_VALUE"""),"Philippines, Singapore, Indonesia")</f>
        <v>Philippines, Singapore, Indonesia</v>
      </c>
      <c r="U392" s="5" t="str">
        <f>IFERROR(__xludf.DUMMYFUNCTION("""COMPUTED_VALUE"""),"Cristina Jacob")</f>
        <v>Cristina Jacob</v>
      </c>
      <c r="V392" s="5" t="s">
        <v>2529</v>
      </c>
      <c r="W392" s="5" t="str">
        <f t="shared" si="3"/>
        <v>Arjun Jandyala</v>
      </c>
      <c r="X392" s="5">
        <f t="shared" si="4"/>
        <v>1</v>
      </c>
      <c r="Y392" s="5" t="str">
        <f>IFERROR(__xludf.DUMMYFUNCTION("REGEXEXTRACT(J392, ""^\d+"")"),"10")</f>
        <v>10</v>
      </c>
      <c r="Z392" s="5" t="str">
        <f>IFERROR(__xludf.DUMMYFUNCTION("REGEXEXTRACT(J392, ""[A-Za-z ]+$"")")," Seasons")</f>
        <v> Seasons</v>
      </c>
      <c r="AA392" s="5" t="str">
        <f>IFERROR(__xludf.DUMMYFUNCTION("IF(REGEXMATCH(Z392, ""Season""), ""TV Show"", ""Movie"")"),"TV Show")</f>
        <v>TV Show</v>
      </c>
    </row>
    <row r="393">
      <c r="A393" s="1" t="s">
        <v>2530</v>
      </c>
      <c r="B393" s="1" t="s">
        <v>37</v>
      </c>
      <c r="C393" s="1" t="s">
        <v>2531</v>
      </c>
      <c r="E393" s="1" t="s">
        <v>2532</v>
      </c>
      <c r="F393" s="1" t="s">
        <v>1979</v>
      </c>
      <c r="G393" s="1" t="s">
        <v>2525</v>
      </c>
      <c r="H393" s="1">
        <v>2020.0</v>
      </c>
      <c r="I393" s="1" t="s">
        <v>42</v>
      </c>
      <c r="J393" s="1" t="s">
        <v>148</v>
      </c>
      <c r="K393" s="1" t="s">
        <v>190</v>
      </c>
      <c r="L393" s="1" t="s">
        <v>2533</v>
      </c>
      <c r="M393" s="2" t="s">
        <v>12</v>
      </c>
      <c r="N393" s="4">
        <f t="shared" si="1"/>
        <v>44403</v>
      </c>
      <c r="O393" s="5" t="str">
        <f>IFERROR(__xludf.DUMMYFUNCTION("IF(REGEXMATCH(TRIM(I393), ""^\d+\s*min""), ""Unclassified"", IF(I393 = """", ""NR"", I393))"),"TV-MA")</f>
        <v>TV-MA</v>
      </c>
      <c r="R393" s="5" t="str">
        <f t="shared" si="2"/>
        <v>Wynonna Earp</v>
      </c>
      <c r="S393" s="5" t="str">
        <f>IFERROR(__xludf.DUMMYFUNCTION("""COMPUTED_VALUE"""),"Akulah Balqis")</f>
        <v>Akulah Balqis</v>
      </c>
      <c r="T393" s="5" t="str">
        <f>IFERROR(__xludf.DUMMYFUNCTION("""COMPUTED_VALUE"""),"Philippines, United States")</f>
        <v>Philippines, United States</v>
      </c>
      <c r="U393" s="5" t="str">
        <f>IFERROR(__xludf.DUMMYFUNCTION("""COMPUTED_VALUE"""),"Fernando Moro")</f>
        <v>Fernando Moro</v>
      </c>
      <c r="V393" s="5" t="s">
        <v>2534</v>
      </c>
      <c r="W393" s="5" t="str">
        <f t="shared" si="3"/>
        <v>Armando Iannucci</v>
      </c>
      <c r="X393" s="5">
        <f t="shared" si="4"/>
        <v>1</v>
      </c>
      <c r="Y393" s="5" t="str">
        <f>IFERROR(__xludf.DUMMYFUNCTION("REGEXEXTRACT(J393, ""^\d+"")"),"4")</f>
        <v>4</v>
      </c>
      <c r="Z393" s="5" t="str">
        <f>IFERROR(__xludf.DUMMYFUNCTION("REGEXEXTRACT(J393, ""[A-Za-z ]+$"")")," Seasons")</f>
        <v> Seasons</v>
      </c>
      <c r="AA393" s="5" t="str">
        <f>IFERROR(__xludf.DUMMYFUNCTION("IF(REGEXMATCH(Z393, ""Season""), ""TV Show"", ""Movie"")"),"TV Show")</f>
        <v>TV Show</v>
      </c>
    </row>
    <row r="394">
      <c r="A394" s="1" t="s">
        <v>2535</v>
      </c>
      <c r="B394" s="1" t="s">
        <v>27</v>
      </c>
      <c r="C394" s="1" t="s">
        <v>2536</v>
      </c>
      <c r="D394" s="1" t="s">
        <v>2537</v>
      </c>
      <c r="E394" s="1" t="s">
        <v>2538</v>
      </c>
      <c r="F394" s="1" t="s">
        <v>30</v>
      </c>
      <c r="G394" s="1" t="s">
        <v>2539</v>
      </c>
      <c r="H394" s="1">
        <v>2012.0</v>
      </c>
      <c r="I394" s="1" t="s">
        <v>378</v>
      </c>
      <c r="J394" s="1" t="s">
        <v>1390</v>
      </c>
      <c r="K394" s="1" t="s">
        <v>323</v>
      </c>
      <c r="L394" s="1" t="s">
        <v>2540</v>
      </c>
      <c r="M394" s="2" t="s">
        <v>12</v>
      </c>
      <c r="N394" s="4">
        <f t="shared" si="1"/>
        <v>44401</v>
      </c>
      <c r="O394" s="5" t="str">
        <f>IFERROR(__xludf.DUMMYFUNCTION("IF(REGEXMATCH(TRIM(I394), ""^\d+\s*min""), ""Unclassified"", IF(I394 = """", ""NR"", I394))"),"R")</f>
        <v>R</v>
      </c>
      <c r="R394" s="5" t="str">
        <f t="shared" si="2"/>
        <v>Django Unchained</v>
      </c>
      <c r="S394" s="5" t="str">
        <f>IFERROR(__xludf.DUMMYFUNCTION("""COMPUTED_VALUE"""),"Al Acecho")</f>
        <v>Al Acecho</v>
      </c>
      <c r="T394" s="5" t="str">
        <f>IFERROR(__xludf.DUMMYFUNCTION("""COMPUTED_VALUE"""),"Poland")</f>
        <v>Poland</v>
      </c>
      <c r="U394" s="5" t="str">
        <f>IFERROR(__xludf.DUMMYFUNCTION("""COMPUTED_VALUE"""),"Ivan Andrew Payawal")</f>
        <v>Ivan Andrew Payawal</v>
      </c>
      <c r="V394" s="5" t="s">
        <v>2541</v>
      </c>
      <c r="W394" s="5" t="str">
        <f t="shared" si="3"/>
        <v>Arnab Chaudhuri</v>
      </c>
      <c r="X394" s="5">
        <f t="shared" si="4"/>
        <v>1</v>
      </c>
      <c r="Y394" s="5" t="str">
        <f>IFERROR(__xludf.DUMMYFUNCTION("REGEXEXTRACT(J394, ""^\d+"")"),"165")</f>
        <v>165</v>
      </c>
      <c r="Z394" s="5" t="str">
        <f>IFERROR(__xludf.DUMMYFUNCTION("REGEXEXTRACT(J394, ""[A-Za-z ]+$"")")," min")</f>
        <v> min</v>
      </c>
      <c r="AA394" s="5" t="str">
        <f>IFERROR(__xludf.DUMMYFUNCTION("IF(REGEXMATCH(Z394, ""Season""), ""TV Show"", ""Movie"")"),"Movie")</f>
        <v>Movie</v>
      </c>
    </row>
    <row r="395">
      <c r="A395" s="1" t="s">
        <v>2542</v>
      </c>
      <c r="B395" s="1" t="s">
        <v>27</v>
      </c>
      <c r="C395" s="1" t="s">
        <v>2543</v>
      </c>
      <c r="D395" s="1" t="s">
        <v>2544</v>
      </c>
      <c r="E395" s="1" t="s">
        <v>2545</v>
      </c>
      <c r="F395" s="1" t="s">
        <v>221</v>
      </c>
      <c r="G395" s="1" t="s">
        <v>2546</v>
      </c>
      <c r="H395" s="1">
        <v>2021.0</v>
      </c>
      <c r="I395" s="1" t="s">
        <v>78</v>
      </c>
      <c r="J395" s="1" t="s">
        <v>79</v>
      </c>
      <c r="K395" s="1" t="s">
        <v>2547</v>
      </c>
      <c r="L395" s="1" t="s">
        <v>2548</v>
      </c>
      <c r="M395" s="2" t="s">
        <v>12</v>
      </c>
      <c r="N395" s="4">
        <f t="shared" si="1"/>
        <v>44400</v>
      </c>
      <c r="O395" s="5" t="str">
        <f>IFERROR(__xludf.DUMMYFUNCTION("IF(REGEXMATCH(TRIM(I395), ""^\d+\s*min""), ""Unclassified"", IF(I395 = """", ""NR"", I395))"),"PG")</f>
        <v>PG</v>
      </c>
      <c r="R395" s="5" t="str">
        <f t="shared" si="2"/>
        <v>A Second Chance: Rivals!</v>
      </c>
      <c r="S395" s="5" t="str">
        <f>IFERROR(__xludf.DUMMYFUNCTION("""COMPUTED_VALUE"""),"Al Hayba")</f>
        <v>Al Hayba</v>
      </c>
      <c r="T395" s="5" t="str">
        <f>IFERROR(__xludf.DUMMYFUNCTION("""COMPUTED_VALUE"""),"Poland,")</f>
        <v>Poland,</v>
      </c>
      <c r="U395" s="5" t="str">
        <f>IFERROR(__xludf.DUMMYFUNCTION("""COMPUTED_VALUE"""),"Yoshiyuki Tomino, Yoshikazu Yasuhiko")</f>
        <v>Yoshiyuki Tomino, Yoshikazu Yasuhiko</v>
      </c>
      <c r="V395" s="5" t="s">
        <v>2549</v>
      </c>
      <c r="W395" s="5" t="str">
        <f t="shared" si="3"/>
        <v>Arne Birkenstock</v>
      </c>
      <c r="X395" s="5">
        <f t="shared" si="4"/>
        <v>1</v>
      </c>
      <c r="Y395" s="5" t="str">
        <f>IFERROR(__xludf.DUMMYFUNCTION("REGEXEXTRACT(J395, ""^\d+"")"),"91")</f>
        <v>91</v>
      </c>
      <c r="Z395" s="5" t="str">
        <f>IFERROR(__xludf.DUMMYFUNCTION("REGEXEXTRACT(J395, ""[A-Za-z ]+$"")")," min")</f>
        <v> min</v>
      </c>
      <c r="AA395" s="5" t="str">
        <f>IFERROR(__xludf.DUMMYFUNCTION("IF(REGEXMATCH(Z395, ""Season""), ""TV Show"", ""Movie"")"),"Movie")</f>
        <v>Movie</v>
      </c>
    </row>
    <row r="396">
      <c r="A396" s="1" t="s">
        <v>2550</v>
      </c>
      <c r="B396" s="1" t="s">
        <v>27</v>
      </c>
      <c r="C396" s="1" t="s">
        <v>2551</v>
      </c>
      <c r="D396" s="1" t="s">
        <v>2552</v>
      </c>
      <c r="E396" s="1" t="s">
        <v>2553</v>
      </c>
      <c r="G396" s="1" t="s">
        <v>2546</v>
      </c>
      <c r="H396" s="1">
        <v>2021.0</v>
      </c>
      <c r="I396" s="1" t="s">
        <v>42</v>
      </c>
      <c r="J396" s="1" t="s">
        <v>247</v>
      </c>
      <c r="K396" s="1" t="s">
        <v>89</v>
      </c>
      <c r="L396" s="1" t="s">
        <v>2554</v>
      </c>
      <c r="M396" s="2" t="s">
        <v>12</v>
      </c>
      <c r="N396" s="4">
        <f t="shared" si="1"/>
        <v>44400</v>
      </c>
      <c r="O396" s="5" t="str">
        <f>IFERROR(__xludf.DUMMYFUNCTION("IF(REGEXMATCH(TRIM(I396), ""^\d+\s*min""), ""Unclassified"", IF(I396 = """", ""NR"", I396))"),"TV-MA")</f>
        <v>TV-MA</v>
      </c>
      <c r="R396" s="5" t="str">
        <f t="shared" si="2"/>
        <v>African America</v>
      </c>
      <c r="S396" s="5" t="str">
        <f>IFERROR(__xludf.DUMMYFUNCTION("""COMPUTED_VALUE"""),"Ala Vaikunthapurramuloo")</f>
        <v>Ala Vaikunthapurramuloo</v>
      </c>
      <c r="T396" s="5" t="str">
        <f>IFERROR(__xludf.DUMMYFUNCTION("""COMPUTED_VALUE"""),"Poland, United States")</f>
        <v>Poland, United States</v>
      </c>
      <c r="U396" s="5" t="str">
        <f>IFERROR(__xludf.DUMMYFUNCTION("""COMPUTED_VALUE"""),"Yoshiyuki Tomino")</f>
        <v>Yoshiyuki Tomino</v>
      </c>
      <c r="V396" s="5" t="s">
        <v>2555</v>
      </c>
      <c r="W396" s="5" t="str">
        <f t="shared" si="3"/>
        <v>Arnon Manor, Timothy Ware-Hill</v>
      </c>
      <c r="X396" s="5">
        <f t="shared" si="4"/>
        <v>1</v>
      </c>
      <c r="Y396" s="5" t="str">
        <f>IFERROR(__xludf.DUMMYFUNCTION("REGEXEXTRACT(J396, ""^\d+"")"),"97")</f>
        <v>97</v>
      </c>
      <c r="Z396" s="5" t="str">
        <f>IFERROR(__xludf.DUMMYFUNCTION("REGEXEXTRACT(J396, ""[A-Za-z ]+$"")")," min")</f>
        <v> min</v>
      </c>
      <c r="AA396" s="5" t="str">
        <f>IFERROR(__xludf.DUMMYFUNCTION("IF(REGEXMATCH(Z396, ""Season""), ""TV Show"", ""Movie"")"),"Movie")</f>
        <v>Movie</v>
      </c>
    </row>
    <row r="397">
      <c r="A397" s="1" t="s">
        <v>2556</v>
      </c>
      <c r="B397" s="1" t="s">
        <v>27</v>
      </c>
      <c r="C397" s="1" t="s">
        <v>2557</v>
      </c>
      <c r="D397" s="1" t="s">
        <v>2558</v>
      </c>
      <c r="E397" s="1" t="s">
        <v>2559</v>
      </c>
      <c r="G397" s="1" t="s">
        <v>2546</v>
      </c>
      <c r="H397" s="1">
        <v>2021.0</v>
      </c>
      <c r="I397" s="1" t="s">
        <v>42</v>
      </c>
      <c r="J397" s="1" t="s">
        <v>247</v>
      </c>
      <c r="K397" s="1" t="s">
        <v>199</v>
      </c>
      <c r="L397" s="1" t="s">
        <v>2560</v>
      </c>
      <c r="M397" s="2" t="s">
        <v>12</v>
      </c>
      <c r="N397" s="4">
        <f t="shared" si="1"/>
        <v>44400</v>
      </c>
      <c r="O397" s="5" t="str">
        <f>IFERROR(__xludf.DUMMYFUNCTION("IF(REGEXMATCH(TRIM(I397), ""^\d+\s*min""), ""Unclassified"", IF(I397 = """", ""NR"", I397))"),"TV-MA")</f>
        <v>TV-MA</v>
      </c>
      <c r="R397" s="5" t="str">
        <f t="shared" si="2"/>
        <v>Bankrolled</v>
      </c>
      <c r="S397" s="5" t="str">
        <f>IFERROR(__xludf.DUMMYFUNCTION("""COMPUTED_VALUE"""),"Alakada Reloaded")</f>
        <v>Alakada Reloaded</v>
      </c>
      <c r="T397" s="5" t="str">
        <f>IFERROR(__xludf.DUMMYFUNCTION("""COMPUTED_VALUE"""),"Poland, West Germany")</f>
        <v>Poland, West Germany</v>
      </c>
      <c r="U397" s="5" t="str">
        <f>IFERROR(__xludf.DUMMYFUNCTION("""COMPUTED_VALUE"""),"Rob Seidenglanz")</f>
        <v>Rob Seidenglanz</v>
      </c>
      <c r="V397" s="5" t="s">
        <v>2561</v>
      </c>
      <c r="W397" s="5" t="str">
        <f t="shared" si="3"/>
        <v>Arpan Sarkar, Shyamal Chaulia</v>
      </c>
      <c r="X397" s="5">
        <f t="shared" si="4"/>
        <v>1</v>
      </c>
      <c r="Y397" s="5" t="str">
        <f>IFERROR(__xludf.DUMMYFUNCTION("REGEXEXTRACT(J397, ""^\d+"")"),"97")</f>
        <v>97</v>
      </c>
      <c r="Z397" s="5" t="str">
        <f>IFERROR(__xludf.DUMMYFUNCTION("REGEXEXTRACT(J397, ""[A-Za-z ]+$"")")," min")</f>
        <v> min</v>
      </c>
      <c r="AA397" s="5" t="str">
        <f>IFERROR(__xludf.DUMMYFUNCTION("IF(REGEXMATCH(Z397, ""Season""), ""TV Show"", ""Movie"")"),"Movie")</f>
        <v>Movie</v>
      </c>
    </row>
    <row r="398">
      <c r="A398" s="1" t="s">
        <v>2562</v>
      </c>
      <c r="B398" s="1" t="s">
        <v>27</v>
      </c>
      <c r="C398" s="1" t="s">
        <v>2563</v>
      </c>
      <c r="D398" s="1" t="s">
        <v>2564</v>
      </c>
      <c r="E398" s="1" t="s">
        <v>2565</v>
      </c>
      <c r="G398" s="1" t="s">
        <v>2546</v>
      </c>
      <c r="H398" s="1">
        <v>2021.0</v>
      </c>
      <c r="I398" s="1" t="s">
        <v>42</v>
      </c>
      <c r="J398" s="1" t="s">
        <v>2566</v>
      </c>
      <c r="K398" s="1" t="s">
        <v>1376</v>
      </c>
      <c r="L398" s="1" t="s">
        <v>2567</v>
      </c>
      <c r="M398" s="2" t="s">
        <v>12</v>
      </c>
      <c r="N398" s="4">
        <f t="shared" si="1"/>
        <v>44400</v>
      </c>
      <c r="O398" s="5" t="str">
        <f>IFERROR(__xludf.DUMMYFUNCTION("IF(REGEXMATCH(TRIM(I398), ""^\d+\s*min""), ""Unclassified"", IF(I398 = """", ""NR"", I398))"),"TV-MA")</f>
        <v>TV-MA</v>
      </c>
      <c r="R398" s="5" t="str">
        <f t="shared" si="2"/>
        <v>Blood Red Sky</v>
      </c>
      <c r="S398" s="5" t="str">
        <f>IFERROR(__xludf.DUMMYFUNCTION("""COMPUTED_VALUE"""),"Alan Saldaña: Locked Up")</f>
        <v>Alan Saldaña: Locked Up</v>
      </c>
      <c r="T398" s="5" t="str">
        <f>IFERROR(__xludf.DUMMYFUNCTION("""COMPUTED_VALUE"""),"Portugal, France, Poland, United States")</f>
        <v>Portugal, France, Poland, United States</v>
      </c>
      <c r="U398" s="5" t="str">
        <f>IFERROR(__xludf.DUMMYFUNCTION("""COMPUTED_VALUE"""),"Simon Frederick")</f>
        <v>Simon Frederick</v>
      </c>
      <c r="V398" s="5" t="s">
        <v>2568</v>
      </c>
      <c r="W398" s="5" t="str">
        <f t="shared" si="3"/>
        <v>Arthur Allan Seidelman</v>
      </c>
      <c r="X398" s="5">
        <f t="shared" si="4"/>
        <v>1</v>
      </c>
      <c r="Y398" s="5" t="str">
        <f>IFERROR(__xludf.DUMMYFUNCTION("REGEXEXTRACT(J398, ""^\d+"")"),"123")</f>
        <v>123</v>
      </c>
      <c r="Z398" s="5" t="str">
        <f>IFERROR(__xludf.DUMMYFUNCTION("REGEXEXTRACT(J398, ""[A-Za-z ]+$"")")," min")</f>
        <v> min</v>
      </c>
      <c r="AA398" s="5" t="str">
        <f>IFERROR(__xludf.DUMMYFUNCTION("IF(REGEXMATCH(Z398, ""Season""), ""TV Show"", ""Movie"")"),"Movie")</f>
        <v>Movie</v>
      </c>
    </row>
    <row r="399">
      <c r="A399" s="1" t="s">
        <v>2569</v>
      </c>
      <c r="B399" s="1" t="s">
        <v>37</v>
      </c>
      <c r="C399" s="1" t="s">
        <v>2570</v>
      </c>
      <c r="E399" s="1" t="s">
        <v>2571</v>
      </c>
      <c r="G399" s="1" t="s">
        <v>2546</v>
      </c>
      <c r="H399" s="1">
        <v>2021.0</v>
      </c>
      <c r="I399" s="1" t="s">
        <v>42</v>
      </c>
      <c r="J399" s="1" t="s">
        <v>51</v>
      </c>
      <c r="K399" s="1" t="s">
        <v>64</v>
      </c>
      <c r="L399" s="1" t="s">
        <v>2572</v>
      </c>
      <c r="M399" s="2" t="s">
        <v>12</v>
      </c>
      <c r="N399" s="4">
        <f t="shared" si="1"/>
        <v>44400</v>
      </c>
      <c r="O399" s="5" t="str">
        <f>IFERROR(__xludf.DUMMYFUNCTION("IF(REGEXMATCH(TRIM(I399), ""^\d+\s*min""), ""Unclassified"", IF(I399 = """", ""NR"", I399))"),"TV-MA")</f>
        <v>TV-MA</v>
      </c>
      <c r="R399" s="5" t="str">
        <f t="shared" si="2"/>
        <v>Feels Like Ishq</v>
      </c>
      <c r="S399" s="5" t="str">
        <f>IFERROR(__xludf.DUMMYFUNCTION("""COMPUTED_VALUE"""),"Alan Saldaña: Mi Vida De Pobre")</f>
        <v>Alan Saldaña: Mi Vida De Pobre</v>
      </c>
      <c r="T399" s="5" t="str">
        <f>IFERROR(__xludf.DUMMYFUNCTION("""COMPUTED_VALUE"""),"Portugal, Spain")</f>
        <v>Portugal, Spain</v>
      </c>
      <c r="U399" s="5" t="str">
        <f>IFERROR(__xludf.DUMMYFUNCTION("""COMPUTED_VALUE"""),"Michihito Fujii")</f>
        <v>Michihito Fujii</v>
      </c>
      <c r="V399" s="5" t="s">
        <v>2573</v>
      </c>
      <c r="W399" s="5" t="str">
        <f t="shared" si="3"/>
        <v>Arthur Muhammad</v>
      </c>
      <c r="X399" s="5">
        <f t="shared" si="4"/>
        <v>1</v>
      </c>
      <c r="Y399" s="5" t="str">
        <f>IFERROR(__xludf.DUMMYFUNCTION("REGEXEXTRACT(J399, ""^\d+"")"),"1")</f>
        <v>1</v>
      </c>
      <c r="Z399" s="5" t="str">
        <f>IFERROR(__xludf.DUMMYFUNCTION("REGEXEXTRACT(J399, ""[A-Za-z ]+$"")")," Season")</f>
        <v> Season</v>
      </c>
      <c r="AA399" s="5" t="str">
        <f>IFERROR(__xludf.DUMMYFUNCTION("IF(REGEXMATCH(Z399, ""Season""), ""TV Show"", ""Movie"")"),"TV Show")</f>
        <v>TV Show</v>
      </c>
    </row>
    <row r="400">
      <c r="A400" s="1" t="s">
        <v>2574</v>
      </c>
      <c r="B400" s="1" t="s">
        <v>27</v>
      </c>
      <c r="C400" s="1" t="s">
        <v>2575</v>
      </c>
      <c r="D400" s="1" t="s">
        <v>2576</v>
      </c>
      <c r="E400" s="1" t="s">
        <v>2577</v>
      </c>
      <c r="G400" s="1" t="s">
        <v>2546</v>
      </c>
      <c r="H400" s="1">
        <v>2021.0</v>
      </c>
      <c r="I400" s="1" t="s">
        <v>42</v>
      </c>
      <c r="J400" s="1" t="s">
        <v>170</v>
      </c>
      <c r="K400" s="1" t="s">
        <v>1592</v>
      </c>
      <c r="L400" s="1" t="s">
        <v>2578</v>
      </c>
      <c r="M400" s="2" t="s">
        <v>12</v>
      </c>
      <c r="N400" s="4">
        <f t="shared" si="1"/>
        <v>44400</v>
      </c>
      <c r="O400" s="5" t="str">
        <f>IFERROR(__xludf.DUMMYFUNCTION("IF(REGEXMATCH(TRIM(I400), ""^\d+\s*min""), ""Unclassified"", IF(I400 = """", ""NR"", I400))"),"TV-MA")</f>
        <v>TV-MA</v>
      </c>
      <c r="R400" s="5" t="str">
        <f t="shared" si="2"/>
        <v>Kingdom: Ashin Of The North</v>
      </c>
      <c r="S400" s="5" t="str">
        <f>IFERROR(__xludf.DUMMYFUNCTION("""COMPUTED_VALUE"""),"Alarmoty In The Land Of Fire")</f>
        <v>Alarmoty In The Land Of Fire</v>
      </c>
      <c r="T400" s="5" t="str">
        <f>IFERROR(__xludf.DUMMYFUNCTION("""COMPUTED_VALUE"""),"Portugal, United States")</f>
        <v>Portugal, United States</v>
      </c>
      <c r="U400" s="5" t="str">
        <f>IFERROR(__xludf.DUMMYFUNCTION("""COMPUTED_VALUE"""),"Paul Weitz")</f>
        <v>Paul Weitz</v>
      </c>
      <c r="V400" s="5" t="s">
        <v>2579</v>
      </c>
      <c r="W400" s="5" t="str">
        <f t="shared" si="3"/>
        <v>Arthur Penn</v>
      </c>
      <c r="X400" s="5">
        <f t="shared" si="4"/>
        <v>1</v>
      </c>
      <c r="Y400" s="5" t="str">
        <f>IFERROR(__xludf.DUMMYFUNCTION("REGEXEXTRACT(J400, ""^\d+"")"),"94")</f>
        <v>94</v>
      </c>
      <c r="Z400" s="5" t="str">
        <f>IFERROR(__xludf.DUMMYFUNCTION("REGEXEXTRACT(J400, ""[A-Za-z ]+$"")")," min")</f>
        <v> min</v>
      </c>
      <c r="AA400" s="5" t="str">
        <f>IFERROR(__xludf.DUMMYFUNCTION("IF(REGEXMATCH(Z400, ""Season""), ""TV Show"", ""Movie"")"),"Movie")</f>
        <v>Movie</v>
      </c>
    </row>
    <row r="401">
      <c r="A401" s="1" t="s">
        <v>2580</v>
      </c>
      <c r="B401" s="1" t="s">
        <v>37</v>
      </c>
      <c r="C401" s="1" t="s">
        <v>2581</v>
      </c>
      <c r="E401" s="1" t="s">
        <v>2582</v>
      </c>
      <c r="G401" s="1" t="s">
        <v>2546</v>
      </c>
      <c r="H401" s="1">
        <v>2021.0</v>
      </c>
      <c r="I401" s="1" t="s">
        <v>136</v>
      </c>
      <c r="J401" s="1" t="s">
        <v>51</v>
      </c>
      <c r="K401" s="1" t="s">
        <v>2583</v>
      </c>
      <c r="L401" s="1" t="s">
        <v>2584</v>
      </c>
      <c r="M401" s="2" t="s">
        <v>12</v>
      </c>
      <c r="N401" s="4">
        <f t="shared" si="1"/>
        <v>44400</v>
      </c>
      <c r="O401" s="5" t="str">
        <f>IFERROR(__xludf.DUMMYFUNCTION("IF(REGEXMATCH(TRIM(I401), ""^\d+\s*min""), ""Unclassified"", IF(I401 = """", ""NR"", I401))"),"TV-PG")</f>
        <v>TV-PG</v>
      </c>
      <c r="R401" s="5" t="str">
        <f t="shared" si="2"/>
        <v>Masters Of The Universe: Revelation</v>
      </c>
      <c r="S401" s="5" t="str">
        <f>IFERROR(__xludf.DUMMYFUNCTION("""COMPUTED_VALUE"""),"Alaska Is A Drag")</f>
        <v>Alaska Is A Drag</v>
      </c>
      <c r="T401" s="5" t="str">
        <f>IFERROR(__xludf.DUMMYFUNCTION("""COMPUTED_VALUE"""),"Puerto Rico, United States, Colombia")</f>
        <v>Puerto Rico, United States, Colombia</v>
      </c>
      <c r="U401" s="5" t="str">
        <f>IFERROR(__xludf.DUMMYFUNCTION("""COMPUTED_VALUE"""),"Karthik Subbaraj")</f>
        <v>Karthik Subbaraj</v>
      </c>
      <c r="V401" s="5" t="s">
        <v>2585</v>
      </c>
      <c r="W401" s="5" t="str">
        <f t="shared" si="3"/>
        <v>Arun Chidambaram</v>
      </c>
      <c r="X401" s="5">
        <f t="shared" si="4"/>
        <v>1</v>
      </c>
      <c r="Y401" s="5" t="str">
        <f>IFERROR(__xludf.DUMMYFUNCTION("REGEXEXTRACT(J401, ""^\d+"")"),"1")</f>
        <v>1</v>
      </c>
      <c r="Z401" s="5" t="str">
        <f>IFERROR(__xludf.DUMMYFUNCTION("REGEXEXTRACT(J401, ""[A-Za-z ]+$"")")," Season")</f>
        <v> Season</v>
      </c>
      <c r="AA401" s="5" t="str">
        <f>IFERROR(__xludf.DUMMYFUNCTION("IF(REGEXMATCH(Z401, ""Season""), ""TV Show"", ""Movie"")"),"TV Show")</f>
        <v>TV Show</v>
      </c>
    </row>
    <row r="402">
      <c r="A402" s="1" t="s">
        <v>2586</v>
      </c>
      <c r="B402" s="1" t="s">
        <v>37</v>
      </c>
      <c r="C402" s="1" t="s">
        <v>2587</v>
      </c>
      <c r="E402" s="1" t="s">
        <v>2588</v>
      </c>
      <c r="G402" s="1" t="s">
        <v>2546</v>
      </c>
      <c r="H402" s="1">
        <v>2021.0</v>
      </c>
      <c r="I402" s="1" t="s">
        <v>136</v>
      </c>
      <c r="J402" s="1" t="s">
        <v>51</v>
      </c>
      <c r="K402" s="1" t="s">
        <v>2589</v>
      </c>
      <c r="L402" s="1" t="s">
        <v>2590</v>
      </c>
      <c r="M402" s="2" t="s">
        <v>12</v>
      </c>
      <c r="N402" s="4">
        <f t="shared" si="1"/>
        <v>44400</v>
      </c>
      <c r="O402" s="5" t="str">
        <f>IFERROR(__xludf.DUMMYFUNCTION("IF(REGEXMATCH(TRIM(I402), ""^\d+\s*min""), ""Unclassified"", IF(I402 = """", ""NR"", I402))"),"TV-PG")</f>
        <v>TV-PG</v>
      </c>
      <c r="R402" s="5" t="str">
        <f t="shared" si="2"/>
        <v>Revelations: The Masters Of The Universe: Revelation Aftershow</v>
      </c>
      <c r="S402" s="5" t="str">
        <f>IFERROR(__xludf.DUMMYFUNCTION("""COMPUTED_VALUE"""),"Albert Pinto Ko Gussa Kyun Aata Hai?")</f>
        <v>Albert Pinto Ko Gussa Kyun Aata Hai?</v>
      </c>
      <c r="T402" s="5" t="str">
        <f>IFERROR(__xludf.DUMMYFUNCTION("""COMPUTED_VALUE"""),"Romania")</f>
        <v>Romania</v>
      </c>
      <c r="U402" s="5" t="str">
        <f>IFERROR(__xludf.DUMMYFUNCTION("""COMPUTED_VALUE"""),"Lucky Kuswandi")</f>
        <v>Lucky Kuswandi</v>
      </c>
      <c r="V402" s="5" t="s">
        <v>2591</v>
      </c>
      <c r="W402" s="5" t="str">
        <f t="shared" si="3"/>
        <v>Arun Vaidyanathan</v>
      </c>
      <c r="X402" s="5">
        <f t="shared" si="4"/>
        <v>1</v>
      </c>
      <c r="Y402" s="5" t="str">
        <f>IFERROR(__xludf.DUMMYFUNCTION("REGEXEXTRACT(J402, ""^\d+"")"),"1")</f>
        <v>1</v>
      </c>
      <c r="Z402" s="5" t="str">
        <f>IFERROR(__xludf.DUMMYFUNCTION("REGEXEXTRACT(J402, ""[A-Za-z ]+$"")")," Season")</f>
        <v> Season</v>
      </c>
      <c r="AA402" s="5" t="str">
        <f>IFERROR(__xludf.DUMMYFUNCTION("IF(REGEXMATCH(Z402, ""Season""), ""TV Show"", ""Movie"")"),"TV Show")</f>
        <v>TV Show</v>
      </c>
    </row>
    <row r="403">
      <c r="A403" s="1" t="s">
        <v>2592</v>
      </c>
      <c r="B403" s="1" t="s">
        <v>37</v>
      </c>
      <c r="C403" s="1" t="s">
        <v>2593</v>
      </c>
      <c r="E403" s="1" t="s">
        <v>2594</v>
      </c>
      <c r="F403" s="1" t="s">
        <v>784</v>
      </c>
      <c r="G403" s="1" t="s">
        <v>2546</v>
      </c>
      <c r="H403" s="1">
        <v>2021.0</v>
      </c>
      <c r="I403" s="1" t="s">
        <v>42</v>
      </c>
      <c r="J403" s="1" t="s">
        <v>43</v>
      </c>
      <c r="K403" s="1" t="s">
        <v>177</v>
      </c>
      <c r="L403" s="1" t="s">
        <v>2595</v>
      </c>
      <c r="M403" s="2" t="s">
        <v>12</v>
      </c>
      <c r="N403" s="4">
        <f t="shared" si="1"/>
        <v>44400</v>
      </c>
      <c r="O403" s="5" t="str">
        <f>IFERROR(__xludf.DUMMYFUNCTION("IF(REGEXMATCH(TRIM(I403), ""^\d+\s*min""), ""Unclassified"", IF(I403 = """", ""NR"", I403))"),"TV-MA")</f>
        <v>TV-MA</v>
      </c>
      <c r="R403" s="5" t="str">
        <f t="shared" si="2"/>
        <v>Sky Rojo</v>
      </c>
      <c r="S403" s="5" t="str">
        <f>IFERROR(__xludf.DUMMYFUNCTION("""COMPUTED_VALUE"""),"Albion: The Enchanted Stallion")</f>
        <v>Albion: The Enchanted Stallion</v>
      </c>
      <c r="T403" s="5" t="str">
        <f>IFERROR(__xludf.DUMMYFUNCTION("""COMPUTED_VALUE"""),"Romania, Bulgaria, Hungary")</f>
        <v>Romania, Bulgaria, Hungary</v>
      </c>
      <c r="U403" s="5" t="str">
        <f>IFERROR(__xludf.DUMMYFUNCTION("""COMPUTED_VALUE"""),"Soudade Kaadan")</f>
        <v>Soudade Kaadan</v>
      </c>
      <c r="V403" s="5" t="s">
        <v>2596</v>
      </c>
      <c r="W403" s="5" t="str">
        <f t="shared" si="3"/>
        <v>Aruna Raje</v>
      </c>
      <c r="X403" s="5">
        <f t="shared" si="4"/>
        <v>1</v>
      </c>
      <c r="Y403" s="5" t="str">
        <f>IFERROR(__xludf.DUMMYFUNCTION("REGEXEXTRACT(J403, ""^\d+"")"),"2")</f>
        <v>2</v>
      </c>
      <c r="Z403" s="5" t="str">
        <f>IFERROR(__xludf.DUMMYFUNCTION("REGEXEXTRACT(J403, ""[A-Za-z ]+$"")")," Seasons")</f>
        <v> Seasons</v>
      </c>
      <c r="AA403" s="5" t="str">
        <f>IFERROR(__xludf.DUMMYFUNCTION("IF(REGEXMATCH(Z403, ""Season""), ""TV Show"", ""Movie"")"),"TV Show")</f>
        <v>TV Show</v>
      </c>
    </row>
    <row r="404">
      <c r="A404" s="1" t="s">
        <v>2597</v>
      </c>
      <c r="B404" s="1" t="s">
        <v>27</v>
      </c>
      <c r="C404" s="1" t="s">
        <v>2598</v>
      </c>
      <c r="D404" s="1" t="s">
        <v>2599</v>
      </c>
      <c r="E404" s="1" t="s">
        <v>2600</v>
      </c>
      <c r="F404" s="1" t="s">
        <v>96</v>
      </c>
      <c r="G404" s="1" t="s">
        <v>2546</v>
      </c>
      <c r="H404" s="1">
        <v>2021.0</v>
      </c>
      <c r="I404" s="1" t="s">
        <v>42</v>
      </c>
      <c r="J404" s="1" t="s">
        <v>264</v>
      </c>
      <c r="K404" s="1" t="s">
        <v>828</v>
      </c>
      <c r="L404" s="1" t="s">
        <v>2601</v>
      </c>
      <c r="M404" s="2" t="s">
        <v>12</v>
      </c>
      <c r="N404" s="4">
        <f t="shared" si="1"/>
        <v>44400</v>
      </c>
      <c r="O404" s="5" t="str">
        <f>IFERROR(__xludf.DUMMYFUNCTION("IF(REGEXMATCH(TRIM(I404), ""^\d+\s*min""), ""Unclassified"", IF(I404 = """", ""NR"", I404))"),"TV-MA")</f>
        <v>TV-MA</v>
      </c>
      <c r="R404" s="5" t="str">
        <f t="shared" si="2"/>
        <v>The Last Letter From Your Lover</v>
      </c>
      <c r="S404" s="5" t="str">
        <f>IFERROR(__xludf.DUMMYFUNCTION("""COMPUTED_VALUE"""),"Alejandro Riaño: Especial De Stand Up")</f>
        <v>Alejandro Riaño: Especial De Stand Up</v>
      </c>
      <c r="T404" s="5" t="str">
        <f>IFERROR(__xludf.DUMMYFUNCTION("""COMPUTED_VALUE"""),"Romania, France, Switzerland, Germany")</f>
        <v>Romania, France, Switzerland, Germany</v>
      </c>
      <c r="U404" s="5" t="str">
        <f>IFERROR(__xludf.DUMMYFUNCTION("""COMPUTED_VALUE"""),"Antoinette Jadaone")</f>
        <v>Antoinette Jadaone</v>
      </c>
      <c r="V404" s="5" t="s">
        <v>2602</v>
      </c>
      <c r="W404" s="5" t="str">
        <f t="shared" si="3"/>
        <v>Asghar Farhadi</v>
      </c>
      <c r="X404" s="5">
        <f t="shared" si="4"/>
        <v>2</v>
      </c>
      <c r="Y404" s="5" t="str">
        <f>IFERROR(__xludf.DUMMYFUNCTION("REGEXEXTRACT(J404, ""^\d+"")"),"111")</f>
        <v>111</v>
      </c>
      <c r="Z404" s="5" t="str">
        <f>IFERROR(__xludf.DUMMYFUNCTION("REGEXEXTRACT(J404, ""[A-Za-z ]+$"")")," min")</f>
        <v> min</v>
      </c>
      <c r="AA404" s="5" t="str">
        <f>IFERROR(__xludf.DUMMYFUNCTION("IF(REGEXMATCH(Z404, ""Season""), ""TV Show"", ""Movie"")"),"Movie")</f>
        <v>Movie</v>
      </c>
    </row>
    <row r="405">
      <c r="A405" s="1" t="s">
        <v>2603</v>
      </c>
      <c r="B405" s="1" t="s">
        <v>37</v>
      </c>
      <c r="C405" s="1" t="s">
        <v>2604</v>
      </c>
      <c r="F405" s="1" t="s">
        <v>30</v>
      </c>
      <c r="G405" s="1" t="s">
        <v>2546</v>
      </c>
      <c r="H405" s="1">
        <v>2021.0</v>
      </c>
      <c r="I405" s="1" t="s">
        <v>42</v>
      </c>
      <c r="J405" s="1" t="s">
        <v>43</v>
      </c>
      <c r="K405" s="1" t="s">
        <v>1261</v>
      </c>
      <c r="L405" s="1" t="s">
        <v>2605</v>
      </c>
      <c r="M405" s="2" t="s">
        <v>12</v>
      </c>
      <c r="N405" s="4">
        <f t="shared" si="1"/>
        <v>44400</v>
      </c>
      <c r="O405" s="5" t="str">
        <f>IFERROR(__xludf.DUMMYFUNCTION("IF(REGEXMATCH(TRIM(I405), ""^\d+\s*min""), ""Unclassified"", IF(I405 = """", ""NR"", I405))"),"TV-MA")</f>
        <v>TV-MA</v>
      </c>
      <c r="R405" s="5" t="str">
        <f t="shared" si="2"/>
        <v>The Movies That Made Us</v>
      </c>
      <c r="S405" s="5" t="str">
        <f>IFERROR(__xludf.DUMMYFUNCTION("""COMPUTED_VALUE"""),"Alejandro Sanz: What I Was Is What I Am")</f>
        <v>Alejandro Sanz: What I Was Is What I Am</v>
      </c>
      <c r="T405" s="5" t="str">
        <f>IFERROR(__xludf.DUMMYFUNCTION("""COMPUTED_VALUE"""),"Romania, United Kingdom")</f>
        <v>Romania, United Kingdom</v>
      </c>
      <c r="U405" s="5" t="str">
        <f>IFERROR(__xludf.DUMMYFUNCTION("""COMPUTED_VALUE"""),"Marie Clements")</f>
        <v>Marie Clements</v>
      </c>
      <c r="V405" s="5" t="s">
        <v>2606</v>
      </c>
      <c r="W405" s="5" t="str">
        <f t="shared" si="3"/>
        <v>Ash Brannon, Chris Buck</v>
      </c>
      <c r="X405" s="5">
        <f t="shared" si="4"/>
        <v>1</v>
      </c>
      <c r="Y405" s="5" t="str">
        <f>IFERROR(__xludf.DUMMYFUNCTION("REGEXEXTRACT(J405, ""^\d+"")"),"2")</f>
        <v>2</v>
      </c>
      <c r="Z405" s="5" t="str">
        <f>IFERROR(__xludf.DUMMYFUNCTION("REGEXEXTRACT(J405, ""[A-Za-z ]+$"")")," Seasons")</f>
        <v> Seasons</v>
      </c>
      <c r="AA405" s="5" t="str">
        <f>IFERROR(__xludf.DUMMYFUNCTION("IF(REGEXMATCH(Z405, ""Season""), ""TV Show"", ""Movie"")"),"TV Show")</f>
        <v>TV Show</v>
      </c>
    </row>
    <row r="406">
      <c r="A406" s="1" t="s">
        <v>2607</v>
      </c>
      <c r="B406" s="1" t="s">
        <v>27</v>
      </c>
      <c r="C406" s="1" t="s">
        <v>2608</v>
      </c>
      <c r="G406" s="1" t="s">
        <v>2609</v>
      </c>
      <c r="H406" s="1">
        <v>2021.0</v>
      </c>
      <c r="I406" s="1" t="s">
        <v>42</v>
      </c>
      <c r="J406" s="1" t="s">
        <v>471</v>
      </c>
      <c r="K406" s="1" t="s">
        <v>34</v>
      </c>
      <c r="L406" s="1" t="s">
        <v>2610</v>
      </c>
      <c r="M406" s="2" t="s">
        <v>12</v>
      </c>
      <c r="N406" s="4">
        <f t="shared" si="1"/>
        <v>44399</v>
      </c>
      <c r="O406" s="5" t="str">
        <f>IFERROR(__xludf.DUMMYFUNCTION("IF(REGEXMATCH(TRIM(I406), ""^\d+\s*min""), ""Unclassified"", IF(I406 = """", ""NR"", I406))"),"TV-MA")</f>
        <v>TV-MA</v>
      </c>
      <c r="R406" s="5" t="str">
        <f t="shared" si="2"/>
        <v>9To5: The Story Of A Movement</v>
      </c>
      <c r="S406" s="5" t="str">
        <f>IFERROR(__xludf.DUMMYFUNCTION("""COMPUTED_VALUE"""),"Alelí")</f>
        <v>Alelí</v>
      </c>
      <c r="T406" s="5" t="str">
        <f>IFERROR(__xludf.DUMMYFUNCTION("""COMPUTED_VALUE"""),"Romania, United States")</f>
        <v>Romania, United States</v>
      </c>
      <c r="U406" s="5" t="str">
        <f>IFERROR(__xludf.DUMMYFUNCTION("""COMPUTED_VALUE"""),"David O. Russell")</f>
        <v>David O. Russell</v>
      </c>
      <c r="V406" s="5" t="s">
        <v>2611</v>
      </c>
      <c r="W406" s="5" t="str">
        <f t="shared" si="3"/>
        <v>Ashim Ahluwalia</v>
      </c>
      <c r="X406" s="5">
        <f t="shared" si="4"/>
        <v>1</v>
      </c>
      <c r="Y406" s="5" t="str">
        <f>IFERROR(__xludf.DUMMYFUNCTION("REGEXEXTRACT(J406, ""^\d+"")"),"85")</f>
        <v>85</v>
      </c>
      <c r="Z406" s="5" t="str">
        <f>IFERROR(__xludf.DUMMYFUNCTION("REGEXEXTRACT(J406, ""[A-Za-z ]+$"")")," min")</f>
        <v> min</v>
      </c>
      <c r="AA406" s="5" t="str">
        <f>IFERROR(__xludf.DUMMYFUNCTION("IF(REGEXMATCH(Z406, ""Season""), ""TV Show"", ""Movie"")"),"Movie")</f>
        <v>Movie</v>
      </c>
    </row>
    <row r="407">
      <c r="A407" s="1" t="s">
        <v>2612</v>
      </c>
      <c r="B407" s="1" t="s">
        <v>27</v>
      </c>
      <c r="C407" s="1" t="s">
        <v>2613</v>
      </c>
      <c r="D407" s="1" t="s">
        <v>2614</v>
      </c>
      <c r="E407" s="1" t="s">
        <v>2615</v>
      </c>
      <c r="G407" s="1" t="s">
        <v>2609</v>
      </c>
      <c r="H407" s="1">
        <v>2015.0</v>
      </c>
      <c r="I407" s="1" t="s">
        <v>206</v>
      </c>
      <c r="J407" s="1" t="s">
        <v>2616</v>
      </c>
      <c r="K407" s="1" t="s">
        <v>80</v>
      </c>
      <c r="L407" s="1" t="s">
        <v>2617</v>
      </c>
      <c r="M407" s="2" t="s">
        <v>12</v>
      </c>
      <c r="N407" s="4">
        <f t="shared" si="1"/>
        <v>44399</v>
      </c>
      <c r="O407" s="5" t="str">
        <f>IFERROR(__xludf.DUMMYFUNCTION("IF(REGEXMATCH(TRIM(I407), ""^\d+\s*min""), ""Unclassified"", IF(I407 = """", ""NR"", I407))"),"TV-Y")</f>
        <v>TV-Y</v>
      </c>
      <c r="R407" s="5" t="str">
        <f t="shared" si="2"/>
        <v>Chhota Bheem - Dinosaur World</v>
      </c>
      <c r="S407" s="5" t="str">
        <f>IFERROR(__xludf.DUMMYFUNCTION("""COMPUTED_VALUE"""),"Alex Fernández: The Best Comedian In The World")</f>
        <v>Alex Fernández: The Best Comedian In The World</v>
      </c>
      <c r="T407" s="5" t="str">
        <f>IFERROR(__xludf.DUMMYFUNCTION("""COMPUTED_VALUE"""),"Russia")</f>
        <v>Russia</v>
      </c>
      <c r="U407" s="5" t="str">
        <f>IFERROR(__xludf.DUMMYFUNCTION("""COMPUTED_VALUE"""),"Achille Brice")</f>
        <v>Achille Brice</v>
      </c>
      <c r="V407" s="5" t="s">
        <v>2618</v>
      </c>
      <c r="W407" s="5" t="str">
        <f t="shared" si="3"/>
        <v>Ashish R. Mohan</v>
      </c>
      <c r="X407" s="5">
        <f t="shared" si="4"/>
        <v>1</v>
      </c>
      <c r="Y407" s="5" t="str">
        <f>IFERROR(__xludf.DUMMYFUNCTION("REGEXEXTRACT(J407, ""^\d+"")"),"65")</f>
        <v>65</v>
      </c>
      <c r="Z407" s="5" t="str">
        <f>IFERROR(__xludf.DUMMYFUNCTION("REGEXEXTRACT(J407, ""[A-Za-z ]+$"")")," min")</f>
        <v> min</v>
      </c>
      <c r="AA407" s="5" t="str">
        <f>IFERROR(__xludf.DUMMYFUNCTION("IF(REGEXMATCH(Z407, ""Season""), ""TV Show"", ""Movie"")"),"Movie")</f>
        <v>Movie</v>
      </c>
    </row>
    <row r="408">
      <c r="A408" s="1" t="s">
        <v>2619</v>
      </c>
      <c r="B408" s="1" t="s">
        <v>27</v>
      </c>
      <c r="C408" s="1" t="s">
        <v>2620</v>
      </c>
      <c r="D408" s="1" t="s">
        <v>2621</v>
      </c>
      <c r="E408" s="1" t="s">
        <v>328</v>
      </c>
      <c r="G408" s="1" t="s">
        <v>2609</v>
      </c>
      <c r="H408" s="1">
        <v>2013.0</v>
      </c>
      <c r="I408" s="1" t="s">
        <v>289</v>
      </c>
      <c r="J408" s="1" t="s">
        <v>1838</v>
      </c>
      <c r="K408" s="1" t="s">
        <v>80</v>
      </c>
      <c r="L408" s="1" t="s">
        <v>2622</v>
      </c>
      <c r="M408" s="2" t="s">
        <v>12</v>
      </c>
      <c r="N408" s="4">
        <f t="shared" si="1"/>
        <v>44399</v>
      </c>
      <c r="O408" s="5" t="str">
        <f>IFERROR(__xludf.DUMMYFUNCTION("IF(REGEXMATCH(TRIM(I408), ""^\d+\s*min""), ""Unclassified"", IF(I408 = """", ""NR"", I408))"),"TV-Y7")</f>
        <v>TV-Y7</v>
      </c>
      <c r="R408" s="5" t="str">
        <f t="shared" si="2"/>
        <v>Chhota Bheem - Neeli Pahaadi</v>
      </c>
      <c r="S408" s="5" t="str">
        <f>IFERROR(__xludf.DUMMYFUNCTION("""COMPUTED_VALUE"""),"Alex Strangelove")</f>
        <v>Alex Strangelove</v>
      </c>
      <c r="T408" s="5" t="str">
        <f>IFERROR(__xludf.DUMMYFUNCTION("""COMPUTED_VALUE"""),"Russia, Poland, Serbia")</f>
        <v>Russia, Poland, Serbia</v>
      </c>
      <c r="U408" s="5" t="str">
        <f>IFERROR(__xludf.DUMMYFUNCTION("""COMPUTED_VALUE"""),"Max Jabs")</f>
        <v>Max Jabs</v>
      </c>
      <c r="V408" s="5" t="s">
        <v>2623</v>
      </c>
      <c r="W408" s="5" t="str">
        <f t="shared" si="3"/>
        <v>Ashish R. Shukla</v>
      </c>
      <c r="X408" s="5">
        <f t="shared" si="4"/>
        <v>1</v>
      </c>
      <c r="Y408" s="5" t="str">
        <f>IFERROR(__xludf.DUMMYFUNCTION("REGEXEXTRACT(J408, ""^\d+"")"),"64")</f>
        <v>64</v>
      </c>
      <c r="Z408" s="5" t="str">
        <f>IFERROR(__xludf.DUMMYFUNCTION("REGEXEXTRACT(J408, ""[A-Za-z ]+$"")")," min")</f>
        <v> min</v>
      </c>
      <c r="AA408" s="5" t="str">
        <f>IFERROR(__xludf.DUMMYFUNCTION("IF(REGEXMATCH(Z408, ""Season""), ""TV Show"", ""Movie"")"),"Movie")</f>
        <v>Movie</v>
      </c>
    </row>
    <row r="409">
      <c r="A409" s="1" t="s">
        <v>2624</v>
      </c>
      <c r="B409" s="1" t="s">
        <v>27</v>
      </c>
      <c r="C409" s="1" t="s">
        <v>2625</v>
      </c>
      <c r="D409" s="1" t="s">
        <v>2621</v>
      </c>
      <c r="E409" s="1" t="s">
        <v>328</v>
      </c>
      <c r="G409" s="1" t="s">
        <v>2609</v>
      </c>
      <c r="H409" s="1">
        <v>2009.0</v>
      </c>
      <c r="I409" s="1" t="s">
        <v>289</v>
      </c>
      <c r="J409" s="1" t="s">
        <v>2626</v>
      </c>
      <c r="K409" s="1" t="s">
        <v>80</v>
      </c>
      <c r="L409" s="1" t="s">
        <v>2627</v>
      </c>
      <c r="M409" s="2" t="s">
        <v>12</v>
      </c>
      <c r="N409" s="4">
        <f t="shared" si="1"/>
        <v>44399</v>
      </c>
      <c r="O409" s="5" t="str">
        <f>IFERROR(__xludf.DUMMYFUNCTION("IF(REGEXMATCH(TRIM(I409), ""^\d+\s*min""), ""Unclassified"", IF(I409 = """", ""NR"", I409))"),"TV-Y7")</f>
        <v>TV-Y7</v>
      </c>
      <c r="R409" s="5" t="str">
        <f t="shared" si="2"/>
        <v>Chhota Bheem &amp; Ganesh</v>
      </c>
      <c r="S409" s="5" t="str">
        <f>IFERROR(__xludf.DUMMYFUNCTION("""COMPUTED_VALUE"""),"Alexa &amp; Katie")</f>
        <v>Alexa &amp; Katie</v>
      </c>
      <c r="T409" s="5" t="str">
        <f>IFERROR(__xludf.DUMMYFUNCTION("""COMPUTED_VALUE"""),"Russia, Spain")</f>
        <v>Russia, Spain</v>
      </c>
      <c r="U409" s="5" t="str">
        <f>IFERROR(__xludf.DUMMYFUNCTION("""COMPUTED_VALUE"""),"Sarawut Wichiensarn")</f>
        <v>Sarawut Wichiensarn</v>
      </c>
      <c r="V409" s="5" t="s">
        <v>2628</v>
      </c>
      <c r="W409" s="5" t="str">
        <f t="shared" si="3"/>
        <v>Ashok Nanda</v>
      </c>
      <c r="X409" s="5">
        <f t="shared" si="4"/>
        <v>2</v>
      </c>
      <c r="Y409" s="5" t="str">
        <f>IFERROR(__xludf.DUMMYFUNCTION("REGEXEXTRACT(J409, ""^\d+"")"),"68")</f>
        <v>68</v>
      </c>
      <c r="Z409" s="5" t="str">
        <f>IFERROR(__xludf.DUMMYFUNCTION("REGEXEXTRACT(J409, ""[A-Za-z ]+$"")")," min")</f>
        <v> min</v>
      </c>
      <c r="AA409" s="5" t="str">
        <f>IFERROR(__xludf.DUMMYFUNCTION("IF(REGEXMATCH(Z409, ""Season""), ""TV Show"", ""Movie"")"),"Movie")</f>
        <v>Movie</v>
      </c>
    </row>
    <row r="410">
      <c r="A410" s="1" t="s">
        <v>2629</v>
      </c>
      <c r="B410" s="1" t="s">
        <v>27</v>
      </c>
      <c r="C410" s="1" t="s">
        <v>2630</v>
      </c>
      <c r="D410" s="1" t="s">
        <v>2621</v>
      </c>
      <c r="E410" s="1" t="s">
        <v>328</v>
      </c>
      <c r="G410" s="1" t="s">
        <v>2609</v>
      </c>
      <c r="H410" s="1">
        <v>2011.0</v>
      </c>
      <c r="I410" s="1" t="s">
        <v>289</v>
      </c>
      <c r="J410" s="1" t="s">
        <v>155</v>
      </c>
      <c r="K410" s="1" t="s">
        <v>80</v>
      </c>
      <c r="L410" s="1" t="s">
        <v>2631</v>
      </c>
      <c r="M410" s="2" t="s">
        <v>12</v>
      </c>
      <c r="N410" s="4">
        <f t="shared" si="1"/>
        <v>44399</v>
      </c>
      <c r="O410" s="5" t="str">
        <f>IFERROR(__xludf.DUMMYFUNCTION("IF(REGEXMATCH(TRIM(I410), ""^\d+\s*min""), ""Unclassified"", IF(I410 = """", ""NR"", I410))"),"TV-Y7")</f>
        <v>TV-Y7</v>
      </c>
      <c r="R410" s="5" t="str">
        <f t="shared" si="2"/>
        <v>Chhota Bheem &amp; Krishna: Mayanagari</v>
      </c>
      <c r="S410" s="5" t="str">
        <f>IFERROR(__xludf.DUMMYFUNCTION("""COMPUTED_VALUE"""),"Alexandria ... Why?")</f>
        <v>Alexandria ... Why?</v>
      </c>
      <c r="T410" s="5" t="str">
        <f>IFERROR(__xludf.DUMMYFUNCTION("""COMPUTED_VALUE"""),"Russia, United States")</f>
        <v>Russia, United States</v>
      </c>
      <c r="U410" s="5" t="str">
        <f>IFERROR(__xludf.DUMMYFUNCTION("""COMPUTED_VALUE"""),"Ricardo De Montreuil")</f>
        <v>Ricardo De Montreuil</v>
      </c>
      <c r="V410" s="5" t="s">
        <v>2632</v>
      </c>
      <c r="W410" s="5" t="str">
        <f t="shared" si="3"/>
        <v>Ashraf Fayeq</v>
      </c>
      <c r="X410" s="5">
        <f t="shared" si="4"/>
        <v>1</v>
      </c>
      <c r="Y410" s="5" t="str">
        <f>IFERROR(__xludf.DUMMYFUNCTION("REGEXEXTRACT(J410, ""^\d+"")"),"67")</f>
        <v>67</v>
      </c>
      <c r="Z410" s="5" t="str">
        <f>IFERROR(__xludf.DUMMYFUNCTION("REGEXEXTRACT(J410, ""[A-Za-z ]+$"")")," min")</f>
        <v> min</v>
      </c>
      <c r="AA410" s="5" t="str">
        <f>IFERROR(__xludf.DUMMYFUNCTION("IF(REGEXMATCH(Z410, ""Season""), ""TV Show"", ""Movie"")"),"Movie")</f>
        <v>Movie</v>
      </c>
    </row>
    <row r="411">
      <c r="A411" s="1" t="s">
        <v>2633</v>
      </c>
      <c r="B411" s="1" t="s">
        <v>27</v>
      </c>
      <c r="C411" s="1" t="s">
        <v>2634</v>
      </c>
      <c r="D411" s="1" t="s">
        <v>2621</v>
      </c>
      <c r="E411" s="1" t="s">
        <v>2635</v>
      </c>
      <c r="G411" s="1" t="s">
        <v>2609</v>
      </c>
      <c r="H411" s="1">
        <v>2010.0</v>
      </c>
      <c r="I411" s="1" t="s">
        <v>289</v>
      </c>
      <c r="J411" s="1" t="s">
        <v>2636</v>
      </c>
      <c r="K411" s="1" t="s">
        <v>80</v>
      </c>
      <c r="L411" s="1" t="s">
        <v>2637</v>
      </c>
      <c r="M411" s="2" t="s">
        <v>12</v>
      </c>
      <c r="N411" s="4">
        <f t="shared" si="1"/>
        <v>44399</v>
      </c>
      <c r="O411" s="5" t="str">
        <f>IFERROR(__xludf.DUMMYFUNCTION("IF(REGEXMATCH(TRIM(I411), ""^\d+\s*min""), ""Unclassified"", IF(I411 = """", ""NR"", I411))"),"TV-Y7")</f>
        <v>TV-Y7</v>
      </c>
      <c r="R411" s="5" t="str">
        <f t="shared" si="2"/>
        <v>Chhota Bheem &amp; Krishna: Pataliputra- City Of The Dead</v>
      </c>
      <c r="S411" s="5" t="str">
        <f>IFERROR(__xludf.DUMMYFUNCTION("""COMPUTED_VALUE"""),"Alexandria: Again And Forever")</f>
        <v>Alexandria: Again And Forever</v>
      </c>
      <c r="T411" s="5" t="str">
        <f>IFERROR(__xludf.DUMMYFUNCTION("""COMPUTED_VALUE"""),"Russia, United States, China")</f>
        <v>Russia, United States, China</v>
      </c>
      <c r="U411" s="5" t="str">
        <f>IFERROR(__xludf.DUMMYFUNCTION("""COMPUTED_VALUE"""),"Peter Chelsom")</f>
        <v>Peter Chelsom</v>
      </c>
      <c r="V411" s="5" t="s">
        <v>2638</v>
      </c>
      <c r="W411" s="5" t="str">
        <f t="shared" si="3"/>
        <v>Ashu Trikha</v>
      </c>
      <c r="X411" s="5">
        <f t="shared" si="4"/>
        <v>1</v>
      </c>
      <c r="Y411" s="5" t="str">
        <f>IFERROR(__xludf.DUMMYFUNCTION("REGEXEXTRACT(J411, ""^\d+"")"),"66")</f>
        <v>66</v>
      </c>
      <c r="Z411" s="5" t="str">
        <f>IFERROR(__xludf.DUMMYFUNCTION("REGEXEXTRACT(J411, ""[A-Za-z ]+$"")")," min")</f>
        <v> min</v>
      </c>
      <c r="AA411" s="5" t="str">
        <f>IFERROR(__xludf.DUMMYFUNCTION("IF(REGEXMATCH(Z411, ""Season""), ""TV Show"", ""Movie"")"),"Movie")</f>
        <v>Movie</v>
      </c>
    </row>
    <row r="412">
      <c r="A412" s="1" t="s">
        <v>2639</v>
      </c>
      <c r="B412" s="1" t="s">
        <v>27</v>
      </c>
      <c r="C412" s="1" t="s">
        <v>2640</v>
      </c>
      <c r="D412" s="1" t="s">
        <v>2621</v>
      </c>
      <c r="E412" s="1" t="s">
        <v>328</v>
      </c>
      <c r="F412" s="1" t="s">
        <v>63</v>
      </c>
      <c r="G412" s="1" t="s">
        <v>2609</v>
      </c>
      <c r="H412" s="1">
        <v>2013.0</v>
      </c>
      <c r="I412" s="1" t="s">
        <v>289</v>
      </c>
      <c r="J412" s="1" t="s">
        <v>1838</v>
      </c>
      <c r="K412" s="1" t="s">
        <v>80</v>
      </c>
      <c r="L412" s="1" t="s">
        <v>2641</v>
      </c>
      <c r="M412" s="2" t="s">
        <v>12</v>
      </c>
      <c r="N412" s="4">
        <f t="shared" si="1"/>
        <v>44399</v>
      </c>
      <c r="O412" s="5" t="str">
        <f>IFERROR(__xludf.DUMMYFUNCTION("IF(REGEXMATCH(TRIM(I412), ""^\d+\s*min""), ""Unclassified"", IF(I412 = """", ""NR"", I412))"),"TV-Y7")</f>
        <v>TV-Y7</v>
      </c>
      <c r="R412" s="5" t="str">
        <f t="shared" si="2"/>
        <v>Chhota Bheem And The Broken Amulet</v>
      </c>
      <c r="S412" s="5" t="str">
        <f>IFERROR(__xludf.DUMMYFUNCTION("""COMPUTED_VALUE"""),"Alexis Viera: A Story Of Surviving")</f>
        <v>Alexis Viera: A Story Of Surviving</v>
      </c>
      <c r="T412" s="5" t="str">
        <f>IFERROR(__xludf.DUMMYFUNCTION("""COMPUTED_VALUE"""),"Saudi Arabia")</f>
        <v>Saudi Arabia</v>
      </c>
      <c r="U412" s="5" t="str">
        <f>IFERROR(__xludf.DUMMYFUNCTION("""COMPUTED_VALUE"""),"Michael Lockshin")</f>
        <v>Michael Lockshin</v>
      </c>
      <c r="V412" s="5" t="s">
        <v>2642</v>
      </c>
      <c r="W412" s="5" t="str">
        <f t="shared" si="3"/>
        <v>Ashutosh Gowariker</v>
      </c>
      <c r="X412" s="5">
        <f t="shared" si="4"/>
        <v>6</v>
      </c>
      <c r="Y412" s="5" t="str">
        <f>IFERROR(__xludf.DUMMYFUNCTION("REGEXEXTRACT(J412, ""^\d+"")"),"64")</f>
        <v>64</v>
      </c>
      <c r="Z412" s="5" t="str">
        <f>IFERROR(__xludf.DUMMYFUNCTION("REGEXEXTRACT(J412, ""[A-Za-z ]+$"")")," min")</f>
        <v> min</v>
      </c>
      <c r="AA412" s="5" t="str">
        <f>IFERROR(__xludf.DUMMYFUNCTION("IF(REGEXMATCH(Z412, ""Season""), ""TV Show"", ""Movie"")"),"Movie")</f>
        <v>Movie</v>
      </c>
    </row>
    <row r="413">
      <c r="A413" s="1" t="s">
        <v>2643</v>
      </c>
      <c r="B413" s="1" t="s">
        <v>27</v>
      </c>
      <c r="C413" s="1" t="s">
        <v>2644</v>
      </c>
      <c r="D413" s="1" t="s">
        <v>2621</v>
      </c>
      <c r="E413" s="1" t="s">
        <v>328</v>
      </c>
      <c r="G413" s="1" t="s">
        <v>2609</v>
      </c>
      <c r="H413" s="1">
        <v>2013.0</v>
      </c>
      <c r="I413" s="1" t="s">
        <v>289</v>
      </c>
      <c r="J413" s="1" t="s">
        <v>1838</v>
      </c>
      <c r="K413" s="1" t="s">
        <v>80</v>
      </c>
      <c r="L413" s="1" t="s">
        <v>2645</v>
      </c>
      <c r="M413" s="2" t="s">
        <v>12</v>
      </c>
      <c r="N413" s="4">
        <f t="shared" si="1"/>
        <v>44399</v>
      </c>
      <c r="O413" s="5" t="str">
        <f>IFERROR(__xludf.DUMMYFUNCTION("IF(REGEXMATCH(TRIM(I413), ""^\d+\s*min""), ""Unclassified"", IF(I413 = """", ""NR"", I413))"),"TV-Y7")</f>
        <v>TV-Y7</v>
      </c>
      <c r="R413" s="5" t="str">
        <f t="shared" si="2"/>
        <v>Chhota Bheem And The Crown Of Valhalla</v>
      </c>
      <c r="S413" s="5" t="str">
        <f>IFERROR(__xludf.DUMMYFUNCTION("""COMPUTED_VALUE"""),"Ali &amp; Alia")</f>
        <v>Ali &amp; Alia</v>
      </c>
      <c r="T413" s="5" t="str">
        <f>IFERROR(__xludf.DUMMYFUNCTION("""COMPUTED_VALUE"""),"Saudi Arabia, Netherlands, Germany, Jordan, United Arab Emirates, United States")</f>
        <v>Saudi Arabia, Netherlands, Germany, Jordan, United Arab Emirates, United States</v>
      </c>
      <c r="U413" s="5" t="str">
        <f>IFERROR(__xludf.DUMMYFUNCTION("""COMPUTED_VALUE"""),"Francine Parker")</f>
        <v>Francine Parker</v>
      </c>
      <c r="V413" s="5" t="s">
        <v>2646</v>
      </c>
      <c r="W413" s="5" t="str">
        <f t="shared" si="3"/>
        <v>Ashwin Saravanan</v>
      </c>
      <c r="X413" s="5">
        <f t="shared" si="4"/>
        <v>3</v>
      </c>
      <c r="Y413" s="5" t="str">
        <f>IFERROR(__xludf.DUMMYFUNCTION("REGEXEXTRACT(J413, ""^\d+"")"),"64")</f>
        <v>64</v>
      </c>
      <c r="Z413" s="5" t="str">
        <f>IFERROR(__xludf.DUMMYFUNCTION("REGEXEXTRACT(J413, ""[A-Za-z ]+$"")")," min")</f>
        <v> min</v>
      </c>
      <c r="AA413" s="5" t="str">
        <f>IFERROR(__xludf.DUMMYFUNCTION("IF(REGEXMATCH(Z413, ""Season""), ""TV Show"", ""Movie"")"),"Movie")</f>
        <v>Movie</v>
      </c>
    </row>
    <row r="414">
      <c r="A414" s="1" t="s">
        <v>2647</v>
      </c>
      <c r="B414" s="1" t="s">
        <v>27</v>
      </c>
      <c r="C414" s="1" t="s">
        <v>2648</v>
      </c>
      <c r="D414" s="1" t="s">
        <v>2621</v>
      </c>
      <c r="E414" s="1" t="s">
        <v>328</v>
      </c>
      <c r="G414" s="1" t="s">
        <v>2609</v>
      </c>
      <c r="H414" s="1">
        <v>2013.0</v>
      </c>
      <c r="I414" s="1" t="s">
        <v>289</v>
      </c>
      <c r="J414" s="1" t="s">
        <v>2616</v>
      </c>
      <c r="K414" s="1" t="s">
        <v>80</v>
      </c>
      <c r="L414" s="1" t="s">
        <v>2649</v>
      </c>
      <c r="M414" s="2" t="s">
        <v>12</v>
      </c>
      <c r="N414" s="4">
        <f t="shared" si="1"/>
        <v>44399</v>
      </c>
      <c r="O414" s="5" t="str">
        <f>IFERROR(__xludf.DUMMYFUNCTION("IF(REGEXMATCH(TRIM(I414), ""^\d+\s*min""), ""Unclassified"", IF(I414 = """", ""NR"", I414))"),"TV-Y7")</f>
        <v>TV-Y7</v>
      </c>
      <c r="R414" s="5" t="str">
        <f t="shared" si="2"/>
        <v>Chhota Bheem And The Incan Adventure</v>
      </c>
      <c r="S414" s="5" t="str">
        <f>IFERROR(__xludf.DUMMYFUNCTION("""COMPUTED_VALUE"""),"Ali &amp; Ratu Ratu Queens")</f>
        <v>Ali &amp; Ratu Ratu Queens</v>
      </c>
      <c r="T414" s="5" t="str">
        <f>IFERROR(__xludf.DUMMYFUNCTION("""COMPUTED_VALUE"""),"Saudi Arabia, Syria, Egypt, Lebanon, Kuwait")</f>
        <v>Saudi Arabia, Syria, Egypt, Lebanon, Kuwait</v>
      </c>
      <c r="U414" s="5" t="str">
        <f>IFERROR(__xludf.DUMMYFUNCTION("""COMPUTED_VALUE"""),"Daniel Schechter")</f>
        <v>Daniel Schechter</v>
      </c>
      <c r="V414" s="5" t="s">
        <v>2650</v>
      </c>
      <c r="W414" s="5" t="str">
        <f t="shared" si="3"/>
        <v>Ashwiny Iyer Tiwari</v>
      </c>
      <c r="X414" s="5">
        <f t="shared" si="4"/>
        <v>1</v>
      </c>
      <c r="Y414" s="5" t="str">
        <f>IFERROR(__xludf.DUMMYFUNCTION("REGEXEXTRACT(J414, ""^\d+"")"),"65")</f>
        <v>65</v>
      </c>
      <c r="Z414" s="5" t="str">
        <f>IFERROR(__xludf.DUMMYFUNCTION("REGEXEXTRACT(J414, ""[A-Za-z ]+$"")")," min")</f>
        <v> min</v>
      </c>
      <c r="AA414" s="5" t="str">
        <f>IFERROR(__xludf.DUMMYFUNCTION("IF(REGEXMATCH(Z414, ""Season""), ""TV Show"", ""Movie"")"),"Movie")</f>
        <v>Movie</v>
      </c>
    </row>
    <row r="415">
      <c r="A415" s="1" t="s">
        <v>2651</v>
      </c>
      <c r="B415" s="1" t="s">
        <v>27</v>
      </c>
      <c r="C415" s="1" t="s">
        <v>2652</v>
      </c>
      <c r="D415" s="1" t="s">
        <v>2621</v>
      </c>
      <c r="E415" s="1" t="s">
        <v>328</v>
      </c>
      <c r="G415" s="1" t="s">
        <v>2609</v>
      </c>
      <c r="H415" s="1">
        <v>2013.0</v>
      </c>
      <c r="I415" s="1" t="s">
        <v>289</v>
      </c>
      <c r="J415" s="1" t="s">
        <v>1838</v>
      </c>
      <c r="K415" s="1" t="s">
        <v>80</v>
      </c>
      <c r="L415" s="1" t="s">
        <v>2653</v>
      </c>
      <c r="M415" s="2" t="s">
        <v>12</v>
      </c>
      <c r="N415" s="4">
        <f t="shared" si="1"/>
        <v>44399</v>
      </c>
      <c r="O415" s="5" t="str">
        <f>IFERROR(__xludf.DUMMYFUNCTION("IF(REGEXMATCH(TRIM(I415), ""^\d+\s*min""), ""Unclassified"", IF(I415 = """", ""NR"", I415))"),"TV-Y7")</f>
        <v>TV-Y7</v>
      </c>
      <c r="R415" s="5" t="str">
        <f t="shared" si="2"/>
        <v>Chhota Bheem And The Shinobi Secret</v>
      </c>
      <c r="S415" s="5" t="str">
        <f>IFERROR(__xludf.DUMMYFUNCTION("""COMPUTED_VALUE"""),"Ali Baba Ve 7 Cüceler")</f>
        <v>Ali Baba Ve 7 Cüceler</v>
      </c>
      <c r="T415" s="5" t="str">
        <f>IFERROR(__xludf.DUMMYFUNCTION("""COMPUTED_VALUE"""),"Saudi Arabia, United Arab Emirates")</f>
        <v>Saudi Arabia, United Arab Emirates</v>
      </c>
      <c r="U415" s="5" t="str">
        <f>IFERROR(__xludf.DUMMYFUNCTION("""COMPUTED_VALUE"""),"Mike Gunther")</f>
        <v>Mike Gunther</v>
      </c>
      <c r="V415" s="5" t="s">
        <v>261</v>
      </c>
      <c r="W415" s="5" t="str">
        <f t="shared" si="3"/>
        <v>Ashwiny Iyer Tiwari, Abhishek Chaubey, Saket Chaudhary</v>
      </c>
      <c r="X415" s="5">
        <f t="shared" si="4"/>
        <v>1</v>
      </c>
      <c r="Y415" s="5" t="str">
        <f>IFERROR(__xludf.DUMMYFUNCTION("REGEXEXTRACT(J415, ""^\d+"")"),"64")</f>
        <v>64</v>
      </c>
      <c r="Z415" s="5" t="str">
        <f>IFERROR(__xludf.DUMMYFUNCTION("REGEXEXTRACT(J415, ""[A-Za-z ]+$"")")," min")</f>
        <v> min</v>
      </c>
      <c r="AA415" s="5" t="str">
        <f>IFERROR(__xludf.DUMMYFUNCTION("IF(REGEXMATCH(Z415, ""Season""), ""TV Show"", ""Movie"")"),"Movie")</f>
        <v>Movie</v>
      </c>
    </row>
    <row r="416">
      <c r="A416" s="1" t="s">
        <v>2654</v>
      </c>
      <c r="B416" s="1" t="s">
        <v>27</v>
      </c>
      <c r="C416" s="1" t="s">
        <v>2655</v>
      </c>
      <c r="D416" s="1" t="s">
        <v>2621</v>
      </c>
      <c r="E416" s="1" t="s">
        <v>328</v>
      </c>
      <c r="G416" s="1" t="s">
        <v>2609</v>
      </c>
      <c r="H416" s="1">
        <v>2012.0</v>
      </c>
      <c r="I416" s="1" t="s">
        <v>289</v>
      </c>
      <c r="J416" s="1" t="s">
        <v>2626</v>
      </c>
      <c r="K416" s="1" t="s">
        <v>80</v>
      </c>
      <c r="L416" s="1" t="s">
        <v>2656</v>
      </c>
      <c r="M416" s="2" t="s">
        <v>12</v>
      </c>
      <c r="N416" s="4">
        <f t="shared" si="1"/>
        <v>44399</v>
      </c>
      <c r="O416" s="5" t="str">
        <f>IFERROR(__xludf.DUMMYFUNCTION("IF(REGEXMATCH(TRIM(I416), ""^\d+\s*min""), ""Unclassified"", IF(I416 = """", ""NR"", I416))"),"TV-Y7")</f>
        <v>TV-Y7</v>
      </c>
      <c r="R416" s="5" t="str">
        <f t="shared" si="2"/>
        <v>Chhota Bheem Aur Hanuman</v>
      </c>
      <c r="S416" s="5" t="str">
        <f>IFERROR(__xludf.DUMMYFUNCTION("""COMPUTED_VALUE"""),"Ali Wong: Baby Cobra")</f>
        <v>Ali Wong: Baby Cobra</v>
      </c>
      <c r="T416" s="5" t="str">
        <f>IFERROR(__xludf.DUMMYFUNCTION("""COMPUTED_VALUE"""),"Senegal")</f>
        <v>Senegal</v>
      </c>
      <c r="U416" s="5" t="str">
        <f>IFERROR(__xludf.DUMMYFUNCTION("""COMPUTED_VALUE"""),"David Zeiger")</f>
        <v>David Zeiger</v>
      </c>
      <c r="V416" s="5" t="s">
        <v>2657</v>
      </c>
      <c r="W416" s="5" t="str">
        <f t="shared" si="3"/>
        <v>Asif Kapadia</v>
      </c>
      <c r="X416" s="5">
        <f t="shared" si="4"/>
        <v>2</v>
      </c>
      <c r="Y416" s="5" t="str">
        <f>IFERROR(__xludf.DUMMYFUNCTION("REGEXEXTRACT(J416, ""^\d+"")"),"68")</f>
        <v>68</v>
      </c>
      <c r="Z416" s="5" t="str">
        <f>IFERROR(__xludf.DUMMYFUNCTION("REGEXEXTRACT(J416, ""[A-Za-z ]+$"")")," min")</f>
        <v> min</v>
      </c>
      <c r="AA416" s="5" t="str">
        <f>IFERROR(__xludf.DUMMYFUNCTION("IF(REGEXMATCH(Z416, ""Season""), ""TV Show"", ""Movie"")"),"Movie")</f>
        <v>Movie</v>
      </c>
    </row>
    <row r="417">
      <c r="A417" s="1" t="s">
        <v>2658</v>
      </c>
      <c r="B417" s="1" t="s">
        <v>27</v>
      </c>
      <c r="C417" s="1" t="s">
        <v>2659</v>
      </c>
      <c r="D417" s="1" t="s">
        <v>2621</v>
      </c>
      <c r="E417" s="1" t="s">
        <v>2635</v>
      </c>
      <c r="F417" s="1" t="s">
        <v>63</v>
      </c>
      <c r="G417" s="1" t="s">
        <v>2609</v>
      </c>
      <c r="H417" s="1">
        <v>2009.0</v>
      </c>
      <c r="I417" s="1" t="s">
        <v>289</v>
      </c>
      <c r="J417" s="1" t="s">
        <v>2626</v>
      </c>
      <c r="K417" s="1" t="s">
        <v>80</v>
      </c>
      <c r="L417" s="1" t="s">
        <v>2660</v>
      </c>
      <c r="M417" s="2" t="s">
        <v>12</v>
      </c>
      <c r="N417" s="4">
        <f t="shared" si="1"/>
        <v>44399</v>
      </c>
      <c r="O417" s="5" t="str">
        <f>IFERROR(__xludf.DUMMYFUNCTION("IF(REGEXMATCH(TRIM(I417), ""^\d+\s*min""), ""Unclassified"", IF(I417 = """", ""NR"", I417))"),"TV-Y7")</f>
        <v>TV-Y7</v>
      </c>
      <c r="R417" s="5" t="str">
        <f t="shared" si="2"/>
        <v>Chhota Bheem Aur Krishna</v>
      </c>
      <c r="S417" s="5" t="str">
        <f>IFERROR(__xludf.DUMMYFUNCTION("""COMPUTED_VALUE"""),"Ali Wong: Hard Knock Wife")</f>
        <v>Ali Wong: Hard Knock Wife</v>
      </c>
      <c r="T417" s="5" t="str">
        <f>IFERROR(__xludf.DUMMYFUNCTION("""COMPUTED_VALUE"""),"Serbia, South Korea, Slovenia")</f>
        <v>Serbia, South Korea, Slovenia</v>
      </c>
      <c r="U417" s="5" t="str">
        <f>IFERROR(__xludf.DUMMYFUNCTION("""COMPUTED_VALUE"""),"Michael Simon")</f>
        <v>Michael Simon</v>
      </c>
      <c r="V417" s="5" t="s">
        <v>2661</v>
      </c>
      <c r="W417" s="5" t="str">
        <f t="shared" si="3"/>
        <v>Asim Abbasi</v>
      </c>
      <c r="X417" s="5">
        <f t="shared" si="4"/>
        <v>1</v>
      </c>
      <c r="Y417" s="5" t="str">
        <f>IFERROR(__xludf.DUMMYFUNCTION("REGEXEXTRACT(J417, ""^\d+"")"),"68")</f>
        <v>68</v>
      </c>
      <c r="Z417" s="5" t="str">
        <f>IFERROR(__xludf.DUMMYFUNCTION("REGEXEXTRACT(J417, ""[A-Za-z ]+$"")")," min")</f>
        <v> min</v>
      </c>
      <c r="AA417" s="5" t="str">
        <f>IFERROR(__xludf.DUMMYFUNCTION("IF(REGEXMATCH(Z417, ""Season""), ""TV Show"", ""Movie"")"),"Movie")</f>
        <v>Movie</v>
      </c>
    </row>
    <row r="418">
      <c r="A418" s="1" t="s">
        <v>2662</v>
      </c>
      <c r="B418" s="1" t="s">
        <v>27</v>
      </c>
      <c r="C418" s="1" t="s">
        <v>2663</v>
      </c>
      <c r="D418" s="1" t="s">
        <v>2621</v>
      </c>
      <c r="E418" s="1" t="s">
        <v>328</v>
      </c>
      <c r="G418" s="1" t="s">
        <v>2609</v>
      </c>
      <c r="H418" s="1">
        <v>2013.0</v>
      </c>
      <c r="I418" s="1" t="s">
        <v>289</v>
      </c>
      <c r="J418" s="1" t="s">
        <v>1838</v>
      </c>
      <c r="K418" s="1" t="s">
        <v>80</v>
      </c>
      <c r="L418" s="1" t="s">
        <v>2664</v>
      </c>
      <c r="M418" s="2" t="s">
        <v>12</v>
      </c>
      <c r="N418" s="4">
        <f t="shared" si="1"/>
        <v>44399</v>
      </c>
      <c r="O418" s="5" t="str">
        <f>IFERROR(__xludf.DUMMYFUNCTION("IF(REGEXMATCH(TRIM(I418), ""^\d+\s*min""), ""Unclassified"", IF(I418 = """", ""NR"", I418))"),"TV-Y7")</f>
        <v>TV-Y7</v>
      </c>
      <c r="R418" s="5" t="str">
        <f t="shared" si="2"/>
        <v>Chhota Bheem Aur Krishna Vs Zimbara</v>
      </c>
      <c r="S418" s="5" t="str">
        <f>IFERROR(__xludf.DUMMYFUNCTION("""COMPUTED_VALUE"""),"Ali'S Wedding")</f>
        <v>Ali'S Wedding</v>
      </c>
      <c r="T418" s="5" t="str">
        <f>IFERROR(__xludf.DUMMYFUNCTION("""COMPUTED_VALUE"""),"Serbia, United States")</f>
        <v>Serbia, United States</v>
      </c>
      <c r="U418" s="5" t="str">
        <f>IFERROR(__xludf.DUMMYFUNCTION("""COMPUTED_VALUE"""),"Jerry Rothwell")</f>
        <v>Jerry Rothwell</v>
      </c>
      <c r="V418" s="5" t="s">
        <v>2665</v>
      </c>
      <c r="W418" s="5" t="str">
        <f t="shared" si="3"/>
        <v>Asim Raza</v>
      </c>
      <c r="X418" s="5">
        <f t="shared" si="4"/>
        <v>1</v>
      </c>
      <c r="Y418" s="5" t="str">
        <f>IFERROR(__xludf.DUMMYFUNCTION("REGEXEXTRACT(J418, ""^\d+"")"),"64")</f>
        <v>64</v>
      </c>
      <c r="Z418" s="5" t="str">
        <f>IFERROR(__xludf.DUMMYFUNCTION("REGEXEXTRACT(J418, ""[A-Za-z ]+$"")")," min")</f>
        <v> min</v>
      </c>
      <c r="AA418" s="5" t="str">
        <f>IFERROR(__xludf.DUMMYFUNCTION("IF(REGEXMATCH(Z418, ""Season""), ""TV Show"", ""Movie"")"),"Movie")</f>
        <v>Movie</v>
      </c>
    </row>
    <row r="419">
      <c r="A419" s="1" t="s">
        <v>2666</v>
      </c>
      <c r="B419" s="1" t="s">
        <v>27</v>
      </c>
      <c r="C419" s="1" t="s">
        <v>2667</v>
      </c>
      <c r="D419" s="1" t="s">
        <v>2668</v>
      </c>
      <c r="E419" s="1" t="s">
        <v>2669</v>
      </c>
      <c r="G419" s="1" t="s">
        <v>2609</v>
      </c>
      <c r="H419" s="1">
        <v>2015.0</v>
      </c>
      <c r="I419" s="1" t="s">
        <v>289</v>
      </c>
      <c r="J419" s="1" t="s">
        <v>2670</v>
      </c>
      <c r="K419" s="1" t="s">
        <v>80</v>
      </c>
      <c r="L419" s="1" t="s">
        <v>2671</v>
      </c>
      <c r="M419" s="2" t="s">
        <v>12</v>
      </c>
      <c r="N419" s="4">
        <f t="shared" si="1"/>
        <v>44399</v>
      </c>
      <c r="O419" s="5" t="str">
        <f>IFERROR(__xludf.DUMMYFUNCTION("IF(REGEXMATCH(TRIM(I419), ""^\d+\s*min""), ""Unclassified"", IF(I419 = """", ""NR"", I419))"),"TV-Y7")</f>
        <v>TV-Y7</v>
      </c>
      <c r="R419" s="5" t="str">
        <f t="shared" si="2"/>
        <v>Chhota Bheem In African Safari</v>
      </c>
      <c r="S419" s="5" t="str">
        <f>IFERROR(__xludf.DUMMYFUNCTION("""COMPUTED_VALUE"""),"Alias Grace")</f>
        <v>Alias Grace</v>
      </c>
      <c r="T419" s="5" t="str">
        <f>IFERROR(__xludf.DUMMYFUNCTION("""COMPUTED_VALUE"""),"Singapore")</f>
        <v>Singapore</v>
      </c>
      <c r="U419" s="5" t="str">
        <f>IFERROR(__xludf.DUMMYFUNCTION("""COMPUTED_VALUE"""),"Joe Berlinger, Bruce Sinofsky")</f>
        <v>Joe Berlinger, Bruce Sinofsky</v>
      </c>
      <c r="V419" s="5" t="s">
        <v>2672</v>
      </c>
      <c r="W419" s="5" t="str">
        <f t="shared" si="3"/>
        <v>Asit Mohapatra, Shyamal Chaulia</v>
      </c>
      <c r="X419" s="5">
        <f t="shared" si="4"/>
        <v>1</v>
      </c>
      <c r="Y419" s="5" t="str">
        <f>IFERROR(__xludf.DUMMYFUNCTION("REGEXEXTRACT(J419, ""^\d+"")"),"62")</f>
        <v>62</v>
      </c>
      <c r="Z419" s="5" t="str">
        <f>IFERROR(__xludf.DUMMYFUNCTION("REGEXEXTRACT(J419, ""[A-Za-z ]+$"")")," min")</f>
        <v> min</v>
      </c>
      <c r="AA419" s="5" t="str">
        <f>IFERROR(__xludf.DUMMYFUNCTION("IF(REGEXMATCH(Z419, ""Season""), ""TV Show"", ""Movie"")"),"Movie")</f>
        <v>Movie</v>
      </c>
    </row>
    <row r="420">
      <c r="A420" s="1" t="s">
        <v>2673</v>
      </c>
      <c r="B420" s="1" t="s">
        <v>27</v>
      </c>
      <c r="C420" s="1" t="s">
        <v>2674</v>
      </c>
      <c r="D420" s="1" t="s">
        <v>2561</v>
      </c>
      <c r="E420" s="1" t="s">
        <v>2675</v>
      </c>
      <c r="G420" s="1" t="s">
        <v>2609</v>
      </c>
      <c r="H420" s="1">
        <v>2019.0</v>
      </c>
      <c r="I420" s="1" t="s">
        <v>206</v>
      </c>
      <c r="J420" s="1" t="s">
        <v>919</v>
      </c>
      <c r="K420" s="1" t="s">
        <v>80</v>
      </c>
      <c r="L420" s="1" t="s">
        <v>2676</v>
      </c>
      <c r="M420" s="2" t="s">
        <v>12</v>
      </c>
      <c r="N420" s="4">
        <f t="shared" si="1"/>
        <v>44399</v>
      </c>
      <c r="O420" s="5" t="str">
        <f>IFERROR(__xludf.DUMMYFUNCTION("IF(REGEXMATCH(TRIM(I420), ""^\d+\s*min""), ""Unclassified"", IF(I420 = """", ""NR"", I420))"),"TV-Y")</f>
        <v>TV-Y</v>
      </c>
      <c r="R420" s="5" t="str">
        <f t="shared" si="2"/>
        <v>Chhota Bheem Ka Roosi Romanch</v>
      </c>
      <c r="S420" s="5" t="str">
        <f>IFERROR(__xludf.DUMMYFUNCTION("""COMPUTED_VALUE"""),"Alias Jj, La Celebridad Del Mal")</f>
        <v>Alias Jj, La Celebridad Del Mal</v>
      </c>
      <c r="T420" s="5" t="str">
        <f>IFERROR(__xludf.DUMMYFUNCTION("""COMPUTED_VALUE"""),"Singapore, France")</f>
        <v>Singapore, France</v>
      </c>
      <c r="U420" s="5" t="str">
        <f>IFERROR(__xludf.DUMMYFUNCTION("""COMPUTED_VALUE"""),"Ian Cheney, Sharon Shattuck")</f>
        <v>Ian Cheney, Sharon Shattuck</v>
      </c>
      <c r="V420" s="5" t="s">
        <v>2677</v>
      </c>
      <c r="W420" s="5" t="str">
        <f t="shared" si="3"/>
        <v>Asri Bendacha</v>
      </c>
      <c r="X420" s="5">
        <f t="shared" si="4"/>
        <v>1</v>
      </c>
      <c r="Y420" s="5" t="str">
        <f>IFERROR(__xludf.DUMMYFUNCTION("REGEXEXTRACT(J420, ""^\d+"")"),"63")</f>
        <v>63</v>
      </c>
      <c r="Z420" s="5" t="str">
        <f>IFERROR(__xludf.DUMMYFUNCTION("REGEXEXTRACT(J420, ""[A-Za-z ]+$"")")," min")</f>
        <v> min</v>
      </c>
      <c r="AA420" s="5" t="str">
        <f>IFERROR(__xludf.DUMMYFUNCTION("IF(REGEXMATCH(Z420, ""Season""), ""TV Show"", ""Movie"")"),"Movie")</f>
        <v>Movie</v>
      </c>
    </row>
    <row r="421">
      <c r="A421" s="1" t="s">
        <v>2678</v>
      </c>
      <c r="B421" s="1" t="s">
        <v>27</v>
      </c>
      <c r="C421" s="1" t="s">
        <v>2679</v>
      </c>
      <c r="D421" s="1" t="s">
        <v>2621</v>
      </c>
      <c r="E421" s="1" t="s">
        <v>328</v>
      </c>
      <c r="G421" s="1" t="s">
        <v>2609</v>
      </c>
      <c r="H421" s="1">
        <v>2010.0</v>
      </c>
      <c r="I421" s="1" t="s">
        <v>289</v>
      </c>
      <c r="J421" s="1" t="s">
        <v>1993</v>
      </c>
      <c r="K421" s="1" t="s">
        <v>2547</v>
      </c>
      <c r="L421" s="1" t="s">
        <v>2680</v>
      </c>
      <c r="M421" s="2" t="s">
        <v>12</v>
      </c>
      <c r="N421" s="4">
        <f t="shared" si="1"/>
        <v>44399</v>
      </c>
      <c r="O421" s="5" t="str">
        <f>IFERROR(__xludf.DUMMYFUNCTION("IF(REGEXMATCH(TRIM(I421), ""^\d+\s*min""), ""Unclassified"", IF(I421 = """", ""NR"", I421))"),"TV-Y7")</f>
        <v>TV-Y7</v>
      </c>
      <c r="R421" s="5" t="str">
        <f t="shared" si="2"/>
        <v>Chhota Bheem: Bheem Vs Aliens</v>
      </c>
      <c r="S421" s="5" t="str">
        <f>IFERROR(__xludf.DUMMYFUNCTION("""COMPUTED_VALUE"""),"Alibaba Aur 40 Chor")</f>
        <v>Alibaba Aur 40 Chor</v>
      </c>
      <c r="T421" s="5" t="str">
        <f>IFERROR(__xludf.DUMMYFUNCTION("""COMPUTED_VALUE"""),"Singapore, Japan, France")</f>
        <v>Singapore, Japan, France</v>
      </c>
      <c r="U421" s="5" t="str">
        <f>IFERROR(__xludf.DUMMYFUNCTION("""COMPUTED_VALUE"""),"Bradley Parker")</f>
        <v>Bradley Parker</v>
      </c>
      <c r="V421" s="5" t="s">
        <v>2681</v>
      </c>
      <c r="W421" s="5" t="str">
        <f t="shared" si="3"/>
        <v>Atanu Ghosh</v>
      </c>
      <c r="X421" s="5">
        <f t="shared" si="4"/>
        <v>2</v>
      </c>
      <c r="Y421" s="5" t="str">
        <f>IFERROR(__xludf.DUMMYFUNCTION("REGEXEXTRACT(J421, ""^\d+"")"),"69")</f>
        <v>69</v>
      </c>
      <c r="Z421" s="5" t="str">
        <f>IFERROR(__xludf.DUMMYFUNCTION("REGEXEXTRACT(J421, ""[A-Za-z ]+$"")")," min")</f>
        <v> min</v>
      </c>
      <c r="AA421" s="5" t="str">
        <f>IFERROR(__xludf.DUMMYFUNCTION("IF(REGEXMATCH(Z421, ""Season""), ""TV Show"", ""Movie"")"),"Movie")</f>
        <v>Movie</v>
      </c>
    </row>
    <row r="422">
      <c r="A422" s="1" t="s">
        <v>2682</v>
      </c>
      <c r="B422" s="1" t="s">
        <v>27</v>
      </c>
      <c r="C422" s="1" t="s">
        <v>2683</v>
      </c>
      <c r="D422" s="1" t="s">
        <v>2621</v>
      </c>
      <c r="E422" s="1" t="s">
        <v>328</v>
      </c>
      <c r="G422" s="1" t="s">
        <v>2609</v>
      </c>
      <c r="H422" s="1">
        <v>2012.0</v>
      </c>
      <c r="I422" s="1" t="s">
        <v>289</v>
      </c>
      <c r="J422" s="1" t="s">
        <v>1583</v>
      </c>
      <c r="K422" s="1" t="s">
        <v>80</v>
      </c>
      <c r="L422" s="1" t="s">
        <v>2684</v>
      </c>
      <c r="M422" s="2" t="s">
        <v>12</v>
      </c>
      <c r="N422" s="4">
        <f t="shared" si="1"/>
        <v>44399</v>
      </c>
      <c r="O422" s="5" t="str">
        <f>IFERROR(__xludf.DUMMYFUNCTION("IF(REGEXMATCH(TRIM(I422), ""^\d+\s*min""), ""Unclassified"", IF(I422 = """", ""NR"", I422))"),"TV-Y7")</f>
        <v>TV-Y7</v>
      </c>
      <c r="R422" s="5" t="str">
        <f t="shared" si="2"/>
        <v>Chhota Bheem: Dholakpur To Kathmandu</v>
      </c>
      <c r="S422" s="5" t="str">
        <f>IFERROR(__xludf.DUMMYFUNCTION("""COMPUTED_VALUE"""),"Alice Doesn'T Live Here Anymore")</f>
        <v>Alice Doesn'T Live Here Anymore</v>
      </c>
      <c r="T422" s="5" t="str">
        <f>IFERROR(__xludf.DUMMYFUNCTION("""COMPUTED_VALUE"""),"Singapore, Malaysia")</f>
        <v>Singapore, Malaysia</v>
      </c>
      <c r="U422" s="5" t="str">
        <f>IFERROR(__xludf.DUMMYFUNCTION("""COMPUTED_VALUE"""),"Prabhakaran")</f>
        <v>Prabhakaran</v>
      </c>
      <c r="V422" s="5" t="s">
        <v>2685</v>
      </c>
      <c r="W422" s="5" t="str">
        <f t="shared" si="3"/>
        <v>Atanu Mukherjee</v>
      </c>
      <c r="X422" s="5">
        <f t="shared" si="4"/>
        <v>1</v>
      </c>
      <c r="Y422" s="5" t="str">
        <f>IFERROR(__xludf.DUMMYFUNCTION("REGEXEXTRACT(J422, ""^\d+"")"),"70")</f>
        <v>70</v>
      </c>
      <c r="Z422" s="5" t="str">
        <f>IFERROR(__xludf.DUMMYFUNCTION("REGEXEXTRACT(J422, ""[A-Za-z ]+$"")")," min")</f>
        <v> min</v>
      </c>
      <c r="AA422" s="5" t="str">
        <f>IFERROR(__xludf.DUMMYFUNCTION("IF(REGEXMATCH(Z422, ""Season""), ""TV Show"", ""Movie"")"),"Movie")</f>
        <v>Movie</v>
      </c>
    </row>
    <row r="423">
      <c r="A423" s="1" t="s">
        <v>2686</v>
      </c>
      <c r="B423" s="1" t="s">
        <v>27</v>
      </c>
      <c r="C423" s="1" t="s">
        <v>2687</v>
      </c>
      <c r="D423" s="1" t="s">
        <v>2688</v>
      </c>
      <c r="E423" s="1" t="s">
        <v>328</v>
      </c>
      <c r="G423" s="1" t="s">
        <v>2609</v>
      </c>
      <c r="H423" s="1">
        <v>2014.0</v>
      </c>
      <c r="I423" s="1" t="s">
        <v>289</v>
      </c>
      <c r="J423" s="1" t="s">
        <v>919</v>
      </c>
      <c r="K423" s="1" t="s">
        <v>80</v>
      </c>
      <c r="L423" s="1" t="s">
        <v>2689</v>
      </c>
      <c r="M423" s="2" t="s">
        <v>12</v>
      </c>
      <c r="N423" s="4">
        <f t="shared" si="1"/>
        <v>44399</v>
      </c>
      <c r="O423" s="5" t="str">
        <f>IFERROR(__xludf.DUMMYFUNCTION("IF(REGEXMATCH(TRIM(I423), ""^\d+\s*min""), ""Unclassified"", IF(I423 = """", ""NR"", I423))"),"TV-Y7")</f>
        <v>TV-Y7</v>
      </c>
      <c r="R423" s="5" t="str">
        <f t="shared" si="2"/>
        <v>Chhota Bheem: Dus Pe Dus</v>
      </c>
      <c r="S423" s="5" t="str">
        <f>IFERROR(__xludf.DUMMYFUNCTION("""COMPUTED_VALUE"""),"Alice In Borderland")</f>
        <v>Alice In Borderland</v>
      </c>
      <c r="T423" s="5" t="str">
        <f>IFERROR(__xludf.DUMMYFUNCTION("""COMPUTED_VALUE"""),"Singapore, United States")</f>
        <v>Singapore, United States</v>
      </c>
      <c r="U423" s="5" t="str">
        <f>IFERROR(__xludf.DUMMYFUNCTION("""COMPUTED_VALUE"""),"Manjari Makijany")</f>
        <v>Manjari Makijany</v>
      </c>
      <c r="V423" s="5" t="s">
        <v>2690</v>
      </c>
      <c r="W423" s="5" t="str">
        <f t="shared" si="3"/>
        <v>Atharv Baluja</v>
      </c>
      <c r="X423" s="5">
        <f t="shared" si="4"/>
        <v>1</v>
      </c>
      <c r="Y423" s="5" t="str">
        <f>IFERROR(__xludf.DUMMYFUNCTION("REGEXEXTRACT(J423, ""^\d+"")"),"63")</f>
        <v>63</v>
      </c>
      <c r="Z423" s="5" t="str">
        <f>IFERROR(__xludf.DUMMYFUNCTION("REGEXEXTRACT(J423, ""[A-Za-z ]+$"")")," min")</f>
        <v> min</v>
      </c>
      <c r="AA423" s="5" t="str">
        <f>IFERROR(__xludf.DUMMYFUNCTION("IF(REGEXMATCH(Z423, ""Season""), ""TV Show"", ""Movie"")"),"Movie")</f>
        <v>Movie</v>
      </c>
    </row>
    <row r="424">
      <c r="A424" s="1" t="s">
        <v>2691</v>
      </c>
      <c r="B424" s="1" t="s">
        <v>27</v>
      </c>
      <c r="C424" s="1" t="s">
        <v>2692</v>
      </c>
      <c r="D424" s="1" t="s">
        <v>2621</v>
      </c>
      <c r="E424" s="1" t="s">
        <v>2693</v>
      </c>
      <c r="G424" s="1" t="s">
        <v>2609</v>
      </c>
      <c r="H424" s="1">
        <v>2011.0</v>
      </c>
      <c r="I424" s="1" t="s">
        <v>289</v>
      </c>
      <c r="J424" s="1" t="s">
        <v>2626</v>
      </c>
      <c r="K424" s="1" t="s">
        <v>80</v>
      </c>
      <c r="L424" s="1" t="s">
        <v>2694</v>
      </c>
      <c r="M424" s="2" t="s">
        <v>12</v>
      </c>
      <c r="N424" s="4">
        <f t="shared" si="1"/>
        <v>44399</v>
      </c>
      <c r="O424" s="5" t="str">
        <f>IFERROR(__xludf.DUMMYFUNCTION("IF(REGEXMATCH(TRIM(I424), ""^\d+\s*min""), ""Unclassified"", IF(I424 = """", ""NR"", I424))"),"TV-Y7")</f>
        <v>TV-Y7</v>
      </c>
      <c r="R424" s="5" t="str">
        <f t="shared" si="2"/>
        <v>Chhota Bheem: Journey To Petra</v>
      </c>
      <c r="S424" s="5" t="str">
        <f>IFERROR(__xludf.DUMMYFUNCTION("""COMPUTED_VALUE"""),"Alice Junior")</f>
        <v>Alice Junior</v>
      </c>
      <c r="T424" s="5" t="str">
        <f>IFERROR(__xludf.DUMMYFUNCTION("""COMPUTED_VALUE"""),"Slovenia, Croatia, Germany, Czech Republic, Qatar")</f>
        <v>Slovenia, Croatia, Germany, Czech Republic, Qatar</v>
      </c>
      <c r="U424" s="5" t="str">
        <f>IFERROR(__xludf.DUMMYFUNCTION("""COMPUTED_VALUE"""),"Jay Oliva")</f>
        <v>Jay Oliva</v>
      </c>
      <c r="V424" s="5" t="s">
        <v>2695</v>
      </c>
      <c r="W424" s="5" t="str">
        <f t="shared" si="3"/>
        <v>Athiyan Athirai</v>
      </c>
      <c r="X424" s="5">
        <f t="shared" si="4"/>
        <v>1</v>
      </c>
      <c r="Y424" s="5" t="str">
        <f>IFERROR(__xludf.DUMMYFUNCTION("REGEXEXTRACT(J424, ""^\d+"")"),"68")</f>
        <v>68</v>
      </c>
      <c r="Z424" s="5" t="str">
        <f>IFERROR(__xludf.DUMMYFUNCTION("REGEXEXTRACT(J424, ""[A-Za-z ]+$"")")," min")</f>
        <v> min</v>
      </c>
      <c r="AA424" s="5" t="str">
        <f>IFERROR(__xludf.DUMMYFUNCTION("IF(REGEXMATCH(Z424, ""Season""), ""TV Show"", ""Movie"")"),"Movie")</f>
        <v>Movie</v>
      </c>
    </row>
    <row r="425">
      <c r="A425" s="1" t="s">
        <v>2696</v>
      </c>
      <c r="B425" s="1" t="s">
        <v>27</v>
      </c>
      <c r="C425" s="1" t="s">
        <v>2697</v>
      </c>
      <c r="D425" s="1" t="s">
        <v>2621</v>
      </c>
      <c r="E425" s="1" t="s">
        <v>2698</v>
      </c>
      <c r="G425" s="1" t="s">
        <v>2609</v>
      </c>
      <c r="H425" s="1">
        <v>2011.0</v>
      </c>
      <c r="I425" s="1" t="s">
        <v>289</v>
      </c>
      <c r="J425" s="1" t="s">
        <v>2699</v>
      </c>
      <c r="K425" s="1" t="s">
        <v>80</v>
      </c>
      <c r="L425" s="1" t="s">
        <v>2700</v>
      </c>
      <c r="M425" s="2" t="s">
        <v>12</v>
      </c>
      <c r="N425" s="4">
        <f t="shared" si="1"/>
        <v>44399</v>
      </c>
      <c r="O425" s="5" t="str">
        <f>IFERROR(__xludf.DUMMYFUNCTION("IF(REGEXMATCH(TRIM(I425), ""^\d+\s*min""), ""Unclassified"", IF(I425 = """", ""NR"", I425))"),"TV-Y7")</f>
        <v>TV-Y7</v>
      </c>
      <c r="R425" s="5" t="str">
        <f t="shared" si="2"/>
        <v>Chhota Bheem: Master Of Shaolin</v>
      </c>
      <c r="S425" s="5" t="str">
        <f>IFERROR(__xludf.DUMMYFUNCTION("""COMPUTED_VALUE"""),"Alien Contact: Outer Space")</f>
        <v>Alien Contact: Outer Space</v>
      </c>
      <c r="T425" s="5" t="str">
        <f>IFERROR(__xludf.DUMMYFUNCTION("""COMPUTED_VALUE"""),"Somalia, Kenya, Sudan, South Africa, United States")</f>
        <v>Somalia, Kenya, Sudan, South Africa, United States</v>
      </c>
      <c r="U425" s="5" t="str">
        <f>IFERROR(__xludf.DUMMYFUNCTION("""COMPUTED_VALUE"""),"Chris Appelhans")</f>
        <v>Chris Appelhans</v>
      </c>
      <c r="V425" s="5" t="s">
        <v>2701</v>
      </c>
      <c r="W425" s="5" t="str">
        <f t="shared" si="3"/>
        <v>Atlee Kumar</v>
      </c>
      <c r="X425" s="5">
        <f t="shared" si="4"/>
        <v>1</v>
      </c>
      <c r="Y425" s="5" t="str">
        <f>IFERROR(__xludf.DUMMYFUNCTION("REGEXEXTRACT(J425, ""^\d+"")"),"74")</f>
        <v>74</v>
      </c>
      <c r="Z425" s="5" t="str">
        <f>IFERROR(__xludf.DUMMYFUNCTION("REGEXEXTRACT(J425, ""[A-Za-z ]+$"")")," min")</f>
        <v> min</v>
      </c>
      <c r="AA425" s="5" t="str">
        <f>IFERROR(__xludf.DUMMYFUNCTION("IF(REGEXMATCH(Z425, ""Season""), ""TV Show"", ""Movie"")"),"Movie")</f>
        <v>Movie</v>
      </c>
    </row>
    <row r="426">
      <c r="A426" s="1" t="s">
        <v>2702</v>
      </c>
      <c r="B426" s="1" t="s">
        <v>27</v>
      </c>
      <c r="C426" s="1" t="s">
        <v>2703</v>
      </c>
      <c r="D426" s="1" t="s">
        <v>2621</v>
      </c>
      <c r="E426" s="1" t="s">
        <v>328</v>
      </c>
      <c r="G426" s="1" t="s">
        <v>2609</v>
      </c>
      <c r="H426" s="1">
        <v>2012.0</v>
      </c>
      <c r="I426" s="1" t="s">
        <v>289</v>
      </c>
      <c r="J426" s="1" t="s">
        <v>2626</v>
      </c>
      <c r="K426" s="1" t="s">
        <v>80</v>
      </c>
      <c r="L426" s="1" t="s">
        <v>2704</v>
      </c>
      <c r="M426" s="2" t="s">
        <v>12</v>
      </c>
      <c r="N426" s="4">
        <f t="shared" si="1"/>
        <v>44399</v>
      </c>
      <c r="O426" s="5" t="str">
        <f>IFERROR(__xludf.DUMMYFUNCTION("IF(REGEXMATCH(TRIM(I426), ""^\d+\s*min""), ""Unclassified"", IF(I426 = """", ""NR"", I426))"),"TV-Y7")</f>
        <v>TV-Y7</v>
      </c>
      <c r="R426" s="5" t="str">
        <f t="shared" si="2"/>
        <v>Chhota Bheem: The Rise Of Kirmada</v>
      </c>
      <c r="S426" s="5" t="str">
        <f>IFERROR(__xludf.DUMMYFUNCTION("""COMPUTED_VALUE"""),"Alien Tv")</f>
        <v>Alien Tv</v>
      </c>
      <c r="T426" s="5" t="str">
        <f>IFERROR(__xludf.DUMMYFUNCTION("""COMPUTED_VALUE"""),"South Africa")</f>
        <v>South Africa</v>
      </c>
      <c r="U426" s="5" t="str">
        <f>IFERROR(__xludf.DUMMYFUNCTION("""COMPUTED_VALUE"""),"Michael Tiddes")</f>
        <v>Michael Tiddes</v>
      </c>
      <c r="V426" s="5" t="s">
        <v>2705</v>
      </c>
      <c r="W426" s="5" t="str">
        <f t="shared" si="3"/>
        <v>Atom Egoyan</v>
      </c>
      <c r="X426" s="5">
        <f t="shared" si="4"/>
        <v>3</v>
      </c>
      <c r="Y426" s="5" t="str">
        <f>IFERROR(__xludf.DUMMYFUNCTION("REGEXEXTRACT(J426, ""^\d+"")"),"68")</f>
        <v>68</v>
      </c>
      <c r="Z426" s="5" t="str">
        <f>IFERROR(__xludf.DUMMYFUNCTION("REGEXEXTRACT(J426, ""[A-Za-z ]+$"")")," min")</f>
        <v> min</v>
      </c>
      <c r="AA426" s="5" t="str">
        <f>IFERROR(__xludf.DUMMYFUNCTION("IF(REGEXMATCH(Z426, ""Season""), ""TV Show"", ""Movie"")"),"Movie")</f>
        <v>Movie</v>
      </c>
    </row>
    <row r="427">
      <c r="A427" s="1" t="s">
        <v>2706</v>
      </c>
      <c r="B427" s="1" t="s">
        <v>37</v>
      </c>
      <c r="C427" s="1" t="s">
        <v>2707</v>
      </c>
      <c r="E427" s="1" t="s">
        <v>2708</v>
      </c>
      <c r="F427" s="1" t="s">
        <v>30</v>
      </c>
      <c r="G427" s="1" t="s">
        <v>2609</v>
      </c>
      <c r="H427" s="1">
        <v>2019.0</v>
      </c>
      <c r="I427" s="1" t="s">
        <v>97</v>
      </c>
      <c r="J427" s="1" t="s">
        <v>189</v>
      </c>
      <c r="K427" s="1" t="s">
        <v>2709</v>
      </c>
      <c r="L427" s="1" t="s">
        <v>2710</v>
      </c>
      <c r="M427" s="2" t="s">
        <v>12</v>
      </c>
      <c r="N427" s="4">
        <f t="shared" si="1"/>
        <v>44399</v>
      </c>
      <c r="O427" s="5" t="str">
        <f>IFERROR(__xludf.DUMMYFUNCTION("IF(REGEXMATCH(TRIM(I427), ""^\d+\s*min""), ""Unclassified"", IF(I427 = """", ""NR"", I427))"),"TV-14")</f>
        <v>TV-14</v>
      </c>
      <c r="R427" s="5" t="str">
        <f t="shared" si="2"/>
        <v>Chicago Med</v>
      </c>
      <c r="S427" s="5" t="str">
        <f>IFERROR(__xludf.DUMMYFUNCTION("""COMPUTED_VALUE"""),"Alien Warfare")</f>
        <v>Alien Warfare</v>
      </c>
      <c r="T427" s="5" t="str">
        <f>IFERROR(__xludf.DUMMYFUNCTION("""COMPUTED_VALUE"""),"South Africa, Angola")</f>
        <v>South Africa, Angola</v>
      </c>
      <c r="U427" s="5" t="str">
        <f>IFERROR(__xludf.DUMMYFUNCTION("""COMPUTED_VALUE"""),"Lara Saba")</f>
        <v>Lara Saba</v>
      </c>
      <c r="V427" s="5" t="s">
        <v>2711</v>
      </c>
      <c r="W427" s="5" t="str">
        <f t="shared" si="3"/>
        <v>Atsajun Sattakovit</v>
      </c>
      <c r="X427" s="5">
        <f t="shared" si="4"/>
        <v>1</v>
      </c>
      <c r="Y427" s="5" t="str">
        <f>IFERROR(__xludf.DUMMYFUNCTION("REGEXEXTRACT(J427, ""^\d+"")"),"5")</f>
        <v>5</v>
      </c>
      <c r="Z427" s="5" t="str">
        <f>IFERROR(__xludf.DUMMYFUNCTION("REGEXEXTRACT(J427, ""[A-Za-z ]+$"")")," Seasons")</f>
        <v> Seasons</v>
      </c>
      <c r="AA427" s="5" t="str">
        <f>IFERROR(__xludf.DUMMYFUNCTION("IF(REGEXMATCH(Z427, ""Season""), ""TV Show"", ""Movie"")"),"TV Show")</f>
        <v>TV Show</v>
      </c>
    </row>
    <row r="428">
      <c r="A428" s="1" t="s">
        <v>2712</v>
      </c>
      <c r="B428" s="1" t="s">
        <v>27</v>
      </c>
      <c r="C428" s="1" t="s">
        <v>2713</v>
      </c>
      <c r="D428" s="1" t="s">
        <v>702</v>
      </c>
      <c r="E428" s="1" t="s">
        <v>2714</v>
      </c>
      <c r="F428" s="1" t="s">
        <v>2715</v>
      </c>
      <c r="G428" s="1" t="s">
        <v>2609</v>
      </c>
      <c r="H428" s="1">
        <v>2021.0</v>
      </c>
      <c r="I428" s="1" t="s">
        <v>42</v>
      </c>
      <c r="J428" s="1" t="s">
        <v>416</v>
      </c>
      <c r="K428" s="1" t="s">
        <v>805</v>
      </c>
      <c r="L428" s="1" t="s">
        <v>2716</v>
      </c>
      <c r="M428" s="2" t="s">
        <v>12</v>
      </c>
      <c r="N428" s="4">
        <f t="shared" si="1"/>
        <v>44399</v>
      </c>
      <c r="O428" s="5" t="str">
        <f>IFERROR(__xludf.DUMMYFUNCTION("IF(REGEXMATCH(TRIM(I428), ""^\d+\s*min""), ""Unclassified"", IF(I428 = """", ""NR"", I428))"),"TV-MA")</f>
        <v>TV-MA</v>
      </c>
      <c r="R428" s="5" t="str">
        <f t="shared" si="2"/>
        <v>Cousins</v>
      </c>
      <c r="S428" s="5" t="str">
        <f>IFERROR(__xludf.DUMMYFUNCTION("""COMPUTED_VALUE"""),"Alien Worlds")</f>
        <v>Alien Worlds</v>
      </c>
      <c r="T428" s="5" t="str">
        <f>IFERROR(__xludf.DUMMYFUNCTION("""COMPUTED_VALUE"""),"South Africa, China, United States")</f>
        <v>South Africa, China, United States</v>
      </c>
      <c r="U428" s="5" t="str">
        <f>IFERROR(__xludf.DUMMYFUNCTION("""COMPUTED_VALUE"""),"Bao Nhan, Namcito")</f>
        <v>Bao Nhan, Namcito</v>
      </c>
      <c r="V428" s="5" t="s">
        <v>2717</v>
      </c>
      <c r="W428" s="5" t="str">
        <f t="shared" si="3"/>
        <v>Atsuko Ishizuka</v>
      </c>
      <c r="X428" s="5">
        <f t="shared" si="4"/>
        <v>1</v>
      </c>
      <c r="Y428" s="5" t="str">
        <f>IFERROR(__xludf.DUMMYFUNCTION("REGEXEXTRACT(J428, ""^\d+"")"),"99")</f>
        <v>99</v>
      </c>
      <c r="Z428" s="5" t="str">
        <f>IFERROR(__xludf.DUMMYFUNCTION("REGEXEXTRACT(J428, ""[A-Za-z ]+$"")")," min")</f>
        <v> min</v>
      </c>
      <c r="AA428" s="5" t="str">
        <f>IFERROR(__xludf.DUMMYFUNCTION("IF(REGEXMATCH(Z428, ""Season""), ""TV Show"", ""Movie"")"),"Movie")</f>
        <v>Movie</v>
      </c>
    </row>
    <row r="429">
      <c r="A429" s="1" t="s">
        <v>2718</v>
      </c>
      <c r="B429" s="1" t="s">
        <v>27</v>
      </c>
      <c r="C429" s="1" t="s">
        <v>2719</v>
      </c>
      <c r="D429" s="1" t="s">
        <v>2720</v>
      </c>
      <c r="E429" s="1" t="s">
        <v>2721</v>
      </c>
      <c r="G429" s="1" t="s">
        <v>2609</v>
      </c>
      <c r="H429" s="1">
        <v>2019.0</v>
      </c>
      <c r="I429" s="1" t="s">
        <v>97</v>
      </c>
      <c r="J429" s="1" t="s">
        <v>33</v>
      </c>
      <c r="K429" s="1" t="s">
        <v>199</v>
      </c>
      <c r="L429" s="1" t="s">
        <v>2722</v>
      </c>
      <c r="M429" s="2" t="s">
        <v>12</v>
      </c>
      <c r="N429" s="4">
        <f t="shared" si="1"/>
        <v>44399</v>
      </c>
      <c r="O429" s="5" t="str">
        <f>IFERROR(__xludf.DUMMYFUNCTION("IF(REGEXMATCH(TRIM(I429), ""^\d+\s*min""), ""Unclassified"", IF(I429 = """", ""NR"", I429))"),"TV-14")</f>
        <v>TV-14</v>
      </c>
      <c r="R429" s="5" t="str">
        <f t="shared" si="2"/>
        <v>Wannabe Courageous</v>
      </c>
      <c r="S429" s="5" t="str">
        <f>IFERROR(__xludf.DUMMYFUNCTION("""COMPUTED_VALUE"""),"Alien Xmas")</f>
        <v>Alien Xmas</v>
      </c>
      <c r="T429" s="5" t="str">
        <f>IFERROR(__xludf.DUMMYFUNCTION("""COMPUTED_VALUE"""),"South Africa, Germany, Netherlands, France")</f>
        <v>South Africa, Germany, Netherlands, France</v>
      </c>
      <c r="U429" s="5" t="str">
        <f>IFERROR(__xludf.DUMMYFUNCTION("""COMPUTED_VALUE"""),"Mark Raso")</f>
        <v>Mark Raso</v>
      </c>
      <c r="V429" s="5" t="s">
        <v>2723</v>
      </c>
      <c r="W429" s="5" t="str">
        <f t="shared" si="3"/>
        <v>Attila Till</v>
      </c>
      <c r="X429" s="5">
        <f t="shared" si="4"/>
        <v>1</v>
      </c>
      <c r="Y429" s="5" t="str">
        <f>IFERROR(__xludf.DUMMYFUNCTION("REGEXEXTRACT(J429, ""^\d+"")"),"90")</f>
        <v>90</v>
      </c>
      <c r="Z429" s="5" t="str">
        <f>IFERROR(__xludf.DUMMYFUNCTION("REGEXEXTRACT(J429, ""[A-Za-z ]+$"")")," min")</f>
        <v> min</v>
      </c>
      <c r="AA429" s="5" t="str">
        <f>IFERROR(__xludf.DUMMYFUNCTION("IF(REGEXMATCH(Z429, ""Season""), ""TV Show"", ""Movie"")"),"Movie")</f>
        <v>Movie</v>
      </c>
    </row>
    <row r="430">
      <c r="A430" s="1" t="s">
        <v>2724</v>
      </c>
      <c r="B430" s="1" t="s">
        <v>27</v>
      </c>
      <c r="C430" s="1" t="s">
        <v>2725</v>
      </c>
      <c r="D430" s="1" t="s">
        <v>2726</v>
      </c>
      <c r="E430" s="1" t="s">
        <v>2727</v>
      </c>
      <c r="G430" s="1" t="s">
        <v>2609</v>
      </c>
      <c r="H430" s="1">
        <v>2021.0</v>
      </c>
      <c r="I430" s="1" t="s">
        <v>506</v>
      </c>
      <c r="J430" s="1" t="s">
        <v>630</v>
      </c>
      <c r="K430" s="1" t="s">
        <v>2728</v>
      </c>
      <c r="L430" s="1" t="s">
        <v>2729</v>
      </c>
      <c r="M430" s="2" t="s">
        <v>12</v>
      </c>
      <c r="N430" s="4">
        <f t="shared" si="1"/>
        <v>44399</v>
      </c>
      <c r="O430" s="5" t="str">
        <f>IFERROR(__xludf.DUMMYFUNCTION("IF(REGEXMATCH(TRIM(I430), ""^\d+\s*min""), ""Unclassified"", IF(I430 = """", ""NR"", I430))"),"TV-G")</f>
        <v>TV-G</v>
      </c>
      <c r="R430" s="5" t="str">
        <f t="shared" si="2"/>
        <v>Words Bubble Up Like Soda Pop</v>
      </c>
      <c r="S430" s="5" t="str">
        <f>IFERROR(__xludf.DUMMYFUNCTION("""COMPUTED_VALUE"""),"Aliens Ate My Homework")</f>
        <v>Aliens Ate My Homework</v>
      </c>
      <c r="T430" s="5" t="str">
        <f>IFERROR(__xludf.DUMMYFUNCTION("""COMPUTED_VALUE"""),"South Africa, Nigeria")</f>
        <v>South Africa, Nigeria</v>
      </c>
      <c r="U430" s="5" t="str">
        <f>IFERROR(__xludf.DUMMYFUNCTION("""COMPUTED_VALUE"""),"Tariq Alkazim")</f>
        <v>Tariq Alkazim</v>
      </c>
      <c r="V430" s="5" t="s">
        <v>2730</v>
      </c>
      <c r="W430" s="5" t="str">
        <f t="shared" si="3"/>
        <v>Atul Malhotra</v>
      </c>
      <c r="X430" s="5">
        <f t="shared" si="4"/>
        <v>1</v>
      </c>
      <c r="Y430" s="5" t="str">
        <f>IFERROR(__xludf.DUMMYFUNCTION("REGEXEXTRACT(J430, ""^\d+"")"),"87")</f>
        <v>87</v>
      </c>
      <c r="Z430" s="5" t="str">
        <f>IFERROR(__xludf.DUMMYFUNCTION("REGEXEXTRACT(J430, ""[A-Za-z ]+$"")")," min")</f>
        <v> min</v>
      </c>
      <c r="AA430" s="5" t="str">
        <f>IFERROR(__xludf.DUMMYFUNCTION("IF(REGEXMATCH(Z430, ""Season""), ""TV Show"", ""Movie"")"),"Movie")</f>
        <v>Movie</v>
      </c>
    </row>
    <row r="431">
      <c r="A431" s="1" t="s">
        <v>2731</v>
      </c>
      <c r="B431" s="1" t="s">
        <v>27</v>
      </c>
      <c r="C431" s="1" t="s">
        <v>2732</v>
      </c>
      <c r="D431" s="1" t="s">
        <v>2733</v>
      </c>
      <c r="E431" s="1" t="s">
        <v>2734</v>
      </c>
      <c r="F431" s="1" t="s">
        <v>400</v>
      </c>
      <c r="G431" s="1" t="s">
        <v>2735</v>
      </c>
      <c r="H431" s="1">
        <v>2020.0</v>
      </c>
      <c r="I431" s="1" t="s">
        <v>97</v>
      </c>
      <c r="J431" s="1" t="s">
        <v>305</v>
      </c>
      <c r="K431" s="1" t="s">
        <v>298</v>
      </c>
      <c r="L431" s="1" t="s">
        <v>2736</v>
      </c>
      <c r="M431" s="2" t="s">
        <v>12</v>
      </c>
      <c r="N431" s="4">
        <f t="shared" si="1"/>
        <v>44398</v>
      </c>
      <c r="O431" s="5" t="str">
        <f>IFERROR(__xludf.DUMMYFUNCTION("IF(REGEXMATCH(TRIM(I431), ""^\d+\s*min""), ""Unclassified"", IF(I431 = """", ""NR"", I431))"),"TV-14")</f>
        <v>TV-14</v>
      </c>
      <c r="R431" s="5" t="str">
        <f t="shared" si="2"/>
        <v>Sanitation Day</v>
      </c>
      <c r="S431" s="5" t="str">
        <f>IFERROR(__xludf.DUMMYFUNCTION("""COMPUTED_VALUE"""),"Aliens Stole My Body")</f>
        <v>Aliens Stole My Body</v>
      </c>
      <c r="T431" s="5" t="str">
        <f>IFERROR(__xludf.DUMMYFUNCTION("""COMPUTED_VALUE"""),"South Africa, United States")</f>
        <v>South Africa, United States</v>
      </c>
      <c r="U431" s="5" t="str">
        <f>IFERROR(__xludf.DUMMYFUNCTION("""COMPUTED_VALUE"""),"Yulene Olaizola")</f>
        <v>Yulene Olaizola</v>
      </c>
      <c r="V431" s="5" t="s">
        <v>2737</v>
      </c>
      <c r="W431" s="5" t="str">
        <f t="shared" si="3"/>
        <v>Atul Sabharwal</v>
      </c>
      <c r="X431" s="5">
        <f t="shared" si="4"/>
        <v>1</v>
      </c>
      <c r="Y431" s="5" t="str">
        <f>IFERROR(__xludf.DUMMYFUNCTION("REGEXEXTRACT(J431, ""^\d+"")"),"105")</f>
        <v>105</v>
      </c>
      <c r="Z431" s="5" t="str">
        <f>IFERROR(__xludf.DUMMYFUNCTION("REGEXEXTRACT(J431, ""[A-Za-z ]+$"")")," min")</f>
        <v> min</v>
      </c>
      <c r="AA431" s="5" t="str">
        <f>IFERROR(__xludf.DUMMYFUNCTION("IF(REGEXMATCH(Z431, ""Season""), ""TV Show"", ""Movie"")"),"Movie")</f>
        <v>Movie</v>
      </c>
    </row>
    <row r="432">
      <c r="A432" s="1" t="s">
        <v>2738</v>
      </c>
      <c r="B432" s="1" t="s">
        <v>37</v>
      </c>
      <c r="C432" s="1" t="s">
        <v>2739</v>
      </c>
      <c r="G432" s="1" t="s">
        <v>2735</v>
      </c>
      <c r="H432" s="1">
        <v>2021.0</v>
      </c>
      <c r="I432" s="1" t="s">
        <v>97</v>
      </c>
      <c r="J432" s="1" t="s">
        <v>51</v>
      </c>
      <c r="K432" s="1" t="s">
        <v>2382</v>
      </c>
      <c r="L432" s="1" t="s">
        <v>2740</v>
      </c>
      <c r="M432" s="2" t="s">
        <v>12</v>
      </c>
      <c r="N432" s="4">
        <f t="shared" si="1"/>
        <v>44398</v>
      </c>
      <c r="O432" s="5" t="str">
        <f>IFERROR(__xludf.DUMMYFUNCTION("IF(REGEXMATCH(TRIM(I432), ""^\d+\s*min""), ""Unclassified"", IF(I432 = """", ""NR"", I432))"),"TV-14")</f>
        <v>TV-14</v>
      </c>
      <c r="R432" s="5" t="str">
        <f t="shared" si="2"/>
        <v>Sexy Beasts</v>
      </c>
      <c r="S432" s="5" t="str">
        <f>IFERROR(__xludf.DUMMYFUNCTION("""COMPUTED_VALUE"""),"Alive And Kicking")</f>
        <v>Alive And Kicking</v>
      </c>
      <c r="T432" s="5" t="str">
        <f>IFERROR(__xludf.DUMMYFUNCTION("""COMPUTED_VALUE"""),"South Africa, United States, Germany")</f>
        <v>South Africa, United States, Germany</v>
      </c>
      <c r="U432" s="5" t="str">
        <f>IFERROR(__xludf.DUMMYFUNCTION("""COMPUTED_VALUE"""),"Matthew Heineman")</f>
        <v>Matthew Heineman</v>
      </c>
      <c r="V432" s="5" t="s">
        <v>2741</v>
      </c>
      <c r="W432" s="5" t="str">
        <f t="shared" si="3"/>
        <v>Audu Paden, Eric Radomski</v>
      </c>
      <c r="X432" s="5">
        <f t="shared" si="4"/>
        <v>1</v>
      </c>
      <c r="Y432" s="5" t="str">
        <f>IFERROR(__xludf.DUMMYFUNCTION("REGEXEXTRACT(J432, ""^\d+"")"),"1")</f>
        <v>1</v>
      </c>
      <c r="Z432" s="5" t="str">
        <f>IFERROR(__xludf.DUMMYFUNCTION("REGEXEXTRACT(J432, ""[A-Za-z ]+$"")")," Season")</f>
        <v> Season</v>
      </c>
      <c r="AA432" s="5" t="str">
        <f>IFERROR(__xludf.DUMMYFUNCTION("IF(REGEXMATCH(Z432, ""Season""), ""TV Show"", ""Movie"")"),"TV Show")</f>
        <v>TV Show</v>
      </c>
    </row>
    <row r="433">
      <c r="A433" s="1" t="s">
        <v>2742</v>
      </c>
      <c r="B433" s="1" t="s">
        <v>37</v>
      </c>
      <c r="C433" s="1" t="s">
        <v>2743</v>
      </c>
      <c r="E433" s="1" t="s">
        <v>2744</v>
      </c>
      <c r="G433" s="1" t="s">
        <v>2735</v>
      </c>
      <c r="H433" s="1">
        <v>2021.0</v>
      </c>
      <c r="I433" s="1" t="s">
        <v>42</v>
      </c>
      <c r="J433" s="1" t="s">
        <v>51</v>
      </c>
      <c r="K433" s="1" t="s">
        <v>530</v>
      </c>
      <c r="L433" s="1" t="s">
        <v>2745</v>
      </c>
      <c r="M433" s="2" t="s">
        <v>12</v>
      </c>
      <c r="N433" s="4">
        <f t="shared" si="1"/>
        <v>44398</v>
      </c>
      <c r="O433" s="5" t="str">
        <f>IFERROR(__xludf.DUMMYFUNCTION("IF(REGEXMATCH(TRIM(I433), ""^\d+\s*min""), ""Unclassified"", IF(I433 = """", ""NR"", I433))"),"TV-MA")</f>
        <v>TV-MA</v>
      </c>
      <c r="R433" s="5" t="str">
        <f t="shared" si="2"/>
        <v>Too Hot To Handle: Brazil</v>
      </c>
      <c r="S433" s="5" t="str">
        <f>IFERROR(__xludf.DUMMYFUNCTION("""COMPUTED_VALUE"""),"All About Love")</f>
        <v>All About Love</v>
      </c>
      <c r="T433" s="5" t="str">
        <f>IFERROR(__xludf.DUMMYFUNCTION("""COMPUTED_VALUE"""),"South Africa, United States, Japan")</f>
        <v>South Africa, United States, Japan</v>
      </c>
      <c r="U433" s="5" t="str">
        <f>IFERROR(__xludf.DUMMYFUNCTION("""COMPUTED_VALUE"""),"Robert Peters")</f>
        <v>Robert Peters</v>
      </c>
      <c r="V433" s="5" t="s">
        <v>2746</v>
      </c>
      <c r="W433" s="5" t="str">
        <f t="shared" si="3"/>
        <v>August Jakobsson</v>
      </c>
      <c r="X433" s="5">
        <f t="shared" si="4"/>
        <v>1</v>
      </c>
      <c r="Y433" s="5" t="str">
        <f>IFERROR(__xludf.DUMMYFUNCTION("REGEXEXTRACT(J433, ""^\d+"")"),"1")</f>
        <v>1</v>
      </c>
      <c r="Z433" s="5" t="str">
        <f>IFERROR(__xludf.DUMMYFUNCTION("REGEXEXTRACT(J433, ""[A-Za-z ]+$"")")," Season")</f>
        <v> Season</v>
      </c>
      <c r="AA433" s="5" t="str">
        <f>IFERROR(__xludf.DUMMYFUNCTION("IF(REGEXMATCH(Z433, ""Season""), ""TV Show"", ""Movie"")"),"TV Show")</f>
        <v>TV Show</v>
      </c>
    </row>
    <row r="434">
      <c r="A434" s="1" t="s">
        <v>2747</v>
      </c>
      <c r="B434" s="1" t="s">
        <v>27</v>
      </c>
      <c r="C434" s="1" t="s">
        <v>2748</v>
      </c>
      <c r="D434" s="1" t="s">
        <v>2749</v>
      </c>
      <c r="E434" s="1" t="s">
        <v>2750</v>
      </c>
      <c r="G434" s="1" t="s">
        <v>2735</v>
      </c>
      <c r="H434" s="1">
        <v>2021.0</v>
      </c>
      <c r="I434" s="1" t="s">
        <v>289</v>
      </c>
      <c r="J434" s="1" t="s">
        <v>256</v>
      </c>
      <c r="K434" s="1" t="s">
        <v>80</v>
      </c>
      <c r="L434" s="1" t="s">
        <v>2751</v>
      </c>
      <c r="M434" s="2" t="s">
        <v>12</v>
      </c>
      <c r="N434" s="4">
        <f t="shared" si="1"/>
        <v>44398</v>
      </c>
      <c r="O434" s="5" t="str">
        <f>IFERROR(__xludf.DUMMYFUNCTION("IF(REGEXMATCH(TRIM(I434), ""^\d+\s*min""), ""Unclassified"", IF(I434 = """", ""NR"", I434))"),"TV-Y7")</f>
        <v>TV-Y7</v>
      </c>
      <c r="R434" s="5" t="str">
        <f t="shared" si="2"/>
        <v>Trollhunters: Rise Of The Titans</v>
      </c>
      <c r="S434" s="5" t="str">
        <f>IFERROR(__xludf.DUMMYFUNCTION("""COMPUTED_VALUE"""),"All About Nina")</f>
        <v>All About Nina</v>
      </c>
      <c r="T434" s="5" t="str">
        <f>IFERROR(__xludf.DUMMYFUNCTION("""COMPUTED_VALUE"""),"South Africa, United States, New Zealand, Canada")</f>
        <v>South Africa, United States, New Zealand, Canada</v>
      </c>
      <c r="U434" s="5" t="str">
        <f>IFERROR(__xludf.DUMMYFUNCTION("""COMPUTED_VALUE"""),"Jonathan Clay")</f>
        <v>Jonathan Clay</v>
      </c>
      <c r="V434" s="5" t="s">
        <v>2599</v>
      </c>
      <c r="W434" s="5" t="str">
        <f t="shared" si="3"/>
        <v>Augustine Frizzell</v>
      </c>
      <c r="X434" s="5">
        <f t="shared" si="4"/>
        <v>1</v>
      </c>
      <c r="Y434" s="5" t="str">
        <f>IFERROR(__xludf.DUMMYFUNCTION("REGEXEXTRACT(J434, ""^\d+"")"),"106")</f>
        <v>106</v>
      </c>
      <c r="Z434" s="5" t="str">
        <f>IFERROR(__xludf.DUMMYFUNCTION("REGEXEXTRACT(J434, ""[A-Za-z ]+$"")")," min")</f>
        <v> min</v>
      </c>
      <c r="AA434" s="5" t="str">
        <f>IFERROR(__xludf.DUMMYFUNCTION("IF(REGEXMATCH(Z434, ""Season""), ""TV Show"", ""Movie"")"),"Movie")</f>
        <v>Movie</v>
      </c>
    </row>
    <row r="435">
      <c r="A435" s="1" t="s">
        <v>2752</v>
      </c>
      <c r="B435" s="1" t="s">
        <v>27</v>
      </c>
      <c r="C435" s="1" t="s">
        <v>2753</v>
      </c>
      <c r="D435" s="1" t="s">
        <v>2754</v>
      </c>
      <c r="E435" s="1" t="s">
        <v>2755</v>
      </c>
      <c r="F435" s="1" t="s">
        <v>30</v>
      </c>
      <c r="G435" s="1" t="s">
        <v>2756</v>
      </c>
      <c r="H435" s="1">
        <v>2020.0</v>
      </c>
      <c r="I435" s="1" t="s">
        <v>42</v>
      </c>
      <c r="J435" s="1" t="s">
        <v>447</v>
      </c>
      <c r="K435" s="1" t="s">
        <v>836</v>
      </c>
      <c r="L435" s="1" t="s">
        <v>2757</v>
      </c>
      <c r="M435" s="2" t="s">
        <v>12</v>
      </c>
      <c r="N435" s="4">
        <f t="shared" si="1"/>
        <v>44397</v>
      </c>
      <c r="O435" s="5" t="str">
        <f>IFERROR(__xludf.DUMMYFUNCTION("IF(REGEXMATCH(TRIM(I435), ""^\d+\s*min""), ""Unclassified"", IF(I435 = """", ""NR"", I435))"),"TV-MA")</f>
        <v>TV-MA</v>
      </c>
      <c r="R435" s="5" t="str">
        <f t="shared" si="2"/>
        <v>Milkwater</v>
      </c>
      <c r="S435" s="5" t="str">
        <f>IFERROR(__xludf.DUMMYFUNCTION("""COMPUTED_VALUE"""),"All About The Washingtons")</f>
        <v>All About The Washingtons</v>
      </c>
      <c r="T435" s="5" t="str">
        <f>IFERROR(__xludf.DUMMYFUNCTION("""COMPUTED_VALUE"""),"South Korea")</f>
        <v>South Korea</v>
      </c>
      <c r="U435" s="5" t="str">
        <f>IFERROR(__xludf.DUMMYFUNCTION("""COMPUTED_VALUE"""),"Ally Pankiw")</f>
        <v>Ally Pankiw</v>
      </c>
      <c r="V435" s="5" t="s">
        <v>2758</v>
      </c>
      <c r="W435" s="5" t="str">
        <f t="shared" si="3"/>
        <v>Aurora Guerrero</v>
      </c>
      <c r="X435" s="5">
        <f t="shared" si="4"/>
        <v>1</v>
      </c>
      <c r="Y435" s="5" t="str">
        <f>IFERROR(__xludf.DUMMYFUNCTION("REGEXEXTRACT(J435, ""^\d+"")"),"102")</f>
        <v>102</v>
      </c>
      <c r="Z435" s="5" t="str">
        <f>IFERROR(__xludf.DUMMYFUNCTION("REGEXEXTRACT(J435, ""[A-Za-z ]+$"")")," min")</f>
        <v> min</v>
      </c>
      <c r="AA435" s="5" t="str">
        <f>IFERROR(__xludf.DUMMYFUNCTION("IF(REGEXMATCH(Z435, ""Season""), ""TV Show"", ""Movie"")"),"Movie")</f>
        <v>Movie</v>
      </c>
    </row>
    <row r="436">
      <c r="A436" s="1" t="s">
        <v>2759</v>
      </c>
      <c r="B436" s="1" t="s">
        <v>37</v>
      </c>
      <c r="C436" s="1" t="s">
        <v>2760</v>
      </c>
      <c r="E436" s="1" t="s">
        <v>2761</v>
      </c>
      <c r="F436" s="1" t="s">
        <v>1815</v>
      </c>
      <c r="G436" s="1" t="s">
        <v>2756</v>
      </c>
      <c r="H436" s="1">
        <v>2020.0</v>
      </c>
      <c r="I436" s="1" t="s">
        <v>42</v>
      </c>
      <c r="J436" s="1" t="s">
        <v>51</v>
      </c>
      <c r="K436" s="1" t="s">
        <v>2762</v>
      </c>
      <c r="L436" s="1" t="s">
        <v>2763</v>
      </c>
      <c r="M436" s="2" t="s">
        <v>12</v>
      </c>
      <c r="N436" s="4">
        <f t="shared" si="1"/>
        <v>44397</v>
      </c>
      <c r="O436" s="5" t="str">
        <f>IFERROR(__xludf.DUMMYFUNCTION("IF(REGEXMATCH(TRIM(I436), ""^\d+\s*min""), ""Unclassified"", IF(I436 = """", ""NR"", I436))"),"TV-MA")</f>
        <v>TV-MA</v>
      </c>
      <c r="R436" s="5" t="str">
        <f t="shared" si="2"/>
        <v>Okupas</v>
      </c>
      <c r="S436" s="5" t="str">
        <f>IFERROR(__xludf.DUMMYFUNCTION("""COMPUTED_VALUE"""),"All American")</f>
        <v>All American</v>
      </c>
      <c r="T436" s="5" t="str">
        <f>IFERROR(__xludf.DUMMYFUNCTION("""COMPUTED_VALUE"""),"South Korea, Canada, United States, China")</f>
        <v>South Korea, Canada, United States, China</v>
      </c>
      <c r="U436" s="5" t="str">
        <f>IFERROR(__xludf.DUMMYFUNCTION("""COMPUTED_VALUE"""),"George Ford")</f>
        <v>George Ford</v>
      </c>
      <c r="V436" s="5" t="s">
        <v>2764</v>
      </c>
      <c r="W436" s="5" t="str">
        <f t="shared" si="3"/>
        <v>Austin Peck, Anneliese Vandenberg</v>
      </c>
      <c r="X436" s="5">
        <f t="shared" si="4"/>
        <v>1</v>
      </c>
      <c r="Y436" s="5" t="str">
        <f>IFERROR(__xludf.DUMMYFUNCTION("REGEXEXTRACT(J436, ""^\d+"")"),"1")</f>
        <v>1</v>
      </c>
      <c r="Z436" s="5" t="str">
        <f>IFERROR(__xludf.DUMMYFUNCTION("REGEXEXTRACT(J436, ""[A-Za-z ]+$"")")," Season")</f>
        <v> Season</v>
      </c>
      <c r="AA436" s="5" t="str">
        <f>IFERROR(__xludf.DUMMYFUNCTION("IF(REGEXMATCH(Z436, ""Season""), ""TV Show"", ""Movie"")"),"TV Show")</f>
        <v>TV Show</v>
      </c>
    </row>
    <row r="437">
      <c r="A437" s="1" t="s">
        <v>2765</v>
      </c>
      <c r="B437" s="1" t="s">
        <v>37</v>
      </c>
      <c r="C437" s="1" t="s">
        <v>2766</v>
      </c>
      <c r="E437" s="1" t="s">
        <v>2767</v>
      </c>
      <c r="G437" s="1" t="s">
        <v>2756</v>
      </c>
      <c r="H437" s="1">
        <v>2019.0</v>
      </c>
      <c r="I437" s="1" t="s">
        <v>42</v>
      </c>
      <c r="J437" s="1" t="s">
        <v>51</v>
      </c>
      <c r="K437" s="1" t="s">
        <v>2768</v>
      </c>
      <c r="L437" s="1" t="s">
        <v>2769</v>
      </c>
      <c r="M437" s="2" t="s">
        <v>12</v>
      </c>
      <c r="N437" s="4">
        <f t="shared" si="1"/>
        <v>44397</v>
      </c>
      <c r="O437" s="5" t="str">
        <f>IFERROR(__xludf.DUMMYFUNCTION("IF(REGEXMATCH(TRIM(I437), ""^\d+\s*min""), ""Unclassified"", IF(I437 = """", ""NR"", I437))"),"TV-MA")</f>
        <v>TV-MA</v>
      </c>
      <c r="R437" s="5" t="str">
        <f t="shared" si="2"/>
        <v>Touch Your Heart</v>
      </c>
      <c r="S437" s="5" t="str">
        <f>IFERROR(__xludf.DUMMYFUNCTION("""COMPUTED_VALUE"""),"All Because Of You")</f>
        <v>All Because Of You</v>
      </c>
      <c r="T437" s="5" t="str">
        <f>IFERROR(__xludf.DUMMYFUNCTION("""COMPUTED_VALUE"""),"South Korea, China")</f>
        <v>South Korea, China</v>
      </c>
      <c r="U437" s="5" t="str">
        <f>IFERROR(__xludf.DUMMYFUNCTION("""COMPUTED_VALUE"""),"Lee Kae-Byeok")</f>
        <v>Lee Kae-Byeok</v>
      </c>
      <c r="V437" s="5" t="s">
        <v>2770</v>
      </c>
      <c r="W437" s="5" t="str">
        <f t="shared" si="3"/>
        <v>Austin Stark</v>
      </c>
      <c r="X437" s="5">
        <f t="shared" si="4"/>
        <v>1</v>
      </c>
      <c r="Y437" s="5" t="str">
        <f>IFERROR(__xludf.DUMMYFUNCTION("REGEXEXTRACT(J437, ""^\d+"")"),"1")</f>
        <v>1</v>
      </c>
      <c r="Z437" s="5" t="str">
        <f>IFERROR(__xludf.DUMMYFUNCTION("REGEXEXTRACT(J437, ""[A-Za-z ]+$"")")," Season")</f>
        <v> Season</v>
      </c>
      <c r="AA437" s="5" t="str">
        <f>IFERROR(__xludf.DUMMYFUNCTION("IF(REGEXMATCH(Z437, ""Season""), ""TV Show"", ""Movie"")"),"TV Show")</f>
        <v>TV Show</v>
      </c>
    </row>
    <row r="438">
      <c r="A438" s="1" t="s">
        <v>2771</v>
      </c>
      <c r="B438" s="1" t="s">
        <v>27</v>
      </c>
      <c r="C438" s="1" t="s">
        <v>2772</v>
      </c>
      <c r="D438" s="1" t="s">
        <v>209</v>
      </c>
      <c r="E438" s="1" t="s">
        <v>2773</v>
      </c>
      <c r="F438" s="1" t="s">
        <v>2774</v>
      </c>
      <c r="G438" s="1" t="s">
        <v>2775</v>
      </c>
      <c r="H438" s="1">
        <v>2021.0</v>
      </c>
      <c r="I438" s="1" t="s">
        <v>97</v>
      </c>
      <c r="J438" s="1" t="s">
        <v>79</v>
      </c>
      <c r="K438" s="1" t="s">
        <v>679</v>
      </c>
      <c r="L438" s="1" t="s">
        <v>2776</v>
      </c>
      <c r="M438" s="2" t="s">
        <v>12</v>
      </c>
      <c r="N438" s="4">
        <f t="shared" si="1"/>
        <v>44396</v>
      </c>
      <c r="O438" s="5" t="str">
        <f>IFERROR(__xludf.DUMMYFUNCTION("IF(REGEXMATCH(TRIM(I438), ""^\d+\s*min""), ""Unclassified"", IF(I438 = """", ""NR"", I438))"),"TV-14")</f>
        <v>TV-14</v>
      </c>
      <c r="R438" s="5" t="str">
        <f t="shared" si="2"/>
        <v>The Tambour Of Retribution</v>
      </c>
      <c r="S438" s="5" t="str">
        <f>IFERROR(__xludf.DUMMYFUNCTION("""COMPUTED_VALUE"""),"All Day And A Night")</f>
        <v>All Day And A Night</v>
      </c>
      <c r="T438" s="5" t="str">
        <f>IFERROR(__xludf.DUMMYFUNCTION("""COMPUTED_VALUE"""),"South Korea, China, United States")</f>
        <v>South Korea, China, United States</v>
      </c>
      <c r="U438" s="5" t="str">
        <f>IFERROR(__xludf.DUMMYFUNCTION("""COMPUTED_VALUE"""),"Jayan Moodley")</f>
        <v>Jayan Moodley</v>
      </c>
      <c r="V438" s="5" t="s">
        <v>2777</v>
      </c>
      <c r="W438" s="5" t="str">
        <f t="shared" si="3"/>
        <v>Ava Duvernay</v>
      </c>
      <c r="X438" s="5">
        <f t="shared" si="4"/>
        <v>5</v>
      </c>
      <c r="Y438" s="5" t="str">
        <f>IFERROR(__xludf.DUMMYFUNCTION("REGEXEXTRACT(J438, ""^\d+"")"),"91")</f>
        <v>91</v>
      </c>
      <c r="Z438" s="5" t="str">
        <f>IFERROR(__xludf.DUMMYFUNCTION("REGEXEXTRACT(J438, ""[A-Za-z ]+$"")")," min")</f>
        <v> min</v>
      </c>
      <c r="AA438" s="5" t="str">
        <f>IFERROR(__xludf.DUMMYFUNCTION("IF(REGEXMATCH(Z438, ""Season""), ""TV Show"", ""Movie"")"),"Movie")</f>
        <v>Movie</v>
      </c>
    </row>
    <row r="439">
      <c r="A439" s="1" t="s">
        <v>2778</v>
      </c>
      <c r="B439" s="1" t="s">
        <v>27</v>
      </c>
      <c r="C439" s="1" t="s">
        <v>2779</v>
      </c>
      <c r="D439" s="1" t="s">
        <v>2780</v>
      </c>
      <c r="E439" s="1" t="s">
        <v>2781</v>
      </c>
      <c r="F439" s="1" t="s">
        <v>30</v>
      </c>
      <c r="G439" s="1" t="s">
        <v>2782</v>
      </c>
      <c r="H439" s="1">
        <v>2021.0</v>
      </c>
      <c r="I439" s="1" t="s">
        <v>378</v>
      </c>
      <c r="J439" s="1" t="s">
        <v>428</v>
      </c>
      <c r="K439" s="1" t="s">
        <v>380</v>
      </c>
      <c r="L439" s="1" t="s">
        <v>2783</v>
      </c>
      <c r="M439" s="2" t="s">
        <v>12</v>
      </c>
      <c r="N439" s="4">
        <f t="shared" si="1"/>
        <v>44394</v>
      </c>
      <c r="O439" s="5" t="str">
        <f>IFERROR(__xludf.DUMMYFUNCTION("IF(REGEXMATCH(TRIM(I439), ""^\d+\s*min""), ""Unclassified"", IF(I439 = """", ""NR"", I439))"),"R")</f>
        <v>R</v>
      </c>
      <c r="R439" s="5" t="str">
        <f t="shared" si="2"/>
        <v>Cosmic Sin</v>
      </c>
      <c r="S439" s="5" t="str">
        <f>IFERROR(__xludf.DUMMYFUNCTION("""COMPUTED_VALUE"""),"All Dogs Go To Heaven")</f>
        <v>All Dogs Go To Heaven</v>
      </c>
      <c r="T439" s="5" t="str">
        <f>IFERROR(__xludf.DUMMYFUNCTION("""COMPUTED_VALUE"""),"South Korea, Czech Republic")</f>
        <v>South Korea, Czech Republic</v>
      </c>
      <c r="U439" s="5" t="str">
        <f>IFERROR(__xludf.DUMMYFUNCTION("""COMPUTED_VALUE"""),"Daniel Benmayor")</f>
        <v>Daniel Benmayor</v>
      </c>
      <c r="V439" s="5" t="s">
        <v>2784</v>
      </c>
      <c r="W439" s="5" t="str">
        <f t="shared" si="3"/>
        <v>Avadhoot Gupte</v>
      </c>
      <c r="X439" s="5">
        <f t="shared" si="4"/>
        <v>2</v>
      </c>
      <c r="Y439" s="5" t="str">
        <f>IFERROR(__xludf.DUMMYFUNCTION("REGEXEXTRACT(J439, ""^\d+"")"),"88")</f>
        <v>88</v>
      </c>
      <c r="Z439" s="5" t="str">
        <f>IFERROR(__xludf.DUMMYFUNCTION("REGEXEXTRACT(J439, ""[A-Za-z ]+$"")")," min")</f>
        <v> min</v>
      </c>
      <c r="AA439" s="5" t="str">
        <f>IFERROR(__xludf.DUMMYFUNCTION("IF(REGEXMATCH(Z439, ""Season""), ""TV Show"", ""Movie"")"),"Movie")</f>
        <v>Movie</v>
      </c>
    </row>
    <row r="440">
      <c r="A440" s="1" t="s">
        <v>2785</v>
      </c>
      <c r="B440" s="1" t="s">
        <v>27</v>
      </c>
      <c r="C440" s="1" t="s">
        <v>2786</v>
      </c>
      <c r="D440" s="1" t="s">
        <v>2787</v>
      </c>
      <c r="E440" s="1" t="s">
        <v>2788</v>
      </c>
      <c r="G440" s="1" t="s">
        <v>2789</v>
      </c>
      <c r="H440" s="1">
        <v>2020.0</v>
      </c>
      <c r="I440" s="1" t="s">
        <v>136</v>
      </c>
      <c r="J440" s="1" t="s">
        <v>1256</v>
      </c>
      <c r="K440" s="1" t="s">
        <v>679</v>
      </c>
      <c r="L440" s="1" t="s">
        <v>2790</v>
      </c>
      <c r="M440" s="2" t="s">
        <v>12</v>
      </c>
      <c r="N440" s="4">
        <f t="shared" si="1"/>
        <v>44393</v>
      </c>
      <c r="O440" s="5" t="str">
        <f>IFERROR(__xludf.DUMMYFUNCTION("IF(REGEXMATCH(TRIM(I440), ""^\d+\s*min""), ""Unclassified"", IF(I440 = """", ""NR"", I440))"),"TV-PG")</f>
        <v>TV-PG</v>
      </c>
      <c r="R440" s="5" t="str">
        <f t="shared" si="2"/>
        <v>2 Weeks In Lagos</v>
      </c>
      <c r="S440" s="5" t="str">
        <f>IFERROR(__xludf.DUMMYFUNCTION("""COMPUTED_VALUE"""),"All For Love")</f>
        <v>All For Love</v>
      </c>
      <c r="T440" s="5" t="str">
        <f>IFERROR(__xludf.DUMMYFUNCTION("""COMPUTED_VALUE"""),"South Korea, France")</f>
        <v>South Korea, France</v>
      </c>
      <c r="U440" s="5" t="str">
        <f>IFERROR(__xludf.DUMMYFUNCTION("""COMPUTED_VALUE"""),"Alex Díaz")</f>
        <v>Alex Díaz</v>
      </c>
      <c r="V440" s="5" t="s">
        <v>2791</v>
      </c>
      <c r="W440" s="5" t="str">
        <f t="shared" si="3"/>
        <v>Avgousta Zourelidi</v>
      </c>
      <c r="X440" s="5">
        <f t="shared" si="4"/>
        <v>1</v>
      </c>
      <c r="Y440" s="5" t="str">
        <f>IFERROR(__xludf.DUMMYFUNCTION("REGEXEXTRACT(J440, ""^\d+"")"),"107")</f>
        <v>107</v>
      </c>
      <c r="Z440" s="5" t="str">
        <f>IFERROR(__xludf.DUMMYFUNCTION("REGEXEXTRACT(J440, ""[A-Za-z ]+$"")")," min")</f>
        <v> min</v>
      </c>
      <c r="AA440" s="5" t="str">
        <f>IFERROR(__xludf.DUMMYFUNCTION("IF(REGEXMATCH(Z440, ""Season""), ""TV Show"", ""Movie"")"),"Movie")</f>
        <v>Movie</v>
      </c>
    </row>
    <row r="441">
      <c r="A441" s="1" t="s">
        <v>2792</v>
      </c>
      <c r="B441" s="1" t="s">
        <v>27</v>
      </c>
      <c r="C441" s="1" t="s">
        <v>2793</v>
      </c>
      <c r="D441" s="1" t="s">
        <v>2794</v>
      </c>
      <c r="E441" s="1" t="s">
        <v>2795</v>
      </c>
      <c r="F441" s="1" t="s">
        <v>2796</v>
      </c>
      <c r="G441" s="1" t="s">
        <v>2789</v>
      </c>
      <c r="H441" s="1">
        <v>2021.0</v>
      </c>
      <c r="I441" s="1" t="s">
        <v>42</v>
      </c>
      <c r="J441" s="1" t="s">
        <v>1091</v>
      </c>
      <c r="K441" s="1" t="s">
        <v>298</v>
      </c>
      <c r="L441" s="1" t="s">
        <v>2797</v>
      </c>
      <c r="M441" s="2" t="s">
        <v>12</v>
      </c>
      <c r="N441" s="4">
        <f t="shared" si="1"/>
        <v>44393</v>
      </c>
      <c r="O441" s="5" t="str">
        <f>IFERROR(__xludf.DUMMYFUNCTION("IF(REGEXMATCH(TRIM(I441), ""^\d+\s*min""), ""Unclassified"", IF(I441 = """", ""NR"", I441))"),"TV-MA")</f>
        <v>TV-MA</v>
      </c>
      <c r="R441" s="5" t="str">
        <f t="shared" si="2"/>
        <v>Deep</v>
      </c>
      <c r="S441" s="5" t="str">
        <f>IFERROR(__xludf.DUMMYFUNCTION("""COMPUTED_VALUE"""),"All Good Ones Get Away")</f>
        <v>All Good Ones Get Away</v>
      </c>
      <c r="T441" s="5" t="str">
        <f>IFERROR(__xludf.DUMMYFUNCTION("""COMPUTED_VALUE"""),"South Korea, Japan")</f>
        <v>South Korea, Japan</v>
      </c>
      <c r="U441" s="5" t="str">
        <f>IFERROR(__xludf.DUMMYFUNCTION("""COMPUTED_VALUE"""),"Helena Bergström")</f>
        <v>Helena Bergström</v>
      </c>
      <c r="V441" s="5" t="s">
        <v>2798</v>
      </c>
      <c r="W441" s="5" t="str">
        <f t="shared" si="3"/>
        <v>Avi Federgreen</v>
      </c>
      <c r="X441" s="5">
        <f t="shared" si="4"/>
        <v>1</v>
      </c>
      <c r="Y441" s="5" t="str">
        <f>IFERROR(__xludf.DUMMYFUNCTION("REGEXEXTRACT(J441, ""^\d+"")"),"101")</f>
        <v>101</v>
      </c>
      <c r="Z441" s="5" t="str">
        <f>IFERROR(__xludf.DUMMYFUNCTION("REGEXEXTRACT(J441, ""[A-Za-z ]+$"")")," min")</f>
        <v> min</v>
      </c>
      <c r="AA441" s="5" t="str">
        <f>IFERROR(__xludf.DUMMYFUNCTION("IF(REGEXMATCH(Z441, ""Season""), ""TV Show"", ""Movie"")"),"Movie")</f>
        <v>Movie</v>
      </c>
    </row>
    <row r="442">
      <c r="A442" s="1" t="s">
        <v>2799</v>
      </c>
      <c r="B442" s="1" t="s">
        <v>37</v>
      </c>
      <c r="C442" s="1" t="s">
        <v>2800</v>
      </c>
      <c r="F442" s="1" t="s">
        <v>30</v>
      </c>
      <c r="G442" s="1" t="s">
        <v>2789</v>
      </c>
      <c r="H442" s="1">
        <v>2021.0</v>
      </c>
      <c r="I442" s="1" t="s">
        <v>42</v>
      </c>
      <c r="J442" s="1" t="s">
        <v>276</v>
      </c>
      <c r="K442" s="1" t="s">
        <v>736</v>
      </c>
      <c r="L442" s="1" t="s">
        <v>2801</v>
      </c>
      <c r="M442" s="2" t="s">
        <v>12</v>
      </c>
      <c r="N442" s="4">
        <f t="shared" si="1"/>
        <v>44393</v>
      </c>
      <c r="O442" s="5" t="str">
        <f>IFERROR(__xludf.DUMMYFUNCTION("IF(REGEXMATCH(TRIM(I442), ""^\d+\s*min""), ""Unclassified"", IF(I442 = """", ""NR"", I442))"),"TV-MA")</f>
        <v>TV-MA</v>
      </c>
      <c r="R442" s="5" t="str">
        <f t="shared" si="2"/>
        <v>Explained</v>
      </c>
      <c r="S442" s="5" t="str">
        <f>IFERROR(__xludf.DUMMYFUNCTION("""COMPUTED_VALUE"""),"All Hail King Julien")</f>
        <v>All Hail King Julien</v>
      </c>
      <c r="T442" s="5" t="str">
        <f>IFERROR(__xludf.DUMMYFUNCTION("""COMPUTED_VALUE"""),"South Korea, United States")</f>
        <v>South Korea, United States</v>
      </c>
      <c r="U442" s="5" t="str">
        <f>IFERROR(__xludf.DUMMYFUNCTION("""COMPUTED_VALUE"""),"Alejandro De Grazia, Juan Stadler")</f>
        <v>Alejandro De Grazia, Juan Stadler</v>
      </c>
      <c r="V442" s="5" t="s">
        <v>2802</v>
      </c>
      <c r="W442" s="5" t="str">
        <f t="shared" si="3"/>
        <v>Avinash Arun</v>
      </c>
      <c r="X442" s="5">
        <f t="shared" si="4"/>
        <v>1</v>
      </c>
      <c r="Y442" s="5" t="str">
        <f>IFERROR(__xludf.DUMMYFUNCTION("REGEXEXTRACT(J442, ""^\d+"")"),"3")</f>
        <v>3</v>
      </c>
      <c r="Z442" s="5" t="str">
        <f>IFERROR(__xludf.DUMMYFUNCTION("REGEXEXTRACT(J442, ""[A-Za-z ]+$"")")," Seasons")</f>
        <v> Seasons</v>
      </c>
      <c r="AA442" s="5" t="str">
        <f>IFERROR(__xludf.DUMMYFUNCTION("IF(REGEXMATCH(Z442, ""Season""), ""TV Show"", ""Movie"")"),"TV Show")</f>
        <v>TV Show</v>
      </c>
    </row>
    <row r="443">
      <c r="A443" s="1" t="s">
        <v>2803</v>
      </c>
      <c r="B443" s="1" t="s">
        <v>27</v>
      </c>
      <c r="C443" s="1" t="s">
        <v>2804</v>
      </c>
      <c r="D443" s="1" t="s">
        <v>2805</v>
      </c>
      <c r="E443" s="1" t="s">
        <v>2806</v>
      </c>
      <c r="G443" s="1" t="s">
        <v>2789</v>
      </c>
      <c r="H443" s="1">
        <v>2021.0</v>
      </c>
      <c r="I443" s="1" t="s">
        <v>378</v>
      </c>
      <c r="J443" s="1" t="s">
        <v>835</v>
      </c>
      <c r="K443" s="1" t="s">
        <v>2807</v>
      </c>
      <c r="L443" s="1" t="s">
        <v>2808</v>
      </c>
      <c r="M443" s="2" t="s">
        <v>12</v>
      </c>
      <c r="N443" s="4">
        <f t="shared" si="1"/>
        <v>44393</v>
      </c>
      <c r="O443" s="5" t="str">
        <f>IFERROR(__xludf.DUMMYFUNCTION("IF(REGEXMATCH(TRIM(I443), ""^\d+\s*min""), ""Unclassified"", IF(I443 = """", ""NR"", I443))"),"R")</f>
        <v>R</v>
      </c>
      <c r="R443" s="5" t="str">
        <f t="shared" si="2"/>
        <v>Fear Street Part 3: 1666</v>
      </c>
      <c r="S443" s="5" t="str">
        <f>IFERROR(__xludf.DUMMYFUNCTION("""COMPUTED_VALUE"""),"All Hail King Julien: Exiled")</f>
        <v>All Hail King Julien: Exiled</v>
      </c>
      <c r="T443" s="5" t="str">
        <f>IFERROR(__xludf.DUMMYFUNCTION("""COMPUTED_VALUE"""),"Soviet Union, India")</f>
        <v>Soviet Union, India</v>
      </c>
      <c r="U443" s="5" t="str">
        <f>IFERROR(__xludf.DUMMYFUNCTION("""COMPUTED_VALUE"""),"Myriam Fares")</f>
        <v>Myriam Fares</v>
      </c>
      <c r="V443" s="5" t="s">
        <v>2809</v>
      </c>
      <c r="W443" s="5" t="str">
        <f t="shared" si="3"/>
        <v>Avinash Das</v>
      </c>
      <c r="X443" s="5">
        <f t="shared" si="4"/>
        <v>1</v>
      </c>
      <c r="Y443" s="5" t="str">
        <f>IFERROR(__xludf.DUMMYFUNCTION("REGEXEXTRACT(J443, ""^\d+"")"),"114")</f>
        <v>114</v>
      </c>
      <c r="Z443" s="5" t="str">
        <f>IFERROR(__xludf.DUMMYFUNCTION("REGEXEXTRACT(J443, ""[A-Za-z ]+$"")")," min")</f>
        <v> min</v>
      </c>
      <c r="AA443" s="5" t="str">
        <f>IFERROR(__xludf.DUMMYFUNCTION("IF(REGEXMATCH(Z443, ""Season""), ""TV Show"", ""Movie"")"),"Movie")</f>
        <v>Movie</v>
      </c>
    </row>
    <row r="444">
      <c r="A444" s="1" t="s">
        <v>2810</v>
      </c>
      <c r="B444" s="1" t="s">
        <v>37</v>
      </c>
      <c r="C444" s="1" t="s">
        <v>2811</v>
      </c>
      <c r="E444" s="1" t="s">
        <v>2812</v>
      </c>
      <c r="F444" s="1" t="s">
        <v>897</v>
      </c>
      <c r="G444" s="1" t="s">
        <v>2789</v>
      </c>
      <c r="H444" s="1">
        <v>2021.0</v>
      </c>
      <c r="I444" s="1" t="s">
        <v>289</v>
      </c>
      <c r="J444" s="1" t="s">
        <v>51</v>
      </c>
      <c r="K444" s="1" t="s">
        <v>314</v>
      </c>
      <c r="L444" s="1" t="s">
        <v>2813</v>
      </c>
      <c r="M444" s="2" t="s">
        <v>12</v>
      </c>
      <c r="N444" s="4">
        <f t="shared" si="1"/>
        <v>44393</v>
      </c>
      <c r="O444" s="5" t="str">
        <f>IFERROR(__xludf.DUMMYFUNCTION("IF(REGEXMATCH(TRIM(I444), ""^\d+\s*min""), ""Unclassified"", IF(I444 = """", ""NR"", I444))"),"TV-Y7")</f>
        <v>TV-Y7</v>
      </c>
      <c r="R444" s="5" t="str">
        <f t="shared" si="2"/>
        <v>Johnny Test</v>
      </c>
      <c r="S444" s="5" t="str">
        <f>IFERROR(__xludf.DUMMYFUNCTION("""COMPUTED_VALUE"""),"All Hallows' Eve")</f>
        <v>All Hallows' Eve</v>
      </c>
      <c r="T444" s="5" t="str">
        <f>IFERROR(__xludf.DUMMYFUNCTION("""COMPUTED_VALUE"""),"Spain")</f>
        <v>Spain</v>
      </c>
      <c r="U444" s="5" t="str">
        <f>IFERROR(__xludf.DUMMYFUNCTION("""COMPUTED_VALUE"""),"Chiaki Kon")</f>
        <v>Chiaki Kon</v>
      </c>
      <c r="V444" s="5" t="s">
        <v>2814</v>
      </c>
      <c r="W444" s="5" t="str">
        <f t="shared" si="3"/>
        <v>Avinash Walzade</v>
      </c>
      <c r="X444" s="5">
        <f t="shared" si="4"/>
        <v>1</v>
      </c>
      <c r="Y444" s="5" t="str">
        <f>IFERROR(__xludf.DUMMYFUNCTION("REGEXEXTRACT(J444, ""^\d+"")"),"1")</f>
        <v>1</v>
      </c>
      <c r="Z444" s="5" t="str">
        <f>IFERROR(__xludf.DUMMYFUNCTION("REGEXEXTRACT(J444, ""[A-Za-z ]+$"")")," Season")</f>
        <v> Season</v>
      </c>
      <c r="AA444" s="5" t="str">
        <f>IFERROR(__xludf.DUMMYFUNCTION("IF(REGEXMATCH(Z444, ""Season""), ""TV Show"", ""Movie"")"),"TV Show")</f>
        <v>TV Show</v>
      </c>
    </row>
    <row r="445">
      <c r="A445" s="1" t="s">
        <v>2815</v>
      </c>
      <c r="B445" s="1" t="s">
        <v>27</v>
      </c>
      <c r="C445" s="1" t="s">
        <v>2816</v>
      </c>
      <c r="D445" s="1" t="s">
        <v>2817</v>
      </c>
      <c r="E445" s="1" t="s">
        <v>2818</v>
      </c>
      <c r="G445" s="1" t="s">
        <v>2789</v>
      </c>
      <c r="H445" s="1">
        <v>1999.0</v>
      </c>
      <c r="I445" s="1" t="s">
        <v>378</v>
      </c>
      <c r="J445" s="1" t="s">
        <v>2566</v>
      </c>
      <c r="K445" s="1" t="s">
        <v>199</v>
      </c>
      <c r="L445" s="1" t="s">
        <v>2819</v>
      </c>
      <c r="M445" s="2" t="s">
        <v>12</v>
      </c>
      <c r="N445" s="4">
        <f t="shared" si="1"/>
        <v>44393</v>
      </c>
      <c r="O445" s="5" t="str">
        <f>IFERROR(__xludf.DUMMYFUNCTION("IF(REGEXMATCH(TRIM(I445), ""^\d+\s*min""), ""Unclassified"", IF(I445 = """", ""NR"", I445))"),"R")</f>
        <v>R</v>
      </c>
      <c r="R445" s="5" t="str">
        <f t="shared" si="2"/>
        <v>La Ley De Herodes</v>
      </c>
      <c r="S445" s="5" t="str">
        <f>IFERROR(__xludf.DUMMYFUNCTION("""COMPUTED_VALUE"""),"All In My Family")</f>
        <v>All In My Family</v>
      </c>
      <c r="T445" s="5" t="str">
        <f>IFERROR(__xludf.DUMMYFUNCTION("""COMPUTED_VALUE"""),"Spain, Argentina")</f>
        <v>Spain, Argentina</v>
      </c>
      <c r="U445" s="5" t="str">
        <f>IFERROR(__xludf.DUMMYFUNCTION("""COMPUTED_VALUE"""),"Rae Red")</f>
        <v>Rae Red</v>
      </c>
      <c r="V445" s="5" t="s">
        <v>2820</v>
      </c>
      <c r="W445" s="5" t="str">
        <f t="shared" si="3"/>
        <v>Awi Suryadi</v>
      </c>
      <c r="X445" s="5">
        <f t="shared" si="4"/>
        <v>1</v>
      </c>
      <c r="Y445" s="5" t="str">
        <f>IFERROR(__xludf.DUMMYFUNCTION("REGEXEXTRACT(J445, ""^\d+"")"),"123")</f>
        <v>123</v>
      </c>
      <c r="Z445" s="5" t="str">
        <f>IFERROR(__xludf.DUMMYFUNCTION("REGEXEXTRACT(J445, ""[A-Za-z ]+$"")")," min")</f>
        <v> min</v>
      </c>
      <c r="AA445" s="5" t="str">
        <f>IFERROR(__xludf.DUMMYFUNCTION("IF(REGEXMATCH(Z445, ""Season""), ""TV Show"", ""Movie"")"),"Movie")</f>
        <v>Movie</v>
      </c>
    </row>
    <row r="446">
      <c r="A446" s="1" t="s">
        <v>2821</v>
      </c>
      <c r="B446" s="1" t="s">
        <v>37</v>
      </c>
      <c r="C446" s="1" t="s">
        <v>2822</v>
      </c>
      <c r="D446" s="1" t="s">
        <v>2823</v>
      </c>
      <c r="G446" s="1" t="s">
        <v>2789</v>
      </c>
      <c r="H446" s="1">
        <v>2021.0</v>
      </c>
      <c r="I446" s="1" t="s">
        <v>97</v>
      </c>
      <c r="J446" s="1" t="s">
        <v>51</v>
      </c>
      <c r="K446" s="1" t="s">
        <v>1261</v>
      </c>
      <c r="L446" s="1" t="s">
        <v>2824</v>
      </c>
      <c r="M446" s="2" t="s">
        <v>12</v>
      </c>
      <c r="N446" s="4">
        <f t="shared" si="1"/>
        <v>44393</v>
      </c>
      <c r="O446" s="5" t="str">
        <f>IFERROR(__xludf.DUMMYFUNCTION("IF(REGEXMATCH(TRIM(I446), ""^\d+\s*min""), ""Unclassified"", IF(I446 = """", ""NR"", I446))"),"TV-14")</f>
        <v>TV-14</v>
      </c>
      <c r="R446" s="5" t="str">
        <f t="shared" si="2"/>
        <v>Naomi Osaka</v>
      </c>
      <c r="S446" s="5" t="str">
        <f>IFERROR(__xludf.DUMMYFUNCTION("""COMPUTED_VALUE"""),"All Light Will End")</f>
        <v>All Light Will End</v>
      </c>
      <c r="T446" s="5" t="str">
        <f>IFERROR(__xludf.DUMMYFUNCTION("""COMPUTED_VALUE"""),"Spain, Belgium")</f>
        <v>Spain, Belgium</v>
      </c>
      <c r="U446" s="5" t="str">
        <f>IFERROR(__xludf.DUMMYFUNCTION("""COMPUTED_VALUE"""),"Lance Hool")</f>
        <v>Lance Hool</v>
      </c>
      <c r="V446" s="5" t="s">
        <v>2825</v>
      </c>
      <c r="W446" s="5" t="str">
        <f t="shared" si="3"/>
        <v>Axelle Laffont</v>
      </c>
      <c r="X446" s="5">
        <f t="shared" si="4"/>
        <v>1</v>
      </c>
      <c r="Y446" s="5" t="str">
        <f>IFERROR(__xludf.DUMMYFUNCTION("REGEXEXTRACT(J446, ""^\d+"")"),"1")</f>
        <v>1</v>
      </c>
      <c r="Z446" s="5" t="str">
        <f>IFERROR(__xludf.DUMMYFUNCTION("REGEXEXTRACT(J446, ""[A-Za-z ]+$"")")," Season")</f>
        <v> Season</v>
      </c>
      <c r="AA446" s="5" t="str">
        <f>IFERROR(__xludf.DUMMYFUNCTION("IF(REGEXMATCH(Z446, ""Season""), ""TV Show"", ""Movie"")"),"TV Show")</f>
        <v>TV Show</v>
      </c>
    </row>
    <row r="447">
      <c r="A447" s="1" t="s">
        <v>2826</v>
      </c>
      <c r="B447" s="1" t="s">
        <v>27</v>
      </c>
      <c r="C447" s="1" t="s">
        <v>2827</v>
      </c>
      <c r="D447" s="1" t="s">
        <v>2828</v>
      </c>
      <c r="E447" s="1" t="s">
        <v>2829</v>
      </c>
      <c r="F447" s="1" t="s">
        <v>30</v>
      </c>
      <c r="G447" s="1" t="s">
        <v>2789</v>
      </c>
      <c r="H447" s="1">
        <v>2017.0</v>
      </c>
      <c r="I447" s="1" t="s">
        <v>378</v>
      </c>
      <c r="J447" s="1" t="s">
        <v>170</v>
      </c>
      <c r="K447" s="1" t="s">
        <v>2327</v>
      </c>
      <c r="L447" s="1" t="s">
        <v>2830</v>
      </c>
      <c r="M447" s="2" t="s">
        <v>12</v>
      </c>
      <c r="N447" s="4">
        <f t="shared" si="1"/>
        <v>44393</v>
      </c>
      <c r="O447" s="5" t="str">
        <f>IFERROR(__xludf.DUMMYFUNCTION("IF(REGEXMATCH(TRIM(I447), ""^\d+\s*min""), ""Unclassified"", IF(I447 = """", ""NR"", I447))"),"R")</f>
        <v>R</v>
      </c>
      <c r="R447" s="5" t="str">
        <f t="shared" si="2"/>
        <v>The Beguiled</v>
      </c>
      <c r="S447" s="5" t="str">
        <f>IFERROR(__xludf.DUMMYFUNCTION("""COMPUTED_VALUE"""),"All My Friends Are Dead")</f>
        <v>All My Friends Are Dead</v>
      </c>
      <c r="T447" s="5" t="str">
        <f>IFERROR(__xludf.DUMMYFUNCTION("""COMPUTED_VALUE"""),"Spain, Belgium, United States")</f>
        <v>Spain, Belgium, United States</v>
      </c>
      <c r="U447" s="5" t="str">
        <f>IFERROR(__xludf.DUMMYFUNCTION("""COMPUTED_VALUE"""),"Nicole Conn")</f>
        <v>Nicole Conn</v>
      </c>
      <c r="V447" s="5" t="s">
        <v>2831</v>
      </c>
      <c r="W447" s="5" t="str">
        <f t="shared" si="3"/>
        <v>Ayaan Mukherji</v>
      </c>
      <c r="X447" s="5">
        <f t="shared" si="4"/>
        <v>1</v>
      </c>
      <c r="Y447" s="5" t="str">
        <f>IFERROR(__xludf.DUMMYFUNCTION("REGEXEXTRACT(J447, ""^\d+"")"),"94")</f>
        <v>94</v>
      </c>
      <c r="Z447" s="5" t="str">
        <f>IFERROR(__xludf.DUMMYFUNCTION("REGEXEXTRACT(J447, ""[A-Za-z ]+$"")")," min")</f>
        <v> min</v>
      </c>
      <c r="AA447" s="5" t="str">
        <f>IFERROR(__xludf.DUMMYFUNCTION("IF(REGEXMATCH(Z447, ""Season""), ""TV Show"", ""Movie"")"),"Movie")</f>
        <v>Movie</v>
      </c>
    </row>
    <row r="448">
      <c r="A448" s="1" t="s">
        <v>2832</v>
      </c>
      <c r="B448" s="1" t="s">
        <v>27</v>
      </c>
      <c r="C448" s="1" t="s">
        <v>2833</v>
      </c>
      <c r="D448" s="1" t="s">
        <v>2834</v>
      </c>
      <c r="E448" s="1" t="s">
        <v>2835</v>
      </c>
      <c r="F448" s="1" t="s">
        <v>30</v>
      </c>
      <c r="G448" s="1" t="s">
        <v>2789</v>
      </c>
      <c r="H448" s="1">
        <v>2017.0</v>
      </c>
      <c r="I448" s="1" t="s">
        <v>32</v>
      </c>
      <c r="J448" s="1" t="s">
        <v>305</v>
      </c>
      <c r="K448" s="1" t="s">
        <v>805</v>
      </c>
      <c r="L448" s="1" t="s">
        <v>2836</v>
      </c>
      <c r="M448" s="2" t="s">
        <v>12</v>
      </c>
      <c r="N448" s="4">
        <f t="shared" si="1"/>
        <v>44393</v>
      </c>
      <c r="O448" s="5" t="str">
        <f>IFERROR(__xludf.DUMMYFUNCTION("IF(REGEXMATCH(TRIM(I448), ""^\d+\s*min""), ""Unclassified"", IF(I448 = """", ""NR"", I448))"),"PG-13")</f>
        <v>PG-13</v>
      </c>
      <c r="R448" s="5" t="str">
        <f t="shared" si="2"/>
        <v>The Book Of Henry</v>
      </c>
      <c r="S448" s="5" t="str">
        <f>IFERROR(__xludf.DUMMYFUNCTION("""COMPUTED_VALUE"""),"All Of You")</f>
        <v>All Of You</v>
      </c>
      <c r="T448" s="5" t="str">
        <f>IFERROR(__xludf.DUMMYFUNCTION("""COMPUTED_VALUE"""),"Spain, Canada, United States")</f>
        <v>Spain, Canada, United States</v>
      </c>
      <c r="U448" s="5" t="str">
        <f>IFERROR(__xludf.DUMMYFUNCTION("""COMPUTED_VALUE"""),"Les Mayfield")</f>
        <v>Les Mayfield</v>
      </c>
      <c r="V448" s="5" t="s">
        <v>2837</v>
      </c>
      <c r="W448" s="5" t="str">
        <f t="shared" si="3"/>
        <v>Ayman Makram</v>
      </c>
      <c r="X448" s="5">
        <f t="shared" si="4"/>
        <v>1</v>
      </c>
      <c r="Y448" s="5" t="str">
        <f>IFERROR(__xludf.DUMMYFUNCTION("REGEXEXTRACT(J448, ""^\d+"")"),"105")</f>
        <v>105</v>
      </c>
      <c r="Z448" s="5" t="str">
        <f>IFERROR(__xludf.DUMMYFUNCTION("REGEXEXTRACT(J448, ""[A-Za-z ]+$"")")," min")</f>
        <v> min</v>
      </c>
      <c r="AA448" s="5" t="str">
        <f>IFERROR(__xludf.DUMMYFUNCTION("IF(REGEXMATCH(Z448, ""Season""), ""TV Show"", ""Movie"")"),"Movie")</f>
        <v>Movie</v>
      </c>
    </row>
    <row r="449">
      <c r="A449" s="1" t="s">
        <v>2838</v>
      </c>
      <c r="B449" s="1" t="s">
        <v>27</v>
      </c>
      <c r="C449" s="1" t="s">
        <v>2839</v>
      </c>
      <c r="D449" s="1" t="s">
        <v>2840</v>
      </c>
      <c r="E449" s="1" t="s">
        <v>2841</v>
      </c>
      <c r="F449" s="1" t="s">
        <v>30</v>
      </c>
      <c r="G449" s="1" t="s">
        <v>2789</v>
      </c>
      <c r="H449" s="1">
        <v>2011.0</v>
      </c>
      <c r="I449" s="1" t="s">
        <v>32</v>
      </c>
      <c r="J449" s="1" t="s">
        <v>743</v>
      </c>
      <c r="K449" s="1" t="s">
        <v>828</v>
      </c>
      <c r="L449" s="1" t="s">
        <v>2842</v>
      </c>
      <c r="M449" s="2" t="s">
        <v>12</v>
      </c>
      <c r="N449" s="4">
        <f t="shared" si="1"/>
        <v>44393</v>
      </c>
      <c r="O449" s="5" t="str">
        <f>IFERROR(__xludf.DUMMYFUNCTION("IF(REGEXMATCH(TRIM(I449), ""^\d+\s*min""), ""Unclassified"", IF(I449 = """", ""NR"", I449))"),"PG-13")</f>
        <v>PG-13</v>
      </c>
      <c r="R449" s="5" t="str">
        <f t="shared" si="2"/>
        <v>The Twilight Saga: Breaking Dawn: Part 1</v>
      </c>
      <c r="S449" s="5" t="str">
        <f>IFERROR(__xludf.DUMMYFUNCTION("""COMPUTED_VALUE"""),"All The Boys Love Mandy Lane")</f>
        <v>All The Boys Love Mandy Lane</v>
      </c>
      <c r="T449" s="5" t="str">
        <f>IFERROR(__xludf.DUMMYFUNCTION("""COMPUTED_VALUE"""),"Spain, Colombia")</f>
        <v>Spain, Colombia</v>
      </c>
      <c r="U449" s="5" t="str">
        <f>IFERROR(__xludf.DUMMYFUNCTION("""COMPUTED_VALUE"""),"Ellen Seidler, Megan Siler")</f>
        <v>Ellen Seidler, Megan Siler</v>
      </c>
      <c r="V449" s="5" t="s">
        <v>2843</v>
      </c>
      <c r="W449" s="5" t="str">
        <f t="shared" si="3"/>
        <v>Aytaç Ağırlar</v>
      </c>
      <c r="X449" s="5">
        <f t="shared" si="4"/>
        <v>1</v>
      </c>
      <c r="Y449" s="5" t="str">
        <f>IFERROR(__xludf.DUMMYFUNCTION("REGEXEXTRACT(J449, ""^\d+"")"),"117")</f>
        <v>117</v>
      </c>
      <c r="Z449" s="5" t="str">
        <f>IFERROR(__xludf.DUMMYFUNCTION("REGEXEXTRACT(J449, ""[A-Za-z ]+$"")")," min")</f>
        <v> min</v>
      </c>
      <c r="AA449" s="5" t="str">
        <f>IFERROR(__xludf.DUMMYFUNCTION("IF(REGEXMATCH(Z449, ""Season""), ""TV Show"", ""Movie"")"),"Movie")</f>
        <v>Movie</v>
      </c>
    </row>
    <row r="450">
      <c r="A450" s="1" t="s">
        <v>2844</v>
      </c>
      <c r="B450" s="1" t="s">
        <v>27</v>
      </c>
      <c r="C450" s="1" t="s">
        <v>2845</v>
      </c>
      <c r="D450" s="1" t="s">
        <v>2840</v>
      </c>
      <c r="E450" s="1" t="s">
        <v>2846</v>
      </c>
      <c r="F450" s="1" t="s">
        <v>30</v>
      </c>
      <c r="G450" s="1" t="s">
        <v>2789</v>
      </c>
      <c r="H450" s="1">
        <v>2012.0</v>
      </c>
      <c r="I450" s="1" t="s">
        <v>32</v>
      </c>
      <c r="J450" s="1" t="s">
        <v>379</v>
      </c>
      <c r="K450" s="1" t="s">
        <v>828</v>
      </c>
      <c r="L450" s="1" t="s">
        <v>2847</v>
      </c>
      <c r="M450" s="2" t="s">
        <v>12</v>
      </c>
      <c r="N450" s="4">
        <f t="shared" si="1"/>
        <v>44393</v>
      </c>
      <c r="O450" s="5" t="str">
        <f>IFERROR(__xludf.DUMMYFUNCTION("IF(REGEXMATCH(TRIM(I450), ""^\d+\s*min""), ""Unclassified"", IF(I450 = """", ""NR"", I450))"),"PG-13")</f>
        <v>PG-13</v>
      </c>
      <c r="R450" s="5" t="str">
        <f t="shared" si="2"/>
        <v>The Twilight Saga: Breaking Dawn: Part 2</v>
      </c>
      <c r="S450" s="5" t="str">
        <f>IFERROR(__xludf.DUMMYFUNCTION("""COMPUTED_VALUE"""),"All The Bright Places")</f>
        <v>All The Bright Places</v>
      </c>
      <c r="T450" s="5" t="str">
        <f>IFERROR(__xludf.DUMMYFUNCTION("""COMPUTED_VALUE"""),"Spain, Cuba")</f>
        <v>Spain, Cuba</v>
      </c>
      <c r="U450" s="5" t="str">
        <f>IFERROR(__xludf.DUMMYFUNCTION("""COMPUTED_VALUE"""),"Roger Christian")</f>
        <v>Roger Christian</v>
      </c>
      <c r="V450" s="5" t="s">
        <v>2848</v>
      </c>
      <c r="W450" s="5" t="str">
        <f t="shared" si="3"/>
        <v>Ayumu Watanabe</v>
      </c>
      <c r="X450" s="5">
        <f t="shared" si="4"/>
        <v>1</v>
      </c>
      <c r="Y450" s="5" t="str">
        <f>IFERROR(__xludf.DUMMYFUNCTION("REGEXEXTRACT(J450, ""^\d+"")"),"115")</f>
        <v>115</v>
      </c>
      <c r="Z450" s="5" t="str">
        <f>IFERROR(__xludf.DUMMYFUNCTION("REGEXEXTRACT(J450, ""[A-Za-z ]+$"")")," min")</f>
        <v> min</v>
      </c>
      <c r="AA450" s="5" t="str">
        <f>IFERROR(__xludf.DUMMYFUNCTION("IF(REGEXMATCH(Z450, ""Season""), ""TV Show"", ""Movie"")"),"Movie")</f>
        <v>Movie</v>
      </c>
    </row>
    <row r="451">
      <c r="A451" s="1" t="s">
        <v>2849</v>
      </c>
      <c r="B451" s="1" t="s">
        <v>27</v>
      </c>
      <c r="C451" s="1" t="s">
        <v>2850</v>
      </c>
      <c r="D451" s="1" t="s">
        <v>2851</v>
      </c>
      <c r="E451" s="1" t="s">
        <v>2852</v>
      </c>
      <c r="F451" s="1" t="s">
        <v>30</v>
      </c>
      <c r="G451" s="1" t="s">
        <v>2789</v>
      </c>
      <c r="H451" s="1">
        <v>2010.0</v>
      </c>
      <c r="I451" s="1" t="s">
        <v>32</v>
      </c>
      <c r="J451" s="1" t="s">
        <v>341</v>
      </c>
      <c r="K451" s="1" t="s">
        <v>828</v>
      </c>
      <c r="L451" s="1" t="s">
        <v>2853</v>
      </c>
      <c r="M451" s="2" t="s">
        <v>12</v>
      </c>
      <c r="N451" s="4">
        <f t="shared" si="1"/>
        <v>44393</v>
      </c>
      <c r="O451" s="5" t="str">
        <f>IFERROR(__xludf.DUMMYFUNCTION("IF(REGEXMATCH(TRIM(I451), ""^\d+\s*min""), ""Unclassified"", IF(I451 = """", ""NR"", I451))"),"PG-13")</f>
        <v>PG-13</v>
      </c>
      <c r="R451" s="5" t="str">
        <f t="shared" si="2"/>
        <v>The Twilight Saga: Eclipse</v>
      </c>
      <c r="S451" s="5" t="str">
        <f>IFERROR(__xludf.DUMMYFUNCTION("""COMPUTED_VALUE"""),"All The Devil'S Men")</f>
        <v>All The Devil'S Men</v>
      </c>
      <c r="T451" s="5" t="str">
        <f>IFERROR(__xludf.DUMMYFUNCTION("""COMPUTED_VALUE"""),"Spain, France")</f>
        <v>Spain, France</v>
      </c>
      <c r="U451" s="5" t="str">
        <f>IFERROR(__xludf.DUMMYFUNCTION("""COMPUTED_VALUE"""),"Peter Galison")</f>
        <v>Peter Galison</v>
      </c>
      <c r="V451" s="5" t="s">
        <v>2854</v>
      </c>
      <c r="W451" s="5" t="str">
        <f t="shared" si="3"/>
        <v>Ayush Raina</v>
      </c>
      <c r="X451" s="5">
        <f t="shared" si="4"/>
        <v>1</v>
      </c>
      <c r="Y451" s="5" t="str">
        <f>IFERROR(__xludf.DUMMYFUNCTION("REGEXEXTRACT(J451, ""^\d+"")"),"124")</f>
        <v>124</v>
      </c>
      <c r="Z451" s="5" t="str">
        <f>IFERROR(__xludf.DUMMYFUNCTION("REGEXEXTRACT(J451, ""[A-Za-z ]+$"")")," min")</f>
        <v> min</v>
      </c>
      <c r="AA451" s="5" t="str">
        <f>IFERROR(__xludf.DUMMYFUNCTION("IF(REGEXMATCH(Z451, ""Season""), ""TV Show"", ""Movie"")"),"Movie")</f>
        <v>Movie</v>
      </c>
    </row>
    <row r="452">
      <c r="A452" s="1" t="s">
        <v>2855</v>
      </c>
      <c r="B452" s="1" t="s">
        <v>27</v>
      </c>
      <c r="C452" s="1" t="s">
        <v>2856</v>
      </c>
      <c r="D452" s="1" t="s">
        <v>2857</v>
      </c>
      <c r="E452" s="1" t="s">
        <v>2858</v>
      </c>
      <c r="F452" s="1" t="s">
        <v>30</v>
      </c>
      <c r="G452" s="1" t="s">
        <v>2789</v>
      </c>
      <c r="H452" s="1">
        <v>2009.0</v>
      </c>
      <c r="I452" s="1" t="s">
        <v>32</v>
      </c>
      <c r="J452" s="1" t="s">
        <v>2859</v>
      </c>
      <c r="K452" s="1" t="s">
        <v>828</v>
      </c>
      <c r="L452" s="1" t="s">
        <v>2860</v>
      </c>
      <c r="M452" s="2" t="s">
        <v>12</v>
      </c>
      <c r="N452" s="4">
        <f t="shared" si="1"/>
        <v>44393</v>
      </c>
      <c r="O452" s="5" t="str">
        <f>IFERROR(__xludf.DUMMYFUNCTION("IF(REGEXMATCH(TRIM(I452), ""^\d+\s*min""), ""Unclassified"", IF(I452 = """", ""NR"", I452))"),"PG-13")</f>
        <v>PG-13</v>
      </c>
      <c r="R452" s="5" t="str">
        <f t="shared" si="2"/>
        <v>The Twilight Saga: New Moon</v>
      </c>
      <c r="S452" s="5" t="str">
        <f>IFERROR(__xludf.DUMMYFUNCTION("""COMPUTED_VALUE"""),"All The Freckles In The World")</f>
        <v>All The Freckles In The World</v>
      </c>
      <c r="T452" s="5" t="str">
        <f>IFERROR(__xludf.DUMMYFUNCTION("""COMPUTED_VALUE"""),"Spain, France, Canada")</f>
        <v>Spain, France, Canada</v>
      </c>
      <c r="U452" s="5" t="str">
        <f>IFERROR(__xludf.DUMMYFUNCTION("""COMPUTED_VALUE"""),"Lance Young")</f>
        <v>Lance Young</v>
      </c>
      <c r="V452" s="5" t="s">
        <v>2861</v>
      </c>
      <c r="W452" s="5" t="str">
        <f t="shared" si="3"/>
        <v>Azazel Jacobs</v>
      </c>
      <c r="X452" s="5">
        <f t="shared" si="4"/>
        <v>1</v>
      </c>
      <c r="Y452" s="5" t="str">
        <f>IFERROR(__xludf.DUMMYFUNCTION("REGEXEXTRACT(J452, ""^\d+"")"),"131")</f>
        <v>131</v>
      </c>
      <c r="Z452" s="5" t="str">
        <f>IFERROR(__xludf.DUMMYFUNCTION("REGEXEXTRACT(J452, ""[A-Za-z ]+$"")")," min")</f>
        <v> min</v>
      </c>
      <c r="AA452" s="5" t="str">
        <f>IFERROR(__xludf.DUMMYFUNCTION("IF(REGEXMATCH(Z452, ""Season""), ""TV Show"", ""Movie"")"),"Movie")</f>
        <v>Movie</v>
      </c>
    </row>
    <row r="453">
      <c r="A453" s="1" t="s">
        <v>2862</v>
      </c>
      <c r="B453" s="1" t="s">
        <v>27</v>
      </c>
      <c r="C453" s="1" t="s">
        <v>2863</v>
      </c>
      <c r="D453" s="1" t="s">
        <v>2864</v>
      </c>
      <c r="E453" s="1" t="s">
        <v>2865</v>
      </c>
      <c r="F453" s="1" t="s">
        <v>30</v>
      </c>
      <c r="G453" s="1" t="s">
        <v>2789</v>
      </c>
      <c r="H453" s="1">
        <v>2008.0</v>
      </c>
      <c r="I453" s="1" t="s">
        <v>32</v>
      </c>
      <c r="J453" s="1" t="s">
        <v>393</v>
      </c>
      <c r="K453" s="1" t="s">
        <v>2866</v>
      </c>
      <c r="L453" s="1" t="s">
        <v>2867</v>
      </c>
      <c r="M453" s="2" t="s">
        <v>12</v>
      </c>
      <c r="N453" s="4">
        <f t="shared" si="1"/>
        <v>44393</v>
      </c>
      <c r="O453" s="5" t="str">
        <f>IFERROR(__xludf.DUMMYFUNCTION("IF(REGEXMATCH(TRIM(I453), ""^\d+\s*min""), ""Unclassified"", IF(I453 = """", ""NR"", I453))"),"PG-13")</f>
        <v>PG-13</v>
      </c>
      <c r="R453" s="5" t="str">
        <f t="shared" si="2"/>
        <v>Twilight</v>
      </c>
      <c r="S453" s="5" t="str">
        <f>IFERROR(__xludf.DUMMYFUNCTION("""COMPUTED_VALUE"""),"All The Reasons To Forget")</f>
        <v>All The Reasons To Forget</v>
      </c>
      <c r="T453" s="5" t="str">
        <f>IFERROR(__xludf.DUMMYFUNCTION("""COMPUTED_VALUE"""),"Spain, France, Canada, United States")</f>
        <v>Spain, France, Canada, United States</v>
      </c>
      <c r="U453" s="5" t="str">
        <f>IFERROR(__xludf.DUMMYFUNCTION("""COMPUTED_VALUE"""),"Leandro Neri")</f>
        <v>Leandro Neri</v>
      </c>
      <c r="V453" s="5" t="s">
        <v>2868</v>
      </c>
      <c r="W453" s="5" t="str">
        <f t="shared" si="3"/>
        <v>Azfar Jafri</v>
      </c>
      <c r="X453" s="5">
        <f t="shared" si="4"/>
        <v>1</v>
      </c>
      <c r="Y453" s="5" t="str">
        <f>IFERROR(__xludf.DUMMYFUNCTION("REGEXEXTRACT(J453, ""^\d+"")"),"122")</f>
        <v>122</v>
      </c>
      <c r="Z453" s="5" t="str">
        <f>IFERROR(__xludf.DUMMYFUNCTION("REGEXEXTRACT(J453, ""[A-Za-z ]+$"")")," min")</f>
        <v> min</v>
      </c>
      <c r="AA453" s="5" t="str">
        <f>IFERROR(__xludf.DUMMYFUNCTION("IF(REGEXMATCH(Z453, ""Season""), ""TV Show"", ""Movie"")"),"Movie")</f>
        <v>Movie</v>
      </c>
    </row>
    <row r="454">
      <c r="A454" s="1" t="s">
        <v>2869</v>
      </c>
      <c r="B454" s="1" t="s">
        <v>27</v>
      </c>
      <c r="C454" s="1" t="s">
        <v>2870</v>
      </c>
      <c r="D454" s="1" t="s">
        <v>2871</v>
      </c>
      <c r="E454" s="1" t="s">
        <v>2872</v>
      </c>
      <c r="F454" s="1" t="s">
        <v>2873</v>
      </c>
      <c r="G454" s="1" t="s">
        <v>2874</v>
      </c>
      <c r="H454" s="1">
        <v>2021.0</v>
      </c>
      <c r="I454" s="1" t="s">
        <v>136</v>
      </c>
      <c r="J454" s="1" t="s">
        <v>519</v>
      </c>
      <c r="K454" s="1" t="s">
        <v>583</v>
      </c>
      <c r="L454" s="1" t="s">
        <v>2875</v>
      </c>
      <c r="M454" s="2" t="s">
        <v>12</v>
      </c>
      <c r="N454" s="4">
        <f t="shared" si="1"/>
        <v>44392</v>
      </c>
      <c r="O454" s="5" t="str">
        <f>IFERROR(__xludf.DUMMYFUNCTION("IF(REGEXMATCH(TRIM(I454), ""^\d+\s*min""), ""Unclassified"", IF(I454 = """", ""NR"", I454))"),"TV-PG")</f>
        <v>TV-PG</v>
      </c>
      <c r="R454" s="5" t="str">
        <f t="shared" si="2"/>
        <v>A Perfect Fit</v>
      </c>
      <c r="S454" s="5" t="str">
        <f>IFERROR(__xludf.DUMMYFUNCTION("""COMPUTED_VALUE"""),"All Together Now")</f>
        <v>All Together Now</v>
      </c>
      <c r="T454" s="5" t="str">
        <f>IFERROR(__xludf.DUMMYFUNCTION("""COMPUTED_VALUE"""),"Spain, France, Italy")</f>
        <v>Spain, France, Italy</v>
      </c>
      <c r="U454" s="5" t="str">
        <f>IFERROR(__xludf.DUMMYFUNCTION("""COMPUTED_VALUE"""),"Thom Fitzgerald")</f>
        <v>Thom Fitzgerald</v>
      </c>
      <c r="V454" s="5" t="s">
        <v>2876</v>
      </c>
      <c r="W454" s="5" t="str">
        <f t="shared" si="3"/>
        <v>Aziz Ansari</v>
      </c>
      <c r="X454" s="5">
        <f t="shared" si="4"/>
        <v>1</v>
      </c>
      <c r="Y454" s="5" t="str">
        <f>IFERROR(__xludf.DUMMYFUNCTION("REGEXEXTRACT(J454, ""^\d+"")"),"113")</f>
        <v>113</v>
      </c>
      <c r="Z454" s="5" t="str">
        <f>IFERROR(__xludf.DUMMYFUNCTION("REGEXEXTRACT(J454, ""[A-Za-z ]+$"")")," min")</f>
        <v> min</v>
      </c>
      <c r="AA454" s="5" t="str">
        <f>IFERROR(__xludf.DUMMYFUNCTION("IF(REGEXMATCH(Z454, ""Season""), ""TV Show"", ""Movie"")"),"Movie")</f>
        <v>Movie</v>
      </c>
    </row>
    <row r="455">
      <c r="A455" s="1" t="s">
        <v>2877</v>
      </c>
      <c r="B455" s="1" t="s">
        <v>37</v>
      </c>
      <c r="C455" s="1" t="s">
        <v>2878</v>
      </c>
      <c r="E455" s="1" t="s">
        <v>2879</v>
      </c>
      <c r="F455" s="1" t="s">
        <v>415</v>
      </c>
      <c r="G455" s="1" t="s">
        <v>2874</v>
      </c>
      <c r="H455" s="1">
        <v>2021.0</v>
      </c>
      <c r="I455" s="1" t="s">
        <v>42</v>
      </c>
      <c r="J455" s="1" t="s">
        <v>43</v>
      </c>
      <c r="K455" s="1" t="s">
        <v>567</v>
      </c>
      <c r="L455" s="1" t="s">
        <v>2880</v>
      </c>
      <c r="M455" s="2" t="s">
        <v>12</v>
      </c>
      <c r="N455" s="4">
        <f t="shared" si="1"/>
        <v>44392</v>
      </c>
      <c r="O455" s="5" t="str">
        <f>IFERROR(__xludf.DUMMYFUNCTION("IF(REGEXMATCH(TRIM(I455), ""^\d+\s*min""), ""Unclassified"", IF(I455 = """", ""NR"", I455))"),"TV-MA")</f>
        <v>TV-MA</v>
      </c>
      <c r="R455" s="5" t="str">
        <f t="shared" si="2"/>
        <v>Beastars</v>
      </c>
      <c r="S455" s="5" t="str">
        <f>IFERROR(__xludf.DUMMYFUNCTION("""COMPUTED_VALUE"""),"All'S Well, End'S Well (2009)")</f>
        <v>All'S Well, End'S Well (2009)</v>
      </c>
      <c r="T455" s="5" t="str">
        <f>IFERROR(__xludf.DUMMYFUNCTION("""COMPUTED_VALUE"""),"Spain, France, United Kingdom, United States")</f>
        <v>Spain, France, United Kingdom, United States</v>
      </c>
      <c r="U455" s="5" t="str">
        <f>IFERROR(__xludf.DUMMYFUNCTION("""COMPUTED_VALUE"""),"Don Michael Paul")</f>
        <v>Don Michael Paul</v>
      </c>
      <c r="V455" s="5" t="s">
        <v>2881</v>
      </c>
      <c r="W455" s="5" t="str">
        <f t="shared" si="3"/>
        <v>Aziz Mirza</v>
      </c>
      <c r="X455" s="5">
        <f t="shared" si="4"/>
        <v>3</v>
      </c>
      <c r="Y455" s="5" t="str">
        <f>IFERROR(__xludf.DUMMYFUNCTION("REGEXEXTRACT(J455, ""^\d+"")"),"2")</f>
        <v>2</v>
      </c>
      <c r="Z455" s="5" t="str">
        <f>IFERROR(__xludf.DUMMYFUNCTION("REGEXEXTRACT(J455, ""[A-Za-z ]+$"")")," Seasons")</f>
        <v> Seasons</v>
      </c>
      <c r="AA455" s="5" t="str">
        <f>IFERROR(__xludf.DUMMYFUNCTION("IF(REGEXMATCH(Z455, ""Season""), ""TV Show"", ""Movie"")"),"TV Show")</f>
        <v>TV Show</v>
      </c>
    </row>
    <row r="456">
      <c r="A456" s="1" t="s">
        <v>2882</v>
      </c>
      <c r="B456" s="1" t="s">
        <v>27</v>
      </c>
      <c r="C456" s="1" t="s">
        <v>2883</v>
      </c>
      <c r="D456" s="1" t="s">
        <v>2884</v>
      </c>
      <c r="E456" s="1" t="s">
        <v>2885</v>
      </c>
      <c r="G456" s="1" t="s">
        <v>2874</v>
      </c>
      <c r="H456" s="1">
        <v>1983.0</v>
      </c>
      <c r="I456" s="1" t="s">
        <v>42</v>
      </c>
      <c r="J456" s="1" t="s">
        <v>79</v>
      </c>
      <c r="K456" s="1" t="s">
        <v>1020</v>
      </c>
      <c r="L456" s="1" t="s">
        <v>2886</v>
      </c>
      <c r="M456" s="2" t="s">
        <v>12</v>
      </c>
      <c r="N456" s="4">
        <f t="shared" si="1"/>
        <v>44392</v>
      </c>
      <c r="O456" s="5" t="str">
        <f>IFERROR(__xludf.DUMMYFUNCTION("IF(REGEXMATCH(TRIM(I456), ""^\d+\s*min""), ""Unclassified"", IF(I456 = """", ""NR"", I456))"),"TV-MA")</f>
        <v>TV-MA</v>
      </c>
      <c r="R456" s="5" t="str">
        <f t="shared" si="2"/>
        <v>Cheech &amp; Chong'S Still Smokin</v>
      </c>
      <c r="S456" s="5" t="str">
        <f>IFERROR(__xludf.DUMMYFUNCTION("""COMPUTED_VALUE"""),"Alles Ist Gut")</f>
        <v>Alles Ist Gut</v>
      </c>
      <c r="T456" s="5" t="str">
        <f>IFERROR(__xludf.DUMMYFUNCTION("""COMPUTED_VALUE"""),"Spain, France, United States")</f>
        <v>Spain, France, United States</v>
      </c>
      <c r="U456" s="5" t="str">
        <f>IFERROR(__xludf.DUMMYFUNCTION("""COMPUTED_VALUE"""),"Andrzej Bartkowiak")</f>
        <v>Andrzej Bartkowiak</v>
      </c>
      <c r="V456" s="5" t="s">
        <v>2887</v>
      </c>
      <c r="W456" s="5" t="str">
        <f t="shared" si="3"/>
        <v>B. Subhash</v>
      </c>
      <c r="X456" s="5">
        <f t="shared" si="4"/>
        <v>1</v>
      </c>
      <c r="Y456" s="5" t="str">
        <f>IFERROR(__xludf.DUMMYFUNCTION("REGEXEXTRACT(J456, ""^\d+"")"),"91")</f>
        <v>91</v>
      </c>
      <c r="Z456" s="5" t="str">
        <f>IFERROR(__xludf.DUMMYFUNCTION("REGEXEXTRACT(J456, ""[A-Za-z ]+$"")")," min")</f>
        <v> min</v>
      </c>
      <c r="AA456" s="5" t="str">
        <f>IFERROR(__xludf.DUMMYFUNCTION("IF(REGEXMATCH(Z456, ""Season""), ""TV Show"", ""Movie"")"),"Movie")</f>
        <v>Movie</v>
      </c>
    </row>
    <row r="457">
      <c r="A457" s="1" t="s">
        <v>2888</v>
      </c>
      <c r="B457" s="1" t="s">
        <v>27</v>
      </c>
      <c r="C457" s="1" t="s">
        <v>2889</v>
      </c>
      <c r="D457" s="1" t="s">
        <v>2890</v>
      </c>
      <c r="E457" s="1" t="s">
        <v>2891</v>
      </c>
      <c r="G457" s="1" t="s">
        <v>2874</v>
      </c>
      <c r="H457" s="1">
        <v>2021.0</v>
      </c>
      <c r="I457" s="1" t="s">
        <v>42</v>
      </c>
      <c r="J457" s="1" t="s">
        <v>433</v>
      </c>
      <c r="K457" s="1" t="s">
        <v>2892</v>
      </c>
      <c r="L457" s="1" t="s">
        <v>2893</v>
      </c>
      <c r="M457" s="2" t="s">
        <v>12</v>
      </c>
      <c r="N457" s="4">
        <f t="shared" si="1"/>
        <v>44392</v>
      </c>
      <c r="O457" s="5" t="str">
        <f>IFERROR(__xludf.DUMMYFUNCTION("IF(REGEXMATCH(TRIM(I457), ""^\d+\s*min""), ""Unclassified"", IF(I457 = """", ""NR"", I457))"),"TV-MA")</f>
        <v>TV-MA</v>
      </c>
      <c r="R457" s="5" t="str">
        <f t="shared" si="2"/>
        <v>Emicida: Amarelo - Live In São Paulo</v>
      </c>
      <c r="S457" s="5" t="str">
        <f>IFERROR(__xludf.DUMMYFUNCTION("""COMPUTED_VALUE"""),"Alli Wish")</f>
        <v>Alli Wish</v>
      </c>
      <c r="T457" s="5" t="str">
        <f>IFERROR(__xludf.DUMMYFUNCTION("""COMPUTED_VALUE"""),"Spain, France, Uruguay")</f>
        <v>Spain, France, Uruguay</v>
      </c>
      <c r="U457" s="5" t="str">
        <f>IFERROR(__xludf.DUMMYFUNCTION("""COMPUTED_VALUE"""),"Harold Becker")</f>
        <v>Harold Becker</v>
      </c>
      <c r="V457" s="5" t="s">
        <v>2894</v>
      </c>
      <c r="W457" s="5" t="str">
        <f t="shared" si="3"/>
        <v>B. T Thomas</v>
      </c>
      <c r="X457" s="5">
        <f t="shared" si="4"/>
        <v>1</v>
      </c>
      <c r="Y457" s="5" t="str">
        <f>IFERROR(__xludf.DUMMYFUNCTION("REGEXEXTRACT(J457, ""^\d+"")"),"100")</f>
        <v>100</v>
      </c>
      <c r="Z457" s="5" t="str">
        <f>IFERROR(__xludf.DUMMYFUNCTION("REGEXEXTRACT(J457, ""[A-Za-z ]+$"")")," min")</f>
        <v> min</v>
      </c>
      <c r="AA457" s="5" t="str">
        <f>IFERROR(__xludf.DUMMYFUNCTION("IF(REGEXMATCH(Z457, ""Season""), ""TV Show"", ""Movie"")"),"Movie")</f>
        <v>Movie</v>
      </c>
    </row>
    <row r="458">
      <c r="A458" s="1" t="s">
        <v>2895</v>
      </c>
      <c r="B458" s="1" t="s">
        <v>37</v>
      </c>
      <c r="C458" s="1" t="s">
        <v>2896</v>
      </c>
      <c r="E458" s="1" t="s">
        <v>2897</v>
      </c>
      <c r="F458" s="1" t="s">
        <v>749</v>
      </c>
      <c r="G458" s="1" t="s">
        <v>2874</v>
      </c>
      <c r="H458" s="1">
        <v>2019.0</v>
      </c>
      <c r="I458" s="1" t="s">
        <v>97</v>
      </c>
      <c r="J458" s="1" t="s">
        <v>51</v>
      </c>
      <c r="K458" s="1" t="s">
        <v>64</v>
      </c>
      <c r="L458" s="1" t="s">
        <v>2898</v>
      </c>
      <c r="M458" s="2" t="s">
        <v>12</v>
      </c>
      <c r="N458" s="4">
        <f t="shared" si="1"/>
        <v>44392</v>
      </c>
      <c r="O458" s="5" t="str">
        <f>IFERROR(__xludf.DUMMYFUNCTION("IF(REGEXMATCH(TRIM(I458), ""^\d+\s*min""), ""Unclassified"", IF(I458 = """", ""NR"", I458))"),"TV-14")</f>
        <v>TV-14</v>
      </c>
      <c r="R458" s="5" t="str">
        <f t="shared" si="2"/>
        <v>Her Private Life</v>
      </c>
      <c r="S458" s="5" t="str">
        <f>IFERROR(__xludf.DUMMYFUNCTION("""COMPUTED_VALUE"""),"Alma Matters")</f>
        <v>Alma Matters</v>
      </c>
      <c r="T458" s="5" t="str">
        <f>IFERROR(__xludf.DUMMYFUNCTION("""COMPUTED_VALUE"""),"Spain, Germany")</f>
        <v>Spain, Germany</v>
      </c>
      <c r="U458" s="5" t="str">
        <f>IFERROR(__xludf.DUMMYFUNCTION("""COMPUTED_VALUE"""),"Andrew Jenks")</f>
        <v>Andrew Jenks</v>
      </c>
      <c r="V458" s="5" t="s">
        <v>2899</v>
      </c>
      <c r="W458" s="5" t="str">
        <f t="shared" si="3"/>
        <v>B. Unnikrishnan</v>
      </c>
      <c r="X458" s="5">
        <f t="shared" si="4"/>
        <v>1</v>
      </c>
      <c r="Y458" s="5" t="str">
        <f>IFERROR(__xludf.DUMMYFUNCTION("REGEXEXTRACT(J458, ""^\d+"")"),"1")</f>
        <v>1</v>
      </c>
      <c r="Z458" s="5" t="str">
        <f>IFERROR(__xludf.DUMMYFUNCTION("REGEXEXTRACT(J458, ""[A-Za-z ]+$"")")," Season")</f>
        <v> Season</v>
      </c>
      <c r="AA458" s="5" t="str">
        <f>IFERROR(__xludf.DUMMYFUNCTION("IF(REGEXMATCH(Z458, ""Season""), ""TV Show"", ""Movie"")"),"TV Show")</f>
        <v>TV Show</v>
      </c>
    </row>
    <row r="459">
      <c r="A459" s="1" t="s">
        <v>2900</v>
      </c>
      <c r="B459" s="1" t="s">
        <v>27</v>
      </c>
      <c r="C459" s="1" t="s">
        <v>2901</v>
      </c>
      <c r="D459" s="1" t="s">
        <v>2902</v>
      </c>
      <c r="F459" s="1" t="s">
        <v>2903</v>
      </c>
      <c r="G459" s="1" t="s">
        <v>2874</v>
      </c>
      <c r="H459" s="1">
        <v>2021.0</v>
      </c>
      <c r="I459" s="1" t="s">
        <v>136</v>
      </c>
      <c r="J459" s="1" t="s">
        <v>454</v>
      </c>
      <c r="K459" s="1" t="s">
        <v>520</v>
      </c>
      <c r="L459" s="1" t="s">
        <v>2904</v>
      </c>
      <c r="M459" s="2" t="s">
        <v>12</v>
      </c>
      <c r="N459" s="4">
        <f t="shared" si="1"/>
        <v>44392</v>
      </c>
      <c r="O459" s="5" t="str">
        <f>IFERROR(__xludf.DUMMYFUNCTION("IF(REGEXMATCH(TRIM(I459), ""^\d+\s*min""), ""Unclassified"", IF(I459 = """", ""NR"", I459))"),"TV-PG")</f>
        <v>TV-PG</v>
      </c>
      <c r="R459" s="5" t="str">
        <f t="shared" si="2"/>
        <v>Lift Like A Girl</v>
      </c>
      <c r="S459" s="5" t="str">
        <f>IFERROR(__xludf.DUMMYFUNCTION("""COMPUTED_VALUE"""),"Almost Happy")</f>
        <v>Almost Happy</v>
      </c>
      <c r="T459" s="5" t="str">
        <f>IFERROR(__xludf.DUMMYFUNCTION("""COMPUTED_VALUE"""),"Spain, Germany, Denmark, United States")</f>
        <v>Spain, Germany, Denmark, United States</v>
      </c>
      <c r="U459" s="5" t="str">
        <f>IFERROR(__xludf.DUMMYFUNCTION("""COMPUTED_VALUE"""),"Ric Roman Waugh")</f>
        <v>Ric Roman Waugh</v>
      </c>
      <c r="V459" s="5" t="s">
        <v>2905</v>
      </c>
      <c r="W459" s="5" t="str">
        <f t="shared" si="3"/>
        <v>B. V. Nandini Reddy</v>
      </c>
      <c r="X459" s="5">
        <f t="shared" si="4"/>
        <v>3</v>
      </c>
      <c r="Y459" s="5" t="str">
        <f>IFERROR(__xludf.DUMMYFUNCTION("REGEXEXTRACT(J459, ""^\d+"")"),"93")</f>
        <v>93</v>
      </c>
      <c r="Z459" s="5" t="str">
        <f>IFERROR(__xludf.DUMMYFUNCTION("REGEXEXTRACT(J459, ""[A-Za-z ]+$"")")," min")</f>
        <v> min</v>
      </c>
      <c r="AA459" s="5" t="str">
        <f>IFERROR(__xludf.DUMMYFUNCTION("IF(REGEXMATCH(Z459, ""Season""), ""TV Show"", ""Movie"")"),"Movie")</f>
        <v>Movie</v>
      </c>
    </row>
    <row r="460">
      <c r="A460" s="1" t="s">
        <v>2906</v>
      </c>
      <c r="B460" s="1" t="s">
        <v>27</v>
      </c>
      <c r="C460" s="1" t="s">
        <v>2907</v>
      </c>
      <c r="D460" s="1" t="s">
        <v>2908</v>
      </c>
      <c r="E460" s="1" t="s">
        <v>2909</v>
      </c>
      <c r="G460" s="1" t="s">
        <v>2874</v>
      </c>
      <c r="H460" s="1">
        <v>2021.0</v>
      </c>
      <c r="I460" s="1" t="s">
        <v>97</v>
      </c>
      <c r="J460" s="1" t="s">
        <v>33</v>
      </c>
      <c r="K460" s="1" t="s">
        <v>679</v>
      </c>
      <c r="L460" s="1" t="s">
        <v>2910</v>
      </c>
      <c r="M460" s="2" t="s">
        <v>12</v>
      </c>
      <c r="N460" s="4">
        <f t="shared" si="1"/>
        <v>44392</v>
      </c>
      <c r="O460" s="5" t="str">
        <f>IFERROR(__xludf.DUMMYFUNCTION("IF(REGEXMATCH(TRIM(I460), ""^\d+\s*min""), ""Unclassified"", IF(I460 = """", ""NR"", I460))"),"TV-14")</f>
        <v>TV-14</v>
      </c>
      <c r="R460" s="5" t="str">
        <f t="shared" si="2"/>
        <v>My Amanda</v>
      </c>
      <c r="S460" s="5" t="str">
        <f>IFERROR(__xludf.DUMMYFUNCTION("""COMPUTED_VALUE"""),"Almost Love")</f>
        <v>Almost Love</v>
      </c>
      <c r="T460" s="5" t="str">
        <f>IFERROR(__xludf.DUMMYFUNCTION("""COMPUTED_VALUE"""),"Spain, Italy")</f>
        <v>Spain, Italy</v>
      </c>
      <c r="U460" s="5" t="str">
        <f>IFERROR(__xludf.DUMMYFUNCTION("""COMPUTED_VALUE"""),"Rob Reiner")</f>
        <v>Rob Reiner</v>
      </c>
      <c r="V460" s="5" t="s">
        <v>2911</v>
      </c>
      <c r="W460" s="5" t="str">
        <f t="shared" si="3"/>
        <v>B.N. Shajeer Sha</v>
      </c>
      <c r="X460" s="5">
        <f t="shared" si="4"/>
        <v>1</v>
      </c>
      <c r="Y460" s="5" t="str">
        <f>IFERROR(__xludf.DUMMYFUNCTION("REGEXEXTRACT(J460, ""^\d+"")"),"90")</f>
        <v>90</v>
      </c>
      <c r="Z460" s="5" t="str">
        <f>IFERROR(__xludf.DUMMYFUNCTION("REGEXEXTRACT(J460, ""[A-Za-z ]+$"")")," min")</f>
        <v> min</v>
      </c>
      <c r="AA460" s="5" t="str">
        <f>IFERROR(__xludf.DUMMYFUNCTION("IF(REGEXMATCH(Z460, ""Season""), ""TV Show"", ""Movie"")"),"Movie")</f>
        <v>Movie</v>
      </c>
    </row>
    <row r="461">
      <c r="A461" s="1" t="s">
        <v>2912</v>
      </c>
      <c r="B461" s="1" t="s">
        <v>37</v>
      </c>
      <c r="C461" s="1" t="s">
        <v>2913</v>
      </c>
      <c r="E461" s="1" t="s">
        <v>2914</v>
      </c>
      <c r="F461" s="1" t="s">
        <v>30</v>
      </c>
      <c r="G461" s="1" t="s">
        <v>2874</v>
      </c>
      <c r="H461" s="1">
        <v>2021.0</v>
      </c>
      <c r="I461" s="1" t="s">
        <v>97</v>
      </c>
      <c r="J461" s="1" t="s">
        <v>43</v>
      </c>
      <c r="K461" s="1" t="s">
        <v>2915</v>
      </c>
      <c r="L461" s="1" t="s">
        <v>2916</v>
      </c>
      <c r="M461" s="2" t="s">
        <v>12</v>
      </c>
      <c r="N461" s="4">
        <f t="shared" si="1"/>
        <v>44392</v>
      </c>
      <c r="O461" s="5" t="str">
        <f>IFERROR(__xludf.DUMMYFUNCTION("IF(REGEXMATCH(TRIM(I461), ""^\d+\s*min""), ""Unclassified"", IF(I461 = """", ""NR"", I461))"),"TV-14")</f>
        <v>TV-14</v>
      </c>
      <c r="R461" s="5" t="str">
        <f t="shared" si="2"/>
        <v>Never Have I Ever</v>
      </c>
      <c r="S461" s="5" t="str">
        <f>IFERROR(__xludf.DUMMYFUNCTION("""COMPUTED_VALUE"""),"Alone")</f>
        <v>Alone</v>
      </c>
      <c r="T461" s="5" t="str">
        <f>IFERROR(__xludf.DUMMYFUNCTION("""COMPUTED_VALUE"""),"Spain, Italy, Argentina")</f>
        <v>Spain, Italy, Argentina</v>
      </c>
      <c r="U461" s="5" t="str">
        <f>IFERROR(__xludf.DUMMYFUNCTION("""COMPUTED_VALUE"""),"Andy Tennant")</f>
        <v>Andy Tennant</v>
      </c>
      <c r="V461" s="5" t="s">
        <v>2917</v>
      </c>
      <c r="W461" s="5" t="str">
        <f t="shared" si="3"/>
        <v>Babak Anvari</v>
      </c>
      <c r="X461" s="5">
        <f t="shared" si="4"/>
        <v>1</v>
      </c>
      <c r="Y461" s="5" t="str">
        <f>IFERROR(__xludf.DUMMYFUNCTION("REGEXEXTRACT(J461, ""^\d+"")"),"2")</f>
        <v>2</v>
      </c>
      <c r="Z461" s="5" t="str">
        <f>IFERROR(__xludf.DUMMYFUNCTION("REGEXEXTRACT(J461, ""[A-Za-z ]+$"")")," Seasons")</f>
        <v> Seasons</v>
      </c>
      <c r="AA461" s="5" t="str">
        <f>IFERROR(__xludf.DUMMYFUNCTION("IF(REGEXMATCH(Z461, ""Season""), ""TV Show"", ""Movie"")"),"TV Show")</f>
        <v>TV Show</v>
      </c>
    </row>
    <row r="462">
      <c r="A462" s="1" t="s">
        <v>2918</v>
      </c>
      <c r="B462" s="1" t="s">
        <v>27</v>
      </c>
      <c r="C462" s="1" t="s">
        <v>2919</v>
      </c>
      <c r="D462" s="1" t="s">
        <v>2606</v>
      </c>
      <c r="E462" s="1" t="s">
        <v>2920</v>
      </c>
      <c r="F462" s="1" t="s">
        <v>897</v>
      </c>
      <c r="G462" s="1" t="s">
        <v>2874</v>
      </c>
      <c r="H462" s="1">
        <v>2007.0</v>
      </c>
      <c r="I462" s="1" t="s">
        <v>78</v>
      </c>
      <c r="J462" s="1" t="s">
        <v>1144</v>
      </c>
      <c r="K462" s="1" t="s">
        <v>2921</v>
      </c>
      <c r="L462" s="1" t="s">
        <v>2922</v>
      </c>
      <c r="M462" s="2" t="s">
        <v>12</v>
      </c>
      <c r="N462" s="4">
        <f t="shared" si="1"/>
        <v>44392</v>
      </c>
      <c r="O462" s="5" t="str">
        <f>IFERROR(__xludf.DUMMYFUNCTION("IF(REGEXMATCH(TRIM(I462), ""^\d+\s*min""), ""Unclassified"", IF(I462 = """", ""NR"", I462))"),"PG")</f>
        <v>PG</v>
      </c>
      <c r="R462" s="5" t="str">
        <f t="shared" si="2"/>
        <v>Surf'S Up</v>
      </c>
      <c r="S462" s="5" t="str">
        <f>IFERROR(__xludf.DUMMYFUNCTION("""COMPUTED_VALUE"""),"Alone In Berlin")</f>
        <v>Alone In Berlin</v>
      </c>
      <c r="T462" s="5" t="str">
        <f>IFERROR(__xludf.DUMMYFUNCTION("""COMPUTED_VALUE"""),"Spain, Mexico")</f>
        <v>Spain, Mexico</v>
      </c>
      <c r="U462" s="5" t="str">
        <f>IFERROR(__xludf.DUMMYFUNCTION("""COMPUTED_VALUE"""),"Tade Ogidan")</f>
        <v>Tade Ogidan</v>
      </c>
      <c r="V462" s="5" t="s">
        <v>2923</v>
      </c>
      <c r="W462" s="5" t="str">
        <f t="shared" si="3"/>
        <v>Bahij Hojeij</v>
      </c>
      <c r="X462" s="5">
        <f t="shared" si="4"/>
        <v>1</v>
      </c>
      <c r="Y462" s="5" t="str">
        <f>IFERROR(__xludf.DUMMYFUNCTION("REGEXEXTRACT(J462, ""^\d+"")"),"86")</f>
        <v>86</v>
      </c>
      <c r="Z462" s="5" t="str">
        <f>IFERROR(__xludf.DUMMYFUNCTION("REGEXEXTRACT(J462, ""[A-Za-z ]+$"")")," min")</f>
        <v> min</v>
      </c>
      <c r="AA462" s="5" t="str">
        <f>IFERROR(__xludf.DUMMYFUNCTION("IF(REGEXMATCH(Z462, ""Season""), ""TV Show"", ""Movie"")"),"Movie")</f>
        <v>Movie</v>
      </c>
    </row>
    <row r="463">
      <c r="A463" s="1" t="s">
        <v>2924</v>
      </c>
      <c r="B463" s="1" t="s">
        <v>27</v>
      </c>
      <c r="C463" s="1" t="s">
        <v>2925</v>
      </c>
      <c r="D463" s="1" t="s">
        <v>838</v>
      </c>
      <c r="E463" s="1" t="s">
        <v>2926</v>
      </c>
      <c r="G463" s="1" t="s">
        <v>2874</v>
      </c>
      <c r="H463" s="1">
        <v>2019.0</v>
      </c>
      <c r="I463" s="1" t="s">
        <v>97</v>
      </c>
      <c r="J463" s="1" t="s">
        <v>433</v>
      </c>
      <c r="K463" s="1" t="s">
        <v>836</v>
      </c>
      <c r="L463" s="1" t="s">
        <v>2927</v>
      </c>
      <c r="M463" s="2" t="s">
        <v>12</v>
      </c>
      <c r="N463" s="4">
        <f t="shared" si="1"/>
        <v>44392</v>
      </c>
      <c r="O463" s="5" t="str">
        <f>IFERROR(__xludf.DUMMYFUNCTION("IF(REGEXMATCH(TRIM(I463), ""^\d+\s*min""), ""Unclassified"", IF(I463 = """", ""NR"", I463))"),"TV-14")</f>
        <v>TV-14</v>
      </c>
      <c r="R463" s="5" t="str">
        <f t="shared" si="2"/>
        <v>The Unknown Saint</v>
      </c>
      <c r="S463" s="5" t="str">
        <f>IFERROR(__xludf.DUMMYFUNCTION("""COMPUTED_VALUE"""),"Alone/Together")</f>
        <v>Alone/Together</v>
      </c>
      <c r="T463" s="5" t="str">
        <f>IFERROR(__xludf.DUMMYFUNCTION("""COMPUTED_VALUE"""),"Spain, Mexico, France")</f>
        <v>Spain, Mexico, France</v>
      </c>
      <c r="U463" s="5" t="str">
        <f>IFERROR(__xludf.DUMMYFUNCTION("""COMPUTED_VALUE"""),"Scott Spiegel")</f>
        <v>Scott Spiegel</v>
      </c>
      <c r="V463" s="5" t="s">
        <v>2928</v>
      </c>
      <c r="W463" s="5" t="str">
        <f t="shared" si="3"/>
        <v>Baljit Singh Deo</v>
      </c>
      <c r="X463" s="5">
        <f t="shared" si="4"/>
        <v>2</v>
      </c>
      <c r="Y463" s="5" t="str">
        <f>IFERROR(__xludf.DUMMYFUNCTION("REGEXEXTRACT(J463, ""^\d+"")"),"100")</f>
        <v>100</v>
      </c>
      <c r="Z463" s="5" t="str">
        <f>IFERROR(__xludf.DUMMYFUNCTION("REGEXEXTRACT(J463, ""[A-Za-z ]+$"")")," min")</f>
        <v> min</v>
      </c>
      <c r="AA463" s="5" t="str">
        <f>IFERROR(__xludf.DUMMYFUNCTION("IF(REGEXMATCH(Z463, ""Season""), ""TV Show"", ""Movie"")"),"Movie")</f>
        <v>Movie</v>
      </c>
    </row>
    <row r="464">
      <c r="A464" s="1" t="s">
        <v>2929</v>
      </c>
      <c r="B464" s="1" t="s">
        <v>27</v>
      </c>
      <c r="C464" s="1" t="s">
        <v>2930</v>
      </c>
      <c r="D464" s="1" t="s">
        <v>2931</v>
      </c>
      <c r="F464" s="1" t="s">
        <v>30</v>
      </c>
      <c r="G464" s="1" t="s">
        <v>2874</v>
      </c>
      <c r="H464" s="1">
        <v>2019.0</v>
      </c>
      <c r="I464" s="1" t="s">
        <v>42</v>
      </c>
      <c r="J464" s="1" t="s">
        <v>322</v>
      </c>
      <c r="K464" s="1" t="s">
        <v>34</v>
      </c>
      <c r="L464" s="1" t="s">
        <v>2932</v>
      </c>
      <c r="M464" s="2" t="s">
        <v>12</v>
      </c>
      <c r="N464" s="4">
        <f t="shared" si="1"/>
        <v>44392</v>
      </c>
      <c r="O464" s="5" t="str">
        <f>IFERROR(__xludf.DUMMYFUNCTION("IF(REGEXMATCH(TRIM(I464), ""^\d+\s*min""), ""Unclassified"", IF(I464 = """", ""NR"", I464))"),"TV-MA")</f>
        <v>TV-MA</v>
      </c>
      <c r="R464" s="5" t="str">
        <f t="shared" si="2"/>
        <v>This Changes Everything</v>
      </c>
      <c r="S464" s="5" t="str">
        <f>IFERROR(__xludf.DUMMYFUNCTION("""COMPUTED_VALUE"""),"Along Came A Spider")</f>
        <v>Along Came A Spider</v>
      </c>
      <c r="T464" s="5" t="str">
        <f>IFERROR(__xludf.DUMMYFUNCTION("""COMPUTED_VALUE"""),"Spain, Portugal")</f>
        <v>Spain, Portugal</v>
      </c>
      <c r="U464" s="5" t="str">
        <f>IFERROR(__xludf.DUMMYFUNCTION("""COMPUTED_VALUE"""),"Jessie Nelson")</f>
        <v>Jessie Nelson</v>
      </c>
      <c r="V464" s="5" t="s">
        <v>2933</v>
      </c>
      <c r="W464" s="5" t="str">
        <f t="shared" si="3"/>
        <v>Baltasar Kormákur</v>
      </c>
      <c r="X464" s="5">
        <f t="shared" si="4"/>
        <v>1</v>
      </c>
      <c r="Y464" s="5" t="str">
        <f>IFERROR(__xludf.DUMMYFUNCTION("REGEXEXTRACT(J464, ""^\d+"")"),"96")</f>
        <v>96</v>
      </c>
      <c r="Z464" s="5" t="str">
        <f>IFERROR(__xludf.DUMMYFUNCTION("REGEXEXTRACT(J464, ""[A-Za-z ]+$"")")," min")</f>
        <v> min</v>
      </c>
      <c r="AA464" s="5" t="str">
        <f>IFERROR(__xludf.DUMMYFUNCTION("IF(REGEXMATCH(Z464, ""Season""), ""TV Show"", ""Movie"")"),"Movie")</f>
        <v>Movie</v>
      </c>
    </row>
    <row r="465">
      <c r="A465" s="1" t="s">
        <v>2934</v>
      </c>
      <c r="B465" s="1" t="s">
        <v>27</v>
      </c>
      <c r="C465" s="1" t="s">
        <v>2935</v>
      </c>
      <c r="D465" s="1" t="s">
        <v>2936</v>
      </c>
      <c r="E465" s="1" t="s">
        <v>2937</v>
      </c>
      <c r="F465" s="1" t="s">
        <v>1779</v>
      </c>
      <c r="G465" s="1" t="s">
        <v>2938</v>
      </c>
      <c r="H465" s="1">
        <v>2021.0</v>
      </c>
      <c r="I465" s="1" t="s">
        <v>42</v>
      </c>
      <c r="J465" s="1" t="s">
        <v>465</v>
      </c>
      <c r="K465" s="1" t="s">
        <v>1441</v>
      </c>
      <c r="L465" s="1" t="s">
        <v>2939</v>
      </c>
      <c r="M465" s="2" t="s">
        <v>12</v>
      </c>
      <c r="N465" s="4">
        <f t="shared" si="1"/>
        <v>44391</v>
      </c>
      <c r="O465" s="5" t="str">
        <f>IFERROR(__xludf.DUMMYFUNCTION("IF(REGEXMATCH(TRIM(I465), ""^\d+\s*min""), ""Unclassified"", IF(I465 = """", ""NR"", I465))"),"TV-MA")</f>
        <v>TV-MA</v>
      </c>
      <c r="R465" s="5" t="str">
        <f t="shared" si="2"/>
        <v>A Classic Horror Story</v>
      </c>
      <c r="S465" s="5" t="str">
        <f>IFERROR(__xludf.DUMMYFUNCTION("""COMPUTED_VALUE"""),"Alpha And Omega 2: A Howl-Iday Adventure")</f>
        <v>Alpha And Omega 2: A Howl-Iday Adventure</v>
      </c>
      <c r="T465" s="5" t="str">
        <f>IFERROR(__xludf.DUMMYFUNCTION("""COMPUTED_VALUE"""),"Spain, Switzerland")</f>
        <v>Spain, Switzerland</v>
      </c>
      <c r="U465" s="5" t="str">
        <f>IFERROR(__xludf.DUMMYFUNCTION("""COMPUTED_VALUE"""),"Theodore Witcher")</f>
        <v>Theodore Witcher</v>
      </c>
      <c r="V465" s="5" t="s">
        <v>2940</v>
      </c>
      <c r="W465" s="5" t="str">
        <f t="shared" si="3"/>
        <v>Balu Mahendra</v>
      </c>
      <c r="X465" s="5">
        <f t="shared" si="4"/>
        <v>1</v>
      </c>
      <c r="Y465" s="5" t="str">
        <f>IFERROR(__xludf.DUMMYFUNCTION("REGEXEXTRACT(J465, ""^\d+"")"),"95")</f>
        <v>95</v>
      </c>
      <c r="Z465" s="5" t="str">
        <f>IFERROR(__xludf.DUMMYFUNCTION("REGEXEXTRACT(J465, ""[A-Za-z ]+$"")")," min")</f>
        <v> min</v>
      </c>
      <c r="AA465" s="5" t="str">
        <f>IFERROR(__xludf.DUMMYFUNCTION("IF(REGEXMATCH(Z465, ""Season""), ""TV Show"", ""Movie"")"),"Movie")</f>
        <v>Movie</v>
      </c>
    </row>
    <row r="466">
      <c r="A466" s="1" t="s">
        <v>2941</v>
      </c>
      <c r="B466" s="1" t="s">
        <v>27</v>
      </c>
      <c r="C466" s="1" t="s">
        <v>2942</v>
      </c>
      <c r="D466" s="1" t="s">
        <v>2943</v>
      </c>
      <c r="E466" s="1" t="s">
        <v>2944</v>
      </c>
      <c r="G466" s="1" t="s">
        <v>2938</v>
      </c>
      <c r="H466" s="1">
        <v>2021.0</v>
      </c>
      <c r="I466" s="1" t="s">
        <v>378</v>
      </c>
      <c r="J466" s="1" t="s">
        <v>379</v>
      </c>
      <c r="K466" s="1" t="s">
        <v>973</v>
      </c>
      <c r="L466" s="1" t="s">
        <v>2945</v>
      </c>
      <c r="M466" s="2" t="s">
        <v>12</v>
      </c>
      <c r="N466" s="4">
        <f t="shared" si="1"/>
        <v>44391</v>
      </c>
      <c r="O466" s="5" t="str">
        <f>IFERROR(__xludf.DUMMYFUNCTION("IF(REGEXMATCH(TRIM(I466), ""^\d+\s*min""), ""Unclassified"", IF(I466 = """", ""NR"", I466))"),"R")</f>
        <v>R</v>
      </c>
      <c r="R466" s="5" t="str">
        <f t="shared" si="2"/>
        <v>Gunpowder Milkshake</v>
      </c>
      <c r="S466" s="5" t="str">
        <f>IFERROR(__xludf.DUMMYFUNCTION("""COMPUTED_VALUE"""),"Alpha And Omega: The Legend Of The Saw Tooth Cave")</f>
        <v>Alpha And Omega: The Legend Of The Saw Tooth Cave</v>
      </c>
      <c r="T466" s="5" t="str">
        <f>IFERROR(__xludf.DUMMYFUNCTION("""COMPUTED_VALUE"""),"Spain, Thailand, United States")</f>
        <v>Spain, Thailand, United States</v>
      </c>
      <c r="U466" s="5" t="str">
        <f>IFERROR(__xludf.DUMMYFUNCTION("""COMPUTED_VALUE"""),"Aurora Guerrero")</f>
        <v>Aurora Guerrero</v>
      </c>
      <c r="V466" s="5" t="s">
        <v>2946</v>
      </c>
      <c r="W466" s="5" t="str">
        <f t="shared" si="3"/>
        <v>Banjong Pisanthanakun</v>
      </c>
      <c r="X466" s="5">
        <f t="shared" si="4"/>
        <v>2</v>
      </c>
      <c r="Y466" s="5" t="str">
        <f>IFERROR(__xludf.DUMMYFUNCTION("REGEXEXTRACT(J466, ""^\d+"")"),"115")</f>
        <v>115</v>
      </c>
      <c r="Z466" s="5" t="str">
        <f>IFERROR(__xludf.DUMMYFUNCTION("REGEXEXTRACT(J466, ""[A-Za-z ]+$"")")," min")</f>
        <v> min</v>
      </c>
      <c r="AA466" s="5" t="str">
        <f>IFERROR(__xludf.DUMMYFUNCTION("IF(REGEXMATCH(Z466, ""Season""), ""TV Show"", ""Movie"")"),"Movie")</f>
        <v>Movie</v>
      </c>
    </row>
    <row r="467">
      <c r="A467" s="1" t="s">
        <v>2947</v>
      </c>
      <c r="B467" s="1" t="s">
        <v>37</v>
      </c>
      <c r="C467" s="1" t="s">
        <v>2948</v>
      </c>
      <c r="G467" s="1" t="s">
        <v>2938</v>
      </c>
      <c r="H467" s="1">
        <v>2021.0</v>
      </c>
      <c r="I467" s="1" t="s">
        <v>42</v>
      </c>
      <c r="J467" s="1" t="s">
        <v>51</v>
      </c>
      <c r="K467" s="1" t="s">
        <v>2043</v>
      </c>
      <c r="L467" s="1" t="s">
        <v>2949</v>
      </c>
      <c r="M467" s="2" t="s">
        <v>12</v>
      </c>
      <c r="N467" s="4">
        <f t="shared" si="1"/>
        <v>44391</v>
      </c>
      <c r="O467" s="5" t="str">
        <f>IFERROR(__xludf.DUMMYFUNCTION("IF(REGEXMATCH(TRIM(I467), ""^\d+\s*min""), ""Unclassified"", IF(I467 = """", ""NR"", I467))"),"TV-MA")</f>
        <v>TV-MA</v>
      </c>
      <c r="R467" s="5" t="str">
        <f t="shared" si="2"/>
        <v>Heist</v>
      </c>
      <c r="S467" s="5" t="str">
        <f>IFERROR(__xludf.DUMMYFUNCTION("""COMPUTED_VALUE"""),"Alphablocks")</f>
        <v>Alphablocks</v>
      </c>
      <c r="T467" s="5" t="str">
        <f>IFERROR(__xludf.DUMMYFUNCTION("""COMPUTED_VALUE"""),"Spain, United Kingdom")</f>
        <v>Spain, United Kingdom</v>
      </c>
      <c r="U467" s="5" t="str">
        <f>IFERROR(__xludf.DUMMYFUNCTION("""COMPUTED_VALUE"""),"Michael Jai White")</f>
        <v>Michael Jai White</v>
      </c>
      <c r="V467" s="5" t="s">
        <v>2950</v>
      </c>
      <c r="W467" s="5" t="str">
        <f t="shared" si="3"/>
        <v>Banjong Pisanthanakun, Parkpoom Wongpoom</v>
      </c>
      <c r="X467" s="5">
        <f t="shared" si="4"/>
        <v>1</v>
      </c>
      <c r="Y467" s="5" t="str">
        <f>IFERROR(__xludf.DUMMYFUNCTION("REGEXEXTRACT(J467, ""^\d+"")"),"1")</f>
        <v>1</v>
      </c>
      <c r="Z467" s="5" t="str">
        <f>IFERROR(__xludf.DUMMYFUNCTION("REGEXEXTRACT(J467, ""[A-Za-z ]+$"")")," Season")</f>
        <v> Season</v>
      </c>
      <c r="AA467" s="5" t="str">
        <f>IFERROR(__xludf.DUMMYFUNCTION("IF(REGEXMATCH(Z467, ""Season""), ""TV Show"", ""Movie"")"),"TV Show")</f>
        <v>TV Show</v>
      </c>
    </row>
    <row r="468">
      <c r="A468" s="1" t="s">
        <v>2951</v>
      </c>
      <c r="B468" s="1" t="s">
        <v>37</v>
      </c>
      <c r="C468" s="1" t="s">
        <v>2952</v>
      </c>
      <c r="G468" s="1" t="s">
        <v>2938</v>
      </c>
      <c r="H468" s="1">
        <v>2021.0</v>
      </c>
      <c r="I468" s="1" t="s">
        <v>42</v>
      </c>
      <c r="J468" s="1" t="s">
        <v>51</v>
      </c>
      <c r="K468" s="1" t="s">
        <v>440</v>
      </c>
      <c r="L468" s="1" t="s">
        <v>2953</v>
      </c>
      <c r="M468" s="2" t="s">
        <v>12</v>
      </c>
      <c r="N468" s="4">
        <f t="shared" si="1"/>
        <v>44391</v>
      </c>
      <c r="O468" s="5" t="str">
        <f>IFERROR(__xludf.DUMMYFUNCTION("IF(REGEXMATCH(TRIM(I468), ""^\d+\s*min""), ""Unclassified"", IF(I468 = """", ""NR"", I468))"),"TV-MA")</f>
        <v>TV-MA</v>
      </c>
      <c r="R468" s="5" t="str">
        <f t="shared" si="2"/>
        <v>My Unorthodox Life</v>
      </c>
      <c r="S468" s="5" t="str">
        <f>IFERROR(__xludf.DUMMYFUNCTION("""COMPUTED_VALUE"""),"Alphago")</f>
        <v>Alphago</v>
      </c>
      <c r="T468" s="5" t="str">
        <f>IFERROR(__xludf.DUMMYFUNCTION("""COMPUTED_VALUE"""),"Spain, United Kingdom, United States")</f>
        <v>Spain, United Kingdom, United States</v>
      </c>
      <c r="U468" s="5" t="str">
        <f>IFERROR(__xludf.DUMMYFUNCTION("""COMPUTED_VALUE"""),"James Mcteigue")</f>
        <v>James Mcteigue</v>
      </c>
      <c r="V468" s="5" t="s">
        <v>2954</v>
      </c>
      <c r="W468" s="5" t="str">
        <f t="shared" si="3"/>
        <v>Banjong Pisanthanakun, Paween Purikitpanya, Songyos Sugmakanan, Parkpoom Wongpoom, Visute Poolvoralaks</v>
      </c>
      <c r="X468" s="5">
        <f t="shared" si="4"/>
        <v>1</v>
      </c>
      <c r="Y468" s="5" t="str">
        <f>IFERROR(__xludf.DUMMYFUNCTION("REGEXEXTRACT(J468, ""^\d+"")"),"1")</f>
        <v>1</v>
      </c>
      <c r="Z468" s="5" t="str">
        <f>IFERROR(__xludf.DUMMYFUNCTION("REGEXEXTRACT(J468, ""[A-Za-z ]+$"")")," Season")</f>
        <v> Season</v>
      </c>
      <c r="AA468" s="5" t="str">
        <f>IFERROR(__xludf.DUMMYFUNCTION("IF(REGEXMATCH(Z468, ""Season""), ""TV Show"", ""Movie"")"),"TV Show")</f>
        <v>TV Show</v>
      </c>
    </row>
    <row r="469">
      <c r="A469" s="1" t="s">
        <v>2955</v>
      </c>
      <c r="B469" s="1" t="s">
        <v>27</v>
      </c>
      <c r="C469" s="1" t="s">
        <v>2956</v>
      </c>
      <c r="D469" s="1" t="s">
        <v>2957</v>
      </c>
      <c r="E469" s="1" t="s">
        <v>2958</v>
      </c>
      <c r="G469" s="1" t="s">
        <v>2938</v>
      </c>
      <c r="H469" s="1">
        <v>2021.0</v>
      </c>
      <c r="I469" s="1" t="s">
        <v>42</v>
      </c>
      <c r="J469" s="1" t="s">
        <v>433</v>
      </c>
      <c r="K469" s="1" t="s">
        <v>156</v>
      </c>
      <c r="L469" s="1" t="s">
        <v>2959</v>
      </c>
      <c r="M469" s="2" t="s">
        <v>12</v>
      </c>
      <c r="N469" s="4">
        <f t="shared" si="1"/>
        <v>44391</v>
      </c>
      <c r="O469" s="5" t="str">
        <f>IFERROR(__xludf.DUMMYFUNCTION("IF(REGEXMATCH(TRIM(I469), ""^\d+\s*min""), ""Unclassified"", IF(I469 = """", ""NR"", I469))"),"TV-MA")</f>
        <v>TV-MA</v>
      </c>
      <c r="R469" s="5" t="str">
        <f t="shared" si="2"/>
        <v>Private Network: Who Killed Manuel Buendía?</v>
      </c>
      <c r="S469" s="5" t="str">
        <f>IFERROR(__xludf.DUMMYFUNCTION("""COMPUTED_VALUE"""),"Alrawabi School For Girls")</f>
        <v>Alrawabi School For Girls</v>
      </c>
      <c r="T469" s="5" t="str">
        <f>IFERROR(__xludf.DUMMYFUNCTION("""COMPUTED_VALUE"""),"Spain, United States")</f>
        <v>Spain, United States</v>
      </c>
      <c r="U469" s="5" t="str">
        <f>IFERROR(__xludf.DUMMYFUNCTION("""COMPUTED_VALUE"""),"Takuya Igarashi")</f>
        <v>Takuya Igarashi</v>
      </c>
      <c r="V469" s="5" t="s">
        <v>2960</v>
      </c>
      <c r="W469" s="5" t="str">
        <f t="shared" si="3"/>
        <v>Bao Nhan, Namcito</v>
      </c>
      <c r="X469" s="5">
        <f t="shared" si="4"/>
        <v>1</v>
      </c>
      <c r="Y469" s="5" t="str">
        <f>IFERROR(__xludf.DUMMYFUNCTION("REGEXEXTRACT(J469, ""^\d+"")"),"100")</f>
        <v>100</v>
      </c>
      <c r="Z469" s="5" t="str">
        <f>IFERROR(__xludf.DUMMYFUNCTION("REGEXEXTRACT(J469, ""[A-Za-z ]+$"")")," min")</f>
        <v> min</v>
      </c>
      <c r="AA469" s="5" t="str">
        <f>IFERROR(__xludf.DUMMYFUNCTION("IF(REGEXMATCH(Z469, ""Season""), ""TV Show"", ""Movie"")"),"Movie")</f>
        <v>Movie</v>
      </c>
    </row>
    <row r="470">
      <c r="A470" s="1" t="s">
        <v>2961</v>
      </c>
      <c r="B470" s="1" t="s">
        <v>27</v>
      </c>
      <c r="C470" s="1" t="s">
        <v>2962</v>
      </c>
      <c r="D470" s="1" t="s">
        <v>2963</v>
      </c>
      <c r="E470" s="1" t="s">
        <v>2964</v>
      </c>
      <c r="G470" s="1" t="s">
        <v>2938</v>
      </c>
      <c r="H470" s="1">
        <v>2021.0</v>
      </c>
      <c r="I470" s="1" t="s">
        <v>42</v>
      </c>
      <c r="J470" s="1" t="s">
        <v>447</v>
      </c>
      <c r="K470" s="1" t="s">
        <v>583</v>
      </c>
      <c r="L470" s="1" t="s">
        <v>2965</v>
      </c>
      <c r="M470" s="2" t="s">
        <v>12</v>
      </c>
      <c r="N470" s="4">
        <f t="shared" si="1"/>
        <v>44391</v>
      </c>
      <c r="O470" s="5" t="str">
        <f>IFERROR(__xludf.DUMMYFUNCTION("IF(REGEXMATCH(TRIM(I470), ""^\d+\s*min""), ""Unclassified"", IF(I470 = """", ""NR"", I470))"),"TV-MA")</f>
        <v>TV-MA</v>
      </c>
      <c r="R470" s="5" t="str">
        <f t="shared" si="2"/>
        <v>The Guide To The Perfect Family</v>
      </c>
      <c r="S470" s="5" t="str">
        <f>IFERROR(__xludf.DUMMYFUNCTION("""COMPUTED_VALUE"""),"Alt-Right: Age Of Rage")</f>
        <v>Alt-Right: Age Of Rage</v>
      </c>
      <c r="T470" s="5" t="str">
        <f>IFERROR(__xludf.DUMMYFUNCTION("""COMPUTED_VALUE"""),"Sweden")</f>
        <v>Sweden</v>
      </c>
      <c r="U470" s="5" t="str">
        <f>IFERROR(__xludf.DUMMYFUNCTION("""COMPUTED_VALUE"""),"Michelle Maclaren")</f>
        <v>Michelle Maclaren</v>
      </c>
      <c r="V470" s="5" t="s">
        <v>2966</v>
      </c>
      <c r="W470" s="5" t="str">
        <f t="shared" si="3"/>
        <v>Barak Goodman</v>
      </c>
      <c r="X470" s="5">
        <f t="shared" si="4"/>
        <v>3</v>
      </c>
      <c r="Y470" s="5" t="str">
        <f>IFERROR(__xludf.DUMMYFUNCTION("REGEXEXTRACT(J470, ""^\d+"")"),"102")</f>
        <v>102</v>
      </c>
      <c r="Z470" s="5" t="str">
        <f>IFERROR(__xludf.DUMMYFUNCTION("REGEXEXTRACT(J470, ""[A-Za-z ]+$"")")," min")</f>
        <v> min</v>
      </c>
      <c r="AA470" s="5" t="str">
        <f>IFERROR(__xludf.DUMMYFUNCTION("IF(REGEXMATCH(Z470, ""Season""), ""TV Show"", ""Movie"")"),"Movie")</f>
        <v>Movie</v>
      </c>
    </row>
    <row r="471">
      <c r="A471" s="1" t="s">
        <v>2967</v>
      </c>
      <c r="B471" s="1" t="s">
        <v>27</v>
      </c>
      <c r="C471" s="1" t="s">
        <v>2968</v>
      </c>
      <c r="D471" s="1" t="s">
        <v>2969</v>
      </c>
      <c r="E471" s="1" t="s">
        <v>2970</v>
      </c>
      <c r="F471" s="1" t="s">
        <v>897</v>
      </c>
      <c r="G471" s="1" t="s">
        <v>2971</v>
      </c>
      <c r="H471" s="1">
        <v>2019.0</v>
      </c>
      <c r="I471" s="1" t="s">
        <v>42</v>
      </c>
      <c r="J471" s="1" t="s">
        <v>630</v>
      </c>
      <c r="K471" s="1" t="s">
        <v>1320</v>
      </c>
      <c r="L471" s="1" t="s">
        <v>2972</v>
      </c>
      <c r="M471" s="2" t="s">
        <v>12</v>
      </c>
      <c r="N471" s="4">
        <f t="shared" si="1"/>
        <v>44390</v>
      </c>
      <c r="O471" s="5" t="str">
        <f>IFERROR(__xludf.DUMMYFUNCTION("IF(REGEXMATCH(TRIM(I471), ""^\d+\s*min""), ""Unclassified"", IF(I471 = """", ""NR"", I471))"),"TV-MA")</f>
        <v>TV-MA</v>
      </c>
      <c r="R471" s="5" t="str">
        <f t="shared" si="2"/>
        <v>American Woman</v>
      </c>
      <c r="S471" s="5" t="str">
        <f>IFERROR(__xludf.DUMMYFUNCTION("""COMPUTED_VALUE"""),"Altered Carbon")</f>
        <v>Altered Carbon</v>
      </c>
      <c r="T471" s="5" t="str">
        <f>IFERROR(__xludf.DUMMYFUNCTION("""COMPUTED_VALUE"""),"Sweden, Czech Republic, United Kingdom, Denmark, Netherlands")</f>
        <v>Sweden, Czech Republic, United Kingdom, Denmark, Netherlands</v>
      </c>
      <c r="U471" s="5" t="str">
        <f>IFERROR(__xludf.DUMMYFUNCTION("""COMPUTED_VALUE"""),"Hidenori Inoue")</f>
        <v>Hidenori Inoue</v>
      </c>
      <c r="V471" s="5" t="s">
        <v>2973</v>
      </c>
      <c r="W471" s="5" t="str">
        <f t="shared" si="3"/>
        <v>Baran Bo Odar</v>
      </c>
      <c r="X471" s="5">
        <f t="shared" si="4"/>
        <v>2</v>
      </c>
      <c r="Y471" s="5" t="str">
        <f>IFERROR(__xludf.DUMMYFUNCTION("REGEXEXTRACT(J471, ""^\d+"")"),"87")</f>
        <v>87</v>
      </c>
      <c r="Z471" s="5" t="str">
        <f>IFERROR(__xludf.DUMMYFUNCTION("REGEXEXTRACT(J471, ""[A-Za-z ]+$"")")," min")</f>
        <v> min</v>
      </c>
      <c r="AA471" s="5" t="str">
        <f>IFERROR(__xludf.DUMMYFUNCTION("IF(REGEXMATCH(Z471, ""Season""), ""TV Show"", ""Movie"")"),"Movie")</f>
        <v>Movie</v>
      </c>
    </row>
    <row r="472">
      <c r="A472" s="1" t="s">
        <v>2974</v>
      </c>
      <c r="B472" s="1" t="s">
        <v>27</v>
      </c>
      <c r="C472" s="1" t="s">
        <v>2975</v>
      </c>
      <c r="E472" s="1" t="s">
        <v>2976</v>
      </c>
      <c r="G472" s="1" t="s">
        <v>2971</v>
      </c>
      <c r="H472" s="1">
        <v>2021.0</v>
      </c>
      <c r="I472" s="1" t="s">
        <v>97</v>
      </c>
      <c r="J472" s="1" t="s">
        <v>2977</v>
      </c>
      <c r="K472" s="1" t="s">
        <v>2032</v>
      </c>
      <c r="L472" s="1" t="s">
        <v>2978</v>
      </c>
      <c r="M472" s="2" t="s">
        <v>12</v>
      </c>
      <c r="N472" s="4">
        <f t="shared" si="1"/>
        <v>44390</v>
      </c>
      <c r="O472" s="5" t="str">
        <f>IFERROR(__xludf.DUMMYFUNCTION("IF(REGEXMATCH(TRIM(I472), ""^\d+\s*min""), ""Unclassified"", IF(I472 = """", ""NR"", I472))"),"TV-14")</f>
        <v>TV-14</v>
      </c>
      <c r="R472" s="5" t="str">
        <f t="shared" si="2"/>
        <v>Bridgerton - The Afterparty</v>
      </c>
      <c r="S472" s="5" t="str">
        <f>IFERROR(__xludf.DUMMYFUNCTION("""COMPUTED_VALUE"""),"Altered Carbon: Resleeved")</f>
        <v>Altered Carbon: Resleeved</v>
      </c>
      <c r="T472" s="5" t="str">
        <f>IFERROR(__xludf.DUMMYFUNCTION("""COMPUTED_VALUE"""),"Sweden, Netherlands")</f>
        <v>Sweden, Netherlands</v>
      </c>
      <c r="U472" s="5" t="str">
        <f>IFERROR(__xludf.DUMMYFUNCTION("""COMPUTED_VALUE"""),"Todd Phillips")</f>
        <v>Todd Phillips</v>
      </c>
      <c r="V472" s="5" t="s">
        <v>2979</v>
      </c>
      <c r="W472" s="5" t="str">
        <f t="shared" si="3"/>
        <v>Barbara Białowąs, Tomasz Mandes</v>
      </c>
      <c r="X472" s="5">
        <f t="shared" si="4"/>
        <v>1</v>
      </c>
      <c r="Y472" s="5" t="str">
        <f>IFERROR(__xludf.DUMMYFUNCTION("REGEXEXTRACT(J472, ""^\d+"")"),"39")</f>
        <v>39</v>
      </c>
      <c r="Z472" s="5" t="str">
        <f>IFERROR(__xludf.DUMMYFUNCTION("REGEXEXTRACT(J472, ""[A-Za-z ]+$"")")," min")</f>
        <v> min</v>
      </c>
      <c r="AA472" s="5" t="str">
        <f>IFERROR(__xludf.DUMMYFUNCTION("IF(REGEXMATCH(Z472, ""Season""), ""TV Show"", ""Movie"")"),"Movie")</f>
        <v>Movie</v>
      </c>
    </row>
    <row r="473">
      <c r="A473" s="1" t="s">
        <v>2980</v>
      </c>
      <c r="B473" s="1" t="s">
        <v>27</v>
      </c>
      <c r="C473" s="1" t="s">
        <v>2981</v>
      </c>
      <c r="D473" s="1" t="s">
        <v>751</v>
      </c>
      <c r="E473" s="1" t="s">
        <v>2982</v>
      </c>
      <c r="G473" s="1" t="s">
        <v>2971</v>
      </c>
      <c r="H473" s="1">
        <v>2021.0</v>
      </c>
      <c r="I473" s="1" t="s">
        <v>136</v>
      </c>
      <c r="J473" s="1" t="s">
        <v>297</v>
      </c>
      <c r="K473" s="1" t="s">
        <v>2983</v>
      </c>
      <c r="L473" s="1" t="s">
        <v>2984</v>
      </c>
      <c r="M473" s="2" t="s">
        <v>12</v>
      </c>
      <c r="N473" s="4">
        <f t="shared" si="1"/>
        <v>44390</v>
      </c>
      <c r="O473" s="5" t="str">
        <f>IFERROR(__xludf.DUMMYFUNCTION("IF(REGEXMATCH(TRIM(I473), ""^\d+\s*min""), ""Unclassified"", IF(I473 = """", ""NR"", I473))"),"TV-PG")</f>
        <v>TV-PG</v>
      </c>
      <c r="R473" s="5" t="str">
        <f t="shared" si="2"/>
        <v>Day Of Destiny</v>
      </c>
      <c r="S473" s="5" t="str">
        <f>IFERROR(__xludf.DUMMYFUNCTION("""COMPUTED_VALUE"""),"Always A Bridesmaid")</f>
        <v>Always A Bridesmaid</v>
      </c>
      <c r="T473" s="5" t="str">
        <f>IFERROR(__xludf.DUMMYFUNCTION("""COMPUTED_VALUE"""),"Sweden, United Kingdom, Finland")</f>
        <v>Sweden, United Kingdom, Finland</v>
      </c>
      <c r="U473" s="5" t="str">
        <f>IFERROR(__xludf.DUMMYFUNCTION("""COMPUTED_VALUE"""),"Steve Ball")</f>
        <v>Steve Ball</v>
      </c>
      <c r="V473" s="5" t="s">
        <v>2985</v>
      </c>
      <c r="W473" s="5" t="str">
        <f t="shared" si="3"/>
        <v>Barbara Kopple</v>
      </c>
      <c r="X473" s="5">
        <f t="shared" si="4"/>
        <v>1</v>
      </c>
      <c r="Y473" s="5" t="str">
        <f>IFERROR(__xludf.DUMMYFUNCTION("REGEXEXTRACT(J473, ""^\d+"")"),"110")</f>
        <v>110</v>
      </c>
      <c r="Z473" s="5" t="str">
        <f>IFERROR(__xludf.DUMMYFUNCTION("REGEXEXTRACT(J473, ""[A-Za-z ]+$"")")," min")</f>
        <v> min</v>
      </c>
      <c r="AA473" s="5" t="str">
        <f>IFERROR(__xludf.DUMMYFUNCTION("IF(REGEXMATCH(Z473, ""Season""), ""TV Show"", ""Movie"")"),"Movie")</f>
        <v>Movie</v>
      </c>
    </row>
    <row r="474">
      <c r="A474" s="1" t="s">
        <v>2986</v>
      </c>
      <c r="B474" s="1" t="s">
        <v>37</v>
      </c>
      <c r="C474" s="1" t="s">
        <v>2987</v>
      </c>
      <c r="E474" s="1" t="s">
        <v>2988</v>
      </c>
      <c r="F474" s="1" t="s">
        <v>30</v>
      </c>
      <c r="G474" s="1" t="s">
        <v>2971</v>
      </c>
      <c r="H474" s="1">
        <v>2021.0</v>
      </c>
      <c r="I474" s="1" t="s">
        <v>206</v>
      </c>
      <c r="J474" s="1" t="s">
        <v>51</v>
      </c>
      <c r="K474" s="1" t="s">
        <v>290</v>
      </c>
      <c r="L474" s="1" t="s">
        <v>2989</v>
      </c>
      <c r="M474" s="2" t="s">
        <v>12</v>
      </c>
      <c r="N474" s="4">
        <f t="shared" si="1"/>
        <v>44390</v>
      </c>
      <c r="O474" s="5" t="str">
        <f>IFERROR(__xludf.DUMMYFUNCTION("IF(REGEXMATCH(TRIM(I474), ""^\d+\s*min""), ""Unclassified"", IF(I474 = """", ""NR"", I474))"),"TV-Y")</f>
        <v>TV-Y</v>
      </c>
      <c r="R474" s="5" t="str">
        <f t="shared" si="2"/>
        <v>Ridley Jones</v>
      </c>
      <c r="S474" s="5" t="str">
        <f>IFERROR(__xludf.DUMMYFUNCTION("""COMPUTED_VALUE"""),"Always A Witch")</f>
        <v>Always A Witch</v>
      </c>
      <c r="T474" s="5" t="str">
        <f>IFERROR(__xludf.DUMMYFUNCTION("""COMPUTED_VALUE"""),"Sweden, United States")</f>
        <v>Sweden, United States</v>
      </c>
      <c r="U474" s="5" t="str">
        <f>IFERROR(__xludf.DUMMYFUNCTION("""COMPUTED_VALUE"""),"Dominic Sena")</f>
        <v>Dominic Sena</v>
      </c>
      <c r="V474" s="5" t="s">
        <v>2990</v>
      </c>
      <c r="W474" s="5" t="str">
        <f t="shared" si="3"/>
        <v>Barbra Streisand</v>
      </c>
      <c r="X474" s="5">
        <f t="shared" si="4"/>
        <v>1</v>
      </c>
      <c r="Y474" s="5" t="str">
        <f>IFERROR(__xludf.DUMMYFUNCTION("REGEXEXTRACT(J474, ""^\d+"")"),"1")</f>
        <v>1</v>
      </c>
      <c r="Z474" s="5" t="str">
        <f>IFERROR(__xludf.DUMMYFUNCTION("REGEXEXTRACT(J474, ""[A-Za-z ]+$"")")," Season")</f>
        <v> Season</v>
      </c>
      <c r="AA474" s="5" t="str">
        <f>IFERROR(__xludf.DUMMYFUNCTION("IF(REGEXMATCH(Z474, ""Season""), ""TV Show"", ""Movie"")"),"TV Show")</f>
        <v>TV Show</v>
      </c>
    </row>
    <row r="475">
      <c r="A475" s="1" t="s">
        <v>2991</v>
      </c>
      <c r="B475" s="1" t="s">
        <v>27</v>
      </c>
      <c r="C475" s="1" t="s">
        <v>2992</v>
      </c>
      <c r="D475" s="1" t="s">
        <v>2993</v>
      </c>
      <c r="F475" s="1" t="s">
        <v>30</v>
      </c>
      <c r="G475" s="1" t="s">
        <v>2994</v>
      </c>
      <c r="H475" s="1">
        <v>2020.0</v>
      </c>
      <c r="I475" s="1" t="s">
        <v>42</v>
      </c>
      <c r="J475" s="1" t="s">
        <v>454</v>
      </c>
      <c r="K475" s="1" t="s">
        <v>645</v>
      </c>
      <c r="L475" s="1" t="s">
        <v>2995</v>
      </c>
      <c r="M475" s="2" t="s">
        <v>12</v>
      </c>
      <c r="N475" s="4">
        <f t="shared" si="1"/>
        <v>44389</v>
      </c>
      <c r="O475" s="5" t="str">
        <f>IFERROR(__xludf.DUMMYFUNCTION("IF(REGEXMATCH(TRIM(I475), ""^\d+\s*min""), ""Unclassified"", IF(I475 = """", ""NR"", I475))"),"TV-MA")</f>
        <v>TV-MA</v>
      </c>
      <c r="R475" s="5" t="str">
        <f t="shared" si="2"/>
        <v>Born To Play</v>
      </c>
      <c r="S475" s="5" t="str">
        <f>IFERROR(__xludf.DUMMYFUNCTION("""COMPUTED_VALUE"""),"Always Be My Maybe")</f>
        <v>Always Be My Maybe</v>
      </c>
      <c r="T475" s="5" t="str">
        <f>IFERROR(__xludf.DUMMYFUNCTION("""COMPUTED_VALUE"""),"Switzerland")</f>
        <v>Switzerland</v>
      </c>
      <c r="U475" s="5" t="str">
        <f>IFERROR(__xludf.DUMMYFUNCTION("""COMPUTED_VALUE"""),"Alan Alda")</f>
        <v>Alan Alda</v>
      </c>
      <c r="V475" s="5" t="s">
        <v>2996</v>
      </c>
      <c r="W475" s="5" t="str">
        <f t="shared" si="3"/>
        <v>Barbra Streisand, Jim Gable</v>
      </c>
      <c r="X475" s="5">
        <f t="shared" si="4"/>
        <v>1</v>
      </c>
      <c r="Y475" s="5" t="str">
        <f>IFERROR(__xludf.DUMMYFUNCTION("REGEXEXTRACT(J475, ""^\d+"")"),"93")</f>
        <v>93</v>
      </c>
      <c r="Z475" s="5" t="str">
        <f>IFERROR(__xludf.DUMMYFUNCTION("REGEXEXTRACT(J475, ""[A-Za-z ]+$"")")," min")</f>
        <v> min</v>
      </c>
      <c r="AA475" s="5" t="str">
        <f>IFERROR(__xludf.DUMMYFUNCTION("IF(REGEXMATCH(Z475, ""Season""), ""TV Show"", ""Movie"")"),"Movie")</f>
        <v>Movie</v>
      </c>
    </row>
    <row r="476">
      <c r="A476" s="1" t="s">
        <v>2997</v>
      </c>
      <c r="B476" s="1" t="s">
        <v>27</v>
      </c>
      <c r="C476" s="1" t="s">
        <v>2998</v>
      </c>
      <c r="D476" s="1" t="s">
        <v>2999</v>
      </c>
      <c r="E476" s="1" t="s">
        <v>3000</v>
      </c>
      <c r="F476" s="1" t="s">
        <v>3001</v>
      </c>
      <c r="G476" s="1" t="s">
        <v>3002</v>
      </c>
      <c r="H476" s="1">
        <v>2015.0</v>
      </c>
      <c r="I476" s="1" t="s">
        <v>378</v>
      </c>
      <c r="J476" s="1" t="s">
        <v>322</v>
      </c>
      <c r="K476" s="1" t="s">
        <v>973</v>
      </c>
      <c r="L476" s="1" t="s">
        <v>3003</v>
      </c>
      <c r="M476" s="2" t="s">
        <v>12</v>
      </c>
      <c r="N476" s="4">
        <f t="shared" si="1"/>
        <v>44387</v>
      </c>
      <c r="O476" s="5" t="str">
        <f>IFERROR(__xludf.DUMMYFUNCTION("IF(REGEXMATCH(TRIM(I476), ""^\d+\s*min""), ""Unclassified"", IF(I476 = """", ""NR"", I476))"),"R")</f>
        <v>R</v>
      </c>
      <c r="R476" s="5" t="str">
        <f t="shared" si="2"/>
        <v>American Ultra</v>
      </c>
      <c r="S476" s="5" t="str">
        <f>IFERROR(__xludf.DUMMYFUNCTION("""COMPUTED_VALUE"""),"Amanda Knox")</f>
        <v>Amanda Knox</v>
      </c>
      <c r="T476" s="5" t="str">
        <f>IFERROR(__xludf.DUMMYFUNCTION("""COMPUTED_VALUE"""),"Switzerland, France")</f>
        <v>Switzerland, France</v>
      </c>
      <c r="U476" s="5" t="str">
        <f>IFERROR(__xludf.DUMMYFUNCTION("""COMPUTED_VALUE"""),"Mika Kaurismäki")</f>
        <v>Mika Kaurismäki</v>
      </c>
      <c r="V476" s="5" t="s">
        <v>3004</v>
      </c>
      <c r="W476" s="5" t="str">
        <f t="shared" si="3"/>
        <v>Barney Clay</v>
      </c>
      <c r="X476" s="5">
        <f t="shared" si="4"/>
        <v>1</v>
      </c>
      <c r="Y476" s="5" t="str">
        <f>IFERROR(__xludf.DUMMYFUNCTION("REGEXEXTRACT(J476, ""^\d+"")"),"96")</f>
        <v>96</v>
      </c>
      <c r="Z476" s="5" t="str">
        <f>IFERROR(__xludf.DUMMYFUNCTION("REGEXEXTRACT(J476, ""[A-Za-z ]+$"")")," min")</f>
        <v> min</v>
      </c>
      <c r="AA476" s="5" t="str">
        <f>IFERROR(__xludf.DUMMYFUNCTION("IF(REGEXMATCH(Z476, ""Season""), ""TV Show"", ""Movie"")"),"Movie")</f>
        <v>Movie</v>
      </c>
    </row>
    <row r="477">
      <c r="A477" s="1" t="s">
        <v>3005</v>
      </c>
      <c r="B477" s="1" t="s">
        <v>27</v>
      </c>
      <c r="C477" s="1" t="s">
        <v>3006</v>
      </c>
      <c r="D477" s="1" t="s">
        <v>3007</v>
      </c>
      <c r="E477" s="1" t="s">
        <v>3008</v>
      </c>
      <c r="G477" s="1" t="s">
        <v>3002</v>
      </c>
      <c r="H477" s="1">
        <v>2019.0</v>
      </c>
      <c r="I477" s="1" t="s">
        <v>42</v>
      </c>
      <c r="J477" s="1" t="s">
        <v>454</v>
      </c>
      <c r="K477" s="1" t="s">
        <v>1839</v>
      </c>
      <c r="L477" s="1" t="s">
        <v>3009</v>
      </c>
      <c r="M477" s="2" t="s">
        <v>12</v>
      </c>
      <c r="N477" s="4">
        <f t="shared" si="1"/>
        <v>44387</v>
      </c>
      <c r="O477" s="5" t="str">
        <f>IFERROR(__xludf.DUMMYFUNCTION("IF(REGEXMATCH(TRIM(I477), ""^\d+\s*min""), ""Unclassified"", IF(I477 = """", ""NR"", I477))"),"TV-MA")</f>
        <v>TV-MA</v>
      </c>
      <c r="R477" s="5" t="str">
        <f t="shared" si="2"/>
        <v>The Stand-Up</v>
      </c>
      <c r="S477" s="5" t="str">
        <f>IFERROR(__xludf.DUMMYFUNCTION("""COMPUTED_VALUE"""),"Amandla! A Revolution In Four Part Harmony")</f>
        <v>Amandla! A Revolution In Four Part Harmony</v>
      </c>
      <c r="T477" s="5" t="str">
        <f>IFERROR(__xludf.DUMMYFUNCTION("""COMPUTED_VALUE"""),"Switzerland, France, Belgium, United States")</f>
        <v>Switzerland, France, Belgium, United States</v>
      </c>
      <c r="U477" s="5" t="str">
        <f>IFERROR(__xludf.DUMMYFUNCTION("""COMPUTED_VALUE"""),"Sydney Pollack")</f>
        <v>Sydney Pollack</v>
      </c>
      <c r="V477" s="5" t="s">
        <v>3010</v>
      </c>
      <c r="W477" s="5" t="str">
        <f t="shared" si="3"/>
        <v>Barry Avrich</v>
      </c>
      <c r="X477" s="5">
        <f t="shared" si="4"/>
        <v>4</v>
      </c>
      <c r="Y477" s="5" t="str">
        <f>IFERROR(__xludf.DUMMYFUNCTION("REGEXEXTRACT(J477, ""^\d+"")"),"93")</f>
        <v>93</v>
      </c>
      <c r="Z477" s="5" t="str">
        <f>IFERROR(__xludf.DUMMYFUNCTION("REGEXEXTRACT(J477, ""[A-Za-z ]+$"")")," min")</f>
        <v> min</v>
      </c>
      <c r="AA477" s="5" t="str">
        <f>IFERROR(__xludf.DUMMYFUNCTION("IF(REGEXMATCH(Z477, ""Season""), ""TV Show"", ""Movie"")"),"Movie")</f>
        <v>Movie</v>
      </c>
    </row>
    <row r="478">
      <c r="A478" s="1" t="s">
        <v>3011</v>
      </c>
      <c r="B478" s="1" t="s">
        <v>27</v>
      </c>
      <c r="C478" s="1" t="s">
        <v>3012</v>
      </c>
      <c r="D478" s="1" t="s">
        <v>3013</v>
      </c>
      <c r="E478" s="1" t="s">
        <v>3014</v>
      </c>
      <c r="G478" s="1" t="s">
        <v>3002</v>
      </c>
      <c r="H478" s="1">
        <v>2016.0</v>
      </c>
      <c r="I478" s="1" t="s">
        <v>42</v>
      </c>
      <c r="J478" s="1" t="s">
        <v>454</v>
      </c>
      <c r="K478" s="1" t="s">
        <v>3015</v>
      </c>
      <c r="L478" s="1" t="s">
        <v>3016</v>
      </c>
      <c r="M478" s="2" t="s">
        <v>12</v>
      </c>
      <c r="N478" s="4">
        <f t="shared" si="1"/>
        <v>44387</v>
      </c>
      <c r="O478" s="5" t="str">
        <f>IFERROR(__xludf.DUMMYFUNCTION("IF(REGEXMATCH(TRIM(I478), ""^\d+\s*min""), ""Unclassified"", IF(I478 = """", ""NR"", I478))"),"TV-MA")</f>
        <v>TV-MA</v>
      </c>
      <c r="R478" s="5" t="str">
        <f t="shared" si="2"/>
        <v>The Tour</v>
      </c>
      <c r="S478" s="5" t="str">
        <f>IFERROR(__xludf.DUMMYFUNCTION("""COMPUTED_VALUE"""),"Amar")</f>
        <v>Amar</v>
      </c>
      <c r="T478" s="5" t="str">
        <f>IFERROR(__xludf.DUMMYFUNCTION("""COMPUTED_VALUE"""),"Switzerland, United Kingdom, Australia")</f>
        <v>Switzerland, United Kingdom, Australia</v>
      </c>
      <c r="U478" s="5" t="str">
        <f>IFERROR(__xludf.DUMMYFUNCTION("""COMPUTED_VALUE"""),"Lorene Scafaria")</f>
        <v>Lorene Scafaria</v>
      </c>
      <c r="V478" s="5" t="s">
        <v>3017</v>
      </c>
      <c r="W478" s="5" t="str">
        <f t="shared" si="3"/>
        <v>Barry Gonzalez</v>
      </c>
      <c r="X478" s="5">
        <f t="shared" si="4"/>
        <v>1</v>
      </c>
      <c r="Y478" s="5" t="str">
        <f>IFERROR(__xludf.DUMMYFUNCTION("REGEXEXTRACT(J478, ""^\d+"")"),"93")</f>
        <v>93</v>
      </c>
      <c r="Z478" s="5" t="str">
        <f>IFERROR(__xludf.DUMMYFUNCTION("REGEXEXTRACT(J478, ""[A-Za-z ]+$"")")," min")</f>
        <v> min</v>
      </c>
      <c r="AA478" s="5" t="str">
        <f>IFERROR(__xludf.DUMMYFUNCTION("IF(REGEXMATCH(Z478, ""Season""), ""TV Show"", ""Movie"")"),"Movie")</f>
        <v>Movie</v>
      </c>
    </row>
    <row r="479">
      <c r="A479" s="1" t="s">
        <v>3018</v>
      </c>
      <c r="B479" s="1" t="s">
        <v>37</v>
      </c>
      <c r="C479" s="1" t="s">
        <v>3019</v>
      </c>
      <c r="E479" s="1" t="s">
        <v>3020</v>
      </c>
      <c r="F479" s="1" t="s">
        <v>30</v>
      </c>
      <c r="G479" s="1" t="s">
        <v>3021</v>
      </c>
      <c r="H479" s="1">
        <v>2021.0</v>
      </c>
      <c r="I479" s="1" t="s">
        <v>97</v>
      </c>
      <c r="J479" s="1" t="s">
        <v>148</v>
      </c>
      <c r="K479" s="1" t="s">
        <v>2915</v>
      </c>
      <c r="L479" s="1" t="s">
        <v>3022</v>
      </c>
      <c r="M479" s="2" t="s">
        <v>12</v>
      </c>
      <c r="N479" s="4">
        <f t="shared" si="1"/>
        <v>44386</v>
      </c>
      <c r="O479" s="5" t="str">
        <f>IFERROR(__xludf.DUMMYFUNCTION("IF(REGEXMATCH(TRIM(I479), ""^\d+\s*min""), ""Unclassified"", IF(I479 = """", ""NR"", I479))"),"TV-14")</f>
        <v>TV-14</v>
      </c>
      <c r="R479" s="5" t="str">
        <f t="shared" si="2"/>
        <v>Atypical</v>
      </c>
      <c r="S479" s="5" t="str">
        <f>IFERROR(__xludf.DUMMYFUNCTION("""COMPUTED_VALUE"""),"Amar Akbar &amp; Tony")</f>
        <v>Amar Akbar &amp; Tony</v>
      </c>
      <c r="T479" s="5" t="str">
        <f>IFERROR(__xludf.DUMMYFUNCTION("""COMPUTED_VALUE"""),"Switzerland, United Kingdom, United States")</f>
        <v>Switzerland, United Kingdom, United States</v>
      </c>
      <c r="U479" s="5" t="str">
        <f>IFERROR(__xludf.DUMMYFUNCTION("""COMPUTED_VALUE"""),"Barbra Streisand")</f>
        <v>Barbra Streisand</v>
      </c>
      <c r="V479" s="5" t="s">
        <v>3023</v>
      </c>
      <c r="W479" s="5" t="str">
        <f t="shared" si="3"/>
        <v>Barry Jenkins</v>
      </c>
      <c r="X479" s="5">
        <f t="shared" si="4"/>
        <v>1</v>
      </c>
      <c r="Y479" s="5" t="str">
        <f>IFERROR(__xludf.DUMMYFUNCTION("REGEXEXTRACT(J479, ""^\d+"")"),"4")</f>
        <v>4</v>
      </c>
      <c r="Z479" s="5" t="str">
        <f>IFERROR(__xludf.DUMMYFUNCTION("REGEXEXTRACT(J479, ""[A-Za-z ]+$"")")," Seasons")</f>
        <v> Seasons</v>
      </c>
      <c r="AA479" s="5" t="str">
        <f>IFERROR(__xludf.DUMMYFUNCTION("IF(REGEXMATCH(Z479, ""Season""), ""TV Show"", ""Movie"")"),"TV Show")</f>
        <v>TV Show</v>
      </c>
    </row>
    <row r="480">
      <c r="A480" s="1" t="s">
        <v>3024</v>
      </c>
      <c r="B480" s="1" t="s">
        <v>37</v>
      </c>
      <c r="C480" s="1" t="s">
        <v>3025</v>
      </c>
      <c r="E480" s="1" t="s">
        <v>3026</v>
      </c>
      <c r="F480" s="1" t="s">
        <v>2492</v>
      </c>
      <c r="G480" s="1" t="s">
        <v>3021</v>
      </c>
      <c r="H480" s="1">
        <v>2021.0</v>
      </c>
      <c r="I480" s="1" t="s">
        <v>42</v>
      </c>
      <c r="J480" s="1" t="s">
        <v>43</v>
      </c>
      <c r="K480" s="1" t="s">
        <v>408</v>
      </c>
      <c r="L480" s="1" t="s">
        <v>3027</v>
      </c>
      <c r="M480" s="2" t="s">
        <v>12</v>
      </c>
      <c r="N480" s="4">
        <f t="shared" si="1"/>
        <v>44386</v>
      </c>
      <c r="O480" s="5" t="str">
        <f>IFERROR(__xludf.DUMMYFUNCTION("IF(REGEXMATCH(TRIM(I480), ""^\d+\s*min""), ""Unclassified"", IF(I480 = """", ""NR"", I480))"),"TV-MA")</f>
        <v>TV-MA</v>
      </c>
      <c r="R480" s="5" t="str">
        <f t="shared" si="2"/>
        <v>Biohackers</v>
      </c>
      <c r="S480" s="5" t="str">
        <f>IFERROR(__xludf.DUMMYFUNCTION("""COMPUTED_VALUE"""),"Amar Akbar Anthony")</f>
        <v>Amar Akbar Anthony</v>
      </c>
      <c r="T480" s="5" t="str">
        <f>IFERROR(__xludf.DUMMYFUNCTION("""COMPUTED_VALUE"""),"Switzerland, United States")</f>
        <v>Switzerland, United States</v>
      </c>
      <c r="U480" s="5" t="str">
        <f>IFERROR(__xludf.DUMMYFUNCTION("""COMPUTED_VALUE"""),"Michael Winterbottom")</f>
        <v>Michael Winterbottom</v>
      </c>
      <c r="V480" s="5" t="s">
        <v>3028</v>
      </c>
      <c r="W480" s="5" t="str">
        <f t="shared" si="3"/>
        <v>Barry Levinson</v>
      </c>
      <c r="X480" s="5">
        <f t="shared" si="4"/>
        <v>3</v>
      </c>
      <c r="Y480" s="5" t="str">
        <f>IFERROR(__xludf.DUMMYFUNCTION("REGEXEXTRACT(J480, ""^\d+"")"),"2")</f>
        <v>2</v>
      </c>
      <c r="Z480" s="5" t="str">
        <f>IFERROR(__xludf.DUMMYFUNCTION("REGEXEXTRACT(J480, ""[A-Za-z ]+$"")")," Seasons")</f>
        <v> Seasons</v>
      </c>
      <c r="AA480" s="5" t="str">
        <f>IFERROR(__xludf.DUMMYFUNCTION("IF(REGEXMATCH(Z480, ""Season""), ""TV Show"", ""Movie"")"),"TV Show")</f>
        <v>TV Show</v>
      </c>
    </row>
    <row r="481">
      <c r="A481" s="1" t="s">
        <v>3029</v>
      </c>
      <c r="B481" s="1" t="s">
        <v>27</v>
      </c>
      <c r="C481" s="1" t="s">
        <v>3030</v>
      </c>
      <c r="D481" s="1" t="s">
        <v>2805</v>
      </c>
      <c r="E481" s="1" t="s">
        <v>3031</v>
      </c>
      <c r="G481" s="1" t="s">
        <v>3021</v>
      </c>
      <c r="H481" s="1">
        <v>2021.0</v>
      </c>
      <c r="I481" s="1" t="s">
        <v>378</v>
      </c>
      <c r="J481" s="1" t="s">
        <v>264</v>
      </c>
      <c r="K481" s="1" t="s">
        <v>1551</v>
      </c>
      <c r="L481" s="1" t="s">
        <v>3032</v>
      </c>
      <c r="M481" s="2" t="s">
        <v>12</v>
      </c>
      <c r="N481" s="4">
        <f t="shared" si="1"/>
        <v>44386</v>
      </c>
      <c r="O481" s="5" t="str">
        <f>IFERROR(__xludf.DUMMYFUNCTION("IF(REGEXMATCH(TRIM(I481), ""^\d+\s*min""), ""Unclassified"", IF(I481 = """", ""NR"", I481))"),"R")</f>
        <v>R</v>
      </c>
      <c r="R481" s="5" t="str">
        <f t="shared" si="2"/>
        <v>Fear Street Part 2: 1978</v>
      </c>
      <c r="S481" s="5" t="str">
        <f>IFERROR(__xludf.DUMMYFUNCTION("""COMPUTED_VALUE"""),"Amar'S Hands")</f>
        <v>Amar'S Hands</v>
      </c>
      <c r="T481" s="5" t="str">
        <f>IFERROR(__xludf.DUMMYFUNCTION("""COMPUTED_VALUE"""),"Switzerland, Vatican City, Italy, Germany, France")</f>
        <v>Switzerland, Vatican City, Italy, Germany, France</v>
      </c>
      <c r="U481" s="5" t="str">
        <f>IFERROR(__xludf.DUMMYFUNCTION("""COMPUTED_VALUE"""),"Emma Tammi")</f>
        <v>Emma Tammi</v>
      </c>
      <c r="V481" s="5" t="s">
        <v>3033</v>
      </c>
      <c r="W481" s="5" t="str">
        <f t="shared" si="3"/>
        <v>Barry Sonnenfeld</v>
      </c>
      <c r="X481" s="5">
        <f t="shared" si="4"/>
        <v>3</v>
      </c>
      <c r="Y481" s="5" t="str">
        <f>IFERROR(__xludf.DUMMYFUNCTION("REGEXEXTRACT(J481, ""^\d+"")"),"111")</f>
        <v>111</v>
      </c>
      <c r="Z481" s="5" t="str">
        <f>IFERROR(__xludf.DUMMYFUNCTION("REGEXEXTRACT(J481, ""[A-Za-z ]+$"")")," min")</f>
        <v> min</v>
      </c>
      <c r="AA481" s="5" t="str">
        <f>IFERROR(__xludf.DUMMYFUNCTION("IF(REGEXMATCH(Z481, ""Season""), ""TV Show"", ""Movie"")"),"Movie")</f>
        <v>Movie</v>
      </c>
    </row>
    <row r="482">
      <c r="A482" s="1" t="s">
        <v>3034</v>
      </c>
      <c r="B482" s="1" t="s">
        <v>27</v>
      </c>
      <c r="C482" s="1" t="s">
        <v>3035</v>
      </c>
      <c r="D482" s="1" t="s">
        <v>3036</v>
      </c>
      <c r="E482" s="1" t="s">
        <v>3037</v>
      </c>
      <c r="G482" s="1" t="s">
        <v>3021</v>
      </c>
      <c r="H482" s="1">
        <v>2020.0</v>
      </c>
      <c r="I482" s="1" t="s">
        <v>97</v>
      </c>
      <c r="J482" s="1" t="s">
        <v>305</v>
      </c>
      <c r="K482" s="1" t="s">
        <v>583</v>
      </c>
      <c r="L482" s="1" t="s">
        <v>3038</v>
      </c>
      <c r="M482" s="2" t="s">
        <v>12</v>
      </c>
      <c r="N482" s="4">
        <f t="shared" si="1"/>
        <v>44386</v>
      </c>
      <c r="O482" s="5" t="str">
        <f>IFERROR(__xludf.DUMMYFUNCTION("IF(REGEXMATCH(TRIM(I482), ""^\d+\s*min""), ""Unclassified"", IF(I482 = """", ""NR"", I482))"),"TV-14")</f>
        <v>TV-14</v>
      </c>
      <c r="R482" s="5" t="str">
        <f t="shared" si="2"/>
        <v>Finding Hubby</v>
      </c>
      <c r="S482" s="5" t="str">
        <f>IFERROR(__xludf.DUMMYFUNCTION("""COMPUTED_VALUE"""),"Amateur")</f>
        <v>Amateur</v>
      </c>
      <c r="T482" s="5" t="str">
        <f>IFERROR(__xludf.DUMMYFUNCTION("""COMPUTED_VALUE"""),"Syria, France, Lebanon, Qatar")</f>
        <v>Syria, France, Lebanon, Qatar</v>
      </c>
      <c r="U482" s="5" t="str">
        <f>IFERROR(__xludf.DUMMYFUNCTION("""COMPUTED_VALUE"""),"Peter Hutchings")</f>
        <v>Peter Hutchings</v>
      </c>
      <c r="V482" s="5" t="s">
        <v>3039</v>
      </c>
      <c r="W482" s="5" t="str">
        <f t="shared" si="3"/>
        <v>Bart Freundlich</v>
      </c>
      <c r="X482" s="5">
        <f t="shared" si="4"/>
        <v>1</v>
      </c>
      <c r="Y482" s="5" t="str">
        <f>IFERROR(__xludf.DUMMYFUNCTION("REGEXEXTRACT(J482, ""^\d+"")"),"105")</f>
        <v>105</v>
      </c>
      <c r="Z482" s="5" t="str">
        <f>IFERROR(__xludf.DUMMYFUNCTION("REGEXEXTRACT(J482, ""[A-Za-z ]+$"")")," min")</f>
        <v> min</v>
      </c>
      <c r="AA482" s="5" t="str">
        <f>IFERROR(__xludf.DUMMYFUNCTION("IF(REGEXMATCH(Z482, ""Season""), ""TV Show"", ""Movie"")"),"Movie")</f>
        <v>Movie</v>
      </c>
    </row>
    <row r="483">
      <c r="A483" s="1" t="s">
        <v>3040</v>
      </c>
      <c r="B483" s="1" t="s">
        <v>27</v>
      </c>
      <c r="C483" s="1" t="s">
        <v>3041</v>
      </c>
      <c r="D483" s="1" t="s">
        <v>3042</v>
      </c>
      <c r="E483" s="1" t="s">
        <v>3043</v>
      </c>
      <c r="G483" s="1" t="s">
        <v>3021</v>
      </c>
      <c r="H483" s="1">
        <v>2021.0</v>
      </c>
      <c r="I483" s="1" t="s">
        <v>42</v>
      </c>
      <c r="J483" s="1" t="s">
        <v>1091</v>
      </c>
      <c r="K483" s="1" t="s">
        <v>306</v>
      </c>
      <c r="L483" s="1" t="s">
        <v>3044</v>
      </c>
      <c r="M483" s="2" t="s">
        <v>12</v>
      </c>
      <c r="N483" s="4">
        <f t="shared" si="1"/>
        <v>44386</v>
      </c>
      <c r="O483" s="5" t="str">
        <f>IFERROR(__xludf.DUMMYFUNCTION("IF(REGEXMATCH(TRIM(I483), ""^\d+\s*min""), ""Unclassified"", IF(I483 = """", ""NR"", I483))"),"TV-MA")</f>
        <v>TV-MA</v>
      </c>
      <c r="R483" s="5" t="str">
        <f t="shared" si="2"/>
        <v>How I Became A Superhero</v>
      </c>
      <c r="S483" s="5" t="str">
        <f>IFERROR(__xludf.DUMMYFUNCTION("""COMPUTED_VALUE"""),"Amazing Interiors")</f>
        <v>Amazing Interiors</v>
      </c>
      <c r="T483" s="5" t="str">
        <f>IFERROR(__xludf.DUMMYFUNCTION("""COMPUTED_VALUE"""),"Taiwan")</f>
        <v>Taiwan</v>
      </c>
      <c r="U483" s="5" t="str">
        <f>IFERROR(__xludf.DUMMYFUNCTION("""COMPUTED_VALUE"""),"George Ratliff")</f>
        <v>George Ratliff</v>
      </c>
      <c r="V483" s="5" t="s">
        <v>3045</v>
      </c>
      <c r="W483" s="5" t="str">
        <f t="shared" si="3"/>
        <v>Bartosz M. Kowalski</v>
      </c>
      <c r="X483" s="5">
        <f t="shared" si="4"/>
        <v>1</v>
      </c>
      <c r="Y483" s="5" t="str">
        <f>IFERROR(__xludf.DUMMYFUNCTION("REGEXEXTRACT(J483, ""^\d+"")"),"101")</f>
        <v>101</v>
      </c>
      <c r="Z483" s="5" t="str">
        <f>IFERROR(__xludf.DUMMYFUNCTION("REGEXEXTRACT(J483, ""[A-Za-z ]+$"")")," min")</f>
        <v> min</v>
      </c>
      <c r="AA483" s="5" t="str">
        <f>IFERROR(__xludf.DUMMYFUNCTION("IF(REGEXMATCH(Z483, ""Season""), ""TV Show"", ""Movie"")"),"Movie")</f>
        <v>Movie</v>
      </c>
    </row>
    <row r="484">
      <c r="A484" s="1" t="s">
        <v>3046</v>
      </c>
      <c r="B484" s="1" t="s">
        <v>37</v>
      </c>
      <c r="C484" s="1" t="s">
        <v>3047</v>
      </c>
      <c r="E484" s="1" t="s">
        <v>3048</v>
      </c>
      <c r="G484" s="1" t="s">
        <v>3021</v>
      </c>
      <c r="H484" s="1">
        <v>2021.0</v>
      </c>
      <c r="I484" s="1" t="s">
        <v>42</v>
      </c>
      <c r="J484" s="1" t="s">
        <v>51</v>
      </c>
      <c r="K484" s="1" t="s">
        <v>1261</v>
      </c>
      <c r="L484" s="1" t="s">
        <v>3049</v>
      </c>
      <c r="M484" s="2" t="s">
        <v>12</v>
      </c>
      <c r="N484" s="4">
        <f t="shared" si="1"/>
        <v>44386</v>
      </c>
      <c r="O484" s="5" t="str">
        <f>IFERROR(__xludf.DUMMYFUNCTION("IF(REGEXMATCH(TRIM(I484), ""^\d+\s*min""), ""Unclassified"", IF(I484 = """", ""NR"", I484))"),"TV-MA")</f>
        <v>TV-MA</v>
      </c>
      <c r="R484" s="5" t="str">
        <f t="shared" si="2"/>
        <v>How To Become A Tyrant</v>
      </c>
      <c r="S484" s="5" t="str">
        <f>IFERROR(__xludf.DUMMYFUNCTION("""COMPUTED_VALUE"""),"Amelia: A Tale Of Two Sisters")</f>
        <v>Amelia: A Tale Of Two Sisters</v>
      </c>
      <c r="T484" s="5" t="str">
        <f>IFERROR(__xludf.DUMMYFUNCTION("""COMPUTED_VALUE"""),"Taiwan, China")</f>
        <v>Taiwan, China</v>
      </c>
      <c r="U484" s="5" t="str">
        <f>IFERROR(__xludf.DUMMYFUNCTION("""COMPUTED_VALUE"""),"Bo Burnham")</f>
        <v>Bo Burnham</v>
      </c>
      <c r="V484" s="5" t="s">
        <v>3050</v>
      </c>
      <c r="W484" s="5" t="str">
        <f t="shared" si="3"/>
        <v>Basava Shankar Eeday</v>
      </c>
      <c r="X484" s="5">
        <f t="shared" si="4"/>
        <v>1</v>
      </c>
      <c r="Y484" s="5" t="str">
        <f>IFERROR(__xludf.DUMMYFUNCTION("REGEXEXTRACT(J484, ""^\d+"")"),"1")</f>
        <v>1</v>
      </c>
      <c r="Z484" s="5" t="str">
        <f>IFERROR(__xludf.DUMMYFUNCTION("REGEXEXTRACT(J484, ""[A-Za-z ]+$"")")," Season")</f>
        <v> Season</v>
      </c>
      <c r="AA484" s="5" t="str">
        <f>IFERROR(__xludf.DUMMYFUNCTION("IF(REGEXMATCH(Z484, ""Season""), ""TV Show"", ""Movie"")"),"TV Show")</f>
        <v>TV Show</v>
      </c>
    </row>
    <row r="485">
      <c r="A485" s="1" t="s">
        <v>3051</v>
      </c>
      <c r="B485" s="1" t="s">
        <v>27</v>
      </c>
      <c r="C485" s="1" t="s">
        <v>3052</v>
      </c>
      <c r="E485" s="1" t="s">
        <v>3053</v>
      </c>
      <c r="G485" s="1" t="s">
        <v>3021</v>
      </c>
      <c r="H485" s="1">
        <v>2021.0</v>
      </c>
      <c r="I485" s="1" t="s">
        <v>42</v>
      </c>
      <c r="J485" s="1" t="s">
        <v>447</v>
      </c>
      <c r="K485" s="1" t="s">
        <v>679</v>
      </c>
      <c r="L485" s="1" t="s">
        <v>3054</v>
      </c>
      <c r="M485" s="2" t="s">
        <v>12</v>
      </c>
      <c r="N485" s="4">
        <f t="shared" si="1"/>
        <v>44386</v>
      </c>
      <c r="O485" s="5" t="str">
        <f>IFERROR(__xludf.DUMMYFUNCTION("IF(REGEXMATCH(TRIM(I485), ""^\d+\s*min""), ""Unclassified"", IF(I485 = """", ""NR"", I485))"),"TV-MA")</f>
        <v>TV-MA</v>
      </c>
      <c r="R485" s="5" t="str">
        <f t="shared" si="2"/>
        <v>Last Summer</v>
      </c>
      <c r="S485" s="5" t="str">
        <f>IFERROR(__xludf.DUMMYFUNCTION("""COMPUTED_VALUE"""),"Amend: The Fight For America")</f>
        <v>Amend: The Fight For America</v>
      </c>
      <c r="T485" s="5" t="str">
        <f>IFERROR(__xludf.DUMMYFUNCTION("""COMPUTED_VALUE"""),"Taiwan, China, France, United States")</f>
        <v>Taiwan, China, France, United States</v>
      </c>
      <c r="U485" s="5" t="str">
        <f>IFERROR(__xludf.DUMMYFUNCTION("""COMPUTED_VALUE"""),"Ekene Som Mekwunye")</f>
        <v>Ekene Som Mekwunye</v>
      </c>
      <c r="V485" s="5" t="s">
        <v>3055</v>
      </c>
      <c r="W485" s="5" t="str">
        <f t="shared" si="3"/>
        <v>Bashir El Deek</v>
      </c>
      <c r="X485" s="5">
        <f t="shared" si="4"/>
        <v>1</v>
      </c>
      <c r="Y485" s="5" t="str">
        <f>IFERROR(__xludf.DUMMYFUNCTION("REGEXEXTRACT(J485, ""^\d+"")"),"102")</f>
        <v>102</v>
      </c>
      <c r="Z485" s="5" t="str">
        <f>IFERROR(__xludf.DUMMYFUNCTION("REGEXEXTRACT(J485, ""[A-Za-z ]+$"")")," min")</f>
        <v> min</v>
      </c>
      <c r="AA485" s="5" t="str">
        <f>IFERROR(__xludf.DUMMYFUNCTION("IF(REGEXMATCH(Z485, ""Season""), ""TV Show"", ""Movie"")"),"Movie")</f>
        <v>Movie</v>
      </c>
    </row>
    <row r="486">
      <c r="A486" s="1" t="s">
        <v>3056</v>
      </c>
      <c r="B486" s="1" t="s">
        <v>27</v>
      </c>
      <c r="C486" s="1" t="s">
        <v>3057</v>
      </c>
      <c r="D486" s="1" t="s">
        <v>3058</v>
      </c>
      <c r="E486" s="1" t="s">
        <v>3059</v>
      </c>
      <c r="G486" s="1" t="s">
        <v>3021</v>
      </c>
      <c r="H486" s="1">
        <v>2021.0</v>
      </c>
      <c r="I486" s="1" t="s">
        <v>506</v>
      </c>
      <c r="J486" s="1" t="s">
        <v>3060</v>
      </c>
      <c r="K486" s="1" t="s">
        <v>1839</v>
      </c>
      <c r="L486" s="1" t="s">
        <v>3061</v>
      </c>
      <c r="M486" s="2" t="s">
        <v>12</v>
      </c>
      <c r="N486" s="4">
        <f t="shared" si="1"/>
        <v>44386</v>
      </c>
      <c r="O486" s="5" t="str">
        <f>IFERROR(__xludf.DUMMYFUNCTION("IF(REGEXMATCH(TRIM(I486), ""^\d+\s*min""), ""Unclassified"", IF(I486 = """", ""NR"", I486))"),"TV-G")</f>
        <v>TV-G</v>
      </c>
      <c r="R486" s="5" t="str">
        <f t="shared" si="2"/>
        <v>Lee Su-Geun: The Sense Coach</v>
      </c>
      <c r="S486" s="5" t="str">
        <f>IFERROR(__xludf.DUMMYFUNCTION("""COMPUTED_VALUE"""),"America: The Motion Picture")</f>
        <v>America: The Motion Picture</v>
      </c>
      <c r="T486" s="5" t="str">
        <f>IFERROR(__xludf.DUMMYFUNCTION("""COMPUTED_VALUE"""),"Taiwan, Hong Kong, United States, China")</f>
        <v>Taiwan, Hong Kong, United States, China</v>
      </c>
      <c r="U486" s="5" t="str">
        <f>IFERROR(__xludf.DUMMYFUNCTION("""COMPUTED_VALUE"""),"David Frankel")</f>
        <v>David Frankel</v>
      </c>
      <c r="V486" s="5" t="s">
        <v>3062</v>
      </c>
      <c r="W486" s="5" t="str">
        <f t="shared" si="3"/>
        <v>Bassam Kurdali</v>
      </c>
      <c r="X486" s="5">
        <f t="shared" si="4"/>
        <v>1</v>
      </c>
      <c r="Y486" s="5" t="str">
        <f>IFERROR(__xludf.DUMMYFUNCTION("REGEXEXTRACT(J486, ""^\d+"")"),"46")</f>
        <v>46</v>
      </c>
      <c r="Z486" s="5" t="str">
        <f>IFERROR(__xludf.DUMMYFUNCTION("REGEXEXTRACT(J486, ""[A-Za-z ]+$"")")," min")</f>
        <v> min</v>
      </c>
      <c r="AA486" s="5" t="str">
        <f>IFERROR(__xludf.DUMMYFUNCTION("IF(REGEXMATCH(Z486, ""Season""), ""TV Show"", ""Movie"")"),"Movie")</f>
        <v>Movie</v>
      </c>
    </row>
    <row r="487">
      <c r="A487" s="1" t="s">
        <v>3063</v>
      </c>
      <c r="B487" s="1" t="s">
        <v>27</v>
      </c>
      <c r="C487" s="1" t="s">
        <v>3064</v>
      </c>
      <c r="D487" s="1" t="s">
        <v>2798</v>
      </c>
      <c r="E487" s="1" t="s">
        <v>3065</v>
      </c>
      <c r="G487" s="1" t="s">
        <v>3021</v>
      </c>
      <c r="H487" s="1">
        <v>2021.0</v>
      </c>
      <c r="I487" s="1" t="s">
        <v>97</v>
      </c>
      <c r="J487" s="1" t="s">
        <v>1191</v>
      </c>
      <c r="K487" s="1" t="s">
        <v>171</v>
      </c>
      <c r="L487" s="1" t="s">
        <v>3066</v>
      </c>
      <c r="M487" s="2" t="s">
        <v>12</v>
      </c>
      <c r="N487" s="4">
        <f t="shared" si="1"/>
        <v>44386</v>
      </c>
      <c r="O487" s="5" t="str">
        <f>IFERROR(__xludf.DUMMYFUNCTION("IF(REGEXMATCH(TRIM(I487), ""^\d+\s*min""), ""Unclassified"", IF(I487 = """", ""NR"", I487))"),"TV-14")</f>
        <v>TV-14</v>
      </c>
      <c r="R487" s="5" t="str">
        <f t="shared" si="2"/>
        <v>Lethal Love</v>
      </c>
      <c r="S487" s="5" t="str">
        <f>IFERROR(__xludf.DUMMYFUNCTION("""COMPUTED_VALUE"""),"America'S Book Of Secrets")</f>
        <v>America'S Book Of Secrets</v>
      </c>
      <c r="T487" s="5" t="str">
        <f>IFERROR(__xludf.DUMMYFUNCTION("""COMPUTED_VALUE"""),"Taiwan, Malaysia")</f>
        <v>Taiwan, Malaysia</v>
      </c>
      <c r="U487" s="5" t="str">
        <f>IFERROR(__xludf.DUMMYFUNCTION("""COMPUTED_VALUE"""),"Kevin Johnson")</f>
        <v>Kevin Johnson</v>
      </c>
      <c r="V487" s="5" t="s">
        <v>3067</v>
      </c>
      <c r="W487" s="5" t="str">
        <f t="shared" si="3"/>
        <v>Bassam Tariq</v>
      </c>
      <c r="X487" s="5">
        <f t="shared" si="4"/>
        <v>1</v>
      </c>
      <c r="Y487" s="5" t="str">
        <f>IFERROR(__xludf.DUMMYFUNCTION("REGEXEXTRACT(J487, ""^\d+"")"),"89")</f>
        <v>89</v>
      </c>
      <c r="Z487" s="5" t="str">
        <f>IFERROR(__xludf.DUMMYFUNCTION("REGEXEXTRACT(J487, ""[A-Za-z ]+$"")")," min")</f>
        <v> min</v>
      </c>
      <c r="AA487" s="5" t="str">
        <f>IFERROR(__xludf.DUMMYFUNCTION("IF(REGEXMATCH(Z487, ""Season""), ""TV Show"", ""Movie"")"),"Movie")</f>
        <v>Movie</v>
      </c>
    </row>
    <row r="488">
      <c r="A488" s="1" t="s">
        <v>3068</v>
      </c>
      <c r="B488" s="1" t="s">
        <v>27</v>
      </c>
      <c r="C488" s="1" t="s">
        <v>3069</v>
      </c>
      <c r="D488" s="1" t="s">
        <v>3070</v>
      </c>
      <c r="E488" s="1" t="s">
        <v>3071</v>
      </c>
      <c r="F488" s="1" t="s">
        <v>3072</v>
      </c>
      <c r="G488" s="1" t="s">
        <v>3021</v>
      </c>
      <c r="H488" s="1">
        <v>2016.0</v>
      </c>
      <c r="I488" s="1" t="s">
        <v>78</v>
      </c>
      <c r="J488" s="1" t="s">
        <v>170</v>
      </c>
      <c r="K488" s="1" t="s">
        <v>2155</v>
      </c>
      <c r="L488" s="1" t="s">
        <v>3073</v>
      </c>
      <c r="M488" s="2" t="s">
        <v>12</v>
      </c>
      <c r="N488" s="4">
        <f t="shared" si="1"/>
        <v>44386</v>
      </c>
      <c r="O488" s="5" t="str">
        <f>IFERROR(__xludf.DUMMYFUNCTION("IF(REGEXMATCH(TRIM(I488), ""^\d+\s*min""), ""Unclassified"", IF(I488 = """", ""NR"", I488))"),"PG")</f>
        <v>PG</v>
      </c>
      <c r="R488" s="5" t="str">
        <f t="shared" si="2"/>
        <v>Ratchet And Clank</v>
      </c>
      <c r="S488" s="5" t="str">
        <f>IFERROR(__xludf.DUMMYFUNCTION("""COMPUTED_VALUE"""),"America'S Next Top Model")</f>
        <v>America'S Next Top Model</v>
      </c>
      <c r="T488" s="5" t="str">
        <f>IFERROR(__xludf.DUMMYFUNCTION("""COMPUTED_VALUE"""),"Thailand")</f>
        <v>Thailand</v>
      </c>
      <c r="U488" s="5" t="str">
        <f>IFERROR(__xludf.DUMMYFUNCTION("""COMPUTED_VALUE"""),"José Larraza, Marc Pons")</f>
        <v>José Larraza, Marc Pons</v>
      </c>
      <c r="V488" s="5" t="s">
        <v>3074</v>
      </c>
      <c r="W488" s="5" t="str">
        <f t="shared" si="3"/>
        <v>Basu Chatterjee</v>
      </c>
      <c r="X488" s="5">
        <f t="shared" si="4"/>
        <v>2</v>
      </c>
      <c r="Y488" s="5" t="str">
        <f>IFERROR(__xludf.DUMMYFUNCTION("REGEXEXTRACT(J488, ""^\d+"")"),"94")</f>
        <v>94</v>
      </c>
      <c r="Z488" s="5" t="str">
        <f>IFERROR(__xludf.DUMMYFUNCTION("REGEXEXTRACT(J488, ""[A-Za-z ]+$"")")," min")</f>
        <v> min</v>
      </c>
      <c r="AA488" s="5" t="str">
        <f>IFERROR(__xludf.DUMMYFUNCTION("IF(REGEXMATCH(Z488, ""Season""), ""TV Show"", ""Movie"")"),"Movie")</f>
        <v>Movie</v>
      </c>
    </row>
    <row r="489">
      <c r="A489" s="1" t="s">
        <v>3075</v>
      </c>
      <c r="B489" s="1" t="s">
        <v>37</v>
      </c>
      <c r="C489" s="1" t="s">
        <v>3076</v>
      </c>
      <c r="E489" s="1" t="s">
        <v>3077</v>
      </c>
      <c r="G489" s="1" t="s">
        <v>3021</v>
      </c>
      <c r="H489" s="1">
        <v>2021.0</v>
      </c>
      <c r="I489" s="1" t="s">
        <v>42</v>
      </c>
      <c r="J489" s="1" t="s">
        <v>51</v>
      </c>
      <c r="K489" s="1" t="s">
        <v>1822</v>
      </c>
      <c r="L489" s="1" t="s">
        <v>3078</v>
      </c>
      <c r="M489" s="2" t="s">
        <v>12</v>
      </c>
      <c r="N489" s="4">
        <f t="shared" si="1"/>
        <v>44386</v>
      </c>
      <c r="O489" s="5" t="str">
        <f>IFERROR(__xludf.DUMMYFUNCTION("IF(REGEXMATCH(TRIM(I489), ""^\d+\s*min""), ""Unclassified"", IF(I489 = """", ""NR"", I489))"),"TV-MA")</f>
        <v>TV-MA</v>
      </c>
      <c r="R489" s="5" t="str">
        <f t="shared" si="2"/>
        <v>The Cook Of Castamar</v>
      </c>
      <c r="S489" s="5" t="str">
        <f>IFERROR(__xludf.DUMMYFUNCTION("""COMPUTED_VALUE"""),"American Anarchist")</f>
        <v>American Anarchist</v>
      </c>
      <c r="T489" s="5" t="str">
        <f>IFERROR(__xludf.DUMMYFUNCTION("""COMPUTED_VALUE"""),"Thailand, Canada, United States")</f>
        <v>Thailand, Canada, United States</v>
      </c>
      <c r="U489" s="5" t="str">
        <f>IFERROR(__xludf.DUMMYFUNCTION("""COMPUTED_VALUE"""),"Gary Sing")</f>
        <v>Gary Sing</v>
      </c>
      <c r="V489" s="5" t="s">
        <v>3079</v>
      </c>
      <c r="W489" s="5" t="str">
        <f t="shared" si="3"/>
        <v>Bauddhayan Mukherji</v>
      </c>
      <c r="X489" s="5">
        <f t="shared" si="4"/>
        <v>1</v>
      </c>
      <c r="Y489" s="5" t="str">
        <f>IFERROR(__xludf.DUMMYFUNCTION("REGEXEXTRACT(J489, ""^\d+"")"),"1")</f>
        <v>1</v>
      </c>
      <c r="Z489" s="5" t="str">
        <f>IFERROR(__xludf.DUMMYFUNCTION("REGEXEXTRACT(J489, ""[A-Za-z ]+$"")")," Season")</f>
        <v> Season</v>
      </c>
      <c r="AA489" s="5" t="str">
        <f>IFERROR(__xludf.DUMMYFUNCTION("IF(REGEXMATCH(Z489, ""Season""), ""TV Show"", ""Movie"")"),"TV Show")</f>
        <v>TV Show</v>
      </c>
    </row>
    <row r="490">
      <c r="A490" s="1" t="s">
        <v>3080</v>
      </c>
      <c r="B490" s="1" t="s">
        <v>37</v>
      </c>
      <c r="C490" s="1" t="s">
        <v>3081</v>
      </c>
      <c r="E490" s="1" t="s">
        <v>3082</v>
      </c>
      <c r="F490" s="1" t="s">
        <v>30</v>
      </c>
      <c r="G490" s="1" t="s">
        <v>3021</v>
      </c>
      <c r="H490" s="1">
        <v>2021.0</v>
      </c>
      <c r="I490" s="1" t="s">
        <v>97</v>
      </c>
      <c r="J490" s="1" t="s">
        <v>276</v>
      </c>
      <c r="K490" s="1" t="s">
        <v>3083</v>
      </c>
      <c r="L490" s="1" t="s">
        <v>3084</v>
      </c>
      <c r="M490" s="2" t="s">
        <v>12</v>
      </c>
      <c r="N490" s="4">
        <f t="shared" si="1"/>
        <v>44386</v>
      </c>
      <c r="O490" s="5" t="str">
        <f>IFERROR(__xludf.DUMMYFUNCTION("IF(REGEXMATCH(TRIM(I490), ""^\d+\s*min""), ""Unclassified"", IF(I490 = """", ""NR"", I490))"),"TV-14")</f>
        <v>TV-14</v>
      </c>
      <c r="R490" s="5" t="str">
        <f t="shared" si="2"/>
        <v>Virgin River</v>
      </c>
      <c r="S490" s="5" t="str">
        <f>IFERROR(__xludf.DUMMYFUNCTION("""COMPUTED_VALUE"""),"American Assassin")</f>
        <v>American Assassin</v>
      </c>
      <c r="T490" s="5" t="str">
        <f>IFERROR(__xludf.DUMMYFUNCTION("""COMPUTED_VALUE"""),"Thailand, China, United States")</f>
        <v>Thailand, China, United States</v>
      </c>
      <c r="U490" s="5" t="str">
        <f>IFERROR(__xludf.DUMMYFUNCTION("""COMPUTED_VALUE"""),"Julio Quintana")</f>
        <v>Julio Quintana</v>
      </c>
      <c r="V490" s="5" t="s">
        <v>3085</v>
      </c>
      <c r="W490" s="5" t="str">
        <f t="shared" si="3"/>
        <v>Baz Luhrmann</v>
      </c>
      <c r="X490" s="5">
        <f t="shared" si="4"/>
        <v>1</v>
      </c>
      <c r="Y490" s="5" t="str">
        <f>IFERROR(__xludf.DUMMYFUNCTION("REGEXEXTRACT(J490, ""^\d+"")"),"3")</f>
        <v>3</v>
      </c>
      <c r="Z490" s="5" t="str">
        <f>IFERROR(__xludf.DUMMYFUNCTION("REGEXEXTRACT(J490, ""[A-Za-z ]+$"")")," Seasons")</f>
        <v> Seasons</v>
      </c>
      <c r="AA490" s="5" t="str">
        <f>IFERROR(__xludf.DUMMYFUNCTION("IF(REGEXMATCH(Z490, ""Season""), ""TV Show"", ""Movie"")"),"TV Show")</f>
        <v>TV Show</v>
      </c>
    </row>
    <row r="491">
      <c r="A491" s="1" t="s">
        <v>3086</v>
      </c>
      <c r="B491" s="1" t="s">
        <v>27</v>
      </c>
      <c r="C491" s="1" t="s">
        <v>3087</v>
      </c>
      <c r="D491" s="1" t="s">
        <v>647</v>
      </c>
      <c r="E491" s="1" t="s">
        <v>3088</v>
      </c>
      <c r="F491" s="1" t="s">
        <v>3089</v>
      </c>
      <c r="G491" s="1" t="s">
        <v>3090</v>
      </c>
      <c r="H491" s="1">
        <v>2017.0</v>
      </c>
      <c r="I491" s="1" t="s">
        <v>97</v>
      </c>
      <c r="J491" s="1" t="s">
        <v>106</v>
      </c>
      <c r="K491" s="1" t="s">
        <v>199</v>
      </c>
      <c r="L491" s="1" t="s">
        <v>3091</v>
      </c>
      <c r="M491" s="2" t="s">
        <v>12</v>
      </c>
      <c r="N491" s="4">
        <f t="shared" si="1"/>
        <v>44385</v>
      </c>
      <c r="O491" s="5" t="str">
        <f>IFERROR(__xludf.DUMMYFUNCTION("IF(REGEXMATCH(TRIM(I491), ""^\d+\s*min""), ""Unclassified"", IF(I491 = """", ""NR"", I491))"),"TV-14")</f>
        <v>TV-14</v>
      </c>
      <c r="R491" s="5" t="str">
        <f t="shared" si="2"/>
        <v>Back To Q82</v>
      </c>
      <c r="S491" s="5" t="str">
        <f>IFERROR(__xludf.DUMMYFUNCTION("""COMPUTED_VALUE"""),"American Beauty")</f>
        <v>American Beauty</v>
      </c>
      <c r="T491" s="5" t="str">
        <f>IFERROR(__xludf.DUMMYFUNCTION("""COMPUTED_VALUE"""),"Thailand, United States")</f>
        <v>Thailand, United States</v>
      </c>
      <c r="U491" s="5" t="str">
        <f>IFERROR(__xludf.DUMMYFUNCTION("""COMPUTED_VALUE"""),"Paween Purijitpanya")</f>
        <v>Paween Purijitpanya</v>
      </c>
      <c r="V491" s="5" t="s">
        <v>3092</v>
      </c>
      <c r="W491" s="5" t="str">
        <f t="shared" si="3"/>
        <v>Bb Sasore</v>
      </c>
      <c r="X491" s="5">
        <f t="shared" si="4"/>
        <v>3</v>
      </c>
      <c r="Y491" s="5" t="str">
        <f>IFERROR(__xludf.DUMMYFUNCTION("REGEXEXTRACT(J491, ""^\d+"")"),"104")</f>
        <v>104</v>
      </c>
      <c r="Z491" s="5" t="str">
        <f>IFERROR(__xludf.DUMMYFUNCTION("REGEXEXTRACT(J491, ""[A-Za-z ]+$"")")," min")</f>
        <v> min</v>
      </c>
      <c r="AA491" s="5" t="str">
        <f>IFERROR(__xludf.DUMMYFUNCTION("IF(REGEXMATCH(Z491, ""Season""), ""TV Show"", ""Movie"")"),"Movie")</f>
        <v>Movie</v>
      </c>
    </row>
    <row r="492">
      <c r="A492" s="1" t="s">
        <v>3093</v>
      </c>
      <c r="B492" s="1" t="s">
        <v>37</v>
      </c>
      <c r="C492" s="1" t="s">
        <v>3094</v>
      </c>
      <c r="G492" s="1" t="s">
        <v>3090</v>
      </c>
      <c r="H492" s="1">
        <v>2021.0</v>
      </c>
      <c r="I492" s="1" t="s">
        <v>42</v>
      </c>
      <c r="J492" s="1" t="s">
        <v>51</v>
      </c>
      <c r="K492" s="1" t="s">
        <v>112</v>
      </c>
      <c r="L492" s="1" t="s">
        <v>3095</v>
      </c>
      <c r="M492" s="2" t="s">
        <v>12</v>
      </c>
      <c r="N492" s="4">
        <f t="shared" si="1"/>
        <v>44385</v>
      </c>
      <c r="O492" s="5" t="str">
        <f>IFERROR(__xludf.DUMMYFUNCTION("IF(REGEXMATCH(TRIM(I492), ""^\d+\s*min""), ""Unclassified"", IF(I492 = """", ""NR"", I492))"),"TV-MA")</f>
        <v>TV-MA</v>
      </c>
      <c r="R492" s="5" t="str">
        <f t="shared" si="2"/>
        <v>Elize Matsunaga: Once Upon A Crime</v>
      </c>
      <c r="S492" s="5" t="str">
        <f>IFERROR(__xludf.DUMMYFUNCTION("""COMPUTED_VALUE"""),"American Circumcision")</f>
        <v>American Circumcision</v>
      </c>
      <c r="T492" s="5" t="str">
        <f>IFERROR(__xludf.DUMMYFUNCTION("""COMPUTED_VALUE"""),"Turkey")</f>
        <v>Turkey</v>
      </c>
      <c r="U492" s="5" t="str">
        <f>IFERROR(__xludf.DUMMYFUNCTION("""COMPUTED_VALUE"""),"Pablo Faro")</f>
        <v>Pablo Faro</v>
      </c>
      <c r="V492" s="5" t="s">
        <v>3096</v>
      </c>
      <c r="W492" s="5" t="str">
        <f t="shared" si="3"/>
        <v>Bedabrata Pain</v>
      </c>
      <c r="X492" s="5">
        <f t="shared" si="4"/>
        <v>1</v>
      </c>
      <c r="Y492" s="5" t="str">
        <f>IFERROR(__xludf.DUMMYFUNCTION("REGEXEXTRACT(J492, ""^\d+"")"),"1")</f>
        <v>1</v>
      </c>
      <c r="Z492" s="5" t="str">
        <f>IFERROR(__xludf.DUMMYFUNCTION("REGEXEXTRACT(J492, ""[A-Za-z ]+$"")")," Season")</f>
        <v> Season</v>
      </c>
      <c r="AA492" s="5" t="str">
        <f>IFERROR(__xludf.DUMMYFUNCTION("IF(REGEXMATCH(Z492, ""Season""), ""TV Show"", ""Movie"")"),"TV Show")</f>
        <v>TV Show</v>
      </c>
    </row>
    <row r="493">
      <c r="A493" s="1" t="s">
        <v>3097</v>
      </c>
      <c r="B493" s="1" t="s">
        <v>27</v>
      </c>
      <c r="C493" s="1" t="s">
        <v>3098</v>
      </c>
      <c r="D493" s="1" t="s">
        <v>3099</v>
      </c>
      <c r="E493" s="1" t="s">
        <v>3100</v>
      </c>
      <c r="F493" s="1" t="s">
        <v>30</v>
      </c>
      <c r="G493" s="1" t="s">
        <v>3090</v>
      </c>
      <c r="H493" s="1">
        <v>2017.0</v>
      </c>
      <c r="I493" s="1" t="s">
        <v>32</v>
      </c>
      <c r="J493" s="1" t="s">
        <v>247</v>
      </c>
      <c r="K493" s="1" t="s">
        <v>1099</v>
      </c>
      <c r="L493" s="1" t="s">
        <v>3101</v>
      </c>
      <c r="M493" s="2" t="s">
        <v>12</v>
      </c>
      <c r="N493" s="4">
        <f t="shared" si="1"/>
        <v>44385</v>
      </c>
      <c r="O493" s="5" t="str">
        <f>IFERROR(__xludf.DUMMYFUNCTION("IF(REGEXMATCH(TRIM(I493), ""^\d+\s*min""), ""Unclassified"", IF(I493 = """", ""NR"", I493))"),"PG-13")</f>
        <v>PG-13</v>
      </c>
      <c r="R493" s="5" t="str">
        <f t="shared" si="2"/>
        <v>Home Again</v>
      </c>
      <c r="S493" s="5" t="str">
        <f>IFERROR(__xludf.DUMMYFUNCTION("""COMPUTED_VALUE"""),"American Crime")</f>
        <v>American Crime</v>
      </c>
      <c r="T493" s="5" t="str">
        <f>IFERROR(__xludf.DUMMYFUNCTION("""COMPUTED_VALUE"""),"Turkey, Azerbaijan")</f>
        <v>Turkey, Azerbaijan</v>
      </c>
      <c r="U493" s="5" t="str">
        <f>IFERROR(__xludf.DUMMYFUNCTION("""COMPUTED_VALUE"""),"Letizia Lamartire")</f>
        <v>Letizia Lamartire</v>
      </c>
      <c r="V493" s="5" t="s">
        <v>3102</v>
      </c>
      <c r="W493" s="5" t="str">
        <f t="shared" si="3"/>
        <v>Bedran Güzel</v>
      </c>
      <c r="X493" s="5">
        <f t="shared" si="4"/>
        <v>3</v>
      </c>
      <c r="Y493" s="5" t="str">
        <f>IFERROR(__xludf.DUMMYFUNCTION("REGEXEXTRACT(J493, ""^\d+"")"),"97")</f>
        <v>97</v>
      </c>
      <c r="Z493" s="5" t="str">
        <f>IFERROR(__xludf.DUMMYFUNCTION("REGEXEXTRACT(J493, ""[A-Za-z ]+$"")")," min")</f>
        <v> min</v>
      </c>
      <c r="AA493" s="5" t="str">
        <f>IFERROR(__xludf.DUMMYFUNCTION("IF(REGEXMATCH(Z493, ""Season""), ""TV Show"", ""Movie"")"),"Movie")</f>
        <v>Movie</v>
      </c>
    </row>
    <row r="494">
      <c r="A494" s="1" t="s">
        <v>3103</v>
      </c>
      <c r="B494" s="1" t="s">
        <v>27</v>
      </c>
      <c r="C494" s="1" t="s">
        <v>3104</v>
      </c>
      <c r="D494" s="1" t="s">
        <v>3105</v>
      </c>
      <c r="E494" s="1" t="s">
        <v>3106</v>
      </c>
      <c r="F494" s="1" t="s">
        <v>30</v>
      </c>
      <c r="G494" s="1" t="s">
        <v>3090</v>
      </c>
      <c r="H494" s="1">
        <v>2018.0</v>
      </c>
      <c r="I494" s="1" t="s">
        <v>32</v>
      </c>
      <c r="J494" s="1" t="s">
        <v>79</v>
      </c>
      <c r="K494" s="1" t="s">
        <v>828</v>
      </c>
      <c r="L494" s="1" t="s">
        <v>3107</v>
      </c>
      <c r="M494" s="2" t="s">
        <v>12</v>
      </c>
      <c r="N494" s="4">
        <f t="shared" si="1"/>
        <v>44385</v>
      </c>
      <c r="O494" s="5" t="str">
        <f>IFERROR(__xludf.DUMMYFUNCTION("IF(REGEXMATCH(TRIM(I494), ""^\d+\s*min""), ""Unclassified"", IF(I494 = """", ""NR"", I494))"),"PG-13")</f>
        <v>PG-13</v>
      </c>
      <c r="R494" s="5" t="str">
        <f t="shared" si="2"/>
        <v>Midnight Sun</v>
      </c>
      <c r="S494" s="5" t="str">
        <f>IFERROR(__xludf.DUMMYFUNCTION("""COMPUTED_VALUE"""),"American Crime Story: The People V. O.J. Simpson")</f>
        <v>American Crime Story: The People V. O.J. Simpson</v>
      </c>
      <c r="T494" s="5" t="str">
        <f>IFERROR(__xludf.DUMMYFUNCTION("""COMPUTED_VALUE"""),"Turkey, France, Germany, Poland")</f>
        <v>Turkey, France, Germany, Poland</v>
      </c>
      <c r="U494" s="5" t="str">
        <f>IFERROR(__xludf.DUMMYFUNCTION("""COMPUTED_VALUE"""),"Ray Jiang")</f>
        <v>Ray Jiang</v>
      </c>
      <c r="V494" s="5" t="s">
        <v>3108</v>
      </c>
      <c r="W494" s="5" t="str">
        <f t="shared" si="3"/>
        <v>Beeban Kidron</v>
      </c>
      <c r="X494" s="5">
        <f t="shared" si="4"/>
        <v>1</v>
      </c>
      <c r="Y494" s="5" t="str">
        <f>IFERROR(__xludf.DUMMYFUNCTION("REGEXEXTRACT(J494, ""^\d+"")"),"91")</f>
        <v>91</v>
      </c>
      <c r="Z494" s="5" t="str">
        <f>IFERROR(__xludf.DUMMYFUNCTION("REGEXEXTRACT(J494, ""[A-Za-z ]+$"")")," min")</f>
        <v> min</v>
      </c>
      <c r="AA494" s="5" t="str">
        <f>IFERROR(__xludf.DUMMYFUNCTION("IF(REGEXMATCH(Z494, ""Season""), ""TV Show"", ""Movie"")"),"Movie")</f>
        <v>Movie</v>
      </c>
    </row>
    <row r="495">
      <c r="A495" s="1" t="s">
        <v>3109</v>
      </c>
      <c r="B495" s="1" t="s">
        <v>37</v>
      </c>
      <c r="C495" s="1" t="s">
        <v>3110</v>
      </c>
      <c r="E495" s="1" t="s">
        <v>3111</v>
      </c>
      <c r="F495" s="1" t="s">
        <v>1846</v>
      </c>
      <c r="G495" s="1" t="s">
        <v>3090</v>
      </c>
      <c r="H495" s="1">
        <v>2021.0</v>
      </c>
      <c r="I495" s="1" t="s">
        <v>42</v>
      </c>
      <c r="J495" s="1" t="s">
        <v>51</v>
      </c>
      <c r="K495" s="1" t="s">
        <v>3112</v>
      </c>
      <c r="L495" s="1" t="s">
        <v>3113</v>
      </c>
      <c r="M495" s="2" t="s">
        <v>12</v>
      </c>
      <c r="N495" s="4">
        <f t="shared" si="1"/>
        <v>44385</v>
      </c>
      <c r="O495" s="5" t="str">
        <f>IFERROR(__xludf.DUMMYFUNCTION("IF(REGEXMATCH(TRIM(I495), ""^\d+\s*min""), ""Unclassified"", IF(I495 = """", ""NR"", I495))"),"TV-MA")</f>
        <v>TV-MA</v>
      </c>
      <c r="R495" s="5" t="str">
        <f t="shared" si="2"/>
        <v>Resident Evil: Infinite Darkness</v>
      </c>
      <c r="S495" s="5" t="str">
        <f>IFERROR(__xludf.DUMMYFUNCTION("""COMPUTED_VALUE"""),"American Experience: Ruby Ridge")</f>
        <v>American Experience: Ruby Ridge</v>
      </c>
      <c r="T495" s="5" t="str">
        <f>IFERROR(__xludf.DUMMYFUNCTION("""COMPUTED_VALUE"""),"Turkey, India")</f>
        <v>Turkey, India</v>
      </c>
      <c r="U495" s="5" t="str">
        <f>IFERROR(__xludf.DUMMYFUNCTION("""COMPUTED_VALUE"""),"Daniel Vernon")</f>
        <v>Daniel Vernon</v>
      </c>
      <c r="V495" s="5" t="s">
        <v>3114</v>
      </c>
      <c r="W495" s="5" t="str">
        <f t="shared" si="3"/>
        <v>Bejoy Nambiar</v>
      </c>
      <c r="X495" s="5">
        <f t="shared" si="4"/>
        <v>2</v>
      </c>
      <c r="Y495" s="5" t="str">
        <f>IFERROR(__xludf.DUMMYFUNCTION("REGEXEXTRACT(J495, ""^\d+"")"),"1")</f>
        <v>1</v>
      </c>
      <c r="Z495" s="5" t="str">
        <f>IFERROR(__xludf.DUMMYFUNCTION("REGEXEXTRACT(J495, ""[A-Za-z ]+$"")")," Season")</f>
        <v> Season</v>
      </c>
      <c r="AA495" s="5" t="str">
        <f>IFERROR(__xludf.DUMMYFUNCTION("IF(REGEXMATCH(Z495, ""Season""), ""TV Show"", ""Movie"")"),"TV Show")</f>
        <v>TV Show</v>
      </c>
    </row>
    <row r="496">
      <c r="A496" s="1" t="s">
        <v>3115</v>
      </c>
      <c r="B496" s="1" t="s">
        <v>27</v>
      </c>
      <c r="C496" s="1" t="s">
        <v>3116</v>
      </c>
      <c r="D496" s="1" t="s">
        <v>3028</v>
      </c>
      <c r="E496" s="1" t="s">
        <v>3117</v>
      </c>
      <c r="F496" s="1" t="s">
        <v>30</v>
      </c>
      <c r="G496" s="1" t="s">
        <v>3090</v>
      </c>
      <c r="H496" s="1">
        <v>2015.0</v>
      </c>
      <c r="I496" s="1" t="s">
        <v>378</v>
      </c>
      <c r="J496" s="1" t="s">
        <v>256</v>
      </c>
      <c r="K496" s="1" t="s">
        <v>1034</v>
      </c>
      <c r="L496" s="1" t="s">
        <v>3118</v>
      </c>
      <c r="M496" s="2" t="s">
        <v>12</v>
      </c>
      <c r="N496" s="4">
        <f t="shared" si="1"/>
        <v>44385</v>
      </c>
      <c r="O496" s="5" t="str">
        <f>IFERROR(__xludf.DUMMYFUNCTION("IF(REGEXMATCH(TRIM(I496), ""^\d+\s*min""), ""Unclassified"", IF(I496 = """", ""NR"", I496))"),"R")</f>
        <v>R</v>
      </c>
      <c r="R496" s="5" t="str">
        <f t="shared" si="2"/>
        <v>Rock The Kasbah</v>
      </c>
      <c r="S496" s="5" t="str">
        <f>IFERROR(__xludf.DUMMYFUNCTION("""COMPUTED_VALUE"""),"American Experience: The Circus")</f>
        <v>American Experience: The Circus</v>
      </c>
      <c r="T496" s="5" t="str">
        <f>IFERROR(__xludf.DUMMYFUNCTION("""COMPUTED_VALUE"""),"Turkey, South Korea")</f>
        <v>Turkey, South Korea</v>
      </c>
      <c r="U496" s="5" t="str">
        <f>IFERROR(__xludf.DUMMYFUNCTION("""COMPUTED_VALUE"""),"Steve Gukas")</f>
        <v>Steve Gukas</v>
      </c>
      <c r="V496" s="5" t="s">
        <v>1958</v>
      </c>
      <c r="W496" s="5" t="str">
        <f t="shared" si="3"/>
        <v>Bejoy Nambiar, Priyadarshan, Karthik Narain, Vasanth Sai, Karthik Subbaraj, Arvind Swamy, Rathindran R Prasad, Sarjun, Gautham Vasudev Menon</v>
      </c>
      <c r="X496" s="5">
        <f t="shared" si="4"/>
        <v>1</v>
      </c>
      <c r="Y496" s="5" t="str">
        <f>IFERROR(__xludf.DUMMYFUNCTION("REGEXEXTRACT(J496, ""^\d+"")"),"106")</f>
        <v>106</v>
      </c>
      <c r="Z496" s="5" t="str">
        <f>IFERROR(__xludf.DUMMYFUNCTION("REGEXEXTRACT(J496, ""[A-Za-z ]+$"")")," min")</f>
        <v> min</v>
      </c>
      <c r="AA496" s="5" t="str">
        <f>IFERROR(__xludf.DUMMYFUNCTION("IF(REGEXMATCH(Z496, ""Season""), ""TV Show"", ""Movie"")"),"Movie")</f>
        <v>Movie</v>
      </c>
    </row>
    <row r="497">
      <c r="A497" s="1" t="s">
        <v>3119</v>
      </c>
      <c r="B497" s="1" t="s">
        <v>27</v>
      </c>
      <c r="C497" s="1" t="s">
        <v>3120</v>
      </c>
      <c r="D497" s="1" t="s">
        <v>3121</v>
      </c>
      <c r="G497" s="1" t="s">
        <v>3122</v>
      </c>
      <c r="H497" s="1">
        <v>2019.0</v>
      </c>
      <c r="I497" s="1" t="s">
        <v>42</v>
      </c>
      <c r="J497" s="1" t="s">
        <v>3123</v>
      </c>
      <c r="K497" s="1" t="s">
        <v>156</v>
      </c>
      <c r="L497" s="1" t="s">
        <v>3124</v>
      </c>
      <c r="M497" s="2" t="s">
        <v>12</v>
      </c>
      <c r="N497" s="4">
        <f t="shared" si="1"/>
        <v>44384</v>
      </c>
      <c r="O497" s="5" t="str">
        <f>IFERROR(__xludf.DUMMYFUNCTION("IF(REGEXMATCH(TRIM(I497), ""^\d+\s*min""), ""Unclassified"", IF(I497 = """", ""NR"", I497))"),"TV-MA")</f>
        <v>TV-MA</v>
      </c>
      <c r="R497" s="5" t="str">
        <f t="shared" si="2"/>
        <v>Awon Boyz</v>
      </c>
      <c r="S497" s="5" t="str">
        <f>IFERROR(__xludf.DUMMYFUNCTION("""COMPUTED_VALUE"""),"American Experience: The Island Murder")</f>
        <v>American Experience: The Island Murder</v>
      </c>
      <c r="T497" s="5" t="str">
        <f>IFERROR(__xludf.DUMMYFUNCTION("""COMPUTED_VALUE"""),"Turkey, United States")</f>
        <v>Turkey, United States</v>
      </c>
      <c r="U497" s="5" t="str">
        <f>IFERROR(__xludf.DUMMYFUNCTION("""COMPUTED_VALUE"""),"Tim Johnson")</f>
        <v>Tim Johnson</v>
      </c>
      <c r="V497" s="5" t="s">
        <v>3125</v>
      </c>
      <c r="W497" s="5" t="str">
        <f t="shared" si="3"/>
        <v>Ben A. Williams</v>
      </c>
      <c r="X497" s="5">
        <f t="shared" si="4"/>
        <v>1</v>
      </c>
      <c r="Y497" s="5" t="str">
        <f>IFERROR(__xludf.DUMMYFUNCTION("REGEXEXTRACT(J497, ""^\d+"")"),"38")</f>
        <v>38</v>
      </c>
      <c r="Z497" s="5" t="str">
        <f>IFERROR(__xludf.DUMMYFUNCTION("REGEXEXTRACT(J497, ""[A-Za-z ]+$"")")," min")</f>
        <v> min</v>
      </c>
      <c r="AA497" s="5" t="str">
        <f>IFERROR(__xludf.DUMMYFUNCTION("IF(REGEXMATCH(Z497, ""Season""), ""TV Show"", ""Movie"")"),"Movie")</f>
        <v>Movie</v>
      </c>
    </row>
    <row r="498">
      <c r="A498" s="1" t="s">
        <v>3126</v>
      </c>
      <c r="B498" s="1" t="s">
        <v>27</v>
      </c>
      <c r="C498" s="1" t="s">
        <v>3127</v>
      </c>
      <c r="D498" s="1" t="s">
        <v>3128</v>
      </c>
      <c r="E498" s="1" t="s">
        <v>3129</v>
      </c>
      <c r="F498" s="1" t="s">
        <v>3130</v>
      </c>
      <c r="G498" s="1" t="s">
        <v>3122</v>
      </c>
      <c r="H498" s="1">
        <v>2014.0</v>
      </c>
      <c r="I498" s="1" t="s">
        <v>32</v>
      </c>
      <c r="J498" s="1" t="s">
        <v>33</v>
      </c>
      <c r="K498" s="1" t="s">
        <v>1066</v>
      </c>
      <c r="L498" s="1" t="s">
        <v>3131</v>
      </c>
      <c r="M498" s="2" t="s">
        <v>12</v>
      </c>
      <c r="N498" s="4">
        <f t="shared" si="1"/>
        <v>44384</v>
      </c>
      <c r="O498" s="5" t="str">
        <f>IFERROR(__xludf.DUMMYFUNCTION("IF(REGEXMATCH(TRIM(I498), ""^\d+\s*min""), ""Unclassified"", IF(I498 = """", ""NR"", I498))"),"PG-13")</f>
        <v>PG-13</v>
      </c>
      <c r="R498" s="5" t="str">
        <f t="shared" si="2"/>
        <v>Brick Mansions</v>
      </c>
      <c r="S498" s="5" t="str">
        <f>IFERROR(__xludf.DUMMYFUNCTION("""COMPUTED_VALUE"""),"American Factory")</f>
        <v>American Factory</v>
      </c>
      <c r="T498" s="5" t="str">
        <f>IFERROR(__xludf.DUMMYFUNCTION("""COMPUTED_VALUE"""),"Ukraine")</f>
        <v>Ukraine</v>
      </c>
      <c r="U498" s="5" t="str">
        <f>IFERROR(__xludf.DUMMYFUNCTION("""COMPUTED_VALUE"""),"Vishwesh Krishnamoorthy")</f>
        <v>Vishwesh Krishnamoorthy</v>
      </c>
      <c r="V498" s="5" t="s">
        <v>3132</v>
      </c>
      <c r="W498" s="5" t="str">
        <f t="shared" si="3"/>
        <v>Ben Bowie, Geoff Luck</v>
      </c>
      <c r="X498" s="5">
        <f t="shared" si="4"/>
        <v>1</v>
      </c>
      <c r="Y498" s="5" t="str">
        <f>IFERROR(__xludf.DUMMYFUNCTION("REGEXEXTRACT(J498, ""^\d+"")"),"90")</f>
        <v>90</v>
      </c>
      <c r="Z498" s="5" t="str">
        <f>IFERROR(__xludf.DUMMYFUNCTION("REGEXEXTRACT(J498, ""[A-Za-z ]+$"")")," min")</f>
        <v> min</v>
      </c>
      <c r="AA498" s="5" t="str">
        <f>IFERROR(__xludf.DUMMYFUNCTION("IF(REGEXMATCH(Z498, ""Season""), ""TV Show"", ""Movie"")"),"Movie")</f>
        <v>Movie</v>
      </c>
    </row>
    <row r="499">
      <c r="A499" s="1" t="s">
        <v>3133</v>
      </c>
      <c r="B499" s="1" t="s">
        <v>37</v>
      </c>
      <c r="C499" s="1" t="s">
        <v>3134</v>
      </c>
      <c r="G499" s="1" t="s">
        <v>3122</v>
      </c>
      <c r="H499" s="1">
        <v>2021.0</v>
      </c>
      <c r="I499" s="1" t="s">
        <v>97</v>
      </c>
      <c r="J499" s="1" t="s">
        <v>51</v>
      </c>
      <c r="K499" s="1" t="s">
        <v>1261</v>
      </c>
      <c r="L499" s="1" t="s">
        <v>3135</v>
      </c>
      <c r="M499" s="2" t="s">
        <v>12</v>
      </c>
      <c r="N499" s="4">
        <f t="shared" si="1"/>
        <v>44384</v>
      </c>
      <c r="O499" s="5" t="str">
        <f>IFERROR(__xludf.DUMMYFUNCTION("IF(REGEXMATCH(TRIM(I499), ""^\d+\s*min""), ""Unclassified"", IF(I499 = """", ""NR"", I499))"),"TV-14")</f>
        <v>TV-14</v>
      </c>
      <c r="R499" s="5" t="str">
        <f t="shared" si="2"/>
        <v>Cat People</v>
      </c>
      <c r="S499" s="5" t="str">
        <f>IFERROR(__xludf.DUMMYFUNCTION("""COMPUTED_VALUE"""),"American Factory: A Conversation With The Obamas")</f>
        <v>American Factory: A Conversation With The Obamas</v>
      </c>
      <c r="T499" s="5" t="str">
        <f>IFERROR(__xludf.DUMMYFUNCTION("""COMPUTED_VALUE"""),"United Arab Emirates")</f>
        <v>United Arab Emirates</v>
      </c>
      <c r="U499" s="5" t="str">
        <f>IFERROR(__xludf.DUMMYFUNCTION("""COMPUTED_VALUE"""),"Zack Snyder")</f>
        <v>Zack Snyder</v>
      </c>
      <c r="V499" s="5" t="s">
        <v>3136</v>
      </c>
      <c r="W499" s="5" t="str">
        <f t="shared" si="3"/>
        <v>Ben Brewer, Alex Brewer</v>
      </c>
      <c r="X499" s="5">
        <f t="shared" si="4"/>
        <v>1</v>
      </c>
      <c r="Y499" s="5" t="str">
        <f>IFERROR(__xludf.DUMMYFUNCTION("REGEXEXTRACT(J499, ""^\d+"")"),"1")</f>
        <v>1</v>
      </c>
      <c r="Z499" s="5" t="str">
        <f>IFERROR(__xludf.DUMMYFUNCTION("REGEXEXTRACT(J499, ""[A-Za-z ]+$"")")," Season")</f>
        <v> Season</v>
      </c>
      <c r="AA499" s="5" t="str">
        <f>IFERROR(__xludf.DUMMYFUNCTION("IF(REGEXMATCH(Z499, ""Season""), ""TV Show"", ""Movie"")"),"TV Show")</f>
        <v>TV Show</v>
      </c>
    </row>
    <row r="500">
      <c r="A500" s="1" t="s">
        <v>3137</v>
      </c>
      <c r="B500" s="1" t="s">
        <v>27</v>
      </c>
      <c r="C500" s="1" t="s">
        <v>3138</v>
      </c>
      <c r="D500" s="1" t="s">
        <v>3139</v>
      </c>
      <c r="E500" s="1" t="s">
        <v>3140</v>
      </c>
      <c r="G500" s="1" t="s">
        <v>3122</v>
      </c>
      <c r="H500" s="1">
        <v>2020.0</v>
      </c>
      <c r="I500" s="1" t="s">
        <v>42</v>
      </c>
      <c r="J500" s="1" t="s">
        <v>630</v>
      </c>
      <c r="K500" s="1" t="s">
        <v>128</v>
      </c>
      <c r="L500" s="1" t="s">
        <v>3141</v>
      </c>
      <c r="M500" s="2" t="s">
        <v>12</v>
      </c>
      <c r="N500" s="4">
        <f t="shared" si="1"/>
        <v>44384</v>
      </c>
      <c r="O500" s="5" t="str">
        <f>IFERROR(__xludf.DUMMYFUNCTION("IF(REGEXMATCH(TRIM(I500), ""^\d+\s*min""), ""Unclassified"", IF(I500 = """", ""NR"", I500))"),"TV-MA")</f>
        <v>TV-MA</v>
      </c>
      <c r="R500" s="5" t="str">
        <f t="shared" si="2"/>
        <v>Clash</v>
      </c>
      <c r="S500" s="5" t="str">
        <f>IFERROR(__xludf.DUMMYFUNCTION("""COMPUTED_VALUE"""),"American Hangman")</f>
        <v>American Hangman</v>
      </c>
      <c r="T500" s="5" t="str">
        <f>IFERROR(__xludf.DUMMYFUNCTION("""COMPUTED_VALUE"""),"United Arab Emirates, Jordan")</f>
        <v>United Arab Emirates, Jordan</v>
      </c>
      <c r="U500" s="5" t="str">
        <f>IFERROR(__xludf.DUMMYFUNCTION("""COMPUTED_VALUE"""),"Uduak-Obong Patrick")</f>
        <v>Uduak-Obong Patrick</v>
      </c>
      <c r="V500" s="5" t="s">
        <v>3142</v>
      </c>
      <c r="W500" s="5" t="str">
        <f t="shared" si="3"/>
        <v>Ben C. Lucas</v>
      </c>
      <c r="X500" s="5">
        <f t="shared" si="4"/>
        <v>1</v>
      </c>
      <c r="Y500" s="5" t="str">
        <f>IFERROR(__xludf.DUMMYFUNCTION("REGEXEXTRACT(J500, ""^\d+"")"),"87")</f>
        <v>87</v>
      </c>
      <c r="Z500" s="5" t="str">
        <f>IFERROR(__xludf.DUMMYFUNCTION("REGEXEXTRACT(J500, ""[A-Za-z ]+$"")")," min")</f>
        <v> min</v>
      </c>
      <c r="AA500" s="5" t="str">
        <f>IFERROR(__xludf.DUMMYFUNCTION("IF(REGEXMATCH(Z500, ""Season""), ""TV Show"", ""Movie"")"),"Movie")</f>
        <v>Movie</v>
      </c>
    </row>
    <row r="501">
      <c r="A501" s="1" t="s">
        <v>3143</v>
      </c>
      <c r="B501" s="1" t="s">
        <v>37</v>
      </c>
      <c r="C501" s="1" t="s">
        <v>3144</v>
      </c>
      <c r="F501" s="1" t="s">
        <v>30</v>
      </c>
      <c r="G501" s="1" t="s">
        <v>3122</v>
      </c>
      <c r="H501" s="1">
        <v>2021.0</v>
      </c>
      <c r="I501" s="1" t="s">
        <v>136</v>
      </c>
      <c r="J501" s="1" t="s">
        <v>43</v>
      </c>
      <c r="K501" s="1" t="s">
        <v>1261</v>
      </c>
      <c r="L501" s="1" t="s">
        <v>3145</v>
      </c>
      <c r="M501" s="2" t="s">
        <v>12</v>
      </c>
      <c r="N501" s="4">
        <f t="shared" si="1"/>
        <v>44384</v>
      </c>
      <c r="O501" s="5" t="str">
        <f>IFERROR(__xludf.DUMMYFUNCTION("IF(REGEXMATCH(TRIM(I501), ""^\d+\s*min""), ""Unclassified"", IF(I501 = """", ""NR"", I501))"),"TV-PG")</f>
        <v>TV-PG</v>
      </c>
      <c r="R501" s="5" t="str">
        <f t="shared" si="2"/>
        <v>Dogs</v>
      </c>
      <c r="S501" s="5" t="str">
        <f>IFERROR(__xludf.DUMMYFUNCTION("""COMPUTED_VALUE"""),"American Heist")</f>
        <v>American Heist</v>
      </c>
      <c r="T501" s="5" t="str">
        <f>IFERROR(__xludf.DUMMYFUNCTION("""COMPUTED_VALUE"""),"United Arab Emirates, Jordan, Lebanon, Saudi Arabia")</f>
        <v>United Arab Emirates, Jordan, Lebanon, Saudi Arabia</v>
      </c>
      <c r="U501" s="5" t="str">
        <f>IFERROR(__xludf.DUMMYFUNCTION("""COMPUTED_VALUE"""),"Mohamed Diab")</f>
        <v>Mohamed Diab</v>
      </c>
      <c r="V501" s="5" t="s">
        <v>3146</v>
      </c>
      <c r="W501" s="5" t="str">
        <f t="shared" si="3"/>
        <v>Ben Falcone</v>
      </c>
      <c r="X501" s="5">
        <f t="shared" si="4"/>
        <v>1</v>
      </c>
      <c r="Y501" s="5" t="str">
        <f>IFERROR(__xludf.DUMMYFUNCTION("REGEXEXTRACT(J501, ""^\d+"")"),"2")</f>
        <v>2</v>
      </c>
      <c r="Z501" s="5" t="str">
        <f>IFERROR(__xludf.DUMMYFUNCTION("REGEXEXTRACT(J501, ""[A-Za-z ]+$"")")," Seasons")</f>
        <v> Seasons</v>
      </c>
      <c r="AA501" s="5" t="str">
        <f>IFERROR(__xludf.DUMMYFUNCTION("IF(REGEXMATCH(Z501, ""Season""), ""TV Show"", ""Movie"")"),"TV Show")</f>
        <v>TV Show</v>
      </c>
    </row>
    <row r="502">
      <c r="A502" s="1" t="s">
        <v>3147</v>
      </c>
      <c r="B502" s="1" t="s">
        <v>27</v>
      </c>
      <c r="C502" s="1" t="s">
        <v>3148</v>
      </c>
      <c r="D502" s="1" t="s">
        <v>3149</v>
      </c>
      <c r="E502" s="1" t="s">
        <v>3150</v>
      </c>
      <c r="G502" s="1" t="s">
        <v>3122</v>
      </c>
      <c r="H502" s="1">
        <v>2021.0</v>
      </c>
      <c r="I502" s="1" t="s">
        <v>42</v>
      </c>
      <c r="J502" s="1" t="s">
        <v>2414</v>
      </c>
      <c r="K502" s="1" t="s">
        <v>1066</v>
      </c>
      <c r="L502" s="1" t="s">
        <v>3151</v>
      </c>
      <c r="M502" s="2" t="s">
        <v>12</v>
      </c>
      <c r="N502" s="4">
        <f t="shared" si="1"/>
        <v>44384</v>
      </c>
      <c r="O502" s="5" t="str">
        <f>IFERROR(__xludf.DUMMYFUNCTION("IF(REGEXMATCH(TRIM(I502), ""^\d+\s*min""), ""Unclassified"", IF(I502 = """", ""NR"", I502))"),"TV-MA")</f>
        <v>TV-MA</v>
      </c>
      <c r="R502" s="5" t="str">
        <f t="shared" si="2"/>
        <v>Major Grom: Plague Doctor</v>
      </c>
      <c r="S502" s="5" t="str">
        <f>IFERROR(__xludf.DUMMYFUNCTION("""COMPUTED_VALUE"""),"American History X")</f>
        <v>American History X</v>
      </c>
      <c r="T502" s="5" t="str">
        <f>IFERROR(__xludf.DUMMYFUNCTION("""COMPUTED_VALUE"""),"United Arab Emirates, Romania")</f>
        <v>United Arab Emirates, Romania</v>
      </c>
      <c r="U502" s="5" t="str">
        <f>IFERROR(__xludf.DUMMYFUNCTION("""COMPUTED_VALUE"""),"Amr Salama")</f>
        <v>Amr Salama</v>
      </c>
      <c r="V502" s="5" t="s">
        <v>3152</v>
      </c>
      <c r="W502" s="5" t="str">
        <f t="shared" si="3"/>
        <v>Ben Kasulke</v>
      </c>
      <c r="X502" s="5">
        <f t="shared" si="4"/>
        <v>1</v>
      </c>
      <c r="Y502" s="5" t="str">
        <f>IFERROR(__xludf.DUMMYFUNCTION("REGEXEXTRACT(J502, ""^\d+"")"),"138")</f>
        <v>138</v>
      </c>
      <c r="Z502" s="5" t="str">
        <f>IFERROR(__xludf.DUMMYFUNCTION("REGEXEXTRACT(J502, ""[A-Za-z ]+$"")")," min")</f>
        <v> min</v>
      </c>
      <c r="AA502" s="5" t="str">
        <f>IFERROR(__xludf.DUMMYFUNCTION("IF(REGEXMATCH(Z502, ""Season""), ""TV Show"", ""Movie"")"),"Movie")</f>
        <v>Movie</v>
      </c>
    </row>
    <row r="503">
      <c r="A503" s="1" t="s">
        <v>3153</v>
      </c>
      <c r="B503" s="1" t="s">
        <v>27</v>
      </c>
      <c r="C503" s="1" t="s">
        <v>3154</v>
      </c>
      <c r="D503" s="1" t="s">
        <v>2733</v>
      </c>
      <c r="E503" s="1" t="s">
        <v>3155</v>
      </c>
      <c r="G503" s="1" t="s">
        <v>3122</v>
      </c>
      <c r="H503" s="1">
        <v>2020.0</v>
      </c>
      <c r="I503" s="1" t="s">
        <v>42</v>
      </c>
      <c r="J503" s="1" t="s">
        <v>305</v>
      </c>
      <c r="K503" s="1" t="s">
        <v>128</v>
      </c>
      <c r="L503" s="1" t="s">
        <v>3156</v>
      </c>
      <c r="M503" s="2" t="s">
        <v>12</v>
      </c>
      <c r="N503" s="4">
        <f t="shared" si="1"/>
        <v>44384</v>
      </c>
      <c r="O503" s="5" t="str">
        <f>IFERROR(__xludf.DUMMYFUNCTION("IF(REGEXMATCH(TRIM(I503), ""^\d+\s*min""), ""Unclassified"", IF(I503 = """", ""NR"", I503))"),"TV-MA")</f>
        <v>TV-MA</v>
      </c>
      <c r="R503" s="5" t="str">
        <f t="shared" si="2"/>
        <v>Mama Drama</v>
      </c>
      <c r="S503" s="5" t="str">
        <f>IFERROR(__xludf.DUMMYFUNCTION("""COMPUTED_VALUE"""),"American Honey")</f>
        <v>American Honey</v>
      </c>
      <c r="T503" s="5" t="str">
        <f>IFERROR(__xludf.DUMMYFUNCTION("""COMPUTED_VALUE"""),"United Arab Emirates, United Kingdom, India")</f>
        <v>United Arab Emirates, United Kingdom, India</v>
      </c>
      <c r="U503" s="5" t="str">
        <f>IFERROR(__xludf.DUMMYFUNCTION("""COMPUTED_VALUE"""),"Christopher Amos")</f>
        <v>Christopher Amos</v>
      </c>
      <c r="V503" s="5" t="s">
        <v>3157</v>
      </c>
      <c r="W503" s="5" t="str">
        <f t="shared" si="3"/>
        <v>Ben Palmer</v>
      </c>
      <c r="X503" s="5">
        <f t="shared" si="4"/>
        <v>1</v>
      </c>
      <c r="Y503" s="5" t="str">
        <f>IFERROR(__xludf.DUMMYFUNCTION("REGEXEXTRACT(J503, ""^\d+"")"),"105")</f>
        <v>105</v>
      </c>
      <c r="Z503" s="5" t="str">
        <f>IFERROR(__xludf.DUMMYFUNCTION("REGEXEXTRACT(J503, ""[A-Za-z ]+$"")")," min")</f>
        <v> min</v>
      </c>
      <c r="AA503" s="5" t="str">
        <f>IFERROR(__xludf.DUMMYFUNCTION("IF(REGEXMATCH(Z503, ""Season""), ""TV Show"", ""Movie"")"),"Movie")</f>
        <v>Movie</v>
      </c>
    </row>
    <row r="504">
      <c r="A504" s="1" t="s">
        <v>3158</v>
      </c>
      <c r="B504" s="1" t="s">
        <v>27</v>
      </c>
      <c r="C504" s="1" t="s">
        <v>3159</v>
      </c>
      <c r="D504" s="1" t="s">
        <v>3160</v>
      </c>
      <c r="E504" s="1" t="s">
        <v>3161</v>
      </c>
      <c r="F504" s="1" t="s">
        <v>400</v>
      </c>
      <c r="G504" s="1" t="s">
        <v>3122</v>
      </c>
      <c r="H504" s="1">
        <v>2010.0</v>
      </c>
      <c r="I504" s="1" t="s">
        <v>97</v>
      </c>
      <c r="J504" s="1" t="s">
        <v>106</v>
      </c>
      <c r="K504" s="1" t="s">
        <v>679</v>
      </c>
      <c r="L504" s="1" t="s">
        <v>3162</v>
      </c>
      <c r="M504" s="2" t="s">
        <v>12</v>
      </c>
      <c r="N504" s="4">
        <f t="shared" si="1"/>
        <v>44384</v>
      </c>
      <c r="O504" s="5" t="str">
        <f>IFERROR(__xludf.DUMMYFUNCTION("IF(REGEXMATCH(TRIM(I504), ""^\d+\s*min""), ""Unclassified"", IF(I504 = """", ""NR"", I504))"),"TV-14")</f>
        <v>TV-14</v>
      </c>
      <c r="R504" s="5" t="str">
        <f t="shared" si="2"/>
        <v>Tango With Me</v>
      </c>
      <c r="S504" s="5" t="str">
        <f>IFERROR(__xludf.DUMMYFUNCTION("""COMPUTED_VALUE"""),"American Horror Story")</f>
        <v>American Horror Story</v>
      </c>
      <c r="T504" s="5" t="str">
        <f>IFERROR(__xludf.DUMMYFUNCTION("""COMPUTED_VALUE"""),"United Arab Emirates, United States")</f>
        <v>United Arab Emirates, United States</v>
      </c>
      <c r="U504" s="5" t="str">
        <f>IFERROR(__xludf.DUMMYFUNCTION("""COMPUTED_VALUE"""),"Robert Rodriguez")</f>
        <v>Robert Rodriguez</v>
      </c>
      <c r="V504" s="5" t="s">
        <v>3163</v>
      </c>
      <c r="W504" s="5" t="str">
        <f t="shared" si="3"/>
        <v>Ben Patterson</v>
      </c>
      <c r="X504" s="5">
        <f t="shared" si="4"/>
        <v>1</v>
      </c>
      <c r="Y504" s="5" t="str">
        <f>IFERROR(__xludf.DUMMYFUNCTION("REGEXEXTRACT(J504, ""^\d+"")"),"104")</f>
        <v>104</v>
      </c>
      <c r="Z504" s="5" t="str">
        <f>IFERROR(__xludf.DUMMYFUNCTION("REGEXEXTRACT(J504, ""[A-Za-z ]+$"")")," min")</f>
        <v> min</v>
      </c>
      <c r="AA504" s="5" t="str">
        <f>IFERROR(__xludf.DUMMYFUNCTION("IF(REGEXMATCH(Z504, ""Season""), ""TV Show"", ""Movie"")"),"Movie")</f>
        <v>Movie</v>
      </c>
    </row>
    <row r="505">
      <c r="A505" s="1" t="s">
        <v>3164</v>
      </c>
      <c r="B505" s="1" t="s">
        <v>37</v>
      </c>
      <c r="C505" s="1" t="s">
        <v>3165</v>
      </c>
      <c r="D505" s="1" t="s">
        <v>3166</v>
      </c>
      <c r="E505" s="1" t="s">
        <v>3167</v>
      </c>
      <c r="F505" s="1" t="s">
        <v>2446</v>
      </c>
      <c r="G505" s="1" t="s">
        <v>3122</v>
      </c>
      <c r="H505" s="1">
        <v>2021.0</v>
      </c>
      <c r="I505" s="1" t="s">
        <v>42</v>
      </c>
      <c r="J505" s="1" t="s">
        <v>43</v>
      </c>
      <c r="K505" s="1" t="s">
        <v>1362</v>
      </c>
      <c r="L505" s="1" t="s">
        <v>3168</v>
      </c>
      <c r="M505" s="2" t="s">
        <v>12</v>
      </c>
      <c r="N505" s="4">
        <f t="shared" si="1"/>
        <v>44384</v>
      </c>
      <c r="O505" s="5" t="str">
        <f>IFERROR(__xludf.DUMMYFUNCTION("IF(REGEXMATCH(TRIM(I505), ""^\d+\s*min""), ""Unclassified"", IF(I505 = """", ""NR"", I505))"),"TV-MA")</f>
        <v>TV-MA</v>
      </c>
      <c r="R505" s="5" t="str">
        <f t="shared" si="2"/>
        <v>The Mire</v>
      </c>
      <c r="S505" s="5" t="str">
        <f>IFERROR(__xludf.DUMMYFUNCTION("""COMPUTED_VALUE"""),"American Masters: Inventing David Geffen")</f>
        <v>American Masters: Inventing David Geffen</v>
      </c>
      <c r="T505" s="5" t="str">
        <f>IFERROR(__xludf.DUMMYFUNCTION("""COMPUTED_VALUE"""),"United Arab Emirates, United States, United Kingdom")</f>
        <v>United Arab Emirates, United States, United Kingdom</v>
      </c>
      <c r="U505" s="5" t="str">
        <f>IFERROR(__xludf.DUMMYFUNCTION("""COMPUTED_VALUE"""),"David Ayer")</f>
        <v>David Ayer</v>
      </c>
      <c r="V505" s="5" t="s">
        <v>3169</v>
      </c>
      <c r="W505" s="5" t="str">
        <f t="shared" si="3"/>
        <v>Ben Ryder</v>
      </c>
      <c r="X505" s="5">
        <f t="shared" si="4"/>
        <v>1</v>
      </c>
      <c r="Y505" s="5" t="str">
        <f>IFERROR(__xludf.DUMMYFUNCTION("REGEXEXTRACT(J505, ""^\d+"")"),"2")</f>
        <v>2</v>
      </c>
      <c r="Z505" s="5" t="str">
        <f>IFERROR(__xludf.DUMMYFUNCTION("REGEXEXTRACT(J505, ""[A-Za-z ]+$"")")," Seasons")</f>
        <v> Seasons</v>
      </c>
      <c r="AA505" s="5" t="str">
        <f>IFERROR(__xludf.DUMMYFUNCTION("IF(REGEXMATCH(Z505, ""Season""), ""TV Show"", ""Movie"")"),"TV Show")</f>
        <v>TV Show</v>
      </c>
    </row>
    <row r="506">
      <c r="A506" s="1" t="s">
        <v>3170</v>
      </c>
      <c r="B506" s="1" t="s">
        <v>37</v>
      </c>
      <c r="C506" s="1" t="s">
        <v>3171</v>
      </c>
      <c r="E506" s="1" t="s">
        <v>3172</v>
      </c>
      <c r="G506" s="1" t="s">
        <v>3122</v>
      </c>
      <c r="H506" s="1">
        <v>2021.0</v>
      </c>
      <c r="I506" s="1" t="s">
        <v>42</v>
      </c>
      <c r="J506" s="1" t="s">
        <v>51</v>
      </c>
      <c r="K506" s="1" t="s">
        <v>1627</v>
      </c>
      <c r="L506" s="1" t="s">
        <v>3173</v>
      </c>
      <c r="M506" s="2" t="s">
        <v>12</v>
      </c>
      <c r="N506" s="4">
        <f t="shared" si="1"/>
        <v>44384</v>
      </c>
      <c r="O506" s="5" t="str">
        <f>IFERROR(__xludf.DUMMYFUNCTION("IF(REGEXMATCH(TRIM(I506), ""^\d+\s*min""), ""Unclassified"", IF(I506 = """", ""NR"", I506))"),"TV-MA")</f>
        <v>TV-MA</v>
      </c>
      <c r="R506" s="5" t="str">
        <f t="shared" si="2"/>
        <v>The War Next-Door</v>
      </c>
      <c r="S506" s="5" t="str">
        <f>IFERROR(__xludf.DUMMYFUNCTION("""COMPUTED_VALUE"""),"American Masters: Ted Williams")</f>
        <v>American Masters: Ted Williams</v>
      </c>
      <c r="T506" s="5" t="str">
        <f>IFERROR(__xludf.DUMMYFUNCTION("""COMPUTED_VALUE"""),"United Kingdom")</f>
        <v>United Kingdom</v>
      </c>
      <c r="U506" s="5" t="str">
        <f>IFERROR(__xludf.DUMMYFUNCTION("""COMPUTED_VALUE"""),"Eshom Nelms, Ian Nelms")</f>
        <v>Eshom Nelms, Ian Nelms</v>
      </c>
      <c r="V506" s="5" t="s">
        <v>3174</v>
      </c>
      <c r="W506" s="5" t="str">
        <f t="shared" si="3"/>
        <v>Ben Shelton</v>
      </c>
      <c r="X506" s="5">
        <f t="shared" si="4"/>
        <v>1</v>
      </c>
      <c r="Y506" s="5" t="str">
        <f>IFERROR(__xludf.DUMMYFUNCTION("REGEXEXTRACT(J506, ""^\d+"")"),"1")</f>
        <v>1</v>
      </c>
      <c r="Z506" s="5" t="str">
        <f>IFERROR(__xludf.DUMMYFUNCTION("REGEXEXTRACT(J506, ""[A-Za-z ]+$"")")," Season")</f>
        <v> Season</v>
      </c>
      <c r="AA506" s="5" t="str">
        <f>IFERROR(__xludf.DUMMYFUNCTION("IF(REGEXMATCH(Z506, ""Season""), ""TV Show"", ""Movie"")"),"TV Show")</f>
        <v>TV Show</v>
      </c>
    </row>
    <row r="507">
      <c r="A507" s="1" t="s">
        <v>3175</v>
      </c>
      <c r="B507" s="1" t="s">
        <v>27</v>
      </c>
      <c r="C507" s="1" t="s">
        <v>3176</v>
      </c>
      <c r="D507" s="1" t="s">
        <v>2429</v>
      </c>
      <c r="E507" s="1" t="s">
        <v>3177</v>
      </c>
      <c r="G507" s="1" t="s">
        <v>3122</v>
      </c>
      <c r="H507" s="1">
        <v>2020.0</v>
      </c>
      <c r="I507" s="1" t="s">
        <v>136</v>
      </c>
      <c r="J507" s="1" t="s">
        <v>471</v>
      </c>
      <c r="K507" s="1" t="s">
        <v>128</v>
      </c>
      <c r="L507" s="1" t="s">
        <v>3178</v>
      </c>
      <c r="M507" s="2" t="s">
        <v>12</v>
      </c>
      <c r="N507" s="4">
        <f t="shared" si="1"/>
        <v>44384</v>
      </c>
      <c r="O507" s="5" t="str">
        <f>IFERROR(__xludf.DUMMYFUNCTION("IF(REGEXMATCH(TRIM(I507), ""^\d+\s*min""), ""Unclassified"", IF(I507 = """", ""NR"", I507))"),"TV-PG")</f>
        <v>TV-PG</v>
      </c>
      <c r="R507" s="5" t="str">
        <f t="shared" si="2"/>
        <v>Therapy</v>
      </c>
      <c r="S507" s="5" t="str">
        <f>IFERROR(__xludf.DUMMYFUNCTION("""COMPUTED_VALUE"""),"American Me")</f>
        <v>American Me</v>
      </c>
      <c r="T507" s="5" t="str">
        <f>IFERROR(__xludf.DUMMYFUNCTION("""COMPUTED_VALUE"""),"United Kingdom,")</f>
        <v>United Kingdom,</v>
      </c>
      <c r="U507" s="5" t="str">
        <f>IFERROR(__xludf.DUMMYFUNCTION("""COMPUTED_VALUE"""),"James Moll")</f>
        <v>James Moll</v>
      </c>
      <c r="V507" s="5" t="s">
        <v>560</v>
      </c>
      <c r="W507" s="5" t="str">
        <f t="shared" si="3"/>
        <v>Ben Simms</v>
      </c>
      <c r="X507" s="5">
        <f t="shared" si="4"/>
        <v>2</v>
      </c>
      <c r="Y507" s="5" t="str">
        <f>IFERROR(__xludf.DUMMYFUNCTION("REGEXEXTRACT(J507, ""^\d+"")"),"85")</f>
        <v>85</v>
      </c>
      <c r="Z507" s="5" t="str">
        <f>IFERROR(__xludf.DUMMYFUNCTION("REGEXEXTRACT(J507, ""[A-Za-z ]+$"")")," min")</f>
        <v> min</v>
      </c>
      <c r="AA507" s="5" t="str">
        <f>IFERROR(__xludf.DUMMYFUNCTION("IF(REGEXMATCH(Z507, ""Season""), ""TV Show"", ""Movie"")"),"Movie")</f>
        <v>Movie</v>
      </c>
    </row>
    <row r="508">
      <c r="A508" s="1" t="s">
        <v>3179</v>
      </c>
      <c r="B508" s="1" t="s">
        <v>27</v>
      </c>
      <c r="C508" s="1" t="s">
        <v>3180</v>
      </c>
      <c r="D508" s="1" t="s">
        <v>3181</v>
      </c>
      <c r="E508" s="1" t="s">
        <v>3182</v>
      </c>
      <c r="F508" s="1" t="s">
        <v>221</v>
      </c>
      <c r="G508" s="1" t="s">
        <v>3122</v>
      </c>
      <c r="H508" s="1">
        <v>2021.0</v>
      </c>
      <c r="I508" s="1" t="s">
        <v>506</v>
      </c>
      <c r="J508" s="1" t="s">
        <v>665</v>
      </c>
      <c r="K508" s="1" t="s">
        <v>3183</v>
      </c>
      <c r="L508" s="1" t="s">
        <v>3184</v>
      </c>
      <c r="M508" s="2" t="s">
        <v>12</v>
      </c>
      <c r="N508" s="4">
        <f t="shared" si="1"/>
        <v>44384</v>
      </c>
      <c r="O508" s="5" t="str">
        <f>IFERROR(__xludf.DUMMYFUNCTION("IF(REGEXMATCH(TRIM(I508), ""^\d+\s*min""), ""Unclassified"", IF(I508 = """", ""NR"", I508))"),"TV-G")</f>
        <v>TV-G</v>
      </c>
      <c r="R508" s="5" t="str">
        <f t="shared" si="2"/>
        <v>This Little Love Of Mine</v>
      </c>
      <c r="S508" s="5" t="str">
        <f>IFERROR(__xludf.DUMMYFUNCTION("""COMPUTED_VALUE"""),"American Murder: The Family Next Door")</f>
        <v>American Murder: The Family Next Door</v>
      </c>
      <c r="T508" s="5" t="str">
        <f>IFERROR(__xludf.DUMMYFUNCTION("""COMPUTED_VALUE"""),"United Kingdom, Australia")</f>
        <v>United Kingdom, Australia</v>
      </c>
      <c r="U508" s="5" t="str">
        <f>IFERROR(__xludf.DUMMYFUNCTION("""COMPUTED_VALUE"""),"James Redford")</f>
        <v>James Redford</v>
      </c>
      <c r="V508" s="5" t="s">
        <v>3185</v>
      </c>
      <c r="W508" s="5" t="str">
        <f t="shared" si="3"/>
        <v>Ben Steele</v>
      </c>
      <c r="X508" s="5">
        <f t="shared" si="4"/>
        <v>1</v>
      </c>
      <c r="Y508" s="5" t="str">
        <f>IFERROR(__xludf.DUMMYFUNCTION("REGEXEXTRACT(J508, ""^\d+"")"),"92")</f>
        <v>92</v>
      </c>
      <c r="Z508" s="5" t="str">
        <f>IFERROR(__xludf.DUMMYFUNCTION("REGEXEXTRACT(J508, ""[A-Za-z ]+$"")")," min")</f>
        <v> min</v>
      </c>
      <c r="AA508" s="5" t="str">
        <f>IFERROR(__xludf.DUMMYFUNCTION("IF(REGEXMATCH(Z508, ""Season""), ""TV Show"", ""Movie"")"),"Movie")</f>
        <v>Movie</v>
      </c>
    </row>
    <row r="509">
      <c r="A509" s="1" t="s">
        <v>3186</v>
      </c>
      <c r="B509" s="1" t="s">
        <v>27</v>
      </c>
      <c r="C509" s="1" t="s">
        <v>3187</v>
      </c>
      <c r="D509" s="1" t="s">
        <v>3188</v>
      </c>
      <c r="E509" s="1" t="s">
        <v>3189</v>
      </c>
      <c r="G509" s="1" t="s">
        <v>3122</v>
      </c>
      <c r="H509" s="1">
        <v>2019.0</v>
      </c>
      <c r="I509" s="1" t="s">
        <v>97</v>
      </c>
      <c r="J509" s="1" t="s">
        <v>912</v>
      </c>
      <c r="K509" s="1" t="s">
        <v>199</v>
      </c>
      <c r="L509" s="1" t="s">
        <v>3190</v>
      </c>
      <c r="M509" s="2" t="s">
        <v>12</v>
      </c>
      <c r="N509" s="4">
        <f t="shared" si="1"/>
        <v>44384</v>
      </c>
      <c r="O509" s="5" t="str">
        <f>IFERROR(__xludf.DUMMYFUNCTION("IF(REGEXMATCH(TRIM(I509), ""^\d+\s*min""), ""Unclassified"", IF(I509 = """", ""NR"", I509))"),"TV-14")</f>
        <v>TV-14</v>
      </c>
      <c r="R509" s="5" t="str">
        <f t="shared" si="2"/>
        <v>Three Thieves</v>
      </c>
      <c r="S509" s="5" t="str">
        <f>IFERROR(__xludf.DUMMYFUNCTION("""COMPUTED_VALUE"""),"American Odyssey")</f>
        <v>American Odyssey</v>
      </c>
      <c r="T509" s="5" t="str">
        <f>IFERROR(__xludf.DUMMYFUNCTION("""COMPUTED_VALUE"""),"United Kingdom, Australia, Canada, United States")</f>
        <v>United Kingdom, Australia, Canada, United States</v>
      </c>
      <c r="U509" s="5" t="str">
        <f>IFERROR(__xludf.DUMMYFUNCTION("""COMPUTED_VALUE"""),"Kaashvie Nair")</f>
        <v>Kaashvie Nair</v>
      </c>
      <c r="V509" s="5" t="s">
        <v>3191</v>
      </c>
      <c r="W509" s="5" t="str">
        <f t="shared" si="3"/>
        <v>Ben Wallis</v>
      </c>
      <c r="X509" s="5">
        <f t="shared" si="4"/>
        <v>2</v>
      </c>
      <c r="Y509" s="5" t="str">
        <f>IFERROR(__xludf.DUMMYFUNCTION("REGEXEXTRACT(J509, ""^\d+"")"),"108")</f>
        <v>108</v>
      </c>
      <c r="Z509" s="5" t="str">
        <f>IFERROR(__xludf.DUMMYFUNCTION("REGEXEXTRACT(J509, ""[A-Za-z ]+$"")")," min")</f>
        <v> min</v>
      </c>
      <c r="AA509" s="5" t="str">
        <f>IFERROR(__xludf.DUMMYFUNCTION("IF(REGEXMATCH(Z509, ""Season""), ""TV Show"", ""Movie"")"),"Movie")</f>
        <v>Movie</v>
      </c>
    </row>
    <row r="510">
      <c r="A510" s="1" t="s">
        <v>3192</v>
      </c>
      <c r="B510" s="1" t="s">
        <v>27</v>
      </c>
      <c r="C510" s="1" t="s">
        <v>3193</v>
      </c>
      <c r="D510" s="1" t="s">
        <v>3194</v>
      </c>
      <c r="E510" s="1" t="s">
        <v>3195</v>
      </c>
      <c r="F510" s="1" t="s">
        <v>3196</v>
      </c>
      <c r="G510" s="1" t="s">
        <v>3197</v>
      </c>
      <c r="H510" s="1">
        <v>2019.0</v>
      </c>
      <c r="I510" s="1" t="s">
        <v>42</v>
      </c>
      <c r="J510" s="1" t="s">
        <v>465</v>
      </c>
      <c r="K510" s="1" t="s">
        <v>128</v>
      </c>
      <c r="L510" s="1" t="s">
        <v>3198</v>
      </c>
      <c r="M510" s="2" t="s">
        <v>12</v>
      </c>
      <c r="N510" s="4">
        <f t="shared" si="1"/>
        <v>44383</v>
      </c>
      <c r="O510" s="5" t="str">
        <f>IFERROR(__xludf.DUMMYFUNCTION("IF(REGEXMATCH(TRIM(I510), ""^\d+\s*min""), ""Unclassified"", IF(I510 = """", ""NR"", I510))"),"TV-MA")</f>
        <v>TV-MA</v>
      </c>
      <c r="R510" s="5" t="str">
        <f t="shared" si="2"/>
        <v>A Land Imagined</v>
      </c>
      <c r="S510" s="5" t="str">
        <f>IFERROR(__xludf.DUMMYFUNCTION("""COMPUTED_VALUE"""),"American Outlaws")</f>
        <v>American Outlaws</v>
      </c>
      <c r="T510" s="5" t="str">
        <f>IFERROR(__xludf.DUMMYFUNCTION("""COMPUTED_VALUE"""),"United Kingdom, Australia, France")</f>
        <v>United Kingdom, Australia, France</v>
      </c>
      <c r="U510" s="5" t="str">
        <f>IFERROR(__xludf.DUMMYFUNCTION("""COMPUTED_VALUE"""),"J.D. Dillard")</f>
        <v>J.D. Dillard</v>
      </c>
      <c r="V510" s="5" t="s">
        <v>3199</v>
      </c>
      <c r="W510" s="5" t="str">
        <f t="shared" si="3"/>
        <v>Ben Wheatley</v>
      </c>
      <c r="X510" s="5">
        <f t="shared" si="4"/>
        <v>2</v>
      </c>
      <c r="Y510" s="5" t="str">
        <f>IFERROR(__xludf.DUMMYFUNCTION("REGEXEXTRACT(J510, ""^\d+"")"),"95")</f>
        <v>95</v>
      </c>
      <c r="Z510" s="5" t="str">
        <f>IFERROR(__xludf.DUMMYFUNCTION("REGEXEXTRACT(J510, ""[A-Za-z ]+$"")")," min")</f>
        <v> min</v>
      </c>
      <c r="AA510" s="5" t="str">
        <f>IFERROR(__xludf.DUMMYFUNCTION("IF(REGEXMATCH(Z510, ""Season""), ""TV Show"", ""Movie"")"),"Movie")</f>
        <v>Movie</v>
      </c>
    </row>
    <row r="511">
      <c r="A511" s="1" t="s">
        <v>3200</v>
      </c>
      <c r="B511" s="1" t="s">
        <v>37</v>
      </c>
      <c r="C511" s="1" t="s">
        <v>3201</v>
      </c>
      <c r="E511" s="1" t="s">
        <v>3202</v>
      </c>
      <c r="F511" s="1" t="s">
        <v>30</v>
      </c>
      <c r="G511" s="1" t="s">
        <v>3197</v>
      </c>
      <c r="H511" s="1">
        <v>2019.0</v>
      </c>
      <c r="I511" s="1" t="s">
        <v>206</v>
      </c>
      <c r="J511" s="1" t="s">
        <v>276</v>
      </c>
      <c r="K511" s="1" t="s">
        <v>290</v>
      </c>
      <c r="L511" s="1" t="s">
        <v>3203</v>
      </c>
      <c r="M511" s="2" t="s">
        <v>12</v>
      </c>
      <c r="N511" s="4">
        <f t="shared" si="1"/>
        <v>44383</v>
      </c>
      <c r="O511" s="5" t="str">
        <f>IFERROR(__xludf.DUMMYFUNCTION("IF(REGEXMATCH(TRIM(I511), ""^\d+\s*min""), ""Unclassified"", IF(I511 = """", ""NR"", I511))"),"TV-Y")</f>
        <v>TV-Y</v>
      </c>
      <c r="R511" s="5" t="str">
        <f t="shared" si="2"/>
        <v>Ask The Storybots</v>
      </c>
      <c r="S511" s="5" t="str">
        <f>IFERROR(__xludf.DUMMYFUNCTION("""COMPUTED_VALUE"""),"American Pie 9: Girls' Rules")</f>
        <v>American Pie 9: Girls' Rules</v>
      </c>
      <c r="T511" s="5" t="str">
        <f>IFERROR(__xludf.DUMMYFUNCTION("""COMPUTED_VALUE"""),"United Kingdom, Australia, France, United States")</f>
        <v>United Kingdom, Australia, France, United States</v>
      </c>
      <c r="U511" s="5" t="str">
        <f>IFERROR(__xludf.DUMMYFUNCTION("""COMPUTED_VALUE"""),"Nikhil Pherwani")</f>
        <v>Nikhil Pherwani</v>
      </c>
      <c r="V511" s="5" t="s">
        <v>3204</v>
      </c>
      <c r="W511" s="5" t="str">
        <f t="shared" si="3"/>
        <v>Ben Young</v>
      </c>
      <c r="X511" s="5">
        <f t="shared" si="4"/>
        <v>1</v>
      </c>
      <c r="Y511" s="5" t="str">
        <f>IFERROR(__xludf.DUMMYFUNCTION("REGEXEXTRACT(J511, ""^\d+"")"),"3")</f>
        <v>3</v>
      </c>
      <c r="Z511" s="5" t="str">
        <f>IFERROR(__xludf.DUMMYFUNCTION("REGEXEXTRACT(J511, ""[A-Za-z ]+$"")")," Seasons")</f>
        <v> Seasons</v>
      </c>
      <c r="AA511" s="5" t="str">
        <f>IFERROR(__xludf.DUMMYFUNCTION("IF(REGEXMATCH(Z511, ""Season""), ""TV Show"", ""Movie"")"),"TV Show")</f>
        <v>TV Show</v>
      </c>
    </row>
    <row r="512">
      <c r="A512" s="1" t="s">
        <v>3205</v>
      </c>
      <c r="B512" s="1" t="s">
        <v>37</v>
      </c>
      <c r="C512" s="1" t="s">
        <v>3206</v>
      </c>
      <c r="E512" s="1" t="s">
        <v>3207</v>
      </c>
      <c r="F512" s="1" t="s">
        <v>1106</v>
      </c>
      <c r="G512" s="1" t="s">
        <v>3197</v>
      </c>
      <c r="H512" s="1">
        <v>2016.0</v>
      </c>
      <c r="I512" s="1" t="s">
        <v>97</v>
      </c>
      <c r="J512" s="1" t="s">
        <v>43</v>
      </c>
      <c r="K512" s="1" t="s">
        <v>44</v>
      </c>
      <c r="L512" s="1" t="s">
        <v>3208</v>
      </c>
      <c r="M512" s="2" t="s">
        <v>12</v>
      </c>
      <c r="N512" s="4">
        <f t="shared" si="1"/>
        <v>44383</v>
      </c>
      <c r="O512" s="5" t="str">
        <f>IFERROR(__xludf.DUMMYFUNCTION("IF(REGEXMATCH(TRIM(I512), ""^\d+\s*min""), ""Unclassified"", IF(I512 = """", ""NR"", I512))"),"TV-14")</f>
        <v>TV-14</v>
      </c>
      <c r="R512" s="5" t="str">
        <f t="shared" si="2"/>
        <v>Between</v>
      </c>
      <c r="S512" s="5" t="str">
        <f>IFERROR(__xludf.DUMMYFUNCTION("""COMPUTED_VALUE"""),"American Psycho")</f>
        <v>American Psycho</v>
      </c>
      <c r="T512" s="5" t="str">
        <f>IFERROR(__xludf.DUMMYFUNCTION("""COMPUTED_VALUE"""),"United Kingdom, Australia, United States")</f>
        <v>United Kingdom, Australia, United States</v>
      </c>
      <c r="U512" s="5" t="str">
        <f>IFERROR(__xludf.DUMMYFUNCTION("""COMPUTED_VALUE"""),"Mae Czarina Cruz")</f>
        <v>Mae Czarina Cruz</v>
      </c>
      <c r="V512" s="5" t="s">
        <v>3209</v>
      </c>
      <c r="W512" s="5" t="str">
        <f t="shared" si="3"/>
        <v>Ben Younger</v>
      </c>
      <c r="X512" s="5">
        <f t="shared" si="4"/>
        <v>1</v>
      </c>
      <c r="Y512" s="5" t="str">
        <f>IFERROR(__xludf.DUMMYFUNCTION("REGEXEXTRACT(J512, ""^\d+"")"),"2")</f>
        <v>2</v>
      </c>
      <c r="Z512" s="5" t="str">
        <f>IFERROR(__xludf.DUMMYFUNCTION("REGEXEXTRACT(J512, ""[A-Za-z ]+$"")")," Seasons")</f>
        <v> Seasons</v>
      </c>
      <c r="AA512" s="5" t="str">
        <f>IFERROR(__xludf.DUMMYFUNCTION("IF(REGEXMATCH(Z512, ""Season""), ""TV Show"", ""Movie"")"),"TV Show")</f>
        <v>TV Show</v>
      </c>
    </row>
    <row r="513">
      <c r="A513" s="1" t="s">
        <v>3210</v>
      </c>
      <c r="B513" s="1" t="s">
        <v>37</v>
      </c>
      <c r="C513" s="1" t="s">
        <v>3211</v>
      </c>
      <c r="F513" s="1" t="s">
        <v>30</v>
      </c>
      <c r="G513" s="1" t="s">
        <v>3197</v>
      </c>
      <c r="H513" s="1">
        <v>2017.0</v>
      </c>
      <c r="I513" s="1" t="s">
        <v>42</v>
      </c>
      <c r="J513" s="1" t="s">
        <v>43</v>
      </c>
      <c r="K513" s="1" t="s">
        <v>2512</v>
      </c>
      <c r="L513" s="1" t="s">
        <v>3212</v>
      </c>
      <c r="M513" s="2" t="s">
        <v>12</v>
      </c>
      <c r="N513" s="4">
        <f t="shared" si="1"/>
        <v>44383</v>
      </c>
      <c r="O513" s="5" t="str">
        <f>IFERROR(__xludf.DUMMYFUNCTION("IF(REGEXMATCH(TRIM(I513), ""^\d+\s*min""), ""Unclassified"", IF(I513 = """", ""NR"", I513))"),"TV-MA")</f>
        <v>TV-MA</v>
      </c>
      <c r="R513" s="5" t="str">
        <f t="shared" si="2"/>
        <v>Chelsea</v>
      </c>
      <c r="S513" s="5" t="str">
        <f>IFERROR(__xludf.DUMMYFUNCTION("""COMPUTED_VALUE"""),"American Son")</f>
        <v>American Son</v>
      </c>
      <c r="T513" s="5" t="str">
        <f>IFERROR(__xludf.DUMMYFUNCTION("""COMPUTED_VALUE"""),"United Kingdom, Belgium")</f>
        <v>United Kingdom, Belgium</v>
      </c>
      <c r="U513" s="5" t="str">
        <f>IFERROR(__xludf.DUMMYFUNCTION("""COMPUTED_VALUE"""),"Praveen Kandregula")</f>
        <v>Praveen Kandregula</v>
      </c>
      <c r="V513" s="5" t="s">
        <v>3213</v>
      </c>
      <c r="W513" s="5" t="str">
        <f t="shared" si="3"/>
        <v>Benedict Andrews</v>
      </c>
      <c r="X513" s="5">
        <f t="shared" si="4"/>
        <v>1</v>
      </c>
      <c r="Y513" s="5" t="str">
        <f>IFERROR(__xludf.DUMMYFUNCTION("REGEXEXTRACT(J513, ""^\d+"")"),"2")</f>
        <v>2</v>
      </c>
      <c r="Z513" s="5" t="str">
        <f>IFERROR(__xludf.DUMMYFUNCTION("REGEXEXTRACT(J513, ""[A-Za-z ]+$"")")," Seasons")</f>
        <v> Seasons</v>
      </c>
      <c r="AA513" s="5" t="str">
        <f>IFERROR(__xludf.DUMMYFUNCTION("IF(REGEXMATCH(Z513, ""Season""), ""TV Show"", ""Movie"")"),"TV Show")</f>
        <v>TV Show</v>
      </c>
    </row>
    <row r="514">
      <c r="A514" s="1" t="s">
        <v>3214</v>
      </c>
      <c r="B514" s="1" t="s">
        <v>37</v>
      </c>
      <c r="C514" s="1" t="s">
        <v>3215</v>
      </c>
      <c r="E514" s="1" t="s">
        <v>3216</v>
      </c>
      <c r="F514" s="1" t="s">
        <v>3217</v>
      </c>
      <c r="G514" s="1" t="s">
        <v>3197</v>
      </c>
      <c r="H514" s="1">
        <v>2007.0</v>
      </c>
      <c r="I514" s="1" t="s">
        <v>289</v>
      </c>
      <c r="J514" s="1" t="s">
        <v>148</v>
      </c>
      <c r="K514" s="1" t="s">
        <v>290</v>
      </c>
      <c r="L514" s="1" t="s">
        <v>3218</v>
      </c>
      <c r="M514" s="2" t="s">
        <v>12</v>
      </c>
      <c r="N514" s="4">
        <f t="shared" si="1"/>
        <v>44383</v>
      </c>
      <c r="O514" s="5" t="str">
        <f>IFERROR(__xludf.DUMMYFUNCTION("IF(REGEXMATCH(TRIM(I514), ""^\d+\s*min""), ""Unclassified"", IF(I514 = """", ""NR"", I514))"),"TV-Y7")</f>
        <v>TV-Y7</v>
      </c>
      <c r="R514" s="5" t="str">
        <f t="shared" si="2"/>
        <v>Code Lyoko</v>
      </c>
      <c r="S514" s="5" t="str">
        <f>IFERROR(__xludf.DUMMYFUNCTION("""COMPUTED_VALUE"""),"American Ultra")</f>
        <v>American Ultra</v>
      </c>
      <c r="T514" s="5" t="str">
        <f>IFERROR(__xludf.DUMMYFUNCTION("""COMPUTED_VALUE"""),"United Kingdom, Belgium, Sweden")</f>
        <v>United Kingdom, Belgium, Sweden</v>
      </c>
      <c r="U514" s="5" t="str">
        <f>IFERROR(__xludf.DUMMYFUNCTION("""COMPUTED_VALUE"""),"Cecilia Verheyden")</f>
        <v>Cecilia Verheyden</v>
      </c>
      <c r="V514" s="5" t="s">
        <v>3219</v>
      </c>
      <c r="W514" s="5" t="str">
        <f t="shared" si="3"/>
        <v>Benjamin Arfmann</v>
      </c>
      <c r="X514" s="5">
        <f t="shared" si="4"/>
        <v>1</v>
      </c>
      <c r="Y514" s="5" t="str">
        <f>IFERROR(__xludf.DUMMYFUNCTION("REGEXEXTRACT(J514, ""^\d+"")"),"4")</f>
        <v>4</v>
      </c>
      <c r="Z514" s="5" t="str">
        <f>IFERROR(__xludf.DUMMYFUNCTION("REGEXEXTRACT(J514, ""[A-Za-z ]+$"")")," Seasons")</f>
        <v> Seasons</v>
      </c>
      <c r="AA514" s="5" t="str">
        <f>IFERROR(__xludf.DUMMYFUNCTION("IF(REGEXMATCH(Z514, ""Season""), ""TV Show"", ""Movie"")"),"TV Show")</f>
        <v>TV Show</v>
      </c>
    </row>
    <row r="515">
      <c r="A515" s="1" t="s">
        <v>3220</v>
      </c>
      <c r="B515" s="1" t="s">
        <v>37</v>
      </c>
      <c r="C515" s="1" t="s">
        <v>3221</v>
      </c>
      <c r="E515" s="1" t="s">
        <v>3222</v>
      </c>
      <c r="F515" s="1" t="s">
        <v>30</v>
      </c>
      <c r="G515" s="1" t="s">
        <v>3197</v>
      </c>
      <c r="H515" s="1">
        <v>2018.0</v>
      </c>
      <c r="I515" s="1" t="s">
        <v>97</v>
      </c>
      <c r="J515" s="1" t="s">
        <v>276</v>
      </c>
      <c r="K515" s="1" t="s">
        <v>3223</v>
      </c>
      <c r="L515" s="1" t="s">
        <v>3224</v>
      </c>
      <c r="M515" s="2" t="s">
        <v>12</v>
      </c>
      <c r="N515" s="4">
        <f t="shared" si="1"/>
        <v>44383</v>
      </c>
      <c r="O515" s="5" t="str">
        <f>IFERROR(__xludf.DUMMYFUNCTION("IF(REGEXMATCH(TRIM(I515), ""^\d+\s*min""), ""Unclassified"", IF(I515 = """", ""NR"", I515))"),"TV-14")</f>
        <v>TV-14</v>
      </c>
      <c r="R515" s="5" t="str">
        <f t="shared" si="2"/>
        <v>Colony</v>
      </c>
      <c r="S515" s="5" t="str">
        <f>IFERROR(__xludf.DUMMYFUNCTION("""COMPUTED_VALUE"""),"American Vandal")</f>
        <v>American Vandal</v>
      </c>
      <c r="T515" s="5" t="str">
        <f>IFERROR(__xludf.DUMMYFUNCTION("""COMPUTED_VALUE"""),"United Kingdom, Brazil, Germany")</f>
        <v>United Kingdom, Brazil, Germany</v>
      </c>
      <c r="U515" s="5" t="str">
        <f>IFERROR(__xludf.DUMMYFUNCTION("""COMPUTED_VALUE"""),"Daniel Minahan")</f>
        <v>Daniel Minahan</v>
      </c>
      <c r="V515" s="5" t="s">
        <v>3225</v>
      </c>
      <c r="W515" s="5" t="str">
        <f t="shared" si="3"/>
        <v>Benjamin Cohen, Nicolas Cotto</v>
      </c>
      <c r="X515" s="5">
        <f t="shared" si="4"/>
        <v>1</v>
      </c>
      <c r="Y515" s="5" t="str">
        <f>IFERROR(__xludf.DUMMYFUNCTION("REGEXEXTRACT(J515, ""^\d+"")"),"3")</f>
        <v>3</v>
      </c>
      <c r="Z515" s="5" t="str">
        <f>IFERROR(__xludf.DUMMYFUNCTION("REGEXEXTRACT(J515, ""[A-Za-z ]+$"")")," Seasons")</f>
        <v> Seasons</v>
      </c>
      <c r="AA515" s="5" t="str">
        <f>IFERROR(__xludf.DUMMYFUNCTION("IF(REGEXMATCH(Z515, ""Season""), ""TV Show"", ""Movie"")"),"TV Show")</f>
        <v>TV Show</v>
      </c>
    </row>
    <row r="516">
      <c r="A516" s="1" t="s">
        <v>3226</v>
      </c>
      <c r="B516" s="1" t="s">
        <v>37</v>
      </c>
      <c r="C516" s="1" t="s">
        <v>3227</v>
      </c>
      <c r="E516" s="1" t="s">
        <v>3228</v>
      </c>
      <c r="F516" s="1" t="s">
        <v>96</v>
      </c>
      <c r="G516" s="1" t="s">
        <v>3197</v>
      </c>
      <c r="H516" s="1">
        <v>2019.0</v>
      </c>
      <c r="I516" s="1" t="s">
        <v>42</v>
      </c>
      <c r="J516" s="1" t="s">
        <v>189</v>
      </c>
      <c r="K516" s="1" t="s">
        <v>277</v>
      </c>
      <c r="L516" s="1" t="s">
        <v>3229</v>
      </c>
      <c r="M516" s="2" t="s">
        <v>12</v>
      </c>
      <c r="N516" s="4">
        <f t="shared" si="1"/>
        <v>44383</v>
      </c>
      <c r="O516" s="5" t="str">
        <f>IFERROR(__xludf.DUMMYFUNCTION("IF(REGEXMATCH(TRIM(I516), ""^\d+\s*min""), ""Unclassified"", IF(I516 = """", ""NR"", I516))"),"TV-MA")</f>
        <v>TV-MA</v>
      </c>
      <c r="R516" s="5" t="str">
        <f t="shared" si="2"/>
        <v>Cuckoo</v>
      </c>
      <c r="S516" s="5" t="str">
        <f>IFERROR(__xludf.DUMMYFUNCTION("""COMPUTED_VALUE"""),"American Warfighter")</f>
        <v>American Warfighter</v>
      </c>
      <c r="T516" s="5" t="str">
        <f>IFERROR(__xludf.DUMMYFUNCTION("""COMPUTED_VALUE"""),"United Kingdom, Canada")</f>
        <v>United Kingdom, Canada</v>
      </c>
      <c r="U516" s="5" t="str">
        <f>IFERROR(__xludf.DUMMYFUNCTION("""COMPUTED_VALUE"""),"Donovan Marsh")</f>
        <v>Donovan Marsh</v>
      </c>
      <c r="V516" s="5" t="s">
        <v>3230</v>
      </c>
      <c r="W516" s="5" t="str">
        <f t="shared" si="3"/>
        <v>Benjamin Dickinson</v>
      </c>
      <c r="X516" s="5">
        <f t="shared" si="4"/>
        <v>1</v>
      </c>
      <c r="Y516" s="5" t="str">
        <f>IFERROR(__xludf.DUMMYFUNCTION("REGEXEXTRACT(J516, ""^\d+"")"),"5")</f>
        <v>5</v>
      </c>
      <c r="Z516" s="5" t="str">
        <f>IFERROR(__xludf.DUMMYFUNCTION("REGEXEXTRACT(J516, ""[A-Za-z ]+$"")")," Seasons")</f>
        <v> Seasons</v>
      </c>
      <c r="AA516" s="5" t="str">
        <f>IFERROR(__xludf.DUMMYFUNCTION("IF(REGEXMATCH(Z516, ""Season""), ""TV Show"", ""Movie"")"),"TV Show")</f>
        <v>TV Show</v>
      </c>
    </row>
    <row r="517">
      <c r="A517" s="1" t="s">
        <v>3231</v>
      </c>
      <c r="B517" s="1" t="s">
        <v>37</v>
      </c>
      <c r="C517" s="1" t="s">
        <v>3232</v>
      </c>
      <c r="E517" s="1" t="s">
        <v>3233</v>
      </c>
      <c r="F517" s="1" t="s">
        <v>96</v>
      </c>
      <c r="G517" s="1" t="s">
        <v>3197</v>
      </c>
      <c r="H517" s="1">
        <v>2019.0</v>
      </c>
      <c r="I517" s="1" t="s">
        <v>42</v>
      </c>
      <c r="J517" s="1" t="s">
        <v>43</v>
      </c>
      <c r="K517" s="1" t="s">
        <v>277</v>
      </c>
      <c r="L517" s="1" t="s">
        <v>3234</v>
      </c>
      <c r="M517" s="2" t="s">
        <v>12</v>
      </c>
      <c r="N517" s="4">
        <f t="shared" si="1"/>
        <v>44383</v>
      </c>
      <c r="O517" s="5" t="str">
        <f>IFERROR(__xludf.DUMMYFUNCTION("IF(REGEXMATCH(TRIM(I517), ""^\d+\s*min""), ""Unclassified"", IF(I517 = """", ""NR"", I517))"),"TV-MA")</f>
        <v>TV-MA</v>
      </c>
      <c r="R517" s="5" t="str">
        <f t="shared" si="2"/>
        <v>Derry Girls</v>
      </c>
      <c r="S517" s="5" t="str">
        <f>IFERROR(__xludf.DUMMYFUNCTION("""COMPUTED_VALUE"""),"American Woman")</f>
        <v>American Woman</v>
      </c>
      <c r="T517" s="5" t="str">
        <f>IFERROR(__xludf.DUMMYFUNCTION("""COMPUTED_VALUE"""),"United Kingdom, Canada, France, United States")</f>
        <v>United Kingdom, Canada, France, United States</v>
      </c>
      <c r="U517" s="5" t="str">
        <f>IFERROR(__xludf.DUMMYFUNCTION("""COMPUTED_VALUE"""),"Brent Dawes")</f>
        <v>Brent Dawes</v>
      </c>
      <c r="V517" s="5" t="s">
        <v>3235</v>
      </c>
      <c r="W517" s="5" t="str">
        <f t="shared" si="3"/>
        <v>Benjamin Ree</v>
      </c>
      <c r="X517" s="5">
        <f t="shared" si="4"/>
        <v>1</v>
      </c>
      <c r="Y517" s="5" t="str">
        <f>IFERROR(__xludf.DUMMYFUNCTION("REGEXEXTRACT(J517, ""^\d+"")"),"2")</f>
        <v>2</v>
      </c>
      <c r="Z517" s="5" t="str">
        <f>IFERROR(__xludf.DUMMYFUNCTION("REGEXEXTRACT(J517, ""[A-Za-z ]+$"")")," Seasons")</f>
        <v> Seasons</v>
      </c>
      <c r="AA517" s="5" t="str">
        <f>IFERROR(__xludf.DUMMYFUNCTION("IF(REGEXMATCH(Z517, ""Season""), ""TV Show"", ""Movie"")"),"TV Show")</f>
        <v>TV Show</v>
      </c>
    </row>
    <row r="518">
      <c r="A518" s="1" t="s">
        <v>3236</v>
      </c>
      <c r="B518" s="1" t="s">
        <v>37</v>
      </c>
      <c r="C518" s="1" t="s">
        <v>3237</v>
      </c>
      <c r="E518" s="1" t="s">
        <v>3238</v>
      </c>
      <c r="F518" s="1" t="s">
        <v>2796</v>
      </c>
      <c r="G518" s="1" t="s">
        <v>3197</v>
      </c>
      <c r="H518" s="1">
        <v>2021.0</v>
      </c>
      <c r="I518" s="1" t="s">
        <v>42</v>
      </c>
      <c r="J518" s="1" t="s">
        <v>43</v>
      </c>
      <c r="K518" s="1" t="s">
        <v>44</v>
      </c>
      <c r="L518" s="1" t="s">
        <v>3239</v>
      </c>
      <c r="M518" s="2" t="s">
        <v>12</v>
      </c>
      <c r="N518" s="4">
        <f t="shared" si="1"/>
        <v>44383</v>
      </c>
      <c r="O518" s="5" t="str">
        <f>IFERROR(__xludf.DUMMYFUNCTION("IF(REGEXMATCH(TRIM(I518), ""^\d+\s*min""), ""Unclassified"", IF(I518 = """", ""NR"", I518))"),"TV-MA")</f>
        <v>TV-MA</v>
      </c>
      <c r="R518" s="5" t="str">
        <f t="shared" si="2"/>
        <v>Girl From Nowhere</v>
      </c>
      <c r="S518" s="5" t="str">
        <f>IFERROR(__xludf.DUMMYFUNCTION("""COMPUTED_VALUE"""),"Amit Tandon: Family Tandoncies")</f>
        <v>Amit Tandon: Family Tandoncies</v>
      </c>
      <c r="T518" s="5" t="str">
        <f>IFERROR(__xludf.DUMMYFUNCTION("""COMPUTED_VALUE"""),"United Kingdom, Canada, Italy")</f>
        <v>United Kingdom, Canada, Italy</v>
      </c>
      <c r="U518" s="5" t="str">
        <f>IFERROR(__xludf.DUMMYFUNCTION("""COMPUTED_VALUE"""),"Leli Maki")</f>
        <v>Leli Maki</v>
      </c>
      <c r="V518" s="5" t="s">
        <v>3240</v>
      </c>
      <c r="W518" s="5" t="str">
        <f t="shared" si="3"/>
        <v>Benjamin Ross</v>
      </c>
      <c r="X518" s="5">
        <f t="shared" si="4"/>
        <v>1</v>
      </c>
      <c r="Y518" s="5" t="str">
        <f>IFERROR(__xludf.DUMMYFUNCTION("REGEXEXTRACT(J518, ""^\d+"")"),"2")</f>
        <v>2</v>
      </c>
      <c r="Z518" s="5" t="str">
        <f>IFERROR(__xludf.DUMMYFUNCTION("REGEXEXTRACT(J518, ""[A-Za-z ]+$"")")," Seasons")</f>
        <v> Seasons</v>
      </c>
      <c r="AA518" s="5" t="str">
        <f>IFERROR(__xludf.DUMMYFUNCTION("IF(REGEXMATCH(Z518, ""Season""), ""TV Show"", ""Movie"")"),"TV Show")</f>
        <v>TV Show</v>
      </c>
    </row>
    <row r="519">
      <c r="A519" s="1" t="s">
        <v>3241</v>
      </c>
      <c r="B519" s="1" t="s">
        <v>37</v>
      </c>
      <c r="C519" s="1" t="s">
        <v>3242</v>
      </c>
      <c r="E519" s="1" t="s">
        <v>3243</v>
      </c>
      <c r="F519" s="1" t="s">
        <v>415</v>
      </c>
      <c r="G519" s="1" t="s">
        <v>3197</v>
      </c>
      <c r="H519" s="1">
        <v>2017.0</v>
      </c>
      <c r="I519" s="1" t="s">
        <v>97</v>
      </c>
      <c r="J519" s="1" t="s">
        <v>43</v>
      </c>
      <c r="K519" s="1" t="s">
        <v>64</v>
      </c>
      <c r="L519" s="1" t="s">
        <v>3244</v>
      </c>
      <c r="M519" s="2" t="s">
        <v>12</v>
      </c>
      <c r="N519" s="4">
        <f t="shared" si="1"/>
        <v>44383</v>
      </c>
      <c r="O519" s="5" t="str">
        <f>IFERROR(__xludf.DUMMYFUNCTION("IF(REGEXMATCH(TRIM(I519), ""^\d+\s*min""), ""Unclassified"", IF(I519 = """", ""NR"", I519))"),"TV-14")</f>
        <v>TV-14</v>
      </c>
      <c r="R519" s="5" t="str">
        <f t="shared" si="2"/>
        <v>Good Morning Call</v>
      </c>
      <c r="S519" s="5" t="str">
        <f>IFERROR(__xludf.DUMMYFUNCTION("""COMPUTED_VALUE"""),"Amo")</f>
        <v>Amo</v>
      </c>
      <c r="T519" s="5" t="str">
        <f>IFERROR(__xludf.DUMMYFUNCTION("""COMPUTED_VALUE"""),"United Kingdom, Canada, Japan")</f>
        <v>United Kingdom, Canada, Japan</v>
      </c>
      <c r="U519" s="5" t="str">
        <f>IFERROR(__xludf.DUMMYFUNCTION("""COMPUTED_VALUE"""),"Uzodinma Okpechi")</f>
        <v>Uzodinma Okpechi</v>
      </c>
      <c r="V519" s="5" t="s">
        <v>3245</v>
      </c>
      <c r="W519" s="5" t="str">
        <f t="shared" si="3"/>
        <v>Benjamin Turner</v>
      </c>
      <c r="X519" s="5">
        <f t="shared" si="4"/>
        <v>1</v>
      </c>
      <c r="Y519" s="5" t="str">
        <f>IFERROR(__xludf.DUMMYFUNCTION("REGEXEXTRACT(J519, ""^\d+"")"),"2")</f>
        <v>2</v>
      </c>
      <c r="Z519" s="5" t="str">
        <f>IFERROR(__xludf.DUMMYFUNCTION("REGEXEXTRACT(J519, ""[A-Za-z ]+$"")")," Seasons")</f>
        <v> Seasons</v>
      </c>
      <c r="AA519" s="5" t="str">
        <f>IFERROR(__xludf.DUMMYFUNCTION("IF(REGEXMATCH(Z519, ""Season""), ""TV Show"", ""Movie"")"),"TV Show")</f>
        <v>TV Show</v>
      </c>
    </row>
    <row r="520">
      <c r="A520" s="1" t="s">
        <v>3246</v>
      </c>
      <c r="B520" s="1" t="s">
        <v>27</v>
      </c>
      <c r="C520" s="1" t="s">
        <v>3247</v>
      </c>
      <c r="D520" s="1" t="s">
        <v>3248</v>
      </c>
      <c r="E520" s="1" t="s">
        <v>3249</v>
      </c>
      <c r="F520" s="1" t="s">
        <v>63</v>
      </c>
      <c r="G520" s="1" t="s">
        <v>3197</v>
      </c>
      <c r="H520" s="1">
        <v>2020.0</v>
      </c>
      <c r="I520" s="1" t="s">
        <v>97</v>
      </c>
      <c r="J520" s="1" t="s">
        <v>305</v>
      </c>
      <c r="K520" s="1" t="s">
        <v>128</v>
      </c>
      <c r="L520" s="1" t="s">
        <v>3250</v>
      </c>
      <c r="M520" s="2" t="s">
        <v>12</v>
      </c>
      <c r="N520" s="4">
        <f t="shared" si="1"/>
        <v>44383</v>
      </c>
      <c r="O520" s="5" t="str">
        <f>IFERROR(__xludf.DUMMYFUNCTION("IF(REGEXMATCH(TRIM(I520), ""^\d+\s*min""), ""Unclassified"", IF(I520 = """", ""NR"", I520))"),"TV-14")</f>
        <v>TV-14</v>
      </c>
      <c r="R520" s="5" t="str">
        <f t="shared" si="2"/>
        <v>Har Kisse Ke Hisse: Kaamyaab</v>
      </c>
      <c r="S520" s="5" t="str">
        <f>IFERROR(__xludf.DUMMYFUNCTION("""COMPUTED_VALUE"""),"Among Family")</f>
        <v>Among Family</v>
      </c>
      <c r="T520" s="5" t="str">
        <f>IFERROR(__xludf.DUMMYFUNCTION("""COMPUTED_VALUE"""),"United Kingdom, Canada, United States")</f>
        <v>United Kingdom, Canada, United States</v>
      </c>
      <c r="U520" s="5" t="str">
        <f>IFERROR(__xludf.DUMMYFUNCTION("""COMPUTED_VALUE"""),"Daniel Prochaska")</f>
        <v>Daniel Prochaska</v>
      </c>
      <c r="V520" s="5" t="s">
        <v>3251</v>
      </c>
      <c r="W520" s="5" t="str">
        <f t="shared" si="3"/>
        <v>Benjamin Turner, Gabe Turner</v>
      </c>
      <c r="X520" s="5">
        <f t="shared" si="4"/>
        <v>1</v>
      </c>
      <c r="Y520" s="5" t="str">
        <f>IFERROR(__xludf.DUMMYFUNCTION("REGEXEXTRACT(J520, ""^\d+"")"),"105")</f>
        <v>105</v>
      </c>
      <c r="Z520" s="5" t="str">
        <f>IFERROR(__xludf.DUMMYFUNCTION("REGEXEXTRACT(J520, ""[A-Za-z ]+$"")")," min")</f>
        <v> min</v>
      </c>
      <c r="AA520" s="5" t="str">
        <f>IFERROR(__xludf.DUMMYFUNCTION("IF(REGEXMATCH(Z520, ""Season""), ""TV Show"", ""Movie"")"),"Movie")</f>
        <v>Movie</v>
      </c>
    </row>
    <row r="521">
      <c r="A521" s="1" t="s">
        <v>3252</v>
      </c>
      <c r="B521" s="1" t="s">
        <v>37</v>
      </c>
      <c r="C521" s="1" t="s">
        <v>3253</v>
      </c>
      <c r="F521" s="1" t="s">
        <v>96</v>
      </c>
      <c r="G521" s="1" t="s">
        <v>3197</v>
      </c>
      <c r="H521" s="1">
        <v>2020.0</v>
      </c>
      <c r="I521" s="1" t="s">
        <v>42</v>
      </c>
      <c r="J521" s="1" t="s">
        <v>43</v>
      </c>
      <c r="K521" s="1" t="s">
        <v>142</v>
      </c>
      <c r="L521" s="1" t="s">
        <v>3254</v>
      </c>
      <c r="M521" s="2" t="s">
        <v>12</v>
      </c>
      <c r="N521" s="4">
        <f t="shared" si="1"/>
        <v>44383</v>
      </c>
      <c r="O521" s="5" t="str">
        <f>IFERROR(__xludf.DUMMYFUNCTION("IF(REGEXMATCH(TRIM(I521), ""^\d+\s*min""), ""Unclassified"", IF(I521 = """", ""NR"", I521))"),"TV-MA")</f>
        <v>TV-MA</v>
      </c>
      <c r="R521" s="5" t="str">
        <f t="shared" si="2"/>
        <v>I Am A Killer</v>
      </c>
      <c r="S521" s="5" t="str">
        <f>IFERROR(__xludf.DUMMYFUNCTION("""COMPUTED_VALUE"""),"Amrapali")</f>
        <v>Amrapali</v>
      </c>
      <c r="T521" s="5" t="str">
        <f>IFERROR(__xludf.DUMMYFUNCTION("""COMPUTED_VALUE"""),"United Kingdom, Canada, United States, Cayman Islands")</f>
        <v>United Kingdom, Canada, United States, Cayman Islands</v>
      </c>
      <c r="U521" s="5" t="str">
        <f>IFERROR(__xludf.DUMMYFUNCTION("""COMPUTED_VALUE"""),"Joe Wright")</f>
        <v>Joe Wright</v>
      </c>
      <c r="V521" s="5" t="s">
        <v>3255</v>
      </c>
      <c r="W521" s="5" t="str">
        <f t="shared" si="3"/>
        <v>Benjamin Weill</v>
      </c>
      <c r="X521" s="5">
        <f t="shared" si="4"/>
        <v>1</v>
      </c>
      <c r="Y521" s="5" t="str">
        <f>IFERROR(__xludf.DUMMYFUNCTION("REGEXEXTRACT(J521, ""^\d+"")"),"2")</f>
        <v>2</v>
      </c>
      <c r="Z521" s="5" t="str">
        <f>IFERROR(__xludf.DUMMYFUNCTION("REGEXEXTRACT(J521, ""[A-Za-z ]+$"")")," Seasons")</f>
        <v> Seasons</v>
      </c>
      <c r="AA521" s="5" t="str">
        <f>IFERROR(__xludf.DUMMYFUNCTION("IF(REGEXMATCH(Z521, ""Season""), ""TV Show"", ""Movie"")"),"TV Show")</f>
        <v>TV Show</v>
      </c>
    </row>
    <row r="522">
      <c r="A522" s="1" t="s">
        <v>3256</v>
      </c>
      <c r="B522" s="1" t="s">
        <v>37</v>
      </c>
      <c r="C522" s="1" t="s">
        <v>3257</v>
      </c>
      <c r="E522" s="1" t="s">
        <v>3258</v>
      </c>
      <c r="F522" s="1" t="s">
        <v>30</v>
      </c>
      <c r="G522" s="1" t="s">
        <v>3197</v>
      </c>
      <c r="H522" s="1">
        <v>2021.0</v>
      </c>
      <c r="I522" s="1" t="s">
        <v>42</v>
      </c>
      <c r="J522" s="1" t="s">
        <v>43</v>
      </c>
      <c r="K522" s="1" t="s">
        <v>270</v>
      </c>
      <c r="L522" s="1" t="s">
        <v>3259</v>
      </c>
      <c r="M522" s="2" t="s">
        <v>12</v>
      </c>
      <c r="N522" s="4">
        <f t="shared" si="1"/>
        <v>44383</v>
      </c>
      <c r="O522" s="5" t="str">
        <f>IFERROR(__xludf.DUMMYFUNCTION("IF(REGEXMATCH(TRIM(I522), ""^\d+\s*min""), ""Unclassified"", IF(I522 = """", ""NR"", I522))"),"TV-MA")</f>
        <v>TV-MA</v>
      </c>
      <c r="R522" s="5" t="str">
        <f t="shared" si="2"/>
        <v>I Think You Should Leave With Tim Robinson</v>
      </c>
      <c r="S522" s="5" t="str">
        <f>IFERROR(__xludf.DUMMYFUNCTION("""COMPUTED_VALUE"""),"Amy")</f>
        <v>Amy</v>
      </c>
      <c r="T522" s="5" t="str">
        <f>IFERROR(__xludf.DUMMYFUNCTION("""COMPUTED_VALUE"""),"United Kingdom, Canada, United States, Germany")</f>
        <v>United Kingdom, Canada, United States, Germany</v>
      </c>
      <c r="U522" s="5" t="str">
        <f>IFERROR(__xludf.DUMMYFUNCTION("""COMPUTED_VALUE"""),"Matthew Vaughn")</f>
        <v>Matthew Vaughn</v>
      </c>
      <c r="V522" s="5" t="s">
        <v>3260</v>
      </c>
      <c r="W522" s="5" t="str">
        <f t="shared" si="3"/>
        <v>Benny Fine</v>
      </c>
      <c r="X522" s="5">
        <f t="shared" si="4"/>
        <v>1</v>
      </c>
      <c r="Y522" s="5" t="str">
        <f>IFERROR(__xludf.DUMMYFUNCTION("REGEXEXTRACT(J522, ""^\d+"")"),"2")</f>
        <v>2</v>
      </c>
      <c r="Z522" s="5" t="str">
        <f>IFERROR(__xludf.DUMMYFUNCTION("REGEXEXTRACT(J522, ""[A-Za-z ]+$"")")," Seasons")</f>
        <v> Seasons</v>
      </c>
      <c r="AA522" s="5" t="str">
        <f>IFERROR(__xludf.DUMMYFUNCTION("IF(REGEXMATCH(Z522, ""Season""), ""TV Show"", ""Movie"")"),"TV Show")</f>
        <v>TV Show</v>
      </c>
    </row>
    <row r="523">
      <c r="A523" s="1" t="s">
        <v>3261</v>
      </c>
      <c r="B523" s="1" t="s">
        <v>37</v>
      </c>
      <c r="C523" s="1" t="s">
        <v>3262</v>
      </c>
      <c r="E523" s="1" t="s">
        <v>3263</v>
      </c>
      <c r="F523" s="1" t="s">
        <v>1106</v>
      </c>
      <c r="G523" s="1" t="s">
        <v>3197</v>
      </c>
      <c r="H523" s="1">
        <v>2021.0</v>
      </c>
      <c r="I523" s="1" t="s">
        <v>42</v>
      </c>
      <c r="J523" s="1" t="s">
        <v>189</v>
      </c>
      <c r="K523" s="1" t="s">
        <v>1294</v>
      </c>
      <c r="L523" s="1" t="s">
        <v>3264</v>
      </c>
      <c r="M523" s="2" t="s">
        <v>12</v>
      </c>
      <c r="N523" s="4">
        <f t="shared" si="1"/>
        <v>44383</v>
      </c>
      <c r="O523" s="5" t="str">
        <f>IFERROR(__xludf.DUMMYFUNCTION("IF(REGEXMATCH(TRIM(I523), ""^\d+\s*min""), ""Unclassified"", IF(I523 = """", ""NR"", I523))"),"TV-MA")</f>
        <v>TV-MA</v>
      </c>
      <c r="R523" s="5" t="str">
        <f t="shared" si="2"/>
        <v>Kim'S Convenience</v>
      </c>
      <c r="S523" s="5" t="str">
        <f>IFERROR(__xludf.DUMMYFUNCTION("""COMPUTED_VALUE"""),"Amy Schumer Growing")</f>
        <v>Amy Schumer Growing</v>
      </c>
      <c r="T523" s="5" t="str">
        <f>IFERROR(__xludf.DUMMYFUNCTION("""COMPUTED_VALUE"""),"United Kingdom, China")</f>
        <v>United Kingdom, China</v>
      </c>
      <c r="U523" s="5" t="str">
        <f>IFERROR(__xludf.DUMMYFUNCTION("""COMPUTED_VALUE"""),"Aditya Kripalani")</f>
        <v>Aditya Kripalani</v>
      </c>
      <c r="V523" s="5" t="s">
        <v>3265</v>
      </c>
      <c r="W523" s="5" t="str">
        <f t="shared" si="3"/>
        <v>Benny Fredman</v>
      </c>
      <c r="X523" s="5">
        <f t="shared" si="4"/>
        <v>1</v>
      </c>
      <c r="Y523" s="5" t="str">
        <f>IFERROR(__xludf.DUMMYFUNCTION("REGEXEXTRACT(J523, ""^\d+"")"),"5")</f>
        <v>5</v>
      </c>
      <c r="Z523" s="5" t="str">
        <f>IFERROR(__xludf.DUMMYFUNCTION("REGEXEXTRACT(J523, ""[A-Za-z ]+$"")")," Seasons")</f>
        <v> Seasons</v>
      </c>
      <c r="AA523" s="5" t="str">
        <f>IFERROR(__xludf.DUMMYFUNCTION("IF(REGEXMATCH(Z523, ""Season""), ""TV Show"", ""Movie"")"),"TV Show")</f>
        <v>TV Show</v>
      </c>
    </row>
    <row r="524">
      <c r="A524" s="1" t="s">
        <v>3266</v>
      </c>
      <c r="B524" s="1" t="s">
        <v>37</v>
      </c>
      <c r="C524" s="1" t="s">
        <v>3267</v>
      </c>
      <c r="F524" s="1" t="s">
        <v>1078</v>
      </c>
      <c r="G524" s="1" t="s">
        <v>3197</v>
      </c>
      <c r="H524" s="1">
        <v>2015.0</v>
      </c>
      <c r="I524" s="1" t="s">
        <v>289</v>
      </c>
      <c r="J524" s="1" t="s">
        <v>276</v>
      </c>
      <c r="K524" s="1" t="s">
        <v>3268</v>
      </c>
      <c r="L524" s="1" t="s">
        <v>3269</v>
      </c>
      <c r="M524" s="2" t="s">
        <v>12</v>
      </c>
      <c r="N524" s="4">
        <f t="shared" si="1"/>
        <v>44383</v>
      </c>
      <c r="O524" s="5" t="str">
        <f>IFERROR(__xludf.DUMMYFUNCTION("IF(REGEXMATCH(TRIM(I524), ""^\d+\s*min""), ""Unclassified"", IF(I524 = """", ""NR"", I524))"),"TV-Y7")</f>
        <v>TV-Y7</v>
      </c>
      <c r="R524" s="5" t="str">
        <f t="shared" si="2"/>
        <v>Larva</v>
      </c>
      <c r="S524" s="5" t="str">
        <f>IFERROR(__xludf.DUMMYFUNCTION("""COMPUTED_VALUE"""),"Amy Schumer: The Leather Special")</f>
        <v>Amy Schumer: The Leather Special</v>
      </c>
      <c r="T524" s="5" t="str">
        <f>IFERROR(__xludf.DUMMYFUNCTION("""COMPUTED_VALUE"""),"United Kingdom, China, United States")</f>
        <v>United Kingdom, China, United States</v>
      </c>
      <c r="U524" s="5" t="str">
        <f>IFERROR(__xludf.DUMMYFUNCTION("""COMPUTED_VALUE"""),"Adriano Rudiman")</f>
        <v>Adriano Rudiman</v>
      </c>
      <c r="V524" s="5" t="s">
        <v>3270</v>
      </c>
      <c r="W524" s="5" t="str">
        <f t="shared" si="3"/>
        <v>Benny Safdie, Josh Safdie</v>
      </c>
      <c r="X524" s="5">
        <f t="shared" si="4"/>
        <v>1</v>
      </c>
      <c r="Y524" s="5" t="str">
        <f>IFERROR(__xludf.DUMMYFUNCTION("REGEXEXTRACT(J524, ""^\d+"")"),"3")</f>
        <v>3</v>
      </c>
      <c r="Z524" s="5" t="str">
        <f>IFERROR(__xludf.DUMMYFUNCTION("REGEXEXTRACT(J524, ""[A-Za-z ]+$"")")," Seasons")</f>
        <v> Seasons</v>
      </c>
      <c r="AA524" s="5" t="str">
        <f>IFERROR(__xludf.DUMMYFUNCTION("IF(REGEXMATCH(Z524, ""Season""), ""TV Show"", ""Movie"")"),"TV Show")</f>
        <v>TV Show</v>
      </c>
    </row>
    <row r="525">
      <c r="A525" s="1" t="s">
        <v>3271</v>
      </c>
      <c r="B525" s="1" t="s">
        <v>37</v>
      </c>
      <c r="C525" s="1" t="s">
        <v>3272</v>
      </c>
      <c r="E525" s="1" t="s">
        <v>3273</v>
      </c>
      <c r="F525" s="1" t="s">
        <v>96</v>
      </c>
      <c r="G525" s="1" t="s">
        <v>3197</v>
      </c>
      <c r="H525" s="1">
        <v>2019.0</v>
      </c>
      <c r="I525" s="1" t="s">
        <v>42</v>
      </c>
      <c r="J525" s="1" t="s">
        <v>276</v>
      </c>
      <c r="K525" s="1" t="s">
        <v>3274</v>
      </c>
      <c r="L525" s="1" t="s">
        <v>3275</v>
      </c>
      <c r="M525" s="2" t="s">
        <v>12</v>
      </c>
      <c r="N525" s="4">
        <f t="shared" si="1"/>
        <v>44383</v>
      </c>
      <c r="O525" s="5" t="str">
        <f>IFERROR(__xludf.DUMMYFUNCTION("IF(REGEXMATCH(TRIM(I525), ""^\d+\s*min""), ""Unclassified"", IF(I525 = """", ""NR"", I525))"),"TV-MA")</f>
        <v>TV-MA</v>
      </c>
      <c r="R525" s="5" t="str">
        <f t="shared" si="2"/>
        <v>Marcella</v>
      </c>
      <c r="S525" s="5" t="str">
        <f>IFERROR(__xludf.DUMMYFUNCTION("""COMPUTED_VALUE"""),"Amy Tan: Unintended Memoir")</f>
        <v>Amy Tan: Unintended Memoir</v>
      </c>
      <c r="T525" s="5" t="str">
        <f>IFERROR(__xludf.DUMMYFUNCTION("""COMPUTED_VALUE"""),"United Kingdom, China, United States, India")</f>
        <v>United Kingdom, China, United States, India</v>
      </c>
      <c r="U525" s="5" t="str">
        <f>IFERROR(__xludf.DUMMYFUNCTION("""COMPUTED_VALUE"""),"David Pablos")</f>
        <v>David Pablos</v>
      </c>
      <c r="V525" s="5" t="s">
        <v>3276</v>
      </c>
      <c r="W525" s="5" t="str">
        <f t="shared" si="3"/>
        <v>Benoît Jacquot</v>
      </c>
      <c r="X525" s="5">
        <f t="shared" si="4"/>
        <v>1</v>
      </c>
      <c r="Y525" s="5" t="str">
        <f>IFERROR(__xludf.DUMMYFUNCTION("REGEXEXTRACT(J525, ""^\d+"")"),"3")</f>
        <v>3</v>
      </c>
      <c r="Z525" s="5" t="str">
        <f>IFERROR(__xludf.DUMMYFUNCTION("REGEXEXTRACT(J525, ""[A-Za-z ]+$"")")," Seasons")</f>
        <v> Seasons</v>
      </c>
      <c r="AA525" s="5" t="str">
        <f>IFERROR(__xludf.DUMMYFUNCTION("IF(REGEXMATCH(Z525, ""Season""), ""TV Show"", ""Movie"")"),"TV Show")</f>
        <v>TV Show</v>
      </c>
    </row>
    <row r="526">
      <c r="A526" s="1" t="s">
        <v>3277</v>
      </c>
      <c r="B526" s="1" t="s">
        <v>37</v>
      </c>
      <c r="C526" s="1" t="s">
        <v>3278</v>
      </c>
      <c r="E526" s="1" t="s">
        <v>3279</v>
      </c>
      <c r="F526" s="1" t="s">
        <v>415</v>
      </c>
      <c r="G526" s="1" t="s">
        <v>3197</v>
      </c>
      <c r="H526" s="1">
        <v>2019.0</v>
      </c>
      <c r="I526" s="1" t="s">
        <v>42</v>
      </c>
      <c r="J526" s="1" t="s">
        <v>43</v>
      </c>
      <c r="K526" s="1" t="s">
        <v>402</v>
      </c>
      <c r="L526" s="1" t="s">
        <v>3280</v>
      </c>
      <c r="M526" s="2" t="s">
        <v>12</v>
      </c>
      <c r="N526" s="4">
        <f t="shared" si="1"/>
        <v>44383</v>
      </c>
      <c r="O526" s="5" t="str">
        <f>IFERROR(__xludf.DUMMYFUNCTION("IF(REGEXMATCH(TRIM(I526), ""^\d+\s*min""), ""Unclassified"", IF(I526 = """", ""NR"", I526))"),"TV-MA")</f>
        <v>TV-MA</v>
      </c>
      <c r="R526" s="5" t="str">
        <f t="shared" si="2"/>
        <v>Midnight Diner: Tokyo Stories</v>
      </c>
      <c r="S526" s="5" t="str">
        <f>IFERROR(__xludf.DUMMYFUNCTION("""COMPUTED_VALUE"""),"An American Girl: Mckenna Shoots For The Stars")</f>
        <v>An American Girl: Mckenna Shoots For The Stars</v>
      </c>
      <c r="T526" s="5" t="str">
        <f>IFERROR(__xludf.DUMMYFUNCTION("""COMPUTED_VALUE"""),"United Kingdom, Czech Republic, Germany, United States")</f>
        <v>United Kingdom, Czech Republic, Germany, United States</v>
      </c>
      <c r="U526" s="5" t="str">
        <f>IFERROR(__xludf.DUMMYFUNCTION("""COMPUTED_VALUE"""),"Alexandre Aja")</f>
        <v>Alexandre Aja</v>
      </c>
      <c r="V526" s="5" t="s">
        <v>3281</v>
      </c>
      <c r="W526" s="5" t="str">
        <f t="shared" si="3"/>
        <v>Benson Lee</v>
      </c>
      <c r="X526" s="5">
        <f t="shared" si="4"/>
        <v>1</v>
      </c>
      <c r="Y526" s="5" t="str">
        <f>IFERROR(__xludf.DUMMYFUNCTION("REGEXEXTRACT(J526, ""^\d+"")"),"2")</f>
        <v>2</v>
      </c>
      <c r="Z526" s="5" t="str">
        <f>IFERROR(__xludf.DUMMYFUNCTION("REGEXEXTRACT(J526, ""[A-Za-z ]+$"")")," Seasons")</f>
        <v> Seasons</v>
      </c>
      <c r="AA526" s="5" t="str">
        <f>IFERROR(__xludf.DUMMYFUNCTION("IF(REGEXMATCH(Z526, ""Season""), ""TV Show"", ""Movie"")"),"TV Show")</f>
        <v>TV Show</v>
      </c>
    </row>
    <row r="527">
      <c r="A527" s="1" t="s">
        <v>3282</v>
      </c>
      <c r="B527" s="1" t="s">
        <v>37</v>
      </c>
      <c r="C527" s="1" t="s">
        <v>3283</v>
      </c>
      <c r="E527" s="1" t="s">
        <v>3284</v>
      </c>
      <c r="F527" s="1" t="s">
        <v>897</v>
      </c>
      <c r="G527" s="1" t="s">
        <v>3197</v>
      </c>
      <c r="H527" s="1">
        <v>2018.0</v>
      </c>
      <c r="I527" s="1" t="s">
        <v>206</v>
      </c>
      <c r="J527" s="1" t="s">
        <v>3285</v>
      </c>
      <c r="K527" s="1" t="s">
        <v>290</v>
      </c>
      <c r="L527" s="1" t="s">
        <v>3286</v>
      </c>
      <c r="M527" s="2" t="s">
        <v>12</v>
      </c>
      <c r="N527" s="4">
        <f t="shared" si="1"/>
        <v>44383</v>
      </c>
      <c r="O527" s="5" t="str">
        <f>IFERROR(__xludf.DUMMYFUNCTION("IF(REGEXMATCH(TRIM(I527), ""^\d+\s*min""), ""Unclassified"", IF(I527 = """", ""NR"", I527))"),"TV-Y")</f>
        <v>TV-Y</v>
      </c>
      <c r="R527" s="5" t="str">
        <f t="shared" si="2"/>
        <v>My Little Pony: Friendship Is Magic</v>
      </c>
      <c r="S527" s="5" t="str">
        <f>IFERROR(__xludf.DUMMYFUNCTION("""COMPUTED_VALUE"""),"An American In Madras")</f>
        <v>An American In Madras</v>
      </c>
      <c r="T527" s="5" t="str">
        <f>IFERROR(__xludf.DUMMYFUNCTION("""COMPUTED_VALUE"""),"United Kingdom, Czech Republic, United States, Germany, Bahamas")</f>
        <v>United Kingdom, Czech Republic, United States, Germany, Bahamas</v>
      </c>
      <c r="U527" s="5" t="str">
        <f>IFERROR(__xludf.DUMMYFUNCTION("""COMPUTED_VALUE"""),"Cai Cong")</f>
        <v>Cai Cong</v>
      </c>
      <c r="V527" s="5" t="s">
        <v>3287</v>
      </c>
      <c r="W527" s="5" t="str">
        <f t="shared" si="3"/>
        <v>Bent-Jorgen Perlmutt</v>
      </c>
      <c r="X527" s="5">
        <f t="shared" si="4"/>
        <v>1</v>
      </c>
      <c r="Y527" s="5" t="str">
        <f>IFERROR(__xludf.DUMMYFUNCTION("REGEXEXTRACT(J527, ""^\d+"")"),"8")</f>
        <v>8</v>
      </c>
      <c r="Z527" s="5" t="str">
        <f>IFERROR(__xludf.DUMMYFUNCTION("REGEXEXTRACT(J527, ""[A-Za-z ]+$"")")," Seasons")</f>
        <v> Seasons</v>
      </c>
      <c r="AA527" s="5" t="str">
        <f>IFERROR(__xludf.DUMMYFUNCTION("IF(REGEXMATCH(Z527, ""Season""), ""TV Show"", ""Movie"")"),"TV Show")</f>
        <v>TV Show</v>
      </c>
    </row>
    <row r="528">
      <c r="A528" s="1" t="s">
        <v>3288</v>
      </c>
      <c r="B528" s="1" t="s">
        <v>37</v>
      </c>
      <c r="C528" s="1" t="s">
        <v>3289</v>
      </c>
      <c r="E528" s="1" t="s">
        <v>3290</v>
      </c>
      <c r="F528" s="1" t="s">
        <v>30</v>
      </c>
      <c r="G528" s="1" t="s">
        <v>3197</v>
      </c>
      <c r="H528" s="1">
        <v>2019.0</v>
      </c>
      <c r="I528" s="1" t="s">
        <v>42</v>
      </c>
      <c r="J528" s="1" t="s">
        <v>1809</v>
      </c>
      <c r="K528" s="1" t="s">
        <v>149</v>
      </c>
      <c r="L528" s="1" t="s">
        <v>3291</v>
      </c>
      <c r="M528" s="2" t="s">
        <v>12</v>
      </c>
      <c r="N528" s="4">
        <f t="shared" si="1"/>
        <v>44383</v>
      </c>
      <c r="O528" s="5" t="str">
        <f>IFERROR(__xludf.DUMMYFUNCTION("IF(REGEXMATCH(TRIM(I528), ""^\d+\s*min""), ""Unclassified"", IF(I528 = """", ""NR"", I528))"),"TV-MA")</f>
        <v>TV-MA</v>
      </c>
      <c r="R528" s="5" t="str">
        <f t="shared" si="2"/>
        <v>Orange Is The New Black</v>
      </c>
      <c r="S528" s="5" t="str">
        <f>IFERROR(__xludf.DUMMYFUNCTION("""COMPUTED_VALUE"""),"An American Tail")</f>
        <v>An American Tail</v>
      </c>
      <c r="T528" s="5" t="str">
        <f>IFERROR(__xludf.DUMMYFUNCTION("""COMPUTED_VALUE"""),"United Kingdom, Denmark, Canada, Croatia")</f>
        <v>United Kingdom, Denmark, Canada, Croatia</v>
      </c>
      <c r="U528" s="5" t="str">
        <f>IFERROR(__xludf.DUMMYFUNCTION("""COMPUTED_VALUE"""),"Samuel Olatunji")</f>
        <v>Samuel Olatunji</v>
      </c>
      <c r="V528" s="5" t="s">
        <v>3292</v>
      </c>
      <c r="W528" s="5" t="str">
        <f t="shared" si="3"/>
        <v>Bernard Rose</v>
      </c>
      <c r="X528" s="5">
        <f t="shared" si="4"/>
        <v>1</v>
      </c>
      <c r="Y528" s="5" t="str">
        <f>IFERROR(__xludf.DUMMYFUNCTION("REGEXEXTRACT(J528, ""^\d+"")"),"7")</f>
        <v>7</v>
      </c>
      <c r="Z528" s="5" t="str">
        <f>IFERROR(__xludf.DUMMYFUNCTION("REGEXEXTRACT(J528, ""[A-Za-z ]+$"")")," Seasons")</f>
        <v> Seasons</v>
      </c>
      <c r="AA528" s="5" t="str">
        <f>IFERROR(__xludf.DUMMYFUNCTION("IF(REGEXMATCH(Z528, ""Season""), ""TV Show"", ""Movie"")"),"TV Show")</f>
        <v>TV Show</v>
      </c>
    </row>
    <row r="529">
      <c r="A529" s="1" t="s">
        <v>3293</v>
      </c>
      <c r="B529" s="1" t="s">
        <v>37</v>
      </c>
      <c r="C529" s="1" t="s">
        <v>3294</v>
      </c>
      <c r="E529" s="1" t="s">
        <v>3295</v>
      </c>
      <c r="F529" s="1" t="s">
        <v>3296</v>
      </c>
      <c r="G529" s="1" t="s">
        <v>3197</v>
      </c>
      <c r="H529" s="1">
        <v>2016.0</v>
      </c>
      <c r="I529" s="1" t="s">
        <v>206</v>
      </c>
      <c r="J529" s="1" t="s">
        <v>43</v>
      </c>
      <c r="K529" s="1" t="s">
        <v>290</v>
      </c>
      <c r="L529" s="1" t="s">
        <v>3297</v>
      </c>
      <c r="M529" s="2" t="s">
        <v>12</v>
      </c>
      <c r="N529" s="4">
        <f t="shared" si="1"/>
        <v>44383</v>
      </c>
      <c r="O529" s="5" t="str">
        <f>IFERROR(__xludf.DUMMYFUNCTION("IF(REGEXMATCH(TRIM(I529), ""^\d+\s*min""), ""Unclassified"", IF(I529 = """", ""NR"", I529))"),"TV-Y")</f>
        <v>TV-Y</v>
      </c>
      <c r="R529" s="5" t="str">
        <f t="shared" si="2"/>
        <v>Puffin Rock</v>
      </c>
      <c r="S529" s="5" t="str">
        <f>IFERROR(__xludf.DUMMYFUNCTION("""COMPUTED_VALUE"""),"An American Tail: Fievel Goes West")</f>
        <v>An American Tail: Fievel Goes West</v>
      </c>
      <c r="T529" s="5" t="str">
        <f>IFERROR(__xludf.DUMMYFUNCTION("""COMPUTED_VALUE"""),"United Kingdom, Egypt, United States")</f>
        <v>United Kingdom, Egypt, United States</v>
      </c>
      <c r="U529" s="5" t="str">
        <f>IFERROR(__xludf.DUMMYFUNCTION("""COMPUTED_VALUE"""),"Ramon Térmens")</f>
        <v>Ramon Térmens</v>
      </c>
      <c r="V529" s="5" t="s">
        <v>3298</v>
      </c>
      <c r="W529" s="5" t="str">
        <f t="shared" si="3"/>
        <v>Bernardo Arellano</v>
      </c>
      <c r="X529" s="5">
        <f t="shared" si="4"/>
        <v>1</v>
      </c>
      <c r="Y529" s="5" t="str">
        <f>IFERROR(__xludf.DUMMYFUNCTION("REGEXEXTRACT(J529, ""^\d+"")"),"2")</f>
        <v>2</v>
      </c>
      <c r="Z529" s="5" t="str">
        <f>IFERROR(__xludf.DUMMYFUNCTION("REGEXEXTRACT(J529, ""[A-Za-z ]+$"")")," Seasons")</f>
        <v> Seasons</v>
      </c>
      <c r="AA529" s="5" t="str">
        <f>IFERROR(__xludf.DUMMYFUNCTION("IF(REGEXMATCH(Z529, ""Season""), ""TV Show"", ""Movie"")"),"TV Show")</f>
        <v>TV Show</v>
      </c>
    </row>
    <row r="530">
      <c r="A530" s="1" t="s">
        <v>3299</v>
      </c>
      <c r="B530" s="1" t="s">
        <v>27</v>
      </c>
      <c r="C530" s="1" t="s">
        <v>3300</v>
      </c>
      <c r="D530" s="1" t="s">
        <v>3301</v>
      </c>
      <c r="E530" s="1" t="s">
        <v>3302</v>
      </c>
      <c r="F530" s="1" t="s">
        <v>63</v>
      </c>
      <c r="G530" s="1" t="s">
        <v>3197</v>
      </c>
      <c r="H530" s="1">
        <v>2012.0</v>
      </c>
      <c r="I530" s="1" t="s">
        <v>97</v>
      </c>
      <c r="J530" s="1" t="s">
        <v>349</v>
      </c>
      <c r="K530" s="1" t="s">
        <v>679</v>
      </c>
      <c r="L530" s="1" t="s">
        <v>3303</v>
      </c>
      <c r="M530" s="2" t="s">
        <v>12</v>
      </c>
      <c r="N530" s="4">
        <f t="shared" si="1"/>
        <v>44383</v>
      </c>
      <c r="O530" s="5" t="str">
        <f>IFERROR(__xludf.DUMMYFUNCTION("IF(REGEXMATCH(TRIM(I530), ""^\d+\s*min""), ""Unclassified"", IF(I530 = """", ""NR"", I530))"),"TV-14")</f>
        <v>TV-14</v>
      </c>
      <c r="R530" s="5" t="str">
        <f t="shared" si="2"/>
        <v>Rehmataan</v>
      </c>
      <c r="S530" s="5" t="str">
        <f>IFERROR(__xludf.DUMMYFUNCTION("""COMPUTED_VALUE"""),"An American Tail: The Mystery Of The Night Monster")</f>
        <v>An American Tail: The Mystery Of The Night Monster</v>
      </c>
      <c r="T530" s="5" t="str">
        <f>IFERROR(__xludf.DUMMYFUNCTION("""COMPUTED_VALUE"""),"United Kingdom, Finland, Germany, United States, Australia, Japan, France, Ireland")</f>
        <v>United Kingdom, Finland, Germany, United States, Australia, Japan, France, Ireland</v>
      </c>
      <c r="U530" s="5" t="str">
        <f>IFERROR(__xludf.DUMMYFUNCTION("""COMPUTED_VALUE"""),"Svetlana Cvetko")</f>
        <v>Svetlana Cvetko</v>
      </c>
      <c r="V530" s="5" t="s">
        <v>3304</v>
      </c>
      <c r="W530" s="5" t="str">
        <f t="shared" si="3"/>
        <v>Bernie Denk</v>
      </c>
      <c r="X530" s="5">
        <f t="shared" si="4"/>
        <v>2</v>
      </c>
      <c r="Y530" s="5" t="str">
        <f>IFERROR(__xludf.DUMMYFUNCTION("REGEXEXTRACT(J530, ""^\d+"")"),"116")</f>
        <v>116</v>
      </c>
      <c r="Z530" s="5" t="str">
        <f>IFERROR(__xludf.DUMMYFUNCTION("REGEXEXTRACT(J530, ""[A-Za-z ]+$"")")," min")</f>
        <v> min</v>
      </c>
      <c r="AA530" s="5" t="str">
        <f>IFERROR(__xludf.DUMMYFUNCTION("IF(REGEXMATCH(Z530, ""Season""), ""TV Show"", ""Movie"")"),"Movie")</f>
        <v>Movie</v>
      </c>
    </row>
    <row r="531">
      <c r="A531" s="1" t="s">
        <v>3305</v>
      </c>
      <c r="B531" s="1" t="s">
        <v>27</v>
      </c>
      <c r="C531" s="1" t="s">
        <v>3306</v>
      </c>
      <c r="D531" s="1" t="s">
        <v>3307</v>
      </c>
      <c r="E531" s="1" t="s">
        <v>3308</v>
      </c>
      <c r="F531" s="1" t="s">
        <v>3309</v>
      </c>
      <c r="G531" s="1" t="s">
        <v>3197</v>
      </c>
      <c r="H531" s="1">
        <v>1976.0</v>
      </c>
      <c r="I531" s="1" t="s">
        <v>42</v>
      </c>
      <c r="J531" s="1" t="s">
        <v>341</v>
      </c>
      <c r="K531" s="1" t="s">
        <v>128</v>
      </c>
      <c r="L531" s="1" t="s">
        <v>3310</v>
      </c>
      <c r="M531" s="2" t="s">
        <v>12</v>
      </c>
      <c r="N531" s="4">
        <f t="shared" si="1"/>
        <v>44383</v>
      </c>
      <c r="O531" s="5" t="str">
        <f>IFERROR(__xludf.DUMMYFUNCTION("IF(REGEXMATCH(TRIM(I531), ""^\d+\s*min""), ""Unclassified"", IF(I531 = """", ""NR"", I531))"),"TV-MA")</f>
        <v>TV-MA</v>
      </c>
      <c r="R531" s="5" t="str">
        <f t="shared" si="2"/>
        <v>Return Of The Prodigal Son</v>
      </c>
      <c r="S531" s="5" t="str">
        <f>IFERROR(__xludf.DUMMYFUNCTION("""COMPUTED_VALUE"""),"An American Tail: The Treasures Of Manhattan Island")</f>
        <v>An American Tail: The Treasures Of Manhattan Island</v>
      </c>
      <c r="T531" s="5" t="str">
        <f>IFERROR(__xludf.DUMMYFUNCTION("""COMPUTED_VALUE"""),"United Kingdom, France")</f>
        <v>United Kingdom, France</v>
      </c>
      <c r="U531" s="5" t="str">
        <f>IFERROR(__xludf.DUMMYFUNCTION("""COMPUTED_VALUE"""),"Martin Prakkat")</f>
        <v>Martin Prakkat</v>
      </c>
      <c r="V531" s="5" t="s">
        <v>3311</v>
      </c>
      <c r="W531" s="5" t="str">
        <f t="shared" si="3"/>
        <v>Bert Marcus</v>
      </c>
      <c r="X531" s="5">
        <f t="shared" si="4"/>
        <v>1</v>
      </c>
      <c r="Y531" s="5" t="str">
        <f>IFERROR(__xludf.DUMMYFUNCTION("REGEXEXTRACT(J531, ""^\d+"")"),"124")</f>
        <v>124</v>
      </c>
      <c r="Z531" s="5" t="str">
        <f>IFERROR(__xludf.DUMMYFUNCTION("REGEXEXTRACT(J531, ""[A-Za-z ]+$"")")," min")</f>
        <v> min</v>
      </c>
      <c r="AA531" s="5" t="str">
        <f>IFERROR(__xludf.DUMMYFUNCTION("IF(REGEXMATCH(Z531, ""Season""), ""TV Show"", ""Movie"")"),"Movie")</f>
        <v>Movie</v>
      </c>
    </row>
    <row r="532">
      <c r="A532" s="1" t="s">
        <v>3312</v>
      </c>
      <c r="B532" s="1" t="s">
        <v>37</v>
      </c>
      <c r="C532" s="1" t="s">
        <v>3313</v>
      </c>
      <c r="E532" s="1" t="s">
        <v>3314</v>
      </c>
      <c r="F532" s="1" t="s">
        <v>30</v>
      </c>
      <c r="G532" s="1" t="s">
        <v>3197</v>
      </c>
      <c r="H532" s="1">
        <v>2015.0</v>
      </c>
      <c r="I532" s="1" t="s">
        <v>506</v>
      </c>
      <c r="J532" s="1" t="s">
        <v>43</v>
      </c>
      <c r="K532" s="1" t="s">
        <v>314</v>
      </c>
      <c r="L532" s="1" t="s">
        <v>3315</v>
      </c>
      <c r="M532" s="2" t="s">
        <v>12</v>
      </c>
      <c r="N532" s="4">
        <f t="shared" si="1"/>
        <v>44383</v>
      </c>
      <c r="O532" s="5" t="str">
        <f>IFERROR(__xludf.DUMMYFUNCTION("IF(REGEXMATCH(TRIM(I532), ""^\d+\s*min""), ""Unclassified"", IF(I532 = """", ""NR"", I532))"),"TV-G")</f>
        <v>TV-G</v>
      </c>
      <c r="R532" s="5" t="str">
        <f t="shared" si="2"/>
        <v>Richie Rich</v>
      </c>
      <c r="S532" s="5" t="str">
        <f>IFERROR(__xludf.DUMMYFUNCTION("""COMPUTED_VALUE"""),"An Easy Girl")</f>
        <v>An Easy Girl</v>
      </c>
      <c r="T532" s="5" t="str">
        <f>IFERROR(__xludf.DUMMYFUNCTION("""COMPUTED_VALUE"""),"United Kingdom, France, Belgium")</f>
        <v>United Kingdom, France, Belgium</v>
      </c>
      <c r="U532" s="5" t="str">
        <f>IFERROR(__xludf.DUMMYFUNCTION("""COMPUTED_VALUE"""),"Baran Bo Odar")</f>
        <v>Baran Bo Odar</v>
      </c>
      <c r="V532" s="5" t="s">
        <v>3316</v>
      </c>
      <c r="W532" s="5" t="str">
        <f t="shared" si="3"/>
        <v>Bert Marcus, Cyrus Saidi</v>
      </c>
      <c r="X532" s="5">
        <f t="shared" si="4"/>
        <v>1</v>
      </c>
      <c r="Y532" s="5" t="str">
        <f>IFERROR(__xludf.DUMMYFUNCTION("REGEXEXTRACT(J532, ""^\d+"")"),"2")</f>
        <v>2</v>
      </c>
      <c r="Z532" s="5" t="str">
        <f>IFERROR(__xludf.DUMMYFUNCTION("REGEXEXTRACT(J532, ""[A-Za-z ]+$"")")," Seasons")</f>
        <v> Seasons</v>
      </c>
      <c r="AA532" s="5" t="str">
        <f>IFERROR(__xludf.DUMMYFUNCTION("IF(REGEXMATCH(Z532, ""Season""), ""TV Show"", ""Movie"")"),"TV Show")</f>
        <v>TV Show</v>
      </c>
    </row>
    <row r="533">
      <c r="A533" s="1" t="s">
        <v>3317</v>
      </c>
      <c r="B533" s="1" t="s">
        <v>27</v>
      </c>
      <c r="C533" s="1" t="s">
        <v>3318</v>
      </c>
      <c r="D533" s="1" t="s">
        <v>3319</v>
      </c>
      <c r="E533" s="1" t="s">
        <v>3320</v>
      </c>
      <c r="F533" s="1" t="s">
        <v>3321</v>
      </c>
      <c r="G533" s="1" t="s">
        <v>3197</v>
      </c>
      <c r="H533" s="1">
        <v>2018.0</v>
      </c>
      <c r="I533" s="1" t="s">
        <v>136</v>
      </c>
      <c r="J533" s="1" t="s">
        <v>1091</v>
      </c>
      <c r="K533" s="1" t="s">
        <v>128</v>
      </c>
      <c r="L533" s="1" t="s">
        <v>3322</v>
      </c>
      <c r="M533" s="2" t="s">
        <v>12</v>
      </c>
      <c r="N533" s="4">
        <f t="shared" si="1"/>
        <v>44383</v>
      </c>
      <c r="O533" s="5" t="str">
        <f>IFERROR(__xludf.DUMMYFUNCTION("IF(REGEXMATCH(TRIM(I533), ""^\d+\s*min""), ""Unclassified"", IF(I533 = """", ""NR"", I533))"),"TV-PG")</f>
        <v>TV-PG</v>
      </c>
      <c r="R533" s="5" t="str">
        <f t="shared" si="2"/>
        <v>Rise: Ini Kalilah</v>
      </c>
      <c r="S533" s="5" t="str">
        <f>IFERROR(__xludf.DUMMYFUNCTION("""COMPUTED_VALUE"""),"An Egyptian Story")</f>
        <v>An Egyptian Story</v>
      </c>
      <c r="T533" s="5" t="str">
        <f>IFERROR(__xludf.DUMMYFUNCTION("""COMPUTED_VALUE"""),"United Kingdom, France, Belgium, Canada, United States")</f>
        <v>United Kingdom, France, Belgium, Canada, United States</v>
      </c>
      <c r="U533" s="5" t="str">
        <f>IFERROR(__xludf.DUMMYFUNCTION("""COMPUTED_VALUE"""),"Zhang Chong")</f>
        <v>Zhang Chong</v>
      </c>
      <c r="V533" s="5" t="s">
        <v>3323</v>
      </c>
      <c r="W533" s="5" t="str">
        <f t="shared" si="3"/>
        <v>Beth Sleven, Allan Jacobsen, Kevin Wotton</v>
      </c>
      <c r="X533" s="5">
        <f t="shared" si="4"/>
        <v>1</v>
      </c>
      <c r="Y533" s="5" t="str">
        <f>IFERROR(__xludf.DUMMYFUNCTION("REGEXEXTRACT(J533, ""^\d+"")"),"101")</f>
        <v>101</v>
      </c>
      <c r="Z533" s="5" t="str">
        <f>IFERROR(__xludf.DUMMYFUNCTION("REGEXEXTRACT(J533, ""[A-Za-z ]+$"")")," min")</f>
        <v> min</v>
      </c>
      <c r="AA533" s="5" t="str">
        <f>IFERROR(__xludf.DUMMYFUNCTION("IF(REGEXMATCH(Z533, ""Season""), ""TV Show"", ""Movie"")"),"Movie")</f>
        <v>Movie</v>
      </c>
    </row>
    <row r="534">
      <c r="A534" s="1" t="s">
        <v>3324</v>
      </c>
      <c r="B534" s="1" t="s">
        <v>37</v>
      </c>
      <c r="C534" s="1" t="s">
        <v>3325</v>
      </c>
      <c r="E534" s="1" t="s">
        <v>3326</v>
      </c>
      <c r="F534" s="1" t="s">
        <v>30</v>
      </c>
      <c r="G534" s="1" t="s">
        <v>3197</v>
      </c>
      <c r="H534" s="1">
        <v>2019.0</v>
      </c>
      <c r="I534" s="1" t="s">
        <v>42</v>
      </c>
      <c r="J534" s="1" t="s">
        <v>276</v>
      </c>
      <c r="K534" s="1" t="s">
        <v>3327</v>
      </c>
      <c r="L534" s="1" t="s">
        <v>3328</v>
      </c>
      <c r="M534" s="2" t="s">
        <v>12</v>
      </c>
      <c r="N534" s="4">
        <f t="shared" si="1"/>
        <v>44383</v>
      </c>
      <c r="O534" s="5" t="str">
        <f>IFERROR(__xludf.DUMMYFUNCTION("IF(REGEXMATCH(TRIM(I534), ""^\d+\s*min""), ""Unclassified"", IF(I534 = """", ""NR"", I534))"),"TV-MA")</f>
        <v>TV-MA</v>
      </c>
      <c r="R534" s="5" t="str">
        <f t="shared" si="2"/>
        <v>Scream</v>
      </c>
      <c r="S534" s="5" t="str">
        <f>IFERROR(__xludf.DUMMYFUNCTION("""COMPUTED_VALUE"""),"An Evening With Beverly Luff Linn")</f>
        <v>An Evening With Beverly Luff Linn</v>
      </c>
      <c r="T534" s="5" t="str">
        <f>IFERROR(__xludf.DUMMYFUNCTION("""COMPUTED_VALUE"""),"United Kingdom, France, Belgium, Ireland, United States")</f>
        <v>United Kingdom, France, Belgium, Ireland, United States</v>
      </c>
      <c r="U534" s="5" t="str">
        <f>IFERROR(__xludf.DUMMYFUNCTION("""COMPUTED_VALUE"""),"Yılmaz Erdoğan")</f>
        <v>Yılmaz Erdoğan</v>
      </c>
      <c r="V534" s="5" t="s">
        <v>3329</v>
      </c>
      <c r="W534" s="5" t="str">
        <f t="shared" si="3"/>
        <v>Bette Gordon</v>
      </c>
      <c r="X534" s="5">
        <f t="shared" si="4"/>
        <v>1</v>
      </c>
      <c r="Y534" s="5" t="str">
        <f>IFERROR(__xludf.DUMMYFUNCTION("REGEXEXTRACT(J534, ""^\d+"")"),"3")</f>
        <v>3</v>
      </c>
      <c r="Z534" s="5" t="str">
        <f>IFERROR(__xludf.DUMMYFUNCTION("REGEXEXTRACT(J534, ""[A-Za-z ]+$"")")," Seasons")</f>
        <v> Seasons</v>
      </c>
      <c r="AA534" s="5" t="str">
        <f>IFERROR(__xludf.DUMMYFUNCTION("IF(REGEXMATCH(Z534, ""Season""), ""TV Show"", ""Movie"")"),"TV Show")</f>
        <v>TV Show</v>
      </c>
    </row>
    <row r="535">
      <c r="A535" s="1" t="s">
        <v>3330</v>
      </c>
      <c r="B535" s="1" t="s">
        <v>37</v>
      </c>
      <c r="C535" s="1" t="s">
        <v>3331</v>
      </c>
      <c r="E535" s="1" t="s">
        <v>3332</v>
      </c>
      <c r="F535" s="1" t="s">
        <v>3333</v>
      </c>
      <c r="G535" s="1" t="s">
        <v>3197</v>
      </c>
      <c r="H535" s="1">
        <v>2021.0</v>
      </c>
      <c r="I535" s="1" t="s">
        <v>97</v>
      </c>
      <c r="J535" s="1" t="s">
        <v>276</v>
      </c>
      <c r="K535" s="1" t="s">
        <v>402</v>
      </c>
      <c r="L535" s="1" t="s">
        <v>3334</v>
      </c>
      <c r="M535" s="2" t="s">
        <v>12</v>
      </c>
      <c r="N535" s="4">
        <f t="shared" si="1"/>
        <v>44383</v>
      </c>
      <c r="O535" s="5" t="str">
        <f>IFERROR(__xludf.DUMMYFUNCTION("IF(REGEXMATCH(TRIM(I535), ""^\d+\s*min""), ""Unclassified"", IF(I535 = """", ""NR"", I535))"),"TV-14")</f>
        <v>TV-14</v>
      </c>
      <c r="R535" s="5" t="str">
        <f t="shared" si="2"/>
        <v>Shtisel</v>
      </c>
      <c r="S535" s="5" t="str">
        <f>IFERROR(__xludf.DUMMYFUNCTION("""COMPUTED_VALUE"""),"An Hour And A Half")</f>
        <v>An Hour And A Half</v>
      </c>
      <c r="T535" s="5" t="str">
        <f>IFERROR(__xludf.DUMMYFUNCTION("""COMPUTED_VALUE"""),"United Kingdom, France, Belgium, United States")</f>
        <v>United Kingdom, France, Belgium, United States</v>
      </c>
      <c r="U535" s="5" t="str">
        <f>IFERROR(__xludf.DUMMYFUNCTION("""COMPUTED_VALUE"""),"Shantrelle P. Lewis")</f>
        <v>Shantrelle P. Lewis</v>
      </c>
      <c r="V535" s="5" t="s">
        <v>3335</v>
      </c>
      <c r="W535" s="5" t="str">
        <f t="shared" si="3"/>
        <v>Betty Thomas</v>
      </c>
      <c r="X535" s="5">
        <f t="shared" si="4"/>
        <v>1</v>
      </c>
      <c r="Y535" s="5" t="str">
        <f>IFERROR(__xludf.DUMMYFUNCTION("REGEXEXTRACT(J535, ""^\d+"")"),"3")</f>
        <v>3</v>
      </c>
      <c r="Z535" s="5" t="str">
        <f>IFERROR(__xludf.DUMMYFUNCTION("REGEXEXTRACT(J535, ""[A-Za-z ]+$"")")," Seasons")</f>
        <v> Seasons</v>
      </c>
      <c r="AA535" s="5" t="str">
        <f>IFERROR(__xludf.DUMMYFUNCTION("IF(REGEXMATCH(Z535, ""Season""), ""TV Show"", ""Movie"")"),"TV Show")</f>
        <v>TV Show</v>
      </c>
    </row>
    <row r="536">
      <c r="A536" s="1" t="s">
        <v>3336</v>
      </c>
      <c r="B536" s="1" t="s">
        <v>27</v>
      </c>
      <c r="C536" s="1" t="s">
        <v>3337</v>
      </c>
      <c r="D536" s="1" t="s">
        <v>3338</v>
      </c>
      <c r="E536" s="1" t="s">
        <v>3339</v>
      </c>
      <c r="F536" s="1" t="s">
        <v>2873</v>
      </c>
      <c r="G536" s="1" t="s">
        <v>3197</v>
      </c>
      <c r="H536" s="1">
        <v>2019.0</v>
      </c>
      <c r="I536" s="1" t="s">
        <v>506</v>
      </c>
      <c r="J536" s="1" t="s">
        <v>465</v>
      </c>
      <c r="K536" s="1" t="s">
        <v>128</v>
      </c>
      <c r="L536" s="1" t="s">
        <v>3340</v>
      </c>
      <c r="M536" s="2" t="s">
        <v>12</v>
      </c>
      <c r="N536" s="4">
        <f t="shared" si="1"/>
        <v>44383</v>
      </c>
      <c r="O536" s="5" t="str">
        <f>IFERROR(__xludf.DUMMYFUNCTION("IF(REGEXMATCH(TRIM(I536), ""^\d+\s*min""), ""Unclassified"", IF(I536 = """", ""NR"", I536))"),"TV-G")</f>
        <v>TV-G</v>
      </c>
      <c r="R536" s="5" t="str">
        <f t="shared" si="2"/>
        <v>Si Doel The Movie 2</v>
      </c>
      <c r="S536" s="5" t="str">
        <f>IFERROR(__xludf.DUMMYFUNCTION("""COMPUTED_VALUE"""),"An Imperfect Murder")</f>
        <v>An Imperfect Murder</v>
      </c>
      <c r="T536" s="5" t="str">
        <f>IFERROR(__xludf.DUMMYFUNCTION("""COMPUTED_VALUE"""),"United Kingdom, France, Canada, Belgium, United States")</f>
        <v>United Kingdom, France, Canada, Belgium, United States</v>
      </c>
      <c r="U536" s="5" t="str">
        <f>IFERROR(__xludf.DUMMYFUNCTION("""COMPUTED_VALUE"""),"Ivan Ayr")</f>
        <v>Ivan Ayr</v>
      </c>
      <c r="V536" s="5" t="s">
        <v>3341</v>
      </c>
      <c r="W536" s="5" t="str">
        <f t="shared" si="3"/>
        <v>Beyoncé Knowles-Carter</v>
      </c>
      <c r="X536" s="5">
        <f t="shared" si="4"/>
        <v>1</v>
      </c>
      <c r="Y536" s="5" t="str">
        <f>IFERROR(__xludf.DUMMYFUNCTION("REGEXEXTRACT(J536, ""^\d+"")"),"95")</f>
        <v>95</v>
      </c>
      <c r="Z536" s="5" t="str">
        <f>IFERROR(__xludf.DUMMYFUNCTION("REGEXEXTRACT(J536, ""[A-Za-z ]+$"")")," min")</f>
        <v> min</v>
      </c>
      <c r="AA536" s="5" t="str">
        <f>IFERROR(__xludf.DUMMYFUNCTION("IF(REGEXMATCH(Z536, ""Season""), ""TV Show"", ""Movie"")"),"Movie")</f>
        <v>Movie</v>
      </c>
    </row>
    <row r="537">
      <c r="A537" s="1" t="s">
        <v>3342</v>
      </c>
      <c r="B537" s="1" t="s">
        <v>37</v>
      </c>
      <c r="C537" s="1" t="s">
        <v>3343</v>
      </c>
      <c r="E537" s="1" t="s">
        <v>3344</v>
      </c>
      <c r="F537" s="1" t="s">
        <v>1106</v>
      </c>
      <c r="G537" s="1" t="s">
        <v>3197</v>
      </c>
      <c r="H537" s="1">
        <v>2015.0</v>
      </c>
      <c r="I537" s="1" t="s">
        <v>206</v>
      </c>
      <c r="J537" s="1" t="s">
        <v>43</v>
      </c>
      <c r="K537" s="1" t="s">
        <v>314</v>
      </c>
      <c r="L537" s="1" t="s">
        <v>3345</v>
      </c>
      <c r="M537" s="2" t="s">
        <v>12</v>
      </c>
      <c r="N537" s="4">
        <f t="shared" si="1"/>
        <v>44383</v>
      </c>
      <c r="O537" s="5" t="str">
        <f>IFERROR(__xludf.DUMMYFUNCTION("IF(REGEXMATCH(TRIM(I537), ""^\d+\s*min""), ""Unclassified"", IF(I537 = """", ""NR"", I537))"),"TV-Y")</f>
        <v>TV-Y</v>
      </c>
      <c r="R537" s="5" t="str">
        <f t="shared" si="2"/>
        <v>Some Assembly Required</v>
      </c>
      <c r="S537" s="5" t="str">
        <f>IFERROR(__xludf.DUMMYFUNCTION("""COMPUTED_VALUE"""),"An Innocent Mistake")</f>
        <v>An Innocent Mistake</v>
      </c>
      <c r="T537" s="5" t="str">
        <f>IFERROR(__xludf.DUMMYFUNCTION("""COMPUTED_VALUE"""),"United Kingdom, France, Germany")</f>
        <v>United Kingdom, France, Germany</v>
      </c>
      <c r="U537" s="5" t="str">
        <f>IFERROR(__xludf.DUMMYFUNCTION("""COMPUTED_VALUE"""),"Anthony Mandler")</f>
        <v>Anthony Mandler</v>
      </c>
      <c r="V537" s="5" t="s">
        <v>3346</v>
      </c>
      <c r="W537" s="5" t="str">
        <f t="shared" si="3"/>
        <v>Bhagyaraj</v>
      </c>
      <c r="X537" s="5">
        <f t="shared" si="4"/>
        <v>1</v>
      </c>
      <c r="Y537" s="5" t="str">
        <f>IFERROR(__xludf.DUMMYFUNCTION("REGEXEXTRACT(J537, ""^\d+"")"),"2")</f>
        <v>2</v>
      </c>
      <c r="Z537" s="5" t="str">
        <f>IFERROR(__xludf.DUMMYFUNCTION("REGEXEXTRACT(J537, ""[A-Za-z ]+$"")")," Seasons")</f>
        <v> Seasons</v>
      </c>
      <c r="AA537" s="5" t="str">
        <f>IFERROR(__xludf.DUMMYFUNCTION("IF(REGEXMATCH(Z537, ""Season""), ""TV Show"", ""Movie"")"),"TV Show")</f>
        <v>TV Show</v>
      </c>
    </row>
    <row r="538">
      <c r="A538" s="1" t="s">
        <v>3347</v>
      </c>
      <c r="B538" s="1" t="s">
        <v>37</v>
      </c>
      <c r="C538" s="1" t="s">
        <v>3348</v>
      </c>
      <c r="E538" s="1" t="s">
        <v>3349</v>
      </c>
      <c r="F538" s="1" t="s">
        <v>221</v>
      </c>
      <c r="G538" s="1" t="s">
        <v>3197</v>
      </c>
      <c r="H538" s="1">
        <v>2018.0</v>
      </c>
      <c r="I538" s="1" t="s">
        <v>97</v>
      </c>
      <c r="J538" s="1" t="s">
        <v>276</v>
      </c>
      <c r="K538" s="1" t="s">
        <v>3350</v>
      </c>
      <c r="L538" s="1" t="s">
        <v>3351</v>
      </c>
      <c r="M538" s="2" t="s">
        <v>12</v>
      </c>
      <c r="N538" s="4">
        <f t="shared" si="1"/>
        <v>44383</v>
      </c>
      <c r="O538" s="5" t="str">
        <f>IFERROR(__xludf.DUMMYFUNCTION("IF(REGEXMATCH(TRIM(I538), ""^\d+\s*min""), ""Unclassified"", IF(I538 = """", ""NR"", I538))"),"TV-14")</f>
        <v>TV-14</v>
      </c>
      <c r="R538" s="5" t="str">
        <f t="shared" si="2"/>
        <v>Tales By Light</v>
      </c>
      <c r="S538" s="5" t="str">
        <f>IFERROR(__xludf.DUMMYFUNCTION("""COMPUTED_VALUE"""),"An Interview With God")</f>
        <v>An Interview With God</v>
      </c>
      <c r="T538" s="5" t="str">
        <f>IFERROR(__xludf.DUMMYFUNCTION("""COMPUTED_VALUE"""),"United Kingdom, France, Germany, Spain")</f>
        <v>United Kingdom, France, Germany, Spain</v>
      </c>
      <c r="U538" s="5" t="str">
        <f>IFERROR(__xludf.DUMMYFUNCTION("""COMPUTED_VALUE"""),"Vijay Roche")</f>
        <v>Vijay Roche</v>
      </c>
      <c r="V538" s="5" t="s">
        <v>3352</v>
      </c>
      <c r="W538" s="5" t="str">
        <f t="shared" si="3"/>
        <v>Bharat Jain</v>
      </c>
      <c r="X538" s="5">
        <f t="shared" si="4"/>
        <v>1</v>
      </c>
      <c r="Y538" s="5" t="str">
        <f>IFERROR(__xludf.DUMMYFUNCTION("REGEXEXTRACT(J538, ""^\d+"")"),"3")</f>
        <v>3</v>
      </c>
      <c r="Z538" s="5" t="str">
        <f>IFERROR(__xludf.DUMMYFUNCTION("REGEXEXTRACT(J538, ""[A-Za-z ]+$"")")," Seasons")</f>
        <v> Seasons</v>
      </c>
      <c r="AA538" s="5" t="str">
        <f>IFERROR(__xludf.DUMMYFUNCTION("IF(REGEXMATCH(Z538, ""Season""), ""TV Show"", ""Movie"")"),"TV Show")</f>
        <v>TV Show</v>
      </c>
    </row>
    <row r="539">
      <c r="A539" s="1" t="s">
        <v>3353</v>
      </c>
      <c r="B539" s="1" t="s">
        <v>37</v>
      </c>
      <c r="C539" s="1" t="s">
        <v>3354</v>
      </c>
      <c r="E539" s="1" t="s">
        <v>3355</v>
      </c>
      <c r="F539" s="1" t="s">
        <v>415</v>
      </c>
      <c r="G539" s="1" t="s">
        <v>3197</v>
      </c>
      <c r="H539" s="1">
        <v>2018.0</v>
      </c>
      <c r="I539" s="1" t="s">
        <v>97</v>
      </c>
      <c r="J539" s="1" t="s">
        <v>439</v>
      </c>
      <c r="K539" s="1" t="s">
        <v>1520</v>
      </c>
      <c r="L539" s="1" t="s">
        <v>3356</v>
      </c>
      <c r="M539" s="2" t="s">
        <v>12</v>
      </c>
      <c r="N539" s="4">
        <f t="shared" si="1"/>
        <v>44383</v>
      </c>
      <c r="O539" s="5" t="str">
        <f>IFERROR(__xludf.DUMMYFUNCTION("IF(REGEXMATCH(TRIM(I539), ""^\d+\s*min""), ""Unclassified"", IF(I539 = """", ""NR"", I539))"),"TV-14")</f>
        <v>TV-14</v>
      </c>
      <c r="R539" s="5" t="str">
        <f t="shared" si="2"/>
        <v>Terrace House: Opening New Doors</v>
      </c>
      <c r="S539" s="5" t="str">
        <f>IFERROR(__xludf.DUMMYFUNCTION("""COMPUTED_VALUE"""),"An Ordinary Man")</f>
        <v>An Ordinary Man</v>
      </c>
      <c r="T539" s="5" t="str">
        <f>IFERROR(__xludf.DUMMYFUNCTION("""COMPUTED_VALUE"""),"United Kingdom, France, Germany, United States")</f>
        <v>United Kingdom, France, Germany, United States</v>
      </c>
      <c r="U539" s="5" t="str">
        <f>IFERROR(__xludf.DUMMYFUNCTION("""COMPUTED_VALUE"""),"Stanley Menino D'Costa")</f>
        <v>Stanley Menino D'Costa</v>
      </c>
      <c r="V539" s="5" t="s">
        <v>3357</v>
      </c>
      <c r="W539" s="5" t="str">
        <f t="shared" si="3"/>
        <v>Bharat Nalluri</v>
      </c>
      <c r="X539" s="5">
        <f t="shared" si="4"/>
        <v>1</v>
      </c>
      <c r="Y539" s="5" t="str">
        <f>IFERROR(__xludf.DUMMYFUNCTION("REGEXEXTRACT(J539, ""^\d+"")"),"6")</f>
        <v>6</v>
      </c>
      <c r="Z539" s="5" t="str">
        <f>IFERROR(__xludf.DUMMYFUNCTION("REGEXEXTRACT(J539, ""[A-Za-z ]+$"")")," Seasons")</f>
        <v> Seasons</v>
      </c>
      <c r="AA539" s="5" t="str">
        <f>IFERROR(__xludf.DUMMYFUNCTION("IF(REGEXMATCH(Z539, ""Season""), ""TV Show"", ""Movie"")"),"TV Show")</f>
        <v>TV Show</v>
      </c>
    </row>
    <row r="540">
      <c r="A540" s="1" t="s">
        <v>3358</v>
      </c>
      <c r="B540" s="1" t="s">
        <v>37</v>
      </c>
      <c r="C540" s="1" t="s">
        <v>3359</v>
      </c>
      <c r="E540" s="1" t="s">
        <v>3360</v>
      </c>
      <c r="F540" s="1" t="s">
        <v>96</v>
      </c>
      <c r="G540" s="1" t="s">
        <v>3197</v>
      </c>
      <c r="H540" s="1">
        <v>2021.0</v>
      </c>
      <c r="I540" s="1" t="s">
        <v>136</v>
      </c>
      <c r="J540" s="1" t="s">
        <v>43</v>
      </c>
      <c r="K540" s="1" t="s">
        <v>3361</v>
      </c>
      <c r="L540" s="1" t="s">
        <v>3362</v>
      </c>
      <c r="M540" s="2" t="s">
        <v>12</v>
      </c>
      <c r="N540" s="4">
        <f t="shared" si="1"/>
        <v>44383</v>
      </c>
      <c r="O540" s="5" t="str">
        <f>IFERROR(__xludf.DUMMYFUNCTION("IF(REGEXMATCH(TRIM(I540), ""^\d+\s*min""), ""Unclassified"", IF(I540 = """", ""NR"", I540))"),"TV-PG")</f>
        <v>TV-PG</v>
      </c>
      <c r="R540" s="5" t="str">
        <f t="shared" si="2"/>
        <v>The A List</v>
      </c>
      <c r="S540" s="5" t="str">
        <f>IFERROR(__xludf.DUMMYFUNCTION("""COMPUTED_VALUE"""),"An Unfinished Life")</f>
        <v>An Unfinished Life</v>
      </c>
      <c r="T540" s="5" t="str">
        <f>IFERROR(__xludf.DUMMYFUNCTION("""COMPUTED_VALUE"""),"United Kingdom, France, Poland, Germany, United States")</f>
        <v>United Kingdom, France, Poland, Germany, United States</v>
      </c>
      <c r="U540" s="5" t="str">
        <f>IFERROR(__xludf.DUMMYFUNCTION("""COMPUTED_VALUE"""),"Jennifer Brea")</f>
        <v>Jennifer Brea</v>
      </c>
      <c r="V540" s="5" t="s">
        <v>3363</v>
      </c>
      <c r="W540" s="5" t="str">
        <f t="shared" si="3"/>
        <v>Bhavik Thakore</v>
      </c>
      <c r="X540" s="5">
        <f t="shared" si="4"/>
        <v>1</v>
      </c>
      <c r="Y540" s="5" t="str">
        <f>IFERROR(__xludf.DUMMYFUNCTION("REGEXEXTRACT(J540, ""^\d+"")"),"2")</f>
        <v>2</v>
      </c>
      <c r="Z540" s="5" t="str">
        <f>IFERROR(__xludf.DUMMYFUNCTION("REGEXEXTRACT(J540, ""[A-Za-z ]+$"")")," Seasons")</f>
        <v> Seasons</v>
      </c>
      <c r="AA540" s="5" t="str">
        <f>IFERROR(__xludf.DUMMYFUNCTION("IF(REGEXMATCH(Z540, ""Season""), ""TV Show"", ""Movie"")"),"TV Show")</f>
        <v>TV Show</v>
      </c>
    </row>
    <row r="541">
      <c r="A541" s="1" t="s">
        <v>3364</v>
      </c>
      <c r="B541" s="1" t="s">
        <v>37</v>
      </c>
      <c r="C541" s="1" t="s">
        <v>3365</v>
      </c>
      <c r="E541" s="1" t="s">
        <v>3366</v>
      </c>
      <c r="F541" s="1" t="s">
        <v>3367</v>
      </c>
      <c r="G541" s="1" t="s">
        <v>3197</v>
      </c>
      <c r="H541" s="1">
        <v>2020.0</v>
      </c>
      <c r="I541" s="1" t="s">
        <v>136</v>
      </c>
      <c r="J541" s="1" t="s">
        <v>43</v>
      </c>
      <c r="K541" s="1" t="s">
        <v>3368</v>
      </c>
      <c r="L541" s="1" t="s">
        <v>3369</v>
      </c>
      <c r="M541" s="2" t="s">
        <v>12</v>
      </c>
      <c r="N541" s="4">
        <f t="shared" si="1"/>
        <v>44383</v>
      </c>
      <c r="O541" s="5" t="str">
        <f>IFERROR(__xludf.DUMMYFUNCTION("IF(REGEXMATCH(TRIM(I541), ""^\d+\s*min""), ""Unclassified"", IF(I541 = """", ""NR"", I541))"),"TV-PG")</f>
        <v>TV-PG</v>
      </c>
      <c r="R541" s="5" t="str">
        <f t="shared" si="2"/>
        <v>The New Legends Of Monkey</v>
      </c>
      <c r="S541" s="5" t="str">
        <f>IFERROR(__xludf.DUMMYFUNCTION("""COMPUTED_VALUE"""),"An Unremarkable Christmas")</f>
        <v>An Unremarkable Christmas</v>
      </c>
      <c r="T541" s="5" t="str">
        <f>IFERROR(__xludf.DUMMYFUNCTION("""COMPUTED_VALUE"""),"United Kingdom, France, Spain, United States")</f>
        <v>United Kingdom, France, Spain, United States</v>
      </c>
      <c r="U541" s="5" t="str">
        <f>IFERROR(__xludf.DUMMYFUNCTION("""COMPUTED_VALUE"""),"Julia Von Heinz")</f>
        <v>Julia Von Heinz</v>
      </c>
      <c r="V541" s="5" t="s">
        <v>3370</v>
      </c>
      <c r="W541" s="5" t="str">
        <f t="shared" si="3"/>
        <v>Bhavin Wadia</v>
      </c>
      <c r="X541" s="5">
        <f t="shared" si="4"/>
        <v>1</v>
      </c>
      <c r="Y541" s="5" t="str">
        <f>IFERROR(__xludf.DUMMYFUNCTION("REGEXEXTRACT(J541, ""^\d+"")"),"2")</f>
        <v>2</v>
      </c>
      <c r="Z541" s="5" t="str">
        <f>IFERROR(__xludf.DUMMYFUNCTION("REGEXEXTRACT(J541, ""[A-Za-z ]+$"")")," Seasons")</f>
        <v> Seasons</v>
      </c>
      <c r="AA541" s="5" t="str">
        <f>IFERROR(__xludf.DUMMYFUNCTION("IF(REGEXMATCH(Z541, ""Season""), ""TV Show"", ""Movie"")"),"TV Show")</f>
        <v>TV Show</v>
      </c>
    </row>
    <row r="542">
      <c r="A542" s="1" t="s">
        <v>3371</v>
      </c>
      <c r="B542" s="1" t="s">
        <v>37</v>
      </c>
      <c r="C542" s="1" t="s">
        <v>3372</v>
      </c>
      <c r="E542" s="1" t="s">
        <v>3373</v>
      </c>
      <c r="F542" s="1" t="s">
        <v>3374</v>
      </c>
      <c r="G542" s="1" t="s">
        <v>3197</v>
      </c>
      <c r="H542" s="1">
        <v>2020.0</v>
      </c>
      <c r="I542" s="1" t="s">
        <v>506</v>
      </c>
      <c r="J542" s="1" t="s">
        <v>148</v>
      </c>
      <c r="K542" s="1" t="s">
        <v>712</v>
      </c>
      <c r="L542" s="1" t="s">
        <v>3375</v>
      </c>
      <c r="M542" s="2" t="s">
        <v>12</v>
      </c>
      <c r="N542" s="4">
        <f t="shared" si="1"/>
        <v>44383</v>
      </c>
      <c r="O542" s="5" t="str">
        <f>IFERROR(__xludf.DUMMYFUNCTION("IF(REGEXMATCH(TRIM(I542), ""^\d+\s*min""), ""Unclassified"", IF(I542 = """", ""NR"", I542))"),"TV-G")</f>
        <v>TV-G</v>
      </c>
      <c r="R542" s="5" t="str">
        <f t="shared" si="2"/>
        <v>The Worst Witch</v>
      </c>
      <c r="S542" s="5" t="str">
        <f>IFERROR(__xludf.DUMMYFUNCTION("""COMPUTED_VALUE"""),"An Upper Egyptian")</f>
        <v>An Upper Egyptian</v>
      </c>
      <c r="T542" s="5" t="str">
        <f>IFERROR(__xludf.DUMMYFUNCTION("""COMPUTED_VALUE"""),"United Kingdom, France, United States")</f>
        <v>United Kingdom, France, United States</v>
      </c>
      <c r="U542" s="5" t="str">
        <f>IFERROR(__xludf.DUMMYFUNCTION("""COMPUTED_VALUE"""),"Niels Arden Oplev")</f>
        <v>Niels Arden Oplev</v>
      </c>
      <c r="V542" s="5" t="s">
        <v>1446</v>
      </c>
      <c r="W542" s="5" t="str">
        <f t="shared" si="3"/>
        <v>Bhushan Patel</v>
      </c>
      <c r="X542" s="5">
        <f t="shared" si="4"/>
        <v>1</v>
      </c>
      <c r="Y542" s="5" t="str">
        <f>IFERROR(__xludf.DUMMYFUNCTION("REGEXEXTRACT(J542, ""^\d+"")"),"4")</f>
        <v>4</v>
      </c>
      <c r="Z542" s="5" t="str">
        <f>IFERROR(__xludf.DUMMYFUNCTION("REGEXEXTRACT(J542, ""[A-Za-z ]+$"")")," Seasons")</f>
        <v> Seasons</v>
      </c>
      <c r="AA542" s="5" t="str">
        <f>IFERROR(__xludf.DUMMYFUNCTION("IF(REGEXMATCH(Z542, ""Season""), ""TV Show"", ""Movie"")"),"TV Show")</f>
        <v>TV Show</v>
      </c>
    </row>
    <row r="543">
      <c r="A543" s="1" t="s">
        <v>3376</v>
      </c>
      <c r="B543" s="1" t="s">
        <v>27</v>
      </c>
      <c r="C543" s="1" t="s">
        <v>3377</v>
      </c>
      <c r="D543" s="1" t="s">
        <v>3378</v>
      </c>
      <c r="E543" s="1" t="s">
        <v>3379</v>
      </c>
      <c r="F543" s="1" t="s">
        <v>63</v>
      </c>
      <c r="G543" s="1" t="s">
        <v>3197</v>
      </c>
      <c r="H543" s="1">
        <v>2018.0</v>
      </c>
      <c r="I543" s="1" t="s">
        <v>97</v>
      </c>
      <c r="J543" s="1" t="s">
        <v>757</v>
      </c>
      <c r="K543" s="1" t="s">
        <v>583</v>
      </c>
      <c r="L543" s="1" t="s">
        <v>3380</v>
      </c>
      <c r="M543" s="2" t="s">
        <v>12</v>
      </c>
      <c r="N543" s="4">
        <f t="shared" si="1"/>
        <v>44383</v>
      </c>
      <c r="O543" s="5" t="str">
        <f>IFERROR(__xludf.DUMMYFUNCTION("IF(REGEXMATCH(TRIM(I543), ""^\d+\s*min""), ""Unclassified"", IF(I543 = """", ""NR"", I543))"),"TV-14")</f>
        <v>TV-14</v>
      </c>
      <c r="R543" s="5" t="str">
        <f t="shared" si="2"/>
        <v>Truckbhar Swapna</v>
      </c>
      <c r="S543" s="5" t="str">
        <f>IFERROR(__xludf.DUMMYFUNCTION("""COMPUTED_VALUE"""),"Ana E Vitória")</f>
        <v>Ana E Vitória</v>
      </c>
      <c r="T543" s="5" t="str">
        <f>IFERROR(__xludf.DUMMYFUNCTION("""COMPUTED_VALUE"""),"United Kingdom, France, United States, Belgium")</f>
        <v>United Kingdom, France, United States, Belgium</v>
      </c>
      <c r="U543" s="5" t="str">
        <f>IFERROR(__xludf.DUMMYFUNCTION("""COMPUTED_VALUE"""),"Don Argott, Sheena M. Joyce")</f>
        <v>Don Argott, Sheena M. Joyce</v>
      </c>
      <c r="V543" s="5" t="s">
        <v>3381</v>
      </c>
      <c r="W543" s="5" t="str">
        <f t="shared" si="3"/>
        <v>Bigflo &amp; Oli, Jérémie Levypon</v>
      </c>
      <c r="X543" s="5">
        <f t="shared" si="4"/>
        <v>1</v>
      </c>
      <c r="Y543" s="5" t="str">
        <f>IFERROR(__xludf.DUMMYFUNCTION("REGEXEXTRACT(J543, ""^\d+"")"),"128")</f>
        <v>128</v>
      </c>
      <c r="Z543" s="5" t="str">
        <f>IFERROR(__xludf.DUMMYFUNCTION("REGEXEXTRACT(J543, ""[A-Za-z ]+$"")")," min")</f>
        <v> min</v>
      </c>
      <c r="AA543" s="5" t="str">
        <f>IFERROR(__xludf.DUMMYFUNCTION("IF(REGEXMATCH(Z543, ""Season""), ""TV Show"", ""Movie"")"),"Movie")</f>
        <v>Movie</v>
      </c>
    </row>
    <row r="544">
      <c r="A544" s="1" t="s">
        <v>3382</v>
      </c>
      <c r="B544" s="1" t="s">
        <v>27</v>
      </c>
      <c r="C544" s="1" t="s">
        <v>3383</v>
      </c>
      <c r="D544" s="1" t="s">
        <v>3384</v>
      </c>
      <c r="E544" s="1" t="s">
        <v>3385</v>
      </c>
      <c r="F544" s="1" t="s">
        <v>63</v>
      </c>
      <c r="G544" s="1" t="s">
        <v>3197</v>
      </c>
      <c r="H544" s="1">
        <v>1959.0</v>
      </c>
      <c r="I544" s="1" t="s">
        <v>97</v>
      </c>
      <c r="J544" s="1" t="s">
        <v>820</v>
      </c>
      <c r="K544" s="1" t="s">
        <v>128</v>
      </c>
      <c r="L544" s="1" t="s">
        <v>3386</v>
      </c>
      <c r="M544" s="2" t="s">
        <v>12</v>
      </c>
      <c r="N544" s="4">
        <f t="shared" si="1"/>
        <v>44383</v>
      </c>
      <c r="O544" s="5" t="str">
        <f>IFERROR(__xludf.DUMMYFUNCTION("IF(REGEXMATCH(TRIM(I544), ""^\d+\s*min""), ""Unclassified"", IF(I544 = """", ""NR"", I544))"),"TV-14")</f>
        <v>TV-14</v>
      </c>
      <c r="R544" s="5" t="str">
        <f t="shared" si="2"/>
        <v>Ujala</v>
      </c>
      <c r="S544" s="5" t="str">
        <f>IFERROR(__xludf.DUMMYFUNCTION("""COMPUTED_VALUE"""),"Anaamika")</f>
        <v>Anaamika</v>
      </c>
      <c r="T544" s="5" t="str">
        <f>IFERROR(__xludf.DUMMYFUNCTION("""COMPUTED_VALUE"""),"United Kingdom, France, United States, Belgium, Luxembourg, China, Germany")</f>
        <v>United Kingdom, France, United States, Belgium, Luxembourg, China, Germany</v>
      </c>
      <c r="U544" s="5" t="str">
        <f>IFERROR(__xludf.DUMMYFUNCTION("""COMPUTED_VALUE"""),"Joshua Zeman")</f>
        <v>Joshua Zeman</v>
      </c>
      <c r="V544" s="5" t="s">
        <v>3387</v>
      </c>
      <c r="W544" s="5" t="str">
        <f t="shared" si="3"/>
        <v>Bilal Lashari</v>
      </c>
      <c r="X544" s="5">
        <f t="shared" si="4"/>
        <v>1</v>
      </c>
      <c r="Y544" s="5" t="str">
        <f>IFERROR(__xludf.DUMMYFUNCTION("REGEXEXTRACT(J544, ""^\d+"")"),"143")</f>
        <v>143</v>
      </c>
      <c r="Z544" s="5" t="str">
        <f>IFERROR(__xludf.DUMMYFUNCTION("REGEXEXTRACT(J544, ""[A-Za-z ]+$"")")," min")</f>
        <v> min</v>
      </c>
      <c r="AA544" s="5" t="str">
        <f>IFERROR(__xludf.DUMMYFUNCTION("IF(REGEXMATCH(Z544, ""Season""), ""TV Show"", ""Movie"")"),"Movie")</f>
        <v>Movie</v>
      </c>
    </row>
    <row r="545">
      <c r="A545" s="1" t="s">
        <v>3388</v>
      </c>
      <c r="B545" s="1" t="s">
        <v>37</v>
      </c>
      <c r="C545" s="1" t="s">
        <v>3389</v>
      </c>
      <c r="E545" s="1" t="s">
        <v>3390</v>
      </c>
      <c r="F545" s="1" t="s">
        <v>3391</v>
      </c>
      <c r="G545" s="1" t="s">
        <v>3197</v>
      </c>
      <c r="H545" s="1">
        <v>2020.0</v>
      </c>
      <c r="I545" s="1" t="s">
        <v>42</v>
      </c>
      <c r="J545" s="1" t="s">
        <v>43</v>
      </c>
      <c r="K545" s="1" t="s">
        <v>52</v>
      </c>
      <c r="L545" s="1" t="s">
        <v>3392</v>
      </c>
      <c r="M545" s="2" t="s">
        <v>12</v>
      </c>
      <c r="N545" s="4">
        <f t="shared" si="1"/>
        <v>44383</v>
      </c>
      <c r="O545" s="5" t="str">
        <f>IFERROR(__xludf.DUMMYFUNCTION("IF(REGEXMATCH(TRIM(I545), ""^\d+\s*min""), ""Unclassified"", IF(I545 = """", ""NR"", I545))"),"TV-MA")</f>
        <v>TV-MA</v>
      </c>
      <c r="R545" s="5" t="str">
        <f t="shared" si="2"/>
        <v>Undercover</v>
      </c>
      <c r="S545" s="5" t="str">
        <f>IFERROR(__xludf.DUMMYFUNCTION("""COMPUTED_VALUE"""),"Anarkali Of Aarah")</f>
        <v>Anarkali Of Aarah</v>
      </c>
      <c r="T545" s="5" t="str">
        <f>IFERROR(__xludf.DUMMYFUNCTION("""COMPUTED_VALUE"""),"United Kingdom, Germany")</f>
        <v>United Kingdom, Germany</v>
      </c>
      <c r="U545" s="5" t="str">
        <f>IFERROR(__xludf.DUMMYFUNCTION("""COMPUTED_VALUE"""),"Duncan Skiles")</f>
        <v>Duncan Skiles</v>
      </c>
      <c r="V545" s="5" t="s">
        <v>2840</v>
      </c>
      <c r="W545" s="5" t="str">
        <f t="shared" si="3"/>
        <v>Bill Condon</v>
      </c>
      <c r="X545" s="5">
        <f t="shared" si="4"/>
        <v>2</v>
      </c>
      <c r="Y545" s="5" t="str">
        <f>IFERROR(__xludf.DUMMYFUNCTION("REGEXEXTRACT(J545, ""^\d+"")"),"2")</f>
        <v>2</v>
      </c>
      <c r="Z545" s="5" t="str">
        <f>IFERROR(__xludf.DUMMYFUNCTION("REGEXEXTRACT(J545, ""[A-Za-z ]+$"")")," Seasons")</f>
        <v> Seasons</v>
      </c>
      <c r="AA545" s="5" t="str">
        <f>IFERROR(__xludf.DUMMYFUNCTION("IF(REGEXMATCH(Z545, ""Season""), ""TV Show"", ""Movie"")"),"TV Show")</f>
        <v>TV Show</v>
      </c>
    </row>
    <row r="546">
      <c r="A546" s="1" t="s">
        <v>3393</v>
      </c>
      <c r="B546" s="1" t="s">
        <v>37</v>
      </c>
      <c r="C546" s="1" t="s">
        <v>3394</v>
      </c>
      <c r="E546" s="1" t="s">
        <v>3395</v>
      </c>
      <c r="F546" s="1" t="s">
        <v>1106</v>
      </c>
      <c r="G546" s="1" t="s">
        <v>3197</v>
      </c>
      <c r="H546" s="1">
        <v>2021.0</v>
      </c>
      <c r="I546" s="1" t="s">
        <v>42</v>
      </c>
      <c r="J546" s="1" t="s">
        <v>189</v>
      </c>
      <c r="K546" s="1" t="s">
        <v>1294</v>
      </c>
      <c r="L546" s="1" t="s">
        <v>3396</v>
      </c>
      <c r="M546" s="2" t="s">
        <v>12</v>
      </c>
      <c r="N546" s="4">
        <f t="shared" si="1"/>
        <v>44383</v>
      </c>
      <c r="O546" s="5" t="str">
        <f>IFERROR(__xludf.DUMMYFUNCTION("IF(REGEXMATCH(TRIM(I546), ""^\d+\s*min""), ""Unclassified"", IF(I546 = """", ""NR"", I546))"),"TV-MA")</f>
        <v>TV-MA</v>
      </c>
      <c r="R546" s="5" t="str">
        <f t="shared" si="2"/>
        <v>Workin' Moms</v>
      </c>
      <c r="S546" s="5" t="str">
        <f>IFERROR(__xludf.DUMMYFUNCTION("""COMPUTED_VALUE"""),"Anchor And Hope")</f>
        <v>Anchor And Hope</v>
      </c>
      <c r="T546" s="5" t="str">
        <f>IFERROR(__xludf.DUMMYFUNCTION("""COMPUTED_VALUE"""),"United Kingdom, Germany, Canada")</f>
        <v>United Kingdom, Germany, Canada</v>
      </c>
      <c r="U546" s="5" t="str">
        <f>IFERROR(__xludf.DUMMYFUNCTION("""COMPUTED_VALUE"""),"Sean Mcnamara")</f>
        <v>Sean Mcnamara</v>
      </c>
      <c r="V546" s="5" t="s">
        <v>3397</v>
      </c>
      <c r="W546" s="5" t="str">
        <f t="shared" si="3"/>
        <v>Bill D'Elia</v>
      </c>
      <c r="X546" s="5">
        <f t="shared" si="4"/>
        <v>2</v>
      </c>
      <c r="Y546" s="5" t="str">
        <f>IFERROR(__xludf.DUMMYFUNCTION("REGEXEXTRACT(J546, ""^\d+"")"),"5")</f>
        <v>5</v>
      </c>
      <c r="Z546" s="5" t="str">
        <f>IFERROR(__xludf.DUMMYFUNCTION("REGEXEXTRACT(J546, ""[A-Za-z ]+$"")")," Seasons")</f>
        <v> Seasons</v>
      </c>
      <c r="AA546" s="5" t="str">
        <f>IFERROR(__xludf.DUMMYFUNCTION("IF(REGEXMATCH(Z546, ""Season""), ""TV Show"", ""Movie"")"),"TV Show")</f>
        <v>TV Show</v>
      </c>
    </row>
    <row r="547">
      <c r="A547" s="1" t="s">
        <v>3398</v>
      </c>
      <c r="B547" s="1" t="s">
        <v>37</v>
      </c>
      <c r="C547" s="1" t="s">
        <v>3399</v>
      </c>
      <c r="E547" s="1" t="s">
        <v>3400</v>
      </c>
      <c r="F547" s="1" t="s">
        <v>749</v>
      </c>
      <c r="G547" s="1" t="s">
        <v>3197</v>
      </c>
      <c r="H547" s="1">
        <v>2020.0</v>
      </c>
      <c r="I547" s="1" t="s">
        <v>206</v>
      </c>
      <c r="J547" s="1" t="s">
        <v>276</v>
      </c>
      <c r="K547" s="1" t="s">
        <v>637</v>
      </c>
      <c r="L547" s="1" t="s">
        <v>3401</v>
      </c>
      <c r="M547" s="2" t="s">
        <v>12</v>
      </c>
      <c r="N547" s="4">
        <f t="shared" si="1"/>
        <v>44383</v>
      </c>
      <c r="O547" s="5" t="str">
        <f>IFERROR(__xludf.DUMMYFUNCTION("IF(REGEXMATCH(TRIM(I547), ""^\d+\s*min""), ""Unclassified"", IF(I547 = """", ""NR"", I547))"),"TV-Y")</f>
        <v>TV-Y</v>
      </c>
      <c r="R547" s="5" t="str">
        <f t="shared" si="2"/>
        <v>Yoohoo To The Rescue</v>
      </c>
      <c r="S547" s="5" t="str">
        <f>IFERROR(__xludf.DUMMYFUNCTION("""COMPUTED_VALUE"""),"Anchor Baby")</f>
        <v>Anchor Baby</v>
      </c>
      <c r="T547" s="5" t="str">
        <f>IFERROR(__xludf.DUMMYFUNCTION("""COMPUTED_VALUE"""),"United Kingdom, Germany, Canada, United States")</f>
        <v>United Kingdom, Germany, Canada, United States</v>
      </c>
      <c r="U547" s="5" t="str">
        <f>IFERROR(__xludf.DUMMYFUNCTION("""COMPUTED_VALUE"""),"Vondie Curtis-Hall")</f>
        <v>Vondie Curtis-Hall</v>
      </c>
      <c r="V547" s="5" t="s">
        <v>3402</v>
      </c>
      <c r="W547" s="5" t="str">
        <f t="shared" si="3"/>
        <v>Bill Guttentag, Michael Ware</v>
      </c>
      <c r="X547" s="5">
        <f t="shared" si="4"/>
        <v>1</v>
      </c>
      <c r="Y547" s="5" t="str">
        <f>IFERROR(__xludf.DUMMYFUNCTION("REGEXEXTRACT(J547, ""^\d+"")"),"3")</f>
        <v>3</v>
      </c>
      <c r="Z547" s="5" t="str">
        <f>IFERROR(__xludf.DUMMYFUNCTION("REGEXEXTRACT(J547, ""[A-Za-z ]+$"")")," Seasons")</f>
        <v> Seasons</v>
      </c>
      <c r="AA547" s="5" t="str">
        <f>IFERROR(__xludf.DUMMYFUNCTION("IF(REGEXMATCH(Z547, ""Season""), ""TV Show"", ""Movie"")"),"TV Show")</f>
        <v>TV Show</v>
      </c>
    </row>
    <row r="548">
      <c r="A548" s="1" t="s">
        <v>3403</v>
      </c>
      <c r="B548" s="1" t="s">
        <v>37</v>
      </c>
      <c r="C548" s="1" t="s">
        <v>3404</v>
      </c>
      <c r="E548" s="1" t="s">
        <v>3405</v>
      </c>
      <c r="G548" s="1" t="s">
        <v>3197</v>
      </c>
      <c r="H548" s="1">
        <v>2021.0</v>
      </c>
      <c r="I548" s="1" t="s">
        <v>97</v>
      </c>
      <c r="J548" s="1" t="s">
        <v>51</v>
      </c>
      <c r="K548" s="1" t="s">
        <v>1907</v>
      </c>
      <c r="L548" s="1" t="s">
        <v>3406</v>
      </c>
      <c r="M548" s="2" t="s">
        <v>12</v>
      </c>
      <c r="N548" s="4">
        <f t="shared" si="1"/>
        <v>44383</v>
      </c>
      <c r="O548" s="5" t="str">
        <f>IFERROR(__xludf.DUMMYFUNCTION("IF(REGEXMATCH(TRIM(I548), ""^\d+\s*min""), ""Unclassified"", IF(I548 = """", ""NR"", I548))"),"TV-14")</f>
        <v>TV-14</v>
      </c>
      <c r="R548" s="5" t="str">
        <f t="shared" si="2"/>
        <v>You Are My Spring</v>
      </c>
      <c r="S548" s="5" t="str">
        <f>IFERROR(__xludf.DUMMYFUNCTION("""COMPUTED_VALUE"""),"Ancient Aliens")</f>
        <v>Ancient Aliens</v>
      </c>
      <c r="T548" s="5" t="str">
        <f>IFERROR(__xludf.DUMMYFUNCTION("""COMPUTED_VALUE"""),"United Kingdom, Germany, France, United States")</f>
        <v>United Kingdom, Germany, France, United States</v>
      </c>
      <c r="U548" s="5" t="str">
        <f>IFERROR(__xludf.DUMMYFUNCTION("""COMPUTED_VALUE"""),"Robert Radler")</f>
        <v>Robert Radler</v>
      </c>
      <c r="V548" s="5" t="s">
        <v>3407</v>
      </c>
      <c r="W548" s="5" t="str">
        <f t="shared" si="3"/>
        <v>Bill Oliver</v>
      </c>
      <c r="X548" s="5">
        <f t="shared" si="4"/>
        <v>1</v>
      </c>
      <c r="Y548" s="5" t="str">
        <f>IFERROR(__xludf.DUMMYFUNCTION("REGEXEXTRACT(J548, ""^\d+"")"),"1")</f>
        <v>1</v>
      </c>
      <c r="Z548" s="5" t="str">
        <f>IFERROR(__xludf.DUMMYFUNCTION("REGEXEXTRACT(J548, ""[A-Za-z ]+$"")")," Season")</f>
        <v> Season</v>
      </c>
      <c r="AA548" s="5" t="str">
        <f>IFERROR(__xludf.DUMMYFUNCTION("IF(REGEXMATCH(Z548, ""Season""), ""TV Show"", ""Movie"")"),"TV Show")</f>
        <v>TV Show</v>
      </c>
    </row>
    <row r="549">
      <c r="A549" s="1" t="s">
        <v>3408</v>
      </c>
      <c r="B549" s="1" t="s">
        <v>37</v>
      </c>
      <c r="C549" s="1" t="s">
        <v>3409</v>
      </c>
      <c r="E549" s="1" t="s">
        <v>3410</v>
      </c>
      <c r="F549" s="1" t="s">
        <v>30</v>
      </c>
      <c r="G549" s="1" t="s">
        <v>3411</v>
      </c>
      <c r="H549" s="1">
        <v>2021.0</v>
      </c>
      <c r="I549" s="1" t="s">
        <v>289</v>
      </c>
      <c r="J549" s="1" t="s">
        <v>51</v>
      </c>
      <c r="K549" s="1" t="s">
        <v>290</v>
      </c>
      <c r="L549" s="1" t="s">
        <v>3412</v>
      </c>
      <c r="M549" s="2" t="s">
        <v>12</v>
      </c>
      <c r="N549" s="4">
        <f t="shared" si="1"/>
        <v>44381</v>
      </c>
      <c r="O549" s="5" t="str">
        <f>IFERROR(__xludf.DUMMYFUNCTION("IF(REGEXMATCH(TRIM(I549), ""^\d+\s*min""), ""Unclassified"", IF(I549 = """", ""NR"", I549))"),"TV-Y7")</f>
        <v>TV-Y7</v>
      </c>
      <c r="R549" s="5" t="str">
        <f t="shared" si="2"/>
        <v>We The People</v>
      </c>
      <c r="S549" s="5" t="str">
        <f>IFERROR(__xludf.DUMMYFUNCTION("""COMPUTED_VALUE"""),"And Breathe Normally")</f>
        <v>And Breathe Normally</v>
      </c>
      <c r="T549" s="5" t="str">
        <f>IFERROR(__xludf.DUMMYFUNCTION("""COMPUTED_VALUE"""),"United Kingdom, Germany, Spain, United States")</f>
        <v>United Kingdom, Germany, Spain, United States</v>
      </c>
      <c r="U549" s="5" t="str">
        <f>IFERROR(__xludf.DUMMYFUNCTION("""COMPUTED_VALUE"""),"Roel Reiné")</f>
        <v>Roel Reiné</v>
      </c>
      <c r="V549" s="5" t="s">
        <v>3413</v>
      </c>
      <c r="W549" s="5" t="str">
        <f t="shared" si="3"/>
        <v>Bille August</v>
      </c>
      <c r="X549" s="5">
        <f t="shared" si="4"/>
        <v>1</v>
      </c>
      <c r="Y549" s="5" t="str">
        <f>IFERROR(__xludf.DUMMYFUNCTION("REGEXEXTRACT(J549, ""^\d+"")"),"1")</f>
        <v>1</v>
      </c>
      <c r="Z549" s="5" t="str">
        <f>IFERROR(__xludf.DUMMYFUNCTION("REGEXEXTRACT(J549, ""[A-Za-z ]+$"")")," Season")</f>
        <v> Season</v>
      </c>
      <c r="AA549" s="5" t="str">
        <f>IFERROR(__xludf.DUMMYFUNCTION("IF(REGEXMATCH(Z549, ""Season""), ""TV Show"", ""Movie"")"),"TV Show")</f>
        <v>TV Show</v>
      </c>
    </row>
    <row r="550">
      <c r="A550" s="1" t="s">
        <v>3414</v>
      </c>
      <c r="B550" s="1" t="s">
        <v>37</v>
      </c>
      <c r="C550" s="1" t="s">
        <v>3415</v>
      </c>
      <c r="E550" s="1" t="s">
        <v>3416</v>
      </c>
      <c r="F550" s="1" t="s">
        <v>30</v>
      </c>
      <c r="G550" s="1" t="s">
        <v>3417</v>
      </c>
      <c r="H550" s="1">
        <v>2020.0</v>
      </c>
      <c r="I550" s="1" t="s">
        <v>97</v>
      </c>
      <c r="J550" s="1" t="s">
        <v>3418</v>
      </c>
      <c r="K550" s="1" t="s">
        <v>3083</v>
      </c>
      <c r="L550" s="1" t="s">
        <v>3419</v>
      </c>
      <c r="M550" s="2" t="s">
        <v>12</v>
      </c>
      <c r="N550" s="4">
        <f t="shared" si="1"/>
        <v>44380</v>
      </c>
      <c r="O550" s="5" t="str">
        <f>IFERROR(__xludf.DUMMYFUNCTION("IF(REGEXMATCH(TRIM(I550), ""^\d+\s*min""), ""Unclassified"", IF(I550 = """", ""NR"", I550))"),"TV-14")</f>
        <v>TV-14</v>
      </c>
      <c r="R550" s="5" t="str">
        <f t="shared" si="2"/>
        <v>Grey'S Anatomy</v>
      </c>
      <c r="S550" s="5" t="str">
        <f>IFERROR(__xludf.DUMMYFUNCTION("""COMPUTED_VALUE"""),"And Then Came Lola")</f>
        <v>And Then Came Lola</v>
      </c>
      <c r="T550" s="5" t="str">
        <f>IFERROR(__xludf.DUMMYFUNCTION("""COMPUTED_VALUE"""),"United Kingdom, Germany, United Arab Emirates, New Zealand")</f>
        <v>United Kingdom, Germany, United Arab Emirates, New Zealand</v>
      </c>
      <c r="U550" s="5" t="str">
        <f>IFERROR(__xludf.DUMMYFUNCTION("""COMPUTED_VALUE"""),"Dean Parisot")</f>
        <v>Dean Parisot</v>
      </c>
      <c r="V550" s="5" t="s">
        <v>3420</v>
      </c>
      <c r="W550" s="5" t="str">
        <f t="shared" si="3"/>
        <v>Bille Woodruff</v>
      </c>
      <c r="X550" s="5">
        <f t="shared" si="4"/>
        <v>2</v>
      </c>
      <c r="Y550" s="5" t="str">
        <f>IFERROR(__xludf.DUMMYFUNCTION("REGEXEXTRACT(J550, ""^\d+"")"),"17")</f>
        <v>17</v>
      </c>
      <c r="Z550" s="5" t="str">
        <f>IFERROR(__xludf.DUMMYFUNCTION("REGEXEXTRACT(J550, ""[A-Za-z ]+$"")")," Seasons")</f>
        <v> Seasons</v>
      </c>
      <c r="AA550" s="5" t="str">
        <f>IFERROR(__xludf.DUMMYFUNCTION("IF(REGEXMATCH(Z550, ""Season""), ""TV Show"", ""Movie"")"),"TV Show")</f>
        <v>TV Show</v>
      </c>
    </row>
    <row r="551">
      <c r="A551" s="1" t="s">
        <v>3421</v>
      </c>
      <c r="B551" s="1" t="s">
        <v>37</v>
      </c>
      <c r="C551" s="1" t="s">
        <v>3422</v>
      </c>
      <c r="G551" s="1" t="s">
        <v>3423</v>
      </c>
      <c r="H551" s="1">
        <v>2020.0</v>
      </c>
      <c r="I551" s="1" t="s">
        <v>97</v>
      </c>
      <c r="J551" s="1" t="s">
        <v>51</v>
      </c>
      <c r="K551" s="1" t="s">
        <v>1520</v>
      </c>
      <c r="L551" s="1" t="s">
        <v>3424</v>
      </c>
      <c r="M551" s="2" t="s">
        <v>12</v>
      </c>
      <c r="N551" s="4">
        <f t="shared" si="1"/>
        <v>44379</v>
      </c>
      <c r="O551" s="5" t="str">
        <f>IFERROR(__xludf.DUMMYFUNCTION("IF(REGEXMATCH(TRIM(I551), ""^\d+\s*min""), ""Unclassified"", IF(I551 = """", ""NR"", I551))"),"TV-14")</f>
        <v>TV-14</v>
      </c>
      <c r="R551" s="5" t="str">
        <f t="shared" si="2"/>
        <v>Big Timber</v>
      </c>
      <c r="S551" s="5" t="str">
        <f>IFERROR(__xludf.DUMMYFUNCTION("""COMPUTED_VALUE"""),"And Tomorrow The Entire World")</f>
        <v>And Tomorrow The Entire World</v>
      </c>
      <c r="T551" s="5" t="str">
        <f>IFERROR(__xludf.DUMMYFUNCTION("""COMPUTED_VALUE"""),"United Kingdom, Germany, United States")</f>
        <v>United Kingdom, Germany, United States</v>
      </c>
      <c r="U551" s="5" t="str">
        <f>IFERROR(__xludf.DUMMYFUNCTION("""COMPUTED_VALUE"""),"Paul Greengrass")</f>
        <v>Paul Greengrass</v>
      </c>
      <c r="V551" s="5" t="s">
        <v>3425</v>
      </c>
      <c r="W551" s="5" t="str">
        <f t="shared" si="3"/>
        <v>Billy Bob Thornton</v>
      </c>
      <c r="X551" s="5">
        <f t="shared" si="4"/>
        <v>1</v>
      </c>
      <c r="Y551" s="5" t="str">
        <f>IFERROR(__xludf.DUMMYFUNCTION("REGEXEXTRACT(J551, ""^\d+"")"),"1")</f>
        <v>1</v>
      </c>
      <c r="Z551" s="5" t="str">
        <f>IFERROR(__xludf.DUMMYFUNCTION("REGEXEXTRACT(J551, ""[A-Za-z ]+$"")")," Season")</f>
        <v> Season</v>
      </c>
      <c r="AA551" s="5" t="str">
        <f>IFERROR(__xludf.DUMMYFUNCTION("IF(REGEXMATCH(Z551, ""Season""), ""TV Show"", ""Movie"")"),"TV Show")</f>
        <v>TV Show</v>
      </c>
    </row>
    <row r="552">
      <c r="A552" s="1" t="s">
        <v>3426</v>
      </c>
      <c r="B552" s="1" t="s">
        <v>27</v>
      </c>
      <c r="C552" s="1" t="s">
        <v>3427</v>
      </c>
      <c r="D552" s="1" t="s">
        <v>2805</v>
      </c>
      <c r="E552" s="1" t="s">
        <v>3428</v>
      </c>
      <c r="G552" s="1" t="s">
        <v>3423</v>
      </c>
      <c r="H552" s="1">
        <v>2021.0</v>
      </c>
      <c r="I552" s="1" t="s">
        <v>378</v>
      </c>
      <c r="J552" s="1" t="s">
        <v>1256</v>
      </c>
      <c r="K552" s="1" t="s">
        <v>2807</v>
      </c>
      <c r="L552" s="1" t="s">
        <v>3429</v>
      </c>
      <c r="M552" s="2" t="s">
        <v>12</v>
      </c>
      <c r="N552" s="4">
        <f t="shared" si="1"/>
        <v>44379</v>
      </c>
      <c r="O552" s="5" t="str">
        <f>IFERROR(__xludf.DUMMYFUNCTION("IF(REGEXMATCH(TRIM(I552), ""^\d+\s*min""), ""Unclassified"", IF(I552 = """", ""NR"", I552))"),"R")</f>
        <v>R</v>
      </c>
      <c r="R552" s="5" t="str">
        <f t="shared" si="2"/>
        <v>Fear Street Part 1: 1994</v>
      </c>
      <c r="S552" s="5" t="str">
        <f>IFERROR(__xludf.DUMMYFUNCTION("""COMPUTED_VALUE"""),"Andaleeb El Dokki")</f>
        <v>Andaleeb El Dokki</v>
      </c>
      <c r="T552" s="5" t="str">
        <f>IFERROR(__xludf.DUMMYFUNCTION("""COMPUTED_VALUE"""),"United Kingdom, Germany, United States, France")</f>
        <v>United Kingdom, Germany, United States, France</v>
      </c>
      <c r="U552" s="5" t="str">
        <f>IFERROR(__xludf.DUMMYFUNCTION("""COMPUTED_VALUE"""),"Justin Kelly")</f>
        <v>Justin Kelly</v>
      </c>
      <c r="V552" s="5" t="s">
        <v>2042</v>
      </c>
      <c r="W552" s="5" t="str">
        <f t="shared" si="3"/>
        <v>Billy Corben</v>
      </c>
      <c r="X552" s="5">
        <f t="shared" si="4"/>
        <v>2</v>
      </c>
      <c r="Y552" s="5" t="str">
        <f>IFERROR(__xludf.DUMMYFUNCTION("REGEXEXTRACT(J552, ""^\d+"")"),"107")</f>
        <v>107</v>
      </c>
      <c r="Z552" s="5" t="str">
        <f>IFERROR(__xludf.DUMMYFUNCTION("REGEXEXTRACT(J552, ""[A-Za-z ]+$"")")," min")</f>
        <v> min</v>
      </c>
      <c r="AA552" s="5" t="str">
        <f>IFERROR(__xludf.DUMMYFUNCTION("IF(REGEXMATCH(Z552, ""Season""), ""TV Show"", ""Movie"")"),"Movie")</f>
        <v>Movie</v>
      </c>
    </row>
    <row r="553">
      <c r="A553" s="1" t="s">
        <v>3430</v>
      </c>
      <c r="B553" s="1" t="s">
        <v>27</v>
      </c>
      <c r="C553" s="1" t="s">
        <v>3431</v>
      </c>
      <c r="D553" s="1" t="s">
        <v>3432</v>
      </c>
      <c r="E553" s="1" t="s">
        <v>3433</v>
      </c>
      <c r="F553" s="1" t="s">
        <v>63</v>
      </c>
      <c r="G553" s="1" t="s">
        <v>3423</v>
      </c>
      <c r="H553" s="1">
        <v>2021.0</v>
      </c>
      <c r="I553" s="1" t="s">
        <v>42</v>
      </c>
      <c r="J553" s="1" t="s">
        <v>1383</v>
      </c>
      <c r="K553" s="1" t="s">
        <v>3434</v>
      </c>
      <c r="L553" s="1" t="s">
        <v>3435</v>
      </c>
      <c r="M553" s="2" t="s">
        <v>12</v>
      </c>
      <c r="N553" s="4">
        <f t="shared" si="1"/>
        <v>44379</v>
      </c>
      <c r="O553" s="5" t="str">
        <f>IFERROR(__xludf.DUMMYFUNCTION("IF(REGEXMATCH(TRIM(I553), ""^\d+\s*min""), ""Unclassified"", IF(I553 = """", ""NR"", I553))"),"TV-MA")</f>
        <v>TV-MA</v>
      </c>
      <c r="R553" s="5" t="str">
        <f t="shared" si="2"/>
        <v>Haseen Dillruba</v>
      </c>
      <c r="S553" s="5" t="str">
        <f>IFERROR(__xludf.DUMMYFUNCTION("""COMPUTED_VALUE"""),"Andaz Apna Apna")</f>
        <v>Andaz Apna Apna</v>
      </c>
      <c r="T553" s="5" t="str">
        <f>IFERROR(__xludf.DUMMYFUNCTION("""COMPUTED_VALUE"""),"United Kingdom, Hong Kong")</f>
        <v>United Kingdom, Hong Kong</v>
      </c>
      <c r="U553" s="5" t="str">
        <f>IFERROR(__xludf.DUMMYFUNCTION("""COMPUTED_VALUE"""),"Eric Darnell, Tom Mcgrath, Conrad Vernon")</f>
        <v>Eric Darnell, Tom Mcgrath, Conrad Vernon</v>
      </c>
      <c r="V553" s="5" t="s">
        <v>3436</v>
      </c>
      <c r="W553" s="5" t="str">
        <f t="shared" si="3"/>
        <v>Billy Lyons</v>
      </c>
      <c r="X553" s="5">
        <f t="shared" si="4"/>
        <v>1</v>
      </c>
      <c r="Y553" s="5" t="str">
        <f>IFERROR(__xludf.DUMMYFUNCTION("REGEXEXTRACT(J553, ""^\d+"")"),"136")</f>
        <v>136</v>
      </c>
      <c r="Z553" s="5" t="str">
        <f>IFERROR(__xludf.DUMMYFUNCTION("REGEXEXTRACT(J553, ""[A-Za-z ]+$"")")," min")</f>
        <v> min</v>
      </c>
      <c r="AA553" s="5" t="str">
        <f>IFERROR(__xludf.DUMMYFUNCTION("IF(REGEXMATCH(Z553, ""Season""), ""TV Show"", ""Movie"")"),"Movie")</f>
        <v>Movie</v>
      </c>
    </row>
    <row r="554">
      <c r="A554" s="1" t="s">
        <v>3437</v>
      </c>
      <c r="B554" s="1" t="s">
        <v>27</v>
      </c>
      <c r="C554" s="1" t="s">
        <v>3438</v>
      </c>
      <c r="D554" s="1" t="s">
        <v>3439</v>
      </c>
      <c r="E554" s="1" t="s">
        <v>3440</v>
      </c>
      <c r="G554" s="1" t="s">
        <v>3423</v>
      </c>
      <c r="H554" s="1">
        <v>2020.0</v>
      </c>
      <c r="I554" s="1" t="s">
        <v>42</v>
      </c>
      <c r="J554" s="1" t="s">
        <v>170</v>
      </c>
      <c r="K554" s="1" t="s">
        <v>199</v>
      </c>
      <c r="L554" s="1" t="s">
        <v>3441</v>
      </c>
      <c r="M554" s="2" t="s">
        <v>12</v>
      </c>
      <c r="N554" s="4">
        <f t="shared" si="1"/>
        <v>44379</v>
      </c>
      <c r="O554" s="5" t="str">
        <f>IFERROR(__xludf.DUMMYFUNCTION("IF(REGEXMATCH(TRIM(I554), ""^\d+\s*min""), ""Unclassified"", IF(I554 = """", ""NR"", I554))"),"TV-MA")</f>
        <v>TV-MA</v>
      </c>
      <c r="R554" s="5" t="str">
        <f t="shared" si="2"/>
        <v>Holiday On Mars</v>
      </c>
      <c r="S554" s="5" t="str">
        <f>IFERROR(__xludf.DUMMYFUNCTION("""COMPUTED_VALUE"""),"Andhadhun")</f>
        <v>Andhadhun</v>
      </c>
      <c r="T554" s="5" t="str">
        <f>IFERROR(__xludf.DUMMYFUNCTION("""COMPUTED_VALUE"""),"United Kingdom, Hungary, Australia")</f>
        <v>United Kingdom, Hungary, Australia</v>
      </c>
      <c r="U554" s="5" t="str">
        <f>IFERROR(__xludf.DUMMYFUNCTION("""COMPUTED_VALUE"""),"Suhas Kadav")</f>
        <v>Suhas Kadav</v>
      </c>
      <c r="V554" s="5" t="s">
        <v>3442</v>
      </c>
      <c r="W554" s="5" t="str">
        <f t="shared" si="3"/>
        <v>Billy Ray</v>
      </c>
      <c r="X554" s="5">
        <f t="shared" si="4"/>
        <v>1</v>
      </c>
      <c r="Y554" s="5" t="str">
        <f>IFERROR(__xludf.DUMMYFUNCTION("REGEXEXTRACT(J554, ""^\d+"")"),"94")</f>
        <v>94</v>
      </c>
      <c r="Z554" s="5" t="str">
        <f>IFERROR(__xludf.DUMMYFUNCTION("REGEXEXTRACT(J554, ""[A-Za-z ]+$"")")," min")</f>
        <v> min</v>
      </c>
      <c r="AA554" s="5" t="str">
        <f>IFERROR(__xludf.DUMMYFUNCTION("IF(REGEXMATCH(Z554, ""Season""), ""TV Show"", ""Movie"")"),"Movie")</f>
        <v>Movie</v>
      </c>
    </row>
    <row r="555">
      <c r="A555" s="1" t="s">
        <v>3443</v>
      </c>
      <c r="B555" s="1" t="s">
        <v>37</v>
      </c>
      <c r="C555" s="1" t="s">
        <v>3444</v>
      </c>
      <c r="E555" s="1" t="s">
        <v>3445</v>
      </c>
      <c r="F555" s="1" t="s">
        <v>664</v>
      </c>
      <c r="G555" s="1" t="s">
        <v>3423</v>
      </c>
      <c r="H555" s="1">
        <v>2019.0</v>
      </c>
      <c r="I555" s="1" t="s">
        <v>42</v>
      </c>
      <c r="J555" s="1" t="s">
        <v>43</v>
      </c>
      <c r="K555" s="1" t="s">
        <v>1362</v>
      </c>
      <c r="L555" s="1" t="s">
        <v>3446</v>
      </c>
      <c r="M555" s="2" t="s">
        <v>12</v>
      </c>
      <c r="N555" s="4">
        <f t="shared" si="1"/>
        <v>44379</v>
      </c>
      <c r="O555" s="5" t="str">
        <f>IFERROR(__xludf.DUMMYFUNCTION("IF(REGEXMATCH(TRIM(I555), ""^\d+\s*min""), ""Unclassified"", IF(I555 = """", ""NR"", I555))"),"TV-MA")</f>
        <v>TV-MA</v>
      </c>
      <c r="R555" s="5" t="str">
        <f t="shared" si="2"/>
        <v>Mortel</v>
      </c>
      <c r="S555" s="5" t="str">
        <f>IFERROR(__xludf.DUMMYFUNCTION("""COMPUTED_VALUE"""),"Andhaghaaram")</f>
        <v>Andhaghaaram</v>
      </c>
      <c r="T555" s="5" t="str">
        <f>IFERROR(__xludf.DUMMYFUNCTION("""COMPUTED_VALUE"""),"United Kingdom, India")</f>
        <v>United Kingdom, India</v>
      </c>
      <c r="U555" s="5" t="str">
        <f>IFERROR(__xludf.DUMMYFUNCTION("""COMPUTED_VALUE"""),"Jeff Wadlow")</f>
        <v>Jeff Wadlow</v>
      </c>
      <c r="V555" s="5" t="s">
        <v>3447</v>
      </c>
      <c r="W555" s="5" t="str">
        <f t="shared" si="3"/>
        <v>Bin Bunluerit</v>
      </c>
      <c r="X555" s="5">
        <f t="shared" si="4"/>
        <v>1</v>
      </c>
      <c r="Y555" s="5" t="str">
        <f>IFERROR(__xludf.DUMMYFUNCTION("REGEXEXTRACT(J555, ""^\d+"")"),"2")</f>
        <v>2</v>
      </c>
      <c r="Z555" s="5" t="str">
        <f>IFERROR(__xludf.DUMMYFUNCTION("REGEXEXTRACT(J555, ""[A-Za-z ]+$"")")," Seasons")</f>
        <v> Seasons</v>
      </c>
      <c r="AA555" s="5" t="str">
        <f>IFERROR(__xludf.DUMMYFUNCTION("IF(REGEXMATCH(Z555, ""Season""), ""TV Show"", ""Movie"")"),"TV Show")</f>
        <v>TV Show</v>
      </c>
    </row>
    <row r="556">
      <c r="A556" s="1" t="s">
        <v>3448</v>
      </c>
      <c r="B556" s="1" t="s">
        <v>27</v>
      </c>
      <c r="C556" s="1" t="s">
        <v>3449</v>
      </c>
      <c r="D556" s="1" t="s">
        <v>3450</v>
      </c>
      <c r="E556" s="1" t="s">
        <v>3451</v>
      </c>
      <c r="F556" s="1" t="s">
        <v>400</v>
      </c>
      <c r="G556" s="1" t="s">
        <v>3423</v>
      </c>
      <c r="H556" s="1">
        <v>2020.0</v>
      </c>
      <c r="I556" s="1" t="s">
        <v>42</v>
      </c>
      <c r="J556" s="1" t="s">
        <v>1383</v>
      </c>
      <c r="K556" s="1" t="s">
        <v>298</v>
      </c>
      <c r="L556" s="1" t="s">
        <v>3452</v>
      </c>
      <c r="M556" s="2" t="s">
        <v>12</v>
      </c>
      <c r="N556" s="4">
        <f t="shared" si="1"/>
        <v>44379</v>
      </c>
      <c r="O556" s="5" t="str">
        <f>IFERROR(__xludf.DUMMYFUNCTION("IF(REGEXMATCH(TRIM(I556), ""^\d+\s*min""), ""Unclassified"", IF(I556 = """", ""NR"", I556))"),"TV-MA")</f>
        <v>TV-MA</v>
      </c>
      <c r="R556" s="5" t="str">
        <f t="shared" si="2"/>
        <v>Rattlesnake - The Ahanna Story</v>
      </c>
      <c r="S556" s="5" t="str">
        <f>IFERROR(__xludf.DUMMYFUNCTION("""COMPUTED_VALUE"""),"Andhakaaram")</f>
        <v>Andhakaaram</v>
      </c>
      <c r="T556" s="5" t="str">
        <f>IFERROR(__xludf.DUMMYFUNCTION("""COMPUTED_VALUE"""),"United Kingdom, India, Sweden")</f>
        <v>United Kingdom, India, Sweden</v>
      </c>
      <c r="U556" s="5" t="str">
        <f>IFERROR(__xludf.DUMMYFUNCTION("""COMPUTED_VALUE"""),"Charles Martin")</f>
        <v>Charles Martin</v>
      </c>
      <c r="V556" s="5" t="s">
        <v>2668</v>
      </c>
      <c r="W556" s="5" t="str">
        <f t="shared" si="3"/>
        <v>Binayak Das</v>
      </c>
      <c r="X556" s="5">
        <f t="shared" si="4"/>
        <v>1</v>
      </c>
      <c r="Y556" s="5" t="str">
        <f>IFERROR(__xludf.DUMMYFUNCTION("REGEXEXTRACT(J556, ""^\d+"")"),"136")</f>
        <v>136</v>
      </c>
      <c r="Z556" s="5" t="str">
        <f>IFERROR(__xludf.DUMMYFUNCTION("REGEXEXTRACT(J556, ""[A-Za-z ]+$"")")," min")</f>
        <v> min</v>
      </c>
      <c r="AA556" s="5" t="str">
        <f>IFERROR(__xludf.DUMMYFUNCTION("IF(REGEXMATCH(Z556, ""Season""), ""TV Show"", ""Movie"")"),"Movie")</f>
        <v>Movie</v>
      </c>
    </row>
    <row r="557">
      <c r="A557" s="1" t="s">
        <v>3453</v>
      </c>
      <c r="B557" s="1" t="s">
        <v>27</v>
      </c>
      <c r="C557" s="1" t="s">
        <v>3454</v>
      </c>
      <c r="D557" s="1" t="s">
        <v>3455</v>
      </c>
      <c r="E557" s="1" t="s">
        <v>3456</v>
      </c>
      <c r="F557" s="1" t="s">
        <v>3457</v>
      </c>
      <c r="G557" s="1" t="s">
        <v>3423</v>
      </c>
      <c r="H557" s="1">
        <v>2013.0</v>
      </c>
      <c r="I557" s="1" t="s">
        <v>378</v>
      </c>
      <c r="J557" s="1" t="s">
        <v>3458</v>
      </c>
      <c r="K557" s="1" t="s">
        <v>3459</v>
      </c>
      <c r="L557" s="1" t="s">
        <v>3460</v>
      </c>
      <c r="M557" s="2" t="s">
        <v>12</v>
      </c>
      <c r="N557" s="4">
        <f t="shared" si="1"/>
        <v>44379</v>
      </c>
      <c r="O557" s="5" t="str">
        <f>IFERROR(__xludf.DUMMYFUNCTION("IF(REGEXMATCH(TRIM(I557), ""^\d+\s*min""), ""Unclassified"", IF(I557 = """", ""NR"", I557))"),"R")</f>
        <v>R</v>
      </c>
      <c r="R557" s="5" t="str">
        <f t="shared" si="2"/>
        <v>Snowpiercer</v>
      </c>
      <c r="S557" s="5" t="str">
        <f>IFERROR(__xludf.DUMMYFUNCTION("""COMPUTED_VALUE"""),"André &amp; His Olive Tree")</f>
        <v>André &amp; His Olive Tree</v>
      </c>
      <c r="T557" s="5" t="str">
        <f>IFERROR(__xludf.DUMMYFUNCTION("""COMPUTED_VALUE"""),"United Kingdom, India, United States")</f>
        <v>United Kingdom, India, United States</v>
      </c>
      <c r="U557" s="5" t="str">
        <f>IFERROR(__xludf.DUMMYFUNCTION("""COMPUTED_VALUE"""),"Stella Corradi")</f>
        <v>Stella Corradi</v>
      </c>
      <c r="V557" s="5" t="s">
        <v>3461</v>
      </c>
      <c r="W557" s="5" t="str">
        <f t="shared" si="3"/>
        <v>Binu Ulahhannan</v>
      </c>
      <c r="X557" s="5">
        <f t="shared" si="4"/>
        <v>1</v>
      </c>
      <c r="Y557" s="5" t="str">
        <f>IFERROR(__xludf.DUMMYFUNCTION("REGEXEXTRACT(J557, ""^\d+"")"),"126")</f>
        <v>126</v>
      </c>
      <c r="Z557" s="5" t="str">
        <f>IFERROR(__xludf.DUMMYFUNCTION("REGEXEXTRACT(J557, ""[A-Za-z ]+$"")")," min")</f>
        <v> min</v>
      </c>
      <c r="AA557" s="5" t="str">
        <f>IFERROR(__xludf.DUMMYFUNCTION("IF(REGEXMATCH(Z557, ""Season""), ""TV Show"", ""Movie"")"),"Movie")</f>
        <v>Movie</v>
      </c>
    </row>
    <row r="558">
      <c r="A558" s="1" t="s">
        <v>3462</v>
      </c>
      <c r="B558" s="1" t="s">
        <v>27</v>
      </c>
      <c r="C558" s="1" t="s">
        <v>3463</v>
      </c>
      <c r="D558" s="1" t="s">
        <v>3464</v>
      </c>
      <c r="E558" s="1" t="s">
        <v>3465</v>
      </c>
      <c r="F558" s="1" t="s">
        <v>749</v>
      </c>
      <c r="G558" s="1" t="s">
        <v>3423</v>
      </c>
      <c r="H558" s="1">
        <v>2021.0</v>
      </c>
      <c r="I558" s="1" t="s">
        <v>97</v>
      </c>
      <c r="J558" s="1" t="s">
        <v>349</v>
      </c>
      <c r="K558" s="1" t="s">
        <v>1592</v>
      </c>
      <c r="L558" s="1" t="s">
        <v>3466</v>
      </c>
      <c r="M558" s="2" t="s">
        <v>12</v>
      </c>
      <c r="N558" s="4">
        <f t="shared" si="1"/>
        <v>44379</v>
      </c>
      <c r="O558" s="5" t="str">
        <f>IFERROR(__xludf.DUMMYFUNCTION("IF(REGEXMATCH(TRIM(I558), ""^\d+\s*min""), ""Unclassified"", IF(I558 = """", ""NR"", I558))"),"TV-14")</f>
        <v>TV-14</v>
      </c>
      <c r="R558" s="5" t="str">
        <f t="shared" si="2"/>
        <v>The 8Th Night</v>
      </c>
      <c r="S558" s="5" t="str">
        <f>IFERROR(__xludf.DUMMYFUNCTION("""COMPUTED_VALUE"""),"Anelka: Misunderstood")</f>
        <v>Anelka: Misunderstood</v>
      </c>
      <c r="T558" s="5" t="str">
        <f>IFERROR(__xludf.DUMMYFUNCTION("""COMPUTED_VALUE"""),"United Kingdom, Ireland")</f>
        <v>United Kingdom, Ireland</v>
      </c>
      <c r="U558" s="5" t="str">
        <f>IFERROR(__xludf.DUMMYFUNCTION("""COMPUTED_VALUE"""),"Roland Emmerich")</f>
        <v>Roland Emmerich</v>
      </c>
      <c r="V558" s="5" t="s">
        <v>3467</v>
      </c>
      <c r="W558" s="5" t="str">
        <f t="shared" si="3"/>
        <v>Biodun Stephen</v>
      </c>
      <c r="X558" s="5">
        <f t="shared" si="4"/>
        <v>1</v>
      </c>
      <c r="Y558" s="5" t="str">
        <f>IFERROR(__xludf.DUMMYFUNCTION("REGEXEXTRACT(J558, ""^\d+"")"),"116")</f>
        <v>116</v>
      </c>
      <c r="Z558" s="5" t="str">
        <f>IFERROR(__xludf.DUMMYFUNCTION("REGEXEXTRACT(J558, ""[A-Za-z ]+$"")")," min")</f>
        <v> min</v>
      </c>
      <c r="AA558" s="5" t="str">
        <f>IFERROR(__xludf.DUMMYFUNCTION("IF(REGEXMATCH(Z558, ""Season""), ""TV Show"", ""Movie"")"),"Movie")</f>
        <v>Movie</v>
      </c>
    </row>
    <row r="559">
      <c r="A559" s="1" t="s">
        <v>3468</v>
      </c>
      <c r="B559" s="1" t="s">
        <v>27</v>
      </c>
      <c r="C559" s="1" t="s">
        <v>3469</v>
      </c>
      <c r="D559" s="1" t="s">
        <v>3470</v>
      </c>
      <c r="E559" s="1" t="s">
        <v>3471</v>
      </c>
      <c r="F559" s="1" t="s">
        <v>972</v>
      </c>
      <c r="G559" s="1" t="s">
        <v>3423</v>
      </c>
      <c r="H559" s="1">
        <v>2018.0</v>
      </c>
      <c r="I559" s="1" t="s">
        <v>32</v>
      </c>
      <c r="J559" s="1" t="s">
        <v>433</v>
      </c>
      <c r="K559" s="1" t="s">
        <v>248</v>
      </c>
      <c r="L559" s="1" t="s">
        <v>3472</v>
      </c>
      <c r="M559" s="2" t="s">
        <v>12</v>
      </c>
      <c r="N559" s="4">
        <f t="shared" si="1"/>
        <v>44379</v>
      </c>
      <c r="O559" s="5" t="str">
        <f>IFERROR(__xludf.DUMMYFUNCTION("IF(REGEXMATCH(TRIM(I559), ""^\d+\s*min""), ""Unclassified"", IF(I559 = """", ""NR"", I559))"),"PG-13")</f>
        <v>PG-13</v>
      </c>
      <c r="R559" s="5" t="str">
        <f t="shared" si="2"/>
        <v>Winchester</v>
      </c>
      <c r="S559" s="5" t="str">
        <f>IFERROR(__xludf.DUMMYFUNCTION("""COMPUTED_VALUE"""),"Anesthesia")</f>
        <v>Anesthesia</v>
      </c>
      <c r="T559" s="5" t="str">
        <f>IFERROR(__xludf.DUMMYFUNCTION("""COMPUTED_VALUE"""),"United Kingdom, Ireland, United States")</f>
        <v>United Kingdom, Ireland, United States</v>
      </c>
      <c r="U559" s="5" t="str">
        <f>IFERROR(__xludf.DUMMYFUNCTION("""COMPUTED_VALUE"""),"Kevin Macdonald")</f>
        <v>Kevin Macdonald</v>
      </c>
      <c r="V559" s="5" t="s">
        <v>3473</v>
      </c>
      <c r="W559" s="5" t="str">
        <f t="shared" si="3"/>
        <v>Biswajeet Bora</v>
      </c>
      <c r="X559" s="5">
        <f t="shared" si="4"/>
        <v>1</v>
      </c>
      <c r="Y559" s="5" t="str">
        <f>IFERROR(__xludf.DUMMYFUNCTION("REGEXEXTRACT(J559, ""^\d+"")"),"100")</f>
        <v>100</v>
      </c>
      <c r="Z559" s="5" t="str">
        <f>IFERROR(__xludf.DUMMYFUNCTION("REGEXEXTRACT(J559, ""[A-Za-z ]+$"")")," min")</f>
        <v> min</v>
      </c>
      <c r="AA559" s="5" t="str">
        <f>IFERROR(__xludf.DUMMYFUNCTION("IF(REGEXMATCH(Z559, ""Season""), ""TV Show"", ""Movie"")"),"Movie")</f>
        <v>Movie</v>
      </c>
    </row>
    <row r="560">
      <c r="A560" s="1" t="s">
        <v>3474</v>
      </c>
      <c r="B560" s="1" t="s">
        <v>27</v>
      </c>
      <c r="C560" s="1" t="s">
        <v>3475</v>
      </c>
      <c r="D560" s="1" t="s">
        <v>3476</v>
      </c>
      <c r="E560" s="1" t="s">
        <v>3477</v>
      </c>
      <c r="F560" s="1" t="s">
        <v>30</v>
      </c>
      <c r="G560" s="1" t="s">
        <v>3478</v>
      </c>
      <c r="H560" s="1">
        <v>2012.0</v>
      </c>
      <c r="I560" s="1" t="s">
        <v>378</v>
      </c>
      <c r="J560" s="1" t="s">
        <v>379</v>
      </c>
      <c r="K560" s="1" t="s">
        <v>380</v>
      </c>
      <c r="L560" s="1" t="s">
        <v>3479</v>
      </c>
      <c r="M560" s="2" t="s">
        <v>12</v>
      </c>
      <c r="N560" s="4">
        <f t="shared" si="1"/>
        <v>44378</v>
      </c>
      <c r="O560" s="5" t="str">
        <f>IFERROR(__xludf.DUMMYFUNCTION("IF(REGEXMATCH(TRIM(I560), ""^\d+\s*min""), ""Unclassified"", IF(I560 = """", ""NR"", I560))"),"R")</f>
        <v>R</v>
      </c>
      <c r="R560" s="5" t="str">
        <f t="shared" si="2"/>
        <v>6 Bullets</v>
      </c>
      <c r="S560" s="5" t="str">
        <f>IFERROR(__xludf.DUMMYFUNCTION("""COMPUTED_VALUE"""),"Angamaly Diaries")</f>
        <v>Angamaly Diaries</v>
      </c>
      <c r="T560" s="5" t="str">
        <f>IFERROR(__xludf.DUMMYFUNCTION("""COMPUTED_VALUE"""),"United Kingdom, Israel, Russia")</f>
        <v>United Kingdom, Israel, Russia</v>
      </c>
      <c r="U560" s="5" t="str">
        <f>IFERROR(__xludf.DUMMYFUNCTION("""COMPUTED_VALUE"""),"Ann Deborah Fishman")</f>
        <v>Ann Deborah Fishman</v>
      </c>
      <c r="V560" s="5" t="s">
        <v>3480</v>
      </c>
      <c r="W560" s="5" t="str">
        <f t="shared" si="3"/>
        <v>Biyi Bandele</v>
      </c>
      <c r="X560" s="5">
        <f t="shared" si="4"/>
        <v>1</v>
      </c>
      <c r="Y560" s="5" t="str">
        <f>IFERROR(__xludf.DUMMYFUNCTION("REGEXEXTRACT(J560, ""^\d+"")"),"115")</f>
        <v>115</v>
      </c>
      <c r="Z560" s="5" t="str">
        <f>IFERROR(__xludf.DUMMYFUNCTION("REGEXEXTRACT(J560, ""[A-Za-z ]+$"")")," min")</f>
        <v> min</v>
      </c>
      <c r="AA560" s="5" t="str">
        <f>IFERROR(__xludf.DUMMYFUNCTION("IF(REGEXMATCH(Z560, ""Season""), ""TV Show"", ""Movie"")"),"Movie")</f>
        <v>Movie</v>
      </c>
    </row>
    <row r="561">
      <c r="A561" s="1" t="s">
        <v>3481</v>
      </c>
      <c r="B561" s="1" t="s">
        <v>27</v>
      </c>
      <c r="C561" s="1" t="s">
        <v>3482</v>
      </c>
      <c r="D561" s="1" t="s">
        <v>1183</v>
      </c>
      <c r="E561" s="1" t="s">
        <v>3483</v>
      </c>
      <c r="F561" s="1" t="s">
        <v>1205</v>
      </c>
      <c r="G561" s="1" t="s">
        <v>3478</v>
      </c>
      <c r="H561" s="1">
        <v>1997.0</v>
      </c>
      <c r="I561" s="1" t="s">
        <v>378</v>
      </c>
      <c r="J561" s="1" t="s">
        <v>88</v>
      </c>
      <c r="K561" s="1" t="s">
        <v>380</v>
      </c>
      <c r="L561" s="1" t="s">
        <v>3484</v>
      </c>
      <c r="M561" s="2" t="s">
        <v>12</v>
      </c>
      <c r="N561" s="4">
        <f t="shared" si="1"/>
        <v>44378</v>
      </c>
      <c r="O561" s="5" t="str">
        <f>IFERROR(__xludf.DUMMYFUNCTION("IF(REGEXMATCH(TRIM(I561), ""^\d+\s*min""), ""Unclassified"", IF(I561 = """", ""NR"", I561))"),"R")</f>
        <v>R</v>
      </c>
      <c r="R561" s="5" t="str">
        <f t="shared" si="2"/>
        <v>Air Force One</v>
      </c>
      <c r="S561" s="5" t="str">
        <f>IFERROR(__xludf.DUMMYFUNCTION("""COMPUTED_VALUE"""),"Angel 'N' Devil")</f>
        <v>Angel 'N' Devil</v>
      </c>
      <c r="T561" s="5" t="str">
        <f>IFERROR(__xludf.DUMMYFUNCTION("""COMPUTED_VALUE"""),"United Kingdom, Italy")</f>
        <v>United Kingdom, Italy</v>
      </c>
      <c r="U561" s="5" t="str">
        <f>IFERROR(__xludf.DUMMYFUNCTION("""COMPUTED_VALUE"""),"Chris Gorak")</f>
        <v>Chris Gorak</v>
      </c>
      <c r="V561" s="5" t="s">
        <v>3485</v>
      </c>
      <c r="W561" s="5" t="str">
        <f t="shared" si="3"/>
        <v>Blair Hayes</v>
      </c>
      <c r="X561" s="5">
        <f t="shared" si="4"/>
        <v>1</v>
      </c>
      <c r="Y561" s="5" t="str">
        <f>IFERROR(__xludf.DUMMYFUNCTION("REGEXEXTRACT(J561, ""^\d+"")"),"125")</f>
        <v>125</v>
      </c>
      <c r="Z561" s="5" t="str">
        <f>IFERROR(__xludf.DUMMYFUNCTION("REGEXEXTRACT(J561, ""[A-Za-z ]+$"")")," min")</f>
        <v> min</v>
      </c>
      <c r="AA561" s="5" t="str">
        <f>IFERROR(__xludf.DUMMYFUNCTION("IF(REGEXMATCH(Z561, ""Season""), ""TV Show"", ""Movie"")"),"Movie")</f>
        <v>Movie</v>
      </c>
    </row>
    <row r="562">
      <c r="A562" s="1" t="s">
        <v>3486</v>
      </c>
      <c r="B562" s="1" t="s">
        <v>27</v>
      </c>
      <c r="C562" s="1" t="s">
        <v>3487</v>
      </c>
      <c r="D562" s="1" t="s">
        <v>3488</v>
      </c>
      <c r="G562" s="1" t="s">
        <v>3478</v>
      </c>
      <c r="H562" s="1">
        <v>2021.0</v>
      </c>
      <c r="I562" s="1" t="s">
        <v>32</v>
      </c>
      <c r="J562" s="1" t="s">
        <v>2977</v>
      </c>
      <c r="K562" s="1" t="s">
        <v>645</v>
      </c>
      <c r="L562" s="1" t="s">
        <v>3489</v>
      </c>
      <c r="M562" s="2" t="s">
        <v>12</v>
      </c>
      <c r="N562" s="4">
        <f t="shared" si="1"/>
        <v>44378</v>
      </c>
      <c r="O562" s="5" t="str">
        <f>IFERROR(__xludf.DUMMYFUNCTION("IF(REGEXMATCH(TRIM(I562), ""^\d+\s*min""), ""Unclassified"", IF(I562 = """", ""NR"", I562))"),"PG-13")</f>
        <v>PG-13</v>
      </c>
      <c r="R562" s="5" t="str">
        <f t="shared" si="2"/>
        <v>Audible</v>
      </c>
      <c r="S562" s="5" t="str">
        <f>IFERROR(__xludf.DUMMYFUNCTION("""COMPUTED_VALUE"""),"Angel Beats!")</f>
        <v>Angel Beats!</v>
      </c>
      <c r="T562" s="5" t="str">
        <f>IFERROR(__xludf.DUMMYFUNCTION("""COMPUTED_VALUE"""),"United Kingdom, Italy, Israel, Peru, United States")</f>
        <v>United Kingdom, Italy, Israel, Peru, United States</v>
      </c>
      <c r="U562" s="5" t="str">
        <f>IFERROR(__xludf.DUMMYFUNCTION("""COMPUTED_VALUE"""),"Peter Jackson")</f>
        <v>Peter Jackson</v>
      </c>
      <c r="V562" s="5" t="s">
        <v>3490</v>
      </c>
      <c r="W562" s="5" t="str">
        <f t="shared" si="3"/>
        <v>Blair Simmons</v>
      </c>
      <c r="X562" s="5">
        <f t="shared" si="4"/>
        <v>3</v>
      </c>
      <c r="Y562" s="5" t="str">
        <f>IFERROR(__xludf.DUMMYFUNCTION("REGEXEXTRACT(J562, ""^\d+"")"),"39")</f>
        <v>39</v>
      </c>
      <c r="Z562" s="5" t="str">
        <f>IFERROR(__xludf.DUMMYFUNCTION("REGEXEXTRACT(J562, ""[A-Za-z ]+$"")")," min")</f>
        <v> min</v>
      </c>
      <c r="AA562" s="5" t="str">
        <f>IFERROR(__xludf.DUMMYFUNCTION("IF(REGEXMATCH(Z562, ""Season""), ""TV Show"", ""Movie"")"),"Movie")</f>
        <v>Movie</v>
      </c>
    </row>
    <row r="563">
      <c r="A563" s="1" t="s">
        <v>3491</v>
      </c>
      <c r="B563" s="1" t="s">
        <v>27</v>
      </c>
      <c r="C563" s="1" t="s">
        <v>3492</v>
      </c>
      <c r="D563" s="1" t="s">
        <v>3493</v>
      </c>
      <c r="E563" s="1" t="s">
        <v>3494</v>
      </c>
      <c r="F563" s="1" t="s">
        <v>30</v>
      </c>
      <c r="G563" s="1" t="s">
        <v>3478</v>
      </c>
      <c r="H563" s="1">
        <v>2002.0</v>
      </c>
      <c r="I563" s="1" t="s">
        <v>32</v>
      </c>
      <c r="J563" s="1" t="s">
        <v>170</v>
      </c>
      <c r="K563" s="1" t="s">
        <v>973</v>
      </c>
      <c r="L563" s="1" t="s">
        <v>3495</v>
      </c>
      <c r="M563" s="2" t="s">
        <v>12</v>
      </c>
      <c r="N563" s="4">
        <f t="shared" si="1"/>
        <v>44378</v>
      </c>
      <c r="O563" s="5" t="str">
        <f>IFERROR(__xludf.DUMMYFUNCTION("IF(REGEXMATCH(TRIM(I563), ""^\d+\s*min""), ""Unclassified"", IF(I563 = """", ""NR"", I563))"),"PG-13")</f>
        <v>PG-13</v>
      </c>
      <c r="R563" s="5" t="str">
        <f t="shared" si="2"/>
        <v>Austin Powers In Goldmember</v>
      </c>
      <c r="S563" s="5" t="str">
        <f>IFERROR(__xludf.DUMMYFUNCTION("""COMPUTED_VALUE"""),"Angel Eyes")</f>
        <v>Angel Eyes</v>
      </c>
      <c r="T563" s="5" t="str">
        <f>IFERROR(__xludf.DUMMYFUNCTION("""COMPUTED_VALUE"""),"United Kingdom, Japan")</f>
        <v>United Kingdom, Japan</v>
      </c>
      <c r="U563" s="5" t="str">
        <f>IFERROR(__xludf.DUMMYFUNCTION("""COMPUTED_VALUE"""),"Roger Kumble")</f>
        <v>Roger Kumble</v>
      </c>
      <c r="V563" s="5" t="s">
        <v>3496</v>
      </c>
      <c r="W563" s="5" t="str">
        <f t="shared" si="3"/>
        <v>Blake Harris, Chris Bouchard</v>
      </c>
      <c r="X563" s="5">
        <f t="shared" si="4"/>
        <v>1</v>
      </c>
      <c r="Y563" s="5" t="str">
        <f>IFERROR(__xludf.DUMMYFUNCTION("REGEXEXTRACT(J563, ""^\d+"")"),"94")</f>
        <v>94</v>
      </c>
      <c r="Z563" s="5" t="str">
        <f>IFERROR(__xludf.DUMMYFUNCTION("REGEXEXTRACT(J563, ""[A-Za-z ]+$"")")," min")</f>
        <v> min</v>
      </c>
      <c r="AA563" s="5" t="str">
        <f>IFERROR(__xludf.DUMMYFUNCTION("IF(REGEXMATCH(Z563, ""Season""), ""TV Show"", ""Movie"")"),"Movie")</f>
        <v>Movie</v>
      </c>
    </row>
    <row r="564">
      <c r="A564" s="1" t="s">
        <v>3497</v>
      </c>
      <c r="B564" s="1" t="s">
        <v>27</v>
      </c>
      <c r="C564" s="1" t="s">
        <v>3498</v>
      </c>
      <c r="D564" s="1" t="s">
        <v>3493</v>
      </c>
      <c r="E564" s="1" t="s">
        <v>3499</v>
      </c>
      <c r="F564" s="1" t="s">
        <v>30</v>
      </c>
      <c r="G564" s="1" t="s">
        <v>3478</v>
      </c>
      <c r="H564" s="1">
        <v>1997.0</v>
      </c>
      <c r="I564" s="1" t="s">
        <v>32</v>
      </c>
      <c r="J564" s="1" t="s">
        <v>33</v>
      </c>
      <c r="K564" s="1" t="s">
        <v>239</v>
      </c>
      <c r="L564" s="1" t="s">
        <v>3500</v>
      </c>
      <c r="M564" s="2" t="s">
        <v>12</v>
      </c>
      <c r="N564" s="4">
        <f t="shared" si="1"/>
        <v>44378</v>
      </c>
      <c r="O564" s="5" t="str">
        <f>IFERROR(__xludf.DUMMYFUNCTION("IF(REGEXMATCH(TRIM(I564), ""^\d+\s*min""), ""Unclassified"", IF(I564 = """", ""NR"", I564))"),"PG-13")</f>
        <v>PG-13</v>
      </c>
      <c r="R564" s="5" t="str">
        <f t="shared" si="2"/>
        <v>Austin Powers: International Man Of Mystery</v>
      </c>
      <c r="S564" s="5" t="str">
        <f>IFERROR(__xludf.DUMMYFUNCTION("""COMPUTED_VALUE"""),"Angel Has Fallen")</f>
        <v>Angel Has Fallen</v>
      </c>
      <c r="T564" s="5" t="str">
        <f>IFERROR(__xludf.DUMMYFUNCTION("""COMPUTED_VALUE"""),"United Kingdom, Japan, United States")</f>
        <v>United Kingdom, Japan, United States</v>
      </c>
      <c r="U564" s="5" t="str">
        <f>IFERROR(__xludf.DUMMYFUNCTION("""COMPUTED_VALUE"""),"Jonathan Lynn")</f>
        <v>Jonathan Lynn</v>
      </c>
      <c r="V564" s="5" t="s">
        <v>3501</v>
      </c>
      <c r="W564" s="5" t="str">
        <f t="shared" si="3"/>
        <v>Blayne Weaver</v>
      </c>
      <c r="X564" s="5">
        <f t="shared" si="4"/>
        <v>1</v>
      </c>
      <c r="Y564" s="5" t="str">
        <f>IFERROR(__xludf.DUMMYFUNCTION("REGEXEXTRACT(J564, ""^\d+"")"),"90")</f>
        <v>90</v>
      </c>
      <c r="Z564" s="5" t="str">
        <f>IFERROR(__xludf.DUMMYFUNCTION("REGEXEXTRACT(J564, ""[A-Za-z ]+$"")")," min")</f>
        <v> min</v>
      </c>
      <c r="AA564" s="5" t="str">
        <f>IFERROR(__xludf.DUMMYFUNCTION("IF(REGEXMATCH(Z564, ""Season""), ""TV Show"", ""Movie"")"),"Movie")</f>
        <v>Movie</v>
      </c>
    </row>
    <row r="565">
      <c r="A565" s="1" t="s">
        <v>3502</v>
      </c>
      <c r="B565" s="1" t="s">
        <v>27</v>
      </c>
      <c r="C565" s="1" t="s">
        <v>3503</v>
      </c>
      <c r="D565" s="1" t="s">
        <v>3493</v>
      </c>
      <c r="E565" s="1" t="s">
        <v>3504</v>
      </c>
      <c r="F565" s="1" t="s">
        <v>30</v>
      </c>
      <c r="G565" s="1" t="s">
        <v>3478</v>
      </c>
      <c r="H565" s="1">
        <v>1999.0</v>
      </c>
      <c r="I565" s="1" t="s">
        <v>32</v>
      </c>
      <c r="J565" s="1" t="s">
        <v>465</v>
      </c>
      <c r="K565" s="1" t="s">
        <v>3505</v>
      </c>
      <c r="L565" s="1" t="s">
        <v>3506</v>
      </c>
      <c r="M565" s="2" t="s">
        <v>12</v>
      </c>
      <c r="N565" s="4">
        <f t="shared" si="1"/>
        <v>44378</v>
      </c>
      <c r="O565" s="5" t="str">
        <f>IFERROR(__xludf.DUMMYFUNCTION("IF(REGEXMATCH(TRIM(I565), ""^\d+\s*min""), ""Unclassified"", IF(I565 = """", ""NR"", I565))"),"PG-13")</f>
        <v>PG-13</v>
      </c>
      <c r="R565" s="5" t="str">
        <f t="shared" si="2"/>
        <v>Austin Powers: The Spy Who Shagged Me</v>
      </c>
      <c r="S565" s="5" t="str">
        <f>IFERROR(__xludf.DUMMYFUNCTION("""COMPUTED_VALUE"""),"Angela'S Christmas")</f>
        <v>Angela'S Christmas</v>
      </c>
      <c r="T565" s="5" t="str">
        <f>IFERROR(__xludf.DUMMYFUNCTION("""COMPUTED_VALUE"""),"United Kingdom, Jordan, Qatar, Iran")</f>
        <v>United Kingdom, Jordan, Qatar, Iran</v>
      </c>
      <c r="U565" s="5" t="str">
        <f>IFERROR(__xludf.DUMMYFUNCTION("""COMPUTED_VALUE"""),"Courtney Hunt")</f>
        <v>Courtney Hunt</v>
      </c>
      <c r="V565" s="5" t="s">
        <v>3507</v>
      </c>
      <c r="W565" s="5" t="str">
        <f t="shared" si="3"/>
        <v>Bo Burnham</v>
      </c>
      <c r="X565" s="5">
        <f t="shared" si="4"/>
        <v>2</v>
      </c>
      <c r="Y565" s="5" t="str">
        <f>IFERROR(__xludf.DUMMYFUNCTION("REGEXEXTRACT(J565, ""^\d+"")"),"95")</f>
        <v>95</v>
      </c>
      <c r="Z565" s="5" t="str">
        <f>IFERROR(__xludf.DUMMYFUNCTION("REGEXEXTRACT(J565, ""[A-Za-z ]+$"")")," min")</f>
        <v> min</v>
      </c>
      <c r="AA565" s="5" t="str">
        <f>IFERROR(__xludf.DUMMYFUNCTION("IF(REGEXMATCH(Z565, ""Season""), ""TV Show"", ""Movie"")"),"Movie")</f>
        <v>Movie</v>
      </c>
    </row>
    <row r="566">
      <c r="A566" s="1" t="s">
        <v>3508</v>
      </c>
      <c r="B566" s="1" t="s">
        <v>27</v>
      </c>
      <c r="C566" s="1" t="s">
        <v>3509</v>
      </c>
      <c r="D566" s="1" t="s">
        <v>2222</v>
      </c>
      <c r="E566" s="1" t="s">
        <v>3510</v>
      </c>
      <c r="F566" s="1" t="s">
        <v>30</v>
      </c>
      <c r="G566" s="1" t="s">
        <v>3478</v>
      </c>
      <c r="H566" s="1">
        <v>1997.0</v>
      </c>
      <c r="I566" s="1" t="s">
        <v>378</v>
      </c>
      <c r="J566" s="1" t="s">
        <v>3511</v>
      </c>
      <c r="K566" s="1" t="s">
        <v>836</v>
      </c>
      <c r="L566" s="1" t="s">
        <v>3512</v>
      </c>
      <c r="M566" s="2" t="s">
        <v>12</v>
      </c>
      <c r="N566" s="4">
        <f t="shared" si="1"/>
        <v>44378</v>
      </c>
      <c r="O566" s="5" t="str">
        <f>IFERROR(__xludf.DUMMYFUNCTION("IF(REGEXMATCH(TRIM(I566), ""^\d+\s*min""), ""Unclassified"", IF(I566 = """", ""NR"", I566))"),"R")</f>
        <v>R</v>
      </c>
      <c r="R566" s="5" t="str">
        <f t="shared" si="2"/>
        <v>Boogie Nights</v>
      </c>
      <c r="S566" s="5" t="str">
        <f>IFERROR(__xludf.DUMMYFUNCTION("""COMPUTED_VALUE"""),"Angela'S Christmas Wish")</f>
        <v>Angela'S Christmas Wish</v>
      </c>
      <c r="T566" s="5" t="str">
        <f>IFERROR(__xludf.DUMMYFUNCTION("""COMPUTED_VALUE"""),"United Kingdom, Kenya")</f>
        <v>United Kingdom, Kenya</v>
      </c>
      <c r="U566" s="5" t="str">
        <f>IFERROR(__xludf.DUMMYFUNCTION("""COMPUTED_VALUE"""),"Pierre Greco, Nancy Florence Savard")</f>
        <v>Pierre Greco, Nancy Florence Savard</v>
      </c>
      <c r="V566" s="5" t="s">
        <v>3513</v>
      </c>
      <c r="W566" s="5" t="str">
        <f t="shared" si="3"/>
        <v>Bo Burnham, Christopher Storer</v>
      </c>
      <c r="X566" s="5">
        <f t="shared" si="4"/>
        <v>2</v>
      </c>
      <c r="Y566" s="5" t="str">
        <f>IFERROR(__xludf.DUMMYFUNCTION("REGEXEXTRACT(J566, ""^\d+"")"),"155")</f>
        <v>155</v>
      </c>
      <c r="Z566" s="5" t="str">
        <f>IFERROR(__xludf.DUMMYFUNCTION("REGEXEXTRACT(J566, ""[A-Za-z ]+$"")")," min")</f>
        <v> min</v>
      </c>
      <c r="AA566" s="5" t="str">
        <f>IFERROR(__xludf.DUMMYFUNCTION("IF(REGEXMATCH(Z566, ""Season""), ""TV Show"", ""Movie"")"),"Movie")</f>
        <v>Movie</v>
      </c>
    </row>
    <row r="567">
      <c r="A567" s="1" t="s">
        <v>3514</v>
      </c>
      <c r="B567" s="1" t="s">
        <v>37</v>
      </c>
      <c r="C567" s="1" t="s">
        <v>3515</v>
      </c>
      <c r="E567" s="1" t="s">
        <v>3516</v>
      </c>
      <c r="F567" s="1" t="s">
        <v>3517</v>
      </c>
      <c r="G567" s="1" t="s">
        <v>3478</v>
      </c>
      <c r="H567" s="1">
        <v>2020.0</v>
      </c>
      <c r="I567" s="1" t="s">
        <v>506</v>
      </c>
      <c r="J567" s="1" t="s">
        <v>51</v>
      </c>
      <c r="K567" s="1" t="s">
        <v>3518</v>
      </c>
      <c r="L567" s="1" t="s">
        <v>3519</v>
      </c>
      <c r="M567" s="2" t="s">
        <v>12</v>
      </c>
      <c r="N567" s="4">
        <f t="shared" si="1"/>
        <v>44378</v>
      </c>
      <c r="O567" s="5" t="str">
        <f>IFERROR(__xludf.DUMMYFUNCTION("IF(REGEXMATCH(TRIM(I567), ""^\d+\s*min""), ""Unclassified"", IF(I567 = """", ""NR"", I567))"),"TV-G")</f>
        <v>TV-G</v>
      </c>
      <c r="R567" s="5" t="str">
        <f t="shared" si="2"/>
        <v>Bureau Of Magical Things</v>
      </c>
      <c r="S567" s="5" t="str">
        <f>IFERROR(__xludf.DUMMYFUNCTION("""COMPUTED_VALUE"""),"Angelina Ballerina")</f>
        <v>Angelina Ballerina</v>
      </c>
      <c r="T567" s="5" t="str">
        <f>IFERROR(__xludf.DUMMYFUNCTION("""COMPUTED_VALUE"""),"United Kingdom, Lithuania")</f>
        <v>United Kingdom, Lithuania</v>
      </c>
      <c r="U567" s="5" t="str">
        <f>IFERROR(__xludf.DUMMYFUNCTION("""COMPUTED_VALUE"""),"Andrew Davis")</f>
        <v>Andrew Davis</v>
      </c>
      <c r="V567" s="5" t="s">
        <v>3520</v>
      </c>
      <c r="W567" s="5" t="str">
        <f t="shared" si="3"/>
        <v>Bo Welch</v>
      </c>
      <c r="X567" s="5">
        <f t="shared" si="4"/>
        <v>1</v>
      </c>
      <c r="Y567" s="5" t="str">
        <f>IFERROR(__xludf.DUMMYFUNCTION("REGEXEXTRACT(J567, ""^\d+"")"),"1")</f>
        <v>1</v>
      </c>
      <c r="Z567" s="5" t="str">
        <f>IFERROR(__xludf.DUMMYFUNCTION("REGEXEXTRACT(J567, ""[A-Za-z ]+$"")")," Season")</f>
        <v> Season</v>
      </c>
      <c r="AA567" s="5" t="str">
        <f>IFERROR(__xludf.DUMMYFUNCTION("IF(REGEXMATCH(Z567, ""Season""), ""TV Show"", ""Movie"")"),"TV Show")</f>
        <v>TV Show</v>
      </c>
    </row>
    <row r="568">
      <c r="A568" s="1" t="s">
        <v>3521</v>
      </c>
      <c r="B568" s="1" t="s">
        <v>27</v>
      </c>
      <c r="C568" s="1" t="s">
        <v>3522</v>
      </c>
      <c r="D568" s="1" t="s">
        <v>3523</v>
      </c>
      <c r="E568" s="1" t="s">
        <v>3524</v>
      </c>
      <c r="F568" s="1" t="s">
        <v>1205</v>
      </c>
      <c r="G568" s="1" t="s">
        <v>3478</v>
      </c>
      <c r="H568" s="1">
        <v>2000.0</v>
      </c>
      <c r="I568" s="1" t="s">
        <v>32</v>
      </c>
      <c r="J568" s="1" t="s">
        <v>357</v>
      </c>
      <c r="K568" s="1" t="s">
        <v>973</v>
      </c>
      <c r="L568" s="1" t="s">
        <v>3525</v>
      </c>
      <c r="M568" s="2" t="s">
        <v>12</v>
      </c>
      <c r="N568" s="4">
        <f t="shared" si="1"/>
        <v>44378</v>
      </c>
      <c r="O568" s="5" t="str">
        <f>IFERROR(__xludf.DUMMYFUNCTION("IF(REGEXMATCH(TRIM(I568), ""^\d+\s*min""), ""Unclassified"", IF(I568 = """", ""NR"", I568))"),"PG-13")</f>
        <v>PG-13</v>
      </c>
      <c r="R568" s="5" t="str">
        <f t="shared" si="2"/>
        <v>Charlie'S Angels</v>
      </c>
      <c r="S568" s="5" t="str">
        <f>IFERROR(__xludf.DUMMYFUNCTION("""COMPUTED_VALUE"""),"Angels &amp; Demons")</f>
        <v>Angels &amp; Demons</v>
      </c>
      <c r="T568" s="5" t="str">
        <f>IFERROR(__xludf.DUMMYFUNCTION("""COMPUTED_VALUE"""),"United Kingdom, Malawi")</f>
        <v>United Kingdom, Malawi</v>
      </c>
      <c r="U568" s="5" t="str">
        <f>IFERROR(__xludf.DUMMYFUNCTION("""COMPUTED_VALUE"""),"Kevin Smith")</f>
        <v>Kevin Smith</v>
      </c>
      <c r="V568" s="5" t="s">
        <v>3526</v>
      </c>
      <c r="W568" s="5" t="str">
        <f t="shared" si="3"/>
        <v>Bob Hercules, Rita Coburn Whack</v>
      </c>
      <c r="X568" s="5">
        <f t="shared" si="4"/>
        <v>1</v>
      </c>
      <c r="Y568" s="5" t="str">
        <f>IFERROR(__xludf.DUMMYFUNCTION("REGEXEXTRACT(J568, ""^\d+"")"),"98")</f>
        <v>98</v>
      </c>
      <c r="Z568" s="5" t="str">
        <f>IFERROR(__xludf.DUMMYFUNCTION("REGEXEXTRACT(J568, ""[A-Za-z ]+$"")")," min")</f>
        <v> min</v>
      </c>
      <c r="AA568" s="5" t="str">
        <f>IFERROR(__xludf.DUMMYFUNCTION("IF(REGEXMATCH(Z568, ""Season""), ""TV Show"", ""Movie"")"),"Movie")</f>
        <v>Movie</v>
      </c>
    </row>
    <row r="569">
      <c r="A569" s="1" t="s">
        <v>3527</v>
      </c>
      <c r="B569" s="1" t="s">
        <v>27</v>
      </c>
      <c r="C569" s="1" t="s">
        <v>3528</v>
      </c>
      <c r="D569" s="1" t="s">
        <v>3529</v>
      </c>
      <c r="E569" s="1" t="s">
        <v>3530</v>
      </c>
      <c r="F569" s="1" t="s">
        <v>30</v>
      </c>
      <c r="G569" s="1" t="s">
        <v>3478</v>
      </c>
      <c r="H569" s="1">
        <v>1995.0</v>
      </c>
      <c r="I569" s="1" t="s">
        <v>32</v>
      </c>
      <c r="J569" s="1" t="s">
        <v>912</v>
      </c>
      <c r="K569" s="1" t="s">
        <v>3531</v>
      </c>
      <c r="L569" s="1" t="s">
        <v>3532</v>
      </c>
      <c r="M569" s="2" t="s">
        <v>12</v>
      </c>
      <c r="N569" s="4">
        <f t="shared" si="1"/>
        <v>44378</v>
      </c>
      <c r="O569" s="5" t="str">
        <f>IFERROR(__xludf.DUMMYFUNCTION("IF(REGEXMATCH(TRIM(I569), ""^\d+\s*min""), ""Unclassified"", IF(I569 = """", ""NR"", I569))"),"PG-13")</f>
        <v>PG-13</v>
      </c>
      <c r="R569" s="5" t="str">
        <f t="shared" si="2"/>
        <v>Congo</v>
      </c>
      <c r="S569" s="5" t="str">
        <f>IFERROR(__xludf.DUMMYFUNCTION("""COMPUTED_VALUE"""),"Anger Management")</f>
        <v>Anger Management</v>
      </c>
      <c r="T569" s="5" t="str">
        <f>IFERROR(__xludf.DUMMYFUNCTION("""COMPUTED_VALUE"""),"United Kingdom, Namibia, South Africa, Zimbabwe, United States")</f>
        <v>United Kingdom, Namibia, South Africa, Zimbabwe, United States</v>
      </c>
      <c r="U569" s="5" t="str">
        <f>IFERROR(__xludf.DUMMYFUNCTION("""COMPUTED_VALUE"""),"Chaitanya Tamhane")</f>
        <v>Chaitanya Tamhane</v>
      </c>
      <c r="V569" s="5" t="s">
        <v>3533</v>
      </c>
      <c r="W569" s="5" t="str">
        <f t="shared" si="3"/>
        <v>Bob Nelson</v>
      </c>
      <c r="X569" s="5">
        <f t="shared" si="4"/>
        <v>1</v>
      </c>
      <c r="Y569" s="5" t="str">
        <f>IFERROR(__xludf.DUMMYFUNCTION("REGEXEXTRACT(J569, ""^\d+"")"),"108")</f>
        <v>108</v>
      </c>
      <c r="Z569" s="5" t="str">
        <f>IFERROR(__xludf.DUMMYFUNCTION("REGEXEXTRACT(J569, ""[A-Za-z ]+$"")")," min")</f>
        <v> min</v>
      </c>
      <c r="AA569" s="5" t="str">
        <f>IFERROR(__xludf.DUMMYFUNCTION("IF(REGEXMATCH(Z569, ""Season""), ""TV Show"", ""Movie"")"),"Movie")</f>
        <v>Movie</v>
      </c>
    </row>
    <row r="570">
      <c r="A570" s="1" t="s">
        <v>3534</v>
      </c>
      <c r="B570" s="1" t="s">
        <v>27</v>
      </c>
      <c r="C570" s="1" t="s">
        <v>3535</v>
      </c>
      <c r="D570" s="1" t="s">
        <v>2229</v>
      </c>
      <c r="E570" s="1" t="s">
        <v>3536</v>
      </c>
      <c r="F570" s="1" t="s">
        <v>30</v>
      </c>
      <c r="G570" s="1" t="s">
        <v>3478</v>
      </c>
      <c r="H570" s="1">
        <v>1993.0</v>
      </c>
      <c r="I570" s="1" t="s">
        <v>78</v>
      </c>
      <c r="J570" s="1" t="s">
        <v>322</v>
      </c>
      <c r="K570" s="1" t="s">
        <v>137</v>
      </c>
      <c r="L570" s="1" t="s">
        <v>3537</v>
      </c>
      <c r="M570" s="2" t="s">
        <v>12</v>
      </c>
      <c r="N570" s="4">
        <f t="shared" si="1"/>
        <v>44378</v>
      </c>
      <c r="O570" s="5" t="str">
        <f>IFERROR(__xludf.DUMMYFUNCTION("IF(REGEXMATCH(TRIM(I570), ""^\d+\s*min""), ""Unclassified"", IF(I570 = """", ""NR"", I570))"),"PG")</f>
        <v>PG</v>
      </c>
      <c r="R570" s="5" t="str">
        <f t="shared" si="2"/>
        <v>Dennis The Menace</v>
      </c>
      <c r="S570" s="5" t="str">
        <f>IFERROR(__xludf.DUMMYFUNCTION("""COMPUTED_VALUE"""),"Angry Birds")</f>
        <v>Angry Birds</v>
      </c>
      <c r="T570" s="5" t="str">
        <f>IFERROR(__xludf.DUMMYFUNCTION("""COMPUTED_VALUE"""),"United Kingdom, New Zealand")</f>
        <v>United Kingdom, New Zealand</v>
      </c>
      <c r="U570" s="5" t="str">
        <f>IFERROR(__xludf.DUMMYFUNCTION("""COMPUTED_VALUE"""),"Oriol Paulo")</f>
        <v>Oriol Paulo</v>
      </c>
      <c r="V570" s="5" t="s">
        <v>3538</v>
      </c>
      <c r="W570" s="5" t="str">
        <f t="shared" si="3"/>
        <v>Bob Odenkirk</v>
      </c>
      <c r="X570" s="5">
        <f t="shared" si="4"/>
        <v>1</v>
      </c>
      <c r="Y570" s="5" t="str">
        <f>IFERROR(__xludf.DUMMYFUNCTION("REGEXEXTRACT(J570, ""^\d+"")"),"96")</f>
        <v>96</v>
      </c>
      <c r="Z570" s="5" t="str">
        <f>IFERROR(__xludf.DUMMYFUNCTION("REGEXEXTRACT(J570, ""[A-Za-z ]+$"")")," min")</f>
        <v> min</v>
      </c>
      <c r="AA570" s="5" t="str">
        <f>IFERROR(__xludf.DUMMYFUNCTION("IF(REGEXMATCH(Z570, ""Season""), ""TV Show"", ""Movie"")"),"Movie")</f>
        <v>Movie</v>
      </c>
    </row>
    <row r="571">
      <c r="A571" s="1" t="s">
        <v>3539</v>
      </c>
      <c r="B571" s="1" t="s">
        <v>27</v>
      </c>
      <c r="C571" s="1" t="s">
        <v>3540</v>
      </c>
      <c r="D571" s="1" t="s">
        <v>3541</v>
      </c>
      <c r="E571" s="1" t="s">
        <v>3542</v>
      </c>
      <c r="F571" s="1" t="s">
        <v>3543</v>
      </c>
      <c r="G571" s="1" t="s">
        <v>3478</v>
      </c>
      <c r="H571" s="1">
        <v>2019.0</v>
      </c>
      <c r="I571" s="1" t="s">
        <v>97</v>
      </c>
      <c r="J571" s="1" t="s">
        <v>743</v>
      </c>
      <c r="K571" s="1" t="s">
        <v>679</v>
      </c>
      <c r="L571" s="1" t="s">
        <v>3544</v>
      </c>
      <c r="M571" s="2" t="s">
        <v>12</v>
      </c>
      <c r="N571" s="4">
        <f t="shared" si="1"/>
        <v>44378</v>
      </c>
      <c r="O571" s="5" t="str">
        <f>IFERROR(__xludf.DUMMYFUNCTION("IF(REGEXMATCH(TRIM(I571), ""^\d+\s*min""), ""Unclassified"", IF(I571 = """", ""NR"", I571))"),"TV-14")</f>
        <v>TV-14</v>
      </c>
      <c r="R571" s="5" t="str">
        <f t="shared" si="2"/>
        <v>Dreamy Eyes</v>
      </c>
      <c r="S571" s="5" t="str">
        <f>IFERROR(__xludf.DUMMYFUNCTION("""COMPUTED_VALUE"""),"Angry Indian Goddesses")</f>
        <v>Angry Indian Goddesses</v>
      </c>
      <c r="T571" s="5" t="str">
        <f>IFERROR(__xludf.DUMMYFUNCTION("""COMPUTED_VALUE"""),"United Kingdom, Nigeria")</f>
        <v>United Kingdom, Nigeria</v>
      </c>
      <c r="U571" s="5" t="str">
        <f>IFERROR(__xludf.DUMMYFUNCTION("""COMPUTED_VALUE"""),"Mike Rianda, Jeff Rowe")</f>
        <v>Mike Rianda, Jeff Rowe</v>
      </c>
      <c r="V571" s="5" t="s">
        <v>3545</v>
      </c>
      <c r="W571" s="5" t="str">
        <f t="shared" si="3"/>
        <v>Bob Rose</v>
      </c>
      <c r="X571" s="5">
        <f t="shared" si="4"/>
        <v>1</v>
      </c>
      <c r="Y571" s="5" t="str">
        <f>IFERROR(__xludf.DUMMYFUNCTION("REGEXEXTRACT(J571, ""^\d+"")"),"117")</f>
        <v>117</v>
      </c>
      <c r="Z571" s="5" t="str">
        <f>IFERROR(__xludf.DUMMYFUNCTION("REGEXEXTRACT(J571, ""[A-Za-z ]+$"")")," min")</f>
        <v> min</v>
      </c>
      <c r="AA571" s="5" t="str">
        <f>IFERROR(__xludf.DUMMYFUNCTION("IF(REGEXMATCH(Z571, ""Season""), ""TV Show"", ""Movie"")"),"Movie")</f>
        <v>Movie</v>
      </c>
    </row>
    <row r="572">
      <c r="A572" s="1" t="s">
        <v>3546</v>
      </c>
      <c r="B572" s="1" t="s">
        <v>27</v>
      </c>
      <c r="C572" s="1" t="s">
        <v>3547</v>
      </c>
      <c r="D572" s="1" t="s">
        <v>3548</v>
      </c>
      <c r="E572" s="1" t="s">
        <v>3549</v>
      </c>
      <c r="G572" s="1" t="s">
        <v>3478</v>
      </c>
      <c r="H572" s="1">
        <v>2021.0</v>
      </c>
      <c r="I572" s="1" t="s">
        <v>97</v>
      </c>
      <c r="J572" s="1" t="s">
        <v>870</v>
      </c>
      <c r="K572" s="1" t="s">
        <v>1066</v>
      </c>
      <c r="L572" s="1" t="s">
        <v>3550</v>
      </c>
      <c r="M572" s="2" t="s">
        <v>12</v>
      </c>
      <c r="N572" s="4">
        <f t="shared" si="1"/>
        <v>44378</v>
      </c>
      <c r="O572" s="5" t="str">
        <f>IFERROR(__xludf.DUMMYFUNCTION("IF(REGEXMATCH(TRIM(I572), ""^\d+\s*min""), ""Unclassified"", IF(I572 = """", ""NR"", I572))"),"TV-14")</f>
        <v>TV-14</v>
      </c>
      <c r="R572" s="5" t="str">
        <f t="shared" si="2"/>
        <v>Dynasty Warriors</v>
      </c>
      <c r="S572" s="5" t="str">
        <f>IFERROR(__xludf.DUMMYFUNCTION("""COMPUTED_VALUE"""),"Angu Vaikuntapurathu (Malayalam)")</f>
        <v>Angu Vaikuntapurathu (Malayalam)</v>
      </c>
      <c r="T572" s="5" t="str">
        <f>IFERROR(__xludf.DUMMYFUNCTION("""COMPUTED_VALUE"""),"United Kingdom, Norway, Denmark, Germany, Sweden")</f>
        <v>United Kingdom, Norway, Denmark, Germany, Sweden</v>
      </c>
      <c r="U572" s="5" t="str">
        <f>IFERROR(__xludf.DUMMYFUNCTION("""COMPUTED_VALUE"""),"Johannes Roberts")</f>
        <v>Johannes Roberts</v>
      </c>
      <c r="V572" s="5" t="s">
        <v>1176</v>
      </c>
      <c r="W572" s="5" t="str">
        <f t="shared" si="3"/>
        <v>Bobby Farrelly, Peter Farrelly</v>
      </c>
      <c r="X572" s="5">
        <f t="shared" si="4"/>
        <v>2</v>
      </c>
      <c r="Y572" s="5" t="str">
        <f>IFERROR(__xludf.DUMMYFUNCTION("REGEXEXTRACT(J572, ""^\d+"")"),"118")</f>
        <v>118</v>
      </c>
      <c r="Z572" s="5" t="str">
        <f>IFERROR(__xludf.DUMMYFUNCTION("REGEXEXTRACT(J572, ""[A-Za-z ]+$"")")," min")</f>
        <v> min</v>
      </c>
      <c r="AA572" s="5" t="str">
        <f>IFERROR(__xludf.DUMMYFUNCTION("IF(REGEXMATCH(Z572, ""Season""), ""TV Show"", ""Movie"")"),"Movie")</f>
        <v>Movie</v>
      </c>
    </row>
    <row r="573">
      <c r="A573" s="1" t="s">
        <v>3551</v>
      </c>
      <c r="B573" s="1" t="s">
        <v>37</v>
      </c>
      <c r="C573" s="1" t="s">
        <v>3552</v>
      </c>
      <c r="E573" s="1" t="s">
        <v>3553</v>
      </c>
      <c r="G573" s="1" t="s">
        <v>3478</v>
      </c>
      <c r="H573" s="1">
        <v>2021.0</v>
      </c>
      <c r="I573" s="1" t="s">
        <v>42</v>
      </c>
      <c r="J573" s="1" t="s">
        <v>51</v>
      </c>
      <c r="K573" s="1" t="s">
        <v>64</v>
      </c>
      <c r="L573" s="1" t="s">
        <v>3554</v>
      </c>
      <c r="M573" s="2" t="s">
        <v>12</v>
      </c>
      <c r="N573" s="4">
        <f t="shared" si="1"/>
        <v>44378</v>
      </c>
      <c r="O573" s="5" t="str">
        <f>IFERROR(__xludf.DUMMYFUNCTION("IF(REGEXMATCH(TRIM(I573), ""^\d+\s*min""), ""Unclassified"", IF(I573 = """", ""NR"", I573))"),"TV-MA")</f>
        <v>TV-MA</v>
      </c>
      <c r="R573" s="5" t="str">
        <f t="shared" si="2"/>
        <v>Generation 56K</v>
      </c>
      <c r="S573" s="5" t="str">
        <f>IFERROR(__xludf.DUMMYFUNCTION("""COMPUTED_VALUE"""),"Ani... Dr. Kashinath Ghanekar")</f>
        <v>Ani... Dr. Kashinath Ghanekar</v>
      </c>
      <c r="T573" s="5" t="str">
        <f>IFERROR(__xludf.DUMMYFUNCTION("""COMPUTED_VALUE"""),"United Kingdom, Pakistan")</f>
        <v>United Kingdom, Pakistan</v>
      </c>
      <c r="U573" s="5" t="str">
        <f>IFERROR(__xludf.DUMMYFUNCTION("""COMPUTED_VALUE"""),"Robert Pulcini, Shari Springer Berman")</f>
        <v>Robert Pulcini, Shari Springer Berman</v>
      </c>
      <c r="V573" s="5" t="s">
        <v>3555</v>
      </c>
      <c r="W573" s="5" t="str">
        <f t="shared" si="3"/>
        <v>Bobby Roth</v>
      </c>
      <c r="X573" s="5">
        <f t="shared" si="4"/>
        <v>1</v>
      </c>
      <c r="Y573" s="5" t="str">
        <f>IFERROR(__xludf.DUMMYFUNCTION("REGEXEXTRACT(J573, ""^\d+"")"),"1")</f>
        <v>1</v>
      </c>
      <c r="Z573" s="5" t="str">
        <f>IFERROR(__xludf.DUMMYFUNCTION("REGEXEXTRACT(J573, ""[A-Za-z ]+$"")")," Season")</f>
        <v> Season</v>
      </c>
      <c r="AA573" s="5" t="str">
        <f>IFERROR(__xludf.DUMMYFUNCTION("IF(REGEXMATCH(Z573, ""Season""), ""TV Show"", ""Movie"")"),"TV Show")</f>
        <v>TV Show</v>
      </c>
    </row>
    <row r="574">
      <c r="A574" s="1" t="s">
        <v>3556</v>
      </c>
      <c r="B574" s="1" t="s">
        <v>27</v>
      </c>
      <c r="C574" s="1" t="s">
        <v>3557</v>
      </c>
      <c r="D574" s="1" t="s">
        <v>3558</v>
      </c>
      <c r="E574" s="1" t="s">
        <v>3559</v>
      </c>
      <c r="F574" s="1" t="s">
        <v>3560</v>
      </c>
      <c r="G574" s="1" t="s">
        <v>3478</v>
      </c>
      <c r="H574" s="1">
        <v>2019.0</v>
      </c>
      <c r="I574" s="1" t="s">
        <v>32</v>
      </c>
      <c r="J574" s="1" t="s">
        <v>238</v>
      </c>
      <c r="K574" s="1" t="s">
        <v>583</v>
      </c>
      <c r="L574" s="1" t="s">
        <v>3561</v>
      </c>
      <c r="M574" s="2" t="s">
        <v>12</v>
      </c>
      <c r="N574" s="4">
        <f t="shared" si="1"/>
        <v>44378</v>
      </c>
      <c r="O574" s="5" t="str">
        <f>IFERROR(__xludf.DUMMYFUNCTION("IF(REGEXMATCH(TRIM(I574), ""^\d+\s*min""), ""Unclassified"", IF(I574 = """", ""NR"", I574))"),"PG-13")</f>
        <v>PG-13</v>
      </c>
      <c r="R574" s="5" t="str">
        <f t="shared" si="2"/>
        <v>Hampstead</v>
      </c>
      <c r="S574" s="5" t="str">
        <f>IFERROR(__xludf.DUMMYFUNCTION("""COMPUTED_VALUE"""),"Anima")</f>
        <v>Anima</v>
      </c>
      <c r="T574" s="5" t="str">
        <f>IFERROR(__xludf.DUMMYFUNCTION("""COMPUTED_VALUE"""),"United Kingdom, Poland")</f>
        <v>United Kingdom, Poland</v>
      </c>
      <c r="U574" s="5" t="str">
        <f>IFERROR(__xludf.DUMMYFUNCTION("""COMPUTED_VALUE"""),"Pedro Antonio")</f>
        <v>Pedro Antonio</v>
      </c>
      <c r="V574" s="5" t="s">
        <v>3562</v>
      </c>
      <c r="W574" s="5" t="str">
        <f t="shared" si="3"/>
        <v>Bobcat Goldthwait</v>
      </c>
      <c r="X574" s="5">
        <f t="shared" si="4"/>
        <v>3</v>
      </c>
      <c r="Y574" s="5" t="str">
        <f>IFERROR(__xludf.DUMMYFUNCTION("REGEXEXTRACT(J574, ""^\d+"")"),"103")</f>
        <v>103</v>
      </c>
      <c r="Z574" s="5" t="str">
        <f>IFERROR(__xludf.DUMMYFUNCTION("REGEXEXTRACT(J574, ""[A-Za-z ]+$"")")," min")</f>
        <v> min</v>
      </c>
      <c r="AA574" s="5" t="str">
        <f>IFERROR(__xludf.DUMMYFUNCTION("IF(REGEXMATCH(Z574, ""Season""), ""TV Show"", ""Movie"")"),"Movie")</f>
        <v>Movie</v>
      </c>
    </row>
    <row r="575">
      <c r="A575" s="1" t="s">
        <v>3563</v>
      </c>
      <c r="B575" s="1" t="s">
        <v>27</v>
      </c>
      <c r="C575" s="1" t="s">
        <v>3564</v>
      </c>
      <c r="D575" s="1" t="s">
        <v>3565</v>
      </c>
      <c r="E575" s="1" t="s">
        <v>3566</v>
      </c>
      <c r="F575" s="1" t="s">
        <v>2296</v>
      </c>
      <c r="G575" s="1" t="s">
        <v>3478</v>
      </c>
      <c r="H575" s="1">
        <v>2008.0</v>
      </c>
      <c r="I575" s="1" t="s">
        <v>78</v>
      </c>
      <c r="J575" s="1" t="s">
        <v>170</v>
      </c>
      <c r="K575" s="1" t="s">
        <v>137</v>
      </c>
      <c r="L575" s="1" t="s">
        <v>3567</v>
      </c>
      <c r="M575" s="2" t="s">
        <v>12</v>
      </c>
      <c r="N575" s="4">
        <f t="shared" si="1"/>
        <v>44378</v>
      </c>
      <c r="O575" s="5" t="str">
        <f>IFERROR(__xludf.DUMMYFUNCTION("IF(REGEXMATCH(TRIM(I575), ""^\d+\s*min""), ""Unclassified"", IF(I575 = """", ""NR"", I575))"),"PG")</f>
        <v>PG</v>
      </c>
      <c r="R575" s="5" t="str">
        <f t="shared" si="2"/>
        <v>Kung Fu Panda</v>
      </c>
      <c r="S575" s="5" t="str">
        <f>IFERROR(__xludf.DUMMYFUNCTION("""COMPUTED_VALUE"""),"Animal Crackers")</f>
        <v>Animal Crackers</v>
      </c>
      <c r="T575" s="5" t="str">
        <f>IFERROR(__xludf.DUMMYFUNCTION("""COMPUTED_VALUE"""),"United Kingdom, Poland, United States")</f>
        <v>United Kingdom, Poland, United States</v>
      </c>
      <c r="U575" s="5" t="str">
        <f>IFERROR(__xludf.DUMMYFUNCTION("""COMPUTED_VALUE"""),"John Wells")</f>
        <v>John Wells</v>
      </c>
      <c r="V575" s="5" t="s">
        <v>3568</v>
      </c>
      <c r="W575" s="5" t="str">
        <f t="shared" si="3"/>
        <v>Bolanle Austen-Peters</v>
      </c>
      <c r="X575" s="5">
        <f t="shared" si="4"/>
        <v>1</v>
      </c>
      <c r="Y575" s="5" t="str">
        <f>IFERROR(__xludf.DUMMYFUNCTION("REGEXEXTRACT(J575, ""^\d+"")"),"94")</f>
        <v>94</v>
      </c>
      <c r="Z575" s="5" t="str">
        <f>IFERROR(__xludf.DUMMYFUNCTION("REGEXEXTRACT(J575, ""[A-Za-z ]+$"")")," min")</f>
        <v> min</v>
      </c>
      <c r="AA575" s="5" t="str">
        <f>IFERROR(__xludf.DUMMYFUNCTION("IF(REGEXMATCH(Z575, ""Season""), ""TV Show"", ""Movie"")"),"Movie")</f>
        <v>Movie</v>
      </c>
    </row>
    <row r="576">
      <c r="A576" s="1" t="s">
        <v>3569</v>
      </c>
      <c r="B576" s="1" t="s">
        <v>27</v>
      </c>
      <c r="C576" s="1" t="s">
        <v>3570</v>
      </c>
      <c r="D576" s="1" t="s">
        <v>3571</v>
      </c>
      <c r="E576" s="1" t="s">
        <v>3572</v>
      </c>
      <c r="F576" s="1" t="s">
        <v>2296</v>
      </c>
      <c r="G576" s="1" t="s">
        <v>3478</v>
      </c>
      <c r="H576" s="1">
        <v>2011.0</v>
      </c>
      <c r="I576" s="1" t="s">
        <v>78</v>
      </c>
      <c r="J576" s="1" t="s">
        <v>454</v>
      </c>
      <c r="K576" s="1" t="s">
        <v>137</v>
      </c>
      <c r="L576" s="1" t="s">
        <v>3573</v>
      </c>
      <c r="M576" s="2" t="s">
        <v>12</v>
      </c>
      <c r="N576" s="4">
        <f t="shared" si="1"/>
        <v>44378</v>
      </c>
      <c r="O576" s="5" t="str">
        <f>IFERROR(__xludf.DUMMYFUNCTION("IF(REGEXMATCH(TRIM(I576), ""^\d+\s*min""), ""Unclassified"", IF(I576 = """", ""NR"", I576))"),"PG")</f>
        <v>PG</v>
      </c>
      <c r="R576" s="5" t="str">
        <f t="shared" si="2"/>
        <v>Kung Fu Panda 2</v>
      </c>
      <c r="S576" s="5" t="str">
        <f>IFERROR(__xludf.DUMMYFUNCTION("""COMPUTED_VALUE"""),"Animal World")</f>
        <v>Animal World</v>
      </c>
      <c r="T576" s="5" t="str">
        <f>IFERROR(__xludf.DUMMYFUNCTION("""COMPUTED_VALUE"""),"United Kingdom, Russia")</f>
        <v>United Kingdom, Russia</v>
      </c>
      <c r="U576" s="5" t="str">
        <f>IFERROR(__xludf.DUMMYFUNCTION("""COMPUTED_VALUE"""),"Jonathan Liebesman")</f>
        <v>Jonathan Liebesman</v>
      </c>
      <c r="V576" s="5" t="s">
        <v>3455</v>
      </c>
      <c r="W576" s="5" t="str">
        <f t="shared" si="3"/>
        <v>Bong Joon Ho</v>
      </c>
      <c r="X576" s="5">
        <f t="shared" si="4"/>
        <v>2</v>
      </c>
      <c r="Y576" s="5" t="str">
        <f>IFERROR(__xludf.DUMMYFUNCTION("REGEXEXTRACT(J576, ""^\d+"")"),"93")</f>
        <v>93</v>
      </c>
      <c r="Z576" s="5" t="str">
        <f>IFERROR(__xludf.DUMMYFUNCTION("REGEXEXTRACT(J576, ""[A-Za-z ]+$"")")," min")</f>
        <v> min</v>
      </c>
      <c r="AA576" s="5" t="str">
        <f>IFERROR(__xludf.DUMMYFUNCTION("IF(REGEXMATCH(Z576, ""Season""), ""TV Show"", ""Movie"")"),"Movie")</f>
        <v>Movie</v>
      </c>
    </row>
    <row r="577">
      <c r="A577" s="1" t="s">
        <v>3574</v>
      </c>
      <c r="B577" s="1" t="s">
        <v>27</v>
      </c>
      <c r="C577" s="1" t="s">
        <v>3575</v>
      </c>
      <c r="D577" s="1" t="s">
        <v>3576</v>
      </c>
      <c r="E577" s="1" t="s">
        <v>3577</v>
      </c>
      <c r="F577" s="1" t="s">
        <v>30</v>
      </c>
      <c r="G577" s="1" t="s">
        <v>3478</v>
      </c>
      <c r="H577" s="1">
        <v>2010.0</v>
      </c>
      <c r="I577" s="1" t="s">
        <v>32</v>
      </c>
      <c r="J577" s="1" t="s">
        <v>379</v>
      </c>
      <c r="K577" s="1" t="s">
        <v>1099</v>
      </c>
      <c r="L577" s="1" t="s">
        <v>3578</v>
      </c>
      <c r="M577" s="2" t="s">
        <v>12</v>
      </c>
      <c r="N577" s="4">
        <f t="shared" si="1"/>
        <v>44378</v>
      </c>
      <c r="O577" s="5" t="str">
        <f>IFERROR(__xludf.DUMMYFUNCTION("IF(REGEXMATCH(TRIM(I577), ""^\d+\s*min""), ""Unclassified"", IF(I577 = """", ""NR"", I577))"),"PG-13")</f>
        <v>PG-13</v>
      </c>
      <c r="R577" s="5" t="str">
        <f t="shared" si="2"/>
        <v>Life As We Know It</v>
      </c>
      <c r="S577" s="5" t="str">
        <f>IFERROR(__xludf.DUMMYFUNCTION("""COMPUTED_VALUE"""),"Animals On The Loose: A You Vs. Wild Movie")</f>
        <v>Animals On The Loose: A You Vs. Wild Movie</v>
      </c>
      <c r="T577" s="5" t="str">
        <f>IFERROR(__xludf.DUMMYFUNCTION("""COMPUTED_VALUE"""),"United Kingdom, Russia, United States")</f>
        <v>United Kingdom, Russia, United States</v>
      </c>
      <c r="U577" s="5" t="str">
        <f>IFERROR(__xludf.DUMMYFUNCTION("""COMPUTED_VALUE"""),"Maria Pulera")</f>
        <v>Maria Pulera</v>
      </c>
      <c r="V577" s="5" t="s">
        <v>3579</v>
      </c>
      <c r="W577" s="5" t="str">
        <f t="shared" si="3"/>
        <v>Bonni Cohen, Jon Shenk</v>
      </c>
      <c r="X577" s="5">
        <f t="shared" si="4"/>
        <v>2</v>
      </c>
      <c r="Y577" s="5" t="str">
        <f>IFERROR(__xludf.DUMMYFUNCTION("REGEXEXTRACT(J577, ""^\d+"")"),"115")</f>
        <v>115</v>
      </c>
      <c r="Z577" s="5" t="str">
        <f>IFERROR(__xludf.DUMMYFUNCTION("REGEXEXTRACT(J577, ""[A-Za-z ]+$"")")," min")</f>
        <v> min</v>
      </c>
      <c r="AA577" s="5" t="str">
        <f>IFERROR(__xludf.DUMMYFUNCTION("IF(REGEXMATCH(Z577, ""Season""), ""TV Show"", ""Movie"")"),"Movie")</f>
        <v>Movie</v>
      </c>
    </row>
    <row r="578">
      <c r="A578" s="1" t="s">
        <v>3580</v>
      </c>
      <c r="B578" s="1" t="s">
        <v>27</v>
      </c>
      <c r="C578" s="1" t="s">
        <v>3581</v>
      </c>
      <c r="D578" s="1" t="s">
        <v>3582</v>
      </c>
      <c r="E578" s="1" t="s">
        <v>3583</v>
      </c>
      <c r="F578" s="1" t="s">
        <v>3584</v>
      </c>
      <c r="G578" s="1" t="s">
        <v>3478</v>
      </c>
      <c r="H578" s="1">
        <v>2019.0</v>
      </c>
      <c r="I578" s="1" t="s">
        <v>378</v>
      </c>
      <c r="J578" s="1" t="s">
        <v>985</v>
      </c>
      <c r="K578" s="1" t="s">
        <v>3585</v>
      </c>
      <c r="L578" s="1" t="s">
        <v>3586</v>
      </c>
      <c r="M578" s="2" t="s">
        <v>12</v>
      </c>
      <c r="N578" s="4">
        <f t="shared" si="1"/>
        <v>44378</v>
      </c>
      <c r="O578" s="5" t="str">
        <f>IFERROR(__xludf.DUMMYFUNCTION("IF(REGEXMATCH(TRIM(I578), ""^\d+\s*min""), ""Unclassified"", IF(I578 = """", ""NR"", I578))"),"R")</f>
        <v>R</v>
      </c>
      <c r="R578" s="5" t="str">
        <f t="shared" si="2"/>
        <v>Mary Magdalene</v>
      </c>
      <c r="S578" s="5" t="str">
        <f>IFERROR(__xludf.DUMMYFUNCTION("""COMPUTED_VALUE"""),"Animas")</f>
        <v>Animas</v>
      </c>
      <c r="T578" s="5" t="str">
        <f>IFERROR(__xludf.DUMMYFUNCTION("""COMPUTED_VALUE"""),"United Kingdom, Singapore")</f>
        <v>United Kingdom, Singapore</v>
      </c>
      <c r="U578" s="5" t="str">
        <f>IFERROR(__xludf.DUMMYFUNCTION("""COMPUTED_VALUE"""),"Santhosh Viswanath")</f>
        <v>Santhosh Viswanath</v>
      </c>
      <c r="V578" s="5" t="s">
        <v>3587</v>
      </c>
      <c r="W578" s="5" t="str">
        <f t="shared" si="3"/>
        <v>Borja Cobeaga</v>
      </c>
      <c r="X578" s="5">
        <f t="shared" si="4"/>
        <v>1</v>
      </c>
      <c r="Y578" s="5" t="str">
        <f>IFERROR(__xludf.DUMMYFUNCTION("REGEXEXTRACT(J578, ""^\d+"")"),"120")</f>
        <v>120</v>
      </c>
      <c r="Z578" s="5" t="str">
        <f>IFERROR(__xludf.DUMMYFUNCTION("REGEXEXTRACT(J578, ""[A-Za-z ]+$"")")," min")</f>
        <v> min</v>
      </c>
      <c r="AA578" s="5" t="str">
        <f>IFERROR(__xludf.DUMMYFUNCTION("IF(REGEXMATCH(Z578, ""Season""), ""TV Show"", ""Movie"")"),"Movie")</f>
        <v>Movie</v>
      </c>
    </row>
    <row r="579">
      <c r="A579" s="1" t="s">
        <v>3588</v>
      </c>
      <c r="B579" s="1" t="s">
        <v>37</v>
      </c>
      <c r="C579" s="1" t="s">
        <v>3589</v>
      </c>
      <c r="D579" s="1" t="s">
        <v>3590</v>
      </c>
      <c r="E579" s="1" t="s">
        <v>3591</v>
      </c>
      <c r="G579" s="1" t="s">
        <v>3478</v>
      </c>
      <c r="H579" s="1">
        <v>2021.0</v>
      </c>
      <c r="I579" s="1" t="s">
        <v>42</v>
      </c>
      <c r="J579" s="1" t="s">
        <v>51</v>
      </c>
      <c r="K579" s="1" t="s">
        <v>1294</v>
      </c>
      <c r="L579" s="1" t="s">
        <v>3592</v>
      </c>
      <c r="M579" s="2" t="s">
        <v>12</v>
      </c>
      <c r="N579" s="4">
        <f t="shared" si="1"/>
        <v>44378</v>
      </c>
      <c r="O579" s="5" t="str">
        <f>IFERROR(__xludf.DUMMYFUNCTION("IF(REGEXMATCH(TRIM(I579), ""^\d+\s*min""), ""Unclassified"", IF(I579 = """", ""NR"", I579))"),"TV-MA")</f>
        <v>TV-MA</v>
      </c>
      <c r="R579" s="5" t="str">
        <f t="shared" si="2"/>
        <v>Masameer County</v>
      </c>
      <c r="S579" s="5" t="str">
        <f>IFERROR(__xludf.DUMMYFUNCTION("""COMPUTED_VALUE"""),"Anitta: Made In Honório")</f>
        <v>Anitta: Made In Honório</v>
      </c>
      <c r="T579" s="5" t="str">
        <f>IFERROR(__xludf.DUMMYFUNCTION("""COMPUTED_VALUE"""),"United Kingdom, South Africa")</f>
        <v>United Kingdom, South Africa</v>
      </c>
      <c r="U579" s="5" t="str">
        <f>IFERROR(__xludf.DUMMYFUNCTION("""COMPUTED_VALUE"""),"Seema Pahwa")</f>
        <v>Seema Pahwa</v>
      </c>
      <c r="V579" s="5" t="s">
        <v>1508</v>
      </c>
      <c r="W579" s="5" t="str">
        <f t="shared" si="3"/>
        <v>Brad Anderson</v>
      </c>
      <c r="X579" s="5">
        <f t="shared" si="4"/>
        <v>4</v>
      </c>
      <c r="Y579" s="5" t="str">
        <f>IFERROR(__xludf.DUMMYFUNCTION("REGEXEXTRACT(J579, ""^\d+"")"),"1")</f>
        <v>1</v>
      </c>
      <c r="Z579" s="5" t="str">
        <f>IFERROR(__xludf.DUMMYFUNCTION("REGEXEXTRACT(J579, ""[A-Za-z ]+$"")")," Season")</f>
        <v> Season</v>
      </c>
      <c r="AA579" s="5" t="str">
        <f>IFERROR(__xludf.DUMMYFUNCTION("IF(REGEXMATCH(Z579, ""Season""), ""TV Show"", ""Movie"")"),"TV Show")</f>
        <v>TV Show</v>
      </c>
    </row>
    <row r="580">
      <c r="A580" s="1" t="s">
        <v>3593</v>
      </c>
      <c r="B580" s="1" t="s">
        <v>27</v>
      </c>
      <c r="C580" s="1" t="s">
        <v>3594</v>
      </c>
      <c r="D580" s="1" t="s">
        <v>3595</v>
      </c>
      <c r="E580" s="1" t="s">
        <v>3596</v>
      </c>
      <c r="F580" s="1" t="s">
        <v>3597</v>
      </c>
      <c r="G580" s="1" t="s">
        <v>3478</v>
      </c>
      <c r="H580" s="1">
        <v>2005.0</v>
      </c>
      <c r="I580" s="1" t="s">
        <v>32</v>
      </c>
      <c r="J580" s="1" t="s">
        <v>582</v>
      </c>
      <c r="K580" s="1" t="s">
        <v>828</v>
      </c>
      <c r="L580" s="1" t="s">
        <v>3598</v>
      </c>
      <c r="M580" s="2" t="s">
        <v>12</v>
      </c>
      <c r="N580" s="4">
        <f t="shared" si="1"/>
        <v>44378</v>
      </c>
      <c r="O580" s="5" t="str">
        <f>IFERROR(__xludf.DUMMYFUNCTION("IF(REGEXMATCH(TRIM(I580), ""^\d+\s*min""), ""Unclassified"", IF(I580 = """", ""NR"", I580))"),"PG-13")</f>
        <v>PG-13</v>
      </c>
      <c r="R580" s="5" t="str">
        <f t="shared" si="2"/>
        <v>Memoirs Of A Geisha</v>
      </c>
      <c r="S580" s="5" t="str">
        <f>IFERROR(__xludf.DUMMYFUNCTION("""COMPUTED_VALUE"""),"Anjaam")</f>
        <v>Anjaam</v>
      </c>
      <c r="T580" s="5" t="str">
        <f>IFERROR(__xludf.DUMMYFUNCTION("""COMPUTED_VALUE"""),"United Kingdom, South Africa, Australia, United States")</f>
        <v>United Kingdom, South Africa, Australia, United States</v>
      </c>
      <c r="U580" s="5" t="str">
        <f>IFERROR(__xludf.DUMMYFUNCTION("""COMPUTED_VALUE"""),"Ozan Açıktan")</f>
        <v>Ozan Açıktan</v>
      </c>
      <c r="V580" s="5" t="s">
        <v>3599</v>
      </c>
      <c r="W580" s="5" t="str">
        <f t="shared" si="3"/>
        <v>Brad Bird</v>
      </c>
      <c r="X580" s="5">
        <f t="shared" si="4"/>
        <v>2</v>
      </c>
      <c r="Y580" s="5" t="str">
        <f>IFERROR(__xludf.DUMMYFUNCTION("REGEXEXTRACT(J580, ""^\d+"")"),"145")</f>
        <v>145</v>
      </c>
      <c r="Z580" s="5" t="str">
        <f>IFERROR(__xludf.DUMMYFUNCTION("REGEXEXTRACT(J580, ""[A-Za-z ]+$"")")," min")</f>
        <v> min</v>
      </c>
      <c r="AA580" s="5" t="str">
        <f>IFERROR(__xludf.DUMMYFUNCTION("IF(REGEXMATCH(Z580, ""Season""), ""TV Show"", ""Movie"")"),"Movie")</f>
        <v>Movie</v>
      </c>
    </row>
    <row r="581">
      <c r="A581" s="1" t="s">
        <v>3600</v>
      </c>
      <c r="B581" s="1" t="s">
        <v>27</v>
      </c>
      <c r="C581" s="1" t="s">
        <v>3601</v>
      </c>
      <c r="D581" s="1" t="s">
        <v>3602</v>
      </c>
      <c r="E581" s="1" t="s">
        <v>3603</v>
      </c>
      <c r="F581" s="1" t="s">
        <v>30</v>
      </c>
      <c r="G581" s="1" t="s">
        <v>3478</v>
      </c>
      <c r="H581" s="1">
        <v>1988.0</v>
      </c>
      <c r="I581" s="1" t="s">
        <v>378</v>
      </c>
      <c r="J581" s="1" t="s">
        <v>3458</v>
      </c>
      <c r="K581" s="1" t="s">
        <v>3604</v>
      </c>
      <c r="L581" s="1" t="s">
        <v>3605</v>
      </c>
      <c r="M581" s="2" t="s">
        <v>12</v>
      </c>
      <c r="N581" s="4">
        <f t="shared" si="1"/>
        <v>44378</v>
      </c>
      <c r="O581" s="5" t="str">
        <f>IFERROR(__xludf.DUMMYFUNCTION("IF(REGEXMATCH(TRIM(I581), ""^\d+\s*min""), ""Unclassified"", IF(I581 = """", ""NR"", I581))"),"R")</f>
        <v>R</v>
      </c>
      <c r="R581" s="5" t="str">
        <f t="shared" si="2"/>
        <v>Midnight Run</v>
      </c>
      <c r="S581" s="5" t="str">
        <f>IFERROR(__xludf.DUMMYFUNCTION("""COMPUTED_VALUE"""),"Anjaan")</f>
        <v>Anjaan</v>
      </c>
      <c r="T581" s="5" t="str">
        <f>IFERROR(__xludf.DUMMYFUNCTION("""COMPUTED_VALUE"""),"United Kingdom, South Africa, France")</f>
        <v>United Kingdom, South Africa, France</v>
      </c>
      <c r="U581" s="5" t="str">
        <f>IFERROR(__xludf.DUMMYFUNCTION("""COMPUTED_VALUE"""),"Meltem Bozoflu")</f>
        <v>Meltem Bozoflu</v>
      </c>
      <c r="V581" s="5" t="s">
        <v>2313</v>
      </c>
      <c r="W581" s="5" t="str">
        <f t="shared" si="3"/>
        <v>Brad Furman</v>
      </c>
      <c r="X581" s="5">
        <f t="shared" si="4"/>
        <v>1</v>
      </c>
      <c r="Y581" s="5" t="str">
        <f>IFERROR(__xludf.DUMMYFUNCTION("REGEXEXTRACT(J581, ""^\d+"")"),"126")</f>
        <v>126</v>
      </c>
      <c r="Z581" s="5" t="str">
        <f>IFERROR(__xludf.DUMMYFUNCTION("REGEXEXTRACT(J581, ""[A-Za-z ]+$"")")," min")</f>
        <v> min</v>
      </c>
      <c r="AA581" s="5" t="str">
        <f>IFERROR(__xludf.DUMMYFUNCTION("IF(REGEXMATCH(Z581, ""Season""), ""TV Show"", ""Movie"")"),"Movie")</f>
        <v>Movie</v>
      </c>
    </row>
    <row r="582">
      <c r="A582" s="1" t="s">
        <v>3606</v>
      </c>
      <c r="B582" s="1" t="s">
        <v>27</v>
      </c>
      <c r="C582" s="1" t="s">
        <v>3607</v>
      </c>
      <c r="D582" s="1" t="s">
        <v>3608</v>
      </c>
      <c r="E582" s="1" t="s">
        <v>3609</v>
      </c>
      <c r="G582" s="1" t="s">
        <v>3478</v>
      </c>
      <c r="H582" s="1">
        <v>2021.0</v>
      </c>
      <c r="I582" s="1" t="s">
        <v>97</v>
      </c>
      <c r="J582" s="1" t="s">
        <v>322</v>
      </c>
      <c r="K582" s="1" t="s">
        <v>417</v>
      </c>
      <c r="L582" s="1" t="s">
        <v>3610</v>
      </c>
      <c r="M582" s="2" t="s">
        <v>12</v>
      </c>
      <c r="N582" s="4">
        <f t="shared" si="1"/>
        <v>44378</v>
      </c>
      <c r="O582" s="5" t="str">
        <f>IFERROR(__xludf.DUMMYFUNCTION("IF(REGEXMATCH(TRIM(I582), ""^\d+\s*min""), ""Unclassified"", IF(I582 = """", ""NR"", I582))"),"TV-14")</f>
        <v>TV-14</v>
      </c>
      <c r="R582" s="5" t="str">
        <f t="shared" si="2"/>
        <v>Mobile Suit Gundam Hathaway</v>
      </c>
      <c r="S582" s="5" t="str">
        <f>IFERROR(__xludf.DUMMYFUNCTION("""COMPUTED_VALUE"""),"Anjaan: Rural Myths")</f>
        <v>Anjaan: Rural Myths</v>
      </c>
      <c r="T582" s="5" t="str">
        <f>IFERROR(__xludf.DUMMYFUNCTION("""COMPUTED_VALUE"""),"United Kingdom, South Korea")</f>
        <v>United Kingdom, South Korea</v>
      </c>
      <c r="U582" s="5" t="str">
        <f>IFERROR(__xludf.DUMMYFUNCTION("""COMPUTED_VALUE"""),"Hakan Algül")</f>
        <v>Hakan Algül</v>
      </c>
      <c r="V582" s="5" t="s">
        <v>3611</v>
      </c>
      <c r="W582" s="5" t="str">
        <f t="shared" si="3"/>
        <v>Brad Peyton</v>
      </c>
      <c r="X582" s="5">
        <f t="shared" si="4"/>
        <v>2</v>
      </c>
      <c r="Y582" s="5" t="str">
        <f>IFERROR(__xludf.DUMMYFUNCTION("REGEXEXTRACT(J582, ""^\d+"")"),"96")</f>
        <v>96</v>
      </c>
      <c r="Z582" s="5" t="str">
        <f>IFERROR(__xludf.DUMMYFUNCTION("REGEXEXTRACT(J582, ""[A-Za-z ]+$"")")," min")</f>
        <v> min</v>
      </c>
      <c r="AA582" s="5" t="str">
        <f>IFERROR(__xludf.DUMMYFUNCTION("IF(REGEXMATCH(Z582, ""Season""), ""TV Show"", ""Movie"")"),"Movie")</f>
        <v>Movie</v>
      </c>
    </row>
    <row r="583">
      <c r="A583" s="1" t="s">
        <v>3612</v>
      </c>
      <c r="B583" s="1" t="s">
        <v>27</v>
      </c>
      <c r="C583" s="1" t="s">
        <v>3613</v>
      </c>
      <c r="D583" s="1" t="s">
        <v>3614</v>
      </c>
      <c r="E583" s="1" t="s">
        <v>3615</v>
      </c>
      <c r="F583" s="1" t="s">
        <v>30</v>
      </c>
      <c r="G583" s="1" t="s">
        <v>3478</v>
      </c>
      <c r="H583" s="1">
        <v>1995.0</v>
      </c>
      <c r="I583" s="1" t="s">
        <v>32</v>
      </c>
      <c r="J583" s="1" t="s">
        <v>1091</v>
      </c>
      <c r="K583" s="1" t="s">
        <v>942</v>
      </c>
      <c r="L583" s="1" t="s">
        <v>3616</v>
      </c>
      <c r="M583" s="2" t="s">
        <v>12</v>
      </c>
      <c r="N583" s="4">
        <f t="shared" si="1"/>
        <v>44378</v>
      </c>
      <c r="O583" s="5" t="str">
        <f>IFERROR(__xludf.DUMMYFUNCTION("IF(REGEXMATCH(TRIM(I583), ""^\d+\s*min""), ""Unclassified"", IF(I583 = """", ""NR"", I583))"),"PG-13")</f>
        <v>PG-13</v>
      </c>
      <c r="R583" s="5" t="str">
        <f t="shared" si="2"/>
        <v>Mortal Kombat</v>
      </c>
      <c r="S583" s="5" t="str">
        <f>IFERROR(__xludf.DUMMYFUNCTION("""COMPUTED_VALUE"""),"Anjaan: Special Crimes Unit")</f>
        <v>Anjaan: Special Crimes Unit</v>
      </c>
      <c r="T583" s="5" t="str">
        <f>IFERROR(__xludf.DUMMYFUNCTION("""COMPUTED_VALUE"""),"United Kingdom, Spain")</f>
        <v>United Kingdom, Spain</v>
      </c>
      <c r="U583" s="5" t="str">
        <f>IFERROR(__xludf.DUMMYFUNCTION("""COMPUTED_VALUE"""),"Selçuk Aydemir, Birkan Pusa")</f>
        <v>Selçuk Aydemir, Birkan Pusa</v>
      </c>
      <c r="V583" s="5" t="s">
        <v>3617</v>
      </c>
      <c r="W583" s="5" t="str">
        <f t="shared" si="3"/>
        <v>Brad Silberling</v>
      </c>
      <c r="X583" s="5">
        <f t="shared" si="4"/>
        <v>1</v>
      </c>
      <c r="Y583" s="5" t="str">
        <f>IFERROR(__xludf.DUMMYFUNCTION("REGEXEXTRACT(J583, ""^\d+"")"),"101")</f>
        <v>101</v>
      </c>
      <c r="Z583" s="5" t="str">
        <f>IFERROR(__xludf.DUMMYFUNCTION("REGEXEXTRACT(J583, ""[A-Za-z ]+$"")")," min")</f>
        <v> min</v>
      </c>
      <c r="AA583" s="5" t="str">
        <f>IFERROR(__xludf.DUMMYFUNCTION("IF(REGEXMATCH(Z583, ""Season""), ""TV Show"", ""Movie"")"),"Movie")</f>
        <v>Movie</v>
      </c>
    </row>
    <row r="584">
      <c r="A584" s="1" t="s">
        <v>3618</v>
      </c>
      <c r="B584" s="1" t="s">
        <v>27</v>
      </c>
      <c r="C584" s="1" t="s">
        <v>3619</v>
      </c>
      <c r="D584" s="1" t="s">
        <v>2343</v>
      </c>
      <c r="E584" s="1" t="s">
        <v>3620</v>
      </c>
      <c r="F584" s="1" t="s">
        <v>30</v>
      </c>
      <c r="G584" s="1" t="s">
        <v>3478</v>
      </c>
      <c r="H584" s="1">
        <v>2016.0</v>
      </c>
      <c r="I584" s="1" t="s">
        <v>32</v>
      </c>
      <c r="J584" s="1" t="s">
        <v>870</v>
      </c>
      <c r="K584" s="1" t="s">
        <v>107</v>
      </c>
      <c r="L584" s="1" t="s">
        <v>3621</v>
      </c>
      <c r="M584" s="2" t="s">
        <v>12</v>
      </c>
      <c r="N584" s="4">
        <f t="shared" si="1"/>
        <v>44378</v>
      </c>
      <c r="O584" s="5" t="str">
        <f>IFERROR(__xludf.DUMMYFUNCTION("IF(REGEXMATCH(TRIM(I584), ""^\d+\s*min""), ""Unclassified"", IF(I584 = """", ""NR"", I584))"),"PG-13")</f>
        <v>PG-13</v>
      </c>
      <c r="R584" s="5" t="str">
        <f t="shared" si="2"/>
        <v>Mother'S Day</v>
      </c>
      <c r="S584" s="5" t="str">
        <f>IFERROR(__xludf.DUMMYFUNCTION("""COMPUTED_VALUE"""),"Anjelah Johnson: Not Fancy")</f>
        <v>Anjelah Johnson: Not Fancy</v>
      </c>
      <c r="T584" s="5" t="str">
        <f>IFERROR(__xludf.DUMMYFUNCTION("""COMPUTED_VALUE"""),"United Kingdom, Spain, Belgium")</f>
        <v>United Kingdom, Spain, Belgium</v>
      </c>
      <c r="U584" s="5" t="str">
        <f>IFERROR(__xludf.DUMMYFUNCTION("""COMPUTED_VALUE"""),"Selçuk Aydemir")</f>
        <v>Selçuk Aydemir</v>
      </c>
      <c r="V584" s="5" t="s">
        <v>3622</v>
      </c>
      <c r="W584" s="5" t="str">
        <f t="shared" si="3"/>
        <v>Braden R. Duemmler</v>
      </c>
      <c r="X584" s="5">
        <f t="shared" si="4"/>
        <v>1</v>
      </c>
      <c r="Y584" s="5" t="str">
        <f>IFERROR(__xludf.DUMMYFUNCTION("REGEXEXTRACT(J584, ""^\d+"")"),"118")</f>
        <v>118</v>
      </c>
      <c r="Z584" s="5" t="str">
        <f>IFERROR(__xludf.DUMMYFUNCTION("REGEXEXTRACT(J584, ""[A-Za-z ]+$"")")," min")</f>
        <v> min</v>
      </c>
      <c r="AA584" s="5" t="str">
        <f>IFERROR(__xludf.DUMMYFUNCTION("IF(REGEXMATCH(Z584, ""Season""), ""TV Show"", ""Movie"")"),"Movie")</f>
        <v>Movie</v>
      </c>
    </row>
    <row r="585">
      <c r="A585" s="1" t="s">
        <v>3623</v>
      </c>
      <c r="B585" s="1" t="s">
        <v>27</v>
      </c>
      <c r="C585" s="1" t="s">
        <v>3624</v>
      </c>
      <c r="D585" s="1" t="s">
        <v>3625</v>
      </c>
      <c r="E585" s="1" t="s">
        <v>3626</v>
      </c>
      <c r="F585" s="1" t="s">
        <v>692</v>
      </c>
      <c r="G585" s="1" t="s">
        <v>3478</v>
      </c>
      <c r="H585" s="1">
        <v>2011.0</v>
      </c>
      <c r="I585" s="1" t="s">
        <v>378</v>
      </c>
      <c r="J585" s="1" t="s">
        <v>1065</v>
      </c>
      <c r="K585" s="1" t="s">
        <v>813</v>
      </c>
      <c r="L585" s="1" t="s">
        <v>3627</v>
      </c>
      <c r="M585" s="2" t="s">
        <v>12</v>
      </c>
      <c r="N585" s="4">
        <f t="shared" si="1"/>
        <v>44378</v>
      </c>
      <c r="O585" s="5" t="str">
        <f>IFERROR(__xludf.DUMMYFUNCTION("IF(REGEXMATCH(TRIM(I585), ""^\d+\s*min""), ""Unclassified"", IF(I585 = """", ""NR"", I585))"),"R")</f>
        <v>R</v>
      </c>
      <c r="R585" s="5" t="str">
        <f t="shared" si="2"/>
        <v>No Strings Attached</v>
      </c>
      <c r="S585" s="5" t="str">
        <f>IFERROR(__xludf.DUMMYFUNCTION("""COMPUTED_VALUE"""),"Ankahi Kahaniya")</f>
        <v>Ankahi Kahaniya</v>
      </c>
      <c r="T585" s="5" t="str">
        <f>IFERROR(__xludf.DUMMYFUNCTION("""COMPUTED_VALUE"""),"United Kingdom, Spain, United States")</f>
        <v>United Kingdom, Spain, United States</v>
      </c>
      <c r="U585" s="5" t="str">
        <f>IFERROR(__xludf.DUMMYFUNCTION("""COMPUTED_VALUE"""),"Ömer Faruk Sorak")</f>
        <v>Ömer Faruk Sorak</v>
      </c>
      <c r="V585" s="5" t="s">
        <v>3628</v>
      </c>
      <c r="W585" s="5" t="str">
        <f t="shared" si="3"/>
        <v>Bradley Parker</v>
      </c>
      <c r="X585" s="5">
        <f t="shared" si="4"/>
        <v>2</v>
      </c>
      <c r="Y585" s="5" t="str">
        <f>IFERROR(__xludf.DUMMYFUNCTION("REGEXEXTRACT(J585, ""^\d+"")"),"109")</f>
        <v>109</v>
      </c>
      <c r="Z585" s="5" t="str">
        <f>IFERROR(__xludf.DUMMYFUNCTION("REGEXEXTRACT(J585, ""[A-Za-z ]+$"")")," min")</f>
        <v> min</v>
      </c>
      <c r="AA585" s="5" t="str">
        <f>IFERROR(__xludf.DUMMYFUNCTION("IF(REGEXMATCH(Z585, ""Season""), ""TV Show"", ""Movie"")"),"Movie")</f>
        <v>Movie</v>
      </c>
    </row>
    <row r="586">
      <c r="A586" s="1" t="s">
        <v>3629</v>
      </c>
      <c r="B586" s="1" t="s">
        <v>27</v>
      </c>
      <c r="C586" s="1" t="s">
        <v>3630</v>
      </c>
      <c r="D586" s="1" t="s">
        <v>3631</v>
      </c>
      <c r="E586" s="1" t="s">
        <v>3632</v>
      </c>
      <c r="F586" s="1" t="s">
        <v>30</v>
      </c>
      <c r="G586" s="1" t="s">
        <v>3478</v>
      </c>
      <c r="H586" s="1">
        <v>2001.0</v>
      </c>
      <c r="I586" s="1" t="s">
        <v>378</v>
      </c>
      <c r="J586" s="1" t="s">
        <v>1191</v>
      </c>
      <c r="K586" s="1" t="s">
        <v>239</v>
      </c>
      <c r="L586" s="1" t="s">
        <v>3633</v>
      </c>
      <c r="M586" s="2" t="s">
        <v>12</v>
      </c>
      <c r="N586" s="4">
        <f t="shared" si="1"/>
        <v>44378</v>
      </c>
      <c r="O586" s="5" t="str">
        <f>IFERROR(__xludf.DUMMYFUNCTION("IF(REGEXMATCH(TRIM(I586), ""^\d+\s*min""), ""Unclassified"", IF(I586 = """", ""NR"", I586))"),"R")</f>
        <v>R</v>
      </c>
      <c r="R586" s="5" t="str">
        <f t="shared" si="2"/>
        <v>Not Another Teen Movie</v>
      </c>
      <c r="S586" s="5" t="str">
        <f>IFERROR(__xludf.DUMMYFUNCTION("""COMPUTED_VALUE"""),"Ankhon Dekhi")</f>
        <v>Ankhon Dekhi</v>
      </c>
      <c r="T586" s="5" t="str">
        <f>IFERROR(__xludf.DUMMYFUNCTION("""COMPUTED_VALUE"""),"United Kingdom, Spain, United States, Germany")</f>
        <v>United Kingdom, Spain, United States, Germany</v>
      </c>
      <c r="U586" s="5" t="str">
        <f>IFERROR(__xludf.DUMMYFUNCTION("""COMPUTED_VALUE"""),"Şenol Sönmez")</f>
        <v>Şenol Sönmez</v>
      </c>
      <c r="V586" s="5" t="s">
        <v>3634</v>
      </c>
      <c r="W586" s="5" t="str">
        <f t="shared" si="3"/>
        <v>Bradley Walsh</v>
      </c>
      <c r="X586" s="5">
        <f t="shared" si="4"/>
        <v>1</v>
      </c>
      <c r="Y586" s="5" t="str">
        <f>IFERROR(__xludf.DUMMYFUNCTION("REGEXEXTRACT(J586, ""^\d+"")"),"89")</f>
        <v>89</v>
      </c>
      <c r="Z586" s="5" t="str">
        <f>IFERROR(__xludf.DUMMYFUNCTION("REGEXEXTRACT(J586, ""[A-Za-z ]+$"")")," min")</f>
        <v> min</v>
      </c>
      <c r="AA586" s="5" t="str">
        <f>IFERROR(__xludf.DUMMYFUNCTION("IF(REGEXMATCH(Z586, ""Season""), ""TV Show"", ""Movie"")"),"Movie")</f>
        <v>Movie</v>
      </c>
    </row>
    <row r="587">
      <c r="A587" s="1" t="s">
        <v>3635</v>
      </c>
      <c r="B587" s="1" t="s">
        <v>27</v>
      </c>
      <c r="C587" s="1" t="s">
        <v>3636</v>
      </c>
      <c r="D587" s="1" t="s">
        <v>3637</v>
      </c>
      <c r="E587" s="1" t="s">
        <v>3638</v>
      </c>
      <c r="F587" s="1" t="s">
        <v>686</v>
      </c>
      <c r="G587" s="1" t="s">
        <v>3478</v>
      </c>
      <c r="H587" s="1">
        <v>2018.0</v>
      </c>
      <c r="I587" s="1" t="s">
        <v>32</v>
      </c>
      <c r="J587" s="1" t="s">
        <v>256</v>
      </c>
      <c r="K587" s="1" t="s">
        <v>828</v>
      </c>
      <c r="L587" s="1" t="s">
        <v>3639</v>
      </c>
      <c r="M587" s="2" t="s">
        <v>12</v>
      </c>
      <c r="N587" s="4">
        <f t="shared" si="1"/>
        <v>44378</v>
      </c>
      <c r="O587" s="5" t="str">
        <f>IFERROR(__xludf.DUMMYFUNCTION("IF(REGEXMATCH(TRIM(I587), ""^\d+\s*min""), ""Unclassified"", IF(I587 = """", ""NR"", I587))"),"PG-13")</f>
        <v>PG-13</v>
      </c>
      <c r="R587" s="5" t="str">
        <f t="shared" si="2"/>
        <v>Ophelia</v>
      </c>
      <c r="S587" s="5" t="str">
        <f>IFERROR(__xludf.DUMMYFUNCTION("""COMPUTED_VALUE"""),"Ankur Arora Murder Case")</f>
        <v>Ankur Arora Murder Case</v>
      </c>
      <c r="T587" s="5" t="str">
        <f>IFERROR(__xludf.DUMMYFUNCTION("""COMPUTED_VALUE"""),"United Kingdom, Thailand")</f>
        <v>United Kingdom, Thailand</v>
      </c>
      <c r="U587" s="5" t="str">
        <f>IFERROR(__xludf.DUMMYFUNCTION("""COMPUTED_VALUE"""),"Alexis Morante")</f>
        <v>Alexis Morante</v>
      </c>
      <c r="V587" s="5" t="s">
        <v>3640</v>
      </c>
      <c r="W587" s="5" t="str">
        <f t="shared" si="3"/>
        <v>Brandon Camp</v>
      </c>
      <c r="X587" s="5">
        <f t="shared" si="4"/>
        <v>1</v>
      </c>
      <c r="Y587" s="5" t="str">
        <f>IFERROR(__xludf.DUMMYFUNCTION("REGEXEXTRACT(J587, ""^\d+"")"),"106")</f>
        <v>106</v>
      </c>
      <c r="Z587" s="5" t="str">
        <f>IFERROR(__xludf.DUMMYFUNCTION("REGEXEXTRACT(J587, ""[A-Za-z ]+$"")")," min")</f>
        <v> min</v>
      </c>
      <c r="AA587" s="5" t="str">
        <f>IFERROR(__xludf.DUMMYFUNCTION("IF(REGEXMATCH(Z587, ""Season""), ""TV Show"", ""Movie"")"),"Movie")</f>
        <v>Movie</v>
      </c>
    </row>
    <row r="588">
      <c r="A588" s="1" t="s">
        <v>3641</v>
      </c>
      <c r="B588" s="1" t="s">
        <v>27</v>
      </c>
      <c r="C588" s="1" t="s">
        <v>3642</v>
      </c>
      <c r="D588" s="1" t="s">
        <v>3643</v>
      </c>
      <c r="E588" s="1" t="s">
        <v>3644</v>
      </c>
      <c r="G588" s="1" t="s">
        <v>3478</v>
      </c>
      <c r="H588" s="1">
        <v>1992.0</v>
      </c>
      <c r="I588" s="1" t="s">
        <v>378</v>
      </c>
      <c r="J588" s="1" t="s">
        <v>1091</v>
      </c>
      <c r="K588" s="1" t="s">
        <v>1551</v>
      </c>
      <c r="L588" s="1" t="s">
        <v>3645</v>
      </c>
      <c r="M588" s="2" t="s">
        <v>12</v>
      </c>
      <c r="N588" s="4">
        <f t="shared" si="1"/>
        <v>44378</v>
      </c>
      <c r="O588" s="5" t="str">
        <f>IFERROR(__xludf.DUMMYFUNCTION("IF(REGEXMATCH(TRIM(I588), ""^\d+\s*min""), ""Unclassified"", IF(I588 = """", ""NR"", I588))"),"R")</f>
        <v>R</v>
      </c>
      <c r="R588" s="5" t="str">
        <f t="shared" si="2"/>
        <v>Pet Sematary 2</v>
      </c>
      <c r="S588" s="5" t="str">
        <f>IFERROR(__xludf.DUMMYFUNCTION("""COMPUTED_VALUE"""),"Annabelle Hooper And The Ghosts Of Nantucket")</f>
        <v>Annabelle Hooper And The Ghosts Of Nantucket</v>
      </c>
      <c r="T588" s="5" t="str">
        <f>IFERROR(__xludf.DUMMYFUNCTION("""COMPUTED_VALUE"""),"United Kingdom, Ukraine, United States")</f>
        <v>United Kingdom, Ukraine, United States</v>
      </c>
      <c r="U588" s="5" t="str">
        <f>IFERROR(__xludf.DUMMYFUNCTION("""COMPUTED_VALUE"""),"Burak Aksak")</f>
        <v>Burak Aksak</v>
      </c>
      <c r="V588" s="5" t="s">
        <v>3646</v>
      </c>
      <c r="W588" s="5" t="str">
        <f t="shared" si="3"/>
        <v>Brandon Dickerson</v>
      </c>
      <c r="X588" s="5">
        <f t="shared" si="4"/>
        <v>1</v>
      </c>
      <c r="Y588" s="5" t="str">
        <f>IFERROR(__xludf.DUMMYFUNCTION("REGEXEXTRACT(J588, ""^\d+"")"),"101")</f>
        <v>101</v>
      </c>
      <c r="Z588" s="5" t="str">
        <f>IFERROR(__xludf.DUMMYFUNCTION("REGEXEXTRACT(J588, ""[A-Za-z ]+$"")")," min")</f>
        <v> min</v>
      </c>
      <c r="AA588" s="5" t="str">
        <f>IFERROR(__xludf.DUMMYFUNCTION("IF(REGEXMATCH(Z588, ""Season""), ""TV Show"", ""Movie"")"),"Movie")</f>
        <v>Movie</v>
      </c>
    </row>
    <row r="589">
      <c r="A589" s="1" t="s">
        <v>3647</v>
      </c>
      <c r="B589" s="1" t="s">
        <v>37</v>
      </c>
      <c r="C589" s="1" t="s">
        <v>3648</v>
      </c>
      <c r="D589" s="1" t="s">
        <v>3649</v>
      </c>
      <c r="E589" s="1" t="s">
        <v>3650</v>
      </c>
      <c r="G589" s="1" t="s">
        <v>3478</v>
      </c>
      <c r="H589" s="1">
        <v>2020.0</v>
      </c>
      <c r="I589" s="1" t="s">
        <v>42</v>
      </c>
      <c r="J589" s="1" t="s">
        <v>51</v>
      </c>
      <c r="K589" s="1" t="s">
        <v>1531</v>
      </c>
      <c r="L589" s="1" t="s">
        <v>3651</v>
      </c>
      <c r="M589" s="2" t="s">
        <v>12</v>
      </c>
      <c r="N589" s="4">
        <f t="shared" si="1"/>
        <v>44378</v>
      </c>
      <c r="O589" s="5" t="str">
        <f>IFERROR(__xludf.DUMMYFUNCTION("IF(REGEXMATCH(TRIM(I589), ""^\d+\s*min""), ""Unclassified"", IF(I589 = """", ""NR"", I589))"),"TV-MA")</f>
        <v>TV-MA</v>
      </c>
      <c r="R589" s="5" t="str">
        <f t="shared" si="2"/>
        <v>Quarantine Tales</v>
      </c>
      <c r="S589" s="5" t="str">
        <f>IFERROR(__xludf.DUMMYFUNCTION("""COMPUTED_VALUE"""),"Anne With An E")</f>
        <v>Anne With An E</v>
      </c>
      <c r="T589" s="5" t="str">
        <f>IFERROR(__xludf.DUMMYFUNCTION("""COMPUTED_VALUE"""),"United Kingdom, United States")</f>
        <v>United Kingdom, United States</v>
      </c>
      <c r="U589" s="5" t="str">
        <f>IFERROR(__xludf.DUMMYFUNCTION("""COMPUTED_VALUE"""),"Kıvanç Baruönü")</f>
        <v>Kıvanç Baruönü</v>
      </c>
      <c r="V589" s="5" t="s">
        <v>3652</v>
      </c>
      <c r="W589" s="5" t="str">
        <f t="shared" si="3"/>
        <v>Brandon Jones</v>
      </c>
      <c r="X589" s="5">
        <f t="shared" si="4"/>
        <v>1</v>
      </c>
      <c r="Y589" s="5" t="str">
        <f>IFERROR(__xludf.DUMMYFUNCTION("REGEXEXTRACT(J589, ""^\d+"")"),"1")</f>
        <v>1</v>
      </c>
      <c r="Z589" s="5" t="str">
        <f>IFERROR(__xludf.DUMMYFUNCTION("REGEXEXTRACT(J589, ""[A-Za-z ]+$"")")," Season")</f>
        <v> Season</v>
      </c>
      <c r="AA589" s="5" t="str">
        <f>IFERROR(__xludf.DUMMYFUNCTION("IF(REGEXMATCH(Z589, ""Season""), ""TV Show"", ""Movie"")"),"TV Show")</f>
        <v>TV Show</v>
      </c>
    </row>
    <row r="590">
      <c r="A590" s="1" t="s">
        <v>3653</v>
      </c>
      <c r="B590" s="1" t="s">
        <v>37</v>
      </c>
      <c r="C590" s="1" t="s">
        <v>3654</v>
      </c>
      <c r="E590" s="1" t="s">
        <v>3655</v>
      </c>
      <c r="F590" s="1" t="s">
        <v>30</v>
      </c>
      <c r="G590" s="1" t="s">
        <v>3478</v>
      </c>
      <c r="H590" s="1">
        <v>2018.0</v>
      </c>
      <c r="I590" s="1" t="s">
        <v>206</v>
      </c>
      <c r="J590" s="1" t="s">
        <v>51</v>
      </c>
      <c r="K590" s="1" t="s">
        <v>290</v>
      </c>
      <c r="L590" s="1" t="s">
        <v>3656</v>
      </c>
      <c r="M590" s="2" t="s">
        <v>12</v>
      </c>
      <c r="N590" s="4">
        <f t="shared" si="1"/>
        <v>44378</v>
      </c>
      <c r="O590" s="5" t="str">
        <f>IFERROR(__xludf.DUMMYFUNCTION("IF(REGEXMATCH(TRIM(I590), ""^\d+\s*min""), ""Unclassified"", IF(I590 = """", ""NR"", I590))"),"TV-Y")</f>
        <v>TV-Y</v>
      </c>
      <c r="R590" s="5" t="str">
        <f t="shared" si="2"/>
        <v>Rainbow Rangers</v>
      </c>
      <c r="S590" s="5" t="str">
        <f>IFERROR(__xludf.DUMMYFUNCTION("""COMPUTED_VALUE"""),"Anohana: The Flower We Saw That Day")</f>
        <v>Anohana: The Flower We Saw That Day</v>
      </c>
      <c r="T590" s="5" t="str">
        <f>IFERROR(__xludf.DUMMYFUNCTION("""COMPUTED_VALUE"""),"United Kingdom, United States, Australia")</f>
        <v>United Kingdom, United States, Australia</v>
      </c>
      <c r="U590" s="5" t="str">
        <f>IFERROR(__xludf.DUMMYFUNCTION("""COMPUTED_VALUE"""),"Rindala Kodeih")</f>
        <v>Rindala Kodeih</v>
      </c>
      <c r="V590" s="5" t="s">
        <v>3657</v>
      </c>
      <c r="W590" s="5" t="str">
        <f t="shared" si="3"/>
        <v>Brant Sersen</v>
      </c>
      <c r="X590" s="5">
        <f t="shared" si="4"/>
        <v>1</v>
      </c>
      <c r="Y590" s="5" t="str">
        <f>IFERROR(__xludf.DUMMYFUNCTION("REGEXEXTRACT(J590, ""^\d+"")"),"1")</f>
        <v>1</v>
      </c>
      <c r="Z590" s="5" t="str">
        <f>IFERROR(__xludf.DUMMYFUNCTION("REGEXEXTRACT(J590, ""[A-Za-z ]+$"")")," Season")</f>
        <v> Season</v>
      </c>
      <c r="AA590" s="5" t="str">
        <f>IFERROR(__xludf.DUMMYFUNCTION("IF(REGEXMATCH(Z590, ""Season""), ""TV Show"", ""Movie"")"),"TV Show")</f>
        <v>TV Show</v>
      </c>
    </row>
    <row r="591">
      <c r="A591" s="1" t="s">
        <v>3658</v>
      </c>
      <c r="B591" s="1" t="s">
        <v>27</v>
      </c>
      <c r="C591" s="1" t="s">
        <v>3659</v>
      </c>
      <c r="D591" s="1" t="s">
        <v>3660</v>
      </c>
      <c r="E591" s="1" t="s">
        <v>3661</v>
      </c>
      <c r="F591" s="1" t="s">
        <v>96</v>
      </c>
      <c r="G591" s="1" t="s">
        <v>3478</v>
      </c>
      <c r="H591" s="1">
        <v>2019.0</v>
      </c>
      <c r="I591" s="1" t="s">
        <v>378</v>
      </c>
      <c r="J591" s="1" t="s">
        <v>1091</v>
      </c>
      <c r="K591" s="1" t="s">
        <v>128</v>
      </c>
      <c r="L591" s="1" t="s">
        <v>3662</v>
      </c>
      <c r="M591" s="2" t="s">
        <v>12</v>
      </c>
      <c r="N591" s="4">
        <f t="shared" si="1"/>
        <v>44378</v>
      </c>
      <c r="O591" s="5" t="str">
        <f>IFERROR(__xludf.DUMMYFUNCTION("IF(REGEXMATCH(TRIM(I591), ""^\d+\s*min""), ""Unclassified"", IF(I591 = """", ""NR"", I591))"),"R")</f>
        <v>R</v>
      </c>
      <c r="R591" s="5" t="str">
        <f t="shared" si="2"/>
        <v>Red Joan</v>
      </c>
      <c r="S591" s="5" t="str">
        <f>IFERROR(__xludf.DUMMYFUNCTION("""COMPUTED_VALUE"""),"Anon")</f>
        <v>Anon</v>
      </c>
      <c r="T591" s="5" t="str">
        <f>IFERROR(__xludf.DUMMYFUNCTION("""COMPUTED_VALUE"""),"United Kingdom, United States, Canada")</f>
        <v>United Kingdom, United States, Canada</v>
      </c>
      <c r="U591" s="5" t="str">
        <f>IFERROR(__xludf.DUMMYFUNCTION("""COMPUTED_VALUE"""),"Kongkiat Khomsiri")</f>
        <v>Kongkiat Khomsiri</v>
      </c>
      <c r="V591" s="5" t="s">
        <v>3663</v>
      </c>
      <c r="W591" s="5" t="str">
        <f t="shared" si="3"/>
        <v>Brendan Byrne</v>
      </c>
      <c r="X591" s="5">
        <f t="shared" si="4"/>
        <v>1</v>
      </c>
      <c r="Y591" s="5" t="str">
        <f>IFERROR(__xludf.DUMMYFUNCTION("REGEXEXTRACT(J591, ""^\d+"")"),"101")</f>
        <v>101</v>
      </c>
      <c r="Z591" s="5" t="str">
        <f>IFERROR(__xludf.DUMMYFUNCTION("REGEXEXTRACT(J591, ""[A-Za-z ]+$"")")," min")</f>
        <v> min</v>
      </c>
      <c r="AA591" s="5" t="str">
        <f>IFERROR(__xludf.DUMMYFUNCTION("IF(REGEXMATCH(Z591, ""Season""), ""TV Show"", ""Movie"")"),"Movie")</f>
        <v>Movie</v>
      </c>
    </row>
    <row r="592">
      <c r="A592" s="1" t="s">
        <v>3664</v>
      </c>
      <c r="B592" s="1" t="s">
        <v>37</v>
      </c>
      <c r="C592" s="1" t="s">
        <v>3665</v>
      </c>
      <c r="E592" s="1" t="s">
        <v>3666</v>
      </c>
      <c r="G592" s="1" t="s">
        <v>3478</v>
      </c>
      <c r="H592" s="1">
        <v>2016.0</v>
      </c>
      <c r="I592" s="1" t="s">
        <v>289</v>
      </c>
      <c r="J592" s="1" t="s">
        <v>276</v>
      </c>
      <c r="K592" s="1" t="s">
        <v>623</v>
      </c>
      <c r="L592" s="1" t="s">
        <v>3667</v>
      </c>
      <c r="M592" s="2" t="s">
        <v>12</v>
      </c>
      <c r="N592" s="4">
        <f t="shared" si="1"/>
        <v>44378</v>
      </c>
      <c r="O592" s="5" t="str">
        <f>IFERROR(__xludf.DUMMYFUNCTION("IF(REGEXMATCH(TRIM(I592), ""^\d+\s*min""), ""Unclassified"", IF(I592 = """", ""NR"", I592))"),"TV-Y7")</f>
        <v>TV-Y7</v>
      </c>
      <c r="R592" s="5" t="str">
        <f t="shared" si="2"/>
        <v>Sailor Moon Crystal</v>
      </c>
      <c r="S592" s="5" t="str">
        <f>IFERROR(__xludf.DUMMYFUNCTION("""COMPUTED_VALUE"""),"Another Forever")</f>
        <v>Another Forever</v>
      </c>
      <c r="T592" s="5" t="str">
        <f>IFERROR(__xludf.DUMMYFUNCTION("""COMPUTED_VALUE"""),"United Kingdom, United States, Czech Republic")</f>
        <v>United Kingdom, United States, Czech Republic</v>
      </c>
      <c r="U592" s="5" t="str">
        <f>IFERROR(__xludf.DUMMYFUNCTION("""COMPUTED_VALUE"""),"Bedran Güzel")</f>
        <v>Bedran Güzel</v>
      </c>
      <c r="V592" s="5" t="s">
        <v>3668</v>
      </c>
      <c r="W592" s="5" t="str">
        <f t="shared" si="3"/>
        <v>Brendan Malloy, Emmett Malloy</v>
      </c>
      <c r="X592" s="5">
        <f t="shared" si="4"/>
        <v>1</v>
      </c>
      <c r="Y592" s="5" t="str">
        <f>IFERROR(__xludf.DUMMYFUNCTION("REGEXEXTRACT(J592, ""^\d+"")"),"3")</f>
        <v>3</v>
      </c>
      <c r="Z592" s="5" t="str">
        <f>IFERROR(__xludf.DUMMYFUNCTION("REGEXEXTRACT(J592, ""[A-Za-z ]+$"")")," Seasons")</f>
        <v> Seasons</v>
      </c>
      <c r="AA592" s="5" t="str">
        <f>IFERROR(__xludf.DUMMYFUNCTION("IF(REGEXMATCH(Z592, ""Season""), ""TV Show"", ""Movie"")"),"TV Show")</f>
        <v>TV Show</v>
      </c>
    </row>
    <row r="593">
      <c r="A593" s="1" t="s">
        <v>3669</v>
      </c>
      <c r="B593" s="1" t="s">
        <v>27</v>
      </c>
      <c r="C593" s="1" t="s">
        <v>3670</v>
      </c>
      <c r="D593" s="1" t="s">
        <v>3671</v>
      </c>
      <c r="E593" s="1" t="s">
        <v>3672</v>
      </c>
      <c r="F593" s="1" t="s">
        <v>30</v>
      </c>
      <c r="G593" s="1" t="s">
        <v>3478</v>
      </c>
      <c r="H593" s="1">
        <v>2008.0</v>
      </c>
      <c r="I593" s="1" t="s">
        <v>32</v>
      </c>
      <c r="J593" s="1" t="s">
        <v>2566</v>
      </c>
      <c r="K593" s="1" t="s">
        <v>828</v>
      </c>
      <c r="L593" s="1" t="s">
        <v>3673</v>
      </c>
      <c r="M593" s="2" t="s">
        <v>12</v>
      </c>
      <c r="N593" s="4">
        <f t="shared" si="1"/>
        <v>44378</v>
      </c>
      <c r="O593" s="5" t="str">
        <f>IFERROR(__xludf.DUMMYFUNCTION("IF(REGEXMATCH(TRIM(I593), ""^\d+\s*min""), ""Unclassified"", IF(I593 = """", ""NR"", I593))"),"PG-13")</f>
        <v>PG-13</v>
      </c>
      <c r="R593" s="5" t="str">
        <f t="shared" si="2"/>
        <v>Seven Pounds</v>
      </c>
      <c r="S593" s="5" t="str">
        <f>IFERROR(__xludf.DUMMYFUNCTION("""COMPUTED_VALUE"""),"Another Life")</f>
        <v>Another Life</v>
      </c>
      <c r="T593" s="5" t="str">
        <f>IFERROR(__xludf.DUMMYFUNCTION("""COMPUTED_VALUE"""),"United Kingdom, United States, Dominican Republic")</f>
        <v>United Kingdom, United States, Dominican Republic</v>
      </c>
      <c r="U593" s="5" t="str">
        <f>IFERROR(__xludf.DUMMYFUNCTION("""COMPUTED_VALUE"""),"Marwan Nabil")</f>
        <v>Marwan Nabil</v>
      </c>
      <c r="V593" s="5" t="s">
        <v>3674</v>
      </c>
      <c r="W593" s="5" t="str">
        <f t="shared" si="3"/>
        <v>Brendan Toller</v>
      </c>
      <c r="X593" s="5">
        <f t="shared" si="4"/>
        <v>1</v>
      </c>
      <c r="Y593" s="5" t="str">
        <f>IFERROR(__xludf.DUMMYFUNCTION("REGEXEXTRACT(J593, ""^\d+"")"),"123")</f>
        <v>123</v>
      </c>
      <c r="Z593" s="5" t="str">
        <f>IFERROR(__xludf.DUMMYFUNCTION("REGEXEXTRACT(J593, ""[A-Za-z ]+$"")")," min")</f>
        <v> min</v>
      </c>
      <c r="AA593" s="5" t="str">
        <f>IFERROR(__xludf.DUMMYFUNCTION("IF(REGEXMATCH(Z593, ""Season""), ""TV Show"", ""Movie"")"),"Movie")</f>
        <v>Movie</v>
      </c>
    </row>
    <row r="594">
      <c r="A594" s="1" t="s">
        <v>3675</v>
      </c>
      <c r="B594" s="1" t="s">
        <v>27</v>
      </c>
      <c r="C594" s="1" t="s">
        <v>3676</v>
      </c>
      <c r="D594" s="1" t="s">
        <v>3677</v>
      </c>
      <c r="E594" s="1" t="s">
        <v>3678</v>
      </c>
      <c r="F594" s="1" t="s">
        <v>30</v>
      </c>
      <c r="G594" s="1" t="s">
        <v>3478</v>
      </c>
      <c r="H594" s="1">
        <v>2010.0</v>
      </c>
      <c r="I594" s="1" t="s">
        <v>378</v>
      </c>
      <c r="J594" s="1" t="s">
        <v>256</v>
      </c>
      <c r="K594" s="1" t="s">
        <v>813</v>
      </c>
      <c r="L594" s="1" t="s">
        <v>3679</v>
      </c>
      <c r="M594" s="2" t="s">
        <v>12</v>
      </c>
      <c r="N594" s="4">
        <f t="shared" si="1"/>
        <v>44378</v>
      </c>
      <c r="O594" s="5" t="str">
        <f>IFERROR(__xludf.DUMMYFUNCTION("IF(REGEXMATCH(TRIM(I594), ""^\d+\s*min""), ""Unclassified"", IF(I594 = """", ""NR"", I594))"),"R")</f>
        <v>R</v>
      </c>
      <c r="R594" s="5" t="str">
        <f t="shared" si="2"/>
        <v>She'S Out Of My League</v>
      </c>
      <c r="S594" s="5" t="str">
        <f>IFERROR(__xludf.DUMMYFUNCTION("""COMPUTED_VALUE"""),"Another Miss Oh")</f>
        <v>Another Miss Oh</v>
      </c>
      <c r="T594" s="5" t="str">
        <f>IFERROR(__xludf.DUMMYFUNCTION("""COMPUTED_VALUE"""),"United Kingdom, United States, France")</f>
        <v>United Kingdom, United States, France</v>
      </c>
      <c r="U594" s="5" t="str">
        <f>IFERROR(__xludf.DUMMYFUNCTION("""COMPUTED_VALUE"""),"Mikiko, Daito Manabe")</f>
        <v>Mikiko, Daito Manabe</v>
      </c>
      <c r="V594" s="5" t="s">
        <v>3680</v>
      </c>
      <c r="W594" s="5" t="str">
        <f t="shared" si="3"/>
        <v>Brendon Marotta</v>
      </c>
      <c r="X594" s="5">
        <f t="shared" si="4"/>
        <v>1</v>
      </c>
      <c r="Y594" s="5" t="str">
        <f>IFERROR(__xludf.DUMMYFUNCTION("REGEXEXTRACT(J594, ""^\d+"")"),"106")</f>
        <v>106</v>
      </c>
      <c r="Z594" s="5" t="str">
        <f>IFERROR(__xludf.DUMMYFUNCTION("REGEXEXTRACT(J594, ""[A-Za-z ]+$"")")," min")</f>
        <v> min</v>
      </c>
      <c r="AA594" s="5" t="str">
        <f>IFERROR(__xludf.DUMMYFUNCTION("IF(REGEXMATCH(Z594, ""Season""), ""TV Show"", ""Movie"")"),"Movie")</f>
        <v>Movie</v>
      </c>
    </row>
    <row r="595">
      <c r="A595" s="1" t="s">
        <v>3681</v>
      </c>
      <c r="B595" s="1" t="s">
        <v>27</v>
      </c>
      <c r="C595" s="1" t="s">
        <v>3682</v>
      </c>
      <c r="D595" s="1" t="s">
        <v>3683</v>
      </c>
      <c r="E595" s="1" t="s">
        <v>3684</v>
      </c>
      <c r="F595" s="1" t="s">
        <v>30</v>
      </c>
      <c r="G595" s="1" t="s">
        <v>3478</v>
      </c>
      <c r="H595" s="1">
        <v>2000.0</v>
      </c>
      <c r="I595" s="1" t="s">
        <v>78</v>
      </c>
      <c r="J595" s="1" t="s">
        <v>1191</v>
      </c>
      <c r="K595" s="1" t="s">
        <v>137</v>
      </c>
      <c r="L595" s="1" t="s">
        <v>3685</v>
      </c>
      <c r="M595" s="2" t="s">
        <v>12</v>
      </c>
      <c r="N595" s="4">
        <f t="shared" si="1"/>
        <v>44378</v>
      </c>
      <c r="O595" s="5" t="str">
        <f>IFERROR(__xludf.DUMMYFUNCTION("IF(REGEXMATCH(TRIM(I595), ""^\d+\s*min""), ""Unclassified"", IF(I595 = """", ""NR"", I595))"),"PG")</f>
        <v>PG</v>
      </c>
      <c r="R595" s="5" t="str">
        <f t="shared" si="2"/>
        <v>Snow Day</v>
      </c>
      <c r="S595" s="5" t="str">
        <f>IFERROR(__xludf.DUMMYFUNCTION("""COMPUTED_VALUE"""),"Answer For Heaven")</f>
        <v>Answer For Heaven</v>
      </c>
      <c r="T595" s="5" t="str">
        <f>IFERROR(__xludf.DUMMYFUNCTION("""COMPUTED_VALUE"""),"United Kingdom, United States, France, Germany")</f>
        <v>United Kingdom, United States, France, Germany</v>
      </c>
      <c r="U595" s="5" t="str">
        <f>IFERROR(__xludf.DUMMYFUNCTION("""COMPUTED_VALUE"""),"Yılmaz Erdoğan, Ömer Faruk Sorak")</f>
        <v>Yılmaz Erdoğan, Ömer Faruk Sorak</v>
      </c>
      <c r="V595" s="5" t="s">
        <v>3686</v>
      </c>
      <c r="W595" s="5" t="str">
        <f t="shared" si="3"/>
        <v>Brent Bonacorso</v>
      </c>
      <c r="X595" s="5">
        <f t="shared" si="4"/>
        <v>1</v>
      </c>
      <c r="Y595" s="5" t="str">
        <f>IFERROR(__xludf.DUMMYFUNCTION("REGEXEXTRACT(J595, ""^\d+"")"),"89")</f>
        <v>89</v>
      </c>
      <c r="Z595" s="5" t="str">
        <f>IFERROR(__xludf.DUMMYFUNCTION("REGEXEXTRACT(J595, ""[A-Za-z ]+$"")")," min")</f>
        <v> min</v>
      </c>
      <c r="AA595" s="5" t="str">
        <f>IFERROR(__xludf.DUMMYFUNCTION("IF(REGEXMATCH(Z595, ""Season""), ""TV Show"", ""Movie"")"),"Movie")</f>
        <v>Movie</v>
      </c>
    </row>
    <row r="596">
      <c r="A596" s="1" t="s">
        <v>3687</v>
      </c>
      <c r="B596" s="1" t="s">
        <v>27</v>
      </c>
      <c r="C596" s="1" t="s">
        <v>3688</v>
      </c>
      <c r="D596" s="1" t="s">
        <v>3689</v>
      </c>
      <c r="E596" s="1" t="s">
        <v>3690</v>
      </c>
      <c r="F596" s="1" t="s">
        <v>1205</v>
      </c>
      <c r="G596" s="1" t="s">
        <v>3478</v>
      </c>
      <c r="H596" s="1">
        <v>2009.0</v>
      </c>
      <c r="I596" s="1" t="s">
        <v>32</v>
      </c>
      <c r="J596" s="1" t="s">
        <v>757</v>
      </c>
      <c r="K596" s="1" t="s">
        <v>942</v>
      </c>
      <c r="L596" s="1" t="s">
        <v>3691</v>
      </c>
      <c r="M596" s="2" t="s">
        <v>12</v>
      </c>
      <c r="N596" s="4">
        <f t="shared" si="1"/>
        <v>44378</v>
      </c>
      <c r="O596" s="5" t="str">
        <f>IFERROR(__xludf.DUMMYFUNCTION("IF(REGEXMATCH(TRIM(I596), ""^\d+\s*min""), ""Unclassified"", IF(I596 = """", ""NR"", I596))"),"PG-13")</f>
        <v>PG-13</v>
      </c>
      <c r="R596" s="5" t="str">
        <f t="shared" si="2"/>
        <v>Star Trek</v>
      </c>
      <c r="S596" s="5" t="str">
        <f>IFERROR(__xludf.DUMMYFUNCTION("""COMPUTED_VALUE"""),"Ant-Man And The Wasp")</f>
        <v>Ant-Man And The Wasp</v>
      </c>
      <c r="T596" s="5" t="str">
        <f>IFERROR(__xludf.DUMMYFUNCTION("""COMPUTED_VALUE"""),"United Kingdom, United States, France, Italy")</f>
        <v>United Kingdom, United States, France, Italy</v>
      </c>
      <c r="U596" s="5" t="str">
        <f>IFERROR(__xludf.DUMMYFUNCTION("""COMPUTED_VALUE"""),"Takashi Shimizu")</f>
        <v>Takashi Shimizu</v>
      </c>
      <c r="V596" s="5" t="s">
        <v>3692</v>
      </c>
      <c r="W596" s="5" t="str">
        <f t="shared" si="3"/>
        <v>Brent Dawes</v>
      </c>
      <c r="X596" s="5">
        <f t="shared" si="4"/>
        <v>1</v>
      </c>
      <c r="Y596" s="5" t="str">
        <f>IFERROR(__xludf.DUMMYFUNCTION("REGEXEXTRACT(J596, ""^\d+"")"),"128")</f>
        <v>128</v>
      </c>
      <c r="Z596" s="5" t="str">
        <f>IFERROR(__xludf.DUMMYFUNCTION("REGEXEXTRACT(J596, ""[A-Za-z ]+$"")")," min")</f>
        <v> min</v>
      </c>
      <c r="AA596" s="5" t="str">
        <f>IFERROR(__xludf.DUMMYFUNCTION("IF(REGEXMATCH(Z596, ""Season""), ""TV Show"", ""Movie"")"),"Movie")</f>
        <v>Movie</v>
      </c>
    </row>
    <row r="597">
      <c r="A597" s="1" t="s">
        <v>3693</v>
      </c>
      <c r="B597" s="1" t="s">
        <v>27</v>
      </c>
      <c r="C597" s="1" t="s">
        <v>3694</v>
      </c>
      <c r="D597" s="1" t="s">
        <v>3695</v>
      </c>
      <c r="E597" s="1" t="s">
        <v>3696</v>
      </c>
      <c r="F597" s="1" t="s">
        <v>911</v>
      </c>
      <c r="G597" s="1" t="s">
        <v>3478</v>
      </c>
      <c r="H597" s="1">
        <v>1999.0</v>
      </c>
      <c r="I597" s="1" t="s">
        <v>78</v>
      </c>
      <c r="J597" s="1" t="s">
        <v>471</v>
      </c>
      <c r="K597" s="1" t="s">
        <v>137</v>
      </c>
      <c r="L597" s="1" t="s">
        <v>3697</v>
      </c>
      <c r="M597" s="2" t="s">
        <v>12</v>
      </c>
      <c r="N597" s="4">
        <f t="shared" si="1"/>
        <v>44378</v>
      </c>
      <c r="O597" s="5" t="str">
        <f>IFERROR(__xludf.DUMMYFUNCTION("IF(REGEXMATCH(TRIM(I597), ""^\d+\s*min""), ""Unclassified"", IF(I597 = """", ""NR"", I597))"),"PG")</f>
        <v>PG</v>
      </c>
      <c r="R597" s="5" t="str">
        <f t="shared" si="2"/>
        <v>Stuart Little</v>
      </c>
      <c r="S597" s="5" t="str">
        <f>IFERROR(__xludf.DUMMYFUNCTION("""COMPUTED_VALUE"""),"Antar: Son Of Shadad")</f>
        <v>Antar: Son Of Shadad</v>
      </c>
      <c r="T597" s="5" t="str">
        <f>IFERROR(__xludf.DUMMYFUNCTION("""COMPUTED_VALUE"""),"United Kingdom, United States, Germany, Denmark, Belgium, Japan")</f>
        <v>United Kingdom, United States, Germany, Denmark, Belgium, Japan</v>
      </c>
      <c r="U597" s="5" t="str">
        <f>IFERROR(__xludf.DUMMYFUNCTION("""COMPUTED_VALUE"""),"Joe Penna")</f>
        <v>Joe Penna</v>
      </c>
      <c r="V597" s="5" t="s">
        <v>3698</v>
      </c>
      <c r="W597" s="5" t="str">
        <f t="shared" si="3"/>
        <v>Brent Maddock</v>
      </c>
      <c r="X597" s="5">
        <f t="shared" si="4"/>
        <v>1</v>
      </c>
      <c r="Y597" s="5" t="str">
        <f>IFERROR(__xludf.DUMMYFUNCTION("REGEXEXTRACT(J597, ""^\d+"")"),"85")</f>
        <v>85</v>
      </c>
      <c r="Z597" s="5" t="str">
        <f>IFERROR(__xludf.DUMMYFUNCTION("REGEXEXTRACT(J597, ""[A-Za-z ]+$"")")," min")</f>
        <v> min</v>
      </c>
      <c r="AA597" s="5" t="str">
        <f>IFERROR(__xludf.DUMMYFUNCTION("IF(REGEXMATCH(Z597, ""Season""), ""TV Show"", ""Movie"")"),"Movie")</f>
        <v>Movie</v>
      </c>
    </row>
    <row r="598">
      <c r="A598" s="1" t="s">
        <v>3699</v>
      </c>
      <c r="B598" s="1" t="s">
        <v>27</v>
      </c>
      <c r="C598" s="1" t="s">
        <v>3700</v>
      </c>
      <c r="D598" s="1" t="s">
        <v>3701</v>
      </c>
      <c r="E598" s="1" t="s">
        <v>3702</v>
      </c>
      <c r="F598" s="1" t="s">
        <v>30</v>
      </c>
      <c r="G598" s="1" t="s">
        <v>3478</v>
      </c>
      <c r="H598" s="1">
        <v>2019.0</v>
      </c>
      <c r="I598" s="1" t="s">
        <v>378</v>
      </c>
      <c r="J598" s="1" t="s">
        <v>1191</v>
      </c>
      <c r="K598" s="1" t="s">
        <v>836</v>
      </c>
      <c r="L598" s="1" t="s">
        <v>3703</v>
      </c>
      <c r="M598" s="2" t="s">
        <v>12</v>
      </c>
      <c r="N598" s="4">
        <f t="shared" si="1"/>
        <v>44378</v>
      </c>
      <c r="O598" s="5" t="str">
        <f>IFERROR(__xludf.DUMMYFUNCTION("IF(REGEXMATCH(TRIM(I598), ""^\d+\s*min""), ""Unclassified"", IF(I598 = """", ""NR"", I598))"),"R")</f>
        <v>R</v>
      </c>
      <c r="R598" s="5" t="str">
        <f t="shared" si="2"/>
        <v>Sword Of Trust</v>
      </c>
      <c r="S598" s="5" t="str">
        <f>IFERROR(__xludf.DUMMYFUNCTION("""COMPUTED_VALUE"""),"Antariksha Ke Rakhwale")</f>
        <v>Antariksha Ke Rakhwale</v>
      </c>
      <c r="T598" s="5" t="str">
        <f>IFERROR(__xludf.DUMMYFUNCTION("""COMPUTED_VALUE"""),"United Kingdom, United States, Ireland")</f>
        <v>United Kingdom, United States, Ireland</v>
      </c>
      <c r="U598" s="5" t="str">
        <f>IFERROR(__xludf.DUMMYFUNCTION("""COMPUTED_VALUE"""),"Ahishor Solomon")</f>
        <v>Ahishor Solomon</v>
      </c>
      <c r="V598" s="5" t="s">
        <v>3704</v>
      </c>
      <c r="W598" s="5" t="str">
        <f t="shared" si="3"/>
        <v>Brett Donowho</v>
      </c>
      <c r="X598" s="5">
        <f t="shared" si="4"/>
        <v>1</v>
      </c>
      <c r="Y598" s="5" t="str">
        <f>IFERROR(__xludf.DUMMYFUNCTION("REGEXEXTRACT(J598, ""^\d+"")"),"89")</f>
        <v>89</v>
      </c>
      <c r="Z598" s="5" t="str">
        <f>IFERROR(__xludf.DUMMYFUNCTION("REGEXEXTRACT(J598, ""[A-Za-z ]+$"")")," min")</f>
        <v> min</v>
      </c>
      <c r="AA598" s="5" t="str">
        <f>IFERROR(__xludf.DUMMYFUNCTION("IF(REGEXMATCH(Z598, ""Season""), ""TV Show"", ""Movie"")"),"Movie")</f>
        <v>Movie</v>
      </c>
    </row>
    <row r="599">
      <c r="A599" s="1" t="s">
        <v>3705</v>
      </c>
      <c r="B599" s="1" t="s">
        <v>27</v>
      </c>
      <c r="C599" s="1" t="s">
        <v>3706</v>
      </c>
      <c r="D599" s="1" t="s">
        <v>3707</v>
      </c>
      <c r="E599" s="1" t="s">
        <v>3708</v>
      </c>
      <c r="F599" s="1" t="s">
        <v>30</v>
      </c>
      <c r="G599" s="1" t="s">
        <v>3478</v>
      </c>
      <c r="H599" s="1">
        <v>2006.0</v>
      </c>
      <c r="I599" s="1" t="s">
        <v>32</v>
      </c>
      <c r="J599" s="1" t="s">
        <v>912</v>
      </c>
      <c r="K599" s="1" t="s">
        <v>3709</v>
      </c>
      <c r="L599" s="1" t="s">
        <v>3710</v>
      </c>
      <c r="M599" s="2" t="s">
        <v>12</v>
      </c>
      <c r="N599" s="4">
        <f t="shared" si="1"/>
        <v>44378</v>
      </c>
      <c r="O599" s="5" t="str">
        <f>IFERROR(__xludf.DUMMYFUNCTION("IF(REGEXMATCH(TRIM(I599), ""^\d+\s*min""), ""Unclassified"", IF(I599 = """", ""NR"", I599))"),"PG-13")</f>
        <v>PG-13</v>
      </c>
      <c r="R599" s="5" t="str">
        <f t="shared" si="2"/>
        <v>Talladega Nights: The Ballad Of Ricky Bobby</v>
      </c>
      <c r="S599" s="5" t="str">
        <f>IFERROR(__xludf.DUMMYFUNCTION("""COMPUTED_VALUE"""),"Anthony Bourdain: Parts Unknown")</f>
        <v>Anthony Bourdain: Parts Unknown</v>
      </c>
      <c r="T599" s="5" t="str">
        <f>IFERROR(__xludf.DUMMYFUNCTION("""COMPUTED_VALUE"""),"United Kingdom, United States, Japan")</f>
        <v>United Kingdom, United States, Japan</v>
      </c>
      <c r="U599" s="5" t="str">
        <f>IFERROR(__xludf.DUMMYFUNCTION("""COMPUTED_VALUE"""),"Curtis Graham")</f>
        <v>Curtis Graham</v>
      </c>
      <c r="V599" s="5" t="s">
        <v>3711</v>
      </c>
      <c r="W599" s="5" t="str">
        <f t="shared" si="3"/>
        <v>Brett Haley</v>
      </c>
      <c r="X599" s="5">
        <f t="shared" si="4"/>
        <v>3</v>
      </c>
      <c r="Y599" s="5" t="str">
        <f>IFERROR(__xludf.DUMMYFUNCTION("REGEXEXTRACT(J599, ""^\d+"")"),"108")</f>
        <v>108</v>
      </c>
      <c r="Z599" s="5" t="str">
        <f>IFERROR(__xludf.DUMMYFUNCTION("REGEXEXTRACT(J599, ""[A-Za-z ]+$"")")," min")</f>
        <v> min</v>
      </c>
      <c r="AA599" s="5" t="str">
        <f>IFERROR(__xludf.DUMMYFUNCTION("IF(REGEXMATCH(Z599, ""Season""), ""TV Show"", ""Movie"")"),"Movie")</f>
        <v>Movie</v>
      </c>
    </row>
    <row r="600">
      <c r="A600" s="1" t="s">
        <v>3712</v>
      </c>
      <c r="B600" s="1" t="s">
        <v>27</v>
      </c>
      <c r="C600" s="1" t="s">
        <v>3713</v>
      </c>
      <c r="D600" s="1" t="s">
        <v>2335</v>
      </c>
      <c r="E600" s="1" t="s">
        <v>3714</v>
      </c>
      <c r="F600" s="1" t="s">
        <v>692</v>
      </c>
      <c r="G600" s="1" t="s">
        <v>3478</v>
      </c>
      <c r="H600" s="1">
        <v>2010.0</v>
      </c>
      <c r="I600" s="1" t="s">
        <v>378</v>
      </c>
      <c r="J600" s="1" t="s">
        <v>305</v>
      </c>
      <c r="K600" s="1" t="s">
        <v>394</v>
      </c>
      <c r="L600" s="1" t="s">
        <v>3715</v>
      </c>
      <c r="M600" s="2" t="s">
        <v>12</v>
      </c>
      <c r="N600" s="4">
        <f t="shared" si="1"/>
        <v>44378</v>
      </c>
      <c r="O600" s="5" t="str">
        <f>IFERROR(__xludf.DUMMYFUNCTION("IF(REGEXMATCH(TRIM(I600), ""^\d+\s*min""), ""Unclassified"", IF(I600 = """", ""NR"", I600))"),"R")</f>
        <v>R</v>
      </c>
      <c r="R600" s="5" t="str">
        <f t="shared" si="2"/>
        <v>The American</v>
      </c>
      <c r="S600" s="5" t="str">
        <f>IFERROR(__xludf.DUMMYFUNCTION("""COMPUTED_VALUE"""),"Anthony Jeselnik: Fire In The Maternity Ward")</f>
        <v>Anthony Jeselnik: Fire In The Maternity Ward</v>
      </c>
      <c r="T600" s="5" t="str">
        <f>IFERROR(__xludf.DUMMYFUNCTION("""COMPUTED_VALUE"""),"United Kingdom, United States, Morocco")</f>
        <v>United Kingdom, United States, Morocco</v>
      </c>
      <c r="U600" s="5" t="str">
        <f>IFERROR(__xludf.DUMMYFUNCTION("""COMPUTED_VALUE"""),"Gerardo Gatica")</f>
        <v>Gerardo Gatica</v>
      </c>
      <c r="V600" s="5" t="s">
        <v>3716</v>
      </c>
      <c r="W600" s="5" t="str">
        <f t="shared" si="3"/>
        <v>Brett Harvey</v>
      </c>
      <c r="X600" s="5">
        <f t="shared" si="4"/>
        <v>1</v>
      </c>
      <c r="Y600" s="5" t="str">
        <f>IFERROR(__xludf.DUMMYFUNCTION("REGEXEXTRACT(J600, ""^\d+"")"),"105")</f>
        <v>105</v>
      </c>
      <c r="Z600" s="5" t="str">
        <f>IFERROR(__xludf.DUMMYFUNCTION("REGEXEXTRACT(J600, ""[A-Za-z ]+$"")")," min")</f>
        <v> min</v>
      </c>
      <c r="AA600" s="5" t="str">
        <f>IFERROR(__xludf.DUMMYFUNCTION("IF(REGEXMATCH(Z600, ""Season""), ""TV Show"", ""Movie"")"),"Movie")</f>
        <v>Movie</v>
      </c>
    </row>
    <row r="601">
      <c r="A601" s="1" t="s">
        <v>3717</v>
      </c>
      <c r="B601" s="1" t="s">
        <v>27</v>
      </c>
      <c r="C601" s="1" t="s">
        <v>3718</v>
      </c>
      <c r="D601" s="1" t="s">
        <v>3719</v>
      </c>
      <c r="E601" s="1" t="s">
        <v>3720</v>
      </c>
      <c r="F601" s="1" t="s">
        <v>30</v>
      </c>
      <c r="G601" s="1" t="s">
        <v>3478</v>
      </c>
      <c r="H601" s="1">
        <v>2019.0</v>
      </c>
      <c r="I601" s="1" t="s">
        <v>32</v>
      </c>
      <c r="J601" s="1" t="s">
        <v>1428</v>
      </c>
      <c r="K601" s="1" t="s">
        <v>805</v>
      </c>
      <c r="L601" s="1" t="s">
        <v>3721</v>
      </c>
      <c r="M601" s="2" t="s">
        <v>12</v>
      </c>
      <c r="N601" s="4">
        <f t="shared" si="1"/>
        <v>44378</v>
      </c>
      <c r="O601" s="5" t="str">
        <f>IFERROR(__xludf.DUMMYFUNCTION("IF(REGEXMATCH(TRIM(I601), ""^\d+\s*min""), ""Unclassified"", IF(I601 = """", ""NR"", I601))"),"PG-13")</f>
        <v>PG-13</v>
      </c>
      <c r="R601" s="5" t="str">
        <f t="shared" si="2"/>
        <v>The Best Of Enemies</v>
      </c>
      <c r="S601" s="5" t="str">
        <f>IFERROR(__xludf.DUMMYFUNCTION("""COMPUTED_VALUE"""),"Anthony Jeselnik: Thoughts And Prayers")</f>
        <v>Anthony Jeselnik: Thoughts And Prayers</v>
      </c>
      <c r="T601" s="5" t="str">
        <f>IFERROR(__xludf.DUMMYFUNCTION("""COMPUTED_VALUE"""),"United Kingdom, United States, Spain, Germany, Greece, Canada")</f>
        <v>United Kingdom, United States, Spain, Germany, Greece, Canada</v>
      </c>
      <c r="U601" s="5" t="str">
        <f>IFERROR(__xludf.DUMMYFUNCTION("""COMPUTED_VALUE"""),"Akshay Sanjeev Chavan, Sumit Das")</f>
        <v>Akshay Sanjeev Chavan, Sumit Das</v>
      </c>
      <c r="V601" s="5" t="s">
        <v>3722</v>
      </c>
      <c r="W601" s="5" t="str">
        <f t="shared" si="3"/>
        <v>Brett Hedlund</v>
      </c>
      <c r="X601" s="5">
        <f t="shared" si="4"/>
        <v>1</v>
      </c>
      <c r="Y601" s="5" t="str">
        <f>IFERROR(__xludf.DUMMYFUNCTION("REGEXEXTRACT(J601, ""^\d+"")"),"133")</f>
        <v>133</v>
      </c>
      <c r="Z601" s="5" t="str">
        <f>IFERROR(__xludf.DUMMYFUNCTION("REGEXEXTRACT(J601, ""[A-Za-z ]+$"")")," min")</f>
        <v> min</v>
      </c>
      <c r="AA601" s="5" t="str">
        <f>IFERROR(__xludf.DUMMYFUNCTION("IF(REGEXMATCH(Z601, ""Season""), ""TV Show"", ""Movie"")"),"Movie")</f>
        <v>Movie</v>
      </c>
    </row>
    <row r="602">
      <c r="A602" s="1" t="s">
        <v>3723</v>
      </c>
      <c r="B602" s="1" t="s">
        <v>27</v>
      </c>
      <c r="C602" s="1" t="s">
        <v>3724</v>
      </c>
      <c r="D602" s="1" t="s">
        <v>3725</v>
      </c>
      <c r="E602" s="1" t="s">
        <v>3726</v>
      </c>
      <c r="F602" s="1" t="s">
        <v>30</v>
      </c>
      <c r="G602" s="1" t="s">
        <v>3478</v>
      </c>
      <c r="H602" s="1">
        <v>1997.0</v>
      </c>
      <c r="I602" s="1" t="s">
        <v>378</v>
      </c>
      <c r="J602" s="1" t="s">
        <v>1273</v>
      </c>
      <c r="K602" s="1" t="s">
        <v>171</v>
      </c>
      <c r="L602" s="1" t="s">
        <v>3727</v>
      </c>
      <c r="M602" s="2" t="s">
        <v>12</v>
      </c>
      <c r="N602" s="4">
        <f t="shared" si="1"/>
        <v>44378</v>
      </c>
      <c r="O602" s="5" t="str">
        <f>IFERROR(__xludf.DUMMYFUNCTION("IF(REGEXMATCH(TRIM(I602), ""^\d+\s*min""), ""Unclassified"", IF(I602 = """", ""NR"", I602))"),"R")</f>
        <v>R</v>
      </c>
      <c r="R602" s="5" t="str">
        <f t="shared" si="2"/>
        <v>The Game</v>
      </c>
      <c r="S602" s="5" t="str">
        <f>IFERROR(__xludf.DUMMYFUNCTION("""COMPUTED_VALUE"""),"Anthony Kaun Hai?")</f>
        <v>Anthony Kaun Hai?</v>
      </c>
      <c r="T602" s="5" t="str">
        <f>IFERROR(__xludf.DUMMYFUNCTION("""COMPUTED_VALUE"""),"United Kingdom, West Germany")</f>
        <v>United Kingdom, West Germany</v>
      </c>
      <c r="U602" s="5" t="str">
        <f>IFERROR(__xludf.DUMMYFUNCTION("""COMPUTED_VALUE"""),"John Madden")</f>
        <v>John Madden</v>
      </c>
      <c r="V602" s="5" t="s">
        <v>3728</v>
      </c>
      <c r="W602" s="5" t="str">
        <f t="shared" si="3"/>
        <v>Brett Ratner</v>
      </c>
      <c r="X602" s="5">
        <f t="shared" si="4"/>
        <v>1</v>
      </c>
      <c r="Y602" s="5" t="str">
        <f>IFERROR(__xludf.DUMMYFUNCTION("REGEXEXTRACT(J602, ""^\d+"")"),"129")</f>
        <v>129</v>
      </c>
      <c r="Z602" s="5" t="str">
        <f>IFERROR(__xludf.DUMMYFUNCTION("REGEXEXTRACT(J602, ""[A-Za-z ]+$"")")," min")</f>
        <v> min</v>
      </c>
      <c r="AA602" s="5" t="str">
        <f>IFERROR(__xludf.DUMMYFUNCTION("IF(REGEXMATCH(Z602, ""Season""), ""TV Show"", ""Movie"")"),"Movie")</f>
        <v>Movie</v>
      </c>
    </row>
    <row r="603">
      <c r="A603" s="1" t="s">
        <v>3729</v>
      </c>
      <c r="B603" s="1" t="s">
        <v>27</v>
      </c>
      <c r="C603" s="1" t="s">
        <v>3730</v>
      </c>
      <c r="D603" s="1" t="s">
        <v>3731</v>
      </c>
      <c r="E603" s="1" t="s">
        <v>3732</v>
      </c>
      <c r="F603" s="1" t="s">
        <v>30</v>
      </c>
      <c r="G603" s="1" t="s">
        <v>3478</v>
      </c>
      <c r="H603" s="1">
        <v>1984.0</v>
      </c>
      <c r="I603" s="1" t="s">
        <v>78</v>
      </c>
      <c r="J603" s="1" t="s">
        <v>127</v>
      </c>
      <c r="K603" s="1" t="s">
        <v>3733</v>
      </c>
      <c r="L603" s="1" t="s">
        <v>3734</v>
      </c>
      <c r="M603" s="2" t="s">
        <v>12</v>
      </c>
      <c r="N603" s="4">
        <f t="shared" si="1"/>
        <v>44378</v>
      </c>
      <c r="O603" s="5" t="str">
        <f>IFERROR(__xludf.DUMMYFUNCTION("IF(REGEXMATCH(TRIM(I603), ""^\d+\s*min""), ""Unclassified"", IF(I603 = """", ""NR"", I603))"),"PG")</f>
        <v>PG</v>
      </c>
      <c r="R603" s="5" t="str">
        <f t="shared" si="2"/>
        <v>The Karate Kid</v>
      </c>
      <c r="S603" s="5" t="str">
        <f>IFERROR(__xludf.DUMMYFUNCTION("""COMPUTED_VALUE"""),"Antidote")</f>
        <v>Antidote</v>
      </c>
      <c r="T603" s="5" t="str">
        <f>IFERROR(__xludf.DUMMYFUNCTION("""COMPUTED_VALUE"""),"United States")</f>
        <v>United States</v>
      </c>
      <c r="U603" s="5" t="str">
        <f>IFERROR(__xludf.DUMMYFUNCTION("""COMPUTED_VALUE"""),"Edward James Olmos")</f>
        <v>Edward James Olmos</v>
      </c>
      <c r="V603" s="5" t="s">
        <v>1071</v>
      </c>
      <c r="W603" s="5" t="str">
        <f t="shared" si="3"/>
        <v>Brett Weiner</v>
      </c>
      <c r="X603" s="5">
        <f t="shared" si="4"/>
        <v>1</v>
      </c>
      <c r="Y603" s="5" t="str">
        <f>IFERROR(__xludf.DUMMYFUNCTION("REGEXEXTRACT(J603, ""^\d+"")"),"127")</f>
        <v>127</v>
      </c>
      <c r="Z603" s="5" t="str">
        <f>IFERROR(__xludf.DUMMYFUNCTION("REGEXEXTRACT(J603, ""[A-Za-z ]+$"")")," min")</f>
        <v> min</v>
      </c>
      <c r="AA603" s="5" t="str">
        <f>IFERROR(__xludf.DUMMYFUNCTION("IF(REGEXMATCH(Z603, ""Season""), ""TV Show"", ""Movie"")"),"Movie")</f>
        <v>Movie</v>
      </c>
    </row>
    <row r="604">
      <c r="A604" s="1" t="s">
        <v>3735</v>
      </c>
      <c r="B604" s="1" t="s">
        <v>27</v>
      </c>
      <c r="C604" s="1" t="s">
        <v>3736</v>
      </c>
      <c r="D604" s="1" t="s">
        <v>3731</v>
      </c>
      <c r="E604" s="1" t="s">
        <v>3737</v>
      </c>
      <c r="F604" s="1" t="s">
        <v>30</v>
      </c>
      <c r="G604" s="1" t="s">
        <v>3478</v>
      </c>
      <c r="H604" s="1">
        <v>1986.0</v>
      </c>
      <c r="I604" s="1" t="s">
        <v>78</v>
      </c>
      <c r="J604" s="1" t="s">
        <v>519</v>
      </c>
      <c r="K604" s="1" t="s">
        <v>3738</v>
      </c>
      <c r="L604" s="1" t="s">
        <v>3739</v>
      </c>
      <c r="M604" s="2" t="s">
        <v>12</v>
      </c>
      <c r="N604" s="4">
        <f t="shared" si="1"/>
        <v>44378</v>
      </c>
      <c r="O604" s="5" t="str">
        <f>IFERROR(__xludf.DUMMYFUNCTION("IF(REGEXMATCH(TRIM(I604), ""^\d+\s*min""), ""Unclassified"", IF(I604 = """", ""NR"", I604))"),"PG")</f>
        <v>PG</v>
      </c>
      <c r="R604" s="5" t="str">
        <f t="shared" si="2"/>
        <v>The Karate Kid Part Ii</v>
      </c>
      <c r="S604" s="5" t="str">
        <f>IFERROR(__xludf.DUMMYFUNCTION("""COMPUTED_VALUE"""),"Antoine Griezmann: The Making Of A Legend")</f>
        <v>Antoine Griezmann: The Making Of A Legend</v>
      </c>
      <c r="T604" s="5" t="str">
        <f>IFERROR(__xludf.DUMMYFUNCTION("""COMPUTED_VALUE"""),"United States,")</f>
        <v>United States,</v>
      </c>
      <c r="U604" s="5" t="str">
        <f>IFERROR(__xludf.DUMMYFUNCTION("""COMPUTED_VALUE"""),"Abhinay Deo")</f>
        <v>Abhinay Deo</v>
      </c>
      <c r="V604" s="5" t="s">
        <v>3740</v>
      </c>
      <c r="W604" s="5" t="str">
        <f t="shared" si="3"/>
        <v>Brett Whitcomb</v>
      </c>
      <c r="X604" s="5">
        <f t="shared" si="4"/>
        <v>1</v>
      </c>
      <c r="Y604" s="5" t="str">
        <f>IFERROR(__xludf.DUMMYFUNCTION("REGEXEXTRACT(J604, ""^\d+"")"),"113")</f>
        <v>113</v>
      </c>
      <c r="Z604" s="5" t="str">
        <f>IFERROR(__xludf.DUMMYFUNCTION("REGEXEXTRACT(J604, ""[A-Za-z ]+$"")")," min")</f>
        <v> min</v>
      </c>
      <c r="AA604" s="5" t="str">
        <f>IFERROR(__xludf.DUMMYFUNCTION("IF(REGEXMATCH(Z604, ""Season""), ""TV Show"", ""Movie"")"),"Movie")</f>
        <v>Movie</v>
      </c>
    </row>
    <row r="605">
      <c r="A605" s="1" t="s">
        <v>3741</v>
      </c>
      <c r="B605" s="1" t="s">
        <v>27</v>
      </c>
      <c r="C605" s="1" t="s">
        <v>3742</v>
      </c>
      <c r="D605" s="1" t="s">
        <v>3731</v>
      </c>
      <c r="E605" s="1" t="s">
        <v>3743</v>
      </c>
      <c r="F605" s="1" t="s">
        <v>30</v>
      </c>
      <c r="G605" s="1" t="s">
        <v>3478</v>
      </c>
      <c r="H605" s="1">
        <v>1989.0</v>
      </c>
      <c r="I605" s="1" t="s">
        <v>78</v>
      </c>
      <c r="J605" s="1" t="s">
        <v>1243</v>
      </c>
      <c r="K605" s="1" t="s">
        <v>771</v>
      </c>
      <c r="L605" s="1" t="s">
        <v>3744</v>
      </c>
      <c r="M605" s="2" t="s">
        <v>12</v>
      </c>
      <c r="N605" s="4">
        <f t="shared" si="1"/>
        <v>44378</v>
      </c>
      <c r="O605" s="5" t="str">
        <f>IFERROR(__xludf.DUMMYFUNCTION("IF(REGEXMATCH(TRIM(I605), ""^\d+\s*min""), ""Unclassified"", IF(I605 = """", ""NR"", I605))"),"PG")</f>
        <v>PG</v>
      </c>
      <c r="R605" s="5" t="str">
        <f t="shared" si="2"/>
        <v>The Karate Kid Part Iii</v>
      </c>
      <c r="S605" s="5" t="str">
        <f>IFERROR(__xludf.DUMMYFUNCTION("""COMPUTED_VALUE"""),"Anwar")</f>
        <v>Anwar</v>
      </c>
      <c r="T605" s="5" t="str">
        <f>IFERROR(__xludf.DUMMYFUNCTION("""COMPUTED_VALUE"""),"United States, Argentina")</f>
        <v>United States, Argentina</v>
      </c>
      <c r="U605" s="5" t="str">
        <f>IFERROR(__xludf.DUMMYFUNCTION("""COMPUTED_VALUE"""),"Kiran Rao")</f>
        <v>Kiran Rao</v>
      </c>
      <c r="V605" s="5" t="s">
        <v>3745</v>
      </c>
      <c r="W605" s="5" t="str">
        <f t="shared" si="3"/>
        <v>Brian A. Miller</v>
      </c>
      <c r="X605" s="5">
        <f t="shared" si="4"/>
        <v>1</v>
      </c>
      <c r="Y605" s="5" t="str">
        <f>IFERROR(__xludf.DUMMYFUNCTION("REGEXEXTRACT(J605, ""^\d+"")"),"112")</f>
        <v>112</v>
      </c>
      <c r="Z605" s="5" t="str">
        <f>IFERROR(__xludf.DUMMYFUNCTION("REGEXEXTRACT(J605, ""[A-Za-z ]+$"")")," min")</f>
        <v> min</v>
      </c>
      <c r="AA605" s="5" t="str">
        <f>IFERROR(__xludf.DUMMYFUNCTION("IF(REGEXMATCH(Z605, ""Season""), ""TV Show"", ""Movie"")"),"Movie")</f>
        <v>Movie</v>
      </c>
    </row>
    <row r="606">
      <c r="A606" s="1" t="s">
        <v>3746</v>
      </c>
      <c r="B606" s="1" t="s">
        <v>27</v>
      </c>
      <c r="C606" s="1" t="s">
        <v>3747</v>
      </c>
      <c r="D606" s="1" t="s">
        <v>872</v>
      </c>
      <c r="E606" s="1" t="s">
        <v>3748</v>
      </c>
      <c r="F606" s="1" t="s">
        <v>3749</v>
      </c>
      <c r="G606" s="1" t="s">
        <v>3478</v>
      </c>
      <c r="H606" s="1">
        <v>2003.0</v>
      </c>
      <c r="I606" s="1" t="s">
        <v>378</v>
      </c>
      <c r="J606" s="1" t="s">
        <v>2281</v>
      </c>
      <c r="K606" s="1" t="s">
        <v>805</v>
      </c>
      <c r="L606" s="1" t="s">
        <v>3750</v>
      </c>
      <c r="M606" s="2" t="s">
        <v>12</v>
      </c>
      <c r="N606" s="4">
        <f t="shared" si="1"/>
        <v>44378</v>
      </c>
      <c r="O606" s="5" t="str">
        <f>IFERROR(__xludf.DUMMYFUNCTION("IF(REGEXMATCH(TRIM(I606), ""^\d+\s*min""), ""Unclassified"", IF(I606 = """", ""NR"", I606))"),"R")</f>
        <v>R</v>
      </c>
      <c r="R606" s="5" t="str">
        <f t="shared" si="2"/>
        <v>The Life Of David Gale</v>
      </c>
      <c r="S606" s="5" t="str">
        <f>IFERROR(__xludf.DUMMYFUNCTION("""COMPUTED_VALUE"""),"Any Crybabies Around?")</f>
        <v>Any Crybabies Around?</v>
      </c>
      <c r="T606" s="5" t="str">
        <f>IFERROR(__xludf.DUMMYFUNCTION("""COMPUTED_VALUE"""),"United States, Australia")</f>
        <v>United States, Australia</v>
      </c>
      <c r="U606" s="5" t="str">
        <f>IFERROR(__xludf.DUMMYFUNCTION("""COMPUTED_VALUE"""),"Abbas Tyrewala")</f>
        <v>Abbas Tyrewala</v>
      </c>
      <c r="V606" s="5" t="s">
        <v>1649</v>
      </c>
      <c r="W606" s="5" t="str">
        <f t="shared" si="3"/>
        <v>Brian Andrew Mendoza</v>
      </c>
      <c r="X606" s="5">
        <f t="shared" si="4"/>
        <v>1</v>
      </c>
      <c r="Y606" s="5" t="str">
        <f>IFERROR(__xludf.DUMMYFUNCTION("REGEXEXTRACT(J606, ""^\d+"")"),"130")</f>
        <v>130</v>
      </c>
      <c r="Z606" s="5" t="str">
        <f>IFERROR(__xludf.DUMMYFUNCTION("REGEXEXTRACT(J606, ""[A-Za-z ]+$"")")," min")</f>
        <v> min</v>
      </c>
      <c r="AA606" s="5" t="str">
        <f>IFERROR(__xludf.DUMMYFUNCTION("IF(REGEXMATCH(Z606, ""Season""), ""TV Show"", ""Movie"")"),"Movie")</f>
        <v>Movie</v>
      </c>
    </row>
    <row r="607">
      <c r="A607" s="1" t="s">
        <v>3751</v>
      </c>
      <c r="B607" s="1" t="s">
        <v>27</v>
      </c>
      <c r="C607" s="1" t="s">
        <v>3752</v>
      </c>
      <c r="D607" s="1" t="s">
        <v>3753</v>
      </c>
      <c r="E607" s="1" t="s">
        <v>3754</v>
      </c>
      <c r="F607" s="1" t="s">
        <v>30</v>
      </c>
      <c r="G607" s="1" t="s">
        <v>3478</v>
      </c>
      <c r="H607" s="1">
        <v>1980.0</v>
      </c>
      <c r="I607" s="1" t="s">
        <v>378</v>
      </c>
      <c r="J607" s="1" t="s">
        <v>433</v>
      </c>
      <c r="K607" s="1" t="s">
        <v>380</v>
      </c>
      <c r="L607" s="1" t="s">
        <v>3755</v>
      </c>
      <c r="M607" s="2" t="s">
        <v>12</v>
      </c>
      <c r="N607" s="4">
        <f t="shared" si="1"/>
        <v>44378</v>
      </c>
      <c r="O607" s="5" t="str">
        <f>IFERROR(__xludf.DUMMYFUNCTION("IF(REGEXMATCH(TRIM(I607), ""^\d+\s*min""), ""Unclassified"", IF(I607 = """", ""NR"", I607))"),"R")</f>
        <v>R</v>
      </c>
      <c r="R607" s="5" t="str">
        <f t="shared" si="2"/>
        <v>The Long Riders</v>
      </c>
      <c r="S607" s="5" t="str">
        <f>IFERROR(__xludf.DUMMYFUNCTION("""COMPUTED_VALUE"""),"Apache Warrior")</f>
        <v>Apache Warrior</v>
      </c>
      <c r="T607" s="5" t="str">
        <f>IFERROR(__xludf.DUMMYFUNCTION("""COMPUTED_VALUE"""),"United States, Australia, China")</f>
        <v>United States, Australia, China</v>
      </c>
      <c r="U607" s="5" t="str">
        <f>IFERROR(__xludf.DUMMYFUNCTION("""COMPUTED_VALUE"""),"Ashutosh Gowariker")</f>
        <v>Ashutosh Gowariker</v>
      </c>
      <c r="V607" s="5" t="s">
        <v>3756</v>
      </c>
      <c r="W607" s="5" t="str">
        <f t="shared" si="3"/>
        <v>Brian Baugh</v>
      </c>
      <c r="X607" s="5">
        <f t="shared" si="4"/>
        <v>1</v>
      </c>
      <c r="Y607" s="5" t="str">
        <f>IFERROR(__xludf.DUMMYFUNCTION("REGEXEXTRACT(J607, ""^\d+"")"),"100")</f>
        <v>100</v>
      </c>
      <c r="Z607" s="5" t="str">
        <f>IFERROR(__xludf.DUMMYFUNCTION("REGEXEXTRACT(J607, ""[A-Za-z ]+$"")")," min")</f>
        <v> min</v>
      </c>
      <c r="AA607" s="5" t="str">
        <f>IFERROR(__xludf.DUMMYFUNCTION("IF(REGEXMATCH(Z607, ""Season""), ""TV Show"", ""Movie"")"),"Movie")</f>
        <v>Movie</v>
      </c>
    </row>
    <row r="608">
      <c r="A608" s="1" t="s">
        <v>3757</v>
      </c>
      <c r="B608" s="1" t="s">
        <v>27</v>
      </c>
      <c r="C608" s="1" t="s">
        <v>3758</v>
      </c>
      <c r="D608" s="1" t="s">
        <v>3759</v>
      </c>
      <c r="E608" s="1" t="s">
        <v>3760</v>
      </c>
      <c r="F608" s="1" t="s">
        <v>3761</v>
      </c>
      <c r="G608" s="1" t="s">
        <v>3478</v>
      </c>
      <c r="H608" s="1">
        <v>2006.0</v>
      </c>
      <c r="I608" s="1" t="s">
        <v>32</v>
      </c>
      <c r="J608" s="1" t="s">
        <v>238</v>
      </c>
      <c r="K608" s="1" t="s">
        <v>128</v>
      </c>
      <c r="L608" s="1" t="s">
        <v>3762</v>
      </c>
      <c r="M608" s="2" t="s">
        <v>12</v>
      </c>
      <c r="N608" s="4">
        <f t="shared" si="1"/>
        <v>44378</v>
      </c>
      <c r="O608" s="5" t="str">
        <f>IFERROR(__xludf.DUMMYFUNCTION("IF(REGEXMATCH(TRIM(I608), ""^\d+\s*min""), ""Unclassified"", IF(I608 = """", ""NR"", I608))"),"PG-13")</f>
        <v>PG-13</v>
      </c>
      <c r="R608" s="5" t="str">
        <f t="shared" si="2"/>
        <v>The Queen</v>
      </c>
      <c r="S608" s="5" t="str">
        <f>IFERROR(__xludf.DUMMYFUNCTION("""COMPUTED_VALUE"""),"Apache: The Life Of Carlos Tevez")</f>
        <v>Apache: The Life Of Carlos Tevez</v>
      </c>
      <c r="T608" s="5" t="str">
        <f>IFERROR(__xludf.DUMMYFUNCTION("""COMPUTED_VALUE"""),"United States, Australia, Mexico")</f>
        <v>United States, Australia, Mexico</v>
      </c>
      <c r="U608" s="5" t="str">
        <f>IFERROR(__xludf.DUMMYFUNCTION("""COMPUTED_VALUE"""),"Satyajit Bhatkal")</f>
        <v>Satyajit Bhatkal</v>
      </c>
      <c r="V608" s="5" t="s">
        <v>3763</v>
      </c>
      <c r="W608" s="5" t="str">
        <f t="shared" si="3"/>
        <v>Brian De Palma</v>
      </c>
      <c r="X608" s="5">
        <f t="shared" si="4"/>
        <v>2</v>
      </c>
      <c r="Y608" s="5" t="str">
        <f>IFERROR(__xludf.DUMMYFUNCTION("REGEXEXTRACT(J608, ""^\d+"")"),"103")</f>
        <v>103</v>
      </c>
      <c r="Z608" s="5" t="str">
        <f>IFERROR(__xludf.DUMMYFUNCTION("REGEXEXTRACT(J608, ""[A-Za-z ]+$"")")," min")</f>
        <v> min</v>
      </c>
      <c r="AA608" s="5" t="str">
        <f>IFERROR(__xludf.DUMMYFUNCTION("IF(REGEXMATCH(Z608, ""Season""), ""TV Show"", ""Movie"")"),"Movie")</f>
        <v>Movie</v>
      </c>
    </row>
    <row r="609">
      <c r="A609" s="1" t="s">
        <v>3764</v>
      </c>
      <c r="B609" s="1" t="s">
        <v>27</v>
      </c>
      <c r="C609" s="1" t="s">
        <v>3765</v>
      </c>
      <c r="D609" s="1" t="s">
        <v>3766</v>
      </c>
      <c r="E609" s="1" t="s">
        <v>3767</v>
      </c>
      <c r="F609" s="1" t="s">
        <v>30</v>
      </c>
      <c r="G609" s="1" t="s">
        <v>3478</v>
      </c>
      <c r="H609" s="1">
        <v>2008.0</v>
      </c>
      <c r="I609" s="1" t="s">
        <v>378</v>
      </c>
      <c r="J609" s="1" t="s">
        <v>471</v>
      </c>
      <c r="K609" s="1" t="s">
        <v>3768</v>
      </c>
      <c r="L609" s="1" t="s">
        <v>3769</v>
      </c>
      <c r="M609" s="2" t="s">
        <v>12</v>
      </c>
      <c r="N609" s="4">
        <f t="shared" si="1"/>
        <v>44378</v>
      </c>
      <c r="O609" s="5" t="str">
        <f>IFERROR(__xludf.DUMMYFUNCTION("IF(REGEXMATCH(TRIM(I609), ""^\d+\s*min""), ""Unclassified"", IF(I609 = """", ""NR"", I609))"),"R")</f>
        <v>R</v>
      </c>
      <c r="R609" s="5" t="str">
        <f t="shared" si="2"/>
        <v>The Strangers</v>
      </c>
      <c r="S609" s="5" t="str">
        <f>IFERROR(__xludf.DUMMYFUNCTION("""COMPUTED_VALUE"""),"Apaches")</f>
        <v>Apaches</v>
      </c>
      <c r="T609" s="5" t="str">
        <f>IFERROR(__xludf.DUMMYFUNCTION("""COMPUTED_VALUE"""),"United States, Australia, Samoa, United Kingdom")</f>
        <v>United States, Australia, Samoa, United Kingdom</v>
      </c>
      <c r="U609" s="5" t="str">
        <f>IFERROR(__xludf.DUMMYFUNCTION("""COMPUTED_VALUE"""),"Anusha Rizvi, Mahmood Farooqui")</f>
        <v>Anusha Rizvi, Mahmood Farooqui</v>
      </c>
      <c r="V609" s="5" t="s">
        <v>3770</v>
      </c>
      <c r="W609" s="5" t="str">
        <f t="shared" si="3"/>
        <v>Brian Helgeland</v>
      </c>
      <c r="X609" s="5">
        <f t="shared" si="4"/>
        <v>1</v>
      </c>
      <c r="Y609" s="5" t="str">
        <f>IFERROR(__xludf.DUMMYFUNCTION("REGEXEXTRACT(J609, ""^\d+"")"),"85")</f>
        <v>85</v>
      </c>
      <c r="Z609" s="5" t="str">
        <f>IFERROR(__xludf.DUMMYFUNCTION("REGEXEXTRACT(J609, ""[A-Za-z ]+$"")")," min")</f>
        <v> min</v>
      </c>
      <c r="AA609" s="5" t="str">
        <f>IFERROR(__xludf.DUMMYFUNCTION("IF(REGEXMATCH(Z609, ""Season""), ""TV Show"", ""Movie"")"),"Movie")</f>
        <v>Movie</v>
      </c>
    </row>
    <row r="610">
      <c r="A610" s="1" t="s">
        <v>3771</v>
      </c>
      <c r="B610" s="1" t="s">
        <v>27</v>
      </c>
      <c r="C610" s="1" t="s">
        <v>3772</v>
      </c>
      <c r="D610" s="1" t="s">
        <v>3773</v>
      </c>
      <c r="E610" s="1" t="s">
        <v>3774</v>
      </c>
      <c r="F610" s="1" t="s">
        <v>3775</v>
      </c>
      <c r="G610" s="1" t="s">
        <v>3478</v>
      </c>
      <c r="H610" s="1">
        <v>2002.0</v>
      </c>
      <c r="I610" s="1" t="s">
        <v>32</v>
      </c>
      <c r="J610" s="1" t="s">
        <v>341</v>
      </c>
      <c r="K610" s="1" t="s">
        <v>380</v>
      </c>
      <c r="L610" s="1" t="s">
        <v>3776</v>
      </c>
      <c r="M610" s="2" t="s">
        <v>12</v>
      </c>
      <c r="N610" s="4">
        <f t="shared" si="1"/>
        <v>44378</v>
      </c>
      <c r="O610" s="5" t="str">
        <f>IFERROR(__xludf.DUMMYFUNCTION("IF(REGEXMATCH(TRIM(I610), ""^\d+\s*min""), ""Unclassified"", IF(I610 = """", ""NR"", I610))"),"PG-13")</f>
        <v>PG-13</v>
      </c>
      <c r="R610" s="5" t="str">
        <f t="shared" si="2"/>
        <v>The Sum Of All Fears</v>
      </c>
      <c r="S610" s="5" t="str">
        <f>IFERROR(__xludf.DUMMYFUNCTION("""COMPUTED_VALUE"""),"Apaharan")</f>
        <v>Apaharan</v>
      </c>
      <c r="T610" s="5" t="str">
        <f>IFERROR(__xludf.DUMMYFUNCTION("""COMPUTED_VALUE"""),"United States, Australia, South Africa, United Kingdom")</f>
        <v>United States, Australia, South Africa, United Kingdom</v>
      </c>
      <c r="U610" s="5" t="str">
        <f>IFERROR(__xludf.DUMMYFUNCTION("""COMPUTED_VALUE"""),"Aamir Khan")</f>
        <v>Aamir Khan</v>
      </c>
      <c r="V610" s="5" t="s">
        <v>3777</v>
      </c>
      <c r="W610" s="5" t="str">
        <f t="shared" si="3"/>
        <v>Brian Henson</v>
      </c>
      <c r="X610" s="5">
        <f t="shared" si="4"/>
        <v>1</v>
      </c>
      <c r="Y610" s="5" t="str">
        <f>IFERROR(__xludf.DUMMYFUNCTION("REGEXEXTRACT(J610, ""^\d+"")"),"124")</f>
        <v>124</v>
      </c>
      <c r="Z610" s="5" t="str">
        <f>IFERROR(__xludf.DUMMYFUNCTION("REGEXEXTRACT(J610, ""[A-Za-z ]+$"")")," min")</f>
        <v> min</v>
      </c>
      <c r="AA610" s="5" t="str">
        <f>IFERROR(__xludf.DUMMYFUNCTION("IF(REGEXMATCH(Z610, ""Season""), ""TV Show"", ""Movie"")"),"Movie")</f>
        <v>Movie</v>
      </c>
    </row>
    <row r="611">
      <c r="A611" s="1" t="s">
        <v>3778</v>
      </c>
      <c r="B611" s="1" t="s">
        <v>27</v>
      </c>
      <c r="C611" s="1" t="s">
        <v>3779</v>
      </c>
      <c r="D611" s="1" t="s">
        <v>3780</v>
      </c>
      <c r="E611" s="1" t="s">
        <v>3781</v>
      </c>
      <c r="F611" s="1" t="s">
        <v>3782</v>
      </c>
      <c r="G611" s="1" t="s">
        <v>3478</v>
      </c>
      <c r="H611" s="1">
        <v>2010.0</v>
      </c>
      <c r="I611" s="1" t="s">
        <v>32</v>
      </c>
      <c r="J611" s="1" t="s">
        <v>238</v>
      </c>
      <c r="K611" s="1" t="s">
        <v>3783</v>
      </c>
      <c r="L611" s="1" t="s">
        <v>3784</v>
      </c>
      <c r="M611" s="2" t="s">
        <v>12</v>
      </c>
      <c r="N611" s="4">
        <f t="shared" si="1"/>
        <v>44378</v>
      </c>
      <c r="O611" s="5" t="str">
        <f>IFERROR(__xludf.DUMMYFUNCTION("IF(REGEXMATCH(TRIM(I611), ""^\d+\s*min""), ""Unclassified"", IF(I611 = """", ""NR"", I611))"),"PG-13")</f>
        <v>PG-13</v>
      </c>
      <c r="R611" s="5" t="str">
        <f t="shared" si="2"/>
        <v>The Tourist</v>
      </c>
      <c r="S611" s="5" t="str">
        <f>IFERROR(__xludf.DUMMYFUNCTION("""COMPUTED_VALUE"""),"Apex: The Story Of The Hypercar")</f>
        <v>Apex: The Story Of The Hypercar</v>
      </c>
      <c r="T611" s="5" t="str">
        <f>IFERROR(__xludf.DUMMYFUNCTION("""COMPUTED_VALUE"""),"United States, Belgium, Canada, France")</f>
        <v>United States, Belgium, Canada, France</v>
      </c>
      <c r="U611" s="5" t="str">
        <f>IFERROR(__xludf.DUMMYFUNCTION("""COMPUTED_VALUE"""),"Shashank Khaitan, Raj Mehta, Neeraj Ghaywan, Kayoze Irani")</f>
        <v>Shashank Khaitan, Raj Mehta, Neeraj Ghaywan, Kayoze Irani</v>
      </c>
      <c r="V611" s="5" t="s">
        <v>3785</v>
      </c>
      <c r="W611" s="5" t="str">
        <f t="shared" si="3"/>
        <v>Brian Klein</v>
      </c>
      <c r="X611" s="5">
        <f t="shared" si="4"/>
        <v>2</v>
      </c>
      <c r="Y611" s="5" t="str">
        <f>IFERROR(__xludf.DUMMYFUNCTION("REGEXEXTRACT(J611, ""^\d+"")"),"103")</f>
        <v>103</v>
      </c>
      <c r="Z611" s="5" t="str">
        <f>IFERROR(__xludf.DUMMYFUNCTION("REGEXEXTRACT(J611, ""[A-Za-z ]+$"")")," min")</f>
        <v> min</v>
      </c>
      <c r="AA611" s="5" t="str">
        <f>IFERROR(__xludf.DUMMYFUNCTION("IF(REGEXMATCH(Z611, ""Season""), ""TV Show"", ""Movie"")"),"Movie")</f>
        <v>Movie</v>
      </c>
    </row>
    <row r="612">
      <c r="A612" s="1" t="s">
        <v>3786</v>
      </c>
      <c r="B612" s="1" t="s">
        <v>27</v>
      </c>
      <c r="C612" s="1" t="s">
        <v>3787</v>
      </c>
      <c r="D612" s="1" t="s">
        <v>3788</v>
      </c>
      <c r="E612" s="1" t="s">
        <v>3789</v>
      </c>
      <c r="F612" s="1" t="s">
        <v>3790</v>
      </c>
      <c r="G612" s="1" t="s">
        <v>3478</v>
      </c>
      <c r="H612" s="1">
        <v>2003.0</v>
      </c>
      <c r="I612" s="1" t="s">
        <v>378</v>
      </c>
      <c r="J612" s="1" t="s">
        <v>941</v>
      </c>
      <c r="K612" s="1" t="s">
        <v>2167</v>
      </c>
      <c r="L612" s="1" t="s">
        <v>3791</v>
      </c>
      <c r="M612" s="2" t="s">
        <v>12</v>
      </c>
      <c r="N612" s="4">
        <f t="shared" si="1"/>
        <v>44378</v>
      </c>
      <c r="O612" s="5" t="str">
        <f>IFERROR(__xludf.DUMMYFUNCTION("IF(REGEXMATCH(TRIM(I612), ""^\d+\s*min""), ""Unclassified"", IF(I612 = """", ""NR"", I612))"),"R")</f>
        <v>R</v>
      </c>
      <c r="R612" s="5" t="str">
        <f t="shared" si="2"/>
        <v>Underworld</v>
      </c>
      <c r="S612" s="5" t="str">
        <f>IFERROR(__xludf.DUMMYFUNCTION("""COMPUTED_VALUE"""),"Apollo 18")</f>
        <v>Apollo 18</v>
      </c>
      <c r="T612" s="5" t="str">
        <f>IFERROR(__xludf.DUMMYFUNCTION("""COMPUTED_VALUE"""),"United States, Bermuda, Ecuador")</f>
        <v>United States, Bermuda, Ecuador</v>
      </c>
      <c r="U612" s="5" t="str">
        <f>IFERROR(__xludf.DUMMYFUNCTION("""COMPUTED_VALUE"""),"Ryan Crego")</f>
        <v>Ryan Crego</v>
      </c>
      <c r="V612" s="5" t="s">
        <v>3792</v>
      </c>
      <c r="W612" s="5" t="str">
        <f t="shared" si="3"/>
        <v>Brian Knappenberger</v>
      </c>
      <c r="X612" s="5">
        <f t="shared" si="4"/>
        <v>1</v>
      </c>
      <c r="Y612" s="5" t="str">
        <f>IFERROR(__xludf.DUMMYFUNCTION("REGEXEXTRACT(J612, ""^\d+"")"),"121")</f>
        <v>121</v>
      </c>
      <c r="Z612" s="5" t="str">
        <f>IFERROR(__xludf.DUMMYFUNCTION("REGEXEXTRACT(J612, ""[A-Za-z ]+$"")")," min")</f>
        <v> min</v>
      </c>
      <c r="AA612" s="5" t="str">
        <f>IFERROR(__xludf.DUMMYFUNCTION("IF(REGEXMATCH(Z612, ""Season""), ""TV Show"", ""Movie"")"),"Movie")</f>
        <v>Movie</v>
      </c>
    </row>
    <row r="613">
      <c r="A613" s="1" t="s">
        <v>3793</v>
      </c>
      <c r="B613" s="1" t="s">
        <v>27</v>
      </c>
      <c r="C613" s="1" t="s">
        <v>3794</v>
      </c>
      <c r="D613" s="1" t="s">
        <v>3795</v>
      </c>
      <c r="E613" s="1" t="s">
        <v>3796</v>
      </c>
      <c r="F613" s="1" t="s">
        <v>897</v>
      </c>
      <c r="G613" s="1" t="s">
        <v>3478</v>
      </c>
      <c r="H613" s="1">
        <v>2012.0</v>
      </c>
      <c r="I613" s="1" t="s">
        <v>378</v>
      </c>
      <c r="J613" s="1" t="s">
        <v>1191</v>
      </c>
      <c r="K613" s="1" t="s">
        <v>2167</v>
      </c>
      <c r="L613" s="1" t="s">
        <v>3797</v>
      </c>
      <c r="M613" s="2" t="s">
        <v>12</v>
      </c>
      <c r="N613" s="4">
        <f t="shared" si="1"/>
        <v>44378</v>
      </c>
      <c r="O613" s="5" t="str">
        <f>IFERROR(__xludf.DUMMYFUNCTION("IF(REGEXMATCH(TRIM(I613), ""^\d+\s*min""), ""Unclassified"", IF(I613 = """", ""NR"", I613))"),"R")</f>
        <v>R</v>
      </c>
      <c r="R613" s="5" t="str">
        <f t="shared" si="2"/>
        <v>Underworld: Awakening</v>
      </c>
      <c r="S613" s="5" t="str">
        <f>IFERROR(__xludf.DUMMYFUNCTION("""COMPUTED_VALUE"""),"Apostle")</f>
        <v>Apostle</v>
      </c>
      <c r="T613" s="5" t="str">
        <f>IFERROR(__xludf.DUMMYFUNCTION("""COMPUTED_VALUE"""),"United States, Botswana")</f>
        <v>United States, Botswana</v>
      </c>
      <c r="U613" s="5" t="str">
        <f>IFERROR(__xludf.DUMMYFUNCTION("""COMPUTED_VALUE"""),"Cassi Simonds")</f>
        <v>Cassi Simonds</v>
      </c>
      <c r="V613" s="5" t="s">
        <v>2123</v>
      </c>
      <c r="W613" s="5" t="str">
        <f t="shared" si="3"/>
        <v>Brian Levant</v>
      </c>
      <c r="X613" s="5">
        <f t="shared" si="4"/>
        <v>4</v>
      </c>
      <c r="Y613" s="5" t="str">
        <f>IFERROR(__xludf.DUMMYFUNCTION("REGEXEXTRACT(J613, ""^\d+"")"),"89")</f>
        <v>89</v>
      </c>
      <c r="Z613" s="5" t="str">
        <f>IFERROR(__xludf.DUMMYFUNCTION("REGEXEXTRACT(J613, ""[A-Za-z ]+$"")")," min")</f>
        <v> min</v>
      </c>
      <c r="AA613" s="5" t="str">
        <f>IFERROR(__xludf.DUMMYFUNCTION("IF(REGEXMATCH(Z613, ""Season""), ""TV Show"", ""Movie"")"),"Movie")</f>
        <v>Movie</v>
      </c>
    </row>
    <row r="614">
      <c r="A614" s="1" t="s">
        <v>3798</v>
      </c>
      <c r="B614" s="1" t="s">
        <v>27</v>
      </c>
      <c r="C614" s="1" t="s">
        <v>3799</v>
      </c>
      <c r="D614" s="1" t="s">
        <v>3800</v>
      </c>
      <c r="E614" s="1" t="s">
        <v>3801</v>
      </c>
      <c r="F614" s="1" t="s">
        <v>3802</v>
      </c>
      <c r="G614" s="1" t="s">
        <v>3478</v>
      </c>
      <c r="H614" s="1">
        <v>2009.0</v>
      </c>
      <c r="I614" s="1" t="s">
        <v>378</v>
      </c>
      <c r="J614" s="1" t="s">
        <v>665</v>
      </c>
      <c r="K614" s="1" t="s">
        <v>2167</v>
      </c>
      <c r="L614" s="1" t="s">
        <v>3803</v>
      </c>
      <c r="M614" s="2" t="s">
        <v>12</v>
      </c>
      <c r="N614" s="4">
        <f t="shared" si="1"/>
        <v>44378</v>
      </c>
      <c r="O614" s="5" t="str">
        <f>IFERROR(__xludf.DUMMYFUNCTION("IF(REGEXMATCH(TRIM(I614), ""^\d+\s*min""), ""Unclassified"", IF(I614 = """", ""NR"", I614))"),"R")</f>
        <v>R</v>
      </c>
      <c r="R614" s="5" t="str">
        <f t="shared" si="2"/>
        <v>Underworld: Rise Of The Lycans</v>
      </c>
      <c r="S614" s="5" t="str">
        <f>IFERROR(__xludf.DUMMYFUNCTION("""COMPUTED_VALUE"""),"April And The Extraordinary World")</f>
        <v>April And The Extraordinary World</v>
      </c>
      <c r="T614" s="5" t="str">
        <f>IFERROR(__xludf.DUMMYFUNCTION("""COMPUTED_VALUE"""),"United States, Brazil")</f>
        <v>United States, Brazil</v>
      </c>
      <c r="U614" s="5" t="str">
        <f>IFERROR(__xludf.DUMMYFUNCTION("""COMPUTED_VALUE"""),"Guillermo Del Toro")</f>
        <v>Guillermo Del Toro</v>
      </c>
      <c r="V614" s="5" t="s">
        <v>3804</v>
      </c>
      <c r="W614" s="5" t="str">
        <f t="shared" si="3"/>
        <v>Brian M. Conley, Nathan Ives</v>
      </c>
      <c r="X614" s="5">
        <f t="shared" si="4"/>
        <v>1</v>
      </c>
      <c r="Y614" s="5" t="str">
        <f>IFERROR(__xludf.DUMMYFUNCTION("REGEXEXTRACT(J614, ""^\d+"")"),"92")</f>
        <v>92</v>
      </c>
      <c r="Z614" s="5" t="str">
        <f>IFERROR(__xludf.DUMMYFUNCTION("REGEXEXTRACT(J614, ""[A-Za-z ]+$"")")," min")</f>
        <v> min</v>
      </c>
      <c r="AA614" s="5" t="str">
        <f>IFERROR(__xludf.DUMMYFUNCTION("IF(REGEXMATCH(Z614, ""Season""), ""TV Show"", ""Movie"")"),"Movie")</f>
        <v>Movie</v>
      </c>
    </row>
    <row r="615">
      <c r="A615" s="1" t="s">
        <v>3805</v>
      </c>
      <c r="B615" s="1" t="s">
        <v>27</v>
      </c>
      <c r="C615" s="1" t="s">
        <v>3806</v>
      </c>
      <c r="D615" s="1" t="s">
        <v>3807</v>
      </c>
      <c r="E615" s="1" t="s">
        <v>3808</v>
      </c>
      <c r="F615" s="1" t="s">
        <v>400</v>
      </c>
      <c r="G615" s="1" t="s">
        <v>3478</v>
      </c>
      <c r="H615" s="1">
        <v>2020.0</v>
      </c>
      <c r="I615" s="1" t="s">
        <v>42</v>
      </c>
      <c r="J615" s="1" t="s">
        <v>1243</v>
      </c>
      <c r="K615" s="1" t="s">
        <v>298</v>
      </c>
      <c r="L615" s="1" t="s">
        <v>3809</v>
      </c>
      <c r="M615" s="2" t="s">
        <v>12</v>
      </c>
      <c r="N615" s="4">
        <f t="shared" si="1"/>
        <v>44378</v>
      </c>
      <c r="O615" s="5" t="str">
        <f>IFERROR(__xludf.DUMMYFUNCTION("IF(REGEXMATCH(TRIM(I615), ""^\d+\s*min""), ""Unclassified"", IF(I615 = """", ""NR"", I615))"),"TV-MA")</f>
        <v>TV-MA</v>
      </c>
      <c r="R615" s="5" t="str">
        <f t="shared" si="2"/>
        <v>Voiceless</v>
      </c>
      <c r="S615" s="5" t="str">
        <f>IFERROR(__xludf.DUMMYFUNCTION("""COMPUTED_VALUE"""),"Aquarius")</f>
        <v>Aquarius</v>
      </c>
      <c r="T615" s="5" t="str">
        <f>IFERROR(__xludf.DUMMYFUNCTION("""COMPUTED_VALUE"""),"United States, Brazil, India, Uganda, China")</f>
        <v>United States, Brazil, India, Uganda, China</v>
      </c>
      <c r="U615" s="5" t="str">
        <f>IFERROR(__xludf.DUMMYFUNCTION("""COMPUTED_VALUE"""),"Tony Abulu")</f>
        <v>Tony Abulu</v>
      </c>
      <c r="V615" s="5" t="s">
        <v>3810</v>
      </c>
      <c r="W615" s="5" t="str">
        <f t="shared" si="3"/>
        <v>Brian O'Malley</v>
      </c>
      <c r="X615" s="5">
        <f t="shared" si="4"/>
        <v>1</v>
      </c>
      <c r="Y615" s="5" t="str">
        <f>IFERROR(__xludf.DUMMYFUNCTION("REGEXEXTRACT(J615, ""^\d+"")"),"112")</f>
        <v>112</v>
      </c>
      <c r="Z615" s="5" t="str">
        <f>IFERROR(__xludf.DUMMYFUNCTION("REGEXEXTRACT(J615, ""[A-Za-z ]+$"")")," min")</f>
        <v> min</v>
      </c>
      <c r="AA615" s="5" t="str">
        <f>IFERROR(__xludf.DUMMYFUNCTION("IF(REGEXMATCH(Z615, ""Season""), ""TV Show"", ""Movie"")"),"Movie")</f>
        <v>Movie</v>
      </c>
    </row>
    <row r="616">
      <c r="A616" s="1" t="s">
        <v>3811</v>
      </c>
      <c r="B616" s="1" t="s">
        <v>27</v>
      </c>
      <c r="C616" s="1" t="s">
        <v>3812</v>
      </c>
      <c r="D616" s="1" t="s">
        <v>3813</v>
      </c>
      <c r="E616" s="1" t="s">
        <v>3814</v>
      </c>
      <c r="F616" s="1" t="s">
        <v>3802</v>
      </c>
      <c r="G616" s="1" t="s">
        <v>3478</v>
      </c>
      <c r="H616" s="1">
        <v>1998.0</v>
      </c>
      <c r="I616" s="1" t="s">
        <v>32</v>
      </c>
      <c r="J616" s="1" t="s">
        <v>835</v>
      </c>
      <c r="K616" s="1" t="s">
        <v>3815</v>
      </c>
      <c r="L616" s="1" t="s">
        <v>3816</v>
      </c>
      <c r="M616" s="2" t="s">
        <v>12</v>
      </c>
      <c r="N616" s="4">
        <f t="shared" si="1"/>
        <v>44378</v>
      </c>
      <c r="O616" s="5" t="str">
        <f>IFERROR(__xludf.DUMMYFUNCTION("IF(REGEXMATCH(TRIM(I616), ""^\d+\s*min""), ""Unclassified"", IF(I616 = """", ""NR"", I616))"),"PG-13")</f>
        <v>PG-13</v>
      </c>
      <c r="R616" s="5" t="str">
        <f t="shared" si="2"/>
        <v>What Dreams May Come</v>
      </c>
      <c r="S616" s="5" t="str">
        <f>IFERROR(__xludf.DUMMYFUNCTION("""COMPUTED_VALUE"""),"Aram, Aram")</f>
        <v>Aram, Aram</v>
      </c>
      <c r="T616" s="5" t="str">
        <f>IFERROR(__xludf.DUMMYFUNCTION("""COMPUTED_VALUE"""),"United States, Brazil, Japan, Spain, India")</f>
        <v>United States, Brazil, Japan, Spain, India</v>
      </c>
      <c r="U616" s="5" t="str">
        <f>IFERROR(__xludf.DUMMYFUNCTION("""COMPUTED_VALUE"""),"Stefan Westerwelle")</f>
        <v>Stefan Westerwelle</v>
      </c>
      <c r="V616" s="5" t="s">
        <v>3817</v>
      </c>
      <c r="W616" s="5" t="str">
        <f t="shared" si="3"/>
        <v>Brian Oakes</v>
      </c>
      <c r="X616" s="5">
        <f t="shared" si="4"/>
        <v>2</v>
      </c>
      <c r="Y616" s="5" t="str">
        <f>IFERROR(__xludf.DUMMYFUNCTION("REGEXEXTRACT(J616, ""^\d+"")"),"114")</f>
        <v>114</v>
      </c>
      <c r="Z616" s="5" t="str">
        <f>IFERROR(__xludf.DUMMYFUNCTION("REGEXEXTRACT(J616, ""[A-Za-z ]+$"")")," min")</f>
        <v> min</v>
      </c>
      <c r="AA616" s="5" t="str">
        <f>IFERROR(__xludf.DUMMYFUNCTION("IF(REGEXMATCH(Z616, ""Season""), ""TV Show"", ""Movie"")"),"Movie")</f>
        <v>Movie</v>
      </c>
    </row>
    <row r="617">
      <c r="A617" s="1" t="s">
        <v>3818</v>
      </c>
      <c r="B617" s="1" t="s">
        <v>27</v>
      </c>
      <c r="C617" s="1" t="s">
        <v>3819</v>
      </c>
      <c r="D617" s="1" t="s">
        <v>3820</v>
      </c>
      <c r="E617" s="1" t="s">
        <v>3821</v>
      </c>
      <c r="F617" s="1" t="s">
        <v>30</v>
      </c>
      <c r="G617" s="1" t="s">
        <v>3478</v>
      </c>
      <c r="H617" s="1">
        <v>1998.0</v>
      </c>
      <c r="I617" s="1" t="s">
        <v>378</v>
      </c>
      <c r="J617" s="1" t="s">
        <v>349</v>
      </c>
      <c r="K617" s="1" t="s">
        <v>3822</v>
      </c>
      <c r="L617" s="1" t="s">
        <v>3823</v>
      </c>
      <c r="M617" s="2" t="s">
        <v>12</v>
      </c>
      <c r="N617" s="4">
        <f t="shared" si="1"/>
        <v>44378</v>
      </c>
      <c r="O617" s="5" t="str">
        <f>IFERROR(__xludf.DUMMYFUNCTION("IF(REGEXMATCH(TRIM(I617), ""^\d+\s*min""), ""Unclassified"", IF(I617 = """", ""NR"", I617))"),"R")</f>
        <v>R</v>
      </c>
      <c r="R617" s="5" t="str">
        <f t="shared" si="2"/>
        <v>Why Do Fools Fall In Love</v>
      </c>
      <c r="S617" s="5" t="str">
        <f>IFERROR(__xludf.DUMMYFUNCTION("""COMPUTED_VALUE"""),"Arango Y Sanint: Ríase El Show")</f>
        <v>Arango Y Sanint: Ríase El Show</v>
      </c>
      <c r="T617" s="5" t="str">
        <f>IFERROR(__xludf.DUMMYFUNCTION("""COMPUTED_VALUE"""),"United States, Brazil, South Korea, Mexico, Japan, Germany")</f>
        <v>United States, Brazil, South Korea, Mexico, Japan, Germany</v>
      </c>
      <c r="U617" s="5" t="str">
        <f>IFERROR(__xludf.DUMMYFUNCTION("""COMPUTED_VALUE"""),"Ron Howard")</f>
        <v>Ron Howard</v>
      </c>
      <c r="V617" s="5" t="s">
        <v>3824</v>
      </c>
      <c r="W617" s="5" t="str">
        <f t="shared" si="3"/>
        <v>Brian Robbins</v>
      </c>
      <c r="X617" s="5">
        <f t="shared" si="4"/>
        <v>2</v>
      </c>
      <c r="Y617" s="5" t="str">
        <f>IFERROR(__xludf.DUMMYFUNCTION("REGEXEXTRACT(J617, ""^\d+"")"),"116")</f>
        <v>116</v>
      </c>
      <c r="Z617" s="5" t="str">
        <f>IFERROR(__xludf.DUMMYFUNCTION("REGEXEXTRACT(J617, ""[A-Za-z ]+$"")")," min")</f>
        <v> min</v>
      </c>
      <c r="AA617" s="5" t="str">
        <f>IFERROR(__xludf.DUMMYFUNCTION("IF(REGEXMATCH(Z617, ""Season""), ""TV Show"", ""Movie"")"),"Movie")</f>
        <v>Movie</v>
      </c>
    </row>
    <row r="618">
      <c r="A618" s="1" t="s">
        <v>3825</v>
      </c>
      <c r="B618" s="1" t="s">
        <v>27</v>
      </c>
      <c r="C618" s="1" t="s">
        <v>3826</v>
      </c>
      <c r="D618" s="1" t="s">
        <v>3827</v>
      </c>
      <c r="E618" s="1" t="s">
        <v>3828</v>
      </c>
      <c r="G618" s="1" t="s">
        <v>3478</v>
      </c>
      <c r="H618" s="1">
        <v>2019.0</v>
      </c>
      <c r="I618" s="1" t="s">
        <v>378</v>
      </c>
      <c r="J618" s="1" t="s">
        <v>297</v>
      </c>
      <c r="K618" s="1" t="s">
        <v>805</v>
      </c>
      <c r="L618" s="1" t="s">
        <v>3829</v>
      </c>
      <c r="M618" s="2" t="s">
        <v>12</v>
      </c>
      <c r="N618" s="4">
        <f t="shared" si="1"/>
        <v>44378</v>
      </c>
      <c r="O618" s="5" t="str">
        <f>IFERROR(__xludf.DUMMYFUNCTION("IF(REGEXMATCH(TRIM(I618), ""^\d+\s*min""), ""Unclassified"", IF(I618 = """", ""NR"", I618))"),"R")</f>
        <v>R</v>
      </c>
      <c r="R618" s="5" t="str">
        <f t="shared" si="2"/>
        <v>Working Title</v>
      </c>
      <c r="S618" s="5" t="str">
        <f>IFERROR(__xludf.DUMMYFUNCTION("""COMPUTED_VALUE"""),"Arashi'S Diary -Voyage-")</f>
        <v>Arashi'S Diary -Voyage-</v>
      </c>
      <c r="T618" s="5" t="str">
        <f>IFERROR(__xludf.DUMMYFUNCTION("""COMPUTED_VALUE"""),"United States, Bulgaria")</f>
        <v>United States, Bulgaria</v>
      </c>
      <c r="U618" s="5" t="str">
        <f>IFERROR(__xludf.DUMMYFUNCTION("""COMPUTED_VALUE"""),"Justin Benson, Aaron Moorhead")</f>
        <v>Justin Benson, Aaron Moorhead</v>
      </c>
      <c r="V618" s="5" t="s">
        <v>3830</v>
      </c>
      <c r="W618" s="5" t="str">
        <f t="shared" si="3"/>
        <v>Brian Skiba</v>
      </c>
      <c r="X618" s="5">
        <f t="shared" si="4"/>
        <v>1</v>
      </c>
      <c r="Y618" s="5" t="str">
        <f>IFERROR(__xludf.DUMMYFUNCTION("REGEXEXTRACT(J618, ""^\d+"")"),"110")</f>
        <v>110</v>
      </c>
      <c r="Z618" s="5" t="str">
        <f>IFERROR(__xludf.DUMMYFUNCTION("REGEXEXTRACT(J618, ""[A-Za-z ]+$"")")," min")</f>
        <v> min</v>
      </c>
      <c r="AA618" s="5" t="str">
        <f>IFERROR(__xludf.DUMMYFUNCTION("IF(REGEXMATCH(Z618, ""Season""), ""TV Show"", ""Movie"")"),"Movie")</f>
        <v>Movie</v>
      </c>
    </row>
    <row r="619">
      <c r="A619" s="1" t="s">
        <v>3831</v>
      </c>
      <c r="B619" s="1" t="s">
        <v>37</v>
      </c>
      <c r="C619" s="1" t="s">
        <v>3832</v>
      </c>
      <c r="E619" s="1" t="s">
        <v>3833</v>
      </c>
      <c r="F619" s="1" t="s">
        <v>3834</v>
      </c>
      <c r="G619" s="1" t="s">
        <v>3478</v>
      </c>
      <c r="H619" s="1">
        <v>2021.0</v>
      </c>
      <c r="I619" s="1" t="s">
        <v>42</v>
      </c>
      <c r="J619" s="1" t="s">
        <v>51</v>
      </c>
      <c r="K619" s="1" t="s">
        <v>1907</v>
      </c>
      <c r="L619" s="1" t="s">
        <v>3835</v>
      </c>
      <c r="M619" s="2" t="s">
        <v>12</v>
      </c>
      <c r="N619" s="4">
        <f t="shared" si="1"/>
        <v>44378</v>
      </c>
      <c r="O619" s="5" t="str">
        <f>IFERROR(__xludf.DUMMYFUNCTION("IF(REGEXMATCH(TRIM(I619), ""^\d+\s*min""), ""Unclassified"", IF(I619 = """", ""NR"", I619))"),"TV-MA")</f>
        <v>TV-MA</v>
      </c>
      <c r="R619" s="5" t="str">
        <f t="shared" si="2"/>
        <v>Young Royals</v>
      </c>
      <c r="S619" s="5" t="str">
        <f>IFERROR(__xludf.DUMMYFUNCTION("""COMPUTED_VALUE"""),"Archibald'S Next Big Thing")</f>
        <v>Archibald'S Next Big Thing</v>
      </c>
      <c r="T619" s="5" t="str">
        <f>IFERROR(__xludf.DUMMYFUNCTION("""COMPUTED_VALUE"""),"United States, Cambodia")</f>
        <v>United States, Cambodia</v>
      </c>
      <c r="U619" s="5" t="str">
        <f>IFERROR(__xludf.DUMMYFUNCTION("""COMPUTED_VALUE"""),"Niki Caro")</f>
        <v>Niki Caro</v>
      </c>
      <c r="V619" s="5" t="s">
        <v>3836</v>
      </c>
      <c r="W619" s="5" t="str">
        <f t="shared" si="3"/>
        <v>Brian Smith</v>
      </c>
      <c r="X619" s="5">
        <f t="shared" si="4"/>
        <v>1</v>
      </c>
      <c r="Y619" s="5" t="str">
        <f>IFERROR(__xludf.DUMMYFUNCTION("REGEXEXTRACT(J619, ""^\d+"")"),"1")</f>
        <v>1</v>
      </c>
      <c r="Z619" s="5" t="str">
        <f>IFERROR(__xludf.DUMMYFUNCTION("REGEXEXTRACT(J619, ""[A-Za-z ]+$"")")," Season")</f>
        <v> Season</v>
      </c>
      <c r="AA619" s="5" t="str">
        <f>IFERROR(__xludf.DUMMYFUNCTION("IF(REGEXMATCH(Z619, ""Season""), ""TV Show"", ""Movie"")"),"TV Show")</f>
        <v>TV Show</v>
      </c>
    </row>
    <row r="620">
      <c r="A620" s="1" t="s">
        <v>3837</v>
      </c>
      <c r="B620" s="1" t="s">
        <v>27</v>
      </c>
      <c r="C620" s="1" t="s">
        <v>3838</v>
      </c>
      <c r="D620" s="1" t="s">
        <v>3839</v>
      </c>
      <c r="E620" s="1" t="s">
        <v>3840</v>
      </c>
      <c r="F620" s="1" t="s">
        <v>30</v>
      </c>
      <c r="G620" s="1" t="s">
        <v>3841</v>
      </c>
      <c r="H620" s="1">
        <v>2021.0</v>
      </c>
      <c r="I620" s="1" t="s">
        <v>42</v>
      </c>
      <c r="J620" s="1" t="s">
        <v>357</v>
      </c>
      <c r="K620" s="1" t="s">
        <v>973</v>
      </c>
      <c r="L620" s="1" t="s">
        <v>3842</v>
      </c>
      <c r="M620" s="2" t="s">
        <v>12</v>
      </c>
      <c r="N620" s="4">
        <f t="shared" si="1"/>
        <v>44377</v>
      </c>
      <c r="O620" s="5" t="str">
        <f>IFERROR(__xludf.DUMMYFUNCTION("IF(REGEXMATCH(TRIM(I620), ""^\d+\s*min""), ""Unclassified"", IF(I620 = """", ""NR"", I620))"),"TV-MA")</f>
        <v>TV-MA</v>
      </c>
      <c r="R620" s="5" t="str">
        <f t="shared" si="2"/>
        <v>America: The Motion Picture</v>
      </c>
      <c r="S620" s="5" t="str">
        <f>IFERROR(__xludf.DUMMYFUNCTION("""COMPUTED_VALUE"""),"Arctic Dogs")</f>
        <v>Arctic Dogs</v>
      </c>
      <c r="T620" s="5" t="str">
        <f>IFERROR(__xludf.DUMMYFUNCTION("""COMPUTED_VALUE"""),"United States, Cambodia, Romania")</f>
        <v>United States, Cambodia, Romania</v>
      </c>
      <c r="U620" s="5" t="str">
        <f>IFERROR(__xludf.DUMMYFUNCTION("""COMPUTED_VALUE"""),"Mark Dennis, Ben Foster")</f>
        <v>Mark Dennis, Ben Foster</v>
      </c>
      <c r="V620" s="5" t="s">
        <v>3843</v>
      </c>
      <c r="W620" s="5" t="str">
        <f t="shared" si="3"/>
        <v>Brian Smrz</v>
      </c>
      <c r="X620" s="5">
        <f t="shared" si="4"/>
        <v>1</v>
      </c>
      <c r="Y620" s="5" t="str">
        <f>IFERROR(__xludf.DUMMYFUNCTION("REGEXEXTRACT(J620, ""^\d+"")"),"98")</f>
        <v>98</v>
      </c>
      <c r="Z620" s="5" t="str">
        <f>IFERROR(__xludf.DUMMYFUNCTION("REGEXEXTRACT(J620, ""[A-Za-z ]+$"")")," min")</f>
        <v> min</v>
      </c>
      <c r="AA620" s="5" t="str">
        <f>IFERROR(__xludf.DUMMYFUNCTION("IF(REGEXMATCH(Z620, ""Season""), ""TV Show"", ""Movie"")"),"Movie")</f>
        <v>Movie</v>
      </c>
    </row>
    <row r="621">
      <c r="A621" s="1" t="s">
        <v>3844</v>
      </c>
      <c r="B621" s="1" t="s">
        <v>27</v>
      </c>
      <c r="C621" s="1" t="s">
        <v>3845</v>
      </c>
      <c r="D621" s="1" t="s">
        <v>3846</v>
      </c>
      <c r="E621" s="1" t="s">
        <v>3847</v>
      </c>
      <c r="G621" s="1" t="s">
        <v>3841</v>
      </c>
      <c r="H621" s="1">
        <v>2020.0</v>
      </c>
      <c r="I621" s="1" t="s">
        <v>97</v>
      </c>
      <c r="J621" s="1" t="s">
        <v>357</v>
      </c>
      <c r="K621" s="1" t="s">
        <v>128</v>
      </c>
      <c r="L621" s="1" t="s">
        <v>3848</v>
      </c>
      <c r="M621" s="2" t="s">
        <v>12</v>
      </c>
      <c r="N621" s="4">
        <f t="shared" si="1"/>
        <v>44377</v>
      </c>
      <c r="O621" s="5" t="str">
        <f>IFERROR(__xludf.DUMMYFUNCTION("IF(REGEXMATCH(TRIM(I621), ""^\d+\s*min""), ""Unclassified"", IF(I621 = """", ""NR"", I621))"),"TV-14")</f>
        <v>TV-14</v>
      </c>
      <c r="R621" s="5" t="str">
        <f t="shared" si="2"/>
        <v>Deranged</v>
      </c>
      <c r="S621" s="5" t="str">
        <f>IFERROR(__xludf.DUMMYFUNCTION("""COMPUTED_VALUE"""),"Arctic Heart")</f>
        <v>Arctic Heart</v>
      </c>
      <c r="T621" s="5" t="str">
        <f>IFERROR(__xludf.DUMMYFUNCTION("""COMPUTED_VALUE"""),"United States, Canada")</f>
        <v>United States, Canada</v>
      </c>
      <c r="U621" s="5" t="str">
        <f>IFERROR(__xludf.DUMMYFUNCTION("""COMPUTED_VALUE"""),"Taranveer Singh")</f>
        <v>Taranveer Singh</v>
      </c>
      <c r="V621" s="5" t="s">
        <v>3849</v>
      </c>
      <c r="W621" s="5" t="str">
        <f t="shared" si="3"/>
        <v>Brian Volk-Weiss</v>
      </c>
      <c r="X621" s="5">
        <f t="shared" si="4"/>
        <v>2</v>
      </c>
      <c r="Y621" s="5" t="str">
        <f>IFERROR(__xludf.DUMMYFUNCTION("REGEXEXTRACT(J621, ""^\d+"")"),"98")</f>
        <v>98</v>
      </c>
      <c r="Z621" s="5" t="str">
        <f>IFERROR(__xludf.DUMMYFUNCTION("REGEXEXTRACT(J621, ""[A-Za-z ]+$"")")," min")</f>
        <v> min</v>
      </c>
      <c r="AA621" s="5" t="str">
        <f>IFERROR(__xludf.DUMMYFUNCTION("IF(REGEXMATCH(Z621, ""Season""), ""TV Show"", ""Movie"")"),"Movie")</f>
        <v>Movie</v>
      </c>
    </row>
    <row r="622">
      <c r="A622" s="1" t="s">
        <v>3850</v>
      </c>
      <c r="B622" s="1" t="s">
        <v>37</v>
      </c>
      <c r="C622" s="1" t="s">
        <v>3851</v>
      </c>
      <c r="F622" s="1" t="s">
        <v>30</v>
      </c>
      <c r="G622" s="1" t="s">
        <v>3841</v>
      </c>
      <c r="H622" s="1">
        <v>2019.0</v>
      </c>
      <c r="I622" s="1" t="s">
        <v>42</v>
      </c>
      <c r="J622" s="1" t="s">
        <v>51</v>
      </c>
      <c r="K622" s="1" t="s">
        <v>440</v>
      </c>
      <c r="L622" s="1" t="s">
        <v>3852</v>
      </c>
      <c r="M622" s="2" t="s">
        <v>12</v>
      </c>
      <c r="N622" s="4">
        <f t="shared" si="1"/>
        <v>44377</v>
      </c>
      <c r="O622" s="5" t="str">
        <f>IFERROR(__xludf.DUMMYFUNCTION("IF(REGEXMATCH(TRIM(I622), ""^\d+\s*min""), ""Unclassified"", IF(I622 = """", ""NR"", I622))"),"TV-MA")</f>
        <v>TV-MA</v>
      </c>
      <c r="R622" s="5" t="str">
        <f t="shared" si="2"/>
        <v>Droppin' Cash: Los Angeles</v>
      </c>
      <c r="S622" s="5" t="str">
        <f>IFERROR(__xludf.DUMMYFUNCTION("""COMPUTED_VALUE"""),"Are We Done Yet?")</f>
        <v>Are We Done Yet?</v>
      </c>
      <c r="T622" s="5" t="str">
        <f>IFERROR(__xludf.DUMMYFUNCTION("""COMPUTED_VALUE"""),"United States, Canada, Belgium, United Kingdom")</f>
        <v>United States, Canada, Belgium, United Kingdom</v>
      </c>
      <c r="U622" s="5" t="str">
        <f>IFERROR(__xludf.DUMMYFUNCTION("""COMPUTED_VALUE"""),"Tt The Artist")</f>
        <v>Tt The Artist</v>
      </c>
      <c r="V622" s="5" t="s">
        <v>3853</v>
      </c>
      <c r="W622" s="5" t="str">
        <f t="shared" si="3"/>
        <v>Brian Webber</v>
      </c>
      <c r="X622" s="5">
        <f t="shared" si="4"/>
        <v>1</v>
      </c>
      <c r="Y622" s="5" t="str">
        <f>IFERROR(__xludf.DUMMYFUNCTION("REGEXEXTRACT(J622, ""^\d+"")"),"1")</f>
        <v>1</v>
      </c>
      <c r="Z622" s="5" t="str">
        <f>IFERROR(__xludf.DUMMYFUNCTION("REGEXEXTRACT(J622, ""[A-Za-z ]+$"")")," Season")</f>
        <v> Season</v>
      </c>
      <c r="AA622" s="5" t="str">
        <f>IFERROR(__xludf.DUMMYFUNCTION("IF(REGEXMATCH(Z622, ""Season""), ""TV Show"", ""Movie"")"),"TV Show")</f>
        <v>TV Show</v>
      </c>
    </row>
    <row r="623">
      <c r="A623" s="1" t="s">
        <v>3854</v>
      </c>
      <c r="B623" s="1" t="s">
        <v>37</v>
      </c>
      <c r="C623" s="1" t="s">
        <v>3855</v>
      </c>
      <c r="D623" s="1" t="s">
        <v>3856</v>
      </c>
      <c r="E623" s="1" t="s">
        <v>3857</v>
      </c>
      <c r="G623" s="1" t="s">
        <v>3841</v>
      </c>
      <c r="H623" s="1">
        <v>2020.0</v>
      </c>
      <c r="I623" s="1" t="s">
        <v>97</v>
      </c>
      <c r="J623" s="1" t="s">
        <v>51</v>
      </c>
      <c r="K623" s="1" t="s">
        <v>3858</v>
      </c>
      <c r="L623" s="1" t="s">
        <v>3859</v>
      </c>
      <c r="M623" s="2" t="s">
        <v>12</v>
      </c>
      <c r="N623" s="4">
        <f t="shared" si="1"/>
        <v>44377</v>
      </c>
      <c r="O623" s="5" t="str">
        <f>IFERROR(__xludf.DUMMYFUNCTION("IF(REGEXMATCH(TRIM(I623), ""^\d+\s*min""), ""Unclassified"", IF(I623 = """", ""NR"", I623))"),"TV-14")</f>
        <v>TV-14</v>
      </c>
      <c r="R623" s="5" t="str">
        <f t="shared" si="2"/>
        <v>Legend Of Exorcism</v>
      </c>
      <c r="S623" s="5" t="str">
        <f>IFERROR(__xludf.DUMMYFUNCTION("""COMPUTED_VALUE"""),"Are You The One")</f>
        <v>Are You The One</v>
      </c>
      <c r="T623" s="5" t="str">
        <f>IFERROR(__xludf.DUMMYFUNCTION("""COMPUTED_VALUE"""),"United States, Canada, China")</f>
        <v>United States, Canada, China</v>
      </c>
      <c r="U623" s="5" t="str">
        <f>IFERROR(__xludf.DUMMYFUNCTION("""COMPUTED_VALUE"""),"Keiichi Sato, Yasushi Kawamura")</f>
        <v>Keiichi Sato, Yasushi Kawamura</v>
      </c>
      <c r="V623" s="5" t="s">
        <v>3860</v>
      </c>
      <c r="W623" s="5" t="str">
        <f t="shared" si="3"/>
        <v>Brie Larson</v>
      </c>
      <c r="X623" s="5">
        <f t="shared" si="4"/>
        <v>1</v>
      </c>
      <c r="Y623" s="5" t="str">
        <f>IFERROR(__xludf.DUMMYFUNCTION("REGEXEXTRACT(J623, ""^\d+"")"),"1")</f>
        <v>1</v>
      </c>
      <c r="Z623" s="5" t="str">
        <f>IFERROR(__xludf.DUMMYFUNCTION("REGEXEXTRACT(J623, ""[A-Za-z ]+$"")")," Season")</f>
        <v> Season</v>
      </c>
      <c r="AA623" s="5" t="str">
        <f>IFERROR(__xludf.DUMMYFUNCTION("IF(REGEXMATCH(Z623, ""Season""), ""TV Show"", ""Movie"")"),"TV Show")</f>
        <v>TV Show</v>
      </c>
    </row>
    <row r="624">
      <c r="A624" s="1" t="s">
        <v>3861</v>
      </c>
      <c r="B624" s="1" t="s">
        <v>27</v>
      </c>
      <c r="C624" s="1" t="s">
        <v>3862</v>
      </c>
      <c r="D624" s="1" t="s">
        <v>3863</v>
      </c>
      <c r="E624" s="1" t="s">
        <v>3864</v>
      </c>
      <c r="F624" s="1" t="s">
        <v>30</v>
      </c>
      <c r="G624" s="1" t="s">
        <v>3841</v>
      </c>
      <c r="H624" s="1">
        <v>2019.0</v>
      </c>
      <c r="I624" s="1" t="s">
        <v>378</v>
      </c>
      <c r="J624" s="1" t="s">
        <v>433</v>
      </c>
      <c r="K624" s="1" t="s">
        <v>171</v>
      </c>
      <c r="L624" s="1" t="s">
        <v>3865</v>
      </c>
      <c r="M624" s="2" t="s">
        <v>12</v>
      </c>
      <c r="N624" s="4">
        <f t="shared" si="1"/>
        <v>44377</v>
      </c>
      <c r="O624" s="5" t="str">
        <f>IFERROR(__xludf.DUMMYFUNCTION("IF(REGEXMATCH(TRIM(I624), ""^\d+\s*min""), ""Unclassified"", IF(I624 = """", ""NR"", I624))"),"R")</f>
        <v>R</v>
      </c>
      <c r="R624" s="5" t="str">
        <f t="shared" si="2"/>
        <v>Lying And Stealing</v>
      </c>
      <c r="S624" s="5" t="str">
        <f>IFERROR(__xludf.DUMMYFUNCTION("""COMPUTED_VALUE"""),"Ares")</f>
        <v>Ares</v>
      </c>
      <c r="T624" s="5" t="str">
        <f>IFERROR(__xludf.DUMMYFUNCTION("""COMPUTED_VALUE"""),"United States, Canada, France")</f>
        <v>United States, Canada, France</v>
      </c>
      <c r="U624" s="5" t="str">
        <f>IFERROR(__xludf.DUMMYFUNCTION("""COMPUTED_VALUE"""),"Glenn Weiss")</f>
        <v>Glenn Weiss</v>
      </c>
      <c r="V624" s="5" t="s">
        <v>3866</v>
      </c>
      <c r="W624" s="5" t="str">
        <f t="shared" si="3"/>
        <v>Brit Mcadams</v>
      </c>
      <c r="X624" s="5">
        <f t="shared" si="4"/>
        <v>1</v>
      </c>
      <c r="Y624" s="5" t="str">
        <f>IFERROR(__xludf.DUMMYFUNCTION("REGEXEXTRACT(J624, ""^\d+"")"),"100")</f>
        <v>100</v>
      </c>
      <c r="Z624" s="5" t="str">
        <f>IFERROR(__xludf.DUMMYFUNCTION("REGEXEXTRACT(J624, ""[A-Za-z ]+$"")")," min")</f>
        <v> min</v>
      </c>
      <c r="AA624" s="5" t="str">
        <f>IFERROR(__xludf.DUMMYFUNCTION("IF(REGEXMATCH(Z624, ""Season""), ""TV Show"", ""Movie"")"),"Movie")</f>
        <v>Movie</v>
      </c>
    </row>
    <row r="625">
      <c r="A625" s="1" t="s">
        <v>3867</v>
      </c>
      <c r="B625" s="1" t="s">
        <v>27</v>
      </c>
      <c r="C625" s="1" t="s">
        <v>3868</v>
      </c>
      <c r="D625" s="1" t="s">
        <v>3869</v>
      </c>
      <c r="E625" s="1" t="s">
        <v>3870</v>
      </c>
      <c r="G625" s="1" t="s">
        <v>3841</v>
      </c>
      <c r="H625" s="1">
        <v>2021.0</v>
      </c>
      <c r="I625" s="1" t="s">
        <v>42</v>
      </c>
      <c r="J625" s="1" t="s">
        <v>33</v>
      </c>
      <c r="K625" s="1" t="s">
        <v>583</v>
      </c>
      <c r="L625" s="1" t="s">
        <v>3871</v>
      </c>
      <c r="M625" s="2" t="s">
        <v>12</v>
      </c>
      <c r="N625" s="4">
        <f t="shared" si="1"/>
        <v>44377</v>
      </c>
      <c r="O625" s="5" t="str">
        <f>IFERROR(__xludf.DUMMYFUNCTION("IF(REGEXMATCH(TRIM(I625), ""^\d+\s*min""), ""Unclassified"", IF(I625 = """", ""NR"", I625))"),"TV-MA")</f>
        <v>TV-MA</v>
      </c>
      <c r="R625" s="5" t="str">
        <f t="shared" si="2"/>
        <v>Mommy Issues</v>
      </c>
      <c r="S625" s="5" t="str">
        <f>IFERROR(__xludf.DUMMYFUNCTION("""COMPUTED_VALUE"""),"Arès")</f>
        <v>Arès</v>
      </c>
      <c r="T625" s="5" t="str">
        <f>IFERROR(__xludf.DUMMYFUNCTION("""COMPUTED_VALUE"""),"United States, Canada, Germany")</f>
        <v>United States, Canada, Germany</v>
      </c>
      <c r="U625" s="5" t="str">
        <f>IFERROR(__xludf.DUMMYFUNCTION("""COMPUTED_VALUE"""),"Michael Civille")</f>
        <v>Michael Civille</v>
      </c>
      <c r="V625" s="5" t="s">
        <v>3872</v>
      </c>
      <c r="W625" s="5" t="str">
        <f t="shared" si="3"/>
        <v>Brittany Andrews</v>
      </c>
      <c r="X625" s="5">
        <f t="shared" si="4"/>
        <v>1</v>
      </c>
      <c r="Y625" s="5" t="str">
        <f>IFERROR(__xludf.DUMMYFUNCTION("REGEXEXTRACT(J625, ""^\d+"")"),"90")</f>
        <v>90</v>
      </c>
      <c r="Z625" s="5" t="str">
        <f>IFERROR(__xludf.DUMMYFUNCTION("REGEXEXTRACT(J625, ""[A-Za-z ]+$"")")," min")</f>
        <v> min</v>
      </c>
      <c r="AA625" s="5" t="str">
        <f>IFERROR(__xludf.DUMMYFUNCTION("IF(REGEXMATCH(Z625, ""Season""), ""TV Show"", ""Movie"")"),"Movie")</f>
        <v>Movie</v>
      </c>
    </row>
    <row r="626">
      <c r="A626" s="1" t="s">
        <v>3873</v>
      </c>
      <c r="B626" s="1" t="s">
        <v>27</v>
      </c>
      <c r="C626" s="1" t="s">
        <v>3874</v>
      </c>
      <c r="D626" s="1" t="s">
        <v>3875</v>
      </c>
      <c r="E626" s="1" t="s">
        <v>3876</v>
      </c>
      <c r="G626" s="1" t="s">
        <v>3841</v>
      </c>
      <c r="H626" s="1">
        <v>2021.0</v>
      </c>
      <c r="I626" s="1" t="s">
        <v>42</v>
      </c>
      <c r="J626" s="1" t="s">
        <v>665</v>
      </c>
      <c r="K626" s="1" t="s">
        <v>298</v>
      </c>
      <c r="L626" s="1" t="s">
        <v>3877</v>
      </c>
      <c r="M626" s="2" t="s">
        <v>12</v>
      </c>
      <c r="N626" s="4">
        <f t="shared" si="1"/>
        <v>44377</v>
      </c>
      <c r="O626" s="5" t="str">
        <f>IFERROR(__xludf.DUMMYFUNCTION("IF(REGEXMATCH(TRIM(I626), ""^\d+\s*min""), ""Unclassified"", IF(I626 = """", ""NR"", I626))"),"TV-MA")</f>
        <v>TV-MA</v>
      </c>
      <c r="R626" s="5" t="str">
        <f t="shared" si="2"/>
        <v>Prime Time</v>
      </c>
      <c r="S626" s="5" t="str">
        <f>IFERROR(__xludf.DUMMYFUNCTION("""COMPUTED_VALUE"""),"Argon")</f>
        <v>Argon</v>
      </c>
      <c r="T626" s="5" t="str">
        <f>IFERROR(__xludf.DUMMYFUNCTION("""COMPUTED_VALUE"""),"United States, Canada, Indonesia, United Kingdom, China, Singapore")</f>
        <v>United States, Canada, Indonesia, United Kingdom, China, Singapore</v>
      </c>
      <c r="U626" s="5" t="str">
        <f>IFERROR(__xludf.DUMMYFUNCTION("""COMPUTED_VALUE"""),"Ryuichi Hiroki")</f>
        <v>Ryuichi Hiroki</v>
      </c>
      <c r="V626" s="5" t="s">
        <v>3878</v>
      </c>
      <c r="W626" s="5" t="str">
        <f t="shared" si="3"/>
        <v>Brodje Wemboendja</v>
      </c>
      <c r="X626" s="5">
        <f t="shared" si="4"/>
        <v>1</v>
      </c>
      <c r="Y626" s="5" t="str">
        <f>IFERROR(__xludf.DUMMYFUNCTION("REGEXEXTRACT(J626, ""^\d+"")"),"92")</f>
        <v>92</v>
      </c>
      <c r="Z626" s="5" t="str">
        <f>IFERROR(__xludf.DUMMYFUNCTION("REGEXEXTRACT(J626, ""[A-Za-z ]+$"")")," min")</f>
        <v> min</v>
      </c>
      <c r="AA626" s="5" t="str">
        <f>IFERROR(__xludf.DUMMYFUNCTION("IF(REGEXMATCH(Z626, ""Season""), ""TV Show"", ""Movie"")"),"Movie")</f>
        <v>Movie</v>
      </c>
    </row>
    <row r="627">
      <c r="A627" s="1" t="s">
        <v>3879</v>
      </c>
      <c r="B627" s="1" t="s">
        <v>37</v>
      </c>
      <c r="C627" s="1" t="s">
        <v>3880</v>
      </c>
      <c r="E627" s="1" t="s">
        <v>3881</v>
      </c>
      <c r="F627" s="1" t="s">
        <v>162</v>
      </c>
      <c r="G627" s="1" t="s">
        <v>3841</v>
      </c>
      <c r="H627" s="1">
        <v>2021.0</v>
      </c>
      <c r="I627" s="1" t="s">
        <v>42</v>
      </c>
      <c r="J627" s="1" t="s">
        <v>51</v>
      </c>
      <c r="K627" s="1" t="s">
        <v>785</v>
      </c>
      <c r="L627" s="1" t="s">
        <v>3882</v>
      </c>
      <c r="M627" s="2" t="s">
        <v>12</v>
      </c>
      <c r="N627" s="4">
        <f t="shared" si="1"/>
        <v>44377</v>
      </c>
      <c r="O627" s="5" t="str">
        <f>IFERROR(__xludf.DUMMYFUNCTION("IF(REGEXMATCH(TRIM(I627), ""^\d+\s*min""), ""Unclassified"", IF(I627 = """", ""NR"", I627))"),"TV-MA")</f>
        <v>TV-MA</v>
      </c>
      <c r="R627" s="5" t="str">
        <f t="shared" si="2"/>
        <v>Somos.</v>
      </c>
      <c r="S627" s="5" t="str">
        <f>IFERROR(__xludf.DUMMYFUNCTION("""COMPUTED_VALUE"""),"Ari Eldjárn: Pardon My Icelandic")</f>
        <v>Ari Eldjárn: Pardon My Icelandic</v>
      </c>
      <c r="T627" s="5" t="str">
        <f>IFERROR(__xludf.DUMMYFUNCTION("""COMPUTED_VALUE"""),"United States, Canada, Ireland")</f>
        <v>United States, Canada, Ireland</v>
      </c>
      <c r="U627" s="5" t="str">
        <f>IFERROR(__xludf.DUMMYFUNCTION("""COMPUTED_VALUE"""),"One9")</f>
        <v>One9</v>
      </c>
      <c r="V627" s="5" t="s">
        <v>3883</v>
      </c>
      <c r="W627" s="5" t="str">
        <f t="shared" si="3"/>
        <v>Brody Chu</v>
      </c>
      <c r="X627" s="5">
        <f t="shared" si="4"/>
        <v>1</v>
      </c>
      <c r="Y627" s="5" t="str">
        <f>IFERROR(__xludf.DUMMYFUNCTION("REGEXEXTRACT(J627, ""^\d+"")"),"1")</f>
        <v>1</v>
      </c>
      <c r="Z627" s="5" t="str">
        <f>IFERROR(__xludf.DUMMYFUNCTION("REGEXEXTRACT(J627, ""[A-Za-z ]+$"")")," Season")</f>
        <v> Season</v>
      </c>
      <c r="AA627" s="5" t="str">
        <f>IFERROR(__xludf.DUMMYFUNCTION("IF(REGEXMATCH(Z627, ""Season""), ""TV Show"", ""Movie"")"),"TV Show")</f>
        <v>TV Show</v>
      </c>
    </row>
    <row r="628">
      <c r="A628" s="1" t="s">
        <v>3884</v>
      </c>
      <c r="B628" s="1" t="s">
        <v>37</v>
      </c>
      <c r="C628" s="1" t="s">
        <v>3885</v>
      </c>
      <c r="D628" s="1" t="s">
        <v>3886</v>
      </c>
      <c r="G628" s="1" t="s">
        <v>3841</v>
      </c>
      <c r="H628" s="1">
        <v>2021.0</v>
      </c>
      <c r="I628" s="1" t="s">
        <v>42</v>
      </c>
      <c r="J628" s="1" t="s">
        <v>51</v>
      </c>
      <c r="K628" s="1" t="s">
        <v>142</v>
      </c>
      <c r="L628" s="1" t="s">
        <v>3887</v>
      </c>
      <c r="M628" s="2" t="s">
        <v>12</v>
      </c>
      <c r="N628" s="4">
        <f t="shared" si="1"/>
        <v>44377</v>
      </c>
      <c r="O628" s="5" t="str">
        <f>IFERROR(__xludf.DUMMYFUNCTION("IF(REGEXMATCH(TRIM(I628), ""^\d+\s*min""), ""Unclassified"", IF(I628 = """", ""NR"", I628))"),"TV-MA")</f>
        <v>TV-MA</v>
      </c>
      <c r="R628" s="5" t="str">
        <f t="shared" si="2"/>
        <v>Sophie: A Murder In West Cork</v>
      </c>
      <c r="S628" s="5" t="str">
        <f>IFERROR(__xludf.DUMMYFUNCTION("""COMPUTED_VALUE"""),"Ari Shaffir: Double Negative")</f>
        <v>Ari Shaffir: Double Negative</v>
      </c>
      <c r="T628" s="5" t="str">
        <f>IFERROR(__xludf.DUMMYFUNCTION("""COMPUTED_VALUE"""),"United States, Canada, Japan, Panama")</f>
        <v>United States, Canada, Japan, Panama</v>
      </c>
      <c r="U628" s="5" t="str">
        <f>IFERROR(__xludf.DUMMYFUNCTION("""COMPUTED_VALUE"""),"Luis Valdez")</f>
        <v>Luis Valdez</v>
      </c>
      <c r="V628" s="5" t="s">
        <v>3888</v>
      </c>
      <c r="W628" s="5" t="str">
        <f t="shared" si="3"/>
        <v>Bronwen Hughes</v>
      </c>
      <c r="X628" s="5">
        <f t="shared" si="4"/>
        <v>1</v>
      </c>
      <c r="Y628" s="5" t="str">
        <f>IFERROR(__xludf.DUMMYFUNCTION("REGEXEXTRACT(J628, ""^\d+"")"),"1")</f>
        <v>1</v>
      </c>
      <c r="Z628" s="5" t="str">
        <f>IFERROR(__xludf.DUMMYFUNCTION("REGEXEXTRACT(J628, ""[A-Za-z ]+$"")")," Season")</f>
        <v> Season</v>
      </c>
      <c r="AA628" s="5" t="str">
        <f>IFERROR(__xludf.DUMMYFUNCTION("IF(REGEXMATCH(Z628, ""Season""), ""TV Show"", ""Movie"")"),"TV Show")</f>
        <v>TV Show</v>
      </c>
    </row>
    <row r="629">
      <c r="A629" s="1" t="s">
        <v>3889</v>
      </c>
      <c r="B629" s="1" t="s">
        <v>37</v>
      </c>
      <c r="C629" s="1" t="s">
        <v>3890</v>
      </c>
      <c r="E629" s="1" t="s">
        <v>3891</v>
      </c>
      <c r="F629" s="1" t="s">
        <v>3892</v>
      </c>
      <c r="G629" s="1" t="s">
        <v>3841</v>
      </c>
      <c r="H629" s="1">
        <v>2020.0</v>
      </c>
      <c r="I629" s="1" t="s">
        <v>97</v>
      </c>
      <c r="J629" s="1" t="s">
        <v>51</v>
      </c>
      <c r="K629" s="1" t="s">
        <v>1084</v>
      </c>
      <c r="L629" s="1" t="s">
        <v>3893</v>
      </c>
      <c r="M629" s="2" t="s">
        <v>12</v>
      </c>
      <c r="N629" s="4">
        <f t="shared" si="1"/>
        <v>44377</v>
      </c>
      <c r="O629" s="5" t="str">
        <f>IFERROR(__xludf.DUMMYFUNCTION("IF(REGEXMATCH(TRIM(I629), ""^\d+\s*min""), ""Unclassified"", IF(I629 = """", ""NR"", I629))"),"TV-14")</f>
        <v>TV-14</v>
      </c>
      <c r="R629" s="5" t="str">
        <f t="shared" si="2"/>
        <v>The Daily Life Of The Immortal King</v>
      </c>
      <c r="S629" s="5" t="str">
        <f>IFERROR(__xludf.DUMMYFUNCTION("""COMPUTED_VALUE"""),"Ariana Grande: Excuse Me, I Love You")</f>
        <v>Ariana Grande: Excuse Me, I Love You</v>
      </c>
      <c r="T629" s="5" t="str">
        <f>IFERROR(__xludf.DUMMYFUNCTION("""COMPUTED_VALUE"""),"United States, Canada, United Kingdom")</f>
        <v>United States, Canada, United Kingdom</v>
      </c>
      <c r="U629" s="5" t="str">
        <f>IFERROR(__xludf.DUMMYFUNCTION("""COMPUTED_VALUE"""),"Cheng Wei-Hao")</f>
        <v>Cheng Wei-Hao</v>
      </c>
      <c r="V629" s="5" t="s">
        <v>3894</v>
      </c>
      <c r="W629" s="5" t="str">
        <f t="shared" si="3"/>
        <v>Bruce Beresford</v>
      </c>
      <c r="X629" s="5">
        <f t="shared" si="4"/>
        <v>2</v>
      </c>
      <c r="Y629" s="5" t="str">
        <f>IFERROR(__xludf.DUMMYFUNCTION("REGEXEXTRACT(J629, ""^\d+"")"),"1")</f>
        <v>1</v>
      </c>
      <c r="Z629" s="5" t="str">
        <f>IFERROR(__xludf.DUMMYFUNCTION("REGEXEXTRACT(J629, ""[A-Za-z ]+$"")")," Season")</f>
        <v> Season</v>
      </c>
      <c r="AA629" s="5" t="str">
        <f>IFERROR(__xludf.DUMMYFUNCTION("IF(REGEXMATCH(Z629, ""Season""), ""TV Show"", ""Movie"")"),"TV Show")</f>
        <v>TV Show</v>
      </c>
    </row>
    <row r="630">
      <c r="A630" s="1" t="s">
        <v>3895</v>
      </c>
      <c r="B630" s="1" t="s">
        <v>37</v>
      </c>
      <c r="C630" s="1" t="s">
        <v>3896</v>
      </c>
      <c r="E630" s="1" t="s">
        <v>3897</v>
      </c>
      <c r="F630" s="1" t="s">
        <v>30</v>
      </c>
      <c r="G630" s="1" t="s">
        <v>3898</v>
      </c>
      <c r="H630" s="1">
        <v>2021.0</v>
      </c>
      <c r="I630" s="1" t="s">
        <v>206</v>
      </c>
      <c r="J630" s="1" t="s">
        <v>148</v>
      </c>
      <c r="K630" s="1" t="s">
        <v>290</v>
      </c>
      <c r="L630" s="1" t="s">
        <v>3899</v>
      </c>
      <c r="M630" s="2" t="s">
        <v>12</v>
      </c>
      <c r="N630" s="4">
        <f t="shared" si="1"/>
        <v>44376</v>
      </c>
      <c r="O630" s="5" t="str">
        <f>IFERROR(__xludf.DUMMYFUNCTION("IF(REGEXMATCH(TRIM(I630), ""^\d+\s*min""), ""Unclassified"", IF(I630 = """", ""NR"", I630))"),"TV-Y")</f>
        <v>TV-Y</v>
      </c>
      <c r="R630" s="5" t="str">
        <f t="shared" si="2"/>
        <v>Starbeam</v>
      </c>
      <c r="S630" s="5" t="str">
        <f>IFERROR(__xludf.DUMMYFUNCTION("""COMPUTED_VALUE"""),"Arisan 2")</f>
        <v>Arisan 2</v>
      </c>
      <c r="T630" s="5" t="str">
        <f>IFERROR(__xludf.DUMMYFUNCTION("""COMPUTED_VALUE"""),"United States, Chile")</f>
        <v>United States, Chile</v>
      </c>
      <c r="U630" s="5" t="str">
        <f>IFERROR(__xludf.DUMMYFUNCTION("""COMPUTED_VALUE"""),"Pass Patthanakumjon")</f>
        <v>Pass Patthanakumjon</v>
      </c>
      <c r="V630" s="5" t="s">
        <v>3900</v>
      </c>
      <c r="W630" s="5" t="str">
        <f t="shared" si="3"/>
        <v>Bruce Gowers</v>
      </c>
      <c r="X630" s="5">
        <f t="shared" si="4"/>
        <v>1</v>
      </c>
      <c r="Y630" s="5" t="str">
        <f>IFERROR(__xludf.DUMMYFUNCTION("REGEXEXTRACT(J630, ""^\d+"")"),"4")</f>
        <v>4</v>
      </c>
      <c r="Z630" s="5" t="str">
        <f>IFERROR(__xludf.DUMMYFUNCTION("REGEXEXTRACT(J630, ""[A-Za-z ]+$"")")," Seasons")</f>
        <v> Seasons</v>
      </c>
      <c r="AA630" s="5" t="str">
        <f>IFERROR(__xludf.DUMMYFUNCTION("IF(REGEXMATCH(Z630, ""Season""), ""TV Show"", ""Movie"")"),"TV Show")</f>
        <v>TV Show</v>
      </c>
    </row>
    <row r="631">
      <c r="A631" s="1" t="s">
        <v>3901</v>
      </c>
      <c r="B631" s="1" t="s">
        <v>27</v>
      </c>
      <c r="C631" s="1" t="s">
        <v>3902</v>
      </c>
      <c r="D631" s="1" t="s">
        <v>2894</v>
      </c>
      <c r="E631" s="1" t="s">
        <v>3903</v>
      </c>
      <c r="G631" s="1" t="s">
        <v>3904</v>
      </c>
      <c r="H631" s="1">
        <v>2020.0</v>
      </c>
      <c r="I631" s="1" t="s">
        <v>97</v>
      </c>
      <c r="J631" s="1" t="s">
        <v>1001</v>
      </c>
      <c r="K631" s="1" t="s">
        <v>128</v>
      </c>
      <c r="L631" s="1" t="s">
        <v>3905</v>
      </c>
      <c r="M631" s="2" t="s">
        <v>12</v>
      </c>
      <c r="N631" s="4">
        <f t="shared" si="1"/>
        <v>44375</v>
      </c>
      <c r="O631" s="5" t="str">
        <f>IFERROR(__xludf.DUMMYFUNCTION("IF(REGEXMATCH(TRIM(I631), ""^\d+\s*min""), ""Unclassified"", IF(I631 = """", ""NR"", I631))"),"TV-14")</f>
        <v>TV-14</v>
      </c>
      <c r="R631" s="5" t="str">
        <f t="shared" si="2"/>
        <v>A Way Back Home</v>
      </c>
      <c r="S631" s="5" t="str">
        <f>IFERROR(__xludf.DUMMYFUNCTION("""COMPUTED_VALUE"""),"Arjun: The Warrior Prince")</f>
        <v>Arjun: The Warrior Prince</v>
      </c>
      <c r="T631" s="5" t="str">
        <f>IFERROR(__xludf.DUMMYFUNCTION("""COMPUTED_VALUE"""),"United States, Chile, Israel")</f>
        <v>United States, Chile, Israel</v>
      </c>
      <c r="U631" s="5" t="str">
        <f>IFERROR(__xludf.DUMMYFUNCTION("""COMPUTED_VALUE"""),"Buchi Babu Sana")</f>
        <v>Buchi Babu Sana</v>
      </c>
      <c r="V631" s="5" t="s">
        <v>3906</v>
      </c>
      <c r="W631" s="5" t="str">
        <f t="shared" si="3"/>
        <v>Bruce Leddy</v>
      </c>
      <c r="X631" s="5">
        <f t="shared" si="4"/>
        <v>1</v>
      </c>
      <c r="Y631" s="5" t="str">
        <f>IFERROR(__xludf.DUMMYFUNCTION("REGEXEXTRACT(J631, ""^\d+"")"),"82")</f>
        <v>82</v>
      </c>
      <c r="Z631" s="5" t="str">
        <f>IFERROR(__xludf.DUMMYFUNCTION("REGEXEXTRACT(J631, ""[A-Za-z ]+$"")")," min")</f>
        <v> min</v>
      </c>
      <c r="AA631" s="5" t="str">
        <f>IFERROR(__xludf.DUMMYFUNCTION("IF(REGEXMATCH(Z631, ""Season""), ""TV Show"", ""Movie"")"),"Movie")</f>
        <v>Movie</v>
      </c>
    </row>
    <row r="632">
      <c r="A632" s="1" t="s">
        <v>3907</v>
      </c>
      <c r="B632" s="1" t="s">
        <v>27</v>
      </c>
      <c r="C632" s="1" t="s">
        <v>3908</v>
      </c>
      <c r="D632" s="1" t="s">
        <v>1867</v>
      </c>
      <c r="E632" s="1" t="s">
        <v>3909</v>
      </c>
      <c r="F632" s="1" t="s">
        <v>30</v>
      </c>
      <c r="G632" s="1" t="s">
        <v>3904</v>
      </c>
      <c r="H632" s="1">
        <v>2012.0</v>
      </c>
      <c r="I632" s="1" t="s">
        <v>378</v>
      </c>
      <c r="J632" s="1" t="s">
        <v>247</v>
      </c>
      <c r="K632" s="1" t="s">
        <v>805</v>
      </c>
      <c r="L632" s="1" t="s">
        <v>3910</v>
      </c>
      <c r="M632" s="2" t="s">
        <v>12</v>
      </c>
      <c r="N632" s="4">
        <f t="shared" si="1"/>
        <v>44375</v>
      </c>
      <c r="O632" s="5" t="str">
        <f>IFERROR(__xludf.DUMMYFUNCTION("IF(REGEXMATCH(TRIM(I632), ""^\d+\s*min""), ""Unclassified"", IF(I632 = """", ""NR"", I632))"),"R")</f>
        <v>R</v>
      </c>
      <c r="R632" s="5" t="str">
        <f t="shared" si="2"/>
        <v>Killing Them Softly</v>
      </c>
      <c r="S632" s="5" t="str">
        <f>IFERROR(__xludf.DUMMYFUNCTION("""COMPUTED_VALUE"""),"Arlo The Alligator Boy")</f>
        <v>Arlo The Alligator Boy</v>
      </c>
      <c r="T632" s="5" t="str">
        <f>IFERROR(__xludf.DUMMYFUNCTION("""COMPUTED_VALUE"""),"United States, China")</f>
        <v>United States, China</v>
      </c>
      <c r="U632" s="5" t="str">
        <f>IFERROR(__xludf.DUMMYFUNCTION("""COMPUTED_VALUE"""),"Fredrick Munk")</f>
        <v>Fredrick Munk</v>
      </c>
      <c r="V632" s="5" t="s">
        <v>3911</v>
      </c>
      <c r="W632" s="5" t="str">
        <f t="shared" si="3"/>
        <v>Bruce Macdonald, Gabriel Sabloff</v>
      </c>
      <c r="X632" s="5">
        <f t="shared" si="4"/>
        <v>1</v>
      </c>
      <c r="Y632" s="5" t="str">
        <f>IFERROR(__xludf.DUMMYFUNCTION("REGEXEXTRACT(J632, ""^\d+"")"),"97")</f>
        <v>97</v>
      </c>
      <c r="Z632" s="5" t="str">
        <f>IFERROR(__xludf.DUMMYFUNCTION("REGEXEXTRACT(J632, ""[A-Za-z ]+$"")")," min")</f>
        <v> min</v>
      </c>
      <c r="AA632" s="5" t="str">
        <f>IFERROR(__xludf.DUMMYFUNCTION("IF(REGEXMATCH(Z632, ""Season""), ""TV Show"", ""Movie"")"),"Movie")</f>
        <v>Movie</v>
      </c>
    </row>
    <row r="633">
      <c r="A633" s="1" t="s">
        <v>3912</v>
      </c>
      <c r="B633" s="1" t="s">
        <v>37</v>
      </c>
      <c r="C633" s="1" t="s">
        <v>3913</v>
      </c>
      <c r="E633" s="1" t="s">
        <v>3914</v>
      </c>
      <c r="F633" s="1" t="s">
        <v>415</v>
      </c>
      <c r="G633" s="1" t="s">
        <v>3904</v>
      </c>
      <c r="H633" s="1">
        <v>2021.0</v>
      </c>
      <c r="I633" s="1" t="s">
        <v>97</v>
      </c>
      <c r="J633" s="1" t="s">
        <v>189</v>
      </c>
      <c r="K633" s="1" t="s">
        <v>567</v>
      </c>
      <c r="L633" s="1" t="s">
        <v>3915</v>
      </c>
      <c r="M633" s="2" t="s">
        <v>12</v>
      </c>
      <c r="N633" s="4">
        <f t="shared" si="1"/>
        <v>44375</v>
      </c>
      <c r="O633" s="5" t="str">
        <f>IFERROR(__xludf.DUMMYFUNCTION("IF(REGEXMATCH(TRIM(I633), ""^\d+\s*min""), ""Unclassified"", IF(I633 = """", ""NR"", I633))"),"TV-14")</f>
        <v>TV-14</v>
      </c>
      <c r="R633" s="5" t="str">
        <f t="shared" si="2"/>
        <v>The Seven Deadly Sins</v>
      </c>
      <c r="S633" s="5" t="str">
        <f>IFERROR(__xludf.DUMMYFUNCTION("""COMPUTED_VALUE"""),"Army Of The Dead")</f>
        <v>Army Of The Dead</v>
      </c>
      <c r="T633" s="5" t="str">
        <f>IFERROR(__xludf.DUMMYFUNCTION("""COMPUTED_VALUE"""),"United States, China, Canada")</f>
        <v>United States, China, Canada</v>
      </c>
      <c r="U633" s="5" t="str">
        <f>IFERROR(__xludf.DUMMYFUNCTION("""COMPUTED_VALUE"""),"Moyoung Jin, Caroline Sá, Deepti Kakkar, Fahad Mustafa, Hikaru Toda, Chico Pereira, Elaine Mcmillion Sheldon")</f>
        <v>Moyoung Jin, Caroline Sá, Deepti Kakkar, Fahad Mustafa, Hikaru Toda, Chico Pereira, Elaine Mcmillion Sheldon</v>
      </c>
      <c r="V633" s="5" t="s">
        <v>3916</v>
      </c>
      <c r="W633" s="5" t="str">
        <f t="shared" si="3"/>
        <v>Bruce Mcculloch</v>
      </c>
      <c r="X633" s="5">
        <f t="shared" si="4"/>
        <v>1</v>
      </c>
      <c r="Y633" s="5" t="str">
        <f>IFERROR(__xludf.DUMMYFUNCTION("REGEXEXTRACT(J633, ""^\d+"")"),"5")</f>
        <v>5</v>
      </c>
      <c r="Z633" s="5" t="str">
        <f>IFERROR(__xludf.DUMMYFUNCTION("REGEXEXTRACT(J633, ""[A-Za-z ]+$"")")," Seasons")</f>
        <v> Seasons</v>
      </c>
      <c r="AA633" s="5" t="str">
        <f>IFERROR(__xludf.DUMMYFUNCTION("IF(REGEXMATCH(Z633, ""Season""), ""TV Show"", ""Movie"")"),"TV Show")</f>
        <v>TV Show</v>
      </c>
    </row>
    <row r="634">
      <c r="A634" s="1" t="s">
        <v>3917</v>
      </c>
      <c r="B634" s="1" t="s">
        <v>27</v>
      </c>
      <c r="C634" s="1" t="s">
        <v>3918</v>
      </c>
      <c r="D634" s="1" t="s">
        <v>3919</v>
      </c>
      <c r="E634" s="1" t="s">
        <v>3920</v>
      </c>
      <c r="G634" s="1" t="s">
        <v>3904</v>
      </c>
      <c r="H634" s="1">
        <v>2019.0</v>
      </c>
      <c r="I634" s="1" t="s">
        <v>97</v>
      </c>
      <c r="J634" s="1" t="s">
        <v>33</v>
      </c>
      <c r="K634" s="1" t="s">
        <v>199</v>
      </c>
      <c r="L634" s="1" t="s">
        <v>3921</v>
      </c>
      <c r="M634" s="2" t="s">
        <v>12</v>
      </c>
      <c r="N634" s="4">
        <f t="shared" si="1"/>
        <v>44375</v>
      </c>
      <c r="O634" s="5" t="str">
        <f>IFERROR(__xludf.DUMMYFUNCTION("IF(REGEXMATCH(TRIM(I634), ""^\d+\s*min""), ""Unclassified"", IF(I634 = """", ""NR"", I634))"),"TV-14")</f>
        <v>TV-14</v>
      </c>
      <c r="R634" s="5" t="str">
        <f t="shared" si="2"/>
        <v>Wanted</v>
      </c>
      <c r="S634" s="5" t="str">
        <f>IFERROR(__xludf.DUMMYFUNCTION("""COMPUTED_VALUE"""),"Arq")</f>
        <v>Arq</v>
      </c>
      <c r="T634" s="5" t="str">
        <f>IFERROR(__xludf.DUMMYFUNCTION("""COMPUTED_VALUE"""),"United States, China, Colombia")</f>
        <v>United States, China, Colombia</v>
      </c>
      <c r="U634" s="5" t="str">
        <f>IFERROR(__xludf.DUMMYFUNCTION("""COMPUTED_VALUE"""),"Zhao Ji")</f>
        <v>Zhao Ji</v>
      </c>
      <c r="V634" s="5" t="s">
        <v>3922</v>
      </c>
      <c r="W634" s="5" t="str">
        <f t="shared" si="3"/>
        <v>Bruce Mcdonald</v>
      </c>
      <c r="X634" s="5">
        <f t="shared" si="4"/>
        <v>1</v>
      </c>
      <c r="Y634" s="5" t="str">
        <f>IFERROR(__xludf.DUMMYFUNCTION("REGEXEXTRACT(J634, ""^\d+"")"),"90")</f>
        <v>90</v>
      </c>
      <c r="Z634" s="5" t="str">
        <f>IFERROR(__xludf.DUMMYFUNCTION("REGEXEXTRACT(J634, ""[A-Za-z ]+$"")")," min")</f>
        <v> min</v>
      </c>
      <c r="AA634" s="5" t="str">
        <f>IFERROR(__xludf.DUMMYFUNCTION("IF(REGEXMATCH(Z634, ""Season""), ""TV Show"", ""Movie"")"),"Movie")</f>
        <v>Movie</v>
      </c>
    </row>
    <row r="635">
      <c r="A635" s="1" t="s">
        <v>3923</v>
      </c>
      <c r="B635" s="1" t="s">
        <v>27</v>
      </c>
      <c r="C635" s="1" t="s">
        <v>3924</v>
      </c>
      <c r="D635" s="1" t="s">
        <v>3925</v>
      </c>
      <c r="E635" s="1" t="s">
        <v>3926</v>
      </c>
      <c r="G635" s="1" t="s">
        <v>3927</v>
      </c>
      <c r="H635" s="1">
        <v>2018.0</v>
      </c>
      <c r="I635" s="1" t="s">
        <v>42</v>
      </c>
      <c r="J635" s="1" t="s">
        <v>1171</v>
      </c>
      <c r="K635" s="1" t="s">
        <v>89</v>
      </c>
      <c r="L635" s="1" t="s">
        <v>3928</v>
      </c>
      <c r="M635" s="2" t="s">
        <v>12</v>
      </c>
      <c r="N635" s="4">
        <f t="shared" si="1"/>
        <v>44373</v>
      </c>
      <c r="O635" s="5" t="str">
        <f>IFERROR(__xludf.DUMMYFUNCTION("IF(REGEXMATCH(TRIM(I635), ""^\d+\s*min""), ""Unclassified"", IF(I635 = """", ""NR"", I635))"),"TV-MA")</f>
        <v>TV-MA</v>
      </c>
      <c r="R635" s="5" t="str">
        <f t="shared" si="2"/>
        <v>Into The Wind</v>
      </c>
      <c r="S635" s="5" t="str">
        <f>IFERROR(__xludf.DUMMYFUNCTION("""COMPUTED_VALUE"""),"Arrested Development")</f>
        <v>Arrested Development</v>
      </c>
      <c r="T635" s="5" t="str">
        <f>IFERROR(__xludf.DUMMYFUNCTION("""COMPUTED_VALUE"""),"United States, China, Hong Kong")</f>
        <v>United States, China, Hong Kong</v>
      </c>
      <c r="U635" s="5" t="str">
        <f>IFERROR(__xludf.DUMMYFUNCTION("""COMPUTED_VALUE"""),"Jamie Babbit")</f>
        <v>Jamie Babbit</v>
      </c>
      <c r="V635" s="5" t="s">
        <v>3929</v>
      </c>
      <c r="W635" s="5" t="str">
        <f t="shared" si="3"/>
        <v>Bruce Robinson</v>
      </c>
      <c r="X635" s="5">
        <f t="shared" si="4"/>
        <v>1</v>
      </c>
      <c r="Y635" s="5" t="str">
        <f>IFERROR(__xludf.DUMMYFUNCTION("REGEXEXTRACT(J635, ""^\d+"")"),"76")</f>
        <v>76</v>
      </c>
      <c r="Z635" s="5" t="str">
        <f>IFERROR(__xludf.DUMMYFUNCTION("REGEXEXTRACT(J635, ""[A-Za-z ]+$"")")," min")</f>
        <v> min</v>
      </c>
      <c r="AA635" s="5" t="str">
        <f>IFERROR(__xludf.DUMMYFUNCTION("IF(REGEXMATCH(Z635, ""Season""), ""TV Show"", ""Movie"")"),"Movie")</f>
        <v>Movie</v>
      </c>
    </row>
    <row r="636">
      <c r="A636" s="1" t="s">
        <v>3930</v>
      </c>
      <c r="B636" s="1" t="s">
        <v>27</v>
      </c>
      <c r="C636" s="1" t="s">
        <v>3931</v>
      </c>
      <c r="D636" s="1" t="s">
        <v>2138</v>
      </c>
      <c r="E636" s="1" t="s">
        <v>3932</v>
      </c>
      <c r="F636" s="1" t="s">
        <v>664</v>
      </c>
      <c r="G636" s="1" t="s">
        <v>3927</v>
      </c>
      <c r="H636" s="1">
        <v>2019.0</v>
      </c>
      <c r="I636" s="1" t="s">
        <v>97</v>
      </c>
      <c r="J636" s="1" t="s">
        <v>490</v>
      </c>
      <c r="K636" s="1" t="s">
        <v>156</v>
      </c>
      <c r="L636" s="1" t="s">
        <v>3933</v>
      </c>
      <c r="M636" s="2" t="s">
        <v>12</v>
      </c>
      <c r="N636" s="4">
        <f t="shared" si="1"/>
        <v>44373</v>
      </c>
      <c r="O636" s="5" t="str">
        <f>IFERROR(__xludf.DUMMYFUNCTION("IF(REGEXMATCH(TRIM(I636), ""^\d+\s*min""), ""Unclassified"", IF(I636 = """", ""NR"", I636))"),"TV-14")</f>
        <v>TV-14</v>
      </c>
      <c r="R636" s="5" t="str">
        <f t="shared" si="2"/>
        <v>Wonder Boy</v>
      </c>
      <c r="S636" s="5" t="str">
        <f>IFERROR(__xludf.DUMMYFUNCTION("""COMPUTED_VALUE"""),"Arrow")</f>
        <v>Arrow</v>
      </c>
      <c r="T636" s="5" t="str">
        <f>IFERROR(__xludf.DUMMYFUNCTION("""COMPUTED_VALUE"""),"United States, China, United Kingdom")</f>
        <v>United States, China, United Kingdom</v>
      </c>
      <c r="U636" s="5" t="str">
        <f>IFERROR(__xludf.DUMMYFUNCTION("""COMPUTED_VALUE"""),"Park Hoon-Jung")</f>
        <v>Park Hoon-Jung</v>
      </c>
      <c r="V636" s="5" t="s">
        <v>3934</v>
      </c>
      <c r="W636" s="5" t="str">
        <f t="shared" si="3"/>
        <v>Bruce W. Smith</v>
      </c>
      <c r="X636" s="5">
        <f t="shared" si="4"/>
        <v>1</v>
      </c>
      <c r="Y636" s="5" t="str">
        <f>IFERROR(__xludf.DUMMYFUNCTION("REGEXEXTRACT(J636, ""^\d+"")"),"83")</f>
        <v>83</v>
      </c>
      <c r="Z636" s="5" t="str">
        <f>IFERROR(__xludf.DUMMYFUNCTION("REGEXEXTRACT(J636, ""[A-Za-z ]+$"")")," min")</f>
        <v> min</v>
      </c>
      <c r="AA636" s="5" t="str">
        <f>IFERROR(__xludf.DUMMYFUNCTION("IF(REGEXMATCH(Z636, ""Season""), ""TV Show"", ""Movie"")"),"Movie")</f>
        <v>Movie</v>
      </c>
    </row>
    <row r="637">
      <c r="A637" s="1" t="s">
        <v>3935</v>
      </c>
      <c r="B637" s="1" t="s">
        <v>27</v>
      </c>
      <c r="C637" s="1" t="s">
        <v>3936</v>
      </c>
      <c r="D637" s="1" t="s">
        <v>2923</v>
      </c>
      <c r="E637" s="1" t="s">
        <v>3937</v>
      </c>
      <c r="F637" s="1" t="s">
        <v>3938</v>
      </c>
      <c r="G637" s="1" t="s">
        <v>3939</v>
      </c>
      <c r="H637" s="1">
        <v>2010.0</v>
      </c>
      <c r="I637" s="1" t="s">
        <v>42</v>
      </c>
      <c r="J637" s="1" t="s">
        <v>1091</v>
      </c>
      <c r="K637" s="1" t="s">
        <v>128</v>
      </c>
      <c r="L637" s="1" t="s">
        <v>3940</v>
      </c>
      <c r="M637" s="2" t="s">
        <v>12</v>
      </c>
      <c r="N637" s="4">
        <f t="shared" si="1"/>
        <v>44372</v>
      </c>
      <c r="O637" s="5" t="str">
        <f>IFERROR(__xludf.DUMMYFUNCTION("IF(REGEXMATCH(TRIM(I637), ""^\d+\s*min""), ""Unclassified"", IF(I637 = """", ""NR"", I637))"),"TV-MA")</f>
        <v>TV-MA</v>
      </c>
      <c r="R637" s="5" t="str">
        <f t="shared" si="2"/>
        <v>Here Comes The Rain</v>
      </c>
      <c r="S637" s="5" t="str">
        <f>IFERROR(__xludf.DUMMYFUNCTION("""COMPUTED_VALUE"""),"Arsenio Hall: Smart &amp; Classy")</f>
        <v>Arsenio Hall: Smart &amp; Classy</v>
      </c>
      <c r="T637" s="5" t="str">
        <f>IFERROR(__xludf.DUMMYFUNCTION("""COMPUTED_VALUE"""),"United States, Colombia")</f>
        <v>United States, Colombia</v>
      </c>
      <c r="U637" s="5" t="str">
        <f>IFERROR(__xludf.DUMMYFUNCTION("""COMPUTED_VALUE"""),"Dare Olaitan")</f>
        <v>Dare Olaitan</v>
      </c>
      <c r="V637" s="5" t="s">
        <v>133</v>
      </c>
      <c r="W637" s="5" t="str">
        <f t="shared" si="3"/>
        <v>Bruno Garotti</v>
      </c>
      <c r="X637" s="5">
        <f t="shared" si="4"/>
        <v>4</v>
      </c>
      <c r="Y637" s="5" t="str">
        <f>IFERROR(__xludf.DUMMYFUNCTION("REGEXEXTRACT(J637, ""^\d+"")"),"101")</f>
        <v>101</v>
      </c>
      <c r="Z637" s="5" t="str">
        <f>IFERROR(__xludf.DUMMYFUNCTION("REGEXEXTRACT(J637, ""[A-Za-z ]+$"")")," min")</f>
        <v> min</v>
      </c>
      <c r="AA637" s="5" t="str">
        <f>IFERROR(__xludf.DUMMYFUNCTION("IF(REGEXMATCH(Z637, ""Season""), ""TV Show"", ""Movie"")"),"Movie")</f>
        <v>Movie</v>
      </c>
    </row>
    <row r="638">
      <c r="A638" s="1" t="s">
        <v>3941</v>
      </c>
      <c r="B638" s="1" t="s">
        <v>27</v>
      </c>
      <c r="C638" s="1" t="s">
        <v>3942</v>
      </c>
      <c r="D638" s="1" t="s">
        <v>3943</v>
      </c>
      <c r="E638" s="1" t="s">
        <v>3944</v>
      </c>
      <c r="F638" s="1" t="s">
        <v>897</v>
      </c>
      <c r="G638" s="1" t="s">
        <v>3939</v>
      </c>
      <c r="H638" s="1">
        <v>2021.0</v>
      </c>
      <c r="I638" s="1" t="s">
        <v>32</v>
      </c>
      <c r="J638" s="1" t="s">
        <v>1065</v>
      </c>
      <c r="K638" s="1" t="s">
        <v>380</v>
      </c>
      <c r="L638" s="1" t="s">
        <v>3945</v>
      </c>
      <c r="M638" s="2" t="s">
        <v>12</v>
      </c>
      <c r="N638" s="4">
        <f t="shared" si="1"/>
        <v>44372</v>
      </c>
      <c r="O638" s="5" t="str">
        <f>IFERROR(__xludf.DUMMYFUNCTION("IF(REGEXMATCH(TRIM(I638), ""^\d+\s*min""), ""Unclassified"", IF(I638 = """", ""NR"", I638))"),"PG-13")</f>
        <v>PG-13</v>
      </c>
      <c r="R638" s="5" t="str">
        <f t="shared" si="2"/>
        <v>The Ice Road</v>
      </c>
      <c r="S638" s="5" t="str">
        <f>IFERROR(__xludf.DUMMYFUNCTION("""COMPUTED_VALUE"""),"Arthdal Chronicles")</f>
        <v>Arthdal Chronicles</v>
      </c>
      <c r="T638" s="5" t="str">
        <f>IFERROR(__xludf.DUMMYFUNCTION("""COMPUTED_VALUE"""),"United States, Colombia, Mexico")</f>
        <v>United States, Colombia, Mexico</v>
      </c>
      <c r="U638" s="5" t="str">
        <f>IFERROR(__xludf.DUMMYFUNCTION("""COMPUTED_VALUE"""),"Ben Falcone")</f>
        <v>Ben Falcone</v>
      </c>
      <c r="V638" s="5" t="s">
        <v>3766</v>
      </c>
      <c r="W638" s="5" t="str">
        <f t="shared" si="3"/>
        <v>Bryan Bertino</v>
      </c>
      <c r="X638" s="5">
        <f t="shared" si="4"/>
        <v>2</v>
      </c>
      <c r="Y638" s="5" t="str">
        <f>IFERROR(__xludf.DUMMYFUNCTION("REGEXEXTRACT(J638, ""^\d+"")"),"109")</f>
        <v>109</v>
      </c>
      <c r="Z638" s="5" t="str">
        <f>IFERROR(__xludf.DUMMYFUNCTION("REGEXEXTRACT(J638, ""[A-Za-z ]+$"")")," min")</f>
        <v> min</v>
      </c>
      <c r="AA638" s="5" t="str">
        <f>IFERROR(__xludf.DUMMYFUNCTION("IF(REGEXMATCH(Z638, ""Season""), ""TV Show"", ""Movie"")"),"Movie")</f>
        <v>Movie</v>
      </c>
    </row>
    <row r="639">
      <c r="A639" s="1" t="s">
        <v>3946</v>
      </c>
      <c r="B639" s="1" t="s">
        <v>37</v>
      </c>
      <c r="C639" s="1" t="s">
        <v>3947</v>
      </c>
      <c r="D639" s="1" t="s">
        <v>3948</v>
      </c>
      <c r="E639" s="1" t="s">
        <v>3949</v>
      </c>
      <c r="G639" s="1" t="s">
        <v>3939</v>
      </c>
      <c r="H639" s="1">
        <v>2021.0</v>
      </c>
      <c r="I639" s="1" t="s">
        <v>42</v>
      </c>
      <c r="J639" s="1" t="s">
        <v>51</v>
      </c>
      <c r="K639" s="1" t="s">
        <v>44</v>
      </c>
      <c r="L639" s="1" t="s">
        <v>3950</v>
      </c>
      <c r="M639" s="2" t="s">
        <v>12</v>
      </c>
      <c r="N639" s="4">
        <f t="shared" si="1"/>
        <v>44372</v>
      </c>
      <c r="O639" s="5" t="str">
        <f>IFERROR(__xludf.DUMMYFUNCTION("IF(REGEXMATCH(TRIM(I639), ""^\d+\s*min""), ""Unclassified"", IF(I639 = """", ""NR"", I639))"),"TV-MA")</f>
        <v>TV-MA</v>
      </c>
      <c r="R639" s="5" t="str">
        <f t="shared" si="2"/>
        <v>Ray</v>
      </c>
      <c r="S639" s="5" t="str">
        <f>IFERROR(__xludf.DUMMYFUNCTION("""COMPUTED_VALUE"""),"Arthur")</f>
        <v>Arthur</v>
      </c>
      <c r="T639" s="5" t="str">
        <f>IFERROR(__xludf.DUMMYFUNCTION("""COMPUTED_VALUE"""),"United States, Czech Republic")</f>
        <v>United States, Czech Republic</v>
      </c>
      <c r="U639" s="5" t="str">
        <f>IFERROR(__xludf.DUMMYFUNCTION("""COMPUTED_VALUE"""),"Travon Free, Martin Desmond Roe")</f>
        <v>Travon Free, Martin Desmond Roe</v>
      </c>
      <c r="V639" s="5" t="s">
        <v>3951</v>
      </c>
      <c r="W639" s="5" t="str">
        <f t="shared" si="3"/>
        <v>Bryan Buckley</v>
      </c>
      <c r="X639" s="5">
        <f t="shared" si="4"/>
        <v>1</v>
      </c>
      <c r="Y639" s="5" t="str">
        <f>IFERROR(__xludf.DUMMYFUNCTION("REGEXEXTRACT(J639, ""^\d+"")"),"1")</f>
        <v>1</v>
      </c>
      <c r="Z639" s="5" t="str">
        <f>IFERROR(__xludf.DUMMYFUNCTION("REGEXEXTRACT(J639, ""[A-Za-z ]+$"")")," Season")</f>
        <v> Season</v>
      </c>
      <c r="AA639" s="5" t="str">
        <f>IFERROR(__xludf.DUMMYFUNCTION("IF(REGEXMATCH(Z639, ""Season""), ""TV Show"", ""Movie"")"),"TV Show")</f>
        <v>TV Show</v>
      </c>
    </row>
    <row r="640">
      <c r="A640" s="1" t="s">
        <v>3952</v>
      </c>
      <c r="B640" s="1" t="s">
        <v>37</v>
      </c>
      <c r="C640" s="1" t="s">
        <v>3953</v>
      </c>
      <c r="E640" s="1" t="s">
        <v>3954</v>
      </c>
      <c r="F640" s="1" t="s">
        <v>30</v>
      </c>
      <c r="G640" s="1" t="s">
        <v>3939</v>
      </c>
      <c r="H640" s="1">
        <v>2021.0</v>
      </c>
      <c r="I640" s="1" t="s">
        <v>42</v>
      </c>
      <c r="J640" s="1" t="s">
        <v>51</v>
      </c>
      <c r="K640" s="1" t="s">
        <v>3083</v>
      </c>
      <c r="L640" s="1" t="s">
        <v>3955</v>
      </c>
      <c r="M640" s="2" t="s">
        <v>12</v>
      </c>
      <c r="N640" s="4">
        <f t="shared" si="1"/>
        <v>44372</v>
      </c>
      <c r="O640" s="5" t="str">
        <f>IFERROR(__xludf.DUMMYFUNCTION("IF(REGEXMATCH(TRIM(I640), ""^\d+\s*min""), ""Unclassified"", IF(I640 = """", ""NR"", I640))"),"TV-MA")</f>
        <v>TV-MA</v>
      </c>
      <c r="R640" s="5" t="str">
        <f t="shared" si="2"/>
        <v>Sex/Life</v>
      </c>
      <c r="S640" s="5" t="str">
        <f>IFERROR(__xludf.DUMMYFUNCTION("""COMPUTED_VALUE"""),"Arthur Christmas")</f>
        <v>Arthur Christmas</v>
      </c>
      <c r="T640" s="5" t="str">
        <f>IFERROR(__xludf.DUMMYFUNCTION("""COMPUTED_VALUE"""),"United States, Czech Republic, United Kingdom")</f>
        <v>United States, Czech Republic, United Kingdom</v>
      </c>
      <c r="U640" s="5" t="str">
        <f>IFERROR(__xludf.DUMMYFUNCTION("""COMPUTED_VALUE"""),"Angga Dwimas Sasongko")</f>
        <v>Angga Dwimas Sasongko</v>
      </c>
      <c r="V640" s="5" t="s">
        <v>3956</v>
      </c>
      <c r="W640" s="5" t="str">
        <f t="shared" si="3"/>
        <v>Bryan Fogel</v>
      </c>
      <c r="X640" s="5">
        <f t="shared" si="4"/>
        <v>1</v>
      </c>
      <c r="Y640" s="5" t="str">
        <f>IFERROR(__xludf.DUMMYFUNCTION("REGEXEXTRACT(J640, ""^\d+"")"),"1")</f>
        <v>1</v>
      </c>
      <c r="Z640" s="5" t="str">
        <f>IFERROR(__xludf.DUMMYFUNCTION("REGEXEXTRACT(J640, ""[A-Za-z ]+$"")")," Season")</f>
        <v> Season</v>
      </c>
      <c r="AA640" s="5" t="str">
        <f>IFERROR(__xludf.DUMMYFUNCTION("IF(REGEXMATCH(Z640, ""Season""), ""TV Show"", ""Movie"")"),"TV Show")</f>
        <v>TV Show</v>
      </c>
    </row>
    <row r="641">
      <c r="A641" s="1" t="s">
        <v>3957</v>
      </c>
      <c r="B641" s="1" t="s">
        <v>37</v>
      </c>
      <c r="C641" s="1" t="s">
        <v>3958</v>
      </c>
      <c r="E641" s="1" t="s">
        <v>3959</v>
      </c>
      <c r="G641" s="1" t="s">
        <v>3960</v>
      </c>
      <c r="H641" s="1">
        <v>2021.0</v>
      </c>
      <c r="I641" s="1" t="s">
        <v>97</v>
      </c>
      <c r="J641" s="1" t="s">
        <v>51</v>
      </c>
      <c r="K641" s="1" t="s">
        <v>567</v>
      </c>
      <c r="L641" s="1" t="s">
        <v>3961</v>
      </c>
      <c r="M641" s="2" t="s">
        <v>12</v>
      </c>
      <c r="N641" s="4">
        <f t="shared" si="1"/>
        <v>44371</v>
      </c>
      <c r="O641" s="5" t="str">
        <f>IFERROR(__xludf.DUMMYFUNCTION("IF(REGEXMATCH(TRIM(I641), ""^\d+\s*min""), ""Unclassified"", IF(I641 = """", ""NR"", I641))"),"TV-14")</f>
        <v>TV-14</v>
      </c>
      <c r="R641" s="5" t="str">
        <f t="shared" si="2"/>
        <v>Godzilla Singular Point</v>
      </c>
      <c r="S641" s="5" t="str">
        <f>IFERROR(__xludf.DUMMYFUNCTION("""COMPUTED_VALUE"""),"Article 15")</f>
        <v>Article 15</v>
      </c>
      <c r="T641" s="5" t="str">
        <f>IFERROR(__xludf.DUMMYFUNCTION("""COMPUTED_VALUE"""),"United States, Denmark")</f>
        <v>United States, Denmark</v>
      </c>
      <c r="U641" s="5" t="str">
        <f>IFERROR(__xludf.DUMMYFUNCTION("""COMPUTED_VALUE"""),"Steve Rolston")</f>
        <v>Steve Rolston</v>
      </c>
      <c r="V641" s="5" t="s">
        <v>3962</v>
      </c>
      <c r="W641" s="5" t="str">
        <f t="shared" si="3"/>
        <v>Bryan Singer</v>
      </c>
      <c r="X641" s="5">
        <f t="shared" si="4"/>
        <v>1</v>
      </c>
      <c r="Y641" s="5" t="str">
        <f>IFERROR(__xludf.DUMMYFUNCTION("REGEXEXTRACT(J641, ""^\d+"")"),"1")</f>
        <v>1</v>
      </c>
      <c r="Z641" s="5" t="str">
        <f>IFERROR(__xludf.DUMMYFUNCTION("REGEXEXTRACT(J641, ""[A-Za-z ]+$"")")," Season")</f>
        <v> Season</v>
      </c>
      <c r="AA641" s="5" t="str">
        <f>IFERROR(__xludf.DUMMYFUNCTION("IF(REGEXMATCH(Z641, ""Season""), ""TV Show"", ""Movie"")"),"TV Show")</f>
        <v>TV Show</v>
      </c>
    </row>
    <row r="642">
      <c r="A642" s="1" t="s">
        <v>3963</v>
      </c>
      <c r="B642" s="1" t="s">
        <v>37</v>
      </c>
      <c r="C642" s="1" t="s">
        <v>3964</v>
      </c>
      <c r="E642" s="1" t="s">
        <v>3965</v>
      </c>
      <c r="G642" s="1" t="s">
        <v>3960</v>
      </c>
      <c r="H642" s="1">
        <v>2021.0</v>
      </c>
      <c r="I642" s="1" t="s">
        <v>42</v>
      </c>
      <c r="J642" s="1" t="s">
        <v>51</v>
      </c>
      <c r="K642" s="1" t="s">
        <v>402</v>
      </c>
      <c r="L642" s="1" t="s">
        <v>3966</v>
      </c>
      <c r="M642" s="2" t="s">
        <v>12</v>
      </c>
      <c r="N642" s="4">
        <f t="shared" si="1"/>
        <v>44371</v>
      </c>
      <c r="O642" s="5" t="str">
        <f>IFERROR(__xludf.DUMMYFUNCTION("IF(REGEXMATCH(TRIM(I642), ""^\d+\s*min""), ""Unclassified"", IF(I642 = """", ""NR"", I642))"),"TV-MA")</f>
        <v>TV-MA</v>
      </c>
      <c r="R642" s="5" t="str">
        <f t="shared" si="2"/>
        <v>Jiva!</v>
      </c>
      <c r="S642" s="5" t="str">
        <f>IFERROR(__xludf.DUMMYFUNCTION("""COMPUTED_VALUE"""),"Aruna &amp; Her Palate")</f>
        <v>Aruna &amp; Her Palate</v>
      </c>
      <c r="T642" s="5" t="str">
        <f>IFERROR(__xludf.DUMMYFUNCTION("""COMPUTED_VALUE"""),"United States, East Germany, West Germany")</f>
        <v>United States, East Germany, West Germany</v>
      </c>
      <c r="U642" s="5" t="str">
        <f>IFERROR(__xludf.DUMMYFUNCTION("""COMPUTED_VALUE"""),"Shalini Kantayya")</f>
        <v>Shalini Kantayya</v>
      </c>
      <c r="V642" s="5" t="s">
        <v>3967</v>
      </c>
      <c r="W642" s="5" t="str">
        <f t="shared" si="3"/>
        <v>Bryce Wagoner</v>
      </c>
      <c r="X642" s="5">
        <f t="shared" si="4"/>
        <v>1</v>
      </c>
      <c r="Y642" s="5" t="str">
        <f>IFERROR(__xludf.DUMMYFUNCTION("REGEXEXTRACT(J642, ""^\d+"")"),"1")</f>
        <v>1</v>
      </c>
      <c r="Z642" s="5" t="str">
        <f>IFERROR(__xludf.DUMMYFUNCTION("REGEXEXTRACT(J642, ""[A-Za-z ]+$"")")," Season")</f>
        <v> Season</v>
      </c>
      <c r="AA642" s="5" t="str">
        <f>IFERROR(__xludf.DUMMYFUNCTION("IF(REGEXMATCH(Z642, ""Season""), ""TV Show"", ""Movie"")"),"TV Show")</f>
        <v>TV Show</v>
      </c>
    </row>
    <row r="643">
      <c r="A643" s="1" t="s">
        <v>3968</v>
      </c>
      <c r="B643" s="1" t="s">
        <v>27</v>
      </c>
      <c r="C643" s="1" t="s">
        <v>3969</v>
      </c>
      <c r="G643" s="1" t="s">
        <v>3960</v>
      </c>
      <c r="H643" s="1">
        <v>2021.0</v>
      </c>
      <c r="I643" s="1" t="s">
        <v>78</v>
      </c>
      <c r="J643" s="1" t="s">
        <v>247</v>
      </c>
      <c r="K643" s="1" t="s">
        <v>645</v>
      </c>
      <c r="L643" s="1" t="s">
        <v>3970</v>
      </c>
      <c r="M643" s="2" t="s">
        <v>12</v>
      </c>
      <c r="N643" s="4">
        <f t="shared" si="1"/>
        <v>44371</v>
      </c>
      <c r="O643" s="5" t="str">
        <f>IFERROR(__xludf.DUMMYFUNCTION("IF(REGEXMATCH(TRIM(I643), ""^\d+\s*min""), ""Unclassified"", IF(I643 = """", ""NR"", I643))"),"PG")</f>
        <v>PG</v>
      </c>
      <c r="R643" s="5" t="str">
        <f t="shared" si="2"/>
        <v>Sisters On Track</v>
      </c>
      <c r="S643" s="5" t="str">
        <f>IFERROR(__xludf.DUMMYFUNCTION("""COMPUTED_VALUE"""),"As Above, So Below")</f>
        <v>As Above, So Below</v>
      </c>
      <c r="T643" s="5" t="str">
        <f>IFERROR(__xludf.DUMMYFUNCTION("""COMPUTED_VALUE"""),"United States, France")</f>
        <v>United States, France</v>
      </c>
      <c r="U643" s="5" t="str">
        <f>IFERROR(__xludf.DUMMYFUNCTION("""COMPUTED_VALUE"""),"Madonne Ashwin")</f>
        <v>Madonne Ashwin</v>
      </c>
      <c r="V643" s="5" t="s">
        <v>3971</v>
      </c>
      <c r="W643" s="5" t="str">
        <f t="shared" si="3"/>
        <v>Bryn Evans</v>
      </c>
      <c r="X643" s="5">
        <f t="shared" si="4"/>
        <v>1</v>
      </c>
      <c r="Y643" s="5" t="str">
        <f>IFERROR(__xludf.DUMMYFUNCTION("REGEXEXTRACT(J643, ""^\d+"")"),"97")</f>
        <v>97</v>
      </c>
      <c r="Z643" s="5" t="str">
        <f>IFERROR(__xludf.DUMMYFUNCTION("REGEXEXTRACT(J643, ""[A-Za-z ]+$"")")," min")</f>
        <v> min</v>
      </c>
      <c r="AA643" s="5" t="str">
        <f>IFERROR(__xludf.DUMMYFUNCTION("IF(REGEXMATCH(Z643, ""Season""), ""TV Show"", ""Movie"")"),"Movie")</f>
        <v>Movie</v>
      </c>
    </row>
    <row r="644">
      <c r="A644" s="1" t="s">
        <v>3972</v>
      </c>
      <c r="B644" s="1" t="s">
        <v>37</v>
      </c>
      <c r="C644" s="1" t="s">
        <v>3973</v>
      </c>
      <c r="E644" s="1" t="s">
        <v>3974</v>
      </c>
      <c r="F644" s="1" t="s">
        <v>415</v>
      </c>
      <c r="G644" s="1" t="s">
        <v>3960</v>
      </c>
      <c r="H644" s="1">
        <v>2021.0</v>
      </c>
      <c r="I644" s="1" t="s">
        <v>42</v>
      </c>
      <c r="J644" s="1" t="s">
        <v>43</v>
      </c>
      <c r="K644" s="1" t="s">
        <v>402</v>
      </c>
      <c r="L644" s="1" t="s">
        <v>3975</v>
      </c>
      <c r="M644" s="2" t="s">
        <v>12</v>
      </c>
      <c r="N644" s="4">
        <f t="shared" si="1"/>
        <v>44371</v>
      </c>
      <c r="O644" s="5" t="str">
        <f>IFERROR(__xludf.DUMMYFUNCTION("IF(REGEXMATCH(TRIM(I644), ""^\d+\s*min""), ""Unclassified"", IF(I644 = """", ""NR"", I644))"),"TV-MA")</f>
        <v>TV-MA</v>
      </c>
      <c r="R644" s="5" t="str">
        <f t="shared" si="2"/>
        <v>The Naked Director</v>
      </c>
      <c r="S644" s="5" t="str">
        <f>IFERROR(__xludf.DUMMYFUNCTION("""COMPUTED_VALUE"""),"As Good As It Gets")</f>
        <v>As Good As It Gets</v>
      </c>
      <c r="T644" s="5" t="str">
        <f>IFERROR(__xludf.DUMMYFUNCTION("""COMPUTED_VALUE"""),"United States, France, Canada")</f>
        <v>United States, France, Canada</v>
      </c>
      <c r="U644" s="5" t="str">
        <f>IFERROR(__xludf.DUMMYFUNCTION("""COMPUTED_VALUE"""),"Enah Johnscott")</f>
        <v>Enah Johnscott</v>
      </c>
      <c r="V644" s="5" t="s">
        <v>3976</v>
      </c>
      <c r="W644" s="5" t="str">
        <f t="shared" si="3"/>
        <v>Buchi Babu Sana</v>
      </c>
      <c r="X644" s="5">
        <f t="shared" si="4"/>
        <v>1</v>
      </c>
      <c r="Y644" s="5" t="str">
        <f>IFERROR(__xludf.DUMMYFUNCTION("REGEXEXTRACT(J644, ""^\d+"")"),"2")</f>
        <v>2</v>
      </c>
      <c r="Z644" s="5" t="str">
        <f>IFERROR(__xludf.DUMMYFUNCTION("REGEXEXTRACT(J644, ""[A-Za-z ]+$"")")," Seasons")</f>
        <v> Seasons</v>
      </c>
      <c r="AA644" s="5" t="str">
        <f>IFERROR(__xludf.DUMMYFUNCTION("IF(REGEXMATCH(Z644, ""Season""), ""TV Show"", ""Movie"")"),"TV Show")</f>
        <v>TV Show</v>
      </c>
    </row>
    <row r="645">
      <c r="A645" s="1" t="s">
        <v>3977</v>
      </c>
      <c r="B645" s="1" t="s">
        <v>27</v>
      </c>
      <c r="C645" s="1" t="s">
        <v>3978</v>
      </c>
      <c r="D645" s="1" t="s">
        <v>3979</v>
      </c>
      <c r="E645" s="1" t="s">
        <v>3980</v>
      </c>
      <c r="F645" s="1" t="s">
        <v>30</v>
      </c>
      <c r="G645" s="1" t="s">
        <v>3960</v>
      </c>
      <c r="H645" s="1">
        <v>2021.0</v>
      </c>
      <c r="I645" s="1" t="s">
        <v>378</v>
      </c>
      <c r="J645" s="1" t="s">
        <v>630</v>
      </c>
      <c r="K645" s="1" t="s">
        <v>1551</v>
      </c>
      <c r="L645" s="1" t="s">
        <v>3981</v>
      </c>
      <c r="M645" s="2" t="s">
        <v>12</v>
      </c>
      <c r="N645" s="4">
        <f t="shared" si="1"/>
        <v>44371</v>
      </c>
      <c r="O645" s="5" t="str">
        <f>IFERROR(__xludf.DUMMYFUNCTION("IF(REGEXMATCH(TRIM(I645), ""^\d+\s*min""), ""Unclassified"", IF(I645 = """", ""NR"", I645))"),"R")</f>
        <v>R</v>
      </c>
      <c r="R645" s="5" t="str">
        <f t="shared" si="2"/>
        <v>The Seventh Day</v>
      </c>
      <c r="S645" s="5" t="str">
        <f>IFERROR(__xludf.DUMMYFUNCTION("""COMPUTED_VALUE"""),"Ascharyachakit!")</f>
        <v>Ascharyachakit!</v>
      </c>
      <c r="T645" s="5" t="str">
        <f>IFERROR(__xludf.DUMMYFUNCTION("""COMPUTED_VALUE"""),"United States, France, Canada, Belgium")</f>
        <v>United States, France, Canada, Belgium</v>
      </c>
      <c r="U645" s="5" t="str">
        <f>IFERROR(__xludf.DUMMYFUNCTION("""COMPUTED_VALUE"""),"Braden R. Duemmler")</f>
        <v>Braden R. Duemmler</v>
      </c>
      <c r="V645" s="5" t="s">
        <v>3982</v>
      </c>
      <c r="W645" s="5" t="str">
        <f t="shared" si="3"/>
        <v>Buddhadev Dasgupta</v>
      </c>
      <c r="X645" s="5">
        <f t="shared" si="4"/>
        <v>1</v>
      </c>
      <c r="Y645" s="5" t="str">
        <f>IFERROR(__xludf.DUMMYFUNCTION("REGEXEXTRACT(J645, ""^\d+"")"),"87")</f>
        <v>87</v>
      </c>
      <c r="Z645" s="5" t="str">
        <f>IFERROR(__xludf.DUMMYFUNCTION("REGEXEXTRACT(J645, ""[A-Za-z ]+$"")")," min")</f>
        <v> min</v>
      </c>
      <c r="AA645" s="5" t="str">
        <f>IFERROR(__xludf.DUMMYFUNCTION("IF(REGEXMATCH(Z645, ""Season""), ""TV Show"", ""Movie"")"),"Movie")</f>
        <v>Movie</v>
      </c>
    </row>
    <row r="646">
      <c r="A646" s="1" t="s">
        <v>3983</v>
      </c>
      <c r="B646" s="1" t="s">
        <v>27</v>
      </c>
      <c r="C646" s="1" t="s">
        <v>3984</v>
      </c>
      <c r="D646" s="1" t="s">
        <v>3985</v>
      </c>
      <c r="E646" s="1" t="s">
        <v>3986</v>
      </c>
      <c r="G646" s="1" t="s">
        <v>3987</v>
      </c>
      <c r="H646" s="1">
        <v>2021.0</v>
      </c>
      <c r="I646" s="1" t="s">
        <v>42</v>
      </c>
      <c r="J646" s="1" t="s">
        <v>170</v>
      </c>
      <c r="K646" s="1" t="s">
        <v>813</v>
      </c>
      <c r="L646" s="1" t="s">
        <v>3988</v>
      </c>
      <c r="M646" s="2" t="s">
        <v>12</v>
      </c>
      <c r="N646" s="4">
        <f t="shared" si="1"/>
        <v>44370</v>
      </c>
      <c r="O646" s="5" t="str">
        <f>IFERROR(__xludf.DUMMYFUNCTION("IF(REGEXMATCH(TRIM(I646), ""^\d+\s*min""), ""Unclassified"", IF(I646 = """", ""NR"", I646))"),"TV-MA")</f>
        <v>TV-MA</v>
      </c>
      <c r="R646" s="5" t="str">
        <f t="shared" si="2"/>
        <v>Good On Paper</v>
      </c>
      <c r="S646" s="5" t="str">
        <f>IFERROR(__xludf.DUMMYFUNCTION("""COMPUTED_VALUE"""),"Asees")</f>
        <v>Asees</v>
      </c>
      <c r="T646" s="5" t="str">
        <f>IFERROR(__xludf.DUMMYFUNCTION("""COMPUTED_VALUE"""),"United States, France, Canada, Lebanon, Qatar")</f>
        <v>United States, France, Canada, Lebanon, Qatar</v>
      </c>
      <c r="U646" s="5" t="str">
        <f>IFERROR(__xludf.DUMMYFUNCTION("""COMPUTED_VALUE"""),"Cal Brunker")</f>
        <v>Cal Brunker</v>
      </c>
      <c r="V646" s="5" t="s">
        <v>3989</v>
      </c>
      <c r="W646" s="5" t="str">
        <f t="shared" si="3"/>
        <v>Bumpy</v>
      </c>
      <c r="X646" s="5">
        <f t="shared" si="4"/>
        <v>1</v>
      </c>
      <c r="Y646" s="5" t="str">
        <f>IFERROR(__xludf.DUMMYFUNCTION("REGEXEXTRACT(J646, ""^\d+"")"),"94")</f>
        <v>94</v>
      </c>
      <c r="Z646" s="5" t="str">
        <f>IFERROR(__xludf.DUMMYFUNCTION("REGEXEXTRACT(J646, ""[A-Za-z ]+$"")")," min")</f>
        <v> min</v>
      </c>
      <c r="AA646" s="5" t="str">
        <f>IFERROR(__xludf.DUMMYFUNCTION("IF(REGEXMATCH(Z646, ""Season""), ""TV Show"", ""Movie"")"),"Movie")</f>
        <v>Movie</v>
      </c>
    </row>
    <row r="647">
      <c r="A647" s="1" t="s">
        <v>3990</v>
      </c>
      <c r="B647" s="1" t="s">
        <v>27</v>
      </c>
      <c r="C647" s="1" t="s">
        <v>3991</v>
      </c>
      <c r="D647" s="1" t="s">
        <v>3992</v>
      </c>
      <c r="G647" s="1" t="s">
        <v>3987</v>
      </c>
      <c r="H647" s="1">
        <v>2021.0</v>
      </c>
      <c r="I647" s="1" t="s">
        <v>97</v>
      </c>
      <c r="J647" s="1" t="s">
        <v>1191</v>
      </c>
      <c r="K647" s="1" t="s">
        <v>156</v>
      </c>
      <c r="L647" s="1" t="s">
        <v>3993</v>
      </c>
      <c r="M647" s="2" t="s">
        <v>12</v>
      </c>
      <c r="N647" s="4">
        <f t="shared" si="1"/>
        <v>44370</v>
      </c>
      <c r="O647" s="5" t="str">
        <f>IFERROR(__xludf.DUMMYFUNCTION("IF(REGEXMATCH(TRIM(I647), ""^\d+\s*min""), ""Unclassified"", IF(I647 = """", ""NR"", I647))"),"TV-14")</f>
        <v>TV-14</v>
      </c>
      <c r="R647" s="5" t="str">
        <f t="shared" si="2"/>
        <v>Murder By The Coast</v>
      </c>
      <c r="S647" s="5" t="str">
        <f>IFERROR(__xludf.DUMMYFUNCTION("""COMPUTED_VALUE"""),"Ash Vs. Evil Dead")</f>
        <v>Ash Vs. Evil Dead</v>
      </c>
      <c r="T647" s="5" t="str">
        <f>IFERROR(__xludf.DUMMYFUNCTION("""COMPUTED_VALUE"""),"United States, France, Canada, Spain")</f>
        <v>United States, France, Canada, Spain</v>
      </c>
      <c r="U647" s="5" t="str">
        <f>IFERROR(__xludf.DUMMYFUNCTION("""COMPUTED_VALUE"""),"Steve Pink")</f>
        <v>Steve Pink</v>
      </c>
      <c r="V647" s="5" t="s">
        <v>385</v>
      </c>
      <c r="W647" s="5" t="str">
        <f t="shared" si="3"/>
        <v>Bunmi Ajakaiye</v>
      </c>
      <c r="X647" s="5">
        <f t="shared" si="4"/>
        <v>2</v>
      </c>
      <c r="Y647" s="5" t="str">
        <f>IFERROR(__xludf.DUMMYFUNCTION("REGEXEXTRACT(J647, ""^\d+"")"),"89")</f>
        <v>89</v>
      </c>
      <c r="Z647" s="5" t="str">
        <f>IFERROR(__xludf.DUMMYFUNCTION("REGEXEXTRACT(J647, ""[A-Za-z ]+$"")")," min")</f>
        <v> min</v>
      </c>
      <c r="AA647" s="5" t="str">
        <f>IFERROR(__xludf.DUMMYFUNCTION("IF(REGEXMATCH(Z647, ""Season""), ""TV Show"", ""Movie"")"),"Movie")</f>
        <v>Movie</v>
      </c>
    </row>
    <row r="648">
      <c r="A648" s="1" t="s">
        <v>3994</v>
      </c>
      <c r="B648" s="1" t="s">
        <v>27</v>
      </c>
      <c r="C648" s="1" t="s">
        <v>3995</v>
      </c>
      <c r="D648" s="1" t="s">
        <v>3996</v>
      </c>
      <c r="E648" s="1" t="s">
        <v>3997</v>
      </c>
      <c r="G648" s="1" t="s">
        <v>3987</v>
      </c>
      <c r="H648" s="1">
        <v>2021.0</v>
      </c>
      <c r="I648" s="1" t="s">
        <v>42</v>
      </c>
      <c r="J648" s="1" t="s">
        <v>428</v>
      </c>
      <c r="K648" s="1" t="s">
        <v>230</v>
      </c>
      <c r="L648" s="1" t="s">
        <v>3998</v>
      </c>
      <c r="M648" s="2" t="s">
        <v>12</v>
      </c>
      <c r="N648" s="4">
        <f t="shared" si="1"/>
        <v>44370</v>
      </c>
      <c r="O648" s="5" t="str">
        <f>IFERROR(__xludf.DUMMYFUNCTION("IF(REGEXMATCH(TRIM(I648), ""^\d+\s*min""), ""Unclassified"", IF(I648 = """", ""NR"", I648))"),"TV-MA")</f>
        <v>TV-MA</v>
      </c>
      <c r="R648" s="5" t="str">
        <f t="shared" si="2"/>
        <v>The House Of Flowers: The Movie</v>
      </c>
      <c r="S648" s="5" t="str">
        <f>IFERROR(__xludf.DUMMYFUNCTION("""COMPUTED_VALUE"""),"Ashes Of Love")</f>
        <v>Ashes Of Love</v>
      </c>
      <c r="T648" s="5" t="str">
        <f>IFERROR(__xludf.DUMMYFUNCTION("""COMPUTED_VALUE"""),"United States, France, Denmark")</f>
        <v>United States, France, Denmark</v>
      </c>
      <c r="U648" s="5" t="str">
        <f>IFERROR(__xludf.DUMMYFUNCTION("""COMPUTED_VALUE"""),"Xiao Feng")</f>
        <v>Xiao Feng</v>
      </c>
      <c r="V648" s="5" t="s">
        <v>3999</v>
      </c>
      <c r="W648" s="5" t="str">
        <f t="shared" si="3"/>
        <v>Burak Aksak</v>
      </c>
      <c r="X648" s="5">
        <f t="shared" si="4"/>
        <v>3</v>
      </c>
      <c r="Y648" s="5" t="str">
        <f>IFERROR(__xludf.DUMMYFUNCTION("REGEXEXTRACT(J648, ""^\d+"")"),"88")</f>
        <v>88</v>
      </c>
      <c r="Z648" s="5" t="str">
        <f>IFERROR(__xludf.DUMMYFUNCTION("REGEXEXTRACT(J648, ""[A-Za-z ]+$"")")," min")</f>
        <v> min</v>
      </c>
      <c r="AA648" s="5" t="str">
        <f>IFERROR(__xludf.DUMMYFUNCTION("IF(REGEXMATCH(Z648, ""Season""), ""TV Show"", ""Movie"")"),"Movie")</f>
        <v>Movie</v>
      </c>
    </row>
    <row r="649">
      <c r="A649" s="1" t="s">
        <v>4000</v>
      </c>
      <c r="B649" s="1" t="s">
        <v>37</v>
      </c>
      <c r="C649" s="1" t="s">
        <v>4001</v>
      </c>
      <c r="E649" s="1" t="s">
        <v>4002</v>
      </c>
      <c r="G649" s="1" t="s">
        <v>3987</v>
      </c>
      <c r="H649" s="1">
        <v>2021.0</v>
      </c>
      <c r="I649" s="1" t="s">
        <v>506</v>
      </c>
      <c r="J649" s="1" t="s">
        <v>51</v>
      </c>
      <c r="K649" s="1" t="s">
        <v>1520</v>
      </c>
      <c r="L649" s="1" t="s">
        <v>4003</v>
      </c>
      <c r="M649" s="2" t="s">
        <v>12</v>
      </c>
      <c r="N649" s="4">
        <f t="shared" si="1"/>
        <v>44370</v>
      </c>
      <c r="O649" s="5" t="str">
        <f>IFERROR(__xludf.DUMMYFUNCTION("IF(REGEXMATCH(TRIM(I649), ""^\d+\s*min""), ""Unclassified"", IF(I649 = """", ""NR"", I649))"),"TV-G")</f>
        <v>TV-G</v>
      </c>
      <c r="R649" s="5" t="str">
        <f t="shared" si="2"/>
        <v>The Parisian Agency: Exclusive Properties</v>
      </c>
      <c r="S649" s="5" t="str">
        <f>IFERROR(__xludf.DUMMYFUNCTION("""COMPUTED_VALUE"""),"Aşk Tesadüfleri Sever")</f>
        <v>Aşk Tesadüfleri Sever</v>
      </c>
      <c r="T649" s="5" t="str">
        <f>IFERROR(__xludf.DUMMYFUNCTION("""COMPUTED_VALUE"""),"United States, France, Italy, United Kingdom")</f>
        <v>United States, France, Italy, United Kingdom</v>
      </c>
      <c r="U649" s="5" t="str">
        <f>IFERROR(__xludf.DUMMYFUNCTION("""COMPUTED_VALUE"""),"Ricky Staub")</f>
        <v>Ricky Staub</v>
      </c>
      <c r="V649" s="5" t="s">
        <v>4004</v>
      </c>
      <c r="W649" s="5" t="str">
        <f t="shared" si="3"/>
        <v>Burhan Qurbani</v>
      </c>
      <c r="X649" s="5">
        <f t="shared" si="4"/>
        <v>1</v>
      </c>
      <c r="Y649" s="5" t="str">
        <f>IFERROR(__xludf.DUMMYFUNCTION("REGEXEXTRACT(J649, ""^\d+"")"),"1")</f>
        <v>1</v>
      </c>
      <c r="Z649" s="5" t="str">
        <f>IFERROR(__xludf.DUMMYFUNCTION("REGEXEXTRACT(J649, ""[A-Za-z ]+$"")")," Season")</f>
        <v> Season</v>
      </c>
      <c r="AA649" s="5" t="str">
        <f>IFERROR(__xludf.DUMMYFUNCTION("IF(REGEXMATCH(Z649, ""Season""), ""TV Show"", ""Movie"")"),"TV Show")</f>
        <v>TV Show</v>
      </c>
    </row>
    <row r="650">
      <c r="A650" s="1" t="s">
        <v>4005</v>
      </c>
      <c r="B650" s="1" t="s">
        <v>37</v>
      </c>
      <c r="C650" s="1" t="s">
        <v>4006</v>
      </c>
      <c r="E650" s="1" t="s">
        <v>4007</v>
      </c>
      <c r="F650" s="1" t="s">
        <v>30</v>
      </c>
      <c r="G650" s="1" t="s">
        <v>3987</v>
      </c>
      <c r="H650" s="1">
        <v>2021.0</v>
      </c>
      <c r="I650" s="1" t="s">
        <v>42</v>
      </c>
      <c r="J650" s="1" t="s">
        <v>43</v>
      </c>
      <c r="K650" s="1" t="s">
        <v>4008</v>
      </c>
      <c r="L650" s="1" t="s">
        <v>4009</v>
      </c>
      <c r="M650" s="2" t="s">
        <v>12</v>
      </c>
      <c r="N650" s="4">
        <f t="shared" si="1"/>
        <v>44370</v>
      </c>
      <c r="O650" s="5" t="str">
        <f>IFERROR(__xludf.DUMMYFUNCTION("IF(REGEXMATCH(TRIM(I650), ""^\d+\s*min""), ""Unclassified"", IF(I650 = """", ""NR"", I650))"),"TV-MA")</f>
        <v>TV-MA</v>
      </c>
      <c r="R650" s="5" t="str">
        <f t="shared" si="2"/>
        <v>Too Hot To Handle</v>
      </c>
      <c r="S650" s="5" t="str">
        <f>IFERROR(__xludf.DUMMYFUNCTION("""COMPUTED_VALUE"""),"Ask The Doctor")</f>
        <v>Ask The Doctor</v>
      </c>
      <c r="T650" s="5" t="str">
        <f>IFERROR(__xludf.DUMMYFUNCTION("""COMPUTED_VALUE"""),"United States, France, Japan")</f>
        <v>United States, France, Japan</v>
      </c>
      <c r="U650" s="5" t="str">
        <f>IFERROR(__xludf.DUMMYFUNCTION("""COMPUTED_VALUE"""),"Patrick Durham, Paul G. Volk")</f>
        <v>Patrick Durham, Paul G. Volk</v>
      </c>
      <c r="V650" s="5" t="s">
        <v>4010</v>
      </c>
      <c r="W650" s="5" t="str">
        <f t="shared" si="3"/>
        <v>Burr Steers</v>
      </c>
      <c r="X650" s="5">
        <f t="shared" si="4"/>
        <v>1</v>
      </c>
      <c r="Y650" s="5" t="str">
        <f>IFERROR(__xludf.DUMMYFUNCTION("REGEXEXTRACT(J650, ""^\d+"")"),"2")</f>
        <v>2</v>
      </c>
      <c r="Z650" s="5" t="str">
        <f>IFERROR(__xludf.DUMMYFUNCTION("REGEXEXTRACT(J650, ""[A-Za-z ]+$"")")," Seasons")</f>
        <v> Seasons</v>
      </c>
      <c r="AA650" s="5" t="str">
        <f>IFERROR(__xludf.DUMMYFUNCTION("IF(REGEXMATCH(Z650, ""Season""), ""TV Show"", ""Movie"")"),"TV Show")</f>
        <v>TV Show</v>
      </c>
    </row>
    <row r="651">
      <c r="A651" s="1" t="s">
        <v>4011</v>
      </c>
      <c r="B651" s="1" t="s">
        <v>27</v>
      </c>
      <c r="C651" s="1" t="s">
        <v>4012</v>
      </c>
      <c r="D651" s="1" t="s">
        <v>2422</v>
      </c>
      <c r="E651" s="1" t="s">
        <v>4013</v>
      </c>
      <c r="G651" s="1" t="s">
        <v>4014</v>
      </c>
      <c r="H651" s="1">
        <v>2019.0</v>
      </c>
      <c r="I651" s="1" t="s">
        <v>97</v>
      </c>
      <c r="J651" s="1" t="s">
        <v>912</v>
      </c>
      <c r="K651" s="1" t="s">
        <v>679</v>
      </c>
      <c r="L651" s="1" t="s">
        <v>4015</v>
      </c>
      <c r="M651" s="2" t="s">
        <v>12</v>
      </c>
      <c r="N651" s="4">
        <f t="shared" si="1"/>
        <v>44369</v>
      </c>
      <c r="O651" s="5" t="str">
        <f>IFERROR(__xludf.DUMMYFUNCTION("IF(REGEXMATCH(TRIM(I651), ""^\d+\s*min""), ""Unclassified"", IF(I651 = """", ""NR"", I651))"),"TV-14")</f>
        <v>TV-14</v>
      </c>
      <c r="R651" s="5" t="str">
        <f t="shared" si="2"/>
        <v>Broken</v>
      </c>
      <c r="S651" s="5" t="str">
        <f>IFERROR(__xludf.DUMMYFUNCTION("""COMPUTED_VALUE"""),"Ask The Storybots")</f>
        <v>Ask The Storybots</v>
      </c>
      <c r="T651" s="5" t="str">
        <f>IFERROR(__xludf.DUMMYFUNCTION("""COMPUTED_VALUE"""),"United States, France, Mexico")</f>
        <v>United States, France, Mexico</v>
      </c>
      <c r="U651" s="5" t="str">
        <f>IFERROR(__xludf.DUMMYFUNCTION("""COMPUTED_VALUE"""),"Bb Sasore")</f>
        <v>Bb Sasore</v>
      </c>
      <c r="V651" s="5" t="s">
        <v>4016</v>
      </c>
      <c r="W651" s="5" t="str">
        <f t="shared" si="3"/>
        <v>Buta Singh</v>
      </c>
      <c r="X651" s="5">
        <f t="shared" si="4"/>
        <v>1</v>
      </c>
      <c r="Y651" s="5" t="str">
        <f>IFERROR(__xludf.DUMMYFUNCTION("REGEXEXTRACT(J651, ""^\d+"")"),"108")</f>
        <v>108</v>
      </c>
      <c r="Z651" s="5" t="str">
        <f>IFERROR(__xludf.DUMMYFUNCTION("REGEXEXTRACT(J651, ""[A-Za-z ]+$"")")," min")</f>
        <v> min</v>
      </c>
      <c r="AA651" s="5" t="str">
        <f>IFERROR(__xludf.DUMMYFUNCTION("IF(REGEXMATCH(Z651, ""Season""), ""TV Show"", ""Movie"")"),"Movie")</f>
        <v>Movie</v>
      </c>
    </row>
    <row r="652">
      <c r="A652" s="1" t="s">
        <v>4017</v>
      </c>
      <c r="B652" s="1" t="s">
        <v>27</v>
      </c>
      <c r="C652" s="1" t="s">
        <v>4018</v>
      </c>
      <c r="D652" s="1" t="s">
        <v>4019</v>
      </c>
      <c r="E652" s="1" t="s">
        <v>4020</v>
      </c>
      <c r="F652" s="1" t="s">
        <v>1992</v>
      </c>
      <c r="G652" s="1" t="s">
        <v>4014</v>
      </c>
      <c r="H652" s="1">
        <v>2016.0</v>
      </c>
      <c r="I652" s="1" t="s">
        <v>97</v>
      </c>
      <c r="J652" s="1" t="s">
        <v>322</v>
      </c>
      <c r="K652" s="1" t="s">
        <v>128</v>
      </c>
      <c r="L652" s="1" t="s">
        <v>4021</v>
      </c>
      <c r="M652" s="2" t="s">
        <v>12</v>
      </c>
      <c r="N652" s="4">
        <f t="shared" si="1"/>
        <v>44369</v>
      </c>
      <c r="O652" s="5" t="str">
        <f>IFERROR(__xludf.DUMMYFUNCTION("IF(REGEXMATCH(TRIM(I652), ""^\d+\s*min""), ""Unclassified"", IF(I652 = """", ""NR"", I652))"),"TV-14")</f>
        <v>TV-14</v>
      </c>
      <c r="R652" s="5" t="str">
        <f t="shared" si="2"/>
        <v>O Vendedor De Sonhos</v>
      </c>
      <c r="S652" s="5" t="str">
        <f>IFERROR(__xludf.DUMMYFUNCTION("""COMPUTED_VALUE"""),"Asmaa")</f>
        <v>Asmaa</v>
      </c>
      <c r="T652" s="5" t="str">
        <f>IFERROR(__xludf.DUMMYFUNCTION("""COMPUTED_VALUE"""),"United States, France, Serbia")</f>
        <v>United States, France, Serbia</v>
      </c>
      <c r="U652" s="5" t="str">
        <f>IFERROR(__xludf.DUMMYFUNCTION("""COMPUTED_VALUE"""),"Naseef Yusuf Izuddin")</f>
        <v>Naseef Yusuf Izuddin</v>
      </c>
      <c r="V652" s="5" t="s">
        <v>4022</v>
      </c>
      <c r="W652" s="5" t="str">
        <f t="shared" si="3"/>
        <v>Buz Wallick</v>
      </c>
      <c r="X652" s="5">
        <f t="shared" si="4"/>
        <v>1</v>
      </c>
      <c r="Y652" s="5" t="str">
        <f>IFERROR(__xludf.DUMMYFUNCTION("REGEXEXTRACT(J652, ""^\d+"")"),"96")</f>
        <v>96</v>
      </c>
      <c r="Z652" s="5" t="str">
        <f>IFERROR(__xludf.DUMMYFUNCTION("REGEXEXTRACT(J652, ""[A-Za-z ]+$"")")," min")</f>
        <v> min</v>
      </c>
      <c r="AA652" s="5" t="str">
        <f>IFERROR(__xludf.DUMMYFUNCTION("IF(REGEXMATCH(Z652, ""Season""), ""TV Show"", ""Movie"")"),"Movie")</f>
        <v>Movie</v>
      </c>
    </row>
    <row r="653">
      <c r="A653" s="1" t="s">
        <v>4023</v>
      </c>
      <c r="B653" s="1" t="s">
        <v>27</v>
      </c>
      <c r="C653" s="1" t="s">
        <v>4024</v>
      </c>
      <c r="D653" s="1" t="s">
        <v>4025</v>
      </c>
      <c r="E653" s="1" t="s">
        <v>4026</v>
      </c>
      <c r="F653" s="1" t="s">
        <v>400</v>
      </c>
      <c r="G653" s="1" t="s">
        <v>4014</v>
      </c>
      <c r="H653" s="1">
        <v>2003.0</v>
      </c>
      <c r="I653" s="1" t="s">
        <v>42</v>
      </c>
      <c r="J653" s="1" t="s">
        <v>1608</v>
      </c>
      <c r="K653" s="1" t="s">
        <v>583</v>
      </c>
      <c r="L653" s="1" t="s">
        <v>4027</v>
      </c>
      <c r="M653" s="2" t="s">
        <v>12</v>
      </c>
      <c r="N653" s="4">
        <f t="shared" si="1"/>
        <v>44369</v>
      </c>
      <c r="O653" s="5" t="str">
        <f>IFERROR(__xludf.DUMMYFUNCTION("IF(REGEXMATCH(TRIM(I653), ""^\d+\s*min""), ""Unclassified"", IF(I653 = """", ""NR"", I653))"),"TV-MA")</f>
        <v>TV-MA</v>
      </c>
      <c r="R653" s="5" t="str">
        <f t="shared" si="2"/>
        <v>Osuofia In London</v>
      </c>
      <c r="S653" s="5" t="str">
        <f>IFERROR(__xludf.DUMMYFUNCTION("""COMPUTED_VALUE"""),"Asoka")</f>
        <v>Asoka</v>
      </c>
      <c r="T653" s="5" t="str">
        <f>IFERROR(__xludf.DUMMYFUNCTION("""COMPUTED_VALUE"""),"United States, France, South Korea, Indonesia")</f>
        <v>United States, France, South Korea, Indonesia</v>
      </c>
      <c r="U653" s="5" t="str">
        <f>IFERROR(__xludf.DUMMYFUNCTION("""COMPUTED_VALUE"""),"Appie Boudellah, Aram Van De Rest")</f>
        <v>Appie Boudellah, Aram Van De Rest</v>
      </c>
      <c r="V653" s="5" t="s">
        <v>4028</v>
      </c>
      <c r="W653" s="5" t="str">
        <f t="shared" si="3"/>
        <v>Buzz Kulik</v>
      </c>
      <c r="X653" s="5">
        <f t="shared" si="4"/>
        <v>1</v>
      </c>
      <c r="Y653" s="5" t="str">
        <f>IFERROR(__xludf.DUMMYFUNCTION("REGEXEXTRACT(J653, ""^\d+"")"),"84")</f>
        <v>84</v>
      </c>
      <c r="Z653" s="5" t="str">
        <f>IFERROR(__xludf.DUMMYFUNCTION("REGEXEXTRACT(J653, ""[A-Za-z ]+$"")")," min")</f>
        <v> min</v>
      </c>
      <c r="AA653" s="5" t="str">
        <f>IFERROR(__xludf.DUMMYFUNCTION("IF(REGEXMATCH(Z653, ""Season""), ""TV Show"", ""Movie"")"),"Movie")</f>
        <v>Movie</v>
      </c>
    </row>
    <row r="654">
      <c r="A654" s="1" t="s">
        <v>4029</v>
      </c>
      <c r="B654" s="1" t="s">
        <v>27</v>
      </c>
      <c r="C654" s="1" t="s">
        <v>4030</v>
      </c>
      <c r="D654" s="1" t="s">
        <v>4025</v>
      </c>
      <c r="E654" s="1" t="s">
        <v>4026</v>
      </c>
      <c r="G654" s="1" t="s">
        <v>4014</v>
      </c>
      <c r="H654" s="1">
        <v>2004.0</v>
      </c>
      <c r="I654" s="1" t="s">
        <v>97</v>
      </c>
      <c r="J654" s="1" t="s">
        <v>1583</v>
      </c>
      <c r="K654" s="1" t="s">
        <v>583</v>
      </c>
      <c r="L654" s="1" t="s">
        <v>4031</v>
      </c>
      <c r="M654" s="2" t="s">
        <v>12</v>
      </c>
      <c r="N654" s="4">
        <f t="shared" si="1"/>
        <v>44369</v>
      </c>
      <c r="O654" s="5" t="str">
        <f>IFERROR(__xludf.DUMMYFUNCTION("IF(REGEXMATCH(TRIM(I654), ""^\d+\s*min""), ""Unclassified"", IF(I654 = """", ""NR"", I654))"),"TV-14")</f>
        <v>TV-14</v>
      </c>
      <c r="R654" s="5" t="str">
        <f t="shared" si="2"/>
        <v>Osuofia In London Ii</v>
      </c>
      <c r="S654" s="5" t="str">
        <f>IFERROR(__xludf.DUMMYFUNCTION("""COMPUTED_VALUE"""),"Asperger'S Are Us")</f>
        <v>Asperger'S Are Us</v>
      </c>
      <c r="T654" s="5" t="str">
        <f>IFERROR(__xludf.DUMMYFUNCTION("""COMPUTED_VALUE"""),"United States, France, United Kingdom")</f>
        <v>United States, France, United Kingdom</v>
      </c>
      <c r="U654" s="5" t="str">
        <f>IFERROR(__xludf.DUMMYFUNCTION("""COMPUTED_VALUE"""),"Sylvie Verheyde")</f>
        <v>Sylvie Verheyde</v>
      </c>
      <c r="V654" s="5" t="s">
        <v>4032</v>
      </c>
      <c r="W654" s="5" t="str">
        <f t="shared" si="3"/>
        <v>Byeon Hee-Sun</v>
      </c>
      <c r="X654" s="5">
        <f t="shared" si="4"/>
        <v>1</v>
      </c>
      <c r="Y654" s="5" t="str">
        <f>IFERROR(__xludf.DUMMYFUNCTION("REGEXEXTRACT(J654, ""^\d+"")"),"70")</f>
        <v>70</v>
      </c>
      <c r="Z654" s="5" t="str">
        <f>IFERROR(__xludf.DUMMYFUNCTION("REGEXEXTRACT(J654, ""[A-Za-z ]+$"")")," min")</f>
        <v> min</v>
      </c>
      <c r="AA654" s="5" t="str">
        <f>IFERROR(__xludf.DUMMYFUNCTION("IF(REGEXMATCH(Z654, ""Season""), ""TV Show"", ""Movie"")"),"Movie")</f>
        <v>Movie</v>
      </c>
    </row>
    <row r="655">
      <c r="A655" s="1" t="s">
        <v>4033</v>
      </c>
      <c r="B655" s="1" t="s">
        <v>37</v>
      </c>
      <c r="C655" s="1" t="s">
        <v>4034</v>
      </c>
      <c r="G655" s="1" t="s">
        <v>4014</v>
      </c>
      <c r="H655" s="1">
        <v>2021.0</v>
      </c>
      <c r="I655" s="1" t="s">
        <v>42</v>
      </c>
      <c r="J655" s="1" t="s">
        <v>51</v>
      </c>
      <c r="K655" s="1" t="s">
        <v>507</v>
      </c>
      <c r="L655" s="1" t="s">
        <v>4035</v>
      </c>
      <c r="M655" s="2" t="s">
        <v>12</v>
      </c>
      <c r="N655" s="4">
        <f t="shared" si="1"/>
        <v>44369</v>
      </c>
      <c r="O655" s="5" t="str">
        <f>IFERROR(__xludf.DUMMYFUNCTION("IF(REGEXMATCH(TRIM(I655), ""^\d+\s*min""), ""Unclassified"", IF(I655 = """", ""NR"", I655))"),"TV-MA")</f>
        <v>TV-MA</v>
      </c>
      <c r="R655" s="5" t="str">
        <f t="shared" si="2"/>
        <v>This Is Pop</v>
      </c>
      <c r="S655" s="5" t="str">
        <f>IFERROR(__xludf.DUMMYFUNCTION("""COMPUTED_VALUE"""),"Asphalt Burning")</f>
        <v>Asphalt Burning</v>
      </c>
      <c r="T655" s="5" t="str">
        <f>IFERROR(__xludf.DUMMYFUNCTION("""COMPUTED_VALUE"""),"United States, France, United Kingdom, Japan")</f>
        <v>United States, France, United Kingdom, Japan</v>
      </c>
      <c r="U655" s="5" t="str">
        <f>IFERROR(__xludf.DUMMYFUNCTION("""COMPUTED_VALUE"""),"Nick Moore")</f>
        <v>Nick Moore</v>
      </c>
      <c r="V655" s="5" t="s">
        <v>4036</v>
      </c>
      <c r="W655" s="5" t="str">
        <f t="shared" si="3"/>
        <v>Byron Howard, Chris Williams</v>
      </c>
      <c r="X655" s="5">
        <f t="shared" si="4"/>
        <v>1</v>
      </c>
      <c r="Y655" s="5" t="str">
        <f>IFERROR(__xludf.DUMMYFUNCTION("REGEXEXTRACT(J655, ""^\d+"")"),"1")</f>
        <v>1</v>
      </c>
      <c r="Z655" s="5" t="str">
        <f>IFERROR(__xludf.DUMMYFUNCTION("REGEXEXTRACT(J655, ""[A-Za-z ]+$"")")," Season")</f>
        <v> Season</v>
      </c>
      <c r="AA655" s="5" t="str">
        <f>IFERROR(__xludf.DUMMYFUNCTION("IF(REGEXMATCH(Z655, ""Season""), ""TV Show"", ""Movie"")"),"TV Show")</f>
        <v>TV Show</v>
      </c>
    </row>
    <row r="656">
      <c r="A656" s="1" t="s">
        <v>4037</v>
      </c>
      <c r="B656" s="1" t="s">
        <v>27</v>
      </c>
      <c r="C656" s="1" t="s">
        <v>4038</v>
      </c>
      <c r="D656" s="1" t="s">
        <v>4039</v>
      </c>
      <c r="E656" s="1" t="s">
        <v>4040</v>
      </c>
      <c r="F656" s="1" t="s">
        <v>4041</v>
      </c>
      <c r="G656" s="1" t="s">
        <v>4042</v>
      </c>
      <c r="H656" s="1">
        <v>2014.0</v>
      </c>
      <c r="I656" s="1" t="s">
        <v>42</v>
      </c>
      <c r="J656" s="1" t="s">
        <v>88</v>
      </c>
      <c r="K656" s="1" t="s">
        <v>583</v>
      </c>
      <c r="L656" s="1" t="s">
        <v>4043</v>
      </c>
      <c r="M656" s="2" t="s">
        <v>12</v>
      </c>
      <c r="N656" s="4">
        <f t="shared" si="1"/>
        <v>44368</v>
      </c>
      <c r="O656" s="5" t="str">
        <f>IFERROR(__xludf.DUMMYFUNCTION("IF(REGEXMATCH(TRIM(I656), ""^\d+\s*min""), ""Unclassified"", IF(I656 = """", ""NR"", I656))"),"TV-MA")</f>
        <v>TV-MA</v>
      </c>
      <c r="R656" s="5" t="str">
        <f t="shared" si="2"/>
        <v>#Selfie</v>
      </c>
      <c r="S656" s="5" t="str">
        <f>IFERROR(__xludf.DUMMYFUNCTION("""COMPUTED_VALUE"""),"Assimilate")</f>
        <v>Assimilate</v>
      </c>
      <c r="T656" s="5" t="str">
        <f>IFERROR(__xludf.DUMMYFUNCTION("""COMPUTED_VALUE"""),"United States, Germany")</f>
        <v>United States, Germany</v>
      </c>
      <c r="U656" s="5" t="str">
        <f>IFERROR(__xludf.DUMMYFUNCTION("""COMPUTED_VALUE"""),"Alex Zamm")</f>
        <v>Alex Zamm</v>
      </c>
      <c r="V656" s="5" t="s">
        <v>4044</v>
      </c>
      <c r="W656" s="5" t="str">
        <f t="shared" si="3"/>
        <v>Byun Hyuk</v>
      </c>
      <c r="X656" s="5">
        <f t="shared" si="4"/>
        <v>1</v>
      </c>
      <c r="Y656" s="5" t="str">
        <f>IFERROR(__xludf.DUMMYFUNCTION("REGEXEXTRACT(J656, ""^\d+"")"),"125")</f>
        <v>125</v>
      </c>
      <c r="Z656" s="5" t="str">
        <f>IFERROR(__xludf.DUMMYFUNCTION("REGEXEXTRACT(J656, ""[A-Za-z ]+$"")")," min")</f>
        <v> min</v>
      </c>
      <c r="AA656" s="5" t="str">
        <f>IFERROR(__xludf.DUMMYFUNCTION("IF(REGEXMATCH(Z656, ""Season""), ""TV Show"", ""Movie"")"),"Movie")</f>
        <v>Movie</v>
      </c>
    </row>
    <row r="657">
      <c r="A657" s="1" t="s">
        <v>4045</v>
      </c>
      <c r="B657" s="1" t="s">
        <v>27</v>
      </c>
      <c r="C657" s="1" t="s">
        <v>4046</v>
      </c>
      <c r="D657" s="1" t="s">
        <v>4039</v>
      </c>
      <c r="E657" s="1" t="s">
        <v>4047</v>
      </c>
      <c r="F657" s="1" t="s">
        <v>4041</v>
      </c>
      <c r="G657" s="1" t="s">
        <v>4042</v>
      </c>
      <c r="H657" s="1">
        <v>2016.0</v>
      </c>
      <c r="I657" s="1" t="s">
        <v>42</v>
      </c>
      <c r="J657" s="1" t="s">
        <v>804</v>
      </c>
      <c r="K657" s="1" t="s">
        <v>583</v>
      </c>
      <c r="L657" s="1" t="s">
        <v>4048</v>
      </c>
      <c r="M657" s="2" t="s">
        <v>12</v>
      </c>
      <c r="N657" s="4">
        <f t="shared" si="1"/>
        <v>44368</v>
      </c>
      <c r="O657" s="5" t="str">
        <f>IFERROR(__xludf.DUMMYFUNCTION("IF(REGEXMATCH(TRIM(I657), ""^\d+\s*min""), ""Unclassified"", IF(I657 = """", ""NR"", I657))"),"TV-MA")</f>
        <v>TV-MA</v>
      </c>
      <c r="R657" s="5" t="str">
        <f t="shared" si="2"/>
        <v>#Selfie 69</v>
      </c>
      <c r="S657" s="5" t="str">
        <f>IFERROR(__xludf.DUMMYFUNCTION("""COMPUTED_VALUE"""),"Astronomy Club: The Sketch Show")</f>
        <v>Astronomy Club: The Sketch Show</v>
      </c>
      <c r="T657" s="5" t="str">
        <f>IFERROR(__xludf.DUMMYFUNCTION("""COMPUTED_VALUE"""),"United States, Germany, Australia")</f>
        <v>United States, Germany, Australia</v>
      </c>
      <c r="U657" s="5" t="str">
        <f>IFERROR(__xludf.DUMMYFUNCTION("""COMPUTED_VALUE"""),"Rajkumar Hirani")</f>
        <v>Rajkumar Hirani</v>
      </c>
      <c r="V657" s="5" t="s">
        <v>4049</v>
      </c>
      <c r="W657" s="5" t="str">
        <f t="shared" si="3"/>
        <v>C. Fitz</v>
      </c>
      <c r="X657" s="5">
        <f t="shared" si="4"/>
        <v>1</v>
      </c>
      <c r="Y657" s="5" t="str">
        <f>IFERROR(__xludf.DUMMYFUNCTION("REGEXEXTRACT(J657, ""^\d+"")"),"119")</f>
        <v>119</v>
      </c>
      <c r="Z657" s="5" t="str">
        <f>IFERROR(__xludf.DUMMYFUNCTION("REGEXEXTRACT(J657, ""[A-Za-z ]+$"")")," min")</f>
        <v> min</v>
      </c>
      <c r="AA657" s="5" t="str">
        <f>IFERROR(__xludf.DUMMYFUNCTION("IF(REGEXMATCH(Z657, ""Season""), ""TV Show"", ""Movie"")"),"Movie")</f>
        <v>Movie</v>
      </c>
    </row>
    <row r="658">
      <c r="A658" s="1" t="s">
        <v>4050</v>
      </c>
      <c r="B658" s="1" t="s">
        <v>27</v>
      </c>
      <c r="C658" s="1" t="s">
        <v>4051</v>
      </c>
      <c r="D658" s="1" t="s">
        <v>4039</v>
      </c>
      <c r="E658" s="1" t="s">
        <v>4052</v>
      </c>
      <c r="F658" s="1" t="s">
        <v>4041</v>
      </c>
      <c r="G658" s="1" t="s">
        <v>4042</v>
      </c>
      <c r="H658" s="1">
        <v>2015.0</v>
      </c>
      <c r="I658" s="1" t="s">
        <v>42</v>
      </c>
      <c r="J658" s="1" t="s">
        <v>305</v>
      </c>
      <c r="K658" s="1" t="s">
        <v>4053</v>
      </c>
      <c r="L658" s="1" t="s">
        <v>4054</v>
      </c>
      <c r="M658" s="2" t="s">
        <v>12</v>
      </c>
      <c r="N658" s="4">
        <f t="shared" si="1"/>
        <v>44368</v>
      </c>
      <c r="O658" s="5" t="str">
        <f>IFERROR(__xludf.DUMMYFUNCTION("IF(REGEXMATCH(TRIM(I658), ""^\d+\s*min""), ""Unclassified"", IF(I658 = """", ""NR"", I658))"),"TV-MA")</f>
        <v>TV-MA</v>
      </c>
      <c r="R658" s="5" t="str">
        <f t="shared" si="2"/>
        <v>Love Is A Story</v>
      </c>
      <c r="S658" s="5" t="str">
        <f>IFERROR(__xludf.DUMMYFUNCTION("""COMPUTED_VALUE"""),"Asu Mare 2")</f>
        <v>Asu Mare 2</v>
      </c>
      <c r="T658" s="5" t="str">
        <f>IFERROR(__xludf.DUMMYFUNCTION("""COMPUTED_VALUE"""),"United States, Germany, Canada")</f>
        <v>United States, Germany, Canada</v>
      </c>
      <c r="U658" s="5" t="str">
        <f>IFERROR(__xludf.DUMMYFUNCTION("""COMPUTED_VALUE"""),"Rajesh Mapuskar")</f>
        <v>Rajesh Mapuskar</v>
      </c>
      <c r="V658" s="5" t="s">
        <v>4055</v>
      </c>
      <c r="W658" s="5" t="str">
        <f t="shared" si="3"/>
        <v>C.J. Wallis</v>
      </c>
      <c r="X658" s="5">
        <f t="shared" si="4"/>
        <v>1</v>
      </c>
      <c r="Y658" s="5" t="str">
        <f>IFERROR(__xludf.DUMMYFUNCTION("REGEXEXTRACT(J658, ""^\d+"")"),"105")</f>
        <v>105</v>
      </c>
      <c r="Z658" s="5" t="str">
        <f>IFERROR(__xludf.DUMMYFUNCTION("REGEXEXTRACT(J658, ""[A-Za-z ]+$"")")," min")</f>
        <v> min</v>
      </c>
      <c r="AA658" s="5" t="str">
        <f>IFERROR(__xludf.DUMMYFUNCTION("IF(REGEXMATCH(Z658, ""Season""), ""TV Show"", ""Movie"")"),"Movie")</f>
        <v>Movie</v>
      </c>
    </row>
    <row r="659">
      <c r="A659" s="1" t="s">
        <v>4056</v>
      </c>
      <c r="B659" s="1" t="s">
        <v>37</v>
      </c>
      <c r="C659" s="1" t="s">
        <v>4057</v>
      </c>
      <c r="E659" s="1" t="s">
        <v>4058</v>
      </c>
      <c r="F659" s="1" t="s">
        <v>30</v>
      </c>
      <c r="G659" s="1" t="s">
        <v>4042</v>
      </c>
      <c r="H659" s="1">
        <v>2001.0</v>
      </c>
      <c r="I659" s="1" t="s">
        <v>97</v>
      </c>
      <c r="J659" s="1" t="s">
        <v>43</v>
      </c>
      <c r="K659" s="1" t="s">
        <v>4059</v>
      </c>
      <c r="L659" s="1" t="s">
        <v>4060</v>
      </c>
      <c r="M659" s="2" t="s">
        <v>12</v>
      </c>
      <c r="N659" s="4">
        <f t="shared" si="1"/>
        <v>44368</v>
      </c>
      <c r="O659" s="5" t="str">
        <f>IFERROR(__xludf.DUMMYFUNCTION("IF(REGEXMATCH(TRIM(I659), ""^\d+\s*min""), ""Unclassified"", IF(I659 = """", ""NR"", I659))"),"TV-14")</f>
        <v>TV-14</v>
      </c>
      <c r="R659" s="5" t="str">
        <f t="shared" si="2"/>
        <v>The Mole</v>
      </c>
      <c r="S659" s="5" t="str">
        <f>IFERROR(__xludf.DUMMYFUNCTION("""COMPUTED_VALUE"""),"Asura Guru")</f>
        <v>Asura Guru</v>
      </c>
      <c r="T659" s="5" t="str">
        <f>IFERROR(__xludf.DUMMYFUNCTION("""COMPUTED_VALUE"""),"United States, Germany, Mexico")</f>
        <v>United States, Germany, Mexico</v>
      </c>
      <c r="U659" s="5" t="str">
        <f>IFERROR(__xludf.DUMMYFUNCTION("""COMPUTED_VALUE"""),"Lina Al Abed")</f>
        <v>Lina Al Abed</v>
      </c>
      <c r="V659" s="5" t="s">
        <v>4061</v>
      </c>
      <c r="W659" s="5" t="str">
        <f t="shared" si="3"/>
        <v>Çagan Irmak</v>
      </c>
      <c r="X659" s="5">
        <f t="shared" si="4"/>
        <v>1</v>
      </c>
      <c r="Y659" s="5" t="str">
        <f>IFERROR(__xludf.DUMMYFUNCTION("REGEXEXTRACT(J659, ""^\d+"")"),"2")</f>
        <v>2</v>
      </c>
      <c r="Z659" s="5" t="str">
        <f>IFERROR(__xludf.DUMMYFUNCTION("REGEXEXTRACT(J659, ""[A-Za-z ]+$"")")," Seasons")</f>
        <v> Seasons</v>
      </c>
      <c r="AA659" s="5" t="str">
        <f>IFERROR(__xludf.DUMMYFUNCTION("IF(REGEXMATCH(Z659, ""Season""), ""TV Show"", ""Movie"")"),"TV Show")</f>
        <v>TV Show</v>
      </c>
    </row>
    <row r="660">
      <c r="A660" s="1" t="s">
        <v>4062</v>
      </c>
      <c r="B660" s="1" t="s">
        <v>37</v>
      </c>
      <c r="C660" s="1" t="s">
        <v>4063</v>
      </c>
      <c r="E660" s="1" t="s">
        <v>4064</v>
      </c>
      <c r="G660" s="1" t="s">
        <v>4065</v>
      </c>
      <c r="H660" s="1">
        <v>2021.0</v>
      </c>
      <c r="I660" s="1" t="s">
        <v>97</v>
      </c>
      <c r="J660" s="1" t="s">
        <v>51</v>
      </c>
      <c r="K660" s="1" t="s">
        <v>1907</v>
      </c>
      <c r="L660" s="1" t="s">
        <v>4066</v>
      </c>
      <c r="M660" s="2" t="s">
        <v>12</v>
      </c>
      <c r="N660" s="4">
        <f t="shared" si="1"/>
        <v>44367</v>
      </c>
      <c r="O660" s="5" t="str">
        <f>IFERROR(__xludf.DUMMYFUNCTION("IF(REGEXMATCH(TRIM(I660), ""^\d+\s*min""), ""Unclassified"", IF(I660 = """", ""NR"", I660))"),"TV-14")</f>
        <v>TV-14</v>
      </c>
      <c r="R660" s="5" t="str">
        <f t="shared" si="2"/>
        <v>Nevertheless,</v>
      </c>
      <c r="S660" s="5" t="str">
        <f>IFERROR(__xludf.DUMMYFUNCTION("""COMPUTED_VALUE"""),"Asura: The City Of Madness")</f>
        <v>Asura: The City Of Madness</v>
      </c>
      <c r="T660" s="5" t="str">
        <f>IFERROR(__xludf.DUMMYFUNCTION("""COMPUTED_VALUE"""),"United States, Germany, United Kingdom")</f>
        <v>United States, Germany, United Kingdom</v>
      </c>
      <c r="U660" s="5" t="str">
        <f>IFERROR(__xludf.DUMMYFUNCTION("""COMPUTED_VALUE"""),"James Wan")</f>
        <v>James Wan</v>
      </c>
      <c r="V660" s="5" t="s">
        <v>4067</v>
      </c>
      <c r="W660" s="5" t="str">
        <f t="shared" si="3"/>
        <v>Cai Cong</v>
      </c>
      <c r="X660" s="5">
        <f t="shared" si="4"/>
        <v>1</v>
      </c>
      <c r="Y660" s="5" t="str">
        <f>IFERROR(__xludf.DUMMYFUNCTION("REGEXEXTRACT(J660, ""^\d+"")"),"1")</f>
        <v>1</v>
      </c>
      <c r="Z660" s="5" t="str">
        <f>IFERROR(__xludf.DUMMYFUNCTION("REGEXEXTRACT(J660, ""[A-Za-z ]+$"")")," Season")</f>
        <v> Season</v>
      </c>
      <c r="AA660" s="5" t="str">
        <f>IFERROR(__xludf.DUMMYFUNCTION("IF(REGEXMATCH(Z660, ""Season""), ""TV Show"", ""Movie"")"),"TV Show")</f>
        <v>TV Show</v>
      </c>
    </row>
    <row r="661">
      <c r="A661" s="1" t="s">
        <v>4068</v>
      </c>
      <c r="B661" s="1" t="s">
        <v>37</v>
      </c>
      <c r="C661" s="1" t="s">
        <v>4069</v>
      </c>
      <c r="E661" s="1" t="s">
        <v>4070</v>
      </c>
      <c r="F661" s="1" t="s">
        <v>2796</v>
      </c>
      <c r="G661" s="1" t="s">
        <v>4071</v>
      </c>
      <c r="H661" s="1">
        <v>2018.0</v>
      </c>
      <c r="I661" s="1" t="s">
        <v>97</v>
      </c>
      <c r="J661" s="1" t="s">
        <v>51</v>
      </c>
      <c r="K661" s="1" t="s">
        <v>1907</v>
      </c>
      <c r="L661" s="1" t="s">
        <v>4072</v>
      </c>
      <c r="M661" s="2" t="s">
        <v>12</v>
      </c>
      <c r="N661" s="4">
        <f t="shared" si="1"/>
        <v>44366</v>
      </c>
      <c r="O661" s="5" t="str">
        <f>IFERROR(__xludf.DUMMYFUNCTION("IF(REGEXMATCH(TRIM(I661), ""^\d+\s*min""), ""Unclassified"", IF(I661 = """", ""NR"", I661))"),"TV-14")</f>
        <v>TV-14</v>
      </c>
      <c r="R661" s="5" t="str">
        <f t="shared" si="2"/>
        <v>Bangkok Love Stories: Innocence</v>
      </c>
      <c r="S661" s="5" t="str">
        <f>IFERROR(__xludf.DUMMYFUNCTION("""COMPUTED_VALUE"""),"At All Costs")</f>
        <v>At All Costs</v>
      </c>
      <c r="T661" s="5" t="str">
        <f>IFERROR(__xludf.DUMMYFUNCTION("""COMPUTED_VALUE"""),"United States, Germany, United Kingdom, Australia")</f>
        <v>United States, Germany, United Kingdom, Australia</v>
      </c>
      <c r="U661" s="5" t="str">
        <f>IFERROR(__xludf.DUMMYFUNCTION("""COMPUTED_VALUE"""),"David Hackl")</f>
        <v>David Hackl</v>
      </c>
      <c r="V661" s="5" t="s">
        <v>4073</v>
      </c>
      <c r="W661" s="5" t="str">
        <f t="shared" si="3"/>
        <v>Caio Cobra</v>
      </c>
      <c r="X661" s="5">
        <f t="shared" si="4"/>
        <v>1</v>
      </c>
      <c r="Y661" s="5" t="str">
        <f>IFERROR(__xludf.DUMMYFUNCTION("REGEXEXTRACT(J661, ""^\d+"")"),"1")</f>
        <v>1</v>
      </c>
      <c r="Z661" s="5" t="str">
        <f>IFERROR(__xludf.DUMMYFUNCTION("REGEXEXTRACT(J661, ""[A-Za-z ]+$"")")," Season")</f>
        <v> Season</v>
      </c>
      <c r="AA661" s="5" t="str">
        <f>IFERROR(__xludf.DUMMYFUNCTION("IF(REGEXMATCH(Z661, ""Season""), ""TV Show"", ""Movie"")"),"TV Show")</f>
        <v>TV Show</v>
      </c>
    </row>
    <row r="662">
      <c r="A662" s="1" t="s">
        <v>4074</v>
      </c>
      <c r="B662" s="1" t="s">
        <v>37</v>
      </c>
      <c r="C662" s="1" t="s">
        <v>4075</v>
      </c>
      <c r="E662" s="1" t="s">
        <v>4076</v>
      </c>
      <c r="F662" s="1" t="s">
        <v>30</v>
      </c>
      <c r="G662" s="1" t="s">
        <v>4071</v>
      </c>
      <c r="H662" s="1">
        <v>2021.0</v>
      </c>
      <c r="I662" s="1" t="s">
        <v>97</v>
      </c>
      <c r="J662" s="1" t="s">
        <v>148</v>
      </c>
      <c r="K662" s="1" t="s">
        <v>3223</v>
      </c>
      <c r="L662" s="1" t="s">
        <v>4077</v>
      </c>
      <c r="M662" s="2" t="s">
        <v>12</v>
      </c>
      <c r="N662" s="4">
        <f t="shared" si="1"/>
        <v>44366</v>
      </c>
      <c r="O662" s="5" t="str">
        <f>IFERROR(__xludf.DUMMYFUNCTION("IF(REGEXMATCH(TRIM(I662), ""^\d+\s*min""), ""Unclassified"", IF(I662 = """", ""NR"", I662))"),"TV-14")</f>
        <v>TV-14</v>
      </c>
      <c r="R662" s="5" t="str">
        <f t="shared" si="2"/>
        <v>Black Lightning</v>
      </c>
      <c r="S662" s="5" t="str">
        <f>IFERROR(__xludf.DUMMYFUNCTION("""COMPUTED_VALUE"""),"At Eternity'S Gate")</f>
        <v>At Eternity'S Gate</v>
      </c>
      <c r="T662" s="5" t="str">
        <f>IFERROR(__xludf.DUMMYFUNCTION("""COMPUTED_VALUE"""),"United States, Germany, United Kingdom, Italy")</f>
        <v>United States, Germany, United Kingdom, Italy</v>
      </c>
      <c r="U662" s="5" t="str">
        <f>IFERROR(__xludf.DUMMYFUNCTION("""COMPUTED_VALUE"""),"Takeshi Nozue")</f>
        <v>Takeshi Nozue</v>
      </c>
      <c r="V662" s="5" t="s">
        <v>4078</v>
      </c>
      <c r="W662" s="5" t="str">
        <f t="shared" si="3"/>
        <v>Cal Brunker</v>
      </c>
      <c r="X662" s="5">
        <f t="shared" si="4"/>
        <v>1</v>
      </c>
      <c r="Y662" s="5" t="str">
        <f>IFERROR(__xludf.DUMMYFUNCTION("REGEXEXTRACT(J662, ""^\d+"")"),"4")</f>
        <v>4</v>
      </c>
      <c r="Z662" s="5" t="str">
        <f>IFERROR(__xludf.DUMMYFUNCTION("REGEXEXTRACT(J662, ""[A-Za-z ]+$"")")," Seasons")</f>
        <v> Seasons</v>
      </c>
      <c r="AA662" s="5" t="str">
        <f>IFERROR(__xludf.DUMMYFUNCTION("IF(REGEXMATCH(Z662, ""Season""), ""TV Show"", ""Movie"")"),"TV Show")</f>
        <v>TV Show</v>
      </c>
    </row>
    <row r="663">
      <c r="A663" s="1" t="s">
        <v>4079</v>
      </c>
      <c r="B663" s="1" t="s">
        <v>37</v>
      </c>
      <c r="C663" s="1" t="s">
        <v>4080</v>
      </c>
      <c r="E663" s="1" t="s">
        <v>4081</v>
      </c>
      <c r="F663" s="1" t="s">
        <v>664</v>
      </c>
      <c r="G663" s="1" t="s">
        <v>4071</v>
      </c>
      <c r="H663" s="1">
        <v>2018.0</v>
      </c>
      <c r="I663" s="1" t="s">
        <v>42</v>
      </c>
      <c r="J663" s="1" t="s">
        <v>148</v>
      </c>
      <c r="K663" s="1" t="s">
        <v>1531</v>
      </c>
      <c r="L663" s="1" t="s">
        <v>4082</v>
      </c>
      <c r="M663" s="2" t="s">
        <v>12</v>
      </c>
      <c r="N663" s="4">
        <f t="shared" si="1"/>
        <v>44366</v>
      </c>
      <c r="O663" s="5" t="str">
        <f>IFERROR(__xludf.DUMMYFUNCTION("IF(REGEXMATCH(TRIM(I663), ""^\d+\s*min""), ""Unclassified"", IF(I663 = """", ""NR"", I663))"),"TV-MA")</f>
        <v>TV-MA</v>
      </c>
      <c r="R663" s="5" t="str">
        <f t="shared" si="2"/>
        <v>Call My Agent!</v>
      </c>
      <c r="S663" s="5" t="str">
        <f>IFERROR(__xludf.DUMMYFUNCTION("""COMPUTED_VALUE"""),"At First Light")</f>
        <v>At First Light</v>
      </c>
      <c r="T663" s="5" t="str">
        <f>IFERROR(__xludf.DUMMYFUNCTION("""COMPUTED_VALUE"""),"United States, Ghana, Burkina Faso, United Kingdom, Germany, Ethiopia")</f>
        <v>United States, Ghana, Burkina Faso, United Kingdom, Germany, Ethiopia</v>
      </c>
      <c r="U663" s="5" t="str">
        <f>IFERROR(__xludf.DUMMYFUNCTION("""COMPUTED_VALUE"""),"Subhash Kapoor")</f>
        <v>Subhash Kapoor</v>
      </c>
      <c r="V663" s="5" t="s">
        <v>4083</v>
      </c>
      <c r="W663" s="5" t="str">
        <f t="shared" si="3"/>
        <v>Cal Saville</v>
      </c>
      <c r="X663" s="5">
        <f t="shared" si="4"/>
        <v>1</v>
      </c>
      <c r="Y663" s="5" t="str">
        <f>IFERROR(__xludf.DUMMYFUNCTION("REGEXEXTRACT(J663, ""^\d+"")"),"4")</f>
        <v>4</v>
      </c>
      <c r="Z663" s="5" t="str">
        <f>IFERROR(__xludf.DUMMYFUNCTION("REGEXEXTRACT(J663, ""[A-Za-z ]+$"")")," Seasons")</f>
        <v> Seasons</v>
      </c>
      <c r="AA663" s="5" t="str">
        <f>IFERROR(__xludf.DUMMYFUNCTION("IF(REGEXMATCH(Z663, ""Season""), ""TV Show"", ""Movie"")"),"TV Show")</f>
        <v>TV Show</v>
      </c>
    </row>
    <row r="664">
      <c r="A664" s="1" t="s">
        <v>4084</v>
      </c>
      <c r="B664" s="1" t="s">
        <v>37</v>
      </c>
      <c r="C664" s="1" t="s">
        <v>4085</v>
      </c>
      <c r="E664" s="1" t="s">
        <v>4086</v>
      </c>
      <c r="F664" s="1" t="s">
        <v>30</v>
      </c>
      <c r="G664" s="1" t="s">
        <v>4071</v>
      </c>
      <c r="H664" s="1">
        <v>2018.0</v>
      </c>
      <c r="I664" s="1" t="s">
        <v>97</v>
      </c>
      <c r="J664" s="1" t="s">
        <v>51</v>
      </c>
      <c r="K664" s="1" t="s">
        <v>270</v>
      </c>
      <c r="L664" s="1" t="s">
        <v>4087</v>
      </c>
      <c r="M664" s="2" t="s">
        <v>12</v>
      </c>
      <c r="N664" s="4">
        <f t="shared" si="1"/>
        <v>44366</v>
      </c>
      <c r="O664" s="5" t="str">
        <f>IFERROR(__xludf.DUMMYFUNCTION("IF(REGEXMATCH(TRIM(I664), ""^\d+\s*min""), ""Unclassified"", IF(I664 = """", ""NR"", I664))"),"TV-14")</f>
        <v>TV-14</v>
      </c>
      <c r="R664" s="5" t="str">
        <f t="shared" si="2"/>
        <v>Champions</v>
      </c>
      <c r="S664" s="5" t="str">
        <f>IFERROR(__xludf.DUMMYFUNCTION("""COMPUTED_VALUE"""),"At The Dolphin Bay")</f>
        <v>At The Dolphin Bay</v>
      </c>
      <c r="T664" s="5" t="str">
        <f>IFERROR(__xludf.DUMMYFUNCTION("""COMPUTED_VALUE"""),"United States, Greece")</f>
        <v>United States, Greece</v>
      </c>
      <c r="U664" s="5" t="str">
        <f>IFERROR(__xludf.DUMMYFUNCTION("""COMPUTED_VALUE"""),"Ringo Lam")</f>
        <v>Ringo Lam</v>
      </c>
      <c r="V664" s="5" t="s">
        <v>4088</v>
      </c>
      <c r="W664" s="5" t="str">
        <f t="shared" si="3"/>
        <v>Cal Seville</v>
      </c>
      <c r="X664" s="5">
        <f t="shared" si="4"/>
        <v>2</v>
      </c>
      <c r="Y664" s="5" t="str">
        <f>IFERROR(__xludf.DUMMYFUNCTION("REGEXEXTRACT(J664, ""^\d+"")"),"1")</f>
        <v>1</v>
      </c>
      <c r="Z664" s="5" t="str">
        <f>IFERROR(__xludf.DUMMYFUNCTION("REGEXEXTRACT(J664, ""[A-Za-z ]+$"")")," Season")</f>
        <v> Season</v>
      </c>
      <c r="AA664" s="5" t="str">
        <f>IFERROR(__xludf.DUMMYFUNCTION("IF(REGEXMATCH(Z664, ""Season""), ""TV Show"", ""Movie"")"),"TV Show")</f>
        <v>TV Show</v>
      </c>
    </row>
    <row r="665">
      <c r="A665" s="1" t="s">
        <v>4089</v>
      </c>
      <c r="B665" s="1" t="s">
        <v>37</v>
      </c>
      <c r="C665" s="1" t="s">
        <v>4090</v>
      </c>
      <c r="E665" s="1" t="s">
        <v>4091</v>
      </c>
      <c r="G665" s="1" t="s">
        <v>4071</v>
      </c>
      <c r="H665" s="1">
        <v>2019.0</v>
      </c>
      <c r="I665" s="1" t="s">
        <v>42</v>
      </c>
      <c r="J665" s="1" t="s">
        <v>51</v>
      </c>
      <c r="K665" s="1" t="s">
        <v>402</v>
      </c>
      <c r="L665" s="1" t="s">
        <v>4092</v>
      </c>
      <c r="M665" s="2" t="s">
        <v>12</v>
      </c>
      <c r="N665" s="4">
        <f t="shared" si="1"/>
        <v>44366</v>
      </c>
      <c r="O665" s="5" t="str">
        <f>IFERROR(__xludf.DUMMYFUNCTION("IF(REGEXMATCH(TRIM(I665), ""^\d+\s*min""), ""Unclassified"", IF(I665 = """", ""NR"", I665))"),"TV-MA")</f>
        <v>TV-MA</v>
      </c>
      <c r="R665" s="5" t="str">
        <f t="shared" si="2"/>
        <v>Charité At War</v>
      </c>
      <c r="S665" s="5" t="str">
        <f>IFERROR(__xludf.DUMMYFUNCTION("""COMPUTED_VALUE"""),"Atelier")</f>
        <v>Atelier</v>
      </c>
      <c r="T665" s="5" t="str">
        <f>IFERROR(__xludf.DUMMYFUNCTION("""COMPUTED_VALUE"""),"United States, Greece, Brazil")</f>
        <v>United States, Greece, Brazil</v>
      </c>
      <c r="U665" s="5" t="str">
        <f>IFERROR(__xludf.DUMMYFUNCTION("""COMPUTED_VALUE"""),"George Cukor")</f>
        <v>George Cukor</v>
      </c>
      <c r="V665" s="5" t="s">
        <v>4093</v>
      </c>
      <c r="W665" s="5" t="str">
        <f t="shared" si="3"/>
        <v>Callie Khouri, Jesse V. Johnson</v>
      </c>
      <c r="X665" s="5">
        <f t="shared" si="4"/>
        <v>1</v>
      </c>
      <c r="Y665" s="5" t="str">
        <f>IFERROR(__xludf.DUMMYFUNCTION("REGEXEXTRACT(J665, ""^\d+"")"),"1")</f>
        <v>1</v>
      </c>
      <c r="Z665" s="5" t="str">
        <f>IFERROR(__xludf.DUMMYFUNCTION("REGEXEXTRACT(J665, ""[A-Za-z ]+$"")")," Season")</f>
        <v> Season</v>
      </c>
      <c r="AA665" s="5" t="str">
        <f>IFERROR(__xludf.DUMMYFUNCTION("IF(REGEXMATCH(Z665, ""Season""), ""TV Show"", ""Movie"")"),"TV Show")</f>
        <v>TV Show</v>
      </c>
    </row>
    <row r="666">
      <c r="A666" s="1" t="s">
        <v>4094</v>
      </c>
      <c r="B666" s="1" t="s">
        <v>37</v>
      </c>
      <c r="C666" s="1" t="s">
        <v>4095</v>
      </c>
      <c r="D666" s="1" t="s">
        <v>4096</v>
      </c>
      <c r="F666" s="1" t="s">
        <v>784</v>
      </c>
      <c r="G666" s="1" t="s">
        <v>4071</v>
      </c>
      <c r="H666" s="1">
        <v>2020.0</v>
      </c>
      <c r="I666" s="1" t="s">
        <v>206</v>
      </c>
      <c r="J666" s="1" t="s">
        <v>43</v>
      </c>
      <c r="K666" s="1" t="s">
        <v>290</v>
      </c>
      <c r="L666" s="1" t="s">
        <v>4097</v>
      </c>
      <c r="M666" s="2" t="s">
        <v>12</v>
      </c>
      <c r="N666" s="4">
        <f t="shared" si="1"/>
        <v>44366</v>
      </c>
      <c r="O666" s="5" t="str">
        <f>IFERROR(__xludf.DUMMYFUNCTION("IF(REGEXMATCH(TRIM(I666), ""^\d+\s*min""), ""Unclassified"", IF(I666 = """", ""NR"", I666))"),"TV-Y")</f>
        <v>TV-Y</v>
      </c>
      <c r="R666" s="5" t="str">
        <f t="shared" si="2"/>
        <v>Cleo &amp; Cuquin</v>
      </c>
      <c r="S666" s="5" t="str">
        <f>IFERROR(__xludf.DUMMYFUNCTION("""COMPUTED_VALUE"""),"Athlete A")</f>
        <v>Athlete A</v>
      </c>
      <c r="T666" s="5" t="str">
        <f>IFERROR(__xludf.DUMMYFUNCTION("""COMPUTED_VALUE"""),"United States, Greece, United Kingdom")</f>
        <v>United States, Greece, United Kingdom</v>
      </c>
      <c r="U666" s="5" t="str">
        <f>IFERROR(__xludf.DUMMYFUNCTION("""COMPUTED_VALUE"""),"Tony Giglio")</f>
        <v>Tony Giglio</v>
      </c>
      <c r="V666" s="5" t="s">
        <v>4098</v>
      </c>
      <c r="W666" s="5" t="str">
        <f t="shared" si="3"/>
        <v>Camilla Nielsson</v>
      </c>
      <c r="X666" s="5">
        <f t="shared" si="4"/>
        <v>1</v>
      </c>
      <c r="Y666" s="5" t="str">
        <f>IFERROR(__xludf.DUMMYFUNCTION("REGEXEXTRACT(J666, ""^\d+"")"),"2")</f>
        <v>2</v>
      </c>
      <c r="Z666" s="5" t="str">
        <f>IFERROR(__xludf.DUMMYFUNCTION("REGEXEXTRACT(J666, ""[A-Za-z ]+$"")")," Seasons")</f>
        <v> Seasons</v>
      </c>
      <c r="AA666" s="5" t="str">
        <f>IFERROR(__xludf.DUMMYFUNCTION("IF(REGEXMATCH(Z666, ""Season""), ""TV Show"", ""Movie"")"),"TV Show")</f>
        <v>TV Show</v>
      </c>
    </row>
    <row r="667">
      <c r="A667" s="1" t="s">
        <v>4099</v>
      </c>
      <c r="B667" s="1" t="s">
        <v>37</v>
      </c>
      <c r="C667" s="1" t="s">
        <v>4100</v>
      </c>
      <c r="E667" s="1" t="s">
        <v>4101</v>
      </c>
      <c r="F667" s="1" t="s">
        <v>4102</v>
      </c>
      <c r="G667" s="1" t="s">
        <v>4071</v>
      </c>
      <c r="H667" s="1">
        <v>2020.0</v>
      </c>
      <c r="I667" s="1" t="s">
        <v>42</v>
      </c>
      <c r="J667" s="1" t="s">
        <v>43</v>
      </c>
      <c r="K667" s="1" t="s">
        <v>1362</v>
      </c>
      <c r="L667" s="1" t="s">
        <v>4103</v>
      </c>
      <c r="M667" s="2" t="s">
        <v>12</v>
      </c>
      <c r="N667" s="4">
        <f t="shared" si="1"/>
        <v>44366</v>
      </c>
      <c r="O667" s="5" t="str">
        <f>IFERROR(__xludf.DUMMYFUNCTION("IF(REGEXMATCH(TRIM(I667), ""^\d+\s*min""), ""Unclassified"", IF(I667 = """", ""NR"", I667))"),"TV-MA")</f>
        <v>TV-MA</v>
      </c>
      <c r="R667" s="5" t="str">
        <f t="shared" si="2"/>
        <v>Deadwind</v>
      </c>
      <c r="S667" s="5" t="str">
        <f>IFERROR(__xludf.DUMMYFUNCTION("""COMPUTED_VALUE"""),"Atlantics")</f>
        <v>Atlantics</v>
      </c>
      <c r="T667" s="5" t="str">
        <f>IFERROR(__xludf.DUMMYFUNCTION("""COMPUTED_VALUE"""),"United States, Hong Kong")</f>
        <v>United States, Hong Kong</v>
      </c>
      <c r="U667" s="5" t="str">
        <f>IFERROR(__xludf.DUMMYFUNCTION("""COMPUTED_VALUE"""),"Shinji Aramaki, Masaru Matsumoto")</f>
        <v>Shinji Aramaki, Masaru Matsumoto</v>
      </c>
      <c r="V667" s="5" t="s">
        <v>3128</v>
      </c>
      <c r="W667" s="5" t="str">
        <f t="shared" si="3"/>
        <v>Camille Delamarre</v>
      </c>
      <c r="X667" s="5">
        <f t="shared" si="4"/>
        <v>1</v>
      </c>
      <c r="Y667" s="5" t="str">
        <f>IFERROR(__xludf.DUMMYFUNCTION("REGEXEXTRACT(J667, ""^\d+"")"),"2")</f>
        <v>2</v>
      </c>
      <c r="Z667" s="5" t="str">
        <f>IFERROR(__xludf.DUMMYFUNCTION("REGEXEXTRACT(J667, ""[A-Za-z ]+$"")")," Seasons")</f>
        <v> Seasons</v>
      </c>
      <c r="AA667" s="5" t="str">
        <f>IFERROR(__xludf.DUMMYFUNCTION("IF(REGEXMATCH(Z667, ""Season""), ""TV Show"", ""Movie"")"),"TV Show")</f>
        <v>TV Show</v>
      </c>
    </row>
    <row r="668">
      <c r="A668" s="1" t="s">
        <v>4104</v>
      </c>
      <c r="B668" s="1" t="s">
        <v>37</v>
      </c>
      <c r="C668" s="1" t="s">
        <v>4105</v>
      </c>
      <c r="D668" s="1" t="s">
        <v>4106</v>
      </c>
      <c r="E668" s="1" t="s">
        <v>4107</v>
      </c>
      <c r="G668" s="1" t="s">
        <v>4071</v>
      </c>
      <c r="H668" s="1">
        <v>2020.0</v>
      </c>
      <c r="I668" s="1" t="s">
        <v>97</v>
      </c>
      <c r="J668" s="1" t="s">
        <v>51</v>
      </c>
      <c r="K668" s="1" t="s">
        <v>64</v>
      </c>
      <c r="L668" s="1" t="s">
        <v>4108</v>
      </c>
      <c r="M668" s="2" t="s">
        <v>12</v>
      </c>
      <c r="N668" s="4">
        <f t="shared" si="1"/>
        <v>44366</v>
      </c>
      <c r="O668" s="5" t="str">
        <f>IFERROR(__xludf.DUMMYFUNCTION("IF(REGEXMATCH(TRIM(I668), ""^\d+\s*min""), ""Unclassified"", IF(I668 = """", ""NR"", I668))"),"TV-14")</f>
        <v>TV-14</v>
      </c>
      <c r="R668" s="5" t="str">
        <f t="shared" si="2"/>
        <v>Gameboys Level-Up Edition</v>
      </c>
      <c r="S668" s="5" t="str">
        <f>IFERROR(__xludf.DUMMYFUNCTION("""COMPUTED_VALUE"""),"Atlas Shrugged: Part Ii")</f>
        <v>Atlas Shrugged: Part Ii</v>
      </c>
      <c r="T668" s="5" t="str">
        <f>IFERROR(__xludf.DUMMYFUNCTION("""COMPUTED_VALUE"""),"United States, Hungary")</f>
        <v>United States, Hungary</v>
      </c>
      <c r="U668" s="5" t="str">
        <f>IFERROR(__xludf.DUMMYFUNCTION("""COMPUTED_VALUE"""),"John Luessenhop")</f>
        <v>John Luessenhop</v>
      </c>
      <c r="V668" s="5" t="s">
        <v>4109</v>
      </c>
      <c r="W668" s="5" t="str">
        <f t="shared" si="3"/>
        <v>Camille Shooshani</v>
      </c>
      <c r="X668" s="5">
        <f t="shared" si="4"/>
        <v>1</v>
      </c>
      <c r="Y668" s="5" t="str">
        <f>IFERROR(__xludf.DUMMYFUNCTION("REGEXEXTRACT(J668, ""^\d+"")"),"1")</f>
        <v>1</v>
      </c>
      <c r="Z668" s="5" t="str">
        <f>IFERROR(__xludf.DUMMYFUNCTION("REGEXEXTRACT(J668, ""[A-Za-z ]+$"")")," Season")</f>
        <v> Season</v>
      </c>
      <c r="AA668" s="5" t="str">
        <f>IFERROR(__xludf.DUMMYFUNCTION("IF(REGEXMATCH(Z668, ""Season""), ""TV Show"", ""Movie"")"),"TV Show")</f>
        <v>TV Show</v>
      </c>
    </row>
    <row r="669">
      <c r="A669" s="1" t="s">
        <v>4110</v>
      </c>
      <c r="B669" s="1" t="s">
        <v>37</v>
      </c>
      <c r="C669" s="1" t="s">
        <v>4111</v>
      </c>
      <c r="E669" s="1" t="s">
        <v>4112</v>
      </c>
      <c r="F669" s="1" t="s">
        <v>30</v>
      </c>
      <c r="G669" s="1" t="s">
        <v>4071</v>
      </c>
      <c r="H669" s="1">
        <v>2015.0</v>
      </c>
      <c r="I669" s="1" t="s">
        <v>97</v>
      </c>
      <c r="J669" s="1" t="s">
        <v>439</v>
      </c>
      <c r="K669" s="1" t="s">
        <v>2915</v>
      </c>
      <c r="L669" s="1" t="s">
        <v>4113</v>
      </c>
      <c r="M669" s="2" t="s">
        <v>12</v>
      </c>
      <c r="N669" s="4">
        <f t="shared" si="1"/>
        <v>44366</v>
      </c>
      <c r="O669" s="5" t="str">
        <f>IFERROR(__xludf.DUMMYFUNCTION("IF(REGEXMATCH(TRIM(I669), ""^\d+\s*min""), ""Unclassified"", IF(I669 = """", ""NR"", I669))"),"TV-14")</f>
        <v>TV-14</v>
      </c>
      <c r="R669" s="5" t="str">
        <f t="shared" si="2"/>
        <v>Glee</v>
      </c>
      <c r="S669" s="5" t="str">
        <f>IFERROR(__xludf.DUMMYFUNCTION("""COMPUTED_VALUE"""),"Atm")</f>
        <v>Atm</v>
      </c>
      <c r="T669" s="5" t="str">
        <f>IFERROR(__xludf.DUMMYFUNCTION("""COMPUTED_VALUE"""),"United States, Hungary, Ireland, Canada")</f>
        <v>United States, Hungary, Ireland, Canada</v>
      </c>
      <c r="U669" s="5" t="str">
        <f>IFERROR(__xludf.DUMMYFUNCTION("""COMPUTED_VALUE"""),"Hanung Bramantyo, Pandu Adjisurya")</f>
        <v>Hanung Bramantyo, Pandu Adjisurya</v>
      </c>
      <c r="V669" s="5" t="s">
        <v>4114</v>
      </c>
      <c r="W669" s="5" t="str">
        <f t="shared" si="3"/>
        <v>Can Ulkay</v>
      </c>
      <c r="X669" s="5">
        <f t="shared" si="4"/>
        <v>1</v>
      </c>
      <c r="Y669" s="5" t="str">
        <f>IFERROR(__xludf.DUMMYFUNCTION("REGEXEXTRACT(J669, ""^\d+"")"),"6")</f>
        <v>6</v>
      </c>
      <c r="Z669" s="5" t="str">
        <f>IFERROR(__xludf.DUMMYFUNCTION("REGEXEXTRACT(J669, ""[A-Za-z ]+$"")")," Seasons")</f>
        <v> Seasons</v>
      </c>
      <c r="AA669" s="5" t="str">
        <f>IFERROR(__xludf.DUMMYFUNCTION("IF(REGEXMATCH(Z669, ""Season""), ""TV Show"", ""Movie"")"),"TV Show")</f>
        <v>TV Show</v>
      </c>
    </row>
    <row r="670">
      <c r="A670" s="1" t="s">
        <v>4115</v>
      </c>
      <c r="B670" s="1" t="s">
        <v>37</v>
      </c>
      <c r="C670" s="1" t="s">
        <v>4116</v>
      </c>
      <c r="E670" s="1" t="s">
        <v>4117</v>
      </c>
      <c r="F670" s="1" t="s">
        <v>30</v>
      </c>
      <c r="G670" s="1" t="s">
        <v>4071</v>
      </c>
      <c r="H670" s="1">
        <v>2018.0</v>
      </c>
      <c r="I670" s="1" t="s">
        <v>42</v>
      </c>
      <c r="J670" s="1" t="s">
        <v>276</v>
      </c>
      <c r="K670" s="1" t="s">
        <v>4118</v>
      </c>
      <c r="L670" s="1" t="s">
        <v>4119</v>
      </c>
      <c r="M670" s="2" t="s">
        <v>12</v>
      </c>
      <c r="N670" s="4">
        <f t="shared" si="1"/>
        <v>44366</v>
      </c>
      <c r="O670" s="5" t="str">
        <f>IFERROR(__xludf.DUMMYFUNCTION("IF(REGEXMATCH(TRIM(I670), ""^\d+\s*min""), ""Unclassified"", IF(I670 = """", ""NR"", I670))"),"TV-MA")</f>
        <v>TV-MA</v>
      </c>
      <c r="R670" s="5" t="str">
        <f t="shared" si="2"/>
        <v>Hap And Leonard</v>
      </c>
      <c r="S670" s="5" t="str">
        <f>IFERROR(__xludf.DUMMYFUNCTION("""COMPUTED_VALUE"""),"Atomic Puppet")</f>
        <v>Atomic Puppet</v>
      </c>
      <c r="T670" s="5" t="str">
        <f>IFERROR(__xludf.DUMMYFUNCTION("""COMPUTED_VALUE"""),"United States, Iceland")</f>
        <v>United States, Iceland</v>
      </c>
      <c r="U670" s="5" t="str">
        <f>IFERROR(__xludf.DUMMYFUNCTION("""COMPUTED_VALUE"""),"Bashir El Deek")</f>
        <v>Bashir El Deek</v>
      </c>
      <c r="V670" s="5" t="s">
        <v>4120</v>
      </c>
      <c r="W670" s="5" t="str">
        <f t="shared" si="3"/>
        <v>Caradog W. James</v>
      </c>
      <c r="X670" s="5">
        <f t="shared" si="4"/>
        <v>1</v>
      </c>
      <c r="Y670" s="5" t="str">
        <f>IFERROR(__xludf.DUMMYFUNCTION("REGEXEXTRACT(J670, ""^\d+"")"),"3")</f>
        <v>3</v>
      </c>
      <c r="Z670" s="5" t="str">
        <f>IFERROR(__xludf.DUMMYFUNCTION("REGEXEXTRACT(J670, ""[A-Za-z ]+$"")")," Seasons")</f>
        <v> Seasons</v>
      </c>
      <c r="AA670" s="5" t="str">
        <f>IFERROR(__xludf.DUMMYFUNCTION("IF(REGEXMATCH(Z670, ""Season""), ""TV Show"", ""Movie"")"),"TV Show")</f>
        <v>TV Show</v>
      </c>
    </row>
    <row r="671">
      <c r="A671" s="1" t="s">
        <v>4121</v>
      </c>
      <c r="B671" s="1" t="s">
        <v>37</v>
      </c>
      <c r="C671" s="1" t="s">
        <v>4122</v>
      </c>
      <c r="E671" s="1" t="s">
        <v>4123</v>
      </c>
      <c r="F671" s="1" t="s">
        <v>784</v>
      </c>
      <c r="G671" s="1" t="s">
        <v>4071</v>
      </c>
      <c r="H671" s="1">
        <v>2020.0</v>
      </c>
      <c r="I671" s="1" t="s">
        <v>42</v>
      </c>
      <c r="J671" s="1" t="s">
        <v>189</v>
      </c>
      <c r="K671" s="1" t="s">
        <v>785</v>
      </c>
      <c r="L671" s="1" t="s">
        <v>4124</v>
      </c>
      <c r="M671" s="2" t="s">
        <v>12</v>
      </c>
      <c r="N671" s="4">
        <f t="shared" si="1"/>
        <v>44366</v>
      </c>
      <c r="O671" s="5" t="str">
        <f>IFERROR(__xludf.DUMMYFUNCTION("IF(REGEXMATCH(TRIM(I671), ""^\d+\s*min""), ""Unclassified"", IF(I671 = """", ""NR"", I671))"),"TV-MA")</f>
        <v>TV-MA</v>
      </c>
      <c r="R671" s="5" t="str">
        <f t="shared" si="2"/>
        <v>Locked Up</v>
      </c>
      <c r="S671" s="5" t="str">
        <f>IFERROR(__xludf.DUMMYFUNCTION("""COMPUTED_VALUE"""),"Attack On Titan")</f>
        <v>Attack On Titan</v>
      </c>
      <c r="T671" s="5" t="str">
        <f>IFERROR(__xludf.DUMMYFUNCTION("""COMPUTED_VALUE"""),"United States, India")</f>
        <v>United States, India</v>
      </c>
      <c r="U671" s="5" t="str">
        <f>IFERROR(__xludf.DUMMYFUNCTION("""COMPUTED_VALUE"""),"Roman Polański")</f>
        <v>Roman Polański</v>
      </c>
      <c r="V671" s="5" t="s">
        <v>4125</v>
      </c>
      <c r="W671" s="5" t="str">
        <f t="shared" si="3"/>
        <v>Carey Mckenzie</v>
      </c>
      <c r="X671" s="5">
        <f t="shared" si="4"/>
        <v>1</v>
      </c>
      <c r="Y671" s="5" t="str">
        <f>IFERROR(__xludf.DUMMYFUNCTION("REGEXEXTRACT(J671, ""^\d+"")"),"5")</f>
        <v>5</v>
      </c>
      <c r="Z671" s="5" t="str">
        <f>IFERROR(__xludf.DUMMYFUNCTION("REGEXEXTRACT(J671, ""[A-Za-z ]+$"")")," Seasons")</f>
        <v> Seasons</v>
      </c>
      <c r="AA671" s="5" t="str">
        <f>IFERROR(__xludf.DUMMYFUNCTION("IF(REGEXMATCH(Z671, ""Season""), ""TV Show"", ""Movie"")"),"TV Show")</f>
        <v>TV Show</v>
      </c>
    </row>
    <row r="672">
      <c r="A672" s="1" t="s">
        <v>4126</v>
      </c>
      <c r="B672" s="1" t="s">
        <v>27</v>
      </c>
      <c r="C672" s="1" t="s">
        <v>4127</v>
      </c>
      <c r="D672" s="1" t="s">
        <v>4128</v>
      </c>
      <c r="E672" s="1" t="s">
        <v>4129</v>
      </c>
      <c r="G672" s="1" t="s">
        <v>4071</v>
      </c>
      <c r="H672" s="1">
        <v>1981.0</v>
      </c>
      <c r="I672" s="1" t="s">
        <v>97</v>
      </c>
      <c r="J672" s="1" t="s">
        <v>1428</v>
      </c>
      <c r="K672" s="1" t="s">
        <v>417</v>
      </c>
      <c r="L672" s="1" t="s">
        <v>4130</v>
      </c>
      <c r="M672" s="2" t="s">
        <v>12</v>
      </c>
      <c r="N672" s="4">
        <f t="shared" si="1"/>
        <v>44366</v>
      </c>
      <c r="O672" s="5" t="str">
        <f>IFERROR(__xludf.DUMMYFUNCTION("IF(REGEXMATCH(TRIM(I672), ""^\d+\s*min""), ""Unclassified"", IF(I672 = """", ""NR"", I672))"),"TV-14")</f>
        <v>TV-14</v>
      </c>
      <c r="R672" s="5" t="str">
        <f t="shared" si="2"/>
        <v>Mobile Suit Gundam Ii: Soldiers Of Sorrow</v>
      </c>
      <c r="S672" s="5" t="str">
        <f>IFERROR(__xludf.DUMMYFUNCTION("""COMPUTED_VALUE"""),"Attacking The Devil: Harold Evans And The Last Nazi War Crime")</f>
        <v>Attacking The Devil: Harold Evans And The Last Nazi War Crime</v>
      </c>
      <c r="T672" s="5" t="str">
        <f>IFERROR(__xludf.DUMMYFUNCTION("""COMPUTED_VALUE"""),"United States, India, Bangladesh")</f>
        <v>United States, India, Bangladesh</v>
      </c>
      <c r="U672" s="5" t="str">
        <f>IFERROR(__xludf.DUMMYFUNCTION("""COMPUTED_VALUE"""),"Nelson Mccormick")</f>
        <v>Nelson Mccormick</v>
      </c>
      <c r="V672" s="5" t="s">
        <v>4131</v>
      </c>
      <c r="W672" s="5" t="str">
        <f t="shared" si="3"/>
        <v>Carla Barros</v>
      </c>
      <c r="X672" s="5">
        <f t="shared" si="4"/>
        <v>1</v>
      </c>
      <c r="Y672" s="5" t="str">
        <f>IFERROR(__xludf.DUMMYFUNCTION("REGEXEXTRACT(J672, ""^\d+"")"),"133")</f>
        <v>133</v>
      </c>
      <c r="Z672" s="5" t="str">
        <f>IFERROR(__xludf.DUMMYFUNCTION("REGEXEXTRACT(J672, ""[A-Za-z ]+$"")")," min")</f>
        <v> min</v>
      </c>
      <c r="AA672" s="5" t="str">
        <f>IFERROR(__xludf.DUMMYFUNCTION("IF(REGEXMATCH(Z672, ""Season""), ""TV Show"", ""Movie"")"),"Movie")</f>
        <v>Movie</v>
      </c>
    </row>
    <row r="673">
      <c r="A673" s="1" t="s">
        <v>4132</v>
      </c>
      <c r="B673" s="1" t="s">
        <v>27</v>
      </c>
      <c r="C673" s="1" t="s">
        <v>4133</v>
      </c>
      <c r="D673" s="1" t="s">
        <v>4128</v>
      </c>
      <c r="E673" s="1" t="s">
        <v>4134</v>
      </c>
      <c r="G673" s="1" t="s">
        <v>4071</v>
      </c>
      <c r="H673" s="1">
        <v>1982.0</v>
      </c>
      <c r="I673" s="1" t="s">
        <v>42</v>
      </c>
      <c r="J673" s="1" t="s">
        <v>1704</v>
      </c>
      <c r="K673" s="1" t="s">
        <v>417</v>
      </c>
      <c r="L673" s="1" t="s">
        <v>4135</v>
      </c>
      <c r="M673" s="2" t="s">
        <v>12</v>
      </c>
      <c r="N673" s="4">
        <f t="shared" si="1"/>
        <v>44366</v>
      </c>
      <c r="O673" s="5" t="str">
        <f>IFERROR(__xludf.DUMMYFUNCTION("IF(REGEXMATCH(TRIM(I673), ""^\d+\s*min""), ""Unclassified"", IF(I673 = """", ""NR"", I673))"),"TV-MA")</f>
        <v>TV-MA</v>
      </c>
      <c r="R673" s="5" t="str">
        <f t="shared" si="2"/>
        <v>Mobile Suit Gundam Iii: Encounters In Space</v>
      </c>
      <c r="S673" s="5" t="str">
        <f>IFERROR(__xludf.DUMMYFUNCTION("""COMPUTED_VALUE"""),"Attitude Test")</f>
        <v>Attitude Test</v>
      </c>
      <c r="T673" s="5" t="str">
        <f>IFERROR(__xludf.DUMMYFUNCTION("""COMPUTED_VALUE"""),"United States, India, France")</f>
        <v>United States, India, France</v>
      </c>
      <c r="U673" s="5" t="str">
        <f>IFERROR(__xludf.DUMMYFUNCTION("""COMPUTED_VALUE"""),"Mic Rodgers")</f>
        <v>Mic Rodgers</v>
      </c>
      <c r="V673" s="5" t="s">
        <v>4136</v>
      </c>
      <c r="W673" s="5" t="str">
        <f t="shared" si="3"/>
        <v>Carles Torras</v>
      </c>
      <c r="X673" s="5">
        <f t="shared" si="4"/>
        <v>1</v>
      </c>
      <c r="Y673" s="5" t="str">
        <f>IFERROR(__xludf.DUMMYFUNCTION("REGEXEXTRACT(J673, ""^\d+"")"),"140")</f>
        <v>140</v>
      </c>
      <c r="Z673" s="5" t="str">
        <f>IFERROR(__xludf.DUMMYFUNCTION("REGEXEXTRACT(J673, ""[A-Za-z ]+$"")")," min")</f>
        <v> min</v>
      </c>
      <c r="AA673" s="5" t="str">
        <f>IFERROR(__xludf.DUMMYFUNCTION("IF(REGEXMATCH(Z673, ""Season""), ""TV Show"", ""Movie"")"),"Movie")</f>
        <v>Movie</v>
      </c>
    </row>
    <row r="674">
      <c r="A674" s="1" t="s">
        <v>4137</v>
      </c>
      <c r="B674" s="1" t="s">
        <v>27</v>
      </c>
      <c r="C674" s="1" t="s">
        <v>4138</v>
      </c>
      <c r="D674" s="1" t="s">
        <v>4139</v>
      </c>
      <c r="E674" s="1" t="s">
        <v>4140</v>
      </c>
      <c r="G674" s="1" t="s">
        <v>4071</v>
      </c>
      <c r="H674" s="1">
        <v>1988.0</v>
      </c>
      <c r="I674" s="1" t="s">
        <v>97</v>
      </c>
      <c r="J674" s="1" t="s">
        <v>985</v>
      </c>
      <c r="K674" s="1" t="s">
        <v>417</v>
      </c>
      <c r="L674" s="1" t="s">
        <v>4141</v>
      </c>
      <c r="M674" s="2" t="s">
        <v>12</v>
      </c>
      <c r="N674" s="4">
        <f t="shared" si="1"/>
        <v>44366</v>
      </c>
      <c r="O674" s="5" t="str">
        <f>IFERROR(__xludf.DUMMYFUNCTION("IF(REGEXMATCH(TRIM(I674), ""^\d+\s*min""), ""Unclassified"", IF(I674 = """", ""NR"", I674))"),"TV-14")</f>
        <v>TV-14</v>
      </c>
      <c r="R674" s="5" t="str">
        <f t="shared" si="2"/>
        <v>Mobile Suit Gundam: Char'S Counterattack</v>
      </c>
      <c r="S674" s="5" t="str">
        <f>IFERROR(__xludf.DUMMYFUNCTION("""COMPUTED_VALUE"""),"Atypical")</f>
        <v>Atypical</v>
      </c>
      <c r="T674" s="5" t="str">
        <f>IFERROR(__xludf.DUMMYFUNCTION("""COMPUTED_VALUE"""),"United States, India, South Korea, China")</f>
        <v>United States, India, South Korea, China</v>
      </c>
      <c r="U674" s="5" t="str">
        <f>IFERROR(__xludf.DUMMYFUNCTION("""COMPUTED_VALUE"""),"Bejoy Nambiar")</f>
        <v>Bejoy Nambiar</v>
      </c>
      <c r="V674" s="5" t="s">
        <v>4142</v>
      </c>
      <c r="W674" s="5" t="str">
        <f t="shared" si="3"/>
        <v>Carlo Padial</v>
      </c>
      <c r="X674" s="5">
        <f t="shared" si="4"/>
        <v>1</v>
      </c>
      <c r="Y674" s="5" t="str">
        <f>IFERROR(__xludf.DUMMYFUNCTION("REGEXEXTRACT(J674, ""^\d+"")"),"120")</f>
        <v>120</v>
      </c>
      <c r="Z674" s="5" t="str">
        <f>IFERROR(__xludf.DUMMYFUNCTION("REGEXEXTRACT(J674, ""[A-Za-z ]+$"")")," min")</f>
        <v> min</v>
      </c>
      <c r="AA674" s="5" t="str">
        <f>IFERROR(__xludf.DUMMYFUNCTION("IF(REGEXMATCH(Z674, ""Season""), ""TV Show"", ""Movie"")"),"Movie")</f>
        <v>Movie</v>
      </c>
    </row>
    <row r="675">
      <c r="A675" s="1" t="s">
        <v>4143</v>
      </c>
      <c r="B675" s="1" t="s">
        <v>37</v>
      </c>
      <c r="C675" s="1" t="s">
        <v>4144</v>
      </c>
      <c r="E675" s="1" t="s">
        <v>4145</v>
      </c>
      <c r="F675" s="1" t="s">
        <v>1815</v>
      </c>
      <c r="G675" s="1" t="s">
        <v>4071</v>
      </c>
      <c r="H675" s="1">
        <v>2019.0</v>
      </c>
      <c r="I675" s="1" t="s">
        <v>42</v>
      </c>
      <c r="J675" s="1" t="s">
        <v>51</v>
      </c>
      <c r="K675" s="1" t="s">
        <v>4146</v>
      </c>
      <c r="L675" s="1" t="s">
        <v>4147</v>
      </c>
      <c r="M675" s="2" t="s">
        <v>12</v>
      </c>
      <c r="N675" s="4">
        <f t="shared" si="1"/>
        <v>44366</v>
      </c>
      <c r="O675" s="5" t="str">
        <f>IFERROR(__xludf.DUMMYFUNCTION("IF(REGEXMATCH(TRIM(I675), ""^\d+\s*min""), ""Unclassified"", IF(I675 = """", ""NR"", I675))"),"TV-MA")</f>
        <v>TV-MA</v>
      </c>
      <c r="R675" s="5" t="str">
        <f t="shared" si="2"/>
        <v>No Time For Shame</v>
      </c>
      <c r="S675" s="5" t="str">
        <f>IFERROR(__xludf.DUMMYFUNCTION("""COMPUTED_VALUE"""),"Au Coeur Des Gangs")</f>
        <v>Au Coeur Des Gangs</v>
      </c>
      <c r="T675" s="5" t="str">
        <f>IFERROR(__xludf.DUMMYFUNCTION("""COMPUTED_VALUE"""),"United States, India, United Arab Emirates")</f>
        <v>United States, India, United Arab Emirates</v>
      </c>
      <c r="U675" s="5" t="str">
        <f>IFERROR(__xludf.DUMMYFUNCTION("""COMPUTED_VALUE"""),"Shawn Rech")</f>
        <v>Shawn Rech</v>
      </c>
      <c r="V675" s="5" t="s">
        <v>4148</v>
      </c>
      <c r="W675" s="5" t="str">
        <f t="shared" si="3"/>
        <v>Carlos Algara, Alejandro Martinez-Beltran</v>
      </c>
      <c r="X675" s="5">
        <f t="shared" si="4"/>
        <v>1</v>
      </c>
      <c r="Y675" s="5" t="str">
        <f>IFERROR(__xludf.DUMMYFUNCTION("REGEXEXTRACT(J675, ""^\d+"")"),"1")</f>
        <v>1</v>
      </c>
      <c r="Z675" s="5" t="str">
        <f>IFERROR(__xludf.DUMMYFUNCTION("REGEXEXTRACT(J675, ""[A-Za-z ]+$"")")," Season")</f>
        <v> Season</v>
      </c>
      <c r="AA675" s="5" t="str">
        <f>IFERROR(__xludf.DUMMYFUNCTION("IF(REGEXMATCH(Z675, ""Season""), ""TV Show"", ""Movie"")"),"TV Show")</f>
        <v>TV Show</v>
      </c>
    </row>
    <row r="676">
      <c r="A676" s="1" t="s">
        <v>4149</v>
      </c>
      <c r="B676" s="1" t="s">
        <v>37</v>
      </c>
      <c r="C676" s="1" t="s">
        <v>4150</v>
      </c>
      <c r="E676" s="1" t="s">
        <v>4151</v>
      </c>
      <c r="F676" s="1" t="s">
        <v>30</v>
      </c>
      <c r="G676" s="1" t="s">
        <v>4071</v>
      </c>
      <c r="H676" s="1">
        <v>2019.0</v>
      </c>
      <c r="I676" s="1" t="s">
        <v>42</v>
      </c>
      <c r="J676" s="1" t="s">
        <v>43</v>
      </c>
      <c r="K676" s="1" t="s">
        <v>2709</v>
      </c>
      <c r="L676" s="1" t="s">
        <v>4152</v>
      </c>
      <c r="M676" s="2" t="s">
        <v>12</v>
      </c>
      <c r="N676" s="4">
        <f t="shared" si="1"/>
        <v>44366</v>
      </c>
      <c r="O676" s="5" t="str">
        <f>IFERROR(__xludf.DUMMYFUNCTION("IF(REGEXMATCH(TRIM(I676), ""^\d+\s*min""), ""Unclassified"", IF(I676 = """", ""NR"", I676))"),"TV-MA")</f>
        <v>TV-MA</v>
      </c>
      <c r="R676" s="5" t="str">
        <f t="shared" si="2"/>
        <v>Pose</v>
      </c>
      <c r="S676" s="5" t="str">
        <f>IFERROR(__xludf.DUMMYFUNCTION("""COMPUTED_VALUE"""),"Audible")</f>
        <v>Audible</v>
      </c>
      <c r="T676" s="5" t="str">
        <f>IFERROR(__xludf.DUMMYFUNCTION("""COMPUTED_VALUE"""),"United States, India, United Kingdom")</f>
        <v>United States, India, United Kingdom</v>
      </c>
      <c r="U676" s="5" t="str">
        <f>IFERROR(__xludf.DUMMYFUNCTION("""COMPUTED_VALUE"""),"Peyton Reed")</f>
        <v>Peyton Reed</v>
      </c>
      <c r="V676" s="5" t="s">
        <v>4153</v>
      </c>
      <c r="W676" s="5" t="str">
        <f t="shared" si="3"/>
        <v>Carlos Bolado</v>
      </c>
      <c r="X676" s="5">
        <f t="shared" si="4"/>
        <v>1</v>
      </c>
      <c r="Y676" s="5" t="str">
        <f>IFERROR(__xludf.DUMMYFUNCTION("REGEXEXTRACT(J676, ""^\d+"")"),"2")</f>
        <v>2</v>
      </c>
      <c r="Z676" s="5" t="str">
        <f>IFERROR(__xludf.DUMMYFUNCTION("REGEXEXTRACT(J676, ""[A-Za-z ]+$"")")," Seasons")</f>
        <v> Seasons</v>
      </c>
      <c r="AA676" s="5" t="str">
        <f>IFERROR(__xludf.DUMMYFUNCTION("IF(REGEXMATCH(Z676, ""Season""), ""TV Show"", ""Movie"")"),"TV Show")</f>
        <v>TV Show</v>
      </c>
    </row>
    <row r="677">
      <c r="A677" s="1" t="s">
        <v>4154</v>
      </c>
      <c r="B677" s="1" t="s">
        <v>37</v>
      </c>
      <c r="C677" s="1" t="s">
        <v>4155</v>
      </c>
      <c r="E677" s="1" t="s">
        <v>4156</v>
      </c>
      <c r="F677" s="1" t="s">
        <v>415</v>
      </c>
      <c r="G677" s="1" t="s">
        <v>4071</v>
      </c>
      <c r="H677" s="1">
        <v>2018.0</v>
      </c>
      <c r="I677" s="1" t="s">
        <v>42</v>
      </c>
      <c r="J677" s="1" t="s">
        <v>51</v>
      </c>
      <c r="K677" s="1" t="s">
        <v>530</v>
      </c>
      <c r="L677" s="1" t="s">
        <v>4157</v>
      </c>
      <c r="M677" s="2" t="s">
        <v>12</v>
      </c>
      <c r="N677" s="4">
        <f t="shared" si="1"/>
        <v>44366</v>
      </c>
      <c r="O677" s="5" t="str">
        <f>IFERROR(__xludf.DUMMYFUNCTION("IF(REGEXMATCH(TRIM(I677), ""^\d+\s*min""), ""Unclassified"", IF(I677 = """", ""NR"", I677))"),"TV-MA")</f>
        <v>TV-MA</v>
      </c>
      <c r="R677" s="5" t="str">
        <f t="shared" si="2"/>
        <v>Rea(L)Ove</v>
      </c>
      <c r="S677" s="5" t="str">
        <f>IFERROR(__xludf.DUMMYFUNCTION("""COMPUTED_VALUE"""),"Audrey")</f>
        <v>Audrey</v>
      </c>
      <c r="T677" s="5" t="str">
        <f>IFERROR(__xludf.DUMMYFUNCTION("""COMPUTED_VALUE"""),"United States, Indonesia")</f>
        <v>United States, Indonesia</v>
      </c>
      <c r="U677" s="5" t="str">
        <f>IFERROR(__xludf.DUMMYFUNCTION("""COMPUTED_VALUE"""),"Julian Schnabel")</f>
        <v>Julian Schnabel</v>
      </c>
      <c r="V677" s="5" t="s">
        <v>4158</v>
      </c>
      <c r="W677" s="5" t="str">
        <f t="shared" si="3"/>
        <v>Carlos Marques-Marcet</v>
      </c>
      <c r="X677" s="5">
        <f t="shared" si="4"/>
        <v>1</v>
      </c>
      <c r="Y677" s="5" t="str">
        <f>IFERROR(__xludf.DUMMYFUNCTION("REGEXEXTRACT(J677, ""^\d+"")"),"1")</f>
        <v>1</v>
      </c>
      <c r="Z677" s="5" t="str">
        <f>IFERROR(__xludf.DUMMYFUNCTION("REGEXEXTRACT(J677, ""[A-Za-z ]+$"")")," Season")</f>
        <v> Season</v>
      </c>
      <c r="AA677" s="5" t="str">
        <f>IFERROR(__xludf.DUMMYFUNCTION("IF(REGEXMATCH(Z677, ""Season""), ""TV Show"", ""Movie"")"),"TV Show")</f>
        <v>TV Show</v>
      </c>
    </row>
    <row r="678">
      <c r="A678" s="1" t="s">
        <v>4159</v>
      </c>
      <c r="B678" s="1" t="s">
        <v>37</v>
      </c>
      <c r="C678" s="1" t="s">
        <v>4160</v>
      </c>
      <c r="D678" s="1" t="s">
        <v>4161</v>
      </c>
      <c r="E678" s="1" t="s">
        <v>4162</v>
      </c>
      <c r="F678" s="1" t="s">
        <v>30</v>
      </c>
      <c r="G678" s="1" t="s">
        <v>4071</v>
      </c>
      <c r="H678" s="1">
        <v>2019.0</v>
      </c>
      <c r="I678" s="1" t="s">
        <v>97</v>
      </c>
      <c r="J678" s="1" t="s">
        <v>148</v>
      </c>
      <c r="K678" s="1" t="s">
        <v>1510</v>
      </c>
      <c r="L678" s="1" t="s">
        <v>4163</v>
      </c>
      <c r="M678" s="2" t="s">
        <v>12</v>
      </c>
      <c r="N678" s="4">
        <f t="shared" si="1"/>
        <v>44366</v>
      </c>
      <c r="O678" s="5" t="str">
        <f>IFERROR(__xludf.DUMMYFUNCTION("IF(REGEXMATCH(TRIM(I678), ""^\d+\s*min""), ""Unclassified"", IF(I678 = """", ""NR"", I678))"),"TV-14")</f>
        <v>TV-14</v>
      </c>
      <c r="R678" s="5" t="str">
        <f t="shared" si="2"/>
        <v>Riverdale</v>
      </c>
      <c r="S678" s="5" t="str">
        <f>IFERROR(__xludf.DUMMYFUNCTION("""COMPUTED_VALUE"""),"Audrie &amp; Daisy")</f>
        <v>Audrie &amp; Daisy</v>
      </c>
      <c r="T678" s="5" t="str">
        <f>IFERROR(__xludf.DUMMYFUNCTION("""COMPUTED_VALUE"""),"United States, Ireland")</f>
        <v>United States, Ireland</v>
      </c>
      <c r="U678" s="5" t="str">
        <f>IFERROR(__xludf.DUMMYFUNCTION("""COMPUTED_VALUE"""),"Adrián García Bogliano")</f>
        <v>Adrián García Bogliano</v>
      </c>
      <c r="V678" s="5" t="s">
        <v>4164</v>
      </c>
      <c r="W678" s="5" t="str">
        <f t="shared" si="3"/>
        <v>Carlos Moreno</v>
      </c>
      <c r="X678" s="5">
        <f t="shared" si="4"/>
        <v>1</v>
      </c>
      <c r="Y678" s="5" t="str">
        <f>IFERROR(__xludf.DUMMYFUNCTION("REGEXEXTRACT(J678, ""^\d+"")"),"4")</f>
        <v>4</v>
      </c>
      <c r="Z678" s="5" t="str">
        <f>IFERROR(__xludf.DUMMYFUNCTION("REGEXEXTRACT(J678, ""[A-Za-z ]+$"")")," Seasons")</f>
        <v> Seasons</v>
      </c>
      <c r="AA678" s="5" t="str">
        <f>IFERROR(__xludf.DUMMYFUNCTION("IF(REGEXMATCH(Z678, ""Season""), ""TV Show"", ""Movie"")"),"TV Show")</f>
        <v>TV Show</v>
      </c>
    </row>
    <row r="679">
      <c r="A679" s="1" t="s">
        <v>4165</v>
      </c>
      <c r="B679" s="1" t="s">
        <v>37</v>
      </c>
      <c r="C679" s="1" t="s">
        <v>4166</v>
      </c>
      <c r="E679" s="1" t="s">
        <v>4167</v>
      </c>
      <c r="F679" s="1" t="s">
        <v>1979</v>
      </c>
      <c r="G679" s="1" t="s">
        <v>4071</v>
      </c>
      <c r="H679" s="1">
        <v>2020.0</v>
      </c>
      <c r="I679" s="1" t="s">
        <v>42</v>
      </c>
      <c r="J679" s="1" t="s">
        <v>439</v>
      </c>
      <c r="K679" s="1" t="s">
        <v>270</v>
      </c>
      <c r="L679" s="1" t="s">
        <v>4168</v>
      </c>
      <c r="M679" s="2" t="s">
        <v>12</v>
      </c>
      <c r="N679" s="4">
        <f t="shared" si="1"/>
        <v>44366</v>
      </c>
      <c r="O679" s="5" t="str">
        <f>IFERROR(__xludf.DUMMYFUNCTION("IF(REGEXMATCH(TRIM(I679), ""^\d+\s*min""), ""Unclassified"", IF(I679 = """", ""NR"", I679))"),"TV-MA")</f>
        <v>TV-MA</v>
      </c>
      <c r="R679" s="5" t="str">
        <f t="shared" si="2"/>
        <v>Schitt'S Creek</v>
      </c>
      <c r="S679" s="5" t="str">
        <f>IFERROR(__xludf.DUMMYFUNCTION("""COMPUTED_VALUE"""),"August: Osage County")</f>
        <v>August: Osage County</v>
      </c>
      <c r="T679" s="5" t="str">
        <f>IFERROR(__xludf.DUMMYFUNCTION("""COMPUTED_VALUE"""),"United States, Ireland, United Kingdom, India")</f>
        <v>United States, Ireland, United Kingdom, India</v>
      </c>
      <c r="U679" s="5" t="str">
        <f>IFERROR(__xludf.DUMMYFUNCTION("""COMPUTED_VALUE"""),"Jose Gomez")</f>
        <v>Jose Gomez</v>
      </c>
      <c r="V679" s="5" t="s">
        <v>4169</v>
      </c>
      <c r="W679" s="5" t="str">
        <f t="shared" si="3"/>
        <v>Carlos Morett</v>
      </c>
      <c r="X679" s="5">
        <f t="shared" si="4"/>
        <v>1</v>
      </c>
      <c r="Y679" s="5" t="str">
        <f>IFERROR(__xludf.DUMMYFUNCTION("REGEXEXTRACT(J679, ""^\d+"")"),"6")</f>
        <v>6</v>
      </c>
      <c r="Z679" s="5" t="str">
        <f>IFERROR(__xludf.DUMMYFUNCTION("REGEXEXTRACT(J679, ""[A-Za-z ]+$"")")," Seasons")</f>
        <v> Seasons</v>
      </c>
      <c r="AA679" s="5" t="str">
        <f>IFERROR(__xludf.DUMMYFUNCTION("IF(REGEXMATCH(Z679, ""Season""), ""TV Show"", ""Movie"")"),"TV Show")</f>
        <v>TV Show</v>
      </c>
    </row>
    <row r="680">
      <c r="A680" s="1" t="s">
        <v>4170</v>
      </c>
      <c r="B680" s="1" t="s">
        <v>37</v>
      </c>
      <c r="C680" s="1" t="s">
        <v>4171</v>
      </c>
      <c r="E680" s="1" t="s">
        <v>4172</v>
      </c>
      <c r="F680" s="1" t="s">
        <v>30</v>
      </c>
      <c r="G680" s="1" t="s">
        <v>4071</v>
      </c>
      <c r="H680" s="1">
        <v>2018.0</v>
      </c>
      <c r="I680" s="1" t="s">
        <v>42</v>
      </c>
      <c r="J680" s="1" t="s">
        <v>51</v>
      </c>
      <c r="K680" s="1" t="s">
        <v>4173</v>
      </c>
      <c r="L680" s="1" t="s">
        <v>4174</v>
      </c>
      <c r="M680" s="2" t="s">
        <v>12</v>
      </c>
      <c r="N680" s="4">
        <f t="shared" si="1"/>
        <v>44366</v>
      </c>
      <c r="O680" s="5" t="str">
        <f>IFERROR(__xludf.DUMMYFUNCTION("IF(REGEXMATCH(TRIM(I680), ""^\d+\s*min""), ""Unclassified"", IF(I680 = """", ""NR"", I680))"),"TV-MA")</f>
        <v>TV-MA</v>
      </c>
      <c r="R680" s="5" t="str">
        <f t="shared" si="2"/>
        <v>The Assassination Of Gianni Versace</v>
      </c>
      <c r="S680" s="5" t="str">
        <f>IFERROR(__xludf.DUMMYFUNCTION("""COMPUTED_VALUE"""),"Aunty Donna'S Big Ol' House Of Fun")</f>
        <v>Aunty Donna'S Big Ol' House Of Fun</v>
      </c>
      <c r="T680" s="5" t="str">
        <f>IFERROR(__xludf.DUMMYFUNCTION("""COMPUTED_VALUE"""),"United States, Israel, Italy, South Africa")</f>
        <v>United States, Israel, Italy, South Africa</v>
      </c>
      <c r="U680" s="5" t="str">
        <f>IFERROR(__xludf.DUMMYFUNCTION("""COMPUTED_VALUE"""),"Jonathon Link")</f>
        <v>Jonathon Link</v>
      </c>
      <c r="V680" s="5" t="s">
        <v>4175</v>
      </c>
      <c r="W680" s="5" t="str">
        <f t="shared" si="3"/>
        <v>Carlos Pérez Osorio</v>
      </c>
      <c r="X680" s="5">
        <f t="shared" si="4"/>
        <v>1</v>
      </c>
      <c r="Y680" s="5" t="str">
        <f>IFERROR(__xludf.DUMMYFUNCTION("REGEXEXTRACT(J680, ""^\d+"")"),"1")</f>
        <v>1</v>
      </c>
      <c r="Z680" s="5" t="str">
        <f>IFERROR(__xludf.DUMMYFUNCTION("REGEXEXTRACT(J680, ""[A-Za-z ]+$"")")," Season")</f>
        <v> Season</v>
      </c>
      <c r="AA680" s="5" t="str">
        <f>IFERROR(__xludf.DUMMYFUNCTION("IF(REGEXMATCH(Z680, ""Season""), ""TV Show"", ""Movie"")"),"TV Show")</f>
        <v>TV Show</v>
      </c>
    </row>
    <row r="681">
      <c r="A681" s="1" t="s">
        <v>4176</v>
      </c>
      <c r="B681" s="1" t="s">
        <v>37</v>
      </c>
      <c r="C681" s="1" t="s">
        <v>4177</v>
      </c>
      <c r="E681" s="1" t="s">
        <v>4178</v>
      </c>
      <c r="F681" s="1" t="s">
        <v>2796</v>
      </c>
      <c r="G681" s="1" t="s">
        <v>4071</v>
      </c>
      <c r="H681" s="1">
        <v>2018.0</v>
      </c>
      <c r="I681" s="1" t="s">
        <v>42</v>
      </c>
      <c r="J681" s="1" t="s">
        <v>51</v>
      </c>
      <c r="K681" s="1" t="s">
        <v>1362</v>
      </c>
      <c r="L681" s="1" t="s">
        <v>4179</v>
      </c>
      <c r="M681" s="2" t="s">
        <v>12</v>
      </c>
      <c r="N681" s="4">
        <f t="shared" si="1"/>
        <v>44366</v>
      </c>
      <c r="O681" s="5" t="str">
        <f>IFERROR(__xludf.DUMMYFUNCTION("IF(REGEXMATCH(TRIM(I681), ""^\d+\s*min""), ""Unclassified"", IF(I681 = """", ""NR"", I681))"),"TV-MA")</f>
        <v>TV-MA</v>
      </c>
      <c r="R681" s="5" t="str">
        <f t="shared" si="2"/>
        <v>The Judgement</v>
      </c>
      <c r="S681" s="5" t="str">
        <f>IFERROR(__xludf.DUMMYFUNCTION("""COMPUTED_VALUE"""),"Aurora")</f>
        <v>Aurora</v>
      </c>
      <c r="T681" s="5" t="str">
        <f>IFERROR(__xludf.DUMMYFUNCTION("""COMPUTED_VALUE"""),"United States, Israel, United Kingdom, Canada")</f>
        <v>United States, Israel, United Kingdom, Canada</v>
      </c>
      <c r="U681" s="5" t="str">
        <f>IFERROR(__xludf.DUMMYFUNCTION("""COMPUTED_VALUE"""),"Blair Simmons")</f>
        <v>Blair Simmons</v>
      </c>
      <c r="V681" s="5" t="s">
        <v>4180</v>
      </c>
      <c r="W681" s="5" t="str">
        <f t="shared" si="3"/>
        <v>Carlos Sedes</v>
      </c>
      <c r="X681" s="5">
        <f t="shared" si="4"/>
        <v>1</v>
      </c>
      <c r="Y681" s="5" t="str">
        <f>IFERROR(__xludf.DUMMYFUNCTION("REGEXEXTRACT(J681, ""^\d+"")"),"1")</f>
        <v>1</v>
      </c>
      <c r="Z681" s="5" t="str">
        <f>IFERROR(__xludf.DUMMYFUNCTION("REGEXEXTRACT(J681, ""[A-Za-z ]+$"")")," Season")</f>
        <v> Season</v>
      </c>
      <c r="AA681" s="5" t="str">
        <f>IFERROR(__xludf.DUMMYFUNCTION("IF(REGEXMATCH(Z681, ""Season""), ""TV Show"", ""Movie"")"),"TV Show")</f>
        <v>TV Show</v>
      </c>
    </row>
    <row r="682">
      <c r="A682" s="1" t="s">
        <v>4181</v>
      </c>
      <c r="B682" s="1" t="s">
        <v>37</v>
      </c>
      <c r="C682" s="1" t="s">
        <v>4182</v>
      </c>
      <c r="E682" s="1" t="s">
        <v>4183</v>
      </c>
      <c r="F682" s="1" t="s">
        <v>30</v>
      </c>
      <c r="G682" s="1" t="s">
        <v>4071</v>
      </c>
      <c r="H682" s="1">
        <v>2020.0</v>
      </c>
      <c r="I682" s="1" t="s">
        <v>42</v>
      </c>
      <c r="J682" s="1" t="s">
        <v>51</v>
      </c>
      <c r="K682" s="1" t="s">
        <v>1261</v>
      </c>
      <c r="L682" s="1" t="s">
        <v>4184</v>
      </c>
      <c r="M682" s="2" t="s">
        <v>12</v>
      </c>
      <c r="N682" s="4">
        <f t="shared" si="1"/>
        <v>44366</v>
      </c>
      <c r="O682" s="5" t="str">
        <f>IFERROR(__xludf.DUMMYFUNCTION("IF(REGEXMATCH(TRIM(I682), ""^\d+\s*min""), ""Unclassified"", IF(I682 = """", ""NR"", I682))"),"TV-MA")</f>
        <v>TV-MA</v>
      </c>
      <c r="R682" s="5" t="str">
        <f t="shared" si="2"/>
        <v>The Last Dance</v>
      </c>
      <c r="S682" s="5" t="str">
        <f>IFERROR(__xludf.DUMMYFUNCTION("""COMPUTED_VALUE"""),"Auschwitz: Blueprints Of Genocide")</f>
        <v>Auschwitz: Blueprints Of Genocide</v>
      </c>
      <c r="T682" s="5" t="str">
        <f>IFERROR(__xludf.DUMMYFUNCTION("""COMPUTED_VALUE"""),"United States, Italy")</f>
        <v>United States, Italy</v>
      </c>
      <c r="U682" s="5" t="str">
        <f>IFERROR(__xludf.DUMMYFUNCTION("""COMPUTED_VALUE"""),"Justin Chadwick")</f>
        <v>Justin Chadwick</v>
      </c>
      <c r="V682" s="5" t="s">
        <v>4185</v>
      </c>
      <c r="W682" s="5" t="str">
        <f t="shared" si="3"/>
        <v>Carlos Sorín</v>
      </c>
      <c r="X682" s="5">
        <f t="shared" si="4"/>
        <v>1</v>
      </c>
      <c r="Y682" s="5" t="str">
        <f>IFERROR(__xludf.DUMMYFUNCTION("REGEXEXTRACT(J682, ""^\d+"")"),"1")</f>
        <v>1</v>
      </c>
      <c r="Z682" s="5" t="str">
        <f>IFERROR(__xludf.DUMMYFUNCTION("REGEXEXTRACT(J682, ""[A-Za-z ]+$"")")," Season")</f>
        <v> Season</v>
      </c>
      <c r="AA682" s="5" t="str">
        <f>IFERROR(__xludf.DUMMYFUNCTION("IF(REGEXMATCH(Z682, ""Season""), ""TV Show"", ""Movie"")"),"TV Show")</f>
        <v>TV Show</v>
      </c>
    </row>
    <row r="683">
      <c r="A683" s="1" t="s">
        <v>4186</v>
      </c>
      <c r="B683" s="1" t="s">
        <v>37</v>
      </c>
      <c r="C683" s="1" t="s">
        <v>4187</v>
      </c>
      <c r="D683" s="1" t="s">
        <v>4188</v>
      </c>
      <c r="E683" s="1" t="s">
        <v>4189</v>
      </c>
      <c r="F683" s="1" t="s">
        <v>96</v>
      </c>
      <c r="G683" s="1" t="s">
        <v>4071</v>
      </c>
      <c r="H683" s="1">
        <v>2018.0</v>
      </c>
      <c r="I683" s="1" t="s">
        <v>42</v>
      </c>
      <c r="J683" s="1" t="s">
        <v>51</v>
      </c>
      <c r="K683" s="1" t="s">
        <v>4190</v>
      </c>
      <c r="L683" s="1" t="s">
        <v>4191</v>
      </c>
      <c r="M683" s="2" t="s">
        <v>12</v>
      </c>
      <c r="N683" s="4">
        <f t="shared" si="1"/>
        <v>44366</v>
      </c>
      <c r="O683" s="5" t="str">
        <f>IFERROR(__xludf.DUMMYFUNCTION("IF(REGEXMATCH(TRIM(I683), ""^\d+\s*min""), ""Unclassified"", IF(I683 = """", ""NR"", I683))"),"TV-MA")</f>
        <v>TV-MA</v>
      </c>
      <c r="R683" s="5" t="str">
        <f t="shared" si="2"/>
        <v>They'Ve Gotta Have Us</v>
      </c>
      <c r="S683" s="5" t="str">
        <f>IFERROR(__xludf.DUMMYFUNCTION("""COMPUTED_VALUE"""),"Aussie Gold Hunters")</f>
        <v>Aussie Gold Hunters</v>
      </c>
      <c r="T683" s="5" t="str">
        <f>IFERROR(__xludf.DUMMYFUNCTION("""COMPUTED_VALUE"""),"United States, Italy, France, Japan")</f>
        <v>United States, Italy, France, Japan</v>
      </c>
      <c r="U683" s="5" t="str">
        <f>IFERROR(__xludf.DUMMYFUNCTION("""COMPUTED_VALUE"""),"John Hillcoat")</f>
        <v>John Hillcoat</v>
      </c>
      <c r="V683" s="5" t="s">
        <v>4192</v>
      </c>
      <c r="W683" s="5" t="str">
        <f t="shared" si="3"/>
        <v>Carlos Therón</v>
      </c>
      <c r="X683" s="5">
        <f t="shared" si="4"/>
        <v>1</v>
      </c>
      <c r="Y683" s="5" t="str">
        <f>IFERROR(__xludf.DUMMYFUNCTION("REGEXEXTRACT(J683, ""^\d+"")"),"1")</f>
        <v>1</v>
      </c>
      <c r="Z683" s="5" t="str">
        <f>IFERROR(__xludf.DUMMYFUNCTION("REGEXEXTRACT(J683, ""[A-Za-z ]+$"")")," Season")</f>
        <v> Season</v>
      </c>
      <c r="AA683" s="5" t="str">
        <f>IFERROR(__xludf.DUMMYFUNCTION("IF(REGEXMATCH(Z683, ""Season""), ""TV Show"", ""Movie"")"),"TV Show")</f>
        <v>TV Show</v>
      </c>
    </row>
    <row r="684">
      <c r="A684" s="1" t="s">
        <v>4193</v>
      </c>
      <c r="B684" s="1" t="s">
        <v>37</v>
      </c>
      <c r="C684" s="1" t="s">
        <v>4194</v>
      </c>
      <c r="E684" s="1" t="s">
        <v>4195</v>
      </c>
      <c r="F684" s="1" t="s">
        <v>221</v>
      </c>
      <c r="G684" s="1" t="s">
        <v>4071</v>
      </c>
      <c r="H684" s="1">
        <v>2021.0</v>
      </c>
      <c r="I684" s="1" t="s">
        <v>42</v>
      </c>
      <c r="J684" s="1" t="s">
        <v>51</v>
      </c>
      <c r="K684" s="1" t="s">
        <v>1294</v>
      </c>
      <c r="L684" s="1" t="s">
        <v>4196</v>
      </c>
      <c r="M684" s="2" t="s">
        <v>12</v>
      </c>
      <c r="N684" s="4">
        <f t="shared" si="1"/>
        <v>44366</v>
      </c>
      <c r="O684" s="5" t="str">
        <f>IFERROR(__xludf.DUMMYFUNCTION("IF(REGEXMATCH(TRIM(I684), ""^\d+\s*min""), ""Unclassified"", IF(I684 = """", ""NR"", I684))"),"TV-MA")</f>
        <v>TV-MA</v>
      </c>
      <c r="R684" s="5" t="str">
        <f t="shared" si="2"/>
        <v>Why Are You Like This</v>
      </c>
      <c r="S684" s="5" t="str">
        <f>IFERROR(__xludf.DUMMYFUNCTION("""COMPUTED_VALUE"""),"Austin Powers In Goldmember")</f>
        <v>Austin Powers In Goldmember</v>
      </c>
      <c r="T684" s="5" t="str">
        <f>IFERROR(__xludf.DUMMYFUNCTION("""COMPUTED_VALUE"""),"United States, Italy, Romania, United Kingdom")</f>
        <v>United States, Italy, Romania, United Kingdom</v>
      </c>
      <c r="U684" s="5" t="str">
        <f>IFERROR(__xludf.DUMMYFUNCTION("""COMPUTED_VALUE"""),"Nadine Ibrahim")</f>
        <v>Nadine Ibrahim</v>
      </c>
      <c r="V684" s="5" t="s">
        <v>4197</v>
      </c>
      <c r="W684" s="5" t="str">
        <f t="shared" si="3"/>
        <v>Carlos Vermut</v>
      </c>
      <c r="X684" s="5">
        <f t="shared" si="4"/>
        <v>1</v>
      </c>
      <c r="Y684" s="5" t="str">
        <f>IFERROR(__xludf.DUMMYFUNCTION("REGEXEXTRACT(J684, ""^\d+"")"),"1")</f>
        <v>1</v>
      </c>
      <c r="Z684" s="5" t="str">
        <f>IFERROR(__xludf.DUMMYFUNCTION("REGEXEXTRACT(J684, ""[A-Za-z ]+$"")")," Season")</f>
        <v> Season</v>
      </c>
      <c r="AA684" s="5" t="str">
        <f>IFERROR(__xludf.DUMMYFUNCTION("IF(REGEXMATCH(Z684, ""Season""), ""TV Show"", ""Movie"")"),"TV Show")</f>
        <v>TV Show</v>
      </c>
    </row>
    <row r="685">
      <c r="A685" s="1" t="s">
        <v>4198</v>
      </c>
      <c r="B685" s="1" t="s">
        <v>27</v>
      </c>
      <c r="C685" s="1" t="s">
        <v>4199</v>
      </c>
      <c r="D685" s="1" t="s">
        <v>4200</v>
      </c>
      <c r="E685" s="1" t="s">
        <v>4201</v>
      </c>
      <c r="G685" s="1" t="s">
        <v>4202</v>
      </c>
      <c r="H685" s="1">
        <v>2021.0</v>
      </c>
      <c r="I685" s="1" t="s">
        <v>42</v>
      </c>
      <c r="J685" s="1" t="s">
        <v>1369</v>
      </c>
      <c r="K685" s="1" t="s">
        <v>128</v>
      </c>
      <c r="L685" s="1" t="s">
        <v>4203</v>
      </c>
      <c r="M685" s="2" t="s">
        <v>12</v>
      </c>
      <c r="N685" s="4">
        <f t="shared" si="1"/>
        <v>44365</v>
      </c>
      <c r="O685" s="5" t="str">
        <f>IFERROR(__xludf.DUMMYFUNCTION("IF(REGEXMATCH(TRIM(I685), ""^\d+\s*min""), ""Unclassified"", IF(I685 = """", ""NR"", I685))"),"TV-MA")</f>
        <v>TV-MA</v>
      </c>
      <c r="R685" s="5" t="str">
        <f t="shared" si="2"/>
        <v>A Family</v>
      </c>
      <c r="S685" s="5" t="str">
        <f>IFERROR(__xludf.DUMMYFUNCTION("""COMPUTED_VALUE"""),"Austin Powers: International Man Of Mystery")</f>
        <v>Austin Powers: International Man Of Mystery</v>
      </c>
      <c r="T685" s="5" t="str">
        <f>IFERROR(__xludf.DUMMYFUNCTION("""COMPUTED_VALUE"""),"United States, Italy, United Kingdom, Liechtenstein")</f>
        <v>United States, Italy, United Kingdom, Liechtenstein</v>
      </c>
      <c r="U685" s="5" t="str">
        <f>IFERROR(__xludf.DUMMYFUNCTION("""COMPUTED_VALUE"""),"Roman White")</f>
        <v>Roman White</v>
      </c>
      <c r="V685" s="5" t="s">
        <v>4204</v>
      </c>
      <c r="W685" s="5" t="str">
        <f t="shared" si="3"/>
        <v>Carly Stone</v>
      </c>
      <c r="X685" s="5">
        <f t="shared" si="4"/>
        <v>1</v>
      </c>
      <c r="Y685" s="5" t="str">
        <f>IFERROR(__xludf.DUMMYFUNCTION("REGEXEXTRACT(J685, ""^\d+"")"),"135")</f>
        <v>135</v>
      </c>
      <c r="Z685" s="5" t="str">
        <f>IFERROR(__xludf.DUMMYFUNCTION("REGEXEXTRACT(J685, ""[A-Za-z ]+$"")")," min")</f>
        <v> min</v>
      </c>
      <c r="AA685" s="5" t="str">
        <f>IFERROR(__xludf.DUMMYFUNCTION("IF(REGEXMATCH(Z685, ""Season""), ""TV Show"", ""Movie"")"),"Movie")</f>
        <v>Movie</v>
      </c>
    </row>
    <row r="686">
      <c r="A686" s="1" t="s">
        <v>4205</v>
      </c>
      <c r="B686" s="1" t="s">
        <v>37</v>
      </c>
      <c r="C686" s="1" t="s">
        <v>4206</v>
      </c>
      <c r="E686" s="1" t="s">
        <v>4207</v>
      </c>
      <c r="F686" s="1" t="s">
        <v>784</v>
      </c>
      <c r="G686" s="1" t="s">
        <v>4202</v>
      </c>
      <c r="H686" s="1">
        <v>2021.0</v>
      </c>
      <c r="I686" s="1" t="s">
        <v>42</v>
      </c>
      <c r="J686" s="1" t="s">
        <v>148</v>
      </c>
      <c r="K686" s="1" t="s">
        <v>785</v>
      </c>
      <c r="L686" s="1" t="s">
        <v>4208</v>
      </c>
      <c r="M686" s="2" t="s">
        <v>12</v>
      </c>
      <c r="N686" s="4">
        <f t="shared" si="1"/>
        <v>44365</v>
      </c>
      <c r="O686" s="5" t="str">
        <f>IFERROR(__xludf.DUMMYFUNCTION("IF(REGEXMATCH(TRIM(I686), ""^\d+\s*min""), ""Unclassified"", IF(I686 = """", ""NR"", I686))"),"TV-MA")</f>
        <v>TV-MA</v>
      </c>
      <c r="R686" s="5" t="str">
        <f t="shared" si="2"/>
        <v>Elite</v>
      </c>
      <c r="S686" s="5" t="str">
        <f>IFERROR(__xludf.DUMMYFUNCTION("""COMPUTED_VALUE"""),"Austin Powers: The Spy Who Shagged Me")</f>
        <v>Austin Powers: The Spy Who Shagged Me</v>
      </c>
      <c r="T686" s="5" t="str">
        <f>IFERROR(__xludf.DUMMYFUNCTION("""COMPUTED_VALUE"""),"United States, Japan")</f>
        <v>United States, Japan</v>
      </c>
      <c r="U686" s="5" t="str">
        <f>IFERROR(__xludf.DUMMYFUNCTION("""COMPUTED_VALUE"""),"Fermín Muguruza")</f>
        <v>Fermín Muguruza</v>
      </c>
      <c r="V686" s="5" t="s">
        <v>4209</v>
      </c>
      <c r="W686" s="5" t="str">
        <f t="shared" si="3"/>
        <v>Caroline Suh</v>
      </c>
      <c r="X686" s="5">
        <f t="shared" si="4"/>
        <v>1</v>
      </c>
      <c r="Y686" s="5" t="str">
        <f>IFERROR(__xludf.DUMMYFUNCTION("REGEXEXTRACT(J686, ""^\d+"")"),"4")</f>
        <v>4</v>
      </c>
      <c r="Z686" s="5" t="str">
        <f>IFERROR(__xludf.DUMMYFUNCTION("REGEXEXTRACT(J686, ""[A-Za-z ]+$"")")," Seasons")</f>
        <v> Seasons</v>
      </c>
      <c r="AA686" s="5" t="str">
        <f>IFERROR(__xludf.DUMMYFUNCTION("IF(REGEXMATCH(Z686, ""Season""), ""TV Show"", ""Movie"")"),"TV Show")</f>
        <v>TV Show</v>
      </c>
    </row>
    <row r="687">
      <c r="A687" s="1" t="s">
        <v>4210</v>
      </c>
      <c r="B687" s="1" t="s">
        <v>27</v>
      </c>
      <c r="C687" s="1" t="s">
        <v>4211</v>
      </c>
      <c r="D687" s="1" t="s">
        <v>4212</v>
      </c>
      <c r="E687" s="1" t="s">
        <v>4213</v>
      </c>
      <c r="F687" s="1" t="s">
        <v>30</v>
      </c>
      <c r="G687" s="1" t="s">
        <v>4202</v>
      </c>
      <c r="H687" s="1">
        <v>2021.0</v>
      </c>
      <c r="I687" s="1" t="s">
        <v>32</v>
      </c>
      <c r="J687" s="1" t="s">
        <v>264</v>
      </c>
      <c r="K687" s="1" t="s">
        <v>805</v>
      </c>
      <c r="L687" s="1" t="s">
        <v>4214</v>
      </c>
      <c r="M687" s="2" t="s">
        <v>12</v>
      </c>
      <c r="N687" s="4">
        <f t="shared" si="1"/>
        <v>44365</v>
      </c>
      <c r="O687" s="5" t="str">
        <f>IFERROR(__xludf.DUMMYFUNCTION("IF(REGEXMATCH(TRIM(I687), ""^\d+\s*min""), ""Unclassified"", IF(I687 = """", ""NR"", I687))"),"PG-13")</f>
        <v>PG-13</v>
      </c>
      <c r="R687" s="5" t="str">
        <f t="shared" si="2"/>
        <v>Fatherhood</v>
      </c>
      <c r="S687" s="5" t="str">
        <f>IFERROR(__xludf.DUMMYFUNCTION("""COMPUTED_VALUE"""),"Autohead")</f>
        <v>Autohead</v>
      </c>
      <c r="T687" s="5" t="str">
        <f>IFERROR(__xludf.DUMMYFUNCTION("""COMPUTED_VALUE"""),"United States, Japan, Canada")</f>
        <v>United States, Japan, Canada</v>
      </c>
      <c r="U687" s="5" t="str">
        <f>IFERROR(__xludf.DUMMYFUNCTION("""COMPUTED_VALUE"""),"Mike Hodges")</f>
        <v>Mike Hodges</v>
      </c>
      <c r="V687" s="5" t="s">
        <v>4215</v>
      </c>
      <c r="W687" s="5" t="str">
        <f t="shared" si="3"/>
        <v>Cary Joji Fukunaga</v>
      </c>
      <c r="X687" s="5">
        <f t="shared" si="4"/>
        <v>1</v>
      </c>
      <c r="Y687" s="5" t="str">
        <f>IFERROR(__xludf.DUMMYFUNCTION("REGEXEXTRACT(J687, ""^\d+"")"),"111")</f>
        <v>111</v>
      </c>
      <c r="Z687" s="5" t="str">
        <f>IFERROR(__xludf.DUMMYFUNCTION("REGEXEXTRACT(J687, ""[A-Za-z ]+$"")")," min")</f>
        <v> min</v>
      </c>
      <c r="AA687" s="5" t="str">
        <f>IFERROR(__xludf.DUMMYFUNCTION("IF(REGEXMATCH(Z687, ""Season""), ""TV Show"", ""Movie"")"),"Movie")</f>
        <v>Movie</v>
      </c>
    </row>
    <row r="688">
      <c r="A688" s="1" t="s">
        <v>4216</v>
      </c>
      <c r="B688" s="1" t="s">
        <v>37</v>
      </c>
      <c r="C688" s="1" t="s">
        <v>4217</v>
      </c>
      <c r="E688" s="1" t="s">
        <v>4218</v>
      </c>
      <c r="F688" s="1" t="s">
        <v>749</v>
      </c>
      <c r="G688" s="1" t="s">
        <v>4202</v>
      </c>
      <c r="H688" s="1">
        <v>2021.0</v>
      </c>
      <c r="I688" s="1" t="s">
        <v>97</v>
      </c>
      <c r="J688" s="1" t="s">
        <v>43</v>
      </c>
      <c r="K688" s="1" t="s">
        <v>4219</v>
      </c>
      <c r="L688" s="1" t="s">
        <v>4220</v>
      </c>
      <c r="M688" s="2" t="s">
        <v>12</v>
      </c>
      <c r="N688" s="4">
        <f t="shared" si="1"/>
        <v>44365</v>
      </c>
      <c r="O688" s="5" t="str">
        <f>IFERROR(__xludf.DUMMYFUNCTION("IF(REGEXMATCH(TRIM(I688), ""^\d+\s*min""), ""Unclassified"", IF(I688 = """", ""NR"", I688))"),"TV-14")</f>
        <v>TV-14</v>
      </c>
      <c r="R688" s="5" t="str">
        <f t="shared" si="2"/>
        <v>Hospital Playlist</v>
      </c>
      <c r="S688" s="5" t="str">
        <f>IFERROR(__xludf.DUMMYFUNCTION("""COMPUTED_VALUE"""),"Automata")</f>
        <v>Automata</v>
      </c>
      <c r="T688" s="5" t="str">
        <f>IFERROR(__xludf.DUMMYFUNCTION("""COMPUTED_VALUE"""),"United States, Kazakhstan")</f>
        <v>United States, Kazakhstan</v>
      </c>
      <c r="U688" s="5" t="str">
        <f>IFERROR(__xludf.DUMMYFUNCTION("""COMPUTED_VALUE"""),"Eylem Kaftan")</f>
        <v>Eylem Kaftan</v>
      </c>
      <c r="V688" s="5" t="s">
        <v>4221</v>
      </c>
      <c r="W688" s="5" t="str">
        <f t="shared" si="3"/>
        <v>Cary Murnion, Jonathan Milott</v>
      </c>
      <c r="X688" s="5">
        <f t="shared" si="4"/>
        <v>1</v>
      </c>
      <c r="Y688" s="5" t="str">
        <f>IFERROR(__xludf.DUMMYFUNCTION("REGEXEXTRACT(J688, ""^\d+"")"),"2")</f>
        <v>2</v>
      </c>
      <c r="Z688" s="5" t="str">
        <f>IFERROR(__xludf.DUMMYFUNCTION("REGEXEXTRACT(J688, ""[A-Za-z ]+$"")")," Seasons")</f>
        <v> Seasons</v>
      </c>
      <c r="AA688" s="5" t="str">
        <f>IFERROR(__xludf.DUMMYFUNCTION("IF(REGEXMATCH(Z688, ""Season""), ""TV Show"", ""Movie"")"),"TV Show")</f>
        <v>TV Show</v>
      </c>
    </row>
    <row r="689">
      <c r="A689" s="1" t="s">
        <v>4222</v>
      </c>
      <c r="B689" s="1" t="s">
        <v>27</v>
      </c>
      <c r="C689" s="1" t="s">
        <v>4223</v>
      </c>
      <c r="D689" s="1" t="s">
        <v>4224</v>
      </c>
      <c r="E689" s="1" t="s">
        <v>4225</v>
      </c>
      <c r="G689" s="1" t="s">
        <v>4202</v>
      </c>
      <c r="H689" s="1">
        <v>2021.0</v>
      </c>
      <c r="I689" s="1" t="s">
        <v>42</v>
      </c>
      <c r="J689" s="1" t="s">
        <v>4226</v>
      </c>
      <c r="K689" s="1" t="s">
        <v>306</v>
      </c>
      <c r="L689" s="1" t="s">
        <v>4227</v>
      </c>
      <c r="M689" s="2" t="s">
        <v>12</v>
      </c>
      <c r="N689" s="4">
        <f t="shared" si="1"/>
        <v>44365</v>
      </c>
      <c r="O689" s="5" t="str">
        <f>IFERROR(__xludf.DUMMYFUNCTION("IF(REGEXMATCH(TRIM(I689), ""^\d+\s*min""), ""Unclassified"", IF(I689 = """", ""NR"", I689))"),"TV-MA")</f>
        <v>TV-MA</v>
      </c>
      <c r="R689" s="5" t="str">
        <f t="shared" si="2"/>
        <v>Jagame Thandhiram</v>
      </c>
      <c r="S689" s="5" t="str">
        <f>IFERROR(__xludf.DUMMYFUNCTION("""COMPUTED_VALUE"""),"Autumn'S Concerto")</f>
        <v>Autumn'S Concerto</v>
      </c>
      <c r="T689" s="5" t="str">
        <f>IFERROR(__xludf.DUMMYFUNCTION("""COMPUTED_VALUE"""),"United States, Malta, France, United Kingdom")</f>
        <v>United States, Malta, France, United Kingdom</v>
      </c>
      <c r="U689" s="5" t="str">
        <f>IFERROR(__xludf.DUMMYFUNCTION("""COMPUTED_VALUE"""),"Fernando Ayllón")</f>
        <v>Fernando Ayllón</v>
      </c>
      <c r="V689" s="5" t="s">
        <v>4228</v>
      </c>
      <c r="W689" s="5" t="str">
        <f t="shared" si="3"/>
        <v>Caryn Waechter</v>
      </c>
      <c r="X689" s="5">
        <f t="shared" si="4"/>
        <v>1</v>
      </c>
      <c r="Y689" s="5" t="str">
        <f>IFERROR(__xludf.DUMMYFUNCTION("REGEXEXTRACT(J689, ""^\d+"")"),"159")</f>
        <v>159</v>
      </c>
      <c r="Z689" s="5" t="str">
        <f>IFERROR(__xludf.DUMMYFUNCTION("REGEXEXTRACT(J689, ""[A-Za-z ]+$"")")," min")</f>
        <v> min</v>
      </c>
      <c r="AA689" s="5" t="str">
        <f>IFERROR(__xludf.DUMMYFUNCTION("IF(REGEXMATCH(Z689, ""Season""), ""TV Show"", ""Movie"")"),"Movie")</f>
        <v>Movie</v>
      </c>
    </row>
    <row r="690">
      <c r="A690" s="1" t="s">
        <v>4229</v>
      </c>
      <c r="B690" s="1" t="s">
        <v>27</v>
      </c>
      <c r="C690" s="1" t="s">
        <v>4230</v>
      </c>
      <c r="D690" s="1" t="s">
        <v>1964</v>
      </c>
      <c r="E690" s="1" t="s">
        <v>4231</v>
      </c>
      <c r="F690" s="1" t="s">
        <v>400</v>
      </c>
      <c r="G690" s="1" t="s">
        <v>4202</v>
      </c>
      <c r="H690" s="1">
        <v>2020.0</v>
      </c>
      <c r="I690" s="1" t="s">
        <v>97</v>
      </c>
      <c r="J690" s="1" t="s">
        <v>804</v>
      </c>
      <c r="K690" s="1" t="s">
        <v>215</v>
      </c>
      <c r="L690" s="1" t="s">
        <v>4232</v>
      </c>
      <c r="M690" s="2" t="s">
        <v>12</v>
      </c>
      <c r="N690" s="4">
        <f t="shared" si="1"/>
        <v>44365</v>
      </c>
      <c r="O690" s="5" t="str">
        <f>IFERROR(__xludf.DUMMYFUNCTION("IF(REGEXMATCH(TRIM(I690), ""^\d+\s*min""), ""Unclassified"", IF(I690 = """", ""NR"", I690))"),"TV-14")</f>
        <v>TV-14</v>
      </c>
      <c r="R690" s="5" t="str">
        <f t="shared" si="2"/>
        <v>Kambili: The Whole 30 Yards</v>
      </c>
      <c r="S690" s="5" t="str">
        <f>IFERROR(__xludf.DUMMYFUNCTION("""COMPUTED_VALUE"""),"Ava")</f>
        <v>Ava</v>
      </c>
      <c r="T690" s="5" t="str">
        <f>IFERROR(__xludf.DUMMYFUNCTION("""COMPUTED_VALUE"""),"United States, Mexico")</f>
        <v>United States, Mexico</v>
      </c>
      <c r="U690" s="5" t="str">
        <f>IFERROR(__xludf.DUMMYFUNCTION("""COMPUTED_VALUE"""),"Umesh Bist")</f>
        <v>Umesh Bist</v>
      </c>
      <c r="V690" s="5" t="s">
        <v>4233</v>
      </c>
      <c r="W690" s="5" t="str">
        <f t="shared" si="3"/>
        <v>Cassi Simonds</v>
      </c>
      <c r="X690" s="5">
        <f t="shared" si="4"/>
        <v>1</v>
      </c>
      <c r="Y690" s="5" t="str">
        <f>IFERROR(__xludf.DUMMYFUNCTION("REGEXEXTRACT(J690, ""^\d+"")"),"119")</f>
        <v>119</v>
      </c>
      <c r="Z690" s="5" t="str">
        <f>IFERROR(__xludf.DUMMYFUNCTION("REGEXEXTRACT(J690, ""[A-Za-z ]+$"")")," min")</f>
        <v> min</v>
      </c>
      <c r="AA690" s="5" t="str">
        <f>IFERROR(__xludf.DUMMYFUNCTION("IF(REGEXMATCH(Z690, ""Season""), ""TV Show"", ""Movie"")"),"Movie")</f>
        <v>Movie</v>
      </c>
    </row>
    <row r="691">
      <c r="A691" s="1" t="s">
        <v>4234</v>
      </c>
      <c r="B691" s="1" t="s">
        <v>27</v>
      </c>
      <c r="C691" s="1" t="s">
        <v>4235</v>
      </c>
      <c r="D691" s="1" t="s">
        <v>4128</v>
      </c>
      <c r="E691" s="1" t="s">
        <v>4129</v>
      </c>
      <c r="G691" s="1" t="s">
        <v>4202</v>
      </c>
      <c r="H691" s="1">
        <v>1981.0</v>
      </c>
      <c r="I691" s="1" t="s">
        <v>97</v>
      </c>
      <c r="J691" s="1" t="s">
        <v>1938</v>
      </c>
      <c r="K691" s="1" t="s">
        <v>4236</v>
      </c>
      <c r="L691" s="1" t="s">
        <v>4237</v>
      </c>
      <c r="M691" s="2" t="s">
        <v>12</v>
      </c>
      <c r="N691" s="4">
        <f t="shared" si="1"/>
        <v>44365</v>
      </c>
      <c r="O691" s="5" t="str">
        <f>IFERROR(__xludf.DUMMYFUNCTION("IF(REGEXMATCH(TRIM(I691), ""^\d+\s*min""), ""Unclassified"", IF(I691 = """", ""NR"", I691))"),"TV-14")</f>
        <v>TV-14</v>
      </c>
      <c r="R691" s="5" t="str">
        <f t="shared" si="2"/>
        <v>Mobile Suit Gundam I</v>
      </c>
      <c r="S691" s="5" t="str">
        <f>IFERROR(__xludf.DUMMYFUNCTION("""COMPUTED_VALUE"""),"Avatar: The Last Airbender")</f>
        <v>Avatar: The Last Airbender</v>
      </c>
      <c r="T691" s="5" t="str">
        <f>IFERROR(__xludf.DUMMYFUNCTION("""COMPUTED_VALUE"""),"United States, Mexico, Colombia")</f>
        <v>United States, Mexico, Colombia</v>
      </c>
      <c r="U691" s="5" t="str">
        <f>IFERROR(__xludf.DUMMYFUNCTION("""COMPUTED_VALUE"""),"Massimiliano Camaiti")</f>
        <v>Massimiliano Camaiti</v>
      </c>
      <c r="V691" s="5" t="s">
        <v>4238</v>
      </c>
      <c r="W691" s="5" t="str">
        <f t="shared" si="3"/>
        <v>Cassia Dian</v>
      </c>
      <c r="X691" s="5">
        <f t="shared" si="4"/>
        <v>1</v>
      </c>
      <c r="Y691" s="5" t="str">
        <f>IFERROR(__xludf.DUMMYFUNCTION("REGEXEXTRACT(J691, ""^\d+"")"),"139")</f>
        <v>139</v>
      </c>
      <c r="Z691" s="5" t="str">
        <f>IFERROR(__xludf.DUMMYFUNCTION("REGEXEXTRACT(J691, ""[A-Za-z ]+$"")")," min")</f>
        <v> min</v>
      </c>
      <c r="AA691" s="5" t="str">
        <f>IFERROR(__xludf.DUMMYFUNCTION("IF(REGEXMATCH(Z691, ""Season""), ""TV Show"", ""Movie"")"),"Movie")</f>
        <v>Movie</v>
      </c>
    </row>
    <row r="692">
      <c r="A692" s="1" t="s">
        <v>4239</v>
      </c>
      <c r="B692" s="1" t="s">
        <v>27</v>
      </c>
      <c r="C692" s="1" t="s">
        <v>4240</v>
      </c>
      <c r="D692" s="1" t="s">
        <v>2412</v>
      </c>
      <c r="E692" s="1" t="s">
        <v>4241</v>
      </c>
      <c r="G692" s="1" t="s">
        <v>4202</v>
      </c>
      <c r="H692" s="1">
        <v>2021.0</v>
      </c>
      <c r="I692" s="1" t="s">
        <v>97</v>
      </c>
      <c r="J692" s="1" t="s">
        <v>4242</v>
      </c>
      <c r="K692" s="1" t="s">
        <v>1066</v>
      </c>
      <c r="L692" s="1" t="s">
        <v>4243</v>
      </c>
      <c r="M692" s="2" t="s">
        <v>12</v>
      </c>
      <c r="N692" s="4">
        <f t="shared" si="1"/>
        <v>44365</v>
      </c>
      <c r="O692" s="5" t="str">
        <f>IFERROR(__xludf.DUMMYFUNCTION("IF(REGEXMATCH(TRIM(I692), ""^\d+\s*min""), ""Unclassified"", IF(I692 = """", ""NR"", I692))"),"TV-14")</f>
        <v>TV-14</v>
      </c>
      <c r="R692" s="5" t="str">
        <f t="shared" si="2"/>
        <v>Rurouni Kenshin: The Final</v>
      </c>
      <c r="S692" s="5" t="str">
        <f>IFERROR(__xludf.DUMMYFUNCTION("""COMPUTED_VALUE"""),"Ave Maryam")</f>
        <v>Ave Maryam</v>
      </c>
      <c r="T692" s="5" t="str">
        <f>IFERROR(__xludf.DUMMYFUNCTION("""COMPUTED_VALUE"""),"United States, Mexico, Spain, Malta")</f>
        <v>United States, Mexico, Spain, Malta</v>
      </c>
      <c r="U692" s="5" t="str">
        <f>IFERROR(__xludf.DUMMYFUNCTION("""COMPUTED_VALUE"""),"Aleksey Tsitsilin")</f>
        <v>Aleksey Tsitsilin</v>
      </c>
      <c r="V692" s="5" t="s">
        <v>4244</v>
      </c>
      <c r="W692" s="5" t="str">
        <f t="shared" si="3"/>
        <v>Castille Landon</v>
      </c>
      <c r="X692" s="5">
        <f t="shared" si="4"/>
        <v>1</v>
      </c>
      <c r="Y692" s="5" t="str">
        <f>IFERROR(__xludf.DUMMYFUNCTION("REGEXEXTRACT(J692, ""^\d+"")"),"137")</f>
        <v>137</v>
      </c>
      <c r="Z692" s="5" t="str">
        <f>IFERROR(__xludf.DUMMYFUNCTION("REGEXEXTRACT(J692, ""[A-Za-z ]+$"")")," min")</f>
        <v> min</v>
      </c>
      <c r="AA692" s="5" t="str">
        <f>IFERROR(__xludf.DUMMYFUNCTION("IF(REGEXMATCH(Z692, ""Season""), ""TV Show"", ""Movie"")"),"Movie")</f>
        <v>Movie</v>
      </c>
    </row>
    <row r="693">
      <c r="A693" s="1" t="s">
        <v>4245</v>
      </c>
      <c r="B693" s="1" t="s">
        <v>37</v>
      </c>
      <c r="C693" s="1" t="s">
        <v>4246</v>
      </c>
      <c r="E693" s="1" t="s">
        <v>4247</v>
      </c>
      <c r="G693" s="1" t="s">
        <v>4202</v>
      </c>
      <c r="H693" s="1">
        <v>2021.0</v>
      </c>
      <c r="I693" s="1" t="s">
        <v>97</v>
      </c>
      <c r="J693" s="1" t="s">
        <v>51</v>
      </c>
      <c r="K693" s="1" t="s">
        <v>1294</v>
      </c>
      <c r="L693" s="1" t="s">
        <v>4248</v>
      </c>
      <c r="M693" s="2" t="s">
        <v>12</v>
      </c>
      <c r="N693" s="4">
        <f t="shared" si="1"/>
        <v>44365</v>
      </c>
      <c r="O693" s="5" t="str">
        <f>IFERROR(__xludf.DUMMYFUNCTION("IF(REGEXMATCH(TRIM(I693), ""^\d+\s*min""), ""Unclassified"", IF(I693 = """", ""NR"", I693))"),"TV-14")</f>
        <v>TV-14</v>
      </c>
      <c r="R693" s="5" t="str">
        <f t="shared" si="2"/>
        <v>So Not Worth It</v>
      </c>
      <c r="S693" s="5" t="str">
        <f>IFERROR(__xludf.DUMMYFUNCTION("""COMPUTED_VALUE"""),"Avengement")</f>
        <v>Avengement</v>
      </c>
      <c r="T693" s="5" t="str">
        <f>IFERROR(__xludf.DUMMYFUNCTION("""COMPUTED_VALUE"""),"United States, Morocco")</f>
        <v>United States, Morocco</v>
      </c>
      <c r="U693" s="5" t="str">
        <f>IFERROR(__xludf.DUMMYFUNCTION("""COMPUTED_VALUE"""),"Ali Tabrizi")</f>
        <v>Ali Tabrizi</v>
      </c>
      <c r="V693" s="5" t="s">
        <v>4249</v>
      </c>
      <c r="W693" s="5" t="str">
        <f t="shared" si="3"/>
        <v>Cate Shortland</v>
      </c>
      <c r="X693" s="5">
        <f t="shared" si="4"/>
        <v>1</v>
      </c>
      <c r="Y693" s="5" t="str">
        <f>IFERROR(__xludf.DUMMYFUNCTION("REGEXEXTRACT(J693, ""^\d+"")"),"1")</f>
        <v>1</v>
      </c>
      <c r="Z693" s="5" t="str">
        <f>IFERROR(__xludf.DUMMYFUNCTION("REGEXEXTRACT(J693, ""[A-Za-z ]+$"")")," Season")</f>
        <v> Season</v>
      </c>
      <c r="AA693" s="5" t="str">
        <f>IFERROR(__xludf.DUMMYFUNCTION("IF(REGEXMATCH(Z693, ""Season""), ""TV Show"", ""Movie"")"),"TV Show")</f>
        <v>TV Show</v>
      </c>
    </row>
    <row r="694">
      <c r="A694" s="1" t="s">
        <v>4250</v>
      </c>
      <c r="B694" s="1" t="s">
        <v>37</v>
      </c>
      <c r="C694" s="1" t="s">
        <v>4251</v>
      </c>
      <c r="D694" s="1" t="s">
        <v>2077</v>
      </c>
      <c r="E694" s="1" t="s">
        <v>4252</v>
      </c>
      <c r="G694" s="1" t="s">
        <v>4202</v>
      </c>
      <c r="H694" s="1">
        <v>2021.0</v>
      </c>
      <c r="I694" s="1" t="s">
        <v>97</v>
      </c>
      <c r="J694" s="1" t="s">
        <v>51</v>
      </c>
      <c r="K694" s="1" t="s">
        <v>1907</v>
      </c>
      <c r="L694" s="1" t="s">
        <v>4253</v>
      </c>
      <c r="M694" s="2" t="s">
        <v>12</v>
      </c>
      <c r="N694" s="4">
        <f t="shared" si="1"/>
        <v>44365</v>
      </c>
      <c r="O694" s="5" t="str">
        <f>IFERROR(__xludf.DUMMYFUNCTION("IF(REGEXMATCH(TRIM(I694), ""^\d+\s*min""), ""Unclassified"", IF(I694 = """", ""NR"", I694))"),"TV-14")</f>
        <v>TV-14</v>
      </c>
      <c r="R694" s="5" t="str">
        <f t="shared" si="2"/>
        <v>The Rational Life</v>
      </c>
      <c r="S694" s="5" t="str">
        <f>IFERROR(__xludf.DUMMYFUNCTION("""COMPUTED_VALUE"""),"Avengers Climate Conundrum")</f>
        <v>Avengers Climate Conundrum</v>
      </c>
      <c r="T694" s="5" t="str">
        <f>IFERROR(__xludf.DUMMYFUNCTION("""COMPUTED_VALUE"""),"United States, Netherlands, Japan, France")</f>
        <v>United States, Netherlands, Japan, France</v>
      </c>
      <c r="U694" s="5" t="str">
        <f>IFERROR(__xludf.DUMMYFUNCTION("""COMPUTED_VALUE"""),"Kagiso Lediga")</f>
        <v>Kagiso Lediga</v>
      </c>
      <c r="V694" s="5" t="s">
        <v>2864</v>
      </c>
      <c r="W694" s="5" t="str">
        <f t="shared" si="3"/>
        <v>Catherine Hardwicke</v>
      </c>
      <c r="X694" s="5">
        <f t="shared" si="4"/>
        <v>1</v>
      </c>
      <c r="Y694" s="5" t="str">
        <f>IFERROR(__xludf.DUMMYFUNCTION("REGEXEXTRACT(J694, ""^\d+"")"),"1")</f>
        <v>1</v>
      </c>
      <c r="Z694" s="5" t="str">
        <f>IFERROR(__xludf.DUMMYFUNCTION("REGEXEXTRACT(J694, ""[A-Za-z ]+$"")")," Season")</f>
        <v> Season</v>
      </c>
      <c r="AA694" s="5" t="str">
        <f>IFERROR(__xludf.DUMMYFUNCTION("IF(REGEXMATCH(Z694, ""Season""), ""TV Show"", ""Movie"")"),"TV Show")</f>
        <v>TV Show</v>
      </c>
    </row>
    <row r="695">
      <c r="A695" s="1" t="s">
        <v>4254</v>
      </c>
      <c r="B695" s="1" t="s">
        <v>27</v>
      </c>
      <c r="C695" s="1" t="s">
        <v>4255</v>
      </c>
      <c r="D695" s="1" t="s">
        <v>4256</v>
      </c>
      <c r="E695" s="1" t="s">
        <v>4257</v>
      </c>
      <c r="G695" s="1" t="s">
        <v>4258</v>
      </c>
      <c r="H695" s="1">
        <v>2021.0</v>
      </c>
      <c r="I695" s="1" t="s">
        <v>97</v>
      </c>
      <c r="J695" s="1" t="s">
        <v>1091</v>
      </c>
      <c r="K695" s="1" t="s">
        <v>583</v>
      </c>
      <c r="L695" s="1" t="s">
        <v>4259</v>
      </c>
      <c r="M695" s="2" t="s">
        <v>12</v>
      </c>
      <c r="N695" s="4">
        <f t="shared" si="1"/>
        <v>44364</v>
      </c>
      <c r="O695" s="5" t="str">
        <f>IFERROR(__xludf.DUMMYFUNCTION("IF(REGEXMATCH(TRIM(I695), ""^\d+\s*min""), ""Unclassified"", IF(I695 = """", ""NR"", I695))"),"TV-14")</f>
        <v>TV-14</v>
      </c>
      <c r="R695" s="5" t="str">
        <f t="shared" si="2"/>
        <v>Ali &amp; Ratu Ratu Queens</v>
      </c>
      <c r="S695" s="5" t="str">
        <f>IFERROR(__xludf.DUMMYFUNCTION("""COMPUTED_VALUE"""),"Avengers: Infinity War")</f>
        <v>Avengers: Infinity War</v>
      </c>
      <c r="T695" s="5" t="str">
        <f>IFERROR(__xludf.DUMMYFUNCTION("""COMPUTED_VALUE"""),"United States, New Zealand")</f>
        <v>United States, New Zealand</v>
      </c>
      <c r="U695" s="5" t="str">
        <f>IFERROR(__xludf.DUMMYFUNCTION("""COMPUTED_VALUE"""),"Jung-Ah Im")</f>
        <v>Jung-Ah Im</v>
      </c>
      <c r="V695" s="5" t="s">
        <v>4260</v>
      </c>
      <c r="W695" s="5" t="str">
        <f t="shared" si="3"/>
        <v>Cathy Garcia-Molina</v>
      </c>
      <c r="X695" s="5">
        <f t="shared" si="4"/>
        <v>13</v>
      </c>
      <c r="Y695" s="5" t="str">
        <f>IFERROR(__xludf.DUMMYFUNCTION("REGEXEXTRACT(J695, ""^\d+"")"),"101")</f>
        <v>101</v>
      </c>
      <c r="Z695" s="5" t="str">
        <f>IFERROR(__xludf.DUMMYFUNCTION("REGEXEXTRACT(J695, ""[A-Za-z ]+$"")")," min")</f>
        <v> min</v>
      </c>
      <c r="AA695" s="5" t="str">
        <f>IFERROR(__xludf.DUMMYFUNCTION("IF(REGEXMATCH(Z695, ""Season""), ""TV Show"", ""Movie"")"),"Movie")</f>
        <v>Movie</v>
      </c>
    </row>
    <row r="696">
      <c r="A696" s="1" t="s">
        <v>4261</v>
      </c>
      <c r="B696" s="1" t="s">
        <v>27</v>
      </c>
      <c r="C696" s="1" t="s">
        <v>4262</v>
      </c>
      <c r="D696" s="1" t="s">
        <v>4263</v>
      </c>
      <c r="E696" s="1" t="s">
        <v>4264</v>
      </c>
      <c r="F696" s="1" t="s">
        <v>4265</v>
      </c>
      <c r="G696" s="1" t="s">
        <v>4258</v>
      </c>
      <c r="H696" s="1">
        <v>2019.0</v>
      </c>
      <c r="I696" s="1" t="s">
        <v>136</v>
      </c>
      <c r="J696" s="1" t="s">
        <v>538</v>
      </c>
      <c r="K696" s="1" t="s">
        <v>836</v>
      </c>
      <c r="L696" s="1" t="s">
        <v>4266</v>
      </c>
      <c r="M696" s="2" t="s">
        <v>12</v>
      </c>
      <c r="N696" s="4">
        <f t="shared" si="1"/>
        <v>44364</v>
      </c>
      <c r="O696" s="5" t="str">
        <f>IFERROR(__xludf.DUMMYFUNCTION("IF(REGEXMATCH(TRIM(I696), ""^\d+\s*min""), ""Unclassified"", IF(I696 = """", ""NR"", I696))"),"TV-PG")</f>
        <v>TV-PG</v>
      </c>
      <c r="R696" s="5" t="str">
        <f t="shared" si="2"/>
        <v>Aziza</v>
      </c>
      <c r="S696" s="5" t="str">
        <f>IFERROR(__xludf.DUMMYFUNCTION("""COMPUTED_VALUE"""),"Avicii: True Stories")</f>
        <v>Avicii: True Stories</v>
      </c>
      <c r="T696" s="5" t="str">
        <f>IFERROR(__xludf.DUMMYFUNCTION("""COMPUTED_VALUE"""),"United States, New Zealand, Japan")</f>
        <v>United States, New Zealand, Japan</v>
      </c>
      <c r="U696" s="5" t="str">
        <f>IFERROR(__xludf.DUMMYFUNCTION("""COMPUTED_VALUE"""),"Takuma Sato")</f>
        <v>Takuma Sato</v>
      </c>
      <c r="V696" s="5" t="s">
        <v>1991</v>
      </c>
      <c r="W696" s="5" t="str">
        <f t="shared" si="3"/>
        <v>Cavi Borges, Luciano Vidigal</v>
      </c>
      <c r="X696" s="5">
        <f t="shared" si="4"/>
        <v>1</v>
      </c>
      <c r="Y696" s="5" t="str">
        <f>IFERROR(__xludf.DUMMYFUNCTION("REGEXEXTRACT(J696, ""^\d+"")"),"13")</f>
        <v>13</v>
      </c>
      <c r="Z696" s="5" t="str">
        <f>IFERROR(__xludf.DUMMYFUNCTION("REGEXEXTRACT(J696, ""[A-Za-z ]+$"")")," min")</f>
        <v> min</v>
      </c>
      <c r="AA696" s="5" t="str">
        <f>IFERROR(__xludf.DUMMYFUNCTION("IF(REGEXMATCH(Z696, ""Season""), ""TV Show"", ""Movie"")"),"Movie")</f>
        <v>Movie</v>
      </c>
    </row>
    <row r="697">
      <c r="A697" s="1" t="s">
        <v>4267</v>
      </c>
      <c r="B697" s="1" t="s">
        <v>27</v>
      </c>
      <c r="C697" s="1" t="s">
        <v>4268</v>
      </c>
      <c r="D697" s="1" t="s">
        <v>4263</v>
      </c>
      <c r="E697" s="1" t="s">
        <v>4269</v>
      </c>
      <c r="G697" s="1" t="s">
        <v>4258</v>
      </c>
      <c r="H697" s="1">
        <v>2015.0</v>
      </c>
      <c r="I697" s="1" t="s">
        <v>97</v>
      </c>
      <c r="J697" s="1" t="s">
        <v>4270</v>
      </c>
      <c r="K697" s="1" t="s">
        <v>128</v>
      </c>
      <c r="L697" s="1" t="s">
        <v>4271</v>
      </c>
      <c r="M697" s="2" t="s">
        <v>12</v>
      </c>
      <c r="N697" s="4">
        <f t="shared" si="1"/>
        <v>44364</v>
      </c>
      <c r="O697" s="5" t="str">
        <f>IFERROR(__xludf.DUMMYFUNCTION("IF(REGEXMATCH(TRIM(I697), ""^\d+\s*min""), ""Unclassified"", IF(I697 = """", ""NR"", I697))"),"TV-14")</f>
        <v>TV-14</v>
      </c>
      <c r="R697" s="5" t="str">
        <f t="shared" si="2"/>
        <v>Besieged Bread</v>
      </c>
      <c r="S697" s="5" t="str">
        <f>IFERROR(__xludf.DUMMYFUNCTION("""COMPUTED_VALUE"""),"Avvai Shanmughi")</f>
        <v>Avvai Shanmughi</v>
      </c>
      <c r="T697" s="5" t="str">
        <f>IFERROR(__xludf.DUMMYFUNCTION("""COMPUTED_VALUE"""),"United States, New Zealand, United Kingdom")</f>
        <v>United States, New Zealand, United Kingdom</v>
      </c>
      <c r="U697" s="5" t="str">
        <f>IFERROR(__xludf.DUMMYFUNCTION("""COMPUTED_VALUE"""),"Brody Chu")</f>
        <v>Brody Chu</v>
      </c>
      <c r="V697" s="5" t="s">
        <v>4272</v>
      </c>
      <c r="W697" s="5" t="str">
        <f t="shared" si="3"/>
        <v>Cecilia Atán, Valeria Pivato</v>
      </c>
      <c r="X697" s="5">
        <f t="shared" si="4"/>
        <v>1</v>
      </c>
      <c r="Y697" s="5" t="str">
        <f>IFERROR(__xludf.DUMMYFUNCTION("REGEXEXTRACT(J697, ""^\d+"")"),"12")</f>
        <v>12</v>
      </c>
      <c r="Z697" s="5" t="str">
        <f>IFERROR(__xludf.DUMMYFUNCTION("REGEXEXTRACT(J697, ""[A-Za-z ]+$"")")," min")</f>
        <v> min</v>
      </c>
      <c r="AA697" s="5" t="str">
        <f>IFERROR(__xludf.DUMMYFUNCTION("IF(REGEXMATCH(Z697, ""Season""), ""TV Show"", ""Movie"")"),"Movie")</f>
        <v>Movie</v>
      </c>
    </row>
    <row r="698">
      <c r="A698" s="1" t="s">
        <v>4273</v>
      </c>
      <c r="B698" s="1" t="s">
        <v>37</v>
      </c>
      <c r="C698" s="1" t="s">
        <v>4274</v>
      </c>
      <c r="E698" s="1" t="s">
        <v>4275</v>
      </c>
      <c r="F698" s="1" t="s">
        <v>1979</v>
      </c>
      <c r="G698" s="1" t="s">
        <v>4258</v>
      </c>
      <c r="H698" s="1">
        <v>2021.0</v>
      </c>
      <c r="I698" s="1" t="s">
        <v>42</v>
      </c>
      <c r="J698" s="1" t="s">
        <v>43</v>
      </c>
      <c r="K698" s="1" t="s">
        <v>4276</v>
      </c>
      <c r="L698" s="1" t="s">
        <v>4277</v>
      </c>
      <c r="M698" s="2" t="s">
        <v>12</v>
      </c>
      <c r="N698" s="4">
        <f t="shared" si="1"/>
        <v>44364</v>
      </c>
      <c r="O698" s="5" t="str">
        <f>IFERROR(__xludf.DUMMYFUNCTION("IF(REGEXMATCH(TRIM(I698), ""^\d+\s*min""), ""Unclassified"", IF(I698 = """", ""NR"", I698))"),"TV-MA")</f>
        <v>TV-MA</v>
      </c>
      <c r="R698" s="5" t="str">
        <f t="shared" si="2"/>
        <v>Black Summer</v>
      </c>
      <c r="S698" s="5" t="str">
        <f>IFERROR(__xludf.DUMMYFUNCTION("""COMPUTED_VALUE"""),"Await Further Instructions")</f>
        <v>Await Further Instructions</v>
      </c>
      <c r="T698" s="5" t="str">
        <f>IFERROR(__xludf.DUMMYFUNCTION("""COMPUTED_VALUE"""),"United States, Nicaragua")</f>
        <v>United States, Nicaragua</v>
      </c>
      <c r="U698" s="5" t="str">
        <f>IFERROR(__xludf.DUMMYFUNCTION("""COMPUTED_VALUE"""),"Dimitri Logothetis")</f>
        <v>Dimitri Logothetis</v>
      </c>
      <c r="V698" s="5" t="s">
        <v>4278</v>
      </c>
      <c r="W698" s="5" t="str">
        <f t="shared" si="3"/>
        <v>Cecilia Peck</v>
      </c>
      <c r="X698" s="5">
        <f t="shared" si="4"/>
        <v>1</v>
      </c>
      <c r="Y698" s="5" t="str">
        <f>IFERROR(__xludf.DUMMYFUNCTION("REGEXEXTRACT(J698, ""^\d+"")"),"2")</f>
        <v>2</v>
      </c>
      <c r="Z698" s="5" t="str">
        <f>IFERROR(__xludf.DUMMYFUNCTION("REGEXEXTRACT(J698, ""[A-Za-z ]+$"")")," Seasons")</f>
        <v> Seasons</v>
      </c>
      <c r="AA698" s="5" t="str">
        <f>IFERROR(__xludf.DUMMYFUNCTION("IF(REGEXMATCH(Z698, ""Season""), ""TV Show"", ""Movie"")"),"TV Show")</f>
        <v>TV Show</v>
      </c>
    </row>
    <row r="699">
      <c r="A699" s="1" t="s">
        <v>4279</v>
      </c>
      <c r="B699" s="1" t="s">
        <v>37</v>
      </c>
      <c r="C699" s="1" t="s">
        <v>4280</v>
      </c>
      <c r="E699" s="1" t="s">
        <v>4281</v>
      </c>
      <c r="G699" s="1" t="s">
        <v>4258</v>
      </c>
      <c r="H699" s="1">
        <v>2021.0</v>
      </c>
      <c r="I699" s="1" t="s">
        <v>42</v>
      </c>
      <c r="J699" s="1" t="s">
        <v>51</v>
      </c>
      <c r="K699" s="1" t="s">
        <v>1822</v>
      </c>
      <c r="L699" s="1" t="s">
        <v>4282</v>
      </c>
      <c r="M699" s="2" t="s">
        <v>12</v>
      </c>
      <c r="N699" s="4">
        <f t="shared" si="1"/>
        <v>44364</v>
      </c>
      <c r="O699" s="5" t="str">
        <f>IFERROR(__xludf.DUMMYFUNCTION("IF(REGEXMATCH(TRIM(I699), ""^\d+\s*min""), ""Unclassified"", IF(I699 = """", ""NR"", I699))"),"TV-MA")</f>
        <v>TV-MA</v>
      </c>
      <c r="R699" s="5" t="str">
        <f t="shared" si="2"/>
        <v>Elite Short Stories: Carla Samuel</v>
      </c>
      <c r="S699" s="5" t="str">
        <f>IFERROR(__xludf.DUMMYFUNCTION("""COMPUTED_VALUE"""),"Awake")</f>
        <v>Awake</v>
      </c>
      <c r="T699" s="5" t="str">
        <f>IFERROR(__xludf.DUMMYFUNCTION("""COMPUTED_VALUE"""),"United States, Nigeria")</f>
        <v>United States, Nigeria</v>
      </c>
      <c r="U699" s="5" t="str">
        <f>IFERROR(__xludf.DUMMYFUNCTION("""COMPUTED_VALUE"""),"Taketoshi Sado")</f>
        <v>Taketoshi Sado</v>
      </c>
      <c r="V699" s="5" t="s">
        <v>4283</v>
      </c>
      <c r="W699" s="5" t="str">
        <f t="shared" si="3"/>
        <v>Cecilia Verheyden</v>
      </c>
      <c r="X699" s="5">
        <f t="shared" si="4"/>
        <v>1</v>
      </c>
      <c r="Y699" s="5" t="str">
        <f>IFERROR(__xludf.DUMMYFUNCTION("REGEXEXTRACT(J699, ""^\d+"")"),"1")</f>
        <v>1</v>
      </c>
      <c r="Z699" s="5" t="str">
        <f>IFERROR(__xludf.DUMMYFUNCTION("REGEXEXTRACT(J699, ""[A-Za-z ]+$"")")," Season")</f>
        <v> Season</v>
      </c>
      <c r="AA699" s="5" t="str">
        <f>IFERROR(__xludf.DUMMYFUNCTION("IF(REGEXMATCH(Z699, ""Season""), ""TV Show"", ""Movie"")"),"TV Show")</f>
        <v>TV Show</v>
      </c>
    </row>
    <row r="700">
      <c r="A700" s="1" t="s">
        <v>4284</v>
      </c>
      <c r="B700" s="1" t="s">
        <v>27</v>
      </c>
      <c r="C700" s="1" t="s">
        <v>4285</v>
      </c>
      <c r="D700" s="1" t="s">
        <v>2329</v>
      </c>
      <c r="E700" s="1" t="s">
        <v>4286</v>
      </c>
      <c r="F700" s="1" t="s">
        <v>4287</v>
      </c>
      <c r="G700" s="1" t="s">
        <v>4258</v>
      </c>
      <c r="H700" s="1">
        <v>2020.0</v>
      </c>
      <c r="I700" s="1" t="s">
        <v>42</v>
      </c>
      <c r="J700" s="1" t="s">
        <v>1091</v>
      </c>
      <c r="K700" s="1" t="s">
        <v>89</v>
      </c>
      <c r="L700" s="1" t="s">
        <v>4288</v>
      </c>
      <c r="M700" s="2" t="s">
        <v>12</v>
      </c>
      <c r="N700" s="4">
        <f t="shared" si="1"/>
        <v>44364</v>
      </c>
      <c r="O700" s="5" t="str">
        <f>IFERROR(__xludf.DUMMYFUNCTION("IF(REGEXMATCH(TRIM(I700), ""^\d+\s*min""), ""Unclassified"", IF(I700 = """", ""NR"", I700))"),"TV-MA")</f>
        <v>TV-MA</v>
      </c>
      <c r="R700" s="5" t="str">
        <f t="shared" si="2"/>
        <v>Fan Girl</v>
      </c>
      <c r="S700" s="5" t="str">
        <f>IFERROR(__xludf.DUMMYFUNCTION("""COMPUTED_VALUE"""),"Awake: The Million Dollar Game")</f>
        <v>Awake: The Million Dollar Game</v>
      </c>
      <c r="T700" s="5" t="str">
        <f>IFERROR(__xludf.DUMMYFUNCTION("""COMPUTED_VALUE"""),"United States, Norway, Canada")</f>
        <v>United States, Norway, Canada</v>
      </c>
      <c r="U700" s="5" t="str">
        <f>IFERROR(__xludf.DUMMYFUNCTION("""COMPUTED_VALUE"""),"Li Weiran")</f>
        <v>Li Weiran</v>
      </c>
      <c r="V700" s="5" t="s">
        <v>303</v>
      </c>
      <c r="W700" s="5" t="str">
        <f t="shared" si="3"/>
        <v>Cédric Jimenez</v>
      </c>
      <c r="X700" s="5">
        <f t="shared" si="4"/>
        <v>1</v>
      </c>
      <c r="Y700" s="5" t="str">
        <f>IFERROR(__xludf.DUMMYFUNCTION("REGEXEXTRACT(J700, ""^\d+"")"),"101")</f>
        <v>101</v>
      </c>
      <c r="Z700" s="5" t="str">
        <f>IFERROR(__xludf.DUMMYFUNCTION("REGEXEXTRACT(J700, ""[A-Za-z ]+$"")")," min")</f>
        <v> min</v>
      </c>
      <c r="AA700" s="5" t="str">
        <f>IFERROR(__xludf.DUMMYFUNCTION("IF(REGEXMATCH(Z700, ""Season""), ""TV Show"", ""Movie"")"),"Movie")</f>
        <v>Movie</v>
      </c>
    </row>
    <row r="701">
      <c r="A701" s="1" t="s">
        <v>4289</v>
      </c>
      <c r="B701" s="1" t="s">
        <v>37</v>
      </c>
      <c r="C701" s="1" t="s">
        <v>4290</v>
      </c>
      <c r="E701" s="1" t="s">
        <v>4291</v>
      </c>
      <c r="F701" s="1" t="s">
        <v>4292</v>
      </c>
      <c r="G701" s="1" t="s">
        <v>4258</v>
      </c>
      <c r="H701" s="1">
        <v>2021.0</v>
      </c>
      <c r="I701" s="1" t="s">
        <v>42</v>
      </c>
      <c r="J701" s="1" t="s">
        <v>51</v>
      </c>
      <c r="K701" s="1" t="s">
        <v>44</v>
      </c>
      <c r="L701" s="1" t="s">
        <v>4293</v>
      </c>
      <c r="M701" s="2" t="s">
        <v>12</v>
      </c>
      <c r="N701" s="4">
        <f t="shared" si="1"/>
        <v>44364</v>
      </c>
      <c r="O701" s="5" t="str">
        <f>IFERROR(__xludf.DUMMYFUNCTION("IF(REGEXMATCH(TRIM(I701), ""^\d+\s*min""), ""Unclassified"", IF(I701 = """", ""NR"", I701))"),"TV-MA")</f>
        <v>TV-MA</v>
      </c>
      <c r="R701" s="5" t="str">
        <f t="shared" si="2"/>
        <v>Katla</v>
      </c>
      <c r="S701" s="5" t="str">
        <f>IFERROR(__xludf.DUMMYFUNCTION("""COMPUTED_VALUE"""),"Awara Paagal Deewana")</f>
        <v>Awara Paagal Deewana</v>
      </c>
      <c r="T701" s="5" t="str">
        <f>IFERROR(__xludf.DUMMYFUNCTION("""COMPUTED_VALUE"""),"United States, Philippines")</f>
        <v>United States, Philippines</v>
      </c>
      <c r="U701" s="5" t="str">
        <f>IFERROR(__xludf.DUMMYFUNCTION("""COMPUTED_VALUE"""),"Chinaza Onuzo")</f>
        <v>Chinaza Onuzo</v>
      </c>
      <c r="V701" s="5" t="s">
        <v>598</v>
      </c>
      <c r="W701" s="5" t="str">
        <f t="shared" si="3"/>
        <v>Cedric Nicolas-Troyan</v>
      </c>
      <c r="X701" s="5">
        <f t="shared" si="4"/>
        <v>1</v>
      </c>
      <c r="Y701" s="5" t="str">
        <f>IFERROR(__xludf.DUMMYFUNCTION("REGEXEXTRACT(J701, ""^\d+"")"),"1")</f>
        <v>1</v>
      </c>
      <c r="Z701" s="5" t="str">
        <f>IFERROR(__xludf.DUMMYFUNCTION("REGEXEXTRACT(J701, ""[A-Za-z ]+$"")")," Season")</f>
        <v> Season</v>
      </c>
      <c r="AA701" s="5" t="str">
        <f>IFERROR(__xludf.DUMMYFUNCTION("IF(REGEXMATCH(Z701, ""Season""), ""TV Show"", ""Movie"")"),"TV Show")</f>
        <v>TV Show</v>
      </c>
    </row>
    <row r="702">
      <c r="A702" s="1" t="s">
        <v>4294</v>
      </c>
      <c r="B702" s="1" t="s">
        <v>37</v>
      </c>
      <c r="C702" s="1" t="s">
        <v>4295</v>
      </c>
      <c r="E702" s="1" t="s">
        <v>4296</v>
      </c>
      <c r="G702" s="1" t="s">
        <v>4258</v>
      </c>
      <c r="H702" s="1">
        <v>2021.0</v>
      </c>
      <c r="I702" s="1" t="s">
        <v>42</v>
      </c>
      <c r="J702" s="1" t="s">
        <v>51</v>
      </c>
      <c r="K702" s="1" t="s">
        <v>567</v>
      </c>
      <c r="L702" s="1" t="s">
        <v>4297</v>
      </c>
      <c r="M702" s="2" t="s">
        <v>12</v>
      </c>
      <c r="N702" s="4">
        <f t="shared" si="1"/>
        <v>44364</v>
      </c>
      <c r="O702" s="5" t="str">
        <f>IFERROR(__xludf.DUMMYFUNCTION("IF(REGEXMATCH(TRIM(I702), ""^\d+\s*min""), ""Unclassified"", IF(I702 = """", ""NR"", I702))"),"TV-MA")</f>
        <v>TV-MA</v>
      </c>
      <c r="R702" s="5" t="str">
        <f t="shared" si="2"/>
        <v>Record Of Ragnarok</v>
      </c>
      <c r="S702" s="5" t="str">
        <f>IFERROR(__xludf.DUMMYFUNCTION("""COMPUTED_VALUE"""),"Away")</f>
        <v>Away</v>
      </c>
      <c r="T702" s="5" t="str">
        <f>IFERROR(__xludf.DUMMYFUNCTION("""COMPUTED_VALUE"""),"United States, Poland")</f>
        <v>United States, Poland</v>
      </c>
      <c r="U702" s="5" t="str">
        <f>IFERROR(__xludf.DUMMYFUNCTION("""COMPUTED_VALUE"""),"Anna Elizabeth James")</f>
        <v>Anna Elizabeth James</v>
      </c>
      <c r="V702" s="5" t="s">
        <v>4298</v>
      </c>
      <c r="W702" s="5" t="str">
        <f t="shared" si="3"/>
        <v>Célia Catunda, Kiko Mistrorigo, Rodrigo Eba</v>
      </c>
      <c r="X702" s="5">
        <f t="shared" si="4"/>
        <v>1</v>
      </c>
      <c r="Y702" s="5" t="str">
        <f>IFERROR(__xludf.DUMMYFUNCTION("REGEXEXTRACT(J702, ""^\d+"")"),"1")</f>
        <v>1</v>
      </c>
      <c r="Z702" s="5" t="str">
        <f>IFERROR(__xludf.DUMMYFUNCTION("REGEXEXTRACT(J702, ""[A-Za-z ]+$"")")," Season")</f>
        <v> Season</v>
      </c>
      <c r="AA702" s="5" t="str">
        <f>IFERROR(__xludf.DUMMYFUNCTION("IF(REGEXMATCH(Z702, ""Season""), ""TV Show"", ""Movie"")"),"TV Show")</f>
        <v>TV Show</v>
      </c>
    </row>
    <row r="703">
      <c r="A703" s="1" t="s">
        <v>4299</v>
      </c>
      <c r="B703" s="1" t="s">
        <v>27</v>
      </c>
      <c r="C703" s="1" t="s">
        <v>4300</v>
      </c>
      <c r="D703" s="1" t="s">
        <v>4301</v>
      </c>
      <c r="E703" s="1" t="s">
        <v>4302</v>
      </c>
      <c r="F703" s="1" t="s">
        <v>1106</v>
      </c>
      <c r="G703" s="1" t="s">
        <v>4258</v>
      </c>
      <c r="H703" s="1">
        <v>2019.0</v>
      </c>
      <c r="I703" s="1" t="s">
        <v>42</v>
      </c>
      <c r="J703" s="1" t="s">
        <v>322</v>
      </c>
      <c r="K703" s="1" t="s">
        <v>805</v>
      </c>
      <c r="L703" s="1" t="s">
        <v>4303</v>
      </c>
      <c r="M703" s="2" t="s">
        <v>12</v>
      </c>
      <c r="N703" s="4">
        <f t="shared" si="1"/>
        <v>44364</v>
      </c>
      <c r="O703" s="5" t="str">
        <f>IFERROR(__xludf.DUMMYFUNCTION("IF(REGEXMATCH(TRIM(I703), ""^\d+\s*min""), ""Unclassified"", IF(I703 = """", ""NR"", I703))"),"TV-MA")</f>
        <v>TV-MA</v>
      </c>
      <c r="R703" s="5" t="str">
        <f t="shared" si="2"/>
        <v>Red Snow</v>
      </c>
      <c r="S703" s="5" t="str">
        <f>IFERROR(__xludf.DUMMYFUNCTION("""COMPUTED_VALUE"""),"Away From Home")</f>
        <v>Away From Home</v>
      </c>
      <c r="T703" s="5" t="str">
        <f>IFERROR(__xludf.DUMMYFUNCTION("""COMPUTED_VALUE"""),"United States, Russia")</f>
        <v>United States, Russia</v>
      </c>
      <c r="U703" s="5" t="str">
        <f>IFERROR(__xludf.DUMMYFUNCTION("""COMPUTED_VALUE"""),"Vitor Brandt")</f>
        <v>Vitor Brandt</v>
      </c>
      <c r="V703" s="5" t="s">
        <v>4304</v>
      </c>
      <c r="W703" s="5" t="str">
        <f t="shared" si="3"/>
        <v>Cem Yılmaz</v>
      </c>
      <c r="X703" s="5">
        <f t="shared" si="4"/>
        <v>2</v>
      </c>
      <c r="Y703" s="5" t="str">
        <f>IFERROR(__xludf.DUMMYFUNCTION("REGEXEXTRACT(J703, ""^\d+"")"),"96")</f>
        <v>96</v>
      </c>
      <c r="Z703" s="5" t="str">
        <f>IFERROR(__xludf.DUMMYFUNCTION("REGEXEXTRACT(J703, ""[A-Za-z ]+$"")")," min")</f>
        <v> min</v>
      </c>
      <c r="AA703" s="5" t="str">
        <f>IFERROR(__xludf.DUMMYFUNCTION("IF(REGEXMATCH(Z703, ""Season""), ""TV Show"", ""Movie"")"),"Movie")</f>
        <v>Movie</v>
      </c>
    </row>
    <row r="704">
      <c r="A704" s="1" t="s">
        <v>4305</v>
      </c>
      <c r="B704" s="1" t="s">
        <v>27</v>
      </c>
      <c r="C704" s="1" t="s">
        <v>4306</v>
      </c>
      <c r="D704" s="1" t="s">
        <v>4307</v>
      </c>
      <c r="E704" s="1" t="s">
        <v>4308</v>
      </c>
      <c r="F704" s="1" t="s">
        <v>30</v>
      </c>
      <c r="G704" s="1" t="s">
        <v>4258</v>
      </c>
      <c r="H704" s="1">
        <v>2012.0</v>
      </c>
      <c r="I704" s="1" t="s">
        <v>378</v>
      </c>
      <c r="J704" s="1" t="s">
        <v>393</v>
      </c>
      <c r="K704" s="1" t="s">
        <v>836</v>
      </c>
      <c r="L704" s="1" t="s">
        <v>4309</v>
      </c>
      <c r="M704" s="2" t="s">
        <v>12</v>
      </c>
      <c r="N704" s="4">
        <f t="shared" si="1"/>
        <v>44364</v>
      </c>
      <c r="O704" s="5" t="str">
        <f>IFERROR(__xludf.DUMMYFUNCTION("IF(REGEXMATCH(TRIM(I704), ""^\d+\s*min""), ""Unclassified"", IF(I704 = """", ""NR"", I704))"),"R")</f>
        <v>R</v>
      </c>
      <c r="R704" s="5" t="str">
        <f t="shared" si="2"/>
        <v>Silver Linings Playbook</v>
      </c>
      <c r="S704" s="5" t="str">
        <f>IFERROR(__xludf.DUMMYFUNCTION("""COMPUTED_VALUE"""),"Awe")</f>
        <v>Awe</v>
      </c>
      <c r="T704" s="5" t="str">
        <f>IFERROR(__xludf.DUMMYFUNCTION("""COMPUTED_VALUE"""),"United States, Senegal")</f>
        <v>United States, Senegal</v>
      </c>
      <c r="U704" s="5" t="str">
        <f>IFERROR(__xludf.DUMMYFUNCTION("""COMPUTED_VALUE"""),"Troy Miller")</f>
        <v>Troy Miller</v>
      </c>
      <c r="V704" s="5" t="s">
        <v>4310</v>
      </c>
      <c r="W704" s="5" t="str">
        <f t="shared" si="3"/>
        <v>César Rodrigues</v>
      </c>
      <c r="X704" s="5">
        <f t="shared" si="4"/>
        <v>1</v>
      </c>
      <c r="Y704" s="5" t="str">
        <f>IFERROR(__xludf.DUMMYFUNCTION("REGEXEXTRACT(J704, ""^\d+"")"),"122")</f>
        <v>122</v>
      </c>
      <c r="Z704" s="5" t="str">
        <f>IFERROR(__xludf.DUMMYFUNCTION("REGEXEXTRACT(J704, ""[A-Za-z ]+$"")")," min")</f>
        <v> min</v>
      </c>
      <c r="AA704" s="5" t="str">
        <f>IFERROR(__xludf.DUMMYFUNCTION("IF(REGEXMATCH(Z704, ""Season""), ""TV Show"", ""Movie"")"),"Movie")</f>
        <v>Movie</v>
      </c>
    </row>
    <row r="705">
      <c r="A705" s="1" t="s">
        <v>4311</v>
      </c>
      <c r="B705" s="1" t="s">
        <v>37</v>
      </c>
      <c r="C705" s="1" t="s">
        <v>4312</v>
      </c>
      <c r="E705" s="1" t="s">
        <v>4313</v>
      </c>
      <c r="F705" s="1" t="s">
        <v>188</v>
      </c>
      <c r="G705" s="1" t="s">
        <v>4258</v>
      </c>
      <c r="H705" s="1">
        <v>2021.0</v>
      </c>
      <c r="I705" s="1" t="s">
        <v>42</v>
      </c>
      <c r="J705" s="1" t="s">
        <v>276</v>
      </c>
      <c r="K705" s="1" t="s">
        <v>44</v>
      </c>
      <c r="L705" s="1" t="s">
        <v>4314</v>
      </c>
      <c r="M705" s="2" t="s">
        <v>12</v>
      </c>
      <c r="N705" s="4">
        <f t="shared" si="1"/>
        <v>44364</v>
      </c>
      <c r="O705" s="5" t="str">
        <f>IFERROR(__xludf.DUMMYFUNCTION("IF(REGEXMATCH(TRIM(I705), ""^\d+\s*min""), ""Unclassified"", IF(I705 = """", ""NR"", I705))"),"TV-MA")</f>
        <v>TV-MA</v>
      </c>
      <c r="R705" s="5" t="str">
        <f t="shared" si="2"/>
        <v>The Gift</v>
      </c>
      <c r="S705" s="5" t="str">
        <f>IFERROR(__xludf.DUMMYFUNCTION("""COMPUTED_VALUE"""),"Awon Boyz")</f>
        <v>Awon Boyz</v>
      </c>
      <c r="T705" s="5" t="str">
        <f>IFERROR(__xludf.DUMMYFUNCTION("""COMPUTED_VALUE"""),"United States, Singapore")</f>
        <v>United States, Singapore</v>
      </c>
      <c r="U705" s="5" t="str">
        <f>IFERROR(__xludf.DUMMYFUNCTION("""COMPUTED_VALUE"""),"Liam O'Donnell")</f>
        <v>Liam O'Donnell</v>
      </c>
      <c r="V705" s="5" t="s">
        <v>4315</v>
      </c>
      <c r="W705" s="5" t="str">
        <f t="shared" si="3"/>
        <v>Chad Archibald</v>
      </c>
      <c r="X705" s="5">
        <f t="shared" si="4"/>
        <v>1</v>
      </c>
      <c r="Y705" s="5" t="str">
        <f>IFERROR(__xludf.DUMMYFUNCTION("REGEXEXTRACT(J705, ""^\d+"")"),"3")</f>
        <v>3</v>
      </c>
      <c r="Z705" s="5" t="str">
        <f>IFERROR(__xludf.DUMMYFUNCTION("REGEXEXTRACT(J705, ""[A-Za-z ]+$"")")," Seasons")</f>
        <v> Seasons</v>
      </c>
      <c r="AA705" s="5" t="str">
        <f>IFERROR(__xludf.DUMMYFUNCTION("IF(REGEXMATCH(Z705, ""Season""), ""TV Show"", ""Movie"")"),"TV Show")</f>
        <v>TV Show</v>
      </c>
    </row>
    <row r="706">
      <c r="A706" s="1" t="s">
        <v>4316</v>
      </c>
      <c r="B706" s="1" t="s">
        <v>27</v>
      </c>
      <c r="C706" s="1" t="s">
        <v>4317</v>
      </c>
      <c r="D706" s="1" t="s">
        <v>316</v>
      </c>
      <c r="E706" s="1" t="s">
        <v>4318</v>
      </c>
      <c r="G706" s="1" t="s">
        <v>4319</v>
      </c>
      <c r="H706" s="1">
        <v>2018.0</v>
      </c>
      <c r="I706" s="1" t="s">
        <v>97</v>
      </c>
      <c r="J706" s="1" t="s">
        <v>465</v>
      </c>
      <c r="K706" s="1" t="s">
        <v>583</v>
      </c>
      <c r="L706" s="1" t="s">
        <v>4320</v>
      </c>
      <c r="M706" s="2" t="s">
        <v>12</v>
      </c>
      <c r="N706" s="4">
        <f t="shared" si="1"/>
        <v>44363</v>
      </c>
      <c r="O706" s="5" t="str">
        <f>IFERROR(__xludf.DUMMYFUNCTION("IF(REGEXMATCH(TRIM(I706), ""^\d+\s*min""), ""Unclassified"", IF(I706 = """", ""NR"", I706))"),"TV-14")</f>
        <v>TV-14</v>
      </c>
      <c r="R706" s="5" t="str">
        <f t="shared" si="2"/>
        <v>A Man For The Week End</v>
      </c>
      <c r="S706" s="5" t="str">
        <f>IFERROR(__xludf.DUMMYFUNCTION("""COMPUTED_VALUE"""),"Axone")</f>
        <v>Axone</v>
      </c>
      <c r="T706" s="5" t="str">
        <f>IFERROR(__xludf.DUMMYFUNCTION("""COMPUTED_VALUE"""),"United States, South Africa")</f>
        <v>United States, South Africa</v>
      </c>
      <c r="U706" s="5" t="str">
        <f>IFERROR(__xludf.DUMMYFUNCTION("""COMPUTED_VALUE"""),"Manny Rodriguez, Jay Lavender")</f>
        <v>Manny Rodriguez, Jay Lavender</v>
      </c>
      <c r="V706" s="5" t="s">
        <v>4321</v>
      </c>
      <c r="W706" s="5" t="str">
        <f t="shared" si="3"/>
        <v>Chad Hartigan</v>
      </c>
      <c r="X706" s="5">
        <f t="shared" si="4"/>
        <v>1</v>
      </c>
      <c r="Y706" s="5" t="str">
        <f>IFERROR(__xludf.DUMMYFUNCTION("REGEXEXTRACT(J706, ""^\d+"")"),"95")</f>
        <v>95</v>
      </c>
      <c r="Z706" s="5" t="str">
        <f>IFERROR(__xludf.DUMMYFUNCTION("REGEXEXTRACT(J706, ""[A-Za-z ]+$"")")," min")</f>
        <v> min</v>
      </c>
      <c r="AA706" s="5" t="str">
        <f>IFERROR(__xludf.DUMMYFUNCTION("IF(REGEXMATCH(Z706, ""Season""), ""TV Show"", ""Movie"")"),"Movie")</f>
        <v>Movie</v>
      </c>
    </row>
    <row r="707">
      <c r="A707" s="1" t="s">
        <v>4322</v>
      </c>
      <c r="B707" s="1" t="s">
        <v>27</v>
      </c>
      <c r="C707" s="1" t="s">
        <v>4323</v>
      </c>
      <c r="D707" s="1" t="s">
        <v>4324</v>
      </c>
      <c r="E707" s="1" t="s">
        <v>4325</v>
      </c>
      <c r="F707" s="1" t="s">
        <v>2492</v>
      </c>
      <c r="G707" s="1" t="s">
        <v>4319</v>
      </c>
      <c r="H707" s="1">
        <v>2019.0</v>
      </c>
      <c r="I707" s="1" t="s">
        <v>97</v>
      </c>
      <c r="J707" s="1" t="s">
        <v>1191</v>
      </c>
      <c r="K707" s="1" t="s">
        <v>520</v>
      </c>
      <c r="L707" s="1" t="s">
        <v>4326</v>
      </c>
      <c r="M707" s="2" t="s">
        <v>12</v>
      </c>
      <c r="N707" s="4">
        <f t="shared" si="1"/>
        <v>44363</v>
      </c>
      <c r="O707" s="5" t="str">
        <f>IFERROR(__xludf.DUMMYFUNCTION("IF(REGEXMATCH(TRIM(I707), ""^\d+\s*min""), ""Unclassified"", IF(I707 = """", ""NR"", I707))"),"TV-14")</f>
        <v>TV-14</v>
      </c>
      <c r="R707" s="5" t="str">
        <f t="shared" si="2"/>
        <v>Biking Borders</v>
      </c>
      <c r="S707" s="5" t="str">
        <f>IFERROR(__xludf.DUMMYFUNCTION("""COMPUTED_VALUE"""),"Ayana")</f>
        <v>Ayana</v>
      </c>
      <c r="T707" s="5" t="str">
        <f>IFERROR(__xludf.DUMMYFUNCTION("""COMPUTED_VALUE"""),"United States, South Korea")</f>
        <v>United States, South Korea</v>
      </c>
      <c r="U707" s="5" t="str">
        <f>IFERROR(__xludf.DUMMYFUNCTION("""COMPUTED_VALUE"""),"Farah Nabulsi")</f>
        <v>Farah Nabulsi</v>
      </c>
      <c r="V707" s="5" t="s">
        <v>4327</v>
      </c>
      <c r="W707" s="5" t="str">
        <f t="shared" si="3"/>
        <v>Chad L. Scheifele</v>
      </c>
      <c r="X707" s="5">
        <f t="shared" si="4"/>
        <v>1</v>
      </c>
      <c r="Y707" s="5" t="str">
        <f>IFERROR(__xludf.DUMMYFUNCTION("REGEXEXTRACT(J707, ""^\d+"")"),"89")</f>
        <v>89</v>
      </c>
      <c r="Z707" s="5" t="str">
        <f>IFERROR(__xludf.DUMMYFUNCTION("REGEXEXTRACT(J707, ""[A-Za-z ]+$"")")," min")</f>
        <v> min</v>
      </c>
      <c r="AA707" s="5" t="str">
        <f>IFERROR(__xludf.DUMMYFUNCTION("IF(REGEXMATCH(Z707, ""Season""), ""TV Show"", ""Movie"")"),"Movie")</f>
        <v>Movie</v>
      </c>
    </row>
    <row r="708">
      <c r="A708" s="1" t="s">
        <v>4328</v>
      </c>
      <c r="B708" s="1" t="s">
        <v>37</v>
      </c>
      <c r="C708" s="1" t="s">
        <v>4329</v>
      </c>
      <c r="E708" s="1" t="s">
        <v>4330</v>
      </c>
      <c r="G708" s="1" t="s">
        <v>4319</v>
      </c>
      <c r="H708" s="1">
        <v>2021.0</v>
      </c>
      <c r="I708" s="1" t="s">
        <v>42</v>
      </c>
      <c r="J708" s="1" t="s">
        <v>51</v>
      </c>
      <c r="K708" s="1" t="s">
        <v>1339</v>
      </c>
      <c r="L708" s="1" t="s">
        <v>4331</v>
      </c>
      <c r="M708" s="2" t="s">
        <v>12</v>
      </c>
      <c r="N708" s="4">
        <f t="shared" si="1"/>
        <v>44363</v>
      </c>
      <c r="O708" s="5" t="str">
        <f>IFERROR(__xludf.DUMMYFUNCTION("IF(REGEXMATCH(TRIM(I708), ""^\d+\s*min""), ""Unclassified"", IF(I708 = """", ""NR"", I708))"),"TV-MA")</f>
        <v>TV-MA</v>
      </c>
      <c r="R708" s="5" t="str">
        <f t="shared" si="2"/>
        <v>Elite Short Stories: Omar Ander Alexis</v>
      </c>
      <c r="S708" s="5" t="str">
        <f>IFERROR(__xludf.DUMMYFUNCTION("""COMPUTED_VALUE"""),"Ayotzinapa, El Paso De La Tortuga")</f>
        <v>Ayotzinapa, El Paso De La Tortuga</v>
      </c>
      <c r="T708" s="5" t="str">
        <f>IFERROR(__xludf.DUMMYFUNCTION("""COMPUTED_VALUE"""),"United States, South Korea, China")</f>
        <v>United States, South Korea, China</v>
      </c>
      <c r="U708" s="5" t="str">
        <f>IFERROR(__xludf.DUMMYFUNCTION("""COMPUTED_VALUE"""),"Walter Taylaur")</f>
        <v>Walter Taylaur</v>
      </c>
      <c r="V708" s="5" t="s">
        <v>4332</v>
      </c>
      <c r="W708" s="5" t="str">
        <f t="shared" si="3"/>
        <v>Chad Van De Keere</v>
      </c>
      <c r="X708" s="5">
        <f t="shared" si="4"/>
        <v>2</v>
      </c>
      <c r="Y708" s="5" t="str">
        <f>IFERROR(__xludf.DUMMYFUNCTION("REGEXEXTRACT(J708, ""^\d+"")"),"1")</f>
        <v>1</v>
      </c>
      <c r="Z708" s="5" t="str">
        <f>IFERROR(__xludf.DUMMYFUNCTION("REGEXEXTRACT(J708, ""[A-Za-z ]+$"")")," Season")</f>
        <v> Season</v>
      </c>
      <c r="AA708" s="5" t="str">
        <f>IFERROR(__xludf.DUMMYFUNCTION("IF(REGEXMATCH(Z708, ""Season""), ""TV Show"", ""Movie"")"),"TV Show")</f>
        <v>TV Show</v>
      </c>
    </row>
    <row r="709">
      <c r="A709" s="1" t="s">
        <v>4333</v>
      </c>
      <c r="B709" s="1" t="s">
        <v>37</v>
      </c>
      <c r="C709" s="1" t="s">
        <v>4334</v>
      </c>
      <c r="D709" s="1" t="s">
        <v>4335</v>
      </c>
      <c r="E709" s="1" t="s">
        <v>4336</v>
      </c>
      <c r="G709" s="1" t="s">
        <v>4319</v>
      </c>
      <c r="H709" s="1">
        <v>2021.0</v>
      </c>
      <c r="I709" s="1" t="s">
        <v>97</v>
      </c>
      <c r="J709" s="1" t="s">
        <v>51</v>
      </c>
      <c r="K709" s="1" t="s">
        <v>64</v>
      </c>
      <c r="L709" s="1" t="s">
        <v>4337</v>
      </c>
      <c r="M709" s="2" t="s">
        <v>12</v>
      </c>
      <c r="N709" s="4">
        <f t="shared" si="1"/>
        <v>44363</v>
      </c>
      <c r="O709" s="5" t="str">
        <f>IFERROR(__xludf.DUMMYFUNCTION("IF(REGEXMATCH(TRIM(I709), ""^\d+\s*min""), ""Unclassified"", IF(I709 = """", ""NR"", I709))"),"TV-14")</f>
        <v>TV-14</v>
      </c>
      <c r="R709" s="5" t="str">
        <f t="shared" si="2"/>
        <v>Let'S Eat</v>
      </c>
      <c r="S709" s="5" t="str">
        <f>IFERROR(__xludf.DUMMYFUNCTION("""COMPUTED_VALUE"""),"Azali")</f>
        <v>Azali</v>
      </c>
      <c r="T709" s="5" t="str">
        <f>IFERROR(__xludf.DUMMYFUNCTION("""COMPUTED_VALUE"""),"United States, South Korea, Japan")</f>
        <v>United States, South Korea, Japan</v>
      </c>
      <c r="U709" s="5" t="str">
        <f>IFERROR(__xludf.DUMMYFUNCTION("""COMPUTED_VALUE"""),"Chris Smith")</f>
        <v>Chris Smith</v>
      </c>
      <c r="V709" s="5" t="s">
        <v>4338</v>
      </c>
      <c r="W709" s="5" t="str">
        <f t="shared" si="3"/>
        <v>Chairun Nissa</v>
      </c>
      <c r="X709" s="5">
        <f t="shared" si="4"/>
        <v>1</v>
      </c>
      <c r="Y709" s="5" t="str">
        <f>IFERROR(__xludf.DUMMYFUNCTION("REGEXEXTRACT(J709, ""^\d+"")"),"1")</f>
        <v>1</v>
      </c>
      <c r="Z709" s="5" t="str">
        <f>IFERROR(__xludf.DUMMYFUNCTION("REGEXEXTRACT(J709, ""[A-Za-z ]+$"")")," Season")</f>
        <v> Season</v>
      </c>
      <c r="AA709" s="5" t="str">
        <f>IFERROR(__xludf.DUMMYFUNCTION("IF(REGEXMATCH(Z709, ""Season""), ""TV Show"", ""Movie"")"),"TV Show")</f>
        <v>TV Show</v>
      </c>
    </row>
    <row r="710">
      <c r="A710" s="1" t="s">
        <v>4339</v>
      </c>
      <c r="B710" s="1" t="s">
        <v>27</v>
      </c>
      <c r="C710" s="1" t="s">
        <v>4340</v>
      </c>
      <c r="D710" s="1" t="s">
        <v>4341</v>
      </c>
      <c r="E710" s="1" t="s">
        <v>4342</v>
      </c>
      <c r="F710" s="1" t="s">
        <v>30</v>
      </c>
      <c r="G710" s="1" t="s">
        <v>4319</v>
      </c>
      <c r="H710" s="1">
        <v>2016.0</v>
      </c>
      <c r="I710" s="1" t="s">
        <v>32</v>
      </c>
      <c r="J710" s="1" t="s">
        <v>357</v>
      </c>
      <c r="K710" s="1" t="s">
        <v>1320</v>
      </c>
      <c r="L710" s="1" t="s">
        <v>4343</v>
      </c>
      <c r="M710" s="2" t="s">
        <v>12</v>
      </c>
      <c r="N710" s="4">
        <f t="shared" si="1"/>
        <v>44363</v>
      </c>
      <c r="O710" s="5" t="str">
        <f>IFERROR(__xludf.DUMMYFUNCTION("IF(REGEXMATCH(TRIM(I710), ""^\d+\s*min""), ""Unclassified"", IF(I710 = """", ""NR"", I710))"),"PG-13")</f>
        <v>PG-13</v>
      </c>
      <c r="R710" s="5" t="str">
        <f t="shared" si="2"/>
        <v>Lowriders</v>
      </c>
      <c r="S710" s="5" t="str">
        <f>IFERROR(__xludf.DUMMYFUNCTION("""COMPUTED_VALUE"""),"Azhar")</f>
        <v>Azhar</v>
      </c>
      <c r="T710" s="5" t="str">
        <f>IFERROR(__xludf.DUMMYFUNCTION("""COMPUTED_VALUE"""),"United States, Spain")</f>
        <v>United States, Spain</v>
      </c>
      <c r="U710" s="5" t="str">
        <f>IFERROR(__xludf.DUMMYFUNCTION("""COMPUTED_VALUE"""),"Alain Brunard")</f>
        <v>Alain Brunard</v>
      </c>
      <c r="V710" s="5" t="s">
        <v>4344</v>
      </c>
      <c r="W710" s="5" t="str">
        <f t="shared" si="3"/>
        <v>Chaitanya Tamhane</v>
      </c>
      <c r="X710" s="5">
        <f t="shared" si="4"/>
        <v>1</v>
      </c>
      <c r="Y710" s="5" t="str">
        <f>IFERROR(__xludf.DUMMYFUNCTION("REGEXEXTRACT(J710, ""^\d+"")"),"98")</f>
        <v>98</v>
      </c>
      <c r="Z710" s="5" t="str">
        <f>IFERROR(__xludf.DUMMYFUNCTION("REGEXEXTRACT(J710, ""[A-Za-z ]+$"")")," min")</f>
        <v> min</v>
      </c>
      <c r="AA710" s="5" t="str">
        <f>IFERROR(__xludf.DUMMYFUNCTION("IF(REGEXMATCH(Z710, ""Season""), ""TV Show"", ""Movie"")"),"Movie")</f>
        <v>Movie</v>
      </c>
    </row>
    <row r="711">
      <c r="A711" s="1" t="s">
        <v>4345</v>
      </c>
      <c r="B711" s="1" t="s">
        <v>37</v>
      </c>
      <c r="C711" s="1" t="s">
        <v>4346</v>
      </c>
      <c r="E711" s="1" t="s">
        <v>4347</v>
      </c>
      <c r="F711" s="1" t="s">
        <v>1815</v>
      </c>
      <c r="G711" s="1" t="s">
        <v>4319</v>
      </c>
      <c r="H711" s="1">
        <v>2020.0</v>
      </c>
      <c r="I711" s="1" t="s">
        <v>42</v>
      </c>
      <c r="J711" s="1" t="s">
        <v>276</v>
      </c>
      <c r="K711" s="1" t="s">
        <v>1822</v>
      </c>
      <c r="L711" s="1" t="s">
        <v>4348</v>
      </c>
      <c r="M711" s="2" t="s">
        <v>12</v>
      </c>
      <c r="N711" s="4">
        <f t="shared" si="1"/>
        <v>44363</v>
      </c>
      <c r="O711" s="5" t="str">
        <f>IFERROR(__xludf.DUMMYFUNCTION("IF(REGEXMATCH(TRIM(I711), ""^\d+\s*min""), ""Unclassified"", IF(I711 = """", ""NR"", I711))"),"TV-MA")</f>
        <v>TV-MA</v>
      </c>
      <c r="R711" s="5" t="str">
        <f t="shared" si="2"/>
        <v>Millennials</v>
      </c>
      <c r="S711" s="5" t="str">
        <f>IFERROR(__xludf.DUMMYFUNCTION("""COMPUTED_VALUE"""),"Aziz Ansari Live At Madison Square Garden")</f>
        <v>Aziz Ansari Live At Madison Square Garden</v>
      </c>
      <c r="T711" s="5" t="str">
        <f>IFERROR(__xludf.DUMMYFUNCTION("""COMPUTED_VALUE"""),"United States, Spain, Germany")</f>
        <v>United States, Spain, Germany</v>
      </c>
      <c r="U711" s="5" t="str">
        <f>IFERROR(__xludf.DUMMYFUNCTION("""COMPUTED_VALUE"""),"Tate Taylor")</f>
        <v>Tate Taylor</v>
      </c>
      <c r="V711" s="5" t="s">
        <v>4349</v>
      </c>
      <c r="W711" s="5" t="str">
        <f t="shared" si="3"/>
        <v>Chakri Toleti</v>
      </c>
      <c r="X711" s="5">
        <f t="shared" si="4"/>
        <v>1</v>
      </c>
      <c r="Y711" s="5" t="str">
        <f>IFERROR(__xludf.DUMMYFUNCTION("REGEXEXTRACT(J711, ""^\d+"")"),"3")</f>
        <v>3</v>
      </c>
      <c r="Z711" s="5" t="str">
        <f>IFERROR(__xludf.DUMMYFUNCTION("REGEXEXTRACT(J711, ""[A-Za-z ]+$"")")," Seasons")</f>
        <v> Seasons</v>
      </c>
      <c r="AA711" s="5" t="str">
        <f>IFERROR(__xludf.DUMMYFUNCTION("IF(REGEXMATCH(Z711, ""Season""), ""TV Show"", ""Movie"")"),"TV Show")</f>
        <v>TV Show</v>
      </c>
    </row>
    <row r="712">
      <c r="A712" s="1" t="s">
        <v>4350</v>
      </c>
      <c r="B712" s="1" t="s">
        <v>37</v>
      </c>
      <c r="C712" s="1" t="s">
        <v>4351</v>
      </c>
      <c r="G712" s="1" t="s">
        <v>4319</v>
      </c>
      <c r="H712" s="1">
        <v>2021.0</v>
      </c>
      <c r="I712" s="1" t="s">
        <v>136</v>
      </c>
      <c r="J712" s="1" t="s">
        <v>51</v>
      </c>
      <c r="K712" s="1" t="s">
        <v>736</v>
      </c>
      <c r="L712" s="1" t="s">
        <v>4352</v>
      </c>
      <c r="M712" s="2" t="s">
        <v>12</v>
      </c>
      <c r="N712" s="4">
        <f t="shared" si="1"/>
        <v>44363</v>
      </c>
      <c r="O712" s="5" t="str">
        <f>IFERROR(__xludf.DUMMYFUNCTION("IF(REGEXMATCH(TRIM(I712), ""^\d+\s*min""), ""Unclassified"", IF(I712 = """", ""NR"", I712))"),"TV-PG")</f>
        <v>TV-PG</v>
      </c>
      <c r="R712" s="5" t="str">
        <f t="shared" si="2"/>
        <v>Penguin Town</v>
      </c>
      <c r="S712" s="5" t="str">
        <f>IFERROR(__xludf.DUMMYFUNCTION("""COMPUTED_VALUE"""),"Aziz Ansari: Buried Alive")</f>
        <v>Aziz Ansari: Buried Alive</v>
      </c>
      <c r="T712" s="5" t="str">
        <f>IFERROR(__xludf.DUMMYFUNCTION("""COMPUTED_VALUE"""),"United States, Sweden")</f>
        <v>United States, Sweden</v>
      </c>
      <c r="U712" s="5" t="str">
        <f>IFERROR(__xludf.DUMMYFUNCTION("""COMPUTED_VALUE"""),"Ladislaus Kiraly")</f>
        <v>Ladislaus Kiraly</v>
      </c>
      <c r="V712" s="5" t="s">
        <v>4353</v>
      </c>
      <c r="W712" s="5" t="str">
        <f t="shared" si="3"/>
        <v>Chan-Sang Lim</v>
      </c>
      <c r="X712" s="5">
        <f t="shared" si="4"/>
        <v>1</v>
      </c>
      <c r="Y712" s="5" t="str">
        <f>IFERROR(__xludf.DUMMYFUNCTION("REGEXEXTRACT(J712, ""^\d+"")"),"1")</f>
        <v>1</v>
      </c>
      <c r="Z712" s="5" t="str">
        <f>IFERROR(__xludf.DUMMYFUNCTION("REGEXEXTRACT(J712, ""[A-Za-z ]+$"")")," Season")</f>
        <v> Season</v>
      </c>
      <c r="AA712" s="5" t="str">
        <f>IFERROR(__xludf.DUMMYFUNCTION("IF(REGEXMATCH(Z712, ""Season""), ""TV Show"", ""Movie"")"),"TV Show")</f>
        <v>TV Show</v>
      </c>
    </row>
    <row r="713">
      <c r="A713" s="1" t="s">
        <v>4354</v>
      </c>
      <c r="B713" s="1" t="s">
        <v>27</v>
      </c>
      <c r="C713" s="1" t="s">
        <v>4355</v>
      </c>
      <c r="D713" s="1" t="s">
        <v>4356</v>
      </c>
      <c r="E713" s="1" t="s">
        <v>4357</v>
      </c>
      <c r="F713" s="1" t="s">
        <v>1779</v>
      </c>
      <c r="G713" s="1" t="s">
        <v>4319</v>
      </c>
      <c r="H713" s="1">
        <v>2021.0</v>
      </c>
      <c r="I713" s="1" t="s">
        <v>42</v>
      </c>
      <c r="J713" s="1" t="s">
        <v>804</v>
      </c>
      <c r="K713" s="1" t="s">
        <v>298</v>
      </c>
      <c r="L713" s="1" t="s">
        <v>4358</v>
      </c>
      <c r="M713" s="2" t="s">
        <v>12</v>
      </c>
      <c r="N713" s="4">
        <f t="shared" si="1"/>
        <v>44363</v>
      </c>
      <c r="O713" s="5" t="str">
        <f>IFERROR(__xludf.DUMMYFUNCTION("IF(REGEXMATCH(TRIM(I713), ""^\d+\s*min""), ""Unclassified"", IF(I713 = """", ""NR"", I713))"),"TV-MA")</f>
        <v>TV-MA</v>
      </c>
      <c r="R713" s="5" t="str">
        <f t="shared" si="2"/>
        <v>Security</v>
      </c>
      <c r="S713" s="5" t="str">
        <f>IFERROR(__xludf.DUMMYFUNCTION("""COMPUTED_VALUE"""),"Aziz Ansari: Right Now")</f>
        <v>Aziz Ansari: Right Now</v>
      </c>
      <c r="T713" s="5" t="str">
        <f>IFERROR(__xludf.DUMMYFUNCTION("""COMPUTED_VALUE"""),"United States, Sweden, Norway")</f>
        <v>United States, Sweden, Norway</v>
      </c>
      <c r="U713" s="5" t="str">
        <f>IFERROR(__xludf.DUMMYFUNCTION("""COMPUTED_VALUE"""),"Oliver Stone")</f>
        <v>Oliver Stone</v>
      </c>
      <c r="V713" s="5" t="s">
        <v>4359</v>
      </c>
      <c r="W713" s="5" t="str">
        <f t="shared" si="3"/>
        <v>Chanda Bell</v>
      </c>
      <c r="X713" s="5">
        <f t="shared" si="4"/>
        <v>2</v>
      </c>
      <c r="Y713" s="5" t="str">
        <f>IFERROR(__xludf.DUMMYFUNCTION("REGEXEXTRACT(J713, ""^\d+"")"),"119")</f>
        <v>119</v>
      </c>
      <c r="Z713" s="5" t="str">
        <f>IFERROR(__xludf.DUMMYFUNCTION("REGEXEXTRACT(J713, ""[A-Za-z ]+$"")")," min")</f>
        <v> min</v>
      </c>
      <c r="AA713" s="5" t="str">
        <f>IFERROR(__xludf.DUMMYFUNCTION("IF(REGEXMATCH(Z713, ""Season""), ""TV Show"", ""Movie"")"),"Movie")</f>
        <v>Movie</v>
      </c>
    </row>
    <row r="714">
      <c r="A714" s="1" t="s">
        <v>4360</v>
      </c>
      <c r="B714" s="1" t="s">
        <v>27</v>
      </c>
      <c r="C714" s="1" t="s">
        <v>4361</v>
      </c>
      <c r="D714" s="1" t="s">
        <v>4362</v>
      </c>
      <c r="E714" s="1" t="s">
        <v>4363</v>
      </c>
      <c r="G714" s="1" t="s">
        <v>4319</v>
      </c>
      <c r="H714" s="1">
        <v>2020.0</v>
      </c>
      <c r="I714" s="1" t="s">
        <v>42</v>
      </c>
      <c r="J714" s="1" t="s">
        <v>2414</v>
      </c>
      <c r="K714" s="1" t="s">
        <v>306</v>
      </c>
      <c r="L714" s="1" t="s">
        <v>4364</v>
      </c>
      <c r="M714" s="2" t="s">
        <v>12</v>
      </c>
      <c r="N714" s="4">
        <f t="shared" si="1"/>
        <v>44363</v>
      </c>
      <c r="O714" s="5" t="str">
        <f>IFERROR(__xludf.DUMMYFUNCTION("IF(REGEXMATCH(TRIM(I714), ""^\d+\s*min""), ""Unclassified"", IF(I714 = """", ""NR"", I714))"),"TV-MA")</f>
        <v>TV-MA</v>
      </c>
      <c r="R714" s="5" t="str">
        <f t="shared" si="2"/>
        <v>Silver Skates</v>
      </c>
      <c r="S714" s="5" t="str">
        <f>IFERROR(__xludf.DUMMYFUNCTION("""COMPUTED_VALUE"""),"Aziza")</f>
        <v>Aziza</v>
      </c>
      <c r="T714" s="5" t="str">
        <f>IFERROR(__xludf.DUMMYFUNCTION("""COMPUTED_VALUE"""),"United States, Switzerland")</f>
        <v>United States, Switzerland</v>
      </c>
      <c r="U714" s="5" t="str">
        <f>IFERROR(__xludf.DUMMYFUNCTION("""COMPUTED_VALUE"""),"Hemambar Jasti")</f>
        <v>Hemambar Jasti</v>
      </c>
      <c r="V714" s="5" t="s">
        <v>4365</v>
      </c>
      <c r="W714" s="5" t="str">
        <f t="shared" si="3"/>
        <v>Chandan Arora</v>
      </c>
      <c r="X714" s="5">
        <f t="shared" si="4"/>
        <v>1</v>
      </c>
      <c r="Y714" s="5" t="str">
        <f>IFERROR(__xludf.DUMMYFUNCTION("REGEXEXTRACT(J714, ""^\d+"")"),"138")</f>
        <v>138</v>
      </c>
      <c r="Z714" s="5" t="str">
        <f>IFERROR(__xludf.DUMMYFUNCTION("REGEXEXTRACT(J714, ""[A-Za-z ]+$"")")," min")</f>
        <v> min</v>
      </c>
      <c r="AA714" s="5" t="str">
        <f>IFERROR(__xludf.DUMMYFUNCTION("IF(REGEXMATCH(Z714, ""Season""), ""TV Show"", ""Movie"")"),"Movie")</f>
        <v>Movie</v>
      </c>
    </row>
    <row r="715">
      <c r="A715" s="1" t="s">
        <v>4366</v>
      </c>
      <c r="B715" s="1" t="s">
        <v>37</v>
      </c>
      <c r="C715" s="1" t="s">
        <v>4367</v>
      </c>
      <c r="E715" s="1" t="s">
        <v>4368</v>
      </c>
      <c r="F715" s="1" t="s">
        <v>30</v>
      </c>
      <c r="G715" s="1" t="s">
        <v>4369</v>
      </c>
      <c r="H715" s="1">
        <v>2020.0</v>
      </c>
      <c r="I715" s="1" t="s">
        <v>289</v>
      </c>
      <c r="J715" s="1" t="s">
        <v>51</v>
      </c>
      <c r="K715" s="1" t="s">
        <v>314</v>
      </c>
      <c r="L715" s="1" t="s">
        <v>4370</v>
      </c>
      <c r="M715" s="2" t="s">
        <v>12</v>
      </c>
      <c r="N715" s="4">
        <f t="shared" si="1"/>
        <v>44362</v>
      </c>
      <c r="O715" s="5" t="str">
        <f>IFERROR(__xludf.DUMMYFUNCTION("IF(REGEXMATCH(TRIM(I715), ""^\d+\s*min""), ""Unclassified"", IF(I715 = """", ""NR"", I715))"),"TV-Y7")</f>
        <v>TV-Y7</v>
      </c>
      <c r="R715" s="5" t="str">
        <f t="shared" si="2"/>
        <v>Avengers Climate Conundrum</v>
      </c>
      <c r="S715" s="5" t="str">
        <f>IFERROR(__xludf.DUMMYFUNCTION("""COMPUTED_VALUE"""),"B: The Beginning")</f>
        <v>B: The Beginning</v>
      </c>
      <c r="T715" s="5" t="str">
        <f>IFERROR(__xludf.DUMMYFUNCTION("""COMPUTED_VALUE"""),"United States, Taiwan")</f>
        <v>United States, Taiwan</v>
      </c>
      <c r="U715" s="5" t="str">
        <f>IFERROR(__xludf.DUMMYFUNCTION("""COMPUTED_VALUE"""),"Taylor Morden")</f>
        <v>Taylor Morden</v>
      </c>
      <c r="V715" s="5" t="s">
        <v>4371</v>
      </c>
      <c r="W715" s="5" t="str">
        <f t="shared" si="3"/>
        <v>Chandra Liow</v>
      </c>
      <c r="X715" s="5">
        <f t="shared" si="4"/>
        <v>1</v>
      </c>
      <c r="Y715" s="5" t="str">
        <f>IFERROR(__xludf.DUMMYFUNCTION("REGEXEXTRACT(J715, ""^\d+"")"),"1")</f>
        <v>1</v>
      </c>
      <c r="Z715" s="5" t="str">
        <f>IFERROR(__xludf.DUMMYFUNCTION("REGEXEXTRACT(J715, ""[A-Za-z ]+$"")")," Season")</f>
        <v> Season</v>
      </c>
      <c r="AA715" s="5" t="str">
        <f>IFERROR(__xludf.DUMMYFUNCTION("IF(REGEXMATCH(Z715, ""Season""), ""TV Show"", ""Movie"")"),"TV Show")</f>
        <v>TV Show</v>
      </c>
    </row>
    <row r="716">
      <c r="A716" s="1" t="s">
        <v>4372</v>
      </c>
      <c r="B716" s="1" t="s">
        <v>37</v>
      </c>
      <c r="C716" s="1" t="s">
        <v>4373</v>
      </c>
      <c r="E716" s="1" t="s">
        <v>4374</v>
      </c>
      <c r="G716" s="1" t="s">
        <v>4369</v>
      </c>
      <c r="H716" s="1">
        <v>2021.0</v>
      </c>
      <c r="I716" s="1" t="s">
        <v>42</v>
      </c>
      <c r="J716" s="1" t="s">
        <v>51</v>
      </c>
      <c r="K716" s="1" t="s">
        <v>4375</v>
      </c>
      <c r="L716" s="1" t="s">
        <v>4376</v>
      </c>
      <c r="M716" s="2" t="s">
        <v>12</v>
      </c>
      <c r="N716" s="4">
        <f t="shared" si="1"/>
        <v>44362</v>
      </c>
      <c r="O716" s="5" t="str">
        <f>IFERROR(__xludf.DUMMYFUNCTION("IF(REGEXMATCH(TRIM(I716), ""^\d+\s*min""), ""Unclassified"", IF(I716 = """", ""NR"", I716))"),"TV-MA")</f>
        <v>TV-MA</v>
      </c>
      <c r="R716" s="5" t="str">
        <f t="shared" si="2"/>
        <v>Beyond Evil</v>
      </c>
      <c r="S716" s="5" t="str">
        <f>IFERROR(__xludf.DUMMYFUNCTION("""COMPUTED_VALUE"""),"B.A. Pass")</f>
        <v>B.A. Pass</v>
      </c>
      <c r="T716" s="5" t="str">
        <f>IFERROR(__xludf.DUMMYFUNCTION("""COMPUTED_VALUE"""),"United States, Thailand")</f>
        <v>United States, Thailand</v>
      </c>
      <c r="U716" s="5" t="str">
        <f>IFERROR(__xludf.DUMMYFUNCTION("""COMPUTED_VALUE"""),"Helena Coan")</f>
        <v>Helena Coan</v>
      </c>
      <c r="V716" s="5" t="s">
        <v>4377</v>
      </c>
      <c r="W716" s="5" t="str">
        <f t="shared" si="3"/>
        <v>Chandra Prakash Dwivedi</v>
      </c>
      <c r="X716" s="5">
        <f t="shared" si="4"/>
        <v>1</v>
      </c>
      <c r="Y716" s="5" t="str">
        <f>IFERROR(__xludf.DUMMYFUNCTION("REGEXEXTRACT(J716, ""^\d+"")"),"1")</f>
        <v>1</v>
      </c>
      <c r="Z716" s="5" t="str">
        <f>IFERROR(__xludf.DUMMYFUNCTION("REGEXEXTRACT(J716, ""[A-Za-z ]+$"")")," Season")</f>
        <v> Season</v>
      </c>
      <c r="AA716" s="5" t="str">
        <f>IFERROR(__xludf.DUMMYFUNCTION("IF(REGEXMATCH(Z716, ""Season""), ""TV Show"", ""Movie"")"),"TV Show")</f>
        <v>TV Show</v>
      </c>
    </row>
    <row r="717">
      <c r="A717" s="1" t="s">
        <v>4378</v>
      </c>
      <c r="B717" s="1" t="s">
        <v>37</v>
      </c>
      <c r="C717" s="1" t="s">
        <v>4379</v>
      </c>
      <c r="E717" s="1" t="s">
        <v>4380</v>
      </c>
      <c r="G717" s="1" t="s">
        <v>4369</v>
      </c>
      <c r="H717" s="1">
        <v>2021.0</v>
      </c>
      <c r="I717" s="1" t="s">
        <v>42</v>
      </c>
      <c r="J717" s="1" t="s">
        <v>51</v>
      </c>
      <c r="K717" s="1" t="s">
        <v>1822</v>
      </c>
      <c r="L717" s="1" t="s">
        <v>4381</v>
      </c>
      <c r="M717" s="2" t="s">
        <v>12</v>
      </c>
      <c r="N717" s="4">
        <f t="shared" si="1"/>
        <v>44362</v>
      </c>
      <c r="O717" s="5" t="str">
        <f>IFERROR(__xludf.DUMMYFUNCTION("IF(REGEXMATCH(TRIM(I717), ""^\d+\s*min""), ""Unclassified"", IF(I717 = """", ""NR"", I717))"),"TV-MA")</f>
        <v>TV-MA</v>
      </c>
      <c r="R717" s="5" t="str">
        <f t="shared" si="2"/>
        <v>Elite Short Stories: Nadia Guzmán</v>
      </c>
      <c r="S717" s="5" t="str">
        <f>IFERROR(__xludf.DUMMYFUNCTION("""COMPUTED_VALUE"""),"B.A. Pass 2")</f>
        <v>B.A. Pass 2</v>
      </c>
      <c r="T717" s="5" t="str">
        <f>IFERROR(__xludf.DUMMYFUNCTION("""COMPUTED_VALUE"""),"United States, United Arab Emirates")</f>
        <v>United States, United Arab Emirates</v>
      </c>
      <c r="U717" s="5" t="str">
        <f>IFERROR(__xludf.DUMMYFUNCTION("""COMPUTED_VALUE"""),"Muharrem Gülmez")</f>
        <v>Muharrem Gülmez</v>
      </c>
      <c r="V717" s="5" t="s">
        <v>4382</v>
      </c>
      <c r="W717" s="5" t="str">
        <f t="shared" si="3"/>
        <v>Chandrakant Kanse</v>
      </c>
      <c r="X717" s="5">
        <f t="shared" si="4"/>
        <v>1</v>
      </c>
      <c r="Y717" s="5" t="str">
        <f>IFERROR(__xludf.DUMMYFUNCTION("REGEXEXTRACT(J717, ""^\d+"")"),"1")</f>
        <v>1</v>
      </c>
      <c r="Z717" s="5" t="str">
        <f>IFERROR(__xludf.DUMMYFUNCTION("REGEXEXTRACT(J717, ""[A-Za-z ]+$"")")," Season")</f>
        <v> Season</v>
      </c>
      <c r="AA717" s="5" t="str">
        <f>IFERROR(__xludf.DUMMYFUNCTION("IF(REGEXMATCH(Z717, ""Season""), ""TV Show"", ""Movie"")"),"TV Show")</f>
        <v>TV Show</v>
      </c>
    </row>
    <row r="718">
      <c r="A718" s="1" t="s">
        <v>4383</v>
      </c>
      <c r="B718" s="1" t="s">
        <v>27</v>
      </c>
      <c r="C718" s="1" t="s">
        <v>4384</v>
      </c>
      <c r="D718" s="1" t="s">
        <v>4385</v>
      </c>
      <c r="E718" s="1" t="s">
        <v>4386</v>
      </c>
      <c r="F718" s="1" t="s">
        <v>30</v>
      </c>
      <c r="G718" s="1" t="s">
        <v>4369</v>
      </c>
      <c r="H718" s="1">
        <v>1972.0</v>
      </c>
      <c r="I718" s="1" t="s">
        <v>42</v>
      </c>
      <c r="J718" s="1" t="s">
        <v>106</v>
      </c>
      <c r="K718" s="1" t="s">
        <v>34</v>
      </c>
      <c r="L718" s="1" t="s">
        <v>4387</v>
      </c>
      <c r="M718" s="2" t="s">
        <v>12</v>
      </c>
      <c r="N718" s="4">
        <f t="shared" si="1"/>
        <v>44362</v>
      </c>
      <c r="O718" s="5" t="str">
        <f>IFERROR(__xludf.DUMMYFUNCTION("IF(REGEXMATCH(TRIM(I718), ""^\d+\s*min""), ""Unclassified"", IF(I718 = """", ""NR"", I718))"),"TV-MA")</f>
        <v>TV-MA</v>
      </c>
      <c r="R718" s="5" t="str">
        <f t="shared" si="2"/>
        <v>Fta</v>
      </c>
      <c r="S718" s="5" t="str">
        <f>IFERROR(__xludf.DUMMYFUNCTION("""COMPUTED_VALUE"""),"Baadshaho")</f>
        <v>Baadshaho</v>
      </c>
      <c r="T718" s="5" t="str">
        <f>IFERROR(__xludf.DUMMYFUNCTION("""COMPUTED_VALUE"""),"United States, United Kingdom")</f>
        <v>United States, United Kingdom</v>
      </c>
      <c r="U718" s="5" t="str">
        <f>IFERROR(__xludf.DUMMYFUNCTION("""COMPUTED_VALUE"""),"Dolapo Adeleke")</f>
        <v>Dolapo Adeleke</v>
      </c>
      <c r="V718" s="5" t="s">
        <v>4388</v>
      </c>
      <c r="W718" s="5" t="str">
        <f t="shared" si="3"/>
        <v>Chandrakant Kulkarni</v>
      </c>
      <c r="X718" s="5">
        <f t="shared" si="4"/>
        <v>3</v>
      </c>
      <c r="Y718" s="5" t="str">
        <f>IFERROR(__xludf.DUMMYFUNCTION("REGEXEXTRACT(J718, ""^\d+"")"),"104")</f>
        <v>104</v>
      </c>
      <c r="Z718" s="5" t="str">
        <f>IFERROR(__xludf.DUMMYFUNCTION("REGEXEXTRACT(J718, ""[A-Za-z ]+$"")")," min")</f>
        <v> min</v>
      </c>
      <c r="AA718" s="5" t="str">
        <f>IFERROR(__xludf.DUMMYFUNCTION("IF(REGEXMATCH(Z718, ""Season""), ""TV Show"", ""Movie"")"),"Movie")</f>
        <v>Movie</v>
      </c>
    </row>
    <row r="719">
      <c r="A719" s="1" t="s">
        <v>4389</v>
      </c>
      <c r="B719" s="1" t="s">
        <v>27</v>
      </c>
      <c r="C719" s="1" t="s">
        <v>4390</v>
      </c>
      <c r="E719" s="1" t="s">
        <v>4391</v>
      </c>
      <c r="G719" s="1" t="s">
        <v>4369</v>
      </c>
      <c r="H719" s="1">
        <v>2021.0</v>
      </c>
      <c r="I719" s="1" t="s">
        <v>506</v>
      </c>
      <c r="J719" s="1" t="s">
        <v>4392</v>
      </c>
      <c r="K719" s="1" t="s">
        <v>34</v>
      </c>
      <c r="L719" s="1" t="s">
        <v>4393</v>
      </c>
      <c r="M719" s="2" t="s">
        <v>12</v>
      </c>
      <c r="N719" s="4">
        <f t="shared" si="1"/>
        <v>44362</v>
      </c>
      <c r="O719" s="5" t="str">
        <f>IFERROR(__xludf.DUMMYFUNCTION("IF(REGEXMATCH(TRIM(I719), ""^\d+\s*min""), ""Unclassified"", IF(I719 = """", ""NR"", I719))"),"TV-G")</f>
        <v>TV-G</v>
      </c>
      <c r="R719" s="5" t="str">
        <f t="shared" si="2"/>
        <v>Headspace: Unwind Your Mind</v>
      </c>
      <c r="S719" s="5" t="str">
        <f>IFERROR(__xludf.DUMMYFUNCTION("""COMPUTED_VALUE"""),"Baaghi")</f>
        <v>Baaghi</v>
      </c>
      <c r="T719" s="5" t="str">
        <f>IFERROR(__xludf.DUMMYFUNCTION("""COMPUTED_VALUE"""),"United States, United Kingdom, Australia")</f>
        <v>United States, United Kingdom, Australia</v>
      </c>
      <c r="U719" s="5" t="str">
        <f>IFERROR(__xludf.DUMMYFUNCTION("""COMPUTED_VALUE"""),"Mahsun Kırmızıgül")</f>
        <v>Mahsun Kırmızıgül</v>
      </c>
      <c r="V719" s="5" t="s">
        <v>4394</v>
      </c>
      <c r="W719" s="5" t="str">
        <f t="shared" si="3"/>
        <v>Chandran Narikode</v>
      </c>
      <c r="X719" s="5">
        <f t="shared" si="4"/>
        <v>1</v>
      </c>
      <c r="Y719" s="5" t="str">
        <f>IFERROR(__xludf.DUMMYFUNCTION("REGEXEXTRACT(J719, ""^\d+"")"),"273")</f>
        <v>273</v>
      </c>
      <c r="Z719" s="5" t="str">
        <f>IFERROR(__xludf.DUMMYFUNCTION("REGEXEXTRACT(J719, ""[A-Za-z ]+$"")")," min")</f>
        <v> min</v>
      </c>
      <c r="AA719" s="5" t="str">
        <f>IFERROR(__xludf.DUMMYFUNCTION("IF(REGEXMATCH(Z719, ""Season""), ""TV Show"", ""Movie"")"),"Movie")</f>
        <v>Movie</v>
      </c>
    </row>
    <row r="720">
      <c r="A720" s="1" t="s">
        <v>4395</v>
      </c>
      <c r="B720" s="1" t="s">
        <v>27</v>
      </c>
      <c r="C720" s="1" t="s">
        <v>4396</v>
      </c>
      <c r="D720" s="1" t="s">
        <v>4397</v>
      </c>
      <c r="E720" s="1" t="s">
        <v>4398</v>
      </c>
      <c r="F720" s="1" t="s">
        <v>30</v>
      </c>
      <c r="G720" s="1" t="s">
        <v>4369</v>
      </c>
      <c r="H720" s="1">
        <v>2013.0</v>
      </c>
      <c r="I720" s="1" t="s">
        <v>378</v>
      </c>
      <c r="J720" s="1" t="s">
        <v>1091</v>
      </c>
      <c r="K720" s="1" t="s">
        <v>1749</v>
      </c>
      <c r="L720" s="1" t="s">
        <v>4399</v>
      </c>
      <c r="M720" s="2" t="s">
        <v>12</v>
      </c>
      <c r="N720" s="4">
        <f t="shared" si="1"/>
        <v>44362</v>
      </c>
      <c r="O720" s="5" t="str">
        <f>IFERROR(__xludf.DUMMYFUNCTION("IF(REGEXMATCH(TRIM(I720), ""^\d+\s*min""), ""Unclassified"", IF(I720 = """", ""NR"", I720))"),"R")</f>
        <v>R</v>
      </c>
      <c r="R720" s="5" t="str">
        <f t="shared" si="2"/>
        <v>Life Of Crime</v>
      </c>
      <c r="S720" s="5" t="str">
        <f>IFERROR(__xludf.DUMMYFUNCTION("""COMPUTED_VALUE"""),"Baahubali 2: The Conclusion (Hindi Version)")</f>
        <v>Baahubali 2: The Conclusion (Hindi Version)</v>
      </c>
      <c r="T720" s="5" t="str">
        <f>IFERROR(__xludf.DUMMYFUNCTION("""COMPUTED_VALUE"""),"United States, United Kingdom, Canada")</f>
        <v>United States, United Kingdom, Canada</v>
      </c>
      <c r="U720" s="5" t="str">
        <f>IFERROR(__xludf.DUMMYFUNCTION("""COMPUTED_VALUE"""),"Can Ulkay")</f>
        <v>Can Ulkay</v>
      </c>
      <c r="V720" s="5" t="s">
        <v>4400</v>
      </c>
      <c r="W720" s="5" t="str">
        <f t="shared" si="3"/>
        <v>Chang Chin-Jung, Chen Rong-Hui</v>
      </c>
      <c r="X720" s="5">
        <f t="shared" si="4"/>
        <v>1</v>
      </c>
      <c r="Y720" s="5" t="str">
        <f>IFERROR(__xludf.DUMMYFUNCTION("REGEXEXTRACT(J720, ""^\d+"")"),"101")</f>
        <v>101</v>
      </c>
      <c r="Z720" s="5" t="str">
        <f>IFERROR(__xludf.DUMMYFUNCTION("REGEXEXTRACT(J720, ""[A-Za-z ]+$"")")," min")</f>
        <v> min</v>
      </c>
      <c r="AA720" s="5" t="str">
        <f>IFERROR(__xludf.DUMMYFUNCTION("IF(REGEXMATCH(Z720, ""Season""), ""TV Show"", ""Movie"")"),"Movie")</f>
        <v>Movie</v>
      </c>
    </row>
    <row r="721">
      <c r="A721" s="1" t="s">
        <v>4401</v>
      </c>
      <c r="B721" s="1" t="s">
        <v>37</v>
      </c>
      <c r="C721" s="1" t="s">
        <v>4402</v>
      </c>
      <c r="E721" s="1" t="s">
        <v>4403</v>
      </c>
      <c r="F721" s="1" t="s">
        <v>30</v>
      </c>
      <c r="G721" s="1" t="s">
        <v>4369</v>
      </c>
      <c r="H721" s="1">
        <v>2021.0</v>
      </c>
      <c r="I721" s="1" t="s">
        <v>506</v>
      </c>
      <c r="J721" s="1" t="s">
        <v>51</v>
      </c>
      <c r="K721" s="1" t="s">
        <v>290</v>
      </c>
      <c r="L721" s="1" t="s">
        <v>4404</v>
      </c>
      <c r="M721" s="2" t="s">
        <v>12</v>
      </c>
      <c r="N721" s="4">
        <f t="shared" si="1"/>
        <v>44362</v>
      </c>
      <c r="O721" s="5" t="str">
        <f>IFERROR(__xludf.DUMMYFUNCTION("IF(REGEXMATCH(TRIM(I721), ""^\d+\s*min""), ""Unclassified"", IF(I721 = """", ""NR"", I721))"),"TV-G")</f>
        <v>TV-G</v>
      </c>
      <c r="R721" s="5" t="str">
        <f t="shared" si="2"/>
        <v>Power Rangers Dino Fury</v>
      </c>
      <c r="S721" s="5" t="str">
        <f>IFERROR(__xludf.DUMMYFUNCTION("""COMPUTED_VALUE"""),"Baahubali 2: The Conclusion (Malayalam Version)")</f>
        <v>Baahubali 2: The Conclusion (Malayalam Version)</v>
      </c>
      <c r="T721" s="5" t="str">
        <f>IFERROR(__xludf.DUMMYFUNCTION("""COMPUTED_VALUE"""),"United States, United Kingdom, Canada, China")</f>
        <v>United States, United Kingdom, Canada, China</v>
      </c>
      <c r="U721" s="5" t="str">
        <f>IFERROR(__xludf.DUMMYFUNCTION("""COMPUTED_VALUE"""),"Luis Alejandro Pérez")</f>
        <v>Luis Alejandro Pérez</v>
      </c>
      <c r="V721" s="5" t="s">
        <v>4405</v>
      </c>
      <c r="W721" s="5" t="str">
        <f t="shared" si="3"/>
        <v>Chang-Min Lee</v>
      </c>
      <c r="X721" s="5">
        <f t="shared" si="4"/>
        <v>1</v>
      </c>
      <c r="Y721" s="5" t="str">
        <f>IFERROR(__xludf.DUMMYFUNCTION("REGEXEXTRACT(J721, ""^\d+"")"),"1")</f>
        <v>1</v>
      </c>
      <c r="Z721" s="5" t="str">
        <f>IFERROR(__xludf.DUMMYFUNCTION("REGEXEXTRACT(J721, ""[A-Za-z ]+$"")")," Season")</f>
        <v> Season</v>
      </c>
      <c r="AA721" s="5" t="str">
        <f>IFERROR(__xludf.DUMMYFUNCTION("IF(REGEXMATCH(Z721, ""Season""), ""TV Show"", ""Movie"")"),"TV Show")</f>
        <v>TV Show</v>
      </c>
    </row>
    <row r="722">
      <c r="A722" s="1" t="s">
        <v>4406</v>
      </c>
      <c r="B722" s="1" t="s">
        <v>37</v>
      </c>
      <c r="C722" s="1" t="s">
        <v>4407</v>
      </c>
      <c r="E722" s="1" t="s">
        <v>4408</v>
      </c>
      <c r="G722" s="1" t="s">
        <v>4369</v>
      </c>
      <c r="H722" s="1">
        <v>2021.0</v>
      </c>
      <c r="I722" s="1" t="s">
        <v>206</v>
      </c>
      <c r="J722" s="1" t="s">
        <v>43</v>
      </c>
      <c r="K722" s="1" t="s">
        <v>290</v>
      </c>
      <c r="L722" s="1" t="s">
        <v>4409</v>
      </c>
      <c r="M722" s="2" t="s">
        <v>12</v>
      </c>
      <c r="N722" s="4">
        <f t="shared" si="1"/>
        <v>44362</v>
      </c>
      <c r="O722" s="5" t="str">
        <f>IFERROR(__xludf.DUMMYFUNCTION("IF(REGEXMATCH(TRIM(I722), ""^\d+\s*min""), ""Unclassified"", IF(I722 = """", ""NR"", I722))"),"TV-Y")</f>
        <v>TV-Y</v>
      </c>
      <c r="R722" s="5" t="str">
        <f t="shared" si="2"/>
        <v>Rhyme Time Town</v>
      </c>
      <c r="S722" s="5" t="str">
        <f>IFERROR(__xludf.DUMMYFUNCTION("""COMPUTED_VALUE"""),"Baahubali 2: The Conclusion (Tamil Version)")</f>
        <v>Baahubali 2: The Conclusion (Tamil Version)</v>
      </c>
      <c r="T722" s="5" t="str">
        <f>IFERROR(__xludf.DUMMYFUNCTION("""COMPUTED_VALUE"""),"United States, United Kingdom, Canada, Japan")</f>
        <v>United States, United Kingdom, Canada, Japan</v>
      </c>
      <c r="U722" s="5" t="str">
        <f>IFERROR(__xludf.DUMMYFUNCTION("""COMPUTED_VALUE"""),"Ketche")</f>
        <v>Ketche</v>
      </c>
      <c r="V722" s="5" t="s">
        <v>4410</v>
      </c>
      <c r="W722" s="5" t="str">
        <f t="shared" si="3"/>
        <v>Chanon Yingyong, Phuwanit Pholdee</v>
      </c>
      <c r="X722" s="5">
        <f t="shared" si="4"/>
        <v>1</v>
      </c>
      <c r="Y722" s="5" t="str">
        <f>IFERROR(__xludf.DUMMYFUNCTION("REGEXEXTRACT(J722, ""^\d+"")"),"2")</f>
        <v>2</v>
      </c>
      <c r="Z722" s="5" t="str">
        <f>IFERROR(__xludf.DUMMYFUNCTION("REGEXEXTRACT(J722, ""[A-Za-z ]+$"")")," Seasons")</f>
        <v> Seasons</v>
      </c>
      <c r="AA722" s="5" t="str">
        <f>IFERROR(__xludf.DUMMYFUNCTION("IF(REGEXMATCH(Z722, ""Season""), ""TV Show"", ""Movie"")"),"TV Show")</f>
        <v>TV Show</v>
      </c>
    </row>
    <row r="723">
      <c r="A723" s="1" t="s">
        <v>4411</v>
      </c>
      <c r="B723" s="1" t="s">
        <v>27</v>
      </c>
      <c r="C723" s="1" t="s">
        <v>4412</v>
      </c>
      <c r="D723" s="1" t="s">
        <v>4413</v>
      </c>
      <c r="E723" s="1" t="s">
        <v>4414</v>
      </c>
      <c r="F723" s="1" t="s">
        <v>30</v>
      </c>
      <c r="G723" s="1" t="s">
        <v>4369</v>
      </c>
      <c r="H723" s="1">
        <v>2020.0</v>
      </c>
      <c r="I723" s="1" t="s">
        <v>378</v>
      </c>
      <c r="J723" s="1" t="s">
        <v>416</v>
      </c>
      <c r="K723" s="1" t="s">
        <v>380</v>
      </c>
      <c r="L723" s="1" t="s">
        <v>4415</v>
      </c>
      <c r="M723" s="2" t="s">
        <v>12</v>
      </c>
      <c r="N723" s="4">
        <f t="shared" si="1"/>
        <v>44362</v>
      </c>
      <c r="O723" s="5" t="str">
        <f>IFERROR(__xludf.DUMMYFUNCTION("IF(REGEXMATCH(TRIM(I723), ""^\d+\s*min""), ""Unclassified"", IF(I723 = """", ""NR"", I723))"),"R")</f>
        <v>R</v>
      </c>
      <c r="R723" s="5" t="str">
        <f t="shared" si="2"/>
        <v>Rogue Warfare: Death Of A Nation</v>
      </c>
      <c r="S723" s="5" t="str">
        <f>IFERROR(__xludf.DUMMYFUNCTION("""COMPUTED_VALUE"""),"Baahubali: The Beginning (English Version)")</f>
        <v>Baahubali: The Beginning (English Version)</v>
      </c>
      <c r="T723" s="5" t="str">
        <f>IFERROR(__xludf.DUMMYFUNCTION("""COMPUTED_VALUE"""),"United States, United Kingdom, Denmark, Sweden")</f>
        <v>United States, United Kingdom, Denmark, Sweden</v>
      </c>
      <c r="U723" s="5" t="str">
        <f>IFERROR(__xludf.DUMMYFUNCTION("""COMPUTED_VALUE"""),"Erol Özlevi")</f>
        <v>Erol Özlevi</v>
      </c>
      <c r="V723" s="5" t="s">
        <v>728</v>
      </c>
      <c r="W723" s="5" t="str">
        <f t="shared" si="3"/>
        <v>Chapman Way, Maclain Way</v>
      </c>
      <c r="X723" s="5">
        <f t="shared" si="4"/>
        <v>3</v>
      </c>
      <c r="Y723" s="5" t="str">
        <f>IFERROR(__xludf.DUMMYFUNCTION("REGEXEXTRACT(J723, ""^\d+"")"),"99")</f>
        <v>99</v>
      </c>
      <c r="Z723" s="5" t="str">
        <f>IFERROR(__xludf.DUMMYFUNCTION("REGEXEXTRACT(J723, ""[A-Za-z ]+$"")")," min")</f>
        <v> min</v>
      </c>
      <c r="AA723" s="5" t="str">
        <f>IFERROR(__xludf.DUMMYFUNCTION("IF(REGEXMATCH(Z723, ""Season""), ""TV Show"", ""Movie"")"),"Movie")</f>
        <v>Movie</v>
      </c>
    </row>
    <row r="724">
      <c r="A724" s="1" t="s">
        <v>4416</v>
      </c>
      <c r="B724" s="1" t="s">
        <v>27</v>
      </c>
      <c r="C724" s="1" t="s">
        <v>4417</v>
      </c>
      <c r="D724" s="1" t="s">
        <v>4418</v>
      </c>
      <c r="E724" s="1" t="s">
        <v>4419</v>
      </c>
      <c r="F724" s="1" t="s">
        <v>30</v>
      </c>
      <c r="G724" s="1" t="s">
        <v>4369</v>
      </c>
      <c r="H724" s="1">
        <v>2005.0</v>
      </c>
      <c r="I724" s="1" t="s">
        <v>42</v>
      </c>
      <c r="J724" s="1" t="s">
        <v>1608</v>
      </c>
      <c r="K724" s="1" t="s">
        <v>34</v>
      </c>
      <c r="L724" s="1" t="s">
        <v>4420</v>
      </c>
      <c r="M724" s="2" t="s">
        <v>12</v>
      </c>
      <c r="N724" s="4">
        <f t="shared" si="1"/>
        <v>44362</v>
      </c>
      <c r="O724" s="5" t="str">
        <f>IFERROR(__xludf.DUMMYFUNCTION("IF(REGEXMATCH(TRIM(I724), ""^\d+\s*min""), ""Unclassified"", IF(I724 = """", ""NR"", I724))"),"TV-MA")</f>
        <v>TV-MA</v>
      </c>
      <c r="R724" s="5" t="str">
        <f t="shared" si="2"/>
        <v>Sir! No Sir!</v>
      </c>
      <c r="S724" s="5" t="str">
        <f>IFERROR(__xludf.DUMMYFUNCTION("""COMPUTED_VALUE"""),"Baahubali: The Beginning (Hindi Version)")</f>
        <v>Baahubali: The Beginning (Hindi Version)</v>
      </c>
      <c r="T724" s="5" t="str">
        <f>IFERROR(__xludf.DUMMYFUNCTION("""COMPUTED_VALUE"""),"United States, United Kingdom, France")</f>
        <v>United States, United Kingdom, France</v>
      </c>
      <c r="U724" s="5" t="str">
        <f>IFERROR(__xludf.DUMMYFUNCTION("""COMPUTED_VALUE"""),"Miguel Arteta")</f>
        <v>Miguel Arteta</v>
      </c>
      <c r="V724" s="5" t="s">
        <v>4421</v>
      </c>
      <c r="W724" s="5" t="str">
        <f t="shared" si="3"/>
        <v>Charles A. Nichols, Iwao Takamoto</v>
      </c>
      <c r="X724" s="5">
        <f t="shared" si="4"/>
        <v>1</v>
      </c>
      <c r="Y724" s="5" t="str">
        <f>IFERROR(__xludf.DUMMYFUNCTION("REGEXEXTRACT(J724, ""^\d+"")"),"84")</f>
        <v>84</v>
      </c>
      <c r="Z724" s="5" t="str">
        <f>IFERROR(__xludf.DUMMYFUNCTION("REGEXEXTRACT(J724, ""[A-Za-z ]+$"")")," min")</f>
        <v> min</v>
      </c>
      <c r="AA724" s="5" t="str">
        <f>IFERROR(__xludf.DUMMYFUNCTION("IF(REGEXMATCH(Z724, ""Season""), ""TV Show"", ""Movie"")"),"Movie")</f>
        <v>Movie</v>
      </c>
    </row>
    <row r="725">
      <c r="A725" s="1" t="s">
        <v>4422</v>
      </c>
      <c r="B725" s="1" t="s">
        <v>37</v>
      </c>
      <c r="C725" s="1" t="s">
        <v>4423</v>
      </c>
      <c r="D725" s="1" t="s">
        <v>4424</v>
      </c>
      <c r="E725" s="1" t="s">
        <v>4425</v>
      </c>
      <c r="F725" s="1" t="s">
        <v>30</v>
      </c>
      <c r="G725" s="1" t="s">
        <v>4369</v>
      </c>
      <c r="H725" s="1">
        <v>2014.0</v>
      </c>
      <c r="I725" s="1" t="s">
        <v>506</v>
      </c>
      <c r="J725" s="1" t="s">
        <v>51</v>
      </c>
      <c r="K725" s="1" t="s">
        <v>440</v>
      </c>
      <c r="L725" s="1" t="s">
        <v>4426</v>
      </c>
      <c r="M725" s="2" t="s">
        <v>12</v>
      </c>
      <c r="N725" s="4">
        <f t="shared" si="1"/>
        <v>44362</v>
      </c>
      <c r="O725" s="5" t="str">
        <f>IFERROR(__xludf.DUMMYFUNCTION("IF(REGEXMATCH(TRIM(I725), ""^\d+\s*min""), ""Unclassified"", IF(I725 = """", ""NR"", I725))"),"TV-G")</f>
        <v>TV-G</v>
      </c>
      <c r="R725" s="5" t="str">
        <f t="shared" si="2"/>
        <v>The American Bible Challenge</v>
      </c>
      <c r="S725" s="5" t="str">
        <f>IFERROR(__xludf.DUMMYFUNCTION("""COMPUTED_VALUE"""),"Baahubali: The Beginning (Malayalam Version)")</f>
        <v>Baahubali: The Beginning (Malayalam Version)</v>
      </c>
      <c r="T725" s="5" t="str">
        <f>IFERROR(__xludf.DUMMYFUNCTION("""COMPUTED_VALUE"""),"United States, United Kingdom, France, Germany, Japan")</f>
        <v>United States, United Kingdom, France, Germany, Japan</v>
      </c>
      <c r="U725" s="5" t="str">
        <f>IFERROR(__xludf.DUMMYFUNCTION("""COMPUTED_VALUE"""),"Tolga Örnek")</f>
        <v>Tolga Örnek</v>
      </c>
      <c r="V725" s="5" t="s">
        <v>4427</v>
      </c>
      <c r="W725" s="5" t="str">
        <f t="shared" si="3"/>
        <v>Charles Gozali, Bagus Bramanti</v>
      </c>
      <c r="X725" s="5">
        <f t="shared" si="4"/>
        <v>1</v>
      </c>
      <c r="Y725" s="5" t="str">
        <f>IFERROR(__xludf.DUMMYFUNCTION("REGEXEXTRACT(J725, ""^\d+"")"),"1")</f>
        <v>1</v>
      </c>
      <c r="Z725" s="5" t="str">
        <f>IFERROR(__xludf.DUMMYFUNCTION("REGEXEXTRACT(J725, ""[A-Za-z ]+$"")")," Season")</f>
        <v> Season</v>
      </c>
      <c r="AA725" s="5" t="str">
        <f>IFERROR(__xludf.DUMMYFUNCTION("IF(REGEXMATCH(Z725, ""Season""), ""TV Show"", ""Movie"")"),"TV Show")</f>
        <v>TV Show</v>
      </c>
    </row>
    <row r="726">
      <c r="A726" s="1" t="s">
        <v>4428</v>
      </c>
      <c r="B726" s="1" t="s">
        <v>27</v>
      </c>
      <c r="C726" s="1" t="s">
        <v>4429</v>
      </c>
      <c r="D726" s="1" t="s">
        <v>4430</v>
      </c>
      <c r="F726" s="1" t="s">
        <v>692</v>
      </c>
      <c r="G726" s="1" t="s">
        <v>4369</v>
      </c>
      <c r="H726" s="1">
        <v>2021.0</v>
      </c>
      <c r="I726" s="1" t="s">
        <v>97</v>
      </c>
      <c r="J726" s="1" t="s">
        <v>1001</v>
      </c>
      <c r="K726" s="1" t="s">
        <v>34</v>
      </c>
      <c r="L726" s="1" t="s">
        <v>4431</v>
      </c>
      <c r="M726" s="2" t="s">
        <v>12</v>
      </c>
      <c r="N726" s="4">
        <f t="shared" si="1"/>
        <v>44362</v>
      </c>
      <c r="O726" s="5" t="str">
        <f>IFERROR(__xludf.DUMMYFUNCTION("IF(REGEXMATCH(TRIM(I726), ""^\d+\s*min""), ""Unclassified"", IF(I726 = """", ""NR"", I726))"),"TV-14")</f>
        <v>TV-14</v>
      </c>
      <c r="R726" s="5" t="str">
        <f t="shared" si="2"/>
        <v>The Reason I Jump</v>
      </c>
      <c r="S726" s="5" t="str">
        <f>IFERROR(__xludf.DUMMYFUNCTION("""COMPUTED_VALUE"""),"Baahubali: The Beginning (Tamil Version)")</f>
        <v>Baahubali: The Beginning (Tamil Version)</v>
      </c>
      <c r="T726" s="5" t="str">
        <f>IFERROR(__xludf.DUMMYFUNCTION("""COMPUTED_VALUE"""),"United States, United Kingdom, Germany")</f>
        <v>United States, United Kingdom, Germany</v>
      </c>
      <c r="U726" s="5" t="str">
        <f>IFERROR(__xludf.DUMMYFUNCTION("""COMPUTED_VALUE"""),"Pablo Agüero")</f>
        <v>Pablo Agüero</v>
      </c>
      <c r="V726" s="5" t="s">
        <v>4432</v>
      </c>
      <c r="W726" s="5" t="str">
        <f t="shared" si="3"/>
        <v>Charles Martin</v>
      </c>
      <c r="X726" s="5">
        <f t="shared" si="4"/>
        <v>1</v>
      </c>
      <c r="Y726" s="5" t="str">
        <f>IFERROR(__xludf.DUMMYFUNCTION("REGEXEXTRACT(J726, ""^\d+"")"),"82")</f>
        <v>82</v>
      </c>
      <c r="Z726" s="5" t="str">
        <f>IFERROR(__xludf.DUMMYFUNCTION("REGEXEXTRACT(J726, ""[A-Za-z ]+$"")")," min")</f>
        <v> min</v>
      </c>
      <c r="AA726" s="5" t="str">
        <f>IFERROR(__xludf.DUMMYFUNCTION("IF(REGEXMATCH(Z726, ""Season""), ""TV Show"", ""Movie"")"),"Movie")</f>
        <v>Movie</v>
      </c>
    </row>
    <row r="727">
      <c r="A727" s="1" t="s">
        <v>4433</v>
      </c>
      <c r="B727" s="1" t="s">
        <v>37</v>
      </c>
      <c r="C727" s="1" t="s">
        <v>4434</v>
      </c>
      <c r="E727" s="1" t="s">
        <v>4435</v>
      </c>
      <c r="G727" s="1" t="s">
        <v>4436</v>
      </c>
      <c r="H727" s="1">
        <v>2021.0</v>
      </c>
      <c r="I727" s="1" t="s">
        <v>42</v>
      </c>
      <c r="J727" s="1" t="s">
        <v>51</v>
      </c>
      <c r="K727" s="1" t="s">
        <v>1339</v>
      </c>
      <c r="L727" s="1" t="s">
        <v>4437</v>
      </c>
      <c r="M727" s="2" t="s">
        <v>12</v>
      </c>
      <c r="N727" s="4">
        <f t="shared" si="1"/>
        <v>44361</v>
      </c>
      <c r="O727" s="5" t="str">
        <f>IFERROR(__xludf.DUMMYFUNCTION("IF(REGEXMATCH(TRIM(I727), ""^\d+\s*min""), ""Unclassified"", IF(I727 = """", ""NR"", I727))"),"TV-MA")</f>
        <v>TV-MA</v>
      </c>
      <c r="R727" s="5" t="str">
        <f t="shared" si="2"/>
        <v>Elite Short Stories: Guzmán Caye Rebe</v>
      </c>
      <c r="S727" s="5" t="str">
        <f>IFERROR(__xludf.DUMMYFUNCTION("""COMPUTED_VALUE"""),"Baazaar")</f>
        <v>Baazaar</v>
      </c>
      <c r="T727" s="5" t="str">
        <f>IFERROR(__xludf.DUMMYFUNCTION("""COMPUTED_VALUE"""),"United States, United Kingdom, Germany, Hungary")</f>
        <v>United States, United Kingdom, Germany, Hungary</v>
      </c>
      <c r="U727" s="5" t="str">
        <f>IFERROR(__xludf.DUMMYFUNCTION("""COMPUTED_VALUE"""),"Mohammad Irfan Ramly")</f>
        <v>Mohammad Irfan Ramly</v>
      </c>
      <c r="V727" s="5" t="s">
        <v>4438</v>
      </c>
      <c r="W727" s="5" t="str">
        <f t="shared" si="3"/>
        <v>Charles Martin Smith</v>
      </c>
      <c r="X727" s="5">
        <f t="shared" si="4"/>
        <v>1</v>
      </c>
      <c r="Y727" s="5" t="str">
        <f>IFERROR(__xludf.DUMMYFUNCTION("REGEXEXTRACT(J727, ""^\d+"")"),"1")</f>
        <v>1</v>
      </c>
      <c r="Z727" s="5" t="str">
        <f>IFERROR(__xludf.DUMMYFUNCTION("REGEXEXTRACT(J727, ""[A-Za-z ]+$"")")," Season")</f>
        <v> Season</v>
      </c>
      <c r="AA727" s="5" t="str">
        <f>IFERROR(__xludf.DUMMYFUNCTION("IF(REGEXMATCH(Z727, ""Season""), ""TV Show"", ""Movie"")"),"TV Show")</f>
        <v>TV Show</v>
      </c>
    </row>
    <row r="728">
      <c r="A728" s="1" t="s">
        <v>4439</v>
      </c>
      <c r="B728" s="1" t="s">
        <v>37</v>
      </c>
      <c r="C728" s="1" t="s">
        <v>4440</v>
      </c>
      <c r="D728" s="1" t="s">
        <v>4441</v>
      </c>
      <c r="E728" s="1" t="s">
        <v>4442</v>
      </c>
      <c r="F728" s="1" t="s">
        <v>30</v>
      </c>
      <c r="G728" s="1" t="s">
        <v>4443</v>
      </c>
      <c r="H728" s="1">
        <v>2014.0</v>
      </c>
      <c r="I728" s="1" t="s">
        <v>42</v>
      </c>
      <c r="J728" s="1" t="s">
        <v>51</v>
      </c>
      <c r="K728" s="1" t="s">
        <v>1045</v>
      </c>
      <c r="L728" s="1" t="s">
        <v>4444</v>
      </c>
      <c r="M728" s="2" t="s">
        <v>12</v>
      </c>
      <c r="N728" s="4">
        <f t="shared" si="1"/>
        <v>44360</v>
      </c>
      <c r="O728" s="5" t="str">
        <f>IFERROR(__xludf.DUMMYFUNCTION("IF(REGEXMATCH(TRIM(I728), ""^\d+\s*min""), ""Unclassified"", IF(I728 = """", ""NR"", I728))"),"TV-MA")</f>
        <v>TV-MA</v>
      </c>
      <c r="R728" s="5" t="str">
        <f t="shared" si="2"/>
        <v>Metallica: Some Kind Of Monster</v>
      </c>
      <c r="S728" s="5" t="str">
        <f>IFERROR(__xludf.DUMMYFUNCTION("""COMPUTED_VALUE"""),"Babam Ve Oğlum")</f>
        <v>Babam Ve Oğlum</v>
      </c>
      <c r="T728" s="5" t="str">
        <f>IFERROR(__xludf.DUMMYFUNCTION("""COMPUTED_VALUE"""),"United States, United Kingdom, India")</f>
        <v>United States, United Kingdom, India</v>
      </c>
      <c r="U728" s="5" t="str">
        <f>IFERROR(__xludf.DUMMYFUNCTION("""COMPUTED_VALUE"""),"Kevin Mcmanus, Matthew Mcmanus")</f>
        <v>Kevin Mcmanus, Matthew Mcmanus</v>
      </c>
      <c r="V728" s="5" t="s">
        <v>4445</v>
      </c>
      <c r="W728" s="5" t="str">
        <f t="shared" si="3"/>
        <v>Charles Officer</v>
      </c>
      <c r="X728" s="5">
        <f t="shared" si="4"/>
        <v>1</v>
      </c>
      <c r="Y728" s="5" t="str">
        <f>IFERROR(__xludf.DUMMYFUNCTION("REGEXEXTRACT(J728, ""^\d+"")"),"1")</f>
        <v>1</v>
      </c>
      <c r="Z728" s="5" t="str">
        <f>IFERROR(__xludf.DUMMYFUNCTION("REGEXEXTRACT(J728, ""[A-Za-z ]+$"")")," Season")</f>
        <v> Season</v>
      </c>
      <c r="AA728" s="5" t="str">
        <f>IFERROR(__xludf.DUMMYFUNCTION("IF(REGEXMATCH(Z728, ""Season""), ""TV Show"", ""Movie"")"),"TV Show")</f>
        <v>TV Show</v>
      </c>
    </row>
    <row r="729">
      <c r="A729" s="1" t="s">
        <v>4446</v>
      </c>
      <c r="B729" s="1" t="s">
        <v>27</v>
      </c>
      <c r="C729" s="1" t="s">
        <v>4447</v>
      </c>
      <c r="D729" s="1" t="s">
        <v>4448</v>
      </c>
      <c r="F729" s="1" t="s">
        <v>30</v>
      </c>
      <c r="G729" s="1" t="s">
        <v>4443</v>
      </c>
      <c r="H729" s="1">
        <v>2020.0</v>
      </c>
      <c r="I729" s="1" t="s">
        <v>42</v>
      </c>
      <c r="J729" s="1" t="s">
        <v>247</v>
      </c>
      <c r="K729" s="1" t="s">
        <v>34</v>
      </c>
      <c r="L729" s="1" t="s">
        <v>4449</v>
      </c>
      <c r="M729" s="2" t="s">
        <v>12</v>
      </c>
      <c r="N729" s="4">
        <f t="shared" si="1"/>
        <v>44360</v>
      </c>
      <c r="O729" s="5" t="str">
        <f>IFERROR(__xludf.DUMMYFUNCTION("IF(REGEXMATCH(TRIM(I729), ""^\d+\s*min""), ""Unclassified"", IF(I729 = """", ""NR"", I729))"),"TV-MA")</f>
        <v>TV-MA</v>
      </c>
      <c r="R729" s="5" t="str">
        <f t="shared" si="2"/>
        <v>Picture A Scientist</v>
      </c>
      <c r="S729" s="5" t="str">
        <f>IFERROR(__xludf.DUMMYFUNCTION("""COMPUTED_VALUE"""),"Babamın Ceketi")</f>
        <v>Babamın Ceketi</v>
      </c>
      <c r="T729" s="5" t="str">
        <f>IFERROR(__xludf.DUMMYFUNCTION("""COMPUTED_VALUE"""),"United States, United Kingdom, Italy")</f>
        <v>United States, United Kingdom, Italy</v>
      </c>
      <c r="U729" s="5" t="str">
        <f>IFERROR(__xludf.DUMMYFUNCTION("""COMPUTED_VALUE"""),"Ange Basterga, Nicolas Lopez")</f>
        <v>Ange Basterga, Nicolas Lopez</v>
      </c>
      <c r="V729" s="5" t="s">
        <v>4450</v>
      </c>
      <c r="W729" s="5" t="str">
        <f t="shared" si="3"/>
        <v>Charles Stone Iii</v>
      </c>
      <c r="X729" s="5">
        <f t="shared" si="4"/>
        <v>3</v>
      </c>
      <c r="Y729" s="5" t="str">
        <f>IFERROR(__xludf.DUMMYFUNCTION("REGEXEXTRACT(J729, ""^\d+"")"),"97")</f>
        <v>97</v>
      </c>
      <c r="Z729" s="5" t="str">
        <f>IFERROR(__xludf.DUMMYFUNCTION("REGEXEXTRACT(J729, ""[A-Za-z ]+$"")")," min")</f>
        <v> min</v>
      </c>
      <c r="AA729" s="5" t="str">
        <f>IFERROR(__xludf.DUMMYFUNCTION("IF(REGEXMATCH(Z729, ""Season""), ""TV Show"", ""Movie"")"),"Movie")</f>
        <v>Movie</v>
      </c>
    </row>
    <row r="730">
      <c r="A730" s="1" t="s">
        <v>4451</v>
      </c>
      <c r="B730" s="1" t="s">
        <v>27</v>
      </c>
      <c r="C730" s="1" t="s">
        <v>4452</v>
      </c>
      <c r="D730" s="1" t="s">
        <v>3628</v>
      </c>
      <c r="E730" s="1" t="s">
        <v>4453</v>
      </c>
      <c r="F730" s="1" t="s">
        <v>30</v>
      </c>
      <c r="G730" s="1" t="s">
        <v>4443</v>
      </c>
      <c r="H730" s="1">
        <v>2021.0</v>
      </c>
      <c r="I730" s="1" t="s">
        <v>42</v>
      </c>
      <c r="J730" s="1" t="s">
        <v>1191</v>
      </c>
      <c r="K730" s="1" t="s">
        <v>1551</v>
      </c>
      <c r="L730" s="1" t="s">
        <v>4454</v>
      </c>
      <c r="M730" s="2" t="s">
        <v>12</v>
      </c>
      <c r="N730" s="4">
        <f t="shared" si="1"/>
        <v>44360</v>
      </c>
      <c r="O730" s="5" t="str">
        <f>IFERROR(__xludf.DUMMYFUNCTION("IF(REGEXMATCH(TRIM(I730), ""^\d+\s*min""), ""Unclassified"", IF(I730 = """", ""NR"", I730))"),"TV-MA")</f>
        <v>TV-MA</v>
      </c>
      <c r="R730" s="5" t="str">
        <f t="shared" si="2"/>
        <v>The Devil Below</v>
      </c>
      <c r="S730" s="5" t="str">
        <f>IFERROR(__xludf.DUMMYFUNCTION("""COMPUTED_VALUE"""),"Babel")</f>
        <v>Babel</v>
      </c>
      <c r="T730" s="5" t="str">
        <f>IFERROR(__xludf.DUMMYFUNCTION("""COMPUTED_VALUE"""),"United States, United Kingdom, Japan")</f>
        <v>United States, United Kingdom, Japan</v>
      </c>
      <c r="U730" s="5" t="str">
        <f>IFERROR(__xludf.DUMMYFUNCTION("""COMPUTED_VALUE"""),"Gitanjali Rao")</f>
        <v>Gitanjali Rao</v>
      </c>
      <c r="V730" s="5" t="s">
        <v>1858</v>
      </c>
      <c r="W730" s="5" t="str">
        <f t="shared" si="3"/>
        <v>Charles Uwagbai</v>
      </c>
      <c r="X730" s="5">
        <f t="shared" si="4"/>
        <v>2</v>
      </c>
      <c r="Y730" s="5" t="str">
        <f>IFERROR(__xludf.DUMMYFUNCTION("REGEXEXTRACT(J730, ""^\d+"")"),"89")</f>
        <v>89</v>
      </c>
      <c r="Z730" s="5" t="str">
        <f>IFERROR(__xludf.DUMMYFUNCTION("REGEXEXTRACT(J730, ""[A-Za-z ]+$"")")," min")</f>
        <v> min</v>
      </c>
      <c r="AA730" s="5" t="str">
        <f>IFERROR(__xludf.DUMMYFUNCTION("IF(REGEXMATCH(Z730, ""Season""), ""TV Show"", ""Movie"")"),"Movie")</f>
        <v>Movie</v>
      </c>
    </row>
    <row r="731">
      <c r="A731" s="1" t="s">
        <v>4455</v>
      </c>
      <c r="B731" s="1" t="s">
        <v>27</v>
      </c>
      <c r="C731" s="1" t="s">
        <v>4456</v>
      </c>
      <c r="E731" s="1" t="s">
        <v>2976</v>
      </c>
      <c r="G731" s="1" t="s">
        <v>4457</v>
      </c>
      <c r="H731" s="1">
        <v>2021.0</v>
      </c>
      <c r="I731" s="1" t="s">
        <v>42</v>
      </c>
      <c r="J731" s="1" t="s">
        <v>4458</v>
      </c>
      <c r="K731" s="1" t="s">
        <v>2032</v>
      </c>
      <c r="L731" s="1" t="s">
        <v>4459</v>
      </c>
      <c r="M731" s="2" t="s">
        <v>12</v>
      </c>
      <c r="N731" s="4">
        <f t="shared" si="1"/>
        <v>44359</v>
      </c>
      <c r="O731" s="5" t="str">
        <f>IFERROR(__xludf.DUMMYFUNCTION("IF(REGEXMATCH(TRIM(I731), ""^\d+\s*min""), ""Unclassified"", IF(I731 = """", ""NR"", I731))"),"TV-MA")</f>
        <v>TV-MA</v>
      </c>
      <c r="R731" s="5" t="str">
        <f t="shared" si="2"/>
        <v>Bling Empire - The Afterparty</v>
      </c>
      <c r="S731" s="5" t="str">
        <f>IFERROR(__xludf.DUMMYFUNCTION("""COMPUTED_VALUE"""),"Babies")</f>
        <v>Babies</v>
      </c>
      <c r="T731" s="5" t="str">
        <f>IFERROR(__xludf.DUMMYFUNCTION("""COMPUTED_VALUE"""),"United States, United Kingdom, Morocco")</f>
        <v>United States, United Kingdom, Morocco</v>
      </c>
      <c r="U731" s="5" t="str">
        <f>IFERROR(__xludf.DUMMYFUNCTION("""COMPUTED_VALUE"""),"Halitha Shameem")</f>
        <v>Halitha Shameem</v>
      </c>
      <c r="V731" s="5" t="s">
        <v>4460</v>
      </c>
      <c r="W731" s="5" t="str">
        <f t="shared" si="3"/>
        <v>Charlie Haskell, Koichi Sakamoto</v>
      </c>
      <c r="X731" s="5">
        <f t="shared" si="4"/>
        <v>1</v>
      </c>
      <c r="Y731" s="5" t="str">
        <f>IFERROR(__xludf.DUMMYFUNCTION("REGEXEXTRACT(J731, ""^\d+"")"),"36")</f>
        <v>36</v>
      </c>
      <c r="Z731" s="5" t="str">
        <f>IFERROR(__xludf.DUMMYFUNCTION("REGEXEXTRACT(J731, ""[A-Za-z ]+$"")")," min")</f>
        <v> min</v>
      </c>
      <c r="AA731" s="5" t="str">
        <f>IFERROR(__xludf.DUMMYFUNCTION("IF(REGEXMATCH(Z731, ""Season""), ""TV Show"", ""Movie"")"),"Movie")</f>
        <v>Movie</v>
      </c>
    </row>
    <row r="732">
      <c r="A732" s="1" t="s">
        <v>4461</v>
      </c>
      <c r="B732" s="1" t="s">
        <v>27</v>
      </c>
      <c r="C732" s="1" t="s">
        <v>4462</v>
      </c>
      <c r="E732" s="1" t="s">
        <v>2976</v>
      </c>
      <c r="G732" s="1" t="s">
        <v>4457</v>
      </c>
      <c r="H732" s="1">
        <v>2021.0</v>
      </c>
      <c r="I732" s="1" t="s">
        <v>42</v>
      </c>
      <c r="J732" s="1" t="s">
        <v>4463</v>
      </c>
      <c r="K732" s="1" t="s">
        <v>2032</v>
      </c>
      <c r="L732" s="1" t="s">
        <v>4464</v>
      </c>
      <c r="M732" s="2" t="s">
        <v>12</v>
      </c>
      <c r="N732" s="4">
        <f t="shared" si="1"/>
        <v>44359</v>
      </c>
      <c r="O732" s="5" t="str">
        <f>IFERROR(__xludf.DUMMYFUNCTION("IF(REGEXMATCH(TRIM(I732), ""^\d+\s*min""), ""Unclassified"", IF(I732 = """", ""NR"", I732))"),"TV-MA")</f>
        <v>TV-MA</v>
      </c>
      <c r="R732" s="5" t="str">
        <f t="shared" si="2"/>
        <v>Cobra Kai - The Afterparty</v>
      </c>
      <c r="S732" s="5" t="str">
        <f>IFERROR(__xludf.DUMMYFUNCTION("""COMPUTED_VALUE"""),"Baby")</f>
        <v>Baby</v>
      </c>
      <c r="T732" s="5" t="str">
        <f>IFERROR(__xludf.DUMMYFUNCTION("""COMPUTED_VALUE"""),"United States, United Kingdom, New Zealand")</f>
        <v>United States, United Kingdom, New Zealand</v>
      </c>
      <c r="U732" s="5" t="str">
        <f>IFERROR(__xludf.DUMMYFUNCTION("""COMPUTED_VALUE"""),"Carlos Moreno")</f>
        <v>Carlos Moreno</v>
      </c>
      <c r="V732" s="5" t="s">
        <v>4465</v>
      </c>
      <c r="W732" s="5" t="str">
        <f t="shared" si="3"/>
        <v>Charlie Kaufman</v>
      </c>
      <c r="X732" s="5">
        <f t="shared" si="4"/>
        <v>1</v>
      </c>
      <c r="Y732" s="5" t="str">
        <f>IFERROR(__xludf.DUMMYFUNCTION("REGEXEXTRACT(J732, ""^\d+"")"),"34")</f>
        <v>34</v>
      </c>
      <c r="Z732" s="5" t="str">
        <f>IFERROR(__xludf.DUMMYFUNCTION("REGEXEXTRACT(J732, ""[A-Za-z ]+$"")")," min")</f>
        <v> min</v>
      </c>
      <c r="AA732" s="5" t="str">
        <f>IFERROR(__xludf.DUMMYFUNCTION("IF(REGEXMATCH(Z732, ""Season""), ""TV Show"", ""Movie"")"),"Movie")</f>
        <v>Movie</v>
      </c>
    </row>
    <row r="733">
      <c r="A733" s="1" t="s">
        <v>4466</v>
      </c>
      <c r="B733" s="1" t="s">
        <v>37</v>
      </c>
      <c r="C733" s="1" t="s">
        <v>4467</v>
      </c>
      <c r="E733" s="1" t="s">
        <v>4468</v>
      </c>
      <c r="F733" s="1" t="s">
        <v>749</v>
      </c>
      <c r="G733" s="1" t="s">
        <v>4457</v>
      </c>
      <c r="H733" s="1">
        <v>2021.0</v>
      </c>
      <c r="I733" s="1" t="s">
        <v>97</v>
      </c>
      <c r="J733" s="1" t="s">
        <v>43</v>
      </c>
      <c r="K733" s="1" t="s">
        <v>402</v>
      </c>
      <c r="L733" s="1" t="s">
        <v>4469</v>
      </c>
      <c r="M733" s="2" t="s">
        <v>12</v>
      </c>
      <c r="N733" s="4">
        <f t="shared" si="1"/>
        <v>44359</v>
      </c>
      <c r="O733" s="5" t="str">
        <f>IFERROR(__xludf.DUMMYFUNCTION("IF(REGEXMATCH(TRIM(I733), ""^\d+\s*min""), ""Unclassified"", IF(I733 = """", ""NR"", I733))"),"TV-14")</f>
        <v>TV-14</v>
      </c>
      <c r="R733" s="5" t="str">
        <f t="shared" si="2"/>
        <v>Love (Ft. Marriage And Divorce)</v>
      </c>
      <c r="S733" s="5" t="str">
        <f>IFERROR(__xludf.DUMMYFUNCTION("""COMPUTED_VALUE"""),"Baby Ballroom")</f>
        <v>Baby Ballroom</v>
      </c>
      <c r="T733" s="5" t="str">
        <f>IFERROR(__xludf.DUMMYFUNCTION("""COMPUTED_VALUE"""),"United States, United Kingdom, Spain, South Korea")</f>
        <v>United States, United Kingdom, Spain, South Korea</v>
      </c>
      <c r="U733" s="5" t="str">
        <f>IFERROR(__xludf.DUMMYFUNCTION("""COMPUTED_VALUE"""),"Maribel Sánchez-Maroto")</f>
        <v>Maribel Sánchez-Maroto</v>
      </c>
      <c r="V733" s="5" t="s">
        <v>4470</v>
      </c>
      <c r="W733" s="5" t="str">
        <f t="shared" si="3"/>
        <v>Charlie Lightening</v>
      </c>
      <c r="X733" s="5">
        <f t="shared" si="4"/>
        <v>2</v>
      </c>
      <c r="Y733" s="5" t="str">
        <f>IFERROR(__xludf.DUMMYFUNCTION("REGEXEXTRACT(J733, ""^\d+"")"),"2")</f>
        <v>2</v>
      </c>
      <c r="Z733" s="5" t="str">
        <f>IFERROR(__xludf.DUMMYFUNCTION("REGEXEXTRACT(J733, ""[A-Za-z ]+$"")")," Seasons")</f>
        <v> Seasons</v>
      </c>
      <c r="AA733" s="5" t="str">
        <f>IFERROR(__xludf.DUMMYFUNCTION("IF(REGEXMATCH(Z733, ""Season""), ""TV Show"", ""Movie"")"),"TV Show")</f>
        <v>TV Show</v>
      </c>
    </row>
    <row r="734">
      <c r="A734" s="1" t="s">
        <v>4471</v>
      </c>
      <c r="B734" s="1" t="s">
        <v>27</v>
      </c>
      <c r="C734" s="1" t="s">
        <v>4472</v>
      </c>
      <c r="E734" s="1" t="s">
        <v>4473</v>
      </c>
      <c r="G734" s="1" t="s">
        <v>4457</v>
      </c>
      <c r="H734" s="1">
        <v>2021.0</v>
      </c>
      <c r="I734" s="1" t="s">
        <v>42</v>
      </c>
      <c r="J734" s="1" t="s">
        <v>4458</v>
      </c>
      <c r="K734" s="1" t="s">
        <v>2032</v>
      </c>
      <c r="L734" s="1" t="s">
        <v>4473</v>
      </c>
      <c r="M734" s="2" t="s">
        <v>12</v>
      </c>
      <c r="N734" s="4">
        <f t="shared" si="1"/>
        <v>44359</v>
      </c>
      <c r="O734" s="5" t="str">
        <f>IFERROR(__xludf.DUMMYFUNCTION("IF(REGEXMATCH(TRIM(I734), ""^\d+\s*min""), ""Unclassified"", IF(I734 = """", ""NR"", I734))"),"TV-MA")</f>
        <v>TV-MA</v>
      </c>
      <c r="R734" s="5" t="str">
        <f t="shared" si="2"/>
        <v>To All The Boys: Always And Forever - The Afterparty</v>
      </c>
      <c r="S734" s="5" t="str">
        <f>IFERROR(__xludf.DUMMYFUNCTION("""COMPUTED_VALUE"""),"Baby Dolls")</f>
        <v>Baby Dolls</v>
      </c>
      <c r="T734" s="5" t="str">
        <f>IFERROR(__xludf.DUMMYFUNCTION("""COMPUTED_VALUE"""),"United States, Uruguay")</f>
        <v>United States, Uruguay</v>
      </c>
      <c r="U734" s="5" t="str">
        <f>IFERROR(__xludf.DUMMYFUNCTION("""COMPUTED_VALUE"""),"Fajar Bustomi")</f>
        <v>Fajar Bustomi</v>
      </c>
      <c r="V734" s="5" t="s">
        <v>4474</v>
      </c>
      <c r="W734" s="5" t="str">
        <f t="shared" si="3"/>
        <v>Charlie Mcdowell</v>
      </c>
      <c r="X734" s="5">
        <f t="shared" si="4"/>
        <v>2</v>
      </c>
      <c r="Y734" s="5" t="str">
        <f>IFERROR(__xludf.DUMMYFUNCTION("REGEXEXTRACT(J734, ""^\d+"")"),"36")</f>
        <v>36</v>
      </c>
      <c r="Z734" s="5" t="str">
        <f>IFERROR(__xludf.DUMMYFUNCTION("REGEXEXTRACT(J734, ""[A-Za-z ]+$"")")," min")</f>
        <v> min</v>
      </c>
      <c r="AA734" s="5" t="str">
        <f>IFERROR(__xludf.DUMMYFUNCTION("IF(REGEXMATCH(Z734, ""Season""), ""TV Show"", ""Movie"")"),"Movie")</f>
        <v>Movie</v>
      </c>
    </row>
    <row r="735">
      <c r="A735" s="1" t="s">
        <v>4475</v>
      </c>
      <c r="B735" s="1" t="s">
        <v>37</v>
      </c>
      <c r="C735" s="1" t="s">
        <v>4476</v>
      </c>
      <c r="E735" s="1" t="s">
        <v>4477</v>
      </c>
      <c r="F735" s="1" t="s">
        <v>4478</v>
      </c>
      <c r="G735" s="1" t="s">
        <v>4479</v>
      </c>
      <c r="H735" s="1">
        <v>2016.0</v>
      </c>
      <c r="I735" s="1" t="s">
        <v>289</v>
      </c>
      <c r="J735" s="1" t="s">
        <v>43</v>
      </c>
      <c r="K735" s="1" t="s">
        <v>290</v>
      </c>
      <c r="L735" s="1" t="s">
        <v>4480</v>
      </c>
      <c r="M735" s="2" t="s">
        <v>12</v>
      </c>
      <c r="N735" s="4">
        <f t="shared" si="1"/>
        <v>44358</v>
      </c>
      <c r="O735" s="5" t="str">
        <f>IFERROR(__xludf.DUMMYFUNCTION("IF(REGEXMATCH(TRIM(I735), ""^\d+\s*min""), ""Unclassified"", IF(I735 = """", ""NR"", I735))"),"TV-Y7")</f>
        <v>TV-Y7</v>
      </c>
      <c r="R735" s="5" t="str">
        <f t="shared" si="2"/>
        <v>Lego Friends: The Power Of Friendship</v>
      </c>
      <c r="S735" s="5" t="str">
        <f>IFERROR(__xludf.DUMMYFUNCTION("""COMPUTED_VALUE"""),"Baby Mamas")</f>
        <v>Baby Mamas</v>
      </c>
      <c r="T735" s="5" t="str">
        <f>IFERROR(__xludf.DUMMYFUNCTION("""COMPUTED_VALUE"""),"United States, Venezuela")</f>
        <v>United States, Venezuela</v>
      </c>
      <c r="U735" s="5" t="str">
        <f>IFERROR(__xludf.DUMMYFUNCTION("""COMPUTED_VALUE"""),"Taylor Hackford")</f>
        <v>Taylor Hackford</v>
      </c>
      <c r="V735" s="5" t="s">
        <v>4481</v>
      </c>
      <c r="W735" s="5" t="str">
        <f t="shared" si="3"/>
        <v>Charlie Siskel</v>
      </c>
      <c r="X735" s="5">
        <f t="shared" si="4"/>
        <v>1</v>
      </c>
      <c r="Y735" s="5" t="str">
        <f>IFERROR(__xludf.DUMMYFUNCTION("REGEXEXTRACT(J735, ""^\d+"")"),"2")</f>
        <v>2</v>
      </c>
      <c r="Z735" s="5" t="str">
        <f>IFERROR(__xludf.DUMMYFUNCTION("REGEXEXTRACT(J735, ""[A-Za-z ]+$"")")," Seasons")</f>
        <v> Seasons</v>
      </c>
      <c r="AA735" s="5" t="str">
        <f>IFERROR(__xludf.DUMMYFUNCTION("IF(REGEXMATCH(Z735, ""Season""), ""TV Show"", ""Movie"")"),"TV Show")</f>
        <v>TV Show</v>
      </c>
    </row>
    <row r="736">
      <c r="A736" s="1" t="s">
        <v>4482</v>
      </c>
      <c r="B736" s="1" t="s">
        <v>37</v>
      </c>
      <c r="C736" s="1" t="s">
        <v>4483</v>
      </c>
      <c r="E736" s="1" t="s">
        <v>4484</v>
      </c>
      <c r="F736" s="1" t="s">
        <v>718</v>
      </c>
      <c r="G736" s="1" t="s">
        <v>4479</v>
      </c>
      <c r="H736" s="1">
        <v>2021.0</v>
      </c>
      <c r="I736" s="1" t="s">
        <v>42</v>
      </c>
      <c r="J736" s="1" t="s">
        <v>43</v>
      </c>
      <c r="K736" s="1" t="s">
        <v>52</v>
      </c>
      <c r="L736" s="1" t="s">
        <v>4485</v>
      </c>
      <c r="M736" s="2" t="s">
        <v>12</v>
      </c>
      <c r="N736" s="4">
        <f t="shared" si="1"/>
        <v>44358</v>
      </c>
      <c r="O736" s="5" t="str">
        <f>IFERROR(__xludf.DUMMYFUNCTION("IF(REGEXMATCH(TRIM(I736), ""^\d+\s*min""), ""Unclassified"", IF(I736 = """", ""NR"", I736))"),"TV-MA")</f>
        <v>TV-MA</v>
      </c>
      <c r="R736" s="5" t="str">
        <f t="shared" si="2"/>
        <v>Lupin</v>
      </c>
      <c r="S736" s="5" t="str">
        <f>IFERROR(__xludf.DUMMYFUNCTION("""COMPUTED_VALUE"""),"Babylon Berlin")</f>
        <v>Babylon Berlin</v>
      </c>
      <c r="T736" s="5" t="str">
        <f>IFERROR(__xludf.DUMMYFUNCTION("""COMPUTED_VALUE"""),"Uruguay")</f>
        <v>Uruguay</v>
      </c>
      <c r="U736" s="5" t="str">
        <f>IFERROR(__xludf.DUMMYFUNCTION("""COMPUTED_VALUE"""),"Amy Poehler")</f>
        <v>Amy Poehler</v>
      </c>
      <c r="V736" s="5" t="s">
        <v>4486</v>
      </c>
      <c r="W736" s="5" t="str">
        <f t="shared" si="3"/>
        <v>Charlie Vaughn</v>
      </c>
      <c r="X736" s="5">
        <f t="shared" si="4"/>
        <v>1</v>
      </c>
      <c r="Y736" s="5" t="str">
        <f>IFERROR(__xludf.DUMMYFUNCTION("REGEXEXTRACT(J736, ""^\d+"")"),"2")</f>
        <v>2</v>
      </c>
      <c r="Z736" s="5" t="str">
        <f>IFERROR(__xludf.DUMMYFUNCTION("REGEXEXTRACT(J736, ""[A-Za-z ]+$"")")," Seasons")</f>
        <v> Seasons</v>
      </c>
      <c r="AA736" s="5" t="str">
        <f>IFERROR(__xludf.DUMMYFUNCTION("IF(REGEXMATCH(Z736, ""Season""), ""TV Show"", ""Movie"")"),"TV Show")</f>
        <v>TV Show</v>
      </c>
    </row>
    <row r="737">
      <c r="A737" s="1" t="s">
        <v>4487</v>
      </c>
      <c r="B737" s="1" t="s">
        <v>27</v>
      </c>
      <c r="C737" s="1" t="s">
        <v>4488</v>
      </c>
      <c r="D737" s="1" t="s">
        <v>4489</v>
      </c>
      <c r="E737" s="1" t="s">
        <v>4490</v>
      </c>
      <c r="F737" s="1" t="s">
        <v>63</v>
      </c>
      <c r="G737" s="1" t="s">
        <v>4479</v>
      </c>
      <c r="H737" s="1">
        <v>2021.0</v>
      </c>
      <c r="I737" s="1" t="s">
        <v>136</v>
      </c>
      <c r="J737" s="1" t="s">
        <v>519</v>
      </c>
      <c r="K737" s="1" t="s">
        <v>583</v>
      </c>
      <c r="L737" s="1" t="s">
        <v>4491</v>
      </c>
      <c r="M737" s="2" t="s">
        <v>12</v>
      </c>
      <c r="N737" s="4">
        <f t="shared" si="1"/>
        <v>44358</v>
      </c>
      <c r="O737" s="5" t="str">
        <f>IFERROR(__xludf.DUMMYFUNCTION("IF(REGEXMATCH(TRIM(I737), ""^\d+\s*min""), ""Unclassified"", IF(I737 = """", ""NR"", I737))"),"TV-PG")</f>
        <v>TV-PG</v>
      </c>
      <c r="R737" s="5" t="str">
        <f t="shared" si="2"/>
        <v>Sarbath</v>
      </c>
      <c r="S737" s="5" t="str">
        <f>IFERROR(__xludf.DUMMYFUNCTION("""COMPUTED_VALUE"""),"Bachelor Girls")</f>
        <v>Bachelor Girls</v>
      </c>
      <c r="T737" s="5" t="str">
        <f>IFERROR(__xludf.DUMMYFUNCTION("""COMPUTED_VALUE"""),"Uruguay, Argentina")</f>
        <v>Uruguay, Argentina</v>
      </c>
      <c r="U737" s="5" t="str">
        <f>IFERROR(__xludf.DUMMYFUNCTION("""COMPUTED_VALUE"""),"Jared Hess, Tyler Measom")</f>
        <v>Jared Hess, Tyler Measom</v>
      </c>
      <c r="V737" s="5" t="s">
        <v>4492</v>
      </c>
      <c r="W737" s="5" t="str">
        <f t="shared" si="3"/>
        <v>Charlotte Zwerin</v>
      </c>
      <c r="X737" s="5">
        <f t="shared" si="4"/>
        <v>1</v>
      </c>
      <c r="Y737" s="5" t="str">
        <f>IFERROR(__xludf.DUMMYFUNCTION("REGEXEXTRACT(J737, ""^\d+"")"),"113")</f>
        <v>113</v>
      </c>
      <c r="Z737" s="5" t="str">
        <f>IFERROR(__xludf.DUMMYFUNCTION("REGEXEXTRACT(J737, ""[A-Za-z ]+$"")")," min")</f>
        <v> min</v>
      </c>
      <c r="AA737" s="5" t="str">
        <f>IFERROR(__xludf.DUMMYFUNCTION("IF(REGEXMATCH(Z737, ""Season""), ""TV Show"", ""Movie"")"),"Movie")</f>
        <v>Movie</v>
      </c>
    </row>
    <row r="738">
      <c r="A738" s="1" t="s">
        <v>4493</v>
      </c>
      <c r="B738" s="1" t="s">
        <v>27</v>
      </c>
      <c r="C738" s="1" t="s">
        <v>4494</v>
      </c>
      <c r="D738" s="1" t="s">
        <v>4495</v>
      </c>
      <c r="E738" s="1" t="s">
        <v>4496</v>
      </c>
      <c r="F738" s="1" t="s">
        <v>4497</v>
      </c>
      <c r="G738" s="1" t="s">
        <v>4479</v>
      </c>
      <c r="H738" s="1">
        <v>2021.0</v>
      </c>
      <c r="I738" s="1" t="s">
        <v>78</v>
      </c>
      <c r="J738" s="1" t="s">
        <v>297</v>
      </c>
      <c r="K738" s="1" t="s">
        <v>2983</v>
      </c>
      <c r="L738" s="1" t="s">
        <v>4498</v>
      </c>
      <c r="M738" s="2" t="s">
        <v>12</v>
      </c>
      <c r="N738" s="4">
        <f t="shared" si="1"/>
        <v>44358</v>
      </c>
      <c r="O738" s="5" t="str">
        <f>IFERROR(__xludf.DUMMYFUNCTION("IF(REGEXMATCH(TRIM(I738), ""^\d+\s*min""), ""Unclassified"", IF(I738 = """", ""NR"", I738))"),"PG")</f>
        <v>PG</v>
      </c>
      <c r="R738" s="5" t="str">
        <f t="shared" si="2"/>
        <v>Skater Girl</v>
      </c>
      <c r="S738" s="5" t="str">
        <f>IFERROR(__xludf.DUMMYFUNCTION("""COMPUTED_VALUE"""),"Back And Forth")</f>
        <v>Back And Forth</v>
      </c>
      <c r="T738" s="5" t="str">
        <f>IFERROR(__xludf.DUMMYFUNCTION("""COMPUTED_VALUE"""),"Uruguay, Argentina, Germany, Spain")</f>
        <v>Uruguay, Argentina, Germany, Spain</v>
      </c>
      <c r="U738" s="5" t="str">
        <f>IFERROR(__xludf.DUMMYFUNCTION("""COMPUTED_VALUE"""),"Mike Binder")</f>
        <v>Mike Binder</v>
      </c>
      <c r="V738" s="5" t="s">
        <v>4499</v>
      </c>
      <c r="W738" s="5" t="str">
        <f t="shared" si="3"/>
        <v>Charneice Fox</v>
      </c>
      <c r="X738" s="5">
        <f t="shared" si="4"/>
        <v>1</v>
      </c>
      <c r="Y738" s="5" t="str">
        <f>IFERROR(__xludf.DUMMYFUNCTION("REGEXEXTRACT(J738, ""^\d+"")"),"110")</f>
        <v>110</v>
      </c>
      <c r="Z738" s="5" t="str">
        <f>IFERROR(__xludf.DUMMYFUNCTION("REGEXEXTRACT(J738, ""[A-Za-z ]+$"")")," min")</f>
        <v> min</v>
      </c>
      <c r="AA738" s="5" t="str">
        <f>IFERROR(__xludf.DUMMYFUNCTION("IF(REGEXMATCH(Z738, ""Season""), ""TV Show"", ""Movie"")"),"Movie")</f>
        <v>Movie</v>
      </c>
    </row>
    <row r="739">
      <c r="A739" s="1" t="s">
        <v>4500</v>
      </c>
      <c r="B739" s="1" t="s">
        <v>37</v>
      </c>
      <c r="C739" s="1" t="s">
        <v>4501</v>
      </c>
      <c r="D739" s="1" t="s">
        <v>4502</v>
      </c>
      <c r="E739" s="1" t="s">
        <v>4503</v>
      </c>
      <c r="F739" s="1" t="s">
        <v>4504</v>
      </c>
      <c r="G739" s="1" t="s">
        <v>4479</v>
      </c>
      <c r="H739" s="1">
        <v>2021.0</v>
      </c>
      <c r="I739" s="1" t="s">
        <v>42</v>
      </c>
      <c r="J739" s="1" t="s">
        <v>51</v>
      </c>
      <c r="K739" s="1" t="s">
        <v>4505</v>
      </c>
      <c r="L739" s="1" t="s">
        <v>4506</v>
      </c>
      <c r="M739" s="2" t="s">
        <v>12</v>
      </c>
      <c r="N739" s="4">
        <f t="shared" si="1"/>
        <v>44358</v>
      </c>
      <c r="O739" s="5" t="str">
        <f>IFERROR(__xludf.DUMMYFUNCTION("IF(REGEXMATCH(TRIM(I739), ""^\d+\s*min""), ""Unclassified"", IF(I739 = """", ""NR"", I739))"),"TV-MA")</f>
        <v>TV-MA</v>
      </c>
      <c r="R739" s="5" t="str">
        <f t="shared" si="2"/>
        <v>Trese</v>
      </c>
      <c r="S739" s="5" t="str">
        <f>IFERROR(__xludf.DUMMYFUNCTION("""COMPUTED_VALUE"""),"Back Of The Net")</f>
        <v>Back Of The Net</v>
      </c>
      <c r="T739" s="5" t="str">
        <f>IFERROR(__xludf.DUMMYFUNCTION("""COMPUTED_VALUE"""),"Uruguay, Argentina, Spain")</f>
        <v>Uruguay, Argentina, Spain</v>
      </c>
      <c r="U739" s="5" t="str">
        <f>IFERROR(__xludf.DUMMYFUNCTION("""COMPUTED_VALUE"""),"Abir Sengupta")</f>
        <v>Abir Sengupta</v>
      </c>
      <c r="V739" s="5" t="s">
        <v>4507</v>
      </c>
      <c r="W739" s="5" t="str">
        <f t="shared" si="3"/>
        <v>Chatchai Katenut, Manussa Vorasingha, Tanwarin Sukkhapisit, Poj Arnon</v>
      </c>
      <c r="X739" s="5">
        <f t="shared" si="4"/>
        <v>1</v>
      </c>
      <c r="Y739" s="5" t="str">
        <f>IFERROR(__xludf.DUMMYFUNCTION("REGEXEXTRACT(J739, ""^\d+"")"),"1")</f>
        <v>1</v>
      </c>
      <c r="Z739" s="5" t="str">
        <f>IFERROR(__xludf.DUMMYFUNCTION("REGEXEXTRACT(J739, ""[A-Za-z ]+$"")")," Season")</f>
        <v> Season</v>
      </c>
      <c r="AA739" s="5" t="str">
        <f>IFERROR(__xludf.DUMMYFUNCTION("IF(REGEXMATCH(Z739, ""Season""), ""TV Show"", ""Movie"")"),"TV Show")</f>
        <v>TV Show</v>
      </c>
    </row>
    <row r="740">
      <c r="A740" s="1" t="s">
        <v>4508</v>
      </c>
      <c r="B740" s="1" t="s">
        <v>27</v>
      </c>
      <c r="C740" s="1" t="s">
        <v>4509</v>
      </c>
      <c r="G740" s="1" t="s">
        <v>4479</v>
      </c>
      <c r="H740" s="1">
        <v>2021.0</v>
      </c>
      <c r="I740" s="1" t="s">
        <v>97</v>
      </c>
      <c r="J740" s="1" t="s">
        <v>4458</v>
      </c>
      <c r="K740" s="1" t="s">
        <v>4510</v>
      </c>
      <c r="L740" s="1" t="s">
        <v>4511</v>
      </c>
      <c r="M740" s="2" t="s">
        <v>12</v>
      </c>
      <c r="N740" s="4">
        <f t="shared" si="1"/>
        <v>44358</v>
      </c>
      <c r="O740" s="5" t="str">
        <f>IFERROR(__xludf.DUMMYFUNCTION("IF(REGEXMATCH(TRIM(I740), ""^\d+\s*min""), ""Unclassified"", IF(I740 = """", ""NR"", I740))"),"TV-14")</f>
        <v>TV-14</v>
      </c>
      <c r="R740" s="5" t="str">
        <f t="shared" si="2"/>
        <v>Trese After Dark</v>
      </c>
      <c r="S740" s="5" t="str">
        <f>IFERROR(__xludf.DUMMYFUNCTION("""COMPUTED_VALUE"""),"Back Street Girls -Gokudols-")</f>
        <v>Back Street Girls -Gokudols-</v>
      </c>
      <c r="T740" s="5" t="str">
        <f>IFERROR(__xludf.DUMMYFUNCTION("""COMPUTED_VALUE"""),"Uruguay, Germany")</f>
        <v>Uruguay, Germany</v>
      </c>
      <c r="U740" s="5" t="str">
        <f>IFERROR(__xludf.DUMMYFUNCTION("""COMPUTED_VALUE"""),"Sunny Lau")</f>
        <v>Sunny Lau</v>
      </c>
      <c r="V740" s="5" t="s">
        <v>4512</v>
      </c>
      <c r="W740" s="5" t="str">
        <f t="shared" si="3"/>
        <v>Chayanop Boonprakob</v>
      </c>
      <c r="X740" s="5">
        <f t="shared" si="4"/>
        <v>1</v>
      </c>
      <c r="Y740" s="5" t="str">
        <f>IFERROR(__xludf.DUMMYFUNCTION("REGEXEXTRACT(J740, ""^\d+"")"),"36")</f>
        <v>36</v>
      </c>
      <c r="Z740" s="5" t="str">
        <f>IFERROR(__xludf.DUMMYFUNCTION("REGEXEXTRACT(J740, ""[A-Za-z ]+$"")")," min")</f>
        <v> min</v>
      </c>
      <c r="AA740" s="5" t="str">
        <f>IFERROR(__xludf.DUMMYFUNCTION("IF(REGEXMATCH(Z740, ""Season""), ""TV Show"", ""Movie"")"),"Movie")</f>
        <v>Movie</v>
      </c>
    </row>
    <row r="741">
      <c r="A741" s="1" t="s">
        <v>4513</v>
      </c>
      <c r="B741" s="1" t="s">
        <v>27</v>
      </c>
      <c r="C741" s="1" t="s">
        <v>4514</v>
      </c>
      <c r="D741" s="1" t="s">
        <v>4515</v>
      </c>
      <c r="E741" s="1" t="s">
        <v>4516</v>
      </c>
      <c r="F741" s="1" t="s">
        <v>4517</v>
      </c>
      <c r="G741" s="1" t="s">
        <v>4479</v>
      </c>
      <c r="H741" s="1">
        <v>2021.0</v>
      </c>
      <c r="I741" s="1" t="s">
        <v>78</v>
      </c>
      <c r="J741" s="1" t="s">
        <v>447</v>
      </c>
      <c r="K741" s="1" t="s">
        <v>137</v>
      </c>
      <c r="L741" s="1" t="s">
        <v>4518</v>
      </c>
      <c r="M741" s="2" t="s">
        <v>12</v>
      </c>
      <c r="N741" s="4">
        <f t="shared" si="1"/>
        <v>44358</v>
      </c>
      <c r="O741" s="5" t="str">
        <f>IFERROR(__xludf.DUMMYFUNCTION("IF(REGEXMATCH(TRIM(I741), ""^\d+\s*min""), ""Unclassified"", IF(I741 = """", ""NR"", I741))"),"PG")</f>
        <v>PG</v>
      </c>
      <c r="R741" s="5" t="str">
        <f t="shared" si="2"/>
        <v>Wish Dragon</v>
      </c>
      <c r="S741" s="5" t="str">
        <f>IFERROR(__xludf.DUMMYFUNCTION("""COMPUTED_VALUE"""),"Back To 1989")</f>
        <v>Back To 1989</v>
      </c>
      <c r="T741" s="5" t="str">
        <f>IFERROR(__xludf.DUMMYFUNCTION("""COMPUTED_VALUE"""),"Uruguay, Guatemala")</f>
        <v>Uruguay, Guatemala</v>
      </c>
      <c r="U741" s="5" t="str">
        <f>IFERROR(__xludf.DUMMYFUNCTION("""COMPUTED_VALUE"""),"Emmett Malloy")</f>
        <v>Emmett Malloy</v>
      </c>
      <c r="V741" s="5" t="s">
        <v>4519</v>
      </c>
      <c r="W741" s="5" t="str">
        <f t="shared" si="3"/>
        <v>Che Sandoval</v>
      </c>
      <c r="X741" s="5">
        <f t="shared" si="4"/>
        <v>1</v>
      </c>
      <c r="Y741" s="5" t="str">
        <f>IFERROR(__xludf.DUMMYFUNCTION("REGEXEXTRACT(J741, ""^\d+"")"),"102")</f>
        <v>102</v>
      </c>
      <c r="Z741" s="5" t="str">
        <f>IFERROR(__xludf.DUMMYFUNCTION("REGEXEXTRACT(J741, ""[A-Za-z ]+$"")")," min")</f>
        <v> min</v>
      </c>
      <c r="AA741" s="5" t="str">
        <f>IFERROR(__xludf.DUMMYFUNCTION("IF(REGEXMATCH(Z741, ""Season""), ""TV Show"", ""Movie"")"),"Movie")</f>
        <v>Movie</v>
      </c>
    </row>
    <row r="742">
      <c r="A742" s="1" t="s">
        <v>4520</v>
      </c>
      <c r="B742" s="1" t="s">
        <v>27</v>
      </c>
      <c r="C742" s="1" t="s">
        <v>4521</v>
      </c>
      <c r="D742" s="1" t="s">
        <v>4522</v>
      </c>
      <c r="E742" s="1" t="s">
        <v>4523</v>
      </c>
      <c r="F742" s="1" t="s">
        <v>30</v>
      </c>
      <c r="G742" s="1" t="s">
        <v>4524</v>
      </c>
      <c r="H742" s="1">
        <v>2014.0</v>
      </c>
      <c r="I742" s="1" t="s">
        <v>378</v>
      </c>
      <c r="J742" s="1" t="s">
        <v>1144</v>
      </c>
      <c r="K742" s="1" t="s">
        <v>4525</v>
      </c>
      <c r="L742" s="1" t="s">
        <v>4526</v>
      </c>
      <c r="M742" s="2" t="s">
        <v>12</v>
      </c>
      <c r="N742" s="4">
        <f t="shared" si="1"/>
        <v>44357</v>
      </c>
      <c r="O742" s="5" t="str">
        <f>IFERROR(__xludf.DUMMYFUNCTION("IF(REGEXMATCH(TRIM(I742), ""^\d+\s*min""), ""Unclassified"", IF(I742 = """", ""NR"", I742))"),"R")</f>
        <v>R</v>
      </c>
      <c r="R742" s="5" t="str">
        <f t="shared" si="2"/>
        <v>A Haunted House 2</v>
      </c>
      <c r="S742" s="5" t="str">
        <f>IFERROR(__xludf.DUMMYFUNCTION("""COMPUTED_VALUE"""),"Back To Q82")</f>
        <v>Back To Q82</v>
      </c>
      <c r="T742" s="5" t="str">
        <f>IFERROR(__xludf.DUMMYFUNCTION("""COMPUTED_VALUE"""),"Uruguay, Spain, Mexico")</f>
        <v>Uruguay, Spain, Mexico</v>
      </c>
      <c r="U742" s="5" t="str">
        <f>IFERROR(__xludf.DUMMYFUNCTION("""COMPUTED_VALUE"""),"Xavier Maingon, Marc-Antoine Hélard")</f>
        <v>Xavier Maingon, Marc-Antoine Hélard</v>
      </c>
      <c r="V742" s="5" t="s">
        <v>4527</v>
      </c>
      <c r="W742" s="5" t="str">
        <f t="shared" si="3"/>
        <v>Cheang Pou Soi</v>
      </c>
      <c r="X742" s="5">
        <f t="shared" si="4"/>
        <v>1</v>
      </c>
      <c r="Y742" s="5" t="str">
        <f>IFERROR(__xludf.DUMMYFUNCTION("REGEXEXTRACT(J742, ""^\d+"")"),"86")</f>
        <v>86</v>
      </c>
      <c r="Z742" s="5" t="str">
        <f>IFERROR(__xludf.DUMMYFUNCTION("REGEXEXTRACT(J742, ""[A-Za-z ]+$"")")," min")</f>
        <v> min</v>
      </c>
      <c r="AA742" s="5" t="str">
        <f>IFERROR(__xludf.DUMMYFUNCTION("IF(REGEXMATCH(Z742, ""Season""), ""TV Show"", ""Movie"")"),"Movie")</f>
        <v>Movie</v>
      </c>
    </row>
    <row r="743">
      <c r="A743" s="1" t="s">
        <v>4528</v>
      </c>
      <c r="B743" s="1" t="s">
        <v>27</v>
      </c>
      <c r="C743" s="1" t="s">
        <v>4529</v>
      </c>
      <c r="D743" s="1" t="s">
        <v>4530</v>
      </c>
      <c r="E743" s="1" t="s">
        <v>4531</v>
      </c>
      <c r="F743" s="1" t="s">
        <v>4532</v>
      </c>
      <c r="G743" s="1" t="s">
        <v>4524</v>
      </c>
      <c r="H743" s="1">
        <v>2012.0</v>
      </c>
      <c r="I743" s="1" t="s">
        <v>42</v>
      </c>
      <c r="J743" s="1" t="s">
        <v>79</v>
      </c>
      <c r="K743" s="1" t="s">
        <v>128</v>
      </c>
      <c r="L743" s="1" t="s">
        <v>4533</v>
      </c>
      <c r="M743" s="2" t="s">
        <v>12</v>
      </c>
      <c r="N743" s="4">
        <f t="shared" si="1"/>
        <v>44357</v>
      </c>
      <c r="O743" s="5" t="str">
        <f>IFERROR(__xludf.DUMMYFUNCTION("IF(REGEXMATCH(TRIM(I743), ""^\d+\s*min""), ""Unclassified"", IF(I743 = """", ""NR"", I743))"),"TV-MA")</f>
        <v>TV-MA</v>
      </c>
      <c r="R743" s="5" t="str">
        <f t="shared" si="2"/>
        <v>Blind Intersections</v>
      </c>
      <c r="S743" s="5" t="str">
        <f>IFERROR(__xludf.DUMMYFUNCTION("""COMPUTED_VALUE"""),"Back To School")</f>
        <v>Back To School</v>
      </c>
      <c r="T743" s="5" t="str">
        <f>IFERROR(__xludf.DUMMYFUNCTION("""COMPUTED_VALUE"""),"Venezuela")</f>
        <v>Venezuela</v>
      </c>
      <c r="U743" s="5" t="str">
        <f>IFERROR(__xludf.DUMMYFUNCTION("""COMPUTED_VALUE"""),"Milton Kremer")</f>
        <v>Milton Kremer</v>
      </c>
      <c r="V743" s="5" t="s">
        <v>4534</v>
      </c>
      <c r="W743" s="5" t="str">
        <f t="shared" si="3"/>
        <v>Cheh Chang</v>
      </c>
      <c r="X743" s="5">
        <f t="shared" si="4"/>
        <v>3</v>
      </c>
      <c r="Y743" s="5" t="str">
        <f>IFERROR(__xludf.DUMMYFUNCTION("REGEXEXTRACT(J743, ""^\d+"")"),"91")</f>
        <v>91</v>
      </c>
      <c r="Z743" s="5" t="str">
        <f>IFERROR(__xludf.DUMMYFUNCTION("REGEXEXTRACT(J743, ""[A-Za-z ]+$"")")," min")</f>
        <v> min</v>
      </c>
      <c r="AA743" s="5" t="str">
        <f>IFERROR(__xludf.DUMMYFUNCTION("IF(REGEXMATCH(Z743, ""Season""), ""TV Show"", ""Movie"")"),"Movie")</f>
        <v>Movie</v>
      </c>
    </row>
    <row r="744">
      <c r="A744" s="1" t="s">
        <v>4535</v>
      </c>
      <c r="B744" s="1" t="s">
        <v>27</v>
      </c>
      <c r="C744" s="1" t="s">
        <v>4536</v>
      </c>
      <c r="D744" s="1" t="s">
        <v>2960</v>
      </c>
      <c r="E744" s="1" t="s">
        <v>4537</v>
      </c>
      <c r="F744" s="1" t="s">
        <v>3543</v>
      </c>
      <c r="G744" s="1" t="s">
        <v>4524</v>
      </c>
      <c r="H744" s="1">
        <v>2021.0</v>
      </c>
      <c r="I744" s="1" t="s">
        <v>42</v>
      </c>
      <c r="J744" s="1" t="s">
        <v>743</v>
      </c>
      <c r="K744" s="1" t="s">
        <v>128</v>
      </c>
      <c r="L744" s="1" t="s">
        <v>4538</v>
      </c>
      <c r="M744" s="2" t="s">
        <v>12</v>
      </c>
      <c r="N744" s="4">
        <f t="shared" si="1"/>
        <v>44357</v>
      </c>
      <c r="O744" s="5" t="str">
        <f>IFERROR(__xludf.DUMMYFUNCTION("IF(REGEXMATCH(TRIM(I744), ""^\d+\s*min""), ""Unclassified"", IF(I744 = """", ""NR"", I744))"),"TV-MA")</f>
        <v>TV-MA</v>
      </c>
      <c r="R744" s="5" t="str">
        <f t="shared" si="2"/>
        <v>Camellia Sisters</v>
      </c>
      <c r="S744" s="5" t="str">
        <f>IFERROR(__xludf.DUMMYFUNCTION("""COMPUTED_VALUE"""),"Back To The 90S")</f>
        <v>Back To The 90S</v>
      </c>
      <c r="T744" s="5" t="str">
        <f>IFERROR(__xludf.DUMMYFUNCTION("""COMPUTED_VALUE"""),"Venezuela, Colombia")</f>
        <v>Venezuela, Colombia</v>
      </c>
      <c r="U744" s="5" t="str">
        <f>IFERROR(__xludf.DUMMYFUNCTION("""COMPUTED_VALUE"""),"Kevin Costner")</f>
        <v>Kevin Costner</v>
      </c>
      <c r="V744" s="5" t="s">
        <v>4539</v>
      </c>
      <c r="W744" s="5" t="str">
        <f t="shared" si="3"/>
        <v>Cheng Wei-Hao</v>
      </c>
      <c r="X744" s="5">
        <f t="shared" si="4"/>
        <v>1</v>
      </c>
      <c r="Y744" s="5" t="str">
        <f>IFERROR(__xludf.DUMMYFUNCTION("REGEXEXTRACT(J744, ""^\d+"")"),"117")</f>
        <v>117</v>
      </c>
      <c r="Z744" s="5" t="str">
        <f>IFERROR(__xludf.DUMMYFUNCTION("REGEXEXTRACT(J744, ""[A-Za-z ]+$"")")," min")</f>
        <v> min</v>
      </c>
      <c r="AA744" s="5" t="str">
        <f>IFERROR(__xludf.DUMMYFUNCTION("IF(REGEXMATCH(Z744, ""Season""), ""TV Show"", ""Movie"")"),"Movie")</f>
        <v>Movie</v>
      </c>
    </row>
    <row r="745">
      <c r="A745" s="1" t="s">
        <v>4540</v>
      </c>
      <c r="B745" s="1" t="s">
        <v>27</v>
      </c>
      <c r="C745" s="1" t="s">
        <v>4541</v>
      </c>
      <c r="D745" s="1" t="s">
        <v>4542</v>
      </c>
      <c r="E745" s="1" t="s">
        <v>4543</v>
      </c>
      <c r="F745" s="1" t="s">
        <v>4544</v>
      </c>
      <c r="G745" s="1" t="s">
        <v>4524</v>
      </c>
      <c r="H745" s="1">
        <v>2014.0</v>
      </c>
      <c r="I745" s="1" t="s">
        <v>42</v>
      </c>
      <c r="J745" s="1" t="s">
        <v>416</v>
      </c>
      <c r="K745" s="1" t="s">
        <v>1538</v>
      </c>
      <c r="L745" s="1" t="s">
        <v>4545</v>
      </c>
      <c r="M745" s="2" t="s">
        <v>12</v>
      </c>
      <c r="N745" s="4">
        <f t="shared" si="1"/>
        <v>44357</v>
      </c>
      <c r="O745" s="5" t="str">
        <f>IFERROR(__xludf.DUMMYFUNCTION("IF(REGEXMATCH(TRIM(I745), ""^\d+\s*min""), ""Unclassified"", IF(I745 = """", ""NR"", I745))"),"TV-MA")</f>
        <v>TV-MA</v>
      </c>
      <c r="R745" s="5" t="str">
        <f t="shared" si="2"/>
        <v>Copenhagen</v>
      </c>
      <c r="S745" s="5" t="str">
        <f>IFERROR(__xludf.DUMMYFUNCTION("""COMPUTED_VALUE"""),"Back With The Ex")</f>
        <v>Back With The Ex</v>
      </c>
      <c r="T745" s="5" t="str">
        <f>IFERROR(__xludf.DUMMYFUNCTION("""COMPUTED_VALUE"""),"Vietnam")</f>
        <v>Vietnam</v>
      </c>
      <c r="U745" s="5" t="str">
        <f>IFERROR(__xludf.DUMMYFUNCTION("""COMPUTED_VALUE"""),"Marco Petry")</f>
        <v>Marco Petry</v>
      </c>
      <c r="V745" s="5" t="s">
        <v>4546</v>
      </c>
      <c r="W745" s="5" t="str">
        <f t="shared" si="3"/>
        <v>Chester Tam</v>
      </c>
      <c r="X745" s="5">
        <f t="shared" si="4"/>
        <v>1</v>
      </c>
      <c r="Y745" s="5" t="str">
        <f>IFERROR(__xludf.DUMMYFUNCTION("REGEXEXTRACT(J745, ""^\d+"")"),"99")</f>
        <v>99</v>
      </c>
      <c r="Z745" s="5" t="str">
        <f>IFERROR(__xludf.DUMMYFUNCTION("REGEXEXTRACT(J745, ""[A-Za-z ]+$"")")," min")</f>
        <v> min</v>
      </c>
      <c r="AA745" s="5" t="str">
        <f>IFERROR(__xludf.DUMMYFUNCTION("IF(REGEXMATCH(Z745, ""Season""), ""TV Show"", ""Movie"")"),"Movie")</f>
        <v>Movie</v>
      </c>
    </row>
    <row r="746">
      <c r="A746" s="1" t="s">
        <v>4547</v>
      </c>
      <c r="B746" s="1" t="s">
        <v>37</v>
      </c>
      <c r="C746" s="1" t="s">
        <v>4548</v>
      </c>
      <c r="E746" s="1" t="s">
        <v>4549</v>
      </c>
      <c r="F746" s="1" t="s">
        <v>1837</v>
      </c>
      <c r="G746" s="1" t="s">
        <v>4524</v>
      </c>
      <c r="H746" s="1">
        <v>2021.0</v>
      </c>
      <c r="I746" s="1" t="s">
        <v>42</v>
      </c>
      <c r="J746" s="1" t="s">
        <v>51</v>
      </c>
      <c r="K746" s="1" t="s">
        <v>4550</v>
      </c>
      <c r="L746" s="1" t="s">
        <v>4551</v>
      </c>
      <c r="M746" s="2" t="s">
        <v>12</v>
      </c>
      <c r="N746" s="4">
        <f t="shared" si="1"/>
        <v>44357</v>
      </c>
      <c r="O746" s="5" t="str">
        <f>IFERROR(__xludf.DUMMYFUNCTION("IF(REGEXMATCH(TRIM(I746), ""^\d+\s*min""), ""Unclassified"", IF(I746 = """", ""NR"", I746))"),"TV-MA")</f>
        <v>TV-MA</v>
      </c>
      <c r="R746" s="5" t="str">
        <f t="shared" si="2"/>
        <v>Locombianos</v>
      </c>
      <c r="S746" s="5" t="str">
        <f>IFERROR(__xludf.DUMMYFUNCTION("""COMPUTED_VALUE"""),"Backcountry")</f>
        <v>Backcountry</v>
      </c>
      <c r="T746" s="5" t="str">
        <f>IFERROR(__xludf.DUMMYFUNCTION("""COMPUTED_VALUE"""),"West Germany")</f>
        <v>West Germany</v>
      </c>
      <c r="U746" s="5" t="str">
        <f>IFERROR(__xludf.DUMMYFUNCTION("""COMPUTED_VALUE"""),"Andrew Duncan, Ken Cunningham")</f>
        <v>Andrew Duncan, Ken Cunningham</v>
      </c>
      <c r="V746" s="5" t="s">
        <v>4552</v>
      </c>
      <c r="W746" s="5" t="str">
        <f t="shared" si="3"/>
        <v>Cheta Chukwu</v>
      </c>
      <c r="X746" s="5">
        <f t="shared" si="4"/>
        <v>1</v>
      </c>
      <c r="Y746" s="5" t="str">
        <f>IFERROR(__xludf.DUMMYFUNCTION("REGEXEXTRACT(J746, ""^\d+"")"),"1")</f>
        <v>1</v>
      </c>
      <c r="Z746" s="5" t="str">
        <f>IFERROR(__xludf.DUMMYFUNCTION("REGEXEXTRACT(J746, ""[A-Za-z ]+$"")")," Season")</f>
        <v> Season</v>
      </c>
      <c r="AA746" s="5" t="str">
        <f>IFERROR(__xludf.DUMMYFUNCTION("IF(REGEXMATCH(Z746, ""Season""), ""TV Show"", ""Movie"")"),"TV Show")</f>
        <v>TV Show</v>
      </c>
    </row>
    <row r="747">
      <c r="A747" s="1" t="s">
        <v>4553</v>
      </c>
      <c r="B747" s="1" t="s">
        <v>27</v>
      </c>
      <c r="C747" s="1" t="s">
        <v>4554</v>
      </c>
      <c r="D747" s="1" t="s">
        <v>4555</v>
      </c>
      <c r="E747" s="1" t="s">
        <v>4556</v>
      </c>
      <c r="F747" s="1" t="s">
        <v>4557</v>
      </c>
      <c r="G747" s="1" t="s">
        <v>4524</v>
      </c>
      <c r="H747" s="1">
        <v>2019.0</v>
      </c>
      <c r="I747" s="1" t="s">
        <v>97</v>
      </c>
      <c r="J747" s="1" t="s">
        <v>4558</v>
      </c>
      <c r="K747" s="1" t="s">
        <v>631</v>
      </c>
      <c r="L747" s="1" t="s">
        <v>4559</v>
      </c>
      <c r="M747" s="2" t="s">
        <v>12</v>
      </c>
      <c r="N747" s="4">
        <f t="shared" si="1"/>
        <v>44357</v>
      </c>
      <c r="O747" s="5" t="str">
        <f>IFERROR(__xludf.DUMMYFUNCTION("IF(REGEXMATCH(TRIM(I747), ""^\d+\s*min""), ""Unclassified"", IF(I747 = """", ""NR"", I747))"),"TV-14")</f>
        <v>TV-14</v>
      </c>
      <c r="R747" s="5" t="str">
        <f t="shared" si="2"/>
        <v>Until Midnight</v>
      </c>
      <c r="S747" s="5" t="str">
        <f>IFERROR(__xludf.DUMMYFUNCTION("""COMPUTED_VALUE"""),"Backdraft 2")</f>
        <v>Backdraft 2</v>
      </c>
      <c r="T747" s="5" t="str">
        <f>IFERROR(__xludf.DUMMYFUNCTION("""COMPUTED_VALUE"""),"Zimbabwe")</f>
        <v>Zimbabwe</v>
      </c>
      <c r="U747" s="5" t="str">
        <f>IFERROR(__xludf.DUMMYFUNCTION("""COMPUTED_VALUE"""),"Liam Lynch")</f>
        <v>Liam Lynch</v>
      </c>
      <c r="V747" s="5" t="s">
        <v>4560</v>
      </c>
      <c r="W747" s="5" t="str">
        <f t="shared" si="3"/>
        <v>Chi Fat Chan</v>
      </c>
      <c r="X747" s="5">
        <f t="shared" si="4"/>
        <v>1</v>
      </c>
      <c r="Y747" s="5" t="str">
        <f>IFERROR(__xludf.DUMMYFUNCTION("REGEXEXTRACT(J747, ""^\d+"")"),"77")</f>
        <v>77</v>
      </c>
      <c r="Z747" s="5" t="str">
        <f>IFERROR(__xludf.DUMMYFUNCTION("REGEXEXTRACT(J747, ""[A-Za-z ]+$"")")," min")</f>
        <v> min</v>
      </c>
      <c r="AA747" s="5" t="str">
        <f>IFERROR(__xludf.DUMMYFUNCTION("IF(REGEXMATCH(Z747, ""Season""), ""TV Show"", ""Movie"")"),"Movie")</f>
        <v>Movie</v>
      </c>
    </row>
    <row r="748">
      <c r="A748" s="1" t="s">
        <v>4561</v>
      </c>
      <c r="B748" s="1" t="s">
        <v>27</v>
      </c>
      <c r="C748" s="1" t="s">
        <v>4562</v>
      </c>
      <c r="D748" s="1" t="s">
        <v>4542</v>
      </c>
      <c r="E748" s="1" t="s">
        <v>4563</v>
      </c>
      <c r="F748" s="1" t="s">
        <v>30</v>
      </c>
      <c r="G748" s="1" t="s">
        <v>4564</v>
      </c>
      <c r="H748" s="1">
        <v>2021.0</v>
      </c>
      <c r="I748" s="1" t="s">
        <v>42</v>
      </c>
      <c r="J748" s="1" t="s">
        <v>247</v>
      </c>
      <c r="K748" s="1" t="s">
        <v>394</v>
      </c>
      <c r="L748" s="1" t="s">
        <v>4565</v>
      </c>
      <c r="M748" s="2" t="s">
        <v>12</v>
      </c>
      <c r="N748" s="4">
        <f t="shared" si="1"/>
        <v>44356</v>
      </c>
      <c r="O748" s="5" t="str">
        <f>IFERROR(__xludf.DUMMYFUNCTION("IF(REGEXMATCH(TRIM(I748), ""^\d+\s*min""), ""Unclassified"", IF(I748 = """", ""NR"", I748))"),"TV-MA")</f>
        <v>TV-MA</v>
      </c>
      <c r="R748" s="5" t="str">
        <f t="shared" si="2"/>
        <v>Awake</v>
      </c>
      <c r="S748" s="5" t="str">
        <f>IFERROR(__xludf.DUMMYFUNCTION("""COMPUTED_VALUE"""),"Backfire")</f>
        <v>Backfire</v>
      </c>
      <c r="T748" s="5"/>
      <c r="U748" s="5" t="str">
        <f>IFERROR(__xludf.DUMMYFUNCTION("""COMPUTED_VALUE"""),"Jérémie Degruson, Ben Stassen")</f>
        <v>Jérémie Degruson, Ben Stassen</v>
      </c>
      <c r="V748" s="5" t="s">
        <v>4566</v>
      </c>
      <c r="W748" s="5" t="str">
        <f t="shared" si="3"/>
        <v>Chi Keung Fung</v>
      </c>
      <c r="X748" s="5">
        <f t="shared" si="4"/>
        <v>1</v>
      </c>
      <c r="Y748" s="5" t="str">
        <f>IFERROR(__xludf.DUMMYFUNCTION("REGEXEXTRACT(J748, ""^\d+"")"),"97")</f>
        <v>97</v>
      </c>
      <c r="Z748" s="5" t="str">
        <f>IFERROR(__xludf.DUMMYFUNCTION("REGEXEXTRACT(J748, ""[A-Za-z ]+$"")")," min")</f>
        <v> min</v>
      </c>
      <c r="AA748" s="5" t="str">
        <f>IFERROR(__xludf.DUMMYFUNCTION("IF(REGEXMATCH(Z748, ""Season""), ""TV Show"", ""Movie"")"),"Movie")</f>
        <v>Movie</v>
      </c>
    </row>
    <row r="749">
      <c r="A749" s="1" t="s">
        <v>4567</v>
      </c>
      <c r="B749" s="1" t="s">
        <v>27</v>
      </c>
      <c r="C749" s="1" t="s">
        <v>4568</v>
      </c>
      <c r="D749" s="1" t="s">
        <v>2356</v>
      </c>
      <c r="E749" s="1" t="s">
        <v>4569</v>
      </c>
      <c r="F749" s="1" t="s">
        <v>400</v>
      </c>
      <c r="G749" s="1" t="s">
        <v>4564</v>
      </c>
      <c r="H749" s="1">
        <v>2013.0</v>
      </c>
      <c r="I749" s="1" t="s">
        <v>42</v>
      </c>
      <c r="J749" s="1" t="s">
        <v>256</v>
      </c>
      <c r="K749" s="1" t="s">
        <v>583</v>
      </c>
      <c r="L749" s="1" t="s">
        <v>4570</v>
      </c>
      <c r="M749" s="2" t="s">
        <v>12</v>
      </c>
      <c r="N749" s="4">
        <f t="shared" si="1"/>
        <v>44356</v>
      </c>
      <c r="O749" s="5" t="str">
        <f>IFERROR(__xludf.DUMMYFUNCTION("IF(REGEXMATCH(TRIM(I749), ""^\d+\s*min""), ""Unclassified"", IF(I749 = """", ""NR"", I749))"),"TV-MA")</f>
        <v>TV-MA</v>
      </c>
      <c r="R749" s="5" t="str">
        <f t="shared" si="2"/>
        <v>Confusion Na Wa</v>
      </c>
      <c r="S749" s="5" t="str">
        <f>IFERROR(__xludf.DUMMYFUNCTION("""COMPUTED_VALUE"""),"Backtrack")</f>
        <v>Backtrack</v>
      </c>
      <c r="U749" s="5" t="str">
        <f>IFERROR(__xludf.DUMMYFUNCTION("""COMPUTED_VALUE"""),"Matt Ross")</f>
        <v>Matt Ross</v>
      </c>
      <c r="V749" s="5" t="s">
        <v>4571</v>
      </c>
      <c r="W749" s="5" t="str">
        <f t="shared" si="3"/>
        <v>Chia Tang</v>
      </c>
      <c r="X749" s="5">
        <f t="shared" si="4"/>
        <v>1</v>
      </c>
      <c r="Y749" s="5" t="str">
        <f>IFERROR(__xludf.DUMMYFUNCTION("REGEXEXTRACT(J749, ""^\d+"")"),"106")</f>
        <v>106</v>
      </c>
      <c r="Z749" s="5" t="str">
        <f>IFERROR(__xludf.DUMMYFUNCTION("REGEXEXTRACT(J749, ""[A-Za-z ]+$"")")," min")</f>
        <v> min</v>
      </c>
      <c r="AA749" s="5" t="str">
        <f>IFERROR(__xludf.DUMMYFUNCTION("IF(REGEXMATCH(Z749, ""Season""), ""TV Show"", ""Movie"")"),"Movie")</f>
        <v>Movie</v>
      </c>
    </row>
    <row r="750">
      <c r="A750" s="1" t="s">
        <v>4572</v>
      </c>
      <c r="B750" s="1" t="s">
        <v>37</v>
      </c>
      <c r="C750" s="1" t="s">
        <v>4573</v>
      </c>
      <c r="F750" s="1" t="s">
        <v>30</v>
      </c>
      <c r="G750" s="1" t="s">
        <v>4564</v>
      </c>
      <c r="H750" s="1">
        <v>2021.0</v>
      </c>
      <c r="I750" s="1" t="s">
        <v>136</v>
      </c>
      <c r="J750" s="1" t="s">
        <v>51</v>
      </c>
      <c r="K750" s="1" t="s">
        <v>440</v>
      </c>
      <c r="L750" s="1" t="s">
        <v>4574</v>
      </c>
      <c r="M750" s="2" t="s">
        <v>12</v>
      </c>
      <c r="N750" s="4">
        <f t="shared" si="1"/>
        <v>44356</v>
      </c>
      <c r="O750" s="5" t="str">
        <f>IFERROR(__xludf.DUMMYFUNCTION("IF(REGEXMATCH(TRIM(I750), ""^\d+\s*min""), ""Unclassified"", IF(I750 = """", ""NR"", I750))"),"TV-PG")</f>
        <v>TV-PG</v>
      </c>
      <c r="R750" s="5" t="str">
        <f t="shared" si="2"/>
        <v>Fresh, Fried &amp; Crispy</v>
      </c>
      <c r="S750" s="5" t="str">
        <f>IFERROR(__xludf.DUMMYFUNCTION("""COMPUTED_VALUE"""),"Bad Blood")</f>
        <v>Bad Blood</v>
      </c>
      <c r="U750" s="5" t="str">
        <f>IFERROR(__xludf.DUMMYFUNCTION("""COMPUTED_VALUE"""),"Dani De La Orden")</f>
        <v>Dani De La Orden</v>
      </c>
      <c r="V750" s="5" t="s">
        <v>4575</v>
      </c>
      <c r="W750" s="5" t="str">
        <f t="shared" si="3"/>
        <v>Chia-Liang Liu</v>
      </c>
      <c r="X750" s="5">
        <f t="shared" si="4"/>
        <v>4</v>
      </c>
      <c r="Y750" s="5" t="str">
        <f>IFERROR(__xludf.DUMMYFUNCTION("REGEXEXTRACT(J750, ""^\d+"")"),"1")</f>
        <v>1</v>
      </c>
      <c r="Z750" s="5" t="str">
        <f>IFERROR(__xludf.DUMMYFUNCTION("REGEXEXTRACT(J750, ""[A-Za-z ]+$"")")," Season")</f>
        <v> Season</v>
      </c>
      <c r="AA750" s="5" t="str">
        <f>IFERROR(__xludf.DUMMYFUNCTION("IF(REGEXMATCH(Z750, ""Season""), ""TV Show"", ""Movie"")"),"TV Show")</f>
        <v>TV Show</v>
      </c>
    </row>
    <row r="751">
      <c r="A751" s="1" t="s">
        <v>4576</v>
      </c>
      <c r="B751" s="1" t="s">
        <v>37</v>
      </c>
      <c r="C751" s="1" t="s">
        <v>4577</v>
      </c>
      <c r="E751" s="1" t="s">
        <v>4578</v>
      </c>
      <c r="F751" s="1" t="s">
        <v>30</v>
      </c>
      <c r="G751" s="1" t="s">
        <v>4564</v>
      </c>
      <c r="H751" s="1">
        <v>2021.0</v>
      </c>
      <c r="I751" s="1" t="s">
        <v>42</v>
      </c>
      <c r="J751" s="1" t="s">
        <v>43</v>
      </c>
      <c r="K751" s="1" t="s">
        <v>884</v>
      </c>
      <c r="L751" s="1" t="s">
        <v>4579</v>
      </c>
      <c r="M751" s="2" t="s">
        <v>12</v>
      </c>
      <c r="N751" s="4">
        <f t="shared" si="1"/>
        <v>44356</v>
      </c>
      <c r="O751" s="5" t="str">
        <f>IFERROR(__xludf.DUMMYFUNCTION("IF(REGEXMATCH(TRIM(I751), ""^\d+\s*min""), ""Unclassified"", IF(I751 = """", ""NR"", I751))"),"TV-MA")</f>
        <v>TV-MA</v>
      </c>
      <c r="R751" s="5" t="str">
        <f t="shared" si="2"/>
        <v>L.A.’S Finest</v>
      </c>
      <c r="S751" s="5" t="str">
        <f>IFERROR(__xludf.DUMMYFUNCTION("""COMPUTED_VALUE"""),"Bad Boy Billionaires: India")</f>
        <v>Bad Boy Billionaires: India</v>
      </c>
      <c r="U751" s="5" t="str">
        <f>IFERROR(__xludf.DUMMYFUNCTION("""COMPUTED_VALUE"""),"Pablo Larraín")</f>
        <v>Pablo Larraín</v>
      </c>
      <c r="V751" s="5" t="s">
        <v>4580</v>
      </c>
      <c r="W751" s="5" t="str">
        <f t="shared" si="3"/>
        <v>Chiaki Kon</v>
      </c>
      <c r="X751" s="5">
        <f t="shared" si="4"/>
        <v>1</v>
      </c>
      <c r="Y751" s="5" t="str">
        <f>IFERROR(__xludf.DUMMYFUNCTION("REGEXEXTRACT(J751, ""^\d+"")"),"2")</f>
        <v>2</v>
      </c>
      <c r="Z751" s="5" t="str">
        <f>IFERROR(__xludf.DUMMYFUNCTION("REGEXEXTRACT(J751, ""[A-Za-z ]+$"")")," Seasons")</f>
        <v> Seasons</v>
      </c>
      <c r="AA751" s="5" t="str">
        <f>IFERROR(__xludf.DUMMYFUNCTION("IF(REGEXMATCH(Z751, ""Season""), ""TV Show"", ""Movie"")"),"TV Show")</f>
        <v>TV Show</v>
      </c>
    </row>
    <row r="752">
      <c r="A752" s="1" t="s">
        <v>4581</v>
      </c>
      <c r="B752" s="1" t="s">
        <v>27</v>
      </c>
      <c r="C752" s="1" t="s">
        <v>4582</v>
      </c>
      <c r="D752" s="1" t="s">
        <v>4583</v>
      </c>
      <c r="E752" s="1" t="s">
        <v>4584</v>
      </c>
      <c r="F752" s="1" t="s">
        <v>4585</v>
      </c>
      <c r="G752" s="1" t="s">
        <v>4564</v>
      </c>
      <c r="H752" s="1">
        <v>2021.0</v>
      </c>
      <c r="I752" s="1" t="s">
        <v>42</v>
      </c>
      <c r="J752" s="1" t="s">
        <v>247</v>
      </c>
      <c r="K752" s="1" t="s">
        <v>89</v>
      </c>
      <c r="L752" s="1" t="s">
        <v>4586</v>
      </c>
      <c r="M752" s="2" t="s">
        <v>12</v>
      </c>
      <c r="N752" s="4">
        <f t="shared" si="1"/>
        <v>44356</v>
      </c>
      <c r="O752" s="5" t="str">
        <f>IFERROR(__xludf.DUMMYFUNCTION("IF(REGEXMATCH(TRIM(I752), ""^\d+\s*min""), ""Unclassified"", IF(I752 = """", ""NR"", I752))"),"TV-MA")</f>
        <v>TV-MA</v>
      </c>
      <c r="R752" s="5" t="str">
        <f t="shared" si="2"/>
        <v>Tragic Jungle</v>
      </c>
      <c r="S752" s="5" t="str">
        <f>IFERROR(__xludf.DUMMYFUNCTION("""COMPUTED_VALUE"""),"Bad Boys")</f>
        <v>Bad Boys</v>
      </c>
      <c r="U752" s="5" t="str">
        <f>IFERROR(__xludf.DUMMYFUNCTION("""COMPUTED_VALUE"""),"John Erick Dowdle")</f>
        <v>John Erick Dowdle</v>
      </c>
      <c r="V752" s="5" t="s">
        <v>4587</v>
      </c>
      <c r="W752" s="5" t="str">
        <f t="shared" si="3"/>
        <v>Chinaza Onuzo</v>
      </c>
      <c r="X752" s="5">
        <f t="shared" si="4"/>
        <v>1</v>
      </c>
      <c r="Y752" s="5" t="str">
        <f>IFERROR(__xludf.DUMMYFUNCTION("REGEXEXTRACT(J752, ""^\d+"")"),"97")</f>
        <v>97</v>
      </c>
      <c r="Z752" s="5" t="str">
        <f>IFERROR(__xludf.DUMMYFUNCTION("REGEXEXTRACT(J752, ""[A-Za-z ]+$"")")," min")</f>
        <v> min</v>
      </c>
      <c r="AA752" s="5" t="str">
        <f>IFERROR(__xludf.DUMMYFUNCTION("IF(REGEXMATCH(Z752, ""Season""), ""TV Show"", ""Movie"")"),"Movie")</f>
        <v>Movie</v>
      </c>
    </row>
    <row r="753">
      <c r="A753" s="1" t="s">
        <v>4588</v>
      </c>
      <c r="B753" s="1" t="s">
        <v>37</v>
      </c>
      <c r="C753" s="1" t="s">
        <v>4589</v>
      </c>
      <c r="E753" s="1" t="s">
        <v>4590</v>
      </c>
      <c r="G753" s="1" t="s">
        <v>4591</v>
      </c>
      <c r="H753" s="1">
        <v>2018.0</v>
      </c>
      <c r="I753" s="1" t="s">
        <v>289</v>
      </c>
      <c r="J753" s="1" t="s">
        <v>43</v>
      </c>
      <c r="K753" s="1" t="s">
        <v>314</v>
      </c>
      <c r="L753" s="1" t="s">
        <v>4592</v>
      </c>
      <c r="M753" s="2" t="s">
        <v>12</v>
      </c>
      <c r="N753" s="4">
        <f t="shared" si="1"/>
        <v>44355</v>
      </c>
      <c r="O753" s="5" t="str">
        <f>IFERROR(__xludf.DUMMYFUNCTION("IF(REGEXMATCH(TRIM(I753), ""^\d+\s*min""), ""Unclassified"", IF(I753 = """", ""NR"", I753))"),"TV-Y7")</f>
        <v>TV-Y7</v>
      </c>
      <c r="R753" s="5" t="str">
        <f t="shared" si="2"/>
        <v>Guru Aur Bhole</v>
      </c>
      <c r="S753" s="5" t="str">
        <f>IFERROR(__xludf.DUMMYFUNCTION("""COMPUTED_VALUE"""),"Bad Boys Ii")</f>
        <v>Bad Boys Ii</v>
      </c>
      <c r="U753" s="5" t="str">
        <f>IFERROR(__xludf.DUMMYFUNCTION("""COMPUTED_VALUE"""),"Jesse Peretz")</f>
        <v>Jesse Peretz</v>
      </c>
      <c r="V753" s="5" t="s">
        <v>2070</v>
      </c>
      <c r="W753" s="5" t="str">
        <f t="shared" si="3"/>
        <v>Chineze Anyaene</v>
      </c>
      <c r="X753" s="5">
        <f t="shared" si="4"/>
        <v>1</v>
      </c>
      <c r="Y753" s="5" t="str">
        <f>IFERROR(__xludf.DUMMYFUNCTION("REGEXEXTRACT(J753, ""^\d+"")"),"2")</f>
        <v>2</v>
      </c>
      <c r="Z753" s="5" t="str">
        <f>IFERROR(__xludf.DUMMYFUNCTION("REGEXEXTRACT(J753, ""[A-Za-z ]+$"")")," Seasons")</f>
        <v> Seasons</v>
      </c>
      <c r="AA753" s="5" t="str">
        <f>IFERROR(__xludf.DUMMYFUNCTION("IF(REGEXMATCH(Z753, ""Season""), ""TV Show"", ""Movie"")"),"TV Show")</f>
        <v>TV Show</v>
      </c>
    </row>
    <row r="754">
      <c r="A754" s="1" t="s">
        <v>4593</v>
      </c>
      <c r="B754" s="1" t="s">
        <v>27</v>
      </c>
      <c r="C754" s="1" t="s">
        <v>4594</v>
      </c>
      <c r="D754" s="1" t="s">
        <v>1350</v>
      </c>
      <c r="E754" s="1" t="s">
        <v>4595</v>
      </c>
      <c r="F754" s="1" t="s">
        <v>692</v>
      </c>
      <c r="G754" s="1" t="s">
        <v>4596</v>
      </c>
      <c r="H754" s="1">
        <v>2014.0</v>
      </c>
      <c r="I754" s="1" t="s">
        <v>32</v>
      </c>
      <c r="J754" s="1" t="s">
        <v>106</v>
      </c>
      <c r="K754" s="1" t="s">
        <v>3505</v>
      </c>
      <c r="L754" s="1" t="s">
        <v>4597</v>
      </c>
      <c r="M754" s="2" t="s">
        <v>12</v>
      </c>
      <c r="N754" s="4">
        <f t="shared" si="1"/>
        <v>44354</v>
      </c>
      <c r="O754" s="5" t="str">
        <f>IFERROR(__xludf.DUMMYFUNCTION("IF(REGEXMATCH(TRIM(I754), ""^\d+\s*min""), ""Unclassified"", IF(I754 = """", ""NR"", I754))"),"PG-13")</f>
        <v>PG-13</v>
      </c>
      <c r="R754" s="5" t="str">
        <f t="shared" si="2"/>
        <v>Vampire Academy</v>
      </c>
      <c r="S754" s="5" t="str">
        <f>IFERROR(__xludf.DUMMYFUNCTION("""COMPUTED_VALUE"""),"Bad Day For The Cut")</f>
        <v>Bad Day For The Cut</v>
      </c>
      <c r="U754" s="5" t="str">
        <f>IFERROR(__xludf.DUMMYFUNCTION("""COMPUTED_VALUE"""),"Ribhu Dasgupta")</f>
        <v>Ribhu Dasgupta</v>
      </c>
      <c r="V754" s="5" t="s">
        <v>4598</v>
      </c>
      <c r="W754" s="5" t="str">
        <f t="shared" si="3"/>
        <v>Chito S. Roño</v>
      </c>
      <c r="X754" s="5">
        <f t="shared" si="4"/>
        <v>2</v>
      </c>
      <c r="Y754" s="5" t="str">
        <f>IFERROR(__xludf.DUMMYFUNCTION("REGEXEXTRACT(J754, ""^\d+"")"),"104")</f>
        <v>104</v>
      </c>
      <c r="Z754" s="5" t="str">
        <f>IFERROR(__xludf.DUMMYFUNCTION("REGEXEXTRACT(J754, ""[A-Za-z ]+$"")")," min")</f>
        <v> min</v>
      </c>
      <c r="AA754" s="5" t="str">
        <f>IFERROR(__xludf.DUMMYFUNCTION("IF(REGEXMATCH(Z754, ""Season""), ""TV Show"", ""Movie"")"),"Movie")</f>
        <v>Movie</v>
      </c>
    </row>
    <row r="755">
      <c r="A755" s="1" t="s">
        <v>4599</v>
      </c>
      <c r="B755" s="1" t="s">
        <v>37</v>
      </c>
      <c r="C755" s="1" t="s">
        <v>4600</v>
      </c>
      <c r="E755" s="1" t="s">
        <v>4601</v>
      </c>
      <c r="F755" s="1" t="s">
        <v>1837</v>
      </c>
      <c r="G755" s="1" t="s">
        <v>4602</v>
      </c>
      <c r="H755" s="1">
        <v>2007.0</v>
      </c>
      <c r="I755" s="1" t="s">
        <v>42</v>
      </c>
      <c r="J755" s="1" t="s">
        <v>51</v>
      </c>
      <c r="K755" s="1" t="s">
        <v>1822</v>
      </c>
      <c r="L755" s="1" t="s">
        <v>4603</v>
      </c>
      <c r="M755" s="2" t="s">
        <v>12</v>
      </c>
      <c r="N755" s="4">
        <f t="shared" si="1"/>
        <v>44353</v>
      </c>
      <c r="O755" s="5" t="str">
        <f>IFERROR(__xludf.DUMMYFUNCTION("IF(REGEXMATCH(TRIM(I755), ""^\d+\s*min""), ""Unclassified"", IF(I755 = """", ""NR"", I755))"),"TV-MA")</f>
        <v>TV-MA</v>
      </c>
      <c r="R755" s="5" t="str">
        <f t="shared" si="2"/>
        <v>Newly Rich, Newly Poor</v>
      </c>
      <c r="S755" s="5" t="str">
        <f>IFERROR(__xludf.DUMMYFUNCTION("""COMPUTED_VALUE"""),"Bad Education")</f>
        <v>Bad Education</v>
      </c>
      <c r="U755" s="5" t="str">
        <f>IFERROR(__xludf.DUMMYFUNCTION("""COMPUTED_VALUE"""),"Rizki Balki")</f>
        <v>Rizki Balki</v>
      </c>
      <c r="V755" s="5" t="s">
        <v>4604</v>
      </c>
      <c r="W755" s="5" t="str">
        <f t="shared" si="3"/>
        <v>Chiwetel Ejiofor</v>
      </c>
      <c r="X755" s="5">
        <f t="shared" si="4"/>
        <v>1</v>
      </c>
      <c r="Y755" s="5" t="str">
        <f>IFERROR(__xludf.DUMMYFUNCTION("REGEXEXTRACT(J755, ""^\d+"")"),"1")</f>
        <v>1</v>
      </c>
      <c r="Z755" s="5" t="str">
        <f>IFERROR(__xludf.DUMMYFUNCTION("REGEXEXTRACT(J755, ""[A-Za-z ]+$"")")," Season")</f>
        <v> Season</v>
      </c>
      <c r="AA755" s="5" t="str">
        <f>IFERROR(__xludf.DUMMYFUNCTION("IF(REGEXMATCH(Z755, ""Season""), ""TV Show"", ""Movie"")"),"TV Show")</f>
        <v>TV Show</v>
      </c>
    </row>
    <row r="756">
      <c r="A756" s="1" t="s">
        <v>4605</v>
      </c>
      <c r="B756" s="1" t="s">
        <v>27</v>
      </c>
      <c r="C756" s="1" t="s">
        <v>4606</v>
      </c>
      <c r="D756" s="1" t="s">
        <v>4607</v>
      </c>
      <c r="E756" s="1" t="s">
        <v>4608</v>
      </c>
      <c r="F756" s="1" t="s">
        <v>686</v>
      </c>
      <c r="G756" s="1" t="s">
        <v>4609</v>
      </c>
      <c r="H756" s="1">
        <v>2018.0</v>
      </c>
      <c r="I756" s="1" t="s">
        <v>378</v>
      </c>
      <c r="J756" s="1" t="s">
        <v>297</v>
      </c>
      <c r="K756" s="1" t="s">
        <v>1320</v>
      </c>
      <c r="L756" s="1" t="s">
        <v>4610</v>
      </c>
      <c r="M756" s="2" t="s">
        <v>12</v>
      </c>
      <c r="N756" s="4">
        <f t="shared" si="1"/>
        <v>44352</v>
      </c>
      <c r="O756" s="5" t="str">
        <f>IFERROR(__xludf.DUMMYFUNCTION("IF(REGEXMATCH(TRIM(I756), ""^\d+\s*min""), ""Unclassified"", IF(I756 = """", ""NR"", I756))"),"R")</f>
        <v>R</v>
      </c>
      <c r="R756" s="5" t="str">
        <f t="shared" si="2"/>
        <v>A Private War</v>
      </c>
      <c r="S756" s="5" t="str">
        <f>IFERROR(__xludf.DUMMYFUNCTION("""COMPUTED_VALUE"""),"Bad Genius")</f>
        <v>Bad Genius</v>
      </c>
      <c r="U756" s="5" t="str">
        <f>IFERROR(__xludf.DUMMYFUNCTION("""COMPUTED_VALUE"""),"Shunsuke Kariyama")</f>
        <v>Shunsuke Kariyama</v>
      </c>
      <c r="V756" s="5" t="s">
        <v>4611</v>
      </c>
      <c r="W756" s="5" t="str">
        <f t="shared" si="3"/>
        <v>Cho Il</v>
      </c>
      <c r="X756" s="5">
        <f t="shared" si="4"/>
        <v>1</v>
      </c>
      <c r="Y756" s="5" t="str">
        <f>IFERROR(__xludf.DUMMYFUNCTION("REGEXEXTRACT(J756, ""^\d+"")"),"110")</f>
        <v>110</v>
      </c>
      <c r="Z756" s="5" t="str">
        <f>IFERROR(__xludf.DUMMYFUNCTION("REGEXEXTRACT(J756, ""[A-Za-z ]+$"")")," min")</f>
        <v> min</v>
      </c>
      <c r="AA756" s="5" t="str">
        <f>IFERROR(__xludf.DUMMYFUNCTION("IF(REGEXMATCH(Z756, ""Season""), ""TV Show"", ""Movie"")"),"Movie")</f>
        <v>Movie</v>
      </c>
    </row>
    <row r="757">
      <c r="A757" s="1" t="s">
        <v>4612</v>
      </c>
      <c r="B757" s="1" t="s">
        <v>27</v>
      </c>
      <c r="C757" s="1" t="s">
        <v>4613</v>
      </c>
      <c r="E757" s="1" t="s">
        <v>4614</v>
      </c>
      <c r="F757" s="1" t="s">
        <v>4615</v>
      </c>
      <c r="G757" s="1" t="s">
        <v>4609</v>
      </c>
      <c r="H757" s="1">
        <v>2021.0</v>
      </c>
      <c r="I757" s="1" t="s">
        <v>506</v>
      </c>
      <c r="J757" s="1" t="s">
        <v>207</v>
      </c>
      <c r="K757" s="1" t="s">
        <v>4616</v>
      </c>
      <c r="L757" s="1" t="s">
        <v>4617</v>
      </c>
      <c r="M757" s="2" t="s">
        <v>12</v>
      </c>
      <c r="N757" s="4">
        <f t="shared" si="1"/>
        <v>44352</v>
      </c>
      <c r="O757" s="5" t="str">
        <f>IFERROR(__xludf.DUMMYFUNCTION("IF(REGEXMATCH(TRIM(I757), ""^\d+\s*min""), ""Unclassified"", IF(I757 = """", ""NR"", I757))"),"TV-G")</f>
        <v>TV-G</v>
      </c>
      <c r="R757" s="5" t="str">
        <f t="shared" si="2"/>
        <v>Kitty Love: An Homage To Cats</v>
      </c>
      <c r="S757" s="5" t="str">
        <f>IFERROR(__xludf.DUMMYFUNCTION("""COMPUTED_VALUE"""),"Bad Grandpa .5")</f>
        <v>Bad Grandpa .5</v>
      </c>
      <c r="U757" s="5" t="str">
        <f>IFERROR(__xludf.DUMMYFUNCTION("""COMPUTED_VALUE"""),"Jeferson De")</f>
        <v>Jeferson De</v>
      </c>
      <c r="V757" s="5" t="s">
        <v>4618</v>
      </c>
      <c r="W757" s="5" t="str">
        <f t="shared" si="3"/>
        <v>Cho Li, Chen Hung-Yi, Weica Wang, Liu Bang-Yao, Lin Guan-Fu, Shen Chi, Yc Tom Lee</v>
      </c>
      <c r="X757" s="5">
        <f t="shared" si="4"/>
        <v>1</v>
      </c>
      <c r="Y757" s="5" t="str">
        <f>IFERROR(__xludf.DUMMYFUNCTION("REGEXEXTRACT(J757, ""^\d+"")"),"61")</f>
        <v>61</v>
      </c>
      <c r="Z757" s="5" t="str">
        <f>IFERROR(__xludf.DUMMYFUNCTION("REGEXEXTRACT(J757, ""[A-Za-z ]+$"")")," min")</f>
        <v> min</v>
      </c>
      <c r="AA757" s="5" t="str">
        <f>IFERROR(__xludf.DUMMYFUNCTION("IF(REGEXMATCH(Z757, ""Season""), ""TV Show"", ""Movie"")"),"Movie")</f>
        <v>Movie</v>
      </c>
    </row>
    <row r="758">
      <c r="A758" s="1" t="s">
        <v>4619</v>
      </c>
      <c r="B758" s="1" t="s">
        <v>27</v>
      </c>
      <c r="C758" s="1" t="s">
        <v>4620</v>
      </c>
      <c r="D758" s="1" t="s">
        <v>4621</v>
      </c>
      <c r="E758" s="1" t="s">
        <v>4622</v>
      </c>
      <c r="F758" s="1" t="s">
        <v>400</v>
      </c>
      <c r="G758" s="1" t="s">
        <v>4609</v>
      </c>
      <c r="H758" s="1">
        <v>2020.0</v>
      </c>
      <c r="I758" s="1" t="s">
        <v>42</v>
      </c>
      <c r="J758" s="1" t="s">
        <v>357</v>
      </c>
      <c r="K758" s="1" t="s">
        <v>679</v>
      </c>
      <c r="L758" s="1" t="s">
        <v>4623</v>
      </c>
      <c r="M758" s="2" t="s">
        <v>12</v>
      </c>
      <c r="N758" s="4">
        <f t="shared" si="1"/>
        <v>44352</v>
      </c>
      <c r="O758" s="5" t="str">
        <f>IFERROR(__xludf.DUMMYFUNCTION("IF(REGEXMATCH(TRIM(I758), ""^\d+\s*min""), ""Unclassified"", IF(I758 = """", ""NR"", I758))"),"TV-MA")</f>
        <v>TV-MA</v>
      </c>
      <c r="R758" s="5" t="str">
        <f t="shared" si="2"/>
        <v>Small Chops</v>
      </c>
      <c r="S758" s="5" t="str">
        <f>IFERROR(__xludf.DUMMYFUNCTION("""COMPUTED_VALUE"""),"Bad Guys")</f>
        <v>Bad Guys</v>
      </c>
      <c r="U758" s="5" t="str">
        <f>IFERROR(__xludf.DUMMYFUNCTION("""COMPUTED_VALUE"""),"Barry Avrich")</f>
        <v>Barry Avrich</v>
      </c>
      <c r="V758" s="5" t="s">
        <v>4624</v>
      </c>
      <c r="W758" s="5" t="str">
        <f t="shared" si="3"/>
        <v>Choi Jin-Seong</v>
      </c>
      <c r="X758" s="5">
        <f t="shared" si="4"/>
        <v>1</v>
      </c>
      <c r="Y758" s="5" t="str">
        <f>IFERROR(__xludf.DUMMYFUNCTION("REGEXEXTRACT(J758, ""^\d+"")"),"98")</f>
        <v>98</v>
      </c>
      <c r="Z758" s="5" t="str">
        <f>IFERROR(__xludf.DUMMYFUNCTION("REGEXEXTRACT(J758, ""[A-Za-z ]+$"")")," min")</f>
        <v> min</v>
      </c>
      <c r="AA758" s="5" t="str">
        <f>IFERROR(__xludf.DUMMYFUNCTION("IF(REGEXMATCH(Z758, ""Season""), ""TV Show"", ""Movie"")"),"Movie")</f>
        <v>Movie</v>
      </c>
    </row>
    <row r="759">
      <c r="A759" s="1" t="s">
        <v>4625</v>
      </c>
      <c r="B759" s="1" t="s">
        <v>27</v>
      </c>
      <c r="C759" s="1" t="s">
        <v>4626</v>
      </c>
      <c r="D759" s="1" t="s">
        <v>4627</v>
      </c>
      <c r="E759" s="1" t="s">
        <v>4628</v>
      </c>
      <c r="F759" s="1" t="s">
        <v>30</v>
      </c>
      <c r="G759" s="1" t="s">
        <v>4629</v>
      </c>
      <c r="H759" s="1">
        <v>2021.0</v>
      </c>
      <c r="I759" s="1" t="s">
        <v>136</v>
      </c>
      <c r="J759" s="1" t="s">
        <v>2699</v>
      </c>
      <c r="K759" s="1" t="s">
        <v>34</v>
      </c>
      <c r="L759" s="1" t="s">
        <v>4630</v>
      </c>
      <c r="M759" s="2" t="s">
        <v>12</v>
      </c>
      <c r="N759" s="4">
        <f t="shared" si="1"/>
        <v>44351</v>
      </c>
      <c r="O759" s="5" t="str">
        <f>IFERROR(__xludf.DUMMYFUNCTION("IF(REGEXMATCH(TRIM(I759), ""^\d+\s*min""), ""Unclassified"", IF(I759 = """", ""NR"", I759))"),"TV-PG")</f>
        <v>TV-PG</v>
      </c>
      <c r="R759" s="5" t="str">
        <f t="shared" si="2"/>
        <v>Breaking Boundaries: The Science Of Our Planet</v>
      </c>
      <c r="S759" s="5" t="str">
        <f>IFERROR(__xludf.DUMMYFUNCTION("""COMPUTED_VALUE"""),"Bad Guys: Vile City")</f>
        <v>Bad Guys: Vile City</v>
      </c>
      <c r="U759" s="5" t="str">
        <f>IFERROR(__xludf.DUMMYFUNCTION("""COMPUTED_VALUE"""),"David Tryhorn, Ben Nicholas")</f>
        <v>David Tryhorn, Ben Nicholas</v>
      </c>
      <c r="V759" s="5" t="s">
        <v>3548</v>
      </c>
      <c r="W759" s="5" t="str">
        <f t="shared" si="3"/>
        <v>Chow Hin Yeung Roy</v>
      </c>
      <c r="X759" s="5">
        <f t="shared" si="4"/>
        <v>1</v>
      </c>
      <c r="Y759" s="5" t="str">
        <f>IFERROR(__xludf.DUMMYFUNCTION("REGEXEXTRACT(J759, ""^\d+"")"),"74")</f>
        <v>74</v>
      </c>
      <c r="Z759" s="5" t="str">
        <f>IFERROR(__xludf.DUMMYFUNCTION("REGEXEXTRACT(J759, ""[A-Za-z ]+$"")")," min")</f>
        <v> min</v>
      </c>
      <c r="AA759" s="5" t="str">
        <f>IFERROR(__xludf.DUMMYFUNCTION("IF(REGEXMATCH(Z759, ""Season""), ""TV Show"", ""Movie"")"),"Movie")</f>
        <v>Movie</v>
      </c>
    </row>
    <row r="760">
      <c r="A760" s="1" t="s">
        <v>4631</v>
      </c>
      <c r="B760" s="1" t="s">
        <v>37</v>
      </c>
      <c r="C760" s="1" t="s">
        <v>4632</v>
      </c>
      <c r="D760" s="1" t="s">
        <v>1460</v>
      </c>
      <c r="E760" s="1" t="s">
        <v>4633</v>
      </c>
      <c r="F760" s="1" t="s">
        <v>96</v>
      </c>
      <c r="G760" s="1" t="s">
        <v>4629</v>
      </c>
      <c r="H760" s="1">
        <v>2021.0</v>
      </c>
      <c r="I760" s="1" t="s">
        <v>42</v>
      </c>
      <c r="J760" s="1" t="s">
        <v>43</v>
      </c>
      <c r="K760" s="1" t="s">
        <v>4634</v>
      </c>
      <c r="L760" s="1" t="s">
        <v>4635</v>
      </c>
      <c r="M760" s="2" t="s">
        <v>12</v>
      </c>
      <c r="N760" s="4">
        <f t="shared" si="1"/>
        <v>44351</v>
      </c>
      <c r="O760" s="5" t="str">
        <f>IFERROR(__xludf.DUMMYFUNCTION("IF(REGEXMATCH(TRIM(I760), ""^\d+\s*min""), ""Unclassified"", IF(I760 = """", ""NR"", I760))"),"TV-MA")</f>
        <v>TV-MA</v>
      </c>
      <c r="R760" s="5" t="str">
        <f t="shared" si="2"/>
        <v>Feel Good</v>
      </c>
      <c r="S760" s="5" t="str">
        <f>IFERROR(__xludf.DUMMYFUNCTION("""COMPUTED_VALUE"""),"Bad Match")</f>
        <v>Bad Match</v>
      </c>
      <c r="U760" s="5" t="str">
        <f>IFERROR(__xludf.DUMMYFUNCTION("""COMPUTED_VALUE"""),"Tirumala Kishore")</f>
        <v>Tirumala Kishore</v>
      </c>
      <c r="V760" s="5" t="s">
        <v>4515</v>
      </c>
      <c r="W760" s="5" t="str">
        <f t="shared" si="3"/>
        <v>Chris Appelhans</v>
      </c>
      <c r="X760" s="5">
        <f t="shared" si="4"/>
        <v>1</v>
      </c>
      <c r="Y760" s="5" t="str">
        <f>IFERROR(__xludf.DUMMYFUNCTION("REGEXEXTRACT(J760, ""^\d+"")"),"2")</f>
        <v>2</v>
      </c>
      <c r="Z760" s="5" t="str">
        <f>IFERROR(__xludf.DUMMYFUNCTION("REGEXEXTRACT(J760, ""[A-Za-z ]+$"")")," Seasons")</f>
        <v> Seasons</v>
      </c>
      <c r="AA760" s="5" t="str">
        <f>IFERROR(__xludf.DUMMYFUNCTION("IF(REGEXMATCH(Z760, ""Season""), ""TV Show"", ""Movie"")"),"TV Show")</f>
        <v>TV Show</v>
      </c>
    </row>
    <row r="761">
      <c r="A761" s="1" t="s">
        <v>4636</v>
      </c>
      <c r="B761" s="1" t="s">
        <v>27</v>
      </c>
      <c r="C761" s="1" t="s">
        <v>4637</v>
      </c>
      <c r="D761" s="1" t="s">
        <v>4638</v>
      </c>
      <c r="G761" s="1" t="s">
        <v>4629</v>
      </c>
      <c r="H761" s="1">
        <v>2015.0</v>
      </c>
      <c r="I761" s="1" t="s">
        <v>506</v>
      </c>
      <c r="J761" s="1" t="s">
        <v>4639</v>
      </c>
      <c r="K761" s="1" t="s">
        <v>2032</v>
      </c>
      <c r="L761" s="1" t="s">
        <v>4640</v>
      </c>
      <c r="M761" s="2" t="s">
        <v>12</v>
      </c>
      <c r="N761" s="4">
        <f t="shared" si="1"/>
        <v>44351</v>
      </c>
      <c r="O761" s="5" t="str">
        <f>IFERROR(__xludf.DUMMYFUNCTION("IF(REGEXMATCH(TRIM(I761), ""^\d+\s*min""), ""Unclassified"", IF(I761 = """", ""NR"", I761))"),"TV-G")</f>
        <v>TV-G</v>
      </c>
      <c r="R761" s="5" t="str">
        <f t="shared" si="2"/>
        <v>Fireplace 4K: Classic Crackling Fireplace From Fireplace For Your Home</v>
      </c>
      <c r="S761" s="5" t="str">
        <f>IFERROR(__xludf.DUMMYFUNCTION("""COMPUTED_VALUE"""),"Bad Rap")</f>
        <v>Bad Rap</v>
      </c>
      <c r="U761" s="5" t="str">
        <f>IFERROR(__xludf.DUMMYFUNCTION("""COMPUTED_VALUE"""),"Huang Hsin-Yao")</f>
        <v>Huang Hsin-Yao</v>
      </c>
      <c r="V761" s="5" t="s">
        <v>4641</v>
      </c>
      <c r="W761" s="5" t="str">
        <f t="shared" si="3"/>
        <v>Chris Baugh</v>
      </c>
      <c r="X761" s="5">
        <f t="shared" si="4"/>
        <v>1</v>
      </c>
      <c r="Y761" s="5" t="str">
        <f>IFERROR(__xludf.DUMMYFUNCTION("REGEXEXTRACT(J761, ""^\d+"")"),"60")</f>
        <v>60</v>
      </c>
      <c r="Z761" s="5" t="str">
        <f>IFERROR(__xludf.DUMMYFUNCTION("REGEXEXTRACT(J761, ""[A-Za-z ]+$"")")," min")</f>
        <v> min</v>
      </c>
      <c r="AA761" s="5" t="str">
        <f>IFERROR(__xludf.DUMMYFUNCTION("IF(REGEXMATCH(Z761, ""Season""), ""TV Show"", ""Movie"")"),"Movie")</f>
        <v>Movie</v>
      </c>
    </row>
    <row r="762">
      <c r="A762" s="1" t="s">
        <v>4642</v>
      </c>
      <c r="B762" s="1" t="s">
        <v>27</v>
      </c>
      <c r="C762" s="1" t="s">
        <v>4643</v>
      </c>
      <c r="D762" s="1" t="s">
        <v>4638</v>
      </c>
      <c r="G762" s="1" t="s">
        <v>4629</v>
      </c>
      <c r="H762" s="1">
        <v>2015.0</v>
      </c>
      <c r="I762" s="1" t="s">
        <v>506</v>
      </c>
      <c r="J762" s="1" t="s">
        <v>4639</v>
      </c>
      <c r="K762" s="1" t="s">
        <v>2032</v>
      </c>
      <c r="L762" s="1" t="s">
        <v>4644</v>
      </c>
      <c r="M762" s="2" t="s">
        <v>12</v>
      </c>
      <c r="N762" s="4">
        <f t="shared" si="1"/>
        <v>44351</v>
      </c>
      <c r="O762" s="5" t="str">
        <f>IFERROR(__xludf.DUMMYFUNCTION("IF(REGEXMATCH(TRIM(I762), ""^\d+\s*min""), ""Unclassified"", IF(I762 = """", ""NR"", I762))"),"TV-G")</f>
        <v>TV-G</v>
      </c>
      <c r="R762" s="5" t="str">
        <f t="shared" si="2"/>
        <v>Fireplace 4K: Crackling Birchwood From Fireplace For Your Home</v>
      </c>
      <c r="S762" s="5" t="str">
        <f>IFERROR(__xludf.DUMMYFUNCTION("""COMPUTED_VALUE"""),"Bad Seeds")</f>
        <v>Bad Seeds</v>
      </c>
      <c r="U762" s="5" t="str">
        <f>IFERROR(__xludf.DUMMYFUNCTION("""COMPUTED_VALUE"""),"Saron Sakina")</f>
        <v>Saron Sakina</v>
      </c>
      <c r="V762" s="5" t="s">
        <v>4645</v>
      </c>
      <c r="W762" s="5" t="str">
        <f t="shared" si="3"/>
        <v>Chris Bell</v>
      </c>
      <c r="X762" s="5">
        <f t="shared" si="4"/>
        <v>1</v>
      </c>
      <c r="Y762" s="5" t="str">
        <f>IFERROR(__xludf.DUMMYFUNCTION("REGEXEXTRACT(J762, ""^\d+"")"),"60")</f>
        <v>60</v>
      </c>
      <c r="Z762" s="5" t="str">
        <f>IFERROR(__xludf.DUMMYFUNCTION("REGEXEXTRACT(J762, ""[A-Za-z ]+$"")")," min")</f>
        <v> min</v>
      </c>
      <c r="AA762" s="5" t="str">
        <f>IFERROR(__xludf.DUMMYFUNCTION("IF(REGEXMATCH(Z762, ""Season""), ""TV Show"", ""Movie"")"),"Movie")</f>
        <v>Movie</v>
      </c>
    </row>
    <row r="763">
      <c r="A763" s="1" t="s">
        <v>4646</v>
      </c>
      <c r="B763" s="1" t="s">
        <v>37</v>
      </c>
      <c r="C763" s="1" t="s">
        <v>4647</v>
      </c>
      <c r="G763" s="1" t="s">
        <v>4629</v>
      </c>
      <c r="H763" s="1">
        <v>2021.0</v>
      </c>
      <c r="I763" s="1" t="s">
        <v>136</v>
      </c>
      <c r="J763" s="1" t="s">
        <v>51</v>
      </c>
      <c r="K763" s="1" t="s">
        <v>736</v>
      </c>
      <c r="L763" s="1" t="s">
        <v>4648</v>
      </c>
      <c r="M763" s="2" t="s">
        <v>12</v>
      </c>
      <c r="N763" s="4">
        <f t="shared" si="1"/>
        <v>44351</v>
      </c>
      <c r="O763" s="5" t="str">
        <f>IFERROR(__xludf.DUMMYFUNCTION("IF(REGEXMATCH(TRIM(I763), ""^\d+\s*min""), ""Unclassified"", IF(I763 = """", ""NR"", I763))"),"TV-PG")</f>
        <v>TV-PG</v>
      </c>
      <c r="R763" s="5" t="str">
        <f t="shared" si="2"/>
        <v>Human: The World Within</v>
      </c>
      <c r="S763" s="5" t="str">
        <f>IFERROR(__xludf.DUMMYFUNCTION("""COMPUTED_VALUE"""),"Bad Trip")</f>
        <v>Bad Trip</v>
      </c>
      <c r="U763" s="5" t="str">
        <f>IFERROR(__xludf.DUMMYFUNCTION("""COMPUTED_VALUE"""),"J Blakeson")</f>
        <v>J Blakeson</v>
      </c>
      <c r="V763" s="5" t="s">
        <v>4649</v>
      </c>
      <c r="W763" s="5" t="str">
        <f t="shared" si="3"/>
        <v>Chris Bell, Josh Alexander, Greg Young</v>
      </c>
      <c r="X763" s="5">
        <f t="shared" si="4"/>
        <v>1</v>
      </c>
      <c r="Y763" s="5" t="str">
        <f>IFERROR(__xludf.DUMMYFUNCTION("REGEXEXTRACT(J763, ""^\d+"")"),"1")</f>
        <v>1</v>
      </c>
      <c r="Z763" s="5" t="str">
        <f>IFERROR(__xludf.DUMMYFUNCTION("REGEXEXTRACT(J763, ""[A-Za-z ]+$"")")," Season")</f>
        <v> Season</v>
      </c>
      <c r="AA763" s="5" t="str">
        <f>IFERROR(__xludf.DUMMYFUNCTION("IF(REGEXMATCH(Z763, ""Season""), ""TV Show"", ""Movie"")"),"TV Show")</f>
        <v>TV Show</v>
      </c>
    </row>
    <row r="764">
      <c r="A764" s="1" t="s">
        <v>4650</v>
      </c>
      <c r="B764" s="1" t="s">
        <v>27</v>
      </c>
      <c r="C764" s="1" t="s">
        <v>4651</v>
      </c>
      <c r="D764" s="1" t="s">
        <v>4652</v>
      </c>
      <c r="E764" s="1" t="s">
        <v>4653</v>
      </c>
      <c r="F764" s="1" t="s">
        <v>749</v>
      </c>
      <c r="G764" s="1" t="s">
        <v>4629</v>
      </c>
      <c r="H764" s="1">
        <v>2021.0</v>
      </c>
      <c r="I764" s="1" t="s">
        <v>97</v>
      </c>
      <c r="J764" s="1" t="s">
        <v>238</v>
      </c>
      <c r="K764" s="1" t="s">
        <v>215</v>
      </c>
      <c r="L764" s="1" t="s">
        <v>4654</v>
      </c>
      <c r="M764" s="2" t="s">
        <v>12</v>
      </c>
      <c r="N764" s="4">
        <f t="shared" si="1"/>
        <v>44351</v>
      </c>
      <c r="O764" s="5" t="str">
        <f>IFERROR(__xludf.DUMMYFUNCTION("IF(REGEXMATCH(TRIM(I764), ""^\d+\s*min""), ""Unclassified"", IF(I764 = """", ""NR"", I764))"),"TV-14")</f>
        <v>TV-14</v>
      </c>
      <c r="R764" s="5" t="str">
        <f t="shared" si="2"/>
        <v>Sweet &amp; Sour</v>
      </c>
      <c r="S764" s="5" t="str">
        <f>IFERROR(__xludf.DUMMYFUNCTION("""COMPUTED_VALUE"""),"Badalte Rishton Ki Dastaan")</f>
        <v>Badalte Rishton Ki Dastaan</v>
      </c>
      <c r="U764" s="5" t="str">
        <f>IFERROR(__xludf.DUMMYFUNCTION("""COMPUTED_VALUE"""),"Khalid Rahman")</f>
        <v>Khalid Rahman</v>
      </c>
      <c r="V764" s="5" t="s">
        <v>4655</v>
      </c>
      <c r="W764" s="5" t="str">
        <f t="shared" si="3"/>
        <v>Chris Blake</v>
      </c>
      <c r="X764" s="5">
        <f t="shared" si="4"/>
        <v>1</v>
      </c>
      <c r="Y764" s="5" t="str">
        <f>IFERROR(__xludf.DUMMYFUNCTION("REGEXEXTRACT(J764, ""^\d+"")"),"103")</f>
        <v>103</v>
      </c>
      <c r="Z764" s="5" t="str">
        <f>IFERROR(__xludf.DUMMYFUNCTION("REGEXEXTRACT(J764, ""[A-Za-z ]+$"")")," min")</f>
        <v> min</v>
      </c>
      <c r="AA764" s="5" t="str">
        <f>IFERROR(__xludf.DUMMYFUNCTION("IF(REGEXMATCH(Z764, ""Season""), ""TV Show"", ""Movie"")"),"Movie")</f>
        <v>Movie</v>
      </c>
    </row>
    <row r="765">
      <c r="A765" s="1" t="s">
        <v>4656</v>
      </c>
      <c r="B765" s="1" t="s">
        <v>37</v>
      </c>
      <c r="C765" s="1" t="s">
        <v>4657</v>
      </c>
      <c r="E765" s="1" t="s">
        <v>4658</v>
      </c>
      <c r="F765" s="1" t="s">
        <v>30</v>
      </c>
      <c r="G765" s="1" t="s">
        <v>4629</v>
      </c>
      <c r="H765" s="1">
        <v>2021.0</v>
      </c>
      <c r="I765" s="1" t="s">
        <v>97</v>
      </c>
      <c r="J765" s="1" t="s">
        <v>51</v>
      </c>
      <c r="K765" s="1" t="s">
        <v>3223</v>
      </c>
      <c r="L765" s="1" t="s">
        <v>4659</v>
      </c>
      <c r="M765" s="2" t="s">
        <v>12</v>
      </c>
      <c r="N765" s="4">
        <f t="shared" si="1"/>
        <v>44351</v>
      </c>
      <c r="O765" s="5" t="str">
        <f>IFERROR(__xludf.DUMMYFUNCTION("IF(REGEXMATCH(TRIM(I765), ""^\d+\s*min""), ""Unclassified"", IF(I765 = """", ""NR"", I765))"),"TV-14")</f>
        <v>TV-14</v>
      </c>
      <c r="R765" s="5" t="str">
        <f t="shared" si="2"/>
        <v>Sweet Tooth</v>
      </c>
      <c r="S765" s="5" t="str">
        <f>IFERROR(__xludf.DUMMYFUNCTION("""COMPUTED_VALUE"""),"Badha")</f>
        <v>Badha</v>
      </c>
      <c r="U765" s="5" t="str">
        <f>IFERROR(__xludf.DUMMYFUNCTION("""COMPUTED_VALUE"""),"Luis Ara")</f>
        <v>Luis Ara</v>
      </c>
      <c r="V765" s="5" t="s">
        <v>4660</v>
      </c>
      <c r="W765" s="5" t="str">
        <f t="shared" si="3"/>
        <v>Chris Bolan</v>
      </c>
      <c r="X765" s="5">
        <f t="shared" si="4"/>
        <v>1</v>
      </c>
      <c r="Y765" s="5" t="str">
        <f>IFERROR(__xludf.DUMMYFUNCTION("REGEXEXTRACT(J765, ""^\d+"")"),"1")</f>
        <v>1</v>
      </c>
      <c r="Z765" s="5" t="str">
        <f>IFERROR(__xludf.DUMMYFUNCTION("REGEXEXTRACT(J765, ""[A-Za-z ]+$"")")," Season")</f>
        <v> Season</v>
      </c>
      <c r="AA765" s="5" t="str">
        <f>IFERROR(__xludf.DUMMYFUNCTION("IF(REGEXMATCH(Z765, ""Season""), ""TV Show"", ""Movie"")"),"TV Show")</f>
        <v>TV Show</v>
      </c>
    </row>
    <row r="766">
      <c r="A766" s="1" t="s">
        <v>4661</v>
      </c>
      <c r="B766" s="1" t="s">
        <v>27</v>
      </c>
      <c r="C766" s="1" t="s">
        <v>4662</v>
      </c>
      <c r="D766" s="1" t="s">
        <v>4663</v>
      </c>
      <c r="E766" s="1" t="s">
        <v>4664</v>
      </c>
      <c r="F766" s="1" t="s">
        <v>40</v>
      </c>
      <c r="G766" s="1" t="s">
        <v>4629</v>
      </c>
      <c r="H766" s="1">
        <v>2021.0</v>
      </c>
      <c r="I766" s="1" t="s">
        <v>97</v>
      </c>
      <c r="J766" s="1" t="s">
        <v>170</v>
      </c>
      <c r="K766" s="1" t="s">
        <v>215</v>
      </c>
      <c r="L766" s="1" t="s">
        <v>4665</v>
      </c>
      <c r="M766" s="2" t="s">
        <v>12</v>
      </c>
      <c r="N766" s="4">
        <f t="shared" si="1"/>
        <v>44351</v>
      </c>
      <c r="O766" s="5" t="str">
        <f>IFERROR(__xludf.DUMMYFUNCTION("IF(REGEXMATCH(TRIM(I766), ""^\d+\s*min""), ""Unclassified"", IF(I766 = """", ""NR"", I766))"),"TV-14")</f>
        <v>TV-14</v>
      </c>
      <c r="R766" s="5" t="str">
        <f t="shared" si="2"/>
        <v>Trippin' With The Kandasamys</v>
      </c>
      <c r="S766" s="5" t="str">
        <f>IFERROR(__xludf.DUMMYFUNCTION("""COMPUTED_VALUE"""),"Badla")</f>
        <v>Badla</v>
      </c>
      <c r="U766" s="5" t="str">
        <f>IFERROR(__xludf.DUMMYFUNCTION("""COMPUTED_VALUE"""),"Tharun Bhascker Dhaassyam, B. V. Nandini Reddy, Nag Ashwin, Sankalp Reddy")</f>
        <v>Tharun Bhascker Dhaassyam, B. V. Nandini Reddy, Nag Ashwin, Sankalp Reddy</v>
      </c>
      <c r="V766" s="5" t="s">
        <v>4666</v>
      </c>
      <c r="W766" s="5" t="str">
        <f t="shared" si="3"/>
        <v>Chris Bould</v>
      </c>
      <c r="X766" s="5">
        <f t="shared" si="4"/>
        <v>2</v>
      </c>
      <c r="Y766" s="5" t="str">
        <f>IFERROR(__xludf.DUMMYFUNCTION("REGEXEXTRACT(J766, ""^\d+"")"),"94")</f>
        <v>94</v>
      </c>
      <c r="Z766" s="5" t="str">
        <f>IFERROR(__xludf.DUMMYFUNCTION("REGEXEXTRACT(J766, ""[A-Za-z ]+$"")")," min")</f>
        <v> min</v>
      </c>
      <c r="AA766" s="5" t="str">
        <f>IFERROR(__xludf.DUMMYFUNCTION("IF(REGEXMATCH(Z766, ""Season""), ""TV Show"", ""Movie"")"),"Movie")</f>
        <v>Movie</v>
      </c>
    </row>
    <row r="767">
      <c r="A767" s="1" t="s">
        <v>4667</v>
      </c>
      <c r="B767" s="1" t="s">
        <v>27</v>
      </c>
      <c r="C767" s="1" t="s">
        <v>4668</v>
      </c>
      <c r="D767" s="1" t="s">
        <v>4669</v>
      </c>
      <c r="E767" s="1" t="s">
        <v>4670</v>
      </c>
      <c r="F767" s="1" t="s">
        <v>784</v>
      </c>
      <c r="G767" s="1" t="s">
        <v>4629</v>
      </c>
      <c r="H767" s="1">
        <v>2021.0</v>
      </c>
      <c r="I767" s="1" t="s">
        <v>42</v>
      </c>
      <c r="J767" s="1" t="s">
        <v>1243</v>
      </c>
      <c r="K767" s="1" t="s">
        <v>1066</v>
      </c>
      <c r="L767" s="1" t="s">
        <v>4671</v>
      </c>
      <c r="M767" s="2" t="s">
        <v>12</v>
      </c>
      <c r="N767" s="4">
        <f t="shared" si="1"/>
        <v>44351</v>
      </c>
      <c r="O767" s="5" t="str">
        <f>IFERROR(__xludf.DUMMYFUNCTION("IF(REGEXMATCH(TRIM(I767), ""^\d+\s*min""), ""Unclassified"", IF(I767 = """", ""NR"", I767))"),"TV-MA")</f>
        <v>TV-MA</v>
      </c>
      <c r="R767" s="5" t="str">
        <f t="shared" si="2"/>
        <v>Xtreme</v>
      </c>
      <c r="S767" s="5" t="str">
        <f>IFERROR(__xludf.DUMMYFUNCTION("""COMPUTED_VALUE"""),"Badland")</f>
        <v>Badland</v>
      </c>
      <c r="U767" s="5" t="str">
        <f>IFERROR(__xludf.DUMMYFUNCTION("""COMPUTED_VALUE"""),"Prateek Vats")</f>
        <v>Prateek Vats</v>
      </c>
      <c r="V767" s="5" t="s">
        <v>4672</v>
      </c>
      <c r="W767" s="5" t="str">
        <f t="shared" si="3"/>
        <v>Chris Buck, Jennifer Lee, Patrick Osborne, Lauren Macmullan, John Kahrs, Nathan Greno, Byron Howard, Stevie Wermers, Dean Wellins, Kevin Deters, Roger Allers, Mike Gabriel, Mark Henn</v>
      </c>
      <c r="X767" s="5">
        <f t="shared" si="4"/>
        <v>1</v>
      </c>
      <c r="Y767" s="5" t="str">
        <f>IFERROR(__xludf.DUMMYFUNCTION("REGEXEXTRACT(J767, ""^\d+"")"),"112")</f>
        <v>112</v>
      </c>
      <c r="Z767" s="5" t="str">
        <f>IFERROR(__xludf.DUMMYFUNCTION("REGEXEXTRACT(J767, ""[A-Za-z ]+$"")")," min")</f>
        <v> min</v>
      </c>
      <c r="AA767" s="5" t="str">
        <f>IFERROR(__xludf.DUMMYFUNCTION("IF(REGEXMATCH(Z767, ""Season""), ""TV Show"", ""Movie"")"),"Movie")</f>
        <v>Movie</v>
      </c>
    </row>
    <row r="768">
      <c r="A768" s="1" t="s">
        <v>4673</v>
      </c>
      <c r="B768" s="1" t="s">
        <v>27</v>
      </c>
      <c r="C768" s="1" t="s">
        <v>4674</v>
      </c>
      <c r="D768" s="1" t="s">
        <v>1080</v>
      </c>
      <c r="E768" s="1" t="s">
        <v>4675</v>
      </c>
      <c r="F768" s="1" t="s">
        <v>162</v>
      </c>
      <c r="G768" s="1" t="s">
        <v>4676</v>
      </c>
      <c r="H768" s="1">
        <v>2021.0</v>
      </c>
      <c r="I768" s="1" t="s">
        <v>42</v>
      </c>
      <c r="J768" s="1" t="s">
        <v>4677</v>
      </c>
      <c r="K768" s="1" t="s">
        <v>1839</v>
      </c>
      <c r="L768" s="1" t="s">
        <v>4678</v>
      </c>
      <c r="M768" s="2" t="s">
        <v>12</v>
      </c>
      <c r="N768" s="4">
        <f t="shared" si="1"/>
        <v>44350</v>
      </c>
      <c r="O768" s="5" t="str">
        <f>IFERROR(__xludf.DUMMYFUNCTION("IF(REGEXMATCH(TRIM(I768), ""^\d+\s*min""), ""Unclassified"", IF(I768 = """", ""NR"", I768))"),"TV-MA")</f>
        <v>TV-MA</v>
      </c>
      <c r="R768" s="5" t="str">
        <f t="shared" si="2"/>
        <v>Alan Saldaña: Locked Up</v>
      </c>
      <c r="S768" s="5" t="str">
        <f>IFERROR(__xludf.DUMMYFUNCTION("""COMPUTED_VALUE"""),"Baewatch: Parental Guidance")</f>
        <v>Baewatch: Parental Guidance</v>
      </c>
      <c r="U768" s="5" t="str">
        <f>IFERROR(__xludf.DUMMYFUNCTION("""COMPUTED_VALUE"""),"Alex Merkin")</f>
        <v>Alex Merkin</v>
      </c>
      <c r="V768" s="5" t="s">
        <v>4679</v>
      </c>
      <c r="W768" s="5" t="str">
        <f t="shared" si="3"/>
        <v>Chris Buck, Kevin Lima</v>
      </c>
      <c r="X768" s="5">
        <f t="shared" si="4"/>
        <v>1</v>
      </c>
      <c r="Y768" s="5" t="str">
        <f>IFERROR(__xludf.DUMMYFUNCTION("REGEXEXTRACT(J768, ""^\d+"")"),"49")</f>
        <v>49</v>
      </c>
      <c r="Z768" s="5" t="str">
        <f>IFERROR(__xludf.DUMMYFUNCTION("REGEXEXTRACT(J768, ""[A-Za-z ]+$"")")," min")</f>
        <v> min</v>
      </c>
      <c r="AA768" s="5" t="str">
        <f>IFERROR(__xludf.DUMMYFUNCTION("IF(REGEXMATCH(Z768, ""Season""), ""TV Show"", ""Movie"")"),"Movie")</f>
        <v>Movie</v>
      </c>
    </row>
    <row r="769">
      <c r="A769" s="1" t="s">
        <v>4680</v>
      </c>
      <c r="B769" s="1" t="s">
        <v>37</v>
      </c>
      <c r="C769" s="1" t="s">
        <v>4681</v>
      </c>
      <c r="E769" s="1" t="s">
        <v>4682</v>
      </c>
      <c r="F769" s="1" t="s">
        <v>415</v>
      </c>
      <c r="G769" s="1" t="s">
        <v>4676</v>
      </c>
      <c r="H769" s="1">
        <v>2021.0</v>
      </c>
      <c r="I769" s="1" t="s">
        <v>97</v>
      </c>
      <c r="J769" s="1" t="s">
        <v>51</v>
      </c>
      <c r="K769" s="1" t="s">
        <v>1294</v>
      </c>
      <c r="L769" s="1" t="s">
        <v>4683</v>
      </c>
      <c r="M769" s="2" t="s">
        <v>12</v>
      </c>
      <c r="N769" s="4">
        <f t="shared" si="1"/>
        <v>44350</v>
      </c>
      <c r="O769" s="5" t="str">
        <f>IFERROR(__xludf.DUMMYFUNCTION("IF(REGEXMATCH(TRIM(I769), ""^\d+\s*min""), ""Unclassified"", IF(I769 = """", ""NR"", I769))"),"TV-14")</f>
        <v>TV-14</v>
      </c>
      <c r="R769" s="5" t="str">
        <f t="shared" si="2"/>
        <v>Creator'S File: Gold</v>
      </c>
      <c r="S769" s="5" t="str">
        <f>IFERROR(__xludf.DUMMYFUNCTION("""COMPUTED_VALUE"""),"Baggio: The Divine Ponytail")</f>
        <v>Baggio: The Divine Ponytail</v>
      </c>
      <c r="U769" s="5" t="str">
        <f>IFERROR(__xludf.DUMMYFUNCTION("""COMPUTED_VALUE"""),"Ian Cheney")</f>
        <v>Ian Cheney</v>
      </c>
      <c r="V769" s="5" t="s">
        <v>4684</v>
      </c>
      <c r="W769" s="5" t="str">
        <f t="shared" si="3"/>
        <v>Chris Burkard</v>
      </c>
      <c r="X769" s="5">
        <f t="shared" si="4"/>
        <v>1</v>
      </c>
      <c r="Y769" s="5" t="str">
        <f>IFERROR(__xludf.DUMMYFUNCTION("REGEXEXTRACT(J769, ""^\d+"")"),"1")</f>
        <v>1</v>
      </c>
      <c r="Z769" s="5" t="str">
        <f>IFERROR(__xludf.DUMMYFUNCTION("REGEXEXTRACT(J769, ""[A-Za-z ]+$"")")," Season")</f>
        <v> Season</v>
      </c>
      <c r="AA769" s="5" t="str">
        <f>IFERROR(__xludf.DUMMYFUNCTION("IF(REGEXMATCH(Z769, ""Season""), ""TV Show"", ""Movie"")"),"TV Show")</f>
        <v>TV Show</v>
      </c>
    </row>
    <row r="770">
      <c r="A770" s="1" t="s">
        <v>4685</v>
      </c>
      <c r="B770" s="1" t="s">
        <v>27</v>
      </c>
      <c r="C770" s="1" t="s">
        <v>4686</v>
      </c>
      <c r="D770" s="1" t="s">
        <v>4687</v>
      </c>
      <c r="E770" s="1" t="s">
        <v>4688</v>
      </c>
      <c r="F770" s="1" t="s">
        <v>3834</v>
      </c>
      <c r="G770" s="1" t="s">
        <v>4676</v>
      </c>
      <c r="H770" s="1">
        <v>2021.0</v>
      </c>
      <c r="I770" s="1" t="s">
        <v>42</v>
      </c>
      <c r="J770" s="1" t="s">
        <v>264</v>
      </c>
      <c r="K770" s="1" t="s">
        <v>583</v>
      </c>
      <c r="L770" s="1" t="s">
        <v>4689</v>
      </c>
      <c r="M770" s="2" t="s">
        <v>12</v>
      </c>
      <c r="N770" s="4">
        <f t="shared" si="1"/>
        <v>44350</v>
      </c>
      <c r="O770" s="5" t="str">
        <f>IFERROR(__xludf.DUMMYFUNCTION("IF(REGEXMATCH(TRIM(I770), ""^\d+\s*min""), ""Unclassified"", IF(I770 = """", ""NR"", I770))"),"TV-MA")</f>
        <v>TV-MA</v>
      </c>
      <c r="R770" s="5" t="str">
        <f t="shared" si="2"/>
        <v>Dancing Queens</v>
      </c>
      <c r="S770" s="5" t="str">
        <f>IFERROR(__xludf.DUMMYFUNCTION("""COMPUTED_VALUE"""),"Bake Squad")</f>
        <v>Bake Squad</v>
      </c>
      <c r="U770" s="5" t="str">
        <f>IFERROR(__xludf.DUMMYFUNCTION("""COMPUTED_VALUE"""),"Vikram Bhatt")</f>
        <v>Vikram Bhatt</v>
      </c>
      <c r="V770" s="5" t="s">
        <v>4690</v>
      </c>
      <c r="W770" s="5" t="str">
        <f t="shared" si="3"/>
        <v>Chris Columbus</v>
      </c>
      <c r="X770" s="5">
        <f t="shared" si="4"/>
        <v>1</v>
      </c>
      <c r="Y770" s="5" t="str">
        <f>IFERROR(__xludf.DUMMYFUNCTION("REGEXEXTRACT(J770, ""^\d+"")"),"111")</f>
        <v>111</v>
      </c>
      <c r="Z770" s="5" t="str">
        <f>IFERROR(__xludf.DUMMYFUNCTION("REGEXEXTRACT(J770, ""[A-Za-z ]+$"")")," min")</f>
        <v> min</v>
      </c>
      <c r="AA770" s="5" t="str">
        <f>IFERROR(__xludf.DUMMYFUNCTION("IF(REGEXMATCH(Z770, ""Season""), ""TV Show"", ""Movie"")"),"Movie")</f>
        <v>Movie</v>
      </c>
    </row>
    <row r="771">
      <c r="A771" s="1" t="s">
        <v>4691</v>
      </c>
      <c r="B771" s="1" t="s">
        <v>27</v>
      </c>
      <c r="C771" s="1" t="s">
        <v>4692</v>
      </c>
      <c r="D771" s="1" t="s">
        <v>959</v>
      </c>
      <c r="F771" s="1" t="s">
        <v>1815</v>
      </c>
      <c r="G771" s="1" t="s">
        <v>4676</v>
      </c>
      <c r="H771" s="1">
        <v>2020.0</v>
      </c>
      <c r="I771" s="1" t="s">
        <v>506</v>
      </c>
      <c r="J771" s="1" t="s">
        <v>4693</v>
      </c>
      <c r="K771" s="1" t="s">
        <v>156</v>
      </c>
      <c r="L771" s="1" t="s">
        <v>4694</v>
      </c>
      <c r="M771" s="2" t="s">
        <v>12</v>
      </c>
      <c r="N771" s="4">
        <f t="shared" si="1"/>
        <v>44350</v>
      </c>
      <c r="O771" s="5" t="str">
        <f>IFERROR(__xludf.DUMMYFUNCTION("IF(REGEXMATCH(TRIM(I771), ""^\d+\s*min""), ""Unclassified"", IF(I771 = """", ""NR"", I771))"),"TV-G")</f>
        <v>TV-G</v>
      </c>
      <c r="R771" s="5" t="str">
        <f t="shared" si="2"/>
        <v>From Stress To Happiness</v>
      </c>
      <c r="S771" s="5" t="str">
        <f>IFERROR(__xludf.DUMMYFUNCTION("""COMPUTED_VALUE"""),"Baki")</f>
        <v>Baki</v>
      </c>
      <c r="U771" s="5" t="str">
        <f>IFERROR(__xludf.DUMMYFUNCTION("""COMPUTED_VALUE"""),"Dallas Jenkins")</f>
        <v>Dallas Jenkins</v>
      </c>
      <c r="V771" s="5" t="s">
        <v>4695</v>
      </c>
      <c r="W771" s="5" t="str">
        <f t="shared" si="3"/>
        <v>Chris Eigeman</v>
      </c>
      <c r="X771" s="5">
        <f t="shared" si="4"/>
        <v>1</v>
      </c>
      <c r="Y771" s="5" t="str">
        <f>IFERROR(__xludf.DUMMYFUNCTION("REGEXEXTRACT(J771, ""^\d+"")"),"58")</f>
        <v>58</v>
      </c>
      <c r="Z771" s="5" t="str">
        <f>IFERROR(__xludf.DUMMYFUNCTION("REGEXEXTRACT(J771, ""[A-Za-z ]+$"")")," min")</f>
        <v> min</v>
      </c>
      <c r="AA771" s="5" t="str">
        <f>IFERROR(__xludf.DUMMYFUNCTION("IF(REGEXMATCH(Z771, ""Season""), ""TV Show"", ""Movie"")"),"Movie")</f>
        <v>Movie</v>
      </c>
    </row>
    <row r="772">
      <c r="A772" s="1" t="s">
        <v>4696</v>
      </c>
      <c r="B772" s="1" t="s">
        <v>27</v>
      </c>
      <c r="C772" s="1" t="s">
        <v>4697</v>
      </c>
      <c r="D772" s="1" t="s">
        <v>4698</v>
      </c>
      <c r="E772" s="1" t="s">
        <v>4698</v>
      </c>
      <c r="F772" s="1" t="s">
        <v>4557</v>
      </c>
      <c r="G772" s="1" t="s">
        <v>4676</v>
      </c>
      <c r="H772" s="1">
        <v>2021.0</v>
      </c>
      <c r="I772" s="1" t="s">
        <v>97</v>
      </c>
      <c r="J772" s="1" t="s">
        <v>4699</v>
      </c>
      <c r="K772" s="1" t="s">
        <v>2892</v>
      </c>
      <c r="L772" s="1" t="s">
        <v>4700</v>
      </c>
      <c r="M772" s="2" t="s">
        <v>12</v>
      </c>
      <c r="N772" s="4">
        <f t="shared" si="1"/>
        <v>44350</v>
      </c>
      <c r="O772" s="5" t="str">
        <f>IFERROR(__xludf.DUMMYFUNCTION("IF(REGEXMATCH(TRIM(I772), ""^\d+\s*min""), ""Unclassified"", IF(I772 = """", ""NR"", I772))"),"TV-14")</f>
        <v>TV-14</v>
      </c>
      <c r="R772" s="5" t="str">
        <f t="shared" si="2"/>
        <v>Myriam Fares: The Journey</v>
      </c>
      <c r="S772" s="5" t="str">
        <f>IFERROR(__xludf.DUMMYFUNCTION("""COMPUTED_VALUE"""),"Bakugan: Armored Alliance")</f>
        <v>Bakugan: Armored Alliance</v>
      </c>
      <c r="U772" s="5" t="str">
        <f>IFERROR(__xludf.DUMMYFUNCTION("""COMPUTED_VALUE"""),"Damián Romay")</f>
        <v>Damián Romay</v>
      </c>
      <c r="V772" s="5" t="s">
        <v>4701</v>
      </c>
      <c r="W772" s="5" t="str">
        <f t="shared" si="3"/>
        <v>Chris Eneng Enaji</v>
      </c>
      <c r="X772" s="5">
        <f t="shared" si="4"/>
        <v>1</v>
      </c>
      <c r="Y772" s="5" t="str">
        <f>IFERROR(__xludf.DUMMYFUNCTION("REGEXEXTRACT(J772, ""^\d+"")"),"72")</f>
        <v>72</v>
      </c>
      <c r="Z772" s="5" t="str">
        <f>IFERROR(__xludf.DUMMYFUNCTION("REGEXEXTRACT(J772, ""[A-Za-z ]+$"")")," min")</f>
        <v> min</v>
      </c>
      <c r="AA772" s="5" t="str">
        <f>IFERROR(__xludf.DUMMYFUNCTION("IF(REGEXMATCH(Z772, ""Season""), ""TV Show"", ""Movie"")"),"Movie")</f>
        <v>Movie</v>
      </c>
    </row>
    <row r="773">
      <c r="A773" s="1" t="s">
        <v>4702</v>
      </c>
      <c r="B773" s="1" t="s">
        <v>37</v>
      </c>
      <c r="C773" s="1" t="s">
        <v>4703</v>
      </c>
      <c r="D773" s="1" t="s">
        <v>4580</v>
      </c>
      <c r="E773" s="1" t="s">
        <v>4704</v>
      </c>
      <c r="G773" s="1" t="s">
        <v>4676</v>
      </c>
      <c r="H773" s="1">
        <v>2021.0</v>
      </c>
      <c r="I773" s="1" t="s">
        <v>97</v>
      </c>
      <c r="J773" s="1" t="s">
        <v>51</v>
      </c>
      <c r="K773" s="1" t="s">
        <v>1045</v>
      </c>
      <c r="L773" s="1" t="s">
        <v>4705</v>
      </c>
      <c r="M773" s="2" t="s">
        <v>12</v>
      </c>
      <c r="N773" s="4">
        <f t="shared" si="1"/>
        <v>44350</v>
      </c>
      <c r="O773" s="5" t="str">
        <f>IFERROR(__xludf.DUMMYFUNCTION("IF(REGEXMATCH(TRIM(I773), ""^\d+\s*min""), ""Unclassified"", IF(I773 = """", ""NR"", I773))"),"TV-14")</f>
        <v>TV-14</v>
      </c>
      <c r="R773" s="5" t="str">
        <f t="shared" si="2"/>
        <v>Pretty Guardian Sailor Moon Eternal The Movie</v>
      </c>
      <c r="S773" s="5" t="str">
        <f>IFERROR(__xludf.DUMMYFUNCTION("""COMPUTED_VALUE"""),"Bakugan: Battle Planet")</f>
        <v>Bakugan: Battle Planet</v>
      </c>
      <c r="U773" s="5" t="str">
        <f>IFERROR(__xludf.DUMMYFUNCTION("""COMPUTED_VALUE"""),"Hamisha Daryani Ahuja")</f>
        <v>Hamisha Daryani Ahuja</v>
      </c>
      <c r="V773" s="5" t="s">
        <v>4706</v>
      </c>
      <c r="W773" s="5" t="str">
        <f t="shared" si="3"/>
        <v>Chris Foggin</v>
      </c>
      <c r="X773" s="5">
        <f t="shared" si="4"/>
        <v>1</v>
      </c>
      <c r="Y773" s="5" t="str">
        <f>IFERROR(__xludf.DUMMYFUNCTION("REGEXEXTRACT(J773, ""^\d+"")"),"1")</f>
        <v>1</v>
      </c>
      <c r="Z773" s="5" t="str">
        <f>IFERROR(__xludf.DUMMYFUNCTION("REGEXEXTRACT(J773, ""[A-Za-z ]+$"")")," Season")</f>
        <v> Season</v>
      </c>
      <c r="AA773" s="5" t="str">
        <f>IFERROR(__xludf.DUMMYFUNCTION("IF(REGEXMATCH(Z773, ""Season""), ""TV Show"", ""Movie"")"),"TV Show")</f>
        <v>TV Show</v>
      </c>
    </row>
    <row r="774">
      <c r="A774" s="1" t="s">
        <v>4707</v>
      </c>
      <c r="B774" s="1" t="s">
        <v>37</v>
      </c>
      <c r="C774" s="1" t="s">
        <v>4708</v>
      </c>
      <c r="E774" s="1" t="s">
        <v>4709</v>
      </c>
      <c r="F774" s="1" t="s">
        <v>1779</v>
      </c>
      <c r="G774" s="1" t="s">
        <v>4676</v>
      </c>
      <c r="H774" s="1">
        <v>2021.0</v>
      </c>
      <c r="I774" s="1" t="s">
        <v>42</v>
      </c>
      <c r="J774" s="1" t="s">
        <v>43</v>
      </c>
      <c r="K774" s="1" t="s">
        <v>1907</v>
      </c>
      <c r="L774" s="1" t="s">
        <v>4710</v>
      </c>
      <c r="M774" s="2" t="s">
        <v>12</v>
      </c>
      <c r="N774" s="4">
        <f t="shared" si="1"/>
        <v>44350</v>
      </c>
      <c r="O774" s="5" t="str">
        <f>IFERROR(__xludf.DUMMYFUNCTION("IF(REGEXMATCH(TRIM(I774), ""^\d+\s*min""), ""Unclassified"", IF(I774 = """", ""NR"", I774))"),"TV-MA")</f>
        <v>TV-MA</v>
      </c>
      <c r="R774" s="5" t="str">
        <f t="shared" si="2"/>
        <v>Summertime</v>
      </c>
      <c r="S774" s="5" t="str">
        <f>IFERROR(__xludf.DUMMYFUNCTION("""COMPUTED_VALUE"""),"Bakugan: Geogan Rising")</f>
        <v>Bakugan: Geogan Rising</v>
      </c>
      <c r="U774" s="5" t="str">
        <f>IFERROR(__xludf.DUMMYFUNCTION("""COMPUTED_VALUE"""),"Hong Khaou")</f>
        <v>Hong Khaou</v>
      </c>
      <c r="V774" s="5" t="s">
        <v>4711</v>
      </c>
      <c r="W774" s="5" t="str">
        <f t="shared" si="3"/>
        <v>Chris Gorak</v>
      </c>
      <c r="X774" s="5">
        <f t="shared" si="4"/>
        <v>1</v>
      </c>
      <c r="Y774" s="5" t="str">
        <f>IFERROR(__xludf.DUMMYFUNCTION("REGEXEXTRACT(J774, ""^\d+"")"),"2")</f>
        <v>2</v>
      </c>
      <c r="Z774" s="5" t="str">
        <f>IFERROR(__xludf.DUMMYFUNCTION("REGEXEXTRACT(J774, ""[A-Za-z ]+$"")")," Seasons")</f>
        <v> Seasons</v>
      </c>
      <c r="AA774" s="5" t="str">
        <f>IFERROR(__xludf.DUMMYFUNCTION("IF(REGEXMATCH(Z774, ""Season""), ""TV Show"", ""Movie"")"),"TV Show")</f>
        <v>TV Show</v>
      </c>
    </row>
    <row r="775">
      <c r="A775" s="1" t="s">
        <v>4712</v>
      </c>
      <c r="B775" s="1" t="s">
        <v>27</v>
      </c>
      <c r="C775" s="1" t="s">
        <v>4713</v>
      </c>
      <c r="D775" s="1" t="s">
        <v>4714</v>
      </c>
      <c r="E775" s="1" t="s">
        <v>4715</v>
      </c>
      <c r="F775" s="1" t="s">
        <v>4287</v>
      </c>
      <c r="G775" s="1" t="s">
        <v>4676</v>
      </c>
      <c r="H775" s="1">
        <v>2019.0</v>
      </c>
      <c r="I775" s="1" t="s">
        <v>42</v>
      </c>
      <c r="J775" s="1" t="s">
        <v>1737</v>
      </c>
      <c r="K775" s="1" t="s">
        <v>298</v>
      </c>
      <c r="L775" s="1" t="s">
        <v>4716</v>
      </c>
      <c r="M775" s="2" t="s">
        <v>12</v>
      </c>
      <c r="N775" s="4">
        <f t="shared" si="1"/>
        <v>44350</v>
      </c>
      <c r="O775" s="5" t="str">
        <f>IFERROR(__xludf.DUMMYFUNCTION("IF(REGEXMATCH(TRIM(I775), ""^\d+\s*min""), ""Unclassified"", IF(I775 = """", ""NR"", I775))"),"TV-MA")</f>
        <v>TV-MA</v>
      </c>
      <c r="R775" s="5" t="str">
        <f t="shared" si="2"/>
        <v>The Girl And The Gun</v>
      </c>
      <c r="S775" s="5" t="str">
        <f>IFERROR(__xludf.DUMMYFUNCTION("""COMPUTED_VALUE"""),"Bal Ganesh")</f>
        <v>Bal Ganesh</v>
      </c>
      <c r="U775" s="5" t="str">
        <f>IFERROR(__xludf.DUMMYFUNCTION("""COMPUTED_VALUE"""),"Mario Briongos")</f>
        <v>Mario Briongos</v>
      </c>
      <c r="V775" s="5" t="s">
        <v>4717</v>
      </c>
      <c r="W775" s="5" t="str">
        <f t="shared" si="3"/>
        <v>Chris Howe</v>
      </c>
      <c r="X775" s="5">
        <f t="shared" si="4"/>
        <v>3</v>
      </c>
      <c r="Y775" s="5" t="str">
        <f>IFERROR(__xludf.DUMMYFUNCTION("REGEXEXTRACT(J775, ""^\d+"")"),"78")</f>
        <v>78</v>
      </c>
      <c r="Z775" s="5" t="str">
        <f>IFERROR(__xludf.DUMMYFUNCTION("REGEXEXTRACT(J775, ""[A-Za-z ]+$"")")," min")</f>
        <v> min</v>
      </c>
      <c r="AA775" s="5" t="str">
        <f>IFERROR(__xludf.DUMMYFUNCTION("IF(REGEXMATCH(Z775, ""Season""), ""TV Show"", ""Movie"")"),"Movie")</f>
        <v>Movie</v>
      </c>
    </row>
    <row r="776">
      <c r="A776" s="1" t="s">
        <v>4718</v>
      </c>
      <c r="B776" s="1" t="s">
        <v>27</v>
      </c>
      <c r="C776" s="1" t="s">
        <v>4719</v>
      </c>
      <c r="D776" s="1" t="s">
        <v>4720</v>
      </c>
      <c r="E776" s="1" t="s">
        <v>4721</v>
      </c>
      <c r="F776" s="1" t="s">
        <v>30</v>
      </c>
      <c r="G776" s="1" t="s">
        <v>4722</v>
      </c>
      <c r="H776" s="1">
        <v>2020.0</v>
      </c>
      <c r="I776" s="1" t="s">
        <v>32</v>
      </c>
      <c r="J776" s="1" t="s">
        <v>1091</v>
      </c>
      <c r="K776" s="1" t="s">
        <v>4723</v>
      </c>
      <c r="L776" s="1" t="s">
        <v>4724</v>
      </c>
      <c r="M776" s="2" t="s">
        <v>12</v>
      </c>
      <c r="N776" s="4">
        <f t="shared" si="1"/>
        <v>44349</v>
      </c>
      <c r="O776" s="5" t="str">
        <f>IFERROR(__xludf.DUMMYFUNCTION("IF(REGEXMATCH(TRIM(I776), ""^\d+\s*min""), ""Unclassified"", IF(I776 = """", ""NR"", I776))"),"PG-13")</f>
        <v>PG-13</v>
      </c>
      <c r="R776" s="5" t="str">
        <f t="shared" si="2"/>
        <v>2 Hearts</v>
      </c>
      <c r="S776" s="5" t="str">
        <f>IFERROR(__xludf.DUMMYFUNCTION("""COMPUTED_VALUE"""),"Bala Loca")</f>
        <v>Bala Loca</v>
      </c>
      <c r="U776" s="5" t="str">
        <f>IFERROR(__xludf.DUMMYFUNCTION("""COMPUTED_VALUE"""),"Vinay Bharadwaj")</f>
        <v>Vinay Bharadwaj</v>
      </c>
      <c r="V776" s="5" t="s">
        <v>4725</v>
      </c>
      <c r="W776" s="5" t="str">
        <f t="shared" si="3"/>
        <v>Chris Jenkins</v>
      </c>
      <c r="X776" s="5">
        <f t="shared" si="4"/>
        <v>1</v>
      </c>
      <c r="Y776" s="5" t="str">
        <f>IFERROR(__xludf.DUMMYFUNCTION("REGEXEXTRACT(J776, ""^\d+"")"),"101")</f>
        <v>101</v>
      </c>
      <c r="Z776" s="5" t="str">
        <f>IFERROR(__xludf.DUMMYFUNCTION("REGEXEXTRACT(J776, ""[A-Za-z ]+$"")")," min")</f>
        <v> min</v>
      </c>
      <c r="AA776" s="5" t="str">
        <f>IFERROR(__xludf.DUMMYFUNCTION("IF(REGEXMATCH(Z776, ""Season""), ""TV Show"", ""Movie"")"),"Movie")</f>
        <v>Movie</v>
      </c>
    </row>
    <row r="777">
      <c r="A777" s="1" t="s">
        <v>4726</v>
      </c>
      <c r="B777" s="1" t="s">
        <v>27</v>
      </c>
      <c r="C777" s="1" t="s">
        <v>4727</v>
      </c>
      <c r="D777" s="1" t="s">
        <v>4728</v>
      </c>
      <c r="E777" s="1" t="s">
        <v>4729</v>
      </c>
      <c r="F777" s="1" t="s">
        <v>30</v>
      </c>
      <c r="G777" s="1" t="s">
        <v>4722</v>
      </c>
      <c r="H777" s="1">
        <v>2012.0</v>
      </c>
      <c r="I777" s="1" t="s">
        <v>42</v>
      </c>
      <c r="J777" s="1" t="s">
        <v>297</v>
      </c>
      <c r="K777" s="1" t="s">
        <v>4730</v>
      </c>
      <c r="L777" s="1" t="s">
        <v>4731</v>
      </c>
      <c r="M777" s="2" t="s">
        <v>12</v>
      </c>
      <c r="N777" s="4">
        <f t="shared" si="1"/>
        <v>44349</v>
      </c>
      <c r="O777" s="5" t="str">
        <f>IFERROR(__xludf.DUMMYFUNCTION("IF(REGEXMATCH(TRIM(I777), ""^\d+\s*min""), ""Unclassified"", IF(I777 = """", ""NR"", I777))"),"TV-MA")</f>
        <v>TV-MA</v>
      </c>
      <c r="R777" s="5" t="str">
        <f t="shared" si="2"/>
        <v>A Perfect Ending</v>
      </c>
      <c r="S777" s="5" t="str">
        <f>IFERROR(__xludf.DUMMYFUNCTION("""COMPUTED_VALUE"""),"Balto")</f>
        <v>Balto</v>
      </c>
      <c r="U777" s="5" t="str">
        <f>IFERROR(__xludf.DUMMYFUNCTION("""COMPUTED_VALUE"""),"Michael Fimognari")</f>
        <v>Michael Fimognari</v>
      </c>
      <c r="V777" s="5" t="s">
        <v>4732</v>
      </c>
      <c r="W777" s="5" t="str">
        <f t="shared" si="3"/>
        <v>Chris Kelly</v>
      </c>
      <c r="X777" s="5">
        <f t="shared" si="4"/>
        <v>1</v>
      </c>
      <c r="Y777" s="5" t="str">
        <f>IFERROR(__xludf.DUMMYFUNCTION("REGEXEXTRACT(J777, ""^\d+"")"),"110")</f>
        <v>110</v>
      </c>
      <c r="Z777" s="5" t="str">
        <f>IFERROR(__xludf.DUMMYFUNCTION("REGEXEXTRACT(J777, ""[A-Za-z ]+$"")")," min")</f>
        <v> min</v>
      </c>
      <c r="AA777" s="5" t="str">
        <f>IFERROR(__xludf.DUMMYFUNCTION("IF(REGEXMATCH(Z777, ""Season""), ""TV Show"", ""Movie"")"),"Movie")</f>
        <v>Movie</v>
      </c>
    </row>
    <row r="778">
      <c r="A778" s="1" t="s">
        <v>4733</v>
      </c>
      <c r="B778" s="1" t="s">
        <v>27</v>
      </c>
      <c r="C778" s="1" t="s">
        <v>4734</v>
      </c>
      <c r="D778" s="1" t="s">
        <v>4735</v>
      </c>
      <c r="E778" s="1" t="s">
        <v>4736</v>
      </c>
      <c r="F778" s="1" t="s">
        <v>30</v>
      </c>
      <c r="G778" s="1" t="s">
        <v>4722</v>
      </c>
      <c r="H778" s="1">
        <v>2001.0</v>
      </c>
      <c r="I778" s="1" t="s">
        <v>32</v>
      </c>
      <c r="J778" s="1" t="s">
        <v>170</v>
      </c>
      <c r="K778" s="1" t="s">
        <v>380</v>
      </c>
      <c r="L778" s="1" t="s">
        <v>4737</v>
      </c>
      <c r="M778" s="2" t="s">
        <v>12</v>
      </c>
      <c r="N778" s="4">
        <f t="shared" si="1"/>
        <v>44349</v>
      </c>
      <c r="O778" s="5" t="str">
        <f>IFERROR(__xludf.DUMMYFUNCTION("IF(REGEXMATCH(TRIM(I778), ""^\d+\s*min""), ""Unclassified"", IF(I778 = """", ""NR"", I778))"),"PG-13")</f>
        <v>PG-13</v>
      </c>
      <c r="R778" s="5" t="str">
        <f t="shared" si="2"/>
        <v>American Outlaws</v>
      </c>
      <c r="S778" s="5" t="str">
        <f>IFERROR(__xludf.DUMMYFUNCTION("""COMPUTED_VALUE"""),"Balto 2: Wolf Quest")</f>
        <v>Balto 2: Wolf Quest</v>
      </c>
      <c r="U778" s="5" t="str">
        <f>IFERROR(__xludf.DUMMYFUNCTION("""COMPUTED_VALUE"""),"Eric D. Cabello Díaz")</f>
        <v>Eric D. Cabello Díaz</v>
      </c>
      <c r="V778" s="5" t="s">
        <v>3683</v>
      </c>
      <c r="W778" s="5" t="str">
        <f t="shared" si="3"/>
        <v>Chris Koch</v>
      </c>
      <c r="X778" s="5">
        <f t="shared" si="4"/>
        <v>1</v>
      </c>
      <c r="Y778" s="5" t="str">
        <f>IFERROR(__xludf.DUMMYFUNCTION("REGEXEXTRACT(J778, ""^\d+"")"),"94")</f>
        <v>94</v>
      </c>
      <c r="Z778" s="5" t="str">
        <f>IFERROR(__xludf.DUMMYFUNCTION("REGEXEXTRACT(J778, ""[A-Za-z ]+$"")")," min")</f>
        <v> min</v>
      </c>
      <c r="AA778" s="5" t="str">
        <f>IFERROR(__xludf.DUMMYFUNCTION("IF(REGEXMATCH(Z778, ""Season""), ""TV Show"", ""Movie"")"),"Movie")</f>
        <v>Movie</v>
      </c>
    </row>
    <row r="779">
      <c r="A779" s="1" t="s">
        <v>4738</v>
      </c>
      <c r="B779" s="1" t="s">
        <v>27</v>
      </c>
      <c r="C779" s="1" t="s">
        <v>4739</v>
      </c>
      <c r="D779" s="1" t="s">
        <v>4740</v>
      </c>
      <c r="E779" s="1" t="s">
        <v>4741</v>
      </c>
      <c r="F779" s="1" t="s">
        <v>30</v>
      </c>
      <c r="G779" s="1" t="s">
        <v>4722</v>
      </c>
      <c r="H779" s="1">
        <v>2009.0</v>
      </c>
      <c r="I779" s="1" t="s">
        <v>42</v>
      </c>
      <c r="J779" s="1" t="s">
        <v>1583</v>
      </c>
      <c r="K779" s="1" t="s">
        <v>4742</v>
      </c>
      <c r="L779" s="1" t="s">
        <v>4743</v>
      </c>
      <c r="M779" s="2" t="s">
        <v>12</v>
      </c>
      <c r="N779" s="4">
        <f t="shared" si="1"/>
        <v>44349</v>
      </c>
      <c r="O779" s="5" t="str">
        <f>IFERROR(__xludf.DUMMYFUNCTION("IF(REGEXMATCH(TRIM(I779), ""^\d+\s*min""), ""Unclassified"", IF(I779 = """", ""NR"", I779))"),"TV-MA")</f>
        <v>TV-MA</v>
      </c>
      <c r="R779" s="5" t="str">
        <f t="shared" si="2"/>
        <v>And Then Came Lola</v>
      </c>
      <c r="S779" s="5" t="str">
        <f>IFERROR(__xludf.DUMMYFUNCTION("""COMPUTED_VALUE"""),"Balto 3: Wings Of Change")</f>
        <v>Balto 3: Wings Of Change</v>
      </c>
      <c r="U779" s="5" t="str">
        <f>IFERROR(__xludf.DUMMYFUNCTION("""COMPUTED_VALUE"""),"Clara Martínez-Lázaro")</f>
        <v>Clara Martínez-Lázaro</v>
      </c>
      <c r="V779" s="5" t="s">
        <v>4744</v>
      </c>
      <c r="W779" s="5" t="str">
        <f t="shared" si="3"/>
        <v>Chris Mccoy</v>
      </c>
      <c r="X779" s="5">
        <f t="shared" si="4"/>
        <v>1</v>
      </c>
      <c r="Y779" s="5" t="str">
        <f>IFERROR(__xludf.DUMMYFUNCTION("REGEXEXTRACT(J779, ""^\d+"")"),"70")</f>
        <v>70</v>
      </c>
      <c r="Z779" s="5" t="str">
        <f>IFERROR(__xludf.DUMMYFUNCTION("REGEXEXTRACT(J779, ""[A-Za-z ]+$"")")," min")</f>
        <v> min</v>
      </c>
      <c r="AA779" s="5" t="str">
        <f>IFERROR(__xludf.DUMMYFUNCTION("IF(REGEXMATCH(Z779, ""Season""), ""TV Show"", ""Movie"")"),"Movie")</f>
        <v>Movie</v>
      </c>
    </row>
    <row r="780">
      <c r="A780" s="1" t="s">
        <v>4745</v>
      </c>
      <c r="B780" s="1" t="s">
        <v>37</v>
      </c>
      <c r="C780" s="1" t="s">
        <v>4746</v>
      </c>
      <c r="E780" s="1" t="s">
        <v>4747</v>
      </c>
      <c r="F780" s="1" t="s">
        <v>415</v>
      </c>
      <c r="G780" s="1" t="s">
        <v>4722</v>
      </c>
      <c r="H780" s="1">
        <v>2013.0</v>
      </c>
      <c r="I780" s="1" t="s">
        <v>42</v>
      </c>
      <c r="J780" s="1" t="s">
        <v>51</v>
      </c>
      <c r="K780" s="1" t="s">
        <v>567</v>
      </c>
      <c r="L780" s="1" t="s">
        <v>4748</v>
      </c>
      <c r="M780" s="2" t="s">
        <v>12</v>
      </c>
      <c r="N780" s="4">
        <f t="shared" si="1"/>
        <v>44349</v>
      </c>
      <c r="O780" s="5" t="str">
        <f>IFERROR(__xludf.DUMMYFUNCTION("IF(REGEXMATCH(TRIM(I780), ""^\d+\s*min""), ""Unclassified"", IF(I780 = """", ""NR"", I780))"),"TV-MA")</f>
        <v>TV-MA</v>
      </c>
      <c r="R780" s="5" t="str">
        <f t="shared" si="2"/>
        <v>Attack On Titan</v>
      </c>
      <c r="S780" s="5" t="str">
        <f>IFERROR(__xludf.DUMMYFUNCTION("""COMPUTED_VALUE"""),"Balu Mahi")</f>
        <v>Balu Mahi</v>
      </c>
      <c r="U780" s="5" t="str">
        <f>IFERROR(__xludf.DUMMYFUNCTION("""COMPUTED_VALUE"""),"Monty Tiwa")</f>
        <v>Monty Tiwa</v>
      </c>
      <c r="V780" s="5" t="s">
        <v>4749</v>
      </c>
      <c r="W780" s="5" t="str">
        <f t="shared" si="3"/>
        <v>Chris Miller</v>
      </c>
      <c r="X780" s="5">
        <f t="shared" si="4"/>
        <v>1</v>
      </c>
      <c r="Y780" s="5" t="str">
        <f>IFERROR(__xludf.DUMMYFUNCTION("REGEXEXTRACT(J780, ""^\d+"")"),"1")</f>
        <v>1</v>
      </c>
      <c r="Z780" s="5" t="str">
        <f>IFERROR(__xludf.DUMMYFUNCTION("REGEXEXTRACT(J780, ""[A-Za-z ]+$"")")," Season")</f>
        <v> Season</v>
      </c>
      <c r="AA780" s="5" t="str">
        <f>IFERROR(__xludf.DUMMYFUNCTION("IF(REGEXMATCH(Z780, ""Season""), ""TV Show"", ""Movie"")"),"TV Show")</f>
        <v>TV Show</v>
      </c>
    </row>
    <row r="781">
      <c r="A781" s="1" t="s">
        <v>4750</v>
      </c>
      <c r="B781" s="1" t="s">
        <v>27</v>
      </c>
      <c r="C781" s="1" t="s">
        <v>4751</v>
      </c>
      <c r="D781" s="1" t="s">
        <v>4752</v>
      </c>
      <c r="E781" s="1" t="s">
        <v>4753</v>
      </c>
      <c r="F781" s="1" t="s">
        <v>30</v>
      </c>
      <c r="G781" s="1" t="s">
        <v>4722</v>
      </c>
      <c r="H781" s="1">
        <v>2000.0</v>
      </c>
      <c r="I781" s="1" t="s">
        <v>32</v>
      </c>
      <c r="J781" s="1" t="s">
        <v>870</v>
      </c>
      <c r="K781" s="1" t="s">
        <v>4754</v>
      </c>
      <c r="L781" s="1" t="s">
        <v>4755</v>
      </c>
      <c r="M781" s="2" t="s">
        <v>12</v>
      </c>
      <c r="N781" s="4">
        <f t="shared" si="1"/>
        <v>44349</v>
      </c>
      <c r="O781" s="5" t="str">
        <f>IFERROR(__xludf.DUMMYFUNCTION("IF(REGEXMATCH(TRIM(I781), ""^\d+\s*min""), ""Unclassified"", IF(I781 = """", ""NR"", I781))"),"PG-13")</f>
        <v>PG-13</v>
      </c>
      <c r="R781" s="5" t="str">
        <f t="shared" si="2"/>
        <v>Battlefield Earth</v>
      </c>
      <c r="S781" s="5" t="str">
        <f>IFERROR(__xludf.DUMMYFUNCTION("""COMPUTED_VALUE"""),"Bana Masal Anlatma")</f>
        <v>Bana Masal Anlatma</v>
      </c>
      <c r="U781" s="5" t="str">
        <f>IFERROR(__xludf.DUMMYFUNCTION("""COMPUTED_VALUE"""),"Ava Duvernay")</f>
        <v>Ava Duvernay</v>
      </c>
      <c r="V781" s="5" t="s">
        <v>4756</v>
      </c>
      <c r="W781" s="5" t="str">
        <f t="shared" si="3"/>
        <v>Chris Moukarbel</v>
      </c>
      <c r="X781" s="5">
        <f t="shared" si="4"/>
        <v>1</v>
      </c>
      <c r="Y781" s="5" t="str">
        <f>IFERROR(__xludf.DUMMYFUNCTION("REGEXEXTRACT(J781, ""^\d+"")"),"118")</f>
        <v>118</v>
      </c>
      <c r="Z781" s="5" t="str">
        <f>IFERROR(__xludf.DUMMYFUNCTION("REGEXEXTRACT(J781, ""[A-Za-z ]+$"")")," min")</f>
        <v> min</v>
      </c>
      <c r="AA781" s="5" t="str">
        <f>IFERROR(__xludf.DUMMYFUNCTION("IF(REGEXMATCH(Z781, ""Season""), ""TV Show"", ""Movie"")"),"Movie")</f>
        <v>Movie</v>
      </c>
    </row>
    <row r="782">
      <c r="A782" s="1" t="s">
        <v>4757</v>
      </c>
      <c r="B782" s="1" t="s">
        <v>37</v>
      </c>
      <c r="C782" s="1" t="s">
        <v>4758</v>
      </c>
      <c r="E782" s="1" t="s">
        <v>4759</v>
      </c>
      <c r="F782" s="1" t="s">
        <v>96</v>
      </c>
      <c r="G782" s="1" t="s">
        <v>4722</v>
      </c>
      <c r="H782" s="1">
        <v>2019.0</v>
      </c>
      <c r="I782" s="1" t="s">
        <v>206</v>
      </c>
      <c r="J782" s="1" t="s">
        <v>43</v>
      </c>
      <c r="K782" s="1" t="s">
        <v>290</v>
      </c>
      <c r="L782" s="1" t="s">
        <v>4760</v>
      </c>
      <c r="M782" s="2" t="s">
        <v>12</v>
      </c>
      <c r="N782" s="4">
        <f t="shared" si="1"/>
        <v>44349</v>
      </c>
      <c r="O782" s="5" t="str">
        <f>IFERROR(__xludf.DUMMYFUNCTION("IF(REGEXMATCH(TRIM(I782), ""^\d+\s*min""), ""Unclassified"", IF(I782 = """", ""NR"", I782))"),"TV-Y")</f>
        <v>TV-Y</v>
      </c>
      <c r="R782" s="5" t="str">
        <f t="shared" si="2"/>
        <v>Ben &amp; Holly'S Little Kingdom</v>
      </c>
      <c r="S782" s="5" t="str">
        <f>IFERROR(__xludf.DUMMYFUNCTION("""COMPUTED_VALUE"""),"Banana Island Ghost")</f>
        <v>Banana Island Ghost</v>
      </c>
      <c r="U782" s="5" t="str">
        <f>IFERROR(__xludf.DUMMYFUNCTION("""COMPUTED_VALUE"""),"Alain Darborg")</f>
        <v>Alain Darborg</v>
      </c>
      <c r="V782" s="5" t="s">
        <v>4761</v>
      </c>
      <c r="W782" s="5" t="str">
        <f t="shared" si="3"/>
        <v>Chris Nahon</v>
      </c>
      <c r="X782" s="5">
        <f t="shared" si="4"/>
        <v>1</v>
      </c>
      <c r="Y782" s="5" t="str">
        <f>IFERROR(__xludf.DUMMYFUNCTION("REGEXEXTRACT(J782, ""^\d+"")"),"2")</f>
        <v>2</v>
      </c>
      <c r="Z782" s="5" t="str">
        <f>IFERROR(__xludf.DUMMYFUNCTION("REGEXEXTRACT(J782, ""[A-Za-z ]+$"")")," Seasons")</f>
        <v> Seasons</v>
      </c>
      <c r="AA782" s="5" t="str">
        <f>IFERROR(__xludf.DUMMYFUNCTION("IF(REGEXMATCH(Z782, ""Season""), ""TV Show"", ""Movie"")"),"TV Show")</f>
        <v>TV Show</v>
      </c>
    </row>
    <row r="783">
      <c r="A783" s="1" t="s">
        <v>4762</v>
      </c>
      <c r="B783" s="1" t="s">
        <v>27</v>
      </c>
      <c r="C783" s="1" t="s">
        <v>4763</v>
      </c>
      <c r="D783" s="1" t="s">
        <v>4764</v>
      </c>
      <c r="G783" s="1" t="s">
        <v>4722</v>
      </c>
      <c r="H783" s="1">
        <v>2021.0</v>
      </c>
      <c r="I783" s="1" t="s">
        <v>97</v>
      </c>
      <c r="J783" s="1" t="s">
        <v>416</v>
      </c>
      <c r="K783" s="1" t="s">
        <v>34</v>
      </c>
      <c r="L783" s="1" t="s">
        <v>4765</v>
      </c>
      <c r="M783" s="2" t="s">
        <v>12</v>
      </c>
      <c r="N783" s="4">
        <f t="shared" si="1"/>
        <v>44349</v>
      </c>
      <c r="O783" s="5" t="str">
        <f>IFERROR(__xludf.DUMMYFUNCTION("IF(REGEXMATCH(TRIM(I783), ""^\d+\s*min""), ""Unclassified"", IF(I783 = """", ""NR"", I783))"),"TV-14")</f>
        <v>TV-14</v>
      </c>
      <c r="R783" s="5" t="str">
        <f t="shared" si="2"/>
        <v>Black Holes | The Edge Of All We Know</v>
      </c>
      <c r="S783" s="5" t="str">
        <f>IFERROR(__xludf.DUMMYFUNCTION("""COMPUTED_VALUE"""),"Banana Split")</f>
        <v>Banana Split</v>
      </c>
      <c r="U783" s="5" t="str">
        <f>IFERROR(__xludf.DUMMYFUNCTION("""COMPUTED_VALUE"""),"Filip Zylber")</f>
        <v>Filip Zylber</v>
      </c>
      <c r="V783" s="5" t="s">
        <v>4766</v>
      </c>
      <c r="W783" s="5" t="str">
        <f t="shared" si="3"/>
        <v>Chris Nelson</v>
      </c>
      <c r="X783" s="5">
        <f t="shared" si="4"/>
        <v>1</v>
      </c>
      <c r="Y783" s="5" t="str">
        <f>IFERROR(__xludf.DUMMYFUNCTION("REGEXEXTRACT(J783, ""^\d+"")"),"99")</f>
        <v>99</v>
      </c>
      <c r="Z783" s="5" t="str">
        <f>IFERROR(__xludf.DUMMYFUNCTION("REGEXEXTRACT(J783, ""[A-Za-z ]+$"")")," min")</f>
        <v> min</v>
      </c>
      <c r="AA783" s="5" t="str">
        <f>IFERROR(__xludf.DUMMYFUNCTION("IF(REGEXMATCH(Z783, ""Season""), ""TV Show"", ""Movie"")"),"Movie")</f>
        <v>Movie</v>
      </c>
    </row>
    <row r="784">
      <c r="A784" s="1" t="s">
        <v>4767</v>
      </c>
      <c r="B784" s="1" t="s">
        <v>27</v>
      </c>
      <c r="C784" s="1" t="s">
        <v>4768</v>
      </c>
      <c r="D784" s="1" t="s">
        <v>4769</v>
      </c>
      <c r="E784" s="1" t="s">
        <v>4770</v>
      </c>
      <c r="F784" s="1" t="s">
        <v>1979</v>
      </c>
      <c r="G784" s="1" t="s">
        <v>4722</v>
      </c>
      <c r="H784" s="1">
        <v>1997.0</v>
      </c>
      <c r="I784" s="1" t="s">
        <v>378</v>
      </c>
      <c r="J784" s="1" t="s">
        <v>238</v>
      </c>
      <c r="K784" s="1" t="s">
        <v>828</v>
      </c>
      <c r="L784" s="1" t="s">
        <v>4771</v>
      </c>
      <c r="M784" s="2" t="s">
        <v>12</v>
      </c>
      <c r="N784" s="4">
        <f t="shared" si="1"/>
        <v>44349</v>
      </c>
      <c r="O784" s="5" t="str">
        <f>IFERROR(__xludf.DUMMYFUNCTION("IF(REGEXMATCH(TRIM(I784), ""^\d+\s*min""), ""Unclassified"", IF(I784 = """", ""NR"", I784))"),"R")</f>
        <v>R</v>
      </c>
      <c r="R784" s="5" t="str">
        <f t="shared" si="2"/>
        <v>Bliss</v>
      </c>
      <c r="S784" s="5" t="str">
        <f>IFERROR(__xludf.DUMMYFUNCTION("""COMPUTED_VALUE"""),"Band Aid")</f>
        <v>Band Aid</v>
      </c>
      <c r="U784" s="5" t="str">
        <f>IFERROR(__xludf.DUMMYFUNCTION("""COMPUTED_VALUE"""),"Joe Berlinger")</f>
        <v>Joe Berlinger</v>
      </c>
      <c r="V784" s="5" t="s">
        <v>4772</v>
      </c>
      <c r="W784" s="5" t="str">
        <f t="shared" si="3"/>
        <v>Chris Perkel</v>
      </c>
      <c r="X784" s="5">
        <f t="shared" si="4"/>
        <v>1</v>
      </c>
      <c r="Y784" s="5" t="str">
        <f>IFERROR(__xludf.DUMMYFUNCTION("REGEXEXTRACT(J784, ""^\d+"")"),"103")</f>
        <v>103</v>
      </c>
      <c r="Z784" s="5" t="str">
        <f>IFERROR(__xludf.DUMMYFUNCTION("REGEXEXTRACT(J784, ""[A-Za-z ]+$"")")," min")</f>
        <v> min</v>
      </c>
      <c r="AA784" s="5" t="str">
        <f>IFERROR(__xludf.DUMMYFUNCTION("IF(REGEXMATCH(Z784, ""Season""), ""TV Show"", ""Movie"")"),"Movie")</f>
        <v>Movie</v>
      </c>
    </row>
    <row r="785">
      <c r="A785" s="1" t="s">
        <v>4773</v>
      </c>
      <c r="B785" s="1" t="s">
        <v>27</v>
      </c>
      <c r="C785" s="1" t="s">
        <v>4774</v>
      </c>
      <c r="D785" s="1" t="s">
        <v>4775</v>
      </c>
      <c r="E785" s="1" t="s">
        <v>4776</v>
      </c>
      <c r="F785" s="1" t="s">
        <v>1992</v>
      </c>
      <c r="G785" s="1" t="s">
        <v>4722</v>
      </c>
      <c r="H785" s="1">
        <v>2021.0</v>
      </c>
      <c r="I785" s="1" t="s">
        <v>42</v>
      </c>
      <c r="J785" s="1" t="s">
        <v>465</v>
      </c>
      <c r="K785" s="1" t="s">
        <v>230</v>
      </c>
      <c r="L785" s="1" t="s">
        <v>4777</v>
      </c>
      <c r="M785" s="2" t="s">
        <v>12</v>
      </c>
      <c r="N785" s="4">
        <f t="shared" si="1"/>
        <v>44349</v>
      </c>
      <c r="O785" s="5" t="str">
        <f>IFERROR(__xludf.DUMMYFUNCTION("IF(REGEXMATCH(TRIM(I785), ""^\d+\s*min""), ""Unclassified"", IF(I785 = """", ""NR"", I785))"),"TV-MA")</f>
        <v>TV-MA</v>
      </c>
      <c r="R785" s="5" t="str">
        <f t="shared" si="2"/>
        <v>Carnaval</v>
      </c>
      <c r="S785" s="5" t="str">
        <f>IFERROR(__xludf.DUMMYFUNCTION("""COMPUTED_VALUE"""),"Band Of Robbers")</f>
        <v>Band Of Robbers</v>
      </c>
      <c r="U785" s="5" t="str">
        <f>IFERROR(__xludf.DUMMYFUNCTION("""COMPUTED_VALUE"""),"Julien Royal")</f>
        <v>Julien Royal</v>
      </c>
      <c r="V785" s="5" t="s">
        <v>4778</v>
      </c>
      <c r="W785" s="5" t="str">
        <f t="shared" si="3"/>
        <v>Chris Renaud</v>
      </c>
      <c r="X785" s="5">
        <f t="shared" si="4"/>
        <v>1</v>
      </c>
      <c r="Y785" s="5" t="str">
        <f>IFERROR(__xludf.DUMMYFUNCTION("REGEXEXTRACT(J785, ""^\d+"")"),"95")</f>
        <v>95</v>
      </c>
      <c r="Z785" s="5" t="str">
        <f>IFERROR(__xludf.DUMMYFUNCTION("REGEXEXTRACT(J785, ""[A-Za-z ]+$"")")," min")</f>
        <v> min</v>
      </c>
      <c r="AA785" s="5" t="str">
        <f>IFERROR(__xludf.DUMMYFUNCTION("IF(REGEXMATCH(Z785, ""Season""), ""TV Show"", ""Movie"")"),"Movie")</f>
        <v>Movie</v>
      </c>
    </row>
    <row r="786">
      <c r="A786" s="1" t="s">
        <v>4779</v>
      </c>
      <c r="B786" s="1" t="s">
        <v>27</v>
      </c>
      <c r="C786" s="1" t="s">
        <v>4780</v>
      </c>
      <c r="D786" s="1" t="s">
        <v>4781</v>
      </c>
      <c r="E786" s="1" t="s">
        <v>4782</v>
      </c>
      <c r="F786" s="1" t="s">
        <v>897</v>
      </c>
      <c r="G786" s="1" t="s">
        <v>4722</v>
      </c>
      <c r="H786" s="1">
        <v>2011.0</v>
      </c>
      <c r="I786" s="1" t="s">
        <v>42</v>
      </c>
      <c r="J786" s="1" t="s">
        <v>454</v>
      </c>
      <c r="K786" s="1" t="s">
        <v>836</v>
      </c>
      <c r="L786" s="1" t="s">
        <v>4783</v>
      </c>
      <c r="M786" s="2" t="s">
        <v>12</v>
      </c>
      <c r="N786" s="4">
        <f t="shared" si="1"/>
        <v>44349</v>
      </c>
      <c r="O786" s="5" t="str">
        <f>IFERROR(__xludf.DUMMYFUNCTION("IF(REGEXMATCH(TRIM(I786), ""^\d+\s*min""), ""Unclassified"", IF(I786 = """", ""NR"", I786))"),"TV-MA")</f>
        <v>TV-MA</v>
      </c>
      <c r="R786" s="5" t="str">
        <f t="shared" si="2"/>
        <v>Cloudburst</v>
      </c>
      <c r="S786" s="5" t="str">
        <f>IFERROR(__xludf.DUMMYFUNCTION("""COMPUTED_VALUE"""),"Bandie")</f>
        <v>Bandie</v>
      </c>
      <c r="U786" s="5" t="str">
        <f>IFERROR(__xludf.DUMMYFUNCTION("""COMPUTED_VALUE"""),"Brian Baugh")</f>
        <v>Brian Baugh</v>
      </c>
      <c r="V786" s="5" t="s">
        <v>4784</v>
      </c>
      <c r="W786" s="5" t="str">
        <f t="shared" si="3"/>
        <v>Chris Renaud, Kyle Balda</v>
      </c>
      <c r="X786" s="5">
        <f t="shared" si="4"/>
        <v>1</v>
      </c>
      <c r="Y786" s="5" t="str">
        <f>IFERROR(__xludf.DUMMYFUNCTION("REGEXEXTRACT(J786, ""^\d+"")"),"93")</f>
        <v>93</v>
      </c>
      <c r="Z786" s="5" t="str">
        <f>IFERROR(__xludf.DUMMYFUNCTION("REGEXEXTRACT(J786, ""[A-Za-z ]+$"")")," min")</f>
        <v> min</v>
      </c>
      <c r="AA786" s="5" t="str">
        <f>IFERROR(__xludf.DUMMYFUNCTION("IF(REGEXMATCH(Z786, ""Season""), ""TV Show"", ""Movie"")"),"Movie")</f>
        <v>Movie</v>
      </c>
    </row>
    <row r="787">
      <c r="A787" s="1" t="s">
        <v>4785</v>
      </c>
      <c r="B787" s="1" t="s">
        <v>37</v>
      </c>
      <c r="C787" s="1" t="s">
        <v>4786</v>
      </c>
      <c r="F787" s="1" t="s">
        <v>30</v>
      </c>
      <c r="G787" s="1" t="s">
        <v>4722</v>
      </c>
      <c r="H787" s="1">
        <v>2021.0</v>
      </c>
      <c r="I787" s="1" t="s">
        <v>206</v>
      </c>
      <c r="J787" s="1" t="s">
        <v>276</v>
      </c>
      <c r="K787" s="1" t="s">
        <v>290</v>
      </c>
      <c r="L787" s="1" t="s">
        <v>4787</v>
      </c>
      <c r="M787" s="2" t="s">
        <v>12</v>
      </c>
      <c r="N787" s="4">
        <f t="shared" si="1"/>
        <v>44349</v>
      </c>
      <c r="O787" s="5" t="str">
        <f>IFERROR(__xludf.DUMMYFUNCTION("IF(REGEXMATCH(TRIM(I787), ""^\d+\s*min""), ""Unclassified"", IF(I787 = """", ""NR"", I787))"),"TV-Y")</f>
        <v>TV-Y</v>
      </c>
      <c r="R787" s="5" t="str">
        <f t="shared" si="2"/>
        <v>Cocomelon</v>
      </c>
      <c r="S787" s="5" t="str">
        <f>IFERROR(__xludf.DUMMYFUNCTION("""COMPUTED_VALUE"""),"Bang Rajan 2")</f>
        <v>Bang Rajan 2</v>
      </c>
      <c r="U787" s="5" t="str">
        <f>IFERROR(__xludf.DUMMYFUNCTION("""COMPUTED_VALUE"""),"Henri Wong")</f>
        <v>Henri Wong</v>
      </c>
      <c r="V787" s="5" t="s">
        <v>4788</v>
      </c>
      <c r="W787" s="5" t="str">
        <f t="shared" si="3"/>
        <v>Chris Robinson</v>
      </c>
      <c r="X787" s="5">
        <f t="shared" si="4"/>
        <v>2</v>
      </c>
      <c r="Y787" s="5" t="str">
        <f>IFERROR(__xludf.DUMMYFUNCTION("REGEXEXTRACT(J787, ""^\d+"")"),"3")</f>
        <v>3</v>
      </c>
      <c r="Z787" s="5" t="str">
        <f>IFERROR(__xludf.DUMMYFUNCTION("REGEXEXTRACT(J787, ""[A-Za-z ]+$"")")," Seasons")</f>
        <v> Seasons</v>
      </c>
      <c r="AA787" s="5" t="str">
        <f>IFERROR(__xludf.DUMMYFUNCTION("IF(REGEXMATCH(Z787, ""Season""), ""TV Show"", ""Movie"")"),"TV Show")</f>
        <v>TV Show</v>
      </c>
    </row>
    <row r="788">
      <c r="A788" s="1" t="s">
        <v>4789</v>
      </c>
      <c r="B788" s="1" t="s">
        <v>27</v>
      </c>
      <c r="C788" s="1" t="s">
        <v>4790</v>
      </c>
      <c r="D788" s="1" t="s">
        <v>4791</v>
      </c>
      <c r="E788" s="1" t="s">
        <v>4792</v>
      </c>
      <c r="F788" s="1" t="s">
        <v>30</v>
      </c>
      <c r="G788" s="1" t="s">
        <v>4722</v>
      </c>
      <c r="H788" s="1">
        <v>2013.0</v>
      </c>
      <c r="I788" s="1" t="s">
        <v>378</v>
      </c>
      <c r="J788" s="1" t="s">
        <v>1091</v>
      </c>
      <c r="K788" s="1" t="s">
        <v>323</v>
      </c>
      <c r="L788" s="1" t="s">
        <v>4793</v>
      </c>
      <c r="M788" s="2" t="s">
        <v>12</v>
      </c>
      <c r="N788" s="4">
        <f t="shared" si="1"/>
        <v>44349</v>
      </c>
      <c r="O788" s="5" t="str">
        <f>IFERROR(__xludf.DUMMYFUNCTION("IF(REGEXMATCH(TRIM(I788), ""^\d+\s*min""), ""Unclassified"", IF(I788 = """", ""NR"", I788))"),"R")</f>
        <v>R</v>
      </c>
      <c r="R788" s="5" t="str">
        <f t="shared" si="2"/>
        <v>Company Of Heroes</v>
      </c>
      <c r="S788" s="5" t="str">
        <f>IFERROR(__xludf.DUMMYFUNCTION("""COMPUTED_VALUE"""),"Bangistan")</f>
        <v>Bangistan</v>
      </c>
      <c r="U788" s="5" t="str">
        <f>IFERROR(__xludf.DUMMYFUNCTION("""COMPUTED_VALUE"""),"Maïa Sandoz")</f>
        <v>Maïa Sandoz</v>
      </c>
      <c r="V788" s="5" t="s">
        <v>4794</v>
      </c>
      <c r="W788" s="5" t="str">
        <f t="shared" si="3"/>
        <v>Chris Rock</v>
      </c>
      <c r="X788" s="5">
        <f t="shared" si="4"/>
        <v>1</v>
      </c>
      <c r="Y788" s="5" t="str">
        <f>IFERROR(__xludf.DUMMYFUNCTION("REGEXEXTRACT(J788, ""^\d+"")"),"101")</f>
        <v>101</v>
      </c>
      <c r="Z788" s="5" t="str">
        <f>IFERROR(__xludf.DUMMYFUNCTION("REGEXEXTRACT(J788, ""[A-Za-z ]+$"")")," min")</f>
        <v> min</v>
      </c>
      <c r="AA788" s="5" t="str">
        <f>IFERROR(__xludf.DUMMYFUNCTION("IF(REGEXMATCH(Z788, ""Season""), ""TV Show"", ""Movie"")"),"Movie")</f>
        <v>Movie</v>
      </c>
    </row>
    <row r="789">
      <c r="A789" s="1" t="s">
        <v>4795</v>
      </c>
      <c r="B789" s="1" t="s">
        <v>27</v>
      </c>
      <c r="C789" s="1" t="s">
        <v>4796</v>
      </c>
      <c r="D789" s="1" t="s">
        <v>1988</v>
      </c>
      <c r="E789" s="1" t="s">
        <v>4797</v>
      </c>
      <c r="F789" s="1" t="s">
        <v>30</v>
      </c>
      <c r="G789" s="1" t="s">
        <v>4722</v>
      </c>
      <c r="H789" s="1">
        <v>2003.0</v>
      </c>
      <c r="I789" s="1" t="s">
        <v>378</v>
      </c>
      <c r="J789" s="1" t="s">
        <v>1091</v>
      </c>
      <c r="K789" s="1" t="s">
        <v>380</v>
      </c>
      <c r="L789" s="1" t="s">
        <v>4798</v>
      </c>
      <c r="M789" s="2" t="s">
        <v>12</v>
      </c>
      <c r="N789" s="4">
        <f t="shared" si="1"/>
        <v>44349</v>
      </c>
      <c r="O789" s="5" t="str">
        <f>IFERROR(__xludf.DUMMYFUNCTION("IF(REGEXMATCH(TRIM(I789), ""^\d+\s*min""), ""Unclassified"", IF(I789 = """", ""NR"", I789))"),"R")</f>
        <v>R</v>
      </c>
      <c r="R789" s="5" t="str">
        <f t="shared" si="2"/>
        <v>Cradle 2 The Grave</v>
      </c>
      <c r="S789" s="5" t="str">
        <f>IFERROR(__xludf.DUMMYFUNCTION("""COMPUTED_VALUE"""),"Bangkok Bachelors")</f>
        <v>Bangkok Bachelors</v>
      </c>
      <c r="U789" s="5" t="str">
        <f>IFERROR(__xludf.DUMMYFUNCTION("""COMPUTED_VALUE"""),"Mostofa Sarwar Farooki")</f>
        <v>Mostofa Sarwar Farooki</v>
      </c>
      <c r="V789" s="5" t="s">
        <v>4799</v>
      </c>
      <c r="W789" s="5" t="str">
        <f t="shared" si="3"/>
        <v>Chris Roland, Maradona Dias Dos Santos</v>
      </c>
      <c r="X789" s="5">
        <f t="shared" si="4"/>
        <v>1</v>
      </c>
      <c r="Y789" s="5" t="str">
        <f>IFERROR(__xludf.DUMMYFUNCTION("REGEXEXTRACT(J789, ""^\d+"")"),"101")</f>
        <v>101</v>
      </c>
      <c r="Z789" s="5" t="str">
        <f>IFERROR(__xludf.DUMMYFUNCTION("REGEXEXTRACT(J789, ""[A-Za-z ]+$"")")," min")</f>
        <v> min</v>
      </c>
      <c r="AA789" s="5" t="str">
        <f>IFERROR(__xludf.DUMMYFUNCTION("IF(REGEXMATCH(Z789, ""Season""), ""TV Show"", ""Movie"")"),"Movie")</f>
        <v>Movie</v>
      </c>
    </row>
    <row r="790">
      <c r="A790" s="1" t="s">
        <v>4800</v>
      </c>
      <c r="B790" s="1" t="s">
        <v>27</v>
      </c>
      <c r="C790" s="1" t="s">
        <v>4801</v>
      </c>
      <c r="D790" s="1" t="s">
        <v>4802</v>
      </c>
      <c r="E790" s="1" t="s">
        <v>4803</v>
      </c>
      <c r="F790" s="1" t="s">
        <v>30</v>
      </c>
      <c r="G790" s="1" t="s">
        <v>4722</v>
      </c>
      <c r="H790" s="1">
        <v>2001.0</v>
      </c>
      <c r="I790" s="1" t="s">
        <v>32</v>
      </c>
      <c r="J790" s="1" t="s">
        <v>1191</v>
      </c>
      <c r="K790" s="1" t="s">
        <v>171</v>
      </c>
      <c r="L790" s="1" t="s">
        <v>4804</v>
      </c>
      <c r="M790" s="2" t="s">
        <v>12</v>
      </c>
      <c r="N790" s="4">
        <f t="shared" si="1"/>
        <v>44349</v>
      </c>
      <c r="O790" s="5" t="str">
        <f>IFERROR(__xludf.DUMMYFUNCTION("IF(REGEXMATCH(TRIM(I790), ""^\d+\s*min""), ""Unclassified"", IF(I790 = """", ""NR"", I790))"),"PG-13")</f>
        <v>PG-13</v>
      </c>
      <c r="R790" s="5" t="str">
        <f t="shared" si="2"/>
        <v>Domestic Disturbance</v>
      </c>
      <c r="S790" s="5" t="str">
        <f>IFERROR(__xludf.DUMMYFUNCTION("""COMPUTED_VALUE"""),"Bangkok Breaking")</f>
        <v>Bangkok Breaking</v>
      </c>
      <c r="U790" s="5" t="str">
        <f>IFERROR(__xludf.DUMMYFUNCTION("""COMPUTED_VALUE"""),"Joseph Hsu")</f>
        <v>Joseph Hsu</v>
      </c>
      <c r="V790" s="5" t="s">
        <v>4805</v>
      </c>
      <c r="W790" s="5" t="str">
        <f t="shared" si="3"/>
        <v>Chris Sivertson</v>
      </c>
      <c r="X790" s="5">
        <f t="shared" si="4"/>
        <v>2</v>
      </c>
      <c r="Y790" s="5" t="str">
        <f>IFERROR(__xludf.DUMMYFUNCTION("REGEXEXTRACT(J790, ""^\d+"")"),"89")</f>
        <v>89</v>
      </c>
      <c r="Z790" s="5" t="str">
        <f>IFERROR(__xludf.DUMMYFUNCTION("REGEXEXTRACT(J790, ""[A-Za-z ]+$"")")," min")</f>
        <v> min</v>
      </c>
      <c r="AA790" s="5" t="str">
        <f>IFERROR(__xludf.DUMMYFUNCTION("IF(REGEXMATCH(Z790, ""Season""), ""TV Show"", ""Movie"")"),"Movie")</f>
        <v>Movie</v>
      </c>
    </row>
    <row r="791">
      <c r="A791" s="1" t="s">
        <v>4806</v>
      </c>
      <c r="B791" s="1" t="s">
        <v>37</v>
      </c>
      <c r="C791" s="1" t="s">
        <v>4807</v>
      </c>
      <c r="E791" s="1" t="s">
        <v>4808</v>
      </c>
      <c r="F791" s="1" t="s">
        <v>96</v>
      </c>
      <c r="G791" s="1" t="s">
        <v>4722</v>
      </c>
      <c r="H791" s="1">
        <v>2015.0</v>
      </c>
      <c r="I791" s="1" t="s">
        <v>97</v>
      </c>
      <c r="J791" s="1" t="s">
        <v>439</v>
      </c>
      <c r="K791" s="1" t="s">
        <v>3361</v>
      </c>
      <c r="L791" s="1" t="s">
        <v>4809</v>
      </c>
      <c r="M791" s="2" t="s">
        <v>12</v>
      </c>
      <c r="N791" s="4">
        <f t="shared" si="1"/>
        <v>44349</v>
      </c>
      <c r="O791" s="5" t="str">
        <f>IFERROR(__xludf.DUMMYFUNCTION("IF(REGEXMATCH(TRIM(I791), ""^\d+\s*min""), ""Unclassified"", IF(I791 = """", ""NR"", I791))"),"TV-14")</f>
        <v>TV-14</v>
      </c>
      <c r="R791" s="5" t="str">
        <f t="shared" si="2"/>
        <v>Downton Abbey</v>
      </c>
      <c r="S791" s="5" t="str">
        <f>IFERROR(__xludf.DUMMYFUNCTION("""COMPUTED_VALUE"""),"Bangkok Buddies")</f>
        <v>Bangkok Buddies</v>
      </c>
      <c r="U791" s="5" t="str">
        <f>IFERROR(__xludf.DUMMYFUNCTION("""COMPUTED_VALUE"""),"Sam Levinson")</f>
        <v>Sam Levinson</v>
      </c>
      <c r="V791" s="5" t="s">
        <v>4810</v>
      </c>
      <c r="W791" s="5" t="str">
        <f t="shared" si="3"/>
        <v>Chris Smith</v>
      </c>
      <c r="X791" s="5">
        <f t="shared" si="4"/>
        <v>3</v>
      </c>
      <c r="Y791" s="5" t="str">
        <f>IFERROR(__xludf.DUMMYFUNCTION("REGEXEXTRACT(J791, ""^\d+"")"),"6")</f>
        <v>6</v>
      </c>
      <c r="Z791" s="5" t="str">
        <f>IFERROR(__xludf.DUMMYFUNCTION("REGEXEXTRACT(J791, ""[A-Za-z ]+$"")")," Seasons")</f>
        <v> Seasons</v>
      </c>
      <c r="AA791" s="5" t="str">
        <f>IFERROR(__xludf.DUMMYFUNCTION("IF(REGEXMATCH(Z791, ""Season""), ""TV Show"", ""Movie"")"),"TV Show")</f>
        <v>TV Show</v>
      </c>
    </row>
    <row r="792">
      <c r="A792" s="1" t="s">
        <v>4811</v>
      </c>
      <c r="B792" s="1" t="s">
        <v>27</v>
      </c>
      <c r="C792" s="1" t="s">
        <v>4812</v>
      </c>
      <c r="D792" s="1" t="s">
        <v>1898</v>
      </c>
      <c r="E792" s="1" t="s">
        <v>4813</v>
      </c>
      <c r="F792" s="1" t="s">
        <v>30</v>
      </c>
      <c r="G792" s="1" t="s">
        <v>4722</v>
      </c>
      <c r="H792" s="1">
        <v>2015.0</v>
      </c>
      <c r="I792" s="1" t="s">
        <v>42</v>
      </c>
      <c r="J792" s="1" t="s">
        <v>1065</v>
      </c>
      <c r="K792" s="1" t="s">
        <v>34</v>
      </c>
      <c r="L792" s="1" t="s">
        <v>4814</v>
      </c>
      <c r="M792" s="2" t="s">
        <v>12</v>
      </c>
      <c r="N792" s="4">
        <f t="shared" si="1"/>
        <v>44349</v>
      </c>
      <c r="O792" s="5" t="str">
        <f>IFERROR(__xludf.DUMMYFUNCTION("IF(REGEXMATCH(TRIM(I792), ""^\d+\s*min""), ""Unclassified"", IF(I792 = """", ""NR"", I792))"),"TV-MA")</f>
        <v>TV-MA</v>
      </c>
      <c r="R792" s="5" t="str">
        <f t="shared" si="2"/>
        <v>Dream/Killer</v>
      </c>
      <c r="S792" s="5" t="str">
        <f>IFERROR(__xludf.DUMMYFUNCTION("""COMPUTED_VALUE"""),"Bangkok Hell")</f>
        <v>Bangkok Hell</v>
      </c>
      <c r="U792" s="5" t="str">
        <f>IFERROR(__xludf.DUMMYFUNCTION("""COMPUTED_VALUE"""),"Jo Sung-Hee")</f>
        <v>Jo Sung-Hee</v>
      </c>
      <c r="V792" s="5" t="s">
        <v>4815</v>
      </c>
      <c r="W792" s="5" t="str">
        <f t="shared" si="3"/>
        <v>Chris Sparling</v>
      </c>
      <c r="X792" s="5">
        <f t="shared" si="4"/>
        <v>1</v>
      </c>
      <c r="Y792" s="5" t="str">
        <f>IFERROR(__xludf.DUMMYFUNCTION("REGEXEXTRACT(J792, ""^\d+"")"),"109")</f>
        <v>109</v>
      </c>
      <c r="Z792" s="5" t="str">
        <f>IFERROR(__xludf.DUMMYFUNCTION("REGEXEXTRACT(J792, ""[A-Za-z ]+$"")")," min")</f>
        <v> min</v>
      </c>
      <c r="AA792" s="5" t="str">
        <f>IFERROR(__xludf.DUMMYFUNCTION("IF(REGEXMATCH(Z792, ""Season""), ""TV Show"", ""Movie"")"),"Movie")</f>
        <v>Movie</v>
      </c>
    </row>
    <row r="793">
      <c r="A793" s="1" t="s">
        <v>4816</v>
      </c>
      <c r="B793" s="1" t="s">
        <v>27</v>
      </c>
      <c r="C793" s="1" t="s">
        <v>4817</v>
      </c>
      <c r="D793" s="1" t="s">
        <v>4818</v>
      </c>
      <c r="E793" s="1" t="s">
        <v>4819</v>
      </c>
      <c r="F793" s="1" t="s">
        <v>30</v>
      </c>
      <c r="G793" s="1" t="s">
        <v>4722</v>
      </c>
      <c r="H793" s="1">
        <v>2008.0</v>
      </c>
      <c r="I793" s="1" t="s">
        <v>378</v>
      </c>
      <c r="J793" s="1" t="s">
        <v>106</v>
      </c>
      <c r="K793" s="1" t="s">
        <v>323</v>
      </c>
      <c r="L793" s="1" t="s">
        <v>4820</v>
      </c>
      <c r="M793" s="2" t="s">
        <v>12</v>
      </c>
      <c r="N793" s="4">
        <f t="shared" si="1"/>
        <v>44349</v>
      </c>
      <c r="O793" s="5" t="str">
        <f>IFERROR(__xludf.DUMMYFUNCTION("IF(REGEXMATCH(TRIM(I793), ""^\d+\s*min""), ""Unclassified"", IF(I793 = """", ""NR"", I793))"),"R")</f>
        <v>R</v>
      </c>
      <c r="R793" s="5" t="str">
        <f t="shared" si="2"/>
        <v>Felon</v>
      </c>
      <c r="S793" s="5" t="str">
        <f>IFERROR(__xludf.DUMMYFUNCTION("""COMPUTED_VALUE"""),"Bangkok Love Stories: Hey You!")</f>
        <v>Bangkok Love Stories: Hey You!</v>
      </c>
      <c r="U793" s="5" t="str">
        <f>IFERROR(__xludf.DUMMYFUNCTION("""COMPUTED_VALUE"""),"Michèle Ohayon")</f>
        <v>Michèle Ohayon</v>
      </c>
      <c r="V793" s="5" t="s">
        <v>4821</v>
      </c>
      <c r="W793" s="5" t="str">
        <f t="shared" si="3"/>
        <v>Chris Stokes</v>
      </c>
      <c r="X793" s="5">
        <f t="shared" si="4"/>
        <v>4</v>
      </c>
      <c r="Y793" s="5" t="str">
        <f>IFERROR(__xludf.DUMMYFUNCTION("REGEXEXTRACT(J793, ""^\d+"")"),"104")</f>
        <v>104</v>
      </c>
      <c r="Z793" s="5" t="str">
        <f>IFERROR(__xludf.DUMMYFUNCTION("REGEXEXTRACT(J793, ""[A-Za-z ]+$"")")," min")</f>
        <v> min</v>
      </c>
      <c r="AA793" s="5" t="str">
        <f>IFERROR(__xludf.DUMMYFUNCTION("IF(REGEXMATCH(Z793, ""Season""), ""TV Show"", ""Movie"")"),"Movie")</f>
        <v>Movie</v>
      </c>
    </row>
    <row r="794">
      <c r="A794" s="1" t="s">
        <v>4822</v>
      </c>
      <c r="B794" s="1" t="s">
        <v>27</v>
      </c>
      <c r="C794" s="1" t="s">
        <v>4823</v>
      </c>
      <c r="D794" s="1" t="s">
        <v>4824</v>
      </c>
      <c r="E794" s="1" t="s">
        <v>4825</v>
      </c>
      <c r="F794" s="1" t="s">
        <v>30</v>
      </c>
      <c r="G794" s="1" t="s">
        <v>4722</v>
      </c>
      <c r="H794" s="1">
        <v>2010.0</v>
      </c>
      <c r="I794" s="1" t="s">
        <v>78</v>
      </c>
      <c r="J794" s="1" t="s">
        <v>33</v>
      </c>
      <c r="K794" s="1" t="s">
        <v>1099</v>
      </c>
      <c r="L794" s="1" t="s">
        <v>4826</v>
      </c>
      <c r="M794" s="2" t="s">
        <v>12</v>
      </c>
      <c r="N794" s="4">
        <f t="shared" si="1"/>
        <v>44349</v>
      </c>
      <c r="O794" s="5" t="str">
        <f>IFERROR(__xludf.DUMMYFUNCTION("IF(REGEXMATCH(TRIM(I794), ""^\d+\s*min""), ""Unclassified"", IF(I794 = """", ""NR"", I794))"),"PG")</f>
        <v>PG</v>
      </c>
      <c r="R794" s="5" t="str">
        <f t="shared" si="2"/>
        <v>Flipped</v>
      </c>
      <c r="S794" s="5" t="str">
        <f>IFERROR(__xludf.DUMMYFUNCTION("""COMPUTED_VALUE"""),"Bangkok Love Stories: Innocence")</f>
        <v>Bangkok Love Stories: Innocence</v>
      </c>
      <c r="U794" s="5" t="str">
        <f>IFERROR(__xludf.DUMMYFUNCTION("""COMPUTED_VALUE"""),"Rocco Ricciardulli")</f>
        <v>Rocco Ricciardulli</v>
      </c>
      <c r="V794" s="5" t="s">
        <v>2857</v>
      </c>
      <c r="W794" s="5" t="str">
        <f t="shared" si="3"/>
        <v>Chris Weitz</v>
      </c>
      <c r="X794" s="5">
        <f t="shared" si="4"/>
        <v>2</v>
      </c>
      <c r="Y794" s="5" t="str">
        <f>IFERROR(__xludf.DUMMYFUNCTION("REGEXEXTRACT(J794, ""^\d+"")"),"90")</f>
        <v>90</v>
      </c>
      <c r="Z794" s="5" t="str">
        <f>IFERROR(__xludf.DUMMYFUNCTION("REGEXEXTRACT(J794, ""[A-Za-z ]+$"")")," min")</f>
        <v> min</v>
      </c>
      <c r="AA794" s="5" t="str">
        <f>IFERROR(__xludf.DUMMYFUNCTION("IF(REGEXMATCH(Z794, ""Season""), ""TV Show"", ""Movie"")"),"Movie")</f>
        <v>Movie</v>
      </c>
    </row>
    <row r="795">
      <c r="A795" s="1" t="s">
        <v>4827</v>
      </c>
      <c r="B795" s="1" t="s">
        <v>27</v>
      </c>
      <c r="C795" s="1" t="s">
        <v>4828</v>
      </c>
      <c r="D795" s="1" t="s">
        <v>2034</v>
      </c>
      <c r="E795" s="1" t="s">
        <v>4829</v>
      </c>
      <c r="F795" s="1" t="s">
        <v>30</v>
      </c>
      <c r="G795" s="1" t="s">
        <v>4722</v>
      </c>
      <c r="H795" s="1">
        <v>1997.0</v>
      </c>
      <c r="I795" s="1" t="s">
        <v>32</v>
      </c>
      <c r="J795" s="1" t="s">
        <v>1065</v>
      </c>
      <c r="K795" s="1" t="s">
        <v>813</v>
      </c>
      <c r="L795" s="1" t="s">
        <v>4830</v>
      </c>
      <c r="M795" s="2" t="s">
        <v>12</v>
      </c>
      <c r="N795" s="4">
        <f t="shared" si="1"/>
        <v>44349</v>
      </c>
      <c r="O795" s="5" t="str">
        <f>IFERROR(__xludf.DUMMYFUNCTION("IF(REGEXMATCH(TRIM(I795), ""^\d+\s*min""), ""Unclassified"", IF(I795 = """", ""NR"", I795))"),"PG-13")</f>
        <v>PG-13</v>
      </c>
      <c r="R795" s="5" t="str">
        <f t="shared" si="2"/>
        <v>Fools Rush In</v>
      </c>
      <c r="S795" s="5" t="str">
        <f>IFERROR(__xludf.DUMMYFUNCTION("""COMPUTED_VALUE"""),"Bangkok Love Stories: Objects Of Affection")</f>
        <v>Bangkok Love Stories: Objects Of Affection</v>
      </c>
      <c r="U795" s="5" t="str">
        <f>IFERROR(__xludf.DUMMYFUNCTION("""COMPUTED_VALUE"""),"Guo Jingming")</f>
        <v>Guo Jingming</v>
      </c>
      <c r="V795" s="5" t="s">
        <v>4831</v>
      </c>
      <c r="W795" s="5" t="str">
        <f t="shared" si="3"/>
        <v>Chris Weitz, Paul Weitz</v>
      </c>
      <c r="X795" s="5">
        <f t="shared" si="4"/>
        <v>1</v>
      </c>
      <c r="Y795" s="5" t="str">
        <f>IFERROR(__xludf.DUMMYFUNCTION("REGEXEXTRACT(J795, ""^\d+"")"),"109")</f>
        <v>109</v>
      </c>
      <c r="Z795" s="5" t="str">
        <f>IFERROR(__xludf.DUMMYFUNCTION("REGEXEXTRACT(J795, ""[A-Za-z ]+$"")")," min")</f>
        <v> min</v>
      </c>
      <c r="AA795" s="5" t="str">
        <f>IFERROR(__xludf.DUMMYFUNCTION("IF(REGEXMATCH(Z795, ""Season""), ""TV Show"", ""Movie"")"),"Movie")</f>
        <v>Movie</v>
      </c>
    </row>
    <row r="796">
      <c r="A796" s="1" t="s">
        <v>4832</v>
      </c>
      <c r="B796" s="1" t="s">
        <v>27</v>
      </c>
      <c r="C796" s="1" t="s">
        <v>4833</v>
      </c>
      <c r="D796" s="1" t="s">
        <v>4834</v>
      </c>
      <c r="E796" s="1" t="s">
        <v>4835</v>
      </c>
      <c r="F796" s="1" t="s">
        <v>400</v>
      </c>
      <c r="G796" s="1" t="s">
        <v>4722</v>
      </c>
      <c r="H796" s="1">
        <v>2019.0</v>
      </c>
      <c r="I796" s="1" t="s">
        <v>97</v>
      </c>
      <c r="J796" s="1" t="s">
        <v>582</v>
      </c>
      <c r="K796" s="1" t="s">
        <v>583</v>
      </c>
      <c r="L796" s="1" t="s">
        <v>4836</v>
      </c>
      <c r="M796" s="2" t="s">
        <v>12</v>
      </c>
      <c r="N796" s="4">
        <f t="shared" si="1"/>
        <v>44349</v>
      </c>
      <c r="O796" s="5" t="str">
        <f>IFERROR(__xludf.DUMMYFUNCTION("IF(REGEXMATCH(TRIM(I796), ""^\d+\s*min""), ""Unclassified"", IF(I796 = """", ""NR"", I796))"),"TV-14")</f>
        <v>TV-14</v>
      </c>
      <c r="R796" s="5" t="str">
        <f t="shared" si="2"/>
        <v>Gold Statue</v>
      </c>
      <c r="S796" s="5" t="str">
        <f>IFERROR(__xludf.DUMMYFUNCTION("""COMPUTED_VALUE"""),"Bangkok Love Stories: Plead")</f>
        <v>Bangkok Love Stories: Plead</v>
      </c>
      <c r="U796" s="5" t="str">
        <f>IFERROR(__xludf.DUMMYFUNCTION("""COMPUTED_VALUE"""),"Jan Belcl")</f>
        <v>Jan Belcl</v>
      </c>
      <c r="V796" s="5" t="s">
        <v>4837</v>
      </c>
      <c r="W796" s="5" t="str">
        <f t="shared" si="3"/>
        <v>Christel Gibson</v>
      </c>
      <c r="X796" s="5">
        <f t="shared" si="4"/>
        <v>1</v>
      </c>
      <c r="Y796" s="5" t="str">
        <f>IFERROR(__xludf.DUMMYFUNCTION("REGEXEXTRACT(J796, ""^\d+"")"),"145")</f>
        <v>145</v>
      </c>
      <c r="Z796" s="5" t="str">
        <f>IFERROR(__xludf.DUMMYFUNCTION("REGEXEXTRACT(J796, ""[A-Za-z ]+$"")")," min")</f>
        <v> min</v>
      </c>
      <c r="AA796" s="5" t="str">
        <f>IFERROR(__xludf.DUMMYFUNCTION("IF(REGEXMATCH(Z796, ""Season""), ""TV Show"", ""Movie"")"),"Movie")</f>
        <v>Movie</v>
      </c>
    </row>
    <row r="797">
      <c r="A797" s="1" t="s">
        <v>4838</v>
      </c>
      <c r="B797" s="1" t="s">
        <v>37</v>
      </c>
      <c r="C797" s="1" t="s">
        <v>4839</v>
      </c>
      <c r="E797" s="1" t="s">
        <v>4840</v>
      </c>
      <c r="F797" s="1" t="s">
        <v>30</v>
      </c>
      <c r="G797" s="1" t="s">
        <v>4722</v>
      </c>
      <c r="H797" s="1">
        <v>2012.0</v>
      </c>
      <c r="I797" s="1" t="s">
        <v>97</v>
      </c>
      <c r="J797" s="1" t="s">
        <v>276</v>
      </c>
      <c r="K797" s="1" t="s">
        <v>270</v>
      </c>
      <c r="L797" s="1" t="s">
        <v>4841</v>
      </c>
      <c r="M797" s="2" t="s">
        <v>12</v>
      </c>
      <c r="N797" s="4">
        <f t="shared" si="1"/>
        <v>44349</v>
      </c>
      <c r="O797" s="5" t="str">
        <f>IFERROR(__xludf.DUMMYFUNCTION("IF(REGEXMATCH(TRIM(I797), ""^\d+\s*min""), ""Unclassified"", IF(I797 = """", ""NR"", I797))"),"TV-14")</f>
        <v>TV-14</v>
      </c>
      <c r="R797" s="5" t="str">
        <f t="shared" si="2"/>
        <v>Happy Endings</v>
      </c>
      <c r="S797" s="5" t="str">
        <f>IFERROR(__xludf.DUMMYFUNCTION("""COMPUTED_VALUE"""),"Bangkok Traffic (Love) Story")</f>
        <v>Bangkok Traffic (Love) Story</v>
      </c>
      <c r="U797" s="5" t="str">
        <f>IFERROR(__xludf.DUMMYFUNCTION("""COMPUTED_VALUE"""),"Esteban Crespo")</f>
        <v>Esteban Crespo</v>
      </c>
      <c r="V797" s="5" t="s">
        <v>4842</v>
      </c>
      <c r="W797" s="5" t="str">
        <f t="shared" si="3"/>
        <v>Christian Alvart</v>
      </c>
      <c r="X797" s="5">
        <f t="shared" si="4"/>
        <v>1</v>
      </c>
      <c r="Y797" s="5" t="str">
        <f>IFERROR(__xludf.DUMMYFUNCTION("REGEXEXTRACT(J797, ""^\d+"")"),"3")</f>
        <v>3</v>
      </c>
      <c r="Z797" s="5" t="str">
        <f>IFERROR(__xludf.DUMMYFUNCTION("REGEXEXTRACT(J797, ""[A-Za-z ]+$"")")," Seasons")</f>
        <v> Seasons</v>
      </c>
      <c r="AA797" s="5" t="str">
        <f>IFERROR(__xludf.DUMMYFUNCTION("IF(REGEXMATCH(Z797, ""Season""), ""TV Show"", ""Movie"")"),"TV Show")</f>
        <v>TV Show</v>
      </c>
    </row>
    <row r="798">
      <c r="A798" s="1" t="s">
        <v>4843</v>
      </c>
      <c r="B798" s="1" t="s">
        <v>27</v>
      </c>
      <c r="C798" s="1" t="s">
        <v>4844</v>
      </c>
      <c r="D798" s="1" t="s">
        <v>4845</v>
      </c>
      <c r="E798" s="1" t="s">
        <v>4846</v>
      </c>
      <c r="F798" s="1" t="s">
        <v>30</v>
      </c>
      <c r="G798" s="1" t="s">
        <v>4722</v>
      </c>
      <c r="H798" s="1">
        <v>2011.0</v>
      </c>
      <c r="I798" s="1" t="s">
        <v>378</v>
      </c>
      <c r="J798" s="1" t="s">
        <v>428</v>
      </c>
      <c r="K798" s="1" t="s">
        <v>4847</v>
      </c>
      <c r="L798" s="1" t="s">
        <v>4848</v>
      </c>
      <c r="M798" s="2" t="s">
        <v>12</v>
      </c>
      <c r="N798" s="4">
        <f t="shared" si="1"/>
        <v>44349</v>
      </c>
      <c r="O798" s="5" t="str">
        <f>IFERROR(__xludf.DUMMYFUNCTION("IF(REGEXMATCH(TRIM(I798), ""^\d+\s*min""), ""Unclassified"", IF(I798 = """", ""NR"", I798))"),"R")</f>
        <v>R</v>
      </c>
      <c r="R798" s="5" t="str">
        <f t="shared" si="2"/>
        <v>Hostel: Part Iii</v>
      </c>
      <c r="S798" s="5" t="str">
        <f>IFERROR(__xludf.DUMMYFUNCTION("""COMPUTED_VALUE"""),"Bankrolled")</f>
        <v>Bankrolled</v>
      </c>
      <c r="U798" s="5" t="str">
        <f>IFERROR(__xludf.DUMMYFUNCTION("""COMPUTED_VALUE"""),"Noé González")</f>
        <v>Noé González</v>
      </c>
      <c r="V798" s="5" t="s">
        <v>4849</v>
      </c>
      <c r="W798" s="5" t="str">
        <f t="shared" si="3"/>
        <v>Christian Charles</v>
      </c>
      <c r="X798" s="5">
        <f t="shared" si="4"/>
        <v>1</v>
      </c>
      <c r="Y798" s="5" t="str">
        <f>IFERROR(__xludf.DUMMYFUNCTION("REGEXEXTRACT(J798, ""^\d+"")"),"88")</f>
        <v>88</v>
      </c>
      <c r="Z798" s="5" t="str">
        <f>IFERROR(__xludf.DUMMYFUNCTION("REGEXEXTRACT(J798, ""[A-Za-z ]+$"")")," min")</f>
        <v> min</v>
      </c>
      <c r="AA798" s="5" t="str">
        <f>IFERROR(__xludf.DUMMYFUNCTION("IF(REGEXMATCH(Z798, ""Season""), ""TV Show"", ""Movie"")"),"Movie")</f>
        <v>Movie</v>
      </c>
    </row>
    <row r="799">
      <c r="A799" s="1" t="s">
        <v>4850</v>
      </c>
      <c r="B799" s="1" t="s">
        <v>27</v>
      </c>
      <c r="C799" s="1" t="s">
        <v>4851</v>
      </c>
      <c r="D799" s="1" t="s">
        <v>4852</v>
      </c>
      <c r="E799" s="1" t="s">
        <v>4853</v>
      </c>
      <c r="F799" s="1" t="s">
        <v>30</v>
      </c>
      <c r="G799" s="1" t="s">
        <v>4722</v>
      </c>
      <c r="H799" s="1">
        <v>2001.0</v>
      </c>
      <c r="I799" s="1" t="s">
        <v>32</v>
      </c>
      <c r="J799" s="1" t="s">
        <v>2505</v>
      </c>
      <c r="K799" s="1" t="s">
        <v>805</v>
      </c>
      <c r="L799" s="1" t="s">
        <v>4854</v>
      </c>
      <c r="M799" s="2" t="s">
        <v>12</v>
      </c>
      <c r="N799" s="4">
        <f t="shared" si="1"/>
        <v>44349</v>
      </c>
      <c r="O799" s="5" t="str">
        <f>IFERROR(__xludf.DUMMYFUNCTION("IF(REGEXMATCH(TRIM(I799), ""^\d+\s*min""), ""Unclassified"", IF(I799 = """", ""NR"", I799))"),"PG-13")</f>
        <v>PG-13</v>
      </c>
      <c r="R799" s="5" t="str">
        <f t="shared" si="2"/>
        <v>I Am Sam</v>
      </c>
      <c r="S799" s="5" t="str">
        <f>IFERROR(__xludf.DUMMYFUNCTION("""COMPUTED_VALUE"""),"Banyuki")</f>
        <v>Banyuki</v>
      </c>
      <c r="U799" s="5" t="str">
        <f>IFERROR(__xludf.DUMMYFUNCTION("""COMPUTED_VALUE"""),"Sarah Gavron")</f>
        <v>Sarah Gavron</v>
      </c>
      <c r="V799" s="5" t="s">
        <v>4855</v>
      </c>
      <c r="W799" s="5" t="str">
        <f t="shared" si="3"/>
        <v>Christian De Vita</v>
      </c>
      <c r="X799" s="5">
        <f t="shared" si="4"/>
        <v>1</v>
      </c>
      <c r="Y799" s="5" t="str">
        <f>IFERROR(__xludf.DUMMYFUNCTION("REGEXEXTRACT(J799, ""^\d+"")"),"132")</f>
        <v>132</v>
      </c>
      <c r="Z799" s="5" t="str">
        <f>IFERROR(__xludf.DUMMYFUNCTION("REGEXEXTRACT(J799, ""[A-Za-z ]+$"")")," min")</f>
        <v> min</v>
      </c>
      <c r="AA799" s="5" t="str">
        <f>IFERROR(__xludf.DUMMYFUNCTION("IF(REGEXMATCH(Z799, ""Season""), ""TV Show"", ""Movie"")"),"Movie")</f>
        <v>Movie</v>
      </c>
    </row>
    <row r="800">
      <c r="A800" s="1" t="s">
        <v>4856</v>
      </c>
      <c r="B800" s="1" t="s">
        <v>27</v>
      </c>
      <c r="C800" s="1" t="s">
        <v>4857</v>
      </c>
      <c r="D800" s="1" t="s">
        <v>4858</v>
      </c>
      <c r="E800" s="1" t="s">
        <v>4859</v>
      </c>
      <c r="F800" s="1" t="s">
        <v>30</v>
      </c>
      <c r="G800" s="1" t="s">
        <v>4722</v>
      </c>
      <c r="H800" s="1">
        <v>1997.0</v>
      </c>
      <c r="I800" s="1" t="s">
        <v>378</v>
      </c>
      <c r="J800" s="1" t="s">
        <v>1065</v>
      </c>
      <c r="K800" s="1" t="s">
        <v>836</v>
      </c>
      <c r="L800" s="1" t="s">
        <v>4860</v>
      </c>
      <c r="M800" s="2" t="s">
        <v>12</v>
      </c>
      <c r="N800" s="4">
        <f t="shared" si="1"/>
        <v>44349</v>
      </c>
      <c r="O800" s="5" t="str">
        <f>IFERROR(__xludf.DUMMYFUNCTION("IF(REGEXMATCH(TRIM(I800), ""^\d+\s*min""), ""Unclassified"", IF(I800 = """", ""NR"", I800))"),"R")</f>
        <v>R</v>
      </c>
      <c r="R800" s="5" t="str">
        <f t="shared" si="2"/>
        <v>Love Jones</v>
      </c>
      <c r="S800" s="5" t="str">
        <f>IFERROR(__xludf.DUMMYFUNCTION("""COMPUTED_VALUE"""),"Barah Aana")</f>
        <v>Barah Aana</v>
      </c>
      <c r="U800" s="5" t="str">
        <f>IFERROR(__xludf.DUMMYFUNCTION("""COMPUTED_VALUE"""),"Martin Scorsese")</f>
        <v>Martin Scorsese</v>
      </c>
      <c r="V800" s="5" t="s">
        <v>4861</v>
      </c>
      <c r="W800" s="5" t="str">
        <f t="shared" si="3"/>
        <v>Christian Desmares, Franck Ekinci</v>
      </c>
      <c r="X800" s="5">
        <f t="shared" si="4"/>
        <v>1</v>
      </c>
      <c r="Y800" s="5" t="str">
        <f>IFERROR(__xludf.DUMMYFUNCTION("REGEXEXTRACT(J800, ""^\d+"")"),"109")</f>
        <v>109</v>
      </c>
      <c r="Z800" s="5" t="str">
        <f>IFERROR(__xludf.DUMMYFUNCTION("REGEXEXTRACT(J800, ""[A-Za-z ]+$"")")," min")</f>
        <v> min</v>
      </c>
      <c r="AA800" s="5" t="str">
        <f>IFERROR(__xludf.DUMMYFUNCTION("IF(REGEXMATCH(Z800, ""Season""), ""TV Show"", ""Movie"")"),"Movie")</f>
        <v>Movie</v>
      </c>
    </row>
    <row r="801">
      <c r="A801" s="1" t="s">
        <v>4862</v>
      </c>
      <c r="B801" s="1" t="s">
        <v>27</v>
      </c>
      <c r="C801" s="1" t="s">
        <v>4863</v>
      </c>
      <c r="D801" s="1" t="s">
        <v>2279</v>
      </c>
      <c r="E801" s="1" t="s">
        <v>4864</v>
      </c>
      <c r="F801" s="1" t="s">
        <v>30</v>
      </c>
      <c r="G801" s="1" t="s">
        <v>4722</v>
      </c>
      <c r="H801" s="1">
        <v>2004.0</v>
      </c>
      <c r="I801" s="1" t="s">
        <v>32</v>
      </c>
      <c r="J801" s="1" t="s">
        <v>1428</v>
      </c>
      <c r="K801" s="1" t="s">
        <v>2275</v>
      </c>
      <c r="L801" s="1" t="s">
        <v>4865</v>
      </c>
      <c r="M801" s="2" t="s">
        <v>12</v>
      </c>
      <c r="N801" s="4">
        <f t="shared" si="1"/>
        <v>44349</v>
      </c>
      <c r="O801" s="5" t="str">
        <f>IFERROR(__xludf.DUMMYFUNCTION("IF(REGEXMATCH(TRIM(I801), ""^\d+\s*min""), ""Unclassified"", IF(I801 = """", ""NR"", I801))"),"PG-13")</f>
        <v>PG-13</v>
      </c>
      <c r="R801" s="5" t="str">
        <f t="shared" si="2"/>
        <v>Million Dollar Baby</v>
      </c>
      <c r="S801" s="5" t="str">
        <f>IFERROR(__xludf.DUMMYFUNCTION("""COMPUTED_VALUE"""),"Barakah Meets Barakah")</f>
        <v>Barakah Meets Barakah</v>
      </c>
      <c r="U801" s="5" t="str">
        <f>IFERROR(__xludf.DUMMYFUNCTION("""COMPUTED_VALUE"""),"Richard Arellano")</f>
        <v>Richard Arellano</v>
      </c>
      <c r="V801" s="5" t="s">
        <v>4866</v>
      </c>
      <c r="W801" s="5" t="str">
        <f t="shared" si="3"/>
        <v>Christian Ditter</v>
      </c>
      <c r="X801" s="5">
        <f t="shared" si="4"/>
        <v>1</v>
      </c>
      <c r="Y801" s="5" t="str">
        <f>IFERROR(__xludf.DUMMYFUNCTION("REGEXEXTRACT(J801, ""^\d+"")"),"133")</f>
        <v>133</v>
      </c>
      <c r="Z801" s="5" t="str">
        <f>IFERROR(__xludf.DUMMYFUNCTION("REGEXEXTRACT(J801, ""[A-Za-z ]+$"")")," min")</f>
        <v> min</v>
      </c>
      <c r="AA801" s="5" t="str">
        <f>IFERROR(__xludf.DUMMYFUNCTION("IF(REGEXMATCH(Z801, ""Season""), ""TV Show"", ""Movie"")"),"Movie")</f>
        <v>Movie</v>
      </c>
    </row>
    <row r="802">
      <c r="A802" s="1" t="s">
        <v>4867</v>
      </c>
      <c r="B802" s="1" t="s">
        <v>27</v>
      </c>
      <c r="C802" s="1" t="s">
        <v>4868</v>
      </c>
      <c r="D802" s="1" t="s">
        <v>2758</v>
      </c>
      <c r="E802" s="1" t="s">
        <v>4869</v>
      </c>
      <c r="F802" s="1" t="s">
        <v>30</v>
      </c>
      <c r="G802" s="1" t="s">
        <v>4722</v>
      </c>
      <c r="H802" s="1">
        <v>2012.0</v>
      </c>
      <c r="I802" s="1" t="s">
        <v>97</v>
      </c>
      <c r="J802" s="1" t="s">
        <v>471</v>
      </c>
      <c r="K802" s="1" t="s">
        <v>4730</v>
      </c>
      <c r="L802" s="1" t="s">
        <v>4870</v>
      </c>
      <c r="M802" s="2" t="s">
        <v>12</v>
      </c>
      <c r="N802" s="4">
        <f t="shared" si="1"/>
        <v>44349</v>
      </c>
      <c r="O802" s="5" t="str">
        <f>IFERROR(__xludf.DUMMYFUNCTION("IF(REGEXMATCH(TRIM(I802), ""^\d+\s*min""), ""Unclassified"", IF(I802 = """", ""NR"", I802))"),"TV-14")</f>
        <v>TV-14</v>
      </c>
      <c r="R802" s="5" t="str">
        <f t="shared" si="2"/>
        <v>Mosquita Y Mari</v>
      </c>
      <c r="S802" s="5" t="str">
        <f>IFERROR(__xludf.DUMMYFUNCTION("""COMPUTED_VALUE"""),"Barbarians")</f>
        <v>Barbarians</v>
      </c>
      <c r="U802" s="5" t="str">
        <f>IFERROR(__xludf.DUMMYFUNCTION("""COMPUTED_VALUE"""),"Jon Favreau")</f>
        <v>Jon Favreau</v>
      </c>
      <c r="V802" s="5" t="s">
        <v>4871</v>
      </c>
      <c r="W802" s="5" t="str">
        <f t="shared" si="3"/>
        <v>Christian Duguay</v>
      </c>
      <c r="X802" s="5">
        <f t="shared" si="4"/>
        <v>1</v>
      </c>
      <c r="Y802" s="5" t="str">
        <f>IFERROR(__xludf.DUMMYFUNCTION("REGEXEXTRACT(J802, ""^\d+"")"),"85")</f>
        <v>85</v>
      </c>
      <c r="Z802" s="5" t="str">
        <f>IFERROR(__xludf.DUMMYFUNCTION("REGEXEXTRACT(J802, ""[A-Za-z ]+$"")")," min")</f>
        <v> min</v>
      </c>
      <c r="AA802" s="5" t="str">
        <f>IFERROR(__xludf.DUMMYFUNCTION("IF(REGEXMATCH(Z802, ""Season""), ""TV Show"", ""Movie"")"),"Movie")</f>
        <v>Movie</v>
      </c>
    </row>
    <row r="803">
      <c r="A803" s="1" t="s">
        <v>4872</v>
      </c>
      <c r="B803" s="1" t="s">
        <v>27</v>
      </c>
      <c r="C803" s="1" t="s">
        <v>4873</v>
      </c>
      <c r="D803" s="1" t="s">
        <v>4874</v>
      </c>
      <c r="E803" s="1" t="s">
        <v>4875</v>
      </c>
      <c r="F803" s="1" t="s">
        <v>30</v>
      </c>
      <c r="G803" s="1" t="s">
        <v>4722</v>
      </c>
      <c r="H803" s="1">
        <v>2011.0</v>
      </c>
      <c r="I803" s="1" t="s">
        <v>378</v>
      </c>
      <c r="J803" s="1" t="s">
        <v>106</v>
      </c>
      <c r="K803" s="1" t="s">
        <v>4876</v>
      </c>
      <c r="L803" s="1" t="s">
        <v>4877</v>
      </c>
      <c r="M803" s="2" t="s">
        <v>12</v>
      </c>
      <c r="N803" s="4">
        <f t="shared" si="1"/>
        <v>44349</v>
      </c>
      <c r="O803" s="5" t="str">
        <f>IFERROR(__xludf.DUMMYFUNCTION("IF(REGEXMATCH(TRIM(I803), ""^\d+\s*min""), ""Unclassified"", IF(I803 = """", ""NR"", I803))"),"R")</f>
        <v>R</v>
      </c>
      <c r="R803" s="5" t="str">
        <f t="shared" si="2"/>
        <v>Never Back Down 2: The Beatdown</v>
      </c>
      <c r="S803" s="5" t="str">
        <f>IFERROR(__xludf.DUMMYFUNCTION("""COMPUTED_VALUE"""),"Barbecue")</f>
        <v>Barbecue</v>
      </c>
      <c r="U803" s="5" t="str">
        <f>IFERROR(__xludf.DUMMYFUNCTION("""COMPUTED_VALUE"""),"Marco Pontecorvo")</f>
        <v>Marco Pontecorvo</v>
      </c>
      <c r="V803" s="5" t="s">
        <v>4878</v>
      </c>
      <c r="W803" s="5" t="str">
        <f t="shared" si="3"/>
        <v>Christian E. Christiansen</v>
      </c>
      <c r="X803" s="5">
        <f t="shared" si="4"/>
        <v>1</v>
      </c>
      <c r="Y803" s="5" t="str">
        <f>IFERROR(__xludf.DUMMYFUNCTION("REGEXEXTRACT(J803, ""^\d+"")"),"104")</f>
        <v>104</v>
      </c>
      <c r="Z803" s="5" t="str">
        <f>IFERROR(__xludf.DUMMYFUNCTION("REGEXEXTRACT(J803, ""[A-Za-z ]+$"")")," min")</f>
        <v> min</v>
      </c>
      <c r="AA803" s="5" t="str">
        <f>IFERROR(__xludf.DUMMYFUNCTION("IF(REGEXMATCH(Z803, ""Season""), ""TV Show"", ""Movie"")"),"Movie")</f>
        <v>Movie</v>
      </c>
    </row>
    <row r="804">
      <c r="A804" s="1" t="s">
        <v>4879</v>
      </c>
      <c r="B804" s="1" t="s">
        <v>27</v>
      </c>
      <c r="C804" s="1" t="s">
        <v>4880</v>
      </c>
      <c r="D804" s="1" t="s">
        <v>4881</v>
      </c>
      <c r="E804" s="1" t="s">
        <v>4882</v>
      </c>
      <c r="F804" s="1" t="s">
        <v>4883</v>
      </c>
      <c r="G804" s="1" t="s">
        <v>4722</v>
      </c>
      <c r="H804" s="1">
        <v>2009.0</v>
      </c>
      <c r="I804" s="1" t="s">
        <v>378</v>
      </c>
      <c r="J804" s="1" t="s">
        <v>416</v>
      </c>
      <c r="K804" s="1" t="s">
        <v>380</v>
      </c>
      <c r="L804" s="1" t="s">
        <v>4884</v>
      </c>
      <c r="M804" s="2" t="s">
        <v>12</v>
      </c>
      <c r="N804" s="4">
        <f t="shared" si="1"/>
        <v>44349</v>
      </c>
      <c r="O804" s="5" t="str">
        <f>IFERROR(__xludf.DUMMYFUNCTION("IF(REGEXMATCH(TRIM(I804), ""^\d+\s*min""), ""Unclassified"", IF(I804 = """", ""NR"", I804))"),"R")</f>
        <v>R</v>
      </c>
      <c r="R804" s="5" t="str">
        <f t="shared" si="2"/>
        <v>Ninja Assassin</v>
      </c>
      <c r="S804" s="5" t="str">
        <f>IFERROR(__xludf.DUMMYFUNCTION("""COMPUTED_VALUE"""),"Barbie &amp; Chelsea: The Lost Birthday")</f>
        <v>Barbie &amp; Chelsea: The Lost Birthday</v>
      </c>
      <c r="U804" s="5" t="str">
        <f>IFERROR(__xludf.DUMMYFUNCTION("""COMPUTED_VALUE"""),"Gregory Plotkin")</f>
        <v>Gregory Plotkin</v>
      </c>
      <c r="V804" s="5" t="s">
        <v>4885</v>
      </c>
      <c r="W804" s="5" t="str">
        <f t="shared" si="3"/>
        <v>Christian Gudegast</v>
      </c>
      <c r="X804" s="5">
        <f t="shared" si="4"/>
        <v>1</v>
      </c>
      <c r="Y804" s="5" t="str">
        <f>IFERROR(__xludf.DUMMYFUNCTION("REGEXEXTRACT(J804, ""^\d+"")"),"99")</f>
        <v>99</v>
      </c>
      <c r="Z804" s="5" t="str">
        <f>IFERROR(__xludf.DUMMYFUNCTION("REGEXEXTRACT(J804, ""[A-Za-z ]+$"")")," min")</f>
        <v> min</v>
      </c>
      <c r="AA804" s="5" t="str">
        <f>IFERROR(__xludf.DUMMYFUNCTION("IF(REGEXMATCH(Z804, ""Season""), ""TV Show"", ""Movie"")"),"Movie")</f>
        <v>Movie</v>
      </c>
    </row>
    <row r="805">
      <c r="A805" s="1" t="s">
        <v>4886</v>
      </c>
      <c r="B805" s="1" t="s">
        <v>37</v>
      </c>
      <c r="C805" s="1" t="s">
        <v>4887</v>
      </c>
      <c r="D805" s="1" t="s">
        <v>4888</v>
      </c>
      <c r="E805" s="1" t="s">
        <v>4889</v>
      </c>
      <c r="F805" s="1" t="s">
        <v>415</v>
      </c>
      <c r="G805" s="1" t="s">
        <v>4722</v>
      </c>
      <c r="H805" s="1">
        <v>2006.0</v>
      </c>
      <c r="I805" s="1" t="s">
        <v>136</v>
      </c>
      <c r="J805" s="1" t="s">
        <v>51</v>
      </c>
      <c r="K805" s="1" t="s">
        <v>4890</v>
      </c>
      <c r="L805" s="1" t="s">
        <v>4891</v>
      </c>
      <c r="M805" s="2" t="s">
        <v>12</v>
      </c>
      <c r="N805" s="4">
        <f t="shared" si="1"/>
        <v>44349</v>
      </c>
      <c r="O805" s="5" t="str">
        <f>IFERROR(__xludf.DUMMYFUNCTION("IF(REGEXMATCH(TRIM(I805), ""^\d+\s*min""), ""Unclassified"", IF(I805 = """", ""NR"", I805))"),"TV-PG")</f>
        <v>TV-PG</v>
      </c>
      <c r="R805" s="5" t="str">
        <f t="shared" si="2"/>
        <v>Ouran High School Host Club</v>
      </c>
      <c r="S805" s="5" t="str">
        <f>IFERROR(__xludf.DUMMYFUNCTION("""COMPUTED_VALUE"""),"Barbie &amp; Her Sisters In A Pony Tale")</f>
        <v>Barbie &amp; Her Sisters In A Pony Tale</v>
      </c>
      <c r="U805" s="5" t="str">
        <f>IFERROR(__xludf.DUMMYFUNCTION("""COMPUTED_VALUE"""),"Lluís Quílez")</f>
        <v>Lluís Quílez</v>
      </c>
      <c r="V805" s="5" t="s">
        <v>124</v>
      </c>
      <c r="W805" s="5" t="str">
        <f t="shared" si="3"/>
        <v>Christian Schwochow</v>
      </c>
      <c r="X805" s="5">
        <f t="shared" si="4"/>
        <v>1</v>
      </c>
      <c r="Y805" s="5" t="str">
        <f>IFERROR(__xludf.DUMMYFUNCTION("REGEXEXTRACT(J805, ""^\d+"")"),"1")</f>
        <v>1</v>
      </c>
      <c r="Z805" s="5" t="str">
        <f>IFERROR(__xludf.DUMMYFUNCTION("REGEXEXTRACT(J805, ""[A-Za-z ]+$"")")," Season")</f>
        <v> Season</v>
      </c>
      <c r="AA805" s="5" t="str">
        <f>IFERROR(__xludf.DUMMYFUNCTION("IF(REGEXMATCH(Z805, ""Season""), ""TV Show"", ""Movie"")"),"TV Show")</f>
        <v>TV Show</v>
      </c>
    </row>
    <row r="806">
      <c r="A806" s="1" t="s">
        <v>4892</v>
      </c>
      <c r="B806" s="1" t="s">
        <v>27</v>
      </c>
      <c r="C806" s="1" t="s">
        <v>4893</v>
      </c>
      <c r="D806" s="1" t="s">
        <v>4894</v>
      </c>
      <c r="E806" s="1" t="s">
        <v>4895</v>
      </c>
      <c r="F806" s="1" t="s">
        <v>1979</v>
      </c>
      <c r="G806" s="1" t="s">
        <v>4722</v>
      </c>
      <c r="H806" s="1">
        <v>2006.0</v>
      </c>
      <c r="I806" s="1" t="s">
        <v>378</v>
      </c>
      <c r="J806" s="1" t="s">
        <v>454</v>
      </c>
      <c r="K806" s="1" t="s">
        <v>3768</v>
      </c>
      <c r="L806" s="1" t="s">
        <v>4896</v>
      </c>
      <c r="M806" s="2" t="s">
        <v>12</v>
      </c>
      <c r="N806" s="4">
        <f t="shared" si="1"/>
        <v>44349</v>
      </c>
      <c r="O806" s="5" t="str">
        <f>IFERROR(__xludf.DUMMYFUNCTION("IF(REGEXMATCH(TRIM(I806), ""^\d+\s*min""), ""Unclassified"", IF(I806 = """", ""NR"", I806))"),"R")</f>
        <v>R</v>
      </c>
      <c r="R806" s="5" t="str">
        <f t="shared" si="2"/>
        <v>Population 436</v>
      </c>
      <c r="S806" s="5" t="str">
        <f>IFERROR(__xludf.DUMMYFUNCTION("""COMPUTED_VALUE"""),"Barbie Big City Big Dreams")</f>
        <v>Barbie Big City Big Dreams</v>
      </c>
      <c r="U806" s="5" t="str">
        <f>IFERROR(__xludf.DUMMYFUNCTION("""COMPUTED_VALUE"""),"Jude Weng")</f>
        <v>Jude Weng</v>
      </c>
      <c r="V806" s="5" t="s">
        <v>4897</v>
      </c>
      <c r="W806" s="5" t="str">
        <f t="shared" si="3"/>
        <v>Christian Zübert</v>
      </c>
      <c r="X806" s="5">
        <f t="shared" si="4"/>
        <v>1</v>
      </c>
      <c r="Y806" s="5" t="str">
        <f>IFERROR(__xludf.DUMMYFUNCTION("REGEXEXTRACT(J806, ""^\d+"")"),"93")</f>
        <v>93</v>
      </c>
      <c r="Z806" s="5" t="str">
        <f>IFERROR(__xludf.DUMMYFUNCTION("REGEXEXTRACT(J806, ""[A-Za-z ]+$"")")," min")</f>
        <v> min</v>
      </c>
      <c r="AA806" s="5" t="str">
        <f>IFERROR(__xludf.DUMMYFUNCTION("IF(REGEXMATCH(Z806, ""Season""), ""TV Show"", ""Movie"")"),"Movie")</f>
        <v>Movie</v>
      </c>
    </row>
    <row r="807">
      <c r="A807" s="1" t="s">
        <v>4898</v>
      </c>
      <c r="B807" s="1" t="s">
        <v>37</v>
      </c>
      <c r="C807" s="1" t="s">
        <v>4899</v>
      </c>
      <c r="E807" s="1" t="s">
        <v>4900</v>
      </c>
      <c r="G807" s="1" t="s">
        <v>4722</v>
      </c>
      <c r="H807" s="1">
        <v>2021.0</v>
      </c>
      <c r="I807" s="1" t="s">
        <v>97</v>
      </c>
      <c r="J807" s="1" t="s">
        <v>51</v>
      </c>
      <c r="K807" s="1" t="s">
        <v>1531</v>
      </c>
      <c r="L807" s="1" t="s">
        <v>4901</v>
      </c>
      <c r="M807" s="2" t="s">
        <v>12</v>
      </c>
      <c r="N807" s="4">
        <f t="shared" si="1"/>
        <v>44349</v>
      </c>
      <c r="O807" s="5" t="str">
        <f>IFERROR(__xludf.DUMMYFUNCTION("IF(REGEXMATCH(TRIM(I807), ""^\d+\s*min""), ""Unclassified"", IF(I807 = """", ""NR"", I807))"),"TV-14")</f>
        <v>TV-14</v>
      </c>
      <c r="R807" s="5" t="str">
        <f t="shared" si="2"/>
        <v>Racket Boys</v>
      </c>
      <c r="S807" s="5" t="str">
        <f>IFERROR(__xludf.DUMMYFUNCTION("""COMPUTED_VALUE"""),"Barbie Dolphin Magic")</f>
        <v>Barbie Dolphin Magic</v>
      </c>
      <c r="U807" s="5" t="str">
        <f>IFERROR(__xludf.DUMMYFUNCTION("""COMPUTED_VALUE"""),"Simon Stone")</f>
        <v>Simon Stone</v>
      </c>
      <c r="V807" s="5" t="s">
        <v>3181</v>
      </c>
      <c r="W807" s="5" t="str">
        <f t="shared" si="3"/>
        <v>Christine Luby</v>
      </c>
      <c r="X807" s="5">
        <f t="shared" si="4"/>
        <v>1</v>
      </c>
      <c r="Y807" s="5" t="str">
        <f>IFERROR(__xludf.DUMMYFUNCTION("REGEXEXTRACT(J807, ""^\d+"")"),"1")</f>
        <v>1</v>
      </c>
      <c r="Z807" s="5" t="str">
        <f>IFERROR(__xludf.DUMMYFUNCTION("REGEXEXTRACT(J807, ""[A-Za-z ]+$"")")," Season")</f>
        <v> Season</v>
      </c>
      <c r="AA807" s="5" t="str">
        <f>IFERROR(__xludf.DUMMYFUNCTION("IF(REGEXMATCH(Z807, ""Season""), ""TV Show"", ""Movie"")"),"TV Show")</f>
        <v>TV Show</v>
      </c>
    </row>
    <row r="808">
      <c r="A808" s="1" t="s">
        <v>4902</v>
      </c>
      <c r="B808" s="1" t="s">
        <v>27</v>
      </c>
      <c r="C808" s="1" t="s">
        <v>4903</v>
      </c>
      <c r="D808" s="1" t="s">
        <v>4904</v>
      </c>
      <c r="E808" s="1" t="s">
        <v>4905</v>
      </c>
      <c r="G808" s="1" t="s">
        <v>4722</v>
      </c>
      <c r="H808" s="1">
        <v>2017.0</v>
      </c>
      <c r="I808" s="1" t="s">
        <v>97</v>
      </c>
      <c r="J808" s="1" t="s">
        <v>4906</v>
      </c>
      <c r="K808" s="1" t="s">
        <v>306</v>
      </c>
      <c r="L808" s="1" t="s">
        <v>4907</v>
      </c>
      <c r="M808" s="2" t="s">
        <v>12</v>
      </c>
      <c r="N808" s="4">
        <f t="shared" si="1"/>
        <v>44349</v>
      </c>
      <c r="O808" s="5" t="str">
        <f>IFERROR(__xludf.DUMMYFUNCTION("IF(REGEXMATCH(TRIM(I808), ""^\d+\s*min""), ""Unclassified"", IF(I808 = """", ""NR"", I808))"),"TV-14")</f>
        <v>TV-14</v>
      </c>
      <c r="R808" s="5" t="str">
        <f t="shared" si="2"/>
        <v>Seven Souls In The Skull Castle: Season Moon Jogen</v>
      </c>
      <c r="S808" s="5" t="str">
        <f>IFERROR(__xludf.DUMMYFUNCTION("""COMPUTED_VALUE"""),"Barbie Dreamhouse Adventures")</f>
        <v>Barbie Dreamhouse Adventures</v>
      </c>
      <c r="U808" s="5" t="str">
        <f>IFERROR(__xludf.DUMMYFUNCTION("""COMPUTED_VALUE"""),"Noviandra Santosa")</f>
        <v>Noviandra Santosa</v>
      </c>
      <c r="V808" s="5" t="s">
        <v>4908</v>
      </c>
      <c r="W808" s="5" t="str">
        <f t="shared" si="3"/>
        <v>Christophe Charrier</v>
      </c>
      <c r="X808" s="5">
        <f t="shared" si="4"/>
        <v>1</v>
      </c>
      <c r="Y808" s="5" t="str">
        <f>IFERROR(__xludf.DUMMYFUNCTION("REGEXEXTRACT(J808, ""^\d+"")"),"204")</f>
        <v>204</v>
      </c>
      <c r="Z808" s="5" t="str">
        <f>IFERROR(__xludf.DUMMYFUNCTION("REGEXEXTRACT(J808, ""[A-Za-z ]+$"")")," min")</f>
        <v> min</v>
      </c>
      <c r="AA808" s="5" t="str">
        <f>IFERROR(__xludf.DUMMYFUNCTION("IF(REGEXMATCH(Z808, ""Season""), ""TV Show"", ""Movie"")"),"Movie")</f>
        <v>Movie</v>
      </c>
    </row>
    <row r="809">
      <c r="A809" s="1" t="s">
        <v>4909</v>
      </c>
      <c r="B809" s="1" t="s">
        <v>27</v>
      </c>
      <c r="C809" s="1" t="s">
        <v>4910</v>
      </c>
      <c r="D809" s="1" t="s">
        <v>4904</v>
      </c>
      <c r="E809" s="1" t="s">
        <v>4911</v>
      </c>
      <c r="G809" s="1" t="s">
        <v>4722</v>
      </c>
      <c r="H809" s="1">
        <v>2017.0</v>
      </c>
      <c r="I809" s="1" t="s">
        <v>136</v>
      </c>
      <c r="J809" s="1" t="s">
        <v>4912</v>
      </c>
      <c r="K809" s="1" t="s">
        <v>306</v>
      </c>
      <c r="L809" s="1" t="s">
        <v>4913</v>
      </c>
      <c r="M809" s="2" t="s">
        <v>12</v>
      </c>
      <c r="N809" s="4">
        <f t="shared" si="1"/>
        <v>44349</v>
      </c>
      <c r="O809" s="5" t="str">
        <f>IFERROR(__xludf.DUMMYFUNCTION("IF(REGEXMATCH(TRIM(I809), ""^\d+\s*min""), ""Unclassified"", IF(I809 = """", ""NR"", I809))"),"TV-PG")</f>
        <v>TV-PG</v>
      </c>
      <c r="R809" s="5" t="str">
        <f t="shared" si="2"/>
        <v>Seven Souls In The Skull Castle: Season Moon Kagen</v>
      </c>
      <c r="S809" s="5" t="str">
        <f>IFERROR(__xludf.DUMMYFUNCTION("""COMPUTED_VALUE"""),"Barbie Dreamhouse Adventures: Go Team Roberts")</f>
        <v>Barbie Dreamhouse Adventures: Go Team Roberts</v>
      </c>
      <c r="U809" s="5" t="str">
        <f>IFERROR(__xludf.DUMMYFUNCTION("""COMPUTED_VALUE"""),"Jeremy Grant")</f>
        <v>Jeremy Grant</v>
      </c>
      <c r="V809" s="5" t="s">
        <v>4914</v>
      </c>
      <c r="W809" s="5" t="str">
        <f t="shared" si="3"/>
        <v>Christophe Honoré</v>
      </c>
      <c r="X809" s="5">
        <f t="shared" si="4"/>
        <v>1</v>
      </c>
      <c r="Y809" s="5" t="str">
        <f>IFERROR(__xludf.DUMMYFUNCTION("REGEXEXTRACT(J809, ""^\d+"")"),"212")</f>
        <v>212</v>
      </c>
      <c r="Z809" s="5" t="str">
        <f>IFERROR(__xludf.DUMMYFUNCTION("REGEXEXTRACT(J809, ""[A-Za-z ]+$"")")," min")</f>
        <v> min</v>
      </c>
      <c r="AA809" s="5" t="str">
        <f>IFERROR(__xludf.DUMMYFUNCTION("IF(REGEXMATCH(Z809, ""Season""), ""TV Show"", ""Movie"")"),"Movie")</f>
        <v>Movie</v>
      </c>
    </row>
    <row r="810">
      <c r="A810" s="1" t="s">
        <v>4915</v>
      </c>
      <c r="B810" s="1" t="s">
        <v>27</v>
      </c>
      <c r="C810" s="1" t="s">
        <v>4916</v>
      </c>
      <c r="D810" s="1" t="s">
        <v>4791</v>
      </c>
      <c r="E810" s="1" t="s">
        <v>4917</v>
      </c>
      <c r="F810" s="1" t="s">
        <v>4918</v>
      </c>
      <c r="G810" s="1" t="s">
        <v>4722</v>
      </c>
      <c r="H810" s="1">
        <v>2014.0</v>
      </c>
      <c r="I810" s="1" t="s">
        <v>378</v>
      </c>
      <c r="J810" s="1" t="s">
        <v>357</v>
      </c>
      <c r="K810" s="1" t="s">
        <v>380</v>
      </c>
      <c r="L810" s="1" t="s">
        <v>4919</v>
      </c>
      <c r="M810" s="2" t="s">
        <v>12</v>
      </c>
      <c r="N810" s="4">
        <f t="shared" si="1"/>
        <v>44349</v>
      </c>
      <c r="O810" s="5" t="str">
        <f>IFERROR(__xludf.DUMMYFUNCTION("IF(REGEXMATCH(TRIM(I810), ""^\d+\s*min""), ""Unclassified"", IF(I810 = """", ""NR"", I810))"),"R")</f>
        <v>R</v>
      </c>
      <c r="R810" s="5" t="str">
        <f t="shared" si="2"/>
        <v>Sniper: Legacy</v>
      </c>
      <c r="S810" s="5" t="str">
        <f>IFERROR(__xludf.DUMMYFUNCTION("""COMPUTED_VALUE"""),"Barbie In A Mermaid Tale")</f>
        <v>Barbie In A Mermaid Tale</v>
      </c>
      <c r="U810" s="5" t="str">
        <f>IFERROR(__xludf.DUMMYFUNCTION("""COMPUTED_VALUE"""),"Jeo Baby")</f>
        <v>Jeo Baby</v>
      </c>
      <c r="V810" s="5" t="s">
        <v>1549</v>
      </c>
      <c r="W810" s="5" t="str">
        <f t="shared" si="3"/>
        <v>Christopher Alender</v>
      </c>
      <c r="X810" s="5">
        <f t="shared" si="4"/>
        <v>1</v>
      </c>
      <c r="Y810" s="5" t="str">
        <f>IFERROR(__xludf.DUMMYFUNCTION("REGEXEXTRACT(J810, ""^\d+"")"),"98")</f>
        <v>98</v>
      </c>
      <c r="Z810" s="5" t="str">
        <f>IFERROR(__xludf.DUMMYFUNCTION("REGEXEXTRACT(J810, ""[A-Za-z ]+$"")")," min")</f>
        <v> min</v>
      </c>
      <c r="AA810" s="5" t="str">
        <f>IFERROR(__xludf.DUMMYFUNCTION("IF(REGEXMATCH(Z810, ""Season""), ""TV Show"", ""Movie"")"),"Movie")</f>
        <v>Movie</v>
      </c>
    </row>
    <row r="811">
      <c r="A811" s="1" t="s">
        <v>4920</v>
      </c>
      <c r="B811" s="1" t="s">
        <v>27</v>
      </c>
      <c r="C811" s="1" t="s">
        <v>4921</v>
      </c>
      <c r="D811" s="1" t="s">
        <v>4922</v>
      </c>
      <c r="E811" s="1" t="s">
        <v>4923</v>
      </c>
      <c r="F811" s="1" t="s">
        <v>30</v>
      </c>
      <c r="G811" s="1" t="s">
        <v>4722</v>
      </c>
      <c r="H811" s="1">
        <v>2004.0</v>
      </c>
      <c r="I811" s="1" t="s">
        <v>32</v>
      </c>
      <c r="J811" s="1" t="s">
        <v>1091</v>
      </c>
      <c r="K811" s="1" t="s">
        <v>973</v>
      </c>
      <c r="L811" s="1" t="s">
        <v>4924</v>
      </c>
      <c r="M811" s="2" t="s">
        <v>12</v>
      </c>
      <c r="N811" s="4">
        <f t="shared" si="1"/>
        <v>44349</v>
      </c>
      <c r="O811" s="5" t="str">
        <f>IFERROR(__xludf.DUMMYFUNCTION("IF(REGEXMATCH(TRIM(I811), ""^\d+\s*min""), ""Unclassified"", IF(I811 = """", ""NR"", I811))"),"PG-13")</f>
        <v>PG-13</v>
      </c>
      <c r="R811" s="5" t="str">
        <f t="shared" si="2"/>
        <v>Starsky &amp; Hutch</v>
      </c>
      <c r="S811" s="5" t="str">
        <f>IFERROR(__xludf.DUMMYFUNCTION("""COMPUTED_VALUE"""),"Barbie In Princess Power")</f>
        <v>Barbie In Princess Power</v>
      </c>
      <c r="U811" s="5" t="str">
        <f>IFERROR(__xludf.DUMMYFUNCTION("""COMPUTED_VALUE"""),"Glendyn Ivin")</f>
        <v>Glendyn Ivin</v>
      </c>
      <c r="V811" s="5" t="s">
        <v>4925</v>
      </c>
      <c r="W811" s="5" t="str">
        <f t="shared" si="3"/>
        <v>Christopher Amos</v>
      </c>
      <c r="X811" s="5">
        <f t="shared" si="4"/>
        <v>1</v>
      </c>
      <c r="Y811" s="5" t="str">
        <f>IFERROR(__xludf.DUMMYFUNCTION("REGEXEXTRACT(J811, ""^\d+"")"),"101")</f>
        <v>101</v>
      </c>
      <c r="Z811" s="5" t="str">
        <f>IFERROR(__xludf.DUMMYFUNCTION("REGEXEXTRACT(J811, ""[A-Za-z ]+$"")")," min")</f>
        <v> min</v>
      </c>
      <c r="AA811" s="5" t="str">
        <f>IFERROR(__xludf.DUMMYFUNCTION("IF(REGEXMATCH(Z811, ""Season""), ""TV Show"", ""Movie"")"),"Movie")</f>
        <v>Movie</v>
      </c>
    </row>
    <row r="812">
      <c r="A812" s="1" t="s">
        <v>4926</v>
      </c>
      <c r="B812" s="1" t="s">
        <v>27</v>
      </c>
      <c r="C812" s="1" t="s">
        <v>4927</v>
      </c>
      <c r="D812" s="1" t="s">
        <v>3753</v>
      </c>
      <c r="E812" s="1" t="s">
        <v>4928</v>
      </c>
      <c r="F812" s="1" t="s">
        <v>30</v>
      </c>
      <c r="G812" s="1" t="s">
        <v>4722</v>
      </c>
      <c r="H812" s="1">
        <v>1984.0</v>
      </c>
      <c r="I812" s="1" t="s">
        <v>78</v>
      </c>
      <c r="J812" s="1" t="s">
        <v>170</v>
      </c>
      <c r="K812" s="1" t="s">
        <v>927</v>
      </c>
      <c r="L812" s="1" t="s">
        <v>4929</v>
      </c>
      <c r="M812" s="2" t="s">
        <v>12</v>
      </c>
      <c r="N812" s="4">
        <f t="shared" si="1"/>
        <v>44349</v>
      </c>
      <c r="O812" s="5" t="str">
        <f>IFERROR(__xludf.DUMMYFUNCTION("IF(REGEXMATCH(TRIM(I812), ""^\d+\s*min""), ""Unclassified"", IF(I812 = """", ""NR"", I812))"),"PG")</f>
        <v>PG</v>
      </c>
      <c r="R812" s="5" t="str">
        <f t="shared" si="2"/>
        <v>Streets Of Fire</v>
      </c>
      <c r="S812" s="5" t="str">
        <f>IFERROR(__xludf.DUMMYFUNCTION("""COMPUTED_VALUE"""),"Barbie In Rock 'N Royals")</f>
        <v>Barbie In Rock 'N Royals</v>
      </c>
      <c r="U812" s="5" t="str">
        <f>IFERROR(__xludf.DUMMYFUNCTION("""COMPUTED_VALUE"""),"Okey Oku")</f>
        <v>Okey Oku</v>
      </c>
      <c r="V812" s="5" t="s">
        <v>4930</v>
      </c>
      <c r="W812" s="5" t="str">
        <f t="shared" si="3"/>
        <v>Christopher Cain</v>
      </c>
      <c r="X812" s="5">
        <f t="shared" si="4"/>
        <v>1</v>
      </c>
      <c r="Y812" s="5" t="str">
        <f>IFERROR(__xludf.DUMMYFUNCTION("REGEXEXTRACT(J812, ""^\d+"")"),"94")</f>
        <v>94</v>
      </c>
      <c r="Z812" s="5" t="str">
        <f>IFERROR(__xludf.DUMMYFUNCTION("REGEXEXTRACT(J812, ""[A-Za-z ]+$"")")," min")</f>
        <v> min</v>
      </c>
      <c r="AA812" s="5" t="str">
        <f>IFERROR(__xludf.DUMMYFUNCTION("IF(REGEXMATCH(Z812, ""Season""), ""TV Show"", ""Movie"")"),"Movie")</f>
        <v>Movie</v>
      </c>
    </row>
    <row r="813">
      <c r="A813" s="1" t="s">
        <v>4931</v>
      </c>
      <c r="B813" s="1" t="s">
        <v>27</v>
      </c>
      <c r="C813" s="1" t="s">
        <v>4932</v>
      </c>
      <c r="D813" s="1" t="s">
        <v>4933</v>
      </c>
      <c r="E813" s="1" t="s">
        <v>4934</v>
      </c>
      <c r="G813" s="1" t="s">
        <v>4722</v>
      </c>
      <c r="H813" s="1">
        <v>2021.0</v>
      </c>
      <c r="I813" s="1" t="s">
        <v>206</v>
      </c>
      <c r="J813" s="1" t="s">
        <v>4935</v>
      </c>
      <c r="K813" s="1" t="s">
        <v>80</v>
      </c>
      <c r="L813" s="1" t="s">
        <v>4936</v>
      </c>
      <c r="M813" s="2" t="s">
        <v>12</v>
      </c>
      <c r="N813" s="4">
        <f t="shared" si="1"/>
        <v>44349</v>
      </c>
      <c r="O813" s="5" t="str">
        <f>IFERROR(__xludf.DUMMYFUNCTION("IF(REGEXMATCH(TRIM(I813), ""^\d+\s*min""), ""Unclassified"", IF(I813 = """", ""NR"", I813))"),"TV-Y")</f>
        <v>TV-Y</v>
      </c>
      <c r="R813" s="5" t="str">
        <f t="shared" si="2"/>
        <v>Super Monsters: Once Upon A Rhyme</v>
      </c>
      <c r="S813" s="5" t="str">
        <f>IFERROR(__xludf.DUMMYFUNCTION("""COMPUTED_VALUE"""),"Barbie Life In The Dreamhouse")</f>
        <v>Barbie Life In The Dreamhouse</v>
      </c>
      <c r="U813" s="5" t="str">
        <f>IFERROR(__xludf.DUMMYFUNCTION("""COMPUTED_VALUE"""),"Ifeanyi Ikpoenyi")</f>
        <v>Ifeanyi Ikpoenyi</v>
      </c>
      <c r="V813" s="5" t="s">
        <v>4937</v>
      </c>
      <c r="W813" s="5" t="str">
        <f t="shared" si="3"/>
        <v>Christopher Chambers</v>
      </c>
      <c r="X813" s="5">
        <f t="shared" si="4"/>
        <v>1</v>
      </c>
      <c r="Y813" s="5" t="str">
        <f>IFERROR(__xludf.DUMMYFUNCTION("REGEXEXTRACT(J813, ""^\d+"")"),"25")</f>
        <v>25</v>
      </c>
      <c r="Z813" s="5" t="str">
        <f>IFERROR(__xludf.DUMMYFUNCTION("REGEXEXTRACT(J813, ""[A-Za-z ]+$"")")," min")</f>
        <v> min</v>
      </c>
      <c r="AA813" s="5" t="str">
        <f>IFERROR(__xludf.DUMMYFUNCTION("IF(REGEXMATCH(Z813, ""Season""), ""TV Show"", ""Movie"")"),"Movie")</f>
        <v>Movie</v>
      </c>
    </row>
    <row r="814">
      <c r="A814" s="1" t="s">
        <v>4938</v>
      </c>
      <c r="B814" s="1" t="s">
        <v>27</v>
      </c>
      <c r="C814" s="1" t="s">
        <v>4939</v>
      </c>
      <c r="D814" s="1" t="s">
        <v>4940</v>
      </c>
      <c r="E814" s="1" t="s">
        <v>4941</v>
      </c>
      <c r="F814" s="1" t="s">
        <v>30</v>
      </c>
      <c r="G814" s="1" t="s">
        <v>4722</v>
      </c>
      <c r="H814" s="1">
        <v>2001.0</v>
      </c>
      <c r="I814" s="1" t="s">
        <v>378</v>
      </c>
      <c r="J814" s="1" t="s">
        <v>416</v>
      </c>
      <c r="K814" s="1" t="s">
        <v>380</v>
      </c>
      <c r="L814" s="1" t="s">
        <v>4942</v>
      </c>
      <c r="M814" s="2" t="s">
        <v>12</v>
      </c>
      <c r="N814" s="4">
        <f t="shared" si="1"/>
        <v>44349</v>
      </c>
      <c r="O814" s="5" t="str">
        <f>IFERROR(__xludf.DUMMYFUNCTION("IF(REGEXMATCH(TRIM(I814), ""^\d+\s*min""), ""Unclassified"", IF(I814 = """", ""NR"", I814))"),"R")</f>
        <v>R</v>
      </c>
      <c r="R814" s="5" t="str">
        <f t="shared" si="2"/>
        <v>Swordfish</v>
      </c>
      <c r="S814" s="5" t="str">
        <f>IFERROR(__xludf.DUMMYFUNCTION("""COMPUTED_VALUE"""),"Barbie Princess Adventure")</f>
        <v>Barbie Princess Adventure</v>
      </c>
      <c r="U814" s="5" t="str">
        <f>IFERROR(__xludf.DUMMYFUNCTION("""COMPUTED_VALUE"""),"Chris Eneng Enaji")</f>
        <v>Chris Eneng Enaji</v>
      </c>
      <c r="V814" s="5" t="s">
        <v>4943</v>
      </c>
      <c r="W814" s="5" t="str">
        <f t="shared" si="3"/>
        <v>Christopher Guest</v>
      </c>
      <c r="X814" s="5">
        <f t="shared" si="4"/>
        <v>2</v>
      </c>
      <c r="Y814" s="5" t="str">
        <f>IFERROR(__xludf.DUMMYFUNCTION("REGEXEXTRACT(J814, ""^\d+"")"),"99")</f>
        <v>99</v>
      </c>
      <c r="Z814" s="5" t="str">
        <f>IFERROR(__xludf.DUMMYFUNCTION("REGEXEXTRACT(J814, ""[A-Za-z ]+$"")")," min")</f>
        <v> min</v>
      </c>
      <c r="AA814" s="5" t="str">
        <f>IFERROR(__xludf.DUMMYFUNCTION("IF(REGEXMATCH(Z814, ""Season""), ""TV Show"", ""Movie"")"),"Movie")</f>
        <v>Movie</v>
      </c>
    </row>
    <row r="815">
      <c r="A815" s="1" t="s">
        <v>4944</v>
      </c>
      <c r="B815" s="1" t="s">
        <v>37</v>
      </c>
      <c r="C815" s="1" t="s">
        <v>4945</v>
      </c>
      <c r="E815" s="1" t="s">
        <v>4946</v>
      </c>
      <c r="F815" s="1" t="s">
        <v>897</v>
      </c>
      <c r="G815" s="1" t="s">
        <v>4722</v>
      </c>
      <c r="H815" s="1">
        <v>1993.0</v>
      </c>
      <c r="I815" s="1" t="s">
        <v>289</v>
      </c>
      <c r="J815" s="1" t="s">
        <v>51</v>
      </c>
      <c r="K815" s="1" t="s">
        <v>290</v>
      </c>
      <c r="L815" s="1" t="s">
        <v>4947</v>
      </c>
      <c r="M815" s="2" t="s">
        <v>12</v>
      </c>
      <c r="N815" s="4">
        <f t="shared" si="1"/>
        <v>44349</v>
      </c>
      <c r="O815" s="5" t="str">
        <f>IFERROR(__xludf.DUMMYFUNCTION("IF(REGEXMATCH(TRIM(I815), ""^\d+\s*min""), ""Unclassified"", IF(I815 = """", ""NR"", I815))"),"TV-Y7")</f>
        <v>TV-Y7</v>
      </c>
      <c r="R815" s="5" t="str">
        <f t="shared" si="2"/>
        <v>The Adventures Of Sonic The Hedgehog</v>
      </c>
      <c r="S815" s="5" t="str">
        <f>IFERROR(__xludf.DUMMYFUNCTION("""COMPUTED_VALUE"""),"Barbie Star Light Adventure")</f>
        <v>Barbie Star Light Adventure</v>
      </c>
      <c r="U815" s="5" t="str">
        <f>IFERROR(__xludf.DUMMYFUNCTION("""COMPUTED_VALUE"""),"Ángeles Reiné")</f>
        <v>Ángeles Reiné</v>
      </c>
      <c r="V815" s="5" t="s">
        <v>4948</v>
      </c>
      <c r="W815" s="5" t="str">
        <f t="shared" si="3"/>
        <v>Christopher Louie</v>
      </c>
      <c r="X815" s="5">
        <f t="shared" si="4"/>
        <v>1</v>
      </c>
      <c r="Y815" s="5" t="str">
        <f>IFERROR(__xludf.DUMMYFUNCTION("REGEXEXTRACT(J815, ""^\d+"")"),"1")</f>
        <v>1</v>
      </c>
      <c r="Z815" s="5" t="str">
        <f>IFERROR(__xludf.DUMMYFUNCTION("REGEXEXTRACT(J815, ""[A-Za-z ]+$"")")," Season")</f>
        <v> Season</v>
      </c>
      <c r="AA815" s="5" t="str">
        <f>IFERROR(__xludf.DUMMYFUNCTION("IF(REGEXMATCH(Z815, ""Season""), ""TV Show"", ""Movie"")"),"TV Show")</f>
        <v>TV Show</v>
      </c>
    </row>
    <row r="816">
      <c r="A816" s="1" t="s">
        <v>4949</v>
      </c>
      <c r="B816" s="1" t="s">
        <v>27</v>
      </c>
      <c r="C816" s="1" t="s">
        <v>4950</v>
      </c>
      <c r="D816" s="1" t="s">
        <v>860</v>
      </c>
      <c r="E816" s="1" t="s">
        <v>4951</v>
      </c>
      <c r="F816" s="1" t="s">
        <v>30</v>
      </c>
      <c r="G816" s="1" t="s">
        <v>4722</v>
      </c>
      <c r="H816" s="1">
        <v>1981.0</v>
      </c>
      <c r="I816" s="1" t="s">
        <v>78</v>
      </c>
      <c r="J816" s="1" t="s">
        <v>912</v>
      </c>
      <c r="K816" s="1" t="s">
        <v>813</v>
      </c>
      <c r="L816" s="1" t="s">
        <v>4952</v>
      </c>
      <c r="M816" s="2" t="s">
        <v>12</v>
      </c>
      <c r="N816" s="4">
        <f t="shared" si="1"/>
        <v>44349</v>
      </c>
      <c r="O816" s="5" t="str">
        <f>IFERROR(__xludf.DUMMYFUNCTION("IF(REGEXMATCH(TRIM(I816), ""^\d+\s*min""), ""Unclassified"", IF(I816 = """", ""NR"", I816))"),"PG")</f>
        <v>PG</v>
      </c>
      <c r="R816" s="5" t="str">
        <f t="shared" si="2"/>
        <v>The Four Seasons</v>
      </c>
      <c r="S816" s="5" t="str">
        <f>IFERROR(__xludf.DUMMYFUNCTION("""COMPUTED_VALUE"""),"Barbie: A Fairy Secret")</f>
        <v>Barbie: A Fairy Secret</v>
      </c>
      <c r="U816" s="5" t="str">
        <f>IFERROR(__xludf.DUMMYFUNCTION("""COMPUTED_VALUE"""),"Paul Haggis")</f>
        <v>Paul Haggis</v>
      </c>
      <c r="V816" s="5" t="s">
        <v>4953</v>
      </c>
      <c r="W816" s="5" t="str">
        <f t="shared" si="3"/>
        <v>Christopher Martin</v>
      </c>
      <c r="X816" s="5">
        <f t="shared" si="4"/>
        <v>1</v>
      </c>
      <c r="Y816" s="5" t="str">
        <f>IFERROR(__xludf.DUMMYFUNCTION("REGEXEXTRACT(J816, ""^\d+"")"),"108")</f>
        <v>108</v>
      </c>
      <c r="Z816" s="5" t="str">
        <f>IFERROR(__xludf.DUMMYFUNCTION("REGEXEXTRACT(J816, ""[A-Za-z ]+$"")")," min")</f>
        <v> min</v>
      </c>
      <c r="AA816" s="5" t="str">
        <f>IFERROR(__xludf.DUMMYFUNCTION("IF(REGEXMATCH(Z816, ""Season""), ""TV Show"", ""Movie"")"),"Movie")</f>
        <v>Movie</v>
      </c>
    </row>
    <row r="817">
      <c r="A817" s="1" t="s">
        <v>4954</v>
      </c>
      <c r="B817" s="1" t="s">
        <v>27</v>
      </c>
      <c r="C817" s="1" t="s">
        <v>4955</v>
      </c>
      <c r="D817" s="1" t="s">
        <v>4956</v>
      </c>
      <c r="E817" s="1" t="s">
        <v>4957</v>
      </c>
      <c r="G817" s="1" t="s">
        <v>4722</v>
      </c>
      <c r="H817" s="1">
        <v>2015.0</v>
      </c>
      <c r="I817" s="1" t="s">
        <v>42</v>
      </c>
      <c r="J817" s="1" t="s">
        <v>256</v>
      </c>
      <c r="K817" s="1" t="s">
        <v>4958</v>
      </c>
      <c r="L817" s="1" t="s">
        <v>4959</v>
      </c>
      <c r="M817" s="2" t="s">
        <v>12</v>
      </c>
      <c r="N817" s="4">
        <f t="shared" si="1"/>
        <v>44349</v>
      </c>
      <c r="O817" s="5" t="str">
        <f>IFERROR(__xludf.DUMMYFUNCTION("IF(REGEXMATCH(TRIM(I817), ""^\d+\s*min""), ""Unclassified"", IF(I817 = """", ""NR"", I817))"),"TV-MA")</f>
        <v>TV-MA</v>
      </c>
      <c r="R817" s="5" t="str">
        <f t="shared" si="2"/>
        <v>The Girl King</v>
      </c>
      <c r="S817" s="5" t="str">
        <f>IFERROR(__xludf.DUMMYFUNCTION("""COMPUTED_VALUE"""),"Barbie: Princess Charm School")</f>
        <v>Barbie: Princess Charm School</v>
      </c>
      <c r="U817" s="5" t="str">
        <f>IFERROR(__xludf.DUMMYFUNCTION("""COMPUTED_VALUE"""),"Ramin Bahrani")</f>
        <v>Ramin Bahrani</v>
      </c>
      <c r="V817" s="5" t="s">
        <v>4960</v>
      </c>
      <c r="W817" s="5" t="str">
        <f t="shared" si="3"/>
        <v>Christopher Murray</v>
      </c>
      <c r="X817" s="5">
        <f t="shared" si="4"/>
        <v>1</v>
      </c>
      <c r="Y817" s="5" t="str">
        <f>IFERROR(__xludf.DUMMYFUNCTION("REGEXEXTRACT(J817, ""^\d+"")"),"106")</f>
        <v>106</v>
      </c>
      <c r="Z817" s="5" t="str">
        <f>IFERROR(__xludf.DUMMYFUNCTION("REGEXEXTRACT(J817, ""[A-Za-z ]+$"")")," min")</f>
        <v> min</v>
      </c>
      <c r="AA817" s="5" t="str">
        <f>IFERROR(__xludf.DUMMYFUNCTION("IF(REGEXMATCH(Z817, ""Season""), ""TV Show"", ""Movie"")"),"Movie")</f>
        <v>Movie</v>
      </c>
    </row>
    <row r="818">
      <c r="A818" s="1" t="s">
        <v>4961</v>
      </c>
      <c r="B818" s="1" t="s">
        <v>27</v>
      </c>
      <c r="C818" s="1" t="s">
        <v>4962</v>
      </c>
      <c r="D818" s="1" t="s">
        <v>4963</v>
      </c>
      <c r="E818" s="1" t="s">
        <v>4964</v>
      </c>
      <c r="F818" s="1" t="s">
        <v>4965</v>
      </c>
      <c r="G818" s="1" t="s">
        <v>4722</v>
      </c>
      <c r="H818" s="1">
        <v>2005.0</v>
      </c>
      <c r="I818" s="1" t="s">
        <v>32</v>
      </c>
      <c r="J818" s="1" t="s">
        <v>757</v>
      </c>
      <c r="K818" s="1" t="s">
        <v>171</v>
      </c>
      <c r="L818" s="1" t="s">
        <v>4966</v>
      </c>
      <c r="M818" s="2" t="s">
        <v>12</v>
      </c>
      <c r="N818" s="4">
        <f t="shared" si="1"/>
        <v>44349</v>
      </c>
      <c r="O818" s="5" t="str">
        <f>IFERROR(__xludf.DUMMYFUNCTION("IF(REGEXMATCH(TRIM(I818), ""^\d+\s*min""), ""Unclassified"", IF(I818 = """", ""NR"", I818))"),"PG-13")</f>
        <v>PG-13</v>
      </c>
      <c r="R818" s="5" t="str">
        <f t="shared" si="2"/>
        <v>The Interpreter</v>
      </c>
      <c r="S818" s="5" t="str">
        <f>IFERROR(__xludf.DUMMYFUNCTION("""COMPUTED_VALUE"""),"Barbie: Spy Squad")</f>
        <v>Barbie: Spy Squad</v>
      </c>
      <c r="U818" s="5" t="str">
        <f>IFERROR(__xludf.DUMMYFUNCTION("""COMPUTED_VALUE"""),"Nicol Paone")</f>
        <v>Nicol Paone</v>
      </c>
      <c r="V818" s="5" t="s">
        <v>2214</v>
      </c>
      <c r="W818" s="5" t="str">
        <f t="shared" si="3"/>
        <v>Christopher Nolan</v>
      </c>
      <c r="X818" s="5">
        <f t="shared" si="4"/>
        <v>1</v>
      </c>
      <c r="Y818" s="5" t="str">
        <f>IFERROR(__xludf.DUMMYFUNCTION("REGEXEXTRACT(J818, ""^\d+"")"),"128")</f>
        <v>128</v>
      </c>
      <c r="Z818" s="5" t="str">
        <f>IFERROR(__xludf.DUMMYFUNCTION("REGEXEXTRACT(J818, ""[A-Za-z ]+$"")")," min")</f>
        <v> min</v>
      </c>
      <c r="AA818" s="5" t="str">
        <f>IFERROR(__xludf.DUMMYFUNCTION("IF(REGEXMATCH(Z818, ""Season""), ""TV Show"", ""Movie"")"),"Movie")</f>
        <v>Movie</v>
      </c>
    </row>
    <row r="819">
      <c r="A819" s="1" t="s">
        <v>4967</v>
      </c>
      <c r="B819" s="1" t="s">
        <v>27</v>
      </c>
      <c r="C819" s="1" t="s">
        <v>4968</v>
      </c>
      <c r="D819" s="1" t="s">
        <v>4969</v>
      </c>
      <c r="E819" s="1" t="s">
        <v>4970</v>
      </c>
      <c r="F819" s="1" t="s">
        <v>30</v>
      </c>
      <c r="G819" s="1" t="s">
        <v>4722</v>
      </c>
      <c r="H819" s="1">
        <v>2015.0</v>
      </c>
      <c r="I819" s="1" t="s">
        <v>32</v>
      </c>
      <c r="J819" s="1" t="s">
        <v>106</v>
      </c>
      <c r="K819" s="1" t="s">
        <v>836</v>
      </c>
      <c r="L819" s="1" t="s">
        <v>4971</v>
      </c>
      <c r="M819" s="2" t="s">
        <v>12</v>
      </c>
      <c r="N819" s="4">
        <f t="shared" si="1"/>
        <v>44349</v>
      </c>
      <c r="O819" s="5" t="str">
        <f>IFERROR(__xludf.DUMMYFUNCTION("IF(REGEXMATCH(TRIM(I819), ""^\d+\s*min""), ""Unclassified"", IF(I819 = """", ""NR"", I819))"),"PG-13")</f>
        <v>PG-13</v>
      </c>
      <c r="R819" s="5" t="str">
        <f t="shared" si="2"/>
        <v>The Meddler</v>
      </c>
      <c r="S819" s="5" t="str">
        <f>IFERROR(__xludf.DUMMYFUNCTION("""COMPUTED_VALUE"""),"Barbie: The Princess &amp; The Popstar")</f>
        <v>Barbie: The Princess &amp; The Popstar</v>
      </c>
      <c r="U819" s="5" t="str">
        <f>IFERROR(__xludf.DUMMYFUNCTION("""COMPUTED_VALUE"""),"Nick Rowland")</f>
        <v>Nick Rowland</v>
      </c>
      <c r="V819" s="5" t="s">
        <v>4972</v>
      </c>
      <c r="W819" s="5" t="str">
        <f t="shared" si="3"/>
        <v>Christopher Nolen</v>
      </c>
      <c r="X819" s="5">
        <f t="shared" si="4"/>
        <v>3</v>
      </c>
      <c r="Y819" s="5" t="str">
        <f>IFERROR(__xludf.DUMMYFUNCTION("REGEXEXTRACT(J819, ""^\d+"")"),"104")</f>
        <v>104</v>
      </c>
      <c r="Z819" s="5" t="str">
        <f>IFERROR(__xludf.DUMMYFUNCTION("REGEXEXTRACT(J819, ""[A-Za-z ]+$"")")," min")</f>
        <v> min</v>
      </c>
      <c r="AA819" s="5" t="str">
        <f>IFERROR(__xludf.DUMMYFUNCTION("IF(REGEXMATCH(Z819, ""Season""), ""TV Show"", ""Movie"")"),"Movie")</f>
        <v>Movie</v>
      </c>
    </row>
    <row r="820">
      <c r="A820" s="1" t="s">
        <v>4973</v>
      </c>
      <c r="B820" s="1" t="s">
        <v>27</v>
      </c>
      <c r="C820" s="1" t="s">
        <v>4974</v>
      </c>
      <c r="D820" s="1" t="s">
        <v>2990</v>
      </c>
      <c r="E820" s="1" t="s">
        <v>4975</v>
      </c>
      <c r="F820" s="1" t="s">
        <v>30</v>
      </c>
      <c r="G820" s="1" t="s">
        <v>4722</v>
      </c>
      <c r="H820" s="1">
        <v>1996.0</v>
      </c>
      <c r="I820" s="1" t="s">
        <v>32</v>
      </c>
      <c r="J820" s="1" t="s">
        <v>127</v>
      </c>
      <c r="K820" s="1" t="s">
        <v>1099</v>
      </c>
      <c r="L820" s="1" t="s">
        <v>4976</v>
      </c>
      <c r="M820" s="2" t="s">
        <v>12</v>
      </c>
      <c r="N820" s="4">
        <f t="shared" si="1"/>
        <v>44349</v>
      </c>
      <c r="O820" s="5" t="str">
        <f>IFERROR(__xludf.DUMMYFUNCTION("IF(REGEXMATCH(TRIM(I820), ""^\d+\s*min""), ""Unclassified"", IF(I820 = """", ""NR"", I820))"),"PG-13")</f>
        <v>PG-13</v>
      </c>
      <c r="R820" s="5" t="str">
        <f t="shared" si="2"/>
        <v>The Mirror Has Two Faces</v>
      </c>
      <c r="S820" s="5" t="str">
        <f>IFERROR(__xludf.DUMMYFUNCTION("""COMPUTED_VALUE"""),"Barbie: Video Game Hero")</f>
        <v>Barbie: Video Game Hero</v>
      </c>
      <c r="U820" s="5" t="str">
        <f>IFERROR(__xludf.DUMMYFUNCTION("""COMPUTED_VALUE"""),"Rza")</f>
        <v>Rza</v>
      </c>
      <c r="V820" s="5" t="s">
        <v>4977</v>
      </c>
      <c r="W820" s="5" t="str">
        <f t="shared" si="3"/>
        <v>Christopher Ray</v>
      </c>
      <c r="X820" s="5">
        <f t="shared" si="4"/>
        <v>1</v>
      </c>
      <c r="Y820" s="5" t="str">
        <f>IFERROR(__xludf.DUMMYFUNCTION("REGEXEXTRACT(J820, ""^\d+"")"),"127")</f>
        <v>127</v>
      </c>
      <c r="Z820" s="5" t="str">
        <f>IFERROR(__xludf.DUMMYFUNCTION("REGEXEXTRACT(J820, ""[A-Za-z ]+$"")")," min")</f>
        <v> min</v>
      </c>
      <c r="AA820" s="5" t="str">
        <f>IFERROR(__xludf.DUMMYFUNCTION("IF(REGEXMATCH(Z820, ""Season""), ""TV Show"", ""Movie"")"),"Movie")</f>
        <v>Movie</v>
      </c>
    </row>
    <row r="821">
      <c r="A821" s="1" t="s">
        <v>4978</v>
      </c>
      <c r="B821" s="1" t="s">
        <v>27</v>
      </c>
      <c r="C821" s="1" t="s">
        <v>4979</v>
      </c>
      <c r="D821" s="1" t="s">
        <v>2279</v>
      </c>
      <c r="E821" s="1" t="s">
        <v>4980</v>
      </c>
      <c r="F821" s="1" t="s">
        <v>30</v>
      </c>
      <c r="G821" s="1" t="s">
        <v>4722</v>
      </c>
      <c r="H821" s="1">
        <v>1976.0</v>
      </c>
      <c r="I821" s="1" t="s">
        <v>78</v>
      </c>
      <c r="J821" s="1" t="s">
        <v>1383</v>
      </c>
      <c r="K821" s="1" t="s">
        <v>1236</v>
      </c>
      <c r="L821" s="1" t="s">
        <v>4981</v>
      </c>
      <c r="M821" s="2" t="s">
        <v>12</v>
      </c>
      <c r="N821" s="4">
        <f t="shared" si="1"/>
        <v>44349</v>
      </c>
      <c r="O821" s="5" t="str">
        <f>IFERROR(__xludf.DUMMYFUNCTION("IF(REGEXMATCH(TRIM(I821), ""^\d+\s*min""), ""Unclassified"", IF(I821 = """", ""NR"", I821))"),"PG")</f>
        <v>PG</v>
      </c>
      <c r="R821" s="5" t="str">
        <f t="shared" si="2"/>
        <v>The Outlaw Josey Wales</v>
      </c>
      <c r="S821" s="5" t="str">
        <f>IFERROR(__xludf.DUMMYFUNCTION("""COMPUTED_VALUE"""),"Barbra: The Music ... The Mem'Ries ... The Magic!")</f>
        <v>Barbra: The Music ... The Mem'Ries ... The Magic!</v>
      </c>
      <c r="U821" s="5" t="str">
        <f>IFERROR(__xludf.DUMMYFUNCTION("""COMPUTED_VALUE"""),"Cooper Karl")</f>
        <v>Cooper Karl</v>
      </c>
      <c r="V821" s="5" t="s">
        <v>4982</v>
      </c>
      <c r="W821" s="5" t="str">
        <f t="shared" si="3"/>
        <v>Christopher S. Rech, Brandon Kimber</v>
      </c>
      <c r="X821" s="5">
        <f t="shared" si="4"/>
        <v>1</v>
      </c>
      <c r="Y821" s="5" t="str">
        <f>IFERROR(__xludf.DUMMYFUNCTION("REGEXEXTRACT(J821, ""^\d+"")"),"136")</f>
        <v>136</v>
      </c>
      <c r="Z821" s="5" t="str">
        <f>IFERROR(__xludf.DUMMYFUNCTION("REGEXEXTRACT(J821, ""[A-Za-z ]+$"")")," min")</f>
        <v> min</v>
      </c>
      <c r="AA821" s="5" t="str">
        <f>IFERROR(__xludf.DUMMYFUNCTION("IF(REGEXMATCH(Z821, ""Season""), ""TV Show"", ""Movie"")"),"Movie")</f>
        <v>Movie</v>
      </c>
    </row>
    <row r="822">
      <c r="A822" s="1" t="s">
        <v>4983</v>
      </c>
      <c r="B822" s="1" t="s">
        <v>37</v>
      </c>
      <c r="C822" s="1" t="s">
        <v>4984</v>
      </c>
      <c r="E822" s="1" t="s">
        <v>4985</v>
      </c>
      <c r="F822" s="1" t="s">
        <v>4557</v>
      </c>
      <c r="G822" s="1" t="s">
        <v>4722</v>
      </c>
      <c r="H822" s="1">
        <v>2021.0</v>
      </c>
      <c r="I822" s="1" t="s">
        <v>97</v>
      </c>
      <c r="J822" s="1" t="s">
        <v>276</v>
      </c>
      <c r="K822" s="1" t="s">
        <v>44</v>
      </c>
      <c r="L822" s="1" t="s">
        <v>4986</v>
      </c>
      <c r="M822" s="2" t="s">
        <v>12</v>
      </c>
      <c r="N822" s="4">
        <f t="shared" si="1"/>
        <v>44349</v>
      </c>
      <c r="O822" s="5" t="str">
        <f>IFERROR(__xludf.DUMMYFUNCTION("IF(REGEXMATCH(TRIM(I822), ""^\d+\s*min""), ""Unclassified"", IF(I822 = """", ""NR"", I822))"),"TV-14")</f>
        <v>TV-14</v>
      </c>
      <c r="R822" s="5" t="str">
        <f t="shared" si="2"/>
        <v>The Platform</v>
      </c>
      <c r="S822" s="5" t="str">
        <f>IFERROR(__xludf.DUMMYFUNCTION("""COMPUTED_VALUE"""),"Barça Dreams")</f>
        <v>Barça Dreams</v>
      </c>
      <c r="U822" s="5" t="str">
        <f>IFERROR(__xludf.DUMMYFUNCTION("""COMPUTED_VALUE"""),"Gary Fleder")</f>
        <v>Gary Fleder</v>
      </c>
      <c r="V822" s="5" t="s">
        <v>4987</v>
      </c>
      <c r="W822" s="5" t="str">
        <f t="shared" si="3"/>
        <v>Christopher Smith</v>
      </c>
      <c r="X822" s="5">
        <f t="shared" si="4"/>
        <v>2</v>
      </c>
      <c r="Y822" s="5" t="str">
        <f>IFERROR(__xludf.DUMMYFUNCTION("REGEXEXTRACT(J822, ""^\d+"")"),"3")</f>
        <v>3</v>
      </c>
      <c r="Z822" s="5" t="str">
        <f>IFERROR(__xludf.DUMMYFUNCTION("REGEXEXTRACT(J822, ""[A-Za-z ]+$"")")," Seasons")</f>
        <v> Seasons</v>
      </c>
      <c r="AA822" s="5" t="str">
        <f>IFERROR(__xludf.DUMMYFUNCTION("IF(REGEXMATCH(Z822, ""Season""), ""TV Show"", ""Movie"")"),"TV Show")</f>
        <v>TV Show</v>
      </c>
    </row>
    <row r="823">
      <c r="A823" s="1" t="s">
        <v>4988</v>
      </c>
      <c r="B823" s="1" t="s">
        <v>27</v>
      </c>
      <c r="C823" s="1" t="s">
        <v>4989</v>
      </c>
      <c r="D823" s="1" t="s">
        <v>4990</v>
      </c>
      <c r="E823" s="1" t="s">
        <v>4991</v>
      </c>
      <c r="F823" s="1" t="s">
        <v>96</v>
      </c>
      <c r="G823" s="1" t="s">
        <v>4722</v>
      </c>
      <c r="H823" s="1">
        <v>2018.0</v>
      </c>
      <c r="I823" s="1" t="s">
        <v>378</v>
      </c>
      <c r="J823" s="1" t="s">
        <v>247</v>
      </c>
      <c r="K823" s="1" t="s">
        <v>4992</v>
      </c>
      <c r="L823" s="1" t="s">
        <v>4993</v>
      </c>
      <c r="M823" s="2" t="s">
        <v>12</v>
      </c>
      <c r="N823" s="4">
        <f t="shared" si="1"/>
        <v>44349</v>
      </c>
      <c r="O823" s="5" t="str">
        <f>IFERROR(__xludf.DUMMYFUNCTION("IF(REGEXMATCH(TRIM(I823), ""^\d+\s*min""), ""Unclassified"", IF(I823 = """", ""NR"", I823))"),"R")</f>
        <v>R</v>
      </c>
      <c r="R823" s="5" t="str">
        <f t="shared" si="2"/>
        <v>The Wedding Guest</v>
      </c>
      <c r="S823" s="5" t="str">
        <f>IFERROR(__xludf.DUMMYFUNCTION("""COMPUTED_VALUE"""),"Barcelona: A Love Untold")</f>
        <v>Barcelona: A Love Untold</v>
      </c>
      <c r="U823" s="5" t="str">
        <f>IFERROR(__xludf.DUMMYFUNCTION("""COMPUTED_VALUE"""),"J.A. Bayona")</f>
        <v>J.A. Bayona</v>
      </c>
      <c r="V823" s="5" t="s">
        <v>4994</v>
      </c>
      <c r="W823" s="5" t="str">
        <f t="shared" si="3"/>
        <v>Christopher Storer</v>
      </c>
      <c r="X823" s="5">
        <f t="shared" si="4"/>
        <v>2</v>
      </c>
      <c r="Y823" s="5" t="str">
        <f>IFERROR(__xludf.DUMMYFUNCTION("REGEXEXTRACT(J823, ""^\d+"")"),"97")</f>
        <v>97</v>
      </c>
      <c r="Z823" s="5" t="str">
        <f>IFERROR(__xludf.DUMMYFUNCTION("REGEXEXTRACT(J823, ""[A-Za-z ]+$"")")," min")</f>
        <v> min</v>
      </c>
      <c r="AA823" s="5" t="str">
        <f>IFERROR(__xludf.DUMMYFUNCTION("IF(REGEXMATCH(Z823, ""Season""), ""TV Show"", ""Movie"")"),"Movie")</f>
        <v>Movie</v>
      </c>
    </row>
    <row r="824">
      <c r="A824" s="1" t="s">
        <v>4995</v>
      </c>
      <c r="B824" s="1" t="s">
        <v>27</v>
      </c>
      <c r="C824" s="1" t="s">
        <v>4996</v>
      </c>
      <c r="D824" s="1" t="s">
        <v>4997</v>
      </c>
      <c r="E824" s="1" t="s">
        <v>4998</v>
      </c>
      <c r="F824" s="1" t="s">
        <v>30</v>
      </c>
      <c r="G824" s="1" t="s">
        <v>4722</v>
      </c>
      <c r="H824" s="1">
        <v>2019.0</v>
      </c>
      <c r="I824" s="1" t="s">
        <v>378</v>
      </c>
      <c r="J824" s="1" t="s">
        <v>428</v>
      </c>
      <c r="K824" s="1" t="s">
        <v>1551</v>
      </c>
      <c r="L824" s="1" t="s">
        <v>4999</v>
      </c>
      <c r="M824" s="2" t="s">
        <v>12</v>
      </c>
      <c r="N824" s="4">
        <f t="shared" si="1"/>
        <v>44349</v>
      </c>
      <c r="O824" s="5" t="str">
        <f>IFERROR(__xludf.DUMMYFUNCTION("IF(REGEXMATCH(TRIM(I824), ""^\d+\s*min""), ""Unclassified"", IF(I824 = """", ""NR"", I824))"),"R")</f>
        <v>R</v>
      </c>
      <c r="R824" s="5" t="str">
        <f t="shared" si="2"/>
        <v>The Wind</v>
      </c>
      <c r="S824" s="5" t="str">
        <f>IFERROR(__xludf.DUMMYFUNCTION("""COMPUTED_VALUE"""),"Bard Of Blood")</f>
        <v>Bard Of Blood</v>
      </c>
      <c r="U824" s="5" t="str">
        <f>IFERROR(__xludf.DUMMYFUNCTION("""COMPUTED_VALUE"""),"Darren Lynn Bousman")</f>
        <v>Darren Lynn Bousman</v>
      </c>
      <c r="V824" s="5" t="s">
        <v>5000</v>
      </c>
      <c r="W824" s="5" t="str">
        <f t="shared" si="3"/>
        <v>Chuck Russell</v>
      </c>
      <c r="X824" s="5">
        <f t="shared" si="4"/>
        <v>1</v>
      </c>
      <c r="Y824" s="5" t="str">
        <f>IFERROR(__xludf.DUMMYFUNCTION("REGEXEXTRACT(J824, ""^\d+"")"),"88")</f>
        <v>88</v>
      </c>
      <c r="Z824" s="5" t="str">
        <f>IFERROR(__xludf.DUMMYFUNCTION("REGEXEXTRACT(J824, ""[A-Za-z ]+$"")")," min")</f>
        <v> min</v>
      </c>
      <c r="AA824" s="5" t="str">
        <f>IFERROR(__xludf.DUMMYFUNCTION("IF(REGEXMATCH(Z824, ""Season""), ""TV Show"", ""Movie"")"),"Movie")</f>
        <v>Movie</v>
      </c>
    </row>
    <row r="825">
      <c r="A825" s="1" t="s">
        <v>5001</v>
      </c>
      <c r="B825" s="1" t="s">
        <v>27</v>
      </c>
      <c r="C825" s="1" t="s">
        <v>5002</v>
      </c>
      <c r="D825" s="1" t="s">
        <v>5003</v>
      </c>
      <c r="E825" s="1" t="s">
        <v>5004</v>
      </c>
      <c r="F825" s="1" t="s">
        <v>30</v>
      </c>
      <c r="G825" s="1" t="s">
        <v>4722</v>
      </c>
      <c r="H825" s="1">
        <v>2019.0</v>
      </c>
      <c r="I825" s="1" t="s">
        <v>42</v>
      </c>
      <c r="J825" s="1" t="s">
        <v>247</v>
      </c>
      <c r="K825" s="1" t="s">
        <v>836</v>
      </c>
      <c r="L825" s="1" t="s">
        <v>5005</v>
      </c>
      <c r="M825" s="2" t="s">
        <v>12</v>
      </c>
      <c r="N825" s="4">
        <f t="shared" si="1"/>
        <v>44349</v>
      </c>
      <c r="O825" s="5" t="str">
        <f>IFERROR(__xludf.DUMMYFUNCTION("IF(REGEXMATCH(TRIM(I825), ""^\d+\s*min""), ""Unclassified"", IF(I825 = """", ""NR"", I825))"),"TV-MA")</f>
        <v>TV-MA</v>
      </c>
      <c r="R825" s="5" t="str">
        <f t="shared" si="2"/>
        <v>Then Came You</v>
      </c>
      <c r="S825" s="5" t="str">
        <f>IFERROR(__xludf.DUMMYFUNCTION("""COMPUTED_VALUE"""),"Bareilly Ki Barfi")</f>
        <v>Bareilly Ki Barfi</v>
      </c>
      <c r="U825" s="5" t="str">
        <f>IFERROR(__xludf.DUMMYFUNCTION("""COMPUTED_VALUE"""),"Lydia Dean Pilcher, Ginny Mohler")</f>
        <v>Lydia Dean Pilcher, Ginny Mohler</v>
      </c>
      <c r="V825" s="5" t="s">
        <v>5006</v>
      </c>
      <c r="W825" s="5" t="str">
        <f t="shared" si="3"/>
        <v>Chun Wong</v>
      </c>
      <c r="X825" s="5">
        <f t="shared" si="4"/>
        <v>1</v>
      </c>
      <c r="Y825" s="5" t="str">
        <f>IFERROR(__xludf.DUMMYFUNCTION("REGEXEXTRACT(J825, ""^\d+"")"),"97")</f>
        <v>97</v>
      </c>
      <c r="Z825" s="5" t="str">
        <f>IFERROR(__xludf.DUMMYFUNCTION("REGEXEXTRACT(J825, ""[A-Za-z ]+$"")")," min")</f>
        <v> min</v>
      </c>
      <c r="AA825" s="5" t="str">
        <f>IFERROR(__xludf.DUMMYFUNCTION("IF(REGEXMATCH(Z825, ""Season""), ""TV Show"", ""Movie"")"),"Movie")</f>
        <v>Movie</v>
      </c>
    </row>
    <row r="826">
      <c r="A826" s="1" t="s">
        <v>5007</v>
      </c>
      <c r="B826" s="1" t="s">
        <v>27</v>
      </c>
      <c r="C826" s="1" t="s">
        <v>5008</v>
      </c>
      <c r="D826" s="1" t="s">
        <v>5009</v>
      </c>
      <c r="E826" s="1" t="s">
        <v>5010</v>
      </c>
      <c r="F826" s="1" t="s">
        <v>30</v>
      </c>
      <c r="G826" s="1" t="s">
        <v>4722</v>
      </c>
      <c r="H826" s="1">
        <v>2018.0</v>
      </c>
      <c r="I826" s="1" t="s">
        <v>378</v>
      </c>
      <c r="J826" s="1" t="s">
        <v>247</v>
      </c>
      <c r="K826" s="1" t="s">
        <v>171</v>
      </c>
      <c r="L826" s="1" t="s">
        <v>5011</v>
      </c>
      <c r="M826" s="2" t="s">
        <v>12</v>
      </c>
      <c r="N826" s="4">
        <f t="shared" si="1"/>
        <v>44349</v>
      </c>
      <c r="O826" s="5" t="str">
        <f>IFERROR(__xludf.DUMMYFUNCTION("IF(REGEXMATCH(TRIM(I826), ""^\d+\s*min""), ""Unclassified"", IF(I826 = """", ""NR"", I826))"),"R")</f>
        <v>R</v>
      </c>
      <c r="R826" s="5" t="str">
        <f t="shared" si="2"/>
        <v>Welcome Home</v>
      </c>
      <c r="S826" s="5" t="str">
        <f>IFERROR(__xludf.DUMMYFUNCTION("""COMPUTED_VALUE"""),"Barely Lethal")</f>
        <v>Barely Lethal</v>
      </c>
      <c r="U826" s="5" t="str">
        <f>IFERROR(__xludf.DUMMYFUNCTION("""COMPUTED_VALUE"""),"Cris D'Amato")</f>
        <v>Cris D'Amato</v>
      </c>
      <c r="V826" s="5" t="s">
        <v>5012</v>
      </c>
      <c r="W826" s="5" t="str">
        <f t="shared" si="3"/>
        <v>Chung Mong-Hong</v>
      </c>
      <c r="X826" s="5">
        <f t="shared" si="4"/>
        <v>1</v>
      </c>
      <c r="Y826" s="5" t="str">
        <f>IFERROR(__xludf.DUMMYFUNCTION("REGEXEXTRACT(J826, ""^\d+"")"),"97")</f>
        <v>97</v>
      </c>
      <c r="Z826" s="5" t="str">
        <f>IFERROR(__xludf.DUMMYFUNCTION("REGEXEXTRACT(J826, ""[A-Za-z ]+$"")")," min")</f>
        <v> min</v>
      </c>
      <c r="AA826" s="5" t="str">
        <f>IFERROR(__xludf.DUMMYFUNCTION("IF(REGEXMATCH(Z826, ""Season""), ""TV Show"", ""Movie"")"),"Movie")</f>
        <v>Movie</v>
      </c>
    </row>
    <row r="827">
      <c r="A827" s="1" t="s">
        <v>5013</v>
      </c>
      <c r="B827" s="1" t="s">
        <v>37</v>
      </c>
      <c r="C827" s="1" t="s">
        <v>5014</v>
      </c>
      <c r="E827" s="1" t="s">
        <v>5015</v>
      </c>
      <c r="F827" s="1" t="s">
        <v>30</v>
      </c>
      <c r="G827" s="7">
        <v>44347.0</v>
      </c>
      <c r="H827" s="1">
        <v>2020.0</v>
      </c>
      <c r="I827" s="1" t="s">
        <v>42</v>
      </c>
      <c r="J827" s="1" t="s">
        <v>43</v>
      </c>
      <c r="K827" s="1" t="s">
        <v>1510</v>
      </c>
      <c r="L827" s="1" t="s">
        <v>5016</v>
      </c>
      <c r="M827" s="2" t="s">
        <v>12</v>
      </c>
      <c r="N827" s="4">
        <f t="shared" si="1"/>
        <v>44347</v>
      </c>
      <c r="O827" s="5" t="str">
        <f>IFERROR(__xludf.DUMMYFUNCTION("IF(REGEXMATCH(TRIM(I827), ""^\d+\s*min""), ""Unclassified"", IF(I827 = """", ""NR"", I827))"),"TV-MA")</f>
        <v>TV-MA</v>
      </c>
      <c r="R827" s="5" t="str">
        <f t="shared" si="2"/>
        <v>Dirty John</v>
      </c>
      <c r="S827" s="5" t="str">
        <f>IFERROR(__xludf.DUMMYFUNCTION("""COMPUTED_VALUE"""),"Barfi!")</f>
        <v>Barfi!</v>
      </c>
      <c r="U827" s="5" t="str">
        <f>IFERROR(__xludf.DUMMYFUNCTION("""COMPUTED_VALUE"""),"Mikael Håfström")</f>
        <v>Mikael Håfström</v>
      </c>
      <c r="V827" s="5" t="s">
        <v>5017</v>
      </c>
      <c r="W827" s="5" t="str">
        <f t="shared" si="3"/>
        <v>Ciarán Foy</v>
      </c>
      <c r="X827" s="5">
        <f t="shared" si="4"/>
        <v>2</v>
      </c>
      <c r="Y827" s="5" t="str">
        <f>IFERROR(__xludf.DUMMYFUNCTION("REGEXEXTRACT(J827, ""^\d+"")"),"2")</f>
        <v>2</v>
      </c>
      <c r="Z827" s="5" t="str">
        <f>IFERROR(__xludf.DUMMYFUNCTION("REGEXEXTRACT(J827, ""[A-Za-z ]+$"")")," Seasons")</f>
        <v> Seasons</v>
      </c>
      <c r="AA827" s="5" t="str">
        <f>IFERROR(__xludf.DUMMYFUNCTION("IF(REGEXMATCH(Z827, ""Season""), ""TV Show"", ""Movie"")"),"TV Show")</f>
        <v>TV Show</v>
      </c>
    </row>
    <row r="828">
      <c r="A828" s="1" t="s">
        <v>5018</v>
      </c>
      <c r="B828" s="1" t="s">
        <v>27</v>
      </c>
      <c r="C828" s="1" t="s">
        <v>5019</v>
      </c>
      <c r="D828" s="1" t="s">
        <v>3507</v>
      </c>
      <c r="E828" s="1" t="s">
        <v>3507</v>
      </c>
      <c r="F828" s="1" t="s">
        <v>30</v>
      </c>
      <c r="G828" s="7">
        <v>44346.0</v>
      </c>
      <c r="H828" s="1">
        <v>2021.0</v>
      </c>
      <c r="I828" s="1" t="s">
        <v>42</v>
      </c>
      <c r="J828" s="1" t="s">
        <v>428</v>
      </c>
      <c r="K828" s="1" t="s">
        <v>1839</v>
      </c>
      <c r="L828" s="1" t="s">
        <v>5020</v>
      </c>
      <c r="M828" s="2" t="s">
        <v>12</v>
      </c>
      <c r="N828" s="4">
        <f t="shared" si="1"/>
        <v>44346</v>
      </c>
      <c r="O828" s="5" t="str">
        <f>IFERROR(__xludf.DUMMYFUNCTION("IF(REGEXMATCH(TRIM(I828), ""^\d+\s*min""), ""Unclassified"", IF(I828 = """", ""NR"", I828))"),"TV-MA")</f>
        <v>TV-MA</v>
      </c>
      <c r="R828" s="5" t="str">
        <f t="shared" si="2"/>
        <v>Bo Burnham: Inside</v>
      </c>
      <c r="S828" s="5" t="str">
        <f>IFERROR(__xludf.DUMMYFUNCTION("""COMPUTED_VALUE"""),"Barney And Friends")</f>
        <v>Barney And Friends</v>
      </c>
      <c r="U828" s="5" t="str">
        <f>IFERROR(__xludf.DUMMYFUNCTION("""COMPUTED_VALUE"""),"Eric Darnell, Simon J. Smith")</f>
        <v>Eric Darnell, Simon J. Smith</v>
      </c>
      <c r="V828" s="5" t="s">
        <v>5021</v>
      </c>
      <c r="W828" s="5" t="str">
        <f t="shared" si="3"/>
        <v>Claire Mccarthy</v>
      </c>
      <c r="X828" s="5">
        <f t="shared" si="4"/>
        <v>1</v>
      </c>
      <c r="Y828" s="5" t="str">
        <f>IFERROR(__xludf.DUMMYFUNCTION("REGEXEXTRACT(J828, ""^\d+"")"),"88")</f>
        <v>88</v>
      </c>
      <c r="Z828" s="5" t="str">
        <f>IFERROR(__xludf.DUMMYFUNCTION("REGEXEXTRACT(J828, ""[A-Za-z ]+$"")")," min")</f>
        <v> min</v>
      </c>
      <c r="AA828" s="5" t="str">
        <f>IFERROR(__xludf.DUMMYFUNCTION("IF(REGEXMATCH(Z828, ""Season""), ""TV Show"", ""Movie"")"),"Movie")</f>
        <v>Movie</v>
      </c>
    </row>
    <row r="829">
      <c r="A829" s="1" t="s">
        <v>5022</v>
      </c>
      <c r="B829" s="1" t="s">
        <v>27</v>
      </c>
      <c r="C829" s="1" t="s">
        <v>5023</v>
      </c>
      <c r="D829" s="1" t="s">
        <v>5024</v>
      </c>
      <c r="E829" s="1" t="s">
        <v>5025</v>
      </c>
      <c r="G829" s="7">
        <v>44345.0</v>
      </c>
      <c r="H829" s="1">
        <v>2021.0</v>
      </c>
      <c r="I829" s="1" t="s">
        <v>97</v>
      </c>
      <c r="J829" s="1" t="s">
        <v>238</v>
      </c>
      <c r="K829" s="1" t="s">
        <v>199</v>
      </c>
      <c r="L829" s="1" t="s">
        <v>5026</v>
      </c>
      <c r="M829" s="2" t="s">
        <v>12</v>
      </c>
      <c r="N829" s="4">
        <f t="shared" si="1"/>
        <v>44345</v>
      </c>
      <c r="O829" s="5" t="str">
        <f>IFERROR(__xludf.DUMMYFUNCTION("IF(REGEXMATCH(TRIM(I829), ""^\d+\s*min""), ""Unclassified"", IF(I829 = """", ""NR"", I829))"),"TV-14")</f>
        <v>TV-14</v>
      </c>
      <c r="R829" s="5" t="str">
        <f t="shared" si="2"/>
        <v>One Lagos Night</v>
      </c>
      <c r="S829" s="5" t="str">
        <f>IFERROR(__xludf.DUMMYFUNCTION("""COMPUTED_VALUE"""),"Barrio Universitario")</f>
        <v>Barrio Universitario</v>
      </c>
      <c r="U829" s="5" t="str">
        <f>IFERROR(__xludf.DUMMYFUNCTION("""COMPUTED_VALUE"""),"Byeon Hee-Sun")</f>
        <v>Byeon Hee-Sun</v>
      </c>
      <c r="V829" s="5" t="s">
        <v>5027</v>
      </c>
      <c r="W829" s="5" t="str">
        <f t="shared" si="3"/>
        <v>Claire Scanlon</v>
      </c>
      <c r="X829" s="5">
        <f t="shared" si="4"/>
        <v>2</v>
      </c>
      <c r="Y829" s="5" t="str">
        <f>IFERROR(__xludf.DUMMYFUNCTION("REGEXEXTRACT(J829, ""^\d+"")"),"103")</f>
        <v>103</v>
      </c>
      <c r="Z829" s="5" t="str">
        <f>IFERROR(__xludf.DUMMYFUNCTION("REGEXEXTRACT(J829, ""[A-Za-z ]+$"")")," min")</f>
        <v> min</v>
      </c>
      <c r="AA829" s="5" t="str">
        <f>IFERROR(__xludf.DUMMYFUNCTION("IF(REGEXMATCH(Z829, ""Season""), ""TV Show"", ""Movie"")"),"Movie")</f>
        <v>Movie</v>
      </c>
    </row>
    <row r="830">
      <c r="A830" s="1" t="s">
        <v>5028</v>
      </c>
      <c r="B830" s="1" t="s">
        <v>27</v>
      </c>
      <c r="C830" s="1" t="s">
        <v>5029</v>
      </c>
      <c r="D830" s="1" t="s">
        <v>5030</v>
      </c>
      <c r="E830" s="1" t="s">
        <v>5031</v>
      </c>
      <c r="F830" s="1" t="s">
        <v>30</v>
      </c>
      <c r="G830" s="7">
        <v>44344.0</v>
      </c>
      <c r="H830" s="1">
        <v>2016.0</v>
      </c>
      <c r="I830" s="1" t="s">
        <v>32</v>
      </c>
      <c r="J830" s="1" t="s">
        <v>247</v>
      </c>
      <c r="K830" s="1" t="s">
        <v>805</v>
      </c>
      <c r="L830" s="1" t="s">
        <v>5032</v>
      </c>
      <c r="M830" s="2" t="s">
        <v>12</v>
      </c>
      <c r="N830" s="4">
        <f t="shared" si="1"/>
        <v>44344</v>
      </c>
      <c r="O830" s="5" t="str">
        <f>IFERROR(__xludf.DUMMYFUNCTION("IF(REGEXMATCH(TRIM(I830), ""^\d+\s*min""), ""Unclassified"", IF(I830 = """", ""NR"", I830))"),"PG-13")</f>
        <v>PG-13</v>
      </c>
      <c r="R830" s="5" t="str">
        <f t="shared" si="2"/>
        <v>Collateral Beauty</v>
      </c>
      <c r="S830" s="5" t="str">
        <f>IFERROR(__xludf.DUMMYFUNCTION("""COMPUTED_VALUE"""),"Barry")</f>
        <v>Barry</v>
      </c>
      <c r="U830" s="5" t="str">
        <f>IFERROR(__xludf.DUMMYFUNCTION("""COMPUTED_VALUE"""),"Peter Facinelli")</f>
        <v>Peter Facinelli</v>
      </c>
      <c r="V830" s="5" t="s">
        <v>5033</v>
      </c>
      <c r="W830" s="5" t="str">
        <f t="shared" si="3"/>
        <v>Clara Martínez-Lázaro</v>
      </c>
      <c r="X830" s="5">
        <f t="shared" si="4"/>
        <v>1</v>
      </c>
      <c r="Y830" s="5" t="str">
        <f>IFERROR(__xludf.DUMMYFUNCTION("REGEXEXTRACT(J830, ""^\d+"")"),"97")</f>
        <v>97</v>
      </c>
      <c r="Z830" s="5" t="str">
        <f>IFERROR(__xludf.DUMMYFUNCTION("REGEXEXTRACT(J830, ""[A-Za-z ]+$"")")," min")</f>
        <v> min</v>
      </c>
      <c r="AA830" s="5" t="str">
        <f>IFERROR(__xludf.DUMMYFUNCTION("IF(REGEXMATCH(Z830, ""Season""), ""TV Show"", ""Movie"")"),"Movie")</f>
        <v>Movie</v>
      </c>
    </row>
    <row r="831">
      <c r="A831" s="1" t="s">
        <v>5034</v>
      </c>
      <c r="B831" s="1" t="s">
        <v>27</v>
      </c>
      <c r="C831" s="1" t="s">
        <v>5035</v>
      </c>
      <c r="D831" s="1" t="s">
        <v>5036</v>
      </c>
      <c r="E831" s="1" t="s">
        <v>5037</v>
      </c>
      <c r="G831" s="7">
        <v>44344.0</v>
      </c>
      <c r="H831" s="1">
        <v>2021.0</v>
      </c>
      <c r="I831" s="1" t="s">
        <v>289</v>
      </c>
      <c r="J831" s="1" t="s">
        <v>428</v>
      </c>
      <c r="K831" s="1" t="s">
        <v>137</v>
      </c>
      <c r="L831" s="1" t="s">
        <v>5038</v>
      </c>
      <c r="M831" s="2" t="s">
        <v>12</v>
      </c>
      <c r="N831" s="4">
        <f t="shared" si="1"/>
        <v>44344</v>
      </c>
      <c r="O831" s="5" t="str">
        <f>IFERROR(__xludf.DUMMYFUNCTION("IF(REGEXMATCH(TRIM(I831), ""^\d+\s*min""), ""Unclassified"", IF(I831 = """", ""NR"", I831))"),"TV-Y7")</f>
        <v>TV-Y7</v>
      </c>
      <c r="R831" s="5" t="str">
        <f t="shared" si="2"/>
        <v>Dog Gone Trouble</v>
      </c>
      <c r="S831" s="5" t="str">
        <f>IFERROR(__xludf.DUMMYFUNCTION("""COMPUTED_VALUE"""),"Barsaat")</f>
        <v>Barsaat</v>
      </c>
      <c r="U831" s="5" t="str">
        <f>IFERROR(__xludf.DUMMYFUNCTION("""COMPUTED_VALUE"""),"Renuka Shahane")</f>
        <v>Renuka Shahane</v>
      </c>
      <c r="V831" s="5" t="s">
        <v>5039</v>
      </c>
      <c r="W831" s="5" t="str">
        <f t="shared" si="3"/>
        <v>Clarence Yiu-Leung Fok</v>
      </c>
      <c r="X831" s="5">
        <f t="shared" si="4"/>
        <v>1</v>
      </c>
      <c r="Y831" s="5" t="str">
        <f>IFERROR(__xludf.DUMMYFUNCTION("REGEXEXTRACT(J831, ""^\d+"")"),"88")</f>
        <v>88</v>
      </c>
      <c r="Z831" s="5" t="str">
        <f>IFERROR(__xludf.DUMMYFUNCTION("REGEXEXTRACT(J831, ""[A-Za-z ]+$"")")," min")</f>
        <v> min</v>
      </c>
      <c r="AA831" s="5" t="str">
        <f>IFERROR(__xludf.DUMMYFUNCTION("IF(REGEXMATCH(Z831, ""Season""), ""TV Show"", ""Movie"")"),"Movie")</f>
        <v>Movie</v>
      </c>
    </row>
    <row r="832">
      <c r="A832" s="1" t="s">
        <v>5040</v>
      </c>
      <c r="B832" s="1" t="s">
        <v>37</v>
      </c>
      <c r="C832" s="1" t="s">
        <v>5041</v>
      </c>
      <c r="E832" s="1" t="s">
        <v>5042</v>
      </c>
      <c r="F832" s="1" t="s">
        <v>30</v>
      </c>
      <c r="G832" s="7">
        <v>44344.0</v>
      </c>
      <c r="H832" s="1">
        <v>2021.0</v>
      </c>
      <c r="I832" s="1" t="s">
        <v>42</v>
      </c>
      <c r="J832" s="1" t="s">
        <v>276</v>
      </c>
      <c r="K832" s="1" t="s">
        <v>149</v>
      </c>
      <c r="L832" s="1" t="s">
        <v>5043</v>
      </c>
      <c r="M832" s="2" t="s">
        <v>12</v>
      </c>
      <c r="N832" s="4">
        <f t="shared" si="1"/>
        <v>44344</v>
      </c>
      <c r="O832" s="5" t="str">
        <f>IFERROR(__xludf.DUMMYFUNCTION("IF(REGEXMATCH(TRIM(I832), ""^\d+\s*min""), ""Unclassified"", IF(I832 = """", ""NR"", I832))"),"TV-MA")</f>
        <v>TV-MA</v>
      </c>
      <c r="R832" s="5" t="str">
        <f t="shared" si="2"/>
        <v>The Kominsky Method</v>
      </c>
      <c r="S832" s="5" t="str">
        <f>IFERROR(__xludf.DUMMYFUNCTION("""COMPUTED_VALUE"""),"Bartkowiak")</f>
        <v>Bartkowiak</v>
      </c>
      <c r="U832" s="5" t="str">
        <f>IFERROR(__xludf.DUMMYFUNCTION("""COMPUTED_VALUE"""),"Ross Kauffman")</f>
        <v>Ross Kauffman</v>
      </c>
      <c r="V832" s="5" t="s">
        <v>5044</v>
      </c>
      <c r="W832" s="5" t="str">
        <f t="shared" si="3"/>
        <v>Clark Johnson</v>
      </c>
      <c r="X832" s="5">
        <f t="shared" si="4"/>
        <v>2</v>
      </c>
      <c r="Y832" s="5" t="str">
        <f>IFERROR(__xludf.DUMMYFUNCTION("REGEXEXTRACT(J832, ""^\d+"")"),"3")</f>
        <v>3</v>
      </c>
      <c r="Z832" s="5" t="str">
        <f>IFERROR(__xludf.DUMMYFUNCTION("REGEXEXTRACT(J832, ""[A-Za-z ]+$"")")," Seasons")</f>
        <v> Seasons</v>
      </c>
      <c r="AA832" s="5" t="str">
        <f>IFERROR(__xludf.DUMMYFUNCTION("IF(REGEXMATCH(Z832, ""Season""), ""TV Show"", ""Movie"")"),"TV Show")</f>
        <v>TV Show</v>
      </c>
    </row>
    <row r="833">
      <c r="A833" s="1" t="s">
        <v>5045</v>
      </c>
      <c r="B833" s="1" t="s">
        <v>37</v>
      </c>
      <c r="C833" s="1" t="s">
        <v>5046</v>
      </c>
      <c r="D833" s="1" t="s">
        <v>5047</v>
      </c>
      <c r="G833" s="7">
        <v>44344.0</v>
      </c>
      <c r="H833" s="1">
        <v>2021.0</v>
      </c>
      <c r="I833" s="1" t="s">
        <v>42</v>
      </c>
      <c r="J833" s="1" t="s">
        <v>43</v>
      </c>
      <c r="K833" s="1" t="s">
        <v>791</v>
      </c>
      <c r="L833" s="1" t="s">
        <v>5048</v>
      </c>
      <c r="M833" s="2" t="s">
        <v>12</v>
      </c>
      <c r="N833" s="4">
        <f t="shared" si="1"/>
        <v>44344</v>
      </c>
      <c r="O833" s="5" t="str">
        <f>IFERROR(__xludf.DUMMYFUNCTION("IF(REGEXMATCH(TRIM(I833), ""^\d+\s*min""), ""Unclassified"", IF(I833 = """", ""NR"", I833))"),"TV-MA")</f>
        <v>TV-MA</v>
      </c>
      <c r="R833" s="5" t="str">
        <f t="shared" si="2"/>
        <v>The Least Expected Day: Inside The Movistar Team 2019</v>
      </c>
      <c r="S833" s="5" t="str">
        <f>IFERROR(__xludf.DUMMYFUNCTION("""COMPUTED_VALUE"""),"Baseketball")</f>
        <v>Baseketball</v>
      </c>
      <c r="U833" s="5" t="str">
        <f>IFERROR(__xludf.DUMMYFUNCTION("""COMPUTED_VALUE"""),"Sung Do-Jun")</f>
        <v>Sung Do-Jun</v>
      </c>
      <c r="V833" s="5" t="s">
        <v>5049</v>
      </c>
      <c r="W833" s="5" t="str">
        <f t="shared" si="3"/>
        <v>Claude Barras</v>
      </c>
      <c r="X833" s="5">
        <f t="shared" si="4"/>
        <v>1</v>
      </c>
      <c r="Y833" s="5" t="str">
        <f>IFERROR(__xludf.DUMMYFUNCTION("REGEXEXTRACT(J833, ""^\d+"")"),"2")</f>
        <v>2</v>
      </c>
      <c r="Z833" s="5" t="str">
        <f>IFERROR(__xludf.DUMMYFUNCTION("REGEXEXTRACT(J833, ""[A-Za-z ]+$"")")," Seasons")</f>
        <v> Seasons</v>
      </c>
      <c r="AA833" s="5" t="str">
        <f>IFERROR(__xludf.DUMMYFUNCTION("IF(REGEXMATCH(Z833, ""Season""), ""TV Show"", ""Movie"")"),"TV Show")</f>
        <v>TV Show</v>
      </c>
    </row>
    <row r="834">
      <c r="A834" s="1" t="s">
        <v>5050</v>
      </c>
      <c r="B834" s="1" t="s">
        <v>37</v>
      </c>
      <c r="C834" s="1" t="s">
        <v>5051</v>
      </c>
      <c r="D834" s="1" t="s">
        <v>5052</v>
      </c>
      <c r="E834" s="1" t="s">
        <v>5053</v>
      </c>
      <c r="G834" s="7">
        <v>44344.0</v>
      </c>
      <c r="H834" s="1">
        <v>2021.0</v>
      </c>
      <c r="I834" s="1" t="s">
        <v>97</v>
      </c>
      <c r="J834" s="1" t="s">
        <v>51</v>
      </c>
      <c r="K834" s="1" t="s">
        <v>190</v>
      </c>
      <c r="L834" s="1" t="s">
        <v>5054</v>
      </c>
      <c r="M834" s="2" t="s">
        <v>12</v>
      </c>
      <c r="N834" s="4">
        <f t="shared" si="1"/>
        <v>44344</v>
      </c>
      <c r="O834" s="5" t="str">
        <f>IFERROR(__xludf.DUMMYFUNCTION("IF(REGEXMATCH(TRIM(I834), ""^\d+\s*min""), ""Unclassified"", IF(I834 = """", ""NR"", I834))"),"TV-14")</f>
        <v>TV-14</v>
      </c>
      <c r="R834" s="5" t="str">
        <f t="shared" si="2"/>
        <v>Word Of Honor</v>
      </c>
      <c r="S834" s="5" t="str">
        <f>IFERROR(__xludf.DUMMYFUNCTION("""COMPUTED_VALUE"""),"Basic Instinct")</f>
        <v>Basic Instinct</v>
      </c>
      <c r="U834" s="5" t="str">
        <f>IFERROR(__xludf.DUMMYFUNCTION("""COMPUTED_VALUE"""),"Hanung Bramantyo")</f>
        <v>Hanung Bramantyo</v>
      </c>
      <c r="V834" s="5" t="s">
        <v>5055</v>
      </c>
      <c r="W834" s="5" t="str">
        <f t="shared" si="3"/>
        <v>Claude Lelouch</v>
      </c>
      <c r="X834" s="5">
        <f t="shared" si="4"/>
        <v>1</v>
      </c>
      <c r="Y834" s="5" t="str">
        <f>IFERROR(__xludf.DUMMYFUNCTION("REGEXEXTRACT(J834, ""^\d+"")"),"1")</f>
        <v>1</v>
      </c>
      <c r="Z834" s="5" t="str">
        <f>IFERROR(__xludf.DUMMYFUNCTION("REGEXEXTRACT(J834, ""[A-Za-z ]+$"")")," Season")</f>
        <v> Season</v>
      </c>
      <c r="AA834" s="5" t="str">
        <f>IFERROR(__xludf.DUMMYFUNCTION("IF(REGEXMATCH(Z834, ""Season""), ""TV Show"", ""Movie"")"),"TV Show")</f>
        <v>TV Show</v>
      </c>
    </row>
    <row r="835">
      <c r="A835" s="1" t="s">
        <v>5056</v>
      </c>
      <c r="B835" s="1" t="s">
        <v>37</v>
      </c>
      <c r="C835" s="1" t="s">
        <v>5057</v>
      </c>
      <c r="E835" s="1" t="s">
        <v>5058</v>
      </c>
      <c r="F835" s="1" t="s">
        <v>3333</v>
      </c>
      <c r="G835" s="7">
        <v>44343.0</v>
      </c>
      <c r="H835" s="1">
        <v>2021.0</v>
      </c>
      <c r="I835" s="1" t="s">
        <v>42</v>
      </c>
      <c r="J835" s="1" t="s">
        <v>51</v>
      </c>
      <c r="K835" s="1" t="s">
        <v>1362</v>
      </c>
      <c r="L835" s="1" t="s">
        <v>5059</v>
      </c>
      <c r="M835" s="2" t="s">
        <v>12</v>
      </c>
      <c r="N835" s="4">
        <f t="shared" si="1"/>
        <v>44343</v>
      </c>
      <c r="O835" s="5" t="str">
        <f>IFERROR(__xludf.DUMMYFUNCTION("IF(REGEXMATCH(TRIM(I835), ""^\d+\s*min""), ""Unclassified"", IF(I835 = """", ""NR"", I835))"),"TV-MA")</f>
        <v>TV-MA</v>
      </c>
      <c r="R835" s="5" t="str">
        <f t="shared" si="2"/>
        <v>Black Space</v>
      </c>
      <c r="S835" s="5" t="str">
        <f>IFERROR(__xludf.DUMMYFUNCTION("""COMPUTED_VALUE"""),"Basketball Or Nothing")</f>
        <v>Basketball Or Nothing</v>
      </c>
      <c r="U835" s="5" t="str">
        <f>IFERROR(__xludf.DUMMYFUNCTION("""COMPUTED_VALUE"""),"Charles Gozali, Bagus Bramanti")</f>
        <v>Charles Gozali, Bagus Bramanti</v>
      </c>
      <c r="V835" s="5" t="s">
        <v>2544</v>
      </c>
      <c r="W835" s="5" t="str">
        <f t="shared" si="3"/>
        <v>Clay Glen</v>
      </c>
      <c r="X835" s="5">
        <f t="shared" si="4"/>
        <v>4</v>
      </c>
      <c r="Y835" s="5" t="str">
        <f>IFERROR(__xludf.DUMMYFUNCTION("REGEXEXTRACT(J835, ""^\d+"")"),"1")</f>
        <v>1</v>
      </c>
      <c r="Z835" s="5" t="str">
        <f>IFERROR(__xludf.DUMMYFUNCTION("REGEXEXTRACT(J835, ""[A-Za-z ]+$"")")," Season")</f>
        <v> Season</v>
      </c>
      <c r="AA835" s="5" t="str">
        <f>IFERROR(__xludf.DUMMYFUNCTION("IF(REGEXMATCH(Z835, ""Season""), ""TV Show"", ""Movie"")"),"TV Show")</f>
        <v>TV Show</v>
      </c>
    </row>
    <row r="836">
      <c r="A836" s="1" t="s">
        <v>5060</v>
      </c>
      <c r="B836" s="1" t="s">
        <v>27</v>
      </c>
      <c r="C836" s="1" t="s">
        <v>5061</v>
      </c>
      <c r="D836" s="1" t="s">
        <v>5062</v>
      </c>
      <c r="E836" s="1" t="s">
        <v>5063</v>
      </c>
      <c r="F836" s="1" t="s">
        <v>30</v>
      </c>
      <c r="G836" s="7">
        <v>44343.0</v>
      </c>
      <c r="H836" s="1">
        <v>2021.0</v>
      </c>
      <c r="I836" s="1" t="s">
        <v>136</v>
      </c>
      <c r="J836" s="1" t="s">
        <v>247</v>
      </c>
      <c r="K836" s="1" t="s">
        <v>5064</v>
      </c>
      <c r="L836" s="1" t="s">
        <v>5065</v>
      </c>
      <c r="M836" s="2" t="s">
        <v>12</v>
      </c>
      <c r="N836" s="4">
        <f t="shared" si="1"/>
        <v>44343</v>
      </c>
      <c r="O836" s="5" t="str">
        <f>IFERROR(__xludf.DUMMYFUNCTION("IF(REGEXMATCH(TRIM(I836), ""^\d+\s*min""), ""Unclassified"", IF(I836 = """", ""NR"", I836))"),"TV-PG")</f>
        <v>TV-PG</v>
      </c>
      <c r="R836" s="5" t="str">
        <f t="shared" si="2"/>
        <v>Blue Miracle</v>
      </c>
      <c r="S836" s="5" t="str">
        <f>IFERROR(__xludf.DUMMYFUNCTION("""COMPUTED_VALUE"""),"Bat Pat")</f>
        <v>Bat Pat</v>
      </c>
      <c r="U836" s="5" t="str">
        <f>IFERROR(__xludf.DUMMYFUNCTION("""COMPUTED_VALUE"""),"James Toback")</f>
        <v>James Toback</v>
      </c>
      <c r="V836" s="5" t="s">
        <v>5066</v>
      </c>
      <c r="W836" s="5" t="str">
        <f t="shared" si="3"/>
        <v>Clay Kaytis</v>
      </c>
      <c r="X836" s="5">
        <f t="shared" si="4"/>
        <v>1</v>
      </c>
      <c r="Y836" s="5" t="str">
        <f>IFERROR(__xludf.DUMMYFUNCTION("REGEXEXTRACT(J836, ""^\d+"")"),"97")</f>
        <v>97</v>
      </c>
      <c r="Z836" s="5" t="str">
        <f>IFERROR(__xludf.DUMMYFUNCTION("REGEXEXTRACT(J836, ""[A-Za-z ]+$"")")," min")</f>
        <v> min</v>
      </c>
      <c r="AA836" s="5" t="str">
        <f>IFERROR(__xludf.DUMMYFUNCTION("IF(REGEXMATCH(Z836, ""Season""), ""TV Show"", ""Movie"")"),"Movie")</f>
        <v>Movie</v>
      </c>
    </row>
    <row r="837">
      <c r="A837" s="1" t="s">
        <v>5067</v>
      </c>
      <c r="B837" s="1" t="s">
        <v>37</v>
      </c>
      <c r="C837" s="1" t="s">
        <v>5068</v>
      </c>
      <c r="E837" s="1" t="s">
        <v>5069</v>
      </c>
      <c r="G837" s="7">
        <v>44343.0</v>
      </c>
      <c r="H837" s="1">
        <v>2021.0</v>
      </c>
      <c r="I837" s="1" t="s">
        <v>136</v>
      </c>
      <c r="J837" s="1" t="s">
        <v>51</v>
      </c>
      <c r="K837" s="1" t="s">
        <v>567</v>
      </c>
      <c r="L837" s="1" t="s">
        <v>5070</v>
      </c>
      <c r="M837" s="2" t="s">
        <v>12</v>
      </c>
      <c r="N837" s="4">
        <f t="shared" si="1"/>
        <v>44343</v>
      </c>
      <c r="O837" s="5" t="str">
        <f>IFERROR(__xludf.DUMMYFUNCTION("IF(REGEXMATCH(TRIM(I837), ""^\d+\s*min""), ""Unclassified"", IF(I837 = """", ""NR"", I837))"),"TV-PG")</f>
        <v>TV-PG</v>
      </c>
      <c r="R837" s="5" t="str">
        <f t="shared" si="2"/>
        <v>Eden</v>
      </c>
      <c r="S837" s="5" t="str">
        <f>IFERROR(__xludf.DUMMYFUNCTION("""COMPUTED_VALUE"""),"Bates Motel")</f>
        <v>Bates Motel</v>
      </c>
      <c r="U837" s="5" t="str">
        <f>IFERROR(__xludf.DUMMYFUNCTION("""COMPUTED_VALUE"""),"Tiller Russell")</f>
        <v>Tiller Russell</v>
      </c>
      <c r="V837" s="5" t="s">
        <v>5071</v>
      </c>
      <c r="W837" s="5" t="str">
        <f t="shared" si="3"/>
        <v>Clay Porter</v>
      </c>
      <c r="X837" s="5">
        <f t="shared" si="4"/>
        <v>1</v>
      </c>
      <c r="Y837" s="5" t="str">
        <f>IFERROR(__xludf.DUMMYFUNCTION("REGEXEXTRACT(J837, ""^\d+"")"),"1")</f>
        <v>1</v>
      </c>
      <c r="Z837" s="5" t="str">
        <f>IFERROR(__xludf.DUMMYFUNCTION("REGEXEXTRACT(J837, ""[A-Za-z ]+$"")")," Season")</f>
        <v> Season</v>
      </c>
      <c r="AA837" s="5" t="str">
        <f>IFERROR(__xludf.DUMMYFUNCTION("IF(REGEXMATCH(Z837, ""Season""), ""TV Show"", ""Movie"")"),"TV Show")</f>
        <v>TV Show</v>
      </c>
    </row>
    <row r="838">
      <c r="A838" s="1" t="s">
        <v>5072</v>
      </c>
      <c r="B838" s="1" t="s">
        <v>27</v>
      </c>
      <c r="C838" s="1" t="s">
        <v>5073</v>
      </c>
      <c r="D838" s="1" t="s">
        <v>5074</v>
      </c>
      <c r="E838" s="1" t="s">
        <v>5075</v>
      </c>
      <c r="F838" s="1" t="s">
        <v>2796</v>
      </c>
      <c r="G838" s="7">
        <v>44343.0</v>
      </c>
      <c r="H838" s="1">
        <v>2021.0</v>
      </c>
      <c r="I838" s="1" t="s">
        <v>42</v>
      </c>
      <c r="J838" s="1" t="s">
        <v>870</v>
      </c>
      <c r="K838" s="1" t="s">
        <v>1592</v>
      </c>
      <c r="L838" s="1" t="s">
        <v>5076</v>
      </c>
      <c r="M838" s="2" t="s">
        <v>12</v>
      </c>
      <c r="N838" s="4">
        <f t="shared" si="1"/>
        <v>44343</v>
      </c>
      <c r="O838" s="5" t="str">
        <f>IFERROR(__xludf.DUMMYFUNCTION("IF(REGEXMATCH(TRIM(I838), ""^\d+\s*min""), ""Unclassified"", IF(I838 = """", ""NR"", I838))"),"TV-MA")</f>
        <v>TV-MA</v>
      </c>
      <c r="R838" s="5" t="str">
        <f t="shared" si="2"/>
        <v>Ghost Lab</v>
      </c>
      <c r="S838" s="5" t="str">
        <f>IFERROR(__xludf.DUMMYFUNCTION("""COMPUTED_VALUE"""),"Bathinda Express")</f>
        <v>Bathinda Express</v>
      </c>
      <c r="U838" s="5" t="str">
        <f>IFERROR(__xludf.DUMMYFUNCTION("""COMPUTED_VALUE"""),"Francisco D'Eufemia")</f>
        <v>Francisco D'Eufemia</v>
      </c>
      <c r="V838" s="5" t="s">
        <v>5077</v>
      </c>
      <c r="W838" s="5" t="str">
        <f t="shared" si="3"/>
        <v>Clay Staub</v>
      </c>
      <c r="X838" s="5">
        <f t="shared" si="4"/>
        <v>1</v>
      </c>
      <c r="Y838" s="5" t="str">
        <f>IFERROR(__xludf.DUMMYFUNCTION("REGEXEXTRACT(J838, ""^\d+"")"),"118")</f>
        <v>118</v>
      </c>
      <c r="Z838" s="5" t="str">
        <f>IFERROR(__xludf.DUMMYFUNCTION("REGEXEXTRACT(J838, ""[A-Za-z ]+$"")")," min")</f>
        <v> min</v>
      </c>
      <c r="AA838" s="5" t="str">
        <f>IFERROR(__xludf.DUMMYFUNCTION("IF(REGEXMATCH(Z838, ""Season""), ""TV Show"", ""Movie"")"),"Movie")</f>
        <v>Movie</v>
      </c>
    </row>
    <row r="839">
      <c r="A839" s="1" t="s">
        <v>5078</v>
      </c>
      <c r="B839" s="1" t="s">
        <v>37</v>
      </c>
      <c r="C839" s="1" t="s">
        <v>5079</v>
      </c>
      <c r="E839" s="1" t="s">
        <v>5080</v>
      </c>
      <c r="F839" s="1" t="s">
        <v>5081</v>
      </c>
      <c r="G839" s="7">
        <v>44343.0</v>
      </c>
      <c r="H839" s="1">
        <v>2021.0</v>
      </c>
      <c r="I839" s="1" t="s">
        <v>42</v>
      </c>
      <c r="J839" s="1" t="s">
        <v>43</v>
      </c>
      <c r="K839" s="1" t="s">
        <v>190</v>
      </c>
      <c r="L839" s="1" t="s">
        <v>5082</v>
      </c>
      <c r="M839" s="2" t="s">
        <v>12</v>
      </c>
      <c r="N839" s="4">
        <f t="shared" si="1"/>
        <v>44343</v>
      </c>
      <c r="O839" s="5" t="str">
        <f>IFERROR(__xludf.DUMMYFUNCTION("IF(REGEXMATCH(TRIM(I839), ""^\d+\s*min""), ""Unclassified"", IF(I839 = """", ""NR"", I839))"),"TV-MA")</f>
        <v>TV-MA</v>
      </c>
      <c r="R839" s="5" t="str">
        <f t="shared" si="2"/>
        <v>Ragnarok</v>
      </c>
      <c r="S839" s="5" t="str">
        <f>IFERROR(__xludf.DUMMYFUNCTION("""COMPUTED_VALUE"""),"Bathtubs Over Broadway")</f>
        <v>Bathtubs Over Broadway</v>
      </c>
      <c r="U839" s="5" t="str">
        <f>IFERROR(__xludf.DUMMYFUNCTION("""COMPUTED_VALUE"""),"Chris Rock")</f>
        <v>Chris Rock</v>
      </c>
      <c r="V839" s="5" t="s">
        <v>5083</v>
      </c>
      <c r="W839" s="5" t="str">
        <f t="shared" si="3"/>
        <v>Clementine Malpas, Leslie Knott</v>
      </c>
      <c r="X839" s="5">
        <f t="shared" si="4"/>
        <v>1</v>
      </c>
      <c r="Y839" s="5" t="str">
        <f>IFERROR(__xludf.DUMMYFUNCTION("REGEXEXTRACT(J839, ""^\d+"")"),"2")</f>
        <v>2</v>
      </c>
      <c r="Z839" s="5" t="str">
        <f>IFERROR(__xludf.DUMMYFUNCTION("REGEXEXTRACT(J839, ""[A-Za-z ]+$"")")," Seasons")</f>
        <v> Seasons</v>
      </c>
      <c r="AA839" s="5" t="str">
        <f>IFERROR(__xludf.DUMMYFUNCTION("IF(REGEXMATCH(Z839, ""Season""), ""TV Show"", ""Movie"")"),"TV Show")</f>
        <v>TV Show</v>
      </c>
    </row>
    <row r="840">
      <c r="A840" s="1" t="s">
        <v>5084</v>
      </c>
      <c r="B840" s="1" t="s">
        <v>27</v>
      </c>
      <c r="C840" s="1" t="s">
        <v>5085</v>
      </c>
      <c r="D840" s="1" t="s">
        <v>5086</v>
      </c>
      <c r="E840" s="1" t="s">
        <v>5087</v>
      </c>
      <c r="F840" s="1" t="s">
        <v>1815</v>
      </c>
      <c r="G840" s="7">
        <v>44343.0</v>
      </c>
      <c r="H840" s="1">
        <v>2021.0</v>
      </c>
      <c r="I840" s="1" t="s">
        <v>42</v>
      </c>
      <c r="J840" s="1" t="s">
        <v>1583</v>
      </c>
      <c r="K840" s="1" t="s">
        <v>1839</v>
      </c>
      <c r="L840" s="1" t="s">
        <v>5088</v>
      </c>
      <c r="M840" s="2" t="s">
        <v>12</v>
      </c>
      <c r="N840" s="4">
        <f t="shared" si="1"/>
        <v>44343</v>
      </c>
      <c r="O840" s="5" t="str">
        <f>IFERROR(__xludf.DUMMYFUNCTION("IF(REGEXMATCH(TRIM(I840), ""^\d+\s*min""), ""Unclassified"", IF(I840 = """", ""NR"", I840))"),"TV-MA")</f>
        <v>TV-MA</v>
      </c>
      <c r="R840" s="5" t="str">
        <f t="shared" si="2"/>
        <v>Soy Rada: Serendipity</v>
      </c>
      <c r="S840" s="5" t="str">
        <f>IFERROR(__xludf.DUMMYFUNCTION("""COMPUTED_VALUE"""),"Batman: The Killing Joke")</f>
        <v>Batman: The Killing Joke</v>
      </c>
      <c r="U840" s="5" t="str">
        <f>IFERROR(__xludf.DUMMYFUNCTION("""COMPUTED_VALUE"""),"Juliet May")</f>
        <v>Juliet May</v>
      </c>
      <c r="V840" s="5" t="s">
        <v>5089</v>
      </c>
      <c r="W840" s="5" t="str">
        <f t="shared" si="3"/>
        <v>Clint Butler</v>
      </c>
      <c r="X840" s="5">
        <f t="shared" si="4"/>
        <v>1</v>
      </c>
      <c r="Y840" s="5" t="str">
        <f>IFERROR(__xludf.DUMMYFUNCTION("REGEXEXTRACT(J840, ""^\d+"")"),"70")</f>
        <v>70</v>
      </c>
      <c r="Z840" s="5" t="str">
        <f>IFERROR(__xludf.DUMMYFUNCTION("REGEXEXTRACT(J840, ""[A-Za-z ]+$"")")," min")</f>
        <v> min</v>
      </c>
      <c r="AA840" s="5" t="str">
        <f>IFERROR(__xludf.DUMMYFUNCTION("IF(REGEXMATCH(Z840, ""Season""), ""TV Show"", ""Movie"")"),"Movie")</f>
        <v>Movie</v>
      </c>
    </row>
    <row r="841">
      <c r="A841" s="1" t="s">
        <v>5090</v>
      </c>
      <c r="B841" s="1" t="s">
        <v>27</v>
      </c>
      <c r="C841" s="1" t="s">
        <v>5091</v>
      </c>
      <c r="D841" s="1" t="s">
        <v>4263</v>
      </c>
      <c r="E841" s="1" t="s">
        <v>5092</v>
      </c>
      <c r="F841" s="1" t="s">
        <v>5093</v>
      </c>
      <c r="G841" s="7">
        <v>44343.0</v>
      </c>
      <c r="H841" s="1">
        <v>2018.0</v>
      </c>
      <c r="I841" s="1" t="s">
        <v>42</v>
      </c>
      <c r="J841" s="1" t="s">
        <v>79</v>
      </c>
      <c r="K841" s="1" t="s">
        <v>89</v>
      </c>
      <c r="L841" s="1" t="s">
        <v>5094</v>
      </c>
      <c r="M841" s="2" t="s">
        <v>12</v>
      </c>
      <c r="N841" s="4">
        <f t="shared" si="1"/>
        <v>44343</v>
      </c>
      <c r="O841" s="5" t="str">
        <f>IFERROR(__xludf.DUMMYFUNCTION("IF(REGEXMATCH(TRIM(I841), ""^\d+\s*min""), ""Unclassified"", IF(I841 = """", ""NR"", I841))"),"TV-MA")</f>
        <v>TV-MA</v>
      </c>
      <c r="R841" s="5" t="str">
        <f t="shared" si="2"/>
        <v>The Day I Lost My Shadow</v>
      </c>
      <c r="S841" s="5" t="str">
        <f>IFERROR(__xludf.DUMMYFUNCTION("""COMPUTED_VALUE"""),"Battle")</f>
        <v>Battle</v>
      </c>
      <c r="U841" s="5" t="str">
        <f>IFERROR(__xludf.DUMMYFUNCTION("""COMPUTED_VALUE"""),"Stanley Nelson")</f>
        <v>Stanley Nelson</v>
      </c>
      <c r="V841" s="5" t="s">
        <v>2279</v>
      </c>
      <c r="W841" s="5" t="str">
        <f t="shared" si="3"/>
        <v>Clint Eastwood</v>
      </c>
      <c r="X841" s="5">
        <f t="shared" si="4"/>
        <v>7</v>
      </c>
      <c r="Y841" s="5" t="str">
        <f>IFERROR(__xludf.DUMMYFUNCTION("REGEXEXTRACT(J841, ""^\d+"")"),"91")</f>
        <v>91</v>
      </c>
      <c r="Z841" s="5" t="str">
        <f>IFERROR(__xludf.DUMMYFUNCTION("REGEXEXTRACT(J841, ""[A-Za-z ]+$"")")," min")</f>
        <v> min</v>
      </c>
      <c r="AA841" s="5" t="str">
        <f>IFERROR(__xludf.DUMMYFUNCTION("IF(REGEXMATCH(Z841, ""Season""), ""TV Show"", ""Movie"")"),"Movie")</f>
        <v>Movie</v>
      </c>
    </row>
    <row r="842">
      <c r="A842" s="1" t="s">
        <v>5095</v>
      </c>
      <c r="B842" s="1" t="s">
        <v>27</v>
      </c>
      <c r="C842" s="1" t="s">
        <v>5096</v>
      </c>
      <c r="D842" s="1" t="s">
        <v>5097</v>
      </c>
      <c r="E842" s="1" t="s">
        <v>5098</v>
      </c>
      <c r="F842" s="1" t="s">
        <v>1779</v>
      </c>
      <c r="G842" s="7">
        <v>44342.0</v>
      </c>
      <c r="H842" s="1">
        <v>2021.0</v>
      </c>
      <c r="I842" s="1" t="s">
        <v>42</v>
      </c>
      <c r="J842" s="1" t="s">
        <v>665</v>
      </c>
      <c r="K842" s="1" t="s">
        <v>5099</v>
      </c>
      <c r="L842" s="1" t="s">
        <v>5100</v>
      </c>
      <c r="M842" s="2" t="s">
        <v>12</v>
      </c>
      <c r="N842" s="4">
        <f t="shared" si="1"/>
        <v>44342</v>
      </c>
      <c r="O842" s="5" t="str">
        <f>IFERROR(__xludf.DUMMYFUNCTION("IF(REGEXMATCH(TRIM(I842), ""^\d+\s*min""), ""Unclassified"", IF(I842 = """", ""NR"", I842))"),"TV-MA")</f>
        <v>TV-MA</v>
      </c>
      <c r="R842" s="5" t="str">
        <f t="shared" si="2"/>
        <v>Baggio: The Divine Ponytail</v>
      </c>
      <c r="S842" s="5" t="str">
        <f>IFERROR(__xludf.DUMMYFUNCTION("""COMPUTED_VALUE"""),"Battle Creek")</f>
        <v>Battle Creek</v>
      </c>
      <c r="U842" s="5" t="str">
        <f>IFERROR(__xludf.DUMMYFUNCTION("""COMPUTED_VALUE"""),"Olivier Nakache, Éric Toledano")</f>
        <v>Olivier Nakache, Éric Toledano</v>
      </c>
      <c r="V842" s="5" t="s">
        <v>5101</v>
      </c>
      <c r="W842" s="5" t="str">
        <f t="shared" si="3"/>
        <v>Clive Tonge</v>
      </c>
      <c r="X842" s="5">
        <f t="shared" si="4"/>
        <v>1</v>
      </c>
      <c r="Y842" s="5" t="str">
        <f>IFERROR(__xludf.DUMMYFUNCTION("REGEXEXTRACT(J842, ""^\d+"")"),"92")</f>
        <v>92</v>
      </c>
      <c r="Z842" s="5" t="str">
        <f>IFERROR(__xludf.DUMMYFUNCTION("REGEXEXTRACT(J842, ""[A-Za-z ]+$"")")," min")</f>
        <v> min</v>
      </c>
      <c r="AA842" s="5" t="str">
        <f>IFERROR(__xludf.DUMMYFUNCTION("IF(REGEXMATCH(Z842, ""Season""), ""TV Show"", ""Movie"")"),"Movie")</f>
        <v>Movie</v>
      </c>
    </row>
    <row r="843">
      <c r="A843" s="1" t="s">
        <v>5102</v>
      </c>
      <c r="B843" s="1" t="s">
        <v>27</v>
      </c>
      <c r="C843" s="1" t="s">
        <v>5103</v>
      </c>
      <c r="D843" s="1" t="s">
        <v>5104</v>
      </c>
      <c r="E843" s="1" t="s">
        <v>5105</v>
      </c>
      <c r="G843" s="7">
        <v>44342.0</v>
      </c>
      <c r="H843" s="1">
        <v>2021.0</v>
      </c>
      <c r="I843" s="1" t="s">
        <v>42</v>
      </c>
      <c r="J843" s="1" t="s">
        <v>985</v>
      </c>
      <c r="K843" s="1" t="s">
        <v>306</v>
      </c>
      <c r="L843" s="1" t="s">
        <v>5106</v>
      </c>
      <c r="M843" s="2" t="s">
        <v>12</v>
      </c>
      <c r="N843" s="4">
        <f t="shared" si="1"/>
        <v>44342</v>
      </c>
      <c r="O843" s="5" t="str">
        <f>IFERROR(__xludf.DUMMYFUNCTION("IF(REGEXMATCH(TRIM(I843), ""^\d+\s*min""), ""Unclassified"", IF(I843 = """", ""NR"", I843))"),"TV-MA")</f>
        <v>TV-MA</v>
      </c>
      <c r="R843" s="5" t="str">
        <f t="shared" si="2"/>
        <v>Gatao - The Last Stray</v>
      </c>
      <c r="S843" s="5" t="str">
        <f>IFERROR(__xludf.DUMMYFUNCTION("""COMPUTED_VALUE"""),"Battle Drone")</f>
        <v>Battle Drone</v>
      </c>
      <c r="U843" s="5" t="str">
        <f>IFERROR(__xludf.DUMMYFUNCTION("""COMPUTED_VALUE"""),"Prakash Jha")</f>
        <v>Prakash Jha</v>
      </c>
      <c r="V843" s="5" t="s">
        <v>5107</v>
      </c>
      <c r="W843" s="5" t="str">
        <f t="shared" si="3"/>
        <v>Clovis Cornillac</v>
      </c>
      <c r="X843" s="5">
        <f t="shared" si="4"/>
        <v>1</v>
      </c>
      <c r="Y843" s="5" t="str">
        <f>IFERROR(__xludf.DUMMYFUNCTION("REGEXEXTRACT(J843, ""^\d+"")"),"120")</f>
        <v>120</v>
      </c>
      <c r="Z843" s="5" t="str">
        <f>IFERROR(__xludf.DUMMYFUNCTION("REGEXEXTRACT(J843, ""[A-Za-z ]+$"")")," min")</f>
        <v> min</v>
      </c>
      <c r="AA843" s="5" t="str">
        <f>IFERROR(__xludf.DUMMYFUNCTION("IF(REGEXMATCH(Z843, ""Season""), ""TV Show"", ""Movie"")"),"Movie")</f>
        <v>Movie</v>
      </c>
    </row>
    <row r="844">
      <c r="A844" s="1" t="s">
        <v>5108</v>
      </c>
      <c r="B844" s="1" t="s">
        <v>37</v>
      </c>
      <c r="C844" s="1" t="s">
        <v>5109</v>
      </c>
      <c r="G844" s="7">
        <v>44342.0</v>
      </c>
      <c r="H844" s="1">
        <v>2021.0</v>
      </c>
      <c r="I844" s="1" t="s">
        <v>97</v>
      </c>
      <c r="J844" s="1" t="s">
        <v>51</v>
      </c>
      <c r="K844" s="1" t="s">
        <v>1261</v>
      </c>
      <c r="L844" s="1" t="s">
        <v>5110</v>
      </c>
      <c r="M844" s="2" t="s">
        <v>12</v>
      </c>
      <c r="N844" s="4">
        <f t="shared" si="1"/>
        <v>44342</v>
      </c>
      <c r="O844" s="5" t="str">
        <f>IFERROR(__xludf.DUMMYFUNCTION("IF(REGEXMATCH(TRIM(I844), ""^\d+\s*min""), ""Unclassified"", IF(I844 = """", ""NR"", I844))"),"TV-14")</f>
        <v>TV-14</v>
      </c>
      <c r="R844" s="5" t="str">
        <f t="shared" si="2"/>
        <v>High On The Hog: How African American Cuisine Transformed America</v>
      </c>
      <c r="S844" s="5" t="str">
        <f>IFERROR(__xludf.DUMMYFUNCTION("""COMPUTED_VALUE"""),"Battle: Los Angeles")</f>
        <v>Battle: Los Angeles</v>
      </c>
      <c r="U844" s="5" t="str">
        <f>IFERROR(__xludf.DUMMYFUNCTION("""COMPUTED_VALUE"""),"Rohan Sippy")</f>
        <v>Rohan Sippy</v>
      </c>
      <c r="V844" s="5" t="s">
        <v>5111</v>
      </c>
      <c r="W844" s="5" t="str">
        <f t="shared" si="3"/>
        <v>Cody Cameron, Kris Pearn</v>
      </c>
      <c r="X844" s="5">
        <f t="shared" si="4"/>
        <v>1</v>
      </c>
      <c r="Y844" s="5" t="str">
        <f>IFERROR(__xludf.DUMMYFUNCTION("REGEXEXTRACT(J844, ""^\d+"")"),"1")</f>
        <v>1</v>
      </c>
      <c r="Z844" s="5" t="str">
        <f>IFERROR(__xludf.DUMMYFUNCTION("REGEXEXTRACT(J844, ""[A-Za-z ]+$"")")," Season")</f>
        <v> Season</v>
      </c>
      <c r="AA844" s="5" t="str">
        <f>IFERROR(__xludf.DUMMYFUNCTION("IF(REGEXMATCH(Z844, ""Season""), ""TV Show"", ""Movie"")"),"TV Show")</f>
        <v>TV Show</v>
      </c>
    </row>
    <row r="845">
      <c r="A845" s="1" t="s">
        <v>5112</v>
      </c>
      <c r="B845" s="1" t="s">
        <v>37</v>
      </c>
      <c r="C845" s="1" t="s">
        <v>5113</v>
      </c>
      <c r="E845" s="1" t="s">
        <v>5114</v>
      </c>
      <c r="F845" s="1" t="s">
        <v>415</v>
      </c>
      <c r="G845" s="7">
        <v>44342.0</v>
      </c>
      <c r="H845" s="1">
        <v>2016.0</v>
      </c>
      <c r="I845" s="1" t="s">
        <v>42</v>
      </c>
      <c r="J845" s="1" t="s">
        <v>276</v>
      </c>
      <c r="K845" s="1" t="s">
        <v>567</v>
      </c>
      <c r="L845" s="1" t="s">
        <v>5115</v>
      </c>
      <c r="M845" s="2" t="s">
        <v>12</v>
      </c>
      <c r="N845" s="4">
        <f t="shared" si="1"/>
        <v>44342</v>
      </c>
      <c r="O845" s="5" t="str">
        <f>IFERROR(__xludf.DUMMYFUNCTION("IF(REGEXMATCH(TRIM(I845), ""^\d+\s*min""), ""Unclassified"", IF(I845 = """", ""NR"", I845))"),"TV-MA")</f>
        <v>TV-MA</v>
      </c>
      <c r="R845" s="5" t="str">
        <f t="shared" si="2"/>
        <v>Jojo'S Bizarre Adventure</v>
      </c>
      <c r="S845" s="5" t="str">
        <f>IFERROR(__xludf.DUMMYFUNCTION("""COMPUTED_VALUE"""),"Battlefield Earth")</f>
        <v>Battlefield Earth</v>
      </c>
      <c r="U845" s="5" t="str">
        <f>IFERROR(__xludf.DUMMYFUNCTION("""COMPUTED_VALUE"""),"Ross Venokur")</f>
        <v>Ross Venokur</v>
      </c>
      <c r="V845" s="5" t="s">
        <v>5116</v>
      </c>
      <c r="W845" s="5" t="str">
        <f t="shared" si="3"/>
        <v>Cody Stokes</v>
      </c>
      <c r="X845" s="5">
        <f t="shared" si="4"/>
        <v>1</v>
      </c>
      <c r="Y845" s="5" t="str">
        <f>IFERROR(__xludf.DUMMYFUNCTION("REGEXEXTRACT(J845, ""^\d+"")"),"3")</f>
        <v>3</v>
      </c>
      <c r="Z845" s="5" t="str">
        <f>IFERROR(__xludf.DUMMYFUNCTION("REGEXEXTRACT(J845, ""[A-Za-z ]+$"")")," Seasons")</f>
        <v> Seasons</v>
      </c>
      <c r="AA845" s="5" t="str">
        <f>IFERROR(__xludf.DUMMYFUNCTION("IF(REGEXMATCH(Z845, ""Season""), ""TV Show"", ""Movie"")"),"TV Show")</f>
        <v>TV Show</v>
      </c>
    </row>
    <row r="846">
      <c r="A846" s="1" t="s">
        <v>5117</v>
      </c>
      <c r="B846" s="1" t="s">
        <v>27</v>
      </c>
      <c r="C846" s="1" t="s">
        <v>5118</v>
      </c>
      <c r="D846" s="1" t="s">
        <v>5119</v>
      </c>
      <c r="G846" s="7">
        <v>44342.0</v>
      </c>
      <c r="H846" s="1">
        <v>2021.0</v>
      </c>
      <c r="I846" s="1" t="s">
        <v>42</v>
      </c>
      <c r="J846" s="1" t="s">
        <v>5120</v>
      </c>
      <c r="K846" s="1" t="s">
        <v>156</v>
      </c>
      <c r="L846" s="1" t="s">
        <v>5121</v>
      </c>
      <c r="M846" s="2" t="s">
        <v>12</v>
      </c>
      <c r="N846" s="4">
        <f t="shared" si="1"/>
        <v>44342</v>
      </c>
      <c r="O846" s="5" t="str">
        <f>IFERROR(__xludf.DUMMYFUNCTION("IF(REGEXMATCH(TRIM(I846), ""^\d+\s*min""), ""Unclassified"", IF(I846 = """", ""NR"", I846))"),"TV-MA")</f>
        <v>TV-MA</v>
      </c>
      <c r="R846" s="5" t="str">
        <f t="shared" si="2"/>
        <v>Nail Bomber: Manhunt</v>
      </c>
      <c r="S846" s="5" t="str">
        <f>IFERROR(__xludf.DUMMYFUNCTION("""COMPUTED_VALUE"""),"Battlefield Recovery")</f>
        <v>Battlefield Recovery</v>
      </c>
      <c r="U846" s="5" t="str">
        <f>IFERROR(__xludf.DUMMYFUNCTION("""COMPUTED_VALUE"""),"Rohena Gera")</f>
        <v>Rohena Gera</v>
      </c>
      <c r="V846" s="5" t="s">
        <v>5122</v>
      </c>
      <c r="W846" s="5" t="str">
        <f t="shared" si="3"/>
        <v>Coerte Voorhees, John Voorhees</v>
      </c>
      <c r="X846" s="5">
        <f t="shared" si="4"/>
        <v>1</v>
      </c>
      <c r="Y846" s="5" t="str">
        <f>IFERROR(__xludf.DUMMYFUNCTION("REGEXEXTRACT(J846, ""^\d+"")"),"73")</f>
        <v>73</v>
      </c>
      <c r="Z846" s="5" t="str">
        <f>IFERROR(__xludf.DUMMYFUNCTION("REGEXEXTRACT(J846, ""[A-Za-z ]+$"")")," min")</f>
        <v> min</v>
      </c>
      <c r="AA846" s="5" t="str">
        <f>IFERROR(__xludf.DUMMYFUNCTION("IF(REGEXMATCH(Z846, ""Season""), ""TV Show"", ""Movie"")"),"Movie")</f>
        <v>Movie</v>
      </c>
    </row>
    <row r="847">
      <c r="A847" s="1" t="s">
        <v>5123</v>
      </c>
      <c r="B847" s="1" t="s">
        <v>27</v>
      </c>
      <c r="C847" s="1" t="s">
        <v>5124</v>
      </c>
      <c r="D847" s="1" t="s">
        <v>5125</v>
      </c>
      <c r="E847" s="1" t="s">
        <v>5126</v>
      </c>
      <c r="G847" s="7">
        <v>44341.0</v>
      </c>
      <c r="H847" s="1">
        <v>2014.0</v>
      </c>
      <c r="I847" s="1" t="s">
        <v>97</v>
      </c>
      <c r="J847" s="1" t="s">
        <v>297</v>
      </c>
      <c r="K847" s="1" t="s">
        <v>298</v>
      </c>
      <c r="L847" s="1" t="s">
        <v>5127</v>
      </c>
      <c r="M847" s="2" t="s">
        <v>12</v>
      </c>
      <c r="N847" s="4">
        <f t="shared" si="1"/>
        <v>44341</v>
      </c>
      <c r="O847" s="5" t="str">
        <f>IFERROR(__xludf.DUMMYFUNCTION("IF(REGEXMATCH(TRIM(I847), ""^\d+\s*min""), ""Unclassified"", IF(I847 = """", ""NR"", I847))"),"TV-14")</f>
        <v>TV-14</v>
      </c>
      <c r="R847" s="5" t="str">
        <f t="shared" si="2"/>
        <v>A Place In The Stars</v>
      </c>
      <c r="S847" s="5" t="str">
        <f>IFERROR(__xludf.DUMMYFUNCTION("""COMPUTED_VALUE"""),"Battlefish")</f>
        <v>Battlefish</v>
      </c>
      <c r="U847" s="5" t="str">
        <f>IFERROR(__xludf.DUMMYFUNCTION("""COMPUTED_VALUE"""),"Maite Ruiz De Austri")</f>
        <v>Maite Ruiz De Austri</v>
      </c>
      <c r="V847" s="5" t="s">
        <v>5128</v>
      </c>
      <c r="W847" s="5" t="str">
        <f t="shared" si="3"/>
        <v>Colin Dench</v>
      </c>
      <c r="X847" s="5">
        <f t="shared" si="4"/>
        <v>1</v>
      </c>
      <c r="Y847" s="5" t="str">
        <f>IFERROR(__xludf.DUMMYFUNCTION("REGEXEXTRACT(J847, ""^\d+"")"),"110")</f>
        <v>110</v>
      </c>
      <c r="Z847" s="5" t="str">
        <f>IFERROR(__xludf.DUMMYFUNCTION("REGEXEXTRACT(J847, ""[A-Za-z ]+$"")")," min")</f>
        <v> min</v>
      </c>
      <c r="AA847" s="5" t="str">
        <f>IFERROR(__xludf.DUMMYFUNCTION("IF(REGEXMATCH(Z847, ""Season""), ""TV Show"", ""Movie"")"),"Movie")</f>
        <v>Movie</v>
      </c>
    </row>
    <row r="848">
      <c r="A848" s="1" t="s">
        <v>5129</v>
      </c>
      <c r="B848" s="1" t="s">
        <v>27</v>
      </c>
      <c r="C848" s="1" t="s">
        <v>5130</v>
      </c>
      <c r="D848" s="1" t="s">
        <v>5131</v>
      </c>
      <c r="E848" s="1" t="s">
        <v>5132</v>
      </c>
      <c r="F848" s="1" t="s">
        <v>30</v>
      </c>
      <c r="G848" s="7">
        <v>44341.0</v>
      </c>
      <c r="H848" s="1">
        <v>2015.0</v>
      </c>
      <c r="I848" s="1" t="s">
        <v>78</v>
      </c>
      <c r="J848" s="1" t="s">
        <v>170</v>
      </c>
      <c r="K848" s="1" t="s">
        <v>2155</v>
      </c>
      <c r="L848" s="1" t="s">
        <v>5133</v>
      </c>
      <c r="M848" s="2" t="s">
        <v>12</v>
      </c>
      <c r="N848" s="4">
        <f t="shared" si="1"/>
        <v>44341</v>
      </c>
      <c r="O848" s="5" t="str">
        <f>IFERROR(__xludf.DUMMYFUNCTION("IF(REGEXMATCH(TRIM(I848), ""^\d+\s*min""), ""Unclassified"", IF(I848 = """", ""NR"", I848))"),"PG")</f>
        <v>PG</v>
      </c>
      <c r="R848" s="5" t="str">
        <f t="shared" si="2"/>
        <v>Home</v>
      </c>
      <c r="S848" s="5" t="str">
        <f>IFERROR(__xludf.DUMMYFUNCTION("""COMPUTED_VALUE"""),"Bawarchi")</f>
        <v>Bawarchi</v>
      </c>
      <c r="U848" s="5" t="str">
        <f>IFERROR(__xludf.DUMMYFUNCTION("""COMPUTED_VALUE"""),"Jastis Arimba")</f>
        <v>Jastis Arimba</v>
      </c>
      <c r="V848" s="5" t="s">
        <v>5134</v>
      </c>
      <c r="W848" s="5" t="str">
        <f t="shared" si="3"/>
        <v>Colin Minihan</v>
      </c>
      <c r="X848" s="5">
        <f t="shared" si="4"/>
        <v>1</v>
      </c>
      <c r="Y848" s="5" t="str">
        <f>IFERROR(__xludf.DUMMYFUNCTION("REGEXEXTRACT(J848, ""^\d+"")"),"94")</f>
        <v>94</v>
      </c>
      <c r="Z848" s="5" t="str">
        <f>IFERROR(__xludf.DUMMYFUNCTION("REGEXEXTRACT(J848, ""[A-Za-z ]+$"")")," min")</f>
        <v> min</v>
      </c>
      <c r="AA848" s="5" t="str">
        <f>IFERROR(__xludf.DUMMYFUNCTION("IF(REGEXMATCH(Z848, ""Season""), ""TV Show"", ""Movie"")"),"Movie")</f>
        <v>Movie</v>
      </c>
    </row>
    <row r="849">
      <c r="A849" s="1" t="s">
        <v>5135</v>
      </c>
      <c r="B849" s="1" t="s">
        <v>37</v>
      </c>
      <c r="C849" s="1" t="s">
        <v>5136</v>
      </c>
      <c r="E849" s="1" t="s">
        <v>5137</v>
      </c>
      <c r="G849" s="7">
        <v>44340.0</v>
      </c>
      <c r="H849" s="1">
        <v>2021.0</v>
      </c>
      <c r="I849" s="1" t="s">
        <v>42</v>
      </c>
      <c r="J849" s="1" t="s">
        <v>51</v>
      </c>
      <c r="K849" s="1" t="s">
        <v>64</v>
      </c>
      <c r="L849" s="1" t="s">
        <v>5138</v>
      </c>
      <c r="M849" s="2" t="s">
        <v>12</v>
      </c>
      <c r="N849" s="4">
        <f t="shared" si="1"/>
        <v>44340</v>
      </c>
      <c r="O849" s="5" t="str">
        <f>IFERROR(__xludf.DUMMYFUNCTION("IF(REGEXMATCH(TRIM(I849), ""^\d+\s*min""), ""Unclassified"", IF(I849 = """", ""NR"", I849))"),"TV-MA")</f>
        <v>TV-MA</v>
      </c>
      <c r="R849" s="5" t="str">
        <f t="shared" si="2"/>
        <v>Mad For Each Other</v>
      </c>
      <c r="S849" s="5" t="str">
        <f>IFERROR(__xludf.DUMMYFUNCTION("""COMPUTED_VALUE"""),"Baxu And The Giants")</f>
        <v>Baxu And The Giants</v>
      </c>
      <c r="U849" s="5" t="str">
        <f>IFERROR(__xludf.DUMMYFUNCTION("""COMPUTED_VALUE"""),"Eric Summer, Éric Warin")</f>
        <v>Eric Summer, Éric Warin</v>
      </c>
      <c r="V849" s="5" t="s">
        <v>5139</v>
      </c>
      <c r="W849" s="5" t="str">
        <f t="shared" si="3"/>
        <v>Colin Strause, Greg Strause</v>
      </c>
      <c r="X849" s="5">
        <f t="shared" si="4"/>
        <v>1</v>
      </c>
      <c r="Y849" s="5" t="str">
        <f>IFERROR(__xludf.DUMMYFUNCTION("REGEXEXTRACT(J849, ""^\d+"")"),"1")</f>
        <v>1</v>
      </c>
      <c r="Z849" s="5" t="str">
        <f>IFERROR(__xludf.DUMMYFUNCTION("REGEXEXTRACT(J849, ""[A-Za-z ]+$"")")," Season")</f>
        <v> Season</v>
      </c>
      <c r="AA849" s="5" t="str">
        <f>IFERROR(__xludf.DUMMYFUNCTION("IF(REGEXMATCH(Z849, ""Season""), ""TV Show"", ""Movie"")"),"TV Show")</f>
        <v>TV Show</v>
      </c>
    </row>
    <row r="850">
      <c r="A850" s="1" t="s">
        <v>5140</v>
      </c>
      <c r="B850" s="1" t="s">
        <v>37</v>
      </c>
      <c r="C850" s="1" t="s">
        <v>5141</v>
      </c>
      <c r="E850" s="1" t="s">
        <v>5142</v>
      </c>
      <c r="F850" s="1" t="s">
        <v>30</v>
      </c>
      <c r="G850" s="7">
        <v>44339.0</v>
      </c>
      <c r="H850" s="1">
        <v>2021.0</v>
      </c>
      <c r="I850" s="1" t="s">
        <v>42</v>
      </c>
      <c r="J850" s="1" t="s">
        <v>276</v>
      </c>
      <c r="K850" s="1" t="s">
        <v>149</v>
      </c>
      <c r="L850" s="1" t="s">
        <v>5143</v>
      </c>
      <c r="M850" s="2" t="s">
        <v>12</v>
      </c>
      <c r="N850" s="4">
        <f t="shared" si="1"/>
        <v>44339</v>
      </c>
      <c r="O850" s="5" t="str">
        <f>IFERROR(__xludf.DUMMYFUNCTION("IF(REGEXMATCH(TRIM(I850), ""^\d+\s*min""), ""Unclassified"", IF(I850 = """", ""NR"", I850))"),"TV-MA")</f>
        <v>TV-MA</v>
      </c>
      <c r="R850" s="5" t="str">
        <f t="shared" si="2"/>
        <v>Master Of None</v>
      </c>
      <c r="S850" s="5" t="str">
        <f>IFERROR(__xludf.DUMMYFUNCTION("""COMPUTED_VALUE"""),"Bayonet")</f>
        <v>Bayonet</v>
      </c>
      <c r="U850" s="5" t="str">
        <f>IFERROR(__xludf.DUMMYFUNCTION("""COMPUTED_VALUE"""),"Kornél Mundruczó")</f>
        <v>Kornél Mundruczó</v>
      </c>
      <c r="V850" s="5" t="s">
        <v>5144</v>
      </c>
      <c r="W850" s="5" t="str">
        <f t="shared" si="3"/>
        <v>Colin Teague</v>
      </c>
      <c r="X850" s="5">
        <f t="shared" si="4"/>
        <v>1</v>
      </c>
      <c r="Y850" s="5" t="str">
        <f>IFERROR(__xludf.DUMMYFUNCTION("REGEXEXTRACT(J850, ""^\d+"")"),"3")</f>
        <v>3</v>
      </c>
      <c r="Z850" s="5" t="str">
        <f>IFERROR(__xludf.DUMMYFUNCTION("REGEXEXTRACT(J850, ""[A-Za-z ]+$"")")," Seasons")</f>
        <v> Seasons</v>
      </c>
      <c r="AA850" s="5" t="str">
        <f>IFERROR(__xludf.DUMMYFUNCTION("IF(REGEXMATCH(Z850, ""Season""), ""TV Show"", ""Movie"")"),"TV Show")</f>
        <v>TV Show</v>
      </c>
    </row>
    <row r="851">
      <c r="A851" s="1" t="s">
        <v>5145</v>
      </c>
      <c r="B851" s="1" t="s">
        <v>27</v>
      </c>
      <c r="C851" s="1" t="s">
        <v>5146</v>
      </c>
      <c r="E851" s="1" t="s">
        <v>5147</v>
      </c>
      <c r="G851" s="7">
        <v>44338.0</v>
      </c>
      <c r="H851" s="1">
        <v>2020.0</v>
      </c>
      <c r="I851" s="1" t="s">
        <v>506</v>
      </c>
      <c r="J851" s="1" t="s">
        <v>207</v>
      </c>
      <c r="K851" s="1" t="s">
        <v>1939</v>
      </c>
      <c r="L851" s="1" t="s">
        <v>5148</v>
      </c>
      <c r="M851" s="2" t="s">
        <v>12</v>
      </c>
      <c r="N851" s="4">
        <f t="shared" si="1"/>
        <v>44338</v>
      </c>
      <c r="O851" s="5" t="str">
        <f>IFERROR(__xludf.DUMMYFUNCTION("IF(REGEXMATCH(TRIM(I851), ""^\d+\s*min""), ""Unclassified"", IF(I851 = """", ""NR"", I851))"),"TV-G")</f>
        <v>TV-G</v>
      </c>
      <c r="R851" s="5" t="str">
        <f t="shared" si="2"/>
        <v>Sam Smith: Love Goes - Live At Abbey Road Studios</v>
      </c>
      <c r="S851" s="5" t="str">
        <f>IFERROR(__xludf.DUMMYFUNCTION("""COMPUTED_VALUE"""),"Bazaar")</f>
        <v>Bazaar</v>
      </c>
      <c r="U851" s="5" t="str">
        <f>IFERROR(__xludf.DUMMYFUNCTION("""COMPUTED_VALUE"""),"Alejandro Ruax, Ramiro Martínez")</f>
        <v>Alejandro Ruax, Ramiro Martínez</v>
      </c>
      <c r="V851" s="5" t="s">
        <v>2834</v>
      </c>
      <c r="W851" s="5" t="str">
        <f t="shared" si="3"/>
        <v>Colin Trevorrow</v>
      </c>
      <c r="X851" s="5">
        <f t="shared" si="4"/>
        <v>2</v>
      </c>
      <c r="Y851" s="5" t="str">
        <f>IFERROR(__xludf.DUMMYFUNCTION("REGEXEXTRACT(J851, ""^\d+"")"),"61")</f>
        <v>61</v>
      </c>
      <c r="Z851" s="5" t="str">
        <f>IFERROR(__xludf.DUMMYFUNCTION("REGEXEXTRACT(J851, ""[A-Za-z ]+$"")")," min")</f>
        <v> min</v>
      </c>
      <c r="AA851" s="5" t="str">
        <f>IFERROR(__xludf.DUMMYFUNCTION("IF(REGEXMATCH(Z851, ""Season""), ""TV Show"", ""Movie"")"),"Movie")</f>
        <v>Movie</v>
      </c>
    </row>
    <row r="852">
      <c r="A852" s="1" t="s">
        <v>5149</v>
      </c>
      <c r="B852" s="1" t="s">
        <v>27</v>
      </c>
      <c r="C852" s="1" t="s">
        <v>5150</v>
      </c>
      <c r="D852" s="1" t="s">
        <v>5151</v>
      </c>
      <c r="E852" s="1" t="s">
        <v>5152</v>
      </c>
      <c r="F852" s="1" t="s">
        <v>63</v>
      </c>
      <c r="G852" s="7">
        <v>44337.0</v>
      </c>
      <c r="H852" s="1">
        <v>2021.0</v>
      </c>
      <c r="I852" s="1" t="s">
        <v>97</v>
      </c>
      <c r="J852" s="1" t="s">
        <v>2859</v>
      </c>
      <c r="K852" s="1" t="s">
        <v>1429</v>
      </c>
      <c r="L852" s="1" t="s">
        <v>5153</v>
      </c>
      <c r="M852" s="2" t="s">
        <v>12</v>
      </c>
      <c r="N852" s="4">
        <f t="shared" si="1"/>
        <v>44337</v>
      </c>
      <c r="O852" s="5" t="str">
        <f>IFERROR(__xludf.DUMMYFUNCTION("IF(REGEXMATCH(TRIM(I852), ""^\d+\s*min""), ""Unclassified"", IF(I852 = """", ""NR"", I852))"),"TV-14")</f>
        <v>TV-14</v>
      </c>
      <c r="R852" s="5" t="str">
        <f t="shared" si="2"/>
        <v>99 Songs</v>
      </c>
      <c r="S852" s="5" t="str">
        <f>IFERROR(__xludf.DUMMYFUNCTION("""COMPUTED_VALUE"""),"Bbuddah Hoga Terra Baap")</f>
        <v>Bbuddah Hoga Terra Baap</v>
      </c>
      <c r="U852" s="5" t="str">
        <f>IFERROR(__xludf.DUMMYFUNCTION("""COMPUTED_VALUE"""),"Florent Bodin")</f>
        <v>Florent Bodin</v>
      </c>
      <c r="V852" s="5" t="s">
        <v>5154</v>
      </c>
      <c r="W852" s="5" t="str">
        <f t="shared" si="3"/>
        <v>Conor Allyn</v>
      </c>
      <c r="X852" s="5">
        <f t="shared" si="4"/>
        <v>1</v>
      </c>
      <c r="Y852" s="5" t="str">
        <f>IFERROR(__xludf.DUMMYFUNCTION("REGEXEXTRACT(J852, ""^\d+"")"),"131")</f>
        <v>131</v>
      </c>
      <c r="Z852" s="5" t="str">
        <f>IFERROR(__xludf.DUMMYFUNCTION("REGEXEXTRACT(J852, ""[A-Za-z ]+$"")")," min")</f>
        <v> min</v>
      </c>
      <c r="AA852" s="5" t="str">
        <f>IFERROR(__xludf.DUMMYFUNCTION("IF(REGEXMATCH(Z852, ""Season""), ""TV Show"", ""Movie"")"),"Movie")</f>
        <v>Movie</v>
      </c>
    </row>
    <row r="853">
      <c r="A853" s="1" t="s">
        <v>5155</v>
      </c>
      <c r="B853" s="1" t="s">
        <v>27</v>
      </c>
      <c r="C853" s="1" t="s">
        <v>5156</v>
      </c>
      <c r="G853" s="7">
        <v>44337.0</v>
      </c>
      <c r="H853" s="1">
        <v>2021.0</v>
      </c>
      <c r="I853" s="1" t="s">
        <v>97</v>
      </c>
      <c r="J853" s="1" t="s">
        <v>2859</v>
      </c>
      <c r="K853" s="1" t="s">
        <v>1429</v>
      </c>
      <c r="L853" s="1" t="s">
        <v>5153</v>
      </c>
      <c r="M853" s="2" t="s">
        <v>12</v>
      </c>
      <c r="N853" s="4">
        <f t="shared" si="1"/>
        <v>44337</v>
      </c>
      <c r="O853" s="5" t="str">
        <f>IFERROR(__xludf.DUMMYFUNCTION("IF(REGEXMATCH(TRIM(I853), ""^\d+\s*min""), ""Unclassified"", IF(I853 = """", ""NR"", I853))"),"TV-14")</f>
        <v>TV-14</v>
      </c>
      <c r="R853" s="5" t="str">
        <f t="shared" si="2"/>
        <v>99 Songs (Tamil)</v>
      </c>
      <c r="S853" s="5" t="str">
        <f>IFERROR(__xludf.DUMMYFUNCTION("""COMPUTED_VALUE"""),"Be Here Now")</f>
        <v>Be Here Now</v>
      </c>
      <c r="U853" s="5" t="str">
        <f>IFERROR(__xludf.DUMMYFUNCTION("""COMPUTED_VALUE"""),"Sohail Khan")</f>
        <v>Sohail Khan</v>
      </c>
      <c r="V853" s="5" t="s">
        <v>5157</v>
      </c>
      <c r="W853" s="5" t="str">
        <f t="shared" si="3"/>
        <v>Conrad Helten</v>
      </c>
      <c r="X853" s="5">
        <f t="shared" si="4"/>
        <v>3</v>
      </c>
      <c r="Y853" s="5" t="str">
        <f>IFERROR(__xludf.DUMMYFUNCTION("REGEXEXTRACT(J853, ""^\d+"")"),"131")</f>
        <v>131</v>
      </c>
      <c r="Z853" s="5" t="str">
        <f>IFERROR(__xludf.DUMMYFUNCTION("REGEXEXTRACT(J853, ""[A-Za-z ]+$"")")," min")</f>
        <v> min</v>
      </c>
      <c r="AA853" s="5" t="str">
        <f>IFERROR(__xludf.DUMMYFUNCTION("IF(REGEXMATCH(Z853, ""Season""), ""TV Show"", ""Movie"")"),"Movie")</f>
        <v>Movie</v>
      </c>
    </row>
    <row r="854">
      <c r="A854" s="1" t="s">
        <v>5158</v>
      </c>
      <c r="B854" s="1" t="s">
        <v>27</v>
      </c>
      <c r="C854" s="1" t="s">
        <v>5159</v>
      </c>
      <c r="G854" s="7">
        <v>44337.0</v>
      </c>
      <c r="H854" s="1">
        <v>2021.0</v>
      </c>
      <c r="I854" s="1" t="s">
        <v>97</v>
      </c>
      <c r="J854" s="1" t="s">
        <v>2859</v>
      </c>
      <c r="K854" s="1" t="s">
        <v>1429</v>
      </c>
      <c r="L854" s="1" t="s">
        <v>5153</v>
      </c>
      <c r="M854" s="2" t="s">
        <v>12</v>
      </c>
      <c r="N854" s="4">
        <f t="shared" si="1"/>
        <v>44337</v>
      </c>
      <c r="O854" s="5" t="str">
        <f>IFERROR(__xludf.DUMMYFUNCTION("IF(REGEXMATCH(TRIM(I854), ""^\d+\s*min""), ""Unclassified"", IF(I854 = """", ""NR"", I854))"),"TV-14")</f>
        <v>TV-14</v>
      </c>
      <c r="R854" s="5" t="str">
        <f t="shared" si="2"/>
        <v>99 Songs (Telugu)</v>
      </c>
      <c r="S854" s="5" t="str">
        <f>IFERROR(__xludf.DUMMYFUNCTION("""COMPUTED_VALUE"""),"Be Somebody")</f>
        <v>Be Somebody</v>
      </c>
      <c r="U854" s="5" t="str">
        <f>IFERROR(__xludf.DUMMYFUNCTION("""COMPUTED_VALUE"""),"Hallvard Bræin")</f>
        <v>Hallvard Bræin</v>
      </c>
      <c r="V854" s="5" t="s">
        <v>5160</v>
      </c>
      <c r="W854" s="5" t="str">
        <f t="shared" si="3"/>
        <v>Conrad Helten, Ezekiel Norton, Michael Goguen</v>
      </c>
      <c r="X854" s="5">
        <f t="shared" si="4"/>
        <v>1</v>
      </c>
      <c r="Y854" s="5" t="str">
        <f>IFERROR(__xludf.DUMMYFUNCTION("REGEXEXTRACT(J854, ""^\d+"")"),"131")</f>
        <v>131</v>
      </c>
      <c r="Z854" s="5" t="str">
        <f>IFERROR(__xludf.DUMMYFUNCTION("REGEXEXTRACT(J854, ""[A-Za-z ]+$"")")," min")</f>
        <v> min</v>
      </c>
      <c r="AA854" s="5" t="str">
        <f>IFERROR(__xludf.DUMMYFUNCTION("IF(REGEXMATCH(Z854, ""Season""), ""TV Show"", ""Movie"")"),"Movie")</f>
        <v>Movie</v>
      </c>
    </row>
    <row r="855">
      <c r="A855" s="1" t="s">
        <v>5161</v>
      </c>
      <c r="B855" s="1" t="s">
        <v>27</v>
      </c>
      <c r="C855" s="1" t="s">
        <v>5162</v>
      </c>
      <c r="D855" s="1" t="s">
        <v>5163</v>
      </c>
      <c r="E855" s="1" t="s">
        <v>5164</v>
      </c>
      <c r="F855" s="1" t="s">
        <v>30</v>
      </c>
      <c r="G855" s="7">
        <v>44337.0</v>
      </c>
      <c r="H855" s="1">
        <v>2021.0</v>
      </c>
      <c r="I855" s="1" t="s">
        <v>378</v>
      </c>
      <c r="J855" s="1" t="s">
        <v>2216</v>
      </c>
      <c r="K855" s="1" t="s">
        <v>5165</v>
      </c>
      <c r="L855" s="1" t="s">
        <v>5166</v>
      </c>
      <c r="M855" s="2" t="s">
        <v>12</v>
      </c>
      <c r="N855" s="4">
        <f t="shared" si="1"/>
        <v>44337</v>
      </c>
      <c r="O855" s="5" t="str">
        <f>IFERROR(__xludf.DUMMYFUNCTION("IF(REGEXMATCH(TRIM(I855), ""^\d+\s*min""), ""Unclassified"", IF(I855 = """", ""NR"", I855))"),"R")</f>
        <v>R</v>
      </c>
      <c r="R855" s="5" t="str">
        <f t="shared" si="2"/>
        <v>Army Of The Dead</v>
      </c>
      <c r="S855" s="5" t="str">
        <f>IFERROR(__xludf.DUMMYFUNCTION("""COMPUTED_VALUE"""),"Be With Me")</f>
        <v>Be With Me</v>
      </c>
      <c r="U855" s="5" t="str">
        <f>IFERROR(__xludf.DUMMYFUNCTION("""COMPUTED_VALUE"""),"Jeff Tremaine")</f>
        <v>Jeff Tremaine</v>
      </c>
      <c r="V855" s="5" t="s">
        <v>5167</v>
      </c>
      <c r="W855" s="5" t="str">
        <f t="shared" si="3"/>
        <v>Constance Marks</v>
      </c>
      <c r="X855" s="5">
        <f t="shared" si="4"/>
        <v>1</v>
      </c>
      <c r="Y855" s="5" t="str">
        <f>IFERROR(__xludf.DUMMYFUNCTION("REGEXEXTRACT(J855, ""^\d+"")"),"148")</f>
        <v>148</v>
      </c>
      <c r="Z855" s="5" t="str">
        <f>IFERROR(__xludf.DUMMYFUNCTION("REGEXEXTRACT(J855, ""[A-Za-z ]+$"")")," min")</f>
        <v> min</v>
      </c>
      <c r="AA855" s="5" t="str">
        <f>IFERROR(__xludf.DUMMYFUNCTION("IF(REGEXMATCH(Z855, ""Season""), ""TV Show"", ""Movie"")"),"Movie")</f>
        <v>Movie</v>
      </c>
    </row>
    <row r="856">
      <c r="A856" s="1" t="s">
        <v>5168</v>
      </c>
      <c r="B856" s="1" t="s">
        <v>27</v>
      </c>
      <c r="C856" s="1" t="s">
        <v>5169</v>
      </c>
      <c r="G856" s="7">
        <v>44337.0</v>
      </c>
      <c r="H856" s="1">
        <v>2021.0</v>
      </c>
      <c r="I856" s="1" t="s">
        <v>42</v>
      </c>
      <c r="J856" s="1" t="s">
        <v>5170</v>
      </c>
      <c r="K856" s="1" t="s">
        <v>34</v>
      </c>
      <c r="L856" s="1" t="s">
        <v>5171</v>
      </c>
      <c r="M856" s="2" t="s">
        <v>12</v>
      </c>
      <c r="N856" s="4">
        <f t="shared" si="1"/>
        <v>44337</v>
      </c>
      <c r="O856" s="5" t="str">
        <f>IFERROR(__xludf.DUMMYFUNCTION("IF(REGEXMATCH(TRIM(I856), ""^\d+\s*min""), ""Unclassified"", IF(I856 = """", ""NR"", I856))"),"TV-MA")</f>
        <v>TV-MA</v>
      </c>
      <c r="R856" s="5" t="str">
        <f t="shared" si="2"/>
        <v>Creating An Army Of The Dead</v>
      </c>
      <c r="S856" s="5" t="str">
        <f>IFERROR(__xludf.DUMMYFUNCTION("""COMPUTED_VALUE"""),"Be With You")</f>
        <v>Be With You</v>
      </c>
      <c r="U856" s="5" t="str">
        <f>IFERROR(__xludf.DUMMYFUNCTION("""COMPUTED_VALUE"""),"Christian Alvart")</f>
        <v>Christian Alvart</v>
      </c>
      <c r="V856" s="5" t="s">
        <v>5172</v>
      </c>
      <c r="W856" s="5" t="str">
        <f t="shared" si="3"/>
        <v>Coodie, Chike</v>
      </c>
      <c r="X856" s="5">
        <f t="shared" si="4"/>
        <v>1</v>
      </c>
      <c r="Y856" s="5" t="str">
        <f>IFERROR(__xludf.DUMMYFUNCTION("REGEXEXTRACT(J856, ""^\d+"")"),"29")</f>
        <v>29</v>
      </c>
      <c r="Z856" s="5" t="str">
        <f>IFERROR(__xludf.DUMMYFUNCTION("REGEXEXTRACT(J856, ""[A-Za-z ]+$"")")," min")</f>
        <v> min</v>
      </c>
      <c r="AA856" s="5" t="str">
        <f>IFERROR(__xludf.DUMMYFUNCTION("IF(REGEXMATCH(Z856, ""Season""), ""TV Show"", ""Movie"")"),"Movie")</f>
        <v>Movie</v>
      </c>
    </row>
    <row r="857">
      <c r="A857" s="1" t="s">
        <v>5173</v>
      </c>
      <c r="B857" s="1" t="s">
        <v>37</v>
      </c>
      <c r="C857" s="1" t="s">
        <v>5174</v>
      </c>
      <c r="E857" s="1" t="s">
        <v>5175</v>
      </c>
      <c r="F857" s="1" t="s">
        <v>30</v>
      </c>
      <c r="G857" s="7">
        <v>44337.0</v>
      </c>
      <c r="H857" s="1">
        <v>2021.0</v>
      </c>
      <c r="I857" s="1" t="s">
        <v>289</v>
      </c>
      <c r="J857" s="1" t="s">
        <v>276</v>
      </c>
      <c r="K857" s="1" t="s">
        <v>3368</v>
      </c>
      <c r="L857" s="1" t="s">
        <v>5176</v>
      </c>
      <c r="M857" s="2" t="s">
        <v>12</v>
      </c>
      <c r="N857" s="4">
        <f t="shared" si="1"/>
        <v>44337</v>
      </c>
      <c r="O857" s="5" t="str">
        <f>IFERROR(__xludf.DUMMYFUNCTION("IF(REGEXMATCH(TRIM(I857), ""^\d+\s*min""), ""Unclassified"", IF(I857 = """", ""NR"", I857))"),"TV-Y7")</f>
        <v>TV-Y7</v>
      </c>
      <c r="R857" s="5" t="str">
        <f t="shared" si="2"/>
        <v>Jurassic World Camp Cretaceous</v>
      </c>
      <c r="S857" s="5" t="str">
        <f>IFERROR(__xludf.DUMMYFUNCTION("""COMPUTED_VALUE"""),"Be-Be-Bears")</f>
        <v>Be-Be-Bears</v>
      </c>
      <c r="U857" s="5" t="str">
        <f>IFERROR(__xludf.DUMMYFUNCTION("""COMPUTED_VALUE"""),"Robert Townsend")</f>
        <v>Robert Townsend</v>
      </c>
      <c r="V857" s="5" t="s">
        <v>5177</v>
      </c>
      <c r="W857" s="5" t="str">
        <f t="shared" si="3"/>
        <v>Cooper Karl</v>
      </c>
      <c r="X857" s="5">
        <f t="shared" si="4"/>
        <v>1</v>
      </c>
      <c r="Y857" s="5" t="str">
        <f>IFERROR(__xludf.DUMMYFUNCTION("REGEXEXTRACT(J857, ""^\d+"")"),"3")</f>
        <v>3</v>
      </c>
      <c r="Z857" s="5" t="str">
        <f>IFERROR(__xludf.DUMMYFUNCTION("REGEXEXTRACT(J857, ""[A-Za-z ]+$"")")," Seasons")</f>
        <v> Seasons</v>
      </c>
      <c r="AA857" s="5" t="str">
        <f>IFERROR(__xludf.DUMMYFUNCTION("IF(REGEXMATCH(Z857, ""Season""), ""TV Show"", ""Movie"")"),"TV Show")</f>
        <v>TV Show</v>
      </c>
    </row>
    <row r="858">
      <c r="A858" s="1" t="s">
        <v>5178</v>
      </c>
      <c r="B858" s="1" t="s">
        <v>27</v>
      </c>
      <c r="C858" s="1" t="s">
        <v>5179</v>
      </c>
      <c r="D858" s="1" t="s">
        <v>5180</v>
      </c>
      <c r="E858" s="1" t="s">
        <v>5181</v>
      </c>
      <c r="G858" s="7">
        <v>44337.0</v>
      </c>
      <c r="H858" s="1">
        <v>2020.0</v>
      </c>
      <c r="I858" s="1" t="s">
        <v>42</v>
      </c>
      <c r="J858" s="1" t="s">
        <v>1256</v>
      </c>
      <c r="K858" s="1" t="s">
        <v>128</v>
      </c>
      <c r="L858" s="1" t="s">
        <v>5182</v>
      </c>
      <c r="M858" s="2" t="s">
        <v>12</v>
      </c>
      <c r="N858" s="4">
        <f t="shared" si="1"/>
        <v>44337</v>
      </c>
      <c r="O858" s="5" t="str">
        <f>IFERROR(__xludf.DUMMYFUNCTION("IF(REGEXMATCH(TRIM(I858), ""^\d+\s*min""), ""Unclassified"", IF(I858 = """", ""NR"", I858))"),"TV-MA")</f>
        <v>TV-MA</v>
      </c>
      <c r="R858" s="5" t="str">
        <f t="shared" si="2"/>
        <v>Strain</v>
      </c>
      <c r="S858" s="5" t="str">
        <f>IFERROR(__xludf.DUMMYFUNCTION("""COMPUTED_VALUE"""),"Beak &amp; Brain: Genius Birds From Down Under")</f>
        <v>Beak &amp; Brain: Genius Birds From Down Under</v>
      </c>
      <c r="U858" s="5" t="str">
        <f>IFERROR(__xludf.DUMMYFUNCTION("""COMPUTED_VALUE"""),"Jeff Deverett")</f>
        <v>Jeff Deverett</v>
      </c>
      <c r="V858" s="5" t="s">
        <v>5183</v>
      </c>
      <c r="W858" s="5" t="str">
        <f t="shared" si="3"/>
        <v>Corbin Bernsen</v>
      </c>
      <c r="X858" s="5">
        <f t="shared" si="4"/>
        <v>1</v>
      </c>
      <c r="Y858" s="5" t="str">
        <f>IFERROR(__xludf.DUMMYFUNCTION("REGEXEXTRACT(J858, ""^\d+"")"),"107")</f>
        <v>107</v>
      </c>
      <c r="Z858" s="5" t="str">
        <f>IFERROR(__xludf.DUMMYFUNCTION("REGEXEXTRACT(J858, ""[A-Za-z ]+$"")")," min")</f>
        <v> min</v>
      </c>
      <c r="AA858" s="5" t="str">
        <f>IFERROR(__xludf.DUMMYFUNCTION("IF(REGEXMATCH(Z858, ""Season""), ""TV Show"", ""Movie"")"),"Movie")</f>
        <v>Movie</v>
      </c>
    </row>
    <row r="859">
      <c r="A859" s="1" t="s">
        <v>5184</v>
      </c>
      <c r="B859" s="1" t="s">
        <v>37</v>
      </c>
      <c r="C859" s="1" t="s">
        <v>5185</v>
      </c>
      <c r="E859" s="1" t="s">
        <v>5186</v>
      </c>
      <c r="F859" s="1" t="s">
        <v>784</v>
      </c>
      <c r="G859" s="7">
        <v>44337.0</v>
      </c>
      <c r="H859" s="1">
        <v>2021.0</v>
      </c>
      <c r="I859" s="1" t="s">
        <v>42</v>
      </c>
      <c r="J859" s="1" t="s">
        <v>43</v>
      </c>
      <c r="K859" s="1" t="s">
        <v>1627</v>
      </c>
      <c r="L859" s="1" t="s">
        <v>5187</v>
      </c>
      <c r="M859" s="2" t="s">
        <v>12</v>
      </c>
      <c r="N859" s="4">
        <f t="shared" si="1"/>
        <v>44337</v>
      </c>
      <c r="O859" s="5" t="str">
        <f>IFERROR(__xludf.DUMMYFUNCTION("IF(REGEXMATCH(TRIM(I859), ""^\d+\s*min""), ""Unclassified"", IF(I859 = """", ""NR"", I859))"),"TV-MA")</f>
        <v>TV-MA</v>
      </c>
      <c r="R859" s="5" t="str">
        <f t="shared" si="2"/>
        <v>The Neighbor</v>
      </c>
      <c r="S859" s="5" t="str">
        <f>IFERROR(__xludf.DUMMYFUNCTION("""COMPUTED_VALUE"""),"Bean: The Ultimate Disaster Movie")</f>
        <v>Bean: The Ultimate Disaster Movie</v>
      </c>
      <c r="U859" s="5" t="str">
        <f>IFERROR(__xludf.DUMMYFUNCTION("""COMPUTED_VALUE"""),"Ron Krauss")</f>
        <v>Ron Krauss</v>
      </c>
      <c r="V859" s="5" t="s">
        <v>5188</v>
      </c>
      <c r="W859" s="5" t="str">
        <f t="shared" si="3"/>
        <v>Corey Grant</v>
      </c>
      <c r="X859" s="5">
        <f t="shared" si="4"/>
        <v>1</v>
      </c>
      <c r="Y859" s="5" t="str">
        <f>IFERROR(__xludf.DUMMYFUNCTION("REGEXEXTRACT(J859, ""^\d+"")"),"2")</f>
        <v>2</v>
      </c>
      <c r="Z859" s="5" t="str">
        <f>IFERROR(__xludf.DUMMYFUNCTION("REGEXEXTRACT(J859, ""[A-Za-z ]+$"")")," Seasons")</f>
        <v> Seasons</v>
      </c>
      <c r="AA859" s="5" t="str">
        <f>IFERROR(__xludf.DUMMYFUNCTION("IF(REGEXMATCH(Z859, ""Season""), ""TV Show"", ""Movie"")"),"TV Show")</f>
        <v>TV Show</v>
      </c>
    </row>
    <row r="860">
      <c r="A860" s="1" t="s">
        <v>5189</v>
      </c>
      <c r="B860" s="1" t="s">
        <v>27</v>
      </c>
      <c r="C860" s="1">
        <v>678.0</v>
      </c>
      <c r="D860" s="1" t="s">
        <v>5190</v>
      </c>
      <c r="E860" s="1" t="s">
        <v>5191</v>
      </c>
      <c r="G860" s="7">
        <v>44336.0</v>
      </c>
      <c r="H860" s="1">
        <v>2009.0</v>
      </c>
      <c r="I860" s="1" t="s">
        <v>97</v>
      </c>
      <c r="J860" s="1" t="s">
        <v>416</v>
      </c>
      <c r="K860" s="1" t="s">
        <v>89</v>
      </c>
      <c r="L860" s="1" t="s">
        <v>5192</v>
      </c>
      <c r="M860" s="2" t="s">
        <v>12</v>
      </c>
      <c r="N860" s="4">
        <f t="shared" si="1"/>
        <v>44336</v>
      </c>
      <c r="O860" s="5" t="str">
        <f>IFERROR(__xludf.DUMMYFUNCTION("IF(REGEXMATCH(TRIM(I860), ""^\d+\s*min""), ""Unclassified"", IF(I860 = """", ""NR"", I860))"),"TV-14")</f>
        <v>TV-14</v>
      </c>
      <c r="R860" s="5" t="str">
        <f t="shared" si="2"/>
        <v>678</v>
      </c>
      <c r="S860" s="5" t="str">
        <f>IFERROR(__xludf.DUMMYFUNCTION("""COMPUTED_VALUE"""),"Beary Tales")</f>
        <v>Beary Tales</v>
      </c>
      <c r="U860" s="5" t="str">
        <f>IFERROR(__xludf.DUMMYFUNCTION("""COMPUTED_VALUE"""),"Brian Robbins")</f>
        <v>Brian Robbins</v>
      </c>
      <c r="V860" s="5" t="s">
        <v>5193</v>
      </c>
      <c r="W860" s="5" t="str">
        <f t="shared" si="3"/>
        <v>Corey Yuen</v>
      </c>
      <c r="X860" s="5">
        <f t="shared" si="4"/>
        <v>1</v>
      </c>
      <c r="Y860" s="5" t="str">
        <f>IFERROR(__xludf.DUMMYFUNCTION("REGEXEXTRACT(J860, ""^\d+"")"),"99")</f>
        <v>99</v>
      </c>
      <c r="Z860" s="5" t="str">
        <f>IFERROR(__xludf.DUMMYFUNCTION("REGEXEXTRACT(J860, ""[A-Za-z ]+$"")")," min")</f>
        <v> min</v>
      </c>
      <c r="AA860" s="5" t="str">
        <f>IFERROR(__xludf.DUMMYFUNCTION("IF(REGEXMATCH(Z860, ""Season""), ""TV Show"", ""Movie"")"),"Movie")</f>
        <v>Movie</v>
      </c>
    </row>
    <row r="861">
      <c r="A861" s="1" t="s">
        <v>5194</v>
      </c>
      <c r="B861" s="1" t="s">
        <v>27</v>
      </c>
      <c r="C861" s="1" t="s">
        <v>5195</v>
      </c>
      <c r="D861" s="1" t="s">
        <v>1640</v>
      </c>
      <c r="E861" s="1" t="s">
        <v>5196</v>
      </c>
      <c r="F861" s="1" t="s">
        <v>3309</v>
      </c>
      <c r="G861" s="7">
        <v>44336.0</v>
      </c>
      <c r="H861" s="1">
        <v>2011.0</v>
      </c>
      <c r="I861" s="1" t="s">
        <v>97</v>
      </c>
      <c r="J861" s="1" t="s">
        <v>665</v>
      </c>
      <c r="K861" s="1" t="s">
        <v>128</v>
      </c>
      <c r="L861" s="1" t="s">
        <v>5197</v>
      </c>
      <c r="M861" s="2" t="s">
        <v>12</v>
      </c>
      <c r="N861" s="4">
        <f t="shared" si="1"/>
        <v>44336</v>
      </c>
      <c r="O861" s="5" t="str">
        <f>IFERROR(__xludf.DUMMYFUNCTION("IF(REGEXMATCH(TRIM(I861), ""^\d+\s*min""), ""Unclassified"", IF(I861 = """", ""NR"", I861))"),"TV-14")</f>
        <v>TV-14</v>
      </c>
      <c r="R861" s="5" t="str">
        <f t="shared" si="2"/>
        <v>Asmaa</v>
      </c>
      <c r="S861" s="5" t="str">
        <f>IFERROR(__xludf.DUMMYFUNCTION("""COMPUTED_VALUE"""),"Beast Legends")</f>
        <v>Beast Legends</v>
      </c>
      <c r="U861" s="5" t="str">
        <f>IFERROR(__xludf.DUMMYFUNCTION("""COMPUTED_VALUE"""),"Jeff Stilson")</f>
        <v>Jeff Stilson</v>
      </c>
      <c r="V861" s="5" t="s">
        <v>5198</v>
      </c>
      <c r="W861" s="5" t="str">
        <f t="shared" si="3"/>
        <v>Corey Yuen, Patrick Leung</v>
      </c>
      <c r="X861" s="5">
        <f t="shared" si="4"/>
        <v>1</v>
      </c>
      <c r="Y861" s="5" t="str">
        <f>IFERROR(__xludf.DUMMYFUNCTION("REGEXEXTRACT(J861, ""^\d+"")"),"92")</f>
        <v>92</v>
      </c>
      <c r="Z861" s="5" t="str">
        <f>IFERROR(__xludf.DUMMYFUNCTION("REGEXEXTRACT(J861, ""[A-Za-z ]+$"")")," min")</f>
        <v> min</v>
      </c>
      <c r="AA861" s="5" t="str">
        <f>IFERROR(__xludf.DUMMYFUNCTION("IF(REGEXMATCH(Z861, ""Season""), ""TV Show"", ""Movie"")"),"Movie")</f>
        <v>Movie</v>
      </c>
    </row>
    <row r="862">
      <c r="A862" s="1" t="s">
        <v>5199</v>
      </c>
      <c r="B862" s="1" t="s">
        <v>27</v>
      </c>
      <c r="C862" s="1" t="s">
        <v>5200</v>
      </c>
      <c r="D862" s="1" t="s">
        <v>4925</v>
      </c>
      <c r="F862" s="1" t="s">
        <v>221</v>
      </c>
      <c r="G862" s="7">
        <v>44336.0</v>
      </c>
      <c r="H862" s="1">
        <v>2020.0</v>
      </c>
      <c r="I862" s="1" t="s">
        <v>42</v>
      </c>
      <c r="J862" s="1" t="s">
        <v>79</v>
      </c>
      <c r="K862" s="1" t="s">
        <v>5201</v>
      </c>
      <c r="L862" s="1" t="s">
        <v>5202</v>
      </c>
      <c r="M862" s="2" t="s">
        <v>12</v>
      </c>
      <c r="N862" s="4">
        <f t="shared" si="1"/>
        <v>44336</v>
      </c>
      <c r="O862" s="5" t="str">
        <f>IFERROR(__xludf.DUMMYFUNCTION("IF(REGEXMATCH(TRIM(I862), ""^\d+\s*min""), ""Unclassified"", IF(I862 = """", ""NR"", I862))"),"TV-MA")</f>
        <v>TV-MA</v>
      </c>
      <c r="R862" s="5" t="str">
        <f t="shared" si="2"/>
        <v>Hating Peter Tatchell</v>
      </c>
      <c r="S862" s="5" t="str">
        <f>IFERROR(__xludf.DUMMYFUNCTION("""COMPUTED_VALUE"""),"Beastars")</f>
        <v>Beastars</v>
      </c>
      <c r="U862" s="5" t="str">
        <f>IFERROR(__xludf.DUMMYFUNCTION("""COMPUTED_VALUE"""),"Sean Penn")</f>
        <v>Sean Penn</v>
      </c>
      <c r="V862" s="5" t="s">
        <v>5203</v>
      </c>
      <c r="W862" s="5" t="str">
        <f t="shared" si="3"/>
        <v>Cory Edwards</v>
      </c>
      <c r="X862" s="5">
        <f t="shared" si="4"/>
        <v>1</v>
      </c>
      <c r="Y862" s="5" t="str">
        <f>IFERROR(__xludf.DUMMYFUNCTION("REGEXEXTRACT(J862, ""^\d+"")"),"91")</f>
        <v>91</v>
      </c>
      <c r="Z862" s="5" t="str">
        <f>IFERROR(__xludf.DUMMYFUNCTION("REGEXEXTRACT(J862, ""[A-Za-z ]+$"")")," min")</f>
        <v> min</v>
      </c>
      <c r="AA862" s="5" t="str">
        <f>IFERROR(__xludf.DUMMYFUNCTION("IF(REGEXMATCH(Z862, ""Season""), ""TV Show"", ""Movie"")"),"Movie")</f>
        <v>Movie</v>
      </c>
    </row>
    <row r="863">
      <c r="A863" s="1" t="s">
        <v>5204</v>
      </c>
      <c r="B863" s="1" t="s">
        <v>27</v>
      </c>
      <c r="C863" s="1" t="s">
        <v>5205</v>
      </c>
      <c r="D863" s="1" t="s">
        <v>572</v>
      </c>
      <c r="E863" s="1" t="s">
        <v>5206</v>
      </c>
      <c r="G863" s="7">
        <v>44336.0</v>
      </c>
      <c r="H863" s="1">
        <v>2021.0</v>
      </c>
      <c r="I863" s="1" t="s">
        <v>289</v>
      </c>
      <c r="J863" s="1" t="s">
        <v>5207</v>
      </c>
      <c r="K863" s="1" t="s">
        <v>137</v>
      </c>
      <c r="L863" s="1" t="s">
        <v>5208</v>
      </c>
      <c r="M863" s="2" t="s">
        <v>12</v>
      </c>
      <c r="N863" s="4">
        <f t="shared" si="1"/>
        <v>44336</v>
      </c>
      <c r="O863" s="5" t="str">
        <f>IFERROR(__xludf.DUMMYFUNCTION("IF(REGEXMATCH(TRIM(I863), ""^\d+\s*min""), ""Unclassified"", IF(I863 = """", ""NR"", I863))"),"TV-Y7")</f>
        <v>TV-Y7</v>
      </c>
      <c r="R863" s="5" t="str">
        <f t="shared" si="2"/>
        <v>Little Singham Future Mein Satakli</v>
      </c>
      <c r="S863" s="5" t="str">
        <f>IFERROR(__xludf.DUMMYFUNCTION("""COMPUTED_VALUE"""),"Beasts Of No Nation")</f>
        <v>Beasts Of No Nation</v>
      </c>
      <c r="U863" s="5" t="str">
        <f>IFERROR(__xludf.DUMMYFUNCTION("""COMPUTED_VALUE"""),"Mark Mcqueen")</f>
        <v>Mark Mcqueen</v>
      </c>
      <c r="V863" s="5" t="s">
        <v>5209</v>
      </c>
      <c r="W863" s="5" t="str">
        <f t="shared" si="3"/>
        <v>Cosima Spender</v>
      </c>
      <c r="X863" s="5">
        <f t="shared" si="4"/>
        <v>3</v>
      </c>
      <c r="Y863" s="5" t="str">
        <f>IFERROR(__xludf.DUMMYFUNCTION("REGEXEXTRACT(J863, ""^\d+"")"),"47")</f>
        <v>47</v>
      </c>
      <c r="Z863" s="5" t="str">
        <f>IFERROR(__xludf.DUMMYFUNCTION("REGEXEXTRACT(J863, ""[A-Za-z ]+$"")")," min")</f>
        <v> min</v>
      </c>
      <c r="AA863" s="5" t="str">
        <f>IFERROR(__xludf.DUMMYFUNCTION("IF(REGEXMATCH(Z863, ""Season""), ""TV Show"", ""Movie"")"),"Movie")</f>
        <v>Movie</v>
      </c>
    </row>
    <row r="864">
      <c r="A864" s="1" t="s">
        <v>5210</v>
      </c>
      <c r="B864" s="1" t="s">
        <v>37</v>
      </c>
      <c r="C864" s="1" t="s">
        <v>5211</v>
      </c>
      <c r="E864" s="1" t="s">
        <v>5212</v>
      </c>
      <c r="F864" s="1" t="s">
        <v>30</v>
      </c>
      <c r="G864" s="7">
        <v>44336.0</v>
      </c>
      <c r="H864" s="1">
        <v>2021.0</v>
      </c>
      <c r="I864" s="1" t="s">
        <v>42</v>
      </c>
      <c r="J864" s="1" t="s">
        <v>43</v>
      </c>
      <c r="K864" s="1" t="s">
        <v>270</v>
      </c>
      <c r="L864" s="1" t="s">
        <v>5213</v>
      </c>
      <c r="M864" s="2" t="s">
        <v>12</v>
      </c>
      <c r="N864" s="4">
        <f t="shared" si="1"/>
        <v>44336</v>
      </c>
      <c r="O864" s="5" t="str">
        <f>IFERROR(__xludf.DUMMYFUNCTION("IF(REGEXMATCH(TRIM(I864), ""^\d+\s*min""), ""Unclassified"", IF(I864 = """", ""NR"", I864))"),"TV-MA")</f>
        <v>TV-MA</v>
      </c>
      <c r="R864" s="5" t="str">
        <f t="shared" si="2"/>
        <v>Special</v>
      </c>
      <c r="S864" s="5" t="str">
        <f>IFERROR(__xludf.DUMMYFUNCTION("""COMPUTED_VALUE"""),"Beat Bugs")</f>
        <v>Beat Bugs</v>
      </c>
      <c r="U864" s="5" t="str">
        <f>IFERROR(__xludf.DUMMYFUNCTION("""COMPUTED_VALUE"""),"Melanie Mayron")</f>
        <v>Melanie Mayron</v>
      </c>
      <c r="V864" s="5" t="s">
        <v>5214</v>
      </c>
      <c r="W864" s="5" t="str">
        <f t="shared" si="3"/>
        <v>Cosmo Feilding-Mellen</v>
      </c>
      <c r="X864" s="5">
        <f t="shared" si="4"/>
        <v>1</v>
      </c>
      <c r="Y864" s="5" t="str">
        <f>IFERROR(__xludf.DUMMYFUNCTION("REGEXEXTRACT(J864, ""^\d+"")"),"2")</f>
        <v>2</v>
      </c>
      <c r="Z864" s="5" t="str">
        <f>IFERROR(__xludf.DUMMYFUNCTION("REGEXEXTRACT(J864, ""[A-Za-z ]+$"")")," Seasons")</f>
        <v> Seasons</v>
      </c>
      <c r="AA864" s="5" t="str">
        <f>IFERROR(__xludf.DUMMYFUNCTION("IF(REGEXMATCH(Z864, ""Season""), ""TV Show"", ""Movie"")"),"TV Show")</f>
        <v>TV Show</v>
      </c>
    </row>
    <row r="865">
      <c r="A865" s="1" t="s">
        <v>5215</v>
      </c>
      <c r="B865" s="1" t="s">
        <v>27</v>
      </c>
      <c r="C865" s="1" t="s">
        <v>5216</v>
      </c>
      <c r="D865" s="1" t="s">
        <v>5217</v>
      </c>
      <c r="E865" s="1" t="s">
        <v>5218</v>
      </c>
      <c r="F865" s="1" t="s">
        <v>30</v>
      </c>
      <c r="G865" s="7">
        <v>44336.0</v>
      </c>
      <c r="H865" s="1">
        <v>2011.0</v>
      </c>
      <c r="I865" s="1" t="s">
        <v>78</v>
      </c>
      <c r="J865" s="1" t="s">
        <v>428</v>
      </c>
      <c r="K865" s="1" t="s">
        <v>137</v>
      </c>
      <c r="L865" s="1" t="s">
        <v>5219</v>
      </c>
      <c r="M865" s="2" t="s">
        <v>12</v>
      </c>
      <c r="N865" s="4">
        <f t="shared" si="1"/>
        <v>44336</v>
      </c>
      <c r="O865" s="5" t="str">
        <f>IFERROR(__xludf.DUMMYFUNCTION("IF(REGEXMATCH(TRIM(I865), ""^\d+\s*min""), ""Unclassified"", IF(I865 = """", ""NR"", I865))"),"PG")</f>
        <v>PG</v>
      </c>
      <c r="R865" s="5" t="str">
        <f t="shared" si="2"/>
        <v>Spy Kids: All The Time In The World</v>
      </c>
      <c r="S865" s="5" t="str">
        <f>IFERROR(__xludf.DUMMYFUNCTION("""COMPUTED_VALUE"""),"Beat Bugs: All Together Now")</f>
        <v>Beat Bugs: All Together Now</v>
      </c>
      <c r="U865" s="5" t="str">
        <f>IFERROR(__xludf.DUMMYFUNCTION("""COMPUTED_VALUE"""),"Donald Petrie")</f>
        <v>Donald Petrie</v>
      </c>
      <c r="V865" s="5" t="s">
        <v>5220</v>
      </c>
      <c r="W865" s="5" t="str">
        <f t="shared" si="3"/>
        <v>Courtney Hunt</v>
      </c>
      <c r="X865" s="5">
        <f t="shared" si="4"/>
        <v>2</v>
      </c>
      <c r="Y865" s="5" t="str">
        <f>IFERROR(__xludf.DUMMYFUNCTION("REGEXEXTRACT(J865, ""^\d+"")"),"88")</f>
        <v>88</v>
      </c>
      <c r="Z865" s="5" t="str">
        <f>IFERROR(__xludf.DUMMYFUNCTION("REGEXEXTRACT(J865, ""[A-Za-z ]+$"")")," min")</f>
        <v> min</v>
      </c>
      <c r="AA865" s="5" t="str">
        <f>IFERROR(__xludf.DUMMYFUNCTION("IF(REGEXMATCH(Z865, ""Season""), ""TV Show"", ""Movie"")"),"Movie")</f>
        <v>Movie</v>
      </c>
    </row>
    <row r="866">
      <c r="A866" s="1" t="s">
        <v>5221</v>
      </c>
      <c r="B866" s="1" t="s">
        <v>27</v>
      </c>
      <c r="C866" s="1" t="s">
        <v>5222</v>
      </c>
      <c r="D866" s="1" t="s">
        <v>1426</v>
      </c>
      <c r="E866" s="1" t="s">
        <v>5223</v>
      </c>
      <c r="G866" s="7">
        <v>44336.0</v>
      </c>
      <c r="H866" s="1">
        <v>2006.0</v>
      </c>
      <c r="I866" s="1" t="s">
        <v>97</v>
      </c>
      <c r="J866" s="1" t="s">
        <v>349</v>
      </c>
      <c r="K866" s="1" t="s">
        <v>298</v>
      </c>
      <c r="L866" s="1" t="s">
        <v>5224</v>
      </c>
      <c r="M866" s="2" t="s">
        <v>12</v>
      </c>
      <c r="N866" s="4">
        <f t="shared" si="1"/>
        <v>44336</v>
      </c>
      <c r="O866" s="5" t="str">
        <f>IFERROR(__xludf.DUMMYFUNCTION("IF(REGEXMATCH(TRIM(I866), ""^\d+\s*min""), ""Unclassified"", IF(I866 = """", ""NR"", I866))"),"TV-14")</f>
        <v>TV-14</v>
      </c>
      <c r="R866" s="5" t="str">
        <f t="shared" si="2"/>
        <v>Taxi No. 9211</v>
      </c>
      <c r="S866" s="5" t="str">
        <f>IFERROR(__xludf.DUMMYFUNCTION("""COMPUTED_VALUE"""),"Beating Again")</f>
        <v>Beating Again</v>
      </c>
      <c r="U866" s="5" t="str">
        <f>IFERROR(__xludf.DUMMYFUNCTION("""COMPUTED_VALUE"""),"Tony Collingwood")</f>
        <v>Tony Collingwood</v>
      </c>
      <c r="V866" s="5" t="s">
        <v>5225</v>
      </c>
      <c r="W866" s="5" t="str">
        <f t="shared" si="3"/>
        <v>Craig Anderson</v>
      </c>
      <c r="X866" s="5">
        <f t="shared" si="4"/>
        <v>1</v>
      </c>
      <c r="Y866" s="5" t="str">
        <f>IFERROR(__xludf.DUMMYFUNCTION("REGEXEXTRACT(J866, ""^\d+"")"),"116")</f>
        <v>116</v>
      </c>
      <c r="Z866" s="5" t="str">
        <f>IFERROR(__xludf.DUMMYFUNCTION("REGEXEXTRACT(J866, ""[A-Za-z ]+$"")")," min")</f>
        <v> min</v>
      </c>
      <c r="AA866" s="5" t="str">
        <f>IFERROR(__xludf.DUMMYFUNCTION("IF(REGEXMATCH(Z866, ""Season""), ""TV Show"", ""Movie"")"),"Movie")</f>
        <v>Movie</v>
      </c>
    </row>
    <row r="867">
      <c r="A867" s="1" t="s">
        <v>5226</v>
      </c>
      <c r="B867" s="1" t="s">
        <v>27</v>
      </c>
      <c r="C867" s="1" t="s">
        <v>5227</v>
      </c>
      <c r="D867" s="1" t="s">
        <v>5228</v>
      </c>
      <c r="E867" s="1" t="s">
        <v>5229</v>
      </c>
      <c r="F867" s="1" t="s">
        <v>30</v>
      </c>
      <c r="G867" s="7">
        <v>44335.0</v>
      </c>
      <c r="H867" s="1">
        <v>2014.0</v>
      </c>
      <c r="I867" s="1" t="s">
        <v>378</v>
      </c>
      <c r="J867" s="1" t="s">
        <v>1065</v>
      </c>
      <c r="K867" s="1" t="s">
        <v>323</v>
      </c>
      <c r="L867" s="1" t="s">
        <v>5230</v>
      </c>
      <c r="M867" s="2" t="s">
        <v>12</v>
      </c>
      <c r="N867" s="4">
        <f t="shared" si="1"/>
        <v>44335</v>
      </c>
      <c r="O867" s="5" t="str">
        <f>IFERROR(__xludf.DUMMYFUNCTION("IF(REGEXMATCH(TRIM(I867), ""^\d+\s*min""), ""Unclassified"", IF(I867 = """", ""NR"", I867))"),"R")</f>
        <v>R</v>
      </c>
      <c r="R867" s="5" t="str">
        <f t="shared" si="2"/>
        <v>Sabotage</v>
      </c>
      <c r="S867" s="5" t="str">
        <f>IFERROR(__xludf.DUMMYFUNCTION("""COMPUTED_VALUE"""),"Beats")</f>
        <v>Beats</v>
      </c>
      <c r="U867" s="5" t="str">
        <f>IFERROR(__xludf.DUMMYFUNCTION("""COMPUTED_VALUE"""),"Jennifer Beamish, Toby Trackman")</f>
        <v>Jennifer Beamish, Toby Trackman</v>
      </c>
      <c r="V867" s="5" t="s">
        <v>5231</v>
      </c>
      <c r="W867" s="5" t="str">
        <f t="shared" si="3"/>
        <v>Craig Brewer</v>
      </c>
      <c r="X867" s="5">
        <f t="shared" si="4"/>
        <v>3</v>
      </c>
      <c r="Y867" s="5" t="str">
        <f>IFERROR(__xludf.DUMMYFUNCTION("REGEXEXTRACT(J867, ""^\d+"")"),"109")</f>
        <v>109</v>
      </c>
      <c r="Z867" s="5" t="str">
        <f>IFERROR(__xludf.DUMMYFUNCTION("REGEXEXTRACT(J867, ""[A-Za-z ]+$"")")," min")</f>
        <v> min</v>
      </c>
      <c r="AA867" s="5" t="str">
        <f>IFERROR(__xludf.DUMMYFUNCTION("IF(REGEXMATCH(Z867, ""Season""), ""TV Show"", ""Movie"")"),"Movie")</f>
        <v>Movie</v>
      </c>
    </row>
    <row r="868">
      <c r="A868" s="1" t="s">
        <v>5232</v>
      </c>
      <c r="B868" s="1" t="s">
        <v>27</v>
      </c>
      <c r="C868" s="1" t="s">
        <v>5233</v>
      </c>
      <c r="D868" s="1" t="s">
        <v>5234</v>
      </c>
      <c r="E868" s="1" t="s">
        <v>5235</v>
      </c>
      <c r="F868" s="1" t="s">
        <v>30</v>
      </c>
      <c r="G868" s="7">
        <v>44335.0</v>
      </c>
      <c r="H868" s="1">
        <v>2017.0</v>
      </c>
      <c r="I868" s="1" t="s">
        <v>378</v>
      </c>
      <c r="J868" s="1" t="s">
        <v>665</v>
      </c>
      <c r="K868" s="1" t="s">
        <v>171</v>
      </c>
      <c r="L868" s="1" t="s">
        <v>5236</v>
      </c>
      <c r="M868" s="2" t="s">
        <v>12</v>
      </c>
      <c r="N868" s="4">
        <f t="shared" si="1"/>
        <v>44335</v>
      </c>
      <c r="O868" s="5" t="str">
        <f>IFERROR(__xludf.DUMMYFUNCTION("IF(REGEXMATCH(TRIM(I868), ""^\d+\s*min""), ""Unclassified"", IF(I868 = """", ""NR"", I868))"),"R")</f>
        <v>R</v>
      </c>
      <c r="R868" s="5" t="str">
        <f t="shared" si="2"/>
        <v>Small Town Crime</v>
      </c>
      <c r="S868" s="5" t="str">
        <f>IFERROR(__xludf.DUMMYFUNCTION("""COMPUTED_VALUE"""),"Beauties Of The Night")</f>
        <v>Beauties Of The Night</v>
      </c>
      <c r="U868" s="5" t="str">
        <f>IFERROR(__xludf.DUMMYFUNCTION("""COMPUTED_VALUE"""),"Jaume Collet-Serra")</f>
        <v>Jaume Collet-Serra</v>
      </c>
      <c r="V868" s="5" t="s">
        <v>5237</v>
      </c>
      <c r="W868" s="5" t="str">
        <f t="shared" si="3"/>
        <v>Craig Elrod</v>
      </c>
      <c r="X868" s="5">
        <f t="shared" si="4"/>
        <v>1</v>
      </c>
      <c r="Y868" s="5" t="str">
        <f>IFERROR(__xludf.DUMMYFUNCTION("REGEXEXTRACT(J868, ""^\d+"")"),"92")</f>
        <v>92</v>
      </c>
      <c r="Z868" s="5" t="str">
        <f>IFERROR(__xludf.DUMMYFUNCTION("REGEXEXTRACT(J868, ""[A-Za-z ]+$"")")," min")</f>
        <v> min</v>
      </c>
      <c r="AA868" s="5" t="str">
        <f>IFERROR(__xludf.DUMMYFUNCTION("IF(REGEXMATCH(Z868, ""Season""), ""TV Show"", ""Movie"")"),"Movie")</f>
        <v>Movie</v>
      </c>
    </row>
    <row r="869">
      <c r="A869" s="1" t="s">
        <v>5238</v>
      </c>
      <c r="B869" s="1" t="s">
        <v>27</v>
      </c>
      <c r="C869" s="1" t="s">
        <v>5239</v>
      </c>
      <c r="D869" s="1" t="s">
        <v>5240</v>
      </c>
      <c r="F869" s="1" t="s">
        <v>30</v>
      </c>
      <c r="G869" s="7">
        <v>44335.0</v>
      </c>
      <c r="H869" s="1">
        <v>1998.0</v>
      </c>
      <c r="I869" s="1" t="s">
        <v>32</v>
      </c>
      <c r="J869" s="1" t="s">
        <v>630</v>
      </c>
      <c r="K869" s="1" t="s">
        <v>34</v>
      </c>
      <c r="L869" s="1" t="s">
        <v>5241</v>
      </c>
      <c r="M869" s="2" t="s">
        <v>12</v>
      </c>
      <c r="N869" s="4">
        <f t="shared" si="1"/>
        <v>44335</v>
      </c>
      <c r="O869" s="5" t="str">
        <f>IFERROR(__xludf.DUMMYFUNCTION("IF(REGEXMATCH(TRIM(I869), ""^\d+\s*min""), ""Unclassified"", IF(I869 = """", ""NR"", I869))"),"PG-13")</f>
        <v>PG-13</v>
      </c>
      <c r="R869" s="5" t="str">
        <f t="shared" si="2"/>
        <v>The Last Days</v>
      </c>
      <c r="S869" s="5" t="str">
        <f>IFERROR(__xludf.DUMMYFUNCTION("""COMPUTED_VALUE"""),"Beauty &amp; The Beast")</f>
        <v>Beauty &amp; The Beast</v>
      </c>
      <c r="U869" s="5" t="str">
        <f>IFERROR(__xludf.DUMMYFUNCTION("""COMPUTED_VALUE"""),"Kim Dong-Kyu")</f>
        <v>Kim Dong-Kyu</v>
      </c>
      <c r="V869" s="5" t="s">
        <v>5242</v>
      </c>
      <c r="W869" s="5" t="str">
        <f t="shared" si="3"/>
        <v>Craig Freimond</v>
      </c>
      <c r="X869" s="5">
        <f t="shared" si="4"/>
        <v>1</v>
      </c>
      <c r="Y869" s="5" t="str">
        <f>IFERROR(__xludf.DUMMYFUNCTION("REGEXEXTRACT(J869, ""^\d+"")"),"87")</f>
        <v>87</v>
      </c>
      <c r="Z869" s="5" t="str">
        <f>IFERROR(__xludf.DUMMYFUNCTION("REGEXEXTRACT(J869, ""[A-Za-z ]+$"")")," min")</f>
        <v> min</v>
      </c>
      <c r="AA869" s="5" t="str">
        <f>IFERROR(__xludf.DUMMYFUNCTION("IF(REGEXMATCH(Z869, ""Season""), ""TV Show"", ""Movie"")"),"Movie")</f>
        <v>Movie</v>
      </c>
    </row>
    <row r="870">
      <c r="A870" s="1" t="s">
        <v>5243</v>
      </c>
      <c r="B870" s="1" t="s">
        <v>37</v>
      </c>
      <c r="C870" s="1" t="s">
        <v>5244</v>
      </c>
      <c r="E870" s="1" t="s">
        <v>5245</v>
      </c>
      <c r="F870" s="1" t="s">
        <v>1979</v>
      </c>
      <c r="G870" s="7">
        <v>44335.0</v>
      </c>
      <c r="H870" s="1">
        <v>1997.0</v>
      </c>
      <c r="I870" s="1" t="s">
        <v>206</v>
      </c>
      <c r="J870" s="1" t="s">
        <v>51</v>
      </c>
      <c r="K870" s="1" t="s">
        <v>290</v>
      </c>
      <c r="L870" s="1" t="s">
        <v>5246</v>
      </c>
      <c r="M870" s="2" t="s">
        <v>12</v>
      </c>
      <c r="N870" s="4">
        <f t="shared" si="1"/>
        <v>44335</v>
      </c>
      <c r="O870" s="5" t="str">
        <f>IFERROR(__xludf.DUMMYFUNCTION("IF(REGEXMATCH(TRIM(I870), ""^\d+\s*min""), ""Unclassified"", IF(I870 = """", ""NR"", I870))"),"TV-Y")</f>
        <v>TV-Y</v>
      </c>
      <c r="R870" s="5" t="str">
        <f t="shared" si="2"/>
        <v>The Magic School Bus</v>
      </c>
      <c r="S870" s="5" t="str">
        <f>IFERROR(__xludf.DUMMYFUNCTION("""COMPUTED_VALUE"""),"Beauty And The Bestie")</f>
        <v>Beauty And The Bestie</v>
      </c>
      <c r="U870" s="5" t="str">
        <f>IFERROR(__xludf.DUMMYFUNCTION("""COMPUTED_VALUE"""),"Shaz Bennett")</f>
        <v>Shaz Bennett</v>
      </c>
      <c r="V870" s="5" t="s">
        <v>5247</v>
      </c>
      <c r="W870" s="5" t="str">
        <f t="shared" si="3"/>
        <v>Craig Gillespie</v>
      </c>
      <c r="X870" s="5">
        <f t="shared" si="4"/>
        <v>1</v>
      </c>
      <c r="Y870" s="5" t="str">
        <f>IFERROR(__xludf.DUMMYFUNCTION("REGEXEXTRACT(J870, ""^\d+"")"),"1")</f>
        <v>1</v>
      </c>
      <c r="Z870" s="5" t="str">
        <f>IFERROR(__xludf.DUMMYFUNCTION("REGEXEXTRACT(J870, ""[A-Za-z ]+$"")")," Season")</f>
        <v> Season</v>
      </c>
      <c r="AA870" s="5" t="str">
        <f>IFERROR(__xludf.DUMMYFUNCTION("IF(REGEXMATCH(Z870, ""Season""), ""TV Show"", ""Movie"")"),"TV Show")</f>
        <v>TV Show</v>
      </c>
    </row>
    <row r="871">
      <c r="A871" s="1" t="s">
        <v>5248</v>
      </c>
      <c r="B871" s="1" t="s">
        <v>37</v>
      </c>
      <c r="C871" s="1" t="s">
        <v>5249</v>
      </c>
      <c r="E871" s="1" t="s">
        <v>5250</v>
      </c>
      <c r="F871" s="1" t="s">
        <v>162</v>
      </c>
      <c r="G871" s="7">
        <v>44335.0</v>
      </c>
      <c r="H871" s="1">
        <v>2021.0</v>
      </c>
      <c r="I871" s="1" t="s">
        <v>42</v>
      </c>
      <c r="J871" s="1" t="s">
        <v>43</v>
      </c>
      <c r="K871" s="1" t="s">
        <v>785</v>
      </c>
      <c r="L871" s="1" t="s">
        <v>5251</v>
      </c>
      <c r="M871" s="2" t="s">
        <v>12</v>
      </c>
      <c r="N871" s="4">
        <f t="shared" si="1"/>
        <v>44335</v>
      </c>
      <c r="O871" s="5" t="str">
        <f>IFERROR(__xludf.DUMMYFUNCTION("IF(REGEXMATCH(TRIM(I871), ""^\d+\s*min""), ""Unclassified"", IF(I871 = """", ""NR"", I871))"),"TV-MA")</f>
        <v>TV-MA</v>
      </c>
      <c r="R871" s="5" t="str">
        <f t="shared" si="2"/>
        <v>Who Killed Sara?</v>
      </c>
      <c r="S871" s="5" t="str">
        <f>IFERROR(__xludf.DUMMYFUNCTION("""COMPUTED_VALUE"""),"Beauty And The Bitches")</f>
        <v>Beauty And The Bitches</v>
      </c>
      <c r="U871" s="5" t="str">
        <f>IFERROR(__xludf.DUMMYFUNCTION("""COMPUTED_VALUE"""),"Samar Shaikh")</f>
        <v>Samar Shaikh</v>
      </c>
      <c r="V871" s="5" t="s">
        <v>5252</v>
      </c>
      <c r="W871" s="5" t="str">
        <f t="shared" si="3"/>
        <v>Craig Goodwill</v>
      </c>
      <c r="X871" s="5">
        <f t="shared" si="4"/>
        <v>1</v>
      </c>
      <c r="Y871" s="5" t="str">
        <f>IFERROR(__xludf.DUMMYFUNCTION("REGEXEXTRACT(J871, ""^\d+"")"),"2")</f>
        <v>2</v>
      </c>
      <c r="Z871" s="5" t="str">
        <f>IFERROR(__xludf.DUMMYFUNCTION("REGEXEXTRACT(J871, ""[A-Za-z ]+$"")")," Seasons")</f>
        <v> Seasons</v>
      </c>
      <c r="AA871" s="5" t="str">
        <f>IFERROR(__xludf.DUMMYFUNCTION("IF(REGEXMATCH(Z871, ""Season""), ""TV Show"", ""Movie"")"),"TV Show")</f>
        <v>TV Show</v>
      </c>
    </row>
    <row r="872">
      <c r="A872" s="1" t="s">
        <v>5253</v>
      </c>
      <c r="B872" s="1" t="s">
        <v>27</v>
      </c>
      <c r="C872" s="1" t="s">
        <v>5254</v>
      </c>
      <c r="D872" s="1" t="s">
        <v>5255</v>
      </c>
      <c r="E872" s="1" t="s">
        <v>5256</v>
      </c>
      <c r="F872" s="1" t="s">
        <v>30</v>
      </c>
      <c r="G872" s="7">
        <v>44334.0</v>
      </c>
      <c r="H872" s="1">
        <v>2021.0</v>
      </c>
      <c r="I872" s="1" t="s">
        <v>97</v>
      </c>
      <c r="J872" s="1" t="s">
        <v>1091</v>
      </c>
      <c r="K872" s="1" t="s">
        <v>34</v>
      </c>
      <c r="L872" s="1" t="s">
        <v>5257</v>
      </c>
      <c r="M872" s="2" t="s">
        <v>12</v>
      </c>
      <c r="N872" s="4">
        <f t="shared" si="1"/>
        <v>44334</v>
      </c>
      <c r="O872" s="5" t="str">
        <f>IFERROR(__xludf.DUMMYFUNCTION("IF(REGEXMATCH(TRIM(I872), ""^\d+\s*min""), ""Unclassified"", IF(I872 = """", ""NR"", I872))"),"TV-14")</f>
        <v>TV-14</v>
      </c>
      <c r="R872" s="5" t="str">
        <f t="shared" si="2"/>
        <v>Amy Tan: Unintended Memoir</v>
      </c>
      <c r="S872" s="5" t="str">
        <f>IFERROR(__xludf.DUMMYFUNCTION("""COMPUTED_VALUE"""),"Beavis And Butt-Head Do America")</f>
        <v>Beavis And Butt-Head Do America</v>
      </c>
      <c r="U872" s="5" t="str">
        <f>IFERROR(__xludf.DUMMYFUNCTION("""COMPUTED_VALUE"""),"Archie Hekagery")</f>
        <v>Archie Hekagery</v>
      </c>
      <c r="V872" s="5" t="s">
        <v>5258</v>
      </c>
      <c r="W872" s="5" t="str">
        <f t="shared" si="3"/>
        <v>Craig Johnson</v>
      </c>
      <c r="X872" s="5">
        <f t="shared" si="4"/>
        <v>1</v>
      </c>
      <c r="Y872" s="5" t="str">
        <f>IFERROR(__xludf.DUMMYFUNCTION("REGEXEXTRACT(J872, ""^\d+"")"),"101")</f>
        <v>101</v>
      </c>
      <c r="Z872" s="5" t="str">
        <f>IFERROR(__xludf.DUMMYFUNCTION("REGEXEXTRACT(J872, ""[A-Za-z ]+$"")")," min")</f>
        <v> min</v>
      </c>
      <c r="AA872" s="5" t="str">
        <f>IFERROR(__xludf.DUMMYFUNCTION("IF(REGEXMATCH(Z872, ""Season""), ""TV Show"", ""Movie"")"),"Movie")</f>
        <v>Movie</v>
      </c>
    </row>
    <row r="873">
      <c r="A873" s="1" t="s">
        <v>5259</v>
      </c>
      <c r="B873" s="1" t="s">
        <v>27</v>
      </c>
      <c r="C873" s="1" t="s">
        <v>5260</v>
      </c>
      <c r="D873" s="1" t="s">
        <v>5261</v>
      </c>
      <c r="E873" s="1" t="s">
        <v>5262</v>
      </c>
      <c r="F873" s="1" t="s">
        <v>63</v>
      </c>
      <c r="G873" s="7">
        <v>44334.0</v>
      </c>
      <c r="H873" s="1">
        <v>2021.0</v>
      </c>
      <c r="I873" s="1" t="s">
        <v>97</v>
      </c>
      <c r="J873" s="1" t="s">
        <v>1704</v>
      </c>
      <c r="K873" s="1" t="s">
        <v>583</v>
      </c>
      <c r="L873" s="1" t="s">
        <v>5263</v>
      </c>
      <c r="M873" s="2" t="s">
        <v>12</v>
      </c>
      <c r="N873" s="4">
        <f t="shared" si="1"/>
        <v>44334</v>
      </c>
      <c r="O873" s="5" t="str">
        <f>IFERROR(__xludf.DUMMYFUNCTION("IF(REGEXMATCH(TRIM(I873), ""^\d+\s*min""), ""Unclassified"", IF(I873 = """", ""NR"", I873))"),"TV-14")</f>
        <v>TV-14</v>
      </c>
      <c r="R873" s="5" t="str">
        <f t="shared" si="2"/>
        <v>Sardar Ka Grandson</v>
      </c>
      <c r="S873" s="5" t="str">
        <f>IFERROR(__xludf.DUMMYFUNCTION("""COMPUTED_VALUE"""),"Bebe'S Kids")</f>
        <v>Bebe'S Kids</v>
      </c>
      <c r="U873" s="5" t="str">
        <f>IFERROR(__xludf.DUMMYFUNCTION("""COMPUTED_VALUE"""),"Sabrina Rochelle Kalangie")</f>
        <v>Sabrina Rochelle Kalangie</v>
      </c>
      <c r="V873" s="5" t="s">
        <v>5264</v>
      </c>
      <c r="W873" s="5" t="str">
        <f t="shared" si="3"/>
        <v>Craig Moss</v>
      </c>
      <c r="X873" s="5">
        <f t="shared" si="4"/>
        <v>1</v>
      </c>
      <c r="Y873" s="5" t="str">
        <f>IFERROR(__xludf.DUMMYFUNCTION("REGEXEXTRACT(J873, ""^\d+"")"),"140")</f>
        <v>140</v>
      </c>
      <c r="Z873" s="5" t="str">
        <f>IFERROR(__xludf.DUMMYFUNCTION("REGEXEXTRACT(J873, ""[A-Za-z ]+$"")")," min")</f>
        <v> min</v>
      </c>
      <c r="AA873" s="5" t="str">
        <f>IFERROR(__xludf.DUMMYFUNCTION("IF(REGEXMATCH(Z873, ""Season""), ""TV Show"", ""Movie"")"),"Movie")</f>
        <v>Movie</v>
      </c>
    </row>
    <row r="874">
      <c r="A874" s="1" t="s">
        <v>5265</v>
      </c>
      <c r="B874" s="1" t="s">
        <v>27</v>
      </c>
      <c r="C874" s="1" t="s">
        <v>5266</v>
      </c>
      <c r="D874" s="1" t="s">
        <v>5267</v>
      </c>
      <c r="E874" s="1" t="s">
        <v>5268</v>
      </c>
      <c r="F874" s="1" t="s">
        <v>30</v>
      </c>
      <c r="G874" s="7">
        <v>44332.0</v>
      </c>
      <c r="H874" s="1">
        <v>2016.0</v>
      </c>
      <c r="I874" s="1" t="s">
        <v>378</v>
      </c>
      <c r="J874" s="1" t="s">
        <v>1191</v>
      </c>
      <c r="K874" s="1" t="s">
        <v>5269</v>
      </c>
      <c r="L874" s="1" t="s">
        <v>5270</v>
      </c>
      <c r="M874" s="2" t="s">
        <v>12</v>
      </c>
      <c r="N874" s="4">
        <f t="shared" si="1"/>
        <v>44332</v>
      </c>
      <c r="O874" s="5" t="str">
        <f>IFERROR(__xludf.DUMMYFUNCTION("IF(REGEXMATCH(TRIM(I874), ""^\d+\s*min""), ""Unclassified"", IF(I874 = """", ""NR"", I874))"),"R")</f>
        <v>R</v>
      </c>
      <c r="R874" s="5" t="str">
        <f t="shared" si="2"/>
        <v>Sleight</v>
      </c>
      <c r="S874" s="5" t="str">
        <f>IFERROR(__xludf.DUMMYFUNCTION("""COMPUTED_VALUE"""),"Because Of Soccer")</f>
        <v>Because Of Soccer</v>
      </c>
      <c r="U874" s="5" t="str">
        <f>IFERROR(__xludf.DUMMYFUNCTION("""COMPUTED_VALUE"""),"Cosima Spender")</f>
        <v>Cosima Spender</v>
      </c>
      <c r="V874" s="5" t="s">
        <v>5271</v>
      </c>
      <c r="W874" s="5" t="str">
        <f t="shared" si="3"/>
        <v>Cris D'Amato</v>
      </c>
      <c r="X874" s="5">
        <f t="shared" si="4"/>
        <v>1</v>
      </c>
      <c r="Y874" s="5" t="str">
        <f>IFERROR(__xludf.DUMMYFUNCTION("REGEXEXTRACT(J874, ""^\d+"")"),"89")</f>
        <v>89</v>
      </c>
      <c r="Z874" s="5" t="str">
        <f>IFERROR(__xludf.DUMMYFUNCTION("REGEXEXTRACT(J874, ""[A-Za-z ]+$"")")," min")</f>
        <v> min</v>
      </c>
      <c r="AA874" s="5" t="str">
        <f>IFERROR(__xludf.DUMMYFUNCTION("IF(REGEXMATCH(Z874, ""Season""), ""TV Show"", ""Movie"")"),"Movie")</f>
        <v>Movie</v>
      </c>
    </row>
    <row r="875">
      <c r="A875" s="1" t="s">
        <v>5272</v>
      </c>
      <c r="B875" s="1" t="s">
        <v>27</v>
      </c>
      <c r="C875" s="1" t="s">
        <v>5273</v>
      </c>
      <c r="D875" s="1" t="s">
        <v>5274</v>
      </c>
      <c r="E875" s="1" t="s">
        <v>5275</v>
      </c>
      <c r="F875" s="1" t="s">
        <v>63</v>
      </c>
      <c r="G875" s="7">
        <v>44331.0</v>
      </c>
      <c r="H875" s="1">
        <v>2021.0</v>
      </c>
      <c r="I875" s="1" t="s">
        <v>42</v>
      </c>
      <c r="J875" s="1" t="s">
        <v>2452</v>
      </c>
      <c r="K875" s="1" t="s">
        <v>89</v>
      </c>
      <c r="L875" s="1" t="s">
        <v>5276</v>
      </c>
      <c r="M875" s="2" t="s">
        <v>12</v>
      </c>
      <c r="N875" s="4">
        <f t="shared" si="1"/>
        <v>44331</v>
      </c>
      <c r="O875" s="5" t="str">
        <f>IFERROR(__xludf.DUMMYFUNCTION("IF(REGEXMATCH(TRIM(I875), ""^\d+\s*min""), ""Unclassified"", IF(I875 = """", ""NR"", I875))"),"TV-MA")</f>
        <v>TV-MA</v>
      </c>
      <c r="R875" s="5" t="str">
        <f t="shared" si="2"/>
        <v>Ahaan</v>
      </c>
      <c r="S875" s="5" t="str">
        <f>IFERROR(__xludf.DUMMYFUNCTION("""COMPUTED_VALUE"""),"Because This Is My First Life")</f>
        <v>Because This Is My First Life</v>
      </c>
      <c r="U875" s="5" t="str">
        <f>IFERROR(__xludf.DUMMYFUNCTION("""COMPUTED_VALUE"""),"Liao Shih-Han")</f>
        <v>Liao Shih-Han</v>
      </c>
      <c r="V875" s="5" t="s">
        <v>5277</v>
      </c>
      <c r="W875" s="5" t="str">
        <f t="shared" si="3"/>
        <v>Cristi Puiu</v>
      </c>
      <c r="X875" s="5">
        <f t="shared" si="4"/>
        <v>2</v>
      </c>
      <c r="Y875" s="5" t="str">
        <f>IFERROR(__xludf.DUMMYFUNCTION("REGEXEXTRACT(J875, ""^\d+"")"),"81")</f>
        <v>81</v>
      </c>
      <c r="Z875" s="5" t="str">
        <f>IFERROR(__xludf.DUMMYFUNCTION("REGEXEXTRACT(J875, ""[A-Za-z ]+$"")")," min")</f>
        <v> min</v>
      </c>
      <c r="AA875" s="5" t="str">
        <f>IFERROR(__xludf.DUMMYFUNCTION("IF(REGEXMATCH(Z875, ""Season""), ""TV Show"", ""Movie"")"),"Movie")</f>
        <v>Movie</v>
      </c>
    </row>
    <row r="876">
      <c r="A876" s="1" t="s">
        <v>5278</v>
      </c>
      <c r="B876" s="1" t="s">
        <v>37</v>
      </c>
      <c r="C876" s="1" t="s">
        <v>5279</v>
      </c>
      <c r="E876" s="1" t="s">
        <v>5280</v>
      </c>
      <c r="F876" s="1" t="s">
        <v>96</v>
      </c>
      <c r="G876" s="7">
        <v>44331.0</v>
      </c>
      <c r="H876" s="1">
        <v>2021.0</v>
      </c>
      <c r="I876" s="1" t="s">
        <v>206</v>
      </c>
      <c r="J876" s="1" t="s">
        <v>51</v>
      </c>
      <c r="K876" s="1" t="s">
        <v>290</v>
      </c>
      <c r="L876" s="1" t="s">
        <v>5281</v>
      </c>
      <c r="M876" s="2" t="s">
        <v>12</v>
      </c>
      <c r="N876" s="4">
        <f t="shared" si="1"/>
        <v>44331</v>
      </c>
      <c r="O876" s="5" t="str">
        <f>IFERROR(__xludf.DUMMYFUNCTION("IF(REGEXMATCH(TRIM(I876), ""^\d+\s*min""), ""Unclassified"", IF(I876 = """", ""NR"", I876))"),"TV-Y")</f>
        <v>TV-Y</v>
      </c>
      <c r="R876" s="5" t="str">
        <f t="shared" si="2"/>
        <v>Booba: Food Puzzle</v>
      </c>
      <c r="S876" s="5" t="str">
        <f>IFERROR(__xludf.DUMMYFUNCTION("""COMPUTED_VALUE"""),"Because We'Re Heading Out")</f>
        <v>Because We'Re Heading Out</v>
      </c>
      <c r="U876" s="5" t="str">
        <f>IFERROR(__xludf.DUMMYFUNCTION("""COMPUTED_VALUE"""),"Arnon Manor, Timothy Ware-Hill")</f>
        <v>Arnon Manor, Timothy Ware-Hill</v>
      </c>
      <c r="V876" s="5" t="s">
        <v>5282</v>
      </c>
      <c r="W876" s="5" t="str">
        <f t="shared" si="3"/>
        <v>Cristina Costantini, Kareem Tabsch</v>
      </c>
      <c r="X876" s="5">
        <f t="shared" si="4"/>
        <v>1</v>
      </c>
      <c r="Y876" s="5" t="str">
        <f>IFERROR(__xludf.DUMMYFUNCTION("REGEXEXTRACT(J876, ""^\d+"")"),"1")</f>
        <v>1</v>
      </c>
      <c r="Z876" s="5" t="str">
        <f>IFERROR(__xludf.DUMMYFUNCTION("REGEXEXTRACT(J876, ""[A-Za-z ]+$"")")," Season")</f>
        <v> Season</v>
      </c>
      <c r="AA876" s="5" t="str">
        <f>IFERROR(__xludf.DUMMYFUNCTION("IF(REGEXMATCH(Z876, ""Season""), ""TV Show"", ""Movie"")"),"TV Show")</f>
        <v>TV Show</v>
      </c>
    </row>
    <row r="877">
      <c r="A877" s="1" t="s">
        <v>5283</v>
      </c>
      <c r="B877" s="1" t="s">
        <v>27</v>
      </c>
      <c r="C877" s="1" t="s">
        <v>5284</v>
      </c>
      <c r="D877" s="1" t="s">
        <v>5285</v>
      </c>
      <c r="E877" s="1" t="s">
        <v>5286</v>
      </c>
      <c r="G877" s="7">
        <v>44331.0</v>
      </c>
      <c r="H877" s="1">
        <v>2020.0</v>
      </c>
      <c r="I877" s="1" t="s">
        <v>42</v>
      </c>
      <c r="J877" s="1" t="s">
        <v>349</v>
      </c>
      <c r="K877" s="1" t="s">
        <v>679</v>
      </c>
      <c r="L877" s="1" t="s">
        <v>5287</v>
      </c>
      <c r="M877" s="2" t="s">
        <v>12</v>
      </c>
      <c r="N877" s="4">
        <f t="shared" si="1"/>
        <v>44331</v>
      </c>
      <c r="O877" s="5" t="str">
        <f>IFERROR(__xludf.DUMMYFUNCTION("IF(REGEXMATCH(TRIM(I877), ""^\d+\s*min""), ""Unclassified"", IF(I877 = """", ""NR"", I877))"),"TV-MA")</f>
        <v>TV-MA</v>
      </c>
      <c r="R877" s="5" t="str">
        <f t="shared" si="2"/>
        <v>Love Or Money</v>
      </c>
      <c r="S877" s="5" t="str">
        <f>IFERROR(__xludf.DUMMYFUNCTION("""COMPUTED_VALUE"""),"Beckett")</f>
        <v>Beckett</v>
      </c>
      <c r="U877" s="5" t="str">
        <f>IFERROR(__xludf.DUMMYFUNCTION("""COMPUTED_VALUE"""),"Gore Verbinski")</f>
        <v>Gore Verbinski</v>
      </c>
      <c r="V877" s="5" t="s">
        <v>4039</v>
      </c>
      <c r="W877" s="5" t="str">
        <f t="shared" si="3"/>
        <v>Cristina Jacob</v>
      </c>
      <c r="X877" s="5">
        <f t="shared" si="4"/>
        <v>4</v>
      </c>
      <c r="Y877" s="5" t="str">
        <f>IFERROR(__xludf.DUMMYFUNCTION("REGEXEXTRACT(J877, ""^\d+"")"),"116")</f>
        <v>116</v>
      </c>
      <c r="Z877" s="5" t="str">
        <f>IFERROR(__xludf.DUMMYFUNCTION("REGEXEXTRACT(J877, ""[A-Za-z ]+$"")")," min")</f>
        <v> min</v>
      </c>
      <c r="AA877" s="5" t="str">
        <f>IFERROR(__xludf.DUMMYFUNCTION("IF(REGEXMATCH(Z877, ""Season""), ""TV Show"", ""Movie"")"),"Movie")</f>
        <v>Movie</v>
      </c>
    </row>
    <row r="878">
      <c r="A878" s="1" t="s">
        <v>5288</v>
      </c>
      <c r="B878" s="1" t="s">
        <v>37</v>
      </c>
      <c r="C878" s="1" t="s">
        <v>5289</v>
      </c>
      <c r="F878" s="1" t="s">
        <v>63</v>
      </c>
      <c r="G878" s="7">
        <v>44330.0</v>
      </c>
      <c r="H878" s="1">
        <v>2021.0</v>
      </c>
      <c r="I878" s="1" t="s">
        <v>42</v>
      </c>
      <c r="J878" s="1" t="s">
        <v>51</v>
      </c>
      <c r="K878" s="1" t="s">
        <v>507</v>
      </c>
      <c r="L878" s="1" t="s">
        <v>5290</v>
      </c>
      <c r="M878" s="2" t="s">
        <v>12</v>
      </c>
      <c r="N878" s="4">
        <f t="shared" si="1"/>
        <v>44330</v>
      </c>
      <c r="O878" s="5" t="str">
        <f>IFERROR(__xludf.DUMMYFUNCTION("IF(REGEXMATCH(TRIM(I878), ""^\d+\s*min""), ""Unclassified"", IF(I878 = """", ""NR"", I878))"),"TV-MA")</f>
        <v>TV-MA</v>
      </c>
      <c r="R878" s="5" t="str">
        <f t="shared" si="2"/>
        <v>Alma Matters</v>
      </c>
      <c r="S878" s="5" t="str">
        <f>IFERROR(__xludf.DUMMYFUNCTION("""COMPUTED_VALUE"""),"Becoming")</f>
        <v>Becoming</v>
      </c>
      <c r="U878" s="5" t="str">
        <f>IFERROR(__xludf.DUMMYFUNCTION("""COMPUTED_VALUE"""),"Al Campbell, Alice Mathias")</f>
        <v>Al Campbell, Alice Mathias</v>
      </c>
      <c r="V878" s="5" t="s">
        <v>1582</v>
      </c>
      <c r="W878" s="5" t="str">
        <f t="shared" si="3"/>
        <v>Crystal Moselle</v>
      </c>
      <c r="X878" s="5">
        <f t="shared" si="4"/>
        <v>1</v>
      </c>
      <c r="Y878" s="5" t="str">
        <f>IFERROR(__xludf.DUMMYFUNCTION("REGEXEXTRACT(J878, ""^\d+"")"),"1")</f>
        <v>1</v>
      </c>
      <c r="Z878" s="5" t="str">
        <f>IFERROR(__xludf.DUMMYFUNCTION("REGEXEXTRACT(J878, ""[A-Za-z ]+$"")")," Season")</f>
        <v> Season</v>
      </c>
      <c r="AA878" s="5" t="str">
        <f>IFERROR(__xludf.DUMMYFUNCTION("IF(REGEXMATCH(Z878, ""Season""), ""TV Show"", ""Movie"")"),"TV Show")</f>
        <v>TV Show</v>
      </c>
    </row>
    <row r="879">
      <c r="A879" s="1" t="s">
        <v>5291</v>
      </c>
      <c r="B879" s="1" t="s">
        <v>27</v>
      </c>
      <c r="C879" s="1" t="s">
        <v>5292</v>
      </c>
      <c r="D879" s="1" t="s">
        <v>5293</v>
      </c>
      <c r="E879" s="1" t="s">
        <v>5294</v>
      </c>
      <c r="F879" s="1" t="s">
        <v>63</v>
      </c>
      <c r="G879" s="7">
        <v>44330.0</v>
      </c>
      <c r="H879" s="1">
        <v>2021.0</v>
      </c>
      <c r="I879" s="1" t="s">
        <v>42</v>
      </c>
      <c r="J879" s="1" t="s">
        <v>416</v>
      </c>
      <c r="K879" s="1" t="s">
        <v>5295</v>
      </c>
      <c r="L879" s="1" t="s">
        <v>5296</v>
      </c>
      <c r="M879" s="2" t="s">
        <v>12</v>
      </c>
      <c r="N879" s="4">
        <f t="shared" si="1"/>
        <v>44330</v>
      </c>
      <c r="O879" s="5" t="str">
        <f>IFERROR(__xludf.DUMMYFUNCTION("IF(REGEXMATCH(TRIM(I879), ""^\d+\s*min""), ""Unclassified"", IF(I879 = """", ""NR"", I879))"),"TV-MA")</f>
        <v>TV-MA</v>
      </c>
      <c r="R879" s="5" t="str">
        <f t="shared" si="2"/>
        <v>Cinema Bandi</v>
      </c>
      <c r="S879" s="5" t="str">
        <f>IFERROR(__xludf.DUMMYFUNCTION("""COMPUTED_VALUE"""),"Becoming Champions")</f>
        <v>Becoming Champions</v>
      </c>
      <c r="U879" s="5" t="str">
        <f>IFERROR(__xludf.DUMMYFUNCTION("""COMPUTED_VALUE"""),"Maïwenn")</f>
        <v>Maïwenn</v>
      </c>
      <c r="V879" s="5" t="s">
        <v>5297</v>
      </c>
      <c r="W879" s="5" t="str">
        <f t="shared" si="3"/>
        <v>Cüneyt Kaya</v>
      </c>
      <c r="X879" s="5">
        <f t="shared" si="4"/>
        <v>1</v>
      </c>
      <c r="Y879" s="5" t="str">
        <f>IFERROR(__xludf.DUMMYFUNCTION("REGEXEXTRACT(J879, ""^\d+"")"),"99")</f>
        <v>99</v>
      </c>
      <c r="Z879" s="5" t="str">
        <f>IFERROR(__xludf.DUMMYFUNCTION("REGEXEXTRACT(J879, ""[A-Za-z ]+$"")")," min")</f>
        <v> min</v>
      </c>
      <c r="AA879" s="5" t="str">
        <f>IFERROR(__xludf.DUMMYFUNCTION("IF(REGEXMATCH(Z879, ""Season""), ""TV Show"", ""Movie"")"),"Movie")</f>
        <v>Movie</v>
      </c>
    </row>
    <row r="880">
      <c r="A880" s="1" t="s">
        <v>5298</v>
      </c>
      <c r="B880" s="1" t="s">
        <v>27</v>
      </c>
      <c r="C880" s="1" t="s">
        <v>5299</v>
      </c>
      <c r="D880" s="1" t="s">
        <v>4283</v>
      </c>
      <c r="E880" s="1" t="s">
        <v>5300</v>
      </c>
      <c r="F880" s="1" t="s">
        <v>3391</v>
      </c>
      <c r="G880" s="7">
        <v>44330.0</v>
      </c>
      <c r="H880" s="1">
        <v>2021.0</v>
      </c>
      <c r="I880" s="1" t="s">
        <v>42</v>
      </c>
      <c r="J880" s="1" t="s">
        <v>1256</v>
      </c>
      <c r="K880" s="1" t="s">
        <v>298</v>
      </c>
      <c r="L880" s="1" t="s">
        <v>5301</v>
      </c>
      <c r="M880" s="2" t="s">
        <v>12</v>
      </c>
      <c r="N880" s="4">
        <f t="shared" si="1"/>
        <v>44330</v>
      </c>
      <c r="O880" s="5" t="str">
        <f>IFERROR(__xludf.DUMMYFUNCTION("IF(REGEXMATCH(TRIM(I880), ""^\d+\s*min""), ""Unclassified"", IF(I880 = """", ""NR"", I880))"),"TV-MA")</f>
        <v>TV-MA</v>
      </c>
      <c r="R880" s="5" t="str">
        <f t="shared" si="2"/>
        <v>Ferry</v>
      </c>
      <c r="S880" s="5" t="str">
        <f>IFERROR(__xludf.DUMMYFUNCTION("""COMPUTED_VALUE"""),"Becoming Jane")</f>
        <v>Becoming Jane</v>
      </c>
      <c r="U880" s="5" t="str">
        <f>IFERROR(__xludf.DUMMYFUNCTION("""COMPUTED_VALUE"""),"Richard Weston")</f>
        <v>Richard Weston</v>
      </c>
      <c r="V880" s="5" t="s">
        <v>5302</v>
      </c>
      <c r="W880" s="5" t="str">
        <f t="shared" si="3"/>
        <v>Curro Velázquez</v>
      </c>
      <c r="X880" s="5">
        <f t="shared" si="4"/>
        <v>1</v>
      </c>
      <c r="Y880" s="5" t="str">
        <f>IFERROR(__xludf.DUMMYFUNCTION("REGEXEXTRACT(J880, ""^\d+"")"),"107")</f>
        <v>107</v>
      </c>
      <c r="Z880" s="5" t="str">
        <f>IFERROR(__xludf.DUMMYFUNCTION("REGEXEXTRACT(J880, ""[A-Za-z ]+$"")")," min")</f>
        <v> min</v>
      </c>
      <c r="AA880" s="5" t="str">
        <f>IFERROR(__xludf.DUMMYFUNCTION("IF(REGEXMATCH(Z880, ""Season""), ""TV Show"", ""Movie"")"),"Movie")</f>
        <v>Movie</v>
      </c>
    </row>
    <row r="881">
      <c r="A881" s="1" t="s">
        <v>5303</v>
      </c>
      <c r="B881" s="1" t="s">
        <v>37</v>
      </c>
      <c r="C881" s="1" t="s">
        <v>5304</v>
      </c>
      <c r="D881" s="1" t="s">
        <v>5305</v>
      </c>
      <c r="E881" s="1" t="s">
        <v>5306</v>
      </c>
      <c r="F881" s="1" t="s">
        <v>30</v>
      </c>
      <c r="G881" s="7">
        <v>44330.0</v>
      </c>
      <c r="H881" s="1">
        <v>2021.0</v>
      </c>
      <c r="I881" s="1" t="s">
        <v>42</v>
      </c>
      <c r="J881" s="1" t="s">
        <v>51</v>
      </c>
      <c r="K881" s="1" t="s">
        <v>2709</v>
      </c>
      <c r="L881" s="1" t="s">
        <v>5307</v>
      </c>
      <c r="M881" s="2" t="s">
        <v>12</v>
      </c>
      <c r="N881" s="4">
        <f t="shared" si="1"/>
        <v>44330</v>
      </c>
      <c r="O881" s="5" t="str">
        <f>IFERROR(__xludf.DUMMYFUNCTION("IF(REGEXMATCH(TRIM(I881), ""^\d+\s*min""), ""Unclassified"", IF(I881 = """", ""NR"", I881))"),"TV-MA")</f>
        <v>TV-MA</v>
      </c>
      <c r="R881" s="5" t="str">
        <f t="shared" si="2"/>
        <v>Halston</v>
      </c>
      <c r="S881" s="5" t="str">
        <f>IFERROR(__xludf.DUMMYFUNCTION("""COMPUTED_VALUE"""),"Bedtime Stories")</f>
        <v>Bedtime Stories</v>
      </c>
      <c r="U881" s="5" t="str">
        <f>IFERROR(__xludf.DUMMYFUNCTION("""COMPUTED_VALUE"""),"Vikramaditya Motwane")</f>
        <v>Vikramaditya Motwane</v>
      </c>
      <c r="V881" s="5" t="s">
        <v>5308</v>
      </c>
      <c r="W881" s="5" t="str">
        <f t="shared" si="3"/>
        <v>Curtis Graham</v>
      </c>
      <c r="X881" s="5">
        <f t="shared" si="4"/>
        <v>1</v>
      </c>
      <c r="Y881" s="5" t="str">
        <f>IFERROR(__xludf.DUMMYFUNCTION("REGEXEXTRACT(J881, ""^\d+"")"),"1")</f>
        <v>1</v>
      </c>
      <c r="Z881" s="5" t="str">
        <f>IFERROR(__xludf.DUMMYFUNCTION("REGEXEXTRACT(J881, ""[A-Za-z ]+$"")")," Season")</f>
        <v> Season</v>
      </c>
      <c r="AA881" s="5" t="str">
        <f>IFERROR(__xludf.DUMMYFUNCTION("IF(REGEXMATCH(Z881, ""Season""), ""TV Show"", ""Movie"")"),"TV Show")</f>
        <v>TV Show</v>
      </c>
    </row>
    <row r="882">
      <c r="A882" s="1" t="s">
        <v>5309</v>
      </c>
      <c r="B882" s="1" t="s">
        <v>37</v>
      </c>
      <c r="C882" s="1" t="s">
        <v>5310</v>
      </c>
      <c r="F882" s="1" t="s">
        <v>5311</v>
      </c>
      <c r="G882" s="7">
        <v>44330.0</v>
      </c>
      <c r="H882" s="1">
        <v>2021.0</v>
      </c>
      <c r="I882" s="1" t="s">
        <v>42</v>
      </c>
      <c r="J882" s="1" t="s">
        <v>276</v>
      </c>
      <c r="K882" s="1" t="s">
        <v>5312</v>
      </c>
      <c r="L882" s="1" t="s">
        <v>5313</v>
      </c>
      <c r="M882" s="2" t="s">
        <v>12</v>
      </c>
      <c r="N882" s="4">
        <f t="shared" si="1"/>
        <v>44330</v>
      </c>
      <c r="O882" s="5" t="str">
        <f>IFERROR(__xludf.DUMMYFUNCTION("IF(REGEXMATCH(TRIM(I882), ""^\d+\s*min""), ""Unclassified"", IF(I882 = """", ""NR"", I882))"),"TV-MA")</f>
        <v>TV-MA</v>
      </c>
      <c r="R882" s="5" t="str">
        <f t="shared" si="2"/>
        <v>Haunted</v>
      </c>
      <c r="S882" s="5" t="str">
        <f>IFERROR(__xludf.DUMMYFUNCTION("""COMPUTED_VALUE"""),"Bee Movie")</f>
        <v>Bee Movie</v>
      </c>
      <c r="U882" s="5" t="str">
        <f>IFERROR(__xludf.DUMMYFUNCTION("""COMPUTED_VALUE"""),"Prime Cruz")</f>
        <v>Prime Cruz</v>
      </c>
      <c r="V882" s="5" t="s">
        <v>5314</v>
      </c>
      <c r="W882" s="5" t="str">
        <f t="shared" si="3"/>
        <v>Curtis Hanson</v>
      </c>
      <c r="X882" s="5">
        <f t="shared" si="4"/>
        <v>1</v>
      </c>
      <c r="Y882" s="5" t="str">
        <f>IFERROR(__xludf.DUMMYFUNCTION("REGEXEXTRACT(J882, ""^\d+"")"),"3")</f>
        <v>3</v>
      </c>
      <c r="Z882" s="5" t="str">
        <f>IFERROR(__xludf.DUMMYFUNCTION("REGEXEXTRACT(J882, ""[A-Za-z ]+$"")")," Seasons")</f>
        <v> Seasons</v>
      </c>
      <c r="AA882" s="5" t="str">
        <f>IFERROR(__xludf.DUMMYFUNCTION("IF(REGEXMATCH(Z882, ""Season""), ""TV Show"", ""Movie"")"),"TV Show")</f>
        <v>TV Show</v>
      </c>
    </row>
    <row r="883">
      <c r="A883" s="1" t="s">
        <v>5315</v>
      </c>
      <c r="B883" s="1" t="s">
        <v>27</v>
      </c>
      <c r="C883" s="1" t="s">
        <v>5316</v>
      </c>
      <c r="D883" s="1" t="s">
        <v>5317</v>
      </c>
      <c r="E883" s="1" t="s">
        <v>5318</v>
      </c>
      <c r="F883" s="1" t="s">
        <v>40</v>
      </c>
      <c r="G883" s="7">
        <v>44330.0</v>
      </c>
      <c r="H883" s="1">
        <v>2021.0</v>
      </c>
      <c r="I883" s="1" t="s">
        <v>42</v>
      </c>
      <c r="J883" s="1" t="s">
        <v>1256</v>
      </c>
      <c r="K883" s="1" t="s">
        <v>298</v>
      </c>
      <c r="L883" s="1" t="s">
        <v>5319</v>
      </c>
      <c r="M883" s="2" t="s">
        <v>12</v>
      </c>
      <c r="N883" s="4">
        <f t="shared" si="1"/>
        <v>44330</v>
      </c>
      <c r="O883" s="5" t="str">
        <f>IFERROR(__xludf.DUMMYFUNCTION("IF(REGEXMATCH(TRIM(I883), ""^\d+\s*min""), ""Unclassified"", IF(I883 = """", ""NR"", I883))"),"TV-MA")</f>
        <v>TV-MA</v>
      </c>
      <c r="R883" s="5" t="str">
        <f t="shared" si="2"/>
        <v>I Am All Girls</v>
      </c>
      <c r="S883" s="5" t="str">
        <f>IFERROR(__xludf.DUMMYFUNCTION("""COMPUTED_VALUE"""),"Been So Long")</f>
        <v>Been So Long</v>
      </c>
      <c r="U883" s="5" t="str">
        <f>IFERROR(__xludf.DUMMYFUNCTION("""COMPUTED_VALUE"""),"Andibachtiar Yusuf")</f>
        <v>Andibachtiar Yusuf</v>
      </c>
      <c r="V883" s="5" t="s">
        <v>5320</v>
      </c>
      <c r="W883" s="5" t="str">
        <f t="shared" si="3"/>
        <v>Cyrus Nowrasteh</v>
      </c>
      <c r="X883" s="5">
        <f t="shared" si="4"/>
        <v>1</v>
      </c>
      <c r="Y883" s="5" t="str">
        <f>IFERROR(__xludf.DUMMYFUNCTION("REGEXEXTRACT(J883, ""^\d+"")"),"107")</f>
        <v>107</v>
      </c>
      <c r="Z883" s="5" t="str">
        <f>IFERROR(__xludf.DUMMYFUNCTION("REGEXEXTRACT(J883, ""[A-Za-z ]+$"")")," min")</f>
        <v> min</v>
      </c>
      <c r="AA883" s="5" t="str">
        <f>IFERROR(__xludf.DUMMYFUNCTION("IF(REGEXMATCH(Z883, ""Season""), ""TV Show"", ""Movie"")"),"Movie")</f>
        <v>Movie</v>
      </c>
    </row>
    <row r="884">
      <c r="A884" s="1" t="s">
        <v>5321</v>
      </c>
      <c r="B884" s="1" t="s">
        <v>27</v>
      </c>
      <c r="C884" s="1" t="s">
        <v>5322</v>
      </c>
      <c r="D884" s="1" t="s">
        <v>3692</v>
      </c>
      <c r="E884" s="1" t="s">
        <v>5323</v>
      </c>
      <c r="F884" s="1" t="s">
        <v>5324</v>
      </c>
      <c r="G884" s="7">
        <v>44330.0</v>
      </c>
      <c r="H884" s="1">
        <v>2021.0</v>
      </c>
      <c r="I884" s="1" t="s">
        <v>289</v>
      </c>
      <c r="J884" s="1" t="s">
        <v>33</v>
      </c>
      <c r="K884" s="1" t="s">
        <v>137</v>
      </c>
      <c r="L884" s="1" t="s">
        <v>5325</v>
      </c>
      <c r="M884" s="2" t="s">
        <v>12</v>
      </c>
      <c r="N884" s="4">
        <f t="shared" si="1"/>
        <v>44330</v>
      </c>
      <c r="O884" s="5" t="str">
        <f>IFERROR(__xludf.DUMMYFUNCTION("IF(REGEXMATCH(TRIM(I884), ""^\d+\s*min""), ""Unclassified"", IF(I884 = """", ""NR"", I884))"),"TV-Y7")</f>
        <v>TV-Y7</v>
      </c>
      <c r="R884" s="5" t="str">
        <f t="shared" si="2"/>
        <v>Jungle Beat: The Movie</v>
      </c>
      <c r="S884" s="5" t="str">
        <f>IFERROR(__xludf.DUMMYFUNCTION("""COMPUTED_VALUE"""),"Beethoven")</f>
        <v>Beethoven</v>
      </c>
      <c r="U884" s="5" t="str">
        <f>IFERROR(__xludf.DUMMYFUNCTION("""COMPUTED_VALUE"""),"Yandy Laurens")</f>
        <v>Yandy Laurens</v>
      </c>
      <c r="V884" s="5" t="s">
        <v>5326</v>
      </c>
      <c r="W884" s="5" t="str">
        <f t="shared" si="3"/>
        <v>D Ho</v>
      </c>
      <c r="X884" s="5">
        <f t="shared" si="4"/>
        <v>1</v>
      </c>
      <c r="Y884" s="5" t="str">
        <f>IFERROR(__xludf.DUMMYFUNCTION("REGEXEXTRACT(J884, ""^\d+"")"),"90")</f>
        <v>90</v>
      </c>
      <c r="Z884" s="5" t="str">
        <f>IFERROR(__xludf.DUMMYFUNCTION("REGEXEXTRACT(J884, ""[A-Za-z ]+$"")")," min")</f>
        <v> min</v>
      </c>
      <c r="AA884" s="5" t="str">
        <f>IFERROR(__xludf.DUMMYFUNCTION("IF(REGEXMATCH(Z884, ""Season""), ""TV Show"", ""Movie"")"),"Movie")</f>
        <v>Movie</v>
      </c>
    </row>
    <row r="885">
      <c r="A885" s="1" t="s">
        <v>5327</v>
      </c>
      <c r="B885" s="1" t="s">
        <v>37</v>
      </c>
      <c r="C885" s="1" t="s">
        <v>5328</v>
      </c>
      <c r="E885" s="1" t="s">
        <v>5329</v>
      </c>
      <c r="F885" s="1" t="s">
        <v>30</v>
      </c>
      <c r="G885" s="7">
        <v>44330.0</v>
      </c>
      <c r="H885" s="1">
        <v>2021.0</v>
      </c>
      <c r="I885" s="1" t="s">
        <v>42</v>
      </c>
      <c r="J885" s="1" t="s">
        <v>43</v>
      </c>
      <c r="K885" s="1" t="s">
        <v>5330</v>
      </c>
      <c r="L885" s="1" t="s">
        <v>5331</v>
      </c>
      <c r="M885" s="2" t="s">
        <v>12</v>
      </c>
      <c r="N885" s="4">
        <f t="shared" si="1"/>
        <v>44330</v>
      </c>
      <c r="O885" s="5" t="str">
        <f>IFERROR(__xludf.DUMMYFUNCTION("IF(REGEXMATCH(TRIM(I885), ""^\d+\s*min""), ""Unclassified"", IF(I885 = """", ""NR"", I885))"),"TV-MA")</f>
        <v>TV-MA</v>
      </c>
      <c r="R885" s="5" t="str">
        <f t="shared" si="2"/>
        <v>Love, Death &amp; Robots</v>
      </c>
      <c r="S885" s="5" t="str">
        <f>IFERROR(__xludf.DUMMYFUNCTION("""COMPUTED_VALUE"""),"Beethoven'S 2Nd")</f>
        <v>Beethoven'S 2Nd</v>
      </c>
      <c r="U885" s="5" t="str">
        <f>IFERROR(__xludf.DUMMYFUNCTION("""COMPUTED_VALUE"""),"Cathy Garcia-Molina")</f>
        <v>Cathy Garcia-Molina</v>
      </c>
      <c r="V885" s="5" t="s">
        <v>5332</v>
      </c>
      <c r="W885" s="5" t="str">
        <f t="shared" si="3"/>
        <v>Daan Jansen, Stijn Verlinde</v>
      </c>
      <c r="X885" s="5">
        <f t="shared" si="4"/>
        <v>1</v>
      </c>
      <c r="Y885" s="5" t="str">
        <f>IFERROR(__xludf.DUMMYFUNCTION("REGEXEXTRACT(J885, ""^\d+"")"),"2")</f>
        <v>2</v>
      </c>
      <c r="Z885" s="5" t="str">
        <f>IFERROR(__xludf.DUMMYFUNCTION("REGEXEXTRACT(J885, ""[A-Za-z ]+$"")")," Seasons")</f>
        <v> Seasons</v>
      </c>
      <c r="AA885" s="5" t="str">
        <f>IFERROR(__xludf.DUMMYFUNCTION("IF(REGEXMATCH(Z885, ""Season""), ""TV Show"", ""Movie"")"),"TV Show")</f>
        <v>TV Show</v>
      </c>
    </row>
    <row r="886">
      <c r="A886" s="1" t="s">
        <v>5333</v>
      </c>
      <c r="B886" s="1" t="s">
        <v>37</v>
      </c>
      <c r="C886" s="1" t="s">
        <v>5334</v>
      </c>
      <c r="E886" s="1" t="s">
        <v>5335</v>
      </c>
      <c r="F886" s="1" t="s">
        <v>749</v>
      </c>
      <c r="G886" s="7">
        <v>44330.0</v>
      </c>
      <c r="H886" s="1">
        <v>2021.0</v>
      </c>
      <c r="I886" s="1" t="s">
        <v>42</v>
      </c>
      <c r="J886" s="1" t="s">
        <v>51</v>
      </c>
      <c r="K886" s="1" t="s">
        <v>402</v>
      </c>
      <c r="L886" s="1" t="s">
        <v>5336</v>
      </c>
      <c r="M886" s="2" t="s">
        <v>12</v>
      </c>
      <c r="N886" s="4">
        <f t="shared" si="1"/>
        <v>44330</v>
      </c>
      <c r="O886" s="5" t="str">
        <f>IFERROR(__xludf.DUMMYFUNCTION("IF(REGEXMATCH(TRIM(I886), ""^\d+\s*min""), ""Unclassified"", IF(I886 = """", ""NR"", I886))"),"TV-MA")</f>
        <v>TV-MA</v>
      </c>
      <c r="R886" s="5" t="str">
        <f t="shared" si="2"/>
        <v>Move To Heaven</v>
      </c>
      <c r="S886" s="5" t="str">
        <f>IFERROR(__xludf.DUMMYFUNCTION("""COMPUTED_VALUE"""),"Before 30")</f>
        <v>Before 30</v>
      </c>
      <c r="U886" s="5" t="str">
        <f>IFERROR(__xludf.DUMMYFUNCTION("""COMPUTED_VALUE"""),"John Mitchell, Jeremy Kipp Walker")</f>
        <v>John Mitchell, Jeremy Kipp Walker</v>
      </c>
      <c r="V886" s="5" t="s">
        <v>5337</v>
      </c>
      <c r="W886" s="5" t="str">
        <f t="shared" si="3"/>
        <v>Dado C. Lumibao</v>
      </c>
      <c r="X886" s="5">
        <f t="shared" si="4"/>
        <v>1</v>
      </c>
      <c r="Y886" s="5" t="str">
        <f>IFERROR(__xludf.DUMMYFUNCTION("REGEXEXTRACT(J886, ""^\d+"")"),"1")</f>
        <v>1</v>
      </c>
      <c r="Z886" s="5" t="str">
        <f>IFERROR(__xludf.DUMMYFUNCTION("REGEXEXTRACT(J886, ""[A-Za-z ]+$"")")," Season")</f>
        <v> Season</v>
      </c>
      <c r="AA886" s="5" t="str">
        <f>IFERROR(__xludf.DUMMYFUNCTION("IF(REGEXMATCH(Z886, ""Season""), ""TV Show"", ""Movie"")"),"TV Show")</f>
        <v>TV Show</v>
      </c>
    </row>
    <row r="887">
      <c r="A887" s="1" t="s">
        <v>5338</v>
      </c>
      <c r="B887" s="1" t="s">
        <v>27</v>
      </c>
      <c r="C887" s="1" t="s">
        <v>5339</v>
      </c>
      <c r="D887" s="1" t="s">
        <v>5340</v>
      </c>
      <c r="E887" s="1" t="s">
        <v>5341</v>
      </c>
      <c r="F887" s="1" t="s">
        <v>5342</v>
      </c>
      <c r="G887" s="7">
        <v>44330.0</v>
      </c>
      <c r="H887" s="1">
        <v>2018.0</v>
      </c>
      <c r="I887" s="1" t="s">
        <v>42</v>
      </c>
      <c r="J887" s="1" t="s">
        <v>106</v>
      </c>
      <c r="K887" s="1" t="s">
        <v>583</v>
      </c>
      <c r="L887" s="1" t="s">
        <v>5343</v>
      </c>
      <c r="M887" s="2" t="s">
        <v>12</v>
      </c>
      <c r="N887" s="4">
        <f t="shared" si="1"/>
        <v>44330</v>
      </c>
      <c r="O887" s="5" t="str">
        <f>IFERROR(__xludf.DUMMYFUNCTION("IF(REGEXMATCH(TRIM(I887), ""^\d+\s*min""), ""Unclassified"", IF(I887 = """", ""NR"", I887))"),"TV-MA")</f>
        <v>TV-MA</v>
      </c>
      <c r="R887" s="5" t="str">
        <f t="shared" si="2"/>
        <v>Table Manners</v>
      </c>
      <c r="S887" s="5" t="str">
        <f>IFERROR(__xludf.DUMMYFUNCTION("""COMPUTED_VALUE"""),"Before I Fall")</f>
        <v>Before I Fall</v>
      </c>
      <c r="U887" s="5" t="str">
        <f>IFERROR(__xludf.DUMMYFUNCTION("""COMPUTED_VALUE"""),"George Clooney")</f>
        <v>George Clooney</v>
      </c>
      <c r="V887" s="5" t="s">
        <v>5344</v>
      </c>
      <c r="W887" s="5" t="str">
        <f t="shared" si="3"/>
        <v>Dallas Jackson</v>
      </c>
      <c r="X887" s="5">
        <f t="shared" si="4"/>
        <v>2</v>
      </c>
      <c r="Y887" s="5" t="str">
        <f>IFERROR(__xludf.DUMMYFUNCTION("REGEXEXTRACT(J887, ""^\d+"")"),"104")</f>
        <v>104</v>
      </c>
      <c r="Z887" s="5" t="str">
        <f>IFERROR(__xludf.DUMMYFUNCTION("REGEXEXTRACT(J887, ""[A-Za-z ]+$"")")," min")</f>
        <v> min</v>
      </c>
      <c r="AA887" s="5" t="str">
        <f>IFERROR(__xludf.DUMMYFUNCTION("IF(REGEXMATCH(Z887, ""Season""), ""TV Show"", ""Movie"")"),"Movie")</f>
        <v>Movie</v>
      </c>
    </row>
    <row r="888">
      <c r="A888" s="1" t="s">
        <v>5345</v>
      </c>
      <c r="B888" s="1" t="s">
        <v>37</v>
      </c>
      <c r="C888" s="1" t="s">
        <v>5346</v>
      </c>
      <c r="D888" s="1" t="s">
        <v>5347</v>
      </c>
      <c r="E888" s="1" t="s">
        <v>5348</v>
      </c>
      <c r="G888" s="7">
        <v>44330.0</v>
      </c>
      <c r="H888" s="1">
        <v>2020.0</v>
      </c>
      <c r="I888" s="1" t="s">
        <v>97</v>
      </c>
      <c r="J888" s="1" t="s">
        <v>51</v>
      </c>
      <c r="K888" s="1" t="s">
        <v>5349</v>
      </c>
      <c r="L888" s="1" t="s">
        <v>5350</v>
      </c>
      <c r="M888" s="2" t="s">
        <v>12</v>
      </c>
      <c r="N888" s="4">
        <f t="shared" si="1"/>
        <v>44330</v>
      </c>
      <c r="O888" s="5" t="str">
        <f>IFERROR(__xludf.DUMMYFUNCTION("IF(REGEXMATCH(TRIM(I888), ""^\d+\s*min""), ""Unclassified"", IF(I888 = """", ""NR"", I888))"),"TV-14")</f>
        <v>TV-14</v>
      </c>
      <c r="R888" s="5" t="str">
        <f t="shared" si="2"/>
        <v>The Mystic River</v>
      </c>
      <c r="S888" s="5" t="str">
        <f>IFERROR(__xludf.DUMMYFUNCTION("""COMPUTED_VALUE"""),"Before I Wake")</f>
        <v>Before I Wake</v>
      </c>
      <c r="U888" s="5" t="str">
        <f>IFERROR(__xludf.DUMMYFUNCTION("""COMPUTED_VALUE"""),"Liu Kuang-Hui")</f>
        <v>Liu Kuang-Hui</v>
      </c>
      <c r="V888" s="5" t="s">
        <v>5351</v>
      </c>
      <c r="W888" s="5" t="str">
        <f t="shared" si="3"/>
        <v>Dallas Jenkins</v>
      </c>
      <c r="X888" s="5">
        <f t="shared" si="4"/>
        <v>1</v>
      </c>
      <c r="Y888" s="5" t="str">
        <f>IFERROR(__xludf.DUMMYFUNCTION("REGEXEXTRACT(J888, ""^\d+"")"),"1")</f>
        <v>1</v>
      </c>
      <c r="Z888" s="5" t="str">
        <f>IFERROR(__xludf.DUMMYFUNCTION("REGEXEXTRACT(J888, ""[A-Za-z ]+$"")")," Season")</f>
        <v> Season</v>
      </c>
      <c r="AA888" s="5" t="str">
        <f>IFERROR(__xludf.DUMMYFUNCTION("IF(REGEXMATCH(Z888, ""Season""), ""TV Show"", ""Movie"")"),"TV Show")</f>
        <v>TV Show</v>
      </c>
    </row>
    <row r="889">
      <c r="A889" s="1" t="s">
        <v>5352</v>
      </c>
      <c r="B889" s="1" t="s">
        <v>27</v>
      </c>
      <c r="C889" s="1" t="s">
        <v>5353</v>
      </c>
      <c r="D889" s="1" t="s">
        <v>5354</v>
      </c>
      <c r="E889" s="1" t="s">
        <v>5355</v>
      </c>
      <c r="F889" s="1" t="s">
        <v>5356</v>
      </c>
      <c r="G889" s="7">
        <v>44330.0</v>
      </c>
      <c r="H889" s="1">
        <v>2020.0</v>
      </c>
      <c r="I889" s="1" t="s">
        <v>42</v>
      </c>
      <c r="J889" s="1" t="s">
        <v>433</v>
      </c>
      <c r="K889" s="1" t="s">
        <v>1592</v>
      </c>
      <c r="L889" s="1" t="s">
        <v>5357</v>
      </c>
      <c r="M889" s="2" t="s">
        <v>12</v>
      </c>
      <c r="N889" s="4">
        <f t="shared" si="1"/>
        <v>44330</v>
      </c>
      <c r="O889" s="5" t="str">
        <f>IFERROR(__xludf.DUMMYFUNCTION("IF(REGEXMATCH(TRIM(I889), ""^\d+\s*min""), ""Unclassified"", IF(I889 = """", ""NR"", I889))"),"TV-MA")</f>
        <v>TV-MA</v>
      </c>
      <c r="R889" s="5" t="str">
        <f t="shared" si="2"/>
        <v>The Strange House</v>
      </c>
      <c r="S889" s="5" t="str">
        <f>IFERROR(__xludf.DUMMYFUNCTION("""COMPUTED_VALUE"""),"Before The Flood")</f>
        <v>Before The Flood</v>
      </c>
      <c r="U889" s="5" t="str">
        <f>IFERROR(__xludf.DUMMYFUNCTION("""COMPUTED_VALUE"""),"Kristian Mercado")</f>
        <v>Kristian Mercado</v>
      </c>
      <c r="V889" s="5" t="s">
        <v>5358</v>
      </c>
      <c r="W889" s="5" t="str">
        <f t="shared" si="3"/>
        <v>Damani Baker</v>
      </c>
      <c r="X889" s="5">
        <f t="shared" si="4"/>
        <v>1</v>
      </c>
      <c r="Y889" s="5" t="str">
        <f>IFERROR(__xludf.DUMMYFUNCTION("REGEXEXTRACT(J889, ""^\d+"")"),"100")</f>
        <v>100</v>
      </c>
      <c r="Z889" s="5" t="str">
        <f>IFERROR(__xludf.DUMMYFUNCTION("REGEXEXTRACT(J889, ""[A-Za-z ]+$"")")," min")</f>
        <v> min</v>
      </c>
      <c r="AA889" s="5" t="str">
        <f>IFERROR(__xludf.DUMMYFUNCTION("IF(REGEXMATCH(Z889, ""Season""), ""TV Show"", ""Movie"")"),"Movie")</f>
        <v>Movie</v>
      </c>
    </row>
    <row r="890">
      <c r="A890" s="1" t="s">
        <v>5359</v>
      </c>
      <c r="B890" s="1" t="s">
        <v>27</v>
      </c>
      <c r="C890" s="1" t="s">
        <v>5360</v>
      </c>
      <c r="E890" s="1" t="s">
        <v>5361</v>
      </c>
      <c r="G890" s="7">
        <v>44330.0</v>
      </c>
      <c r="H890" s="1">
        <v>2021.0</v>
      </c>
      <c r="I890" s="1" t="s">
        <v>97</v>
      </c>
      <c r="J890" s="1" t="s">
        <v>5362</v>
      </c>
      <c r="K890" s="1" t="s">
        <v>239</v>
      </c>
      <c r="L890" s="1" t="s">
        <v>5363</v>
      </c>
      <c r="M890" s="2" t="s">
        <v>12</v>
      </c>
      <c r="N890" s="4">
        <f t="shared" si="1"/>
        <v>44330</v>
      </c>
      <c r="O890" s="5" t="str">
        <f>IFERROR(__xludf.DUMMYFUNCTION("IF(REGEXMATCH(TRIM(I890), ""^\d+\s*min""), ""Unclassified"", IF(I890 = """", ""NR"", I890))"),"TV-14")</f>
        <v>TV-14</v>
      </c>
      <c r="R890" s="5" t="str">
        <f t="shared" si="2"/>
        <v>The Upshaws - The Afterparty</v>
      </c>
      <c r="S890" s="5" t="str">
        <f>IFERROR(__xludf.DUMMYFUNCTION("""COMPUTED_VALUE"""),"Before The Summer Crowds")</f>
        <v>Before The Summer Crowds</v>
      </c>
      <c r="U890" s="5" t="str">
        <f>IFERROR(__xludf.DUMMYFUNCTION("""COMPUTED_VALUE"""),"Daan Jansen, Stijn Verlinde")</f>
        <v>Daan Jansen, Stijn Verlinde</v>
      </c>
      <c r="V890" s="5" t="s">
        <v>5364</v>
      </c>
      <c r="W890" s="5" t="str">
        <f t="shared" si="3"/>
        <v>Damián Romay</v>
      </c>
      <c r="X890" s="5">
        <f t="shared" si="4"/>
        <v>2</v>
      </c>
      <c r="Y890" s="5" t="str">
        <f>IFERROR(__xludf.DUMMYFUNCTION("REGEXEXTRACT(J890, ""^\d+"")"),"32")</f>
        <v>32</v>
      </c>
      <c r="Z890" s="5" t="str">
        <f>IFERROR(__xludf.DUMMYFUNCTION("REGEXEXTRACT(J890, ""[A-Za-z ]+$"")")," min")</f>
        <v> min</v>
      </c>
      <c r="AA890" s="5" t="str">
        <f>IFERROR(__xludf.DUMMYFUNCTION("IF(REGEXMATCH(Z890, ""Season""), ""TV Show"", ""Movie"")"),"Movie")</f>
        <v>Movie</v>
      </c>
    </row>
    <row r="891">
      <c r="A891" s="1" t="s">
        <v>5365</v>
      </c>
      <c r="B891" s="1" t="s">
        <v>27</v>
      </c>
      <c r="C891" s="1" t="s">
        <v>5366</v>
      </c>
      <c r="D891" s="1" t="s">
        <v>5367</v>
      </c>
      <c r="E891" s="1" t="s">
        <v>5368</v>
      </c>
      <c r="F891" s="1" t="s">
        <v>30</v>
      </c>
      <c r="G891" s="7">
        <v>44330.0</v>
      </c>
      <c r="H891" s="1">
        <v>2021.0</v>
      </c>
      <c r="I891" s="1" t="s">
        <v>378</v>
      </c>
      <c r="J891" s="1" t="s">
        <v>447</v>
      </c>
      <c r="K891" s="1" t="s">
        <v>394</v>
      </c>
      <c r="L891" s="1" t="s">
        <v>5369</v>
      </c>
      <c r="M891" s="2" t="s">
        <v>12</v>
      </c>
      <c r="N891" s="4">
        <f t="shared" si="1"/>
        <v>44330</v>
      </c>
      <c r="O891" s="5" t="str">
        <f>IFERROR(__xludf.DUMMYFUNCTION("IF(REGEXMATCH(TRIM(I891), ""^\d+\s*min""), ""Unclassified"", IF(I891 = """", ""NR"", I891))"),"R")</f>
        <v>R</v>
      </c>
      <c r="R891" s="5" t="str">
        <f t="shared" si="2"/>
        <v>The Woman In The Window</v>
      </c>
      <c r="S891" s="5" t="str">
        <f>IFERROR(__xludf.DUMMYFUNCTION("""COMPUTED_VALUE"""),"Behind ""The Cove"": The Quiet Japanese Speak Out")</f>
        <v>Behind "The Cove": The Quiet Japanese Speak Out</v>
      </c>
      <c r="U891" s="5" t="str">
        <f>IFERROR(__xludf.DUMMYFUNCTION("""COMPUTED_VALUE"""),"Jay Grace")</f>
        <v>Jay Grace</v>
      </c>
      <c r="V891" s="5" t="s">
        <v>5370</v>
      </c>
      <c r="W891" s="5" t="str">
        <f t="shared" si="3"/>
        <v>Damien Chazelle, Houda Benyamina, Laïla Marrakchi, Alan Poul</v>
      </c>
      <c r="X891" s="5">
        <f t="shared" si="4"/>
        <v>1</v>
      </c>
      <c r="Y891" s="5" t="str">
        <f>IFERROR(__xludf.DUMMYFUNCTION("REGEXEXTRACT(J891, ""^\d+"")"),"102")</f>
        <v>102</v>
      </c>
      <c r="Z891" s="5" t="str">
        <f>IFERROR(__xludf.DUMMYFUNCTION("REGEXEXTRACT(J891, ""[A-Za-z ]+$"")")," min")</f>
        <v> min</v>
      </c>
      <c r="AA891" s="5" t="str">
        <f>IFERROR(__xludf.DUMMYFUNCTION("IF(REGEXMATCH(Z891, ""Season""), ""TV Show"", ""Movie"")"),"Movie")</f>
        <v>Movie</v>
      </c>
    </row>
    <row r="892">
      <c r="A892" s="1" t="s">
        <v>5371</v>
      </c>
      <c r="B892" s="1" t="s">
        <v>37</v>
      </c>
      <c r="C892" s="1" t="s">
        <v>5372</v>
      </c>
      <c r="E892" s="1" t="s">
        <v>5373</v>
      </c>
      <c r="F892" s="1" t="s">
        <v>30</v>
      </c>
      <c r="G892" s="7">
        <v>44329.0</v>
      </c>
      <c r="H892" s="1">
        <v>2021.0</v>
      </c>
      <c r="I892" s="1" t="s">
        <v>42</v>
      </c>
      <c r="J892" s="1" t="s">
        <v>148</v>
      </c>
      <c r="K892" s="1" t="s">
        <v>3112</v>
      </c>
      <c r="L892" s="1" t="s">
        <v>5374</v>
      </c>
      <c r="M892" s="2" t="s">
        <v>12</v>
      </c>
      <c r="N892" s="4">
        <f t="shared" si="1"/>
        <v>44329</v>
      </c>
      <c r="O892" s="5" t="str">
        <f>IFERROR(__xludf.DUMMYFUNCTION("IF(REGEXMATCH(TRIM(I892), ""^\d+\s*min""), ""Unclassified"", IF(I892 = """", ""NR"", I892))"),"TV-MA")</f>
        <v>TV-MA</v>
      </c>
      <c r="R892" s="5" t="str">
        <f t="shared" si="2"/>
        <v>Castlevania</v>
      </c>
      <c r="S892" s="5" t="str">
        <f>IFERROR(__xludf.DUMMYFUNCTION("""COMPUTED_VALUE"""),"Behind Enemy Lines")</f>
        <v>Behind Enemy Lines</v>
      </c>
      <c r="U892" s="5" t="str">
        <f>IFERROR(__xludf.DUMMYFUNCTION("""COMPUTED_VALUE"""),"Paul Dugdale")</f>
        <v>Paul Dugdale</v>
      </c>
      <c r="V892" s="5" t="s">
        <v>5375</v>
      </c>
      <c r="W892" s="5" t="str">
        <f t="shared" si="3"/>
        <v>Damien Leone</v>
      </c>
      <c r="X892" s="5">
        <f t="shared" si="4"/>
        <v>1</v>
      </c>
      <c r="Y892" s="5" t="str">
        <f>IFERROR(__xludf.DUMMYFUNCTION("REGEXEXTRACT(J892, ""^\d+"")"),"4")</f>
        <v>4</v>
      </c>
      <c r="Z892" s="5" t="str">
        <f>IFERROR(__xludf.DUMMYFUNCTION("REGEXEXTRACT(J892, ""[A-Za-z ]+$"")")," Seasons")</f>
        <v> Seasons</v>
      </c>
      <c r="AA892" s="5" t="str">
        <f>IFERROR(__xludf.DUMMYFUNCTION("IF(REGEXMATCH(Z892, ""Season""), ""TV Show"", ""Movie"")"),"TV Show")</f>
        <v>TV Show</v>
      </c>
    </row>
    <row r="893">
      <c r="A893" s="1" t="s">
        <v>5376</v>
      </c>
      <c r="B893" s="1" t="s">
        <v>27</v>
      </c>
      <c r="C893" s="1" t="s">
        <v>5377</v>
      </c>
      <c r="D893" s="1" t="s">
        <v>5378</v>
      </c>
      <c r="E893" s="1" t="s">
        <v>5379</v>
      </c>
      <c r="F893" s="1" t="s">
        <v>96</v>
      </c>
      <c r="G893" s="7">
        <v>44329.0</v>
      </c>
      <c r="H893" s="1">
        <v>2004.0</v>
      </c>
      <c r="I893" s="1" t="s">
        <v>378</v>
      </c>
      <c r="J893" s="1" t="s">
        <v>305</v>
      </c>
      <c r="K893" s="1" t="s">
        <v>5380</v>
      </c>
      <c r="L893" s="1" t="s">
        <v>5381</v>
      </c>
      <c r="M893" s="2" t="s">
        <v>12</v>
      </c>
      <c r="N893" s="4">
        <f t="shared" si="1"/>
        <v>44329</v>
      </c>
      <c r="O893" s="5" t="str">
        <f>IFERROR(__xludf.DUMMYFUNCTION("IF(REGEXMATCH(TRIM(I893), ""^\d+\s*min""), ""Unclassified"", IF(I893 = """", ""NR"", I893))"),"R")</f>
        <v>R</v>
      </c>
      <c r="R893" s="5" t="str">
        <f t="shared" si="2"/>
        <v>Layer Cake</v>
      </c>
      <c r="S893" s="5" t="str">
        <f>IFERROR(__xludf.DUMMYFUNCTION("""COMPUTED_VALUE"""),"Behind Her Eyes")</f>
        <v>Behind Her Eyes</v>
      </c>
      <c r="U893" s="5" t="str">
        <f>IFERROR(__xludf.DUMMYFUNCTION("""COMPUTED_VALUE"""),"James Haslam")</f>
        <v>James Haslam</v>
      </c>
      <c r="V893" s="5" t="s">
        <v>5382</v>
      </c>
      <c r="W893" s="5" t="str">
        <f t="shared" si="3"/>
        <v>Damien O’Connor</v>
      </c>
      <c r="X893" s="5">
        <f t="shared" si="4"/>
        <v>2</v>
      </c>
      <c r="Y893" s="5" t="str">
        <f>IFERROR(__xludf.DUMMYFUNCTION("REGEXEXTRACT(J893, ""^\d+"")"),"105")</f>
        <v>105</v>
      </c>
      <c r="Z893" s="5" t="str">
        <f>IFERROR(__xludf.DUMMYFUNCTION("REGEXEXTRACT(J893, ""[A-Za-z ]+$"")")," min")</f>
        <v> min</v>
      </c>
      <c r="AA893" s="5" t="str">
        <f>IFERROR(__xludf.DUMMYFUNCTION("IF(REGEXMATCH(Z893, ""Season""), ""TV Show"", ""Movie"")"),"Movie")</f>
        <v>Movie</v>
      </c>
    </row>
    <row r="894">
      <c r="A894" s="1" t="s">
        <v>5383</v>
      </c>
      <c r="B894" s="1" t="s">
        <v>27</v>
      </c>
      <c r="C894" s="1" t="s">
        <v>5384</v>
      </c>
      <c r="D894" s="1" t="s">
        <v>492</v>
      </c>
      <c r="E894" s="1" t="s">
        <v>5385</v>
      </c>
      <c r="F894" s="1" t="s">
        <v>63</v>
      </c>
      <c r="G894" s="7">
        <v>44329.0</v>
      </c>
      <c r="H894" s="1">
        <v>2018.0</v>
      </c>
      <c r="I894" s="1" t="s">
        <v>42</v>
      </c>
      <c r="J894" s="1" t="s">
        <v>1256</v>
      </c>
      <c r="K894" s="1" t="s">
        <v>89</v>
      </c>
      <c r="L894" s="1" t="s">
        <v>5386</v>
      </c>
      <c r="M894" s="2" t="s">
        <v>12</v>
      </c>
      <c r="N894" s="4">
        <f t="shared" si="1"/>
        <v>44329</v>
      </c>
      <c r="O894" s="5" t="str">
        <f>IFERROR(__xludf.DUMMYFUNCTION("IF(REGEXMATCH(TRIM(I894), ""^\d+\s*min""), ""Unclassified"", IF(I894 = """", ""NR"", I894))"),"TV-MA")</f>
        <v>TV-MA</v>
      </c>
      <c r="R894" s="5" t="str">
        <f t="shared" si="2"/>
        <v>Tottaa Pataaka Item Maal</v>
      </c>
      <c r="S894" s="5" t="str">
        <f>IFERROR(__xludf.DUMMYFUNCTION("""COMPUTED_VALUE"""),"Behind The Curtain: Todrick Hall")</f>
        <v>Behind The Curtain: Todrick Hall</v>
      </c>
      <c r="U894" s="5" t="str">
        <f>IFERROR(__xludf.DUMMYFUNCTION("""COMPUTED_VALUE"""),"Muhammad Ali")</f>
        <v>Muhammad Ali</v>
      </c>
      <c r="V894" s="5" t="s">
        <v>5387</v>
      </c>
      <c r="W894" s="5" t="str">
        <f t="shared" si="3"/>
        <v>Damien Piscarel, Florent Bodin</v>
      </c>
      <c r="X894" s="5">
        <f t="shared" si="4"/>
        <v>1</v>
      </c>
      <c r="Y894" s="5" t="str">
        <f>IFERROR(__xludf.DUMMYFUNCTION("REGEXEXTRACT(J894, ""^\d+"")"),"107")</f>
        <v>107</v>
      </c>
      <c r="Z894" s="5" t="str">
        <f>IFERROR(__xludf.DUMMYFUNCTION("REGEXEXTRACT(J894, ""[A-Za-z ]+$"")")," min")</f>
        <v> min</v>
      </c>
      <c r="AA894" s="5" t="str">
        <f>IFERROR(__xludf.DUMMYFUNCTION("IF(REGEXMATCH(Z894, ""Season""), ""TV Show"", ""Movie"")"),"Movie")</f>
        <v>Movie</v>
      </c>
    </row>
    <row r="895">
      <c r="A895" s="1" t="s">
        <v>5388</v>
      </c>
      <c r="B895" s="1" t="s">
        <v>27</v>
      </c>
      <c r="C895" s="1" t="s">
        <v>5389</v>
      </c>
      <c r="D895" s="1" t="s">
        <v>532</v>
      </c>
      <c r="E895" s="1" t="s">
        <v>5390</v>
      </c>
      <c r="G895" s="7">
        <v>44329.0</v>
      </c>
      <c r="H895" s="1">
        <v>2020.0</v>
      </c>
      <c r="I895" s="1" t="s">
        <v>97</v>
      </c>
      <c r="J895" s="1" t="s">
        <v>1838</v>
      </c>
      <c r="K895" s="1" t="s">
        <v>2892</v>
      </c>
      <c r="L895" s="1" t="s">
        <v>5391</v>
      </c>
      <c r="M895" s="2" t="s">
        <v>12</v>
      </c>
      <c r="N895" s="4">
        <f t="shared" si="1"/>
        <v>44329</v>
      </c>
      <c r="O895" s="5" t="str">
        <f>IFERROR(__xludf.DUMMYFUNCTION("IF(REGEXMATCH(TRIM(I895), ""^\d+\s*min""), ""Unclassified"", IF(I895 = """", ""NR"", I895))"),"TV-14")</f>
        <v>TV-14</v>
      </c>
      <c r="R895" s="5" t="str">
        <f t="shared" si="2"/>
        <v>Wave Of Cinema: Filosofi Kopi</v>
      </c>
      <c r="S895" s="5" t="str">
        <f>IFERROR(__xludf.DUMMYFUNCTION("""COMPUTED_VALUE"""),"Behind The Curve")</f>
        <v>Behind The Curve</v>
      </c>
      <c r="U895" s="5" t="str">
        <f>IFERROR(__xludf.DUMMYFUNCTION("""COMPUTED_VALUE"""),"Thomas Toby Parkinson")</f>
        <v>Thomas Toby Parkinson</v>
      </c>
      <c r="V895" s="5" t="s">
        <v>5392</v>
      </c>
      <c r="W895" s="5" t="str">
        <f t="shared" si="3"/>
        <v>Damon Cardasis</v>
      </c>
      <c r="X895" s="5">
        <f t="shared" si="4"/>
        <v>1</v>
      </c>
      <c r="Y895" s="5" t="str">
        <f>IFERROR(__xludf.DUMMYFUNCTION("REGEXEXTRACT(J895, ""^\d+"")"),"64")</f>
        <v>64</v>
      </c>
      <c r="Z895" s="5" t="str">
        <f>IFERROR(__xludf.DUMMYFUNCTION("REGEXEXTRACT(J895, ""[A-Za-z ]+$"")")," min")</f>
        <v> min</v>
      </c>
      <c r="AA895" s="5" t="str">
        <f>IFERROR(__xludf.DUMMYFUNCTION("IF(REGEXMATCH(Z895, ""Season""), ""TV Show"", ""Movie"")"),"Movie")</f>
        <v>Movie</v>
      </c>
    </row>
    <row r="896">
      <c r="A896" s="1" t="s">
        <v>5393</v>
      </c>
      <c r="B896" s="1" t="s">
        <v>27</v>
      </c>
      <c r="C896" s="1" t="s">
        <v>5394</v>
      </c>
      <c r="D896" s="1" t="s">
        <v>5395</v>
      </c>
      <c r="E896" s="1" t="s">
        <v>5396</v>
      </c>
      <c r="F896" s="1" t="s">
        <v>5397</v>
      </c>
      <c r="G896" s="7">
        <v>44328.0</v>
      </c>
      <c r="H896" s="1">
        <v>2021.0</v>
      </c>
      <c r="I896" s="1" t="s">
        <v>42</v>
      </c>
      <c r="J896" s="1" t="s">
        <v>416</v>
      </c>
      <c r="K896" s="1" t="s">
        <v>89</v>
      </c>
      <c r="L896" s="1" t="s">
        <v>5398</v>
      </c>
      <c r="M896" s="2" t="s">
        <v>12</v>
      </c>
      <c r="N896" s="4">
        <f t="shared" si="1"/>
        <v>44328</v>
      </c>
      <c r="O896" s="5" t="str">
        <f>IFERROR(__xludf.DUMMYFUNCTION("IF(REGEXMATCH(TRIM(I896), ""^\d+\s*min""), ""Unclassified"", IF(I896 = """", ""NR"", I896))"),"TV-MA")</f>
        <v>TV-MA</v>
      </c>
      <c r="R896" s="5" t="str">
        <f t="shared" si="2"/>
        <v>Dance Of The Forty One</v>
      </c>
      <c r="S896" s="5" t="str">
        <f>IFERROR(__xludf.DUMMYFUNCTION("""COMPUTED_VALUE"""),"Behind The Newsroom")</f>
        <v>Behind The Newsroom</v>
      </c>
      <c r="U896" s="5" t="str">
        <f>IFERROR(__xludf.DUMMYFUNCTION("""COMPUTED_VALUE"""),"John Putch")</f>
        <v>John Putch</v>
      </c>
      <c r="V896" s="5" t="s">
        <v>5399</v>
      </c>
      <c r="W896" s="5" t="str">
        <f t="shared" si="3"/>
        <v>Dan Forgione, Pete Jacobs, Matt Whitlock</v>
      </c>
      <c r="X896" s="5">
        <f t="shared" si="4"/>
        <v>1</v>
      </c>
      <c r="Y896" s="5" t="str">
        <f>IFERROR(__xludf.DUMMYFUNCTION("REGEXEXTRACT(J896, ""^\d+"")"),"99")</f>
        <v>99</v>
      </c>
      <c r="Z896" s="5" t="str">
        <f>IFERROR(__xludf.DUMMYFUNCTION("REGEXEXTRACT(J896, ""[A-Za-z ]+$"")")," min")</f>
        <v> min</v>
      </c>
      <c r="AA896" s="5" t="str">
        <f>IFERROR(__xludf.DUMMYFUNCTION("IF(REGEXMATCH(Z896, ""Season""), ""TV Show"", ""Movie"")"),"Movie")</f>
        <v>Movie</v>
      </c>
    </row>
    <row r="897">
      <c r="A897" s="1" t="s">
        <v>5400</v>
      </c>
      <c r="B897" s="1" t="s">
        <v>27</v>
      </c>
      <c r="C897" s="1" t="s">
        <v>5401</v>
      </c>
      <c r="D897" s="1" t="s">
        <v>1230</v>
      </c>
      <c r="E897" s="1" t="s">
        <v>5402</v>
      </c>
      <c r="F897" s="1" t="s">
        <v>718</v>
      </c>
      <c r="G897" s="7">
        <v>44328.0</v>
      </c>
      <c r="H897" s="1">
        <v>2021.0</v>
      </c>
      <c r="I897" s="1" t="s">
        <v>97</v>
      </c>
      <c r="J897" s="1" t="s">
        <v>447</v>
      </c>
      <c r="K897" s="1" t="s">
        <v>298</v>
      </c>
      <c r="L897" s="1" t="s">
        <v>5403</v>
      </c>
      <c r="M897" s="2" t="s">
        <v>12</v>
      </c>
      <c r="N897" s="4">
        <f t="shared" si="1"/>
        <v>44328</v>
      </c>
      <c r="O897" s="5" t="str">
        <f>IFERROR(__xludf.DUMMYFUNCTION("IF(REGEXMATCH(TRIM(I897), ""^\d+\s*min""), ""Unclassified"", IF(I897 = """", ""NR"", I897))"),"TV-14")</f>
        <v>TV-14</v>
      </c>
      <c r="R897" s="5" t="str">
        <f t="shared" si="2"/>
        <v>Oxygen</v>
      </c>
      <c r="S897" s="5" t="str">
        <f>IFERROR(__xludf.DUMMYFUNCTION("""COMPUTED_VALUE"""),"Behzat Ç.")</f>
        <v>Behzat Ç.</v>
      </c>
      <c r="U897" s="5" t="str">
        <f>IFERROR(__xludf.DUMMYFUNCTION("""COMPUTED_VALUE"""),"Sam Macaroni")</f>
        <v>Sam Macaroni</v>
      </c>
      <c r="V897" s="5" t="s">
        <v>5404</v>
      </c>
      <c r="W897" s="5" t="str">
        <f t="shared" si="3"/>
        <v>Dan Forrer</v>
      </c>
      <c r="X897" s="5">
        <f t="shared" si="4"/>
        <v>2</v>
      </c>
      <c r="Y897" s="5" t="str">
        <f>IFERROR(__xludf.DUMMYFUNCTION("REGEXEXTRACT(J897, ""^\d+"")"),"102")</f>
        <v>102</v>
      </c>
      <c r="Z897" s="5" t="str">
        <f>IFERROR(__xludf.DUMMYFUNCTION("REGEXEXTRACT(J897, ""[A-Za-z ]+$"")")," min")</f>
        <v> min</v>
      </c>
      <c r="AA897" s="5" t="str">
        <f>IFERROR(__xludf.DUMMYFUNCTION("IF(REGEXMATCH(Z897, ""Season""), ""TV Show"", ""Movie"")"),"Movie")</f>
        <v>Movie</v>
      </c>
    </row>
    <row r="898">
      <c r="A898" s="1" t="s">
        <v>5405</v>
      </c>
      <c r="B898" s="1" t="s">
        <v>37</v>
      </c>
      <c r="C898" s="1" t="s">
        <v>5406</v>
      </c>
      <c r="E898" s="1" t="s">
        <v>5407</v>
      </c>
      <c r="F898" s="1" t="s">
        <v>30</v>
      </c>
      <c r="G898" s="7">
        <v>44328.0</v>
      </c>
      <c r="H898" s="1">
        <v>2021.0</v>
      </c>
      <c r="I898" s="1" t="s">
        <v>97</v>
      </c>
      <c r="J898" s="1" t="s">
        <v>51</v>
      </c>
      <c r="K898" s="1" t="s">
        <v>270</v>
      </c>
      <c r="L898" s="1" t="s">
        <v>5408</v>
      </c>
      <c r="M898" s="2" t="s">
        <v>12</v>
      </c>
      <c r="N898" s="4">
        <f t="shared" si="1"/>
        <v>44328</v>
      </c>
      <c r="O898" s="5" t="str">
        <f>IFERROR(__xludf.DUMMYFUNCTION("IF(REGEXMATCH(TRIM(I898), ""^\d+\s*min""), ""Unclassified"", IF(I898 = """", ""NR"", I898))"),"TV-14")</f>
        <v>TV-14</v>
      </c>
      <c r="R898" s="5" t="str">
        <f t="shared" si="2"/>
        <v>The Upshaws</v>
      </c>
      <c r="S898" s="5" t="str">
        <f>IFERROR(__xludf.DUMMYFUNCTION("""COMPUTED_VALUE"""),"Beiimaan Love")</f>
        <v>Beiimaan Love</v>
      </c>
      <c r="U898" s="5" t="str">
        <f>IFERROR(__xludf.DUMMYFUNCTION("""COMPUTED_VALUE"""),"George C. Wolfe")</f>
        <v>George C. Wolfe</v>
      </c>
      <c r="V898" s="5" t="s">
        <v>5409</v>
      </c>
      <c r="W898" s="5" t="str">
        <f t="shared" si="3"/>
        <v>Dan Fraga, William Lau</v>
      </c>
      <c r="X898" s="5">
        <f t="shared" si="4"/>
        <v>1</v>
      </c>
      <c r="Y898" s="5" t="str">
        <f>IFERROR(__xludf.DUMMYFUNCTION("REGEXEXTRACT(J898, ""^\d+"")"),"1")</f>
        <v>1</v>
      </c>
      <c r="Z898" s="5" t="str">
        <f>IFERROR(__xludf.DUMMYFUNCTION("REGEXEXTRACT(J898, ""[A-Za-z ]+$"")")," Season")</f>
        <v> Season</v>
      </c>
      <c r="AA898" s="5" t="str">
        <f>IFERROR(__xludf.DUMMYFUNCTION("IF(REGEXMATCH(Z898, ""Season""), ""TV Show"", ""Movie"")"),"TV Show")</f>
        <v>TV Show</v>
      </c>
    </row>
    <row r="899">
      <c r="A899" s="1" t="s">
        <v>5410</v>
      </c>
      <c r="B899" s="1" t="s">
        <v>37</v>
      </c>
      <c r="C899" s="1" t="s">
        <v>5411</v>
      </c>
      <c r="D899" s="1" t="s">
        <v>4067</v>
      </c>
      <c r="E899" s="1" t="s">
        <v>5412</v>
      </c>
      <c r="G899" s="7">
        <v>44328.0</v>
      </c>
      <c r="H899" s="1">
        <v>2021.0</v>
      </c>
      <c r="I899" s="1" t="s">
        <v>97</v>
      </c>
      <c r="J899" s="1" t="s">
        <v>51</v>
      </c>
      <c r="K899" s="1" t="s">
        <v>64</v>
      </c>
      <c r="L899" s="1" t="s">
        <v>5413</v>
      </c>
      <c r="M899" s="2" t="s">
        <v>12</v>
      </c>
      <c r="N899" s="4">
        <f t="shared" si="1"/>
        <v>44328</v>
      </c>
      <c r="O899" s="5" t="str">
        <f>IFERROR(__xludf.DUMMYFUNCTION("IF(REGEXMATCH(TRIM(I899), ""^\d+\s*min""), ""Unclassified"", IF(I899 = """", ""NR"", I899))"),"TV-14")</f>
        <v>TV-14</v>
      </c>
      <c r="R899" s="5" t="str">
        <f t="shared" si="2"/>
        <v>Use For My Talent</v>
      </c>
      <c r="S899" s="5" t="str">
        <f>IFERROR(__xludf.DUMMYFUNCTION("""COMPUTED_VALUE"""),"Being Ap")</f>
        <v>Being Ap</v>
      </c>
      <c r="U899" s="5" t="str">
        <f>IFERROR(__xludf.DUMMYFUNCTION("""COMPUTED_VALUE"""),"Yasmin Ahmad")</f>
        <v>Yasmin Ahmad</v>
      </c>
      <c r="V899" s="5" t="s">
        <v>5414</v>
      </c>
      <c r="W899" s="5" t="str">
        <f t="shared" si="3"/>
        <v>Dan Gilroy</v>
      </c>
      <c r="X899" s="5">
        <f t="shared" si="4"/>
        <v>2</v>
      </c>
      <c r="Y899" s="5" t="str">
        <f>IFERROR(__xludf.DUMMYFUNCTION("REGEXEXTRACT(J899, ""^\d+"")"),"1")</f>
        <v>1</v>
      </c>
      <c r="Z899" s="5" t="str">
        <f>IFERROR(__xludf.DUMMYFUNCTION("REGEXEXTRACT(J899, ""[A-Za-z ]+$"")")," Season")</f>
        <v> Season</v>
      </c>
      <c r="AA899" s="5" t="str">
        <f>IFERROR(__xludf.DUMMYFUNCTION("IF(REGEXMATCH(Z899, ""Season""), ""TV Show"", ""Movie"")"),"TV Show")</f>
        <v>TV Show</v>
      </c>
    </row>
    <row r="900">
      <c r="A900" s="1" t="s">
        <v>5415</v>
      </c>
      <c r="B900" s="1" t="s">
        <v>27</v>
      </c>
      <c r="C900" s="1" t="s">
        <v>5416</v>
      </c>
      <c r="D900" s="1" t="s">
        <v>5417</v>
      </c>
      <c r="E900" s="1" t="s">
        <v>5418</v>
      </c>
      <c r="G900" s="7">
        <v>44327.0</v>
      </c>
      <c r="H900" s="1">
        <v>2020.0</v>
      </c>
      <c r="I900" s="1" t="s">
        <v>97</v>
      </c>
      <c r="J900" s="1" t="s">
        <v>3458</v>
      </c>
      <c r="K900" s="1" t="s">
        <v>583</v>
      </c>
      <c r="L900" s="1" t="s">
        <v>5419</v>
      </c>
      <c r="M900" s="2" t="s">
        <v>12</v>
      </c>
      <c r="N900" s="4">
        <f t="shared" si="1"/>
        <v>44327</v>
      </c>
      <c r="O900" s="5" t="str">
        <f>IFERROR(__xludf.DUMMYFUNCTION("IF(REGEXMATCH(TRIM(I900), ""^\d+\s*min""), ""Unclassified"", IF(I900 = """", ""NR"", I900))"),"TV-14")</f>
        <v>TV-14</v>
      </c>
      <c r="R900" s="5" t="str">
        <f t="shared" si="2"/>
        <v>Dear Affy</v>
      </c>
      <c r="S900" s="5" t="str">
        <f>IFERROR(__xludf.DUMMYFUNCTION("""COMPUTED_VALUE"""),"Being Elmo: A Puppeteer'S Journey")</f>
        <v>Being Elmo: A Puppeteer'S Journey</v>
      </c>
      <c r="U900" s="5" t="str">
        <f>IFERROR(__xludf.DUMMYFUNCTION("""COMPUTED_VALUE"""),"Sudha Kongara, Vignesh Shivan, Gautham Vasudev Menon, Vetri Maaran")</f>
        <v>Sudha Kongara, Vignesh Shivan, Gautham Vasudev Menon, Vetri Maaran</v>
      </c>
      <c r="V900" s="5" t="s">
        <v>5420</v>
      </c>
      <c r="W900" s="5" t="str">
        <f t="shared" si="3"/>
        <v>Dan Harris</v>
      </c>
      <c r="X900" s="5">
        <f t="shared" si="4"/>
        <v>1</v>
      </c>
      <c r="Y900" s="5" t="str">
        <f>IFERROR(__xludf.DUMMYFUNCTION("REGEXEXTRACT(J900, ""^\d+"")"),"126")</f>
        <v>126</v>
      </c>
      <c r="Z900" s="5" t="str">
        <f>IFERROR(__xludf.DUMMYFUNCTION("REGEXEXTRACT(J900, ""[A-Za-z ]+$"")")," min")</f>
        <v> min</v>
      </c>
      <c r="AA900" s="5" t="str">
        <f>IFERROR(__xludf.DUMMYFUNCTION("IF(REGEXMATCH(Z900, ""Season""), ""TV Show"", ""Movie"")"),"Movie")</f>
        <v>Movie</v>
      </c>
    </row>
    <row r="901">
      <c r="A901" s="1" t="s">
        <v>5421</v>
      </c>
      <c r="B901" s="1" t="s">
        <v>27</v>
      </c>
      <c r="C901" s="1" t="s">
        <v>5422</v>
      </c>
      <c r="D901" s="1" t="s">
        <v>5423</v>
      </c>
      <c r="E901" s="1" t="s">
        <v>5424</v>
      </c>
      <c r="F901" s="1" t="s">
        <v>784</v>
      </c>
      <c r="G901" s="7">
        <v>44327.0</v>
      </c>
      <c r="H901" s="1">
        <v>2020.0</v>
      </c>
      <c r="I901" s="1" t="s">
        <v>42</v>
      </c>
      <c r="J901" s="1" t="s">
        <v>804</v>
      </c>
      <c r="K901" s="1" t="s">
        <v>128</v>
      </c>
      <c r="L901" s="1" t="s">
        <v>5425</v>
      </c>
      <c r="M901" s="2" t="s">
        <v>12</v>
      </c>
      <c r="N901" s="4">
        <f t="shared" si="1"/>
        <v>44327</v>
      </c>
      <c r="O901" s="5" t="str">
        <f>IFERROR(__xludf.DUMMYFUNCTION("IF(REGEXMATCH(TRIM(I901), ""^\d+\s*min""), ""Unclassified"", IF(I901 = """", ""NR"", I901))"),"TV-MA")</f>
        <v>TV-MA</v>
      </c>
      <c r="R901" s="5" t="str">
        <f t="shared" si="2"/>
        <v>Illegal Woman</v>
      </c>
      <c r="S901" s="5" t="str">
        <f>IFERROR(__xludf.DUMMYFUNCTION("""COMPUTED_VALUE"""),"Being Mary Jane: The Series")</f>
        <v>Being Mary Jane: The Series</v>
      </c>
      <c r="U901" s="5" t="str">
        <f>IFERROR(__xludf.DUMMYFUNCTION("""COMPUTED_VALUE"""),"Juan Camilo Pinzon")</f>
        <v>Juan Camilo Pinzon</v>
      </c>
      <c r="V901" s="5" t="s">
        <v>5426</v>
      </c>
      <c r="W901" s="5" t="str">
        <f t="shared" si="3"/>
        <v>Dan Krauss</v>
      </c>
      <c r="X901" s="5">
        <f t="shared" si="4"/>
        <v>1</v>
      </c>
      <c r="Y901" s="5" t="str">
        <f>IFERROR(__xludf.DUMMYFUNCTION("REGEXEXTRACT(J901, ""^\d+"")"),"119")</f>
        <v>119</v>
      </c>
      <c r="Z901" s="5" t="str">
        <f>IFERROR(__xludf.DUMMYFUNCTION("REGEXEXTRACT(J901, ""[A-Za-z ]+$"")")," min")</f>
        <v> min</v>
      </c>
      <c r="AA901" s="5" t="str">
        <f>IFERROR(__xludf.DUMMYFUNCTION("IF(REGEXMATCH(Z901, ""Season""), ""TV Show"", ""Movie"")"),"Movie")</f>
        <v>Movie</v>
      </c>
    </row>
    <row r="902">
      <c r="A902" s="1" t="s">
        <v>5427</v>
      </c>
      <c r="B902" s="1" t="s">
        <v>37</v>
      </c>
      <c r="C902" s="1" t="s">
        <v>5428</v>
      </c>
      <c r="F902" s="1" t="s">
        <v>30</v>
      </c>
      <c r="G902" s="7">
        <v>44327.0</v>
      </c>
      <c r="H902" s="1">
        <v>2021.0</v>
      </c>
      <c r="I902" s="1" t="s">
        <v>97</v>
      </c>
      <c r="J902" s="1" t="s">
        <v>51</v>
      </c>
      <c r="K902" s="1" t="s">
        <v>1261</v>
      </c>
      <c r="L902" s="1" t="s">
        <v>5429</v>
      </c>
      <c r="M902" s="2" t="s">
        <v>12</v>
      </c>
      <c r="N902" s="4">
        <f t="shared" si="1"/>
        <v>44327</v>
      </c>
      <c r="O902" s="5" t="str">
        <f>IFERROR(__xludf.DUMMYFUNCTION("IF(REGEXMATCH(TRIM(I902), ""^\d+\s*min""), ""Unclassified"", IF(I902 = """", ""NR"", I902))"),"TV-14")</f>
        <v>TV-14</v>
      </c>
      <c r="R902" s="5" t="str">
        <f t="shared" si="2"/>
        <v>Money, Explained</v>
      </c>
      <c r="S902" s="5" t="str">
        <f>IFERROR(__xludf.DUMMYFUNCTION("""COMPUTED_VALUE"""),"Being Mrs Elliot")</f>
        <v>Being Mrs Elliot</v>
      </c>
      <c r="U902" s="5" t="str">
        <f>IFERROR(__xludf.DUMMYFUNCTION("""COMPUTED_VALUE"""),"Lin Oeding")</f>
        <v>Lin Oeding</v>
      </c>
      <c r="V902" s="5" t="s">
        <v>5430</v>
      </c>
      <c r="W902" s="5" t="str">
        <f t="shared" si="3"/>
        <v>Dan Kwan, Daniel Scheinert</v>
      </c>
      <c r="X902" s="5">
        <f t="shared" si="4"/>
        <v>1</v>
      </c>
      <c r="Y902" s="5" t="str">
        <f>IFERROR(__xludf.DUMMYFUNCTION("REGEXEXTRACT(J902, ""^\d+"")"),"1")</f>
        <v>1</v>
      </c>
      <c r="Z902" s="5" t="str">
        <f>IFERROR(__xludf.DUMMYFUNCTION("REGEXEXTRACT(J902, ""[A-Za-z ]+$"")")," Season")</f>
        <v> Season</v>
      </c>
      <c r="AA902" s="5" t="str">
        <f>IFERROR(__xludf.DUMMYFUNCTION("IF(REGEXMATCH(Z902, ""Season""), ""TV Show"", ""Movie"")"),"TV Show")</f>
        <v>TV Show</v>
      </c>
    </row>
    <row r="903">
      <c r="A903" s="1" t="s">
        <v>5431</v>
      </c>
      <c r="B903" s="1" t="s">
        <v>27</v>
      </c>
      <c r="C903" s="1" t="s">
        <v>5432</v>
      </c>
      <c r="D903" s="1" t="s">
        <v>5433</v>
      </c>
      <c r="E903" s="1" t="s">
        <v>5434</v>
      </c>
      <c r="F903" s="1" t="s">
        <v>30</v>
      </c>
      <c r="G903" s="7">
        <v>44326.0</v>
      </c>
      <c r="H903" s="1">
        <v>2019.0</v>
      </c>
      <c r="I903" s="1" t="s">
        <v>136</v>
      </c>
      <c r="J903" s="1" t="s">
        <v>1144</v>
      </c>
      <c r="K903" s="1" t="s">
        <v>5435</v>
      </c>
      <c r="L903" s="1" t="s">
        <v>5436</v>
      </c>
      <c r="M903" s="2" t="s">
        <v>12</v>
      </c>
      <c r="N903" s="4">
        <f t="shared" si="1"/>
        <v>44326</v>
      </c>
      <c r="O903" s="5" t="str">
        <f>IFERROR(__xludf.DUMMYFUNCTION("IF(REGEXMATCH(TRIM(I903), ""^\d+\s*min""), ""Unclassified"", IF(I903 = """", ""NR"", I903))"),"TV-PG")</f>
        <v>TV-PG</v>
      </c>
      <c r="R903" s="5" t="str">
        <f t="shared" si="2"/>
        <v>Deadly Switch</v>
      </c>
      <c r="S903" s="5" t="str">
        <f>IFERROR(__xludf.DUMMYFUNCTION("""COMPUTED_VALUE"""),"Being Napoleon")</f>
        <v>Being Napoleon</v>
      </c>
      <c r="U903" s="5" t="str">
        <f>IFERROR(__xludf.DUMMYFUNCTION("""COMPUTED_VALUE"""),"Naya Anindita")</f>
        <v>Naya Anindita</v>
      </c>
      <c r="V903" s="5" t="s">
        <v>5437</v>
      </c>
      <c r="W903" s="5" t="str">
        <f t="shared" si="3"/>
        <v>Dan Lucchesi</v>
      </c>
      <c r="X903" s="5">
        <f t="shared" si="4"/>
        <v>1</v>
      </c>
      <c r="Y903" s="5" t="str">
        <f>IFERROR(__xludf.DUMMYFUNCTION("REGEXEXTRACT(J903, ""^\d+"")"),"86")</f>
        <v>86</v>
      </c>
      <c r="Z903" s="5" t="str">
        <f>IFERROR(__xludf.DUMMYFUNCTION("REGEXEXTRACT(J903, ""[A-Za-z ]+$"")")," min")</f>
        <v> min</v>
      </c>
      <c r="AA903" s="5" t="str">
        <f>IFERROR(__xludf.DUMMYFUNCTION("IF(REGEXMATCH(Z903, ""Season""), ""TV Show"", ""Movie"")"),"Movie")</f>
        <v>Movie</v>
      </c>
    </row>
    <row r="904">
      <c r="A904" s="1" t="s">
        <v>5438</v>
      </c>
      <c r="B904" s="1" t="s">
        <v>37</v>
      </c>
      <c r="C904" s="1" t="s">
        <v>5439</v>
      </c>
      <c r="E904" s="1" t="s">
        <v>5440</v>
      </c>
      <c r="F904" s="1" t="s">
        <v>749</v>
      </c>
      <c r="G904" s="7">
        <v>44325.0</v>
      </c>
      <c r="H904" s="1">
        <v>2021.0</v>
      </c>
      <c r="I904" s="1" t="s">
        <v>97</v>
      </c>
      <c r="J904" s="1" t="s">
        <v>51</v>
      </c>
      <c r="K904" s="1" t="s">
        <v>402</v>
      </c>
      <c r="L904" s="1" t="s">
        <v>5441</v>
      </c>
      <c r="M904" s="2" t="s">
        <v>12</v>
      </c>
      <c r="N904" s="4">
        <f t="shared" si="1"/>
        <v>44325</v>
      </c>
      <c r="O904" s="5" t="str">
        <f>IFERROR(__xludf.DUMMYFUNCTION("IF(REGEXMATCH(TRIM(I904), ""^\d+\s*min""), ""Unclassified"", IF(I904 = """", ""NR"", I904))"),"TV-14")</f>
        <v>TV-14</v>
      </c>
      <c r="R904" s="5" t="str">
        <f t="shared" si="2"/>
        <v>Mine</v>
      </c>
      <c r="S904" s="5" t="str">
        <f>IFERROR(__xludf.DUMMYFUNCTION("""COMPUTED_VALUE"""),"Beirut Oh Beirut")</f>
        <v>Beirut Oh Beirut</v>
      </c>
      <c r="U904" s="5" t="str">
        <f>IFERROR(__xludf.DUMMYFUNCTION("""COMPUTED_VALUE"""),"Alexx Media")</f>
        <v>Alexx Media</v>
      </c>
      <c r="V904" s="5" t="s">
        <v>5442</v>
      </c>
      <c r="W904" s="5" t="str">
        <f t="shared" si="3"/>
        <v>Dan Villegas</v>
      </c>
      <c r="X904" s="5">
        <f t="shared" si="4"/>
        <v>4</v>
      </c>
      <c r="Y904" s="5" t="str">
        <f>IFERROR(__xludf.DUMMYFUNCTION("REGEXEXTRACT(J904, ""^\d+"")"),"1")</f>
        <v>1</v>
      </c>
      <c r="Z904" s="5" t="str">
        <f>IFERROR(__xludf.DUMMYFUNCTION("REGEXEXTRACT(J904, ""[A-Za-z ]+$"")")," Season")</f>
        <v> Season</v>
      </c>
      <c r="AA904" s="5" t="str">
        <f>IFERROR(__xludf.DUMMYFUNCTION("IF(REGEXMATCH(Z904, ""Season""), ""TV Show"", ""Movie"")"),"TV Show")</f>
        <v>TV Show</v>
      </c>
    </row>
    <row r="905">
      <c r="A905" s="1" t="s">
        <v>5443</v>
      </c>
      <c r="B905" s="1" t="s">
        <v>27</v>
      </c>
      <c r="C905" s="1" t="s">
        <v>5444</v>
      </c>
      <c r="D905" s="1" t="s">
        <v>5445</v>
      </c>
      <c r="E905" s="1" t="s">
        <v>5446</v>
      </c>
      <c r="F905" s="1" t="s">
        <v>63</v>
      </c>
      <c r="G905" s="7">
        <v>44325.0</v>
      </c>
      <c r="H905" s="1">
        <v>2021.0</v>
      </c>
      <c r="I905" s="1" t="s">
        <v>42</v>
      </c>
      <c r="J905" s="1" t="s">
        <v>393</v>
      </c>
      <c r="K905" s="1" t="s">
        <v>298</v>
      </c>
      <c r="L905" s="1" t="s">
        <v>5447</v>
      </c>
      <c r="M905" s="2" t="s">
        <v>12</v>
      </c>
      <c r="N905" s="4">
        <f t="shared" si="1"/>
        <v>44325</v>
      </c>
      <c r="O905" s="5" t="str">
        <f>IFERROR(__xludf.DUMMYFUNCTION("IF(REGEXMATCH(TRIM(I905), ""^\d+\s*min""), ""Unclassified"", IF(I905 = """", ""NR"", I905))"),"TV-MA")</f>
        <v>TV-MA</v>
      </c>
      <c r="R905" s="5" t="str">
        <f t="shared" si="2"/>
        <v>Nayattu</v>
      </c>
      <c r="S905" s="5" t="str">
        <f>IFERROR(__xludf.DUMMYFUNCTION("""COMPUTED_VALUE"""),"Belgica")</f>
        <v>Belgica</v>
      </c>
      <c r="U905" s="5" t="str">
        <f>IFERROR(__xludf.DUMMYFUNCTION("""COMPUTED_VALUE"""),"Farishad I. Latjuba")</f>
        <v>Farishad I. Latjuba</v>
      </c>
      <c r="V905" s="5" t="s">
        <v>5448</v>
      </c>
      <c r="W905" s="5" t="str">
        <f t="shared" si="3"/>
        <v>Dana Doron, Uriel Sinai</v>
      </c>
      <c r="X905" s="5">
        <f t="shared" si="4"/>
        <v>1</v>
      </c>
      <c r="Y905" s="5" t="str">
        <f>IFERROR(__xludf.DUMMYFUNCTION("REGEXEXTRACT(J905, ""^\d+"")"),"122")</f>
        <v>122</v>
      </c>
      <c r="Z905" s="5" t="str">
        <f>IFERROR(__xludf.DUMMYFUNCTION("REGEXEXTRACT(J905, ""[A-Za-z ]+$"")")," min")</f>
        <v> min</v>
      </c>
      <c r="AA905" s="5" t="str">
        <f>IFERROR(__xludf.DUMMYFUNCTION("IF(REGEXMATCH(Z905, ""Season""), ""TV Show"", ""Movie"")"),"Movie")</f>
        <v>Movie</v>
      </c>
    </row>
    <row r="906">
      <c r="A906" s="1" t="s">
        <v>5449</v>
      </c>
      <c r="B906" s="1" t="s">
        <v>27</v>
      </c>
      <c r="C906" s="1" t="s">
        <v>5450</v>
      </c>
      <c r="D906" s="1" t="s">
        <v>5451</v>
      </c>
      <c r="E906" s="1" t="s">
        <v>5452</v>
      </c>
      <c r="F906" s="1" t="s">
        <v>30</v>
      </c>
      <c r="G906" s="7">
        <v>44324.0</v>
      </c>
      <c r="H906" s="1">
        <v>2017.0</v>
      </c>
      <c r="I906" s="1" t="s">
        <v>378</v>
      </c>
      <c r="J906" s="1" t="s">
        <v>465</v>
      </c>
      <c r="K906" s="1" t="s">
        <v>380</v>
      </c>
      <c r="L906" s="1" t="s">
        <v>5453</v>
      </c>
      <c r="M906" s="2" t="s">
        <v>12</v>
      </c>
      <c r="N906" s="4">
        <f t="shared" si="1"/>
        <v>44324</v>
      </c>
      <c r="O906" s="5" t="str">
        <f>IFERROR(__xludf.DUMMYFUNCTION("IF(REGEXMATCH(TRIM(I906), ""^\d+\s*min""), ""Unclassified"", IF(I906 = """", ""NR"", I906))"),"R")</f>
        <v>R</v>
      </c>
      <c r="R906" s="5" t="str">
        <f t="shared" si="2"/>
        <v>Sleepless</v>
      </c>
      <c r="S906" s="5" t="str">
        <f>IFERROR(__xludf.DUMMYFUNCTION("""COMPUTED_VALUE"""),"Belief: The Possession Of Janet Moses")</f>
        <v>Belief: The Possession Of Janet Moses</v>
      </c>
      <c r="U906" s="5" t="str">
        <f>IFERROR(__xludf.DUMMYFUNCTION("""COMPUTED_VALUE"""),"Andrucha Waddington, Pedro Waddington")</f>
        <v>Andrucha Waddington, Pedro Waddington</v>
      </c>
      <c r="V906" s="5" t="s">
        <v>5454</v>
      </c>
      <c r="W906" s="5" t="str">
        <f t="shared" si="3"/>
        <v>Dana Nachman, Don Hardy Jr.</v>
      </c>
      <c r="X906" s="5">
        <f t="shared" si="4"/>
        <v>1</v>
      </c>
      <c r="Y906" s="5" t="str">
        <f>IFERROR(__xludf.DUMMYFUNCTION("REGEXEXTRACT(J906, ""^\d+"")"),"95")</f>
        <v>95</v>
      </c>
      <c r="Z906" s="5" t="str">
        <f>IFERROR(__xludf.DUMMYFUNCTION("REGEXEXTRACT(J906, ""[A-Za-z ]+$"")")," min")</f>
        <v> min</v>
      </c>
      <c r="AA906" s="5" t="str">
        <f>IFERROR(__xludf.DUMMYFUNCTION("IF(REGEXMATCH(Z906, ""Season""), ""TV Show"", ""Movie"")"),"Movie")</f>
        <v>Movie</v>
      </c>
    </row>
    <row r="907">
      <c r="A907" s="1" t="s">
        <v>5455</v>
      </c>
      <c r="B907" s="1" t="s">
        <v>27</v>
      </c>
      <c r="C907" s="1" t="s">
        <v>5456</v>
      </c>
      <c r="D907" s="1" t="s">
        <v>5457</v>
      </c>
      <c r="E907" s="1" t="s">
        <v>5458</v>
      </c>
      <c r="F907" s="1" t="s">
        <v>3892</v>
      </c>
      <c r="G907" s="7">
        <v>44324.0</v>
      </c>
      <c r="H907" s="1">
        <v>2021.0</v>
      </c>
      <c r="I907" s="1" t="s">
        <v>97</v>
      </c>
      <c r="J907" s="1" t="s">
        <v>106</v>
      </c>
      <c r="K907" s="1" t="s">
        <v>306</v>
      </c>
      <c r="L907" s="1" t="s">
        <v>5459</v>
      </c>
      <c r="M907" s="2" t="s">
        <v>12</v>
      </c>
      <c r="N907" s="4">
        <f t="shared" si="1"/>
        <v>44324</v>
      </c>
      <c r="O907" s="5" t="str">
        <f>IFERROR(__xludf.DUMMYFUNCTION("IF(REGEXMATCH(TRIM(I907), ""^\d+\s*min""), ""Unclassified"", IF(I907 = """", ""NR"", I907))"),"TV-14")</f>
        <v>TV-14</v>
      </c>
      <c r="R907" s="5" t="str">
        <f t="shared" si="2"/>
        <v>Super Me</v>
      </c>
      <c r="S907" s="5" t="str">
        <f>IFERROR(__xludf.DUMMYFUNCTION("""COMPUTED_VALUE"""),"Bella And The Bulldogs")</f>
        <v>Bella And The Bulldogs</v>
      </c>
      <c r="U907" s="5" t="str">
        <f>IFERROR(__xludf.DUMMYFUNCTION("""COMPUTED_VALUE"""),"Picky Talarico")</f>
        <v>Picky Talarico</v>
      </c>
      <c r="V907" s="5" t="s">
        <v>5460</v>
      </c>
      <c r="W907" s="5" t="str">
        <f t="shared" si="3"/>
        <v>Dani De La Orden</v>
      </c>
      <c r="X907" s="5">
        <f t="shared" si="4"/>
        <v>1</v>
      </c>
      <c r="Y907" s="5" t="str">
        <f>IFERROR(__xludf.DUMMYFUNCTION("REGEXEXTRACT(J907, ""^\d+"")"),"104")</f>
        <v>104</v>
      </c>
      <c r="Z907" s="5" t="str">
        <f>IFERROR(__xludf.DUMMYFUNCTION("REGEXEXTRACT(J907, ""[A-Za-z ]+$"")")," min")</f>
        <v> min</v>
      </c>
      <c r="AA907" s="5" t="str">
        <f>IFERROR(__xludf.DUMMYFUNCTION("IF(REGEXMATCH(Z907, ""Season""), ""TV Show"", ""Movie"")"),"Movie")</f>
        <v>Movie</v>
      </c>
    </row>
    <row r="908">
      <c r="A908" s="1" t="s">
        <v>5461</v>
      </c>
      <c r="B908" s="1" t="s">
        <v>27</v>
      </c>
      <c r="C908" s="1" t="s">
        <v>5462</v>
      </c>
      <c r="D908" s="1" t="s">
        <v>5463</v>
      </c>
      <c r="E908" s="1" t="s">
        <v>5464</v>
      </c>
      <c r="F908" s="1" t="s">
        <v>188</v>
      </c>
      <c r="G908" s="7">
        <v>44323.0</v>
      </c>
      <c r="H908" s="1">
        <v>1999.0</v>
      </c>
      <c r="I908" s="1" t="s">
        <v>42</v>
      </c>
      <c r="J908" s="1" t="s">
        <v>870</v>
      </c>
      <c r="K908" s="1" t="s">
        <v>128</v>
      </c>
      <c r="L908" s="1" t="s">
        <v>5465</v>
      </c>
      <c r="M908" s="2" t="s">
        <v>12</v>
      </c>
      <c r="N908" s="4">
        <f t="shared" si="1"/>
        <v>44323</v>
      </c>
      <c r="O908" s="5" t="str">
        <f>IFERROR(__xludf.DUMMYFUNCTION("IF(REGEXMATCH(TRIM(I908), ""^\d+\s*min""), ""Unclassified"", IF(I908 = """", ""NR"", I908))"),"TV-MA")</f>
        <v>TV-MA</v>
      </c>
      <c r="R908" s="5" t="str">
        <f t="shared" si="2"/>
        <v>Have You Ever Seen Fireflies? - Theatre Play</v>
      </c>
      <c r="S908" s="5" t="str">
        <f>IFERROR(__xludf.DUMMYFUNCTION("""COMPUTED_VALUE"""),"Belmonte")</f>
        <v>Belmonte</v>
      </c>
      <c r="U908" s="5" t="str">
        <f>IFERROR(__xludf.DUMMYFUNCTION("""COMPUTED_VALUE"""),"Jun Lana")</f>
        <v>Jun Lana</v>
      </c>
      <c r="V908" s="5" t="s">
        <v>5466</v>
      </c>
      <c r="W908" s="5" t="str">
        <f t="shared" si="3"/>
        <v>Dani De La Torre</v>
      </c>
      <c r="X908" s="5">
        <f t="shared" si="4"/>
        <v>1</v>
      </c>
      <c r="Y908" s="5" t="str">
        <f>IFERROR(__xludf.DUMMYFUNCTION("REGEXEXTRACT(J908, ""^\d+"")"),"118")</f>
        <v>118</v>
      </c>
      <c r="Z908" s="5" t="str">
        <f>IFERROR(__xludf.DUMMYFUNCTION("REGEXEXTRACT(J908, ""[A-Za-z ]+$"")")," min")</f>
        <v> min</v>
      </c>
      <c r="AA908" s="5" t="str">
        <f>IFERROR(__xludf.DUMMYFUNCTION("IF(REGEXMATCH(Z908, ""Season""), ""TV Show"", ""Movie"")"),"Movie")</f>
        <v>Movie</v>
      </c>
    </row>
    <row r="909">
      <c r="A909" s="1" t="s">
        <v>5467</v>
      </c>
      <c r="B909" s="1" t="s">
        <v>27</v>
      </c>
      <c r="C909" s="1" t="s">
        <v>5468</v>
      </c>
      <c r="D909" s="1" t="s">
        <v>5469</v>
      </c>
      <c r="F909" s="1" t="s">
        <v>30</v>
      </c>
      <c r="G909" s="7">
        <v>44323.0</v>
      </c>
      <c r="H909" s="1">
        <v>2020.0</v>
      </c>
      <c r="I909" s="1" t="s">
        <v>42</v>
      </c>
      <c r="J909" s="1" t="s">
        <v>471</v>
      </c>
      <c r="K909" s="1" t="s">
        <v>34</v>
      </c>
      <c r="L909" s="1" t="s">
        <v>5470</v>
      </c>
      <c r="M909" s="2" t="s">
        <v>12</v>
      </c>
      <c r="N909" s="4">
        <f t="shared" si="1"/>
        <v>44323</v>
      </c>
      <c r="O909" s="5" t="str">
        <f>IFERROR(__xludf.DUMMYFUNCTION("IF(REGEXMATCH(TRIM(I909), ""^\d+\s*min""), ""Unclassified"", IF(I909 = """", ""NR"", I909))"),"TV-MA")</f>
        <v>TV-MA</v>
      </c>
      <c r="R909" s="5" t="str">
        <f t="shared" si="2"/>
        <v>In Our Mothers' Gardens</v>
      </c>
      <c r="S909" s="5" t="str">
        <f>IFERROR(__xludf.DUMMYFUNCTION("""COMPUTED_VALUE"""),"Below Her Mouth")</f>
        <v>Below Her Mouth</v>
      </c>
      <c r="U909" s="5" t="str">
        <f>IFERROR(__xludf.DUMMYFUNCTION("""COMPUTED_VALUE"""),"Brad Peyton")</f>
        <v>Brad Peyton</v>
      </c>
      <c r="V909" s="5" t="s">
        <v>5471</v>
      </c>
      <c r="W909" s="5" t="str">
        <f t="shared" si="3"/>
        <v>Dani Levy</v>
      </c>
      <c r="X909" s="5">
        <f t="shared" si="4"/>
        <v>1</v>
      </c>
      <c r="Y909" s="5" t="str">
        <f>IFERROR(__xludf.DUMMYFUNCTION("REGEXEXTRACT(J909, ""^\d+"")"),"85")</f>
        <v>85</v>
      </c>
      <c r="Z909" s="5" t="str">
        <f>IFERROR(__xludf.DUMMYFUNCTION("REGEXEXTRACT(J909, ""[A-Za-z ]+$"")")," min")</f>
        <v> min</v>
      </c>
      <c r="AA909" s="5" t="str">
        <f>IFERROR(__xludf.DUMMYFUNCTION("IF(REGEXMATCH(Z909, ""Season""), ""TV Show"", ""Movie"")"),"Movie")</f>
        <v>Movie</v>
      </c>
    </row>
    <row r="910">
      <c r="A910" s="1" t="s">
        <v>5472</v>
      </c>
      <c r="B910" s="1" t="s">
        <v>37</v>
      </c>
      <c r="C910" s="1" t="s">
        <v>5473</v>
      </c>
      <c r="E910" s="1" t="s">
        <v>5474</v>
      </c>
      <c r="F910" s="1" t="s">
        <v>30</v>
      </c>
      <c r="G910" s="7">
        <v>44323.0</v>
      </c>
      <c r="H910" s="1">
        <v>2021.0</v>
      </c>
      <c r="I910" s="1" t="s">
        <v>42</v>
      </c>
      <c r="J910" s="1" t="s">
        <v>51</v>
      </c>
      <c r="K910" s="1" t="s">
        <v>2583</v>
      </c>
      <c r="L910" s="1" t="s">
        <v>5475</v>
      </c>
      <c r="M910" s="2" t="s">
        <v>12</v>
      </c>
      <c r="N910" s="4">
        <f t="shared" si="1"/>
        <v>44323</v>
      </c>
      <c r="O910" s="5" t="str">
        <f>IFERROR(__xludf.DUMMYFUNCTION("IF(REGEXMATCH(TRIM(I910), ""^\d+\s*min""), ""Unclassified"", IF(I910 = """", ""NR"", I910))"),"TV-MA")</f>
        <v>TV-MA</v>
      </c>
      <c r="R910" s="5" t="str">
        <f t="shared" si="2"/>
        <v>Jupiter'S Legacy</v>
      </c>
      <c r="S910" s="5" t="str">
        <f>IFERROR(__xludf.DUMMYFUNCTION("""COMPUTED_VALUE"""),"Below Zero")</f>
        <v>Below Zero</v>
      </c>
      <c r="U910" s="5" t="str">
        <f>IFERROR(__xludf.DUMMYFUNCTION("""COMPUTED_VALUE"""),"Lee Daniels")</f>
        <v>Lee Daniels</v>
      </c>
      <c r="V910" s="5" t="s">
        <v>5476</v>
      </c>
      <c r="W910" s="5" t="str">
        <f t="shared" si="3"/>
        <v>Daniel Ablin</v>
      </c>
      <c r="X910" s="5">
        <f t="shared" si="4"/>
        <v>1</v>
      </c>
      <c r="Y910" s="5" t="str">
        <f>IFERROR(__xludf.DUMMYFUNCTION("REGEXEXTRACT(J910, ""^\d+"")"),"1")</f>
        <v>1</v>
      </c>
      <c r="Z910" s="5" t="str">
        <f>IFERROR(__xludf.DUMMYFUNCTION("REGEXEXTRACT(J910, ""[A-Za-z ]+$"")")," Season")</f>
        <v> Season</v>
      </c>
      <c r="AA910" s="5" t="str">
        <f>IFERROR(__xludf.DUMMYFUNCTION("IF(REGEXMATCH(Z910, ""Season""), ""TV Show"", ""Movie"")"),"TV Show")</f>
        <v>TV Show</v>
      </c>
    </row>
    <row r="911">
      <c r="A911" s="1" t="s">
        <v>5477</v>
      </c>
      <c r="B911" s="1" t="s">
        <v>27</v>
      </c>
      <c r="C911" s="1" t="s">
        <v>5478</v>
      </c>
      <c r="D911" s="1" t="s">
        <v>5479</v>
      </c>
      <c r="E911" s="1" t="s">
        <v>5480</v>
      </c>
      <c r="F911" s="1" t="s">
        <v>63</v>
      </c>
      <c r="G911" s="7">
        <v>44323.0</v>
      </c>
      <c r="H911" s="1">
        <v>2021.0</v>
      </c>
      <c r="I911" s="1" t="s">
        <v>97</v>
      </c>
      <c r="J911" s="1" t="s">
        <v>357</v>
      </c>
      <c r="K911" s="1" t="s">
        <v>89</v>
      </c>
      <c r="L911" s="1" t="s">
        <v>5481</v>
      </c>
      <c r="M911" s="2" t="s">
        <v>12</v>
      </c>
      <c r="N911" s="4">
        <f t="shared" si="1"/>
        <v>44323</v>
      </c>
      <c r="O911" s="5" t="str">
        <f>IFERROR(__xludf.DUMMYFUNCTION("IF(REGEXMATCH(TRIM(I911), ""^\d+\s*min""), ""Unclassified"", IF(I911 = """", ""NR"", I911))"),"TV-14")</f>
        <v>TV-14</v>
      </c>
      <c r="R911" s="5" t="str">
        <f t="shared" si="2"/>
        <v>Milestone</v>
      </c>
      <c r="S911" s="5" t="str">
        <f>IFERROR(__xludf.DUMMYFUNCTION("""COMPUTED_VALUE"""),"Ben &amp; Holly'S Little Kingdom")</f>
        <v>Ben &amp; Holly'S Little Kingdom</v>
      </c>
      <c r="U911" s="5" t="str">
        <f>IFERROR(__xludf.DUMMYFUNCTION("""COMPUTED_VALUE"""),"Tom Ford")</f>
        <v>Tom Ford</v>
      </c>
      <c r="V911" s="5" t="s">
        <v>5482</v>
      </c>
      <c r="W911" s="5" t="str">
        <f t="shared" si="3"/>
        <v>Daniel Alfredson</v>
      </c>
      <c r="X911" s="5">
        <f t="shared" si="4"/>
        <v>2</v>
      </c>
      <c r="Y911" s="5" t="str">
        <f>IFERROR(__xludf.DUMMYFUNCTION("REGEXEXTRACT(J911, ""^\d+"")"),"98")</f>
        <v>98</v>
      </c>
      <c r="Z911" s="5" t="str">
        <f>IFERROR(__xludf.DUMMYFUNCTION("REGEXEXTRACT(J911, ""[A-Za-z ]+$"")")," min")</f>
        <v> min</v>
      </c>
      <c r="AA911" s="5" t="str">
        <f>IFERROR(__xludf.DUMMYFUNCTION("IF(REGEXMATCH(Z911, ""Season""), ""TV Show"", ""Movie"")"),"Movie")</f>
        <v>Movie</v>
      </c>
    </row>
    <row r="912">
      <c r="A912" s="1" t="s">
        <v>5483</v>
      </c>
      <c r="B912" s="1" t="s">
        <v>27</v>
      </c>
      <c r="C912" s="1" t="s">
        <v>5484</v>
      </c>
      <c r="D912" s="1" t="s">
        <v>2269</v>
      </c>
      <c r="E912" s="1" t="s">
        <v>5485</v>
      </c>
      <c r="F912" s="1" t="s">
        <v>30</v>
      </c>
      <c r="G912" s="7">
        <v>44323.0</v>
      </c>
      <c r="H912" s="1">
        <v>2021.0</v>
      </c>
      <c r="I912" s="1" t="s">
        <v>42</v>
      </c>
      <c r="J912" s="1" t="s">
        <v>416</v>
      </c>
      <c r="K912" s="1" t="s">
        <v>805</v>
      </c>
      <c r="L912" s="1" t="s">
        <v>5486</v>
      </c>
      <c r="M912" s="2" t="s">
        <v>12</v>
      </c>
      <c r="N912" s="4">
        <f t="shared" si="1"/>
        <v>44323</v>
      </c>
      <c r="O912" s="5" t="str">
        <f>IFERROR(__xludf.DUMMYFUNCTION("IF(REGEXMATCH(TRIM(I912), ""^\d+\s*min""), ""Unclassified"", IF(I912 = """", ""NR"", I912))"),"TV-MA")</f>
        <v>TV-MA</v>
      </c>
      <c r="R912" s="5" t="str">
        <f t="shared" si="2"/>
        <v>Monster</v>
      </c>
      <c r="S912" s="5" t="str">
        <f>IFERROR(__xludf.DUMMYFUNCTION("""COMPUTED_VALUE"""),"Ben 10")</f>
        <v>Ben 10</v>
      </c>
      <c r="U912" s="5" t="str">
        <f>IFERROR(__xludf.DUMMYFUNCTION("""COMPUTED_VALUE"""),"Ellena Wood, Jesse Vile")</f>
        <v>Ellena Wood, Jesse Vile</v>
      </c>
      <c r="V912" s="5" t="s">
        <v>5487</v>
      </c>
      <c r="W912" s="5" t="str">
        <f t="shared" si="3"/>
        <v>Daniel Arasanz</v>
      </c>
      <c r="X912" s="5">
        <f t="shared" si="4"/>
        <v>1</v>
      </c>
      <c r="Y912" s="5" t="str">
        <f>IFERROR(__xludf.DUMMYFUNCTION("REGEXEXTRACT(J912, ""^\d+"")"),"99")</f>
        <v>99</v>
      </c>
      <c r="Z912" s="5" t="str">
        <f>IFERROR(__xludf.DUMMYFUNCTION("REGEXEXTRACT(J912, ""[A-Za-z ]+$"")")," min")</f>
        <v> min</v>
      </c>
      <c r="AA912" s="5" t="str">
        <f>IFERROR(__xludf.DUMMYFUNCTION("IF(REGEXMATCH(Z912, ""Season""), ""TV Show"", ""Movie"")"),"Movie")</f>
        <v>Movie</v>
      </c>
    </row>
    <row r="913">
      <c r="A913" s="1" t="s">
        <v>5488</v>
      </c>
      <c r="B913" s="1" t="s">
        <v>37</v>
      </c>
      <c r="C913" s="1" t="s">
        <v>5489</v>
      </c>
      <c r="D913" s="1" t="s">
        <v>5490</v>
      </c>
      <c r="F913" s="1" t="s">
        <v>63</v>
      </c>
      <c r="G913" s="7">
        <v>44323.0</v>
      </c>
      <c r="H913" s="1">
        <v>2017.0</v>
      </c>
      <c r="I913" s="1" t="s">
        <v>289</v>
      </c>
      <c r="J913" s="1" t="s">
        <v>43</v>
      </c>
      <c r="K913" s="1" t="s">
        <v>314</v>
      </c>
      <c r="L913" s="1" t="s">
        <v>5491</v>
      </c>
      <c r="M913" s="2" t="s">
        <v>12</v>
      </c>
      <c r="N913" s="4">
        <f t="shared" si="1"/>
        <v>44323</v>
      </c>
      <c r="O913" s="5" t="str">
        <f>IFERROR(__xludf.DUMMYFUNCTION("IF(REGEXMATCH(TRIM(I913), ""^\d+\s*min""), ""Unclassified"", IF(I913 = """", ""NR"", I913))"),"TV-Y7")</f>
        <v>TV-Y7</v>
      </c>
      <c r="R913" s="5" t="str">
        <f t="shared" si="2"/>
        <v>Sab Jholmaal Hai</v>
      </c>
      <c r="S913" s="5" t="str">
        <f>IFERROR(__xludf.DUMMYFUNCTION("""COMPUTED_VALUE"""),"Ben Platt Live From Radio City Music Hall")</f>
        <v>Ben Platt Live From Radio City Music Hall</v>
      </c>
      <c r="U913" s="5" t="str">
        <f>IFERROR(__xludf.DUMMYFUNCTION("""COMPUTED_VALUE"""),"Vir Das")</f>
        <v>Vir Das</v>
      </c>
      <c r="V913" s="5" t="s">
        <v>4669</v>
      </c>
      <c r="W913" s="5" t="str">
        <f t="shared" si="3"/>
        <v>Daniel Benmayor</v>
      </c>
      <c r="X913" s="5">
        <f t="shared" si="4"/>
        <v>2</v>
      </c>
      <c r="Y913" s="5" t="str">
        <f>IFERROR(__xludf.DUMMYFUNCTION("REGEXEXTRACT(J913, ""^\d+"")"),"2")</f>
        <v>2</v>
      </c>
      <c r="Z913" s="5" t="str">
        <f>IFERROR(__xludf.DUMMYFUNCTION("REGEXEXTRACT(J913, ""[A-Za-z ]+$"")")," Seasons")</f>
        <v> Seasons</v>
      </c>
      <c r="AA913" s="5" t="str">
        <f>IFERROR(__xludf.DUMMYFUNCTION("IF(REGEXMATCH(Z913, ""Season""), ""TV Show"", ""Movie"")"),"TV Show")</f>
        <v>TV Show</v>
      </c>
    </row>
    <row r="914">
      <c r="A914" s="1" t="s">
        <v>5492</v>
      </c>
      <c r="B914" s="1" t="s">
        <v>27</v>
      </c>
      <c r="C914" s="1" t="s">
        <v>5493</v>
      </c>
      <c r="E914" s="1" t="s">
        <v>2976</v>
      </c>
      <c r="G914" s="7">
        <v>44323.0</v>
      </c>
      <c r="H914" s="1">
        <v>2021.0</v>
      </c>
      <c r="I914" s="1" t="s">
        <v>97</v>
      </c>
      <c r="J914" s="1" t="s">
        <v>5494</v>
      </c>
      <c r="K914" s="1" t="s">
        <v>239</v>
      </c>
      <c r="L914" s="1" t="s">
        <v>5495</v>
      </c>
      <c r="M914" s="2" t="s">
        <v>12</v>
      </c>
      <c r="N914" s="4">
        <f t="shared" si="1"/>
        <v>44323</v>
      </c>
      <c r="O914" s="5" t="str">
        <f>IFERROR(__xludf.DUMMYFUNCTION("IF(REGEXMATCH(TRIM(I914), ""^\d+\s*min""), ""Unclassified"", IF(I914 = """", ""NR"", I914))"),"TV-14")</f>
        <v>TV-14</v>
      </c>
      <c r="R914" s="5" t="str">
        <f t="shared" si="2"/>
        <v>The Circle - The Afterparty</v>
      </c>
      <c r="S914" s="5" t="str">
        <f>IFERROR(__xludf.DUMMYFUNCTION("""COMPUTED_VALUE"""),"Benchwarmers 2: Breaking Balls")</f>
        <v>Benchwarmers 2: Breaking Balls</v>
      </c>
      <c r="U914" s="5" t="str">
        <f>IFERROR(__xludf.DUMMYFUNCTION("""COMPUTED_VALUE"""),"Miranda De Pencier")</f>
        <v>Miranda De Pencier</v>
      </c>
      <c r="V914" s="5" t="s">
        <v>5496</v>
      </c>
      <c r="W914" s="5" t="str">
        <f t="shared" si="3"/>
        <v>Daniel Burman</v>
      </c>
      <c r="X914" s="5">
        <f t="shared" si="4"/>
        <v>1</v>
      </c>
      <c r="Y914" s="5" t="str">
        <f>IFERROR(__xludf.DUMMYFUNCTION("REGEXEXTRACT(J914, ""^\d+"")"),"35")</f>
        <v>35</v>
      </c>
      <c r="Z914" s="5" t="str">
        <f>IFERROR(__xludf.DUMMYFUNCTION("REGEXEXTRACT(J914, ""[A-Za-z ]+$"")")," min")</f>
        <v> min</v>
      </c>
      <c r="AA914" s="5" t="str">
        <f>IFERROR(__xludf.DUMMYFUNCTION("IF(REGEXMATCH(Z914, ""Season""), ""TV Show"", ""Movie"")"),"Movie")</f>
        <v>Movie</v>
      </c>
    </row>
    <row r="915">
      <c r="A915" s="1" t="s">
        <v>5497</v>
      </c>
      <c r="B915" s="1" t="s">
        <v>27</v>
      </c>
      <c r="C915" s="1" t="s">
        <v>5498</v>
      </c>
      <c r="D915" s="1" t="s">
        <v>5499</v>
      </c>
      <c r="E915" s="1" t="s">
        <v>5500</v>
      </c>
      <c r="F915" s="1" t="s">
        <v>63</v>
      </c>
      <c r="G915" s="7">
        <v>44323.0</v>
      </c>
      <c r="H915" s="1">
        <v>2020.0</v>
      </c>
      <c r="I915" s="1" t="s">
        <v>136</v>
      </c>
      <c r="J915" s="1" t="s">
        <v>1256</v>
      </c>
      <c r="K915" s="1" t="s">
        <v>679</v>
      </c>
      <c r="L915" s="1" t="s">
        <v>5501</v>
      </c>
      <c r="M915" s="2" t="s">
        <v>12</v>
      </c>
      <c r="N915" s="4">
        <f t="shared" si="1"/>
        <v>44323</v>
      </c>
      <c r="O915" s="5" t="str">
        <f>IFERROR(__xludf.DUMMYFUNCTION("IF(REGEXMATCH(TRIM(I915), ""^\d+\s*min""), ""Unclassified"", IF(I915 = """", ""NR"", I915))"),"TV-PG")</f>
        <v>TV-PG</v>
      </c>
      <c r="R915" s="5" t="str">
        <f t="shared" si="2"/>
        <v>Time To Dance</v>
      </c>
      <c r="S915" s="5" t="str">
        <f>IFERROR(__xludf.DUMMYFUNCTION("""COMPUTED_VALUE"""),"Bending The Arc")</f>
        <v>Bending The Arc</v>
      </c>
      <c r="U915" s="5" t="str">
        <f>IFERROR(__xludf.DUMMYFUNCTION("""COMPUTED_VALUE"""),"Farhad Safinia")</f>
        <v>Farhad Safinia</v>
      </c>
      <c r="V915" s="5" t="s">
        <v>5502</v>
      </c>
      <c r="W915" s="5" t="str">
        <f t="shared" si="3"/>
        <v>Daniel Calparsoro</v>
      </c>
      <c r="X915" s="5">
        <f t="shared" si="4"/>
        <v>2</v>
      </c>
      <c r="Y915" s="5" t="str">
        <f>IFERROR(__xludf.DUMMYFUNCTION("REGEXEXTRACT(J915, ""^\d+"")"),"107")</f>
        <v>107</v>
      </c>
      <c r="Z915" s="5" t="str">
        <f>IFERROR(__xludf.DUMMYFUNCTION("REGEXEXTRACT(J915, ""[A-Za-z ]+$"")")," min")</f>
        <v> min</v>
      </c>
      <c r="AA915" s="5" t="str">
        <f>IFERROR(__xludf.DUMMYFUNCTION("IF(REGEXMATCH(Z915, ""Season""), ""TV Show"", ""Movie"")"),"Movie")</f>
        <v>Movie</v>
      </c>
    </row>
    <row r="916">
      <c r="A916" s="1" t="s">
        <v>5503</v>
      </c>
      <c r="B916" s="1" t="s">
        <v>27</v>
      </c>
      <c r="C916" s="1" t="s">
        <v>5504</v>
      </c>
      <c r="D916" s="1" t="s">
        <v>5505</v>
      </c>
      <c r="E916" s="1" t="s">
        <v>5506</v>
      </c>
      <c r="F916" s="1" t="s">
        <v>686</v>
      </c>
      <c r="G916" s="7">
        <v>44323.0</v>
      </c>
      <c r="H916" s="1">
        <v>2017.0</v>
      </c>
      <c r="I916" s="1" t="s">
        <v>42</v>
      </c>
      <c r="J916" s="1" t="s">
        <v>247</v>
      </c>
      <c r="K916" s="1" t="s">
        <v>34</v>
      </c>
      <c r="L916" s="1" t="s">
        <v>5507</v>
      </c>
      <c r="M916" s="2" t="s">
        <v>12</v>
      </c>
      <c r="N916" s="4">
        <f t="shared" si="1"/>
        <v>44323</v>
      </c>
      <c r="O916" s="5" t="str">
        <f>IFERROR(__xludf.DUMMYFUNCTION("IF(REGEXMATCH(TRIM(I916), ""^\d+\s*min""), ""Unclassified"", IF(I916 = """", ""NR"", I916))"),"TV-MA")</f>
        <v>TV-MA</v>
      </c>
      <c r="R916" s="5" t="str">
        <f t="shared" si="2"/>
        <v>Unrest</v>
      </c>
      <c r="S916" s="5" t="str">
        <f>IFERROR(__xludf.DUMMYFUNCTION("""COMPUTED_VALUE"""),"Beneath The Leaves")</f>
        <v>Beneath The Leaves</v>
      </c>
      <c r="U916" s="5" t="str">
        <f>IFERROR(__xludf.DUMMYFUNCTION("""COMPUTED_VALUE"""),"Shaun Paul Piccinino")</f>
        <v>Shaun Paul Piccinino</v>
      </c>
      <c r="V916" s="5" t="s">
        <v>5508</v>
      </c>
      <c r="W916" s="5" t="str">
        <f t="shared" si="3"/>
        <v>Daniel Effiong</v>
      </c>
      <c r="X916" s="5">
        <f t="shared" si="4"/>
        <v>1</v>
      </c>
      <c r="Y916" s="5" t="str">
        <f>IFERROR(__xludf.DUMMYFUNCTION("REGEXEXTRACT(J916, ""^\d+"")"),"97")</f>
        <v>97</v>
      </c>
      <c r="Z916" s="5" t="str">
        <f>IFERROR(__xludf.DUMMYFUNCTION("REGEXEXTRACT(J916, ""[A-Za-z ]+$"")")," min")</f>
        <v> min</v>
      </c>
      <c r="AA916" s="5" t="str">
        <f>IFERROR(__xludf.DUMMYFUNCTION("IF(REGEXMATCH(Z916, ""Season""), ""TV Show"", ""Movie"")"),"Movie")</f>
        <v>Movie</v>
      </c>
    </row>
    <row r="917">
      <c r="A917" s="1" t="s">
        <v>5509</v>
      </c>
      <c r="B917" s="1" t="s">
        <v>27</v>
      </c>
      <c r="C917" s="1" t="s">
        <v>5510</v>
      </c>
      <c r="D917" s="1" t="s">
        <v>5511</v>
      </c>
      <c r="E917" s="1" t="s">
        <v>5512</v>
      </c>
      <c r="F917" s="1" t="s">
        <v>5513</v>
      </c>
      <c r="G917" s="7">
        <v>44322.0</v>
      </c>
      <c r="H917" s="1">
        <v>2020.0</v>
      </c>
      <c r="I917" s="1" t="s">
        <v>42</v>
      </c>
      <c r="J917" s="1" t="s">
        <v>1243</v>
      </c>
      <c r="K917" s="1" t="s">
        <v>298</v>
      </c>
      <c r="L917" s="1" t="s">
        <v>5514</v>
      </c>
      <c r="M917" s="2" t="s">
        <v>12</v>
      </c>
      <c r="N917" s="4">
        <f t="shared" si="1"/>
        <v>44322</v>
      </c>
      <c r="O917" s="5" t="str">
        <f>IFERROR(__xludf.DUMMYFUNCTION("IF(REGEXMATCH(TRIM(I917), ""^\d+\s*min""), ""Unclassified"", IF(I917 = """", ""NR"", I917))"),"TV-MA")</f>
        <v>TV-MA</v>
      </c>
      <c r="R917" s="5" t="str">
        <f t="shared" si="2"/>
        <v>And Tomorrow The Entire World</v>
      </c>
      <c r="S917" s="5" t="str">
        <f>IFERROR(__xludf.DUMMYFUNCTION("""COMPUTED_VALUE"""),"Benji")</f>
        <v>Benji</v>
      </c>
      <c r="U917" s="5" t="str">
        <f>IFERROR(__xludf.DUMMYFUNCTION("""COMPUTED_VALUE"""),"Eddie Rosas")</f>
        <v>Eddie Rosas</v>
      </c>
      <c r="V917" s="5" t="s">
        <v>375</v>
      </c>
      <c r="W917" s="5" t="str">
        <f t="shared" si="3"/>
        <v>Daniel Espinosa</v>
      </c>
      <c r="X917" s="5">
        <f t="shared" si="4"/>
        <v>1</v>
      </c>
      <c r="Y917" s="5" t="str">
        <f>IFERROR(__xludf.DUMMYFUNCTION("REGEXEXTRACT(J917, ""^\d+"")"),"112")</f>
        <v>112</v>
      </c>
      <c r="Z917" s="5" t="str">
        <f>IFERROR(__xludf.DUMMYFUNCTION("REGEXEXTRACT(J917, ""[A-Za-z ]+$"")")," min")</f>
        <v> min</v>
      </c>
      <c r="AA917" s="5" t="str">
        <f>IFERROR(__xludf.DUMMYFUNCTION("IF(REGEXMATCH(Z917, ""Season""), ""TV Show"", ""Movie"")"),"Movie")</f>
        <v>Movie</v>
      </c>
    </row>
    <row r="918">
      <c r="A918" s="1" t="s">
        <v>5515</v>
      </c>
      <c r="B918" s="1" t="s">
        <v>27</v>
      </c>
      <c r="C918" s="1" t="s">
        <v>5516</v>
      </c>
      <c r="D918" s="1" t="s">
        <v>5517</v>
      </c>
      <c r="E918" s="1" t="s">
        <v>5518</v>
      </c>
      <c r="F918" s="1" t="s">
        <v>30</v>
      </c>
      <c r="G918" s="7">
        <v>44322.0</v>
      </c>
      <c r="H918" s="1">
        <v>2013.0</v>
      </c>
      <c r="I918" s="1" t="s">
        <v>378</v>
      </c>
      <c r="J918" s="1" t="s">
        <v>870</v>
      </c>
      <c r="K918" s="1" t="s">
        <v>380</v>
      </c>
      <c r="L918" s="1" t="s">
        <v>5519</v>
      </c>
      <c r="M918" s="2" t="s">
        <v>12</v>
      </c>
      <c r="N918" s="4">
        <f t="shared" si="1"/>
        <v>44322</v>
      </c>
      <c r="O918" s="5" t="str">
        <f>IFERROR(__xludf.DUMMYFUNCTION("IF(REGEXMATCH(TRIM(I918), ""^\d+\s*min""), ""Unclassified"", IF(I918 = """", ""NR"", I918))"),"R")</f>
        <v>R</v>
      </c>
      <c r="R918" s="5" t="str">
        <f t="shared" si="2"/>
        <v>Dead Man Down</v>
      </c>
      <c r="S918" s="5" t="str">
        <f>IFERROR(__xludf.DUMMYFUNCTION("""COMPUTED_VALUE"""),"Benji: Off The Leash")</f>
        <v>Benji: Off The Leash</v>
      </c>
      <c r="U918" s="5" t="str">
        <f>IFERROR(__xludf.DUMMYFUNCTION("""COMPUTED_VALUE"""),"Frank E. Abney Iii")</f>
        <v>Frank E. Abney Iii</v>
      </c>
      <c r="V918" s="5" t="s">
        <v>5520</v>
      </c>
      <c r="W918" s="5" t="str">
        <f t="shared" si="3"/>
        <v>Daniel Goldhaber</v>
      </c>
      <c r="X918" s="5">
        <f t="shared" si="4"/>
        <v>1</v>
      </c>
      <c r="Y918" s="5" t="str">
        <f>IFERROR(__xludf.DUMMYFUNCTION("REGEXEXTRACT(J918, ""^\d+"")"),"118")</f>
        <v>118</v>
      </c>
      <c r="Z918" s="5" t="str">
        <f>IFERROR(__xludf.DUMMYFUNCTION("REGEXEXTRACT(J918, ""[A-Za-z ]+$"")")," min")</f>
        <v> min</v>
      </c>
      <c r="AA918" s="5" t="str">
        <f>IFERROR(__xludf.DUMMYFUNCTION("IF(REGEXMATCH(Z918, ""Season""), ""TV Show"", ""Movie"")"),"Movie")</f>
        <v>Movie</v>
      </c>
    </row>
    <row r="919">
      <c r="A919" s="1" t="s">
        <v>5521</v>
      </c>
      <c r="B919" s="1" t="s">
        <v>27</v>
      </c>
      <c r="C919" s="1" t="s">
        <v>5522</v>
      </c>
      <c r="D919" s="1" t="s">
        <v>5523</v>
      </c>
      <c r="E919" s="1" t="s">
        <v>5524</v>
      </c>
      <c r="F919" s="1" t="s">
        <v>30</v>
      </c>
      <c r="G919" s="7">
        <v>44321.0</v>
      </c>
      <c r="H919" s="1">
        <v>2019.0</v>
      </c>
      <c r="I919" s="1" t="s">
        <v>42</v>
      </c>
      <c r="J919" s="1" t="s">
        <v>1065</v>
      </c>
      <c r="K919" s="1" t="s">
        <v>5525</v>
      </c>
      <c r="L919" s="1" t="s">
        <v>5526</v>
      </c>
      <c r="M919" s="2" t="s">
        <v>12</v>
      </c>
      <c r="N919" s="4">
        <f t="shared" si="1"/>
        <v>44321</v>
      </c>
      <c r="O919" s="5" t="str">
        <f>IFERROR(__xludf.DUMMYFUNCTION("IF(REGEXMATCH(TRIM(I919), ""^\d+\s*min""), ""Unclassified"", IF(I919 = """", ""NR"", I919))"),"TV-MA")</f>
        <v>TV-MA</v>
      </c>
      <c r="R919" s="5" t="str">
        <f t="shared" si="2"/>
        <v>Framing John Delorean</v>
      </c>
      <c r="S919" s="5" t="str">
        <f>IFERROR(__xludf.DUMMYFUNCTION("""COMPUTED_VALUE"""),"Benji'S Very Own Christmas Story")</f>
        <v>Benji'S Very Own Christmas Story</v>
      </c>
      <c r="U919" s="5" t="str">
        <f>IFERROR(__xludf.DUMMYFUNCTION("""COMPUTED_VALUE"""),"James D. Stern, Fernando Villena")</f>
        <v>James D. Stern, Fernando Villena</v>
      </c>
      <c r="V919" s="5" t="s">
        <v>5527</v>
      </c>
      <c r="W919" s="5" t="str">
        <f t="shared" si="3"/>
        <v>Daniel Gordon</v>
      </c>
      <c r="X919" s="5">
        <f t="shared" si="4"/>
        <v>1</v>
      </c>
      <c r="Y919" s="5" t="str">
        <f>IFERROR(__xludf.DUMMYFUNCTION("REGEXEXTRACT(J919, ""^\d+"")"),"109")</f>
        <v>109</v>
      </c>
      <c r="Z919" s="5" t="str">
        <f>IFERROR(__xludf.DUMMYFUNCTION("REGEXEXTRACT(J919, ""[A-Za-z ]+$"")")," min")</f>
        <v> min</v>
      </c>
      <c r="AA919" s="5" t="str">
        <f>IFERROR(__xludf.DUMMYFUNCTION("IF(REGEXMATCH(Z919, ""Season""), ""TV Show"", ""Movie"")"),"Movie")</f>
        <v>Movie</v>
      </c>
    </row>
    <row r="920">
      <c r="A920" s="1" t="s">
        <v>5528</v>
      </c>
      <c r="B920" s="1" t="s">
        <v>37</v>
      </c>
      <c r="C920" s="1" t="s">
        <v>5529</v>
      </c>
      <c r="E920" s="1" t="s">
        <v>5530</v>
      </c>
      <c r="F920" s="1" t="s">
        <v>63</v>
      </c>
      <c r="G920" s="7">
        <v>44321.0</v>
      </c>
      <c r="H920" s="1">
        <v>2021.0</v>
      </c>
      <c r="I920" s="1" t="s">
        <v>136</v>
      </c>
      <c r="J920" s="1" t="s">
        <v>51</v>
      </c>
      <c r="K920" s="1" t="s">
        <v>440</v>
      </c>
      <c r="L920" s="1" t="s">
        <v>5531</v>
      </c>
      <c r="M920" s="2" t="s">
        <v>12</v>
      </c>
      <c r="N920" s="4">
        <f t="shared" si="1"/>
        <v>44321</v>
      </c>
      <c r="O920" s="5" t="str">
        <f>IFERROR(__xludf.DUMMYFUNCTION("IF(REGEXMATCH(TRIM(I920), ""^\d+\s*min""), ""Unclassified"", IF(I920 = """", ""NR"", I920))"),"TV-PG")</f>
        <v>TV-PG</v>
      </c>
      <c r="R920" s="5" t="str">
        <f t="shared" si="2"/>
        <v>Lava Ka Dhaava</v>
      </c>
      <c r="S920" s="5" t="str">
        <f>IFERROR(__xludf.DUMMYFUNCTION("""COMPUTED_VALUE"""),"Bennett'S War")</f>
        <v>Bennett'S War</v>
      </c>
      <c r="U920" s="5" t="str">
        <f>IFERROR(__xludf.DUMMYFUNCTION("""COMPUTED_VALUE"""),"Ryan Murphy")</f>
        <v>Ryan Murphy</v>
      </c>
      <c r="V920" s="5" t="s">
        <v>5532</v>
      </c>
      <c r="W920" s="5" t="str">
        <f t="shared" si="3"/>
        <v>Daniel Gray Longino</v>
      </c>
      <c r="X920" s="5">
        <f t="shared" si="4"/>
        <v>2</v>
      </c>
      <c r="Y920" s="5" t="str">
        <f>IFERROR(__xludf.DUMMYFUNCTION("REGEXEXTRACT(J920, ""^\d+"")"),"1")</f>
        <v>1</v>
      </c>
      <c r="Z920" s="5" t="str">
        <f>IFERROR(__xludf.DUMMYFUNCTION("REGEXEXTRACT(J920, ""[A-Za-z ]+$"")")," Season")</f>
        <v> Season</v>
      </c>
      <c r="AA920" s="5" t="str">
        <f>IFERROR(__xludf.DUMMYFUNCTION("IF(REGEXMATCH(Z920, ""Season""), ""TV Show"", ""Movie"")"),"TV Show")</f>
        <v>TV Show</v>
      </c>
    </row>
    <row r="921">
      <c r="A921" s="1" t="s">
        <v>5533</v>
      </c>
      <c r="B921" s="1" t="s">
        <v>37</v>
      </c>
      <c r="C921" s="1" t="s">
        <v>5534</v>
      </c>
      <c r="D921" s="1" t="s">
        <v>5535</v>
      </c>
      <c r="F921" s="1" t="s">
        <v>30</v>
      </c>
      <c r="G921" s="7">
        <v>44321.0</v>
      </c>
      <c r="H921" s="1">
        <v>2021.0</v>
      </c>
      <c r="I921" s="1" t="s">
        <v>42</v>
      </c>
      <c r="J921" s="1" t="s">
        <v>51</v>
      </c>
      <c r="K921" s="1" t="s">
        <v>2043</v>
      </c>
      <c r="L921" s="1" t="s">
        <v>5536</v>
      </c>
      <c r="M921" s="2" t="s">
        <v>12</v>
      </c>
      <c r="N921" s="4">
        <f t="shared" si="1"/>
        <v>44321</v>
      </c>
      <c r="O921" s="5" t="str">
        <f>IFERROR(__xludf.DUMMYFUNCTION("IF(REGEXMATCH(TRIM(I921), ""^\d+\s*min""), ""Unclassified"", IF(I921 = """", ""NR"", I921))"),"TV-MA")</f>
        <v>TV-MA</v>
      </c>
      <c r="R921" s="5" t="str">
        <f t="shared" si="2"/>
        <v>The Sons Of Sam: A Descent Into Darkness</v>
      </c>
      <c r="S921" s="5" t="str">
        <f>IFERROR(__xludf.DUMMYFUNCTION("""COMPUTED_VALUE"""),"Beowulf")</f>
        <v>Beowulf</v>
      </c>
      <c r="U921" s="5" t="str">
        <f>IFERROR(__xludf.DUMMYFUNCTION("""COMPUTED_VALUE"""),"Girish Malik")</f>
        <v>Girish Malik</v>
      </c>
      <c r="V921" s="5" t="s">
        <v>5537</v>
      </c>
      <c r="W921" s="5" t="str">
        <f t="shared" si="3"/>
        <v>Daniel J. Clark</v>
      </c>
      <c r="X921" s="5">
        <f t="shared" si="4"/>
        <v>1</v>
      </c>
      <c r="Y921" s="5" t="str">
        <f>IFERROR(__xludf.DUMMYFUNCTION("REGEXEXTRACT(J921, ""^\d+"")"),"1")</f>
        <v>1</v>
      </c>
      <c r="Z921" s="5" t="str">
        <f>IFERROR(__xludf.DUMMYFUNCTION("REGEXEXTRACT(J921, ""[A-Za-z ]+$"")")," Season")</f>
        <v> Season</v>
      </c>
      <c r="AA921" s="5" t="str">
        <f>IFERROR(__xludf.DUMMYFUNCTION("IF(REGEXMATCH(Z921, ""Season""), ""TV Show"", ""Movie"")"),"TV Show")</f>
        <v>TV Show</v>
      </c>
    </row>
    <row r="922">
      <c r="A922" s="1" t="s">
        <v>5538</v>
      </c>
      <c r="B922" s="1" t="s">
        <v>37</v>
      </c>
      <c r="C922" s="1" t="s">
        <v>5539</v>
      </c>
      <c r="E922" s="1" t="s">
        <v>5540</v>
      </c>
      <c r="F922" s="1" t="s">
        <v>5541</v>
      </c>
      <c r="G922" s="7">
        <v>44320.0</v>
      </c>
      <c r="H922" s="1">
        <v>2020.0</v>
      </c>
      <c r="I922" s="1" t="s">
        <v>136</v>
      </c>
      <c r="J922" s="1" t="s">
        <v>43</v>
      </c>
      <c r="K922" s="1" t="s">
        <v>2709</v>
      </c>
      <c r="L922" s="1" t="s">
        <v>5542</v>
      </c>
      <c r="M922" s="2" t="s">
        <v>12</v>
      </c>
      <c r="N922" s="4">
        <f t="shared" si="1"/>
        <v>44320</v>
      </c>
      <c r="O922" s="5" t="str">
        <f>IFERROR(__xludf.DUMMYFUNCTION("IF(REGEXMATCH(TRIM(I922), ""^\d+\s*min""), ""Unclassified"", IF(I922 = """", ""NR"", I922))"),"TV-PG")</f>
        <v>TV-PG</v>
      </c>
      <c r="R922" s="5" t="str">
        <f t="shared" si="2"/>
        <v>Selena: The Series</v>
      </c>
      <c r="S922" s="5" t="str">
        <f>IFERROR(__xludf.DUMMYFUNCTION("""COMPUTED_VALUE"""),"Berlin Calling")</f>
        <v>Berlin Calling</v>
      </c>
      <c r="U922" s="5" t="str">
        <f>IFERROR(__xludf.DUMMYFUNCTION("""COMPUTED_VALUE"""),"Deepa Mehta")</f>
        <v>Deepa Mehta</v>
      </c>
      <c r="V922" s="5" t="s">
        <v>5543</v>
      </c>
      <c r="W922" s="5" t="str">
        <f t="shared" si="3"/>
        <v>Daniel Joseph</v>
      </c>
      <c r="X922" s="5">
        <f t="shared" si="4"/>
        <v>1</v>
      </c>
      <c r="Y922" s="5" t="str">
        <f>IFERROR(__xludf.DUMMYFUNCTION("REGEXEXTRACT(J922, ""^\d+"")"),"2")</f>
        <v>2</v>
      </c>
      <c r="Z922" s="5" t="str">
        <f>IFERROR(__xludf.DUMMYFUNCTION("REGEXEXTRACT(J922, ""[A-Za-z ]+$"")")," Seasons")</f>
        <v> Seasons</v>
      </c>
      <c r="AA922" s="5" t="str">
        <f>IFERROR(__xludf.DUMMYFUNCTION("IF(REGEXMATCH(Z922, ""Season""), ""TV Show"", ""Movie"")"),"TV Show")</f>
        <v>TV Show</v>
      </c>
    </row>
    <row r="923">
      <c r="A923" s="1" t="s">
        <v>5544</v>
      </c>
      <c r="B923" s="1" t="s">
        <v>37</v>
      </c>
      <c r="C923" s="1" t="s">
        <v>5545</v>
      </c>
      <c r="E923" s="1" t="s">
        <v>5546</v>
      </c>
      <c r="F923" s="1" t="s">
        <v>30</v>
      </c>
      <c r="G923" s="7">
        <v>44320.0</v>
      </c>
      <c r="H923" s="1">
        <v>2018.0</v>
      </c>
      <c r="I923" s="1" t="s">
        <v>42</v>
      </c>
      <c r="J923" s="1" t="s">
        <v>276</v>
      </c>
      <c r="K923" s="1" t="s">
        <v>4118</v>
      </c>
      <c r="L923" s="1" t="s">
        <v>5547</v>
      </c>
      <c r="M923" s="2" t="s">
        <v>12</v>
      </c>
      <c r="N923" s="4">
        <f t="shared" si="1"/>
        <v>44320</v>
      </c>
      <c r="O923" s="5" t="str">
        <f>IFERROR(__xludf.DUMMYFUNCTION("IF(REGEXMATCH(TRIM(I923), ""^\d+\s*min""), ""Unclassified"", IF(I923 = """", ""NR"", I923))"),"TV-MA")</f>
        <v>TV-MA</v>
      </c>
      <c r="R923" s="5" t="str">
        <f t="shared" si="2"/>
        <v>Startup</v>
      </c>
      <c r="S923" s="5" t="str">
        <f>IFERROR(__xludf.DUMMYFUNCTION("""COMPUTED_VALUE"""),"Berlin Kaplani")</f>
        <v>Berlin Kaplani</v>
      </c>
      <c r="U923" s="5" t="str">
        <f>IFERROR(__xludf.DUMMYFUNCTION("""COMPUTED_VALUE"""),"Lai Chun-Yu")</f>
        <v>Lai Chun-Yu</v>
      </c>
      <c r="V923" s="5" t="s">
        <v>5548</v>
      </c>
      <c r="W923" s="5" t="str">
        <f t="shared" si="3"/>
        <v>Daniel Kontur</v>
      </c>
      <c r="X923" s="5">
        <f t="shared" si="4"/>
        <v>2</v>
      </c>
      <c r="Y923" s="5" t="str">
        <f>IFERROR(__xludf.DUMMYFUNCTION("REGEXEXTRACT(J923, ""^\d+"")"),"3")</f>
        <v>3</v>
      </c>
      <c r="Z923" s="5" t="str">
        <f>IFERROR(__xludf.DUMMYFUNCTION("REGEXEXTRACT(J923, ""[A-Za-z ]+$"")")," Seasons")</f>
        <v> Seasons</v>
      </c>
      <c r="AA923" s="5" t="str">
        <f>IFERROR(__xludf.DUMMYFUNCTION("IF(REGEXMATCH(Z923, ""Season""), ""TV Show"", ""Movie"")"),"TV Show")</f>
        <v>TV Show</v>
      </c>
    </row>
    <row r="924">
      <c r="A924" s="1" t="s">
        <v>5549</v>
      </c>
      <c r="B924" s="1" t="s">
        <v>27</v>
      </c>
      <c r="C924" s="1" t="s">
        <v>5550</v>
      </c>
      <c r="D924" s="1" t="s">
        <v>5551</v>
      </c>
      <c r="E924" s="1" t="s">
        <v>5552</v>
      </c>
      <c r="F924" s="1" t="s">
        <v>30</v>
      </c>
      <c r="G924" s="7">
        <v>44320.0</v>
      </c>
      <c r="H924" s="1">
        <v>2018.0</v>
      </c>
      <c r="I924" s="1" t="s">
        <v>42</v>
      </c>
      <c r="J924" s="1" t="s">
        <v>1065</v>
      </c>
      <c r="K924" s="1" t="s">
        <v>2327</v>
      </c>
      <c r="L924" s="1" t="s">
        <v>5553</v>
      </c>
      <c r="M924" s="2" t="s">
        <v>12</v>
      </c>
      <c r="N924" s="4">
        <f t="shared" si="1"/>
        <v>44320</v>
      </c>
      <c r="O924" s="5" t="str">
        <f>IFERROR(__xludf.DUMMYFUNCTION("IF(REGEXMATCH(TRIM(I924), ""^\d+\s*min""), ""Unclassified"", IF(I924 = """", ""NR"", I924))"),"TV-MA")</f>
        <v>TV-MA</v>
      </c>
      <c r="R924" s="5" t="str">
        <f t="shared" si="2"/>
        <v>The Clovehitch Killer</v>
      </c>
      <c r="S924" s="5" t="str">
        <f>IFERROR(__xludf.DUMMYFUNCTION("""COMPUTED_VALUE"""),"Berlin Syndrome")</f>
        <v>Berlin Syndrome</v>
      </c>
      <c r="U924" s="5" t="str">
        <f>IFERROR(__xludf.DUMMYFUNCTION("""COMPUTED_VALUE"""),"Theodore Boborol")</f>
        <v>Theodore Boborol</v>
      </c>
      <c r="V924" s="5" t="s">
        <v>5554</v>
      </c>
      <c r="W924" s="5" t="str">
        <f t="shared" si="3"/>
        <v>Daniel Lee</v>
      </c>
      <c r="X924" s="5">
        <f t="shared" si="4"/>
        <v>1</v>
      </c>
      <c r="Y924" s="5" t="str">
        <f>IFERROR(__xludf.DUMMYFUNCTION("REGEXEXTRACT(J924, ""^\d+"")"),"109")</f>
        <v>109</v>
      </c>
      <c r="Z924" s="5" t="str">
        <f>IFERROR(__xludf.DUMMYFUNCTION("REGEXEXTRACT(J924, ""[A-Za-z ]+$"")")," min")</f>
        <v> min</v>
      </c>
      <c r="AA924" s="5" t="str">
        <f>IFERROR(__xludf.DUMMYFUNCTION("IF(REGEXMATCH(Z924, ""Season""), ""TV Show"", ""Movie"")"),"Movie")</f>
        <v>Movie</v>
      </c>
    </row>
    <row r="925">
      <c r="A925" s="1" t="s">
        <v>5555</v>
      </c>
      <c r="B925" s="1" t="s">
        <v>37</v>
      </c>
      <c r="C925" s="1" t="s">
        <v>5556</v>
      </c>
      <c r="E925" s="1" t="s">
        <v>5557</v>
      </c>
      <c r="G925" s="7">
        <v>44320.0</v>
      </c>
      <c r="H925" s="1">
        <v>2021.0</v>
      </c>
      <c r="I925" s="1" t="s">
        <v>206</v>
      </c>
      <c r="J925" s="1" t="s">
        <v>43</v>
      </c>
      <c r="K925" s="1" t="s">
        <v>290</v>
      </c>
      <c r="L925" s="1" t="s">
        <v>5558</v>
      </c>
      <c r="M925" s="2" t="s">
        <v>12</v>
      </c>
      <c r="N925" s="4">
        <f t="shared" si="1"/>
        <v>44320</v>
      </c>
      <c r="O925" s="5" t="str">
        <f>IFERROR(__xludf.DUMMYFUNCTION("IF(REGEXMATCH(TRIM(I925), ""^\d+\s*min""), ""Unclassified"", IF(I925 = """", ""NR"", I925))"),"TV-Y")</f>
        <v>TV-Y</v>
      </c>
      <c r="R925" s="5" t="str">
        <f t="shared" si="2"/>
        <v>Trash Truck</v>
      </c>
      <c r="S925" s="5" t="str">
        <f>IFERROR(__xludf.DUMMYFUNCTION("""COMPUTED_VALUE"""),"Berlin, Berlin: Lolle On The Run")</f>
        <v>Berlin, Berlin: Lolle On The Run</v>
      </c>
      <c r="U925" s="5" t="str">
        <f>IFERROR(__xludf.DUMMYFUNCTION("""COMPUTED_VALUE"""),"Sydney Sibilia")</f>
        <v>Sydney Sibilia</v>
      </c>
      <c r="V925" s="5" t="s">
        <v>5559</v>
      </c>
      <c r="W925" s="5" t="str">
        <f t="shared" si="3"/>
        <v>Daniel Lindsay, T.J. Martin</v>
      </c>
      <c r="X925" s="5">
        <f t="shared" si="4"/>
        <v>2</v>
      </c>
      <c r="Y925" s="5" t="str">
        <f>IFERROR(__xludf.DUMMYFUNCTION("REGEXEXTRACT(J925, ""^\d+"")"),"2")</f>
        <v>2</v>
      </c>
      <c r="Z925" s="5" t="str">
        <f>IFERROR(__xludf.DUMMYFUNCTION("REGEXEXTRACT(J925, ""[A-Za-z ]+$"")")," Seasons")</f>
        <v> Seasons</v>
      </c>
      <c r="AA925" s="5" t="str">
        <f>IFERROR(__xludf.DUMMYFUNCTION("IF(REGEXMATCH(Z925, ""Season""), ""TV Show"", ""Movie"")"),"TV Show")</f>
        <v>TV Show</v>
      </c>
    </row>
    <row r="926">
      <c r="A926" s="1" t="s">
        <v>5560</v>
      </c>
      <c r="B926" s="1" t="s">
        <v>27</v>
      </c>
      <c r="C926" s="1" t="s">
        <v>5561</v>
      </c>
      <c r="D926" s="1" t="s">
        <v>5562</v>
      </c>
      <c r="E926" s="1" t="s">
        <v>5563</v>
      </c>
      <c r="F926" s="1" t="s">
        <v>30</v>
      </c>
      <c r="G926" s="7">
        <v>44317.0</v>
      </c>
      <c r="H926" s="1">
        <v>2020.0</v>
      </c>
      <c r="I926" s="1" t="s">
        <v>78</v>
      </c>
      <c r="J926" s="1" t="s">
        <v>428</v>
      </c>
      <c r="K926" s="1" t="s">
        <v>137</v>
      </c>
      <c r="L926" s="1" t="s">
        <v>5564</v>
      </c>
      <c r="M926" s="2" t="s">
        <v>12</v>
      </c>
      <c r="N926" s="4">
        <f t="shared" si="1"/>
        <v>44317</v>
      </c>
      <c r="O926" s="5" t="str">
        <f>IFERROR(__xludf.DUMMYFUNCTION("IF(REGEXMATCH(TRIM(I926), ""^\d+\s*min""), ""Unclassified"", IF(I926 = """", ""NR"", I926))"),"PG")</f>
        <v>PG</v>
      </c>
      <c r="R926" s="5" t="str">
        <f t="shared" si="2"/>
        <v>Aliens Stole My Body</v>
      </c>
      <c r="S926" s="5" t="str">
        <f>IFERROR(__xludf.DUMMYFUNCTION("""COMPUTED_VALUE"""),"Berlin, I Love You")</f>
        <v>Berlin, I Love You</v>
      </c>
      <c r="U926" s="5" t="str">
        <f>IFERROR(__xludf.DUMMYFUNCTION("""COMPUTED_VALUE"""),"Josiah Ng")</f>
        <v>Josiah Ng</v>
      </c>
      <c r="V926" s="5" t="s">
        <v>5565</v>
      </c>
      <c r="W926" s="5" t="str">
        <f t="shared" si="3"/>
        <v>Daniel Mann</v>
      </c>
      <c r="X926" s="5">
        <f t="shared" si="4"/>
        <v>1</v>
      </c>
      <c r="Y926" s="5" t="str">
        <f>IFERROR(__xludf.DUMMYFUNCTION("REGEXEXTRACT(J926, ""^\d+"")"),"88")</f>
        <v>88</v>
      </c>
      <c r="Z926" s="5" t="str">
        <f>IFERROR(__xludf.DUMMYFUNCTION("REGEXEXTRACT(J926, ""[A-Za-z ]+$"")")," min")</f>
        <v> min</v>
      </c>
      <c r="AA926" s="5" t="str">
        <f>IFERROR(__xludf.DUMMYFUNCTION("IF(REGEXMATCH(Z926, ""Season""), ""TV Show"", ""Movie"")"),"Movie")</f>
        <v>Movie</v>
      </c>
    </row>
    <row r="927">
      <c r="A927" s="1" t="s">
        <v>5566</v>
      </c>
      <c r="B927" s="1" t="s">
        <v>37</v>
      </c>
      <c r="C927" s="1" t="s">
        <v>5567</v>
      </c>
      <c r="G927" s="7">
        <v>44317.0</v>
      </c>
      <c r="H927" s="1">
        <v>2010.0</v>
      </c>
      <c r="I927" s="1" t="s">
        <v>206</v>
      </c>
      <c r="J927" s="1" t="s">
        <v>43</v>
      </c>
      <c r="K927" s="1" t="s">
        <v>712</v>
      </c>
      <c r="L927" s="1" t="s">
        <v>5568</v>
      </c>
      <c r="M927" s="2" t="s">
        <v>12</v>
      </c>
      <c r="N927" s="4">
        <f t="shared" si="1"/>
        <v>44317</v>
      </c>
      <c r="O927" s="5" t="str">
        <f>IFERROR(__xludf.DUMMYFUNCTION("IF(REGEXMATCH(TRIM(I927), ""^\d+\s*min""), ""Unclassified"", IF(I927 = """", ""NR"", I927))"),"TV-Y")</f>
        <v>TV-Y</v>
      </c>
      <c r="R927" s="5" t="str">
        <f t="shared" si="2"/>
        <v>Angelina Ballerina</v>
      </c>
      <c r="S927" s="5" t="str">
        <f>IFERROR(__xludf.DUMMYFUNCTION("""COMPUTED_VALUE"""),"Berserk: The Golden Age Arc I - The Egg Of The King")</f>
        <v>Berserk: The Golden Age Arc I - The Egg Of The King</v>
      </c>
      <c r="U927" s="5" t="str">
        <f>IFERROR(__xludf.DUMMYFUNCTION("""COMPUTED_VALUE"""),"Kirk Wise")</f>
        <v>Kirk Wise</v>
      </c>
      <c r="V927" s="5" t="s">
        <v>5569</v>
      </c>
      <c r="W927" s="5" t="str">
        <f t="shared" si="3"/>
        <v>Daniel Mann, Joseph Sargent</v>
      </c>
      <c r="X927" s="5">
        <f t="shared" si="4"/>
        <v>1</v>
      </c>
      <c r="Y927" s="5" t="str">
        <f>IFERROR(__xludf.DUMMYFUNCTION("REGEXEXTRACT(J927, ""^\d+"")"),"2")</f>
        <v>2</v>
      </c>
      <c r="Z927" s="5" t="str">
        <f>IFERROR(__xludf.DUMMYFUNCTION("REGEXEXTRACT(J927, ""[A-Za-z ]+$"")")," Seasons")</f>
        <v> Seasons</v>
      </c>
      <c r="AA927" s="5" t="str">
        <f>IFERROR(__xludf.DUMMYFUNCTION("IF(REGEXMATCH(Z927, ""Season""), ""TV Show"", ""Movie"")"),"TV Show")</f>
        <v>TV Show</v>
      </c>
    </row>
    <row r="928">
      <c r="A928" s="1" t="s">
        <v>5570</v>
      </c>
      <c r="B928" s="1" t="s">
        <v>27</v>
      </c>
      <c r="C928" s="1" t="s">
        <v>5571</v>
      </c>
      <c r="D928" s="1" t="s">
        <v>5572</v>
      </c>
      <c r="E928" s="1" t="s">
        <v>5573</v>
      </c>
      <c r="F928" s="1" t="s">
        <v>30</v>
      </c>
      <c r="G928" s="7">
        <v>44317.0</v>
      </c>
      <c r="H928" s="1">
        <v>2006.0</v>
      </c>
      <c r="I928" s="1" t="s">
        <v>378</v>
      </c>
      <c r="J928" s="1" t="s">
        <v>247</v>
      </c>
      <c r="K928" s="1" t="s">
        <v>323</v>
      </c>
      <c r="L928" s="1" t="s">
        <v>5574</v>
      </c>
      <c r="M928" s="2" t="s">
        <v>12</v>
      </c>
      <c r="N928" s="4">
        <f t="shared" si="1"/>
        <v>44317</v>
      </c>
      <c r="O928" s="5" t="str">
        <f>IFERROR(__xludf.DUMMYFUNCTION("IF(REGEXMATCH(TRIM(I928), ""^\d+\s*min""), ""Unclassified"", IF(I928 = """", ""NR"", I928))"),"R")</f>
        <v>R</v>
      </c>
      <c r="R928" s="5" t="str">
        <f t="shared" si="2"/>
        <v>Au Coeur Des Gangs</v>
      </c>
      <c r="S928" s="5" t="str">
        <f>IFERROR(__xludf.DUMMYFUNCTION("""COMPUTED_VALUE"""),"Berserk: The Golden Age Arc Ii - The Battle For Doldrey")</f>
        <v>Berserk: The Golden Age Arc Ii - The Battle For Doldrey</v>
      </c>
      <c r="U928" s="5" t="str">
        <f>IFERROR(__xludf.DUMMYFUNCTION("""COMPUTED_VALUE"""),"Beth Sleven, Allan Jacobsen, Kevin Wotton")</f>
        <v>Beth Sleven, Allan Jacobsen, Kevin Wotton</v>
      </c>
      <c r="V928" s="5" t="s">
        <v>2444</v>
      </c>
      <c r="W928" s="5" t="str">
        <f t="shared" si="3"/>
        <v>Daniel Markowicz</v>
      </c>
      <c r="X928" s="5">
        <f t="shared" si="4"/>
        <v>1</v>
      </c>
      <c r="Y928" s="5" t="str">
        <f>IFERROR(__xludf.DUMMYFUNCTION("REGEXEXTRACT(J928, ""^\d+"")"),"97")</f>
        <v>97</v>
      </c>
      <c r="Z928" s="5" t="str">
        <f>IFERROR(__xludf.DUMMYFUNCTION("REGEXEXTRACT(J928, ""[A-Za-z ]+$"")")," min")</f>
        <v> min</v>
      </c>
      <c r="AA928" s="5" t="str">
        <f>IFERROR(__xludf.DUMMYFUNCTION("IF(REGEXMATCH(Z928, ""Season""), ""TV Show"", ""Movie"")"),"Movie")</f>
        <v>Movie</v>
      </c>
    </row>
    <row r="929">
      <c r="A929" s="1" t="s">
        <v>5575</v>
      </c>
      <c r="B929" s="1" t="s">
        <v>37</v>
      </c>
      <c r="C929" s="1" t="s">
        <v>5576</v>
      </c>
      <c r="E929" s="1" t="s">
        <v>5577</v>
      </c>
      <c r="G929" s="7">
        <v>44317.0</v>
      </c>
      <c r="H929" s="1">
        <v>2010.0</v>
      </c>
      <c r="I929" s="1" t="s">
        <v>206</v>
      </c>
      <c r="J929" s="1" t="s">
        <v>43</v>
      </c>
      <c r="K929" s="1" t="s">
        <v>290</v>
      </c>
      <c r="L929" s="1" t="s">
        <v>5578</v>
      </c>
      <c r="M929" s="2" t="s">
        <v>12</v>
      </c>
      <c r="N929" s="4">
        <f t="shared" si="1"/>
        <v>44317</v>
      </c>
      <c r="O929" s="5" t="str">
        <f>IFERROR(__xludf.DUMMYFUNCTION("IF(REGEXMATCH(TRIM(I929), ""^\d+\s*min""), ""Unclassified"", IF(I929 = """", ""NR"", I929))"),"TV-Y")</f>
        <v>TV-Y</v>
      </c>
      <c r="R929" s="5" t="str">
        <f t="shared" si="2"/>
        <v>Barney And Friends</v>
      </c>
      <c r="S929" s="5" t="str">
        <f>IFERROR(__xludf.DUMMYFUNCTION("""COMPUTED_VALUE"""),"Berserk: The Golden Age Arc Iii - The Advent")</f>
        <v>Berserk: The Golden Age Arc Iii - The Advent</v>
      </c>
      <c r="U929" s="5" t="str">
        <f>IFERROR(__xludf.DUMMYFUNCTION("""COMPUTED_VALUE"""),"Jalil Lespert")</f>
        <v>Jalil Lespert</v>
      </c>
      <c r="V929" s="5" t="s">
        <v>5579</v>
      </c>
      <c r="W929" s="5" t="str">
        <f t="shared" si="3"/>
        <v>Daniel Mccabe</v>
      </c>
      <c r="X929" s="5">
        <f t="shared" si="4"/>
        <v>1</v>
      </c>
      <c r="Y929" s="5" t="str">
        <f>IFERROR(__xludf.DUMMYFUNCTION("REGEXEXTRACT(J929, ""^\d+"")"),"2")</f>
        <v>2</v>
      </c>
      <c r="Z929" s="5" t="str">
        <f>IFERROR(__xludf.DUMMYFUNCTION("REGEXEXTRACT(J929, ""[A-Za-z ]+$"")")," Seasons")</f>
        <v> Seasons</v>
      </c>
      <c r="AA929" s="5" t="str">
        <f>IFERROR(__xludf.DUMMYFUNCTION("IF(REGEXMATCH(Z929, ""Season""), ""TV Show"", ""Movie"")"),"TV Show")</f>
        <v>TV Show</v>
      </c>
    </row>
    <row r="930">
      <c r="A930" s="1" t="s">
        <v>5580</v>
      </c>
      <c r="B930" s="1" t="s">
        <v>27</v>
      </c>
      <c r="C930" s="1" t="s">
        <v>5581</v>
      </c>
      <c r="D930" s="1" t="s">
        <v>5582</v>
      </c>
      <c r="E930" s="1" t="s">
        <v>5583</v>
      </c>
      <c r="F930" s="1" t="s">
        <v>30</v>
      </c>
      <c r="G930" s="7">
        <v>44317.0</v>
      </c>
      <c r="H930" s="1">
        <v>1989.0</v>
      </c>
      <c r="I930" s="1" t="s">
        <v>32</v>
      </c>
      <c r="J930" s="1" t="s">
        <v>247</v>
      </c>
      <c r="K930" s="1" t="s">
        <v>5584</v>
      </c>
      <c r="L930" s="1" t="s">
        <v>5585</v>
      </c>
      <c r="M930" s="2" t="s">
        <v>12</v>
      </c>
      <c r="N930" s="4">
        <f t="shared" si="1"/>
        <v>44317</v>
      </c>
      <c r="O930" s="5" t="str">
        <f>IFERROR(__xludf.DUMMYFUNCTION("IF(REGEXMATCH(TRIM(I930), ""^\d+\s*min""), ""Unclassified"", IF(I930 = """", ""NR"", I930))"),"PG-13")</f>
        <v>PG-13</v>
      </c>
      <c r="R930" s="5" t="str">
        <f t="shared" si="2"/>
        <v>Best Of The Best</v>
      </c>
      <c r="S930" s="5" t="str">
        <f>IFERROR(__xludf.DUMMYFUNCTION("""COMPUTED_VALUE"""),"Bert Kreischer: Hey Big Boy")</f>
        <v>Bert Kreischer: Hey Big Boy</v>
      </c>
      <c r="U930" s="5" t="str">
        <f>IFERROR(__xludf.DUMMYFUNCTION("""COMPUTED_VALUE"""),"Su I-Hsuan, Chuang Shiang-An, Liu Yi")</f>
        <v>Su I-Hsuan, Chuang Shiang-An, Liu Yi</v>
      </c>
      <c r="V930" s="5" t="s">
        <v>5305</v>
      </c>
      <c r="W930" s="5" t="str">
        <f t="shared" si="3"/>
        <v>Daniel Minahan</v>
      </c>
      <c r="X930" s="5">
        <f t="shared" si="4"/>
        <v>1</v>
      </c>
      <c r="Y930" s="5" t="str">
        <f>IFERROR(__xludf.DUMMYFUNCTION("REGEXEXTRACT(J930, ""^\d+"")"),"97")</f>
        <v>97</v>
      </c>
      <c r="Z930" s="5" t="str">
        <f>IFERROR(__xludf.DUMMYFUNCTION("REGEXEXTRACT(J930, ""[A-Za-z ]+$"")")," min")</f>
        <v> min</v>
      </c>
      <c r="AA930" s="5" t="str">
        <f>IFERROR(__xludf.DUMMYFUNCTION("IF(REGEXMATCH(Z930, ""Season""), ""TV Show"", ""Movie"")"),"Movie")</f>
        <v>Movie</v>
      </c>
    </row>
    <row r="931">
      <c r="A931" s="1" t="s">
        <v>5586</v>
      </c>
      <c r="B931" s="1" t="s">
        <v>27</v>
      </c>
      <c r="C931" s="1" t="s">
        <v>5587</v>
      </c>
      <c r="D931" s="1" t="s">
        <v>5588</v>
      </c>
      <c r="E931" s="1" t="s">
        <v>5589</v>
      </c>
      <c r="G931" s="7">
        <v>44317.0</v>
      </c>
      <c r="H931" s="1">
        <v>2017.0</v>
      </c>
      <c r="I931" s="1" t="s">
        <v>378</v>
      </c>
      <c r="J931" s="1" t="s">
        <v>416</v>
      </c>
      <c r="K931" s="1" t="s">
        <v>5165</v>
      </c>
      <c r="L931" s="1" t="s">
        <v>5590</v>
      </c>
      <c r="M931" s="2" t="s">
        <v>12</v>
      </c>
      <c r="N931" s="4">
        <f t="shared" si="1"/>
        <v>44317</v>
      </c>
      <c r="O931" s="5" t="str">
        <f>IFERROR(__xludf.DUMMYFUNCTION("IF(REGEXMATCH(TRIM(I931), ""^\d+\s*min""), ""Unclassified"", IF(I931 = """", ""NR"", I931))"),"R")</f>
        <v>R</v>
      </c>
      <c r="R931" s="5" t="str">
        <f t="shared" si="2"/>
        <v>Dead Again In Tombstone</v>
      </c>
      <c r="S931" s="5" t="str">
        <f>IFERROR(__xludf.DUMMYFUNCTION("""COMPUTED_VALUE"""),"Bert Kreischer: Secret Time")</f>
        <v>Bert Kreischer: Secret Time</v>
      </c>
      <c r="U931" s="5" t="str">
        <f>IFERROR(__xludf.DUMMYFUNCTION("""COMPUTED_VALUE"""),"Clint Butler")</f>
        <v>Clint Butler</v>
      </c>
      <c r="V931" s="5" t="s">
        <v>5591</v>
      </c>
      <c r="W931" s="5" t="str">
        <f t="shared" si="3"/>
        <v>Daniel Monzón</v>
      </c>
      <c r="X931" s="5">
        <f t="shared" si="4"/>
        <v>1</v>
      </c>
      <c r="Y931" s="5" t="str">
        <f>IFERROR(__xludf.DUMMYFUNCTION("REGEXEXTRACT(J931, ""^\d+"")"),"99")</f>
        <v>99</v>
      </c>
      <c r="Z931" s="5" t="str">
        <f>IFERROR(__xludf.DUMMYFUNCTION("REGEXEXTRACT(J931, ""[A-Za-z ]+$"")")," min")</f>
        <v> min</v>
      </c>
      <c r="AA931" s="5" t="str">
        <f>IFERROR(__xludf.DUMMYFUNCTION("IF(REGEXMATCH(Z931, ""Season""), ""TV Show"", ""Movie"")"),"Movie")</f>
        <v>Movie</v>
      </c>
    </row>
    <row r="932">
      <c r="A932" s="1" t="s">
        <v>5592</v>
      </c>
      <c r="B932" s="1" t="s">
        <v>27</v>
      </c>
      <c r="C932" s="1" t="s">
        <v>5593</v>
      </c>
      <c r="D932" s="1" t="s">
        <v>4922</v>
      </c>
      <c r="E932" s="1" t="s">
        <v>5594</v>
      </c>
      <c r="F932" s="1" t="s">
        <v>30</v>
      </c>
      <c r="G932" s="7">
        <v>44317.0</v>
      </c>
      <c r="H932" s="1">
        <v>2010.0</v>
      </c>
      <c r="I932" s="1" t="s">
        <v>378</v>
      </c>
      <c r="J932" s="1" t="s">
        <v>465</v>
      </c>
      <c r="K932" s="1" t="s">
        <v>973</v>
      </c>
      <c r="L932" s="1" t="s">
        <v>5595</v>
      </c>
      <c r="M932" s="2" t="s">
        <v>12</v>
      </c>
      <c r="N932" s="4">
        <f t="shared" si="1"/>
        <v>44317</v>
      </c>
      <c r="O932" s="5" t="str">
        <f>IFERROR(__xludf.DUMMYFUNCTION("IF(REGEXMATCH(TRIM(I932), ""^\d+\s*min""), ""Unclassified"", IF(I932 = """", ""NR"", I932))"),"R")</f>
        <v>R</v>
      </c>
      <c r="R932" s="5" t="str">
        <f t="shared" si="2"/>
        <v>Due Date</v>
      </c>
      <c r="S932" s="5" t="str">
        <f>IFERROR(__xludf.DUMMYFUNCTION("""COMPUTED_VALUE"""),"Bert Kreischer: The Machine")</f>
        <v>Bert Kreischer: The Machine</v>
      </c>
      <c r="U932" s="5" t="str">
        <f>IFERROR(__xludf.DUMMYFUNCTION("""COMPUTED_VALUE"""),"Erik Kling, Kevin Peaty")</f>
        <v>Erik Kling, Kevin Peaty</v>
      </c>
      <c r="V932" s="5" t="s">
        <v>5596</v>
      </c>
      <c r="W932" s="5" t="str">
        <f t="shared" si="3"/>
        <v>Daniel Noah</v>
      </c>
      <c r="X932" s="5">
        <f t="shared" si="4"/>
        <v>1</v>
      </c>
      <c r="Y932" s="5" t="str">
        <f>IFERROR(__xludf.DUMMYFUNCTION("REGEXEXTRACT(J932, ""^\d+"")"),"95")</f>
        <v>95</v>
      </c>
      <c r="Z932" s="5" t="str">
        <f>IFERROR(__xludf.DUMMYFUNCTION("REGEXEXTRACT(J932, ""[A-Za-z ]+$"")")," min")</f>
        <v> min</v>
      </c>
      <c r="AA932" s="5" t="str">
        <f>IFERROR(__xludf.DUMMYFUNCTION("IF(REGEXMATCH(Z932, ""Season""), ""TV Show"", ""Movie"")"),"Movie")</f>
        <v>Movie</v>
      </c>
    </row>
    <row r="933">
      <c r="A933" s="1" t="s">
        <v>5597</v>
      </c>
      <c r="B933" s="1" t="s">
        <v>27</v>
      </c>
      <c r="C933" s="1" t="s">
        <v>5598</v>
      </c>
      <c r="D933" s="1" t="s">
        <v>5599</v>
      </c>
      <c r="E933" s="1" t="s">
        <v>5600</v>
      </c>
      <c r="F933" s="1" t="s">
        <v>30</v>
      </c>
      <c r="G933" s="7">
        <v>44317.0</v>
      </c>
      <c r="H933" s="1">
        <v>2005.0</v>
      </c>
      <c r="I933" s="1" t="s">
        <v>32</v>
      </c>
      <c r="J933" s="1" t="s">
        <v>79</v>
      </c>
      <c r="K933" s="1" t="s">
        <v>239</v>
      </c>
      <c r="L933" s="1" t="s">
        <v>5601</v>
      </c>
      <c r="M933" s="2" t="s">
        <v>12</v>
      </c>
      <c r="N933" s="4">
        <f t="shared" si="1"/>
        <v>44317</v>
      </c>
      <c r="O933" s="5" t="str">
        <f>IFERROR(__xludf.DUMMYFUNCTION("IF(REGEXMATCH(TRIM(I933), ""^\d+\s*min""), ""Unclassified"", IF(I933 = """", ""NR"", I933))"),"PG-13")</f>
        <v>PG-13</v>
      </c>
      <c r="R933" s="5" t="str">
        <f t="shared" si="2"/>
        <v>Fun With Dick &amp; Jane</v>
      </c>
      <c r="S933" s="5" t="str">
        <f>IFERROR(__xludf.DUMMYFUNCTION("""COMPUTED_VALUE"""),"Besieged Bread")</f>
        <v>Besieged Bread</v>
      </c>
      <c r="U933" s="5" t="str">
        <f>IFERROR(__xludf.DUMMYFUNCTION("""COMPUTED_VALUE"""),"Detlev Buck")</f>
        <v>Detlev Buck</v>
      </c>
      <c r="V933" s="5" t="s">
        <v>5602</v>
      </c>
      <c r="W933" s="5" t="str">
        <f t="shared" si="3"/>
        <v>Daniel Oriahi</v>
      </c>
      <c r="X933" s="5">
        <f t="shared" si="4"/>
        <v>2</v>
      </c>
      <c r="Y933" s="5" t="str">
        <f>IFERROR(__xludf.DUMMYFUNCTION("REGEXEXTRACT(J933, ""^\d+"")"),"91")</f>
        <v>91</v>
      </c>
      <c r="Z933" s="5" t="str">
        <f>IFERROR(__xludf.DUMMYFUNCTION("REGEXEXTRACT(J933, ""[A-Za-z ]+$"")")," min")</f>
        <v> min</v>
      </c>
      <c r="AA933" s="5" t="str">
        <f>IFERROR(__xludf.DUMMYFUNCTION("IF(REGEXMATCH(Z933, ""Season""), ""TV Show"", ""Movie"")"),"Movie")</f>
        <v>Movie</v>
      </c>
    </row>
    <row r="934">
      <c r="A934" s="1" t="s">
        <v>5603</v>
      </c>
      <c r="B934" s="1" t="s">
        <v>27</v>
      </c>
      <c r="C934" s="1" t="s">
        <v>5604</v>
      </c>
      <c r="D934" s="1" t="s">
        <v>5605</v>
      </c>
      <c r="E934" s="1" t="s">
        <v>5606</v>
      </c>
      <c r="F934" s="1" t="s">
        <v>5607</v>
      </c>
      <c r="G934" s="7">
        <v>44317.0</v>
      </c>
      <c r="H934" s="1">
        <v>2010.0</v>
      </c>
      <c r="I934" s="1" t="s">
        <v>378</v>
      </c>
      <c r="J934" s="1" t="s">
        <v>379</v>
      </c>
      <c r="K934" s="1" t="s">
        <v>380</v>
      </c>
      <c r="L934" s="1" t="s">
        <v>5608</v>
      </c>
      <c r="M934" s="2" t="s">
        <v>12</v>
      </c>
      <c r="N934" s="4">
        <f t="shared" si="1"/>
        <v>44317</v>
      </c>
      <c r="O934" s="5" t="str">
        <f>IFERROR(__xludf.DUMMYFUNCTION("IF(REGEXMATCH(TRIM(I934), ""^\d+\s*min""), ""Unclassified"", IF(I934 = """", ""NR"", I934))"),"R")</f>
        <v>R</v>
      </c>
      <c r="R934" s="5" t="str">
        <f t="shared" si="2"/>
        <v>Green Zone</v>
      </c>
      <c r="S934" s="5" t="str">
        <f>IFERROR(__xludf.DUMMYFUNCTION("""COMPUTED_VALUE"""),"Best Leftovers Ever!")</f>
        <v>Best Leftovers Ever!</v>
      </c>
      <c r="U934" s="5" t="str">
        <f>IFERROR(__xludf.DUMMYFUNCTION("""COMPUTED_VALUE"""),"Amanda Raymond")</f>
        <v>Amanda Raymond</v>
      </c>
      <c r="V934" s="5" t="s">
        <v>5354</v>
      </c>
      <c r="W934" s="5" t="str">
        <f t="shared" si="3"/>
        <v>Daniel Prochaska</v>
      </c>
      <c r="X934" s="5">
        <f t="shared" si="4"/>
        <v>1</v>
      </c>
      <c r="Y934" s="5" t="str">
        <f>IFERROR(__xludf.DUMMYFUNCTION("REGEXEXTRACT(J934, ""^\d+"")"),"115")</f>
        <v>115</v>
      </c>
      <c r="Z934" s="5" t="str">
        <f>IFERROR(__xludf.DUMMYFUNCTION("REGEXEXTRACT(J934, ""[A-Za-z ]+$"")")," min")</f>
        <v> min</v>
      </c>
      <c r="AA934" s="5" t="str">
        <f>IFERROR(__xludf.DUMMYFUNCTION("IF(REGEXMATCH(Z934, ""Season""), ""TV Show"", ""Movie"")"),"Movie")</f>
        <v>Movie</v>
      </c>
    </row>
    <row r="935">
      <c r="A935" s="1" t="s">
        <v>5609</v>
      </c>
      <c r="B935" s="1" t="s">
        <v>27</v>
      </c>
      <c r="C935" s="1" t="s">
        <v>5610</v>
      </c>
      <c r="D935" s="1" t="s">
        <v>909</v>
      </c>
      <c r="E935" s="1" t="s">
        <v>5611</v>
      </c>
      <c r="F935" s="1" t="s">
        <v>686</v>
      </c>
      <c r="G935" s="7">
        <v>44317.0</v>
      </c>
      <c r="H935" s="1">
        <v>2009.0</v>
      </c>
      <c r="I935" s="1" t="s">
        <v>770</v>
      </c>
      <c r="J935" s="1" t="s">
        <v>454</v>
      </c>
      <c r="K935" s="1" t="s">
        <v>771</v>
      </c>
      <c r="L935" s="1" t="s">
        <v>5612</v>
      </c>
      <c r="M935" s="2" t="s">
        <v>12</v>
      </c>
      <c r="N935" s="4">
        <f t="shared" si="1"/>
        <v>44317</v>
      </c>
      <c r="O935" s="5" t="str">
        <f>IFERROR(__xludf.DUMMYFUNCTION("IF(REGEXMATCH(TRIM(I935), ""^\d+\s*min""), ""Unclassified"", IF(I935 = """", ""NR"", I935))"),"G")</f>
        <v>G</v>
      </c>
      <c r="R935" s="5" t="str">
        <f t="shared" si="2"/>
        <v>Hachi: A Dog'S Tale</v>
      </c>
      <c r="S935" s="5" t="str">
        <f>IFERROR(__xludf.DUMMYFUNCTION("""COMPUTED_VALUE"""),"Best Lover")</f>
        <v>Best Lover</v>
      </c>
      <c r="U935" s="5" t="str">
        <f>IFERROR(__xludf.DUMMYFUNCTION("""COMPUTED_VALUE"""),"Jason Paul Laxamana")</f>
        <v>Jason Paul Laxamana</v>
      </c>
      <c r="V935" s="5" t="s">
        <v>5613</v>
      </c>
      <c r="W935" s="5" t="str">
        <f t="shared" si="3"/>
        <v>Daniel Raim</v>
      </c>
      <c r="X935" s="5">
        <f t="shared" si="4"/>
        <v>1</v>
      </c>
      <c r="Y935" s="5" t="str">
        <f>IFERROR(__xludf.DUMMYFUNCTION("REGEXEXTRACT(J935, ""^\d+"")"),"93")</f>
        <v>93</v>
      </c>
      <c r="Z935" s="5" t="str">
        <f>IFERROR(__xludf.DUMMYFUNCTION("REGEXEXTRACT(J935, ""[A-Za-z ]+$"")")," min")</f>
        <v> min</v>
      </c>
      <c r="AA935" s="5" t="str">
        <f>IFERROR(__xludf.DUMMYFUNCTION("IF(REGEXMATCH(Z935, ""Season""), ""TV Show"", ""Movie"")"),"Movie")</f>
        <v>Movie</v>
      </c>
    </row>
    <row r="936">
      <c r="A936" s="1" t="s">
        <v>5614</v>
      </c>
      <c r="B936" s="1" t="s">
        <v>27</v>
      </c>
      <c r="C936" s="1" t="s">
        <v>5615</v>
      </c>
      <c r="D936" s="1" t="s">
        <v>5616</v>
      </c>
      <c r="E936" s="1" t="s">
        <v>5617</v>
      </c>
      <c r="F936" s="1" t="s">
        <v>1319</v>
      </c>
      <c r="G936" s="7">
        <v>44317.0</v>
      </c>
      <c r="H936" s="1">
        <v>2018.0</v>
      </c>
      <c r="I936" s="1" t="s">
        <v>378</v>
      </c>
      <c r="J936" s="1" t="s">
        <v>1065</v>
      </c>
      <c r="K936" s="1" t="s">
        <v>1320</v>
      </c>
      <c r="L936" s="1" t="s">
        <v>5618</v>
      </c>
      <c r="M936" s="2" t="s">
        <v>12</v>
      </c>
      <c r="N936" s="4">
        <f t="shared" si="1"/>
        <v>44317</v>
      </c>
      <c r="O936" s="5" t="str">
        <f>IFERROR(__xludf.DUMMYFUNCTION("IF(REGEXMATCH(TRIM(I936), ""^\d+\s*min""), ""Unclassified"", IF(I936 = """", ""NR"", I936))"),"R")</f>
        <v>R</v>
      </c>
      <c r="R936" s="5" t="str">
        <f t="shared" si="2"/>
        <v>Jt Leroy</v>
      </c>
      <c r="S936" s="5" t="str">
        <f>IFERROR(__xludf.DUMMYFUNCTION("""COMPUTED_VALUE"""),"Best Neighbors")</f>
        <v>Best Neighbors</v>
      </c>
      <c r="U936" s="5" t="str">
        <f>IFERROR(__xludf.DUMMYFUNCTION("""COMPUTED_VALUE"""),"Marc Fouchard")</f>
        <v>Marc Fouchard</v>
      </c>
      <c r="V936" s="5" t="s">
        <v>3007</v>
      </c>
      <c r="W936" s="5" t="str">
        <f t="shared" si="3"/>
        <v>Daniel Růžička</v>
      </c>
      <c r="X936" s="5">
        <f t="shared" si="4"/>
        <v>1</v>
      </c>
      <c r="Y936" s="5" t="str">
        <f>IFERROR(__xludf.DUMMYFUNCTION("REGEXEXTRACT(J936, ""^\d+"")"),"109")</f>
        <v>109</v>
      </c>
      <c r="Z936" s="5" t="str">
        <f>IFERROR(__xludf.DUMMYFUNCTION("REGEXEXTRACT(J936, ""[A-Za-z ]+$"")")," min")</f>
        <v> min</v>
      </c>
      <c r="AA936" s="5" t="str">
        <f>IFERROR(__xludf.DUMMYFUNCTION("IF(REGEXMATCH(Z936, ""Season""), ""TV Show"", ""Movie"")"),"Movie")</f>
        <v>Movie</v>
      </c>
    </row>
    <row r="937">
      <c r="A937" s="1" t="s">
        <v>5619</v>
      </c>
      <c r="B937" s="1" t="s">
        <v>27</v>
      </c>
      <c r="C937" s="1" t="s">
        <v>5620</v>
      </c>
      <c r="D937" s="1" t="s">
        <v>5621</v>
      </c>
      <c r="E937" s="1" t="s">
        <v>5622</v>
      </c>
      <c r="F937" s="1" t="s">
        <v>30</v>
      </c>
      <c r="G937" s="7">
        <v>44317.0</v>
      </c>
      <c r="H937" s="1">
        <v>2012.0</v>
      </c>
      <c r="I937" s="1" t="s">
        <v>78</v>
      </c>
      <c r="J937" s="1" t="s">
        <v>322</v>
      </c>
      <c r="K937" s="1" t="s">
        <v>137</v>
      </c>
      <c r="L937" s="1" t="s">
        <v>5623</v>
      </c>
      <c r="M937" s="2" t="s">
        <v>12</v>
      </c>
      <c r="N937" s="4">
        <f t="shared" si="1"/>
        <v>44317</v>
      </c>
      <c r="O937" s="5" t="str">
        <f>IFERROR(__xludf.DUMMYFUNCTION("IF(REGEXMATCH(TRIM(I937), ""^\d+\s*min""), ""Unclassified"", IF(I937 = """", ""NR"", I937))"),"PG")</f>
        <v>PG</v>
      </c>
      <c r="R937" s="5" t="str">
        <f t="shared" si="2"/>
        <v>Madagascar 3: Europe'S Most Wanted</v>
      </c>
      <c r="S937" s="5" t="str">
        <f>IFERROR(__xludf.DUMMYFUNCTION("""COMPUTED_VALUE"""),"Best Of Stand-Up 2020")</f>
        <v>Best Of Stand-Up 2020</v>
      </c>
      <c r="U937" s="5" t="str">
        <f>IFERROR(__xludf.DUMMYFUNCTION("""COMPUTED_VALUE"""),"Darragh O'Connell")</f>
        <v>Darragh O'Connell</v>
      </c>
      <c r="V937" s="5" t="s">
        <v>5624</v>
      </c>
      <c r="W937" s="5" t="str">
        <f t="shared" si="3"/>
        <v>Daniel Sánchez Arévalo</v>
      </c>
      <c r="X937" s="5">
        <f t="shared" si="4"/>
        <v>1</v>
      </c>
      <c r="Y937" s="5" t="str">
        <f>IFERROR(__xludf.DUMMYFUNCTION("REGEXEXTRACT(J937, ""^\d+"")"),"96")</f>
        <v>96</v>
      </c>
      <c r="Z937" s="5" t="str">
        <f>IFERROR(__xludf.DUMMYFUNCTION("REGEXEXTRACT(J937, ""[A-Za-z ]+$"")")," min")</f>
        <v> min</v>
      </c>
      <c r="AA937" s="5" t="str">
        <f>IFERROR(__xludf.DUMMYFUNCTION("IF(REGEXMATCH(Z937, ""Season""), ""TV Show"", ""Movie"")"),"Movie")</f>
        <v>Movie</v>
      </c>
    </row>
    <row r="938">
      <c r="A938" s="1" t="s">
        <v>5625</v>
      </c>
      <c r="B938" s="1" t="s">
        <v>37</v>
      </c>
      <c r="C938" s="1" t="s">
        <v>5626</v>
      </c>
      <c r="G938" s="7">
        <v>44317.0</v>
      </c>
      <c r="H938" s="1">
        <v>2020.0</v>
      </c>
      <c r="I938" s="1" t="s">
        <v>289</v>
      </c>
      <c r="J938" s="1" t="s">
        <v>51</v>
      </c>
      <c r="K938" s="1" t="s">
        <v>290</v>
      </c>
      <c r="L938" s="1" t="s">
        <v>5627</v>
      </c>
      <c r="M938" s="2" t="s">
        <v>12</v>
      </c>
      <c r="N938" s="4">
        <f t="shared" si="1"/>
        <v>44317</v>
      </c>
      <c r="O938" s="5" t="str">
        <f>IFERROR(__xludf.DUMMYFUNCTION("IF(REGEXMATCH(TRIM(I938), ""^\d+\s*min""), ""Unclassified"", IF(I938 = """", ""NR"", I938))"),"TV-Y7")</f>
        <v>TV-Y7</v>
      </c>
      <c r="R938" s="5" t="str">
        <f t="shared" si="2"/>
        <v>Miniforce: Super Dino Power</v>
      </c>
      <c r="S938" s="5" t="str">
        <f>IFERROR(__xludf.DUMMYFUNCTION("""COMPUTED_VALUE"""),"Best Of The Best")</f>
        <v>Best Of The Best</v>
      </c>
      <c r="U938" s="5" t="str">
        <f>IFERROR(__xludf.DUMMYFUNCTION("""COMPUTED_VALUE"""),"Roberto Santucci")</f>
        <v>Roberto Santucci</v>
      </c>
      <c r="V938" s="5" t="s">
        <v>295</v>
      </c>
      <c r="W938" s="5" t="str">
        <f t="shared" si="3"/>
        <v>Daniel Sandu</v>
      </c>
      <c r="X938" s="5">
        <f t="shared" si="4"/>
        <v>1</v>
      </c>
      <c r="Y938" s="5" t="str">
        <f>IFERROR(__xludf.DUMMYFUNCTION("REGEXEXTRACT(J938, ""^\d+"")"),"1")</f>
        <v>1</v>
      </c>
      <c r="Z938" s="5" t="str">
        <f>IFERROR(__xludf.DUMMYFUNCTION("REGEXEXTRACT(J938, ""[A-Za-z ]+$"")")," Season")</f>
        <v> Season</v>
      </c>
      <c r="AA938" s="5" t="str">
        <f>IFERROR(__xludf.DUMMYFUNCTION("IF(REGEXMATCH(Z938, ""Season""), ""TV Show"", ""Movie"")"),"TV Show")</f>
        <v>TV Show</v>
      </c>
    </row>
    <row r="939">
      <c r="A939" s="1" t="s">
        <v>5628</v>
      </c>
      <c r="B939" s="1" t="s">
        <v>27</v>
      </c>
      <c r="C939" s="1" t="s">
        <v>5629</v>
      </c>
      <c r="D939" s="1" t="s">
        <v>5630</v>
      </c>
      <c r="E939" s="1" t="s">
        <v>5631</v>
      </c>
      <c r="G939" s="7">
        <v>44317.0</v>
      </c>
      <c r="H939" s="1">
        <v>2017.0</v>
      </c>
      <c r="I939" s="1" t="s">
        <v>289</v>
      </c>
      <c r="J939" s="1" t="s">
        <v>1737</v>
      </c>
      <c r="K939" s="1" t="s">
        <v>137</v>
      </c>
      <c r="L939" s="1" t="s">
        <v>5632</v>
      </c>
      <c r="M939" s="2" t="s">
        <v>12</v>
      </c>
      <c r="N939" s="4">
        <f t="shared" si="1"/>
        <v>44317</v>
      </c>
      <c r="O939" s="5" t="str">
        <f>IFERROR(__xludf.DUMMYFUNCTION("IF(REGEXMATCH(TRIM(I939), ""^\d+\s*min""), ""Unclassified"", IF(I939 = """", ""NR"", I939))"),"TV-Y7")</f>
        <v>TV-Y7</v>
      </c>
      <c r="R939" s="5" t="str">
        <f t="shared" si="2"/>
        <v>Motu Patlu In Dragon'S World</v>
      </c>
      <c r="S939" s="5" t="str">
        <f>IFERROR(__xludf.DUMMYFUNCTION("""COMPUTED_VALUE"""),"Best Wishes, Warmest Regards: A Schitt'S Creek Farewell")</f>
        <v>Best Wishes, Warmest Regards: A Schitt'S Creek Farewell</v>
      </c>
      <c r="U939" s="5" t="str">
        <f>IFERROR(__xludf.DUMMYFUNCTION("""COMPUTED_VALUE"""),"Dado C. Lumibao")</f>
        <v>Dado C. Lumibao</v>
      </c>
      <c r="V939" s="5" t="s">
        <v>4397</v>
      </c>
      <c r="W939" s="5" t="str">
        <f t="shared" si="3"/>
        <v>Daniel Schechter</v>
      </c>
      <c r="X939" s="5">
        <f t="shared" si="4"/>
        <v>1</v>
      </c>
      <c r="Y939" s="5" t="str">
        <f>IFERROR(__xludf.DUMMYFUNCTION("REGEXEXTRACT(J939, ""^\d+"")"),"78")</f>
        <v>78</v>
      </c>
      <c r="Z939" s="5" t="str">
        <f>IFERROR(__xludf.DUMMYFUNCTION("REGEXEXTRACT(J939, ""[A-Za-z ]+$"")")," min")</f>
        <v> min</v>
      </c>
      <c r="AA939" s="5" t="str">
        <f>IFERROR(__xludf.DUMMYFUNCTION("IF(REGEXMATCH(Z939, ""Season""), ""TV Show"", ""Movie"")"),"Movie")</f>
        <v>Movie</v>
      </c>
    </row>
    <row r="940">
      <c r="A940" s="1" t="s">
        <v>5633</v>
      </c>
      <c r="B940" s="1" t="s">
        <v>27</v>
      </c>
      <c r="C940" s="1" t="s">
        <v>5634</v>
      </c>
      <c r="D940" s="1" t="s">
        <v>5630</v>
      </c>
      <c r="E940" s="1" t="s">
        <v>5635</v>
      </c>
      <c r="G940" s="7">
        <v>44317.0</v>
      </c>
      <c r="H940" s="1">
        <v>2019.0</v>
      </c>
      <c r="I940" s="1" t="s">
        <v>289</v>
      </c>
      <c r="J940" s="1" t="s">
        <v>630</v>
      </c>
      <c r="K940" s="1" t="s">
        <v>1662</v>
      </c>
      <c r="L940" s="1" t="s">
        <v>5636</v>
      </c>
      <c r="M940" s="2" t="s">
        <v>12</v>
      </c>
      <c r="N940" s="4">
        <f t="shared" si="1"/>
        <v>44317</v>
      </c>
      <c r="O940" s="5" t="str">
        <f>IFERROR(__xludf.DUMMYFUNCTION("IF(REGEXMATCH(TRIM(I940), ""^\d+\s*min""), ""Unclassified"", IF(I940 = """", ""NR"", I940))"),"TV-Y7")</f>
        <v>TV-Y7</v>
      </c>
      <c r="R940" s="5" t="str">
        <f t="shared" si="2"/>
        <v>Motu Patlu In The Game Of Zones</v>
      </c>
      <c r="S940" s="5" t="str">
        <f>IFERROR(__xludf.DUMMYFUNCTION("""COMPUTED_VALUE"""),"Best Worst Thing That Ever Could Have Happened")</f>
        <v>Best Worst Thing That Ever Could Have Happened</v>
      </c>
      <c r="U940" s="5" t="str">
        <f>IFERROR(__xludf.DUMMYFUNCTION("""COMPUTED_VALUE"""),"August Jakobsson")</f>
        <v>August Jakobsson</v>
      </c>
      <c r="V940" s="5" t="s">
        <v>5637</v>
      </c>
      <c r="W940" s="5" t="str">
        <f t="shared" si="3"/>
        <v>Daniel Stamm</v>
      </c>
      <c r="X940" s="5">
        <f t="shared" si="4"/>
        <v>2</v>
      </c>
      <c r="Y940" s="5" t="str">
        <f>IFERROR(__xludf.DUMMYFUNCTION("REGEXEXTRACT(J940, ""^\d+"")"),"87")</f>
        <v>87</v>
      </c>
      <c r="Z940" s="5" t="str">
        <f>IFERROR(__xludf.DUMMYFUNCTION("REGEXEXTRACT(J940, ""[A-Za-z ]+$"")")," min")</f>
        <v> min</v>
      </c>
      <c r="AA940" s="5" t="str">
        <f>IFERROR(__xludf.DUMMYFUNCTION("IF(REGEXMATCH(Z940, ""Season""), ""TV Show"", ""Movie"")"),"Movie")</f>
        <v>Movie</v>
      </c>
    </row>
    <row r="941">
      <c r="A941" s="1" t="s">
        <v>5638</v>
      </c>
      <c r="B941" s="1" t="s">
        <v>27</v>
      </c>
      <c r="C941" s="1" t="s">
        <v>5639</v>
      </c>
      <c r="D941" s="1" t="s">
        <v>5630</v>
      </c>
      <c r="E941" s="1" t="s">
        <v>5640</v>
      </c>
      <c r="G941" s="7">
        <v>44317.0</v>
      </c>
      <c r="H941" s="1">
        <v>2013.0</v>
      </c>
      <c r="I941" s="1" t="s">
        <v>289</v>
      </c>
      <c r="J941" s="1" t="s">
        <v>1171</v>
      </c>
      <c r="K941" s="1" t="s">
        <v>920</v>
      </c>
      <c r="L941" s="1" t="s">
        <v>5641</v>
      </c>
      <c r="M941" s="2" t="s">
        <v>12</v>
      </c>
      <c r="N941" s="4">
        <f t="shared" si="1"/>
        <v>44317</v>
      </c>
      <c r="O941" s="5" t="str">
        <f>IFERROR(__xludf.DUMMYFUNCTION("IF(REGEXMATCH(TRIM(I941), ""^\d+\s*min""), ""Unclassified"", IF(I941 = """", ""NR"", I941))"),"TV-Y7")</f>
        <v>TV-Y7</v>
      </c>
      <c r="R941" s="5" t="str">
        <f t="shared" si="2"/>
        <v>Motu Patlu In Wonderland</v>
      </c>
      <c r="S941" s="5" t="str">
        <f>IFERROR(__xludf.DUMMYFUNCTION("""COMPUTED_VALUE"""),"Best.Worst.Weekend.Ever.")</f>
        <v>Best.Worst.Weekend.Ever.</v>
      </c>
      <c r="U941" s="5" t="str">
        <f>IFERROR(__xludf.DUMMYFUNCTION("""COMPUTED_VALUE"""),"Anna Wieczur-Bluszcz")</f>
        <v>Anna Wieczur-Bluszcz</v>
      </c>
      <c r="V941" s="5" t="s">
        <v>5119</v>
      </c>
      <c r="W941" s="5" t="str">
        <f t="shared" si="3"/>
        <v>Daniel Vernon</v>
      </c>
      <c r="X941" s="5">
        <f t="shared" si="4"/>
        <v>1</v>
      </c>
      <c r="Y941" s="5" t="str">
        <f>IFERROR(__xludf.DUMMYFUNCTION("REGEXEXTRACT(J941, ""^\d+"")"),"76")</f>
        <v>76</v>
      </c>
      <c r="Z941" s="5" t="str">
        <f>IFERROR(__xludf.DUMMYFUNCTION("REGEXEXTRACT(J941, ""[A-Za-z ]+$"")")," min")</f>
        <v> min</v>
      </c>
      <c r="AA941" s="5" t="str">
        <f>IFERROR(__xludf.DUMMYFUNCTION("IF(REGEXMATCH(Z941, ""Season""), ""TV Show"", ""Movie"")"),"Movie")</f>
        <v>Movie</v>
      </c>
    </row>
    <row r="942">
      <c r="A942" s="1" t="s">
        <v>5642</v>
      </c>
      <c r="B942" s="1" t="s">
        <v>27</v>
      </c>
      <c r="C942" s="1" t="s">
        <v>5643</v>
      </c>
      <c r="D942" s="1" t="s">
        <v>5630</v>
      </c>
      <c r="E942" s="1" t="s">
        <v>5644</v>
      </c>
      <c r="G942" s="7">
        <v>44317.0</v>
      </c>
      <c r="H942" s="1">
        <v>2014.0</v>
      </c>
      <c r="I942" s="1" t="s">
        <v>289</v>
      </c>
      <c r="J942" s="1" t="s">
        <v>1171</v>
      </c>
      <c r="K942" s="1" t="s">
        <v>137</v>
      </c>
      <c r="L942" s="1" t="s">
        <v>5645</v>
      </c>
      <c r="M942" s="2" t="s">
        <v>12</v>
      </c>
      <c r="N942" s="4">
        <f t="shared" si="1"/>
        <v>44317</v>
      </c>
      <c r="O942" s="5" t="str">
        <f>IFERROR(__xludf.DUMMYFUNCTION("IF(REGEXMATCH(TRIM(I942), ""^\d+\s*min""), ""Unclassified"", IF(I942 = """", ""NR"", I942))"),"TV-Y7")</f>
        <v>TV-Y7</v>
      </c>
      <c r="R942" s="5" t="str">
        <f t="shared" si="2"/>
        <v>Motu Patlu: Deep Sea Adventure</v>
      </c>
      <c r="S942" s="5" t="str">
        <f>IFERROR(__xludf.DUMMYFUNCTION("""COMPUTED_VALUE"""),"Betaal")</f>
        <v>Betaal</v>
      </c>
      <c r="U942" s="5" t="str">
        <f>IFERROR(__xludf.DUMMYFUNCTION("""COMPUTED_VALUE"""),"Damien O’Connor")</f>
        <v>Damien O’Connor</v>
      </c>
      <c r="V942" s="5" t="s">
        <v>5646</v>
      </c>
      <c r="W942" s="5" t="str">
        <f t="shared" si="3"/>
        <v>Daniel Wilner</v>
      </c>
      <c r="X942" s="5">
        <f t="shared" si="4"/>
        <v>1</v>
      </c>
      <c r="Y942" s="5" t="str">
        <f>IFERROR(__xludf.DUMMYFUNCTION("REGEXEXTRACT(J942, ""^\d+"")"),"76")</f>
        <v>76</v>
      </c>
      <c r="Z942" s="5" t="str">
        <f>IFERROR(__xludf.DUMMYFUNCTION("REGEXEXTRACT(J942, ""[A-Za-z ]+$"")")," min")</f>
        <v> min</v>
      </c>
      <c r="AA942" s="5" t="str">
        <f>IFERROR(__xludf.DUMMYFUNCTION("IF(REGEXMATCH(Z942, ""Season""), ""TV Show"", ""Movie"")"),"Movie")</f>
        <v>Movie</v>
      </c>
    </row>
    <row r="943">
      <c r="A943" s="1" t="s">
        <v>5647</v>
      </c>
      <c r="B943" s="1" t="s">
        <v>27</v>
      </c>
      <c r="C943" s="1" t="s">
        <v>5648</v>
      </c>
      <c r="D943" s="1" t="s">
        <v>5630</v>
      </c>
      <c r="E943" s="1" t="s">
        <v>5649</v>
      </c>
      <c r="G943" s="7">
        <v>44317.0</v>
      </c>
      <c r="H943" s="1">
        <v>2013.0</v>
      </c>
      <c r="I943" s="1" t="s">
        <v>289</v>
      </c>
      <c r="J943" s="1" t="s">
        <v>5650</v>
      </c>
      <c r="K943" s="1" t="s">
        <v>137</v>
      </c>
      <c r="L943" s="1" t="s">
        <v>5651</v>
      </c>
      <c r="M943" s="2" t="s">
        <v>12</v>
      </c>
      <c r="N943" s="4">
        <f t="shared" si="1"/>
        <v>44317</v>
      </c>
      <c r="O943" s="5" t="str">
        <f>IFERROR(__xludf.DUMMYFUNCTION("IF(REGEXMATCH(TRIM(I943), ""^\d+\s*min""), ""Unclassified"", IF(I943 = """", ""NR"", I943))"),"TV-Y7")</f>
        <v>TV-Y7</v>
      </c>
      <c r="R943" s="5" t="str">
        <f t="shared" si="2"/>
        <v>Motu Patlu: Mission Moon</v>
      </c>
      <c r="S943" s="5" t="str">
        <f>IFERROR(__xludf.DUMMYFUNCTION("""COMPUTED_VALUE"""),"Bethany Hamilton: Unstoppable")</f>
        <v>Bethany Hamilton: Unstoppable</v>
      </c>
      <c r="U943" s="5" t="str">
        <f>IFERROR(__xludf.DUMMYFUNCTION("""COMPUTED_VALUE"""),"Richard Laxton")</f>
        <v>Richard Laxton</v>
      </c>
      <c r="V943" s="5" t="s">
        <v>5652</v>
      </c>
      <c r="W943" s="5" t="str">
        <f t="shared" si="3"/>
        <v>Daniel Yee Heng Chan</v>
      </c>
      <c r="X943" s="5">
        <f t="shared" si="4"/>
        <v>1</v>
      </c>
      <c r="Y943" s="5" t="str">
        <f>IFERROR(__xludf.DUMMYFUNCTION("REGEXEXTRACT(J943, ""^\d+"")"),"71")</f>
        <v>71</v>
      </c>
      <c r="Z943" s="5" t="str">
        <f>IFERROR(__xludf.DUMMYFUNCTION("REGEXEXTRACT(J943, ""[A-Za-z ]+$"")")," min")</f>
        <v> min</v>
      </c>
      <c r="AA943" s="5" t="str">
        <f>IFERROR(__xludf.DUMMYFUNCTION("IF(REGEXMATCH(Z943, ""Season""), ""TV Show"", ""Movie"")"),"Movie")</f>
        <v>Movie</v>
      </c>
    </row>
    <row r="944">
      <c r="A944" s="1" t="s">
        <v>5653</v>
      </c>
      <c r="B944" s="1" t="s">
        <v>27</v>
      </c>
      <c r="C944" s="1" t="s">
        <v>5654</v>
      </c>
      <c r="D944" s="1" t="s">
        <v>2279</v>
      </c>
      <c r="E944" s="1" t="s">
        <v>5655</v>
      </c>
      <c r="F944" s="1" t="s">
        <v>5656</v>
      </c>
      <c r="G944" s="7">
        <v>44317.0</v>
      </c>
      <c r="H944" s="1">
        <v>2003.0</v>
      </c>
      <c r="I944" s="1" t="s">
        <v>378</v>
      </c>
      <c r="J944" s="1" t="s">
        <v>2414</v>
      </c>
      <c r="K944" s="1" t="s">
        <v>394</v>
      </c>
      <c r="L944" s="1" t="s">
        <v>5657</v>
      </c>
      <c r="M944" s="2" t="s">
        <v>12</v>
      </c>
      <c r="N944" s="4">
        <f t="shared" si="1"/>
        <v>44317</v>
      </c>
      <c r="O944" s="5" t="str">
        <f>IFERROR(__xludf.DUMMYFUNCTION("IF(REGEXMATCH(TRIM(I944), ""^\d+\s*min""), ""Unclassified"", IF(I944 = """", ""NR"", I944))"),"R")</f>
        <v>R</v>
      </c>
      <c r="R944" s="5" t="str">
        <f t="shared" si="2"/>
        <v>Mystic River</v>
      </c>
      <c r="S944" s="5" t="str">
        <f>IFERROR(__xludf.DUMMYFUNCTION("""COMPUTED_VALUE"""),"Better Call Saul")</f>
        <v>Better Call Saul</v>
      </c>
      <c r="U944" s="5" t="str">
        <f>IFERROR(__xludf.DUMMYFUNCTION("""COMPUTED_VALUE"""),"Gil Kenan")</f>
        <v>Gil Kenan</v>
      </c>
      <c r="V944" s="5" t="s">
        <v>5658</v>
      </c>
      <c r="W944" s="5" t="str">
        <f t="shared" si="3"/>
        <v>Daniela Goggi</v>
      </c>
      <c r="X944" s="5">
        <f t="shared" si="4"/>
        <v>1</v>
      </c>
      <c r="Y944" s="5" t="str">
        <f>IFERROR(__xludf.DUMMYFUNCTION("REGEXEXTRACT(J944, ""^\d+"")"),"138")</f>
        <v>138</v>
      </c>
      <c r="Z944" s="5" t="str">
        <f>IFERROR(__xludf.DUMMYFUNCTION("REGEXEXTRACT(J944, ""[A-Za-z ]+$"")")," min")</f>
        <v> min</v>
      </c>
      <c r="AA944" s="5" t="str">
        <f>IFERROR(__xludf.DUMMYFUNCTION("IF(REGEXMATCH(Z944, ""Season""), ""TV Show"", ""Movie"")"),"Movie")</f>
        <v>Movie</v>
      </c>
    </row>
    <row r="945">
      <c r="A945" s="1" t="s">
        <v>5659</v>
      </c>
      <c r="B945" s="1" t="s">
        <v>27</v>
      </c>
      <c r="C945" s="1" t="s">
        <v>5660</v>
      </c>
      <c r="D945" s="1" t="s">
        <v>5661</v>
      </c>
      <c r="E945" s="1" t="s">
        <v>5662</v>
      </c>
      <c r="F945" s="1" t="s">
        <v>30</v>
      </c>
      <c r="G945" s="7">
        <v>44317.0</v>
      </c>
      <c r="H945" s="1">
        <v>2008.0</v>
      </c>
      <c r="I945" s="1" t="s">
        <v>32</v>
      </c>
      <c r="J945" s="1" t="s">
        <v>519</v>
      </c>
      <c r="K945" s="1" t="s">
        <v>4876</v>
      </c>
      <c r="L945" s="1" t="s">
        <v>5663</v>
      </c>
      <c r="M945" s="2" t="s">
        <v>12</v>
      </c>
      <c r="N945" s="4">
        <f t="shared" si="1"/>
        <v>44317</v>
      </c>
      <c r="O945" s="5" t="str">
        <f>IFERROR(__xludf.DUMMYFUNCTION("IF(REGEXMATCH(TRIM(I945), ""^\d+\s*min""), ""Unclassified"", IF(I945 = """", ""NR"", I945))"),"PG-13")</f>
        <v>PG-13</v>
      </c>
      <c r="R945" s="5" t="str">
        <f t="shared" si="2"/>
        <v>Never Back Down</v>
      </c>
      <c r="S945" s="5" t="str">
        <f>IFERROR(__xludf.DUMMYFUNCTION("""COMPUTED_VALUE"""),"Better Than Us")</f>
        <v>Better Than Us</v>
      </c>
      <c r="U945" s="5" t="str">
        <f>IFERROR(__xludf.DUMMYFUNCTION("""COMPUTED_VALUE"""),"Phil Burgers")</f>
        <v>Phil Burgers</v>
      </c>
      <c r="V945" s="5" t="s">
        <v>5664</v>
      </c>
      <c r="W945" s="5" t="str">
        <f t="shared" si="3"/>
        <v>Daniele Thompson</v>
      </c>
      <c r="X945" s="5">
        <f t="shared" si="4"/>
        <v>1</v>
      </c>
      <c r="Y945" s="5" t="str">
        <f>IFERROR(__xludf.DUMMYFUNCTION("REGEXEXTRACT(J945, ""^\d+"")"),"113")</f>
        <v>113</v>
      </c>
      <c r="Z945" s="5" t="str">
        <f>IFERROR(__xludf.DUMMYFUNCTION("REGEXEXTRACT(J945, ""[A-Za-z ]+$"")")," min")</f>
        <v> min</v>
      </c>
      <c r="AA945" s="5" t="str">
        <f>IFERROR(__xludf.DUMMYFUNCTION("IF(REGEXMATCH(Z945, ""Season""), ""TV Show"", ""Movie"")"),"Movie")</f>
        <v>Movie</v>
      </c>
    </row>
    <row r="946">
      <c r="A946" s="1" t="s">
        <v>5665</v>
      </c>
      <c r="B946" s="1" t="s">
        <v>27</v>
      </c>
      <c r="C946" s="1" t="s">
        <v>5666</v>
      </c>
      <c r="D946" s="1" t="s">
        <v>4432</v>
      </c>
      <c r="E946" s="1" t="s">
        <v>5667</v>
      </c>
      <c r="F946" s="1" t="s">
        <v>3892</v>
      </c>
      <c r="G946" s="7">
        <v>44317.0</v>
      </c>
      <c r="H946" s="1">
        <v>2018.0</v>
      </c>
      <c r="I946" s="1" t="s">
        <v>42</v>
      </c>
      <c r="J946" s="1" t="s">
        <v>170</v>
      </c>
      <c r="K946" s="1" t="s">
        <v>380</v>
      </c>
      <c r="L946" s="1" t="s">
        <v>5668</v>
      </c>
      <c r="M946" s="2" t="s">
        <v>12</v>
      </c>
      <c r="N946" s="4">
        <f t="shared" si="1"/>
        <v>44317</v>
      </c>
      <c r="O946" s="5" t="str">
        <f>IFERROR(__xludf.DUMMYFUNCTION("IF(REGEXMATCH(TRIM(I946), ""^\d+\s*min""), ""Unclassified"", IF(I946 = """", ""NR"", I946))"),"TV-MA")</f>
        <v>TV-MA</v>
      </c>
      <c r="R946" s="5" t="str">
        <f t="shared" si="2"/>
        <v>S.M.A.R.T Chase</v>
      </c>
      <c r="S946" s="5" t="str">
        <f>IFERROR(__xludf.DUMMYFUNCTION("""COMPUTED_VALUE"""),"Betting On Zero")</f>
        <v>Betting On Zero</v>
      </c>
      <c r="U946" s="5" t="str">
        <f>IFERROR(__xludf.DUMMYFUNCTION("""COMPUTED_VALUE"""),"Pierre Morel")</f>
        <v>Pierre Morel</v>
      </c>
      <c r="V946" s="5" t="s">
        <v>5669</v>
      </c>
      <c r="W946" s="5" t="str">
        <f t="shared" si="3"/>
        <v>Danish Aslam</v>
      </c>
      <c r="X946" s="5">
        <f t="shared" si="4"/>
        <v>1</v>
      </c>
      <c r="Y946" s="5" t="str">
        <f>IFERROR(__xludf.DUMMYFUNCTION("REGEXEXTRACT(J946, ""^\d+"")"),"94")</f>
        <v>94</v>
      </c>
      <c r="Z946" s="5" t="str">
        <f>IFERROR(__xludf.DUMMYFUNCTION("REGEXEXTRACT(J946, ""[A-Za-z ]+$"")")," min")</f>
        <v> min</v>
      </c>
      <c r="AA946" s="5" t="str">
        <f>IFERROR(__xludf.DUMMYFUNCTION("IF(REGEXMATCH(Z946, ""Season""), ""TV Show"", ""Movie"")"),"Movie")</f>
        <v>Movie</v>
      </c>
    </row>
    <row r="947">
      <c r="A947" s="1" t="s">
        <v>5670</v>
      </c>
      <c r="B947" s="1" t="s">
        <v>27</v>
      </c>
      <c r="C947" s="1" t="s">
        <v>5671</v>
      </c>
      <c r="D947" s="1" t="s">
        <v>5672</v>
      </c>
      <c r="E947" s="1" t="s">
        <v>5673</v>
      </c>
      <c r="F947" s="1" t="s">
        <v>96</v>
      </c>
      <c r="G947" s="7">
        <v>44317.0</v>
      </c>
      <c r="H947" s="1">
        <v>2020.0</v>
      </c>
      <c r="I947" s="1" t="s">
        <v>42</v>
      </c>
      <c r="J947" s="1" t="s">
        <v>1191</v>
      </c>
      <c r="K947" s="1" t="s">
        <v>128</v>
      </c>
      <c r="L947" s="1" t="s">
        <v>5674</v>
      </c>
      <c r="M947" s="2" t="s">
        <v>12</v>
      </c>
      <c r="N947" s="4">
        <f t="shared" si="1"/>
        <v>44317</v>
      </c>
      <c r="O947" s="5" t="str">
        <f>IFERROR(__xludf.DUMMYFUNCTION("IF(REGEXMATCH(TRIM(I947), ""^\d+\s*min""), ""Unclassified"", IF(I947 = """", ""NR"", I947))"),"TV-MA")</f>
        <v>TV-MA</v>
      </c>
      <c r="R947" s="5" t="str">
        <f t="shared" si="2"/>
        <v>Sitting In Limbo</v>
      </c>
      <c r="S947" s="5" t="str">
        <f>IFERROR(__xludf.DUMMYFUNCTION("""COMPUTED_VALUE"""),"Betty White: First Lady Of Television")</f>
        <v>Betty White: First Lady Of Television</v>
      </c>
      <c r="U947" s="5" t="str">
        <f>IFERROR(__xludf.DUMMYFUNCTION("""COMPUTED_VALUE"""),"Brian Henson")</f>
        <v>Brian Henson</v>
      </c>
      <c r="V947" s="5" t="s">
        <v>1104</v>
      </c>
      <c r="W947" s="5" t="str">
        <f t="shared" si="3"/>
        <v>Danishka Esterhazy</v>
      </c>
      <c r="X947" s="5">
        <f t="shared" si="4"/>
        <v>1</v>
      </c>
      <c r="Y947" s="5" t="str">
        <f>IFERROR(__xludf.DUMMYFUNCTION("REGEXEXTRACT(J947, ""^\d+"")"),"89")</f>
        <v>89</v>
      </c>
      <c r="Z947" s="5" t="str">
        <f>IFERROR(__xludf.DUMMYFUNCTION("REGEXEXTRACT(J947, ""[A-Za-z ]+$"")")," min")</f>
        <v> min</v>
      </c>
      <c r="AA947" s="5" t="str">
        <f>IFERROR(__xludf.DUMMYFUNCTION("IF(REGEXMATCH(Z947, ""Season""), ""TV Show"", ""Movie"")"),"Movie")</f>
        <v>Movie</v>
      </c>
    </row>
    <row r="948">
      <c r="A948" s="1" t="s">
        <v>5675</v>
      </c>
      <c r="B948" s="1" t="s">
        <v>27</v>
      </c>
      <c r="C948" s="1" t="s">
        <v>5676</v>
      </c>
      <c r="D948" s="1" t="s">
        <v>5677</v>
      </c>
      <c r="E948" s="1" t="s">
        <v>5678</v>
      </c>
      <c r="F948" s="1" t="s">
        <v>2321</v>
      </c>
      <c r="G948" s="7">
        <v>44317.0</v>
      </c>
      <c r="H948" s="1">
        <v>1994.0</v>
      </c>
      <c r="I948" s="1" t="s">
        <v>32</v>
      </c>
      <c r="J948" s="1" t="s">
        <v>941</v>
      </c>
      <c r="K948" s="1" t="s">
        <v>942</v>
      </c>
      <c r="L948" s="1" t="s">
        <v>5679</v>
      </c>
      <c r="M948" s="2" t="s">
        <v>12</v>
      </c>
      <c r="N948" s="4">
        <f t="shared" si="1"/>
        <v>44317</v>
      </c>
      <c r="O948" s="5" t="str">
        <f>IFERROR(__xludf.DUMMYFUNCTION("IF(REGEXMATCH(TRIM(I948), ""^\d+\s*min""), ""Unclassified"", IF(I948 = """", ""NR"", I948))"),"PG-13")</f>
        <v>PG-13</v>
      </c>
      <c r="R948" s="5" t="str">
        <f t="shared" si="2"/>
        <v>Stargate</v>
      </c>
      <c r="S948" s="5" t="str">
        <f>IFERROR(__xludf.DUMMYFUNCTION("""COMPUTED_VALUE"""),"Between")</f>
        <v>Between</v>
      </c>
      <c r="U948" s="5" t="str">
        <f>IFERROR(__xludf.DUMMYFUNCTION("""COMPUTED_VALUE"""),"Derick Cabrido")</f>
        <v>Derick Cabrido</v>
      </c>
      <c r="V948" s="5" t="s">
        <v>5680</v>
      </c>
      <c r="W948" s="5" t="str">
        <f t="shared" si="3"/>
        <v>Danny Boyle</v>
      </c>
      <c r="X948" s="5">
        <f t="shared" si="4"/>
        <v>2</v>
      </c>
      <c r="Y948" s="5" t="str">
        <f>IFERROR(__xludf.DUMMYFUNCTION("REGEXEXTRACT(J948, ""^\d+"")"),"121")</f>
        <v>121</v>
      </c>
      <c r="Z948" s="5" t="str">
        <f>IFERROR(__xludf.DUMMYFUNCTION("REGEXEXTRACT(J948, ""[A-Za-z ]+$"")")," min")</f>
        <v> min</v>
      </c>
      <c r="AA948" s="5" t="str">
        <f>IFERROR(__xludf.DUMMYFUNCTION("IF(REGEXMATCH(Z948, ""Season""), ""TV Show"", ""Movie"")"),"Movie")</f>
        <v>Movie</v>
      </c>
    </row>
    <row r="949">
      <c r="A949" s="1" t="s">
        <v>5681</v>
      </c>
      <c r="B949" s="1" t="s">
        <v>27</v>
      </c>
      <c r="C949" s="1" t="s">
        <v>5682</v>
      </c>
      <c r="D949" s="1" t="s">
        <v>5683</v>
      </c>
      <c r="E949" s="1" t="s">
        <v>5684</v>
      </c>
      <c r="F949" s="1" t="s">
        <v>5685</v>
      </c>
      <c r="G949" s="7">
        <v>44317.0</v>
      </c>
      <c r="H949" s="1">
        <v>2009.0</v>
      </c>
      <c r="I949" s="1" t="s">
        <v>32</v>
      </c>
      <c r="J949" s="1" t="s">
        <v>127</v>
      </c>
      <c r="K949" s="1" t="s">
        <v>394</v>
      </c>
      <c r="L949" s="1" t="s">
        <v>5686</v>
      </c>
      <c r="M949" s="2" t="s">
        <v>12</v>
      </c>
      <c r="N949" s="4">
        <f t="shared" si="1"/>
        <v>44317</v>
      </c>
      <c r="O949" s="5" t="str">
        <f>IFERROR(__xludf.DUMMYFUNCTION("IF(REGEXMATCH(TRIM(I949), ""^\d+\s*min""), ""Unclassified"", IF(I949 = """", ""NR"", I949))"),"PG-13")</f>
        <v>PG-13</v>
      </c>
      <c r="R949" s="5" t="str">
        <f t="shared" si="2"/>
        <v>State Of Play</v>
      </c>
      <c r="S949" s="5" t="str">
        <f>IFERROR(__xludf.DUMMYFUNCTION("""COMPUTED_VALUE"""),"Between Maybes")</f>
        <v>Between Maybes</v>
      </c>
      <c r="U949" s="5" t="str">
        <f>IFERROR(__xludf.DUMMYFUNCTION("""COMPUTED_VALUE"""),"Marla M. Ancheta")</f>
        <v>Marla M. Ancheta</v>
      </c>
      <c r="V949" s="5" t="s">
        <v>5687</v>
      </c>
      <c r="W949" s="5" t="str">
        <f t="shared" si="3"/>
        <v>Danny Cannon</v>
      </c>
      <c r="X949" s="5">
        <f t="shared" si="4"/>
        <v>1</v>
      </c>
      <c r="Y949" s="5" t="str">
        <f>IFERROR(__xludf.DUMMYFUNCTION("REGEXEXTRACT(J949, ""^\d+"")"),"127")</f>
        <v>127</v>
      </c>
      <c r="Z949" s="5" t="str">
        <f>IFERROR(__xludf.DUMMYFUNCTION("REGEXEXTRACT(J949, ""[A-Za-z ]+$"")")," min")</f>
        <v> min</v>
      </c>
      <c r="AA949" s="5" t="str">
        <f>IFERROR(__xludf.DUMMYFUNCTION("IF(REGEXMATCH(Z949, ""Season""), ""TV Show"", ""Movie"")"),"Movie")</f>
        <v>Movie</v>
      </c>
    </row>
    <row r="950">
      <c r="A950" s="1" t="s">
        <v>5688</v>
      </c>
      <c r="B950" s="1" t="s">
        <v>27</v>
      </c>
      <c r="C950" s="1" t="s">
        <v>5689</v>
      </c>
      <c r="D950" s="1" t="s">
        <v>2169</v>
      </c>
      <c r="E950" s="1" t="s">
        <v>5690</v>
      </c>
      <c r="F950" s="1" t="s">
        <v>30</v>
      </c>
      <c r="G950" s="7">
        <v>44317.0</v>
      </c>
      <c r="H950" s="1">
        <v>2018.0</v>
      </c>
      <c r="I950" s="1" t="s">
        <v>97</v>
      </c>
      <c r="J950" s="1" t="s">
        <v>170</v>
      </c>
      <c r="K950" s="1" t="s">
        <v>239</v>
      </c>
      <c r="L950" s="1" t="s">
        <v>5691</v>
      </c>
      <c r="M950" s="2" t="s">
        <v>12</v>
      </c>
      <c r="N950" s="4">
        <f t="shared" si="1"/>
        <v>44317</v>
      </c>
      <c r="O950" s="5" t="str">
        <f>IFERROR(__xludf.DUMMYFUNCTION("IF(REGEXMATCH(TRIM(I950), ""^\d+\s*min""), ""Unclassified"", IF(I950 = """", ""NR"", I950))"),"TV-14")</f>
        <v>TV-14</v>
      </c>
      <c r="R950" s="5" t="str">
        <f t="shared" si="2"/>
        <v>Swiped</v>
      </c>
      <c r="S950" s="5" t="str">
        <f>IFERROR(__xludf.DUMMYFUNCTION("""COMPUTED_VALUE"""),"Between Two Ferns: The Movie")</f>
        <v>Between Two Ferns: The Movie</v>
      </c>
      <c r="U950" s="5" t="str">
        <f>IFERROR(__xludf.DUMMYFUNCTION("""COMPUTED_VALUE"""),"Jen Mcgowan")</f>
        <v>Jen Mcgowan</v>
      </c>
      <c r="V950" s="5" t="s">
        <v>5692</v>
      </c>
      <c r="W950" s="5" t="str">
        <f t="shared" si="3"/>
        <v>Danny J. Boyle</v>
      </c>
      <c r="X950" s="5">
        <f t="shared" si="4"/>
        <v>1</v>
      </c>
      <c r="Y950" s="5" t="str">
        <f>IFERROR(__xludf.DUMMYFUNCTION("REGEXEXTRACT(J950, ""^\d+"")"),"94")</f>
        <v>94</v>
      </c>
      <c r="Z950" s="5" t="str">
        <f>IFERROR(__xludf.DUMMYFUNCTION("REGEXEXTRACT(J950, ""[A-Za-z ]+$"")")," min")</f>
        <v> min</v>
      </c>
      <c r="AA950" s="5" t="str">
        <f>IFERROR(__xludf.DUMMYFUNCTION("IF(REGEXMATCH(Z950, ""Season""), ""TV Show"", ""Movie"")"),"Movie")</f>
        <v>Movie</v>
      </c>
    </row>
    <row r="951">
      <c r="A951" s="1" t="s">
        <v>5693</v>
      </c>
      <c r="B951" s="1" t="s">
        <v>27</v>
      </c>
      <c r="C951" s="1" t="s">
        <v>5694</v>
      </c>
      <c r="D951" s="1" t="s">
        <v>4711</v>
      </c>
      <c r="E951" s="1" t="s">
        <v>5695</v>
      </c>
      <c r="F951" s="1" t="s">
        <v>5696</v>
      </c>
      <c r="G951" s="7">
        <v>44317.0</v>
      </c>
      <c r="H951" s="1">
        <v>2011.0</v>
      </c>
      <c r="I951" s="1" t="s">
        <v>32</v>
      </c>
      <c r="J951" s="1" t="s">
        <v>1191</v>
      </c>
      <c r="K951" s="1" t="s">
        <v>942</v>
      </c>
      <c r="L951" s="1" t="s">
        <v>5697</v>
      </c>
      <c r="M951" s="2" t="s">
        <v>12</v>
      </c>
      <c r="N951" s="4">
        <f t="shared" si="1"/>
        <v>44317</v>
      </c>
      <c r="O951" s="5" t="str">
        <f>IFERROR(__xludf.DUMMYFUNCTION("IF(REGEXMATCH(TRIM(I951), ""^\d+\s*min""), ""Unclassified"", IF(I951 = """", ""NR"", I951))"),"PG-13")</f>
        <v>PG-13</v>
      </c>
      <c r="R951" s="5" t="str">
        <f t="shared" si="2"/>
        <v>The Darkest Hour</v>
      </c>
      <c r="S951" s="5" t="str">
        <f>IFERROR(__xludf.DUMMYFUNCTION("""COMPUTED_VALUE"""),"Between Worlds")</f>
        <v>Between Worlds</v>
      </c>
      <c r="U951" s="5" t="str">
        <f>IFERROR(__xludf.DUMMYFUNCTION("""COMPUTED_VALUE"""),"Bernie Denk")</f>
        <v>Bernie Denk</v>
      </c>
      <c r="V951" s="5" t="s">
        <v>5698</v>
      </c>
      <c r="W951" s="5" t="str">
        <f t="shared" si="3"/>
        <v>Danny Leiner</v>
      </c>
      <c r="X951" s="5">
        <f t="shared" si="4"/>
        <v>1</v>
      </c>
      <c r="Y951" s="5" t="str">
        <f>IFERROR(__xludf.DUMMYFUNCTION("REGEXEXTRACT(J951, ""^\d+"")"),"89")</f>
        <v>89</v>
      </c>
      <c r="Z951" s="5" t="str">
        <f>IFERROR(__xludf.DUMMYFUNCTION("REGEXEXTRACT(J951, ""[A-Za-z ]+$"")")," min")</f>
        <v> min</v>
      </c>
      <c r="AA951" s="5" t="str">
        <f>IFERROR(__xludf.DUMMYFUNCTION("IF(REGEXMATCH(Z951, ""Season""), ""TV Show"", ""Movie"")"),"Movie")</f>
        <v>Movie</v>
      </c>
    </row>
    <row r="952">
      <c r="A952" s="1" t="s">
        <v>5699</v>
      </c>
      <c r="B952" s="1" t="s">
        <v>27</v>
      </c>
      <c r="C952" s="1" t="s">
        <v>5700</v>
      </c>
      <c r="D952" s="1" t="s">
        <v>5701</v>
      </c>
      <c r="E952" s="1" t="s">
        <v>5702</v>
      </c>
      <c r="F952" s="1" t="s">
        <v>5703</v>
      </c>
      <c r="G952" s="7">
        <v>44317.0</v>
      </c>
      <c r="H952" s="1">
        <v>2009.0</v>
      </c>
      <c r="I952" s="1" t="s">
        <v>32</v>
      </c>
      <c r="J952" s="1" t="s">
        <v>1383</v>
      </c>
      <c r="K952" s="1" t="s">
        <v>5704</v>
      </c>
      <c r="L952" s="1" t="s">
        <v>5705</v>
      </c>
      <c r="M952" s="2" t="s">
        <v>12</v>
      </c>
      <c r="N952" s="4">
        <f t="shared" si="1"/>
        <v>44317</v>
      </c>
      <c r="O952" s="5" t="str">
        <f>IFERROR(__xludf.DUMMYFUNCTION("IF(REGEXMATCH(TRIM(I952), ""^\d+\s*min""), ""Unclassified"", IF(I952 = """", ""NR"", I952))"),"PG-13")</f>
        <v>PG-13</v>
      </c>
      <c r="R952" s="5" t="str">
        <f t="shared" si="2"/>
        <v>The Lovely Bones</v>
      </c>
      <c r="S952" s="5" t="str">
        <f>IFERROR(__xludf.DUMMYFUNCTION("""COMPUTED_VALUE"""),"Beverly Hills Ninja")</f>
        <v>Beverly Hills Ninja</v>
      </c>
      <c r="U952" s="5" t="str">
        <f>IFERROR(__xludf.DUMMYFUNCTION("""COMPUTED_VALUE"""),"Brian Skiba")</f>
        <v>Brian Skiba</v>
      </c>
      <c r="V952" s="5" t="s">
        <v>5706</v>
      </c>
      <c r="W952" s="5" t="str">
        <f t="shared" si="3"/>
        <v>Dante Lam</v>
      </c>
      <c r="X952" s="5">
        <f t="shared" si="4"/>
        <v>3</v>
      </c>
      <c r="Y952" s="5" t="str">
        <f>IFERROR(__xludf.DUMMYFUNCTION("REGEXEXTRACT(J952, ""^\d+"")"),"136")</f>
        <v>136</v>
      </c>
      <c r="Z952" s="5" t="str">
        <f>IFERROR(__xludf.DUMMYFUNCTION("REGEXEXTRACT(J952, ""[A-Za-z ]+$"")")," min")</f>
        <v> min</v>
      </c>
      <c r="AA952" s="5" t="str">
        <f>IFERROR(__xludf.DUMMYFUNCTION("IF(REGEXMATCH(Z952, ""Season""), ""TV Show"", ""Movie"")"),"Movie")</f>
        <v>Movie</v>
      </c>
    </row>
    <row r="953">
      <c r="A953" s="1" t="s">
        <v>5707</v>
      </c>
      <c r="B953" s="1" t="s">
        <v>27</v>
      </c>
      <c r="C953" s="1" t="s">
        <v>5708</v>
      </c>
      <c r="D953" s="1" t="s">
        <v>5709</v>
      </c>
      <c r="E953" s="1" t="s">
        <v>5710</v>
      </c>
      <c r="F953" s="1" t="s">
        <v>30</v>
      </c>
      <c r="G953" s="7">
        <v>44317.0</v>
      </c>
      <c r="H953" s="1">
        <v>2002.0</v>
      </c>
      <c r="I953" s="1" t="s">
        <v>378</v>
      </c>
      <c r="J953" s="1" t="s">
        <v>1191</v>
      </c>
      <c r="K953" s="1" t="s">
        <v>813</v>
      </c>
      <c r="L953" s="1" t="s">
        <v>5711</v>
      </c>
      <c r="M953" s="2" t="s">
        <v>12</v>
      </c>
      <c r="N953" s="4">
        <f t="shared" si="1"/>
        <v>44317</v>
      </c>
      <c r="O953" s="5" t="str">
        <f>IFERROR(__xludf.DUMMYFUNCTION("IF(REGEXMATCH(TRIM(I953), ""^\d+\s*min""), ""Unclassified"", IF(I953 = """", ""NR"", I953))"),"R")</f>
        <v>R</v>
      </c>
      <c r="R953" s="5" t="str">
        <f t="shared" si="2"/>
        <v>The Sweetest Thing</v>
      </c>
      <c r="S953" s="5" t="str">
        <f>IFERROR(__xludf.DUMMYFUNCTION("""COMPUTED_VALUE"""),"Bewafaa")</f>
        <v>Bewafaa</v>
      </c>
      <c r="U953" s="5" t="str">
        <f>IFERROR(__xludf.DUMMYFUNCTION("""COMPUTED_VALUE"""),"Stanley Moore, Alex Woo")</f>
        <v>Stanley Moore, Alex Woo</v>
      </c>
      <c r="V953" s="5" t="s">
        <v>5712</v>
      </c>
      <c r="W953" s="5" t="str">
        <f t="shared" si="3"/>
        <v>Dar Gai</v>
      </c>
      <c r="X953" s="5">
        <f t="shared" si="4"/>
        <v>1</v>
      </c>
      <c r="Y953" s="5" t="str">
        <f>IFERROR(__xludf.DUMMYFUNCTION("REGEXEXTRACT(J953, ""^\d+"")"),"89")</f>
        <v>89</v>
      </c>
      <c r="Z953" s="5" t="str">
        <f>IFERROR(__xludf.DUMMYFUNCTION("REGEXEXTRACT(J953, ""[A-Za-z ]+$"")")," min")</f>
        <v> min</v>
      </c>
      <c r="AA953" s="5" t="str">
        <f>IFERROR(__xludf.DUMMYFUNCTION("IF(REGEXMATCH(Z953, ""Season""), ""TV Show"", ""Movie"")"),"Movie")</f>
        <v>Movie</v>
      </c>
    </row>
    <row r="954">
      <c r="A954" s="1" t="s">
        <v>5713</v>
      </c>
      <c r="B954" s="1" t="s">
        <v>27</v>
      </c>
      <c r="C954" s="1" t="s">
        <v>5714</v>
      </c>
      <c r="D954" s="1" t="s">
        <v>5715</v>
      </c>
      <c r="E954" s="1" t="s">
        <v>5716</v>
      </c>
      <c r="F954" s="1" t="s">
        <v>30</v>
      </c>
      <c r="G954" s="7">
        <v>44317.0</v>
      </c>
      <c r="H954" s="1">
        <v>2000.0</v>
      </c>
      <c r="I954" s="1" t="s">
        <v>378</v>
      </c>
      <c r="J954" s="1" t="s">
        <v>416</v>
      </c>
      <c r="K954" s="1" t="s">
        <v>973</v>
      </c>
      <c r="L954" s="1" t="s">
        <v>5717</v>
      </c>
      <c r="M954" s="2" t="s">
        <v>12</v>
      </c>
      <c r="N954" s="4">
        <f t="shared" si="1"/>
        <v>44317</v>
      </c>
      <c r="O954" s="5" t="str">
        <f>IFERROR(__xludf.DUMMYFUNCTION("IF(REGEXMATCH(TRIM(I954), ""^\d+\s*min""), ""Unclassified"", IF(I954 = """", ""NR"", I954))"),"R")</f>
        <v>R</v>
      </c>
      <c r="R954" s="5" t="str">
        <f t="shared" si="2"/>
        <v>The Whole Nine Yards</v>
      </c>
      <c r="S954" s="5" t="str">
        <f>IFERROR(__xludf.DUMMYFUNCTION("""COMPUTED_VALUE"""),"Bewildered Bolbol")</f>
        <v>Bewildered Bolbol</v>
      </c>
      <c r="U954" s="5" t="str">
        <f>IFERROR(__xludf.DUMMYFUNCTION("""COMPUTED_VALUE"""),"Oliver Bokelberg")</f>
        <v>Oliver Bokelberg</v>
      </c>
      <c r="V954" s="5" t="s">
        <v>5718</v>
      </c>
      <c r="W954" s="5" t="str">
        <f t="shared" si="3"/>
        <v>Dare Olaitan</v>
      </c>
      <c r="X954" s="5">
        <f t="shared" si="4"/>
        <v>1</v>
      </c>
      <c r="Y954" s="5" t="str">
        <f>IFERROR(__xludf.DUMMYFUNCTION("REGEXEXTRACT(J954, ""^\d+"")"),"99")</f>
        <v>99</v>
      </c>
      <c r="Z954" s="5" t="str">
        <f>IFERROR(__xludf.DUMMYFUNCTION("REGEXEXTRACT(J954, ""[A-Za-z ]+$"")")," min")</f>
        <v> min</v>
      </c>
      <c r="AA954" s="5" t="str">
        <f>IFERROR(__xludf.DUMMYFUNCTION("IF(REGEXMATCH(Z954, ""Season""), ""TV Show"", ""Movie"")"),"Movie")</f>
        <v>Movie</v>
      </c>
    </row>
    <row r="955">
      <c r="A955" s="1" t="s">
        <v>5719</v>
      </c>
      <c r="B955" s="1" t="s">
        <v>27</v>
      </c>
      <c r="C955" s="1" t="s">
        <v>5720</v>
      </c>
      <c r="D955" s="1" t="s">
        <v>5220</v>
      </c>
      <c r="E955" s="1" t="s">
        <v>5721</v>
      </c>
      <c r="F955" s="1" t="s">
        <v>30</v>
      </c>
      <c r="G955" s="7">
        <v>44317.0</v>
      </c>
      <c r="H955" s="1">
        <v>2016.0</v>
      </c>
      <c r="I955" s="1" t="s">
        <v>378</v>
      </c>
      <c r="J955" s="1" t="s">
        <v>454</v>
      </c>
      <c r="K955" s="1" t="s">
        <v>394</v>
      </c>
      <c r="L955" s="1" t="s">
        <v>5722</v>
      </c>
      <c r="M955" s="2" t="s">
        <v>12</v>
      </c>
      <c r="N955" s="4">
        <f t="shared" si="1"/>
        <v>44317</v>
      </c>
      <c r="O955" s="5" t="str">
        <f>IFERROR(__xludf.DUMMYFUNCTION("IF(REGEXMATCH(TRIM(I955), ""^\d+\s*min""), ""Unclassified"", IF(I955 = """", ""NR"", I955))"),"R")</f>
        <v>R</v>
      </c>
      <c r="R955" s="5" t="str">
        <f t="shared" si="2"/>
        <v>The Whole Truth</v>
      </c>
      <c r="S955" s="5" t="str">
        <f>IFERROR(__xludf.DUMMYFUNCTION("""COMPUTED_VALUE"""),"Beyblade Burst")</f>
        <v>Beyblade Burst</v>
      </c>
      <c r="U955" s="5" t="str">
        <f>IFERROR(__xludf.DUMMYFUNCTION("""COMPUTED_VALUE"""),"Ángel Gómez Hernández")</f>
        <v>Ángel Gómez Hernández</v>
      </c>
      <c r="V955" s="5" t="s">
        <v>5723</v>
      </c>
      <c r="W955" s="5" t="str">
        <f t="shared" si="3"/>
        <v>Darragh O'Connell</v>
      </c>
      <c r="X955" s="5">
        <f t="shared" si="4"/>
        <v>1</v>
      </c>
      <c r="Y955" s="5" t="str">
        <f>IFERROR(__xludf.DUMMYFUNCTION("REGEXEXTRACT(J955, ""^\d+"")"),"93")</f>
        <v>93</v>
      </c>
      <c r="Z955" s="5" t="str">
        <f>IFERROR(__xludf.DUMMYFUNCTION("REGEXEXTRACT(J955, ""[A-Za-z ]+$"")")," min")</f>
        <v> min</v>
      </c>
      <c r="AA955" s="5" t="str">
        <f>IFERROR(__xludf.DUMMYFUNCTION("IF(REGEXMATCH(Z955, ""Season""), ""TV Show"", ""Movie"")"),"Movie")</f>
        <v>Movie</v>
      </c>
    </row>
    <row r="956">
      <c r="A956" s="1" t="s">
        <v>5724</v>
      </c>
      <c r="B956" s="1" t="s">
        <v>27</v>
      </c>
      <c r="C956" s="1" t="s">
        <v>5725</v>
      </c>
      <c r="D956" s="1" t="s">
        <v>5726</v>
      </c>
      <c r="E956" s="1" t="s">
        <v>5727</v>
      </c>
      <c r="F956" s="1" t="s">
        <v>1106</v>
      </c>
      <c r="G956" s="7">
        <v>44317.0</v>
      </c>
      <c r="H956" s="1">
        <v>2018.0</v>
      </c>
      <c r="I956" s="1" t="s">
        <v>136</v>
      </c>
      <c r="J956" s="1" t="s">
        <v>471</v>
      </c>
      <c r="K956" s="1" t="s">
        <v>137</v>
      </c>
      <c r="L956" s="1" t="s">
        <v>5728</v>
      </c>
      <c r="M956" s="2" t="s">
        <v>12</v>
      </c>
      <c r="N956" s="4">
        <f t="shared" si="1"/>
        <v>44317</v>
      </c>
      <c r="O956" s="5" t="str">
        <f>IFERROR(__xludf.DUMMYFUNCTION("IF(REGEXMATCH(TRIM(I956), ""^\d+\s*min""), ""Unclassified"", IF(I956 = """", ""NR"", I956))"),"TV-PG")</f>
        <v>TV-PG</v>
      </c>
      <c r="R956" s="5" t="str">
        <f t="shared" si="2"/>
        <v>The Yeti Adventures</v>
      </c>
      <c r="S956" s="5" t="str">
        <f>IFERROR(__xludf.DUMMYFUNCTION("""COMPUTED_VALUE"""),"Beyblade Burst Evolution")</f>
        <v>Beyblade Burst Evolution</v>
      </c>
      <c r="U956" s="5" t="str">
        <f>IFERROR(__xludf.DUMMYFUNCTION("""COMPUTED_VALUE"""),"Ludovico Di Martino")</f>
        <v>Ludovico Di Martino</v>
      </c>
      <c r="V956" s="5" t="s">
        <v>5729</v>
      </c>
      <c r="W956" s="5" t="str">
        <f t="shared" si="3"/>
        <v>Darren Grant</v>
      </c>
      <c r="X956" s="5">
        <f t="shared" si="4"/>
        <v>1</v>
      </c>
      <c r="Y956" s="5" t="str">
        <f>IFERROR(__xludf.DUMMYFUNCTION("REGEXEXTRACT(J956, ""^\d+"")"),"85")</f>
        <v>85</v>
      </c>
      <c r="Z956" s="5" t="str">
        <f>IFERROR(__xludf.DUMMYFUNCTION("REGEXEXTRACT(J956, ""[A-Za-z ]+$"")")," min")</f>
        <v> min</v>
      </c>
      <c r="AA956" s="5" t="str">
        <f>IFERROR(__xludf.DUMMYFUNCTION("IF(REGEXMATCH(Z956, ""Season""), ""TV Show"", ""Movie"")"),"Movie")</f>
        <v>Movie</v>
      </c>
    </row>
    <row r="957">
      <c r="A957" s="1" t="s">
        <v>5730</v>
      </c>
      <c r="B957" s="1" t="s">
        <v>27</v>
      </c>
      <c r="C957" s="1" t="s">
        <v>5731</v>
      </c>
      <c r="D957" s="1" t="s">
        <v>1855</v>
      </c>
      <c r="E957" s="1" t="s">
        <v>5732</v>
      </c>
      <c r="F957" s="1" t="s">
        <v>718</v>
      </c>
      <c r="G957" s="7">
        <v>44317.0</v>
      </c>
      <c r="H957" s="1">
        <v>1992.0</v>
      </c>
      <c r="I957" s="1" t="s">
        <v>378</v>
      </c>
      <c r="J957" s="1" t="s">
        <v>447</v>
      </c>
      <c r="K957" s="1" t="s">
        <v>380</v>
      </c>
      <c r="L957" s="1" t="s">
        <v>5733</v>
      </c>
      <c r="M957" s="2" t="s">
        <v>12</v>
      </c>
      <c r="N957" s="4">
        <f t="shared" si="1"/>
        <v>44317</v>
      </c>
      <c r="O957" s="5" t="str">
        <f>IFERROR(__xludf.DUMMYFUNCTION("IF(REGEXMATCH(TRIM(I957), ""^\d+\s*min""), ""Unclassified"", IF(I957 = """", ""NR"", I957))"),"R")</f>
        <v>R</v>
      </c>
      <c r="R957" s="5" t="str">
        <f t="shared" si="2"/>
        <v>Under Siege</v>
      </c>
      <c r="S957" s="5" t="str">
        <f>IFERROR(__xludf.DUMMYFUNCTION("""COMPUTED_VALUE"""),"Beyblade Burst Rise")</f>
        <v>Beyblade Burst Rise</v>
      </c>
      <c r="U957" s="5" t="str">
        <f>IFERROR(__xludf.DUMMYFUNCTION("""COMPUTED_VALUE"""),"Lee Chung-Hyun")</f>
        <v>Lee Chung-Hyun</v>
      </c>
      <c r="V957" s="5" t="s">
        <v>5734</v>
      </c>
      <c r="W957" s="5" t="str">
        <f t="shared" si="3"/>
        <v>Darren Lynn Bousman</v>
      </c>
      <c r="X957" s="5">
        <f t="shared" si="4"/>
        <v>2</v>
      </c>
      <c r="Y957" s="5" t="str">
        <f>IFERROR(__xludf.DUMMYFUNCTION("REGEXEXTRACT(J957, ""^\d+"")"),"102")</f>
        <v>102</v>
      </c>
      <c r="Z957" s="5" t="str">
        <f>IFERROR(__xludf.DUMMYFUNCTION("REGEXEXTRACT(J957, ""[A-Za-z ]+$"")")," min")</f>
        <v> min</v>
      </c>
      <c r="AA957" s="5" t="str">
        <f>IFERROR(__xludf.DUMMYFUNCTION("IF(REGEXMATCH(Z957, ""Season""), ""TV Show"", ""Movie"")"),"Movie")</f>
        <v>Movie</v>
      </c>
    </row>
    <row r="958">
      <c r="A958" s="1" t="s">
        <v>5735</v>
      </c>
      <c r="B958" s="1" t="s">
        <v>27</v>
      </c>
      <c r="C958" s="1" t="s">
        <v>5736</v>
      </c>
      <c r="D958" s="1" t="s">
        <v>5737</v>
      </c>
      <c r="E958" s="1" t="s">
        <v>5738</v>
      </c>
      <c r="F958" s="1" t="s">
        <v>30</v>
      </c>
      <c r="G958" s="7">
        <v>44317.0</v>
      </c>
      <c r="H958" s="1">
        <v>2008.0</v>
      </c>
      <c r="I958" s="1" t="s">
        <v>378</v>
      </c>
      <c r="J958" s="1" t="s">
        <v>1091</v>
      </c>
      <c r="K958" s="1" t="s">
        <v>5739</v>
      </c>
      <c r="L958" s="1" t="s">
        <v>5740</v>
      </c>
      <c r="M958" s="2" t="s">
        <v>12</v>
      </c>
      <c r="N958" s="4">
        <f t="shared" si="1"/>
        <v>44317</v>
      </c>
      <c r="O958" s="5" t="str">
        <f>IFERROR(__xludf.DUMMYFUNCTION("IF(REGEXMATCH(TRIM(I958), ""^\d+\s*min""), ""Unclassified"", IF(I958 = """", ""NR"", I958))"),"R")</f>
        <v>R</v>
      </c>
      <c r="R958" s="5" t="str">
        <f t="shared" si="2"/>
        <v>Zack And Miri Make A Porno</v>
      </c>
      <c r="S958" s="5" t="str">
        <f>IFERROR(__xludf.DUMMYFUNCTION("""COMPUTED_VALUE"""),"Beyblade Burst Turbo")</f>
        <v>Beyblade Burst Turbo</v>
      </c>
      <c r="U958" s="5" t="str">
        <f>IFERROR(__xludf.DUMMYFUNCTION("""COMPUTED_VALUE"""),"Barry Gonzalez")</f>
        <v>Barry Gonzalez</v>
      </c>
      <c r="V958" s="5" t="s">
        <v>5741</v>
      </c>
      <c r="W958" s="5" t="str">
        <f t="shared" si="3"/>
        <v>Daryl Hannah</v>
      </c>
      <c r="X958" s="5">
        <f t="shared" si="4"/>
        <v>1</v>
      </c>
      <c r="Y958" s="5" t="str">
        <f>IFERROR(__xludf.DUMMYFUNCTION("REGEXEXTRACT(J958, ""^\d+"")"),"101")</f>
        <v>101</v>
      </c>
      <c r="Z958" s="5" t="str">
        <f>IFERROR(__xludf.DUMMYFUNCTION("REGEXEXTRACT(J958, ""[A-Za-z ]+$"")")," min")</f>
        <v> min</v>
      </c>
      <c r="AA958" s="5" t="str">
        <f>IFERROR(__xludf.DUMMYFUNCTION("IF(REGEXMATCH(Z958, ""Season""), ""TV Show"", ""Movie"")"),"Movie")</f>
        <v>Movie</v>
      </c>
    </row>
    <row r="959">
      <c r="A959" s="1" t="s">
        <v>5742</v>
      </c>
      <c r="B959" s="1" t="s">
        <v>37</v>
      </c>
      <c r="C959" s="1" t="s">
        <v>5743</v>
      </c>
      <c r="G959" s="1" t="s">
        <v>5744</v>
      </c>
      <c r="H959" s="1">
        <v>2021.0</v>
      </c>
      <c r="I959" s="1" t="s">
        <v>136</v>
      </c>
      <c r="J959" s="1" t="s">
        <v>51</v>
      </c>
      <c r="K959" s="1" t="s">
        <v>440</v>
      </c>
      <c r="L959" s="1" t="s">
        <v>5745</v>
      </c>
      <c r="M959" s="2" t="s">
        <v>12</v>
      </c>
      <c r="N959" s="4">
        <f t="shared" si="1"/>
        <v>44316</v>
      </c>
      <c r="O959" s="5" t="str">
        <f>IFERROR(__xludf.DUMMYFUNCTION("IF(REGEXMATCH(TRIM(I959), ""^\d+\s*min""), ""Unclassified"", IF(I959 = """", ""NR"", I959))"),"TV-PG")</f>
        <v>TV-PG</v>
      </c>
      <c r="R959" s="5" t="str">
        <f t="shared" si="2"/>
        <v>Pet Stars</v>
      </c>
      <c r="S959" s="5" t="str">
        <f>IFERROR(__xludf.DUMMYFUNCTION("""COMPUTED_VALUE"""),"Beyblade: Metal Fusion")</f>
        <v>Beyblade: Metal Fusion</v>
      </c>
      <c r="U959" s="5" t="str">
        <f>IFERROR(__xludf.DUMMYFUNCTION("""COMPUTED_VALUE"""),"Brian Volk-Weiss")</f>
        <v>Brian Volk-Weiss</v>
      </c>
      <c r="V959" s="5" t="s">
        <v>5746</v>
      </c>
      <c r="W959" s="5" t="str">
        <f t="shared" si="3"/>
        <v>Dash Shaw</v>
      </c>
      <c r="X959" s="5">
        <f t="shared" si="4"/>
        <v>1</v>
      </c>
      <c r="Y959" s="5" t="str">
        <f>IFERROR(__xludf.DUMMYFUNCTION("REGEXEXTRACT(J959, ""^\d+"")"),"1")</f>
        <v>1</v>
      </c>
      <c r="Z959" s="5" t="str">
        <f>IFERROR(__xludf.DUMMYFUNCTION("REGEXEXTRACT(J959, ""[A-Za-z ]+$"")")," Season")</f>
        <v> Season</v>
      </c>
      <c r="AA959" s="5" t="str">
        <f>IFERROR(__xludf.DUMMYFUNCTION("IF(REGEXMATCH(Z959, ""Season""), ""TV Show"", ""Movie"")"),"TV Show")</f>
        <v>TV Show</v>
      </c>
    </row>
    <row r="960">
      <c r="A960" s="1" t="s">
        <v>5747</v>
      </c>
      <c r="B960" s="1" t="s">
        <v>27</v>
      </c>
      <c r="C960" s="1" t="s">
        <v>5748</v>
      </c>
      <c r="D960" s="1" t="s">
        <v>1702</v>
      </c>
      <c r="E960" s="1" t="s">
        <v>5749</v>
      </c>
      <c r="G960" s="1" t="s">
        <v>5744</v>
      </c>
      <c r="H960" s="1">
        <v>2019.0</v>
      </c>
      <c r="I960" s="1" t="s">
        <v>97</v>
      </c>
      <c r="J960" s="1" t="s">
        <v>519</v>
      </c>
      <c r="K960" s="1" t="s">
        <v>128</v>
      </c>
      <c r="L960" s="1" t="s">
        <v>5750</v>
      </c>
      <c r="M960" s="2" t="s">
        <v>12</v>
      </c>
      <c r="N960" s="4">
        <f t="shared" si="1"/>
        <v>44316</v>
      </c>
      <c r="O960" s="5" t="str">
        <f>IFERROR(__xludf.DUMMYFUNCTION("IF(REGEXMATCH(TRIM(I960), ""^\d+\s*min""), ""Unclassified"", IF(I960 = """", ""NR"", I960))"),"TV-14")</f>
        <v>TV-14</v>
      </c>
      <c r="R960" s="5" t="str">
        <f t="shared" si="2"/>
        <v>Seven</v>
      </c>
      <c r="S960" s="5" t="str">
        <f>IFERROR(__xludf.DUMMYFUNCTION("""COMPUTED_VALUE"""),"Beynelmilel")</f>
        <v>Beynelmilel</v>
      </c>
      <c r="U960" s="5" t="str">
        <f>IFERROR(__xludf.DUMMYFUNCTION("""COMPUTED_VALUE"""),"Matthew Michael Carnahan")</f>
        <v>Matthew Michael Carnahan</v>
      </c>
      <c r="V960" s="5" t="s">
        <v>5751</v>
      </c>
      <c r="W960" s="5" t="str">
        <f t="shared" si="3"/>
        <v>Datta Mohan Bhandare</v>
      </c>
      <c r="X960" s="5">
        <f t="shared" si="4"/>
        <v>1</v>
      </c>
      <c r="Y960" s="5" t="str">
        <f>IFERROR(__xludf.DUMMYFUNCTION("REGEXEXTRACT(J960, ""^\d+"")"),"113")</f>
        <v>113</v>
      </c>
      <c r="Z960" s="5" t="str">
        <f>IFERROR(__xludf.DUMMYFUNCTION("REGEXEXTRACT(J960, ""[A-Za-z ]+$"")")," min")</f>
        <v> min</v>
      </c>
      <c r="AA960" s="5" t="str">
        <f>IFERROR(__xludf.DUMMYFUNCTION("IF(REGEXMATCH(Z960, ""Season""), ""TV Show"", ""Movie"")"),"Movie")</f>
        <v>Movie</v>
      </c>
    </row>
    <row r="961">
      <c r="A961" s="1" t="s">
        <v>5752</v>
      </c>
      <c r="B961" s="1" t="s">
        <v>27</v>
      </c>
      <c r="C961" s="1" t="s">
        <v>5753</v>
      </c>
      <c r="D961" s="1" t="s">
        <v>4344</v>
      </c>
      <c r="E961" s="1" t="s">
        <v>5754</v>
      </c>
      <c r="F961" s="1" t="s">
        <v>63</v>
      </c>
      <c r="G961" s="1" t="s">
        <v>5744</v>
      </c>
      <c r="H961" s="1">
        <v>2021.0</v>
      </c>
      <c r="I961" s="1" t="s">
        <v>42</v>
      </c>
      <c r="J961" s="1" t="s">
        <v>757</v>
      </c>
      <c r="K961" s="1" t="s">
        <v>89</v>
      </c>
      <c r="L961" s="1" t="s">
        <v>5755</v>
      </c>
      <c r="M961" s="2" t="s">
        <v>12</v>
      </c>
      <c r="N961" s="4">
        <f t="shared" si="1"/>
        <v>44316</v>
      </c>
      <c r="O961" s="5" t="str">
        <f>IFERROR(__xludf.DUMMYFUNCTION("IF(REGEXMATCH(TRIM(I961), ""^\d+\s*min""), ""Unclassified"", IF(I961 = """", ""NR"", I961))"),"TV-MA")</f>
        <v>TV-MA</v>
      </c>
      <c r="R961" s="5" t="str">
        <f t="shared" si="2"/>
        <v>The Disciple</v>
      </c>
      <c r="S961" s="5" t="str">
        <f>IFERROR(__xludf.DUMMYFUNCTION("""COMPUTED_VALUE"""),"Beyond All Boundaries")</f>
        <v>Beyond All Boundaries</v>
      </c>
      <c r="U961" s="5" t="str">
        <f>IFERROR(__xludf.DUMMYFUNCTION("""COMPUTED_VALUE"""),"Eric Bress")</f>
        <v>Eric Bress</v>
      </c>
      <c r="V961" s="5" t="s">
        <v>5756</v>
      </c>
      <c r="W961" s="5" t="str">
        <f t="shared" si="3"/>
        <v>Dava Whisenant</v>
      </c>
      <c r="X961" s="5">
        <f t="shared" si="4"/>
        <v>1</v>
      </c>
      <c r="Y961" s="5" t="str">
        <f>IFERROR(__xludf.DUMMYFUNCTION("REGEXEXTRACT(J961, ""^\d+"")"),"128")</f>
        <v>128</v>
      </c>
      <c r="Z961" s="5" t="str">
        <f>IFERROR(__xludf.DUMMYFUNCTION("REGEXEXTRACT(J961, ""[A-Za-z ]+$"")")," min")</f>
        <v> min</v>
      </c>
      <c r="AA961" s="5" t="str">
        <f>IFERROR(__xludf.DUMMYFUNCTION("IF(REGEXMATCH(Z961, ""Season""), ""TV Show"", ""Movie"")"),"Movie")</f>
        <v>Movie</v>
      </c>
    </row>
    <row r="962">
      <c r="A962" s="1" t="s">
        <v>5757</v>
      </c>
      <c r="B962" s="1" t="s">
        <v>37</v>
      </c>
      <c r="C962" s="1" t="s">
        <v>5758</v>
      </c>
      <c r="D962" s="1" t="s">
        <v>5759</v>
      </c>
      <c r="E962" s="1" t="s">
        <v>5760</v>
      </c>
      <c r="G962" s="1" t="s">
        <v>5744</v>
      </c>
      <c r="H962" s="1">
        <v>2021.0</v>
      </c>
      <c r="I962" s="1" t="s">
        <v>42</v>
      </c>
      <c r="J962" s="1" t="s">
        <v>51</v>
      </c>
      <c r="K962" s="1" t="s">
        <v>785</v>
      </c>
      <c r="L962" s="1" t="s">
        <v>5761</v>
      </c>
      <c r="M962" s="2" t="s">
        <v>12</v>
      </c>
      <c r="N962" s="4">
        <f t="shared" si="1"/>
        <v>44316</v>
      </c>
      <c r="O962" s="5" t="str">
        <f>IFERROR(__xludf.DUMMYFUNCTION("IF(REGEXMATCH(TRIM(I962), ""^\d+\s*min""), ""Unclassified"", IF(I962 = """", ""NR"", I962))"),"TV-MA")</f>
        <v>TV-MA</v>
      </c>
      <c r="R962" s="5" t="str">
        <f t="shared" si="2"/>
        <v>The Innocent</v>
      </c>
      <c r="S962" s="5" t="str">
        <f>IFERROR(__xludf.DUMMYFUNCTION("""COMPUTED_VALUE"""),"Beyond Evil")</f>
        <v>Beyond Evil</v>
      </c>
      <c r="U962" s="5" t="str">
        <f>IFERROR(__xludf.DUMMYFUNCTION("""COMPUTED_VALUE"""),"Chris Columbus")</f>
        <v>Chris Columbus</v>
      </c>
      <c r="V962" s="5" t="s">
        <v>5762</v>
      </c>
      <c r="W962" s="5" t="str">
        <f t="shared" si="3"/>
        <v>Dave Green</v>
      </c>
      <c r="X962" s="5">
        <f t="shared" si="4"/>
        <v>1</v>
      </c>
      <c r="Y962" s="5" t="str">
        <f>IFERROR(__xludf.DUMMYFUNCTION("REGEXEXTRACT(J962, ""^\d+"")"),"1")</f>
        <v>1</v>
      </c>
      <c r="Z962" s="5" t="str">
        <f>IFERROR(__xludf.DUMMYFUNCTION("REGEXEXTRACT(J962, ""[A-Za-z ]+$"")")," Season")</f>
        <v> Season</v>
      </c>
      <c r="AA962" s="5" t="str">
        <f>IFERROR(__xludf.DUMMYFUNCTION("IF(REGEXMATCH(Z962, ""Season""), ""TV Show"", ""Movie"")"),"TV Show")</f>
        <v>TV Show</v>
      </c>
    </row>
    <row r="963">
      <c r="A963" s="1" t="s">
        <v>5763</v>
      </c>
      <c r="B963" s="1" t="s">
        <v>27</v>
      </c>
      <c r="C963" s="1" t="s">
        <v>5764</v>
      </c>
      <c r="D963" s="1" t="s">
        <v>5765</v>
      </c>
      <c r="E963" s="1" t="s">
        <v>5766</v>
      </c>
      <c r="G963" s="1" t="s">
        <v>5744</v>
      </c>
      <c r="H963" s="1">
        <v>2021.0</v>
      </c>
      <c r="I963" s="1" t="s">
        <v>78</v>
      </c>
      <c r="J963" s="1" t="s">
        <v>835</v>
      </c>
      <c r="K963" s="1" t="s">
        <v>137</v>
      </c>
      <c r="L963" s="1" t="s">
        <v>5767</v>
      </c>
      <c r="M963" s="2" t="s">
        <v>12</v>
      </c>
      <c r="N963" s="4">
        <f t="shared" si="1"/>
        <v>44316</v>
      </c>
      <c r="O963" s="5" t="str">
        <f>IFERROR(__xludf.DUMMYFUNCTION("IF(REGEXMATCH(TRIM(I963), ""^\d+\s*min""), ""Unclassified"", IF(I963 = """", ""NR"", I963))"),"PG")</f>
        <v>PG</v>
      </c>
      <c r="R963" s="5" t="str">
        <f t="shared" si="2"/>
        <v>The Mitchells Vs. The Machines</v>
      </c>
      <c r="S963" s="5" t="str">
        <f>IFERROR(__xludf.DUMMYFUNCTION("""COMPUTED_VALUE"""),"Beyond Skyline")</f>
        <v>Beyond Skyline</v>
      </c>
      <c r="U963" s="5" t="str">
        <f>IFERROR(__xludf.DUMMYFUNCTION("""COMPUTED_VALUE"""),"V Vignarajan")</f>
        <v>V Vignarajan</v>
      </c>
      <c r="V963" s="5" t="s">
        <v>5768</v>
      </c>
      <c r="W963" s="5" t="str">
        <f t="shared" si="3"/>
        <v>Dave Higby</v>
      </c>
      <c r="X963" s="5">
        <f t="shared" si="4"/>
        <v>2</v>
      </c>
      <c r="Y963" s="5" t="str">
        <f>IFERROR(__xludf.DUMMYFUNCTION("REGEXEXTRACT(J963, ""^\d+"")"),"114")</f>
        <v>114</v>
      </c>
      <c r="Z963" s="5" t="str">
        <f>IFERROR(__xludf.DUMMYFUNCTION("REGEXEXTRACT(J963, ""[A-Za-z ]+$"")")," min")</f>
        <v> min</v>
      </c>
      <c r="AA963" s="5" t="str">
        <f>IFERROR(__xludf.DUMMYFUNCTION("IF(REGEXMATCH(Z963, ""Season""), ""TV Show"", ""Movie"")"),"Movie")</f>
        <v>Movie</v>
      </c>
    </row>
    <row r="964">
      <c r="A964" s="1" t="s">
        <v>5769</v>
      </c>
      <c r="B964" s="1" t="s">
        <v>27</v>
      </c>
      <c r="C964" s="1" t="s">
        <v>5770</v>
      </c>
      <c r="D964" s="1" t="s">
        <v>5771</v>
      </c>
      <c r="E964" s="1" t="s">
        <v>5772</v>
      </c>
      <c r="F964" s="1" t="s">
        <v>692</v>
      </c>
      <c r="G964" s="1" t="s">
        <v>5744</v>
      </c>
      <c r="H964" s="1">
        <v>2018.0</v>
      </c>
      <c r="I964" s="1" t="s">
        <v>378</v>
      </c>
      <c r="J964" s="1" t="s">
        <v>471</v>
      </c>
      <c r="K964" s="1" t="s">
        <v>1551</v>
      </c>
      <c r="L964" s="1" t="s">
        <v>5773</v>
      </c>
      <c r="M964" s="2" t="s">
        <v>12</v>
      </c>
      <c r="N964" s="4">
        <f t="shared" si="1"/>
        <v>44316</v>
      </c>
      <c r="O964" s="5" t="str">
        <f>IFERROR(__xludf.DUMMYFUNCTION("IF(REGEXMATCH(TRIM(I964), ""^\d+\s*min""), ""Unclassified"", IF(I964 = """", ""NR"", I964))"),"R")</f>
        <v>R</v>
      </c>
      <c r="R964" s="5" t="str">
        <f t="shared" si="2"/>
        <v>The Strangers: Prey At Night</v>
      </c>
      <c r="S964" s="5" t="str">
        <f>IFERROR(__xludf.DUMMYFUNCTION("""COMPUTED_VALUE"""),"Beyond Stranger Things")</f>
        <v>Beyond Stranger Things</v>
      </c>
      <c r="U964" s="5" t="str">
        <f>IFERROR(__xludf.DUMMYFUNCTION("""COMPUTED_VALUE"""),"Greg Rankin, Tj Sullivan")</f>
        <v>Greg Rankin, Tj Sullivan</v>
      </c>
      <c r="V964" s="5" t="s">
        <v>1660</v>
      </c>
      <c r="W964" s="5" t="str">
        <f t="shared" si="3"/>
        <v>Dave Needham</v>
      </c>
      <c r="X964" s="5">
        <f t="shared" si="4"/>
        <v>1</v>
      </c>
      <c r="Y964" s="5" t="str">
        <f>IFERROR(__xludf.DUMMYFUNCTION("REGEXEXTRACT(J964, ""^\d+"")"),"85")</f>
        <v>85</v>
      </c>
      <c r="Z964" s="5" t="str">
        <f>IFERROR(__xludf.DUMMYFUNCTION("REGEXEXTRACT(J964, ""[A-Za-z ]+$"")")," min")</f>
        <v> min</v>
      </c>
      <c r="AA964" s="5" t="str">
        <f>IFERROR(__xludf.DUMMYFUNCTION("IF(REGEXMATCH(Z964, ""Season""), ""TV Show"", ""Movie"")"),"Movie")</f>
        <v>Movie</v>
      </c>
    </row>
    <row r="965">
      <c r="A965" s="1" t="s">
        <v>5774</v>
      </c>
      <c r="B965" s="1" t="s">
        <v>37</v>
      </c>
      <c r="C965" s="1" t="s">
        <v>5775</v>
      </c>
      <c r="E965" s="1" t="s">
        <v>5776</v>
      </c>
      <c r="G965" s="1" t="s">
        <v>5744</v>
      </c>
      <c r="H965" s="1">
        <v>2021.0</v>
      </c>
      <c r="I965" s="1" t="s">
        <v>42</v>
      </c>
      <c r="J965" s="1" t="s">
        <v>43</v>
      </c>
      <c r="K965" s="1" t="s">
        <v>1627</v>
      </c>
      <c r="L965" s="1" t="s">
        <v>5777</v>
      </c>
      <c r="M965" s="2" t="s">
        <v>12</v>
      </c>
      <c r="N965" s="4">
        <f t="shared" si="1"/>
        <v>44316</v>
      </c>
      <c r="O965" s="5" t="str">
        <f>IFERROR(__xludf.DUMMYFUNCTION("IF(REGEXMATCH(TRIM(I965), ""^\d+\s*min""), ""Unclassified"", IF(I965 = """", ""NR"", I965))"),"TV-MA")</f>
        <v>TV-MA</v>
      </c>
      <c r="R965" s="5" t="str">
        <f t="shared" si="2"/>
        <v>The Unremarkable Juanquini</v>
      </c>
      <c r="S965" s="5" t="str">
        <f>IFERROR(__xludf.DUMMYFUNCTION("""COMPUTED_VALUE"""),"Beyond The Boundary: Icc Women'S T20 World Cup Australia 2020")</f>
        <v>Beyond The Boundary: Icc Women'S T20 World Cup Australia 2020</v>
      </c>
      <c r="U965" s="5" t="str">
        <f>IFERROR(__xludf.DUMMYFUNCTION("""COMPUTED_VALUE"""),"Carlos Sorín")</f>
        <v>Carlos Sorín</v>
      </c>
      <c r="V965" s="5" t="s">
        <v>5778</v>
      </c>
      <c r="W965" s="5" t="str">
        <f t="shared" si="3"/>
        <v>Dave Patten</v>
      </c>
      <c r="X965" s="5">
        <f t="shared" si="4"/>
        <v>1</v>
      </c>
      <c r="Y965" s="5" t="str">
        <f>IFERROR(__xludf.DUMMYFUNCTION("REGEXEXTRACT(J965, ""^\d+"")"),"2")</f>
        <v>2</v>
      </c>
      <c r="Z965" s="5" t="str">
        <f>IFERROR(__xludf.DUMMYFUNCTION("REGEXEXTRACT(J965, ""[A-Za-z ]+$"")")," Seasons")</f>
        <v> Seasons</v>
      </c>
      <c r="AA965" s="5" t="str">
        <f>IFERROR(__xludf.DUMMYFUNCTION("IF(REGEXMATCH(Z965, ""Season""), ""TV Show"", ""Movie"")"),"TV Show")</f>
        <v>TV Show</v>
      </c>
    </row>
    <row r="966">
      <c r="A966" s="1" t="s">
        <v>5779</v>
      </c>
      <c r="B966" s="1" t="s">
        <v>27</v>
      </c>
      <c r="C966" s="1" t="s">
        <v>5780</v>
      </c>
      <c r="D966" s="1" t="s">
        <v>5781</v>
      </c>
      <c r="E966" s="1" t="s">
        <v>5782</v>
      </c>
      <c r="G966" s="1" t="s">
        <v>5783</v>
      </c>
      <c r="H966" s="1">
        <v>2021.0</v>
      </c>
      <c r="I966" s="1" t="s">
        <v>42</v>
      </c>
      <c r="J966" s="1" t="s">
        <v>941</v>
      </c>
      <c r="K966" s="1" t="s">
        <v>3768</v>
      </c>
      <c r="L966" s="1" t="s">
        <v>5784</v>
      </c>
      <c r="M966" s="2" t="s">
        <v>12</v>
      </c>
      <c r="N966" s="4">
        <f t="shared" si="1"/>
        <v>44315</v>
      </c>
      <c r="O966" s="5" t="str">
        <f>IFERROR(__xludf.DUMMYFUNCTION("IF(REGEXMATCH(TRIM(I966), ""^\d+\s*min""), ""Unclassified"", IF(I966 = """", ""NR"", I966))"),"TV-MA")</f>
        <v>TV-MA</v>
      </c>
      <c r="R966" s="5" t="str">
        <f t="shared" si="2"/>
        <v>Things Heard &amp; Seen</v>
      </c>
      <c r="S966" s="5" t="str">
        <f>IFERROR(__xludf.DUMMYFUNCTION("""COMPUTED_VALUE"""),"Beyond The Clouds")</f>
        <v>Beyond The Clouds</v>
      </c>
      <c r="U966" s="5" t="str">
        <f>IFERROR(__xludf.DUMMYFUNCTION("""COMPUTED_VALUE"""),"Matt Eskandari")</f>
        <v>Matt Eskandari</v>
      </c>
      <c r="V966" s="5" t="s">
        <v>5785</v>
      </c>
      <c r="W966" s="5" t="str">
        <f t="shared" si="3"/>
        <v>Dave Skinner, Freddie Waters</v>
      </c>
      <c r="X966" s="5">
        <f t="shared" si="4"/>
        <v>1</v>
      </c>
      <c r="Y966" s="5" t="str">
        <f>IFERROR(__xludf.DUMMYFUNCTION("REGEXEXTRACT(J966, ""^\d+"")"),"121")</f>
        <v>121</v>
      </c>
      <c r="Z966" s="5" t="str">
        <f>IFERROR(__xludf.DUMMYFUNCTION("REGEXEXTRACT(J966, ""[A-Za-z ]+$"")")," min")</f>
        <v> min</v>
      </c>
      <c r="AA966" s="5" t="str">
        <f>IFERROR(__xludf.DUMMYFUNCTION("IF(REGEXMATCH(Z966, ""Season""), ""TV Show"", ""Movie"")"),"Movie")</f>
        <v>Movie</v>
      </c>
    </row>
    <row r="967">
      <c r="A967" s="1" t="s">
        <v>5786</v>
      </c>
      <c r="B967" s="1" t="s">
        <v>37</v>
      </c>
      <c r="C967" s="1" t="s">
        <v>5787</v>
      </c>
      <c r="E967" s="1" t="s">
        <v>5788</v>
      </c>
      <c r="G967" s="1" t="s">
        <v>5783</v>
      </c>
      <c r="H967" s="1">
        <v>2021.0</v>
      </c>
      <c r="I967" s="1" t="s">
        <v>42</v>
      </c>
      <c r="J967" s="1" t="s">
        <v>51</v>
      </c>
      <c r="K967" s="1" t="s">
        <v>567</v>
      </c>
      <c r="L967" s="1" t="s">
        <v>5789</v>
      </c>
      <c r="M967" s="2" t="s">
        <v>12</v>
      </c>
      <c r="N967" s="4">
        <f t="shared" si="1"/>
        <v>44315</v>
      </c>
      <c r="O967" s="5" t="str">
        <f>IFERROR(__xludf.DUMMYFUNCTION("IF(REGEXMATCH(TRIM(I967), ""^\d+\s*min""), ""Unclassified"", IF(I967 = """", ""NR"", I967))"),"TV-MA")</f>
        <v>TV-MA</v>
      </c>
      <c r="R967" s="5" t="str">
        <f t="shared" si="2"/>
        <v>Yasuke</v>
      </c>
      <c r="S967" s="5" t="str">
        <f>IFERROR(__xludf.DUMMYFUNCTION("""COMPUTED_VALUE"""),"Bh Se Bhade")</f>
        <v>Bh Se Bhade</v>
      </c>
      <c r="U967" s="5" t="str">
        <f>IFERROR(__xludf.DUMMYFUNCTION("""COMPUTED_VALUE"""),"Grant Singer")</f>
        <v>Grant Singer</v>
      </c>
      <c r="V967" s="5" t="s">
        <v>5790</v>
      </c>
      <c r="W967" s="5" t="str">
        <f t="shared" si="3"/>
        <v>David 'Tosh' Gitonga, Michael Jones</v>
      </c>
      <c r="X967" s="5">
        <f t="shared" si="4"/>
        <v>1</v>
      </c>
      <c r="Y967" s="5" t="str">
        <f>IFERROR(__xludf.DUMMYFUNCTION("REGEXEXTRACT(J967, ""^\d+"")"),"1")</f>
        <v>1</v>
      </c>
      <c r="Z967" s="5" t="str">
        <f>IFERROR(__xludf.DUMMYFUNCTION("REGEXEXTRACT(J967, ""[A-Za-z ]+$"")")," Season")</f>
        <v> Season</v>
      </c>
      <c r="AA967" s="5" t="str">
        <f>IFERROR(__xludf.DUMMYFUNCTION("IF(REGEXMATCH(Z967, ""Season""), ""TV Show"", ""Movie"")"),"TV Show")</f>
        <v>TV Show</v>
      </c>
    </row>
    <row r="968">
      <c r="A968" s="1" t="s">
        <v>5791</v>
      </c>
      <c r="B968" s="1" t="s">
        <v>27</v>
      </c>
      <c r="C968" s="1" t="s">
        <v>5792</v>
      </c>
      <c r="D968" s="1" t="s">
        <v>5793</v>
      </c>
      <c r="E968" s="1" t="s">
        <v>5794</v>
      </c>
      <c r="F968" s="1" t="s">
        <v>1992</v>
      </c>
      <c r="G968" s="1" t="s">
        <v>5795</v>
      </c>
      <c r="H968" s="1">
        <v>2021.0</v>
      </c>
      <c r="I968" s="1" t="s">
        <v>42</v>
      </c>
      <c r="J968" s="1" t="s">
        <v>465</v>
      </c>
      <c r="K968" s="1" t="s">
        <v>199</v>
      </c>
      <c r="L968" s="1" t="s">
        <v>5796</v>
      </c>
      <c r="M968" s="2" t="s">
        <v>12</v>
      </c>
      <c r="N968" s="4">
        <f t="shared" si="1"/>
        <v>44314</v>
      </c>
      <c r="O968" s="5" t="str">
        <f>IFERROR(__xludf.DUMMYFUNCTION("IF(REGEXMATCH(TRIM(I968), ""^\d+\s*min""), ""Unclassified"", IF(I968 = """", ""NR"", I968))"),"TV-MA")</f>
        <v>TV-MA</v>
      </c>
      <c r="R968" s="5" t="str">
        <f t="shared" si="2"/>
        <v>Get The Grift</v>
      </c>
      <c r="S968" s="5" t="str">
        <f>IFERROR(__xludf.DUMMYFUNCTION("""COMPUTED_VALUE"""),"Bhaag Beanie Bhaag")</f>
        <v>Bhaag Beanie Bhaag</v>
      </c>
      <c r="U968" s="5" t="str">
        <f>IFERROR(__xludf.DUMMYFUNCTION("""COMPUTED_VALUE"""),"Mohammad Adel")</f>
        <v>Mohammad Adel</v>
      </c>
      <c r="V968" s="5" t="s">
        <v>535</v>
      </c>
      <c r="W968" s="5" t="str">
        <f t="shared" si="3"/>
        <v>David A. Vargas</v>
      </c>
      <c r="X968" s="5">
        <f t="shared" si="4"/>
        <v>1</v>
      </c>
      <c r="Y968" s="5" t="str">
        <f>IFERROR(__xludf.DUMMYFUNCTION("REGEXEXTRACT(J968, ""^\d+"")"),"95")</f>
        <v>95</v>
      </c>
      <c r="Z968" s="5" t="str">
        <f>IFERROR(__xludf.DUMMYFUNCTION("REGEXEXTRACT(J968, ""[A-Za-z ]+$"")")," min")</f>
        <v> min</v>
      </c>
      <c r="AA968" s="5" t="str">
        <f>IFERROR(__xludf.DUMMYFUNCTION("IF(REGEXMATCH(Z968, ""Season""), ""TV Show"", ""Movie"")"),"Movie")</f>
        <v>Movie</v>
      </c>
    </row>
    <row r="969">
      <c r="A969" s="1" t="s">
        <v>5797</v>
      </c>
      <c r="B969" s="1" t="s">
        <v>37</v>
      </c>
      <c r="C969" s="1" t="s">
        <v>5798</v>
      </c>
      <c r="E969" s="1" t="s">
        <v>5799</v>
      </c>
      <c r="G969" s="1" t="s">
        <v>5795</v>
      </c>
      <c r="H969" s="1">
        <v>2021.0</v>
      </c>
      <c r="I969" s="1" t="s">
        <v>506</v>
      </c>
      <c r="J969" s="1" t="s">
        <v>51</v>
      </c>
      <c r="K969" s="1" t="s">
        <v>736</v>
      </c>
      <c r="L969" s="1" t="s">
        <v>5800</v>
      </c>
      <c r="M969" s="2" t="s">
        <v>12</v>
      </c>
      <c r="N969" s="4">
        <f t="shared" si="1"/>
        <v>44314</v>
      </c>
      <c r="O969" s="5" t="str">
        <f>IFERROR(__xludf.DUMMYFUNCTION("IF(REGEXMATCH(TRIM(I969), ""^\d+\s*min""), ""Unclassified"", IF(I969 = """", ""NR"", I969))"),"TV-G")</f>
        <v>TV-G</v>
      </c>
      <c r="R969" s="5" t="str">
        <f t="shared" si="2"/>
        <v>Headspace Guide To Sleep</v>
      </c>
      <c r="S969" s="5" t="str">
        <f>IFERROR(__xludf.DUMMYFUNCTION("""COMPUTED_VALUE"""),"Bhaage Re Mann")</f>
        <v>Bhaage Re Mann</v>
      </c>
      <c r="U969" s="5" t="str">
        <f>IFERROR(__xludf.DUMMYFUNCTION("""COMPUTED_VALUE"""),"Debbie Allen")</f>
        <v>Debbie Allen</v>
      </c>
      <c r="V969" s="5" t="s">
        <v>5801</v>
      </c>
      <c r="W969" s="5" t="str">
        <f t="shared" si="3"/>
        <v>David Allensworth, Monière</v>
      </c>
      <c r="X969" s="5">
        <f t="shared" si="4"/>
        <v>1</v>
      </c>
      <c r="Y969" s="5" t="str">
        <f>IFERROR(__xludf.DUMMYFUNCTION("REGEXEXTRACT(J969, ""^\d+"")"),"1")</f>
        <v>1</v>
      </c>
      <c r="Z969" s="5" t="str">
        <f>IFERROR(__xludf.DUMMYFUNCTION("REGEXEXTRACT(J969, ""[A-Za-z ]+$"")")," Season")</f>
        <v> Season</v>
      </c>
      <c r="AA969" s="5" t="str">
        <f>IFERROR(__xludf.DUMMYFUNCTION("IF(REGEXMATCH(Z969, ""Season""), ""TV Show"", ""Movie"")"),"TV Show")</f>
        <v>TV Show</v>
      </c>
    </row>
    <row r="970">
      <c r="A970" s="1" t="s">
        <v>5802</v>
      </c>
      <c r="B970" s="1" t="s">
        <v>37</v>
      </c>
      <c r="C970" s="1" t="s">
        <v>5803</v>
      </c>
      <c r="E970" s="1" t="s">
        <v>5804</v>
      </c>
      <c r="F970" s="1" t="s">
        <v>2446</v>
      </c>
      <c r="G970" s="1" t="s">
        <v>5795</v>
      </c>
      <c r="H970" s="1">
        <v>2021.0</v>
      </c>
      <c r="I970" s="1" t="s">
        <v>42</v>
      </c>
      <c r="J970" s="1" t="s">
        <v>51</v>
      </c>
      <c r="K970" s="1" t="s">
        <v>1531</v>
      </c>
      <c r="L970" s="1" t="s">
        <v>5805</v>
      </c>
      <c r="M970" s="2" t="s">
        <v>12</v>
      </c>
      <c r="N970" s="4">
        <f t="shared" si="1"/>
        <v>44314</v>
      </c>
      <c r="O970" s="5" t="str">
        <f>IFERROR(__xludf.DUMMYFUNCTION("IF(REGEXMATCH(TRIM(I970), ""^\d+\s*min""), ""Unclassified"", IF(I970 = """", ""NR"", I970))"),"TV-MA")</f>
        <v>TV-MA</v>
      </c>
      <c r="R970" s="5" t="str">
        <f t="shared" si="2"/>
        <v>Sexify</v>
      </c>
      <c r="S970" s="5" t="str">
        <f>IFERROR(__xludf.DUMMYFUNCTION("""COMPUTED_VALUE"""),"Bhagam Bhag")</f>
        <v>Bhagam Bhag</v>
      </c>
      <c r="U970" s="5" t="str">
        <f>IFERROR(__xludf.DUMMYFUNCTION("""COMPUTED_VALUE"""),"Victor Gatonye")</f>
        <v>Victor Gatonye</v>
      </c>
      <c r="V970" s="5" t="s">
        <v>5228</v>
      </c>
      <c r="W970" s="5" t="str">
        <f t="shared" si="3"/>
        <v>David Ayer</v>
      </c>
      <c r="X970" s="5">
        <f t="shared" si="4"/>
        <v>4</v>
      </c>
      <c r="Y970" s="5" t="str">
        <f>IFERROR(__xludf.DUMMYFUNCTION("REGEXEXTRACT(J970, ""^\d+"")"),"1")</f>
        <v>1</v>
      </c>
      <c r="Z970" s="5" t="str">
        <f>IFERROR(__xludf.DUMMYFUNCTION("REGEXEXTRACT(J970, ""[A-Za-z ]+$"")")," Season")</f>
        <v> Season</v>
      </c>
      <c r="AA970" s="5" t="str">
        <f>IFERROR(__xludf.DUMMYFUNCTION("IF(REGEXMATCH(Z970, ""Season""), ""TV Show"", ""Movie"")"),"TV Show")</f>
        <v>TV Show</v>
      </c>
    </row>
    <row r="971">
      <c r="A971" s="1" t="s">
        <v>5806</v>
      </c>
      <c r="B971" s="1" t="s">
        <v>27</v>
      </c>
      <c r="C971" s="1" t="s">
        <v>5807</v>
      </c>
      <c r="D971" s="1" t="s">
        <v>5808</v>
      </c>
      <c r="E971" s="1" t="s">
        <v>5809</v>
      </c>
      <c r="F971" s="1" t="s">
        <v>30</v>
      </c>
      <c r="G971" s="1" t="s">
        <v>5810</v>
      </c>
      <c r="H971" s="1">
        <v>2014.0</v>
      </c>
      <c r="I971" s="1" t="s">
        <v>378</v>
      </c>
      <c r="J971" s="1" t="s">
        <v>941</v>
      </c>
      <c r="K971" s="1" t="s">
        <v>805</v>
      </c>
      <c r="L971" s="1" t="s">
        <v>5811</v>
      </c>
      <c r="M971" s="2" t="s">
        <v>12</v>
      </c>
      <c r="N971" s="4">
        <f t="shared" si="1"/>
        <v>44313</v>
      </c>
      <c r="O971" s="5" t="str">
        <f>IFERROR(__xludf.DUMMYFUNCTION("IF(REGEXMATCH(TRIM(I971), ""^\d+\s*min""), ""Unclassified"", IF(I971 = """", ""NR"", I971))"),"R")</f>
        <v>R</v>
      </c>
      <c r="R971" s="5" t="str">
        <f t="shared" si="2"/>
        <v>August: Osage County</v>
      </c>
      <c r="S971" s="5" t="str">
        <f>IFERROR(__xludf.DUMMYFUNCTION("""COMPUTED_VALUE"""),"Bhai: Vyakti Ki Valli - Poorvardha")</f>
        <v>Bhai: Vyakti Ki Valli - Poorvardha</v>
      </c>
      <c r="U971" s="5" t="str">
        <f>IFERROR(__xludf.DUMMYFUNCTION("""COMPUTED_VALUE"""),"Stephen Chiodo")</f>
        <v>Stephen Chiodo</v>
      </c>
      <c r="V971" s="5" t="s">
        <v>5812</v>
      </c>
      <c r="W971" s="5" t="str">
        <f t="shared" si="3"/>
        <v>David Batra, Jon Rudberg</v>
      </c>
      <c r="X971" s="5">
        <f t="shared" si="4"/>
        <v>1</v>
      </c>
      <c r="Y971" s="5" t="str">
        <f>IFERROR(__xludf.DUMMYFUNCTION("REGEXEXTRACT(J971, ""^\d+"")"),"121")</f>
        <v>121</v>
      </c>
      <c r="Z971" s="5" t="str">
        <f>IFERROR(__xludf.DUMMYFUNCTION("REGEXEXTRACT(J971, ""[A-Za-z ]+$"")")," min")</f>
        <v> min</v>
      </c>
      <c r="AA971" s="5" t="str">
        <f>IFERROR(__xludf.DUMMYFUNCTION("IF(REGEXMATCH(Z971, ""Season""), ""TV Show"", ""Movie"")"),"Movie")</f>
        <v>Movie</v>
      </c>
    </row>
    <row r="972">
      <c r="A972" s="1" t="s">
        <v>5813</v>
      </c>
      <c r="B972" s="1" t="s">
        <v>27</v>
      </c>
      <c r="C972" s="1" t="s">
        <v>5814</v>
      </c>
      <c r="D972" s="1" t="s">
        <v>5815</v>
      </c>
      <c r="E972" s="1" t="s">
        <v>5816</v>
      </c>
      <c r="F972" s="1" t="s">
        <v>30</v>
      </c>
      <c r="G972" s="1" t="s">
        <v>5810</v>
      </c>
      <c r="H972" s="1">
        <v>2011.0</v>
      </c>
      <c r="I972" s="1" t="s">
        <v>32</v>
      </c>
      <c r="J972" s="1" t="s">
        <v>349</v>
      </c>
      <c r="K972" s="1" t="s">
        <v>942</v>
      </c>
      <c r="L972" s="1" t="s">
        <v>5817</v>
      </c>
      <c r="M972" s="2" t="s">
        <v>12</v>
      </c>
      <c r="N972" s="4">
        <f t="shared" si="1"/>
        <v>44313</v>
      </c>
      <c r="O972" s="5" t="str">
        <f>IFERROR(__xludf.DUMMYFUNCTION("IF(REGEXMATCH(TRIM(I972), ""^\d+\s*min""), ""Unclassified"", IF(I972 = """", ""NR"", I972))"),"PG-13")</f>
        <v>PG-13</v>
      </c>
      <c r="R972" s="5" t="str">
        <f t="shared" si="2"/>
        <v>Battle: Los Angeles</v>
      </c>
      <c r="S972" s="5" t="str">
        <f>IFERROR(__xludf.DUMMYFUNCTION("""COMPUTED_VALUE"""),"Bhai: Vyakti Ki Valli - Uttarardh")</f>
        <v>Bhai: Vyakti Ki Valli - Uttarardh</v>
      </c>
      <c r="U972" s="5" t="str">
        <f>IFERROR(__xludf.DUMMYFUNCTION("""COMPUTED_VALUE"""),"Will Mccormack, Michael Govier")</f>
        <v>Will Mccormack, Michael Govier</v>
      </c>
      <c r="V972" s="5" t="s">
        <v>5818</v>
      </c>
      <c r="W972" s="5" t="str">
        <f t="shared" si="3"/>
        <v>David Batty</v>
      </c>
      <c r="X972" s="5">
        <f t="shared" si="4"/>
        <v>5</v>
      </c>
      <c r="Y972" s="5" t="str">
        <f>IFERROR(__xludf.DUMMYFUNCTION("REGEXEXTRACT(J972, ""^\d+"")"),"116")</f>
        <v>116</v>
      </c>
      <c r="Z972" s="5" t="str">
        <f>IFERROR(__xludf.DUMMYFUNCTION("REGEXEXTRACT(J972, ""[A-Za-z ]+$"")")," min")</f>
        <v> min</v>
      </c>
      <c r="AA972" s="5" t="str">
        <f>IFERROR(__xludf.DUMMYFUNCTION("IF(REGEXMATCH(Z972, ""Season""), ""TV Show"", ""Movie"")"),"Movie")</f>
        <v>Movie</v>
      </c>
    </row>
    <row r="973">
      <c r="A973" s="1" t="s">
        <v>5819</v>
      </c>
      <c r="B973" s="1" t="s">
        <v>27</v>
      </c>
      <c r="C973" s="1" t="s">
        <v>5820</v>
      </c>
      <c r="D973" s="1" t="s">
        <v>5821</v>
      </c>
      <c r="E973" s="1" t="s">
        <v>5822</v>
      </c>
      <c r="F973" s="1" t="s">
        <v>784</v>
      </c>
      <c r="G973" s="1" t="s">
        <v>5810</v>
      </c>
      <c r="H973" s="1">
        <v>2018.0</v>
      </c>
      <c r="I973" s="1" t="s">
        <v>378</v>
      </c>
      <c r="J973" s="1" t="s">
        <v>79</v>
      </c>
      <c r="K973" s="1" t="s">
        <v>171</v>
      </c>
      <c r="L973" s="1" t="s">
        <v>5823</v>
      </c>
      <c r="M973" s="2" t="s">
        <v>12</v>
      </c>
      <c r="N973" s="4">
        <f t="shared" si="1"/>
        <v>44313</v>
      </c>
      <c r="O973" s="5" t="str">
        <f>IFERROR(__xludf.DUMMYFUNCTION("IF(REGEXMATCH(TRIM(I973), ""^\d+\s*min""), ""Unclassified"", IF(I973 = """", ""NR"", I973))"),"R")</f>
        <v>R</v>
      </c>
      <c r="R973" s="5" t="str">
        <f t="shared" si="2"/>
        <v>Between Worlds</v>
      </c>
      <c r="S973" s="5" t="str">
        <f>IFERROR(__xludf.DUMMYFUNCTION("""COMPUTED_VALUE"""),"Bhaji In Problem")</f>
        <v>Bhaji In Problem</v>
      </c>
      <c r="U973" s="5" t="str">
        <f>IFERROR(__xludf.DUMMYFUNCTION("""COMPUTED_VALUE"""),"Monica Floyd")</f>
        <v>Monica Floyd</v>
      </c>
      <c r="V973" s="5" t="s">
        <v>5824</v>
      </c>
      <c r="W973" s="5" t="str">
        <f t="shared" si="3"/>
        <v>David Benioff, D.B. Weiss</v>
      </c>
      <c r="X973" s="5">
        <f t="shared" si="4"/>
        <v>1</v>
      </c>
      <c r="Y973" s="5" t="str">
        <f>IFERROR(__xludf.DUMMYFUNCTION("REGEXEXTRACT(J973, ""^\d+"")"),"91")</f>
        <v>91</v>
      </c>
      <c r="Z973" s="5" t="str">
        <f>IFERROR(__xludf.DUMMYFUNCTION("REGEXEXTRACT(J973, ""[A-Za-z ]+$"")")," min")</f>
        <v> min</v>
      </c>
      <c r="AA973" s="5" t="str">
        <f>IFERROR(__xludf.DUMMYFUNCTION("IF(REGEXMATCH(Z973, ""Season""), ""TV Show"", ""Movie"")"),"Movie")</f>
        <v>Movie</v>
      </c>
    </row>
    <row r="974">
      <c r="A974" s="1" t="s">
        <v>5825</v>
      </c>
      <c r="B974" s="1" t="s">
        <v>37</v>
      </c>
      <c r="C974" s="1" t="s">
        <v>5826</v>
      </c>
      <c r="E974" s="1" t="s">
        <v>5827</v>
      </c>
      <c r="F974" s="1" t="s">
        <v>188</v>
      </c>
      <c r="G974" s="1" t="s">
        <v>5810</v>
      </c>
      <c r="H974" s="1">
        <v>2021.0</v>
      </c>
      <c r="I974" s="1" t="s">
        <v>42</v>
      </c>
      <c r="J974" s="1" t="s">
        <v>51</v>
      </c>
      <c r="K974" s="1" t="s">
        <v>283</v>
      </c>
      <c r="L974" s="1" t="s">
        <v>5828</v>
      </c>
      <c r="M974" s="2" t="s">
        <v>12</v>
      </c>
      <c r="N974" s="4">
        <f t="shared" si="1"/>
        <v>44313</v>
      </c>
      <c r="O974" s="5" t="str">
        <f>IFERROR(__xludf.DUMMYFUNCTION("IF(REGEXMATCH(TRIM(I974), ""^\d+\s*min""), ""Unclassified"", IF(I974 = """", ""NR"", I974))"),"TV-MA")</f>
        <v>TV-MA</v>
      </c>
      <c r="R974" s="5" t="str">
        <f t="shared" si="2"/>
        <v>Fatma</v>
      </c>
      <c r="S974" s="5" t="str">
        <f>IFERROR(__xludf.DUMMYFUNCTION("""COMPUTED_VALUE"""),"Bhangra Paa Le")</f>
        <v>Bhangra Paa Le</v>
      </c>
      <c r="U974" s="5" t="str">
        <f>IFERROR(__xludf.DUMMYFUNCTION("""COMPUTED_VALUE"""),"Anurag Kashyap")</f>
        <v>Anurag Kashyap</v>
      </c>
      <c r="V974" s="5" t="s">
        <v>2485</v>
      </c>
      <c r="W974" s="5" t="str">
        <f t="shared" si="3"/>
        <v>David Benullo</v>
      </c>
      <c r="X974" s="5">
        <f t="shared" si="4"/>
        <v>1</v>
      </c>
      <c r="Y974" s="5" t="str">
        <f>IFERROR(__xludf.DUMMYFUNCTION("REGEXEXTRACT(J974, ""^\d+"")"),"1")</f>
        <v>1</v>
      </c>
      <c r="Z974" s="5" t="str">
        <f>IFERROR(__xludf.DUMMYFUNCTION("REGEXEXTRACT(J974, ""[A-Za-z ]+$"")")," Season")</f>
        <v> Season</v>
      </c>
      <c r="AA974" s="5" t="str">
        <f>IFERROR(__xludf.DUMMYFUNCTION("IF(REGEXMATCH(Z974, ""Season""), ""TV Show"", ""Movie"")"),"TV Show")</f>
        <v>TV Show</v>
      </c>
    </row>
    <row r="975">
      <c r="A975" s="1" t="s">
        <v>5829</v>
      </c>
      <c r="B975" s="1" t="s">
        <v>27</v>
      </c>
      <c r="C975" s="1" t="s">
        <v>5830</v>
      </c>
      <c r="D975" s="1" t="s">
        <v>5831</v>
      </c>
      <c r="E975" s="1" t="s">
        <v>5832</v>
      </c>
      <c r="F975" s="1" t="s">
        <v>63</v>
      </c>
      <c r="G975" s="1" t="s">
        <v>5810</v>
      </c>
      <c r="H975" s="1">
        <v>2020.0</v>
      </c>
      <c r="I975" s="1" t="s">
        <v>136</v>
      </c>
      <c r="J975" s="1" t="s">
        <v>5833</v>
      </c>
      <c r="K975" s="1" t="s">
        <v>128</v>
      </c>
      <c r="L975" s="1" t="s">
        <v>5834</v>
      </c>
      <c r="M975" s="2" t="s">
        <v>12</v>
      </c>
      <c r="N975" s="4">
        <f t="shared" si="1"/>
        <v>44313</v>
      </c>
      <c r="O975" s="5" t="str">
        <f>IFERROR(__xludf.DUMMYFUNCTION("IF(REGEXMATCH(TRIM(I975), ""^\d+\s*min""), ""Unclassified"", IF(I975 = """", ""NR"", I975))"),"TV-PG")</f>
        <v>TV-PG</v>
      </c>
      <c r="R975" s="5" t="str">
        <f t="shared" si="2"/>
        <v>One</v>
      </c>
      <c r="S975" s="5" t="str">
        <f>IFERROR(__xludf.DUMMYFUNCTION("""COMPUTED_VALUE"""),"Bhasmasur")</f>
        <v>Bhasmasur</v>
      </c>
      <c r="U975" s="5" t="str">
        <f>IFERROR(__xludf.DUMMYFUNCTION("""COMPUTED_VALUE"""),"Siddique")</f>
        <v>Siddique</v>
      </c>
      <c r="V975" s="5" t="s">
        <v>5835</v>
      </c>
      <c r="W975" s="5" t="str">
        <f t="shared" si="3"/>
        <v>David Blair</v>
      </c>
      <c r="X975" s="5">
        <f t="shared" si="4"/>
        <v>1</v>
      </c>
      <c r="Y975" s="5" t="str">
        <f>IFERROR(__xludf.DUMMYFUNCTION("REGEXEXTRACT(J975, ""^\d+"")"),"149")</f>
        <v>149</v>
      </c>
      <c r="Z975" s="5" t="str">
        <f>IFERROR(__xludf.DUMMYFUNCTION("REGEXEXTRACT(J975, ""[A-Za-z ]+$"")")," min")</f>
        <v> min</v>
      </c>
      <c r="AA975" s="5" t="str">
        <f>IFERROR(__xludf.DUMMYFUNCTION("IF(REGEXMATCH(Z975, ""Season""), ""TV Show"", ""Movie"")"),"Movie")</f>
        <v>Movie</v>
      </c>
    </row>
    <row r="976">
      <c r="A976" s="1" t="s">
        <v>5836</v>
      </c>
      <c r="B976" s="1" t="s">
        <v>27</v>
      </c>
      <c r="C976" s="1" t="s">
        <v>5837</v>
      </c>
      <c r="D976" s="1" t="s">
        <v>5838</v>
      </c>
      <c r="E976" s="1" t="s">
        <v>5839</v>
      </c>
      <c r="F976" s="1" t="s">
        <v>63</v>
      </c>
      <c r="G976" s="1" t="s">
        <v>5840</v>
      </c>
      <c r="H976" s="1">
        <v>2019.0</v>
      </c>
      <c r="I976" s="1" t="s">
        <v>97</v>
      </c>
      <c r="J976" s="1" t="s">
        <v>519</v>
      </c>
      <c r="K976" s="1" t="s">
        <v>89</v>
      </c>
      <c r="L976" s="1" t="s">
        <v>5841</v>
      </c>
      <c r="M976" s="2" t="s">
        <v>12</v>
      </c>
      <c r="N976" s="4">
        <f t="shared" si="1"/>
        <v>44310</v>
      </c>
      <c r="O976" s="5" t="str">
        <f>IFERROR(__xludf.DUMMYFUNCTION("IF(REGEXMATCH(TRIM(I976), ""^\d+\s*min""), ""Unclassified"", IF(I976 = """", ""NR"", I976))"),"TV-14")</f>
        <v>TV-14</v>
      </c>
      <c r="R976" s="5" t="str">
        <f t="shared" si="2"/>
        <v>Ram Prasad Ki Tehrvi</v>
      </c>
      <c r="S976" s="5" t="str">
        <f>IFERROR(__xludf.DUMMYFUNCTION("""COMPUTED_VALUE"""),"Bhavesh Joshi Superhero")</f>
        <v>Bhavesh Joshi Superhero</v>
      </c>
      <c r="U976" s="5" t="str">
        <f>IFERROR(__xludf.DUMMYFUNCTION("""COMPUTED_VALUE"""),"Danish Aslam")</f>
        <v>Danish Aslam</v>
      </c>
      <c r="V976" s="5" t="s">
        <v>5842</v>
      </c>
      <c r="W976" s="5" t="str">
        <f t="shared" si="3"/>
        <v>David Briggs</v>
      </c>
      <c r="X976" s="5">
        <f t="shared" si="4"/>
        <v>1</v>
      </c>
      <c r="Y976" s="5" t="str">
        <f>IFERROR(__xludf.DUMMYFUNCTION("REGEXEXTRACT(J976, ""^\d+"")"),"113")</f>
        <v>113</v>
      </c>
      <c r="Z976" s="5" t="str">
        <f>IFERROR(__xludf.DUMMYFUNCTION("REGEXEXTRACT(J976, ""[A-Za-z ]+$"")")," min")</f>
        <v> min</v>
      </c>
      <c r="AA976" s="5" t="str">
        <f>IFERROR(__xludf.DUMMYFUNCTION("IF(REGEXMATCH(Z976, ""Season""), ""TV Show"", ""Movie"")"),"Movie")</f>
        <v>Movie</v>
      </c>
    </row>
    <row r="977">
      <c r="A977" s="1" t="s">
        <v>5843</v>
      </c>
      <c r="B977" s="1" t="s">
        <v>27</v>
      </c>
      <c r="C977" s="1" t="s">
        <v>5844</v>
      </c>
      <c r="E977" s="1" t="s">
        <v>5845</v>
      </c>
      <c r="F977" s="1" t="s">
        <v>30</v>
      </c>
      <c r="G977" s="1" t="s">
        <v>5840</v>
      </c>
      <c r="H977" s="1">
        <v>2021.0</v>
      </c>
      <c r="I977" s="1" t="s">
        <v>97</v>
      </c>
      <c r="J977" s="1" t="s">
        <v>5846</v>
      </c>
      <c r="K977" s="1" t="s">
        <v>617</v>
      </c>
      <c r="L977" s="1" t="s">
        <v>5847</v>
      </c>
      <c r="M977" s="2" t="s">
        <v>12</v>
      </c>
      <c r="N977" s="4">
        <f t="shared" si="1"/>
        <v>44310</v>
      </c>
      <c r="O977" s="5" t="str">
        <f>IFERROR(__xludf.DUMMYFUNCTION("IF(REGEXMATCH(TRIM(I977), ""^\d+\s*min""), ""Unclassified"", IF(I977 = """", ""NR"", I977))"),"TV-14")</f>
        <v>TV-14</v>
      </c>
      <c r="R977" s="5" t="str">
        <f t="shared" si="2"/>
        <v>Shadow And Bone - The Afterparty</v>
      </c>
      <c r="S977" s="5" t="str">
        <f>IFERROR(__xludf.DUMMYFUNCTION("""COMPUTED_VALUE"""),"Bheemayan")</f>
        <v>Bheemayan</v>
      </c>
      <c r="U977" s="5" t="str">
        <f>IFERROR(__xludf.DUMMYFUNCTION("""COMPUTED_VALUE"""),"Vibhu Virender Puri")</f>
        <v>Vibhu Virender Puri</v>
      </c>
      <c r="V977" s="5" t="s">
        <v>5848</v>
      </c>
      <c r="W977" s="5" t="str">
        <f t="shared" si="3"/>
        <v>David Bruckner</v>
      </c>
      <c r="X977" s="5">
        <f t="shared" si="4"/>
        <v>1</v>
      </c>
      <c r="Y977" s="5" t="str">
        <f>IFERROR(__xludf.DUMMYFUNCTION("REGEXEXTRACT(J977, ""^\d+"")"),"33")</f>
        <v>33</v>
      </c>
      <c r="Z977" s="5" t="str">
        <f>IFERROR(__xludf.DUMMYFUNCTION("REGEXEXTRACT(J977, ""[A-Za-z ]+$"")")," min")</f>
        <v> min</v>
      </c>
      <c r="AA977" s="5" t="str">
        <f>IFERROR(__xludf.DUMMYFUNCTION("IF(REGEXMATCH(Z977, ""Season""), ""TV Show"", ""Movie"")"),"Movie")</f>
        <v>Movie</v>
      </c>
    </row>
    <row r="978">
      <c r="A978" s="1" t="s">
        <v>5849</v>
      </c>
      <c r="B978" s="1" t="s">
        <v>27</v>
      </c>
      <c r="C978" s="1" t="s">
        <v>5850</v>
      </c>
      <c r="D978" s="1" t="s">
        <v>5851</v>
      </c>
      <c r="E978" s="1" t="s">
        <v>5852</v>
      </c>
      <c r="F978" s="1" t="s">
        <v>188</v>
      </c>
      <c r="G978" s="1" t="s">
        <v>5853</v>
      </c>
      <c r="H978" s="1">
        <v>2017.0</v>
      </c>
      <c r="I978" s="1" t="s">
        <v>97</v>
      </c>
      <c r="J978" s="1" t="s">
        <v>127</v>
      </c>
      <c r="K978" s="1" t="s">
        <v>199</v>
      </c>
      <c r="L978" s="1" t="s">
        <v>5854</v>
      </c>
      <c r="M978" s="2" t="s">
        <v>12</v>
      </c>
      <c r="N978" s="4">
        <f t="shared" si="1"/>
        <v>44309</v>
      </c>
      <c r="O978" s="5" t="str">
        <f>IFERROR(__xludf.DUMMYFUNCTION("IF(REGEXMATCH(TRIM(I978), ""^\d+\s*min""), ""Unclassified"", IF(I978 = """", ""NR"", I978))"),"TV-14")</f>
        <v>TV-14</v>
      </c>
      <c r="R978" s="5" t="str">
        <f t="shared" si="2"/>
        <v>Among Family</v>
      </c>
      <c r="S978" s="5" t="str">
        <f>IFERROR(__xludf.DUMMYFUNCTION("""COMPUTED_VALUE"""),"Bheeshma")</f>
        <v>Bheeshma</v>
      </c>
      <c r="U978" s="5" t="str">
        <f>IFERROR(__xludf.DUMMYFUNCTION("""COMPUTED_VALUE"""),"Mike Rohl")</f>
        <v>Mike Rohl</v>
      </c>
      <c r="V978" s="5" t="s">
        <v>2419</v>
      </c>
      <c r="W978" s="5" t="str">
        <f t="shared" si="3"/>
        <v>David Charhon</v>
      </c>
      <c r="X978" s="5">
        <f t="shared" si="4"/>
        <v>1</v>
      </c>
      <c r="Y978" s="5" t="str">
        <f>IFERROR(__xludf.DUMMYFUNCTION("REGEXEXTRACT(J978, ""^\d+"")"),"127")</f>
        <v>127</v>
      </c>
      <c r="Z978" s="5" t="str">
        <f>IFERROR(__xludf.DUMMYFUNCTION("REGEXEXTRACT(J978, ""[A-Za-z ]+$"")")," min")</f>
        <v> min</v>
      </c>
      <c r="AA978" s="5" t="str">
        <f>IFERROR(__xludf.DUMMYFUNCTION("IF(REGEXMATCH(Z978, ""Season""), ""TV Show"", ""Movie"")"),"Movie")</f>
        <v>Movie</v>
      </c>
    </row>
    <row r="979">
      <c r="A979" s="1" t="s">
        <v>5855</v>
      </c>
      <c r="B979" s="1" t="s">
        <v>27</v>
      </c>
      <c r="C979" s="1" t="s">
        <v>5856</v>
      </c>
      <c r="D979" s="1" t="s">
        <v>5857</v>
      </c>
      <c r="E979" s="1" t="s">
        <v>5858</v>
      </c>
      <c r="F979" s="1" t="s">
        <v>188</v>
      </c>
      <c r="G979" s="1" t="s">
        <v>5853</v>
      </c>
      <c r="H979" s="1">
        <v>2016.0</v>
      </c>
      <c r="I979" s="1" t="s">
        <v>97</v>
      </c>
      <c r="J979" s="1" t="s">
        <v>1091</v>
      </c>
      <c r="K979" s="1" t="s">
        <v>199</v>
      </c>
      <c r="L979" s="1" t="s">
        <v>5859</v>
      </c>
      <c r="M979" s="2" t="s">
        <v>12</v>
      </c>
      <c r="N979" s="4">
        <f t="shared" si="1"/>
        <v>44309</v>
      </c>
      <c r="O979" s="5" t="str">
        <f>IFERROR(__xludf.DUMMYFUNCTION("IF(REGEXMATCH(TRIM(I979), ""^\d+\s*min""), ""Unclassified"", IF(I979 = """", ""NR"", I979))"),"TV-14")</f>
        <v>TV-14</v>
      </c>
      <c r="R979" s="5" t="str">
        <f t="shared" si="2"/>
        <v>Dedemin Fisi</v>
      </c>
      <c r="S979" s="5" t="str">
        <f>IFERROR(__xludf.DUMMYFUNCTION("""COMPUTED_VALUE"""),"Bhool Bhulaiyaa")</f>
        <v>Bhool Bhulaiyaa</v>
      </c>
      <c r="U979" s="5" t="str">
        <f>IFERROR(__xludf.DUMMYFUNCTION("""COMPUTED_VALUE"""),"Shyam Benegal")</f>
        <v>Shyam Benegal</v>
      </c>
      <c r="V979" s="5" t="s">
        <v>5860</v>
      </c>
      <c r="W979" s="5" t="str">
        <f t="shared" si="3"/>
        <v>David Chirchirillo</v>
      </c>
      <c r="X979" s="5">
        <f t="shared" si="4"/>
        <v>1</v>
      </c>
      <c r="Y979" s="5" t="str">
        <f>IFERROR(__xludf.DUMMYFUNCTION("REGEXEXTRACT(J979, ""^\d+"")"),"101")</f>
        <v>101</v>
      </c>
      <c r="Z979" s="5" t="str">
        <f>IFERROR(__xludf.DUMMYFUNCTION("REGEXEXTRACT(J979, ""[A-Za-z ]+$"")")," min")</f>
        <v> min</v>
      </c>
      <c r="AA979" s="5" t="str">
        <f>IFERROR(__xludf.DUMMYFUNCTION("IF(REGEXMATCH(Z979, ""Season""), ""TV Show"", ""Movie"")"),"Movie")</f>
        <v>Movie</v>
      </c>
    </row>
    <row r="980">
      <c r="A980" s="1" t="s">
        <v>5861</v>
      </c>
      <c r="B980" s="1" t="s">
        <v>27</v>
      </c>
      <c r="C980" s="1" t="s">
        <v>5862</v>
      </c>
      <c r="D980" s="1" t="s">
        <v>5863</v>
      </c>
      <c r="E980" s="1" t="s">
        <v>5864</v>
      </c>
      <c r="F980" s="1" t="s">
        <v>188</v>
      </c>
      <c r="G980" s="1" t="s">
        <v>5853</v>
      </c>
      <c r="H980" s="1">
        <v>2014.0</v>
      </c>
      <c r="I980" s="1" t="s">
        <v>42</v>
      </c>
      <c r="J980" s="1" t="s">
        <v>447</v>
      </c>
      <c r="K980" s="1" t="s">
        <v>215</v>
      </c>
      <c r="L980" s="1" t="s">
        <v>5865</v>
      </c>
      <c r="M980" s="2" t="s">
        <v>12</v>
      </c>
      <c r="N980" s="4">
        <f t="shared" si="1"/>
        <v>44309</v>
      </c>
      <c r="O980" s="5" t="str">
        <f>IFERROR(__xludf.DUMMYFUNCTION("IF(REGEXMATCH(TRIM(I980), ""^\d+\s*min""), ""Unclassified"", IF(I980 = """", ""NR"", I980))"),"TV-MA")</f>
        <v>TV-MA</v>
      </c>
      <c r="R980" s="5" t="str">
        <f t="shared" si="2"/>
        <v>Deliha</v>
      </c>
      <c r="S980" s="5" t="str">
        <f>IFERROR(__xludf.DUMMYFUNCTION("""COMPUTED_VALUE"""),"Bhoot")</f>
        <v>Bhoot</v>
      </c>
      <c r="U980" s="5" t="str">
        <f>IFERROR(__xludf.DUMMYFUNCTION("""COMPUTED_VALUE"""),"Takeshi Fukunaga")</f>
        <v>Takeshi Fukunaga</v>
      </c>
      <c r="V980" s="5" t="s">
        <v>5866</v>
      </c>
      <c r="W980" s="5" t="str">
        <f t="shared" si="3"/>
        <v>David Chuang, Chen Kuan-Chung</v>
      </c>
      <c r="X980" s="5">
        <f t="shared" si="4"/>
        <v>1</v>
      </c>
      <c r="Y980" s="5" t="str">
        <f>IFERROR(__xludf.DUMMYFUNCTION("REGEXEXTRACT(J980, ""^\d+"")"),"102")</f>
        <v>102</v>
      </c>
      <c r="Z980" s="5" t="str">
        <f>IFERROR(__xludf.DUMMYFUNCTION("REGEXEXTRACT(J980, ""[A-Za-z ]+$"")")," min")</f>
        <v> min</v>
      </c>
      <c r="AA980" s="5" t="str">
        <f>IFERROR(__xludf.DUMMYFUNCTION("IF(REGEXMATCH(Z980, ""Season""), ""TV Show"", ""Movie"")"),"Movie")</f>
        <v>Movie</v>
      </c>
    </row>
    <row r="981">
      <c r="A981" s="1" t="s">
        <v>5867</v>
      </c>
      <c r="B981" s="1" t="s">
        <v>27</v>
      </c>
      <c r="C981" s="1" t="s">
        <v>5868</v>
      </c>
      <c r="D981" s="1" t="s">
        <v>5869</v>
      </c>
      <c r="E981" s="1" t="s">
        <v>5870</v>
      </c>
      <c r="F981" s="1" t="s">
        <v>188</v>
      </c>
      <c r="G981" s="1" t="s">
        <v>5853</v>
      </c>
      <c r="H981" s="1">
        <v>2013.0</v>
      </c>
      <c r="I981" s="1" t="s">
        <v>42</v>
      </c>
      <c r="J981" s="1" t="s">
        <v>447</v>
      </c>
      <c r="K981" s="1" t="s">
        <v>199</v>
      </c>
      <c r="L981" s="1" t="s">
        <v>5871</v>
      </c>
      <c r="M981" s="2" t="s">
        <v>12</v>
      </c>
      <c r="N981" s="4">
        <f t="shared" si="1"/>
        <v>44309</v>
      </c>
      <c r="O981" s="5" t="str">
        <f>IFERROR(__xludf.DUMMYFUNCTION("IF(REGEXMATCH(TRIM(I981), ""^\d+\s*min""), ""Unclassified"", IF(I981 = """", ""NR"", I981))"),"TV-MA")</f>
        <v>TV-MA</v>
      </c>
      <c r="R981" s="5" t="str">
        <f t="shared" si="2"/>
        <v>Düğün Dernek</v>
      </c>
      <c r="S981" s="5" t="str">
        <f>IFERROR(__xludf.DUMMYFUNCTION("""COMPUTED_VALUE"""),"Bhouri")</f>
        <v>Bhouri</v>
      </c>
      <c r="U981" s="5" t="str">
        <f>IFERROR(__xludf.DUMMYFUNCTION("""COMPUTED_VALUE"""),"Leslie Small")</f>
        <v>Leslie Small</v>
      </c>
      <c r="V981" s="5" t="s">
        <v>5872</v>
      </c>
      <c r="W981" s="5" t="str">
        <f t="shared" si="3"/>
        <v>David Cronenberg</v>
      </c>
      <c r="X981" s="5">
        <f t="shared" si="4"/>
        <v>1</v>
      </c>
      <c r="Y981" s="5" t="str">
        <f>IFERROR(__xludf.DUMMYFUNCTION("REGEXEXTRACT(J981, ""^\d+"")"),"102")</f>
        <v>102</v>
      </c>
      <c r="Z981" s="5" t="str">
        <f>IFERROR(__xludf.DUMMYFUNCTION("REGEXEXTRACT(J981, ""[A-Za-z ]+$"")")," min")</f>
        <v> min</v>
      </c>
      <c r="AA981" s="5" t="str">
        <f>IFERROR(__xludf.DUMMYFUNCTION("IF(REGEXMATCH(Z981, ""Season""), ""TV Show"", ""Movie"")"),"Movie")</f>
        <v>Movie</v>
      </c>
    </row>
    <row r="982">
      <c r="A982" s="1" t="s">
        <v>5873</v>
      </c>
      <c r="B982" s="1" t="s">
        <v>27</v>
      </c>
      <c r="C982" s="1" t="s">
        <v>5874</v>
      </c>
      <c r="D982" s="1" t="s">
        <v>5875</v>
      </c>
      <c r="E982" s="1" t="s">
        <v>5876</v>
      </c>
      <c r="F982" s="1" t="s">
        <v>188</v>
      </c>
      <c r="G982" s="1" t="s">
        <v>5853</v>
      </c>
      <c r="H982" s="1">
        <v>2015.0</v>
      </c>
      <c r="I982" s="1" t="s">
        <v>42</v>
      </c>
      <c r="J982" s="1" t="s">
        <v>1256</v>
      </c>
      <c r="K982" s="1" t="s">
        <v>199</v>
      </c>
      <c r="L982" s="1" t="s">
        <v>5877</v>
      </c>
      <c r="M982" s="2" t="s">
        <v>12</v>
      </c>
      <c r="N982" s="4">
        <f t="shared" si="1"/>
        <v>44309</v>
      </c>
      <c r="O982" s="5" t="str">
        <f>IFERROR(__xludf.DUMMYFUNCTION("IF(REGEXMATCH(TRIM(I982), ""^\d+\s*min""), ""Unclassified"", IF(I982 = """", ""NR"", I982))"),"TV-MA")</f>
        <v>TV-MA</v>
      </c>
      <c r="R982" s="5" t="str">
        <f t="shared" si="2"/>
        <v>Dügün Dernek 2: Sünnet</v>
      </c>
      <c r="S982" s="5" t="str">
        <f>IFERROR(__xludf.DUMMYFUNCTION("""COMPUTED_VALUE"""),"Bibi &amp; Tina")</f>
        <v>Bibi &amp; Tina</v>
      </c>
      <c r="U982" s="5" t="str">
        <f>IFERROR(__xludf.DUMMYFUNCTION("""COMPUTED_VALUE"""),"Jeff Nichols")</f>
        <v>Jeff Nichols</v>
      </c>
      <c r="V982" s="5" t="s">
        <v>5878</v>
      </c>
      <c r="W982" s="5" t="str">
        <f t="shared" si="3"/>
        <v>David De Vos</v>
      </c>
      <c r="X982" s="5">
        <f t="shared" si="4"/>
        <v>1</v>
      </c>
      <c r="Y982" s="5" t="str">
        <f>IFERROR(__xludf.DUMMYFUNCTION("REGEXEXTRACT(J982, ""^\d+"")"),"107")</f>
        <v>107</v>
      </c>
      <c r="Z982" s="5" t="str">
        <f>IFERROR(__xludf.DUMMYFUNCTION("REGEXEXTRACT(J982, ""[A-Za-z ]+$"")")," min")</f>
        <v> min</v>
      </c>
      <c r="AA982" s="5" t="str">
        <f>IFERROR(__xludf.DUMMYFUNCTION("IF(REGEXMATCH(Z982, ""Season""), ""TV Show"", ""Movie"")"),"Movie")</f>
        <v>Movie</v>
      </c>
    </row>
    <row r="983">
      <c r="A983" s="1" t="s">
        <v>5879</v>
      </c>
      <c r="B983" s="1" t="s">
        <v>27</v>
      </c>
      <c r="C983" s="1" t="s">
        <v>5880</v>
      </c>
      <c r="D983" s="1" t="s">
        <v>5881</v>
      </c>
      <c r="E983" s="1" t="s">
        <v>5882</v>
      </c>
      <c r="F983" s="1" t="s">
        <v>188</v>
      </c>
      <c r="G983" s="1" t="s">
        <v>5853</v>
      </c>
      <c r="H983" s="1">
        <v>2004.0</v>
      </c>
      <c r="I983" s="1" t="s">
        <v>42</v>
      </c>
      <c r="J983" s="1" t="s">
        <v>2566</v>
      </c>
      <c r="K983" s="1" t="s">
        <v>1328</v>
      </c>
      <c r="L983" s="1" t="s">
        <v>5883</v>
      </c>
      <c r="M983" s="2" t="s">
        <v>12</v>
      </c>
      <c r="N983" s="4">
        <f t="shared" si="1"/>
        <v>44309</v>
      </c>
      <c r="O983" s="5" t="str">
        <f>IFERROR(__xludf.DUMMYFUNCTION("IF(REGEXMATCH(TRIM(I983), ""^\d+\s*min""), ""Unclassified"", IF(I983 = """", ""NR"", I983))"),"TV-MA")</f>
        <v>TV-MA</v>
      </c>
      <c r="R983" s="5" t="str">
        <f t="shared" si="2"/>
        <v>G.O.R.A</v>
      </c>
      <c r="S983" s="5" t="str">
        <f>IFERROR(__xludf.DUMMYFUNCTION("""COMPUTED_VALUE"""),"Bibi &amp; Tina Ii")</f>
        <v>Bibi &amp; Tina Ii</v>
      </c>
      <c r="U983" s="5" t="str">
        <f>IFERROR(__xludf.DUMMYFUNCTION("""COMPUTED_VALUE"""),"Sabaah Folayan, Damon Davis")</f>
        <v>Sabaah Folayan, Damon Davis</v>
      </c>
      <c r="V983" s="5" t="s">
        <v>1405</v>
      </c>
      <c r="W983" s="5" t="str">
        <f t="shared" si="3"/>
        <v>David Dhawan</v>
      </c>
      <c r="X983" s="5">
        <f t="shared" si="4"/>
        <v>9</v>
      </c>
      <c r="Y983" s="5" t="str">
        <f>IFERROR(__xludf.DUMMYFUNCTION("REGEXEXTRACT(J983, ""^\d+"")"),"123")</f>
        <v>123</v>
      </c>
      <c r="Z983" s="5" t="str">
        <f>IFERROR(__xludf.DUMMYFUNCTION("REGEXEXTRACT(J983, ""[A-Za-z ]+$"")")," min")</f>
        <v> min</v>
      </c>
      <c r="AA983" s="5" t="str">
        <f>IFERROR(__xludf.DUMMYFUNCTION("IF(REGEXMATCH(Z983, ""Season""), ""TV Show"", ""Movie"")"),"Movie")</f>
        <v>Movie</v>
      </c>
    </row>
    <row r="984">
      <c r="A984" s="1" t="s">
        <v>5884</v>
      </c>
      <c r="B984" s="1" t="s">
        <v>27</v>
      </c>
      <c r="C984" s="1" t="s">
        <v>5885</v>
      </c>
      <c r="D984" s="1" t="s">
        <v>5886</v>
      </c>
      <c r="E984" s="1" t="s">
        <v>5887</v>
      </c>
      <c r="F984" s="1" t="s">
        <v>188</v>
      </c>
      <c r="G984" s="1" t="s">
        <v>5853</v>
      </c>
      <c r="H984" s="1">
        <v>2015.0</v>
      </c>
      <c r="I984" s="1" t="s">
        <v>97</v>
      </c>
      <c r="J984" s="1" t="s">
        <v>357</v>
      </c>
      <c r="K984" s="1" t="s">
        <v>583</v>
      </c>
      <c r="L984" s="1" t="s">
        <v>5888</v>
      </c>
      <c r="M984" s="2" t="s">
        <v>12</v>
      </c>
      <c r="N984" s="4">
        <f t="shared" si="1"/>
        <v>44309</v>
      </c>
      <c r="O984" s="5" t="str">
        <f>IFERROR(__xludf.DUMMYFUNCTION("IF(REGEXMATCH(TRIM(I984), ""^\d+\s*min""), ""Unclassified"", IF(I984 = """", ""NR"", I984))"),"TV-14")</f>
        <v>TV-14</v>
      </c>
      <c r="R984" s="5" t="str">
        <f t="shared" si="2"/>
        <v>Hayat Öpücügü</v>
      </c>
      <c r="S984" s="5" t="str">
        <f>IFERROR(__xludf.DUMMYFUNCTION("""COMPUTED_VALUE"""),"Bibi &amp; Tina: Girls Versus Boys")</f>
        <v>Bibi &amp; Tina: Girls Versus Boys</v>
      </c>
      <c r="U984" s="5" t="str">
        <f>IFERROR(__xludf.DUMMYFUNCTION("""COMPUTED_VALUE"""),"Justin G. Dyck")</f>
        <v>Justin G. Dyck</v>
      </c>
      <c r="V984" s="5" t="s">
        <v>5889</v>
      </c>
      <c r="W984" s="5" t="str">
        <f t="shared" si="3"/>
        <v>David Dobkin</v>
      </c>
      <c r="X984" s="5">
        <f t="shared" si="4"/>
        <v>2</v>
      </c>
      <c r="Y984" s="5" t="str">
        <f>IFERROR(__xludf.DUMMYFUNCTION("REGEXEXTRACT(J984, ""^\d+"")"),"98")</f>
        <v>98</v>
      </c>
      <c r="Z984" s="5" t="str">
        <f>IFERROR(__xludf.DUMMYFUNCTION("REGEXEXTRACT(J984, ""[A-Za-z ]+$"")")," min")</f>
        <v> min</v>
      </c>
      <c r="AA984" s="5" t="str">
        <f>IFERROR(__xludf.DUMMYFUNCTION("IF(REGEXMATCH(Z984, ""Season""), ""TV Show"", ""Movie"")"),"Movie")</f>
        <v>Movie</v>
      </c>
    </row>
    <row r="985">
      <c r="A985" s="1" t="s">
        <v>5890</v>
      </c>
      <c r="B985" s="1" t="s">
        <v>27</v>
      </c>
      <c r="C985" s="1" t="s">
        <v>5891</v>
      </c>
      <c r="D985" s="1" t="s">
        <v>1275</v>
      </c>
      <c r="E985" s="1" t="s">
        <v>5892</v>
      </c>
      <c r="F985" s="1" t="s">
        <v>784</v>
      </c>
      <c r="G985" s="1" t="s">
        <v>5853</v>
      </c>
      <c r="H985" s="1">
        <v>2021.0</v>
      </c>
      <c r="I985" s="1" t="s">
        <v>42</v>
      </c>
      <c r="J985" s="1" t="s">
        <v>465</v>
      </c>
      <c r="K985" s="1" t="s">
        <v>2892</v>
      </c>
      <c r="L985" s="1" t="s">
        <v>5893</v>
      </c>
      <c r="M985" s="2" t="s">
        <v>12</v>
      </c>
      <c r="N985" s="4">
        <f t="shared" si="1"/>
        <v>44309</v>
      </c>
      <c r="O985" s="5" t="str">
        <f>IFERROR(__xludf.DUMMYFUNCTION("IF(REGEXMATCH(TRIM(I985), ""^\d+\s*min""), ""Unclassified"", IF(I985 = """", ""NR"", I985))"),"TV-MA")</f>
        <v>TV-MA</v>
      </c>
      <c r="R985" s="5" t="str">
        <f t="shared" si="2"/>
        <v>Heroes: Silence And Rock &amp; Roll</v>
      </c>
      <c r="S985" s="5" t="str">
        <f>IFERROR(__xludf.DUMMYFUNCTION("""COMPUTED_VALUE"""),"Bibi &amp; Tina: Tohuwabohu Total")</f>
        <v>Bibi &amp; Tina: Tohuwabohu Total</v>
      </c>
      <c r="U985" s="5" t="str">
        <f>IFERROR(__xludf.DUMMYFUNCTION("""COMPUTED_VALUE"""),"Cody Cameron, Kris Pearn")</f>
        <v>Cody Cameron, Kris Pearn</v>
      </c>
      <c r="V985" s="5" t="s">
        <v>5894</v>
      </c>
      <c r="W985" s="5" t="str">
        <f t="shared" si="3"/>
        <v>David E. Talbert</v>
      </c>
      <c r="X985" s="5">
        <f t="shared" si="4"/>
        <v>2</v>
      </c>
      <c r="Y985" s="5" t="str">
        <f>IFERROR(__xludf.DUMMYFUNCTION("REGEXEXTRACT(J985, ""^\d+"")"),"95")</f>
        <v>95</v>
      </c>
      <c r="Z985" s="5" t="str">
        <f>IFERROR(__xludf.DUMMYFUNCTION("REGEXEXTRACT(J985, ""[A-Za-z ]+$"")")," min")</f>
        <v> min</v>
      </c>
      <c r="AA985" s="5" t="str">
        <f>IFERROR(__xludf.DUMMYFUNCTION("IF(REGEXMATCH(Z985, ""Season""), ""TV Show"", ""Movie"")"),"Movie")</f>
        <v>Movie</v>
      </c>
    </row>
    <row r="986">
      <c r="A986" s="1" t="s">
        <v>5895</v>
      </c>
      <c r="B986" s="1" t="s">
        <v>27</v>
      </c>
      <c r="C986" s="1" t="s">
        <v>5896</v>
      </c>
      <c r="D986" s="1" t="s">
        <v>3999</v>
      </c>
      <c r="E986" s="1" t="s">
        <v>5897</v>
      </c>
      <c r="F986" s="1" t="s">
        <v>188</v>
      </c>
      <c r="G986" s="1" t="s">
        <v>5853</v>
      </c>
      <c r="H986" s="1">
        <v>2015.0</v>
      </c>
      <c r="I986" s="1" t="s">
        <v>42</v>
      </c>
      <c r="J986" s="1" t="s">
        <v>1091</v>
      </c>
      <c r="K986" s="1" t="s">
        <v>199</v>
      </c>
      <c r="L986" s="1" t="s">
        <v>5898</v>
      </c>
      <c r="M986" s="2" t="s">
        <v>12</v>
      </c>
      <c r="N986" s="4">
        <f t="shared" si="1"/>
        <v>44309</v>
      </c>
      <c r="O986" s="5" t="str">
        <f>IFERROR(__xludf.DUMMYFUNCTION("IF(REGEXMATCH(TRIM(I986), ""^\d+\s*min""), ""Unclassified"", IF(I986 = """", ""NR"", I986))"),"TV-MA")</f>
        <v>TV-MA</v>
      </c>
      <c r="R986" s="5" t="str">
        <f t="shared" si="2"/>
        <v>Kara Bela</v>
      </c>
      <c r="S986" s="5" t="str">
        <f>IFERROR(__xludf.DUMMYFUNCTION("""COMPUTED_VALUE"""),"Bibik-Bibikku")</f>
        <v>Bibik-Bibikku</v>
      </c>
      <c r="U986" s="5" t="str">
        <f>IFERROR(__xludf.DUMMYFUNCTION("""COMPUTED_VALUE"""),"Michael Curtiz")</f>
        <v>Michael Curtiz</v>
      </c>
      <c r="V986" s="5" t="s">
        <v>5899</v>
      </c>
      <c r="W986" s="5" t="str">
        <f t="shared" si="3"/>
        <v>David Fairhead</v>
      </c>
      <c r="X986" s="5">
        <f t="shared" si="4"/>
        <v>1</v>
      </c>
      <c r="Y986" s="5" t="str">
        <f>IFERROR(__xludf.DUMMYFUNCTION("REGEXEXTRACT(J986, ""^\d+"")"),"101")</f>
        <v>101</v>
      </c>
      <c r="Z986" s="5" t="str">
        <f>IFERROR(__xludf.DUMMYFUNCTION("REGEXEXTRACT(J986, ""[A-Za-z ]+$"")")," min")</f>
        <v> min</v>
      </c>
      <c r="AA986" s="5" t="str">
        <f>IFERROR(__xludf.DUMMYFUNCTION("IF(REGEXMATCH(Z986, ""Season""), ""TV Show"", ""Movie"")"),"Movie")</f>
        <v>Movie</v>
      </c>
    </row>
    <row r="987">
      <c r="A987" s="1" t="s">
        <v>5900</v>
      </c>
      <c r="B987" s="1" t="s">
        <v>27</v>
      </c>
      <c r="C987" s="1" t="s">
        <v>5901</v>
      </c>
      <c r="D987" s="1" t="s">
        <v>5902</v>
      </c>
      <c r="E987" s="1" t="s">
        <v>5903</v>
      </c>
      <c r="F987" s="1" t="s">
        <v>188</v>
      </c>
      <c r="G987" s="1" t="s">
        <v>5853</v>
      </c>
      <c r="H987" s="1">
        <v>2015.0</v>
      </c>
      <c r="I987" s="1" t="s">
        <v>42</v>
      </c>
      <c r="J987" s="1" t="s">
        <v>106</v>
      </c>
      <c r="K987" s="1" t="s">
        <v>215</v>
      </c>
      <c r="L987" s="1" t="s">
        <v>5904</v>
      </c>
      <c r="M987" s="2" t="s">
        <v>12</v>
      </c>
      <c r="N987" s="4">
        <f t="shared" si="1"/>
        <v>44309</v>
      </c>
      <c r="O987" s="5" t="str">
        <f>IFERROR(__xludf.DUMMYFUNCTION("IF(REGEXMATCH(TRIM(I987), ""^\d+\s*min""), ""Unclassified"", IF(I987 = """", ""NR"", I987))"),"TV-MA")</f>
        <v>TV-MA</v>
      </c>
      <c r="R987" s="5" t="str">
        <f t="shared" si="2"/>
        <v>Kocan Kadar Konus</v>
      </c>
      <c r="S987" s="5" t="str">
        <f>IFERROR(__xludf.DUMMYFUNCTION("""COMPUTED_VALUE"""),"Big Bad Beetleborgs")</f>
        <v>Big Bad Beetleborgs</v>
      </c>
      <c r="U987" s="5" t="str">
        <f>IFERROR(__xludf.DUMMYFUNCTION("""COMPUTED_VALUE"""),"Avinash Walzade")</f>
        <v>Avinash Walzade</v>
      </c>
      <c r="V987" s="5" t="s">
        <v>5905</v>
      </c>
      <c r="W987" s="5" t="str">
        <f t="shared" si="3"/>
        <v>David Fairhead, Anthony Palmer</v>
      </c>
      <c r="X987" s="5">
        <f t="shared" si="4"/>
        <v>1</v>
      </c>
      <c r="Y987" s="5" t="str">
        <f>IFERROR(__xludf.DUMMYFUNCTION("REGEXEXTRACT(J987, ""^\d+"")"),"104")</f>
        <v>104</v>
      </c>
      <c r="Z987" s="5" t="str">
        <f>IFERROR(__xludf.DUMMYFUNCTION("REGEXEXTRACT(J987, ""[A-Za-z ]+$"")")," min")</f>
        <v> min</v>
      </c>
      <c r="AA987" s="5" t="str">
        <f>IFERROR(__xludf.DUMMYFUNCTION("IF(REGEXMATCH(Z987, ""Season""), ""TV Show"", ""Movie"")"),"Movie")</f>
        <v>Movie</v>
      </c>
    </row>
    <row r="988">
      <c r="A988" s="1" t="s">
        <v>5906</v>
      </c>
      <c r="B988" s="1" t="s">
        <v>27</v>
      </c>
      <c r="C988" s="1" t="s">
        <v>5907</v>
      </c>
      <c r="D988" s="1" t="s">
        <v>5902</v>
      </c>
      <c r="E988" s="1" t="s">
        <v>5908</v>
      </c>
      <c r="F988" s="1" t="s">
        <v>188</v>
      </c>
      <c r="G988" s="1" t="s">
        <v>5853</v>
      </c>
      <c r="H988" s="1">
        <v>2016.0</v>
      </c>
      <c r="I988" s="1" t="s">
        <v>97</v>
      </c>
      <c r="J988" s="1" t="s">
        <v>106</v>
      </c>
      <c r="K988" s="1" t="s">
        <v>215</v>
      </c>
      <c r="L988" s="1" t="s">
        <v>5909</v>
      </c>
      <c r="M988" s="2" t="s">
        <v>12</v>
      </c>
      <c r="N988" s="4">
        <f t="shared" si="1"/>
        <v>44309</v>
      </c>
      <c r="O988" s="5" t="str">
        <f>IFERROR(__xludf.DUMMYFUNCTION("IF(REGEXMATCH(TRIM(I988), ""^\d+\s*min""), ""Unclassified"", IF(I988 = """", ""NR"", I988))"),"TV-14")</f>
        <v>TV-14</v>
      </c>
      <c r="R988" s="5" t="str">
        <f t="shared" si="2"/>
        <v>Kocan Kadar Konus 2: Dirilis</v>
      </c>
      <c r="S988" s="5" t="str">
        <f>IFERROR(__xludf.DUMMYFUNCTION("""COMPUTED_VALUE"""),"Big Bear")</f>
        <v>Big Bear</v>
      </c>
      <c r="U988" s="5" t="str">
        <f>IFERROR(__xludf.DUMMYFUNCTION("""COMPUTED_VALUE"""),"David E. Talbert")</f>
        <v>David E. Talbert</v>
      </c>
      <c r="V988" s="5" t="s">
        <v>2247</v>
      </c>
      <c r="W988" s="5" t="str">
        <f t="shared" si="3"/>
        <v>David Feiss</v>
      </c>
      <c r="X988" s="5">
        <f t="shared" si="4"/>
        <v>1</v>
      </c>
      <c r="Y988" s="5" t="str">
        <f>IFERROR(__xludf.DUMMYFUNCTION("REGEXEXTRACT(J988, ""^\d+"")"),"104")</f>
        <v>104</v>
      </c>
      <c r="Z988" s="5" t="str">
        <f>IFERROR(__xludf.DUMMYFUNCTION("REGEXEXTRACT(J988, ""[A-Za-z ]+$"")")," min")</f>
        <v> min</v>
      </c>
      <c r="AA988" s="5" t="str">
        <f>IFERROR(__xludf.DUMMYFUNCTION("IF(REGEXMATCH(Z988, ""Season""), ""TV Show"", ""Movie"")"),"Movie")</f>
        <v>Movie</v>
      </c>
    </row>
    <row r="989">
      <c r="A989" s="1" t="s">
        <v>5910</v>
      </c>
      <c r="B989" s="1" t="s">
        <v>27</v>
      </c>
      <c r="C989" s="1" t="s">
        <v>5911</v>
      </c>
      <c r="D989" s="1" t="s">
        <v>5912</v>
      </c>
      <c r="E989" s="1" t="s">
        <v>5913</v>
      </c>
      <c r="G989" s="1" t="s">
        <v>5853</v>
      </c>
      <c r="H989" s="1">
        <v>2019.0</v>
      </c>
      <c r="I989" s="1" t="s">
        <v>42</v>
      </c>
      <c r="J989" s="1" t="s">
        <v>238</v>
      </c>
      <c r="K989" s="1" t="s">
        <v>199</v>
      </c>
      <c r="L989" s="1" t="s">
        <v>5914</v>
      </c>
      <c r="M989" s="2" t="s">
        <v>12</v>
      </c>
      <c r="N989" s="4">
        <f t="shared" si="1"/>
        <v>44309</v>
      </c>
      <c r="O989" s="5" t="str">
        <f>IFERROR(__xludf.DUMMYFUNCTION("IF(REGEXMATCH(TRIM(I989), ""^\d+\s*min""), ""Unclassified"", IF(I989 = """", ""NR"", I989))"),"TV-MA")</f>
        <v>TV-MA</v>
      </c>
      <c r="R989" s="5" t="str">
        <f t="shared" si="2"/>
        <v>Legal Hash</v>
      </c>
      <c r="S989" s="5" t="str">
        <f>IFERROR(__xludf.DUMMYFUNCTION("""COMPUTED_VALUE"""),"Big Daddy")</f>
        <v>Big Daddy</v>
      </c>
      <c r="U989" s="5" t="str">
        <f>IFERROR(__xludf.DUMMYFUNCTION("""COMPUTED_VALUE"""),"Renata Terra")</f>
        <v>Renata Terra</v>
      </c>
      <c r="V989" s="5" t="s">
        <v>3725</v>
      </c>
      <c r="W989" s="5" t="str">
        <f t="shared" si="3"/>
        <v>David Fincher</v>
      </c>
      <c r="X989" s="5">
        <f t="shared" si="4"/>
        <v>6</v>
      </c>
      <c r="Y989" s="5" t="str">
        <f>IFERROR(__xludf.DUMMYFUNCTION("REGEXEXTRACT(J989, ""^\d+"")"),"103")</f>
        <v>103</v>
      </c>
      <c r="Z989" s="5" t="str">
        <f>IFERROR(__xludf.DUMMYFUNCTION("REGEXEXTRACT(J989, ""[A-Za-z ]+$"")")," min")</f>
        <v> min</v>
      </c>
      <c r="AA989" s="5" t="str">
        <f>IFERROR(__xludf.DUMMYFUNCTION("IF(REGEXMATCH(Z989, ""Season""), ""TV Show"", ""Movie"")"),"Movie")</f>
        <v>Movie</v>
      </c>
    </row>
    <row r="990">
      <c r="A990" s="1" t="s">
        <v>5915</v>
      </c>
      <c r="B990" s="1" t="s">
        <v>37</v>
      </c>
      <c r="C990" s="1" t="s">
        <v>5916</v>
      </c>
      <c r="D990" s="1" t="s">
        <v>5917</v>
      </c>
      <c r="E990" s="1" t="s">
        <v>5918</v>
      </c>
      <c r="F990" s="1" t="s">
        <v>2796</v>
      </c>
      <c r="G990" s="1" t="s">
        <v>5853</v>
      </c>
      <c r="H990" s="1">
        <v>2021.0</v>
      </c>
      <c r="I990" s="1" t="s">
        <v>97</v>
      </c>
      <c r="J990" s="1" t="s">
        <v>51</v>
      </c>
      <c r="K990" s="1" t="s">
        <v>64</v>
      </c>
      <c r="L990" s="1" t="s">
        <v>5919</v>
      </c>
      <c r="M990" s="2" t="s">
        <v>12</v>
      </c>
      <c r="N990" s="4">
        <f t="shared" si="1"/>
        <v>44309</v>
      </c>
      <c r="O990" s="5" t="str">
        <f>IFERROR(__xludf.DUMMYFUNCTION("IF(REGEXMATCH(TRIM(I990), ""^\d+\s*min""), ""Unclassified"", IF(I990 = """", ""NR"", I990))"),"TV-14")</f>
        <v>TV-14</v>
      </c>
      <c r="R990" s="5" t="str">
        <f t="shared" si="2"/>
        <v>Let'S Fight Ghost</v>
      </c>
      <c r="S990" s="5" t="str">
        <f>IFERROR(__xludf.DUMMYFUNCTION("""COMPUTED_VALUE"""),"Big Dreams, Small Spaces")</f>
        <v>Big Dreams, Small Spaces</v>
      </c>
      <c r="U990" s="5" t="str">
        <f>IFERROR(__xludf.DUMMYFUNCTION("""COMPUTED_VALUE"""),"Edoardo Ponti")</f>
        <v>Edoardo Ponti</v>
      </c>
      <c r="V990" s="5" t="s">
        <v>5920</v>
      </c>
      <c r="W990" s="5" t="str">
        <f t="shared" si="3"/>
        <v>David France</v>
      </c>
      <c r="X990" s="5">
        <f t="shared" si="4"/>
        <v>1</v>
      </c>
      <c r="Y990" s="5" t="str">
        <f>IFERROR(__xludf.DUMMYFUNCTION("REGEXEXTRACT(J990, ""^\d+"")"),"1")</f>
        <v>1</v>
      </c>
      <c r="Z990" s="5" t="str">
        <f>IFERROR(__xludf.DUMMYFUNCTION("REGEXEXTRACT(J990, ""[A-Za-z ]+$"")")," Season")</f>
        <v> Season</v>
      </c>
      <c r="AA990" s="5" t="str">
        <f>IFERROR(__xludf.DUMMYFUNCTION("IF(REGEXMATCH(Z990, ""Season""), ""TV Show"", ""Movie"")"),"TV Show")</f>
        <v>TV Show</v>
      </c>
    </row>
    <row r="991">
      <c r="A991" s="1" t="s">
        <v>5921</v>
      </c>
      <c r="B991" s="1" t="s">
        <v>27</v>
      </c>
      <c r="C991" s="1" t="s">
        <v>5922</v>
      </c>
      <c r="D991" s="1" t="s">
        <v>3102</v>
      </c>
      <c r="E991" s="1" t="s">
        <v>5923</v>
      </c>
      <c r="F991" s="1" t="s">
        <v>188</v>
      </c>
      <c r="G991" s="1" t="s">
        <v>5853</v>
      </c>
      <c r="H991" s="1">
        <v>2017.0</v>
      </c>
      <c r="I991" s="1" t="s">
        <v>42</v>
      </c>
      <c r="J991" s="1" t="s">
        <v>264</v>
      </c>
      <c r="K991" s="1" t="s">
        <v>199</v>
      </c>
      <c r="L991" s="1" t="s">
        <v>5924</v>
      </c>
      <c r="M991" s="2" t="s">
        <v>12</v>
      </c>
      <c r="N991" s="4">
        <f t="shared" si="1"/>
        <v>44309</v>
      </c>
      <c r="O991" s="5" t="str">
        <f>IFERROR(__xludf.DUMMYFUNCTION("IF(REGEXMATCH(TRIM(I991), ""^\d+\s*min""), ""Unclassified"", IF(I991 = """", ""NR"", I991))"),"TV-MA")</f>
        <v>TV-MA</v>
      </c>
      <c r="R991" s="5" t="str">
        <f t="shared" si="2"/>
        <v>My Travel Buddy</v>
      </c>
      <c r="S991" s="5" t="str">
        <f>IFERROR(__xludf.DUMMYFUNCTION("""COMPUTED_VALUE"""),"Big Fat Liar")</f>
        <v>Big Fat Liar</v>
      </c>
      <c r="U991" s="5" t="str">
        <f>IFERROR(__xludf.DUMMYFUNCTION("""COMPUTED_VALUE"""),"Mateo Gil")</f>
        <v>Mateo Gil</v>
      </c>
      <c r="V991" s="5" t="s">
        <v>5030</v>
      </c>
      <c r="W991" s="5" t="str">
        <f t="shared" si="3"/>
        <v>David Frankel</v>
      </c>
      <c r="X991" s="5">
        <f t="shared" si="4"/>
        <v>1</v>
      </c>
      <c r="Y991" s="5" t="str">
        <f>IFERROR(__xludf.DUMMYFUNCTION("REGEXEXTRACT(J991, ""^\d+"")"),"111")</f>
        <v>111</v>
      </c>
      <c r="Z991" s="5" t="str">
        <f>IFERROR(__xludf.DUMMYFUNCTION("REGEXEXTRACT(J991, ""[A-Za-z ]+$"")")," min")</f>
        <v> min</v>
      </c>
      <c r="AA991" s="5" t="str">
        <f>IFERROR(__xludf.DUMMYFUNCTION("IF(REGEXMATCH(Z991, ""Season""), ""TV Show"", ""Movie"")"),"Movie")</f>
        <v>Movie</v>
      </c>
    </row>
    <row r="992">
      <c r="A992" s="1" t="s">
        <v>5925</v>
      </c>
      <c r="B992" s="1" t="s">
        <v>27</v>
      </c>
      <c r="C992" s="1" t="s">
        <v>5926</v>
      </c>
      <c r="D992" s="1" t="s">
        <v>5863</v>
      </c>
      <c r="E992" s="1" t="s">
        <v>5927</v>
      </c>
      <c r="F992" s="1" t="s">
        <v>188</v>
      </c>
      <c r="G992" s="1" t="s">
        <v>5853</v>
      </c>
      <c r="H992" s="1">
        <v>2015.0</v>
      </c>
      <c r="I992" s="1" t="s">
        <v>42</v>
      </c>
      <c r="J992" s="1" t="s">
        <v>447</v>
      </c>
      <c r="K992" s="1" t="s">
        <v>199</v>
      </c>
      <c r="L992" s="1" t="s">
        <v>5928</v>
      </c>
      <c r="M992" s="2" t="s">
        <v>12</v>
      </c>
      <c r="N992" s="4">
        <f t="shared" si="1"/>
        <v>44309</v>
      </c>
      <c r="O992" s="5" t="str">
        <f>IFERROR(__xludf.DUMMYFUNCTION("IF(REGEXMATCH(TRIM(I992), ""^\d+\s*min""), ""Unclassified"", IF(I992 = """", ""NR"", I992))"),"TV-MA")</f>
        <v>TV-MA</v>
      </c>
      <c r="R992" s="5" t="str">
        <f t="shared" si="2"/>
        <v>Niyazi Gül Dörtnala</v>
      </c>
      <c r="S992" s="5" t="str">
        <f>IFERROR(__xludf.DUMMYFUNCTION("""COMPUTED_VALUE"""),"Big Kill")</f>
        <v>Big Kill</v>
      </c>
      <c r="U992" s="5" t="str">
        <f>IFERROR(__xludf.DUMMYFUNCTION("""COMPUTED_VALUE"""),"Paul Soriano")</f>
        <v>Paul Soriano</v>
      </c>
      <c r="V992" s="5" t="s">
        <v>5929</v>
      </c>
      <c r="W992" s="5" t="str">
        <f t="shared" si="3"/>
        <v>David Galán Galindo</v>
      </c>
      <c r="X992" s="5">
        <f t="shared" si="4"/>
        <v>1</v>
      </c>
      <c r="Y992" s="5" t="str">
        <f>IFERROR(__xludf.DUMMYFUNCTION("REGEXEXTRACT(J992, ""^\d+"")"),"102")</f>
        <v>102</v>
      </c>
      <c r="Z992" s="5" t="str">
        <f>IFERROR(__xludf.DUMMYFUNCTION("REGEXEXTRACT(J992, ""[A-Za-z ]+$"")")," min")</f>
        <v> min</v>
      </c>
      <c r="AA992" s="5" t="str">
        <f>IFERROR(__xludf.DUMMYFUNCTION("IF(REGEXMATCH(Z992, ""Season""), ""TV Show"", ""Movie"")"),"Movie")</f>
        <v>Movie</v>
      </c>
    </row>
    <row r="993">
      <c r="A993" s="1" t="s">
        <v>5930</v>
      </c>
      <c r="B993" s="1" t="s">
        <v>27</v>
      </c>
      <c r="C993" s="1" t="s">
        <v>5931</v>
      </c>
      <c r="D993" s="1" t="s">
        <v>5932</v>
      </c>
      <c r="E993" s="1" t="s">
        <v>5933</v>
      </c>
      <c r="F993" s="1" t="s">
        <v>3309</v>
      </c>
      <c r="G993" s="1" t="s">
        <v>5853</v>
      </c>
      <c r="H993" s="1">
        <v>2020.0</v>
      </c>
      <c r="I993" s="1" t="s">
        <v>506</v>
      </c>
      <c r="J993" s="1" t="s">
        <v>5934</v>
      </c>
      <c r="K993" s="1" t="s">
        <v>89</v>
      </c>
      <c r="L993" s="1" t="s">
        <v>5935</v>
      </c>
      <c r="M993" s="2" t="s">
        <v>12</v>
      </c>
      <c r="N993" s="4">
        <f t="shared" si="1"/>
        <v>44309</v>
      </c>
      <c r="O993" s="5" t="str">
        <f>IFERROR(__xludf.DUMMYFUNCTION("IF(REGEXMATCH(TRIM(I993), ""^\d+\s*min""), ""Unclassified"", IF(I993 = """", ""NR"", I993))"),"TV-G")</f>
        <v>TV-G</v>
      </c>
      <c r="R993" s="5" t="str">
        <f t="shared" si="2"/>
        <v>One Like It</v>
      </c>
      <c r="S993" s="5" t="str">
        <f>IFERROR(__xludf.DUMMYFUNCTION("""COMPUTED_VALUE"""),"Big Miracle")</f>
        <v>Big Miracle</v>
      </c>
      <c r="U993" s="5" t="str">
        <f>IFERROR(__xludf.DUMMYFUNCTION("""COMPUTED_VALUE"""),"Ryan Coogler")</f>
        <v>Ryan Coogler</v>
      </c>
      <c r="V993" s="5" t="s">
        <v>5936</v>
      </c>
      <c r="W993" s="5" t="str">
        <f t="shared" si="3"/>
        <v>David Gelb</v>
      </c>
      <c r="X993" s="5">
        <f t="shared" si="4"/>
        <v>1</v>
      </c>
      <c r="Y993" s="5" t="str">
        <f>IFERROR(__xludf.DUMMYFUNCTION("REGEXEXTRACT(J993, ""^\d+"")"),"15")</f>
        <v>15</v>
      </c>
      <c r="Z993" s="5" t="str">
        <f>IFERROR(__xludf.DUMMYFUNCTION("REGEXEXTRACT(J993, ""[A-Za-z ]+$"")")," min")</f>
        <v> min</v>
      </c>
      <c r="AA993" s="5" t="str">
        <f>IFERROR(__xludf.DUMMYFUNCTION("IF(REGEXMATCH(Z993, ""Season""), ""TV Show"", ""Movie"")"),"Movie")</f>
        <v>Movie</v>
      </c>
    </row>
    <row r="994">
      <c r="A994" s="1" t="s">
        <v>5937</v>
      </c>
      <c r="B994" s="1" t="s">
        <v>27</v>
      </c>
      <c r="C994" s="1" t="s">
        <v>5938</v>
      </c>
      <c r="D994" s="1" t="s">
        <v>5939</v>
      </c>
      <c r="E994" s="1" t="s">
        <v>5940</v>
      </c>
      <c r="G994" s="1" t="s">
        <v>5853</v>
      </c>
      <c r="H994" s="1">
        <v>2020.0</v>
      </c>
      <c r="I994" s="1" t="s">
        <v>506</v>
      </c>
      <c r="J994" s="1" t="s">
        <v>5941</v>
      </c>
      <c r="K994" s="1" t="s">
        <v>1939</v>
      </c>
      <c r="L994" s="1" t="s">
        <v>5942</v>
      </c>
      <c r="M994" s="2" t="s">
        <v>12</v>
      </c>
      <c r="N994" s="4">
        <f t="shared" si="1"/>
        <v>44309</v>
      </c>
      <c r="O994" s="5" t="str">
        <f>IFERROR(__xludf.DUMMYFUNCTION("IF(REGEXMATCH(TRIM(I994), ""^\d+\s*min""), ""Unclassified"", IF(I994 = """", ""NR"", I994))"),"TV-G")</f>
        <v>TV-G</v>
      </c>
      <c r="R994" s="5" t="str">
        <f t="shared" si="2"/>
        <v>Perfume Imaginary Museum “Time Warp”</v>
      </c>
      <c r="S994" s="5" t="str">
        <f>IFERROR(__xludf.DUMMYFUNCTION("""COMPUTED_VALUE"""),"Big Mouth")</f>
        <v>Big Mouth</v>
      </c>
      <c r="U994" s="5" t="str">
        <f>IFERROR(__xludf.DUMMYFUNCTION("""COMPUTED_VALUE"""),"Anurag Basu")</f>
        <v>Anurag Basu</v>
      </c>
      <c r="V994" s="5" t="s">
        <v>2253</v>
      </c>
      <c r="W994" s="5" t="str">
        <f t="shared" si="3"/>
        <v>David Gordon Green</v>
      </c>
      <c r="X994" s="5">
        <f t="shared" si="4"/>
        <v>2</v>
      </c>
      <c r="Y994" s="5" t="str">
        <f>IFERROR(__xludf.DUMMYFUNCTION("REGEXEXTRACT(J994, ""^\d+"")"),"54")</f>
        <v>54</v>
      </c>
      <c r="Z994" s="5" t="str">
        <f>IFERROR(__xludf.DUMMYFUNCTION("REGEXEXTRACT(J994, ""[A-Za-z ]+$"")")," min")</f>
        <v> min</v>
      </c>
      <c r="AA994" s="5" t="str">
        <f>IFERROR(__xludf.DUMMYFUNCTION("IF(REGEXMATCH(Z994, ""Season""), ""TV Show"", ""Movie"")"),"Movie")</f>
        <v>Movie</v>
      </c>
    </row>
    <row r="995">
      <c r="A995" s="1" t="s">
        <v>5943</v>
      </c>
      <c r="B995" s="1" t="s">
        <v>37</v>
      </c>
      <c r="C995" s="1" t="s">
        <v>5944</v>
      </c>
      <c r="E995" s="1" t="s">
        <v>5945</v>
      </c>
      <c r="F995" s="1" t="s">
        <v>30</v>
      </c>
      <c r="G995" s="1" t="s">
        <v>5853</v>
      </c>
      <c r="H995" s="1">
        <v>2021.0</v>
      </c>
      <c r="I995" s="1" t="s">
        <v>97</v>
      </c>
      <c r="J995" s="1" t="s">
        <v>51</v>
      </c>
      <c r="K995" s="1" t="s">
        <v>3223</v>
      </c>
      <c r="L995" s="1" t="s">
        <v>5946</v>
      </c>
      <c r="M995" s="2" t="s">
        <v>12</v>
      </c>
      <c r="N995" s="4">
        <f t="shared" si="1"/>
        <v>44309</v>
      </c>
      <c r="O995" s="5" t="str">
        <f>IFERROR(__xludf.DUMMYFUNCTION("IF(REGEXMATCH(TRIM(I995), ""^\d+\s*min""), ""Unclassified"", IF(I995 = """", ""NR"", I995))"),"TV-14")</f>
        <v>TV-14</v>
      </c>
      <c r="R995" s="5" t="str">
        <f t="shared" si="2"/>
        <v>Shadow And Bone</v>
      </c>
      <c r="S995" s="5" t="str">
        <f>IFERROR(__xludf.DUMMYFUNCTION("""COMPUTED_VALUE"""),"Big Stone Gap")</f>
        <v>Big Stone Gap</v>
      </c>
      <c r="U995" s="5" t="str">
        <f>IFERROR(__xludf.DUMMYFUNCTION("""COMPUTED_VALUE"""),"Lucas Santa Ana")</f>
        <v>Lucas Santa Ana</v>
      </c>
      <c r="V995" s="5" t="s">
        <v>5947</v>
      </c>
      <c r="W995" s="5" t="str">
        <f t="shared" si="3"/>
        <v>David Grossman</v>
      </c>
      <c r="X995" s="5">
        <f t="shared" si="4"/>
        <v>1</v>
      </c>
      <c r="Y995" s="5" t="str">
        <f>IFERROR(__xludf.DUMMYFUNCTION("REGEXEXTRACT(J995, ""^\d+"")"),"1")</f>
        <v>1</v>
      </c>
      <c r="Z995" s="5" t="str">
        <f>IFERROR(__xludf.DUMMYFUNCTION("REGEXEXTRACT(J995, ""[A-Za-z ]+$"")")," Season")</f>
        <v> Season</v>
      </c>
      <c r="AA995" s="5" t="str">
        <f>IFERROR(__xludf.DUMMYFUNCTION("IF(REGEXMATCH(Z995, ""Season""), ""TV Show"", ""Movie"")"),"TV Show")</f>
        <v>TV Show</v>
      </c>
    </row>
    <row r="996">
      <c r="A996" s="1" t="s">
        <v>5948</v>
      </c>
      <c r="B996" s="1" t="s">
        <v>27</v>
      </c>
      <c r="C996" s="1" t="s">
        <v>5949</v>
      </c>
      <c r="D996" s="1" t="s">
        <v>1964</v>
      </c>
      <c r="E996" s="1" t="s">
        <v>5950</v>
      </c>
      <c r="F996" s="1" t="s">
        <v>400</v>
      </c>
      <c r="G996" s="1" t="s">
        <v>5853</v>
      </c>
      <c r="H996" s="1">
        <v>2020.0</v>
      </c>
      <c r="I996" s="1" t="s">
        <v>97</v>
      </c>
      <c r="J996" s="1" t="s">
        <v>985</v>
      </c>
      <c r="K996" s="1" t="s">
        <v>679</v>
      </c>
      <c r="L996" s="1" t="s">
        <v>5951</v>
      </c>
      <c r="M996" s="2" t="s">
        <v>12</v>
      </c>
      <c r="N996" s="4">
        <f t="shared" si="1"/>
        <v>44309</v>
      </c>
      <c r="O996" s="5" t="str">
        <f>IFERROR(__xludf.DUMMYFUNCTION("IF(REGEXMATCH(TRIM(I996), ""^\d+\s*min""), ""Unclassified"", IF(I996 = """", ""NR"", I996))"),"TV-14")</f>
        <v>TV-14</v>
      </c>
      <c r="R996" s="5" t="str">
        <f t="shared" si="2"/>
        <v>This Lady Called Life</v>
      </c>
      <c r="S996" s="5" t="str">
        <f>IFERROR(__xludf.DUMMYFUNCTION("""COMPUTED_VALUE"""),"Big Timber")</f>
        <v>Big Timber</v>
      </c>
      <c r="U996" s="5" t="str">
        <f>IFERROR(__xludf.DUMMYFUNCTION("""COMPUTED_VALUE"""),"Carla Barros")</f>
        <v>Carla Barros</v>
      </c>
      <c r="V996" s="5" t="s">
        <v>5952</v>
      </c>
      <c r="W996" s="5" t="str">
        <f t="shared" si="3"/>
        <v>David Guy Levy</v>
      </c>
      <c r="X996" s="5">
        <f t="shared" si="4"/>
        <v>1</v>
      </c>
      <c r="Y996" s="5" t="str">
        <f>IFERROR(__xludf.DUMMYFUNCTION("REGEXEXTRACT(J996, ""^\d+"")"),"120")</f>
        <v>120</v>
      </c>
      <c r="Z996" s="5" t="str">
        <f>IFERROR(__xludf.DUMMYFUNCTION("REGEXEXTRACT(J996, ""[A-Za-z ]+$"")")," min")</f>
        <v> min</v>
      </c>
      <c r="AA996" s="5" t="str">
        <f>IFERROR(__xludf.DUMMYFUNCTION("IF(REGEXMATCH(Z996, ""Season""), ""TV Show"", ""Movie"")"),"Movie")</f>
        <v>Movie</v>
      </c>
    </row>
    <row r="997">
      <c r="A997" s="1" t="s">
        <v>5953</v>
      </c>
      <c r="B997" s="1" t="s">
        <v>27</v>
      </c>
      <c r="C997" s="1" t="s">
        <v>5954</v>
      </c>
      <c r="D997" s="1" t="s">
        <v>5955</v>
      </c>
      <c r="E997" s="1" t="s">
        <v>5956</v>
      </c>
      <c r="F997" s="1" t="s">
        <v>188</v>
      </c>
      <c r="G997" s="1" t="s">
        <v>5853</v>
      </c>
      <c r="H997" s="1">
        <v>2001.0</v>
      </c>
      <c r="I997" s="1" t="s">
        <v>42</v>
      </c>
      <c r="J997" s="1" t="s">
        <v>256</v>
      </c>
      <c r="K997" s="1" t="s">
        <v>583</v>
      </c>
      <c r="L997" s="1" t="s">
        <v>5957</v>
      </c>
      <c r="M997" s="2" t="s">
        <v>12</v>
      </c>
      <c r="N997" s="4">
        <f t="shared" si="1"/>
        <v>44309</v>
      </c>
      <c r="O997" s="5" t="str">
        <f>IFERROR(__xludf.DUMMYFUNCTION("IF(REGEXMATCH(TRIM(I997), ""^\d+\s*min""), ""Unclassified"", IF(I997 = """", ""NR"", I997))"),"TV-MA")</f>
        <v>TV-MA</v>
      </c>
      <c r="R997" s="5" t="str">
        <f t="shared" si="2"/>
        <v>Vizontele</v>
      </c>
      <c r="S997" s="5" t="str">
        <f>IFERROR(__xludf.DUMMYFUNCTION("""COMPUTED_VALUE"""),"Big Time")</f>
        <v>Big Time</v>
      </c>
      <c r="U997" s="5" t="str">
        <f>IFERROR(__xludf.DUMMYFUNCTION("""COMPUTED_VALUE"""),"Ulrike Kofler")</f>
        <v>Ulrike Kofler</v>
      </c>
      <c r="V997" s="5" t="s">
        <v>5958</v>
      </c>
      <c r="W997" s="5" t="str">
        <f t="shared" si="3"/>
        <v>David Hackl</v>
      </c>
      <c r="X997" s="5">
        <f t="shared" si="4"/>
        <v>1</v>
      </c>
      <c r="Y997" s="5" t="str">
        <f>IFERROR(__xludf.DUMMYFUNCTION("REGEXEXTRACT(J997, ""^\d+"")"),"106")</f>
        <v>106</v>
      </c>
      <c r="Z997" s="5" t="str">
        <f>IFERROR(__xludf.DUMMYFUNCTION("REGEXEXTRACT(J997, ""[A-Za-z ]+$"")")," min")</f>
        <v> min</v>
      </c>
      <c r="AA997" s="5" t="str">
        <f>IFERROR(__xludf.DUMMYFUNCTION("IF(REGEXMATCH(Z997, ""Season""), ""TV Show"", ""Movie"")"),"Movie")</f>
        <v>Movie</v>
      </c>
    </row>
    <row r="998">
      <c r="A998" s="1" t="s">
        <v>5959</v>
      </c>
      <c r="B998" s="1" t="s">
        <v>27</v>
      </c>
      <c r="C998" s="1" t="s">
        <v>5960</v>
      </c>
      <c r="D998" s="1" t="s">
        <v>5961</v>
      </c>
      <c r="E998" s="1" t="s">
        <v>5962</v>
      </c>
      <c r="F998" s="1" t="s">
        <v>415</v>
      </c>
      <c r="G998" s="1" t="s">
        <v>5963</v>
      </c>
      <c r="H998" s="1">
        <v>2021.0</v>
      </c>
      <c r="I998" s="1" t="s">
        <v>42</v>
      </c>
      <c r="J998" s="1" t="s">
        <v>349</v>
      </c>
      <c r="K998" s="1" t="s">
        <v>1592</v>
      </c>
      <c r="L998" s="1" t="s">
        <v>5964</v>
      </c>
      <c r="M998" s="2" t="s">
        <v>12</v>
      </c>
      <c r="N998" s="4">
        <f t="shared" si="1"/>
        <v>44308</v>
      </c>
      <c r="O998" s="5" t="str">
        <f>IFERROR(__xludf.DUMMYFUNCTION("IF(REGEXMATCH(TRIM(I998), ""^\d+\s*min""), ""Unclassified"", IF(I998 = """", ""NR"", I998))"),"TV-MA")</f>
        <v>TV-MA</v>
      </c>
      <c r="R998" s="5" t="str">
        <f t="shared" si="2"/>
        <v>Homunculus</v>
      </c>
      <c r="S998" s="5" t="str">
        <f>IFERROR(__xludf.DUMMYFUNCTION("""COMPUTED_VALUE"""),"Big Time Movie")</f>
        <v>Big Time Movie</v>
      </c>
      <c r="U998" s="5" t="str">
        <f>IFERROR(__xludf.DUMMYFUNCTION("""COMPUTED_VALUE"""),"Steven Bognar, Julia Reichert")</f>
        <v>Steven Bognar, Julia Reichert</v>
      </c>
      <c r="V998" s="5" t="s">
        <v>5965</v>
      </c>
      <c r="W998" s="5" t="str">
        <f t="shared" si="3"/>
        <v>David Hunt</v>
      </c>
      <c r="X998" s="5">
        <f t="shared" si="4"/>
        <v>1</v>
      </c>
      <c r="Y998" s="5" t="str">
        <f>IFERROR(__xludf.DUMMYFUNCTION("REGEXEXTRACT(J998, ""^\d+"")"),"116")</f>
        <v>116</v>
      </c>
      <c r="Z998" s="5" t="str">
        <f>IFERROR(__xludf.DUMMYFUNCTION("REGEXEXTRACT(J998, ""[A-Za-z ]+$"")")," min")</f>
        <v> min</v>
      </c>
      <c r="AA998" s="5" t="str">
        <f>IFERROR(__xludf.DUMMYFUNCTION("IF(REGEXMATCH(Z998, ""Season""), ""TV Show"", ""Movie"")"),"Movie")</f>
        <v>Movie</v>
      </c>
    </row>
    <row r="999">
      <c r="A999" s="1" t="s">
        <v>5966</v>
      </c>
      <c r="B999" s="1" t="s">
        <v>37</v>
      </c>
      <c r="C999" s="1" t="s">
        <v>5967</v>
      </c>
      <c r="E999" s="1" t="s">
        <v>5968</v>
      </c>
      <c r="F999" s="1" t="s">
        <v>5969</v>
      </c>
      <c r="G999" s="1" t="s">
        <v>5963</v>
      </c>
      <c r="H999" s="1">
        <v>2021.0</v>
      </c>
      <c r="I999" s="1" t="s">
        <v>136</v>
      </c>
      <c r="J999" s="1" t="s">
        <v>51</v>
      </c>
      <c r="K999" s="1" t="s">
        <v>544</v>
      </c>
      <c r="L999" s="1" t="s">
        <v>5970</v>
      </c>
      <c r="M999" s="2" t="s">
        <v>12</v>
      </c>
      <c r="N999" s="4">
        <f t="shared" si="1"/>
        <v>44308</v>
      </c>
      <c r="O999" s="5" t="str">
        <f>IFERROR(__xludf.DUMMYFUNCTION("IF(REGEXMATCH(TRIM(I999), ""^\d+\s*min""), ""Unclassified"", IF(I999 = """", ""NR"", I999))"),"TV-PG")</f>
        <v>TV-PG</v>
      </c>
      <c r="R999" s="5" t="str">
        <f t="shared" si="2"/>
        <v>Life In Color With David Attenborough</v>
      </c>
      <c r="S999" s="5" t="str">
        <f>IFERROR(__xludf.DUMMYFUNCTION("""COMPUTED_VALUE"""),"Big Time Rush")</f>
        <v>Big Time Rush</v>
      </c>
      <c r="U999" s="5" t="str">
        <f>IFERROR(__xludf.DUMMYFUNCTION("""COMPUTED_VALUE"""),"Kunle Afolayan")</f>
        <v>Kunle Afolayan</v>
      </c>
      <c r="V999" s="5" t="s">
        <v>5971</v>
      </c>
      <c r="W999" s="5" t="str">
        <f t="shared" si="3"/>
        <v>David Koepp</v>
      </c>
      <c r="X999" s="5">
        <f t="shared" si="4"/>
        <v>1</v>
      </c>
      <c r="Y999" s="5" t="str">
        <f>IFERROR(__xludf.DUMMYFUNCTION("REGEXEXTRACT(J999, ""^\d+"")"),"1")</f>
        <v>1</v>
      </c>
      <c r="Z999" s="5" t="str">
        <f>IFERROR(__xludf.DUMMYFUNCTION("REGEXEXTRACT(J999, ""[A-Za-z ]+$"")")," Season")</f>
        <v> Season</v>
      </c>
      <c r="AA999" s="5" t="str">
        <f>IFERROR(__xludf.DUMMYFUNCTION("IF(REGEXMATCH(Z999, ""Season""), ""TV Show"", ""Movie"")"),"TV Show")</f>
        <v>TV Show</v>
      </c>
    </row>
    <row r="1000">
      <c r="A1000" s="1" t="s">
        <v>5972</v>
      </c>
      <c r="B1000" s="1" t="s">
        <v>27</v>
      </c>
      <c r="C1000" s="1" t="s">
        <v>5973</v>
      </c>
      <c r="E1000" s="1" t="s">
        <v>5974</v>
      </c>
      <c r="F1000" s="1" t="s">
        <v>63</v>
      </c>
      <c r="G1000" s="1" t="s">
        <v>5963</v>
      </c>
      <c r="H1000" s="1">
        <v>2021.0</v>
      </c>
      <c r="I1000" s="1" t="s">
        <v>97</v>
      </c>
      <c r="J1000" s="1" t="s">
        <v>4693</v>
      </c>
      <c r="K1000" s="1" t="s">
        <v>156</v>
      </c>
      <c r="L1000" s="1" t="s">
        <v>5975</v>
      </c>
      <c r="M1000" s="2" t="s">
        <v>12</v>
      </c>
      <c r="N1000" s="4">
        <f t="shared" si="1"/>
        <v>44308</v>
      </c>
      <c r="O1000" s="5" t="str">
        <f>IFERROR(__xludf.DUMMYFUNCTION("IF(REGEXMATCH(TRIM(I1000), ""^\d+\s*min""), ""Unclassified"", IF(I1000 = """", ""NR"", I1000))"),"TV-14")</f>
        <v>TV-14</v>
      </c>
      <c r="R1000" s="5" t="str">
        <f t="shared" si="2"/>
        <v>Searching For Sheela</v>
      </c>
      <c r="S1000" s="5" t="str">
        <f>IFERROR(__xludf.DUMMYFUNCTION("""COMPUTED_VALUE"""),"Bigflo &amp; Oli: Hip Hop Frenzy")</f>
        <v>Bigflo &amp; Oli: Hip Hop Frenzy</v>
      </c>
      <c r="U1000" s="5" t="str">
        <f>IFERROR(__xludf.DUMMYFUNCTION("""COMPUTED_VALUE"""),"Weica Wang")</f>
        <v>Weica Wang</v>
      </c>
      <c r="V1000" s="5" t="s">
        <v>5976</v>
      </c>
      <c r="W1000" s="5" t="str">
        <f t="shared" si="3"/>
        <v>David L. Cunningham</v>
      </c>
      <c r="X1000" s="5">
        <f t="shared" si="4"/>
        <v>1</v>
      </c>
      <c r="Y1000" s="5" t="str">
        <f>IFERROR(__xludf.DUMMYFUNCTION("REGEXEXTRACT(J1000, ""^\d+"")"),"58")</f>
        <v>58</v>
      </c>
      <c r="Z1000" s="5" t="str">
        <f>IFERROR(__xludf.DUMMYFUNCTION("REGEXEXTRACT(J1000, ""[A-Za-z ]+$"")")," min")</f>
        <v> min</v>
      </c>
      <c r="AA1000" s="5" t="str">
        <f>IFERROR(__xludf.DUMMYFUNCTION("IF(REGEXMATCH(Z1000, ""Season""), ""TV Show"", ""Movie"")"),"Movie")</f>
        <v>Movie</v>
      </c>
    </row>
    <row r="1001">
      <c r="A1001" s="1" t="s">
        <v>5977</v>
      </c>
      <c r="B1001" s="1" t="s">
        <v>27</v>
      </c>
      <c r="C1001" s="1" t="s">
        <v>5978</v>
      </c>
      <c r="D1001" s="1" t="s">
        <v>5979</v>
      </c>
      <c r="E1001" s="1" t="s">
        <v>5980</v>
      </c>
      <c r="F1001" s="1" t="s">
        <v>911</v>
      </c>
      <c r="G1001" s="1" t="s">
        <v>5963</v>
      </c>
      <c r="H1001" s="1">
        <v>2021.0</v>
      </c>
      <c r="I1001" s="1" t="s">
        <v>42</v>
      </c>
      <c r="J1001" s="1" t="s">
        <v>349</v>
      </c>
      <c r="K1001" s="1" t="s">
        <v>298</v>
      </c>
      <c r="L1001" s="1" t="s">
        <v>5981</v>
      </c>
      <c r="M1001" s="2" t="s">
        <v>12</v>
      </c>
      <c r="N1001" s="4">
        <f t="shared" si="1"/>
        <v>44308</v>
      </c>
      <c r="O1001" s="5" t="str">
        <f>IFERROR(__xludf.DUMMYFUNCTION("IF(REGEXMATCH(TRIM(I1001), ""^\d+\s*min""), ""Unclassified"", IF(I1001 = """", ""NR"", I1001))"),"TV-MA")</f>
        <v>TV-MA</v>
      </c>
      <c r="R1001" s="5" t="str">
        <f t="shared" si="2"/>
        <v>Stowaway</v>
      </c>
      <c r="S1001" s="5" t="str">
        <f>IFERROR(__xludf.DUMMYFUNCTION("""COMPUTED_VALUE"""),"Bigfoot Family")</f>
        <v>Bigfoot Family</v>
      </c>
      <c r="U1001" s="5" t="str">
        <f>IFERROR(__xludf.DUMMYFUNCTION("""COMPUTED_VALUE"""),"Aitor Arregi, Jon Garaño, Jose Mari Goenaga")</f>
        <v>Aitor Arregi, Jon Garaño, Jose Mari Goenaga</v>
      </c>
      <c r="V1001" s="5" t="s">
        <v>5982</v>
      </c>
      <c r="W1001" s="5" t="str">
        <f t="shared" si="3"/>
        <v>David L.G. Hughes</v>
      </c>
      <c r="X1001" s="5">
        <f t="shared" si="4"/>
        <v>1</v>
      </c>
      <c r="Y1001" s="5" t="str">
        <f>IFERROR(__xludf.DUMMYFUNCTION("REGEXEXTRACT(J1001, ""^\d+"")"),"116")</f>
        <v>116</v>
      </c>
      <c r="Z1001" s="5" t="str">
        <f>IFERROR(__xludf.DUMMYFUNCTION("REGEXEXTRACT(J1001, ""[A-Za-z ]+$"")")," min")</f>
        <v> min</v>
      </c>
      <c r="AA1001" s="5" t="str">
        <f>IFERROR(__xludf.DUMMYFUNCTION("IF(REGEXMATCH(Z1001, ""Season""), ""TV Show"", ""Movie"")"),"Movie")</f>
        <v>Movie</v>
      </c>
    </row>
    <row r="1002">
      <c r="A1002" s="1" t="s">
        <v>5983</v>
      </c>
      <c r="B1002" s="1" t="s">
        <v>27</v>
      </c>
      <c r="C1002" s="1" t="s">
        <v>5984</v>
      </c>
      <c r="D1002" s="1" t="s">
        <v>595</v>
      </c>
      <c r="E1002" s="1" t="s">
        <v>5985</v>
      </c>
      <c r="G1002" s="1" t="s">
        <v>5963</v>
      </c>
      <c r="H1002" s="1">
        <v>2020.0</v>
      </c>
      <c r="I1002" s="1" t="s">
        <v>42</v>
      </c>
      <c r="J1002" s="1" t="s">
        <v>3458</v>
      </c>
      <c r="K1002" s="1" t="s">
        <v>1066</v>
      </c>
      <c r="L1002" s="1" t="s">
        <v>5986</v>
      </c>
      <c r="M1002" s="2" t="s">
        <v>12</v>
      </c>
      <c r="N1002" s="4">
        <f t="shared" si="1"/>
        <v>44308</v>
      </c>
      <c r="O1002" s="5" t="str">
        <f>IFERROR(__xludf.DUMMYFUNCTION("IF(REGEXMATCH(TRIM(I1002), ""^\d+\s*min""), ""Unclassified"", IF(I1002 = """", ""NR"", I1002))"),"TV-MA")</f>
        <v>TV-MA</v>
      </c>
      <c r="R1002" s="5" t="str">
        <f t="shared" si="2"/>
        <v>Wild Dog</v>
      </c>
      <c r="S1002" s="5" t="str">
        <f>IFERROR(__xludf.DUMMYFUNCTION("""COMPUTED_VALUE"""),"Bigger Fatter Liar")</f>
        <v>Bigger Fatter Liar</v>
      </c>
      <c r="U1002" s="5" t="str">
        <f>IFERROR(__xludf.DUMMYFUNCTION("""COMPUTED_VALUE"""),"Kevin Pollak")</f>
        <v>Kevin Pollak</v>
      </c>
      <c r="V1002" s="5" t="s">
        <v>5987</v>
      </c>
      <c r="W1002" s="5" t="str">
        <f t="shared" si="3"/>
        <v>David Lachapelle</v>
      </c>
      <c r="X1002" s="5">
        <f t="shared" si="4"/>
        <v>1</v>
      </c>
      <c r="Y1002" s="5" t="str">
        <f>IFERROR(__xludf.DUMMYFUNCTION("REGEXEXTRACT(J1002, ""^\d+"")"),"126")</f>
        <v>126</v>
      </c>
      <c r="Z1002" s="5" t="str">
        <f>IFERROR(__xludf.DUMMYFUNCTION("REGEXEXTRACT(J1002, ""[A-Za-z ]+$"")")," min")</f>
        <v> min</v>
      </c>
      <c r="AA1002" s="5" t="str">
        <f>IFERROR(__xludf.DUMMYFUNCTION("IF(REGEXMATCH(Z1002, ""Season""), ""TV Show"", ""Movie"")"),"Movie")</f>
        <v>Movie</v>
      </c>
    </row>
    <row r="1003">
      <c r="A1003" s="1" t="s">
        <v>5988</v>
      </c>
      <c r="B1003" s="1" t="s">
        <v>27</v>
      </c>
      <c r="C1003" s="1" t="s">
        <v>5989</v>
      </c>
      <c r="D1003" s="1" t="s">
        <v>5308</v>
      </c>
      <c r="E1003" s="1" t="s">
        <v>5990</v>
      </c>
      <c r="F1003" s="1" t="s">
        <v>5991</v>
      </c>
      <c r="G1003" s="1" t="s">
        <v>5992</v>
      </c>
      <c r="H1003" s="1">
        <v>2015.0</v>
      </c>
      <c r="I1003" s="1" t="s">
        <v>97</v>
      </c>
      <c r="J1003" s="1" t="s">
        <v>1144</v>
      </c>
      <c r="K1003" s="1" t="s">
        <v>298</v>
      </c>
      <c r="L1003" s="1" t="s">
        <v>5993</v>
      </c>
      <c r="M1003" s="2" t="s">
        <v>12</v>
      </c>
      <c r="N1003" s="4">
        <f t="shared" si="1"/>
        <v>44307</v>
      </c>
      <c r="O1003" s="5" t="str">
        <f>IFERROR(__xludf.DUMMYFUNCTION("IF(REGEXMATCH(TRIM(I1003), ""^\d+\s*min""), ""Unclassified"", IF(I1003 = """", ""NR"", I1003))"),"TV-14")</f>
        <v>TV-14</v>
      </c>
      <c r="R1003" s="5" t="str">
        <f t="shared" si="2"/>
        <v>Oloibiri</v>
      </c>
      <c r="S1003" s="5" t="str">
        <f>IFERROR(__xludf.DUMMYFUNCTION("""COMPUTED_VALUE"""),"Biggie &amp; Tupac")</f>
        <v>Biggie &amp; Tupac</v>
      </c>
      <c r="U1003" s="5" t="str">
        <f>IFERROR(__xludf.DUMMYFUNCTION("""COMPUTED_VALUE"""),"Otoja Abit")</f>
        <v>Otoja Abit</v>
      </c>
      <c r="V1003" s="5" t="s">
        <v>5994</v>
      </c>
      <c r="W1003" s="5" t="str">
        <f t="shared" si="3"/>
        <v>David Lam</v>
      </c>
      <c r="X1003" s="5">
        <f t="shared" si="4"/>
        <v>1</v>
      </c>
      <c r="Y1003" s="5" t="str">
        <f>IFERROR(__xludf.DUMMYFUNCTION("REGEXEXTRACT(J1003, ""^\d+"")"),"86")</f>
        <v>86</v>
      </c>
      <c r="Z1003" s="5" t="str">
        <f>IFERROR(__xludf.DUMMYFUNCTION("REGEXEXTRACT(J1003, ""[A-Za-z ]+$"")")," min")</f>
        <v> min</v>
      </c>
      <c r="AA1003" s="5" t="str">
        <f>IFERROR(__xludf.DUMMYFUNCTION("IF(REGEXMATCH(Z1003, ""Season""), ""TV Show"", ""Movie"")"),"Movie")</f>
        <v>Movie</v>
      </c>
    </row>
    <row r="1004">
      <c r="A1004" s="1" t="s">
        <v>5995</v>
      </c>
      <c r="B1004" s="1" t="s">
        <v>27</v>
      </c>
      <c r="C1004" s="1" t="s">
        <v>5996</v>
      </c>
      <c r="D1004" s="1" t="s">
        <v>5997</v>
      </c>
      <c r="E1004" s="1" t="s">
        <v>5998</v>
      </c>
      <c r="F1004" s="1" t="s">
        <v>162</v>
      </c>
      <c r="G1004" s="1" t="s">
        <v>5992</v>
      </c>
      <c r="H1004" s="1">
        <v>2021.0</v>
      </c>
      <c r="I1004" s="1" t="s">
        <v>42</v>
      </c>
      <c r="J1004" s="1" t="s">
        <v>247</v>
      </c>
      <c r="K1004" s="1" t="s">
        <v>199</v>
      </c>
      <c r="L1004" s="1" t="s">
        <v>5999</v>
      </c>
      <c r="M1004" s="2" t="s">
        <v>12</v>
      </c>
      <c r="N1004" s="4">
        <f t="shared" si="1"/>
        <v>44307</v>
      </c>
      <c r="O1004" s="5" t="str">
        <f>IFERROR(__xludf.DUMMYFUNCTION("IF(REGEXMATCH(TRIM(I1004), ""^\d+\s*min""), ""Unclassified"", IF(I1004 = """", ""NR"", I1004))"),"TV-MA")</f>
        <v>TV-MA</v>
      </c>
      <c r="R1004" s="5" t="str">
        <f t="shared" si="2"/>
        <v>Tell Me When</v>
      </c>
      <c r="S1004" s="5" t="str">
        <f>IFERROR(__xludf.DUMMYFUNCTION("""COMPUTED_VALUE"""),"Biggie: I Got A Story To Tell")</f>
        <v>Biggie: I Got A Story To Tell</v>
      </c>
      <c r="U1004" s="5" t="str">
        <f>IFERROR(__xludf.DUMMYFUNCTION("""COMPUTED_VALUE"""),"Alejandro Hartmann")</f>
        <v>Alejandro Hartmann</v>
      </c>
      <c r="V1004" s="5" t="s">
        <v>6000</v>
      </c>
      <c r="W1004" s="5" t="str">
        <f t="shared" si="3"/>
        <v>David Lean</v>
      </c>
      <c r="X1004" s="5">
        <f t="shared" si="4"/>
        <v>1</v>
      </c>
      <c r="Y1004" s="5" t="str">
        <f>IFERROR(__xludf.DUMMYFUNCTION("REGEXEXTRACT(J1004, ""^\d+"")"),"97")</f>
        <v>97</v>
      </c>
      <c r="Z1004" s="5" t="str">
        <f>IFERROR(__xludf.DUMMYFUNCTION("REGEXEXTRACT(J1004, ""[A-Za-z ]+$"")")," min")</f>
        <v> min</v>
      </c>
      <c r="AA1004" s="5" t="str">
        <f>IFERROR(__xludf.DUMMYFUNCTION("IF(REGEXMATCH(Z1004, ""Season""), ""TV Show"", ""Movie"")"),"Movie")</f>
        <v>Movie</v>
      </c>
    </row>
    <row r="1005">
      <c r="A1005" s="1" t="s">
        <v>6001</v>
      </c>
      <c r="B1005" s="1" t="s">
        <v>37</v>
      </c>
      <c r="C1005" s="1" t="s">
        <v>6002</v>
      </c>
      <c r="E1005" s="1" t="s">
        <v>6003</v>
      </c>
      <c r="F1005" s="1" t="s">
        <v>1779</v>
      </c>
      <c r="G1005" s="1" t="s">
        <v>5992</v>
      </c>
      <c r="H1005" s="1">
        <v>2021.0</v>
      </c>
      <c r="I1005" s="1" t="s">
        <v>42</v>
      </c>
      <c r="J1005" s="1" t="s">
        <v>51</v>
      </c>
      <c r="K1005" s="1" t="s">
        <v>1531</v>
      </c>
      <c r="L1005" s="1" t="s">
        <v>6004</v>
      </c>
      <c r="M1005" s="2" t="s">
        <v>12</v>
      </c>
      <c r="N1005" s="4">
        <f t="shared" si="1"/>
        <v>44307</v>
      </c>
      <c r="O1005" s="5" t="str">
        <f>IFERROR(__xludf.DUMMYFUNCTION("IF(REGEXMATCH(TRIM(I1005), ""^\d+\s*min""), ""Unclassified"", IF(I1005 = """", ""NR"", I1005))"),"TV-MA")</f>
        <v>TV-MA</v>
      </c>
      <c r="R1005" s="5" t="str">
        <f t="shared" si="2"/>
        <v>Zero</v>
      </c>
      <c r="S1005" s="5" t="str">
        <f>IFERROR(__xludf.DUMMYFUNCTION("""COMPUTED_VALUE"""),"Biking Borders")</f>
        <v>Biking Borders</v>
      </c>
      <c r="U1005" s="5" t="str">
        <f>IFERROR(__xludf.DUMMYFUNCTION("""COMPUTED_VALUE"""),"Maxwell Mcguire")</f>
        <v>Maxwell Mcguire</v>
      </c>
      <c r="V1005" s="5" t="s">
        <v>6005</v>
      </c>
      <c r="W1005" s="5" t="str">
        <f t="shared" si="3"/>
        <v>David Lee Miller</v>
      </c>
      <c r="X1005" s="5">
        <f t="shared" si="4"/>
        <v>1</v>
      </c>
      <c r="Y1005" s="5" t="str">
        <f>IFERROR(__xludf.DUMMYFUNCTION("REGEXEXTRACT(J1005, ""^\d+"")"),"1")</f>
        <v>1</v>
      </c>
      <c r="Z1005" s="5" t="str">
        <f>IFERROR(__xludf.DUMMYFUNCTION("REGEXEXTRACT(J1005, ""[A-Za-z ]+$"")")," Season")</f>
        <v> Season</v>
      </c>
      <c r="AA1005" s="5" t="str">
        <f>IFERROR(__xludf.DUMMYFUNCTION("IF(REGEXMATCH(Z1005, ""Season""), ""TV Show"", ""Movie"")"),"TV Show")</f>
        <v>TV Show</v>
      </c>
    </row>
    <row r="1006">
      <c r="A1006" s="1" t="s">
        <v>6006</v>
      </c>
      <c r="B1006" s="1" t="s">
        <v>37</v>
      </c>
      <c r="C1006" s="1" t="s">
        <v>6007</v>
      </c>
      <c r="E1006" s="1" t="s">
        <v>6008</v>
      </c>
      <c r="F1006" s="1" t="s">
        <v>221</v>
      </c>
      <c r="G1006" s="1" t="s">
        <v>6009</v>
      </c>
      <c r="H1006" s="1">
        <v>2021.0</v>
      </c>
      <c r="I1006" s="1" t="s">
        <v>206</v>
      </c>
      <c r="J1006" s="1" t="s">
        <v>43</v>
      </c>
      <c r="K1006" s="1" t="s">
        <v>290</v>
      </c>
      <c r="L1006" s="1" t="s">
        <v>6010</v>
      </c>
      <c r="M1006" s="2" t="s">
        <v>12</v>
      </c>
      <c r="N1006" s="4">
        <f t="shared" si="1"/>
        <v>44306</v>
      </c>
      <c r="O1006" s="5" t="str">
        <f>IFERROR(__xludf.DUMMYFUNCTION("IF(REGEXMATCH(TRIM(I1006), ""^\d+\s*min""), ""Unclassified"", IF(I1006 = """", ""NR"", I1006))"),"TV-Y")</f>
        <v>TV-Y</v>
      </c>
      <c r="R1006" s="5" t="str">
        <f t="shared" si="2"/>
        <v>Izzy'S Koala World</v>
      </c>
      <c r="S1006" s="5" t="str">
        <f>IFERROR(__xludf.DUMMYFUNCTION("""COMPUTED_VALUE"""),"Bikram: Yogi, Guru, Predator")</f>
        <v>Bikram: Yogi, Guru, Predator</v>
      </c>
      <c r="U1006" s="5" t="str">
        <f>IFERROR(__xludf.DUMMYFUNCTION("""COMPUTED_VALUE"""),"Ruel S. Bayani")</f>
        <v>Ruel S. Bayani</v>
      </c>
      <c r="V1006" s="5" t="s">
        <v>6011</v>
      </c>
      <c r="W1006" s="5" t="str">
        <f t="shared" si="3"/>
        <v>David Leveaux</v>
      </c>
      <c r="X1006" s="5">
        <f t="shared" si="4"/>
        <v>1</v>
      </c>
      <c r="Y1006" s="5" t="str">
        <f>IFERROR(__xludf.DUMMYFUNCTION("REGEXEXTRACT(J1006, ""^\d+"")"),"2")</f>
        <v>2</v>
      </c>
      <c r="Z1006" s="5" t="str">
        <f>IFERROR(__xludf.DUMMYFUNCTION("REGEXEXTRACT(J1006, ""[A-Za-z ]+$"")")," Seasons")</f>
        <v> Seasons</v>
      </c>
      <c r="AA1006" s="5" t="str">
        <f>IFERROR(__xludf.DUMMYFUNCTION("IF(REGEXMATCH(Z1006, ""Season""), ""TV Show"", ""Movie"")"),"TV Show")</f>
        <v>TV Show</v>
      </c>
    </row>
    <row r="1007">
      <c r="A1007" s="1" t="s">
        <v>6012</v>
      </c>
      <c r="B1007" s="1" t="s">
        <v>27</v>
      </c>
      <c r="C1007" s="1" t="s">
        <v>6013</v>
      </c>
      <c r="G1007" s="1" t="s">
        <v>6009</v>
      </c>
      <c r="H1007" s="1">
        <v>2013.0</v>
      </c>
      <c r="I1007" s="1" t="s">
        <v>206</v>
      </c>
      <c r="J1007" s="1" t="s">
        <v>1171</v>
      </c>
      <c r="K1007" s="1" t="s">
        <v>137</v>
      </c>
      <c r="L1007" s="1" t="s">
        <v>6014</v>
      </c>
      <c r="M1007" s="2" t="s">
        <v>12</v>
      </c>
      <c r="N1007" s="4">
        <f t="shared" si="1"/>
        <v>44306</v>
      </c>
      <c r="O1007" s="5" t="str">
        <f>IFERROR(__xludf.DUMMYFUNCTION("IF(REGEXMATCH(TRIM(I1007), ""^\d+\s*min""), ""Unclassified"", IF(I1007 = """", ""NR"", I1007))"),"TV-Y")</f>
        <v>TV-Y</v>
      </c>
      <c r="R1007" s="5" t="str">
        <f t="shared" si="2"/>
        <v>Keymon And Nani In Space Adventure</v>
      </c>
      <c r="S1007" s="5" t="str">
        <f>IFERROR(__xludf.DUMMYFUNCTION("""COMPUTED_VALUE"""),"Bill Burr: I'M Sorry You Feel That Way")</f>
        <v>Bill Burr: I'M Sorry You Feel That Way</v>
      </c>
      <c r="U1007" s="5" t="str">
        <f>IFERROR(__xludf.DUMMYFUNCTION("""COMPUTED_VALUE"""),"Martin Wood")</f>
        <v>Martin Wood</v>
      </c>
      <c r="V1007" s="5" t="s">
        <v>6015</v>
      </c>
      <c r="W1007" s="5" t="str">
        <f t="shared" si="3"/>
        <v>David Lowery</v>
      </c>
      <c r="X1007" s="5">
        <f t="shared" si="4"/>
        <v>1</v>
      </c>
      <c r="Y1007" s="5" t="str">
        <f>IFERROR(__xludf.DUMMYFUNCTION("REGEXEXTRACT(J1007, ""^\d+"")"),"76")</f>
        <v>76</v>
      </c>
      <c r="Z1007" s="5" t="str">
        <f>IFERROR(__xludf.DUMMYFUNCTION("REGEXEXTRACT(J1007, ""[A-Za-z ]+$"")")," min")</f>
        <v> min</v>
      </c>
      <c r="AA1007" s="5" t="str">
        <f>IFERROR(__xludf.DUMMYFUNCTION("IF(REGEXMATCH(Z1007, ""Season""), ""TV Show"", ""Movie"")"),"Movie")</f>
        <v>Movie</v>
      </c>
    </row>
    <row r="1008">
      <c r="A1008" s="1" t="s">
        <v>6016</v>
      </c>
      <c r="B1008" s="1" t="s">
        <v>27</v>
      </c>
      <c r="C1008" s="1" t="s">
        <v>6017</v>
      </c>
      <c r="D1008" s="1" t="s">
        <v>5630</v>
      </c>
      <c r="E1008" s="1" t="s">
        <v>6018</v>
      </c>
      <c r="G1008" s="1" t="s">
        <v>6009</v>
      </c>
      <c r="H1008" s="1">
        <v>2018.0</v>
      </c>
      <c r="I1008" s="1" t="s">
        <v>289</v>
      </c>
      <c r="J1008" s="1" t="s">
        <v>729</v>
      </c>
      <c r="K1008" s="1" t="s">
        <v>137</v>
      </c>
      <c r="L1008" s="1" t="s">
        <v>6019</v>
      </c>
      <c r="M1008" s="2" t="s">
        <v>12</v>
      </c>
      <c r="N1008" s="4">
        <f t="shared" si="1"/>
        <v>44306</v>
      </c>
      <c r="O1008" s="5" t="str">
        <f>IFERROR(__xludf.DUMMYFUNCTION("IF(REGEXMATCH(TRIM(I1008), ""^\d+\s*min""), ""Unclassified"", IF(I1008 = """", ""NR"", I1008))"),"TV-Y7")</f>
        <v>TV-Y7</v>
      </c>
      <c r="R1008" s="5" t="str">
        <f t="shared" si="2"/>
        <v>Motu Patlu Dino Invasion</v>
      </c>
      <c r="S1008" s="5" t="str">
        <f>IFERROR(__xludf.DUMMYFUNCTION("""COMPUTED_VALUE"""),"Bill Burr: Let It Go")</f>
        <v>Bill Burr: Let It Go</v>
      </c>
      <c r="U1008" s="5" t="str">
        <f>IFERROR(__xludf.DUMMYFUNCTION("""COMPUTED_VALUE"""),"Narendra Nath")</f>
        <v>Narendra Nath</v>
      </c>
      <c r="V1008" s="5" t="s">
        <v>6020</v>
      </c>
      <c r="W1008" s="5" t="str">
        <f t="shared" si="3"/>
        <v>David Lynch</v>
      </c>
      <c r="X1008" s="5">
        <f t="shared" si="4"/>
        <v>1</v>
      </c>
      <c r="Y1008" s="5" t="str">
        <f>IFERROR(__xludf.DUMMYFUNCTION("REGEXEXTRACT(J1008, ""^\d+"")"),"80")</f>
        <v>80</v>
      </c>
      <c r="Z1008" s="5" t="str">
        <f>IFERROR(__xludf.DUMMYFUNCTION("REGEXEXTRACT(J1008, ""[A-Za-z ]+$"")")," min")</f>
        <v> min</v>
      </c>
      <c r="AA1008" s="5" t="str">
        <f>IFERROR(__xludf.DUMMYFUNCTION("IF(REGEXMATCH(Z1008, ""Season""), ""TV Show"", ""Movie"")"),"Movie")</f>
        <v>Movie</v>
      </c>
    </row>
    <row r="1009">
      <c r="A1009" s="1" t="s">
        <v>6021</v>
      </c>
      <c r="B1009" s="1" t="s">
        <v>27</v>
      </c>
      <c r="C1009" s="1" t="s">
        <v>6022</v>
      </c>
      <c r="D1009" s="1" t="s">
        <v>5630</v>
      </c>
      <c r="E1009" s="1" t="s">
        <v>6023</v>
      </c>
      <c r="G1009" s="1" t="s">
        <v>6009</v>
      </c>
      <c r="H1009" s="1">
        <v>2017.0</v>
      </c>
      <c r="I1009" s="1" t="s">
        <v>206</v>
      </c>
      <c r="J1009" s="1" t="s">
        <v>2452</v>
      </c>
      <c r="K1009" s="1" t="s">
        <v>137</v>
      </c>
      <c r="L1009" s="1" t="s">
        <v>6024</v>
      </c>
      <c r="M1009" s="2" t="s">
        <v>12</v>
      </c>
      <c r="N1009" s="4">
        <f t="shared" si="1"/>
        <v>44306</v>
      </c>
      <c r="O1009" s="5" t="str">
        <f>IFERROR(__xludf.DUMMYFUNCTION("IF(REGEXMATCH(TRIM(I1009), ""^\d+\s*min""), ""Unclassified"", IF(I1009 = """", ""NR"", I1009))"),"TV-Y")</f>
        <v>TV-Y</v>
      </c>
      <c r="R1009" s="5" t="str">
        <f t="shared" si="2"/>
        <v>Motu Patlu In Octupus World</v>
      </c>
      <c r="S1009" s="5" t="str">
        <f>IFERROR(__xludf.DUMMYFUNCTION("""COMPUTED_VALUE"""),"Bill Burr: Paper Tiger")</f>
        <v>Bill Burr: Paper Tiger</v>
      </c>
      <c r="U1009" s="5" t="str">
        <f>IFERROR(__xludf.DUMMYFUNCTION("""COMPUTED_VALUE"""),"Jan-Peter Horns")</f>
        <v>Jan-Peter Horns</v>
      </c>
      <c r="V1009" s="5" t="s">
        <v>6025</v>
      </c>
      <c r="W1009" s="5" t="str">
        <f t="shared" si="3"/>
        <v>David M. Rosenthal</v>
      </c>
      <c r="X1009" s="5">
        <f t="shared" si="4"/>
        <v>2</v>
      </c>
      <c r="Y1009" s="5" t="str">
        <f>IFERROR(__xludf.DUMMYFUNCTION("REGEXEXTRACT(J1009, ""^\d+"")"),"81")</f>
        <v>81</v>
      </c>
      <c r="Z1009" s="5" t="str">
        <f>IFERROR(__xludf.DUMMYFUNCTION("REGEXEXTRACT(J1009, ""[A-Za-z ]+$"")")," min")</f>
        <v> min</v>
      </c>
      <c r="AA1009" s="5" t="str">
        <f>IFERROR(__xludf.DUMMYFUNCTION("IF(REGEXMATCH(Z1009, ""Season""), ""TV Show"", ""Movie"")"),"Movie")</f>
        <v>Movie</v>
      </c>
    </row>
    <row r="1010">
      <c r="A1010" s="1" t="s">
        <v>6026</v>
      </c>
      <c r="B1010" s="1" t="s">
        <v>27</v>
      </c>
      <c r="C1010" s="1" t="s">
        <v>6027</v>
      </c>
      <c r="D1010" s="1" t="s">
        <v>5630</v>
      </c>
      <c r="E1010" s="1" t="s">
        <v>6028</v>
      </c>
      <c r="G1010" s="1" t="s">
        <v>6009</v>
      </c>
      <c r="H1010" s="1">
        <v>2019.0</v>
      </c>
      <c r="I1010" s="1" t="s">
        <v>206</v>
      </c>
      <c r="J1010" s="1" t="s">
        <v>1608</v>
      </c>
      <c r="K1010" s="1" t="s">
        <v>80</v>
      </c>
      <c r="L1010" s="1" t="s">
        <v>6029</v>
      </c>
      <c r="M1010" s="2" t="s">
        <v>12</v>
      </c>
      <c r="N1010" s="4">
        <f t="shared" si="1"/>
        <v>44306</v>
      </c>
      <c r="O1010" s="5" t="str">
        <f>IFERROR(__xludf.DUMMYFUNCTION("IF(REGEXMATCH(TRIM(I1010), ""^\d+\s*min""), ""Unclassified"", IF(I1010 = """", ""NR"", I1010))"),"TV-Y")</f>
        <v>TV-Y</v>
      </c>
      <c r="R1010" s="5" t="str">
        <f t="shared" si="2"/>
        <v>Motu Patlu Vs Robo Kids</v>
      </c>
      <c r="S1010" s="5" t="str">
        <f>IFERROR(__xludf.DUMMYFUNCTION("""COMPUTED_VALUE"""),"Bill Burr: Walk Your Way Out")</f>
        <v>Bill Burr: Walk Your Way Out</v>
      </c>
      <c r="U1010" s="5" t="str">
        <f>IFERROR(__xludf.DUMMYFUNCTION("""COMPUTED_VALUE"""),"Tatsushi Omori")</f>
        <v>Tatsushi Omori</v>
      </c>
      <c r="V1010" s="5" t="s">
        <v>6030</v>
      </c>
      <c r="W1010" s="5" t="str">
        <f t="shared" si="3"/>
        <v>David Mackenzie</v>
      </c>
      <c r="X1010" s="5">
        <f t="shared" si="4"/>
        <v>3</v>
      </c>
      <c r="Y1010" s="5" t="str">
        <f>IFERROR(__xludf.DUMMYFUNCTION("REGEXEXTRACT(J1010, ""^\d+"")"),"84")</f>
        <v>84</v>
      </c>
      <c r="Z1010" s="5" t="str">
        <f>IFERROR(__xludf.DUMMYFUNCTION("REGEXEXTRACT(J1010, ""[A-Za-z ]+$"")")," min")</f>
        <v> min</v>
      </c>
      <c r="AA1010" s="5" t="str">
        <f>IFERROR(__xludf.DUMMYFUNCTION("IF(REGEXMATCH(Z1010, ""Season""), ""TV Show"", ""Movie"")"),"Movie")</f>
        <v>Movie</v>
      </c>
    </row>
    <row r="1011">
      <c r="A1011" s="1" t="s">
        <v>6031</v>
      </c>
      <c r="B1011" s="1" t="s">
        <v>27</v>
      </c>
      <c r="C1011" s="1" t="s">
        <v>6032</v>
      </c>
      <c r="D1011" s="1" t="s">
        <v>822</v>
      </c>
      <c r="E1011" s="1" t="s">
        <v>6033</v>
      </c>
      <c r="G1011" s="1" t="s">
        <v>6009</v>
      </c>
      <c r="H1011" s="1">
        <v>2020.0</v>
      </c>
      <c r="I1011" s="1" t="s">
        <v>289</v>
      </c>
      <c r="J1011" s="1" t="s">
        <v>630</v>
      </c>
      <c r="K1011" s="1" t="s">
        <v>80</v>
      </c>
      <c r="L1011" s="1" t="s">
        <v>6034</v>
      </c>
      <c r="M1011" s="2" t="s">
        <v>12</v>
      </c>
      <c r="N1011" s="4">
        <f t="shared" si="1"/>
        <v>44306</v>
      </c>
      <c r="O1011" s="5" t="str">
        <f>IFERROR(__xludf.DUMMYFUNCTION("IF(REGEXMATCH(TRIM(I1011), ""^\d+\s*min""), ""Unclassified"", IF(I1011 = """", ""NR"", I1011))"),"TV-Y7")</f>
        <v>TV-Y7</v>
      </c>
      <c r="R1011" s="5" t="str">
        <f t="shared" si="2"/>
        <v>Rudra: Secret Of The Black Moon</v>
      </c>
      <c r="S1011" s="5" t="str">
        <f>IFERROR(__xludf.DUMMYFUNCTION("""COMPUTED_VALUE"""),"Bill Burr: You People Are All The Same")</f>
        <v>Bill Burr: You People Are All The Same</v>
      </c>
      <c r="U1011" s="5" t="str">
        <f>IFERROR(__xludf.DUMMYFUNCTION("""COMPUTED_VALUE"""),"Estela Renner")</f>
        <v>Estela Renner</v>
      </c>
      <c r="V1011" s="5" t="s">
        <v>6035</v>
      </c>
      <c r="W1011" s="5" t="str">
        <f t="shared" si="3"/>
        <v>David Marmor</v>
      </c>
      <c r="X1011" s="5">
        <f t="shared" si="4"/>
        <v>1</v>
      </c>
      <c r="Y1011" s="5" t="str">
        <f>IFERROR(__xludf.DUMMYFUNCTION("REGEXEXTRACT(J1011, ""^\d+"")"),"87")</f>
        <v>87</v>
      </c>
      <c r="Z1011" s="5" t="str">
        <f>IFERROR(__xludf.DUMMYFUNCTION("REGEXEXTRACT(J1011, ""[A-Za-z ]+$"")")," min")</f>
        <v> min</v>
      </c>
      <c r="AA1011" s="5" t="str">
        <f>IFERROR(__xludf.DUMMYFUNCTION("IF(REGEXMATCH(Z1011, ""Season""), ""TV Show"", ""Movie"")"),"Movie")</f>
        <v>Movie</v>
      </c>
    </row>
    <row r="1012">
      <c r="A1012" s="1" t="s">
        <v>6036</v>
      </c>
      <c r="B1012" s="1" t="s">
        <v>27</v>
      </c>
      <c r="C1012" s="1" t="s">
        <v>6037</v>
      </c>
      <c r="E1012" s="1" t="s">
        <v>6038</v>
      </c>
      <c r="G1012" s="1" t="s">
        <v>6009</v>
      </c>
      <c r="H1012" s="1">
        <v>2019.0</v>
      </c>
      <c r="I1012" s="1" t="s">
        <v>289</v>
      </c>
      <c r="J1012" s="1" t="s">
        <v>79</v>
      </c>
      <c r="K1012" s="1" t="s">
        <v>80</v>
      </c>
      <c r="L1012" s="1" t="s">
        <v>6039</v>
      </c>
      <c r="M1012" s="2" t="s">
        <v>12</v>
      </c>
      <c r="N1012" s="4">
        <f t="shared" si="1"/>
        <v>44306</v>
      </c>
      <c r="O1012" s="5" t="str">
        <f>IFERROR(__xludf.DUMMYFUNCTION("IF(REGEXMATCH(TRIM(I1012), ""^\d+\s*min""), ""Unclassified"", IF(I1012 = """", ""NR"", I1012))"),"TV-Y7")</f>
        <v>TV-Y7</v>
      </c>
      <c r="R1012" s="5" t="str">
        <f t="shared" si="2"/>
        <v>Rudra: The Rise Of King Pharaoh</v>
      </c>
      <c r="S1012" s="5" t="str">
        <f>IFERROR(__xludf.DUMMYFUNCTION("""COMPUTED_VALUE"""),"Bill Hicks: One Night Stand")</f>
        <v>Bill Hicks: One Night Stand</v>
      </c>
      <c r="U1012" s="5" t="str">
        <f>IFERROR(__xludf.DUMMYFUNCTION("""COMPUTED_VALUE"""),"Zeek Earl, Christopher Caldwell")</f>
        <v>Zeek Earl, Christopher Caldwell</v>
      </c>
      <c r="V1012" s="5" t="s">
        <v>6040</v>
      </c>
      <c r="W1012" s="5" t="str">
        <f t="shared" si="3"/>
        <v>David Mccracken</v>
      </c>
      <c r="X1012" s="5">
        <f t="shared" si="4"/>
        <v>1</v>
      </c>
      <c r="Y1012" s="5" t="str">
        <f>IFERROR(__xludf.DUMMYFUNCTION("REGEXEXTRACT(J1012, ""^\d+"")"),"91")</f>
        <v>91</v>
      </c>
      <c r="Z1012" s="5" t="str">
        <f>IFERROR(__xludf.DUMMYFUNCTION("REGEXEXTRACT(J1012, ""[A-Za-z ]+$"")")," min")</f>
        <v> min</v>
      </c>
      <c r="AA1012" s="5" t="str">
        <f>IFERROR(__xludf.DUMMYFUNCTION("IF(REGEXMATCH(Z1012, ""Season""), ""TV Show"", ""Movie"")"),"Movie")</f>
        <v>Movie</v>
      </c>
    </row>
    <row r="1013">
      <c r="A1013" s="1" t="s">
        <v>6041</v>
      </c>
      <c r="B1013" s="1" t="s">
        <v>27</v>
      </c>
      <c r="C1013" s="1" t="s">
        <v>6042</v>
      </c>
      <c r="F1013" s="1" t="s">
        <v>30</v>
      </c>
      <c r="G1013" s="1" t="s">
        <v>6043</v>
      </c>
      <c r="H1013" s="1">
        <v>2014.0</v>
      </c>
      <c r="I1013" s="1" t="s">
        <v>97</v>
      </c>
      <c r="J1013" s="1" t="s">
        <v>1171</v>
      </c>
      <c r="K1013" s="1" t="s">
        <v>34</v>
      </c>
      <c r="L1013" s="1" t="s">
        <v>6044</v>
      </c>
      <c r="M1013" s="2" t="s">
        <v>12</v>
      </c>
      <c r="N1013" s="4">
        <f t="shared" si="1"/>
        <v>44305</v>
      </c>
      <c r="O1013" s="5" t="str">
        <f>IFERROR(__xludf.DUMMYFUNCTION("IF(REGEXMATCH(TRIM(I1013), ""^\d+\s*min""), ""Unclassified"", IF(I1013 = """", ""NR"", I1013))"),"TV-14")</f>
        <v>TV-14</v>
      </c>
      <c r="R1013" s="5" t="str">
        <f t="shared" si="2"/>
        <v>Free To Play</v>
      </c>
      <c r="S1013" s="5" t="str">
        <f>IFERROR(__xludf.DUMMYFUNCTION("""COMPUTED_VALUE"""),"Bill Hicks: Reflections")</f>
        <v>Bill Hicks: Reflections</v>
      </c>
      <c r="U1013" s="5" t="str">
        <f>IFERROR(__xludf.DUMMYFUNCTION("""COMPUTED_VALUE"""),"Michael Kampa")</f>
        <v>Michael Kampa</v>
      </c>
      <c r="V1013" s="5" t="s">
        <v>6045</v>
      </c>
      <c r="W1013" s="5" t="str">
        <f t="shared" si="3"/>
        <v>David Michôd</v>
      </c>
      <c r="X1013" s="5">
        <f t="shared" si="4"/>
        <v>3</v>
      </c>
      <c r="Y1013" s="5" t="str">
        <f>IFERROR(__xludf.DUMMYFUNCTION("REGEXEXTRACT(J1013, ""^\d+"")"),"76")</f>
        <v>76</v>
      </c>
      <c r="Z1013" s="5" t="str">
        <f>IFERROR(__xludf.DUMMYFUNCTION("REGEXEXTRACT(J1013, ""[A-Za-z ]+$"")")," min")</f>
        <v> min</v>
      </c>
      <c r="AA1013" s="5" t="str">
        <f>IFERROR(__xludf.DUMMYFUNCTION("IF(REGEXMATCH(Z1013, ""Season""), ""TV Show"", ""Movie"")"),"Movie")</f>
        <v>Movie</v>
      </c>
    </row>
    <row r="1014">
      <c r="A1014" s="1" t="s">
        <v>6046</v>
      </c>
      <c r="B1014" s="1" t="s">
        <v>37</v>
      </c>
      <c r="C1014" s="1" t="s">
        <v>6047</v>
      </c>
      <c r="E1014" s="1" t="s">
        <v>6048</v>
      </c>
      <c r="F1014" s="1" t="s">
        <v>162</v>
      </c>
      <c r="G1014" s="1" t="s">
        <v>6043</v>
      </c>
      <c r="H1014" s="1">
        <v>2021.0</v>
      </c>
      <c r="I1014" s="1" t="s">
        <v>42</v>
      </c>
      <c r="J1014" s="1" t="s">
        <v>43</v>
      </c>
      <c r="K1014" s="1" t="s">
        <v>1339</v>
      </c>
      <c r="L1014" s="1" t="s">
        <v>6049</v>
      </c>
      <c r="M1014" s="2" t="s">
        <v>12</v>
      </c>
      <c r="N1014" s="4">
        <f t="shared" si="1"/>
        <v>44305</v>
      </c>
      <c r="O1014" s="5" t="str">
        <f>IFERROR(__xludf.DUMMYFUNCTION("IF(REGEXMATCH(TRIM(I1014), ""^\d+\s*min""), ""Unclassified"", IF(I1014 = """", ""NR"", I1014))"),"TV-MA")</f>
        <v>TV-MA</v>
      </c>
      <c r="R1014" s="5" t="str">
        <f t="shared" si="2"/>
        <v>Luis Miguel - The Series</v>
      </c>
      <c r="S1014" s="5" t="str">
        <f>IFERROR(__xludf.DUMMYFUNCTION("""COMPUTED_VALUE"""),"Bill Hicks: Relentless")</f>
        <v>Bill Hicks: Relentless</v>
      </c>
      <c r="U1014" s="5" t="str">
        <f>IFERROR(__xludf.DUMMYFUNCTION("""COMPUTED_VALUE"""),"Chanda Bell")</f>
        <v>Chanda Bell</v>
      </c>
      <c r="V1014" s="5" t="s">
        <v>6050</v>
      </c>
      <c r="W1014" s="5" t="str">
        <f t="shared" si="3"/>
        <v>David Mirkin</v>
      </c>
      <c r="X1014" s="5">
        <f t="shared" si="4"/>
        <v>1</v>
      </c>
      <c r="Y1014" s="5" t="str">
        <f>IFERROR(__xludf.DUMMYFUNCTION("REGEXEXTRACT(J1014, ""^\d+"")"),"2")</f>
        <v>2</v>
      </c>
      <c r="Z1014" s="5" t="str">
        <f>IFERROR(__xludf.DUMMYFUNCTION("REGEXEXTRACT(J1014, ""[A-Za-z ]+$"")")," Seasons")</f>
        <v> Seasons</v>
      </c>
      <c r="AA1014" s="5" t="str">
        <f>IFERROR(__xludf.DUMMYFUNCTION("IF(REGEXMATCH(Z1014, ""Season""), ""TV Show"", ""Movie"")"),"TV Show")</f>
        <v>TV Show</v>
      </c>
    </row>
    <row r="1015">
      <c r="A1015" s="1" t="s">
        <v>6051</v>
      </c>
      <c r="B1015" s="1" t="s">
        <v>27</v>
      </c>
      <c r="C1015" s="1" t="s">
        <v>6052</v>
      </c>
      <c r="D1015" s="1" t="s">
        <v>6053</v>
      </c>
      <c r="E1015" s="1" t="s">
        <v>6054</v>
      </c>
      <c r="F1015" s="1" t="s">
        <v>6055</v>
      </c>
      <c r="G1015" s="1" t="s">
        <v>6043</v>
      </c>
      <c r="H1015" s="1">
        <v>2016.0</v>
      </c>
      <c r="I1015" s="1" t="s">
        <v>378</v>
      </c>
      <c r="J1015" s="1" t="s">
        <v>2505</v>
      </c>
      <c r="K1015" s="1" t="s">
        <v>171</v>
      </c>
      <c r="L1015" s="1" t="s">
        <v>6056</v>
      </c>
      <c r="M1015" s="2" t="s">
        <v>12</v>
      </c>
      <c r="N1015" s="4">
        <f t="shared" si="1"/>
        <v>44305</v>
      </c>
      <c r="O1015" s="5" t="str">
        <f>IFERROR(__xludf.DUMMYFUNCTION("IF(REGEXMATCH(TRIM(I1015), ""^\d+\s*min""), ""Unclassified"", IF(I1015 = """", ""NR"", I1015))"),"R")</f>
        <v>R</v>
      </c>
      <c r="R1015" s="5" t="str">
        <f t="shared" si="2"/>
        <v>Miss Sloane</v>
      </c>
      <c r="S1015" s="5" t="str">
        <f>IFERROR(__xludf.DUMMYFUNCTION("""COMPUTED_VALUE"""),"Bill Hicks: Revelations")</f>
        <v>Bill Hicks: Revelations</v>
      </c>
      <c r="U1015" s="5" t="str">
        <f>IFERROR(__xludf.DUMMYFUNCTION("""COMPUTED_VALUE"""),"Jennifer Westcott")</f>
        <v>Jennifer Westcott</v>
      </c>
      <c r="V1015" s="5" t="s">
        <v>6057</v>
      </c>
      <c r="W1015" s="5" t="str">
        <f t="shared" si="3"/>
        <v>David Moreton</v>
      </c>
      <c r="X1015" s="5">
        <f t="shared" si="4"/>
        <v>1</v>
      </c>
      <c r="Y1015" s="5" t="str">
        <f>IFERROR(__xludf.DUMMYFUNCTION("REGEXEXTRACT(J1015, ""^\d+"")"),"132")</f>
        <v>132</v>
      </c>
      <c r="Z1015" s="5" t="str">
        <f>IFERROR(__xludf.DUMMYFUNCTION("REGEXEXTRACT(J1015, ""[A-Za-z ]+$"")")," min")</f>
        <v> min</v>
      </c>
      <c r="AA1015" s="5" t="str">
        <f>IFERROR(__xludf.DUMMYFUNCTION("IF(REGEXMATCH(Z1015, ""Season""), ""TV Show"", ""Movie"")"),"Movie")</f>
        <v>Movie</v>
      </c>
    </row>
    <row r="1016">
      <c r="A1016" s="1" t="s">
        <v>6058</v>
      </c>
      <c r="B1016" s="1" t="s">
        <v>37</v>
      </c>
      <c r="C1016" s="1" t="s">
        <v>6059</v>
      </c>
      <c r="E1016" s="1" t="s">
        <v>6060</v>
      </c>
      <c r="F1016" s="1" t="s">
        <v>6061</v>
      </c>
      <c r="G1016" s="1" t="s">
        <v>6043</v>
      </c>
      <c r="H1016" s="1">
        <v>2019.0</v>
      </c>
      <c r="I1016" s="1" t="s">
        <v>206</v>
      </c>
      <c r="J1016" s="1" t="s">
        <v>276</v>
      </c>
      <c r="K1016" s="1" t="s">
        <v>290</v>
      </c>
      <c r="L1016" s="1" t="s">
        <v>6062</v>
      </c>
      <c r="M1016" s="2" t="s">
        <v>12</v>
      </c>
      <c r="N1016" s="4">
        <f t="shared" si="1"/>
        <v>44305</v>
      </c>
      <c r="O1016" s="5" t="str">
        <f>IFERROR(__xludf.DUMMYFUNCTION("IF(REGEXMATCH(TRIM(I1016), ""^\d+\s*min""), ""Unclassified"", IF(I1016 = """", ""NR"", I1016))"),"TV-Y")</f>
        <v>TV-Y</v>
      </c>
      <c r="R1016" s="5" t="str">
        <f t="shared" si="2"/>
        <v>Pj Masks</v>
      </c>
      <c r="S1016" s="5" t="str">
        <f>IFERROR(__xludf.DUMMYFUNCTION("""COMPUTED_VALUE"""),"Bill Hicks: Sane Man")</f>
        <v>Bill Hicks: Sane Man</v>
      </c>
      <c r="U1016" s="5" t="str">
        <f>IFERROR(__xludf.DUMMYFUNCTION("""COMPUTED_VALUE"""),"Richard Greenberg")</f>
        <v>Richard Greenberg</v>
      </c>
      <c r="V1016" s="5" t="s">
        <v>6063</v>
      </c>
      <c r="W1016" s="5" t="str">
        <f t="shared" si="3"/>
        <v>David Morris, Jacqui Morris</v>
      </c>
      <c r="X1016" s="5">
        <f t="shared" si="4"/>
        <v>1</v>
      </c>
      <c r="Y1016" s="5" t="str">
        <f>IFERROR(__xludf.DUMMYFUNCTION("REGEXEXTRACT(J1016, ""^\d+"")"),"3")</f>
        <v>3</v>
      </c>
      <c r="Z1016" s="5" t="str">
        <f>IFERROR(__xludf.DUMMYFUNCTION("REGEXEXTRACT(J1016, ""[A-Za-z ]+$"")")," Seasons")</f>
        <v> Seasons</v>
      </c>
      <c r="AA1016" s="5" t="str">
        <f>IFERROR(__xludf.DUMMYFUNCTION("IF(REGEXMATCH(Z1016, ""Season""), ""TV Show"", ""Movie"")"),"TV Show")</f>
        <v>TV Show</v>
      </c>
    </row>
    <row r="1017">
      <c r="A1017" s="1" t="s">
        <v>6064</v>
      </c>
      <c r="B1017" s="1" t="s">
        <v>27</v>
      </c>
      <c r="C1017" s="1" t="s">
        <v>6065</v>
      </c>
      <c r="D1017" s="1" t="s">
        <v>6066</v>
      </c>
      <c r="E1017" s="1" t="s">
        <v>6067</v>
      </c>
      <c r="F1017" s="1" t="s">
        <v>30</v>
      </c>
      <c r="G1017" s="1" t="s">
        <v>6068</v>
      </c>
      <c r="H1017" s="1">
        <v>1992.0</v>
      </c>
      <c r="I1017" s="1" t="s">
        <v>378</v>
      </c>
      <c r="J1017" s="1" t="s">
        <v>3458</v>
      </c>
      <c r="K1017" s="1" t="s">
        <v>805</v>
      </c>
      <c r="L1017" s="1" t="s">
        <v>6069</v>
      </c>
      <c r="M1017" s="2" t="s">
        <v>12</v>
      </c>
      <c r="N1017" s="4">
        <f t="shared" si="1"/>
        <v>44303</v>
      </c>
      <c r="O1017" s="5" t="str">
        <f>IFERROR(__xludf.DUMMYFUNCTION("IF(REGEXMATCH(TRIM(I1017), ""^\d+\s*min""), ""Unclassified"", IF(I1017 = """", ""NR"", I1017))"),"R")</f>
        <v>R</v>
      </c>
      <c r="R1017" s="5" t="str">
        <f t="shared" si="2"/>
        <v>American Me</v>
      </c>
      <c r="S1017" s="5" t="str">
        <f>IFERROR(__xludf.DUMMYFUNCTION("""COMPUTED_VALUE"""),"Bill Nye Saves The World")</f>
        <v>Bill Nye Saves The World</v>
      </c>
      <c r="U1017" s="5" t="str">
        <f>IFERROR(__xludf.DUMMYFUNCTION("""COMPUTED_VALUE"""),"Peter Berg")</f>
        <v>Peter Berg</v>
      </c>
      <c r="V1017" s="5" t="s">
        <v>6070</v>
      </c>
      <c r="W1017" s="5" t="str">
        <f t="shared" si="3"/>
        <v>David Mrnka</v>
      </c>
      <c r="X1017" s="5">
        <f t="shared" si="4"/>
        <v>1</v>
      </c>
      <c r="Y1017" s="5" t="str">
        <f>IFERROR(__xludf.DUMMYFUNCTION("REGEXEXTRACT(J1017, ""^\d+"")"),"126")</f>
        <v>126</v>
      </c>
      <c r="Z1017" s="5" t="str">
        <f>IFERROR(__xludf.DUMMYFUNCTION("REGEXEXTRACT(J1017, ""[A-Za-z ]+$"")")," min")</f>
        <v> min</v>
      </c>
      <c r="AA1017" s="5" t="str">
        <f>IFERROR(__xludf.DUMMYFUNCTION("IF(REGEXMATCH(Z1017, ""Season""), ""TV Show"", ""Movie"")"),"Movie")</f>
        <v>Movie</v>
      </c>
    </row>
    <row r="1018">
      <c r="A1018" s="1" t="s">
        <v>6071</v>
      </c>
      <c r="B1018" s="1" t="s">
        <v>27</v>
      </c>
      <c r="C1018" s="1" t="s">
        <v>6072</v>
      </c>
      <c r="D1018" s="1" t="s">
        <v>258</v>
      </c>
      <c r="E1018" s="1" t="s">
        <v>6073</v>
      </c>
      <c r="F1018" s="1" t="s">
        <v>63</v>
      </c>
      <c r="G1018" s="1" t="s">
        <v>6068</v>
      </c>
      <c r="H1018" s="1">
        <v>2011.0</v>
      </c>
      <c r="I1018" s="1" t="s">
        <v>42</v>
      </c>
      <c r="J1018" s="1" t="s">
        <v>1091</v>
      </c>
      <c r="K1018" s="1" t="s">
        <v>1328</v>
      </c>
      <c r="L1018" s="1" t="s">
        <v>6074</v>
      </c>
      <c r="M1018" s="2" t="s">
        <v>12</v>
      </c>
      <c r="N1018" s="4">
        <f t="shared" si="1"/>
        <v>44303</v>
      </c>
      <c r="O1018" s="5" t="str">
        <f>IFERROR(__xludf.DUMMYFUNCTION("IF(REGEXMATCH(TRIM(I1018), ""^\d+\s*min""), ""Unclassified"", IF(I1018 = """", ""NR"", I1018))"),"TV-MA")</f>
        <v>TV-MA</v>
      </c>
      <c r="R1018" s="5" t="str">
        <f t="shared" si="2"/>
        <v>Delhi Belly</v>
      </c>
      <c r="S1018" s="5" t="str">
        <f>IFERROR(__xludf.DUMMYFUNCTION("""COMPUTED_VALUE"""),"Bill Nye: Science Guy")</f>
        <v>Bill Nye: Science Guy</v>
      </c>
      <c r="U1018" s="5" t="str">
        <f>IFERROR(__xludf.DUMMYFUNCTION("""COMPUTED_VALUE"""),"Nicolas Pesce")</f>
        <v>Nicolas Pesce</v>
      </c>
      <c r="V1018" s="5" t="s">
        <v>4307</v>
      </c>
      <c r="W1018" s="5" t="str">
        <f t="shared" si="3"/>
        <v>David O. Russell</v>
      </c>
      <c r="X1018" s="5">
        <f t="shared" si="4"/>
        <v>2</v>
      </c>
      <c r="Y1018" s="5" t="str">
        <f>IFERROR(__xludf.DUMMYFUNCTION("REGEXEXTRACT(J1018, ""^\d+"")"),"101")</f>
        <v>101</v>
      </c>
      <c r="Z1018" s="5" t="str">
        <f>IFERROR(__xludf.DUMMYFUNCTION("REGEXEXTRACT(J1018, ""[A-Za-z ]+$"")")," min")</f>
        <v> min</v>
      </c>
      <c r="AA1018" s="5" t="str">
        <f>IFERROR(__xludf.DUMMYFUNCTION("IF(REGEXMATCH(Z1018, ""Season""), ""TV Show"", ""Movie"")"),"Movie")</f>
        <v>Movie</v>
      </c>
    </row>
    <row r="1019">
      <c r="A1019" s="1" t="s">
        <v>6075</v>
      </c>
      <c r="B1019" s="1" t="s">
        <v>27</v>
      </c>
      <c r="C1019" s="1" t="s">
        <v>6076</v>
      </c>
      <c r="D1019" s="1" t="s">
        <v>6077</v>
      </c>
      <c r="E1019" s="1" t="s">
        <v>6078</v>
      </c>
      <c r="F1019" s="1" t="s">
        <v>63</v>
      </c>
      <c r="G1019" s="1" t="s">
        <v>6068</v>
      </c>
      <c r="H1019" s="1">
        <v>2010.0</v>
      </c>
      <c r="I1019" s="1" t="s">
        <v>42</v>
      </c>
      <c r="J1019" s="1" t="s">
        <v>447</v>
      </c>
      <c r="K1019" s="1" t="s">
        <v>128</v>
      </c>
      <c r="L1019" s="1" t="s">
        <v>6079</v>
      </c>
      <c r="M1019" s="2" t="s">
        <v>12</v>
      </c>
      <c r="N1019" s="4">
        <f t="shared" si="1"/>
        <v>44303</v>
      </c>
      <c r="O1019" s="5" t="str">
        <f>IFERROR(__xludf.DUMMYFUNCTION("IF(REGEXMATCH(TRIM(I1019), ""^\d+\s*min""), ""Unclassified"", IF(I1019 = """", ""NR"", I1019))"),"TV-MA")</f>
        <v>TV-MA</v>
      </c>
      <c r="R1019" s="5" t="str">
        <f t="shared" si="2"/>
        <v>Dhobi Ghat (Mumbai Diaries)</v>
      </c>
      <c r="S1019" s="5" t="str">
        <f>IFERROR(__xludf.DUMMYFUNCTION("""COMPUTED_VALUE"""),"Billu")</f>
        <v>Billu</v>
      </c>
      <c r="U1019" s="5" t="str">
        <f>IFERROR(__xludf.DUMMYFUNCTION("""COMPUTED_VALUE"""),"Christopher Cain")</f>
        <v>Christopher Cain</v>
      </c>
      <c r="V1019" s="5" t="s">
        <v>6080</v>
      </c>
      <c r="W1019" s="5" t="str">
        <f t="shared" si="3"/>
        <v>David Oelhoffen</v>
      </c>
      <c r="X1019" s="5">
        <f t="shared" si="4"/>
        <v>1</v>
      </c>
      <c r="Y1019" s="5" t="str">
        <f>IFERROR(__xludf.DUMMYFUNCTION("REGEXEXTRACT(J1019, ""^\d+"")"),"102")</f>
        <v>102</v>
      </c>
      <c r="Z1019" s="5" t="str">
        <f>IFERROR(__xludf.DUMMYFUNCTION("REGEXEXTRACT(J1019, ""[A-Za-z ]+$"")")," min")</f>
        <v> min</v>
      </c>
      <c r="AA1019" s="5" t="str">
        <f>IFERROR(__xludf.DUMMYFUNCTION("IF(REGEXMATCH(Z1019, ""Season""), ""TV Show"", ""Movie"")"),"Movie")</f>
        <v>Movie</v>
      </c>
    </row>
    <row r="1020">
      <c r="A1020" s="1" t="s">
        <v>6081</v>
      </c>
      <c r="B1020" s="1" t="s">
        <v>27</v>
      </c>
      <c r="C1020" s="1" t="s">
        <v>6082</v>
      </c>
      <c r="D1020" s="1" t="s">
        <v>179</v>
      </c>
      <c r="E1020" s="1" t="s">
        <v>6083</v>
      </c>
      <c r="F1020" s="1" t="s">
        <v>63</v>
      </c>
      <c r="G1020" s="1" t="s">
        <v>6068</v>
      </c>
      <c r="H1020" s="1">
        <v>2008.0</v>
      </c>
      <c r="I1020" s="1" t="s">
        <v>97</v>
      </c>
      <c r="J1020" s="1" t="s">
        <v>229</v>
      </c>
      <c r="K1020" s="1" t="s">
        <v>230</v>
      </c>
      <c r="L1020" s="1" t="s">
        <v>6084</v>
      </c>
      <c r="M1020" s="2" t="s">
        <v>12</v>
      </c>
      <c r="N1020" s="4">
        <f t="shared" si="1"/>
        <v>44303</v>
      </c>
      <c r="O1020" s="5" t="str">
        <f>IFERROR(__xludf.DUMMYFUNCTION("IF(REGEXMATCH(TRIM(I1020), ""^\d+\s*min""), ""Unclassified"", IF(I1020 = """", ""NR"", I1020))"),"TV-14")</f>
        <v>TV-14</v>
      </c>
      <c r="R1020" s="5" t="str">
        <f t="shared" si="2"/>
        <v>Jaane Tu... Ya Jaane Na</v>
      </c>
      <c r="S1020" s="5" t="str">
        <f>IFERROR(__xludf.DUMMYFUNCTION("""COMPUTED_VALUE"""),"Billy Elliot")</f>
        <v>Billy Elliot</v>
      </c>
      <c r="U1020" s="5" t="str">
        <f>IFERROR(__xludf.DUMMYFUNCTION("""COMPUTED_VALUE"""),"Juliana Vicente")</f>
        <v>Juliana Vicente</v>
      </c>
      <c r="V1020" s="5" t="s">
        <v>1561</v>
      </c>
      <c r="W1020" s="5" t="str">
        <f t="shared" si="3"/>
        <v>David Oyelowo</v>
      </c>
      <c r="X1020" s="5">
        <f t="shared" si="4"/>
        <v>1</v>
      </c>
      <c r="Y1020" s="5" t="str">
        <f>IFERROR(__xludf.DUMMYFUNCTION("REGEXEXTRACT(J1020, ""^\d+"")"),"147")</f>
        <v>147</v>
      </c>
      <c r="Z1020" s="5" t="str">
        <f>IFERROR(__xludf.DUMMYFUNCTION("REGEXEXTRACT(J1020, ""[A-Za-z ]+$"")")," min")</f>
        <v> min</v>
      </c>
      <c r="AA1020" s="5" t="str">
        <f>IFERROR(__xludf.DUMMYFUNCTION("IF(REGEXMATCH(Z1020, ""Season""), ""TV Show"", ""Movie"")"),"Movie")</f>
        <v>Movie</v>
      </c>
    </row>
    <row r="1021">
      <c r="A1021" s="1" t="s">
        <v>6085</v>
      </c>
      <c r="B1021" s="1" t="s">
        <v>27</v>
      </c>
      <c r="C1021" s="1" t="s">
        <v>6086</v>
      </c>
      <c r="D1021" s="1" t="s">
        <v>2642</v>
      </c>
      <c r="E1021" s="1" t="s">
        <v>6087</v>
      </c>
      <c r="F1021" s="1" t="s">
        <v>6088</v>
      </c>
      <c r="G1021" s="1" t="s">
        <v>6068</v>
      </c>
      <c r="H1021" s="1">
        <v>2001.0</v>
      </c>
      <c r="I1021" s="1" t="s">
        <v>78</v>
      </c>
      <c r="J1021" s="1" t="s">
        <v>6089</v>
      </c>
      <c r="K1021" s="1" t="s">
        <v>1429</v>
      </c>
      <c r="L1021" s="1" t="s">
        <v>6090</v>
      </c>
      <c r="M1021" s="2" t="s">
        <v>12</v>
      </c>
      <c r="N1021" s="4">
        <f t="shared" si="1"/>
        <v>44303</v>
      </c>
      <c r="O1021" s="5" t="str">
        <f>IFERROR(__xludf.DUMMYFUNCTION("IF(REGEXMATCH(TRIM(I1021), ""^\d+\s*min""), ""Unclassified"", IF(I1021 = """", ""NR"", I1021))"),"PG")</f>
        <v>PG</v>
      </c>
      <c r="R1021" s="5" t="str">
        <f t="shared" si="2"/>
        <v>Lagaan</v>
      </c>
      <c r="S1021" s="5" t="str">
        <f>IFERROR(__xludf.DUMMYFUNCTION("""COMPUTED_VALUE"""),"Billy Graham: An Extraordinary Journey")</f>
        <v>Billy Graham: An Extraordinary Journey</v>
      </c>
      <c r="U1021" s="5" t="str">
        <f>IFERROR(__xludf.DUMMYFUNCTION("""COMPUTED_VALUE"""),"Harald Zwart")</f>
        <v>Harald Zwart</v>
      </c>
      <c r="V1021" s="5" t="s">
        <v>5395</v>
      </c>
      <c r="W1021" s="5" t="str">
        <f t="shared" si="3"/>
        <v>David Pablos</v>
      </c>
      <c r="X1021" s="5">
        <f t="shared" si="4"/>
        <v>2</v>
      </c>
      <c r="Y1021" s="5" t="str">
        <f>IFERROR(__xludf.DUMMYFUNCTION("REGEXEXTRACT(J1021, ""^\d+"")"),"224")</f>
        <v>224</v>
      </c>
      <c r="Z1021" s="5" t="str">
        <f>IFERROR(__xludf.DUMMYFUNCTION("REGEXEXTRACT(J1021, ""[A-Za-z ]+$"")")," min")</f>
        <v> min</v>
      </c>
      <c r="AA1021" s="5" t="str">
        <f>IFERROR(__xludf.DUMMYFUNCTION("IF(REGEXMATCH(Z1021, ""Season""), ""TV Show"", ""Movie"")"),"Movie")</f>
        <v>Movie</v>
      </c>
    </row>
    <row r="1022">
      <c r="A1022" s="1" t="s">
        <v>6091</v>
      </c>
      <c r="B1022" s="1" t="s">
        <v>27</v>
      </c>
      <c r="C1022" s="1" t="s">
        <v>6092</v>
      </c>
      <c r="D1022" s="1" t="s">
        <v>6093</v>
      </c>
      <c r="E1022" s="1" t="s">
        <v>6094</v>
      </c>
      <c r="F1022" s="1" t="s">
        <v>63</v>
      </c>
      <c r="G1022" s="1" t="s">
        <v>6068</v>
      </c>
      <c r="H1022" s="1">
        <v>2004.0</v>
      </c>
      <c r="I1022" s="1" t="s">
        <v>97</v>
      </c>
      <c r="J1022" s="1" t="s">
        <v>2274</v>
      </c>
      <c r="K1022" s="1" t="s">
        <v>156</v>
      </c>
      <c r="L1022" s="1" t="s">
        <v>6095</v>
      </c>
      <c r="M1022" s="2" t="s">
        <v>12</v>
      </c>
      <c r="N1022" s="4">
        <f t="shared" si="1"/>
        <v>44303</v>
      </c>
      <c r="O1022" s="5" t="str">
        <f>IFERROR(__xludf.DUMMYFUNCTION("IF(REGEXMATCH(TRIM(I1022), ""^\d+\s*min""), ""Unclassified"", IF(I1022 = """", ""NR"", I1022))"),"TV-14")</f>
        <v>TV-14</v>
      </c>
      <c r="R1022" s="5" t="str">
        <f t="shared" si="2"/>
        <v>Madness In The Desert</v>
      </c>
      <c r="S1022" s="5" t="str">
        <f>IFERROR(__xludf.DUMMYFUNCTION("""COMPUTED_VALUE"""),"Billy On The Street")</f>
        <v>Billy On The Street</v>
      </c>
      <c r="U1022" s="5" t="str">
        <f>IFERROR(__xludf.DUMMYFUNCTION("""COMPUTED_VALUE"""),"Stacia Crawford")</f>
        <v>Stacia Crawford</v>
      </c>
      <c r="V1022" s="5" t="s">
        <v>6096</v>
      </c>
      <c r="W1022" s="5" t="str">
        <f t="shared" si="3"/>
        <v>David Paul Meyer</v>
      </c>
      <c r="X1022" s="5">
        <f t="shared" si="4"/>
        <v>2</v>
      </c>
      <c r="Y1022" s="5" t="str">
        <f>IFERROR(__xludf.DUMMYFUNCTION("REGEXEXTRACT(J1022, ""^\d+"")"),"141")</f>
        <v>141</v>
      </c>
      <c r="Z1022" s="5" t="str">
        <f>IFERROR(__xludf.DUMMYFUNCTION("REGEXEXTRACT(J1022, ""[A-Za-z ]+$"")")," min")</f>
        <v> min</v>
      </c>
      <c r="AA1022" s="5" t="str">
        <f>IFERROR(__xludf.DUMMYFUNCTION("IF(REGEXMATCH(Z1022, ""Season""), ""TV Show"", ""Movie"")"),"Movie")</f>
        <v>Movie</v>
      </c>
    </row>
    <row r="1023">
      <c r="A1023" s="1" t="s">
        <v>6097</v>
      </c>
      <c r="B1023" s="1" t="s">
        <v>27</v>
      </c>
      <c r="C1023" s="1" t="s">
        <v>6098</v>
      </c>
      <c r="D1023" s="1" t="s">
        <v>2435</v>
      </c>
      <c r="E1023" s="1" t="s">
        <v>6099</v>
      </c>
      <c r="F1023" s="1" t="s">
        <v>63</v>
      </c>
      <c r="G1023" s="1" t="s">
        <v>6068</v>
      </c>
      <c r="H1023" s="1">
        <v>2010.0</v>
      </c>
      <c r="I1023" s="1" t="s">
        <v>42</v>
      </c>
      <c r="J1023" s="1" t="s">
        <v>1065</v>
      </c>
      <c r="K1023" s="1" t="s">
        <v>836</v>
      </c>
      <c r="L1023" s="1" t="s">
        <v>6100</v>
      </c>
      <c r="M1023" s="2" t="s">
        <v>12</v>
      </c>
      <c r="N1023" s="4">
        <f t="shared" si="1"/>
        <v>44303</v>
      </c>
      <c r="O1023" s="5" t="str">
        <f>IFERROR(__xludf.DUMMYFUNCTION("IF(REGEXMATCH(TRIM(I1023), ""^\d+\s*min""), ""Unclassified"", IF(I1023 = """", ""NR"", I1023))"),"TV-MA")</f>
        <v>TV-MA</v>
      </c>
      <c r="R1023" s="5" t="str">
        <f t="shared" si="2"/>
        <v>Peepli Live</v>
      </c>
      <c r="S1023" s="5" t="str">
        <f>IFERROR(__xludf.DUMMYFUNCTION("""COMPUTED_VALUE"""),"Bilu Rakkhosh")</f>
        <v>Bilu Rakkhosh</v>
      </c>
      <c r="U1023" s="5" t="str">
        <f>IFERROR(__xludf.DUMMYFUNCTION("""COMPUTED_VALUE"""),"Remi Weekes")</f>
        <v>Remi Weekes</v>
      </c>
      <c r="V1023" s="5" t="s">
        <v>6101</v>
      </c>
      <c r="W1023" s="5" t="str">
        <f t="shared" si="3"/>
        <v>David R. Ellis</v>
      </c>
      <c r="X1023" s="5">
        <f t="shared" si="4"/>
        <v>3</v>
      </c>
      <c r="Y1023" s="5" t="str">
        <f>IFERROR(__xludf.DUMMYFUNCTION("REGEXEXTRACT(J1023, ""^\d+"")"),"109")</f>
        <v>109</v>
      </c>
      <c r="Z1023" s="5" t="str">
        <f>IFERROR(__xludf.DUMMYFUNCTION("REGEXEXTRACT(J1023, ""[A-Za-z ]+$"")")," min")</f>
        <v> min</v>
      </c>
      <c r="AA1023" s="5" t="str">
        <f>IFERROR(__xludf.DUMMYFUNCTION("IF(REGEXMATCH(Z1023, ""Season""), ""TV Show"", ""Movie"")"),"Movie")</f>
        <v>Movie</v>
      </c>
    </row>
    <row r="1024">
      <c r="A1024" s="1" t="s">
        <v>6102</v>
      </c>
      <c r="B1024" s="1" t="s">
        <v>27</v>
      </c>
      <c r="C1024" s="1" t="s">
        <v>6103</v>
      </c>
      <c r="D1024" s="1" t="s">
        <v>82</v>
      </c>
      <c r="E1024" s="1" t="s">
        <v>6104</v>
      </c>
      <c r="F1024" s="1" t="s">
        <v>63</v>
      </c>
      <c r="G1024" s="1" t="s">
        <v>6068</v>
      </c>
      <c r="H1024" s="1">
        <v>2007.0</v>
      </c>
      <c r="I1024" s="1" t="s">
        <v>78</v>
      </c>
      <c r="J1024" s="1" t="s">
        <v>6105</v>
      </c>
      <c r="K1024" s="1" t="s">
        <v>128</v>
      </c>
      <c r="L1024" s="1" t="s">
        <v>6106</v>
      </c>
      <c r="M1024" s="2" t="s">
        <v>12</v>
      </c>
      <c r="N1024" s="4">
        <f t="shared" si="1"/>
        <v>44303</v>
      </c>
      <c r="O1024" s="5" t="str">
        <f>IFERROR(__xludf.DUMMYFUNCTION("IF(REGEXMATCH(TRIM(I1024), ""^\d+\s*min""), ""Unclassified"", IF(I1024 = """", ""NR"", I1024))"),"PG")</f>
        <v>PG</v>
      </c>
      <c r="R1024" s="5" t="str">
        <f t="shared" si="2"/>
        <v>Taare Zameen Par</v>
      </c>
      <c r="S1024" s="5" t="str">
        <f>IFERROR(__xludf.DUMMYFUNCTION("""COMPUTED_VALUE"""),"Biohackers")</f>
        <v>Biohackers</v>
      </c>
      <c r="U1024" s="5" t="str">
        <f>IFERROR(__xludf.DUMMYFUNCTION("""COMPUTED_VALUE"""),"Tope Oshin")</f>
        <v>Tope Oshin</v>
      </c>
      <c r="V1024" s="5" t="s">
        <v>6107</v>
      </c>
      <c r="W1024" s="5" t="str">
        <f t="shared" si="3"/>
        <v>David Raynr</v>
      </c>
      <c r="X1024" s="5">
        <f t="shared" si="4"/>
        <v>1</v>
      </c>
      <c r="Y1024" s="5" t="str">
        <f>IFERROR(__xludf.DUMMYFUNCTION("REGEXEXTRACT(J1024, ""^\d+"")"),"162")</f>
        <v>162</v>
      </c>
      <c r="Z1024" s="5" t="str">
        <f>IFERROR(__xludf.DUMMYFUNCTION("REGEXEXTRACT(J1024, ""[A-Za-z ]+$"")")," min")</f>
        <v> min</v>
      </c>
      <c r="AA1024" s="5" t="str">
        <f>IFERROR(__xludf.DUMMYFUNCTION("IF(REGEXMATCH(Z1024, ""Season""), ""TV Show"", ""Movie"")"),"Movie")</f>
        <v>Movie</v>
      </c>
    </row>
    <row r="1025">
      <c r="A1025" s="1" t="s">
        <v>6108</v>
      </c>
      <c r="B1025" s="1" t="s">
        <v>27</v>
      </c>
      <c r="C1025" s="1" t="s">
        <v>6109</v>
      </c>
      <c r="D1025" s="1" t="s">
        <v>6110</v>
      </c>
      <c r="E1025" s="1" t="s">
        <v>6111</v>
      </c>
      <c r="F1025" s="1" t="s">
        <v>63</v>
      </c>
      <c r="G1025" s="1" t="s">
        <v>6112</v>
      </c>
      <c r="H1025" s="1">
        <v>2021.0</v>
      </c>
      <c r="I1025" s="1" t="s">
        <v>42</v>
      </c>
      <c r="J1025" s="1" t="s">
        <v>950</v>
      </c>
      <c r="K1025" s="1" t="s">
        <v>89</v>
      </c>
      <c r="L1025" s="1" t="s">
        <v>6113</v>
      </c>
      <c r="M1025" s="2" t="s">
        <v>12</v>
      </c>
      <c r="N1025" s="4">
        <f t="shared" si="1"/>
        <v>44302</v>
      </c>
      <c r="O1025" s="5" t="str">
        <f>IFERROR(__xludf.DUMMYFUNCTION("IF(REGEXMATCH(TRIM(I1025), ""^\d+\s*min""), ""Unclassified"", IF(I1025 = """", ""NR"", I1025))"),"TV-MA")</f>
        <v>TV-MA</v>
      </c>
      <c r="R1025" s="5" t="str">
        <f t="shared" si="2"/>
        <v>Ajeeb Daastaans</v>
      </c>
      <c r="S1025" s="5" t="str">
        <f>IFERROR(__xludf.DUMMYFUNCTION("""COMPUTED_VALUE"""),"Bioscope")</f>
        <v>Bioscope</v>
      </c>
      <c r="U1025" s="5" t="str">
        <f>IFERROR(__xludf.DUMMYFUNCTION("""COMPUTED_VALUE"""),"Terrie Samundra")</f>
        <v>Terrie Samundra</v>
      </c>
      <c r="V1025" s="5" t="s">
        <v>6114</v>
      </c>
      <c r="W1025" s="5" t="str">
        <f t="shared" si="3"/>
        <v>David Salzberg, Christian Tureaud</v>
      </c>
      <c r="X1025" s="5">
        <f t="shared" si="4"/>
        <v>1</v>
      </c>
      <c r="Y1025" s="5" t="str">
        <f>IFERROR(__xludf.DUMMYFUNCTION("REGEXEXTRACT(J1025, ""^\d+"")"),"142")</f>
        <v>142</v>
      </c>
      <c r="Z1025" s="5" t="str">
        <f>IFERROR(__xludf.DUMMYFUNCTION("REGEXEXTRACT(J1025, ""[A-Za-z ]+$"")")," min")</f>
        <v> min</v>
      </c>
      <c r="AA1025" s="5" t="str">
        <f>IFERROR(__xludf.DUMMYFUNCTION("IF(REGEXMATCH(Z1025, ""Season""), ""TV Show"", ""Movie"")"),"Movie")</f>
        <v>Movie</v>
      </c>
    </row>
    <row r="1026">
      <c r="A1026" s="1" t="s">
        <v>6115</v>
      </c>
      <c r="B1026" s="1" t="s">
        <v>27</v>
      </c>
      <c r="C1026" s="1" t="s">
        <v>6116</v>
      </c>
      <c r="D1026" s="1" t="s">
        <v>6117</v>
      </c>
      <c r="E1026" s="1" t="s">
        <v>6118</v>
      </c>
      <c r="F1026" s="1" t="s">
        <v>30</v>
      </c>
      <c r="G1026" s="1" t="s">
        <v>6112</v>
      </c>
      <c r="H1026" s="1">
        <v>2021.0</v>
      </c>
      <c r="I1026" s="1" t="s">
        <v>289</v>
      </c>
      <c r="J1026" s="1" t="s">
        <v>454</v>
      </c>
      <c r="K1026" s="1" t="s">
        <v>1662</v>
      </c>
      <c r="L1026" s="1" t="s">
        <v>6119</v>
      </c>
      <c r="M1026" s="2" t="s">
        <v>12</v>
      </c>
      <c r="N1026" s="4">
        <f t="shared" si="1"/>
        <v>44302</v>
      </c>
      <c r="O1026" s="5" t="str">
        <f>IFERROR(__xludf.DUMMYFUNCTION("IF(REGEXMATCH(TRIM(I1026), ""^\d+\s*min""), ""Unclassified"", IF(I1026 = """", ""NR"", I1026))"),"TV-Y7")</f>
        <v>TV-Y7</v>
      </c>
      <c r="R1026" s="5" t="str">
        <f t="shared" si="2"/>
        <v>Arlo The Alligator Boy</v>
      </c>
      <c r="S1026" s="5" t="str">
        <f>IFERROR(__xludf.DUMMYFUNCTION("""COMPUTED_VALUE"""),"Bir Baba Hindu")</f>
        <v>Bir Baba Hindu</v>
      </c>
      <c r="U1026" s="5" t="str">
        <f>IFERROR(__xludf.DUMMYFUNCTION("""COMPUTED_VALUE"""),"Olivier Marchal")</f>
        <v>Olivier Marchal</v>
      </c>
      <c r="V1026" s="5" t="s">
        <v>6120</v>
      </c>
      <c r="W1026" s="5" t="str">
        <f t="shared" si="3"/>
        <v>David Sampliner</v>
      </c>
      <c r="X1026" s="5">
        <f t="shared" si="4"/>
        <v>1</v>
      </c>
      <c r="Y1026" s="5" t="str">
        <f>IFERROR(__xludf.DUMMYFUNCTION("REGEXEXTRACT(J1026, ""^\d+"")"),"93")</f>
        <v>93</v>
      </c>
      <c r="Z1026" s="5" t="str">
        <f>IFERROR(__xludf.DUMMYFUNCTION("REGEXEXTRACT(J1026, ""[A-Za-z ]+$"")")," min")</f>
        <v> min</v>
      </c>
      <c r="AA1026" s="5" t="str">
        <f>IFERROR(__xludf.DUMMYFUNCTION("IF(REGEXMATCH(Z1026, ""Season""), ""TV Show"", ""Movie"")"),"Movie")</f>
        <v>Movie</v>
      </c>
    </row>
    <row r="1027">
      <c r="A1027" s="1" t="s">
        <v>6121</v>
      </c>
      <c r="B1027" s="1" t="s">
        <v>37</v>
      </c>
      <c r="C1027" s="1" t="s">
        <v>6122</v>
      </c>
      <c r="E1027" s="1" t="s">
        <v>6123</v>
      </c>
      <c r="G1027" s="1" t="s">
        <v>6112</v>
      </c>
      <c r="H1027" s="1">
        <v>2021.0</v>
      </c>
      <c r="I1027" s="1" t="s">
        <v>289</v>
      </c>
      <c r="J1027" s="1" t="s">
        <v>51</v>
      </c>
      <c r="K1027" s="1" t="s">
        <v>623</v>
      </c>
      <c r="L1027" s="1" t="s">
        <v>6124</v>
      </c>
      <c r="M1027" s="2" t="s">
        <v>12</v>
      </c>
      <c r="N1027" s="4">
        <f t="shared" si="1"/>
        <v>44302</v>
      </c>
      <c r="O1027" s="5" t="str">
        <f>IFERROR(__xludf.DUMMYFUNCTION("IF(REGEXMATCH(TRIM(I1027), ""^\d+\s*min""), ""Unclassified"", IF(I1027 = """", ""NR"", I1027))"),"TV-Y7")</f>
        <v>TV-Y7</v>
      </c>
      <c r="R1027" s="5" t="str">
        <f t="shared" si="2"/>
        <v>Bakugan: Geogan Rising</v>
      </c>
      <c r="S1027" s="5" t="str">
        <f>IFERROR(__xludf.DUMMYFUNCTION("""COMPUTED_VALUE"""),"Bird Box")</f>
        <v>Bird Box</v>
      </c>
      <c r="U1027" s="5" t="str">
        <f>IFERROR(__xludf.DUMMYFUNCTION("""COMPUTED_VALUE"""),"Santiago Alvarado Ilarri")</f>
        <v>Santiago Alvarado Ilarri</v>
      </c>
      <c r="V1027" s="5" t="s">
        <v>6125</v>
      </c>
      <c r="W1027" s="5" t="str">
        <f t="shared" si="3"/>
        <v>David Schalko</v>
      </c>
      <c r="X1027" s="5">
        <f t="shared" si="4"/>
        <v>1</v>
      </c>
      <c r="Y1027" s="5" t="str">
        <f>IFERROR(__xludf.DUMMYFUNCTION("REGEXEXTRACT(J1027, ""^\d+"")"),"1")</f>
        <v>1</v>
      </c>
      <c r="Z1027" s="5" t="str">
        <f>IFERROR(__xludf.DUMMYFUNCTION("REGEXEXTRACT(J1027, ""[A-Za-z ]+$"")")," Season")</f>
        <v> Season</v>
      </c>
      <c r="AA1027" s="5" t="str">
        <f>IFERROR(__xludf.DUMMYFUNCTION("IF(REGEXMATCH(Z1027, ""Season""), ""TV Show"", ""Movie"")"),"TV Show")</f>
        <v>TV Show</v>
      </c>
    </row>
    <row r="1028">
      <c r="A1028" s="1" t="s">
        <v>6126</v>
      </c>
      <c r="B1028" s="1" t="s">
        <v>27</v>
      </c>
      <c r="C1028" s="1" t="s">
        <v>6127</v>
      </c>
      <c r="D1028" s="1" t="s">
        <v>4233</v>
      </c>
      <c r="E1028" s="1" t="s">
        <v>6128</v>
      </c>
      <c r="F1028" s="1" t="s">
        <v>30</v>
      </c>
      <c r="G1028" s="1" t="s">
        <v>6112</v>
      </c>
      <c r="H1028" s="1">
        <v>2021.0</v>
      </c>
      <c r="I1028" s="1" t="s">
        <v>206</v>
      </c>
      <c r="J1028" s="1" t="s">
        <v>4639</v>
      </c>
      <c r="K1028" s="1" t="s">
        <v>80</v>
      </c>
      <c r="L1028" s="1" t="s">
        <v>6129</v>
      </c>
      <c r="M1028" s="2" t="s">
        <v>12</v>
      </c>
      <c r="N1028" s="4">
        <f t="shared" si="1"/>
        <v>44302</v>
      </c>
      <c r="O1028" s="5" t="str">
        <f>IFERROR(__xludf.DUMMYFUNCTION("IF(REGEXMATCH(TRIM(I1028), ""^\d+\s*min""), ""Unclassified"", IF(I1028 = """", ""NR"", I1028))"),"TV-Y")</f>
        <v>TV-Y</v>
      </c>
      <c r="R1028" s="5" t="str">
        <f t="shared" si="2"/>
        <v>Barbie &amp; Chelsea: The Lost Birthday</v>
      </c>
      <c r="S1028" s="5" t="str">
        <f>IFERROR(__xludf.DUMMYFUNCTION("""COMPUTED_VALUE"""),"Birders")</f>
        <v>Birders</v>
      </c>
      <c r="U1028" s="5" t="str">
        <f>IFERROR(__xludf.DUMMYFUNCTION("""COMPUTED_VALUE"""),"Frasco Mortiz")</f>
        <v>Frasco Mortiz</v>
      </c>
      <c r="V1028" s="5" t="s">
        <v>6130</v>
      </c>
      <c r="W1028" s="5" t="str">
        <f t="shared" si="3"/>
        <v>David Serrano</v>
      </c>
      <c r="X1028" s="5">
        <f t="shared" si="4"/>
        <v>1</v>
      </c>
      <c r="Y1028" s="5" t="str">
        <f>IFERROR(__xludf.DUMMYFUNCTION("REGEXEXTRACT(J1028, ""^\d+"")"),"60")</f>
        <v>60</v>
      </c>
      <c r="Z1028" s="5" t="str">
        <f>IFERROR(__xludf.DUMMYFUNCTION("REGEXEXTRACT(J1028, ""[A-Za-z ]+$"")")," min")</f>
        <v> min</v>
      </c>
      <c r="AA1028" s="5" t="str">
        <f>IFERROR(__xludf.DUMMYFUNCTION("IF(REGEXMATCH(Z1028, ""Season""), ""TV Show"", ""Movie"")"),"Movie")</f>
        <v>Movie</v>
      </c>
    </row>
    <row r="1029">
      <c r="A1029" s="1" t="s">
        <v>6131</v>
      </c>
      <c r="B1029" s="1" t="s">
        <v>27</v>
      </c>
      <c r="C1029" s="1" t="s">
        <v>6132</v>
      </c>
      <c r="D1029" s="1" t="s">
        <v>6133</v>
      </c>
      <c r="E1029" s="1" t="s">
        <v>6134</v>
      </c>
      <c r="F1029" s="1" t="s">
        <v>6135</v>
      </c>
      <c r="G1029" s="1" t="s">
        <v>6112</v>
      </c>
      <c r="H1029" s="1">
        <v>2015.0</v>
      </c>
      <c r="I1029" s="1" t="s">
        <v>378</v>
      </c>
      <c r="J1029" s="1" t="s">
        <v>804</v>
      </c>
      <c r="K1029" s="1" t="s">
        <v>6136</v>
      </c>
      <c r="L1029" s="1" t="s">
        <v>6137</v>
      </c>
      <c r="M1029" s="2" t="s">
        <v>12</v>
      </c>
      <c r="N1029" s="4">
        <f t="shared" si="1"/>
        <v>44302</v>
      </c>
      <c r="O1029" s="5" t="str">
        <f>IFERROR(__xludf.DUMMYFUNCTION("IF(REGEXMATCH(TRIM(I1029), ""^\d+\s*min""), ""Unclassified"", IF(I1029 = """", ""NR"", I1029))"),"R")</f>
        <v>R</v>
      </c>
      <c r="R1029" s="5" t="str">
        <f t="shared" si="2"/>
        <v>Crimson Peak</v>
      </c>
      <c r="S1029" s="5" t="str">
        <f>IFERROR(__xludf.DUMMYFUNCTION("""COMPUTED_VALUE"""),"Birdshot")</f>
        <v>Birdshot</v>
      </c>
      <c r="U1029" s="5" t="str">
        <f>IFERROR(__xludf.DUMMYFUNCTION("""COMPUTED_VALUE"""),"John Whitesell")</f>
        <v>John Whitesell</v>
      </c>
      <c r="V1029" s="5" t="s">
        <v>6138</v>
      </c>
      <c r="W1029" s="5" t="str">
        <f t="shared" si="3"/>
        <v>David Shisgall</v>
      </c>
      <c r="X1029" s="5">
        <f t="shared" si="4"/>
        <v>1</v>
      </c>
      <c r="Y1029" s="5" t="str">
        <f>IFERROR(__xludf.DUMMYFUNCTION("REGEXEXTRACT(J1029, ""^\d+"")"),"119")</f>
        <v>119</v>
      </c>
      <c r="Z1029" s="5" t="str">
        <f>IFERROR(__xludf.DUMMYFUNCTION("REGEXEXTRACT(J1029, ""[A-Za-z ]+$"")")," min")</f>
        <v> min</v>
      </c>
      <c r="AA1029" s="5" t="str">
        <f>IFERROR(__xludf.DUMMYFUNCTION("IF(REGEXMATCH(Z1029, ""Season""), ""TV Show"", ""Movie"")"),"Movie")</f>
        <v>Movie</v>
      </c>
    </row>
    <row r="1030">
      <c r="A1030" s="1" t="s">
        <v>6139</v>
      </c>
      <c r="B1030" s="1" t="s">
        <v>27</v>
      </c>
      <c r="C1030" s="1" t="s">
        <v>6140</v>
      </c>
      <c r="E1030" s="1" t="s">
        <v>6141</v>
      </c>
      <c r="G1030" s="1" t="s">
        <v>6112</v>
      </c>
      <c r="H1030" s="1">
        <v>2021.0</v>
      </c>
      <c r="I1030" s="1" t="s">
        <v>97</v>
      </c>
      <c r="J1030" s="1" t="s">
        <v>6142</v>
      </c>
      <c r="K1030" s="1" t="s">
        <v>239</v>
      </c>
      <c r="L1030" s="1" t="s">
        <v>6143</v>
      </c>
      <c r="M1030" s="2" t="s">
        <v>12</v>
      </c>
      <c r="N1030" s="4">
        <f t="shared" si="1"/>
        <v>44302</v>
      </c>
      <c r="O1030" s="5" t="str">
        <f>IFERROR(__xludf.DUMMYFUNCTION("IF(REGEXMATCH(TRIM(I1030), ""^\d+\s*min""), ""Unclassified"", IF(I1030 = """", ""NR"", I1030))"),"TV-14")</f>
        <v>TV-14</v>
      </c>
      <c r="R1030" s="5" t="str">
        <f t="shared" si="2"/>
        <v>Dad Stop Embarrassing Me - The Afterparty</v>
      </c>
      <c r="S1030" s="5" t="str">
        <f>IFERROR(__xludf.DUMMYFUNCTION("""COMPUTED_VALUE"""),"Birth Of The Dragon")</f>
        <v>Birth Of The Dragon</v>
      </c>
      <c r="U1030" s="5" t="str">
        <f>IFERROR(__xludf.DUMMYFUNCTION("""COMPUTED_VALUE"""),"Antonio Díaz")</f>
        <v>Antonio Díaz</v>
      </c>
      <c r="V1030" s="5" t="s">
        <v>6144</v>
      </c>
      <c r="W1030" s="5" t="str">
        <f t="shared" si="3"/>
        <v>David Silberg</v>
      </c>
      <c r="X1030" s="5">
        <f t="shared" si="4"/>
        <v>1</v>
      </c>
      <c r="Y1030" s="5" t="str">
        <f>IFERROR(__xludf.DUMMYFUNCTION("REGEXEXTRACT(J1030, ""^\d+"")"),"37")</f>
        <v>37</v>
      </c>
      <c r="Z1030" s="5" t="str">
        <f>IFERROR(__xludf.DUMMYFUNCTION("REGEXEXTRACT(J1030, ""[A-Za-z ]+$"")")," min")</f>
        <v> min</v>
      </c>
      <c r="AA1030" s="5" t="str">
        <f>IFERROR(__xludf.DUMMYFUNCTION("IF(REGEXMATCH(Z1030, ""Season""), ""TV Show"", ""Movie"")"),"Movie")</f>
        <v>Movie</v>
      </c>
    </row>
    <row r="1031">
      <c r="A1031" s="1" t="s">
        <v>6145</v>
      </c>
      <c r="B1031" s="1" t="s">
        <v>27</v>
      </c>
      <c r="C1031" s="1" t="s">
        <v>6146</v>
      </c>
      <c r="D1031" s="1" t="s">
        <v>6147</v>
      </c>
      <c r="E1031" s="1" t="s">
        <v>6148</v>
      </c>
      <c r="F1031" s="1" t="s">
        <v>30</v>
      </c>
      <c r="G1031" s="1" t="s">
        <v>6112</v>
      </c>
      <c r="H1031" s="1">
        <v>2013.0</v>
      </c>
      <c r="I1031" s="1" t="s">
        <v>42</v>
      </c>
      <c r="J1031" s="1" t="s">
        <v>322</v>
      </c>
      <c r="K1031" s="1" t="s">
        <v>128</v>
      </c>
      <c r="L1031" s="1" t="s">
        <v>6149</v>
      </c>
      <c r="M1031" s="2" t="s">
        <v>12</v>
      </c>
      <c r="N1031" s="4">
        <f t="shared" si="1"/>
        <v>44302</v>
      </c>
      <c r="O1031" s="5" t="str">
        <f>IFERROR(__xludf.DUMMYFUNCTION("IF(REGEXMATCH(TRIM(I1031), ""^\d+\s*min""), ""Unclassified"", IF(I1031 = """", ""NR"", I1031))"),"TV-MA")</f>
        <v>TV-MA</v>
      </c>
      <c r="R1031" s="5" t="str">
        <f t="shared" si="2"/>
        <v>Doctor Bello</v>
      </c>
      <c r="S1031" s="5" t="str">
        <f>IFERROR(__xludf.DUMMYFUNCTION("""COMPUTED_VALUE"""),"Birthmarked")</f>
        <v>Birthmarked</v>
      </c>
      <c r="U1031" s="5" t="str">
        <f>IFERROR(__xludf.DUMMYFUNCTION("""COMPUTED_VALUE"""),"Nimród Antal")</f>
        <v>Nimród Antal</v>
      </c>
      <c r="V1031" s="5" t="s">
        <v>6150</v>
      </c>
      <c r="W1031" s="5" t="str">
        <f t="shared" si="3"/>
        <v>David Sington</v>
      </c>
      <c r="X1031" s="5">
        <f t="shared" si="4"/>
        <v>1</v>
      </c>
      <c r="Y1031" s="5" t="str">
        <f>IFERROR(__xludf.DUMMYFUNCTION("REGEXEXTRACT(J1031, ""^\d+"")"),"96")</f>
        <v>96</v>
      </c>
      <c r="Z1031" s="5" t="str">
        <f>IFERROR(__xludf.DUMMYFUNCTION("REGEXEXTRACT(J1031, ""[A-Za-z ]+$"")")," min")</f>
        <v> min</v>
      </c>
      <c r="AA1031" s="5" t="str">
        <f>IFERROR(__xludf.DUMMYFUNCTION("IF(REGEXMATCH(Z1031, ""Season""), ""TV Show"", ""Movie"")"),"Movie")</f>
        <v>Movie</v>
      </c>
    </row>
    <row r="1032">
      <c r="A1032" s="1" t="s">
        <v>6151</v>
      </c>
      <c r="B1032" s="1" t="s">
        <v>27</v>
      </c>
      <c r="C1032" s="1" t="s">
        <v>6152</v>
      </c>
      <c r="D1032" s="1" t="s">
        <v>5285</v>
      </c>
      <c r="E1032" s="1" t="s">
        <v>6153</v>
      </c>
      <c r="F1032" s="1" t="s">
        <v>4287</v>
      </c>
      <c r="G1032" s="1" t="s">
        <v>6112</v>
      </c>
      <c r="H1032" s="1">
        <v>2020.0</v>
      </c>
      <c r="I1032" s="1" t="s">
        <v>42</v>
      </c>
      <c r="J1032" s="1" t="s">
        <v>349</v>
      </c>
      <c r="K1032" s="1" t="s">
        <v>2242</v>
      </c>
      <c r="L1032" s="1" t="s">
        <v>6154</v>
      </c>
      <c r="M1032" s="2" t="s">
        <v>12</v>
      </c>
      <c r="N1032" s="4">
        <f t="shared" si="1"/>
        <v>44302</v>
      </c>
      <c r="O1032" s="5" t="str">
        <f>IFERROR(__xludf.DUMMYFUNCTION("IF(REGEXMATCH(TRIM(I1032), ""^\d+\s*min""), ""Unclassified"", IF(I1032 = """", ""NR"", I1032))"),"TV-MA")</f>
        <v>TV-MA</v>
      </c>
      <c r="R1032" s="5" t="str">
        <f t="shared" si="2"/>
        <v>Four Sisters Before The Wedding</v>
      </c>
      <c r="S1032" s="5" t="str">
        <f>IFERROR(__xludf.DUMMYFUNCTION("""COMPUTED_VALUE"""),"Bitch")</f>
        <v>Bitch</v>
      </c>
      <c r="U1032" s="5" t="str">
        <f>IFERROR(__xludf.DUMMYFUNCTION("""COMPUTED_VALUE"""),"Bartosz M. Kowalski")</f>
        <v>Bartosz M. Kowalski</v>
      </c>
      <c r="V1032" s="5" t="s">
        <v>6155</v>
      </c>
      <c r="W1032" s="5" t="str">
        <f t="shared" si="3"/>
        <v>David Sington, Heather Walsh</v>
      </c>
      <c r="X1032" s="5">
        <f t="shared" si="4"/>
        <v>1</v>
      </c>
      <c r="Y1032" s="5" t="str">
        <f>IFERROR(__xludf.DUMMYFUNCTION("REGEXEXTRACT(J1032, ""^\d+"")"),"116")</f>
        <v>116</v>
      </c>
      <c r="Z1032" s="5" t="str">
        <f>IFERROR(__xludf.DUMMYFUNCTION("REGEXEXTRACT(J1032, ""[A-Za-z ]+$"")")," min")</f>
        <v> min</v>
      </c>
      <c r="AA1032" s="5" t="str">
        <f>IFERROR(__xludf.DUMMYFUNCTION("IF(REGEXMATCH(Z1032, ""Season""), ""TV Show"", ""Movie"")"),"Movie")</f>
        <v>Movie</v>
      </c>
    </row>
    <row r="1033">
      <c r="A1033" s="1" t="s">
        <v>6156</v>
      </c>
      <c r="B1033" s="1" t="s">
        <v>27</v>
      </c>
      <c r="C1033" s="1" t="s">
        <v>6157</v>
      </c>
      <c r="D1033" s="1" t="s">
        <v>6158</v>
      </c>
      <c r="E1033" s="1" t="s">
        <v>6159</v>
      </c>
      <c r="F1033" s="1" t="s">
        <v>2492</v>
      </c>
      <c r="G1033" s="1" t="s">
        <v>6112</v>
      </c>
      <c r="H1033" s="1">
        <v>2020.0</v>
      </c>
      <c r="I1033" s="1" t="s">
        <v>97</v>
      </c>
      <c r="J1033" s="1" t="s">
        <v>447</v>
      </c>
      <c r="K1033" s="1" t="s">
        <v>679</v>
      </c>
      <c r="L1033" s="1" t="s">
        <v>6160</v>
      </c>
      <c r="M1033" s="2" t="s">
        <v>12</v>
      </c>
      <c r="N1033" s="4">
        <f t="shared" si="1"/>
        <v>44302</v>
      </c>
      <c r="O1033" s="5" t="str">
        <f>IFERROR(__xludf.DUMMYFUNCTION("IF(REGEXMATCH(TRIM(I1033), ""^\d+\s*min""), ""Unclassified"", IF(I1033 = """", ""NR"", I1033))"),"TV-14")</f>
        <v>TV-14</v>
      </c>
      <c r="R1033" s="5" t="str">
        <f t="shared" si="2"/>
        <v>Into The Beat</v>
      </c>
      <c r="S1033" s="5" t="str">
        <f>IFERROR(__xludf.DUMMYFUNCTION("""COMPUTED_VALUE"""),"Bitcoin Heist")</f>
        <v>Bitcoin Heist</v>
      </c>
      <c r="U1033" s="5" t="str">
        <f>IFERROR(__xludf.DUMMYFUNCTION("""COMPUTED_VALUE"""),"James Tovell")</f>
        <v>James Tovell</v>
      </c>
      <c r="V1033" s="5" t="s">
        <v>2851</v>
      </c>
      <c r="W1033" s="5" t="str">
        <f t="shared" si="3"/>
        <v>David Slade</v>
      </c>
      <c r="X1033" s="5">
        <f t="shared" si="4"/>
        <v>1</v>
      </c>
      <c r="Y1033" s="5" t="str">
        <f>IFERROR(__xludf.DUMMYFUNCTION("REGEXEXTRACT(J1033, ""^\d+"")"),"102")</f>
        <v>102</v>
      </c>
      <c r="Z1033" s="5" t="str">
        <f>IFERROR(__xludf.DUMMYFUNCTION("REGEXEXTRACT(J1033, ""[A-Za-z ]+$"")")," min")</f>
        <v> min</v>
      </c>
      <c r="AA1033" s="5" t="str">
        <f>IFERROR(__xludf.DUMMYFUNCTION("IF(REGEXMATCH(Z1033, ""Season""), ""TV Show"", ""Movie"")"),"Movie")</f>
        <v>Movie</v>
      </c>
    </row>
    <row r="1034">
      <c r="A1034" s="1" t="s">
        <v>6161</v>
      </c>
      <c r="B1034" s="1" t="s">
        <v>37</v>
      </c>
      <c r="C1034" s="1" t="s">
        <v>6162</v>
      </c>
      <c r="E1034" s="1" t="s">
        <v>6163</v>
      </c>
      <c r="F1034" s="1" t="s">
        <v>749</v>
      </c>
      <c r="G1034" s="1" t="s">
        <v>6112</v>
      </c>
      <c r="H1034" s="1">
        <v>2021.0</v>
      </c>
      <c r="I1034" s="1" t="s">
        <v>97</v>
      </c>
      <c r="J1034" s="1" t="s">
        <v>51</v>
      </c>
      <c r="K1034" s="1" t="s">
        <v>6164</v>
      </c>
      <c r="L1034" s="1" t="s">
        <v>6165</v>
      </c>
      <c r="M1034" s="2" t="s">
        <v>12</v>
      </c>
      <c r="N1034" s="4">
        <f t="shared" si="1"/>
        <v>44302</v>
      </c>
      <c r="O1034" s="5" t="str">
        <f>IFERROR(__xludf.DUMMYFUNCTION("IF(REGEXMATCH(TRIM(I1034), ""^\d+\s*min""), ""Unclassified"", IF(I1034 = """", ""NR"", I1034))"),"TV-14")</f>
        <v>TV-14</v>
      </c>
      <c r="R1034" s="5" t="str">
        <f t="shared" si="2"/>
        <v>Love Naggers</v>
      </c>
      <c r="S1034" s="5" t="str">
        <f>IFERROR(__xludf.DUMMYFUNCTION("""COMPUTED_VALUE"""),"Bitten")</f>
        <v>Bitten</v>
      </c>
      <c r="U1034" s="5" t="str">
        <f>IFERROR(__xludf.DUMMYFUNCTION("""COMPUTED_VALUE"""),"Matías Gueilburt")</f>
        <v>Matías Gueilburt</v>
      </c>
      <c r="V1034" s="5" t="s">
        <v>6166</v>
      </c>
      <c r="W1034" s="5" t="str">
        <f t="shared" si="3"/>
        <v>David Soren</v>
      </c>
      <c r="X1034" s="5">
        <f t="shared" si="4"/>
        <v>1</v>
      </c>
      <c r="Y1034" s="5" t="str">
        <f>IFERROR(__xludf.DUMMYFUNCTION("REGEXEXTRACT(J1034, ""^\d+"")"),"1")</f>
        <v>1</v>
      </c>
      <c r="Z1034" s="5" t="str">
        <f>IFERROR(__xludf.DUMMYFUNCTION("REGEXEXTRACT(J1034, ""[A-Za-z ]+$"")")," Season")</f>
        <v> Season</v>
      </c>
      <c r="AA1034" s="5" t="str">
        <f>IFERROR(__xludf.DUMMYFUNCTION("IF(REGEXMATCH(Z1034, ""Season""), ""TV Show"", ""Movie"")"),"TV Show")</f>
        <v>TV Show</v>
      </c>
    </row>
    <row r="1035">
      <c r="A1035" s="1" t="s">
        <v>6167</v>
      </c>
      <c r="B1035" s="1" t="s">
        <v>27</v>
      </c>
      <c r="C1035" s="1" t="s">
        <v>6168</v>
      </c>
      <c r="D1035" s="1" t="s">
        <v>6169</v>
      </c>
      <c r="E1035" s="1" t="s">
        <v>6170</v>
      </c>
      <c r="F1035" s="1" t="s">
        <v>6171</v>
      </c>
      <c r="G1035" s="1" t="s">
        <v>6112</v>
      </c>
      <c r="H1035" s="1">
        <v>2013.0</v>
      </c>
      <c r="I1035" s="1" t="s">
        <v>378</v>
      </c>
      <c r="J1035" s="1" t="s">
        <v>2566</v>
      </c>
      <c r="K1035" s="1" t="s">
        <v>306</v>
      </c>
      <c r="L1035" s="1" t="s">
        <v>6172</v>
      </c>
      <c r="M1035" s="2" t="s">
        <v>12</v>
      </c>
      <c r="N1035" s="4">
        <f t="shared" si="1"/>
        <v>44302</v>
      </c>
      <c r="O1035" s="5" t="str">
        <f>IFERROR(__xludf.DUMMYFUNCTION("IF(REGEXMATCH(TRIM(I1035), ""^\d+\s*min""), ""Unclassified"", IF(I1035 = """", ""NR"", I1035))"),"R")</f>
        <v>R</v>
      </c>
      <c r="R1035" s="5" t="str">
        <f t="shared" si="2"/>
        <v>Rush</v>
      </c>
      <c r="S1035" s="5" t="str">
        <f>IFERROR(__xludf.DUMMYFUNCTION("""COMPUTED_VALUE"""),"Bitter Daisies")</f>
        <v>Bitter Daisies</v>
      </c>
      <c r="U1035" s="5" t="str">
        <f>IFERROR(__xludf.DUMMYFUNCTION("""COMPUTED_VALUE"""),"Natasha Lyonne")</f>
        <v>Natasha Lyonne</v>
      </c>
      <c r="V1035" s="5" t="s">
        <v>6173</v>
      </c>
      <c r="W1035" s="5" t="str">
        <f t="shared" si="3"/>
        <v>David Stubbs</v>
      </c>
      <c r="X1035" s="5">
        <f t="shared" si="4"/>
        <v>1</v>
      </c>
      <c r="Y1035" s="5" t="str">
        <f>IFERROR(__xludf.DUMMYFUNCTION("REGEXEXTRACT(J1035, ""^\d+"")"),"123")</f>
        <v>123</v>
      </c>
      <c r="Z1035" s="5" t="str">
        <f>IFERROR(__xludf.DUMMYFUNCTION("REGEXEXTRACT(J1035, ""[A-Za-z ]+$"")")," min")</f>
        <v> min</v>
      </c>
      <c r="AA1035" s="5" t="str">
        <f>IFERROR(__xludf.DUMMYFUNCTION("IF(REGEXMATCH(Z1035, ""Season""), ""TV Show"", ""Movie"")"),"Movie")</f>
        <v>Movie</v>
      </c>
    </row>
    <row r="1036">
      <c r="A1036" s="1" t="s">
        <v>6174</v>
      </c>
      <c r="B1036" s="1" t="s">
        <v>27</v>
      </c>
      <c r="C1036" s="1" t="s">
        <v>6175</v>
      </c>
      <c r="D1036" s="1" t="s">
        <v>6176</v>
      </c>
      <c r="E1036" s="1" t="s">
        <v>6177</v>
      </c>
      <c r="F1036" s="1" t="s">
        <v>30</v>
      </c>
      <c r="G1036" s="1" t="s">
        <v>6112</v>
      </c>
      <c r="H1036" s="1">
        <v>2020.0</v>
      </c>
      <c r="I1036" s="1" t="s">
        <v>378</v>
      </c>
      <c r="J1036" s="1" t="s">
        <v>447</v>
      </c>
      <c r="K1036" s="1" t="s">
        <v>171</v>
      </c>
      <c r="L1036" s="1" t="s">
        <v>6178</v>
      </c>
      <c r="M1036" s="2" t="s">
        <v>12</v>
      </c>
      <c r="N1036" s="4">
        <f t="shared" si="1"/>
        <v>44302</v>
      </c>
      <c r="O1036" s="5" t="str">
        <f>IFERROR(__xludf.DUMMYFUNCTION("IF(REGEXMATCH(TRIM(I1036), ""^\d+\s*min""), ""Unclassified"", IF(I1036 = """", ""NR"", I1036))"),"R")</f>
        <v>R</v>
      </c>
      <c r="R1036" s="5" t="str">
        <f t="shared" si="2"/>
        <v>Synchronic</v>
      </c>
      <c r="S1036" s="5" t="str">
        <f>IFERROR(__xludf.DUMMYFUNCTION("""COMPUTED_VALUE"""),"Bittersweet")</f>
        <v>Bittersweet</v>
      </c>
      <c r="U1036" s="5" t="str">
        <f>IFERROR(__xludf.DUMMYFUNCTION("""COMPUTED_VALUE"""),"Chang Chin-Jung, Chen Rong-Hui")</f>
        <v>Chang Chin-Jung, Chen Rong-Hui</v>
      </c>
      <c r="V1036" s="5" t="s">
        <v>6179</v>
      </c>
      <c r="W1036" s="5" t="str">
        <f t="shared" si="3"/>
        <v>David Tryhorn, Ben Nicholas</v>
      </c>
      <c r="X1036" s="5">
        <f t="shared" si="4"/>
        <v>1</v>
      </c>
      <c r="Y1036" s="5" t="str">
        <f>IFERROR(__xludf.DUMMYFUNCTION("REGEXEXTRACT(J1036, ""^\d+"")"),"102")</f>
        <v>102</v>
      </c>
      <c r="Z1036" s="5" t="str">
        <f>IFERROR(__xludf.DUMMYFUNCTION("REGEXEXTRACT(J1036, ""[A-Za-z ]+$"")")," min")</f>
        <v> min</v>
      </c>
      <c r="AA1036" s="5" t="str">
        <f>IFERROR(__xludf.DUMMYFUNCTION("IF(REGEXMATCH(Z1036, ""Season""), ""TV Show"", ""Movie"")"),"Movie")</f>
        <v>Movie</v>
      </c>
    </row>
    <row r="1037">
      <c r="A1037" s="1" t="s">
        <v>6180</v>
      </c>
      <c r="B1037" s="1" t="s">
        <v>27</v>
      </c>
      <c r="C1037" s="1" t="s">
        <v>6181</v>
      </c>
      <c r="D1037" s="1" t="s">
        <v>6182</v>
      </c>
      <c r="E1037" s="1" t="s">
        <v>6183</v>
      </c>
      <c r="F1037" s="1" t="s">
        <v>6184</v>
      </c>
      <c r="G1037" s="1" t="s">
        <v>6112</v>
      </c>
      <c r="H1037" s="1">
        <v>2017.0</v>
      </c>
      <c r="I1037" s="1" t="s">
        <v>32</v>
      </c>
      <c r="J1037" s="1" t="s">
        <v>127</v>
      </c>
      <c r="K1037" s="1" t="s">
        <v>805</v>
      </c>
      <c r="L1037" s="1" t="s">
        <v>6185</v>
      </c>
      <c r="M1037" s="2" t="s">
        <v>12</v>
      </c>
      <c r="N1037" s="4">
        <f t="shared" si="1"/>
        <v>44302</v>
      </c>
      <c r="O1037" s="5" t="str">
        <f>IFERROR(__xludf.DUMMYFUNCTION("IF(REGEXMATCH(TRIM(I1037), ""^\d+\s*min""), ""Unclassified"", IF(I1037 = """", ""NR"", I1037))"),"PG-13")</f>
        <v>PG-13</v>
      </c>
      <c r="R1037" s="5" t="str">
        <f t="shared" si="2"/>
        <v>The Zookeeper'S Wife</v>
      </c>
      <c r="S1037" s="5" t="str">
        <f>IFERROR(__xludf.DUMMYFUNCTION("""COMPUTED_VALUE"""),"Bittoo Boss")</f>
        <v>Bittoo Boss</v>
      </c>
      <c r="U1037" s="5" t="str">
        <f>IFERROR(__xludf.DUMMYFUNCTION("""COMPUTED_VALUE"""),"Rajkumar Santoshi")</f>
        <v>Rajkumar Santoshi</v>
      </c>
      <c r="V1037" s="5" t="s">
        <v>6186</v>
      </c>
      <c r="W1037" s="5" t="str">
        <f t="shared" si="3"/>
        <v>David Wain</v>
      </c>
      <c r="X1037" s="5">
        <f t="shared" si="4"/>
        <v>1</v>
      </c>
      <c r="Y1037" s="5" t="str">
        <f>IFERROR(__xludf.DUMMYFUNCTION("REGEXEXTRACT(J1037, ""^\d+"")"),"127")</f>
        <v>127</v>
      </c>
      <c r="Z1037" s="5" t="str">
        <f>IFERROR(__xludf.DUMMYFUNCTION("REGEXEXTRACT(J1037, ""[A-Za-z ]+$"")")," min")</f>
        <v> min</v>
      </c>
      <c r="AA1037" s="5" t="str">
        <f>IFERROR(__xludf.DUMMYFUNCTION("IF(REGEXMATCH(Z1037, ""Season""), ""TV Show"", ""Movie"")"),"Movie")</f>
        <v>Movie</v>
      </c>
    </row>
    <row r="1038">
      <c r="A1038" s="1" t="s">
        <v>6187</v>
      </c>
      <c r="B1038" s="1" t="s">
        <v>27</v>
      </c>
      <c r="C1038" s="1" t="s">
        <v>6188</v>
      </c>
      <c r="D1038" s="1" t="s">
        <v>6189</v>
      </c>
      <c r="E1038" s="1" t="s">
        <v>6190</v>
      </c>
      <c r="F1038" s="1" t="s">
        <v>30</v>
      </c>
      <c r="G1038" s="1" t="s">
        <v>6112</v>
      </c>
      <c r="H1038" s="1">
        <v>2017.0</v>
      </c>
      <c r="I1038" s="1" t="s">
        <v>97</v>
      </c>
      <c r="J1038" s="1" t="s">
        <v>428</v>
      </c>
      <c r="K1038" s="1" t="s">
        <v>942</v>
      </c>
      <c r="L1038" s="1" t="s">
        <v>6191</v>
      </c>
      <c r="M1038" s="2" t="s">
        <v>12</v>
      </c>
      <c r="N1038" s="4">
        <f t="shared" si="1"/>
        <v>44302</v>
      </c>
      <c r="O1038" s="5" t="str">
        <f>IFERROR(__xludf.DUMMYFUNCTION("IF(REGEXMATCH(TRIM(I1038), ""^\d+\s*min""), ""Unclassified"", IF(I1038 = """", ""NR"", I1038))"),"TV-14")</f>
        <v>TV-14</v>
      </c>
      <c r="R1038" s="5" t="str">
        <f t="shared" si="2"/>
        <v>Time Trap</v>
      </c>
      <c r="S1038" s="5" t="str">
        <f>IFERROR(__xludf.DUMMYFUNCTION("""COMPUTED_VALUE"""),"Black")</f>
        <v>Black</v>
      </c>
      <c r="U1038" s="5" t="str">
        <f>IFERROR(__xludf.DUMMYFUNCTION("""COMPUTED_VALUE"""),"Lance Daly")</f>
        <v>Lance Daly</v>
      </c>
      <c r="V1038" s="5" t="s">
        <v>6192</v>
      </c>
      <c r="W1038" s="5" t="str">
        <f t="shared" si="3"/>
        <v>David Wnendt</v>
      </c>
      <c r="X1038" s="5">
        <f t="shared" si="4"/>
        <v>1</v>
      </c>
      <c r="Y1038" s="5" t="str">
        <f>IFERROR(__xludf.DUMMYFUNCTION("REGEXEXTRACT(J1038, ""^\d+"")"),"88")</f>
        <v>88</v>
      </c>
      <c r="Z1038" s="5" t="str">
        <f>IFERROR(__xludf.DUMMYFUNCTION("REGEXEXTRACT(J1038, ""[A-Za-z ]+$"")")," min")</f>
        <v> min</v>
      </c>
      <c r="AA1038" s="5" t="str">
        <f>IFERROR(__xludf.DUMMYFUNCTION("IF(REGEXMATCH(Z1038, ""Season""), ""TV Show"", ""Movie"")"),"Movie")</f>
        <v>Movie</v>
      </c>
    </row>
    <row r="1039">
      <c r="A1039" s="1" t="s">
        <v>6193</v>
      </c>
      <c r="B1039" s="1" t="s">
        <v>27</v>
      </c>
      <c r="C1039" s="1" t="s">
        <v>6194</v>
      </c>
      <c r="D1039" s="1" t="s">
        <v>6195</v>
      </c>
      <c r="E1039" s="1" t="s">
        <v>6196</v>
      </c>
      <c r="F1039" s="1" t="s">
        <v>63</v>
      </c>
      <c r="G1039" s="1" t="s">
        <v>6112</v>
      </c>
      <c r="H1039" s="1">
        <v>2021.0</v>
      </c>
      <c r="I1039" s="1" t="s">
        <v>97</v>
      </c>
      <c r="J1039" s="1" t="s">
        <v>256</v>
      </c>
      <c r="K1039" s="1" t="s">
        <v>583</v>
      </c>
      <c r="L1039" s="1" t="s">
        <v>6197</v>
      </c>
      <c r="M1039" s="2" t="s">
        <v>12</v>
      </c>
      <c r="N1039" s="4">
        <f t="shared" si="1"/>
        <v>44302</v>
      </c>
      <c r="O1039" s="5" t="str">
        <f>IFERROR(__xludf.DUMMYFUNCTION("IF(REGEXMATCH(TRIM(I1039), ""^\d+\s*min""), ""Unclassified"", IF(I1039 = """", ""NR"", I1039))"),"TV-14")</f>
        <v>TV-14</v>
      </c>
      <c r="R1039" s="5" t="str">
        <f t="shared" si="2"/>
        <v>Tuesdays &amp; Fridays</v>
      </c>
      <c r="S1039" s="5" t="str">
        <f>IFERROR(__xludf.DUMMYFUNCTION("""COMPUTED_VALUE"""),"Black '47")</f>
        <v>Black '47</v>
      </c>
      <c r="U1039" s="5" t="str">
        <f>IFERROR(__xludf.DUMMYFUNCTION("""COMPUTED_VALUE"""),"Unjoo Moon")</f>
        <v>Unjoo Moon</v>
      </c>
      <c r="V1039" s="5" t="s">
        <v>495</v>
      </c>
      <c r="W1039" s="5" t="str">
        <f t="shared" si="3"/>
        <v>David Yarovesky</v>
      </c>
      <c r="X1039" s="5">
        <f t="shared" si="4"/>
        <v>1</v>
      </c>
      <c r="Y1039" s="5" t="str">
        <f>IFERROR(__xludf.DUMMYFUNCTION("REGEXEXTRACT(J1039, ""^\d+"")"),"106")</f>
        <v>106</v>
      </c>
      <c r="Z1039" s="5" t="str">
        <f>IFERROR(__xludf.DUMMYFUNCTION("REGEXEXTRACT(J1039, ""[A-Za-z ]+$"")")," min")</f>
        <v> min</v>
      </c>
      <c r="AA1039" s="5" t="str">
        <f>IFERROR(__xludf.DUMMYFUNCTION("IF(REGEXMATCH(Z1039, ""Season""), ""TV Show"", ""Movie"")"),"Movie")</f>
        <v>Movie</v>
      </c>
    </row>
    <row r="1040">
      <c r="A1040" s="1" t="s">
        <v>6198</v>
      </c>
      <c r="B1040" s="1" t="s">
        <v>37</v>
      </c>
      <c r="C1040" s="1" t="s">
        <v>6199</v>
      </c>
      <c r="G1040" s="1" t="s">
        <v>6200</v>
      </c>
      <c r="H1040" s="1">
        <v>2016.0</v>
      </c>
      <c r="I1040" s="1" t="s">
        <v>136</v>
      </c>
      <c r="J1040" s="1" t="s">
        <v>51</v>
      </c>
      <c r="K1040" s="1" t="s">
        <v>64</v>
      </c>
      <c r="L1040" s="1" t="s">
        <v>6201</v>
      </c>
      <c r="M1040" s="2" t="s">
        <v>12</v>
      </c>
      <c r="N1040" s="4">
        <f t="shared" si="1"/>
        <v>44301</v>
      </c>
      <c r="O1040" s="5" t="str">
        <f>IFERROR(__xludf.DUMMYFUNCTION("IF(REGEXMATCH(TRIM(I1040), ""^\d+\s*min""), ""Unclassified"", IF(I1040 = """", ""NR"", I1040))"),"TV-PG")</f>
        <v>TV-PG</v>
      </c>
      <c r="R1040" s="5" t="str">
        <f t="shared" si="2"/>
        <v>Dancing Angels</v>
      </c>
      <c r="S1040" s="5" t="str">
        <f>IFERROR(__xludf.DUMMYFUNCTION("""COMPUTED_VALUE"""),"Black &amp; Privileged: Volume 1")</f>
        <v>Black &amp; Privileged: Volume 1</v>
      </c>
      <c r="U1040" s="5" t="str">
        <f>IFERROR(__xludf.DUMMYFUNCTION("""COMPUTED_VALUE"""),"Gil Baroni")</f>
        <v>Gil Baroni</v>
      </c>
      <c r="V1040" s="5" t="s">
        <v>4418</v>
      </c>
      <c r="W1040" s="5" t="str">
        <f t="shared" si="3"/>
        <v>David Zeiger</v>
      </c>
      <c r="X1040" s="5">
        <f t="shared" si="4"/>
        <v>1</v>
      </c>
      <c r="Y1040" s="5" t="str">
        <f>IFERROR(__xludf.DUMMYFUNCTION("REGEXEXTRACT(J1040, ""^\d+"")"),"1")</f>
        <v>1</v>
      </c>
      <c r="Z1040" s="5" t="str">
        <f>IFERROR(__xludf.DUMMYFUNCTION("REGEXEXTRACT(J1040, ""[A-Za-z ]+$"")")," Season")</f>
        <v> Season</v>
      </c>
      <c r="AA1040" s="5" t="str">
        <f>IFERROR(__xludf.DUMMYFUNCTION("IF(REGEXMATCH(Z1040, ""Season""), ""TV Show"", ""Movie"")"),"TV Show")</f>
        <v>TV Show</v>
      </c>
    </row>
    <row r="1041">
      <c r="A1041" s="1" t="s">
        <v>6202</v>
      </c>
      <c r="B1041" s="1" t="s">
        <v>27</v>
      </c>
      <c r="C1041" s="1" t="s">
        <v>6203</v>
      </c>
      <c r="D1041" s="1" t="s">
        <v>6204</v>
      </c>
      <c r="E1041" s="1" t="s">
        <v>6205</v>
      </c>
      <c r="F1041" s="1" t="s">
        <v>30</v>
      </c>
      <c r="G1041" s="1" t="s">
        <v>6200</v>
      </c>
      <c r="H1041" s="1">
        <v>2020.0</v>
      </c>
      <c r="I1041" s="1" t="s">
        <v>42</v>
      </c>
      <c r="J1041" s="1" t="s">
        <v>2616</v>
      </c>
      <c r="K1041" s="1" t="s">
        <v>700</v>
      </c>
      <c r="L1041" s="1" t="s">
        <v>6206</v>
      </c>
      <c r="M1041" s="2" t="s">
        <v>12</v>
      </c>
      <c r="N1041" s="4">
        <f t="shared" si="1"/>
        <v>44301</v>
      </c>
      <c r="O1041" s="5" t="str">
        <f>IFERROR(__xludf.DUMMYFUNCTION("IF(REGEXMATCH(TRIM(I1041), ""^\d+\s*min""), ""Unclassified"", IF(I1041 = """", ""NR"", I1041))"),"TV-MA")</f>
        <v>TV-MA</v>
      </c>
      <c r="R1041" s="5" t="str">
        <f t="shared" si="2"/>
        <v>Dark City Beneath The Beat</v>
      </c>
      <c r="S1041" s="5" t="str">
        <f>IFERROR(__xludf.DUMMYFUNCTION("""COMPUTED_VALUE"""),"Black Beach")</f>
        <v>Black Beach</v>
      </c>
      <c r="U1041" s="5" t="str">
        <f>IFERROR(__xludf.DUMMYFUNCTION("""COMPUTED_VALUE"""),"Thierry Demaizière, Alban Teurlai")</f>
        <v>Thierry Demaizière, Alban Teurlai</v>
      </c>
      <c r="V1041" s="5" t="s">
        <v>1142</v>
      </c>
      <c r="W1041" s="5" t="str">
        <f t="shared" si="3"/>
        <v>David Zucker</v>
      </c>
      <c r="X1041" s="5">
        <f t="shared" si="4"/>
        <v>4</v>
      </c>
      <c r="Y1041" s="5" t="str">
        <f>IFERROR(__xludf.DUMMYFUNCTION("REGEXEXTRACT(J1041, ""^\d+"")"),"65")</f>
        <v>65</v>
      </c>
      <c r="Z1041" s="5" t="str">
        <f>IFERROR(__xludf.DUMMYFUNCTION("REGEXEXTRACT(J1041, ""[A-Za-z ]+$"")")," min")</f>
        <v> min</v>
      </c>
      <c r="AA1041" s="5" t="str">
        <f>IFERROR(__xludf.DUMMYFUNCTION("IF(REGEXMATCH(Z1041, ""Season""), ""TV Show"", ""Movie"")"),"Movie")</f>
        <v>Movie</v>
      </c>
    </row>
    <row r="1042">
      <c r="A1042" s="1" t="s">
        <v>6207</v>
      </c>
      <c r="B1042" s="1" t="s">
        <v>37</v>
      </c>
      <c r="C1042" s="1" t="s">
        <v>6208</v>
      </c>
      <c r="E1042" s="1" t="s">
        <v>6209</v>
      </c>
      <c r="F1042" s="1" t="s">
        <v>415</v>
      </c>
      <c r="G1042" s="1" t="s">
        <v>6200</v>
      </c>
      <c r="H1042" s="1">
        <v>2016.0</v>
      </c>
      <c r="I1042" s="1" t="s">
        <v>42</v>
      </c>
      <c r="J1042" s="1" t="s">
        <v>51</v>
      </c>
      <c r="K1042" s="1" t="s">
        <v>3858</v>
      </c>
      <c r="L1042" s="1" t="s">
        <v>6210</v>
      </c>
      <c r="M1042" s="2" t="s">
        <v>12</v>
      </c>
      <c r="N1042" s="4">
        <f t="shared" si="1"/>
        <v>44301</v>
      </c>
      <c r="O1042" s="5" t="str">
        <f>IFERROR(__xludf.DUMMYFUNCTION("IF(REGEXMATCH(TRIM(I1042), ""^\d+\s*min""), ""Unclassified"", IF(I1042 = """", ""NR"", I1042))"),"TV-MA")</f>
        <v>TV-MA</v>
      </c>
      <c r="R1042" s="5" t="str">
        <f t="shared" si="2"/>
        <v>Durarara!!</v>
      </c>
      <c r="S1042" s="5" t="str">
        <f>IFERROR(__xludf.DUMMYFUNCTION("""COMPUTED_VALUE"""),"Black Butler")</f>
        <v>Black Butler</v>
      </c>
      <c r="U1042" s="5" t="str">
        <f>IFERROR(__xludf.DUMMYFUNCTION("""COMPUTED_VALUE"""),"Glen Keane")</f>
        <v>Glen Keane</v>
      </c>
      <c r="V1042" s="5" t="s">
        <v>6211</v>
      </c>
      <c r="W1042" s="5" t="str">
        <f t="shared" si="3"/>
        <v>Davis Guggenheim</v>
      </c>
      <c r="X1042" s="5">
        <f t="shared" si="4"/>
        <v>2</v>
      </c>
      <c r="Y1042" s="5" t="str">
        <f>IFERROR(__xludf.DUMMYFUNCTION("REGEXEXTRACT(J1042, ""^\d+"")"),"1")</f>
        <v>1</v>
      </c>
      <c r="Z1042" s="5" t="str">
        <f>IFERROR(__xludf.DUMMYFUNCTION("REGEXEXTRACT(J1042, ""[A-Za-z ]+$"")")," Season")</f>
        <v> Season</v>
      </c>
      <c r="AA1042" s="5" t="str">
        <f>IFERROR(__xludf.DUMMYFUNCTION("IF(REGEXMATCH(Z1042, ""Season""), ""TV Show"", ""Movie"")"),"TV Show")</f>
        <v>TV Show</v>
      </c>
    </row>
    <row r="1043">
      <c r="A1043" s="1" t="s">
        <v>6212</v>
      </c>
      <c r="B1043" s="1" t="s">
        <v>27</v>
      </c>
      <c r="C1043" s="1" t="s">
        <v>6213</v>
      </c>
      <c r="D1043" s="1" t="s">
        <v>6214</v>
      </c>
      <c r="E1043" s="1" t="s">
        <v>6215</v>
      </c>
      <c r="F1043" s="1" t="s">
        <v>415</v>
      </c>
      <c r="G1043" s="1" t="s">
        <v>6200</v>
      </c>
      <c r="H1043" s="1">
        <v>2016.0</v>
      </c>
      <c r="I1043" s="1" t="s">
        <v>42</v>
      </c>
      <c r="J1043" s="1" t="s">
        <v>322</v>
      </c>
      <c r="K1043" s="1" t="s">
        <v>6216</v>
      </c>
      <c r="L1043" s="1" t="s">
        <v>6217</v>
      </c>
      <c r="M1043" s="2" t="s">
        <v>12</v>
      </c>
      <c r="N1043" s="4">
        <f t="shared" si="1"/>
        <v>44301</v>
      </c>
      <c r="O1043" s="5" t="str">
        <f>IFERROR(__xludf.DUMMYFUNCTION("IF(REGEXMATCH(TRIM(I1043), ""^\d+\s*min""), ""Unclassified"", IF(I1043 = """", ""NR"", I1043))"),"TV-MA")</f>
        <v>TV-MA</v>
      </c>
      <c r="R1043" s="5" t="str">
        <f t="shared" si="2"/>
        <v>Gantz:O</v>
      </c>
      <c r="S1043" s="5" t="str">
        <f>IFERROR(__xludf.DUMMYFUNCTION("""COMPUTED_VALUE"""),"Black Crows")</f>
        <v>Black Crows</v>
      </c>
      <c r="U1043" s="5" t="str">
        <f>IFERROR(__xludf.DUMMYFUNCTION("""COMPUTED_VALUE"""),"Chris Sivertson")</f>
        <v>Chris Sivertson</v>
      </c>
      <c r="V1043" s="5" t="s">
        <v>6218</v>
      </c>
      <c r="W1043" s="5" t="str">
        <f t="shared" si="3"/>
        <v>Dawn Porter</v>
      </c>
      <c r="X1043" s="5">
        <f t="shared" si="4"/>
        <v>1</v>
      </c>
      <c r="Y1043" s="5" t="str">
        <f>IFERROR(__xludf.DUMMYFUNCTION("REGEXEXTRACT(J1043, ""^\d+"")"),"96")</f>
        <v>96</v>
      </c>
      <c r="Z1043" s="5" t="str">
        <f>IFERROR(__xludf.DUMMYFUNCTION("REGEXEXTRACT(J1043, ""[A-Za-z ]+$"")")," min")</f>
        <v> min</v>
      </c>
      <c r="AA1043" s="5" t="str">
        <f>IFERROR(__xludf.DUMMYFUNCTION("IF(REGEXMATCH(Z1043, ""Season""), ""TV Show"", ""Movie"")"),"Movie")</f>
        <v>Movie</v>
      </c>
    </row>
    <row r="1044">
      <c r="A1044" s="1" t="s">
        <v>6219</v>
      </c>
      <c r="B1044" s="1" t="s">
        <v>37</v>
      </c>
      <c r="C1044" s="1" t="s">
        <v>6220</v>
      </c>
      <c r="D1044" s="1" t="s">
        <v>6221</v>
      </c>
      <c r="E1044" s="1" t="s">
        <v>6222</v>
      </c>
      <c r="F1044" s="1" t="s">
        <v>30</v>
      </c>
      <c r="G1044" s="1" t="s">
        <v>6200</v>
      </c>
      <c r="H1044" s="1">
        <v>2019.0</v>
      </c>
      <c r="I1044" s="1" t="s">
        <v>136</v>
      </c>
      <c r="J1044" s="1" t="s">
        <v>51</v>
      </c>
      <c r="K1044" s="1" t="s">
        <v>1261</v>
      </c>
      <c r="L1044" s="1" t="s">
        <v>6223</v>
      </c>
      <c r="M1044" s="2" t="s">
        <v>12</v>
      </c>
      <c r="N1044" s="4">
        <f t="shared" si="1"/>
        <v>44301</v>
      </c>
      <c r="O1044" s="5" t="str">
        <f>IFERROR(__xludf.DUMMYFUNCTION("IF(REGEXMATCH(TRIM(I1044), ""^\d+\s*min""), ""Unclassified"", IF(I1044 = """", ""NR"", I1044))"),"TV-PG")</f>
        <v>TV-PG</v>
      </c>
      <c r="R1044" s="5" t="str">
        <f t="shared" si="2"/>
        <v>Garth Brooks: The Road I’M On</v>
      </c>
      <c r="S1044" s="5" t="str">
        <f>IFERROR(__xludf.DUMMYFUNCTION("""COMPUTED_VALUE"""),"Black Earth Rising")</f>
        <v>Black Earth Rising</v>
      </c>
      <c r="U1044" s="5" t="str">
        <f>IFERROR(__xludf.DUMMYFUNCTION("""COMPUTED_VALUE"""),"Kief Davidson, Pedro Kos")</f>
        <v>Kief Davidson, Pedro Kos</v>
      </c>
      <c r="V1044" s="5" t="s">
        <v>6224</v>
      </c>
      <c r="W1044" s="5" t="str">
        <f t="shared" si="3"/>
        <v>Dean Craig</v>
      </c>
      <c r="X1044" s="5">
        <f t="shared" si="4"/>
        <v>1</v>
      </c>
      <c r="Y1044" s="5" t="str">
        <f>IFERROR(__xludf.DUMMYFUNCTION("REGEXEXTRACT(J1044, ""^\d+"")"),"1")</f>
        <v>1</v>
      </c>
      <c r="Z1044" s="5" t="str">
        <f>IFERROR(__xludf.DUMMYFUNCTION("REGEXEXTRACT(J1044, ""[A-Za-z ]+$"")")," Season")</f>
        <v> Season</v>
      </c>
      <c r="AA1044" s="5" t="str">
        <f>IFERROR(__xludf.DUMMYFUNCTION("IF(REGEXMATCH(Z1044, ""Season""), ""TV Show"", ""Movie"")"),"TV Show")</f>
        <v>TV Show</v>
      </c>
    </row>
    <row r="1045">
      <c r="A1045" s="1" t="s">
        <v>6225</v>
      </c>
      <c r="B1045" s="1" t="s">
        <v>37</v>
      </c>
      <c r="C1045" s="1" t="s">
        <v>6226</v>
      </c>
      <c r="E1045" s="1" t="s">
        <v>6227</v>
      </c>
      <c r="F1045" s="1" t="s">
        <v>30</v>
      </c>
      <c r="G1045" s="1" t="s">
        <v>6200</v>
      </c>
      <c r="H1045" s="1">
        <v>2006.0</v>
      </c>
      <c r="I1045" s="1" t="s">
        <v>97</v>
      </c>
      <c r="J1045" s="1" t="s">
        <v>1809</v>
      </c>
      <c r="K1045" s="1" t="s">
        <v>4634</v>
      </c>
      <c r="L1045" s="1" t="s">
        <v>6228</v>
      </c>
      <c r="M1045" s="2" t="s">
        <v>12</v>
      </c>
      <c r="N1045" s="4">
        <f t="shared" si="1"/>
        <v>44301</v>
      </c>
      <c r="O1045" s="5" t="str">
        <f>IFERROR(__xludf.DUMMYFUNCTION("IF(REGEXMATCH(TRIM(I1045), ""^\d+\s*min""), ""Unclassified"", IF(I1045 = """", ""NR"", I1045))"),"TV-14")</f>
        <v>TV-14</v>
      </c>
      <c r="R1045" s="5" t="str">
        <f t="shared" si="2"/>
        <v>Gilmore Girls</v>
      </c>
      <c r="S1045" s="5" t="str">
        <f>IFERROR(__xludf.DUMMYFUNCTION("""COMPUTED_VALUE"""),"Black Friday")</f>
        <v>Black Friday</v>
      </c>
      <c r="U1045" s="5" t="str">
        <f>IFERROR(__xludf.DUMMYFUNCTION("""COMPUTED_VALUE"""),"Jarand Herdal")</f>
        <v>Jarand Herdal</v>
      </c>
      <c r="V1045" s="5" t="s">
        <v>6229</v>
      </c>
      <c r="W1045" s="5" t="str">
        <f t="shared" si="3"/>
        <v>Dean Deblois</v>
      </c>
      <c r="X1045" s="5">
        <f t="shared" si="4"/>
        <v>1</v>
      </c>
      <c r="Y1045" s="5" t="str">
        <f>IFERROR(__xludf.DUMMYFUNCTION("REGEXEXTRACT(J1045, ""^\d+"")"),"7")</f>
        <v>7</v>
      </c>
      <c r="Z1045" s="5" t="str">
        <f>IFERROR(__xludf.DUMMYFUNCTION("REGEXEXTRACT(J1045, ""[A-Za-z ]+$"")")," Seasons")</f>
        <v> Seasons</v>
      </c>
      <c r="AA1045" s="5" t="str">
        <f>IFERROR(__xludf.DUMMYFUNCTION("IF(REGEXMATCH(Z1045, ""Season""), ""TV Show"", ""Movie"")"),"TV Show")</f>
        <v>TV Show</v>
      </c>
    </row>
    <row r="1046">
      <c r="A1046" s="1" t="s">
        <v>6230</v>
      </c>
      <c r="B1046" s="1" t="s">
        <v>37</v>
      </c>
      <c r="C1046" s="1" t="s">
        <v>6231</v>
      </c>
      <c r="E1046" s="1" t="s">
        <v>6232</v>
      </c>
      <c r="F1046" s="1" t="s">
        <v>415</v>
      </c>
      <c r="G1046" s="1" t="s">
        <v>6200</v>
      </c>
      <c r="H1046" s="1">
        <v>2021.0</v>
      </c>
      <c r="I1046" s="1" t="s">
        <v>42</v>
      </c>
      <c r="J1046" s="1" t="s">
        <v>51</v>
      </c>
      <c r="K1046" s="1" t="s">
        <v>2161</v>
      </c>
      <c r="L1046" s="1" t="s">
        <v>6233</v>
      </c>
      <c r="M1046" s="2" t="s">
        <v>12</v>
      </c>
      <c r="N1046" s="4">
        <f t="shared" si="1"/>
        <v>44301</v>
      </c>
      <c r="O1046" s="5" t="str">
        <f>IFERROR(__xludf.DUMMYFUNCTION("IF(REGEXMATCH(TRIM(I1046), ""^\d+\s*min""), ""Unclassified"", IF(I1046 = """", ""NR"", I1046))"),"TV-MA")</f>
        <v>TV-MA</v>
      </c>
      <c r="R1046" s="5" t="str">
        <f t="shared" si="2"/>
        <v>High-Rise Invasion</v>
      </c>
      <c r="S1046" s="5" t="str">
        <f>IFERROR(__xludf.DUMMYFUNCTION("""COMPUTED_VALUE"""),"Black Hawk Down")</f>
        <v>Black Hawk Down</v>
      </c>
      <c r="U1046" s="5" t="str">
        <f>IFERROR(__xludf.DUMMYFUNCTION("""COMPUTED_VALUE"""),"Dan Villegas")</f>
        <v>Dan Villegas</v>
      </c>
      <c r="V1046" s="5" t="s">
        <v>5599</v>
      </c>
      <c r="W1046" s="5" t="str">
        <f t="shared" si="3"/>
        <v>Dean Parisot</v>
      </c>
      <c r="X1046" s="5">
        <f t="shared" si="4"/>
        <v>1</v>
      </c>
      <c r="Y1046" s="5" t="str">
        <f>IFERROR(__xludf.DUMMYFUNCTION("REGEXEXTRACT(J1046, ""^\d+"")"),"1")</f>
        <v>1</v>
      </c>
      <c r="Z1046" s="5" t="str">
        <f>IFERROR(__xludf.DUMMYFUNCTION("REGEXEXTRACT(J1046, ""[A-Za-z ]+$"")")," Season")</f>
        <v> Season</v>
      </c>
      <c r="AA1046" s="5" t="str">
        <f>IFERROR(__xludf.DUMMYFUNCTION("IF(REGEXMATCH(Z1046, ""Season""), ""TV Show"", ""Movie"")"),"TV Show")</f>
        <v>TV Show</v>
      </c>
    </row>
    <row r="1047">
      <c r="A1047" s="1" t="s">
        <v>6234</v>
      </c>
      <c r="B1047" s="1" t="s">
        <v>37</v>
      </c>
      <c r="C1047" s="1" t="s">
        <v>6235</v>
      </c>
      <c r="E1047" s="1" t="s">
        <v>6236</v>
      </c>
      <c r="F1047" s="1" t="s">
        <v>30</v>
      </c>
      <c r="G1047" s="1" t="s">
        <v>6200</v>
      </c>
      <c r="H1047" s="1">
        <v>2020.0</v>
      </c>
      <c r="I1047" s="1" t="s">
        <v>97</v>
      </c>
      <c r="J1047" s="1" t="s">
        <v>51</v>
      </c>
      <c r="K1047" s="1" t="s">
        <v>440</v>
      </c>
      <c r="L1047" s="1" t="s">
        <v>6237</v>
      </c>
      <c r="M1047" s="2" t="s">
        <v>12</v>
      </c>
      <c r="N1047" s="4">
        <f t="shared" si="1"/>
        <v>44301</v>
      </c>
      <c r="O1047" s="5" t="str">
        <f>IFERROR(__xludf.DUMMYFUNCTION("IF(REGEXMATCH(TRIM(I1047), ""^\d+\s*min""), ""Unclassified"", IF(I1047 = """", ""NR"", I1047))"),"TV-14")</f>
        <v>TV-14</v>
      </c>
      <c r="R1047" s="5" t="str">
        <f t="shared" si="2"/>
        <v>Next In Fashion</v>
      </c>
      <c r="S1047" s="5" t="str">
        <f>IFERROR(__xludf.DUMMYFUNCTION("""COMPUTED_VALUE"""),"Black Heart")</f>
        <v>Black Heart</v>
      </c>
      <c r="U1047" s="5" t="str">
        <f>IFERROR(__xludf.DUMMYFUNCTION("""COMPUTED_VALUE"""),"Chris Foggin")</f>
        <v>Chris Foggin</v>
      </c>
      <c r="V1047" s="5" t="s">
        <v>6238</v>
      </c>
      <c r="W1047" s="5" t="str">
        <f t="shared" si="3"/>
        <v>Dean Wright</v>
      </c>
      <c r="X1047" s="5">
        <f t="shared" si="4"/>
        <v>1</v>
      </c>
      <c r="Y1047" s="5" t="str">
        <f>IFERROR(__xludf.DUMMYFUNCTION("REGEXEXTRACT(J1047, ""^\d+"")"),"1")</f>
        <v>1</v>
      </c>
      <c r="Z1047" s="5" t="str">
        <f>IFERROR(__xludf.DUMMYFUNCTION("REGEXEXTRACT(J1047, ""[A-Za-z ]+$"")")," Season")</f>
        <v> Season</v>
      </c>
      <c r="AA1047" s="5" t="str">
        <f>IFERROR(__xludf.DUMMYFUNCTION("IF(REGEXMATCH(Z1047, ""Season""), ""TV Show"", ""Movie"")"),"TV Show")</f>
        <v>TV Show</v>
      </c>
    </row>
    <row r="1048">
      <c r="A1048" s="1" t="s">
        <v>6239</v>
      </c>
      <c r="B1048" s="1" t="s">
        <v>27</v>
      </c>
      <c r="C1048" s="1" t="s">
        <v>6240</v>
      </c>
      <c r="D1048" s="1" t="s">
        <v>6241</v>
      </c>
      <c r="E1048" s="1" t="s">
        <v>6242</v>
      </c>
      <c r="F1048" s="1" t="s">
        <v>30</v>
      </c>
      <c r="G1048" s="1" t="s">
        <v>6200</v>
      </c>
      <c r="H1048" s="1">
        <v>2019.0</v>
      </c>
      <c r="I1048" s="1" t="s">
        <v>97</v>
      </c>
      <c r="J1048" s="1" t="s">
        <v>428</v>
      </c>
      <c r="K1048" s="1" t="s">
        <v>171</v>
      </c>
      <c r="L1048" s="1" t="s">
        <v>6243</v>
      </c>
      <c r="M1048" s="2" t="s">
        <v>12</v>
      </c>
      <c r="N1048" s="4">
        <f t="shared" si="1"/>
        <v>44301</v>
      </c>
      <c r="O1048" s="5" t="str">
        <f>IFERROR(__xludf.DUMMYFUNCTION("IF(REGEXMATCH(TRIM(I1048), ""^\d+\s*min""), ""Unclassified"", IF(I1048 = """", ""NR"", I1048))"),"TV-14")</f>
        <v>TV-14</v>
      </c>
      <c r="R1048" s="5" t="str">
        <f t="shared" si="2"/>
        <v>Only Mine</v>
      </c>
      <c r="S1048" s="5" t="str">
        <f>IFERROR(__xludf.DUMMYFUNCTION("""COMPUTED_VALUE"""),"Black Holes | The Edge Of All We Know")</f>
        <v>Black Holes | The Edge Of All We Know</v>
      </c>
      <c r="U1048" s="5" t="str">
        <f>IFERROR(__xludf.DUMMYFUNCTION("""COMPUTED_VALUE"""),"Kim Nguyen")</f>
        <v>Kim Nguyen</v>
      </c>
      <c r="V1048" s="5" t="s">
        <v>6244</v>
      </c>
      <c r="W1048" s="5" t="str">
        <f t="shared" si="3"/>
        <v>Deane Taylor</v>
      </c>
      <c r="X1048" s="5">
        <f t="shared" si="4"/>
        <v>1</v>
      </c>
      <c r="Y1048" s="5" t="str">
        <f>IFERROR(__xludf.DUMMYFUNCTION("REGEXEXTRACT(J1048, ""^\d+"")"),"88")</f>
        <v>88</v>
      </c>
      <c r="Z1048" s="5" t="str">
        <f>IFERROR(__xludf.DUMMYFUNCTION("REGEXEXTRACT(J1048, ""[A-Za-z ]+$"")")," min")</f>
        <v> min</v>
      </c>
      <c r="AA1048" s="5" t="str">
        <f>IFERROR(__xludf.DUMMYFUNCTION("IF(REGEXMATCH(Z1048, ""Season""), ""TV Show"", ""Movie"")"),"Movie")</f>
        <v>Movie</v>
      </c>
    </row>
    <row r="1049">
      <c r="A1049" s="1" t="s">
        <v>6245</v>
      </c>
      <c r="B1049" s="1" t="s">
        <v>37</v>
      </c>
      <c r="C1049" s="1" t="s">
        <v>6246</v>
      </c>
      <c r="E1049" s="1" t="s">
        <v>6247</v>
      </c>
      <c r="F1049" s="1" t="s">
        <v>3938</v>
      </c>
      <c r="G1049" s="1" t="s">
        <v>6200</v>
      </c>
      <c r="H1049" s="1">
        <v>2018.0</v>
      </c>
      <c r="I1049" s="1" t="s">
        <v>97</v>
      </c>
      <c r="J1049" s="1" t="s">
        <v>51</v>
      </c>
      <c r="K1049" s="1" t="s">
        <v>402</v>
      </c>
      <c r="L1049" s="1" t="s">
        <v>6248</v>
      </c>
      <c r="M1049" s="2" t="s">
        <v>12</v>
      </c>
      <c r="N1049" s="4">
        <f t="shared" si="1"/>
        <v>44301</v>
      </c>
      <c r="O1049" s="5" t="str">
        <f>IFERROR(__xludf.DUMMYFUNCTION("IF(REGEXMATCH(TRIM(I1049), ""^\d+\s*min""), ""Unclassified"", IF(I1049 = """", ""NR"", I1049))"),"TV-14")</f>
        <v>TV-14</v>
      </c>
      <c r="R1049" s="5" t="str">
        <f t="shared" si="2"/>
        <v>Peasants Rebellion</v>
      </c>
      <c r="S1049" s="5" t="str">
        <f>IFERROR(__xludf.DUMMYFUNCTION("""COMPUTED_VALUE"""),"Black Ink Crew New York")</f>
        <v>Black Ink Crew New York</v>
      </c>
      <c r="U1049" s="5" t="str">
        <f>IFERROR(__xludf.DUMMYFUNCTION("""COMPUTED_VALUE"""),"Karen Maine")</f>
        <v>Karen Maine</v>
      </c>
      <c r="V1049" s="5" t="s">
        <v>6249</v>
      </c>
      <c r="W1049" s="5" t="str">
        <f t="shared" si="3"/>
        <v>Debaloy Dey</v>
      </c>
      <c r="X1049" s="5">
        <f t="shared" si="4"/>
        <v>1</v>
      </c>
      <c r="Y1049" s="5" t="str">
        <f>IFERROR(__xludf.DUMMYFUNCTION("REGEXEXTRACT(J1049, ""^\d+"")"),"1")</f>
        <v>1</v>
      </c>
      <c r="Z1049" s="5" t="str">
        <f>IFERROR(__xludf.DUMMYFUNCTION("REGEXEXTRACT(J1049, ""[A-Za-z ]+$"")")," Season")</f>
        <v> Season</v>
      </c>
      <c r="AA1049" s="5" t="str">
        <f>IFERROR(__xludf.DUMMYFUNCTION("IF(REGEXMATCH(Z1049, ""Season""), ""TV Show"", ""Movie"")"),"TV Show")</f>
        <v>TV Show</v>
      </c>
    </row>
    <row r="1050">
      <c r="A1050" s="1" t="s">
        <v>6250</v>
      </c>
      <c r="B1050" s="1" t="s">
        <v>37</v>
      </c>
      <c r="C1050" s="1" t="s">
        <v>6251</v>
      </c>
      <c r="E1050" s="1" t="s">
        <v>6252</v>
      </c>
      <c r="F1050" s="1" t="s">
        <v>2321</v>
      </c>
      <c r="G1050" s="1" t="s">
        <v>6200</v>
      </c>
      <c r="H1050" s="1">
        <v>2020.0</v>
      </c>
      <c r="I1050" s="1" t="s">
        <v>206</v>
      </c>
      <c r="J1050" s="1" t="s">
        <v>276</v>
      </c>
      <c r="K1050" s="1" t="s">
        <v>290</v>
      </c>
      <c r="L1050" s="1" t="s">
        <v>6253</v>
      </c>
      <c r="M1050" s="2" t="s">
        <v>12</v>
      </c>
      <c r="N1050" s="4">
        <f t="shared" si="1"/>
        <v>44301</v>
      </c>
      <c r="O1050" s="5" t="str">
        <f>IFERROR(__xludf.DUMMYFUNCTION("IF(REGEXMATCH(TRIM(I1050), ""^\d+\s*min""), ""Unclassified"", IF(I1050 = """", ""NR"", I1050))"),"TV-Y")</f>
        <v>TV-Y</v>
      </c>
      <c r="R1050" s="5" t="str">
        <f t="shared" si="2"/>
        <v>Power Players</v>
      </c>
      <c r="S1050" s="5" t="str">
        <f>IFERROR(__xludf.DUMMYFUNCTION("""COMPUTED_VALUE"""),"Black Is Beltza")</f>
        <v>Black Is Beltza</v>
      </c>
      <c r="U1050" s="5" t="str">
        <f>IFERROR(__xludf.DUMMYFUNCTION("""COMPUTED_VALUE"""),"Tim Neeves")</f>
        <v>Tim Neeves</v>
      </c>
      <c r="V1050" s="5" t="s">
        <v>6254</v>
      </c>
      <c r="W1050" s="5" t="str">
        <f t="shared" si="3"/>
        <v>Debamitra Biswal</v>
      </c>
      <c r="X1050" s="5">
        <f t="shared" si="4"/>
        <v>1</v>
      </c>
      <c r="Y1050" s="5" t="str">
        <f>IFERROR(__xludf.DUMMYFUNCTION("REGEXEXTRACT(J1050, ""^\d+"")"),"3")</f>
        <v>3</v>
      </c>
      <c r="Z1050" s="5" t="str">
        <f>IFERROR(__xludf.DUMMYFUNCTION("REGEXEXTRACT(J1050, ""[A-Za-z ]+$"")")," Seasons")</f>
        <v> Seasons</v>
      </c>
      <c r="AA1050" s="5" t="str">
        <f>IFERROR(__xludf.DUMMYFUNCTION("IF(REGEXMATCH(Z1050, ""Season""), ""TV Show"", ""Movie"")"),"TV Show")</f>
        <v>TV Show</v>
      </c>
    </row>
    <row r="1051">
      <c r="A1051" s="1" t="s">
        <v>6255</v>
      </c>
      <c r="B1051" s="1" t="s">
        <v>37</v>
      </c>
      <c r="C1051" s="1" t="s">
        <v>6256</v>
      </c>
      <c r="E1051" s="1" t="s">
        <v>6257</v>
      </c>
      <c r="F1051" s="1" t="s">
        <v>6258</v>
      </c>
      <c r="G1051" s="1" t="s">
        <v>6200</v>
      </c>
      <c r="H1051" s="1">
        <v>2019.0</v>
      </c>
      <c r="I1051" s="1" t="s">
        <v>206</v>
      </c>
      <c r="J1051" s="1" t="s">
        <v>51</v>
      </c>
      <c r="K1051" s="1" t="s">
        <v>712</v>
      </c>
      <c r="L1051" s="1" t="s">
        <v>6259</v>
      </c>
      <c r="M1051" s="2" t="s">
        <v>12</v>
      </c>
      <c r="N1051" s="4">
        <f t="shared" si="1"/>
        <v>44301</v>
      </c>
      <c r="O1051" s="5" t="str">
        <f>IFERROR(__xludf.DUMMYFUNCTION("IF(REGEXMATCH(TRIM(I1051), ""^\d+\s*min""), ""Unclassified"", IF(I1051 = """", ""NR"", I1051))"),"TV-Y")</f>
        <v>TV-Y</v>
      </c>
      <c r="R1051" s="5" t="str">
        <f t="shared" si="2"/>
        <v>Ricky Zoom</v>
      </c>
      <c r="S1051" s="5" t="str">
        <f>IFERROR(__xludf.DUMMYFUNCTION("""COMPUTED_VALUE"""),"Black Island")</f>
        <v>Black Island</v>
      </c>
      <c r="U1051" s="5" t="str">
        <f>IFERROR(__xludf.DUMMYFUNCTION("""COMPUTED_VALUE"""),"Ben Wheatley")</f>
        <v>Ben Wheatley</v>
      </c>
      <c r="V1051" s="5" t="s">
        <v>6260</v>
      </c>
      <c r="W1051" s="5" t="str">
        <f t="shared" si="3"/>
        <v>Debbie Allen</v>
      </c>
      <c r="X1051" s="5">
        <f t="shared" si="4"/>
        <v>1</v>
      </c>
      <c r="Y1051" s="5" t="str">
        <f>IFERROR(__xludf.DUMMYFUNCTION("REGEXEXTRACT(J1051, ""^\d+"")"),"1")</f>
        <v>1</v>
      </c>
      <c r="Z1051" s="5" t="str">
        <f>IFERROR(__xludf.DUMMYFUNCTION("REGEXEXTRACT(J1051, ""[A-Za-z ]+$"")")," Season")</f>
        <v> Season</v>
      </c>
      <c r="AA1051" s="5" t="str">
        <f>IFERROR(__xludf.DUMMYFUNCTION("IF(REGEXMATCH(Z1051, ""Season""), ""TV Show"", ""Movie"")"),"TV Show")</f>
        <v>TV Show</v>
      </c>
    </row>
    <row r="1052">
      <c r="A1052" s="1" t="s">
        <v>6261</v>
      </c>
      <c r="B1052" s="1" t="s">
        <v>27</v>
      </c>
      <c r="C1052" s="1" t="s">
        <v>6262</v>
      </c>
      <c r="D1052" s="1" t="s">
        <v>6263</v>
      </c>
      <c r="E1052" s="1" t="s">
        <v>6264</v>
      </c>
      <c r="F1052" s="1" t="s">
        <v>415</v>
      </c>
      <c r="G1052" s="1" t="s">
        <v>6200</v>
      </c>
      <c r="H1052" s="1">
        <v>2021.0</v>
      </c>
      <c r="I1052" s="1" t="s">
        <v>42</v>
      </c>
      <c r="J1052" s="1" t="s">
        <v>820</v>
      </c>
      <c r="K1052" s="1" t="s">
        <v>4958</v>
      </c>
      <c r="L1052" s="1" t="s">
        <v>6265</v>
      </c>
      <c r="M1052" s="2" t="s">
        <v>12</v>
      </c>
      <c r="N1052" s="4">
        <f t="shared" si="1"/>
        <v>44301</v>
      </c>
      <c r="O1052" s="5" t="str">
        <f>IFERROR(__xludf.DUMMYFUNCTION("IF(REGEXMATCH(TRIM(I1052), ""^\d+\s*min""), ""Unclassified"", IF(I1052 = """", ""NR"", I1052))"),"TV-MA")</f>
        <v>TV-MA</v>
      </c>
      <c r="R1052" s="5" t="str">
        <f t="shared" si="2"/>
        <v>Ride Or Die</v>
      </c>
      <c r="S1052" s="5" t="str">
        <f>IFERROR(__xludf.DUMMYFUNCTION("""COMPUTED_VALUE"""),"Black Lightning")</f>
        <v>Black Lightning</v>
      </c>
      <c r="U1052" s="5" t="str">
        <f>IFERROR(__xludf.DUMMYFUNCTION("""COMPUTED_VALUE"""),"Maroun Baghdadi")</f>
        <v>Maroun Baghdadi</v>
      </c>
      <c r="V1052" s="5" t="s">
        <v>6266</v>
      </c>
      <c r="W1052" s="5" t="str">
        <f t="shared" si="3"/>
        <v>Debra Granik</v>
      </c>
      <c r="X1052" s="5">
        <f t="shared" si="4"/>
        <v>1</v>
      </c>
      <c r="Y1052" s="5" t="str">
        <f>IFERROR(__xludf.DUMMYFUNCTION("REGEXEXTRACT(J1052, ""^\d+"")"),"143")</f>
        <v>143</v>
      </c>
      <c r="Z1052" s="5" t="str">
        <f>IFERROR(__xludf.DUMMYFUNCTION("REGEXEXTRACT(J1052, ""[A-Za-z ]+$"")")," min")</f>
        <v> min</v>
      </c>
      <c r="AA1052" s="5" t="str">
        <f>IFERROR(__xludf.DUMMYFUNCTION("IF(REGEXMATCH(Z1052, ""Season""), ""TV Show"", ""Movie"")"),"Movie")</f>
        <v>Movie</v>
      </c>
    </row>
    <row r="1053">
      <c r="A1053" s="1" t="s">
        <v>6267</v>
      </c>
      <c r="B1053" s="1" t="s">
        <v>37</v>
      </c>
      <c r="C1053" s="1" t="s">
        <v>6268</v>
      </c>
      <c r="E1053" s="1" t="s">
        <v>6269</v>
      </c>
      <c r="F1053" s="1" t="s">
        <v>415</v>
      </c>
      <c r="G1053" s="1" t="s">
        <v>6200</v>
      </c>
      <c r="H1053" s="1">
        <v>2003.0</v>
      </c>
      <c r="I1053" s="1" t="s">
        <v>289</v>
      </c>
      <c r="J1053" s="1" t="s">
        <v>43</v>
      </c>
      <c r="K1053" s="1" t="s">
        <v>623</v>
      </c>
      <c r="L1053" s="1" t="s">
        <v>6270</v>
      </c>
      <c r="M1053" s="2" t="s">
        <v>12</v>
      </c>
      <c r="N1053" s="4">
        <f t="shared" si="1"/>
        <v>44301</v>
      </c>
      <c r="O1053" s="5" t="str">
        <f>IFERROR(__xludf.DUMMYFUNCTION("IF(REGEXMATCH(TRIM(I1053), ""^\d+\s*min""), ""Unclassified"", IF(I1053 = """", ""NR"", I1053))"),"TV-Y7")</f>
        <v>TV-Y7</v>
      </c>
      <c r="R1053" s="5" t="str">
        <f t="shared" si="2"/>
        <v>Sonic X</v>
      </c>
      <c r="S1053" s="5" t="str">
        <f>IFERROR(__xludf.DUMMYFUNCTION("""COMPUTED_VALUE"""),"Black Man White Skin")</f>
        <v>Black Man White Skin</v>
      </c>
      <c r="U1053" s="5" t="str">
        <f>IFERROR(__xludf.DUMMYFUNCTION("""COMPUTED_VALUE"""),"Philippe Aractingi")</f>
        <v>Philippe Aractingi</v>
      </c>
      <c r="V1053" s="5" t="s">
        <v>6271</v>
      </c>
      <c r="W1053" s="5" t="str">
        <f t="shared" si="3"/>
        <v>Dee Rees</v>
      </c>
      <c r="X1053" s="5">
        <f t="shared" si="4"/>
        <v>2</v>
      </c>
      <c r="Y1053" s="5" t="str">
        <f>IFERROR(__xludf.DUMMYFUNCTION("REGEXEXTRACT(J1053, ""^\d+"")"),"2")</f>
        <v>2</v>
      </c>
      <c r="Z1053" s="5" t="str">
        <f>IFERROR(__xludf.DUMMYFUNCTION("REGEXEXTRACT(J1053, ""[A-Za-z ]+$"")")," Seasons")</f>
        <v> Seasons</v>
      </c>
      <c r="AA1053" s="5" t="str">
        <f>IFERROR(__xludf.DUMMYFUNCTION("IF(REGEXMATCH(Z1053, ""Season""), ""TV Show"", ""Movie"")"),"TV Show")</f>
        <v>TV Show</v>
      </c>
    </row>
    <row r="1054">
      <c r="A1054" s="1" t="s">
        <v>6272</v>
      </c>
      <c r="B1054" s="1" t="s">
        <v>27</v>
      </c>
      <c r="C1054" s="1" t="s">
        <v>6273</v>
      </c>
      <c r="D1054" s="1" t="s">
        <v>2222</v>
      </c>
      <c r="E1054" s="1" t="s">
        <v>6274</v>
      </c>
      <c r="F1054" s="1" t="s">
        <v>30</v>
      </c>
      <c r="G1054" s="1" t="s">
        <v>6200</v>
      </c>
      <c r="H1054" s="1">
        <v>2012.0</v>
      </c>
      <c r="I1054" s="1" t="s">
        <v>378</v>
      </c>
      <c r="J1054" s="1" t="s">
        <v>4242</v>
      </c>
      <c r="K1054" s="1" t="s">
        <v>1320</v>
      </c>
      <c r="L1054" s="1" t="s">
        <v>6275</v>
      </c>
      <c r="M1054" s="2" t="s">
        <v>12</v>
      </c>
      <c r="N1054" s="4">
        <f t="shared" si="1"/>
        <v>44301</v>
      </c>
      <c r="O1054" s="5" t="str">
        <f>IFERROR(__xludf.DUMMYFUNCTION("IF(REGEXMATCH(TRIM(I1054), ""^\d+\s*min""), ""Unclassified"", IF(I1054 = """", ""NR"", I1054))"),"R")</f>
        <v>R</v>
      </c>
      <c r="R1054" s="5" t="str">
        <f t="shared" si="2"/>
        <v>The Master</v>
      </c>
      <c r="S1054" s="5" t="str">
        <f>IFERROR(__xludf.DUMMYFUNCTION("""COMPUTED_VALUE"""),"Black Mirror")</f>
        <v>Black Mirror</v>
      </c>
      <c r="U1054" s="5" t="str">
        <f>IFERROR(__xludf.DUMMYFUNCTION("""COMPUTED_VALUE"""),"Amin Dora")</f>
        <v>Amin Dora</v>
      </c>
      <c r="V1054" s="5" t="s">
        <v>6276</v>
      </c>
      <c r="W1054" s="5" t="str">
        <f t="shared" si="3"/>
        <v>Deep Joshi</v>
      </c>
      <c r="X1054" s="5">
        <f t="shared" si="4"/>
        <v>1</v>
      </c>
      <c r="Y1054" s="5" t="str">
        <f>IFERROR(__xludf.DUMMYFUNCTION("REGEXEXTRACT(J1054, ""^\d+"")"),"137")</f>
        <v>137</v>
      </c>
      <c r="Z1054" s="5" t="str">
        <f>IFERROR(__xludf.DUMMYFUNCTION("REGEXEXTRACT(J1054, ""[A-Za-z ]+$"")")," min")</f>
        <v> min</v>
      </c>
      <c r="AA1054" s="5" t="str">
        <f>IFERROR(__xludf.DUMMYFUNCTION("IF(REGEXMATCH(Z1054, ""Season""), ""TV Show"", ""Movie"")"),"Movie")</f>
        <v>Movie</v>
      </c>
    </row>
    <row r="1055">
      <c r="A1055" s="1" t="s">
        <v>6277</v>
      </c>
      <c r="B1055" s="1" t="s">
        <v>27</v>
      </c>
      <c r="C1055" s="1" t="s">
        <v>6278</v>
      </c>
      <c r="D1055" s="1" t="s">
        <v>6279</v>
      </c>
      <c r="E1055" s="1" t="s">
        <v>6280</v>
      </c>
      <c r="F1055" s="1" t="s">
        <v>30</v>
      </c>
      <c r="G1055" s="1" t="s">
        <v>6200</v>
      </c>
      <c r="H1055" s="1">
        <v>2014.0</v>
      </c>
      <c r="I1055" s="1" t="s">
        <v>42</v>
      </c>
      <c r="J1055" s="1" t="s">
        <v>6281</v>
      </c>
      <c r="K1055" s="1" t="s">
        <v>700</v>
      </c>
      <c r="L1055" s="1" t="s">
        <v>6282</v>
      </c>
      <c r="M1055" s="2" t="s">
        <v>12</v>
      </c>
      <c r="N1055" s="4">
        <f t="shared" si="1"/>
        <v>44301</v>
      </c>
      <c r="O1055" s="5" t="str">
        <f>IFERROR(__xludf.DUMMYFUNCTION("IF(REGEXMATCH(TRIM(I1055), ""^\d+\s*min""), ""Unclassified"", IF(I1055 = """", ""NR"", I1055))"),"TV-MA")</f>
        <v>TV-MA</v>
      </c>
      <c r="R1055" s="5" t="str">
        <f t="shared" si="2"/>
        <v>Time Is Illmatic</v>
      </c>
      <c r="S1055" s="5" t="str">
        <f>IFERROR(__xludf.DUMMYFUNCTION("""COMPUTED_VALUE"""),"Black Mirror: Bandersnatch")</f>
        <v>Black Mirror: Bandersnatch</v>
      </c>
      <c r="U1055" s="5" t="str">
        <f>IFERROR(__xludf.DUMMYFUNCTION("""COMPUTED_VALUE"""),"Rana Eid")</f>
        <v>Rana Eid</v>
      </c>
      <c r="V1055" s="5" t="s">
        <v>6283</v>
      </c>
      <c r="W1055" s="5" t="str">
        <f t="shared" si="3"/>
        <v>Deepa Mehta</v>
      </c>
      <c r="X1055" s="5">
        <f t="shared" si="4"/>
        <v>1</v>
      </c>
      <c r="Y1055" s="5" t="str">
        <f>IFERROR(__xludf.DUMMYFUNCTION("REGEXEXTRACT(J1055, ""^\d+"")"),"75")</f>
        <v>75</v>
      </c>
      <c r="Z1055" s="5" t="str">
        <f>IFERROR(__xludf.DUMMYFUNCTION("REGEXEXTRACT(J1055, ""[A-Za-z ]+$"")")," min")</f>
        <v> min</v>
      </c>
      <c r="AA1055" s="5" t="str">
        <f>IFERROR(__xludf.DUMMYFUNCTION("IF(REGEXMATCH(Z1055, ""Season""), ""TV Show"", ""Movie"")"),"Movie")</f>
        <v>Movie</v>
      </c>
    </row>
    <row r="1056">
      <c r="A1056" s="1" t="s">
        <v>6284</v>
      </c>
      <c r="B1056" s="1" t="s">
        <v>27</v>
      </c>
      <c r="C1056" s="1" t="s">
        <v>6285</v>
      </c>
      <c r="D1056" s="1" t="s">
        <v>532</v>
      </c>
      <c r="E1056" s="1" t="s">
        <v>6286</v>
      </c>
      <c r="G1056" s="1" t="s">
        <v>6200</v>
      </c>
      <c r="H1056" s="1">
        <v>2020.0</v>
      </c>
      <c r="I1056" s="1" t="s">
        <v>97</v>
      </c>
      <c r="J1056" s="1" t="s">
        <v>5650</v>
      </c>
      <c r="K1056" s="1" t="s">
        <v>2892</v>
      </c>
      <c r="L1056" s="1" t="s">
        <v>6287</v>
      </c>
      <c r="M1056" s="2" t="s">
        <v>12</v>
      </c>
      <c r="N1056" s="4">
        <f t="shared" si="1"/>
        <v>44301</v>
      </c>
      <c r="O1056" s="5" t="str">
        <f>IFERROR(__xludf.DUMMYFUNCTION("IF(REGEXMATCH(TRIM(I1056), ""^\d+\s*min""), ""Unclassified"", IF(I1056 = """", ""NR"", I1056))"),"TV-14")</f>
        <v>TV-14</v>
      </c>
      <c r="R1056" s="5" t="str">
        <f t="shared" si="2"/>
        <v>Wave Of Cinema: One Day We'Ll Talk About Today</v>
      </c>
      <c r="S1056" s="5" t="str">
        <f>IFERROR(__xludf.DUMMYFUNCTION("""COMPUTED_VALUE"""),"Black Money Love")</f>
        <v>Black Money Love</v>
      </c>
      <c r="U1056" s="5" t="str">
        <f>IFERROR(__xludf.DUMMYFUNCTION("""COMPUTED_VALUE"""),"Daniel Joseph")</f>
        <v>Daniel Joseph</v>
      </c>
      <c r="V1056" s="5" t="s">
        <v>6288</v>
      </c>
      <c r="W1056" s="5" t="str">
        <f t="shared" si="3"/>
        <v>Deepika Narayan Bhardwaj</v>
      </c>
      <c r="X1056" s="5">
        <f t="shared" si="4"/>
        <v>1</v>
      </c>
      <c r="Y1056" s="5" t="str">
        <f>IFERROR(__xludf.DUMMYFUNCTION("REGEXEXTRACT(J1056, ""^\d+"")"),"71")</f>
        <v>71</v>
      </c>
      <c r="Z1056" s="5" t="str">
        <f>IFERROR(__xludf.DUMMYFUNCTION("REGEXEXTRACT(J1056, ""[A-Za-z ]+$"")")," min")</f>
        <v> min</v>
      </c>
      <c r="AA1056" s="5" t="str">
        <f>IFERROR(__xludf.DUMMYFUNCTION("IF(REGEXMATCH(Z1056, ""Season""), ""TV Show"", ""Movie"")"),"Movie")</f>
        <v>Movie</v>
      </c>
    </row>
    <row r="1057">
      <c r="A1057" s="1" t="s">
        <v>6289</v>
      </c>
      <c r="B1057" s="1" t="s">
        <v>27</v>
      </c>
      <c r="C1057" s="1" t="s">
        <v>6290</v>
      </c>
      <c r="D1057" s="1" t="s">
        <v>6291</v>
      </c>
      <c r="E1057" s="1" t="s">
        <v>6292</v>
      </c>
      <c r="F1057" s="1" t="s">
        <v>30</v>
      </c>
      <c r="G1057" s="1" t="s">
        <v>6200</v>
      </c>
      <c r="H1057" s="1">
        <v>1981.0</v>
      </c>
      <c r="I1057" s="1" t="s">
        <v>378</v>
      </c>
      <c r="J1057" s="1" t="s">
        <v>238</v>
      </c>
      <c r="K1057" s="1" t="s">
        <v>6293</v>
      </c>
      <c r="L1057" s="1" t="s">
        <v>6294</v>
      </c>
      <c r="M1057" s="2" t="s">
        <v>12</v>
      </c>
      <c r="N1057" s="4">
        <f t="shared" si="1"/>
        <v>44301</v>
      </c>
      <c r="O1057" s="5" t="str">
        <f>IFERROR(__xludf.DUMMYFUNCTION("IF(REGEXMATCH(TRIM(I1057), ""^\d+\s*min""), ""Unclassified"", IF(I1057 = """", ""NR"", I1057))"),"R")</f>
        <v>R</v>
      </c>
      <c r="R1057" s="5" t="str">
        <f t="shared" si="2"/>
        <v>Zoot Suit</v>
      </c>
      <c r="S1057" s="5" t="str">
        <f>IFERROR(__xludf.DUMMYFUNCTION("""COMPUTED_VALUE"""),"Black Or White")</f>
        <v>Black Or White</v>
      </c>
      <c r="U1057" s="5" t="str">
        <f>IFERROR(__xludf.DUMMYFUNCTION("""COMPUTED_VALUE"""),"Randa Chahal Sabbag")</f>
        <v>Randa Chahal Sabbag</v>
      </c>
      <c r="V1057" s="5" t="s">
        <v>6295</v>
      </c>
      <c r="W1057" s="5" t="str">
        <f t="shared" si="3"/>
        <v>Deepti Naval</v>
      </c>
      <c r="X1057" s="5">
        <f t="shared" si="4"/>
        <v>1</v>
      </c>
      <c r="Y1057" s="5" t="str">
        <f>IFERROR(__xludf.DUMMYFUNCTION("REGEXEXTRACT(J1057, ""^\d+"")"),"103")</f>
        <v>103</v>
      </c>
      <c r="Z1057" s="5" t="str">
        <f>IFERROR(__xludf.DUMMYFUNCTION("REGEXEXTRACT(J1057, ""[A-Za-z ]+$"")")," min")</f>
        <v> min</v>
      </c>
      <c r="AA1057" s="5" t="str">
        <f>IFERROR(__xludf.DUMMYFUNCTION("IF(REGEXMATCH(Z1057, ""Season""), ""TV Show"", ""Movie"")"),"Movie")</f>
        <v>Movie</v>
      </c>
    </row>
    <row r="1058">
      <c r="A1058" s="1" t="s">
        <v>6296</v>
      </c>
      <c r="B1058" s="1" t="s">
        <v>37</v>
      </c>
      <c r="C1058" s="1" t="s">
        <v>6297</v>
      </c>
      <c r="G1058" s="1" t="s">
        <v>6298</v>
      </c>
      <c r="H1058" s="1">
        <v>2015.0</v>
      </c>
      <c r="I1058" s="1" t="s">
        <v>136</v>
      </c>
      <c r="J1058" s="1" t="s">
        <v>51</v>
      </c>
      <c r="K1058" s="1" t="s">
        <v>402</v>
      </c>
      <c r="L1058" s="1" t="s">
        <v>6299</v>
      </c>
      <c r="M1058" s="2" t="s">
        <v>12</v>
      </c>
      <c r="N1058" s="4">
        <f t="shared" si="1"/>
        <v>44300</v>
      </c>
      <c r="O1058" s="5" t="str">
        <f>IFERROR(__xludf.DUMMYFUNCTION("IF(REGEXMATCH(TRIM(I1058), ""^\d+\s*min""), ""Unclassified"", IF(I1058 = """", ""NR"", I1058))"),"TV-PG")</f>
        <v>TV-PG</v>
      </c>
      <c r="R1058" s="5" t="str">
        <f t="shared" si="2"/>
        <v>Ajaibnya Cinta</v>
      </c>
      <c r="S1058" s="5" t="str">
        <f>IFERROR(__xludf.DUMMYFUNCTION("""COMPUTED_VALUE"""),"Black Panther")</f>
        <v>Black Panther</v>
      </c>
      <c r="U1058" s="5" t="str">
        <f>IFERROR(__xludf.DUMMYFUNCTION("""COMPUTED_VALUE"""),"Ziad Doueiri")</f>
        <v>Ziad Doueiri</v>
      </c>
      <c r="V1058" s="5" t="s">
        <v>6300</v>
      </c>
      <c r="W1058" s="5" t="str">
        <f t="shared" si="3"/>
        <v>Dejan Zečević</v>
      </c>
      <c r="X1058" s="5">
        <f t="shared" si="4"/>
        <v>1</v>
      </c>
      <c r="Y1058" s="5" t="str">
        <f>IFERROR(__xludf.DUMMYFUNCTION("REGEXEXTRACT(J1058, ""^\d+"")"),"1")</f>
        <v>1</v>
      </c>
      <c r="Z1058" s="5" t="str">
        <f>IFERROR(__xludf.DUMMYFUNCTION("REGEXEXTRACT(J1058, ""[A-Za-z ]+$"")")," Season")</f>
        <v> Season</v>
      </c>
      <c r="AA1058" s="5" t="str">
        <f>IFERROR(__xludf.DUMMYFUNCTION("IF(REGEXMATCH(Z1058, ""Season""), ""TV Show"", ""Movie"")"),"TV Show")</f>
        <v>TV Show</v>
      </c>
    </row>
    <row r="1059">
      <c r="A1059" s="1" t="s">
        <v>6301</v>
      </c>
      <c r="B1059" s="1" t="s">
        <v>37</v>
      </c>
      <c r="C1059" s="1" t="s">
        <v>6302</v>
      </c>
      <c r="E1059" s="1" t="s">
        <v>6303</v>
      </c>
      <c r="F1059" s="1" t="s">
        <v>30</v>
      </c>
      <c r="G1059" s="1" t="s">
        <v>6298</v>
      </c>
      <c r="H1059" s="1">
        <v>2021.0</v>
      </c>
      <c r="I1059" s="1" t="s">
        <v>97</v>
      </c>
      <c r="J1059" s="1" t="s">
        <v>51</v>
      </c>
      <c r="K1059" s="1" t="s">
        <v>270</v>
      </c>
      <c r="L1059" s="1" t="s">
        <v>6304</v>
      </c>
      <c r="M1059" s="2" t="s">
        <v>12</v>
      </c>
      <c r="N1059" s="4">
        <f t="shared" si="1"/>
        <v>44300</v>
      </c>
      <c r="O1059" s="5" t="str">
        <f>IFERROR(__xludf.DUMMYFUNCTION("IF(REGEXMATCH(TRIM(I1059), ""^\d+\s*min""), ""Unclassified"", IF(I1059 = """", ""NR"", I1059))"),"TV-14")</f>
        <v>TV-14</v>
      </c>
      <c r="R1059" s="5" t="str">
        <f t="shared" si="2"/>
        <v>Dad Stop Embarrassing Me!</v>
      </c>
      <c r="S1059" s="5" t="str">
        <f>IFERROR(__xludf.DUMMYFUNCTION("""COMPUTED_VALUE"""),"Black Rose")</f>
        <v>Black Rose</v>
      </c>
      <c r="U1059" s="5" t="str">
        <f>IFERROR(__xludf.DUMMYFUNCTION("""COMPUTED_VALUE"""),"Shady Hanna")</f>
        <v>Shady Hanna</v>
      </c>
      <c r="V1059" s="5" t="s">
        <v>580</v>
      </c>
      <c r="W1059" s="5" t="str">
        <f t="shared" si="3"/>
        <v>Delhiprasad Deenadayalan</v>
      </c>
      <c r="X1059" s="5">
        <f t="shared" si="4"/>
        <v>2</v>
      </c>
      <c r="Y1059" s="5" t="str">
        <f>IFERROR(__xludf.DUMMYFUNCTION("REGEXEXTRACT(J1059, ""^\d+"")"),"1")</f>
        <v>1</v>
      </c>
      <c r="Z1059" s="5" t="str">
        <f>IFERROR(__xludf.DUMMYFUNCTION("REGEXEXTRACT(J1059, ""[A-Za-z ]+$"")")," Season")</f>
        <v> Season</v>
      </c>
      <c r="AA1059" s="5" t="str">
        <f>IFERROR(__xludf.DUMMYFUNCTION("IF(REGEXMATCH(Z1059, ""Season""), ""TV Show"", ""Movie"")"),"TV Show")</f>
        <v>TV Show</v>
      </c>
    </row>
    <row r="1060">
      <c r="A1060" s="1" t="s">
        <v>6305</v>
      </c>
      <c r="B1060" s="1" t="s">
        <v>37</v>
      </c>
      <c r="C1060" s="1" t="s">
        <v>6306</v>
      </c>
      <c r="E1060" s="1" t="s">
        <v>6307</v>
      </c>
      <c r="F1060" s="1" t="s">
        <v>6308</v>
      </c>
      <c r="G1060" s="1" t="s">
        <v>6298</v>
      </c>
      <c r="H1060" s="1">
        <v>2021.0</v>
      </c>
      <c r="I1060" s="1" t="s">
        <v>42</v>
      </c>
      <c r="J1060" s="1" t="s">
        <v>51</v>
      </c>
      <c r="K1060" s="1" t="s">
        <v>3361</v>
      </c>
      <c r="L1060" s="1" t="s">
        <v>6309</v>
      </c>
      <c r="M1060" s="2" t="s">
        <v>12</v>
      </c>
      <c r="N1060" s="4">
        <f t="shared" si="1"/>
        <v>44300</v>
      </c>
      <c r="O1060" s="5" t="str">
        <f>IFERROR(__xludf.DUMMYFUNCTION("IF(REGEXMATCH(TRIM(I1060), ""^\d+\s*min""), ""Unclassified"", IF(I1060 = """", ""NR"", I1060))"),"TV-MA")</f>
        <v>TV-MA</v>
      </c>
      <c r="R1060" s="5" t="str">
        <f t="shared" si="2"/>
        <v>Fate: The Winx Saga</v>
      </c>
      <c r="S1060" s="5" t="str">
        <f>IFERROR(__xludf.DUMMYFUNCTION("""COMPUTED_VALUE"""),"Black Sea")</f>
        <v>Black Sea</v>
      </c>
      <c r="U1060" s="5" t="str">
        <f>IFERROR(__xludf.DUMMYFUNCTION("""COMPUTED_VALUE"""),"Josef Fares")</f>
        <v>Josef Fares</v>
      </c>
      <c r="V1060" s="5" t="s">
        <v>6310</v>
      </c>
      <c r="W1060" s="5" t="str">
        <f t="shared" si="3"/>
        <v>Demetri Martin</v>
      </c>
      <c r="X1060" s="5">
        <f t="shared" si="4"/>
        <v>1</v>
      </c>
      <c r="Y1060" s="5" t="str">
        <f>IFERROR(__xludf.DUMMYFUNCTION("REGEXEXTRACT(J1060, ""^\d+"")"),"1")</f>
        <v>1</v>
      </c>
      <c r="Z1060" s="5" t="str">
        <f>IFERROR(__xludf.DUMMYFUNCTION("REGEXEXTRACT(J1060, ""[A-Za-z ]+$"")")," Season")</f>
        <v> Season</v>
      </c>
      <c r="AA1060" s="5" t="str">
        <f>IFERROR(__xludf.DUMMYFUNCTION("IF(REGEXMATCH(Z1060, ""Season""), ""TV Show"", ""Movie"")"),"TV Show")</f>
        <v>TV Show</v>
      </c>
    </row>
    <row r="1061">
      <c r="A1061" s="1" t="s">
        <v>6311</v>
      </c>
      <c r="B1061" s="1" t="s">
        <v>37</v>
      </c>
      <c r="C1061" s="1" t="s">
        <v>6312</v>
      </c>
      <c r="E1061" s="1" t="s">
        <v>6313</v>
      </c>
      <c r="F1061" s="1" t="s">
        <v>30</v>
      </c>
      <c r="G1061" s="1" t="s">
        <v>6298</v>
      </c>
      <c r="H1061" s="1">
        <v>2018.0</v>
      </c>
      <c r="I1061" s="1" t="s">
        <v>42</v>
      </c>
      <c r="J1061" s="1" t="s">
        <v>439</v>
      </c>
      <c r="K1061" s="1" t="s">
        <v>6314</v>
      </c>
      <c r="L1061" s="1" t="s">
        <v>6315</v>
      </c>
      <c r="M1061" s="2" t="s">
        <v>12</v>
      </c>
      <c r="N1061" s="4">
        <f t="shared" si="1"/>
        <v>44300</v>
      </c>
      <c r="O1061" s="5" t="str">
        <f>IFERROR(__xludf.DUMMYFUNCTION("IF(REGEXMATCH(TRIM(I1061), ""^\d+\s*min""), ""Unclassified"", IF(I1061 = """", ""NR"", I1061))"),"TV-MA")</f>
        <v>TV-MA</v>
      </c>
      <c r="R1061" s="5" t="str">
        <f t="shared" si="2"/>
        <v>House Of Cards</v>
      </c>
      <c r="S1061" s="5" t="str">
        <f>IFERROR(__xludf.DUMMYFUNCTION("""COMPUTED_VALUE"""),"Black Site Delta")</f>
        <v>Black Site Delta</v>
      </c>
      <c r="U1061" s="5" t="str">
        <f>IFERROR(__xludf.DUMMYFUNCTION("""COMPUTED_VALUE"""),"Sam Fell, Chris Butler")</f>
        <v>Sam Fell, Chris Butler</v>
      </c>
      <c r="V1061" s="5" t="s">
        <v>6316</v>
      </c>
      <c r="W1061" s="5" t="str">
        <f t="shared" si="3"/>
        <v>Denis Do</v>
      </c>
      <c r="X1061" s="5">
        <f t="shared" si="4"/>
        <v>1</v>
      </c>
      <c r="Y1061" s="5" t="str">
        <f>IFERROR(__xludf.DUMMYFUNCTION("REGEXEXTRACT(J1061, ""^\d+"")"),"6")</f>
        <v>6</v>
      </c>
      <c r="Z1061" s="5" t="str">
        <f>IFERROR(__xludf.DUMMYFUNCTION("REGEXEXTRACT(J1061, ""[A-Za-z ]+$"")")," Seasons")</f>
        <v> Seasons</v>
      </c>
      <c r="AA1061" s="5" t="str">
        <f>IFERROR(__xludf.DUMMYFUNCTION("IF(REGEXMATCH(Z1061, ""Season""), ""TV Show"", ""Movie"")"),"TV Show")</f>
        <v>TV Show</v>
      </c>
    </row>
    <row r="1062">
      <c r="A1062" s="1" t="s">
        <v>6317</v>
      </c>
      <c r="B1062" s="1" t="s">
        <v>37</v>
      </c>
      <c r="C1062" s="1" t="s">
        <v>6318</v>
      </c>
      <c r="F1062" s="1" t="s">
        <v>4497</v>
      </c>
      <c r="G1062" s="1" t="s">
        <v>6298</v>
      </c>
      <c r="H1062" s="1">
        <v>2020.0</v>
      </c>
      <c r="I1062" s="1" t="s">
        <v>97</v>
      </c>
      <c r="J1062" s="1" t="s">
        <v>51</v>
      </c>
      <c r="K1062" s="1" t="s">
        <v>4008</v>
      </c>
      <c r="L1062" s="1" t="s">
        <v>6319</v>
      </c>
      <c r="M1062" s="2" t="s">
        <v>12</v>
      </c>
      <c r="N1062" s="4">
        <f t="shared" si="1"/>
        <v>44300</v>
      </c>
      <c r="O1062" s="5" t="str">
        <f>IFERROR(__xludf.DUMMYFUNCTION("IF(REGEXMATCH(TRIM(I1062), ""^\d+\s*min""), ""Unclassified"", IF(I1062 = """", ""NR"", I1062))"),"TV-14")</f>
        <v>TV-14</v>
      </c>
      <c r="R1062" s="5" t="str">
        <f t="shared" si="2"/>
        <v>Indian Matchmaking</v>
      </c>
      <c r="S1062" s="5" t="str">
        <f>IFERROR(__xludf.DUMMYFUNCTION("""COMPUTED_VALUE"""),"Black Snake Moan")</f>
        <v>Black Snake Moan</v>
      </c>
      <c r="U1062" s="5" t="str">
        <f>IFERROR(__xludf.DUMMYFUNCTION("""COMPUTED_VALUE"""),"Ross Boyask")</f>
        <v>Ross Boyask</v>
      </c>
      <c r="V1062" s="5" t="s">
        <v>6320</v>
      </c>
      <c r="W1062" s="5" t="str">
        <f t="shared" si="3"/>
        <v>Denis Hennelly, Casey Suchan</v>
      </c>
      <c r="X1062" s="5">
        <f t="shared" si="4"/>
        <v>1</v>
      </c>
      <c r="Y1062" s="5" t="str">
        <f>IFERROR(__xludf.DUMMYFUNCTION("REGEXEXTRACT(J1062, ""^\d+"")"),"1")</f>
        <v>1</v>
      </c>
      <c r="Z1062" s="5" t="str">
        <f>IFERROR(__xludf.DUMMYFUNCTION("REGEXEXTRACT(J1062, ""[A-Za-z ]+$"")")," Season")</f>
        <v> Season</v>
      </c>
      <c r="AA1062" s="5" t="str">
        <f>IFERROR(__xludf.DUMMYFUNCTION("IF(REGEXMATCH(Z1062, ""Season""), ""TV Show"", ""Movie"")"),"TV Show")</f>
        <v>TV Show</v>
      </c>
    </row>
    <row r="1063">
      <c r="A1063" s="1" t="s">
        <v>6321</v>
      </c>
      <c r="B1063" s="1" t="s">
        <v>37</v>
      </c>
      <c r="C1063" s="1" t="s">
        <v>6322</v>
      </c>
      <c r="F1063" s="1" t="s">
        <v>30</v>
      </c>
      <c r="G1063" s="1" t="s">
        <v>6298</v>
      </c>
      <c r="H1063" s="1">
        <v>2020.0</v>
      </c>
      <c r="I1063" s="1" t="s">
        <v>42</v>
      </c>
      <c r="J1063" s="1" t="s">
        <v>51</v>
      </c>
      <c r="K1063" s="1" t="s">
        <v>2043</v>
      </c>
      <c r="L1063" s="1" t="s">
        <v>6323</v>
      </c>
      <c r="M1063" s="2" t="s">
        <v>12</v>
      </c>
      <c r="N1063" s="4">
        <f t="shared" si="1"/>
        <v>44300</v>
      </c>
      <c r="O1063" s="5" t="str">
        <f>IFERROR(__xludf.DUMMYFUNCTION("IF(REGEXMATCH(TRIM(I1063), ""^\d+\s*min""), ""Unclassified"", IF(I1063 = """", ""NR"", I1063))"),"TV-MA")</f>
        <v>TV-MA</v>
      </c>
      <c r="R1063" s="5" t="str">
        <f t="shared" si="2"/>
        <v>Jeffrey Epstein: Filthy Rich</v>
      </c>
      <c r="S1063" s="5" t="str">
        <f>IFERROR(__xludf.DUMMYFUNCTION("""COMPUTED_VALUE"""),"Black Snow")</f>
        <v>Black Snow</v>
      </c>
      <c r="U1063" s="5" t="str">
        <f>IFERROR(__xludf.DUMMYFUNCTION("""COMPUTED_VALUE"""),"David 'Tosh' Gitonga, Michael Jones")</f>
        <v>David 'Tosh' Gitonga, Michael Jones</v>
      </c>
      <c r="V1063" s="5" t="s">
        <v>6324</v>
      </c>
      <c r="W1063" s="5" t="str">
        <f t="shared" si="3"/>
        <v>Denis Villeneuve</v>
      </c>
      <c r="X1063" s="5">
        <f t="shared" si="4"/>
        <v>1</v>
      </c>
      <c r="Y1063" s="5" t="str">
        <f>IFERROR(__xludf.DUMMYFUNCTION("REGEXEXTRACT(J1063, ""^\d+"")"),"1")</f>
        <v>1</v>
      </c>
      <c r="Z1063" s="5" t="str">
        <f>IFERROR(__xludf.DUMMYFUNCTION("REGEXEXTRACT(J1063, ""[A-Za-z ]+$"")")," Season")</f>
        <v> Season</v>
      </c>
      <c r="AA1063" s="5" t="str">
        <f>IFERROR(__xludf.DUMMYFUNCTION("IF(REGEXMATCH(Z1063, ""Season""), ""TV Show"", ""Movie"")"),"TV Show")</f>
        <v>TV Show</v>
      </c>
    </row>
    <row r="1064">
      <c r="A1064" s="1" t="s">
        <v>6325</v>
      </c>
      <c r="B1064" s="1" t="s">
        <v>37</v>
      </c>
      <c r="C1064" s="1" t="s">
        <v>6326</v>
      </c>
      <c r="E1064" s="1" t="s">
        <v>6327</v>
      </c>
      <c r="F1064" s="1" t="s">
        <v>749</v>
      </c>
      <c r="G1064" s="1" t="s">
        <v>6298</v>
      </c>
      <c r="H1064" s="1">
        <v>2021.0</v>
      </c>
      <c r="I1064" s="1" t="s">
        <v>97</v>
      </c>
      <c r="J1064" s="1" t="s">
        <v>51</v>
      </c>
      <c r="K1064" s="1" t="s">
        <v>1362</v>
      </c>
      <c r="L1064" s="1" t="s">
        <v>6328</v>
      </c>
      <c r="M1064" s="2" t="s">
        <v>12</v>
      </c>
      <c r="N1064" s="4">
        <f t="shared" si="1"/>
        <v>44300</v>
      </c>
      <c r="O1064" s="5" t="str">
        <f>IFERROR(__xludf.DUMMYFUNCTION("IF(REGEXMATCH(TRIM(I1064), ""^\d+\s*min""), ""Unclassified"", IF(I1064 = """", ""NR"", I1064))"),"TV-14")</f>
        <v>TV-14</v>
      </c>
      <c r="R1064" s="5" t="str">
        <f t="shared" si="2"/>
        <v>Law School</v>
      </c>
      <c r="S1064" s="5" t="str">
        <f>IFERROR(__xludf.DUMMYFUNCTION("""COMPUTED_VALUE"""),"Black Space")</f>
        <v>Black Space</v>
      </c>
      <c r="U1064" s="5" t="str">
        <f>IFERROR(__xludf.DUMMYFUNCTION("""COMPUTED_VALUE"""),"Ti West")</f>
        <v>Ti West</v>
      </c>
      <c r="V1064" s="5" t="s">
        <v>6329</v>
      </c>
      <c r="W1064" s="5" t="str">
        <f t="shared" si="3"/>
        <v>Deniz Gamze Ergüven</v>
      </c>
      <c r="X1064" s="5">
        <f t="shared" si="4"/>
        <v>1</v>
      </c>
      <c r="Y1064" s="5" t="str">
        <f>IFERROR(__xludf.DUMMYFUNCTION("REGEXEXTRACT(J1064, ""^\d+"")"),"1")</f>
        <v>1</v>
      </c>
      <c r="Z1064" s="5" t="str">
        <f>IFERROR(__xludf.DUMMYFUNCTION("REGEXEXTRACT(J1064, ""[A-Za-z ]+$"")")," Season")</f>
        <v> Season</v>
      </c>
      <c r="AA1064" s="5" t="str">
        <f>IFERROR(__xludf.DUMMYFUNCTION("IF(REGEXMATCH(Z1064, ""Season""), ""TV Show"", ""Movie"")"),"TV Show")</f>
        <v>TV Show</v>
      </c>
    </row>
    <row r="1065">
      <c r="A1065" s="1" t="s">
        <v>6330</v>
      </c>
      <c r="B1065" s="1" t="s">
        <v>37</v>
      </c>
      <c r="C1065" s="1" t="s">
        <v>6331</v>
      </c>
      <c r="E1065" s="1" t="s">
        <v>6332</v>
      </c>
      <c r="F1065" s="1" t="s">
        <v>30</v>
      </c>
      <c r="G1065" s="1" t="s">
        <v>6298</v>
      </c>
      <c r="H1065" s="1">
        <v>2019.0</v>
      </c>
      <c r="I1065" s="1" t="s">
        <v>42</v>
      </c>
      <c r="J1065" s="1" t="s">
        <v>51</v>
      </c>
      <c r="K1065" s="1" t="s">
        <v>149</v>
      </c>
      <c r="L1065" s="1" t="s">
        <v>6333</v>
      </c>
      <c r="M1065" s="2" t="s">
        <v>12</v>
      </c>
      <c r="N1065" s="4">
        <f t="shared" si="1"/>
        <v>44300</v>
      </c>
      <c r="O1065" s="5" t="str">
        <f>IFERROR(__xludf.DUMMYFUNCTION("IF(REGEXMATCH(TRIM(I1065), ""^\d+\s*min""), ""Unclassified"", IF(I1065 = """", ""NR"", I1065))"),"TV-MA")</f>
        <v>TV-MA</v>
      </c>
      <c r="R1065" s="5" t="str">
        <f t="shared" si="2"/>
        <v>Living With Yourself</v>
      </c>
      <c r="S1065" s="5" t="str">
        <f>IFERROR(__xludf.DUMMYFUNCTION("""COMPUTED_VALUE"""),"Black Spot")</f>
        <v>Black Spot</v>
      </c>
      <c r="U1065" s="5" t="str">
        <f>IFERROR(__xludf.DUMMYFUNCTION("""COMPUTED_VALUE"""),"Aaron Sorkin")</f>
        <v>Aaron Sorkin</v>
      </c>
      <c r="V1065" s="5" t="s">
        <v>6334</v>
      </c>
      <c r="W1065" s="5" t="str">
        <f t="shared" si="3"/>
        <v>Dennie Gordon</v>
      </c>
      <c r="X1065" s="5">
        <f t="shared" si="4"/>
        <v>2</v>
      </c>
      <c r="Y1065" s="5" t="str">
        <f>IFERROR(__xludf.DUMMYFUNCTION("REGEXEXTRACT(J1065, ""^\d+"")"),"1")</f>
        <v>1</v>
      </c>
      <c r="Z1065" s="5" t="str">
        <f>IFERROR(__xludf.DUMMYFUNCTION("REGEXEXTRACT(J1065, ""[A-Za-z ]+$"")")," Season")</f>
        <v> Season</v>
      </c>
      <c r="AA1065" s="5" t="str">
        <f>IFERROR(__xludf.DUMMYFUNCTION("IF(REGEXMATCH(Z1065, ""Season""), ""TV Show"", ""Movie"")"),"TV Show")</f>
        <v>TV Show</v>
      </c>
    </row>
    <row r="1066">
      <c r="A1066" s="1" t="s">
        <v>6335</v>
      </c>
      <c r="B1066" s="1" t="s">
        <v>37</v>
      </c>
      <c r="C1066" s="1" t="s">
        <v>6336</v>
      </c>
      <c r="E1066" s="1" t="s">
        <v>6337</v>
      </c>
      <c r="F1066" s="1" t="s">
        <v>749</v>
      </c>
      <c r="G1066" s="1" t="s">
        <v>6298</v>
      </c>
      <c r="H1066" s="1">
        <v>2016.0</v>
      </c>
      <c r="I1066" s="1" t="s">
        <v>42</v>
      </c>
      <c r="J1066" s="1" t="s">
        <v>51</v>
      </c>
      <c r="K1066" s="1" t="s">
        <v>6338</v>
      </c>
      <c r="L1066" s="1" t="s">
        <v>6339</v>
      </c>
      <c r="M1066" s="2" t="s">
        <v>12</v>
      </c>
      <c r="N1066" s="4">
        <f t="shared" si="1"/>
        <v>44300</v>
      </c>
      <c r="O1066" s="5" t="str">
        <f>IFERROR(__xludf.DUMMYFUNCTION("IF(REGEXMATCH(TRIM(I1066), ""^\d+\s*min""), ""Unclassified"", IF(I1066 = """", ""NR"", I1066))"),"TV-MA")</f>
        <v>TV-MA</v>
      </c>
      <c r="R1066" s="5" t="str">
        <f t="shared" si="2"/>
        <v>Signal</v>
      </c>
      <c r="S1066" s="5" t="str">
        <f>IFERROR(__xludf.DUMMYFUNCTION("""COMPUTED_VALUE"""),"Black Summer")</f>
        <v>Black Summer</v>
      </c>
      <c r="U1066" s="5" t="str">
        <f>IFERROR(__xludf.DUMMYFUNCTION("""COMPUTED_VALUE"""),"Levan Gabriadze")</f>
        <v>Levan Gabriadze</v>
      </c>
      <c r="V1066" s="5" t="s">
        <v>6340</v>
      </c>
      <c r="W1066" s="5" t="str">
        <f t="shared" si="3"/>
        <v>Dennis Bartok</v>
      </c>
      <c r="X1066" s="5">
        <f t="shared" si="4"/>
        <v>1</v>
      </c>
      <c r="Y1066" s="5" t="str">
        <f>IFERROR(__xludf.DUMMYFUNCTION("REGEXEXTRACT(J1066, ""^\d+"")"),"1")</f>
        <v>1</v>
      </c>
      <c r="Z1066" s="5" t="str">
        <f>IFERROR(__xludf.DUMMYFUNCTION("REGEXEXTRACT(J1066, ""[A-Za-z ]+$"")")," Season")</f>
        <v> Season</v>
      </c>
      <c r="AA1066" s="5" t="str">
        <f>IFERROR(__xludf.DUMMYFUNCTION("IF(REGEXMATCH(Z1066, ""Season""), ""TV Show"", ""Movie"")"),"TV Show")</f>
        <v>TV Show</v>
      </c>
    </row>
    <row r="1067">
      <c r="A1067" s="1" t="s">
        <v>6341</v>
      </c>
      <c r="B1067" s="1" t="s">
        <v>37</v>
      </c>
      <c r="C1067" s="1" t="s">
        <v>6342</v>
      </c>
      <c r="E1067" s="1" t="s">
        <v>6343</v>
      </c>
      <c r="F1067" s="1" t="s">
        <v>1106</v>
      </c>
      <c r="G1067" s="1" t="s">
        <v>6298</v>
      </c>
      <c r="H1067" s="1">
        <v>2019.0</v>
      </c>
      <c r="I1067" s="1" t="s">
        <v>42</v>
      </c>
      <c r="J1067" s="1" t="s">
        <v>276</v>
      </c>
      <c r="K1067" s="1" t="s">
        <v>6344</v>
      </c>
      <c r="L1067" s="1" t="s">
        <v>6345</v>
      </c>
      <c r="M1067" s="2" t="s">
        <v>12</v>
      </c>
      <c r="N1067" s="4">
        <f t="shared" si="1"/>
        <v>44300</v>
      </c>
      <c r="O1067" s="5" t="str">
        <f>IFERROR(__xludf.DUMMYFUNCTION("IF(REGEXMATCH(TRIM(I1067), ""^\d+\s*min""), ""Unclassified"", IF(I1067 = """", ""NR"", I1067))"),"TV-MA")</f>
        <v>TV-MA</v>
      </c>
      <c r="R1067" s="5" t="str">
        <f t="shared" si="2"/>
        <v>Slasher</v>
      </c>
      <c r="S1067" s="5" t="str">
        <f>IFERROR(__xludf.DUMMYFUNCTION("""COMPUTED_VALUE"""),"Blackfish")</f>
        <v>Blackfish</v>
      </c>
      <c r="U1067" s="5" t="str">
        <f>IFERROR(__xludf.DUMMYFUNCTION("""COMPUTED_VALUE"""),"Rachel Talalay")</f>
        <v>Rachel Talalay</v>
      </c>
      <c r="V1067" s="5" t="s">
        <v>235</v>
      </c>
      <c r="W1067" s="5" t="str">
        <f t="shared" si="3"/>
        <v>Dennis Dugan</v>
      </c>
      <c r="X1067" s="5">
        <f t="shared" si="4"/>
        <v>4</v>
      </c>
      <c r="Y1067" s="5" t="str">
        <f>IFERROR(__xludf.DUMMYFUNCTION("REGEXEXTRACT(J1067, ""^\d+"")"),"3")</f>
        <v>3</v>
      </c>
      <c r="Z1067" s="5" t="str">
        <f>IFERROR(__xludf.DUMMYFUNCTION("REGEXEXTRACT(J1067, ""[A-Za-z ]+$"")")," Seasons")</f>
        <v> Seasons</v>
      </c>
      <c r="AA1067" s="5" t="str">
        <f>IFERROR(__xludf.DUMMYFUNCTION("IF(REGEXMATCH(Z1067, ""Season""), ""TV Show"", ""Movie"")"),"TV Show")</f>
        <v>TV Show</v>
      </c>
    </row>
    <row r="1068">
      <c r="A1068" s="1" t="s">
        <v>6346</v>
      </c>
      <c r="B1068" s="1" t="s">
        <v>27</v>
      </c>
      <c r="C1068" s="1" t="s">
        <v>6347</v>
      </c>
      <c r="D1068" s="1" t="s">
        <v>6348</v>
      </c>
      <c r="E1068" s="1" t="s">
        <v>6349</v>
      </c>
      <c r="F1068" s="1" t="s">
        <v>6350</v>
      </c>
      <c r="G1068" s="1" t="s">
        <v>6298</v>
      </c>
      <c r="H1068" s="1">
        <v>2021.0</v>
      </c>
      <c r="I1068" s="1" t="s">
        <v>42</v>
      </c>
      <c r="J1068" s="1" t="s">
        <v>2281</v>
      </c>
      <c r="K1068" s="1" t="s">
        <v>298</v>
      </c>
      <c r="L1068" s="1" t="s">
        <v>6351</v>
      </c>
      <c r="M1068" s="2" t="s">
        <v>12</v>
      </c>
      <c r="N1068" s="4">
        <f t="shared" si="1"/>
        <v>44300</v>
      </c>
      <c r="O1068" s="5" t="str">
        <f>IFERROR(__xludf.DUMMYFUNCTION("IF(REGEXMATCH(TRIM(I1068), ""^\d+\s*min""), ""Unclassified"", IF(I1068 = """", ""NR"", I1068))"),"TV-MA")</f>
        <v>TV-MA</v>
      </c>
      <c r="R1068" s="5" t="str">
        <f t="shared" si="2"/>
        <v>The Soul</v>
      </c>
      <c r="S1068" s="5" t="str">
        <f>IFERROR(__xludf.DUMMYFUNCTION("""COMPUTED_VALUE"""),"Blackpink: Light Up The Sky")</f>
        <v>Blackpink: Light Up The Sky</v>
      </c>
      <c r="U1068" s="5" t="str">
        <f>IFERROR(__xludf.DUMMYFUNCTION("""COMPUTED_VALUE"""),"Sam Liu")</f>
        <v>Sam Liu</v>
      </c>
      <c r="V1068" s="5" t="s">
        <v>6352</v>
      </c>
      <c r="W1068" s="5" t="str">
        <f t="shared" si="3"/>
        <v>Dennis Iliadis</v>
      </c>
      <c r="X1068" s="5">
        <f t="shared" si="4"/>
        <v>1</v>
      </c>
      <c r="Y1068" s="5" t="str">
        <f>IFERROR(__xludf.DUMMYFUNCTION("REGEXEXTRACT(J1068, ""^\d+"")"),"130")</f>
        <v>130</v>
      </c>
      <c r="Z1068" s="5" t="str">
        <f>IFERROR(__xludf.DUMMYFUNCTION("REGEXEXTRACT(J1068, ""[A-Za-z ]+$"")")," min")</f>
        <v> min</v>
      </c>
      <c r="AA1068" s="5" t="str">
        <f>IFERROR(__xludf.DUMMYFUNCTION("IF(REGEXMATCH(Z1068, ""Season""), ""TV Show"", ""Movie"")"),"Movie")</f>
        <v>Movie</v>
      </c>
    </row>
    <row r="1069">
      <c r="A1069" s="1" t="s">
        <v>6353</v>
      </c>
      <c r="B1069" s="1" t="s">
        <v>37</v>
      </c>
      <c r="C1069" s="1" t="s">
        <v>6354</v>
      </c>
      <c r="D1069" s="1" t="s">
        <v>6355</v>
      </c>
      <c r="E1069" s="1" t="s">
        <v>6356</v>
      </c>
      <c r="F1069" s="1" t="s">
        <v>2796</v>
      </c>
      <c r="G1069" s="1" t="s">
        <v>6298</v>
      </c>
      <c r="H1069" s="1">
        <v>2020.0</v>
      </c>
      <c r="I1069" s="1" t="s">
        <v>42</v>
      </c>
      <c r="J1069" s="1" t="s">
        <v>51</v>
      </c>
      <c r="K1069" s="1" t="s">
        <v>1830</v>
      </c>
      <c r="L1069" s="1" t="s">
        <v>6357</v>
      </c>
      <c r="M1069" s="2" t="s">
        <v>12</v>
      </c>
      <c r="N1069" s="4">
        <f t="shared" si="1"/>
        <v>44300</v>
      </c>
      <c r="O1069" s="5" t="str">
        <f>IFERROR(__xludf.DUMMYFUNCTION("IF(REGEXMATCH(TRIM(I1069), ""^\d+\s*min""), ""Unclassified"", IF(I1069 = """", ""NR"", I1069))"),"TV-MA")</f>
        <v>TV-MA</v>
      </c>
      <c r="R1069" s="5" t="str">
        <f t="shared" si="2"/>
        <v>The Underclass</v>
      </c>
      <c r="S1069" s="5" t="str">
        <f>IFERROR(__xludf.DUMMYFUNCTION("""COMPUTED_VALUE"""),"Blackway")</f>
        <v>Blackway</v>
      </c>
      <c r="U1069" s="5" t="str">
        <f>IFERROR(__xludf.DUMMYFUNCTION("""COMPUTED_VALUE"""),"Peter Mimi")</f>
        <v>Peter Mimi</v>
      </c>
      <c r="V1069" s="5" t="s">
        <v>6358</v>
      </c>
      <c r="W1069" s="5" t="str">
        <f t="shared" si="3"/>
        <v>Dennis Rovira Van Boekholt</v>
      </c>
      <c r="X1069" s="5">
        <f t="shared" si="4"/>
        <v>1</v>
      </c>
      <c r="Y1069" s="5" t="str">
        <f>IFERROR(__xludf.DUMMYFUNCTION("REGEXEXTRACT(J1069, ""^\d+"")"),"1")</f>
        <v>1</v>
      </c>
      <c r="Z1069" s="5" t="str">
        <f>IFERROR(__xludf.DUMMYFUNCTION("REGEXEXTRACT(J1069, ""[A-Za-z ]+$"")")," Season")</f>
        <v> Season</v>
      </c>
      <c r="AA1069" s="5" t="str">
        <f>IFERROR(__xludf.DUMMYFUNCTION("IF(REGEXMATCH(Z1069, ""Season""), ""TV Show"", ""Movie"")"),"TV Show")</f>
        <v>TV Show</v>
      </c>
    </row>
    <row r="1070">
      <c r="A1070" s="1" t="s">
        <v>6359</v>
      </c>
      <c r="B1070" s="1" t="s">
        <v>37</v>
      </c>
      <c r="C1070" s="1" t="s">
        <v>6360</v>
      </c>
      <c r="F1070" s="1" t="s">
        <v>30</v>
      </c>
      <c r="G1070" s="1" t="s">
        <v>6298</v>
      </c>
      <c r="H1070" s="1">
        <v>2019.0</v>
      </c>
      <c r="I1070" s="1" t="s">
        <v>42</v>
      </c>
      <c r="J1070" s="1" t="s">
        <v>51</v>
      </c>
      <c r="K1070" s="1" t="s">
        <v>736</v>
      </c>
      <c r="L1070" s="1" t="s">
        <v>6361</v>
      </c>
      <c r="M1070" s="2" t="s">
        <v>12</v>
      </c>
      <c r="N1070" s="4">
        <f t="shared" si="1"/>
        <v>44300</v>
      </c>
      <c r="O1070" s="5" t="str">
        <f>IFERROR(__xludf.DUMMYFUNCTION("IF(REGEXMATCH(TRIM(I1070), ""^\d+\s*min""), ""Unclassified"", IF(I1070 = """", ""NR"", I1070))"),"TV-MA")</f>
        <v>TV-MA</v>
      </c>
      <c r="R1070" s="5" t="str">
        <f t="shared" si="2"/>
        <v>Unnatural Selection</v>
      </c>
      <c r="S1070" s="5" t="str">
        <f>IFERROR(__xludf.DUMMYFUNCTION("""COMPUTED_VALUE"""),"Blade Runner: The Final Cut")</f>
        <v>Blade Runner: The Final Cut</v>
      </c>
      <c r="U1070" s="5" t="str">
        <f>IFERROR(__xludf.DUMMYFUNCTION("""COMPUTED_VALUE"""),"Lasja Fauzia Susatyo")</f>
        <v>Lasja Fauzia Susatyo</v>
      </c>
      <c r="V1070" s="5" t="s">
        <v>6362</v>
      </c>
      <c r="W1070" s="5" t="str">
        <f t="shared" si="3"/>
        <v>Dennis Scholl, Kareem Tabsch</v>
      </c>
      <c r="X1070" s="5">
        <f t="shared" si="4"/>
        <v>1</v>
      </c>
      <c r="Y1070" s="5" t="str">
        <f>IFERROR(__xludf.DUMMYFUNCTION("REGEXEXTRACT(J1070, ""^\d+"")"),"1")</f>
        <v>1</v>
      </c>
      <c r="Z1070" s="5" t="str">
        <f>IFERROR(__xludf.DUMMYFUNCTION("REGEXEXTRACT(J1070, ""[A-Za-z ]+$"")")," Season")</f>
        <v> Season</v>
      </c>
      <c r="AA1070" s="5" t="str">
        <f>IFERROR(__xludf.DUMMYFUNCTION("IF(REGEXMATCH(Z1070, ""Season""), ""TV Show"", ""Movie"")"),"TV Show")</f>
        <v>TV Show</v>
      </c>
    </row>
    <row r="1071">
      <c r="A1071" s="1" t="s">
        <v>6363</v>
      </c>
      <c r="B1071" s="1" t="s">
        <v>27</v>
      </c>
      <c r="C1071" s="1" t="s">
        <v>6364</v>
      </c>
      <c r="D1071" s="1" t="s">
        <v>3976</v>
      </c>
      <c r="E1071" s="1" t="s">
        <v>6365</v>
      </c>
      <c r="F1071" s="1" t="s">
        <v>63</v>
      </c>
      <c r="G1071" s="1" t="s">
        <v>6298</v>
      </c>
      <c r="H1071" s="1">
        <v>2020.0</v>
      </c>
      <c r="I1071" s="1" t="s">
        <v>97</v>
      </c>
      <c r="J1071" s="1" t="s">
        <v>582</v>
      </c>
      <c r="K1071" s="1" t="s">
        <v>679</v>
      </c>
      <c r="L1071" s="1" t="s">
        <v>6366</v>
      </c>
      <c r="M1071" s="2" t="s">
        <v>12</v>
      </c>
      <c r="N1071" s="4">
        <f t="shared" si="1"/>
        <v>44300</v>
      </c>
      <c r="O1071" s="5" t="str">
        <f>IFERROR(__xludf.DUMMYFUNCTION("IF(REGEXMATCH(TRIM(I1071), ""^\d+\s*min""), ""Unclassified"", IF(I1071 = """", ""NR"", I1071))"),"TV-14")</f>
        <v>TV-14</v>
      </c>
      <c r="R1071" s="5" t="str">
        <f t="shared" si="2"/>
        <v>Uppena</v>
      </c>
      <c r="S1071" s="5" t="str">
        <f>IFERROR(__xludf.DUMMYFUNCTION("""COMPUTED_VALUE"""),"Blame!")</f>
        <v>Blame!</v>
      </c>
      <c r="U1071" s="5" t="str">
        <f>IFERROR(__xludf.DUMMYFUNCTION("""COMPUTED_VALUE"""),"Pavitra Chalam, Akshay Shankar")</f>
        <v>Pavitra Chalam, Akshay Shankar</v>
      </c>
      <c r="V1071" s="5" t="s">
        <v>6367</v>
      </c>
      <c r="W1071" s="5" t="str">
        <f t="shared" si="3"/>
        <v>Denny Lu, Mike Myhre</v>
      </c>
      <c r="X1071" s="5">
        <f t="shared" si="4"/>
        <v>1</v>
      </c>
      <c r="Y1071" s="5" t="str">
        <f>IFERROR(__xludf.DUMMYFUNCTION("REGEXEXTRACT(J1071, ""^\d+"")"),"145")</f>
        <v>145</v>
      </c>
      <c r="Z1071" s="5" t="str">
        <f>IFERROR(__xludf.DUMMYFUNCTION("REGEXEXTRACT(J1071, ""[A-Za-z ]+$"")")," min")</f>
        <v> min</v>
      </c>
      <c r="AA1071" s="5" t="str">
        <f>IFERROR(__xludf.DUMMYFUNCTION("IF(REGEXMATCH(Z1071, ""Season""), ""TV Show"", ""Movie"")"),"Movie")</f>
        <v>Movie</v>
      </c>
    </row>
    <row r="1072">
      <c r="A1072" s="1" t="s">
        <v>6368</v>
      </c>
      <c r="B1072" s="1" t="s">
        <v>27</v>
      </c>
      <c r="C1072" s="1" t="s">
        <v>6369</v>
      </c>
      <c r="D1072" s="1" t="s">
        <v>6370</v>
      </c>
      <c r="F1072" s="1" t="s">
        <v>30</v>
      </c>
      <c r="G1072" s="1" t="s">
        <v>6298</v>
      </c>
      <c r="H1072" s="1">
        <v>2021.0</v>
      </c>
      <c r="I1072" s="1" t="s">
        <v>42</v>
      </c>
      <c r="J1072" s="1" t="s">
        <v>1608</v>
      </c>
      <c r="K1072" s="1" t="s">
        <v>34</v>
      </c>
      <c r="L1072" s="1" t="s">
        <v>6371</v>
      </c>
      <c r="M1072" s="2" t="s">
        <v>12</v>
      </c>
      <c r="N1072" s="4">
        <f t="shared" si="1"/>
        <v>44300</v>
      </c>
      <c r="O1072" s="5" t="str">
        <f>IFERROR(__xludf.DUMMYFUNCTION("IF(REGEXMATCH(TRIM(I1072), ""^\d+\s*min""), ""Unclassified"", IF(I1072 = """", ""NR"", I1072))"),"TV-MA")</f>
        <v>TV-MA</v>
      </c>
      <c r="R1072" s="5" t="str">
        <f t="shared" si="2"/>
        <v>Why Did You Kill Me?</v>
      </c>
      <c r="S1072" s="5" t="str">
        <f>IFERROR(__xludf.DUMMYFUNCTION("""COMPUTED_VALUE"""),"Blanche Gardin: I Talk To Myself")</f>
        <v>Blanche Gardin: I Talk To Myself</v>
      </c>
      <c r="U1072" s="5" t="str">
        <f>IFERROR(__xludf.DUMMYFUNCTION("""COMPUTED_VALUE"""),"Kevin Ko, Peter Tsi")</f>
        <v>Kevin Ko, Peter Tsi</v>
      </c>
      <c r="V1072" s="5" t="s">
        <v>6372</v>
      </c>
      <c r="W1072" s="5" t="str">
        <f t="shared" si="3"/>
        <v>Derek Cianfrance</v>
      </c>
      <c r="X1072" s="5">
        <f t="shared" si="4"/>
        <v>2</v>
      </c>
      <c r="Y1072" s="5" t="str">
        <f>IFERROR(__xludf.DUMMYFUNCTION("REGEXEXTRACT(J1072, ""^\d+"")"),"84")</f>
        <v>84</v>
      </c>
      <c r="Z1072" s="5" t="str">
        <f>IFERROR(__xludf.DUMMYFUNCTION("REGEXEXTRACT(J1072, ""[A-Za-z ]+$"")")," min")</f>
        <v> min</v>
      </c>
      <c r="AA1072" s="5" t="str">
        <f>IFERROR(__xludf.DUMMYFUNCTION("IF(REGEXMATCH(Z1072, ""Season""), ""TV Show"", ""Movie"")"),"Movie")</f>
        <v>Movie</v>
      </c>
    </row>
    <row r="1073">
      <c r="A1073" s="1" t="s">
        <v>6373</v>
      </c>
      <c r="B1073" s="1" t="s">
        <v>27</v>
      </c>
      <c r="C1073" s="1" t="s">
        <v>6374</v>
      </c>
      <c r="D1073" s="1" t="s">
        <v>5630</v>
      </c>
      <c r="E1073" s="1" t="s">
        <v>6375</v>
      </c>
      <c r="G1073" s="1" t="s">
        <v>6376</v>
      </c>
      <c r="H1073" s="1">
        <v>2017.0</v>
      </c>
      <c r="I1073" s="1" t="s">
        <v>289</v>
      </c>
      <c r="J1073" s="1" t="s">
        <v>1608</v>
      </c>
      <c r="K1073" s="1" t="s">
        <v>920</v>
      </c>
      <c r="L1073" s="1" t="s">
        <v>6377</v>
      </c>
      <c r="M1073" s="2" t="s">
        <v>12</v>
      </c>
      <c r="N1073" s="4">
        <f t="shared" si="1"/>
        <v>44299</v>
      </c>
      <c r="O1073" s="5" t="str">
        <f>IFERROR(__xludf.DUMMYFUNCTION("IF(REGEXMATCH(TRIM(I1073), ""^\d+\s*min""), ""Unclassified"", IF(I1073 = """", ""NR"", I1073))"),"TV-Y7")</f>
        <v>TV-Y7</v>
      </c>
      <c r="R1073" s="5" t="str">
        <f t="shared" si="2"/>
        <v>Motu Patlu In Hong Kong: Kung Fu Kings 3</v>
      </c>
      <c r="S1073" s="5" t="str">
        <f>IFERROR(__xludf.DUMMYFUNCTION("""COMPUTED_VALUE"""),"Blanche Gardin: The All-Nighter")</f>
        <v>Blanche Gardin: The All-Nighter</v>
      </c>
      <c r="U1073" s="5" t="str">
        <f>IFERROR(__xludf.DUMMYFUNCTION("""COMPUTED_VALUE"""),"Caroline Suh")</f>
        <v>Caroline Suh</v>
      </c>
      <c r="V1073" s="5" t="s">
        <v>6378</v>
      </c>
      <c r="W1073" s="5" t="str">
        <f t="shared" si="3"/>
        <v>Derek Hui</v>
      </c>
      <c r="X1073" s="5">
        <f t="shared" si="4"/>
        <v>1</v>
      </c>
      <c r="Y1073" s="5" t="str">
        <f>IFERROR(__xludf.DUMMYFUNCTION("REGEXEXTRACT(J1073, ""^\d+"")"),"84")</f>
        <v>84</v>
      </c>
      <c r="Z1073" s="5" t="str">
        <f>IFERROR(__xludf.DUMMYFUNCTION("REGEXEXTRACT(J1073, ""[A-Za-z ]+$"")")," min")</f>
        <v> min</v>
      </c>
      <c r="AA1073" s="5" t="str">
        <f>IFERROR(__xludf.DUMMYFUNCTION("IF(REGEXMATCH(Z1073, ""Season""), ""TV Show"", ""Movie"")"),"Movie")</f>
        <v>Movie</v>
      </c>
    </row>
    <row r="1074">
      <c r="A1074" s="1" t="s">
        <v>6379</v>
      </c>
      <c r="B1074" s="1" t="s">
        <v>27</v>
      </c>
      <c r="C1074" s="1" t="s">
        <v>6380</v>
      </c>
      <c r="D1074" s="1" t="s">
        <v>5630</v>
      </c>
      <c r="E1074" s="1" t="s">
        <v>6381</v>
      </c>
      <c r="G1074" s="1" t="s">
        <v>6376</v>
      </c>
      <c r="H1074" s="1">
        <v>2018.0</v>
      </c>
      <c r="I1074" s="1" t="s">
        <v>289</v>
      </c>
      <c r="J1074" s="1" t="s">
        <v>4558</v>
      </c>
      <c r="K1074" s="1" t="s">
        <v>1662</v>
      </c>
      <c r="L1074" s="1" t="s">
        <v>6382</v>
      </c>
      <c r="M1074" s="2" t="s">
        <v>12</v>
      </c>
      <c r="N1074" s="4">
        <f t="shared" si="1"/>
        <v>44299</v>
      </c>
      <c r="O1074" s="5" t="str">
        <f>IFERROR(__xludf.DUMMYFUNCTION("IF(REGEXMATCH(TRIM(I1074), ""^\d+\s*min""), ""Unclassified"", IF(I1074 = """", ""NR"", I1074))"),"TV-Y7")</f>
        <v>TV-Y7</v>
      </c>
      <c r="R1074" s="5" t="str">
        <f t="shared" si="2"/>
        <v>Motu Patlu In The City Of Gold</v>
      </c>
      <c r="S1074" s="5" t="str">
        <f>IFERROR(__xludf.DUMMYFUNCTION("""COMPUTED_VALUE"""),"Blaze")</f>
        <v>Blaze</v>
      </c>
      <c r="U1074" s="5" t="str">
        <f>IFERROR(__xludf.DUMMYFUNCTION("""COMPUTED_VALUE"""),"Carlos Pérez Osorio")</f>
        <v>Carlos Pérez Osorio</v>
      </c>
      <c r="V1074" s="5" t="s">
        <v>6383</v>
      </c>
      <c r="W1074" s="5" t="str">
        <f t="shared" si="3"/>
        <v>Derek Peck</v>
      </c>
      <c r="X1074" s="5">
        <f t="shared" si="4"/>
        <v>1</v>
      </c>
      <c r="Y1074" s="5" t="str">
        <f>IFERROR(__xludf.DUMMYFUNCTION("REGEXEXTRACT(J1074, ""^\d+"")"),"77")</f>
        <v>77</v>
      </c>
      <c r="Z1074" s="5" t="str">
        <f>IFERROR(__xludf.DUMMYFUNCTION("REGEXEXTRACT(J1074, ""[A-Za-z ]+$"")")," min")</f>
        <v> min</v>
      </c>
      <c r="AA1074" s="5" t="str">
        <f>IFERROR(__xludf.DUMMYFUNCTION("IF(REGEXMATCH(Z1074, ""Season""), ""TV Show"", ""Movie"")"),"Movie")</f>
        <v>Movie</v>
      </c>
    </row>
    <row r="1075">
      <c r="A1075" s="1" t="s">
        <v>6384</v>
      </c>
      <c r="B1075" s="1" t="s">
        <v>27</v>
      </c>
      <c r="C1075" s="1" t="s">
        <v>6385</v>
      </c>
      <c r="D1075" s="1" t="s">
        <v>5630</v>
      </c>
      <c r="E1075" s="1" t="s">
        <v>6386</v>
      </c>
      <c r="G1075" s="1" t="s">
        <v>6376</v>
      </c>
      <c r="H1075" s="1">
        <v>2018.0</v>
      </c>
      <c r="I1075" s="1" t="s">
        <v>289</v>
      </c>
      <c r="J1075" s="1" t="s">
        <v>1144</v>
      </c>
      <c r="K1075" s="1" t="s">
        <v>920</v>
      </c>
      <c r="L1075" s="1" t="s">
        <v>6387</v>
      </c>
      <c r="M1075" s="2" t="s">
        <v>12</v>
      </c>
      <c r="N1075" s="4">
        <f t="shared" si="1"/>
        <v>44299</v>
      </c>
      <c r="O1075" s="5" t="str">
        <f>IFERROR(__xludf.DUMMYFUNCTION("IF(REGEXMATCH(TRIM(I1075), ""^\d+\s*min""), ""Unclassified"", IF(I1075 = """", ""NR"", I1075))"),"TV-Y7")</f>
        <v>TV-Y7</v>
      </c>
      <c r="R1075" s="5" t="str">
        <f t="shared" si="2"/>
        <v>Motu Patlu Kung Fu Kings 4 The Challenge Of Kung Fu Brothers</v>
      </c>
      <c r="S1075" s="5" t="str">
        <f>IFERROR(__xludf.DUMMYFUNCTION("""COMPUTED_VALUE"""),"Blazing Transfer Students")</f>
        <v>Blazing Transfer Students</v>
      </c>
      <c r="U1075" s="5" t="str">
        <f>IFERROR(__xludf.DUMMYFUNCTION("""COMPUTED_VALUE"""),"Ken Ghosh")</f>
        <v>Ken Ghosh</v>
      </c>
      <c r="V1075" s="5" t="s">
        <v>6388</v>
      </c>
      <c r="W1075" s="5" t="str">
        <f t="shared" si="3"/>
        <v>Derek Yee</v>
      </c>
      <c r="X1075" s="5">
        <f t="shared" si="4"/>
        <v>1</v>
      </c>
      <c r="Y1075" s="5" t="str">
        <f>IFERROR(__xludf.DUMMYFUNCTION("REGEXEXTRACT(J1075, ""^\d+"")"),"86")</f>
        <v>86</v>
      </c>
      <c r="Z1075" s="5" t="str">
        <f>IFERROR(__xludf.DUMMYFUNCTION("REGEXEXTRACT(J1075, ""[A-Za-z ]+$"")")," min")</f>
        <v> min</v>
      </c>
      <c r="AA1075" s="5" t="str">
        <f>IFERROR(__xludf.DUMMYFUNCTION("IF(REGEXMATCH(Z1075, ""Season""), ""TV Show"", ""Movie"")"),"Movie")</f>
        <v>Movie</v>
      </c>
    </row>
    <row r="1076">
      <c r="A1076" s="1" t="s">
        <v>6389</v>
      </c>
      <c r="B1076" s="1" t="s">
        <v>27</v>
      </c>
      <c r="C1076" s="1" t="s">
        <v>6390</v>
      </c>
      <c r="D1076" s="1" t="s">
        <v>5630</v>
      </c>
      <c r="E1076" s="1" t="s">
        <v>5635</v>
      </c>
      <c r="G1076" s="1" t="s">
        <v>6376</v>
      </c>
      <c r="H1076" s="1">
        <v>2019.0</v>
      </c>
      <c r="I1076" s="1" t="s">
        <v>289</v>
      </c>
      <c r="J1076" s="1" t="s">
        <v>6391</v>
      </c>
      <c r="K1076" s="1" t="s">
        <v>80</v>
      </c>
      <c r="L1076" s="1" t="s">
        <v>6392</v>
      </c>
      <c r="M1076" s="2" t="s">
        <v>12</v>
      </c>
      <c r="N1076" s="4">
        <f t="shared" si="1"/>
        <v>44299</v>
      </c>
      <c r="O1076" s="5" t="str">
        <f>IFERROR(__xludf.DUMMYFUNCTION("IF(REGEXMATCH(TRIM(I1076), ""^\d+\s*min""), ""Unclassified"", IF(I1076 = """", ""NR"", I1076))"),"TV-Y7")</f>
        <v>TV-Y7</v>
      </c>
      <c r="R1076" s="5" t="str">
        <f t="shared" si="2"/>
        <v>Motu Patlu The Superheroes – Super Villains From Mars</v>
      </c>
      <c r="S1076" s="5" t="str">
        <f>IFERROR(__xludf.DUMMYFUNCTION("""COMPUTED_VALUE"""),"Bleach")</f>
        <v>Bleach</v>
      </c>
      <c r="U1076" s="5" t="str">
        <f>IFERROR(__xludf.DUMMYFUNCTION("""COMPUTED_VALUE"""),"Indra Kumar")</f>
        <v>Indra Kumar</v>
      </c>
      <c r="V1076" s="5" t="s">
        <v>6393</v>
      </c>
      <c r="W1076" s="5" t="str">
        <f t="shared" si="3"/>
        <v>Derick Cabrido</v>
      </c>
      <c r="X1076" s="5">
        <f t="shared" si="4"/>
        <v>1</v>
      </c>
      <c r="Y1076" s="5" t="str">
        <f>IFERROR(__xludf.DUMMYFUNCTION("REGEXEXTRACT(J1076, ""^\d+"")"),"79")</f>
        <v>79</v>
      </c>
      <c r="Z1076" s="5" t="str">
        <f>IFERROR(__xludf.DUMMYFUNCTION("REGEXEXTRACT(J1076, ""[A-Za-z ]+$"")")," min")</f>
        <v> min</v>
      </c>
      <c r="AA1076" s="5" t="str">
        <f>IFERROR(__xludf.DUMMYFUNCTION("IF(REGEXMATCH(Z1076, ""Season""), ""TV Show"", ""Movie"")"),"Movie")</f>
        <v>Movie</v>
      </c>
    </row>
    <row r="1077">
      <c r="A1077" s="1" t="s">
        <v>6394</v>
      </c>
      <c r="B1077" s="1" t="s">
        <v>37</v>
      </c>
      <c r="C1077" s="1" t="s">
        <v>6395</v>
      </c>
      <c r="D1077" s="1" t="s">
        <v>6396</v>
      </c>
      <c r="F1077" s="1" t="s">
        <v>6397</v>
      </c>
      <c r="G1077" s="1" t="s">
        <v>6376</v>
      </c>
      <c r="H1077" s="1">
        <v>2021.0</v>
      </c>
      <c r="I1077" s="1" t="s">
        <v>136</v>
      </c>
      <c r="J1077" s="1" t="s">
        <v>51</v>
      </c>
      <c r="K1077" s="1" t="s">
        <v>1261</v>
      </c>
      <c r="L1077" s="1" t="s">
        <v>6398</v>
      </c>
      <c r="M1077" s="2" t="s">
        <v>12</v>
      </c>
      <c r="N1077" s="4">
        <f t="shared" si="1"/>
        <v>44299</v>
      </c>
      <c r="O1077" s="5" t="str">
        <f>IFERROR(__xludf.DUMMYFUNCTION("IF(REGEXMATCH(TRIM(I1077), ""^\d+\s*min""), ""Unclassified"", IF(I1077 = """", ""NR"", I1077))"),"TV-PG")</f>
        <v>TV-PG</v>
      </c>
      <c r="R1077" s="5" t="str">
        <f t="shared" si="2"/>
        <v>My Love: Six Stories Of True Love</v>
      </c>
      <c r="S1077" s="5" t="str">
        <f>IFERROR(__xludf.DUMMYFUNCTION("""COMPUTED_VALUE"""),"Bleach The Movie: Fade To Black")</f>
        <v>Bleach The Movie: Fade To Black</v>
      </c>
      <c r="U1077" s="5" t="str">
        <f>IFERROR(__xludf.DUMMYFUNCTION("""COMPUTED_VALUE"""),"B. Subhash")</f>
        <v>B. Subhash</v>
      </c>
      <c r="V1077" s="5" t="s">
        <v>6399</v>
      </c>
      <c r="W1077" s="5" t="str">
        <f t="shared" si="3"/>
        <v>Desingh Periyasamy</v>
      </c>
      <c r="X1077" s="5">
        <f t="shared" si="4"/>
        <v>1</v>
      </c>
      <c r="Y1077" s="5" t="str">
        <f>IFERROR(__xludf.DUMMYFUNCTION("REGEXEXTRACT(J1077, ""^\d+"")"),"1")</f>
        <v>1</v>
      </c>
      <c r="Z1077" s="5" t="str">
        <f>IFERROR(__xludf.DUMMYFUNCTION("REGEXEXTRACT(J1077, ""[A-Za-z ]+$"")")," Season")</f>
        <v> Season</v>
      </c>
      <c r="AA1077" s="5" t="str">
        <f>IFERROR(__xludf.DUMMYFUNCTION("IF(REGEXMATCH(Z1077, ""Season""), ""TV Show"", ""Movie"")"),"TV Show")</f>
        <v>TV Show</v>
      </c>
    </row>
    <row r="1078">
      <c r="A1078" s="1" t="s">
        <v>6400</v>
      </c>
      <c r="B1078" s="1" t="s">
        <v>27</v>
      </c>
      <c r="C1078" s="1" t="s">
        <v>6401</v>
      </c>
      <c r="D1078" s="1" t="s">
        <v>5630</v>
      </c>
      <c r="G1078" s="1" t="s">
        <v>6376</v>
      </c>
      <c r="H1078" s="1">
        <v>2018.0</v>
      </c>
      <c r="I1078" s="1" t="s">
        <v>289</v>
      </c>
      <c r="J1078" s="1" t="s">
        <v>729</v>
      </c>
      <c r="K1078" s="1" t="s">
        <v>80</v>
      </c>
      <c r="L1078" s="1" t="s">
        <v>6402</v>
      </c>
      <c r="M1078" s="2" t="s">
        <v>12</v>
      </c>
      <c r="N1078" s="4">
        <f t="shared" si="1"/>
        <v>44299</v>
      </c>
      <c r="O1078" s="5" t="str">
        <f>IFERROR(__xludf.DUMMYFUNCTION("IF(REGEXMATCH(TRIM(I1078), ""^\d+\s*min""), ""Unclassified"", IF(I1078 = """", ""NR"", I1078))"),"TV-Y7")</f>
        <v>TV-Y7</v>
      </c>
      <c r="R1078" s="5" t="str">
        <f t="shared" si="2"/>
        <v>Shiva Vs Autobots</v>
      </c>
      <c r="S1078" s="5" t="str">
        <f>IFERROR(__xludf.DUMMYFUNCTION("""COMPUTED_VALUE"""),"Bleach The Movie: Hell Verse")</f>
        <v>Bleach The Movie: Hell Verse</v>
      </c>
      <c r="U1078" s="5" t="str">
        <f>IFERROR(__xludf.DUMMYFUNCTION("""COMPUTED_VALUE"""),"Harshavardhan Kulkarni")</f>
        <v>Harshavardhan Kulkarni</v>
      </c>
      <c r="V1078" s="5" t="s">
        <v>6403</v>
      </c>
      <c r="W1078" s="5" t="str">
        <f t="shared" si="3"/>
        <v>Destin Daniel Cretton</v>
      </c>
      <c r="X1078" s="5">
        <f t="shared" si="4"/>
        <v>1</v>
      </c>
      <c r="Y1078" s="5" t="str">
        <f>IFERROR(__xludf.DUMMYFUNCTION("REGEXEXTRACT(J1078, ""^\d+"")"),"80")</f>
        <v>80</v>
      </c>
      <c r="Z1078" s="5" t="str">
        <f>IFERROR(__xludf.DUMMYFUNCTION("REGEXEXTRACT(J1078, ""[A-Za-z ]+$"")")," min")</f>
        <v> min</v>
      </c>
      <c r="AA1078" s="5" t="str">
        <f>IFERROR(__xludf.DUMMYFUNCTION("IF(REGEXMATCH(Z1078, ""Season""), ""TV Show"", ""Movie"")"),"Movie")</f>
        <v>Movie</v>
      </c>
    </row>
    <row r="1079">
      <c r="A1079" s="1" t="s">
        <v>6404</v>
      </c>
      <c r="B1079" s="1" t="s">
        <v>27</v>
      </c>
      <c r="C1079" s="1" t="s">
        <v>6405</v>
      </c>
      <c r="D1079" s="1" t="s">
        <v>5630</v>
      </c>
      <c r="G1079" s="1" t="s">
        <v>6376</v>
      </c>
      <c r="H1079" s="1">
        <v>2019.0</v>
      </c>
      <c r="I1079" s="1" t="s">
        <v>289</v>
      </c>
      <c r="J1079" s="1" t="s">
        <v>2452</v>
      </c>
      <c r="K1079" s="1" t="s">
        <v>80</v>
      </c>
      <c r="L1079" s="1" t="s">
        <v>6406</v>
      </c>
      <c r="M1079" s="2" t="s">
        <v>12</v>
      </c>
      <c r="N1079" s="4">
        <f t="shared" si="1"/>
        <v>44299</v>
      </c>
      <c r="O1079" s="5" t="str">
        <f>IFERROR(__xludf.DUMMYFUNCTION("IF(REGEXMATCH(TRIM(I1079), ""^\d+\s*min""), ""Unclassified"", IF(I1079 = """", ""NR"", I1079))"),"TV-Y7")</f>
        <v>TV-Y7</v>
      </c>
      <c r="R1079" s="5" t="str">
        <f t="shared" si="2"/>
        <v>Shiva: Journey To Plunotaria</v>
      </c>
      <c r="S1079" s="5" t="str">
        <f>IFERROR(__xludf.DUMMYFUNCTION("""COMPUTED_VALUE"""),"Bleed For This")</f>
        <v>Bleed For This</v>
      </c>
      <c r="U1079" s="5" t="str">
        <f>IFERROR(__xludf.DUMMYFUNCTION("""COMPUTED_VALUE"""),"Neeraj Vora")</f>
        <v>Neeraj Vora</v>
      </c>
      <c r="V1079" s="5" t="s">
        <v>6407</v>
      </c>
      <c r="W1079" s="5" t="str">
        <f t="shared" si="3"/>
        <v>Detlev Buck</v>
      </c>
      <c r="X1079" s="5">
        <f t="shared" si="4"/>
        <v>5</v>
      </c>
      <c r="Y1079" s="5" t="str">
        <f>IFERROR(__xludf.DUMMYFUNCTION("REGEXEXTRACT(J1079, ""^\d+"")"),"81")</f>
        <v>81</v>
      </c>
      <c r="Z1079" s="5" t="str">
        <f>IFERROR(__xludf.DUMMYFUNCTION("REGEXEXTRACT(J1079, ""[A-Za-z ]+$"")")," min")</f>
        <v> min</v>
      </c>
      <c r="AA1079" s="5" t="str">
        <f>IFERROR(__xludf.DUMMYFUNCTION("IF(REGEXMATCH(Z1079, ""Season""), ""TV Show"", ""Movie"")"),"Movie")</f>
        <v>Movie</v>
      </c>
    </row>
    <row r="1080">
      <c r="A1080" s="1" t="s">
        <v>6408</v>
      </c>
      <c r="B1080" s="1" t="s">
        <v>27</v>
      </c>
      <c r="C1080" s="1" t="s">
        <v>6409</v>
      </c>
      <c r="D1080" s="1" t="s">
        <v>5630</v>
      </c>
      <c r="G1080" s="1" t="s">
        <v>6376</v>
      </c>
      <c r="H1080" s="1">
        <v>2017.0</v>
      </c>
      <c r="I1080" s="1" t="s">
        <v>206</v>
      </c>
      <c r="J1080" s="1" t="s">
        <v>1737</v>
      </c>
      <c r="K1080" s="1" t="s">
        <v>80</v>
      </c>
      <c r="L1080" s="1" t="s">
        <v>6410</v>
      </c>
      <c r="M1080" s="2" t="s">
        <v>12</v>
      </c>
      <c r="N1080" s="4">
        <f t="shared" si="1"/>
        <v>44299</v>
      </c>
      <c r="O1080" s="5" t="str">
        <f>IFERROR(__xludf.DUMMYFUNCTION("IF(REGEXMATCH(TRIM(I1080), ""^\d+\s*min""), ""Unclassified"", IF(I1080 = """", ""NR"", I1080))"),"TV-Y")</f>
        <v>TV-Y</v>
      </c>
      <c r="R1080" s="5" t="str">
        <f t="shared" si="2"/>
        <v>Shiva: The Secret World Of Vedas City</v>
      </c>
      <c r="S1080" s="5" t="str">
        <f>IFERROR(__xludf.DUMMYFUNCTION("""COMPUTED_VALUE"""),"Blessed Benefit")</f>
        <v>Blessed Benefit</v>
      </c>
      <c r="U1080" s="5" t="str">
        <f>IFERROR(__xludf.DUMMYFUNCTION("""COMPUTED_VALUE"""),"Puneet Khanna")</f>
        <v>Puneet Khanna</v>
      </c>
      <c r="V1080" s="5" t="s">
        <v>6411</v>
      </c>
      <c r="W1080" s="5" t="str">
        <f t="shared" si="3"/>
        <v>Devaki Singh, Luke Kenny</v>
      </c>
      <c r="X1080" s="5">
        <f t="shared" si="4"/>
        <v>1</v>
      </c>
      <c r="Y1080" s="5" t="str">
        <f>IFERROR(__xludf.DUMMYFUNCTION("REGEXEXTRACT(J1080, ""^\d+"")"),"78")</f>
        <v>78</v>
      </c>
      <c r="Z1080" s="5" t="str">
        <f>IFERROR(__xludf.DUMMYFUNCTION("REGEXEXTRACT(J1080, ""[A-Za-z ]+$"")")," min")</f>
        <v> min</v>
      </c>
      <c r="AA1080" s="5" t="str">
        <f>IFERROR(__xludf.DUMMYFUNCTION("IF(REGEXMATCH(Z1080, ""Season""), ""TV Show"", ""Movie"")"),"Movie")</f>
        <v>Movie</v>
      </c>
    </row>
    <row r="1081">
      <c r="A1081" s="1" t="s">
        <v>6412</v>
      </c>
      <c r="B1081" s="1" t="s">
        <v>37</v>
      </c>
      <c r="C1081" s="1" t="s">
        <v>6413</v>
      </c>
      <c r="E1081" s="1" t="s">
        <v>6414</v>
      </c>
      <c r="F1081" s="1" t="s">
        <v>1951</v>
      </c>
      <c r="G1081" s="1" t="s">
        <v>6376</v>
      </c>
      <c r="H1081" s="1">
        <v>2020.0</v>
      </c>
      <c r="I1081" s="1" t="s">
        <v>136</v>
      </c>
      <c r="J1081" s="1" t="s">
        <v>51</v>
      </c>
      <c r="K1081" s="1" t="s">
        <v>4634</v>
      </c>
      <c r="L1081" s="1" t="s">
        <v>6415</v>
      </c>
      <c r="M1081" s="2" t="s">
        <v>12</v>
      </c>
      <c r="N1081" s="4">
        <f t="shared" si="1"/>
        <v>44299</v>
      </c>
      <c r="O1081" s="5" t="str">
        <f>IFERROR(__xludf.DUMMYFUNCTION("IF(REGEXMATCH(TRIM(I1081), ""^\d+\s*min""), ""Unclassified"", IF(I1081 = """", ""NR"", I1081))"),"TV-PG")</f>
        <v>TV-PG</v>
      </c>
      <c r="R1081" s="5" t="str">
        <f t="shared" si="2"/>
        <v>The Baker And The Beauty</v>
      </c>
      <c r="S1081" s="5" t="str">
        <f>IFERROR(__xludf.DUMMYFUNCTION("""COMPUTED_VALUE"""),"Blind Date")</f>
        <v>Blind Date</v>
      </c>
      <c r="U1081" s="5" t="str">
        <f>IFERROR(__xludf.DUMMYFUNCTION("""COMPUTED_VALUE"""),"Radha Blank")</f>
        <v>Radha Blank</v>
      </c>
      <c r="V1081" s="5" t="s">
        <v>6416</v>
      </c>
      <c r="W1081" s="5" t="str">
        <f t="shared" si="3"/>
        <v>Devashish Makhija</v>
      </c>
      <c r="X1081" s="5">
        <f t="shared" si="4"/>
        <v>1</v>
      </c>
      <c r="Y1081" s="5" t="str">
        <f>IFERROR(__xludf.DUMMYFUNCTION("REGEXEXTRACT(J1081, ""^\d+"")"),"1")</f>
        <v>1</v>
      </c>
      <c r="Z1081" s="5" t="str">
        <f>IFERROR(__xludf.DUMMYFUNCTION("REGEXEXTRACT(J1081, ""[A-Za-z ]+$"")")," Season")</f>
        <v> Season</v>
      </c>
      <c r="AA1081" s="5" t="str">
        <f>IFERROR(__xludf.DUMMYFUNCTION("IF(REGEXMATCH(Z1081, ""Season""), ""TV Show"", ""Movie"")"),"TV Show")</f>
        <v>TV Show</v>
      </c>
    </row>
    <row r="1082">
      <c r="A1082" s="1" t="s">
        <v>6417</v>
      </c>
      <c r="B1082" s="1" t="s">
        <v>27</v>
      </c>
      <c r="C1082" s="1" t="s">
        <v>6418</v>
      </c>
      <c r="D1082" s="1" t="s">
        <v>6419</v>
      </c>
      <c r="E1082" s="1" t="s">
        <v>6420</v>
      </c>
      <c r="F1082" s="1" t="s">
        <v>3892</v>
      </c>
      <c r="G1082" s="1" t="s">
        <v>6421</v>
      </c>
      <c r="H1082" s="1">
        <v>2021.0</v>
      </c>
      <c r="I1082" s="1" t="s">
        <v>97</v>
      </c>
      <c r="J1082" s="1" t="s">
        <v>870</v>
      </c>
      <c r="K1082" s="1" t="s">
        <v>417</v>
      </c>
      <c r="L1082" s="1" t="s">
        <v>6422</v>
      </c>
      <c r="M1082" s="2" t="s">
        <v>12</v>
      </c>
      <c r="N1082" s="4">
        <f t="shared" si="1"/>
        <v>44298</v>
      </c>
      <c r="O1082" s="5" t="str">
        <f>IFERROR(__xludf.DUMMYFUNCTION("IF(REGEXMATCH(TRIM(I1082), ""^\d+\s*min""), ""Unclassified"", IF(I1082 = """", ""NR"", I1082))"),"TV-14")</f>
        <v>TV-14</v>
      </c>
      <c r="R1082" s="5" t="str">
        <f t="shared" si="2"/>
        <v>New Gods: Nezha Reborn</v>
      </c>
      <c r="S1082" s="5" t="str">
        <f>IFERROR(__xludf.DUMMYFUNCTION("""COMPUTED_VALUE"""),"Blind Detective")</f>
        <v>Blind Detective</v>
      </c>
      <c r="U1082" s="5" t="str">
        <f>IFERROR(__xludf.DUMMYFUNCTION("""COMPUTED_VALUE"""),"Bigflo &amp; Oli, Jérémie Levypon")</f>
        <v>Bigflo &amp; Oli, Jérémie Levypon</v>
      </c>
      <c r="V1082" s="5" t="s">
        <v>6423</v>
      </c>
      <c r="W1082" s="5" t="str">
        <f t="shared" si="3"/>
        <v>Devika Bhagat</v>
      </c>
      <c r="X1082" s="5">
        <f t="shared" si="4"/>
        <v>1</v>
      </c>
      <c r="Y1082" s="5" t="str">
        <f>IFERROR(__xludf.DUMMYFUNCTION("REGEXEXTRACT(J1082, ""^\d+"")"),"118")</f>
        <v>118</v>
      </c>
      <c r="Z1082" s="5" t="str">
        <f>IFERROR(__xludf.DUMMYFUNCTION("REGEXEXTRACT(J1082, ""[A-Za-z ]+$"")")," min")</f>
        <v> min</v>
      </c>
      <c r="AA1082" s="5" t="str">
        <f>IFERROR(__xludf.DUMMYFUNCTION("IF(REGEXMATCH(Z1082, ""Season""), ""TV Show"", ""Movie"")"),"Movie")</f>
        <v>Movie</v>
      </c>
    </row>
    <row r="1083">
      <c r="A1083" s="1" t="s">
        <v>6424</v>
      </c>
      <c r="B1083" s="1" t="s">
        <v>37</v>
      </c>
      <c r="C1083" s="1" t="s">
        <v>6425</v>
      </c>
      <c r="E1083" s="1" t="s">
        <v>6426</v>
      </c>
      <c r="F1083" s="1" t="s">
        <v>30</v>
      </c>
      <c r="G1083" s="1" t="s">
        <v>6421</v>
      </c>
      <c r="H1083" s="1">
        <v>2018.0</v>
      </c>
      <c r="I1083" s="1" t="s">
        <v>506</v>
      </c>
      <c r="J1083" s="1" t="s">
        <v>148</v>
      </c>
      <c r="K1083" s="1" t="s">
        <v>314</v>
      </c>
      <c r="L1083" s="1" t="s">
        <v>6427</v>
      </c>
      <c r="M1083" s="2" t="s">
        <v>12</v>
      </c>
      <c r="N1083" s="4">
        <f t="shared" si="1"/>
        <v>44298</v>
      </c>
      <c r="O1083" s="5" t="str">
        <f>IFERROR(__xludf.DUMMYFUNCTION("IF(REGEXMATCH(TRIM(I1083), ""^\d+\s*min""), ""Unclassified"", IF(I1083 = """", ""NR"", I1083))"),"TV-G")</f>
        <v>TV-G</v>
      </c>
      <c r="R1083" s="5" t="str">
        <f t="shared" si="2"/>
        <v>Nicky, Ricky, Dicky &amp; Dawn</v>
      </c>
      <c r="S1083" s="5" t="str">
        <f>IFERROR(__xludf.DUMMYFUNCTION("""COMPUTED_VALUE"""),"Blind Intersections")</f>
        <v>Blind Intersections</v>
      </c>
      <c r="U1083" s="5" t="str">
        <f>IFERROR(__xludf.DUMMYFUNCTION("""COMPUTED_VALUE"""),"Eduardo Pinto")</f>
        <v>Eduardo Pinto</v>
      </c>
      <c r="V1083" s="5" t="s">
        <v>6428</v>
      </c>
      <c r="W1083" s="5" t="str">
        <f t="shared" si="3"/>
        <v>Devin Chanda</v>
      </c>
      <c r="X1083" s="5">
        <f t="shared" si="4"/>
        <v>1</v>
      </c>
      <c r="Y1083" s="5" t="str">
        <f>IFERROR(__xludf.DUMMYFUNCTION("REGEXEXTRACT(J1083, ""^\d+"")"),"4")</f>
        <v>4</v>
      </c>
      <c r="Z1083" s="5" t="str">
        <f>IFERROR(__xludf.DUMMYFUNCTION("REGEXEXTRACT(J1083, ""[A-Za-z ]+$"")")," Seasons")</f>
        <v> Seasons</v>
      </c>
      <c r="AA1083" s="5" t="str">
        <f>IFERROR(__xludf.DUMMYFUNCTION("IF(REGEXMATCH(Z1083, ""Season""), ""TV Show"", ""Movie"")"),"TV Show")</f>
        <v>TV Show</v>
      </c>
    </row>
    <row r="1084">
      <c r="A1084" s="1" t="s">
        <v>6429</v>
      </c>
      <c r="B1084" s="1" t="s">
        <v>37</v>
      </c>
      <c r="C1084" s="1" t="s">
        <v>6430</v>
      </c>
      <c r="E1084" s="1" t="s">
        <v>6431</v>
      </c>
      <c r="G1084" s="1" t="s">
        <v>6432</v>
      </c>
      <c r="H1084" s="1">
        <v>2021.0</v>
      </c>
      <c r="I1084" s="1" t="s">
        <v>97</v>
      </c>
      <c r="J1084" s="1" t="s">
        <v>51</v>
      </c>
      <c r="K1084" s="1" t="s">
        <v>1520</v>
      </c>
      <c r="L1084" s="1" t="s">
        <v>6433</v>
      </c>
      <c r="M1084" s="2" t="s">
        <v>12</v>
      </c>
      <c r="N1084" s="4">
        <f t="shared" si="1"/>
        <v>44297</v>
      </c>
      <c r="O1084" s="5" t="str">
        <f>IFERROR(__xludf.DUMMYFUNCTION("IF(REGEXMATCH(TRIM(I1084), ""^\d+\s*min""), ""Unclassified"", IF(I1084 = """", ""NR"", I1084))"),"TV-14")</f>
        <v>TV-14</v>
      </c>
      <c r="R1084" s="5" t="str">
        <f t="shared" si="2"/>
        <v>Don'T Be The First One</v>
      </c>
      <c r="S1084" s="5" t="str">
        <f>IFERROR(__xludf.DUMMYFUNCTION("""COMPUTED_VALUE"""),"Bling Empire")</f>
        <v>Bling Empire</v>
      </c>
      <c r="U1084" s="5" t="str">
        <f>IFERROR(__xludf.DUMMYFUNCTION("""COMPUTED_VALUE"""),"Pavel Kostomarov")</f>
        <v>Pavel Kostomarov</v>
      </c>
      <c r="V1084" s="5" t="s">
        <v>6434</v>
      </c>
      <c r="W1084" s="5" t="str">
        <f t="shared" si="3"/>
        <v>Dhanush</v>
      </c>
      <c r="X1084" s="5">
        <f t="shared" si="4"/>
        <v>1</v>
      </c>
      <c r="Y1084" s="5" t="str">
        <f>IFERROR(__xludf.DUMMYFUNCTION("REGEXEXTRACT(J1084, ""^\d+"")"),"1")</f>
        <v>1</v>
      </c>
      <c r="Z1084" s="5" t="str">
        <f>IFERROR(__xludf.DUMMYFUNCTION("REGEXEXTRACT(J1084, ""[A-Za-z ]+$"")")," Season")</f>
        <v> Season</v>
      </c>
      <c r="AA1084" s="5" t="str">
        <f>IFERROR(__xludf.DUMMYFUNCTION("IF(REGEXMATCH(Z1084, ""Season""), ""TV Show"", ""Movie"")"),"TV Show")</f>
        <v>TV Show</v>
      </c>
    </row>
    <row r="1085">
      <c r="A1085" s="1" t="s">
        <v>6435</v>
      </c>
      <c r="B1085" s="1" t="s">
        <v>27</v>
      </c>
      <c r="C1085" s="1" t="s">
        <v>6436</v>
      </c>
      <c r="D1085" s="1" t="s">
        <v>6437</v>
      </c>
      <c r="E1085" s="1" t="s">
        <v>6438</v>
      </c>
      <c r="F1085" s="1" t="s">
        <v>30</v>
      </c>
      <c r="G1085" s="1" t="s">
        <v>6439</v>
      </c>
      <c r="H1085" s="1">
        <v>2020.0</v>
      </c>
      <c r="I1085" s="1" t="s">
        <v>378</v>
      </c>
      <c r="J1085" s="1" t="s">
        <v>447</v>
      </c>
      <c r="K1085" s="1" t="s">
        <v>239</v>
      </c>
      <c r="L1085" s="1" t="s">
        <v>6440</v>
      </c>
      <c r="M1085" s="2" t="s">
        <v>12</v>
      </c>
      <c r="N1085" s="4">
        <f t="shared" si="1"/>
        <v>44296</v>
      </c>
      <c r="O1085" s="5" t="str">
        <f>IFERROR(__xludf.DUMMYFUNCTION("IF(REGEXMATCH(TRIM(I1085), ""^\d+\s*min""), ""Unclassified"", IF(I1085 = """", ""NR"", I1085))"),"R")</f>
        <v>R</v>
      </c>
      <c r="R1085" s="5" t="str">
        <f t="shared" si="2"/>
        <v>The Stand-In</v>
      </c>
      <c r="S1085" s="5" t="str">
        <f>IFERROR(__xludf.DUMMYFUNCTION("""COMPUTED_VALUE"""),"Bling Empire - The Afterparty")</f>
        <v>Bling Empire - The Afterparty</v>
      </c>
      <c r="U1085" s="5" t="str">
        <f>IFERROR(__xludf.DUMMYFUNCTION("""COMPUTED_VALUE"""),"Mike Elliott")</f>
        <v>Mike Elliott</v>
      </c>
      <c r="V1085" s="5" t="s">
        <v>6441</v>
      </c>
      <c r="W1085" s="5" t="str">
        <f t="shared" si="3"/>
        <v>Dharmendra Suresh Desai</v>
      </c>
      <c r="X1085" s="5">
        <f t="shared" si="4"/>
        <v>1</v>
      </c>
      <c r="Y1085" s="5" t="str">
        <f>IFERROR(__xludf.DUMMYFUNCTION("REGEXEXTRACT(J1085, ""^\d+"")"),"102")</f>
        <v>102</v>
      </c>
      <c r="Z1085" s="5" t="str">
        <f>IFERROR(__xludf.DUMMYFUNCTION("REGEXEXTRACT(J1085, ""[A-Za-z ]+$"")")," min")</f>
        <v> min</v>
      </c>
      <c r="AA1085" s="5" t="str">
        <f>IFERROR(__xludf.DUMMYFUNCTION("IF(REGEXMATCH(Z1085, ""Season""), ""TV Show"", ""Movie"")"),"Movie")</f>
        <v>Movie</v>
      </c>
    </row>
    <row r="1086">
      <c r="A1086" s="1" t="s">
        <v>6442</v>
      </c>
      <c r="B1086" s="1" t="s">
        <v>37</v>
      </c>
      <c r="C1086" s="1" t="s">
        <v>6443</v>
      </c>
      <c r="E1086" s="1" t="s">
        <v>6444</v>
      </c>
      <c r="F1086" s="1" t="s">
        <v>3892</v>
      </c>
      <c r="G1086" s="1" t="s">
        <v>6445</v>
      </c>
      <c r="H1086" s="1">
        <v>2020.0</v>
      </c>
      <c r="I1086" s="1" t="s">
        <v>97</v>
      </c>
      <c r="J1086" s="1" t="s">
        <v>51</v>
      </c>
      <c r="K1086" s="1" t="s">
        <v>1756</v>
      </c>
      <c r="L1086" s="1" t="s">
        <v>6446</v>
      </c>
      <c r="M1086" s="2" t="s">
        <v>12</v>
      </c>
      <c r="N1086" s="4">
        <f t="shared" si="1"/>
        <v>44295</v>
      </c>
      <c r="O1086" s="5" t="str">
        <f>IFERROR(__xludf.DUMMYFUNCTION("IF(REGEXMATCH(TRIM(I1086), ""^\d+\s*min""), ""Unclassified"", IF(I1086 = """", ""NR"", I1086))"),"TV-14")</f>
        <v>TV-14</v>
      </c>
      <c r="R1086" s="5" t="str">
        <f t="shared" si="2"/>
        <v>Heaven Official'S Blessing</v>
      </c>
      <c r="S1086" s="5" t="str">
        <f>IFERROR(__xludf.DUMMYFUNCTION("""COMPUTED_VALUE"""),"Blinky Bill: The Movie")</f>
        <v>Blinky Bill: The Movie</v>
      </c>
      <c r="U1086" s="5" t="str">
        <f>IFERROR(__xludf.DUMMYFUNCTION("""COMPUTED_VALUE"""),"Francis Whately")</f>
        <v>Francis Whately</v>
      </c>
      <c r="V1086" s="5" t="s">
        <v>6447</v>
      </c>
      <c r="W1086" s="5" t="str">
        <f t="shared" si="3"/>
        <v>Dharmesh Darshan</v>
      </c>
      <c r="X1086" s="5">
        <f t="shared" si="4"/>
        <v>2</v>
      </c>
      <c r="Y1086" s="5" t="str">
        <f>IFERROR(__xludf.DUMMYFUNCTION("REGEXEXTRACT(J1086, ""^\d+"")"),"1")</f>
        <v>1</v>
      </c>
      <c r="Z1086" s="5" t="str">
        <f>IFERROR(__xludf.DUMMYFUNCTION("REGEXEXTRACT(J1086, ""[A-Za-z ]+$"")")," Season")</f>
        <v> Season</v>
      </c>
      <c r="AA1086" s="5" t="str">
        <f>IFERROR(__xludf.DUMMYFUNCTION("IF(REGEXMATCH(Z1086, ""Season""), ""TV Show"", ""Movie"")"),"TV Show")</f>
        <v>TV Show</v>
      </c>
    </row>
    <row r="1087">
      <c r="A1087" s="1" t="s">
        <v>6448</v>
      </c>
      <c r="B1087" s="1" t="s">
        <v>27</v>
      </c>
      <c r="C1087" s="1" t="s">
        <v>6449</v>
      </c>
      <c r="D1087" s="1" t="s">
        <v>6450</v>
      </c>
      <c r="E1087" s="1" t="s">
        <v>6451</v>
      </c>
      <c r="F1087" s="1" t="s">
        <v>749</v>
      </c>
      <c r="G1087" s="1" t="s">
        <v>6445</v>
      </c>
      <c r="H1087" s="1">
        <v>2021.0</v>
      </c>
      <c r="I1087" s="1" t="s">
        <v>42</v>
      </c>
      <c r="J1087" s="1" t="s">
        <v>2505</v>
      </c>
      <c r="K1087" s="1" t="s">
        <v>128</v>
      </c>
      <c r="L1087" s="1" t="s">
        <v>6452</v>
      </c>
      <c r="M1087" s="2" t="s">
        <v>12</v>
      </c>
      <c r="N1087" s="4">
        <f t="shared" si="1"/>
        <v>44295</v>
      </c>
      <c r="O1087" s="5" t="str">
        <f>IFERROR(__xludf.DUMMYFUNCTION("IF(REGEXMATCH(TRIM(I1087), ""^\d+\s*min""), ""Unclassified"", IF(I1087 = """", ""NR"", I1087))"),"TV-MA")</f>
        <v>TV-MA</v>
      </c>
      <c r="R1087" s="5" t="str">
        <f t="shared" si="2"/>
        <v>Night In Paradise</v>
      </c>
      <c r="S1087" s="5" t="str">
        <f>IFERROR(__xludf.DUMMYFUNCTION("""COMPUTED_VALUE"""),"Bliss")</f>
        <v>Bliss</v>
      </c>
      <c r="U1087" s="5" t="str">
        <f>IFERROR(__xludf.DUMMYFUNCTION("""COMPUTED_VALUE"""),"Jon Izen")</f>
        <v>Jon Izen</v>
      </c>
      <c r="V1087" s="5" t="s">
        <v>6453</v>
      </c>
      <c r="W1087" s="5" t="str">
        <f t="shared" si="3"/>
        <v>Dheeraj Berry</v>
      </c>
      <c r="X1087" s="5">
        <f t="shared" si="4"/>
        <v>1</v>
      </c>
      <c r="Y1087" s="5" t="str">
        <f>IFERROR(__xludf.DUMMYFUNCTION("REGEXEXTRACT(J1087, ""^\d+"")"),"132")</f>
        <v>132</v>
      </c>
      <c r="Z1087" s="5" t="str">
        <f>IFERROR(__xludf.DUMMYFUNCTION("REGEXEXTRACT(J1087, ""[A-Za-z ]+$"")")," min")</f>
        <v> min</v>
      </c>
      <c r="AA1087" s="5" t="str">
        <f>IFERROR(__xludf.DUMMYFUNCTION("IF(REGEXMATCH(Z1087, ""Season""), ""TV Show"", ""Movie"")"),"Movie")</f>
        <v>Movie</v>
      </c>
    </row>
    <row r="1088">
      <c r="A1088" s="1" t="s">
        <v>6454</v>
      </c>
      <c r="B1088" s="1" t="s">
        <v>27</v>
      </c>
      <c r="C1088" s="1" t="s">
        <v>6455</v>
      </c>
      <c r="D1088" s="1" t="s">
        <v>5718</v>
      </c>
      <c r="E1088" s="1" t="s">
        <v>6456</v>
      </c>
      <c r="F1088" s="1" t="s">
        <v>400</v>
      </c>
      <c r="G1088" s="1" t="s">
        <v>6445</v>
      </c>
      <c r="H1088" s="1">
        <v>2016.0</v>
      </c>
      <c r="I1088" s="1" t="s">
        <v>42</v>
      </c>
      <c r="J1088" s="1" t="s">
        <v>912</v>
      </c>
      <c r="K1088" s="1" t="s">
        <v>298</v>
      </c>
      <c r="L1088" s="1" t="s">
        <v>6457</v>
      </c>
      <c r="M1088" s="2" t="s">
        <v>12</v>
      </c>
      <c r="N1088" s="4">
        <f t="shared" si="1"/>
        <v>44295</v>
      </c>
      <c r="O1088" s="5" t="str">
        <f>IFERROR(__xludf.DUMMYFUNCTION("IF(REGEXMATCH(TRIM(I1088), ""^\d+\s*min""), ""Unclassified"", IF(I1088 = """", ""NR"", I1088))"),"TV-MA")</f>
        <v>TV-MA</v>
      </c>
      <c r="R1088" s="5" t="str">
        <f t="shared" si="2"/>
        <v>Ojukokoro: Greed</v>
      </c>
      <c r="S1088" s="5" t="str">
        <f>IFERROR(__xludf.DUMMYFUNCTION("""COMPUTED_VALUE"""),"Blitz Patrollie")</f>
        <v>Blitz Patrollie</v>
      </c>
      <c r="U1088" s="5" t="str">
        <f>IFERROR(__xludf.DUMMYFUNCTION("""COMPUTED_VALUE"""),"Christopher Nolen")</f>
        <v>Christopher Nolen</v>
      </c>
      <c r="V1088" s="5" t="s">
        <v>6458</v>
      </c>
      <c r="W1088" s="5" t="str">
        <f t="shared" si="3"/>
        <v>Dhilip Kumar</v>
      </c>
      <c r="X1088" s="5">
        <f t="shared" si="4"/>
        <v>1</v>
      </c>
      <c r="Y1088" s="5" t="str">
        <f>IFERROR(__xludf.DUMMYFUNCTION("REGEXEXTRACT(J1088, ""^\d+"")"),"108")</f>
        <v>108</v>
      </c>
      <c r="Z1088" s="5" t="str">
        <f>IFERROR(__xludf.DUMMYFUNCTION("REGEXEXTRACT(J1088, ""[A-Za-z ]+$"")")," min")</f>
        <v> min</v>
      </c>
      <c r="AA1088" s="5" t="str">
        <f>IFERROR(__xludf.DUMMYFUNCTION("IF(REGEXMATCH(Z1088, ""Season""), ""TV Show"", ""Movie"")"),"Movie")</f>
        <v>Movie</v>
      </c>
    </row>
    <row r="1089">
      <c r="A1089" s="1" t="s">
        <v>6459</v>
      </c>
      <c r="B1089" s="1" t="s">
        <v>27</v>
      </c>
      <c r="C1089" s="1" t="s">
        <v>6460</v>
      </c>
      <c r="D1089" s="1" t="s">
        <v>3248</v>
      </c>
      <c r="E1089" s="1" t="s">
        <v>6461</v>
      </c>
      <c r="F1089" s="1" t="s">
        <v>63</v>
      </c>
      <c r="G1089" s="1" t="s">
        <v>6445</v>
      </c>
      <c r="H1089" s="1">
        <v>2021.0</v>
      </c>
      <c r="I1089" s="1" t="s">
        <v>97</v>
      </c>
      <c r="J1089" s="1" t="s">
        <v>1428</v>
      </c>
      <c r="K1089" s="1" t="s">
        <v>6462</v>
      </c>
      <c r="L1089" s="1" t="s">
        <v>6463</v>
      </c>
      <c r="M1089" s="2" t="s">
        <v>12</v>
      </c>
      <c r="N1089" s="4">
        <f t="shared" si="1"/>
        <v>44295</v>
      </c>
      <c r="O1089" s="5" t="str">
        <f>IFERROR(__xludf.DUMMYFUNCTION("IF(REGEXMATCH(TRIM(I1089), ""^\d+\s*min""), ""Unclassified"", IF(I1089 = """", ""NR"", I1089))"),"TV-14")</f>
        <v>TV-14</v>
      </c>
      <c r="R1089" s="5" t="str">
        <f t="shared" si="2"/>
        <v>Roohi</v>
      </c>
      <c r="S1089" s="5" t="str">
        <f>IFERROR(__xludf.DUMMYFUNCTION("""COMPUTED_VALUE"""),"Blockbuster")</f>
        <v>Blockbuster</v>
      </c>
      <c r="U1089" s="5" t="str">
        <f>IFERROR(__xludf.DUMMYFUNCTION("""COMPUTED_VALUE"""),"Alastair Fothergill, Jonnie Hughes, Keith Scholey")</f>
        <v>Alastair Fothergill, Jonnie Hughes, Keith Scholey</v>
      </c>
      <c r="V1089" s="5" t="s">
        <v>6464</v>
      </c>
      <c r="W1089" s="5" t="str">
        <f t="shared" si="3"/>
        <v>Dhruv Dhawan</v>
      </c>
      <c r="X1089" s="5">
        <f t="shared" si="4"/>
        <v>1</v>
      </c>
      <c r="Y1089" s="5" t="str">
        <f>IFERROR(__xludf.DUMMYFUNCTION("REGEXEXTRACT(J1089, ""^\d+"")"),"133")</f>
        <v>133</v>
      </c>
      <c r="Z1089" s="5" t="str">
        <f>IFERROR(__xludf.DUMMYFUNCTION("REGEXEXTRACT(J1089, ""[A-Za-z ]+$"")")," min")</f>
        <v> min</v>
      </c>
      <c r="AA1089" s="5" t="str">
        <f>IFERROR(__xludf.DUMMYFUNCTION("IF(REGEXMATCH(Z1089, ""Season""), ""TV Show"", ""Movie"")"),"Movie")</f>
        <v>Movie</v>
      </c>
    </row>
    <row r="1090">
      <c r="A1090" s="1" t="s">
        <v>6465</v>
      </c>
      <c r="B1090" s="1" t="s">
        <v>27</v>
      </c>
      <c r="C1090" s="1" t="s">
        <v>6466</v>
      </c>
      <c r="D1090" s="1" t="s">
        <v>3146</v>
      </c>
      <c r="E1090" s="1" t="s">
        <v>6467</v>
      </c>
      <c r="F1090" s="1" t="s">
        <v>30</v>
      </c>
      <c r="G1090" s="1" t="s">
        <v>6445</v>
      </c>
      <c r="H1090" s="1">
        <v>2021.0</v>
      </c>
      <c r="I1090" s="1" t="s">
        <v>32</v>
      </c>
      <c r="J1090" s="1" t="s">
        <v>1256</v>
      </c>
      <c r="K1090" s="1" t="s">
        <v>973</v>
      </c>
      <c r="L1090" s="1" t="s">
        <v>6468</v>
      </c>
      <c r="M1090" s="2" t="s">
        <v>12</v>
      </c>
      <c r="N1090" s="4">
        <f t="shared" si="1"/>
        <v>44295</v>
      </c>
      <c r="O1090" s="5" t="str">
        <f>IFERROR(__xludf.DUMMYFUNCTION("IF(REGEXMATCH(TRIM(I1090), ""^\d+\s*min""), ""Unclassified"", IF(I1090 = """", ""NR"", I1090))"),"PG-13")</f>
        <v>PG-13</v>
      </c>
      <c r="R1090" s="5" t="str">
        <f t="shared" si="2"/>
        <v>Thunder Force</v>
      </c>
      <c r="S1090" s="5" t="str">
        <f>IFERROR(__xludf.DUMMYFUNCTION("""COMPUTED_VALUE"""),"Blood &amp; Treasures")</f>
        <v>Blood &amp; Treasures</v>
      </c>
      <c r="U1090" s="5" t="str">
        <f>IFERROR(__xludf.DUMMYFUNCTION("""COMPUTED_VALUE"""),"Amy Segal")</f>
        <v>Amy Segal</v>
      </c>
      <c r="V1090" s="5" t="s">
        <v>6469</v>
      </c>
      <c r="W1090" s="5" t="str">
        <f t="shared" si="3"/>
        <v>Dianne Dreyer</v>
      </c>
      <c r="X1090" s="5">
        <f t="shared" si="4"/>
        <v>1</v>
      </c>
      <c r="Y1090" s="5" t="str">
        <f>IFERROR(__xludf.DUMMYFUNCTION("REGEXEXTRACT(J1090, ""^\d+"")"),"107")</f>
        <v>107</v>
      </c>
      <c r="Z1090" s="5" t="str">
        <f>IFERROR(__xludf.DUMMYFUNCTION("REGEXEXTRACT(J1090, ""[A-Za-z ]+$"")")," min")</f>
        <v> min</v>
      </c>
      <c r="AA1090" s="5" t="str">
        <f>IFERROR(__xludf.DUMMYFUNCTION("IF(REGEXMATCH(Z1090, ""Season""), ""TV Show"", ""Movie"")"),"Movie")</f>
        <v>Movie</v>
      </c>
    </row>
    <row r="1091">
      <c r="A1091" s="1" t="s">
        <v>6470</v>
      </c>
      <c r="B1091" s="1" t="s">
        <v>27</v>
      </c>
      <c r="C1091" s="1" t="s">
        <v>6471</v>
      </c>
      <c r="D1091" s="1" t="s">
        <v>6472</v>
      </c>
      <c r="E1091" s="1" t="s">
        <v>6473</v>
      </c>
      <c r="F1091" s="1" t="s">
        <v>30</v>
      </c>
      <c r="G1091" s="1" t="s">
        <v>6445</v>
      </c>
      <c r="H1091" s="1">
        <v>2021.0</v>
      </c>
      <c r="I1091" s="1" t="s">
        <v>42</v>
      </c>
      <c r="J1091" s="1" t="s">
        <v>5362</v>
      </c>
      <c r="K1091" s="1" t="s">
        <v>805</v>
      </c>
      <c r="L1091" s="1" t="s">
        <v>6474</v>
      </c>
      <c r="M1091" s="2" t="s">
        <v>12</v>
      </c>
      <c r="N1091" s="4">
        <f t="shared" si="1"/>
        <v>44295</v>
      </c>
      <c r="O1091" s="5" t="str">
        <f>IFERROR(__xludf.DUMMYFUNCTION("IF(REGEXMATCH(TRIM(I1091), ""^\d+\s*min""), ""Unclassified"", IF(I1091 = """", ""NR"", I1091))"),"TV-MA")</f>
        <v>TV-MA</v>
      </c>
      <c r="R1091" s="5" t="str">
        <f t="shared" si="2"/>
        <v>Two Distant Strangers</v>
      </c>
      <c r="S1091" s="5" t="str">
        <f>IFERROR(__xludf.DUMMYFUNCTION("""COMPUTED_VALUE"""),"Blood &amp; Water")</f>
        <v>Blood &amp; Water</v>
      </c>
      <c r="U1091" s="5" t="str">
        <f>IFERROR(__xludf.DUMMYFUNCTION("""COMPUTED_VALUE"""),"Umut Aral")</f>
        <v>Umut Aral</v>
      </c>
      <c r="V1091" s="5" t="s">
        <v>1413</v>
      </c>
      <c r="W1091" s="5" t="str">
        <f t="shared" si="3"/>
        <v>Dibakar Banerjee</v>
      </c>
      <c r="X1091" s="5">
        <f t="shared" si="4"/>
        <v>4</v>
      </c>
      <c r="Y1091" s="5" t="str">
        <f>IFERROR(__xludf.DUMMYFUNCTION("REGEXEXTRACT(J1091, ""^\d+"")"),"32")</f>
        <v>32</v>
      </c>
      <c r="Z1091" s="5" t="str">
        <f>IFERROR(__xludf.DUMMYFUNCTION("REGEXEXTRACT(J1091, ""[A-Za-z ]+$"")")," min")</f>
        <v> min</v>
      </c>
      <c r="AA1091" s="5" t="str">
        <f>IFERROR(__xludf.DUMMYFUNCTION("IF(REGEXMATCH(Z1091, ""Season""), ""TV Show"", ""Movie"")"),"Movie")</f>
        <v>Movie</v>
      </c>
    </row>
    <row r="1092">
      <c r="A1092" s="1" t="s">
        <v>6475</v>
      </c>
      <c r="B1092" s="1" t="s">
        <v>27</v>
      </c>
      <c r="C1092" s="1" t="s">
        <v>6476</v>
      </c>
      <c r="D1092" s="1" t="s">
        <v>2080</v>
      </c>
      <c r="E1092" s="1" t="s">
        <v>6477</v>
      </c>
      <c r="F1092" s="1" t="s">
        <v>2873</v>
      </c>
      <c r="G1092" s="1" t="s">
        <v>6478</v>
      </c>
      <c r="H1092" s="1">
        <v>2020.0</v>
      </c>
      <c r="I1092" s="1" t="s">
        <v>136</v>
      </c>
      <c r="J1092" s="1" t="s">
        <v>1737</v>
      </c>
      <c r="K1092" s="1" t="s">
        <v>679</v>
      </c>
      <c r="L1092" s="1" t="s">
        <v>6479</v>
      </c>
      <c r="M1092" s="2" t="s">
        <v>12</v>
      </c>
      <c r="N1092" s="4">
        <f t="shared" si="1"/>
        <v>44294</v>
      </c>
      <c r="O1092" s="5" t="str">
        <f>IFERROR(__xludf.DUMMYFUNCTION("IF(REGEXMATCH(TRIM(I1092), ""^\d+\s*min""), ""Unclassified"", IF(I1092 = """", ""NR"", I1092))"),"TV-PG")</f>
        <v>TV-PG</v>
      </c>
      <c r="R1092" s="5" t="str">
        <f t="shared" si="2"/>
        <v>Story Of Kale: When Someone'S In Love</v>
      </c>
      <c r="S1092" s="5" t="str">
        <f>IFERROR(__xludf.DUMMYFUNCTION("""COMPUTED_VALUE"""),"Blood Brothers: Malcolm X &amp; Muhammad Ali")</f>
        <v>Blood Brothers: Malcolm X &amp; Muhammad Ali</v>
      </c>
      <c r="U1092" s="5" t="str">
        <f>IFERROR(__xludf.DUMMYFUNCTION("""COMPUTED_VALUE"""),"Umut Kirca")</f>
        <v>Umut Kirca</v>
      </c>
      <c r="V1092" s="5" t="s">
        <v>6480</v>
      </c>
      <c r="W1092" s="5" t="str">
        <f t="shared" si="3"/>
        <v>Diego Cohen</v>
      </c>
      <c r="X1092" s="5">
        <f t="shared" si="4"/>
        <v>1</v>
      </c>
      <c r="Y1092" s="5" t="str">
        <f>IFERROR(__xludf.DUMMYFUNCTION("REGEXEXTRACT(J1092, ""^\d+"")"),"78")</f>
        <v>78</v>
      </c>
      <c r="Z1092" s="5" t="str">
        <f>IFERROR(__xludf.DUMMYFUNCTION("REGEXEXTRACT(J1092, ""[A-Za-z ]+$"")")," min")</f>
        <v> min</v>
      </c>
      <c r="AA1092" s="5" t="str">
        <f>IFERROR(__xludf.DUMMYFUNCTION("IF(REGEXMATCH(Z1092, ""Season""), ""TV Show"", ""Movie"")"),"Movie")</f>
        <v>Movie</v>
      </c>
    </row>
    <row r="1093">
      <c r="A1093" s="1" t="s">
        <v>6481</v>
      </c>
      <c r="B1093" s="1" t="s">
        <v>37</v>
      </c>
      <c r="C1093" s="1" t="s">
        <v>6482</v>
      </c>
      <c r="E1093" s="1" t="s">
        <v>6483</v>
      </c>
      <c r="F1093" s="1" t="s">
        <v>415</v>
      </c>
      <c r="G1093" s="1" t="s">
        <v>6478</v>
      </c>
      <c r="H1093" s="1">
        <v>2021.0</v>
      </c>
      <c r="I1093" s="1" t="s">
        <v>42</v>
      </c>
      <c r="J1093" s="1" t="s">
        <v>51</v>
      </c>
      <c r="K1093" s="1" t="s">
        <v>567</v>
      </c>
      <c r="L1093" s="1" t="s">
        <v>6484</v>
      </c>
      <c r="M1093" s="2" t="s">
        <v>12</v>
      </c>
      <c r="N1093" s="4">
        <f t="shared" si="1"/>
        <v>44294</v>
      </c>
      <c r="O1093" s="5" t="str">
        <f>IFERROR(__xludf.DUMMYFUNCTION("IF(REGEXMATCH(TRIM(I1093), ""^\d+\s*min""), ""Unclassified"", IF(I1093 = """", ""NR"", I1093))"),"TV-MA")</f>
        <v>TV-MA</v>
      </c>
      <c r="R1093" s="5" t="str">
        <f t="shared" si="2"/>
        <v>The Way Of The Househusband</v>
      </c>
      <c r="S1093" s="5" t="str">
        <f>IFERROR(__xludf.DUMMYFUNCTION("""COMPUTED_VALUE"""),"Blood Father")</f>
        <v>Blood Father</v>
      </c>
      <c r="U1093" s="5" t="str">
        <f>IFERROR(__xludf.DUMMYFUNCTION("""COMPUTED_VALUE"""),"Sudhir Mishra")</f>
        <v>Sudhir Mishra</v>
      </c>
      <c r="V1093" s="5" t="s">
        <v>6485</v>
      </c>
      <c r="W1093" s="5" t="str">
        <f t="shared" si="3"/>
        <v>Diego Enrique Osorno</v>
      </c>
      <c r="X1093" s="5">
        <f t="shared" si="4"/>
        <v>1</v>
      </c>
      <c r="Y1093" s="5" t="str">
        <f>IFERROR(__xludf.DUMMYFUNCTION("REGEXEXTRACT(J1093, ""^\d+"")"),"1")</f>
        <v>1</v>
      </c>
      <c r="Z1093" s="5" t="str">
        <f>IFERROR(__xludf.DUMMYFUNCTION("REGEXEXTRACT(J1093, ""[A-Za-z ]+$"")")," Season")</f>
        <v> Season</v>
      </c>
      <c r="AA1093" s="5" t="str">
        <f>IFERROR(__xludf.DUMMYFUNCTION("IF(REGEXMATCH(Z1093, ""Season""), ""TV Show"", ""Movie"")"),"TV Show")</f>
        <v>TV Show</v>
      </c>
    </row>
    <row r="1094">
      <c r="A1094" s="1" t="s">
        <v>6486</v>
      </c>
      <c r="B1094" s="1" t="s">
        <v>27</v>
      </c>
      <c r="C1094" s="1" t="s">
        <v>6487</v>
      </c>
      <c r="E1094" s="1" t="s">
        <v>6488</v>
      </c>
      <c r="G1094" s="1" t="s">
        <v>6489</v>
      </c>
      <c r="H1094" s="1">
        <v>2021.0</v>
      </c>
      <c r="I1094" s="1" t="s">
        <v>136</v>
      </c>
      <c r="J1094" s="1" t="s">
        <v>6490</v>
      </c>
      <c r="K1094" s="1" t="s">
        <v>700</v>
      </c>
      <c r="L1094" s="1" t="s">
        <v>6491</v>
      </c>
      <c r="M1094" s="2" t="s">
        <v>12</v>
      </c>
      <c r="N1094" s="4">
        <f t="shared" si="1"/>
        <v>44293</v>
      </c>
      <c r="O1094" s="5" t="str">
        <f>IFERROR(__xludf.DUMMYFUNCTION("IF(REGEXMATCH(TRIM(I1094), ""^\d+\s*min""), ""Unclassified"", IF(I1094 = """", ""NR"", I1094))"),"TV-PG")</f>
        <v>TV-PG</v>
      </c>
      <c r="R1094" s="5" t="str">
        <f t="shared" si="2"/>
        <v>Dolly Parton: A Musicares Tribute</v>
      </c>
      <c r="S1094" s="5" t="str">
        <f>IFERROR(__xludf.DUMMYFUNCTION("""COMPUTED_VALUE"""),"Blood Money")</f>
        <v>Blood Money</v>
      </c>
      <c r="U1094" s="5" t="str">
        <f>IFERROR(__xludf.DUMMYFUNCTION("""COMPUTED_VALUE"""),"Domenico De Feudis")</f>
        <v>Domenico De Feudis</v>
      </c>
      <c r="V1094" s="5" t="s">
        <v>6492</v>
      </c>
      <c r="W1094" s="5" t="str">
        <f t="shared" si="3"/>
        <v>Diego Kaplan</v>
      </c>
      <c r="X1094" s="5">
        <f t="shared" si="4"/>
        <v>1</v>
      </c>
      <c r="Y1094" s="5" t="str">
        <f>IFERROR(__xludf.DUMMYFUNCTION("REGEXEXTRACT(J1094, ""^\d+"")"),"55")</f>
        <v>55</v>
      </c>
      <c r="Z1094" s="5" t="str">
        <f>IFERROR(__xludf.DUMMYFUNCTION("REGEXEXTRACT(J1094, ""[A-Za-z ]+$"")")," min")</f>
        <v> min</v>
      </c>
      <c r="AA1094" s="5" t="str">
        <f>IFERROR(__xludf.DUMMYFUNCTION("IF(REGEXMATCH(Z1094, ""Season""), ""TV Show"", ""Movie"")"),"Movie")</f>
        <v>Movie</v>
      </c>
    </row>
    <row r="1095">
      <c r="A1095" s="1" t="s">
        <v>6493</v>
      </c>
      <c r="B1095" s="1" t="s">
        <v>37</v>
      </c>
      <c r="C1095" s="1" t="s">
        <v>6494</v>
      </c>
      <c r="F1095" s="1" t="s">
        <v>63</v>
      </c>
      <c r="G1095" s="1" t="s">
        <v>6489</v>
      </c>
      <c r="H1095" s="1">
        <v>2021.0</v>
      </c>
      <c r="I1095" s="1" t="s">
        <v>97</v>
      </c>
      <c r="J1095" s="1" t="s">
        <v>43</v>
      </c>
      <c r="K1095" s="1" t="s">
        <v>530</v>
      </c>
      <c r="L1095" s="1" t="s">
        <v>6495</v>
      </c>
      <c r="M1095" s="2" t="s">
        <v>12</v>
      </c>
      <c r="N1095" s="4">
        <f t="shared" si="1"/>
        <v>44293</v>
      </c>
      <c r="O1095" s="5" t="str">
        <f>IFERROR(__xludf.DUMMYFUNCTION("IF(REGEXMATCH(TRIM(I1095), ""^\d+\s*min""), ""Unclassified"", IF(I1095 = """", ""NR"", I1095))"),"TV-14")</f>
        <v>TV-14</v>
      </c>
      <c r="R1095" s="5" t="str">
        <f t="shared" si="2"/>
        <v>The Big Day</v>
      </c>
      <c r="S1095" s="5" t="str">
        <f>IFERROR(__xludf.DUMMYFUNCTION("""COMPUTED_VALUE"""),"Blood Of Zeus")</f>
        <v>Blood Of Zeus</v>
      </c>
      <c r="U1095" s="5" t="str">
        <f>IFERROR(__xludf.DUMMYFUNCTION("""COMPUTED_VALUE"""),"Oz Rodriguez")</f>
        <v>Oz Rodriguez</v>
      </c>
      <c r="V1095" s="5" t="s">
        <v>6496</v>
      </c>
      <c r="W1095" s="5" t="str">
        <f t="shared" si="3"/>
        <v>Diego Lerman</v>
      </c>
      <c r="X1095" s="5">
        <f t="shared" si="4"/>
        <v>1</v>
      </c>
      <c r="Y1095" s="5" t="str">
        <f>IFERROR(__xludf.DUMMYFUNCTION("REGEXEXTRACT(J1095, ""^\d+"")"),"2")</f>
        <v>2</v>
      </c>
      <c r="Z1095" s="5" t="str">
        <f>IFERROR(__xludf.DUMMYFUNCTION("REGEXEXTRACT(J1095, ""[A-Za-z ]+$"")")," Seasons")</f>
        <v> Seasons</v>
      </c>
      <c r="AA1095" s="5" t="str">
        <f>IFERROR(__xludf.DUMMYFUNCTION("IF(REGEXMATCH(Z1095, ""Season""), ""TV Show"", ""Movie"")"),"TV Show")</f>
        <v>TV Show</v>
      </c>
    </row>
    <row r="1096">
      <c r="A1096" s="1" t="s">
        <v>6497</v>
      </c>
      <c r="B1096" s="1" t="s">
        <v>37</v>
      </c>
      <c r="C1096" s="1" t="s">
        <v>6498</v>
      </c>
      <c r="G1096" s="1" t="s">
        <v>6489</v>
      </c>
      <c r="H1096" s="1">
        <v>2021.0</v>
      </c>
      <c r="I1096" s="1" t="s">
        <v>42</v>
      </c>
      <c r="J1096" s="1" t="s">
        <v>51</v>
      </c>
      <c r="K1096" s="1" t="s">
        <v>4008</v>
      </c>
      <c r="L1096" s="1" t="s">
        <v>6499</v>
      </c>
      <c r="M1096" s="2" t="s">
        <v>12</v>
      </c>
      <c r="N1096" s="4">
        <f t="shared" si="1"/>
        <v>44293</v>
      </c>
      <c r="O1096" s="5" t="str">
        <f>IFERROR(__xludf.DUMMYFUNCTION("IF(REGEXMATCH(TRIM(I1096), ""^\d+\s*min""), ""Unclassified"", IF(I1096 = """", ""NR"", I1096))"),"TV-MA")</f>
        <v>TV-MA</v>
      </c>
      <c r="R1096" s="5" t="str">
        <f t="shared" si="2"/>
        <v>The Wedding Coach</v>
      </c>
      <c r="S1096" s="5" t="str">
        <f>IFERROR(__xludf.DUMMYFUNCTION("""COMPUTED_VALUE"""),"Blood Pact")</f>
        <v>Blood Pact</v>
      </c>
      <c r="U1096" s="5" t="str">
        <f>IFERROR(__xludf.DUMMYFUNCTION("""COMPUTED_VALUE"""),"Salvador Espinosa")</f>
        <v>Salvador Espinosa</v>
      </c>
      <c r="V1096" s="5" t="s">
        <v>6500</v>
      </c>
      <c r="W1096" s="5" t="str">
        <f t="shared" si="3"/>
        <v>Diego Luna</v>
      </c>
      <c r="X1096" s="5">
        <f t="shared" si="4"/>
        <v>1</v>
      </c>
      <c r="Y1096" s="5" t="str">
        <f>IFERROR(__xludf.DUMMYFUNCTION("REGEXEXTRACT(J1096, ""^\d+"")"),"1")</f>
        <v>1</v>
      </c>
      <c r="Z1096" s="5" t="str">
        <f>IFERROR(__xludf.DUMMYFUNCTION("REGEXEXTRACT(J1096, ""[A-Za-z ]+$"")")," Season")</f>
        <v> Season</v>
      </c>
      <c r="AA1096" s="5" t="str">
        <f>IFERROR(__xludf.DUMMYFUNCTION("IF(REGEXMATCH(Z1096, ""Season""), ""TV Show"", ""Movie"")"),"TV Show")</f>
        <v>TV Show</v>
      </c>
    </row>
    <row r="1097">
      <c r="A1097" s="1" t="s">
        <v>6501</v>
      </c>
      <c r="B1097" s="1" t="s">
        <v>37</v>
      </c>
      <c r="C1097" s="1" t="s">
        <v>6502</v>
      </c>
      <c r="G1097" s="1" t="s">
        <v>6489</v>
      </c>
      <c r="H1097" s="1">
        <v>2021.0</v>
      </c>
      <c r="I1097" s="1" t="s">
        <v>42</v>
      </c>
      <c r="J1097" s="1" t="s">
        <v>51</v>
      </c>
      <c r="K1097" s="1" t="s">
        <v>6503</v>
      </c>
      <c r="L1097" s="1" t="s">
        <v>6504</v>
      </c>
      <c r="M1097" s="2" t="s">
        <v>12</v>
      </c>
      <c r="N1097" s="4">
        <f t="shared" si="1"/>
        <v>44293</v>
      </c>
      <c r="O1097" s="5" t="str">
        <f>IFERROR(__xludf.DUMMYFUNCTION("IF(REGEXMATCH(TRIM(I1097), ""^\d+\s*min""), ""Unclassified"", IF(I1097 = """", ""NR"", I1097))"),"TV-MA")</f>
        <v>TV-MA</v>
      </c>
      <c r="R1097" s="5" t="str">
        <f t="shared" si="2"/>
        <v>This Is A Robbery: The World'S Biggest Art Heist</v>
      </c>
      <c r="S1097" s="5" t="str">
        <f>IFERROR(__xludf.DUMMYFUNCTION("""COMPUTED_VALUE"""),"Blood Red Sky")</f>
        <v>Blood Red Sky</v>
      </c>
      <c r="U1097" s="5" t="str">
        <f>IFERROR(__xludf.DUMMYFUNCTION("""COMPUTED_VALUE"""),"Adrian Teh")</f>
        <v>Adrian Teh</v>
      </c>
      <c r="V1097" s="5" t="s">
        <v>6505</v>
      </c>
      <c r="W1097" s="5" t="str">
        <f t="shared" si="3"/>
        <v>Diego Pignataro</v>
      </c>
      <c r="X1097" s="5">
        <f t="shared" si="4"/>
        <v>3</v>
      </c>
      <c r="Y1097" s="5" t="str">
        <f>IFERROR(__xludf.DUMMYFUNCTION("REGEXEXTRACT(J1097, ""^\d+"")"),"1")</f>
        <v>1</v>
      </c>
      <c r="Z1097" s="5" t="str">
        <f>IFERROR(__xludf.DUMMYFUNCTION("REGEXEXTRACT(J1097, ""[A-Za-z ]+$"")")," Season")</f>
        <v> Season</v>
      </c>
      <c r="AA1097" s="5" t="str">
        <f>IFERROR(__xludf.DUMMYFUNCTION("IF(REGEXMATCH(Z1097, ""Season""), ""TV Show"", ""Movie"")"),"TV Show")</f>
        <v>TV Show</v>
      </c>
    </row>
    <row r="1098">
      <c r="A1098" s="1" t="s">
        <v>6506</v>
      </c>
      <c r="B1098" s="1" t="s">
        <v>27</v>
      </c>
      <c r="C1098" s="1" t="s">
        <v>6507</v>
      </c>
      <c r="D1098" s="1" t="s">
        <v>6508</v>
      </c>
      <c r="E1098" s="1" t="s">
        <v>6509</v>
      </c>
      <c r="G1098" s="1" t="s">
        <v>6510</v>
      </c>
      <c r="H1098" s="1">
        <v>2021.0</v>
      </c>
      <c r="I1098" s="1" t="s">
        <v>289</v>
      </c>
      <c r="J1098" s="1" t="s">
        <v>665</v>
      </c>
      <c r="K1098" s="1" t="s">
        <v>137</v>
      </c>
      <c r="L1098" s="1" t="s">
        <v>6511</v>
      </c>
      <c r="M1098" s="2" t="s">
        <v>12</v>
      </c>
      <c r="N1098" s="4">
        <f t="shared" si="1"/>
        <v>44292</v>
      </c>
      <c r="O1098" s="5" t="str">
        <f>IFERROR(__xludf.DUMMYFUNCTION("IF(REGEXMATCH(TRIM(I1098), ""^\d+\s*min""), ""Unclassified"", IF(I1098 = """", ""NR"", I1098))"),"TV-Y7")</f>
        <v>TV-Y7</v>
      </c>
      <c r="R1098" s="5" t="str">
        <f t="shared" si="2"/>
        <v>The Last Kids On Earth: Happy Apocalypse To You</v>
      </c>
      <c r="S1098" s="5" t="str">
        <f>IFERROR(__xludf.DUMMYFUNCTION("""COMPUTED_VALUE"""),"Blood Will Tell")</f>
        <v>Blood Will Tell</v>
      </c>
      <c r="U1098" s="5" t="str">
        <f>IFERROR(__xludf.DUMMYFUNCTION("""COMPUTED_VALUE"""),"Brad Silberling")</f>
        <v>Brad Silberling</v>
      </c>
      <c r="V1098" s="5" t="s">
        <v>6512</v>
      </c>
      <c r="W1098" s="5" t="str">
        <f t="shared" si="3"/>
        <v>Digo Ricio</v>
      </c>
      <c r="X1098" s="5">
        <f t="shared" si="4"/>
        <v>1</v>
      </c>
      <c r="Y1098" s="5" t="str">
        <f>IFERROR(__xludf.DUMMYFUNCTION("REGEXEXTRACT(J1098, ""^\d+"")"),"92")</f>
        <v>92</v>
      </c>
      <c r="Z1098" s="5" t="str">
        <f>IFERROR(__xludf.DUMMYFUNCTION("REGEXEXTRACT(J1098, ""[A-Za-z ]+$"")")," min")</f>
        <v> min</v>
      </c>
      <c r="AA1098" s="5" t="str">
        <f>IFERROR(__xludf.DUMMYFUNCTION("IF(REGEXMATCH(Z1098, ""Season""), ""TV Show"", ""Movie"")"),"Movie")</f>
        <v>Movie</v>
      </c>
    </row>
    <row r="1099">
      <c r="A1099" s="1" t="s">
        <v>6513</v>
      </c>
      <c r="B1099" s="1" t="s">
        <v>27</v>
      </c>
      <c r="C1099" s="1" t="s">
        <v>6514</v>
      </c>
      <c r="D1099" s="1" t="s">
        <v>6515</v>
      </c>
      <c r="F1099" s="1" t="s">
        <v>6516</v>
      </c>
      <c r="G1099" s="1" t="s">
        <v>6517</v>
      </c>
      <c r="H1099" s="1">
        <v>2020.0</v>
      </c>
      <c r="I1099" s="1" t="s">
        <v>42</v>
      </c>
      <c r="J1099" s="1" t="s">
        <v>1144</v>
      </c>
      <c r="K1099" s="1" t="s">
        <v>34</v>
      </c>
      <c r="L1099" s="1" t="s">
        <v>6518</v>
      </c>
      <c r="M1099" s="2" t="s">
        <v>12</v>
      </c>
      <c r="N1099" s="4">
        <f t="shared" si="1"/>
        <v>44291</v>
      </c>
      <c r="O1099" s="5" t="str">
        <f>IFERROR(__xludf.DUMMYFUNCTION("IF(REGEXMATCH(TRIM(I1099), ""^\d+\s*min""), ""Unclassified"", IF(I1099 = """", ""NR"", I1099))"),"TV-MA")</f>
        <v>TV-MA</v>
      </c>
      <c r="R1099" s="5" t="str">
        <f t="shared" si="2"/>
        <v>Coded Bias</v>
      </c>
      <c r="S1099" s="5" t="str">
        <f>IFERROR(__xludf.DUMMYFUNCTION("""COMPUTED_VALUE"""),"Bloodline")</f>
        <v>Bloodline</v>
      </c>
      <c r="U1099" s="5" t="str">
        <f>IFERROR(__xludf.DUMMYFUNCTION("""COMPUTED_VALUE"""),"Elsa Flores Almaraz, Richard J Montoya")</f>
        <v>Elsa Flores Almaraz, Richard J Montoya</v>
      </c>
      <c r="V1099" s="5" t="s">
        <v>6519</v>
      </c>
      <c r="W1099" s="5" t="str">
        <f t="shared" si="3"/>
        <v>Dileep Narayanan</v>
      </c>
      <c r="X1099" s="5">
        <f t="shared" si="4"/>
        <v>1</v>
      </c>
      <c r="Y1099" s="5" t="str">
        <f>IFERROR(__xludf.DUMMYFUNCTION("REGEXEXTRACT(J1099, ""^\d+"")"),"86")</f>
        <v>86</v>
      </c>
      <c r="Z1099" s="5" t="str">
        <f>IFERROR(__xludf.DUMMYFUNCTION("REGEXEXTRACT(J1099, ""[A-Za-z ]+$"")")," min")</f>
        <v> min</v>
      </c>
      <c r="AA1099" s="5" t="str">
        <f>IFERROR(__xludf.DUMMYFUNCTION("IF(REGEXMATCH(Z1099, ""Season""), ""TV Show"", ""Movie"")"),"Movie")</f>
        <v>Movie</v>
      </c>
    </row>
    <row r="1100">
      <c r="A1100" s="1" t="s">
        <v>6520</v>
      </c>
      <c r="B1100" s="1" t="s">
        <v>27</v>
      </c>
      <c r="C1100" s="1" t="s">
        <v>6521</v>
      </c>
      <c r="D1100" s="1" t="s">
        <v>6522</v>
      </c>
      <c r="E1100" s="1" t="s">
        <v>6523</v>
      </c>
      <c r="F1100" s="1" t="s">
        <v>63</v>
      </c>
      <c r="G1100" s="1" t="s">
        <v>6517</v>
      </c>
      <c r="H1100" s="1">
        <v>2021.0</v>
      </c>
      <c r="I1100" s="1" t="s">
        <v>97</v>
      </c>
      <c r="J1100" s="1" t="s">
        <v>1704</v>
      </c>
      <c r="K1100" s="1" t="s">
        <v>583</v>
      </c>
      <c r="L1100" s="1" t="s">
        <v>6524</v>
      </c>
      <c r="M1100" s="2" t="s">
        <v>12</v>
      </c>
      <c r="N1100" s="4">
        <f t="shared" si="1"/>
        <v>44291</v>
      </c>
      <c r="O1100" s="5" t="str">
        <f>IFERROR(__xludf.DUMMYFUNCTION("IF(REGEXMATCH(TRIM(I1100), ""^\d+\s*min""), ""Unclassified"", IF(I1100 = """", ""NR"", I1100))"),"TV-14")</f>
        <v>TV-14</v>
      </c>
      <c r="R1100" s="5" t="str">
        <f t="shared" si="2"/>
        <v>Mandela</v>
      </c>
      <c r="S1100" s="5" t="str">
        <f>IFERROR(__xludf.DUMMYFUNCTION("""COMPUTED_VALUE"""),"Bloodride")</f>
        <v>Bloodride</v>
      </c>
      <c r="U1100" s="5" t="str">
        <f>IFERROR(__xludf.DUMMYFUNCTION("""COMPUTED_VALUE"""),"Carey Mckenzie")</f>
        <v>Carey Mckenzie</v>
      </c>
      <c r="V1100" s="5" t="s">
        <v>6525</v>
      </c>
      <c r="W1100" s="5" t="str">
        <f t="shared" si="3"/>
        <v>Dilip Mehta</v>
      </c>
      <c r="X1100" s="5">
        <f t="shared" si="4"/>
        <v>1</v>
      </c>
      <c r="Y1100" s="5" t="str">
        <f>IFERROR(__xludf.DUMMYFUNCTION("REGEXEXTRACT(J1100, ""^\d+"")"),"140")</f>
        <v>140</v>
      </c>
      <c r="Z1100" s="5" t="str">
        <f>IFERROR(__xludf.DUMMYFUNCTION("REGEXEXTRACT(J1100, ""[A-Za-z ]+$"")")," min")</f>
        <v> min</v>
      </c>
      <c r="AA1100" s="5" t="str">
        <f>IFERROR(__xludf.DUMMYFUNCTION("IF(REGEXMATCH(Z1100, ""Season""), ""TV Show"", ""Movie"")"),"Movie")</f>
        <v>Movie</v>
      </c>
    </row>
    <row r="1101">
      <c r="A1101" s="1" t="s">
        <v>6526</v>
      </c>
      <c r="B1101" s="1" t="s">
        <v>27</v>
      </c>
      <c r="C1101" s="1" t="s">
        <v>6527</v>
      </c>
      <c r="D1101" s="1" t="s">
        <v>6528</v>
      </c>
      <c r="E1101" s="1" t="s">
        <v>6529</v>
      </c>
      <c r="F1101" s="1" t="s">
        <v>6530</v>
      </c>
      <c r="G1101" s="1" t="s">
        <v>6531</v>
      </c>
      <c r="H1101" s="1">
        <v>2020.0</v>
      </c>
      <c r="I1101" s="1" t="s">
        <v>42</v>
      </c>
      <c r="J1101" s="1" t="s">
        <v>820</v>
      </c>
      <c r="K1101" s="1" t="s">
        <v>128</v>
      </c>
      <c r="L1101" s="1" t="s">
        <v>6532</v>
      </c>
      <c r="M1101" s="2" t="s">
        <v>12</v>
      </c>
      <c r="N1101" s="4">
        <f t="shared" si="1"/>
        <v>44290</v>
      </c>
      <c r="O1101" s="5" t="str">
        <f>IFERROR(__xludf.DUMMYFUNCTION("IF(REGEXMATCH(TRIM(I1101), ""^\d+\s*min""), ""Unclassified"", IF(I1101 = """", ""NR"", I1101))"),"TV-MA")</f>
        <v>TV-MA</v>
      </c>
      <c r="R1101" s="5" t="str">
        <f t="shared" si="2"/>
        <v>The Fisherman'S Diary</v>
      </c>
      <c r="S1101" s="5" t="str">
        <f>IFERROR(__xludf.DUMMYFUNCTION("""COMPUTED_VALUE"""),"Blow")</f>
        <v>Blow</v>
      </c>
      <c r="U1101" s="5" t="str">
        <f>IFERROR(__xludf.DUMMYFUNCTION("""COMPUTED_VALUE"""),"Adam Bolt")</f>
        <v>Adam Bolt</v>
      </c>
      <c r="V1101" s="5" t="s">
        <v>6533</v>
      </c>
      <c r="W1101" s="5" t="str">
        <f t="shared" si="3"/>
        <v>Dimitri Logothetis</v>
      </c>
      <c r="X1101" s="5">
        <f t="shared" si="4"/>
        <v>2</v>
      </c>
      <c r="Y1101" s="5" t="str">
        <f>IFERROR(__xludf.DUMMYFUNCTION("REGEXEXTRACT(J1101, ""^\d+"")"),"143")</f>
        <v>143</v>
      </c>
      <c r="Z1101" s="5" t="str">
        <f>IFERROR(__xludf.DUMMYFUNCTION("REGEXEXTRACT(J1101, ""[A-Za-z ]+$"")")," min")</f>
        <v> min</v>
      </c>
      <c r="AA1101" s="5" t="str">
        <f>IFERROR(__xludf.DUMMYFUNCTION("IF(REGEXMATCH(Z1101, ""Season""), ""TV Show"", ""Movie"")"),"Movie")</f>
        <v>Movie</v>
      </c>
    </row>
    <row r="1102">
      <c r="A1102" s="1" t="s">
        <v>6534</v>
      </c>
      <c r="B1102" s="1" t="s">
        <v>27</v>
      </c>
      <c r="C1102" s="1" t="s">
        <v>6535</v>
      </c>
      <c r="D1102" s="1" t="s">
        <v>3622</v>
      </c>
      <c r="E1102" s="1" t="s">
        <v>6536</v>
      </c>
      <c r="F1102" s="1" t="s">
        <v>30</v>
      </c>
      <c r="G1102" s="1" t="s">
        <v>6531</v>
      </c>
      <c r="H1102" s="1">
        <v>2020.0</v>
      </c>
      <c r="I1102" s="1" t="s">
        <v>42</v>
      </c>
      <c r="J1102" s="1" t="s">
        <v>428</v>
      </c>
      <c r="K1102" s="1" t="s">
        <v>3768</v>
      </c>
      <c r="L1102" s="1" t="s">
        <v>6537</v>
      </c>
      <c r="M1102" s="2" t="s">
        <v>12</v>
      </c>
      <c r="N1102" s="4">
        <f t="shared" si="1"/>
        <v>44290</v>
      </c>
      <c r="O1102" s="5" t="str">
        <f>IFERROR(__xludf.DUMMYFUNCTION("IF(REGEXMATCH(TRIM(I1102), ""^\d+\s*min""), ""Unclassified"", IF(I1102 = """", ""NR"", I1102))"),"TV-MA")</f>
        <v>TV-MA</v>
      </c>
      <c r="R1102" s="5" t="str">
        <f t="shared" si="2"/>
        <v>What Lies Below</v>
      </c>
      <c r="S1102" s="5" t="str">
        <f>IFERROR(__xludf.DUMMYFUNCTION("""COMPUTED_VALUE"""),"Blown Away")</f>
        <v>Blown Away</v>
      </c>
      <c r="U1102" s="5" t="str">
        <f>IFERROR(__xludf.DUMMYFUNCTION("""COMPUTED_VALUE"""),"Taika Waititi")</f>
        <v>Taika Waititi</v>
      </c>
      <c r="V1102" s="5" t="s">
        <v>6538</v>
      </c>
      <c r="W1102" s="5" t="str">
        <f t="shared" si="3"/>
        <v>Ding Sheng</v>
      </c>
      <c r="X1102" s="5">
        <f t="shared" si="4"/>
        <v>1</v>
      </c>
      <c r="Y1102" s="5" t="str">
        <f>IFERROR(__xludf.DUMMYFUNCTION("REGEXEXTRACT(J1102, ""^\d+"")"),"88")</f>
        <v>88</v>
      </c>
      <c r="Z1102" s="5" t="str">
        <f>IFERROR(__xludf.DUMMYFUNCTION("REGEXEXTRACT(J1102, ""[A-Za-z ]+$"")")," min")</f>
        <v> min</v>
      </c>
      <c r="AA1102" s="5" t="str">
        <f>IFERROR(__xludf.DUMMYFUNCTION("IF(REGEXMATCH(Z1102, ""Season""), ""TV Show"", ""Movie"")"),"Movie")</f>
        <v>Movie</v>
      </c>
    </row>
    <row r="1103">
      <c r="A1103" s="1" t="s">
        <v>6539</v>
      </c>
      <c r="B1103" s="1" t="s">
        <v>27</v>
      </c>
      <c r="C1103" s="1" t="s">
        <v>6540</v>
      </c>
      <c r="D1103" s="1" t="s">
        <v>4078</v>
      </c>
      <c r="E1103" s="1" t="s">
        <v>6541</v>
      </c>
      <c r="F1103" s="1" t="s">
        <v>897</v>
      </c>
      <c r="G1103" s="1" t="s">
        <v>6542</v>
      </c>
      <c r="H1103" s="1">
        <v>2013.0</v>
      </c>
      <c r="I1103" s="1" t="s">
        <v>78</v>
      </c>
      <c r="J1103" s="1" t="s">
        <v>1191</v>
      </c>
      <c r="K1103" s="1" t="s">
        <v>2155</v>
      </c>
      <c r="L1103" s="1" t="s">
        <v>6543</v>
      </c>
      <c r="M1103" s="2" t="s">
        <v>12</v>
      </c>
      <c r="N1103" s="4">
        <f t="shared" si="1"/>
        <v>44289</v>
      </c>
      <c r="O1103" s="5" t="str">
        <f>IFERROR(__xludf.DUMMYFUNCTION("IF(REGEXMATCH(TRIM(I1103), ""^\d+\s*min""), ""Unclassified"", IF(I1103 = """", ""NR"", I1103))"),"PG")</f>
        <v>PG</v>
      </c>
      <c r="R1103" s="5" t="str">
        <f t="shared" si="2"/>
        <v>Escape From Planet Earth</v>
      </c>
      <c r="S1103" s="5" t="str">
        <f>IFERROR(__xludf.DUMMYFUNCTION("""COMPUTED_VALUE"""),"Blue Exorcist")</f>
        <v>Blue Exorcist</v>
      </c>
      <c r="U1103" s="5" t="str">
        <f>IFERROR(__xludf.DUMMYFUNCTION("""COMPUTED_VALUE"""),"Lindsey Cordero, Armando Croda")</f>
        <v>Lindsey Cordero, Armando Croda</v>
      </c>
      <c r="V1103" s="5" t="s">
        <v>6544</v>
      </c>
      <c r="W1103" s="5" t="str">
        <f t="shared" si="3"/>
        <v>Ding-Lin Wang</v>
      </c>
      <c r="X1103" s="5">
        <f t="shared" si="4"/>
        <v>1</v>
      </c>
      <c r="Y1103" s="5" t="str">
        <f>IFERROR(__xludf.DUMMYFUNCTION("REGEXEXTRACT(J1103, ""^\d+"")"),"89")</f>
        <v>89</v>
      </c>
      <c r="Z1103" s="5" t="str">
        <f>IFERROR(__xludf.DUMMYFUNCTION("REGEXEXTRACT(J1103, ""[A-Za-z ]+$"")")," min")</f>
        <v> min</v>
      </c>
      <c r="AA1103" s="5" t="str">
        <f>IFERROR(__xludf.DUMMYFUNCTION("IF(REGEXMATCH(Z1103, ""Season""), ""TV Show"", ""Movie"")"),"Movie")</f>
        <v>Movie</v>
      </c>
    </row>
    <row r="1104">
      <c r="A1104" s="1" t="s">
        <v>6545</v>
      </c>
      <c r="B1104" s="1" t="s">
        <v>27</v>
      </c>
      <c r="C1104" s="1" t="s">
        <v>6546</v>
      </c>
      <c r="D1104" s="1" t="s">
        <v>6547</v>
      </c>
      <c r="E1104" s="1" t="s">
        <v>6548</v>
      </c>
      <c r="F1104" s="1" t="s">
        <v>30</v>
      </c>
      <c r="G1104" s="1" t="s">
        <v>6549</v>
      </c>
      <c r="H1104" s="1">
        <v>2006.0</v>
      </c>
      <c r="I1104" s="1" t="s">
        <v>32</v>
      </c>
      <c r="J1104" s="1" t="s">
        <v>454</v>
      </c>
      <c r="K1104" s="1" t="s">
        <v>239</v>
      </c>
      <c r="L1104" s="1" t="s">
        <v>6550</v>
      </c>
      <c r="M1104" s="2" t="s">
        <v>12</v>
      </c>
      <c r="N1104" s="4">
        <f t="shared" si="1"/>
        <v>44288</v>
      </c>
      <c r="O1104" s="5" t="str">
        <f>IFERROR(__xludf.DUMMYFUNCTION("IF(REGEXMATCH(TRIM(I1104), ""^\d+\s*min""), ""Unclassified"", IF(I1104 = """", ""NR"", I1104))"),"PG-13")</f>
        <v>PG-13</v>
      </c>
      <c r="R1104" s="5" t="str">
        <f t="shared" si="2"/>
        <v>Accepted</v>
      </c>
      <c r="S1104" s="5" t="str">
        <f>IFERROR(__xludf.DUMMYFUNCTION("""COMPUTED_VALUE"""),"Blue Is The Warmest Color")</f>
        <v>Blue Is The Warmest Color</v>
      </c>
      <c r="U1104" s="5" t="str">
        <f>IFERROR(__xludf.DUMMYFUNCTION("""COMPUTED_VALUE"""),"David Lachapelle")</f>
        <v>David Lachapelle</v>
      </c>
      <c r="V1104" s="5" t="s">
        <v>6551</v>
      </c>
      <c r="W1104" s="5" t="str">
        <f t="shared" si="3"/>
        <v>Dino Risi</v>
      </c>
      <c r="X1104" s="5">
        <f t="shared" si="4"/>
        <v>2</v>
      </c>
      <c r="Y1104" s="5" t="str">
        <f>IFERROR(__xludf.DUMMYFUNCTION("REGEXEXTRACT(J1104, ""^\d+"")"),"93")</f>
        <v>93</v>
      </c>
      <c r="Z1104" s="5" t="str">
        <f>IFERROR(__xludf.DUMMYFUNCTION("REGEXEXTRACT(J1104, ""[A-Za-z ]+$"")")," min")</f>
        <v> min</v>
      </c>
      <c r="AA1104" s="5" t="str">
        <f>IFERROR(__xludf.DUMMYFUNCTION("IF(REGEXMATCH(Z1104, ""Season""), ""TV Show"", ""Movie"")"),"Movie")</f>
        <v>Movie</v>
      </c>
    </row>
    <row r="1105">
      <c r="A1105" s="1" t="s">
        <v>6552</v>
      </c>
      <c r="B1105" s="1" t="s">
        <v>27</v>
      </c>
      <c r="C1105" s="1" t="s">
        <v>6553</v>
      </c>
      <c r="D1105" s="1" t="s">
        <v>6554</v>
      </c>
      <c r="E1105" s="1" t="s">
        <v>6555</v>
      </c>
      <c r="F1105" s="1" t="s">
        <v>3892</v>
      </c>
      <c r="G1105" s="1" t="s">
        <v>6549</v>
      </c>
      <c r="H1105" s="1">
        <v>2018.0</v>
      </c>
      <c r="I1105" s="1" t="s">
        <v>378</v>
      </c>
      <c r="J1105" s="1" t="s">
        <v>247</v>
      </c>
      <c r="K1105" s="1" t="s">
        <v>306</v>
      </c>
      <c r="L1105" s="1" t="s">
        <v>6556</v>
      </c>
      <c r="M1105" s="2" t="s">
        <v>12</v>
      </c>
      <c r="N1105" s="4">
        <f t="shared" si="1"/>
        <v>44288</v>
      </c>
      <c r="O1105" s="5" t="str">
        <f>IFERROR(__xludf.DUMMYFUNCTION("IF(REGEXMATCH(TRIM(I1105), ""^\d+\s*min""), ""Unclassified"", IF(I1105 = """", ""NR"", I1105))"),"R")</f>
        <v>R</v>
      </c>
      <c r="R1105" s="5" t="str">
        <f t="shared" si="2"/>
        <v>Air Strike</v>
      </c>
      <c r="S1105" s="5" t="str">
        <f>IFERROR(__xludf.DUMMYFUNCTION("""COMPUTED_VALUE"""),"Blue Jasmine")</f>
        <v>Blue Jasmine</v>
      </c>
      <c r="U1105" s="5" t="str">
        <f>IFERROR(__xludf.DUMMYFUNCTION("""COMPUTED_VALUE"""),"Mostafa Abu Seif")</f>
        <v>Mostafa Abu Seif</v>
      </c>
      <c r="V1105" s="5" t="s">
        <v>6557</v>
      </c>
      <c r="W1105" s="5" t="str">
        <f t="shared" si="3"/>
        <v>Dito Montiel</v>
      </c>
      <c r="X1105" s="5">
        <f t="shared" si="4"/>
        <v>1</v>
      </c>
      <c r="Y1105" s="5" t="str">
        <f>IFERROR(__xludf.DUMMYFUNCTION("REGEXEXTRACT(J1105, ""^\d+"")"),"97")</f>
        <v>97</v>
      </c>
      <c r="Z1105" s="5" t="str">
        <f>IFERROR(__xludf.DUMMYFUNCTION("REGEXEXTRACT(J1105, ""[A-Za-z ]+$"")")," min")</f>
        <v> min</v>
      </c>
      <c r="AA1105" s="5" t="str">
        <f>IFERROR(__xludf.DUMMYFUNCTION("IF(REGEXMATCH(Z1105, ""Season""), ""TV Show"", ""Movie"")"),"Movie")</f>
        <v>Movie</v>
      </c>
    </row>
    <row r="1106">
      <c r="A1106" s="1" t="s">
        <v>6558</v>
      </c>
      <c r="B1106" s="1" t="s">
        <v>27</v>
      </c>
      <c r="C1106" s="1" t="s">
        <v>6559</v>
      </c>
      <c r="D1106" s="1" t="s">
        <v>1876</v>
      </c>
      <c r="E1106" s="1" t="s">
        <v>6560</v>
      </c>
      <c r="F1106" s="1" t="s">
        <v>897</v>
      </c>
      <c r="G1106" s="1" t="s">
        <v>6549</v>
      </c>
      <c r="H1106" s="1">
        <v>2012.0</v>
      </c>
      <c r="I1106" s="1" t="s">
        <v>206</v>
      </c>
      <c r="J1106" s="1" t="s">
        <v>170</v>
      </c>
      <c r="K1106" s="1" t="s">
        <v>2242</v>
      </c>
      <c r="L1106" s="1" t="s">
        <v>6561</v>
      </c>
      <c r="M1106" s="2" t="s">
        <v>12</v>
      </c>
      <c r="N1106" s="4">
        <f t="shared" si="1"/>
        <v>44288</v>
      </c>
      <c r="O1106" s="5" t="str">
        <f>IFERROR(__xludf.DUMMYFUNCTION("IF(REGEXMATCH(TRIM(I1106), ""^\d+\s*min""), ""Unclassified"", IF(I1106 = """", ""NR"", I1106))"),"TV-Y")</f>
        <v>TV-Y</v>
      </c>
      <c r="R1106" s="5" t="str">
        <f t="shared" si="2"/>
        <v>An American Girl: Mckenna Shoots For The Stars</v>
      </c>
      <c r="S1106" s="5" t="str">
        <f>IFERROR(__xludf.DUMMYFUNCTION("""COMPUTED_VALUE"""),"Blue Jay")</f>
        <v>Blue Jay</v>
      </c>
      <c r="U1106" s="5" t="str">
        <f>IFERROR(__xludf.DUMMYFUNCTION("""COMPUTED_VALUE"""),"Faris Godus")</f>
        <v>Faris Godus</v>
      </c>
      <c r="V1106" s="5" t="s">
        <v>6562</v>
      </c>
      <c r="W1106" s="5" t="str">
        <f t="shared" si="3"/>
        <v>Dj Chen</v>
      </c>
      <c r="X1106" s="5">
        <f t="shared" si="4"/>
        <v>1</v>
      </c>
      <c r="Y1106" s="5" t="str">
        <f>IFERROR(__xludf.DUMMYFUNCTION("REGEXEXTRACT(J1106, ""^\d+"")"),"94")</f>
        <v>94</v>
      </c>
      <c r="Z1106" s="5" t="str">
        <f>IFERROR(__xludf.DUMMYFUNCTION("REGEXEXTRACT(J1106, ""[A-Za-z ]+$"")")," min")</f>
        <v> min</v>
      </c>
      <c r="AA1106" s="5" t="str">
        <f>IFERROR(__xludf.DUMMYFUNCTION("IF(REGEXMATCH(Z1106, ""Season""), ""TV Show"", ""Movie"")"),"Movie")</f>
        <v>Movie</v>
      </c>
    </row>
    <row r="1107">
      <c r="A1107" s="1" t="s">
        <v>6563</v>
      </c>
      <c r="B1107" s="1" t="s">
        <v>27</v>
      </c>
      <c r="C1107" s="1" t="s">
        <v>6564</v>
      </c>
      <c r="D1107" s="1" t="s">
        <v>6565</v>
      </c>
      <c r="E1107" s="1" t="s">
        <v>6566</v>
      </c>
      <c r="F1107" s="1" t="s">
        <v>686</v>
      </c>
      <c r="G1107" s="1" t="s">
        <v>6549</v>
      </c>
      <c r="H1107" s="1">
        <v>2021.0</v>
      </c>
      <c r="I1107" s="1" t="s">
        <v>378</v>
      </c>
      <c r="J1107" s="1" t="s">
        <v>1243</v>
      </c>
      <c r="K1107" s="1" t="s">
        <v>1320</v>
      </c>
      <c r="L1107" s="1" t="s">
        <v>6567</v>
      </c>
      <c r="M1107" s="2" t="s">
        <v>12</v>
      </c>
      <c r="N1107" s="4">
        <f t="shared" si="1"/>
        <v>44288</v>
      </c>
      <c r="O1107" s="5" t="str">
        <f>IFERROR(__xludf.DUMMYFUNCTION("IF(REGEXMATCH(TRIM(I1107), ""^\d+\s*min""), ""Unclassified"", IF(I1107 = """", ""NR"", I1107))"),"R")</f>
        <v>R</v>
      </c>
      <c r="R1107" s="5" t="str">
        <f t="shared" si="2"/>
        <v>Concrete Cowboy</v>
      </c>
      <c r="S1107" s="5" t="str">
        <f>IFERROR(__xludf.DUMMYFUNCTION("""COMPUTED_VALUE"""),"Blue Miracle")</f>
        <v>Blue Miracle</v>
      </c>
      <c r="U1107" s="5" t="str">
        <f>IFERROR(__xludf.DUMMYFUNCTION("""COMPUTED_VALUE"""),"Rod Lurie")</f>
        <v>Rod Lurie</v>
      </c>
      <c r="V1107" s="5" t="s">
        <v>6568</v>
      </c>
      <c r="W1107" s="5" t="str">
        <f t="shared" si="3"/>
        <v>Doesjka Van Hoogdalem</v>
      </c>
      <c r="X1107" s="5">
        <f t="shared" si="4"/>
        <v>1</v>
      </c>
      <c r="Y1107" s="5" t="str">
        <f>IFERROR(__xludf.DUMMYFUNCTION("REGEXEXTRACT(J1107, ""^\d+"")"),"112")</f>
        <v>112</v>
      </c>
      <c r="Z1107" s="5" t="str">
        <f>IFERROR(__xludf.DUMMYFUNCTION("REGEXEXTRACT(J1107, ""[A-Za-z ]+$"")")," min")</f>
        <v> min</v>
      </c>
      <c r="AA1107" s="5" t="str">
        <f>IFERROR(__xludf.DUMMYFUNCTION("IF(REGEXMATCH(Z1107, ""Season""), ""TV Show"", ""Movie"")"),"Movie")</f>
        <v>Movie</v>
      </c>
    </row>
    <row r="1108">
      <c r="A1108" s="1" t="s">
        <v>6569</v>
      </c>
      <c r="B1108" s="1" t="s">
        <v>27</v>
      </c>
      <c r="C1108" s="1" t="s">
        <v>6570</v>
      </c>
      <c r="D1108" s="1" t="s">
        <v>6571</v>
      </c>
      <c r="E1108" s="1" t="s">
        <v>6572</v>
      </c>
      <c r="F1108" s="1" t="s">
        <v>30</v>
      </c>
      <c r="G1108" s="1" t="s">
        <v>6549</v>
      </c>
      <c r="H1108" s="1">
        <v>2019.0</v>
      </c>
      <c r="I1108" s="1" t="s">
        <v>378</v>
      </c>
      <c r="J1108" s="1" t="s">
        <v>433</v>
      </c>
      <c r="K1108" s="1" t="s">
        <v>380</v>
      </c>
      <c r="L1108" s="1" t="s">
        <v>6573</v>
      </c>
      <c r="M1108" s="2" t="s">
        <v>12</v>
      </c>
      <c r="N1108" s="4">
        <f t="shared" si="1"/>
        <v>44288</v>
      </c>
      <c r="O1108" s="5" t="str">
        <f>IFERROR(__xludf.DUMMYFUNCTION("IF(REGEXMATCH(TRIM(I1108), ""^\d+\s*min""), ""Unclassified"", IF(I1108 = """", ""NR"", I1108))"),"R")</f>
        <v>R</v>
      </c>
      <c r="R1108" s="5" t="str">
        <f t="shared" si="2"/>
        <v>Cross: Rise Of The Villains</v>
      </c>
      <c r="S1108" s="5" t="str">
        <f>IFERROR(__xludf.DUMMYFUNCTION("""COMPUTED_VALUE"""),"Blue Mountain State: The Rise Of Thadland")</f>
        <v>Blue Mountain State: The Rise Of Thadland</v>
      </c>
      <c r="U1108" s="5" t="str">
        <f>IFERROR(__xludf.DUMMYFUNCTION("""COMPUTED_VALUE"""),"Stacie Passon")</f>
        <v>Stacie Passon</v>
      </c>
      <c r="V1108" s="5" t="s">
        <v>6574</v>
      </c>
      <c r="W1108" s="5" t="str">
        <f t="shared" si="3"/>
        <v>Dolapo Adeleke</v>
      </c>
      <c r="X1108" s="5">
        <f t="shared" si="4"/>
        <v>1</v>
      </c>
      <c r="Y1108" s="5" t="str">
        <f>IFERROR(__xludf.DUMMYFUNCTION("REGEXEXTRACT(J1108, ""^\d+"")"),"100")</f>
        <v>100</v>
      </c>
      <c r="Z1108" s="5" t="str">
        <f>IFERROR(__xludf.DUMMYFUNCTION("REGEXEXTRACT(J1108, ""[A-Za-z ]+$"")")," min")</f>
        <v> min</v>
      </c>
      <c r="AA1108" s="5" t="str">
        <f>IFERROR(__xludf.DUMMYFUNCTION("IF(REGEXMATCH(Z1108, ""Season""), ""TV Show"", ""Movie"")"),"Movie")</f>
        <v>Movie</v>
      </c>
    </row>
    <row r="1109">
      <c r="A1109" s="1" t="s">
        <v>6575</v>
      </c>
      <c r="B1109" s="1" t="s">
        <v>27</v>
      </c>
      <c r="C1109" s="1" t="s">
        <v>6576</v>
      </c>
      <c r="D1109" s="1" t="s">
        <v>6577</v>
      </c>
      <c r="E1109" s="1" t="s">
        <v>6578</v>
      </c>
      <c r="F1109" s="1" t="s">
        <v>400</v>
      </c>
      <c r="G1109" s="1" t="s">
        <v>6549</v>
      </c>
      <c r="H1109" s="1">
        <v>2018.0</v>
      </c>
      <c r="I1109" s="1" t="s">
        <v>42</v>
      </c>
      <c r="J1109" s="1" t="s">
        <v>985</v>
      </c>
      <c r="K1109" s="1" t="s">
        <v>3585</v>
      </c>
      <c r="L1109" s="1" t="s">
        <v>6579</v>
      </c>
      <c r="M1109" s="2" t="s">
        <v>12</v>
      </c>
      <c r="N1109" s="4">
        <f t="shared" si="1"/>
        <v>44288</v>
      </c>
      <c r="O1109" s="5" t="str">
        <f>IFERROR(__xludf.DUMMYFUNCTION("IF(REGEXMATCH(TRIM(I1109), ""^\d+\s*min""), ""Unclassified"", IF(I1109 = """", ""NR"", I1109))"),"TV-MA")</f>
        <v>TV-MA</v>
      </c>
      <c r="R1109" s="5" t="str">
        <f t="shared" si="2"/>
        <v>God Calling</v>
      </c>
      <c r="S1109" s="5" t="str">
        <f>IFERROR(__xludf.DUMMYFUNCTION("""COMPUTED_VALUE"""),"Blue Planet Ii")</f>
        <v>Blue Planet Ii</v>
      </c>
      <c r="U1109" s="5" t="str">
        <f>IFERROR(__xludf.DUMMYFUNCTION("""COMPUTED_VALUE"""),"Jenny Popplewell")</f>
        <v>Jenny Popplewell</v>
      </c>
      <c r="V1109" s="5" t="s">
        <v>6580</v>
      </c>
      <c r="W1109" s="5" t="str">
        <f t="shared" si="3"/>
        <v>Domenico De Feudis</v>
      </c>
      <c r="X1109" s="5">
        <f t="shared" si="4"/>
        <v>1</v>
      </c>
      <c r="Y1109" s="5" t="str">
        <f>IFERROR(__xludf.DUMMYFUNCTION("REGEXEXTRACT(J1109, ""^\d+"")"),"120")</f>
        <v>120</v>
      </c>
      <c r="Z1109" s="5" t="str">
        <f>IFERROR(__xludf.DUMMYFUNCTION("REGEXEXTRACT(J1109, ""[A-Za-z ]+$"")")," min")</f>
        <v> min</v>
      </c>
      <c r="AA1109" s="5" t="str">
        <f>IFERROR(__xludf.DUMMYFUNCTION("IF(REGEXMATCH(Z1109, ""Season""), ""TV Show"", ""Movie"")"),"Movie")</f>
        <v>Movie</v>
      </c>
    </row>
    <row r="1110">
      <c r="A1110" s="1" t="s">
        <v>6581</v>
      </c>
      <c r="B1110" s="1" t="s">
        <v>27</v>
      </c>
      <c r="C1110" s="1" t="s">
        <v>6582</v>
      </c>
      <c r="D1110" s="1" t="s">
        <v>6583</v>
      </c>
      <c r="E1110" s="1" t="s">
        <v>6584</v>
      </c>
      <c r="F1110" s="1" t="s">
        <v>63</v>
      </c>
      <c r="G1110" s="1" t="s">
        <v>6549</v>
      </c>
      <c r="H1110" s="1">
        <v>2021.0</v>
      </c>
      <c r="I1110" s="1" t="s">
        <v>42</v>
      </c>
      <c r="J1110" s="1" t="s">
        <v>79</v>
      </c>
      <c r="K1110" s="1" t="s">
        <v>631</v>
      </c>
      <c r="L1110" s="1" t="s">
        <v>6585</v>
      </c>
      <c r="M1110" s="2" t="s">
        <v>12</v>
      </c>
      <c r="N1110" s="4">
        <f t="shared" si="1"/>
        <v>44288</v>
      </c>
      <c r="O1110" s="5" t="str">
        <f>IFERROR(__xludf.DUMMYFUNCTION("IF(REGEXMATCH(TRIM(I1110), ""^\d+\s*min""), ""Unclassified"", IF(I1110 = """", ""NR"", I1110))"),"TV-MA")</f>
        <v>TV-MA</v>
      </c>
      <c r="R1110" s="5" t="str">
        <f t="shared" si="2"/>
        <v>Irul</v>
      </c>
      <c r="S1110" s="5" t="str">
        <f>IFERROR(__xludf.DUMMYFUNCTION("""COMPUTED_VALUE"""),"Blue Ruin")</f>
        <v>Blue Ruin</v>
      </c>
      <c r="U1110" s="5" t="str">
        <f>IFERROR(__xludf.DUMMYFUNCTION("""COMPUTED_VALUE"""),"Florian Schott")</f>
        <v>Florian Schott</v>
      </c>
      <c r="V1110" s="5" t="s">
        <v>4940</v>
      </c>
      <c r="W1110" s="5" t="str">
        <f t="shared" si="3"/>
        <v>Dominic Sena</v>
      </c>
      <c r="X1110" s="5">
        <f t="shared" si="4"/>
        <v>2</v>
      </c>
      <c r="Y1110" s="5" t="str">
        <f>IFERROR(__xludf.DUMMYFUNCTION("REGEXEXTRACT(J1110, ""^\d+"")"),"91")</f>
        <v>91</v>
      </c>
      <c r="Z1110" s="5" t="str">
        <f>IFERROR(__xludf.DUMMYFUNCTION("REGEXEXTRACT(J1110, ""[A-Za-z ]+$"")")," min")</f>
        <v> min</v>
      </c>
      <c r="AA1110" s="5" t="str">
        <f>IFERROR(__xludf.DUMMYFUNCTION("IF(REGEXMATCH(Z1110, ""Season""), ""TV Show"", ""Movie"")"),"Movie")</f>
        <v>Movie</v>
      </c>
    </row>
    <row r="1111">
      <c r="A1111" s="1" t="s">
        <v>6586</v>
      </c>
      <c r="B1111" s="1" t="s">
        <v>27</v>
      </c>
      <c r="C1111" s="1" t="s">
        <v>6587</v>
      </c>
      <c r="D1111" s="1" t="s">
        <v>6588</v>
      </c>
      <c r="E1111" s="1" t="s">
        <v>6589</v>
      </c>
      <c r="F1111" s="1" t="s">
        <v>4615</v>
      </c>
      <c r="G1111" s="1" t="s">
        <v>6549</v>
      </c>
      <c r="H1111" s="1">
        <v>2021.0</v>
      </c>
      <c r="I1111" s="1" t="s">
        <v>42</v>
      </c>
      <c r="J1111" s="1" t="s">
        <v>357</v>
      </c>
      <c r="K1111" s="1" t="s">
        <v>215</v>
      </c>
      <c r="L1111" s="1" t="s">
        <v>6590</v>
      </c>
      <c r="M1111" s="2" t="s">
        <v>12</v>
      </c>
      <c r="N1111" s="4">
        <f t="shared" si="1"/>
        <v>44288</v>
      </c>
      <c r="O1111" s="5" t="str">
        <f>IFERROR(__xludf.DUMMYFUNCTION("IF(REGEXMATCH(TRIM(I1111), ""^\d+\s*min""), ""Unclassified"", IF(I1111 = """", ""NR"", I1111))"),"TV-MA")</f>
        <v>TV-MA</v>
      </c>
      <c r="R1111" s="5" t="str">
        <f t="shared" si="2"/>
        <v>Just Say Yes</v>
      </c>
      <c r="S1111" s="5" t="str">
        <f>IFERROR(__xludf.DUMMYFUNCTION("""COMPUTED_VALUE"""),"Blue Streak")</f>
        <v>Blue Streak</v>
      </c>
      <c r="U1111" s="5" t="str">
        <f>IFERROR(__xludf.DUMMYFUNCTION("""COMPUTED_VALUE"""),"Tom Whitworth")</f>
        <v>Tom Whitworth</v>
      </c>
      <c r="V1111" s="5" t="s">
        <v>5523</v>
      </c>
      <c r="W1111" s="5" t="str">
        <f t="shared" si="3"/>
        <v>Don Argott, Sheena M. Joyce</v>
      </c>
      <c r="X1111" s="5">
        <f t="shared" si="4"/>
        <v>1</v>
      </c>
      <c r="Y1111" s="5" t="str">
        <f>IFERROR(__xludf.DUMMYFUNCTION("REGEXEXTRACT(J1111, ""^\d+"")"),"98")</f>
        <v>98</v>
      </c>
      <c r="Z1111" s="5" t="str">
        <f>IFERROR(__xludf.DUMMYFUNCTION("REGEXEXTRACT(J1111, ""[A-Za-z ]+$"")")," min")</f>
        <v> min</v>
      </c>
      <c r="AA1111" s="5" t="str">
        <f>IFERROR(__xludf.DUMMYFUNCTION("IF(REGEXMATCH(Z1111, ""Season""), ""TV Show"", ""Movie"")"),"Movie")</f>
        <v>Movie</v>
      </c>
    </row>
    <row r="1112">
      <c r="A1112" s="1" t="s">
        <v>6591</v>
      </c>
      <c r="B1112" s="1" t="s">
        <v>27</v>
      </c>
      <c r="C1112" s="1" t="s">
        <v>6592</v>
      </c>
      <c r="D1112" s="1" t="s">
        <v>6593</v>
      </c>
      <c r="E1112" s="1" t="s">
        <v>6594</v>
      </c>
      <c r="F1112" s="1" t="s">
        <v>664</v>
      </c>
      <c r="G1112" s="1" t="s">
        <v>6549</v>
      </c>
      <c r="H1112" s="1">
        <v>2021.0</v>
      </c>
      <c r="I1112" s="1" t="s">
        <v>42</v>
      </c>
      <c r="J1112" s="1" t="s">
        <v>519</v>
      </c>
      <c r="K1112" s="1" t="s">
        <v>128</v>
      </c>
      <c r="L1112" s="1" t="s">
        <v>6595</v>
      </c>
      <c r="M1112" s="2" t="s">
        <v>12</v>
      </c>
      <c r="N1112" s="4">
        <f t="shared" si="1"/>
        <v>44288</v>
      </c>
      <c r="O1112" s="5" t="str">
        <f>IFERROR(__xludf.DUMMYFUNCTION("IF(REGEXMATCH(TRIM(I1112), ""^\d+\s*min""), ""Unclassified"", IF(I1112 = """", ""NR"", I1112))"),"TV-MA")</f>
        <v>TV-MA</v>
      </c>
      <c r="R1112" s="5" t="str">
        <f t="shared" si="2"/>
        <v>Madame Claude</v>
      </c>
      <c r="S1112" s="5" t="str">
        <f>IFERROR(__xludf.DUMMYFUNCTION("""COMPUTED_VALUE"""),"Blue Valentine")</f>
        <v>Blue Valentine</v>
      </c>
      <c r="U1112" s="5" t="str">
        <f>IFERROR(__xludf.DUMMYFUNCTION("""COMPUTED_VALUE"""),"Joe Mantello")</f>
        <v>Joe Mantello</v>
      </c>
      <c r="V1112" s="5" t="s">
        <v>6596</v>
      </c>
      <c r="W1112" s="5" t="str">
        <f t="shared" si="3"/>
        <v>Don Bluth</v>
      </c>
      <c r="X1112" s="5">
        <f t="shared" si="4"/>
        <v>1</v>
      </c>
      <c r="Y1112" s="5" t="str">
        <f>IFERROR(__xludf.DUMMYFUNCTION("REGEXEXTRACT(J1112, ""^\d+"")"),"113")</f>
        <v>113</v>
      </c>
      <c r="Z1112" s="5" t="str">
        <f>IFERROR(__xludf.DUMMYFUNCTION("REGEXEXTRACT(J1112, ""[A-Za-z ]+$"")")," min")</f>
        <v> min</v>
      </c>
      <c r="AA1112" s="5" t="str">
        <f>IFERROR(__xludf.DUMMYFUNCTION("IF(REGEXMATCH(Z1112, ""Season""), ""TV Show"", ""Movie"")"),"Movie")</f>
        <v>Movie</v>
      </c>
    </row>
    <row r="1113">
      <c r="A1113" s="1" t="s">
        <v>6597</v>
      </c>
      <c r="B1113" s="1" t="s">
        <v>27</v>
      </c>
      <c r="C1113" s="1" t="s">
        <v>6598</v>
      </c>
      <c r="D1113" s="1" t="s">
        <v>6599</v>
      </c>
      <c r="E1113" s="1" t="s">
        <v>6600</v>
      </c>
      <c r="F1113" s="1" t="s">
        <v>5685</v>
      </c>
      <c r="G1113" s="1" t="s">
        <v>6549</v>
      </c>
      <c r="H1113" s="1">
        <v>2008.0</v>
      </c>
      <c r="I1113" s="1" t="s">
        <v>32</v>
      </c>
      <c r="J1113" s="1" t="s">
        <v>357</v>
      </c>
      <c r="K1113" s="1" t="s">
        <v>813</v>
      </c>
      <c r="L1113" s="1" t="s">
        <v>6601</v>
      </c>
      <c r="M1113" s="2" t="s">
        <v>12</v>
      </c>
      <c r="N1113" s="4">
        <f t="shared" si="1"/>
        <v>44288</v>
      </c>
      <c r="O1113" s="5" t="str">
        <f>IFERROR(__xludf.DUMMYFUNCTION("IF(REGEXMATCH(TRIM(I1113), ""^\d+\s*min""), ""Unclassified"", IF(I1113 = """", ""NR"", I1113))"),"PG-13")</f>
        <v>PG-13</v>
      </c>
      <c r="R1113" s="5" t="str">
        <f t="shared" si="2"/>
        <v>Wild Child</v>
      </c>
      <c r="S1113" s="5" t="str">
        <f>IFERROR(__xludf.DUMMYFUNCTION("""COMPUTED_VALUE"""),"Blue, Painful, Fragile")</f>
        <v>Blue, Painful, Fragile</v>
      </c>
      <c r="U1113" s="5" t="str">
        <f>IFERROR(__xludf.DUMMYFUNCTION("""COMPUTED_VALUE"""),"Lee Hirsch")</f>
        <v>Lee Hirsch</v>
      </c>
      <c r="V1113" s="5" t="s">
        <v>6602</v>
      </c>
      <c r="W1113" s="5" t="str">
        <f t="shared" si="3"/>
        <v>Don Bluth, Gary Goldman, Dan Kuenster</v>
      </c>
      <c r="X1113" s="5">
        <f t="shared" si="4"/>
        <v>1</v>
      </c>
      <c r="Y1113" s="5" t="str">
        <f>IFERROR(__xludf.DUMMYFUNCTION("REGEXEXTRACT(J1113, ""^\d+"")"),"98")</f>
        <v>98</v>
      </c>
      <c r="Z1113" s="5" t="str">
        <f>IFERROR(__xludf.DUMMYFUNCTION("REGEXEXTRACT(J1113, ""[A-Za-z ]+$"")")," min")</f>
        <v> min</v>
      </c>
      <c r="AA1113" s="5" t="str">
        <f>IFERROR(__xludf.DUMMYFUNCTION("IF(REGEXMATCH(Z1113, ""Season""), ""TV Show"", ""Movie"")"),"Movie")</f>
        <v>Movie</v>
      </c>
    </row>
    <row r="1114">
      <c r="A1114" s="1" t="s">
        <v>6603</v>
      </c>
      <c r="B1114" s="1" t="s">
        <v>27</v>
      </c>
      <c r="C1114" s="1" t="s">
        <v>6604</v>
      </c>
      <c r="D1114" s="1" t="s">
        <v>1218</v>
      </c>
      <c r="E1114" s="1" t="s">
        <v>6605</v>
      </c>
      <c r="F1114" s="1" t="s">
        <v>30</v>
      </c>
      <c r="G1114" s="1" t="s">
        <v>6549</v>
      </c>
      <c r="H1114" s="1">
        <v>2017.0</v>
      </c>
      <c r="I1114" s="1" t="s">
        <v>78</v>
      </c>
      <c r="J1114" s="1" t="s">
        <v>79</v>
      </c>
      <c r="K1114" s="1" t="s">
        <v>137</v>
      </c>
      <c r="L1114" s="1" t="s">
        <v>6606</v>
      </c>
      <c r="M1114" s="2" t="s">
        <v>12</v>
      </c>
      <c r="N1114" s="4">
        <f t="shared" si="1"/>
        <v>44288</v>
      </c>
      <c r="O1114" s="5" t="str">
        <f>IFERROR(__xludf.DUMMYFUNCTION("IF(REGEXMATCH(TRIM(I1114), ""^\d+\s*min""), ""Unclassified"", IF(I1114 = """", ""NR"", I1114))"),"PG")</f>
        <v>PG</v>
      </c>
      <c r="R1114" s="5" t="str">
        <f t="shared" si="2"/>
        <v>Woody Woodpecker</v>
      </c>
      <c r="S1114" s="5" t="str">
        <f>IFERROR(__xludf.DUMMYFUNCTION("""COMPUTED_VALUE"""),"Bluffmaster!")</f>
        <v>Bluffmaster!</v>
      </c>
      <c r="U1114" s="5" t="str">
        <f>IFERROR(__xludf.DUMMYFUNCTION("""COMPUTED_VALUE"""),"Page Hurwitz")</f>
        <v>Page Hurwitz</v>
      </c>
      <c r="V1114" s="5" t="s">
        <v>6607</v>
      </c>
      <c r="W1114" s="5" t="str">
        <f t="shared" si="3"/>
        <v>Don Mancini</v>
      </c>
      <c r="X1114" s="5">
        <f t="shared" si="4"/>
        <v>1</v>
      </c>
      <c r="Y1114" s="5" t="str">
        <f>IFERROR(__xludf.DUMMYFUNCTION("REGEXEXTRACT(J1114, ""^\d+"")"),"91")</f>
        <v>91</v>
      </c>
      <c r="Z1114" s="5" t="str">
        <f>IFERROR(__xludf.DUMMYFUNCTION("REGEXEXTRACT(J1114, ""[A-Za-z ]+$"")")," min")</f>
        <v> min</v>
      </c>
      <c r="AA1114" s="5" t="str">
        <f>IFERROR(__xludf.DUMMYFUNCTION("IF(REGEXMATCH(Z1114, ""Season""), ""TV Show"", ""Movie"")"),"Movie")</f>
        <v>Movie</v>
      </c>
    </row>
    <row r="1115">
      <c r="A1115" s="1" t="s">
        <v>6608</v>
      </c>
      <c r="B1115" s="1" t="s">
        <v>27</v>
      </c>
      <c r="C1115" s="1">
        <v>2012.0</v>
      </c>
      <c r="D1115" s="1" t="s">
        <v>5677</v>
      </c>
      <c r="E1115" s="1" t="s">
        <v>6609</v>
      </c>
      <c r="F1115" s="1" t="s">
        <v>30</v>
      </c>
      <c r="G1115" s="1" t="s">
        <v>6610</v>
      </c>
      <c r="H1115" s="1">
        <v>2009.0</v>
      </c>
      <c r="I1115" s="1" t="s">
        <v>32</v>
      </c>
      <c r="J1115" s="1" t="s">
        <v>6611</v>
      </c>
      <c r="K1115" s="1" t="s">
        <v>942</v>
      </c>
      <c r="L1115" s="1" t="s">
        <v>6612</v>
      </c>
      <c r="M1115" s="2" t="s">
        <v>12</v>
      </c>
      <c r="N1115" s="4">
        <f t="shared" si="1"/>
        <v>44287</v>
      </c>
      <c r="O1115" s="5" t="str">
        <f>IFERROR(__xludf.DUMMYFUNCTION("IF(REGEXMATCH(TRIM(I1115), ""^\d+\s*min""), ""Unclassified"", IF(I1115 = """", ""NR"", I1115))"),"PG-13")</f>
        <v>PG-13</v>
      </c>
      <c r="R1115" s="5" t="str">
        <f t="shared" si="2"/>
        <v>2012</v>
      </c>
      <c r="S1115" s="5" t="str">
        <f>IFERROR(__xludf.DUMMYFUNCTION("""COMPUTED_VALUE"""),"Blurred Lines: Inside The Art World")</f>
        <v>Blurred Lines: Inside The Art World</v>
      </c>
      <c r="U1115" s="5" t="str">
        <f>IFERROR(__xludf.DUMMYFUNCTION("""COMPUTED_VALUE"""),"Dallas Jackson")</f>
        <v>Dallas Jackson</v>
      </c>
      <c r="V1115" s="5" t="s">
        <v>4791</v>
      </c>
      <c r="W1115" s="5" t="str">
        <f t="shared" si="3"/>
        <v>Don Michael Paul</v>
      </c>
      <c r="X1115" s="5">
        <f t="shared" si="4"/>
        <v>10</v>
      </c>
      <c r="Y1115" s="5" t="str">
        <f>IFERROR(__xludf.DUMMYFUNCTION("REGEXEXTRACT(J1115, ""^\d+"")"),"158")</f>
        <v>158</v>
      </c>
      <c r="Z1115" s="5" t="str">
        <f>IFERROR(__xludf.DUMMYFUNCTION("REGEXEXTRACT(J1115, ""[A-Za-z ]+$"")")," min")</f>
        <v> min</v>
      </c>
      <c r="AA1115" s="5" t="str">
        <f>IFERROR(__xludf.DUMMYFUNCTION("IF(REGEXMATCH(Z1115, ""Season""), ""TV Show"", ""Movie"")"),"Movie")</f>
        <v>Movie</v>
      </c>
    </row>
    <row r="1116">
      <c r="A1116" s="1" t="s">
        <v>6613</v>
      </c>
      <c r="B1116" s="1" t="s">
        <v>27</v>
      </c>
      <c r="C1116" s="1" t="s">
        <v>6614</v>
      </c>
      <c r="D1116" s="1" t="s">
        <v>6615</v>
      </c>
      <c r="E1116" s="1" t="s">
        <v>6616</v>
      </c>
      <c r="F1116" s="1" t="s">
        <v>63</v>
      </c>
      <c r="G1116" s="1" t="s">
        <v>6610</v>
      </c>
      <c r="H1116" s="1">
        <v>2009.0</v>
      </c>
      <c r="I1116" s="1" t="s">
        <v>32</v>
      </c>
      <c r="J1116" s="1" t="s">
        <v>6617</v>
      </c>
      <c r="K1116" s="1" t="s">
        <v>583</v>
      </c>
      <c r="L1116" s="1" t="s">
        <v>6618</v>
      </c>
      <c r="M1116" s="2" t="s">
        <v>12</v>
      </c>
      <c r="N1116" s="4">
        <f t="shared" si="1"/>
        <v>44287</v>
      </c>
      <c r="O1116" s="5" t="str">
        <f>IFERROR(__xludf.DUMMYFUNCTION("IF(REGEXMATCH(TRIM(I1116), ""^\d+\s*min""), ""Unclassified"", IF(I1116 = """", ""NR"", I1116))"),"PG-13")</f>
        <v>PG-13</v>
      </c>
      <c r="R1116" s="5" t="str">
        <f t="shared" si="2"/>
        <v>3 Idiots</v>
      </c>
      <c r="S1116" s="5" t="str">
        <f>IFERROR(__xludf.DUMMYFUNCTION("""COMPUTED_VALUE"""),"Bna")</f>
        <v>Bna</v>
      </c>
      <c r="U1116" s="5" t="str">
        <f>IFERROR(__xludf.DUMMYFUNCTION("""COMPUTED_VALUE"""),"Rajat Kapoor")</f>
        <v>Rajat Kapoor</v>
      </c>
      <c r="V1116" s="5" t="s">
        <v>6619</v>
      </c>
      <c r="W1116" s="5" t="str">
        <f t="shared" si="3"/>
        <v>Don Omope</v>
      </c>
      <c r="X1116" s="5">
        <f t="shared" si="4"/>
        <v>1</v>
      </c>
      <c r="Y1116" s="5" t="str">
        <f>IFERROR(__xludf.DUMMYFUNCTION("REGEXEXTRACT(J1116, ""^\d+"")"),"164")</f>
        <v>164</v>
      </c>
      <c r="Z1116" s="5" t="str">
        <f>IFERROR(__xludf.DUMMYFUNCTION("REGEXEXTRACT(J1116, ""[A-Za-z ]+$"")")," min")</f>
        <v> min</v>
      </c>
      <c r="AA1116" s="5" t="str">
        <f>IFERROR(__xludf.DUMMYFUNCTION("IF(REGEXMATCH(Z1116, ""Season""), ""TV Show"", ""Movie"")"),"Movie")</f>
        <v>Movie</v>
      </c>
    </row>
    <row r="1117">
      <c r="A1117" s="1" t="s">
        <v>6620</v>
      </c>
      <c r="B1117" s="1" t="s">
        <v>27</v>
      </c>
      <c r="C1117" s="1" t="s">
        <v>6621</v>
      </c>
      <c r="D1117" s="1" t="s">
        <v>6622</v>
      </c>
      <c r="E1117" s="1" t="s">
        <v>6623</v>
      </c>
      <c r="F1117" s="1" t="s">
        <v>63</v>
      </c>
      <c r="G1117" s="1" t="s">
        <v>6610</v>
      </c>
      <c r="H1117" s="1">
        <v>2012.0</v>
      </c>
      <c r="I1117" s="1" t="s">
        <v>136</v>
      </c>
      <c r="J1117" s="1" t="s">
        <v>1428</v>
      </c>
      <c r="K1117" s="1" t="s">
        <v>6624</v>
      </c>
      <c r="L1117" s="1" t="s">
        <v>6625</v>
      </c>
      <c r="M1117" s="2" t="s">
        <v>12</v>
      </c>
      <c r="N1117" s="4">
        <f t="shared" si="1"/>
        <v>44287</v>
      </c>
      <c r="O1117" s="5" t="str">
        <f>IFERROR(__xludf.DUMMYFUNCTION("IF(REGEXMATCH(TRIM(I1117), ""^\d+\s*min""), ""Unclassified"", IF(I1117 = """", ""NR"", I1117))"),"TV-PG")</f>
        <v>TV-PG</v>
      </c>
      <c r="R1117" s="5" t="str">
        <f t="shared" si="2"/>
        <v>Ferrari Ki Sawaari</v>
      </c>
      <c r="S1117" s="5" t="str">
        <f>IFERROR(__xludf.DUMMYFUNCTION("""COMPUTED_VALUE"""),"Bnk48: Girls Don'T Cry")</f>
        <v>Bnk48: Girls Don'T Cry</v>
      </c>
      <c r="U1117" s="5" t="str">
        <f>IFERROR(__xludf.DUMMYFUNCTION("""COMPUTED_VALUE"""),"Abhishek Chaubey")</f>
        <v>Abhishek Chaubey</v>
      </c>
      <c r="V1117" s="5" t="s">
        <v>6626</v>
      </c>
      <c r="W1117" s="5" t="str">
        <f t="shared" si="3"/>
        <v>Donald Petrie</v>
      </c>
      <c r="X1117" s="5">
        <f t="shared" si="4"/>
        <v>1</v>
      </c>
      <c r="Y1117" s="5" t="str">
        <f>IFERROR(__xludf.DUMMYFUNCTION("REGEXEXTRACT(J1117, ""^\d+"")"),"133")</f>
        <v>133</v>
      </c>
      <c r="Z1117" s="5" t="str">
        <f>IFERROR(__xludf.DUMMYFUNCTION("REGEXEXTRACT(J1117, ""[A-Za-z ]+$"")")," min")</f>
        <v> min</v>
      </c>
      <c r="AA1117" s="5" t="str">
        <f>IFERROR(__xludf.DUMMYFUNCTION("IF(REGEXMATCH(Z1117, ""Season""), ""TV Show"", ""Movie"")"),"Movie")</f>
        <v>Movie</v>
      </c>
    </row>
    <row r="1118">
      <c r="A1118" s="1" t="s">
        <v>6627</v>
      </c>
      <c r="B1118" s="1" t="s">
        <v>37</v>
      </c>
      <c r="C1118" s="1" t="s">
        <v>6628</v>
      </c>
      <c r="G1118" s="1" t="s">
        <v>6610</v>
      </c>
      <c r="H1118" s="1">
        <v>2020.0</v>
      </c>
      <c r="I1118" s="1" t="s">
        <v>136</v>
      </c>
      <c r="J1118" s="1" t="s">
        <v>51</v>
      </c>
      <c r="K1118" s="1" t="s">
        <v>507</v>
      </c>
      <c r="L1118" s="1" t="s">
        <v>6629</v>
      </c>
      <c r="M1118" s="2" t="s">
        <v>12</v>
      </c>
      <c r="N1118" s="4">
        <f t="shared" si="1"/>
        <v>44287</v>
      </c>
      <c r="O1118" s="5" t="str">
        <f>IFERROR(__xludf.DUMMYFUNCTION("IF(REGEXMATCH(TRIM(I1118), ""^\d+\s*min""), ""Unclassified"", IF(I1118 = """", ""NR"", I1118))"),"TV-PG")</f>
        <v>TV-PG</v>
      </c>
      <c r="R1118" s="5" t="str">
        <f t="shared" si="2"/>
        <v>Glimpses Of A Future</v>
      </c>
      <c r="S1118" s="5" t="str">
        <f>IFERROR(__xludf.DUMMYFUNCTION("""COMPUTED_VALUE"""),"Bo Burnham: Inside")</f>
        <v>Bo Burnham: Inside</v>
      </c>
      <c r="U1118" s="5" t="str">
        <f>IFERROR(__xludf.DUMMYFUNCTION("""COMPUTED_VALUE"""),"Imtiaz Ali")</f>
        <v>Imtiaz Ali</v>
      </c>
      <c r="V1118" s="5" t="s">
        <v>6630</v>
      </c>
      <c r="W1118" s="5" t="str">
        <f t="shared" si="3"/>
        <v>Donick Cary</v>
      </c>
      <c r="X1118" s="5">
        <f t="shared" si="4"/>
        <v>1</v>
      </c>
      <c r="Y1118" s="5" t="str">
        <f>IFERROR(__xludf.DUMMYFUNCTION("REGEXEXTRACT(J1118, ""^\d+"")"),"1")</f>
        <v>1</v>
      </c>
      <c r="Z1118" s="5" t="str">
        <f>IFERROR(__xludf.DUMMYFUNCTION("REGEXEXTRACT(J1118, ""[A-Za-z ]+$"")")," Season")</f>
        <v> Season</v>
      </c>
      <c r="AA1118" s="5" t="str">
        <f>IFERROR(__xludf.DUMMYFUNCTION("IF(REGEXMATCH(Z1118, ""Season""), ""TV Show"", ""Movie"")"),"TV Show")</f>
        <v>TV Show</v>
      </c>
    </row>
    <row r="1119">
      <c r="A1119" s="1" t="s">
        <v>6631</v>
      </c>
      <c r="B1119" s="1" t="s">
        <v>27</v>
      </c>
      <c r="C1119" s="1" t="s">
        <v>6632</v>
      </c>
      <c r="D1119" s="1" t="s">
        <v>6633</v>
      </c>
      <c r="F1119" s="1" t="s">
        <v>6634</v>
      </c>
      <c r="G1119" s="1" t="s">
        <v>6610</v>
      </c>
      <c r="H1119" s="1">
        <v>2019.0</v>
      </c>
      <c r="I1119" s="1" t="s">
        <v>136</v>
      </c>
      <c r="J1119" s="1" t="s">
        <v>6281</v>
      </c>
      <c r="K1119" s="1" t="s">
        <v>156</v>
      </c>
      <c r="L1119" s="1" t="s">
        <v>6635</v>
      </c>
      <c r="M1119" s="2" t="s">
        <v>12</v>
      </c>
      <c r="N1119" s="4">
        <f t="shared" si="1"/>
        <v>44287</v>
      </c>
      <c r="O1119" s="5" t="str">
        <f>IFERROR(__xludf.DUMMYFUNCTION("IF(REGEXMATCH(TRIM(I1119), ""^\d+\s*min""), ""Unclassified"", IF(I1119 = """", ""NR"", I1119))"),"TV-PG")</f>
        <v>TV-PG</v>
      </c>
      <c r="R1119" s="5" t="str">
        <f t="shared" si="2"/>
        <v>Ibrahim A Fate To Define</v>
      </c>
      <c r="S1119" s="5" t="str">
        <f>IFERROR(__xludf.DUMMYFUNCTION("""COMPUTED_VALUE"""),"Bo Burnham: Make Happy")</f>
        <v>Bo Burnham: Make Happy</v>
      </c>
      <c r="U1119" s="5" t="str">
        <f>IFERROR(__xludf.DUMMYFUNCTION("""COMPUTED_VALUE"""),"Navdeep Singh")</f>
        <v>Navdeep Singh</v>
      </c>
      <c r="V1119" s="5" t="s">
        <v>5317</v>
      </c>
      <c r="W1119" s="5" t="str">
        <f t="shared" si="3"/>
        <v>Donovan Marsh</v>
      </c>
      <c r="X1119" s="5">
        <f t="shared" si="4"/>
        <v>1</v>
      </c>
      <c r="Y1119" s="5" t="str">
        <f>IFERROR(__xludf.DUMMYFUNCTION("REGEXEXTRACT(J1119, ""^\d+"")"),"75")</f>
        <v>75</v>
      </c>
      <c r="Z1119" s="5" t="str">
        <f>IFERROR(__xludf.DUMMYFUNCTION("REGEXEXTRACT(J1119, ""[A-Za-z ]+$"")")," min")</f>
        <v> min</v>
      </c>
      <c r="AA1119" s="5" t="str">
        <f>IFERROR(__xludf.DUMMYFUNCTION("IF(REGEXMATCH(Z1119, ""Season""), ""TV Show"", ""Movie"")"),"Movie")</f>
        <v>Movie</v>
      </c>
    </row>
    <row r="1120">
      <c r="A1120" s="1" t="s">
        <v>6636</v>
      </c>
      <c r="B1120" s="1" t="s">
        <v>27</v>
      </c>
      <c r="C1120" s="1" t="s">
        <v>6637</v>
      </c>
      <c r="D1120" s="1" t="s">
        <v>6638</v>
      </c>
      <c r="E1120" s="1" t="s">
        <v>6639</v>
      </c>
      <c r="F1120" s="1" t="s">
        <v>897</v>
      </c>
      <c r="G1120" s="1" t="s">
        <v>6610</v>
      </c>
      <c r="H1120" s="1">
        <v>2010.0</v>
      </c>
      <c r="I1120" s="1" t="s">
        <v>32</v>
      </c>
      <c r="J1120" s="1" t="s">
        <v>238</v>
      </c>
      <c r="K1120" s="1" t="s">
        <v>3768</v>
      </c>
      <c r="L1120" s="1" t="s">
        <v>6640</v>
      </c>
      <c r="M1120" s="2" t="s">
        <v>12</v>
      </c>
      <c r="N1120" s="4">
        <f t="shared" si="1"/>
        <v>44287</v>
      </c>
      <c r="O1120" s="5" t="str">
        <f>IFERROR(__xludf.DUMMYFUNCTION("IF(REGEXMATCH(TRIM(I1120), ""^\d+\s*min""), ""Unclassified"", IF(I1120 = """", ""NR"", I1120))"),"PG-13")</f>
        <v>PG-13</v>
      </c>
      <c r="R1120" s="5" t="str">
        <f t="shared" si="2"/>
        <v>Insidious</v>
      </c>
      <c r="S1120" s="5" t="str">
        <f>IFERROR(__xludf.DUMMYFUNCTION("""COMPUTED_VALUE"""),"Bo Burnham: What.")</f>
        <v>Bo Burnham: What.</v>
      </c>
      <c r="U1120" s="5" t="str">
        <f>IFERROR(__xludf.DUMMYFUNCTION("""COMPUTED_VALUE"""),"Anees Bazmee")</f>
        <v>Anees Bazmee</v>
      </c>
      <c r="V1120" s="5" t="s">
        <v>6641</v>
      </c>
      <c r="W1120" s="5" t="str">
        <f t="shared" si="3"/>
        <v>Dorian Fernández-Moris</v>
      </c>
      <c r="X1120" s="5">
        <f t="shared" si="4"/>
        <v>1</v>
      </c>
      <c r="Y1120" s="5" t="str">
        <f>IFERROR(__xludf.DUMMYFUNCTION("REGEXEXTRACT(J1120, ""^\d+"")"),"103")</f>
        <v>103</v>
      </c>
      <c r="Z1120" s="5" t="str">
        <f>IFERROR(__xludf.DUMMYFUNCTION("REGEXEXTRACT(J1120, ""[A-Za-z ]+$"")")," min")</f>
        <v> min</v>
      </c>
      <c r="AA1120" s="5" t="str">
        <f>IFERROR(__xludf.DUMMYFUNCTION("IF(REGEXMATCH(Z1120, ""Season""), ""TV Show"", ""Movie"")"),"Movie")</f>
        <v>Movie</v>
      </c>
    </row>
    <row r="1121">
      <c r="A1121" s="1" t="s">
        <v>6642</v>
      </c>
      <c r="B1121" s="1" t="s">
        <v>27</v>
      </c>
      <c r="C1121" s="1" t="s">
        <v>6643</v>
      </c>
      <c r="D1121" s="1" t="s">
        <v>5958</v>
      </c>
      <c r="E1121" s="1" t="s">
        <v>6644</v>
      </c>
      <c r="F1121" s="1" t="s">
        <v>897</v>
      </c>
      <c r="G1121" s="1" t="s">
        <v>6610</v>
      </c>
      <c r="H1121" s="1">
        <v>2015.0</v>
      </c>
      <c r="I1121" s="1" t="s">
        <v>378</v>
      </c>
      <c r="J1121" s="1" t="s">
        <v>33</v>
      </c>
      <c r="K1121" s="1" t="s">
        <v>5165</v>
      </c>
      <c r="L1121" s="1" t="s">
        <v>6645</v>
      </c>
      <c r="M1121" s="2" t="s">
        <v>12</v>
      </c>
      <c r="N1121" s="4">
        <f t="shared" si="1"/>
        <v>44287</v>
      </c>
      <c r="O1121" s="5" t="str">
        <f>IFERROR(__xludf.DUMMYFUNCTION("IF(REGEXMATCH(TRIM(I1121), ""^\d+\s*min""), ""Unclassified"", IF(I1121 = """", ""NR"", I1121))"),"R")</f>
        <v>R</v>
      </c>
      <c r="R1121" s="5" t="str">
        <f t="shared" si="2"/>
        <v>Into The Grizzly Maze</v>
      </c>
      <c r="S1121" s="5" t="str">
        <f>IFERROR(__xludf.DUMMYFUNCTION("""COMPUTED_VALUE"""),"Bo On The Go!")</f>
        <v>Bo On The Go!</v>
      </c>
      <c r="U1121" s="5" t="str">
        <f>IFERROR(__xludf.DUMMYFUNCTION("""COMPUTED_VALUE"""),"Rikhil Bahadur")</f>
        <v>Rikhil Bahadur</v>
      </c>
      <c r="V1121" s="5" t="s">
        <v>6646</v>
      </c>
      <c r="W1121" s="5" t="str">
        <f t="shared" si="3"/>
        <v>Doron Paz, Yoav Paz</v>
      </c>
      <c r="X1121" s="5">
        <f t="shared" si="4"/>
        <v>1</v>
      </c>
      <c r="Y1121" s="5" t="str">
        <f>IFERROR(__xludf.DUMMYFUNCTION("REGEXEXTRACT(J1121, ""^\d+"")"),"90")</f>
        <v>90</v>
      </c>
      <c r="Z1121" s="5" t="str">
        <f>IFERROR(__xludf.DUMMYFUNCTION("REGEXEXTRACT(J1121, ""[A-Za-z ]+$"")")," min")</f>
        <v> min</v>
      </c>
      <c r="AA1121" s="5" t="str">
        <f>IFERROR(__xludf.DUMMYFUNCTION("IF(REGEXMATCH(Z1121, ""Season""), ""TV Show"", ""Movie"")"),"Movie")</f>
        <v>Movie</v>
      </c>
    </row>
    <row r="1122">
      <c r="A1122" s="1" t="s">
        <v>6647</v>
      </c>
      <c r="B1122" s="1" t="s">
        <v>27</v>
      </c>
      <c r="C1122" s="1" t="s">
        <v>6648</v>
      </c>
      <c r="D1122" s="1" t="s">
        <v>6649</v>
      </c>
      <c r="E1122" s="1" t="s">
        <v>6650</v>
      </c>
      <c r="F1122" s="1" t="s">
        <v>6651</v>
      </c>
      <c r="G1122" s="1" t="s">
        <v>6610</v>
      </c>
      <c r="H1122" s="1">
        <v>2016.0</v>
      </c>
      <c r="I1122" s="1" t="s">
        <v>32</v>
      </c>
      <c r="J1122" s="1" t="s">
        <v>349</v>
      </c>
      <c r="K1122" s="1" t="s">
        <v>942</v>
      </c>
      <c r="L1122" s="1" t="s">
        <v>6652</v>
      </c>
      <c r="M1122" s="2" t="s">
        <v>12</v>
      </c>
      <c r="N1122" s="4">
        <f t="shared" si="1"/>
        <v>44287</v>
      </c>
      <c r="O1122" s="5" t="str">
        <f>IFERROR(__xludf.DUMMYFUNCTION("IF(REGEXMATCH(TRIM(I1122), ""^\d+\s*min""), ""Unclassified"", IF(I1122 = """", ""NR"", I1122))"),"PG-13")</f>
        <v>PG-13</v>
      </c>
      <c r="R1122" s="5" t="str">
        <f t="shared" si="2"/>
        <v>Kingsglaive: Final Fantasy Xv</v>
      </c>
      <c r="S1122" s="5" t="str">
        <f>IFERROR(__xludf.DUMMYFUNCTION("""COMPUTED_VALUE"""),"Bob Lazar: Area 51 &amp; Flying Saucers")</f>
        <v>Bob Lazar: Area 51 &amp; Flying Saucers</v>
      </c>
      <c r="U1122" s="5" t="str">
        <f>IFERROR(__xludf.DUMMYFUNCTION("""COMPUTED_VALUE"""),"Shawn Levy")</f>
        <v>Shawn Levy</v>
      </c>
      <c r="V1122" s="5" t="s">
        <v>6653</v>
      </c>
      <c r="W1122" s="5" t="str">
        <f t="shared" si="3"/>
        <v>Doug Hamilton</v>
      </c>
      <c r="X1122" s="5">
        <f t="shared" si="4"/>
        <v>1</v>
      </c>
      <c r="Y1122" s="5" t="str">
        <f>IFERROR(__xludf.DUMMYFUNCTION("REGEXEXTRACT(J1122, ""^\d+"")"),"116")</f>
        <v>116</v>
      </c>
      <c r="Z1122" s="5" t="str">
        <f>IFERROR(__xludf.DUMMYFUNCTION("REGEXEXTRACT(J1122, ""[A-Za-z ]+$"")")," min")</f>
        <v> min</v>
      </c>
      <c r="AA1122" s="5" t="str">
        <f>IFERROR(__xludf.DUMMYFUNCTION("IF(REGEXMATCH(Z1122, ""Season""), ""TV Show"", ""Movie"")"),"Movie")</f>
        <v>Movie</v>
      </c>
    </row>
    <row r="1123">
      <c r="A1123" s="1" t="s">
        <v>6654</v>
      </c>
      <c r="B1123" s="1" t="s">
        <v>27</v>
      </c>
      <c r="C1123" s="1" t="s">
        <v>6655</v>
      </c>
      <c r="D1123" s="1" t="s">
        <v>253</v>
      </c>
      <c r="E1123" s="1" t="s">
        <v>6656</v>
      </c>
      <c r="F1123" s="1" t="s">
        <v>30</v>
      </c>
      <c r="G1123" s="1" t="s">
        <v>6610</v>
      </c>
      <c r="H1123" s="1">
        <v>2001.0</v>
      </c>
      <c r="I1123" s="1" t="s">
        <v>32</v>
      </c>
      <c r="J1123" s="1" t="s">
        <v>322</v>
      </c>
      <c r="K1123" s="1" t="s">
        <v>813</v>
      </c>
      <c r="L1123" s="1" t="s">
        <v>6657</v>
      </c>
      <c r="M1123" s="2" t="s">
        <v>12</v>
      </c>
      <c r="N1123" s="4">
        <f t="shared" si="1"/>
        <v>44287</v>
      </c>
      <c r="O1123" s="5" t="str">
        <f>IFERROR(__xludf.DUMMYFUNCTION("IF(REGEXMATCH(TRIM(I1123), ""^\d+\s*min""), ""Unclassified"", IF(I1123 = """", ""NR"", I1123))"),"PG-13")</f>
        <v>PG-13</v>
      </c>
      <c r="R1123" s="5" t="str">
        <f t="shared" si="2"/>
        <v>Legally Blonde</v>
      </c>
      <c r="S1123" s="5" t="str">
        <f>IFERROR(__xludf.DUMMYFUNCTION("""COMPUTED_VALUE"""),"Bob Ross: Beauty Is Everywhere")</f>
        <v>Bob Ross: Beauty Is Everywhere</v>
      </c>
      <c r="U1123" s="5" t="str">
        <f>IFERROR(__xludf.DUMMYFUNCTION("""COMPUTED_VALUE"""),"Harry Bradbeer")</f>
        <v>Harry Bradbeer</v>
      </c>
      <c r="V1123" s="5" t="s">
        <v>6658</v>
      </c>
      <c r="W1123" s="5" t="str">
        <f t="shared" si="3"/>
        <v>Doug Lefler</v>
      </c>
      <c r="X1123" s="5">
        <f t="shared" si="4"/>
        <v>1</v>
      </c>
      <c r="Y1123" s="5" t="str">
        <f>IFERROR(__xludf.DUMMYFUNCTION("REGEXEXTRACT(J1123, ""^\d+"")"),"96")</f>
        <v>96</v>
      </c>
      <c r="Z1123" s="5" t="str">
        <f>IFERROR(__xludf.DUMMYFUNCTION("REGEXEXTRACT(J1123, ""[A-Za-z ]+$"")")," min")</f>
        <v> min</v>
      </c>
      <c r="AA1123" s="5" t="str">
        <f>IFERROR(__xludf.DUMMYFUNCTION("IF(REGEXMATCH(Z1123, ""Season""), ""TV Show"", ""Movie"")"),"Movie")</f>
        <v>Movie</v>
      </c>
    </row>
    <row r="1124">
      <c r="A1124" s="1" t="s">
        <v>6659</v>
      </c>
      <c r="B1124" s="1" t="s">
        <v>27</v>
      </c>
      <c r="C1124" s="1" t="s">
        <v>6660</v>
      </c>
      <c r="D1124" s="1" t="s">
        <v>6661</v>
      </c>
      <c r="E1124" s="1" t="s">
        <v>6662</v>
      </c>
      <c r="F1124" s="1" t="s">
        <v>63</v>
      </c>
      <c r="G1124" s="1" t="s">
        <v>6610</v>
      </c>
      <c r="H1124" s="1">
        <v>2020.0</v>
      </c>
      <c r="I1124" s="1" t="s">
        <v>97</v>
      </c>
      <c r="J1124" s="1" t="s">
        <v>941</v>
      </c>
      <c r="K1124" s="1" t="s">
        <v>128</v>
      </c>
      <c r="L1124" s="1" t="s">
        <v>6663</v>
      </c>
      <c r="M1124" s="2" t="s">
        <v>12</v>
      </c>
      <c r="N1124" s="4">
        <f t="shared" si="1"/>
        <v>44287</v>
      </c>
      <c r="O1124" s="5" t="str">
        <f>IFERROR(__xludf.DUMMYFUNCTION("IF(REGEXMATCH(TRIM(I1124), ""^\d+\s*min""), ""Unclassified"", IF(I1124 = """", ""NR"", I1124))"),"TV-14")</f>
        <v>TV-14</v>
      </c>
      <c r="R1124" s="5" t="str">
        <f t="shared" si="2"/>
        <v>Madam Chief Minister</v>
      </c>
      <c r="S1124" s="5" t="str">
        <f>IFERROR(__xludf.DUMMYFUNCTION("""COMPUTED_VALUE"""),"Bob Ross: Happy Accidents, Betrayal &amp; Greed")</f>
        <v>Bob Ross: Happy Accidents, Betrayal &amp; Greed</v>
      </c>
      <c r="U1124" s="5" t="str">
        <f>IFERROR(__xludf.DUMMYFUNCTION("""COMPUTED_VALUE"""),"Joshua Tickell, Rebecca Harrell Tickell")</f>
        <v>Joshua Tickell, Rebecca Harrell Tickell</v>
      </c>
      <c r="V1124" s="5" t="s">
        <v>3042</v>
      </c>
      <c r="W1124" s="5" t="str">
        <f t="shared" si="3"/>
        <v>Douglas Attal</v>
      </c>
      <c r="X1124" s="5">
        <f t="shared" si="4"/>
        <v>1</v>
      </c>
      <c r="Y1124" s="5" t="str">
        <f>IFERROR(__xludf.DUMMYFUNCTION("REGEXEXTRACT(J1124, ""^\d+"")"),"121")</f>
        <v>121</v>
      </c>
      <c r="Z1124" s="5" t="str">
        <f>IFERROR(__xludf.DUMMYFUNCTION("REGEXEXTRACT(J1124, ""[A-Za-z ]+$"")")," min")</f>
        <v> min</v>
      </c>
      <c r="AA1124" s="5" t="str">
        <f>IFERROR(__xludf.DUMMYFUNCTION("IF(REGEXMATCH(Z1124, ""Season""), ""TV Show"", ""Movie"")"),"Movie")</f>
        <v>Movie</v>
      </c>
    </row>
    <row r="1125">
      <c r="A1125" s="1" t="s">
        <v>6664</v>
      </c>
      <c r="B1125" s="1" t="s">
        <v>37</v>
      </c>
      <c r="C1125" s="1" t="s">
        <v>6665</v>
      </c>
      <c r="F1125" s="1" t="s">
        <v>6666</v>
      </c>
      <c r="G1125" s="1" t="s">
        <v>6610</v>
      </c>
      <c r="H1125" s="1">
        <v>2021.0</v>
      </c>
      <c r="I1125" s="1" t="s">
        <v>506</v>
      </c>
      <c r="J1125" s="1" t="s">
        <v>43</v>
      </c>
      <c r="K1125" s="1" t="s">
        <v>3350</v>
      </c>
      <c r="L1125" s="1" t="s">
        <v>6667</v>
      </c>
      <c r="M1125" s="2" t="s">
        <v>12</v>
      </c>
      <c r="N1125" s="4">
        <f t="shared" si="1"/>
        <v>44287</v>
      </c>
      <c r="O1125" s="5" t="str">
        <f>IFERROR(__xludf.DUMMYFUNCTION("IF(REGEXMATCH(TRIM(I1125), ""^\d+\s*min""), ""Unclassified"", IF(I1125 = """", ""NR"", I1125))"),"TV-G")</f>
        <v>TV-G</v>
      </c>
      <c r="R1125" s="5" t="str">
        <f t="shared" si="2"/>
        <v>Magical Andes</v>
      </c>
      <c r="S1125" s="5" t="str">
        <f>IFERROR(__xludf.DUMMYFUNCTION("""COMPUTED_VALUE"""),"Bob'S Broken Sleigh")</f>
        <v>Bob'S Broken Sleigh</v>
      </c>
      <c r="U1125" s="5" t="str">
        <f>IFERROR(__xludf.DUMMYFUNCTION("""COMPUTED_VALUE"""),"Sophia Nahli Allison")</f>
        <v>Sophia Nahli Allison</v>
      </c>
      <c r="V1125" s="5" t="s">
        <v>6668</v>
      </c>
      <c r="W1125" s="5" t="str">
        <f t="shared" si="3"/>
        <v>Douglas Mcgrath</v>
      </c>
      <c r="X1125" s="5">
        <f t="shared" si="4"/>
        <v>1</v>
      </c>
      <c r="Y1125" s="5" t="str">
        <f>IFERROR(__xludf.DUMMYFUNCTION("REGEXEXTRACT(J1125, ""^\d+"")"),"2")</f>
        <v>2</v>
      </c>
      <c r="Z1125" s="5" t="str">
        <f>IFERROR(__xludf.DUMMYFUNCTION("REGEXEXTRACT(J1125, ""[A-Za-z ]+$"")")," Seasons")</f>
        <v> Seasons</v>
      </c>
      <c r="AA1125" s="5" t="str">
        <f>IFERROR(__xludf.DUMMYFUNCTION("IF(REGEXMATCH(Z1125, ""Season""), ""TV Show"", ""Movie"")"),"TV Show")</f>
        <v>TV Show</v>
      </c>
    </row>
    <row r="1126">
      <c r="A1126" s="1" t="s">
        <v>6669</v>
      </c>
      <c r="B1126" s="1" t="s">
        <v>27</v>
      </c>
      <c r="C1126" s="1" t="s">
        <v>6670</v>
      </c>
      <c r="D1126" s="1" t="s">
        <v>6671</v>
      </c>
      <c r="E1126" s="1" t="s">
        <v>6672</v>
      </c>
      <c r="F1126" s="1" t="s">
        <v>30</v>
      </c>
      <c r="G1126" s="1" t="s">
        <v>6610</v>
      </c>
      <c r="H1126" s="1">
        <v>1996.0</v>
      </c>
      <c r="I1126" s="1" t="s">
        <v>378</v>
      </c>
      <c r="J1126" s="1" t="s">
        <v>1091</v>
      </c>
      <c r="K1126" s="1" t="s">
        <v>380</v>
      </c>
      <c r="L1126" s="1" t="s">
        <v>6673</v>
      </c>
      <c r="M1126" s="2" t="s">
        <v>12</v>
      </c>
      <c r="N1126" s="4">
        <f t="shared" si="1"/>
        <v>44287</v>
      </c>
      <c r="O1126" s="5" t="str">
        <f>IFERROR(__xludf.DUMMYFUNCTION("IF(REGEXMATCH(TRIM(I1126), ""^\d+\s*min""), ""Unclassified"", IF(I1126 = """", ""NR"", I1126))"),"R")</f>
        <v>R</v>
      </c>
      <c r="R1126" s="5" t="str">
        <f t="shared" si="2"/>
        <v>Maximum Risk</v>
      </c>
      <c r="S1126" s="5" t="str">
        <f>IFERROR(__xludf.DUMMYFUNCTION("""COMPUTED_VALUE"""),"Bobbi Jene")</f>
        <v>Bobbi Jene</v>
      </c>
      <c r="U1126" s="5" t="str">
        <f>IFERROR(__xludf.DUMMYFUNCTION("""COMPUTED_VALUE"""),"Norihisa Hiranuma")</f>
        <v>Norihisa Hiranuma</v>
      </c>
      <c r="V1126" s="5" t="s">
        <v>1673</v>
      </c>
      <c r="W1126" s="5" t="str">
        <f t="shared" si="3"/>
        <v>Drake Doremus</v>
      </c>
      <c r="X1126" s="5">
        <f t="shared" si="4"/>
        <v>3</v>
      </c>
      <c r="Y1126" s="5" t="str">
        <f>IFERROR(__xludf.DUMMYFUNCTION("REGEXEXTRACT(J1126, ""^\d+"")"),"101")</f>
        <v>101</v>
      </c>
      <c r="Z1126" s="5" t="str">
        <f>IFERROR(__xludf.DUMMYFUNCTION("REGEXEXTRACT(J1126, ""[A-Za-z ]+$"")")," min")</f>
        <v> min</v>
      </c>
      <c r="AA1126" s="5" t="str">
        <f>IFERROR(__xludf.DUMMYFUNCTION("IF(REGEXMATCH(Z1126, ""Season""), ""TV Show"", ""Movie"")"),"Movie")</f>
        <v>Movie</v>
      </c>
    </row>
    <row r="1127">
      <c r="A1127" s="1" t="s">
        <v>6674</v>
      </c>
      <c r="B1127" s="1" t="s">
        <v>37</v>
      </c>
      <c r="C1127" s="1" t="s">
        <v>6675</v>
      </c>
      <c r="E1127" s="1" t="s">
        <v>6676</v>
      </c>
      <c r="F1127" s="1" t="s">
        <v>96</v>
      </c>
      <c r="G1127" s="1" t="s">
        <v>6610</v>
      </c>
      <c r="H1127" s="1">
        <v>2017.0</v>
      </c>
      <c r="I1127" s="1" t="s">
        <v>42</v>
      </c>
      <c r="J1127" s="1" t="s">
        <v>43</v>
      </c>
      <c r="K1127" s="1" t="s">
        <v>142</v>
      </c>
      <c r="L1127" s="1" t="s">
        <v>6677</v>
      </c>
      <c r="M1127" s="2" t="s">
        <v>12</v>
      </c>
      <c r="N1127" s="4">
        <f t="shared" si="1"/>
        <v>44287</v>
      </c>
      <c r="O1127" s="5" t="str">
        <f>IFERROR(__xludf.DUMMYFUNCTION("IF(REGEXMATCH(TRIM(I1127), ""^\d+\s*min""), ""Unclassified"", IF(I1127 = """", ""NR"", I1127))"),"TV-MA")</f>
        <v>TV-MA</v>
      </c>
      <c r="R1127" s="5" t="str">
        <f t="shared" si="2"/>
        <v>Murder Maps</v>
      </c>
      <c r="S1127" s="5" t="str">
        <f>IFERROR(__xludf.DUMMYFUNCTION("""COMPUTED_VALUE"""),"Bobbleheads The Movie")</f>
        <v>Bobbleheads The Movie</v>
      </c>
      <c r="U1127" s="5" t="str">
        <f>IFERROR(__xludf.DUMMYFUNCTION("""COMPUTED_VALUE"""),"Shigeaki Kubo")</f>
        <v>Shigeaki Kubo</v>
      </c>
      <c r="V1127" s="5" t="s">
        <v>6678</v>
      </c>
      <c r="W1127" s="5" t="str">
        <f t="shared" si="3"/>
        <v>Drea Cooper, Zackary Canepari</v>
      </c>
      <c r="X1127" s="5">
        <f t="shared" si="4"/>
        <v>1</v>
      </c>
      <c r="Y1127" s="5" t="str">
        <f>IFERROR(__xludf.DUMMYFUNCTION("REGEXEXTRACT(J1127, ""^\d+"")"),"2")</f>
        <v>2</v>
      </c>
      <c r="Z1127" s="5" t="str">
        <f>IFERROR(__xludf.DUMMYFUNCTION("REGEXEXTRACT(J1127, ""[A-Za-z ]+$"")")," Seasons")</f>
        <v> Seasons</v>
      </c>
      <c r="AA1127" s="5" t="str">
        <f>IFERROR(__xludf.DUMMYFUNCTION("IF(REGEXMATCH(Z1127, ""Season""), ""TV Show"", ""Movie"")"),"TV Show")</f>
        <v>TV Show</v>
      </c>
    </row>
    <row r="1128">
      <c r="A1128" s="1" t="s">
        <v>6679</v>
      </c>
      <c r="B1128" s="1" t="s">
        <v>27</v>
      </c>
      <c r="C1128" s="1" t="s">
        <v>6680</v>
      </c>
      <c r="D1128" s="1" t="s">
        <v>6681</v>
      </c>
      <c r="E1128" s="1" t="s">
        <v>6682</v>
      </c>
      <c r="F1128" s="1" t="s">
        <v>30</v>
      </c>
      <c r="G1128" s="1" t="s">
        <v>6610</v>
      </c>
      <c r="H1128" s="1">
        <v>1964.0</v>
      </c>
      <c r="I1128" s="1" t="s">
        <v>770</v>
      </c>
      <c r="J1128" s="1" t="s">
        <v>6683</v>
      </c>
      <c r="K1128" s="1" t="s">
        <v>6684</v>
      </c>
      <c r="L1128" s="1" t="s">
        <v>6685</v>
      </c>
      <c r="M1128" s="2" t="s">
        <v>12</v>
      </c>
      <c r="N1128" s="4">
        <f t="shared" si="1"/>
        <v>44287</v>
      </c>
      <c r="O1128" s="5" t="str">
        <f>IFERROR(__xludf.DUMMYFUNCTION("IF(REGEXMATCH(TRIM(I1128), ""^\d+\s*min""), ""Unclassified"", IF(I1128 = """", ""NR"", I1128))"),"G")</f>
        <v>G</v>
      </c>
      <c r="R1128" s="5" t="str">
        <f t="shared" si="2"/>
        <v>My Fair Lady</v>
      </c>
      <c r="S1128" s="5" t="str">
        <f>IFERROR(__xludf.DUMMYFUNCTION("""COMPUTED_VALUE"""),"Bobby")</f>
        <v>Bobby</v>
      </c>
      <c r="U1128" s="5" t="str">
        <f>IFERROR(__xludf.DUMMYFUNCTION("""COMPUTED_VALUE"""),"Shigeaki Kubo, Tsuyoshi Nakakuki")</f>
        <v>Shigeaki Kubo, Tsuyoshi Nakakuki</v>
      </c>
      <c r="V1128" s="5" t="s">
        <v>6686</v>
      </c>
      <c r="W1128" s="5" t="str">
        <f t="shared" si="3"/>
        <v>Drew Casson</v>
      </c>
      <c r="X1128" s="5">
        <f t="shared" si="4"/>
        <v>1</v>
      </c>
      <c r="Y1128" s="5" t="str">
        <f>IFERROR(__xludf.DUMMYFUNCTION("REGEXEXTRACT(J1128, ""^\d+"")"),"173")</f>
        <v>173</v>
      </c>
      <c r="Z1128" s="5" t="str">
        <f>IFERROR(__xludf.DUMMYFUNCTION("REGEXEXTRACT(J1128, ""[A-Za-z ]+$"")")," min")</f>
        <v> min</v>
      </c>
      <c r="AA1128" s="5" t="str">
        <f>IFERROR(__xludf.DUMMYFUNCTION("IF(REGEXMATCH(Z1128, ""Season""), ""TV Show"", ""Movie"")"),"Movie")</f>
        <v>Movie</v>
      </c>
    </row>
    <row r="1129">
      <c r="A1129" s="1" t="s">
        <v>6687</v>
      </c>
      <c r="B1129" s="1" t="s">
        <v>37</v>
      </c>
      <c r="C1129" s="1" t="s">
        <v>6688</v>
      </c>
      <c r="E1129" s="1" t="s">
        <v>6689</v>
      </c>
      <c r="F1129" s="1" t="s">
        <v>30</v>
      </c>
      <c r="G1129" s="1" t="s">
        <v>6610</v>
      </c>
      <c r="H1129" s="1">
        <v>2021.0</v>
      </c>
      <c r="I1129" s="1" t="s">
        <v>42</v>
      </c>
      <c r="J1129" s="1" t="s">
        <v>43</v>
      </c>
      <c r="K1129" s="1" t="s">
        <v>6690</v>
      </c>
      <c r="L1129" s="1" t="s">
        <v>6691</v>
      </c>
      <c r="M1129" s="2" t="s">
        <v>12</v>
      </c>
      <c r="N1129" s="4">
        <f t="shared" si="1"/>
        <v>44287</v>
      </c>
      <c r="O1129" s="5" t="str">
        <f>IFERROR(__xludf.DUMMYFUNCTION("IF(REGEXMATCH(TRIM(I1129), ""^\d+\s*min""), ""Unclassified"", IF(I1129 = """", ""NR"", I1129))"),"TV-MA")</f>
        <v>TV-MA</v>
      </c>
      <c r="R1129" s="5" t="str">
        <f t="shared" si="2"/>
        <v>Prank Encounters</v>
      </c>
      <c r="S1129" s="5" t="str">
        <f>IFERROR(__xludf.DUMMYFUNCTION("""COMPUTED_VALUE"""),"Bobby Jasoos")</f>
        <v>Bobby Jasoos</v>
      </c>
      <c r="U1129" s="5" t="str">
        <f>IFERROR(__xludf.DUMMYFUNCTION("""COMPUTED_VALUE"""),"Yudai Yamaguchi")</f>
        <v>Yudai Yamaguchi</v>
      </c>
      <c r="V1129" s="5" t="s">
        <v>6692</v>
      </c>
      <c r="W1129" s="5" t="str">
        <f t="shared" si="3"/>
        <v>Drew Heriot</v>
      </c>
      <c r="X1129" s="5">
        <f t="shared" si="4"/>
        <v>1</v>
      </c>
      <c r="Y1129" s="5" t="str">
        <f>IFERROR(__xludf.DUMMYFUNCTION("REGEXEXTRACT(J1129, ""^\d+"")"),"2")</f>
        <v>2</v>
      </c>
      <c r="Z1129" s="5" t="str">
        <f>IFERROR(__xludf.DUMMYFUNCTION("REGEXEXTRACT(J1129, ""[A-Za-z ]+$"")")," Seasons")</f>
        <v> Seasons</v>
      </c>
      <c r="AA1129" s="5" t="str">
        <f>IFERROR(__xludf.DUMMYFUNCTION("IF(REGEXMATCH(Z1129, ""Season""), ""TV Show"", ""Movie"")"),"TV Show")</f>
        <v>TV Show</v>
      </c>
    </row>
    <row r="1130">
      <c r="A1130" s="1" t="s">
        <v>6693</v>
      </c>
      <c r="B1130" s="1" t="s">
        <v>27</v>
      </c>
      <c r="C1130" s="1" t="s">
        <v>6694</v>
      </c>
      <c r="D1130" s="1" t="s">
        <v>6695</v>
      </c>
      <c r="E1130" s="1" t="s">
        <v>6696</v>
      </c>
      <c r="F1130" s="1" t="s">
        <v>30</v>
      </c>
      <c r="G1130" s="1" t="s">
        <v>6610</v>
      </c>
      <c r="H1130" s="1">
        <v>2017.0</v>
      </c>
      <c r="I1130" s="1" t="s">
        <v>378</v>
      </c>
      <c r="J1130" s="1" t="s">
        <v>1191</v>
      </c>
      <c r="K1130" s="1" t="s">
        <v>1066</v>
      </c>
      <c r="L1130" s="1" t="s">
        <v>6697</v>
      </c>
      <c r="M1130" s="2" t="s">
        <v>12</v>
      </c>
      <c r="N1130" s="4">
        <f t="shared" si="1"/>
        <v>44287</v>
      </c>
      <c r="O1130" s="5" t="str">
        <f>IFERROR(__xludf.DUMMYFUNCTION("IF(REGEXMATCH(TRIM(I1130), ""^\d+\s*min""), ""Unclassified"", IF(I1130 = """", ""NR"", I1130))"),"R")</f>
        <v>R</v>
      </c>
      <c r="R1130" s="5" t="str">
        <f t="shared" si="2"/>
        <v>S.W.A.T.: Under Siege</v>
      </c>
      <c r="S1130" s="5" t="str">
        <f>IFERROR(__xludf.DUMMYFUNCTION("""COMPUTED_VALUE"""),"Bobby Kennedy For President")</f>
        <v>Bobby Kennedy For President</v>
      </c>
      <c r="U1130" s="5" t="str">
        <f>IFERROR(__xludf.DUMMYFUNCTION("""COMPUTED_VALUE"""),"Marwan Hamed")</f>
        <v>Marwan Hamed</v>
      </c>
      <c r="V1130" s="5" t="s">
        <v>6698</v>
      </c>
      <c r="W1130" s="5" t="str">
        <f t="shared" si="3"/>
        <v>Drew Stone</v>
      </c>
      <c r="X1130" s="5">
        <f t="shared" si="4"/>
        <v>1</v>
      </c>
      <c r="Y1130" s="5" t="str">
        <f>IFERROR(__xludf.DUMMYFUNCTION("REGEXEXTRACT(J1130, ""^\d+"")"),"89")</f>
        <v>89</v>
      </c>
      <c r="Z1130" s="5" t="str">
        <f>IFERROR(__xludf.DUMMYFUNCTION("REGEXEXTRACT(J1130, ""[A-Za-z ]+$"")")," min")</f>
        <v> min</v>
      </c>
      <c r="AA1130" s="5" t="str">
        <f>IFERROR(__xludf.DUMMYFUNCTION("IF(REGEXMATCH(Z1130, ""Season""), ""TV Show"", ""Movie"")"),"Movie")</f>
        <v>Movie</v>
      </c>
    </row>
    <row r="1131">
      <c r="A1131" s="1" t="s">
        <v>6699</v>
      </c>
      <c r="B1131" s="1" t="s">
        <v>37</v>
      </c>
      <c r="C1131" s="1" t="s">
        <v>6700</v>
      </c>
      <c r="E1131" s="1" t="s">
        <v>6701</v>
      </c>
      <c r="F1131" s="1" t="s">
        <v>96</v>
      </c>
      <c r="G1131" s="1" t="s">
        <v>6610</v>
      </c>
      <c r="H1131" s="1">
        <v>2016.0</v>
      </c>
      <c r="I1131" s="1" t="s">
        <v>136</v>
      </c>
      <c r="J1131" s="1" t="s">
        <v>43</v>
      </c>
      <c r="K1131" s="1" t="s">
        <v>544</v>
      </c>
      <c r="L1131" s="1" t="s">
        <v>6702</v>
      </c>
      <c r="M1131" s="2" t="s">
        <v>12</v>
      </c>
      <c r="N1131" s="4">
        <f t="shared" si="1"/>
        <v>44287</v>
      </c>
      <c r="O1131" s="5" t="str">
        <f>IFERROR(__xludf.DUMMYFUNCTION("IF(REGEXMATCH(TRIM(I1131), ""^\d+\s*min""), ""Unclassified"", IF(I1131 = """", ""NR"", I1131))"),"TV-PG")</f>
        <v>TV-PG</v>
      </c>
      <c r="R1131" s="5" t="str">
        <f t="shared" si="2"/>
        <v>Secrets Of Great British Castles</v>
      </c>
      <c r="S1131" s="5" t="str">
        <f>IFERROR(__xludf.DUMMYFUNCTION("""COMPUTED_VALUE"""),"Bobby Robson: More Than A Manager")</f>
        <v>Bobby Robson: More Than A Manager</v>
      </c>
      <c r="U1131" s="5" t="str">
        <f>IFERROR(__xludf.DUMMYFUNCTION("""COMPUTED_VALUE"""),"Smeep Kang")</f>
        <v>Smeep Kang</v>
      </c>
      <c r="V1131" s="5" t="s">
        <v>6703</v>
      </c>
      <c r="W1131" s="5" t="str">
        <f t="shared" si="3"/>
        <v>Duncan Jones</v>
      </c>
      <c r="X1131" s="5">
        <f t="shared" si="4"/>
        <v>2</v>
      </c>
      <c r="Y1131" s="5" t="str">
        <f>IFERROR(__xludf.DUMMYFUNCTION("REGEXEXTRACT(J1131, ""^\d+"")"),"2")</f>
        <v>2</v>
      </c>
      <c r="Z1131" s="5" t="str">
        <f>IFERROR(__xludf.DUMMYFUNCTION("REGEXEXTRACT(J1131, ""[A-Za-z ]+$"")")," Seasons")</f>
        <v> Seasons</v>
      </c>
      <c r="AA1131" s="5" t="str">
        <f>IFERROR(__xludf.DUMMYFUNCTION("IF(REGEXMATCH(Z1131, ""Season""), ""TV Show"", ""Movie"")"),"TV Show")</f>
        <v>TV Show</v>
      </c>
    </row>
    <row r="1132">
      <c r="A1132" s="1" t="s">
        <v>6704</v>
      </c>
      <c r="B1132" s="1" t="s">
        <v>27</v>
      </c>
      <c r="C1132" s="1" t="s">
        <v>6705</v>
      </c>
      <c r="D1132" s="1" t="s">
        <v>4904</v>
      </c>
      <c r="E1132" s="1" t="s">
        <v>6706</v>
      </c>
      <c r="G1132" s="1" t="s">
        <v>6610</v>
      </c>
      <c r="H1132" s="1">
        <v>2017.0</v>
      </c>
      <c r="I1132" s="1" t="s">
        <v>97</v>
      </c>
      <c r="J1132" s="1" t="s">
        <v>551</v>
      </c>
      <c r="K1132" s="1" t="s">
        <v>306</v>
      </c>
      <c r="L1132" s="1" t="s">
        <v>6707</v>
      </c>
      <c r="M1132" s="2" t="s">
        <v>12</v>
      </c>
      <c r="N1132" s="4">
        <f t="shared" si="1"/>
        <v>44287</v>
      </c>
      <c r="O1132" s="5" t="str">
        <f>IFERROR(__xludf.DUMMYFUNCTION("IF(REGEXMATCH(TRIM(I1132), ""^\d+\s*min""), ""Unclassified"", IF(I1132 = """", ""NR"", I1132))"),"TV-14")</f>
        <v>TV-14</v>
      </c>
      <c r="R1132" s="5" t="str">
        <f t="shared" si="2"/>
        <v>Seven Souls In The Skull Castle: Season Bird</v>
      </c>
      <c r="S1132" s="5" t="str">
        <f>IFERROR(__xludf.DUMMYFUNCTION("""COMPUTED_VALUE"""),"Bobby Sands: 66 Days")</f>
        <v>Bobby Sands: 66 Days</v>
      </c>
      <c r="U1132" s="5" t="str">
        <f>IFERROR(__xludf.DUMMYFUNCTION("""COMPUTED_VALUE"""),"Raja Chanda")</f>
        <v>Raja Chanda</v>
      </c>
      <c r="V1132" s="5" t="s">
        <v>6708</v>
      </c>
      <c r="W1132" s="5" t="str">
        <f t="shared" si="3"/>
        <v>Duncan Mcmath</v>
      </c>
      <c r="X1132" s="5">
        <f t="shared" si="4"/>
        <v>1</v>
      </c>
      <c r="Y1132" s="5" t="str">
        <f>IFERROR(__xludf.DUMMYFUNCTION("REGEXEXTRACT(J1132, ""^\d+"")"),"182")</f>
        <v>182</v>
      </c>
      <c r="Z1132" s="5" t="str">
        <f>IFERROR(__xludf.DUMMYFUNCTION("REGEXEXTRACT(J1132, ""[A-Za-z ]+$"")")," min")</f>
        <v> min</v>
      </c>
      <c r="AA1132" s="5" t="str">
        <f>IFERROR(__xludf.DUMMYFUNCTION("IF(REGEXMATCH(Z1132, ""Season""), ""TV Show"", ""Movie"")"),"Movie")</f>
        <v>Movie</v>
      </c>
    </row>
    <row r="1133">
      <c r="A1133" s="1" t="s">
        <v>6709</v>
      </c>
      <c r="B1133" s="1" t="s">
        <v>27</v>
      </c>
      <c r="C1133" s="1" t="s">
        <v>6710</v>
      </c>
      <c r="D1133" s="1" t="s">
        <v>4904</v>
      </c>
      <c r="E1133" s="1" t="s">
        <v>6711</v>
      </c>
      <c r="F1133" s="1" t="s">
        <v>415</v>
      </c>
      <c r="G1133" s="1" t="s">
        <v>6610</v>
      </c>
      <c r="H1133" s="1">
        <v>2017.0</v>
      </c>
      <c r="I1133" s="1" t="s">
        <v>97</v>
      </c>
      <c r="J1133" s="1" t="s">
        <v>6712</v>
      </c>
      <c r="K1133" s="1" t="s">
        <v>306</v>
      </c>
      <c r="L1133" s="1" t="s">
        <v>6713</v>
      </c>
      <c r="M1133" s="2" t="s">
        <v>12</v>
      </c>
      <c r="N1133" s="4">
        <f t="shared" si="1"/>
        <v>44287</v>
      </c>
      <c r="O1133" s="5" t="str">
        <f>IFERROR(__xludf.DUMMYFUNCTION("IF(REGEXMATCH(TRIM(I1133), ""^\d+\s*min""), ""Unclassified"", IF(I1133 = """", ""NR"", I1133))"),"TV-14")</f>
        <v>TV-14</v>
      </c>
      <c r="R1133" s="5" t="str">
        <f t="shared" si="2"/>
        <v>Seven Souls In The Skull Castle: Season Flower</v>
      </c>
      <c r="S1133" s="5" t="str">
        <f>IFERROR(__xludf.DUMMYFUNCTION("""COMPUTED_VALUE"""),"Boca Juniors Confidential")</f>
        <v>Boca Juniors Confidential</v>
      </c>
      <c r="U1133" s="5" t="str">
        <f>IFERROR(__xludf.DUMMYFUNCTION("""COMPUTED_VALUE"""),"Tigmanshu Dhulia")</f>
        <v>Tigmanshu Dhulia</v>
      </c>
      <c r="V1133" s="5" t="s">
        <v>5551</v>
      </c>
      <c r="W1133" s="5" t="str">
        <f t="shared" si="3"/>
        <v>Duncan Skiles</v>
      </c>
      <c r="X1133" s="5">
        <f t="shared" si="4"/>
        <v>1</v>
      </c>
      <c r="Y1133" s="5" t="str">
        <f>IFERROR(__xludf.DUMMYFUNCTION("REGEXEXTRACT(J1133, ""^\d+"")"),"181")</f>
        <v>181</v>
      </c>
      <c r="Z1133" s="5" t="str">
        <f>IFERROR(__xludf.DUMMYFUNCTION("REGEXEXTRACT(J1133, ""[A-Za-z ]+$"")")," min")</f>
        <v> min</v>
      </c>
      <c r="AA1133" s="5" t="str">
        <f>IFERROR(__xludf.DUMMYFUNCTION("IF(REGEXMATCH(Z1133, ""Season""), ""TV Show"", ""Movie"")"),"Movie")</f>
        <v>Movie</v>
      </c>
    </row>
    <row r="1134">
      <c r="A1134" s="1" t="s">
        <v>6714</v>
      </c>
      <c r="B1134" s="1" t="s">
        <v>27</v>
      </c>
      <c r="C1134" s="1" t="s">
        <v>6715</v>
      </c>
      <c r="D1134" s="1" t="s">
        <v>4904</v>
      </c>
      <c r="E1134" s="1" t="s">
        <v>6716</v>
      </c>
      <c r="G1134" s="1" t="s">
        <v>6610</v>
      </c>
      <c r="H1134" s="1">
        <v>2017.0</v>
      </c>
      <c r="I1134" s="1" t="s">
        <v>97</v>
      </c>
      <c r="J1134" s="1" t="s">
        <v>6717</v>
      </c>
      <c r="K1134" s="1" t="s">
        <v>306</v>
      </c>
      <c r="L1134" s="1" t="s">
        <v>6718</v>
      </c>
      <c r="M1134" s="2" t="s">
        <v>12</v>
      </c>
      <c r="N1134" s="4">
        <f t="shared" si="1"/>
        <v>44287</v>
      </c>
      <c r="O1134" s="5" t="str">
        <f>IFERROR(__xludf.DUMMYFUNCTION("IF(REGEXMATCH(TRIM(I1134), ""^\d+\s*min""), ""Unclassified"", IF(I1134 = """", ""NR"", I1134))"),"TV-14")</f>
        <v>TV-14</v>
      </c>
      <c r="R1134" s="5" t="str">
        <f t="shared" si="2"/>
        <v>Seven Souls In The Skull Castle: Season Wind</v>
      </c>
      <c r="S1134" s="5" t="str">
        <f>IFERROR(__xludf.DUMMYFUNCTION("""COMPUTED_VALUE"""),"Bodyguard")</f>
        <v>Bodyguard</v>
      </c>
      <c r="U1134" s="5" t="str">
        <f>IFERROR(__xludf.DUMMYFUNCTION("""COMPUTED_VALUE"""),"Akashdeep")</f>
        <v>Akashdeep</v>
      </c>
      <c r="V1134" s="5" t="s">
        <v>1923</v>
      </c>
      <c r="W1134" s="5" t="str">
        <f t="shared" si="3"/>
        <v>Dustin Hoffman</v>
      </c>
      <c r="X1134" s="5">
        <f t="shared" si="4"/>
        <v>1</v>
      </c>
      <c r="Y1134" s="5" t="str">
        <f>IFERROR(__xludf.DUMMYFUNCTION("REGEXEXTRACT(J1134, ""^\d+"")"),"185")</f>
        <v>185</v>
      </c>
      <c r="Z1134" s="5" t="str">
        <f>IFERROR(__xludf.DUMMYFUNCTION("REGEXEXTRACT(J1134, ""[A-Za-z ]+$"")")," min")</f>
        <v> min</v>
      </c>
      <c r="AA1134" s="5" t="str">
        <f>IFERROR(__xludf.DUMMYFUNCTION("IF(REGEXMATCH(Z1134, ""Season""), ""TV Show"", ""Movie"")"),"Movie")</f>
        <v>Movie</v>
      </c>
    </row>
    <row r="1135">
      <c r="A1135" s="1" t="s">
        <v>6719</v>
      </c>
      <c r="B1135" s="1" t="s">
        <v>27</v>
      </c>
      <c r="C1135" s="1" t="s">
        <v>6720</v>
      </c>
      <c r="D1135" s="1" t="s">
        <v>4791</v>
      </c>
      <c r="E1135" s="1" t="s">
        <v>6721</v>
      </c>
      <c r="F1135" s="1" t="s">
        <v>30</v>
      </c>
      <c r="G1135" s="1" t="s">
        <v>6610</v>
      </c>
      <c r="H1135" s="1">
        <v>2016.0</v>
      </c>
      <c r="I1135" s="1" t="s">
        <v>378</v>
      </c>
      <c r="J1135" s="1" t="s">
        <v>416</v>
      </c>
      <c r="K1135" s="1" t="s">
        <v>380</v>
      </c>
      <c r="L1135" s="1" t="s">
        <v>6722</v>
      </c>
      <c r="M1135" s="2" t="s">
        <v>12</v>
      </c>
      <c r="N1135" s="4">
        <f t="shared" si="1"/>
        <v>44287</v>
      </c>
      <c r="O1135" s="5" t="str">
        <f>IFERROR(__xludf.DUMMYFUNCTION("IF(REGEXMATCH(TRIM(I1135), ""^\d+\s*min""), ""Unclassified"", IF(I1135 = """", ""NR"", I1135))"),"R")</f>
        <v>R</v>
      </c>
      <c r="R1135" s="5" t="str">
        <f t="shared" si="2"/>
        <v>Sniper: Ghost Shooter</v>
      </c>
      <c r="S1135" s="5" t="str">
        <f>IFERROR(__xludf.DUMMYFUNCTION("""COMPUTED_VALUE"""),"Bogda")</f>
        <v>Bogda</v>
      </c>
      <c r="U1135" s="5" t="str">
        <f>IFERROR(__xludf.DUMMYFUNCTION("""COMPUTED_VALUE"""),"Rajesh Ganguly")</f>
        <v>Rajesh Ganguly</v>
      </c>
      <c r="V1135" s="5" t="s">
        <v>6723</v>
      </c>
      <c r="W1135" s="5" t="str">
        <f t="shared" si="3"/>
        <v>Dustin Mckenzie</v>
      </c>
      <c r="X1135" s="5">
        <f t="shared" si="4"/>
        <v>1</v>
      </c>
      <c r="Y1135" s="5" t="str">
        <f>IFERROR(__xludf.DUMMYFUNCTION("REGEXEXTRACT(J1135, ""^\d+"")"),"99")</f>
        <v>99</v>
      </c>
      <c r="Z1135" s="5" t="str">
        <f>IFERROR(__xludf.DUMMYFUNCTION("REGEXEXTRACT(J1135, ""[A-Za-z ]+$"")")," min")</f>
        <v> min</v>
      </c>
      <c r="AA1135" s="5" t="str">
        <f>IFERROR(__xludf.DUMMYFUNCTION("IF(REGEXMATCH(Z1135, ""Season""), ""TV Show"", ""Movie"")"),"Movie")</f>
        <v>Movie</v>
      </c>
    </row>
    <row r="1136">
      <c r="A1136" s="1" t="s">
        <v>6724</v>
      </c>
      <c r="B1136" s="1" t="s">
        <v>27</v>
      </c>
      <c r="C1136" s="1" t="s">
        <v>6725</v>
      </c>
      <c r="D1136" s="1" t="s">
        <v>6726</v>
      </c>
      <c r="E1136" s="1" t="s">
        <v>6727</v>
      </c>
      <c r="F1136" s="1" t="s">
        <v>1846</v>
      </c>
      <c r="G1136" s="1" t="s">
        <v>6610</v>
      </c>
      <c r="H1136" s="1">
        <v>2017.0</v>
      </c>
      <c r="I1136" s="1" t="s">
        <v>378</v>
      </c>
      <c r="J1136" s="1" t="s">
        <v>428</v>
      </c>
      <c r="K1136" s="1" t="s">
        <v>942</v>
      </c>
      <c r="L1136" s="1" t="s">
        <v>6728</v>
      </c>
      <c r="M1136" s="2" t="s">
        <v>12</v>
      </c>
      <c r="N1136" s="4">
        <f t="shared" si="1"/>
        <v>44287</v>
      </c>
      <c r="O1136" s="5" t="str">
        <f>IFERROR(__xludf.DUMMYFUNCTION("IF(REGEXMATCH(TRIM(I1136), ""^\d+\s*min""), ""Unclassified"", IF(I1136 = """", ""NR"", I1136))"),"R")</f>
        <v>R</v>
      </c>
      <c r="R1136" s="5" t="str">
        <f t="shared" si="2"/>
        <v>Starship Troopers: Traitor Of Mars</v>
      </c>
      <c r="S1136" s="5" t="str">
        <f>IFERROR(__xludf.DUMMYFUNCTION("""COMPUTED_VALUE"""),"Boi")</f>
        <v>Boi</v>
      </c>
      <c r="U1136" s="5" t="str">
        <f>IFERROR(__xludf.DUMMYFUNCTION("""COMPUTED_VALUE"""),"Alankrita Shrivastava")</f>
        <v>Alankrita Shrivastava</v>
      </c>
      <c r="V1136" s="5" t="s">
        <v>6729</v>
      </c>
      <c r="W1136" s="5" t="str">
        <f t="shared" si="3"/>
        <v>Dustin Mckenzie, Andrew Duncan, Audu Paden</v>
      </c>
      <c r="X1136" s="5">
        <f t="shared" si="4"/>
        <v>1</v>
      </c>
      <c r="Y1136" s="5" t="str">
        <f>IFERROR(__xludf.DUMMYFUNCTION("REGEXEXTRACT(J1136, ""^\d+"")"),"88")</f>
        <v>88</v>
      </c>
      <c r="Z1136" s="5" t="str">
        <f>IFERROR(__xludf.DUMMYFUNCTION("REGEXEXTRACT(J1136, ""[A-Za-z ]+$"")")," min")</f>
        <v> min</v>
      </c>
      <c r="AA1136" s="5" t="str">
        <f>IFERROR(__xludf.DUMMYFUNCTION("IF(REGEXMATCH(Z1136, ""Season""), ""TV Show"", ""Movie"")"),"Movie")</f>
        <v>Movie</v>
      </c>
    </row>
    <row r="1137">
      <c r="A1137" s="1" t="s">
        <v>6730</v>
      </c>
      <c r="B1137" s="1" t="s">
        <v>27</v>
      </c>
      <c r="C1137" s="1" t="s">
        <v>6731</v>
      </c>
      <c r="D1137" s="1" t="s">
        <v>6732</v>
      </c>
      <c r="E1137" s="1" t="s">
        <v>6733</v>
      </c>
      <c r="F1137" s="1" t="s">
        <v>30</v>
      </c>
      <c r="G1137" s="1" t="s">
        <v>6610</v>
      </c>
      <c r="H1137" s="1">
        <v>2010.0</v>
      </c>
      <c r="I1137" s="1" t="s">
        <v>32</v>
      </c>
      <c r="J1137" s="1" t="s">
        <v>1256</v>
      </c>
      <c r="K1137" s="1" t="s">
        <v>380</v>
      </c>
      <c r="L1137" s="1" t="s">
        <v>6734</v>
      </c>
      <c r="M1137" s="2" t="s">
        <v>12</v>
      </c>
      <c r="N1137" s="4">
        <f t="shared" si="1"/>
        <v>44287</v>
      </c>
      <c r="O1137" s="5" t="str">
        <f>IFERROR(__xludf.DUMMYFUNCTION("IF(REGEXMATCH(TRIM(I1137), ""^\d+\s*min""), ""Unclassified"", IF(I1137 = """", ""NR"", I1137))"),"PG-13")</f>
        <v>PG-13</v>
      </c>
      <c r="R1137" s="5" t="str">
        <f t="shared" si="2"/>
        <v>Takers</v>
      </c>
      <c r="S1137" s="5" t="str">
        <f>IFERROR(__xludf.DUMMYFUNCTION("""COMPUTED_VALUE"""),"Bojack Horseman")</f>
        <v>Bojack Horseman</v>
      </c>
      <c r="U1137" s="5" t="str">
        <f>IFERROR(__xludf.DUMMYFUNCTION("""COMPUTED_VALUE"""),"Chandra Liow")</f>
        <v>Chandra Liow</v>
      </c>
      <c r="V1137" s="5" t="s">
        <v>6735</v>
      </c>
      <c r="W1137" s="5" t="str">
        <f t="shared" si="3"/>
        <v>Dustin Mckenzie, Steve Sacks</v>
      </c>
      <c r="X1137" s="5">
        <f t="shared" si="4"/>
        <v>1</v>
      </c>
      <c r="Y1137" s="5" t="str">
        <f>IFERROR(__xludf.DUMMYFUNCTION("REGEXEXTRACT(J1137, ""^\d+"")"),"107")</f>
        <v>107</v>
      </c>
      <c r="Z1137" s="5" t="str">
        <f>IFERROR(__xludf.DUMMYFUNCTION("REGEXEXTRACT(J1137, ""[A-Za-z ]+$"")")," min")</f>
        <v> min</v>
      </c>
      <c r="AA1137" s="5" t="str">
        <f>IFERROR(__xludf.DUMMYFUNCTION("IF(REGEXMATCH(Z1137, ""Season""), ""TV Show"", ""Movie"")"),"Movie")</f>
        <v>Movie</v>
      </c>
    </row>
    <row r="1138">
      <c r="A1138" s="1" t="s">
        <v>6736</v>
      </c>
      <c r="B1138" s="1" t="s">
        <v>27</v>
      </c>
      <c r="C1138" s="1" t="s">
        <v>6737</v>
      </c>
      <c r="D1138" s="1" t="s">
        <v>6738</v>
      </c>
      <c r="E1138" s="1" t="s">
        <v>6739</v>
      </c>
      <c r="F1138" s="1" t="s">
        <v>2873</v>
      </c>
      <c r="G1138" s="1" t="s">
        <v>6610</v>
      </c>
      <c r="H1138" s="1">
        <v>2021.0</v>
      </c>
      <c r="I1138" s="1" t="s">
        <v>97</v>
      </c>
      <c r="J1138" s="1" t="s">
        <v>835</v>
      </c>
      <c r="K1138" s="1" t="s">
        <v>679</v>
      </c>
      <c r="L1138" s="1" t="s">
        <v>6740</v>
      </c>
      <c r="M1138" s="2" t="s">
        <v>12</v>
      </c>
      <c r="N1138" s="4">
        <f t="shared" si="1"/>
        <v>44287</v>
      </c>
      <c r="O1138" s="5" t="str">
        <f>IFERROR(__xludf.DUMMYFUNCTION("IF(REGEXMATCH(TRIM(I1138), ""^\d+\s*min""), ""Unclassified"", IF(I1138 = """", ""NR"", I1138))"),"TV-14")</f>
        <v>TV-14</v>
      </c>
      <c r="R1138" s="5" t="str">
        <f t="shared" si="2"/>
        <v>Tersanjung The Movie</v>
      </c>
      <c r="S1138" s="5" t="str">
        <f>IFERROR(__xludf.DUMMYFUNCTION("""COMPUTED_VALUE"""),"Bojack Horseman Christmas Special: Sabrina'S Christmas Wish")</f>
        <v>Bojack Horseman Christmas Special: Sabrina'S Christmas Wish</v>
      </c>
      <c r="U1138" s="5" t="str">
        <f>IFERROR(__xludf.DUMMYFUNCTION("""COMPUTED_VALUE"""),"Sekhar Kammula")</f>
        <v>Sekhar Kammula</v>
      </c>
      <c r="V1138" s="5" t="s">
        <v>6741</v>
      </c>
      <c r="W1138" s="5" t="str">
        <f t="shared" si="3"/>
        <v>Dustin Nguyen</v>
      </c>
      <c r="X1138" s="5">
        <f t="shared" si="4"/>
        <v>1</v>
      </c>
      <c r="Y1138" s="5" t="str">
        <f>IFERROR(__xludf.DUMMYFUNCTION("REGEXEXTRACT(J1138, ""^\d+"")"),"114")</f>
        <v>114</v>
      </c>
      <c r="Z1138" s="5" t="str">
        <f>IFERROR(__xludf.DUMMYFUNCTION("REGEXEXTRACT(J1138, ""[A-Za-z ]+$"")")," min")</f>
        <v> min</v>
      </c>
      <c r="AA1138" s="5" t="str">
        <f>IFERROR(__xludf.DUMMYFUNCTION("IF(REGEXMATCH(Z1138, ""Season""), ""TV Show"", ""Movie"")"),"Movie")</f>
        <v>Movie</v>
      </c>
    </row>
    <row r="1139">
      <c r="A1139" s="1" t="s">
        <v>6742</v>
      </c>
      <c r="B1139" s="1" t="s">
        <v>27</v>
      </c>
      <c r="C1139" s="1" t="s">
        <v>6743</v>
      </c>
      <c r="D1139" s="1" t="s">
        <v>3055</v>
      </c>
      <c r="E1139" s="1" t="s">
        <v>6744</v>
      </c>
      <c r="F1139" s="1" t="s">
        <v>6745</v>
      </c>
      <c r="G1139" s="1" t="s">
        <v>6610</v>
      </c>
      <c r="H1139" s="1">
        <v>2019.0</v>
      </c>
      <c r="I1139" s="1" t="s">
        <v>136</v>
      </c>
      <c r="J1139" s="1" t="s">
        <v>322</v>
      </c>
      <c r="K1139" s="1" t="s">
        <v>1421</v>
      </c>
      <c r="L1139" s="1" t="s">
        <v>6746</v>
      </c>
      <c r="M1139" s="2" t="s">
        <v>12</v>
      </c>
      <c r="N1139" s="4">
        <f t="shared" si="1"/>
        <v>44287</v>
      </c>
      <c r="O1139" s="5" t="str">
        <f>IFERROR(__xludf.DUMMYFUNCTION("IF(REGEXMATCH(TRIM(I1139), ""^\d+\s*min""), ""Unclassified"", IF(I1139 = """", ""NR"", I1139))"),"TV-PG")</f>
        <v>TV-PG</v>
      </c>
      <c r="R1139" s="5" t="str">
        <f t="shared" si="2"/>
        <v>The Knight And The Princess</v>
      </c>
      <c r="S1139" s="5" t="str">
        <f>IFERROR(__xludf.DUMMYFUNCTION("""COMPUTED_VALUE"""),"Bokeh")</f>
        <v>Bokeh</v>
      </c>
      <c r="U1139" s="5" t="str">
        <f>IFERROR(__xludf.DUMMYFUNCTION("""COMPUTED_VALUE"""),"Gary Andrews")</f>
        <v>Gary Andrews</v>
      </c>
      <c r="V1139" s="5" t="s">
        <v>6747</v>
      </c>
      <c r="W1139" s="5" t="str">
        <f t="shared" si="3"/>
        <v>Dylan Bank, Daniel Dimauro, Morgan Pehme</v>
      </c>
      <c r="X1139" s="5">
        <f t="shared" si="4"/>
        <v>1</v>
      </c>
      <c r="Y1139" s="5" t="str">
        <f>IFERROR(__xludf.DUMMYFUNCTION("REGEXEXTRACT(J1139, ""^\d+"")"),"96")</f>
        <v>96</v>
      </c>
      <c r="Z1139" s="5" t="str">
        <f>IFERROR(__xludf.DUMMYFUNCTION("REGEXEXTRACT(J1139, ""[A-Za-z ]+$"")")," min")</f>
        <v> min</v>
      </c>
      <c r="AA1139" s="5" t="str">
        <f>IFERROR(__xludf.DUMMYFUNCTION("IF(REGEXMATCH(Z1139, ""Season""), ""TV Show"", ""Movie"")"),"Movie")</f>
        <v>Movie</v>
      </c>
    </row>
    <row r="1140">
      <c r="A1140" s="1" t="s">
        <v>6748</v>
      </c>
      <c r="B1140" s="1" t="s">
        <v>27</v>
      </c>
      <c r="C1140" s="1" t="s">
        <v>6749</v>
      </c>
      <c r="D1140" s="1" t="s">
        <v>6750</v>
      </c>
      <c r="E1140" s="1" t="s">
        <v>6751</v>
      </c>
      <c r="F1140" s="1" t="s">
        <v>6752</v>
      </c>
      <c r="G1140" s="1" t="s">
        <v>6610</v>
      </c>
      <c r="H1140" s="1">
        <v>2002.0</v>
      </c>
      <c r="I1140" s="1" t="s">
        <v>378</v>
      </c>
      <c r="J1140" s="1" t="s">
        <v>5833</v>
      </c>
      <c r="K1140" s="1" t="s">
        <v>89</v>
      </c>
      <c r="L1140" s="1" t="s">
        <v>6753</v>
      </c>
      <c r="M1140" s="2" t="s">
        <v>12</v>
      </c>
      <c r="N1140" s="4">
        <f t="shared" si="1"/>
        <v>44287</v>
      </c>
      <c r="O1140" s="5" t="str">
        <f>IFERROR(__xludf.DUMMYFUNCTION("IF(REGEXMATCH(TRIM(I1140), ""^\d+\s*min""), ""Unclassified"", IF(I1140 = """", ""NR"", I1140))"),"R")</f>
        <v>R</v>
      </c>
      <c r="R1140" s="5" t="str">
        <f t="shared" si="2"/>
        <v>The Pianist</v>
      </c>
      <c r="S1140" s="5" t="str">
        <f>IFERROR(__xludf.DUMMYFUNCTION("""COMPUTED_VALUE"""),"Bolívar")</f>
        <v>Bolívar</v>
      </c>
      <c r="U1140" s="5" t="str">
        <f>IFERROR(__xludf.DUMMYFUNCTION("""COMPUTED_VALUE"""),"Merawi Gerima")</f>
        <v>Merawi Gerima</v>
      </c>
      <c r="V1140" s="5" t="s">
        <v>6754</v>
      </c>
      <c r="W1140" s="5" t="str">
        <f t="shared" si="3"/>
        <v>Dylan C. Brown</v>
      </c>
      <c r="X1140" s="5">
        <f t="shared" si="4"/>
        <v>1</v>
      </c>
      <c r="Y1140" s="5" t="str">
        <f>IFERROR(__xludf.DUMMYFUNCTION("REGEXEXTRACT(J1140, ""^\d+"")"),"149")</f>
        <v>149</v>
      </c>
      <c r="Z1140" s="5" t="str">
        <f>IFERROR(__xludf.DUMMYFUNCTION("REGEXEXTRACT(J1140, ""[A-Za-z ]+$"")")," min")</f>
        <v> min</v>
      </c>
      <c r="AA1140" s="5" t="str">
        <f>IFERROR(__xludf.DUMMYFUNCTION("IF(REGEXMATCH(Z1140, ""Season""), ""TV Show"", ""Movie"")"),"Movie")</f>
        <v>Movie</v>
      </c>
    </row>
    <row r="1141">
      <c r="A1141" s="1" t="s">
        <v>6755</v>
      </c>
      <c r="B1141" s="1" t="s">
        <v>27</v>
      </c>
      <c r="C1141" s="1" t="s">
        <v>6756</v>
      </c>
      <c r="D1141" s="1" t="s">
        <v>6757</v>
      </c>
      <c r="E1141" s="1" t="s">
        <v>6758</v>
      </c>
      <c r="F1141" s="1" t="s">
        <v>30</v>
      </c>
      <c r="G1141" s="1" t="s">
        <v>6610</v>
      </c>
      <c r="H1141" s="1">
        <v>2009.0</v>
      </c>
      <c r="I1141" s="1" t="s">
        <v>32</v>
      </c>
      <c r="J1141" s="1" t="s">
        <v>447</v>
      </c>
      <c r="K1141" s="1" t="s">
        <v>3768</v>
      </c>
      <c r="L1141" s="1" t="s">
        <v>6759</v>
      </c>
      <c r="M1141" s="2" t="s">
        <v>12</v>
      </c>
      <c r="N1141" s="4">
        <f t="shared" si="1"/>
        <v>44287</v>
      </c>
      <c r="O1141" s="5" t="str">
        <f>IFERROR(__xludf.DUMMYFUNCTION("IF(REGEXMATCH(TRIM(I1141), ""^\d+\s*min""), ""Unclassified"", IF(I1141 = """", ""NR"", I1141))"),"PG-13")</f>
        <v>PG-13</v>
      </c>
      <c r="R1141" s="5" t="str">
        <f t="shared" si="2"/>
        <v>The Stepfather</v>
      </c>
      <c r="S1141" s="5" t="str">
        <f>IFERROR(__xludf.DUMMYFUNCTION("""COMPUTED_VALUE"""),"Bollywood Calling")</f>
        <v>Bollywood Calling</v>
      </c>
      <c r="U1141" s="5" t="str">
        <f>IFERROR(__xludf.DUMMYFUNCTION("""COMPUTED_VALUE"""),"Kubhaer T. Jethwani")</f>
        <v>Kubhaer T. Jethwani</v>
      </c>
      <c r="V1141" s="5" t="s">
        <v>6760</v>
      </c>
      <c r="W1141" s="5" t="str">
        <f t="shared" si="3"/>
        <v>Dylan Haegens, Bas Van Teylingen</v>
      </c>
      <c r="X1141" s="5">
        <f t="shared" si="4"/>
        <v>1</v>
      </c>
      <c r="Y1141" s="5" t="str">
        <f>IFERROR(__xludf.DUMMYFUNCTION("REGEXEXTRACT(J1141, ""^\d+"")"),"102")</f>
        <v>102</v>
      </c>
      <c r="Z1141" s="5" t="str">
        <f>IFERROR(__xludf.DUMMYFUNCTION("REGEXEXTRACT(J1141, ""[A-Za-z ]+$"")")," min")</f>
        <v> min</v>
      </c>
      <c r="AA1141" s="5" t="str">
        <f>IFERROR(__xludf.DUMMYFUNCTION("IF(REGEXMATCH(Z1141, ""Season""), ""TV Show"", ""Movie"")"),"Movie")</f>
        <v>Movie</v>
      </c>
    </row>
    <row r="1142">
      <c r="A1142" s="1" t="s">
        <v>6761</v>
      </c>
      <c r="B1142" s="1" t="s">
        <v>27</v>
      </c>
      <c r="C1142" s="1" t="s">
        <v>6762</v>
      </c>
      <c r="D1142" s="1" t="s">
        <v>6763</v>
      </c>
      <c r="E1142" s="1" t="s">
        <v>6764</v>
      </c>
      <c r="F1142" s="1" t="s">
        <v>30</v>
      </c>
      <c r="G1142" s="1" t="s">
        <v>6610</v>
      </c>
      <c r="H1142" s="1">
        <v>1999.0</v>
      </c>
      <c r="I1142" s="1" t="s">
        <v>378</v>
      </c>
      <c r="J1142" s="1" t="s">
        <v>490</v>
      </c>
      <c r="K1142" s="1" t="s">
        <v>380</v>
      </c>
      <c r="L1142" s="1" t="s">
        <v>6765</v>
      </c>
      <c r="M1142" s="2" t="s">
        <v>12</v>
      </c>
      <c r="N1142" s="4">
        <f t="shared" si="1"/>
        <v>44287</v>
      </c>
      <c r="O1142" s="5" t="str">
        <f>IFERROR(__xludf.DUMMYFUNCTION("IF(REGEXMATCH(TRIM(I1142), ""^\d+\s*min""), ""Unclassified"", IF(I1142 = """", ""NR"", I1142))"),"R")</f>
        <v>R</v>
      </c>
      <c r="R1142" s="5" t="str">
        <f t="shared" si="2"/>
        <v>Universal Soldier: The Return</v>
      </c>
      <c r="S1142" s="5" t="str">
        <f>IFERROR(__xludf.DUMMYFUNCTION("""COMPUTED_VALUE"""),"Bolt")</f>
        <v>Bolt</v>
      </c>
      <c r="U1142" s="5" t="str">
        <f>IFERROR(__xludf.DUMMYFUNCTION("""COMPUTED_VALUE"""),"Antonio Campos")</f>
        <v>Antonio Campos</v>
      </c>
      <c r="V1142" s="5" t="s">
        <v>6766</v>
      </c>
      <c r="W1142" s="5" t="str">
        <f t="shared" si="3"/>
        <v>Dylan Howitt</v>
      </c>
      <c r="X1142" s="5">
        <f t="shared" si="4"/>
        <v>1</v>
      </c>
      <c r="Y1142" s="5" t="str">
        <f>IFERROR(__xludf.DUMMYFUNCTION("REGEXEXTRACT(J1142, ""^\d+"")"),"83")</f>
        <v>83</v>
      </c>
      <c r="Z1142" s="5" t="str">
        <f>IFERROR(__xludf.DUMMYFUNCTION("REGEXEXTRACT(J1142, ""[A-Za-z ]+$"")")," min")</f>
        <v> min</v>
      </c>
      <c r="AA1142" s="5" t="str">
        <f>IFERROR(__xludf.DUMMYFUNCTION("IF(REGEXMATCH(Z1142, ""Season""), ""TV Show"", ""Movie"")"),"Movie")</f>
        <v>Movie</v>
      </c>
    </row>
    <row r="1143">
      <c r="A1143" s="1" t="s">
        <v>6767</v>
      </c>
      <c r="B1143" s="1" t="s">
        <v>27</v>
      </c>
      <c r="C1143" s="1" t="s">
        <v>6768</v>
      </c>
      <c r="D1143" s="1" t="s">
        <v>3114</v>
      </c>
      <c r="E1143" s="1" t="s">
        <v>6769</v>
      </c>
      <c r="F1143" s="1" t="s">
        <v>63</v>
      </c>
      <c r="G1143" s="1" t="s">
        <v>6610</v>
      </c>
      <c r="H1143" s="1">
        <v>2016.0</v>
      </c>
      <c r="I1143" s="1" t="s">
        <v>97</v>
      </c>
      <c r="J1143" s="1" t="s">
        <v>357</v>
      </c>
      <c r="K1143" s="1" t="s">
        <v>298</v>
      </c>
      <c r="L1143" s="1" t="s">
        <v>6770</v>
      </c>
      <c r="M1143" s="2" t="s">
        <v>12</v>
      </c>
      <c r="N1143" s="4">
        <f t="shared" si="1"/>
        <v>44287</v>
      </c>
      <c r="O1143" s="5" t="str">
        <f>IFERROR(__xludf.DUMMYFUNCTION("IF(REGEXMATCH(TRIM(I1143), ""^\d+\s*min""), ""Unclassified"", IF(I1143 = """", ""NR"", I1143))"),"TV-14")</f>
        <v>TV-14</v>
      </c>
      <c r="R1143" s="5" t="str">
        <f t="shared" si="2"/>
        <v>Wazir</v>
      </c>
      <c r="S1143" s="5" t="str">
        <f>IFERROR(__xludf.DUMMYFUNCTION("""COMPUTED_VALUE"""),"Bomb Scared")</f>
        <v>Bomb Scared</v>
      </c>
      <c r="U1143" s="5" t="str">
        <f>IFERROR(__xludf.DUMMYFUNCTION("""COMPUTED_VALUE"""),"Carles Torras")</f>
        <v>Carles Torras</v>
      </c>
      <c r="V1143" s="5" t="s">
        <v>6771</v>
      </c>
      <c r="W1143" s="5" t="str">
        <f t="shared" si="3"/>
        <v>Dylan Mohan Gray</v>
      </c>
      <c r="X1143" s="5">
        <f t="shared" si="4"/>
        <v>1</v>
      </c>
      <c r="Y1143" s="5" t="str">
        <f>IFERROR(__xludf.DUMMYFUNCTION("REGEXEXTRACT(J1143, ""^\d+"")"),"98")</f>
        <v>98</v>
      </c>
      <c r="Z1143" s="5" t="str">
        <f>IFERROR(__xludf.DUMMYFUNCTION("REGEXEXTRACT(J1143, ""[A-Za-z ]+$"")")," min")</f>
        <v> min</v>
      </c>
      <c r="AA1143" s="5" t="str">
        <f>IFERROR(__xludf.DUMMYFUNCTION("IF(REGEXMATCH(Z1143, ""Season""), ""TV Show"", ""Movie"")"),"Movie")</f>
        <v>Movie</v>
      </c>
    </row>
    <row r="1144">
      <c r="A1144" s="1" t="s">
        <v>6772</v>
      </c>
      <c r="B1144" s="1" t="s">
        <v>27</v>
      </c>
      <c r="C1144" s="1" t="s">
        <v>6773</v>
      </c>
      <c r="D1144" s="1" t="s">
        <v>6774</v>
      </c>
      <c r="E1144" s="1" t="s">
        <v>6775</v>
      </c>
      <c r="F1144" s="1" t="s">
        <v>30</v>
      </c>
      <c r="G1144" s="1" t="s">
        <v>6610</v>
      </c>
      <c r="H1144" s="1">
        <v>2017.0</v>
      </c>
      <c r="I1144" s="1" t="s">
        <v>42</v>
      </c>
      <c r="J1144" s="1" t="s">
        <v>490</v>
      </c>
      <c r="K1144" s="1" t="s">
        <v>34</v>
      </c>
      <c r="L1144" s="1" t="s">
        <v>6776</v>
      </c>
      <c r="M1144" s="2" t="s">
        <v>12</v>
      </c>
      <c r="N1144" s="4">
        <f t="shared" si="1"/>
        <v>44287</v>
      </c>
      <c r="O1144" s="5" t="str">
        <f>IFERROR(__xludf.DUMMYFUNCTION("IF(REGEXMATCH(TRIM(I1144), ""^\d+\s*min""), ""Unclassified"", IF(I1144 = """", ""NR"", I1144))"),"TV-MA")</f>
        <v>TV-MA</v>
      </c>
      <c r="R1144" s="5" t="str">
        <f t="shared" si="2"/>
        <v>White Boy</v>
      </c>
      <c r="S1144" s="5" t="str">
        <f>IFERROR(__xludf.DUMMYFUNCTION("""COMPUTED_VALUE"""),"Bombairiya")</f>
        <v>Bombairiya</v>
      </c>
      <c r="U1144" s="5" t="str">
        <f>IFERROR(__xludf.DUMMYFUNCTION("""COMPUTED_VALUE"""),"James Watkins")</f>
        <v>James Watkins</v>
      </c>
      <c r="V1144" s="5" t="s">
        <v>6777</v>
      </c>
      <c r="W1144" s="5" t="str">
        <f t="shared" si="3"/>
        <v>Ed Lilly</v>
      </c>
      <c r="X1144" s="5">
        <f t="shared" si="4"/>
        <v>1</v>
      </c>
      <c r="Y1144" s="5" t="str">
        <f>IFERROR(__xludf.DUMMYFUNCTION("REGEXEXTRACT(J1144, ""^\d+"")"),"83")</f>
        <v>83</v>
      </c>
      <c r="Z1144" s="5" t="str">
        <f>IFERROR(__xludf.DUMMYFUNCTION("REGEXEXTRACT(J1144, ""[A-Za-z ]+$"")")," min")</f>
        <v> min</v>
      </c>
      <c r="AA1144" s="5" t="str">
        <f>IFERROR(__xludf.DUMMYFUNCTION("IF(REGEXMATCH(Z1144, ""Season""), ""TV Show"", ""Movie"")"),"Movie")</f>
        <v>Movie</v>
      </c>
    </row>
    <row r="1145">
      <c r="A1145" s="1" t="s">
        <v>6778</v>
      </c>
      <c r="B1145" s="1" t="s">
        <v>37</v>
      </c>
      <c r="C1145" s="1" t="s">
        <v>6779</v>
      </c>
      <c r="F1145" s="1" t="s">
        <v>30</v>
      </c>
      <c r="G1145" s="1" t="s">
        <v>6610</v>
      </c>
      <c r="H1145" s="1">
        <v>2021.0</v>
      </c>
      <c r="I1145" s="1" t="s">
        <v>42</v>
      </c>
      <c r="J1145" s="1" t="s">
        <v>51</v>
      </c>
      <c r="K1145" s="1" t="s">
        <v>57</v>
      </c>
      <c r="L1145" s="1" t="s">
        <v>6780</v>
      </c>
      <c r="M1145" s="2" t="s">
        <v>12</v>
      </c>
      <c r="N1145" s="4">
        <f t="shared" si="1"/>
        <v>44287</v>
      </c>
      <c r="O1145" s="5" t="str">
        <f>IFERROR(__xludf.DUMMYFUNCTION("IF(REGEXMATCH(TRIM(I1145), ""^\d+\s*min""), ""Unclassified"", IF(I1145 = """", ""NR"", I1145))"),"TV-MA")</f>
        <v>TV-MA</v>
      </c>
      <c r="R1145" s="5" t="str">
        <f t="shared" si="2"/>
        <v>Worn Stories</v>
      </c>
      <c r="S1145" s="5" t="str">
        <f>IFERROR(__xludf.DUMMYFUNCTION("""COMPUTED_VALUE"""),"Bombay")</f>
        <v>Bombay</v>
      </c>
      <c r="U1145" s="5" t="str">
        <f>IFERROR(__xludf.DUMMYFUNCTION("""COMPUTED_VALUE"""),"Philippa Lowthorpe")</f>
        <v>Philippa Lowthorpe</v>
      </c>
      <c r="V1145" s="5" t="s">
        <v>6781</v>
      </c>
      <c r="W1145" s="5" t="str">
        <f t="shared" si="3"/>
        <v>Ed Perkins</v>
      </c>
      <c r="X1145" s="5">
        <f t="shared" si="4"/>
        <v>1</v>
      </c>
      <c r="Y1145" s="5" t="str">
        <f>IFERROR(__xludf.DUMMYFUNCTION("REGEXEXTRACT(J1145, ""^\d+"")"),"1")</f>
        <v>1</v>
      </c>
      <c r="Z1145" s="5" t="str">
        <f>IFERROR(__xludf.DUMMYFUNCTION("REGEXEXTRACT(J1145, ""[A-Za-z ]+$"")")," Season")</f>
        <v> Season</v>
      </c>
      <c r="AA1145" s="5" t="str">
        <f>IFERROR(__xludf.DUMMYFUNCTION("IF(REGEXMATCH(Z1145, ""Season""), ""TV Show"", ""Movie"")"),"TV Show")</f>
        <v>TV Show</v>
      </c>
    </row>
    <row r="1146">
      <c r="A1146" s="1" t="s">
        <v>6782</v>
      </c>
      <c r="B1146" s="1" t="s">
        <v>27</v>
      </c>
      <c r="C1146" s="1" t="s">
        <v>6783</v>
      </c>
      <c r="D1146" s="1" t="s">
        <v>6784</v>
      </c>
      <c r="E1146" s="1" t="s">
        <v>6785</v>
      </c>
      <c r="F1146" s="1" t="s">
        <v>692</v>
      </c>
      <c r="G1146" s="1" t="s">
        <v>6610</v>
      </c>
      <c r="H1146" s="1">
        <v>2008.0</v>
      </c>
      <c r="I1146" s="1" t="s">
        <v>32</v>
      </c>
      <c r="J1146" s="1" t="s">
        <v>106</v>
      </c>
      <c r="K1146" s="1" t="s">
        <v>813</v>
      </c>
      <c r="L1146" s="1" t="s">
        <v>6786</v>
      </c>
      <c r="M1146" s="2" t="s">
        <v>12</v>
      </c>
      <c r="N1146" s="4">
        <f t="shared" si="1"/>
        <v>44287</v>
      </c>
      <c r="O1146" s="5" t="str">
        <f>IFERROR(__xludf.DUMMYFUNCTION("IF(REGEXMATCH(TRIM(I1146), ""^\d+\s*min""), ""Unclassified"", IF(I1146 = """", ""NR"", I1146))"),"PG-13")</f>
        <v>PG-13</v>
      </c>
      <c r="R1146" s="5" t="str">
        <f t="shared" si="2"/>
        <v>Yes Man</v>
      </c>
      <c r="S1146" s="5" t="str">
        <f>IFERROR(__xludf.DUMMYFUNCTION("""COMPUTED_VALUE"""),"Bombay Begums")</f>
        <v>Bombay Begums</v>
      </c>
      <c r="U1146" s="5" t="str">
        <f>IFERROR(__xludf.DUMMYFUNCTION("""COMPUTED_VALUE"""),"Pailin Wedel")</f>
        <v>Pailin Wedel</v>
      </c>
      <c r="V1146" s="5" t="s">
        <v>6787</v>
      </c>
      <c r="W1146" s="5" t="str">
        <f t="shared" si="3"/>
        <v>Eddie Martin</v>
      </c>
      <c r="X1146" s="5">
        <f t="shared" si="4"/>
        <v>1</v>
      </c>
      <c r="Y1146" s="5" t="str">
        <f>IFERROR(__xludf.DUMMYFUNCTION("REGEXEXTRACT(J1146, ""^\d+"")"),"104")</f>
        <v>104</v>
      </c>
      <c r="Z1146" s="5" t="str">
        <f>IFERROR(__xludf.DUMMYFUNCTION("REGEXEXTRACT(J1146, ""[A-Za-z ]+$"")")," min")</f>
        <v> min</v>
      </c>
      <c r="AA1146" s="5" t="str">
        <f>IFERROR(__xludf.DUMMYFUNCTION("IF(REGEXMATCH(Z1146, ""Season""), ""TV Show"", ""Movie"")"),"Movie")</f>
        <v>Movie</v>
      </c>
    </row>
    <row r="1147">
      <c r="A1147" s="1" t="s">
        <v>6788</v>
      </c>
      <c r="B1147" s="1" t="s">
        <v>27</v>
      </c>
      <c r="C1147" s="1" t="s">
        <v>6789</v>
      </c>
      <c r="D1147" s="1" t="s">
        <v>6790</v>
      </c>
      <c r="E1147" s="1" t="s">
        <v>6791</v>
      </c>
      <c r="F1147" s="1" t="s">
        <v>6792</v>
      </c>
      <c r="G1147" s="1" t="s">
        <v>6793</v>
      </c>
      <c r="H1147" s="1">
        <v>2018.0</v>
      </c>
      <c r="I1147" s="1" t="s">
        <v>32</v>
      </c>
      <c r="J1147" s="1" t="s">
        <v>264</v>
      </c>
      <c r="K1147" s="1" t="s">
        <v>805</v>
      </c>
      <c r="L1147" s="1" t="s">
        <v>6794</v>
      </c>
      <c r="M1147" s="2" t="s">
        <v>12</v>
      </c>
      <c r="N1147" s="4">
        <f t="shared" si="1"/>
        <v>44286</v>
      </c>
      <c r="O1147" s="5" t="str">
        <f>IFERROR(__xludf.DUMMYFUNCTION("IF(REGEXMATCH(TRIM(I1147), ""^\d+\s*min""), ""Unclassified"", IF(I1147 = """", ""NR"", I1147))"),"PG-13")</f>
        <v>PG-13</v>
      </c>
      <c r="R1147" s="5" t="str">
        <f t="shared" si="2"/>
        <v>At Eternity'S Gate</v>
      </c>
      <c r="S1147" s="5" t="str">
        <f>IFERROR(__xludf.DUMMYFUNCTION("""COMPUTED_VALUE"""),"Bombay Rose")</f>
        <v>Bombay Rose</v>
      </c>
      <c r="U1147" s="5" t="str">
        <f>IFERROR(__xludf.DUMMYFUNCTION("""COMPUTED_VALUE"""),"Chris Howe")</f>
        <v>Chris Howe</v>
      </c>
      <c r="V1147" s="5" t="s">
        <v>6795</v>
      </c>
      <c r="W1147" s="5" t="str">
        <f t="shared" si="3"/>
        <v>Eddie Mensore</v>
      </c>
      <c r="X1147" s="5">
        <f t="shared" si="4"/>
        <v>1</v>
      </c>
      <c r="Y1147" s="5" t="str">
        <f>IFERROR(__xludf.DUMMYFUNCTION("REGEXEXTRACT(J1147, ""^\d+"")"),"111")</f>
        <v>111</v>
      </c>
      <c r="Z1147" s="5" t="str">
        <f>IFERROR(__xludf.DUMMYFUNCTION("REGEXEXTRACT(J1147, ""[A-Za-z ]+$"")")," min")</f>
        <v> min</v>
      </c>
      <c r="AA1147" s="5" t="str">
        <f>IFERROR(__xludf.DUMMYFUNCTION("IF(REGEXMATCH(Z1147, ""Season""), ""TV Show"", ""Movie"")"),"Movie")</f>
        <v>Movie</v>
      </c>
    </row>
    <row r="1148">
      <c r="A1148" s="1" t="s">
        <v>6796</v>
      </c>
      <c r="B1148" s="1" t="s">
        <v>37</v>
      </c>
      <c r="C1148" s="1" t="s">
        <v>6797</v>
      </c>
      <c r="D1148" s="1" t="s">
        <v>509</v>
      </c>
      <c r="F1148" s="1" t="s">
        <v>949</v>
      </c>
      <c r="G1148" s="1" t="s">
        <v>6793</v>
      </c>
      <c r="H1148" s="1">
        <v>2021.0</v>
      </c>
      <c r="I1148" s="1" t="s">
        <v>97</v>
      </c>
      <c r="J1148" s="1" t="s">
        <v>51</v>
      </c>
      <c r="K1148" s="1" t="s">
        <v>4146</v>
      </c>
      <c r="L1148" s="1" t="s">
        <v>6798</v>
      </c>
      <c r="M1148" s="2" t="s">
        <v>12</v>
      </c>
      <c r="N1148" s="4">
        <f t="shared" si="1"/>
        <v>44286</v>
      </c>
      <c r="O1148" s="5" t="str">
        <f>IFERROR(__xludf.DUMMYFUNCTION("IF(REGEXMATCH(TRIM(I1148), ""^\d+\s*min""), ""Unclassified"", IF(I1148 = """", ""NR"", I1148))"),"TV-14")</f>
        <v>TV-14</v>
      </c>
      <c r="R1148" s="5" t="str">
        <f t="shared" si="2"/>
        <v>Haunted: Latin America</v>
      </c>
      <c r="S1148" s="5" t="str">
        <f>IFERROR(__xludf.DUMMYFUNCTION("""COMPUTED_VALUE"""),"Bombay Talkies")</f>
        <v>Bombay Talkies</v>
      </c>
      <c r="U1148" s="5" t="str">
        <f>IFERROR(__xludf.DUMMYFUNCTION("""COMPUTED_VALUE"""),"Peter Sollett")</f>
        <v>Peter Sollett</v>
      </c>
      <c r="V1148" s="5" t="s">
        <v>6799</v>
      </c>
      <c r="W1148" s="5" t="str">
        <f t="shared" si="3"/>
        <v>Eddie Rosas</v>
      </c>
      <c r="X1148" s="5">
        <f t="shared" si="4"/>
        <v>1</v>
      </c>
      <c r="Y1148" s="5" t="str">
        <f>IFERROR(__xludf.DUMMYFUNCTION("REGEXEXTRACT(J1148, ""^\d+"")"),"1")</f>
        <v>1</v>
      </c>
      <c r="Z1148" s="5" t="str">
        <f>IFERROR(__xludf.DUMMYFUNCTION("REGEXEXTRACT(J1148, ""[A-Za-z ]+$"")")," Season")</f>
        <v> Season</v>
      </c>
      <c r="AA1148" s="5" t="str">
        <f>IFERROR(__xludf.DUMMYFUNCTION("IF(REGEXMATCH(Z1148, ""Season""), ""TV Show"", ""Movie"")"),"TV Show")</f>
        <v>TV Show</v>
      </c>
    </row>
    <row r="1149">
      <c r="A1149" s="1" t="s">
        <v>6800</v>
      </c>
      <c r="B1149" s="1" t="s">
        <v>27</v>
      </c>
      <c r="C1149" s="1" t="s">
        <v>6801</v>
      </c>
      <c r="D1149" s="1" t="s">
        <v>6802</v>
      </c>
      <c r="E1149" s="1" t="s">
        <v>6803</v>
      </c>
      <c r="F1149" s="1" t="s">
        <v>96</v>
      </c>
      <c r="G1149" s="1" t="s">
        <v>6793</v>
      </c>
      <c r="H1149" s="1">
        <v>2020.0</v>
      </c>
      <c r="I1149" s="1" t="s">
        <v>42</v>
      </c>
      <c r="J1149" s="1" t="s">
        <v>357</v>
      </c>
      <c r="K1149" s="1" t="s">
        <v>520</v>
      </c>
      <c r="L1149" s="1" t="s">
        <v>6804</v>
      </c>
      <c r="M1149" s="2" t="s">
        <v>12</v>
      </c>
      <c r="N1149" s="4">
        <f t="shared" si="1"/>
        <v>44286</v>
      </c>
      <c r="O1149" s="5" t="str">
        <f>IFERROR(__xludf.DUMMYFUNCTION("IF(REGEXMATCH(TRIM(I1149), ""^\d+\s*min""), ""Unclassified"", IF(I1149 = """", ""NR"", I1149))"),"TV-MA")</f>
        <v>TV-MA</v>
      </c>
      <c r="R1149" s="5" t="str">
        <f t="shared" si="2"/>
        <v>Not A Game</v>
      </c>
      <c r="S1149" s="5" t="str">
        <f>IFERROR(__xludf.DUMMYFUNCTION("""COMPUTED_VALUE"""),"Bombshell")</f>
        <v>Bombshell</v>
      </c>
      <c r="U1149" s="5" t="str">
        <f>IFERROR(__xludf.DUMMYFUNCTION("""COMPUTED_VALUE"""),"Steve Bencich")</f>
        <v>Steve Bencich</v>
      </c>
      <c r="V1149" s="5" t="s">
        <v>6805</v>
      </c>
      <c r="W1149" s="5" t="str">
        <f t="shared" si="3"/>
        <v>Edgar Wright</v>
      </c>
      <c r="X1149" s="5">
        <f t="shared" si="4"/>
        <v>1</v>
      </c>
      <c r="Y1149" s="5" t="str">
        <f>IFERROR(__xludf.DUMMYFUNCTION("REGEXEXTRACT(J1149, ""^\d+"")"),"98")</f>
        <v>98</v>
      </c>
      <c r="Z1149" s="5" t="str">
        <f>IFERROR(__xludf.DUMMYFUNCTION("REGEXEXTRACT(J1149, ""[A-Za-z ]+$"")")," min")</f>
        <v> min</v>
      </c>
      <c r="AA1149" s="5" t="str">
        <f>IFERROR(__xludf.DUMMYFUNCTION("IF(REGEXMATCH(Z1149, ""Season""), ""TV Show"", ""Movie"")"),"Movie")</f>
        <v>Movie</v>
      </c>
    </row>
    <row r="1150">
      <c r="A1150" s="1" t="s">
        <v>6806</v>
      </c>
      <c r="B1150" s="1" t="s">
        <v>37</v>
      </c>
      <c r="C1150" s="1" t="s">
        <v>6807</v>
      </c>
      <c r="E1150" s="1" t="s">
        <v>6808</v>
      </c>
      <c r="F1150" s="1" t="s">
        <v>749</v>
      </c>
      <c r="G1150" s="1" t="s">
        <v>6793</v>
      </c>
      <c r="H1150" s="1">
        <v>2015.0</v>
      </c>
      <c r="I1150" s="1" t="s">
        <v>206</v>
      </c>
      <c r="J1150" s="1" t="s">
        <v>43</v>
      </c>
      <c r="K1150" s="1" t="s">
        <v>637</v>
      </c>
      <c r="L1150" s="1" t="s">
        <v>6809</v>
      </c>
      <c r="M1150" s="2" t="s">
        <v>12</v>
      </c>
      <c r="N1150" s="4">
        <f t="shared" si="1"/>
        <v>44286</v>
      </c>
      <c r="O1150" s="5" t="str">
        <f>IFERROR(__xludf.DUMMYFUNCTION("IF(REGEXMATCH(TRIM(I1150), ""^\d+\s*min""), ""Unclassified"", IF(I1150 = """", ""NR"", I1150))"),"TV-Y")</f>
        <v>TV-Y</v>
      </c>
      <c r="R1150" s="5" t="str">
        <f t="shared" si="2"/>
        <v>Robocar Poli</v>
      </c>
      <c r="S1150" s="5" t="str">
        <f>IFERROR(__xludf.DUMMYFUNCTION("""COMPUTED_VALUE"""),"Bombshell: The Hedy Lamarr Story")</f>
        <v>Bombshell: The Hedy Lamarr Story</v>
      </c>
      <c r="U1150" s="5" t="str">
        <f>IFERROR(__xludf.DUMMYFUNCTION("""COMPUTED_VALUE"""),"Tosin Coker")</f>
        <v>Tosin Coker</v>
      </c>
      <c r="V1150" s="5" t="s">
        <v>6810</v>
      </c>
      <c r="W1150" s="5" t="str">
        <f t="shared" si="3"/>
        <v>Edoardo Ponti</v>
      </c>
      <c r="X1150" s="5">
        <f t="shared" si="4"/>
        <v>1</v>
      </c>
      <c r="Y1150" s="5" t="str">
        <f>IFERROR(__xludf.DUMMYFUNCTION("REGEXEXTRACT(J1150, ""^\d+"")"),"2")</f>
        <v>2</v>
      </c>
      <c r="Z1150" s="5" t="str">
        <f>IFERROR(__xludf.DUMMYFUNCTION("REGEXEXTRACT(J1150, ""[A-Za-z ]+$"")")," Seasons")</f>
        <v> Seasons</v>
      </c>
      <c r="AA1150" s="5" t="str">
        <f>IFERROR(__xludf.DUMMYFUNCTION("IF(REGEXMATCH(Z1150, ""Season""), ""TV Show"", ""Movie"")"),"TV Show")</f>
        <v>TV Show</v>
      </c>
    </row>
    <row r="1151">
      <c r="A1151" s="1" t="s">
        <v>6811</v>
      </c>
      <c r="B1151" s="1" t="s">
        <v>37</v>
      </c>
      <c r="C1151" s="1" t="s">
        <v>6812</v>
      </c>
      <c r="E1151" s="1" t="s">
        <v>6813</v>
      </c>
      <c r="F1151" s="1" t="s">
        <v>415</v>
      </c>
      <c r="G1151" s="1" t="s">
        <v>6793</v>
      </c>
      <c r="H1151" s="1">
        <v>2005.0</v>
      </c>
      <c r="I1151" s="1" t="s">
        <v>289</v>
      </c>
      <c r="J1151" s="1" t="s">
        <v>51</v>
      </c>
      <c r="K1151" s="1" t="s">
        <v>623</v>
      </c>
      <c r="L1151" s="1" t="s">
        <v>6814</v>
      </c>
      <c r="M1151" s="2" t="s">
        <v>12</v>
      </c>
      <c r="N1151" s="4">
        <f t="shared" si="1"/>
        <v>44286</v>
      </c>
      <c r="O1151" s="5" t="str">
        <f>IFERROR(__xludf.DUMMYFUNCTION("IF(REGEXMATCH(TRIM(I1151), ""^\d+\s*min""), ""Unclassified"", IF(I1151 = """", ""NR"", I1151))"),"TV-Y7")</f>
        <v>TV-Y7</v>
      </c>
      <c r="R1151" s="5" t="str">
        <f t="shared" si="2"/>
        <v>Yu-Gi-Oh!</v>
      </c>
      <c r="S1151" s="5" t="str">
        <f>IFERROR(__xludf.DUMMYFUNCTION("""COMPUTED_VALUE"""),"Bon Bini Holland")</f>
        <v>Bon Bini Holland</v>
      </c>
      <c r="U1151" s="5" t="str">
        <f>IFERROR(__xludf.DUMMYFUNCTION("""COMPUTED_VALUE"""),"Javier Colinas")</f>
        <v>Javier Colinas</v>
      </c>
      <c r="V1151" s="5" t="s">
        <v>6815</v>
      </c>
      <c r="W1151" s="5" t="str">
        <f t="shared" si="3"/>
        <v>Eduardo Casanova</v>
      </c>
      <c r="X1151" s="5">
        <f t="shared" si="4"/>
        <v>1</v>
      </c>
      <c r="Y1151" s="5" t="str">
        <f>IFERROR(__xludf.DUMMYFUNCTION("REGEXEXTRACT(J1151, ""^\d+"")"),"1")</f>
        <v>1</v>
      </c>
      <c r="Z1151" s="5" t="str">
        <f>IFERROR(__xludf.DUMMYFUNCTION("REGEXEXTRACT(J1151, ""[A-Za-z ]+$"")")," Season")</f>
        <v> Season</v>
      </c>
      <c r="AA1151" s="5" t="str">
        <f>IFERROR(__xludf.DUMMYFUNCTION("IF(REGEXMATCH(Z1151, ""Season""), ""TV Show"", ""Movie"")"),"TV Show")</f>
        <v>TV Show</v>
      </c>
    </row>
    <row r="1152">
      <c r="A1152" s="1" t="s">
        <v>6816</v>
      </c>
      <c r="B1152" s="1" t="s">
        <v>27</v>
      </c>
      <c r="C1152" s="1" t="s">
        <v>6817</v>
      </c>
      <c r="D1152" s="1" t="s">
        <v>6818</v>
      </c>
      <c r="E1152" s="1" t="s">
        <v>6819</v>
      </c>
      <c r="F1152" s="1" t="s">
        <v>30</v>
      </c>
      <c r="G1152" s="1" t="s">
        <v>6820</v>
      </c>
      <c r="H1152" s="1">
        <v>2021.0</v>
      </c>
      <c r="I1152" s="1" t="s">
        <v>136</v>
      </c>
      <c r="J1152" s="1" t="s">
        <v>454</v>
      </c>
      <c r="K1152" s="1" t="s">
        <v>34</v>
      </c>
      <c r="L1152" s="1" t="s">
        <v>6821</v>
      </c>
      <c r="M1152" s="2" t="s">
        <v>12</v>
      </c>
      <c r="N1152" s="4">
        <f t="shared" si="1"/>
        <v>44285</v>
      </c>
      <c r="O1152" s="5" t="str">
        <f>IFERROR(__xludf.DUMMYFUNCTION("IF(REGEXMATCH(TRIM(I1152), ""^\d+\s*min""), ""Unclassified"", IF(I1152 = """", ""NR"", I1152))"),"TV-PG")</f>
        <v>TV-PG</v>
      </c>
      <c r="R1152" s="5" t="str">
        <f t="shared" si="2"/>
        <v>7 Yards: The Chris Norton Story</v>
      </c>
      <c r="S1152" s="5" t="str">
        <f>IFERROR(__xludf.DUMMYFUNCTION("""COMPUTED_VALUE"""),"Bon Cop Bad Cop 2")</f>
        <v>Bon Cop Bad Cop 2</v>
      </c>
      <c r="U1152" s="5" t="str">
        <f>IFERROR(__xludf.DUMMYFUNCTION("""COMPUTED_VALUE"""),"Dean Deblois")</f>
        <v>Dean Deblois</v>
      </c>
      <c r="V1152" s="5" t="s">
        <v>6822</v>
      </c>
      <c r="W1152" s="5" t="str">
        <f t="shared" si="3"/>
        <v>Eduardo Chauvet</v>
      </c>
      <c r="X1152" s="5">
        <f t="shared" si="4"/>
        <v>2</v>
      </c>
      <c r="Y1152" s="5" t="str">
        <f>IFERROR(__xludf.DUMMYFUNCTION("REGEXEXTRACT(J1152, ""^\d+"")"),"93")</f>
        <v>93</v>
      </c>
      <c r="Z1152" s="5" t="str">
        <f>IFERROR(__xludf.DUMMYFUNCTION("REGEXEXTRACT(J1152, ""[A-Za-z ]+$"")")," min")</f>
        <v> min</v>
      </c>
      <c r="AA1152" s="5" t="str">
        <f>IFERROR(__xludf.DUMMYFUNCTION("IF(REGEXMATCH(Z1152, ""Season""), ""TV Show"", ""Movie"")"),"Movie")</f>
        <v>Movie</v>
      </c>
    </row>
    <row r="1153">
      <c r="A1153" s="1" t="s">
        <v>6823</v>
      </c>
      <c r="B1153" s="1" t="s">
        <v>27</v>
      </c>
      <c r="C1153" s="1" t="s">
        <v>6824</v>
      </c>
      <c r="D1153" s="1" t="s">
        <v>3490</v>
      </c>
      <c r="E1153" s="1" t="s">
        <v>6825</v>
      </c>
      <c r="F1153" s="1" t="s">
        <v>6258</v>
      </c>
      <c r="G1153" s="1" t="s">
        <v>6820</v>
      </c>
      <c r="H1153" s="1">
        <v>2021.0</v>
      </c>
      <c r="I1153" s="1" t="s">
        <v>206</v>
      </c>
      <c r="J1153" s="1" t="s">
        <v>5120</v>
      </c>
      <c r="K1153" s="1" t="s">
        <v>80</v>
      </c>
      <c r="L1153" s="1" t="s">
        <v>6826</v>
      </c>
      <c r="M1153" s="2" t="s">
        <v>12</v>
      </c>
      <c r="N1153" s="4">
        <f t="shared" si="1"/>
        <v>44285</v>
      </c>
      <c r="O1153" s="5" t="str">
        <f>IFERROR(__xludf.DUMMYFUNCTION("IF(REGEXMATCH(TRIM(I1153), ""^\d+\s*min""), ""Unclassified"", IF(I1153 = """", ""NR"", I1153))"),"TV-Y")</f>
        <v>TV-Y</v>
      </c>
      <c r="R1153" s="5" t="str">
        <f t="shared" si="2"/>
        <v>Octonauts &amp; The Ring Of Fire</v>
      </c>
      <c r="S1153" s="5" t="str">
        <f>IFERROR(__xludf.DUMMYFUNCTION("""COMPUTED_VALUE"""),"Bon Cop, Bad Cop")</f>
        <v>Bon Cop, Bad Cop</v>
      </c>
      <c r="U1153" s="5" t="str">
        <f>IFERROR(__xludf.DUMMYFUNCTION("""COMPUTED_VALUE"""),"Reinhard Klooss")</f>
        <v>Reinhard Klooss</v>
      </c>
      <c r="V1153" s="5" t="s">
        <v>6827</v>
      </c>
      <c r="W1153" s="5" t="str">
        <f t="shared" si="3"/>
        <v>Eduardo Mendoza De Echave</v>
      </c>
      <c r="X1153" s="5">
        <f t="shared" si="4"/>
        <v>1</v>
      </c>
      <c r="Y1153" s="5" t="str">
        <f>IFERROR(__xludf.DUMMYFUNCTION("REGEXEXTRACT(J1153, ""^\d+"")"),"73")</f>
        <v>73</v>
      </c>
      <c r="Z1153" s="5" t="str">
        <f>IFERROR(__xludf.DUMMYFUNCTION("REGEXEXTRACT(J1153, ""[A-Za-z ]+$"")")," min")</f>
        <v> min</v>
      </c>
      <c r="AA1153" s="5" t="str">
        <f>IFERROR(__xludf.DUMMYFUNCTION("IF(REGEXMATCH(Z1153, ""Season""), ""TV Show"", ""Movie"")"),"Movie")</f>
        <v>Movie</v>
      </c>
    </row>
    <row r="1154">
      <c r="A1154" s="1" t="s">
        <v>6828</v>
      </c>
      <c r="B1154" s="1" t="s">
        <v>37</v>
      </c>
      <c r="C1154" s="1" t="s">
        <v>6829</v>
      </c>
      <c r="E1154" s="1" t="s">
        <v>6830</v>
      </c>
      <c r="F1154" s="1" t="s">
        <v>30</v>
      </c>
      <c r="G1154" s="1" t="s">
        <v>6820</v>
      </c>
      <c r="H1154" s="1">
        <v>2020.0</v>
      </c>
      <c r="I1154" s="1" t="s">
        <v>206</v>
      </c>
      <c r="J1154" s="1" t="s">
        <v>51</v>
      </c>
      <c r="K1154" s="1" t="s">
        <v>290</v>
      </c>
      <c r="L1154" s="1" t="s">
        <v>6831</v>
      </c>
      <c r="M1154" s="2" t="s">
        <v>12</v>
      </c>
      <c r="N1154" s="4">
        <f t="shared" si="1"/>
        <v>44285</v>
      </c>
      <c r="O1154" s="5" t="str">
        <f>IFERROR(__xludf.DUMMYFUNCTION("IF(REGEXMATCH(TRIM(I1154), ""^\d+\s*min""), ""Unclassified"", IF(I1154 = """", ""NR"", I1154))"),"TV-Y")</f>
        <v>TV-Y</v>
      </c>
      <c r="R1154" s="5" t="str">
        <f t="shared" si="2"/>
        <v>Rainbow High</v>
      </c>
      <c r="S1154" s="5" t="str">
        <f>IFERROR(__xludf.DUMMYFUNCTION("""COMPUTED_VALUE"""),"Bondi Rescue")</f>
        <v>Bondi Rescue</v>
      </c>
      <c r="U1154" s="5" t="str">
        <f>IFERROR(__xludf.DUMMYFUNCTION("""COMPUTED_VALUE"""),"Shaun Mir")</f>
        <v>Shaun Mir</v>
      </c>
      <c r="V1154" s="5" t="s">
        <v>6832</v>
      </c>
      <c r="W1154" s="5" t="str">
        <f t="shared" si="3"/>
        <v>Eduardo Pinto</v>
      </c>
      <c r="X1154" s="5">
        <f t="shared" si="4"/>
        <v>1</v>
      </c>
      <c r="Y1154" s="5" t="str">
        <f>IFERROR(__xludf.DUMMYFUNCTION("REGEXEXTRACT(J1154, ""^\d+"")"),"1")</f>
        <v>1</v>
      </c>
      <c r="Z1154" s="5" t="str">
        <f>IFERROR(__xludf.DUMMYFUNCTION("REGEXEXTRACT(J1154, ""[A-Za-z ]+$"")")," Season")</f>
        <v> Season</v>
      </c>
      <c r="AA1154" s="5" t="str">
        <f>IFERROR(__xludf.DUMMYFUNCTION("IF(REGEXMATCH(Z1154, ""Season""), ""TV Show"", ""Movie"")"),"TV Show")</f>
        <v>TV Show</v>
      </c>
    </row>
    <row r="1155">
      <c r="A1155" s="1" t="s">
        <v>6833</v>
      </c>
      <c r="B1155" s="1" t="s">
        <v>27</v>
      </c>
      <c r="C1155" s="1" t="s">
        <v>6834</v>
      </c>
      <c r="D1155" s="1" t="s">
        <v>6835</v>
      </c>
      <c r="E1155" s="1" t="s">
        <v>6836</v>
      </c>
      <c r="F1155" s="1" t="s">
        <v>6837</v>
      </c>
      <c r="G1155" s="1" t="s">
        <v>6838</v>
      </c>
      <c r="H1155" s="1">
        <v>2013.0</v>
      </c>
      <c r="I1155" s="1" t="s">
        <v>32</v>
      </c>
      <c r="J1155" s="1" t="s">
        <v>2274</v>
      </c>
      <c r="K1155" s="1" t="s">
        <v>128</v>
      </c>
      <c r="L1155" s="1" t="s">
        <v>6839</v>
      </c>
      <c r="M1155" s="2" t="s">
        <v>12</v>
      </c>
      <c r="N1155" s="4">
        <f t="shared" si="1"/>
        <v>44284</v>
      </c>
      <c r="O1155" s="5" t="str">
        <f>IFERROR(__xludf.DUMMYFUNCTION("IF(REGEXMATCH(TRIM(I1155), ""^\d+\s*min""), ""Unclassified"", IF(I1155 = """", ""NR"", I1155))"),"PG-13")</f>
        <v>PG-13</v>
      </c>
      <c r="R1155" s="5" t="str">
        <f t="shared" si="2"/>
        <v>Mandela: Long Walk To Freedom</v>
      </c>
      <c r="S1155" s="5" t="str">
        <f>IFERROR(__xludf.DUMMYFUNCTION("""COMPUTED_VALUE"""),"Bonding")</f>
        <v>Bonding</v>
      </c>
      <c r="U1155" s="5" t="str">
        <f>IFERROR(__xludf.DUMMYFUNCTION("""COMPUTED_VALUE"""),"Satish Rajwade")</f>
        <v>Satish Rajwade</v>
      </c>
      <c r="V1155" s="5" t="s">
        <v>6840</v>
      </c>
      <c r="W1155" s="5" t="str">
        <f t="shared" si="3"/>
        <v>Eduardo Roy Jr.</v>
      </c>
      <c r="X1155" s="5">
        <f t="shared" si="4"/>
        <v>2</v>
      </c>
      <c r="Y1155" s="5" t="str">
        <f>IFERROR(__xludf.DUMMYFUNCTION("REGEXEXTRACT(J1155, ""^\d+"")"),"141")</f>
        <v>141</v>
      </c>
      <c r="Z1155" s="5" t="str">
        <f>IFERROR(__xludf.DUMMYFUNCTION("REGEXEXTRACT(J1155, ""[A-Za-z ]+$"")")," min")</f>
        <v> min</v>
      </c>
      <c r="AA1155" s="5" t="str">
        <f>IFERROR(__xludf.DUMMYFUNCTION("IF(REGEXMATCH(Z1155, ""Season""), ""TV Show"", ""Movie"")"),"Movie")</f>
        <v>Movie</v>
      </c>
    </row>
    <row r="1156">
      <c r="A1156" s="1" t="s">
        <v>6841</v>
      </c>
      <c r="B1156" s="1" t="s">
        <v>27</v>
      </c>
      <c r="C1156" s="1" t="s">
        <v>6842</v>
      </c>
      <c r="D1156" s="1" t="s">
        <v>6843</v>
      </c>
      <c r="E1156" s="1" t="s">
        <v>6844</v>
      </c>
      <c r="F1156" s="1" t="s">
        <v>30</v>
      </c>
      <c r="G1156" s="1" t="s">
        <v>6845</v>
      </c>
      <c r="H1156" s="1">
        <v>2012.0</v>
      </c>
      <c r="I1156" s="1" t="s">
        <v>378</v>
      </c>
      <c r="J1156" s="1" t="s">
        <v>349</v>
      </c>
      <c r="K1156" s="1" t="s">
        <v>805</v>
      </c>
      <c r="L1156" s="1" t="s">
        <v>6846</v>
      </c>
      <c r="M1156" s="2" t="s">
        <v>12</v>
      </c>
      <c r="N1156" s="4">
        <f t="shared" si="1"/>
        <v>44283</v>
      </c>
      <c r="O1156" s="5" t="str">
        <f>IFERROR(__xludf.DUMMYFUNCTION("IF(REGEXMATCH(TRIM(I1156), ""^\d+\s*min""), ""Unclassified"", IF(I1156 = """", ""NR"", I1156))"),"R")</f>
        <v>R</v>
      </c>
      <c r="R1156" s="5" t="str">
        <f t="shared" si="2"/>
        <v>Lawless</v>
      </c>
      <c r="S1156" s="5" t="str">
        <f>IFERROR(__xludf.DUMMYFUNCTION("""COMPUTED_VALUE"""),"Bonnie And Clyde")</f>
        <v>Bonnie And Clyde</v>
      </c>
      <c r="U1156" s="5" t="str">
        <f>IFERROR(__xludf.DUMMYFUNCTION("""COMPUTED_VALUE"""),"Abhijeet Deshpande")</f>
        <v>Abhijeet Deshpande</v>
      </c>
      <c r="V1156" s="5" t="s">
        <v>6847</v>
      </c>
      <c r="W1156" s="5" t="str">
        <f t="shared" si="3"/>
        <v>Edward Cotterill</v>
      </c>
      <c r="X1156" s="5">
        <f t="shared" si="4"/>
        <v>4</v>
      </c>
      <c r="Y1156" s="5" t="str">
        <f>IFERROR(__xludf.DUMMYFUNCTION("REGEXEXTRACT(J1156, ""^\d+"")"),"116")</f>
        <v>116</v>
      </c>
      <c r="Z1156" s="5" t="str">
        <f>IFERROR(__xludf.DUMMYFUNCTION("REGEXEXTRACT(J1156, ""[A-Za-z ]+$"")")," min")</f>
        <v> min</v>
      </c>
      <c r="AA1156" s="5" t="str">
        <f>IFERROR(__xludf.DUMMYFUNCTION("IF(REGEXMATCH(Z1156, ""Season""), ""TV Show"", ""Movie"")"),"Movie")</f>
        <v>Movie</v>
      </c>
    </row>
    <row r="1157">
      <c r="A1157" s="1" t="s">
        <v>6848</v>
      </c>
      <c r="B1157" s="1" t="s">
        <v>27</v>
      </c>
      <c r="C1157" s="1" t="s">
        <v>6849</v>
      </c>
      <c r="D1157" s="1" t="s">
        <v>6850</v>
      </c>
      <c r="F1157" s="1" t="s">
        <v>400</v>
      </c>
      <c r="G1157" s="1" t="s">
        <v>6845</v>
      </c>
      <c r="H1157" s="1">
        <v>2021.0</v>
      </c>
      <c r="I1157" s="1" t="s">
        <v>136</v>
      </c>
      <c r="J1157" s="1" t="s">
        <v>6851</v>
      </c>
      <c r="K1157" s="1" t="s">
        <v>156</v>
      </c>
      <c r="L1157" s="1" t="s">
        <v>6852</v>
      </c>
      <c r="M1157" s="2" t="s">
        <v>12</v>
      </c>
      <c r="N1157" s="4">
        <f t="shared" si="1"/>
        <v>44283</v>
      </c>
      <c r="O1157" s="5" t="str">
        <f>IFERROR(__xludf.DUMMYFUNCTION("IF(REGEXMATCH(TRIM(I1157), ""^\d+\s*min""), ""Unclassified"", IF(I1157 = """", ""NR"", I1157))"),"TV-PG")</f>
        <v>TV-PG</v>
      </c>
      <c r="R1157" s="5" t="str">
        <f t="shared" si="2"/>
        <v>Marked</v>
      </c>
      <c r="S1157" s="5" t="str">
        <f>IFERROR(__xludf.DUMMYFUNCTION("""COMPUTED_VALUE"""),"Bonus Family")</f>
        <v>Bonus Family</v>
      </c>
      <c r="U1157" s="5" t="str">
        <f>IFERROR(__xludf.DUMMYFUNCTION("""COMPUTED_VALUE"""),"Mahesh Manjrekar")</f>
        <v>Mahesh Manjrekar</v>
      </c>
      <c r="V1157" s="5" t="s">
        <v>2780</v>
      </c>
      <c r="W1157" s="5" t="str">
        <f t="shared" si="3"/>
        <v>Edward Drake</v>
      </c>
      <c r="X1157" s="5">
        <f t="shared" si="4"/>
        <v>1</v>
      </c>
      <c r="Y1157" s="5" t="str">
        <f>IFERROR(__xludf.DUMMYFUNCTION("REGEXEXTRACT(J1157, ""^\d+"")"),"21")</f>
        <v>21</v>
      </c>
      <c r="Z1157" s="5" t="str">
        <f>IFERROR(__xludf.DUMMYFUNCTION("REGEXEXTRACT(J1157, ""[A-Za-z ]+$"")")," min")</f>
        <v> min</v>
      </c>
      <c r="AA1157" s="5" t="str">
        <f>IFERROR(__xludf.DUMMYFUNCTION("IF(REGEXMATCH(Z1157, ""Season""), ""TV Show"", ""Movie"")"),"Movie")</f>
        <v>Movie</v>
      </c>
    </row>
    <row r="1158">
      <c r="A1158" s="1" t="s">
        <v>6853</v>
      </c>
      <c r="B1158" s="1" t="s">
        <v>27</v>
      </c>
      <c r="C1158" s="1" t="s">
        <v>6854</v>
      </c>
      <c r="D1158" s="1" t="s">
        <v>6855</v>
      </c>
      <c r="E1158" s="1" t="s">
        <v>6856</v>
      </c>
      <c r="F1158" s="1" t="s">
        <v>30</v>
      </c>
      <c r="G1158" s="1" t="s">
        <v>6857</v>
      </c>
      <c r="H1158" s="1">
        <v>2021.0</v>
      </c>
      <c r="I1158" s="1" t="s">
        <v>136</v>
      </c>
      <c r="J1158" s="1" t="s">
        <v>357</v>
      </c>
      <c r="K1158" s="1" t="s">
        <v>6858</v>
      </c>
      <c r="L1158" s="1" t="s">
        <v>6859</v>
      </c>
      <c r="M1158" s="2" t="s">
        <v>12</v>
      </c>
      <c r="N1158" s="4">
        <f t="shared" si="1"/>
        <v>44281</v>
      </c>
      <c r="O1158" s="5" t="str">
        <f>IFERROR(__xludf.DUMMYFUNCTION("IF(REGEXMATCH(TRIM(I1158), ""^\d+\s*min""), ""Unclassified"", IF(I1158 = """", ""NR"", I1158))"),"TV-PG")</f>
        <v>TV-PG</v>
      </c>
      <c r="R1158" s="5" t="str">
        <f t="shared" si="2"/>
        <v>A Week Away</v>
      </c>
      <c r="S1158" s="5" t="str">
        <f>IFERROR(__xludf.DUMMYFUNCTION("""COMPUTED_VALUE"""),"Booba")</f>
        <v>Booba</v>
      </c>
      <c r="U1158" s="5" t="str">
        <f>IFERROR(__xludf.DUMMYFUNCTION("""COMPUTED_VALUE"""),"Prakash Kunte")</f>
        <v>Prakash Kunte</v>
      </c>
      <c r="V1158" s="5" t="s">
        <v>6860</v>
      </c>
      <c r="W1158" s="5" t="str">
        <f t="shared" si="3"/>
        <v>Edward Ellis, Flor Salcedo, Aaron Woolf</v>
      </c>
      <c r="X1158" s="5">
        <f t="shared" si="4"/>
        <v>1</v>
      </c>
      <c r="Y1158" s="5" t="str">
        <f>IFERROR(__xludf.DUMMYFUNCTION("REGEXEXTRACT(J1158, ""^\d+"")"),"98")</f>
        <v>98</v>
      </c>
      <c r="Z1158" s="5" t="str">
        <f>IFERROR(__xludf.DUMMYFUNCTION("REGEXEXTRACT(J1158, ""[A-Za-z ]+$"")")," min")</f>
        <v> min</v>
      </c>
      <c r="AA1158" s="5" t="str">
        <f>IFERROR(__xludf.DUMMYFUNCTION("IF(REGEXMATCH(Z1158, ""Season""), ""TV Show"", ""Movie"")"),"Movie")</f>
        <v>Movie</v>
      </c>
    </row>
    <row r="1159">
      <c r="A1159" s="1" t="s">
        <v>6861</v>
      </c>
      <c r="B1159" s="1" t="s">
        <v>27</v>
      </c>
      <c r="C1159" s="1" t="s">
        <v>6862</v>
      </c>
      <c r="E1159" s="1" t="s">
        <v>6863</v>
      </c>
      <c r="F1159" s="1" t="s">
        <v>30</v>
      </c>
      <c r="G1159" s="1" t="s">
        <v>6857</v>
      </c>
      <c r="H1159" s="1">
        <v>2021.0</v>
      </c>
      <c r="I1159" s="1" t="s">
        <v>42</v>
      </c>
      <c r="J1159" s="1" t="s">
        <v>630</v>
      </c>
      <c r="K1159" s="1" t="s">
        <v>239</v>
      </c>
      <c r="L1159" s="1" t="s">
        <v>6864</v>
      </c>
      <c r="M1159" s="2" t="s">
        <v>12</v>
      </c>
      <c r="N1159" s="4">
        <f t="shared" si="1"/>
        <v>44281</v>
      </c>
      <c r="O1159" s="5" t="str">
        <f>IFERROR(__xludf.DUMMYFUNCTION("IF(REGEXMATCH(TRIM(I1159), ""^\d+\s*min""), ""Unclassified"", IF(I1159 = """", ""NR"", I1159))"),"TV-MA")</f>
        <v>TV-MA</v>
      </c>
      <c r="R1159" s="5" t="str">
        <f t="shared" si="2"/>
        <v>Bad Trip</v>
      </c>
      <c r="S1159" s="5" t="str">
        <f>IFERROR(__xludf.DUMMYFUNCTION("""COMPUTED_VALUE"""),"Booba: Food Puzzle")</f>
        <v>Booba: Food Puzzle</v>
      </c>
      <c r="U1159" s="5" t="str">
        <f>IFERROR(__xludf.DUMMYFUNCTION("""COMPUTED_VALUE"""),"Manish Saini")</f>
        <v>Manish Saini</v>
      </c>
      <c r="V1159" s="5" t="s">
        <v>6066</v>
      </c>
      <c r="W1159" s="5" t="str">
        <f t="shared" si="3"/>
        <v>Edward James Olmos</v>
      </c>
      <c r="X1159" s="5">
        <f t="shared" si="4"/>
        <v>1</v>
      </c>
      <c r="Y1159" s="5" t="str">
        <f>IFERROR(__xludf.DUMMYFUNCTION("REGEXEXTRACT(J1159, ""^\d+"")"),"87")</f>
        <v>87</v>
      </c>
      <c r="Z1159" s="5" t="str">
        <f>IFERROR(__xludf.DUMMYFUNCTION("REGEXEXTRACT(J1159, ""[A-Za-z ]+$"")")," min")</f>
        <v> min</v>
      </c>
      <c r="AA1159" s="5" t="str">
        <f>IFERROR(__xludf.DUMMYFUNCTION("IF(REGEXMATCH(Z1159, ""Season""), ""TV Show"", ""Movie"")"),"Movie")</f>
        <v>Movie</v>
      </c>
    </row>
    <row r="1160">
      <c r="A1160" s="1" t="s">
        <v>6865</v>
      </c>
      <c r="B1160" s="1" t="s">
        <v>37</v>
      </c>
      <c r="C1160" s="1" t="s">
        <v>6866</v>
      </c>
      <c r="E1160" s="1" t="s">
        <v>6867</v>
      </c>
      <c r="F1160" s="1" t="s">
        <v>30</v>
      </c>
      <c r="G1160" s="1" t="s">
        <v>6857</v>
      </c>
      <c r="H1160" s="1">
        <v>2013.0</v>
      </c>
      <c r="I1160" s="1" t="s">
        <v>506</v>
      </c>
      <c r="J1160" s="1" t="s">
        <v>148</v>
      </c>
      <c r="K1160" s="1" t="s">
        <v>290</v>
      </c>
      <c r="L1160" s="1" t="s">
        <v>6868</v>
      </c>
      <c r="M1160" s="2" t="s">
        <v>12</v>
      </c>
      <c r="N1160" s="4">
        <f t="shared" si="1"/>
        <v>44281</v>
      </c>
      <c r="O1160" s="5" t="str">
        <f>IFERROR(__xludf.DUMMYFUNCTION("IF(REGEXMATCH(TRIM(I1160), ""^\d+\s*min""), ""Unclassified"", IF(I1160 = """", ""NR"", I1160))"),"TV-G")</f>
        <v>TV-G</v>
      </c>
      <c r="R1160" s="5" t="str">
        <f t="shared" si="2"/>
        <v>Big Time Rush</v>
      </c>
      <c r="S1160" s="5" t="str">
        <f>IFERROR(__xludf.DUMMYFUNCTION("""COMPUTED_VALUE"""),"Boogie Nights")</f>
        <v>Boogie Nights</v>
      </c>
      <c r="U1160" s="5" t="str">
        <f>IFERROR(__xludf.DUMMYFUNCTION("""COMPUTED_VALUE"""),"Kenny Ortega")</f>
        <v>Kenny Ortega</v>
      </c>
      <c r="V1160" s="5" t="s">
        <v>6869</v>
      </c>
      <c r="W1160" s="5" t="str">
        <f t="shared" si="3"/>
        <v>Edward Zwick</v>
      </c>
      <c r="X1160" s="5">
        <f t="shared" si="4"/>
        <v>1</v>
      </c>
      <c r="Y1160" s="5" t="str">
        <f>IFERROR(__xludf.DUMMYFUNCTION("REGEXEXTRACT(J1160, ""^\d+"")"),"4")</f>
        <v>4</v>
      </c>
      <c r="Z1160" s="5" t="str">
        <f>IFERROR(__xludf.DUMMYFUNCTION("REGEXEXTRACT(J1160, ""[A-Za-z ]+$"")")," Seasons")</f>
        <v> Seasons</v>
      </c>
      <c r="AA1160" s="5" t="str">
        <f>IFERROR(__xludf.DUMMYFUNCTION("IF(REGEXMATCH(Z1160, ""Season""), ""TV Show"", ""Movie"")"),"TV Show")</f>
        <v>TV Show</v>
      </c>
    </row>
    <row r="1161">
      <c r="A1161" s="1" t="s">
        <v>6870</v>
      </c>
      <c r="B1161" s="1" t="s">
        <v>27</v>
      </c>
      <c r="C1161" s="1" t="s">
        <v>6871</v>
      </c>
      <c r="D1161" s="1" t="s">
        <v>6872</v>
      </c>
      <c r="E1161" s="1" t="s">
        <v>6873</v>
      </c>
      <c r="G1161" s="1" t="s">
        <v>6857</v>
      </c>
      <c r="H1161" s="1">
        <v>2018.0</v>
      </c>
      <c r="I1161" s="1" t="s">
        <v>42</v>
      </c>
      <c r="J1161" s="1" t="s">
        <v>630</v>
      </c>
      <c r="K1161" s="1" t="s">
        <v>128</v>
      </c>
      <c r="L1161" s="1" t="s">
        <v>6874</v>
      </c>
      <c r="M1161" s="2" t="s">
        <v>12</v>
      </c>
      <c r="N1161" s="4">
        <f t="shared" si="1"/>
        <v>44281</v>
      </c>
      <c r="O1161" s="5" t="str">
        <f>IFERROR(__xludf.DUMMYFUNCTION("IF(REGEXMATCH(TRIM(I1161), ""^\d+\s*min""), ""Unclassified"", IF(I1161 = """", ""NR"", I1161))"),"TV-MA")</f>
        <v>TV-MA</v>
      </c>
      <c r="R1161" s="5" t="str">
        <f t="shared" si="2"/>
        <v>Black Is Beltza</v>
      </c>
      <c r="S1161" s="5" t="str">
        <f>IFERROR(__xludf.DUMMYFUNCTION("""COMPUTED_VALUE"""),"Bookmarks")</f>
        <v>Bookmarks</v>
      </c>
      <c r="U1161" s="5" t="str">
        <f>IFERROR(__xludf.DUMMYFUNCTION("""COMPUTED_VALUE"""),"Makarand Mane")</f>
        <v>Makarand Mane</v>
      </c>
      <c r="V1161" s="5" t="s">
        <v>6875</v>
      </c>
      <c r="W1161" s="5" t="str">
        <f t="shared" si="3"/>
        <v>Edwin</v>
      </c>
      <c r="X1161" s="5">
        <f t="shared" si="4"/>
        <v>2</v>
      </c>
      <c r="Y1161" s="5" t="str">
        <f>IFERROR(__xludf.DUMMYFUNCTION("REGEXEXTRACT(J1161, ""^\d+"")"),"87")</f>
        <v>87</v>
      </c>
      <c r="Z1161" s="5" t="str">
        <f>IFERROR(__xludf.DUMMYFUNCTION("REGEXEXTRACT(J1161, ""[A-Za-z ]+$"")")," min")</f>
        <v> min</v>
      </c>
      <c r="AA1161" s="5" t="str">
        <f>IFERROR(__xludf.DUMMYFUNCTION("IF(REGEXMATCH(Z1161, ""Season""), ""TV Show"", ""Movie"")"),"Movie")</f>
        <v>Movie</v>
      </c>
    </row>
    <row r="1162">
      <c r="A1162" s="1" t="s">
        <v>6876</v>
      </c>
      <c r="B1162" s="1" t="s">
        <v>27</v>
      </c>
      <c r="C1162" s="1" t="s">
        <v>6877</v>
      </c>
      <c r="D1162" s="1" t="s">
        <v>6878</v>
      </c>
      <c r="E1162" s="1" t="s">
        <v>6879</v>
      </c>
      <c r="F1162" s="1" t="s">
        <v>6880</v>
      </c>
      <c r="G1162" s="1" t="s">
        <v>6857</v>
      </c>
      <c r="H1162" s="1">
        <v>1998.0</v>
      </c>
      <c r="I1162" s="1" t="s">
        <v>42</v>
      </c>
      <c r="J1162" s="1" t="s">
        <v>465</v>
      </c>
      <c r="K1162" s="1" t="s">
        <v>2327</v>
      </c>
      <c r="L1162" s="1" t="s">
        <v>6881</v>
      </c>
      <c r="M1162" s="2" t="s">
        <v>12</v>
      </c>
      <c r="N1162" s="4">
        <f t="shared" si="1"/>
        <v>44281</v>
      </c>
      <c r="O1162" s="5" t="str">
        <f>IFERROR(__xludf.DUMMYFUNCTION("IF(REGEXMATCH(TRIM(I1162), ""^\d+\s*min""), ""Unclassified"", IF(I1162 = """", ""NR"", I1162))"),"TV-MA")</f>
        <v>TV-MA</v>
      </c>
      <c r="R1162" s="5" t="str">
        <f t="shared" si="2"/>
        <v>Croupier</v>
      </c>
      <c r="S1162" s="5" t="str">
        <f>IFERROR(__xludf.DUMMYFUNCTION("""COMPUTED_VALUE"""),"Boom")</f>
        <v>Boom</v>
      </c>
      <c r="U1162" s="5" t="str">
        <f>IFERROR(__xludf.DUMMYFUNCTION("""COMPUTED_VALUE"""),"Vijay Maurya")</f>
        <v>Vijay Maurya</v>
      </c>
      <c r="V1162" s="5" t="s">
        <v>6882</v>
      </c>
      <c r="W1162" s="5" t="str">
        <f t="shared" si="3"/>
        <v>Eeshwar Nivas</v>
      </c>
      <c r="X1162" s="5">
        <f t="shared" si="4"/>
        <v>1</v>
      </c>
      <c r="Y1162" s="5" t="str">
        <f>IFERROR(__xludf.DUMMYFUNCTION("REGEXEXTRACT(J1162, ""^\d+"")"),"95")</f>
        <v>95</v>
      </c>
      <c r="Z1162" s="5" t="str">
        <f>IFERROR(__xludf.DUMMYFUNCTION("REGEXEXTRACT(J1162, ""[A-Za-z ]+$"")")," min")</f>
        <v> min</v>
      </c>
      <c r="AA1162" s="5" t="str">
        <f>IFERROR(__xludf.DUMMYFUNCTION("IF(REGEXMATCH(Z1162, ""Season""), ""TV Show"", ""Movie"")"),"Movie")</f>
        <v>Movie</v>
      </c>
    </row>
    <row r="1163">
      <c r="A1163" s="1" t="s">
        <v>6883</v>
      </c>
      <c r="B1163" s="1" t="s">
        <v>27</v>
      </c>
      <c r="C1163" s="1" t="s">
        <v>6884</v>
      </c>
      <c r="F1163" s="1" t="s">
        <v>96</v>
      </c>
      <c r="G1163" s="1" t="s">
        <v>6857</v>
      </c>
      <c r="H1163" s="1">
        <v>2020.0</v>
      </c>
      <c r="I1163" s="1" t="s">
        <v>136</v>
      </c>
      <c r="J1163" s="1" t="s">
        <v>630</v>
      </c>
      <c r="K1163" s="1" t="s">
        <v>34</v>
      </c>
      <c r="L1163" s="1" t="s">
        <v>6885</v>
      </c>
      <c r="M1163" s="2" t="s">
        <v>12</v>
      </c>
      <c r="N1163" s="4">
        <f t="shared" si="1"/>
        <v>44281</v>
      </c>
      <c r="O1163" s="5" t="str">
        <f>IFERROR(__xludf.DUMMYFUNCTION("IF(REGEXMATCH(TRIM(I1163), ""^\d+\s*min""), ""Unclassified"", IF(I1163 = """", ""NR"", I1163))"),"TV-PG")</f>
        <v>TV-PG</v>
      </c>
      <c r="R1163" s="5" t="str">
        <f t="shared" si="2"/>
        <v>Elizabeth And Margaret: Love And Loyalty</v>
      </c>
      <c r="S1163" s="5" t="str">
        <f>IFERROR(__xludf.DUMMYFUNCTION("""COMPUTED_VALUE"""),"Boomika")</f>
        <v>Boomika</v>
      </c>
      <c r="U1163" s="5" t="str">
        <f>IFERROR(__xludf.DUMMYFUNCTION("""COMPUTED_VALUE"""),"Sameer Patil")</f>
        <v>Sameer Patil</v>
      </c>
      <c r="V1163" s="5" t="s">
        <v>6886</v>
      </c>
      <c r="W1163" s="5" t="str">
        <f t="shared" si="3"/>
        <v>Ehtesham Uddin</v>
      </c>
      <c r="X1163" s="5">
        <f t="shared" si="4"/>
        <v>1</v>
      </c>
      <c r="Y1163" s="5" t="str">
        <f>IFERROR(__xludf.DUMMYFUNCTION("REGEXEXTRACT(J1163, ""^\d+"")"),"87")</f>
        <v>87</v>
      </c>
      <c r="Z1163" s="5" t="str">
        <f>IFERROR(__xludf.DUMMYFUNCTION("REGEXEXTRACT(J1163, ""[A-Za-z ]+$"")")," min")</f>
        <v> min</v>
      </c>
      <c r="AA1163" s="5" t="str">
        <f>IFERROR(__xludf.DUMMYFUNCTION("IF(REGEXMATCH(Z1163, ""Season""), ""TV Show"", ""Movie"")"),"Movie")</f>
        <v>Movie</v>
      </c>
    </row>
    <row r="1164">
      <c r="A1164" s="1" t="s">
        <v>6887</v>
      </c>
      <c r="B1164" s="1" t="s">
        <v>27</v>
      </c>
      <c r="C1164" s="1" t="s">
        <v>6888</v>
      </c>
      <c r="D1164" s="1" t="s">
        <v>6889</v>
      </c>
      <c r="E1164" s="1" t="s">
        <v>6890</v>
      </c>
      <c r="F1164" s="1" t="s">
        <v>188</v>
      </c>
      <c r="G1164" s="1" t="s">
        <v>6857</v>
      </c>
      <c r="H1164" s="1">
        <v>2020.0</v>
      </c>
      <c r="I1164" s="1" t="s">
        <v>97</v>
      </c>
      <c r="J1164" s="1" t="s">
        <v>454</v>
      </c>
      <c r="K1164" s="1" t="s">
        <v>128</v>
      </c>
      <c r="L1164" s="1" t="s">
        <v>6891</v>
      </c>
      <c r="M1164" s="2" t="s">
        <v>12</v>
      </c>
      <c r="N1164" s="4">
        <f t="shared" si="1"/>
        <v>44281</v>
      </c>
      <c r="O1164" s="5" t="str">
        <f>IFERROR(__xludf.DUMMYFUNCTION("IF(REGEXMATCH(TRIM(I1164), ""^\d+\s*min""), ""Unclassified"", IF(I1164 = """", ""NR"", I1164))"),"TV-14")</f>
        <v>TV-14</v>
      </c>
      <c r="R1164" s="5" t="str">
        <f t="shared" si="2"/>
        <v>Keeping The Bees</v>
      </c>
      <c r="S1164" s="5" t="str">
        <f>IFERROR(__xludf.DUMMYFUNCTION("""COMPUTED_VALUE"""),"Boomika (Hindi)")</f>
        <v>Boomika (Hindi)</v>
      </c>
      <c r="U1164" s="5" t="str">
        <f>IFERROR(__xludf.DUMMYFUNCTION("""COMPUTED_VALUE"""),"Kenzo Maihara, Amandha Wyanto")</f>
        <v>Kenzo Maihara, Amandha Wyanto</v>
      </c>
      <c r="V1164" s="5" t="s">
        <v>6892</v>
      </c>
      <c r="W1164" s="5" t="str">
        <f t="shared" si="3"/>
        <v>Einar Gabbassov</v>
      </c>
      <c r="X1164" s="5">
        <f t="shared" si="4"/>
        <v>1</v>
      </c>
      <c r="Y1164" s="5" t="str">
        <f>IFERROR(__xludf.DUMMYFUNCTION("REGEXEXTRACT(J1164, ""^\d+"")"),"93")</f>
        <v>93</v>
      </c>
      <c r="Z1164" s="5" t="str">
        <f>IFERROR(__xludf.DUMMYFUNCTION("REGEXEXTRACT(J1164, ""[A-Za-z ]+$"")")," min")</f>
        <v> min</v>
      </c>
      <c r="AA1164" s="5" t="str">
        <f>IFERROR(__xludf.DUMMYFUNCTION("IF(REGEXMATCH(Z1164, ""Season""), ""TV Show"", ""Movie"")"),"Movie")</f>
        <v>Movie</v>
      </c>
    </row>
    <row r="1165">
      <c r="A1165" s="1" t="s">
        <v>6893</v>
      </c>
      <c r="B1165" s="1" t="s">
        <v>37</v>
      </c>
      <c r="C1165" s="1" t="s">
        <v>6894</v>
      </c>
      <c r="E1165" s="1" t="s">
        <v>2366</v>
      </c>
      <c r="F1165" s="1" t="s">
        <v>784</v>
      </c>
      <c r="G1165" s="1" t="s">
        <v>6857</v>
      </c>
      <c r="H1165" s="1">
        <v>2021.0</v>
      </c>
      <c r="I1165" s="1" t="s">
        <v>42</v>
      </c>
      <c r="J1165" s="1" t="s">
        <v>51</v>
      </c>
      <c r="K1165" s="1" t="s">
        <v>4146</v>
      </c>
      <c r="L1165" s="1" t="s">
        <v>6895</v>
      </c>
      <c r="M1165" s="2" t="s">
        <v>12</v>
      </c>
      <c r="N1165" s="4">
        <f t="shared" si="1"/>
        <v>44281</v>
      </c>
      <c r="O1165" s="5" t="str">
        <f>IFERROR(__xludf.DUMMYFUNCTION("IF(REGEXMATCH(TRIM(I1165), ""^\d+\s*min""), ""Unclassified"", IF(I1165 = """", ""NR"", I1165))"),"TV-MA")</f>
        <v>TV-MA</v>
      </c>
      <c r="R1165" s="5" t="str">
        <f t="shared" si="2"/>
        <v>Magic For Humans Spain</v>
      </c>
      <c r="S1165" s="5" t="str">
        <f>IFERROR(__xludf.DUMMYFUNCTION("""COMPUTED_VALUE"""),"Boomika (Malayalam)")</f>
        <v>Boomika (Malayalam)</v>
      </c>
      <c r="U1165" s="5" t="str">
        <f>IFERROR(__xludf.DUMMYFUNCTION("""COMPUTED_VALUE"""),"Ahmed Nader Galal")</f>
        <v>Ahmed Nader Galal</v>
      </c>
      <c r="V1165" s="5" t="s">
        <v>6896</v>
      </c>
      <c r="W1165" s="5" t="str">
        <f t="shared" si="3"/>
        <v>Ekachai Uekrongtham</v>
      </c>
      <c r="X1165" s="5">
        <f t="shared" si="4"/>
        <v>1</v>
      </c>
      <c r="Y1165" s="5" t="str">
        <f>IFERROR(__xludf.DUMMYFUNCTION("REGEXEXTRACT(J1165, ""^\d+"")"),"1")</f>
        <v>1</v>
      </c>
      <c r="Z1165" s="5" t="str">
        <f>IFERROR(__xludf.DUMMYFUNCTION("REGEXEXTRACT(J1165, ""[A-Za-z ]+$"")")," Season")</f>
        <v> Season</v>
      </c>
      <c r="AA1165" s="5" t="str">
        <f>IFERROR(__xludf.DUMMYFUNCTION("IF(REGEXMATCH(Z1165, ""Season""), ""TV Show"", ""Movie"")"),"TV Show")</f>
        <v>TV Show</v>
      </c>
    </row>
    <row r="1166">
      <c r="A1166" s="1" t="s">
        <v>6897</v>
      </c>
      <c r="B1166" s="1" t="s">
        <v>27</v>
      </c>
      <c r="C1166" s="1" t="s">
        <v>6898</v>
      </c>
      <c r="D1166" s="1" t="s">
        <v>6899</v>
      </c>
      <c r="E1166" s="1" t="s">
        <v>6900</v>
      </c>
      <c r="F1166" s="1" t="s">
        <v>784</v>
      </c>
      <c r="G1166" s="1" t="s">
        <v>6857</v>
      </c>
      <c r="H1166" s="1">
        <v>2020.0</v>
      </c>
      <c r="I1166" s="1" t="s">
        <v>42</v>
      </c>
      <c r="J1166" s="1" t="s">
        <v>247</v>
      </c>
      <c r="K1166" s="1" t="s">
        <v>199</v>
      </c>
      <c r="L1166" s="1" t="s">
        <v>6901</v>
      </c>
      <c r="M1166" s="2" t="s">
        <v>12</v>
      </c>
      <c r="N1166" s="4">
        <f t="shared" si="1"/>
        <v>44281</v>
      </c>
      <c r="O1166" s="5" t="str">
        <f>IFERROR(__xludf.DUMMYFUNCTION("IF(REGEXMATCH(TRIM(I1166), ""^\d+\s*min""), ""Unclassified"", IF(I1166 = """", ""NR"", I1166))"),"TV-MA")</f>
        <v>TV-MA</v>
      </c>
      <c r="R1166" s="5" t="str">
        <f t="shared" si="2"/>
        <v>Ni De Coña</v>
      </c>
      <c r="S1166" s="5" t="str">
        <f>IFERROR(__xludf.DUMMYFUNCTION("""COMPUTED_VALUE"""),"Boomika (Telugu)")</f>
        <v>Boomika (Telugu)</v>
      </c>
      <c r="U1166" s="5" t="str">
        <f>IFERROR(__xludf.DUMMYFUNCTION("""COMPUTED_VALUE"""),"Arati Kadav")</f>
        <v>Arati Kadav</v>
      </c>
      <c r="V1166" s="5" t="s">
        <v>5024</v>
      </c>
      <c r="W1166" s="5" t="str">
        <f t="shared" si="3"/>
        <v>Ekene Som Mekwunye</v>
      </c>
      <c r="X1166" s="5">
        <f t="shared" si="4"/>
        <v>2</v>
      </c>
      <c r="Y1166" s="5" t="str">
        <f>IFERROR(__xludf.DUMMYFUNCTION("REGEXEXTRACT(J1166, ""^\d+"")"),"97")</f>
        <v>97</v>
      </c>
      <c r="Z1166" s="5" t="str">
        <f>IFERROR(__xludf.DUMMYFUNCTION("REGEXEXTRACT(J1166, ""[A-Za-z ]+$"")")," min")</f>
        <v> min</v>
      </c>
      <c r="AA1166" s="5" t="str">
        <f>IFERROR(__xludf.DUMMYFUNCTION("IF(REGEXMATCH(Z1166, ""Season""), ""TV Show"", ""Movie"")"),"Movie")</f>
        <v>Movie</v>
      </c>
    </row>
    <row r="1167">
      <c r="A1167" s="1" t="s">
        <v>6902</v>
      </c>
      <c r="B1167" s="1" t="s">
        <v>27</v>
      </c>
      <c r="C1167" s="1" t="s">
        <v>6903</v>
      </c>
      <c r="D1167" s="1" t="s">
        <v>6904</v>
      </c>
      <c r="E1167" s="1" t="s">
        <v>6905</v>
      </c>
      <c r="F1167" s="1" t="s">
        <v>63</v>
      </c>
      <c r="G1167" s="1" t="s">
        <v>6857</v>
      </c>
      <c r="H1167" s="1">
        <v>2021.0</v>
      </c>
      <c r="I1167" s="1" t="s">
        <v>136</v>
      </c>
      <c r="J1167" s="1" t="s">
        <v>835</v>
      </c>
      <c r="K1167" s="1" t="s">
        <v>583</v>
      </c>
      <c r="L1167" s="1" t="s">
        <v>6906</v>
      </c>
      <c r="M1167" s="2" t="s">
        <v>12</v>
      </c>
      <c r="N1167" s="4">
        <f t="shared" si="1"/>
        <v>44281</v>
      </c>
      <c r="O1167" s="5" t="str">
        <f>IFERROR(__xludf.DUMMYFUNCTION("IF(REGEXMATCH(TRIM(I1167), ""^\d+\s*min""), ""Unclassified"", IF(I1167 = """", ""NR"", I1167))"),"TV-PG")</f>
        <v>TV-PG</v>
      </c>
      <c r="R1167" s="5" t="str">
        <f t="shared" si="2"/>
        <v>Pagglait</v>
      </c>
      <c r="S1167" s="5" t="str">
        <f>IFERROR(__xludf.DUMMYFUNCTION("""COMPUTED_VALUE"""),"Border Patrol")</f>
        <v>Border Patrol</v>
      </c>
      <c r="U1167" s="5" t="str">
        <f>IFERROR(__xludf.DUMMYFUNCTION("""COMPUTED_VALUE"""),"Maïmouna Doucouré")</f>
        <v>Maïmouna Doucouré</v>
      </c>
      <c r="V1167" s="5" t="s">
        <v>6907</v>
      </c>
      <c r="W1167" s="5" t="str">
        <f t="shared" si="3"/>
        <v>Elaine Bogan, John Sanford</v>
      </c>
      <c r="X1167" s="5">
        <f t="shared" si="4"/>
        <v>1</v>
      </c>
      <c r="Y1167" s="5" t="str">
        <f>IFERROR(__xludf.DUMMYFUNCTION("REGEXEXTRACT(J1167, ""^\d+"")"),"114")</f>
        <v>114</v>
      </c>
      <c r="Z1167" s="5" t="str">
        <f>IFERROR(__xludf.DUMMYFUNCTION("REGEXEXTRACT(J1167, ""[A-Za-z ]+$"")")," min")</f>
        <v> min</v>
      </c>
      <c r="AA1167" s="5" t="str">
        <f>IFERROR(__xludf.DUMMYFUNCTION("IF(REGEXMATCH(Z1167, ""Season""), ""TV Show"", ""Movie"")"),"Movie")</f>
        <v>Movie</v>
      </c>
    </row>
    <row r="1168">
      <c r="A1168" s="1" t="s">
        <v>6908</v>
      </c>
      <c r="B1168" s="1" t="s">
        <v>37</v>
      </c>
      <c r="C1168" s="1" t="s">
        <v>6909</v>
      </c>
      <c r="E1168" s="1" t="s">
        <v>6910</v>
      </c>
      <c r="F1168" s="1" t="s">
        <v>96</v>
      </c>
      <c r="G1168" s="1" t="s">
        <v>6857</v>
      </c>
      <c r="H1168" s="1">
        <v>2021.0</v>
      </c>
      <c r="I1168" s="1" t="s">
        <v>97</v>
      </c>
      <c r="J1168" s="1" t="s">
        <v>51</v>
      </c>
      <c r="K1168" s="1" t="s">
        <v>3274</v>
      </c>
      <c r="L1168" s="1" t="s">
        <v>6911</v>
      </c>
      <c r="M1168" s="2" t="s">
        <v>12</v>
      </c>
      <c r="N1168" s="4">
        <f t="shared" si="1"/>
        <v>44281</v>
      </c>
      <c r="O1168" s="5" t="str">
        <f>IFERROR(__xludf.DUMMYFUNCTION("IF(REGEXMATCH(TRIM(I1168), ""^\d+\s*min""), ""Unclassified"", IF(I1168 = """", ""NR"", I1168))"),"TV-14")</f>
        <v>TV-14</v>
      </c>
      <c r="R1168" s="5" t="str">
        <f t="shared" si="2"/>
        <v>The Irregulars</v>
      </c>
      <c r="S1168" s="5" t="str">
        <f>IFERROR(__xludf.DUMMYFUNCTION("""COMPUTED_VALUE"""),"Border Security: America'S Front Line")</f>
        <v>Border Security: America'S Front Line</v>
      </c>
      <c r="U1168" s="5" t="str">
        <f>IFERROR(__xludf.DUMMYFUNCTION("""COMPUTED_VALUE"""),"Pepe Mora")</f>
        <v>Pepe Mora</v>
      </c>
      <c r="V1168" s="5" t="s">
        <v>6912</v>
      </c>
      <c r="W1168" s="5" t="str">
        <f t="shared" si="3"/>
        <v>Elaine Mcmillion Sheldon</v>
      </c>
      <c r="X1168" s="5">
        <f t="shared" si="4"/>
        <v>2</v>
      </c>
      <c r="Y1168" s="5" t="str">
        <f>IFERROR(__xludf.DUMMYFUNCTION("REGEXEXTRACT(J1168, ""^\d+"")"),"1")</f>
        <v>1</v>
      </c>
      <c r="Z1168" s="5" t="str">
        <f>IFERROR(__xludf.DUMMYFUNCTION("REGEXEXTRACT(J1168, ""[A-Za-z ]+$"")")," Season")</f>
        <v> Season</v>
      </c>
      <c r="AA1168" s="5" t="str">
        <f>IFERROR(__xludf.DUMMYFUNCTION("IF(REGEXMATCH(Z1168, ""Season""), ""TV Show"", ""Movie"")"),"TV Show")</f>
        <v>TV Show</v>
      </c>
    </row>
    <row r="1169">
      <c r="A1169" s="1" t="s">
        <v>6913</v>
      </c>
      <c r="B1169" s="1" t="s">
        <v>27</v>
      </c>
      <c r="C1169" s="1" t="s">
        <v>6914</v>
      </c>
      <c r="D1169" s="1" t="s">
        <v>6915</v>
      </c>
      <c r="E1169" s="1" t="s">
        <v>6916</v>
      </c>
      <c r="F1169" s="1" t="s">
        <v>1779</v>
      </c>
      <c r="G1169" s="1" t="s">
        <v>6917</v>
      </c>
      <c r="H1169" s="1">
        <v>2021.0</v>
      </c>
      <c r="I1169" s="1" t="s">
        <v>97</v>
      </c>
      <c r="J1169" s="1" t="s">
        <v>433</v>
      </c>
      <c r="K1169" s="1" t="s">
        <v>679</v>
      </c>
      <c r="L1169" s="1" t="s">
        <v>6918</v>
      </c>
      <c r="M1169" s="2" t="s">
        <v>12</v>
      </c>
      <c r="N1169" s="4">
        <f t="shared" si="1"/>
        <v>44280</v>
      </c>
      <c r="O1169" s="5" t="str">
        <f>IFERROR(__xludf.DUMMYFUNCTION("IF(REGEXMATCH(TRIM(I1169), ""^\d+\s*min""), ""Unclassified"", IF(I1169 = """", ""NR"", I1169))"),"TV-14")</f>
        <v>TV-14</v>
      </c>
      <c r="R1169" s="5" t="str">
        <f t="shared" si="2"/>
        <v>Caught By A Wave</v>
      </c>
      <c r="S1169" s="5" t="str">
        <f>IFERROR(__xludf.DUMMYFUNCTION("""COMPUTED_VALUE"""),"Borderline")</f>
        <v>Borderline</v>
      </c>
      <c r="U1169" s="5" t="str">
        <f>IFERROR(__xludf.DUMMYFUNCTION("""COMPUTED_VALUE"""),"Marcos Carnevale")</f>
        <v>Marcos Carnevale</v>
      </c>
      <c r="V1169" s="5" t="s">
        <v>6919</v>
      </c>
      <c r="W1169" s="5" t="str">
        <f t="shared" si="3"/>
        <v>Eleonore Pourriat</v>
      </c>
      <c r="X1169" s="5">
        <f t="shared" si="4"/>
        <v>1</v>
      </c>
      <c r="Y1169" s="5" t="str">
        <f>IFERROR(__xludf.DUMMYFUNCTION("REGEXEXTRACT(J1169, ""^\d+"")"),"100")</f>
        <v>100</v>
      </c>
      <c r="Z1169" s="5" t="str">
        <f>IFERROR(__xludf.DUMMYFUNCTION("REGEXEXTRACT(J1169, ""[A-Za-z ]+$"")")," min")</f>
        <v> min</v>
      </c>
      <c r="AA1169" s="5" t="str">
        <f>IFERROR(__xludf.DUMMYFUNCTION("IF(REGEXMATCH(Z1169, ""Season""), ""TV Show"", ""Movie"")"),"Movie")</f>
        <v>Movie</v>
      </c>
    </row>
    <row r="1170">
      <c r="A1170" s="1" t="s">
        <v>6920</v>
      </c>
      <c r="B1170" s="1" t="s">
        <v>37</v>
      </c>
      <c r="C1170" s="1" t="s">
        <v>6921</v>
      </c>
      <c r="E1170" s="1" t="s">
        <v>6922</v>
      </c>
      <c r="F1170" s="1" t="s">
        <v>30</v>
      </c>
      <c r="G1170" s="1" t="s">
        <v>6917</v>
      </c>
      <c r="H1170" s="1">
        <v>2021.0</v>
      </c>
      <c r="I1170" s="1" t="s">
        <v>42</v>
      </c>
      <c r="J1170" s="1" t="s">
        <v>51</v>
      </c>
      <c r="K1170" s="1" t="s">
        <v>2439</v>
      </c>
      <c r="L1170" s="1" t="s">
        <v>6923</v>
      </c>
      <c r="M1170" s="2" t="s">
        <v>12</v>
      </c>
      <c r="N1170" s="4">
        <f t="shared" si="1"/>
        <v>44280</v>
      </c>
      <c r="O1170" s="5" t="str">
        <f>IFERROR(__xludf.DUMMYFUNCTION("IF(REGEXMATCH(TRIM(I1170), ""^\d+\s*min""), ""Unclassified"", IF(I1170 = """", ""NR"", I1170))"),"TV-MA")</f>
        <v>TV-MA</v>
      </c>
      <c r="R1170" s="5" t="str">
        <f t="shared" si="2"/>
        <v>Dota: Dragon'S Blood</v>
      </c>
      <c r="S1170" s="5" t="str">
        <f>IFERROR(__xludf.DUMMYFUNCTION("""COMPUTED_VALUE"""),"Borderliner")</f>
        <v>Borderliner</v>
      </c>
      <c r="U1170" s="5" t="str">
        <f>IFERROR(__xludf.DUMMYFUNCTION("""COMPUTED_VALUE"""),"Jeff Orlowski")</f>
        <v>Jeff Orlowski</v>
      </c>
      <c r="V1170" s="5" t="s">
        <v>6924</v>
      </c>
      <c r="W1170" s="5" t="str">
        <f t="shared" si="3"/>
        <v>Eli Craig</v>
      </c>
      <c r="X1170" s="5">
        <f t="shared" si="4"/>
        <v>2</v>
      </c>
      <c r="Y1170" s="5" t="str">
        <f>IFERROR(__xludf.DUMMYFUNCTION("REGEXEXTRACT(J1170, ""^\d+"")"),"1")</f>
        <v>1</v>
      </c>
      <c r="Z1170" s="5" t="str">
        <f>IFERROR(__xludf.DUMMYFUNCTION("REGEXEXTRACT(J1170, ""[A-Za-z ]+$"")")," Season")</f>
        <v> Season</v>
      </c>
      <c r="AA1170" s="5" t="str">
        <f>IFERROR(__xludf.DUMMYFUNCTION("IF(REGEXMATCH(Z1170, ""Season""), ""TV Show"", ""Movie"")"),"TV Show")</f>
        <v>TV Show</v>
      </c>
    </row>
    <row r="1171">
      <c r="A1171" s="1" t="s">
        <v>6925</v>
      </c>
      <c r="B1171" s="1" t="s">
        <v>37</v>
      </c>
      <c r="C1171" s="1" t="s">
        <v>6926</v>
      </c>
      <c r="F1171" s="1" t="s">
        <v>415</v>
      </c>
      <c r="G1171" s="1" t="s">
        <v>6917</v>
      </c>
      <c r="H1171" s="1">
        <v>2021.0</v>
      </c>
      <c r="I1171" s="1" t="s">
        <v>289</v>
      </c>
      <c r="J1171" s="1" t="s">
        <v>51</v>
      </c>
      <c r="K1171" s="1" t="s">
        <v>290</v>
      </c>
      <c r="L1171" s="1" t="s">
        <v>6927</v>
      </c>
      <c r="M1171" s="2" t="s">
        <v>12</v>
      </c>
      <c r="N1171" s="4">
        <f t="shared" si="1"/>
        <v>44280</v>
      </c>
      <c r="O1171" s="5" t="str">
        <f>IFERROR(__xludf.DUMMYFUNCTION("IF(REGEXMATCH(TRIM(I1171), ""^\d+\s*min""), ""Unclassified"", IF(I1171 = """", ""NR"", I1171))"),"TV-Y7")</f>
        <v>TV-Y7</v>
      </c>
      <c r="R1171" s="5" t="str">
        <f t="shared" si="2"/>
        <v>Pui Pui Molcar</v>
      </c>
      <c r="S1171" s="5" t="str">
        <f>IFERROR(__xludf.DUMMYFUNCTION("""COMPUTED_VALUE"""),"Bordertown")</f>
        <v>Bordertown</v>
      </c>
      <c r="U1171" s="5" t="str">
        <f>IFERROR(__xludf.DUMMYFUNCTION("""COMPUTED_VALUE"""),"Cho Il")</f>
        <v>Cho Il</v>
      </c>
      <c r="V1171" s="5" t="s">
        <v>6928</v>
      </c>
      <c r="W1171" s="5" t="str">
        <f t="shared" si="3"/>
        <v>Eli Roth</v>
      </c>
      <c r="X1171" s="5">
        <f t="shared" si="4"/>
        <v>3</v>
      </c>
      <c r="Y1171" s="5" t="str">
        <f>IFERROR(__xludf.DUMMYFUNCTION("REGEXEXTRACT(J1171, ""^\d+"")"),"1")</f>
        <v>1</v>
      </c>
      <c r="Z1171" s="5" t="str">
        <f>IFERROR(__xludf.DUMMYFUNCTION("REGEXEXTRACT(J1171, ""[A-Za-z ]+$"")")," Season")</f>
        <v> Season</v>
      </c>
      <c r="AA1171" s="5" t="str">
        <f>IFERROR(__xludf.DUMMYFUNCTION("IF(REGEXMATCH(Z1171, ""Season""), ""TV Show"", ""Movie"")"),"TV Show")</f>
        <v>TV Show</v>
      </c>
    </row>
    <row r="1172">
      <c r="A1172" s="1" t="s">
        <v>6929</v>
      </c>
      <c r="B1172" s="1" t="s">
        <v>27</v>
      </c>
      <c r="C1172" s="1" t="s">
        <v>6930</v>
      </c>
      <c r="D1172" s="1" t="s">
        <v>1022</v>
      </c>
      <c r="E1172" s="1" t="s">
        <v>6931</v>
      </c>
      <c r="F1172" s="1" t="s">
        <v>6932</v>
      </c>
      <c r="G1172" s="1" t="s">
        <v>6917</v>
      </c>
      <c r="H1172" s="1">
        <v>2021.0</v>
      </c>
      <c r="I1172" s="1" t="s">
        <v>289</v>
      </c>
      <c r="J1172" s="1" t="s">
        <v>305</v>
      </c>
      <c r="K1172" s="1" t="s">
        <v>137</v>
      </c>
      <c r="L1172" s="1" t="s">
        <v>6933</v>
      </c>
      <c r="M1172" s="2" t="s">
        <v>12</v>
      </c>
      <c r="N1172" s="4">
        <f t="shared" si="1"/>
        <v>44280</v>
      </c>
      <c r="O1172" s="5" t="str">
        <f>IFERROR(__xludf.DUMMYFUNCTION("IF(REGEXMATCH(TRIM(I1172), ""^\d+\s*min""), ""Unclassified"", IF(I1172 = """", ""NR"", I1172))"),"TV-Y7")</f>
        <v>TV-Y7</v>
      </c>
      <c r="R1172" s="5" t="str">
        <f t="shared" si="2"/>
        <v>Secret Magic Control Agency</v>
      </c>
      <c r="S1172" s="5" t="str">
        <f>IFERROR(__xludf.DUMMYFUNCTION("""COMPUTED_VALUE"""),"Borgen")</f>
        <v>Borgen</v>
      </c>
      <c r="U1172" s="5" t="str">
        <f>IFERROR(__xludf.DUMMYFUNCTION("""COMPUTED_VALUE"""),"Pippa Ehrlich, James Reed")</f>
        <v>Pippa Ehrlich, James Reed</v>
      </c>
      <c r="V1172" s="5" t="s">
        <v>6934</v>
      </c>
      <c r="W1172" s="5" t="str">
        <f t="shared" si="3"/>
        <v>Elías León</v>
      </c>
      <c r="X1172" s="5">
        <f t="shared" si="4"/>
        <v>1</v>
      </c>
      <c r="Y1172" s="5" t="str">
        <f>IFERROR(__xludf.DUMMYFUNCTION("REGEXEXTRACT(J1172, ""^\d+"")"),"105")</f>
        <v>105</v>
      </c>
      <c r="Z1172" s="5" t="str">
        <f>IFERROR(__xludf.DUMMYFUNCTION("REGEXEXTRACT(J1172, ""[A-Za-z ]+$"")")," min")</f>
        <v> min</v>
      </c>
      <c r="AA1172" s="5" t="str">
        <f>IFERROR(__xludf.DUMMYFUNCTION("IF(REGEXMATCH(Z1172, ""Season""), ""TV Show"", ""Movie"")"),"Movie")</f>
        <v>Movie</v>
      </c>
    </row>
    <row r="1173">
      <c r="A1173" s="1" t="s">
        <v>6935</v>
      </c>
      <c r="B1173" s="1" t="s">
        <v>27</v>
      </c>
      <c r="C1173" s="1" t="s">
        <v>6936</v>
      </c>
      <c r="D1173" s="1" t="s">
        <v>1358</v>
      </c>
      <c r="F1173" s="1" t="s">
        <v>30</v>
      </c>
      <c r="G1173" s="1" t="s">
        <v>6937</v>
      </c>
      <c r="H1173" s="1">
        <v>2021.0</v>
      </c>
      <c r="I1173" s="1" t="s">
        <v>97</v>
      </c>
      <c r="J1173" s="1" t="s">
        <v>33</v>
      </c>
      <c r="K1173" s="1" t="s">
        <v>34</v>
      </c>
      <c r="L1173" s="1" t="s">
        <v>6938</v>
      </c>
      <c r="M1173" s="2" t="s">
        <v>12</v>
      </c>
      <c r="N1173" s="4">
        <f t="shared" si="1"/>
        <v>44279</v>
      </c>
      <c r="O1173" s="5" t="str">
        <f>IFERROR(__xludf.DUMMYFUNCTION("IF(REGEXMATCH(TRIM(I1173), ""^\d+\s*min""), ""Unclassified"", IF(I1173 = """", ""NR"", I1173))"),"TV-14")</f>
        <v>TV-14</v>
      </c>
      <c r="R1173" s="5" t="str">
        <f t="shared" si="2"/>
        <v>Seaspiracy</v>
      </c>
      <c r="S1173" s="5" t="str">
        <f>IFERROR(__xludf.DUMMYFUNCTION("""COMPUTED_VALUE"""),"Borges")</f>
        <v>Borges</v>
      </c>
      <c r="U1173" s="5" t="str">
        <f>IFERROR(__xludf.DUMMYFUNCTION("""COMPUTED_VALUE"""),"Tolga Karaçelik")</f>
        <v>Tolga Karaçelik</v>
      </c>
      <c r="V1173" s="5" t="s">
        <v>6939</v>
      </c>
      <c r="W1173" s="5" t="str">
        <f t="shared" si="3"/>
        <v>Elisa Fuksas</v>
      </c>
      <c r="X1173" s="5">
        <f t="shared" si="4"/>
        <v>1</v>
      </c>
      <c r="Y1173" s="5" t="str">
        <f>IFERROR(__xludf.DUMMYFUNCTION("REGEXEXTRACT(J1173, ""^\d+"")"),"90")</f>
        <v>90</v>
      </c>
      <c r="Z1173" s="5" t="str">
        <f>IFERROR(__xludf.DUMMYFUNCTION("REGEXEXTRACT(J1173, ""[A-Za-z ]+$"")")," min")</f>
        <v> min</v>
      </c>
      <c r="AA1173" s="5" t="str">
        <f>IFERROR(__xludf.DUMMYFUNCTION("IF(REGEXMATCH(Z1173, ""Season""), ""TV Show"", ""Movie"")"),"Movie")</f>
        <v>Movie</v>
      </c>
    </row>
    <row r="1174">
      <c r="A1174" s="1" t="s">
        <v>6940</v>
      </c>
      <c r="B1174" s="1" t="s">
        <v>27</v>
      </c>
      <c r="C1174" s="1" t="s">
        <v>6941</v>
      </c>
      <c r="D1174" s="1" t="s">
        <v>6942</v>
      </c>
      <c r="E1174" s="1" t="s">
        <v>6943</v>
      </c>
      <c r="F1174" s="1" t="s">
        <v>40</v>
      </c>
      <c r="G1174" s="1" t="s">
        <v>6944</v>
      </c>
      <c r="H1174" s="1">
        <v>2021.0</v>
      </c>
      <c r="I1174" s="1" t="s">
        <v>42</v>
      </c>
      <c r="J1174" s="1" t="s">
        <v>4639</v>
      </c>
      <c r="K1174" s="1" t="s">
        <v>1839</v>
      </c>
      <c r="L1174" s="1" t="s">
        <v>6945</v>
      </c>
      <c r="M1174" s="2" t="s">
        <v>12</v>
      </c>
      <c r="N1174" s="4">
        <f t="shared" si="1"/>
        <v>44278</v>
      </c>
      <c r="O1174" s="5" t="str">
        <f>IFERROR(__xludf.DUMMYFUNCTION("IF(REGEXMATCH(TRIM(I1174), ""^\d+\s*min""), ""Unclassified"", IF(I1174 = """", ""NR"", I1174))"),"TV-MA")</f>
        <v>TV-MA</v>
      </c>
      <c r="R1174" s="5" t="str">
        <f t="shared" si="2"/>
        <v>Loyiso Gola: Unlearning</v>
      </c>
      <c r="S1174" s="5" t="str">
        <f>IFERROR(__xludf.DUMMYFUNCTION("""COMPUTED_VALUE"""),"Born Beautiful")</f>
        <v>Born Beautiful</v>
      </c>
      <c r="U1174" s="5" t="str">
        <f>IFERROR(__xludf.DUMMYFUNCTION("""COMPUTED_VALUE"""),"Davis Guggenheim")</f>
        <v>Davis Guggenheim</v>
      </c>
      <c r="V1174" s="5" t="s">
        <v>6946</v>
      </c>
      <c r="W1174" s="5" t="str">
        <f t="shared" si="3"/>
        <v>Elisabeth Vogler</v>
      </c>
      <c r="X1174" s="5">
        <f t="shared" si="4"/>
        <v>1</v>
      </c>
      <c r="Y1174" s="5" t="str">
        <f>IFERROR(__xludf.DUMMYFUNCTION("REGEXEXTRACT(J1174, ""^\d+"")"),"60")</f>
        <v>60</v>
      </c>
      <c r="Z1174" s="5" t="str">
        <f>IFERROR(__xludf.DUMMYFUNCTION("REGEXEXTRACT(J1174, ""[A-Za-z ]+$"")")," min")</f>
        <v> min</v>
      </c>
      <c r="AA1174" s="5" t="str">
        <f>IFERROR(__xludf.DUMMYFUNCTION("IF(REGEXMATCH(Z1174, ""Season""), ""TV Show"", ""Movie"")"),"Movie")</f>
        <v>Movie</v>
      </c>
    </row>
    <row r="1175">
      <c r="A1175" s="1" t="s">
        <v>6947</v>
      </c>
      <c r="B1175" s="1" t="s">
        <v>37</v>
      </c>
      <c r="C1175" s="1" t="s">
        <v>6948</v>
      </c>
      <c r="D1175" s="1" t="s">
        <v>6949</v>
      </c>
      <c r="E1175" s="1" t="s">
        <v>6950</v>
      </c>
      <c r="F1175" s="1" t="s">
        <v>749</v>
      </c>
      <c r="G1175" s="1" t="s">
        <v>6944</v>
      </c>
      <c r="H1175" s="1">
        <v>2021.0</v>
      </c>
      <c r="I1175" s="1" t="s">
        <v>97</v>
      </c>
      <c r="J1175" s="1" t="s">
        <v>439</v>
      </c>
      <c r="K1175" s="1" t="s">
        <v>6951</v>
      </c>
      <c r="L1175" s="1" t="s">
        <v>6952</v>
      </c>
      <c r="M1175" s="2" t="s">
        <v>12</v>
      </c>
      <c r="N1175" s="4">
        <f t="shared" si="1"/>
        <v>44278</v>
      </c>
      <c r="O1175" s="5" t="str">
        <f>IFERROR(__xludf.DUMMYFUNCTION("IF(REGEXMATCH(TRIM(I1175), ""^\d+\s*min""), ""Unclassified"", IF(I1175 = """", ""NR"", I1175))"),"TV-14")</f>
        <v>TV-14</v>
      </c>
      <c r="R1175" s="5" t="str">
        <f t="shared" si="2"/>
        <v>Men On A Mission</v>
      </c>
      <c r="S1175" s="5" t="str">
        <f>IFERROR(__xludf.DUMMYFUNCTION("""COMPUTED_VALUE"""),"Born In Gaza")</f>
        <v>Born In Gaza</v>
      </c>
      <c r="U1175" s="5" t="str">
        <f>IFERROR(__xludf.DUMMYFUNCTION("""COMPUTED_VALUE"""),"Philip Barantini")</f>
        <v>Philip Barantini</v>
      </c>
      <c r="V1175" s="5" t="s">
        <v>6953</v>
      </c>
      <c r="W1175" s="5" t="str">
        <f t="shared" si="3"/>
        <v>Elissa Down</v>
      </c>
      <c r="X1175" s="5">
        <f t="shared" si="4"/>
        <v>1</v>
      </c>
      <c r="Y1175" s="5" t="str">
        <f>IFERROR(__xludf.DUMMYFUNCTION("REGEXEXTRACT(J1175, ""^\d+"")"),"6")</f>
        <v>6</v>
      </c>
      <c r="Z1175" s="5" t="str">
        <f>IFERROR(__xludf.DUMMYFUNCTION("REGEXEXTRACT(J1175, ""[A-Za-z ]+$"")")," Seasons")</f>
        <v> Seasons</v>
      </c>
      <c r="AA1175" s="5" t="str">
        <f>IFERROR(__xludf.DUMMYFUNCTION("IF(REGEXMATCH(Z1175, ""Season""), ""TV Show"", ""Movie"")"),"TV Show")</f>
        <v>TV Show</v>
      </c>
    </row>
    <row r="1176">
      <c r="A1176" s="1" t="s">
        <v>6954</v>
      </c>
      <c r="B1176" s="1" t="s">
        <v>37</v>
      </c>
      <c r="C1176" s="1" t="s">
        <v>6955</v>
      </c>
      <c r="E1176" s="1" t="s">
        <v>6956</v>
      </c>
      <c r="F1176" s="1" t="s">
        <v>749</v>
      </c>
      <c r="G1176" s="1" t="s">
        <v>6944</v>
      </c>
      <c r="H1176" s="1">
        <v>2021.0</v>
      </c>
      <c r="I1176" s="1" t="s">
        <v>97</v>
      </c>
      <c r="J1176" s="1" t="s">
        <v>51</v>
      </c>
      <c r="K1176" s="1" t="s">
        <v>402</v>
      </c>
      <c r="L1176" s="1" t="s">
        <v>6957</v>
      </c>
      <c r="M1176" s="2" t="s">
        <v>12</v>
      </c>
      <c r="N1176" s="4">
        <f t="shared" si="1"/>
        <v>44278</v>
      </c>
      <c r="O1176" s="5" t="str">
        <f>IFERROR(__xludf.DUMMYFUNCTION("IF(REGEXMATCH(TRIM(I1176), ""^\d+\s*min""), ""Unclassified"", IF(I1176 = """", ""NR"", I1176))"),"TV-14")</f>
        <v>TV-14</v>
      </c>
      <c r="R1176" s="5" t="str">
        <f t="shared" si="2"/>
        <v>Navillera</v>
      </c>
      <c r="S1176" s="5" t="str">
        <f>IFERROR(__xludf.DUMMYFUNCTION("""COMPUTED_VALUE"""),"Born In Syria")</f>
        <v>Born In Syria</v>
      </c>
      <c r="U1176" s="5" t="str">
        <f>IFERROR(__xludf.DUMMYFUNCTION("""COMPUTED_VALUE"""),"Charlie Kaufman")</f>
        <v>Charlie Kaufman</v>
      </c>
      <c r="V1176" s="5" t="s">
        <v>6958</v>
      </c>
      <c r="W1176" s="5" t="str">
        <f t="shared" si="3"/>
        <v>Elite Zexer</v>
      </c>
      <c r="X1176" s="5">
        <f t="shared" si="4"/>
        <v>1</v>
      </c>
      <c r="Y1176" s="5" t="str">
        <f>IFERROR(__xludf.DUMMYFUNCTION("REGEXEXTRACT(J1176, ""^\d+"")"),"1")</f>
        <v>1</v>
      </c>
      <c r="Z1176" s="5" t="str">
        <f>IFERROR(__xludf.DUMMYFUNCTION("REGEXEXTRACT(J1176, ""[A-Za-z ]+$"")")," Season")</f>
        <v> Season</v>
      </c>
      <c r="AA1176" s="5" t="str">
        <f>IFERROR(__xludf.DUMMYFUNCTION("IF(REGEXMATCH(Z1176, ""Season""), ""TV Show"", ""Movie"")"),"TV Show")</f>
        <v>TV Show</v>
      </c>
    </row>
    <row r="1177">
      <c r="A1177" s="1" t="s">
        <v>6959</v>
      </c>
      <c r="B1177" s="1" t="s">
        <v>27</v>
      </c>
      <c r="C1177" s="1" t="s">
        <v>6960</v>
      </c>
      <c r="D1177" s="1" t="s">
        <v>3759</v>
      </c>
      <c r="E1177" s="1" t="s">
        <v>6961</v>
      </c>
      <c r="F1177" s="1" t="s">
        <v>6962</v>
      </c>
      <c r="G1177" s="1" t="s">
        <v>6963</v>
      </c>
      <c r="H1177" s="1">
        <v>2013.0</v>
      </c>
      <c r="I1177" s="1" t="s">
        <v>32</v>
      </c>
      <c r="J1177" s="1" t="s">
        <v>357</v>
      </c>
      <c r="K1177" s="1" t="s">
        <v>89</v>
      </c>
      <c r="L1177" s="1" t="s">
        <v>6964</v>
      </c>
      <c r="M1177" s="2" t="s">
        <v>12</v>
      </c>
      <c r="N1177" s="4">
        <f t="shared" si="1"/>
        <v>44277</v>
      </c>
      <c r="O1177" s="5" t="str">
        <f>IFERROR(__xludf.DUMMYFUNCTION("IF(REGEXMATCH(TRIM(I1177), ""^\d+\s*min""), ""Unclassified"", IF(I1177 = """", ""NR"", I1177))"),"PG-13")</f>
        <v>PG-13</v>
      </c>
      <c r="R1177" s="5" t="str">
        <f t="shared" si="2"/>
        <v>Philomena</v>
      </c>
      <c r="S1177" s="5" t="str">
        <f>IFERROR(__xludf.DUMMYFUNCTION("""COMPUTED_VALUE"""),"Born Racer")</f>
        <v>Born Racer</v>
      </c>
      <c r="U1177" s="5" t="str">
        <f>IFERROR(__xludf.DUMMYFUNCTION("""COMPUTED_VALUE"""),"Abba T. Makama")</f>
        <v>Abba T. Makama</v>
      </c>
      <c r="V1177" s="5" t="s">
        <v>6965</v>
      </c>
      <c r="W1177" s="5" t="str">
        <f t="shared" si="3"/>
        <v>Elizabeth Chai Vasarhelyi</v>
      </c>
      <c r="X1177" s="5">
        <f t="shared" si="4"/>
        <v>1</v>
      </c>
      <c r="Y1177" s="5" t="str">
        <f>IFERROR(__xludf.DUMMYFUNCTION("REGEXEXTRACT(J1177, ""^\d+"")"),"98")</f>
        <v>98</v>
      </c>
      <c r="Z1177" s="5" t="str">
        <f>IFERROR(__xludf.DUMMYFUNCTION("REGEXEXTRACT(J1177, ""[A-Za-z ]+$"")")," min")</f>
        <v> min</v>
      </c>
      <c r="AA1177" s="5" t="str">
        <f>IFERROR(__xludf.DUMMYFUNCTION("IF(REGEXMATCH(Z1177, ""Season""), ""TV Show"", ""Movie"")"),"Movie")</f>
        <v>Movie</v>
      </c>
    </row>
    <row r="1178">
      <c r="A1178" s="1" t="s">
        <v>6966</v>
      </c>
      <c r="B1178" s="1" t="s">
        <v>27</v>
      </c>
      <c r="C1178" s="1" t="s">
        <v>6967</v>
      </c>
      <c r="D1178" s="1" t="s">
        <v>6968</v>
      </c>
      <c r="E1178" s="1" t="s">
        <v>6969</v>
      </c>
      <c r="F1178" s="1" t="s">
        <v>415</v>
      </c>
      <c r="G1178" s="1" t="s">
        <v>6970</v>
      </c>
      <c r="H1178" s="1">
        <v>2020.0</v>
      </c>
      <c r="I1178" s="1" t="s">
        <v>42</v>
      </c>
      <c r="J1178" s="1" t="s">
        <v>912</v>
      </c>
      <c r="K1178" s="1" t="s">
        <v>128</v>
      </c>
      <c r="L1178" s="1" t="s">
        <v>6971</v>
      </c>
      <c r="M1178" s="2" t="s">
        <v>12</v>
      </c>
      <c r="N1178" s="4">
        <f t="shared" si="1"/>
        <v>44275</v>
      </c>
      <c r="O1178" s="5" t="str">
        <f>IFERROR(__xludf.DUMMYFUNCTION("IF(REGEXMATCH(TRIM(I1178), ""^\d+\s*min""), ""Unclassified"", IF(I1178 = """", ""NR"", I1178))"),"TV-MA")</f>
        <v>TV-MA</v>
      </c>
      <c r="R1178" s="5" t="str">
        <f t="shared" si="2"/>
        <v>Any Crybabies Around?</v>
      </c>
      <c r="S1178" s="5" t="str">
        <f>IFERROR(__xludf.DUMMYFUNCTION("""COMPUTED_VALUE"""),"Born Strong")</f>
        <v>Born Strong</v>
      </c>
      <c r="U1178" s="5" t="str">
        <f>IFERROR(__xludf.DUMMYFUNCTION("""COMPUTED_VALUE"""),"Junior Carelli, Rudge Campos")</f>
        <v>Junior Carelli, Rudge Campos</v>
      </c>
      <c r="V1178" s="5" t="s">
        <v>6972</v>
      </c>
      <c r="W1178" s="5" t="str">
        <f t="shared" si="3"/>
        <v>Elizabeth Wood</v>
      </c>
      <c r="X1178" s="5">
        <f t="shared" si="4"/>
        <v>1</v>
      </c>
      <c r="Y1178" s="5" t="str">
        <f>IFERROR(__xludf.DUMMYFUNCTION("REGEXEXTRACT(J1178, ""^\d+"")"),"108")</f>
        <v>108</v>
      </c>
      <c r="Z1178" s="5" t="str">
        <f>IFERROR(__xludf.DUMMYFUNCTION("REGEXEXTRACT(J1178, ""[A-Za-z ]+$"")")," min")</f>
        <v> min</v>
      </c>
      <c r="AA1178" s="5" t="str">
        <f>IFERROR(__xludf.DUMMYFUNCTION("IF(REGEXMATCH(Z1178, ""Season""), ""TV Show"", ""Movie"")"),"Movie")</f>
        <v>Movie</v>
      </c>
    </row>
    <row r="1179">
      <c r="A1179" s="1" t="s">
        <v>6973</v>
      </c>
      <c r="B1179" s="1" t="s">
        <v>27</v>
      </c>
      <c r="C1179" s="1" t="s">
        <v>6974</v>
      </c>
      <c r="D1179" s="1" t="s">
        <v>3883</v>
      </c>
      <c r="E1179" s="1" t="s">
        <v>6975</v>
      </c>
      <c r="F1179" s="1" t="s">
        <v>2059</v>
      </c>
      <c r="G1179" s="1" t="s">
        <v>6970</v>
      </c>
      <c r="H1179" s="1">
        <v>2020.0</v>
      </c>
      <c r="I1179" s="1" t="s">
        <v>42</v>
      </c>
      <c r="J1179" s="1" t="s">
        <v>33</v>
      </c>
      <c r="K1179" s="1" t="s">
        <v>1441</v>
      </c>
      <c r="L1179" s="1" t="s">
        <v>6976</v>
      </c>
      <c r="M1179" s="2" t="s">
        <v>12</v>
      </c>
      <c r="N1179" s="4">
        <f t="shared" si="1"/>
        <v>44275</v>
      </c>
      <c r="O1179" s="5" t="str">
        <f>IFERROR(__xludf.DUMMYFUNCTION("IF(REGEXMATCH(TRIM(I1179), ""^\d+\s*min""), ""Unclassified"", IF(I1179 = """", ""NR"", I1179))"),"TV-MA")</f>
        <v>TV-MA</v>
      </c>
      <c r="R1179" s="5" t="str">
        <f t="shared" si="2"/>
        <v>Hospital</v>
      </c>
      <c r="S1179" s="5" t="str">
        <f>IFERROR(__xludf.DUMMYFUNCTION("""COMPUTED_VALUE"""),"Born To Be Free")</f>
        <v>Born To Be Free</v>
      </c>
      <c r="U1179" s="5" t="str">
        <f>IFERROR(__xludf.DUMMYFUNCTION("""COMPUTED_VALUE"""),"Ertanto Robby Soediskam")</f>
        <v>Ertanto Robby Soediskam</v>
      </c>
      <c r="V1179" s="5" t="s">
        <v>6977</v>
      </c>
      <c r="W1179" s="5" t="str">
        <f t="shared" si="3"/>
        <v>Elle Callahan</v>
      </c>
      <c r="X1179" s="5">
        <f t="shared" si="4"/>
        <v>1</v>
      </c>
      <c r="Y1179" s="5" t="str">
        <f>IFERROR(__xludf.DUMMYFUNCTION("REGEXEXTRACT(J1179, ""^\d+"")"),"90")</f>
        <v>90</v>
      </c>
      <c r="Z1179" s="5" t="str">
        <f>IFERROR(__xludf.DUMMYFUNCTION("REGEXEXTRACT(J1179, ""[A-Za-z ]+$"")")," min")</f>
        <v> min</v>
      </c>
      <c r="AA1179" s="5" t="str">
        <f>IFERROR(__xludf.DUMMYFUNCTION("IF(REGEXMATCH(Z1179, ""Season""), ""TV Show"", ""Movie"")"),"Movie")</f>
        <v>Movie</v>
      </c>
    </row>
    <row r="1180">
      <c r="A1180" s="1" t="s">
        <v>6978</v>
      </c>
      <c r="B1180" s="1" t="s">
        <v>27</v>
      </c>
      <c r="C1180" s="1" t="s">
        <v>6979</v>
      </c>
      <c r="D1180" s="1" t="s">
        <v>6533</v>
      </c>
      <c r="E1180" s="1" t="s">
        <v>6980</v>
      </c>
      <c r="F1180" s="1" t="s">
        <v>30</v>
      </c>
      <c r="G1180" s="1" t="s">
        <v>6970</v>
      </c>
      <c r="H1180" s="1">
        <v>2020.0</v>
      </c>
      <c r="I1180" s="1" t="s">
        <v>378</v>
      </c>
      <c r="J1180" s="1" t="s">
        <v>447</v>
      </c>
      <c r="K1180" s="1" t="s">
        <v>380</v>
      </c>
      <c r="L1180" s="1" t="s">
        <v>6981</v>
      </c>
      <c r="M1180" s="2" t="s">
        <v>12</v>
      </c>
      <c r="N1180" s="4">
        <f t="shared" si="1"/>
        <v>44275</v>
      </c>
      <c r="O1180" s="5" t="str">
        <f>IFERROR(__xludf.DUMMYFUNCTION("IF(REGEXMATCH(TRIM(I1180), ""^\d+\s*min""), ""Unclassified"", IF(I1180 = """", ""NR"", I1180))"),"R")</f>
        <v>R</v>
      </c>
      <c r="R1180" s="5" t="str">
        <f t="shared" si="2"/>
        <v>Jiu Jitsu</v>
      </c>
      <c r="S1180" s="5" t="str">
        <f>IFERROR(__xludf.DUMMYFUNCTION("""COMPUTED_VALUE"""),"Born To Play")</f>
        <v>Born To Play</v>
      </c>
      <c r="U1180" s="5" t="str">
        <f>IFERROR(__xludf.DUMMYFUNCTION("""COMPUTED_VALUE"""),"Mark Steven Johnson")</f>
        <v>Mark Steven Johnson</v>
      </c>
      <c r="V1180" s="5" t="s">
        <v>6982</v>
      </c>
      <c r="W1180" s="5" t="str">
        <f t="shared" si="3"/>
        <v>Elle-Máijá Tailfeathers, Kathleen Hepburn</v>
      </c>
      <c r="X1180" s="5">
        <f t="shared" si="4"/>
        <v>1</v>
      </c>
      <c r="Y1180" s="5" t="str">
        <f>IFERROR(__xludf.DUMMYFUNCTION("REGEXEXTRACT(J1180, ""^\d+"")"),"102")</f>
        <v>102</v>
      </c>
      <c r="Z1180" s="5" t="str">
        <f>IFERROR(__xludf.DUMMYFUNCTION("REGEXEXTRACT(J1180, ""[A-Za-z ]+$"")")," min")</f>
        <v> min</v>
      </c>
      <c r="AA1180" s="5" t="str">
        <f>IFERROR(__xludf.DUMMYFUNCTION("IF(REGEXMATCH(Z1180, ""Season""), ""TV Show"", ""Movie"")"),"Movie")</f>
        <v>Movie</v>
      </c>
    </row>
    <row r="1181">
      <c r="A1181" s="1" t="s">
        <v>6983</v>
      </c>
      <c r="B1181" s="1" t="s">
        <v>37</v>
      </c>
      <c r="C1181" s="1" t="s">
        <v>6984</v>
      </c>
      <c r="E1181" s="1" t="s">
        <v>6985</v>
      </c>
      <c r="F1181" s="1" t="s">
        <v>1846</v>
      </c>
      <c r="G1181" s="1" t="s">
        <v>6970</v>
      </c>
      <c r="H1181" s="1">
        <v>2010.0</v>
      </c>
      <c r="I1181" s="1" t="s">
        <v>289</v>
      </c>
      <c r="J1181" s="1" t="s">
        <v>148</v>
      </c>
      <c r="K1181" s="1" t="s">
        <v>290</v>
      </c>
      <c r="L1181" s="1" t="s">
        <v>6986</v>
      </c>
      <c r="M1181" s="2" t="s">
        <v>12</v>
      </c>
      <c r="N1181" s="4">
        <f t="shared" si="1"/>
        <v>44275</v>
      </c>
      <c r="O1181" s="5" t="str">
        <f>IFERROR(__xludf.DUMMYFUNCTION("IF(REGEXMATCH(TRIM(I1181), ""^\d+\s*min""), ""Unclassified"", IF(I1181 = """", ""NR"", I1181))"),"TV-Y7")</f>
        <v>TV-Y7</v>
      </c>
      <c r="R1181" s="5" t="str">
        <f t="shared" si="2"/>
        <v>Mighty Morphin Power Rangers</v>
      </c>
      <c r="S1181" s="5" t="str">
        <f>IFERROR(__xludf.DUMMYFUNCTION("""COMPUTED_VALUE"""),"Boss")</f>
        <v>Boss</v>
      </c>
      <c r="U1181" s="5" t="str">
        <f>IFERROR(__xludf.DUMMYFUNCTION("""COMPUTED_VALUE"""),"Felix Binder")</f>
        <v>Felix Binder</v>
      </c>
      <c r="V1181" s="5" t="s">
        <v>6987</v>
      </c>
      <c r="W1181" s="5" t="str">
        <f t="shared" si="3"/>
        <v>Ellen Brown</v>
      </c>
      <c r="X1181" s="5">
        <f t="shared" si="4"/>
        <v>1</v>
      </c>
      <c r="Y1181" s="5" t="str">
        <f>IFERROR(__xludf.DUMMYFUNCTION("REGEXEXTRACT(J1181, ""^\d+"")"),"4")</f>
        <v>4</v>
      </c>
      <c r="Z1181" s="5" t="str">
        <f>IFERROR(__xludf.DUMMYFUNCTION("REGEXEXTRACT(J1181, ""[A-Za-z ]+$"")")," Seasons")</f>
        <v> Seasons</v>
      </c>
      <c r="AA1181" s="5" t="str">
        <f>IFERROR(__xludf.DUMMYFUNCTION("IF(REGEXMATCH(Z1181, ""Season""), ""TV Show"", ""Movie"")"),"TV Show")</f>
        <v>TV Show</v>
      </c>
    </row>
    <row r="1182">
      <c r="A1182" s="1" t="s">
        <v>6988</v>
      </c>
      <c r="B1182" s="1" t="s">
        <v>37</v>
      </c>
      <c r="C1182" s="1" t="s">
        <v>6989</v>
      </c>
      <c r="E1182" s="1" t="s">
        <v>6990</v>
      </c>
      <c r="G1182" s="1" t="s">
        <v>6991</v>
      </c>
      <c r="H1182" s="1">
        <v>2021.0</v>
      </c>
      <c r="I1182" s="1" t="s">
        <v>289</v>
      </c>
      <c r="J1182" s="1" t="s">
        <v>43</v>
      </c>
      <c r="K1182" s="1" t="s">
        <v>314</v>
      </c>
      <c r="L1182" s="1" t="s">
        <v>6992</v>
      </c>
      <c r="M1182" s="2" t="s">
        <v>12</v>
      </c>
      <c r="N1182" s="4">
        <f t="shared" si="1"/>
        <v>44274</v>
      </c>
      <c r="O1182" s="5" t="str">
        <f>IFERROR(__xludf.DUMMYFUNCTION("IF(REGEXMATCH(TRIM(I1182), ""^\d+\s*min""), ""Unclassified"", IF(I1182 = """", ""NR"", I1182))"),"TV-Y7")</f>
        <v>TV-Y7</v>
      </c>
      <c r="R1182" s="5" t="str">
        <f t="shared" si="2"/>
        <v>Alien Tv</v>
      </c>
      <c r="S1182" s="5" t="str">
        <f>IFERROR(__xludf.DUMMYFUNCTION("""COMPUTED_VALUE"""),"Bosta")</f>
        <v>Bosta</v>
      </c>
      <c r="U1182" s="5" t="str">
        <f>IFERROR(__xludf.DUMMYFUNCTION("""COMPUTED_VALUE"""),"Thor Freudenthal")</f>
        <v>Thor Freudenthal</v>
      </c>
      <c r="V1182" s="5" t="s">
        <v>6993</v>
      </c>
      <c r="W1182" s="5" t="str">
        <f t="shared" si="3"/>
        <v>Ellen Page, Ian Daniel</v>
      </c>
      <c r="X1182" s="5">
        <f t="shared" si="4"/>
        <v>1</v>
      </c>
      <c r="Y1182" s="5" t="str">
        <f>IFERROR(__xludf.DUMMYFUNCTION("REGEXEXTRACT(J1182, ""^\d+"")"),"2")</f>
        <v>2</v>
      </c>
      <c r="Z1182" s="5" t="str">
        <f>IFERROR(__xludf.DUMMYFUNCTION("REGEXEXTRACT(J1182, ""[A-Za-z ]+$"")")," Seasons")</f>
        <v> Seasons</v>
      </c>
      <c r="AA1182" s="5" t="str">
        <f>IFERROR(__xludf.DUMMYFUNCTION("IF(REGEXMATCH(Z1182, ""Season""), ""TV Show"", ""Movie"")"),"TV Show")</f>
        <v>TV Show</v>
      </c>
    </row>
    <row r="1183">
      <c r="A1183" s="1" t="s">
        <v>6994</v>
      </c>
      <c r="B1183" s="1" t="s">
        <v>37</v>
      </c>
      <c r="C1183" s="1" t="s">
        <v>6995</v>
      </c>
      <c r="E1183" s="1" t="s">
        <v>6996</v>
      </c>
      <c r="F1183" s="1" t="s">
        <v>30</v>
      </c>
      <c r="G1183" s="1" t="s">
        <v>6991</v>
      </c>
      <c r="H1183" s="1">
        <v>2021.0</v>
      </c>
      <c r="I1183" s="1" t="s">
        <v>136</v>
      </c>
      <c r="J1183" s="1" t="s">
        <v>51</v>
      </c>
      <c r="K1183" s="1" t="s">
        <v>270</v>
      </c>
      <c r="L1183" s="1" t="s">
        <v>6997</v>
      </c>
      <c r="M1183" s="2" t="s">
        <v>12</v>
      </c>
      <c r="N1183" s="4">
        <f t="shared" si="1"/>
        <v>44274</v>
      </c>
      <c r="O1183" s="5" t="str">
        <f>IFERROR(__xludf.DUMMYFUNCTION("IF(REGEXMATCH(TRIM(I1183), ""^\d+\s*min""), ""Unclassified"", IF(I1183 = """", ""NR"", I1183))"),"TV-PG")</f>
        <v>TV-PG</v>
      </c>
      <c r="R1183" s="5" t="str">
        <f t="shared" si="2"/>
        <v>Country Comfort</v>
      </c>
      <c r="S1183" s="5" t="str">
        <f>IFERROR(__xludf.DUMMYFUNCTION("""COMPUTED_VALUE"""),"Botched Up Bodies")</f>
        <v>Botched Up Bodies</v>
      </c>
      <c r="U1183" s="5" t="str">
        <f>IFERROR(__xludf.DUMMYFUNCTION("""COMPUTED_VALUE"""),"Nguyen Thanh Tung")</f>
        <v>Nguyen Thanh Tung</v>
      </c>
      <c r="V1183" s="5" t="s">
        <v>4740</v>
      </c>
      <c r="W1183" s="5" t="str">
        <f t="shared" si="3"/>
        <v>Ellen Seidler, Megan Siler</v>
      </c>
      <c r="X1183" s="5">
        <f t="shared" si="4"/>
        <v>1</v>
      </c>
      <c r="Y1183" s="5" t="str">
        <f>IFERROR(__xludf.DUMMYFUNCTION("REGEXEXTRACT(J1183, ""^\d+"")"),"1")</f>
        <v>1</v>
      </c>
      <c r="Z1183" s="5" t="str">
        <f>IFERROR(__xludf.DUMMYFUNCTION("REGEXEXTRACT(J1183, ""[A-Za-z ]+$"")")," Season")</f>
        <v> Season</v>
      </c>
      <c r="AA1183" s="5" t="str">
        <f>IFERROR(__xludf.DUMMYFUNCTION("IF(REGEXMATCH(Z1183, ""Season""), ""TV Show"", ""Movie"")"),"TV Show")</f>
        <v>TV Show</v>
      </c>
    </row>
    <row r="1184">
      <c r="A1184" s="1" t="s">
        <v>6998</v>
      </c>
      <c r="B1184" s="1" t="s">
        <v>37</v>
      </c>
      <c r="C1184" s="1" t="s">
        <v>6999</v>
      </c>
      <c r="F1184" s="1" t="s">
        <v>96</v>
      </c>
      <c r="G1184" s="1" t="s">
        <v>6991</v>
      </c>
      <c r="H1184" s="1">
        <v>2021.0</v>
      </c>
      <c r="I1184" s="1" t="s">
        <v>42</v>
      </c>
      <c r="J1184" s="1" t="s">
        <v>276</v>
      </c>
      <c r="K1184" s="1" t="s">
        <v>1261</v>
      </c>
      <c r="L1184" s="1" t="s">
        <v>7000</v>
      </c>
      <c r="M1184" s="2" t="s">
        <v>12</v>
      </c>
      <c r="N1184" s="4">
        <f t="shared" si="1"/>
        <v>44274</v>
      </c>
      <c r="O1184" s="5" t="str">
        <f>IFERROR(__xludf.DUMMYFUNCTION("IF(REGEXMATCH(TRIM(I1184), ""^\d+\s*min""), ""Unclassified"", IF(I1184 = """", ""NR"", I1184))"),"TV-MA")</f>
        <v>TV-MA</v>
      </c>
      <c r="R1184" s="5" t="str">
        <f t="shared" si="2"/>
        <v>Formula 1: Drive To Survive</v>
      </c>
      <c r="S1184" s="5" t="str">
        <f>IFERROR(__xludf.DUMMYFUNCTION("""COMPUTED_VALUE"""),"Bottersnikes &amp; Gumbles")</f>
        <v>Bottersnikes &amp; Gumbles</v>
      </c>
      <c r="U1184" s="5" t="str">
        <f>IFERROR(__xludf.DUMMYFUNCTION("""COMPUTED_VALUE"""),"Baltasar Kormákur")</f>
        <v>Baltasar Kormákur</v>
      </c>
      <c r="V1184" s="5" t="s">
        <v>7001</v>
      </c>
      <c r="W1184" s="5" t="str">
        <f t="shared" si="3"/>
        <v>Ellen Weissbrod</v>
      </c>
      <c r="X1184" s="5">
        <f t="shared" si="4"/>
        <v>1</v>
      </c>
      <c r="Y1184" s="5" t="str">
        <f>IFERROR(__xludf.DUMMYFUNCTION("REGEXEXTRACT(J1184, ""^\d+"")"),"3")</f>
        <v>3</v>
      </c>
      <c r="Z1184" s="5" t="str">
        <f>IFERROR(__xludf.DUMMYFUNCTION("REGEXEXTRACT(J1184, ""[A-Za-z ]+$"")")," Seasons")</f>
        <v> Seasons</v>
      </c>
      <c r="AA1184" s="5" t="str">
        <f>IFERROR(__xludf.DUMMYFUNCTION("IF(REGEXMATCH(Z1184, ""Season""), ""TV Show"", ""Movie"")"),"TV Show")</f>
        <v>TV Show</v>
      </c>
    </row>
    <row r="1185">
      <c r="A1185" s="1" t="s">
        <v>7002</v>
      </c>
      <c r="B1185" s="1" t="s">
        <v>27</v>
      </c>
      <c r="C1185" s="1" t="s">
        <v>7003</v>
      </c>
      <c r="D1185" s="1" t="s">
        <v>7004</v>
      </c>
      <c r="E1185" s="1" t="s">
        <v>5940</v>
      </c>
      <c r="G1185" s="1" t="s">
        <v>6991</v>
      </c>
      <c r="H1185" s="1">
        <v>2020.0</v>
      </c>
      <c r="I1185" s="1" t="s">
        <v>506</v>
      </c>
      <c r="J1185" s="1" t="s">
        <v>1608</v>
      </c>
      <c r="K1185" s="1" t="s">
        <v>1939</v>
      </c>
      <c r="L1185" s="1" t="s">
        <v>7005</v>
      </c>
      <c r="M1185" s="2" t="s">
        <v>12</v>
      </c>
      <c r="N1185" s="4">
        <f t="shared" si="1"/>
        <v>44274</v>
      </c>
      <c r="O1185" s="5" t="str">
        <f>IFERROR(__xludf.DUMMYFUNCTION("IF(REGEXMATCH(TRIM(I1185), ""^\d+\s*min""), ""Unclassified"", IF(I1185 = """", ""NR"", I1185))"),"TV-G")</f>
        <v>TV-G</v>
      </c>
      <c r="R1185" s="5" t="str">
        <f t="shared" si="2"/>
        <v>Reframe Theater Experience With You</v>
      </c>
      <c r="S1185" s="5" t="str">
        <f>IFERROR(__xludf.DUMMYFUNCTION("""COMPUTED_VALUE"""),"Bottom Of The World")</f>
        <v>Bottom Of The World</v>
      </c>
      <c r="U1185" s="5" t="str">
        <f>IFERROR(__xludf.DUMMYFUNCTION("""COMPUTED_VALUE"""),"Conrad Helten")</f>
        <v>Conrad Helten</v>
      </c>
      <c r="V1185" s="5" t="s">
        <v>7006</v>
      </c>
      <c r="W1185" s="5" t="str">
        <f t="shared" si="3"/>
        <v>Ellena Wood, Jesse Vile</v>
      </c>
      <c r="X1185" s="5">
        <f t="shared" si="4"/>
        <v>1</v>
      </c>
      <c r="Y1185" s="5" t="str">
        <f>IFERROR(__xludf.DUMMYFUNCTION("REGEXEXTRACT(J1185, ""^\d+"")"),"84")</f>
        <v>84</v>
      </c>
      <c r="Z1185" s="5" t="str">
        <f>IFERROR(__xludf.DUMMYFUNCTION("REGEXEXTRACT(J1185, ""[A-Za-z ]+$"")")," min")</f>
        <v> min</v>
      </c>
      <c r="AA1185" s="5" t="str">
        <f>IFERROR(__xludf.DUMMYFUNCTION("IF(REGEXMATCH(Z1185, ""Season""), ""TV Show"", ""Movie"")"),"Movie")</f>
        <v>Movie</v>
      </c>
    </row>
    <row r="1186">
      <c r="A1186" s="1" t="s">
        <v>7007</v>
      </c>
      <c r="B1186" s="1" t="s">
        <v>27</v>
      </c>
      <c r="C1186" s="1" t="s">
        <v>7008</v>
      </c>
      <c r="D1186" s="1" t="s">
        <v>7009</v>
      </c>
      <c r="E1186" s="1" t="s">
        <v>7010</v>
      </c>
      <c r="F1186" s="1" t="s">
        <v>3892</v>
      </c>
      <c r="G1186" s="1" t="s">
        <v>6991</v>
      </c>
      <c r="H1186" s="1">
        <v>2021.0</v>
      </c>
      <c r="I1186" s="1" t="s">
        <v>97</v>
      </c>
      <c r="J1186" s="1" t="s">
        <v>985</v>
      </c>
      <c r="K1186" s="1" t="s">
        <v>1066</v>
      </c>
      <c r="L1186" s="1" t="s">
        <v>7011</v>
      </c>
      <c r="M1186" s="2" t="s">
        <v>12</v>
      </c>
      <c r="N1186" s="4">
        <f t="shared" si="1"/>
        <v>44274</v>
      </c>
      <c r="O1186" s="5" t="str">
        <f>IFERROR(__xludf.DUMMYFUNCTION("IF(REGEXMATCH(TRIM(I1186), ""^\d+\s*min""), ""Unclassified"", IF(I1186 = """", ""NR"", I1186))"),"TV-14")</f>
        <v>TV-14</v>
      </c>
      <c r="R1186" s="5" t="str">
        <f t="shared" si="2"/>
        <v>The Yin Yang Master</v>
      </c>
      <c r="S1186" s="5" t="str">
        <f>IFERROR(__xludf.DUMMYFUNCTION("""COMPUTED_VALUE"""),"Bountiful Blessings")</f>
        <v>Bountiful Blessings</v>
      </c>
      <c r="U1186" s="5" t="str">
        <f>IFERROR(__xludf.DUMMYFUNCTION("""COMPUTED_VALUE"""),"Ayumu Watanabe")</f>
        <v>Ayumu Watanabe</v>
      </c>
      <c r="V1186" s="5" t="s">
        <v>7012</v>
      </c>
      <c r="W1186" s="5" t="str">
        <f t="shared" si="3"/>
        <v>Elliot Hegarty</v>
      </c>
      <c r="X1186" s="5">
        <f t="shared" si="4"/>
        <v>1</v>
      </c>
      <c r="Y1186" s="5" t="str">
        <f>IFERROR(__xludf.DUMMYFUNCTION("REGEXEXTRACT(J1186, ""^\d+"")"),"120")</f>
        <v>120</v>
      </c>
      <c r="Z1186" s="5" t="str">
        <f>IFERROR(__xludf.DUMMYFUNCTION("REGEXEXTRACT(J1186, ""[A-Za-z ]+$"")")," min")</f>
        <v> min</v>
      </c>
      <c r="AA1186" s="5" t="str">
        <f>IFERROR(__xludf.DUMMYFUNCTION("IF(REGEXMATCH(Z1186, ""Season""), ""TV Show"", ""Movie"")"),"Movie")</f>
        <v>Movie</v>
      </c>
    </row>
    <row r="1187">
      <c r="A1187" s="1" t="s">
        <v>7013</v>
      </c>
      <c r="B1187" s="1" t="s">
        <v>27</v>
      </c>
      <c r="C1187" s="1" t="s">
        <v>7014</v>
      </c>
      <c r="D1187" s="1" t="s">
        <v>4587</v>
      </c>
      <c r="E1187" s="1" t="s">
        <v>7015</v>
      </c>
      <c r="F1187" s="1" t="s">
        <v>400</v>
      </c>
      <c r="G1187" s="1" t="s">
        <v>6991</v>
      </c>
      <c r="H1187" s="1">
        <v>2020.0</v>
      </c>
      <c r="I1187" s="1" t="s">
        <v>42</v>
      </c>
      <c r="J1187" s="1" t="s">
        <v>256</v>
      </c>
      <c r="K1187" s="1" t="s">
        <v>215</v>
      </c>
      <c r="L1187" s="1" t="s">
        <v>7016</v>
      </c>
      <c r="M1187" s="2" t="s">
        <v>12</v>
      </c>
      <c r="N1187" s="4">
        <f t="shared" si="1"/>
        <v>44274</v>
      </c>
      <c r="O1187" s="5" t="str">
        <f>IFERROR(__xludf.DUMMYFUNCTION("IF(REGEXMATCH(TRIM(I1187), ""^\d+\s*min""), ""Unclassified"", IF(I1187 = """", ""NR"", I1187))"),"TV-MA")</f>
        <v>TV-MA</v>
      </c>
      <c r="R1187" s="5" t="str">
        <f t="shared" si="2"/>
        <v>Who'S The Boss</v>
      </c>
      <c r="S1187" s="5" t="str">
        <f>IFERROR(__xludf.DUMMYFUNCTION("""COMPUTED_VALUE"""),"Boushkash")</f>
        <v>Boushkash</v>
      </c>
      <c r="U1187" s="5" t="str">
        <f>IFERROR(__xludf.DUMMYFUNCTION("""COMPUTED_VALUE"""),"Hitoshi Namba")</f>
        <v>Hitoshi Namba</v>
      </c>
      <c r="V1187" s="5" t="s">
        <v>7017</v>
      </c>
      <c r="W1187" s="5" t="str">
        <f t="shared" si="3"/>
        <v>Elliot Silverstein</v>
      </c>
      <c r="X1187" s="5">
        <f t="shared" si="4"/>
        <v>1</v>
      </c>
      <c r="Y1187" s="5" t="str">
        <f>IFERROR(__xludf.DUMMYFUNCTION("REGEXEXTRACT(J1187, ""^\d+"")"),"106")</f>
        <v>106</v>
      </c>
      <c r="Z1187" s="5" t="str">
        <f>IFERROR(__xludf.DUMMYFUNCTION("REGEXEXTRACT(J1187, ""[A-Za-z ]+$"")")," min")</f>
        <v> min</v>
      </c>
      <c r="AA1187" s="5" t="str">
        <f>IFERROR(__xludf.DUMMYFUNCTION("IF(REGEXMATCH(Z1187, ""Season""), ""TV Show"", ""Movie"")"),"Movie")</f>
        <v>Movie</v>
      </c>
    </row>
    <row r="1188">
      <c r="A1188" s="1" t="s">
        <v>7018</v>
      </c>
      <c r="B1188" s="1" t="s">
        <v>37</v>
      </c>
      <c r="C1188" s="1" t="s">
        <v>7019</v>
      </c>
      <c r="E1188" s="1" t="s">
        <v>7020</v>
      </c>
      <c r="F1188" s="1" t="s">
        <v>415</v>
      </c>
      <c r="G1188" s="1" t="s">
        <v>7021</v>
      </c>
      <c r="H1188" s="1">
        <v>2021.0</v>
      </c>
      <c r="I1188" s="1" t="s">
        <v>42</v>
      </c>
      <c r="J1188" s="1" t="s">
        <v>43</v>
      </c>
      <c r="K1188" s="1" t="s">
        <v>3858</v>
      </c>
      <c r="L1188" s="1" t="s">
        <v>7022</v>
      </c>
      <c r="M1188" s="2" t="s">
        <v>12</v>
      </c>
      <c r="N1188" s="4">
        <f t="shared" si="1"/>
        <v>44273</v>
      </c>
      <c r="O1188" s="5" t="str">
        <f>IFERROR(__xludf.DUMMYFUNCTION("IF(REGEXMATCH(TRIM(I1188), ""^\d+\s*min""), ""Unclassified"", IF(I1188 = """", ""NR"", I1188))"),"TV-MA")</f>
        <v>TV-MA</v>
      </c>
      <c r="R1188" s="5" t="str">
        <f t="shared" si="2"/>
        <v>B: The Beginning</v>
      </c>
      <c r="S1188" s="5" t="str">
        <f>IFERROR(__xludf.DUMMYFUNCTION("""COMPUTED_VALUE"""),"Boy And The World")</f>
        <v>Boy And The World</v>
      </c>
      <c r="U1188" s="5" t="str">
        <f>IFERROR(__xludf.DUMMYFUNCTION("""COMPUTED_VALUE"""),"Chris Miller")</f>
        <v>Chris Miller</v>
      </c>
      <c r="V1188" s="5" t="s">
        <v>7023</v>
      </c>
      <c r="W1188" s="5" t="str">
        <f t="shared" si="3"/>
        <v>Elsa Flores Almaraz, Richard J Montoya</v>
      </c>
      <c r="X1188" s="5">
        <f t="shared" si="4"/>
        <v>1</v>
      </c>
      <c r="Y1188" s="5" t="str">
        <f>IFERROR(__xludf.DUMMYFUNCTION("REGEXEXTRACT(J1188, ""^\d+"")"),"2")</f>
        <v>2</v>
      </c>
      <c r="Z1188" s="5" t="str">
        <f>IFERROR(__xludf.DUMMYFUNCTION("REGEXEXTRACT(J1188, ""[A-Za-z ]+$"")")," Seasons")</f>
        <v> Seasons</v>
      </c>
      <c r="AA1188" s="5" t="str">
        <f>IFERROR(__xludf.DUMMYFUNCTION("IF(REGEXMATCH(Z1188, ""Season""), ""TV Show"", ""Movie"")"),"TV Show")</f>
        <v>TV Show</v>
      </c>
    </row>
    <row r="1189">
      <c r="A1189" s="1" t="s">
        <v>7024</v>
      </c>
      <c r="B1189" s="1" t="s">
        <v>27</v>
      </c>
      <c r="C1189" s="1" t="s">
        <v>7025</v>
      </c>
      <c r="D1189" s="1" t="s">
        <v>2182</v>
      </c>
      <c r="E1189" s="1" t="s">
        <v>7026</v>
      </c>
      <c r="F1189" s="1" t="s">
        <v>30</v>
      </c>
      <c r="G1189" s="1" t="s">
        <v>7021</v>
      </c>
      <c r="H1189" s="1">
        <v>2021.0</v>
      </c>
      <c r="I1189" s="1" t="s">
        <v>378</v>
      </c>
      <c r="J1189" s="1" t="s">
        <v>379</v>
      </c>
      <c r="K1189" s="1" t="s">
        <v>171</v>
      </c>
      <c r="L1189" s="1" t="s">
        <v>7027</v>
      </c>
      <c r="M1189" s="2" t="s">
        <v>12</v>
      </c>
      <c r="N1189" s="4">
        <f t="shared" si="1"/>
        <v>44273</v>
      </c>
      <c r="O1189" s="5" t="str">
        <f>IFERROR(__xludf.DUMMYFUNCTION("IF(REGEXMATCH(TRIM(I1189), ""^\d+\s*min""), ""Unclassified"", IF(I1189 = """", ""NR"", I1189))"),"R")</f>
        <v>R</v>
      </c>
      <c r="R1189" s="5" t="str">
        <f t="shared" si="2"/>
        <v>Deadly Illusions</v>
      </c>
      <c r="S1189" s="5" t="str">
        <f>IFERROR(__xludf.DUMMYFUNCTION("""COMPUTED_VALUE"""),"Boy Bye")</f>
        <v>Boy Bye</v>
      </c>
      <c r="U1189" s="5" t="str">
        <f>IFERROR(__xludf.DUMMYFUNCTION("""COMPUTED_VALUE"""),"Sean Anders")</f>
        <v>Sean Anders</v>
      </c>
      <c r="V1189" s="5" t="s">
        <v>7028</v>
      </c>
      <c r="W1189" s="5" t="str">
        <f t="shared" si="3"/>
        <v>Elvira Lind</v>
      </c>
      <c r="X1189" s="5">
        <f t="shared" si="4"/>
        <v>1</v>
      </c>
      <c r="Y1189" s="5" t="str">
        <f>IFERROR(__xludf.DUMMYFUNCTION("REGEXEXTRACT(J1189, ""^\d+"")"),"115")</f>
        <v>115</v>
      </c>
      <c r="Z1189" s="5" t="str">
        <f>IFERROR(__xludf.DUMMYFUNCTION("REGEXEXTRACT(J1189, ""[A-Za-z ]+$"")")," min")</f>
        <v> min</v>
      </c>
      <c r="AA1189" s="5" t="str">
        <f>IFERROR(__xludf.DUMMYFUNCTION("IF(REGEXMATCH(Z1189, ""Season""), ""TV Show"", ""Movie"")"),"Movie")</f>
        <v>Movie</v>
      </c>
    </row>
    <row r="1190">
      <c r="A1190" s="1" t="s">
        <v>7029</v>
      </c>
      <c r="B1190" s="1" t="s">
        <v>27</v>
      </c>
      <c r="C1190" s="1" t="s">
        <v>7030</v>
      </c>
      <c r="D1190" s="1" t="s">
        <v>7031</v>
      </c>
      <c r="E1190" s="1" t="s">
        <v>7032</v>
      </c>
      <c r="F1190" s="1" t="s">
        <v>1992</v>
      </c>
      <c r="G1190" s="1" t="s">
        <v>7021</v>
      </c>
      <c r="H1190" s="1">
        <v>2021.0</v>
      </c>
      <c r="I1190" s="1" t="s">
        <v>97</v>
      </c>
      <c r="J1190" s="1" t="s">
        <v>357</v>
      </c>
      <c r="K1190" s="1" t="s">
        <v>1328</v>
      </c>
      <c r="L1190" s="1" t="s">
        <v>7033</v>
      </c>
      <c r="M1190" s="2" t="s">
        <v>12</v>
      </c>
      <c r="N1190" s="4">
        <f t="shared" si="1"/>
        <v>44273</v>
      </c>
      <c r="O1190" s="5" t="str">
        <f>IFERROR(__xludf.DUMMYFUNCTION("IF(REGEXMATCH(TRIM(I1190), ""^\d+\s*min""), ""Unclassified"", IF(I1190 = """", ""NR"", I1190))"),"TV-14")</f>
        <v>TV-14</v>
      </c>
      <c r="R1190" s="5" t="str">
        <f t="shared" si="2"/>
        <v>Get The Goat</v>
      </c>
      <c r="S1190" s="5" t="str">
        <f>IFERROR(__xludf.DUMMYFUNCTION("""COMPUTED_VALUE"""),"Boy Missing")</f>
        <v>Boy Missing</v>
      </c>
      <c r="U1190" s="5" t="str">
        <f>IFERROR(__xludf.DUMMYFUNCTION("""COMPUTED_VALUE"""),"Abbas Mustan")</f>
        <v>Abbas Mustan</v>
      </c>
      <c r="V1190" s="5" t="s">
        <v>7034</v>
      </c>
      <c r="W1190" s="5" t="str">
        <f t="shared" si="3"/>
        <v>Emanuel Hoss-Desmarais</v>
      </c>
      <c r="X1190" s="5">
        <f t="shared" si="4"/>
        <v>1</v>
      </c>
      <c r="Y1190" s="5" t="str">
        <f>IFERROR(__xludf.DUMMYFUNCTION("REGEXEXTRACT(J1190, ""^\d+"")"),"98")</f>
        <v>98</v>
      </c>
      <c r="Z1190" s="5" t="str">
        <f>IFERROR(__xludf.DUMMYFUNCTION("REGEXEXTRACT(J1190, ""[A-Za-z ]+$"")")," min")</f>
        <v> min</v>
      </c>
      <c r="AA1190" s="5" t="str">
        <f>IFERROR(__xludf.DUMMYFUNCTION("IF(REGEXMATCH(Z1190, ""Season""), ""TV Show"", ""Movie"")"),"Movie")</f>
        <v>Movie</v>
      </c>
    </row>
    <row r="1191">
      <c r="A1191" s="1" t="s">
        <v>7035</v>
      </c>
      <c r="B1191" s="1" t="s">
        <v>27</v>
      </c>
      <c r="C1191" s="1" t="s">
        <v>7036</v>
      </c>
      <c r="D1191" s="1" t="s">
        <v>7037</v>
      </c>
      <c r="E1191" s="1" t="s">
        <v>7038</v>
      </c>
      <c r="F1191" s="1" t="s">
        <v>30</v>
      </c>
      <c r="G1191" s="1" t="s">
        <v>7021</v>
      </c>
      <c r="H1191" s="1">
        <v>2021.0</v>
      </c>
      <c r="I1191" s="1" t="s">
        <v>506</v>
      </c>
      <c r="J1191" s="1" t="s">
        <v>4639</v>
      </c>
      <c r="K1191" s="1" t="s">
        <v>1839</v>
      </c>
      <c r="L1191" s="1" t="s">
        <v>7039</v>
      </c>
      <c r="M1191" s="2" t="s">
        <v>12</v>
      </c>
      <c r="N1191" s="4">
        <f t="shared" si="1"/>
        <v>44273</v>
      </c>
      <c r="O1191" s="5" t="str">
        <f>IFERROR(__xludf.DUMMYFUNCTION("IF(REGEXMATCH(TRIM(I1191), ""^\d+\s*min""), ""Unclassified"", IF(I1191 = """", ""NR"", I1191))"),"TV-G")</f>
        <v>TV-G</v>
      </c>
      <c r="R1191" s="5" t="str">
        <f t="shared" si="2"/>
        <v>Nate Bargatze: The Greatest Average American</v>
      </c>
      <c r="S1191" s="5" t="str">
        <f>IFERROR(__xludf.DUMMYFUNCTION("""COMPUTED_VALUE"""),"Boyka: Undisputed")</f>
        <v>Boyka: Undisputed</v>
      </c>
      <c r="U1191" s="5" t="str">
        <f>IFERROR(__xludf.DUMMYFUNCTION("""COMPUTED_VALUE"""),"Duncan Mcmath")</f>
        <v>Duncan Mcmath</v>
      </c>
      <c r="V1191" s="5" t="s">
        <v>7040</v>
      </c>
      <c r="W1191" s="5" t="str">
        <f t="shared" si="3"/>
        <v>Emcy Joseph</v>
      </c>
      <c r="X1191" s="5">
        <f t="shared" si="4"/>
        <v>1</v>
      </c>
      <c r="Y1191" s="5" t="str">
        <f>IFERROR(__xludf.DUMMYFUNCTION("REGEXEXTRACT(J1191, ""^\d+"")"),"60")</f>
        <v>60</v>
      </c>
      <c r="Z1191" s="5" t="str">
        <f>IFERROR(__xludf.DUMMYFUNCTION("REGEXEXTRACT(J1191, ""[A-Za-z ]+$"")")," min")</f>
        <v> min</v>
      </c>
      <c r="AA1191" s="5" t="str">
        <f>IFERROR(__xludf.DUMMYFUNCTION("IF(REGEXMATCH(Z1191, ""Season""), ""TV Show"", ""Movie"")"),"Movie")</f>
        <v>Movie</v>
      </c>
    </row>
    <row r="1192">
      <c r="A1192" s="1" t="s">
        <v>7041</v>
      </c>
      <c r="B1192" s="1" t="s">
        <v>27</v>
      </c>
      <c r="C1192" s="1" t="s">
        <v>7042</v>
      </c>
      <c r="D1192" s="1" t="s">
        <v>7043</v>
      </c>
      <c r="E1192" s="1" t="s">
        <v>7044</v>
      </c>
      <c r="F1192" s="1" t="s">
        <v>686</v>
      </c>
      <c r="G1192" s="1" t="s">
        <v>7021</v>
      </c>
      <c r="H1192" s="1">
        <v>2020.0</v>
      </c>
      <c r="I1192" s="1" t="s">
        <v>378</v>
      </c>
      <c r="J1192" s="1" t="s">
        <v>519</v>
      </c>
      <c r="K1192" s="1" t="s">
        <v>380</v>
      </c>
      <c r="L1192" s="1" t="s">
        <v>7045</v>
      </c>
      <c r="M1192" s="2" t="s">
        <v>12</v>
      </c>
      <c r="N1192" s="4">
        <f t="shared" si="1"/>
        <v>44273</v>
      </c>
      <c r="O1192" s="5" t="str">
        <f>IFERROR(__xludf.DUMMYFUNCTION("IF(REGEXMATCH(TRIM(I1192), ""^\d+\s*min""), ""Unclassified"", IF(I1192 = """", ""NR"", I1192))"),"R")</f>
        <v>R</v>
      </c>
      <c r="R1192" s="5" t="str">
        <f t="shared" si="2"/>
        <v>Skylines</v>
      </c>
      <c r="S1192" s="5" t="str">
        <f>IFERROR(__xludf.DUMMYFUNCTION("""COMPUTED_VALUE"""),"Boys Over Flowers")</f>
        <v>Boys Over Flowers</v>
      </c>
      <c r="U1192" s="5" t="str">
        <f>IFERROR(__xludf.DUMMYFUNCTION("""COMPUTED_VALUE"""),"Dan Forgione, Pete Jacobs, Matt Whitlock")</f>
        <v>Dan Forgione, Pete Jacobs, Matt Whitlock</v>
      </c>
      <c r="V1192" s="5" t="s">
        <v>7046</v>
      </c>
      <c r="W1192" s="5" t="str">
        <f t="shared" si="3"/>
        <v>Emil Ben-Shimon</v>
      </c>
      <c r="X1192" s="5">
        <f t="shared" si="4"/>
        <v>1</v>
      </c>
      <c r="Y1192" s="5" t="str">
        <f>IFERROR(__xludf.DUMMYFUNCTION("REGEXEXTRACT(J1192, ""^\d+"")"),"113")</f>
        <v>113</v>
      </c>
      <c r="Z1192" s="5" t="str">
        <f>IFERROR(__xludf.DUMMYFUNCTION("REGEXEXTRACT(J1192, ""[A-Za-z ]+$"")")," min")</f>
        <v> min</v>
      </c>
      <c r="AA1192" s="5" t="str">
        <f>IFERROR(__xludf.DUMMYFUNCTION("IF(REGEXMATCH(Z1192, ""Season""), ""TV Show"", ""Movie"")"),"Movie")</f>
        <v>Movie</v>
      </c>
    </row>
    <row r="1193">
      <c r="A1193" s="1" t="s">
        <v>7047</v>
      </c>
      <c r="B1193" s="1" t="s">
        <v>27</v>
      </c>
      <c r="C1193" s="1" t="s">
        <v>7048</v>
      </c>
      <c r="D1193" s="1" t="s">
        <v>7049</v>
      </c>
      <c r="E1193" s="1" t="s">
        <v>7050</v>
      </c>
      <c r="F1193" s="1" t="s">
        <v>30</v>
      </c>
      <c r="G1193" s="1" t="s">
        <v>7021</v>
      </c>
      <c r="H1193" s="1">
        <v>2014.0</v>
      </c>
      <c r="I1193" s="1" t="s">
        <v>32</v>
      </c>
      <c r="J1193" s="1" t="s">
        <v>1091</v>
      </c>
      <c r="K1193" s="1" t="s">
        <v>1839</v>
      </c>
      <c r="L1193" s="1" t="s">
        <v>7051</v>
      </c>
      <c r="M1193" s="2" t="s">
        <v>12</v>
      </c>
      <c r="N1193" s="4">
        <f t="shared" si="1"/>
        <v>44273</v>
      </c>
      <c r="O1193" s="5" t="str">
        <f>IFERROR(__xludf.DUMMYFUNCTION("IF(REGEXMATCH(TRIM(I1193), ""^\d+\s*min""), ""Unclassified"", IF(I1193 = """", ""NR"", I1193))"),"PG-13")</f>
        <v>PG-13</v>
      </c>
      <c r="R1193" s="5" t="str">
        <f t="shared" si="2"/>
        <v>The Fluffy Movie</v>
      </c>
      <c r="S1193" s="5" t="str">
        <f>IFERROR(__xludf.DUMMYFUNCTION("""COMPUTED_VALUE"""),"Brad Paisley'S Comedy Rodeo")</f>
        <v>Brad Paisley'S Comedy Rodeo</v>
      </c>
      <c r="U1193" s="5" t="str">
        <f>IFERROR(__xludf.DUMMYFUNCTION("""COMPUTED_VALUE"""),"Francesco Carnesecchi")</f>
        <v>Francesco Carnesecchi</v>
      </c>
      <c r="V1193" s="5" t="s">
        <v>7052</v>
      </c>
      <c r="W1193" s="5" t="str">
        <f t="shared" si="3"/>
        <v>Emilio Martínez Lázaro</v>
      </c>
      <c r="X1193" s="5">
        <f t="shared" si="4"/>
        <v>1</v>
      </c>
      <c r="Y1193" s="5" t="str">
        <f>IFERROR(__xludf.DUMMYFUNCTION("REGEXEXTRACT(J1193, ""^\d+"")"),"101")</f>
        <v>101</v>
      </c>
      <c r="Z1193" s="5" t="str">
        <f>IFERROR(__xludf.DUMMYFUNCTION("REGEXEXTRACT(J1193, ""[A-Za-z ]+$"")")," min")</f>
        <v> min</v>
      </c>
      <c r="AA1193" s="5" t="str">
        <f>IFERROR(__xludf.DUMMYFUNCTION("IF(REGEXMATCH(Z1193, ""Season""), ""TV Show"", ""Movie"")"),"Movie")</f>
        <v>Movie</v>
      </c>
    </row>
    <row r="1194">
      <c r="A1194" s="1" t="s">
        <v>7053</v>
      </c>
      <c r="B1194" s="1" t="s">
        <v>27</v>
      </c>
      <c r="C1194" s="1" t="s">
        <v>7054</v>
      </c>
      <c r="D1194" s="1" t="s">
        <v>7055</v>
      </c>
      <c r="E1194" s="1" t="s">
        <v>7056</v>
      </c>
      <c r="F1194" s="1" t="s">
        <v>7057</v>
      </c>
      <c r="G1194" s="1" t="s">
        <v>7021</v>
      </c>
      <c r="H1194" s="1">
        <v>2020.0</v>
      </c>
      <c r="I1194" s="1" t="s">
        <v>42</v>
      </c>
      <c r="J1194" s="1" t="s">
        <v>7058</v>
      </c>
      <c r="K1194" s="1" t="s">
        <v>128</v>
      </c>
      <c r="L1194" s="1" t="s">
        <v>7059</v>
      </c>
      <c r="M1194" s="2" t="s">
        <v>12</v>
      </c>
      <c r="N1194" s="4">
        <f t="shared" si="1"/>
        <v>44273</v>
      </c>
      <c r="O1194" s="5" t="str">
        <f>IFERROR(__xludf.DUMMYFUNCTION("IF(REGEXMATCH(TRIM(I1194), ""^\d+\s*min""), ""Unclassified"", IF(I1194 = """", ""NR"", I1194))"),"TV-MA")</f>
        <v>TV-MA</v>
      </c>
      <c r="R1194" s="5" t="str">
        <f t="shared" si="2"/>
        <v>The Present</v>
      </c>
      <c r="S1194" s="5" t="str">
        <f>IFERROR(__xludf.DUMMYFUNCTION("""COMPUTED_VALUE"""),"Brahman Naman")</f>
        <v>Brahman Naman</v>
      </c>
      <c r="U1194" s="5" t="str">
        <f>IFERROR(__xludf.DUMMYFUNCTION("""COMPUTED_VALUE"""),"Greg Tiernan")</f>
        <v>Greg Tiernan</v>
      </c>
      <c r="V1194" s="5" t="s">
        <v>7060</v>
      </c>
      <c r="W1194" s="5" t="str">
        <f t="shared" si="3"/>
        <v>Emily Hagins</v>
      </c>
      <c r="X1194" s="5">
        <f t="shared" si="4"/>
        <v>1</v>
      </c>
      <c r="Y1194" s="5" t="str">
        <f>IFERROR(__xludf.DUMMYFUNCTION("REGEXEXTRACT(J1194, ""^\d+"")"),"24")</f>
        <v>24</v>
      </c>
      <c r="Z1194" s="5" t="str">
        <f>IFERROR(__xludf.DUMMYFUNCTION("REGEXEXTRACT(J1194, ""[A-Za-z ]+$"")")," min")</f>
        <v> min</v>
      </c>
      <c r="AA1194" s="5" t="str">
        <f>IFERROR(__xludf.DUMMYFUNCTION("IF(REGEXMATCH(Z1194, ""Season""), ""TV Show"", ""Movie"")"),"Movie")</f>
        <v>Movie</v>
      </c>
    </row>
    <row r="1195">
      <c r="A1195" s="1" t="s">
        <v>7061</v>
      </c>
      <c r="B1195" s="1" t="s">
        <v>27</v>
      </c>
      <c r="C1195" s="1" t="s">
        <v>7062</v>
      </c>
      <c r="D1195" s="1" t="s">
        <v>532</v>
      </c>
      <c r="E1195" s="1" t="s">
        <v>7063</v>
      </c>
      <c r="G1195" s="1" t="s">
        <v>7021</v>
      </c>
      <c r="H1195" s="1">
        <v>2020.0</v>
      </c>
      <c r="I1195" s="1" t="s">
        <v>136</v>
      </c>
      <c r="J1195" s="1" t="s">
        <v>7064</v>
      </c>
      <c r="K1195" s="1" t="s">
        <v>2892</v>
      </c>
      <c r="L1195" s="1" t="s">
        <v>7065</v>
      </c>
      <c r="M1195" s="2" t="s">
        <v>12</v>
      </c>
      <c r="N1195" s="4">
        <f t="shared" si="1"/>
        <v>44273</v>
      </c>
      <c r="O1195" s="5" t="str">
        <f>IFERROR(__xludf.DUMMYFUNCTION("IF(REGEXMATCH(TRIM(I1195), ""^\d+\s*min""), ""Unclassified"", IF(I1195 = """", ""NR"", I1195))"),"TV-PG")</f>
        <v>TV-PG</v>
      </c>
      <c r="R1195" s="5" t="str">
        <f t="shared" si="2"/>
        <v>Wave Of Cinema: 90'S Generation</v>
      </c>
      <c r="S1195" s="5" t="str">
        <f>IFERROR(__xludf.DUMMYFUNCTION("""COMPUTED_VALUE"""),"Brain Games")</f>
        <v>Brain Games</v>
      </c>
      <c r="U1195" s="5" t="str">
        <f>IFERROR(__xludf.DUMMYFUNCTION("""COMPUTED_VALUE"""),"Mark Thornton, Todd Kauffman")</f>
        <v>Mark Thornton, Todd Kauffman</v>
      </c>
      <c r="V1195" s="5" t="s">
        <v>7066</v>
      </c>
      <c r="W1195" s="5" t="str">
        <f t="shared" si="3"/>
        <v>Emir Kusturica</v>
      </c>
      <c r="X1195" s="5">
        <f t="shared" si="4"/>
        <v>1</v>
      </c>
      <c r="Y1195" s="5" t="str">
        <f>IFERROR(__xludf.DUMMYFUNCTION("REGEXEXTRACT(J1195, ""^\d+"")"),"51")</f>
        <v>51</v>
      </c>
      <c r="Z1195" s="5" t="str">
        <f>IFERROR(__xludf.DUMMYFUNCTION("REGEXEXTRACT(J1195, ""[A-Za-z ]+$"")")," min")</f>
        <v> min</v>
      </c>
      <c r="AA1195" s="5" t="str">
        <f>IFERROR(__xludf.DUMMYFUNCTION("IF(REGEXMATCH(Z1195, ""Season""), ""TV Show"", ""Movie"")"),"Movie")</f>
        <v>Movie</v>
      </c>
    </row>
    <row r="1196">
      <c r="A1196" s="1" t="s">
        <v>7067</v>
      </c>
      <c r="B1196" s="1" t="s">
        <v>27</v>
      </c>
      <c r="C1196" s="8" t="s">
        <v>7068</v>
      </c>
      <c r="D1196" s="1" t="s">
        <v>7069</v>
      </c>
      <c r="E1196" s="1" t="s">
        <v>7070</v>
      </c>
      <c r="F1196" s="1" t="s">
        <v>400</v>
      </c>
      <c r="G1196" s="1" t="s">
        <v>7071</v>
      </c>
      <c r="H1196" s="1">
        <v>2017.0</v>
      </c>
      <c r="I1196" s="1" t="s">
        <v>97</v>
      </c>
      <c r="J1196" s="1" t="s">
        <v>729</v>
      </c>
      <c r="K1196" s="1" t="s">
        <v>298</v>
      </c>
      <c r="L1196" s="1" t="s">
        <v>7072</v>
      </c>
      <c r="M1196" s="2" t="s">
        <v>12</v>
      </c>
      <c r="N1196" s="4">
        <f t="shared" si="1"/>
        <v>44272</v>
      </c>
      <c r="O1196" s="5" t="str">
        <f>IFERROR(__xludf.DUMMYFUNCTION("IF(REGEXMATCH(TRIM(I1196), ""^\d+\s*min""), ""Unclassified"", IF(I1196 = """", ""NR"", I1196))"),"TV-14")</f>
        <v>TV-14</v>
      </c>
      <c r="R1196" s="9" t="str">
        <f t="shared" si="2"/>
        <v>Catch.Er</v>
      </c>
      <c r="S1196" s="5" t="str">
        <f>IFERROR(__xludf.DUMMYFUNCTION("""COMPUTED_VALUE"""),"Brain On Fire")</f>
        <v>Brain On Fire</v>
      </c>
      <c r="U1196" s="5" t="str">
        <f>IFERROR(__xludf.DUMMYFUNCTION("""COMPUTED_VALUE"""),"Shamzu Zayba")</f>
        <v>Shamzu Zayba</v>
      </c>
      <c r="V1196" s="5" t="s">
        <v>7073</v>
      </c>
      <c r="W1196" s="5" t="str">
        <f t="shared" si="3"/>
        <v>Emma Hatherley</v>
      </c>
      <c r="X1196" s="5">
        <f t="shared" si="4"/>
        <v>1</v>
      </c>
      <c r="Y1196" s="5" t="str">
        <f>IFERROR(__xludf.DUMMYFUNCTION("REGEXEXTRACT(J1196, ""^\d+"")"),"80")</f>
        <v>80</v>
      </c>
      <c r="Z1196" s="5" t="str">
        <f>IFERROR(__xludf.DUMMYFUNCTION("REGEXEXTRACT(J1196, ""[A-Za-z ]+$"")")," min")</f>
        <v> min</v>
      </c>
      <c r="AA1196" s="5" t="str">
        <f>IFERROR(__xludf.DUMMYFUNCTION("IF(REGEXMATCH(Z1196, ""Season""), ""TV Show"", ""Movie"")"),"Movie")</f>
        <v>Movie</v>
      </c>
    </row>
    <row r="1197">
      <c r="A1197" s="1" t="s">
        <v>7074</v>
      </c>
      <c r="B1197" s="1" t="s">
        <v>27</v>
      </c>
      <c r="C1197" s="1" t="s">
        <v>7075</v>
      </c>
      <c r="D1197" s="1" t="s">
        <v>4810</v>
      </c>
      <c r="E1197" s="1" t="s">
        <v>7076</v>
      </c>
      <c r="F1197" s="1" t="s">
        <v>30</v>
      </c>
      <c r="G1197" s="1" t="s">
        <v>7071</v>
      </c>
      <c r="H1197" s="1">
        <v>2021.0</v>
      </c>
      <c r="I1197" s="1" t="s">
        <v>378</v>
      </c>
      <c r="J1197" s="1" t="s">
        <v>433</v>
      </c>
      <c r="K1197" s="1" t="s">
        <v>34</v>
      </c>
      <c r="L1197" s="1" t="s">
        <v>7077</v>
      </c>
      <c r="M1197" s="2" t="s">
        <v>12</v>
      </c>
      <c r="N1197" s="4">
        <f t="shared" si="1"/>
        <v>44272</v>
      </c>
      <c r="O1197" s="5" t="str">
        <f>IFERROR(__xludf.DUMMYFUNCTION("IF(REGEXMATCH(TRIM(I1197), ""^\d+\s*min""), ""Unclassified"", IF(I1197 = """", ""NR"", I1197))"),"R")</f>
        <v>R</v>
      </c>
      <c r="R1197" s="5" t="str">
        <f t="shared" si="2"/>
        <v>Operation Varsity Blues: The College Admissions Scandal</v>
      </c>
      <c r="S1197" s="5" t="str">
        <f>IFERROR(__xludf.DUMMYFUNCTION("""COMPUTED_VALUE"""),"Brainchild")</f>
        <v>Brainchild</v>
      </c>
      <c r="U1197" s="5" t="str">
        <f>IFERROR(__xludf.DUMMYFUNCTION("""COMPUTED_VALUE"""),"Jesse V. Johnson")</f>
        <v>Jesse V. Johnson</v>
      </c>
      <c r="V1197" s="5" t="s">
        <v>4997</v>
      </c>
      <c r="W1197" s="5" t="str">
        <f t="shared" si="3"/>
        <v>Emma Tammi</v>
      </c>
      <c r="X1197" s="5">
        <f t="shared" si="4"/>
        <v>1</v>
      </c>
      <c r="Y1197" s="5" t="str">
        <f>IFERROR(__xludf.DUMMYFUNCTION("REGEXEXTRACT(J1197, ""^\d+"")"),"100")</f>
        <v>100</v>
      </c>
      <c r="Z1197" s="5" t="str">
        <f>IFERROR(__xludf.DUMMYFUNCTION("REGEXEXTRACT(J1197, ""[A-Za-z ]+$"")")," min")</f>
        <v> min</v>
      </c>
      <c r="AA1197" s="5" t="str">
        <f>IFERROR(__xludf.DUMMYFUNCTION("IF(REGEXMATCH(Z1197, ""Season""), ""TV Show"", ""Movie"")"),"Movie")</f>
        <v>Movie</v>
      </c>
    </row>
    <row r="1198">
      <c r="A1198" s="1" t="s">
        <v>7078</v>
      </c>
      <c r="B1198" s="1" t="s">
        <v>37</v>
      </c>
      <c r="C1198" s="1" t="s">
        <v>7079</v>
      </c>
      <c r="D1198" s="1" t="s">
        <v>843</v>
      </c>
      <c r="F1198" s="1" t="s">
        <v>671</v>
      </c>
      <c r="G1198" s="1" t="s">
        <v>7071</v>
      </c>
      <c r="H1198" s="1">
        <v>2021.0</v>
      </c>
      <c r="I1198" s="1" t="s">
        <v>97</v>
      </c>
      <c r="J1198" s="1" t="s">
        <v>51</v>
      </c>
      <c r="K1198" s="1" t="s">
        <v>112</v>
      </c>
      <c r="L1198" s="1" t="s">
        <v>7080</v>
      </c>
      <c r="M1198" s="2" t="s">
        <v>12</v>
      </c>
      <c r="N1198" s="4">
        <f t="shared" si="1"/>
        <v>44272</v>
      </c>
      <c r="O1198" s="5" t="str">
        <f>IFERROR(__xludf.DUMMYFUNCTION("IF(REGEXMATCH(TRIM(I1198), ""^\d+\s*min""), ""Unclassified"", IF(I1198 = """", ""NR"", I1198))"),"TV-14")</f>
        <v>TV-14</v>
      </c>
      <c r="R1198" s="5" t="str">
        <f t="shared" si="2"/>
        <v>Under Suspicion: Uncovering The Wesphael Case</v>
      </c>
      <c r="S1198" s="5" t="str">
        <f>IFERROR(__xludf.DUMMYFUNCTION("""COMPUTED_VALUE"""),"Brampton'S Own")</f>
        <v>Brampton'S Own</v>
      </c>
      <c r="U1198" s="5" t="str">
        <f>IFERROR(__xludf.DUMMYFUNCTION("""COMPUTED_VALUE"""),"Brett Haley")</f>
        <v>Brett Haley</v>
      </c>
      <c r="V1198" s="5" t="s">
        <v>7081</v>
      </c>
      <c r="W1198" s="5" t="str">
        <f t="shared" si="3"/>
        <v>Emmanuel Amara</v>
      </c>
      <c r="X1198" s="5">
        <f t="shared" si="4"/>
        <v>1</v>
      </c>
      <c r="Y1198" s="5" t="str">
        <f>IFERROR(__xludf.DUMMYFUNCTION("REGEXEXTRACT(J1198, ""^\d+"")"),"1")</f>
        <v>1</v>
      </c>
      <c r="Z1198" s="5" t="str">
        <f>IFERROR(__xludf.DUMMYFUNCTION("REGEXEXTRACT(J1198, ""[A-Za-z ]+$"")")," Season")</f>
        <v> Season</v>
      </c>
      <c r="AA1198" s="5" t="str">
        <f>IFERROR(__xludf.DUMMYFUNCTION("IF(REGEXMATCH(Z1198, ""Season""), ""TV Show"", ""Movie"")"),"TV Show")</f>
        <v>TV Show</v>
      </c>
    </row>
    <row r="1199">
      <c r="A1199" s="1" t="s">
        <v>7082</v>
      </c>
      <c r="B1199" s="1" t="s">
        <v>27</v>
      </c>
      <c r="C1199" s="1" t="s">
        <v>7083</v>
      </c>
      <c r="D1199" s="1" t="s">
        <v>7084</v>
      </c>
      <c r="E1199" s="1" t="s">
        <v>7085</v>
      </c>
      <c r="F1199" s="1" t="s">
        <v>686</v>
      </c>
      <c r="G1199" s="1" t="s">
        <v>7086</v>
      </c>
      <c r="H1199" s="1">
        <v>2014.0</v>
      </c>
      <c r="I1199" s="1" t="s">
        <v>32</v>
      </c>
      <c r="J1199" s="1" t="s">
        <v>1938</v>
      </c>
      <c r="K1199" s="1" t="s">
        <v>7087</v>
      </c>
      <c r="L1199" s="1" t="s">
        <v>7088</v>
      </c>
      <c r="M1199" s="2" t="s">
        <v>12</v>
      </c>
      <c r="N1199" s="4">
        <f t="shared" si="1"/>
        <v>44271</v>
      </c>
      <c r="O1199" s="5" t="str">
        <f>IFERROR(__xludf.DUMMYFUNCTION("IF(REGEXMATCH(TRIM(I1199), ""^\d+\s*min""), ""Unclassified"", IF(I1199 = """", ""NR"", I1199))"),"PG-13")</f>
        <v>PG-13</v>
      </c>
      <c r="R1199" s="5" t="str">
        <f t="shared" si="2"/>
        <v>Get On Up</v>
      </c>
      <c r="S1199" s="5" t="str">
        <f>IFERROR(__xludf.DUMMYFUNCTION("""COMPUTED_VALUE"""),"Brand New Cherry Flavor")</f>
        <v>Brand New Cherry Flavor</v>
      </c>
      <c r="U1199" s="5" t="str">
        <f>IFERROR(__xludf.DUMMYFUNCTION("""COMPUTED_VALUE"""),"Chris Roland, Maradona Dias Dos Santos")</f>
        <v>Chris Roland, Maradona Dias Dos Santos</v>
      </c>
      <c r="V1199" s="5" t="s">
        <v>7089</v>
      </c>
      <c r="W1199" s="5" t="str">
        <f t="shared" si="3"/>
        <v>Emmanuel Mouret</v>
      </c>
      <c r="X1199" s="5">
        <f t="shared" si="4"/>
        <v>1</v>
      </c>
      <c r="Y1199" s="5" t="str">
        <f>IFERROR(__xludf.DUMMYFUNCTION("REGEXEXTRACT(J1199, ""^\d+"")"),"139")</f>
        <v>139</v>
      </c>
      <c r="Z1199" s="5" t="str">
        <f>IFERROR(__xludf.DUMMYFUNCTION("REGEXEXTRACT(J1199, ""[A-Za-z ]+$"")")," min")</f>
        <v> min</v>
      </c>
      <c r="AA1199" s="5" t="str">
        <f>IFERROR(__xludf.DUMMYFUNCTION("IF(REGEXMATCH(Z1199, ""Season""), ""TV Show"", ""Movie"")"),"Movie")</f>
        <v>Movie</v>
      </c>
    </row>
    <row r="1200">
      <c r="A1200" s="1" t="s">
        <v>7090</v>
      </c>
      <c r="B1200" s="1" t="s">
        <v>27</v>
      </c>
      <c r="C1200" s="1" t="s">
        <v>7091</v>
      </c>
      <c r="D1200" s="1" t="s">
        <v>7092</v>
      </c>
      <c r="E1200" s="1" t="s">
        <v>7093</v>
      </c>
      <c r="F1200" s="1" t="s">
        <v>2492</v>
      </c>
      <c r="G1200" s="1" t="s">
        <v>7086</v>
      </c>
      <c r="H1200" s="1">
        <v>2021.0</v>
      </c>
      <c r="I1200" s="1" t="s">
        <v>42</v>
      </c>
      <c r="J1200" s="1" t="s">
        <v>2699</v>
      </c>
      <c r="K1200" s="1" t="s">
        <v>1839</v>
      </c>
      <c r="L1200" s="1" t="s">
        <v>7094</v>
      </c>
      <c r="M1200" s="2" t="s">
        <v>12</v>
      </c>
      <c r="N1200" s="4">
        <f t="shared" si="1"/>
        <v>44271</v>
      </c>
      <c r="O1200" s="5" t="str">
        <f>IFERROR(__xludf.DUMMYFUNCTION("IF(REGEXMATCH(TRIM(I1200), ""^\d+\s*min""), ""Unclassified"", IF(I1200 = """", ""NR"", I1200))"),"TV-MA")</f>
        <v>TV-MA</v>
      </c>
      <c r="R1200" s="5" t="str">
        <f t="shared" si="2"/>
        <v>Rebellcomedy: Straight Outta The Zoo</v>
      </c>
      <c r="S1200" s="5" t="str">
        <f>IFERROR(__xludf.DUMMYFUNCTION("""COMPUTED_VALUE"""),"Bratz: The Movie")</f>
        <v>Bratz: The Movie</v>
      </c>
      <c r="U1200" s="5" t="str">
        <f>IFERROR(__xludf.DUMMYFUNCTION("""COMPUTED_VALUE"""),"David Galán Galindo")</f>
        <v>David Galán Galindo</v>
      </c>
      <c r="V1200" s="5" t="s">
        <v>7095</v>
      </c>
      <c r="W1200" s="5" t="str">
        <f t="shared" si="3"/>
        <v>Emmett Malloy</v>
      </c>
      <c r="X1200" s="5">
        <f t="shared" si="4"/>
        <v>1</v>
      </c>
      <c r="Y1200" s="5" t="str">
        <f>IFERROR(__xludf.DUMMYFUNCTION("REGEXEXTRACT(J1200, ""^\d+"")"),"74")</f>
        <v>74</v>
      </c>
      <c r="Z1200" s="5" t="str">
        <f>IFERROR(__xludf.DUMMYFUNCTION("REGEXEXTRACT(J1200, ""[A-Za-z ]+$"")")," min")</f>
        <v> min</v>
      </c>
      <c r="AA1200" s="5" t="str">
        <f>IFERROR(__xludf.DUMMYFUNCTION("IF(REGEXMATCH(Z1200, ""Season""), ""TV Show"", ""Movie"")"),"Movie")</f>
        <v>Movie</v>
      </c>
    </row>
    <row r="1201">
      <c r="A1201" s="1" t="s">
        <v>7096</v>
      </c>
      <c r="B1201" s="1" t="s">
        <v>27</v>
      </c>
      <c r="C1201" s="1" t="s">
        <v>7097</v>
      </c>
      <c r="D1201" s="1" t="s">
        <v>7098</v>
      </c>
      <c r="E1201" s="1" t="s">
        <v>7099</v>
      </c>
      <c r="F1201" s="1" t="s">
        <v>30</v>
      </c>
      <c r="G1201" s="1" t="s">
        <v>7086</v>
      </c>
      <c r="H1201" s="1">
        <v>2012.0</v>
      </c>
      <c r="I1201" s="1" t="s">
        <v>378</v>
      </c>
      <c r="J1201" s="1" t="s">
        <v>2859</v>
      </c>
      <c r="K1201" s="1" t="s">
        <v>394</v>
      </c>
      <c r="L1201" s="1" t="s">
        <v>7100</v>
      </c>
      <c r="M1201" s="2" t="s">
        <v>12</v>
      </c>
      <c r="N1201" s="4">
        <f t="shared" si="1"/>
        <v>44271</v>
      </c>
      <c r="O1201" s="5" t="str">
        <f>IFERROR(__xludf.DUMMYFUNCTION("IF(REGEXMATCH(TRIM(I1201), ""^\d+\s*min""), ""Unclassified"", IF(I1201 = """", ""NR"", I1201))"),"R")</f>
        <v>R</v>
      </c>
      <c r="R1201" s="5" t="str">
        <f t="shared" si="2"/>
        <v>Savages</v>
      </c>
      <c r="S1201" s="5" t="str">
        <f>IFERROR(__xludf.DUMMYFUNCTION("""COMPUTED_VALUE"""),"Brave Animated Series")</f>
        <v>Brave Animated Series</v>
      </c>
      <c r="U1201" s="5" t="str">
        <f>IFERROR(__xludf.DUMMYFUNCTION("""COMPUTED_VALUE"""),"David Moreton")</f>
        <v>David Moreton</v>
      </c>
      <c r="V1201" s="5" t="s">
        <v>6528</v>
      </c>
      <c r="W1201" s="5" t="str">
        <f t="shared" si="3"/>
        <v>Enah Johnscott</v>
      </c>
      <c r="X1201" s="5">
        <f t="shared" si="4"/>
        <v>1</v>
      </c>
      <c r="Y1201" s="5" t="str">
        <f>IFERROR(__xludf.DUMMYFUNCTION("REGEXEXTRACT(J1201, ""^\d+"")"),"131")</f>
        <v>131</v>
      </c>
      <c r="Z1201" s="5" t="str">
        <f>IFERROR(__xludf.DUMMYFUNCTION("REGEXEXTRACT(J1201, ""[A-Za-z ]+$"")")," min")</f>
        <v> min</v>
      </c>
      <c r="AA1201" s="5" t="str">
        <f>IFERROR(__xludf.DUMMYFUNCTION("IF(REGEXMATCH(Z1201, ""Season""), ""TV Show"", ""Movie"")"),"Movie")</f>
        <v>Movie</v>
      </c>
    </row>
    <row r="1202">
      <c r="A1202" s="1" t="s">
        <v>7101</v>
      </c>
      <c r="B1202" s="1" t="s">
        <v>37</v>
      </c>
      <c r="C1202" s="1" t="s">
        <v>7102</v>
      </c>
      <c r="E1202" s="1" t="s">
        <v>7103</v>
      </c>
      <c r="F1202" s="1" t="s">
        <v>30</v>
      </c>
      <c r="G1202" s="1" t="s">
        <v>7086</v>
      </c>
      <c r="H1202" s="1">
        <v>2021.0</v>
      </c>
      <c r="I1202" s="1" t="s">
        <v>206</v>
      </c>
      <c r="J1202" s="1" t="s">
        <v>51</v>
      </c>
      <c r="K1202" s="1" t="s">
        <v>290</v>
      </c>
      <c r="L1202" s="1" t="s">
        <v>7104</v>
      </c>
      <c r="M1202" s="2" t="s">
        <v>12</v>
      </c>
      <c r="N1202" s="4">
        <f t="shared" si="1"/>
        <v>44271</v>
      </c>
      <c r="O1202" s="5" t="str">
        <f>IFERROR(__xludf.DUMMYFUNCTION("IF(REGEXMATCH(TRIM(I1202), ""^\d+\s*min""), ""Unclassified"", IF(I1202 = """", ""NR"", I1202))"),"TV-Y")</f>
        <v>TV-Y</v>
      </c>
      <c r="R1202" s="5" t="str">
        <f t="shared" si="2"/>
        <v>Waffles + Mochi</v>
      </c>
      <c r="S1202" s="5" t="str">
        <f>IFERROR(__xludf.DUMMYFUNCTION("""COMPUTED_VALUE"""),"Brave Blue World: Racing To Solve Our Water Crisis")</f>
        <v>Brave Blue World: Racing To Solve Our Water Crisis</v>
      </c>
      <c r="U1202" s="5" t="str">
        <f>IFERROR(__xludf.DUMMYFUNCTION("""COMPUTED_VALUE"""),"Lester Hsi")</f>
        <v>Lester Hsi</v>
      </c>
      <c r="V1202" s="5" t="s">
        <v>7105</v>
      </c>
      <c r="W1202" s="5" t="str">
        <f t="shared" si="3"/>
        <v>Enrico Bisi</v>
      </c>
      <c r="X1202" s="5">
        <f t="shared" si="4"/>
        <v>1</v>
      </c>
      <c r="Y1202" s="5" t="str">
        <f>IFERROR(__xludf.DUMMYFUNCTION("REGEXEXTRACT(J1202, ""^\d+"")"),"1")</f>
        <v>1</v>
      </c>
      <c r="Z1202" s="5" t="str">
        <f>IFERROR(__xludf.DUMMYFUNCTION("REGEXEXTRACT(J1202, ""[A-Za-z ]+$"")")," Season")</f>
        <v> Season</v>
      </c>
      <c r="AA1202" s="5" t="str">
        <f>IFERROR(__xludf.DUMMYFUNCTION("IF(REGEXMATCH(Z1202, ""Season""), ""TV Show"", ""Movie"")"),"TV Show")</f>
        <v>TV Show</v>
      </c>
    </row>
    <row r="1203">
      <c r="A1203" s="1" t="s">
        <v>7106</v>
      </c>
      <c r="B1203" s="1" t="s">
        <v>37</v>
      </c>
      <c r="C1203" s="1" t="s">
        <v>7107</v>
      </c>
      <c r="E1203" s="1" t="s">
        <v>7108</v>
      </c>
      <c r="F1203" s="1" t="s">
        <v>3309</v>
      </c>
      <c r="G1203" s="1" t="s">
        <v>7109</v>
      </c>
      <c r="H1203" s="1">
        <v>2021.0</v>
      </c>
      <c r="I1203" s="1" t="s">
        <v>97</v>
      </c>
      <c r="J1203" s="1" t="s">
        <v>51</v>
      </c>
      <c r="K1203" s="1" t="s">
        <v>2493</v>
      </c>
      <c r="L1203" s="1" t="s">
        <v>7110</v>
      </c>
      <c r="M1203" s="2" t="s">
        <v>12</v>
      </c>
      <c r="N1203" s="4">
        <f t="shared" si="1"/>
        <v>44270</v>
      </c>
      <c r="O1203" s="5" t="str">
        <f>IFERROR(__xludf.DUMMYFUNCTION("IF(REGEXMATCH(TRIM(I1203), ""^\d+\s*min""), ""Unclassified"", IF(I1203 = """", ""NR"", I1203))"),"TV-14")</f>
        <v>TV-14</v>
      </c>
      <c r="R1203" s="5" t="str">
        <f t="shared" si="2"/>
        <v>Abla Fahita: Drama Queen</v>
      </c>
      <c r="S1203" s="5" t="str">
        <f>IFERROR(__xludf.DUMMYFUNCTION("""COMPUTED_VALUE"""),"Brave Miss World")</f>
        <v>Brave Miss World</v>
      </c>
      <c r="U1203" s="5" t="str">
        <f>IFERROR(__xludf.DUMMYFUNCTION("""COMPUTED_VALUE"""),"Cyrus Nowrasteh")</f>
        <v>Cyrus Nowrasteh</v>
      </c>
      <c r="V1203" s="5" t="s">
        <v>7111</v>
      </c>
      <c r="W1203" s="5" t="str">
        <f t="shared" si="3"/>
        <v>Enrique García Meza</v>
      </c>
      <c r="X1203" s="5">
        <f t="shared" si="4"/>
        <v>1</v>
      </c>
      <c r="Y1203" s="5" t="str">
        <f>IFERROR(__xludf.DUMMYFUNCTION("REGEXEXTRACT(J1203, ""^\d+"")"),"1")</f>
        <v>1</v>
      </c>
      <c r="Z1203" s="5" t="str">
        <f>IFERROR(__xludf.DUMMYFUNCTION("REGEXEXTRACT(J1203, ""[A-Za-z ]+$"")")," Season")</f>
        <v> Season</v>
      </c>
      <c r="AA1203" s="5" t="str">
        <f>IFERROR(__xludf.DUMMYFUNCTION("IF(REGEXMATCH(Z1203, ""Season""), ""TV Show"", ""Movie"")"),"TV Show")</f>
        <v>TV Show</v>
      </c>
    </row>
    <row r="1204">
      <c r="A1204" s="1" t="s">
        <v>7112</v>
      </c>
      <c r="B1204" s="1" t="s">
        <v>27</v>
      </c>
      <c r="C1204" s="1" t="s">
        <v>7113</v>
      </c>
      <c r="D1204" s="1" t="s">
        <v>7114</v>
      </c>
      <c r="E1204" s="1" t="s">
        <v>7115</v>
      </c>
      <c r="F1204" s="1" t="s">
        <v>63</v>
      </c>
      <c r="G1204" s="1" t="s">
        <v>7109</v>
      </c>
      <c r="H1204" s="1">
        <v>2021.0</v>
      </c>
      <c r="I1204" s="1" t="s">
        <v>97</v>
      </c>
      <c r="J1204" s="1" t="s">
        <v>2859</v>
      </c>
      <c r="K1204" s="1" t="s">
        <v>679</v>
      </c>
      <c r="L1204" s="1" t="s">
        <v>7116</v>
      </c>
      <c r="M1204" s="2" t="s">
        <v>12</v>
      </c>
      <c r="N1204" s="4">
        <f t="shared" si="1"/>
        <v>44270</v>
      </c>
      <c r="O1204" s="5" t="str">
        <f>IFERROR(__xludf.DUMMYFUNCTION("IF(REGEXMATCH(TRIM(I1204), ""^\d+\s*min""), ""Unclassified"", IF(I1204 = """", ""NR"", I1204))"),"TV-14")</f>
        <v>TV-14</v>
      </c>
      <c r="R1204" s="5" t="str">
        <f t="shared" si="2"/>
        <v>C/O Kaadhal</v>
      </c>
      <c r="S1204" s="5" t="str">
        <f>IFERROR(__xludf.DUMMYFUNCTION("""COMPUTED_VALUE"""),"Brave New Jersey")</f>
        <v>Brave New Jersey</v>
      </c>
      <c r="U1204" s="5" t="str">
        <f>IFERROR(__xludf.DUMMYFUNCTION("""COMPUTED_VALUE"""),"Isabel Sandoval")</f>
        <v>Isabel Sandoval</v>
      </c>
      <c r="V1204" s="5" t="s">
        <v>7117</v>
      </c>
      <c r="W1204" s="5" t="str">
        <f t="shared" si="3"/>
        <v>Eric Abrams</v>
      </c>
      <c r="X1204" s="5">
        <f t="shared" si="4"/>
        <v>1</v>
      </c>
      <c r="Y1204" s="5" t="str">
        <f>IFERROR(__xludf.DUMMYFUNCTION("REGEXEXTRACT(J1204, ""^\d+"")"),"131")</f>
        <v>131</v>
      </c>
      <c r="Z1204" s="5" t="str">
        <f>IFERROR(__xludf.DUMMYFUNCTION("REGEXEXTRACT(J1204, ""[A-Za-z ]+$"")")," min")</f>
        <v> min</v>
      </c>
      <c r="AA1204" s="5" t="str">
        <f>IFERROR(__xludf.DUMMYFUNCTION("IF(REGEXMATCH(Z1204, ""Season""), ""TV Show"", ""Movie"")"),"Movie")</f>
        <v>Movie</v>
      </c>
    </row>
    <row r="1205">
      <c r="A1205" s="1" t="s">
        <v>7118</v>
      </c>
      <c r="B1205" s="1" t="s">
        <v>27</v>
      </c>
      <c r="C1205" s="1" t="s">
        <v>7119</v>
      </c>
      <c r="D1205" s="1" t="s">
        <v>339</v>
      </c>
      <c r="E1205" s="1" t="s">
        <v>7120</v>
      </c>
      <c r="F1205" s="1" t="s">
        <v>7121</v>
      </c>
      <c r="G1205" s="1" t="s">
        <v>7109</v>
      </c>
      <c r="H1205" s="1">
        <v>2016.0</v>
      </c>
      <c r="I1205" s="1" t="s">
        <v>78</v>
      </c>
      <c r="J1205" s="1" t="s">
        <v>870</v>
      </c>
      <c r="K1205" s="1" t="s">
        <v>771</v>
      </c>
      <c r="L1205" s="1" t="s">
        <v>7122</v>
      </c>
      <c r="M1205" s="2" t="s">
        <v>12</v>
      </c>
      <c r="N1205" s="4">
        <f t="shared" si="1"/>
        <v>44270</v>
      </c>
      <c r="O1205" s="5" t="str">
        <f>IFERROR(__xludf.DUMMYFUNCTION("IF(REGEXMATCH(TRIM(I1205), ""^\d+\s*min""), ""Unclassified"", IF(I1205 = """", ""NR"", I1205))"),"PG")</f>
        <v>PG</v>
      </c>
      <c r="R1205" s="5" t="str">
        <f t="shared" si="2"/>
        <v>The Bfg</v>
      </c>
      <c r="S1205" s="5" t="str">
        <f>IFERROR(__xludf.DUMMYFUNCTION("""COMPUTED_VALUE"""),"Braven")</f>
        <v>Braven</v>
      </c>
      <c r="U1205" s="5" t="str">
        <f>IFERROR(__xludf.DUMMYFUNCTION("""COMPUTED_VALUE"""),"Nathan Wiley")</f>
        <v>Nathan Wiley</v>
      </c>
      <c r="V1205" s="5" t="s">
        <v>7123</v>
      </c>
      <c r="W1205" s="5" t="str">
        <f t="shared" si="3"/>
        <v>Eric Aghimien</v>
      </c>
      <c r="X1205" s="5">
        <f t="shared" si="4"/>
        <v>1</v>
      </c>
      <c r="Y1205" s="5" t="str">
        <f>IFERROR(__xludf.DUMMYFUNCTION("REGEXEXTRACT(J1205, ""^\d+"")"),"118")</f>
        <v>118</v>
      </c>
      <c r="Z1205" s="5" t="str">
        <f>IFERROR(__xludf.DUMMYFUNCTION("REGEXEXTRACT(J1205, ""[A-Za-z ]+$"")")," min")</f>
        <v> min</v>
      </c>
      <c r="AA1205" s="5" t="str">
        <f>IFERROR(__xludf.DUMMYFUNCTION("IF(REGEXMATCH(Z1205, ""Season""), ""TV Show"", ""Movie"")"),"Movie")</f>
        <v>Movie</v>
      </c>
    </row>
    <row r="1206">
      <c r="A1206" s="1" t="s">
        <v>7124</v>
      </c>
      <c r="B1206" s="1" t="s">
        <v>27</v>
      </c>
      <c r="C1206" s="1" t="s">
        <v>7125</v>
      </c>
      <c r="D1206" s="1" t="s">
        <v>7126</v>
      </c>
      <c r="F1206" s="1" t="s">
        <v>30</v>
      </c>
      <c r="G1206" s="1" t="s">
        <v>7109</v>
      </c>
      <c r="H1206" s="1">
        <v>2020.0</v>
      </c>
      <c r="I1206" s="1" t="s">
        <v>97</v>
      </c>
      <c r="J1206" s="1" t="s">
        <v>630</v>
      </c>
      <c r="K1206" s="1" t="s">
        <v>34</v>
      </c>
      <c r="L1206" s="1" t="s">
        <v>7127</v>
      </c>
      <c r="M1206" s="2" t="s">
        <v>12</v>
      </c>
      <c r="N1206" s="4">
        <f t="shared" si="1"/>
        <v>44270</v>
      </c>
      <c r="O1206" s="5" t="str">
        <f>IFERROR(__xludf.DUMMYFUNCTION("IF(REGEXMATCH(TRIM(I1206), ""^\d+\s*min""), ""Unclassified"", IF(I1206 = """", ""NR"", I1206))"),"TV-14")</f>
        <v>TV-14</v>
      </c>
      <c r="R1206" s="5" t="str">
        <f t="shared" si="2"/>
        <v>The Last Blockbuster</v>
      </c>
      <c r="S1206" s="5" t="str">
        <f>IFERROR(__xludf.DUMMYFUNCTION("""COMPUTED_VALUE"""),"Braxton Family Values")</f>
        <v>Braxton Family Values</v>
      </c>
      <c r="U1206" s="5" t="str">
        <f>IFERROR(__xludf.DUMMYFUNCTION("""COMPUTED_VALUE"""),"Wayne Blair")</f>
        <v>Wayne Blair</v>
      </c>
      <c r="V1206" s="5" t="s">
        <v>7128</v>
      </c>
      <c r="W1206" s="5" t="str">
        <f t="shared" si="3"/>
        <v>Eric Bress</v>
      </c>
      <c r="X1206" s="5">
        <f t="shared" si="4"/>
        <v>1</v>
      </c>
      <c r="Y1206" s="5" t="str">
        <f>IFERROR(__xludf.DUMMYFUNCTION("REGEXEXTRACT(J1206, ""^\d+"")"),"87")</f>
        <v>87</v>
      </c>
      <c r="Z1206" s="5" t="str">
        <f>IFERROR(__xludf.DUMMYFUNCTION("REGEXEXTRACT(J1206, ""[A-Za-z ]+$"")")," min")</f>
        <v> min</v>
      </c>
      <c r="AA1206" s="5" t="str">
        <f>IFERROR(__xludf.DUMMYFUNCTION("IF(REGEXMATCH(Z1206, ""Season""), ""TV Show"", ""Movie"")"),"Movie")</f>
        <v>Movie</v>
      </c>
    </row>
    <row r="1207">
      <c r="A1207" s="1" t="s">
        <v>7129</v>
      </c>
      <c r="B1207" s="1" t="s">
        <v>37</v>
      </c>
      <c r="C1207" s="1" t="s">
        <v>7130</v>
      </c>
      <c r="E1207" s="1" t="s">
        <v>7131</v>
      </c>
      <c r="F1207" s="1" t="s">
        <v>692</v>
      </c>
      <c r="G1207" s="1" t="s">
        <v>7109</v>
      </c>
      <c r="H1207" s="1">
        <v>2021.0</v>
      </c>
      <c r="I1207" s="1" t="s">
        <v>42</v>
      </c>
      <c r="J1207" s="1" t="s">
        <v>51</v>
      </c>
      <c r="K1207" s="1" t="s">
        <v>7132</v>
      </c>
      <c r="L1207" s="1" t="s">
        <v>7133</v>
      </c>
      <c r="M1207" s="2" t="s">
        <v>12</v>
      </c>
      <c r="N1207" s="4">
        <f t="shared" si="1"/>
        <v>44270</v>
      </c>
      <c r="O1207" s="5" t="str">
        <f>IFERROR(__xludf.DUMMYFUNCTION("IF(REGEXMATCH(TRIM(I1207), ""^\d+\s*min""), ""Unclassified"", IF(I1207 = """", ""NR"", I1207))"),"TV-MA")</f>
        <v>TV-MA</v>
      </c>
      <c r="R1207" s="5" t="str">
        <f t="shared" si="2"/>
        <v>The Lost Pirate Kingdom</v>
      </c>
      <c r="S1207" s="5" t="str">
        <f>IFERROR(__xludf.DUMMYFUNCTION("""COMPUTED_VALUE"""),"Bread Barbershop")</f>
        <v>Bread Barbershop</v>
      </c>
      <c r="U1207" s="5" t="str">
        <f>IFERROR(__xludf.DUMMYFUNCTION("""COMPUTED_VALUE"""),"Atul Sabharwal")</f>
        <v>Atul Sabharwal</v>
      </c>
      <c r="V1207" s="5" t="s">
        <v>7134</v>
      </c>
      <c r="W1207" s="5" t="str">
        <f t="shared" si="3"/>
        <v>Eric Bross</v>
      </c>
      <c r="X1207" s="5">
        <f t="shared" si="4"/>
        <v>1</v>
      </c>
      <c r="Y1207" s="5" t="str">
        <f>IFERROR(__xludf.DUMMYFUNCTION("REGEXEXTRACT(J1207, ""^\d+"")"),"1")</f>
        <v>1</v>
      </c>
      <c r="Z1207" s="5" t="str">
        <f>IFERROR(__xludf.DUMMYFUNCTION("REGEXEXTRACT(J1207, ""[A-Za-z ]+$"")")," Season")</f>
        <v> Season</v>
      </c>
      <c r="AA1207" s="5" t="str">
        <f>IFERROR(__xludf.DUMMYFUNCTION("IF(REGEXMATCH(Z1207, ""Season""), ""TV Show"", ""Movie"")"),"TV Show")</f>
        <v>TV Show</v>
      </c>
    </row>
    <row r="1208">
      <c r="A1208" s="1" t="s">
        <v>7135</v>
      </c>
      <c r="B1208" s="1" t="s">
        <v>37</v>
      </c>
      <c r="C1208" s="1" t="s">
        <v>7136</v>
      </c>
      <c r="E1208" s="1" t="s">
        <v>7137</v>
      </c>
      <c r="F1208" s="1" t="s">
        <v>96</v>
      </c>
      <c r="G1208" s="1" t="s">
        <v>7109</v>
      </c>
      <c r="H1208" s="1">
        <v>2021.0</v>
      </c>
      <c r="I1208" s="1" t="s">
        <v>506</v>
      </c>
      <c r="J1208" s="1" t="s">
        <v>51</v>
      </c>
      <c r="K1208" s="1" t="s">
        <v>7138</v>
      </c>
      <c r="L1208" s="1" t="s">
        <v>7139</v>
      </c>
      <c r="M1208" s="2" t="s">
        <v>12</v>
      </c>
      <c r="N1208" s="4">
        <f t="shared" si="1"/>
        <v>44270</v>
      </c>
      <c r="O1208" s="5" t="str">
        <f>IFERROR(__xludf.DUMMYFUNCTION("IF(REGEXMATCH(TRIM(I1208), ""^\d+\s*min""), ""Unclassified"", IF(I1208 = """", ""NR"", I1208))"),"TV-G")</f>
        <v>TV-G</v>
      </c>
      <c r="R1208" s="5" t="str">
        <f t="shared" si="2"/>
        <v>Zero Chill</v>
      </c>
      <c r="S1208" s="5" t="str">
        <f>IFERROR(__xludf.DUMMYFUNCTION("""COMPUTED_VALUE"""),"Break")</f>
        <v>Break</v>
      </c>
      <c r="U1208" s="5" t="str">
        <f>IFERROR(__xludf.DUMMYFUNCTION("""COMPUTED_VALUE"""),"Bernardo Arellano")</f>
        <v>Bernardo Arellano</v>
      </c>
      <c r="V1208" s="5" t="s">
        <v>7140</v>
      </c>
      <c r="W1208" s="5" t="str">
        <f t="shared" si="3"/>
        <v>Eric D. Cabello Díaz</v>
      </c>
      <c r="X1208" s="5">
        <f t="shared" si="4"/>
        <v>1</v>
      </c>
      <c r="Y1208" s="5" t="str">
        <f>IFERROR(__xludf.DUMMYFUNCTION("REGEXEXTRACT(J1208, ""^\d+"")"),"1")</f>
        <v>1</v>
      </c>
      <c r="Z1208" s="5" t="str">
        <f>IFERROR(__xludf.DUMMYFUNCTION("REGEXEXTRACT(J1208, ""[A-Za-z ]+$"")")," Season")</f>
        <v> Season</v>
      </c>
      <c r="AA1208" s="5" t="str">
        <f>IFERROR(__xludf.DUMMYFUNCTION("IF(REGEXMATCH(Z1208, ""Season""), ""TV Show"", ""Movie"")"),"TV Show")</f>
        <v>TV Show</v>
      </c>
    </row>
    <row r="1209">
      <c r="A1209" s="1" t="s">
        <v>7141</v>
      </c>
      <c r="B1209" s="1" t="s">
        <v>27</v>
      </c>
      <c r="C1209" s="1" t="s">
        <v>7142</v>
      </c>
      <c r="D1209" s="1" t="s">
        <v>7143</v>
      </c>
      <c r="E1209" s="1" t="s">
        <v>7144</v>
      </c>
      <c r="G1209" s="1" t="s">
        <v>7145</v>
      </c>
      <c r="H1209" s="1">
        <v>2020.0</v>
      </c>
      <c r="I1209" s="1" t="s">
        <v>97</v>
      </c>
      <c r="J1209" s="1" t="s">
        <v>1091</v>
      </c>
      <c r="K1209" s="1" t="s">
        <v>34</v>
      </c>
      <c r="L1209" s="1" t="s">
        <v>7146</v>
      </c>
      <c r="M1209" s="2" t="s">
        <v>12</v>
      </c>
      <c r="N1209" s="4">
        <f t="shared" si="1"/>
        <v>44269</v>
      </c>
      <c r="O1209" s="5" t="str">
        <f>IFERROR(__xludf.DUMMYFUNCTION("IF(REGEXMATCH(TRIM(I1209), ""^\d+\s*min""), ""Unclassified"", IF(I1209 = """", ""NR"", I1209))"),"TV-14")</f>
        <v>TV-14</v>
      </c>
      <c r="R1209" s="5" t="str">
        <f t="shared" si="2"/>
        <v>Audrey</v>
      </c>
      <c r="S1209" s="5" t="str">
        <f>IFERROR(__xludf.DUMMYFUNCTION("""COMPUTED_VALUE"""),"Break It All: The History Of Rock In Latin America")</f>
        <v>Break It All: The History Of Rock In Latin America</v>
      </c>
      <c r="U1209" s="5" t="str">
        <f>IFERROR(__xludf.DUMMYFUNCTION("""COMPUTED_VALUE"""),"Trish Sie")</f>
        <v>Trish Sie</v>
      </c>
      <c r="V1209" s="5" t="s">
        <v>7147</v>
      </c>
      <c r="W1209" s="5" t="str">
        <f t="shared" si="3"/>
        <v>Eric Darnell, Simon J. Smith</v>
      </c>
      <c r="X1209" s="5">
        <f t="shared" si="4"/>
        <v>1</v>
      </c>
      <c r="Y1209" s="5" t="str">
        <f>IFERROR(__xludf.DUMMYFUNCTION("REGEXEXTRACT(J1209, ""^\d+"")"),"101")</f>
        <v>101</v>
      </c>
      <c r="Z1209" s="5" t="str">
        <f>IFERROR(__xludf.DUMMYFUNCTION("REGEXEXTRACT(J1209, ""[A-Za-z ]+$"")")," min")</f>
        <v> min</v>
      </c>
      <c r="AA1209" s="5" t="str">
        <f>IFERROR(__xludf.DUMMYFUNCTION("IF(REGEXMATCH(Z1209, ""Season""), ""TV Show"", ""Movie"")"),"Movie")</f>
        <v>Movie</v>
      </c>
    </row>
    <row r="1210">
      <c r="A1210" s="1" t="s">
        <v>7148</v>
      </c>
      <c r="B1210" s="1" t="s">
        <v>27</v>
      </c>
      <c r="C1210" s="1" t="s">
        <v>7149</v>
      </c>
      <c r="D1210" s="1" t="s">
        <v>7150</v>
      </c>
      <c r="E1210" s="1" t="s">
        <v>7151</v>
      </c>
      <c r="F1210" s="1" t="s">
        <v>188</v>
      </c>
      <c r="G1210" s="1" t="s">
        <v>7152</v>
      </c>
      <c r="H1210" s="1">
        <v>2015.0</v>
      </c>
      <c r="I1210" s="1" t="s">
        <v>42</v>
      </c>
      <c r="J1210" s="1" t="s">
        <v>247</v>
      </c>
      <c r="K1210" s="1" t="s">
        <v>199</v>
      </c>
      <c r="L1210" s="1" t="s">
        <v>7153</v>
      </c>
      <c r="M1210" s="2" t="s">
        <v>12</v>
      </c>
      <c r="N1210" s="4">
        <f t="shared" si="1"/>
        <v>44267</v>
      </c>
      <c r="O1210" s="5" t="str">
        <f>IFERROR(__xludf.DUMMYFUNCTION("IF(REGEXMATCH(TRIM(I1210), ""^\d+\s*min""), ""Unclassified"", IF(I1210 = """", ""NR"", I1210))"),"TV-MA")</f>
        <v>TV-MA</v>
      </c>
      <c r="R1210" s="5" t="str">
        <f t="shared" si="2"/>
        <v>Çarsi Pazar</v>
      </c>
      <c r="S1210" s="5" t="str">
        <f>IFERROR(__xludf.DUMMYFUNCTION("""COMPUTED_VALUE"""),"Break Ke Baad")</f>
        <v>Break Ke Baad</v>
      </c>
      <c r="U1210" s="5" t="str">
        <f>IFERROR(__xludf.DUMMYFUNCTION("""COMPUTED_VALUE"""),"Hong Won-Ki")</f>
        <v>Hong Won-Ki</v>
      </c>
      <c r="V1210" s="5" t="s">
        <v>7154</v>
      </c>
      <c r="W1210" s="5" t="str">
        <f t="shared" si="3"/>
        <v>Eric Darnell, Tom Mcgrath</v>
      </c>
      <c r="X1210" s="5">
        <f t="shared" si="4"/>
        <v>1</v>
      </c>
      <c r="Y1210" s="5" t="str">
        <f>IFERROR(__xludf.DUMMYFUNCTION("REGEXEXTRACT(J1210, ""^\d+"")"),"97")</f>
        <v>97</v>
      </c>
      <c r="Z1210" s="5" t="str">
        <f>IFERROR(__xludf.DUMMYFUNCTION("REGEXEXTRACT(J1210, ""[A-Za-z ]+$"")")," min")</f>
        <v> min</v>
      </c>
      <c r="AA1210" s="5" t="str">
        <f>IFERROR(__xludf.DUMMYFUNCTION("IF(REGEXMATCH(Z1210, ""Season""), ""TV Show"", ""Movie"")"),"Movie")</f>
        <v>Movie</v>
      </c>
    </row>
    <row r="1211">
      <c r="A1211" s="1" t="s">
        <v>7155</v>
      </c>
      <c r="B1211" s="1" t="s">
        <v>27</v>
      </c>
      <c r="C1211" s="1" t="s">
        <v>7156</v>
      </c>
      <c r="D1211" s="1" t="s">
        <v>6574</v>
      </c>
      <c r="E1211" s="1" t="s">
        <v>7157</v>
      </c>
      <c r="F1211" s="1" t="s">
        <v>7158</v>
      </c>
      <c r="G1211" s="1" t="s">
        <v>7152</v>
      </c>
      <c r="H1211" s="1">
        <v>2020.0</v>
      </c>
      <c r="I1211" s="1" t="s">
        <v>506</v>
      </c>
      <c r="J1211" s="1" t="s">
        <v>665</v>
      </c>
      <c r="K1211" s="1" t="s">
        <v>583</v>
      </c>
      <c r="L1211" s="1" t="s">
        <v>7159</v>
      </c>
      <c r="M1211" s="2" t="s">
        <v>12</v>
      </c>
      <c r="N1211" s="4">
        <f t="shared" si="1"/>
        <v>44267</v>
      </c>
      <c r="O1211" s="5" t="str">
        <f>IFERROR(__xludf.DUMMYFUNCTION("IF(REGEXMATCH(TRIM(I1211), ""^\d+\s*min""), ""Unclassified"", IF(I1211 = """", ""NR"", I1211))"),"TV-G")</f>
        <v>TV-G</v>
      </c>
      <c r="R1211" s="5" t="str">
        <f t="shared" si="2"/>
        <v>Just In Time</v>
      </c>
      <c r="S1211" s="5" t="str">
        <f>IFERROR(__xludf.DUMMYFUNCTION("""COMPUTED_VALUE"""),"Break Up 100")</f>
        <v>Break Up 100</v>
      </c>
      <c r="U1211" s="5" t="str">
        <f>IFERROR(__xludf.DUMMYFUNCTION("""COMPUTED_VALUE"""),"Khaled Marei")</f>
        <v>Khaled Marei</v>
      </c>
      <c r="V1211" s="5" t="s">
        <v>7160</v>
      </c>
      <c r="W1211" s="5" t="str">
        <f t="shared" si="3"/>
        <v>Eric Darnell, Tom Mcgrath, Conrad Vernon</v>
      </c>
      <c r="X1211" s="5">
        <f t="shared" si="4"/>
        <v>1</v>
      </c>
      <c r="Y1211" s="5" t="str">
        <f>IFERROR(__xludf.DUMMYFUNCTION("REGEXEXTRACT(J1211, ""^\d+"")"),"92")</f>
        <v>92</v>
      </c>
      <c r="Z1211" s="5" t="str">
        <f>IFERROR(__xludf.DUMMYFUNCTION("REGEXEXTRACT(J1211, ""[A-Za-z ]+$"")")," min")</f>
        <v> min</v>
      </c>
      <c r="AA1211" s="5" t="str">
        <f>IFERROR(__xludf.DUMMYFUNCTION("IF(REGEXMATCH(Z1211, ""Season""), ""TV Show"", ""Movie"")"),"Movie")</f>
        <v>Movie</v>
      </c>
    </row>
    <row r="1212">
      <c r="A1212" s="1" t="s">
        <v>7161</v>
      </c>
      <c r="B1212" s="1" t="s">
        <v>37</v>
      </c>
      <c r="C1212" s="1" t="s">
        <v>7162</v>
      </c>
      <c r="E1212" s="1" t="s">
        <v>7163</v>
      </c>
      <c r="F1212" s="1" t="s">
        <v>749</v>
      </c>
      <c r="G1212" s="1" t="s">
        <v>7152</v>
      </c>
      <c r="H1212" s="1">
        <v>2021.0</v>
      </c>
      <c r="I1212" s="1" t="s">
        <v>42</v>
      </c>
      <c r="J1212" s="1" t="s">
        <v>43</v>
      </c>
      <c r="K1212" s="1" t="s">
        <v>7164</v>
      </c>
      <c r="L1212" s="1" t="s">
        <v>7165</v>
      </c>
      <c r="M1212" s="2" t="s">
        <v>12</v>
      </c>
      <c r="N1212" s="4">
        <f t="shared" si="1"/>
        <v>44267</v>
      </c>
      <c r="O1212" s="5" t="str">
        <f>IFERROR(__xludf.DUMMYFUNCTION("IF(REGEXMATCH(TRIM(I1212), ""^\d+\s*min""), ""Unclassified"", IF(I1212 = """", ""NR"", I1212))"),"TV-MA")</f>
        <v>TV-MA</v>
      </c>
      <c r="R1212" s="5" t="str">
        <f t="shared" si="2"/>
        <v>Love Alarm</v>
      </c>
      <c r="S1212" s="5" t="str">
        <f>IFERROR(__xludf.DUMMYFUNCTION("""COMPUTED_VALUE"""),"Breakfast, Lunch &amp; Dinner")</f>
        <v>Breakfast, Lunch &amp; Dinner</v>
      </c>
      <c r="U1212" s="5" t="str">
        <f>IFERROR(__xludf.DUMMYFUNCTION("""COMPUTED_VALUE"""),"Fred Wolf")</f>
        <v>Fred Wolf</v>
      </c>
      <c r="V1212" s="5" t="s">
        <v>7166</v>
      </c>
      <c r="W1212" s="5" t="str">
        <f t="shared" si="3"/>
        <v>Eric Drath</v>
      </c>
      <c r="X1212" s="5">
        <f t="shared" si="4"/>
        <v>1</v>
      </c>
      <c r="Y1212" s="5" t="str">
        <f>IFERROR(__xludf.DUMMYFUNCTION("REGEXEXTRACT(J1212, ""^\d+"")"),"2")</f>
        <v>2</v>
      </c>
      <c r="Z1212" s="5" t="str">
        <f>IFERROR(__xludf.DUMMYFUNCTION("REGEXEXTRACT(J1212, ""[A-Za-z ]+$"")")," Seasons")</f>
        <v> Seasons</v>
      </c>
      <c r="AA1212" s="5" t="str">
        <f>IFERROR(__xludf.DUMMYFUNCTION("IF(REGEXMATCH(Z1212, ""Season""), ""TV Show"", ""Movie"")"),"TV Show")</f>
        <v>TV Show</v>
      </c>
    </row>
    <row r="1213">
      <c r="A1213" s="1" t="s">
        <v>7167</v>
      </c>
      <c r="B1213" s="1" t="s">
        <v>27</v>
      </c>
      <c r="C1213" s="1" t="s">
        <v>7168</v>
      </c>
      <c r="D1213" s="1" t="s">
        <v>7169</v>
      </c>
      <c r="E1213" s="1" t="s">
        <v>7170</v>
      </c>
      <c r="F1213" s="1" t="s">
        <v>188</v>
      </c>
      <c r="G1213" s="1" t="s">
        <v>7152</v>
      </c>
      <c r="H1213" s="1">
        <v>2015.0</v>
      </c>
      <c r="I1213" s="1" t="s">
        <v>97</v>
      </c>
      <c r="J1213" s="1" t="s">
        <v>1383</v>
      </c>
      <c r="K1213" s="1" t="s">
        <v>128</v>
      </c>
      <c r="L1213" s="1" t="s">
        <v>7171</v>
      </c>
      <c r="M1213" s="2" t="s">
        <v>12</v>
      </c>
      <c r="N1213" s="4">
        <f t="shared" si="1"/>
        <v>44267</v>
      </c>
      <c r="O1213" s="5" t="str">
        <f>IFERROR(__xludf.DUMMYFUNCTION("IF(REGEXMATCH(TRIM(I1213), ""^\d+\s*min""), ""Unclassified"", IF(I1213 = """", ""NR"", I1213))"),"TV-14")</f>
        <v>TV-14</v>
      </c>
      <c r="R1213" s="5" t="str">
        <f t="shared" si="2"/>
        <v>Mucize</v>
      </c>
      <c r="S1213" s="5" t="str">
        <f>IFERROR(__xludf.DUMMYFUNCTION("""COMPUTED_VALUE"""),"Breaking Bad")</f>
        <v>Breaking Bad</v>
      </c>
      <c r="U1213" s="5" t="str">
        <f>IFERROR(__xludf.DUMMYFUNCTION("""COMPUTED_VALUE"""),"Niyi Akinmolayan")</f>
        <v>Niyi Akinmolayan</v>
      </c>
      <c r="V1213" s="5" t="s">
        <v>7172</v>
      </c>
      <c r="W1213" s="5" t="str">
        <f t="shared" si="3"/>
        <v>Eric Goode, Rebecca Chaiklin</v>
      </c>
      <c r="X1213" s="5">
        <f t="shared" si="4"/>
        <v>1</v>
      </c>
      <c r="Y1213" s="5" t="str">
        <f>IFERROR(__xludf.DUMMYFUNCTION("REGEXEXTRACT(J1213, ""^\d+"")"),"136")</f>
        <v>136</v>
      </c>
      <c r="Z1213" s="5" t="str">
        <f>IFERROR(__xludf.DUMMYFUNCTION("REGEXEXTRACT(J1213, ""[A-Za-z ]+$"")")," min")</f>
        <v> min</v>
      </c>
      <c r="AA1213" s="5" t="str">
        <f>IFERROR(__xludf.DUMMYFUNCTION("IF(REGEXMATCH(Z1213, ""Season""), ""TV Show"", ""Movie"")"),"Movie")</f>
        <v>Movie</v>
      </c>
    </row>
    <row r="1214">
      <c r="A1214" s="1" t="s">
        <v>7173</v>
      </c>
      <c r="B1214" s="1" t="s">
        <v>27</v>
      </c>
      <c r="C1214" s="1" t="s">
        <v>7174</v>
      </c>
      <c r="D1214" s="1" t="s">
        <v>4114</v>
      </c>
      <c r="E1214" s="1" t="s">
        <v>7175</v>
      </c>
      <c r="F1214" s="1" t="s">
        <v>188</v>
      </c>
      <c r="G1214" s="1" t="s">
        <v>7152</v>
      </c>
      <c r="H1214" s="1">
        <v>2021.0</v>
      </c>
      <c r="I1214" s="1" t="s">
        <v>42</v>
      </c>
      <c r="J1214" s="1" t="s">
        <v>247</v>
      </c>
      <c r="K1214" s="1" t="s">
        <v>128</v>
      </c>
      <c r="L1214" s="1" t="s">
        <v>7176</v>
      </c>
      <c r="M1214" s="2" t="s">
        <v>12</v>
      </c>
      <c r="N1214" s="4">
        <f t="shared" si="1"/>
        <v>44267</v>
      </c>
      <c r="O1214" s="5" t="str">
        <f>IFERROR(__xludf.DUMMYFUNCTION("IF(REGEXMATCH(TRIM(I1214), ""^\d+\s*min""), ""Unclassified"", IF(I1214 = """", ""NR"", I1214))"),"TV-MA")</f>
        <v>TV-MA</v>
      </c>
      <c r="R1214" s="5" t="str">
        <f t="shared" si="2"/>
        <v>Paper Lives</v>
      </c>
      <c r="S1214" s="5" t="str">
        <f>IFERROR(__xludf.DUMMYFUNCTION("""COMPUTED_VALUE"""),"Breaking Boundaries: The Science Of Our Planet")</f>
        <v>Breaking Boundaries: The Science Of Our Planet</v>
      </c>
      <c r="U1214" s="5" t="str">
        <f>IFERROR(__xludf.DUMMYFUNCTION("""COMPUTED_VALUE"""),"Sammaria Sari Simanjuntak")</f>
        <v>Sammaria Sari Simanjuntak</v>
      </c>
      <c r="V1214" s="5" t="s">
        <v>7177</v>
      </c>
      <c r="W1214" s="5" t="str">
        <f t="shared" si="3"/>
        <v>Eric Idle</v>
      </c>
      <c r="X1214" s="5">
        <f t="shared" si="4"/>
        <v>1</v>
      </c>
      <c r="Y1214" s="5" t="str">
        <f>IFERROR(__xludf.DUMMYFUNCTION("REGEXEXTRACT(J1214, ""^\d+"")"),"97")</f>
        <v>97</v>
      </c>
      <c r="Z1214" s="5" t="str">
        <f>IFERROR(__xludf.DUMMYFUNCTION("REGEXEXTRACT(J1214, ""[A-Za-z ]+$"")")," min")</f>
        <v> min</v>
      </c>
      <c r="AA1214" s="5" t="str">
        <f>IFERROR(__xludf.DUMMYFUNCTION("IF(REGEXMATCH(Z1214, ""Season""), ""TV Show"", ""Movie"")"),"Movie")</f>
        <v>Movie</v>
      </c>
    </row>
    <row r="1215">
      <c r="A1215" s="1" t="s">
        <v>7178</v>
      </c>
      <c r="B1215" s="1" t="s">
        <v>37</v>
      </c>
      <c r="C1215" s="1" t="s">
        <v>7179</v>
      </c>
      <c r="E1215" s="1" t="s">
        <v>7180</v>
      </c>
      <c r="F1215" s="1" t="s">
        <v>30</v>
      </c>
      <c r="G1215" s="1" t="s">
        <v>7152</v>
      </c>
      <c r="H1215" s="1">
        <v>2021.0</v>
      </c>
      <c r="I1215" s="1" t="s">
        <v>42</v>
      </c>
      <c r="J1215" s="1" t="s">
        <v>276</v>
      </c>
      <c r="K1215" s="1" t="s">
        <v>270</v>
      </c>
      <c r="L1215" s="1" t="s">
        <v>7181</v>
      </c>
      <c r="M1215" s="2" t="s">
        <v>12</v>
      </c>
      <c r="N1215" s="4">
        <f t="shared" si="1"/>
        <v>44267</v>
      </c>
      <c r="O1215" s="5" t="str">
        <f>IFERROR(__xludf.DUMMYFUNCTION("IF(REGEXMATCH(TRIM(I1215), ""^\d+\s*min""), ""Unclassified"", IF(I1215 = """", ""NR"", I1215))"),"TV-MA")</f>
        <v>TV-MA</v>
      </c>
      <c r="R1215" s="5" t="str">
        <f t="shared" si="2"/>
        <v>Paradise Pd</v>
      </c>
      <c r="S1215" s="5" t="str">
        <f>IFERROR(__xludf.DUMMYFUNCTION("""COMPUTED_VALUE"""),"Breaking Free")</f>
        <v>Breaking Free</v>
      </c>
      <c r="U1215" s="5" t="str">
        <f>IFERROR(__xludf.DUMMYFUNCTION("""COMPUTED_VALUE"""),"Chairun Nissa")</f>
        <v>Chairun Nissa</v>
      </c>
      <c r="V1215" s="5" t="s">
        <v>7182</v>
      </c>
      <c r="W1215" s="5" t="str">
        <f t="shared" si="3"/>
        <v>Eric Idle, Aubrey Powell</v>
      </c>
      <c r="X1215" s="5">
        <f t="shared" si="4"/>
        <v>1</v>
      </c>
      <c r="Y1215" s="5" t="str">
        <f>IFERROR(__xludf.DUMMYFUNCTION("REGEXEXTRACT(J1215, ""^\d+"")"),"3")</f>
        <v>3</v>
      </c>
      <c r="Z1215" s="5" t="str">
        <f>IFERROR(__xludf.DUMMYFUNCTION("REGEXEXTRACT(J1215, ""[A-Za-z ]+$"")")," Seasons")</f>
        <v> Seasons</v>
      </c>
      <c r="AA1215" s="5" t="str">
        <f>IFERROR(__xludf.DUMMYFUNCTION("IF(REGEXMATCH(Z1215, ""Season""), ""TV Show"", ""Movie"")"),"TV Show")</f>
        <v>TV Show</v>
      </c>
    </row>
    <row r="1216">
      <c r="A1216" s="1" t="s">
        <v>7183</v>
      </c>
      <c r="B1216" s="1" t="s">
        <v>27</v>
      </c>
      <c r="C1216" s="1" t="s">
        <v>7184</v>
      </c>
      <c r="D1216" s="1" t="s">
        <v>7185</v>
      </c>
      <c r="E1216" s="1" t="s">
        <v>7186</v>
      </c>
      <c r="G1216" s="1" t="s">
        <v>7152</v>
      </c>
      <c r="H1216" s="1">
        <v>2020.0</v>
      </c>
      <c r="I1216" s="1" t="s">
        <v>42</v>
      </c>
      <c r="J1216" s="1" t="s">
        <v>238</v>
      </c>
      <c r="K1216" s="1" t="s">
        <v>1429</v>
      </c>
      <c r="L1216" s="1" t="s">
        <v>7187</v>
      </c>
      <c r="M1216" s="2" t="s">
        <v>12</v>
      </c>
      <c r="N1216" s="4">
        <f t="shared" si="1"/>
        <v>44267</v>
      </c>
      <c r="O1216" s="5" t="str">
        <f>IFERROR(__xludf.DUMMYFUNCTION("IF(REGEXMATCH(TRIM(I1216), ""^\d+\s*min""), ""Unclassified"", IF(I1216 = """", ""NR"", I1216))"),"TV-MA")</f>
        <v>TV-MA</v>
      </c>
      <c r="R1216" s="5" t="str">
        <f t="shared" si="2"/>
        <v>Quiet</v>
      </c>
      <c r="S1216" s="5" t="str">
        <f>IFERROR(__xludf.DUMMYFUNCTION("""COMPUTED_VALUE"""),"Breaking The Bank")</f>
        <v>Breaking The Bank</v>
      </c>
      <c r="U1216" s="5" t="str">
        <f>IFERROR(__xludf.DUMMYFUNCTION("""COMPUTED_VALUE"""),"Tom Hooper")</f>
        <v>Tom Hooper</v>
      </c>
      <c r="V1216" s="5" t="s">
        <v>7188</v>
      </c>
      <c r="W1216" s="5" t="str">
        <f t="shared" si="3"/>
        <v>Eric Juhola</v>
      </c>
      <c r="X1216" s="5">
        <f t="shared" si="4"/>
        <v>1</v>
      </c>
      <c r="Y1216" s="5" t="str">
        <f>IFERROR(__xludf.DUMMYFUNCTION("REGEXEXTRACT(J1216, ""^\d+"")"),"103")</f>
        <v>103</v>
      </c>
      <c r="Z1216" s="5" t="str">
        <f>IFERROR(__xludf.DUMMYFUNCTION("REGEXEXTRACT(J1216, ""[A-Za-z ]+$"")")," min")</f>
        <v> min</v>
      </c>
      <c r="AA1216" s="5" t="str">
        <f>IFERROR(__xludf.DUMMYFUNCTION("IF(REGEXMATCH(Z1216, ""Season""), ""TV Show"", ""Movie"")"),"Movie")</f>
        <v>Movie</v>
      </c>
    </row>
    <row r="1217">
      <c r="A1217" s="1" t="s">
        <v>7189</v>
      </c>
      <c r="B1217" s="1" t="s">
        <v>27</v>
      </c>
      <c r="C1217" s="1" t="s">
        <v>7190</v>
      </c>
      <c r="D1217" s="1" t="s">
        <v>7191</v>
      </c>
      <c r="E1217" s="1" t="s">
        <v>7192</v>
      </c>
      <c r="F1217" s="1" t="s">
        <v>188</v>
      </c>
      <c r="G1217" s="1" t="s">
        <v>7152</v>
      </c>
      <c r="H1217" s="1">
        <v>2010.0</v>
      </c>
      <c r="I1217" s="1" t="s">
        <v>42</v>
      </c>
      <c r="J1217" s="1" t="s">
        <v>297</v>
      </c>
      <c r="K1217" s="1" t="s">
        <v>215</v>
      </c>
      <c r="L1217" s="1" t="s">
        <v>7193</v>
      </c>
      <c r="M1217" s="2" t="s">
        <v>12</v>
      </c>
      <c r="N1217" s="4">
        <f t="shared" si="1"/>
        <v>44267</v>
      </c>
      <c r="O1217" s="5" t="str">
        <f>IFERROR(__xludf.DUMMYFUNCTION("IF(REGEXMATCH(TRIM(I1217), ""^\d+\s*min""), ""Unclassified"", IF(I1217 = """", ""NR"", I1217))"),"TV-MA")</f>
        <v>TV-MA</v>
      </c>
      <c r="R1217" s="5" t="str">
        <f t="shared" si="2"/>
        <v>Romantik Komedi</v>
      </c>
      <c r="S1217" s="5" t="str">
        <f>IFERROR(__xludf.DUMMYFUNCTION("""COMPUTED_VALUE"""),"Breakout")</f>
        <v>Breakout</v>
      </c>
      <c r="U1217" s="5" t="str">
        <f>IFERROR(__xludf.DUMMYFUNCTION("""COMPUTED_VALUE"""),"Sergei Bodrov")</f>
        <v>Sergei Bodrov</v>
      </c>
      <c r="V1217" s="5" t="s">
        <v>7194</v>
      </c>
      <c r="W1217" s="5" t="str">
        <f t="shared" si="3"/>
        <v>Eric Khoo</v>
      </c>
      <c r="X1217" s="5">
        <f t="shared" si="4"/>
        <v>1</v>
      </c>
      <c r="Y1217" s="5" t="str">
        <f>IFERROR(__xludf.DUMMYFUNCTION("REGEXEXTRACT(J1217, ""^\d+"")"),"110")</f>
        <v>110</v>
      </c>
      <c r="Z1217" s="5" t="str">
        <f>IFERROR(__xludf.DUMMYFUNCTION("REGEXEXTRACT(J1217, ""[A-Za-z ]+$"")")," min")</f>
        <v> min</v>
      </c>
      <c r="AA1217" s="5" t="str">
        <f>IFERROR(__xludf.DUMMYFUNCTION("IF(REGEXMATCH(Z1217, ""Season""), ""TV Show"", ""Movie"")"),"Movie")</f>
        <v>Movie</v>
      </c>
    </row>
    <row r="1218">
      <c r="A1218" s="1" t="s">
        <v>7195</v>
      </c>
      <c r="B1218" s="1" t="s">
        <v>27</v>
      </c>
      <c r="C1218" s="1" t="s">
        <v>7196</v>
      </c>
      <c r="D1218" s="1" t="s">
        <v>7197</v>
      </c>
      <c r="E1218" s="1" t="s">
        <v>7198</v>
      </c>
      <c r="F1218" s="1" t="s">
        <v>188</v>
      </c>
      <c r="G1218" s="1" t="s">
        <v>7152</v>
      </c>
      <c r="H1218" s="1">
        <v>2013.0</v>
      </c>
      <c r="I1218" s="1" t="s">
        <v>42</v>
      </c>
      <c r="J1218" s="1" t="s">
        <v>305</v>
      </c>
      <c r="K1218" s="1" t="s">
        <v>215</v>
      </c>
      <c r="L1218" s="1" t="s">
        <v>7199</v>
      </c>
      <c r="M1218" s="2" t="s">
        <v>12</v>
      </c>
      <c r="N1218" s="4">
        <f t="shared" si="1"/>
        <v>44267</v>
      </c>
      <c r="O1218" s="5" t="str">
        <f>IFERROR(__xludf.DUMMYFUNCTION("IF(REGEXMATCH(TRIM(I1218), ""^\d+\s*min""), ""Unclassified"", IF(I1218 = """", ""NR"", I1218))"),"TV-MA")</f>
        <v>TV-MA</v>
      </c>
      <c r="R1218" s="5" t="str">
        <f t="shared" si="2"/>
        <v>Romantik Komedi 2: Bekarlığa Veda</v>
      </c>
      <c r="S1218" s="5" t="str">
        <f>IFERROR(__xludf.DUMMYFUNCTION("""COMPUTED_VALUE"""),"Breath")</f>
        <v>Breath</v>
      </c>
      <c r="U1218" s="5" t="str">
        <f>IFERROR(__xludf.DUMMYFUNCTION("""COMPUTED_VALUE"""),"Anna Stone")</f>
        <v>Anna Stone</v>
      </c>
      <c r="V1218" s="5" t="s">
        <v>7200</v>
      </c>
      <c r="W1218" s="5" t="str">
        <f t="shared" si="3"/>
        <v>Eric Laneuville</v>
      </c>
      <c r="X1218" s="5">
        <f t="shared" si="4"/>
        <v>1</v>
      </c>
      <c r="Y1218" s="5" t="str">
        <f>IFERROR(__xludf.DUMMYFUNCTION("REGEXEXTRACT(J1218, ""^\d+"")"),"105")</f>
        <v>105</v>
      </c>
      <c r="Z1218" s="5" t="str">
        <f>IFERROR(__xludf.DUMMYFUNCTION("REGEXEXTRACT(J1218, ""[A-Za-z ]+$"")")," min")</f>
        <v> min</v>
      </c>
      <c r="AA1218" s="5" t="str">
        <f>IFERROR(__xludf.DUMMYFUNCTION("IF(REGEXMATCH(Z1218, ""Season""), ""TV Show"", ""Movie"")"),"Movie")</f>
        <v>Movie</v>
      </c>
    </row>
    <row r="1219">
      <c r="A1219" s="1" t="s">
        <v>7201</v>
      </c>
      <c r="B1219" s="1" t="s">
        <v>37</v>
      </c>
      <c r="C1219" s="1" t="s">
        <v>7202</v>
      </c>
      <c r="E1219" s="1" t="s">
        <v>7203</v>
      </c>
      <c r="F1219" s="1" t="s">
        <v>96</v>
      </c>
      <c r="G1219" s="1" t="s">
        <v>7152</v>
      </c>
      <c r="H1219" s="1">
        <v>2021.0</v>
      </c>
      <c r="I1219" s="1" t="s">
        <v>42</v>
      </c>
      <c r="J1219" s="1" t="s">
        <v>51</v>
      </c>
      <c r="K1219" s="1" t="s">
        <v>3274</v>
      </c>
      <c r="L1219" s="1" t="s">
        <v>7204</v>
      </c>
      <c r="M1219" s="2" t="s">
        <v>12</v>
      </c>
      <c r="N1219" s="4">
        <f t="shared" si="1"/>
        <v>44267</v>
      </c>
      <c r="O1219" s="5" t="str">
        <f>IFERROR(__xludf.DUMMYFUNCTION("IF(REGEXMATCH(TRIM(I1219), ""^\d+\s*min""), ""Unclassified"", IF(I1219 = """", ""NR"", I1219))"),"TV-MA")</f>
        <v>TV-MA</v>
      </c>
      <c r="R1219" s="5" t="str">
        <f t="shared" si="2"/>
        <v>The One</v>
      </c>
      <c r="S1219" s="5" t="str">
        <f>IFERROR(__xludf.DUMMYFUNCTION("""COMPUTED_VALUE"""),"Brené Brown: The Call To Courage")</f>
        <v>Brené Brown: The Call To Courage</v>
      </c>
      <c r="U1219" s="5" t="str">
        <f>IFERROR(__xludf.DUMMYFUNCTION("""COMPUTED_VALUE"""),"Cory Edwards")</f>
        <v>Cory Edwards</v>
      </c>
      <c r="V1219" s="5" t="s">
        <v>1032</v>
      </c>
      <c r="W1219" s="5" t="str">
        <f t="shared" si="3"/>
        <v>Eric Meza</v>
      </c>
      <c r="X1219" s="5">
        <f t="shared" si="4"/>
        <v>1</v>
      </c>
      <c r="Y1219" s="5" t="str">
        <f>IFERROR(__xludf.DUMMYFUNCTION("REGEXEXTRACT(J1219, ""^\d+"")"),"1")</f>
        <v>1</v>
      </c>
      <c r="Z1219" s="5" t="str">
        <f>IFERROR(__xludf.DUMMYFUNCTION("REGEXEXTRACT(J1219, ""[A-Za-z ]+$"")")," Season")</f>
        <v> Season</v>
      </c>
      <c r="AA1219" s="5" t="str">
        <f>IFERROR(__xludf.DUMMYFUNCTION("IF(REGEXMATCH(Z1219, ""Season""), ""TV Show"", ""Movie"")"),"TV Show")</f>
        <v>TV Show</v>
      </c>
    </row>
    <row r="1220">
      <c r="A1220" s="1" t="s">
        <v>7205</v>
      </c>
      <c r="B1220" s="1" t="s">
        <v>27</v>
      </c>
      <c r="C1220" s="1" t="s">
        <v>7206</v>
      </c>
      <c r="D1220" s="1" t="s">
        <v>7207</v>
      </c>
      <c r="E1220" s="1" t="s">
        <v>7208</v>
      </c>
      <c r="F1220" s="1" t="s">
        <v>30</v>
      </c>
      <c r="G1220" s="1" t="s">
        <v>7152</v>
      </c>
      <c r="H1220" s="1">
        <v>2021.0</v>
      </c>
      <c r="I1220" s="1" t="s">
        <v>78</v>
      </c>
      <c r="J1220" s="1" t="s">
        <v>33</v>
      </c>
      <c r="K1220" s="1" t="s">
        <v>137</v>
      </c>
      <c r="L1220" s="1" t="s">
        <v>7209</v>
      </c>
      <c r="M1220" s="2" t="s">
        <v>12</v>
      </c>
      <c r="N1220" s="4">
        <f t="shared" si="1"/>
        <v>44267</v>
      </c>
      <c r="O1220" s="5" t="str">
        <f>IFERROR(__xludf.DUMMYFUNCTION("IF(REGEXMATCH(TRIM(I1220), ""^\d+\s*min""), ""Unclassified"", IF(I1220 = """", ""NR"", I1220))"),"PG")</f>
        <v>PG</v>
      </c>
      <c r="R1220" s="5" t="str">
        <f t="shared" si="2"/>
        <v>Yes Day</v>
      </c>
      <c r="S1220" s="5" t="str">
        <f>IFERROR(__xludf.DUMMYFUNCTION("""COMPUTED_VALUE"""),"Brews Brothers")</f>
        <v>Brews Brothers</v>
      </c>
      <c r="U1220" s="5" t="str">
        <f>IFERROR(__xludf.DUMMYFUNCTION("""COMPUTED_VALUE"""),"Faraday Okoro")</f>
        <v>Faraday Okoro</v>
      </c>
      <c r="V1220" s="5" t="s">
        <v>7210</v>
      </c>
      <c r="W1220" s="5" t="str">
        <f t="shared" si="3"/>
        <v>Eric Notarnicola</v>
      </c>
      <c r="X1220" s="5">
        <f t="shared" si="4"/>
        <v>1</v>
      </c>
      <c r="Y1220" s="5" t="str">
        <f>IFERROR(__xludf.DUMMYFUNCTION("REGEXEXTRACT(J1220, ""^\d+"")"),"90")</f>
        <v>90</v>
      </c>
      <c r="Z1220" s="5" t="str">
        <f>IFERROR(__xludf.DUMMYFUNCTION("REGEXEXTRACT(J1220, ""[A-Za-z ]+$"")")," min")</f>
        <v> min</v>
      </c>
      <c r="AA1220" s="5" t="str">
        <f>IFERROR(__xludf.DUMMYFUNCTION("IF(REGEXMATCH(Z1220, ""Season""), ""TV Show"", ""Movie"")"),"Movie")</f>
        <v>Movie</v>
      </c>
    </row>
    <row r="1221">
      <c r="A1221" s="1" t="s">
        <v>7211</v>
      </c>
      <c r="B1221" s="1" t="s">
        <v>27</v>
      </c>
      <c r="C1221" s="1" t="s">
        <v>7212</v>
      </c>
      <c r="D1221" s="1" t="s">
        <v>7213</v>
      </c>
      <c r="E1221" s="1" t="s">
        <v>7214</v>
      </c>
      <c r="F1221" s="1" t="s">
        <v>188</v>
      </c>
      <c r="G1221" s="1" t="s">
        <v>7152</v>
      </c>
      <c r="H1221" s="1">
        <v>2016.0</v>
      </c>
      <c r="I1221" s="1" t="s">
        <v>136</v>
      </c>
      <c r="J1221" s="1" t="s">
        <v>1256</v>
      </c>
      <c r="K1221" s="1" t="s">
        <v>836</v>
      </c>
      <c r="L1221" s="1" t="s">
        <v>7215</v>
      </c>
      <c r="M1221" s="2" t="s">
        <v>12</v>
      </c>
      <c r="N1221" s="4">
        <f t="shared" si="1"/>
        <v>44267</v>
      </c>
      <c r="O1221" s="5" t="str">
        <f>IFERROR(__xludf.DUMMYFUNCTION("IF(REGEXMATCH(TRIM(I1221), ""^\d+\s*min""), ""Unclassified"", IF(I1221 = """", ""NR"", I1221))"),"TV-PG")</f>
        <v>TV-PG</v>
      </c>
      <c r="R1221" s="5" t="str">
        <f t="shared" si="2"/>
        <v>You'Re Everything To Me</v>
      </c>
      <c r="S1221" s="5" t="str">
        <f>IFERROR(__xludf.DUMMYFUNCTION("""COMPUTED_VALUE"""),"Brian Regan: Nunchucks And Flamethrowers")</f>
        <v>Brian Regan: Nunchucks And Flamethrowers</v>
      </c>
      <c r="U1221" s="5" t="str">
        <f>IFERROR(__xludf.DUMMYFUNCTION("""COMPUTED_VALUE"""),"Henry Joost, Ariel Schulman")</f>
        <v>Henry Joost, Ariel Schulman</v>
      </c>
      <c r="V1221" s="5" t="s">
        <v>7216</v>
      </c>
      <c r="W1221" s="5" t="str">
        <f t="shared" si="3"/>
        <v>Eric Stoltz</v>
      </c>
      <c r="X1221" s="5">
        <f t="shared" si="4"/>
        <v>1</v>
      </c>
      <c r="Y1221" s="5" t="str">
        <f>IFERROR(__xludf.DUMMYFUNCTION("REGEXEXTRACT(J1221, ""^\d+"")"),"107")</f>
        <v>107</v>
      </c>
      <c r="Z1221" s="5" t="str">
        <f>IFERROR(__xludf.DUMMYFUNCTION("REGEXEXTRACT(J1221, ""[A-Za-z ]+$"")")," min")</f>
        <v> min</v>
      </c>
      <c r="AA1221" s="5" t="str">
        <f>IFERROR(__xludf.DUMMYFUNCTION("IF(REGEXMATCH(Z1221, ""Season""), ""TV Show"", ""Movie"")"),"Movie")</f>
        <v>Movie</v>
      </c>
    </row>
    <row r="1222">
      <c r="A1222" s="1" t="s">
        <v>7217</v>
      </c>
      <c r="B1222" s="1" t="s">
        <v>27</v>
      </c>
      <c r="C1222" s="1" t="s">
        <v>7218</v>
      </c>
      <c r="D1222" s="1" t="s">
        <v>7219</v>
      </c>
      <c r="E1222" s="1" t="s">
        <v>7220</v>
      </c>
      <c r="F1222" s="1" t="s">
        <v>7221</v>
      </c>
      <c r="G1222" s="1" t="s">
        <v>7222</v>
      </c>
      <c r="H1222" s="1">
        <v>2021.0</v>
      </c>
      <c r="I1222" s="1" t="s">
        <v>42</v>
      </c>
      <c r="J1222" s="1" t="s">
        <v>665</v>
      </c>
      <c r="K1222" s="1" t="s">
        <v>89</v>
      </c>
      <c r="L1222" s="1" t="s">
        <v>7223</v>
      </c>
      <c r="M1222" s="2" t="s">
        <v>12</v>
      </c>
      <c r="N1222" s="4">
        <f t="shared" si="1"/>
        <v>44266</v>
      </c>
      <c r="O1222" s="5" t="str">
        <f>IFERROR(__xludf.DUMMYFUNCTION("IF(REGEXMATCH(TRIM(I1222), ""^\d+\s*min""), ""Unclassified"", IF(I1222 = """", ""NR"", I1222))"),"TV-MA")</f>
        <v>TV-MA</v>
      </c>
      <c r="R1222" s="5" t="str">
        <f t="shared" si="2"/>
        <v>Coven Of Sisters</v>
      </c>
      <c r="S1222" s="5" t="str">
        <f>IFERROR(__xludf.DUMMYFUNCTION("""COMPUTED_VALUE"""),"Brian Regan: On The Rocks")</f>
        <v>Brian Regan: On The Rocks</v>
      </c>
      <c r="U1222" s="5" t="str">
        <f>IFERROR(__xludf.DUMMYFUNCTION("""COMPUTED_VALUE"""),"Rebecca Zlotowski")</f>
        <v>Rebecca Zlotowski</v>
      </c>
      <c r="V1222" s="5" t="s">
        <v>7224</v>
      </c>
      <c r="W1222" s="5" t="str">
        <f t="shared" si="3"/>
        <v>Eric Summer, Éric Warin</v>
      </c>
      <c r="X1222" s="5">
        <f t="shared" si="4"/>
        <v>1</v>
      </c>
      <c r="Y1222" s="5" t="str">
        <f>IFERROR(__xludf.DUMMYFUNCTION("REGEXEXTRACT(J1222, ""^\d+"")"),"92")</f>
        <v>92</v>
      </c>
      <c r="Z1222" s="5" t="str">
        <f>IFERROR(__xludf.DUMMYFUNCTION("REGEXEXTRACT(J1222, ""[A-Za-z ]+$"")")," min")</f>
        <v> min</v>
      </c>
      <c r="AA1222" s="5" t="str">
        <f>IFERROR(__xludf.DUMMYFUNCTION("IF(REGEXMATCH(Z1222, ""Season""), ""TV Show"", ""Movie"")"),"Movie")</f>
        <v>Movie</v>
      </c>
    </row>
    <row r="1223">
      <c r="A1223" s="1" t="s">
        <v>7225</v>
      </c>
      <c r="B1223" s="1" t="s">
        <v>27</v>
      </c>
      <c r="C1223" s="1" t="s">
        <v>7226</v>
      </c>
      <c r="D1223" s="1" t="s">
        <v>7227</v>
      </c>
      <c r="E1223" s="1" t="s">
        <v>7228</v>
      </c>
      <c r="F1223" s="1" t="s">
        <v>2873</v>
      </c>
      <c r="G1223" s="1" t="s">
        <v>7222</v>
      </c>
      <c r="H1223" s="1">
        <v>2020.0</v>
      </c>
      <c r="I1223" s="1" t="s">
        <v>97</v>
      </c>
      <c r="J1223" s="1" t="s">
        <v>170</v>
      </c>
      <c r="K1223" s="1" t="s">
        <v>128</v>
      </c>
      <c r="L1223" s="1" t="s">
        <v>7229</v>
      </c>
      <c r="M1223" s="2" t="s">
        <v>12</v>
      </c>
      <c r="N1223" s="4">
        <f t="shared" si="1"/>
        <v>44266</v>
      </c>
      <c r="O1223" s="5" t="str">
        <f>IFERROR(__xludf.DUMMYFUNCTION("IF(REGEXMATCH(TRIM(I1223), ""^\d+\s*min""), ""Unclassified"", IF(I1223 = """", ""NR"", I1223))"),"TV-14")</f>
        <v>TV-14</v>
      </c>
      <c r="R1223" s="5" t="str">
        <f t="shared" si="2"/>
        <v>Generasi 90An: Melankolia</v>
      </c>
      <c r="S1223" s="5" t="str">
        <f>IFERROR(__xludf.DUMMYFUNCTION("""COMPUTED_VALUE"""),"Brick")</f>
        <v>Brick</v>
      </c>
      <c r="U1223" s="5" t="str">
        <f>IFERROR(__xludf.DUMMYFUNCTION("""COMPUTED_VALUE"""),"Sharan Sharma")</f>
        <v>Sharan Sharma</v>
      </c>
      <c r="V1223" s="5" t="s">
        <v>7230</v>
      </c>
      <c r="W1223" s="5" t="str">
        <f t="shared" si="3"/>
        <v>Eric Zaragosa</v>
      </c>
      <c r="X1223" s="5">
        <f t="shared" si="4"/>
        <v>1</v>
      </c>
      <c r="Y1223" s="5" t="str">
        <f>IFERROR(__xludf.DUMMYFUNCTION("REGEXEXTRACT(J1223, ""^\d+"")"),"94")</f>
        <v>94</v>
      </c>
      <c r="Z1223" s="5" t="str">
        <f>IFERROR(__xludf.DUMMYFUNCTION("REGEXEXTRACT(J1223, ""[A-Za-z ]+$"")")," min")</f>
        <v> min</v>
      </c>
      <c r="AA1223" s="5" t="str">
        <f>IFERROR(__xludf.DUMMYFUNCTION("IF(REGEXMATCH(Z1223, ""Season""), ""TV Show"", ""Movie"")"),"Movie")</f>
        <v>Movie</v>
      </c>
    </row>
    <row r="1224">
      <c r="A1224" s="1" t="s">
        <v>7231</v>
      </c>
      <c r="B1224" s="1" t="s">
        <v>27</v>
      </c>
      <c r="C1224" s="1" t="s">
        <v>7232</v>
      </c>
      <c r="D1224" s="1" t="s">
        <v>7233</v>
      </c>
      <c r="E1224" s="1" t="s">
        <v>7234</v>
      </c>
      <c r="F1224" s="1" t="s">
        <v>30</v>
      </c>
      <c r="G1224" s="1" t="s">
        <v>7222</v>
      </c>
      <c r="H1224" s="1">
        <v>2020.0</v>
      </c>
      <c r="I1224" s="1" t="s">
        <v>42</v>
      </c>
      <c r="J1224" s="1" t="s">
        <v>416</v>
      </c>
      <c r="K1224" s="1" t="s">
        <v>7235</v>
      </c>
      <c r="L1224" s="1" t="s">
        <v>7236</v>
      </c>
      <c r="M1224" s="2" t="s">
        <v>12</v>
      </c>
      <c r="N1224" s="4">
        <f t="shared" si="1"/>
        <v>44266</v>
      </c>
      <c r="O1224" s="5" t="str">
        <f>IFERROR(__xludf.DUMMYFUNCTION("IF(REGEXMATCH(TRIM(I1224), ""^\d+\s*min""), ""Unclassified"", IF(I1224 = """", ""NR"", I1224))"),"TV-MA")</f>
        <v>TV-MA</v>
      </c>
      <c r="R1224" s="5" t="str">
        <f t="shared" si="2"/>
        <v>The Block Island Sound</v>
      </c>
      <c r="S1224" s="5" t="str">
        <f>IFERROR(__xludf.DUMMYFUNCTION("""COMPUTED_VALUE"""),"Brick Mansions")</f>
        <v>Brick Mansions</v>
      </c>
      <c r="U1224" s="5" t="str">
        <f>IFERROR(__xludf.DUMMYFUNCTION("""COMPUTED_VALUE"""),"Tyler Spindel")</f>
        <v>Tyler Spindel</v>
      </c>
      <c r="V1224" s="5" t="s">
        <v>7237</v>
      </c>
      <c r="W1224" s="5" t="str">
        <f t="shared" si="3"/>
        <v>Erik Canuel</v>
      </c>
      <c r="X1224" s="5">
        <f t="shared" si="4"/>
        <v>2</v>
      </c>
      <c r="Y1224" s="5" t="str">
        <f>IFERROR(__xludf.DUMMYFUNCTION("REGEXEXTRACT(J1224, ""^\d+"")"),"99")</f>
        <v>99</v>
      </c>
      <c r="Z1224" s="5" t="str">
        <f>IFERROR(__xludf.DUMMYFUNCTION("REGEXEXTRACT(J1224, ""[A-Za-z ]+$"")")," min")</f>
        <v> min</v>
      </c>
      <c r="AA1224" s="5" t="str">
        <f>IFERROR(__xludf.DUMMYFUNCTION("IF(REGEXMATCH(Z1224, ""Season""), ""TV Show"", ""Movie"")"),"Movie")</f>
        <v>Movie</v>
      </c>
    </row>
    <row r="1225">
      <c r="A1225" s="1" t="s">
        <v>7238</v>
      </c>
      <c r="B1225" s="1" t="s">
        <v>37</v>
      </c>
      <c r="C1225" s="1" t="s">
        <v>7239</v>
      </c>
      <c r="D1225" s="1" t="s">
        <v>2050</v>
      </c>
      <c r="E1225" s="1" t="s">
        <v>7240</v>
      </c>
      <c r="F1225" s="1" t="s">
        <v>664</v>
      </c>
      <c r="G1225" s="1" t="s">
        <v>7241</v>
      </c>
      <c r="H1225" s="1">
        <v>2021.0</v>
      </c>
      <c r="I1225" s="1" t="s">
        <v>42</v>
      </c>
      <c r="J1225" s="1" t="s">
        <v>51</v>
      </c>
      <c r="K1225" s="1" t="s">
        <v>52</v>
      </c>
      <c r="L1225" s="1" t="s">
        <v>7242</v>
      </c>
      <c r="M1225" s="2" t="s">
        <v>12</v>
      </c>
      <c r="N1225" s="4">
        <f t="shared" si="1"/>
        <v>44265</v>
      </c>
      <c r="O1225" s="5" t="str">
        <f>IFERROR(__xludf.DUMMYFUNCTION("IF(REGEXMATCH(TRIM(I1225), ""^\d+\s*min""), ""Unclassified"", IF(I1225 = """", ""NR"", I1225))"),"TV-MA")</f>
        <v>TV-MA</v>
      </c>
      <c r="R1225" s="5" t="str">
        <f t="shared" si="2"/>
        <v>Dealer</v>
      </c>
      <c r="S1225" s="5" t="str">
        <f>IFERROR(__xludf.DUMMYFUNCTION("""COMPUTED_VALUE"""),"Bride For Rent")</f>
        <v>Bride For Rent</v>
      </c>
      <c r="U1225" s="5" t="str">
        <f>IFERROR(__xludf.DUMMYFUNCTION("""COMPUTED_VALUE"""),"Vicky Wight")</f>
        <v>Vicky Wight</v>
      </c>
      <c r="V1225" s="5" t="s">
        <v>7243</v>
      </c>
      <c r="W1225" s="5" t="str">
        <f t="shared" si="3"/>
        <v>Erik Kling, Kevin Peaty</v>
      </c>
      <c r="X1225" s="5">
        <f t="shared" si="4"/>
        <v>1</v>
      </c>
      <c r="Y1225" s="5" t="str">
        <f>IFERROR(__xludf.DUMMYFUNCTION("REGEXEXTRACT(J1225, ""^\d+"")"),"1")</f>
        <v>1</v>
      </c>
      <c r="Z1225" s="5" t="str">
        <f>IFERROR(__xludf.DUMMYFUNCTION("REGEXEXTRACT(J1225, ""[A-Za-z ]+$"")")," Season")</f>
        <v> Season</v>
      </c>
      <c r="AA1225" s="5" t="str">
        <f>IFERROR(__xludf.DUMMYFUNCTION("IF(REGEXMATCH(Z1225, ""Season""), ""TV Show"", ""Movie"")"),"TV Show")</f>
        <v>TV Show</v>
      </c>
    </row>
    <row r="1226">
      <c r="A1226" s="1" t="s">
        <v>7244</v>
      </c>
      <c r="B1226" s="1" t="s">
        <v>37</v>
      </c>
      <c r="C1226" s="1" t="s">
        <v>7245</v>
      </c>
      <c r="G1226" s="1" t="s">
        <v>7241</v>
      </c>
      <c r="H1226" s="1">
        <v>2021.0</v>
      </c>
      <c r="I1226" s="1" t="s">
        <v>42</v>
      </c>
      <c r="J1226" s="1" t="s">
        <v>51</v>
      </c>
      <c r="K1226" s="1" t="s">
        <v>1261</v>
      </c>
      <c r="L1226" s="1" t="s">
        <v>7246</v>
      </c>
      <c r="M1226" s="2" t="s">
        <v>12</v>
      </c>
      <c r="N1226" s="4">
        <f t="shared" si="1"/>
        <v>44265</v>
      </c>
      <c r="O1226" s="5" t="str">
        <f>IFERROR(__xludf.DUMMYFUNCTION("IF(REGEXMATCH(TRIM(I1226), ""^\d+\s*min""), ""Unclassified"", IF(I1226 = """", ""NR"", I1226))"),"TV-MA")</f>
        <v>TV-MA</v>
      </c>
      <c r="R1226" s="5" t="str">
        <f t="shared" si="2"/>
        <v>Last Chance U: Basketball</v>
      </c>
      <c r="S1226" s="5" t="str">
        <f>IFERROR(__xludf.DUMMYFUNCTION("""COMPUTED_VALUE"""),"Bridezilla")</f>
        <v>Bridezilla</v>
      </c>
      <c r="U1226" s="5" t="str">
        <f>IFERROR(__xludf.DUMMYFUNCTION("""COMPUTED_VALUE"""),"Marc Meyers")</f>
        <v>Marc Meyers</v>
      </c>
      <c r="V1226" s="5" t="s">
        <v>7247</v>
      </c>
      <c r="W1226" s="5" t="str">
        <f t="shared" si="3"/>
        <v>Erik Matti</v>
      </c>
      <c r="X1226" s="5">
        <f t="shared" si="4"/>
        <v>1</v>
      </c>
      <c r="Y1226" s="5" t="str">
        <f>IFERROR(__xludf.DUMMYFUNCTION("REGEXEXTRACT(J1226, ""^\d+"")"),"1")</f>
        <v>1</v>
      </c>
      <c r="Z1226" s="5" t="str">
        <f>IFERROR(__xludf.DUMMYFUNCTION("REGEXEXTRACT(J1226, ""[A-Za-z ]+$"")")," Season")</f>
        <v> Season</v>
      </c>
      <c r="AA1226" s="5" t="str">
        <f>IFERROR(__xludf.DUMMYFUNCTION("IF(REGEXMATCH(Z1226, ""Season""), ""TV Show"", ""Movie"")"),"TV Show")</f>
        <v>TV Show</v>
      </c>
    </row>
    <row r="1227">
      <c r="A1227" s="1" t="s">
        <v>7248</v>
      </c>
      <c r="B1227" s="1" t="s">
        <v>37</v>
      </c>
      <c r="C1227" s="1" t="s">
        <v>7249</v>
      </c>
      <c r="G1227" s="1" t="s">
        <v>7241</v>
      </c>
      <c r="H1227" s="1">
        <v>2021.0</v>
      </c>
      <c r="I1227" s="1" t="s">
        <v>506</v>
      </c>
      <c r="J1227" s="1" t="s">
        <v>51</v>
      </c>
      <c r="K1227" s="1" t="s">
        <v>4008</v>
      </c>
      <c r="L1227" s="1" t="s">
        <v>7250</v>
      </c>
      <c r="M1227" s="2" t="s">
        <v>12</v>
      </c>
      <c r="N1227" s="4">
        <f t="shared" si="1"/>
        <v>44265</v>
      </c>
      <c r="O1227" s="5" t="str">
        <f>IFERROR(__xludf.DUMMYFUNCTION("IF(REGEXMATCH(TRIM(I1227), ""^\d+\s*min""), ""Unclassified"", IF(I1227 = """", ""NR"", I1227))"),"TV-G")</f>
        <v>TV-G</v>
      </c>
      <c r="R1227" s="5" t="str">
        <f t="shared" si="2"/>
        <v>Marriage Or Mortgage</v>
      </c>
      <c r="S1227" s="5" t="str">
        <f>IFERROR(__xludf.DUMMYFUNCTION("""COMPUTED_VALUE"""),"Bridgerton")</f>
        <v>Bridgerton</v>
      </c>
      <c r="U1227" s="5" t="str">
        <f>IFERROR(__xludf.DUMMYFUNCTION("""COMPUTED_VALUE"""),"Franziska Meyer Price")</f>
        <v>Franziska Meyer Price</v>
      </c>
      <c r="V1227" s="5" t="s">
        <v>7251</v>
      </c>
      <c r="W1227" s="5" t="str">
        <f t="shared" si="3"/>
        <v>Erik Nelson</v>
      </c>
      <c r="X1227" s="5">
        <f t="shared" si="4"/>
        <v>1</v>
      </c>
      <c r="Y1227" s="5" t="str">
        <f>IFERROR(__xludf.DUMMYFUNCTION("REGEXEXTRACT(J1227, ""^\d+"")"),"1")</f>
        <v>1</v>
      </c>
      <c r="Z1227" s="5" t="str">
        <f>IFERROR(__xludf.DUMMYFUNCTION("REGEXEXTRACT(J1227, ""[A-Za-z ]+$"")")," Season")</f>
        <v> Season</v>
      </c>
      <c r="AA1227" s="5" t="str">
        <f>IFERROR(__xludf.DUMMYFUNCTION("IF(REGEXMATCH(Z1227, ""Season""), ""TV Show"", ""Movie"")"),"TV Show")</f>
        <v>TV Show</v>
      </c>
    </row>
    <row r="1228">
      <c r="A1228" s="1" t="s">
        <v>7252</v>
      </c>
      <c r="B1228" s="1" t="s">
        <v>37</v>
      </c>
      <c r="C1228" s="1" t="s">
        <v>7253</v>
      </c>
      <c r="E1228" s="1" t="s">
        <v>7254</v>
      </c>
      <c r="F1228" s="1" t="s">
        <v>2492</v>
      </c>
      <c r="G1228" s="1" t="s">
        <v>7255</v>
      </c>
      <c r="H1228" s="1">
        <v>2021.0</v>
      </c>
      <c r="I1228" s="1" t="s">
        <v>97</v>
      </c>
      <c r="J1228" s="1" t="s">
        <v>51</v>
      </c>
      <c r="K1228" s="1" t="s">
        <v>507</v>
      </c>
      <c r="L1228" s="1" t="s">
        <v>7256</v>
      </c>
      <c r="M1228" s="2" t="s">
        <v>12</v>
      </c>
      <c r="N1228" s="4">
        <f t="shared" si="1"/>
        <v>44264</v>
      </c>
      <c r="O1228" s="5" t="str">
        <f>IFERROR(__xludf.DUMMYFUNCTION("IF(REGEXMATCH(TRIM(I1228), ""^\d+\s*min""), ""Unclassified"", IF(I1228 = """", ""NR"", I1228))"),"TV-14")</f>
        <v>TV-14</v>
      </c>
      <c r="R1228" s="5" t="str">
        <f t="shared" si="2"/>
        <v>The Houseboat</v>
      </c>
      <c r="S1228" s="5" t="str">
        <f>IFERROR(__xludf.DUMMYFUNCTION("""COMPUTED_VALUE"""),"Bridgerton - The Afterparty")</f>
        <v>Bridgerton - The Afterparty</v>
      </c>
      <c r="U1228" s="5" t="str">
        <f>IFERROR(__xludf.DUMMYFUNCTION("""COMPUTED_VALUE"""),"Steven Rinella")</f>
        <v>Steven Rinella</v>
      </c>
      <c r="V1228" s="5" t="s">
        <v>7257</v>
      </c>
      <c r="W1228" s="5" t="str">
        <f t="shared" si="3"/>
        <v>Erik White</v>
      </c>
      <c r="X1228" s="5">
        <f t="shared" si="4"/>
        <v>1</v>
      </c>
      <c r="Y1228" s="5" t="str">
        <f>IFERROR(__xludf.DUMMYFUNCTION("REGEXEXTRACT(J1228, ""^\d+"")"),"1")</f>
        <v>1</v>
      </c>
      <c r="Z1228" s="5" t="str">
        <f>IFERROR(__xludf.DUMMYFUNCTION("REGEXEXTRACT(J1228, ""[A-Za-z ]+$"")")," Season")</f>
        <v> Season</v>
      </c>
      <c r="AA1228" s="5" t="str">
        <f>IFERROR(__xludf.DUMMYFUNCTION("IF(REGEXMATCH(Z1228, ""Season""), ""TV Show"", ""Movie"")"),"TV Show")</f>
        <v>TV Show</v>
      </c>
    </row>
    <row r="1229">
      <c r="A1229" s="1" t="s">
        <v>7258</v>
      </c>
      <c r="B1229" s="1" t="s">
        <v>37</v>
      </c>
      <c r="C1229" s="1" t="s">
        <v>7259</v>
      </c>
      <c r="E1229" s="1" t="s">
        <v>7260</v>
      </c>
      <c r="F1229" s="1" t="s">
        <v>63</v>
      </c>
      <c r="G1229" s="1" t="s">
        <v>7261</v>
      </c>
      <c r="H1229" s="1">
        <v>2021.0</v>
      </c>
      <c r="I1229" s="1" t="s">
        <v>42</v>
      </c>
      <c r="J1229" s="1" t="s">
        <v>51</v>
      </c>
      <c r="K1229" s="1" t="s">
        <v>402</v>
      </c>
      <c r="L1229" s="1" t="s">
        <v>7262</v>
      </c>
      <c r="M1229" s="2" t="s">
        <v>12</v>
      </c>
      <c r="N1229" s="4">
        <f t="shared" si="1"/>
        <v>44263</v>
      </c>
      <c r="O1229" s="5" t="str">
        <f>IFERROR(__xludf.DUMMYFUNCTION("IF(REGEXMATCH(TRIM(I1229), ""^\d+\s*min""), ""Unclassified"", IF(I1229 = """", ""NR"", I1229))"),"TV-MA")</f>
        <v>TV-MA</v>
      </c>
      <c r="R1229" s="5" t="str">
        <f t="shared" si="2"/>
        <v>Bombay Begums</v>
      </c>
      <c r="S1229" s="5" t="str">
        <f>IFERROR(__xludf.DUMMYFUNCTION("""COMPUTED_VALUE"""),"Bridget Christie: Stand Up For Her")</f>
        <v>Bridget Christie: Stand Up For Her</v>
      </c>
      <c r="U1229" s="5" t="str">
        <f>IFERROR(__xludf.DUMMYFUNCTION("""COMPUTED_VALUE"""),"Laura Terruso")</f>
        <v>Laura Terruso</v>
      </c>
      <c r="V1229" s="5" t="s">
        <v>3476</v>
      </c>
      <c r="W1229" s="5" t="str">
        <f t="shared" si="3"/>
        <v>Ernie Barbarash</v>
      </c>
      <c r="X1229" s="5">
        <f t="shared" si="4"/>
        <v>4</v>
      </c>
      <c r="Y1229" s="5" t="str">
        <f>IFERROR(__xludf.DUMMYFUNCTION("REGEXEXTRACT(J1229, ""^\d+"")"),"1")</f>
        <v>1</v>
      </c>
      <c r="Z1229" s="5" t="str">
        <f>IFERROR(__xludf.DUMMYFUNCTION("REGEXEXTRACT(J1229, ""[A-Za-z ]+$"")")," Season")</f>
        <v> Season</v>
      </c>
      <c r="AA1229" s="5" t="str">
        <f>IFERROR(__xludf.DUMMYFUNCTION("IF(REGEXMATCH(Z1229, ""Season""), ""TV Show"", ""Movie"")"),"TV Show")</f>
        <v>TV Show</v>
      </c>
    </row>
    <row r="1230">
      <c r="A1230" s="1" t="s">
        <v>7263</v>
      </c>
      <c r="B1230" s="1" t="s">
        <v>27</v>
      </c>
      <c r="C1230" s="1" t="s">
        <v>7264</v>
      </c>
      <c r="D1230" s="1" t="s">
        <v>7265</v>
      </c>
      <c r="E1230" s="1" t="s">
        <v>7266</v>
      </c>
      <c r="F1230" s="1" t="s">
        <v>7267</v>
      </c>
      <c r="G1230" s="1" t="s">
        <v>7261</v>
      </c>
      <c r="H1230" s="1">
        <v>2021.0</v>
      </c>
      <c r="I1230" s="1" t="s">
        <v>32</v>
      </c>
      <c r="J1230" s="1" t="s">
        <v>247</v>
      </c>
      <c r="K1230" s="1" t="s">
        <v>89</v>
      </c>
      <c r="L1230" s="1" t="s">
        <v>7268</v>
      </c>
      <c r="M1230" s="2" t="s">
        <v>12</v>
      </c>
      <c r="N1230" s="4">
        <f t="shared" si="1"/>
        <v>44263</v>
      </c>
      <c r="O1230" s="5" t="str">
        <f>IFERROR(__xludf.DUMMYFUNCTION("IF(REGEXMATCH(TRIM(I1230), ""^\d+\s*min""), ""Unclassified"", IF(I1230 = """", ""NR"", I1230))"),"PG-13")</f>
        <v>PG-13</v>
      </c>
      <c r="R1230" s="5" t="str">
        <f t="shared" si="2"/>
        <v>Bombay Rose</v>
      </c>
      <c r="S1230" s="5" t="str">
        <f>IFERROR(__xludf.DUMMYFUNCTION("""COMPUTED_VALUE"""),"Bright")</f>
        <v>Bright</v>
      </c>
      <c r="U1230" s="5" t="str">
        <f>IFERROR(__xludf.DUMMYFUNCTION("""COMPUTED_VALUE"""),"Martín Sastre")</f>
        <v>Martín Sastre</v>
      </c>
      <c r="V1230" s="5" t="s">
        <v>7197</v>
      </c>
      <c r="W1230" s="5" t="str">
        <f t="shared" si="3"/>
        <v>Erol Özlevi</v>
      </c>
      <c r="X1230" s="5">
        <f t="shared" si="4"/>
        <v>1</v>
      </c>
      <c r="Y1230" s="5" t="str">
        <f>IFERROR(__xludf.DUMMYFUNCTION("REGEXEXTRACT(J1230, ""^\d+"")"),"97")</f>
        <v>97</v>
      </c>
      <c r="Z1230" s="5" t="str">
        <f>IFERROR(__xludf.DUMMYFUNCTION("REGEXEXTRACT(J1230, ""[A-Za-z ]+$"")")," min")</f>
        <v> min</v>
      </c>
      <c r="AA1230" s="5" t="str">
        <f>IFERROR(__xludf.DUMMYFUNCTION("IF(REGEXMATCH(Z1230, ""Season""), ""TV Show"", ""Movie"")"),"Movie")</f>
        <v>Movie</v>
      </c>
    </row>
    <row r="1231">
      <c r="A1231" s="1" t="s">
        <v>7269</v>
      </c>
      <c r="B1231" s="1" t="s">
        <v>37</v>
      </c>
      <c r="C1231" s="1" t="s">
        <v>7270</v>
      </c>
      <c r="E1231" s="1" t="s">
        <v>7271</v>
      </c>
      <c r="F1231" s="1" t="s">
        <v>3309</v>
      </c>
      <c r="G1231" s="1" t="s">
        <v>7272</v>
      </c>
      <c r="H1231" s="1">
        <v>2015.0</v>
      </c>
      <c r="I1231" s="1" t="s">
        <v>97</v>
      </c>
      <c r="J1231" s="1" t="s">
        <v>51</v>
      </c>
      <c r="K1231" s="1" t="s">
        <v>402</v>
      </c>
      <c r="L1231" s="1" t="s">
        <v>7273</v>
      </c>
      <c r="M1231" s="2" t="s">
        <v>12</v>
      </c>
      <c r="N1231" s="4">
        <f t="shared" si="1"/>
        <v>44261</v>
      </c>
      <c r="O1231" s="5" t="str">
        <f>IFERROR(__xludf.DUMMYFUNCTION("IF(REGEXMATCH(TRIM(I1231), ""^\d+\s*min""), ""Unclassified"", IF(I1231 = """", ""NR"", I1231))"),"TV-14")</f>
        <v>TV-14</v>
      </c>
      <c r="R1231" s="5" t="str">
        <f t="shared" si="2"/>
        <v>My Way</v>
      </c>
      <c r="S1231" s="5" t="str">
        <f>IFERROR(__xludf.DUMMYFUNCTION("""COMPUTED_VALUE"""),"Bright Star")</f>
        <v>Bright Star</v>
      </c>
      <c r="U1231" s="5" t="str">
        <f>IFERROR(__xludf.DUMMYFUNCTION("""COMPUTED_VALUE"""),"Franck Nataf")</f>
        <v>Franck Nataf</v>
      </c>
      <c r="V1231" s="5" t="s">
        <v>7274</v>
      </c>
      <c r="W1231" s="5" t="str">
        <f t="shared" si="3"/>
        <v>Errol Morris</v>
      </c>
      <c r="X1231" s="5">
        <f t="shared" si="4"/>
        <v>2</v>
      </c>
      <c r="Y1231" s="5" t="str">
        <f>IFERROR(__xludf.DUMMYFUNCTION("REGEXEXTRACT(J1231, ""^\d+"")"),"1")</f>
        <v>1</v>
      </c>
      <c r="Z1231" s="5" t="str">
        <f>IFERROR(__xludf.DUMMYFUNCTION("REGEXEXTRACT(J1231, ""[A-Za-z ]+$"")")," Season")</f>
        <v> Season</v>
      </c>
      <c r="AA1231" s="5" t="str">
        <f>IFERROR(__xludf.DUMMYFUNCTION("IF(REGEXMATCH(Z1231, ""Season""), ""TV Show"", ""Movie"")"),"TV Show")</f>
        <v>TV Show</v>
      </c>
    </row>
    <row r="1232">
      <c r="A1232" s="1" t="s">
        <v>7275</v>
      </c>
      <c r="B1232" s="1" t="s">
        <v>27</v>
      </c>
      <c r="C1232" s="1" t="s">
        <v>7276</v>
      </c>
      <c r="D1232" s="1" t="s">
        <v>7277</v>
      </c>
      <c r="E1232" s="1" t="s">
        <v>7278</v>
      </c>
      <c r="F1232" s="1" t="s">
        <v>63</v>
      </c>
      <c r="G1232" s="1" t="s">
        <v>7279</v>
      </c>
      <c r="H1232" s="1">
        <v>2021.0</v>
      </c>
      <c r="I1232" s="1" t="s">
        <v>97</v>
      </c>
      <c r="J1232" s="1" t="s">
        <v>7280</v>
      </c>
      <c r="K1232" s="1" t="s">
        <v>836</v>
      </c>
      <c r="L1232" s="1" t="s">
        <v>7281</v>
      </c>
      <c r="M1232" s="2" t="s">
        <v>12</v>
      </c>
      <c r="N1232" s="4">
        <f t="shared" si="1"/>
        <v>44260</v>
      </c>
      <c r="O1232" s="5" t="str">
        <f>IFERROR(__xludf.DUMMYFUNCTION("IF(REGEXMATCH(TRIM(I1232), ""^\d+\s*min""), ""Unclassified"", IF(I1232 = """", ""NR"", I1232))"),"TV-14")</f>
        <v>TV-14</v>
      </c>
      <c r="R1232" s="5" t="str">
        <f t="shared" si="2"/>
        <v>Aelay</v>
      </c>
      <c r="S1232" s="5" t="str">
        <f>IFERROR(__xludf.DUMMYFUNCTION("""COMPUTED_VALUE"""),"Bright: The Music Videos")</f>
        <v>Bright: The Music Videos</v>
      </c>
      <c r="U1232" s="5" t="str">
        <f>IFERROR(__xludf.DUMMYFUNCTION("""COMPUTED_VALUE"""),"Pascal Amanfo")</f>
        <v>Pascal Amanfo</v>
      </c>
      <c r="V1232" s="5" t="s">
        <v>7282</v>
      </c>
      <c r="W1232" s="5" t="str">
        <f t="shared" si="3"/>
        <v>Ertanto Robby Soediskam</v>
      </c>
      <c r="X1232" s="5">
        <f t="shared" si="4"/>
        <v>1</v>
      </c>
      <c r="Y1232" s="5" t="str">
        <f>IFERROR(__xludf.DUMMYFUNCTION("REGEXEXTRACT(J1232, ""^\d+"")"),"151")</f>
        <v>151</v>
      </c>
      <c r="Z1232" s="5" t="str">
        <f>IFERROR(__xludf.DUMMYFUNCTION("REGEXEXTRACT(J1232, ""[A-Za-z ]+$"")")," min")</f>
        <v> min</v>
      </c>
      <c r="AA1232" s="5" t="str">
        <f>IFERROR(__xludf.DUMMYFUNCTION("IF(REGEXMATCH(Z1232, ""Season""), ""TV Show"", ""Movie"")"),"Movie")</f>
        <v>Movie</v>
      </c>
    </row>
    <row r="1233">
      <c r="A1233" s="1" t="s">
        <v>7283</v>
      </c>
      <c r="B1233" s="1" t="s">
        <v>37</v>
      </c>
      <c r="C1233" s="1" t="s">
        <v>7284</v>
      </c>
      <c r="E1233" s="1" t="s">
        <v>7285</v>
      </c>
      <c r="F1233" s="1" t="s">
        <v>30</v>
      </c>
      <c r="G1233" s="1" t="s">
        <v>7279</v>
      </c>
      <c r="H1233" s="1">
        <v>2021.0</v>
      </c>
      <c r="I1233" s="1" t="s">
        <v>289</v>
      </c>
      <c r="J1233" s="1" t="s">
        <v>51</v>
      </c>
      <c r="K1233" s="1" t="s">
        <v>290</v>
      </c>
      <c r="L1233" s="1" t="s">
        <v>7286</v>
      </c>
      <c r="M1233" s="2" t="s">
        <v>12</v>
      </c>
      <c r="N1233" s="4">
        <f t="shared" si="1"/>
        <v>44260</v>
      </c>
      <c r="O1233" s="5" t="str">
        <f>IFERROR(__xludf.DUMMYFUNCTION("IF(REGEXMATCH(TRIM(I1233), ""^\d+\s*min""), ""Unclassified"", IF(I1233 = """", ""NR"", I1233))"),"TV-Y7")</f>
        <v>TV-Y7</v>
      </c>
      <c r="R1233" s="5" t="str">
        <f t="shared" si="2"/>
        <v>City Of Ghosts</v>
      </c>
      <c r="S1233" s="5" t="str">
        <f>IFERROR(__xludf.DUMMYFUNCTION("""COMPUTED_VALUE"""),"Brij Mohan Amar Rahe")</f>
        <v>Brij Mohan Amar Rahe</v>
      </c>
      <c r="U1233" s="5" t="str">
        <f>IFERROR(__xludf.DUMMYFUNCTION("""COMPUTED_VALUE"""),"Savage Steve Holland")</f>
        <v>Savage Steve Holland</v>
      </c>
      <c r="V1233" s="5" t="s">
        <v>7287</v>
      </c>
      <c r="W1233" s="5" t="str">
        <f t="shared" si="3"/>
        <v>Erwin Van Den Eshof</v>
      </c>
      <c r="X1233" s="5">
        <f t="shared" si="4"/>
        <v>2</v>
      </c>
      <c r="Y1233" s="5" t="str">
        <f>IFERROR(__xludf.DUMMYFUNCTION("REGEXEXTRACT(J1233, ""^\d+"")"),"1")</f>
        <v>1</v>
      </c>
      <c r="Z1233" s="5" t="str">
        <f>IFERROR(__xludf.DUMMYFUNCTION("REGEXEXTRACT(J1233, ""[A-Za-z ]+$"")")," Season")</f>
        <v> Season</v>
      </c>
      <c r="AA1233" s="5" t="str">
        <f>IFERROR(__xludf.DUMMYFUNCTION("IF(REGEXMATCH(Z1233, ""Season""), ""TV Show"", ""Movie"")"),"TV Show")</f>
        <v>TV Show</v>
      </c>
    </row>
    <row r="1234">
      <c r="A1234" s="1" t="s">
        <v>7288</v>
      </c>
      <c r="B1234" s="1" t="s">
        <v>27</v>
      </c>
      <c r="C1234" s="1" t="s">
        <v>7289</v>
      </c>
      <c r="D1234" s="1" t="s">
        <v>4164</v>
      </c>
      <c r="E1234" s="1" t="s">
        <v>7290</v>
      </c>
      <c r="F1234" s="1" t="s">
        <v>1837</v>
      </c>
      <c r="G1234" s="1" t="s">
        <v>7279</v>
      </c>
      <c r="H1234" s="1">
        <v>2021.0</v>
      </c>
      <c r="I1234" s="1" t="s">
        <v>42</v>
      </c>
      <c r="J1234" s="1" t="s">
        <v>912</v>
      </c>
      <c r="K1234" s="1" t="s">
        <v>583</v>
      </c>
      <c r="L1234" s="1" t="s">
        <v>7291</v>
      </c>
      <c r="M1234" s="2" t="s">
        <v>12</v>
      </c>
      <c r="N1234" s="4">
        <f t="shared" si="1"/>
        <v>44260</v>
      </c>
      <c r="O1234" s="5" t="str">
        <f>IFERROR(__xludf.DUMMYFUNCTION("IF(REGEXMATCH(TRIM(I1234), ""^\d+\s*min""), ""Unclassified"", IF(I1234 = """", ""NR"", I1234))"),"TV-MA")</f>
        <v>TV-MA</v>
      </c>
      <c r="R1234" s="5" t="str">
        <f t="shared" si="2"/>
        <v>Dogwashers</v>
      </c>
      <c r="S1234" s="5" t="str">
        <f>IFERROR(__xludf.DUMMYFUNCTION("""COMPUTED_VALUE"""),"Bring It On, Ghost")</f>
        <v>Bring It On, Ghost</v>
      </c>
      <c r="U1234" s="5" t="str">
        <f>IFERROR(__xludf.DUMMYFUNCTION("""COMPUTED_VALUE"""),"Mike Doyle")</f>
        <v>Mike Doyle</v>
      </c>
      <c r="V1234" s="5" t="s">
        <v>5234</v>
      </c>
      <c r="W1234" s="5" t="str">
        <f t="shared" si="3"/>
        <v>Eshom Nelms, Ian Nelms</v>
      </c>
      <c r="X1234" s="5">
        <f t="shared" si="4"/>
        <v>1</v>
      </c>
      <c r="Y1234" s="5" t="str">
        <f>IFERROR(__xludf.DUMMYFUNCTION("REGEXEXTRACT(J1234, ""^\d+"")"),"108")</f>
        <v>108</v>
      </c>
      <c r="Z1234" s="5" t="str">
        <f>IFERROR(__xludf.DUMMYFUNCTION("REGEXEXTRACT(J1234, ""[A-Za-z ]+$"")")," min")</f>
        <v> min</v>
      </c>
      <c r="AA1234" s="5" t="str">
        <f>IFERROR(__xludf.DUMMYFUNCTION("IF(REGEXMATCH(Z1234, ""Season""), ""TV Show"", ""Movie"")"),"Movie")</f>
        <v>Movie</v>
      </c>
    </row>
    <row r="1235">
      <c r="A1235" s="1" t="s">
        <v>7292</v>
      </c>
      <c r="B1235" s="1" t="s">
        <v>27</v>
      </c>
      <c r="C1235" s="1" t="s">
        <v>7293</v>
      </c>
      <c r="D1235" s="1" t="s">
        <v>1964</v>
      </c>
      <c r="E1235" s="1" t="s">
        <v>7294</v>
      </c>
      <c r="F1235" s="1" t="s">
        <v>400</v>
      </c>
      <c r="G1235" s="1" t="s">
        <v>7279</v>
      </c>
      <c r="H1235" s="1">
        <v>2020.0</v>
      </c>
      <c r="I1235" s="1" t="s">
        <v>97</v>
      </c>
      <c r="J1235" s="1" t="s">
        <v>519</v>
      </c>
      <c r="K1235" s="1" t="s">
        <v>199</v>
      </c>
      <c r="L1235" s="1" t="s">
        <v>7295</v>
      </c>
      <c r="M1235" s="2" t="s">
        <v>12</v>
      </c>
      <c r="N1235" s="4">
        <f t="shared" si="1"/>
        <v>44260</v>
      </c>
      <c r="O1235" s="5" t="str">
        <f>IFERROR(__xludf.DUMMYFUNCTION("IF(REGEXMATCH(TRIM(I1235), ""^\d+\s*min""), ""Unclassified"", IF(I1235 = """", ""NR"", I1235))"),"TV-14")</f>
        <v>TV-14</v>
      </c>
      <c r="R1235" s="5" t="str">
        <f t="shared" si="2"/>
        <v>Fate Of Alakada</v>
      </c>
      <c r="S1235" s="5" t="str">
        <f>IFERROR(__xludf.DUMMYFUNCTION("""COMPUTED_VALUE"""),"Bring It On: Worldwide Showdown")</f>
        <v>Bring It On: Worldwide Showdown</v>
      </c>
      <c r="U1235" s="5" t="str">
        <f>IFERROR(__xludf.DUMMYFUNCTION("""COMPUTED_VALUE"""),"Darren Grant")</f>
        <v>Darren Grant</v>
      </c>
      <c r="V1235" s="5" t="s">
        <v>7296</v>
      </c>
      <c r="W1235" s="5" t="str">
        <f t="shared" si="3"/>
        <v>Esteban Crespo</v>
      </c>
      <c r="X1235" s="5">
        <f t="shared" si="4"/>
        <v>2</v>
      </c>
      <c r="Y1235" s="5" t="str">
        <f>IFERROR(__xludf.DUMMYFUNCTION("REGEXEXTRACT(J1235, ""^\d+"")"),"113")</f>
        <v>113</v>
      </c>
      <c r="Z1235" s="5" t="str">
        <f>IFERROR(__xludf.DUMMYFUNCTION("REGEXEXTRACT(J1235, ""[A-Za-z ]+$"")")," min")</f>
        <v> min</v>
      </c>
      <c r="AA1235" s="5" t="str">
        <f>IFERROR(__xludf.DUMMYFUNCTION("IF(REGEXMATCH(Z1235, ""Season""), ""TV Show"", ""Movie"")"),"Movie")</f>
        <v>Movie</v>
      </c>
    </row>
    <row r="1236">
      <c r="A1236" s="1" t="s">
        <v>7297</v>
      </c>
      <c r="B1236" s="1" t="s">
        <v>37</v>
      </c>
      <c r="C1236" s="1" t="s">
        <v>7298</v>
      </c>
      <c r="D1236" s="1" t="s">
        <v>7299</v>
      </c>
      <c r="F1236" s="1" t="s">
        <v>784</v>
      </c>
      <c r="G1236" s="1" t="s">
        <v>7279</v>
      </c>
      <c r="H1236" s="1">
        <v>2021.0</v>
      </c>
      <c r="I1236" s="1" t="s">
        <v>42</v>
      </c>
      <c r="J1236" s="1" t="s">
        <v>51</v>
      </c>
      <c r="K1236" s="1" t="s">
        <v>791</v>
      </c>
      <c r="L1236" s="1" t="s">
        <v>7300</v>
      </c>
      <c r="M1236" s="2" t="s">
        <v>12</v>
      </c>
      <c r="N1236" s="4">
        <f t="shared" si="1"/>
        <v>44260</v>
      </c>
      <c r="O1236" s="5" t="str">
        <f>IFERROR(__xludf.DUMMYFUNCTION("IF(REGEXMATCH(TRIM(I1236), ""^\d+\s*min""), ""Unclassified"", IF(I1236 = """", ""NR"", I1236))"),"TV-MA")</f>
        <v>TV-MA</v>
      </c>
      <c r="R1236" s="5" t="str">
        <f t="shared" si="2"/>
        <v>Nevenka: Breaking The Silence</v>
      </c>
      <c r="S1236" s="5" t="str">
        <f>IFERROR(__xludf.DUMMYFUNCTION("""COMPUTED_VALUE"""),"Bringing Sexy Back")</f>
        <v>Bringing Sexy Back</v>
      </c>
      <c r="U1236" s="5" t="str">
        <f>IFERROR(__xludf.DUMMYFUNCTION("""COMPUTED_VALUE"""),"Joseph Ruben")</f>
        <v>Joseph Ruben</v>
      </c>
      <c r="V1236" s="5" t="s">
        <v>7301</v>
      </c>
      <c r="W1236" s="5" t="str">
        <f t="shared" si="3"/>
        <v>Esteban Sapir</v>
      </c>
      <c r="X1236" s="5">
        <f t="shared" si="4"/>
        <v>1</v>
      </c>
      <c r="Y1236" s="5" t="str">
        <f>IFERROR(__xludf.DUMMYFUNCTION("REGEXEXTRACT(J1236, ""^\d+"")"),"1")</f>
        <v>1</v>
      </c>
      <c r="Z1236" s="5" t="str">
        <f>IFERROR(__xludf.DUMMYFUNCTION("REGEXEXTRACT(J1236, ""[A-Za-z ]+$"")")," Season")</f>
        <v> Season</v>
      </c>
      <c r="AA1236" s="5" t="str">
        <f>IFERROR(__xludf.DUMMYFUNCTION("IF(REGEXMATCH(Z1236, ""Season""), ""TV Show"", ""Movie"")"),"TV Show")</f>
        <v>TV Show</v>
      </c>
    </row>
    <row r="1237">
      <c r="A1237" s="1" t="s">
        <v>7302</v>
      </c>
      <c r="B1237" s="1" t="s">
        <v>37</v>
      </c>
      <c r="C1237" s="1" t="s">
        <v>7303</v>
      </c>
      <c r="E1237" s="1" t="s">
        <v>7304</v>
      </c>
      <c r="G1237" s="1" t="s">
        <v>7279</v>
      </c>
      <c r="H1237" s="1">
        <v>2021.0</v>
      </c>
      <c r="I1237" s="1" t="s">
        <v>289</v>
      </c>
      <c r="J1237" s="1" t="s">
        <v>148</v>
      </c>
      <c r="K1237" s="1" t="s">
        <v>7305</v>
      </c>
      <c r="L1237" s="1" t="s">
        <v>7306</v>
      </c>
      <c r="M1237" s="2" t="s">
        <v>12</v>
      </c>
      <c r="N1237" s="4">
        <f t="shared" si="1"/>
        <v>44260</v>
      </c>
      <c r="O1237" s="5" t="str">
        <f>IFERROR(__xludf.DUMMYFUNCTION("IF(REGEXMATCH(TRIM(I1237), ""^\d+\s*min""), ""Unclassified"", IF(I1237 = """", ""NR"", I1237))"),"TV-Y7")</f>
        <v>TV-Y7</v>
      </c>
      <c r="R1237" s="5" t="str">
        <f t="shared" si="2"/>
        <v>Pokémon Journeys: The Series</v>
      </c>
      <c r="S1237" s="5" t="str">
        <f>IFERROR(__xludf.DUMMYFUNCTION("""COMPUTED_VALUE"""),"Broadchurch")</f>
        <v>Broadchurch</v>
      </c>
      <c r="U1237" s="5" t="str">
        <f>IFERROR(__xludf.DUMMYFUNCTION("""COMPUTED_VALUE"""),"Mfanelo Ngoma")</f>
        <v>Mfanelo Ngoma</v>
      </c>
      <c r="V1237" s="5" t="s">
        <v>7307</v>
      </c>
      <c r="W1237" s="5" t="str">
        <f t="shared" si="3"/>
        <v>Esteban Vidal</v>
      </c>
      <c r="X1237" s="5">
        <f t="shared" si="4"/>
        <v>2</v>
      </c>
      <c r="Y1237" s="5" t="str">
        <f>IFERROR(__xludf.DUMMYFUNCTION("REGEXEXTRACT(J1237, ""^\d+"")"),"4")</f>
        <v>4</v>
      </c>
      <c r="Z1237" s="5" t="str">
        <f>IFERROR(__xludf.DUMMYFUNCTION("REGEXEXTRACT(J1237, ""[A-Za-z ]+$"")")," Seasons")</f>
        <v> Seasons</v>
      </c>
      <c r="AA1237" s="5" t="str">
        <f>IFERROR(__xludf.DUMMYFUNCTION("IF(REGEXMATCH(Z1237, ""Season""), ""TV Show"", ""Movie"")"),"TV Show")</f>
        <v>TV Show</v>
      </c>
    </row>
    <row r="1238">
      <c r="A1238" s="1" t="s">
        <v>7308</v>
      </c>
      <c r="B1238" s="1" t="s">
        <v>27</v>
      </c>
      <c r="C1238" s="1" t="s">
        <v>7309</v>
      </c>
      <c r="D1238" s="1" t="s">
        <v>49</v>
      </c>
      <c r="E1238" s="1" t="s">
        <v>7310</v>
      </c>
      <c r="F1238" s="1" t="s">
        <v>664</v>
      </c>
      <c r="G1238" s="1" t="s">
        <v>7279</v>
      </c>
      <c r="H1238" s="1">
        <v>2021.0</v>
      </c>
      <c r="I1238" s="1" t="s">
        <v>42</v>
      </c>
      <c r="J1238" s="1" t="s">
        <v>2452</v>
      </c>
      <c r="K1238" s="1" t="s">
        <v>306</v>
      </c>
      <c r="L1238" s="1" t="s">
        <v>7311</v>
      </c>
      <c r="M1238" s="2" t="s">
        <v>12</v>
      </c>
      <c r="N1238" s="4">
        <f t="shared" si="1"/>
        <v>44260</v>
      </c>
      <c r="O1238" s="5" t="str">
        <f>IFERROR(__xludf.DUMMYFUNCTION("IF(REGEXMATCH(TRIM(I1238), ""^\d+\s*min""), ""Unclassified"", IF(I1238 = """", ""NR"", I1238))"),"TV-MA")</f>
        <v>TV-MA</v>
      </c>
      <c r="R1238" s="5" t="str">
        <f t="shared" si="2"/>
        <v>Sentinelle</v>
      </c>
      <c r="S1238" s="5" t="str">
        <f>IFERROR(__xludf.DUMMYFUNCTION("""COMPUTED_VALUE"""),"Broken")</f>
        <v>Broken</v>
      </c>
      <c r="U1238" s="5" t="str">
        <f>IFERROR(__xludf.DUMMYFUNCTION("""COMPUTED_VALUE"""),"Colin Minihan")</f>
        <v>Colin Minihan</v>
      </c>
      <c r="V1238" s="5" t="s">
        <v>7312</v>
      </c>
      <c r="W1238" s="5" t="str">
        <f t="shared" si="3"/>
        <v>Estela Renner</v>
      </c>
      <c r="X1238" s="5">
        <f t="shared" si="4"/>
        <v>2</v>
      </c>
      <c r="Y1238" s="5" t="str">
        <f>IFERROR(__xludf.DUMMYFUNCTION("REGEXEXTRACT(J1238, ""^\d+"")"),"81")</f>
        <v>81</v>
      </c>
      <c r="Z1238" s="5" t="str">
        <f>IFERROR(__xludf.DUMMYFUNCTION("REGEXEXTRACT(J1238, ""[A-Za-z ]+$"")")," min")</f>
        <v> min</v>
      </c>
      <c r="AA1238" s="5" t="str">
        <f>IFERROR(__xludf.DUMMYFUNCTION("IF(REGEXMATCH(Z1238, ""Season""), ""TV Show"", ""Movie"")"),"Movie")</f>
        <v>Movie</v>
      </c>
    </row>
    <row r="1239">
      <c r="A1239" s="1" t="s">
        <v>7313</v>
      </c>
      <c r="B1239" s="1" t="s">
        <v>27</v>
      </c>
      <c r="C1239" s="1" t="s">
        <v>7314</v>
      </c>
      <c r="D1239" s="1" t="s">
        <v>7315</v>
      </c>
      <c r="E1239" s="1" t="s">
        <v>7316</v>
      </c>
      <c r="F1239" s="1" t="s">
        <v>2873</v>
      </c>
      <c r="G1239" s="1" t="s">
        <v>7317</v>
      </c>
      <c r="H1239" s="1">
        <v>2020.0</v>
      </c>
      <c r="I1239" s="1" t="s">
        <v>97</v>
      </c>
      <c r="J1239" s="1" t="s">
        <v>349</v>
      </c>
      <c r="K1239" s="1" t="s">
        <v>215</v>
      </c>
      <c r="L1239" s="1" t="s">
        <v>7318</v>
      </c>
      <c r="M1239" s="2" t="s">
        <v>12</v>
      </c>
      <c r="N1239" s="4">
        <f t="shared" si="1"/>
        <v>44259</v>
      </c>
      <c r="O1239" s="5" t="str">
        <f>IFERROR(__xludf.DUMMYFUNCTION("IF(REGEXMATCH(TRIM(I1239), ""^\d+\s*min""), ""Unclassified"", IF(I1239 = """", ""NR"", I1239))"),"TV-14")</f>
        <v>TV-14</v>
      </c>
      <c r="R1239" s="5" t="str">
        <f t="shared" si="2"/>
        <v>Mariposa</v>
      </c>
      <c r="S1239" s="5" t="str">
        <f>IFERROR(__xludf.DUMMYFUNCTION("""COMPUTED_VALUE"""),"Bromance")</f>
        <v>Bromance</v>
      </c>
      <c r="U1239" s="5" t="str">
        <f>IFERROR(__xludf.DUMMYFUNCTION("""COMPUTED_VALUE"""),"Regina Welker, Nina Wels")</f>
        <v>Regina Welker, Nina Wels</v>
      </c>
      <c r="V1239" s="5" t="s">
        <v>7319</v>
      </c>
      <c r="W1239" s="5" t="str">
        <f t="shared" si="3"/>
        <v>Ester Gould, Reijer Zwaan</v>
      </c>
      <c r="X1239" s="5">
        <f t="shared" si="4"/>
        <v>1</v>
      </c>
      <c r="Y1239" s="5" t="str">
        <f>IFERROR(__xludf.DUMMYFUNCTION("REGEXEXTRACT(J1239, ""^\d+"")"),"116")</f>
        <v>116</v>
      </c>
      <c r="Z1239" s="5" t="str">
        <f>IFERROR(__xludf.DUMMYFUNCTION("REGEXEXTRACT(J1239, ""[A-Za-z ]+$"")")," min")</f>
        <v> min</v>
      </c>
      <c r="AA1239" s="5" t="str">
        <f>IFERROR(__xludf.DUMMYFUNCTION("IF(REGEXMATCH(Z1239, ""Season""), ""TV Show"", ""Movie"")"),"Movie")</f>
        <v>Movie</v>
      </c>
    </row>
    <row r="1240">
      <c r="A1240" s="1" t="s">
        <v>7320</v>
      </c>
      <c r="B1240" s="1" t="s">
        <v>37</v>
      </c>
      <c r="C1240" s="1" t="s">
        <v>7321</v>
      </c>
      <c r="E1240" s="1" t="s">
        <v>7322</v>
      </c>
      <c r="F1240" s="1" t="s">
        <v>5656</v>
      </c>
      <c r="G1240" s="1" t="s">
        <v>7317</v>
      </c>
      <c r="H1240" s="1">
        <v>2021.0</v>
      </c>
      <c r="I1240" s="1" t="s">
        <v>97</v>
      </c>
      <c r="J1240" s="1" t="s">
        <v>51</v>
      </c>
      <c r="K1240" s="1" t="s">
        <v>2439</v>
      </c>
      <c r="L1240" s="1" t="s">
        <v>7323</v>
      </c>
      <c r="M1240" s="2" t="s">
        <v>12</v>
      </c>
      <c r="N1240" s="4">
        <f t="shared" si="1"/>
        <v>44259</v>
      </c>
      <c r="O1240" s="5" t="str">
        <f>IFERROR(__xludf.DUMMYFUNCTION("IF(REGEXMATCH(TRIM(I1240), ""^\d+\s*min""), ""Unclassified"", IF(I1240 = """", ""NR"", I1240))"),"TV-14")</f>
        <v>TV-14</v>
      </c>
      <c r="R1240" s="5" t="str">
        <f t="shared" si="2"/>
        <v>Pacific Rim: The Black</v>
      </c>
      <c r="S1240" s="5" t="str">
        <f>IFERROR(__xludf.DUMMYFUNCTION("""COMPUTED_VALUE"""),"Brooklyn'S Finest")</f>
        <v>Brooklyn'S Finest</v>
      </c>
      <c r="U1240" s="5" t="str">
        <f>IFERROR(__xludf.DUMMYFUNCTION("""COMPUTED_VALUE"""),"Honey Trehan")</f>
        <v>Honey Trehan</v>
      </c>
      <c r="V1240" s="5" t="s">
        <v>7324</v>
      </c>
      <c r="W1240" s="5" t="str">
        <f t="shared" si="3"/>
        <v>Ethan Coen, Joel Coen</v>
      </c>
      <c r="X1240" s="5">
        <f t="shared" si="4"/>
        <v>2</v>
      </c>
      <c r="Y1240" s="5" t="str">
        <f>IFERROR(__xludf.DUMMYFUNCTION("REGEXEXTRACT(J1240, ""^\d+"")"),"1")</f>
        <v>1</v>
      </c>
      <c r="Z1240" s="5" t="str">
        <f>IFERROR(__xludf.DUMMYFUNCTION("REGEXEXTRACT(J1240, ""[A-Za-z ]+$"")")," Season")</f>
        <v> Season</v>
      </c>
      <c r="AA1240" s="5" t="str">
        <f>IFERROR(__xludf.DUMMYFUNCTION("IF(REGEXMATCH(Z1240, ""Season""), ""TV Show"", ""Movie"")"),"TV Show")</f>
        <v>TV Show</v>
      </c>
    </row>
    <row r="1241">
      <c r="A1241" s="1" t="s">
        <v>7325</v>
      </c>
      <c r="B1241" s="1" t="s">
        <v>27</v>
      </c>
      <c r="C1241" s="1" t="s">
        <v>7326</v>
      </c>
      <c r="D1241" s="1" t="s">
        <v>7327</v>
      </c>
      <c r="E1241" s="1" t="s">
        <v>7328</v>
      </c>
      <c r="F1241" s="1" t="s">
        <v>30</v>
      </c>
      <c r="G1241" s="1" t="s">
        <v>7317</v>
      </c>
      <c r="H1241" s="1">
        <v>2013.0</v>
      </c>
      <c r="I1241" s="1" t="s">
        <v>378</v>
      </c>
      <c r="J1241" s="1" t="s">
        <v>804</v>
      </c>
      <c r="K1241" s="1" t="s">
        <v>380</v>
      </c>
      <c r="L1241" s="1" t="s">
        <v>7329</v>
      </c>
      <c r="M1241" s="2" t="s">
        <v>12</v>
      </c>
      <c r="N1241" s="4">
        <f t="shared" si="1"/>
        <v>44259</v>
      </c>
      <c r="O1241" s="5" t="str">
        <f>IFERROR(__xludf.DUMMYFUNCTION("IF(REGEXMATCH(TRIM(I1241), ""^\d+\s*min""), ""Unclassified"", IF(I1241 = """", ""NR"", I1241))"),"R")</f>
        <v>R</v>
      </c>
      <c r="R1241" s="5" t="str">
        <f t="shared" si="2"/>
        <v>Parker</v>
      </c>
      <c r="S1241" s="5" t="str">
        <f>IFERROR(__xludf.DUMMYFUNCTION("""COMPUTED_VALUE"""),"Brother")</f>
        <v>Brother</v>
      </c>
      <c r="U1241" s="5" t="str">
        <f>IFERROR(__xludf.DUMMYFUNCTION("""COMPUTED_VALUE"""),"Katleho Ramaphakela, Rethabile Ramaphakela")</f>
        <v>Katleho Ramaphakela, Rethabile Ramaphakela</v>
      </c>
      <c r="V1241" s="5" t="s">
        <v>7330</v>
      </c>
      <c r="W1241" s="5" t="str">
        <f t="shared" si="3"/>
        <v>Ethan Hawke</v>
      </c>
      <c r="X1241" s="5">
        <f t="shared" si="4"/>
        <v>1</v>
      </c>
      <c r="Y1241" s="5" t="str">
        <f>IFERROR(__xludf.DUMMYFUNCTION("REGEXEXTRACT(J1241, ""^\d+"")"),"119")</f>
        <v>119</v>
      </c>
      <c r="Z1241" s="5" t="str">
        <f>IFERROR(__xludf.DUMMYFUNCTION("REGEXEXTRACT(J1241, ""[A-Za-z ]+$"")")," min")</f>
        <v> min</v>
      </c>
      <c r="AA1241" s="5" t="str">
        <f>IFERROR(__xludf.DUMMYFUNCTION("IF(REGEXMATCH(Z1241, ""Season""), ""TV Show"", ""Movie"")"),"Movie")</f>
        <v>Movie</v>
      </c>
    </row>
    <row r="1242">
      <c r="A1242" s="1" t="s">
        <v>7331</v>
      </c>
      <c r="B1242" s="1" t="s">
        <v>27</v>
      </c>
      <c r="C1242" s="1" t="s">
        <v>7332</v>
      </c>
      <c r="D1242" s="1" t="s">
        <v>909</v>
      </c>
      <c r="E1242" s="1" t="s">
        <v>7333</v>
      </c>
      <c r="F1242" s="1" t="s">
        <v>30</v>
      </c>
      <c r="G1242" s="1" t="s">
        <v>7317</v>
      </c>
      <c r="H1242" s="1">
        <v>2013.0</v>
      </c>
      <c r="I1242" s="1" t="s">
        <v>32</v>
      </c>
      <c r="J1242" s="1" t="s">
        <v>349</v>
      </c>
      <c r="K1242" s="1" t="s">
        <v>828</v>
      </c>
      <c r="L1242" s="1" t="s">
        <v>7334</v>
      </c>
      <c r="M1242" s="2" t="s">
        <v>12</v>
      </c>
      <c r="N1242" s="4">
        <f t="shared" si="1"/>
        <v>44259</v>
      </c>
      <c r="O1242" s="5" t="str">
        <f>IFERROR(__xludf.DUMMYFUNCTION("IF(REGEXMATCH(TRIM(I1242), ""^\d+\s*min""), ""Unclassified"", IF(I1242 = """", ""NR"", I1242))"),"PG-13")</f>
        <v>PG-13</v>
      </c>
      <c r="R1242" s="5" t="str">
        <f t="shared" si="2"/>
        <v>Safe Haven</v>
      </c>
      <c r="S1242" s="5" t="str">
        <f>IFERROR(__xludf.DUMMYFUNCTION("""COMPUTED_VALUE"""),"Brother In Love")</f>
        <v>Brother In Love</v>
      </c>
      <c r="U1242" s="5" t="str">
        <f>IFERROR(__xludf.DUMMYFUNCTION("""COMPUTED_VALUE"""),"Ariel Boles")</f>
        <v>Ariel Boles</v>
      </c>
      <c r="V1242" s="5" t="s">
        <v>7335</v>
      </c>
      <c r="W1242" s="5" t="str">
        <f t="shared" si="3"/>
        <v>Eugenio Derbez</v>
      </c>
      <c r="X1242" s="5">
        <f t="shared" si="4"/>
        <v>1</v>
      </c>
      <c r="Y1242" s="5" t="str">
        <f>IFERROR(__xludf.DUMMYFUNCTION("REGEXEXTRACT(J1242, ""^\d+"")"),"116")</f>
        <v>116</v>
      </c>
      <c r="Z1242" s="5" t="str">
        <f>IFERROR(__xludf.DUMMYFUNCTION("REGEXEXTRACT(J1242, ""[A-Za-z ]+$"")")," min")</f>
        <v> min</v>
      </c>
      <c r="AA1242" s="5" t="str">
        <f>IFERROR(__xludf.DUMMYFUNCTION("IF(REGEXMATCH(Z1242, ""Season""), ""TV Show"", ""Movie"")"),"Movie")</f>
        <v>Movie</v>
      </c>
    </row>
    <row r="1243">
      <c r="A1243" s="1" t="s">
        <v>7336</v>
      </c>
      <c r="B1243" s="1" t="s">
        <v>27</v>
      </c>
      <c r="C1243" s="1" t="s">
        <v>7337</v>
      </c>
      <c r="D1243" s="1" t="s">
        <v>1657</v>
      </c>
      <c r="E1243" s="1" t="s">
        <v>7338</v>
      </c>
      <c r="F1243" s="1" t="s">
        <v>30</v>
      </c>
      <c r="G1243" s="1" t="s">
        <v>7339</v>
      </c>
      <c r="H1243" s="1">
        <v>2021.0</v>
      </c>
      <c r="I1243" s="1" t="s">
        <v>32</v>
      </c>
      <c r="J1243" s="1" t="s">
        <v>1243</v>
      </c>
      <c r="K1243" s="1" t="s">
        <v>7340</v>
      </c>
      <c r="L1243" s="1" t="s">
        <v>7341</v>
      </c>
      <c r="M1243" s="2" t="s">
        <v>12</v>
      </c>
      <c r="N1243" s="4">
        <f t="shared" si="1"/>
        <v>44258</v>
      </c>
      <c r="O1243" s="5" t="str">
        <f>IFERROR(__xludf.DUMMYFUNCTION("IF(REGEXMATCH(TRIM(I1243), ""^\d+\s*min""), ""Unclassified"", IF(I1243 = """", ""NR"", I1243))"),"PG-13")</f>
        <v>PG-13</v>
      </c>
      <c r="R1243" s="5" t="str">
        <f t="shared" si="2"/>
        <v>Moxie</v>
      </c>
      <c r="S1243" s="5" t="str">
        <f>IFERROR(__xludf.DUMMYFUNCTION("""COMPUTED_VALUE"""),"Brother Jekwu")</f>
        <v>Brother Jekwu</v>
      </c>
      <c r="U1243" s="5" t="str">
        <f>IFERROR(__xludf.DUMMYFUNCTION("""COMPUTED_VALUE"""),"Álvaro Delgado-Aparicio L.")</f>
        <v>Álvaro Delgado-Aparicio L.</v>
      </c>
      <c r="V1243" s="5" t="s">
        <v>2088</v>
      </c>
      <c r="W1243" s="5" t="str">
        <f t="shared" si="3"/>
        <v>Eva Müller, Michael Schmitt</v>
      </c>
      <c r="X1243" s="5">
        <f t="shared" si="4"/>
        <v>1</v>
      </c>
      <c r="Y1243" s="5" t="str">
        <f>IFERROR(__xludf.DUMMYFUNCTION("REGEXEXTRACT(J1243, ""^\d+"")"),"112")</f>
        <v>112</v>
      </c>
      <c r="Z1243" s="5" t="str">
        <f>IFERROR(__xludf.DUMMYFUNCTION("REGEXEXTRACT(J1243, ""[A-Za-z ]+$"")")," min")</f>
        <v> min</v>
      </c>
      <c r="AA1243" s="5" t="str">
        <f>IFERROR(__xludf.DUMMYFUNCTION("IF(REGEXMATCH(Z1243, ""Season""), ""TV Show"", ""Movie"")"),"Movie")</f>
        <v>Movie</v>
      </c>
    </row>
    <row r="1244">
      <c r="A1244" s="1" t="s">
        <v>7342</v>
      </c>
      <c r="B1244" s="1" t="s">
        <v>37</v>
      </c>
      <c r="C1244" s="1" t="s">
        <v>7343</v>
      </c>
      <c r="D1244" s="1" t="s">
        <v>7344</v>
      </c>
      <c r="F1244" s="1" t="s">
        <v>30</v>
      </c>
      <c r="G1244" s="1" t="s">
        <v>7339</v>
      </c>
      <c r="H1244" s="1">
        <v>2021.0</v>
      </c>
      <c r="I1244" s="1" t="s">
        <v>97</v>
      </c>
      <c r="J1244" s="1" t="s">
        <v>51</v>
      </c>
      <c r="K1244" s="1" t="s">
        <v>2043</v>
      </c>
      <c r="L1244" s="1" t="s">
        <v>7345</v>
      </c>
      <c r="M1244" s="2" t="s">
        <v>12</v>
      </c>
      <c r="N1244" s="4">
        <f t="shared" si="1"/>
        <v>44258</v>
      </c>
      <c r="O1244" s="5" t="str">
        <f>IFERROR(__xludf.DUMMYFUNCTION("IF(REGEXMATCH(TRIM(I1244), ""^\d+\s*min""), ""Unclassified"", IF(I1244 = """", ""NR"", I1244))"),"TV-14")</f>
        <v>TV-14</v>
      </c>
      <c r="R1244" s="5" t="str">
        <f t="shared" si="2"/>
        <v>Murder Among The Mormons</v>
      </c>
      <c r="S1244" s="5" t="str">
        <f>IFERROR(__xludf.DUMMYFUNCTION("""COMPUTED_VALUE"""),"Brother'S Shadow")</f>
        <v>Brother'S Shadow</v>
      </c>
      <c r="U1244" s="5" t="str">
        <f>IFERROR(__xludf.DUMMYFUNCTION("""COMPUTED_VALUE"""),"Venkatesh Maha")</f>
        <v>Venkatesh Maha</v>
      </c>
      <c r="V1244" s="5" t="s">
        <v>7346</v>
      </c>
      <c r="W1244" s="5" t="str">
        <f t="shared" si="3"/>
        <v>Eva Orner</v>
      </c>
      <c r="X1244" s="5">
        <f t="shared" si="4"/>
        <v>1</v>
      </c>
      <c r="Y1244" s="5" t="str">
        <f>IFERROR(__xludf.DUMMYFUNCTION("REGEXEXTRACT(J1244, ""^\d+"")"),"1")</f>
        <v>1</v>
      </c>
      <c r="Z1244" s="5" t="str">
        <f>IFERROR(__xludf.DUMMYFUNCTION("REGEXEXTRACT(J1244, ""[A-Za-z ]+$"")")," Season")</f>
        <v> Season</v>
      </c>
      <c r="AA1244" s="5" t="str">
        <f>IFERROR(__xludf.DUMMYFUNCTION("IF(REGEXMATCH(Z1244, ""Season""), ""TV Show"", ""Movie"")"),"TV Show")</f>
        <v>TV Show</v>
      </c>
    </row>
    <row r="1245">
      <c r="A1245" s="1" t="s">
        <v>7347</v>
      </c>
      <c r="B1245" s="1" t="s">
        <v>27</v>
      </c>
      <c r="C1245" s="1" t="s">
        <v>7348</v>
      </c>
      <c r="D1245" s="1" t="s">
        <v>7349</v>
      </c>
      <c r="E1245" s="1" t="s">
        <v>7350</v>
      </c>
      <c r="F1245" s="1" t="s">
        <v>30</v>
      </c>
      <c r="G1245" s="1" t="s">
        <v>7351</v>
      </c>
      <c r="H1245" s="1">
        <v>2014.0</v>
      </c>
      <c r="I1245" s="1" t="s">
        <v>32</v>
      </c>
      <c r="J1245" s="1" t="s">
        <v>941</v>
      </c>
      <c r="K1245" s="1" t="s">
        <v>805</v>
      </c>
      <c r="L1245" s="1" t="s">
        <v>7352</v>
      </c>
      <c r="M1245" s="2" t="s">
        <v>12</v>
      </c>
      <c r="N1245" s="4">
        <f t="shared" si="1"/>
        <v>44257</v>
      </c>
      <c r="O1245" s="5" t="str">
        <f>IFERROR(__xludf.DUMMYFUNCTION("IF(REGEXMATCH(TRIM(I1245), ""^\d+\s*min""), ""Unclassified"", IF(I1245 = """", ""NR"", I1245))"),"PG-13")</f>
        <v>PG-13</v>
      </c>
      <c r="R1245" s="5" t="str">
        <f t="shared" si="2"/>
        <v>Black Or White</v>
      </c>
      <c r="S1245" s="5" t="str">
        <f>IFERROR(__xludf.DUMMYFUNCTION("""COMPUTED_VALUE"""),"Brotherhood")</f>
        <v>Brotherhood</v>
      </c>
      <c r="U1245" s="5" t="str">
        <f>IFERROR(__xludf.DUMMYFUNCTION("""COMPUTED_VALUE"""),"Nopparoj Chotmunkongsit")</f>
        <v>Nopparoj Chotmunkongsit</v>
      </c>
      <c r="V1245" s="5" t="s">
        <v>7353</v>
      </c>
      <c r="W1245" s="5" t="str">
        <f t="shared" si="3"/>
        <v>Eva Trobisch</v>
      </c>
      <c r="X1245" s="5">
        <f t="shared" si="4"/>
        <v>1</v>
      </c>
      <c r="Y1245" s="5" t="str">
        <f>IFERROR(__xludf.DUMMYFUNCTION("REGEXEXTRACT(J1245, ""^\d+"")"),"121")</f>
        <v>121</v>
      </c>
      <c r="Z1245" s="5" t="str">
        <f>IFERROR(__xludf.DUMMYFUNCTION("REGEXEXTRACT(J1245, ""[A-Za-z ]+$"")")," min")</f>
        <v> min</v>
      </c>
      <c r="AA1245" s="5" t="str">
        <f>IFERROR(__xludf.DUMMYFUNCTION("IF(REGEXMATCH(Z1245, ""Season""), ""TV Show"", ""Movie"")"),"Movie")</f>
        <v>Movie</v>
      </c>
    </row>
    <row r="1246">
      <c r="A1246" s="1" t="s">
        <v>7354</v>
      </c>
      <c r="B1246" s="1" t="s">
        <v>27</v>
      </c>
      <c r="C1246" s="1" t="s">
        <v>7355</v>
      </c>
      <c r="D1246" s="1" t="s">
        <v>300</v>
      </c>
      <c r="E1246" s="1" t="s">
        <v>7356</v>
      </c>
      <c r="F1246" s="1" t="s">
        <v>63</v>
      </c>
      <c r="G1246" s="1" t="s">
        <v>7351</v>
      </c>
      <c r="H1246" s="1">
        <v>2020.0</v>
      </c>
      <c r="I1246" s="1" t="s">
        <v>97</v>
      </c>
      <c r="J1246" s="1" t="s">
        <v>379</v>
      </c>
      <c r="K1246" s="1" t="s">
        <v>1328</v>
      </c>
      <c r="L1246" s="1" t="s">
        <v>7357</v>
      </c>
      <c r="M1246" s="2" t="s">
        <v>12</v>
      </c>
      <c r="N1246" s="4">
        <f t="shared" si="1"/>
        <v>44257</v>
      </c>
      <c r="O1246" s="5" t="str">
        <f>IFERROR(__xludf.DUMMYFUNCTION("IF(REGEXMATCH(TRIM(I1246), ""^\d+\s*min""), ""Unclassified"", IF(I1246 = """", ""NR"", I1246))"),"TV-14")</f>
        <v>TV-14</v>
      </c>
      <c r="R1246" s="5" t="str">
        <f t="shared" si="2"/>
        <v>Indoo Ki Jawani</v>
      </c>
      <c r="S1246" s="5" t="str">
        <f>IFERROR(__xludf.DUMMYFUNCTION("""COMPUTED_VALUE"""),"Brotherhood Of Blades Ii: The Infernal Battlefield")</f>
        <v>Brotherhood Of Blades Ii: The Infernal Battlefield</v>
      </c>
      <c r="U1246" s="5" t="str">
        <f>IFERROR(__xludf.DUMMYFUNCTION("""COMPUTED_VALUE"""),"Aniedi Anwah")</f>
        <v>Aniedi Anwah</v>
      </c>
      <c r="V1246" s="5" t="s">
        <v>7358</v>
      </c>
      <c r="W1246" s="5" t="str">
        <f t="shared" si="3"/>
        <v>Eva Vives</v>
      </c>
      <c r="X1246" s="5">
        <f t="shared" si="4"/>
        <v>1</v>
      </c>
      <c r="Y1246" s="5" t="str">
        <f>IFERROR(__xludf.DUMMYFUNCTION("REGEXEXTRACT(J1246, ""^\d+"")"),"115")</f>
        <v>115</v>
      </c>
      <c r="Z1246" s="5" t="str">
        <f>IFERROR(__xludf.DUMMYFUNCTION("REGEXEXTRACT(J1246, ""[A-Za-z ]+$"")")," min")</f>
        <v> min</v>
      </c>
      <c r="AA1246" s="5" t="str">
        <f>IFERROR(__xludf.DUMMYFUNCTION("IF(REGEXMATCH(Z1246, ""Season""), ""TV Show"", ""Movie"")"),"Movie")</f>
        <v>Movie</v>
      </c>
    </row>
    <row r="1247">
      <c r="A1247" s="1" t="s">
        <v>7359</v>
      </c>
      <c r="B1247" s="1" t="s">
        <v>37</v>
      </c>
      <c r="C1247" s="1" t="s">
        <v>7360</v>
      </c>
      <c r="E1247" s="1" t="s">
        <v>7361</v>
      </c>
      <c r="F1247" s="1" t="s">
        <v>30</v>
      </c>
      <c r="G1247" s="1" t="s">
        <v>7351</v>
      </c>
      <c r="H1247" s="1">
        <v>2021.0</v>
      </c>
      <c r="I1247" s="1" t="s">
        <v>206</v>
      </c>
      <c r="J1247" s="1" t="s">
        <v>189</v>
      </c>
      <c r="K1247" s="1" t="s">
        <v>290</v>
      </c>
      <c r="L1247" s="1" t="s">
        <v>7362</v>
      </c>
      <c r="M1247" s="2" t="s">
        <v>12</v>
      </c>
      <c r="N1247" s="4">
        <f t="shared" si="1"/>
        <v>44257</v>
      </c>
      <c r="O1247" s="5" t="str">
        <f>IFERROR(__xludf.DUMMYFUNCTION("IF(REGEXMATCH(TRIM(I1247), ""^\d+\s*min""), ""Unclassified"", IF(I1247 = """", ""NR"", I1247))"),"TV-Y")</f>
        <v>TV-Y</v>
      </c>
      <c r="R1247" s="5" t="str">
        <f t="shared" si="2"/>
        <v>Word Party</v>
      </c>
      <c r="S1247" s="5" t="str">
        <f>IFERROR(__xludf.DUMMYFUNCTION("""COMPUTED_VALUE"""),"Brothers")</f>
        <v>Brothers</v>
      </c>
      <c r="U1247" s="5" t="str">
        <f>IFERROR(__xludf.DUMMYFUNCTION("""COMPUTED_VALUE"""),"Mickey Fonseca")</f>
        <v>Mickey Fonseca</v>
      </c>
      <c r="V1247" s="5" t="s">
        <v>1241</v>
      </c>
      <c r="W1247" s="5" t="str">
        <f t="shared" si="3"/>
        <v>Evan Goldberg, Seth Rogen</v>
      </c>
      <c r="X1247" s="5">
        <f t="shared" si="4"/>
        <v>1</v>
      </c>
      <c r="Y1247" s="5" t="str">
        <f>IFERROR(__xludf.DUMMYFUNCTION("REGEXEXTRACT(J1247, ""^\d+"")"),"5")</f>
        <v>5</v>
      </c>
      <c r="Z1247" s="5" t="str">
        <f>IFERROR(__xludf.DUMMYFUNCTION("REGEXEXTRACT(J1247, ""[A-Za-z ]+$"")")," Seasons")</f>
        <v> Seasons</v>
      </c>
      <c r="AA1247" s="5" t="str">
        <f>IFERROR(__xludf.DUMMYFUNCTION("IF(REGEXMATCH(Z1247, ""Season""), ""TV Show"", ""Movie"")"),"TV Show")</f>
        <v>TV Show</v>
      </c>
    </row>
    <row r="1248">
      <c r="A1248" s="1" t="s">
        <v>7363</v>
      </c>
      <c r="B1248" s="1" t="s">
        <v>37</v>
      </c>
      <c r="C1248" s="1" t="s">
        <v>7364</v>
      </c>
      <c r="D1248" s="1" t="s">
        <v>7365</v>
      </c>
      <c r="E1248" s="1" t="s">
        <v>7366</v>
      </c>
      <c r="G1248" s="1" t="s">
        <v>7367</v>
      </c>
      <c r="H1248" s="1">
        <v>2019.0</v>
      </c>
      <c r="I1248" s="1" t="s">
        <v>42</v>
      </c>
      <c r="J1248" s="1" t="s">
        <v>51</v>
      </c>
      <c r="K1248" s="1" t="s">
        <v>2762</v>
      </c>
      <c r="L1248" s="1" t="s">
        <v>7368</v>
      </c>
      <c r="M1248" s="2" t="s">
        <v>12</v>
      </c>
      <c r="N1248" s="4">
        <f t="shared" si="1"/>
        <v>44256</v>
      </c>
      <c r="O1248" s="5" t="str">
        <f>IFERROR(__xludf.DUMMYFUNCTION("IF(REGEXMATCH(TRIM(I1248), ""^\d+\s*min""), ""Unclassified"", IF(I1248 = """", ""NR"", I1248))"),"TV-MA")</f>
        <v>TV-MA</v>
      </c>
      <c r="R1248" s="5" t="str">
        <f t="shared" si="2"/>
        <v>A Perfect Day For Arsenide</v>
      </c>
      <c r="S1248" s="5" t="str">
        <f>IFERROR(__xludf.DUMMYFUNCTION("""COMPUTED_VALUE"""),"Brown Nation")</f>
        <v>Brown Nation</v>
      </c>
      <c r="U1248" s="5" t="str">
        <f>IFERROR(__xludf.DUMMYFUNCTION("""COMPUTED_VALUE"""),"Matias Mariani")</f>
        <v>Matias Mariani</v>
      </c>
      <c r="V1248" s="5" t="s">
        <v>7369</v>
      </c>
      <c r="W1248" s="5" t="str">
        <f t="shared" si="3"/>
        <v>Evan Katz</v>
      </c>
      <c r="X1248" s="5">
        <f t="shared" si="4"/>
        <v>1</v>
      </c>
      <c r="Y1248" s="5" t="str">
        <f>IFERROR(__xludf.DUMMYFUNCTION("REGEXEXTRACT(J1248, ""^\d+"")"),"1")</f>
        <v>1</v>
      </c>
      <c r="Z1248" s="5" t="str">
        <f>IFERROR(__xludf.DUMMYFUNCTION("REGEXEXTRACT(J1248, ""[A-Za-z ]+$"")")," Season")</f>
        <v> Season</v>
      </c>
      <c r="AA1248" s="5" t="str">
        <f>IFERROR(__xludf.DUMMYFUNCTION("IF(REGEXMATCH(Z1248, ""Season""), ""TV Show"", ""Movie"")"),"TV Show")</f>
        <v>TV Show</v>
      </c>
    </row>
    <row r="1249">
      <c r="A1249" s="1" t="s">
        <v>7370</v>
      </c>
      <c r="B1249" s="1" t="s">
        <v>27</v>
      </c>
      <c r="C1249" s="1" t="s">
        <v>7371</v>
      </c>
      <c r="D1249" s="1" t="s">
        <v>4904</v>
      </c>
      <c r="E1249" s="1" t="s">
        <v>7372</v>
      </c>
      <c r="G1249" s="1" t="s">
        <v>7367</v>
      </c>
      <c r="H1249" s="1">
        <v>2009.0</v>
      </c>
      <c r="I1249" s="1" t="s">
        <v>136</v>
      </c>
      <c r="J1249" s="1" t="s">
        <v>551</v>
      </c>
      <c r="K1249" s="1" t="s">
        <v>306</v>
      </c>
      <c r="L1249" s="1" t="s">
        <v>7373</v>
      </c>
      <c r="M1249" s="2" t="s">
        <v>12</v>
      </c>
      <c r="N1249" s="4">
        <f t="shared" si="1"/>
        <v>44256</v>
      </c>
      <c r="O1249" s="5" t="str">
        <f>IFERROR(__xludf.DUMMYFUNCTION("IF(REGEXMATCH(TRIM(I1249), ""^\d+\s*min""), ""Unclassified"", IF(I1249 = """", ""NR"", I1249))"),"TV-PG")</f>
        <v>TV-PG</v>
      </c>
      <c r="R1249" s="5" t="str">
        <f t="shared" si="2"/>
        <v>Banyuki</v>
      </c>
      <c r="S1249" s="5" t="str">
        <f>IFERROR(__xludf.DUMMYFUNCTION("""COMPUTED_VALUE"""),"Bruno And Boots: Go Jump In The Pool")</f>
        <v>Bruno And Boots: Go Jump In The Pool</v>
      </c>
      <c r="U1249" s="5" t="str">
        <f>IFERROR(__xludf.DUMMYFUNCTION("""COMPUTED_VALUE"""),"Jan Komasa")</f>
        <v>Jan Komasa</v>
      </c>
      <c r="V1249" s="5" t="s">
        <v>7374</v>
      </c>
      <c r="W1249" s="5" t="str">
        <f t="shared" si="3"/>
        <v>Evan Spiridellis, Jeff Gill</v>
      </c>
      <c r="X1249" s="5">
        <f t="shared" si="4"/>
        <v>1</v>
      </c>
      <c r="Y1249" s="5" t="str">
        <f>IFERROR(__xludf.DUMMYFUNCTION("REGEXEXTRACT(J1249, ""^\d+"")"),"182")</f>
        <v>182</v>
      </c>
      <c r="Z1249" s="5" t="str">
        <f>IFERROR(__xludf.DUMMYFUNCTION("REGEXEXTRACT(J1249, ""[A-Za-z ]+$"")")," min")</f>
        <v> min</v>
      </c>
      <c r="AA1249" s="5" t="str">
        <f>IFERROR(__xludf.DUMMYFUNCTION("IF(REGEXMATCH(Z1249, ""Season""), ""TV Show"", ""Movie"")"),"Movie")</f>
        <v>Movie</v>
      </c>
    </row>
    <row r="1250">
      <c r="A1250" s="1" t="s">
        <v>7375</v>
      </c>
      <c r="B1250" s="1" t="s">
        <v>27</v>
      </c>
      <c r="C1250" s="1" t="s">
        <v>7376</v>
      </c>
      <c r="D1250" s="1" t="s">
        <v>7095</v>
      </c>
      <c r="E1250" s="1" t="s">
        <v>7377</v>
      </c>
      <c r="F1250" s="1" t="s">
        <v>30</v>
      </c>
      <c r="G1250" s="1" t="s">
        <v>7367</v>
      </c>
      <c r="H1250" s="1">
        <v>2021.0</v>
      </c>
      <c r="I1250" s="1" t="s">
        <v>378</v>
      </c>
      <c r="J1250" s="1" t="s">
        <v>357</v>
      </c>
      <c r="K1250" s="1" t="s">
        <v>700</v>
      </c>
      <c r="L1250" s="1" t="s">
        <v>7378</v>
      </c>
      <c r="M1250" s="2" t="s">
        <v>12</v>
      </c>
      <c r="N1250" s="4">
        <f t="shared" si="1"/>
        <v>44256</v>
      </c>
      <c r="O1250" s="5" t="str">
        <f>IFERROR(__xludf.DUMMYFUNCTION("IF(REGEXMATCH(TRIM(I1250), ""^\d+\s*min""), ""Unclassified"", IF(I1250 = """", ""NR"", I1250))"),"R")</f>
        <v>R</v>
      </c>
      <c r="R1250" s="5" t="str">
        <f t="shared" si="2"/>
        <v>Biggie: I Got A Story To Tell</v>
      </c>
      <c r="S1250" s="5" t="str">
        <f>IFERROR(__xludf.DUMMYFUNCTION("""COMPUTED_VALUE"""),"Bruno And Boots: The Wizzle War")</f>
        <v>Bruno And Boots: The Wizzle War</v>
      </c>
      <c r="U1250" s="5" t="str">
        <f>IFERROR(__xludf.DUMMYFUNCTION("""COMPUTED_VALUE"""),"Sue Kim")</f>
        <v>Sue Kim</v>
      </c>
      <c r="V1250" s="5" t="s">
        <v>7379</v>
      </c>
      <c r="W1250" s="5" t="str">
        <f t="shared" si="3"/>
        <v>Everardo González</v>
      </c>
      <c r="X1250" s="5">
        <f t="shared" si="4"/>
        <v>2</v>
      </c>
      <c r="Y1250" s="5" t="str">
        <f>IFERROR(__xludf.DUMMYFUNCTION("REGEXEXTRACT(J1250, ""^\d+"")"),"98")</f>
        <v>98</v>
      </c>
      <c r="Z1250" s="5" t="str">
        <f>IFERROR(__xludf.DUMMYFUNCTION("REGEXEXTRACT(J1250, ""[A-Za-z ]+$"")")," min")</f>
        <v> min</v>
      </c>
      <c r="AA1250" s="5" t="str">
        <f>IFERROR(__xludf.DUMMYFUNCTION("IF(REGEXMATCH(Z1250, ""Season""), ""TV Show"", ""Movie"")"),"Movie")</f>
        <v>Movie</v>
      </c>
    </row>
    <row r="1251">
      <c r="A1251" s="1" t="s">
        <v>7380</v>
      </c>
      <c r="B1251" s="1" t="s">
        <v>27</v>
      </c>
      <c r="C1251" s="1" t="s">
        <v>7381</v>
      </c>
      <c r="D1251" s="1" t="s">
        <v>7382</v>
      </c>
      <c r="E1251" s="1" t="s">
        <v>7383</v>
      </c>
      <c r="G1251" s="1" t="s">
        <v>7367</v>
      </c>
      <c r="H1251" s="1">
        <v>2021.0</v>
      </c>
      <c r="I1251" s="1" t="s">
        <v>42</v>
      </c>
      <c r="J1251" s="1" t="s">
        <v>322</v>
      </c>
      <c r="K1251" s="1" t="s">
        <v>1839</v>
      </c>
      <c r="L1251" s="1" t="s">
        <v>7384</v>
      </c>
      <c r="M1251" s="2" t="s">
        <v>12</v>
      </c>
      <c r="N1251" s="4">
        <f t="shared" si="1"/>
        <v>44256</v>
      </c>
      <c r="O1251" s="5" t="str">
        <f>IFERROR(__xludf.DUMMYFUNCTION("IF(REGEXMATCH(TRIM(I1251), ""^\d+\s*min""), ""Unclassified"", IF(I1251 = """", ""NR"", I1251))"),"TV-MA")</f>
        <v>TV-MA</v>
      </c>
      <c r="R1251" s="5" t="str">
        <f t="shared" si="2"/>
        <v>Blanche Gardin: The All-Nighter</v>
      </c>
      <c r="S1251" s="5" t="str">
        <f>IFERROR(__xludf.DUMMYFUNCTION("""COMPUTED_VALUE"""),"Bruno And Boots: This Can'T Be Happening At Macdonald Hall")</f>
        <v>Bruno And Boots: This Can'T Be Happening At Macdonald Hall</v>
      </c>
      <c r="U1251" s="5" t="str">
        <f>IFERROR(__xludf.DUMMYFUNCTION("""COMPUTED_VALUE"""),"Paul Solet")</f>
        <v>Paul Solet</v>
      </c>
      <c r="V1251" s="5" t="s">
        <v>7385</v>
      </c>
      <c r="W1251" s="5" t="str">
        <f t="shared" si="3"/>
        <v>Everardo Gout</v>
      </c>
      <c r="X1251" s="5">
        <f t="shared" si="4"/>
        <v>1</v>
      </c>
      <c r="Y1251" s="5" t="str">
        <f>IFERROR(__xludf.DUMMYFUNCTION("REGEXEXTRACT(J1251, ""^\d+"")"),"96")</f>
        <v>96</v>
      </c>
      <c r="Z1251" s="5" t="str">
        <f>IFERROR(__xludf.DUMMYFUNCTION("REGEXEXTRACT(J1251, ""[A-Za-z ]+$"")")," min")</f>
        <v> min</v>
      </c>
      <c r="AA1251" s="5" t="str">
        <f>IFERROR(__xludf.DUMMYFUNCTION("IF(REGEXMATCH(Z1251, ""Season""), ""TV Show"", ""Movie"")"),"Movie")</f>
        <v>Movie</v>
      </c>
    </row>
    <row r="1252">
      <c r="A1252" s="1" t="s">
        <v>7386</v>
      </c>
      <c r="B1252" s="1" t="s">
        <v>27</v>
      </c>
      <c r="C1252" s="1" t="s">
        <v>7387</v>
      </c>
      <c r="D1252" s="1" t="s">
        <v>7388</v>
      </c>
      <c r="E1252" s="1" t="s">
        <v>7389</v>
      </c>
      <c r="G1252" s="1" t="s">
        <v>7367</v>
      </c>
      <c r="H1252" s="1">
        <v>2021.0</v>
      </c>
      <c r="I1252" s="1" t="s">
        <v>506</v>
      </c>
      <c r="J1252" s="1" t="s">
        <v>7390</v>
      </c>
      <c r="K1252" s="1" t="s">
        <v>2892</v>
      </c>
      <c r="L1252" s="1" t="s">
        <v>7391</v>
      </c>
      <c r="M1252" s="2" t="s">
        <v>12</v>
      </c>
      <c r="N1252" s="4">
        <f t="shared" si="1"/>
        <v>44256</v>
      </c>
      <c r="O1252" s="5" t="str">
        <f>IFERROR(__xludf.DUMMYFUNCTION("IF(REGEXMATCH(TRIM(I1252), ""^\d+\s*min""), ""Unclassified"", IF(I1252 = """", ""NR"", I1252))"),"TV-G")</f>
        <v>TV-G</v>
      </c>
      <c r="R1252" s="5" t="str">
        <f t="shared" si="2"/>
        <v>Connected</v>
      </c>
      <c r="S1252" s="5" t="str">
        <f>IFERROR(__xludf.DUMMYFUNCTION("""COMPUTED_VALUE"""),"Bucket List")</f>
        <v>Bucket List</v>
      </c>
      <c r="U1252" s="5" t="str">
        <f>IFERROR(__xludf.DUMMYFUNCTION("""COMPUTED_VALUE"""),"Ben Kasulke")</f>
        <v>Ben Kasulke</v>
      </c>
      <c r="V1252" s="5" t="s">
        <v>7392</v>
      </c>
      <c r="W1252" s="5" t="str">
        <f t="shared" si="3"/>
        <v>Evgeny Afineevsky</v>
      </c>
      <c r="X1252" s="5">
        <f t="shared" si="4"/>
        <v>1</v>
      </c>
      <c r="Y1252" s="5" t="str">
        <f>IFERROR(__xludf.DUMMYFUNCTION("REGEXEXTRACT(J1252, ""^\d+"")"),"42")</f>
        <v>42</v>
      </c>
      <c r="Z1252" s="5" t="str">
        <f>IFERROR(__xludf.DUMMYFUNCTION("REGEXEXTRACT(J1252, ""[A-Za-z ]+$"")")," min")</f>
        <v> min</v>
      </c>
      <c r="AA1252" s="5" t="str">
        <f>IFERROR(__xludf.DUMMYFUNCTION("IF(REGEXMATCH(Z1252, ""Season""), ""TV Show"", ""Movie"")"),"Movie")</f>
        <v>Movie</v>
      </c>
    </row>
    <row r="1253">
      <c r="A1253" s="1" t="s">
        <v>7393</v>
      </c>
      <c r="B1253" s="1" t="s">
        <v>27</v>
      </c>
      <c r="C1253" s="1" t="s">
        <v>7394</v>
      </c>
      <c r="D1253" s="1" t="s">
        <v>7395</v>
      </c>
      <c r="E1253" s="1" t="s">
        <v>7396</v>
      </c>
      <c r="F1253" s="1" t="s">
        <v>692</v>
      </c>
      <c r="G1253" s="1" t="s">
        <v>7367</v>
      </c>
      <c r="H1253" s="1">
        <v>1990.0</v>
      </c>
      <c r="I1253" s="1" t="s">
        <v>32</v>
      </c>
      <c r="J1253" s="1" t="s">
        <v>6712</v>
      </c>
      <c r="K1253" s="1" t="s">
        <v>342</v>
      </c>
      <c r="L1253" s="1" t="s">
        <v>7397</v>
      </c>
      <c r="M1253" s="2" t="s">
        <v>12</v>
      </c>
      <c r="N1253" s="4">
        <f t="shared" si="1"/>
        <v>44256</v>
      </c>
      <c r="O1253" s="5" t="str">
        <f>IFERROR(__xludf.DUMMYFUNCTION("IF(REGEXMATCH(TRIM(I1253), ""^\d+\s*min""), ""Unclassified"", IF(I1253 = """", ""NR"", I1253))"),"PG-13")</f>
        <v>PG-13</v>
      </c>
      <c r="R1253" s="5" t="str">
        <f t="shared" si="2"/>
        <v>Dances With Wolves</v>
      </c>
      <c r="S1253" s="5" t="str">
        <f>IFERROR(__xludf.DUMMYFUNCTION("""COMPUTED_VALUE"""),"Budapest")</f>
        <v>Budapest</v>
      </c>
      <c r="U1253" s="5" t="str">
        <f>IFERROR(__xludf.DUMMYFUNCTION("""COMPUTED_VALUE"""),"Gagan Puri")</f>
        <v>Gagan Puri</v>
      </c>
      <c r="V1253" s="5" t="s">
        <v>6889</v>
      </c>
      <c r="W1253" s="5" t="str">
        <f t="shared" si="3"/>
        <v>Eylem Kaftan</v>
      </c>
      <c r="X1253" s="5">
        <f t="shared" si="4"/>
        <v>1</v>
      </c>
      <c r="Y1253" s="5" t="str">
        <f>IFERROR(__xludf.DUMMYFUNCTION("REGEXEXTRACT(J1253, ""^\d+"")"),"181")</f>
        <v>181</v>
      </c>
      <c r="Z1253" s="5" t="str">
        <f>IFERROR(__xludf.DUMMYFUNCTION("REGEXEXTRACT(J1253, ""[A-Za-z ]+$"")")," min")</f>
        <v> min</v>
      </c>
      <c r="AA1253" s="5" t="str">
        <f>IFERROR(__xludf.DUMMYFUNCTION("IF(REGEXMATCH(Z1253, ""Season""), ""TV Show"", ""Movie"")"),"Movie")</f>
        <v>Movie</v>
      </c>
    </row>
    <row r="1254">
      <c r="A1254" s="1" t="s">
        <v>7398</v>
      </c>
      <c r="B1254" s="1" t="s">
        <v>27</v>
      </c>
      <c r="C1254" s="1" t="s">
        <v>7399</v>
      </c>
      <c r="D1254" s="1" t="s">
        <v>7400</v>
      </c>
      <c r="E1254" s="1" t="s">
        <v>7401</v>
      </c>
      <c r="F1254" s="1" t="s">
        <v>2492</v>
      </c>
      <c r="G1254" s="1" t="s">
        <v>7367</v>
      </c>
      <c r="H1254" s="1">
        <v>2018.0</v>
      </c>
      <c r="I1254" s="1" t="s">
        <v>97</v>
      </c>
      <c r="J1254" s="1" t="s">
        <v>433</v>
      </c>
      <c r="K1254" s="1" t="s">
        <v>199</v>
      </c>
      <c r="L1254" s="1" t="s">
        <v>7402</v>
      </c>
      <c r="M1254" s="2" t="s">
        <v>12</v>
      </c>
      <c r="N1254" s="4">
        <f t="shared" si="1"/>
        <v>44256</v>
      </c>
      <c r="O1254" s="5" t="str">
        <f>IFERROR(__xludf.DUMMYFUNCTION("IF(REGEXMATCH(TRIM(I1254), ""^\d+\s*min""), ""Unclassified"", IF(I1254 = """", ""NR"", I1254))"),"TV-14")</f>
        <v>TV-14</v>
      </c>
      <c r="R1254" s="5" t="str">
        <f t="shared" si="2"/>
        <v>How To Be Really Bad</v>
      </c>
      <c r="S1254" s="5" t="str">
        <f>IFERROR(__xludf.DUMMYFUNCTION("""COMPUTED_VALUE"""),"Buddha")</f>
        <v>Buddha</v>
      </c>
      <c r="U1254" s="5" t="str">
        <f>IFERROR(__xludf.DUMMYFUNCTION("""COMPUTED_VALUE"""),"Teddy Chan")</f>
        <v>Teddy Chan</v>
      </c>
      <c r="V1254" s="5" t="s">
        <v>7403</v>
      </c>
      <c r="W1254" s="5" t="str">
        <f t="shared" si="3"/>
        <v>Ezekiel Norton</v>
      </c>
      <c r="X1254" s="5">
        <f t="shared" si="4"/>
        <v>2</v>
      </c>
      <c r="Y1254" s="5" t="str">
        <f>IFERROR(__xludf.DUMMYFUNCTION("REGEXEXTRACT(J1254, ""^\d+"")"),"100")</f>
        <v>100</v>
      </c>
      <c r="Z1254" s="5" t="str">
        <f>IFERROR(__xludf.DUMMYFUNCTION("REGEXEXTRACT(J1254, ""[A-Za-z ]+$"")")," min")</f>
        <v> min</v>
      </c>
      <c r="AA1254" s="5" t="str">
        <f>IFERROR(__xludf.DUMMYFUNCTION("IF(REGEXMATCH(Z1254, ""Season""), ""TV Show"", ""Movie"")"),"Movie")</f>
        <v>Movie</v>
      </c>
    </row>
    <row r="1255">
      <c r="A1255" s="1" t="s">
        <v>7404</v>
      </c>
      <c r="B1255" s="1" t="s">
        <v>27</v>
      </c>
      <c r="C1255" s="1" t="s">
        <v>7405</v>
      </c>
      <c r="D1255" s="1" t="s">
        <v>1879</v>
      </c>
      <c r="E1255" s="1" t="s">
        <v>7406</v>
      </c>
      <c r="F1255" s="1" t="s">
        <v>30</v>
      </c>
      <c r="G1255" s="1" t="s">
        <v>7367</v>
      </c>
      <c r="H1255" s="1">
        <v>2019.0</v>
      </c>
      <c r="I1255" s="1" t="s">
        <v>206</v>
      </c>
      <c r="J1255" s="1" t="s">
        <v>7407</v>
      </c>
      <c r="K1255" s="1" t="s">
        <v>137</v>
      </c>
      <c r="L1255" s="1" t="s">
        <v>7408</v>
      </c>
      <c r="M1255" s="2" t="s">
        <v>12</v>
      </c>
      <c r="N1255" s="4">
        <f t="shared" si="1"/>
        <v>44256</v>
      </c>
      <c r="O1255" s="5" t="str">
        <f>IFERROR(__xludf.DUMMYFUNCTION("IF(REGEXMATCH(TRIM(I1255), ""^\d+\s*min""), ""Unclassified"", IF(I1255 = """", ""NR"", I1255))"),"TV-Y")</f>
        <v>TV-Y</v>
      </c>
      <c r="R1255" s="5" t="str">
        <f t="shared" si="2"/>
        <v>Lego Marvel Spider-Man: Vexed By Venom</v>
      </c>
      <c r="S1255" s="5" t="str">
        <f>IFERROR(__xludf.DUMMYFUNCTION("""COMPUTED_VALUE"""),"Buddi")</f>
        <v>Buddi</v>
      </c>
      <c r="U1255" s="5" t="str">
        <f>IFERROR(__xludf.DUMMYFUNCTION("""COMPUTED_VALUE"""),"Bhavin Wadia")</f>
        <v>Bhavin Wadia</v>
      </c>
      <c r="V1255" s="5" t="s">
        <v>7409</v>
      </c>
      <c r="W1255" s="5" t="str">
        <f t="shared" si="3"/>
        <v>Fab Five Freddie</v>
      </c>
      <c r="X1255" s="5">
        <f t="shared" si="4"/>
        <v>1</v>
      </c>
      <c r="Y1255" s="5" t="str">
        <f>IFERROR(__xludf.DUMMYFUNCTION("REGEXEXTRACT(J1255, ""^\d+"")"),"22")</f>
        <v>22</v>
      </c>
      <c r="Z1255" s="5" t="str">
        <f>IFERROR(__xludf.DUMMYFUNCTION("REGEXEXTRACT(J1255, ""[A-Za-z ]+$"")")," min")</f>
        <v> min</v>
      </c>
      <c r="AA1255" s="5" t="str">
        <f>IFERROR(__xludf.DUMMYFUNCTION("IF(REGEXMATCH(Z1255, ""Season""), ""TV Show"", ""Movie"")"),"Movie")</f>
        <v>Movie</v>
      </c>
    </row>
    <row r="1256">
      <c r="A1256" s="1" t="s">
        <v>7410</v>
      </c>
      <c r="B1256" s="1" t="s">
        <v>27</v>
      </c>
      <c r="C1256" s="1" t="s">
        <v>7411</v>
      </c>
      <c r="D1256" s="1" t="s">
        <v>3028</v>
      </c>
      <c r="E1256" s="1" t="s">
        <v>7412</v>
      </c>
      <c r="F1256" s="1" t="s">
        <v>30</v>
      </c>
      <c r="G1256" s="1" t="s">
        <v>7367</v>
      </c>
      <c r="H1256" s="1">
        <v>1988.0</v>
      </c>
      <c r="I1256" s="1" t="s">
        <v>378</v>
      </c>
      <c r="J1256" s="1" t="s">
        <v>7413</v>
      </c>
      <c r="K1256" s="1" t="s">
        <v>1164</v>
      </c>
      <c r="L1256" s="1" t="s">
        <v>7414</v>
      </c>
      <c r="M1256" s="2" t="s">
        <v>12</v>
      </c>
      <c r="N1256" s="4">
        <f t="shared" si="1"/>
        <v>44256</v>
      </c>
      <c r="O1256" s="5" t="str">
        <f>IFERROR(__xludf.DUMMYFUNCTION("IF(REGEXMATCH(TRIM(I1256), ""^\d+\s*min""), ""Unclassified"", IF(I1256 = """", ""NR"", I1256))"),"R")</f>
        <v>R</v>
      </c>
      <c r="R1256" s="5" t="str">
        <f t="shared" si="2"/>
        <v>Rain Man</v>
      </c>
      <c r="S1256" s="5" t="str">
        <f>IFERROR(__xludf.DUMMYFUNCTION("""COMPUTED_VALUE"""),"Buddies")</f>
        <v>Buddies</v>
      </c>
      <c r="U1256" s="5" t="str">
        <f>IFERROR(__xludf.DUMMYFUNCTION("""COMPUTED_VALUE"""),"Tony Bancroft, Scott Christian Sava")</f>
        <v>Tony Bancroft, Scott Christian Sava</v>
      </c>
      <c r="V1256" s="5" t="s">
        <v>7415</v>
      </c>
      <c r="W1256" s="5" t="str">
        <f t="shared" si="3"/>
        <v>Fabien Beziat, Hugues Nancy</v>
      </c>
      <c r="X1256" s="5">
        <f t="shared" si="4"/>
        <v>1</v>
      </c>
      <c r="Y1256" s="5" t="str">
        <f>IFERROR(__xludf.DUMMYFUNCTION("REGEXEXTRACT(J1256, ""^\d+"")"),"134")</f>
        <v>134</v>
      </c>
      <c r="Z1256" s="5" t="str">
        <f>IFERROR(__xludf.DUMMYFUNCTION("REGEXEXTRACT(J1256, ""[A-Za-z ]+$"")")," min")</f>
        <v> min</v>
      </c>
      <c r="AA1256" s="5" t="str">
        <f>IFERROR(__xludf.DUMMYFUNCTION("IF(REGEXMATCH(Z1256, ""Season""), ""TV Show"", ""Movie"")"),"Movie")</f>
        <v>Movie</v>
      </c>
    </row>
    <row r="1257">
      <c r="A1257" s="1" t="s">
        <v>7416</v>
      </c>
      <c r="B1257" s="1" t="s">
        <v>27</v>
      </c>
      <c r="C1257" s="1" t="s">
        <v>7417</v>
      </c>
      <c r="D1257" s="1" t="s">
        <v>4904</v>
      </c>
      <c r="E1257" s="1" t="s">
        <v>7418</v>
      </c>
      <c r="G1257" s="1" t="s">
        <v>7367</v>
      </c>
      <c r="H1257" s="1">
        <v>2011.0</v>
      </c>
      <c r="I1257" s="1" t="s">
        <v>97</v>
      </c>
      <c r="J1257" s="1" t="s">
        <v>7419</v>
      </c>
      <c r="K1257" s="1" t="s">
        <v>306</v>
      </c>
      <c r="L1257" s="1" t="s">
        <v>7420</v>
      </c>
      <c r="M1257" s="2" t="s">
        <v>12</v>
      </c>
      <c r="N1257" s="4">
        <f t="shared" si="1"/>
        <v>44256</v>
      </c>
      <c r="O1257" s="5" t="str">
        <f>IFERROR(__xludf.DUMMYFUNCTION("IF(REGEXMATCH(TRIM(I1257), ""^\d+\s*min""), ""Unclassified"", IF(I1257 = """", ""NR"", I1257))"),"TV-14")</f>
        <v>TV-14</v>
      </c>
      <c r="R1257" s="5" t="str">
        <f t="shared" si="2"/>
        <v>Seven Souls In The Skull Castle 2011</v>
      </c>
      <c r="S1257" s="5" t="str">
        <f>IFERROR(__xludf.DUMMYFUNCTION("""COMPUTED_VALUE"""),"Buddy Thunderstruck")</f>
        <v>Buddy Thunderstruck</v>
      </c>
      <c r="U1257" s="5" t="str">
        <f>IFERROR(__xludf.DUMMYFUNCTION("""COMPUTED_VALUE"""),"Tope Alake")</f>
        <v>Tope Alake</v>
      </c>
      <c r="V1257" s="5" t="s">
        <v>7421</v>
      </c>
      <c r="W1257" s="5" t="str">
        <f t="shared" si="3"/>
        <v>Fabio Grassadonia, Antonio Piazza</v>
      </c>
      <c r="X1257" s="5">
        <f t="shared" si="4"/>
        <v>1</v>
      </c>
      <c r="Y1257" s="5" t="str">
        <f>IFERROR(__xludf.DUMMYFUNCTION("REGEXEXTRACT(J1257, ""^\d+"")"),"177")</f>
        <v>177</v>
      </c>
      <c r="Z1257" s="5" t="str">
        <f>IFERROR(__xludf.DUMMYFUNCTION("REGEXEXTRACT(J1257, ""[A-Za-z ]+$"")")," min")</f>
        <v> min</v>
      </c>
      <c r="AA1257" s="5" t="str">
        <f>IFERROR(__xludf.DUMMYFUNCTION("IF(REGEXMATCH(Z1257, ""Season""), ""TV Show"", ""Movie"")"),"Movie")</f>
        <v>Movie</v>
      </c>
    </row>
    <row r="1258">
      <c r="A1258" s="1" t="s">
        <v>7422</v>
      </c>
      <c r="B1258" s="1" t="s">
        <v>27</v>
      </c>
      <c r="C1258" s="1" t="s">
        <v>7423</v>
      </c>
      <c r="D1258" s="1" t="s">
        <v>7424</v>
      </c>
      <c r="E1258" s="1" t="s">
        <v>7425</v>
      </c>
      <c r="F1258" s="1" t="s">
        <v>1205</v>
      </c>
      <c r="G1258" s="1" t="s">
        <v>7367</v>
      </c>
      <c r="H1258" s="1">
        <v>2006.0</v>
      </c>
      <c r="I1258" s="1" t="s">
        <v>378</v>
      </c>
      <c r="J1258" s="1" t="s">
        <v>170</v>
      </c>
      <c r="K1258" s="1" t="s">
        <v>1027</v>
      </c>
      <c r="L1258" s="1" t="s">
        <v>7426</v>
      </c>
      <c r="M1258" s="2" t="s">
        <v>12</v>
      </c>
      <c r="N1258" s="4">
        <f t="shared" si="1"/>
        <v>44256</v>
      </c>
      <c r="O1258" s="5" t="str">
        <f>IFERROR(__xludf.DUMMYFUNCTION("IF(REGEXMATCH(TRIM(I1258), ""^\d+\s*min""), ""Unclassified"", IF(I1258 = """", ""NR"", I1258))"),"R")</f>
        <v>R</v>
      </c>
      <c r="R1258" s="5" t="str">
        <f t="shared" si="2"/>
        <v>Tenacious D In The Pick Of Destiny</v>
      </c>
      <c r="S1258" s="5" t="str">
        <f>IFERROR(__xludf.DUMMYFUNCTION("""COMPUTED_VALUE"""),"Buddy Thunderstruck: The Maybe Pile")</f>
        <v>Buddy Thunderstruck: The Maybe Pile</v>
      </c>
      <c r="U1258" s="5" t="str">
        <f>IFERROR(__xludf.DUMMYFUNCTION("""COMPUTED_VALUE"""),"Fernando González Molina")</f>
        <v>Fernando González Molina</v>
      </c>
      <c r="V1258" s="5" t="s">
        <v>7427</v>
      </c>
      <c r="W1258" s="5" t="str">
        <f t="shared" si="3"/>
        <v>Fabio Ock, Joana Mazzucchelli</v>
      </c>
      <c r="X1258" s="5">
        <f t="shared" si="4"/>
        <v>1</v>
      </c>
      <c r="Y1258" s="5" t="str">
        <f>IFERROR(__xludf.DUMMYFUNCTION("REGEXEXTRACT(J1258, ""^\d+"")"),"94")</f>
        <v>94</v>
      </c>
      <c r="Z1258" s="5" t="str">
        <f>IFERROR(__xludf.DUMMYFUNCTION("REGEXEXTRACT(J1258, ""[A-Za-z ]+$"")")," min")</f>
        <v> min</v>
      </c>
      <c r="AA1258" s="5" t="str">
        <f>IFERROR(__xludf.DUMMYFUNCTION("IF(REGEXMATCH(Z1258, ""Season""), ""TV Show"", ""Movie"")"),"Movie")</f>
        <v>Movie</v>
      </c>
    </row>
    <row r="1259">
      <c r="A1259" s="1" t="s">
        <v>7428</v>
      </c>
      <c r="B1259" s="1" t="s">
        <v>37</v>
      </c>
      <c r="C1259" s="1" t="s">
        <v>7429</v>
      </c>
      <c r="E1259" s="1" t="s">
        <v>7430</v>
      </c>
      <c r="F1259" s="1" t="s">
        <v>415</v>
      </c>
      <c r="G1259" s="1" t="s">
        <v>7431</v>
      </c>
      <c r="H1259" s="1">
        <v>2011.0</v>
      </c>
      <c r="I1259" s="1" t="s">
        <v>97</v>
      </c>
      <c r="J1259" s="1" t="s">
        <v>51</v>
      </c>
      <c r="K1259" s="1" t="s">
        <v>567</v>
      </c>
      <c r="L1259" s="1" t="s">
        <v>7432</v>
      </c>
      <c r="M1259" s="2" t="s">
        <v>12</v>
      </c>
      <c r="N1259" s="4">
        <f t="shared" si="1"/>
        <v>44255</v>
      </c>
      <c r="O1259" s="5" t="str">
        <f>IFERROR(__xludf.DUMMYFUNCTION("IF(REGEXMATCH(TRIM(I1259), ""^\d+\s*min""), ""Unclassified"", IF(I1259 = """", ""NR"", I1259))"),"TV-14")</f>
        <v>TV-14</v>
      </c>
      <c r="R1259" s="5" t="str">
        <f t="shared" si="2"/>
        <v>Tiger &amp; Bunny</v>
      </c>
      <c r="S1259" s="5" t="str">
        <f>IFERROR(__xludf.DUMMYFUNCTION("""COMPUTED_VALUE"""),"Budhia Singh: Born To Run")</f>
        <v>Budhia Singh: Born To Run</v>
      </c>
      <c r="U1259" s="5" t="str">
        <f>IFERROR(__xludf.DUMMYFUNCTION("""COMPUTED_VALUE"""),"Yuki Tanada")</f>
        <v>Yuki Tanada</v>
      </c>
      <c r="V1259" s="5" t="s">
        <v>7433</v>
      </c>
      <c r="W1259" s="5" t="str">
        <f t="shared" si="3"/>
        <v>Fabrice Du Welz</v>
      </c>
      <c r="X1259" s="5">
        <f t="shared" si="4"/>
        <v>1</v>
      </c>
      <c r="Y1259" s="5" t="str">
        <f>IFERROR(__xludf.DUMMYFUNCTION("REGEXEXTRACT(J1259, ""^\d+"")"),"1")</f>
        <v>1</v>
      </c>
      <c r="Z1259" s="5" t="str">
        <f>IFERROR(__xludf.DUMMYFUNCTION("REGEXEXTRACT(J1259, ""[A-Za-z ]+$"")")," Season")</f>
        <v> Season</v>
      </c>
      <c r="AA1259" s="5" t="str">
        <f>IFERROR(__xludf.DUMMYFUNCTION("IF(REGEXMATCH(Z1259, ""Season""), ""TV Show"", ""Movie"")"),"TV Show")</f>
        <v>TV Show</v>
      </c>
    </row>
    <row r="1260">
      <c r="A1260" s="1" t="s">
        <v>7434</v>
      </c>
      <c r="B1260" s="1" t="s">
        <v>27</v>
      </c>
      <c r="C1260" s="1" t="s">
        <v>7435</v>
      </c>
      <c r="D1260" s="1" t="s">
        <v>7436</v>
      </c>
      <c r="E1260" s="1" t="s">
        <v>7437</v>
      </c>
      <c r="F1260" s="1" t="s">
        <v>7438</v>
      </c>
      <c r="G1260" s="1" t="s">
        <v>7439</v>
      </c>
      <c r="H1260" s="1">
        <v>2021.0</v>
      </c>
      <c r="I1260" s="1" t="s">
        <v>289</v>
      </c>
      <c r="J1260" s="1" t="s">
        <v>428</v>
      </c>
      <c r="K1260" s="1" t="s">
        <v>137</v>
      </c>
      <c r="L1260" s="1" t="s">
        <v>7440</v>
      </c>
      <c r="M1260" s="2" t="s">
        <v>12</v>
      </c>
      <c r="N1260" s="4">
        <f t="shared" si="1"/>
        <v>44253</v>
      </c>
      <c r="O1260" s="5" t="str">
        <f>IFERROR(__xludf.DUMMYFUNCTION("IF(REGEXMATCH(TRIM(I1260), ""^\d+\s*min""), ""Unclassified"", IF(I1260 = """", ""NR"", I1260))"),"TV-Y7")</f>
        <v>TV-Y7</v>
      </c>
      <c r="R1260" s="5" t="str">
        <f t="shared" si="2"/>
        <v>Bigfoot Family</v>
      </c>
      <c r="S1260" s="5" t="str">
        <f>IFERROR(__xludf.DUMMYFUNCTION("""COMPUTED_VALUE"""),"Buffalo Boys")</f>
        <v>Buffalo Boys</v>
      </c>
      <c r="U1260" s="5" t="str">
        <f>IFERROR(__xludf.DUMMYFUNCTION("""COMPUTED_VALUE"""),"Alex Gibney")</f>
        <v>Alex Gibney</v>
      </c>
      <c r="V1260" s="5" t="s">
        <v>7441</v>
      </c>
      <c r="W1260" s="5" t="str">
        <f t="shared" si="3"/>
        <v>Fabrizio Copano, Augusto Matte</v>
      </c>
      <c r="X1260" s="5">
        <f t="shared" si="4"/>
        <v>1</v>
      </c>
      <c r="Y1260" s="5" t="str">
        <f>IFERROR(__xludf.DUMMYFUNCTION("REGEXEXTRACT(J1260, ""^\d+"")"),"88")</f>
        <v>88</v>
      </c>
      <c r="Z1260" s="5" t="str">
        <f>IFERROR(__xludf.DUMMYFUNCTION("REGEXEXTRACT(J1260, ""[A-Za-z ]+$"")")," min")</f>
        <v> min</v>
      </c>
      <c r="AA1260" s="5" t="str">
        <f>IFERROR(__xludf.DUMMYFUNCTION("IF(REGEXMATCH(Z1260, ""Season""), ""TV Show"", ""Movie"")"),"Movie")</f>
        <v>Movie</v>
      </c>
    </row>
    <row r="1261">
      <c r="A1261" s="1" t="s">
        <v>7442</v>
      </c>
      <c r="B1261" s="1" t="s">
        <v>27</v>
      </c>
      <c r="C1261" s="1" t="s">
        <v>7443</v>
      </c>
      <c r="D1261" s="1" t="s">
        <v>7444</v>
      </c>
      <c r="E1261" s="1" t="s">
        <v>7445</v>
      </c>
      <c r="F1261" s="1" t="s">
        <v>30</v>
      </c>
      <c r="G1261" s="1" t="s">
        <v>7439</v>
      </c>
      <c r="H1261" s="1">
        <v>2016.0</v>
      </c>
      <c r="I1261" s="1" t="s">
        <v>378</v>
      </c>
      <c r="J1261" s="1" t="s">
        <v>804</v>
      </c>
      <c r="K1261" s="1" t="s">
        <v>836</v>
      </c>
      <c r="L1261" s="1" t="s">
        <v>7446</v>
      </c>
      <c r="M1261" s="2" t="s">
        <v>12</v>
      </c>
      <c r="N1261" s="4">
        <f t="shared" si="1"/>
        <v>44253</v>
      </c>
      <c r="O1261" s="5" t="str">
        <f>IFERROR(__xludf.DUMMYFUNCTION("IF(REGEXMATCH(TRIM(I1261), ""^\d+\s*min""), ""Unclassified"", IF(I1261 = """", ""NR"", I1261))"),"R")</f>
        <v>R</v>
      </c>
      <c r="R1261" s="5" t="str">
        <f t="shared" si="2"/>
        <v>Captain Fantastic</v>
      </c>
      <c r="S1261" s="5" t="str">
        <f>IFERROR(__xludf.DUMMYFUNCTION("""COMPUTED_VALUE"""),"Bugs")</f>
        <v>Bugs</v>
      </c>
      <c r="U1261" s="5" t="str">
        <f>IFERROR(__xludf.DUMMYFUNCTION("""COMPUTED_VALUE"""),"Ahn Byoung-Wook")</f>
        <v>Ahn Byoung-Wook</v>
      </c>
      <c r="V1261" s="5" t="s">
        <v>7315</v>
      </c>
      <c r="W1261" s="5" t="str">
        <f t="shared" si="3"/>
        <v>Fajar Bustomi</v>
      </c>
      <c r="X1261" s="5">
        <f t="shared" si="4"/>
        <v>1</v>
      </c>
      <c r="Y1261" s="5" t="str">
        <f>IFERROR(__xludf.DUMMYFUNCTION("REGEXEXTRACT(J1261, ""^\d+"")"),"119")</f>
        <v>119</v>
      </c>
      <c r="Z1261" s="5" t="str">
        <f>IFERROR(__xludf.DUMMYFUNCTION("REGEXEXTRACT(J1261, ""[A-Za-z ]+$"")")," min")</f>
        <v> min</v>
      </c>
      <c r="AA1261" s="5" t="str">
        <f>IFERROR(__xludf.DUMMYFUNCTION("IF(REGEXMATCH(Z1261, ""Season""), ""TV Show"", ""Movie"")"),"Movie")</f>
        <v>Movie</v>
      </c>
    </row>
    <row r="1262">
      <c r="A1262" s="1" t="s">
        <v>7447</v>
      </c>
      <c r="B1262" s="1" t="s">
        <v>27</v>
      </c>
      <c r="C1262" s="1" t="s">
        <v>7448</v>
      </c>
      <c r="D1262" s="1" t="s">
        <v>7449</v>
      </c>
      <c r="E1262" s="1" t="s">
        <v>7450</v>
      </c>
      <c r="F1262" s="1" t="s">
        <v>784</v>
      </c>
      <c r="G1262" s="1" t="s">
        <v>7439</v>
      </c>
      <c r="H1262" s="1">
        <v>2021.0</v>
      </c>
      <c r="I1262" s="1" t="s">
        <v>42</v>
      </c>
      <c r="J1262" s="1" t="s">
        <v>1256</v>
      </c>
      <c r="K1262" s="1" t="s">
        <v>215</v>
      </c>
      <c r="L1262" s="1" t="s">
        <v>7451</v>
      </c>
      <c r="M1262" s="2" t="s">
        <v>12</v>
      </c>
      <c r="N1262" s="4">
        <f t="shared" si="1"/>
        <v>44253</v>
      </c>
      <c r="O1262" s="5" t="str">
        <f>IFERROR(__xludf.DUMMYFUNCTION("IF(REGEXMATCH(TRIM(I1262), ""^\d+\s*min""), ""Unclassified"", IF(I1262 = """", ""NR"", I1262))"),"TV-MA")</f>
        <v>TV-MA</v>
      </c>
      <c r="R1262" s="5" t="str">
        <f t="shared" si="2"/>
        <v>Crazy About Her</v>
      </c>
      <c r="S1262" s="5" t="str">
        <f>IFERROR(__xludf.DUMMYFUNCTION("""COMPUTED_VALUE"""),"Bulbbul")</f>
        <v>Bulbbul</v>
      </c>
      <c r="U1262" s="5" t="str">
        <f>IFERROR(__xludf.DUMMYFUNCTION("""COMPUTED_VALUE"""),"Sibusiso Khuzwayo")</f>
        <v>Sibusiso Khuzwayo</v>
      </c>
      <c r="V1262" s="5" t="s">
        <v>7452</v>
      </c>
      <c r="W1262" s="5" t="str">
        <f t="shared" si="3"/>
        <v>Fajar Bustomi, Pidi Baiq</v>
      </c>
      <c r="X1262" s="5">
        <f t="shared" si="4"/>
        <v>3</v>
      </c>
      <c r="Y1262" s="5" t="str">
        <f>IFERROR(__xludf.DUMMYFUNCTION("REGEXEXTRACT(J1262, ""^\d+"")"),"107")</f>
        <v>107</v>
      </c>
      <c r="Z1262" s="5" t="str">
        <f>IFERROR(__xludf.DUMMYFUNCTION("REGEXEXTRACT(J1262, ""[A-Za-z ]+$"")")," min")</f>
        <v> min</v>
      </c>
      <c r="AA1262" s="5" t="str">
        <f>IFERROR(__xludf.DUMMYFUNCTION("IF(REGEXMATCH(Z1262, ""Season""), ""TV Show"", ""Movie"")"),"Movie")</f>
        <v>Movie</v>
      </c>
    </row>
    <row r="1263">
      <c r="A1263" s="1" t="s">
        <v>7453</v>
      </c>
      <c r="B1263" s="1" t="s">
        <v>27</v>
      </c>
      <c r="C1263" s="1" t="s">
        <v>7454</v>
      </c>
      <c r="D1263" s="1" t="s">
        <v>7455</v>
      </c>
      <c r="E1263" s="1" t="s">
        <v>7456</v>
      </c>
      <c r="F1263" s="1" t="s">
        <v>7457</v>
      </c>
      <c r="G1263" s="1" t="s">
        <v>7439</v>
      </c>
      <c r="H1263" s="1">
        <v>2006.0</v>
      </c>
      <c r="I1263" s="1" t="s">
        <v>42</v>
      </c>
      <c r="J1263" s="1" t="s">
        <v>1243</v>
      </c>
      <c r="K1263" s="1" t="s">
        <v>89</v>
      </c>
      <c r="L1263" s="1" t="s">
        <v>7458</v>
      </c>
      <c r="M1263" s="2" t="s">
        <v>12</v>
      </c>
      <c r="N1263" s="4">
        <f t="shared" si="1"/>
        <v>44253</v>
      </c>
      <c r="O1263" s="5" t="str">
        <f>IFERROR(__xludf.DUMMYFUNCTION("IF(REGEXMATCH(TRIM(I1263), ""^\d+\s*min""), ""Unclassified"", IF(I1263 = """", ""NR"", I1263))"),"TV-MA")</f>
        <v>TV-MA</v>
      </c>
      <c r="R1263" s="5" t="str">
        <f t="shared" si="2"/>
        <v>Fuga</v>
      </c>
      <c r="S1263" s="5" t="str">
        <f>IFERROR(__xludf.DUMMYFUNCTION("""COMPUTED_VALUE"""),"Bulbul Can Sing")</f>
        <v>Bulbul Can Sing</v>
      </c>
      <c r="U1263" s="5" t="str">
        <f>IFERROR(__xludf.DUMMYFUNCTION("""COMPUTED_VALUE"""),"Lisa Cortés, Farah X")</f>
        <v>Lisa Cortés, Farah X</v>
      </c>
      <c r="V1263" s="5" t="s">
        <v>7459</v>
      </c>
      <c r="W1263" s="5" t="str">
        <f t="shared" si="3"/>
        <v>Falz</v>
      </c>
      <c r="X1263" s="5">
        <f t="shared" si="4"/>
        <v>1</v>
      </c>
      <c r="Y1263" s="5" t="str">
        <f>IFERROR(__xludf.DUMMYFUNCTION("REGEXEXTRACT(J1263, ""^\d+"")"),"112")</f>
        <v>112</v>
      </c>
      <c r="Z1263" s="5" t="str">
        <f>IFERROR(__xludf.DUMMYFUNCTION("REGEXEXTRACT(J1263, ""[A-Za-z ]+$"")")," min")</f>
        <v> min</v>
      </c>
      <c r="AA1263" s="5" t="str">
        <f>IFERROR(__xludf.DUMMYFUNCTION("IF(REGEXMATCH(Z1263, ""Season""), ""TV Show"", ""Movie"")"),"Movie")</f>
        <v>Movie</v>
      </c>
    </row>
    <row r="1264">
      <c r="A1264" s="1" t="s">
        <v>7460</v>
      </c>
      <c r="B1264" s="1" t="s">
        <v>27</v>
      </c>
      <c r="C1264" s="1" t="s">
        <v>7461</v>
      </c>
      <c r="E1264" s="1" t="s">
        <v>7462</v>
      </c>
      <c r="G1264" s="1" t="s">
        <v>7439</v>
      </c>
      <c r="H1264" s="1">
        <v>2021.0</v>
      </c>
      <c r="I1264" s="1" t="s">
        <v>42</v>
      </c>
      <c r="J1264" s="1" t="s">
        <v>5494</v>
      </c>
      <c r="K1264" s="1" t="s">
        <v>107</v>
      </c>
      <c r="L1264" s="1" t="s">
        <v>7463</v>
      </c>
      <c r="M1264" s="2" t="s">
        <v>12</v>
      </c>
      <c r="N1264" s="4">
        <f t="shared" si="1"/>
        <v>44253</v>
      </c>
      <c r="O1264" s="5" t="str">
        <f>IFERROR(__xludf.DUMMYFUNCTION("IF(REGEXMATCH(TRIM(I1264), ""^\d+\s*min""), ""Unclassified"", IF(I1264 = """", ""NR"", I1264))"),"TV-MA")</f>
        <v>TV-MA</v>
      </c>
      <c r="R1264" s="5" t="str">
        <f t="shared" si="2"/>
        <v>Ginny &amp; Georgia - The Afterparty</v>
      </c>
      <c r="S1264" s="5" t="str">
        <f>IFERROR(__xludf.DUMMYFUNCTION("""COMPUTED_VALUE"""),"Bullet Head")</f>
        <v>Bullet Head</v>
      </c>
      <c r="U1264" s="5" t="str">
        <f>IFERROR(__xludf.DUMMYFUNCTION("""COMPUTED_VALUE"""),"Wilson Yip")</f>
        <v>Wilson Yip</v>
      </c>
      <c r="V1264" s="5" t="s">
        <v>7464</v>
      </c>
      <c r="W1264" s="5" t="str">
        <f t="shared" si="3"/>
        <v>Faozan Rizal</v>
      </c>
      <c r="X1264" s="5">
        <f t="shared" si="4"/>
        <v>1</v>
      </c>
      <c r="Y1264" s="5" t="str">
        <f>IFERROR(__xludf.DUMMYFUNCTION("REGEXEXTRACT(J1264, ""^\d+"")"),"35")</f>
        <v>35</v>
      </c>
      <c r="Z1264" s="5" t="str">
        <f>IFERROR(__xludf.DUMMYFUNCTION("REGEXEXTRACT(J1264, ""[A-Za-z ]+$"")")," min")</f>
        <v> min</v>
      </c>
      <c r="AA1264" s="5" t="str">
        <f>IFERROR(__xludf.DUMMYFUNCTION("IF(REGEXMATCH(Z1264, ""Season""), ""TV Show"", ""Movie"")"),"Movie")</f>
        <v>Movie</v>
      </c>
    </row>
    <row r="1265">
      <c r="A1265" s="1" t="s">
        <v>7465</v>
      </c>
      <c r="B1265" s="1" t="s">
        <v>27</v>
      </c>
      <c r="C1265" s="1" t="s">
        <v>7466</v>
      </c>
      <c r="D1265" s="1" t="s">
        <v>7467</v>
      </c>
      <c r="E1265" s="1" t="s">
        <v>7468</v>
      </c>
      <c r="F1265" s="1" t="s">
        <v>7469</v>
      </c>
      <c r="G1265" s="1" t="s">
        <v>7439</v>
      </c>
      <c r="H1265" s="1">
        <v>2015.0</v>
      </c>
      <c r="I1265" s="1" t="s">
        <v>378</v>
      </c>
      <c r="J1265" s="1" t="s">
        <v>238</v>
      </c>
      <c r="K1265" s="1" t="s">
        <v>380</v>
      </c>
      <c r="L1265" s="1" t="s">
        <v>7470</v>
      </c>
      <c r="M1265" s="2" t="s">
        <v>12</v>
      </c>
      <c r="N1265" s="4">
        <f t="shared" si="1"/>
        <v>44253</v>
      </c>
      <c r="O1265" s="5" t="str">
        <f>IFERROR(__xludf.DUMMYFUNCTION("IF(REGEXMATCH(TRIM(I1265), ""^\d+\s*min""), ""Unclassified"", IF(I1265 = """", ""NR"", I1265))"),"R")</f>
        <v>R</v>
      </c>
      <c r="R1265" s="5" t="str">
        <f t="shared" si="2"/>
        <v>No Escape</v>
      </c>
      <c r="S1265" s="5" t="str">
        <f>IFERROR(__xludf.DUMMYFUNCTION("""COMPUTED_VALUE"""),"Bulletproof 2")</f>
        <v>Bulletproof 2</v>
      </c>
      <c r="U1265" s="5" t="str">
        <f>IFERROR(__xludf.DUMMYFUNCTION("""COMPUTED_VALUE"""),"Dave Skinner, Freddie Waters")</f>
        <v>Dave Skinner, Freddie Waters</v>
      </c>
      <c r="V1265" s="5" t="s">
        <v>7471</v>
      </c>
      <c r="W1265" s="5" t="str">
        <f t="shared" si="3"/>
        <v>Faraday Okoro</v>
      </c>
      <c r="X1265" s="5">
        <f t="shared" si="4"/>
        <v>1</v>
      </c>
      <c r="Y1265" s="5" t="str">
        <f>IFERROR(__xludf.DUMMYFUNCTION("REGEXEXTRACT(J1265, ""^\d+"")"),"103")</f>
        <v>103</v>
      </c>
      <c r="Z1265" s="5" t="str">
        <f>IFERROR(__xludf.DUMMYFUNCTION("REGEXEXTRACT(J1265, ""[A-Za-z ]+$"")")," min")</f>
        <v> min</v>
      </c>
      <c r="AA1265" s="5" t="str">
        <f>IFERROR(__xludf.DUMMYFUNCTION("IF(REGEXMATCH(Z1265, ""Season""), ""TV Show"", ""Movie"")"),"Movie")</f>
        <v>Movie</v>
      </c>
    </row>
    <row r="1266">
      <c r="A1266" s="1" t="s">
        <v>7472</v>
      </c>
      <c r="B1266" s="1" t="s">
        <v>27</v>
      </c>
      <c r="C1266" s="1" t="s">
        <v>7473</v>
      </c>
      <c r="D1266" s="1" t="s">
        <v>7474</v>
      </c>
      <c r="E1266" s="1" t="s">
        <v>7475</v>
      </c>
      <c r="F1266" s="1" t="s">
        <v>30</v>
      </c>
      <c r="G1266" s="1" t="s">
        <v>7439</v>
      </c>
      <c r="H1266" s="1">
        <v>2011.0</v>
      </c>
      <c r="I1266" s="1" t="s">
        <v>378</v>
      </c>
      <c r="J1266" s="1" t="s">
        <v>33</v>
      </c>
      <c r="K1266" s="1" t="s">
        <v>836</v>
      </c>
      <c r="L1266" s="1" t="s">
        <v>7476</v>
      </c>
      <c r="M1266" s="2" t="s">
        <v>12</v>
      </c>
      <c r="N1266" s="4">
        <f t="shared" si="1"/>
        <v>44253</v>
      </c>
      <c r="O1266" s="5" t="str">
        <f>IFERROR(__xludf.DUMMYFUNCTION("IF(REGEXMATCH(TRIM(I1266), ""^\d+\s*min""), ""Unclassified"", IF(I1266 = """", ""NR"", I1266))"),"R")</f>
        <v>R</v>
      </c>
      <c r="R1266" s="5" t="str">
        <f t="shared" si="2"/>
        <v>Our Idiot Brother</v>
      </c>
      <c r="S1266" s="5" t="str">
        <f>IFERROR(__xludf.DUMMYFUNCTION("""COMPUTED_VALUE"""),"Bullitt County")</f>
        <v>Bullitt County</v>
      </c>
      <c r="U1266" s="5" t="str">
        <f>IFERROR(__xludf.DUMMYFUNCTION("""COMPUTED_VALUE"""),"Denis Do")</f>
        <v>Denis Do</v>
      </c>
      <c r="V1266" s="5" t="s">
        <v>7477</v>
      </c>
      <c r="W1266" s="5" t="str">
        <f t="shared" si="3"/>
        <v>Farah Khan</v>
      </c>
      <c r="X1266" s="5">
        <f t="shared" si="4"/>
        <v>4</v>
      </c>
      <c r="Y1266" s="5" t="str">
        <f>IFERROR(__xludf.DUMMYFUNCTION("REGEXEXTRACT(J1266, ""^\d+"")"),"90")</f>
        <v>90</v>
      </c>
      <c r="Z1266" s="5" t="str">
        <f>IFERROR(__xludf.DUMMYFUNCTION("REGEXEXTRACT(J1266, ""[A-Za-z ]+$"")")," min")</f>
        <v> min</v>
      </c>
      <c r="AA1266" s="5" t="str">
        <f>IFERROR(__xludf.DUMMYFUNCTION("IF(REGEXMATCH(Z1266, ""Season""), ""TV Show"", ""Movie"")"),"Movie")</f>
        <v>Movie</v>
      </c>
    </row>
    <row r="1267">
      <c r="A1267" s="1" t="s">
        <v>7478</v>
      </c>
      <c r="B1267" s="1" t="s">
        <v>27</v>
      </c>
      <c r="C1267" s="1" t="s">
        <v>7479</v>
      </c>
      <c r="D1267" s="1" t="s">
        <v>7480</v>
      </c>
      <c r="E1267" s="1" t="s">
        <v>7481</v>
      </c>
      <c r="F1267" s="1" t="s">
        <v>63</v>
      </c>
      <c r="G1267" s="1" t="s">
        <v>7439</v>
      </c>
      <c r="H1267" s="1">
        <v>2021.0</v>
      </c>
      <c r="I1267" s="1" t="s">
        <v>42</v>
      </c>
      <c r="J1267" s="1" t="s">
        <v>985</v>
      </c>
      <c r="K1267" s="1" t="s">
        <v>631</v>
      </c>
      <c r="L1267" s="1" t="s">
        <v>7482</v>
      </c>
      <c r="M1267" s="2" t="s">
        <v>12</v>
      </c>
      <c r="N1267" s="4">
        <f t="shared" si="1"/>
        <v>44253</v>
      </c>
      <c r="O1267" s="5" t="str">
        <f>IFERROR(__xludf.DUMMYFUNCTION("IF(REGEXMATCH(TRIM(I1267), ""^\d+\s*min""), ""Unclassified"", IF(I1267 = """", ""NR"", I1267))"),"TV-MA")</f>
        <v>TV-MA</v>
      </c>
      <c r="R1267" s="5" t="str">
        <f t="shared" si="2"/>
        <v>The Girl On The Train</v>
      </c>
      <c r="S1267" s="5" t="str">
        <f>IFERROR(__xludf.DUMMYFUNCTION("""COMPUTED_VALUE"""),"Bully")</f>
        <v>Bully</v>
      </c>
      <c r="U1267" s="5" t="str">
        <f>IFERROR(__xludf.DUMMYFUNCTION("""COMPUTED_VALUE"""),"Leslye Davis, Catrin Einhorn")</f>
        <v>Leslye Davis, Catrin Einhorn</v>
      </c>
      <c r="V1267" s="5" t="s">
        <v>7055</v>
      </c>
      <c r="W1267" s="5" t="str">
        <f t="shared" si="3"/>
        <v>Farah Nabulsi</v>
      </c>
      <c r="X1267" s="5">
        <f t="shared" si="4"/>
        <v>1</v>
      </c>
      <c r="Y1267" s="5" t="str">
        <f>IFERROR(__xludf.DUMMYFUNCTION("REGEXEXTRACT(J1267, ""^\d+"")"),"120")</f>
        <v>120</v>
      </c>
      <c r="Z1267" s="5" t="str">
        <f>IFERROR(__xludf.DUMMYFUNCTION("REGEXEXTRACT(J1267, ""[A-Za-z ]+$"")")," min")</f>
        <v> min</v>
      </c>
      <c r="AA1267" s="5" t="str">
        <f>IFERROR(__xludf.DUMMYFUNCTION("IF(REGEXMATCH(Z1267, ""Season""), ""TV Show"", ""Movie"")"),"Movie")</f>
        <v>Movie</v>
      </c>
    </row>
    <row r="1268">
      <c r="A1268" s="1" t="s">
        <v>7483</v>
      </c>
      <c r="B1268" s="1" t="s">
        <v>27</v>
      </c>
      <c r="C1268" s="1" t="s">
        <v>7484</v>
      </c>
      <c r="D1268" s="1" t="s">
        <v>7455</v>
      </c>
      <c r="E1268" s="1" t="s">
        <v>7485</v>
      </c>
      <c r="F1268" s="1" t="s">
        <v>7486</v>
      </c>
      <c r="G1268" s="1" t="s">
        <v>7439</v>
      </c>
      <c r="H1268" s="1">
        <v>2008.0</v>
      </c>
      <c r="I1268" s="1" t="s">
        <v>42</v>
      </c>
      <c r="J1268" s="1" t="s">
        <v>247</v>
      </c>
      <c r="K1268" s="1" t="s">
        <v>89</v>
      </c>
      <c r="L1268" s="1" t="s">
        <v>7487</v>
      </c>
      <c r="M1268" s="2" t="s">
        <v>12</v>
      </c>
      <c r="N1268" s="4">
        <f t="shared" si="1"/>
        <v>44253</v>
      </c>
      <c r="O1268" s="5" t="str">
        <f>IFERROR(__xludf.DUMMYFUNCTION("IF(REGEXMATCH(TRIM(I1268), ""^\d+\s*min""), ""Unclassified"", IF(I1268 = """", ""NR"", I1268))"),"TV-MA")</f>
        <v>TV-MA</v>
      </c>
      <c r="R1268" s="5" t="str">
        <f t="shared" si="2"/>
        <v>Tony Manero</v>
      </c>
      <c r="S1268" s="5" t="str">
        <f>IFERROR(__xludf.DUMMYFUNCTION("""COMPUTED_VALUE"""),"Bumping Mics With Jeff Ross &amp; Dave Attell")</f>
        <v>Bumping Mics With Jeff Ross &amp; Dave Attell</v>
      </c>
      <c r="U1268" s="5" t="str">
        <f>IFERROR(__xludf.DUMMYFUNCTION("""COMPUTED_VALUE"""),"Toka Mcbaror, Tunde Apalowo")</f>
        <v>Toka Mcbaror, Tunde Apalowo</v>
      </c>
      <c r="V1268" s="5" t="s">
        <v>7488</v>
      </c>
      <c r="W1268" s="5" t="str">
        <f t="shared" si="3"/>
        <v>Faraz Haider</v>
      </c>
      <c r="X1268" s="5">
        <f t="shared" si="4"/>
        <v>1</v>
      </c>
      <c r="Y1268" s="5" t="str">
        <f>IFERROR(__xludf.DUMMYFUNCTION("REGEXEXTRACT(J1268, ""^\d+"")"),"97")</f>
        <v>97</v>
      </c>
      <c r="Z1268" s="5" t="str">
        <f>IFERROR(__xludf.DUMMYFUNCTION("REGEXEXTRACT(J1268, ""[A-Za-z ]+$"")")," min")</f>
        <v> min</v>
      </c>
      <c r="AA1268" s="5" t="str">
        <f>IFERROR(__xludf.DUMMYFUNCTION("IF(REGEXMATCH(Z1268, ""Season""), ""TV Show"", ""Movie"")"),"Movie")</f>
        <v>Movie</v>
      </c>
    </row>
    <row r="1269">
      <c r="A1269" s="1" t="s">
        <v>7489</v>
      </c>
      <c r="B1269" s="1" t="s">
        <v>27</v>
      </c>
      <c r="C1269" s="1" t="s">
        <v>7490</v>
      </c>
      <c r="D1269" s="1" t="s">
        <v>5451</v>
      </c>
      <c r="E1269" s="1" t="s">
        <v>7491</v>
      </c>
      <c r="F1269" s="1" t="s">
        <v>2492</v>
      </c>
      <c r="G1269" s="1" t="s">
        <v>7439</v>
      </c>
      <c r="H1269" s="1">
        <v>2014.0</v>
      </c>
      <c r="I1269" s="1" t="s">
        <v>42</v>
      </c>
      <c r="J1269" s="1" t="s">
        <v>447</v>
      </c>
      <c r="K1269" s="1" t="s">
        <v>631</v>
      </c>
      <c r="L1269" s="1" t="s">
        <v>7492</v>
      </c>
      <c r="M1269" s="2" t="s">
        <v>12</v>
      </c>
      <c r="N1269" s="4">
        <f t="shared" si="1"/>
        <v>44253</v>
      </c>
      <c r="O1269" s="5" t="str">
        <f>IFERROR(__xludf.DUMMYFUNCTION("IF(REGEXMATCH(TRIM(I1269), ""^\d+\s*min""), ""Unclassified"", IF(I1269 = """", ""NR"", I1269))"),"TV-MA")</f>
        <v>TV-MA</v>
      </c>
      <c r="R1269" s="5" t="str">
        <f t="shared" si="2"/>
        <v>Who Am I</v>
      </c>
      <c r="S1269" s="5" t="str">
        <f>IFERROR(__xludf.DUMMYFUNCTION("""COMPUTED_VALUE"""),"Bunk'D")</f>
        <v>Bunk'D</v>
      </c>
      <c r="U1269" s="5" t="str">
        <f>IFERROR(__xludf.DUMMYFUNCTION("""COMPUTED_VALUE"""),"Peter Sullivan")</f>
        <v>Peter Sullivan</v>
      </c>
      <c r="V1269" s="5" t="s">
        <v>7493</v>
      </c>
      <c r="W1269" s="5" t="str">
        <f t="shared" si="3"/>
        <v>Farhad Safinia</v>
      </c>
      <c r="X1269" s="5">
        <f t="shared" si="4"/>
        <v>1</v>
      </c>
      <c r="Y1269" s="5" t="str">
        <f>IFERROR(__xludf.DUMMYFUNCTION("REGEXEXTRACT(J1269, ""^\d+"")"),"102")</f>
        <v>102</v>
      </c>
      <c r="Z1269" s="5" t="str">
        <f>IFERROR(__xludf.DUMMYFUNCTION("REGEXEXTRACT(J1269, ""[A-Za-z ]+$"")")," min")</f>
        <v> min</v>
      </c>
      <c r="AA1269" s="5" t="str">
        <f>IFERROR(__xludf.DUMMYFUNCTION("IF(REGEXMATCH(Z1269, ""Season""), ""TV Show"", ""Movie"")"),"Movie")</f>
        <v>Movie</v>
      </c>
    </row>
    <row r="1270">
      <c r="A1270" s="1" t="s">
        <v>7494</v>
      </c>
      <c r="B1270" s="1" t="s">
        <v>37</v>
      </c>
      <c r="C1270" s="1" t="s">
        <v>7495</v>
      </c>
      <c r="E1270" s="1" t="s">
        <v>7496</v>
      </c>
      <c r="F1270" s="1" t="s">
        <v>7497</v>
      </c>
      <c r="G1270" s="1" t="s">
        <v>7498</v>
      </c>
      <c r="H1270" s="1">
        <v>2019.0</v>
      </c>
      <c r="I1270" s="1" t="s">
        <v>42</v>
      </c>
      <c r="J1270" s="1" t="s">
        <v>51</v>
      </c>
      <c r="K1270" s="1" t="s">
        <v>785</v>
      </c>
      <c r="L1270" s="1" t="s">
        <v>7499</v>
      </c>
      <c r="M1270" s="2" t="s">
        <v>12</v>
      </c>
      <c r="N1270" s="4">
        <f t="shared" si="1"/>
        <v>44252</v>
      </c>
      <c r="O1270" s="5" t="str">
        <f>IFERROR(__xludf.DUMMYFUNCTION("IF(REGEXMATCH(TRIM(I1270), ""^\d+\s*min""), ""Unclassified"", IF(I1270 = """", ""NR"", I1270))"),"TV-MA")</f>
        <v>TV-MA</v>
      </c>
      <c r="R1270" s="5" t="str">
        <f t="shared" si="2"/>
        <v>El Final Del Paraíso</v>
      </c>
      <c r="S1270" s="5" t="str">
        <f>IFERROR(__xludf.DUMMYFUNCTION("""COMPUTED_VALUE"""),"Bure Kaam Bura Natija, Kyun Bhai Chacha Haan Bhatija")</f>
        <v>Bure Kaam Bura Natija, Kyun Bhai Chacha Haan Bhatija</v>
      </c>
      <c r="U1270" s="5" t="str">
        <f>IFERROR(__xludf.DUMMYFUNCTION("""COMPUTED_VALUE"""),"Axelle Laffont")</f>
        <v>Axelle Laffont</v>
      </c>
      <c r="V1270" s="5" t="s">
        <v>7500</v>
      </c>
      <c r="W1270" s="5" t="str">
        <f t="shared" si="3"/>
        <v>Farhan Akhtar</v>
      </c>
      <c r="X1270" s="5">
        <f t="shared" si="4"/>
        <v>4</v>
      </c>
      <c r="Y1270" s="5" t="str">
        <f>IFERROR(__xludf.DUMMYFUNCTION("REGEXEXTRACT(J1270, ""^\d+"")"),"1")</f>
        <v>1</v>
      </c>
      <c r="Z1270" s="5" t="str">
        <f>IFERROR(__xludf.DUMMYFUNCTION("REGEXEXTRACT(J1270, ""[A-Za-z ]+$"")")," Season")</f>
        <v> Season</v>
      </c>
      <c r="AA1270" s="5" t="str">
        <f>IFERROR(__xludf.DUMMYFUNCTION("IF(REGEXMATCH(Z1270, ""Season""), ""TV Show"", ""Movie"")"),"TV Show")</f>
        <v>TV Show</v>
      </c>
    </row>
    <row r="1271">
      <c r="A1271" s="1" t="s">
        <v>7501</v>
      </c>
      <c r="B1271" s="1" t="s">
        <v>27</v>
      </c>
      <c r="C1271" s="1" t="s">
        <v>7502</v>
      </c>
      <c r="D1271" s="1" t="s">
        <v>7503</v>
      </c>
      <c r="E1271" s="1" t="s">
        <v>7504</v>
      </c>
      <c r="F1271" s="1" t="s">
        <v>2873</v>
      </c>
      <c r="G1271" s="1" t="s">
        <v>7498</v>
      </c>
      <c r="H1271" s="1">
        <v>2021.0</v>
      </c>
      <c r="I1271" s="1" t="s">
        <v>136</v>
      </c>
      <c r="J1271" s="1" t="s">
        <v>256</v>
      </c>
      <c r="K1271" s="1" t="s">
        <v>679</v>
      </c>
      <c r="L1271" s="1" t="s">
        <v>7505</v>
      </c>
      <c r="M1271" s="2" t="s">
        <v>12</v>
      </c>
      <c r="N1271" s="4">
        <f t="shared" si="1"/>
        <v>44252</v>
      </c>
      <c r="O1271" s="5" t="str">
        <f>IFERROR(__xludf.DUMMYFUNCTION("IF(REGEXMATCH(TRIM(I1271), ""^\d+\s*min""), ""Unclassified"", IF(I1271 = """", ""NR"", I1271))"),"TV-PG")</f>
        <v>TV-PG</v>
      </c>
      <c r="R1271" s="5" t="str">
        <f t="shared" si="2"/>
        <v>Geez &amp; Ann</v>
      </c>
      <c r="S1271" s="5" t="str">
        <f>IFERROR(__xludf.DUMMYFUNCTION("""COMPUTED_VALUE"""),"Bureau Of Magical Things")</f>
        <v>Bureau Of Magical Things</v>
      </c>
      <c r="U1271" s="5" t="str">
        <f>IFERROR(__xludf.DUMMYFUNCTION("""COMPUTED_VALUE"""),"Daniel Oriahi")</f>
        <v>Daniel Oriahi</v>
      </c>
      <c r="V1271" s="5" t="s">
        <v>7506</v>
      </c>
      <c r="W1271" s="5" t="str">
        <f t="shared" si="3"/>
        <v>Farhan Alam</v>
      </c>
      <c r="X1271" s="5">
        <f t="shared" si="4"/>
        <v>1</v>
      </c>
      <c r="Y1271" s="5" t="str">
        <f>IFERROR(__xludf.DUMMYFUNCTION("REGEXEXTRACT(J1271, ""^\d+"")"),"106")</f>
        <v>106</v>
      </c>
      <c r="Z1271" s="5" t="str">
        <f>IFERROR(__xludf.DUMMYFUNCTION("REGEXEXTRACT(J1271, ""[A-Za-z ]+$"")")," min")</f>
        <v> min</v>
      </c>
      <c r="AA1271" s="5" t="str">
        <f>IFERROR(__xludf.DUMMYFUNCTION("IF(REGEXMATCH(Z1271, ""Season""), ""TV Show"", ""Movie"")"),"Movie")</f>
        <v>Movie</v>
      </c>
    </row>
    <row r="1272">
      <c r="A1272" s="1" t="s">
        <v>7507</v>
      </c>
      <c r="B1272" s="1" t="s">
        <v>37</v>
      </c>
      <c r="C1272" s="1" t="s">
        <v>7508</v>
      </c>
      <c r="E1272" s="1" t="s">
        <v>7509</v>
      </c>
      <c r="F1272" s="1" t="s">
        <v>7497</v>
      </c>
      <c r="G1272" s="1" t="s">
        <v>7498</v>
      </c>
      <c r="H1272" s="1">
        <v>2018.0</v>
      </c>
      <c r="I1272" s="1" t="s">
        <v>42</v>
      </c>
      <c r="J1272" s="1" t="s">
        <v>276</v>
      </c>
      <c r="K1272" s="1" t="s">
        <v>1339</v>
      </c>
      <c r="L1272" s="1" t="s">
        <v>7510</v>
      </c>
      <c r="M1272" s="2" t="s">
        <v>12</v>
      </c>
      <c r="N1272" s="4">
        <f t="shared" si="1"/>
        <v>44252</v>
      </c>
      <c r="O1272" s="5" t="str">
        <f>IFERROR(__xludf.DUMMYFUNCTION("IF(REGEXMATCH(TRIM(I1272), ""^\d+\s*min""), ""Unclassified"", IF(I1272 = """", ""NR"", I1272))"),"TV-MA")</f>
        <v>TV-MA</v>
      </c>
      <c r="R1272" s="5" t="str">
        <f t="shared" si="2"/>
        <v>Sin Senos Sí Hay Paraíso</v>
      </c>
      <c r="S1272" s="5" t="str">
        <f>IFERROR(__xludf.DUMMYFUNCTION("""COMPUTED_VALUE"""),"Buried By The Bernards")</f>
        <v>Buried By The Bernards</v>
      </c>
      <c r="U1272" s="5" t="str">
        <f>IFERROR(__xludf.DUMMYFUNCTION("""COMPUTED_VALUE"""),"Stefano Mordini")</f>
        <v>Stefano Mordini</v>
      </c>
      <c r="V1272" s="5" t="s">
        <v>7511</v>
      </c>
      <c r="W1272" s="5" t="str">
        <f t="shared" si="3"/>
        <v>Faris Godus</v>
      </c>
      <c r="X1272" s="5">
        <f t="shared" si="4"/>
        <v>1</v>
      </c>
      <c r="Y1272" s="5" t="str">
        <f>IFERROR(__xludf.DUMMYFUNCTION("REGEXEXTRACT(J1272, ""^\d+"")"),"3")</f>
        <v>3</v>
      </c>
      <c r="Z1272" s="5" t="str">
        <f>IFERROR(__xludf.DUMMYFUNCTION("REGEXEXTRACT(J1272, ""[A-Za-z ]+$"")")," Seasons")</f>
        <v> Seasons</v>
      </c>
      <c r="AA1272" s="5" t="str">
        <f>IFERROR(__xludf.DUMMYFUNCTION("IF(REGEXMATCH(Z1272, ""Season""), ""TV Show"", ""Movie"")"),"TV Show")</f>
        <v>TV Show</v>
      </c>
    </row>
    <row r="1273">
      <c r="A1273" s="1" t="s">
        <v>7512</v>
      </c>
      <c r="B1273" s="1" t="s">
        <v>37</v>
      </c>
      <c r="C1273" s="1" t="s">
        <v>7513</v>
      </c>
      <c r="E1273" s="1" t="s">
        <v>7514</v>
      </c>
      <c r="G1273" s="1" t="s">
        <v>7498</v>
      </c>
      <c r="H1273" s="1">
        <v>2018.0</v>
      </c>
      <c r="I1273" s="1" t="s">
        <v>42</v>
      </c>
      <c r="J1273" s="1" t="s">
        <v>51</v>
      </c>
      <c r="K1273" s="1" t="s">
        <v>1339</v>
      </c>
      <c r="L1273" s="1" t="s">
        <v>7515</v>
      </c>
      <c r="M1273" s="2" t="s">
        <v>12</v>
      </c>
      <c r="N1273" s="4">
        <f t="shared" si="1"/>
        <v>44252</v>
      </c>
      <c r="O1273" s="5" t="str">
        <f>IFERROR(__xludf.DUMMYFUNCTION("IF(REGEXMATCH(TRIM(I1273), ""^\d+\s*min""), ""Unclassified"", IF(I1273 = """", ""NR"", I1273))"),"TV-MA")</f>
        <v>TV-MA</v>
      </c>
      <c r="R1273" s="5" t="str">
        <f t="shared" si="2"/>
        <v>The Last Bastion</v>
      </c>
      <c r="S1273" s="5" t="str">
        <f>IFERROR(__xludf.DUMMYFUNCTION("""COMPUTED_VALUE"""),"Burlesque")</f>
        <v>Burlesque</v>
      </c>
      <c r="U1273" s="5" t="str">
        <f>IFERROR(__xludf.DUMMYFUNCTION("""COMPUTED_VALUE"""),"Hayden Guppy")</f>
        <v>Hayden Guppy</v>
      </c>
      <c r="V1273" s="5" t="s">
        <v>7516</v>
      </c>
      <c r="W1273" s="5" t="str">
        <f t="shared" si="3"/>
        <v>Farishad I. Latjuba</v>
      </c>
      <c r="X1273" s="5">
        <f t="shared" si="4"/>
        <v>1</v>
      </c>
      <c r="Y1273" s="5" t="str">
        <f>IFERROR(__xludf.DUMMYFUNCTION("REGEXEXTRACT(J1273, ""^\d+"")"),"1")</f>
        <v>1</v>
      </c>
      <c r="Z1273" s="5" t="str">
        <f>IFERROR(__xludf.DUMMYFUNCTION("REGEXEXTRACT(J1273, ""[A-Za-z ]+$"")")," Season")</f>
        <v> Season</v>
      </c>
      <c r="AA1273" s="5" t="str">
        <f>IFERROR(__xludf.DUMMYFUNCTION("IF(REGEXMATCH(Z1273, ""Season""), ""TV Show"", ""Movie"")"),"TV Show")</f>
        <v>TV Show</v>
      </c>
    </row>
    <row r="1274">
      <c r="A1274" s="1" t="s">
        <v>7517</v>
      </c>
      <c r="B1274" s="1" t="s">
        <v>37</v>
      </c>
      <c r="C1274" s="1" t="s">
        <v>7518</v>
      </c>
      <c r="E1274" s="1" t="s">
        <v>7519</v>
      </c>
      <c r="F1274" s="1" t="s">
        <v>30</v>
      </c>
      <c r="G1274" s="1" t="s">
        <v>7520</v>
      </c>
      <c r="H1274" s="1">
        <v>2021.0</v>
      </c>
      <c r="I1274" s="1" t="s">
        <v>42</v>
      </c>
      <c r="J1274" s="1" t="s">
        <v>51</v>
      </c>
      <c r="K1274" s="1" t="s">
        <v>507</v>
      </c>
      <c r="L1274" s="1" t="s">
        <v>7521</v>
      </c>
      <c r="M1274" s="2" t="s">
        <v>12</v>
      </c>
      <c r="N1274" s="4">
        <f t="shared" si="1"/>
        <v>44251</v>
      </c>
      <c r="O1274" s="5" t="str">
        <f>IFERROR(__xludf.DUMMYFUNCTION("IF(REGEXMATCH(TRIM(I1274), ""^\d+\s*min""), ""Unclassified"", IF(I1274 = """", ""NR"", I1274))"),"TV-MA")</f>
        <v>TV-MA</v>
      </c>
      <c r="R1274" s="5" t="str">
        <f t="shared" si="2"/>
        <v>Age Of Samurai: Battle For Japan</v>
      </c>
      <c r="S1274" s="5" t="str">
        <f>IFERROR(__xludf.DUMMYFUNCTION("""COMPUTED_VALUE"""),"Burlesque: Heart Of The Glitter Tribe")</f>
        <v>Burlesque: Heart Of The Glitter Tribe</v>
      </c>
      <c r="U1274" s="5" t="str">
        <f>IFERROR(__xludf.DUMMYFUNCTION("""COMPUTED_VALUE"""),"Stéphane De Freitas")</f>
        <v>Stéphane De Freitas</v>
      </c>
      <c r="V1274" s="5" t="s">
        <v>7522</v>
      </c>
      <c r="W1274" s="5" t="str">
        <f t="shared" si="3"/>
        <v>Fazila Allana</v>
      </c>
      <c r="X1274" s="5">
        <f t="shared" si="4"/>
        <v>1</v>
      </c>
      <c r="Y1274" s="5" t="str">
        <f>IFERROR(__xludf.DUMMYFUNCTION("REGEXEXTRACT(J1274, ""^\d+"")"),"1")</f>
        <v>1</v>
      </c>
      <c r="Z1274" s="5" t="str">
        <f>IFERROR(__xludf.DUMMYFUNCTION("REGEXEXTRACT(J1274, ""[A-Za-z ]+$"")")," Season")</f>
        <v> Season</v>
      </c>
      <c r="AA1274" s="5" t="str">
        <f>IFERROR(__xludf.DUMMYFUNCTION("IF(REGEXMATCH(Z1274, ""Season""), ""TV Show"", ""Movie"")"),"TV Show")</f>
        <v>TV Show</v>
      </c>
    </row>
    <row r="1275">
      <c r="A1275" s="1" t="s">
        <v>7523</v>
      </c>
      <c r="B1275" s="1" t="s">
        <v>27</v>
      </c>
      <c r="C1275" s="1" t="s">
        <v>7524</v>
      </c>
      <c r="D1275" s="1" t="s">
        <v>7525</v>
      </c>
      <c r="E1275" s="1" t="s">
        <v>7526</v>
      </c>
      <c r="F1275" s="1" t="s">
        <v>415</v>
      </c>
      <c r="G1275" s="1" t="s">
        <v>7520</v>
      </c>
      <c r="H1275" s="1">
        <v>2020.0</v>
      </c>
      <c r="I1275" s="1" t="s">
        <v>97</v>
      </c>
      <c r="J1275" s="1" t="s">
        <v>804</v>
      </c>
      <c r="K1275" s="1" t="s">
        <v>631</v>
      </c>
      <c r="L1275" s="1" t="s">
        <v>7527</v>
      </c>
      <c r="M1275" s="2" t="s">
        <v>12</v>
      </c>
      <c r="N1275" s="4">
        <f t="shared" si="1"/>
        <v>44251</v>
      </c>
      <c r="O1275" s="5" t="str">
        <f>IFERROR(__xludf.DUMMYFUNCTION("IF(REGEXMATCH(TRIM(I1275), ""^\d+\s*min""), ""Unclassified"", IF(I1275 = """", ""NR"", I1275))"),"TV-14")</f>
        <v>TV-14</v>
      </c>
      <c r="R1275" s="5" t="str">
        <f t="shared" si="2"/>
        <v>Blue, Painful, Fragile</v>
      </c>
      <c r="S1275" s="5" t="str">
        <f>IFERROR(__xludf.DUMMYFUNCTION("""COMPUTED_VALUE"""),"Burn Out")</f>
        <v>Burn Out</v>
      </c>
      <c r="U1275" s="5" t="str">
        <f>IFERROR(__xludf.DUMMYFUNCTION("""COMPUTED_VALUE"""),"André Odendaal, Johan Vorster")</f>
        <v>André Odendaal, Johan Vorster</v>
      </c>
      <c r="V1275" s="5" t="s">
        <v>7528</v>
      </c>
      <c r="W1275" s="5" t="str">
        <f t="shared" si="3"/>
        <v>Federico D'Alessandro</v>
      </c>
      <c r="X1275" s="5">
        <f t="shared" si="4"/>
        <v>1</v>
      </c>
      <c r="Y1275" s="5" t="str">
        <f>IFERROR(__xludf.DUMMYFUNCTION("REGEXEXTRACT(J1275, ""^\d+"")"),"119")</f>
        <v>119</v>
      </c>
      <c r="Z1275" s="5" t="str">
        <f>IFERROR(__xludf.DUMMYFUNCTION("REGEXEXTRACT(J1275, ""[A-Za-z ]+$"")")," min")</f>
        <v> min</v>
      </c>
      <c r="AA1275" s="5" t="str">
        <f>IFERROR(__xludf.DUMMYFUNCTION("IF(REGEXMATCH(Z1275, ""Season""), ""TV Show"", ""Movie"")"),"Movie")</f>
        <v>Movie</v>
      </c>
    </row>
    <row r="1276">
      <c r="A1276" s="1" t="s">
        <v>7529</v>
      </c>
      <c r="B1276" s="1" t="s">
        <v>37</v>
      </c>
      <c r="C1276" s="1" t="s">
        <v>7530</v>
      </c>
      <c r="E1276" s="1" t="s">
        <v>7531</v>
      </c>
      <c r="F1276" s="1" t="s">
        <v>30</v>
      </c>
      <c r="G1276" s="1" t="s">
        <v>7520</v>
      </c>
      <c r="H1276" s="1">
        <v>2021.0</v>
      </c>
      <c r="I1276" s="1" t="s">
        <v>136</v>
      </c>
      <c r="J1276" s="1" t="s">
        <v>51</v>
      </c>
      <c r="K1276" s="1" t="s">
        <v>440</v>
      </c>
      <c r="L1276" s="1" t="s">
        <v>7532</v>
      </c>
      <c r="M1276" s="2" t="s">
        <v>12</v>
      </c>
      <c r="N1276" s="4">
        <f t="shared" si="1"/>
        <v>44251</v>
      </c>
      <c r="O1276" s="5" t="str">
        <f>IFERROR(__xludf.DUMMYFUNCTION("IF(REGEXMATCH(TRIM(I1276), ""^\d+\s*min""), ""Unclassified"", IF(I1276 = """", ""NR"", I1276))"),"TV-PG")</f>
        <v>TV-PG</v>
      </c>
      <c r="R1276" s="5" t="str">
        <f t="shared" si="2"/>
        <v>Canine Intervention</v>
      </c>
      <c r="S1276" s="5" t="str">
        <f>IFERROR(__xludf.DUMMYFUNCTION("""COMPUTED_VALUE"""),"Burned Cocoon")</f>
        <v>Burned Cocoon</v>
      </c>
      <c r="U1276" s="5" t="str">
        <f>IFERROR(__xludf.DUMMYFUNCTION("""COMPUTED_VALUE"""),"Cassia Dian")</f>
        <v>Cassia Dian</v>
      </c>
      <c r="V1276" s="5" t="s">
        <v>7533</v>
      </c>
      <c r="W1276" s="5" t="str">
        <f t="shared" si="3"/>
        <v>Federico Lemos</v>
      </c>
      <c r="X1276" s="5">
        <f t="shared" si="4"/>
        <v>2</v>
      </c>
      <c r="Y1276" s="5" t="str">
        <f>IFERROR(__xludf.DUMMYFUNCTION("REGEXEXTRACT(J1276, ""^\d+"")"),"1")</f>
        <v>1</v>
      </c>
      <c r="Z1276" s="5" t="str">
        <f>IFERROR(__xludf.DUMMYFUNCTION("REGEXEXTRACT(J1276, ""[A-Za-z ]+$"")")," Season")</f>
        <v> Season</v>
      </c>
      <c r="AA1276" s="5" t="str">
        <f>IFERROR(__xludf.DUMMYFUNCTION("IF(REGEXMATCH(Z1276, ""Season""), ""TV Show"", ""Movie"")"),"TV Show")</f>
        <v>TV Show</v>
      </c>
    </row>
    <row r="1277">
      <c r="A1277" s="1" t="s">
        <v>7534</v>
      </c>
      <c r="B1277" s="1" t="s">
        <v>37</v>
      </c>
      <c r="C1277" s="1" t="s">
        <v>7535</v>
      </c>
      <c r="E1277" s="1" t="s">
        <v>7536</v>
      </c>
      <c r="F1277" s="1" t="s">
        <v>30</v>
      </c>
      <c r="G1277" s="1" t="s">
        <v>7520</v>
      </c>
      <c r="H1277" s="1">
        <v>2021.0</v>
      </c>
      <c r="I1277" s="1" t="s">
        <v>97</v>
      </c>
      <c r="J1277" s="1" t="s">
        <v>51</v>
      </c>
      <c r="K1277" s="1" t="s">
        <v>4634</v>
      </c>
      <c r="L1277" s="1" t="s">
        <v>7537</v>
      </c>
      <c r="M1277" s="2" t="s">
        <v>12</v>
      </c>
      <c r="N1277" s="4">
        <f t="shared" si="1"/>
        <v>44251</v>
      </c>
      <c r="O1277" s="5" t="str">
        <f>IFERROR(__xludf.DUMMYFUNCTION("IF(REGEXMATCH(TRIM(I1277), ""^\d+\s*min""), ""Unclassified"", IF(I1277 = """", ""NR"", I1277))"),"TV-14")</f>
        <v>TV-14</v>
      </c>
      <c r="R1277" s="5" t="str">
        <f t="shared" si="2"/>
        <v>Ginny &amp; Georgia</v>
      </c>
      <c r="S1277" s="5" t="str">
        <f>IFERROR(__xludf.DUMMYFUNCTION("""COMPUTED_VALUE"""),"Burning")</f>
        <v>Burning</v>
      </c>
      <c r="U1277" s="5" t="str">
        <f>IFERROR(__xludf.DUMMYFUNCTION("""COMPUTED_VALUE"""),"Amro Salah")</f>
        <v>Amro Salah</v>
      </c>
      <c r="V1277" s="5" t="s">
        <v>7538</v>
      </c>
      <c r="W1277" s="5" t="str">
        <f t="shared" si="3"/>
        <v>Federico Veiroj</v>
      </c>
      <c r="X1277" s="5">
        <f t="shared" si="4"/>
        <v>2</v>
      </c>
      <c r="Y1277" s="5" t="str">
        <f>IFERROR(__xludf.DUMMYFUNCTION("REGEXEXTRACT(J1277, ""^\d+"")"),"1")</f>
        <v>1</v>
      </c>
      <c r="Z1277" s="5" t="str">
        <f>IFERROR(__xludf.DUMMYFUNCTION("REGEXEXTRACT(J1277, ""[A-Za-z ]+$"")")," Season")</f>
        <v> Season</v>
      </c>
      <c r="AA1277" s="5" t="str">
        <f>IFERROR(__xludf.DUMMYFUNCTION("IF(REGEXMATCH(Z1277, ""Season""), ""TV Show"", ""Movie"")"),"TV Show")</f>
        <v>TV Show</v>
      </c>
    </row>
    <row r="1278">
      <c r="A1278" s="1" t="s">
        <v>7539</v>
      </c>
      <c r="B1278" s="1" t="s">
        <v>27</v>
      </c>
      <c r="C1278" s="1" t="s">
        <v>7540</v>
      </c>
      <c r="D1278" s="1" t="s">
        <v>7541</v>
      </c>
      <c r="E1278" s="1" t="s">
        <v>7542</v>
      </c>
      <c r="G1278" s="1" t="s">
        <v>7520</v>
      </c>
      <c r="H1278" s="1">
        <v>2019.0</v>
      </c>
      <c r="I1278" s="1" t="s">
        <v>42</v>
      </c>
      <c r="J1278" s="1" t="s">
        <v>1608</v>
      </c>
      <c r="K1278" s="1" t="s">
        <v>128</v>
      </c>
      <c r="L1278" s="1" t="s">
        <v>7543</v>
      </c>
      <c r="M1278" s="2" t="s">
        <v>12</v>
      </c>
      <c r="N1278" s="4">
        <f t="shared" si="1"/>
        <v>44251</v>
      </c>
      <c r="O1278" s="5" t="str">
        <f>IFERROR(__xludf.DUMMYFUNCTION("IF(REGEXMATCH(TRIM(I1278), ""^\d+\s*min""), ""Unclassified"", IF(I1278 = """", ""NR"", I1278))"),"TV-MA")</f>
        <v>TV-MA</v>
      </c>
      <c r="R1278" s="5" t="str">
        <f t="shared" si="2"/>
        <v>M8 - When Death Rescues Life</v>
      </c>
      <c r="S1278" s="5" t="str">
        <f>IFERROR(__xludf.DUMMYFUNCTION("""COMPUTED_VALUE"""),"Burning Cane")</f>
        <v>Burning Cane</v>
      </c>
      <c r="U1278" s="5" t="str">
        <f>IFERROR(__xludf.DUMMYFUNCTION("""COMPUTED_VALUE"""),"Sue Ding")</f>
        <v>Sue Ding</v>
      </c>
      <c r="V1278" s="5" t="s">
        <v>7544</v>
      </c>
      <c r="W1278" s="5" t="str">
        <f t="shared" si="3"/>
        <v>Felipe Cano</v>
      </c>
      <c r="X1278" s="5">
        <f t="shared" si="4"/>
        <v>1</v>
      </c>
      <c r="Y1278" s="5" t="str">
        <f>IFERROR(__xludf.DUMMYFUNCTION("REGEXEXTRACT(J1278, ""^\d+"")"),"84")</f>
        <v>84</v>
      </c>
      <c r="Z1278" s="5" t="str">
        <f>IFERROR(__xludf.DUMMYFUNCTION("REGEXEXTRACT(J1278, ""[A-Za-z ]+$"")")," min")</f>
        <v> min</v>
      </c>
      <c r="AA1278" s="5" t="str">
        <f>IFERROR(__xludf.DUMMYFUNCTION("IF(REGEXMATCH(Z1278, ""Season""), ""TV Show"", ""Movie"")"),"Movie")</f>
        <v>Movie</v>
      </c>
    </row>
    <row r="1279">
      <c r="A1279" s="1" t="s">
        <v>7545</v>
      </c>
      <c r="B1279" s="1" t="s">
        <v>37</v>
      </c>
      <c r="C1279" s="1" t="s">
        <v>7546</v>
      </c>
      <c r="E1279" s="1" t="s">
        <v>7547</v>
      </c>
      <c r="F1279" s="1" t="s">
        <v>30</v>
      </c>
      <c r="G1279" s="1" t="s">
        <v>7520</v>
      </c>
      <c r="H1279" s="1">
        <v>2021.0</v>
      </c>
      <c r="I1279" s="1" t="s">
        <v>97</v>
      </c>
      <c r="J1279" s="1" t="s">
        <v>43</v>
      </c>
      <c r="K1279" s="1" t="s">
        <v>7548</v>
      </c>
      <c r="L1279" s="1" t="s">
        <v>7549</v>
      </c>
      <c r="M1279" s="2" t="s">
        <v>12</v>
      </c>
      <c r="N1279" s="4">
        <f t="shared" si="1"/>
        <v>44251</v>
      </c>
      <c r="O1279" s="5" t="str">
        <f>IFERROR(__xludf.DUMMYFUNCTION("IF(REGEXMATCH(TRIM(I1279), ""^\d+\s*min""), ""Unclassified"", IF(I1279 = """", ""NR"", I1279))"),"TV-14")</f>
        <v>TV-14</v>
      </c>
      <c r="R1279" s="5" t="str">
        <f t="shared" si="2"/>
        <v>Two Sentence Horror Stories</v>
      </c>
      <c r="S1279" s="5" t="str">
        <f>IFERROR(__xludf.DUMMYFUNCTION("""COMPUTED_VALUE"""),"Burning Sands")</f>
        <v>Burning Sands</v>
      </c>
      <c r="U1279" s="5" t="str">
        <f>IFERROR(__xludf.DUMMYFUNCTION("""COMPUTED_VALUE"""),"Gina Prince-Bythewood")</f>
        <v>Gina Prince-Bythewood</v>
      </c>
      <c r="V1279" s="5" t="s">
        <v>7550</v>
      </c>
      <c r="W1279" s="5" t="str">
        <f t="shared" si="3"/>
        <v>Felix Binder</v>
      </c>
      <c r="X1279" s="5">
        <f t="shared" si="4"/>
        <v>1</v>
      </c>
      <c r="Y1279" s="5" t="str">
        <f>IFERROR(__xludf.DUMMYFUNCTION("REGEXEXTRACT(J1279, ""^\d+"")"),"2")</f>
        <v>2</v>
      </c>
      <c r="Z1279" s="5" t="str">
        <f>IFERROR(__xludf.DUMMYFUNCTION("REGEXEXTRACT(J1279, ""[A-Za-z ]+$"")")," Seasons")</f>
        <v> Seasons</v>
      </c>
      <c r="AA1279" s="5" t="str">
        <f>IFERROR(__xludf.DUMMYFUNCTION("IF(REGEXMATCH(Z1279, ""Season""), ""TV Show"", ""Movie"")"),"TV Show")</f>
        <v>TV Show</v>
      </c>
    </row>
    <row r="1280">
      <c r="A1280" s="1" t="s">
        <v>7551</v>
      </c>
      <c r="B1280" s="1" t="s">
        <v>27</v>
      </c>
      <c r="C1280" s="1" t="s">
        <v>7552</v>
      </c>
      <c r="D1280" s="1" t="s">
        <v>7037</v>
      </c>
      <c r="E1280" s="1" t="s">
        <v>7553</v>
      </c>
      <c r="F1280" s="1" t="s">
        <v>30</v>
      </c>
      <c r="G1280" s="1" t="s">
        <v>7554</v>
      </c>
      <c r="H1280" s="1">
        <v>2021.0</v>
      </c>
      <c r="I1280" s="1" t="s">
        <v>506</v>
      </c>
      <c r="J1280" s="1" t="s">
        <v>4693</v>
      </c>
      <c r="K1280" s="1" t="s">
        <v>1839</v>
      </c>
      <c r="L1280" s="1" t="s">
        <v>7555</v>
      </c>
      <c r="M1280" s="2" t="s">
        <v>12</v>
      </c>
      <c r="N1280" s="4">
        <f t="shared" si="1"/>
        <v>44250</v>
      </c>
      <c r="O1280" s="5" t="str">
        <f>IFERROR(__xludf.DUMMYFUNCTION("IF(REGEXMATCH(TRIM(I1280), ""^\d+\s*min""), ""Unclassified"", IF(I1280 = """", ""NR"", I1280))"),"TV-G")</f>
        <v>TV-G</v>
      </c>
      <c r="R1280" s="5" t="str">
        <f t="shared" si="2"/>
        <v>Brian Regan: On The Rocks</v>
      </c>
      <c r="S1280" s="5" t="str">
        <f>IFERROR(__xludf.DUMMYFUNCTION("""COMPUTED_VALUE"""),"Burnistoun")</f>
        <v>Burnistoun</v>
      </c>
      <c r="U1280" s="5" t="str">
        <f>IFERROR(__xludf.DUMMYFUNCTION("""COMPUTED_VALUE"""),"Wouter Bouvijn")</f>
        <v>Wouter Bouvijn</v>
      </c>
      <c r="V1280" s="5" t="s">
        <v>7556</v>
      </c>
      <c r="W1280" s="5" t="str">
        <f t="shared" si="3"/>
        <v>Felix Chong</v>
      </c>
      <c r="X1280" s="5">
        <f t="shared" si="4"/>
        <v>1</v>
      </c>
      <c r="Y1280" s="5" t="str">
        <f>IFERROR(__xludf.DUMMYFUNCTION("REGEXEXTRACT(J1280, ""^\d+"")"),"58")</f>
        <v>58</v>
      </c>
      <c r="Z1280" s="5" t="str">
        <f>IFERROR(__xludf.DUMMYFUNCTION("REGEXEXTRACT(J1280, ""[A-Za-z ]+$"")")," min")</f>
        <v> min</v>
      </c>
      <c r="AA1280" s="5" t="str">
        <f>IFERROR(__xludf.DUMMYFUNCTION("IF(REGEXMATCH(Z1280, ""Season""), ""TV Show"", ""Movie"")"),"Movie")</f>
        <v>Movie</v>
      </c>
    </row>
    <row r="1281">
      <c r="A1281" s="1" t="s">
        <v>7557</v>
      </c>
      <c r="B1281" s="1" t="s">
        <v>27</v>
      </c>
      <c r="C1281" s="1" t="s">
        <v>7558</v>
      </c>
      <c r="D1281" s="1" t="s">
        <v>3010</v>
      </c>
      <c r="F1281" s="1" t="s">
        <v>1106</v>
      </c>
      <c r="G1281" s="1" t="s">
        <v>7554</v>
      </c>
      <c r="H1281" s="1">
        <v>2020.0</v>
      </c>
      <c r="I1281" s="1" t="s">
        <v>97</v>
      </c>
      <c r="J1281" s="1" t="s">
        <v>33</v>
      </c>
      <c r="K1281" s="1" t="s">
        <v>156</v>
      </c>
      <c r="L1281" s="1" t="s">
        <v>7559</v>
      </c>
      <c r="M1281" s="2" t="s">
        <v>12</v>
      </c>
      <c r="N1281" s="4">
        <f t="shared" si="1"/>
        <v>44250</v>
      </c>
      <c r="O1281" s="5" t="str">
        <f>IFERROR(__xludf.DUMMYFUNCTION("IF(REGEXMATCH(TRIM(I1281), ""^\d+\s*min""), ""Unclassified"", IF(I1281 = """", ""NR"", I1281))"),"TV-14")</f>
        <v>TV-14</v>
      </c>
      <c r="R1281" s="5" t="str">
        <f t="shared" si="2"/>
        <v>Made You Look: A True Story About Fake Art</v>
      </c>
      <c r="S1281" s="5" t="str">
        <f>IFERROR(__xludf.DUMMYFUNCTION("""COMPUTED_VALUE"""),"Bushwick")</f>
        <v>Bushwick</v>
      </c>
      <c r="U1281" s="5" t="str">
        <f>IFERROR(__xludf.DUMMYFUNCTION("""COMPUTED_VALUE"""),"Funke Akindele")</f>
        <v>Funke Akindele</v>
      </c>
      <c r="V1281" s="5" t="s">
        <v>7560</v>
      </c>
      <c r="W1281" s="5" t="str">
        <f t="shared" si="3"/>
        <v>Felix Herngren, Måns Herngren</v>
      </c>
      <c r="X1281" s="5">
        <f t="shared" si="4"/>
        <v>1</v>
      </c>
      <c r="Y1281" s="5" t="str">
        <f>IFERROR(__xludf.DUMMYFUNCTION("REGEXEXTRACT(J1281, ""^\d+"")"),"90")</f>
        <v>90</v>
      </c>
      <c r="Z1281" s="5" t="str">
        <f>IFERROR(__xludf.DUMMYFUNCTION("REGEXEXTRACT(J1281, ""[A-Za-z ]+$"")")," min")</f>
        <v> min</v>
      </c>
      <c r="AA1281" s="5" t="str">
        <f>IFERROR(__xludf.DUMMYFUNCTION("IF(REGEXMATCH(Z1281, ""Season""), ""TV Show"", ""Movie"")"),"Movie")</f>
        <v>Movie</v>
      </c>
    </row>
    <row r="1282">
      <c r="A1282" s="1" t="s">
        <v>7561</v>
      </c>
      <c r="B1282" s="1" t="s">
        <v>27</v>
      </c>
      <c r="C1282" s="1" t="s">
        <v>7562</v>
      </c>
      <c r="D1282" s="1" t="s">
        <v>6179</v>
      </c>
      <c r="F1282" s="1" t="s">
        <v>96</v>
      </c>
      <c r="G1282" s="1" t="s">
        <v>7554</v>
      </c>
      <c r="H1282" s="1">
        <v>2021.0</v>
      </c>
      <c r="I1282" s="1" t="s">
        <v>97</v>
      </c>
      <c r="J1282" s="1" t="s">
        <v>1065</v>
      </c>
      <c r="K1282" s="1" t="s">
        <v>520</v>
      </c>
      <c r="L1282" s="1" t="s">
        <v>7563</v>
      </c>
      <c r="M1282" s="2" t="s">
        <v>12</v>
      </c>
      <c r="N1282" s="4">
        <f t="shared" si="1"/>
        <v>44250</v>
      </c>
      <c r="O1282" s="5" t="str">
        <f>IFERROR(__xludf.DUMMYFUNCTION("IF(REGEXMATCH(TRIM(I1282), ""^\d+\s*min""), ""Unclassified"", IF(I1282 = """", ""NR"", I1282))"),"TV-14")</f>
        <v>TV-14</v>
      </c>
      <c r="R1282" s="5" t="str">
        <f t="shared" si="2"/>
        <v>Pelé</v>
      </c>
      <c r="S1282" s="5" t="str">
        <f>IFERROR(__xludf.DUMMYFUNCTION("""COMPUTED_VALUE"""),"Busted!")</f>
        <v>Busted!</v>
      </c>
      <c r="U1282" s="5" t="str">
        <f>IFERROR(__xludf.DUMMYFUNCTION("""COMPUTED_VALUE"""),"Bryn Evans")</f>
        <v>Bryn Evans</v>
      </c>
      <c r="V1282" s="5" t="s">
        <v>7564</v>
      </c>
      <c r="W1282" s="5" t="str">
        <f t="shared" si="3"/>
        <v>Felix Starck</v>
      </c>
      <c r="X1282" s="5">
        <f t="shared" si="4"/>
        <v>1</v>
      </c>
      <c r="Y1282" s="5" t="str">
        <f>IFERROR(__xludf.DUMMYFUNCTION("REGEXEXTRACT(J1282, ""^\d+"")"),"109")</f>
        <v>109</v>
      </c>
      <c r="Z1282" s="5" t="str">
        <f>IFERROR(__xludf.DUMMYFUNCTION("REGEXEXTRACT(J1282, ""[A-Za-z ]+$"")")," min")</f>
        <v> min</v>
      </c>
      <c r="AA1282" s="5" t="str">
        <f>IFERROR(__xludf.DUMMYFUNCTION("IF(REGEXMATCH(Z1282, ""Season""), ""TV Show"", ""Movie"")"),"Movie")</f>
        <v>Movie</v>
      </c>
    </row>
    <row r="1283">
      <c r="A1283" s="1" t="s">
        <v>7565</v>
      </c>
      <c r="B1283" s="1" t="s">
        <v>27</v>
      </c>
      <c r="C1283" s="1" t="s">
        <v>7566</v>
      </c>
      <c r="D1283" s="1" t="s">
        <v>7567</v>
      </c>
      <c r="E1283" s="1" t="s">
        <v>7568</v>
      </c>
      <c r="F1283" s="1" t="s">
        <v>63</v>
      </c>
      <c r="G1283" s="1" t="s">
        <v>7554</v>
      </c>
      <c r="H1283" s="1">
        <v>2021.0</v>
      </c>
      <c r="I1283" s="1" t="s">
        <v>97</v>
      </c>
      <c r="J1283" s="1" t="s">
        <v>820</v>
      </c>
      <c r="K1283" s="1" t="s">
        <v>128</v>
      </c>
      <c r="L1283" s="1" t="s">
        <v>7569</v>
      </c>
      <c r="M1283" s="2" t="s">
        <v>12</v>
      </c>
      <c r="N1283" s="4">
        <f t="shared" si="1"/>
        <v>44250</v>
      </c>
      <c r="O1283" s="5" t="str">
        <f>IFERROR(__xludf.DUMMYFUNCTION("IF(REGEXMATCH(TRIM(I1283), ""^\d+\s*min""), ""Unclassified"", IF(I1283 = """", ""NR"", I1283))"),"TV-14")</f>
        <v>TV-14</v>
      </c>
      <c r="R1283" s="5" t="str">
        <f t="shared" si="2"/>
        <v>Red</v>
      </c>
      <c r="S1283" s="5" t="str">
        <f>IFERROR(__xludf.DUMMYFUNCTION("""COMPUTED_VALUE"""),"Buster'S Mal Heart")</f>
        <v>Buster'S Mal Heart</v>
      </c>
      <c r="U1283" s="5" t="str">
        <f>IFERROR(__xludf.DUMMYFUNCTION("""COMPUTED_VALUE"""),"Cristina Costantini, Kareem Tabsch")</f>
        <v>Cristina Costantini, Kareem Tabsch</v>
      </c>
      <c r="V1283" s="5" t="s">
        <v>7570</v>
      </c>
      <c r="W1283" s="5" t="str">
        <f t="shared" si="3"/>
        <v>Felix Thompson</v>
      </c>
      <c r="X1283" s="5">
        <f t="shared" si="4"/>
        <v>1</v>
      </c>
      <c r="Y1283" s="5" t="str">
        <f>IFERROR(__xludf.DUMMYFUNCTION("REGEXEXTRACT(J1283, ""^\d+"")"),"143")</f>
        <v>143</v>
      </c>
      <c r="Z1283" s="5" t="str">
        <f>IFERROR(__xludf.DUMMYFUNCTION("REGEXEXTRACT(J1283, ""[A-Za-z ]+$"")")," min")</f>
        <v> min</v>
      </c>
      <c r="AA1283" s="5" t="str">
        <f>IFERROR(__xludf.DUMMYFUNCTION("IF(REGEXMATCH(Z1283, ""Season""), ""TV Show"", ""Movie"")"),"Movie")</f>
        <v>Movie</v>
      </c>
    </row>
    <row r="1284">
      <c r="A1284" s="1" t="s">
        <v>7571</v>
      </c>
      <c r="B1284" s="1" t="s">
        <v>37</v>
      </c>
      <c r="C1284" s="1" t="s">
        <v>7572</v>
      </c>
      <c r="F1284" s="1" t="s">
        <v>63</v>
      </c>
      <c r="G1284" s="1" t="s">
        <v>7573</v>
      </c>
      <c r="H1284" s="1">
        <v>2020.0</v>
      </c>
      <c r="I1284" s="1" t="s">
        <v>42</v>
      </c>
      <c r="J1284" s="1" t="s">
        <v>51</v>
      </c>
      <c r="K1284" s="1" t="s">
        <v>402</v>
      </c>
      <c r="L1284" s="1" t="s">
        <v>7574</v>
      </c>
      <c r="M1284" s="2" t="s">
        <v>12</v>
      </c>
      <c r="N1284" s="4">
        <f t="shared" si="1"/>
        <v>44249</v>
      </c>
      <c r="O1284" s="5" t="str">
        <f>IFERROR(__xludf.DUMMYFUNCTION("IF(REGEXMATCH(TRIM(I1284), ""^\d+\s*min""), ""Unclassified"", IF(I1284 = """", ""NR"", I1284))"),"TV-MA")</f>
        <v>TV-MA</v>
      </c>
      <c r="R1284" s="5" t="str">
        <f t="shared" si="2"/>
        <v>Zindagi In Short</v>
      </c>
      <c r="S1284" s="5" t="str">
        <f>IFERROR(__xludf.DUMMYFUNCTION("""COMPUTED_VALUE"""),"Butterfield 8")</f>
        <v>Butterfield 8</v>
      </c>
      <c r="U1284" s="5" t="str">
        <f>IFERROR(__xludf.DUMMYFUNCTION("""COMPUTED_VALUE"""),"Hannah Fidell")</f>
        <v>Hannah Fidell</v>
      </c>
      <c r="V1284" s="5" t="s">
        <v>7575</v>
      </c>
      <c r="W1284" s="5" t="str">
        <f t="shared" si="3"/>
        <v>Felix Van Groeningen, Felix Van Groeningen</v>
      </c>
      <c r="X1284" s="5">
        <f t="shared" si="4"/>
        <v>1</v>
      </c>
      <c r="Y1284" s="5" t="str">
        <f>IFERROR(__xludf.DUMMYFUNCTION("REGEXEXTRACT(J1284, ""^\d+"")"),"1")</f>
        <v>1</v>
      </c>
      <c r="Z1284" s="5" t="str">
        <f>IFERROR(__xludf.DUMMYFUNCTION("REGEXEXTRACT(J1284, ""[A-Za-z ]+$"")")," Season")</f>
        <v> Season</v>
      </c>
      <c r="AA1284" s="5" t="str">
        <f>IFERROR(__xludf.DUMMYFUNCTION("IF(REGEXMATCH(Z1284, ""Season""), ""TV Show"", ""Movie"")"),"TV Show")</f>
        <v>TV Show</v>
      </c>
    </row>
    <row r="1285">
      <c r="A1285" s="1" t="s">
        <v>7576</v>
      </c>
      <c r="B1285" s="1" t="s">
        <v>27</v>
      </c>
      <c r="C1285" s="1" t="s">
        <v>7577</v>
      </c>
      <c r="D1285" s="1" t="s">
        <v>6638</v>
      </c>
      <c r="E1285" s="1" t="s">
        <v>7578</v>
      </c>
      <c r="F1285" s="1" t="s">
        <v>30</v>
      </c>
      <c r="G1285" s="1" t="s">
        <v>7579</v>
      </c>
      <c r="H1285" s="1">
        <v>2013.0</v>
      </c>
      <c r="I1285" s="1" t="s">
        <v>378</v>
      </c>
      <c r="J1285" s="1" t="s">
        <v>1243</v>
      </c>
      <c r="K1285" s="1" t="s">
        <v>3768</v>
      </c>
      <c r="L1285" s="1" t="s">
        <v>7580</v>
      </c>
      <c r="M1285" s="2" t="s">
        <v>12</v>
      </c>
      <c r="N1285" s="4">
        <f t="shared" si="1"/>
        <v>44248</v>
      </c>
      <c r="O1285" s="5" t="str">
        <f>IFERROR(__xludf.DUMMYFUNCTION("IF(REGEXMATCH(TRIM(I1285), ""^\d+\s*min""), ""Unclassified"", IF(I1285 = """", ""NR"", I1285))"),"R")</f>
        <v>R</v>
      </c>
      <c r="R1285" s="5" t="str">
        <f t="shared" si="2"/>
        <v>The Conjuring</v>
      </c>
      <c r="S1285" s="5" t="str">
        <f>IFERROR(__xludf.DUMMYFUNCTION("""COMPUTED_VALUE"""),"Buybust")</f>
        <v>Buybust</v>
      </c>
      <c r="U1285" s="5" t="str">
        <f>IFERROR(__xludf.DUMMYFUNCTION("""COMPUTED_VALUE"""),"Chris Renaud, Kyle Balda")</f>
        <v>Chris Renaud, Kyle Balda</v>
      </c>
      <c r="V1285" s="5" t="s">
        <v>7581</v>
      </c>
      <c r="W1285" s="5" t="str">
        <f t="shared" si="3"/>
        <v>Fellipe Barbosa</v>
      </c>
      <c r="X1285" s="5">
        <f t="shared" si="4"/>
        <v>1</v>
      </c>
      <c r="Y1285" s="5" t="str">
        <f>IFERROR(__xludf.DUMMYFUNCTION("REGEXEXTRACT(J1285, ""^\d+"")"),"112")</f>
        <v>112</v>
      </c>
      <c r="Z1285" s="5" t="str">
        <f>IFERROR(__xludf.DUMMYFUNCTION("REGEXEXTRACT(J1285, ""[A-Za-z ]+$"")")," min")</f>
        <v> min</v>
      </c>
      <c r="AA1285" s="5" t="str">
        <f>IFERROR(__xludf.DUMMYFUNCTION("IF(REGEXMATCH(Z1285, ""Season""), ""TV Show"", ""Movie"")"),"Movie")</f>
        <v>Movie</v>
      </c>
    </row>
    <row r="1286">
      <c r="A1286" s="1" t="s">
        <v>7582</v>
      </c>
      <c r="B1286" s="1" t="s">
        <v>27</v>
      </c>
      <c r="C1286" s="1" t="s">
        <v>7583</v>
      </c>
      <c r="D1286" s="1" t="s">
        <v>6638</v>
      </c>
      <c r="E1286" s="1" t="s">
        <v>7584</v>
      </c>
      <c r="F1286" s="1" t="s">
        <v>7585</v>
      </c>
      <c r="G1286" s="1" t="s">
        <v>7579</v>
      </c>
      <c r="H1286" s="1">
        <v>2016.0</v>
      </c>
      <c r="I1286" s="1" t="s">
        <v>378</v>
      </c>
      <c r="J1286" s="1" t="s">
        <v>7413</v>
      </c>
      <c r="K1286" s="1" t="s">
        <v>1551</v>
      </c>
      <c r="L1286" s="1" t="s">
        <v>7586</v>
      </c>
      <c r="M1286" s="2" t="s">
        <v>12</v>
      </c>
      <c r="N1286" s="4">
        <f t="shared" si="1"/>
        <v>44248</v>
      </c>
      <c r="O1286" s="5" t="str">
        <f>IFERROR(__xludf.DUMMYFUNCTION("IF(REGEXMATCH(TRIM(I1286), ""^\d+\s*min""), ""Unclassified"", IF(I1286 = """", ""NR"", I1286))"),"R")</f>
        <v>R</v>
      </c>
      <c r="R1286" s="5" t="str">
        <f t="shared" si="2"/>
        <v>The Conjuring 2</v>
      </c>
      <c r="S1286" s="5" t="str">
        <f>IFERROR(__xludf.DUMMYFUNCTION("""COMPUTED_VALUE"""),"Bwakaw")</f>
        <v>Bwakaw</v>
      </c>
      <c r="U1286" s="5" t="str">
        <f>IFERROR(__xludf.DUMMYFUNCTION("""COMPUTED_VALUE"""),"Scott Zabielski")</f>
        <v>Scott Zabielski</v>
      </c>
      <c r="V1286" s="5" t="s">
        <v>3036</v>
      </c>
      <c r="W1286" s="5" t="str">
        <f t="shared" si="3"/>
        <v>Femi D. Ogunsanwo</v>
      </c>
      <c r="X1286" s="5">
        <f t="shared" si="4"/>
        <v>1</v>
      </c>
      <c r="Y1286" s="5" t="str">
        <f>IFERROR(__xludf.DUMMYFUNCTION("REGEXEXTRACT(J1286, ""^\d+"")"),"134")</f>
        <v>134</v>
      </c>
      <c r="Z1286" s="5" t="str">
        <f>IFERROR(__xludf.DUMMYFUNCTION("REGEXEXTRACT(J1286, ""[A-Za-z ]+$"")")," min")</f>
        <v> min</v>
      </c>
      <c r="AA1286" s="5" t="str">
        <f>IFERROR(__xludf.DUMMYFUNCTION("IF(REGEXMATCH(Z1286, ""Season""), ""TV Show"", ""Movie"")"),"Movie")</f>
        <v>Movie</v>
      </c>
    </row>
    <row r="1287">
      <c r="A1287" s="1" t="s">
        <v>7587</v>
      </c>
      <c r="B1287" s="1" t="s">
        <v>37</v>
      </c>
      <c r="C1287" s="1" t="s">
        <v>7588</v>
      </c>
      <c r="E1287" s="1" t="s">
        <v>7589</v>
      </c>
      <c r="F1287" s="1" t="s">
        <v>749</v>
      </c>
      <c r="G1287" s="1" t="s">
        <v>7579</v>
      </c>
      <c r="H1287" s="1">
        <v>2021.0</v>
      </c>
      <c r="I1287" s="1" t="s">
        <v>97</v>
      </c>
      <c r="J1287" s="1" t="s">
        <v>51</v>
      </c>
      <c r="K1287" s="1" t="s">
        <v>1531</v>
      </c>
      <c r="L1287" s="1" t="s">
        <v>7590</v>
      </c>
      <c r="M1287" s="2" t="s">
        <v>12</v>
      </c>
      <c r="N1287" s="4">
        <f t="shared" si="1"/>
        <v>44248</v>
      </c>
      <c r="O1287" s="5" t="str">
        <f>IFERROR(__xludf.DUMMYFUNCTION("IF(REGEXMATCH(TRIM(I1287), ""^\d+\s*min""), ""Unclassified"", IF(I1287 = """", ""NR"", I1287))"),"TV-14")</f>
        <v>TV-14</v>
      </c>
      <c r="R1287" s="5" t="str">
        <f t="shared" si="2"/>
        <v>Vincenzo</v>
      </c>
      <c r="S1287" s="5" t="str">
        <f>IFERROR(__xludf.DUMMYFUNCTION("""COMPUTED_VALUE"""),"By The Sea")</f>
        <v>By The Sea</v>
      </c>
      <c r="U1287" s="5" t="str">
        <f>IFERROR(__xludf.DUMMYFUNCTION("""COMPUTED_VALUE"""),"Coodie, Chike")</f>
        <v>Coodie, Chike</v>
      </c>
      <c r="V1287" s="5" t="s">
        <v>7591</v>
      </c>
      <c r="W1287" s="5" t="str">
        <f t="shared" si="3"/>
        <v>Femi Oyeniran, Kalvadour Peterson</v>
      </c>
      <c r="X1287" s="5">
        <f t="shared" si="4"/>
        <v>1</v>
      </c>
      <c r="Y1287" s="5" t="str">
        <f>IFERROR(__xludf.DUMMYFUNCTION("REGEXEXTRACT(J1287, ""^\d+"")"),"1")</f>
        <v>1</v>
      </c>
      <c r="Z1287" s="5" t="str">
        <f>IFERROR(__xludf.DUMMYFUNCTION("REGEXEXTRACT(J1287, ""[A-Za-z ]+$"")")," Season")</f>
        <v> Season</v>
      </c>
      <c r="AA1287" s="5" t="str">
        <f>IFERROR(__xludf.DUMMYFUNCTION("IF(REGEXMATCH(Z1287, ""Season""), ""TV Show"", ""Movie"")"),"TV Show")</f>
        <v>TV Show</v>
      </c>
    </row>
    <row r="1288">
      <c r="A1288" s="1" t="s">
        <v>7592</v>
      </c>
      <c r="B1288" s="1" t="s">
        <v>27</v>
      </c>
      <c r="C1288" s="1" t="s">
        <v>7593</v>
      </c>
      <c r="D1288" s="1" t="s">
        <v>7594</v>
      </c>
      <c r="E1288" s="1" t="s">
        <v>7595</v>
      </c>
      <c r="F1288" s="1" t="s">
        <v>2059</v>
      </c>
      <c r="G1288" s="1" t="s">
        <v>7596</v>
      </c>
      <c r="H1288" s="1">
        <v>2020.0</v>
      </c>
      <c r="I1288" s="1" t="s">
        <v>42</v>
      </c>
      <c r="J1288" s="1" t="s">
        <v>2566</v>
      </c>
      <c r="K1288" s="1" t="s">
        <v>836</v>
      </c>
      <c r="L1288" s="1" t="s">
        <v>7597</v>
      </c>
      <c r="M1288" s="2" t="s">
        <v>12</v>
      </c>
      <c r="N1288" s="4">
        <f t="shared" si="1"/>
        <v>44247</v>
      </c>
      <c r="O1288" s="5" t="str">
        <f>IFERROR(__xludf.DUMMYFUNCTION("IF(REGEXMATCH(TRIM(I1288), ""^\d+\s*min""), ""Unclassified"", IF(I1288 = """", ""NR"", I1288))"),"TV-MA")</f>
        <v>TV-MA</v>
      </c>
      <c r="R1288" s="5" t="str">
        <f t="shared" si="2"/>
        <v>Classmates Minus</v>
      </c>
      <c r="S1288" s="5" t="str">
        <f>IFERROR(__xludf.DUMMYFUNCTION("""COMPUTED_VALUE"""),"Bye Bye London")</f>
        <v>Bye Bye London</v>
      </c>
      <c r="U1288" s="5" t="str">
        <f>IFERROR(__xludf.DUMMYFUNCTION("""COMPUTED_VALUE"""),"Qlf")</f>
        <v>Qlf</v>
      </c>
      <c r="V1288" s="5" t="s">
        <v>7598</v>
      </c>
      <c r="W1288" s="5" t="str">
        <f t="shared" si="3"/>
        <v>Femi Oyeniran, Nicky Slimting Walker</v>
      </c>
      <c r="X1288" s="5">
        <f t="shared" si="4"/>
        <v>1</v>
      </c>
      <c r="Y1288" s="5" t="str">
        <f>IFERROR(__xludf.DUMMYFUNCTION("REGEXEXTRACT(J1288, ""^\d+"")"),"123")</f>
        <v>123</v>
      </c>
      <c r="Z1288" s="5" t="str">
        <f>IFERROR(__xludf.DUMMYFUNCTION("REGEXEXTRACT(J1288, ""[A-Za-z ]+$"")")," min")</f>
        <v> min</v>
      </c>
      <c r="AA1288" s="5" t="str">
        <f>IFERROR(__xludf.DUMMYFUNCTION("IF(REGEXMATCH(Z1288, ""Season""), ""TV Show"", ""Movie"")"),"Movie")</f>
        <v>Movie</v>
      </c>
    </row>
    <row r="1289">
      <c r="A1289" s="1" t="s">
        <v>7599</v>
      </c>
      <c r="B1289" s="1" t="s">
        <v>27</v>
      </c>
      <c r="C1289" s="1" t="s">
        <v>7600</v>
      </c>
      <c r="E1289" s="1" t="s">
        <v>7601</v>
      </c>
      <c r="F1289" s="1" t="s">
        <v>96</v>
      </c>
      <c r="G1289" s="1" t="s">
        <v>7596</v>
      </c>
      <c r="H1289" s="1">
        <v>2021.0</v>
      </c>
      <c r="I1289" s="1" t="s">
        <v>97</v>
      </c>
      <c r="J1289" s="1" t="s">
        <v>4458</v>
      </c>
      <c r="K1289" s="1" t="s">
        <v>107</v>
      </c>
      <c r="L1289" s="1" t="s">
        <v>7602</v>
      </c>
      <c r="M1289" s="2" t="s">
        <v>12</v>
      </c>
      <c r="N1289" s="4">
        <f t="shared" si="1"/>
        <v>44247</v>
      </c>
      <c r="O1289" s="5" t="str">
        <f>IFERROR(__xludf.DUMMYFUNCTION("IF(REGEXMATCH(TRIM(I1289), ""^\d+\s*min""), ""Unclassified"", IF(I1289 = """", ""NR"", I1289))"),"TV-14")</f>
        <v>TV-14</v>
      </c>
      <c r="R1289" s="5" t="str">
        <f t="shared" si="2"/>
        <v>Fate: The Winx Saga - The Afterparty</v>
      </c>
      <c r="S1289" s="5" t="str">
        <f>IFERROR(__xludf.DUMMYFUNCTION("""COMPUTED_VALUE"""),"Bygones Be Bygones")</f>
        <v>Bygones Be Bygones</v>
      </c>
      <c r="U1289" s="5" t="str">
        <f>IFERROR(__xludf.DUMMYFUNCTION("""COMPUTED_VALUE"""),"Sachin Kundalkar")</f>
        <v>Sachin Kundalkar</v>
      </c>
      <c r="V1289" s="5" t="s">
        <v>7603</v>
      </c>
      <c r="W1289" s="5" t="str">
        <f t="shared" si="3"/>
        <v>Feng Xiaogang</v>
      </c>
      <c r="X1289" s="5">
        <f t="shared" si="4"/>
        <v>1</v>
      </c>
      <c r="Y1289" s="5" t="str">
        <f>IFERROR(__xludf.DUMMYFUNCTION("REGEXEXTRACT(J1289, ""^\d+"")"),"36")</f>
        <v>36</v>
      </c>
      <c r="Z1289" s="5" t="str">
        <f>IFERROR(__xludf.DUMMYFUNCTION("REGEXEXTRACT(J1289, ""[A-Za-z ]+$"")")," min")</f>
        <v> min</v>
      </c>
      <c r="AA1289" s="5" t="str">
        <f>IFERROR(__xludf.DUMMYFUNCTION("IF(REGEXMATCH(Z1289, ""Season""), ""TV Show"", ""Movie"")"),"Movie")</f>
        <v>Movie</v>
      </c>
    </row>
    <row r="1290">
      <c r="A1290" s="1" t="s">
        <v>7604</v>
      </c>
      <c r="B1290" s="1" t="s">
        <v>27</v>
      </c>
      <c r="C1290" s="1" t="s">
        <v>7605</v>
      </c>
      <c r="D1290" s="1" t="s">
        <v>2857</v>
      </c>
      <c r="E1290" s="1" t="s">
        <v>7606</v>
      </c>
      <c r="F1290" s="1" t="s">
        <v>30</v>
      </c>
      <c r="G1290" s="1" t="s">
        <v>7596</v>
      </c>
      <c r="H1290" s="1">
        <v>2018.0</v>
      </c>
      <c r="I1290" s="1" t="s">
        <v>32</v>
      </c>
      <c r="J1290" s="1" t="s">
        <v>2566</v>
      </c>
      <c r="K1290" s="1" t="s">
        <v>394</v>
      </c>
      <c r="L1290" s="1" t="s">
        <v>7607</v>
      </c>
      <c r="M1290" s="2" t="s">
        <v>12</v>
      </c>
      <c r="N1290" s="4">
        <f t="shared" si="1"/>
        <v>44247</v>
      </c>
      <c r="O1290" s="5" t="str">
        <f>IFERROR(__xludf.DUMMYFUNCTION("IF(REGEXMATCH(TRIM(I1290), ""^\d+\s*min""), ""Unclassified"", IF(I1290 = """", ""NR"", I1290))"),"PG-13")</f>
        <v>PG-13</v>
      </c>
      <c r="R1290" s="5" t="str">
        <f t="shared" si="2"/>
        <v>Operation Finale</v>
      </c>
      <c r="S1290" s="5" t="str">
        <f>IFERROR(__xludf.DUMMYFUNCTION("""COMPUTED_VALUE"""),"Bypass Road")</f>
        <v>Bypass Road</v>
      </c>
      <c r="U1290" s="5" t="str">
        <f>IFERROR(__xludf.DUMMYFUNCTION("""COMPUTED_VALUE"""),"Puri Jagannadh")</f>
        <v>Puri Jagannadh</v>
      </c>
      <c r="V1290" s="5" t="s">
        <v>1784</v>
      </c>
      <c r="W1290" s="5" t="str">
        <f t="shared" si="3"/>
        <v>Ferdinando Cito Filomarino</v>
      </c>
      <c r="X1290" s="5">
        <f t="shared" si="4"/>
        <v>1</v>
      </c>
      <c r="Y1290" s="5" t="str">
        <f>IFERROR(__xludf.DUMMYFUNCTION("REGEXEXTRACT(J1290, ""^\d+"")"),"123")</f>
        <v>123</v>
      </c>
      <c r="Z1290" s="5" t="str">
        <f>IFERROR(__xludf.DUMMYFUNCTION("REGEXEXTRACT(J1290, ""[A-Za-z ]+$"")")," min")</f>
        <v> min</v>
      </c>
      <c r="AA1290" s="5" t="str">
        <f>IFERROR(__xludf.DUMMYFUNCTION("IF(REGEXMATCH(Z1290, ""Season""), ""TV Show"", ""Movie"")"),"Movie")</f>
        <v>Movie</v>
      </c>
    </row>
    <row r="1291">
      <c r="A1291" s="1" t="s">
        <v>7608</v>
      </c>
      <c r="B1291" s="1" t="s">
        <v>27</v>
      </c>
      <c r="C1291" s="1" t="s">
        <v>7609</v>
      </c>
      <c r="D1291" s="1" t="s">
        <v>7610</v>
      </c>
      <c r="E1291" s="1" t="s">
        <v>7611</v>
      </c>
      <c r="G1291" s="1" t="s">
        <v>7596</v>
      </c>
      <c r="H1291" s="1">
        <v>2020.0</v>
      </c>
      <c r="I1291" s="1" t="s">
        <v>506</v>
      </c>
      <c r="J1291" s="1" t="s">
        <v>4693</v>
      </c>
      <c r="K1291" s="1" t="s">
        <v>2892</v>
      </c>
      <c r="L1291" s="1" t="s">
        <v>7612</v>
      </c>
      <c r="M1291" s="2" t="s">
        <v>12</v>
      </c>
      <c r="N1291" s="4">
        <f t="shared" si="1"/>
        <v>44247</v>
      </c>
      <c r="O1291" s="5" t="str">
        <f>IFERROR(__xludf.DUMMYFUNCTION("IF(REGEXMATCH(TRIM(I1291), ""^\d+\s*min""), ""Unclassified"", IF(I1291 = """", ""NR"", I1291))"),"TV-G")</f>
        <v>TV-G</v>
      </c>
      <c r="R1291" s="5" t="str">
        <f t="shared" si="2"/>
        <v>Wave Of Cinema: Surat Dari Timur</v>
      </c>
      <c r="S1291" s="5" t="str">
        <f>IFERROR(__xludf.DUMMYFUNCTION("""COMPUTED_VALUE"""),"C Kkompany")</f>
        <v>C Kkompany</v>
      </c>
      <c r="U1291" s="5" t="str">
        <f>IFERROR(__xludf.DUMMYFUNCTION("""COMPUTED_VALUE"""),"Vishal Mahadkar")</f>
        <v>Vishal Mahadkar</v>
      </c>
      <c r="V1291" s="5" t="s">
        <v>6872</v>
      </c>
      <c r="W1291" s="5" t="str">
        <f t="shared" si="3"/>
        <v>Fermín Muguruza</v>
      </c>
      <c r="X1291" s="5">
        <f t="shared" si="4"/>
        <v>1</v>
      </c>
      <c r="Y1291" s="5" t="str">
        <f>IFERROR(__xludf.DUMMYFUNCTION("REGEXEXTRACT(J1291, ""^\d+"")"),"58")</f>
        <v>58</v>
      </c>
      <c r="Z1291" s="5" t="str">
        <f>IFERROR(__xludf.DUMMYFUNCTION("REGEXEXTRACT(J1291, ""[A-Za-z ]+$"")")," min")</f>
        <v> min</v>
      </c>
      <c r="AA1291" s="5" t="str">
        <f>IFERROR(__xludf.DUMMYFUNCTION("IF(REGEXMATCH(Z1291, ""Season""), ""TV Show"", ""Movie"")"),"Movie")</f>
        <v>Movie</v>
      </c>
    </row>
    <row r="1292">
      <c r="A1292" s="1" t="s">
        <v>7613</v>
      </c>
      <c r="B1292" s="1" t="s">
        <v>27</v>
      </c>
      <c r="C1292" s="1" t="s">
        <v>7614</v>
      </c>
      <c r="D1292" s="1" t="s">
        <v>7615</v>
      </c>
      <c r="E1292" s="1" t="s">
        <v>7616</v>
      </c>
      <c r="F1292" s="1" t="s">
        <v>686</v>
      </c>
      <c r="G1292" s="1" t="s">
        <v>7617</v>
      </c>
      <c r="H1292" s="1">
        <v>2021.0</v>
      </c>
      <c r="I1292" s="1" t="s">
        <v>378</v>
      </c>
      <c r="J1292" s="1" t="s">
        <v>870</v>
      </c>
      <c r="K1292" s="1" t="s">
        <v>7618</v>
      </c>
      <c r="L1292" s="1" t="s">
        <v>7619</v>
      </c>
      <c r="M1292" s="2" t="s">
        <v>12</v>
      </c>
      <c r="N1292" s="4">
        <f t="shared" si="1"/>
        <v>44246</v>
      </c>
      <c r="O1292" s="5" t="str">
        <f>IFERROR(__xludf.DUMMYFUNCTION("IF(REGEXMATCH(TRIM(I1292), ""^\d+\s*min""), ""Unclassified"", IF(I1292 = """", ""NR"", I1292))"),"R")</f>
        <v>R</v>
      </c>
      <c r="R1292" s="5" t="str">
        <f t="shared" si="2"/>
        <v>I Care A Lot</v>
      </c>
      <c r="S1292" s="5" t="str">
        <f>IFERROR(__xludf.DUMMYFUNCTION("""COMPUTED_VALUE"""),"C/O Kaadhal")</f>
        <v>C/O Kaadhal</v>
      </c>
      <c r="U1292" s="5" t="str">
        <f>IFERROR(__xludf.DUMMYFUNCTION("""COMPUTED_VALUE"""),"Anurag Kashyap, Dibakar Banerjee, Karan Johar, Zoya Akhtar")</f>
        <v>Anurag Kashyap, Dibakar Banerjee, Karan Johar, Zoya Akhtar</v>
      </c>
      <c r="V1292" s="5" t="s">
        <v>6899</v>
      </c>
      <c r="W1292" s="5" t="str">
        <f t="shared" si="3"/>
        <v>Fernando Ayllón</v>
      </c>
      <c r="X1292" s="5">
        <f t="shared" si="4"/>
        <v>8</v>
      </c>
      <c r="Y1292" s="5" t="str">
        <f>IFERROR(__xludf.DUMMYFUNCTION("REGEXEXTRACT(J1292, ""^\d+"")"),"118")</f>
        <v>118</v>
      </c>
      <c r="Z1292" s="5" t="str">
        <f>IFERROR(__xludf.DUMMYFUNCTION("REGEXEXTRACT(J1292, ""[A-Za-z ]+$"")")," min")</f>
        <v> min</v>
      </c>
      <c r="AA1292" s="5" t="str">
        <f>IFERROR(__xludf.DUMMYFUNCTION("IF(REGEXMATCH(Z1292, ""Season""), ""TV Show"", ""Movie"")"),"Movie")</f>
        <v>Movie</v>
      </c>
    </row>
    <row r="1293">
      <c r="A1293" s="1" t="s">
        <v>7620</v>
      </c>
      <c r="B1293" s="1" t="s">
        <v>27</v>
      </c>
      <c r="C1293" s="1" t="s">
        <v>7621</v>
      </c>
      <c r="D1293" s="1" t="s">
        <v>7622</v>
      </c>
      <c r="E1293" s="1" t="s">
        <v>7623</v>
      </c>
      <c r="F1293" s="1" t="s">
        <v>63</v>
      </c>
      <c r="G1293" s="1" t="s">
        <v>7617</v>
      </c>
      <c r="H1293" s="1">
        <v>2020.0</v>
      </c>
      <c r="I1293" s="1" t="s">
        <v>97</v>
      </c>
      <c r="J1293" s="1" t="s">
        <v>79</v>
      </c>
      <c r="K1293" s="1" t="s">
        <v>89</v>
      </c>
      <c r="L1293" s="1" t="s">
        <v>7624</v>
      </c>
      <c r="M1293" s="2" t="s">
        <v>12</v>
      </c>
      <c r="N1293" s="4">
        <f t="shared" si="1"/>
        <v>44246</v>
      </c>
      <c r="O1293" s="5" t="str">
        <f>IFERROR(__xludf.DUMMYFUNCTION("IF(REGEXMATCH(TRIM(I1293), ""^\d+\s*min""), ""Unclassified"", IF(I1293 = """", ""NR"", I1293))"),"TV-14")</f>
        <v>TV-14</v>
      </c>
      <c r="R1293" s="5" t="str">
        <f t="shared" si="2"/>
        <v>Love</v>
      </c>
      <c r="S1293" s="5" t="str">
        <f>IFERROR(__xludf.DUMMYFUNCTION("""COMPUTED_VALUE"""),"Cabin Fever")</f>
        <v>Cabin Fever</v>
      </c>
      <c r="U1293" s="5" t="str">
        <f>IFERROR(__xludf.DUMMYFUNCTION("""COMPUTED_VALUE"""),"Anthony D'Souza")</f>
        <v>Anthony D'Souza</v>
      </c>
      <c r="V1293" s="5" t="s">
        <v>7625</v>
      </c>
      <c r="W1293" s="5" t="str">
        <f t="shared" si="3"/>
        <v>Fernando Coimbra</v>
      </c>
      <c r="X1293" s="5">
        <f t="shared" si="4"/>
        <v>1</v>
      </c>
      <c r="Y1293" s="5" t="str">
        <f>IFERROR(__xludf.DUMMYFUNCTION("REGEXEXTRACT(J1293, ""^\d+"")"),"91")</f>
        <v>91</v>
      </c>
      <c r="Z1293" s="5" t="str">
        <f>IFERROR(__xludf.DUMMYFUNCTION("REGEXEXTRACT(J1293, ""[A-Za-z ]+$"")")," min")</f>
        <v> min</v>
      </c>
      <c r="AA1293" s="5" t="str">
        <f>IFERROR(__xludf.DUMMYFUNCTION("IF(REGEXMATCH(Z1293, ""Season""), ""TV Show"", ""Movie"")"),"Movie")</f>
        <v>Movie</v>
      </c>
    </row>
    <row r="1294">
      <c r="A1294" s="1" t="s">
        <v>7626</v>
      </c>
      <c r="B1294" s="1" t="s">
        <v>27</v>
      </c>
      <c r="C1294" s="1" t="s">
        <v>7627</v>
      </c>
      <c r="D1294" s="1" t="s">
        <v>7628</v>
      </c>
      <c r="F1294" s="1" t="s">
        <v>7629</v>
      </c>
      <c r="G1294" s="1" t="s">
        <v>7617</v>
      </c>
      <c r="H1294" s="1">
        <v>2017.0</v>
      </c>
      <c r="I1294" s="1" t="s">
        <v>136</v>
      </c>
      <c r="J1294" s="1" t="s">
        <v>1171</v>
      </c>
      <c r="K1294" s="1" t="s">
        <v>156</v>
      </c>
      <c r="L1294" s="1" t="s">
        <v>7630</v>
      </c>
      <c r="M1294" s="2" t="s">
        <v>12</v>
      </c>
      <c r="N1294" s="4">
        <f t="shared" si="1"/>
        <v>44246</v>
      </c>
      <c r="O1294" s="5" t="str">
        <f>IFERROR(__xludf.DUMMYFUNCTION("IF(REGEXMATCH(TRIM(I1294), ""^\d+\s*min""), ""Unclassified"", IF(I1294 = """", ""NR"", I1294))"),"TV-PG")</f>
        <v>TV-PG</v>
      </c>
      <c r="R1294" s="5" t="str">
        <f t="shared" si="2"/>
        <v>Perú: Tesoro Escondido</v>
      </c>
      <c r="S1294" s="5" t="str">
        <f>IFERROR(__xludf.DUMMYFUNCTION("""COMPUTED_VALUE"""),"Cabins In The Wild With Dick Strawbridge")</f>
        <v>Cabins In The Wild With Dick Strawbridge</v>
      </c>
      <c r="U1294" s="5" t="str">
        <f>IFERROR(__xludf.DUMMYFUNCTION("""COMPUTED_VALUE"""),"Soumendra Padhi")</f>
        <v>Soumendra Padhi</v>
      </c>
      <c r="V1294" s="5" t="s">
        <v>7631</v>
      </c>
      <c r="W1294" s="5" t="str">
        <f t="shared" si="3"/>
        <v>Fernando Colomo</v>
      </c>
      <c r="X1294" s="5">
        <f t="shared" si="4"/>
        <v>1</v>
      </c>
      <c r="Y1294" s="5" t="str">
        <f>IFERROR(__xludf.DUMMYFUNCTION("REGEXEXTRACT(J1294, ""^\d+"")"),"76")</f>
        <v>76</v>
      </c>
      <c r="Z1294" s="5" t="str">
        <f>IFERROR(__xludf.DUMMYFUNCTION("REGEXEXTRACT(J1294, ""[A-Za-z ]+$"")")," min")</f>
        <v> min</v>
      </c>
      <c r="AA1294" s="5" t="str">
        <f>IFERROR(__xludf.DUMMYFUNCTION("IF(REGEXMATCH(Z1294, ""Season""), ""TV Show"", ""Movie"")"),"Movie")</f>
        <v>Movie</v>
      </c>
    </row>
    <row r="1295">
      <c r="A1295" s="1" t="s">
        <v>7632</v>
      </c>
      <c r="B1295" s="1" t="s">
        <v>37</v>
      </c>
      <c r="C1295" s="1" t="s">
        <v>7633</v>
      </c>
      <c r="D1295" s="1" t="s">
        <v>7634</v>
      </c>
      <c r="E1295" s="1" t="s">
        <v>7635</v>
      </c>
      <c r="F1295" s="1" t="s">
        <v>63</v>
      </c>
      <c r="G1295" s="1" t="s">
        <v>7617</v>
      </c>
      <c r="H1295" s="1">
        <v>2021.0</v>
      </c>
      <c r="I1295" s="1" t="s">
        <v>42</v>
      </c>
      <c r="J1295" s="1" t="s">
        <v>51</v>
      </c>
      <c r="K1295" s="1" t="s">
        <v>402</v>
      </c>
      <c r="L1295" s="1" t="s">
        <v>7636</v>
      </c>
      <c r="M1295" s="2" t="s">
        <v>12</v>
      </c>
      <c r="N1295" s="4">
        <f t="shared" si="1"/>
        <v>44246</v>
      </c>
      <c r="O1295" s="5" t="str">
        <f>IFERROR(__xludf.DUMMYFUNCTION("IF(REGEXMATCH(TRIM(I1295), ""^\d+\s*min""), ""Unclassified"", IF(I1295 = """", ""NR"", I1295))"),"TV-MA")</f>
        <v>TV-MA</v>
      </c>
      <c r="R1295" s="5" t="str">
        <f t="shared" si="2"/>
        <v>Pitta Kathalu</v>
      </c>
      <c r="S1295" s="5" t="str">
        <f>IFERROR(__xludf.DUMMYFUNCTION("""COMPUTED_VALUE"""),"Cable Girls")</f>
        <v>Cable Girls</v>
      </c>
      <c r="U1295" s="5" t="str">
        <f>IFERROR(__xludf.DUMMYFUNCTION("""COMPUTED_VALUE"""),"Fuwad Khan")</f>
        <v>Fuwad Khan</v>
      </c>
      <c r="V1295" s="5" t="s">
        <v>7637</v>
      </c>
      <c r="W1295" s="5" t="str">
        <f t="shared" si="3"/>
        <v>Fernando Frías De La Parra</v>
      </c>
      <c r="X1295" s="5">
        <f t="shared" si="4"/>
        <v>2</v>
      </c>
      <c r="Y1295" s="5" t="str">
        <f>IFERROR(__xludf.DUMMYFUNCTION("REGEXEXTRACT(J1295, ""^\d+"")"),"1")</f>
        <v>1</v>
      </c>
      <c r="Z1295" s="5" t="str">
        <f>IFERROR(__xludf.DUMMYFUNCTION("REGEXEXTRACT(J1295, ""[A-Za-z ]+$"")")," Season")</f>
        <v> Season</v>
      </c>
      <c r="AA1295" s="5" t="str">
        <f>IFERROR(__xludf.DUMMYFUNCTION("IF(REGEXMATCH(Z1295, ""Season""), ""TV Show"", ""Movie"")"),"TV Show")</f>
        <v>TV Show</v>
      </c>
    </row>
    <row r="1296">
      <c r="A1296" s="1" t="s">
        <v>7638</v>
      </c>
      <c r="B1296" s="1" t="s">
        <v>37</v>
      </c>
      <c r="C1296" s="1" t="s">
        <v>7639</v>
      </c>
      <c r="E1296" s="1" t="s">
        <v>7640</v>
      </c>
      <c r="F1296" s="1" t="s">
        <v>2492</v>
      </c>
      <c r="G1296" s="1" t="s">
        <v>7617</v>
      </c>
      <c r="H1296" s="1">
        <v>2021.0</v>
      </c>
      <c r="I1296" s="1" t="s">
        <v>42</v>
      </c>
      <c r="J1296" s="1" t="s">
        <v>51</v>
      </c>
      <c r="K1296" s="1" t="s">
        <v>190</v>
      </c>
      <c r="L1296" s="1" t="s">
        <v>7641</v>
      </c>
      <c r="M1296" s="2" t="s">
        <v>12</v>
      </c>
      <c r="N1296" s="4">
        <f t="shared" si="1"/>
        <v>44246</v>
      </c>
      <c r="O1296" s="5" t="str">
        <f>IFERROR(__xludf.DUMMYFUNCTION("IF(REGEXMATCH(TRIM(I1296), ""^\d+\s*min""), ""Unclassified"", IF(I1296 = """", ""NR"", I1296))"),"TV-MA")</f>
        <v>TV-MA</v>
      </c>
      <c r="R1296" s="5" t="str">
        <f t="shared" si="2"/>
        <v>Tribes Of Europa</v>
      </c>
      <c r="S1296" s="5" t="str">
        <f>IFERROR(__xludf.DUMMYFUNCTION("""COMPUTED_VALUE"""),"Cadaver")</f>
        <v>Cadaver</v>
      </c>
      <c r="U1296" s="5" t="str">
        <f>IFERROR(__xludf.DUMMYFUNCTION("""COMPUTED_VALUE"""),"Nishikant Kamat")</f>
        <v>Nishikant Kamat</v>
      </c>
      <c r="V1296" s="5" t="s">
        <v>7642</v>
      </c>
      <c r="W1296" s="5" t="str">
        <f t="shared" si="3"/>
        <v>Fernando González Molina</v>
      </c>
      <c r="X1296" s="5">
        <f t="shared" si="4"/>
        <v>4</v>
      </c>
      <c r="Y1296" s="5" t="str">
        <f>IFERROR(__xludf.DUMMYFUNCTION("REGEXEXTRACT(J1296, ""^\d+"")"),"1")</f>
        <v>1</v>
      </c>
      <c r="Z1296" s="5" t="str">
        <f>IFERROR(__xludf.DUMMYFUNCTION("REGEXEXTRACT(J1296, ""[A-Za-z ]+$"")")," Season")</f>
        <v> Season</v>
      </c>
      <c r="AA1296" s="5" t="str">
        <f>IFERROR(__xludf.DUMMYFUNCTION("IF(REGEXMATCH(Z1296, ""Season""), ""TV Show"", ""Movie"")"),"TV Show")</f>
        <v>TV Show</v>
      </c>
    </row>
    <row r="1297">
      <c r="A1297" s="1" t="s">
        <v>7643</v>
      </c>
      <c r="B1297" s="1" t="s">
        <v>27</v>
      </c>
      <c r="C1297" s="1" t="s">
        <v>7644</v>
      </c>
      <c r="D1297" s="1" t="s">
        <v>7645</v>
      </c>
      <c r="E1297" s="1" t="s">
        <v>7646</v>
      </c>
      <c r="F1297" s="1" t="s">
        <v>63</v>
      </c>
      <c r="G1297" s="1" t="s">
        <v>7647</v>
      </c>
      <c r="H1297" s="1">
        <v>2019.0</v>
      </c>
      <c r="I1297" s="1" t="s">
        <v>42</v>
      </c>
      <c r="J1297" s="1" t="s">
        <v>247</v>
      </c>
      <c r="K1297" s="1" t="s">
        <v>836</v>
      </c>
      <c r="L1297" s="1" t="s">
        <v>7648</v>
      </c>
      <c r="M1297" s="2" t="s">
        <v>12</v>
      </c>
      <c r="N1297" s="4">
        <f t="shared" si="1"/>
        <v>44245</v>
      </c>
      <c r="O1297" s="5" t="str">
        <f>IFERROR(__xludf.DUMMYFUNCTION("IF(REGEXMATCH(TRIM(I1297), ""^\d+\s*min""), ""Unclassified"", IF(I1297 = """", ""NR"", I1297))"),"TV-MA")</f>
        <v>TV-MA</v>
      </c>
      <c r="R1297" s="5" t="str">
        <f t="shared" si="2"/>
        <v>Eeb Allay Ooo!</v>
      </c>
      <c r="S1297" s="5" t="str">
        <f>IFERROR(__xludf.DUMMYFUNCTION("""COMPUTED_VALUE"""),"Cagaster Of An Insect Cage")</f>
        <v>Cagaster Of An Insect Cage</v>
      </c>
      <c r="U1297" s="5" t="str">
        <f>IFERROR(__xludf.DUMMYFUNCTION("""COMPUTED_VALUE"""),"Krish")</f>
        <v>Krish</v>
      </c>
      <c r="V1297" s="5" t="s">
        <v>7649</v>
      </c>
      <c r="W1297" s="5" t="str">
        <f t="shared" si="3"/>
        <v>Fernando Lebrija</v>
      </c>
      <c r="X1297" s="5">
        <f t="shared" si="4"/>
        <v>1</v>
      </c>
      <c r="Y1297" s="5" t="str">
        <f>IFERROR(__xludf.DUMMYFUNCTION("REGEXEXTRACT(J1297, ""^\d+"")"),"97")</f>
        <v>97</v>
      </c>
      <c r="Z1297" s="5" t="str">
        <f>IFERROR(__xludf.DUMMYFUNCTION("REGEXEXTRACT(J1297, ""[A-Za-z ]+$"")")," min")</f>
        <v> min</v>
      </c>
      <c r="AA1297" s="5" t="str">
        <f>IFERROR(__xludf.DUMMYFUNCTION("IF(REGEXMATCH(Z1297, ""Season""), ""TV Show"", ""Movie"")"),"Movie")</f>
        <v>Movie</v>
      </c>
    </row>
    <row r="1298">
      <c r="A1298" s="1" t="s">
        <v>7650</v>
      </c>
      <c r="B1298" s="1" t="s">
        <v>37</v>
      </c>
      <c r="C1298" s="1" t="s">
        <v>7651</v>
      </c>
      <c r="E1298" s="1" t="s">
        <v>7652</v>
      </c>
      <c r="F1298" s="1" t="s">
        <v>749</v>
      </c>
      <c r="G1298" s="1" t="s">
        <v>7647</v>
      </c>
      <c r="H1298" s="1">
        <v>2021.0</v>
      </c>
      <c r="I1298" s="1" t="s">
        <v>97</v>
      </c>
      <c r="J1298" s="1" t="s">
        <v>51</v>
      </c>
      <c r="K1298" s="1" t="s">
        <v>64</v>
      </c>
      <c r="L1298" s="1" t="s">
        <v>7653</v>
      </c>
      <c r="M1298" s="2" t="s">
        <v>12</v>
      </c>
      <c r="N1298" s="4">
        <f t="shared" si="1"/>
        <v>44245</v>
      </c>
      <c r="O1298" s="5" t="str">
        <f>IFERROR(__xludf.DUMMYFUNCTION("IF(REGEXMATCH(TRIM(I1298), ""^\d+\s*min""), ""Unclassified"", IF(I1298 = """", ""NR"", I1298))"),"TV-14")</f>
        <v>TV-14</v>
      </c>
      <c r="R1298" s="5" t="str">
        <f t="shared" si="2"/>
        <v>Hello, Me!</v>
      </c>
      <c r="S1298" s="5" t="str">
        <f>IFERROR(__xludf.DUMMYFUNCTION("""COMPUTED_VALUE"""),"Cahaya Dari Timur Beta Maluku")</f>
        <v>Cahaya Dari Timur Beta Maluku</v>
      </c>
      <c r="U1298" s="5" t="str">
        <f>IFERROR(__xludf.DUMMYFUNCTION("""COMPUTED_VALUE"""),"Kabir Sadanand")</f>
        <v>Kabir Sadanand</v>
      </c>
      <c r="V1298" s="5" t="s">
        <v>7654</v>
      </c>
      <c r="W1298" s="5" t="str">
        <f t="shared" si="3"/>
        <v>Fernando Meirelles</v>
      </c>
      <c r="X1298" s="5">
        <f t="shared" si="4"/>
        <v>1</v>
      </c>
      <c r="Y1298" s="5" t="str">
        <f>IFERROR(__xludf.DUMMYFUNCTION("REGEXEXTRACT(J1298, ""^\d+"")"),"1")</f>
        <v>1</v>
      </c>
      <c r="Z1298" s="5" t="str">
        <f>IFERROR(__xludf.DUMMYFUNCTION("REGEXEXTRACT(J1298, ""[A-Za-z ]+$"")")," Season")</f>
        <v> Season</v>
      </c>
      <c r="AA1298" s="5" t="str">
        <f>IFERROR(__xludf.DUMMYFUNCTION("IF(REGEXMATCH(Z1298, ""Season""), ""TV Show"", ""Movie"")"),"TV Show")</f>
        <v>TV Show</v>
      </c>
    </row>
    <row r="1299">
      <c r="A1299" s="1" t="s">
        <v>7655</v>
      </c>
      <c r="B1299" s="1" t="s">
        <v>27</v>
      </c>
      <c r="C1299" s="1" t="s">
        <v>7656</v>
      </c>
      <c r="D1299" s="1" t="s">
        <v>1139</v>
      </c>
      <c r="E1299" s="1" t="s">
        <v>7657</v>
      </c>
      <c r="F1299" s="1" t="s">
        <v>30</v>
      </c>
      <c r="G1299" s="1" t="s">
        <v>7647</v>
      </c>
      <c r="H1299" s="1">
        <v>2018.0</v>
      </c>
      <c r="I1299" s="1" t="s">
        <v>97</v>
      </c>
      <c r="J1299" s="1" t="s">
        <v>471</v>
      </c>
      <c r="K1299" s="1" t="s">
        <v>1551</v>
      </c>
      <c r="L1299" s="1" t="s">
        <v>7658</v>
      </c>
      <c r="M1299" s="2" t="s">
        <v>12</v>
      </c>
      <c r="N1299" s="4">
        <f t="shared" si="1"/>
        <v>44245</v>
      </c>
      <c r="O1299" s="5" t="str">
        <f>IFERROR(__xludf.DUMMYFUNCTION("IF(REGEXMATCH(TRIM(I1299), ""^\d+\s*min""), ""Unclassified"", IF(I1299 = """", ""NR"", I1299))"),"TV-14")</f>
        <v>TV-14</v>
      </c>
      <c r="R1299" s="5" t="str">
        <f t="shared" si="2"/>
        <v>No Escape Room</v>
      </c>
      <c r="S1299" s="5" t="str">
        <f>IFERROR(__xludf.DUMMYFUNCTION("""COMPUTED_VALUE"""),"Caida Del Cielo")</f>
        <v>Caida Del Cielo</v>
      </c>
      <c r="U1299" s="5" t="str">
        <f>IFERROR(__xludf.DUMMYFUNCTION("""COMPUTED_VALUE"""),"Rachit Kusonkoonsiri")</f>
        <v>Rachit Kusonkoonsiri</v>
      </c>
      <c r="V1299" s="5" t="s">
        <v>7659</v>
      </c>
      <c r="W1299" s="5" t="str">
        <f t="shared" si="3"/>
        <v>Fernando Meirelles, Katia Lund</v>
      </c>
      <c r="X1299" s="5">
        <f t="shared" si="4"/>
        <v>1</v>
      </c>
      <c r="Y1299" s="5" t="str">
        <f>IFERROR(__xludf.DUMMYFUNCTION("REGEXEXTRACT(J1299, ""^\d+"")"),"85")</f>
        <v>85</v>
      </c>
      <c r="Z1299" s="5" t="str">
        <f>IFERROR(__xludf.DUMMYFUNCTION("REGEXEXTRACT(J1299, ""[A-Za-z ]+$"")")," min")</f>
        <v> min</v>
      </c>
      <c r="AA1299" s="5" t="str">
        <f>IFERROR(__xludf.DUMMYFUNCTION("IF(REGEXMATCH(Z1299, ""Season""), ""TV Show"", ""Movie"")"),"Movie")</f>
        <v>Movie</v>
      </c>
    </row>
    <row r="1300">
      <c r="A1300" s="1" t="s">
        <v>7660</v>
      </c>
      <c r="B1300" s="1" t="s">
        <v>37</v>
      </c>
      <c r="C1300" s="1" t="s">
        <v>7661</v>
      </c>
      <c r="E1300" s="1" t="s">
        <v>7662</v>
      </c>
      <c r="F1300" s="1" t="s">
        <v>749</v>
      </c>
      <c r="G1300" s="1" t="s">
        <v>7647</v>
      </c>
      <c r="H1300" s="1">
        <v>2021.0</v>
      </c>
      <c r="I1300" s="1" t="s">
        <v>97</v>
      </c>
      <c r="J1300" s="1" t="s">
        <v>51</v>
      </c>
      <c r="K1300" s="1" t="s">
        <v>190</v>
      </c>
      <c r="L1300" s="1" t="s">
        <v>7663</v>
      </c>
      <c r="M1300" s="2" t="s">
        <v>12</v>
      </c>
      <c r="N1300" s="4">
        <f t="shared" si="1"/>
        <v>44245</v>
      </c>
      <c r="O1300" s="5" t="str">
        <f>IFERROR(__xludf.DUMMYFUNCTION("IF(REGEXMATCH(TRIM(I1300), ""^\d+\s*min""), ""Unclassified"", IF(I1300 = """", ""NR"", I1300))"),"TV-14")</f>
        <v>TV-14</v>
      </c>
      <c r="R1300" s="5" t="str">
        <f t="shared" si="2"/>
        <v>Sisyphus</v>
      </c>
      <c r="S1300" s="5" t="str">
        <f>IFERROR(__xludf.DUMMYFUNCTION("""COMPUTED_VALUE"""),"Cain And Abel")</f>
        <v>Cain And Abel</v>
      </c>
      <c r="U1300" s="5" t="str">
        <f>IFERROR(__xludf.DUMMYFUNCTION("""COMPUTED_VALUE"""),"Shoojit Sircar")</f>
        <v>Shoojit Sircar</v>
      </c>
      <c r="V1300" s="5" t="s">
        <v>4096</v>
      </c>
      <c r="W1300" s="5" t="str">
        <f t="shared" si="3"/>
        <v>Fernando Moro</v>
      </c>
      <c r="X1300" s="5">
        <f t="shared" si="4"/>
        <v>1</v>
      </c>
      <c r="Y1300" s="5" t="str">
        <f>IFERROR(__xludf.DUMMYFUNCTION("REGEXEXTRACT(J1300, ""^\d+"")"),"1")</f>
        <v>1</v>
      </c>
      <c r="Z1300" s="5" t="str">
        <f>IFERROR(__xludf.DUMMYFUNCTION("REGEXEXTRACT(J1300, ""[A-Za-z ]+$"")")," Season")</f>
        <v> Season</v>
      </c>
      <c r="AA1300" s="5" t="str">
        <f>IFERROR(__xludf.DUMMYFUNCTION("IF(REGEXMATCH(Z1300, ""Season""), ""TV Show"", ""Movie"")"),"TV Show")</f>
        <v>TV Show</v>
      </c>
    </row>
    <row r="1301">
      <c r="A1301" s="1" t="s">
        <v>7664</v>
      </c>
      <c r="B1301" s="1" t="s">
        <v>37</v>
      </c>
      <c r="C1301" s="1" t="s">
        <v>7665</v>
      </c>
      <c r="E1301" s="1" t="s">
        <v>7666</v>
      </c>
      <c r="G1301" s="1" t="s">
        <v>7647</v>
      </c>
      <c r="H1301" s="1">
        <v>2021.0</v>
      </c>
      <c r="I1301" s="1" t="s">
        <v>42</v>
      </c>
      <c r="J1301" s="1" t="s">
        <v>51</v>
      </c>
      <c r="K1301" s="1" t="s">
        <v>567</v>
      </c>
      <c r="L1301" s="1" t="s">
        <v>7667</v>
      </c>
      <c r="M1301" s="2" t="s">
        <v>12</v>
      </c>
      <c r="N1301" s="4">
        <f t="shared" si="1"/>
        <v>44245</v>
      </c>
      <c r="O1301" s="5" t="str">
        <f>IFERROR(__xludf.DUMMYFUNCTION("IF(REGEXMATCH(TRIM(I1301), ""^\d+\s*min""), ""Unclassified"", IF(I1301 = """", ""NR"", I1301))"),"TV-MA")</f>
        <v>TV-MA</v>
      </c>
      <c r="R1301" s="5" t="str">
        <f t="shared" si="2"/>
        <v>Thus Spoke Kishibe Rohan</v>
      </c>
      <c r="S1301" s="5" t="str">
        <f>IFERROR(__xludf.DUMMYFUNCTION("""COMPUTED_VALUE"""),"Cairo Station")</f>
        <v>Cairo Station</v>
      </c>
      <c r="U1301" s="5" t="str">
        <f>IFERROR(__xludf.DUMMYFUNCTION("""COMPUTED_VALUE"""),"Omung Kumar")</f>
        <v>Omung Kumar</v>
      </c>
      <c r="V1301" s="5" t="s">
        <v>7668</v>
      </c>
      <c r="W1301" s="5" t="str">
        <f t="shared" si="3"/>
        <v>Fernando Sariñana, José Luis Gutiérrez</v>
      </c>
      <c r="X1301" s="5">
        <f t="shared" si="4"/>
        <v>1</v>
      </c>
      <c r="Y1301" s="5" t="str">
        <f>IFERROR(__xludf.DUMMYFUNCTION("REGEXEXTRACT(J1301, ""^\d+"")"),"1")</f>
        <v>1</v>
      </c>
      <c r="Z1301" s="5" t="str">
        <f>IFERROR(__xludf.DUMMYFUNCTION("REGEXEXTRACT(J1301, ""[A-Za-z ]+$"")")," Season")</f>
        <v> Season</v>
      </c>
      <c r="AA1301" s="5" t="str">
        <f>IFERROR(__xludf.DUMMYFUNCTION("IF(REGEXMATCH(Z1301, ""Season""), ""TV Show"", ""Movie"")"),"TV Show")</f>
        <v>TV Show</v>
      </c>
    </row>
    <row r="1302">
      <c r="A1302" s="1" t="s">
        <v>7669</v>
      </c>
      <c r="B1302" s="1" t="s">
        <v>37</v>
      </c>
      <c r="C1302" s="1" t="s">
        <v>7670</v>
      </c>
      <c r="E1302" s="1" t="s">
        <v>7671</v>
      </c>
      <c r="F1302" s="1" t="s">
        <v>30</v>
      </c>
      <c r="G1302" s="1" t="s">
        <v>7672</v>
      </c>
      <c r="H1302" s="1">
        <v>2021.0</v>
      </c>
      <c r="I1302" s="1" t="s">
        <v>42</v>
      </c>
      <c r="J1302" s="1" t="s">
        <v>51</v>
      </c>
      <c r="K1302" s="1" t="s">
        <v>1261</v>
      </c>
      <c r="L1302" s="1" t="s">
        <v>7673</v>
      </c>
      <c r="M1302" s="2" t="s">
        <v>12</v>
      </c>
      <c r="N1302" s="4">
        <f t="shared" si="1"/>
        <v>44244</v>
      </c>
      <c r="O1302" s="5" t="str">
        <f>IFERROR(__xludf.DUMMYFUNCTION("IF(REGEXMATCH(TRIM(I1302), ""^\d+\s*min""), ""Unclassified"", IF(I1302 = """", ""NR"", I1302))"),"TV-MA")</f>
        <v>TV-MA</v>
      </c>
      <c r="R1302" s="5" t="str">
        <f t="shared" si="2"/>
        <v>Amend: The Fight For America</v>
      </c>
      <c r="S1302" s="5" t="str">
        <f>IFERROR(__xludf.DUMMYFUNCTION("""COMPUTED_VALUE"""),"Cake")</f>
        <v>Cake</v>
      </c>
      <c r="U1302" s="5" t="str">
        <f>IFERROR(__xludf.DUMMYFUNCTION("""COMPUTED_VALUE"""),"Umesh Shukla")</f>
        <v>Umesh Shukla</v>
      </c>
      <c r="V1302" s="5" t="s">
        <v>7674</v>
      </c>
      <c r="W1302" s="5" t="str">
        <f t="shared" si="3"/>
        <v>Feroz</v>
      </c>
      <c r="X1302" s="5">
        <f t="shared" si="4"/>
        <v>1</v>
      </c>
      <c r="Y1302" s="5" t="str">
        <f>IFERROR(__xludf.DUMMYFUNCTION("REGEXEXTRACT(J1302, ""^\d+"")"),"1")</f>
        <v>1</v>
      </c>
      <c r="Z1302" s="5" t="str">
        <f>IFERROR(__xludf.DUMMYFUNCTION("REGEXEXTRACT(J1302, ""[A-Za-z ]+$"")")," Season")</f>
        <v> Season</v>
      </c>
      <c r="AA1302" s="5" t="str">
        <f>IFERROR(__xludf.DUMMYFUNCTION("IF(REGEXMATCH(Z1302, ""Season""), ""TV Show"", ""Movie"")"),"TV Show")</f>
        <v>TV Show</v>
      </c>
    </row>
    <row r="1303">
      <c r="A1303" s="1" t="s">
        <v>7675</v>
      </c>
      <c r="B1303" s="1" t="s">
        <v>37</v>
      </c>
      <c r="C1303" s="1" t="s">
        <v>7676</v>
      </c>
      <c r="E1303" s="1" t="s">
        <v>7677</v>
      </c>
      <c r="F1303" s="1" t="s">
        <v>96</v>
      </c>
      <c r="G1303" s="1" t="s">
        <v>7672</v>
      </c>
      <c r="H1303" s="1">
        <v>2021.0</v>
      </c>
      <c r="I1303" s="1" t="s">
        <v>42</v>
      </c>
      <c r="J1303" s="1" t="s">
        <v>51</v>
      </c>
      <c r="K1303" s="1" t="s">
        <v>3361</v>
      </c>
      <c r="L1303" s="1" t="s">
        <v>7678</v>
      </c>
      <c r="M1303" s="2" t="s">
        <v>12</v>
      </c>
      <c r="N1303" s="4">
        <f t="shared" si="1"/>
        <v>44244</v>
      </c>
      <c r="O1303" s="5" t="str">
        <f>IFERROR(__xludf.DUMMYFUNCTION("IF(REGEXMATCH(TRIM(I1303), ""^\d+\s*min""), ""Unclassified"", IF(I1303 = """", ""NR"", I1303))"),"TV-MA")</f>
        <v>TV-MA</v>
      </c>
      <c r="R1303" s="5" t="str">
        <f t="shared" si="2"/>
        <v>Behind Her Eyes</v>
      </c>
      <c r="S1303" s="5" t="str">
        <f>IFERROR(__xludf.DUMMYFUNCTION("""COMPUTED_VALUE"""),"Calendar Girls")</f>
        <v>Calendar Girls</v>
      </c>
      <c r="U1303" s="5" t="str">
        <f>IFERROR(__xludf.DUMMYFUNCTION("""COMPUTED_VALUE"""),"Devika Bhagat")</f>
        <v>Devika Bhagat</v>
      </c>
      <c r="V1303" s="5" t="s">
        <v>7679</v>
      </c>
      <c r="W1303" s="5" t="str">
        <f t="shared" si="3"/>
        <v>Ferzan Özpetek</v>
      </c>
      <c r="X1303" s="5">
        <f t="shared" si="4"/>
        <v>1</v>
      </c>
      <c r="Y1303" s="5" t="str">
        <f>IFERROR(__xludf.DUMMYFUNCTION("REGEXEXTRACT(J1303, ""^\d+"")"),"1")</f>
        <v>1</v>
      </c>
      <c r="Z1303" s="5" t="str">
        <f>IFERROR(__xludf.DUMMYFUNCTION("REGEXEXTRACT(J1303, ""[A-Za-z ]+$"")")," Season")</f>
        <v> Season</v>
      </c>
      <c r="AA1303" s="5" t="str">
        <f>IFERROR(__xludf.DUMMYFUNCTION("IF(REGEXMATCH(Z1303, ""Season""), ""TV Show"", ""Movie"")"),"TV Show")</f>
        <v>TV Show</v>
      </c>
    </row>
    <row r="1304">
      <c r="A1304" s="1" t="s">
        <v>7680</v>
      </c>
      <c r="B1304" s="1" t="s">
        <v>37</v>
      </c>
      <c r="C1304" s="1" t="s">
        <v>7681</v>
      </c>
      <c r="E1304" s="1" t="s">
        <v>7682</v>
      </c>
      <c r="F1304" s="1" t="s">
        <v>30</v>
      </c>
      <c r="G1304" s="1" t="s">
        <v>7672</v>
      </c>
      <c r="H1304" s="1">
        <v>2021.0</v>
      </c>
      <c r="I1304" s="1" t="s">
        <v>97</v>
      </c>
      <c r="J1304" s="1" t="s">
        <v>148</v>
      </c>
      <c r="K1304" s="1" t="s">
        <v>7683</v>
      </c>
      <c r="L1304" s="1" t="s">
        <v>7684</v>
      </c>
      <c r="M1304" s="2" t="s">
        <v>12</v>
      </c>
      <c r="N1304" s="4">
        <f t="shared" si="1"/>
        <v>44244</v>
      </c>
      <c r="O1304" s="5" t="str">
        <f>IFERROR(__xludf.DUMMYFUNCTION("IF(REGEXMATCH(TRIM(I1304), ""^\d+\s*min""), ""Unclassified"", IF(I1304 = """", ""NR"", I1304))"),"TV-14")</f>
        <v>TV-14</v>
      </c>
      <c r="R1304" s="5" t="str">
        <f t="shared" si="2"/>
        <v>Meateater</v>
      </c>
      <c r="S1304" s="5" t="str">
        <f>IFERROR(__xludf.DUMMYFUNCTION("""COMPUTED_VALUE"""),"Calibre")</f>
        <v>Calibre</v>
      </c>
      <c r="U1304" s="5" t="str">
        <f>IFERROR(__xludf.DUMMYFUNCTION("""COMPUTED_VALUE"""),"Takashi Doscher")</f>
        <v>Takashi Doscher</v>
      </c>
      <c r="V1304" s="5" t="s">
        <v>7685</v>
      </c>
      <c r="W1304" s="5" t="str">
        <f t="shared" si="3"/>
        <v>Filip Renc</v>
      </c>
      <c r="X1304" s="5">
        <f t="shared" si="4"/>
        <v>1</v>
      </c>
      <c r="Y1304" s="5" t="str">
        <f>IFERROR(__xludf.DUMMYFUNCTION("REGEXEXTRACT(J1304, ""^\d+"")"),"4")</f>
        <v>4</v>
      </c>
      <c r="Z1304" s="5" t="str">
        <f>IFERROR(__xludf.DUMMYFUNCTION("REGEXEXTRACT(J1304, ""[A-Za-z ]+$"")")," Seasons")</f>
        <v> Seasons</v>
      </c>
      <c r="AA1304" s="5" t="str">
        <f>IFERROR(__xludf.DUMMYFUNCTION("IF(REGEXMATCH(Z1304, ""Season""), ""TV Show"", ""Movie"")"),"TV Show")</f>
        <v>TV Show</v>
      </c>
    </row>
    <row r="1305">
      <c r="A1305" s="1" t="s">
        <v>7686</v>
      </c>
      <c r="B1305" s="1" t="s">
        <v>27</v>
      </c>
      <c r="C1305" s="1" t="s">
        <v>7687</v>
      </c>
      <c r="D1305" s="1" t="s">
        <v>7688</v>
      </c>
      <c r="F1305" s="1" t="s">
        <v>30</v>
      </c>
      <c r="G1305" s="1" t="s">
        <v>7672</v>
      </c>
      <c r="H1305" s="1">
        <v>2018.0</v>
      </c>
      <c r="I1305" s="1" t="s">
        <v>136</v>
      </c>
      <c r="J1305" s="1" t="s">
        <v>665</v>
      </c>
      <c r="K1305" s="1" t="s">
        <v>34</v>
      </c>
      <c r="L1305" s="1" t="s">
        <v>7689</v>
      </c>
      <c r="M1305" s="2" t="s">
        <v>12</v>
      </c>
      <c r="N1305" s="4">
        <f t="shared" si="1"/>
        <v>44244</v>
      </c>
      <c r="O1305" s="5" t="str">
        <f>IFERROR(__xludf.DUMMYFUNCTION("IF(REGEXMATCH(TRIM(I1305), ""^\d+\s*min""), ""Unclassified"", IF(I1305 = """", ""NR"", I1305))"),"TV-PG")</f>
        <v>TV-PG</v>
      </c>
      <c r="R1305" s="5" t="str">
        <f t="shared" si="2"/>
        <v>The Most Unknown</v>
      </c>
      <c r="S1305" s="5" t="str">
        <f>IFERROR(__xludf.DUMMYFUNCTION("""COMPUTED_VALUE"""),"Calico Critters")</f>
        <v>Calico Critters</v>
      </c>
      <c r="U1305" s="5" t="str">
        <f>IFERROR(__xludf.DUMMYFUNCTION("""COMPUTED_VALUE"""),"Shubham Singh")</f>
        <v>Shubham Singh</v>
      </c>
      <c r="V1305" s="5" t="s">
        <v>7690</v>
      </c>
      <c r="W1305" s="5" t="str">
        <f t="shared" si="3"/>
        <v>Filip Zylber</v>
      </c>
      <c r="X1305" s="5">
        <f t="shared" si="4"/>
        <v>1</v>
      </c>
      <c r="Y1305" s="5" t="str">
        <f>IFERROR(__xludf.DUMMYFUNCTION("REGEXEXTRACT(J1305, ""^\d+"")"),"92")</f>
        <v>92</v>
      </c>
      <c r="Z1305" s="5" t="str">
        <f>IFERROR(__xludf.DUMMYFUNCTION("REGEXEXTRACT(J1305, ""[A-Za-z ]+$"")")," min")</f>
        <v> min</v>
      </c>
      <c r="AA1305" s="5" t="str">
        <f>IFERROR(__xludf.DUMMYFUNCTION("IF(REGEXMATCH(Z1305, ""Season""), ""TV Show"", ""Movie"")"),"Movie")</f>
        <v>Movie</v>
      </c>
    </row>
    <row r="1306">
      <c r="A1306" s="1" t="s">
        <v>7691</v>
      </c>
      <c r="B1306" s="1" t="s">
        <v>27</v>
      </c>
      <c r="C1306" s="1" t="s">
        <v>7692</v>
      </c>
      <c r="D1306" s="1" t="s">
        <v>560</v>
      </c>
      <c r="E1306" s="1" t="s">
        <v>7693</v>
      </c>
      <c r="F1306" s="1" t="s">
        <v>30</v>
      </c>
      <c r="G1306" s="1" t="s">
        <v>7694</v>
      </c>
      <c r="H1306" s="1">
        <v>2021.0</v>
      </c>
      <c r="I1306" s="1" t="s">
        <v>136</v>
      </c>
      <c r="J1306" s="1" t="s">
        <v>1938</v>
      </c>
      <c r="K1306" s="1" t="s">
        <v>80</v>
      </c>
      <c r="L1306" s="1" t="s">
        <v>7695</v>
      </c>
      <c r="M1306" s="2" t="s">
        <v>12</v>
      </c>
      <c r="N1306" s="4">
        <f t="shared" si="1"/>
        <v>44243</v>
      </c>
      <c r="O1306" s="5" t="str">
        <f>IFERROR(__xludf.DUMMYFUNCTION("IF(REGEXMATCH(TRIM(I1306), ""^\d+\s*min""), ""Unclassified"", IF(I1306 = """", ""NR"", I1306))"),"TV-PG")</f>
        <v>TV-PG</v>
      </c>
      <c r="R1306" s="5" t="str">
        <f t="shared" si="2"/>
        <v>Animals On The Loose: A You Vs. Wild Movie</v>
      </c>
      <c r="S1306" s="5" t="str">
        <f>IFERROR(__xludf.DUMMYFUNCTION("""COMPUTED_VALUE"""),"Calico Critters Mini Episodes Clover")</f>
        <v>Calico Critters Mini Episodes Clover</v>
      </c>
      <c r="U1306" s="5" t="str">
        <f>IFERROR(__xludf.DUMMYFUNCTION("""COMPUTED_VALUE"""),"Abbas Alibhai Burmawalla, Mastan Alibhai Burmawalla")</f>
        <v>Abbas Alibhai Burmawalla, Mastan Alibhai Burmawalla</v>
      </c>
      <c r="V1306" s="5" t="s">
        <v>7696</v>
      </c>
      <c r="W1306" s="5" t="str">
        <f t="shared" si="3"/>
        <v>Fisher Stevens</v>
      </c>
      <c r="X1306" s="5">
        <f t="shared" si="4"/>
        <v>1</v>
      </c>
      <c r="Y1306" s="5" t="str">
        <f>IFERROR(__xludf.DUMMYFUNCTION("REGEXEXTRACT(J1306, ""^\d+"")"),"139")</f>
        <v>139</v>
      </c>
      <c r="Z1306" s="5" t="str">
        <f>IFERROR(__xludf.DUMMYFUNCTION("REGEXEXTRACT(J1306, ""[A-Za-z ]+$"")")," min")</f>
        <v> min</v>
      </c>
      <c r="AA1306" s="5" t="str">
        <f>IFERROR(__xludf.DUMMYFUNCTION("IF(REGEXMATCH(Z1306, ""Season""), ""TV Show"", ""Movie"")"),"Movie")</f>
        <v>Movie</v>
      </c>
    </row>
    <row r="1307">
      <c r="A1307" s="1" t="s">
        <v>7697</v>
      </c>
      <c r="B1307" s="1" t="s">
        <v>27</v>
      </c>
      <c r="C1307" s="1" t="s">
        <v>7698</v>
      </c>
      <c r="D1307" s="1" t="s">
        <v>7699</v>
      </c>
      <c r="E1307" s="1" t="s">
        <v>7700</v>
      </c>
      <c r="F1307" s="1" t="s">
        <v>63</v>
      </c>
      <c r="G1307" s="1" t="s">
        <v>7694</v>
      </c>
      <c r="H1307" s="1">
        <v>2002.0</v>
      </c>
      <c r="I1307" s="1" t="s">
        <v>97</v>
      </c>
      <c r="J1307" s="1" t="s">
        <v>6105</v>
      </c>
      <c r="K1307" s="1" t="s">
        <v>617</v>
      </c>
      <c r="L1307" s="1" t="s">
        <v>7701</v>
      </c>
      <c r="M1307" s="2" t="s">
        <v>12</v>
      </c>
      <c r="N1307" s="4">
        <f t="shared" si="1"/>
        <v>44243</v>
      </c>
      <c r="O1307" s="5" t="str">
        <f>IFERROR(__xludf.DUMMYFUNCTION("IF(REGEXMATCH(TRIM(I1307), ""^\d+\s*min""), ""Unclassified"", IF(I1307 = """", ""NR"", I1307))"),"TV-14")</f>
        <v>TV-14</v>
      </c>
      <c r="R1307" s="5" t="str">
        <f t="shared" si="2"/>
        <v>Awara Paagal Deewana</v>
      </c>
      <c r="S1307" s="5" t="str">
        <f>IFERROR(__xludf.DUMMYFUNCTION("""COMPUTED_VALUE"""),"Calico Critters: A Town Of Dreams")</f>
        <v>Calico Critters: A Town Of Dreams</v>
      </c>
      <c r="U1307" s="5" t="str">
        <f>IFERROR(__xludf.DUMMYFUNCTION("""COMPUTED_VALUE"""),"Luv Ranjan")</f>
        <v>Luv Ranjan</v>
      </c>
      <c r="V1307" s="5" t="s">
        <v>7702</v>
      </c>
      <c r="W1307" s="5" t="str">
        <f t="shared" si="3"/>
        <v>Florent Bodin</v>
      </c>
      <c r="X1307" s="5">
        <f t="shared" si="4"/>
        <v>2</v>
      </c>
      <c r="Y1307" s="5" t="str">
        <f>IFERROR(__xludf.DUMMYFUNCTION("REGEXEXTRACT(J1307, ""^\d+"")"),"162")</f>
        <v>162</v>
      </c>
      <c r="Z1307" s="5" t="str">
        <f>IFERROR(__xludf.DUMMYFUNCTION("REGEXEXTRACT(J1307, ""[A-Za-z ]+$"")")," min")</f>
        <v> min</v>
      </c>
      <c r="AA1307" s="5" t="str">
        <f>IFERROR(__xludf.DUMMYFUNCTION("IF(REGEXMATCH(Z1307, ""Season""), ""TV Show"", ""Movie"")"),"Movie")</f>
        <v>Movie</v>
      </c>
    </row>
    <row r="1308">
      <c r="A1308" s="1" t="s">
        <v>7703</v>
      </c>
      <c r="B1308" s="1" t="s">
        <v>37</v>
      </c>
      <c r="C1308" s="1" t="s">
        <v>7704</v>
      </c>
      <c r="E1308" s="1" t="s">
        <v>7705</v>
      </c>
      <c r="F1308" s="1" t="s">
        <v>30</v>
      </c>
      <c r="G1308" s="1" t="s">
        <v>7694</v>
      </c>
      <c r="H1308" s="1">
        <v>2020.0</v>
      </c>
      <c r="I1308" s="1" t="s">
        <v>42</v>
      </c>
      <c r="J1308" s="1" t="s">
        <v>276</v>
      </c>
      <c r="K1308" s="1" t="s">
        <v>605</v>
      </c>
      <c r="L1308" s="1" t="s">
        <v>7706</v>
      </c>
      <c r="M1308" s="2" t="s">
        <v>12</v>
      </c>
      <c r="N1308" s="4">
        <f t="shared" si="1"/>
        <v>44243</v>
      </c>
      <c r="O1308" s="5" t="str">
        <f>IFERROR(__xludf.DUMMYFUNCTION("IF(REGEXMATCH(TRIM(I1308), ""^\d+\s*min""), ""Unclassified"", IF(I1308 = """", ""NR"", I1308))"),"TV-MA")</f>
        <v>TV-MA</v>
      </c>
      <c r="R1308" s="5" t="str">
        <f t="shared" si="2"/>
        <v>Good Girls</v>
      </c>
      <c r="S1308" s="5" t="str">
        <f>IFERROR(__xludf.DUMMYFUNCTION("""COMPUTED_VALUE"""),"Calico Critters: Everyone'S Big Dream Flying In The Sky")</f>
        <v>Calico Critters: Everyone'S Big Dream Flying In The Sky</v>
      </c>
      <c r="U1308" s="5" t="str">
        <f>IFERROR(__xludf.DUMMYFUNCTION("""COMPUTED_VALUE"""),"Vikas Bahl")</f>
        <v>Vikas Bahl</v>
      </c>
      <c r="V1308" s="5" t="s">
        <v>7707</v>
      </c>
      <c r="W1308" s="5" t="str">
        <f t="shared" si="3"/>
        <v>Floria Sigismondi</v>
      </c>
      <c r="X1308" s="5">
        <f t="shared" si="4"/>
        <v>1</v>
      </c>
      <c r="Y1308" s="5" t="str">
        <f>IFERROR(__xludf.DUMMYFUNCTION("REGEXEXTRACT(J1308, ""^\d+"")"),"3")</f>
        <v>3</v>
      </c>
      <c r="Z1308" s="5" t="str">
        <f>IFERROR(__xludf.DUMMYFUNCTION("REGEXEXTRACT(J1308, ""[A-Za-z ]+$"")")," Seasons")</f>
        <v> Seasons</v>
      </c>
      <c r="AA1308" s="5" t="str">
        <f>IFERROR(__xludf.DUMMYFUNCTION("IF(REGEXMATCH(Z1308, ""Season""), ""TV Show"", ""Movie"")"),"TV Show")</f>
        <v>TV Show</v>
      </c>
    </row>
    <row r="1309">
      <c r="A1309" s="1" t="s">
        <v>7708</v>
      </c>
      <c r="B1309" s="1" t="s">
        <v>27</v>
      </c>
      <c r="C1309" s="1" t="s">
        <v>7709</v>
      </c>
      <c r="D1309" s="1" t="s">
        <v>5351</v>
      </c>
      <c r="E1309" s="1" t="s">
        <v>7710</v>
      </c>
      <c r="F1309" s="1" t="s">
        <v>30</v>
      </c>
      <c r="G1309" s="1" t="s">
        <v>7694</v>
      </c>
      <c r="H1309" s="1">
        <v>2017.0</v>
      </c>
      <c r="I1309" s="1" t="s">
        <v>78</v>
      </c>
      <c r="J1309" s="1" t="s">
        <v>665</v>
      </c>
      <c r="K1309" s="1" t="s">
        <v>2242</v>
      </c>
      <c r="L1309" s="1" t="s">
        <v>7711</v>
      </c>
      <c r="M1309" s="2" t="s">
        <v>12</v>
      </c>
      <c r="N1309" s="4">
        <f t="shared" si="1"/>
        <v>44243</v>
      </c>
      <c r="O1309" s="5" t="str">
        <f>IFERROR(__xludf.DUMMYFUNCTION("IF(REGEXMATCH(TRIM(I1309), ""^\d+\s*min""), ""Unclassified"", IF(I1309 = """", ""NR"", I1309))"),"PG")</f>
        <v>PG</v>
      </c>
      <c r="R1309" s="5" t="str">
        <f t="shared" si="2"/>
        <v>The Resurrection Of Gavin Stone</v>
      </c>
      <c r="S1309" s="5" t="str">
        <f>IFERROR(__xludf.DUMMYFUNCTION("""COMPUTED_VALUE"""),"Calico Critters: The Treasure Of Calico Village")</f>
        <v>Calico Critters: The Treasure Of Calico Village</v>
      </c>
      <c r="U1309" s="5" t="str">
        <f>IFERROR(__xludf.DUMMYFUNCTION("""COMPUTED_VALUE"""),"Neeraj Pandey")</f>
        <v>Neeraj Pandey</v>
      </c>
      <c r="V1309" s="5" t="s">
        <v>7712</v>
      </c>
      <c r="W1309" s="5" t="str">
        <f t="shared" si="3"/>
        <v>Florian Gallenberger</v>
      </c>
      <c r="X1309" s="5">
        <f t="shared" si="4"/>
        <v>1</v>
      </c>
      <c r="Y1309" s="5" t="str">
        <f>IFERROR(__xludf.DUMMYFUNCTION("REGEXEXTRACT(J1309, ""^\d+"")"),"92")</f>
        <v>92</v>
      </c>
      <c r="Z1309" s="5" t="str">
        <f>IFERROR(__xludf.DUMMYFUNCTION("REGEXEXTRACT(J1309, ""[A-Za-z ]+$"")")," min")</f>
        <v> min</v>
      </c>
      <c r="AA1309" s="5" t="str">
        <f>IFERROR(__xludf.DUMMYFUNCTION("IF(REGEXMATCH(Z1309, ""Season""), ""TV Show"", ""Movie"")"),"Movie")</f>
        <v>Movie</v>
      </c>
    </row>
    <row r="1310">
      <c r="A1310" s="1" t="s">
        <v>7713</v>
      </c>
      <c r="B1310" s="1" t="s">
        <v>37</v>
      </c>
      <c r="C1310" s="1" t="s">
        <v>7714</v>
      </c>
      <c r="E1310" s="1" t="s">
        <v>7715</v>
      </c>
      <c r="F1310" s="1" t="s">
        <v>96</v>
      </c>
      <c r="G1310" s="1" t="s">
        <v>7716</v>
      </c>
      <c r="H1310" s="1">
        <v>2021.0</v>
      </c>
      <c r="I1310" s="1" t="s">
        <v>289</v>
      </c>
      <c r="J1310" s="1" t="s">
        <v>148</v>
      </c>
      <c r="K1310" s="1" t="s">
        <v>314</v>
      </c>
      <c r="L1310" s="1" t="s">
        <v>7717</v>
      </c>
      <c r="M1310" s="2" t="s">
        <v>12</v>
      </c>
      <c r="N1310" s="4">
        <f t="shared" si="1"/>
        <v>44242</v>
      </c>
      <c r="O1310" s="5" t="str">
        <f>IFERROR(__xludf.DUMMYFUNCTION("IF(REGEXMATCH(TRIM(I1310), ""^\d+\s*min""), ""Unclassified"", IF(I1310 = """", ""NR"", I1310))"),"TV-Y7")</f>
        <v>TV-Y7</v>
      </c>
      <c r="R1310" s="5" t="str">
        <f t="shared" si="2"/>
        <v>Booba</v>
      </c>
      <c r="S1310" s="5" t="str">
        <f>IFERROR(__xludf.DUMMYFUNCTION("""COMPUTED_VALUE"""),"Caliphate")</f>
        <v>Caliphate</v>
      </c>
      <c r="U1310" s="5" t="str">
        <f>IFERROR(__xludf.DUMMYFUNCTION("""COMPUTED_VALUE"""),"Aanand Rai")</f>
        <v>Aanand Rai</v>
      </c>
      <c r="V1310" s="5" t="s">
        <v>7718</v>
      </c>
      <c r="W1310" s="5" t="str">
        <f t="shared" si="3"/>
        <v>Florian Henckel Von Donnersmarck</v>
      </c>
      <c r="X1310" s="5">
        <f t="shared" si="4"/>
        <v>2</v>
      </c>
      <c r="Y1310" s="5" t="str">
        <f>IFERROR(__xludf.DUMMYFUNCTION("REGEXEXTRACT(J1310, ""^\d+"")"),"4")</f>
        <v>4</v>
      </c>
      <c r="Z1310" s="5" t="str">
        <f>IFERROR(__xludf.DUMMYFUNCTION("REGEXEXTRACT(J1310, ""[A-Za-z ]+$"")")," Seasons")</f>
        <v> Seasons</v>
      </c>
      <c r="AA1310" s="5" t="str">
        <f>IFERROR(__xludf.DUMMYFUNCTION("IF(REGEXMATCH(Z1310, ""Season""), ""TV Show"", ""Movie"")"),"TV Show")</f>
        <v>TV Show</v>
      </c>
    </row>
    <row r="1311">
      <c r="A1311" s="1" t="s">
        <v>7719</v>
      </c>
      <c r="B1311" s="1" t="s">
        <v>27</v>
      </c>
      <c r="C1311" s="1" t="s">
        <v>7720</v>
      </c>
      <c r="D1311" s="1" t="s">
        <v>5364</v>
      </c>
      <c r="E1311" s="1" t="s">
        <v>7721</v>
      </c>
      <c r="F1311" s="1" t="s">
        <v>30</v>
      </c>
      <c r="G1311" s="1" t="s">
        <v>7716</v>
      </c>
      <c r="H1311" s="1">
        <v>2018.0</v>
      </c>
      <c r="I1311" s="1" t="s">
        <v>97</v>
      </c>
      <c r="J1311" s="1" t="s">
        <v>1144</v>
      </c>
      <c r="K1311" s="1" t="s">
        <v>171</v>
      </c>
      <c r="L1311" s="1" t="s">
        <v>7722</v>
      </c>
      <c r="M1311" s="2" t="s">
        <v>12</v>
      </c>
      <c r="N1311" s="4">
        <f t="shared" si="1"/>
        <v>44242</v>
      </c>
      <c r="O1311" s="5" t="str">
        <f>IFERROR(__xludf.DUMMYFUNCTION("IF(REGEXMATCH(TRIM(I1311), ""^\d+\s*min""), ""Unclassified"", IF(I1311 = """", ""NR"", I1311))"),"TV-14")</f>
        <v>TV-14</v>
      </c>
      <c r="R1311" s="5" t="str">
        <f t="shared" si="2"/>
        <v>My Teacher, My Obsession</v>
      </c>
      <c r="S1311" s="5" t="str">
        <f>IFERROR(__xludf.DUMMYFUNCTION("""COMPUTED_VALUE"""),"Call Me Francis")</f>
        <v>Call Me Francis</v>
      </c>
      <c r="U1311" s="5" t="str">
        <f>IFERROR(__xludf.DUMMYFUNCTION("""COMPUTED_VALUE"""),"Gurmmeet Singh")</f>
        <v>Gurmmeet Singh</v>
      </c>
      <c r="V1311" s="5" t="s">
        <v>7723</v>
      </c>
      <c r="W1311" s="5" t="str">
        <f t="shared" si="3"/>
        <v>Florian Schnell</v>
      </c>
      <c r="X1311" s="5">
        <f t="shared" si="4"/>
        <v>1</v>
      </c>
      <c r="Y1311" s="5" t="str">
        <f>IFERROR(__xludf.DUMMYFUNCTION("REGEXEXTRACT(J1311, ""^\d+"")"),"86")</f>
        <v>86</v>
      </c>
      <c r="Z1311" s="5" t="str">
        <f>IFERROR(__xludf.DUMMYFUNCTION("REGEXEXTRACT(J1311, ""[A-Za-z ]+$"")")," min")</f>
        <v> min</v>
      </c>
      <c r="AA1311" s="5" t="str">
        <f>IFERROR(__xludf.DUMMYFUNCTION("IF(REGEXMATCH(Z1311, ""Season""), ""TV Show"", ""Movie"")"),"Movie")</f>
        <v>Movie</v>
      </c>
    </row>
    <row r="1312">
      <c r="A1312" s="1" t="s">
        <v>7724</v>
      </c>
      <c r="B1312" s="1" t="s">
        <v>37</v>
      </c>
      <c r="C1312" s="1" t="s">
        <v>7725</v>
      </c>
      <c r="E1312" s="1" t="s">
        <v>7726</v>
      </c>
      <c r="F1312" s="1" t="s">
        <v>30</v>
      </c>
      <c r="G1312" s="1" t="s">
        <v>7716</v>
      </c>
      <c r="H1312" s="1">
        <v>2021.0</v>
      </c>
      <c r="I1312" s="1" t="s">
        <v>97</v>
      </c>
      <c r="J1312" s="1" t="s">
        <v>51</v>
      </c>
      <c r="K1312" s="1" t="s">
        <v>270</v>
      </c>
      <c r="L1312" s="1" t="s">
        <v>7727</v>
      </c>
      <c r="M1312" s="2" t="s">
        <v>12</v>
      </c>
      <c r="N1312" s="4">
        <f t="shared" si="1"/>
        <v>44242</v>
      </c>
      <c r="O1312" s="5" t="str">
        <f>IFERROR(__xludf.DUMMYFUNCTION("IF(REGEXMATCH(TRIM(I1312), ""^\d+\s*min""), ""Unclassified"", IF(I1312 = """", ""NR"", I1312))"),"TV-14")</f>
        <v>TV-14</v>
      </c>
      <c r="R1312" s="5" t="str">
        <f t="shared" si="2"/>
        <v>The Crew</v>
      </c>
      <c r="S1312" s="5" t="str">
        <f>IFERROR(__xludf.DUMMYFUNCTION("""COMPUTED_VALUE"""),"Call My Agent!")</f>
        <v>Call My Agent!</v>
      </c>
      <c r="U1312" s="5" t="str">
        <f>IFERROR(__xludf.DUMMYFUNCTION("""COMPUTED_VALUE"""),"Lp")</f>
        <v>Lp</v>
      </c>
      <c r="V1312" s="5" t="s">
        <v>7728</v>
      </c>
      <c r="W1312" s="5" t="str">
        <f t="shared" si="3"/>
        <v>Florian Schott</v>
      </c>
      <c r="X1312" s="5">
        <f t="shared" si="4"/>
        <v>1</v>
      </c>
      <c r="Y1312" s="5" t="str">
        <f>IFERROR(__xludf.DUMMYFUNCTION("REGEXEXTRACT(J1312, ""^\d+"")"),"1")</f>
        <v>1</v>
      </c>
      <c r="Z1312" s="5" t="str">
        <f>IFERROR(__xludf.DUMMYFUNCTION("REGEXEXTRACT(J1312, ""[A-Za-z ]+$"")")," Season")</f>
        <v> Season</v>
      </c>
      <c r="AA1312" s="5" t="str">
        <f>IFERROR(__xludf.DUMMYFUNCTION("IF(REGEXMATCH(Z1312, ""Season""), ""TV Show"", ""Movie"")"),"TV Show")</f>
        <v>TV Show</v>
      </c>
    </row>
    <row r="1313">
      <c r="A1313" s="1" t="s">
        <v>7729</v>
      </c>
      <c r="B1313" s="1" t="s">
        <v>27</v>
      </c>
      <c r="C1313" s="1" t="s">
        <v>7730</v>
      </c>
      <c r="D1313" s="1" t="s">
        <v>7731</v>
      </c>
      <c r="E1313" s="1" t="s">
        <v>7732</v>
      </c>
      <c r="F1313" s="1" t="s">
        <v>400</v>
      </c>
      <c r="G1313" s="1" t="s">
        <v>7733</v>
      </c>
      <c r="H1313" s="1">
        <v>2021.0</v>
      </c>
      <c r="I1313" s="1" t="s">
        <v>97</v>
      </c>
      <c r="J1313" s="1" t="s">
        <v>1256</v>
      </c>
      <c r="K1313" s="1" t="s">
        <v>583</v>
      </c>
      <c r="L1313" s="1" t="s">
        <v>7734</v>
      </c>
      <c r="M1313" s="2" t="s">
        <v>12</v>
      </c>
      <c r="N1313" s="4">
        <f t="shared" si="1"/>
        <v>44241</v>
      </c>
      <c r="O1313" s="5" t="str">
        <f>IFERROR(__xludf.DUMMYFUNCTION("IF(REGEXMATCH(TRIM(I1313), ""^\d+\s*min""), ""Unclassified"", IF(I1313 = """", ""NR"", I1313))"),"TV-14")</f>
        <v>TV-14</v>
      </c>
      <c r="R1313" s="5" t="str">
        <f t="shared" si="2"/>
        <v>Namaste Wahala</v>
      </c>
      <c r="S1313" s="5" t="str">
        <f>IFERROR(__xludf.DUMMYFUNCTION("""COMPUTED_VALUE"""),"Call The Midwife")</f>
        <v>Call The Midwife</v>
      </c>
      <c r="U1313" s="5" t="str">
        <f>IFERROR(__xludf.DUMMYFUNCTION("""COMPUTED_VALUE"""),"Rako Prijanto")</f>
        <v>Rako Prijanto</v>
      </c>
      <c r="V1313" s="5" t="s">
        <v>1912</v>
      </c>
      <c r="W1313" s="5" t="str">
        <f t="shared" si="3"/>
        <v>Floyd Russ</v>
      </c>
      <c r="X1313" s="5">
        <f t="shared" si="4"/>
        <v>2</v>
      </c>
      <c r="Y1313" s="5" t="str">
        <f>IFERROR(__xludf.DUMMYFUNCTION("REGEXEXTRACT(J1313, ""^\d+"")"),"107")</f>
        <v>107</v>
      </c>
      <c r="Z1313" s="5" t="str">
        <f>IFERROR(__xludf.DUMMYFUNCTION("REGEXEXTRACT(J1313, ""[A-Za-z ]+$"")")," min")</f>
        <v> min</v>
      </c>
      <c r="AA1313" s="5" t="str">
        <f>IFERROR(__xludf.DUMMYFUNCTION("IF(REGEXMATCH(Z1313, ""Season""), ""TV Show"", ""Movie"")"),"Movie")</f>
        <v>Movie</v>
      </c>
    </row>
    <row r="1314">
      <c r="A1314" s="1" t="s">
        <v>7735</v>
      </c>
      <c r="B1314" s="1" t="s">
        <v>27</v>
      </c>
      <c r="C1314" s="1" t="s">
        <v>7736</v>
      </c>
      <c r="D1314" s="1" t="s">
        <v>7737</v>
      </c>
      <c r="E1314" s="1" t="s">
        <v>7738</v>
      </c>
      <c r="F1314" s="1" t="s">
        <v>96</v>
      </c>
      <c r="G1314" s="1" t="s">
        <v>7739</v>
      </c>
      <c r="H1314" s="1">
        <v>2020.0</v>
      </c>
      <c r="I1314" s="1" t="s">
        <v>42</v>
      </c>
      <c r="J1314" s="1" t="s">
        <v>471</v>
      </c>
      <c r="K1314" s="1" t="s">
        <v>4730</v>
      </c>
      <c r="L1314" s="1" t="s">
        <v>7740</v>
      </c>
      <c r="M1314" s="2" t="s">
        <v>12</v>
      </c>
      <c r="N1314" s="4">
        <f t="shared" si="1"/>
        <v>44240</v>
      </c>
      <c r="O1314" s="5" t="str">
        <f>IFERROR(__xludf.DUMMYFUNCTION("IF(REGEXMATCH(TRIM(I1314), ""^\d+\s*min""), ""Unclassified"", IF(I1314 = """", ""NR"", I1314))"),"TV-MA")</f>
        <v>TV-MA</v>
      </c>
      <c r="R1314" s="5" t="str">
        <f t="shared" si="2"/>
        <v>Monsoon</v>
      </c>
      <c r="S1314" s="5" t="str">
        <f>IFERROR(__xludf.DUMMYFUNCTION("""COMPUTED_VALUE"""),"Calum Von Moger: Unbroken")</f>
        <v>Calum Von Moger: Unbroken</v>
      </c>
      <c r="U1314" s="5" t="str">
        <f>IFERROR(__xludf.DUMMYFUNCTION("""COMPUTED_VALUE"""),"Raoul Peck")</f>
        <v>Raoul Peck</v>
      </c>
      <c r="V1314" s="5" t="s">
        <v>7741</v>
      </c>
      <c r="W1314" s="5" t="str">
        <f t="shared" si="3"/>
        <v>Fluvio Iannuci, Roly Santos</v>
      </c>
      <c r="X1314" s="5">
        <f t="shared" si="4"/>
        <v>1</v>
      </c>
      <c r="Y1314" s="5" t="str">
        <f>IFERROR(__xludf.DUMMYFUNCTION("REGEXEXTRACT(J1314, ""^\d+"")"),"85")</f>
        <v>85</v>
      </c>
      <c r="Z1314" s="5" t="str">
        <f>IFERROR(__xludf.DUMMYFUNCTION("REGEXEXTRACT(J1314, ""[A-Za-z ]+$"")")," min")</f>
        <v> min</v>
      </c>
      <c r="AA1314" s="5" t="str">
        <f>IFERROR(__xludf.DUMMYFUNCTION("IF(REGEXMATCH(Z1314, ""Season""), ""TV Show"", ""Movie"")"),"Movie")</f>
        <v>Movie</v>
      </c>
    </row>
    <row r="1315">
      <c r="A1315" s="1" t="s">
        <v>7742</v>
      </c>
      <c r="B1315" s="1" t="s">
        <v>37</v>
      </c>
      <c r="C1315" s="1" t="s">
        <v>7743</v>
      </c>
      <c r="F1315" s="1" t="s">
        <v>30</v>
      </c>
      <c r="G1315" s="1" t="s">
        <v>7744</v>
      </c>
      <c r="H1315" s="1">
        <v>2021.0</v>
      </c>
      <c r="I1315" s="1" t="s">
        <v>97</v>
      </c>
      <c r="J1315" s="1" t="s">
        <v>51</v>
      </c>
      <c r="K1315" s="1" t="s">
        <v>440</v>
      </c>
      <c r="L1315" s="1" t="s">
        <v>7745</v>
      </c>
      <c r="M1315" s="2" t="s">
        <v>12</v>
      </c>
      <c r="N1315" s="4">
        <f t="shared" si="1"/>
        <v>44239</v>
      </c>
      <c r="O1315" s="5" t="str">
        <f>IFERROR(__xludf.DUMMYFUNCTION("IF(REGEXMATCH(TRIM(I1315), ""^\d+\s*min""), ""Unclassified"", IF(I1315 = """", ""NR"", I1315))"),"TV-14")</f>
        <v>TV-14</v>
      </c>
      <c r="R1315" s="5" t="str">
        <f t="shared" si="2"/>
        <v>Buried By The Bernards</v>
      </c>
      <c r="S1315" s="5" t="str">
        <f>IFERROR(__xludf.DUMMYFUNCTION("""COMPUTED_VALUE"""),"Cam")</f>
        <v>Cam</v>
      </c>
      <c r="U1315" s="5" t="str">
        <f>IFERROR(__xludf.DUMMYFUNCTION("""COMPUTED_VALUE"""),"Shirley Frimpong-Manso")</f>
        <v>Shirley Frimpong-Manso</v>
      </c>
      <c r="V1315" s="5" t="s">
        <v>7746</v>
      </c>
      <c r="W1315" s="5" t="str">
        <f t="shared" si="3"/>
        <v>Fouad Al Shatti</v>
      </c>
      <c r="X1315" s="5">
        <f t="shared" si="4"/>
        <v>1</v>
      </c>
      <c r="Y1315" s="5" t="str">
        <f>IFERROR(__xludf.DUMMYFUNCTION("REGEXEXTRACT(J1315, ""^\d+"")"),"1")</f>
        <v>1</v>
      </c>
      <c r="Z1315" s="5" t="str">
        <f>IFERROR(__xludf.DUMMYFUNCTION("REGEXEXTRACT(J1315, ""[A-Za-z ]+$"")")," Season")</f>
        <v> Season</v>
      </c>
      <c r="AA1315" s="5" t="str">
        <f>IFERROR(__xludf.DUMMYFUNCTION("IF(REGEXMATCH(Z1315, ""Season""), ""TV Show"", ""Movie"")"),"TV Show")</f>
        <v>TV Show</v>
      </c>
    </row>
    <row r="1316">
      <c r="A1316" s="1" t="s">
        <v>7747</v>
      </c>
      <c r="B1316" s="1" t="s">
        <v>37</v>
      </c>
      <c r="C1316" s="1" t="s">
        <v>7748</v>
      </c>
      <c r="E1316" s="1" t="s">
        <v>7749</v>
      </c>
      <c r="F1316" s="1" t="s">
        <v>30</v>
      </c>
      <c r="G1316" s="1" t="s">
        <v>7744</v>
      </c>
      <c r="H1316" s="1">
        <v>2005.0</v>
      </c>
      <c r="I1316" s="1" t="s">
        <v>42</v>
      </c>
      <c r="J1316" s="1" t="s">
        <v>43</v>
      </c>
      <c r="K1316" s="1" t="s">
        <v>270</v>
      </c>
      <c r="L1316" s="1" t="s">
        <v>7750</v>
      </c>
      <c r="M1316" s="2" t="s">
        <v>12</v>
      </c>
      <c r="N1316" s="4">
        <f t="shared" si="1"/>
        <v>44239</v>
      </c>
      <c r="O1316" s="5" t="str">
        <f>IFERROR(__xludf.DUMMYFUNCTION("IF(REGEXMATCH(TRIM(I1316), ""^\d+\s*min""), ""Unclassified"", IF(I1316 = """", ""NR"", I1316))"),"TV-MA")</f>
        <v>TV-MA</v>
      </c>
      <c r="R1316" s="5" t="str">
        <f t="shared" si="2"/>
        <v>Chappelle'S Show</v>
      </c>
      <c r="S1316" s="5" t="str">
        <f>IFERROR(__xludf.DUMMYFUNCTION("""COMPUTED_VALUE"""),"Camarón Revolution")</f>
        <v>Camarón Revolution</v>
      </c>
      <c r="U1316" s="5" t="str">
        <f>IFERROR(__xludf.DUMMYFUNCTION("""COMPUTED_VALUE"""),"Fabio Ock, Joana Mazzucchelli")</f>
        <v>Fabio Ock, Joana Mazzucchelli</v>
      </c>
      <c r="V1316" s="5" t="s">
        <v>7751</v>
      </c>
      <c r="W1316" s="5" t="str">
        <f t="shared" si="3"/>
        <v>Fouad El-Mohandes</v>
      </c>
      <c r="X1316" s="5">
        <f t="shared" si="4"/>
        <v>1</v>
      </c>
      <c r="Y1316" s="5" t="str">
        <f>IFERROR(__xludf.DUMMYFUNCTION("REGEXEXTRACT(J1316, ""^\d+"")"),"2")</f>
        <v>2</v>
      </c>
      <c r="Z1316" s="5" t="str">
        <f>IFERROR(__xludf.DUMMYFUNCTION("REGEXEXTRACT(J1316, ""[A-Za-z ]+$"")")," Seasons")</f>
        <v> Seasons</v>
      </c>
      <c r="AA1316" s="5" t="str">
        <f>IFERROR(__xludf.DUMMYFUNCTION("IF(REGEXMATCH(Z1316, ""Season""), ""TV Show"", ""Movie"")"),"TV Show")</f>
        <v>TV Show</v>
      </c>
    </row>
    <row r="1317">
      <c r="A1317" s="1" t="s">
        <v>7752</v>
      </c>
      <c r="B1317" s="1" t="s">
        <v>27</v>
      </c>
      <c r="C1317" s="1" t="s">
        <v>7753</v>
      </c>
      <c r="D1317" s="1" t="s">
        <v>7754</v>
      </c>
      <c r="E1317" s="1" t="s">
        <v>7755</v>
      </c>
      <c r="F1317" s="1" t="s">
        <v>784</v>
      </c>
      <c r="G1317" s="1" t="s">
        <v>7744</v>
      </c>
      <c r="H1317" s="1">
        <v>2021.0</v>
      </c>
      <c r="I1317" s="1" t="s">
        <v>42</v>
      </c>
      <c r="J1317" s="1" t="s">
        <v>490</v>
      </c>
      <c r="K1317" s="1" t="s">
        <v>1839</v>
      </c>
      <c r="L1317" s="1" t="s">
        <v>7756</v>
      </c>
      <c r="M1317" s="2" t="s">
        <v>12</v>
      </c>
      <c r="N1317" s="4">
        <f t="shared" si="1"/>
        <v>44239</v>
      </c>
      <c r="O1317" s="5" t="str">
        <f>IFERROR(__xludf.DUMMYFUNCTION("IF(REGEXMATCH(TRIM(I1317), ""^\d+\s*min""), ""Unclassified"", IF(I1317 = """", ""NR"", I1317))"),"TV-MA")</f>
        <v>TV-MA</v>
      </c>
      <c r="R1317" s="5" t="str">
        <f t="shared" si="2"/>
        <v>Hate By Dani Rovira</v>
      </c>
      <c r="S1317" s="5" t="str">
        <f>IFERROR(__xludf.DUMMYFUNCTION("""COMPUTED_VALUE"""),"Camarón: The Film")</f>
        <v>Camarón: The Film</v>
      </c>
      <c r="U1317" s="5" t="str">
        <f>IFERROR(__xludf.DUMMYFUNCTION("""COMPUTED_VALUE"""),"Sabina Fedeli, Anna Migotto")</f>
        <v>Sabina Fedeli, Anna Migotto</v>
      </c>
      <c r="V1317" s="5" t="s">
        <v>7757</v>
      </c>
      <c r="W1317" s="5" t="str">
        <f t="shared" si="3"/>
        <v>Francesco Amato</v>
      </c>
      <c r="X1317" s="5">
        <f t="shared" si="4"/>
        <v>1</v>
      </c>
      <c r="Y1317" s="5" t="str">
        <f>IFERROR(__xludf.DUMMYFUNCTION("REGEXEXTRACT(J1317, ""^\d+"")"),"83")</f>
        <v>83</v>
      </c>
      <c r="Z1317" s="5" t="str">
        <f>IFERROR(__xludf.DUMMYFUNCTION("REGEXEXTRACT(J1317, ""[A-Za-z ]+$"")")," min")</f>
        <v> min</v>
      </c>
      <c r="AA1317" s="5" t="str">
        <f>IFERROR(__xludf.DUMMYFUNCTION("IF(REGEXMATCH(Z1317, ""Season""), ""TV Show"", ""Movie"")"),"Movie")</f>
        <v>Movie</v>
      </c>
    </row>
    <row r="1318">
      <c r="A1318" s="1" t="s">
        <v>7758</v>
      </c>
      <c r="B1318" s="1" t="s">
        <v>27</v>
      </c>
      <c r="C1318" s="1" t="s">
        <v>7759</v>
      </c>
      <c r="D1318" s="1" t="s">
        <v>7760</v>
      </c>
      <c r="E1318" s="1" t="s">
        <v>7761</v>
      </c>
      <c r="F1318" s="1" t="s">
        <v>63</v>
      </c>
      <c r="G1318" s="1" t="s">
        <v>7744</v>
      </c>
      <c r="H1318" s="1">
        <v>2019.0</v>
      </c>
      <c r="I1318" s="1" t="s">
        <v>42</v>
      </c>
      <c r="J1318" s="1" t="s">
        <v>106</v>
      </c>
      <c r="K1318" s="1" t="s">
        <v>679</v>
      </c>
      <c r="L1318" s="1" t="s">
        <v>7762</v>
      </c>
      <c r="M1318" s="2" t="s">
        <v>12</v>
      </c>
      <c r="N1318" s="4">
        <f t="shared" si="1"/>
        <v>44239</v>
      </c>
      <c r="O1318" s="5" t="str">
        <f>IFERROR(__xludf.DUMMYFUNCTION("IF(REGEXMATCH(TRIM(I1318), ""^\d+\s*min""), ""Unclassified"", IF(I1318 = """", ""NR"", I1318))"),"TV-MA")</f>
        <v>TV-MA</v>
      </c>
      <c r="R1318" s="5" t="str">
        <f t="shared" si="2"/>
        <v>Mundina Nildana</v>
      </c>
      <c r="S1318" s="5" t="str">
        <f>IFERROR(__xludf.DUMMYFUNCTION("""COMPUTED_VALUE"""),"Camelia La Texana")</f>
        <v>Camelia La Texana</v>
      </c>
      <c r="U1318" s="5" t="str">
        <f>IFERROR(__xludf.DUMMYFUNCTION("""COMPUTED_VALUE"""),"Kyran Kelly")</f>
        <v>Kyran Kelly</v>
      </c>
      <c r="V1318" s="5" t="s">
        <v>7763</v>
      </c>
      <c r="W1318" s="5" t="str">
        <f t="shared" si="3"/>
        <v>Francesco Carnesecchi</v>
      </c>
      <c r="X1318" s="5">
        <f t="shared" si="4"/>
        <v>1</v>
      </c>
      <c r="Y1318" s="5" t="str">
        <f>IFERROR(__xludf.DUMMYFUNCTION("REGEXEXTRACT(J1318, ""^\d+"")"),"104")</f>
        <v>104</v>
      </c>
      <c r="Z1318" s="5" t="str">
        <f>IFERROR(__xludf.DUMMYFUNCTION("REGEXEXTRACT(J1318, ""[A-Za-z ]+$"")")," min")</f>
        <v> min</v>
      </c>
      <c r="AA1318" s="5" t="str">
        <f>IFERROR(__xludf.DUMMYFUNCTION("IF(REGEXMATCH(Z1318, ""Season""), ""TV Show"", ""Movie"")"),"Movie")</f>
        <v>Movie</v>
      </c>
    </row>
    <row r="1319">
      <c r="A1319" s="1" t="s">
        <v>7764</v>
      </c>
      <c r="B1319" s="1" t="s">
        <v>37</v>
      </c>
      <c r="C1319" s="1" t="s">
        <v>7765</v>
      </c>
      <c r="E1319" s="1" t="s">
        <v>7766</v>
      </c>
      <c r="F1319" s="1" t="s">
        <v>96</v>
      </c>
      <c r="G1319" s="1" t="s">
        <v>7744</v>
      </c>
      <c r="H1319" s="1">
        <v>2021.0</v>
      </c>
      <c r="I1319" s="1" t="s">
        <v>506</v>
      </c>
      <c r="J1319" s="1" t="s">
        <v>51</v>
      </c>
      <c r="K1319" s="1" t="s">
        <v>2382</v>
      </c>
      <c r="L1319" s="1" t="s">
        <v>7767</v>
      </c>
      <c r="M1319" s="2" t="s">
        <v>12</v>
      </c>
      <c r="N1319" s="4">
        <f t="shared" si="1"/>
        <v>44239</v>
      </c>
      <c r="O1319" s="5" t="str">
        <f>IFERROR(__xludf.DUMMYFUNCTION("IF(REGEXMATCH(TRIM(I1319), ""^\d+\s*min""), ""Unclassified"", IF(I1319 = """", ""NR"", I1319))"),"TV-G")</f>
        <v>TV-G</v>
      </c>
      <c r="R1319" s="5" t="str">
        <f t="shared" si="2"/>
        <v>Nadiya Bakes</v>
      </c>
      <c r="S1319" s="5" t="str">
        <f>IFERROR(__xludf.DUMMYFUNCTION("""COMPUTED_VALUE"""),"Camellia Sisters")</f>
        <v>Camellia Sisters</v>
      </c>
      <c r="U1319" s="5" t="str">
        <f>IFERROR(__xludf.DUMMYFUNCTION("""COMPUTED_VALUE"""),"Salvador Calvo")</f>
        <v>Salvador Calvo</v>
      </c>
      <c r="V1319" s="5" t="s">
        <v>7768</v>
      </c>
      <c r="W1319" s="5" t="str">
        <f t="shared" si="3"/>
        <v>Francesco Carrozzini</v>
      </c>
      <c r="X1319" s="5">
        <f t="shared" si="4"/>
        <v>1</v>
      </c>
      <c r="Y1319" s="5" t="str">
        <f>IFERROR(__xludf.DUMMYFUNCTION("REGEXEXTRACT(J1319, ""^\d+"")"),"1")</f>
        <v>1</v>
      </c>
      <c r="Z1319" s="5" t="str">
        <f>IFERROR(__xludf.DUMMYFUNCTION("REGEXEXTRACT(J1319, ""[A-Za-z ]+$"")")," Season")</f>
        <v> Season</v>
      </c>
      <c r="AA1319" s="5" t="str">
        <f>IFERROR(__xludf.DUMMYFUNCTION("IF(REGEXMATCH(Z1319, ""Season""), ""TV Show"", ""Movie"")"),"TV Show")</f>
        <v>TV Show</v>
      </c>
    </row>
    <row r="1320">
      <c r="A1320" s="1" t="s">
        <v>7769</v>
      </c>
      <c r="B1320" s="1" t="s">
        <v>27</v>
      </c>
      <c r="C1320" s="1" t="s">
        <v>7770</v>
      </c>
      <c r="D1320" s="1" t="s">
        <v>7771</v>
      </c>
      <c r="E1320" s="1" t="s">
        <v>7772</v>
      </c>
      <c r="F1320" s="1" t="s">
        <v>30</v>
      </c>
      <c r="G1320" s="1" t="s">
        <v>7744</v>
      </c>
      <c r="H1320" s="1">
        <v>2021.0</v>
      </c>
      <c r="I1320" s="1" t="s">
        <v>97</v>
      </c>
      <c r="J1320" s="1" t="s">
        <v>349</v>
      </c>
      <c r="K1320" s="1" t="s">
        <v>813</v>
      </c>
      <c r="L1320" s="1" t="s">
        <v>7773</v>
      </c>
      <c r="M1320" s="2" t="s">
        <v>12</v>
      </c>
      <c r="N1320" s="4">
        <f t="shared" si="1"/>
        <v>44239</v>
      </c>
      <c r="O1320" s="5" t="str">
        <f>IFERROR(__xludf.DUMMYFUNCTION("IF(REGEXMATCH(TRIM(I1320), ""^\d+\s*min""), ""Unclassified"", IF(I1320 = """", ""NR"", I1320))"),"TV-14")</f>
        <v>TV-14</v>
      </c>
      <c r="R1320" s="5" t="str">
        <f t="shared" si="2"/>
        <v>To All The Boys: Always And Forever</v>
      </c>
      <c r="S1320" s="5" t="str">
        <f>IFERROR(__xludf.DUMMYFUNCTION("""COMPUTED_VALUE"""),"Camera Store")</f>
        <v>Camera Store</v>
      </c>
      <c r="U1320" s="5" t="str">
        <f>IFERROR(__xludf.DUMMYFUNCTION("""COMPUTED_VALUE"""),"Cem Yılmaz")</f>
        <v>Cem Yılmaz</v>
      </c>
      <c r="V1320" s="5" t="s">
        <v>7774</v>
      </c>
      <c r="W1320" s="5" t="str">
        <f t="shared" si="3"/>
        <v>Francesco Imperato</v>
      </c>
      <c r="X1320" s="5">
        <f t="shared" si="4"/>
        <v>2</v>
      </c>
      <c r="Y1320" s="5" t="str">
        <f>IFERROR(__xludf.DUMMYFUNCTION("REGEXEXTRACT(J1320, ""^\d+"")"),"116")</f>
        <v>116</v>
      </c>
      <c r="Z1320" s="5" t="str">
        <f>IFERROR(__xludf.DUMMYFUNCTION("REGEXEXTRACT(J1320, ""[A-Za-z ]+$"")")," min")</f>
        <v> min</v>
      </c>
      <c r="AA1320" s="5" t="str">
        <f>IFERROR(__xludf.DUMMYFUNCTION("IF(REGEXMATCH(Z1320, ""Season""), ""TV Show"", ""Movie"")"),"Movie")</f>
        <v>Movie</v>
      </c>
    </row>
    <row r="1321">
      <c r="A1321" s="1" t="s">
        <v>7775</v>
      </c>
      <c r="B1321" s="1" t="s">
        <v>27</v>
      </c>
      <c r="C1321" s="1" t="s">
        <v>7776</v>
      </c>
      <c r="D1321" s="1" t="s">
        <v>7140</v>
      </c>
      <c r="E1321" s="1" t="s">
        <v>7777</v>
      </c>
      <c r="F1321" s="1" t="s">
        <v>162</v>
      </c>
      <c r="G1321" s="1" t="s">
        <v>7744</v>
      </c>
      <c r="H1321" s="1">
        <v>2021.0</v>
      </c>
      <c r="I1321" s="1" t="s">
        <v>289</v>
      </c>
      <c r="J1321" s="1" t="s">
        <v>630</v>
      </c>
      <c r="K1321" s="1" t="s">
        <v>80</v>
      </c>
      <c r="L1321" s="1" t="s">
        <v>7778</v>
      </c>
      <c r="M1321" s="2" t="s">
        <v>12</v>
      </c>
      <c r="N1321" s="4">
        <f t="shared" si="1"/>
        <v>44239</v>
      </c>
      <c r="O1321" s="5" t="str">
        <f>IFERROR(__xludf.DUMMYFUNCTION("IF(REGEXMATCH(TRIM(I1321), ""^\d+\s*min""), ""Unclassified"", IF(I1321 = """", ""NR"", I1321))"),"TV-Y7")</f>
        <v>TV-Y7</v>
      </c>
      <c r="R1321" s="5" t="str">
        <f t="shared" si="2"/>
        <v>Xico'S Journey</v>
      </c>
      <c r="S1321" s="5" t="str">
        <f>IFERROR(__xludf.DUMMYFUNCTION("""COMPUTED_VALUE"""),"Camp Cool Kids")</f>
        <v>Camp Cool Kids</v>
      </c>
      <c r="U1321" s="5" t="str">
        <f>IFERROR(__xludf.DUMMYFUNCTION("""COMPUTED_VALUE"""),"Bruce Beresford")</f>
        <v>Bruce Beresford</v>
      </c>
      <c r="V1321" s="5" t="s">
        <v>7779</v>
      </c>
      <c r="W1321" s="5" t="str">
        <f t="shared" si="3"/>
        <v>Francesco Lettieri</v>
      </c>
      <c r="X1321" s="5">
        <f t="shared" si="4"/>
        <v>1</v>
      </c>
      <c r="Y1321" s="5" t="str">
        <f>IFERROR(__xludf.DUMMYFUNCTION("REGEXEXTRACT(J1321, ""^\d+"")"),"87")</f>
        <v>87</v>
      </c>
      <c r="Z1321" s="5" t="str">
        <f>IFERROR(__xludf.DUMMYFUNCTION("REGEXEXTRACT(J1321, ""[A-Za-z ]+$"")")," min")</f>
        <v> min</v>
      </c>
      <c r="AA1321" s="5" t="str">
        <f>IFERROR(__xludf.DUMMYFUNCTION("IF(REGEXMATCH(Z1321, ""Season""), ""TV Show"", ""Movie"")"),"Movie")</f>
        <v>Movie</v>
      </c>
    </row>
    <row r="1322">
      <c r="A1322" s="1" t="s">
        <v>7780</v>
      </c>
      <c r="B1322" s="1" t="s">
        <v>37</v>
      </c>
      <c r="C1322" s="1" t="s">
        <v>7781</v>
      </c>
      <c r="E1322" s="1" t="s">
        <v>7782</v>
      </c>
      <c r="F1322" s="1" t="s">
        <v>7783</v>
      </c>
      <c r="G1322" s="1" t="s">
        <v>7784</v>
      </c>
      <c r="H1322" s="1">
        <v>2019.0</v>
      </c>
      <c r="I1322" s="1" t="s">
        <v>42</v>
      </c>
      <c r="J1322" s="1" t="s">
        <v>51</v>
      </c>
      <c r="K1322" s="1" t="s">
        <v>1362</v>
      </c>
      <c r="L1322" s="1" t="s">
        <v>7785</v>
      </c>
      <c r="M1322" s="2" t="s">
        <v>12</v>
      </c>
      <c r="N1322" s="4">
        <f t="shared" si="1"/>
        <v>44238</v>
      </c>
      <c r="O1322" s="5" t="str">
        <f>IFERROR(__xludf.DUMMYFUNCTION("IF(REGEXMATCH(TRIM(I1322), ""^\d+\s*min""), ""Unclassified"", IF(I1322 = """", ""NR"", I1322))"),"TV-MA")</f>
        <v>TV-MA</v>
      </c>
      <c r="R1322" s="5" t="str">
        <f t="shared" si="2"/>
        <v>Capitani</v>
      </c>
      <c r="S1322" s="5" t="str">
        <f>IFERROR(__xludf.DUMMYFUNCTION("""COMPUTED_VALUE"""),"Camp X")</f>
        <v>Camp X</v>
      </c>
      <c r="U1322" s="5" t="str">
        <f>IFERROR(__xludf.DUMMYFUNCTION("""COMPUTED_VALUE"""),"Michael Duggan")</f>
        <v>Michael Duggan</v>
      </c>
      <c r="V1322" s="5" t="s">
        <v>4385</v>
      </c>
      <c r="W1322" s="5" t="str">
        <f t="shared" si="3"/>
        <v>Francine Parker</v>
      </c>
      <c r="X1322" s="5">
        <f t="shared" si="4"/>
        <v>1</v>
      </c>
      <c r="Y1322" s="5" t="str">
        <f>IFERROR(__xludf.DUMMYFUNCTION("REGEXEXTRACT(J1322, ""^\d+"")"),"1")</f>
        <v>1</v>
      </c>
      <c r="Z1322" s="5" t="str">
        <f>IFERROR(__xludf.DUMMYFUNCTION("REGEXEXTRACT(J1322, ""[A-Za-z ]+$"")")," Season")</f>
        <v> Season</v>
      </c>
      <c r="AA1322" s="5" t="str">
        <f>IFERROR(__xludf.DUMMYFUNCTION("IF(REGEXMATCH(Z1322, ""Season""), ""TV Show"", ""Movie"")"),"TV Show")</f>
        <v>TV Show</v>
      </c>
    </row>
    <row r="1323">
      <c r="A1323" s="1" t="s">
        <v>7786</v>
      </c>
      <c r="B1323" s="1" t="s">
        <v>37</v>
      </c>
      <c r="C1323" s="1" t="s">
        <v>7787</v>
      </c>
      <c r="E1323" s="1" t="s">
        <v>7788</v>
      </c>
      <c r="F1323" s="1" t="s">
        <v>162</v>
      </c>
      <c r="G1323" s="1" t="s">
        <v>7784</v>
      </c>
      <c r="H1323" s="1">
        <v>2016.0</v>
      </c>
      <c r="I1323" s="1" t="s">
        <v>42</v>
      </c>
      <c r="J1323" s="1" t="s">
        <v>51</v>
      </c>
      <c r="K1323" s="1" t="s">
        <v>7789</v>
      </c>
      <c r="L1323" s="1" t="s">
        <v>7790</v>
      </c>
      <c r="M1323" s="2" t="s">
        <v>12</v>
      </c>
      <c r="N1323" s="4">
        <f t="shared" si="1"/>
        <v>44238</v>
      </c>
      <c r="O1323" s="5" t="str">
        <f>IFERROR(__xludf.DUMMYFUNCTION("IF(REGEXMATCH(TRIM(I1323), ""^\d+\s*min""), ""Unclassified"", IF(I1323 = """", ""NR"", I1323))"),"TV-MA")</f>
        <v>TV-MA</v>
      </c>
      <c r="R1323" s="5" t="str">
        <f t="shared" si="2"/>
        <v>El Chema</v>
      </c>
      <c r="S1323" s="5" t="str">
        <f>IFERROR(__xludf.DUMMYFUNCTION("""COMPUTED_VALUE"""),"Camp X-Ray")</f>
        <v>Camp X-Ray</v>
      </c>
      <c r="U1323" s="5" t="str">
        <f>IFERROR(__xludf.DUMMYFUNCTION("""COMPUTED_VALUE"""),"Almudena Carracedo, Robert Bahar")</f>
        <v>Almudena Carracedo, Robert Bahar</v>
      </c>
      <c r="V1323" s="5" t="s">
        <v>7791</v>
      </c>
      <c r="W1323" s="5" t="str">
        <f t="shared" si="3"/>
        <v>Francis Ford Coppola</v>
      </c>
      <c r="X1323" s="5">
        <f t="shared" si="4"/>
        <v>1</v>
      </c>
      <c r="Y1323" s="5" t="str">
        <f>IFERROR(__xludf.DUMMYFUNCTION("REGEXEXTRACT(J1323, ""^\d+"")"),"1")</f>
        <v>1</v>
      </c>
      <c r="Z1323" s="5" t="str">
        <f>IFERROR(__xludf.DUMMYFUNCTION("REGEXEXTRACT(J1323, ""[A-Za-z ]+$"")")," Season")</f>
        <v> Season</v>
      </c>
      <c r="AA1323" s="5" t="str">
        <f>IFERROR(__xludf.DUMMYFUNCTION("IF(REGEXMATCH(Z1323, ""Season""), ""TV Show"", ""Movie"")"),"TV Show")</f>
        <v>TV Show</v>
      </c>
    </row>
    <row r="1324">
      <c r="A1324" s="1" t="s">
        <v>7792</v>
      </c>
      <c r="B1324" s="1" t="s">
        <v>27</v>
      </c>
      <c r="C1324" s="1" t="s">
        <v>7793</v>
      </c>
      <c r="D1324" s="1" t="s">
        <v>5033</v>
      </c>
      <c r="E1324" s="1" t="s">
        <v>7794</v>
      </c>
      <c r="F1324" s="1" t="s">
        <v>784</v>
      </c>
      <c r="G1324" s="1" t="s">
        <v>7784</v>
      </c>
      <c r="H1324" s="1">
        <v>2018.0</v>
      </c>
      <c r="I1324" s="1" t="s">
        <v>97</v>
      </c>
      <c r="J1324" s="1" t="s">
        <v>79</v>
      </c>
      <c r="K1324" s="1" t="s">
        <v>583</v>
      </c>
      <c r="L1324" s="1" t="s">
        <v>7795</v>
      </c>
      <c r="M1324" s="2" t="s">
        <v>12</v>
      </c>
      <c r="N1324" s="4">
        <f t="shared" si="1"/>
        <v>44238</v>
      </c>
      <c r="O1324" s="5" t="str">
        <f>IFERROR(__xludf.DUMMYFUNCTION("IF(REGEXMATCH(TRIM(I1324), ""^\d+\s*min""), ""Unclassified"", IF(I1324 = """", ""NR"", I1324))"),"TV-14")</f>
        <v>TV-14</v>
      </c>
      <c r="R1324" s="5" t="str">
        <f t="shared" si="2"/>
        <v>Growing Up And Other Problems</v>
      </c>
      <c r="S1324" s="5" t="str">
        <f>IFERROR(__xludf.DUMMYFUNCTION("""COMPUTED_VALUE"""),"Can We Get Married?")</f>
        <v>Can We Get Married?</v>
      </c>
      <c r="U1324" s="5" t="str">
        <f>IFERROR(__xludf.DUMMYFUNCTION("""COMPUTED_VALUE"""),"Paul Verhoeven")</f>
        <v>Paul Verhoeven</v>
      </c>
      <c r="V1324" s="5" t="s">
        <v>7796</v>
      </c>
      <c r="W1324" s="5" t="str">
        <f t="shared" si="3"/>
        <v>Francis Lee</v>
      </c>
      <c r="X1324" s="5">
        <f t="shared" si="4"/>
        <v>1</v>
      </c>
      <c r="Y1324" s="5" t="str">
        <f>IFERROR(__xludf.DUMMYFUNCTION("REGEXEXTRACT(J1324, ""^\d+"")"),"91")</f>
        <v>91</v>
      </c>
      <c r="Z1324" s="5" t="str">
        <f>IFERROR(__xludf.DUMMYFUNCTION("REGEXEXTRACT(J1324, ""[A-Za-z ]+$"")")," min")</f>
        <v> min</v>
      </c>
      <c r="AA1324" s="5" t="str">
        <f>IFERROR(__xludf.DUMMYFUNCTION("IF(REGEXMATCH(Z1324, ""Season""), ""TV Show"", ""Movie"")"),"Movie")</f>
        <v>Movie</v>
      </c>
    </row>
    <row r="1325">
      <c r="A1325" s="1" t="s">
        <v>7797</v>
      </c>
      <c r="B1325" s="1" t="s">
        <v>27</v>
      </c>
      <c r="C1325" s="1" t="s">
        <v>7798</v>
      </c>
      <c r="D1325" s="1" t="s">
        <v>7799</v>
      </c>
      <c r="E1325" s="1" t="s">
        <v>7800</v>
      </c>
      <c r="F1325" s="1" t="s">
        <v>2873</v>
      </c>
      <c r="G1325" s="1" t="s">
        <v>7784</v>
      </c>
      <c r="H1325" s="1">
        <v>2020.0</v>
      </c>
      <c r="I1325" s="1" t="s">
        <v>97</v>
      </c>
      <c r="J1325" s="1" t="s">
        <v>804</v>
      </c>
      <c r="K1325" s="1" t="s">
        <v>679</v>
      </c>
      <c r="L1325" s="1" t="s">
        <v>7801</v>
      </c>
      <c r="M1325" s="2" t="s">
        <v>12</v>
      </c>
      <c r="N1325" s="4">
        <f t="shared" si="1"/>
        <v>44238</v>
      </c>
      <c r="O1325" s="5" t="str">
        <f>IFERROR(__xludf.DUMMYFUNCTION("IF(REGEXMATCH(TRIM(I1325), ""^\d+\s*min""), ""Unclassified"", IF(I1325 = """", ""NR"", I1325))"),"TV-14")</f>
        <v>TV-14</v>
      </c>
      <c r="R1325" s="5" t="str">
        <f t="shared" si="2"/>
        <v>Layla Majnun</v>
      </c>
      <c r="S1325" s="5" t="str">
        <f>IFERROR(__xludf.DUMMYFUNCTION("""COMPUTED_VALUE"""),"Can You Hear Me?")</f>
        <v>Can You Hear Me?</v>
      </c>
      <c r="U1325" s="5" t="str">
        <f>IFERROR(__xludf.DUMMYFUNCTION("""COMPUTED_VALUE"""),"Younuts!")</f>
        <v>Younuts!</v>
      </c>
      <c r="V1325" s="5" t="s">
        <v>7802</v>
      </c>
      <c r="W1325" s="5" t="str">
        <f t="shared" si="3"/>
        <v>Francis Whately</v>
      </c>
      <c r="X1325" s="5">
        <f t="shared" si="4"/>
        <v>1</v>
      </c>
      <c r="Y1325" s="5" t="str">
        <f>IFERROR(__xludf.DUMMYFUNCTION("REGEXEXTRACT(J1325, ""^\d+"")"),"119")</f>
        <v>119</v>
      </c>
      <c r="Z1325" s="5" t="str">
        <f>IFERROR(__xludf.DUMMYFUNCTION("REGEXEXTRACT(J1325, ""[A-Za-z ]+$"")")," min")</f>
        <v> min</v>
      </c>
      <c r="AA1325" s="5" t="str">
        <f>IFERROR(__xludf.DUMMYFUNCTION("IF(REGEXMATCH(Z1325, ""Season""), ""TV Show"", ""Movie"")"),"Movie")</f>
        <v>Movie</v>
      </c>
    </row>
    <row r="1326">
      <c r="A1326" s="1" t="s">
        <v>7803</v>
      </c>
      <c r="B1326" s="1" t="s">
        <v>27</v>
      </c>
      <c r="C1326" s="1" t="s">
        <v>7804</v>
      </c>
      <c r="D1326" s="1" t="s">
        <v>7805</v>
      </c>
      <c r="E1326" s="1" t="s">
        <v>7806</v>
      </c>
      <c r="F1326" s="1" t="s">
        <v>30</v>
      </c>
      <c r="G1326" s="1" t="s">
        <v>7784</v>
      </c>
      <c r="H1326" s="1">
        <v>2012.0</v>
      </c>
      <c r="I1326" s="1" t="s">
        <v>378</v>
      </c>
      <c r="J1326" s="1" t="s">
        <v>447</v>
      </c>
      <c r="K1326" s="1" t="s">
        <v>1538</v>
      </c>
      <c r="L1326" s="1" t="s">
        <v>7807</v>
      </c>
      <c r="M1326" s="2" t="s">
        <v>12</v>
      </c>
      <c r="N1326" s="4">
        <f t="shared" si="1"/>
        <v>44238</v>
      </c>
      <c r="O1326" s="5" t="str">
        <f>IFERROR(__xludf.DUMMYFUNCTION("IF(REGEXMATCH(TRIM(I1326), ""^\d+\s*min""), ""Unclassified"", IF(I1326 = """", ""NR"", I1326))"),"R")</f>
        <v>R</v>
      </c>
      <c r="R1326" s="5" t="str">
        <f t="shared" si="2"/>
        <v>Middle Of Nowhere</v>
      </c>
      <c r="S1326" s="5" t="str">
        <f>IFERROR(__xludf.DUMMYFUNCTION("""COMPUTED_VALUE"""),"Can’T Complain")</f>
        <v>Can’T Complain</v>
      </c>
      <c r="U1326" s="5" t="str">
        <f>IFERROR(__xludf.DUMMYFUNCTION("""COMPUTED_VALUE"""),"Obi Emelonye")</f>
        <v>Obi Emelonye</v>
      </c>
      <c r="V1326" s="5" t="s">
        <v>7808</v>
      </c>
      <c r="W1326" s="5" t="str">
        <f t="shared" si="3"/>
        <v>Francisco D'Eufemia</v>
      </c>
      <c r="X1326" s="5">
        <f t="shared" si="4"/>
        <v>1</v>
      </c>
      <c r="Y1326" s="5" t="str">
        <f>IFERROR(__xludf.DUMMYFUNCTION("REGEXEXTRACT(J1326, ""^\d+"")"),"102")</f>
        <v>102</v>
      </c>
      <c r="Z1326" s="5" t="str">
        <f>IFERROR(__xludf.DUMMYFUNCTION("REGEXEXTRACT(J1326, ""[A-Za-z ]+$"")")," min")</f>
        <v> min</v>
      </c>
      <c r="AA1326" s="5" t="str">
        <f>IFERROR(__xludf.DUMMYFUNCTION("IF(REGEXMATCH(Z1326, ""Season""), ""TV Show"", ""Movie"")"),"Movie")</f>
        <v>Movie</v>
      </c>
    </row>
    <row r="1327">
      <c r="A1327" s="1" t="s">
        <v>7809</v>
      </c>
      <c r="B1327" s="1" t="s">
        <v>27</v>
      </c>
      <c r="C1327" s="1" t="s">
        <v>7810</v>
      </c>
      <c r="D1327" s="1" t="s">
        <v>849</v>
      </c>
      <c r="E1327" s="1" t="s">
        <v>7811</v>
      </c>
      <c r="F1327" s="1" t="s">
        <v>3834</v>
      </c>
      <c r="G1327" s="1" t="s">
        <v>7784</v>
      </c>
      <c r="H1327" s="1">
        <v>2021.0</v>
      </c>
      <c r="I1327" s="1" t="s">
        <v>42</v>
      </c>
      <c r="J1327" s="1" t="s">
        <v>1144</v>
      </c>
      <c r="K1327" s="1" t="s">
        <v>631</v>
      </c>
      <c r="L1327" s="1" t="s">
        <v>7812</v>
      </c>
      <c r="M1327" s="2" t="s">
        <v>12</v>
      </c>
      <c r="N1327" s="4">
        <f t="shared" si="1"/>
        <v>44238</v>
      </c>
      <c r="O1327" s="5" t="str">
        <f>IFERROR(__xludf.DUMMYFUNCTION("IF(REGEXMATCH(TRIM(I1327), ""^\d+\s*min""), ""Unclassified"", IF(I1327 = """", ""NR"", I1327))"),"TV-MA")</f>
        <v>TV-MA</v>
      </c>
      <c r="R1327" s="5" t="str">
        <f t="shared" si="2"/>
        <v>Red Dot</v>
      </c>
      <c r="S1327" s="5" t="str">
        <f>IFERROR(__xludf.DUMMYFUNCTION("""COMPUTED_VALUE"""),"Can'T Cope, Won'T Cope")</f>
        <v>Can'T Cope, Won'T Cope</v>
      </c>
      <c r="U1327" s="5" t="str">
        <f>IFERROR(__xludf.DUMMYFUNCTION("""COMPUTED_VALUE"""),"Daniel Effiong")</f>
        <v>Daniel Effiong</v>
      </c>
      <c r="V1327" s="5" t="s">
        <v>7813</v>
      </c>
      <c r="W1327" s="5" t="str">
        <f t="shared" si="3"/>
        <v>Francisco Macri</v>
      </c>
      <c r="X1327" s="5">
        <f t="shared" si="4"/>
        <v>1</v>
      </c>
      <c r="Y1327" s="5" t="str">
        <f>IFERROR(__xludf.DUMMYFUNCTION("REGEXEXTRACT(J1327, ""^\d+"")"),"86")</f>
        <v>86</v>
      </c>
      <c r="Z1327" s="5" t="str">
        <f>IFERROR(__xludf.DUMMYFUNCTION("REGEXEXTRACT(J1327, ""[A-Za-z ]+$"")")," min")</f>
        <v> min</v>
      </c>
      <c r="AA1327" s="5" t="str">
        <f>IFERROR(__xludf.DUMMYFUNCTION("IF(REGEXMATCH(Z1327, ""Season""), ""TV Show"", ""Movie"")"),"Movie")</f>
        <v>Movie</v>
      </c>
    </row>
    <row r="1328">
      <c r="A1328" s="1" t="s">
        <v>7814</v>
      </c>
      <c r="B1328" s="1" t="s">
        <v>27</v>
      </c>
      <c r="C1328" s="1" t="s">
        <v>7815</v>
      </c>
      <c r="D1328" s="1" t="s">
        <v>7690</v>
      </c>
      <c r="E1328" s="1" t="s">
        <v>7816</v>
      </c>
      <c r="F1328" s="1" t="s">
        <v>2446</v>
      </c>
      <c r="G1328" s="1" t="s">
        <v>7784</v>
      </c>
      <c r="H1328" s="1">
        <v>2021.0</v>
      </c>
      <c r="I1328" s="1" t="s">
        <v>97</v>
      </c>
      <c r="J1328" s="1" t="s">
        <v>447</v>
      </c>
      <c r="K1328" s="1" t="s">
        <v>215</v>
      </c>
      <c r="L1328" s="1" t="s">
        <v>7817</v>
      </c>
      <c r="M1328" s="2" t="s">
        <v>12</v>
      </c>
      <c r="N1328" s="4">
        <f t="shared" si="1"/>
        <v>44238</v>
      </c>
      <c r="O1328" s="5" t="str">
        <f>IFERROR(__xludf.DUMMYFUNCTION("IF(REGEXMATCH(TRIM(I1328), ""^\d+\s*min""), ""Unclassified"", IF(I1328 = """", ""NR"", I1328))"),"TV-14")</f>
        <v>TV-14</v>
      </c>
      <c r="R1328" s="5" t="str">
        <f t="shared" si="2"/>
        <v>Squared Love</v>
      </c>
      <c r="S1328" s="5" t="str">
        <f>IFERROR(__xludf.DUMMYFUNCTION("""COMPUTED_VALUE"""),"Can'T Hardly Wait")</f>
        <v>Can'T Hardly Wait</v>
      </c>
      <c r="U1328" s="5" t="str">
        <f>IFERROR(__xludf.DUMMYFUNCTION("""COMPUTED_VALUE"""),"Abhijit Panse")</f>
        <v>Abhijit Panse</v>
      </c>
      <c r="V1328" s="5" t="s">
        <v>7818</v>
      </c>
      <c r="W1328" s="5" t="str">
        <f t="shared" si="3"/>
        <v>Franck Nataf</v>
      </c>
      <c r="X1328" s="5">
        <f t="shared" si="4"/>
        <v>1</v>
      </c>
      <c r="Y1328" s="5" t="str">
        <f>IFERROR(__xludf.DUMMYFUNCTION("REGEXEXTRACT(J1328, ""^\d+"")"),"102")</f>
        <v>102</v>
      </c>
      <c r="Z1328" s="5" t="str">
        <f>IFERROR(__xludf.DUMMYFUNCTION("REGEXEXTRACT(J1328, ""[A-Za-z ]+$"")")," min")</f>
        <v> min</v>
      </c>
      <c r="AA1328" s="5" t="str">
        <f>IFERROR(__xludf.DUMMYFUNCTION("IF(REGEXMATCH(Z1328, ""Season""), ""TV Show"", ""Movie"")"),"Movie")</f>
        <v>Movie</v>
      </c>
    </row>
    <row r="1329">
      <c r="A1329" s="1" t="s">
        <v>7819</v>
      </c>
      <c r="B1329" s="1" t="s">
        <v>27</v>
      </c>
      <c r="C1329" s="1" t="s">
        <v>7820</v>
      </c>
      <c r="D1329" s="1" t="s">
        <v>7805</v>
      </c>
      <c r="E1329" s="1" t="s">
        <v>7821</v>
      </c>
      <c r="F1329" s="1" t="s">
        <v>30</v>
      </c>
      <c r="G1329" s="1" t="s">
        <v>7784</v>
      </c>
      <c r="H1329" s="1">
        <v>2008.0</v>
      </c>
      <c r="I1329" s="1" t="s">
        <v>42</v>
      </c>
      <c r="J1329" s="1" t="s">
        <v>357</v>
      </c>
      <c r="K1329" s="1" t="s">
        <v>700</v>
      </c>
      <c r="L1329" s="1" t="s">
        <v>7822</v>
      </c>
      <c r="M1329" s="2" t="s">
        <v>12</v>
      </c>
      <c r="N1329" s="4">
        <f t="shared" si="1"/>
        <v>44238</v>
      </c>
      <c r="O1329" s="5" t="str">
        <f>IFERROR(__xludf.DUMMYFUNCTION("IF(REGEXMATCH(TRIM(I1329), ""^\d+\s*min""), ""Unclassified"", IF(I1329 = """", ""NR"", I1329))"),"TV-MA")</f>
        <v>TV-MA</v>
      </c>
      <c r="R1329" s="5" t="str">
        <f t="shared" si="2"/>
        <v>This Is The Life</v>
      </c>
      <c r="S1329" s="5" t="str">
        <f>IFERROR(__xludf.DUMMYFUNCTION("""COMPUTED_VALUE"""),"Can'T Help Falling In Love")</f>
        <v>Can'T Help Falling In Love</v>
      </c>
      <c r="U1329" s="5" t="str">
        <f>IFERROR(__xludf.DUMMYFUNCTION("""COMPUTED_VALUE"""),"Rachel Griffiths")</f>
        <v>Rachel Griffiths</v>
      </c>
      <c r="V1329" s="5" t="s">
        <v>7823</v>
      </c>
      <c r="W1329" s="5" t="str">
        <f t="shared" si="3"/>
        <v>Franck Phelizon</v>
      </c>
      <c r="X1329" s="5">
        <f t="shared" si="4"/>
        <v>1</v>
      </c>
      <c r="Y1329" s="5" t="str">
        <f>IFERROR(__xludf.DUMMYFUNCTION("REGEXEXTRACT(J1329, ""^\d+"")"),"98")</f>
        <v>98</v>
      </c>
      <c r="Z1329" s="5" t="str">
        <f>IFERROR(__xludf.DUMMYFUNCTION("REGEXEXTRACT(J1329, ""[A-Za-z ]+$"")")," min")</f>
        <v> min</v>
      </c>
      <c r="AA1329" s="5" t="str">
        <f>IFERROR(__xludf.DUMMYFUNCTION("IF(REGEXMATCH(Z1329, ""Season""), ""TV Show"", ""Movie"")"),"Movie")</f>
        <v>Movie</v>
      </c>
    </row>
    <row r="1330">
      <c r="A1330" s="1" t="s">
        <v>7824</v>
      </c>
      <c r="B1330" s="1" t="s">
        <v>37</v>
      </c>
      <c r="C1330" s="1" t="s">
        <v>7825</v>
      </c>
      <c r="D1330" s="1" t="s">
        <v>7826</v>
      </c>
      <c r="F1330" s="1" t="s">
        <v>30</v>
      </c>
      <c r="G1330" s="1" t="s">
        <v>7827</v>
      </c>
      <c r="H1330" s="1">
        <v>2021.0</v>
      </c>
      <c r="I1330" s="1" t="s">
        <v>42</v>
      </c>
      <c r="J1330" s="1" t="s">
        <v>51</v>
      </c>
      <c r="K1330" s="1" t="s">
        <v>2043</v>
      </c>
      <c r="L1330" s="1" t="s">
        <v>7828</v>
      </c>
      <c r="M1330" s="2" t="s">
        <v>12</v>
      </c>
      <c r="N1330" s="4">
        <f t="shared" si="1"/>
        <v>44237</v>
      </c>
      <c r="O1330" s="5" t="str">
        <f>IFERROR(__xludf.DUMMYFUNCTION("IF(REGEXMATCH(TRIM(I1330), ""^\d+\s*min""), ""Unclassified"", IF(I1330 = """", ""NR"", I1330))"),"TV-MA")</f>
        <v>TV-MA</v>
      </c>
      <c r="R1330" s="5" t="str">
        <f t="shared" si="2"/>
        <v>Crime Scene: The Vanishing At The Cecil Hotel</v>
      </c>
      <c r="S1330" s="5" t="str">
        <f>IFERROR(__xludf.DUMMYFUNCTION("""COMPUTED_VALUE"""),"Candy Jar")</f>
        <v>Candy Jar</v>
      </c>
      <c r="U1330" s="5" t="str">
        <f>IFERROR(__xludf.DUMMYFUNCTION("""COMPUTED_VALUE"""),"David Dobkin")</f>
        <v>David Dobkin</v>
      </c>
      <c r="V1330" s="5" t="s">
        <v>7829</v>
      </c>
      <c r="W1330" s="5" t="str">
        <f t="shared" si="3"/>
        <v>Franck Ribière</v>
      </c>
      <c r="X1330" s="5">
        <f t="shared" si="4"/>
        <v>1</v>
      </c>
      <c r="Y1330" s="5" t="str">
        <f>IFERROR(__xludf.DUMMYFUNCTION("REGEXEXTRACT(J1330, ""^\d+"")"),"1")</f>
        <v>1</v>
      </c>
      <c r="Z1330" s="5" t="str">
        <f>IFERROR(__xludf.DUMMYFUNCTION("REGEXEXTRACT(J1330, ""[A-Za-z ]+$"")")," Season")</f>
        <v> Season</v>
      </c>
      <c r="AA1330" s="5" t="str">
        <f>IFERROR(__xludf.DUMMYFUNCTION("IF(REGEXMATCH(Z1330, ""Season""), ""TV Show"", ""Movie"")"),"TV Show")</f>
        <v>TV Show</v>
      </c>
    </row>
    <row r="1331">
      <c r="A1331" s="1" t="s">
        <v>7830</v>
      </c>
      <c r="B1331" s="1" t="s">
        <v>27</v>
      </c>
      <c r="C1331" s="1" t="s">
        <v>7831</v>
      </c>
      <c r="D1331" s="1" t="s">
        <v>7832</v>
      </c>
      <c r="E1331" s="1" t="s">
        <v>7833</v>
      </c>
      <c r="F1331" s="1" t="s">
        <v>664</v>
      </c>
      <c r="G1331" s="1" t="s">
        <v>7827</v>
      </c>
      <c r="H1331" s="1">
        <v>2021.0</v>
      </c>
      <c r="I1331" s="1" t="s">
        <v>42</v>
      </c>
      <c r="J1331" s="1" t="s">
        <v>416</v>
      </c>
      <c r="K1331" s="1" t="s">
        <v>199</v>
      </c>
      <c r="L1331" s="1" t="s">
        <v>7834</v>
      </c>
      <c r="M1331" s="2" t="s">
        <v>12</v>
      </c>
      <c r="N1331" s="4">
        <f t="shared" si="1"/>
        <v>44237</v>
      </c>
      <c r="O1331" s="5" t="str">
        <f>IFERROR(__xludf.DUMMYFUNCTION("IF(REGEXMATCH(TRIM(I1331), ""^\d+\s*min""), ""Unclassified"", IF(I1331 = """", ""NR"", I1331))"),"TV-MA")</f>
        <v>TV-MA</v>
      </c>
      <c r="R1331" s="5" t="str">
        <f t="shared" si="2"/>
        <v>The Misadventures Of Hedi And Cokeman</v>
      </c>
      <c r="S1331" s="5" t="str">
        <f>IFERROR(__xludf.DUMMYFUNCTION("""COMPUTED_VALUE"""),"Candy Online")</f>
        <v>Candy Online</v>
      </c>
      <c r="U1331" s="5" t="str">
        <f>IFERROR(__xludf.DUMMYFUNCTION("""COMPUTED_VALUE"""),"Oluseyi Asurf")</f>
        <v>Oluseyi Asurf</v>
      </c>
      <c r="V1331" s="5" t="s">
        <v>7835</v>
      </c>
      <c r="W1331" s="5" t="str">
        <f t="shared" si="3"/>
        <v>Frank Ariza</v>
      </c>
      <c r="X1331" s="5">
        <f t="shared" si="4"/>
        <v>1</v>
      </c>
      <c r="Y1331" s="5" t="str">
        <f>IFERROR(__xludf.DUMMYFUNCTION("REGEXEXTRACT(J1331, ""^\d+"")"),"99")</f>
        <v>99</v>
      </c>
      <c r="Z1331" s="5" t="str">
        <f>IFERROR(__xludf.DUMMYFUNCTION("REGEXEXTRACT(J1331, ""[A-Za-z ]+$"")")," min")</f>
        <v> min</v>
      </c>
      <c r="AA1331" s="5" t="str">
        <f>IFERROR(__xludf.DUMMYFUNCTION("IF(REGEXMATCH(Z1331, ""Season""), ""TV Show"", ""Movie"")"),"Movie")</f>
        <v>Movie</v>
      </c>
    </row>
    <row r="1332">
      <c r="A1332" s="1" t="s">
        <v>7836</v>
      </c>
      <c r="B1332" s="1" t="s">
        <v>27</v>
      </c>
      <c r="C1332" s="1" t="s">
        <v>7837</v>
      </c>
      <c r="D1332" s="1" t="s">
        <v>3756</v>
      </c>
      <c r="E1332" s="1" t="s">
        <v>7838</v>
      </c>
      <c r="F1332" s="1" t="s">
        <v>30</v>
      </c>
      <c r="G1332" s="1" t="s">
        <v>7827</v>
      </c>
      <c r="H1332" s="1">
        <v>2019.0</v>
      </c>
      <c r="I1332" s="1" t="s">
        <v>78</v>
      </c>
      <c r="J1332" s="1" t="s">
        <v>912</v>
      </c>
      <c r="K1332" s="1" t="s">
        <v>828</v>
      </c>
      <c r="L1332" s="1" t="s">
        <v>7839</v>
      </c>
      <c r="M1332" s="2" t="s">
        <v>12</v>
      </c>
      <c r="N1332" s="4">
        <f t="shared" si="1"/>
        <v>44237</v>
      </c>
      <c r="O1332" s="5" t="str">
        <f>IFERROR(__xludf.DUMMYFUNCTION("IF(REGEXMATCH(TRIM(I1332), ""^\d+\s*min""), ""Unclassified"", IF(I1332 = """", ""NR"", I1332))"),"PG")</f>
        <v>PG</v>
      </c>
      <c r="R1332" s="5" t="str">
        <f t="shared" si="2"/>
        <v>The World We Make</v>
      </c>
      <c r="S1332" s="5" t="str">
        <f>IFERROR(__xludf.DUMMYFUNCTION("""COMPUTED_VALUE"""),"Candyflip")</f>
        <v>Candyflip</v>
      </c>
      <c r="U1332" s="5" t="str">
        <f>IFERROR(__xludf.DUMMYFUNCTION("""COMPUTED_VALUE"""),"Eduardo Roy Jr.")</f>
        <v>Eduardo Roy Jr.</v>
      </c>
      <c r="V1332" s="5" t="s">
        <v>7840</v>
      </c>
      <c r="W1332" s="5" t="str">
        <f t="shared" si="3"/>
        <v>Frank Capra</v>
      </c>
      <c r="X1332" s="5">
        <f t="shared" si="4"/>
        <v>1</v>
      </c>
      <c r="Y1332" s="5" t="str">
        <f>IFERROR(__xludf.DUMMYFUNCTION("REGEXEXTRACT(J1332, ""^\d+"")"),"108")</f>
        <v>108</v>
      </c>
      <c r="Z1332" s="5" t="str">
        <f>IFERROR(__xludf.DUMMYFUNCTION("REGEXEXTRACT(J1332, ""[A-Za-z ]+$"")")," min")</f>
        <v> min</v>
      </c>
      <c r="AA1332" s="5" t="str">
        <f>IFERROR(__xludf.DUMMYFUNCTION("IF(REGEXMATCH(Z1332, ""Season""), ""TV Show"", ""Movie"")"),"Movie")</f>
        <v>Movie</v>
      </c>
    </row>
    <row r="1333">
      <c r="A1333" s="1" t="s">
        <v>7841</v>
      </c>
      <c r="B1333" s="1" t="s">
        <v>37</v>
      </c>
      <c r="C1333" s="1" t="s">
        <v>7842</v>
      </c>
      <c r="F1333" s="1" t="s">
        <v>30</v>
      </c>
      <c r="G1333" s="1" t="s">
        <v>7843</v>
      </c>
      <c r="H1333" s="1">
        <v>1945.0</v>
      </c>
      <c r="I1333" s="1" t="s">
        <v>42</v>
      </c>
      <c r="J1333" s="1" t="s">
        <v>51</v>
      </c>
      <c r="K1333" s="1" t="s">
        <v>1045</v>
      </c>
      <c r="L1333" s="1" t="s">
        <v>7844</v>
      </c>
      <c r="M1333" s="2" t="s">
        <v>12</v>
      </c>
      <c r="N1333" s="4">
        <f t="shared" si="1"/>
        <v>44236</v>
      </c>
      <c r="O1333" s="5" t="str">
        <f>IFERROR(__xludf.DUMMYFUNCTION("IF(REGEXMATCH(TRIM(I1333), ""^\d+\s*min""), ""Unclassified"", IF(I1333 = """", ""NR"", I1333))"),"TV-MA")</f>
        <v>TV-MA</v>
      </c>
      <c r="R1333" s="5" t="str">
        <f t="shared" si="2"/>
        <v>Five Came Back: The Reference Films</v>
      </c>
      <c r="S1333" s="5" t="str">
        <f>IFERROR(__xludf.DUMMYFUNCTION("""COMPUTED_VALUE"""),"Candyman")</f>
        <v>Candyman</v>
      </c>
      <c r="U1333" s="5" t="str">
        <f>IFERROR(__xludf.DUMMYFUNCTION("""COMPUTED_VALUE"""),"Ravikanth Perepu")</f>
        <v>Ravikanth Perepu</v>
      </c>
      <c r="V1333" s="5" t="s">
        <v>7845</v>
      </c>
      <c r="W1333" s="5" t="str">
        <f t="shared" si="3"/>
        <v>Frank Capra, Anatole Litvak</v>
      </c>
      <c r="X1333" s="5">
        <f t="shared" si="4"/>
        <v>1</v>
      </c>
      <c r="Y1333" s="5" t="str">
        <f>IFERROR(__xludf.DUMMYFUNCTION("REGEXEXTRACT(J1333, ""^\d+"")"),"1")</f>
        <v>1</v>
      </c>
      <c r="Z1333" s="5" t="str">
        <f>IFERROR(__xludf.DUMMYFUNCTION("REGEXEXTRACT(J1333, ""[A-Za-z ]+$"")")," Season")</f>
        <v> Season</v>
      </c>
      <c r="AA1333" s="5" t="str">
        <f>IFERROR(__xludf.DUMMYFUNCTION("IF(REGEXMATCH(Z1333, ""Season""), ""TV Show"", ""Movie"")"),"TV Show")</f>
        <v>TV Show</v>
      </c>
    </row>
    <row r="1334">
      <c r="A1334" s="1" t="s">
        <v>7846</v>
      </c>
      <c r="B1334" s="1" t="s">
        <v>37</v>
      </c>
      <c r="C1334" s="1" t="s">
        <v>7847</v>
      </c>
      <c r="E1334" s="1" t="s">
        <v>7848</v>
      </c>
      <c r="F1334" s="1" t="s">
        <v>30</v>
      </c>
      <c r="G1334" s="1" t="s">
        <v>7849</v>
      </c>
      <c r="H1334" s="1">
        <v>2008.0</v>
      </c>
      <c r="I1334" s="1" t="s">
        <v>506</v>
      </c>
      <c r="J1334" s="1" t="s">
        <v>43</v>
      </c>
      <c r="K1334" s="1" t="s">
        <v>314</v>
      </c>
      <c r="L1334" s="1" t="s">
        <v>7850</v>
      </c>
      <c r="M1334" s="2" t="s">
        <v>12</v>
      </c>
      <c r="N1334" s="4">
        <f t="shared" si="1"/>
        <v>44235</v>
      </c>
      <c r="O1334" s="5" t="str">
        <f>IFERROR(__xludf.DUMMYFUNCTION("IF(REGEXMATCH(TRIM(I1334), ""^\d+\s*min""), ""Unclassified"", IF(I1334 = """", ""NR"", I1334))"),"TV-G")</f>
        <v>TV-G</v>
      </c>
      <c r="R1334" s="5" t="str">
        <f t="shared" si="2"/>
        <v>Icarly</v>
      </c>
      <c r="S1334" s="5" t="str">
        <f>IFERROR(__xludf.DUMMYFUNCTION("""COMPUTED_VALUE"""),"Canine Intervention")</f>
        <v>Canine Intervention</v>
      </c>
      <c r="U1334" s="5" t="str">
        <f>IFERROR(__xludf.DUMMYFUNCTION("""COMPUTED_VALUE"""),"Sooraj R. Barjatya")</f>
        <v>Sooraj R. Barjatya</v>
      </c>
      <c r="V1334" s="5" t="s">
        <v>7851</v>
      </c>
      <c r="W1334" s="5" t="str">
        <f t="shared" si="3"/>
        <v>Frank Capra, John Huston, Hugh Stewart, Roy Boulting, Anthony Veiller</v>
      </c>
      <c r="X1334" s="5">
        <f t="shared" si="4"/>
        <v>1</v>
      </c>
      <c r="Y1334" s="5" t="str">
        <f>IFERROR(__xludf.DUMMYFUNCTION("REGEXEXTRACT(J1334, ""^\d+"")"),"2")</f>
        <v>2</v>
      </c>
      <c r="Z1334" s="5" t="str">
        <f>IFERROR(__xludf.DUMMYFUNCTION("REGEXEXTRACT(J1334, ""[A-Za-z ]+$"")")," Seasons")</f>
        <v> Seasons</v>
      </c>
      <c r="AA1334" s="5" t="str">
        <f>IFERROR(__xludf.DUMMYFUNCTION("IF(REGEXMATCH(Z1334, ""Season""), ""TV Show"", ""Movie"")"),"TV Show")</f>
        <v>TV Show</v>
      </c>
    </row>
    <row r="1335">
      <c r="A1335" s="1" t="s">
        <v>7852</v>
      </c>
      <c r="B1335" s="1" t="s">
        <v>27</v>
      </c>
      <c r="C1335" s="1" t="s">
        <v>7853</v>
      </c>
      <c r="D1335" s="1" t="s">
        <v>4922</v>
      </c>
      <c r="E1335" s="1" t="s">
        <v>7854</v>
      </c>
      <c r="F1335" s="1" t="s">
        <v>7855</v>
      </c>
      <c r="G1335" s="1" t="s">
        <v>7849</v>
      </c>
      <c r="H1335" s="1">
        <v>2016.0</v>
      </c>
      <c r="I1335" s="1" t="s">
        <v>378</v>
      </c>
      <c r="J1335" s="1" t="s">
        <v>835</v>
      </c>
      <c r="K1335" s="1" t="s">
        <v>107</v>
      </c>
      <c r="L1335" s="1" t="s">
        <v>7856</v>
      </c>
      <c r="M1335" s="2" t="s">
        <v>12</v>
      </c>
      <c r="N1335" s="4">
        <f t="shared" si="1"/>
        <v>44235</v>
      </c>
      <c r="O1335" s="5" t="str">
        <f>IFERROR(__xludf.DUMMYFUNCTION("IF(REGEXMATCH(TRIM(I1335), ""^\d+\s*min""), ""Unclassified"", IF(I1335 = """", ""NR"", I1335))"),"R")</f>
        <v>R</v>
      </c>
      <c r="R1335" s="5" t="str">
        <f t="shared" si="2"/>
        <v>War Dogs</v>
      </c>
      <c r="S1335" s="5" t="str">
        <f>IFERROR(__xludf.DUMMYFUNCTION("""COMPUTED_VALUE"""),"Cannabis")</f>
        <v>Cannabis</v>
      </c>
      <c r="U1335" s="5" t="str">
        <f>IFERROR(__xludf.DUMMYFUNCTION("""COMPUTED_VALUE"""),"Bonni Cohen, Jon Shenk")</f>
        <v>Bonni Cohen, Jon Shenk</v>
      </c>
      <c r="V1335" s="5" t="s">
        <v>7857</v>
      </c>
      <c r="W1335" s="5" t="str">
        <f t="shared" si="3"/>
        <v>Frank Capra, Joris Ivens</v>
      </c>
      <c r="X1335" s="5">
        <f t="shared" si="4"/>
        <v>1</v>
      </c>
      <c r="Y1335" s="5" t="str">
        <f>IFERROR(__xludf.DUMMYFUNCTION("REGEXEXTRACT(J1335, ""^\d+"")"),"114")</f>
        <v>114</v>
      </c>
      <c r="Z1335" s="5" t="str">
        <f>IFERROR(__xludf.DUMMYFUNCTION("REGEXEXTRACT(J1335, ""[A-Za-z ]+$"")")," min")</f>
        <v> min</v>
      </c>
      <c r="AA1335" s="5" t="str">
        <f>IFERROR(__xludf.DUMMYFUNCTION("IF(REGEXMATCH(Z1335, ""Season""), ""TV Show"", ""Movie"")"),"Movie")</f>
        <v>Movie</v>
      </c>
    </row>
    <row r="1336">
      <c r="A1336" s="1" t="s">
        <v>7858</v>
      </c>
      <c r="B1336" s="1" t="s">
        <v>27</v>
      </c>
      <c r="C1336" s="1" t="s">
        <v>7859</v>
      </c>
      <c r="D1336" s="1" t="s">
        <v>7860</v>
      </c>
      <c r="E1336" s="1" t="s">
        <v>7861</v>
      </c>
      <c r="F1336" s="1" t="s">
        <v>3892</v>
      </c>
      <c r="G1336" s="1" t="s">
        <v>7862</v>
      </c>
      <c r="H1336" s="1">
        <v>2020.0</v>
      </c>
      <c r="I1336" s="1" t="s">
        <v>97</v>
      </c>
      <c r="J1336" s="1" t="s">
        <v>106</v>
      </c>
      <c r="K1336" s="1" t="s">
        <v>1066</v>
      </c>
      <c r="L1336" s="1" t="s">
        <v>7863</v>
      </c>
      <c r="M1336" s="2" t="s">
        <v>12</v>
      </c>
      <c r="N1336" s="4">
        <f t="shared" si="1"/>
        <v>44234</v>
      </c>
      <c r="O1336" s="5" t="str">
        <f>IFERROR(__xludf.DUMMYFUNCTION("IF(REGEXMATCH(TRIM(I1336), ""^\d+\s*min""), ""Unclassified"", IF(I1336 = """", ""NR"", I1336))"),"TV-14")</f>
        <v>TV-14</v>
      </c>
      <c r="R1336" s="5" t="str">
        <f t="shared" si="2"/>
        <v>Monster Run</v>
      </c>
      <c r="S1336" s="5" t="str">
        <f>IFERROR(__xludf.DUMMYFUNCTION("""COMPUTED_VALUE"""),"Cannon Busters")</f>
        <v>Cannon Busters</v>
      </c>
      <c r="U1336" s="5" t="str">
        <f>IFERROR(__xludf.DUMMYFUNCTION("""COMPUTED_VALUE"""),"Anvita Dutt")</f>
        <v>Anvita Dutt</v>
      </c>
      <c r="V1336" s="5" t="s">
        <v>7864</v>
      </c>
      <c r="W1336" s="5" t="str">
        <f t="shared" si="3"/>
        <v>Frank Coraci</v>
      </c>
      <c r="X1336" s="5">
        <f t="shared" si="4"/>
        <v>3</v>
      </c>
      <c r="Y1336" s="5" t="str">
        <f>IFERROR(__xludf.DUMMYFUNCTION("REGEXEXTRACT(J1336, ""^\d+"")"),"104")</f>
        <v>104</v>
      </c>
      <c r="Z1336" s="5" t="str">
        <f>IFERROR(__xludf.DUMMYFUNCTION("REGEXEXTRACT(J1336, ""[A-Za-z ]+$"")")," min")</f>
        <v> min</v>
      </c>
      <c r="AA1336" s="5" t="str">
        <f>IFERROR(__xludf.DUMMYFUNCTION("IF(REGEXMATCH(Z1336, ""Season""), ""TV Show"", ""Movie"")"),"Movie")</f>
        <v>Movie</v>
      </c>
    </row>
    <row r="1337">
      <c r="A1337" s="1" t="s">
        <v>7865</v>
      </c>
      <c r="B1337" s="1" t="s">
        <v>37</v>
      </c>
      <c r="C1337" s="1" t="s">
        <v>7866</v>
      </c>
      <c r="E1337" s="1" t="s">
        <v>7867</v>
      </c>
      <c r="F1337" s="1" t="s">
        <v>30</v>
      </c>
      <c r="G1337" s="1" t="s">
        <v>7868</v>
      </c>
      <c r="H1337" s="1">
        <v>2020.0</v>
      </c>
      <c r="I1337" s="1" t="s">
        <v>42</v>
      </c>
      <c r="J1337" s="1" t="s">
        <v>276</v>
      </c>
      <c r="K1337" s="1" t="s">
        <v>1510</v>
      </c>
      <c r="L1337" s="1" t="s">
        <v>7869</v>
      </c>
      <c r="M1337" s="2" t="s">
        <v>12</v>
      </c>
      <c r="N1337" s="4">
        <f t="shared" si="1"/>
        <v>44233</v>
      </c>
      <c r="O1337" s="5" t="str">
        <f>IFERROR(__xludf.DUMMYFUNCTION("IF(REGEXMATCH(TRIM(I1337), ""^\d+\s*min""), ""Unclassified"", IF(I1337 = """", ""NR"", I1337))"),"TV-MA")</f>
        <v>TV-MA</v>
      </c>
      <c r="R1337" s="5" t="str">
        <f t="shared" si="2"/>
        <v>The Sinner</v>
      </c>
      <c r="S1337" s="5" t="str">
        <f>IFERROR(__xludf.DUMMYFUNCTION("""COMPUTED_VALUE"""),"Canvas")</f>
        <v>Canvas</v>
      </c>
      <c r="U1337" s="5" t="str">
        <f>IFERROR(__xludf.DUMMYFUNCTION("""COMPUTED_VALUE"""),"Gaspar Antillo")</f>
        <v>Gaspar Antillo</v>
      </c>
      <c r="V1337" s="5" t="s">
        <v>7870</v>
      </c>
      <c r="W1337" s="5" t="str">
        <f t="shared" si="3"/>
        <v>Frank E. Abney Iii</v>
      </c>
      <c r="X1337" s="5">
        <f t="shared" si="4"/>
        <v>1</v>
      </c>
      <c r="Y1337" s="5" t="str">
        <f>IFERROR(__xludf.DUMMYFUNCTION("REGEXEXTRACT(J1337, ""^\d+"")"),"3")</f>
        <v>3</v>
      </c>
      <c r="Z1337" s="5" t="str">
        <f>IFERROR(__xludf.DUMMYFUNCTION("REGEXEXTRACT(J1337, ""[A-Za-z ]+$"")")," Seasons")</f>
        <v> Seasons</v>
      </c>
      <c r="AA1337" s="5" t="str">
        <f>IFERROR(__xludf.DUMMYFUNCTION("IF(REGEXMATCH(Z1337, ""Season""), ""TV Show"", ""Movie"")"),"TV Show")</f>
        <v>TV Show</v>
      </c>
    </row>
    <row r="1338">
      <c r="A1338" s="1" t="s">
        <v>7871</v>
      </c>
      <c r="B1338" s="1" t="s">
        <v>27</v>
      </c>
      <c r="C1338" s="1" t="s">
        <v>7872</v>
      </c>
      <c r="D1338" s="1" t="s">
        <v>7873</v>
      </c>
      <c r="E1338" s="1" t="s">
        <v>7383</v>
      </c>
      <c r="F1338" s="1" t="s">
        <v>664</v>
      </c>
      <c r="G1338" s="1" t="s">
        <v>7874</v>
      </c>
      <c r="H1338" s="1">
        <v>2017.0</v>
      </c>
      <c r="I1338" s="1" t="s">
        <v>42</v>
      </c>
      <c r="J1338" s="1" t="s">
        <v>428</v>
      </c>
      <c r="K1338" s="1" t="s">
        <v>1839</v>
      </c>
      <c r="L1338" s="1" t="s">
        <v>7875</v>
      </c>
      <c r="M1338" s="2" t="s">
        <v>12</v>
      </c>
      <c r="N1338" s="4">
        <f t="shared" si="1"/>
        <v>44232</v>
      </c>
      <c r="O1338" s="5" t="str">
        <f>IFERROR(__xludf.DUMMYFUNCTION("IF(REGEXMATCH(TRIM(I1338), ""^\d+\s*min""), ""Unclassified"", IF(I1338 = """", ""NR"", I1338))"),"TV-MA")</f>
        <v>TV-MA</v>
      </c>
      <c r="R1338" s="5" t="str">
        <f t="shared" si="2"/>
        <v>Blanche Gardin: I Talk To Myself</v>
      </c>
      <c r="S1338" s="5" t="str">
        <f>IFERROR(__xludf.DUMMYFUNCTION("""COMPUTED_VALUE"""),"Capital In The Twenty-First Century")</f>
        <v>Capital In The Twenty-First Century</v>
      </c>
      <c r="U1338" s="5" t="str">
        <f>IFERROR(__xludf.DUMMYFUNCTION("""COMPUTED_VALUE"""),"Eric Notarnicola")</f>
        <v>Eric Notarnicola</v>
      </c>
      <c r="V1338" s="5" t="s">
        <v>3529</v>
      </c>
      <c r="W1338" s="5" t="str">
        <f t="shared" si="3"/>
        <v>Frank Marshall</v>
      </c>
      <c r="X1338" s="5">
        <f t="shared" si="4"/>
        <v>1</v>
      </c>
      <c r="Y1338" s="5" t="str">
        <f>IFERROR(__xludf.DUMMYFUNCTION("REGEXEXTRACT(J1338, ""^\d+"")"),"88")</f>
        <v>88</v>
      </c>
      <c r="Z1338" s="5" t="str">
        <f>IFERROR(__xludf.DUMMYFUNCTION("REGEXEXTRACT(J1338, ""[A-Za-z ]+$"")")," min")</f>
        <v> min</v>
      </c>
      <c r="AA1338" s="5" t="str">
        <f>IFERROR(__xludf.DUMMYFUNCTION("IF(REGEXMATCH(Z1338, ""Season""), ""TV Show"", ""Movie"")"),"Movie")</f>
        <v>Movie</v>
      </c>
    </row>
    <row r="1339">
      <c r="A1339" s="1" t="s">
        <v>7876</v>
      </c>
      <c r="B1339" s="1" t="s">
        <v>27</v>
      </c>
      <c r="C1339" s="1" t="s">
        <v>7877</v>
      </c>
      <c r="D1339" s="1" t="s">
        <v>7878</v>
      </c>
      <c r="E1339" s="1" t="s">
        <v>7879</v>
      </c>
      <c r="F1339" s="1" t="s">
        <v>7880</v>
      </c>
      <c r="G1339" s="1" t="s">
        <v>7874</v>
      </c>
      <c r="H1339" s="1">
        <v>2017.0</v>
      </c>
      <c r="I1339" s="1" t="s">
        <v>136</v>
      </c>
      <c r="J1339" s="1" t="s">
        <v>106</v>
      </c>
      <c r="K1339" s="1" t="s">
        <v>89</v>
      </c>
      <c r="L1339" s="1" t="s">
        <v>7881</v>
      </c>
      <c r="M1339" s="2" t="s">
        <v>12</v>
      </c>
      <c r="N1339" s="4">
        <f t="shared" si="1"/>
        <v>44232</v>
      </c>
      <c r="O1339" s="5" t="str">
        <f>IFERROR(__xludf.DUMMYFUNCTION("IF(REGEXMATCH(TRIM(I1339), ""^\d+\s*min""), ""Unclassified"", IF(I1339 = """", ""NR"", I1339))"),"TV-PG")</f>
        <v>TV-PG</v>
      </c>
      <c r="R1339" s="5" t="str">
        <f t="shared" si="2"/>
        <v>Doob: No Bed Of Roses</v>
      </c>
      <c r="S1339" s="5" t="str">
        <f>IFERROR(__xludf.DUMMYFUNCTION("""COMPUTED_VALUE"""),"Capitani")</f>
        <v>Capitani</v>
      </c>
      <c r="U1339" s="5" t="str">
        <f>IFERROR(__xludf.DUMMYFUNCTION("""COMPUTED_VALUE"""),"Musthafa")</f>
        <v>Musthafa</v>
      </c>
      <c r="V1339" s="5" t="s">
        <v>7882</v>
      </c>
      <c r="W1339" s="5" t="str">
        <f t="shared" si="3"/>
        <v>Frank Oz</v>
      </c>
      <c r="X1339" s="5">
        <f t="shared" si="4"/>
        <v>2</v>
      </c>
      <c r="Y1339" s="5" t="str">
        <f>IFERROR(__xludf.DUMMYFUNCTION("REGEXEXTRACT(J1339, ""^\d+"")"),"104")</f>
        <v>104</v>
      </c>
      <c r="Z1339" s="5" t="str">
        <f>IFERROR(__xludf.DUMMYFUNCTION("REGEXEXTRACT(J1339, ""[A-Za-z ]+$"")")," min")</f>
        <v> min</v>
      </c>
      <c r="AA1339" s="5" t="str">
        <f>IFERROR(__xludf.DUMMYFUNCTION("IF(REGEXMATCH(Z1339, ""Season""), ""TV Show"", ""Movie"")"),"Movie")</f>
        <v>Movie</v>
      </c>
    </row>
    <row r="1340">
      <c r="A1340" s="1" t="s">
        <v>7883</v>
      </c>
      <c r="B1340" s="1" t="s">
        <v>37</v>
      </c>
      <c r="C1340" s="1" t="s">
        <v>7884</v>
      </c>
      <c r="E1340" s="1" t="s">
        <v>7885</v>
      </c>
      <c r="F1340" s="1" t="s">
        <v>784</v>
      </c>
      <c r="G1340" s="1" t="s">
        <v>7874</v>
      </c>
      <c r="H1340" s="1">
        <v>2021.0</v>
      </c>
      <c r="I1340" s="1" t="s">
        <v>42</v>
      </c>
      <c r="J1340" s="1" t="s">
        <v>43</v>
      </c>
      <c r="K1340" s="1" t="s">
        <v>785</v>
      </c>
      <c r="L1340" s="1" t="s">
        <v>7886</v>
      </c>
      <c r="M1340" s="2" t="s">
        <v>12</v>
      </c>
      <c r="N1340" s="4">
        <f t="shared" si="1"/>
        <v>44232</v>
      </c>
      <c r="O1340" s="5" t="str">
        <f>IFERROR(__xludf.DUMMYFUNCTION("IF(REGEXMATCH(TRIM(I1340), ""^\d+\s*min""), ""Unclassified"", IF(I1340 = """", ""NR"", I1340))"),"TV-MA")</f>
        <v>TV-MA</v>
      </c>
      <c r="R1340" s="5" t="str">
        <f t="shared" si="2"/>
        <v>Hache</v>
      </c>
      <c r="S1340" s="5" t="str">
        <f>IFERROR(__xludf.DUMMYFUNCTION("""COMPUTED_VALUE"""),"Cappuccino")</f>
        <v>Cappuccino</v>
      </c>
      <c r="U1340" s="5" t="str">
        <f>IFERROR(__xludf.DUMMYFUNCTION("""COMPUTED_VALUE"""),"Ishaya Bako")</f>
        <v>Ishaya Bako</v>
      </c>
      <c r="V1340" s="5" t="s">
        <v>7887</v>
      </c>
      <c r="W1340" s="5" t="str">
        <f t="shared" si="3"/>
        <v>Frank Oz, Jim Henson</v>
      </c>
      <c r="X1340" s="5">
        <f t="shared" si="4"/>
        <v>1</v>
      </c>
      <c r="Y1340" s="5" t="str">
        <f>IFERROR(__xludf.DUMMYFUNCTION("REGEXEXTRACT(J1340, ""^\d+"")"),"2")</f>
        <v>2</v>
      </c>
      <c r="Z1340" s="5" t="str">
        <f>IFERROR(__xludf.DUMMYFUNCTION("REGEXEXTRACT(J1340, ""[A-Za-z ]+$"")")," Seasons")</f>
        <v> Seasons</v>
      </c>
      <c r="AA1340" s="5" t="str">
        <f>IFERROR(__xludf.DUMMYFUNCTION("IF(REGEXMATCH(Z1340, ""Season""), ""TV Show"", ""Movie"")"),"TV Show")</f>
        <v>TV Show</v>
      </c>
    </row>
    <row r="1341">
      <c r="A1341" s="1" t="s">
        <v>7888</v>
      </c>
      <c r="B1341" s="1" t="s">
        <v>37</v>
      </c>
      <c r="C1341" s="1" t="s">
        <v>7889</v>
      </c>
      <c r="E1341" s="1" t="s">
        <v>7890</v>
      </c>
      <c r="F1341" s="1" t="s">
        <v>1992</v>
      </c>
      <c r="G1341" s="1" t="s">
        <v>7874</v>
      </c>
      <c r="H1341" s="1">
        <v>2021.0</v>
      </c>
      <c r="I1341" s="1" t="s">
        <v>42</v>
      </c>
      <c r="J1341" s="1" t="s">
        <v>51</v>
      </c>
      <c r="K1341" s="1" t="s">
        <v>1362</v>
      </c>
      <c r="L1341" s="1" t="s">
        <v>7891</v>
      </c>
      <c r="M1341" s="2" t="s">
        <v>12</v>
      </c>
      <c r="N1341" s="4">
        <f t="shared" si="1"/>
        <v>44232</v>
      </c>
      <c r="O1341" s="5" t="str">
        <f>IFERROR(__xludf.DUMMYFUNCTION("IF(REGEXMATCH(TRIM(I1341), ""^\d+\s*min""), ""Unclassified"", IF(I1341 = """", ""NR"", I1341))"),"TV-MA")</f>
        <v>TV-MA</v>
      </c>
      <c r="R1341" s="5" t="str">
        <f t="shared" si="2"/>
        <v>Invisible City</v>
      </c>
      <c r="S1341" s="5" t="str">
        <f>IFERROR(__xludf.DUMMYFUNCTION("""COMPUTED_VALUE"""),"Captain Fantastic")</f>
        <v>Captain Fantastic</v>
      </c>
      <c r="U1341" s="5" t="str">
        <f>IFERROR(__xludf.DUMMYFUNCTION("""COMPUTED_VALUE"""),"Kate Mulleavy, Laura Mulleavy")</f>
        <v>Kate Mulleavy, Laura Mulleavy</v>
      </c>
      <c r="V1341" s="5" t="s">
        <v>7892</v>
      </c>
      <c r="W1341" s="5" t="str">
        <f t="shared" si="3"/>
        <v>Frank Rajah Arase</v>
      </c>
      <c r="X1341" s="5">
        <f t="shared" si="4"/>
        <v>2</v>
      </c>
      <c r="Y1341" s="5" t="str">
        <f>IFERROR(__xludf.DUMMYFUNCTION("REGEXEXTRACT(J1341, ""^\d+"")"),"1")</f>
        <v>1</v>
      </c>
      <c r="Z1341" s="5" t="str">
        <f>IFERROR(__xludf.DUMMYFUNCTION("REGEXEXTRACT(J1341, ""[A-Za-z ]+$"")")," Season")</f>
        <v> Season</v>
      </c>
      <c r="AA1341" s="5" t="str">
        <f>IFERROR(__xludf.DUMMYFUNCTION("IF(REGEXMATCH(Z1341, ""Season""), ""TV Show"", ""Movie"")"),"TV Show")</f>
        <v>TV Show</v>
      </c>
    </row>
    <row r="1342">
      <c r="A1342" s="1" t="s">
        <v>7893</v>
      </c>
      <c r="B1342" s="1" t="s">
        <v>27</v>
      </c>
      <c r="C1342" s="1" t="s">
        <v>7894</v>
      </c>
      <c r="D1342" s="1" t="s">
        <v>7895</v>
      </c>
      <c r="E1342" s="1" t="s">
        <v>7896</v>
      </c>
      <c r="F1342" s="1" t="s">
        <v>2059</v>
      </c>
      <c r="G1342" s="1" t="s">
        <v>7874</v>
      </c>
      <c r="H1342" s="1">
        <v>2020.0</v>
      </c>
      <c r="I1342" s="1" t="s">
        <v>97</v>
      </c>
      <c r="J1342" s="1" t="s">
        <v>2566</v>
      </c>
      <c r="K1342" s="1" t="s">
        <v>128</v>
      </c>
      <c r="L1342" s="1" t="s">
        <v>7897</v>
      </c>
      <c r="M1342" s="2" t="s">
        <v>12</v>
      </c>
      <c r="N1342" s="4">
        <f t="shared" si="1"/>
        <v>44232</v>
      </c>
      <c r="O1342" s="5" t="str">
        <f>IFERROR(__xludf.DUMMYFUNCTION("IF(REGEXMATCH(TRIM(I1342), ""^\d+\s*min""), ""Unclassified"", IF(I1342 = """", ""NR"", I1342))"),"TV-14")</f>
        <v>TV-14</v>
      </c>
      <c r="R1342" s="5" t="str">
        <f t="shared" si="2"/>
        <v>Little Big Women</v>
      </c>
      <c r="S1342" s="5" t="str">
        <f>IFERROR(__xludf.DUMMYFUNCTION("""COMPUTED_VALUE"""),"Captain Underpants Epic Choice-O-Rama")</f>
        <v>Captain Underpants Epic Choice-O-Rama</v>
      </c>
      <c r="U1342" s="5" t="str">
        <f>IFERROR(__xludf.DUMMYFUNCTION("""COMPUTED_VALUE"""),"Akhigbe Ilozobhie")</f>
        <v>Akhigbe Ilozobhie</v>
      </c>
      <c r="V1342" s="5" t="s">
        <v>7898</v>
      </c>
      <c r="W1342" s="5" t="str">
        <f t="shared" si="3"/>
        <v>Frank W Chen</v>
      </c>
      <c r="X1342" s="5">
        <f t="shared" si="4"/>
        <v>1</v>
      </c>
      <c r="Y1342" s="5" t="str">
        <f>IFERROR(__xludf.DUMMYFUNCTION("REGEXEXTRACT(J1342, ""^\d+"")"),"123")</f>
        <v>123</v>
      </c>
      <c r="Z1342" s="5" t="str">
        <f>IFERROR(__xludf.DUMMYFUNCTION("REGEXEXTRACT(J1342, ""[A-Za-z ]+$"")")," min")</f>
        <v> min</v>
      </c>
      <c r="AA1342" s="5" t="str">
        <f>IFERROR(__xludf.DUMMYFUNCTION("IF(REGEXMATCH(Z1342, ""Season""), ""TV Show"", ""Movie"")"),"Movie")</f>
        <v>Movie</v>
      </c>
    </row>
    <row r="1343">
      <c r="A1343" s="1" t="s">
        <v>7899</v>
      </c>
      <c r="B1343" s="1" t="s">
        <v>27</v>
      </c>
      <c r="C1343" s="1" t="s">
        <v>7900</v>
      </c>
      <c r="D1343" s="1" t="s">
        <v>7901</v>
      </c>
      <c r="E1343" s="1" t="s">
        <v>7902</v>
      </c>
      <c r="F1343" s="1" t="s">
        <v>30</v>
      </c>
      <c r="G1343" s="1" t="s">
        <v>7874</v>
      </c>
      <c r="H1343" s="1">
        <v>2021.0</v>
      </c>
      <c r="I1343" s="1" t="s">
        <v>378</v>
      </c>
      <c r="J1343" s="1" t="s">
        <v>256</v>
      </c>
      <c r="K1343" s="1" t="s">
        <v>1320</v>
      </c>
      <c r="L1343" s="1" t="s">
        <v>7903</v>
      </c>
      <c r="M1343" s="2" t="s">
        <v>12</v>
      </c>
      <c r="N1343" s="4">
        <f t="shared" si="1"/>
        <v>44232</v>
      </c>
      <c r="O1343" s="5" t="str">
        <f>IFERROR(__xludf.DUMMYFUNCTION("IF(REGEXMATCH(TRIM(I1343), ""^\d+\s*min""), ""Unclassified"", IF(I1343 = """", ""NR"", I1343))"),"R")</f>
        <v>R</v>
      </c>
      <c r="R1343" s="5" t="str">
        <f t="shared" si="2"/>
        <v>Malcolm &amp; Marie</v>
      </c>
      <c r="S1343" s="5" t="str">
        <f>IFERROR(__xludf.DUMMYFUNCTION("""COMPUTED_VALUE"""),"Captain Underpants Mega Blissmas")</f>
        <v>Captain Underpants Mega Blissmas</v>
      </c>
      <c r="U1343" s="5" t="str">
        <f>IFERROR(__xludf.DUMMYFUNCTION("""COMPUTED_VALUE"""),"Apurva Dhar Badgaiyann")</f>
        <v>Apurva Dhar Badgaiyann</v>
      </c>
      <c r="V1343" s="5" t="s">
        <v>7904</v>
      </c>
      <c r="W1343" s="5" t="str">
        <f t="shared" si="3"/>
        <v>Frant Gwo</v>
      </c>
      <c r="X1343" s="5">
        <f t="shared" si="4"/>
        <v>1</v>
      </c>
      <c r="Y1343" s="5" t="str">
        <f>IFERROR(__xludf.DUMMYFUNCTION("REGEXEXTRACT(J1343, ""^\d+"")"),"106")</f>
        <v>106</v>
      </c>
      <c r="Z1343" s="5" t="str">
        <f>IFERROR(__xludf.DUMMYFUNCTION("REGEXEXTRACT(J1343, ""[A-Za-z ]+$"")")," min")</f>
        <v> min</v>
      </c>
      <c r="AA1343" s="5" t="str">
        <f>IFERROR(__xludf.DUMMYFUNCTION("IF(REGEXMATCH(Z1343, ""Season""), ""TV Show"", ""Movie"")"),"Movie")</f>
        <v>Movie</v>
      </c>
    </row>
    <row r="1344">
      <c r="A1344" s="1" t="s">
        <v>7905</v>
      </c>
      <c r="B1344" s="1" t="s">
        <v>27</v>
      </c>
      <c r="C1344" s="1" t="s">
        <v>7906</v>
      </c>
      <c r="D1344" s="1" t="s">
        <v>7907</v>
      </c>
      <c r="E1344" s="1" t="s">
        <v>7908</v>
      </c>
      <c r="F1344" s="1" t="s">
        <v>749</v>
      </c>
      <c r="G1344" s="1" t="s">
        <v>7874</v>
      </c>
      <c r="H1344" s="1">
        <v>2021.0</v>
      </c>
      <c r="I1344" s="1" t="s">
        <v>42</v>
      </c>
      <c r="J1344" s="1" t="s">
        <v>2414</v>
      </c>
      <c r="K1344" s="1" t="s">
        <v>306</v>
      </c>
      <c r="L1344" s="1" t="s">
        <v>7909</v>
      </c>
      <c r="M1344" s="2" t="s">
        <v>12</v>
      </c>
      <c r="N1344" s="4">
        <f t="shared" si="1"/>
        <v>44232</v>
      </c>
      <c r="O1344" s="5" t="str">
        <f>IFERROR(__xludf.DUMMYFUNCTION("IF(REGEXMATCH(TRIM(I1344), ""^\d+\s*min""), ""Unclassified"", IF(I1344 = """", ""NR"", I1344))"),"TV-MA")</f>
        <v>TV-MA</v>
      </c>
      <c r="R1344" s="5" t="str">
        <f t="shared" si="2"/>
        <v>Space Sweepers</v>
      </c>
      <c r="S1344" s="5" t="str">
        <f>IFERROR(__xludf.DUMMYFUNCTION("""COMPUTED_VALUE"""),"Captive")</f>
        <v>Captive</v>
      </c>
      <c r="U1344" s="5" t="str">
        <f>IFERROR(__xludf.DUMMYFUNCTION("""COMPUTED_VALUE"""),"Elissa Down")</f>
        <v>Elissa Down</v>
      </c>
      <c r="V1344" s="5" t="s">
        <v>7910</v>
      </c>
      <c r="W1344" s="5" t="str">
        <f t="shared" si="3"/>
        <v>Franziska Meyer Price</v>
      </c>
      <c r="X1344" s="5">
        <f t="shared" si="4"/>
        <v>1</v>
      </c>
      <c r="Y1344" s="5" t="str">
        <f>IFERROR(__xludf.DUMMYFUNCTION("REGEXEXTRACT(J1344, ""^\d+"")"),"138")</f>
        <v>138</v>
      </c>
      <c r="Z1344" s="5" t="str">
        <f>IFERROR(__xludf.DUMMYFUNCTION("REGEXEXTRACT(J1344, ""[A-Za-z ]+$"")")," min")</f>
        <v> min</v>
      </c>
      <c r="AA1344" s="5" t="str">
        <f>IFERROR(__xludf.DUMMYFUNCTION("IF(REGEXMATCH(Z1344, ""Season""), ""TV Show"", ""Movie"")"),"Movie")</f>
        <v>Movie</v>
      </c>
    </row>
    <row r="1345">
      <c r="A1345" s="1" t="s">
        <v>7911</v>
      </c>
      <c r="B1345" s="1" t="s">
        <v>27</v>
      </c>
      <c r="C1345" s="1" t="s">
        <v>7912</v>
      </c>
      <c r="D1345" s="1" t="s">
        <v>7913</v>
      </c>
      <c r="F1345" s="1" t="s">
        <v>30</v>
      </c>
      <c r="G1345" s="1" t="s">
        <v>7874</v>
      </c>
      <c r="H1345" s="1">
        <v>2021.0</v>
      </c>
      <c r="I1345" s="1" t="s">
        <v>378</v>
      </c>
      <c r="J1345" s="1" t="s">
        <v>519</v>
      </c>
      <c r="K1345" s="1" t="s">
        <v>34</v>
      </c>
      <c r="L1345" s="1" t="s">
        <v>7914</v>
      </c>
      <c r="M1345" s="2" t="s">
        <v>12</v>
      </c>
      <c r="N1345" s="4">
        <f t="shared" si="1"/>
        <v>44232</v>
      </c>
      <c r="O1345" s="5" t="str">
        <f>IFERROR(__xludf.DUMMYFUNCTION("IF(REGEXMATCH(TRIM(I1345), ""^\d+\s*min""), ""Unclassified"", IF(I1345 = """", ""NR"", I1345))"),"R")</f>
        <v>R</v>
      </c>
      <c r="R1345" s="5" t="str">
        <f t="shared" si="2"/>
        <v>Strip Down, Rise Up</v>
      </c>
      <c r="S1345" s="5" t="str">
        <f>IFERROR(__xludf.DUMMYFUNCTION("""COMPUTED_VALUE"""),"Car Masters: Rust To Riches")</f>
        <v>Car Masters: Rust To Riches</v>
      </c>
      <c r="U1345" s="5" t="str">
        <f>IFERROR(__xludf.DUMMYFUNCTION("""COMPUTED_VALUE"""),"Guillaume Pierret")</f>
        <v>Guillaume Pierret</v>
      </c>
      <c r="V1345" s="5" t="s">
        <v>7915</v>
      </c>
      <c r="W1345" s="5" t="str">
        <f t="shared" si="3"/>
        <v>Frasco Mortiz</v>
      </c>
      <c r="X1345" s="5">
        <f t="shared" si="4"/>
        <v>1</v>
      </c>
      <c r="Y1345" s="5" t="str">
        <f>IFERROR(__xludf.DUMMYFUNCTION("REGEXEXTRACT(J1345, ""^\d+"")"),"113")</f>
        <v>113</v>
      </c>
      <c r="Z1345" s="5" t="str">
        <f>IFERROR(__xludf.DUMMYFUNCTION("REGEXEXTRACT(J1345, ""[A-Za-z ]+$"")")," min")</f>
        <v> min</v>
      </c>
      <c r="AA1345" s="5" t="str">
        <f>IFERROR(__xludf.DUMMYFUNCTION("IF(REGEXMATCH(Z1345, ""Season""), ""TV Show"", ""Movie"")"),"Movie")</f>
        <v>Movie</v>
      </c>
    </row>
    <row r="1346">
      <c r="A1346" s="1" t="s">
        <v>7916</v>
      </c>
      <c r="B1346" s="1" t="s">
        <v>27</v>
      </c>
      <c r="C1346" s="1" t="s">
        <v>7917</v>
      </c>
      <c r="D1346" s="1" t="s">
        <v>7918</v>
      </c>
      <c r="E1346" s="1" t="s">
        <v>7919</v>
      </c>
      <c r="F1346" s="1" t="s">
        <v>1779</v>
      </c>
      <c r="G1346" s="1" t="s">
        <v>7874</v>
      </c>
      <c r="H1346" s="1">
        <v>2020.0</v>
      </c>
      <c r="I1346" s="1" t="s">
        <v>42</v>
      </c>
      <c r="J1346" s="1" t="s">
        <v>1256</v>
      </c>
      <c r="K1346" s="1" t="s">
        <v>679</v>
      </c>
      <c r="L1346" s="1" t="s">
        <v>7920</v>
      </c>
      <c r="M1346" s="2" t="s">
        <v>12</v>
      </c>
      <c r="N1346" s="4">
        <f t="shared" si="1"/>
        <v>44232</v>
      </c>
      <c r="O1346" s="5" t="str">
        <f>IFERROR(__xludf.DUMMYFUNCTION("IF(REGEXMATCH(TRIM(I1346), ""^\d+\s*min""), ""Unclassified"", IF(I1346 = """", ""NR"", I1346))"),"TV-MA")</f>
        <v>TV-MA</v>
      </c>
      <c r="R1346" s="5" t="str">
        <f t="shared" si="2"/>
        <v>The Last Paradiso</v>
      </c>
      <c r="S1346" s="5" t="str">
        <f>IFERROR(__xludf.DUMMYFUNCTION("""COMPUTED_VALUE"""),"Carbon")</f>
        <v>Carbon</v>
      </c>
      <c r="U1346" s="5" t="str">
        <f>IFERROR(__xludf.DUMMYFUNCTION("""COMPUTED_VALUE"""),"Olivier Assayas")</f>
        <v>Olivier Assayas</v>
      </c>
      <c r="V1346" s="5" t="s">
        <v>7921</v>
      </c>
      <c r="W1346" s="5" t="str">
        <f t="shared" si="3"/>
        <v>Fred Cavayé</v>
      </c>
      <c r="X1346" s="5">
        <f t="shared" si="4"/>
        <v>1</v>
      </c>
      <c r="Y1346" s="5" t="str">
        <f>IFERROR(__xludf.DUMMYFUNCTION("REGEXEXTRACT(J1346, ""^\d+"")"),"107")</f>
        <v>107</v>
      </c>
      <c r="Z1346" s="5" t="str">
        <f>IFERROR(__xludf.DUMMYFUNCTION("REGEXEXTRACT(J1346, ""[A-Za-z ]+$"")")," min")</f>
        <v> min</v>
      </c>
      <c r="AA1346" s="5" t="str">
        <f>IFERROR(__xludf.DUMMYFUNCTION("IF(REGEXMATCH(Z1346, ""Season""), ""TV Show"", ""Movie"")"),"Movie")</f>
        <v>Movie</v>
      </c>
    </row>
    <row r="1347">
      <c r="A1347" s="1" t="s">
        <v>7922</v>
      </c>
      <c r="B1347" s="1" t="s">
        <v>27</v>
      </c>
      <c r="C1347" s="1" t="s">
        <v>7923</v>
      </c>
      <c r="D1347" s="1" t="s">
        <v>7924</v>
      </c>
      <c r="E1347" s="1" t="s">
        <v>7925</v>
      </c>
      <c r="F1347" s="1" t="s">
        <v>3892</v>
      </c>
      <c r="G1347" s="1" t="s">
        <v>7874</v>
      </c>
      <c r="H1347" s="1">
        <v>2021.0</v>
      </c>
      <c r="I1347" s="1" t="s">
        <v>97</v>
      </c>
      <c r="J1347" s="1" t="s">
        <v>1428</v>
      </c>
      <c r="K1347" s="1" t="s">
        <v>1066</v>
      </c>
      <c r="L1347" s="1" t="s">
        <v>7926</v>
      </c>
      <c r="M1347" s="2" t="s">
        <v>12</v>
      </c>
      <c r="N1347" s="4">
        <f t="shared" si="1"/>
        <v>44232</v>
      </c>
      <c r="O1347" s="5" t="str">
        <f>IFERROR(__xludf.DUMMYFUNCTION("IF(REGEXMATCH(TRIM(I1347), ""^\d+\s*min""), ""Unclassified"", IF(I1347 = """", ""NR"", I1347))"),"TV-14")</f>
        <v>TV-14</v>
      </c>
      <c r="R1347" s="5" t="str">
        <f t="shared" si="2"/>
        <v>The Yin-Yang Master: Dream Of Eternity</v>
      </c>
      <c r="S1347" s="5" t="str">
        <f>IFERROR(__xludf.DUMMYFUNCTION("""COMPUTED_VALUE"""),"Cardboard Gangsters")</f>
        <v>Cardboard Gangsters</v>
      </c>
      <c r="U1347" s="5" t="str">
        <f>IFERROR(__xludf.DUMMYFUNCTION("""COMPUTED_VALUE"""),"Junichi Sato, Tomotaka Shibayama")</f>
        <v>Junichi Sato, Tomotaka Shibayama</v>
      </c>
      <c r="V1347" s="5" t="s">
        <v>7927</v>
      </c>
      <c r="W1347" s="5" t="str">
        <f t="shared" si="3"/>
        <v>Fred Durst</v>
      </c>
      <c r="X1347" s="5">
        <f t="shared" si="4"/>
        <v>1</v>
      </c>
      <c r="Y1347" s="5" t="str">
        <f>IFERROR(__xludf.DUMMYFUNCTION("REGEXEXTRACT(J1347, ""^\d+"")"),"133")</f>
        <v>133</v>
      </c>
      <c r="Z1347" s="5" t="str">
        <f>IFERROR(__xludf.DUMMYFUNCTION("REGEXEXTRACT(J1347, ""[A-Za-z ]+$"")")," min")</f>
        <v> min</v>
      </c>
      <c r="AA1347" s="5" t="str">
        <f>IFERROR(__xludf.DUMMYFUNCTION("IF(REGEXMATCH(Z1347, ""Season""), ""TV Show"", ""Movie"")"),"Movie")</f>
        <v>Movie</v>
      </c>
    </row>
    <row r="1348">
      <c r="A1348" s="1" t="s">
        <v>7928</v>
      </c>
      <c r="B1348" s="1" t="s">
        <v>27</v>
      </c>
      <c r="C1348" s="1" t="s">
        <v>7929</v>
      </c>
      <c r="D1348" s="1" t="s">
        <v>7930</v>
      </c>
      <c r="E1348" s="1" t="s">
        <v>7931</v>
      </c>
      <c r="F1348" s="1" t="s">
        <v>2446</v>
      </c>
      <c r="G1348" s="1" t="s">
        <v>7932</v>
      </c>
      <c r="H1348" s="1">
        <v>2020.0</v>
      </c>
      <c r="I1348" s="1" t="s">
        <v>42</v>
      </c>
      <c r="J1348" s="1" t="s">
        <v>247</v>
      </c>
      <c r="K1348" s="1" t="s">
        <v>583</v>
      </c>
      <c r="L1348" s="1" t="s">
        <v>7933</v>
      </c>
      <c r="M1348" s="2" t="s">
        <v>12</v>
      </c>
      <c r="N1348" s="4">
        <f t="shared" si="1"/>
        <v>44230</v>
      </c>
      <c r="O1348" s="5" t="str">
        <f>IFERROR(__xludf.DUMMYFUNCTION("IF(REGEXMATCH(TRIM(I1348), ""^\d+\s*min""), ""Unclassified"", IF(I1348 = """", ""NR"", I1348))"),"TV-MA")</f>
        <v>TV-MA</v>
      </c>
      <c r="R1348" s="5" t="str">
        <f t="shared" si="2"/>
        <v>All My Friends Are Dead</v>
      </c>
      <c r="S1348" s="5" t="str">
        <f>IFERROR(__xludf.DUMMYFUNCTION("""COMPUTED_VALUE"""),"Cardcaptor Sakura")</f>
        <v>Cardcaptor Sakura</v>
      </c>
      <c r="U1348" s="5" t="str">
        <f>IFERROR(__xludf.DUMMYFUNCTION("""COMPUTED_VALUE"""),"Pablo Aulita")</f>
        <v>Pablo Aulita</v>
      </c>
      <c r="V1348" s="5" t="s">
        <v>7934</v>
      </c>
      <c r="W1348" s="5" t="str">
        <f t="shared" si="3"/>
        <v>Fred M. Wilcox</v>
      </c>
      <c r="X1348" s="5">
        <f t="shared" si="4"/>
        <v>1</v>
      </c>
      <c r="Y1348" s="5" t="str">
        <f>IFERROR(__xludf.DUMMYFUNCTION("REGEXEXTRACT(J1348, ""^\d+"")"),"97")</f>
        <v>97</v>
      </c>
      <c r="Z1348" s="5" t="str">
        <f>IFERROR(__xludf.DUMMYFUNCTION("REGEXEXTRACT(J1348, ""[A-Za-z ]+$"")")," min")</f>
        <v> min</v>
      </c>
      <c r="AA1348" s="5" t="str">
        <f>IFERROR(__xludf.DUMMYFUNCTION("IF(REGEXMATCH(Z1348, ""Season""), ""TV Show"", ""Movie"")"),"Movie")</f>
        <v>Movie</v>
      </c>
    </row>
    <row r="1349">
      <c r="A1349" s="1" t="s">
        <v>7935</v>
      </c>
      <c r="B1349" s="1" t="s">
        <v>27</v>
      </c>
      <c r="C1349" s="1" t="s">
        <v>7936</v>
      </c>
      <c r="D1349" s="1" t="s">
        <v>7296</v>
      </c>
      <c r="E1349" s="1" t="s">
        <v>7937</v>
      </c>
      <c r="F1349" s="1" t="s">
        <v>7938</v>
      </c>
      <c r="G1349" s="1" t="s">
        <v>7932</v>
      </c>
      <c r="H1349" s="1">
        <v>2020.0</v>
      </c>
      <c r="I1349" s="1" t="s">
        <v>42</v>
      </c>
      <c r="J1349" s="1" t="s">
        <v>349</v>
      </c>
      <c r="K1349" s="1" t="s">
        <v>1066</v>
      </c>
      <c r="L1349" s="1" t="s">
        <v>7939</v>
      </c>
      <c r="M1349" s="2" t="s">
        <v>12</v>
      </c>
      <c r="N1349" s="4">
        <f t="shared" si="1"/>
        <v>44230</v>
      </c>
      <c r="O1349" s="5" t="str">
        <f>IFERROR(__xludf.DUMMYFUNCTION("IF(REGEXMATCH(TRIM(I1349), ""^\d+\s*min""), ""Unclassified"", IF(I1349 = """", ""NR"", I1349))"),"TV-MA")</f>
        <v>TV-MA</v>
      </c>
      <c r="R1349" s="5" t="str">
        <f t="shared" si="2"/>
        <v>Black Beach</v>
      </c>
      <c r="S1349" s="5" t="str">
        <f>IFERROR(__xludf.DUMMYFUNCTION("""COMPUTED_VALUE"""),"Care Bears &amp; Cousins")</f>
        <v>Care Bears &amp; Cousins</v>
      </c>
      <c r="U1349" s="5" t="str">
        <f>IFERROR(__xludf.DUMMYFUNCTION("""COMPUTED_VALUE"""),"Manatsanun Phanlerdwongsakul")</f>
        <v>Manatsanun Phanlerdwongsakul</v>
      </c>
      <c r="V1349" s="5" t="s">
        <v>7940</v>
      </c>
      <c r="W1349" s="5" t="str">
        <f t="shared" si="3"/>
        <v>Fred Olen Ray</v>
      </c>
      <c r="X1349" s="5">
        <f t="shared" si="4"/>
        <v>1</v>
      </c>
      <c r="Y1349" s="5" t="str">
        <f>IFERROR(__xludf.DUMMYFUNCTION("REGEXEXTRACT(J1349, ""^\d+"")"),"116")</f>
        <v>116</v>
      </c>
      <c r="Z1349" s="5" t="str">
        <f>IFERROR(__xludf.DUMMYFUNCTION("REGEXEXTRACT(J1349, ""[A-Za-z ]+$"")")," min")</f>
        <v> min</v>
      </c>
      <c r="AA1349" s="5" t="str">
        <f>IFERROR(__xludf.DUMMYFUNCTION("IF(REGEXMATCH(Z1349, ""Season""), ""TV Show"", ""Movie"")"),"Movie")</f>
        <v>Movie</v>
      </c>
    </row>
    <row r="1350">
      <c r="A1350" s="1" t="s">
        <v>7941</v>
      </c>
      <c r="B1350" s="1" t="s">
        <v>37</v>
      </c>
      <c r="C1350" s="1" t="s">
        <v>7942</v>
      </c>
      <c r="E1350" s="1" t="s">
        <v>7943</v>
      </c>
      <c r="F1350" s="1" t="s">
        <v>30</v>
      </c>
      <c r="G1350" s="1" t="s">
        <v>7932</v>
      </c>
      <c r="H1350" s="1">
        <v>2021.0</v>
      </c>
      <c r="I1350" s="1" t="s">
        <v>42</v>
      </c>
      <c r="J1350" s="1" t="s">
        <v>51</v>
      </c>
      <c r="K1350" s="1" t="s">
        <v>3083</v>
      </c>
      <c r="L1350" s="1" t="s">
        <v>7944</v>
      </c>
      <c r="M1350" s="2" t="s">
        <v>12</v>
      </c>
      <c r="N1350" s="4">
        <f t="shared" si="1"/>
        <v>44230</v>
      </c>
      <c r="O1350" s="5" t="str">
        <f>IFERROR(__xludf.DUMMYFUNCTION("IF(REGEXMATCH(TRIM(I1350), ""^\d+\s*min""), ""Unclassified"", IF(I1350 = """", ""NR"", I1350))"),"TV-MA")</f>
        <v>TV-MA</v>
      </c>
      <c r="R1350" s="5" t="str">
        <f t="shared" si="2"/>
        <v>Firefly Lane</v>
      </c>
      <c r="S1350" s="5" t="str">
        <f>IFERROR(__xludf.DUMMYFUNCTION("""COMPUTED_VALUE"""),"Care Bears: Welcome To Care-A-Lot")</f>
        <v>Care Bears: Welcome To Care-A-Lot</v>
      </c>
      <c r="U1350" s="5" t="str">
        <f>IFERROR(__xludf.DUMMYFUNCTION("""COMPUTED_VALUE"""),"Georges Hachem")</f>
        <v>Georges Hachem</v>
      </c>
      <c r="V1350" s="5" t="s">
        <v>2890</v>
      </c>
      <c r="W1350" s="5" t="str">
        <f t="shared" si="3"/>
        <v>Fred Ouro Preto</v>
      </c>
      <c r="X1350" s="5">
        <f t="shared" si="4"/>
        <v>1</v>
      </c>
      <c r="Y1350" s="5" t="str">
        <f>IFERROR(__xludf.DUMMYFUNCTION("REGEXEXTRACT(J1350, ""^\d+"")"),"1")</f>
        <v>1</v>
      </c>
      <c r="Z1350" s="5" t="str">
        <f>IFERROR(__xludf.DUMMYFUNCTION("REGEXEXTRACT(J1350, ""[A-Za-z ]+$"")")," Season")</f>
        <v> Season</v>
      </c>
      <c r="AA1350" s="5" t="str">
        <f>IFERROR(__xludf.DUMMYFUNCTION("IF(REGEXMATCH(Z1350, ""Season""), ""TV Show"", ""Movie"")"),"TV Show")</f>
        <v>TV Show</v>
      </c>
    </row>
    <row r="1351">
      <c r="A1351" s="1" t="s">
        <v>7945</v>
      </c>
      <c r="B1351" s="1" t="s">
        <v>37</v>
      </c>
      <c r="C1351" s="1" t="s">
        <v>7946</v>
      </c>
      <c r="E1351" s="1" t="s">
        <v>7947</v>
      </c>
      <c r="F1351" s="1" t="s">
        <v>1837</v>
      </c>
      <c r="G1351" s="1" t="s">
        <v>7932</v>
      </c>
      <c r="H1351" s="1">
        <v>2012.0</v>
      </c>
      <c r="I1351" s="1" t="s">
        <v>42</v>
      </c>
      <c r="J1351" s="1" t="s">
        <v>51</v>
      </c>
      <c r="K1351" s="1" t="s">
        <v>785</v>
      </c>
      <c r="L1351" s="1" t="s">
        <v>7948</v>
      </c>
      <c r="M1351" s="2" t="s">
        <v>12</v>
      </c>
      <c r="N1351" s="4">
        <f t="shared" si="1"/>
        <v>44230</v>
      </c>
      <c r="O1351" s="5" t="str">
        <f>IFERROR(__xludf.DUMMYFUNCTION("IF(REGEXMATCH(TRIM(I1351), ""^\d+\s*min""), ""Unclassified"", IF(I1351 = """", ""NR"", I1351))"),"TV-MA")</f>
        <v>TV-MA</v>
      </c>
      <c r="R1351" s="5" t="str">
        <f t="shared" si="2"/>
        <v>Pablo Escobar, El Patrón Del Mal</v>
      </c>
      <c r="S1351" s="5" t="str">
        <f>IFERROR(__xludf.DUMMYFUNCTION("""COMPUTED_VALUE"""),"Care Of Kancharapalem")</f>
        <v>Care Of Kancharapalem</v>
      </c>
      <c r="U1351" s="5" t="str">
        <f>IFERROR(__xludf.DUMMYFUNCTION("""COMPUTED_VALUE"""),"Peter Lepeniotis")</f>
        <v>Peter Lepeniotis</v>
      </c>
      <c r="V1351" s="5" t="s">
        <v>7949</v>
      </c>
      <c r="W1351" s="5" t="str">
        <f t="shared" si="3"/>
        <v>Fred Wolf</v>
      </c>
      <c r="X1351" s="5">
        <f t="shared" si="4"/>
        <v>1</v>
      </c>
      <c r="Y1351" s="5" t="str">
        <f>IFERROR(__xludf.DUMMYFUNCTION("REGEXEXTRACT(J1351, ""^\d+"")"),"1")</f>
        <v>1</v>
      </c>
      <c r="Z1351" s="5" t="str">
        <f>IFERROR(__xludf.DUMMYFUNCTION("REGEXEXTRACT(J1351, ""[A-Za-z ]+$"")")," Season")</f>
        <v> Season</v>
      </c>
      <c r="AA1351" s="5" t="str">
        <f>IFERROR(__xludf.DUMMYFUNCTION("IF(REGEXMATCH(Z1351, ""Season""), ""TV Show"", ""Movie"")"),"TV Show")</f>
        <v>TV Show</v>
      </c>
    </row>
    <row r="1352">
      <c r="A1352" s="1" t="s">
        <v>7950</v>
      </c>
      <c r="B1352" s="1" t="s">
        <v>37</v>
      </c>
      <c r="C1352" s="1" t="s">
        <v>7951</v>
      </c>
      <c r="E1352" s="1" t="s">
        <v>7952</v>
      </c>
      <c r="F1352" s="1" t="s">
        <v>30</v>
      </c>
      <c r="G1352" s="1" t="s">
        <v>7932</v>
      </c>
      <c r="H1352" s="1">
        <v>2018.0</v>
      </c>
      <c r="I1352" s="1" t="s">
        <v>289</v>
      </c>
      <c r="J1352" s="1" t="s">
        <v>43</v>
      </c>
      <c r="K1352" s="1" t="s">
        <v>290</v>
      </c>
      <c r="L1352" s="1" t="s">
        <v>7953</v>
      </c>
      <c r="M1352" s="2" t="s">
        <v>12</v>
      </c>
      <c r="N1352" s="4">
        <f t="shared" si="1"/>
        <v>44230</v>
      </c>
      <c r="O1352" s="5" t="str">
        <f>IFERROR(__xludf.DUMMYFUNCTION("IF(REGEXMATCH(TRIM(I1352), ""^\d+\s*min""), ""Unclassified"", IF(I1352 = """", ""NR"", I1352))"),"TV-Y7")</f>
        <v>TV-Y7</v>
      </c>
      <c r="R1352" s="5" t="str">
        <f t="shared" si="2"/>
        <v>Power Rangers Ninja Steel</v>
      </c>
      <c r="S1352" s="5" t="str">
        <f>IFERROR(__xludf.DUMMYFUNCTION("""COMPUTED_VALUE"""),"Caregiver")</f>
        <v>Caregiver</v>
      </c>
      <c r="U1352" s="5" t="str">
        <f>IFERROR(__xludf.DUMMYFUNCTION("""COMPUTED_VALUE"""),"Jim Hosking")</f>
        <v>Jim Hosking</v>
      </c>
      <c r="V1352" s="5" t="s">
        <v>7954</v>
      </c>
      <c r="W1352" s="5" t="str">
        <f t="shared" si="3"/>
        <v>Frédéric Tonolli</v>
      </c>
      <c r="X1352" s="5">
        <f t="shared" si="4"/>
        <v>1</v>
      </c>
      <c r="Y1352" s="5" t="str">
        <f>IFERROR(__xludf.DUMMYFUNCTION("REGEXEXTRACT(J1352, ""^\d+"")"),"2")</f>
        <v>2</v>
      </c>
      <c r="Z1352" s="5" t="str">
        <f>IFERROR(__xludf.DUMMYFUNCTION("REGEXEXTRACT(J1352, ""[A-Za-z ]+$"")")," Seasons")</f>
        <v> Seasons</v>
      </c>
      <c r="AA1352" s="5" t="str">
        <f>IFERROR(__xludf.DUMMYFUNCTION("IF(REGEXMATCH(Z1352, ""Season""), ""TV Show"", ""Movie"")"),"TV Show")</f>
        <v>TV Show</v>
      </c>
    </row>
    <row r="1353">
      <c r="A1353" s="1" t="s">
        <v>7955</v>
      </c>
      <c r="B1353" s="1" t="s">
        <v>27</v>
      </c>
      <c r="C1353" s="1" t="s">
        <v>7956</v>
      </c>
      <c r="D1353" s="1" t="s">
        <v>7957</v>
      </c>
      <c r="E1353" s="1" t="s">
        <v>7958</v>
      </c>
      <c r="F1353" s="1" t="s">
        <v>162</v>
      </c>
      <c r="G1353" s="1" t="s">
        <v>7959</v>
      </c>
      <c r="H1353" s="1">
        <v>2020.0</v>
      </c>
      <c r="I1353" s="1" t="s">
        <v>136</v>
      </c>
      <c r="J1353" s="1" t="s">
        <v>2566</v>
      </c>
      <c r="K1353" s="1" t="s">
        <v>3585</v>
      </c>
      <c r="L1353" s="1" t="s">
        <v>7960</v>
      </c>
      <c r="M1353" s="2" t="s">
        <v>12</v>
      </c>
      <c r="N1353" s="4">
        <f t="shared" si="1"/>
        <v>44229</v>
      </c>
      <c r="O1353" s="5" t="str">
        <f>IFERROR(__xludf.DUMMYFUNCTION("IF(REGEXMATCH(TRIM(I1353), ""^\d+\s*min""), ""Unclassified"", IF(I1353 = """", ""NR"", I1353))"),"TV-PG")</f>
        <v>TV-PG</v>
      </c>
      <c r="R1353" s="5" t="str">
        <f t="shared" si="2"/>
        <v>Our Lady Of San Juan, Four Centuries Of Miracles</v>
      </c>
      <c r="S1353" s="5" t="str">
        <f>IFERROR(__xludf.DUMMYFUNCTION("""COMPUTED_VALUE"""),"Cargo")</f>
        <v>Cargo</v>
      </c>
      <c r="U1353" s="5" t="str">
        <f>IFERROR(__xludf.DUMMYFUNCTION("""COMPUTED_VALUE"""),"Paco Aguilar")</f>
        <v>Paco Aguilar</v>
      </c>
      <c r="V1353" s="5" t="s">
        <v>7961</v>
      </c>
      <c r="W1353" s="5" t="str">
        <f t="shared" si="3"/>
        <v>Frederick Cipoletti</v>
      </c>
      <c r="X1353" s="5">
        <f t="shared" si="4"/>
        <v>1</v>
      </c>
      <c r="Y1353" s="5" t="str">
        <f>IFERROR(__xludf.DUMMYFUNCTION("REGEXEXTRACT(J1353, ""^\d+"")"),"123")</f>
        <v>123</v>
      </c>
      <c r="Z1353" s="5" t="str">
        <f>IFERROR(__xludf.DUMMYFUNCTION("REGEXEXTRACT(J1353, ""[A-Za-z ]+$"")")," min")</f>
        <v> min</v>
      </c>
      <c r="AA1353" s="5" t="str">
        <f>IFERROR(__xludf.DUMMYFUNCTION("IF(REGEXMATCH(Z1353, ""Season""), ""TV Show"", ""Movie"")"),"Movie")</f>
        <v>Movie</v>
      </c>
    </row>
    <row r="1354">
      <c r="A1354" s="1" t="s">
        <v>7962</v>
      </c>
      <c r="B1354" s="1" t="s">
        <v>37</v>
      </c>
      <c r="C1354" s="1" t="s">
        <v>7963</v>
      </c>
      <c r="E1354" s="1" t="s">
        <v>7964</v>
      </c>
      <c r="F1354" s="1" t="s">
        <v>30</v>
      </c>
      <c r="G1354" s="1" t="s">
        <v>7959</v>
      </c>
      <c r="H1354" s="1">
        <v>2021.0</v>
      </c>
      <c r="I1354" s="1" t="s">
        <v>42</v>
      </c>
      <c r="J1354" s="1" t="s">
        <v>43</v>
      </c>
      <c r="K1354" s="1" t="s">
        <v>2512</v>
      </c>
      <c r="L1354" s="1" t="s">
        <v>7965</v>
      </c>
      <c r="M1354" s="2" t="s">
        <v>12</v>
      </c>
      <c r="N1354" s="4">
        <f t="shared" si="1"/>
        <v>44229</v>
      </c>
      <c r="O1354" s="5" t="str">
        <f>IFERROR(__xludf.DUMMYFUNCTION("IF(REGEXMATCH(TRIM(I1354), ""^\d+\s*min""), ""Unclassified"", IF(I1354 = """", ""NR"", I1354))"),"TV-MA")</f>
        <v>TV-MA</v>
      </c>
      <c r="R1354" s="5" t="str">
        <f t="shared" si="2"/>
        <v>Tiffany Haddish Presents: They Ready</v>
      </c>
      <c r="S1354" s="5" t="str">
        <f>IFERROR(__xludf.DUMMYFUNCTION("""COMPUTED_VALUE"""),"Carlos Almaraz: Playing With Fire")</f>
        <v>Carlos Almaraz: Playing With Fire</v>
      </c>
      <c r="U1354" s="5" t="str">
        <f>IFERROR(__xludf.DUMMYFUNCTION("""COMPUTED_VALUE"""),"Greg Mclean")</f>
        <v>Greg Mclean</v>
      </c>
      <c r="V1354" s="5" t="s">
        <v>7966</v>
      </c>
      <c r="W1354" s="5" t="str">
        <f t="shared" si="3"/>
        <v>Fredric Lean</v>
      </c>
      <c r="X1354" s="5">
        <f t="shared" si="4"/>
        <v>1</v>
      </c>
      <c r="Y1354" s="5" t="str">
        <f>IFERROR(__xludf.DUMMYFUNCTION("REGEXEXTRACT(J1354, ""^\d+"")"),"2")</f>
        <v>2</v>
      </c>
      <c r="Z1354" s="5" t="str">
        <f>IFERROR(__xludf.DUMMYFUNCTION("REGEXEXTRACT(J1354, ""[A-Za-z ]+$"")")," Seasons")</f>
        <v> Seasons</v>
      </c>
      <c r="AA1354" s="5" t="str">
        <f>IFERROR(__xludf.DUMMYFUNCTION("IF(REGEXMATCH(Z1354, ""Season""), ""TV Show"", ""Movie"")"),"TV Show")</f>
        <v>TV Show</v>
      </c>
    </row>
    <row r="1355">
      <c r="A1355" s="1" t="s">
        <v>7967</v>
      </c>
      <c r="B1355" s="1" t="s">
        <v>27</v>
      </c>
      <c r="C1355" s="1" t="s">
        <v>7968</v>
      </c>
      <c r="D1355" s="1" t="s">
        <v>235</v>
      </c>
      <c r="E1355" s="1" t="s">
        <v>7969</v>
      </c>
      <c r="F1355" s="1" t="s">
        <v>30</v>
      </c>
      <c r="G1355" s="1" t="s">
        <v>7970</v>
      </c>
      <c r="H1355" s="1">
        <v>1997.0</v>
      </c>
      <c r="I1355" s="1" t="s">
        <v>32</v>
      </c>
      <c r="J1355" s="1" t="s">
        <v>1191</v>
      </c>
      <c r="K1355" s="1" t="s">
        <v>973</v>
      </c>
      <c r="L1355" s="1" t="s">
        <v>7971</v>
      </c>
      <c r="M1355" s="2" t="s">
        <v>12</v>
      </c>
      <c r="N1355" s="4">
        <f t="shared" si="1"/>
        <v>44228</v>
      </c>
      <c r="O1355" s="5" t="str">
        <f>IFERROR(__xludf.DUMMYFUNCTION("IF(REGEXMATCH(TRIM(I1355), ""^\d+\s*min""), ""Unclassified"", IF(I1355 = """", ""NR"", I1355))"),"PG-13")</f>
        <v>PG-13</v>
      </c>
      <c r="R1355" s="5" t="str">
        <f t="shared" si="2"/>
        <v>Beverly Hills Ninja</v>
      </c>
      <c r="S1355" s="5" t="str">
        <f>IFERROR(__xludf.DUMMYFUNCTION("""COMPUTED_VALUE"""),"Carlos Ballarta: El Amor Es De Putos")</f>
        <v>Carlos Ballarta: El Amor Es De Putos</v>
      </c>
      <c r="U1355" s="5" t="str">
        <f>IFERROR(__xludf.DUMMYFUNCTION("""COMPUTED_VALUE"""),"Juan José Campanella")</f>
        <v>Juan José Campanella</v>
      </c>
      <c r="V1355" s="5" t="s">
        <v>6370</v>
      </c>
      <c r="W1355" s="5" t="str">
        <f t="shared" si="3"/>
        <v>Fredrick Munk</v>
      </c>
      <c r="X1355" s="5">
        <f t="shared" si="4"/>
        <v>1</v>
      </c>
      <c r="Y1355" s="5" t="str">
        <f>IFERROR(__xludf.DUMMYFUNCTION("REGEXEXTRACT(J1355, ""^\d+"")"),"89")</f>
        <v>89</v>
      </c>
      <c r="Z1355" s="5" t="str">
        <f>IFERROR(__xludf.DUMMYFUNCTION("REGEXEXTRACT(J1355, ""[A-Za-z ]+$"")")," min")</f>
        <v> min</v>
      </c>
      <c r="AA1355" s="5" t="str">
        <f>IFERROR(__xludf.DUMMYFUNCTION("IF(REGEXMATCH(Z1355, ""Season""), ""TV Show"", ""Movie"")"),"Movie")</f>
        <v>Movie</v>
      </c>
    </row>
    <row r="1356">
      <c r="A1356" s="1" t="s">
        <v>7972</v>
      </c>
      <c r="B1356" s="1" t="s">
        <v>37</v>
      </c>
      <c r="C1356" s="1" t="s">
        <v>7973</v>
      </c>
      <c r="E1356" s="1" t="s">
        <v>7974</v>
      </c>
      <c r="F1356" s="1" t="s">
        <v>1106</v>
      </c>
      <c r="G1356" s="1" t="s">
        <v>7970</v>
      </c>
      <c r="H1356" s="1">
        <v>2019.0</v>
      </c>
      <c r="I1356" s="1" t="s">
        <v>97</v>
      </c>
      <c r="J1356" s="1" t="s">
        <v>7975</v>
      </c>
      <c r="K1356" s="1" t="s">
        <v>2709</v>
      </c>
      <c r="L1356" s="1" t="s">
        <v>7976</v>
      </c>
      <c r="M1356" s="2" t="s">
        <v>12</v>
      </c>
      <c r="N1356" s="4">
        <f t="shared" si="1"/>
        <v>44228</v>
      </c>
      <c r="O1356" s="5" t="str">
        <f>IFERROR(__xludf.DUMMYFUNCTION("IF(REGEXMATCH(TRIM(I1356), ""^\d+\s*min""), ""Unclassified"", IF(I1356 = """", ""NR"", I1356))"),"TV-14")</f>
        <v>TV-14</v>
      </c>
      <c r="R1356" s="5" t="str">
        <f t="shared" si="2"/>
        <v>Heartland</v>
      </c>
      <c r="S1356" s="5" t="str">
        <f>IFERROR(__xludf.DUMMYFUNCTION("""COMPUTED_VALUE"""),"Carlos Ballarta: Furia Ñera")</f>
        <v>Carlos Ballarta: Furia Ñera</v>
      </c>
      <c r="U1356" s="5" t="str">
        <f>IFERROR(__xludf.DUMMYFUNCTION("""COMPUTED_VALUE"""),"A. Raajdheep")</f>
        <v>A. Raajdheep</v>
      </c>
      <c r="V1356" s="5" t="s">
        <v>7977</v>
      </c>
      <c r="W1356" s="5" t="str">
        <f t="shared" si="3"/>
        <v>Fritz Böhm</v>
      </c>
      <c r="X1356" s="5">
        <f t="shared" si="4"/>
        <v>1</v>
      </c>
      <c r="Y1356" s="5" t="str">
        <f>IFERROR(__xludf.DUMMYFUNCTION("REGEXEXTRACT(J1356, ""^\d+"")"),"13")</f>
        <v>13</v>
      </c>
      <c r="Z1356" s="5" t="str">
        <f>IFERROR(__xludf.DUMMYFUNCTION("REGEXEXTRACT(J1356, ""[A-Za-z ]+$"")")," Seasons")</f>
        <v> Seasons</v>
      </c>
      <c r="AA1356" s="5" t="str">
        <f>IFERROR(__xludf.DUMMYFUNCTION("IF(REGEXMATCH(Z1356, ""Season""), ""TV Show"", ""Movie"")"),"TV Show")</f>
        <v>TV Show</v>
      </c>
    </row>
    <row r="1357">
      <c r="A1357" s="1" t="s">
        <v>7978</v>
      </c>
      <c r="B1357" s="1" t="s">
        <v>37</v>
      </c>
      <c r="C1357" s="1" t="s">
        <v>7979</v>
      </c>
      <c r="E1357" s="1" t="s">
        <v>7980</v>
      </c>
      <c r="F1357" s="1" t="s">
        <v>30</v>
      </c>
      <c r="G1357" s="1" t="s">
        <v>7970</v>
      </c>
      <c r="H1357" s="1">
        <v>2018.0</v>
      </c>
      <c r="I1357" s="1" t="s">
        <v>97</v>
      </c>
      <c r="J1357" s="1" t="s">
        <v>51</v>
      </c>
      <c r="K1357" s="1" t="s">
        <v>7981</v>
      </c>
      <c r="L1357" s="1" t="s">
        <v>7982</v>
      </c>
      <c r="M1357" s="2" t="s">
        <v>12</v>
      </c>
      <c r="N1357" s="4">
        <f t="shared" si="1"/>
        <v>44228</v>
      </c>
      <c r="O1357" s="5" t="str">
        <f>IFERROR(__xludf.DUMMYFUNCTION("IF(REGEXMATCH(TRIM(I1357), ""^\d+\s*min""), ""Unclassified"", IF(I1357 = """", ""NR"", I1357))"),"TV-14")</f>
        <v>TV-14</v>
      </c>
      <c r="R1357" s="5" t="str">
        <f t="shared" si="2"/>
        <v>Love Daily</v>
      </c>
      <c r="S1357" s="5" t="str">
        <f>IFERROR(__xludf.DUMMYFUNCTION("""COMPUTED_VALUE"""),"Carmel: Who Killed Maria Marta?")</f>
        <v>Carmel: Who Killed Maria Marta?</v>
      </c>
      <c r="U1357" s="5" t="str">
        <f>IFERROR(__xludf.DUMMYFUNCTION("""COMPUTED_VALUE"""),"Fajar Bustomi, Pidi Baiq")</f>
        <v>Fajar Bustomi, Pidi Baiq</v>
      </c>
      <c r="V1357" s="5" t="s">
        <v>7983</v>
      </c>
      <c r="W1357" s="5" t="str">
        <f t="shared" si="3"/>
        <v>Fritz Ofner</v>
      </c>
      <c r="X1357" s="5">
        <f t="shared" si="4"/>
        <v>1</v>
      </c>
      <c r="Y1357" s="5" t="str">
        <f>IFERROR(__xludf.DUMMYFUNCTION("REGEXEXTRACT(J1357, ""^\d+"")"),"1")</f>
        <v>1</v>
      </c>
      <c r="Z1357" s="5" t="str">
        <f>IFERROR(__xludf.DUMMYFUNCTION("REGEXEXTRACT(J1357, ""[A-Za-z ]+$"")")," Season")</f>
        <v> Season</v>
      </c>
      <c r="AA1357" s="5" t="str">
        <f>IFERROR(__xludf.DUMMYFUNCTION("IF(REGEXMATCH(Z1357, ""Season""), ""TV Show"", ""Movie"")"),"TV Show")</f>
        <v>TV Show</v>
      </c>
    </row>
    <row r="1358">
      <c r="A1358" s="1" t="s">
        <v>7984</v>
      </c>
      <c r="B1358" s="1" t="s">
        <v>37</v>
      </c>
      <c r="C1358" s="1" t="s">
        <v>7985</v>
      </c>
      <c r="E1358" s="1" t="s">
        <v>7986</v>
      </c>
      <c r="F1358" s="1" t="s">
        <v>30</v>
      </c>
      <c r="G1358" s="1" t="s">
        <v>7970</v>
      </c>
      <c r="H1358" s="1">
        <v>2018.0</v>
      </c>
      <c r="I1358" s="1" t="s">
        <v>97</v>
      </c>
      <c r="J1358" s="1" t="s">
        <v>51</v>
      </c>
      <c r="K1358" s="1" t="s">
        <v>7987</v>
      </c>
      <c r="L1358" s="1" t="s">
        <v>7988</v>
      </c>
      <c r="M1358" s="2" t="s">
        <v>12</v>
      </c>
      <c r="N1358" s="4">
        <f t="shared" si="1"/>
        <v>44228</v>
      </c>
      <c r="O1358" s="5" t="str">
        <f>IFERROR(__xludf.DUMMYFUNCTION("IF(REGEXMATCH(TRIM(I1358), ""^\d+\s*min""), ""Unclassified"", IF(I1358 = """", ""NR"", I1358))"),"TV-14")</f>
        <v>TV-14</v>
      </c>
      <c r="R1358" s="5" t="str">
        <f t="shared" si="2"/>
        <v>My Dead Ex</v>
      </c>
      <c r="S1358" s="5" t="str">
        <f>IFERROR(__xludf.DUMMYFUNCTION("""COMPUTED_VALUE"""),"Carmen Sandiego")</f>
        <v>Carmen Sandiego</v>
      </c>
      <c r="U1358" s="5" t="str">
        <f>IFERROR(__xludf.DUMMYFUNCTION("""COMPUTED_VALUE"""),"Nicholas Kharkongor")</f>
        <v>Nicholas Kharkongor</v>
      </c>
      <c r="V1358" s="5" t="s">
        <v>7989</v>
      </c>
      <c r="W1358" s="5" t="str">
        <f t="shared" si="3"/>
        <v>Fumihiko Sori</v>
      </c>
      <c r="X1358" s="5">
        <f t="shared" si="4"/>
        <v>1</v>
      </c>
      <c r="Y1358" s="5" t="str">
        <f>IFERROR(__xludf.DUMMYFUNCTION("REGEXEXTRACT(J1358, ""^\d+"")"),"1")</f>
        <v>1</v>
      </c>
      <c r="Z1358" s="5" t="str">
        <f>IFERROR(__xludf.DUMMYFUNCTION("REGEXEXTRACT(J1358, ""[A-Za-z ]+$"")")," Season")</f>
        <v> Season</v>
      </c>
      <c r="AA1358" s="5" t="str">
        <f>IFERROR(__xludf.DUMMYFUNCTION("IF(REGEXMATCH(Z1358, ""Season""), ""TV Show"", ""Movie"")"),"TV Show")</f>
        <v>TV Show</v>
      </c>
    </row>
    <row r="1359">
      <c r="A1359" s="1" t="s">
        <v>7990</v>
      </c>
      <c r="B1359" s="1" t="s">
        <v>27</v>
      </c>
      <c r="C1359" s="1" t="s">
        <v>7991</v>
      </c>
      <c r="D1359" s="1" t="s">
        <v>7992</v>
      </c>
      <c r="E1359" s="1" t="s">
        <v>7993</v>
      </c>
      <c r="F1359" s="1" t="s">
        <v>96</v>
      </c>
      <c r="G1359" s="1" t="s">
        <v>7970</v>
      </c>
      <c r="H1359" s="1">
        <v>2019.0</v>
      </c>
      <c r="I1359" s="1" t="s">
        <v>42</v>
      </c>
      <c r="J1359" s="1" t="s">
        <v>454</v>
      </c>
      <c r="K1359" s="1" t="s">
        <v>805</v>
      </c>
      <c r="L1359" s="1" t="s">
        <v>7994</v>
      </c>
      <c r="M1359" s="2" t="s">
        <v>12</v>
      </c>
      <c r="N1359" s="4">
        <f t="shared" si="1"/>
        <v>44228</v>
      </c>
      <c r="O1359" s="5" t="str">
        <f>IFERROR(__xludf.DUMMYFUNCTION("IF(REGEXMATCH(TRIM(I1359), ""^\d+\s*min""), ""Unclassified"", IF(I1359 = """", ""NR"", I1359))"),"TV-MA")</f>
        <v>TV-MA</v>
      </c>
      <c r="R1359" s="5" t="str">
        <f t="shared" si="2"/>
        <v>Rocks</v>
      </c>
      <c r="S1359" s="5" t="str">
        <f>IFERROR(__xludf.DUMMYFUNCTION("""COMPUTED_VALUE"""),"Carmen Sandiego: To Steal Or Not To Steal")</f>
        <v>Carmen Sandiego: To Steal Or Not To Steal</v>
      </c>
      <c r="U1359" s="5" t="str">
        <f>IFERROR(__xludf.DUMMYFUNCTION("""COMPUTED_VALUE"""),"Michael Mckay")</f>
        <v>Michael Mckay</v>
      </c>
      <c r="V1359" s="5" t="s">
        <v>7995</v>
      </c>
      <c r="W1359" s="5" t="str">
        <f t="shared" si="3"/>
        <v>Funke Akindele</v>
      </c>
      <c r="X1359" s="5">
        <f t="shared" si="4"/>
        <v>1</v>
      </c>
      <c r="Y1359" s="5" t="str">
        <f>IFERROR(__xludf.DUMMYFUNCTION("REGEXEXTRACT(J1359, ""^\d+"")"),"93")</f>
        <v>93</v>
      </c>
      <c r="Z1359" s="5" t="str">
        <f>IFERROR(__xludf.DUMMYFUNCTION("REGEXEXTRACT(J1359, ""[A-Za-z ]+$"")")," min")</f>
        <v> min</v>
      </c>
      <c r="AA1359" s="5" t="str">
        <f>IFERROR(__xludf.DUMMYFUNCTION("IF(REGEXMATCH(Z1359, ""Season""), ""TV Show"", ""Movie"")"),"Movie")</f>
        <v>Movie</v>
      </c>
    </row>
    <row r="1360">
      <c r="A1360" s="1" t="s">
        <v>7996</v>
      </c>
      <c r="B1360" s="1" t="s">
        <v>27</v>
      </c>
      <c r="C1360" s="1" t="s">
        <v>7997</v>
      </c>
      <c r="D1360" s="1" t="s">
        <v>7998</v>
      </c>
      <c r="E1360" s="1" t="s">
        <v>7999</v>
      </c>
      <c r="F1360" s="1" t="s">
        <v>30</v>
      </c>
      <c r="G1360" s="1" t="s">
        <v>7970</v>
      </c>
      <c r="H1360" s="1">
        <v>2010.0</v>
      </c>
      <c r="I1360" s="1" t="s">
        <v>378</v>
      </c>
      <c r="J1360" s="1" t="s">
        <v>1938</v>
      </c>
      <c r="K1360" s="1" t="s">
        <v>171</v>
      </c>
      <c r="L1360" s="1" t="s">
        <v>8000</v>
      </c>
      <c r="M1360" s="2" t="s">
        <v>12</v>
      </c>
      <c r="N1360" s="4">
        <f t="shared" si="1"/>
        <v>44228</v>
      </c>
      <c r="O1360" s="5" t="str">
        <f>IFERROR(__xludf.DUMMYFUNCTION("IF(REGEXMATCH(TRIM(I1360), ""^\d+\s*min""), ""Unclassified"", IF(I1360 = """", ""NR"", I1360))"),"R")</f>
        <v>R</v>
      </c>
      <c r="R1360" s="5" t="str">
        <f t="shared" si="2"/>
        <v>Shutter Island</v>
      </c>
      <c r="S1360" s="5" t="str">
        <f>IFERROR(__xludf.DUMMYFUNCTION("""COMPUTED_VALUE"""),"Carnaval")</f>
        <v>Carnaval</v>
      </c>
      <c r="U1360" s="5" t="str">
        <f>IFERROR(__xludf.DUMMYFUNCTION("""COMPUTED_VALUE"""),"Kitaro Kosaka")</f>
        <v>Kitaro Kosaka</v>
      </c>
      <c r="V1360" s="5" t="s">
        <v>8001</v>
      </c>
      <c r="W1360" s="5" t="str">
        <f t="shared" si="3"/>
        <v>Fuwad Khan</v>
      </c>
      <c r="X1360" s="5">
        <f t="shared" si="4"/>
        <v>1</v>
      </c>
      <c r="Y1360" s="5" t="str">
        <f>IFERROR(__xludf.DUMMYFUNCTION("REGEXEXTRACT(J1360, ""^\d+"")"),"139")</f>
        <v>139</v>
      </c>
      <c r="Z1360" s="5" t="str">
        <f>IFERROR(__xludf.DUMMYFUNCTION("REGEXEXTRACT(J1360, ""[A-Za-z ]+$"")")," min")</f>
        <v> min</v>
      </c>
      <c r="AA1360" s="5" t="str">
        <f>IFERROR(__xludf.DUMMYFUNCTION("IF(REGEXMATCH(Z1360, ""Season""), ""TV Show"", ""Movie"")"),"Movie")</f>
        <v>Movie</v>
      </c>
    </row>
    <row r="1361">
      <c r="A1361" s="1" t="s">
        <v>8002</v>
      </c>
      <c r="B1361" s="1" t="s">
        <v>27</v>
      </c>
      <c r="C1361" s="1" t="s">
        <v>8003</v>
      </c>
      <c r="D1361" s="1" t="s">
        <v>1543</v>
      </c>
      <c r="E1361" s="1" t="s">
        <v>8004</v>
      </c>
      <c r="F1361" s="1" t="s">
        <v>8005</v>
      </c>
      <c r="G1361" s="1" t="s">
        <v>7970</v>
      </c>
      <c r="H1361" s="1">
        <v>2008.0</v>
      </c>
      <c r="I1361" s="1" t="s">
        <v>378</v>
      </c>
      <c r="J1361" s="1" t="s">
        <v>1243</v>
      </c>
      <c r="K1361" s="1" t="s">
        <v>298</v>
      </c>
      <c r="L1361" s="1" t="s">
        <v>8006</v>
      </c>
      <c r="M1361" s="2" t="s">
        <v>12</v>
      </c>
      <c r="N1361" s="4">
        <f t="shared" si="1"/>
        <v>44228</v>
      </c>
      <c r="O1361" s="5" t="str">
        <f>IFERROR(__xludf.DUMMYFUNCTION("IF(REGEXMATCH(TRIM(I1361), ""^\d+\s*min""), ""Unclassified"", IF(I1361 = """", ""NR"", I1361))"),"R")</f>
        <v>R</v>
      </c>
      <c r="R1361" s="5" t="str">
        <f t="shared" si="2"/>
        <v>The Bank Job</v>
      </c>
      <c r="S1361" s="5" t="str">
        <f>IFERROR(__xludf.DUMMYFUNCTION("""COMPUTED_VALUE"""),"Carol")</f>
        <v>Carol</v>
      </c>
      <c r="U1361" s="5" t="str">
        <f>IFERROR(__xludf.DUMMYFUNCTION("""COMPUTED_VALUE"""),"Ali F. Mostafa")</f>
        <v>Ali F. Mostafa</v>
      </c>
      <c r="V1361" s="5" t="s">
        <v>8007</v>
      </c>
      <c r="W1361" s="5" t="str">
        <f t="shared" si="3"/>
        <v>G.J. Echternkamp</v>
      </c>
      <c r="X1361" s="5">
        <f t="shared" si="4"/>
        <v>3</v>
      </c>
      <c r="Y1361" s="5" t="str">
        <f>IFERROR(__xludf.DUMMYFUNCTION("REGEXEXTRACT(J1361, ""^\d+"")"),"112")</f>
        <v>112</v>
      </c>
      <c r="Z1361" s="5" t="str">
        <f>IFERROR(__xludf.DUMMYFUNCTION("REGEXEXTRACT(J1361, ""[A-Za-z ]+$"")")," min")</f>
        <v> min</v>
      </c>
      <c r="AA1361" s="5" t="str">
        <f>IFERROR(__xludf.DUMMYFUNCTION("IF(REGEXMATCH(Z1361, ""Season""), ""TV Show"", ""Movie"")"),"Movie")</f>
        <v>Movie</v>
      </c>
    </row>
    <row r="1362">
      <c r="A1362" s="1" t="s">
        <v>8008</v>
      </c>
      <c r="B1362" s="1" t="s">
        <v>37</v>
      </c>
      <c r="C1362" s="1" t="s">
        <v>8009</v>
      </c>
      <c r="D1362" s="1" t="s">
        <v>8010</v>
      </c>
      <c r="E1362" s="1" t="s">
        <v>8011</v>
      </c>
      <c r="F1362" s="1" t="s">
        <v>4287</v>
      </c>
      <c r="G1362" s="1" t="s">
        <v>7970</v>
      </c>
      <c r="H1362" s="1">
        <v>2020.0</v>
      </c>
      <c r="I1362" s="1" t="s">
        <v>42</v>
      </c>
      <c r="J1362" s="1" t="s">
        <v>51</v>
      </c>
      <c r="K1362" s="1" t="s">
        <v>64</v>
      </c>
      <c r="L1362" s="1" t="s">
        <v>8012</v>
      </c>
      <c r="M1362" s="2" t="s">
        <v>12</v>
      </c>
      <c r="N1362" s="4">
        <f t="shared" si="1"/>
        <v>44228</v>
      </c>
      <c r="O1362" s="5" t="str">
        <f>IFERROR(__xludf.DUMMYFUNCTION("IF(REGEXMATCH(TRIM(I1362), ""^\d+\s*min""), ""Unclassified"", IF(I1362 = """", ""NR"", I1362))"),"TV-MA")</f>
        <v>TV-MA</v>
      </c>
      <c r="R1362" s="5" t="str">
        <f t="shared" si="2"/>
        <v>The House Arrest Of Us</v>
      </c>
      <c r="S1362" s="5" t="str">
        <f>IFERROR(__xludf.DUMMYFUNCTION("""COMPUTED_VALUE"""),"Carole &amp; Tuesday")</f>
        <v>Carole &amp; Tuesday</v>
      </c>
      <c r="U1362" s="5" t="str">
        <f>IFERROR(__xludf.DUMMYFUNCTION("""COMPUTED_VALUE"""),"Ayman Makram")</f>
        <v>Ayman Makram</v>
      </c>
      <c r="V1362" s="5" t="s">
        <v>8013</v>
      </c>
      <c r="W1362" s="5" t="str">
        <f t="shared" si="3"/>
        <v>Gabe Ibáñez</v>
      </c>
      <c r="X1362" s="5">
        <f t="shared" si="4"/>
        <v>1</v>
      </c>
      <c r="Y1362" s="5" t="str">
        <f>IFERROR(__xludf.DUMMYFUNCTION("REGEXEXTRACT(J1362, ""^\d+"")"),"1")</f>
        <v>1</v>
      </c>
      <c r="Z1362" s="5" t="str">
        <f>IFERROR(__xludf.DUMMYFUNCTION("REGEXEXTRACT(J1362, ""[A-Za-z ]+$"")")," Season")</f>
        <v> Season</v>
      </c>
      <c r="AA1362" s="5" t="str">
        <f>IFERROR(__xludf.DUMMYFUNCTION("IF(REGEXMATCH(Z1362, ""Season""), ""TV Show"", ""Movie"")"),"TV Show")</f>
        <v>TV Show</v>
      </c>
    </row>
    <row r="1363">
      <c r="A1363" s="1" t="s">
        <v>8014</v>
      </c>
      <c r="B1363" s="1" t="s">
        <v>37</v>
      </c>
      <c r="C1363" s="1" t="s">
        <v>8015</v>
      </c>
      <c r="E1363" s="1" t="s">
        <v>8016</v>
      </c>
      <c r="F1363" s="1" t="s">
        <v>30</v>
      </c>
      <c r="G1363" s="1" t="s">
        <v>7970</v>
      </c>
      <c r="H1363" s="1">
        <v>2019.0</v>
      </c>
      <c r="I1363" s="1" t="s">
        <v>97</v>
      </c>
      <c r="J1363" s="1" t="s">
        <v>51</v>
      </c>
      <c r="K1363" s="1" t="s">
        <v>7548</v>
      </c>
      <c r="L1363" s="1" t="s">
        <v>8017</v>
      </c>
      <c r="M1363" s="2" t="s">
        <v>12</v>
      </c>
      <c r="N1363" s="4">
        <f t="shared" si="1"/>
        <v>44228</v>
      </c>
      <c r="O1363" s="5" t="str">
        <f>IFERROR(__xludf.DUMMYFUNCTION("IF(REGEXMATCH(TRIM(I1363), ""^\d+\s*min""), ""Unclassified"", IF(I1363 = """", ""NR"", I1363))"),"TV-14")</f>
        <v>TV-14</v>
      </c>
      <c r="R1363" s="5" t="str">
        <f t="shared" si="2"/>
        <v>The Unsettling</v>
      </c>
      <c r="S1363" s="5" t="str">
        <f>IFERROR(__xludf.DUMMYFUNCTION("""COMPUTED_VALUE"""),"Carrie")</f>
        <v>Carrie</v>
      </c>
      <c r="U1363" s="5" t="str">
        <f>IFERROR(__xludf.DUMMYFUNCTION("""COMPUTED_VALUE"""),"George Gallo")</f>
        <v>George Gallo</v>
      </c>
      <c r="V1363" s="5" t="s">
        <v>8018</v>
      </c>
      <c r="W1363" s="5" t="str">
        <f t="shared" si="3"/>
        <v>Gabe Klinger</v>
      </c>
      <c r="X1363" s="5">
        <f t="shared" si="4"/>
        <v>1</v>
      </c>
      <c r="Y1363" s="5" t="str">
        <f>IFERROR(__xludf.DUMMYFUNCTION("REGEXEXTRACT(J1363, ""^\d+"")"),"1")</f>
        <v>1</v>
      </c>
      <c r="Z1363" s="5" t="str">
        <f>IFERROR(__xludf.DUMMYFUNCTION("REGEXEXTRACT(J1363, ""[A-Za-z ]+$"")")," Season")</f>
        <v> Season</v>
      </c>
      <c r="AA1363" s="5" t="str">
        <f>IFERROR(__xludf.DUMMYFUNCTION("IF(REGEXMATCH(Z1363, ""Season""), ""TV Show"", ""Movie"")"),"TV Show")</f>
        <v>TV Show</v>
      </c>
    </row>
    <row r="1364">
      <c r="A1364" s="1" t="s">
        <v>8019</v>
      </c>
      <c r="B1364" s="1" t="s">
        <v>37</v>
      </c>
      <c r="C1364" s="1" t="s">
        <v>8020</v>
      </c>
      <c r="E1364" s="1" t="s">
        <v>8021</v>
      </c>
      <c r="F1364" s="1" t="s">
        <v>8022</v>
      </c>
      <c r="G1364" s="1" t="s">
        <v>7970</v>
      </c>
      <c r="H1364" s="1">
        <v>2015.0</v>
      </c>
      <c r="I1364" s="1" t="s">
        <v>136</v>
      </c>
      <c r="J1364" s="1" t="s">
        <v>1809</v>
      </c>
      <c r="K1364" s="1" t="s">
        <v>314</v>
      </c>
      <c r="L1364" s="1" t="s">
        <v>8023</v>
      </c>
      <c r="M1364" s="2" t="s">
        <v>12</v>
      </c>
      <c r="N1364" s="4">
        <f t="shared" si="1"/>
        <v>44228</v>
      </c>
      <c r="O1364" s="5" t="str">
        <f>IFERROR(__xludf.DUMMYFUNCTION("IF(REGEXMATCH(TRIM(I1364), ""^\d+\s*min""), ""Unclassified"", IF(I1364 = """", ""NR"", I1364))"),"TV-PG")</f>
        <v>TV-PG</v>
      </c>
      <c r="R1364" s="5" t="str">
        <f t="shared" si="2"/>
        <v>Total Drama</v>
      </c>
      <c r="S1364" s="5" t="str">
        <f>IFERROR(__xludf.DUMMYFUNCTION("""COMPUTED_VALUE"""),"Carrie Pilby")</f>
        <v>Carrie Pilby</v>
      </c>
      <c r="U1364" s="5" t="str">
        <f>IFERROR(__xludf.DUMMYFUNCTION("""COMPUTED_VALUE"""),"Ry Russo-Young")</f>
        <v>Ry Russo-Young</v>
      </c>
      <c r="V1364" s="5" t="s">
        <v>8024</v>
      </c>
      <c r="W1364" s="5" t="str">
        <f t="shared" si="3"/>
        <v>Gabriel Clarke, Torquil Jones</v>
      </c>
      <c r="X1364" s="5">
        <f t="shared" si="4"/>
        <v>1</v>
      </c>
      <c r="Y1364" s="5" t="str">
        <f>IFERROR(__xludf.DUMMYFUNCTION("REGEXEXTRACT(J1364, ""^\d+"")"),"7")</f>
        <v>7</v>
      </c>
      <c r="Z1364" s="5" t="str">
        <f>IFERROR(__xludf.DUMMYFUNCTION("REGEXEXTRACT(J1364, ""[A-Za-z ]+$"")")," Seasons")</f>
        <v> Seasons</v>
      </c>
      <c r="AA1364" s="5" t="str">
        <f>IFERROR(__xludf.DUMMYFUNCTION("IF(REGEXMATCH(Z1364, ""Season""), ""TV Show"", ""Movie"")"),"TV Show")</f>
        <v>TV Show</v>
      </c>
    </row>
    <row r="1365">
      <c r="A1365" s="1" t="s">
        <v>8025</v>
      </c>
      <c r="B1365" s="1" t="s">
        <v>37</v>
      </c>
      <c r="C1365" s="1" t="s">
        <v>8026</v>
      </c>
      <c r="E1365" s="1" t="s">
        <v>8027</v>
      </c>
      <c r="F1365" s="1" t="s">
        <v>30</v>
      </c>
      <c r="G1365" s="1" t="s">
        <v>7970</v>
      </c>
      <c r="H1365" s="1">
        <v>2019.0</v>
      </c>
      <c r="I1365" s="1" t="s">
        <v>97</v>
      </c>
      <c r="J1365" s="1" t="s">
        <v>43</v>
      </c>
      <c r="K1365" s="1" t="s">
        <v>8028</v>
      </c>
      <c r="L1365" s="1" t="s">
        <v>8029</v>
      </c>
      <c r="M1365" s="2" t="s">
        <v>12</v>
      </c>
      <c r="N1365" s="4">
        <f t="shared" si="1"/>
        <v>44228</v>
      </c>
      <c r="O1365" s="5" t="str">
        <f>IFERROR(__xludf.DUMMYFUNCTION("IF(REGEXMATCH(TRIM(I1365), ""^\d+\s*min""), ""Unclassified"", IF(I1365 = """", ""NR"", I1365))"),"TV-14")</f>
        <v>TV-14</v>
      </c>
      <c r="R1365" s="5" t="str">
        <f t="shared" si="2"/>
        <v>Zac And Mia</v>
      </c>
      <c r="S1365" s="5" t="str">
        <f>IFERROR(__xludf.DUMMYFUNCTION("""COMPUTED_VALUE"""),"Carriers")</f>
        <v>Carriers</v>
      </c>
      <c r="U1365" s="5" t="str">
        <f>IFERROR(__xludf.DUMMYFUNCTION("""COMPUTED_VALUE"""),"Barbara Białowąs, Tomasz Mandes")</f>
        <v>Barbara Białowąs, Tomasz Mandes</v>
      </c>
      <c r="V1365" s="5" t="s">
        <v>8030</v>
      </c>
      <c r="W1365" s="5" t="str">
        <f t="shared" si="3"/>
        <v>Gabriel Grieco</v>
      </c>
      <c r="X1365" s="5">
        <f t="shared" si="4"/>
        <v>1</v>
      </c>
      <c r="Y1365" s="5" t="str">
        <f>IFERROR(__xludf.DUMMYFUNCTION("REGEXEXTRACT(J1365, ""^\d+"")"),"2")</f>
        <v>2</v>
      </c>
      <c r="Z1365" s="5" t="str">
        <f>IFERROR(__xludf.DUMMYFUNCTION("REGEXEXTRACT(J1365, ""[A-Za-z ]+$"")")," Seasons")</f>
        <v> Seasons</v>
      </c>
      <c r="AA1365" s="5" t="str">
        <f>IFERROR(__xludf.DUMMYFUNCTION("IF(REGEXMATCH(Z1365, ""Season""), ""TV Show"", ""Movie"")"),"TV Show")</f>
        <v>TV Show</v>
      </c>
    </row>
    <row r="1366">
      <c r="A1366" s="1" t="s">
        <v>8031</v>
      </c>
      <c r="B1366" s="1" t="s">
        <v>27</v>
      </c>
      <c r="C1366" s="1" t="s">
        <v>8032</v>
      </c>
      <c r="D1366" s="1" t="s">
        <v>8033</v>
      </c>
      <c r="E1366" s="1" t="s">
        <v>8034</v>
      </c>
      <c r="F1366" s="1" t="s">
        <v>30</v>
      </c>
      <c r="G1366" s="1" t="s">
        <v>7970</v>
      </c>
      <c r="H1366" s="1">
        <v>2005.0</v>
      </c>
      <c r="I1366" s="1" t="s">
        <v>78</v>
      </c>
      <c r="J1366" s="1" t="s">
        <v>1091</v>
      </c>
      <c r="K1366" s="1" t="s">
        <v>8035</v>
      </c>
      <c r="L1366" s="1" t="s">
        <v>8036</v>
      </c>
      <c r="M1366" s="2" t="s">
        <v>12</v>
      </c>
      <c r="N1366" s="4">
        <f t="shared" si="1"/>
        <v>44228</v>
      </c>
      <c r="O1366" s="5" t="str">
        <f>IFERROR(__xludf.DUMMYFUNCTION("IF(REGEXMATCH(TRIM(I1366), ""^\d+\s*min""), ""Unclassified"", IF(I1366 = """", ""NR"", I1366))"),"PG")</f>
        <v>PG</v>
      </c>
      <c r="R1366" s="5" t="str">
        <f t="shared" si="2"/>
        <v>Zathura</v>
      </c>
      <c r="S1366" s="5" t="str">
        <f>IFERROR(__xludf.DUMMYFUNCTION("""COMPUTED_VALUE"""),"Çarsi Pazar")</f>
        <v>Çarsi Pazar</v>
      </c>
      <c r="U1366" s="5" t="str">
        <f>IFERROR(__xludf.DUMMYFUNCTION("""COMPUTED_VALUE"""),"Akhil Paul, Anas Khan")</f>
        <v>Akhil Paul, Anas Khan</v>
      </c>
      <c r="V1366" s="5" t="s">
        <v>8037</v>
      </c>
      <c r="W1366" s="5" t="str">
        <f t="shared" si="3"/>
        <v>Gabriela Cowperthwaite</v>
      </c>
      <c r="X1366" s="5">
        <f t="shared" si="4"/>
        <v>1</v>
      </c>
      <c r="Y1366" s="5" t="str">
        <f>IFERROR(__xludf.DUMMYFUNCTION("REGEXEXTRACT(J1366, ""^\d+"")"),"101")</f>
        <v>101</v>
      </c>
      <c r="Z1366" s="5" t="str">
        <f>IFERROR(__xludf.DUMMYFUNCTION("REGEXEXTRACT(J1366, ""[A-Za-z ]+$"")")," min")</f>
        <v> min</v>
      </c>
      <c r="AA1366" s="5" t="str">
        <f>IFERROR(__xludf.DUMMYFUNCTION("IF(REGEXMATCH(Z1366, ""Season""), ""TV Show"", ""Movie"")"),"Movie")</f>
        <v>Movie</v>
      </c>
    </row>
    <row r="1367">
      <c r="A1367" s="1" t="s">
        <v>8038</v>
      </c>
      <c r="B1367" s="1" t="s">
        <v>37</v>
      </c>
      <c r="C1367" s="1" t="s">
        <v>8039</v>
      </c>
      <c r="F1367" s="1" t="s">
        <v>664</v>
      </c>
      <c r="G1367" s="1" t="s">
        <v>7970</v>
      </c>
      <c r="H1367" s="1">
        <v>2019.0</v>
      </c>
      <c r="I1367" s="1" t="s">
        <v>289</v>
      </c>
      <c r="J1367" s="1" t="s">
        <v>43</v>
      </c>
      <c r="K1367" s="1" t="s">
        <v>314</v>
      </c>
      <c r="L1367" s="1" t="s">
        <v>8040</v>
      </c>
      <c r="M1367" s="2" t="s">
        <v>12</v>
      </c>
      <c r="N1367" s="4">
        <f t="shared" si="1"/>
        <v>44228</v>
      </c>
      <c r="O1367" s="5" t="str">
        <f>IFERROR(__xludf.DUMMYFUNCTION("IF(REGEXMATCH(TRIM(I1367), ""^\d+\s*min""), ""Unclassified"", IF(I1367 = """", ""NR"", I1367))"),"TV-Y7")</f>
        <v>TV-Y7</v>
      </c>
      <c r="R1367" s="5" t="str">
        <f t="shared" si="2"/>
        <v>Zig &amp; Sharko</v>
      </c>
      <c r="S1367" s="5" t="str">
        <f>IFERROR(__xludf.DUMMYFUNCTION("""COMPUTED_VALUE"""),"Casa De Mi Padre")</f>
        <v>Casa De Mi Padre</v>
      </c>
      <c r="U1367" s="5" t="str">
        <f>IFERROR(__xludf.DUMMYFUNCTION("""COMPUTED_VALUE"""),"Kanika Batra")</f>
        <v>Kanika Batra</v>
      </c>
      <c r="V1367" s="5" t="s">
        <v>8041</v>
      </c>
      <c r="W1367" s="5" t="str">
        <f t="shared" si="3"/>
        <v>Gabriela García Rivas</v>
      </c>
      <c r="X1367" s="5">
        <f t="shared" si="4"/>
        <v>1</v>
      </c>
      <c r="Y1367" s="5" t="str">
        <f>IFERROR(__xludf.DUMMYFUNCTION("REGEXEXTRACT(J1367, ""^\d+"")"),"2")</f>
        <v>2</v>
      </c>
      <c r="Z1367" s="5" t="str">
        <f>IFERROR(__xludf.DUMMYFUNCTION("REGEXEXTRACT(J1367, ""[A-Za-z ]+$"")")," Seasons")</f>
        <v> Seasons</v>
      </c>
      <c r="AA1367" s="5" t="str">
        <f>IFERROR(__xludf.DUMMYFUNCTION("IF(REGEXMATCH(Z1367, ""Season""), ""TV Show"", ""Movie"")"),"TV Show")</f>
        <v>TV Show</v>
      </c>
    </row>
    <row r="1368">
      <c r="A1368" s="1" t="s">
        <v>8042</v>
      </c>
      <c r="B1368" s="1" t="s">
        <v>27</v>
      </c>
      <c r="C1368" s="1" t="s">
        <v>8043</v>
      </c>
      <c r="D1368" s="1" t="s">
        <v>8044</v>
      </c>
      <c r="E1368" s="1" t="s">
        <v>8045</v>
      </c>
      <c r="F1368" s="1" t="s">
        <v>8046</v>
      </c>
      <c r="G1368" s="1" t="s">
        <v>8047</v>
      </c>
      <c r="H1368" s="1">
        <v>2020.0</v>
      </c>
      <c r="I1368" s="1" t="s">
        <v>32</v>
      </c>
      <c r="J1368" s="1" t="s">
        <v>519</v>
      </c>
      <c r="K1368" s="1" t="s">
        <v>1198</v>
      </c>
      <c r="L1368" s="1" t="s">
        <v>8048</v>
      </c>
      <c r="M1368" s="2" t="s">
        <v>12</v>
      </c>
      <c r="N1368" s="4">
        <f t="shared" si="1"/>
        <v>44227</v>
      </c>
      <c r="O1368" s="5" t="str">
        <f>IFERROR(__xludf.DUMMYFUNCTION("IF(REGEXMATCH(TRIM(I1368), ""^\d+\s*min""), ""Unclassified"", IF(I1368 = """", ""NR"", I1368))"),"PG-13")</f>
        <v>PG-13</v>
      </c>
      <c r="R1368" s="5" t="str">
        <f t="shared" si="2"/>
        <v>Fatima</v>
      </c>
      <c r="S1368" s="5" t="str">
        <f>IFERROR(__xludf.DUMMYFUNCTION("""COMPUTED_VALUE"""),"Casablancas: The Man Who Loved Women")</f>
        <v>Casablancas: The Man Who Loved Women</v>
      </c>
      <c r="U1368" s="5" t="str">
        <f>IFERROR(__xludf.DUMMYFUNCTION("""COMPUTED_VALUE"""),"Michael Cristofer")</f>
        <v>Michael Cristofer</v>
      </c>
      <c r="V1368" s="5" t="s">
        <v>8049</v>
      </c>
      <c r="W1368" s="5" t="str">
        <f t="shared" si="3"/>
        <v>Gabriela Tagliavini</v>
      </c>
      <c r="X1368" s="5">
        <f t="shared" si="4"/>
        <v>1</v>
      </c>
      <c r="Y1368" s="5" t="str">
        <f>IFERROR(__xludf.DUMMYFUNCTION("REGEXEXTRACT(J1368, ""^\d+"")"),"113")</f>
        <v>113</v>
      </c>
      <c r="Z1368" s="5" t="str">
        <f>IFERROR(__xludf.DUMMYFUNCTION("REGEXEXTRACT(J1368, ""[A-Za-z ]+$"")")," min")</f>
        <v> min</v>
      </c>
      <c r="AA1368" s="5" t="str">
        <f>IFERROR(__xludf.DUMMYFUNCTION("IF(REGEXMATCH(Z1368, ""Season""), ""TV Show"", ""Movie"")"),"Movie")</f>
        <v>Movie</v>
      </c>
    </row>
    <row r="1369">
      <c r="A1369" s="1" t="s">
        <v>8050</v>
      </c>
      <c r="B1369" s="1" t="s">
        <v>27</v>
      </c>
      <c r="C1369" s="1" t="s">
        <v>8051</v>
      </c>
      <c r="D1369" s="1" t="s">
        <v>8052</v>
      </c>
      <c r="E1369" s="1" t="s">
        <v>8053</v>
      </c>
      <c r="F1369" s="1" t="s">
        <v>30</v>
      </c>
      <c r="G1369" s="1" t="s">
        <v>8047</v>
      </c>
      <c r="H1369" s="1">
        <v>2018.0</v>
      </c>
      <c r="I1369" s="1" t="s">
        <v>378</v>
      </c>
      <c r="J1369" s="1" t="s">
        <v>1191</v>
      </c>
      <c r="K1369" s="1" t="s">
        <v>1551</v>
      </c>
      <c r="L1369" s="1" t="s">
        <v>8054</v>
      </c>
      <c r="M1369" s="2" t="s">
        <v>12</v>
      </c>
      <c r="N1369" s="4">
        <f t="shared" si="1"/>
        <v>44227</v>
      </c>
      <c r="O1369" s="5" t="str">
        <f>IFERROR(__xludf.DUMMYFUNCTION("IF(REGEXMATCH(TRIM(I1369), ""^\d+\s*min""), ""Unclassified"", IF(I1369 = """", ""NR"", I1369))"),"R")</f>
        <v>R</v>
      </c>
      <c r="R1369" s="5" t="str">
        <f t="shared" si="2"/>
        <v>Hell Fest</v>
      </c>
      <c r="S1369" s="5" t="str">
        <f>IFERROR(__xludf.DUMMYFUNCTION("""COMPUTED_VALUE"""),"Case")</f>
        <v>Case</v>
      </c>
      <c r="U1369" s="5" t="str">
        <f>IFERROR(__xludf.DUMMYFUNCTION("""COMPUTED_VALUE"""),"Mohamed Khan")</f>
        <v>Mohamed Khan</v>
      </c>
      <c r="V1369" s="5" t="s">
        <v>3671</v>
      </c>
      <c r="W1369" s="5" t="str">
        <f t="shared" si="3"/>
        <v>Gabriele Muccino</v>
      </c>
      <c r="X1369" s="5">
        <f t="shared" si="4"/>
        <v>3</v>
      </c>
      <c r="Y1369" s="5" t="str">
        <f>IFERROR(__xludf.DUMMYFUNCTION("REGEXEXTRACT(J1369, ""^\d+"")"),"89")</f>
        <v>89</v>
      </c>
      <c r="Z1369" s="5" t="str">
        <f>IFERROR(__xludf.DUMMYFUNCTION("REGEXEXTRACT(J1369, ""[A-Za-z ]+$"")")," min")</f>
        <v> min</v>
      </c>
      <c r="AA1369" s="5" t="str">
        <f>IFERROR(__xludf.DUMMYFUNCTION("IF(REGEXMATCH(Z1369, ""Season""), ""TV Show"", ""Movie"")"),"Movie")</f>
        <v>Movie</v>
      </c>
    </row>
    <row r="1370">
      <c r="A1370" s="1" t="s">
        <v>8055</v>
      </c>
      <c r="B1370" s="1" t="s">
        <v>27</v>
      </c>
      <c r="C1370" s="1" t="s">
        <v>8056</v>
      </c>
      <c r="D1370" s="1" t="s">
        <v>8057</v>
      </c>
      <c r="E1370" s="1" t="s">
        <v>8058</v>
      </c>
      <c r="F1370" s="1" t="s">
        <v>784</v>
      </c>
      <c r="G1370" s="1" t="s">
        <v>8059</v>
      </c>
      <c r="H1370" s="1">
        <v>2021.0</v>
      </c>
      <c r="I1370" s="1" t="s">
        <v>42</v>
      </c>
      <c r="J1370" s="1" t="s">
        <v>1256</v>
      </c>
      <c r="K1370" s="1" t="s">
        <v>1066</v>
      </c>
      <c r="L1370" s="1" t="s">
        <v>8060</v>
      </c>
      <c r="M1370" s="2" t="s">
        <v>12</v>
      </c>
      <c r="N1370" s="4">
        <f t="shared" si="1"/>
        <v>44225</v>
      </c>
      <c r="O1370" s="5" t="str">
        <f>IFERROR(__xludf.DUMMYFUNCTION("IF(REGEXMATCH(TRIM(I1370), ""^\d+\s*min""), ""Unclassified"", IF(I1370 = """", ""NR"", I1370))"),"TV-MA")</f>
        <v>TV-MA</v>
      </c>
      <c r="R1370" s="5" t="str">
        <f t="shared" si="2"/>
        <v>Below Zero</v>
      </c>
      <c r="S1370" s="5" t="str">
        <f>IFERROR(__xludf.DUMMYFUNCTION("""COMPUTED_VALUE"""),"Case 39")</f>
        <v>Case 39</v>
      </c>
      <c r="U1370" s="5" t="str">
        <f>IFERROR(__xludf.DUMMYFUNCTION("""COMPUTED_VALUE"""),"Adriana Trigiani")</f>
        <v>Adriana Trigiani</v>
      </c>
      <c r="V1370" s="5" t="s">
        <v>8061</v>
      </c>
      <c r="W1370" s="5" t="str">
        <f t="shared" si="3"/>
        <v>Gaby Dellal</v>
      </c>
      <c r="X1370" s="5">
        <f t="shared" si="4"/>
        <v>1</v>
      </c>
      <c r="Y1370" s="5" t="str">
        <f>IFERROR(__xludf.DUMMYFUNCTION("REGEXEXTRACT(J1370, ""^\d+"")"),"107")</f>
        <v>107</v>
      </c>
      <c r="Z1370" s="5" t="str">
        <f>IFERROR(__xludf.DUMMYFUNCTION("REGEXEXTRACT(J1370, ""[A-Za-z ]+$"")")," min")</f>
        <v> min</v>
      </c>
      <c r="AA1370" s="5" t="str">
        <f>IFERROR(__xludf.DUMMYFUNCTION("IF(REGEXMATCH(Z1370, ""Season""), ""TV Show"", ""Movie"")"),"Movie")</f>
        <v>Movie</v>
      </c>
    </row>
    <row r="1371">
      <c r="A1371" s="1" t="s">
        <v>8062</v>
      </c>
      <c r="B1371" s="1" t="s">
        <v>27</v>
      </c>
      <c r="C1371" s="1" t="s">
        <v>8063</v>
      </c>
      <c r="D1371" s="1" t="s">
        <v>8064</v>
      </c>
      <c r="E1371" s="1" t="s">
        <v>8065</v>
      </c>
      <c r="F1371" s="1" t="s">
        <v>30</v>
      </c>
      <c r="G1371" s="1" t="s">
        <v>8059</v>
      </c>
      <c r="H1371" s="1">
        <v>2021.0</v>
      </c>
      <c r="I1371" s="1" t="s">
        <v>78</v>
      </c>
      <c r="J1371" s="1" t="s">
        <v>2566</v>
      </c>
      <c r="K1371" s="1" t="s">
        <v>137</v>
      </c>
      <c r="L1371" s="1" t="s">
        <v>8066</v>
      </c>
      <c r="M1371" s="2" t="s">
        <v>12</v>
      </c>
      <c r="N1371" s="4">
        <f t="shared" si="1"/>
        <v>44225</v>
      </c>
      <c r="O1371" s="5" t="str">
        <f>IFERROR(__xludf.DUMMYFUNCTION("IF(REGEXMATCH(TRIM(I1371), ""^\d+\s*min""), ""Unclassified"", IF(I1371 = """", ""NR"", I1371))"),"PG")</f>
        <v>PG</v>
      </c>
      <c r="R1371" s="5" t="str">
        <f t="shared" si="2"/>
        <v>Finding ‘Ohana</v>
      </c>
      <c r="S1371" s="5" t="str">
        <f>IFERROR(__xludf.DUMMYFUNCTION("""COMPUTED_VALUE"""),"Case Closed")</f>
        <v>Case Closed</v>
      </c>
      <c r="U1371" s="5" t="str">
        <f>IFERROR(__xludf.DUMMYFUNCTION("""COMPUTED_VALUE"""),"Phil Sgriccia")</f>
        <v>Phil Sgriccia</v>
      </c>
      <c r="V1371" s="5" t="s">
        <v>8067</v>
      </c>
      <c r="W1371" s="5" t="str">
        <f t="shared" si="3"/>
        <v>Gafoor Y. Elliyaas</v>
      </c>
      <c r="X1371" s="5">
        <f t="shared" si="4"/>
        <v>1</v>
      </c>
      <c r="Y1371" s="5" t="str">
        <f>IFERROR(__xludf.DUMMYFUNCTION("REGEXEXTRACT(J1371, ""^\d+"")"),"123")</f>
        <v>123</v>
      </c>
      <c r="Z1371" s="5" t="str">
        <f>IFERROR(__xludf.DUMMYFUNCTION("REGEXEXTRACT(J1371, ""[A-Za-z ]+$"")")," min")</f>
        <v> min</v>
      </c>
      <c r="AA1371" s="5" t="str">
        <f>IFERROR(__xludf.DUMMYFUNCTION("IF(REGEXMATCH(Z1371, ""Season""), ""TV Show"", ""Movie"")"),"Movie")</f>
        <v>Movie</v>
      </c>
    </row>
    <row r="1372">
      <c r="A1372" s="1" t="s">
        <v>8068</v>
      </c>
      <c r="B1372" s="1" t="s">
        <v>27</v>
      </c>
      <c r="C1372" s="1" t="s">
        <v>8069</v>
      </c>
      <c r="D1372" s="1" t="s">
        <v>8070</v>
      </c>
      <c r="E1372" s="1" t="s">
        <v>8071</v>
      </c>
      <c r="F1372" s="1" t="s">
        <v>96</v>
      </c>
      <c r="G1372" s="1" t="s">
        <v>8059</v>
      </c>
      <c r="H1372" s="1">
        <v>2021.0</v>
      </c>
      <c r="I1372" s="1" t="s">
        <v>32</v>
      </c>
      <c r="J1372" s="1" t="s">
        <v>519</v>
      </c>
      <c r="K1372" s="1" t="s">
        <v>128</v>
      </c>
      <c r="L1372" s="1" t="s">
        <v>8072</v>
      </c>
      <c r="M1372" s="2" t="s">
        <v>12</v>
      </c>
      <c r="N1372" s="4">
        <f t="shared" si="1"/>
        <v>44225</v>
      </c>
      <c r="O1372" s="5" t="str">
        <f>IFERROR(__xludf.DUMMYFUNCTION("IF(REGEXMATCH(TRIM(I1372), ""^\d+\s*min""), ""Unclassified"", IF(I1372 = """", ""NR"", I1372))"),"PG-13")</f>
        <v>PG-13</v>
      </c>
      <c r="R1372" s="5" t="str">
        <f t="shared" si="2"/>
        <v>The Dig</v>
      </c>
      <c r="S1372" s="5" t="str">
        <f>IFERROR(__xludf.DUMMYFUNCTION("""COMPUTED_VALUE"""),"Casino Royale")</f>
        <v>Casino Royale</v>
      </c>
      <c r="U1372" s="5" t="str">
        <f>IFERROR(__xludf.DUMMYFUNCTION("""COMPUTED_VALUE"""),"Andaç Haznedaroğlu")</f>
        <v>Andaç Haznedaroğlu</v>
      </c>
      <c r="V1372" s="5" t="s">
        <v>8073</v>
      </c>
      <c r="W1372" s="5" t="str">
        <f t="shared" si="3"/>
        <v>Gagan Puri</v>
      </c>
      <c r="X1372" s="5">
        <f t="shared" si="4"/>
        <v>1</v>
      </c>
      <c r="Y1372" s="5" t="str">
        <f>IFERROR(__xludf.DUMMYFUNCTION("REGEXEXTRACT(J1372, ""^\d+"")"),"113")</f>
        <v>113</v>
      </c>
      <c r="Z1372" s="5" t="str">
        <f>IFERROR(__xludf.DUMMYFUNCTION("REGEXEXTRACT(J1372, ""[A-Za-z ]+$"")")," min")</f>
        <v> min</v>
      </c>
      <c r="AA1372" s="5" t="str">
        <f>IFERROR(__xludf.DUMMYFUNCTION("IF(REGEXMATCH(Z1372, ""Season""), ""TV Show"", ""Movie"")"),"Movie")</f>
        <v>Movie</v>
      </c>
    </row>
    <row r="1373">
      <c r="A1373" s="1" t="s">
        <v>8074</v>
      </c>
      <c r="B1373" s="1" t="s">
        <v>37</v>
      </c>
      <c r="C1373" s="1" t="s">
        <v>8075</v>
      </c>
      <c r="F1373" s="1" t="s">
        <v>30</v>
      </c>
      <c r="G1373" s="1" t="s">
        <v>8059</v>
      </c>
      <c r="H1373" s="1">
        <v>2021.0</v>
      </c>
      <c r="I1373" s="1" t="s">
        <v>97</v>
      </c>
      <c r="J1373" s="1" t="s">
        <v>51</v>
      </c>
      <c r="K1373" s="1" t="s">
        <v>1261</v>
      </c>
      <c r="L1373" s="1" t="s">
        <v>8076</v>
      </c>
      <c r="M1373" s="2" t="s">
        <v>12</v>
      </c>
      <c r="N1373" s="4">
        <f t="shared" si="1"/>
        <v>44225</v>
      </c>
      <c r="O1373" s="5" t="str">
        <f>IFERROR(__xludf.DUMMYFUNCTION("IF(REGEXMATCH(TRIM(I1373), ""^\d+\s*min""), ""Unclassified"", IF(I1373 = """", ""NR"", I1373))"),"TV-14")</f>
        <v>TV-14</v>
      </c>
      <c r="R1373" s="5" t="str">
        <f t="shared" si="2"/>
        <v>We Are: The Brooklyn Saints</v>
      </c>
      <c r="S1373" s="5" t="str">
        <f>IFERROR(__xludf.DUMMYFUNCTION("""COMPUTED_VALUE"""),"Casino Tycoon")</f>
        <v>Casino Tycoon</v>
      </c>
      <c r="U1373" s="5" t="str">
        <f>IFERROR(__xludf.DUMMYFUNCTION("""COMPUTED_VALUE"""),"Murat Kepez")</f>
        <v>Murat Kepez</v>
      </c>
      <c r="V1373" s="5" t="s">
        <v>8077</v>
      </c>
      <c r="W1373" s="5" t="str">
        <f t="shared" si="3"/>
        <v>Gail Willumsen</v>
      </c>
      <c r="X1373" s="5">
        <f t="shared" si="4"/>
        <v>1</v>
      </c>
      <c r="Y1373" s="5" t="str">
        <f>IFERROR(__xludf.DUMMYFUNCTION("REGEXEXTRACT(J1373, ""^\d+"")"),"1")</f>
        <v>1</v>
      </c>
      <c r="Z1373" s="5" t="str">
        <f>IFERROR(__xludf.DUMMYFUNCTION("REGEXEXTRACT(J1373, ""[A-Za-z ]+$"")")," Season")</f>
        <v> Season</v>
      </c>
      <c r="AA1373" s="5" t="str">
        <f>IFERROR(__xludf.DUMMYFUNCTION("IF(REGEXMATCH(Z1373, ""Season""), ""TV Show"", ""Movie"")"),"TV Show")</f>
        <v>TV Show</v>
      </c>
    </row>
    <row r="1374">
      <c r="A1374" s="1" t="s">
        <v>8078</v>
      </c>
      <c r="B1374" s="1" t="s">
        <v>27</v>
      </c>
      <c r="C1374" s="1" t="s">
        <v>8079</v>
      </c>
      <c r="D1374" s="1" t="s">
        <v>8080</v>
      </c>
      <c r="E1374" s="1" t="s">
        <v>8081</v>
      </c>
      <c r="F1374" s="1" t="s">
        <v>2873</v>
      </c>
      <c r="G1374" s="1" t="s">
        <v>8082</v>
      </c>
      <c r="H1374" s="1">
        <v>2021.0</v>
      </c>
      <c r="I1374" s="1" t="s">
        <v>136</v>
      </c>
      <c r="J1374" s="1" t="s">
        <v>33</v>
      </c>
      <c r="K1374" s="1" t="s">
        <v>2983</v>
      </c>
      <c r="L1374" s="1" t="s">
        <v>8083</v>
      </c>
      <c r="M1374" s="2" t="s">
        <v>12</v>
      </c>
      <c r="N1374" s="4">
        <f t="shared" si="1"/>
        <v>44224</v>
      </c>
      <c r="O1374" s="5" t="str">
        <f>IFERROR(__xludf.DUMMYFUNCTION("IF(REGEXMATCH(TRIM(I1374), ""^\d+\s*min""), ""Unclassified"", IF(I1374 = """", ""NR"", I1374))"),"TV-PG")</f>
        <v>TV-PG</v>
      </c>
      <c r="R1374" s="5" t="str">
        <f t="shared" si="2"/>
        <v>June &amp; Kopi</v>
      </c>
      <c r="S1374" s="5" t="str">
        <f>IFERROR(__xludf.DUMMYFUNCTION("""COMPUTED_VALUE"""),"Casino Tycoon 2")</f>
        <v>Casino Tycoon 2</v>
      </c>
      <c r="U1374" s="5" t="str">
        <f>IFERROR(__xludf.DUMMYFUNCTION("""COMPUTED_VALUE"""),"Greta Gerwig")</f>
        <v>Greta Gerwig</v>
      </c>
      <c r="V1374" s="5" t="s">
        <v>8084</v>
      </c>
      <c r="W1374" s="5" t="str">
        <f t="shared" si="3"/>
        <v>Gajendra Ahire</v>
      </c>
      <c r="X1374" s="5">
        <f t="shared" si="4"/>
        <v>2</v>
      </c>
      <c r="Y1374" s="5" t="str">
        <f>IFERROR(__xludf.DUMMYFUNCTION("REGEXEXTRACT(J1374, ""^\d+"")"),"90")</f>
        <v>90</v>
      </c>
      <c r="Z1374" s="5" t="str">
        <f>IFERROR(__xludf.DUMMYFUNCTION("REGEXEXTRACT(J1374, ""[A-Za-z ]+$"")")," min")</f>
        <v> min</v>
      </c>
      <c r="AA1374" s="5" t="str">
        <f>IFERROR(__xludf.DUMMYFUNCTION("IF(REGEXMATCH(Z1374, ""Season""), ""TV Show"", ""Movie"")"),"Movie")</f>
        <v>Movie</v>
      </c>
    </row>
    <row r="1375">
      <c r="A1375" s="1" t="s">
        <v>8085</v>
      </c>
      <c r="B1375" s="1" t="s">
        <v>37</v>
      </c>
      <c r="C1375" s="1" t="s">
        <v>8086</v>
      </c>
      <c r="E1375" s="1" t="s">
        <v>8087</v>
      </c>
      <c r="F1375" s="1" t="s">
        <v>188</v>
      </c>
      <c r="G1375" s="1" t="s">
        <v>8088</v>
      </c>
      <c r="H1375" s="1">
        <v>2021.0</v>
      </c>
      <c r="I1375" s="1" t="s">
        <v>42</v>
      </c>
      <c r="J1375" s="1" t="s">
        <v>51</v>
      </c>
      <c r="K1375" s="1" t="s">
        <v>283</v>
      </c>
      <c r="L1375" s="1" t="s">
        <v>8089</v>
      </c>
      <c r="M1375" s="2" t="s">
        <v>12</v>
      </c>
      <c r="N1375" s="4">
        <f t="shared" si="1"/>
        <v>44223</v>
      </c>
      <c r="O1375" s="5" t="str">
        <f>IFERROR(__xludf.DUMMYFUNCTION("IF(REGEXMATCH(TRIM(I1375), ""^\d+\s*min""), ""Unclassified"", IF(I1375 = """", ""NR"", I1375))"),"TV-MA")</f>
        <v>TV-MA</v>
      </c>
      <c r="R1375" s="5" t="str">
        <f t="shared" si="2"/>
        <v>50M2</v>
      </c>
      <c r="S1375" s="5" t="str">
        <f>IFERROR(__xludf.DUMMYFUNCTION("""COMPUTED_VALUE"""),"Casting Jonbenet")</f>
        <v>Casting Jonbenet</v>
      </c>
      <c r="U1375" s="5" t="str">
        <f>IFERROR(__xludf.DUMMYFUNCTION("""COMPUTED_VALUE"""),"Sam Rega")</f>
        <v>Sam Rega</v>
      </c>
      <c r="V1375" s="5" t="s">
        <v>8090</v>
      </c>
      <c r="W1375" s="5" t="str">
        <f t="shared" si="3"/>
        <v>Gajendra Ahire, Viju Mane, Girish Mohite, Ravi Jadhav</v>
      </c>
      <c r="X1375" s="5">
        <f t="shared" si="4"/>
        <v>1</v>
      </c>
      <c r="Y1375" s="5" t="str">
        <f>IFERROR(__xludf.DUMMYFUNCTION("REGEXEXTRACT(J1375, ""^\d+"")"),"1")</f>
        <v>1</v>
      </c>
      <c r="Z1375" s="5" t="str">
        <f>IFERROR(__xludf.DUMMYFUNCTION("REGEXEXTRACT(J1375, ""[A-Za-z ]+$"")")," Season")</f>
        <v> Season</v>
      </c>
      <c r="AA1375" s="5" t="str">
        <f>IFERROR(__xludf.DUMMYFUNCTION("IF(REGEXMATCH(Z1375, ""Season""), ""TV Show"", ""Movie"")"),"TV Show")</f>
        <v>TV Show</v>
      </c>
    </row>
    <row r="1376">
      <c r="A1376" s="1" t="s">
        <v>8091</v>
      </c>
      <c r="B1376" s="1" t="s">
        <v>27</v>
      </c>
      <c r="C1376" s="1" t="s">
        <v>8092</v>
      </c>
      <c r="D1376" s="1" t="s">
        <v>8093</v>
      </c>
      <c r="E1376" s="1" t="s">
        <v>8094</v>
      </c>
      <c r="F1376" s="1" t="s">
        <v>30</v>
      </c>
      <c r="G1376" s="1" t="s">
        <v>8088</v>
      </c>
      <c r="H1376" s="1">
        <v>2021.0</v>
      </c>
      <c r="I1376" s="1" t="s">
        <v>97</v>
      </c>
      <c r="J1376" s="1" t="s">
        <v>8095</v>
      </c>
      <c r="K1376" s="1" t="s">
        <v>520</v>
      </c>
      <c r="L1376" s="1" t="s">
        <v>8096</v>
      </c>
      <c r="M1376" s="2" t="s">
        <v>12</v>
      </c>
      <c r="N1376" s="4">
        <f t="shared" si="1"/>
        <v>44223</v>
      </c>
      <c r="O1376" s="5" t="str">
        <f>IFERROR(__xludf.DUMMYFUNCTION("IF(REGEXMATCH(TRIM(I1376), ""^\d+\s*min""), ""Unclassified"", IF(I1376 = """", ""NR"", I1376))"),"TV-14")</f>
        <v>TV-14</v>
      </c>
      <c r="R1376" s="5" t="str">
        <f t="shared" si="2"/>
        <v>Accomplice</v>
      </c>
      <c r="S1376" s="5" t="str">
        <f>IFERROR(__xludf.DUMMYFUNCTION("""COMPUTED_VALUE"""),"Castle And Castle")</f>
        <v>Castle And Castle</v>
      </c>
      <c r="U1376" s="5" t="str">
        <f>IFERROR(__xludf.DUMMYFUNCTION("""COMPUTED_VALUE"""),"Wael Ehsan")</f>
        <v>Wael Ehsan</v>
      </c>
      <c r="V1376" s="5" t="s">
        <v>8097</v>
      </c>
      <c r="W1376" s="5" t="str">
        <f t="shared" si="3"/>
        <v>Ganesh Kadam</v>
      </c>
      <c r="X1376" s="5">
        <f t="shared" si="4"/>
        <v>1</v>
      </c>
      <c r="Y1376" s="5" t="str">
        <f>IFERROR(__xludf.DUMMYFUNCTION("REGEXEXTRACT(J1376, ""^\d+"")"),"52")</f>
        <v>52</v>
      </c>
      <c r="Z1376" s="5" t="str">
        <f>IFERROR(__xludf.DUMMYFUNCTION("REGEXEXTRACT(J1376, ""[A-Za-z ]+$"")")," min")</f>
        <v> min</v>
      </c>
      <c r="AA1376" s="5" t="str">
        <f>IFERROR(__xludf.DUMMYFUNCTION("IF(REGEXMATCH(Z1376, ""Season""), ""TV Show"", ""Movie"")"),"Movie")</f>
        <v>Movie</v>
      </c>
    </row>
    <row r="1377">
      <c r="A1377" s="1" t="s">
        <v>8098</v>
      </c>
      <c r="B1377" s="1" t="s">
        <v>37</v>
      </c>
      <c r="C1377" s="1" t="s">
        <v>8099</v>
      </c>
      <c r="E1377" s="1" t="s">
        <v>8100</v>
      </c>
      <c r="F1377" s="1" t="s">
        <v>30</v>
      </c>
      <c r="G1377" s="1" t="s">
        <v>8088</v>
      </c>
      <c r="H1377" s="1">
        <v>2021.0</v>
      </c>
      <c r="I1377" s="1" t="s">
        <v>42</v>
      </c>
      <c r="J1377" s="1" t="s">
        <v>43</v>
      </c>
      <c r="K1377" s="1" t="s">
        <v>149</v>
      </c>
      <c r="L1377" s="1" t="s">
        <v>8101</v>
      </c>
      <c r="M1377" s="2" t="s">
        <v>12</v>
      </c>
      <c r="N1377" s="4">
        <f t="shared" si="1"/>
        <v>44223</v>
      </c>
      <c r="O1377" s="5" t="str">
        <f>IFERROR(__xludf.DUMMYFUNCTION("IF(REGEXMATCH(TRIM(I1377), ""^\d+\s*min""), ""Unclassified"", IF(I1377 = """", ""NR"", I1377))"),"TV-MA")</f>
        <v>TV-MA</v>
      </c>
      <c r="R1377" s="5" t="str">
        <f t="shared" si="2"/>
        <v>Bonding</v>
      </c>
      <c r="S1377" s="5" t="str">
        <f>IFERROR(__xludf.DUMMYFUNCTION("""COMPUTED_VALUE"""),"Castle Of Stars")</f>
        <v>Castle Of Stars</v>
      </c>
      <c r="U1377" s="5" t="str">
        <f>IFERROR(__xludf.DUMMYFUNCTION("""COMPUTED_VALUE"""),"Inas El-Degheidy")</f>
        <v>Inas El-Degheidy</v>
      </c>
      <c r="V1377" s="5" t="s">
        <v>8102</v>
      </c>
      <c r="W1377" s="5" t="str">
        <f t="shared" si="3"/>
        <v>Gangadhar Salimath</v>
      </c>
      <c r="X1377" s="5">
        <f t="shared" si="4"/>
        <v>1</v>
      </c>
      <c r="Y1377" s="5" t="str">
        <f>IFERROR(__xludf.DUMMYFUNCTION("REGEXEXTRACT(J1377, ""^\d+"")"),"2")</f>
        <v>2</v>
      </c>
      <c r="Z1377" s="5" t="str">
        <f>IFERROR(__xludf.DUMMYFUNCTION("REGEXEXTRACT(J1377, ""[A-Za-z ]+$"")")," Seasons")</f>
        <v> Seasons</v>
      </c>
      <c r="AA1377" s="5" t="str">
        <f>IFERROR(__xludf.DUMMYFUNCTION("IF(REGEXMATCH(Z1377, ""Season""), ""TV Show"", ""Movie"")"),"TV Show")</f>
        <v>TV Show</v>
      </c>
    </row>
    <row r="1378">
      <c r="A1378" s="1" t="s">
        <v>8103</v>
      </c>
      <c r="B1378" s="1" t="s">
        <v>27</v>
      </c>
      <c r="C1378" s="1" t="s">
        <v>8104</v>
      </c>
      <c r="D1378" s="1" t="s">
        <v>8105</v>
      </c>
      <c r="E1378" s="1" t="s">
        <v>8106</v>
      </c>
      <c r="F1378" s="1" t="s">
        <v>63</v>
      </c>
      <c r="G1378" s="1" t="s">
        <v>8088</v>
      </c>
      <c r="H1378" s="1">
        <v>2020.0</v>
      </c>
      <c r="I1378" s="1" t="s">
        <v>42</v>
      </c>
      <c r="J1378" s="1" t="s">
        <v>127</v>
      </c>
      <c r="K1378" s="1" t="s">
        <v>836</v>
      </c>
      <c r="L1378" s="1" t="s">
        <v>8107</v>
      </c>
      <c r="M1378" s="2" t="s">
        <v>12</v>
      </c>
      <c r="N1378" s="4">
        <f t="shared" si="1"/>
        <v>44223</v>
      </c>
      <c r="O1378" s="5" t="str">
        <f>IFERROR(__xludf.DUMMYFUNCTION("IF(REGEXMATCH(TRIM(I1378), ""^\d+\s*min""), ""Unclassified"", IF(I1378 = """", ""NR"", I1378))"),"TV-MA")</f>
        <v>TV-MA</v>
      </c>
      <c r="R1378" s="5" t="str">
        <f t="shared" si="2"/>
        <v>Kilometers And Kilometers</v>
      </c>
      <c r="S1378" s="5" t="str">
        <f>IFERROR(__xludf.DUMMYFUNCTION("""COMPUTED_VALUE"""),"Castlevania")</f>
        <v>Castlevania</v>
      </c>
      <c r="U1378" s="5" t="str">
        <f>IFERROR(__xludf.DUMMYFUNCTION("""COMPUTED_VALUE"""),"Ahmed Al-Badry")</f>
        <v>Ahmed Al-Badry</v>
      </c>
      <c r="V1378" s="5" t="s">
        <v>8108</v>
      </c>
      <c r="W1378" s="5" t="str">
        <f t="shared" si="3"/>
        <v>Gareth Evans</v>
      </c>
      <c r="X1378" s="5">
        <f t="shared" si="4"/>
        <v>2</v>
      </c>
      <c r="Y1378" s="5" t="str">
        <f>IFERROR(__xludf.DUMMYFUNCTION("REGEXEXTRACT(J1378, ""^\d+"")"),"127")</f>
        <v>127</v>
      </c>
      <c r="Z1378" s="5" t="str">
        <f>IFERROR(__xludf.DUMMYFUNCTION("REGEXEXTRACT(J1378, ""[A-Za-z ]+$"")")," min")</f>
        <v> min</v>
      </c>
      <c r="AA1378" s="5" t="str">
        <f>IFERROR(__xludf.DUMMYFUNCTION("IF(REGEXMATCH(Z1378, ""Season""), ""TV Show"", ""Movie"")"),"Movie")</f>
        <v>Movie</v>
      </c>
    </row>
    <row r="1379">
      <c r="A1379" s="1" t="s">
        <v>8109</v>
      </c>
      <c r="B1379" s="1" t="s">
        <v>37</v>
      </c>
      <c r="C1379" s="1" t="s">
        <v>8110</v>
      </c>
      <c r="E1379" s="1" t="s">
        <v>8111</v>
      </c>
      <c r="F1379" s="1" t="s">
        <v>30</v>
      </c>
      <c r="G1379" s="1" t="s">
        <v>8088</v>
      </c>
      <c r="H1379" s="1">
        <v>2018.0</v>
      </c>
      <c r="I1379" s="1" t="s">
        <v>42</v>
      </c>
      <c r="J1379" s="1" t="s">
        <v>148</v>
      </c>
      <c r="K1379" s="1" t="s">
        <v>8112</v>
      </c>
      <c r="L1379" s="1" t="s">
        <v>8113</v>
      </c>
      <c r="M1379" s="2" t="s">
        <v>12</v>
      </c>
      <c r="N1379" s="4">
        <f t="shared" si="1"/>
        <v>44223</v>
      </c>
      <c r="O1379" s="5" t="str">
        <f>IFERROR(__xludf.DUMMYFUNCTION("IF(REGEXMATCH(TRIM(I1379), ""^\d+\s*min""), ""Unclassified"", IF(I1379 = """", ""NR"", I1379))"),"TV-MA")</f>
        <v>TV-MA</v>
      </c>
      <c r="R1379" s="5" t="str">
        <f t="shared" si="2"/>
        <v>Outlander</v>
      </c>
      <c r="S1379" s="5" t="str">
        <f>IFERROR(__xludf.DUMMYFUNCTION("""COMPUTED_VALUE"""),"Cat On A Hot Tin Roof")</f>
        <v>Cat On A Hot Tin Roof</v>
      </c>
      <c r="U1379" s="5" t="str">
        <f>IFERROR(__xludf.DUMMYFUNCTION("""COMPUTED_VALUE"""),"Sameh Abdulaziz")</f>
        <v>Sameh Abdulaziz</v>
      </c>
      <c r="V1379" s="5" t="s">
        <v>8114</v>
      </c>
      <c r="W1379" s="5" t="str">
        <f t="shared" si="3"/>
        <v>Garin Nugroho</v>
      </c>
      <c r="X1379" s="5">
        <f t="shared" si="4"/>
        <v>1</v>
      </c>
      <c r="Y1379" s="5" t="str">
        <f>IFERROR(__xludf.DUMMYFUNCTION("REGEXEXTRACT(J1379, ""^\d+"")"),"4")</f>
        <v>4</v>
      </c>
      <c r="Z1379" s="5" t="str">
        <f>IFERROR(__xludf.DUMMYFUNCTION("REGEXEXTRACT(J1379, ""[A-Za-z ]+$"")")," Seasons")</f>
        <v> Seasons</v>
      </c>
      <c r="AA1379" s="5" t="str">
        <f>IFERROR(__xludf.DUMMYFUNCTION("IF(REGEXMATCH(Z1379, ""Season""), ""TV Show"", ""Movie"")"),"TV Show")</f>
        <v>TV Show</v>
      </c>
    </row>
    <row r="1380">
      <c r="A1380" s="1" t="s">
        <v>8115</v>
      </c>
      <c r="B1380" s="1" t="s">
        <v>27</v>
      </c>
      <c r="C1380" s="1" t="s">
        <v>8116</v>
      </c>
      <c r="D1380" s="1" t="s">
        <v>8117</v>
      </c>
      <c r="E1380" s="1" t="s">
        <v>8118</v>
      </c>
      <c r="F1380" s="1" t="s">
        <v>972</v>
      </c>
      <c r="G1380" s="1" t="s">
        <v>8088</v>
      </c>
      <c r="H1380" s="1">
        <v>2021.0</v>
      </c>
      <c r="I1380" s="1" t="s">
        <v>97</v>
      </c>
      <c r="J1380" s="1" t="s">
        <v>465</v>
      </c>
      <c r="K1380" s="1" t="s">
        <v>771</v>
      </c>
      <c r="L1380" s="1" t="s">
        <v>8119</v>
      </c>
      <c r="M1380" s="2" t="s">
        <v>12</v>
      </c>
      <c r="N1380" s="4">
        <f t="shared" si="1"/>
        <v>44223</v>
      </c>
      <c r="O1380" s="5" t="str">
        <f>IFERROR(__xludf.DUMMYFUNCTION("IF(REGEXMATCH(TRIM(I1380), ""^\d+\s*min""), ""Unclassified"", IF(I1380 = """", ""NR"", I1380))"),"TV-14")</f>
        <v>TV-14</v>
      </c>
      <c r="R1380" s="5" t="str">
        <f t="shared" si="2"/>
        <v>Penguin Bloom</v>
      </c>
      <c r="S1380" s="5" t="str">
        <f>IFERROR(__xludf.DUMMYFUNCTION("""COMPUTED_VALUE"""),"Cat People")</f>
        <v>Cat People</v>
      </c>
      <c r="U1380" s="5" t="str">
        <f>IFERROR(__xludf.DUMMYFUNCTION("""COMPUTED_VALUE"""),"Wael Ihsan")</f>
        <v>Wael Ihsan</v>
      </c>
      <c r="V1380" s="5" t="s">
        <v>2823</v>
      </c>
      <c r="W1380" s="5" t="str">
        <f t="shared" si="3"/>
        <v>Garrett Bradley</v>
      </c>
      <c r="X1380" s="5">
        <f t="shared" si="4"/>
        <v>1</v>
      </c>
      <c r="Y1380" s="5" t="str">
        <f>IFERROR(__xludf.DUMMYFUNCTION("REGEXEXTRACT(J1380, ""^\d+"")"),"95")</f>
        <v>95</v>
      </c>
      <c r="Z1380" s="5" t="str">
        <f>IFERROR(__xludf.DUMMYFUNCTION("REGEXEXTRACT(J1380, ""[A-Za-z ]+$"")")," min")</f>
        <v> min</v>
      </c>
      <c r="AA1380" s="5" t="str">
        <f>IFERROR(__xludf.DUMMYFUNCTION("IF(REGEXMATCH(Z1380, ""Season""), ""TV Show"", ""Movie"")"),"Movie")</f>
        <v>Movie</v>
      </c>
    </row>
    <row r="1381">
      <c r="A1381" s="1" t="s">
        <v>8120</v>
      </c>
      <c r="B1381" s="1" t="s">
        <v>27</v>
      </c>
      <c r="C1381" s="1" t="s">
        <v>8121</v>
      </c>
      <c r="D1381" s="1" t="s">
        <v>8122</v>
      </c>
      <c r="E1381" s="1" t="s">
        <v>8123</v>
      </c>
      <c r="F1381" s="1" t="s">
        <v>400</v>
      </c>
      <c r="G1381" s="1" t="s">
        <v>8124</v>
      </c>
      <c r="H1381" s="1">
        <v>2018.0</v>
      </c>
      <c r="I1381" s="1" t="s">
        <v>97</v>
      </c>
      <c r="J1381" s="1" t="s">
        <v>941</v>
      </c>
      <c r="K1381" s="1" t="s">
        <v>128</v>
      </c>
      <c r="L1381" s="1" t="s">
        <v>8125</v>
      </c>
      <c r="M1381" s="2" t="s">
        <v>12</v>
      </c>
      <c r="N1381" s="4">
        <f t="shared" si="1"/>
        <v>44222</v>
      </c>
      <c r="O1381" s="5" t="str">
        <f>IFERROR(__xludf.DUMMYFUNCTION("IF(REGEXMATCH(TRIM(I1381), ""^\d+\s*min""), ""Unclassified"", IF(I1381 = """", ""NR"", I1381))"),"TV-14")</f>
        <v>TV-14</v>
      </c>
      <c r="R1381" s="5" t="str">
        <f t="shared" si="2"/>
        <v>Black Rose</v>
      </c>
      <c r="S1381" s="5" t="str">
        <f>IFERROR(__xludf.DUMMYFUNCTION("""COMPUTED_VALUE"""),"Catch Me If You Can")</f>
        <v>Catch Me If You Can</v>
      </c>
      <c r="U1381" s="5" t="str">
        <f>IFERROR(__xludf.DUMMYFUNCTION("""COMPUTED_VALUE"""),"Izidore K. Musallam")</f>
        <v>Izidore K. Musallam</v>
      </c>
      <c r="V1381" s="5" t="s">
        <v>2343</v>
      </c>
      <c r="W1381" s="5" t="str">
        <f t="shared" si="3"/>
        <v>Garry Marshall</v>
      </c>
      <c r="X1381" s="5">
        <f t="shared" si="4"/>
        <v>3</v>
      </c>
      <c r="Y1381" s="5" t="str">
        <f>IFERROR(__xludf.DUMMYFUNCTION("REGEXEXTRACT(J1381, ""^\d+"")"),"121")</f>
        <v>121</v>
      </c>
      <c r="Z1381" s="5" t="str">
        <f>IFERROR(__xludf.DUMMYFUNCTION("REGEXEXTRACT(J1381, ""[A-Za-z ]+$"")")," min")</f>
        <v> min</v>
      </c>
      <c r="AA1381" s="5" t="str">
        <f>IFERROR(__xludf.DUMMYFUNCTION("IF(REGEXMATCH(Z1381, ""Season""), ""TV Show"", ""Movie"")"),"Movie")</f>
        <v>Movie</v>
      </c>
    </row>
    <row r="1382">
      <c r="A1382" s="1" t="s">
        <v>8126</v>
      </c>
      <c r="B1382" s="1" t="s">
        <v>37</v>
      </c>
      <c r="C1382" s="1" t="s">
        <v>8127</v>
      </c>
      <c r="E1382" s="1" t="s">
        <v>8128</v>
      </c>
      <c r="F1382" s="1" t="s">
        <v>692</v>
      </c>
      <c r="G1382" s="1" t="s">
        <v>8124</v>
      </c>
      <c r="H1382" s="1">
        <v>2021.0</v>
      </c>
      <c r="I1382" s="1" t="s">
        <v>206</v>
      </c>
      <c r="J1382" s="1" t="s">
        <v>51</v>
      </c>
      <c r="K1382" s="1" t="s">
        <v>290</v>
      </c>
      <c r="L1382" s="1" t="s">
        <v>8129</v>
      </c>
      <c r="M1382" s="2" t="s">
        <v>12</v>
      </c>
      <c r="N1382" s="4">
        <f t="shared" si="1"/>
        <v>44222</v>
      </c>
      <c r="O1382" s="5" t="str">
        <f>IFERROR(__xludf.DUMMYFUNCTION("IF(REGEXMATCH(TRIM(I1382), ""^\d+\s*min""), ""Unclassified"", IF(I1382 = """", ""NR"", I1382))"),"TV-Y")</f>
        <v>TV-Y</v>
      </c>
      <c r="R1382" s="5" t="str">
        <f t="shared" si="2"/>
        <v>Go Dog Go</v>
      </c>
      <c r="S1382" s="9" t="str">
        <f>IFERROR(__xludf.DUMMYFUNCTION("""COMPUTED_VALUE"""),"Catch.Er")</f>
        <v>Catch.Er</v>
      </c>
      <c r="U1382" s="5" t="str">
        <f>IFERROR(__xludf.DUMMYFUNCTION("""COMPUTED_VALUE"""),"Sherif Arafa")</f>
        <v>Sherif Arafa</v>
      </c>
      <c r="V1382" s="5" t="s">
        <v>3582</v>
      </c>
      <c r="W1382" s="5" t="str">
        <f t="shared" si="3"/>
        <v>Garth Davis</v>
      </c>
      <c r="X1382" s="5">
        <f t="shared" si="4"/>
        <v>1</v>
      </c>
      <c r="Y1382" s="5" t="str">
        <f>IFERROR(__xludf.DUMMYFUNCTION("REGEXEXTRACT(J1382, ""^\d+"")"),"1")</f>
        <v>1</v>
      </c>
      <c r="Z1382" s="5" t="str">
        <f>IFERROR(__xludf.DUMMYFUNCTION("REGEXEXTRACT(J1382, ""[A-Za-z ]+$"")")," Season")</f>
        <v> Season</v>
      </c>
      <c r="AA1382" s="5" t="str">
        <f>IFERROR(__xludf.DUMMYFUNCTION("IF(REGEXMATCH(Z1382, ""Season""), ""TV Show"", ""Movie"")"),"TV Show")</f>
        <v>TV Show</v>
      </c>
    </row>
    <row r="1383">
      <c r="A1383" s="1" t="s">
        <v>8130</v>
      </c>
      <c r="B1383" s="1" t="s">
        <v>27</v>
      </c>
      <c r="C1383" s="1" t="s">
        <v>8131</v>
      </c>
      <c r="D1383" s="1" t="s">
        <v>8132</v>
      </c>
      <c r="E1383" s="1" t="s">
        <v>8133</v>
      </c>
      <c r="G1383" s="1" t="s">
        <v>8124</v>
      </c>
      <c r="H1383" s="1">
        <v>2019.0</v>
      </c>
      <c r="I1383" s="1" t="s">
        <v>97</v>
      </c>
      <c r="J1383" s="1" t="s">
        <v>912</v>
      </c>
      <c r="K1383" s="1" t="s">
        <v>215</v>
      </c>
      <c r="L1383" s="1" t="s">
        <v>8134</v>
      </c>
      <c r="M1383" s="2" t="s">
        <v>12</v>
      </c>
      <c r="N1383" s="4">
        <f t="shared" si="1"/>
        <v>44222</v>
      </c>
      <c r="O1383" s="5" t="str">
        <f>IFERROR(__xludf.DUMMYFUNCTION("IF(REGEXMATCH(TRIM(I1383), ""^\d+\s*min""), ""Unclassified"", IF(I1383 = """", ""NR"", I1383))"),"TV-14")</f>
        <v>TV-14</v>
      </c>
      <c r="R1383" s="5" t="str">
        <f t="shared" si="2"/>
        <v>Hire A Woman</v>
      </c>
      <c r="S1383" s="5" t="str">
        <f>IFERROR(__xludf.DUMMYFUNCTION("""COMPUTED_VALUE"""),"Catching Feelings")</f>
        <v>Catching Feelings</v>
      </c>
      <c r="U1383" s="5" t="str">
        <f>IFERROR(__xludf.DUMMYFUNCTION("""COMPUTED_VALUE"""),"Yasir Al Yasiri")</f>
        <v>Yasir Al Yasiri</v>
      </c>
      <c r="V1383" s="5" t="s">
        <v>8135</v>
      </c>
      <c r="W1383" s="5" t="str">
        <f t="shared" si="3"/>
        <v>Gary Andrews</v>
      </c>
      <c r="X1383" s="5">
        <f t="shared" si="4"/>
        <v>1</v>
      </c>
      <c r="Y1383" s="5" t="str">
        <f>IFERROR(__xludf.DUMMYFUNCTION("REGEXEXTRACT(J1383, ""^\d+"")"),"108")</f>
        <v>108</v>
      </c>
      <c r="Z1383" s="5" t="str">
        <f>IFERROR(__xludf.DUMMYFUNCTION("REGEXEXTRACT(J1383, ""[A-Za-z ]+$"")")," min")</f>
        <v> min</v>
      </c>
      <c r="AA1383" s="5" t="str">
        <f>IFERROR(__xludf.DUMMYFUNCTION("IF(REGEXMATCH(Z1383, ""Season""), ""TV Show"", ""Movie"")"),"Movie")</f>
        <v>Movie</v>
      </c>
    </row>
    <row r="1384">
      <c r="A1384" s="1" t="s">
        <v>8136</v>
      </c>
      <c r="B1384" s="1" t="s">
        <v>27</v>
      </c>
      <c r="C1384" s="1" t="s">
        <v>8137</v>
      </c>
      <c r="D1384" s="1" t="s">
        <v>4701</v>
      </c>
      <c r="E1384" s="1" t="s">
        <v>8138</v>
      </c>
      <c r="G1384" s="1" t="s">
        <v>8124</v>
      </c>
      <c r="H1384" s="1">
        <v>2019.0</v>
      </c>
      <c r="I1384" s="1" t="s">
        <v>136</v>
      </c>
      <c r="J1384" s="1" t="s">
        <v>447</v>
      </c>
      <c r="K1384" s="1" t="s">
        <v>679</v>
      </c>
      <c r="L1384" s="1" t="s">
        <v>8139</v>
      </c>
      <c r="M1384" s="2" t="s">
        <v>12</v>
      </c>
      <c r="N1384" s="4">
        <f t="shared" si="1"/>
        <v>44222</v>
      </c>
      <c r="O1384" s="5" t="str">
        <f>IFERROR(__xludf.DUMMYFUNCTION("IF(REGEXMATCH(TRIM(I1384), ""^\d+\s*min""), ""Unclassified"", IF(I1384 = """", ""NR"", I1384))"),"TV-PG")</f>
        <v>TV-PG</v>
      </c>
      <c r="R1384" s="5" t="str">
        <f t="shared" si="2"/>
        <v>She Is</v>
      </c>
      <c r="S1384" s="5" t="str">
        <f>IFERROR(__xludf.DUMMYFUNCTION("""COMPUTED_VALUE"""),"Catching The Sun")</f>
        <v>Catching The Sun</v>
      </c>
      <c r="U1384" s="5" t="str">
        <f>IFERROR(__xludf.DUMMYFUNCTION("""COMPUTED_VALUE"""),"Safdar Rahman")</f>
        <v>Safdar Rahman</v>
      </c>
      <c r="V1384" s="5" t="s">
        <v>8140</v>
      </c>
      <c r="W1384" s="5" t="str">
        <f t="shared" si="3"/>
        <v>Gary Binkow</v>
      </c>
      <c r="X1384" s="5">
        <f t="shared" si="4"/>
        <v>1</v>
      </c>
      <c r="Y1384" s="5" t="str">
        <f>IFERROR(__xludf.DUMMYFUNCTION("REGEXEXTRACT(J1384, ""^\d+"")"),"102")</f>
        <v>102</v>
      </c>
      <c r="Z1384" s="5" t="str">
        <f>IFERROR(__xludf.DUMMYFUNCTION("REGEXEXTRACT(J1384, ""[A-Za-z ]+$"")")," min")</f>
        <v> min</v>
      </c>
      <c r="AA1384" s="5" t="str">
        <f>IFERROR(__xludf.DUMMYFUNCTION("IF(REGEXMATCH(Z1384, ""Season""), ""TV Show"", ""Movie"")"),"Movie")</f>
        <v>Movie</v>
      </c>
    </row>
    <row r="1385">
      <c r="A1385" s="1" t="s">
        <v>8141</v>
      </c>
      <c r="B1385" s="1" t="s">
        <v>37</v>
      </c>
      <c r="C1385" s="1" t="s">
        <v>8142</v>
      </c>
      <c r="F1385" s="1" t="s">
        <v>1106</v>
      </c>
      <c r="G1385" s="1" t="s">
        <v>8143</v>
      </c>
      <c r="H1385" s="1">
        <v>2021.0</v>
      </c>
      <c r="I1385" s="1" t="s">
        <v>97</v>
      </c>
      <c r="J1385" s="1" t="s">
        <v>43</v>
      </c>
      <c r="K1385" s="1" t="s">
        <v>1520</v>
      </c>
      <c r="L1385" s="1" t="s">
        <v>8144</v>
      </c>
      <c r="M1385" s="2" t="s">
        <v>12</v>
      </c>
      <c r="N1385" s="4">
        <f t="shared" si="1"/>
        <v>44218</v>
      </c>
      <c r="O1385" s="5" t="str">
        <f>IFERROR(__xludf.DUMMYFUNCTION("IF(REGEXMATCH(TRIM(I1385), ""^\d+\s*min""), ""Unclassified"", IF(I1385 = """", ""NR"", I1385))"),"TV-14")</f>
        <v>TV-14</v>
      </c>
      <c r="R1385" s="5" t="str">
        <f t="shared" si="2"/>
        <v>Blown Away</v>
      </c>
      <c r="S1385" s="5" t="str">
        <f>IFERROR(__xludf.DUMMYFUNCTION("""COMPUTED_VALUE"""),"Catfight")</f>
        <v>Catfight</v>
      </c>
      <c r="U1385" s="5" t="str">
        <f>IFERROR(__xludf.DUMMYFUNCTION("""COMPUTED_VALUE"""),"Tomas Brickhill")</f>
        <v>Tomas Brickhill</v>
      </c>
      <c r="V1385" s="5" t="s">
        <v>8145</v>
      </c>
      <c r="W1385" s="5" t="str">
        <f t="shared" si="3"/>
        <v>Gary Cohen, Ross Hockrow</v>
      </c>
      <c r="X1385" s="5">
        <f t="shared" si="4"/>
        <v>1</v>
      </c>
      <c r="Y1385" s="5" t="str">
        <f>IFERROR(__xludf.DUMMYFUNCTION("REGEXEXTRACT(J1385, ""^\d+"")"),"2")</f>
        <v>2</v>
      </c>
      <c r="Z1385" s="5" t="str">
        <f>IFERROR(__xludf.DUMMYFUNCTION("REGEXEXTRACT(J1385, ""[A-Za-z ]+$"")")," Seasons")</f>
        <v> Seasons</v>
      </c>
      <c r="AA1385" s="5" t="str">
        <f>IFERROR(__xludf.DUMMYFUNCTION("IF(REGEXMATCH(Z1385, ""Season""), ""TV Show"", ""Movie"")"),"TV Show")</f>
        <v>TV Show</v>
      </c>
    </row>
    <row r="1386">
      <c r="A1386" s="1" t="s">
        <v>8146</v>
      </c>
      <c r="B1386" s="1" t="s">
        <v>37</v>
      </c>
      <c r="C1386" s="1" t="s">
        <v>8147</v>
      </c>
      <c r="E1386" s="1" t="s">
        <v>8148</v>
      </c>
      <c r="F1386" s="1" t="s">
        <v>749</v>
      </c>
      <c r="G1386" s="1" t="s">
        <v>8143</v>
      </c>
      <c r="H1386" s="1">
        <v>2021.0</v>
      </c>
      <c r="I1386" s="1" t="s">
        <v>97</v>
      </c>
      <c r="J1386" s="1" t="s">
        <v>276</v>
      </c>
      <c r="K1386" s="1" t="s">
        <v>6338</v>
      </c>
      <c r="L1386" s="1" t="s">
        <v>8149</v>
      </c>
      <c r="M1386" s="2" t="s">
        <v>12</v>
      </c>
      <c r="N1386" s="4">
        <f t="shared" si="1"/>
        <v>44218</v>
      </c>
      <c r="O1386" s="5" t="str">
        <f>IFERROR(__xludf.DUMMYFUNCTION("IF(REGEXMATCH(TRIM(I1386), ""^\d+\s*min""), ""Unclassified"", IF(I1386 = """", ""NR"", I1386))"),"TV-14")</f>
        <v>TV-14</v>
      </c>
      <c r="R1386" s="5" t="str">
        <f t="shared" si="2"/>
        <v>Busted!</v>
      </c>
      <c r="S1386" s="5" t="str">
        <f>IFERROR(__xludf.DUMMYFUNCTION("""COMPUTED_VALUE"""),"Cathedral Of The Sea")</f>
        <v>Cathedral Of The Sea</v>
      </c>
      <c r="U1386" s="5" t="str">
        <f>IFERROR(__xludf.DUMMYFUNCTION("""COMPUTED_VALUE"""),"Hani Al-Shaibani")</f>
        <v>Hani Al-Shaibani</v>
      </c>
      <c r="V1386" s="5" t="s">
        <v>8150</v>
      </c>
      <c r="W1386" s="5" t="str">
        <f t="shared" si="3"/>
        <v>Gary David Goldberg</v>
      </c>
      <c r="X1386" s="5">
        <f t="shared" si="4"/>
        <v>1</v>
      </c>
      <c r="Y1386" s="5" t="str">
        <f>IFERROR(__xludf.DUMMYFUNCTION("REGEXEXTRACT(J1386, ""^\d+"")"),"3")</f>
        <v>3</v>
      </c>
      <c r="Z1386" s="5" t="str">
        <f>IFERROR(__xludf.DUMMYFUNCTION("REGEXEXTRACT(J1386, ""[A-Za-z ]+$"")")," Seasons")</f>
        <v> Seasons</v>
      </c>
      <c r="AA1386" s="5" t="str">
        <f>IFERROR(__xludf.DUMMYFUNCTION("IF(REGEXMATCH(Z1386, ""Season""), ""TV Show"", ""Movie"")"),"TV Show")</f>
        <v>TV Show</v>
      </c>
    </row>
    <row r="1387">
      <c r="A1387" s="1" t="s">
        <v>8151</v>
      </c>
      <c r="B1387" s="1" t="s">
        <v>37</v>
      </c>
      <c r="C1387" s="1" t="s">
        <v>8152</v>
      </c>
      <c r="E1387" s="1" t="s">
        <v>8153</v>
      </c>
      <c r="F1387" s="1" t="s">
        <v>415</v>
      </c>
      <c r="G1387" s="1" t="s">
        <v>8143</v>
      </c>
      <c r="H1387" s="1">
        <v>2019.0</v>
      </c>
      <c r="I1387" s="1" t="s">
        <v>97</v>
      </c>
      <c r="J1387" s="1" t="s">
        <v>51</v>
      </c>
      <c r="K1387" s="1" t="s">
        <v>567</v>
      </c>
      <c r="L1387" s="1" t="s">
        <v>8154</v>
      </c>
      <c r="M1387" s="2" t="s">
        <v>12</v>
      </c>
      <c r="N1387" s="4">
        <f t="shared" si="1"/>
        <v>44218</v>
      </c>
      <c r="O1387" s="5" t="str">
        <f>IFERROR(__xludf.DUMMYFUNCTION("IF(REGEXMATCH(TRIM(I1387), ""^\d+\s*min""), ""Unclassified"", IF(I1387 = """", ""NR"", I1387))"),"TV-14")</f>
        <v>TV-14</v>
      </c>
      <c r="R1387" s="5" t="str">
        <f t="shared" si="2"/>
        <v>Demon Slayer: Kimetsu No Yaiba</v>
      </c>
      <c r="S1387" s="5" t="str">
        <f>IFERROR(__xludf.DUMMYFUNCTION("""COMPUTED_VALUE"""),"Cats &amp; Dogs: The Revenge Of Kitty Galore")</f>
        <v>Cats &amp; Dogs: The Revenge Of Kitty Galore</v>
      </c>
      <c r="U1387" s="5" t="str">
        <f>IFERROR(__xludf.DUMMYFUNCTION("""COMPUTED_VALUE"""),"Mamoru Hosoda")</f>
        <v>Mamoru Hosoda</v>
      </c>
      <c r="V1387" s="5" t="s">
        <v>8155</v>
      </c>
      <c r="W1387" s="5" t="str">
        <f t="shared" si="3"/>
        <v>Gary Fleder</v>
      </c>
      <c r="X1387" s="5">
        <f t="shared" si="4"/>
        <v>2</v>
      </c>
      <c r="Y1387" s="5" t="str">
        <f>IFERROR(__xludf.DUMMYFUNCTION("REGEXEXTRACT(J1387, ""^\d+"")"),"1")</f>
        <v>1</v>
      </c>
      <c r="Z1387" s="5" t="str">
        <f>IFERROR(__xludf.DUMMYFUNCTION("REGEXEXTRACT(J1387, ""[A-Za-z ]+$"")")," Season")</f>
        <v> Season</v>
      </c>
      <c r="AA1387" s="5" t="str">
        <f>IFERROR(__xludf.DUMMYFUNCTION("IF(REGEXMATCH(Z1387, ""Season""), ""TV Show"", ""Movie"")"),"TV Show")</f>
        <v>TV Show</v>
      </c>
    </row>
    <row r="1388">
      <c r="A1388" s="1" t="s">
        <v>8156</v>
      </c>
      <c r="B1388" s="1" t="s">
        <v>27</v>
      </c>
      <c r="C1388" s="1" t="s">
        <v>8157</v>
      </c>
      <c r="D1388" s="1" t="s">
        <v>2067</v>
      </c>
      <c r="E1388" s="1" t="s">
        <v>8158</v>
      </c>
      <c r="F1388" s="1" t="s">
        <v>8159</v>
      </c>
      <c r="G1388" s="1" t="s">
        <v>8143</v>
      </c>
      <c r="H1388" s="1">
        <v>2020.0</v>
      </c>
      <c r="I1388" s="1" t="s">
        <v>42</v>
      </c>
      <c r="J1388" s="1" t="s">
        <v>465</v>
      </c>
      <c r="K1388" s="1" t="s">
        <v>8160</v>
      </c>
      <c r="L1388" s="1" t="s">
        <v>8161</v>
      </c>
      <c r="M1388" s="2" t="s">
        <v>12</v>
      </c>
      <c r="N1388" s="4">
        <f t="shared" si="1"/>
        <v>44218</v>
      </c>
      <c r="O1388" s="5" t="str">
        <f>IFERROR(__xludf.DUMMYFUNCTION("IF(REGEXMATCH(TRIM(I1388), ""^\d+\s*min""), ""Unclassified"", IF(I1388 = """", ""NR"", I1388))"),"TV-MA")</f>
        <v>TV-MA</v>
      </c>
      <c r="R1388" s="5" t="str">
        <f t="shared" si="2"/>
        <v>So My Grandma’S A Lesbian!</v>
      </c>
      <c r="S1388" s="5" t="str">
        <f>IFERROR(__xludf.DUMMYFUNCTION("""COMPUTED_VALUE"""),"Catwalk: Tales From The Cat Show Circuit")</f>
        <v>Catwalk: Tales From The Cat Show Circuit</v>
      </c>
      <c r="U1388" s="5" t="str">
        <f>IFERROR(__xludf.DUMMYFUNCTION("""COMPUTED_VALUE"""),"James Franco")</f>
        <v>James Franco</v>
      </c>
      <c r="V1388" s="5" t="s">
        <v>8162</v>
      </c>
      <c r="W1388" s="5" t="str">
        <f t="shared" si="3"/>
        <v>Gary Howsam, Mike Smith, John Paul Tremblay, Robb Wells</v>
      </c>
      <c r="X1388" s="5">
        <f t="shared" si="4"/>
        <v>1</v>
      </c>
      <c r="Y1388" s="5" t="str">
        <f>IFERROR(__xludf.DUMMYFUNCTION("REGEXEXTRACT(J1388, ""^\d+"")"),"95")</f>
        <v>95</v>
      </c>
      <c r="Z1388" s="5" t="str">
        <f>IFERROR(__xludf.DUMMYFUNCTION("REGEXEXTRACT(J1388, ""[A-Za-z ]+$"")")," min")</f>
        <v> min</v>
      </c>
      <c r="AA1388" s="5" t="str">
        <f>IFERROR(__xludf.DUMMYFUNCTION("IF(REGEXMATCH(Z1388, ""Season""), ""TV Show"", ""Movie"")"),"Movie")</f>
        <v>Movie</v>
      </c>
    </row>
    <row r="1389">
      <c r="A1389" s="1" t="s">
        <v>8163</v>
      </c>
      <c r="B1389" s="1" t="s">
        <v>27</v>
      </c>
      <c r="C1389" s="1" t="s">
        <v>8164</v>
      </c>
      <c r="D1389" s="1" t="s">
        <v>8165</v>
      </c>
      <c r="E1389" s="1" t="s">
        <v>8166</v>
      </c>
      <c r="F1389" s="1" t="s">
        <v>2321</v>
      </c>
      <c r="G1389" s="1" t="s">
        <v>8143</v>
      </c>
      <c r="H1389" s="1">
        <v>2010.0</v>
      </c>
      <c r="I1389" s="1" t="s">
        <v>32</v>
      </c>
      <c r="J1389" s="1" t="s">
        <v>1428</v>
      </c>
      <c r="K1389" s="1" t="s">
        <v>394</v>
      </c>
      <c r="L1389" s="1" t="s">
        <v>8167</v>
      </c>
      <c r="M1389" s="2" t="s">
        <v>12</v>
      </c>
      <c r="N1389" s="4">
        <f t="shared" si="1"/>
        <v>44218</v>
      </c>
      <c r="O1389" s="5" t="str">
        <f>IFERROR(__xludf.DUMMYFUNCTION("IF(REGEXMATCH(TRIM(I1389), ""^\d+\s*min""), ""Unclassified"", IF(I1389 = """", ""NR"", I1389))"),"PG-13")</f>
        <v>PG-13</v>
      </c>
      <c r="R1389" s="5" t="str">
        <f t="shared" si="2"/>
        <v>The Next Three Days</v>
      </c>
      <c r="S1389" s="5" t="str">
        <f>IFERROR(__xludf.DUMMYFUNCTION("""COMPUTED_VALUE"""),"Caught By A Wave")</f>
        <v>Caught By A Wave</v>
      </c>
      <c r="U1389" s="5" t="str">
        <f>IFERROR(__xludf.DUMMYFUNCTION("""COMPUTED_VALUE"""),"Niall Johnson")</f>
        <v>Niall Johnson</v>
      </c>
      <c r="V1389" s="5" t="s">
        <v>8168</v>
      </c>
      <c r="W1389" s="5" t="str">
        <f t="shared" si="3"/>
        <v>Gary Mak</v>
      </c>
      <c r="X1389" s="5">
        <f t="shared" si="4"/>
        <v>1</v>
      </c>
      <c r="Y1389" s="5" t="str">
        <f>IFERROR(__xludf.DUMMYFUNCTION("REGEXEXTRACT(J1389, ""^\d+"")"),"133")</f>
        <v>133</v>
      </c>
      <c r="Z1389" s="5" t="str">
        <f>IFERROR(__xludf.DUMMYFUNCTION("REGEXEXTRACT(J1389, ""[A-Za-z ]+$"")")," min")</f>
        <v> min</v>
      </c>
      <c r="AA1389" s="5" t="str">
        <f>IFERROR(__xludf.DUMMYFUNCTION("IF(REGEXMATCH(Z1389, ""Season""), ""TV Show"", ""Movie"")"),"Movie")</f>
        <v>Movie</v>
      </c>
    </row>
    <row r="1390">
      <c r="A1390" s="1" t="s">
        <v>8169</v>
      </c>
      <c r="B1390" s="1" t="s">
        <v>27</v>
      </c>
      <c r="C1390" s="1" t="s">
        <v>8170</v>
      </c>
      <c r="D1390" s="1" t="s">
        <v>8171</v>
      </c>
      <c r="E1390" s="1" t="s">
        <v>8172</v>
      </c>
      <c r="F1390" s="1" t="s">
        <v>8173</v>
      </c>
      <c r="G1390" s="1" t="s">
        <v>8143</v>
      </c>
      <c r="H1390" s="1">
        <v>2021.0</v>
      </c>
      <c r="I1390" s="1" t="s">
        <v>378</v>
      </c>
      <c r="J1390" s="1" t="s">
        <v>127</v>
      </c>
      <c r="K1390" s="1" t="s">
        <v>805</v>
      </c>
      <c r="L1390" s="1" t="s">
        <v>8174</v>
      </c>
      <c r="M1390" s="2" t="s">
        <v>12</v>
      </c>
      <c r="N1390" s="4">
        <f t="shared" si="1"/>
        <v>44218</v>
      </c>
      <c r="O1390" s="5" t="str">
        <f>IFERROR(__xludf.DUMMYFUNCTION("IF(REGEXMATCH(TRIM(I1390), ""^\d+\s*min""), ""Unclassified"", IF(I1390 = """", ""NR"", I1390))"),"R")</f>
        <v>R</v>
      </c>
      <c r="R1390" s="5" t="str">
        <f t="shared" si="2"/>
        <v>The White Tiger</v>
      </c>
      <c r="S1390" s="5" t="str">
        <f>IFERROR(__xludf.DUMMYFUNCTION("""COMPUTED_VALUE"""),"Caught On Camera")</f>
        <v>Caught On Camera</v>
      </c>
      <c r="U1390" s="5" t="str">
        <f>IFERROR(__xludf.DUMMYFUNCTION("""COMPUTED_VALUE"""),"Michael Damian")</f>
        <v>Michael Damian</v>
      </c>
      <c r="V1390" s="5" t="s">
        <v>8175</v>
      </c>
      <c r="W1390" s="5" t="str">
        <f t="shared" si="3"/>
        <v>Gary Michael Schultz</v>
      </c>
      <c r="X1390" s="5">
        <f t="shared" si="4"/>
        <v>1</v>
      </c>
      <c r="Y1390" s="5" t="str">
        <f>IFERROR(__xludf.DUMMYFUNCTION("REGEXEXTRACT(J1390, ""^\d+"")"),"127")</f>
        <v>127</v>
      </c>
      <c r="Z1390" s="5" t="str">
        <f>IFERROR(__xludf.DUMMYFUNCTION("REGEXEXTRACT(J1390, ""[A-Za-z ]+$"")")," min")</f>
        <v> min</v>
      </c>
      <c r="AA1390" s="5" t="str">
        <f>IFERROR(__xludf.DUMMYFUNCTION("IF(REGEXMATCH(Z1390, ""Season""), ""TV Show"", ""Movie"")"),"Movie")</f>
        <v>Movie</v>
      </c>
    </row>
    <row r="1391">
      <c r="A1391" s="1" t="s">
        <v>8176</v>
      </c>
      <c r="B1391" s="1" t="s">
        <v>27</v>
      </c>
      <c r="C1391" s="1" t="s">
        <v>8177</v>
      </c>
      <c r="D1391" s="1" t="s">
        <v>8178</v>
      </c>
      <c r="E1391" s="1" t="s">
        <v>8179</v>
      </c>
      <c r="F1391" s="1" t="s">
        <v>30</v>
      </c>
      <c r="G1391" s="1" t="s">
        <v>8180</v>
      </c>
      <c r="H1391" s="1">
        <v>2020.0</v>
      </c>
      <c r="I1391" s="1" t="s">
        <v>378</v>
      </c>
      <c r="J1391" s="1" t="s">
        <v>465</v>
      </c>
      <c r="K1391" s="1" t="s">
        <v>239</v>
      </c>
      <c r="L1391" s="1" t="s">
        <v>8181</v>
      </c>
      <c r="M1391" s="2" t="s">
        <v>12</v>
      </c>
      <c r="N1391" s="4">
        <f t="shared" si="1"/>
        <v>44217</v>
      </c>
      <c r="O1391" s="5" t="str">
        <f>IFERROR(__xludf.DUMMYFUNCTION("IF(REGEXMATCH(TRIM(I1391), ""^\d+\s*min""), ""Unclassified"", IF(I1391 = """", ""NR"", I1391))"),"R")</f>
        <v>R</v>
      </c>
      <c r="R1391" s="5" t="str">
        <f t="shared" si="2"/>
        <v>Friendsgiving</v>
      </c>
      <c r="S1391" s="5" t="str">
        <f>IFERROR(__xludf.DUMMYFUNCTION("""COMPUTED_VALUE"""),"Cave")</f>
        <v>Cave</v>
      </c>
      <c r="U1391" s="5" t="str">
        <f>IFERROR(__xludf.DUMMYFUNCTION("""COMPUTED_VALUE"""),"Ahmed Zain")</f>
        <v>Ahmed Zain</v>
      </c>
      <c r="V1391" s="5" t="s">
        <v>2272</v>
      </c>
      <c r="W1391" s="5" t="str">
        <f t="shared" si="3"/>
        <v>Gary Ross</v>
      </c>
      <c r="X1391" s="5">
        <f t="shared" si="4"/>
        <v>2</v>
      </c>
      <c r="Y1391" s="5" t="str">
        <f>IFERROR(__xludf.DUMMYFUNCTION("REGEXEXTRACT(J1391, ""^\d+"")"),"95")</f>
        <v>95</v>
      </c>
      <c r="Z1391" s="5" t="str">
        <f>IFERROR(__xludf.DUMMYFUNCTION("REGEXEXTRACT(J1391, ""[A-Za-z ]+$"")")," min")</f>
        <v> min</v>
      </c>
      <c r="AA1391" s="5" t="str">
        <f>IFERROR(__xludf.DUMMYFUNCTION("IF(REGEXMATCH(Z1391, ""Season""), ""TV Show"", ""Movie"")"),"Movie")</f>
        <v>Movie</v>
      </c>
    </row>
    <row r="1392">
      <c r="A1392" s="1" t="s">
        <v>8182</v>
      </c>
      <c r="B1392" s="1" t="s">
        <v>27</v>
      </c>
      <c r="C1392" s="1" t="s">
        <v>8183</v>
      </c>
      <c r="D1392" s="1" t="s">
        <v>8184</v>
      </c>
      <c r="E1392" s="1" t="s">
        <v>8185</v>
      </c>
      <c r="F1392" s="1" t="s">
        <v>8186</v>
      </c>
      <c r="G1392" s="1" t="s">
        <v>8180</v>
      </c>
      <c r="H1392" s="1">
        <v>2020.0</v>
      </c>
      <c r="I1392" s="1" t="s">
        <v>378</v>
      </c>
      <c r="J1392" s="1" t="s">
        <v>1091</v>
      </c>
      <c r="K1392" s="1" t="s">
        <v>805</v>
      </c>
      <c r="L1392" s="1" t="s">
        <v>8187</v>
      </c>
      <c r="M1392" s="2" t="s">
        <v>12</v>
      </c>
      <c r="N1392" s="4">
        <f t="shared" si="1"/>
        <v>44217</v>
      </c>
      <c r="O1392" s="5" t="str">
        <f>IFERROR(__xludf.DUMMYFUNCTION("IF(REGEXMATCH(TRIM(I1392), ""^\d+\s*min""), ""Unclassified"", IF(I1392 = """", ""NR"", I1392))"),"R")</f>
        <v>R</v>
      </c>
      <c r="R1392" s="5" t="str">
        <f t="shared" si="2"/>
        <v>The Shadow Of Violence</v>
      </c>
      <c r="S1392" s="5" t="str">
        <f>IFERROR(__xludf.DUMMYFUNCTION("""COMPUTED_VALUE"""),"Cedric The Entertainer: Live From The Ville")</f>
        <v>Cedric The Entertainer: Live From The Ville</v>
      </c>
      <c r="U1392" s="5" t="str">
        <f>IFERROR(__xludf.DUMMYFUNCTION("""COMPUTED_VALUE"""),"Angshuman Ghosh")</f>
        <v>Angshuman Ghosh</v>
      </c>
      <c r="V1392" s="5" t="s">
        <v>5052</v>
      </c>
      <c r="W1392" s="5" t="str">
        <f t="shared" si="3"/>
        <v>Gary Sing</v>
      </c>
      <c r="X1392" s="5">
        <f t="shared" si="4"/>
        <v>1</v>
      </c>
      <c r="Y1392" s="5" t="str">
        <f>IFERROR(__xludf.DUMMYFUNCTION("REGEXEXTRACT(J1392, ""^\d+"")"),"101")</f>
        <v>101</v>
      </c>
      <c r="Z1392" s="5" t="str">
        <f>IFERROR(__xludf.DUMMYFUNCTION("REGEXEXTRACT(J1392, ""[A-Za-z ]+$"")")," min")</f>
        <v> min</v>
      </c>
      <c r="AA1392" s="5" t="str">
        <f>IFERROR(__xludf.DUMMYFUNCTION("IF(REGEXMATCH(Z1392, ""Season""), ""TV Show"", ""Movie"")"),"Movie")</f>
        <v>Movie</v>
      </c>
    </row>
    <row r="1393">
      <c r="A1393" s="1" t="s">
        <v>8188</v>
      </c>
      <c r="B1393" s="1" t="s">
        <v>27</v>
      </c>
      <c r="C1393" s="1" t="s">
        <v>8189</v>
      </c>
      <c r="D1393" s="1" t="s">
        <v>8190</v>
      </c>
      <c r="E1393" s="1" t="s">
        <v>8191</v>
      </c>
      <c r="F1393" s="1" t="s">
        <v>30</v>
      </c>
      <c r="G1393" s="1" t="s">
        <v>8192</v>
      </c>
      <c r="H1393" s="1">
        <v>2020.0</v>
      </c>
      <c r="I1393" s="1" t="s">
        <v>378</v>
      </c>
      <c r="J1393" s="1" t="s">
        <v>2566</v>
      </c>
      <c r="K1393" s="1" t="s">
        <v>805</v>
      </c>
      <c r="L1393" s="1" t="s">
        <v>8193</v>
      </c>
      <c r="M1393" s="2" t="s">
        <v>12</v>
      </c>
      <c r="N1393" s="4">
        <f t="shared" si="1"/>
        <v>44216</v>
      </c>
      <c r="O1393" s="5" t="str">
        <f>IFERROR(__xludf.DUMMYFUNCTION("IF(REGEXMATCH(TRIM(I1393), ""^\d+\s*min""), ""Unclassified"", IF(I1393 = """", ""NR"", I1393))"),"R")</f>
        <v>R</v>
      </c>
      <c r="R1393" s="5" t="str">
        <f t="shared" si="2"/>
        <v>Cut Throat City</v>
      </c>
      <c r="S1393" s="5" t="str">
        <f>IFERROR(__xludf.DUMMYFUNCTION("""COMPUTED_VALUE"""),"Celebrity Marriage")</f>
        <v>Celebrity Marriage</v>
      </c>
      <c r="U1393" s="5" t="str">
        <f>IFERROR(__xludf.DUMMYFUNCTION("""COMPUTED_VALUE"""),"Ahmed Zein")</f>
        <v>Ahmed Zein</v>
      </c>
      <c r="V1393" s="5" t="s">
        <v>8194</v>
      </c>
      <c r="W1393" s="5" t="str">
        <f t="shared" si="3"/>
        <v>Gary Stretch</v>
      </c>
      <c r="X1393" s="5">
        <f t="shared" si="4"/>
        <v>1</v>
      </c>
      <c r="Y1393" s="5" t="str">
        <f>IFERROR(__xludf.DUMMYFUNCTION("REGEXEXTRACT(J1393, ""^\d+"")"),"123")</f>
        <v>123</v>
      </c>
      <c r="Z1393" s="5" t="str">
        <f>IFERROR(__xludf.DUMMYFUNCTION("REGEXEXTRACT(J1393, ""[A-Za-z ]+$"")")," min")</f>
        <v> min</v>
      </c>
      <c r="AA1393" s="5" t="str">
        <f>IFERROR(__xludf.DUMMYFUNCTION("IF(REGEXMATCH(Z1393, ""Season""), ""TV Show"", ""Movie"")"),"Movie")</f>
        <v>Movie</v>
      </c>
    </row>
    <row r="1394">
      <c r="A1394" s="1" t="s">
        <v>8195</v>
      </c>
      <c r="B1394" s="1" t="s">
        <v>37</v>
      </c>
      <c r="C1394" s="1" t="s">
        <v>8196</v>
      </c>
      <c r="E1394" s="1" t="s">
        <v>8197</v>
      </c>
      <c r="F1394" s="1" t="s">
        <v>162</v>
      </c>
      <c r="G1394" s="1" t="s">
        <v>8192</v>
      </c>
      <c r="H1394" s="1">
        <v>2021.0</v>
      </c>
      <c r="I1394" s="1" t="s">
        <v>42</v>
      </c>
      <c r="J1394" s="1" t="s">
        <v>51</v>
      </c>
      <c r="K1394" s="1" t="s">
        <v>1627</v>
      </c>
      <c r="L1394" s="1" t="s">
        <v>8198</v>
      </c>
      <c r="M1394" s="2" t="s">
        <v>12</v>
      </c>
      <c r="N1394" s="4">
        <f t="shared" si="1"/>
        <v>44216</v>
      </c>
      <c r="O1394" s="5" t="str">
        <f>IFERROR(__xludf.DUMMYFUNCTION("IF(REGEXMATCH(TRIM(I1394), ""^\d+\s*min""), ""Unclassified"", IF(I1394 = """", ""NR"", I1394))"),"TV-MA")</f>
        <v>TV-MA</v>
      </c>
      <c r="R1394" s="5" t="str">
        <f t="shared" si="2"/>
        <v>Daughter From Another Mother</v>
      </c>
      <c r="S1394" s="5" t="str">
        <f>IFERROR(__xludf.DUMMYFUNCTION("""COMPUTED_VALUE"""),"Cells At Work!")</f>
        <v>Cells At Work!</v>
      </c>
      <c r="U1394" s="5" t="str">
        <f>IFERROR(__xludf.DUMMYFUNCTION("""COMPUTED_VALUE"""),"Alejandro Montiel")</f>
        <v>Alejandro Montiel</v>
      </c>
      <c r="V1394" s="5" t="s">
        <v>8199</v>
      </c>
      <c r="W1394" s="5" t="str">
        <f t="shared" si="3"/>
        <v>Gary Wang</v>
      </c>
      <c r="X1394" s="5">
        <f t="shared" si="4"/>
        <v>1</v>
      </c>
      <c r="Y1394" s="5" t="str">
        <f>IFERROR(__xludf.DUMMYFUNCTION("REGEXEXTRACT(J1394, ""^\d+"")"),"1")</f>
        <v>1</v>
      </c>
      <c r="Z1394" s="5" t="str">
        <f>IFERROR(__xludf.DUMMYFUNCTION("REGEXEXTRACT(J1394, ""[A-Za-z ]+$"")")," Season")</f>
        <v> Season</v>
      </c>
      <c r="AA1394" s="5" t="str">
        <f>IFERROR(__xludf.DUMMYFUNCTION("IF(REGEXMATCH(Z1394, ""Season""), ""TV Show"", ""Movie"")"),"TV Show")</f>
        <v>TV Show</v>
      </c>
    </row>
    <row r="1395">
      <c r="A1395" s="1" t="s">
        <v>8200</v>
      </c>
      <c r="B1395" s="1" t="s">
        <v>27</v>
      </c>
      <c r="C1395" s="1" t="s">
        <v>8201</v>
      </c>
      <c r="D1395" s="1" t="s">
        <v>5177</v>
      </c>
      <c r="E1395" s="1" t="s">
        <v>8202</v>
      </c>
      <c r="F1395" s="1" t="s">
        <v>30</v>
      </c>
      <c r="G1395" s="1" t="s">
        <v>8192</v>
      </c>
      <c r="H1395" s="1">
        <v>2020.0</v>
      </c>
      <c r="I1395" s="1" t="s">
        <v>97</v>
      </c>
      <c r="J1395" s="1" t="s">
        <v>1191</v>
      </c>
      <c r="K1395" s="1" t="s">
        <v>171</v>
      </c>
      <c r="L1395" s="1" t="s">
        <v>8203</v>
      </c>
      <c r="M1395" s="2" t="s">
        <v>12</v>
      </c>
      <c r="N1395" s="4">
        <f t="shared" si="1"/>
        <v>44216</v>
      </c>
      <c r="O1395" s="5" t="str">
        <f>IFERROR(__xludf.DUMMYFUNCTION("IF(REGEXMATCH(TRIM(I1395), ""^\d+\s*min""), ""Unclassified"", IF(I1395 = """", ""NR"", I1395))"),"TV-14")</f>
        <v>TV-14</v>
      </c>
      <c r="R1395" s="5" t="str">
        <f t="shared" si="2"/>
        <v>Sightless</v>
      </c>
      <c r="S1395" s="5" t="str">
        <f>IFERROR(__xludf.DUMMYFUNCTION("""COMPUTED_VALUE"""),"Celluloid Man")</f>
        <v>Celluloid Man</v>
      </c>
      <c r="U1395" s="5" t="str">
        <f>IFERROR(__xludf.DUMMYFUNCTION("""COMPUTED_VALUE"""),"Fernando Frías De La Parra")</f>
        <v>Fernando Frías De La Parra</v>
      </c>
      <c r="V1395" s="5" t="s">
        <v>8204</v>
      </c>
      <c r="W1395" s="5" t="str">
        <f t="shared" si="3"/>
        <v>Gary Wheeler</v>
      </c>
      <c r="X1395" s="5">
        <f t="shared" si="4"/>
        <v>1</v>
      </c>
      <c r="Y1395" s="5" t="str">
        <f>IFERROR(__xludf.DUMMYFUNCTION("REGEXEXTRACT(J1395, ""^\d+"")"),"89")</f>
        <v>89</v>
      </c>
      <c r="Z1395" s="5" t="str">
        <f>IFERROR(__xludf.DUMMYFUNCTION("REGEXEXTRACT(J1395, ""[A-Za-z ]+$"")")," min")</f>
        <v> min</v>
      </c>
      <c r="AA1395" s="5" t="str">
        <f>IFERROR(__xludf.DUMMYFUNCTION("IF(REGEXMATCH(Z1395, ""Season""), ""TV Show"", ""Movie"")"),"Movie")</f>
        <v>Movie</v>
      </c>
    </row>
    <row r="1396">
      <c r="A1396" s="1" t="s">
        <v>8205</v>
      </c>
      <c r="B1396" s="1" t="s">
        <v>37</v>
      </c>
      <c r="C1396" s="1" t="s">
        <v>8206</v>
      </c>
      <c r="F1396" s="1" t="s">
        <v>30</v>
      </c>
      <c r="G1396" s="1" t="s">
        <v>8192</v>
      </c>
      <c r="H1396" s="1">
        <v>2021.0</v>
      </c>
      <c r="I1396" s="1" t="s">
        <v>42</v>
      </c>
      <c r="J1396" s="1" t="s">
        <v>51</v>
      </c>
      <c r="K1396" s="1" t="s">
        <v>736</v>
      </c>
      <c r="L1396" s="1" t="s">
        <v>8207</v>
      </c>
      <c r="M1396" s="2" t="s">
        <v>12</v>
      </c>
      <c r="N1396" s="4">
        <f t="shared" si="1"/>
        <v>44216</v>
      </c>
      <c r="O1396" s="5" t="str">
        <f>IFERROR(__xludf.DUMMYFUNCTION("IF(REGEXMATCH(TRIM(I1396), ""^\d+\s*min""), ""Unclassified"", IF(I1396 = """", ""NR"", I1396))"),"TV-MA")</f>
        <v>TV-MA</v>
      </c>
      <c r="R1396" s="5" t="str">
        <f t="shared" si="2"/>
        <v>Spycraft</v>
      </c>
      <c r="S1396" s="5" t="str">
        <f>IFERROR(__xludf.DUMMYFUNCTION("""COMPUTED_VALUE"""),"Cemara'S Family")</f>
        <v>Cemara'S Family</v>
      </c>
      <c r="U1396" s="5" t="str">
        <f>IFERROR(__xludf.DUMMYFUNCTION("""COMPUTED_VALUE"""),"Madeleine Parry")</f>
        <v>Madeleine Parry</v>
      </c>
      <c r="V1396" s="5" t="s">
        <v>1097</v>
      </c>
      <c r="W1396" s="5" t="str">
        <f t="shared" si="3"/>
        <v>Gary Winick</v>
      </c>
      <c r="X1396" s="5">
        <f t="shared" si="4"/>
        <v>1</v>
      </c>
      <c r="Y1396" s="5" t="str">
        <f>IFERROR(__xludf.DUMMYFUNCTION("REGEXEXTRACT(J1396, ""^\d+"")"),"1")</f>
        <v>1</v>
      </c>
      <c r="Z1396" s="5" t="str">
        <f>IFERROR(__xludf.DUMMYFUNCTION("REGEXEXTRACT(J1396, ""[A-Za-z ]+$"")")," Season")</f>
        <v> Season</v>
      </c>
      <c r="AA1396" s="5" t="str">
        <f>IFERROR(__xludf.DUMMYFUNCTION("IF(REGEXMATCH(Z1396, ""Season""), ""TV Show"", ""Movie"")"),"TV Show")</f>
        <v>TV Show</v>
      </c>
    </row>
    <row r="1397">
      <c r="A1397" s="1" t="s">
        <v>8208</v>
      </c>
      <c r="B1397" s="1" t="s">
        <v>37</v>
      </c>
      <c r="C1397" s="1" t="s">
        <v>8209</v>
      </c>
      <c r="E1397" s="1" t="s">
        <v>8210</v>
      </c>
      <c r="F1397" s="1" t="s">
        <v>30</v>
      </c>
      <c r="G1397" s="1" t="s">
        <v>8211</v>
      </c>
      <c r="H1397" s="1">
        <v>2021.0</v>
      </c>
      <c r="I1397" s="1" t="s">
        <v>206</v>
      </c>
      <c r="J1397" s="1" t="s">
        <v>148</v>
      </c>
      <c r="K1397" s="1" t="s">
        <v>290</v>
      </c>
      <c r="L1397" s="1" t="s">
        <v>8212</v>
      </c>
      <c r="M1397" s="2" t="s">
        <v>12</v>
      </c>
      <c r="N1397" s="4">
        <f t="shared" si="1"/>
        <v>44215</v>
      </c>
      <c r="O1397" s="5" t="str">
        <f>IFERROR(__xludf.DUMMYFUNCTION("IF(REGEXMATCH(TRIM(I1397), ""^\d+\s*min""), ""Unclassified"", IF(I1397 = """", ""NR"", I1397))"),"TV-Y")</f>
        <v>TV-Y</v>
      </c>
      <c r="R1397" s="5" t="str">
        <f t="shared" si="2"/>
        <v>Hello Ninja</v>
      </c>
      <c r="S1397" s="5" t="str">
        <f>IFERROR(__xludf.DUMMYFUNCTION("""COMPUTED_VALUE"""),"Centaurworld")</f>
        <v>Centaurworld</v>
      </c>
      <c r="U1397" s="5" t="str">
        <f>IFERROR(__xludf.DUMMYFUNCTION("""COMPUTED_VALUE"""),"Yu Yang")</f>
        <v>Yu Yang</v>
      </c>
      <c r="V1397" s="5" t="s">
        <v>8213</v>
      </c>
      <c r="W1397" s="5" t="str">
        <f t="shared" si="3"/>
        <v>Gary Young</v>
      </c>
      <c r="X1397" s="5">
        <f t="shared" si="4"/>
        <v>1</v>
      </c>
      <c r="Y1397" s="5" t="str">
        <f>IFERROR(__xludf.DUMMYFUNCTION("REGEXEXTRACT(J1397, ""^\d+"")"),"4")</f>
        <v>4</v>
      </c>
      <c r="Z1397" s="5" t="str">
        <f>IFERROR(__xludf.DUMMYFUNCTION("REGEXEXTRACT(J1397, ""[A-Za-z ]+$"")")," Seasons")</f>
        <v> Seasons</v>
      </c>
      <c r="AA1397" s="5" t="str">
        <f>IFERROR(__xludf.DUMMYFUNCTION("IF(REGEXMATCH(Z1397, ""Season""), ""TV Show"", ""Movie"")"),"TV Show")</f>
        <v>TV Show</v>
      </c>
    </row>
    <row r="1398">
      <c r="A1398" s="1" t="s">
        <v>8214</v>
      </c>
      <c r="B1398" s="1" t="s">
        <v>27</v>
      </c>
      <c r="C1398" s="1" t="s">
        <v>8215</v>
      </c>
      <c r="D1398" s="1" t="s">
        <v>8155</v>
      </c>
      <c r="E1398" s="1" t="s">
        <v>8216</v>
      </c>
      <c r="F1398" s="1" t="s">
        <v>30</v>
      </c>
      <c r="G1398" s="1" t="s">
        <v>8217</v>
      </c>
      <c r="H1398" s="1">
        <v>2013.0</v>
      </c>
      <c r="I1398" s="1" t="s">
        <v>378</v>
      </c>
      <c r="J1398" s="1" t="s">
        <v>433</v>
      </c>
      <c r="K1398" s="1" t="s">
        <v>380</v>
      </c>
      <c r="L1398" s="1" t="s">
        <v>8218</v>
      </c>
      <c r="M1398" s="2" t="s">
        <v>12</v>
      </c>
      <c r="N1398" s="4">
        <f t="shared" si="1"/>
        <v>44214</v>
      </c>
      <c r="O1398" s="5" t="str">
        <f>IFERROR(__xludf.DUMMYFUNCTION("IF(REGEXMATCH(TRIM(I1398), ""^\d+\s*min""), ""Unclassified"", IF(I1398 = """", ""NR"", I1398))"),"R")</f>
        <v>R</v>
      </c>
      <c r="R1398" s="5" t="str">
        <f t="shared" si="2"/>
        <v>Homefront</v>
      </c>
      <c r="S1398" s="5" t="str">
        <f>IFERROR(__xludf.DUMMYFUNCTION("""COMPUTED_VALUE"""),"Center Stage")</f>
        <v>Center Stage</v>
      </c>
      <c r="U1398" s="5" t="str">
        <f>IFERROR(__xludf.DUMMYFUNCTION("""COMPUTED_VALUE"""),"Jesse Warn")</f>
        <v>Jesse Warn</v>
      </c>
      <c r="V1398" s="5" t="s">
        <v>8219</v>
      </c>
      <c r="W1398" s="5" t="str">
        <f t="shared" si="3"/>
        <v>Gaspar Antillo</v>
      </c>
      <c r="X1398" s="5">
        <f t="shared" si="4"/>
        <v>1</v>
      </c>
      <c r="Y1398" s="5" t="str">
        <f>IFERROR(__xludf.DUMMYFUNCTION("REGEXEXTRACT(J1398, ""^\d+"")"),"100")</f>
        <v>100</v>
      </c>
      <c r="Z1398" s="5" t="str">
        <f>IFERROR(__xludf.DUMMYFUNCTION("REGEXEXTRACT(J1398, ""[A-Za-z ]+$"")")," min")</f>
        <v> min</v>
      </c>
      <c r="AA1398" s="5" t="str">
        <f>IFERROR(__xludf.DUMMYFUNCTION("IF(REGEXMATCH(Z1398, ""Season""), ""TV Show"", ""Movie"")"),"Movie")</f>
        <v>Movie</v>
      </c>
    </row>
    <row r="1399">
      <c r="A1399" s="1" t="s">
        <v>8220</v>
      </c>
      <c r="B1399" s="1" t="s">
        <v>27</v>
      </c>
      <c r="C1399" s="1" t="s">
        <v>8221</v>
      </c>
      <c r="D1399" s="1" t="s">
        <v>8222</v>
      </c>
      <c r="E1399" s="1" t="s">
        <v>8223</v>
      </c>
      <c r="F1399" s="1" t="s">
        <v>8224</v>
      </c>
      <c r="G1399" s="1" t="s">
        <v>8225</v>
      </c>
      <c r="H1399" s="1">
        <v>2016.0</v>
      </c>
      <c r="I1399" s="1" t="s">
        <v>32</v>
      </c>
      <c r="J1399" s="1" t="s">
        <v>912</v>
      </c>
      <c r="K1399" s="1" t="s">
        <v>8226</v>
      </c>
      <c r="L1399" s="1" t="s">
        <v>8227</v>
      </c>
      <c r="M1399" s="2" t="s">
        <v>12</v>
      </c>
      <c r="N1399" s="4">
        <f t="shared" si="1"/>
        <v>44212</v>
      </c>
      <c r="O1399" s="5" t="str">
        <f>IFERROR(__xludf.DUMMYFUNCTION("IF(REGEXMATCH(TRIM(I1399), ""^\d+\s*min""), ""Unclassified"", IF(I1399 = """", ""NR"", I1399))"),"PG-13")</f>
        <v>PG-13</v>
      </c>
      <c r="R1399" s="5" t="str">
        <f t="shared" si="2"/>
        <v>A Monster Calls</v>
      </c>
      <c r="S1399" s="5" t="str">
        <f>IFERROR(__xludf.DUMMYFUNCTION("""COMPUTED_VALUE"""),"Cézanne Et Moi")</f>
        <v>Cézanne Et Moi</v>
      </c>
      <c r="U1399" s="5" t="str">
        <f>IFERROR(__xludf.DUMMYFUNCTION("""COMPUTED_VALUE"""),"Josh Safdie, Benny Safdie")</f>
        <v>Josh Safdie, Benny Safdie</v>
      </c>
      <c r="V1399" s="5" t="s">
        <v>8228</v>
      </c>
      <c r="W1399" s="5" t="str">
        <f t="shared" si="3"/>
        <v>Gastón Duprat</v>
      </c>
      <c r="X1399" s="5">
        <f t="shared" si="4"/>
        <v>1</v>
      </c>
      <c r="Y1399" s="5" t="str">
        <f>IFERROR(__xludf.DUMMYFUNCTION("REGEXEXTRACT(J1399, ""^\d+"")"),"108")</f>
        <v>108</v>
      </c>
      <c r="Z1399" s="5" t="str">
        <f>IFERROR(__xludf.DUMMYFUNCTION("REGEXEXTRACT(J1399, ""[A-Za-z ]+$"")")," min")</f>
        <v> min</v>
      </c>
      <c r="AA1399" s="5" t="str">
        <f>IFERROR(__xludf.DUMMYFUNCTION("IF(REGEXMATCH(Z1399, ""Season""), ""TV Show"", ""Movie"")"),"Movie")</f>
        <v>Movie</v>
      </c>
    </row>
    <row r="1400">
      <c r="A1400" s="1" t="s">
        <v>8229</v>
      </c>
      <c r="B1400" s="1" t="s">
        <v>27</v>
      </c>
      <c r="C1400" s="1" t="s">
        <v>8230</v>
      </c>
      <c r="D1400" s="1" t="s">
        <v>5734</v>
      </c>
      <c r="E1400" s="1" t="s">
        <v>8231</v>
      </c>
      <c r="F1400" s="1" t="s">
        <v>7469</v>
      </c>
      <c r="G1400" s="1" t="s">
        <v>8225</v>
      </c>
      <c r="H1400" s="1">
        <v>2020.0</v>
      </c>
      <c r="I1400" s="1" t="s">
        <v>378</v>
      </c>
      <c r="J1400" s="1" t="s">
        <v>170</v>
      </c>
      <c r="K1400" s="1" t="s">
        <v>1551</v>
      </c>
      <c r="L1400" s="1" t="s">
        <v>8232</v>
      </c>
      <c r="M1400" s="2" t="s">
        <v>12</v>
      </c>
      <c r="N1400" s="4">
        <f t="shared" si="1"/>
        <v>44212</v>
      </c>
      <c r="O1400" s="5" t="str">
        <f>IFERROR(__xludf.DUMMYFUNCTION("IF(REGEXMATCH(TRIM(I1400), ""^\d+\s*min""), ""Unclassified"", IF(I1400 = """", ""NR"", I1400))"),"R")</f>
        <v>R</v>
      </c>
      <c r="R1400" s="5" t="str">
        <f t="shared" si="2"/>
        <v>Death Of Me</v>
      </c>
      <c r="S1400" s="5" t="str">
        <f>IFERROR(__xludf.DUMMYFUNCTION("""COMPUTED_VALUE"""),"Chaahat")</f>
        <v>Chaahat</v>
      </c>
      <c r="U1400" s="5" t="str">
        <f>IFERROR(__xludf.DUMMYFUNCTION("""COMPUTED_VALUE"""),"Hiromasa Yonebayashi, Yoshiyuki Momose, Akihiko Yamashita")</f>
        <v>Hiromasa Yonebayashi, Yoshiyuki Momose, Akihiko Yamashita</v>
      </c>
      <c r="V1400" s="5" t="s">
        <v>8233</v>
      </c>
      <c r="W1400" s="5" t="str">
        <f t="shared" si="3"/>
        <v>Gastón Duprat, Mariano Cohn</v>
      </c>
      <c r="X1400" s="5">
        <f t="shared" si="4"/>
        <v>1</v>
      </c>
      <c r="Y1400" s="5" t="str">
        <f>IFERROR(__xludf.DUMMYFUNCTION("REGEXEXTRACT(J1400, ""^\d+"")"),"94")</f>
        <v>94</v>
      </c>
      <c r="Z1400" s="5" t="str">
        <f>IFERROR(__xludf.DUMMYFUNCTION("REGEXEXTRACT(J1400, ""[A-Za-z ]+$"")")," min")</f>
        <v> min</v>
      </c>
      <c r="AA1400" s="5" t="str">
        <f>IFERROR(__xludf.DUMMYFUNCTION("IF(REGEXMATCH(Z1400, ""Season""), ""TV Show"", ""Movie"")"),"Movie")</f>
        <v>Movie</v>
      </c>
    </row>
    <row r="1401">
      <c r="A1401" s="1" t="s">
        <v>8234</v>
      </c>
      <c r="B1401" s="1" t="s">
        <v>27</v>
      </c>
      <c r="C1401" s="1" t="s">
        <v>8235</v>
      </c>
      <c r="D1401" s="1" t="s">
        <v>8236</v>
      </c>
      <c r="E1401" s="1" t="s">
        <v>8237</v>
      </c>
      <c r="F1401" s="1" t="s">
        <v>30</v>
      </c>
      <c r="G1401" s="1" t="s">
        <v>8225</v>
      </c>
      <c r="H1401" s="1">
        <v>2018.0</v>
      </c>
      <c r="I1401" s="1" t="s">
        <v>97</v>
      </c>
      <c r="J1401" s="1" t="s">
        <v>238</v>
      </c>
      <c r="K1401" s="1" t="s">
        <v>1320</v>
      </c>
      <c r="L1401" s="1" t="s">
        <v>8238</v>
      </c>
      <c r="M1401" s="2" t="s">
        <v>12</v>
      </c>
      <c r="N1401" s="4">
        <f t="shared" si="1"/>
        <v>44212</v>
      </c>
      <c r="O1401" s="5" t="str">
        <f>IFERROR(__xludf.DUMMYFUNCTION("IF(REGEXMATCH(TRIM(I1401), ""^\d+\s*min""), ""Unclassified"", IF(I1401 = """", ""NR"", I1401))"),"TV-14")</f>
        <v>TV-14</v>
      </c>
      <c r="R1401" s="5" t="str">
        <f t="shared" si="2"/>
        <v>Radium Girls</v>
      </c>
      <c r="S1401" s="5" t="str">
        <f>IFERROR(__xludf.DUMMYFUNCTION("""COMPUTED_VALUE"""),"Chaar Sahibzaade")</f>
        <v>Chaar Sahibzaade</v>
      </c>
      <c r="U1401" s="5" t="str">
        <f>IFERROR(__xludf.DUMMYFUNCTION("""COMPUTED_VALUE"""),"Michael Showalter")</f>
        <v>Michael Showalter</v>
      </c>
      <c r="V1401" s="5" t="s">
        <v>8239</v>
      </c>
      <c r="W1401" s="5" t="str">
        <f t="shared" si="3"/>
        <v>Gaurav Bavdankar</v>
      </c>
      <c r="X1401" s="5">
        <f t="shared" si="4"/>
        <v>1</v>
      </c>
      <c r="Y1401" s="5" t="str">
        <f>IFERROR(__xludf.DUMMYFUNCTION("REGEXEXTRACT(J1401, ""^\d+"")"),"103")</f>
        <v>103</v>
      </c>
      <c r="Z1401" s="5" t="str">
        <f>IFERROR(__xludf.DUMMYFUNCTION("REGEXEXTRACT(J1401, ""[A-Za-z ]+$"")")," min")</f>
        <v> min</v>
      </c>
      <c r="AA1401" s="5" t="str">
        <f>IFERROR(__xludf.DUMMYFUNCTION("IF(REGEXMATCH(Z1401, ""Season""), ""TV Show"", ""Movie"")"),"Movie")</f>
        <v>Movie</v>
      </c>
    </row>
    <row r="1402">
      <c r="A1402" s="1" t="s">
        <v>8240</v>
      </c>
      <c r="B1402" s="1" t="s">
        <v>37</v>
      </c>
      <c r="C1402" s="1" t="s">
        <v>8241</v>
      </c>
      <c r="F1402" s="1" t="s">
        <v>30</v>
      </c>
      <c r="G1402" s="1" t="s">
        <v>8242</v>
      </c>
      <c r="H1402" s="1">
        <v>2021.0</v>
      </c>
      <c r="I1402" s="1" t="s">
        <v>42</v>
      </c>
      <c r="J1402" s="1" t="s">
        <v>51</v>
      </c>
      <c r="K1402" s="1" t="s">
        <v>440</v>
      </c>
      <c r="L1402" s="1" t="s">
        <v>8243</v>
      </c>
      <c r="M1402" s="2" t="s">
        <v>12</v>
      </c>
      <c r="N1402" s="4">
        <f t="shared" si="1"/>
        <v>44211</v>
      </c>
      <c r="O1402" s="5" t="str">
        <f>IFERROR(__xludf.DUMMYFUNCTION("IF(REGEXMATCH(TRIM(I1402), ""^\d+\s*min""), ""Unclassified"", IF(I1402 = """", ""NR"", I1402))"),"TV-MA")</f>
        <v>TV-MA</v>
      </c>
      <c r="R1402" s="5" t="str">
        <f t="shared" si="2"/>
        <v>Bling Empire</v>
      </c>
      <c r="S1402" s="5" t="str">
        <f>IFERROR(__xludf.DUMMYFUNCTION("""COMPUTED_VALUE"""),"Chadi Jawani Budhe Nu")</f>
        <v>Chadi Jawani Budhe Nu</v>
      </c>
      <c r="U1402" s="5" t="str">
        <f>IFERROR(__xludf.DUMMYFUNCTION("""COMPUTED_VALUE"""),"Norm Hiscock, Gary Howsam, Mike Smith, John Paul Tremblay, Robb Wells")</f>
        <v>Norm Hiscock, Gary Howsam, Mike Smith, John Paul Tremblay, Robb Wells</v>
      </c>
      <c r="V1402" s="5" t="s">
        <v>8244</v>
      </c>
      <c r="W1402" s="5" t="str">
        <f t="shared" si="3"/>
        <v>Gaurav Narayanan</v>
      </c>
      <c r="X1402" s="5">
        <f t="shared" si="4"/>
        <v>1</v>
      </c>
      <c r="Y1402" s="5" t="str">
        <f>IFERROR(__xludf.DUMMYFUNCTION("REGEXEXTRACT(J1402, ""^\d+"")"),"1")</f>
        <v>1</v>
      </c>
      <c r="Z1402" s="5" t="str">
        <f>IFERROR(__xludf.DUMMYFUNCTION("REGEXEXTRACT(J1402, ""[A-Za-z ]+$"")")," Season")</f>
        <v> Season</v>
      </c>
      <c r="AA1402" s="5" t="str">
        <f>IFERROR(__xludf.DUMMYFUNCTION("IF(REGEXMATCH(Z1402, ""Season""), ""TV Show"", ""Movie"")"),"TV Show")</f>
        <v>TV Show</v>
      </c>
    </row>
    <row r="1403">
      <c r="A1403" s="1" t="s">
        <v>8245</v>
      </c>
      <c r="B1403" s="1" t="s">
        <v>37</v>
      </c>
      <c r="C1403" s="1" t="s">
        <v>8246</v>
      </c>
      <c r="E1403" s="1" t="s">
        <v>8247</v>
      </c>
      <c r="F1403" s="1" t="s">
        <v>30</v>
      </c>
      <c r="G1403" s="1" t="s">
        <v>8242</v>
      </c>
      <c r="H1403" s="1">
        <v>2021.0</v>
      </c>
      <c r="I1403" s="1" t="s">
        <v>289</v>
      </c>
      <c r="J1403" s="1" t="s">
        <v>148</v>
      </c>
      <c r="K1403" s="1" t="s">
        <v>8248</v>
      </c>
      <c r="L1403" s="1" t="s">
        <v>8249</v>
      </c>
      <c r="M1403" s="2" t="s">
        <v>12</v>
      </c>
      <c r="N1403" s="4">
        <f t="shared" si="1"/>
        <v>44211</v>
      </c>
      <c r="O1403" s="5" t="str">
        <f>IFERROR(__xludf.DUMMYFUNCTION("IF(REGEXMATCH(TRIM(I1403), ""^\d+\s*min""), ""Unclassified"", IF(I1403 = """", ""NR"", I1403))"),"TV-Y7")</f>
        <v>TV-Y7</v>
      </c>
      <c r="R1403" s="5" t="str">
        <f t="shared" si="2"/>
        <v>Carmen Sandiego</v>
      </c>
      <c r="S1403" s="5" t="str">
        <f>IFERROR(__xludf.DUMMYFUNCTION("""COMPUTED_VALUE"""),"Chal Bhaag")</f>
        <v>Chal Bhaag</v>
      </c>
      <c r="U1403" s="5" t="str">
        <f>IFERROR(__xludf.DUMMYFUNCTION("""COMPUTED_VALUE"""),"Almunsif Alsuwaisi")</f>
        <v>Almunsif Alsuwaisi</v>
      </c>
      <c r="V1403" s="5" t="s">
        <v>8250</v>
      </c>
      <c r="W1403" s="5" t="str">
        <f t="shared" si="3"/>
        <v>Gauravv K Chawla</v>
      </c>
      <c r="X1403" s="5">
        <f t="shared" si="4"/>
        <v>1</v>
      </c>
      <c r="Y1403" s="5" t="str">
        <f>IFERROR(__xludf.DUMMYFUNCTION("REGEXEXTRACT(J1403, ""^\d+"")"),"4")</f>
        <v>4</v>
      </c>
      <c r="Z1403" s="5" t="str">
        <f>IFERROR(__xludf.DUMMYFUNCTION("REGEXEXTRACT(J1403, ""[A-Za-z ]+$"")")," Seasons")</f>
        <v> Seasons</v>
      </c>
      <c r="AA1403" s="5" t="str">
        <f>IFERROR(__xludf.DUMMYFUNCTION("IF(REGEXMATCH(Z1403, ""Season""), ""TV Show"", ""Movie"")"),"TV Show")</f>
        <v>TV Show</v>
      </c>
    </row>
    <row r="1404">
      <c r="A1404" s="1" t="s">
        <v>8251</v>
      </c>
      <c r="B1404" s="1" t="s">
        <v>37</v>
      </c>
      <c r="C1404" s="1" t="s">
        <v>8252</v>
      </c>
      <c r="E1404" s="1" t="s">
        <v>8253</v>
      </c>
      <c r="F1404" s="1" t="s">
        <v>30</v>
      </c>
      <c r="G1404" s="1" t="s">
        <v>8242</v>
      </c>
      <c r="H1404" s="1">
        <v>2021.0</v>
      </c>
      <c r="I1404" s="1" t="s">
        <v>97</v>
      </c>
      <c r="J1404" s="1" t="s">
        <v>276</v>
      </c>
      <c r="K1404" s="1" t="s">
        <v>8254</v>
      </c>
      <c r="L1404" s="1" t="s">
        <v>8255</v>
      </c>
      <c r="M1404" s="2" t="s">
        <v>12</v>
      </c>
      <c r="N1404" s="4">
        <f t="shared" si="1"/>
        <v>44211</v>
      </c>
      <c r="O1404" s="5" t="str">
        <f>IFERROR(__xludf.DUMMYFUNCTION("IF(REGEXMATCH(TRIM(I1404), ""^\d+\s*min""), ""Unclassified"", IF(I1404 = """", ""NR"", I1404))"),"TV-14")</f>
        <v>TV-14</v>
      </c>
      <c r="R1404" s="5" t="str">
        <f t="shared" si="2"/>
        <v>Disenchantment</v>
      </c>
      <c r="S1404" s="5" t="str">
        <f>IFERROR(__xludf.DUMMYFUNCTION("""COMPUTED_VALUE"""),"Chal Dhar Pakad")</f>
        <v>Chal Dhar Pakad</v>
      </c>
      <c r="U1404" s="5" t="str">
        <f>IFERROR(__xludf.DUMMYFUNCTION("""COMPUTED_VALUE"""),"Fouad Al Shatti")</f>
        <v>Fouad Al Shatti</v>
      </c>
      <c r="V1404" s="5" t="s">
        <v>8256</v>
      </c>
      <c r="W1404" s="5" t="str">
        <f t="shared" si="3"/>
        <v>Gauri Shinde</v>
      </c>
      <c r="X1404" s="5">
        <f t="shared" si="4"/>
        <v>1</v>
      </c>
      <c r="Y1404" s="5" t="str">
        <f>IFERROR(__xludf.DUMMYFUNCTION("REGEXEXTRACT(J1404, ""^\d+"")"),"3")</f>
        <v>3</v>
      </c>
      <c r="Z1404" s="5" t="str">
        <f>IFERROR(__xludf.DUMMYFUNCTION("REGEXEXTRACT(J1404, ""[A-Za-z ]+$"")")," Seasons")</f>
        <v> Seasons</v>
      </c>
      <c r="AA1404" s="5" t="str">
        <f>IFERROR(__xludf.DUMMYFUNCTION("IF(REGEXMATCH(Z1404, ""Season""), ""TV Show"", ""Movie"")"),"TV Show")</f>
        <v>TV Show</v>
      </c>
    </row>
    <row r="1405">
      <c r="A1405" s="1" t="s">
        <v>8257</v>
      </c>
      <c r="B1405" s="1" t="s">
        <v>27</v>
      </c>
      <c r="C1405" s="1" t="s">
        <v>8258</v>
      </c>
      <c r="D1405" s="1" t="s">
        <v>5271</v>
      </c>
      <c r="E1405" s="1" t="s">
        <v>8259</v>
      </c>
      <c r="F1405" s="1" t="s">
        <v>1992</v>
      </c>
      <c r="G1405" s="1" t="s">
        <v>8242</v>
      </c>
      <c r="H1405" s="1">
        <v>2020.0</v>
      </c>
      <c r="I1405" s="1" t="s">
        <v>506</v>
      </c>
      <c r="J1405" s="1" t="s">
        <v>305</v>
      </c>
      <c r="K1405" s="1" t="s">
        <v>2242</v>
      </c>
      <c r="L1405" s="1" t="s">
        <v>8260</v>
      </c>
      <c r="M1405" s="2" t="s">
        <v>12</v>
      </c>
      <c r="N1405" s="4">
        <f t="shared" si="1"/>
        <v>44211</v>
      </c>
      <c r="O1405" s="5" t="str">
        <f>IFERROR(__xludf.DUMMYFUNCTION("IF(REGEXMATCH(TRIM(I1405), ""^\d+\s*min""), ""Unclassified"", IF(I1405 = """", ""NR"", I1405))"),"TV-G")</f>
        <v>TV-G</v>
      </c>
      <c r="R1405" s="5" t="str">
        <f t="shared" si="2"/>
        <v>Double Dad</v>
      </c>
      <c r="S1405" s="5" t="str">
        <f>IFERROR(__xludf.DUMMYFUNCTION("""COMPUTED_VALUE"""),"Chal Mere Bhai")</f>
        <v>Chal Mere Bhai</v>
      </c>
      <c r="U1405" s="5" t="str">
        <f>IFERROR(__xludf.DUMMYFUNCTION("""COMPUTED_VALUE"""),"Fouad El-Mohandes")</f>
        <v>Fouad El-Mohandes</v>
      </c>
      <c r="V1405" s="5" t="s">
        <v>8261</v>
      </c>
      <c r="W1405" s="5" t="str">
        <f t="shared" si="3"/>
        <v>Gautier &amp; Leduc</v>
      </c>
      <c r="X1405" s="5">
        <f t="shared" si="4"/>
        <v>1</v>
      </c>
      <c r="Y1405" s="5" t="str">
        <f>IFERROR(__xludf.DUMMYFUNCTION("REGEXEXTRACT(J1405, ""^\d+"")"),"105")</f>
        <v>105</v>
      </c>
      <c r="Z1405" s="5" t="str">
        <f>IFERROR(__xludf.DUMMYFUNCTION("REGEXEXTRACT(J1405, ""[A-Za-z ]+$"")")," min")</f>
        <v> min</v>
      </c>
      <c r="AA1405" s="5" t="str">
        <f>IFERROR(__xludf.DUMMYFUNCTION("IF(REGEXMATCH(Z1405, ""Season""), ""TV Show"", ""Movie"")"),"Movie")</f>
        <v>Movie</v>
      </c>
    </row>
    <row r="1406">
      <c r="A1406" s="1" t="s">
        <v>8262</v>
      </c>
      <c r="B1406" s="1" t="s">
        <v>37</v>
      </c>
      <c r="C1406" s="1" t="s">
        <v>8263</v>
      </c>
      <c r="E1406" s="1" t="s">
        <v>8264</v>
      </c>
      <c r="F1406" s="1" t="s">
        <v>30</v>
      </c>
      <c r="G1406" s="1" t="s">
        <v>8242</v>
      </c>
      <c r="H1406" s="1">
        <v>2016.0</v>
      </c>
      <c r="I1406" s="1" t="s">
        <v>506</v>
      </c>
      <c r="J1406" s="1" t="s">
        <v>276</v>
      </c>
      <c r="K1406" s="1" t="s">
        <v>314</v>
      </c>
      <c r="L1406" s="1" t="s">
        <v>8265</v>
      </c>
      <c r="M1406" s="2" t="s">
        <v>12</v>
      </c>
      <c r="N1406" s="4">
        <f t="shared" si="1"/>
        <v>44211</v>
      </c>
      <c r="O1406" s="5" t="str">
        <f>IFERROR(__xludf.DUMMYFUNCTION("IF(REGEXMATCH(TRIM(I1406), ""^\d+\s*min""), ""Unclassified"", IF(I1406 = """", ""NR"", I1406))"),"TV-G")</f>
        <v>TV-G</v>
      </c>
      <c r="R1406" s="5" t="str">
        <f t="shared" si="2"/>
        <v>Henry Danger</v>
      </c>
      <c r="S1406" s="5" t="str">
        <f>IFERROR(__xludf.DUMMYFUNCTION("""COMPUTED_VALUE"""),"Chalay Thay Saath")</f>
        <v>Chalay Thay Saath</v>
      </c>
      <c r="U1406" s="5" t="str">
        <f>IFERROR(__xludf.DUMMYFUNCTION("""COMPUTED_VALUE"""),"Andrés Feddersen")</f>
        <v>Andrés Feddersen</v>
      </c>
      <c r="V1406" s="5" t="s">
        <v>8266</v>
      </c>
      <c r="W1406" s="5" t="str">
        <f t="shared" si="3"/>
        <v>Gavin Fitzgerald</v>
      </c>
      <c r="X1406" s="5">
        <f t="shared" si="4"/>
        <v>1</v>
      </c>
      <c r="Y1406" s="5" t="str">
        <f>IFERROR(__xludf.DUMMYFUNCTION("REGEXEXTRACT(J1406, ""^\d+"")"),"3")</f>
        <v>3</v>
      </c>
      <c r="Z1406" s="5" t="str">
        <f>IFERROR(__xludf.DUMMYFUNCTION("REGEXEXTRACT(J1406, ""[A-Za-z ]+$"")")," Seasons")</f>
        <v> Seasons</v>
      </c>
      <c r="AA1406" s="5" t="str">
        <f>IFERROR(__xludf.DUMMYFUNCTION("IF(REGEXMATCH(Z1406, ""Season""), ""TV Show"", ""Movie"")"),"TV Show")</f>
        <v>TV Show</v>
      </c>
    </row>
    <row r="1407">
      <c r="A1407" s="1" t="s">
        <v>8267</v>
      </c>
      <c r="B1407" s="1" t="s">
        <v>27</v>
      </c>
      <c r="C1407" s="1" t="s">
        <v>8268</v>
      </c>
      <c r="D1407" s="1" t="s">
        <v>8269</v>
      </c>
      <c r="E1407" s="1" t="s">
        <v>8270</v>
      </c>
      <c r="F1407" s="1" t="s">
        <v>8271</v>
      </c>
      <c r="G1407" s="1" t="s">
        <v>8242</v>
      </c>
      <c r="H1407" s="1">
        <v>2021.0</v>
      </c>
      <c r="I1407" s="1" t="s">
        <v>378</v>
      </c>
      <c r="J1407" s="1" t="s">
        <v>349</v>
      </c>
      <c r="K1407" s="1" t="s">
        <v>380</v>
      </c>
      <c r="L1407" s="1" t="s">
        <v>8272</v>
      </c>
      <c r="M1407" s="2" t="s">
        <v>12</v>
      </c>
      <c r="N1407" s="4">
        <f t="shared" si="1"/>
        <v>44211</v>
      </c>
      <c r="O1407" s="5" t="str">
        <f>IFERROR(__xludf.DUMMYFUNCTION("IF(REGEXMATCH(TRIM(I1407), ""^\d+\s*min""), ""Unclassified"", IF(I1407 = """", ""NR"", I1407))"),"R")</f>
        <v>R</v>
      </c>
      <c r="R1407" s="5" t="str">
        <f t="shared" si="2"/>
        <v>Outside The Wire</v>
      </c>
      <c r="S1407" s="5" t="str">
        <f>IFERROR(__xludf.DUMMYFUNCTION("""COMPUTED_VALUE"""),"Challenger")</f>
        <v>Challenger</v>
      </c>
      <c r="U1407" s="5" t="str">
        <f>IFERROR(__xludf.DUMMYFUNCTION("""COMPUTED_VALUE"""),"Samir Al Asfory")</f>
        <v>Samir Al Asfory</v>
      </c>
      <c r="V1407" s="5" t="s">
        <v>8273</v>
      </c>
      <c r="W1407" s="5" t="str">
        <f t="shared" si="3"/>
        <v>Gavin O'Connor</v>
      </c>
      <c r="X1407" s="5">
        <f t="shared" si="4"/>
        <v>1</v>
      </c>
      <c r="Y1407" s="5" t="str">
        <f>IFERROR(__xludf.DUMMYFUNCTION("REGEXEXTRACT(J1407, ""^\d+"")"),"116")</f>
        <v>116</v>
      </c>
      <c r="Z1407" s="5" t="str">
        <f>IFERROR(__xludf.DUMMYFUNCTION("REGEXEXTRACT(J1407, ""[A-Za-z ]+$"")")," min")</f>
        <v> min</v>
      </c>
      <c r="AA1407" s="5" t="str">
        <f>IFERROR(__xludf.DUMMYFUNCTION("IF(REGEXMATCH(Z1407, ""Season""), ""TV Show"", ""Movie"")"),"Movie")</f>
        <v>Movie</v>
      </c>
    </row>
    <row r="1408">
      <c r="A1408" s="1" t="s">
        <v>8274</v>
      </c>
      <c r="B1408" s="1" t="s">
        <v>27</v>
      </c>
      <c r="C1408" s="1" t="s">
        <v>8275</v>
      </c>
      <c r="D1408" s="1" t="s">
        <v>7147</v>
      </c>
      <c r="E1408" s="1" t="s">
        <v>8276</v>
      </c>
      <c r="F1408" s="1" t="s">
        <v>30</v>
      </c>
      <c r="G1408" s="1" t="s">
        <v>8242</v>
      </c>
      <c r="H1408" s="1">
        <v>2014.0</v>
      </c>
      <c r="I1408" s="1" t="s">
        <v>78</v>
      </c>
      <c r="J1408" s="1" t="s">
        <v>665</v>
      </c>
      <c r="K1408" s="1" t="s">
        <v>137</v>
      </c>
      <c r="L1408" s="1" t="s">
        <v>8277</v>
      </c>
      <c r="M1408" s="2" t="s">
        <v>12</v>
      </c>
      <c r="N1408" s="4">
        <f t="shared" si="1"/>
        <v>44211</v>
      </c>
      <c r="O1408" s="5" t="str">
        <f>IFERROR(__xludf.DUMMYFUNCTION("IF(REGEXMATCH(TRIM(I1408), ""^\d+\s*min""), ""Unclassified"", IF(I1408 = """", ""NR"", I1408))"),"PG")</f>
        <v>PG</v>
      </c>
      <c r="R1408" s="5" t="str">
        <f t="shared" si="2"/>
        <v>Penguins Of Madagascar: The Movie</v>
      </c>
      <c r="S1408" s="5" t="str">
        <f>IFERROR(__xludf.DUMMYFUNCTION("""COMPUTED_VALUE"""),"Chalte Chalte")</f>
        <v>Chalte Chalte</v>
      </c>
      <c r="U1408" s="5" t="str">
        <f>IFERROR(__xludf.DUMMYFUNCTION("""COMPUTED_VALUE"""),"Hussein Kamal")</f>
        <v>Hussein Kamal</v>
      </c>
      <c r="V1408" s="5" t="s">
        <v>8278</v>
      </c>
      <c r="W1408" s="5" t="str">
        <f t="shared" si="3"/>
        <v>Gayane Petrosyan</v>
      </c>
      <c r="X1408" s="5">
        <f t="shared" si="4"/>
        <v>1</v>
      </c>
      <c r="Y1408" s="5" t="str">
        <f>IFERROR(__xludf.DUMMYFUNCTION("REGEXEXTRACT(J1408, ""^\d+"")"),"92")</f>
        <v>92</v>
      </c>
      <c r="Z1408" s="5" t="str">
        <f>IFERROR(__xludf.DUMMYFUNCTION("REGEXEXTRACT(J1408, ""[A-Za-z ]+$"")")," min")</f>
        <v> min</v>
      </c>
      <c r="AA1408" s="5" t="str">
        <f>IFERROR(__xludf.DUMMYFUNCTION("IF(REGEXMATCH(Z1408, ""Season""), ""TV Show"", ""Movie"")"),"Movie")</f>
        <v>Movie</v>
      </c>
    </row>
    <row r="1409">
      <c r="A1409" s="1" t="s">
        <v>8279</v>
      </c>
      <c r="B1409" s="1" t="s">
        <v>27</v>
      </c>
      <c r="C1409" s="1" t="s">
        <v>8280</v>
      </c>
      <c r="D1409" s="1" t="s">
        <v>8281</v>
      </c>
      <c r="E1409" s="1" t="s">
        <v>8282</v>
      </c>
      <c r="F1409" s="1" t="s">
        <v>8283</v>
      </c>
      <c r="G1409" s="1" t="s">
        <v>8242</v>
      </c>
      <c r="H1409" s="1">
        <v>2019.0</v>
      </c>
      <c r="I1409" s="1" t="s">
        <v>206</v>
      </c>
      <c r="J1409" s="1" t="s">
        <v>2616</v>
      </c>
      <c r="K1409" s="1" t="s">
        <v>80</v>
      </c>
      <c r="L1409" s="1" t="s">
        <v>8284</v>
      </c>
      <c r="M1409" s="2" t="s">
        <v>12</v>
      </c>
      <c r="N1409" s="4">
        <f t="shared" si="1"/>
        <v>44211</v>
      </c>
      <c r="O1409" s="5" t="str">
        <f>IFERROR(__xludf.DUMMYFUNCTION("IF(REGEXMATCH(TRIM(I1409), ""^\d+\s*min""), ""Unclassified"", IF(I1409 = """", ""NR"", I1409))"),"TV-Y")</f>
        <v>TV-Y</v>
      </c>
      <c r="R1409" s="5" t="str">
        <f t="shared" si="2"/>
        <v>Pinkfong &amp; Baby Shark'S Space Adventure</v>
      </c>
      <c r="S1409" s="5" t="str">
        <f>IFERROR(__xludf.DUMMYFUNCTION("""COMPUTED_VALUE"""),"Chaman Bahaar")</f>
        <v>Chaman Bahaar</v>
      </c>
      <c r="U1409" s="5" t="str">
        <f>IFERROR(__xludf.DUMMYFUNCTION("""COMPUTED_VALUE"""),"Hassan Abdulsalam")</f>
        <v>Hassan Abdulsalam</v>
      </c>
      <c r="V1409" s="5" t="s">
        <v>8285</v>
      </c>
      <c r="W1409" s="5" t="str">
        <f t="shared" si="3"/>
        <v>Geetu Mohandas</v>
      </c>
      <c r="X1409" s="5">
        <f t="shared" si="4"/>
        <v>1</v>
      </c>
      <c r="Y1409" s="5" t="str">
        <f>IFERROR(__xludf.DUMMYFUNCTION("REGEXEXTRACT(J1409, ""^\d+"")"),"65")</f>
        <v>65</v>
      </c>
      <c r="Z1409" s="5" t="str">
        <f>IFERROR(__xludf.DUMMYFUNCTION("REGEXEXTRACT(J1409, ""[A-Za-z ]+$"")")," min")</f>
        <v> min</v>
      </c>
      <c r="AA1409" s="5" t="str">
        <f>IFERROR(__xludf.DUMMYFUNCTION("IF(REGEXMATCH(Z1409, ""Season""), ""TV Show"", ""Movie"")"),"Movie")</f>
        <v>Movie</v>
      </c>
    </row>
    <row r="1410">
      <c r="A1410" s="1" t="s">
        <v>8286</v>
      </c>
      <c r="B1410" s="1" t="s">
        <v>37</v>
      </c>
      <c r="C1410" s="1" t="s">
        <v>8287</v>
      </c>
      <c r="E1410" s="1" t="s">
        <v>8288</v>
      </c>
      <c r="F1410" s="1" t="s">
        <v>897</v>
      </c>
      <c r="G1410" s="1" t="s">
        <v>8242</v>
      </c>
      <c r="H1410" s="1">
        <v>2020.0</v>
      </c>
      <c r="I1410" s="1" t="s">
        <v>42</v>
      </c>
      <c r="J1410" s="1" t="s">
        <v>189</v>
      </c>
      <c r="K1410" s="1" t="s">
        <v>2351</v>
      </c>
      <c r="L1410" s="1" t="s">
        <v>8289</v>
      </c>
      <c r="M1410" s="2" t="s">
        <v>12</v>
      </c>
      <c r="N1410" s="4">
        <f t="shared" si="1"/>
        <v>44211</v>
      </c>
      <c r="O1410" s="5" t="str">
        <f>IFERROR(__xludf.DUMMYFUNCTION("IF(REGEXMATCH(TRIM(I1410), ""^\d+\s*min""), ""Unclassified"", IF(I1410 = """", ""NR"", I1410))"),"TV-MA")</f>
        <v>TV-MA</v>
      </c>
      <c r="R1410" s="5" t="str">
        <f t="shared" si="2"/>
        <v>The Magicians</v>
      </c>
      <c r="S1410" s="5" t="str">
        <f>IFERROR(__xludf.DUMMYFUNCTION("""COMPUTED_VALUE"""),"Chamatkar")</f>
        <v>Chamatkar</v>
      </c>
      <c r="U1410" s="5" t="str">
        <f>IFERROR(__xludf.DUMMYFUNCTION("""COMPUTED_VALUE"""),"Houssam El-Din Mustafa")</f>
        <v>Houssam El-Din Mustafa</v>
      </c>
      <c r="V1410" s="5" t="s">
        <v>8290</v>
      </c>
      <c r="W1410" s="5" t="str">
        <f t="shared" si="3"/>
        <v>Gene Quintano</v>
      </c>
      <c r="X1410" s="5">
        <f t="shared" si="4"/>
        <v>1</v>
      </c>
      <c r="Y1410" s="5" t="str">
        <f>IFERROR(__xludf.DUMMYFUNCTION("REGEXEXTRACT(J1410, ""^\d+"")"),"5")</f>
        <v>5</v>
      </c>
      <c r="Z1410" s="5" t="str">
        <f>IFERROR(__xludf.DUMMYFUNCTION("REGEXEXTRACT(J1410, ""[A-Za-z ]+$"")")," Seasons")</f>
        <v> Seasons</v>
      </c>
      <c r="AA1410" s="5" t="str">
        <f>IFERROR(__xludf.DUMMYFUNCTION("IF(REGEXMATCH(Z1410, ""Season""), ""TV Show"", ""Movie"")"),"TV Show")</f>
        <v>TV Show</v>
      </c>
    </row>
    <row r="1411">
      <c r="A1411" s="1" t="s">
        <v>8291</v>
      </c>
      <c r="B1411" s="1" t="s">
        <v>27</v>
      </c>
      <c r="C1411" s="1" t="s">
        <v>8292</v>
      </c>
      <c r="D1411" s="1" t="s">
        <v>8293</v>
      </c>
      <c r="E1411" s="1" t="s">
        <v>8294</v>
      </c>
      <c r="F1411" s="1" t="s">
        <v>30</v>
      </c>
      <c r="G1411" s="1" t="s">
        <v>8242</v>
      </c>
      <c r="H1411" s="1">
        <v>2020.0</v>
      </c>
      <c r="I1411" s="1" t="s">
        <v>378</v>
      </c>
      <c r="J1411" s="1" t="s">
        <v>379</v>
      </c>
      <c r="K1411" s="1" t="s">
        <v>171</v>
      </c>
      <c r="L1411" s="1" t="s">
        <v>8295</v>
      </c>
      <c r="M1411" s="2" t="s">
        <v>12</v>
      </c>
      <c r="N1411" s="4">
        <f t="shared" si="1"/>
        <v>44211</v>
      </c>
      <c r="O1411" s="5" t="str">
        <f>IFERROR(__xludf.DUMMYFUNCTION("IF(REGEXMATCH(TRIM(I1411), ""^\d+\s*min""), ""Unclassified"", IF(I1411 = """", ""NR"", I1411))"),"R")</f>
        <v>R</v>
      </c>
      <c r="R1411" s="5" t="str">
        <f t="shared" si="2"/>
        <v>The Vanished</v>
      </c>
      <c r="S1411" s="5" t="str">
        <f>IFERROR(__xludf.DUMMYFUNCTION("""COMPUTED_VALUE"""),"Chambers")</f>
        <v>Chambers</v>
      </c>
      <c r="U1411" s="5" t="str">
        <f>IFERROR(__xludf.DUMMYFUNCTION("""COMPUTED_VALUE"""),"Muhammad Fadl, Hany Motawie")</f>
        <v>Muhammad Fadl, Hany Motawie</v>
      </c>
      <c r="V1411" s="5" t="s">
        <v>8296</v>
      </c>
      <c r="W1411" s="5" t="str">
        <f t="shared" si="3"/>
        <v>Genevieve Nnaji</v>
      </c>
      <c r="X1411" s="5">
        <f t="shared" si="4"/>
        <v>1</v>
      </c>
      <c r="Y1411" s="5" t="str">
        <f>IFERROR(__xludf.DUMMYFUNCTION("REGEXEXTRACT(J1411, ""^\d+"")"),"115")</f>
        <v>115</v>
      </c>
      <c r="Z1411" s="5" t="str">
        <f>IFERROR(__xludf.DUMMYFUNCTION("REGEXEXTRACT(J1411, ""[A-Za-z ]+$"")")," min")</f>
        <v> min</v>
      </c>
      <c r="AA1411" s="5" t="str">
        <f>IFERROR(__xludf.DUMMYFUNCTION("IF(REGEXMATCH(Z1411, ""Season""), ""TV Show"", ""Movie"")"),"Movie")</f>
        <v>Movie</v>
      </c>
    </row>
    <row r="1412">
      <c r="A1412" s="1" t="s">
        <v>8297</v>
      </c>
      <c r="B1412" s="1" t="s">
        <v>27</v>
      </c>
      <c r="C1412" s="1" t="s">
        <v>8298</v>
      </c>
      <c r="D1412" s="1" t="s">
        <v>8299</v>
      </c>
      <c r="E1412" s="1" t="s">
        <v>8300</v>
      </c>
      <c r="F1412" s="1" t="s">
        <v>63</v>
      </c>
      <c r="G1412" s="1" t="s">
        <v>8242</v>
      </c>
      <c r="H1412" s="1">
        <v>2021.0</v>
      </c>
      <c r="I1412" s="1" t="s">
        <v>42</v>
      </c>
      <c r="J1412" s="1" t="s">
        <v>322</v>
      </c>
      <c r="K1412" s="1" t="s">
        <v>128</v>
      </c>
      <c r="L1412" s="1" t="s">
        <v>8301</v>
      </c>
      <c r="M1412" s="2" t="s">
        <v>12</v>
      </c>
      <c r="N1412" s="4">
        <f t="shared" si="1"/>
        <v>44211</v>
      </c>
      <c r="O1412" s="5" t="str">
        <f>IFERROR(__xludf.DUMMYFUNCTION("IF(REGEXMATCH(TRIM(I1412), ""^\d+\s*min""), ""Unclassified"", IF(I1412 = """", ""NR"", I1412))"),"TV-MA")</f>
        <v>TV-MA</v>
      </c>
      <c r="R1412" s="5" t="str">
        <f t="shared" si="2"/>
        <v>Tribhanga - Tedhi Medhi Crazy</v>
      </c>
      <c r="S1412" s="5" t="str">
        <f>IFERROR(__xludf.DUMMYFUNCTION("""COMPUTED_VALUE"""),"Chameli")</f>
        <v>Chameli</v>
      </c>
      <c r="U1412" s="5" t="str">
        <f>IFERROR(__xludf.DUMMYFUNCTION("""COMPUTED_VALUE"""),"Lonzo Nzekwe")</f>
        <v>Lonzo Nzekwe</v>
      </c>
      <c r="V1412" s="5" t="s">
        <v>8302</v>
      </c>
      <c r="W1412" s="5" t="str">
        <f t="shared" si="3"/>
        <v>Genndy Tartakovsky</v>
      </c>
      <c r="X1412" s="5">
        <f t="shared" si="4"/>
        <v>1</v>
      </c>
      <c r="Y1412" s="5" t="str">
        <f>IFERROR(__xludf.DUMMYFUNCTION("REGEXEXTRACT(J1412, ""^\d+"")"),"96")</f>
        <v>96</v>
      </c>
      <c r="Z1412" s="5" t="str">
        <f>IFERROR(__xludf.DUMMYFUNCTION("REGEXEXTRACT(J1412, ""[A-Za-z ]+$"")")," min")</f>
        <v> min</v>
      </c>
      <c r="AA1412" s="5" t="str">
        <f>IFERROR(__xludf.DUMMYFUNCTION("IF(REGEXMATCH(Z1412, ""Season""), ""TV Show"", ""Movie"")"),"Movie")</f>
        <v>Movie</v>
      </c>
    </row>
    <row r="1413">
      <c r="A1413" s="1" t="s">
        <v>8303</v>
      </c>
      <c r="B1413" s="1" t="s">
        <v>27</v>
      </c>
      <c r="C1413" s="1" t="s">
        <v>8304</v>
      </c>
      <c r="D1413" s="1" t="s">
        <v>8305</v>
      </c>
      <c r="E1413" s="1" t="s">
        <v>8306</v>
      </c>
      <c r="F1413" s="1" t="s">
        <v>30</v>
      </c>
      <c r="G1413" s="1" t="s">
        <v>8242</v>
      </c>
      <c r="H1413" s="1">
        <v>2021.0</v>
      </c>
      <c r="I1413" s="1" t="s">
        <v>97</v>
      </c>
      <c r="J1413" s="1" t="s">
        <v>5362</v>
      </c>
      <c r="K1413" s="1" t="s">
        <v>34</v>
      </c>
      <c r="L1413" s="1" t="s">
        <v>8307</v>
      </c>
      <c r="M1413" s="2" t="s">
        <v>12</v>
      </c>
      <c r="N1413" s="4">
        <f t="shared" si="1"/>
        <v>44211</v>
      </c>
      <c r="O1413" s="5" t="str">
        <f>IFERROR(__xludf.DUMMYFUNCTION("IF(REGEXMATCH(TRIM(I1413), ""^\d+\s*min""), ""Unclassified"", IF(I1413 = """", ""NR"", I1413))"),"TV-14")</f>
        <v>TV-14</v>
      </c>
      <c r="R1413" s="5" t="str">
        <f t="shared" si="2"/>
        <v>What Would Sophia Loren Do?</v>
      </c>
      <c r="S1413" s="5" t="str">
        <f>IFERROR(__xludf.DUMMYFUNCTION("""COMPUTED_VALUE"""),"Champions")</f>
        <v>Champions</v>
      </c>
      <c r="U1413" s="5" t="str">
        <f>IFERROR(__xludf.DUMMYFUNCTION("""COMPUTED_VALUE"""),"Alex Timbers, Sam Wrench")</f>
        <v>Alex Timbers, Sam Wrench</v>
      </c>
      <c r="V1413" s="5" t="s">
        <v>8308</v>
      </c>
      <c r="W1413" s="5" t="str">
        <f t="shared" si="3"/>
        <v>Geoff Anderson</v>
      </c>
      <c r="X1413" s="5">
        <f t="shared" si="4"/>
        <v>1</v>
      </c>
      <c r="Y1413" s="5" t="str">
        <f>IFERROR(__xludf.DUMMYFUNCTION("REGEXEXTRACT(J1413, ""^\d+"")"),"32")</f>
        <v>32</v>
      </c>
      <c r="Z1413" s="5" t="str">
        <f>IFERROR(__xludf.DUMMYFUNCTION("REGEXEXTRACT(J1413, ""[A-Za-z ]+$"")")," min")</f>
        <v> min</v>
      </c>
      <c r="AA1413" s="5" t="str">
        <f>IFERROR(__xludf.DUMMYFUNCTION("IF(REGEXMATCH(Z1413, ""Season""), ""TV Show"", ""Movie"")"),"Movie")</f>
        <v>Movie</v>
      </c>
    </row>
    <row r="1414">
      <c r="A1414" s="1" t="s">
        <v>8309</v>
      </c>
      <c r="B1414" s="1" t="s">
        <v>27</v>
      </c>
      <c r="C1414" s="1" t="s">
        <v>8310</v>
      </c>
      <c r="D1414" s="1" t="s">
        <v>8311</v>
      </c>
      <c r="E1414" s="1" t="s">
        <v>8312</v>
      </c>
      <c r="F1414" s="1" t="s">
        <v>749</v>
      </c>
      <c r="G1414" s="1" t="s">
        <v>8242</v>
      </c>
      <c r="H1414" s="1">
        <v>2021.0</v>
      </c>
      <c r="I1414" s="1" t="s">
        <v>136</v>
      </c>
      <c r="J1414" s="1" t="s">
        <v>447</v>
      </c>
      <c r="K1414" s="1" t="s">
        <v>4958</v>
      </c>
      <c r="L1414" s="1" t="s">
        <v>8313</v>
      </c>
      <c r="M1414" s="2" t="s">
        <v>12</v>
      </c>
      <c r="N1414" s="4">
        <f t="shared" si="1"/>
        <v>44211</v>
      </c>
      <c r="O1414" s="5" t="str">
        <f>IFERROR(__xludf.DUMMYFUNCTION("IF(REGEXMATCH(TRIM(I1414), ""^\d+\s*min""), ""Unclassified"", IF(I1414 = """", ""NR"", I1414))"),"TV-PG")</f>
        <v>TV-PG</v>
      </c>
      <c r="R1414" s="5" t="str">
        <f t="shared" si="2"/>
        <v>Wish You</v>
      </c>
      <c r="S1414" s="5" t="str">
        <f>IFERROR(__xludf.DUMMYFUNCTION("""COMPUTED_VALUE"""),"Chance Pe Dance")</f>
        <v>Chance Pe Dance</v>
      </c>
      <c r="U1414" s="5" t="str">
        <f>IFERROR(__xludf.DUMMYFUNCTION("""COMPUTED_VALUE"""),"Rebecca Johnson")</f>
        <v>Rebecca Johnson</v>
      </c>
      <c r="V1414" s="5" t="s">
        <v>8314</v>
      </c>
      <c r="W1414" s="5" t="str">
        <f t="shared" si="3"/>
        <v>Geoffrey Orthwein, Andrew Sullivan</v>
      </c>
      <c r="X1414" s="5">
        <f t="shared" si="4"/>
        <v>1</v>
      </c>
      <c r="Y1414" s="5" t="str">
        <f>IFERROR(__xludf.DUMMYFUNCTION("REGEXEXTRACT(J1414, ""^\d+"")"),"102")</f>
        <v>102</v>
      </c>
      <c r="Z1414" s="5" t="str">
        <f>IFERROR(__xludf.DUMMYFUNCTION("REGEXEXTRACT(J1414, ""[A-Za-z ]+$"")")," min")</f>
        <v> min</v>
      </c>
      <c r="AA1414" s="5" t="str">
        <f>IFERROR(__xludf.DUMMYFUNCTION("IF(REGEXMATCH(Z1414, ""Season""), ""TV Show"", ""Movie"")"),"Movie")</f>
        <v>Movie</v>
      </c>
    </row>
    <row r="1415">
      <c r="A1415" s="1" t="s">
        <v>8315</v>
      </c>
      <c r="B1415" s="1" t="s">
        <v>27</v>
      </c>
      <c r="C1415" s="1" t="s">
        <v>8316</v>
      </c>
      <c r="D1415" s="1" t="s">
        <v>8317</v>
      </c>
      <c r="E1415" s="1" t="s">
        <v>8318</v>
      </c>
      <c r="F1415" s="1" t="s">
        <v>2873</v>
      </c>
      <c r="G1415" s="1" t="s">
        <v>8319</v>
      </c>
      <c r="H1415" s="1">
        <v>2011.0</v>
      </c>
      <c r="I1415" s="1" t="s">
        <v>42</v>
      </c>
      <c r="J1415" s="1" t="s">
        <v>447</v>
      </c>
      <c r="K1415" s="1" t="s">
        <v>128</v>
      </c>
      <c r="L1415" s="1" t="s">
        <v>8320</v>
      </c>
      <c r="M1415" s="2" t="s">
        <v>12</v>
      </c>
      <c r="N1415" s="4">
        <f t="shared" si="1"/>
        <v>44210</v>
      </c>
      <c r="O1415" s="5" t="str">
        <f>IFERROR(__xludf.DUMMYFUNCTION("IF(REGEXMATCH(TRIM(I1415), ""^\d+\s*min""), ""Unclassified"", IF(I1415 = """", ""NR"", I1415))"),"TV-MA")</f>
        <v>TV-MA</v>
      </c>
      <c r="R1415" s="5" t="str">
        <f t="shared" si="2"/>
        <v>Tanda Tanya</v>
      </c>
      <c r="S1415" s="5" t="str">
        <f>IFERROR(__xludf.DUMMYFUNCTION("""COMPUTED_VALUE"""),"Chandani: The Daughter Of The Elephant Whisperer")</f>
        <v>Chandani: The Daughter Of The Elephant Whisperer</v>
      </c>
      <c r="U1415" s="5" t="str">
        <f>IFERROR(__xludf.DUMMYFUNCTION("""COMPUTED_VALUE"""),"Carlos Morett")</f>
        <v>Carlos Morett</v>
      </c>
      <c r="V1415" s="5" t="s">
        <v>8321</v>
      </c>
      <c r="W1415" s="5" t="str">
        <f t="shared" si="3"/>
        <v>George C. Wolfe</v>
      </c>
      <c r="X1415" s="5">
        <f t="shared" si="4"/>
        <v>2</v>
      </c>
      <c r="Y1415" s="5" t="str">
        <f>IFERROR(__xludf.DUMMYFUNCTION("REGEXEXTRACT(J1415, ""^\d+"")"),"102")</f>
        <v>102</v>
      </c>
      <c r="Z1415" s="5" t="str">
        <f>IFERROR(__xludf.DUMMYFUNCTION("REGEXEXTRACT(J1415, ""[A-Za-z ]+$"")")," min")</f>
        <v> min</v>
      </c>
      <c r="AA1415" s="5" t="str">
        <f>IFERROR(__xludf.DUMMYFUNCTION("IF(REGEXMATCH(Z1415, ""Season""), ""TV Show"", ""Movie"")"),"Movie")</f>
        <v>Movie</v>
      </c>
    </row>
    <row r="1416">
      <c r="A1416" s="1" t="s">
        <v>8322</v>
      </c>
      <c r="B1416" s="1" t="s">
        <v>27</v>
      </c>
      <c r="C1416" s="1" t="s">
        <v>8323</v>
      </c>
      <c r="D1416" s="1" t="s">
        <v>4427</v>
      </c>
      <c r="E1416" s="1" t="s">
        <v>8324</v>
      </c>
      <c r="F1416" s="1" t="s">
        <v>2873</v>
      </c>
      <c r="G1416" s="1" t="s">
        <v>8319</v>
      </c>
      <c r="H1416" s="1">
        <v>2020.0</v>
      </c>
      <c r="I1416" s="1" t="s">
        <v>97</v>
      </c>
      <c r="J1416" s="1" t="s">
        <v>1091</v>
      </c>
      <c r="K1416" s="1" t="s">
        <v>583</v>
      </c>
      <c r="L1416" s="1" t="s">
        <v>8325</v>
      </c>
      <c r="M1416" s="2" t="s">
        <v>12</v>
      </c>
      <c r="N1416" s="4">
        <f t="shared" si="1"/>
        <v>44210</v>
      </c>
      <c r="O1416" s="5" t="str">
        <f>IFERROR(__xludf.DUMMYFUNCTION("IF(REGEXMATCH(TRIM(I1416), ""^\d+\s*min""), ""Unclassified"", IF(I1416 = """", ""NR"", I1416))"),"TV-14")</f>
        <v>TV-14</v>
      </c>
      <c r="R1416" s="5" t="str">
        <f t="shared" si="2"/>
        <v>The Heartbreak Club</v>
      </c>
      <c r="S1416" s="5" t="str">
        <f>IFERROR(__xludf.DUMMYFUNCTION("""COMPUTED_VALUE"""),"Change In The Air")</f>
        <v>Change In The Air</v>
      </c>
      <c r="U1416" s="5" t="str">
        <f>IFERROR(__xludf.DUMMYFUNCTION("""COMPUTED_VALUE"""),"Megha Ramaswamy")</f>
        <v>Megha Ramaswamy</v>
      </c>
      <c r="V1416" s="5" t="s">
        <v>8326</v>
      </c>
      <c r="W1416" s="5" t="str">
        <f t="shared" si="3"/>
        <v>George Clooney</v>
      </c>
      <c r="X1416" s="5">
        <f t="shared" si="4"/>
        <v>2</v>
      </c>
      <c r="Y1416" s="5" t="str">
        <f>IFERROR(__xludf.DUMMYFUNCTION("REGEXEXTRACT(J1416, ""^\d+"")"),"101")</f>
        <v>101</v>
      </c>
      <c r="Z1416" s="5" t="str">
        <f>IFERROR(__xludf.DUMMYFUNCTION("REGEXEXTRACT(J1416, ""[A-Za-z ]+$"")")," min")</f>
        <v> min</v>
      </c>
      <c r="AA1416" s="5" t="str">
        <f>IFERROR(__xludf.DUMMYFUNCTION("IF(REGEXMATCH(Z1416, ""Season""), ""TV Show"", ""Movie"")"),"Movie")</f>
        <v>Movie</v>
      </c>
    </row>
    <row r="1417">
      <c r="A1417" s="1" t="s">
        <v>8327</v>
      </c>
      <c r="B1417" s="1" t="s">
        <v>27</v>
      </c>
      <c r="C1417" s="1" t="s">
        <v>8328</v>
      </c>
      <c r="D1417" s="1" t="s">
        <v>8329</v>
      </c>
      <c r="E1417" s="1" t="s">
        <v>8330</v>
      </c>
      <c r="F1417" s="1" t="s">
        <v>30</v>
      </c>
      <c r="G1417" s="1" t="s">
        <v>8331</v>
      </c>
      <c r="H1417" s="1">
        <v>2017.0</v>
      </c>
      <c r="I1417" s="1" t="s">
        <v>378</v>
      </c>
      <c r="J1417" s="1" t="s">
        <v>5650</v>
      </c>
      <c r="K1417" s="1" t="s">
        <v>394</v>
      </c>
      <c r="L1417" s="1" t="s">
        <v>8332</v>
      </c>
      <c r="M1417" s="2" t="s">
        <v>12</v>
      </c>
      <c r="N1417" s="4">
        <f t="shared" si="1"/>
        <v>44209</v>
      </c>
      <c r="O1417" s="5" t="str">
        <f>IFERROR(__xludf.DUMMYFUNCTION("IF(REGEXMATCH(TRIM(I1417), ""^\d+\s*min""), ""Unclassified"", IF(I1417 = """", ""NR"", I1417))"),"R")</f>
        <v>R</v>
      </c>
      <c r="R1417" s="5" t="str">
        <f t="shared" si="2"/>
        <v>An Imperfect Murder</v>
      </c>
      <c r="S1417" s="5" t="str">
        <f>IFERROR(__xludf.DUMMYFUNCTION("""COMPUTED_VALUE"""),"Chaotic Love Poems")</f>
        <v>Chaotic Love Poems</v>
      </c>
      <c r="U1417" s="5" t="str">
        <f>IFERROR(__xludf.DUMMYFUNCTION("""COMPUTED_VALUE"""),"Saeed Hamed")</f>
        <v>Saeed Hamed</v>
      </c>
      <c r="V1417" s="5" t="s">
        <v>6681</v>
      </c>
      <c r="W1417" s="5" t="str">
        <f t="shared" si="3"/>
        <v>George Cukor</v>
      </c>
      <c r="X1417" s="5">
        <f t="shared" si="4"/>
        <v>1</v>
      </c>
      <c r="Y1417" s="5" t="str">
        <f>IFERROR(__xludf.DUMMYFUNCTION("REGEXEXTRACT(J1417, ""^\d+"")"),"71")</f>
        <v>71</v>
      </c>
      <c r="Z1417" s="5" t="str">
        <f>IFERROR(__xludf.DUMMYFUNCTION("REGEXEXTRACT(J1417, ""[A-Za-z ]+$"")")," min")</f>
        <v> min</v>
      </c>
      <c r="AA1417" s="5" t="str">
        <f>IFERROR(__xludf.DUMMYFUNCTION("IF(REGEXMATCH(Z1417, ""Season""), ""TV Show"", ""Movie"")"),"Movie")</f>
        <v>Movie</v>
      </c>
    </row>
    <row r="1418">
      <c r="A1418" s="1" t="s">
        <v>8333</v>
      </c>
      <c r="B1418" s="1" t="s">
        <v>37</v>
      </c>
      <c r="C1418" s="1" t="s">
        <v>8334</v>
      </c>
      <c r="D1418" s="1" t="s">
        <v>8335</v>
      </c>
      <c r="F1418" s="1" t="s">
        <v>30</v>
      </c>
      <c r="G1418" s="1" t="s">
        <v>8331</v>
      </c>
      <c r="H1418" s="1">
        <v>2021.0</v>
      </c>
      <c r="I1418" s="1" t="s">
        <v>42</v>
      </c>
      <c r="J1418" s="1" t="s">
        <v>51</v>
      </c>
      <c r="K1418" s="1" t="s">
        <v>2043</v>
      </c>
      <c r="L1418" s="1" t="s">
        <v>8336</v>
      </c>
      <c r="M1418" s="2" t="s">
        <v>12</v>
      </c>
      <c r="N1418" s="4">
        <f t="shared" si="1"/>
        <v>44209</v>
      </c>
      <c r="O1418" s="5" t="str">
        <f>IFERROR(__xludf.DUMMYFUNCTION("IF(REGEXMATCH(TRIM(I1418), ""^\d+\s*min""), ""Unclassified"", IF(I1418 = """", ""NR"", I1418))"),"TV-MA")</f>
        <v>TV-MA</v>
      </c>
      <c r="R1418" s="5" t="str">
        <f t="shared" si="2"/>
        <v>Night Stalker: The Hunt For A Serial Killer</v>
      </c>
      <c r="S1418" s="5" t="str">
        <f>IFERROR(__xludf.DUMMYFUNCTION("""COMPUTED_VALUE"""),"Chappaquiddick")</f>
        <v>Chappaquiddick</v>
      </c>
      <c r="U1418" s="5" t="str">
        <f>IFERROR(__xludf.DUMMYFUNCTION("""COMPUTED_VALUE"""),"Ali Ragab")</f>
        <v>Ali Ragab</v>
      </c>
      <c r="V1418" s="5" t="s">
        <v>4638</v>
      </c>
      <c r="W1418" s="5" t="str">
        <f t="shared" si="3"/>
        <v>George Ford</v>
      </c>
      <c r="X1418" s="5">
        <f t="shared" si="4"/>
        <v>2</v>
      </c>
      <c r="Y1418" s="5" t="str">
        <f>IFERROR(__xludf.DUMMYFUNCTION("REGEXEXTRACT(J1418, ""^\d+"")"),"1")</f>
        <v>1</v>
      </c>
      <c r="Z1418" s="5" t="str">
        <f>IFERROR(__xludf.DUMMYFUNCTION("REGEXEXTRACT(J1418, ""[A-Za-z ]+$"")")," Season")</f>
        <v> Season</v>
      </c>
      <c r="AA1418" s="5" t="str">
        <f>IFERROR(__xludf.DUMMYFUNCTION("IF(REGEXMATCH(Z1418, ""Season""), ""TV Show"", ""Movie"")"),"TV Show")</f>
        <v>TV Show</v>
      </c>
    </row>
    <row r="1419">
      <c r="A1419" s="1" t="s">
        <v>8337</v>
      </c>
      <c r="B1419" s="1" t="s">
        <v>27</v>
      </c>
      <c r="C1419" s="1" t="s">
        <v>8338</v>
      </c>
      <c r="D1419" s="1" t="s">
        <v>7808</v>
      </c>
      <c r="E1419" s="1" t="s">
        <v>8339</v>
      </c>
      <c r="F1419" s="1" t="s">
        <v>1815</v>
      </c>
      <c r="G1419" s="1" t="s">
        <v>8340</v>
      </c>
      <c r="H1419" s="1">
        <v>2019.0</v>
      </c>
      <c r="I1419" s="1" t="s">
        <v>42</v>
      </c>
      <c r="J1419" s="1" t="s">
        <v>2452</v>
      </c>
      <c r="K1419" s="1" t="s">
        <v>631</v>
      </c>
      <c r="L1419" s="1" t="s">
        <v>8341</v>
      </c>
      <c r="M1419" s="2" t="s">
        <v>12</v>
      </c>
      <c r="N1419" s="4">
        <f t="shared" si="1"/>
        <v>44208</v>
      </c>
      <c r="O1419" s="5" t="str">
        <f>IFERROR(__xludf.DUMMYFUNCTION("IF(REGEXMATCH(TRIM(I1419), ""^\d+\s*min""), ""Unclassified"", IF(I1419 = """", ""NR"", I1419))"),"TV-MA")</f>
        <v>TV-MA</v>
      </c>
      <c r="R1419" s="5" t="str">
        <f t="shared" si="2"/>
        <v>Al Acecho</v>
      </c>
      <c r="S1419" s="5" t="str">
        <f>IFERROR(__xludf.DUMMYFUNCTION("""COMPUTED_VALUE"""),"Chappelle'S Show")</f>
        <v>Chappelle'S Show</v>
      </c>
      <c r="U1419" s="5" t="str">
        <f>IFERROR(__xludf.DUMMYFUNCTION("""COMPUTED_VALUE"""),"Ahmad El-Badri")</f>
        <v>Ahmad El-Badri</v>
      </c>
      <c r="V1419" s="5" t="s">
        <v>8342</v>
      </c>
      <c r="W1419" s="5" t="str">
        <f t="shared" si="3"/>
        <v>George Gallo</v>
      </c>
      <c r="X1419" s="5">
        <f t="shared" si="4"/>
        <v>1</v>
      </c>
      <c r="Y1419" s="5" t="str">
        <f>IFERROR(__xludf.DUMMYFUNCTION("REGEXEXTRACT(J1419, ""^\d+"")"),"81")</f>
        <v>81</v>
      </c>
      <c r="Z1419" s="5" t="str">
        <f>IFERROR(__xludf.DUMMYFUNCTION("REGEXEXTRACT(J1419, ""[A-Za-z ]+$"")")," min")</f>
        <v> min</v>
      </c>
      <c r="AA1419" s="5" t="str">
        <f>IFERROR(__xludf.DUMMYFUNCTION("IF(REGEXMATCH(Z1419, ""Season""), ""TV Show"", ""Movie"")"),"Movie")</f>
        <v>Movie</v>
      </c>
    </row>
    <row r="1420">
      <c r="A1420" s="1" t="s">
        <v>8343</v>
      </c>
      <c r="B1420" s="1" t="s">
        <v>27</v>
      </c>
      <c r="C1420" s="1" t="s">
        <v>8344</v>
      </c>
      <c r="D1420" s="1" t="s">
        <v>4794</v>
      </c>
      <c r="E1420" s="1" t="s">
        <v>4794</v>
      </c>
      <c r="G1420" s="1" t="s">
        <v>8340</v>
      </c>
      <c r="H1420" s="1">
        <v>2021.0</v>
      </c>
      <c r="I1420" s="1" t="s">
        <v>42</v>
      </c>
      <c r="J1420" s="1" t="s">
        <v>357</v>
      </c>
      <c r="K1420" s="1" t="s">
        <v>1839</v>
      </c>
      <c r="L1420" s="1" t="s">
        <v>8345</v>
      </c>
      <c r="M1420" s="2" t="s">
        <v>12</v>
      </c>
      <c r="N1420" s="4">
        <f t="shared" si="1"/>
        <v>44208</v>
      </c>
      <c r="O1420" s="5" t="str">
        <f>IFERROR(__xludf.DUMMYFUNCTION("IF(REGEXMATCH(TRIM(I1420), ""^\d+\s*min""), ""Unclassified"", IF(I1420 = """", ""NR"", I1420))"),"TV-MA")</f>
        <v>TV-MA</v>
      </c>
      <c r="R1420" s="5" t="str">
        <f t="shared" si="2"/>
        <v>Chris Rock Total Blackout: The Tamborine Extended Cut</v>
      </c>
      <c r="S1420" s="5" t="str">
        <f>IFERROR(__xludf.DUMMYFUNCTION("""COMPUTED_VALUE"""),"Chappie")</f>
        <v>Chappie</v>
      </c>
      <c r="U1420" s="5" t="str">
        <f>IFERROR(__xludf.DUMMYFUNCTION("""COMPUTED_VALUE"""),"Marcus Raboy")</f>
        <v>Marcus Raboy</v>
      </c>
      <c r="V1420" s="5" t="s">
        <v>8346</v>
      </c>
      <c r="W1420" s="5" t="str">
        <f t="shared" si="3"/>
        <v>George Jackson, Doug Mchenry</v>
      </c>
      <c r="X1420" s="5">
        <f t="shared" si="4"/>
        <v>1</v>
      </c>
      <c r="Y1420" s="5" t="str">
        <f>IFERROR(__xludf.DUMMYFUNCTION("REGEXEXTRACT(J1420, ""^\d+"")"),"98")</f>
        <v>98</v>
      </c>
      <c r="Z1420" s="5" t="str">
        <f>IFERROR(__xludf.DUMMYFUNCTION("REGEXEXTRACT(J1420, ""[A-Za-z ]+$"")")," min")</f>
        <v> min</v>
      </c>
      <c r="AA1420" s="5" t="str">
        <f>IFERROR(__xludf.DUMMYFUNCTION("IF(REGEXMATCH(Z1420, ""Season""), ""TV Show"", ""Movie"")"),"Movie")</f>
        <v>Movie</v>
      </c>
    </row>
    <row r="1421">
      <c r="A1421" s="1" t="s">
        <v>8347</v>
      </c>
      <c r="B1421" s="1" t="s">
        <v>37</v>
      </c>
      <c r="C1421" s="1" t="s">
        <v>8348</v>
      </c>
      <c r="D1421" s="1" t="s">
        <v>8349</v>
      </c>
      <c r="E1421" s="1" t="s">
        <v>8350</v>
      </c>
      <c r="F1421" s="1" t="s">
        <v>96</v>
      </c>
      <c r="G1421" s="1" t="s">
        <v>8340</v>
      </c>
      <c r="H1421" s="1">
        <v>2020.0</v>
      </c>
      <c r="I1421" s="1" t="s">
        <v>42</v>
      </c>
      <c r="J1421" s="1" t="s">
        <v>148</v>
      </c>
      <c r="K1421" s="1" t="s">
        <v>8351</v>
      </c>
      <c r="L1421" s="1" t="s">
        <v>8352</v>
      </c>
      <c r="M1421" s="2" t="s">
        <v>12</v>
      </c>
      <c r="N1421" s="4">
        <f t="shared" si="1"/>
        <v>44208</v>
      </c>
      <c r="O1421" s="5" t="str">
        <f>IFERROR(__xludf.DUMMYFUNCTION("IF(REGEXMATCH(TRIM(I1421), ""^\d+\s*min""), ""Unclassified"", IF(I1421 = """", ""NR"", I1421))"),"TV-MA")</f>
        <v>TV-MA</v>
      </c>
      <c r="R1421" s="5" t="str">
        <f t="shared" si="2"/>
        <v>Last Tango In Halifax</v>
      </c>
      <c r="S1421" s="5" t="str">
        <f>IFERROR(__xludf.DUMMYFUNCTION("""COMPUTED_VALUE"""),"Charité")</f>
        <v>Charité</v>
      </c>
      <c r="U1421" s="5" t="str">
        <f>IFERROR(__xludf.DUMMYFUNCTION("""COMPUTED_VALUE"""),"Haifaa Al-Mansour")</f>
        <v>Haifaa Al-Mansour</v>
      </c>
      <c r="V1421" s="5" t="s">
        <v>8353</v>
      </c>
      <c r="W1421" s="5" t="str">
        <f t="shared" si="3"/>
        <v>George Mendeluk</v>
      </c>
      <c r="X1421" s="5">
        <f t="shared" si="4"/>
        <v>1</v>
      </c>
      <c r="Y1421" s="5" t="str">
        <f>IFERROR(__xludf.DUMMYFUNCTION("REGEXEXTRACT(J1421, ""^\d+"")"),"4")</f>
        <v>4</v>
      </c>
      <c r="Z1421" s="5" t="str">
        <f>IFERROR(__xludf.DUMMYFUNCTION("REGEXEXTRACT(J1421, ""[A-Za-z ]+$"")")," Seasons")</f>
        <v> Seasons</v>
      </c>
      <c r="AA1421" s="5" t="str">
        <f>IFERROR(__xludf.DUMMYFUNCTION("IF(REGEXMATCH(Z1421, ""Season""), ""TV Show"", ""Movie"")"),"TV Show")</f>
        <v>TV Show</v>
      </c>
    </row>
    <row r="1422">
      <c r="A1422" s="1" t="s">
        <v>8354</v>
      </c>
      <c r="B1422" s="1" t="s">
        <v>27</v>
      </c>
      <c r="C1422" s="1" t="s">
        <v>8355</v>
      </c>
      <c r="D1422" s="1" t="s">
        <v>8356</v>
      </c>
      <c r="F1422" s="1" t="s">
        <v>30</v>
      </c>
      <c r="G1422" s="1" t="s">
        <v>8357</v>
      </c>
      <c r="H1422" s="1">
        <v>2021.0</v>
      </c>
      <c r="I1422" s="1" t="s">
        <v>42</v>
      </c>
      <c r="J1422" s="1" t="s">
        <v>33</v>
      </c>
      <c r="K1422" s="1" t="s">
        <v>34</v>
      </c>
      <c r="L1422" s="1" t="s">
        <v>8358</v>
      </c>
      <c r="M1422" s="2" t="s">
        <v>12</v>
      </c>
      <c r="N1422" s="4">
        <f t="shared" si="1"/>
        <v>44207</v>
      </c>
      <c r="O1422" s="5" t="str">
        <f>IFERROR(__xludf.DUMMYFUNCTION("IF(REGEXMATCH(TRIM(I1422), ""^\d+\s*min""), ""Unclassified"", IF(I1422 = """", ""NR"", I1422))"),"TV-MA")</f>
        <v>TV-MA</v>
      </c>
      <c r="R1422" s="5" t="str">
        <f t="shared" si="2"/>
        <v>Crack: Cocaine, Corruption &amp; Conspiracy</v>
      </c>
      <c r="S1422" s="5" t="str">
        <f>IFERROR(__xludf.DUMMYFUNCTION("""COMPUTED_VALUE"""),"Charité At War")</f>
        <v>Charité At War</v>
      </c>
      <c r="U1422" s="5" t="str">
        <f>IFERROR(__xludf.DUMMYFUNCTION("""COMPUTED_VALUE"""),"Mohammed Alhmly")</f>
        <v>Mohammed Alhmly</v>
      </c>
      <c r="V1422" s="5" t="s">
        <v>8359</v>
      </c>
      <c r="W1422" s="5" t="str">
        <f t="shared" si="3"/>
        <v>George Miller</v>
      </c>
      <c r="X1422" s="5">
        <f t="shared" si="4"/>
        <v>1</v>
      </c>
      <c r="Y1422" s="5" t="str">
        <f>IFERROR(__xludf.DUMMYFUNCTION("REGEXEXTRACT(J1422, ""^\d+"")"),"90")</f>
        <v>90</v>
      </c>
      <c r="Z1422" s="5" t="str">
        <f>IFERROR(__xludf.DUMMYFUNCTION("REGEXEXTRACT(J1422, ""[A-Za-z ]+$"")")," min")</f>
        <v> min</v>
      </c>
      <c r="AA1422" s="5" t="str">
        <f>IFERROR(__xludf.DUMMYFUNCTION("IF(REGEXMATCH(Z1422, ""Season""), ""TV Show"", ""Movie"")"),"Movie")</f>
        <v>Movie</v>
      </c>
    </row>
    <row r="1423">
      <c r="A1423" s="1" t="s">
        <v>8360</v>
      </c>
      <c r="B1423" s="1" t="s">
        <v>27</v>
      </c>
      <c r="C1423" s="1" t="s">
        <v>8361</v>
      </c>
      <c r="D1423" s="1" t="s">
        <v>8362</v>
      </c>
      <c r="E1423" s="1" t="s">
        <v>8363</v>
      </c>
      <c r="F1423" s="1" t="s">
        <v>664</v>
      </c>
      <c r="G1423" s="1" t="s">
        <v>8357</v>
      </c>
      <c r="H1423" s="1">
        <v>2011.0</v>
      </c>
      <c r="I1423" s="1" t="s">
        <v>378</v>
      </c>
      <c r="J1423" s="1" t="s">
        <v>1243</v>
      </c>
      <c r="K1423" s="1" t="s">
        <v>583</v>
      </c>
      <c r="L1423" s="1" t="s">
        <v>8364</v>
      </c>
      <c r="M1423" s="2" t="s">
        <v>12</v>
      </c>
      <c r="N1423" s="4">
        <f t="shared" si="1"/>
        <v>44207</v>
      </c>
      <c r="O1423" s="5" t="str">
        <f>IFERROR(__xludf.DUMMYFUNCTION("IF(REGEXMATCH(TRIM(I1423), ""^\d+\s*min""), ""Unclassified"", IF(I1423 = """", ""NR"", I1423))"),"R")</f>
        <v>R</v>
      </c>
      <c r="R1423" s="5" t="str">
        <f t="shared" si="2"/>
        <v>The Intouchables</v>
      </c>
      <c r="S1423" s="5" t="str">
        <f>IFERROR(__xludf.DUMMYFUNCTION("""COMPUTED_VALUE"""),"Charlie And The Chocolate Factory")</f>
        <v>Charlie And The Chocolate Factory</v>
      </c>
      <c r="U1423" s="5" t="str">
        <f>IFERROR(__xludf.DUMMYFUNCTION("""COMPUTED_VALUE"""),"Lucien Bourjeily")</f>
        <v>Lucien Bourjeily</v>
      </c>
      <c r="V1423" s="5" t="s">
        <v>319</v>
      </c>
      <c r="W1423" s="5" t="str">
        <f t="shared" si="3"/>
        <v>George Nolfi</v>
      </c>
      <c r="X1423" s="5">
        <f t="shared" si="4"/>
        <v>1</v>
      </c>
      <c r="Y1423" s="5" t="str">
        <f>IFERROR(__xludf.DUMMYFUNCTION("REGEXEXTRACT(J1423, ""^\d+"")"),"112")</f>
        <v>112</v>
      </c>
      <c r="Z1423" s="5" t="str">
        <f>IFERROR(__xludf.DUMMYFUNCTION("REGEXEXTRACT(J1423, ""[A-Za-z ]+$"")")," min")</f>
        <v> min</v>
      </c>
      <c r="AA1423" s="5" t="str">
        <f>IFERROR(__xludf.DUMMYFUNCTION("IF(REGEXMATCH(Z1423, ""Season""), ""TV Show"", ""Movie"")"),"Movie")</f>
        <v>Movie</v>
      </c>
    </row>
    <row r="1424">
      <c r="A1424" s="1" t="s">
        <v>8365</v>
      </c>
      <c r="B1424" s="1" t="s">
        <v>27</v>
      </c>
      <c r="C1424" s="1" t="s">
        <v>8366</v>
      </c>
      <c r="D1424" s="1" t="s">
        <v>8367</v>
      </c>
      <c r="E1424" s="1" t="s">
        <v>8368</v>
      </c>
      <c r="F1424" s="1" t="s">
        <v>63</v>
      </c>
      <c r="G1424" s="1" t="s">
        <v>8369</v>
      </c>
      <c r="H1424" s="1">
        <v>2005.0</v>
      </c>
      <c r="I1424" s="1" t="s">
        <v>97</v>
      </c>
      <c r="J1424" s="1" t="s">
        <v>198</v>
      </c>
      <c r="K1424" s="1" t="s">
        <v>128</v>
      </c>
      <c r="L1424" s="1" t="s">
        <v>8370</v>
      </c>
      <c r="M1424" s="2" t="s">
        <v>12</v>
      </c>
      <c r="N1424" s="4">
        <f t="shared" si="1"/>
        <v>44204</v>
      </c>
      <c r="O1424" s="5" t="str">
        <f>IFERROR(__xludf.DUMMYFUNCTION("IF(REGEXMATCH(TRIM(I1424), ""^\d+\s*min""), ""Unclassified"", IF(I1424 = """", ""NR"", I1424))"),"TV-14")</f>
        <v>TV-14</v>
      </c>
      <c r="R1424" s="5" t="str">
        <f t="shared" si="2"/>
        <v>Apaharan</v>
      </c>
      <c r="S1424" s="5" t="str">
        <f>IFERROR(__xludf.DUMMYFUNCTION("""COMPUTED_VALUE"""),"Charlie'S Angels")</f>
        <v>Charlie'S Angels</v>
      </c>
      <c r="U1424" s="5" t="str">
        <f>IFERROR(__xludf.DUMMYFUNCTION("""COMPUTED_VALUE"""),"Laura Mañá")</f>
        <v>Laura Mañá</v>
      </c>
      <c r="V1424" s="5" t="s">
        <v>5009</v>
      </c>
      <c r="W1424" s="5" t="str">
        <f t="shared" si="3"/>
        <v>George Ratliff</v>
      </c>
      <c r="X1424" s="5">
        <f t="shared" si="4"/>
        <v>1</v>
      </c>
      <c r="Y1424" s="5" t="str">
        <f>IFERROR(__xludf.DUMMYFUNCTION("REGEXEXTRACT(J1424, ""^\d+"")"),"161")</f>
        <v>161</v>
      </c>
      <c r="Z1424" s="5" t="str">
        <f>IFERROR(__xludf.DUMMYFUNCTION("REGEXEXTRACT(J1424, ""[A-Za-z ]+$"")")," min")</f>
        <v> min</v>
      </c>
      <c r="AA1424" s="5" t="str">
        <f>IFERROR(__xludf.DUMMYFUNCTION("IF(REGEXMATCH(Z1424, ""Season""), ""TV Show"", ""Movie"")"),"Movie")</f>
        <v>Movie</v>
      </c>
    </row>
    <row r="1425">
      <c r="A1425" s="1" t="s">
        <v>8371</v>
      </c>
      <c r="B1425" s="1" t="s">
        <v>27</v>
      </c>
      <c r="C1425" s="1" t="s">
        <v>8372</v>
      </c>
      <c r="D1425" s="1" t="s">
        <v>8373</v>
      </c>
      <c r="E1425" s="1" t="s">
        <v>8374</v>
      </c>
      <c r="F1425" s="1" t="s">
        <v>63</v>
      </c>
      <c r="G1425" s="1" t="s">
        <v>8369</v>
      </c>
      <c r="H1425" s="1">
        <v>2005.0</v>
      </c>
      <c r="I1425" s="1" t="s">
        <v>97</v>
      </c>
      <c r="J1425" s="1" t="s">
        <v>1273</v>
      </c>
      <c r="K1425" s="1" t="s">
        <v>215</v>
      </c>
      <c r="L1425" s="1" t="s">
        <v>8375</v>
      </c>
      <c r="M1425" s="2" t="s">
        <v>12</v>
      </c>
      <c r="N1425" s="4">
        <f t="shared" si="1"/>
        <v>44204</v>
      </c>
      <c r="O1425" s="5" t="str">
        <f>IFERROR(__xludf.DUMMYFUNCTION("IF(REGEXMATCH(TRIM(I1425), ""^\d+\s*min""), ""Unclassified"", IF(I1425 = """", ""NR"", I1425))"),"TV-14")</f>
        <v>TV-14</v>
      </c>
      <c r="R1425" s="5" t="str">
        <f t="shared" si="2"/>
        <v>Bluffmaster!</v>
      </c>
      <c r="S1425" s="5" t="str">
        <f>IFERROR(__xludf.DUMMYFUNCTION("""COMPUTED_VALUE"""),"Charlie'S Angels: Full Throttle")</f>
        <v>Charlie'S Angels: Full Throttle</v>
      </c>
      <c r="U1425" s="5" t="str">
        <f>IFERROR(__xludf.DUMMYFUNCTION("""COMPUTED_VALUE"""),"Sivaroj Kongsakul")</f>
        <v>Sivaroj Kongsakul</v>
      </c>
      <c r="V1425" s="5" t="s">
        <v>8376</v>
      </c>
      <c r="W1425" s="5" t="str">
        <f t="shared" si="3"/>
        <v>George Stevens</v>
      </c>
      <c r="X1425" s="5">
        <f t="shared" si="4"/>
        <v>1</v>
      </c>
      <c r="Y1425" s="5" t="str">
        <f>IFERROR(__xludf.DUMMYFUNCTION("REGEXEXTRACT(J1425, ""^\d+"")"),"129")</f>
        <v>129</v>
      </c>
      <c r="Z1425" s="5" t="str">
        <f>IFERROR(__xludf.DUMMYFUNCTION("REGEXEXTRACT(J1425, ""[A-Za-z ]+$"")")," min")</f>
        <v> min</v>
      </c>
      <c r="AA1425" s="5" t="str">
        <f>IFERROR(__xludf.DUMMYFUNCTION("IF(REGEXMATCH(Z1425, ""Season""), ""TV Show"", ""Movie"")"),"Movie")</f>
        <v>Movie</v>
      </c>
    </row>
    <row r="1426">
      <c r="A1426" s="1" t="s">
        <v>8377</v>
      </c>
      <c r="B1426" s="1" t="s">
        <v>27</v>
      </c>
      <c r="C1426" s="1" t="s">
        <v>8378</v>
      </c>
      <c r="D1426" s="1" t="s">
        <v>8379</v>
      </c>
      <c r="E1426" s="1" t="s">
        <v>8380</v>
      </c>
      <c r="F1426" s="1" t="s">
        <v>8381</v>
      </c>
      <c r="G1426" s="1" t="s">
        <v>8369</v>
      </c>
      <c r="H1426" s="1">
        <v>2021.0</v>
      </c>
      <c r="I1426" s="1" t="s">
        <v>289</v>
      </c>
      <c r="J1426" s="1" t="s">
        <v>471</v>
      </c>
      <c r="K1426" s="1" t="s">
        <v>137</v>
      </c>
      <c r="L1426" s="1" t="s">
        <v>8382</v>
      </c>
      <c r="M1426" s="2" t="s">
        <v>12</v>
      </c>
      <c r="N1426" s="4">
        <f t="shared" si="1"/>
        <v>44204</v>
      </c>
      <c r="O1426" s="5" t="str">
        <f>IFERROR(__xludf.DUMMYFUNCTION("IF(REGEXMATCH(TRIM(I1426), ""^\d+\s*min""), ""Unclassified"", IF(I1426 = """", ""NR"", I1426))"),"TV-Y7")</f>
        <v>TV-Y7</v>
      </c>
      <c r="R1426" s="5" t="str">
        <f t="shared" si="2"/>
        <v>Charming</v>
      </c>
      <c r="S1426" s="5" t="str">
        <f>IFERROR(__xludf.DUMMYFUNCTION("""COMPUTED_VALUE"""),"Charlie'S Colorforms City")</f>
        <v>Charlie'S Colorforms City</v>
      </c>
      <c r="U1426" s="5" t="str">
        <f>IFERROR(__xludf.DUMMYFUNCTION("""COMPUTED_VALUE"""),"Salmeen Almurry Amer")</f>
        <v>Salmeen Almurry Amer</v>
      </c>
      <c r="V1426" s="5" t="s">
        <v>8383</v>
      </c>
      <c r="W1426" s="5" t="str">
        <f t="shared" si="3"/>
        <v>Georges Hachem</v>
      </c>
      <c r="X1426" s="5">
        <f t="shared" si="4"/>
        <v>1</v>
      </c>
      <c r="Y1426" s="5" t="str">
        <f>IFERROR(__xludf.DUMMYFUNCTION("REGEXEXTRACT(J1426, ""^\d+"")"),"85")</f>
        <v>85</v>
      </c>
      <c r="Z1426" s="5" t="str">
        <f>IFERROR(__xludf.DUMMYFUNCTION("REGEXEXTRACT(J1426, ""[A-Za-z ]+$"")")," min")</f>
        <v> min</v>
      </c>
      <c r="AA1426" s="5" t="str">
        <f>IFERROR(__xludf.DUMMYFUNCTION("IF(REGEXMATCH(Z1426, ""Season""), ""TV Show"", ""Movie"")"),"Movie")</f>
        <v>Movie</v>
      </c>
    </row>
    <row r="1427">
      <c r="A1427" s="1" t="s">
        <v>8384</v>
      </c>
      <c r="B1427" s="1" t="s">
        <v>27</v>
      </c>
      <c r="C1427" s="1" t="s">
        <v>8385</v>
      </c>
      <c r="F1427" s="1" t="s">
        <v>30</v>
      </c>
      <c r="G1427" s="1" t="s">
        <v>8369</v>
      </c>
      <c r="H1427" s="1">
        <v>2021.0</v>
      </c>
      <c r="I1427" s="1" t="s">
        <v>97</v>
      </c>
      <c r="J1427" s="1" t="s">
        <v>8386</v>
      </c>
      <c r="K1427" s="1" t="s">
        <v>34</v>
      </c>
      <c r="L1427" s="1" t="s">
        <v>8387</v>
      </c>
      <c r="M1427" s="2" t="s">
        <v>12</v>
      </c>
      <c r="N1427" s="4">
        <f t="shared" si="1"/>
        <v>44204</v>
      </c>
      <c r="O1427" s="5" t="str">
        <f>IFERROR(__xludf.DUMMYFUNCTION("IF(REGEXMATCH(TRIM(I1427), ""^\d+\s*min""), ""Unclassified"", IF(I1427 = """", ""NR"", I1427))"),"TV-14")</f>
        <v>TV-14</v>
      </c>
      <c r="R1427" s="5" t="str">
        <f t="shared" si="2"/>
        <v>Creating The Queen'S Gambit</v>
      </c>
      <c r="S1427" s="5" t="str">
        <f>IFERROR(__xludf.DUMMYFUNCTION("""COMPUTED_VALUE"""),"Charlotte'S Web")</f>
        <v>Charlotte'S Web</v>
      </c>
      <c r="U1427" s="5" t="str">
        <f>IFERROR(__xludf.DUMMYFUNCTION("""COMPUTED_VALUE"""),"Mohit Suri")</f>
        <v>Mohit Suri</v>
      </c>
      <c r="V1427" s="5" t="s">
        <v>8388</v>
      </c>
      <c r="W1427" s="5" t="str">
        <f t="shared" si="3"/>
        <v>Gerard Barrett</v>
      </c>
      <c r="X1427" s="5">
        <f t="shared" si="4"/>
        <v>1</v>
      </c>
      <c r="Y1427" s="5" t="str">
        <f>IFERROR(__xludf.DUMMYFUNCTION("REGEXEXTRACT(J1427, ""^\d+"")"),"14")</f>
        <v>14</v>
      </c>
      <c r="Z1427" s="5" t="str">
        <f>IFERROR(__xludf.DUMMYFUNCTION("REGEXEXTRACT(J1427, ""[A-Za-z ]+$"")")," min")</f>
        <v> min</v>
      </c>
      <c r="AA1427" s="5" t="str">
        <f>IFERROR(__xludf.DUMMYFUNCTION("IF(REGEXMATCH(Z1427, ""Season""), ""TV Show"", ""Movie"")"),"Movie")</f>
        <v>Movie</v>
      </c>
    </row>
    <row r="1428">
      <c r="A1428" s="1" t="s">
        <v>8389</v>
      </c>
      <c r="B1428" s="1" t="s">
        <v>27</v>
      </c>
      <c r="C1428" s="1" t="s">
        <v>8390</v>
      </c>
      <c r="D1428" s="1" t="s">
        <v>8367</v>
      </c>
      <c r="E1428" s="1" t="s">
        <v>8391</v>
      </c>
      <c r="F1428" s="1" t="s">
        <v>63</v>
      </c>
      <c r="G1428" s="1" t="s">
        <v>8369</v>
      </c>
      <c r="H1428" s="1">
        <v>2003.0</v>
      </c>
      <c r="I1428" s="1" t="s">
        <v>42</v>
      </c>
      <c r="J1428" s="1" t="s">
        <v>2216</v>
      </c>
      <c r="K1428" s="1" t="s">
        <v>128</v>
      </c>
      <c r="L1428" s="1" t="s">
        <v>8392</v>
      </c>
      <c r="M1428" s="2" t="s">
        <v>12</v>
      </c>
      <c r="N1428" s="4">
        <f t="shared" si="1"/>
        <v>44204</v>
      </c>
      <c r="O1428" s="5" t="str">
        <f>IFERROR(__xludf.DUMMYFUNCTION("IF(REGEXMATCH(TRIM(I1428), ""^\d+\s*min""), ""Unclassified"", IF(I1428 = """", ""NR"", I1428))"),"TV-MA")</f>
        <v>TV-MA</v>
      </c>
      <c r="R1428" s="5" t="str">
        <f t="shared" si="2"/>
        <v>Gangaajal</v>
      </c>
      <c r="S1428" s="5" t="str">
        <f>IFERROR(__xludf.DUMMYFUNCTION("""COMPUTED_VALUE"""),"Charmed")</f>
        <v>Charmed</v>
      </c>
      <c r="U1428" s="5" t="str">
        <f>IFERROR(__xludf.DUMMYFUNCTION("""COMPUTED_VALUE"""),"Obaid Alhmoudi")</f>
        <v>Obaid Alhmoudi</v>
      </c>
      <c r="V1428" s="5" t="s">
        <v>8393</v>
      </c>
      <c r="W1428" s="5" t="str">
        <f t="shared" si="3"/>
        <v>Gerard Mcmurray</v>
      </c>
      <c r="X1428" s="5">
        <f t="shared" si="4"/>
        <v>1</v>
      </c>
      <c r="Y1428" s="5" t="str">
        <f>IFERROR(__xludf.DUMMYFUNCTION("REGEXEXTRACT(J1428, ""^\d+"")"),"148")</f>
        <v>148</v>
      </c>
      <c r="Z1428" s="5" t="str">
        <f>IFERROR(__xludf.DUMMYFUNCTION("REGEXEXTRACT(J1428, ""[A-Za-z ]+$"")")," min")</f>
        <v> min</v>
      </c>
      <c r="AA1428" s="5" t="str">
        <f>IFERROR(__xludf.DUMMYFUNCTION("IF(REGEXMATCH(Z1428, ""Season""), ""TV Show"", ""Movie"")"),"Movie")</f>
        <v>Movie</v>
      </c>
    </row>
    <row r="1429">
      <c r="A1429" s="1" t="s">
        <v>8394</v>
      </c>
      <c r="B1429" s="1" t="s">
        <v>37</v>
      </c>
      <c r="C1429" s="1" t="s">
        <v>8395</v>
      </c>
      <c r="E1429" s="1" t="s">
        <v>8396</v>
      </c>
      <c r="F1429" s="1" t="s">
        <v>96</v>
      </c>
      <c r="G1429" s="1" t="s">
        <v>8369</v>
      </c>
      <c r="H1429" s="1">
        <v>2021.0</v>
      </c>
      <c r="I1429" s="1" t="s">
        <v>42</v>
      </c>
      <c r="J1429" s="1" t="s">
        <v>189</v>
      </c>
      <c r="K1429" s="1" t="s">
        <v>142</v>
      </c>
      <c r="L1429" s="1" t="s">
        <v>8397</v>
      </c>
      <c r="M1429" s="2" t="s">
        <v>12</v>
      </c>
      <c r="N1429" s="4">
        <f t="shared" si="1"/>
        <v>44204</v>
      </c>
      <c r="O1429" s="5" t="str">
        <f>IFERROR(__xludf.DUMMYFUNCTION("IF(REGEXMATCH(TRIM(I1429), ""^\d+\s*min""), ""Unclassified"", IF(I1429 = """", ""NR"", I1429))"),"TV-MA")</f>
        <v>TV-MA</v>
      </c>
      <c r="R1429" s="5" t="str">
        <f t="shared" si="2"/>
        <v>Inside The World’S Toughest Prisons</v>
      </c>
      <c r="S1429" s="5" t="str">
        <f>IFERROR(__xludf.DUMMYFUNCTION("""COMPUTED_VALUE"""),"Charming")</f>
        <v>Charming</v>
      </c>
      <c r="U1429" s="5" t="str">
        <f>IFERROR(__xludf.DUMMYFUNCTION("""COMPUTED_VALUE"""),"Adekunle Nodash Adejuyigbe")</f>
        <v>Adekunle Nodash Adejuyigbe</v>
      </c>
      <c r="V1429" s="5" t="s">
        <v>5997</v>
      </c>
      <c r="W1429" s="5" t="str">
        <f t="shared" si="3"/>
        <v>Gerardo Gatica</v>
      </c>
      <c r="X1429" s="5">
        <f t="shared" si="4"/>
        <v>1</v>
      </c>
      <c r="Y1429" s="5" t="str">
        <f>IFERROR(__xludf.DUMMYFUNCTION("REGEXEXTRACT(J1429, ""^\d+"")"),"5")</f>
        <v>5</v>
      </c>
      <c r="Z1429" s="5" t="str">
        <f>IFERROR(__xludf.DUMMYFUNCTION("REGEXEXTRACT(J1429, ""[A-Za-z ]+$"")")," Seasons")</f>
        <v> Seasons</v>
      </c>
      <c r="AA1429" s="5" t="str">
        <f>IFERROR(__xludf.DUMMYFUNCTION("IF(REGEXMATCH(Z1429, ""Season""), ""TV Show"", ""Movie"")"),"TV Show")</f>
        <v>TV Show</v>
      </c>
    </row>
    <row r="1430">
      <c r="A1430" s="1" t="s">
        <v>8398</v>
      </c>
      <c r="B1430" s="1" t="s">
        <v>27</v>
      </c>
      <c r="C1430" s="1" t="s">
        <v>8399</v>
      </c>
      <c r="D1430" s="1" t="s">
        <v>8400</v>
      </c>
      <c r="E1430" s="1" t="s">
        <v>8401</v>
      </c>
      <c r="F1430" s="1" t="s">
        <v>8402</v>
      </c>
      <c r="G1430" s="1" t="s">
        <v>8369</v>
      </c>
      <c r="H1430" s="1">
        <v>2018.0</v>
      </c>
      <c r="I1430" s="1" t="s">
        <v>42</v>
      </c>
      <c r="J1430" s="1" t="s">
        <v>416</v>
      </c>
      <c r="K1430" s="1" t="s">
        <v>89</v>
      </c>
      <c r="L1430" s="1" t="s">
        <v>8403</v>
      </c>
      <c r="M1430" s="2" t="s">
        <v>12</v>
      </c>
      <c r="N1430" s="4">
        <f t="shared" si="1"/>
        <v>44204</v>
      </c>
      <c r="O1430" s="5" t="str">
        <f>IFERROR(__xludf.DUMMYFUNCTION("IF(REGEXMATCH(TRIM(I1430), ""^\d+\s*min""), ""Unclassified"", IF(I1430 = """", ""NR"", I1430))"),"TV-MA")</f>
        <v>TV-MA</v>
      </c>
      <c r="R1430" s="5" t="str">
        <f t="shared" si="2"/>
        <v>Is Love Enough? Sir</v>
      </c>
      <c r="S1430" s="5" t="str">
        <f>IFERROR(__xludf.DUMMYFUNCTION("""COMPUTED_VALUE"""),"Chashme Baddoor")</f>
        <v>Chashme Baddoor</v>
      </c>
      <c r="U1430" s="5" t="str">
        <f>IFERROR(__xludf.DUMMYFUNCTION("""COMPUTED_VALUE"""),"Sadeq Behbehani")</f>
        <v>Sadeq Behbehani</v>
      </c>
      <c r="V1430" s="5" t="s">
        <v>8404</v>
      </c>
      <c r="W1430" s="5" t="str">
        <f t="shared" si="3"/>
        <v>Gerardo Olivares</v>
      </c>
      <c r="X1430" s="5">
        <f t="shared" si="4"/>
        <v>2</v>
      </c>
      <c r="Y1430" s="5" t="str">
        <f>IFERROR(__xludf.DUMMYFUNCTION("REGEXEXTRACT(J1430, ""^\d+"")"),"99")</f>
        <v>99</v>
      </c>
      <c r="Z1430" s="5" t="str">
        <f>IFERROR(__xludf.DUMMYFUNCTION("REGEXEXTRACT(J1430, ""[A-Za-z ]+$"")")," min")</f>
        <v> min</v>
      </c>
      <c r="AA1430" s="5" t="str">
        <f>IFERROR(__xludf.DUMMYFUNCTION("IF(REGEXMATCH(Z1430, ""Season""), ""TV Show"", ""Movie"")"),"Movie")</f>
        <v>Movie</v>
      </c>
    </row>
    <row r="1431">
      <c r="A1431" s="1" t="s">
        <v>8405</v>
      </c>
      <c r="B1431" s="1" t="s">
        <v>37</v>
      </c>
      <c r="C1431" s="1" t="s">
        <v>8406</v>
      </c>
      <c r="E1431" s="1" t="s">
        <v>8407</v>
      </c>
      <c r="F1431" s="1" t="s">
        <v>63</v>
      </c>
      <c r="G1431" s="1" t="s">
        <v>8369</v>
      </c>
      <c r="H1431" s="1">
        <v>2021.0</v>
      </c>
      <c r="I1431" s="1" t="s">
        <v>206</v>
      </c>
      <c r="J1431" s="1" t="s">
        <v>51</v>
      </c>
      <c r="K1431" s="1" t="s">
        <v>314</v>
      </c>
      <c r="L1431" s="1" t="s">
        <v>8408</v>
      </c>
      <c r="M1431" s="2" t="s">
        <v>12</v>
      </c>
      <c r="N1431" s="4">
        <f t="shared" si="1"/>
        <v>44204</v>
      </c>
      <c r="O1431" s="5" t="str">
        <f>IFERROR(__xludf.DUMMYFUNCTION("IF(REGEXMATCH(TRIM(I1431), ""^\d+\s*min""), ""Unclassified"", IF(I1431 = """", ""NR"", I1431))"),"TV-Y")</f>
        <v>TV-Y</v>
      </c>
      <c r="R1431" s="5" t="str">
        <f t="shared" si="2"/>
        <v>Mighty Little Bheem: Kite Festival</v>
      </c>
      <c r="S1431" s="5" t="str">
        <f>IFERROR(__xludf.DUMMYFUNCTION("""COMPUTED_VALUE"""),"Chashme Buddoor")</f>
        <v>Chashme Buddoor</v>
      </c>
      <c r="U1431" s="5" t="str">
        <f>IFERROR(__xludf.DUMMYFUNCTION("""COMPUTED_VALUE"""),"Dylan Mohan Gray")</f>
        <v>Dylan Mohan Gray</v>
      </c>
      <c r="V1431" s="5" t="s">
        <v>1043</v>
      </c>
      <c r="W1431" s="5" t="str">
        <f t="shared" si="3"/>
        <v>Gerhard Mostert</v>
      </c>
      <c r="X1431" s="5">
        <f t="shared" si="4"/>
        <v>1</v>
      </c>
      <c r="Y1431" s="5" t="str">
        <f>IFERROR(__xludf.DUMMYFUNCTION("REGEXEXTRACT(J1431, ""^\d+"")"),"1")</f>
        <v>1</v>
      </c>
      <c r="Z1431" s="5" t="str">
        <f>IFERROR(__xludf.DUMMYFUNCTION("REGEXEXTRACT(J1431, ""[A-Za-z ]+$"")")," Season")</f>
        <v> Season</v>
      </c>
      <c r="AA1431" s="5" t="str">
        <f>IFERROR(__xludf.DUMMYFUNCTION("IF(REGEXMATCH(Z1431, ""Season""), ""TV Show"", ""Movie"")"),"TV Show")</f>
        <v>TV Show</v>
      </c>
    </row>
    <row r="1432">
      <c r="A1432" s="1" t="s">
        <v>8409</v>
      </c>
      <c r="B1432" s="1" t="s">
        <v>37</v>
      </c>
      <c r="C1432" s="1" t="s">
        <v>8410</v>
      </c>
      <c r="E1432" s="1" t="s">
        <v>8411</v>
      </c>
      <c r="F1432" s="1" t="s">
        <v>30</v>
      </c>
      <c r="G1432" s="1" t="s">
        <v>8369</v>
      </c>
      <c r="H1432" s="1">
        <v>2021.0</v>
      </c>
      <c r="I1432" s="1" t="s">
        <v>97</v>
      </c>
      <c r="J1432" s="1" t="s">
        <v>51</v>
      </c>
      <c r="K1432" s="1" t="s">
        <v>1261</v>
      </c>
      <c r="L1432" s="1" t="s">
        <v>8412</v>
      </c>
      <c r="M1432" s="2" t="s">
        <v>12</v>
      </c>
      <c r="N1432" s="4">
        <f t="shared" si="1"/>
        <v>44204</v>
      </c>
      <c r="O1432" s="5" t="str">
        <f>IFERROR(__xludf.DUMMYFUNCTION("IF(REGEXMATCH(TRIM(I1432), ""^\d+\s*min""), ""Unclassified"", IF(I1432 = """", ""NR"", I1432))"),"TV-14")</f>
        <v>TV-14</v>
      </c>
      <c r="R1432" s="5" t="str">
        <f t="shared" si="2"/>
        <v>Pretend It’S A City</v>
      </c>
      <c r="S1432" s="5" t="str">
        <f>IFERROR(__xludf.DUMMYFUNCTION("""COMPUTED_VALUE"""),"Chasing Amy")</f>
        <v>Chasing Amy</v>
      </c>
      <c r="U1432" s="5" t="str">
        <f>IFERROR(__xludf.DUMMYFUNCTION("""COMPUTED_VALUE"""),"Hussein El Ansary")</f>
        <v>Hussein El Ansary</v>
      </c>
      <c r="V1432" s="5" t="s">
        <v>8413</v>
      </c>
      <c r="W1432" s="5" t="str">
        <f t="shared" si="3"/>
        <v>Gerry Blaksley</v>
      </c>
      <c r="X1432" s="5">
        <f t="shared" si="4"/>
        <v>1</v>
      </c>
      <c r="Y1432" s="5" t="str">
        <f>IFERROR(__xludf.DUMMYFUNCTION("REGEXEXTRACT(J1432, ""^\d+"")"),"1")</f>
        <v>1</v>
      </c>
      <c r="Z1432" s="5" t="str">
        <f>IFERROR(__xludf.DUMMYFUNCTION("REGEXEXTRACT(J1432, ""[A-Za-z ]+$"")")," Season")</f>
        <v> Season</v>
      </c>
      <c r="AA1432" s="5" t="str">
        <f>IFERROR(__xludf.DUMMYFUNCTION("IF(REGEXMATCH(Z1432, ""Season""), ""TV Show"", ""Movie"")"),"TV Show")</f>
        <v>TV Show</v>
      </c>
    </row>
    <row r="1433">
      <c r="A1433" s="1" t="s">
        <v>8414</v>
      </c>
      <c r="B1433" s="1" t="s">
        <v>27</v>
      </c>
      <c r="C1433" s="1" t="s">
        <v>8415</v>
      </c>
      <c r="E1433" s="1" t="s">
        <v>8416</v>
      </c>
      <c r="F1433" s="1" t="s">
        <v>188</v>
      </c>
      <c r="G1433" s="1" t="s">
        <v>8369</v>
      </c>
      <c r="H1433" s="1">
        <v>2021.0</v>
      </c>
      <c r="I1433" s="1" t="s">
        <v>42</v>
      </c>
      <c r="J1433" s="1" t="s">
        <v>247</v>
      </c>
      <c r="K1433" s="1" t="s">
        <v>583</v>
      </c>
      <c r="L1433" s="1" t="s">
        <v>8417</v>
      </c>
      <c r="M1433" s="2" t="s">
        <v>12</v>
      </c>
      <c r="N1433" s="4">
        <f t="shared" si="1"/>
        <v>44204</v>
      </c>
      <c r="O1433" s="5" t="str">
        <f>IFERROR(__xludf.DUMMYFUNCTION("IF(REGEXMATCH(TRIM(I1433), ""^\d+\s*min""), ""Unclassified"", IF(I1433 = """", ""NR"", I1433))"),"TV-MA")</f>
        <v>TV-MA</v>
      </c>
      <c r="R1433" s="5" t="str">
        <f t="shared" si="2"/>
        <v>Stuck Apart</v>
      </c>
      <c r="S1433" s="5" t="str">
        <f>IFERROR(__xludf.DUMMYFUNCTION("""COMPUTED_VALUE"""),"Chasing Cameron")</f>
        <v>Chasing Cameron</v>
      </c>
      <c r="U1433" s="5" t="str">
        <f>IFERROR(__xludf.DUMMYFUNCTION("""COMPUTED_VALUE"""),"Claire Scanlon")</f>
        <v>Claire Scanlon</v>
      </c>
      <c r="V1433" s="5" t="s">
        <v>8418</v>
      </c>
      <c r="W1433" s="5" t="str">
        <f t="shared" si="3"/>
        <v>Gerry Hoban</v>
      </c>
      <c r="X1433" s="5">
        <f t="shared" si="4"/>
        <v>1</v>
      </c>
      <c r="Y1433" s="5" t="str">
        <f>IFERROR(__xludf.DUMMYFUNCTION("REGEXEXTRACT(J1433, ""^\d+"")"),"97")</f>
        <v>97</v>
      </c>
      <c r="Z1433" s="5" t="str">
        <f>IFERROR(__xludf.DUMMYFUNCTION("REGEXEXTRACT(J1433, ""[A-Za-z ]+$"")")," min")</f>
        <v> min</v>
      </c>
      <c r="AA1433" s="5" t="str">
        <f>IFERROR(__xludf.DUMMYFUNCTION("IF(REGEXMATCH(Z1433, ""Season""), ""TV Show"", ""Movie"")"),"Movie")</f>
        <v>Movie</v>
      </c>
    </row>
    <row r="1434">
      <c r="A1434" s="1" t="s">
        <v>8419</v>
      </c>
      <c r="B1434" s="1" t="s">
        <v>37</v>
      </c>
      <c r="C1434" s="1" t="s">
        <v>8420</v>
      </c>
      <c r="D1434" s="1" t="s">
        <v>8421</v>
      </c>
      <c r="E1434" s="1" t="s">
        <v>8422</v>
      </c>
      <c r="F1434" s="1" t="s">
        <v>784</v>
      </c>
      <c r="G1434" s="1" t="s">
        <v>8369</v>
      </c>
      <c r="H1434" s="1">
        <v>2021.0</v>
      </c>
      <c r="I1434" s="1" t="s">
        <v>97</v>
      </c>
      <c r="J1434" s="1" t="s">
        <v>43</v>
      </c>
      <c r="K1434" s="1" t="s">
        <v>8423</v>
      </c>
      <c r="L1434" s="1" t="s">
        <v>8424</v>
      </c>
      <c r="M1434" s="2" t="s">
        <v>12</v>
      </c>
      <c r="N1434" s="4">
        <f t="shared" si="1"/>
        <v>44204</v>
      </c>
      <c r="O1434" s="5" t="str">
        <f>IFERROR(__xludf.DUMMYFUNCTION("IF(REGEXMATCH(TRIM(I1434), ""^\d+\s*min""), ""Unclassified"", IF(I1434 = """", ""NR"", I1434))"),"TV-14")</f>
        <v>TV-14</v>
      </c>
      <c r="R1434" s="5" t="str">
        <f t="shared" si="2"/>
        <v>The Idhun Chronicles</v>
      </c>
      <c r="S1434" s="5" t="str">
        <f>IFERROR(__xludf.DUMMYFUNCTION("""COMPUTED_VALUE"""),"Chasing Coral")</f>
        <v>Chasing Coral</v>
      </c>
      <c r="U1434" s="5" t="str">
        <f>IFERROR(__xludf.DUMMYFUNCTION("""COMPUTED_VALUE"""),"Vipul Amrutlal Shah")</f>
        <v>Vipul Amrutlal Shah</v>
      </c>
      <c r="V1434" s="5" t="s">
        <v>8425</v>
      </c>
      <c r="W1434" s="5" t="str">
        <f t="shared" si="3"/>
        <v>Gervasio Iglesias, Alexis Morante</v>
      </c>
      <c r="X1434" s="5">
        <f t="shared" si="4"/>
        <v>1</v>
      </c>
      <c r="Y1434" s="5" t="str">
        <f>IFERROR(__xludf.DUMMYFUNCTION("REGEXEXTRACT(J1434, ""^\d+"")"),"2")</f>
        <v>2</v>
      </c>
      <c r="Z1434" s="5" t="str">
        <f>IFERROR(__xludf.DUMMYFUNCTION("REGEXEXTRACT(J1434, ""[A-Za-z ]+$"")")," Seasons")</f>
        <v> Seasons</v>
      </c>
      <c r="AA1434" s="5" t="str">
        <f>IFERROR(__xludf.DUMMYFUNCTION("IF(REGEXMATCH(Z1434, ""Season""), ""TV Show"", ""Movie"")"),"TV Show")</f>
        <v>TV Show</v>
      </c>
    </row>
    <row r="1435">
      <c r="A1435" s="1" t="s">
        <v>8426</v>
      </c>
      <c r="B1435" s="1" t="s">
        <v>27</v>
      </c>
      <c r="C1435" s="1" t="s">
        <v>8427</v>
      </c>
      <c r="D1435" s="1" t="s">
        <v>8428</v>
      </c>
      <c r="E1435" s="1" t="s">
        <v>8429</v>
      </c>
      <c r="F1435" s="1" t="s">
        <v>2873</v>
      </c>
      <c r="G1435" s="1" t="s">
        <v>8430</v>
      </c>
      <c r="H1435" s="1">
        <v>2020.0</v>
      </c>
      <c r="I1435" s="1" t="s">
        <v>97</v>
      </c>
      <c r="J1435" s="1" t="s">
        <v>1091</v>
      </c>
      <c r="K1435" s="1" t="s">
        <v>128</v>
      </c>
      <c r="L1435" s="1" t="s">
        <v>8431</v>
      </c>
      <c r="M1435" s="2" t="s">
        <v>12</v>
      </c>
      <c r="N1435" s="4">
        <f t="shared" si="1"/>
        <v>44203</v>
      </c>
      <c r="O1435" s="5" t="str">
        <f>IFERROR(__xludf.DUMMYFUNCTION("IF(REGEXMATCH(TRIM(I1435), ""^\d+\s*min""), ""Unclassified"", IF(I1435 = """", ""NR"", I1435))"),"TV-14")</f>
        <v>TV-14</v>
      </c>
      <c r="R1435" s="5" t="str">
        <f t="shared" si="2"/>
        <v>100% Halal</v>
      </c>
      <c r="S1435" s="5" t="str">
        <f>IFERROR(__xludf.DUMMYFUNCTION("""COMPUTED_VALUE"""),"Chasing Monsters")</f>
        <v>Chasing Monsters</v>
      </c>
      <c r="U1435" s="5" t="str">
        <f>IFERROR(__xludf.DUMMYFUNCTION("""COMPUTED_VALUE"""),"Donick Cary")</f>
        <v>Donick Cary</v>
      </c>
      <c r="V1435" s="5" t="s">
        <v>8432</v>
      </c>
      <c r="W1435" s="5" t="str">
        <f t="shared" si="3"/>
        <v>Geun-Hyun Cho</v>
      </c>
      <c r="X1435" s="5">
        <f t="shared" si="4"/>
        <v>1</v>
      </c>
      <c r="Y1435" s="5" t="str">
        <f>IFERROR(__xludf.DUMMYFUNCTION("REGEXEXTRACT(J1435, ""^\d+"")"),"101")</f>
        <v>101</v>
      </c>
      <c r="Z1435" s="5" t="str">
        <f>IFERROR(__xludf.DUMMYFUNCTION("REGEXEXTRACT(J1435, ""[A-Za-z ]+$"")")," min")</f>
        <v> min</v>
      </c>
      <c r="AA1435" s="5" t="str">
        <f>IFERROR(__xludf.DUMMYFUNCTION("IF(REGEXMATCH(Z1435, ""Season""), ""TV Show"", ""Movie"")"),"Movie")</f>
        <v>Movie</v>
      </c>
    </row>
    <row r="1436">
      <c r="A1436" s="1" t="s">
        <v>8433</v>
      </c>
      <c r="B1436" s="1" t="s">
        <v>27</v>
      </c>
      <c r="C1436" s="1" t="s">
        <v>8434</v>
      </c>
      <c r="D1436" s="1" t="s">
        <v>7224</v>
      </c>
      <c r="E1436" s="1" t="s">
        <v>8435</v>
      </c>
      <c r="F1436" s="1" t="s">
        <v>8436</v>
      </c>
      <c r="G1436" s="1" t="s">
        <v>8430</v>
      </c>
      <c r="H1436" s="1">
        <v>2016.0</v>
      </c>
      <c r="I1436" s="1" t="s">
        <v>78</v>
      </c>
      <c r="J1436" s="1" t="s">
        <v>1191</v>
      </c>
      <c r="K1436" s="1" t="s">
        <v>137</v>
      </c>
      <c r="L1436" s="1" t="s">
        <v>8437</v>
      </c>
      <c r="M1436" s="2" t="s">
        <v>12</v>
      </c>
      <c r="N1436" s="4">
        <f t="shared" si="1"/>
        <v>44203</v>
      </c>
      <c r="O1436" s="5" t="str">
        <f>IFERROR(__xludf.DUMMYFUNCTION("IF(REGEXMATCH(TRIM(I1436), ""^\d+\s*min""), ""Unclassified"", IF(I1436 = """", ""NR"", I1436))"),"PG")</f>
        <v>PG</v>
      </c>
      <c r="R1436" s="5" t="str">
        <f t="shared" si="2"/>
        <v>Leap!</v>
      </c>
      <c r="S1436" s="5" t="str">
        <f>IFERROR(__xludf.DUMMYFUNCTION("""COMPUTED_VALUE"""),"Chasing The Dragon")</f>
        <v>Chasing The Dragon</v>
      </c>
      <c r="U1436" s="5" t="str">
        <f>IFERROR(__xludf.DUMMYFUNCTION("""COMPUTED_VALUE"""),"Will Forbes")</f>
        <v>Will Forbes</v>
      </c>
      <c r="V1436" s="5" t="s">
        <v>8438</v>
      </c>
      <c r="W1436" s="5" t="str">
        <f t="shared" si="3"/>
        <v>Giancarlo Esposito</v>
      </c>
      <c r="X1436" s="5">
        <f t="shared" si="4"/>
        <v>1</v>
      </c>
      <c r="Y1436" s="5" t="str">
        <f>IFERROR(__xludf.DUMMYFUNCTION("REGEXEXTRACT(J1436, ""^\d+"")"),"89")</f>
        <v>89</v>
      </c>
      <c r="Z1436" s="5" t="str">
        <f>IFERROR(__xludf.DUMMYFUNCTION("REGEXEXTRACT(J1436, ""[A-Za-z ]+$"")")," min")</f>
        <v> min</v>
      </c>
      <c r="AA1436" s="5" t="str">
        <f>IFERROR(__xludf.DUMMYFUNCTION("IF(REGEXMATCH(Z1436, ""Season""), ""TV Show"", ""Movie"")"),"Movie")</f>
        <v>Movie</v>
      </c>
    </row>
    <row r="1437">
      <c r="A1437" s="1" t="s">
        <v>8439</v>
      </c>
      <c r="B1437" s="1" t="s">
        <v>27</v>
      </c>
      <c r="C1437" s="1" t="s">
        <v>8440</v>
      </c>
      <c r="D1437" s="1" t="s">
        <v>8441</v>
      </c>
      <c r="E1437" s="1" t="s">
        <v>8442</v>
      </c>
      <c r="F1437" s="1" t="s">
        <v>8443</v>
      </c>
      <c r="G1437" s="1" t="s">
        <v>8430</v>
      </c>
      <c r="H1437" s="1">
        <v>2020.0</v>
      </c>
      <c r="I1437" s="1" t="s">
        <v>378</v>
      </c>
      <c r="J1437" s="1" t="s">
        <v>757</v>
      </c>
      <c r="K1437" s="1" t="s">
        <v>805</v>
      </c>
      <c r="L1437" s="1" t="s">
        <v>8444</v>
      </c>
      <c r="M1437" s="2" t="s">
        <v>12</v>
      </c>
      <c r="N1437" s="4">
        <f t="shared" si="1"/>
        <v>44203</v>
      </c>
      <c r="O1437" s="5" t="str">
        <f>IFERROR(__xludf.DUMMYFUNCTION("IF(REGEXMATCH(TRIM(I1437), ""^\d+\s*min""), ""Unclassified"", IF(I1437 = """", ""NR"", I1437))"),"R")</f>
        <v>R</v>
      </c>
      <c r="R1437" s="5" t="str">
        <f t="shared" si="2"/>
        <v>Pieces Of A Woman</v>
      </c>
      <c r="S1437" s="5" t="str">
        <f>IFERROR(__xludf.DUMMYFUNCTION("""COMPUTED_VALUE"""),"Chasing Trane")</f>
        <v>Chasing Trane</v>
      </c>
      <c r="U1437" s="5" t="str">
        <f>IFERROR(__xludf.DUMMYFUNCTION("""COMPUTED_VALUE"""),"Francesco Amato")</f>
        <v>Francesco Amato</v>
      </c>
      <c r="V1437" s="5" t="s">
        <v>8445</v>
      </c>
      <c r="W1437" s="5" t="str">
        <f t="shared" si="3"/>
        <v>Gianfranco Rosi</v>
      </c>
      <c r="X1437" s="5">
        <f t="shared" si="4"/>
        <v>2</v>
      </c>
      <c r="Y1437" s="5" t="str">
        <f>IFERROR(__xludf.DUMMYFUNCTION("REGEXEXTRACT(J1437, ""^\d+"")"),"128")</f>
        <v>128</v>
      </c>
      <c r="Z1437" s="5" t="str">
        <f>IFERROR(__xludf.DUMMYFUNCTION("REGEXEXTRACT(J1437, ""[A-Za-z ]+$"")")," min")</f>
        <v> min</v>
      </c>
      <c r="AA1437" s="5" t="str">
        <f>IFERROR(__xludf.DUMMYFUNCTION("IF(REGEXMATCH(Z1437, ""Season""), ""TV Show"", ""Movie"")"),"Movie")</f>
        <v>Movie</v>
      </c>
    </row>
    <row r="1438">
      <c r="A1438" s="1" t="s">
        <v>8446</v>
      </c>
      <c r="B1438" s="1" t="s">
        <v>27</v>
      </c>
      <c r="C1438" s="1" t="s">
        <v>8447</v>
      </c>
      <c r="D1438" s="1" t="s">
        <v>1009</v>
      </c>
      <c r="E1438" s="1" t="s">
        <v>8448</v>
      </c>
      <c r="G1438" s="1" t="s">
        <v>8449</v>
      </c>
      <c r="H1438" s="1">
        <v>2021.0</v>
      </c>
      <c r="I1438" s="1" t="s">
        <v>42</v>
      </c>
      <c r="J1438" s="1" t="s">
        <v>1171</v>
      </c>
      <c r="K1438" s="1" t="s">
        <v>2892</v>
      </c>
      <c r="L1438" s="1" t="s">
        <v>8450</v>
      </c>
      <c r="M1438" s="2" t="s">
        <v>12</v>
      </c>
      <c r="N1438" s="4">
        <f t="shared" si="1"/>
        <v>44202</v>
      </c>
      <c r="O1438" s="5" t="str">
        <f>IFERROR(__xludf.DUMMYFUNCTION("IF(REGEXMATCH(TRIM(I1438), ""^\d+\s*min""), ""Unclassified"", IF(I1438 = """", ""NR"", I1438))"),"TV-MA")</f>
        <v>TV-MA</v>
      </c>
      <c r="R1438" s="5" t="str">
        <f t="shared" si="2"/>
        <v>Ratones Paranoicos: The Band That Rocked Argentina</v>
      </c>
      <c r="S1438" s="5" t="str">
        <f>IFERROR(__xludf.DUMMYFUNCTION("""COMPUTED_VALUE"""),"Chatô: The King Of Brazil")</f>
        <v>Chatô: The King Of Brazil</v>
      </c>
      <c r="U1438" s="5" t="str">
        <f>IFERROR(__xludf.DUMMYFUNCTION("""COMPUTED_VALUE"""),"Damien Chazelle, Houda Benyamina, Laïla Marrakchi, Alan Poul")</f>
        <v>Damien Chazelle, Houda Benyamina, Laïla Marrakchi, Alan Poul</v>
      </c>
      <c r="V1438" s="5" t="s">
        <v>8451</v>
      </c>
      <c r="W1438" s="5" t="str">
        <f t="shared" si="3"/>
        <v>Gideon Raff</v>
      </c>
      <c r="X1438" s="5">
        <f t="shared" si="4"/>
        <v>1</v>
      </c>
      <c r="Y1438" s="5" t="str">
        <f>IFERROR(__xludf.DUMMYFUNCTION("REGEXEXTRACT(J1438, ""^\d+"")"),"76")</f>
        <v>76</v>
      </c>
      <c r="Z1438" s="5" t="str">
        <f>IFERROR(__xludf.DUMMYFUNCTION("REGEXEXTRACT(J1438, ""[A-Za-z ]+$"")")," min")</f>
        <v> min</v>
      </c>
      <c r="AA1438" s="5" t="str">
        <f>IFERROR(__xludf.DUMMYFUNCTION("IF(REGEXMATCH(Z1438, ""Season""), ""TV Show"", ""Movie"")"),"Movie")</f>
        <v>Movie</v>
      </c>
    </row>
    <row r="1439">
      <c r="A1439" s="1" t="s">
        <v>8452</v>
      </c>
      <c r="B1439" s="1" t="s">
        <v>37</v>
      </c>
      <c r="C1439" s="1" t="s">
        <v>8453</v>
      </c>
      <c r="F1439" s="1" t="s">
        <v>30</v>
      </c>
      <c r="G1439" s="1" t="s">
        <v>8449</v>
      </c>
      <c r="H1439" s="1">
        <v>2021.0</v>
      </c>
      <c r="I1439" s="1" t="s">
        <v>42</v>
      </c>
      <c r="J1439" s="1" t="s">
        <v>51</v>
      </c>
      <c r="K1439" s="1" t="s">
        <v>57</v>
      </c>
      <c r="L1439" s="1" t="s">
        <v>8454</v>
      </c>
      <c r="M1439" s="2" t="s">
        <v>12</v>
      </c>
      <c r="N1439" s="4">
        <f t="shared" si="1"/>
        <v>44202</v>
      </c>
      <c r="O1439" s="5" t="str">
        <f>IFERROR(__xludf.DUMMYFUNCTION("IF(REGEXMATCH(TRIM(I1439), ""^\d+\s*min""), ""Unclassified"", IF(I1439 = """", ""NR"", I1439))"),"TV-MA")</f>
        <v>TV-MA</v>
      </c>
      <c r="R1439" s="5" t="str">
        <f t="shared" si="2"/>
        <v>Surviving Death</v>
      </c>
      <c r="S1439" s="5" t="str">
        <f>IFERROR(__xludf.DUMMYFUNCTION("""COMPUTED_VALUE"""),"Chauthi Koot")</f>
        <v>Chauthi Koot</v>
      </c>
      <c r="U1439" s="5" t="str">
        <f>IFERROR(__xludf.DUMMYFUNCTION("""COMPUTED_VALUE"""),"S.A. Zaidi")</f>
        <v>S.A. Zaidi</v>
      </c>
      <c r="V1439" s="5" t="s">
        <v>8455</v>
      </c>
      <c r="W1439" s="5" t="str">
        <f t="shared" si="3"/>
        <v>Gil Baroni</v>
      </c>
      <c r="X1439" s="5">
        <f t="shared" si="4"/>
        <v>1</v>
      </c>
      <c r="Y1439" s="5" t="str">
        <f>IFERROR(__xludf.DUMMYFUNCTION("REGEXEXTRACT(J1439, ""^\d+"")"),"1")</f>
        <v>1</v>
      </c>
      <c r="Z1439" s="5" t="str">
        <f>IFERROR(__xludf.DUMMYFUNCTION("REGEXEXTRACT(J1439, ""[A-Za-z ]+$"")")," Season")</f>
        <v> Season</v>
      </c>
      <c r="AA1439" s="5" t="str">
        <f>IFERROR(__xludf.DUMMYFUNCTION("IF(REGEXMATCH(Z1439, ""Season""), ""TV Show"", ""Movie"")"),"TV Show")</f>
        <v>TV Show</v>
      </c>
    </row>
    <row r="1440">
      <c r="A1440" s="1" t="s">
        <v>8456</v>
      </c>
      <c r="B1440" s="1" t="s">
        <v>27</v>
      </c>
      <c r="C1440" s="1" t="s">
        <v>8457</v>
      </c>
      <c r="D1440" s="1" t="s">
        <v>7702</v>
      </c>
      <c r="E1440" s="1" t="s">
        <v>8458</v>
      </c>
      <c r="F1440" s="1" t="s">
        <v>664</v>
      </c>
      <c r="G1440" s="1" t="s">
        <v>8449</v>
      </c>
      <c r="H1440" s="1">
        <v>2020.0</v>
      </c>
      <c r="I1440" s="1" t="s">
        <v>97</v>
      </c>
      <c r="J1440" s="1" t="s">
        <v>416</v>
      </c>
      <c r="K1440" s="1" t="s">
        <v>520</v>
      </c>
      <c r="L1440" s="1" t="s">
        <v>8459</v>
      </c>
      <c r="M1440" s="2" t="s">
        <v>12</v>
      </c>
      <c r="N1440" s="4">
        <f t="shared" si="1"/>
        <v>44202</v>
      </c>
      <c r="O1440" s="5" t="str">
        <f>IFERROR(__xludf.DUMMYFUNCTION("IF(REGEXMATCH(TRIM(I1440), ""^\d+\s*min""), ""Unclassified"", IF(I1440 = """", ""NR"", I1440))"),"TV-14")</f>
        <v>TV-14</v>
      </c>
      <c r="R1440" s="5" t="str">
        <f t="shared" si="2"/>
        <v>Tony Parker: The Final Shot</v>
      </c>
      <c r="S1440" s="5" t="str">
        <f>IFERROR(__xludf.DUMMYFUNCTION("""COMPUTED_VALUE"""),"Cheapest Weddings")</f>
        <v>Cheapest Weddings</v>
      </c>
      <c r="U1440" s="5" t="str">
        <f>IFERROR(__xludf.DUMMYFUNCTION("""COMPUTED_VALUE"""),"Hamad Alsarraf")</f>
        <v>Hamad Alsarraf</v>
      </c>
      <c r="V1440" s="5" t="s">
        <v>8460</v>
      </c>
      <c r="W1440" s="5" t="str">
        <f t="shared" si="3"/>
        <v>Gil Kenan</v>
      </c>
      <c r="X1440" s="5">
        <f t="shared" si="4"/>
        <v>1</v>
      </c>
      <c r="Y1440" s="5" t="str">
        <f>IFERROR(__xludf.DUMMYFUNCTION("REGEXEXTRACT(J1440, ""^\d+"")"),"99")</f>
        <v>99</v>
      </c>
      <c r="Z1440" s="5" t="str">
        <f>IFERROR(__xludf.DUMMYFUNCTION("REGEXEXTRACT(J1440, ""[A-Za-z ]+$"")")," min")</f>
        <v> min</v>
      </c>
      <c r="AA1440" s="5" t="str">
        <f>IFERROR(__xludf.DUMMYFUNCTION("IF(REGEXMATCH(Z1440, ""Season""), ""TV Show"", ""Movie"")"),"Movie")</f>
        <v>Movie</v>
      </c>
    </row>
    <row r="1441">
      <c r="A1441" s="1" t="s">
        <v>8461</v>
      </c>
      <c r="B1441" s="1" t="s">
        <v>37</v>
      </c>
      <c r="C1441" s="1" t="s">
        <v>8462</v>
      </c>
      <c r="E1441" s="1" t="s">
        <v>8463</v>
      </c>
      <c r="F1441" s="1" t="s">
        <v>30</v>
      </c>
      <c r="G1441" s="1" t="s">
        <v>8464</v>
      </c>
      <c r="H1441" s="1">
        <v>2021.0</v>
      </c>
      <c r="I1441" s="1" t="s">
        <v>42</v>
      </c>
      <c r="J1441" s="1" t="s">
        <v>51</v>
      </c>
      <c r="K1441" s="1" t="s">
        <v>8465</v>
      </c>
      <c r="L1441" s="1" t="s">
        <v>8466</v>
      </c>
      <c r="M1441" s="2" t="s">
        <v>12</v>
      </c>
      <c r="N1441" s="4">
        <f t="shared" si="1"/>
        <v>44201</v>
      </c>
      <c r="O1441" s="5" t="str">
        <f>IFERROR(__xludf.DUMMYFUNCTION("IF(REGEXMATCH(TRIM(I1441), ""^\d+\s*min""), ""Unclassified"", IF(I1441 = """", ""NR"", I1441))"),"TV-MA")</f>
        <v>TV-MA</v>
      </c>
      <c r="R1441" s="5" t="str">
        <f t="shared" si="2"/>
        <v>History Of Swear Words</v>
      </c>
      <c r="S1441" s="5" t="str">
        <f>IFERROR(__xludf.DUMMYFUNCTION("""COMPUTED_VALUE"""),"Check The Store Next Door: The Next Chapter")</f>
        <v>Check The Store Next Door: The Next Chapter</v>
      </c>
      <c r="U1441" s="5" t="str">
        <f>IFERROR(__xludf.DUMMYFUNCTION("""COMPUTED_VALUE"""),"He Xiaofeng")</f>
        <v>He Xiaofeng</v>
      </c>
      <c r="V1441" s="5" t="s">
        <v>8467</v>
      </c>
      <c r="W1441" s="5" t="str">
        <f t="shared" si="3"/>
        <v>Gilbert Chan</v>
      </c>
      <c r="X1441" s="5">
        <f t="shared" si="4"/>
        <v>1</v>
      </c>
      <c r="Y1441" s="5" t="str">
        <f>IFERROR(__xludf.DUMMYFUNCTION("REGEXEXTRACT(J1441, ""^\d+"")"),"1")</f>
        <v>1</v>
      </c>
      <c r="Z1441" s="5" t="str">
        <f>IFERROR(__xludf.DUMMYFUNCTION("REGEXEXTRACT(J1441, ""[A-Za-z ]+$"")")," Season")</f>
        <v> Season</v>
      </c>
      <c r="AA1441" s="5" t="str">
        <f>IFERROR(__xludf.DUMMYFUNCTION("IF(REGEXMATCH(Z1441, ""Season""), ""TV Show"", ""Movie"")"),"TV Show")</f>
        <v>TV Show</v>
      </c>
    </row>
    <row r="1442">
      <c r="A1442" s="1" t="s">
        <v>8468</v>
      </c>
      <c r="B1442" s="1" t="s">
        <v>37</v>
      </c>
      <c r="C1442" s="1" t="s">
        <v>8469</v>
      </c>
      <c r="E1442" s="1" t="s">
        <v>8470</v>
      </c>
      <c r="F1442" s="1" t="s">
        <v>5541</v>
      </c>
      <c r="G1442" s="1" t="s">
        <v>8464</v>
      </c>
      <c r="H1442" s="1">
        <v>2021.0</v>
      </c>
      <c r="I1442" s="1" t="s">
        <v>136</v>
      </c>
      <c r="J1442" s="1" t="s">
        <v>276</v>
      </c>
      <c r="K1442" s="1" t="s">
        <v>4146</v>
      </c>
      <c r="L1442" s="1" t="s">
        <v>8471</v>
      </c>
      <c r="M1442" s="2" t="s">
        <v>12</v>
      </c>
      <c r="N1442" s="4">
        <f t="shared" si="1"/>
        <v>44201</v>
      </c>
      <c r="O1442" s="5" t="str">
        <f>IFERROR(__xludf.DUMMYFUNCTION("IF(REGEXMATCH(TRIM(I1442), ""^\d+\s*min""), ""Unclassified"", IF(I1442 = """", ""NR"", I1442))"),"TV-PG")</f>
        <v>TV-PG</v>
      </c>
      <c r="R1442" s="5" t="str">
        <f t="shared" si="2"/>
        <v>Nailed It! Mexico</v>
      </c>
      <c r="S1442" s="5" t="str">
        <f>IFERROR(__xludf.DUMMYFUNCTION("""COMPUTED_VALUE"""),"Cheech &amp; Chong'S Still Smokin")</f>
        <v>Cheech &amp; Chong'S Still Smokin</v>
      </c>
      <c r="U1442" s="5" t="str">
        <f>IFERROR(__xludf.DUMMYFUNCTION("""COMPUTED_VALUE"""),"Nadia Hallgren")</f>
        <v>Nadia Hallgren</v>
      </c>
      <c r="V1442" s="5" t="s">
        <v>903</v>
      </c>
      <c r="W1442" s="5" t="str">
        <f t="shared" si="3"/>
        <v>Gilles Paquet-Brenner</v>
      </c>
      <c r="X1442" s="5">
        <f t="shared" si="4"/>
        <v>3</v>
      </c>
      <c r="Y1442" s="5" t="str">
        <f>IFERROR(__xludf.DUMMYFUNCTION("REGEXEXTRACT(J1442, ""^\d+"")"),"3")</f>
        <v>3</v>
      </c>
      <c r="Z1442" s="5" t="str">
        <f>IFERROR(__xludf.DUMMYFUNCTION("REGEXEXTRACT(J1442, ""[A-Za-z ]+$"")")," Seasons")</f>
        <v> Seasons</v>
      </c>
      <c r="AA1442" s="5" t="str">
        <f>IFERROR(__xludf.DUMMYFUNCTION("IF(REGEXMATCH(Z1442, ""Season""), ""TV Show"", ""Movie"")"),"TV Show")</f>
        <v>TV Show</v>
      </c>
    </row>
    <row r="1443">
      <c r="A1443" s="1" t="s">
        <v>8472</v>
      </c>
      <c r="B1443" s="1" t="s">
        <v>27</v>
      </c>
      <c r="C1443" s="1" t="s">
        <v>8473</v>
      </c>
      <c r="D1443" s="1" t="s">
        <v>8474</v>
      </c>
      <c r="E1443" s="1" t="s">
        <v>8475</v>
      </c>
      <c r="F1443" s="1" t="s">
        <v>63</v>
      </c>
      <c r="G1443" s="1" t="s">
        <v>8476</v>
      </c>
      <c r="H1443" s="1">
        <v>1999.0</v>
      </c>
      <c r="I1443" s="1" t="s">
        <v>97</v>
      </c>
      <c r="J1443" s="1" t="s">
        <v>3458</v>
      </c>
      <c r="K1443" s="1" t="s">
        <v>1328</v>
      </c>
      <c r="L1443" s="1" t="s">
        <v>8477</v>
      </c>
      <c r="M1443" s="2" t="s">
        <v>12</v>
      </c>
      <c r="N1443" s="4">
        <f t="shared" si="1"/>
        <v>44200</v>
      </c>
      <c r="O1443" s="5" t="str">
        <f>IFERROR(__xludf.DUMMYFUNCTION("IF(REGEXMATCH(TRIM(I1443), ""^\d+\s*min""), ""Unclassified"", IF(I1443 = """", ""NR"", I1443))"),"TV-14")</f>
        <v>TV-14</v>
      </c>
      <c r="R1443" s="5" t="str">
        <f t="shared" si="2"/>
        <v>Hello Brother</v>
      </c>
      <c r="S1443" s="5" t="str">
        <f>IFERROR(__xludf.DUMMYFUNCTION("""COMPUTED_VALUE"""),"Cheer")</f>
        <v>Cheer</v>
      </c>
      <c r="U1443" s="5" t="str">
        <f>IFERROR(__xludf.DUMMYFUNCTION("""COMPUTED_VALUE"""),"Pedro Flores Maldonado")</f>
        <v>Pedro Flores Maldonado</v>
      </c>
      <c r="V1443" s="5" t="s">
        <v>8478</v>
      </c>
      <c r="W1443" s="5" t="str">
        <f t="shared" si="3"/>
        <v>Gillian Armstrong</v>
      </c>
      <c r="X1443" s="5">
        <f t="shared" si="4"/>
        <v>1</v>
      </c>
      <c r="Y1443" s="5" t="str">
        <f>IFERROR(__xludf.DUMMYFUNCTION("REGEXEXTRACT(J1443, ""^\d+"")"),"126")</f>
        <v>126</v>
      </c>
      <c r="Z1443" s="5" t="str">
        <f>IFERROR(__xludf.DUMMYFUNCTION("REGEXEXTRACT(J1443, ""[A-Za-z ]+$"")")," min")</f>
        <v> min</v>
      </c>
      <c r="AA1443" s="5" t="str">
        <f>IFERROR(__xludf.DUMMYFUNCTION("IF(REGEXMATCH(Z1443, ""Season""), ""TV Show"", ""Movie"")"),"Movie")</f>
        <v>Movie</v>
      </c>
    </row>
    <row r="1444">
      <c r="A1444" s="1" t="s">
        <v>8479</v>
      </c>
      <c r="B1444" s="1" t="s">
        <v>37</v>
      </c>
      <c r="C1444" s="1" t="s">
        <v>8480</v>
      </c>
      <c r="E1444" s="1" t="s">
        <v>1638</v>
      </c>
      <c r="G1444" s="1" t="s">
        <v>8476</v>
      </c>
      <c r="H1444" s="1">
        <v>2020.0</v>
      </c>
      <c r="I1444" s="1" t="s">
        <v>506</v>
      </c>
      <c r="J1444" s="1" t="s">
        <v>51</v>
      </c>
      <c r="K1444" s="1" t="s">
        <v>507</v>
      </c>
      <c r="L1444" s="1" t="s">
        <v>8481</v>
      </c>
      <c r="M1444" s="2" t="s">
        <v>12</v>
      </c>
      <c r="N1444" s="4">
        <f t="shared" si="1"/>
        <v>44200</v>
      </c>
      <c r="O1444" s="5" t="str">
        <f>IFERROR(__xludf.DUMMYFUNCTION("IF(REGEXMATCH(TRIM(I1444), ""^\d+\s*min""), ""Unclassified"", IF(I1444 = """", ""NR"", I1444))"),"TV-G")</f>
        <v>TV-G</v>
      </c>
      <c r="R1444" s="5" t="str">
        <f t="shared" si="2"/>
        <v>Korean Pork Belly Rhapsody</v>
      </c>
      <c r="S1444" s="5" t="str">
        <f>IFERROR(__xludf.DUMMYFUNCTION("""COMPUTED_VALUE"""),"Cheer Squad")</f>
        <v>Cheer Squad</v>
      </c>
      <c r="U1444" s="5" t="str">
        <f>IFERROR(__xludf.DUMMYFUNCTION("""COMPUTED_VALUE"""),"Joe Demaio")</f>
        <v>Joe Demaio</v>
      </c>
      <c r="V1444" s="5" t="s">
        <v>8482</v>
      </c>
      <c r="W1444" s="5" t="str">
        <f t="shared" si="3"/>
        <v>Gillian Robespierre</v>
      </c>
      <c r="X1444" s="5">
        <f t="shared" si="4"/>
        <v>2</v>
      </c>
      <c r="Y1444" s="5" t="str">
        <f>IFERROR(__xludf.DUMMYFUNCTION("REGEXEXTRACT(J1444, ""^\d+"")"),"1")</f>
        <v>1</v>
      </c>
      <c r="Z1444" s="5" t="str">
        <f>IFERROR(__xludf.DUMMYFUNCTION("REGEXEXTRACT(J1444, ""[A-Za-z ]+$"")")," Season")</f>
        <v> Season</v>
      </c>
      <c r="AA1444" s="5" t="str">
        <f>IFERROR(__xludf.DUMMYFUNCTION("IF(REGEXMATCH(Z1444, ""Season""), ""TV Show"", ""Movie"")"),"TV Show")</f>
        <v>TV Show</v>
      </c>
    </row>
    <row r="1445">
      <c r="A1445" s="1" t="s">
        <v>8483</v>
      </c>
      <c r="B1445" s="1" t="s">
        <v>37</v>
      </c>
      <c r="C1445" s="1" t="s">
        <v>8484</v>
      </c>
      <c r="F1445" s="1" t="s">
        <v>30</v>
      </c>
      <c r="G1445" s="1" t="s">
        <v>8476</v>
      </c>
      <c r="H1445" s="1">
        <v>2019.0</v>
      </c>
      <c r="I1445" s="1" t="s">
        <v>97</v>
      </c>
      <c r="J1445" s="1" t="s">
        <v>51</v>
      </c>
      <c r="K1445" s="1" t="s">
        <v>1261</v>
      </c>
      <c r="L1445" s="1" t="s">
        <v>8485</v>
      </c>
      <c r="M1445" s="2" t="s">
        <v>12</v>
      </c>
      <c r="N1445" s="4">
        <f t="shared" si="1"/>
        <v>44200</v>
      </c>
      <c r="O1445" s="5" t="str">
        <f>IFERROR(__xludf.DUMMYFUNCTION("IF(REGEXMATCH(TRIM(I1445), ""^\d+\s*min""), ""Unclassified"", IF(I1445 = """", ""NR"", I1445))"),"TV-14")</f>
        <v>TV-14</v>
      </c>
      <c r="R1445" s="5" t="str">
        <f t="shared" si="2"/>
        <v>Qb1: Beyond The Lights</v>
      </c>
      <c r="S1445" s="5" t="str">
        <f>IFERROR(__xludf.DUMMYFUNCTION("""COMPUTED_VALUE"""),"Cheers")</f>
        <v>Cheers</v>
      </c>
      <c r="U1445" s="5" t="str">
        <f>IFERROR(__xludf.DUMMYFUNCTION("""COMPUTED_VALUE"""),"Aaron Woodley")</f>
        <v>Aaron Woodley</v>
      </c>
      <c r="V1445" s="5" t="s">
        <v>8486</v>
      </c>
      <c r="W1445" s="5" t="str">
        <f t="shared" si="3"/>
        <v>Gina Prince-Bythewood</v>
      </c>
      <c r="X1445" s="5">
        <f t="shared" si="4"/>
        <v>1</v>
      </c>
      <c r="Y1445" s="5" t="str">
        <f>IFERROR(__xludf.DUMMYFUNCTION("REGEXEXTRACT(J1445, ""^\d+"")"),"1")</f>
        <v>1</v>
      </c>
      <c r="Z1445" s="5" t="str">
        <f>IFERROR(__xludf.DUMMYFUNCTION("REGEXEXTRACT(J1445, ""[A-Za-z ]+$"")")," Season")</f>
        <v> Season</v>
      </c>
      <c r="AA1445" s="5" t="str">
        <f>IFERROR(__xludf.DUMMYFUNCTION("IF(REGEXMATCH(Z1445, ""Season""), ""TV Show"", ""Movie"")"),"TV Show")</f>
        <v>TV Show</v>
      </c>
    </row>
    <row r="1446">
      <c r="A1446" s="1" t="s">
        <v>8487</v>
      </c>
      <c r="B1446" s="1" t="s">
        <v>27</v>
      </c>
      <c r="C1446" s="1" t="s">
        <v>8488</v>
      </c>
      <c r="D1446" s="1" t="s">
        <v>3671</v>
      </c>
      <c r="E1446" s="1" t="s">
        <v>8489</v>
      </c>
      <c r="F1446" s="1" t="s">
        <v>30</v>
      </c>
      <c r="G1446" s="1" t="s">
        <v>8490</v>
      </c>
      <c r="H1446" s="1">
        <v>2012.0</v>
      </c>
      <c r="I1446" s="1" t="s">
        <v>32</v>
      </c>
      <c r="J1446" s="1" t="s">
        <v>256</v>
      </c>
      <c r="K1446" s="1" t="s">
        <v>8491</v>
      </c>
      <c r="L1446" s="1" t="s">
        <v>8492</v>
      </c>
      <c r="M1446" s="2" t="s">
        <v>12</v>
      </c>
      <c r="N1446" s="4">
        <f t="shared" si="1"/>
        <v>44199</v>
      </c>
      <c r="O1446" s="5" t="str">
        <f>IFERROR(__xludf.DUMMYFUNCTION("IF(REGEXMATCH(TRIM(I1446), ""^\d+\s*min""), ""Unclassified"", IF(I1446 = """", ""NR"", I1446))"),"PG-13")</f>
        <v>PG-13</v>
      </c>
      <c r="R1446" s="5" t="str">
        <f t="shared" si="2"/>
        <v>Playing For Keeps</v>
      </c>
      <c r="S1446" s="5" t="str">
        <f>IFERROR(__xludf.DUMMYFUNCTION("""COMPUTED_VALUE"""),"Cheese In The Trap")</f>
        <v>Cheese In The Trap</v>
      </c>
      <c r="U1446" s="5" t="str">
        <f>IFERROR(__xludf.DUMMYFUNCTION("""COMPUTED_VALUE"""),"Lucas Margutti")</f>
        <v>Lucas Margutti</v>
      </c>
      <c r="V1446" s="5" t="s">
        <v>8493</v>
      </c>
      <c r="W1446" s="5" t="str">
        <f t="shared" si="3"/>
        <v>Girish Joshi</v>
      </c>
      <c r="X1446" s="5">
        <f t="shared" si="4"/>
        <v>1</v>
      </c>
      <c r="Y1446" s="5" t="str">
        <f>IFERROR(__xludf.DUMMYFUNCTION("REGEXEXTRACT(J1446, ""^\d+"")"),"106")</f>
        <v>106</v>
      </c>
      <c r="Z1446" s="5" t="str">
        <f>IFERROR(__xludf.DUMMYFUNCTION("REGEXEXTRACT(J1446, ""[A-Za-z ]+$"")")," min")</f>
        <v> min</v>
      </c>
      <c r="AA1446" s="5" t="str">
        <f>IFERROR(__xludf.DUMMYFUNCTION("IF(REGEXMATCH(Z1446, ""Season""), ""TV Show"", ""Movie"")"),"Movie")</f>
        <v>Movie</v>
      </c>
    </row>
    <row r="1447">
      <c r="A1447" s="1" t="s">
        <v>8494</v>
      </c>
      <c r="B1447" s="1" t="s">
        <v>27</v>
      </c>
      <c r="C1447" s="1" t="s">
        <v>8495</v>
      </c>
      <c r="D1447" s="1" t="s">
        <v>8496</v>
      </c>
      <c r="E1447" s="1" t="s">
        <v>8497</v>
      </c>
      <c r="F1447" s="1" t="s">
        <v>8498</v>
      </c>
      <c r="G1447" s="1" t="s">
        <v>8499</v>
      </c>
      <c r="H1447" s="1">
        <v>2020.0</v>
      </c>
      <c r="I1447" s="1" t="s">
        <v>97</v>
      </c>
      <c r="J1447" s="1" t="s">
        <v>1091</v>
      </c>
      <c r="K1447" s="1" t="s">
        <v>1328</v>
      </c>
      <c r="L1447" s="1" t="s">
        <v>8500</v>
      </c>
      <c r="M1447" s="2" t="s">
        <v>12</v>
      </c>
      <c r="N1447" s="4">
        <f t="shared" si="1"/>
        <v>44198</v>
      </c>
      <c r="O1447" s="5" t="str">
        <f>IFERROR(__xludf.DUMMYFUNCTION("IF(REGEXMATCH(TRIM(I1447), ""^\d+\s*min""), ""Unclassified"", IF(I1447 = """", ""NR"", I1447))"),"TV-14")</f>
        <v>TV-14</v>
      </c>
      <c r="R1447" s="5" t="str">
        <f t="shared" si="2"/>
        <v>Asphalt Burning</v>
      </c>
      <c r="S1447" s="5" t="str">
        <f>IFERROR(__xludf.DUMMYFUNCTION("""COMPUTED_VALUE"""),"Chef")</f>
        <v>Chef</v>
      </c>
      <c r="U1447" s="5" t="str">
        <f>IFERROR(__xludf.DUMMYFUNCTION("""COMPUTED_VALUE"""),"Ashok Nanda")</f>
        <v>Ashok Nanda</v>
      </c>
      <c r="V1447" s="5" t="s">
        <v>8501</v>
      </c>
      <c r="W1447" s="5" t="str">
        <f t="shared" si="3"/>
        <v>Girish Malik</v>
      </c>
      <c r="X1447" s="5">
        <f t="shared" si="4"/>
        <v>2</v>
      </c>
      <c r="Y1447" s="5" t="str">
        <f>IFERROR(__xludf.DUMMYFUNCTION("REGEXEXTRACT(J1447, ""^\d+"")"),"101")</f>
        <v>101</v>
      </c>
      <c r="Z1447" s="5" t="str">
        <f>IFERROR(__xludf.DUMMYFUNCTION("REGEXEXTRACT(J1447, ""[A-Za-z ]+$"")")," min")</f>
        <v> min</v>
      </c>
      <c r="AA1447" s="5" t="str">
        <f>IFERROR(__xludf.DUMMYFUNCTION("IF(REGEXMATCH(Z1447, ""Season""), ""TV Show"", ""Movie"")"),"Movie")</f>
        <v>Movie</v>
      </c>
    </row>
    <row r="1448">
      <c r="A1448" s="1" t="s">
        <v>8502</v>
      </c>
      <c r="B1448" s="1" t="s">
        <v>27</v>
      </c>
      <c r="C1448" s="1" t="s">
        <v>8503</v>
      </c>
      <c r="D1448" s="1" t="s">
        <v>8504</v>
      </c>
      <c r="E1448" s="1" t="s">
        <v>8505</v>
      </c>
      <c r="F1448" s="1" t="s">
        <v>30</v>
      </c>
      <c r="G1448" s="1" t="s">
        <v>8506</v>
      </c>
      <c r="H1448" s="1">
        <v>2014.0</v>
      </c>
      <c r="I1448" s="1" t="s">
        <v>42</v>
      </c>
      <c r="J1448" s="1" t="s">
        <v>630</v>
      </c>
      <c r="K1448" s="1" t="s">
        <v>239</v>
      </c>
      <c r="L1448" s="1" t="s">
        <v>8507</v>
      </c>
      <c r="M1448" s="2" t="s">
        <v>12</v>
      </c>
      <c r="N1448" s="4">
        <f t="shared" si="1"/>
        <v>44197</v>
      </c>
      <c r="O1448" s="5" t="str">
        <f>IFERROR(__xludf.DUMMYFUNCTION("IF(REGEXMATCH(TRIM(I1448), ""^\d+\s*min""), ""Unclassified"", IF(I1448 = """", ""NR"", I1448))"),"TV-MA")</f>
        <v>TV-MA</v>
      </c>
      <c r="R1448" s="5" t="str">
        <f t="shared" si="2"/>
        <v>Bad Grandpa .5</v>
      </c>
      <c r="S1448" s="5" t="str">
        <f>IFERROR(__xludf.DUMMYFUNCTION("""COMPUTED_VALUE"""),"Chef &amp; My Fridge")</f>
        <v>Chef &amp; My Fridge</v>
      </c>
      <c r="U1448" s="5" t="str">
        <f>IFERROR(__xludf.DUMMYFUNCTION("""COMPUTED_VALUE"""),"Hernán Guerschuny")</f>
        <v>Hernán Guerschuny</v>
      </c>
      <c r="V1448" s="5" t="s">
        <v>7265</v>
      </c>
      <c r="W1448" s="5" t="str">
        <f t="shared" si="3"/>
        <v>Gitanjali Rao</v>
      </c>
      <c r="X1448" s="5">
        <f t="shared" si="4"/>
        <v>1</v>
      </c>
      <c r="Y1448" s="5" t="str">
        <f>IFERROR(__xludf.DUMMYFUNCTION("REGEXEXTRACT(J1448, ""^\d+"")"),"87")</f>
        <v>87</v>
      </c>
      <c r="Z1448" s="5" t="str">
        <f>IFERROR(__xludf.DUMMYFUNCTION("REGEXEXTRACT(J1448, ""[A-Za-z ]+$"")")," min")</f>
        <v> min</v>
      </c>
      <c r="AA1448" s="5" t="str">
        <f>IFERROR(__xludf.DUMMYFUNCTION("IF(REGEXMATCH(Z1448, ""Season""), ""TV Show"", ""Movie"")"),"Movie")</f>
        <v>Movie</v>
      </c>
    </row>
    <row r="1449">
      <c r="A1449" s="1" t="s">
        <v>8508</v>
      </c>
      <c r="B1449" s="1" t="s">
        <v>27</v>
      </c>
      <c r="C1449" s="1" t="s">
        <v>8509</v>
      </c>
      <c r="D1449" s="1" t="s">
        <v>4842</v>
      </c>
      <c r="E1449" s="1" t="s">
        <v>8510</v>
      </c>
      <c r="F1449" s="1" t="s">
        <v>897</v>
      </c>
      <c r="G1449" s="1" t="s">
        <v>8506</v>
      </c>
      <c r="H1449" s="1">
        <v>2009.0</v>
      </c>
      <c r="I1449" s="1" t="s">
        <v>378</v>
      </c>
      <c r="J1449" s="1" t="s">
        <v>264</v>
      </c>
      <c r="K1449" s="1" t="s">
        <v>3768</v>
      </c>
      <c r="L1449" s="1" t="s">
        <v>8511</v>
      </c>
      <c r="M1449" s="2" t="s">
        <v>12</v>
      </c>
      <c r="N1449" s="4">
        <f t="shared" si="1"/>
        <v>44197</v>
      </c>
      <c r="O1449" s="5" t="str">
        <f>IFERROR(__xludf.DUMMYFUNCTION("IF(REGEXMATCH(TRIM(I1449), ""^\d+\s*min""), ""Unclassified"", IF(I1449 = """", ""NR"", I1449))"),"R")</f>
        <v>R</v>
      </c>
      <c r="R1449" s="5" t="str">
        <f t="shared" si="2"/>
        <v>Case 39</v>
      </c>
      <c r="S1449" s="5" t="str">
        <f>IFERROR(__xludf.DUMMYFUNCTION("""COMPUTED_VALUE"""),"Chef'S Table")</f>
        <v>Chef'S Table</v>
      </c>
      <c r="U1449" s="5" t="str">
        <f>IFERROR(__xludf.DUMMYFUNCTION("""COMPUTED_VALUE"""),"Alex Ranarivelo")</f>
        <v>Alex Ranarivelo</v>
      </c>
      <c r="V1449" s="5" t="s">
        <v>8512</v>
      </c>
      <c r="W1449" s="5" t="str">
        <f t="shared" si="3"/>
        <v>Giulia Clark</v>
      </c>
      <c r="X1449" s="5">
        <f t="shared" si="4"/>
        <v>1</v>
      </c>
      <c r="Y1449" s="5" t="str">
        <f>IFERROR(__xludf.DUMMYFUNCTION("REGEXEXTRACT(J1449, ""^\d+"")"),"111")</f>
        <v>111</v>
      </c>
      <c r="Z1449" s="5" t="str">
        <f>IFERROR(__xludf.DUMMYFUNCTION("REGEXEXTRACT(J1449, ""[A-Za-z ]+$"")")," min")</f>
        <v> min</v>
      </c>
      <c r="AA1449" s="5" t="str">
        <f>IFERROR(__xludf.DUMMYFUNCTION("IF(REGEXMATCH(Z1449, ""Season""), ""TV Show"", ""Movie"")"),"Movie")</f>
        <v>Movie</v>
      </c>
    </row>
    <row r="1450">
      <c r="A1450" s="1" t="s">
        <v>8513</v>
      </c>
      <c r="B1450" s="1" t="s">
        <v>37</v>
      </c>
      <c r="C1450" s="1" t="s">
        <v>8514</v>
      </c>
      <c r="E1450" s="1" t="s">
        <v>8515</v>
      </c>
      <c r="F1450" s="1" t="s">
        <v>30</v>
      </c>
      <c r="G1450" s="1" t="s">
        <v>8506</v>
      </c>
      <c r="H1450" s="1">
        <v>2021.0</v>
      </c>
      <c r="I1450" s="1" t="s">
        <v>97</v>
      </c>
      <c r="J1450" s="1" t="s">
        <v>276</v>
      </c>
      <c r="K1450" s="1" t="s">
        <v>8516</v>
      </c>
      <c r="L1450" s="1" t="s">
        <v>8517</v>
      </c>
      <c r="M1450" s="2" t="s">
        <v>12</v>
      </c>
      <c r="N1450" s="4">
        <f t="shared" si="1"/>
        <v>44197</v>
      </c>
      <c r="O1450" s="5" t="str">
        <f>IFERROR(__xludf.DUMMYFUNCTION("IF(REGEXMATCH(TRIM(I1450), ""^\d+\s*min""), ""Unclassified"", IF(I1450 = """", ""NR"", I1450))"),"TV-14")</f>
        <v>TV-14</v>
      </c>
      <c r="R1450" s="5" t="str">
        <f t="shared" si="2"/>
        <v>Cobra Kai</v>
      </c>
      <c r="S1450" s="5" t="str">
        <f>IFERROR(__xludf.DUMMYFUNCTION("""COMPUTED_VALUE"""),"Chef'S Table: Bbq")</f>
        <v>Chef'S Table: Bbq</v>
      </c>
      <c r="U1450" s="5" t="str">
        <f>IFERROR(__xludf.DUMMYFUNCTION("""COMPUTED_VALUE"""),"Seth Barrish")</f>
        <v>Seth Barrish</v>
      </c>
      <c r="V1450" s="5" t="s">
        <v>8518</v>
      </c>
      <c r="W1450" s="5" t="str">
        <f t="shared" si="3"/>
        <v>Giulio Base</v>
      </c>
      <c r="X1450" s="5">
        <f t="shared" si="4"/>
        <v>1</v>
      </c>
      <c r="Y1450" s="5" t="str">
        <f>IFERROR(__xludf.DUMMYFUNCTION("REGEXEXTRACT(J1450, ""^\d+"")"),"3")</f>
        <v>3</v>
      </c>
      <c r="Z1450" s="5" t="str">
        <f>IFERROR(__xludf.DUMMYFUNCTION("REGEXEXTRACT(J1450, ""[A-Za-z ]+$"")")," Seasons")</f>
        <v> Seasons</v>
      </c>
      <c r="AA1450" s="5" t="str">
        <f>IFERROR(__xludf.DUMMYFUNCTION("IF(REGEXMATCH(Z1450, ""Season""), ""TV Show"", ""Movie"")"),"TV Show")</f>
        <v>TV Show</v>
      </c>
    </row>
    <row r="1451">
      <c r="A1451" s="1" t="s">
        <v>8519</v>
      </c>
      <c r="B1451" s="1" t="s">
        <v>37</v>
      </c>
      <c r="C1451" s="1" t="s">
        <v>8520</v>
      </c>
      <c r="F1451" s="1" t="s">
        <v>30</v>
      </c>
      <c r="G1451" s="1" t="s">
        <v>8506</v>
      </c>
      <c r="H1451" s="1">
        <v>2021.0</v>
      </c>
      <c r="I1451" s="1" t="s">
        <v>506</v>
      </c>
      <c r="J1451" s="1" t="s">
        <v>43</v>
      </c>
      <c r="K1451" s="1" t="s">
        <v>440</v>
      </c>
      <c r="L1451" s="1" t="s">
        <v>8521</v>
      </c>
      <c r="M1451" s="2" t="s">
        <v>12</v>
      </c>
      <c r="N1451" s="4">
        <f t="shared" si="1"/>
        <v>44197</v>
      </c>
      <c r="O1451" s="5" t="str">
        <f>IFERROR(__xludf.DUMMYFUNCTION("IF(REGEXMATCH(TRIM(I1451), ""^\d+\s*min""), ""Unclassified"", IF(I1451 = """", ""NR"", I1451))"),"TV-G")</f>
        <v>TV-G</v>
      </c>
      <c r="R1451" s="5" t="str">
        <f t="shared" si="2"/>
        <v>Dream Home Makeover</v>
      </c>
      <c r="S1451" s="5" t="str">
        <f>IFERROR(__xludf.DUMMYFUNCTION("""COMPUTED_VALUE"""),"Chef'S Table: France")</f>
        <v>Chef'S Table: France</v>
      </c>
      <c r="U1451" s="5" t="str">
        <f>IFERROR(__xludf.DUMMYFUNCTION("""COMPUTED_VALUE"""),"Brett Hedlund")</f>
        <v>Brett Hedlund</v>
      </c>
      <c r="V1451" s="5" t="s">
        <v>8522</v>
      </c>
      <c r="W1451" s="5" t="str">
        <f t="shared" si="3"/>
        <v>Glen Goei, Gavin Yap</v>
      </c>
      <c r="X1451" s="5">
        <f t="shared" si="4"/>
        <v>1</v>
      </c>
      <c r="Y1451" s="5" t="str">
        <f>IFERROR(__xludf.DUMMYFUNCTION("REGEXEXTRACT(J1451, ""^\d+"")"),"2")</f>
        <v>2</v>
      </c>
      <c r="Z1451" s="5" t="str">
        <f>IFERROR(__xludf.DUMMYFUNCTION("REGEXEXTRACT(J1451, ""[A-Za-z ]+$"")")," Seasons")</f>
        <v> Seasons</v>
      </c>
      <c r="AA1451" s="5" t="str">
        <f>IFERROR(__xludf.DUMMYFUNCTION("IF(REGEXMATCH(Z1451, ""Season""), ""TV Show"", ""Movie"")"),"TV Show")</f>
        <v>TV Show</v>
      </c>
    </row>
    <row r="1452">
      <c r="A1452" s="1" t="s">
        <v>8523</v>
      </c>
      <c r="B1452" s="1" t="s">
        <v>27</v>
      </c>
      <c r="C1452" s="1" t="s">
        <v>8524</v>
      </c>
      <c r="D1452" s="1" t="s">
        <v>8525</v>
      </c>
      <c r="E1452" s="1" t="s">
        <v>8526</v>
      </c>
      <c r="F1452" s="1" t="s">
        <v>30</v>
      </c>
      <c r="G1452" s="1" t="s">
        <v>8506</v>
      </c>
      <c r="H1452" s="1">
        <v>1987.0</v>
      </c>
      <c r="I1452" s="1" t="s">
        <v>378</v>
      </c>
      <c r="J1452" s="1" t="s">
        <v>33</v>
      </c>
      <c r="K1452" s="1" t="s">
        <v>1839</v>
      </c>
      <c r="L1452" s="1" t="s">
        <v>8527</v>
      </c>
      <c r="M1452" s="2" t="s">
        <v>12</v>
      </c>
      <c r="N1452" s="4">
        <f t="shared" si="1"/>
        <v>44197</v>
      </c>
      <c r="O1452" s="5" t="str">
        <f>IFERROR(__xludf.DUMMYFUNCTION("IF(REGEXMATCH(TRIM(I1452), ""^\d+\s*min""), ""Unclassified"", IF(I1452 = """", ""NR"", I1452))"),"R")</f>
        <v>R</v>
      </c>
      <c r="R1452" s="5" t="str">
        <f t="shared" si="2"/>
        <v>Eddie Murphy: Raw</v>
      </c>
      <c r="S1452" s="5" t="str">
        <f>IFERROR(__xludf.DUMMYFUNCTION("""COMPUTED_VALUE"""),"Chelsea")</f>
        <v>Chelsea</v>
      </c>
      <c r="U1452" s="5" t="str">
        <f>IFERROR(__xludf.DUMMYFUNCTION("""COMPUTED_VALUE"""),"Joe Robert Cole")</f>
        <v>Joe Robert Cole</v>
      </c>
      <c r="V1452" s="5" t="s">
        <v>8528</v>
      </c>
      <c r="W1452" s="5" t="str">
        <f t="shared" si="3"/>
        <v>Glen Keane</v>
      </c>
      <c r="X1452" s="5">
        <f t="shared" si="4"/>
        <v>1</v>
      </c>
      <c r="Y1452" s="5" t="str">
        <f>IFERROR(__xludf.DUMMYFUNCTION("REGEXEXTRACT(J1452, ""^\d+"")"),"90")</f>
        <v>90</v>
      </c>
      <c r="Z1452" s="5" t="str">
        <f>IFERROR(__xludf.DUMMYFUNCTION("REGEXEXTRACT(J1452, ""[A-Za-z ]+$"")")," min")</f>
        <v> min</v>
      </c>
      <c r="AA1452" s="5" t="str">
        <f>IFERROR(__xludf.DUMMYFUNCTION("IF(REGEXMATCH(Z1452, ""Season""), ""TV Show"", ""Movie"")"),"Movie")</f>
        <v>Movie</v>
      </c>
    </row>
    <row r="1453">
      <c r="A1453" s="1" t="s">
        <v>8529</v>
      </c>
      <c r="B1453" s="1" t="s">
        <v>27</v>
      </c>
      <c r="C1453" s="1" t="s">
        <v>8530</v>
      </c>
      <c r="D1453" s="1" t="s">
        <v>8531</v>
      </c>
      <c r="E1453" s="1" t="s">
        <v>8532</v>
      </c>
      <c r="F1453" s="1" t="s">
        <v>30</v>
      </c>
      <c r="G1453" s="1" t="s">
        <v>8506</v>
      </c>
      <c r="H1453" s="1">
        <v>2020.0</v>
      </c>
      <c r="I1453" s="1" t="s">
        <v>206</v>
      </c>
      <c r="J1453" s="1" t="s">
        <v>79</v>
      </c>
      <c r="K1453" s="1" t="s">
        <v>8533</v>
      </c>
      <c r="L1453" s="1" t="s">
        <v>8534</v>
      </c>
      <c r="M1453" s="2" t="s">
        <v>12</v>
      </c>
      <c r="N1453" s="4">
        <f t="shared" si="1"/>
        <v>44197</v>
      </c>
      <c r="O1453" s="5" t="str">
        <f>IFERROR(__xludf.DUMMYFUNCTION("IF(REGEXMATCH(TRIM(I1453), ""^\d+\s*min""), ""Unclassified"", IF(I1453 = """", ""NR"", I1453))"),"TV-Y")</f>
        <v>TV-Y</v>
      </c>
      <c r="R1453" s="5" t="str">
        <f t="shared" si="2"/>
        <v>Full Out 2: You Got This!</v>
      </c>
      <c r="S1453" s="5" t="str">
        <f>IFERROR(__xludf.DUMMYFUNCTION("""COMPUTED_VALUE"""),"Chelsea Does")</f>
        <v>Chelsea Does</v>
      </c>
      <c r="U1453" s="5" t="str">
        <f>IFERROR(__xludf.DUMMYFUNCTION("""COMPUTED_VALUE"""),"Michelle Esrick")</f>
        <v>Michelle Esrick</v>
      </c>
      <c r="V1453" s="5" t="s">
        <v>2461</v>
      </c>
      <c r="W1453" s="5" t="str">
        <f t="shared" si="3"/>
        <v>Glen Winter</v>
      </c>
      <c r="X1453" s="5">
        <f t="shared" si="4"/>
        <v>1</v>
      </c>
      <c r="Y1453" s="5" t="str">
        <f>IFERROR(__xludf.DUMMYFUNCTION("REGEXEXTRACT(J1453, ""^\d+"")"),"91")</f>
        <v>91</v>
      </c>
      <c r="Z1453" s="5" t="str">
        <f>IFERROR(__xludf.DUMMYFUNCTION("REGEXEXTRACT(J1453, ""[A-Za-z ]+$"")")," min")</f>
        <v> min</v>
      </c>
      <c r="AA1453" s="5" t="str">
        <f>IFERROR(__xludf.DUMMYFUNCTION("IF(REGEXMATCH(Z1453, ""Season""), ""TV Show"", ""Movie"")"),"Movie")</f>
        <v>Movie</v>
      </c>
    </row>
    <row r="1454">
      <c r="A1454" s="1" t="s">
        <v>8535</v>
      </c>
      <c r="B1454" s="1" t="s">
        <v>27</v>
      </c>
      <c r="C1454" s="1" t="s">
        <v>8536</v>
      </c>
      <c r="D1454" s="1" t="s">
        <v>8537</v>
      </c>
      <c r="E1454" s="1" t="s">
        <v>8538</v>
      </c>
      <c r="F1454" s="1" t="s">
        <v>30</v>
      </c>
      <c r="G1454" s="1" t="s">
        <v>8506</v>
      </c>
      <c r="H1454" s="1">
        <v>2013.0</v>
      </c>
      <c r="I1454" s="1" t="s">
        <v>32</v>
      </c>
      <c r="J1454" s="1" t="s">
        <v>1091</v>
      </c>
      <c r="K1454" s="1" t="s">
        <v>1320</v>
      </c>
      <c r="L1454" s="1" t="s">
        <v>8539</v>
      </c>
      <c r="M1454" s="2" t="s">
        <v>12</v>
      </c>
      <c r="N1454" s="4">
        <f t="shared" si="1"/>
        <v>44197</v>
      </c>
      <c r="O1454" s="5" t="str">
        <f>IFERROR(__xludf.DUMMYFUNCTION("IF(REGEXMATCH(TRIM(I1454), ""^\d+\s*min""), ""Unclassified"", IF(I1454 = """", ""NR"", I1454))"),"PG-13")</f>
        <v>PG-13</v>
      </c>
      <c r="R1454" s="5" t="str">
        <f t="shared" si="2"/>
        <v>Gimme Shelter</v>
      </c>
      <c r="S1454" s="5" t="str">
        <f>IFERROR(__xludf.DUMMYFUNCTION("""COMPUTED_VALUE"""),"Chelsea Handler: Uganda Be Kidding Me Live")</f>
        <v>Chelsea Handler: Uganda Be Kidding Me Live</v>
      </c>
      <c r="U1454" s="5" t="str">
        <f>IFERROR(__xludf.DUMMYFUNCTION("""COMPUTED_VALUE"""),"Olivier Abbou")</f>
        <v>Olivier Abbou</v>
      </c>
      <c r="V1454" s="5" t="s">
        <v>8117</v>
      </c>
      <c r="W1454" s="5" t="str">
        <f t="shared" si="3"/>
        <v>Glendyn Ivin</v>
      </c>
      <c r="X1454" s="5">
        <f t="shared" si="4"/>
        <v>1</v>
      </c>
      <c r="Y1454" s="5" t="str">
        <f>IFERROR(__xludf.DUMMYFUNCTION("REGEXEXTRACT(J1454, ""^\d+"")"),"101")</f>
        <v>101</v>
      </c>
      <c r="Z1454" s="5" t="str">
        <f>IFERROR(__xludf.DUMMYFUNCTION("REGEXEXTRACT(J1454, ""[A-Za-z ]+$"")")," min")</f>
        <v> min</v>
      </c>
      <c r="AA1454" s="5" t="str">
        <f>IFERROR(__xludf.DUMMYFUNCTION("IF(REGEXMATCH(Z1454, ""Season""), ""TV Show"", ""Movie"")"),"Movie")</f>
        <v>Movie</v>
      </c>
    </row>
    <row r="1455">
      <c r="A1455" s="1" t="s">
        <v>8540</v>
      </c>
      <c r="B1455" s="1" t="s">
        <v>27</v>
      </c>
      <c r="C1455" s="1" t="s">
        <v>8541</v>
      </c>
      <c r="D1455" s="1" t="s">
        <v>3824</v>
      </c>
      <c r="E1455" s="1" t="s">
        <v>8542</v>
      </c>
      <c r="F1455" s="1" t="s">
        <v>30</v>
      </c>
      <c r="G1455" s="1" t="s">
        <v>8506</v>
      </c>
      <c r="H1455" s="1">
        <v>1997.0</v>
      </c>
      <c r="I1455" s="1" t="s">
        <v>78</v>
      </c>
      <c r="J1455" s="1" t="s">
        <v>322</v>
      </c>
      <c r="K1455" s="1" t="s">
        <v>137</v>
      </c>
      <c r="L1455" s="1" t="s">
        <v>8543</v>
      </c>
      <c r="M1455" s="2" t="s">
        <v>12</v>
      </c>
      <c r="N1455" s="4">
        <f t="shared" si="1"/>
        <v>44197</v>
      </c>
      <c r="O1455" s="5" t="str">
        <f>IFERROR(__xludf.DUMMYFUNCTION("IF(REGEXMATCH(TRIM(I1455), ""^\d+\s*min""), ""Unclassified"", IF(I1455 = """", ""NR"", I1455))"),"PG")</f>
        <v>PG</v>
      </c>
      <c r="R1455" s="5" t="str">
        <f t="shared" si="2"/>
        <v>Good Burger</v>
      </c>
      <c r="S1455" s="5" t="str">
        <f>IFERROR(__xludf.DUMMYFUNCTION("""COMPUTED_VALUE"""),"Chelsea Peretti: One Of The Greats")</f>
        <v>Chelsea Peretti: One Of The Greats</v>
      </c>
      <c r="U1455" s="5" t="str">
        <f>IFERROR(__xludf.DUMMYFUNCTION("""COMPUTED_VALUE"""),"Jeffrey Schwarz")</f>
        <v>Jeffrey Schwarz</v>
      </c>
      <c r="V1455" s="5" t="s">
        <v>8544</v>
      </c>
      <c r="W1455" s="5" t="str">
        <f t="shared" si="3"/>
        <v>Glenn Miller</v>
      </c>
      <c r="X1455" s="5">
        <f t="shared" si="4"/>
        <v>1</v>
      </c>
      <c r="Y1455" s="5" t="str">
        <f>IFERROR(__xludf.DUMMYFUNCTION("REGEXEXTRACT(J1455, ""^\d+"")"),"96")</f>
        <v>96</v>
      </c>
      <c r="Z1455" s="5" t="str">
        <f>IFERROR(__xludf.DUMMYFUNCTION("REGEXEXTRACT(J1455, ""[A-Za-z ]+$"")")," min")</f>
        <v> min</v>
      </c>
      <c r="AA1455" s="5" t="str">
        <f>IFERROR(__xludf.DUMMYFUNCTION("IF(REGEXMATCH(Z1455, ""Season""), ""TV Show"", ""Movie"")"),"Movie")</f>
        <v>Movie</v>
      </c>
    </row>
    <row r="1456">
      <c r="A1456" s="1" t="s">
        <v>8545</v>
      </c>
      <c r="B1456" s="1" t="s">
        <v>27</v>
      </c>
      <c r="C1456" s="1" t="s">
        <v>8546</v>
      </c>
      <c r="D1456" s="1" t="s">
        <v>8547</v>
      </c>
      <c r="E1456" s="1" t="s">
        <v>8548</v>
      </c>
      <c r="F1456" s="1" t="s">
        <v>30</v>
      </c>
      <c r="G1456" s="1" t="s">
        <v>8506</v>
      </c>
      <c r="H1456" s="1">
        <v>2009.0</v>
      </c>
      <c r="I1456" s="1" t="s">
        <v>32</v>
      </c>
      <c r="J1456" s="1" t="s">
        <v>322</v>
      </c>
      <c r="K1456" s="1" t="s">
        <v>34</v>
      </c>
      <c r="L1456" s="1" t="s">
        <v>8549</v>
      </c>
      <c r="M1456" s="2" t="s">
        <v>12</v>
      </c>
      <c r="N1456" s="4">
        <f t="shared" si="1"/>
        <v>44197</v>
      </c>
      <c r="O1456" s="5" t="str">
        <f>IFERROR(__xludf.DUMMYFUNCTION("IF(REGEXMATCH(TRIM(I1456), ""^\d+\s*min""), ""Unclassified"", IF(I1456 = """", ""NR"", I1456))"),"PG-13")</f>
        <v>PG-13</v>
      </c>
      <c r="R1456" s="5" t="str">
        <f t="shared" si="2"/>
        <v>Good Hair</v>
      </c>
      <c r="S1456" s="5" t="str">
        <f>IFERROR(__xludf.DUMMYFUNCTION("""COMPUTED_VALUE"""),"Chennai Express")</f>
        <v>Chennai Express</v>
      </c>
      <c r="U1456" s="5" t="str">
        <f>IFERROR(__xludf.DUMMYFUNCTION("""COMPUTED_VALUE"""),"Eric Darnell, Tom Mcgrath")</f>
        <v>Eric Darnell, Tom Mcgrath</v>
      </c>
      <c r="V1456" s="5" t="s">
        <v>6221</v>
      </c>
      <c r="W1456" s="5" t="str">
        <f t="shared" si="3"/>
        <v>Glenn Weiss</v>
      </c>
      <c r="X1456" s="5">
        <f t="shared" si="4"/>
        <v>1</v>
      </c>
      <c r="Y1456" s="5" t="str">
        <f>IFERROR(__xludf.DUMMYFUNCTION("REGEXEXTRACT(J1456, ""^\d+"")"),"96")</f>
        <v>96</v>
      </c>
      <c r="Z1456" s="5" t="str">
        <f>IFERROR(__xludf.DUMMYFUNCTION("REGEXEXTRACT(J1456, ""[A-Za-z ]+$"")")," min")</f>
        <v> min</v>
      </c>
      <c r="AA1456" s="5" t="str">
        <f>IFERROR(__xludf.DUMMYFUNCTION("IF(REGEXMATCH(Z1456, ""Season""), ""TV Show"", ""Movie"")"),"Movie")</f>
        <v>Movie</v>
      </c>
    </row>
    <row r="1457">
      <c r="A1457" s="1" t="s">
        <v>8550</v>
      </c>
      <c r="B1457" s="1" t="s">
        <v>37</v>
      </c>
      <c r="C1457" s="1" t="s">
        <v>8551</v>
      </c>
      <c r="E1457" s="1" t="s">
        <v>8552</v>
      </c>
      <c r="F1457" s="1" t="s">
        <v>30</v>
      </c>
      <c r="G1457" s="1" t="s">
        <v>8506</v>
      </c>
      <c r="H1457" s="1">
        <v>2021.0</v>
      </c>
      <c r="I1457" s="1" t="s">
        <v>506</v>
      </c>
      <c r="J1457" s="1" t="s">
        <v>51</v>
      </c>
      <c r="K1457" s="1" t="s">
        <v>736</v>
      </c>
      <c r="L1457" s="1" t="s">
        <v>8553</v>
      </c>
      <c r="M1457" s="2" t="s">
        <v>12</v>
      </c>
      <c r="N1457" s="4">
        <f t="shared" si="1"/>
        <v>44197</v>
      </c>
      <c r="O1457" s="5" t="str">
        <f>IFERROR(__xludf.DUMMYFUNCTION("IF(REGEXMATCH(TRIM(I1457), ""^\d+\s*min""), ""Unclassified"", IF(I1457 = """", ""NR"", I1457))"),"TV-G")</f>
        <v>TV-G</v>
      </c>
      <c r="R1457" s="5" t="str">
        <f t="shared" si="2"/>
        <v>Headspace Guide To Meditation</v>
      </c>
      <c r="S1457" s="5" t="str">
        <f>IFERROR(__xludf.DUMMYFUNCTION("""COMPUTED_VALUE"""),"Chernobyl Diaries")</f>
        <v>Chernobyl Diaries</v>
      </c>
      <c r="U1457" s="5" t="str">
        <f>IFERROR(__xludf.DUMMYFUNCTION("""COMPUTED_VALUE"""),"Craig Freimond")</f>
        <v>Craig Freimond</v>
      </c>
      <c r="V1457" s="5" t="s">
        <v>8554</v>
      </c>
      <c r="W1457" s="5" t="str">
        <f t="shared" si="3"/>
        <v>Go Koga</v>
      </c>
      <c r="X1457" s="5">
        <f t="shared" si="4"/>
        <v>1</v>
      </c>
      <c r="Y1457" s="5" t="str">
        <f>IFERROR(__xludf.DUMMYFUNCTION("REGEXEXTRACT(J1457, ""^\d+"")"),"1")</f>
        <v>1</v>
      </c>
      <c r="Z1457" s="5" t="str">
        <f>IFERROR(__xludf.DUMMYFUNCTION("REGEXEXTRACT(J1457, ""[A-Za-z ]+$"")")," Season")</f>
        <v> Season</v>
      </c>
      <c r="AA1457" s="5" t="str">
        <f>IFERROR(__xludf.DUMMYFUNCTION("IF(REGEXMATCH(Z1457, ""Season""), ""TV Show"", ""Movie"")"),"TV Show")</f>
        <v>TV Show</v>
      </c>
    </row>
    <row r="1458">
      <c r="A1458" s="1" t="s">
        <v>8555</v>
      </c>
      <c r="B1458" s="1" t="s">
        <v>27</v>
      </c>
      <c r="C1458" s="1" t="s">
        <v>8556</v>
      </c>
      <c r="D1458" s="1" t="s">
        <v>8557</v>
      </c>
      <c r="E1458" s="1" t="s">
        <v>8558</v>
      </c>
      <c r="F1458" s="1" t="s">
        <v>30</v>
      </c>
      <c r="G1458" s="1" t="s">
        <v>8506</v>
      </c>
      <c r="H1458" s="1">
        <v>2007.0</v>
      </c>
      <c r="I1458" s="1" t="s">
        <v>378</v>
      </c>
      <c r="J1458" s="1" t="s">
        <v>2216</v>
      </c>
      <c r="K1458" s="1" t="s">
        <v>8559</v>
      </c>
      <c r="L1458" s="1" t="s">
        <v>8560</v>
      </c>
      <c r="M1458" s="2" t="s">
        <v>12</v>
      </c>
      <c r="N1458" s="4">
        <f t="shared" si="1"/>
        <v>44197</v>
      </c>
      <c r="O1458" s="5" t="str">
        <f>IFERROR(__xludf.DUMMYFUNCTION("IF(REGEXMATCH(TRIM(I1458), ""^\d+\s*min""), ""Unclassified"", IF(I1458 = """", ""NR"", I1458))"),"R")</f>
        <v>R</v>
      </c>
      <c r="R1458" s="5" t="str">
        <f t="shared" si="2"/>
        <v>Into The Wild</v>
      </c>
      <c r="S1458" s="5" t="str">
        <f>IFERROR(__xludf.DUMMYFUNCTION("""COMPUTED_VALUE"""),"Cheuk Wan-Chi: Two Night Stand")</f>
        <v>Cheuk Wan-Chi: Two Night Stand</v>
      </c>
      <c r="U1458" s="5" t="str">
        <f>IFERROR(__xludf.DUMMYFUNCTION("""COMPUTED_VALUE"""),"Shirish Kunder")</f>
        <v>Shirish Kunder</v>
      </c>
      <c r="V1458" s="5" t="s">
        <v>8561</v>
      </c>
      <c r="W1458" s="5" t="str">
        <f t="shared" si="3"/>
        <v>Gonzalo Bendala</v>
      </c>
      <c r="X1458" s="5">
        <f t="shared" si="4"/>
        <v>1</v>
      </c>
      <c r="Y1458" s="5" t="str">
        <f>IFERROR(__xludf.DUMMYFUNCTION("REGEXEXTRACT(J1458, ""^\d+"")"),"148")</f>
        <v>148</v>
      </c>
      <c r="Z1458" s="5" t="str">
        <f>IFERROR(__xludf.DUMMYFUNCTION("REGEXEXTRACT(J1458, ""[A-Za-z ]+$"")")," min")</f>
        <v> min</v>
      </c>
      <c r="AA1458" s="5" t="str">
        <f>IFERROR(__xludf.DUMMYFUNCTION("IF(REGEXMATCH(Z1458, ""Season""), ""TV Show"", ""Movie"")"),"Movie")</f>
        <v>Movie</v>
      </c>
    </row>
    <row r="1459">
      <c r="A1459" s="1" t="s">
        <v>8562</v>
      </c>
      <c r="B1459" s="1" t="s">
        <v>37</v>
      </c>
      <c r="C1459" s="1" t="s">
        <v>8563</v>
      </c>
      <c r="E1459" s="1" t="s">
        <v>8564</v>
      </c>
      <c r="F1459" s="1" t="s">
        <v>30</v>
      </c>
      <c r="G1459" s="1" t="s">
        <v>8506</v>
      </c>
      <c r="H1459" s="1">
        <v>2017.0</v>
      </c>
      <c r="I1459" s="1" t="s">
        <v>42</v>
      </c>
      <c r="J1459" s="1" t="s">
        <v>51</v>
      </c>
      <c r="K1459" s="1" t="s">
        <v>8565</v>
      </c>
      <c r="L1459" s="1" t="s">
        <v>8566</v>
      </c>
      <c r="M1459" s="2" t="s">
        <v>12</v>
      </c>
      <c r="N1459" s="4">
        <f t="shared" si="1"/>
        <v>44197</v>
      </c>
      <c r="O1459" s="5" t="str">
        <f>IFERROR(__xludf.DUMMYFUNCTION("IF(REGEXMATCH(TRIM(I1459), ""^\d+\s*min""), ""Unclassified"", IF(I1459 = """", ""NR"", I1459))"),"TV-MA")</f>
        <v>TV-MA</v>
      </c>
      <c r="R1459" s="5" t="str">
        <f t="shared" si="2"/>
        <v>Jenni Rivera: Mariposa De Barrio</v>
      </c>
      <c r="S1459" s="5" t="str">
        <f>IFERROR(__xludf.DUMMYFUNCTION("""COMPUTED_VALUE"""),"Chewin' The Fat")</f>
        <v>Chewin' The Fat</v>
      </c>
      <c r="U1459" s="5" t="str">
        <f>IFERROR(__xludf.DUMMYFUNCTION("""COMPUTED_VALUE"""),"Mysskin")</f>
        <v>Mysskin</v>
      </c>
      <c r="V1459" s="5" t="s">
        <v>8567</v>
      </c>
      <c r="W1459" s="5" t="str">
        <f t="shared" si="3"/>
        <v>Gonzalo López-Gallego</v>
      </c>
      <c r="X1459" s="5">
        <f t="shared" si="4"/>
        <v>3</v>
      </c>
      <c r="Y1459" s="5" t="str">
        <f>IFERROR(__xludf.DUMMYFUNCTION("REGEXEXTRACT(J1459, ""^\d+"")"),"1")</f>
        <v>1</v>
      </c>
      <c r="Z1459" s="5" t="str">
        <f>IFERROR(__xludf.DUMMYFUNCTION("REGEXEXTRACT(J1459, ""[A-Za-z ]+$"")")," Season")</f>
        <v> Season</v>
      </c>
      <c r="AA1459" s="5" t="str">
        <f>IFERROR(__xludf.DUMMYFUNCTION("IF(REGEXMATCH(Z1459, ""Season""), ""TV Show"", ""Movie"")"),"TV Show")</f>
        <v>TV Show</v>
      </c>
    </row>
    <row r="1460">
      <c r="A1460" s="1" t="s">
        <v>8568</v>
      </c>
      <c r="B1460" s="1" t="s">
        <v>27</v>
      </c>
      <c r="C1460" s="1" t="s">
        <v>8569</v>
      </c>
      <c r="D1460" s="1" t="s">
        <v>8570</v>
      </c>
      <c r="E1460" s="1" t="s">
        <v>8571</v>
      </c>
      <c r="F1460" s="1" t="s">
        <v>96</v>
      </c>
      <c r="G1460" s="1" t="s">
        <v>8506</v>
      </c>
      <c r="H1460" s="1">
        <v>2017.0</v>
      </c>
      <c r="I1460" s="1" t="s">
        <v>378</v>
      </c>
      <c r="J1460" s="1" t="s">
        <v>322</v>
      </c>
      <c r="K1460" s="1" t="s">
        <v>380</v>
      </c>
      <c r="L1460" s="1" t="s">
        <v>8572</v>
      </c>
      <c r="M1460" s="2" t="s">
        <v>12</v>
      </c>
      <c r="N1460" s="4">
        <f t="shared" si="1"/>
        <v>44197</v>
      </c>
      <c r="O1460" s="5" t="str">
        <f>IFERROR(__xludf.DUMMYFUNCTION("IF(REGEXMATCH(TRIM(I1460), ""^\d+\s*min""), ""Unclassified"", IF(I1460 = """", ""NR"", I1460))"),"R")</f>
        <v>R</v>
      </c>
      <c r="R1460" s="5" t="str">
        <f t="shared" si="2"/>
        <v>London Heist</v>
      </c>
      <c r="S1460" s="5" t="str">
        <f>IFERROR(__xludf.DUMMYFUNCTION("""COMPUTED_VALUE"""),"Chewing Gum")</f>
        <v>Chewing Gum</v>
      </c>
      <c r="U1460" s="5" t="str">
        <f>IFERROR(__xludf.DUMMYFUNCTION("""COMPUTED_VALUE"""),"Alice Wu")</f>
        <v>Alice Wu</v>
      </c>
      <c r="V1460" s="5" t="s">
        <v>8573</v>
      </c>
      <c r="W1460" s="5" t="str">
        <f t="shared" si="3"/>
        <v>Gordon Anderson</v>
      </c>
      <c r="X1460" s="5">
        <f t="shared" si="4"/>
        <v>1</v>
      </c>
      <c r="Y1460" s="5" t="str">
        <f>IFERROR(__xludf.DUMMYFUNCTION("REGEXEXTRACT(J1460, ""^\d+"")"),"96")</f>
        <v>96</v>
      </c>
      <c r="Z1460" s="5" t="str">
        <f>IFERROR(__xludf.DUMMYFUNCTION("REGEXEXTRACT(J1460, ""[A-Za-z ]+$"")")," min")</f>
        <v> min</v>
      </c>
      <c r="AA1460" s="5" t="str">
        <f>IFERROR(__xludf.DUMMYFUNCTION("IF(REGEXMATCH(Z1460, ""Season""), ""TV Show"", ""Movie"")"),"Movie")</f>
        <v>Movie</v>
      </c>
    </row>
    <row r="1461">
      <c r="A1461" s="1" t="s">
        <v>8574</v>
      </c>
      <c r="B1461" s="1" t="s">
        <v>27</v>
      </c>
      <c r="C1461" s="1" t="s">
        <v>8575</v>
      </c>
      <c r="D1461" s="1" t="s">
        <v>8576</v>
      </c>
      <c r="E1461" s="1" t="s">
        <v>8577</v>
      </c>
      <c r="F1461" s="1" t="s">
        <v>30</v>
      </c>
      <c r="G1461" s="1" t="s">
        <v>8506</v>
      </c>
      <c r="H1461" s="1">
        <v>2011.0</v>
      </c>
      <c r="I1461" s="1" t="s">
        <v>32</v>
      </c>
      <c r="J1461" s="1" t="s">
        <v>357</v>
      </c>
      <c r="K1461" s="1" t="s">
        <v>239</v>
      </c>
      <c r="L1461" s="1" t="s">
        <v>8578</v>
      </c>
      <c r="M1461" s="2" t="s">
        <v>12</v>
      </c>
      <c r="N1461" s="4">
        <f t="shared" si="1"/>
        <v>44197</v>
      </c>
      <c r="O1461" s="5" t="str">
        <f>IFERROR(__xludf.DUMMYFUNCTION("IF(REGEXMATCH(TRIM(I1461), ""^\d+\s*min""), ""Unclassified"", IF(I1461 = """", ""NR"", I1461))"),"PG-13")</f>
        <v>PG-13</v>
      </c>
      <c r="R1461" s="5" t="str">
        <f t="shared" si="2"/>
        <v>Mean Girls 2</v>
      </c>
      <c r="S1461" s="5" t="str">
        <f>IFERROR(__xludf.DUMMYFUNCTION("""COMPUTED_VALUE"""),"Chhota Bheem")</f>
        <v>Chhota Bheem</v>
      </c>
      <c r="U1461" s="5" t="str">
        <f>IFERROR(__xludf.DUMMYFUNCTION("""COMPUTED_VALUE"""),"Joey So")</f>
        <v>Joey So</v>
      </c>
      <c r="V1461" s="5" t="s">
        <v>8579</v>
      </c>
      <c r="W1461" s="5" t="str">
        <f t="shared" si="3"/>
        <v>Gordon Chan</v>
      </c>
      <c r="X1461" s="5">
        <f t="shared" si="4"/>
        <v>1</v>
      </c>
      <c r="Y1461" s="5" t="str">
        <f>IFERROR(__xludf.DUMMYFUNCTION("REGEXEXTRACT(J1461, ""^\d+"")"),"98")</f>
        <v>98</v>
      </c>
      <c r="Z1461" s="5" t="str">
        <f>IFERROR(__xludf.DUMMYFUNCTION("REGEXEXTRACT(J1461, ""[A-Za-z ]+$"")")," min")</f>
        <v> min</v>
      </c>
      <c r="AA1461" s="5" t="str">
        <f>IFERROR(__xludf.DUMMYFUNCTION("IF(REGEXMATCH(Z1461, ""Season""), ""TV Show"", ""Movie"")"),"Movie")</f>
        <v>Movie</v>
      </c>
    </row>
    <row r="1462">
      <c r="A1462" s="1" t="s">
        <v>8580</v>
      </c>
      <c r="B1462" s="1" t="s">
        <v>37</v>
      </c>
      <c r="C1462" s="1" t="s">
        <v>8581</v>
      </c>
      <c r="E1462" s="1" t="s">
        <v>8582</v>
      </c>
      <c r="F1462" s="1" t="s">
        <v>162</v>
      </c>
      <c r="G1462" s="1" t="s">
        <v>8506</v>
      </c>
      <c r="H1462" s="1">
        <v>2021.0</v>
      </c>
      <c r="I1462" s="1" t="s">
        <v>42</v>
      </c>
      <c r="J1462" s="1" t="s">
        <v>43</v>
      </c>
      <c r="K1462" s="1" t="s">
        <v>1339</v>
      </c>
      <c r="L1462" s="1" t="s">
        <v>8583</v>
      </c>
      <c r="M1462" s="2" t="s">
        <v>12</v>
      </c>
      <c r="N1462" s="4">
        <f t="shared" si="1"/>
        <v>44197</v>
      </c>
      <c r="O1462" s="5" t="str">
        <f>IFERROR(__xludf.DUMMYFUNCTION("IF(REGEXMATCH(TRIM(I1462), ""^\d+\s*min""), ""Unclassified"", IF(I1462 = """", ""NR"", I1462))"),"TV-MA")</f>
        <v>TV-MA</v>
      </c>
      <c r="R1462" s="5" t="str">
        <f t="shared" si="2"/>
        <v>Monarca</v>
      </c>
      <c r="S1462" s="5" t="str">
        <f>IFERROR(__xludf.DUMMYFUNCTION("""COMPUTED_VALUE"""),"Chhota Bheem - Dinosaur World")</f>
        <v>Chhota Bheem - Dinosaur World</v>
      </c>
      <c r="U1462" s="5" t="str">
        <f>IFERROR(__xludf.DUMMYFUNCTION("""COMPUTED_VALUE"""),"Dennie Gordon")</f>
        <v>Dennie Gordon</v>
      </c>
      <c r="V1462" s="5" t="s">
        <v>8584</v>
      </c>
      <c r="W1462" s="5" t="str">
        <f t="shared" si="3"/>
        <v>Gordon Parks</v>
      </c>
      <c r="X1462" s="5">
        <f t="shared" si="4"/>
        <v>1</v>
      </c>
      <c r="Y1462" s="5" t="str">
        <f>IFERROR(__xludf.DUMMYFUNCTION("REGEXEXTRACT(J1462, ""^\d+"")"),"2")</f>
        <v>2</v>
      </c>
      <c r="Z1462" s="5" t="str">
        <f>IFERROR(__xludf.DUMMYFUNCTION("REGEXEXTRACT(J1462, ""[A-Za-z ]+$"")")," Seasons")</f>
        <v> Seasons</v>
      </c>
      <c r="AA1462" s="5" t="str">
        <f>IFERROR(__xludf.DUMMYFUNCTION("IF(REGEXMATCH(Z1462, ""Season""), ""TV Show"", ""Movie"")"),"TV Show")</f>
        <v>TV Show</v>
      </c>
    </row>
    <row r="1463">
      <c r="A1463" s="1" t="s">
        <v>8585</v>
      </c>
      <c r="B1463" s="1" t="s">
        <v>27</v>
      </c>
      <c r="C1463" s="1" t="s">
        <v>8586</v>
      </c>
      <c r="D1463" s="1" t="s">
        <v>6626</v>
      </c>
      <c r="E1463" s="1" t="s">
        <v>8587</v>
      </c>
      <c r="F1463" s="1" t="s">
        <v>30</v>
      </c>
      <c r="G1463" s="1" t="s">
        <v>8506</v>
      </c>
      <c r="H1463" s="1">
        <v>1988.0</v>
      </c>
      <c r="I1463" s="1" t="s">
        <v>378</v>
      </c>
      <c r="J1463" s="1" t="s">
        <v>106</v>
      </c>
      <c r="K1463" s="1" t="s">
        <v>836</v>
      </c>
      <c r="L1463" s="1" t="s">
        <v>8588</v>
      </c>
      <c r="M1463" s="2" t="s">
        <v>12</v>
      </c>
      <c r="N1463" s="4">
        <f t="shared" si="1"/>
        <v>44197</v>
      </c>
      <c r="O1463" s="5" t="str">
        <f>IFERROR(__xludf.DUMMYFUNCTION("IF(REGEXMATCH(TRIM(I1463), ""^\d+\s*min""), ""Unclassified"", IF(I1463 = """", ""NR"", I1463))"),"R")</f>
        <v>R</v>
      </c>
      <c r="R1463" s="5" t="str">
        <f t="shared" si="2"/>
        <v>Mystic Pizza</v>
      </c>
      <c r="S1463" s="5" t="str">
        <f>IFERROR(__xludf.DUMMYFUNCTION("""COMPUTED_VALUE"""),"Chhota Bheem - Neeli Pahaadi")</f>
        <v>Chhota Bheem - Neeli Pahaadi</v>
      </c>
      <c r="U1463" s="5" t="str">
        <f>IFERROR(__xludf.DUMMYFUNCTION("""COMPUTED_VALUE"""),"Michael M. Scott")</f>
        <v>Michael M. Scott</v>
      </c>
      <c r="V1463" s="5" t="s">
        <v>8589</v>
      </c>
      <c r="W1463" s="5" t="str">
        <f t="shared" si="3"/>
        <v>Gore Verbinski</v>
      </c>
      <c r="X1463" s="5">
        <f t="shared" si="4"/>
        <v>2</v>
      </c>
      <c r="Y1463" s="5" t="str">
        <f>IFERROR(__xludf.DUMMYFUNCTION("REGEXEXTRACT(J1463, ""^\d+"")"),"104")</f>
        <v>104</v>
      </c>
      <c r="Z1463" s="5" t="str">
        <f>IFERROR(__xludf.DUMMYFUNCTION("REGEXEXTRACT(J1463, ""[A-Za-z ]+$"")")," min")</f>
        <v> min</v>
      </c>
      <c r="AA1463" s="5" t="str">
        <f>IFERROR(__xludf.DUMMYFUNCTION("IF(REGEXMATCH(Z1463, ""Season""), ""TV Show"", ""Movie"")"),"Movie")</f>
        <v>Movie</v>
      </c>
    </row>
    <row r="1464">
      <c r="A1464" s="1" t="s">
        <v>8590</v>
      </c>
      <c r="B1464" s="1" t="s">
        <v>37</v>
      </c>
      <c r="C1464" s="1" t="s">
        <v>8591</v>
      </c>
      <c r="E1464" s="1" t="s">
        <v>8592</v>
      </c>
      <c r="G1464" s="1" t="s">
        <v>8506</v>
      </c>
      <c r="H1464" s="1">
        <v>2020.0</v>
      </c>
      <c r="I1464" s="1" t="s">
        <v>289</v>
      </c>
      <c r="J1464" s="1" t="s">
        <v>51</v>
      </c>
      <c r="K1464" s="1" t="s">
        <v>314</v>
      </c>
      <c r="L1464" s="1" t="s">
        <v>8593</v>
      </c>
      <c r="M1464" s="2" t="s">
        <v>12</v>
      </c>
      <c r="N1464" s="4">
        <f t="shared" si="1"/>
        <v>44197</v>
      </c>
      <c r="O1464" s="5" t="str">
        <f>IFERROR(__xludf.DUMMYFUNCTION("IF(REGEXMATCH(TRIM(I1464), ""^\d+\s*min""), ""Unclassified"", IF(I1464 = """", ""NR"", I1464))"),"TV-Y7")</f>
        <v>TV-Y7</v>
      </c>
      <c r="R1464" s="5" t="str">
        <f t="shared" si="2"/>
        <v>Running Man</v>
      </c>
      <c r="S1464" s="5" t="str">
        <f>IFERROR(__xludf.DUMMYFUNCTION("""COMPUTED_VALUE"""),"Chhota Bheem &amp; Ganesh")</f>
        <v>Chhota Bheem &amp; Ganesh</v>
      </c>
      <c r="U1464" s="5" t="str">
        <f>IFERROR(__xludf.DUMMYFUNCTION("""COMPUTED_VALUE"""),"Sion Sono")</f>
        <v>Sion Sono</v>
      </c>
      <c r="V1464" s="5" t="s">
        <v>8594</v>
      </c>
      <c r="W1464" s="5" t="str">
        <f t="shared" si="3"/>
        <v>Graham Phillips, Parker Phillips</v>
      </c>
      <c r="X1464" s="5">
        <f t="shared" si="4"/>
        <v>1</v>
      </c>
      <c r="Y1464" s="5" t="str">
        <f>IFERROR(__xludf.DUMMYFUNCTION("REGEXEXTRACT(J1464, ""^\d+"")"),"1")</f>
        <v>1</v>
      </c>
      <c r="Z1464" s="5" t="str">
        <f>IFERROR(__xludf.DUMMYFUNCTION("REGEXEXTRACT(J1464, ""[A-Za-z ]+$"")")," Season")</f>
        <v> Season</v>
      </c>
      <c r="AA1464" s="5" t="str">
        <f>IFERROR(__xludf.DUMMYFUNCTION("IF(REGEXMATCH(Z1464, ""Season""), ""TV Show"", ""Movie"")"),"TV Show")</f>
        <v>TV Show</v>
      </c>
    </row>
    <row r="1465">
      <c r="A1465" s="1" t="s">
        <v>8595</v>
      </c>
      <c r="B1465" s="1" t="s">
        <v>37</v>
      </c>
      <c r="C1465" s="1" t="s">
        <v>8596</v>
      </c>
      <c r="D1465" s="1" t="s">
        <v>8597</v>
      </c>
      <c r="E1465" s="1" t="s">
        <v>8598</v>
      </c>
      <c r="F1465" s="1" t="s">
        <v>8599</v>
      </c>
      <c r="G1465" s="1" t="s">
        <v>8506</v>
      </c>
      <c r="H1465" s="1">
        <v>2014.0</v>
      </c>
      <c r="I1465" s="1" t="s">
        <v>206</v>
      </c>
      <c r="J1465" s="1" t="s">
        <v>51</v>
      </c>
      <c r="K1465" s="1" t="s">
        <v>290</v>
      </c>
      <c r="L1465" s="1" t="s">
        <v>8600</v>
      </c>
      <c r="M1465" s="2" t="s">
        <v>12</v>
      </c>
      <c r="N1465" s="4">
        <f t="shared" si="1"/>
        <v>44197</v>
      </c>
      <c r="O1465" s="5" t="str">
        <f>IFERROR(__xludf.DUMMYFUNCTION("IF(REGEXMATCH(TRIM(I1465), ""^\d+\s*min""), ""Unclassified"", IF(I1465 = """", ""NR"", I1465))"),"TV-Y")</f>
        <v>TV-Y</v>
      </c>
      <c r="R1465" s="5" t="str">
        <f t="shared" si="2"/>
        <v>The Cat In The Hat Knows A Lot About That!</v>
      </c>
      <c r="S1465" s="5" t="str">
        <f>IFERROR(__xludf.DUMMYFUNCTION("""COMPUTED_VALUE"""),"Chhota Bheem &amp; Krishna: Mayanagari")</f>
        <v>Chhota Bheem &amp; Krishna: Mayanagari</v>
      </c>
      <c r="U1465" s="5" t="str">
        <f>IFERROR(__xludf.DUMMYFUNCTION("""COMPUTED_VALUE"""),"David Chuang, Chen Kuan-Chung")</f>
        <v>David Chuang, Chen Kuan-Chung</v>
      </c>
      <c r="V1465" s="5" t="s">
        <v>8601</v>
      </c>
      <c r="W1465" s="5" t="str">
        <f t="shared" si="3"/>
        <v>Graham Townsley</v>
      </c>
      <c r="X1465" s="5">
        <f t="shared" si="4"/>
        <v>1</v>
      </c>
      <c r="Y1465" s="5" t="str">
        <f>IFERROR(__xludf.DUMMYFUNCTION("REGEXEXTRACT(J1465, ""^\d+"")"),"1")</f>
        <v>1</v>
      </c>
      <c r="Z1465" s="5" t="str">
        <f>IFERROR(__xludf.DUMMYFUNCTION("REGEXEXTRACT(J1465, ""[A-Za-z ]+$"")")," Season")</f>
        <v> Season</v>
      </c>
      <c r="AA1465" s="5" t="str">
        <f>IFERROR(__xludf.DUMMYFUNCTION("IF(REGEXMATCH(Z1465, ""Season""), ""TV Show"", ""Movie"")"),"TV Show")</f>
        <v>TV Show</v>
      </c>
    </row>
    <row r="1466">
      <c r="A1466" s="1" t="s">
        <v>8602</v>
      </c>
      <c r="B1466" s="1" t="s">
        <v>27</v>
      </c>
      <c r="C1466" s="1" t="s">
        <v>8603</v>
      </c>
      <c r="D1466" s="1" t="s">
        <v>8604</v>
      </c>
      <c r="E1466" s="1" t="s">
        <v>8605</v>
      </c>
      <c r="F1466" s="1" t="s">
        <v>30</v>
      </c>
      <c r="G1466" s="1" t="s">
        <v>8506</v>
      </c>
      <c r="H1466" s="1">
        <v>2019.0</v>
      </c>
      <c r="I1466" s="1" t="s">
        <v>97</v>
      </c>
      <c r="J1466" s="1" t="s">
        <v>8606</v>
      </c>
      <c r="K1466" s="1" t="s">
        <v>34</v>
      </c>
      <c r="L1466" s="1" t="s">
        <v>8607</v>
      </c>
      <c r="M1466" s="2" t="s">
        <v>12</v>
      </c>
      <c r="N1466" s="4">
        <f t="shared" si="1"/>
        <v>44197</v>
      </c>
      <c r="O1466" s="5" t="str">
        <f>IFERROR(__xludf.DUMMYFUNCTION("IF(REGEXMATCH(TRIM(I1466), ""^\d+\s*min""), ""Unclassified"", IF(I1466 = """", ""NR"", I1466))"),"TV-14")</f>
        <v>TV-14</v>
      </c>
      <c r="R1466" s="5" t="str">
        <f t="shared" si="2"/>
        <v>The Creative Brain</v>
      </c>
      <c r="S1466" s="5" t="str">
        <f>IFERROR(__xludf.DUMMYFUNCTION("""COMPUTED_VALUE"""),"Chhota Bheem &amp; Krishna: Pataliputra- City Of The Dead")</f>
        <v>Chhota Bheem &amp; Krishna: Pataliputra- City Of The Dead</v>
      </c>
      <c r="U1466" s="5" t="str">
        <f>IFERROR(__xludf.DUMMYFUNCTION("""COMPUTED_VALUE"""),"Chris Bolan")</f>
        <v>Chris Bolan</v>
      </c>
      <c r="V1466" s="5" t="s">
        <v>8608</v>
      </c>
      <c r="W1466" s="5" t="str">
        <f t="shared" si="3"/>
        <v>Grand Corps Malade, Mehdi Idir</v>
      </c>
      <c r="X1466" s="5">
        <f t="shared" si="4"/>
        <v>1</v>
      </c>
      <c r="Y1466" s="5" t="str">
        <f>IFERROR(__xludf.DUMMYFUNCTION("REGEXEXTRACT(J1466, ""^\d+"")"),"53")</f>
        <v>53</v>
      </c>
      <c r="Z1466" s="5" t="str">
        <f>IFERROR(__xludf.DUMMYFUNCTION("REGEXEXTRACT(J1466, ""[A-Za-z ]+$"")")," min")</f>
        <v> min</v>
      </c>
      <c r="AA1466" s="5" t="str">
        <f>IFERROR(__xludf.DUMMYFUNCTION("IF(REGEXMATCH(Z1466, ""Season""), ""TV Show"", ""Movie"")"),"Movie")</f>
        <v>Movie</v>
      </c>
    </row>
    <row r="1467">
      <c r="A1467" s="1" t="s">
        <v>8609</v>
      </c>
      <c r="B1467" s="1" t="s">
        <v>37</v>
      </c>
      <c r="C1467" s="1" t="s">
        <v>8610</v>
      </c>
      <c r="E1467" s="1" t="s">
        <v>8611</v>
      </c>
      <c r="F1467" s="1" t="s">
        <v>30</v>
      </c>
      <c r="G1467" s="1" t="s">
        <v>8506</v>
      </c>
      <c r="H1467" s="1">
        <v>2013.0</v>
      </c>
      <c r="I1467" s="1" t="s">
        <v>506</v>
      </c>
      <c r="J1467" s="1" t="s">
        <v>43</v>
      </c>
      <c r="K1467" s="1" t="s">
        <v>706</v>
      </c>
      <c r="L1467" s="1" t="s">
        <v>8612</v>
      </c>
      <c r="M1467" s="2" t="s">
        <v>12</v>
      </c>
      <c r="N1467" s="4">
        <f t="shared" si="1"/>
        <v>44197</v>
      </c>
      <c r="O1467" s="5" t="str">
        <f>IFERROR(__xludf.DUMMYFUNCTION("IF(REGEXMATCH(TRIM(I1467), ""^\d+\s*min""), ""Unclassified"", IF(I1467 = """", ""NR"", I1467))"),"TV-G")</f>
        <v>TV-G</v>
      </c>
      <c r="R1467" s="5" t="str">
        <f t="shared" si="2"/>
        <v>The Haunted Hathaways</v>
      </c>
      <c r="S1467" s="5" t="str">
        <f>IFERROR(__xludf.DUMMYFUNCTION("""COMPUTED_VALUE"""),"Chhota Bheem And The Broken Amulet")</f>
        <v>Chhota Bheem And The Broken Amulet</v>
      </c>
      <c r="U1467" s="5" t="str">
        <f>IFERROR(__xludf.DUMMYFUNCTION("""COMPUTED_VALUE"""),"Omoni Oboli")</f>
        <v>Omoni Oboli</v>
      </c>
      <c r="V1467" s="5" t="s">
        <v>8613</v>
      </c>
      <c r="W1467" s="5" t="str">
        <f t="shared" si="3"/>
        <v>Grant Heslov</v>
      </c>
      <c r="X1467" s="5">
        <f t="shared" si="4"/>
        <v>1</v>
      </c>
      <c r="Y1467" s="5" t="str">
        <f>IFERROR(__xludf.DUMMYFUNCTION("REGEXEXTRACT(J1467, ""^\d+"")"),"2")</f>
        <v>2</v>
      </c>
      <c r="Z1467" s="5" t="str">
        <f>IFERROR(__xludf.DUMMYFUNCTION("REGEXEXTRACT(J1467, ""[A-Za-z ]+$"")")," Seasons")</f>
        <v> Seasons</v>
      </c>
      <c r="AA1467" s="5" t="str">
        <f>IFERROR(__xludf.DUMMYFUNCTION("IF(REGEXMATCH(Z1467, ""Season""), ""TV Show"", ""Movie"")"),"TV Show")</f>
        <v>TV Show</v>
      </c>
    </row>
    <row r="1468">
      <c r="A1468" s="1" t="s">
        <v>8614</v>
      </c>
      <c r="B1468" s="1" t="s">
        <v>27</v>
      </c>
      <c r="C1468" s="1" t="s">
        <v>8615</v>
      </c>
      <c r="F1468" s="1" t="s">
        <v>30</v>
      </c>
      <c r="G1468" s="1" t="s">
        <v>8506</v>
      </c>
      <c r="H1468" s="1">
        <v>2021.0</v>
      </c>
      <c r="I1468" s="1" t="s">
        <v>97</v>
      </c>
      <c r="J1468" s="1" t="s">
        <v>5941</v>
      </c>
      <c r="K1468" s="1" t="s">
        <v>34</v>
      </c>
      <c r="L1468" s="1" t="s">
        <v>8616</v>
      </c>
      <c r="M1468" s="2" t="s">
        <v>12</v>
      </c>
      <c r="N1468" s="4">
        <f t="shared" si="1"/>
        <v>44197</v>
      </c>
      <c r="O1468" s="5" t="str">
        <f>IFERROR(__xludf.DUMMYFUNCTION("IF(REGEXMATCH(TRIM(I1468), ""^\d+\s*min""), ""Unclassified"", IF(I1468 = """", ""NR"", I1468))"),"TV-14")</f>
        <v>TV-14</v>
      </c>
      <c r="R1468" s="5" t="str">
        <f t="shared" si="2"/>
        <v>The Minimalists: Less Is Now</v>
      </c>
      <c r="S1468" s="5" t="str">
        <f>IFERROR(__xludf.DUMMYFUNCTION("""COMPUTED_VALUE"""),"Chhota Bheem And The Crown Of Valhalla")</f>
        <v>Chhota Bheem And The Crown Of Valhalla</v>
      </c>
      <c r="U1468" s="5" t="str">
        <f>IFERROR(__xludf.DUMMYFUNCTION("""COMPUTED_VALUE"""),"Saravana Rajan")</f>
        <v>Saravana Rajan</v>
      </c>
      <c r="V1468" s="5" t="s">
        <v>8617</v>
      </c>
      <c r="W1468" s="5" t="str">
        <f t="shared" si="3"/>
        <v>Grant Korgan, Brian Niles</v>
      </c>
      <c r="X1468" s="5">
        <f t="shared" si="4"/>
        <v>1</v>
      </c>
      <c r="Y1468" s="5" t="str">
        <f>IFERROR(__xludf.DUMMYFUNCTION("REGEXEXTRACT(J1468, ""^\d+"")"),"54")</f>
        <v>54</v>
      </c>
      <c r="Z1468" s="5" t="str">
        <f>IFERROR(__xludf.DUMMYFUNCTION("REGEXEXTRACT(J1468, ""[A-Za-z ]+$"")")," min")</f>
        <v> min</v>
      </c>
      <c r="AA1468" s="5" t="str">
        <f>IFERROR(__xludf.DUMMYFUNCTION("IF(REGEXMATCH(Z1468, ""Season""), ""TV Show"", ""Movie"")"),"Movie")</f>
        <v>Movie</v>
      </c>
    </row>
    <row r="1469">
      <c r="A1469" s="1" t="s">
        <v>8618</v>
      </c>
      <c r="B1469" s="1" t="s">
        <v>27</v>
      </c>
      <c r="C1469" s="1" t="s">
        <v>8619</v>
      </c>
      <c r="D1469" s="1" t="s">
        <v>8620</v>
      </c>
      <c r="E1469" s="1" t="s">
        <v>8621</v>
      </c>
      <c r="F1469" s="1" t="s">
        <v>8622</v>
      </c>
      <c r="G1469" s="1" t="s">
        <v>8506</v>
      </c>
      <c r="H1469" s="1">
        <v>2011.0</v>
      </c>
      <c r="I1469" s="1" t="s">
        <v>32</v>
      </c>
      <c r="J1469" s="1" t="s">
        <v>519</v>
      </c>
      <c r="K1469" s="1" t="s">
        <v>3531</v>
      </c>
      <c r="L1469" s="1" t="s">
        <v>8623</v>
      </c>
      <c r="M1469" s="2" t="s">
        <v>12</v>
      </c>
      <c r="N1469" s="4">
        <f t="shared" si="1"/>
        <v>44197</v>
      </c>
      <c r="O1469" s="5" t="str">
        <f>IFERROR(__xludf.DUMMYFUNCTION("IF(REGEXMATCH(TRIM(I1469), ""^\d+\s*min""), ""Unclassified"", IF(I1469 = """", ""NR"", I1469))"),"PG-13")</f>
        <v>PG-13</v>
      </c>
      <c r="R1469" s="5" t="str">
        <f t="shared" si="2"/>
        <v>Unknown</v>
      </c>
      <c r="S1469" s="5" t="str">
        <f>IFERROR(__xludf.DUMMYFUNCTION("""COMPUTED_VALUE"""),"Chhota Bheem And The Curse Of Damyaan")</f>
        <v>Chhota Bheem And The Curse Of Damyaan</v>
      </c>
      <c r="U1469" s="5" t="str">
        <f>IFERROR(__xludf.DUMMYFUNCTION("""COMPUTED_VALUE"""),"Muharrem Gülmez, Sırrı Süreyya Önder")</f>
        <v>Muharrem Gülmez, Sırrı Süreyya Önder</v>
      </c>
      <c r="V1469" s="5" t="s">
        <v>8624</v>
      </c>
      <c r="W1469" s="5" t="str">
        <f t="shared" si="3"/>
        <v>Grant S. Johnson, Ippsie Jones</v>
      </c>
      <c r="X1469" s="5">
        <f t="shared" si="4"/>
        <v>1</v>
      </c>
      <c r="Y1469" s="5" t="str">
        <f>IFERROR(__xludf.DUMMYFUNCTION("REGEXEXTRACT(J1469, ""^\d+"")"),"113")</f>
        <v>113</v>
      </c>
      <c r="Z1469" s="5" t="str">
        <f>IFERROR(__xludf.DUMMYFUNCTION("REGEXEXTRACT(J1469, ""[A-Za-z ]+$"")")," min")</f>
        <v> min</v>
      </c>
      <c r="AA1469" s="5" t="str">
        <f>IFERROR(__xludf.DUMMYFUNCTION("IF(REGEXMATCH(Z1469, ""Season""), ""TV Show"", ""Movie"")"),"Movie")</f>
        <v>Movie</v>
      </c>
    </row>
    <row r="1470">
      <c r="A1470" s="1" t="s">
        <v>8625</v>
      </c>
      <c r="B1470" s="1" t="s">
        <v>27</v>
      </c>
      <c r="C1470" s="1" t="s">
        <v>8626</v>
      </c>
      <c r="D1470" s="1" t="s">
        <v>8627</v>
      </c>
      <c r="E1470" s="1" t="s">
        <v>8628</v>
      </c>
      <c r="F1470" s="1" t="s">
        <v>749</v>
      </c>
      <c r="G1470" s="1" t="s">
        <v>8506</v>
      </c>
      <c r="H1470" s="1">
        <v>2021.0</v>
      </c>
      <c r="I1470" s="1" t="s">
        <v>42</v>
      </c>
      <c r="J1470" s="1" t="s">
        <v>447</v>
      </c>
      <c r="K1470" s="1" t="s">
        <v>199</v>
      </c>
      <c r="L1470" s="1" t="s">
        <v>8629</v>
      </c>
      <c r="M1470" s="2" t="s">
        <v>12</v>
      </c>
      <c r="N1470" s="4">
        <f t="shared" si="1"/>
        <v>44197</v>
      </c>
      <c r="O1470" s="5" t="str">
        <f>IFERROR(__xludf.DUMMYFUNCTION("IF(REGEXMATCH(TRIM(I1470), ""^\d+\s*min""), ""Unclassified"", IF(I1470 = """", ""NR"", I1470))"),"TV-MA")</f>
        <v>TV-MA</v>
      </c>
      <c r="R1470" s="5" t="str">
        <f t="shared" si="2"/>
        <v>What Happened To Mr. Cha?</v>
      </c>
      <c r="S1470" s="5" t="str">
        <f>IFERROR(__xludf.DUMMYFUNCTION("""COMPUTED_VALUE"""),"Chhota Bheem And The Incan Adventure")</f>
        <v>Chhota Bheem And The Incan Adventure</v>
      </c>
      <c r="U1470" s="5" t="str">
        <f>IFERROR(__xludf.DUMMYFUNCTION("""COMPUTED_VALUE"""),"Sermiyan Midyat")</f>
        <v>Sermiyan Midyat</v>
      </c>
      <c r="V1470" s="5" t="s">
        <v>8630</v>
      </c>
      <c r="W1470" s="5" t="str">
        <f t="shared" si="3"/>
        <v>Grant Singer</v>
      </c>
      <c r="X1470" s="5">
        <f t="shared" si="4"/>
        <v>1</v>
      </c>
      <c r="Y1470" s="5" t="str">
        <f>IFERROR(__xludf.DUMMYFUNCTION("REGEXEXTRACT(J1470, ""^\d+"")"),"102")</f>
        <v>102</v>
      </c>
      <c r="Z1470" s="5" t="str">
        <f>IFERROR(__xludf.DUMMYFUNCTION("REGEXEXTRACT(J1470, ""[A-Za-z ]+$"")")," min")</f>
        <v> min</v>
      </c>
      <c r="AA1470" s="5" t="str">
        <f>IFERROR(__xludf.DUMMYFUNCTION("IF(REGEXMATCH(Z1470, ""Season""), ""TV Show"", ""Movie"")"),"Movie")</f>
        <v>Movie</v>
      </c>
    </row>
    <row r="1471">
      <c r="A1471" s="1" t="s">
        <v>8631</v>
      </c>
      <c r="B1471" s="1" t="s">
        <v>27</v>
      </c>
      <c r="C1471" s="1" t="s">
        <v>8632</v>
      </c>
      <c r="D1471" s="1" t="s">
        <v>909</v>
      </c>
      <c r="E1471" s="1" t="s">
        <v>8633</v>
      </c>
      <c r="F1471" s="1" t="s">
        <v>30</v>
      </c>
      <c r="G1471" s="1" t="s">
        <v>8506</v>
      </c>
      <c r="H1471" s="1">
        <v>1993.0</v>
      </c>
      <c r="I1471" s="1" t="s">
        <v>32</v>
      </c>
      <c r="J1471" s="1" t="s">
        <v>870</v>
      </c>
      <c r="K1471" s="1" t="s">
        <v>1767</v>
      </c>
      <c r="L1471" s="1" t="s">
        <v>8634</v>
      </c>
      <c r="M1471" s="2" t="s">
        <v>12</v>
      </c>
      <c r="N1471" s="4">
        <f t="shared" si="1"/>
        <v>44197</v>
      </c>
      <c r="O1471" s="5" t="str">
        <f>IFERROR(__xludf.DUMMYFUNCTION("IF(REGEXMATCH(TRIM(I1471), ""^\d+\s*min""), ""Unclassified"", IF(I1471 = """", ""NR"", I1471))"),"PG-13")</f>
        <v>PG-13</v>
      </c>
      <c r="R1471" s="5" t="str">
        <f t="shared" si="2"/>
        <v>What'S Eating Gilbert Grape</v>
      </c>
      <c r="S1471" s="5" t="str">
        <f>IFERROR(__xludf.DUMMYFUNCTION("""COMPUTED_VALUE"""),"Chhota Bheem And The Shinobi Secret")</f>
        <v>Chhota Bheem And The Shinobi Secret</v>
      </c>
      <c r="U1471" s="5" t="str">
        <f>IFERROR(__xludf.DUMMYFUNCTION("""COMPUTED_VALUE"""),"Ahmed Yousry, Hazem Fouda")</f>
        <v>Ahmed Yousry, Hazem Fouda</v>
      </c>
      <c r="V1471" s="5" t="s">
        <v>8635</v>
      </c>
      <c r="W1471" s="5" t="str">
        <f t="shared" si="3"/>
        <v>Grant Sputore</v>
      </c>
      <c r="X1471" s="5">
        <f t="shared" si="4"/>
        <v>1</v>
      </c>
      <c r="Y1471" s="5" t="str">
        <f>IFERROR(__xludf.DUMMYFUNCTION("REGEXEXTRACT(J1471, ""^\d+"")"),"118")</f>
        <v>118</v>
      </c>
      <c r="Z1471" s="5" t="str">
        <f>IFERROR(__xludf.DUMMYFUNCTION("REGEXEXTRACT(J1471, ""[A-Za-z ]+$"")")," min")</f>
        <v> min</v>
      </c>
      <c r="AA1471" s="5" t="str">
        <f>IFERROR(__xludf.DUMMYFUNCTION("IF(REGEXMATCH(Z1471, ""Season""), ""TV Show"", ""Movie"")"),"Movie")</f>
        <v>Movie</v>
      </c>
    </row>
    <row r="1472">
      <c r="A1472" s="1" t="s">
        <v>8636</v>
      </c>
      <c r="B1472" s="1" t="s">
        <v>27</v>
      </c>
      <c r="C1472" s="1" t="s">
        <v>8637</v>
      </c>
      <c r="D1472" s="1" t="s">
        <v>8638</v>
      </c>
      <c r="E1472" s="1" t="s">
        <v>8639</v>
      </c>
      <c r="F1472" s="1" t="s">
        <v>30</v>
      </c>
      <c r="G1472" s="1" t="s">
        <v>8640</v>
      </c>
      <c r="H1472" s="1">
        <v>2017.0</v>
      </c>
      <c r="I1472" s="1" t="s">
        <v>42</v>
      </c>
      <c r="J1472" s="1" t="s">
        <v>490</v>
      </c>
      <c r="K1472" s="1" t="s">
        <v>8641</v>
      </c>
      <c r="L1472" s="1" t="s">
        <v>8642</v>
      </c>
      <c r="M1472" s="2" t="s">
        <v>12</v>
      </c>
      <c r="N1472" s="4">
        <f t="shared" si="1"/>
        <v>44196</v>
      </c>
      <c r="O1472" s="5" t="str">
        <f>IFERROR(__xludf.DUMMYFUNCTION("IF(REGEXMATCH(TRIM(I1472), ""^\d+\s*min""), ""Unclassified"", IF(I1472 = """", ""NR"", I1472))"),"TV-MA")</f>
        <v>TV-MA</v>
      </c>
      <c r="R1472" s="5" t="str">
        <f t="shared" si="2"/>
        <v>Alaska Is A Drag</v>
      </c>
      <c r="S1472" s="5" t="str">
        <f>IFERROR(__xludf.DUMMYFUNCTION("""COMPUTED_VALUE"""),"Chhota Bheem Aur Hanuman")</f>
        <v>Chhota Bheem Aur Hanuman</v>
      </c>
      <c r="U1472" s="5" t="str">
        <f>IFERROR(__xludf.DUMMYFUNCTION("""COMPUTED_VALUE"""),"Handan İpekçi")</f>
        <v>Handan İpekçi</v>
      </c>
      <c r="V1472" s="5" t="s">
        <v>8643</v>
      </c>
      <c r="W1472" s="5" t="str">
        <f t="shared" si="3"/>
        <v>Greg Barker</v>
      </c>
      <c r="X1472" s="5">
        <f t="shared" si="4"/>
        <v>1</v>
      </c>
      <c r="Y1472" s="5" t="str">
        <f>IFERROR(__xludf.DUMMYFUNCTION("REGEXEXTRACT(J1472, ""^\d+"")"),"83")</f>
        <v>83</v>
      </c>
      <c r="Z1472" s="5" t="str">
        <f>IFERROR(__xludf.DUMMYFUNCTION("REGEXEXTRACT(J1472, ""[A-Za-z ]+$"")")," min")</f>
        <v> min</v>
      </c>
      <c r="AA1472" s="5" t="str">
        <f>IFERROR(__xludf.DUMMYFUNCTION("IF(REGEXMATCH(Z1472, ""Season""), ""TV Show"", ""Movie"")"),"Movie")</f>
        <v>Movie</v>
      </c>
    </row>
    <row r="1473">
      <c r="A1473" s="1" t="s">
        <v>8644</v>
      </c>
      <c r="B1473" s="1" t="s">
        <v>27</v>
      </c>
      <c r="C1473" s="1" t="s">
        <v>8645</v>
      </c>
      <c r="E1473" s="1" t="s">
        <v>8646</v>
      </c>
      <c r="G1473" s="1" t="s">
        <v>8640</v>
      </c>
      <c r="H1473" s="1">
        <v>2020.0</v>
      </c>
      <c r="I1473" s="1" t="s">
        <v>42</v>
      </c>
      <c r="J1473" s="1" t="s">
        <v>4558</v>
      </c>
      <c r="K1473" s="1" t="s">
        <v>1839</v>
      </c>
      <c r="L1473" s="1" t="s">
        <v>8647</v>
      </c>
      <c r="M1473" s="2" t="s">
        <v>12</v>
      </c>
      <c r="N1473" s="4">
        <f t="shared" si="1"/>
        <v>44196</v>
      </c>
      <c r="O1473" s="5" t="str">
        <f>IFERROR(__xludf.DUMMYFUNCTION("IF(REGEXMATCH(TRIM(I1473), ""^\d+\s*min""), ""Unclassified"", IF(I1473 = """", ""NR"", I1473))"),"TV-MA")</f>
        <v>TV-MA</v>
      </c>
      <c r="R1473" s="5" t="str">
        <f t="shared" si="2"/>
        <v>Best Of Stand-Up 2020</v>
      </c>
      <c r="S1473" s="5" t="str">
        <f>IFERROR(__xludf.DUMMYFUNCTION("""COMPUTED_VALUE"""),"Chhota Bheem Aur Kaala Yodha")</f>
        <v>Chhota Bheem Aur Kaala Yodha</v>
      </c>
      <c r="U1473" s="5" t="str">
        <f>IFERROR(__xludf.DUMMYFUNCTION("""COMPUTED_VALUE"""),"Ferzan Özpetek")</f>
        <v>Ferzan Özpetek</v>
      </c>
      <c r="V1473" s="5" t="s">
        <v>3576</v>
      </c>
      <c r="W1473" s="5" t="str">
        <f t="shared" si="3"/>
        <v>Greg Berlanti</v>
      </c>
      <c r="X1473" s="5">
        <f t="shared" si="4"/>
        <v>1</v>
      </c>
      <c r="Y1473" s="5" t="str">
        <f>IFERROR(__xludf.DUMMYFUNCTION("REGEXEXTRACT(J1473, ""^\d+"")"),"77")</f>
        <v>77</v>
      </c>
      <c r="Z1473" s="5" t="str">
        <f>IFERROR(__xludf.DUMMYFUNCTION("REGEXEXTRACT(J1473, ""[A-Za-z ]+$"")")," min")</f>
        <v> min</v>
      </c>
      <c r="AA1473" s="5" t="str">
        <f>IFERROR(__xludf.DUMMYFUNCTION("IF(REGEXMATCH(Z1473, ""Season""), ""TV Show"", ""Movie"")"),"Movie")</f>
        <v>Movie</v>
      </c>
    </row>
    <row r="1474">
      <c r="A1474" s="1" t="s">
        <v>8648</v>
      </c>
      <c r="B1474" s="1" t="s">
        <v>27</v>
      </c>
      <c r="C1474" s="1" t="s">
        <v>8649</v>
      </c>
      <c r="D1474" s="1" t="s">
        <v>8650</v>
      </c>
      <c r="E1474" s="1" t="s">
        <v>8651</v>
      </c>
      <c r="F1474" s="1" t="s">
        <v>63</v>
      </c>
      <c r="G1474" s="1" t="s">
        <v>8640</v>
      </c>
      <c r="H1474" s="1">
        <v>2014.0</v>
      </c>
      <c r="I1474" s="1" t="s">
        <v>97</v>
      </c>
      <c r="J1474" s="1" t="s">
        <v>349</v>
      </c>
      <c r="K1474" s="1" t="s">
        <v>583</v>
      </c>
      <c r="L1474" s="1" t="s">
        <v>8652</v>
      </c>
      <c r="M1474" s="2" t="s">
        <v>12</v>
      </c>
      <c r="N1474" s="4">
        <f t="shared" si="1"/>
        <v>44196</v>
      </c>
      <c r="O1474" s="5" t="str">
        <f>IFERROR(__xludf.DUMMYFUNCTION("IF(REGEXMATCH(TRIM(I1474), ""^\d+\s*min""), ""Unclassified"", IF(I1474 = """", ""NR"", I1474))"),"TV-14")</f>
        <v>TV-14</v>
      </c>
      <c r="R1474" s="5" t="str">
        <f t="shared" si="2"/>
        <v>Bobby Jasoos</v>
      </c>
      <c r="S1474" s="5" t="str">
        <f>IFERROR(__xludf.DUMMYFUNCTION("""COMPUTED_VALUE"""),"Chhota Bheem Aur Krishna")</f>
        <v>Chhota Bheem Aur Krishna</v>
      </c>
      <c r="U1474" s="5" t="str">
        <f>IFERROR(__xludf.DUMMYFUNCTION("""COMPUTED_VALUE"""),"Ashraf Fayeq")</f>
        <v>Ashraf Fayeq</v>
      </c>
      <c r="V1474" s="5" t="s">
        <v>8653</v>
      </c>
      <c r="W1474" s="5" t="str">
        <f t="shared" si="3"/>
        <v>Greg Coolidge</v>
      </c>
      <c r="X1474" s="5">
        <f t="shared" si="4"/>
        <v>1</v>
      </c>
      <c r="Y1474" s="5" t="str">
        <f>IFERROR(__xludf.DUMMYFUNCTION("REGEXEXTRACT(J1474, ""^\d+"")"),"116")</f>
        <v>116</v>
      </c>
      <c r="Z1474" s="5" t="str">
        <f>IFERROR(__xludf.DUMMYFUNCTION("REGEXEXTRACT(J1474, ""[A-Za-z ]+$"")")," min")</f>
        <v> min</v>
      </c>
      <c r="AA1474" s="5" t="str">
        <f>IFERROR(__xludf.DUMMYFUNCTION("IF(REGEXMATCH(Z1474, ""Season""), ""TV Show"", ""Movie"")"),"Movie")</f>
        <v>Movie</v>
      </c>
    </row>
    <row r="1475">
      <c r="A1475" s="1" t="s">
        <v>8654</v>
      </c>
      <c r="B1475" s="1" t="s">
        <v>37</v>
      </c>
      <c r="C1475" s="1" t="s">
        <v>8655</v>
      </c>
      <c r="E1475" s="1" t="s">
        <v>8656</v>
      </c>
      <c r="F1475" s="1" t="s">
        <v>30</v>
      </c>
      <c r="G1475" s="1" t="s">
        <v>8640</v>
      </c>
      <c r="H1475" s="1">
        <v>2020.0</v>
      </c>
      <c r="I1475" s="1" t="s">
        <v>97</v>
      </c>
      <c r="J1475" s="1" t="s">
        <v>148</v>
      </c>
      <c r="K1475" s="1" t="s">
        <v>8657</v>
      </c>
      <c r="L1475" s="1" t="s">
        <v>8658</v>
      </c>
      <c r="M1475" s="2" t="s">
        <v>12</v>
      </c>
      <c r="N1475" s="4">
        <f t="shared" si="1"/>
        <v>44196</v>
      </c>
      <c r="O1475" s="5" t="str">
        <f>IFERROR(__xludf.DUMMYFUNCTION("IF(REGEXMATCH(TRIM(I1475), ""^\d+\s*min""), ""Unclassified"", IF(I1475 = """", ""NR"", I1475))"),"TV-14")</f>
        <v>TV-14</v>
      </c>
      <c r="R1475" s="5" t="str">
        <f t="shared" si="2"/>
        <v>Chilling Adventures Of Sabrina</v>
      </c>
      <c r="S1475" s="5" t="str">
        <f>IFERROR(__xludf.DUMMYFUNCTION("""COMPUTED_VALUE"""),"Chhota Bheem Aur Krishna Vs Zimbara")</f>
        <v>Chhota Bheem Aur Krishna Vs Zimbara</v>
      </c>
      <c r="U1475" s="5" t="str">
        <f>IFERROR(__xludf.DUMMYFUNCTION("""COMPUTED_VALUE"""),"Paul Munger")</f>
        <v>Paul Munger</v>
      </c>
      <c r="V1475" s="5" t="s">
        <v>8659</v>
      </c>
      <c r="W1475" s="5" t="str">
        <f t="shared" si="3"/>
        <v>Greg Kohs</v>
      </c>
      <c r="X1475" s="5">
        <f t="shared" si="4"/>
        <v>1</v>
      </c>
      <c r="Y1475" s="5" t="str">
        <f>IFERROR(__xludf.DUMMYFUNCTION("REGEXEXTRACT(J1475, ""^\d+"")"),"4")</f>
        <v>4</v>
      </c>
      <c r="Z1475" s="5" t="str">
        <f>IFERROR(__xludf.DUMMYFUNCTION("REGEXEXTRACT(J1475, ""[A-Za-z ]+$"")")," Seasons")</f>
        <v> Seasons</v>
      </c>
      <c r="AA1475" s="5" t="str">
        <f>IFERROR(__xludf.DUMMYFUNCTION("IF(REGEXMATCH(Z1475, ""Season""), ""TV Show"", ""Movie"")"),"TV Show")</f>
        <v>TV Show</v>
      </c>
    </row>
    <row r="1476">
      <c r="A1476" s="1" t="s">
        <v>8660</v>
      </c>
      <c r="B1476" s="1" t="s">
        <v>27</v>
      </c>
      <c r="C1476" s="1" t="s">
        <v>8661</v>
      </c>
      <c r="D1476" s="1" t="s">
        <v>2482</v>
      </c>
      <c r="E1476" s="1" t="s">
        <v>8662</v>
      </c>
      <c r="F1476" s="1" t="s">
        <v>2873</v>
      </c>
      <c r="G1476" s="1" t="s">
        <v>8640</v>
      </c>
      <c r="H1476" s="1">
        <v>2020.0</v>
      </c>
      <c r="I1476" s="1" t="s">
        <v>136</v>
      </c>
      <c r="J1476" s="1" t="s">
        <v>349</v>
      </c>
      <c r="K1476" s="1" t="s">
        <v>8663</v>
      </c>
      <c r="L1476" s="1" t="s">
        <v>8664</v>
      </c>
      <c r="M1476" s="2" t="s">
        <v>12</v>
      </c>
      <c r="N1476" s="4">
        <f t="shared" si="1"/>
        <v>44196</v>
      </c>
      <c r="O1476" s="5" t="str">
        <f>IFERROR(__xludf.DUMMYFUNCTION("IF(REGEXMATCH(TRIM(I1476), ""^\d+\s*min""), ""Unclassified"", IF(I1476 = """", ""NR"", I1476))"),"TV-PG")</f>
        <v>TV-PG</v>
      </c>
      <c r="R1476" s="5" t="str">
        <f t="shared" si="2"/>
        <v>Tarung Sarung</v>
      </c>
      <c r="S1476" s="5" t="str">
        <f>IFERROR(__xludf.DUMMYFUNCTION("""COMPUTED_VALUE"""),"Chhota Bheem In African Safari")</f>
        <v>Chhota Bheem In African Safari</v>
      </c>
      <c r="U1476" s="5" t="str">
        <f>IFERROR(__xludf.DUMMYFUNCTION("""COMPUTED_VALUE"""),"Matei Dima")</f>
        <v>Matei Dima</v>
      </c>
      <c r="V1476" s="5" t="s">
        <v>8665</v>
      </c>
      <c r="W1476" s="5" t="str">
        <f t="shared" si="3"/>
        <v>Greg Macgillivray</v>
      </c>
      <c r="X1476" s="5">
        <f t="shared" si="4"/>
        <v>3</v>
      </c>
      <c r="Y1476" s="5" t="str">
        <f>IFERROR(__xludf.DUMMYFUNCTION("REGEXEXTRACT(J1476, ""^\d+"")"),"116")</f>
        <v>116</v>
      </c>
      <c r="Z1476" s="5" t="str">
        <f>IFERROR(__xludf.DUMMYFUNCTION("REGEXEXTRACT(J1476, ""[A-Za-z ]+$"")")," min")</f>
        <v> min</v>
      </c>
      <c r="AA1476" s="5" t="str">
        <f>IFERROR(__xludf.DUMMYFUNCTION("IF(REGEXMATCH(Z1476, ""Season""), ""TV Show"", ""Movie"")"),"Movie")</f>
        <v>Movie</v>
      </c>
    </row>
    <row r="1477">
      <c r="A1477" s="1" t="s">
        <v>8666</v>
      </c>
      <c r="B1477" s="1" t="s">
        <v>27</v>
      </c>
      <c r="C1477" s="1" t="s">
        <v>8667</v>
      </c>
      <c r="D1477" s="1" t="s">
        <v>8668</v>
      </c>
      <c r="E1477" s="1" t="s">
        <v>8669</v>
      </c>
      <c r="F1477" s="1" t="s">
        <v>2873</v>
      </c>
      <c r="G1477" s="1" t="s">
        <v>8640</v>
      </c>
      <c r="H1477" s="1">
        <v>2019.0</v>
      </c>
      <c r="I1477" s="1" t="s">
        <v>97</v>
      </c>
      <c r="J1477" s="1" t="s">
        <v>256</v>
      </c>
      <c r="K1477" s="1" t="s">
        <v>583</v>
      </c>
      <c r="L1477" s="1" t="s">
        <v>8670</v>
      </c>
      <c r="M1477" s="2" t="s">
        <v>12</v>
      </c>
      <c r="N1477" s="4">
        <f t="shared" si="1"/>
        <v>44196</v>
      </c>
      <c r="O1477" s="5" t="str">
        <f>IFERROR(__xludf.DUMMYFUNCTION("IF(REGEXMATCH(TRIM(I1477), ""^\d+\s*min""), ""Unclassified"", IF(I1477 = """", ""NR"", I1477))"),"TV-14")</f>
        <v>TV-14</v>
      </c>
      <c r="R1477" s="5" t="str">
        <f t="shared" si="2"/>
        <v>Too Handsome To Handle</v>
      </c>
      <c r="S1477" s="5" t="str">
        <f>IFERROR(__xludf.DUMMYFUNCTION("""COMPUTED_VALUE"""),"Chhota Bheem Ka Romani Adventure")</f>
        <v>Chhota Bheem Ka Romani Adventure</v>
      </c>
      <c r="U1477" s="5" t="str">
        <f>IFERROR(__xludf.DUMMYFUNCTION("""COMPUTED_VALUE"""),"Jonathan Augustin")</f>
        <v>Jonathan Augustin</v>
      </c>
      <c r="V1477" s="5" t="s">
        <v>8671</v>
      </c>
      <c r="W1477" s="5" t="str">
        <f t="shared" si="3"/>
        <v>Greg Mclean</v>
      </c>
      <c r="X1477" s="5">
        <f t="shared" si="4"/>
        <v>1</v>
      </c>
      <c r="Y1477" s="5" t="str">
        <f>IFERROR(__xludf.DUMMYFUNCTION("REGEXEXTRACT(J1477, ""^\d+"")"),"106")</f>
        <v>106</v>
      </c>
      <c r="Z1477" s="5" t="str">
        <f>IFERROR(__xludf.DUMMYFUNCTION("REGEXEXTRACT(J1477, ""[A-Za-z ]+$"")")," min")</f>
        <v> min</v>
      </c>
      <c r="AA1477" s="5" t="str">
        <f>IFERROR(__xludf.DUMMYFUNCTION("IF(REGEXMATCH(Z1477, ""Season""), ""TV Show"", ""Movie"")"),"Movie")</f>
        <v>Movie</v>
      </c>
    </row>
    <row r="1478">
      <c r="A1478" s="1" t="s">
        <v>8672</v>
      </c>
      <c r="B1478" s="1" t="s">
        <v>37</v>
      </c>
      <c r="C1478" s="1" t="s">
        <v>8673</v>
      </c>
      <c r="E1478" s="1" t="s">
        <v>8674</v>
      </c>
      <c r="F1478" s="1" t="s">
        <v>30</v>
      </c>
      <c r="G1478" s="1" t="s">
        <v>8675</v>
      </c>
      <c r="H1478" s="1">
        <v>2020.0</v>
      </c>
      <c r="I1478" s="1" t="s">
        <v>506</v>
      </c>
      <c r="J1478" s="1" t="s">
        <v>51</v>
      </c>
      <c r="K1478" s="1" t="s">
        <v>440</v>
      </c>
      <c r="L1478" s="1" t="s">
        <v>8676</v>
      </c>
      <c r="M1478" s="2" t="s">
        <v>12</v>
      </c>
      <c r="N1478" s="4">
        <f t="shared" si="1"/>
        <v>44195</v>
      </c>
      <c r="O1478" s="5" t="str">
        <f>IFERROR(__xludf.DUMMYFUNCTION("IF(REGEXMATCH(TRIM(I1478), ""^\d+\s*min""), ""Unclassified"", IF(I1478 = """", ""NR"", I1478))"),"TV-G")</f>
        <v>TV-G</v>
      </c>
      <c r="R1478" s="5" t="str">
        <f t="shared" si="2"/>
        <v>Best Leftovers Ever!</v>
      </c>
      <c r="S1478" s="5" t="str">
        <f>IFERROR(__xludf.DUMMYFUNCTION("""COMPUTED_VALUE"""),"Chhota Bheem Ka Roosi Romanch")</f>
        <v>Chhota Bheem Ka Roosi Romanch</v>
      </c>
      <c r="U1478" s="5" t="str">
        <f>IFERROR(__xludf.DUMMYFUNCTION("""COMPUTED_VALUE"""),"Venky Kudumula")</f>
        <v>Venky Kudumula</v>
      </c>
      <c r="V1478" s="5" t="s">
        <v>8677</v>
      </c>
      <c r="W1478" s="5" t="str">
        <f t="shared" si="3"/>
        <v>Greg Mottola</v>
      </c>
      <c r="X1478" s="5">
        <f t="shared" si="4"/>
        <v>1</v>
      </c>
      <c r="Y1478" s="5" t="str">
        <f>IFERROR(__xludf.DUMMYFUNCTION("REGEXEXTRACT(J1478, ""^\d+"")"),"1")</f>
        <v>1</v>
      </c>
      <c r="Z1478" s="5" t="str">
        <f>IFERROR(__xludf.DUMMYFUNCTION("REGEXEXTRACT(J1478, ""[A-Za-z ]+$"")")," Season")</f>
        <v> Season</v>
      </c>
      <c r="AA1478" s="5" t="str">
        <f>IFERROR(__xludf.DUMMYFUNCTION("IF(REGEXMATCH(Z1478, ""Season""), ""TV Show"", ""Movie"")"),"TV Show")</f>
        <v>TV Show</v>
      </c>
    </row>
    <row r="1479">
      <c r="A1479" s="1" t="s">
        <v>8678</v>
      </c>
      <c r="B1479" s="1" t="s">
        <v>37</v>
      </c>
      <c r="C1479" s="1" t="s">
        <v>8679</v>
      </c>
      <c r="E1479" s="1" t="s">
        <v>8680</v>
      </c>
      <c r="F1479" s="1" t="s">
        <v>30</v>
      </c>
      <c r="G1479" s="1" t="s">
        <v>8675</v>
      </c>
      <c r="H1479" s="1">
        <v>2019.0</v>
      </c>
      <c r="I1479" s="1" t="s">
        <v>42</v>
      </c>
      <c r="J1479" s="1" t="s">
        <v>51</v>
      </c>
      <c r="K1479" s="1" t="s">
        <v>4173</v>
      </c>
      <c r="L1479" s="1" t="s">
        <v>8681</v>
      </c>
      <c r="M1479" s="2" t="s">
        <v>12</v>
      </c>
      <c r="N1479" s="4">
        <f t="shared" si="1"/>
        <v>44195</v>
      </c>
      <c r="O1479" s="5" t="str">
        <f>IFERROR(__xludf.DUMMYFUNCTION("IF(REGEXMATCH(TRIM(I1479), ""^\d+\s*min""), ""Unclassified"", IF(I1479 = """", ""NR"", I1479))"),"TV-MA")</f>
        <v>TV-MA</v>
      </c>
      <c r="R1479" s="5" t="str">
        <f t="shared" si="2"/>
        <v>Dare Me</v>
      </c>
      <c r="S1479" s="5" t="str">
        <f>IFERROR(__xludf.DUMMYFUNCTION("""COMPUTED_VALUE"""),"Chhota Bheem Ka Troll Se Takkar")</f>
        <v>Chhota Bheem Ka Troll Se Takkar</v>
      </c>
      <c r="U1479" s="5" t="str">
        <f>IFERROR(__xludf.DUMMYFUNCTION("""COMPUTED_VALUE"""),"Amr Arafa")</f>
        <v>Amr Arafa</v>
      </c>
      <c r="V1479" s="5" t="s">
        <v>8682</v>
      </c>
      <c r="W1479" s="5" t="str">
        <f t="shared" si="3"/>
        <v>Greg Pritikin</v>
      </c>
      <c r="X1479" s="5">
        <f t="shared" si="4"/>
        <v>1</v>
      </c>
      <c r="Y1479" s="5" t="str">
        <f>IFERROR(__xludf.DUMMYFUNCTION("REGEXEXTRACT(J1479, ""^\d+"")"),"1")</f>
        <v>1</v>
      </c>
      <c r="Z1479" s="5" t="str">
        <f>IFERROR(__xludf.DUMMYFUNCTION("REGEXEXTRACT(J1479, ""[A-Za-z ]+$"")")," Season")</f>
        <v> Season</v>
      </c>
      <c r="AA1479" s="5" t="str">
        <f>IFERROR(__xludf.DUMMYFUNCTION("IF(REGEXMATCH(Z1479, ""Season""), ""TV Show"", ""Movie"")"),"TV Show")</f>
        <v>TV Show</v>
      </c>
    </row>
    <row r="1480">
      <c r="A1480" s="1" t="s">
        <v>8683</v>
      </c>
      <c r="B1480" s="1" t="s">
        <v>37</v>
      </c>
      <c r="C1480" s="1" t="s">
        <v>8684</v>
      </c>
      <c r="E1480" s="1" t="s">
        <v>8685</v>
      </c>
      <c r="F1480" s="1" t="s">
        <v>8686</v>
      </c>
      <c r="G1480" s="1" t="s">
        <v>8675</v>
      </c>
      <c r="H1480" s="1">
        <v>2020.0</v>
      </c>
      <c r="I1480" s="1" t="s">
        <v>42</v>
      </c>
      <c r="J1480" s="1" t="s">
        <v>51</v>
      </c>
      <c r="K1480" s="1" t="s">
        <v>8687</v>
      </c>
      <c r="L1480" s="1" t="s">
        <v>8688</v>
      </c>
      <c r="M1480" s="2" t="s">
        <v>12</v>
      </c>
      <c r="N1480" s="4">
        <f t="shared" si="1"/>
        <v>44195</v>
      </c>
      <c r="O1480" s="5" t="str">
        <f>IFERROR(__xludf.DUMMYFUNCTION("IF(REGEXMATCH(TRIM(I1480), ""^\d+\s*min""), ""Unclassified"", IF(I1480 = """", ""NR"", I1480))"),"TV-MA")</f>
        <v>TV-MA</v>
      </c>
      <c r="R1480" s="5" t="str">
        <f t="shared" si="2"/>
        <v>Equinox</v>
      </c>
      <c r="S1480" s="5" t="str">
        <f>IFERROR(__xludf.DUMMYFUNCTION("""COMPUTED_VALUE"""),"Chhota Bheem Kung Fu Dhamaka Series")</f>
        <v>Chhota Bheem Kung Fu Dhamaka Series</v>
      </c>
      <c r="U1480" s="5" t="str">
        <f>IFERROR(__xludf.DUMMYFUNCTION("""COMPUTED_VALUE"""),"Michel Hazanavicius")</f>
        <v>Michel Hazanavicius</v>
      </c>
      <c r="V1480" s="5" t="s">
        <v>8689</v>
      </c>
      <c r="W1480" s="5" t="str">
        <f t="shared" si="3"/>
        <v>Greg Rankin, Tj Sullivan</v>
      </c>
      <c r="X1480" s="5">
        <f t="shared" si="4"/>
        <v>2</v>
      </c>
      <c r="Y1480" s="5" t="str">
        <f>IFERROR(__xludf.DUMMYFUNCTION("REGEXEXTRACT(J1480, ""^\d+"")"),"1")</f>
        <v>1</v>
      </c>
      <c r="Z1480" s="5" t="str">
        <f>IFERROR(__xludf.DUMMYFUNCTION("REGEXEXTRACT(J1480, ""[A-Za-z ]+$"")")," Season")</f>
        <v> Season</v>
      </c>
      <c r="AA1480" s="5" t="str">
        <f>IFERROR(__xludf.DUMMYFUNCTION("IF(REGEXMATCH(Z1480, ""Season""), ""TV Show"", ""Movie"")"),"TV Show")</f>
        <v>TV Show</v>
      </c>
    </row>
    <row r="1481">
      <c r="A1481" s="1" t="s">
        <v>8690</v>
      </c>
      <c r="B1481" s="1" t="s">
        <v>37</v>
      </c>
      <c r="C1481" s="1" t="s">
        <v>8691</v>
      </c>
      <c r="D1481" s="1" t="s">
        <v>5209</v>
      </c>
      <c r="F1481" s="1" t="s">
        <v>1779</v>
      </c>
      <c r="G1481" s="1" t="s">
        <v>8675</v>
      </c>
      <c r="H1481" s="1">
        <v>2020.0</v>
      </c>
      <c r="I1481" s="1" t="s">
        <v>42</v>
      </c>
      <c r="J1481" s="1" t="s">
        <v>51</v>
      </c>
      <c r="K1481" s="1" t="s">
        <v>112</v>
      </c>
      <c r="L1481" s="1" t="s">
        <v>8692</v>
      </c>
      <c r="M1481" s="2" t="s">
        <v>12</v>
      </c>
      <c r="N1481" s="4">
        <f t="shared" si="1"/>
        <v>44195</v>
      </c>
      <c r="O1481" s="5" t="str">
        <f>IFERROR(__xludf.DUMMYFUNCTION("IF(REGEXMATCH(TRIM(I1481), ""^\d+\s*min""), ""Unclassified"", IF(I1481 = """", ""NR"", I1481))"),"TV-MA")</f>
        <v>TV-MA</v>
      </c>
      <c r="R1481" s="5" t="str">
        <f t="shared" si="2"/>
        <v>Sanpa: Sins Of The Savior</v>
      </c>
      <c r="S1481" s="5" t="str">
        <f>IFERROR(__xludf.DUMMYFUNCTION("""COMPUTED_VALUE"""),"Chhota Bheem Kungfu Dhamaka")</f>
        <v>Chhota Bheem Kungfu Dhamaka</v>
      </c>
      <c r="U1481" s="5" t="str">
        <f>IFERROR(__xludf.DUMMYFUNCTION("""COMPUTED_VALUE"""),"Ahmed Saleh")</f>
        <v>Ahmed Saleh</v>
      </c>
      <c r="V1481" s="5" t="s">
        <v>8693</v>
      </c>
      <c r="W1481" s="5" t="str">
        <f t="shared" si="3"/>
        <v>Greg Richardson</v>
      </c>
      <c r="X1481" s="5">
        <f t="shared" si="4"/>
        <v>1</v>
      </c>
      <c r="Y1481" s="5" t="str">
        <f>IFERROR(__xludf.DUMMYFUNCTION("REGEXEXTRACT(J1481, ""^\d+"")"),"1")</f>
        <v>1</v>
      </c>
      <c r="Z1481" s="5" t="str">
        <f>IFERROR(__xludf.DUMMYFUNCTION("REGEXEXTRACT(J1481, ""[A-Za-z ]+$"")")," Season")</f>
        <v> Season</v>
      </c>
      <c r="AA1481" s="5" t="str">
        <f>IFERROR(__xludf.DUMMYFUNCTION("IF(REGEXMATCH(Z1481, ""Season""), ""TV Show"", ""Movie"")"),"TV Show")</f>
        <v>TV Show</v>
      </c>
    </row>
    <row r="1482">
      <c r="A1482" s="1" t="s">
        <v>8694</v>
      </c>
      <c r="B1482" s="1" t="s">
        <v>37</v>
      </c>
      <c r="C1482" s="1" t="s">
        <v>8695</v>
      </c>
      <c r="E1482" s="1" t="s">
        <v>8696</v>
      </c>
      <c r="F1482" s="1" t="s">
        <v>96</v>
      </c>
      <c r="G1482" s="1" t="s">
        <v>8675</v>
      </c>
      <c r="H1482" s="1">
        <v>2018.0</v>
      </c>
      <c r="I1482" s="1" t="s">
        <v>97</v>
      </c>
      <c r="J1482" s="1" t="s">
        <v>98</v>
      </c>
      <c r="K1482" s="1" t="s">
        <v>8697</v>
      </c>
      <c r="L1482" s="1" t="s">
        <v>8698</v>
      </c>
      <c r="M1482" s="2" t="s">
        <v>12</v>
      </c>
      <c r="N1482" s="4">
        <f t="shared" si="1"/>
        <v>44195</v>
      </c>
      <c r="O1482" s="5" t="str">
        <f>IFERROR(__xludf.DUMMYFUNCTION("IF(REGEXMATCH(TRIM(I1482), ""^\d+\s*min""), ""Unclassified"", IF(I1482 = """", ""NR"", I1482))"),"TV-14")</f>
        <v>TV-14</v>
      </c>
      <c r="R1482" s="5" t="str">
        <f t="shared" si="2"/>
        <v>Still Game</v>
      </c>
      <c r="S1482" s="5" t="str">
        <f>IFERROR(__xludf.DUMMYFUNCTION("""COMPUTED_VALUE"""),"Chhota Bheem: Bheem Vs Aliens")</f>
        <v>Chhota Bheem: Bheem Vs Aliens</v>
      </c>
      <c r="U1482" s="5" t="str">
        <f>IFERROR(__xludf.DUMMYFUNCTION("""COMPUTED_VALUE"""),"Ahmed Medhat")</f>
        <v>Ahmed Medhat</v>
      </c>
      <c r="V1482" s="5" t="s">
        <v>8699</v>
      </c>
      <c r="W1482" s="5" t="str">
        <f t="shared" si="3"/>
        <v>Greg Tiernan</v>
      </c>
      <c r="X1482" s="5">
        <f t="shared" si="4"/>
        <v>1</v>
      </c>
      <c r="Y1482" s="5" t="str">
        <f>IFERROR(__xludf.DUMMYFUNCTION("REGEXEXTRACT(J1482, ""^\d+"")"),"9")</f>
        <v>9</v>
      </c>
      <c r="Z1482" s="5" t="str">
        <f>IFERROR(__xludf.DUMMYFUNCTION("REGEXEXTRACT(J1482, ""[A-Za-z ]+$"")")," Seasons")</f>
        <v> Seasons</v>
      </c>
      <c r="AA1482" s="5" t="str">
        <f>IFERROR(__xludf.DUMMYFUNCTION("IF(REGEXMATCH(Z1482, ""Season""), ""TV Show"", ""Movie"")"),"TV Show")</f>
        <v>TV Show</v>
      </c>
    </row>
    <row r="1483">
      <c r="A1483" s="1" t="s">
        <v>8700</v>
      </c>
      <c r="B1483" s="1" t="s">
        <v>27</v>
      </c>
      <c r="C1483" s="1" t="s">
        <v>8701</v>
      </c>
      <c r="D1483" s="1" t="s">
        <v>8702</v>
      </c>
      <c r="E1483" s="1" t="s">
        <v>8703</v>
      </c>
      <c r="F1483" s="1" t="s">
        <v>2059</v>
      </c>
      <c r="G1483" s="1" t="s">
        <v>8675</v>
      </c>
      <c r="H1483" s="1">
        <v>2020.0</v>
      </c>
      <c r="I1483" s="1" t="s">
        <v>42</v>
      </c>
      <c r="J1483" s="1" t="s">
        <v>305</v>
      </c>
      <c r="K1483" s="1" t="s">
        <v>1441</v>
      </c>
      <c r="L1483" s="1" t="s">
        <v>8704</v>
      </c>
      <c r="M1483" s="2" t="s">
        <v>12</v>
      </c>
      <c r="N1483" s="4">
        <f t="shared" si="1"/>
        <v>44195</v>
      </c>
      <c r="O1483" s="5" t="str">
        <f>IFERROR(__xludf.DUMMYFUNCTION("IF(REGEXMATCH(TRIM(I1483), ""^\d+\s*min""), ""Unclassified"", IF(I1483 = """", ""NR"", I1483))"),"TV-MA")</f>
        <v>TV-MA</v>
      </c>
      <c r="R1483" s="5" t="str">
        <f t="shared" si="2"/>
        <v>The Rope Curse 2</v>
      </c>
      <c r="S1483" s="5" t="str">
        <f>IFERROR(__xludf.DUMMYFUNCTION("""COMPUTED_VALUE"""),"Chhota Bheem: Dholakpur To Kathmandu")</f>
        <v>Chhota Bheem: Dholakpur To Kathmandu</v>
      </c>
      <c r="U1483" s="5" t="str">
        <f>IFERROR(__xludf.DUMMYFUNCTION("""COMPUTED_VALUE"""),"Mohamed Yassin")</f>
        <v>Mohamed Yassin</v>
      </c>
      <c r="V1483" s="5" t="s">
        <v>8705</v>
      </c>
      <c r="W1483" s="5" t="str">
        <f t="shared" si="3"/>
        <v>Greg Whiteley</v>
      </c>
      <c r="X1483" s="5">
        <f t="shared" si="4"/>
        <v>1</v>
      </c>
      <c r="Y1483" s="5" t="str">
        <f>IFERROR(__xludf.DUMMYFUNCTION("REGEXEXTRACT(J1483, ""^\d+"")"),"105")</f>
        <v>105</v>
      </c>
      <c r="Z1483" s="5" t="str">
        <f>IFERROR(__xludf.DUMMYFUNCTION("REGEXEXTRACT(J1483, ""[A-Za-z ]+$"")")," min")</f>
        <v> min</v>
      </c>
      <c r="AA1483" s="5" t="str">
        <f>IFERROR(__xludf.DUMMYFUNCTION("IF(REGEXMATCH(Z1483, ""Season""), ""TV Show"", ""Movie"")"),"Movie")</f>
        <v>Movie</v>
      </c>
    </row>
    <row r="1484">
      <c r="A1484" s="1" t="s">
        <v>8706</v>
      </c>
      <c r="B1484" s="1" t="s">
        <v>37</v>
      </c>
      <c r="C1484" s="1" t="s">
        <v>8707</v>
      </c>
      <c r="E1484" s="1" t="s">
        <v>2438</v>
      </c>
      <c r="G1484" s="1" t="s">
        <v>8675</v>
      </c>
      <c r="H1484" s="1">
        <v>2020.0</v>
      </c>
      <c r="I1484" s="1" t="s">
        <v>289</v>
      </c>
      <c r="J1484" s="1" t="s">
        <v>51</v>
      </c>
      <c r="K1484" s="1" t="s">
        <v>2439</v>
      </c>
      <c r="L1484" s="1" t="s">
        <v>8708</v>
      </c>
      <c r="M1484" s="2" t="s">
        <v>12</v>
      </c>
      <c r="N1484" s="4">
        <f t="shared" si="1"/>
        <v>44195</v>
      </c>
      <c r="O1484" s="5" t="str">
        <f>IFERROR(__xludf.DUMMYFUNCTION("IF(REGEXMATCH(TRIM(I1484), ""^\d+\s*min""), ""Unclassified"", IF(I1484 = """", ""NR"", I1484))"),"TV-Y7")</f>
        <v>TV-Y7</v>
      </c>
      <c r="R1484" s="5" t="str">
        <f t="shared" si="2"/>
        <v>Transformers: War For Cybertron: Earthrise</v>
      </c>
      <c r="S1484" s="5" t="str">
        <f>IFERROR(__xludf.DUMMYFUNCTION("""COMPUTED_VALUE"""),"Chhota Bheem: Dus Pe Dus")</f>
        <v>Chhota Bheem: Dus Pe Dus</v>
      </c>
      <c r="U1484" s="5" t="str">
        <f>IFERROR(__xludf.DUMMYFUNCTION("""COMPUTED_VALUE"""),"Chakri Toleti")</f>
        <v>Chakri Toleti</v>
      </c>
      <c r="V1484" s="5" t="s">
        <v>8709</v>
      </c>
      <c r="W1484" s="5" t="str">
        <f t="shared" si="3"/>
        <v>Gregg Bishop</v>
      </c>
      <c r="X1484" s="5">
        <f t="shared" si="4"/>
        <v>1</v>
      </c>
      <c r="Y1484" s="5" t="str">
        <f>IFERROR(__xludf.DUMMYFUNCTION("REGEXEXTRACT(J1484, ""^\d+"")"),"1")</f>
        <v>1</v>
      </c>
      <c r="Z1484" s="5" t="str">
        <f>IFERROR(__xludf.DUMMYFUNCTION("REGEXEXTRACT(J1484, ""[A-Za-z ]+$"")")," Season")</f>
        <v> Season</v>
      </c>
      <c r="AA1484" s="5" t="str">
        <f>IFERROR(__xludf.DUMMYFUNCTION("IF(REGEXMATCH(Z1484, ""Season""), ""TV Show"", ""Movie"")"),"TV Show")</f>
        <v>TV Show</v>
      </c>
    </row>
    <row r="1485">
      <c r="A1485" s="1" t="s">
        <v>8710</v>
      </c>
      <c r="B1485" s="1" t="s">
        <v>37</v>
      </c>
      <c r="C1485" s="1" t="s">
        <v>8711</v>
      </c>
      <c r="E1485" s="1" t="s">
        <v>8712</v>
      </c>
      <c r="F1485" s="1" t="s">
        <v>749</v>
      </c>
      <c r="G1485" s="1" t="s">
        <v>8713</v>
      </c>
      <c r="H1485" s="1">
        <v>2020.0</v>
      </c>
      <c r="I1485" s="1" t="s">
        <v>136</v>
      </c>
      <c r="J1485" s="1" t="s">
        <v>51</v>
      </c>
      <c r="K1485" s="1" t="s">
        <v>64</v>
      </c>
      <c r="L1485" s="1" t="s">
        <v>8714</v>
      </c>
      <c r="M1485" s="2" t="s">
        <v>12</v>
      </c>
      <c r="N1485" s="4">
        <f t="shared" si="1"/>
        <v>44193</v>
      </c>
      <c r="O1485" s="5" t="str">
        <f>IFERROR(__xludf.DUMMYFUNCTION("IF(REGEXMATCH(TRIM(I1485), ""^\d+\s*min""), ""Unclassified"", IF(I1485 = """", ""NR"", I1485))"),"TV-PG")</f>
        <v>TV-PG</v>
      </c>
      <c r="R1485" s="5" t="str">
        <f t="shared" si="2"/>
        <v>A Love So Beautiful</v>
      </c>
      <c r="S1485" s="5" t="str">
        <f>IFERROR(__xludf.DUMMYFUNCTION("""COMPUTED_VALUE"""),"Chhota Bheem: Journey To Petra")</f>
        <v>Chhota Bheem: Journey To Petra</v>
      </c>
      <c r="U1485" s="5" t="str">
        <f>IFERROR(__xludf.DUMMYFUNCTION("""COMPUTED_VALUE"""),"Neville Shah")</f>
        <v>Neville Shah</v>
      </c>
      <c r="V1485" s="5" t="s">
        <v>8715</v>
      </c>
      <c r="W1485" s="5" t="str">
        <f t="shared" si="3"/>
        <v>Gregory Caruso</v>
      </c>
      <c r="X1485" s="5">
        <f t="shared" si="4"/>
        <v>2</v>
      </c>
      <c r="Y1485" s="5" t="str">
        <f>IFERROR(__xludf.DUMMYFUNCTION("REGEXEXTRACT(J1485, ""^\d+"")"),"1")</f>
        <v>1</v>
      </c>
      <c r="Z1485" s="5" t="str">
        <f>IFERROR(__xludf.DUMMYFUNCTION("REGEXEXTRACT(J1485, ""[A-Za-z ]+$"")")," Season")</f>
        <v> Season</v>
      </c>
      <c r="AA1485" s="5" t="str">
        <f>IFERROR(__xludf.DUMMYFUNCTION("IF(REGEXMATCH(Z1485, ""Season""), ""TV Show"", ""Movie"")"),"TV Show")</f>
        <v>TV Show</v>
      </c>
    </row>
    <row r="1486">
      <c r="A1486" s="1" t="s">
        <v>8716</v>
      </c>
      <c r="B1486" s="1" t="s">
        <v>27</v>
      </c>
      <c r="C1486" s="1" t="s">
        <v>8717</v>
      </c>
      <c r="D1486" s="1" t="s">
        <v>2555</v>
      </c>
      <c r="E1486" s="1" t="s">
        <v>8718</v>
      </c>
      <c r="F1486" s="1" t="s">
        <v>30</v>
      </c>
      <c r="G1486" s="1" t="s">
        <v>8713</v>
      </c>
      <c r="H1486" s="1">
        <v>2020.0</v>
      </c>
      <c r="I1486" s="1" t="s">
        <v>32</v>
      </c>
      <c r="J1486" s="1" t="s">
        <v>8719</v>
      </c>
      <c r="K1486" s="1" t="s">
        <v>805</v>
      </c>
      <c r="L1486" s="1" t="s">
        <v>8720</v>
      </c>
      <c r="M1486" s="2" t="s">
        <v>12</v>
      </c>
      <c r="N1486" s="4">
        <f t="shared" si="1"/>
        <v>44193</v>
      </c>
      <c r="O1486" s="5" t="str">
        <f>IFERROR(__xludf.DUMMYFUNCTION("IF(REGEXMATCH(TRIM(I1486), ""^\d+\s*min""), ""Unclassified"", IF(I1486 = """", ""NR"", I1486))"),"PG-13")</f>
        <v>PG-13</v>
      </c>
      <c r="R1486" s="5" t="str">
        <f t="shared" si="2"/>
        <v>Cops And Robbers</v>
      </c>
      <c r="S1486" s="5" t="str">
        <f>IFERROR(__xludf.DUMMYFUNCTION("""COMPUTED_VALUE"""),"Chhota Bheem: Master Of Shaolin")</f>
        <v>Chhota Bheem: Master Of Shaolin</v>
      </c>
      <c r="U1486" s="5" t="str">
        <f>IFERROR(__xludf.DUMMYFUNCTION("""COMPUTED_VALUE"""),"Upi Avianto")</f>
        <v>Upi Avianto</v>
      </c>
      <c r="V1486" s="5" t="s">
        <v>8721</v>
      </c>
      <c r="W1486" s="5" t="str">
        <f t="shared" si="3"/>
        <v>Gregory Hoblit</v>
      </c>
      <c r="X1486" s="5">
        <f t="shared" si="4"/>
        <v>4</v>
      </c>
      <c r="Y1486" s="5" t="str">
        <f>IFERROR(__xludf.DUMMYFUNCTION("REGEXEXTRACT(J1486, ""^\d+"")"),"8")</f>
        <v>8</v>
      </c>
      <c r="Z1486" s="5" t="str">
        <f>IFERROR(__xludf.DUMMYFUNCTION("REGEXEXTRACT(J1486, ""[A-Za-z ]+$"")")," min")</f>
        <v> min</v>
      </c>
      <c r="AA1486" s="5" t="str">
        <f>IFERROR(__xludf.DUMMYFUNCTION("IF(REGEXMATCH(Z1486, ""Season""), ""TV Show"", ""Movie"")"),"Movie")</f>
        <v>Movie</v>
      </c>
    </row>
    <row r="1487">
      <c r="A1487" s="1" t="s">
        <v>8722</v>
      </c>
      <c r="B1487" s="1" t="s">
        <v>27</v>
      </c>
      <c r="C1487" s="1" t="s">
        <v>8723</v>
      </c>
      <c r="D1487" s="1" t="s">
        <v>8589</v>
      </c>
      <c r="E1487" s="1" t="s">
        <v>8724</v>
      </c>
      <c r="F1487" s="1" t="s">
        <v>897</v>
      </c>
      <c r="G1487" s="1" t="s">
        <v>8713</v>
      </c>
      <c r="H1487" s="1">
        <v>2011.0</v>
      </c>
      <c r="I1487" s="1" t="s">
        <v>78</v>
      </c>
      <c r="J1487" s="1" t="s">
        <v>297</v>
      </c>
      <c r="K1487" s="1" t="s">
        <v>137</v>
      </c>
      <c r="L1487" s="1" t="s">
        <v>8725</v>
      </c>
      <c r="M1487" s="2" t="s">
        <v>12</v>
      </c>
      <c r="N1487" s="4">
        <f t="shared" si="1"/>
        <v>44193</v>
      </c>
      <c r="O1487" s="5" t="str">
        <f>IFERROR(__xludf.DUMMYFUNCTION("IF(REGEXMATCH(TRIM(I1487), ""^\d+\s*min""), ""Unclassified"", IF(I1487 = """", ""NR"", I1487))"),"PG")</f>
        <v>PG</v>
      </c>
      <c r="R1487" s="5" t="str">
        <f t="shared" si="2"/>
        <v>Rango</v>
      </c>
      <c r="S1487" s="5" t="str">
        <f>IFERROR(__xludf.DUMMYFUNCTION("""COMPUTED_VALUE"""),"Chhota Bheem: The Rise Of Kirmada")</f>
        <v>Chhota Bheem: The Rise Of Kirmada</v>
      </c>
      <c r="U1487" s="5" t="str">
        <f>IFERROR(__xludf.DUMMYFUNCTION("""COMPUTED_VALUE"""),"Yoon Sung-Hyun")</f>
        <v>Yoon Sung-Hyun</v>
      </c>
      <c r="V1487" s="5" t="s">
        <v>8726</v>
      </c>
      <c r="W1487" s="5" t="str">
        <f t="shared" si="3"/>
        <v>Gregory Jacobs</v>
      </c>
      <c r="X1487" s="5">
        <f t="shared" si="4"/>
        <v>1</v>
      </c>
      <c r="Y1487" s="5" t="str">
        <f>IFERROR(__xludf.DUMMYFUNCTION("REGEXEXTRACT(J1487, ""^\d+"")"),"110")</f>
        <v>110</v>
      </c>
      <c r="Z1487" s="5" t="str">
        <f>IFERROR(__xludf.DUMMYFUNCTION("REGEXEXTRACT(J1487, ""[A-Za-z ]+$"")")," min")</f>
        <v> min</v>
      </c>
      <c r="AA1487" s="5" t="str">
        <f>IFERROR(__xludf.DUMMYFUNCTION("IF(REGEXMATCH(Z1487, ""Season""), ""TV Show"", ""Movie"")"),"Movie")</f>
        <v>Movie</v>
      </c>
    </row>
    <row r="1488">
      <c r="A1488" s="1" t="s">
        <v>8727</v>
      </c>
      <c r="B1488" s="1" t="s">
        <v>27</v>
      </c>
      <c r="C1488" s="1" t="s">
        <v>8728</v>
      </c>
      <c r="D1488" s="1" t="s">
        <v>830</v>
      </c>
      <c r="E1488" s="1" t="s">
        <v>8729</v>
      </c>
      <c r="F1488" s="1" t="s">
        <v>30</v>
      </c>
      <c r="G1488" s="1" t="s">
        <v>8730</v>
      </c>
      <c r="H1488" s="1">
        <v>2020.0</v>
      </c>
      <c r="I1488" s="1" t="s">
        <v>42</v>
      </c>
      <c r="J1488" s="1" t="s">
        <v>5650</v>
      </c>
      <c r="K1488" s="1" t="s">
        <v>239</v>
      </c>
      <c r="L1488" s="1" t="s">
        <v>8731</v>
      </c>
      <c r="M1488" s="2" t="s">
        <v>12</v>
      </c>
      <c r="N1488" s="4">
        <f t="shared" si="1"/>
        <v>44192</v>
      </c>
      <c r="O1488" s="5" t="str">
        <f>IFERROR(__xludf.DUMMYFUNCTION("IF(REGEXMATCH(TRIM(I1488), ""^\d+\s*min""), ""Unclassified"", IF(I1488 = """", ""NR"", I1488))"),"TV-MA")</f>
        <v>TV-MA</v>
      </c>
      <c r="R1488" s="5" t="str">
        <f t="shared" si="2"/>
        <v>Death To 2020</v>
      </c>
      <c r="S1488" s="5" t="str">
        <f>IFERROR(__xludf.DUMMYFUNCTION("""COMPUTED_VALUE"""),"Chicago Med")</f>
        <v>Chicago Med</v>
      </c>
      <c r="U1488" s="5" t="str">
        <f>IFERROR(__xludf.DUMMYFUNCTION("""COMPUTED_VALUE"""),"Rachel Mason")</f>
        <v>Rachel Mason</v>
      </c>
      <c r="V1488" s="5" t="s">
        <v>3820</v>
      </c>
      <c r="W1488" s="5" t="str">
        <f t="shared" si="3"/>
        <v>Gregory Nava</v>
      </c>
      <c r="X1488" s="5">
        <f t="shared" si="4"/>
        <v>1</v>
      </c>
      <c r="Y1488" s="5" t="str">
        <f>IFERROR(__xludf.DUMMYFUNCTION("REGEXEXTRACT(J1488, ""^\d+"")"),"71")</f>
        <v>71</v>
      </c>
      <c r="Z1488" s="5" t="str">
        <f>IFERROR(__xludf.DUMMYFUNCTION("REGEXEXTRACT(J1488, ""[A-Za-z ]+$"")")," min")</f>
        <v> min</v>
      </c>
      <c r="AA1488" s="5" t="str">
        <f>IFERROR(__xludf.DUMMYFUNCTION("IF(REGEXMATCH(Z1488, ""Season""), ""TV Show"", ""Movie"")"),"Movie")</f>
        <v>Movie</v>
      </c>
    </row>
    <row r="1489">
      <c r="A1489" s="1" t="s">
        <v>8732</v>
      </c>
      <c r="B1489" s="1" t="s">
        <v>37</v>
      </c>
      <c r="C1489" s="1" t="s">
        <v>8733</v>
      </c>
      <c r="E1489" s="1" t="s">
        <v>8734</v>
      </c>
      <c r="F1489" s="1" t="s">
        <v>8735</v>
      </c>
      <c r="G1489" s="1" t="s">
        <v>8730</v>
      </c>
      <c r="H1489" s="1">
        <v>2019.0</v>
      </c>
      <c r="I1489" s="1" t="s">
        <v>42</v>
      </c>
      <c r="J1489" s="1" t="s">
        <v>51</v>
      </c>
      <c r="K1489" s="1" t="s">
        <v>1362</v>
      </c>
      <c r="L1489" s="1" t="s">
        <v>8736</v>
      </c>
      <c r="M1489" s="2" t="s">
        <v>12</v>
      </c>
      <c r="N1489" s="4">
        <f t="shared" si="1"/>
        <v>44192</v>
      </c>
      <c r="O1489" s="5" t="str">
        <f>IFERROR(__xludf.DUMMYFUNCTION("IF(REGEXMATCH(TRIM(I1489), ""^\d+\s*min""), ""Unclassified"", IF(I1489 = """", ""NR"", I1489))"),"TV-MA")</f>
        <v>TV-MA</v>
      </c>
      <c r="R1489" s="5" t="str">
        <f t="shared" si="2"/>
        <v>Sakho &amp; Mangane</v>
      </c>
      <c r="S1489" s="5" t="str">
        <f>IFERROR(__xludf.DUMMYFUNCTION("""COMPUTED_VALUE"""),"Chicago Party Aunt")</f>
        <v>Chicago Party Aunt</v>
      </c>
      <c r="U1489" s="5" t="str">
        <f>IFERROR(__xludf.DUMMYFUNCTION("""COMPUTED_VALUE"""),"Patryk Vega")</f>
        <v>Patryk Vega</v>
      </c>
      <c r="V1489" s="5" t="s">
        <v>8052</v>
      </c>
      <c r="W1489" s="5" t="str">
        <f t="shared" si="3"/>
        <v>Gregory Plotkin</v>
      </c>
      <c r="X1489" s="5">
        <f t="shared" si="4"/>
        <v>1</v>
      </c>
      <c r="Y1489" s="5" t="str">
        <f>IFERROR(__xludf.DUMMYFUNCTION("REGEXEXTRACT(J1489, ""^\d+"")"),"1")</f>
        <v>1</v>
      </c>
      <c r="Z1489" s="5" t="str">
        <f>IFERROR(__xludf.DUMMYFUNCTION("REGEXEXTRACT(J1489, ""[A-Za-z ]+$"")")," Season")</f>
        <v> Season</v>
      </c>
      <c r="AA1489" s="5" t="str">
        <f>IFERROR(__xludf.DUMMYFUNCTION("IF(REGEXMATCH(Z1489, ""Season""), ""TV Show"", ""Movie"")"),"TV Show")</f>
        <v>TV Show</v>
      </c>
    </row>
    <row r="1490">
      <c r="A1490" s="1" t="s">
        <v>8737</v>
      </c>
      <c r="B1490" s="1" t="s">
        <v>27</v>
      </c>
      <c r="C1490" s="1" t="s">
        <v>8738</v>
      </c>
      <c r="D1490" s="1" t="s">
        <v>8739</v>
      </c>
      <c r="E1490" s="1" t="s">
        <v>8740</v>
      </c>
      <c r="F1490" s="1" t="s">
        <v>2377</v>
      </c>
      <c r="G1490" s="1" t="s">
        <v>8741</v>
      </c>
      <c r="H1490" s="1">
        <v>2020.0</v>
      </c>
      <c r="I1490" s="1" t="s">
        <v>42</v>
      </c>
      <c r="J1490" s="1" t="s">
        <v>79</v>
      </c>
      <c r="K1490" s="1" t="s">
        <v>128</v>
      </c>
      <c r="L1490" s="1" t="s">
        <v>8742</v>
      </c>
      <c r="M1490" s="2" t="s">
        <v>12</v>
      </c>
      <c r="N1490" s="4">
        <f t="shared" si="1"/>
        <v>44191</v>
      </c>
      <c r="O1490" s="5" t="str">
        <f>IFERROR(__xludf.DUMMYFUNCTION("IF(REGEXMATCH(TRIM(I1490), ""^\d+\s*min""), ""Unclassified"", IF(I1490 = """", ""NR"", I1490))"),"TV-MA")</f>
        <v>TV-MA</v>
      </c>
      <c r="R1490" s="5" t="str">
        <f t="shared" si="2"/>
        <v>Dna</v>
      </c>
      <c r="S1490" s="5" t="str">
        <f>IFERROR(__xludf.DUMMYFUNCTION("""COMPUTED_VALUE"""),"Chicago Typewriter")</f>
        <v>Chicago Typewriter</v>
      </c>
      <c r="U1490" s="5" t="str">
        <f>IFERROR(__xludf.DUMMYFUNCTION("""COMPUTED_VALUE"""),"Marc Vigil")</f>
        <v>Marc Vigil</v>
      </c>
      <c r="V1490" s="5" t="s">
        <v>8743</v>
      </c>
      <c r="W1490" s="5" t="str">
        <f t="shared" si="3"/>
        <v>Greta Gerwig</v>
      </c>
      <c r="X1490" s="5">
        <f t="shared" si="4"/>
        <v>1</v>
      </c>
      <c r="Y1490" s="5" t="str">
        <f>IFERROR(__xludf.DUMMYFUNCTION("REGEXEXTRACT(J1490, ""^\d+"")"),"91")</f>
        <v>91</v>
      </c>
      <c r="Z1490" s="5" t="str">
        <f>IFERROR(__xludf.DUMMYFUNCTION("REGEXEXTRACT(J1490, ""[A-Za-z ]+$"")")," min")</f>
        <v> min</v>
      </c>
      <c r="AA1490" s="5" t="str">
        <f>IFERROR(__xludf.DUMMYFUNCTION("IF(REGEXMATCH(Z1490, ""Season""), ""TV Show"", ""Movie"")"),"Movie")</f>
        <v>Movie</v>
      </c>
    </row>
    <row r="1491">
      <c r="A1491" s="1" t="s">
        <v>8744</v>
      </c>
      <c r="B1491" s="1" t="s">
        <v>37</v>
      </c>
      <c r="C1491" s="1" t="s">
        <v>8745</v>
      </c>
      <c r="F1491" s="1" t="s">
        <v>63</v>
      </c>
      <c r="G1491" s="1" t="s">
        <v>8741</v>
      </c>
      <c r="H1491" s="1">
        <v>2020.0</v>
      </c>
      <c r="I1491" s="1" t="s">
        <v>136</v>
      </c>
      <c r="J1491" s="1" t="s">
        <v>43</v>
      </c>
      <c r="K1491" s="1" t="s">
        <v>507</v>
      </c>
      <c r="L1491" s="1" t="s">
        <v>8746</v>
      </c>
      <c r="M1491" s="2" t="s">
        <v>12</v>
      </c>
      <c r="N1491" s="4">
        <f t="shared" si="1"/>
        <v>44191</v>
      </c>
      <c r="O1491" s="5" t="str">
        <f>IFERROR(__xludf.DUMMYFUNCTION("IF(REGEXMATCH(TRIM(I1491), ""^\d+\s*min""), ""Unclassified"", IF(I1491 = """", ""NR"", I1491))"),"TV-PG")</f>
        <v>TV-PG</v>
      </c>
      <c r="R1491" s="5" t="str">
        <f t="shared" si="2"/>
        <v>Regiment Diaries</v>
      </c>
      <c r="S1491" s="5" t="str">
        <f>IFERROR(__xludf.DUMMYFUNCTION("""COMPUTED_VALUE"""),"Chicken Kokkachi")</f>
        <v>Chicken Kokkachi</v>
      </c>
      <c r="U1491" s="5" t="str">
        <f>IFERROR(__xludf.DUMMYFUNCTION("""COMPUTED_VALUE"""),"Kris Pearn")</f>
        <v>Kris Pearn</v>
      </c>
      <c r="V1491" s="5" t="s">
        <v>8747</v>
      </c>
      <c r="W1491" s="5" t="str">
        <f t="shared" si="3"/>
        <v>Griffin Dunne</v>
      </c>
      <c r="X1491" s="5">
        <f t="shared" si="4"/>
        <v>1</v>
      </c>
      <c r="Y1491" s="5" t="str">
        <f>IFERROR(__xludf.DUMMYFUNCTION("REGEXEXTRACT(J1491, ""^\d+"")"),"2")</f>
        <v>2</v>
      </c>
      <c r="Z1491" s="5" t="str">
        <f>IFERROR(__xludf.DUMMYFUNCTION("REGEXEXTRACT(J1491, ""[A-Za-z ]+$"")")," Seasons")</f>
        <v> Seasons</v>
      </c>
      <c r="AA1491" s="5" t="str">
        <f>IFERROR(__xludf.DUMMYFUNCTION("IF(REGEXMATCH(Z1491, ""Season""), ""TV Show"", ""Movie"")"),"TV Show")</f>
        <v>TV Show</v>
      </c>
    </row>
    <row r="1492">
      <c r="A1492" s="1" t="s">
        <v>8748</v>
      </c>
      <c r="B1492" s="1" t="s">
        <v>27</v>
      </c>
      <c r="C1492" s="1" t="s">
        <v>8749</v>
      </c>
      <c r="D1492" s="1" t="s">
        <v>8750</v>
      </c>
      <c r="E1492" s="1" t="s">
        <v>8751</v>
      </c>
      <c r="F1492" s="1" t="s">
        <v>1106</v>
      </c>
      <c r="G1492" s="1" t="s">
        <v>8741</v>
      </c>
      <c r="H1492" s="1">
        <v>2020.0</v>
      </c>
      <c r="I1492" s="1" t="s">
        <v>206</v>
      </c>
      <c r="J1492" s="1" t="s">
        <v>3060</v>
      </c>
      <c r="K1492" s="1" t="s">
        <v>80</v>
      </c>
      <c r="L1492" s="1" t="s">
        <v>8752</v>
      </c>
      <c r="M1492" s="2" t="s">
        <v>12</v>
      </c>
      <c r="N1492" s="4">
        <f t="shared" si="1"/>
        <v>44191</v>
      </c>
      <c r="O1492" s="5" t="str">
        <f>IFERROR(__xludf.DUMMYFUNCTION("IF(REGEXMATCH(TRIM(I1492), ""^\d+\s*min""), ""Unclassified"", IF(I1492 = """", ""NR"", I1492))"),"TV-Y")</f>
        <v>TV-Y</v>
      </c>
      <c r="R1492" s="5" t="str">
        <f t="shared" si="2"/>
        <v>The Magic School Bus Rides Again In The Zone</v>
      </c>
      <c r="S1492" s="5" t="str">
        <f>IFERROR(__xludf.DUMMYFUNCTION("""COMPUTED_VALUE"""),"Chicken Little")</f>
        <v>Chicken Little</v>
      </c>
      <c r="U1492" s="5" t="str">
        <f>IFERROR(__xludf.DUMMYFUNCTION("""COMPUTED_VALUE"""),"Ryan Polito")</f>
        <v>Ryan Polito</v>
      </c>
      <c r="V1492" s="5" t="s">
        <v>8753</v>
      </c>
      <c r="W1492" s="5" t="str">
        <f t="shared" si="3"/>
        <v>Guilherme Fontes</v>
      </c>
      <c r="X1492" s="5">
        <f t="shared" si="4"/>
        <v>1</v>
      </c>
      <c r="Y1492" s="5" t="str">
        <f>IFERROR(__xludf.DUMMYFUNCTION("REGEXEXTRACT(J1492, ""^\d+"")"),"46")</f>
        <v>46</v>
      </c>
      <c r="Z1492" s="5" t="str">
        <f>IFERROR(__xludf.DUMMYFUNCTION("REGEXEXTRACT(J1492, ""[A-Za-z ]+$"")")," min")</f>
        <v> min</v>
      </c>
      <c r="AA1492" s="5" t="str">
        <f>IFERROR(__xludf.DUMMYFUNCTION("IF(REGEXMATCH(Z1492, ""Season""), ""TV Show"", ""Movie"")"),"Movie")</f>
        <v>Movie</v>
      </c>
    </row>
    <row r="1493">
      <c r="A1493" s="1" t="s">
        <v>8754</v>
      </c>
      <c r="B1493" s="1" t="s">
        <v>27</v>
      </c>
      <c r="C1493" s="1" t="s">
        <v>8755</v>
      </c>
      <c r="D1493" s="1" t="s">
        <v>8756</v>
      </c>
      <c r="E1493" s="1" t="s">
        <v>8757</v>
      </c>
      <c r="F1493" s="1" t="s">
        <v>63</v>
      </c>
      <c r="G1493" s="1" t="s">
        <v>8758</v>
      </c>
      <c r="H1493" s="1">
        <v>2020.0</v>
      </c>
      <c r="I1493" s="1" t="s">
        <v>42</v>
      </c>
      <c r="J1493" s="1" t="s">
        <v>1065</v>
      </c>
      <c r="K1493" s="1" t="s">
        <v>583</v>
      </c>
      <c r="L1493" s="1" t="s">
        <v>8759</v>
      </c>
      <c r="M1493" s="2" t="s">
        <v>12</v>
      </c>
      <c r="N1493" s="4">
        <f t="shared" si="1"/>
        <v>44190</v>
      </c>
      <c r="O1493" s="5" t="str">
        <f>IFERROR(__xludf.DUMMYFUNCTION("IF(REGEXMATCH(TRIM(I1493), ""^\d+\s*min""), ""Unclassified"", IF(I1493 = """", ""NR"", I1493))"),"TV-MA")</f>
        <v>TV-MA</v>
      </c>
      <c r="R1493" s="5" t="str">
        <f t="shared" si="2"/>
        <v>Ak Vs Ak</v>
      </c>
      <c r="S1493" s="5" t="str">
        <f>IFERROR(__xludf.DUMMYFUNCTION("""COMPUTED_VALUE"""),"Chicken Soup For The Soul'S Being Dad")</f>
        <v>Chicken Soup For The Soul'S Being Dad</v>
      </c>
      <c r="U1493" s="5" t="str">
        <f>IFERROR(__xludf.DUMMYFUNCTION("""COMPUTED_VALUE"""),"Anoop Sathyan")</f>
        <v>Anoop Sathyan</v>
      </c>
      <c r="V1493" s="5" t="s">
        <v>8760</v>
      </c>
      <c r="W1493" s="5" t="str">
        <f t="shared" si="3"/>
        <v>Guillaume Pierret</v>
      </c>
      <c r="X1493" s="5">
        <f t="shared" si="4"/>
        <v>1</v>
      </c>
      <c r="Y1493" s="5" t="str">
        <f>IFERROR(__xludf.DUMMYFUNCTION("REGEXEXTRACT(J1493, ""^\d+"")"),"109")</f>
        <v>109</v>
      </c>
      <c r="Z1493" s="5" t="str">
        <f>IFERROR(__xludf.DUMMYFUNCTION("REGEXEXTRACT(J1493, ""[A-Za-z ]+$"")")," min")</f>
        <v> min</v>
      </c>
      <c r="AA1493" s="5" t="str">
        <f>IFERROR(__xludf.DUMMYFUNCTION("IF(REGEXMATCH(Z1493, ""Season""), ""TV Show"", ""Movie"")"),"Movie")</f>
        <v>Movie</v>
      </c>
    </row>
    <row r="1494">
      <c r="A1494" s="1" t="s">
        <v>8761</v>
      </c>
      <c r="B1494" s="1" t="s">
        <v>37</v>
      </c>
      <c r="C1494" s="1" t="s">
        <v>8762</v>
      </c>
      <c r="E1494" s="1" t="s">
        <v>8763</v>
      </c>
      <c r="F1494" s="1" t="s">
        <v>30</v>
      </c>
      <c r="G1494" s="1" t="s">
        <v>8758</v>
      </c>
      <c r="H1494" s="1">
        <v>2020.0</v>
      </c>
      <c r="I1494" s="1" t="s">
        <v>42</v>
      </c>
      <c r="J1494" s="1" t="s">
        <v>51</v>
      </c>
      <c r="K1494" s="1" t="s">
        <v>3083</v>
      </c>
      <c r="L1494" s="1" t="s">
        <v>8764</v>
      </c>
      <c r="M1494" s="2" t="s">
        <v>12</v>
      </c>
      <c r="N1494" s="4">
        <f t="shared" si="1"/>
        <v>44190</v>
      </c>
      <c r="O1494" s="5" t="str">
        <f>IFERROR(__xludf.DUMMYFUNCTION("IF(REGEXMATCH(TRIM(I1494), ""^\d+\s*min""), ""Unclassified"", IF(I1494 = """", ""NR"", I1494))"),"TV-MA")</f>
        <v>TV-MA</v>
      </c>
      <c r="R1494" s="5" t="str">
        <f t="shared" si="2"/>
        <v>Bridgerton</v>
      </c>
      <c r="S1494" s="5" t="str">
        <f>IFERROR(__xludf.DUMMYFUNCTION("""COMPUTED_VALUE"""),"Chico Bon Bon And The Very Berry Holiday")</f>
        <v>Chico Bon Bon And The Very Berry Holiday</v>
      </c>
      <c r="U1494" s="5" t="str">
        <f>IFERROR(__xludf.DUMMYFUNCTION("""COMPUTED_VALUE"""),"Müfit Can Saçıntı")</f>
        <v>Müfit Can Saçıntı</v>
      </c>
      <c r="V1494" s="5" t="s">
        <v>8765</v>
      </c>
      <c r="W1494" s="5" t="str">
        <f t="shared" si="3"/>
        <v>Guillermo De Oliveira</v>
      </c>
      <c r="X1494" s="5">
        <f t="shared" si="4"/>
        <v>1</v>
      </c>
      <c r="Y1494" s="5" t="str">
        <f>IFERROR(__xludf.DUMMYFUNCTION("REGEXEXTRACT(J1494, ""^\d+"")"),"1")</f>
        <v>1</v>
      </c>
      <c r="Z1494" s="5" t="str">
        <f>IFERROR(__xludf.DUMMYFUNCTION("REGEXEXTRACT(J1494, ""[A-Za-z ]+$"")")," Season")</f>
        <v> Season</v>
      </c>
      <c r="AA1494" s="5" t="str">
        <f>IFERROR(__xludf.DUMMYFUNCTION("IF(REGEXMATCH(Z1494, ""Season""), ""TV Show"", ""Movie"")"),"TV Show")</f>
        <v>TV Show</v>
      </c>
    </row>
    <row r="1495">
      <c r="A1495" s="1" t="s">
        <v>8766</v>
      </c>
      <c r="B1495" s="1" t="s">
        <v>27</v>
      </c>
      <c r="C1495" s="1" t="s">
        <v>8767</v>
      </c>
      <c r="D1495" s="1" t="s">
        <v>8768</v>
      </c>
      <c r="E1495" s="1" t="s">
        <v>8769</v>
      </c>
      <c r="F1495" s="1" t="s">
        <v>4287</v>
      </c>
      <c r="G1495" s="1" t="s">
        <v>8758</v>
      </c>
      <c r="H1495" s="1">
        <v>2019.0</v>
      </c>
      <c r="I1495" s="1" t="s">
        <v>506</v>
      </c>
      <c r="J1495" s="1" t="s">
        <v>447</v>
      </c>
      <c r="K1495" s="1" t="s">
        <v>3183</v>
      </c>
      <c r="L1495" s="1" t="s">
        <v>8770</v>
      </c>
      <c r="M1495" s="2" t="s">
        <v>12</v>
      </c>
      <c r="N1495" s="4">
        <f t="shared" si="1"/>
        <v>44190</v>
      </c>
      <c r="O1495" s="5" t="str">
        <f>IFERROR(__xludf.DUMMYFUNCTION("IF(REGEXMATCH(TRIM(I1495), ""^\d+\s*min""), ""Unclassified"", IF(I1495 = """", ""NR"", I1495))"),"TV-G")</f>
        <v>TV-G</v>
      </c>
      <c r="R1495" s="5" t="str">
        <f t="shared" si="2"/>
        <v>Isa Pa With Feelings</v>
      </c>
      <c r="S1495" s="5" t="str">
        <f>IFERROR(__xludf.DUMMYFUNCTION("""COMPUTED_VALUE"""),"Chico Bon Bon: Monkey With A Tool Belt")</f>
        <v>Chico Bon Bon: Monkey With A Tool Belt</v>
      </c>
      <c r="U1495" s="5" t="str">
        <f>IFERROR(__xludf.DUMMYFUNCTION("""COMPUTED_VALUE"""),"Cüneyt Kaya")</f>
        <v>Cüneyt Kaya</v>
      </c>
      <c r="V1495" s="5" t="s">
        <v>8771</v>
      </c>
      <c r="W1495" s="5" t="str">
        <f t="shared" si="3"/>
        <v>Guillermo Del Toro</v>
      </c>
      <c r="X1495" s="5">
        <f t="shared" si="4"/>
        <v>3</v>
      </c>
      <c r="Y1495" s="5" t="str">
        <f>IFERROR(__xludf.DUMMYFUNCTION("REGEXEXTRACT(J1495, ""^\d+"")"),"102")</f>
        <v>102</v>
      </c>
      <c r="Z1495" s="5" t="str">
        <f>IFERROR(__xludf.DUMMYFUNCTION("REGEXEXTRACT(J1495, ""[A-Za-z ]+$"")")," min")</f>
        <v> min</v>
      </c>
      <c r="AA1495" s="5" t="str">
        <f>IFERROR(__xludf.DUMMYFUNCTION("IF(REGEXMATCH(Z1495, ""Season""), ""TV Show"", ""Movie"")"),"Movie")</f>
        <v>Movie</v>
      </c>
    </row>
    <row r="1496">
      <c r="A1496" s="1" t="s">
        <v>8772</v>
      </c>
      <c r="B1496" s="1" t="s">
        <v>27</v>
      </c>
      <c r="C1496" s="1" t="s">
        <v>8773</v>
      </c>
      <c r="D1496" s="1" t="s">
        <v>5217</v>
      </c>
      <c r="E1496" s="1" t="s">
        <v>8774</v>
      </c>
      <c r="F1496" s="1" t="s">
        <v>30</v>
      </c>
      <c r="G1496" s="1" t="s">
        <v>8758</v>
      </c>
      <c r="H1496" s="1">
        <v>2020.0</v>
      </c>
      <c r="I1496" s="1" t="s">
        <v>78</v>
      </c>
      <c r="J1496" s="1" t="s">
        <v>1091</v>
      </c>
      <c r="K1496" s="1" t="s">
        <v>137</v>
      </c>
      <c r="L1496" s="1" t="s">
        <v>8775</v>
      </c>
      <c r="M1496" s="2" t="s">
        <v>12</v>
      </c>
      <c r="N1496" s="4">
        <f t="shared" si="1"/>
        <v>44190</v>
      </c>
      <c r="O1496" s="5" t="str">
        <f>IFERROR(__xludf.DUMMYFUNCTION("IF(REGEXMATCH(TRIM(I1496), ""^\d+\s*min""), ""Unclassified"", IF(I1496 = """", ""NR"", I1496))"),"PG")</f>
        <v>PG</v>
      </c>
      <c r="R1496" s="5" t="str">
        <f t="shared" si="2"/>
        <v>We Can Be Heroes</v>
      </c>
      <c r="S1496" s="5" t="str">
        <f>IFERROR(__xludf.DUMMYFUNCTION("""COMPUTED_VALUE"""),"Chief Daddy")</f>
        <v>Chief Daddy</v>
      </c>
      <c r="U1496" s="5" t="str">
        <f>IFERROR(__xludf.DUMMYFUNCTION("""COMPUTED_VALUE"""),"Greg Barker")</f>
        <v>Greg Barker</v>
      </c>
      <c r="V1496" s="5" t="s">
        <v>8776</v>
      </c>
      <c r="W1496" s="5" t="str">
        <f t="shared" si="3"/>
        <v>Guillermo Garcia, David Cantolla</v>
      </c>
      <c r="X1496" s="5">
        <f t="shared" si="4"/>
        <v>1</v>
      </c>
      <c r="Y1496" s="5" t="str">
        <f>IFERROR(__xludf.DUMMYFUNCTION("REGEXEXTRACT(J1496, ""^\d+"")"),"101")</f>
        <v>101</v>
      </c>
      <c r="Z1496" s="5" t="str">
        <f>IFERROR(__xludf.DUMMYFUNCTION("REGEXEXTRACT(J1496, ""[A-Za-z ]+$"")")," min")</f>
        <v> min</v>
      </c>
      <c r="AA1496" s="5" t="str">
        <f>IFERROR(__xludf.DUMMYFUNCTION("IF(REGEXMATCH(Z1496, ""Season""), ""TV Show"", ""Movie"")"),"Movie")</f>
        <v>Movie</v>
      </c>
    </row>
    <row r="1497">
      <c r="A1497" s="1" t="s">
        <v>8777</v>
      </c>
      <c r="B1497" s="1" t="s">
        <v>27</v>
      </c>
      <c r="C1497" s="1" t="s">
        <v>8778</v>
      </c>
      <c r="D1497" s="1" t="s">
        <v>1758</v>
      </c>
      <c r="E1497" s="1" t="s">
        <v>8779</v>
      </c>
      <c r="F1497" s="1" t="s">
        <v>2873</v>
      </c>
      <c r="G1497" s="1" t="s">
        <v>8780</v>
      </c>
      <c r="H1497" s="1">
        <v>2019.0</v>
      </c>
      <c r="I1497" s="1" t="s">
        <v>42</v>
      </c>
      <c r="J1497" s="1" t="s">
        <v>170</v>
      </c>
      <c r="K1497" s="1" t="s">
        <v>583</v>
      </c>
      <c r="L1497" s="1" t="s">
        <v>8781</v>
      </c>
      <c r="M1497" s="2" t="s">
        <v>12</v>
      </c>
      <c r="N1497" s="4">
        <f t="shared" si="1"/>
        <v>44189</v>
      </c>
      <c r="O1497" s="5" t="str">
        <f>IFERROR(__xludf.DUMMYFUNCTION("IF(REGEXMATCH(TRIM(I1497), ""^\d+\s*min""), ""Unclassified"", IF(I1497 = """", ""NR"", I1497))"),"TV-MA")</f>
        <v>TV-MA</v>
      </c>
      <c r="R1497" s="5" t="str">
        <f t="shared" si="2"/>
        <v>Bridezilla</v>
      </c>
      <c r="S1497" s="5" t="str">
        <f>IFERROR(__xludf.DUMMYFUNCTION("""COMPUTED_VALUE"""),"Chief Of Staff")</f>
        <v>Chief Of Staff</v>
      </c>
      <c r="U1497" s="5" t="str">
        <f>IFERROR(__xludf.DUMMYFUNCTION("""COMPUTED_VALUE"""),"Leticia Jorge Romero")</f>
        <v>Leticia Jorge Romero</v>
      </c>
      <c r="V1497" s="5" t="s">
        <v>8782</v>
      </c>
      <c r="W1497" s="5" t="str">
        <f t="shared" si="3"/>
        <v>Gulzar</v>
      </c>
      <c r="X1497" s="5">
        <f t="shared" si="4"/>
        <v>1</v>
      </c>
      <c r="Y1497" s="5" t="str">
        <f>IFERROR(__xludf.DUMMYFUNCTION("REGEXEXTRACT(J1497, ""^\d+"")"),"94")</f>
        <v>94</v>
      </c>
      <c r="Z1497" s="5" t="str">
        <f>IFERROR(__xludf.DUMMYFUNCTION("REGEXEXTRACT(J1497, ""[A-Za-z ]+$"")")," min")</f>
        <v> min</v>
      </c>
      <c r="AA1497" s="5" t="str">
        <f>IFERROR(__xludf.DUMMYFUNCTION("IF(REGEXMATCH(Z1497, ""Season""), ""TV Show"", ""Movie"")"),"Movie")</f>
        <v>Movie</v>
      </c>
    </row>
    <row r="1498">
      <c r="A1498" s="1" t="s">
        <v>8783</v>
      </c>
      <c r="B1498" s="1" t="s">
        <v>27</v>
      </c>
      <c r="C1498" s="1" t="s">
        <v>8784</v>
      </c>
      <c r="D1498" s="1" t="s">
        <v>8785</v>
      </c>
      <c r="E1498" s="1" t="s">
        <v>8786</v>
      </c>
      <c r="F1498" s="1" t="s">
        <v>2873</v>
      </c>
      <c r="G1498" s="1" t="s">
        <v>8780</v>
      </c>
      <c r="H1498" s="1">
        <v>2018.0</v>
      </c>
      <c r="I1498" s="1" t="s">
        <v>506</v>
      </c>
      <c r="J1498" s="1" t="s">
        <v>297</v>
      </c>
      <c r="K1498" s="1" t="s">
        <v>2983</v>
      </c>
      <c r="L1498" s="1" t="s">
        <v>8787</v>
      </c>
      <c r="M1498" s="2" t="s">
        <v>12</v>
      </c>
      <c r="N1498" s="4">
        <f t="shared" si="1"/>
        <v>44189</v>
      </c>
      <c r="O1498" s="5" t="str">
        <f>IFERROR(__xludf.DUMMYFUNCTION("IF(REGEXMATCH(TRIM(I1498), ""^\d+\s*min""), ""Unclassified"", IF(I1498 = """", ""NR"", I1498))"),"TV-G")</f>
        <v>TV-G</v>
      </c>
      <c r="R1498" s="5" t="str">
        <f t="shared" si="2"/>
        <v>Cemara'S Family</v>
      </c>
      <c r="S1498" s="5" t="str">
        <f>IFERROR(__xludf.DUMMYFUNCTION("""COMPUTED_VALUE"""),"Child'S Play")</f>
        <v>Child'S Play</v>
      </c>
      <c r="U1498" s="5" t="str">
        <f>IFERROR(__xludf.DUMMYFUNCTION("""COMPUTED_VALUE"""),"Adrien Lagier, Ousmane Ly")</f>
        <v>Adrien Lagier, Ousmane Ly</v>
      </c>
      <c r="V1498" s="5" t="s">
        <v>8788</v>
      </c>
      <c r="W1498" s="5" t="str">
        <f t="shared" si="3"/>
        <v>Guntur Soeharjanto</v>
      </c>
      <c r="X1498" s="5">
        <f t="shared" si="4"/>
        <v>1</v>
      </c>
      <c r="Y1498" s="5" t="str">
        <f>IFERROR(__xludf.DUMMYFUNCTION("REGEXEXTRACT(J1498, ""^\d+"")"),"110")</f>
        <v>110</v>
      </c>
      <c r="Z1498" s="5" t="str">
        <f>IFERROR(__xludf.DUMMYFUNCTION("REGEXEXTRACT(J1498, ""[A-Za-z ]+$"")")," min")</f>
        <v> min</v>
      </c>
      <c r="AA1498" s="5" t="str">
        <f>IFERROR(__xludf.DUMMYFUNCTION("IF(REGEXMATCH(Z1498, ""Season""), ""TV Show"", ""Movie"")"),"Movie")</f>
        <v>Movie</v>
      </c>
    </row>
    <row r="1499">
      <c r="A1499" s="1" t="s">
        <v>8789</v>
      </c>
      <c r="B1499" s="1" t="s">
        <v>27</v>
      </c>
      <c r="C1499" s="1" t="s">
        <v>8790</v>
      </c>
      <c r="D1499" s="1" t="s">
        <v>4260</v>
      </c>
      <c r="E1499" s="1" t="s">
        <v>8791</v>
      </c>
      <c r="F1499" s="1" t="s">
        <v>4287</v>
      </c>
      <c r="G1499" s="1" t="s">
        <v>8780</v>
      </c>
      <c r="H1499" s="1">
        <v>2019.0</v>
      </c>
      <c r="I1499" s="1" t="s">
        <v>97</v>
      </c>
      <c r="J1499" s="1" t="s">
        <v>743</v>
      </c>
      <c r="K1499" s="1" t="s">
        <v>679</v>
      </c>
      <c r="L1499" s="1" t="s">
        <v>8792</v>
      </c>
      <c r="M1499" s="2" t="s">
        <v>12</v>
      </c>
      <c r="N1499" s="4">
        <f t="shared" si="1"/>
        <v>44189</v>
      </c>
      <c r="O1499" s="5" t="str">
        <f>IFERROR(__xludf.DUMMYFUNCTION("IF(REGEXMATCH(TRIM(I1499), ""^\d+\s*min""), ""Unclassified"", IF(I1499 = """", ""NR"", I1499))"),"TV-14")</f>
        <v>TV-14</v>
      </c>
      <c r="R1499" s="5" t="str">
        <f t="shared" si="2"/>
        <v>Hello, Love, Goodbye</v>
      </c>
      <c r="S1499" s="5" t="str">
        <f>IFERROR(__xludf.DUMMYFUNCTION("""COMPUTED_VALUE"""),"Children Of Adam")</f>
        <v>Children Of Adam</v>
      </c>
      <c r="U1499" s="5" t="str">
        <f>IFERROR(__xludf.DUMMYFUNCTION("""COMPUTED_VALUE"""),"Ethan Coen, Joel Coen")</f>
        <v>Ethan Coen, Joel Coen</v>
      </c>
      <c r="V1499" s="5" t="s">
        <v>7924</v>
      </c>
      <c r="W1499" s="5" t="str">
        <f t="shared" si="3"/>
        <v>Guo Jingming</v>
      </c>
      <c r="X1499" s="5">
        <f t="shared" si="4"/>
        <v>1</v>
      </c>
      <c r="Y1499" s="5" t="str">
        <f>IFERROR(__xludf.DUMMYFUNCTION("REGEXEXTRACT(J1499, ""^\d+"")"),"117")</f>
        <v>117</v>
      </c>
      <c r="Z1499" s="5" t="str">
        <f>IFERROR(__xludf.DUMMYFUNCTION("REGEXEXTRACT(J1499, ""[A-Za-z ]+$"")")," min")</f>
        <v> min</v>
      </c>
      <c r="AA1499" s="5" t="str">
        <f>IFERROR(__xludf.DUMMYFUNCTION("IF(REGEXMATCH(Z1499, ""Season""), ""TV Show"", ""Movie"")"),"Movie")</f>
        <v>Movie</v>
      </c>
    </row>
    <row r="1500">
      <c r="A1500" s="1" t="s">
        <v>8793</v>
      </c>
      <c r="B1500" s="1" t="s">
        <v>27</v>
      </c>
      <c r="C1500" s="1" t="s">
        <v>8794</v>
      </c>
      <c r="D1500" s="1" t="s">
        <v>8795</v>
      </c>
      <c r="E1500" s="1" t="s">
        <v>8796</v>
      </c>
      <c r="F1500" s="1" t="s">
        <v>30</v>
      </c>
      <c r="G1500" s="1" t="s">
        <v>8797</v>
      </c>
      <c r="H1500" s="1">
        <v>2012.0</v>
      </c>
      <c r="I1500" s="1" t="s">
        <v>97</v>
      </c>
      <c r="J1500" s="1" t="s">
        <v>471</v>
      </c>
      <c r="K1500" s="1" t="s">
        <v>8798</v>
      </c>
      <c r="L1500" s="1" t="s">
        <v>8799</v>
      </c>
      <c r="M1500" s="2" t="s">
        <v>12</v>
      </c>
      <c r="N1500" s="4">
        <f t="shared" si="1"/>
        <v>44188</v>
      </c>
      <c r="O1500" s="5" t="str">
        <f>IFERROR(__xludf.DUMMYFUNCTION("IF(REGEXMATCH(TRIM(I1500), ""^\d+\s*min""), ""Unclassified"", IF(I1500 = """", ""NR"", I1500))"),"TV-14")</f>
        <v>TV-14</v>
      </c>
      <c r="R1500" s="5" t="str">
        <f t="shared" si="2"/>
        <v>The History Of Future Folk</v>
      </c>
      <c r="S1500" s="5" t="str">
        <f>IFERROR(__xludf.DUMMYFUNCTION("""COMPUTED_VALUE"""),"Children Of God")</f>
        <v>Children Of God</v>
      </c>
      <c r="U1500" s="5" t="str">
        <f>IFERROR(__xludf.DUMMYFUNCTION("""COMPUTED_VALUE"""),"Jon M. Chu")</f>
        <v>Jon M. Chu</v>
      </c>
      <c r="V1500" s="5" t="s">
        <v>8800</v>
      </c>
      <c r="W1500" s="5" t="str">
        <f t="shared" si="3"/>
        <v>Gupse Özay</v>
      </c>
      <c r="X1500" s="5">
        <f t="shared" si="4"/>
        <v>1</v>
      </c>
      <c r="Y1500" s="5" t="str">
        <f>IFERROR(__xludf.DUMMYFUNCTION("REGEXEXTRACT(J1500, ""^\d+"")"),"85")</f>
        <v>85</v>
      </c>
      <c r="Z1500" s="5" t="str">
        <f>IFERROR(__xludf.DUMMYFUNCTION("REGEXEXTRACT(J1500, ""[A-Za-z ]+$"")")," min")</f>
        <v> min</v>
      </c>
      <c r="AA1500" s="5" t="str">
        <f>IFERROR(__xludf.DUMMYFUNCTION("IF(REGEXMATCH(Z1500, ""Season""), ""TV Show"", ""Movie"")"),"Movie")</f>
        <v>Movie</v>
      </c>
    </row>
    <row r="1501">
      <c r="A1501" s="1" t="s">
        <v>8801</v>
      </c>
      <c r="B1501" s="1" t="s">
        <v>27</v>
      </c>
      <c r="C1501" s="1" t="s">
        <v>8802</v>
      </c>
      <c r="D1501" s="1" t="s">
        <v>8326</v>
      </c>
      <c r="E1501" s="1" t="s">
        <v>8803</v>
      </c>
      <c r="F1501" s="1" t="s">
        <v>30</v>
      </c>
      <c r="G1501" s="1" t="s">
        <v>8797</v>
      </c>
      <c r="H1501" s="1">
        <v>2020.0</v>
      </c>
      <c r="I1501" s="1" t="s">
        <v>32</v>
      </c>
      <c r="J1501" s="1" t="s">
        <v>804</v>
      </c>
      <c r="K1501" s="1" t="s">
        <v>805</v>
      </c>
      <c r="L1501" s="1" t="s">
        <v>8804</v>
      </c>
      <c r="M1501" s="2" t="s">
        <v>12</v>
      </c>
      <c r="N1501" s="4">
        <f t="shared" si="1"/>
        <v>44188</v>
      </c>
      <c r="O1501" s="5" t="str">
        <f>IFERROR(__xludf.DUMMYFUNCTION("IF(REGEXMATCH(TRIM(I1501), ""^\d+\s*min""), ""Unclassified"", IF(I1501 = """", ""NR"", I1501))"),"PG-13")</f>
        <v>PG-13</v>
      </c>
      <c r="R1501" s="5" t="str">
        <f t="shared" si="2"/>
        <v>The Midnight Sky</v>
      </c>
      <c r="S1501" s="5" t="str">
        <f>IFERROR(__xludf.DUMMYFUNCTION("""COMPUTED_VALUE"""),"Children Of The Sea")</f>
        <v>Children Of The Sea</v>
      </c>
      <c r="U1501" s="5" t="str">
        <f>IFERROR(__xludf.DUMMYFUNCTION("""COMPUTED_VALUE"""),"Diego Pignataro")</f>
        <v>Diego Pignataro</v>
      </c>
      <c r="V1501" s="5" t="s">
        <v>8805</v>
      </c>
      <c r="W1501" s="5" t="str">
        <f t="shared" si="3"/>
        <v>Gurinder Chadha</v>
      </c>
      <c r="X1501" s="5">
        <f t="shared" si="4"/>
        <v>1</v>
      </c>
      <c r="Y1501" s="5" t="str">
        <f>IFERROR(__xludf.DUMMYFUNCTION("REGEXEXTRACT(J1501, ""^\d+"")"),"119")</f>
        <v>119</v>
      </c>
      <c r="Z1501" s="5" t="str">
        <f>IFERROR(__xludf.DUMMYFUNCTION("REGEXEXTRACT(J1501, ""[A-Za-z ]+$"")")," min")</f>
        <v> min</v>
      </c>
      <c r="AA1501" s="5" t="str">
        <f>IFERROR(__xludf.DUMMYFUNCTION("IF(REGEXMATCH(Z1501, ""Season""), ""TV Show"", ""Movie"")"),"Movie")</f>
        <v>Movie</v>
      </c>
    </row>
    <row r="1502">
      <c r="A1502" s="1" t="s">
        <v>8806</v>
      </c>
      <c r="B1502" s="1" t="s">
        <v>27</v>
      </c>
      <c r="C1502" s="1" t="s">
        <v>8807</v>
      </c>
      <c r="D1502" s="1" t="s">
        <v>8808</v>
      </c>
      <c r="E1502" s="1" t="s">
        <v>8809</v>
      </c>
      <c r="F1502" s="1" t="s">
        <v>2059</v>
      </c>
      <c r="G1502" s="1" t="s">
        <v>8797</v>
      </c>
      <c r="H1502" s="1">
        <v>2020.0</v>
      </c>
      <c r="I1502" s="1" t="s">
        <v>42</v>
      </c>
      <c r="J1502" s="1" t="s">
        <v>379</v>
      </c>
      <c r="K1502" s="1" t="s">
        <v>4958</v>
      </c>
      <c r="L1502" s="1" t="s">
        <v>8810</v>
      </c>
      <c r="M1502" s="2" t="s">
        <v>12</v>
      </c>
      <c r="N1502" s="4">
        <f t="shared" si="1"/>
        <v>44188</v>
      </c>
      <c r="O1502" s="5" t="str">
        <f>IFERROR(__xludf.DUMMYFUNCTION("IF(REGEXMATCH(TRIM(I1502), ""^\d+\s*min""), ""Unclassified"", IF(I1502 = """", ""NR"", I1502))"),"TV-MA")</f>
        <v>TV-MA</v>
      </c>
      <c r="R1502" s="5" t="str">
        <f t="shared" si="2"/>
        <v>Your Name Engraved Herein</v>
      </c>
      <c r="S1502" s="5" t="str">
        <f>IFERROR(__xludf.DUMMYFUNCTION("""COMPUTED_VALUE"""),"Children Of The Whales")</f>
        <v>Children Of The Whales</v>
      </c>
      <c r="U1502" s="5" t="str">
        <f>IFERROR(__xludf.DUMMYFUNCTION("""COMPUTED_VALUE"""),"Ian Edelman")</f>
        <v>Ian Edelman</v>
      </c>
      <c r="V1502" s="5" t="s">
        <v>8811</v>
      </c>
      <c r="W1502" s="5" t="str">
        <f t="shared" si="3"/>
        <v>Gurmmeet Singh</v>
      </c>
      <c r="X1502" s="5">
        <f t="shared" si="4"/>
        <v>1</v>
      </c>
      <c r="Y1502" s="5" t="str">
        <f>IFERROR(__xludf.DUMMYFUNCTION("REGEXEXTRACT(J1502, ""^\d+"")"),"115")</f>
        <v>115</v>
      </c>
      <c r="Z1502" s="5" t="str">
        <f>IFERROR(__xludf.DUMMYFUNCTION("REGEXEXTRACT(J1502, ""[A-Za-z ]+$"")")," min")</f>
        <v> min</v>
      </c>
      <c r="AA1502" s="5" t="str">
        <f>IFERROR(__xludf.DUMMYFUNCTION("IF(REGEXMATCH(Z1502, ""Season""), ""TV Show"", ""Movie"")"),"Movie")</f>
        <v>Movie</v>
      </c>
    </row>
    <row r="1503">
      <c r="A1503" s="1" t="s">
        <v>8812</v>
      </c>
      <c r="B1503" s="1" t="s">
        <v>27</v>
      </c>
      <c r="C1503" s="1" t="s">
        <v>8813</v>
      </c>
      <c r="D1503" s="1" t="s">
        <v>5709</v>
      </c>
      <c r="E1503" s="1" t="s">
        <v>8814</v>
      </c>
      <c r="F1503" s="1" t="s">
        <v>30</v>
      </c>
      <c r="G1503" s="1" t="s">
        <v>8815</v>
      </c>
      <c r="H1503" s="1">
        <v>2020.0</v>
      </c>
      <c r="I1503" s="1" t="s">
        <v>378</v>
      </c>
      <c r="J1503" s="1" t="s">
        <v>305</v>
      </c>
      <c r="K1503" s="1" t="s">
        <v>828</v>
      </c>
      <c r="L1503" s="1" t="s">
        <v>8816</v>
      </c>
      <c r="M1503" s="2" t="s">
        <v>12</v>
      </c>
      <c r="N1503" s="4">
        <f t="shared" si="1"/>
        <v>44187</v>
      </c>
      <c r="O1503" s="5" t="str">
        <f>IFERROR(__xludf.DUMMYFUNCTION("IF(REGEXMATCH(TRIM(I1503), ""^\d+\s*min""), ""Unclassified"", IF(I1503 = """", ""NR"", I1503))"),"R")</f>
        <v>R</v>
      </c>
      <c r="R1503" s="5" t="str">
        <f t="shared" si="2"/>
        <v>After We Collided</v>
      </c>
      <c r="S1503" s="5" t="str">
        <f>IFERROR(__xludf.DUMMYFUNCTION("""COMPUTED_VALUE"""),"Chill With Bob Ross")</f>
        <v>Chill With Bob Ross</v>
      </c>
      <c r="U1503" s="5" t="str">
        <f>IFERROR(__xludf.DUMMYFUNCTION("""COMPUTED_VALUE"""),"Ali Yorgancıoğlu")</f>
        <v>Ali Yorgancıoğlu</v>
      </c>
      <c r="V1503" s="5" t="s">
        <v>8817</v>
      </c>
      <c r="W1503" s="5" t="str">
        <f t="shared" si="3"/>
        <v>Gurudev Bhalla</v>
      </c>
      <c r="X1503" s="5">
        <f t="shared" si="4"/>
        <v>1</v>
      </c>
      <c r="Y1503" s="5" t="str">
        <f>IFERROR(__xludf.DUMMYFUNCTION("REGEXEXTRACT(J1503, ""^\d+"")"),"105")</f>
        <v>105</v>
      </c>
      <c r="Z1503" s="5" t="str">
        <f>IFERROR(__xludf.DUMMYFUNCTION("REGEXEXTRACT(J1503, ""[A-Za-z ]+$"")")," min")</f>
        <v> min</v>
      </c>
      <c r="AA1503" s="5" t="str">
        <f>IFERROR(__xludf.DUMMYFUNCTION("IF(REGEXMATCH(Z1503, ""Season""), ""TV Show"", ""Movie"")"),"Movie")</f>
        <v>Movie</v>
      </c>
    </row>
    <row r="1504">
      <c r="A1504" s="1" t="s">
        <v>8818</v>
      </c>
      <c r="B1504" s="1" t="s">
        <v>27</v>
      </c>
      <c r="C1504" s="1" t="s">
        <v>8819</v>
      </c>
      <c r="D1504" s="1" t="s">
        <v>8820</v>
      </c>
      <c r="E1504" s="1" t="s">
        <v>8821</v>
      </c>
      <c r="F1504" s="1" t="s">
        <v>30</v>
      </c>
      <c r="G1504" s="1" t="s">
        <v>8815</v>
      </c>
      <c r="H1504" s="1">
        <v>2020.0</v>
      </c>
      <c r="I1504" s="1" t="s">
        <v>42</v>
      </c>
      <c r="J1504" s="1" t="s">
        <v>2626</v>
      </c>
      <c r="K1504" s="1" t="s">
        <v>1839</v>
      </c>
      <c r="L1504" s="1" t="s">
        <v>8822</v>
      </c>
      <c r="M1504" s="2" t="s">
        <v>12</v>
      </c>
      <c r="N1504" s="4">
        <f t="shared" si="1"/>
        <v>44187</v>
      </c>
      <c r="O1504" s="5" t="str">
        <f>IFERROR(__xludf.DUMMYFUNCTION("IF(REGEXMATCH(TRIM(I1504), ""^\d+\s*min""), ""Unclassified"", IF(I1504 = """", ""NR"", I1504))"),"TV-MA")</f>
        <v>TV-MA</v>
      </c>
      <c r="R1504" s="5" t="str">
        <f t="shared" si="2"/>
        <v>London Hughes: To Catch A D*Ck</v>
      </c>
      <c r="S1504" s="5" t="str">
        <f>IFERROR(__xludf.DUMMYFUNCTION("""COMPUTED_VALUE"""),"Chillar Party")</f>
        <v>Chillar Party</v>
      </c>
      <c r="U1504" s="5" t="str">
        <f>IFERROR(__xludf.DUMMYFUNCTION("""COMPUTED_VALUE"""),"Digo Ricio")</f>
        <v>Digo Ricio</v>
      </c>
      <c r="V1504" s="5" t="s">
        <v>8823</v>
      </c>
      <c r="W1504" s="5" t="str">
        <f t="shared" si="3"/>
        <v>Gurvinder Singh</v>
      </c>
      <c r="X1504" s="5">
        <f t="shared" si="4"/>
        <v>1</v>
      </c>
      <c r="Y1504" s="5" t="str">
        <f>IFERROR(__xludf.DUMMYFUNCTION("REGEXEXTRACT(J1504, ""^\d+"")"),"68")</f>
        <v>68</v>
      </c>
      <c r="Z1504" s="5" t="str">
        <f>IFERROR(__xludf.DUMMYFUNCTION("REGEXEXTRACT(J1504, ""[A-Za-z ]+$"")")," min")</f>
        <v> min</v>
      </c>
      <c r="AA1504" s="5" t="str">
        <f>IFERROR(__xludf.DUMMYFUNCTION("IF(REGEXMATCH(Z1504, ""Season""), ""TV Show"", ""Movie"")"),"Movie")</f>
        <v>Movie</v>
      </c>
    </row>
    <row r="1505">
      <c r="A1505" s="1" t="s">
        <v>8824</v>
      </c>
      <c r="B1505" s="1" t="s">
        <v>37</v>
      </c>
      <c r="C1505" s="1" t="s">
        <v>8825</v>
      </c>
      <c r="E1505" s="1" t="s">
        <v>8826</v>
      </c>
      <c r="F1505" s="1" t="s">
        <v>749</v>
      </c>
      <c r="G1505" s="1" t="s">
        <v>8815</v>
      </c>
      <c r="H1505" s="1">
        <v>2020.0</v>
      </c>
      <c r="I1505" s="1" t="s">
        <v>97</v>
      </c>
      <c r="J1505" s="1" t="s">
        <v>51</v>
      </c>
      <c r="K1505" s="1" t="s">
        <v>64</v>
      </c>
      <c r="L1505" s="1" t="s">
        <v>8827</v>
      </c>
      <c r="M1505" s="2" t="s">
        <v>12</v>
      </c>
      <c r="N1505" s="4">
        <f t="shared" si="1"/>
        <v>44187</v>
      </c>
      <c r="O1505" s="5" t="str">
        <f>IFERROR(__xludf.DUMMYFUNCTION("IF(REGEXMATCH(TRIM(I1505), ""^\d+\s*min""), ""Unclassified"", IF(I1505 = """", ""NR"", I1505))"),"TV-14")</f>
        <v>TV-14</v>
      </c>
      <c r="R1505" s="5" t="str">
        <f t="shared" si="2"/>
        <v>Lovestruck In The City</v>
      </c>
      <c r="S1505" s="5" t="str">
        <f>IFERROR(__xludf.DUMMYFUNCTION("""COMPUTED_VALUE"""),"Chilling Adventures Of Sabrina")</f>
        <v>Chilling Adventures Of Sabrina</v>
      </c>
      <c r="U1505" s="5" t="str">
        <f>IFERROR(__xludf.DUMMYFUNCTION("""COMPUTED_VALUE"""),"Emcy Joseph")</f>
        <v>Emcy Joseph</v>
      </c>
      <c r="V1505" s="5" t="s">
        <v>8828</v>
      </c>
      <c r="W1505" s="5" t="str">
        <f t="shared" si="3"/>
        <v>Gus Van Sant</v>
      </c>
      <c r="X1505" s="5">
        <f t="shared" si="4"/>
        <v>2</v>
      </c>
      <c r="Y1505" s="5" t="str">
        <f>IFERROR(__xludf.DUMMYFUNCTION("REGEXEXTRACT(J1505, ""^\d+"")"),"1")</f>
        <v>1</v>
      </c>
      <c r="Z1505" s="5" t="str">
        <f>IFERROR(__xludf.DUMMYFUNCTION("REGEXEXTRACT(J1505, ""[A-Za-z ]+$"")")," Season")</f>
        <v> Season</v>
      </c>
      <c r="AA1505" s="5" t="str">
        <f>IFERROR(__xludf.DUMMYFUNCTION("IF(REGEXMATCH(Z1505, ""Season""), ""TV Show"", ""Movie"")"),"TV Show")</f>
        <v>TV Show</v>
      </c>
    </row>
    <row r="1506">
      <c r="A1506" s="1" t="s">
        <v>8829</v>
      </c>
      <c r="B1506" s="1" t="s">
        <v>27</v>
      </c>
      <c r="C1506" s="1" t="s">
        <v>8830</v>
      </c>
      <c r="D1506" s="1" t="s">
        <v>5332</v>
      </c>
      <c r="E1506" s="1" t="s">
        <v>8831</v>
      </c>
      <c r="F1506" s="1" t="s">
        <v>4615</v>
      </c>
      <c r="G1506" s="1" t="s">
        <v>8815</v>
      </c>
      <c r="H1506" s="1">
        <v>2020.0</v>
      </c>
      <c r="I1506" s="1" t="s">
        <v>97</v>
      </c>
      <c r="J1506" s="1" t="s">
        <v>8832</v>
      </c>
      <c r="K1506" s="1" t="s">
        <v>8833</v>
      </c>
      <c r="L1506" s="1" t="s">
        <v>8834</v>
      </c>
      <c r="M1506" s="2" t="s">
        <v>12</v>
      </c>
      <c r="N1506" s="4">
        <f t="shared" si="1"/>
        <v>44187</v>
      </c>
      <c r="O1506" s="5" t="str">
        <f>IFERROR(__xludf.DUMMYFUNCTION("IF(REGEXMATCH(TRIM(I1506), ""^\d+\s*min""), ""Unclassified"", IF(I1506 = """", ""NR"", I1506))"),"TV-14")</f>
        <v>TV-14</v>
      </c>
      <c r="R1506" s="5" t="str">
        <f t="shared" si="2"/>
        <v>Qlimax The Source</v>
      </c>
      <c r="S1506" s="5" t="str">
        <f>IFERROR(__xludf.DUMMYFUNCTION("""COMPUTED_VALUE"""),"China Salesman")</f>
        <v>China Salesman</v>
      </c>
      <c r="U1506" s="5" t="str">
        <f>IFERROR(__xludf.DUMMYFUNCTION("""COMPUTED_VALUE"""),"Kranthi Madhav")</f>
        <v>Kranthi Madhav</v>
      </c>
      <c r="V1506" s="5" t="s">
        <v>8835</v>
      </c>
      <c r="W1506" s="5" t="str">
        <f t="shared" si="3"/>
        <v>Gustavo Ron</v>
      </c>
      <c r="X1506" s="5">
        <f t="shared" si="4"/>
        <v>1</v>
      </c>
      <c r="Y1506" s="5" t="str">
        <f>IFERROR(__xludf.DUMMYFUNCTION("REGEXEXTRACT(J1506, ""^\d+"")"),"57")</f>
        <v>57</v>
      </c>
      <c r="Z1506" s="5" t="str">
        <f>IFERROR(__xludf.DUMMYFUNCTION("REGEXEXTRACT(J1506, ""[A-Za-z ]+$"")")," min")</f>
        <v> min</v>
      </c>
      <c r="AA1506" s="5" t="str">
        <f>IFERROR(__xludf.DUMMYFUNCTION("IF(REGEXMATCH(Z1506, ""Season""), ""TV Show"", ""Movie"")"),"Movie")</f>
        <v>Movie</v>
      </c>
    </row>
    <row r="1507">
      <c r="A1507" s="1" t="s">
        <v>8836</v>
      </c>
      <c r="B1507" s="1" t="s">
        <v>37</v>
      </c>
      <c r="C1507" s="1" t="s">
        <v>8837</v>
      </c>
      <c r="E1507" s="1" t="s">
        <v>8838</v>
      </c>
      <c r="F1507" s="1" t="s">
        <v>30</v>
      </c>
      <c r="G1507" s="1" t="s">
        <v>8815</v>
      </c>
      <c r="H1507" s="1">
        <v>2020.0</v>
      </c>
      <c r="I1507" s="1" t="s">
        <v>206</v>
      </c>
      <c r="J1507" s="1" t="s">
        <v>51</v>
      </c>
      <c r="K1507" s="1" t="s">
        <v>290</v>
      </c>
      <c r="L1507" s="1" t="s">
        <v>8839</v>
      </c>
      <c r="M1507" s="2" t="s">
        <v>12</v>
      </c>
      <c r="N1507" s="4">
        <f t="shared" si="1"/>
        <v>44187</v>
      </c>
      <c r="O1507" s="5" t="str">
        <f>IFERROR(__xludf.DUMMYFUNCTION("IF(REGEXMATCH(TRIM(I1507), ""^\d+\s*min""), ""Unclassified"", IF(I1507 = """", ""NR"", I1507))"),"TV-Y")</f>
        <v>TV-Y</v>
      </c>
      <c r="R1507" s="5" t="str">
        <f t="shared" si="2"/>
        <v>Rhyme Time Town Singalongs</v>
      </c>
      <c r="S1507" s="5" t="str">
        <f>IFERROR(__xludf.DUMMYFUNCTION("""COMPUTED_VALUE"""),"Chingo Bling: They Can'T Deport Us All")</f>
        <v>Chingo Bling: They Can'T Deport Us All</v>
      </c>
      <c r="U1507" s="5" t="str">
        <f>IFERROR(__xludf.DUMMYFUNCTION("""COMPUTED_VALUE"""),"Matt D'Elia")</f>
        <v>Matt D'Elia</v>
      </c>
      <c r="V1507" s="5" t="s">
        <v>8840</v>
      </c>
      <c r="W1507" s="5" t="str">
        <f t="shared" si="3"/>
        <v>Guy Ritchie</v>
      </c>
      <c r="X1507" s="5">
        <f t="shared" si="4"/>
        <v>2</v>
      </c>
      <c r="Y1507" s="5" t="str">
        <f>IFERROR(__xludf.DUMMYFUNCTION("REGEXEXTRACT(J1507, ""^\d+"")"),"1")</f>
        <v>1</v>
      </c>
      <c r="Z1507" s="5" t="str">
        <f>IFERROR(__xludf.DUMMYFUNCTION("REGEXEXTRACT(J1507, ""[A-Za-z ]+$"")")," Season")</f>
        <v> Season</v>
      </c>
      <c r="AA1507" s="5" t="str">
        <f>IFERROR(__xludf.DUMMYFUNCTION("IF(REGEXMATCH(Z1507, ""Season""), ""TV Show"", ""Movie"")"),"TV Show")</f>
        <v>TV Show</v>
      </c>
    </row>
    <row r="1508">
      <c r="A1508" s="1" t="s">
        <v>8841</v>
      </c>
      <c r="B1508" s="1" t="s">
        <v>37</v>
      </c>
      <c r="C1508" s="1" t="s">
        <v>8842</v>
      </c>
      <c r="E1508" s="1" t="s">
        <v>8843</v>
      </c>
      <c r="F1508" s="1" t="s">
        <v>8844</v>
      </c>
      <c r="G1508" s="1" t="s">
        <v>8815</v>
      </c>
      <c r="H1508" s="1">
        <v>2016.0</v>
      </c>
      <c r="I1508" s="1" t="s">
        <v>206</v>
      </c>
      <c r="J1508" s="1" t="s">
        <v>43</v>
      </c>
      <c r="K1508" s="1" t="s">
        <v>8845</v>
      </c>
      <c r="L1508" s="1" t="s">
        <v>8846</v>
      </c>
      <c r="M1508" s="2" t="s">
        <v>12</v>
      </c>
      <c r="N1508" s="4">
        <f t="shared" si="1"/>
        <v>44187</v>
      </c>
      <c r="O1508" s="5" t="str">
        <f>IFERROR(__xludf.DUMMYFUNCTION("IF(REGEXMATCH(TRIM(I1508), ""^\d+\s*min""), ""Unclassified"", IF(I1508 = """", ""NR"", I1508))"),"TV-Y")</f>
        <v>TV-Y</v>
      </c>
      <c r="R1508" s="5" t="str">
        <f t="shared" si="2"/>
        <v>Shaun The Sheep</v>
      </c>
      <c r="S1508" s="5" t="str">
        <f>IFERROR(__xludf.DUMMYFUNCTION("""COMPUTED_VALUE"""),"Chip And Potato")</f>
        <v>Chip And Potato</v>
      </c>
      <c r="U1508" s="5" t="str">
        <f>IFERROR(__xludf.DUMMYFUNCTION("""COMPUTED_VALUE"""),"Jeff Chan")</f>
        <v>Jeff Chan</v>
      </c>
      <c r="V1508" s="5" t="s">
        <v>8847</v>
      </c>
      <c r="W1508" s="5" t="str">
        <f t="shared" si="3"/>
        <v>Guy Vasilovich</v>
      </c>
      <c r="X1508" s="5">
        <f t="shared" si="4"/>
        <v>1</v>
      </c>
      <c r="Y1508" s="5" t="str">
        <f>IFERROR(__xludf.DUMMYFUNCTION("REGEXEXTRACT(J1508, ""^\d+"")"),"2")</f>
        <v>2</v>
      </c>
      <c r="Z1508" s="5" t="str">
        <f>IFERROR(__xludf.DUMMYFUNCTION("REGEXEXTRACT(J1508, ""[A-Za-z ]+$"")")," Seasons")</f>
        <v> Seasons</v>
      </c>
      <c r="AA1508" s="5" t="str">
        <f>IFERROR(__xludf.DUMMYFUNCTION("IF(REGEXMATCH(Z1508, ""Season""), ""TV Show"", ""Movie"")"),"TV Show")</f>
        <v>TV Show</v>
      </c>
    </row>
    <row r="1509">
      <c r="A1509" s="1" t="s">
        <v>8848</v>
      </c>
      <c r="B1509" s="1" t="s">
        <v>27</v>
      </c>
      <c r="C1509" s="1" t="s">
        <v>8849</v>
      </c>
      <c r="D1509" s="1" t="s">
        <v>8850</v>
      </c>
      <c r="E1509" s="1" t="s">
        <v>8851</v>
      </c>
      <c r="F1509" s="1" t="s">
        <v>96</v>
      </c>
      <c r="G1509" s="1" t="s">
        <v>8815</v>
      </c>
      <c r="H1509" s="1">
        <v>2020.0</v>
      </c>
      <c r="I1509" s="1" t="s">
        <v>206</v>
      </c>
      <c r="J1509" s="1" t="s">
        <v>8852</v>
      </c>
      <c r="K1509" s="1" t="s">
        <v>137</v>
      </c>
      <c r="L1509" s="1" t="s">
        <v>8853</v>
      </c>
      <c r="M1509" s="2" t="s">
        <v>12</v>
      </c>
      <c r="N1509" s="4">
        <f t="shared" si="1"/>
        <v>44187</v>
      </c>
      <c r="O1509" s="5" t="str">
        <f>IFERROR(__xludf.DUMMYFUNCTION("IF(REGEXMATCH(TRIM(I1509), ""^\d+\s*min""), ""Unclassified"", IF(I1509 = """", ""NR"", I1509))"),"TV-Y")</f>
        <v>TV-Y</v>
      </c>
      <c r="R1509" s="5" t="str">
        <f t="shared" si="2"/>
        <v>Shaun The Sheep: The Farmer’S Llamas</v>
      </c>
      <c r="S1509" s="5" t="str">
        <f>IFERROR(__xludf.DUMMYFUNCTION("""COMPUTED_VALUE"""),"Chippa")</f>
        <v>Chippa</v>
      </c>
      <c r="U1509" s="5" t="str">
        <f>IFERROR(__xludf.DUMMYFUNCTION("""COMPUTED_VALUE"""),"Dean Craig")</f>
        <v>Dean Craig</v>
      </c>
      <c r="V1509" s="5" t="s">
        <v>8854</v>
      </c>
      <c r="W1509" s="5" t="str">
        <f t="shared" si="3"/>
        <v>Habib Faisal</v>
      </c>
      <c r="X1509" s="5">
        <f t="shared" si="4"/>
        <v>1</v>
      </c>
      <c r="Y1509" s="5" t="str">
        <f>IFERROR(__xludf.DUMMYFUNCTION("REGEXEXTRACT(J1509, ""^\d+"")"),"28")</f>
        <v>28</v>
      </c>
      <c r="Z1509" s="5" t="str">
        <f>IFERROR(__xludf.DUMMYFUNCTION("REGEXEXTRACT(J1509, ""[A-Za-z ]+$"")")," min")</f>
        <v> min</v>
      </c>
      <c r="AA1509" s="5" t="str">
        <f>IFERROR(__xludf.DUMMYFUNCTION("IF(REGEXMATCH(Z1509, ""Season""), ""TV Show"", ""Movie"")"),"Movie")</f>
        <v>Movie</v>
      </c>
    </row>
    <row r="1510">
      <c r="A1510" s="1" t="s">
        <v>8855</v>
      </c>
      <c r="B1510" s="1" t="s">
        <v>37</v>
      </c>
      <c r="C1510" s="1" t="s">
        <v>8856</v>
      </c>
      <c r="E1510" s="1" t="s">
        <v>8857</v>
      </c>
      <c r="F1510" s="1" t="s">
        <v>96</v>
      </c>
      <c r="G1510" s="1" t="s">
        <v>8815</v>
      </c>
      <c r="H1510" s="1">
        <v>2010.0</v>
      </c>
      <c r="I1510" s="1" t="s">
        <v>206</v>
      </c>
      <c r="J1510" s="1" t="s">
        <v>51</v>
      </c>
      <c r="K1510" s="1" t="s">
        <v>712</v>
      </c>
      <c r="L1510" s="1" t="s">
        <v>8858</v>
      </c>
      <c r="M1510" s="2" t="s">
        <v>12</v>
      </c>
      <c r="N1510" s="4">
        <f t="shared" si="1"/>
        <v>44187</v>
      </c>
      <c r="O1510" s="5" t="str">
        <f>IFERROR(__xludf.DUMMYFUNCTION("IF(REGEXMATCH(TRIM(I1510), ""^\d+\s*min""), ""Unclassified"", IF(I1510 = """", ""NR"", I1510))"),"TV-Y")</f>
        <v>TV-Y</v>
      </c>
      <c r="R1510" s="5" t="str">
        <f t="shared" si="2"/>
        <v>Timmy Time</v>
      </c>
      <c r="S1510" s="5" t="str">
        <f>IFERROR(__xludf.DUMMYFUNCTION("""COMPUTED_VALUE"""),"Chittagong")</f>
        <v>Chittagong</v>
      </c>
      <c r="U1510" s="5" t="str">
        <f>IFERROR(__xludf.DUMMYFUNCTION("""COMPUTED_VALUE"""),"Grand Corps Malade, Mehdi Idir")</f>
        <v>Grand Corps Malade, Mehdi Idir</v>
      </c>
      <c r="V1510" s="5" t="s">
        <v>8859</v>
      </c>
      <c r="W1510" s="5" t="str">
        <f t="shared" si="3"/>
        <v>Hadi El Bagoury</v>
      </c>
      <c r="X1510" s="5">
        <f t="shared" si="4"/>
        <v>2</v>
      </c>
      <c r="Y1510" s="5" t="str">
        <f>IFERROR(__xludf.DUMMYFUNCTION("REGEXEXTRACT(J1510, ""^\d+"")"),"1")</f>
        <v>1</v>
      </c>
      <c r="Z1510" s="5" t="str">
        <f>IFERROR(__xludf.DUMMYFUNCTION("REGEXEXTRACT(J1510, ""[A-Za-z ]+$"")")," Season")</f>
        <v> Season</v>
      </c>
      <c r="AA1510" s="5" t="str">
        <f>IFERROR(__xludf.DUMMYFUNCTION("IF(REGEXMATCH(Z1510, ""Season""), ""TV Show"", ""Movie"")"),"TV Show")</f>
        <v>TV Show</v>
      </c>
    </row>
    <row r="1511">
      <c r="A1511" s="1" t="s">
        <v>8860</v>
      </c>
      <c r="B1511" s="1" t="s">
        <v>27</v>
      </c>
      <c r="C1511" s="1" t="s">
        <v>8861</v>
      </c>
      <c r="D1511" s="1" t="s">
        <v>8862</v>
      </c>
      <c r="E1511" s="1" t="s">
        <v>8863</v>
      </c>
      <c r="F1511" s="1" t="s">
        <v>30</v>
      </c>
      <c r="G1511" s="1" t="s">
        <v>8864</v>
      </c>
      <c r="H1511" s="1">
        <v>2020.0</v>
      </c>
      <c r="I1511" s="1" t="s">
        <v>42</v>
      </c>
      <c r="J1511" s="1" t="s">
        <v>357</v>
      </c>
      <c r="K1511" s="1" t="s">
        <v>700</v>
      </c>
      <c r="L1511" s="1" t="s">
        <v>8865</v>
      </c>
      <c r="M1511" s="2" t="s">
        <v>12</v>
      </c>
      <c r="N1511" s="4">
        <f t="shared" si="1"/>
        <v>44186</v>
      </c>
      <c r="O1511" s="5" t="str">
        <f>IFERROR(__xludf.DUMMYFUNCTION("IF(REGEXMATCH(TRIM(I1511), ""^\d+\s*min""), ""Unclassified"", IF(I1511 = """", ""NR"", I1511))"),"TV-MA")</f>
        <v>TV-MA</v>
      </c>
      <c r="R1511" s="5" t="str">
        <f t="shared" si="2"/>
        <v>Ariana Grande: Excuse Me, I Love You</v>
      </c>
      <c r="S1511" s="5" t="str">
        <f>IFERROR(__xludf.DUMMYFUNCTION("""COMPUTED_VALUE"""),"Chitty Chitty Bang Bang")</f>
        <v>Chitty Chitty Bang Bang</v>
      </c>
      <c r="U1511" s="5" t="str">
        <f>IFERROR(__xludf.DUMMYFUNCTION("""COMPUTED_VALUE"""),"Jay Karas")</f>
        <v>Jay Karas</v>
      </c>
      <c r="V1511" s="5" t="s">
        <v>2871</v>
      </c>
      <c r="W1511" s="5" t="str">
        <f t="shared" si="3"/>
        <v>Hadrah Daeng Ratu</v>
      </c>
      <c r="X1511" s="5">
        <f t="shared" si="4"/>
        <v>1</v>
      </c>
      <c r="Y1511" s="5" t="str">
        <f>IFERROR(__xludf.DUMMYFUNCTION("REGEXEXTRACT(J1511, ""^\d+"")"),"98")</f>
        <v>98</v>
      </c>
      <c r="Z1511" s="5" t="str">
        <f>IFERROR(__xludf.DUMMYFUNCTION("REGEXEXTRACT(J1511, ""[A-Za-z ]+$"")")," min")</f>
        <v> min</v>
      </c>
      <c r="AA1511" s="5" t="str">
        <f>IFERROR(__xludf.DUMMYFUNCTION("IF(REGEXMATCH(Z1511, ""Season""), ""TV Show"", ""Movie"")"),"Movie")</f>
        <v>Movie</v>
      </c>
    </row>
    <row r="1512">
      <c r="A1512" s="1" t="s">
        <v>8866</v>
      </c>
      <c r="B1512" s="1" t="s">
        <v>27</v>
      </c>
      <c r="C1512" s="1" t="s">
        <v>8867</v>
      </c>
      <c r="D1512" s="1" t="s">
        <v>8868</v>
      </c>
      <c r="E1512" s="1" t="s">
        <v>8869</v>
      </c>
      <c r="F1512" s="1" t="s">
        <v>692</v>
      </c>
      <c r="G1512" s="1" t="s">
        <v>8864</v>
      </c>
      <c r="H1512" s="1">
        <v>2018.0</v>
      </c>
      <c r="I1512" s="1" t="s">
        <v>378</v>
      </c>
      <c r="J1512" s="1" t="s">
        <v>465</v>
      </c>
      <c r="K1512" s="1" t="s">
        <v>239</v>
      </c>
      <c r="L1512" s="1" t="s">
        <v>8870</v>
      </c>
      <c r="M1512" s="2" t="s">
        <v>12</v>
      </c>
      <c r="N1512" s="4">
        <f t="shared" si="1"/>
        <v>44186</v>
      </c>
      <c r="O1512" s="5" t="str">
        <f>IFERROR(__xludf.DUMMYFUNCTION("IF(REGEXMATCH(TRIM(I1512), ""^\d+\s*min""), ""Unclassified"", IF(I1512 = """", ""NR"", I1512))"),"R")</f>
        <v>R</v>
      </c>
      <c r="R1512" s="5" t="str">
        <f t="shared" si="2"/>
        <v>The Con Is On</v>
      </c>
      <c r="S1512" s="5" t="str">
        <f>IFERROR(__xludf.DUMMYFUNCTION("""COMPUTED_VALUE"""),"Chloe")</f>
        <v>Chloe</v>
      </c>
      <c r="U1512" s="5" t="str">
        <f>IFERROR(__xludf.DUMMYFUNCTION("""COMPUTED_VALUE"""),"Stefano Lodovichi")</f>
        <v>Stefano Lodovichi</v>
      </c>
      <c r="V1512" s="5" t="s">
        <v>8871</v>
      </c>
      <c r="W1512" s="5" t="str">
        <f t="shared" si="3"/>
        <v>Haifaa Al-Mansour</v>
      </c>
      <c r="X1512" s="5">
        <f t="shared" si="4"/>
        <v>2</v>
      </c>
      <c r="Y1512" s="5" t="str">
        <f>IFERROR(__xludf.DUMMYFUNCTION("REGEXEXTRACT(J1512, ""^\d+"")"),"95")</f>
        <v>95</v>
      </c>
      <c r="Z1512" s="5" t="str">
        <f>IFERROR(__xludf.DUMMYFUNCTION("REGEXEXTRACT(J1512, ""[A-Za-z ]+$"")")," min")</f>
        <v> min</v>
      </c>
      <c r="AA1512" s="5" t="str">
        <f>IFERROR(__xludf.DUMMYFUNCTION("IF(REGEXMATCH(Z1512, ""Season""), ""TV Show"", ""Movie"")"),"Movie")</f>
        <v>Movie</v>
      </c>
    </row>
    <row r="1513">
      <c r="A1513" s="1" t="s">
        <v>8872</v>
      </c>
      <c r="B1513" s="1" t="s">
        <v>27</v>
      </c>
      <c r="C1513" s="1" t="s">
        <v>8873</v>
      </c>
      <c r="D1513" s="1" t="s">
        <v>8874</v>
      </c>
      <c r="E1513" s="1" t="s">
        <v>8875</v>
      </c>
      <c r="F1513" s="1" t="s">
        <v>3309</v>
      </c>
      <c r="G1513" s="1" t="s">
        <v>8876</v>
      </c>
      <c r="H1513" s="1">
        <v>2019.0</v>
      </c>
      <c r="I1513" s="1" t="s">
        <v>97</v>
      </c>
      <c r="J1513" s="1" t="s">
        <v>322</v>
      </c>
      <c r="K1513" s="1" t="s">
        <v>199</v>
      </c>
      <c r="L1513" s="1" t="s">
        <v>8877</v>
      </c>
      <c r="M1513" s="2" t="s">
        <v>12</v>
      </c>
      <c r="N1513" s="4">
        <f t="shared" si="1"/>
        <v>44185</v>
      </c>
      <c r="O1513" s="5" t="str">
        <f>IFERROR(__xludf.DUMMYFUNCTION("IF(REGEXMATCH(TRIM(I1513), ""^\d+\s*min""), ""Unclassified"", IF(I1513 = """", ""NR"", I1513))"),"TV-14")</f>
        <v>TV-14</v>
      </c>
      <c r="R1513" s="5" t="str">
        <f t="shared" si="2"/>
        <v>Mohamed Hussein</v>
      </c>
      <c r="S1513" s="5" t="str">
        <f>IFERROR(__xludf.DUMMYFUNCTION("""COMPUTED_VALUE"""),"Chocolate")</f>
        <v>Chocolate</v>
      </c>
      <c r="U1513" s="5" t="str">
        <f>IFERROR(__xludf.DUMMYFUNCTION("""COMPUTED_VALUE"""),"Alan Yang")</f>
        <v>Alan Yang</v>
      </c>
      <c r="V1513" s="5" t="s">
        <v>85</v>
      </c>
      <c r="W1513" s="5" t="str">
        <f t="shared" si="3"/>
        <v>Haile Gerima</v>
      </c>
      <c r="X1513" s="5">
        <f t="shared" si="4"/>
        <v>1</v>
      </c>
      <c r="Y1513" s="5" t="str">
        <f>IFERROR(__xludf.DUMMYFUNCTION("REGEXEXTRACT(J1513, ""^\d+"")"),"96")</f>
        <v>96</v>
      </c>
      <c r="Z1513" s="5" t="str">
        <f>IFERROR(__xludf.DUMMYFUNCTION("REGEXEXTRACT(J1513, ""[A-Za-z ]+$"")")," min")</f>
        <v> min</v>
      </c>
      <c r="AA1513" s="5" t="str">
        <f>IFERROR(__xludf.DUMMYFUNCTION("IF(REGEXMATCH(Z1513, ""Season""), ""TV Show"", ""Movie"")"),"Movie")</f>
        <v>Movie</v>
      </c>
    </row>
    <row r="1514">
      <c r="A1514" s="1" t="s">
        <v>8878</v>
      </c>
      <c r="B1514" s="1" t="s">
        <v>27</v>
      </c>
      <c r="C1514" s="1" t="s">
        <v>8879</v>
      </c>
      <c r="D1514" s="1" t="s">
        <v>8880</v>
      </c>
      <c r="E1514" s="1" t="s">
        <v>8881</v>
      </c>
      <c r="F1514" s="1" t="s">
        <v>96</v>
      </c>
      <c r="G1514" s="1" t="s">
        <v>8876</v>
      </c>
      <c r="H1514" s="1">
        <v>2020.0</v>
      </c>
      <c r="I1514" s="1" t="s">
        <v>42</v>
      </c>
      <c r="J1514" s="1" t="s">
        <v>2636</v>
      </c>
      <c r="K1514" s="1" t="s">
        <v>1839</v>
      </c>
      <c r="L1514" s="1" t="s">
        <v>8882</v>
      </c>
      <c r="M1514" s="2" t="s">
        <v>12</v>
      </c>
      <c r="N1514" s="4">
        <f t="shared" si="1"/>
        <v>44185</v>
      </c>
      <c r="O1514" s="5" t="str">
        <f>IFERROR(__xludf.DUMMYFUNCTION("IF(REGEXMATCH(TRIM(I1514), ""^\d+\s*min""), ""Unclassified"", IF(I1514 = """", ""NR"", I1514))"),"TV-MA")</f>
        <v>TV-MA</v>
      </c>
      <c r="R1514" s="5" t="str">
        <f t="shared" si="2"/>
        <v>Rhys Nicholson Live At The Athenaeum</v>
      </c>
      <c r="S1514" s="5" t="str">
        <f>IFERROR(__xludf.DUMMYFUNCTION("""COMPUTED_VALUE"""),"Chocolate City: Vegas Strip")</f>
        <v>Chocolate City: Vegas Strip</v>
      </c>
      <c r="U1514" s="5" t="str">
        <f>IFERROR(__xludf.DUMMYFUNCTION("""COMPUTED_VALUE"""),"Perci Intalan")</f>
        <v>Perci Intalan</v>
      </c>
      <c r="V1514" s="5" t="s">
        <v>8883</v>
      </c>
      <c r="W1514" s="5" t="str">
        <f t="shared" si="3"/>
        <v>Haissam Hussain</v>
      </c>
      <c r="X1514" s="5">
        <f t="shared" si="4"/>
        <v>1</v>
      </c>
      <c r="Y1514" s="5" t="str">
        <f>IFERROR(__xludf.DUMMYFUNCTION("REGEXEXTRACT(J1514, ""^\d+"")"),"66")</f>
        <v>66</v>
      </c>
      <c r="Z1514" s="5" t="str">
        <f>IFERROR(__xludf.DUMMYFUNCTION("REGEXEXTRACT(J1514, ""[A-Za-z ]+$"")")," min")</f>
        <v> min</v>
      </c>
      <c r="AA1514" s="5" t="str">
        <f>IFERROR(__xludf.DUMMYFUNCTION("IF(REGEXMATCH(Z1514, ""Season""), ""TV Show"", ""Movie"")"),"Movie")</f>
        <v>Movie</v>
      </c>
    </row>
    <row r="1515">
      <c r="A1515" s="1" t="s">
        <v>8884</v>
      </c>
      <c r="B1515" s="1" t="s">
        <v>27</v>
      </c>
      <c r="C1515" s="1" t="s">
        <v>8885</v>
      </c>
      <c r="D1515" s="1" t="s">
        <v>8886</v>
      </c>
      <c r="E1515" s="1" t="s">
        <v>8887</v>
      </c>
      <c r="F1515" s="1" t="s">
        <v>30</v>
      </c>
      <c r="G1515" s="1" t="s">
        <v>8888</v>
      </c>
      <c r="H1515" s="1">
        <v>2012.0</v>
      </c>
      <c r="I1515" s="1" t="s">
        <v>32</v>
      </c>
      <c r="J1515" s="1" t="s">
        <v>1243</v>
      </c>
      <c r="K1515" s="1" t="s">
        <v>805</v>
      </c>
      <c r="L1515" s="1" t="s">
        <v>8889</v>
      </c>
      <c r="M1515" s="2" t="s">
        <v>12</v>
      </c>
      <c r="N1515" s="4">
        <f t="shared" si="1"/>
        <v>44184</v>
      </c>
      <c r="O1515" s="5" t="str">
        <f>IFERROR(__xludf.DUMMYFUNCTION("IF(REGEXMATCH(TRIM(I1515), ""^\d+\s*min""), ""Unclassified"", IF(I1515 = """", ""NR"", I1515))"),"PG-13")</f>
        <v>PG-13</v>
      </c>
      <c r="R1515" s="5" t="str">
        <f t="shared" si="2"/>
        <v>Atlas Shrugged: Part Ii</v>
      </c>
      <c r="S1515" s="5" t="str">
        <f>IFERROR(__xludf.DUMMYFUNCTION("""COMPUTED_VALUE"""),"Choked: Paisa Bolta Hai")</f>
        <v>Choked: Paisa Bolta Hai</v>
      </c>
      <c r="U1515" s="5" t="str">
        <f>IFERROR(__xludf.DUMMYFUNCTION("""COMPUTED_VALUE"""),"M. Night Shyamalan")</f>
        <v>M. Night Shyamalan</v>
      </c>
      <c r="V1515" s="5" t="s">
        <v>452</v>
      </c>
      <c r="W1515" s="5" t="str">
        <f t="shared" si="3"/>
        <v>Hajime Kamegaki</v>
      </c>
      <c r="X1515" s="5">
        <f t="shared" si="4"/>
        <v>2</v>
      </c>
      <c r="Y1515" s="5" t="str">
        <f>IFERROR(__xludf.DUMMYFUNCTION("REGEXEXTRACT(J1515, ""^\d+"")"),"112")</f>
        <v>112</v>
      </c>
      <c r="Z1515" s="5" t="str">
        <f>IFERROR(__xludf.DUMMYFUNCTION("REGEXEXTRACT(J1515, ""[A-Za-z ]+$"")")," min")</f>
        <v> min</v>
      </c>
      <c r="AA1515" s="5" t="str">
        <f>IFERROR(__xludf.DUMMYFUNCTION("IF(REGEXMATCH(Z1515, ""Season""), ""TV Show"", ""Movie"")"),"Movie")</f>
        <v>Movie</v>
      </c>
    </row>
    <row r="1516">
      <c r="A1516" s="1" t="s">
        <v>8890</v>
      </c>
      <c r="B1516" s="1" t="s">
        <v>37</v>
      </c>
      <c r="C1516" s="1" t="s">
        <v>8891</v>
      </c>
      <c r="E1516" s="1" t="s">
        <v>8892</v>
      </c>
      <c r="F1516" s="1" t="s">
        <v>40</v>
      </c>
      <c r="G1516" s="1" t="s">
        <v>8893</v>
      </c>
      <c r="H1516" s="1">
        <v>2019.0</v>
      </c>
      <c r="I1516" s="1" t="s">
        <v>42</v>
      </c>
      <c r="J1516" s="1" t="s">
        <v>51</v>
      </c>
      <c r="K1516" s="1" t="s">
        <v>1362</v>
      </c>
      <c r="L1516" s="1" t="s">
        <v>8894</v>
      </c>
      <c r="M1516" s="2" t="s">
        <v>12</v>
      </c>
      <c r="N1516" s="4">
        <f t="shared" si="1"/>
        <v>44183</v>
      </c>
      <c r="O1516" s="5" t="str">
        <f>IFERROR(__xludf.DUMMYFUNCTION("IF(REGEXMATCH(TRIM(I1516), ""^\d+\s*min""), ""Unclassified"", IF(I1516 = """", ""NR"", I1516))"),"TV-MA")</f>
        <v>TV-MA</v>
      </c>
      <c r="R1516" s="5" t="str">
        <f t="shared" si="2"/>
        <v>Diamond City</v>
      </c>
      <c r="S1516" s="5" t="str">
        <f>IFERROR(__xludf.DUMMYFUNCTION("""COMPUTED_VALUE"""),"Chopsticks")</f>
        <v>Chopsticks</v>
      </c>
      <c r="U1516" s="5" t="str">
        <f>IFERROR(__xludf.DUMMYFUNCTION("""COMPUTED_VALUE"""),"Chris Robinson")</f>
        <v>Chris Robinson</v>
      </c>
      <c r="V1516" s="5" t="s">
        <v>5863</v>
      </c>
      <c r="W1516" s="5" t="str">
        <f t="shared" si="3"/>
        <v>Hakan Algül</v>
      </c>
      <c r="X1516" s="5">
        <f t="shared" si="4"/>
        <v>8</v>
      </c>
      <c r="Y1516" s="5" t="str">
        <f>IFERROR(__xludf.DUMMYFUNCTION("REGEXEXTRACT(J1516, ""^\d+"")"),"1")</f>
        <v>1</v>
      </c>
      <c r="Z1516" s="5" t="str">
        <f>IFERROR(__xludf.DUMMYFUNCTION("REGEXEXTRACT(J1516, ""[A-Za-z ]+$"")")," Season")</f>
        <v> Season</v>
      </c>
      <c r="AA1516" s="5" t="str">
        <f>IFERROR(__xludf.DUMMYFUNCTION("IF(REGEXMATCH(Z1516, ""Season""), ""TV Show"", ""Movie"")"),"TV Show")</f>
        <v>TV Show</v>
      </c>
    </row>
    <row r="1517">
      <c r="A1517" s="1" t="s">
        <v>8895</v>
      </c>
      <c r="B1517" s="1" t="s">
        <v>27</v>
      </c>
      <c r="C1517" s="1" t="s">
        <v>8896</v>
      </c>
      <c r="D1517" s="1" t="s">
        <v>8897</v>
      </c>
      <c r="E1517" s="1" t="s">
        <v>8898</v>
      </c>
      <c r="F1517" s="1" t="s">
        <v>30</v>
      </c>
      <c r="G1517" s="1" t="s">
        <v>8893</v>
      </c>
      <c r="H1517" s="1">
        <v>2020.0</v>
      </c>
      <c r="I1517" s="1" t="s">
        <v>378</v>
      </c>
      <c r="J1517" s="1" t="s">
        <v>1608</v>
      </c>
      <c r="K1517" s="1" t="s">
        <v>239</v>
      </c>
      <c r="L1517" s="1" t="s">
        <v>8899</v>
      </c>
      <c r="M1517" s="2" t="s">
        <v>12</v>
      </c>
      <c r="N1517" s="4">
        <f t="shared" si="1"/>
        <v>44183</v>
      </c>
      <c r="O1517" s="5" t="str">
        <f>IFERROR(__xludf.DUMMYFUNCTION("IF(REGEXMATCH(TRIM(I1517), ""^\d+\s*min""), ""Unclassified"", IF(I1517 = """", ""NR"", I1517))"),"R")</f>
        <v>R</v>
      </c>
      <c r="R1517" s="5" t="str">
        <f t="shared" si="2"/>
        <v>Guest House</v>
      </c>
      <c r="S1517" s="5" t="str">
        <f>IFERROR(__xludf.DUMMYFUNCTION("""COMPUTED_VALUE"""),"Chosen")</f>
        <v>Chosen</v>
      </c>
      <c r="U1517" s="5" t="str">
        <f>IFERROR(__xludf.DUMMYFUNCTION("""COMPUTED_VALUE"""),"Eddie Mensore")</f>
        <v>Eddie Mensore</v>
      </c>
      <c r="V1517" s="5" t="s">
        <v>8900</v>
      </c>
      <c r="W1517" s="5" t="str">
        <f t="shared" si="3"/>
        <v>Hakan Yonat</v>
      </c>
      <c r="X1517" s="5">
        <f t="shared" si="4"/>
        <v>1</v>
      </c>
      <c r="Y1517" s="5" t="str">
        <f>IFERROR(__xludf.DUMMYFUNCTION("REGEXEXTRACT(J1517, ""^\d+"")"),"84")</f>
        <v>84</v>
      </c>
      <c r="Z1517" s="5" t="str">
        <f>IFERROR(__xludf.DUMMYFUNCTION("REGEXEXTRACT(J1517, ""[A-Za-z ]+$"")")," min")</f>
        <v> min</v>
      </c>
      <c r="AA1517" s="5" t="str">
        <f>IFERROR(__xludf.DUMMYFUNCTION("IF(REGEXMATCH(Z1517, ""Season""), ""TV Show"", ""Movie"")"),"Movie")</f>
        <v>Movie</v>
      </c>
    </row>
    <row r="1518">
      <c r="A1518" s="1" t="s">
        <v>8901</v>
      </c>
      <c r="B1518" s="1" t="s">
        <v>37</v>
      </c>
      <c r="C1518" s="1" t="s">
        <v>8902</v>
      </c>
      <c r="E1518" s="1" t="s">
        <v>8903</v>
      </c>
      <c r="F1518" s="1" t="s">
        <v>8498</v>
      </c>
      <c r="G1518" s="1" t="s">
        <v>8893</v>
      </c>
      <c r="H1518" s="1">
        <v>2020.0</v>
      </c>
      <c r="I1518" s="1" t="s">
        <v>42</v>
      </c>
      <c r="J1518" s="1" t="s">
        <v>43</v>
      </c>
      <c r="K1518" s="1" t="s">
        <v>64</v>
      </c>
      <c r="L1518" s="1" t="s">
        <v>8904</v>
      </c>
      <c r="M1518" s="2" t="s">
        <v>12</v>
      </c>
      <c r="N1518" s="4">
        <f t="shared" si="1"/>
        <v>44183</v>
      </c>
      <c r="O1518" s="5" t="str">
        <f>IFERROR(__xludf.DUMMYFUNCTION("IF(REGEXMATCH(TRIM(I1518), ""^\d+\s*min""), ""Unclassified"", IF(I1518 = """", ""NR"", I1518))"),"TV-MA")</f>
        <v>TV-MA</v>
      </c>
      <c r="R1518" s="5" t="str">
        <f t="shared" si="2"/>
        <v>Home For Christmas</v>
      </c>
      <c r="S1518" s="5" t="str">
        <f>IFERROR(__xludf.DUMMYFUNCTION("""COMPUTED_VALUE"""),"Chris Brown: Welcome To My Life")</f>
        <v>Chris Brown: Welcome To My Life</v>
      </c>
      <c r="U1518" s="5" t="str">
        <f>IFERROR(__xludf.DUMMYFUNCTION("""COMPUTED_VALUE"""),"Sean Baker")</f>
        <v>Sean Baker</v>
      </c>
      <c r="V1518" s="5" t="s">
        <v>8905</v>
      </c>
      <c r="W1518" s="5" t="str">
        <f t="shared" si="3"/>
        <v>Halder Gomes</v>
      </c>
      <c r="X1518" s="5">
        <f t="shared" si="4"/>
        <v>1</v>
      </c>
      <c r="Y1518" s="5" t="str">
        <f>IFERROR(__xludf.DUMMYFUNCTION("REGEXEXTRACT(J1518, ""^\d+"")"),"2")</f>
        <v>2</v>
      </c>
      <c r="Z1518" s="5" t="str">
        <f>IFERROR(__xludf.DUMMYFUNCTION("REGEXEXTRACT(J1518, ""[A-Za-z ]+$"")")," Seasons")</f>
        <v> Seasons</v>
      </c>
      <c r="AA1518" s="5" t="str">
        <f>IFERROR(__xludf.DUMMYFUNCTION("IF(REGEXMATCH(Z1518, ""Season""), ""TV Show"", ""Movie"")"),"TV Show")</f>
        <v>TV Show</v>
      </c>
    </row>
    <row r="1519">
      <c r="A1519" s="1" t="s">
        <v>8906</v>
      </c>
      <c r="B1519" s="1" t="s">
        <v>27</v>
      </c>
      <c r="C1519" s="1" t="s">
        <v>8907</v>
      </c>
      <c r="D1519" s="1" t="s">
        <v>8321</v>
      </c>
      <c r="E1519" s="1" t="s">
        <v>8908</v>
      </c>
      <c r="F1519" s="1" t="s">
        <v>30</v>
      </c>
      <c r="G1519" s="1" t="s">
        <v>8893</v>
      </c>
      <c r="H1519" s="1">
        <v>2020.0</v>
      </c>
      <c r="I1519" s="1" t="s">
        <v>378</v>
      </c>
      <c r="J1519" s="1" t="s">
        <v>170</v>
      </c>
      <c r="K1519" s="1" t="s">
        <v>7087</v>
      </c>
      <c r="L1519" s="1" t="s">
        <v>8909</v>
      </c>
      <c r="M1519" s="2" t="s">
        <v>12</v>
      </c>
      <c r="N1519" s="4">
        <f t="shared" si="1"/>
        <v>44183</v>
      </c>
      <c r="O1519" s="5" t="str">
        <f>IFERROR(__xludf.DUMMYFUNCTION("IF(REGEXMATCH(TRIM(I1519), ""^\d+\s*min""), ""Unclassified"", IF(I1519 = """", ""NR"", I1519))"),"R")</f>
        <v>R</v>
      </c>
      <c r="R1519" s="5" t="str">
        <f t="shared" si="2"/>
        <v>Ma Rainey'S Black Bottom</v>
      </c>
      <c r="S1519" s="5" t="str">
        <f>IFERROR(__xludf.DUMMYFUNCTION("""COMPUTED_VALUE"""),"Chris D'Elia: Incorrigible")</f>
        <v>Chris D'Elia: Incorrigible</v>
      </c>
      <c r="U1519" s="5" t="str">
        <f>IFERROR(__xludf.DUMMYFUNCTION("""COMPUTED_VALUE"""),"Padraig Reynolds")</f>
        <v>Padraig Reynolds</v>
      </c>
      <c r="V1519" s="5" t="s">
        <v>7277</v>
      </c>
      <c r="W1519" s="5" t="str">
        <f t="shared" si="3"/>
        <v>Halitha Shameem</v>
      </c>
      <c r="X1519" s="5">
        <f t="shared" si="4"/>
        <v>2</v>
      </c>
      <c r="Y1519" s="5" t="str">
        <f>IFERROR(__xludf.DUMMYFUNCTION("REGEXEXTRACT(J1519, ""^\d+"")"),"94")</f>
        <v>94</v>
      </c>
      <c r="Z1519" s="5" t="str">
        <f>IFERROR(__xludf.DUMMYFUNCTION("REGEXEXTRACT(J1519, ""[A-Za-z ]+$"")")," min")</f>
        <v> min</v>
      </c>
      <c r="AA1519" s="5" t="str">
        <f>IFERROR(__xludf.DUMMYFUNCTION("IF(REGEXMATCH(Z1519, ""Season""), ""TV Show"", ""Movie"")"),"Movie")</f>
        <v>Movie</v>
      </c>
    </row>
    <row r="1520">
      <c r="A1520" s="1" t="s">
        <v>8910</v>
      </c>
      <c r="B1520" s="1" t="s">
        <v>27</v>
      </c>
      <c r="C1520" s="1" t="s">
        <v>8911</v>
      </c>
      <c r="E1520" s="1" t="s">
        <v>8912</v>
      </c>
      <c r="G1520" s="1" t="s">
        <v>8893</v>
      </c>
      <c r="H1520" s="1">
        <v>2020.0</v>
      </c>
      <c r="I1520" s="1" t="s">
        <v>136</v>
      </c>
      <c r="J1520" s="1" t="s">
        <v>5362</v>
      </c>
      <c r="K1520" s="1" t="s">
        <v>700</v>
      </c>
      <c r="L1520" s="1" t="s">
        <v>8913</v>
      </c>
      <c r="M1520" s="2" t="s">
        <v>12</v>
      </c>
      <c r="N1520" s="4">
        <f t="shared" si="1"/>
        <v>44183</v>
      </c>
      <c r="O1520" s="5" t="str">
        <f>IFERROR(__xludf.DUMMYFUNCTION("IF(REGEXMATCH(TRIM(I1520), ""^\d+\s*min""), ""Unclassified"", IF(I1520 = """", ""NR"", I1520))"),"TV-PG")</f>
        <v>TV-PG</v>
      </c>
      <c r="R1520" s="5" t="str">
        <f t="shared" si="2"/>
        <v>Ma Rainey'S Black Bottom: A Legacy Brought To Screen</v>
      </c>
      <c r="S1520" s="5" t="str">
        <f>IFERROR(__xludf.DUMMYFUNCTION("""COMPUTED_VALUE"""),"Chris D'Elia: Man On Fire")</f>
        <v>Chris D'Elia: Man On Fire</v>
      </c>
      <c r="U1520" s="5" t="str">
        <f>IFERROR(__xludf.DUMMYFUNCTION("""COMPUTED_VALUE"""),"Yorgos Lanthimos")</f>
        <v>Yorgos Lanthimos</v>
      </c>
      <c r="V1520" s="5" t="s">
        <v>3099</v>
      </c>
      <c r="W1520" s="5" t="str">
        <f t="shared" si="3"/>
        <v>Hallie Meyers-Shyer</v>
      </c>
      <c r="X1520" s="5">
        <f t="shared" si="4"/>
        <v>1</v>
      </c>
      <c r="Y1520" s="5" t="str">
        <f>IFERROR(__xludf.DUMMYFUNCTION("REGEXEXTRACT(J1520, ""^\d+"")"),"32")</f>
        <v>32</v>
      </c>
      <c r="Z1520" s="5" t="str">
        <f>IFERROR(__xludf.DUMMYFUNCTION("REGEXEXTRACT(J1520, ""[A-Za-z ]+$"")")," min")</f>
        <v> min</v>
      </c>
      <c r="AA1520" s="5" t="str">
        <f>IFERROR(__xludf.DUMMYFUNCTION("IF(REGEXMATCH(Z1520, ""Season""), ""TV Show"", ""Movie"")"),"Movie")</f>
        <v>Movie</v>
      </c>
    </row>
    <row r="1521">
      <c r="A1521" s="1" t="s">
        <v>8914</v>
      </c>
      <c r="B1521" s="1" t="s">
        <v>27</v>
      </c>
      <c r="C1521" s="1" t="s">
        <v>8915</v>
      </c>
      <c r="D1521" s="1" t="s">
        <v>8916</v>
      </c>
      <c r="E1521" s="1" t="s">
        <v>8917</v>
      </c>
      <c r="F1521" s="1" t="s">
        <v>3321</v>
      </c>
      <c r="G1521" s="1" t="s">
        <v>8893</v>
      </c>
      <c r="H1521" s="1">
        <v>2006.0</v>
      </c>
      <c r="I1521" s="1" t="s">
        <v>136</v>
      </c>
      <c r="J1521" s="1" t="s">
        <v>357</v>
      </c>
      <c r="K1521" s="1" t="s">
        <v>2242</v>
      </c>
      <c r="L1521" s="1" t="s">
        <v>8918</v>
      </c>
      <c r="M1521" s="2" t="s">
        <v>12</v>
      </c>
      <c r="N1521" s="4">
        <f t="shared" si="1"/>
        <v>44183</v>
      </c>
      <c r="O1521" s="5" t="str">
        <f>IFERROR(__xludf.DUMMYFUNCTION("IF(REGEXMATCH(TRIM(I1521), ""^\d+\s*min""), ""Unclassified"", IF(I1521 = """", ""NR"", I1521))"),"TV-PG")</f>
        <v>TV-PG</v>
      </c>
      <c r="R1521" s="5" t="str">
        <f t="shared" si="2"/>
        <v>Mukhsin</v>
      </c>
      <c r="S1521" s="5" t="str">
        <f>IFERROR(__xludf.DUMMYFUNCTION("""COMPUTED_VALUE"""),"Chris D'Elia: No Pain")</f>
        <v>Chris D'Elia: No Pain</v>
      </c>
      <c r="U1521" s="5" t="str">
        <f>IFERROR(__xludf.DUMMYFUNCTION("""COMPUTED_VALUE"""),"Michael Dowse")</f>
        <v>Michael Dowse</v>
      </c>
      <c r="V1521" s="5" t="s">
        <v>8496</v>
      </c>
      <c r="W1521" s="5" t="str">
        <f t="shared" si="3"/>
        <v>Hallvard Bræin</v>
      </c>
      <c r="X1521" s="5">
        <f t="shared" si="4"/>
        <v>1</v>
      </c>
      <c r="Y1521" s="5" t="str">
        <f>IFERROR(__xludf.DUMMYFUNCTION("REGEXEXTRACT(J1521, ""^\d+"")"),"98")</f>
        <v>98</v>
      </c>
      <c r="Z1521" s="5" t="str">
        <f>IFERROR(__xludf.DUMMYFUNCTION("REGEXEXTRACT(J1521, ""[A-Za-z ]+$"")")," min")</f>
        <v> min</v>
      </c>
      <c r="AA1521" s="5" t="str">
        <f>IFERROR(__xludf.DUMMYFUNCTION("IF(REGEXMATCH(Z1521, ""Season""), ""TV Show"", ""Movie"")"),"Movie")</f>
        <v>Movie</v>
      </c>
    </row>
    <row r="1522">
      <c r="A1522" s="1" t="s">
        <v>8919</v>
      </c>
      <c r="B1522" s="1" t="s">
        <v>37</v>
      </c>
      <c r="C1522" s="1" t="s">
        <v>8920</v>
      </c>
      <c r="D1522" s="1" t="s">
        <v>8921</v>
      </c>
      <c r="E1522" s="1" t="s">
        <v>8922</v>
      </c>
      <c r="F1522" s="1" t="s">
        <v>63</v>
      </c>
      <c r="G1522" s="1" t="s">
        <v>8893</v>
      </c>
      <c r="H1522" s="1">
        <v>2020.0</v>
      </c>
      <c r="I1522" s="1" t="s">
        <v>42</v>
      </c>
      <c r="J1522" s="1" t="s">
        <v>51</v>
      </c>
      <c r="K1522" s="1" t="s">
        <v>402</v>
      </c>
      <c r="L1522" s="1" t="s">
        <v>8923</v>
      </c>
      <c r="M1522" s="2" t="s">
        <v>12</v>
      </c>
      <c r="N1522" s="4">
        <f t="shared" si="1"/>
        <v>44183</v>
      </c>
      <c r="O1522" s="5" t="str">
        <f>IFERROR(__xludf.DUMMYFUNCTION("IF(REGEXMATCH(TRIM(I1522), ""^\d+\s*min""), ""Unclassified"", IF(I1522 = """", ""NR"", I1522))"),"TV-MA")</f>
        <v>TV-MA</v>
      </c>
      <c r="R1522" s="5" t="str">
        <f t="shared" si="2"/>
        <v>Paava Kadhaigal</v>
      </c>
      <c r="S1522" s="5" t="str">
        <f>IFERROR(__xludf.DUMMYFUNCTION("""COMPUTED_VALUE"""),"Chris Rock Total Blackout: The Tamborine Extended Cut")</f>
        <v>Chris Rock Total Blackout: The Tamborine Extended Cut</v>
      </c>
      <c r="U1522" s="5" t="str">
        <f>IFERROR(__xludf.DUMMYFUNCTION("""COMPUTED_VALUE"""),"Pablo Lejarreta, Luis Alfaro")</f>
        <v>Pablo Lejarreta, Luis Alfaro</v>
      </c>
      <c r="V1522" s="5" t="s">
        <v>8924</v>
      </c>
      <c r="W1522" s="5" t="str">
        <f t="shared" si="3"/>
        <v>Ham Tran</v>
      </c>
      <c r="X1522" s="5">
        <f t="shared" si="4"/>
        <v>1</v>
      </c>
      <c r="Y1522" s="5" t="str">
        <f>IFERROR(__xludf.DUMMYFUNCTION("REGEXEXTRACT(J1522, ""^\d+"")"),"1")</f>
        <v>1</v>
      </c>
      <c r="Z1522" s="5" t="str">
        <f>IFERROR(__xludf.DUMMYFUNCTION("REGEXEXTRACT(J1522, ""[A-Za-z ]+$"")")," Season")</f>
        <v> Season</v>
      </c>
      <c r="AA1522" s="5" t="str">
        <f>IFERROR(__xludf.DUMMYFUNCTION("IF(REGEXMATCH(Z1522, ""Season""), ""TV Show"", ""Movie"")"),"TV Show")</f>
        <v>TV Show</v>
      </c>
    </row>
    <row r="1523">
      <c r="A1523" s="1" t="s">
        <v>8925</v>
      </c>
      <c r="B1523" s="1" t="s">
        <v>27</v>
      </c>
      <c r="C1523" s="1" t="s">
        <v>8926</v>
      </c>
      <c r="D1523" s="1" t="s">
        <v>8916</v>
      </c>
      <c r="E1523" s="1" t="s">
        <v>8927</v>
      </c>
      <c r="F1523" s="1" t="s">
        <v>3321</v>
      </c>
      <c r="G1523" s="1" t="s">
        <v>8893</v>
      </c>
      <c r="H1523" s="1">
        <v>2004.0</v>
      </c>
      <c r="I1523" s="1" t="s">
        <v>136</v>
      </c>
      <c r="J1523" s="1" t="s">
        <v>471</v>
      </c>
      <c r="K1523" s="1" t="s">
        <v>89</v>
      </c>
      <c r="L1523" s="1" t="s">
        <v>8928</v>
      </c>
      <c r="M1523" s="2" t="s">
        <v>12</v>
      </c>
      <c r="N1523" s="4">
        <f t="shared" si="1"/>
        <v>44183</v>
      </c>
      <c r="O1523" s="5" t="str">
        <f>IFERROR(__xludf.DUMMYFUNCTION("IF(REGEXMATCH(TRIM(I1523), ""^\d+\s*min""), ""Unclassified"", IF(I1523 = """", ""NR"", I1523))"),"TV-PG")</f>
        <v>TV-PG</v>
      </c>
      <c r="R1523" s="5" t="str">
        <f t="shared" si="2"/>
        <v>Rabun</v>
      </c>
      <c r="S1523" s="5" t="str">
        <f>IFERROR(__xludf.DUMMYFUNCTION("""COMPUTED_VALUE"""),"Chris Rock: Tamborine")</f>
        <v>Chris Rock: Tamborine</v>
      </c>
      <c r="U1523" s="5" t="str">
        <f>IFERROR(__xludf.DUMMYFUNCTION("""COMPUTED_VALUE"""),"Armando Iannucci")</f>
        <v>Armando Iannucci</v>
      </c>
      <c r="V1523" s="5" t="s">
        <v>8929</v>
      </c>
      <c r="W1523" s="5" t="str">
        <f t="shared" si="3"/>
        <v>Hamad Alsarraf</v>
      </c>
      <c r="X1523" s="5">
        <f t="shared" si="4"/>
        <v>1</v>
      </c>
      <c r="Y1523" s="5" t="str">
        <f>IFERROR(__xludf.DUMMYFUNCTION("REGEXEXTRACT(J1523, ""^\d+"")"),"85")</f>
        <v>85</v>
      </c>
      <c r="Z1523" s="5" t="str">
        <f>IFERROR(__xludf.DUMMYFUNCTION("REGEXEXTRACT(J1523, ""[A-Za-z ]+$"")")," min")</f>
        <v> min</v>
      </c>
      <c r="AA1523" s="5" t="str">
        <f>IFERROR(__xludf.DUMMYFUNCTION("IF(REGEXMATCH(Z1523, ""Season""), ""TV Show"", ""Movie"")"),"Movie")</f>
        <v>Movie</v>
      </c>
    </row>
    <row r="1524">
      <c r="A1524" s="1" t="s">
        <v>8930</v>
      </c>
      <c r="B1524" s="1" t="s">
        <v>27</v>
      </c>
      <c r="C1524" s="1" t="s">
        <v>8931</v>
      </c>
      <c r="D1524" s="1" t="s">
        <v>8916</v>
      </c>
      <c r="E1524" s="1" t="s">
        <v>8932</v>
      </c>
      <c r="F1524" s="1" t="s">
        <v>3321</v>
      </c>
      <c r="G1524" s="1" t="s">
        <v>8893</v>
      </c>
      <c r="H1524" s="1">
        <v>2009.0</v>
      </c>
      <c r="I1524" s="1" t="s">
        <v>97</v>
      </c>
      <c r="J1524" s="1" t="s">
        <v>985</v>
      </c>
      <c r="K1524" s="1" t="s">
        <v>679</v>
      </c>
      <c r="L1524" s="1" t="s">
        <v>8933</v>
      </c>
      <c r="M1524" s="2" t="s">
        <v>12</v>
      </c>
      <c r="N1524" s="4">
        <f t="shared" si="1"/>
        <v>44183</v>
      </c>
      <c r="O1524" s="5" t="str">
        <f>IFERROR(__xludf.DUMMYFUNCTION("IF(REGEXMATCH(TRIM(I1524), ""^\d+\s*min""), ""Unclassified"", IF(I1524 = """", ""NR"", I1524))"),"TV-14")</f>
        <v>TV-14</v>
      </c>
      <c r="R1524" s="5" t="str">
        <f t="shared" si="2"/>
        <v>Talentime</v>
      </c>
      <c r="S1524" s="5" t="str">
        <f>IFERROR(__xludf.DUMMYFUNCTION("""COMPUTED_VALUE"""),"Chris Tucker Live")</f>
        <v>Chris Tucker Live</v>
      </c>
      <c r="U1524" s="5" t="str">
        <f>IFERROR(__xludf.DUMMYFUNCTION("""COMPUTED_VALUE"""),"Akira Saitoh")</f>
        <v>Akira Saitoh</v>
      </c>
      <c r="V1524" s="5" t="s">
        <v>7731</v>
      </c>
      <c r="W1524" s="5" t="str">
        <f t="shared" si="3"/>
        <v>Hamisha Daryani Ahuja</v>
      </c>
      <c r="X1524" s="5">
        <f t="shared" si="4"/>
        <v>1</v>
      </c>
      <c r="Y1524" s="5" t="str">
        <f>IFERROR(__xludf.DUMMYFUNCTION("REGEXEXTRACT(J1524, ""^\d+"")"),"120")</f>
        <v>120</v>
      </c>
      <c r="Z1524" s="5" t="str">
        <f>IFERROR(__xludf.DUMMYFUNCTION("REGEXEXTRACT(J1524, ""[A-Za-z ]+$"")")," min")</f>
        <v> min</v>
      </c>
      <c r="AA1524" s="5" t="str">
        <f>IFERROR(__xludf.DUMMYFUNCTION("IF(REGEXMATCH(Z1524, ""Season""), ""TV Show"", ""Movie"")"),"Movie")</f>
        <v>Movie</v>
      </c>
    </row>
    <row r="1525">
      <c r="A1525" s="1" t="s">
        <v>8934</v>
      </c>
      <c r="B1525" s="1" t="s">
        <v>27</v>
      </c>
      <c r="C1525" s="1" t="s">
        <v>8935</v>
      </c>
      <c r="D1525" s="1" t="s">
        <v>8936</v>
      </c>
      <c r="E1525" s="1" t="s">
        <v>8937</v>
      </c>
      <c r="F1525" s="1" t="s">
        <v>1837</v>
      </c>
      <c r="G1525" s="1" t="s">
        <v>8938</v>
      </c>
      <c r="H1525" s="1">
        <v>2020.0</v>
      </c>
      <c r="I1525" s="1" t="s">
        <v>97</v>
      </c>
      <c r="J1525" s="1" t="s">
        <v>490</v>
      </c>
      <c r="K1525" s="1" t="s">
        <v>583</v>
      </c>
      <c r="L1525" s="1" t="s">
        <v>8939</v>
      </c>
      <c r="M1525" s="2" t="s">
        <v>12</v>
      </c>
      <c r="N1525" s="4">
        <f t="shared" si="1"/>
        <v>44182</v>
      </c>
      <c r="O1525" s="5" t="str">
        <f>IFERROR(__xludf.DUMMYFUNCTION("IF(REGEXMATCH(TRIM(I1525), ""^\d+\s*min""), ""Unclassified"", IF(I1525 = """", ""NR"", I1525))"),"TV-14")</f>
        <v>TV-14</v>
      </c>
      <c r="R1525" s="5" t="str">
        <f t="shared" si="2"/>
        <v>An Unremarkable Christmas</v>
      </c>
      <c r="S1525" s="5" t="str">
        <f>IFERROR(__xludf.DUMMYFUNCTION("""COMPUTED_VALUE"""),"Christian Mingle")</f>
        <v>Christian Mingle</v>
      </c>
      <c r="U1525" s="5" t="str">
        <f>IFERROR(__xludf.DUMMYFUNCTION("""COMPUTED_VALUE"""),"Haruka Fujita")</f>
        <v>Haruka Fujita</v>
      </c>
      <c r="V1525" s="5" t="s">
        <v>8940</v>
      </c>
      <c r="W1525" s="5" t="str">
        <f t="shared" si="3"/>
        <v>Han Han</v>
      </c>
      <c r="X1525" s="5">
        <f t="shared" si="4"/>
        <v>1</v>
      </c>
      <c r="Y1525" s="5" t="str">
        <f>IFERROR(__xludf.DUMMYFUNCTION("REGEXEXTRACT(J1525, ""^\d+"")"),"83")</f>
        <v>83</v>
      </c>
      <c r="Z1525" s="5" t="str">
        <f>IFERROR(__xludf.DUMMYFUNCTION("REGEXEXTRACT(J1525, ""[A-Za-z ]+$"")")," min")</f>
        <v> min</v>
      </c>
      <c r="AA1525" s="5" t="str">
        <f>IFERROR(__xludf.DUMMYFUNCTION("IF(REGEXMATCH(Z1525, ""Season""), ""TV Show"", ""Movie"")"),"Movie")</f>
        <v>Movie</v>
      </c>
    </row>
    <row r="1526">
      <c r="A1526" s="1" t="s">
        <v>8941</v>
      </c>
      <c r="B1526" s="1" t="s">
        <v>27</v>
      </c>
      <c r="C1526" s="1" t="s">
        <v>8942</v>
      </c>
      <c r="D1526" s="1" t="s">
        <v>8943</v>
      </c>
      <c r="E1526" s="1" t="s">
        <v>8944</v>
      </c>
      <c r="F1526" s="1" t="s">
        <v>1106</v>
      </c>
      <c r="G1526" s="1" t="s">
        <v>8938</v>
      </c>
      <c r="H1526" s="1">
        <v>2018.0</v>
      </c>
      <c r="I1526" s="1" t="s">
        <v>378</v>
      </c>
      <c r="J1526" s="1" t="s">
        <v>170</v>
      </c>
      <c r="K1526" s="1" t="s">
        <v>380</v>
      </c>
      <c r="L1526" s="1" t="s">
        <v>8945</v>
      </c>
      <c r="M1526" s="2" t="s">
        <v>12</v>
      </c>
      <c r="N1526" s="4">
        <f t="shared" si="1"/>
        <v>44182</v>
      </c>
      <c r="O1526" s="5" t="str">
        <f>IFERROR(__xludf.DUMMYFUNCTION("IF(REGEXMATCH(TRIM(I1526), ""^\d+\s*min""), ""Unclassified"", IF(I1526 = """", ""NR"", I1526))"),"R")</f>
        <v>R</v>
      </c>
      <c r="R1526" s="5" t="str">
        <f t="shared" si="2"/>
        <v>Braven</v>
      </c>
      <c r="S1526" s="5" t="str">
        <f>IFERROR(__xludf.DUMMYFUNCTION("""COMPUTED_VALUE"""),"Christiane Amanpour: Sex &amp; Love Around The World")</f>
        <v>Christiane Amanpour: Sex &amp; Love Around The World</v>
      </c>
      <c r="U1526" s="5" t="str">
        <f>IFERROR(__xludf.DUMMYFUNCTION("""COMPUTED_VALUE"""),"Mukul Anand")</f>
        <v>Mukul Anand</v>
      </c>
      <c r="V1526" s="5" t="s">
        <v>1606</v>
      </c>
      <c r="W1526" s="5" t="str">
        <f t="shared" si="3"/>
        <v>Han Kwang Il</v>
      </c>
      <c r="X1526" s="5">
        <f t="shared" si="4"/>
        <v>1</v>
      </c>
      <c r="Y1526" s="5" t="str">
        <f>IFERROR(__xludf.DUMMYFUNCTION("REGEXEXTRACT(J1526, ""^\d+"")"),"94")</f>
        <v>94</v>
      </c>
      <c r="Z1526" s="5" t="str">
        <f>IFERROR(__xludf.DUMMYFUNCTION("REGEXEXTRACT(J1526, ""[A-Za-z ]+$"")")," min")</f>
        <v> min</v>
      </c>
      <c r="AA1526" s="5" t="str">
        <f>IFERROR(__xludf.DUMMYFUNCTION("IF(REGEXMATCH(Z1526, ""Season""), ""TV Show"", ""Movie"")"),"Movie")</f>
        <v>Movie</v>
      </c>
    </row>
    <row r="1527">
      <c r="A1527" s="1" t="s">
        <v>8946</v>
      </c>
      <c r="B1527" s="1" t="s">
        <v>27</v>
      </c>
      <c r="C1527" s="1" t="s">
        <v>8947</v>
      </c>
      <c r="D1527" s="1" t="s">
        <v>8948</v>
      </c>
      <c r="E1527" s="1" t="s">
        <v>8949</v>
      </c>
      <c r="F1527" s="1" t="s">
        <v>2873</v>
      </c>
      <c r="G1527" s="1" t="s">
        <v>8938</v>
      </c>
      <c r="H1527" s="1">
        <v>2019.0</v>
      </c>
      <c r="I1527" s="1" t="s">
        <v>97</v>
      </c>
      <c r="J1527" s="1" t="s">
        <v>447</v>
      </c>
      <c r="K1527" s="1" t="s">
        <v>679</v>
      </c>
      <c r="L1527" s="1" t="s">
        <v>8950</v>
      </c>
      <c r="M1527" s="2" t="s">
        <v>12</v>
      </c>
      <c r="N1527" s="4">
        <f t="shared" si="1"/>
        <v>44182</v>
      </c>
      <c r="O1527" s="5" t="str">
        <f>IFERROR(__xludf.DUMMYFUNCTION("IF(REGEXMATCH(TRIM(I1527), ""^\d+\s*min""), ""Unclassified"", IF(I1527 = """", ""NR"", I1527))"),"TV-14")</f>
        <v>TV-14</v>
      </c>
      <c r="R1527" s="5" t="str">
        <f t="shared" si="2"/>
        <v>Eggnoid: Love &amp; Time Portal</v>
      </c>
      <c r="S1527" s="5" t="str">
        <f>IFERROR(__xludf.DUMMYFUNCTION("""COMPUTED_VALUE"""),"Christina P: Mother Inferior")</f>
        <v>Christina P: Mother Inferior</v>
      </c>
      <c r="U1527" s="5" t="str">
        <f>IFERROR(__xludf.DUMMYFUNCTION("""COMPUTED_VALUE"""),"Karan Malhotra")</f>
        <v>Karan Malhotra</v>
      </c>
      <c r="V1527" s="5" t="s">
        <v>8951</v>
      </c>
      <c r="W1527" s="5" t="str">
        <f t="shared" si="3"/>
        <v>Han Qing</v>
      </c>
      <c r="X1527" s="5">
        <f t="shared" si="4"/>
        <v>1</v>
      </c>
      <c r="Y1527" s="5" t="str">
        <f>IFERROR(__xludf.DUMMYFUNCTION("REGEXEXTRACT(J1527, ""^\d+"")"),"102")</f>
        <v>102</v>
      </c>
      <c r="Z1527" s="5" t="str">
        <f>IFERROR(__xludf.DUMMYFUNCTION("REGEXEXTRACT(J1527, ""[A-Za-z ]+$"")")," min")</f>
        <v> min</v>
      </c>
      <c r="AA1527" s="5" t="str">
        <f>IFERROR(__xludf.DUMMYFUNCTION("IF(REGEXMATCH(Z1527, ""Season""), ""TV Show"", ""Movie"")"),"Movie")</f>
        <v>Movie</v>
      </c>
    </row>
    <row r="1528">
      <c r="A1528" s="1" t="s">
        <v>8952</v>
      </c>
      <c r="B1528" s="1" t="s">
        <v>27</v>
      </c>
      <c r="C1528" s="1" t="s">
        <v>8953</v>
      </c>
      <c r="D1528" s="1" t="s">
        <v>2329</v>
      </c>
      <c r="E1528" s="1" t="s">
        <v>8954</v>
      </c>
      <c r="F1528" s="1" t="s">
        <v>4287</v>
      </c>
      <c r="G1528" s="1" t="s">
        <v>8938</v>
      </c>
      <c r="H1528" s="1">
        <v>2017.0</v>
      </c>
      <c r="I1528" s="1" t="s">
        <v>97</v>
      </c>
      <c r="J1528" s="1" t="s">
        <v>264</v>
      </c>
      <c r="K1528" s="1" t="s">
        <v>215</v>
      </c>
      <c r="L1528" s="1" t="s">
        <v>8955</v>
      </c>
      <c r="M1528" s="2" t="s">
        <v>12</v>
      </c>
      <c r="N1528" s="4">
        <f t="shared" si="1"/>
        <v>44182</v>
      </c>
      <c r="O1528" s="5" t="str">
        <f>IFERROR(__xludf.DUMMYFUNCTION("IF(REGEXMATCH(TRIM(I1528), ""^\d+\s*min""), ""Unclassified"", IF(I1528 = """", ""NR"", I1528))"),"TV-14")</f>
        <v>TV-14</v>
      </c>
      <c r="R1528" s="5" t="str">
        <f t="shared" si="2"/>
        <v>Love You To The Stars And Back</v>
      </c>
      <c r="S1528" s="5" t="str">
        <f>IFERROR(__xludf.DUMMYFUNCTION("""COMPUTED_VALUE"""),"Christine")</f>
        <v>Christine</v>
      </c>
      <c r="U1528" s="5" t="str">
        <f>IFERROR(__xludf.DUMMYFUNCTION("""COMPUTED_VALUE"""),"David Batra, Jon Rudberg")</f>
        <v>David Batra, Jon Rudberg</v>
      </c>
      <c r="V1528" s="5" t="s">
        <v>8956</v>
      </c>
      <c r="W1528" s="5" t="str">
        <f t="shared" si="3"/>
        <v>Han Yan</v>
      </c>
      <c r="X1528" s="5">
        <f t="shared" si="4"/>
        <v>1</v>
      </c>
      <c r="Y1528" s="5" t="str">
        <f>IFERROR(__xludf.DUMMYFUNCTION("REGEXEXTRACT(J1528, ""^\d+"")"),"111")</f>
        <v>111</v>
      </c>
      <c r="Z1528" s="5" t="str">
        <f>IFERROR(__xludf.DUMMYFUNCTION("REGEXEXTRACT(J1528, ""[A-Za-z ]+$"")")," min")</f>
        <v> min</v>
      </c>
      <c r="AA1528" s="5" t="str">
        <f>IFERROR(__xludf.DUMMYFUNCTION("IF(REGEXMATCH(Z1528, ""Season""), ""TV Show"", ""Movie"")"),"Movie")</f>
        <v>Movie</v>
      </c>
    </row>
    <row r="1529">
      <c r="A1529" s="1" t="s">
        <v>8957</v>
      </c>
      <c r="B1529" s="1" t="s">
        <v>37</v>
      </c>
      <c r="C1529" s="1" t="s">
        <v>8958</v>
      </c>
      <c r="F1529" s="1" t="s">
        <v>4615</v>
      </c>
      <c r="G1529" s="1" t="s">
        <v>8938</v>
      </c>
      <c r="H1529" s="1">
        <v>2020.0</v>
      </c>
      <c r="I1529" s="1" t="s">
        <v>206</v>
      </c>
      <c r="J1529" s="1" t="s">
        <v>43</v>
      </c>
      <c r="K1529" s="1" t="s">
        <v>712</v>
      </c>
      <c r="L1529" s="1" t="s">
        <v>8959</v>
      </c>
      <c r="M1529" s="2" t="s">
        <v>12</v>
      </c>
      <c r="N1529" s="4">
        <f t="shared" si="1"/>
        <v>44182</v>
      </c>
      <c r="O1529" s="5" t="str">
        <f>IFERROR(__xludf.DUMMYFUNCTION("IF(REGEXMATCH(TRIM(I1529), ""^\d+\s*min""), ""Unclassified"", IF(I1529 = """", ""NR"", I1529))"),"TV-Y")</f>
        <v>TV-Y</v>
      </c>
      <c r="R1529" s="5" t="str">
        <f t="shared" si="2"/>
        <v>Morphle</v>
      </c>
      <c r="S1529" s="5" t="str">
        <f>IFERROR(__xludf.DUMMYFUNCTION("""COMPUTED_VALUE"""),"Christmas Break-In")</f>
        <v>Christmas Break-In</v>
      </c>
      <c r="U1529" s="5" t="str">
        <f>IFERROR(__xludf.DUMMYFUNCTION("""COMPUTED_VALUE"""),"Tarun Mansukhani")</f>
        <v>Tarun Mansukhani</v>
      </c>
      <c r="V1529" s="5" t="s">
        <v>8960</v>
      </c>
      <c r="W1529" s="5" t="str">
        <f t="shared" si="3"/>
        <v>Handan İpekçi</v>
      </c>
      <c r="X1529" s="5">
        <f t="shared" si="4"/>
        <v>1</v>
      </c>
      <c r="Y1529" s="5" t="str">
        <f>IFERROR(__xludf.DUMMYFUNCTION("REGEXEXTRACT(J1529, ""^\d+"")"),"2")</f>
        <v>2</v>
      </c>
      <c r="Z1529" s="5" t="str">
        <f>IFERROR(__xludf.DUMMYFUNCTION("REGEXEXTRACT(J1529, ""[A-Za-z ]+$"")")," Seasons")</f>
        <v> Seasons</v>
      </c>
      <c r="AA1529" s="5" t="str">
        <f>IFERROR(__xludf.DUMMYFUNCTION("IF(REGEXMATCH(Z1529, ""Season""), ""TV Show"", ""Movie"")"),"TV Show")</f>
        <v>TV Show</v>
      </c>
    </row>
    <row r="1530">
      <c r="A1530" s="1" t="s">
        <v>8961</v>
      </c>
      <c r="B1530" s="1" t="s">
        <v>37</v>
      </c>
      <c r="C1530" s="1" t="s">
        <v>8962</v>
      </c>
      <c r="E1530" s="1" t="s">
        <v>8963</v>
      </c>
      <c r="F1530" s="1" t="s">
        <v>749</v>
      </c>
      <c r="G1530" s="1" t="s">
        <v>8938</v>
      </c>
      <c r="H1530" s="1">
        <v>2020.0</v>
      </c>
      <c r="I1530" s="1" t="s">
        <v>42</v>
      </c>
      <c r="J1530" s="1" t="s">
        <v>51</v>
      </c>
      <c r="K1530" s="1" t="s">
        <v>64</v>
      </c>
      <c r="L1530" s="1" t="s">
        <v>8964</v>
      </c>
      <c r="M1530" s="2" t="s">
        <v>12</v>
      </c>
      <c r="N1530" s="4">
        <f t="shared" si="1"/>
        <v>44182</v>
      </c>
      <c r="O1530" s="5" t="str">
        <f>IFERROR(__xludf.DUMMYFUNCTION("IF(REGEXMATCH(TRIM(I1530), ""^\d+\s*min""), ""Unclassified"", IF(I1530 = """", ""NR"", I1530))"),"TV-MA")</f>
        <v>TV-MA</v>
      </c>
      <c r="R1530" s="5" t="str">
        <f t="shared" si="2"/>
        <v>Run On</v>
      </c>
      <c r="S1530" s="5" t="str">
        <f>IFERROR(__xludf.DUMMYFUNCTION("""COMPUTED_VALUE"""),"Christmas Crossfire")</f>
        <v>Christmas Crossfire</v>
      </c>
      <c r="U1530" s="5" t="str">
        <f>IFERROR(__xludf.DUMMYFUNCTION("""COMPUTED_VALUE"""),"Ramesh Talwar")</f>
        <v>Ramesh Talwar</v>
      </c>
      <c r="V1530" s="5" t="s">
        <v>8965</v>
      </c>
      <c r="W1530" s="5" t="str">
        <f t="shared" si="3"/>
        <v>Hang-Jun Jang</v>
      </c>
      <c r="X1530" s="5">
        <f t="shared" si="4"/>
        <v>1</v>
      </c>
      <c r="Y1530" s="5" t="str">
        <f>IFERROR(__xludf.DUMMYFUNCTION("REGEXEXTRACT(J1530, ""^\d+"")"),"1")</f>
        <v>1</v>
      </c>
      <c r="Z1530" s="5" t="str">
        <f>IFERROR(__xludf.DUMMYFUNCTION("REGEXEXTRACT(J1530, ""[A-Za-z ]+$"")")," Season")</f>
        <v> Season</v>
      </c>
      <c r="AA1530" s="5" t="str">
        <f>IFERROR(__xludf.DUMMYFUNCTION("IF(REGEXMATCH(Z1530, ""Season""), ""TV Show"", ""Movie"")"),"TV Show")</f>
        <v>TV Show</v>
      </c>
    </row>
    <row r="1531">
      <c r="A1531" s="1" t="s">
        <v>8966</v>
      </c>
      <c r="B1531" s="1" t="s">
        <v>27</v>
      </c>
      <c r="C1531" s="1" t="s">
        <v>8967</v>
      </c>
      <c r="D1531" s="1" t="s">
        <v>852</v>
      </c>
      <c r="E1531" s="1" t="s">
        <v>8968</v>
      </c>
      <c r="F1531" s="1" t="s">
        <v>4287</v>
      </c>
      <c r="G1531" s="1" t="s">
        <v>8938</v>
      </c>
      <c r="H1531" s="1">
        <v>2019.0</v>
      </c>
      <c r="I1531" s="1" t="s">
        <v>97</v>
      </c>
      <c r="J1531" s="1" t="s">
        <v>33</v>
      </c>
      <c r="K1531" s="1" t="s">
        <v>3183</v>
      </c>
      <c r="L1531" s="1" t="s">
        <v>8969</v>
      </c>
      <c r="M1531" s="2" t="s">
        <v>12</v>
      </c>
      <c r="N1531" s="4">
        <f t="shared" si="1"/>
        <v>44182</v>
      </c>
      <c r="O1531" s="5" t="str">
        <f>IFERROR(__xludf.DUMMYFUNCTION("IF(REGEXMATCH(TRIM(I1531), ""^\d+\s*min""), ""Unclassified"", IF(I1531 = """", ""NR"", I1531))"),"TV-14")</f>
        <v>TV-14</v>
      </c>
      <c r="R1531" s="5" t="str">
        <f t="shared" si="2"/>
        <v>Sakaling Maging Tayo</v>
      </c>
      <c r="S1531" s="5" t="str">
        <f>IFERROR(__xludf.DUMMYFUNCTION("""COMPUTED_VALUE"""),"Christmas Crush")</f>
        <v>Christmas Crush</v>
      </c>
      <c r="U1531" s="5" t="str">
        <f>IFERROR(__xludf.DUMMYFUNCTION("""COMPUTED_VALUE"""),"Mahesh Bhatt")</f>
        <v>Mahesh Bhatt</v>
      </c>
      <c r="V1531" s="5" t="s">
        <v>8970</v>
      </c>
      <c r="W1531" s="5" t="str">
        <f t="shared" si="3"/>
        <v>Hani Al-Shaibani</v>
      </c>
      <c r="X1531" s="5">
        <f t="shared" si="4"/>
        <v>1</v>
      </c>
      <c r="Y1531" s="5" t="str">
        <f>IFERROR(__xludf.DUMMYFUNCTION("REGEXEXTRACT(J1531, ""^\d+"")"),"90")</f>
        <v>90</v>
      </c>
      <c r="Z1531" s="5" t="str">
        <f>IFERROR(__xludf.DUMMYFUNCTION("REGEXEXTRACT(J1531, ""[A-Za-z ]+$"")")," min")</f>
        <v> min</v>
      </c>
      <c r="AA1531" s="5" t="str">
        <f>IFERROR(__xludf.DUMMYFUNCTION("IF(REGEXMATCH(Z1531, ""Season""), ""TV Show"", ""Movie"")"),"Movie")</f>
        <v>Movie</v>
      </c>
    </row>
    <row r="1532">
      <c r="A1532" s="1" t="s">
        <v>8971</v>
      </c>
      <c r="B1532" s="1" t="s">
        <v>37</v>
      </c>
      <c r="C1532" s="1" t="s">
        <v>8972</v>
      </c>
      <c r="D1532" s="1" t="s">
        <v>1280</v>
      </c>
      <c r="E1532" s="1" t="s">
        <v>8973</v>
      </c>
      <c r="F1532" s="1" t="s">
        <v>30</v>
      </c>
      <c r="G1532" s="1" t="s">
        <v>8938</v>
      </c>
      <c r="H1532" s="1">
        <v>2020.0</v>
      </c>
      <c r="I1532" s="1" t="s">
        <v>42</v>
      </c>
      <c r="J1532" s="1" t="s">
        <v>51</v>
      </c>
      <c r="K1532" s="1" t="s">
        <v>2512</v>
      </c>
      <c r="L1532" s="1" t="s">
        <v>8974</v>
      </c>
      <c r="M1532" s="2" t="s">
        <v>12</v>
      </c>
      <c r="N1532" s="4">
        <f t="shared" si="1"/>
        <v>44182</v>
      </c>
      <c r="O1532" s="5" t="str">
        <f>IFERROR(__xludf.DUMMYFUNCTION("IF(REGEXMATCH(TRIM(I1532), ""^\d+\s*min""), ""Unclassified"", IF(I1532 = """", ""NR"", I1532))"),"TV-MA")</f>
        <v>TV-MA</v>
      </c>
      <c r="R1532" s="5" t="str">
        <f t="shared" si="2"/>
        <v>Schulz Saves America</v>
      </c>
      <c r="S1532" s="5" t="str">
        <f>IFERROR(__xludf.DUMMYFUNCTION("""COMPUTED_VALUE"""),"Christmas In The Heartland")</f>
        <v>Christmas In The Heartland</v>
      </c>
      <c r="U1532" s="5" t="str">
        <f>IFERROR(__xludf.DUMMYFUNCTION("""COMPUTED_VALUE"""),"Raj Khosla")</f>
        <v>Raj Khosla</v>
      </c>
      <c r="V1532" s="5" t="s">
        <v>8975</v>
      </c>
      <c r="W1532" s="5" t="str">
        <f t="shared" si="3"/>
        <v>Hani Hamdi</v>
      </c>
      <c r="X1532" s="5">
        <f t="shared" si="4"/>
        <v>2</v>
      </c>
      <c r="Y1532" s="5" t="str">
        <f>IFERROR(__xludf.DUMMYFUNCTION("REGEXEXTRACT(J1532, ""^\d+"")"),"1")</f>
        <v>1</v>
      </c>
      <c r="Z1532" s="5" t="str">
        <f>IFERROR(__xludf.DUMMYFUNCTION("REGEXEXTRACT(J1532, ""[A-Za-z ]+$"")")," Season")</f>
        <v> Season</v>
      </c>
      <c r="AA1532" s="5" t="str">
        <f>IFERROR(__xludf.DUMMYFUNCTION("IF(REGEXMATCH(Z1532, ""Season""), ""TV Show"", ""Movie"")"),"TV Show")</f>
        <v>TV Show</v>
      </c>
    </row>
    <row r="1533">
      <c r="A1533" s="1" t="s">
        <v>8976</v>
      </c>
      <c r="B1533" s="1" t="s">
        <v>27</v>
      </c>
      <c r="C1533" s="1" t="s">
        <v>8977</v>
      </c>
      <c r="D1533" s="1" t="s">
        <v>7516</v>
      </c>
      <c r="E1533" s="1" t="s">
        <v>8978</v>
      </c>
      <c r="G1533" s="1" t="s">
        <v>8938</v>
      </c>
      <c r="H1533" s="1">
        <v>2019.0</v>
      </c>
      <c r="I1533" s="1" t="s">
        <v>136</v>
      </c>
      <c r="J1533" s="1" t="s">
        <v>264</v>
      </c>
      <c r="K1533" s="1" t="s">
        <v>679</v>
      </c>
      <c r="L1533" s="1" t="s">
        <v>8979</v>
      </c>
      <c r="M1533" s="2" t="s">
        <v>12</v>
      </c>
      <c r="N1533" s="4">
        <f t="shared" si="1"/>
        <v>44182</v>
      </c>
      <c r="O1533" s="5" t="str">
        <f>IFERROR(__xludf.DUMMYFUNCTION("IF(REGEXMATCH(TRIM(I1533), ""^\d+\s*min""), ""Unclassified"", IF(I1533 = """", ""NR"", I1533))"),"TV-PG")</f>
        <v>TV-PG</v>
      </c>
      <c r="R1533" s="5" t="str">
        <f t="shared" si="2"/>
        <v>The Wedding Shaman</v>
      </c>
      <c r="S1533" s="5" t="str">
        <f>IFERROR(__xludf.DUMMYFUNCTION("""COMPUTED_VALUE"""),"Christmas In The Smokies")</f>
        <v>Christmas In The Smokies</v>
      </c>
      <c r="U1533" s="5" t="str">
        <f>IFERROR(__xludf.DUMMYFUNCTION("""COMPUTED_VALUE"""),"Punit Malhotra")</f>
        <v>Punit Malhotra</v>
      </c>
      <c r="V1533" s="5" t="s">
        <v>8980</v>
      </c>
      <c r="W1533" s="5" t="str">
        <f t="shared" si="3"/>
        <v>Hannah Fidell</v>
      </c>
      <c r="X1533" s="5">
        <f t="shared" si="4"/>
        <v>2</v>
      </c>
      <c r="Y1533" s="5" t="str">
        <f>IFERROR(__xludf.DUMMYFUNCTION("REGEXEXTRACT(J1533, ""^\d+"")"),"111")</f>
        <v>111</v>
      </c>
      <c r="Z1533" s="5" t="str">
        <f>IFERROR(__xludf.DUMMYFUNCTION("REGEXEXTRACT(J1533, ""[A-Za-z ]+$"")")," min")</f>
        <v> min</v>
      </c>
      <c r="AA1533" s="5" t="str">
        <f>IFERROR(__xludf.DUMMYFUNCTION("IF(REGEXMATCH(Z1533, ""Season""), ""TV Show"", ""Movie"")"),"Movie")</f>
        <v>Movie</v>
      </c>
    </row>
    <row r="1534">
      <c r="A1534" s="1" t="s">
        <v>8981</v>
      </c>
      <c r="B1534" s="1" t="s">
        <v>37</v>
      </c>
      <c r="C1534" s="1" t="s">
        <v>8982</v>
      </c>
      <c r="D1534" s="1" t="s">
        <v>1981</v>
      </c>
      <c r="E1534" s="1" t="s">
        <v>8983</v>
      </c>
      <c r="F1534" s="1" t="s">
        <v>1992</v>
      </c>
      <c r="G1534" s="1" t="s">
        <v>8984</v>
      </c>
      <c r="H1534" s="1">
        <v>2020.0</v>
      </c>
      <c r="I1534" s="1" t="s">
        <v>42</v>
      </c>
      <c r="J1534" s="1" t="s">
        <v>51</v>
      </c>
      <c r="K1534" s="1" t="s">
        <v>507</v>
      </c>
      <c r="L1534" s="1" t="s">
        <v>8985</v>
      </c>
      <c r="M1534" s="2" t="s">
        <v>12</v>
      </c>
      <c r="N1534" s="4">
        <f t="shared" si="1"/>
        <v>44181</v>
      </c>
      <c r="O1534" s="5" t="str">
        <f>IFERROR(__xludf.DUMMYFUNCTION("IF(REGEXMATCH(TRIM(I1534), ""^\d+\s*min""), ""Unclassified"", IF(I1534 = """", ""NR"", I1534))"),"TV-MA")</f>
        <v>TV-MA</v>
      </c>
      <c r="R1534" s="5" t="str">
        <f t="shared" si="2"/>
        <v>Anitta: Made In Honório</v>
      </c>
      <c r="S1534" s="5" t="str">
        <f>IFERROR(__xludf.DUMMYFUNCTION("""COMPUTED_VALUE"""),"Christmas Inheritance")</f>
        <v>Christmas Inheritance</v>
      </c>
      <c r="U1534" s="5" t="str">
        <f>IFERROR(__xludf.DUMMYFUNCTION("""COMPUTED_VALUE"""),"Shashank Khaitan")</f>
        <v>Shashank Khaitan</v>
      </c>
      <c r="V1534" s="5" t="s">
        <v>8986</v>
      </c>
      <c r="W1534" s="5" t="str">
        <f t="shared" si="3"/>
        <v>Hannes Stöhr</v>
      </c>
      <c r="X1534" s="5">
        <f t="shared" si="4"/>
        <v>1</v>
      </c>
      <c r="Y1534" s="5" t="str">
        <f>IFERROR(__xludf.DUMMYFUNCTION("REGEXEXTRACT(J1534, ""^\d+"")"),"1")</f>
        <v>1</v>
      </c>
      <c r="Z1534" s="5" t="str">
        <f>IFERROR(__xludf.DUMMYFUNCTION("REGEXEXTRACT(J1534, ""[A-Za-z ]+$"")")," Season")</f>
        <v> Season</v>
      </c>
      <c r="AA1534" s="5" t="str">
        <f>IFERROR(__xludf.DUMMYFUNCTION("IF(REGEXMATCH(Z1534, ""Season""), ""TV Show"", ""Movie"")"),"TV Show")</f>
        <v>TV Show</v>
      </c>
    </row>
    <row r="1535">
      <c r="A1535" s="1" t="s">
        <v>8987</v>
      </c>
      <c r="B1535" s="1" t="s">
        <v>37</v>
      </c>
      <c r="C1535" s="1" t="s">
        <v>8988</v>
      </c>
      <c r="D1535" s="1" t="s">
        <v>8989</v>
      </c>
      <c r="G1535" s="1" t="s">
        <v>8984</v>
      </c>
      <c r="H1535" s="1">
        <v>2020.0</v>
      </c>
      <c r="I1535" s="1" t="s">
        <v>42</v>
      </c>
      <c r="J1535" s="1" t="s">
        <v>51</v>
      </c>
      <c r="K1535" s="1" t="s">
        <v>8990</v>
      </c>
      <c r="L1535" s="1" t="s">
        <v>8991</v>
      </c>
      <c r="M1535" s="2" t="s">
        <v>12</v>
      </c>
      <c r="N1535" s="4">
        <f t="shared" si="1"/>
        <v>44181</v>
      </c>
      <c r="O1535" s="5" t="str">
        <f>IFERROR(__xludf.DUMMYFUNCTION("IF(REGEXMATCH(TRIM(I1535), ""^\d+\s*min""), ""Unclassified"", IF(I1535 = """", ""NR"", I1535))"),"TV-MA")</f>
        <v>TV-MA</v>
      </c>
      <c r="R1535" s="5" t="str">
        <f t="shared" si="2"/>
        <v>Break It All: The History Of Rock In Latin America</v>
      </c>
      <c r="S1535" s="5" t="str">
        <f>IFERROR(__xludf.DUMMYFUNCTION("""COMPUTED_VALUE"""),"Christmas Survival")</f>
        <v>Christmas Survival</v>
      </c>
      <c r="U1535" s="5" t="str">
        <f>IFERROR(__xludf.DUMMYFUNCTION("""COMPUTED_VALUE"""),"Soham Shah")</f>
        <v>Soham Shah</v>
      </c>
      <c r="V1535" s="5" t="s">
        <v>8992</v>
      </c>
      <c r="W1535" s="5" t="str">
        <f t="shared" si="3"/>
        <v>Hanno Olderdissen</v>
      </c>
      <c r="X1535" s="5">
        <f t="shared" si="4"/>
        <v>1</v>
      </c>
      <c r="Y1535" s="5" t="str">
        <f>IFERROR(__xludf.DUMMYFUNCTION("REGEXEXTRACT(J1535, ""^\d+"")"),"1")</f>
        <v>1</v>
      </c>
      <c r="Z1535" s="5" t="str">
        <f>IFERROR(__xludf.DUMMYFUNCTION("REGEXEXTRACT(J1535, ""[A-Za-z ]+$"")")," Season")</f>
        <v> Season</v>
      </c>
      <c r="AA1535" s="5" t="str">
        <f>IFERROR(__xludf.DUMMYFUNCTION("IF(REGEXMATCH(Z1535, ""Season""), ""TV Show"", ""Movie"")"),"TV Show")</f>
        <v>TV Show</v>
      </c>
    </row>
    <row r="1536">
      <c r="A1536" s="1" t="s">
        <v>8993</v>
      </c>
      <c r="B1536" s="1" t="s">
        <v>27</v>
      </c>
      <c r="C1536" s="1" t="s">
        <v>8994</v>
      </c>
      <c r="D1536" s="1" t="s">
        <v>8995</v>
      </c>
      <c r="E1536" s="1" t="s">
        <v>8996</v>
      </c>
      <c r="F1536" s="1" t="s">
        <v>8997</v>
      </c>
      <c r="G1536" s="1" t="s">
        <v>8984</v>
      </c>
      <c r="H1536" s="1">
        <v>2012.0</v>
      </c>
      <c r="I1536" s="1" t="s">
        <v>42</v>
      </c>
      <c r="J1536" s="1" t="s">
        <v>297</v>
      </c>
      <c r="K1536" s="1" t="s">
        <v>4958</v>
      </c>
      <c r="L1536" s="1" t="s">
        <v>8998</v>
      </c>
      <c r="M1536" s="2" t="s">
        <v>12</v>
      </c>
      <c r="N1536" s="4">
        <f t="shared" si="1"/>
        <v>44181</v>
      </c>
      <c r="O1536" s="5" t="str">
        <f>IFERROR(__xludf.DUMMYFUNCTION("IF(REGEXMATCH(TRIM(I1536), ""^\d+\s*min""), ""Unclassified"", IF(I1536 = """", ""NR"", I1536))"),"TV-MA")</f>
        <v>TV-MA</v>
      </c>
      <c r="R1536" s="5" t="str">
        <f t="shared" si="2"/>
        <v>Bwakaw</v>
      </c>
      <c r="S1536" s="5" t="str">
        <f>IFERROR(__xludf.DUMMYFUNCTION("""COMPUTED_VALUE"""),"Christmas Wedding Planner")</f>
        <v>Christmas Wedding Planner</v>
      </c>
      <c r="U1536" s="5" t="str">
        <f>IFERROR(__xludf.DUMMYFUNCTION("""COMPUTED_VALUE"""),"Karan Johar")</f>
        <v>Karan Johar</v>
      </c>
      <c r="V1536" s="5" t="s">
        <v>517</v>
      </c>
      <c r="W1536" s="5" t="str">
        <f t="shared" si="3"/>
        <v>Hanns-Bruno Kammertöns, Vanessa Nöcker, Michael Wech</v>
      </c>
      <c r="X1536" s="5">
        <f t="shared" si="4"/>
        <v>1</v>
      </c>
      <c r="Y1536" s="5" t="str">
        <f>IFERROR(__xludf.DUMMYFUNCTION("REGEXEXTRACT(J1536, ""^\d+"")"),"110")</f>
        <v>110</v>
      </c>
      <c r="Z1536" s="5" t="str">
        <f>IFERROR(__xludf.DUMMYFUNCTION("REGEXEXTRACT(J1536, ""[A-Za-z ]+$"")")," min")</f>
        <v> min</v>
      </c>
      <c r="AA1536" s="5" t="str">
        <f>IFERROR(__xludf.DUMMYFUNCTION("IF(REGEXMATCH(Z1536, ""Season""), ""TV Show"", ""Movie"")"),"Movie")</f>
        <v>Movie</v>
      </c>
    </row>
    <row r="1537">
      <c r="A1537" s="1" t="s">
        <v>8999</v>
      </c>
      <c r="B1537" s="1" t="s">
        <v>37</v>
      </c>
      <c r="C1537" s="1" t="s">
        <v>9000</v>
      </c>
      <c r="F1537" s="1" t="s">
        <v>40</v>
      </c>
      <c r="G1537" s="1" t="s">
        <v>8984</v>
      </c>
      <c r="H1537" s="1">
        <v>2020.0</v>
      </c>
      <c r="I1537" s="1" t="s">
        <v>42</v>
      </c>
      <c r="J1537" s="1" t="s">
        <v>51</v>
      </c>
      <c r="K1537" s="1" t="s">
        <v>1531</v>
      </c>
      <c r="L1537" s="1" t="s">
        <v>9001</v>
      </c>
      <c r="M1537" s="2" t="s">
        <v>12</v>
      </c>
      <c r="N1537" s="4">
        <f t="shared" si="1"/>
        <v>44181</v>
      </c>
      <c r="O1537" s="5" t="str">
        <f>IFERROR(__xludf.DUMMYFUNCTION("IF(REGEXMATCH(TRIM(I1537), ""^\d+\s*min""), ""Unclassified"", IF(I1537 = """", ""NR"", I1537))"),"TV-MA")</f>
        <v>TV-MA</v>
      </c>
      <c r="R1537" s="5" t="str">
        <f t="shared" si="2"/>
        <v>How To Ruin Christmas</v>
      </c>
      <c r="S1537" s="5" t="str">
        <f>IFERROR(__xludf.DUMMYFUNCTION("""COMPUTED_VALUE"""),"Christmas With A Prince")</f>
        <v>Christmas With A Prince</v>
      </c>
      <c r="U1537" s="5" t="str">
        <f>IFERROR(__xludf.DUMMYFUNCTION("""COMPUTED_VALUE"""),"Nikkhil Advani")</f>
        <v>Nikkhil Advani</v>
      </c>
      <c r="V1537" s="5" t="s">
        <v>9002</v>
      </c>
      <c r="W1537" s="5" t="str">
        <f t="shared" si="3"/>
        <v>Hans Petter Moland</v>
      </c>
      <c r="X1537" s="5">
        <f t="shared" si="4"/>
        <v>1</v>
      </c>
      <c r="Y1537" s="5" t="str">
        <f>IFERROR(__xludf.DUMMYFUNCTION("REGEXEXTRACT(J1537, ""^\d+"")"),"1")</f>
        <v>1</v>
      </c>
      <c r="Z1537" s="5" t="str">
        <f>IFERROR(__xludf.DUMMYFUNCTION("REGEXEXTRACT(J1537, ""[A-Za-z ]+$"")")," Season")</f>
        <v> Season</v>
      </c>
      <c r="AA1537" s="5" t="str">
        <f>IFERROR(__xludf.DUMMYFUNCTION("IF(REGEXMATCH(Z1537, ""Season""), ""TV Show"", ""Movie"")"),"TV Show")</f>
        <v>TV Show</v>
      </c>
    </row>
    <row r="1538">
      <c r="A1538" s="1" t="s">
        <v>9003</v>
      </c>
      <c r="B1538" s="1" t="s">
        <v>27</v>
      </c>
      <c r="C1538" s="1" t="s">
        <v>9004</v>
      </c>
      <c r="D1538" s="1" t="s">
        <v>3611</v>
      </c>
      <c r="E1538" s="1" t="s">
        <v>9005</v>
      </c>
      <c r="F1538" s="1" t="s">
        <v>30</v>
      </c>
      <c r="G1538" s="1" t="s">
        <v>8984</v>
      </c>
      <c r="H1538" s="1">
        <v>2016.0</v>
      </c>
      <c r="I1538" s="1" t="s">
        <v>32</v>
      </c>
      <c r="J1538" s="1" t="s">
        <v>630</v>
      </c>
      <c r="K1538" s="1" t="s">
        <v>3768</v>
      </c>
      <c r="L1538" s="1" t="s">
        <v>9006</v>
      </c>
      <c r="M1538" s="2" t="s">
        <v>12</v>
      </c>
      <c r="N1538" s="4">
        <f t="shared" si="1"/>
        <v>44181</v>
      </c>
      <c r="O1538" s="5" t="str">
        <f>IFERROR(__xludf.DUMMYFUNCTION("IF(REGEXMATCH(TRIM(I1538), ""^\d+\s*min""), ""Unclassified"", IF(I1538 = """", ""NR"", I1538))"),"PG-13")</f>
        <v>PG-13</v>
      </c>
      <c r="R1538" s="5" t="str">
        <f t="shared" si="2"/>
        <v>Incarnate</v>
      </c>
      <c r="S1538" s="5" t="str">
        <f>IFERROR(__xludf.DUMMYFUNCTION("""COMPUTED_VALUE"""),"Christmas With A View")</f>
        <v>Christmas With A View</v>
      </c>
      <c r="U1538" s="5" t="str">
        <f>IFERROR(__xludf.DUMMYFUNCTION("""COMPUTED_VALUE"""),"Shakun Batra")</f>
        <v>Shakun Batra</v>
      </c>
      <c r="V1538" s="5" t="s">
        <v>8317</v>
      </c>
      <c r="W1538" s="5" t="str">
        <f t="shared" si="3"/>
        <v>Hanung Bramantyo</v>
      </c>
      <c r="X1538" s="5">
        <f t="shared" si="4"/>
        <v>6</v>
      </c>
      <c r="Y1538" s="5" t="str">
        <f>IFERROR(__xludf.DUMMYFUNCTION("REGEXEXTRACT(J1538, ""^\d+"")"),"87")</f>
        <v>87</v>
      </c>
      <c r="Z1538" s="5" t="str">
        <f>IFERROR(__xludf.DUMMYFUNCTION("REGEXEXTRACT(J1538, ""[A-Za-z ]+$"")")," min")</f>
        <v> min</v>
      </c>
      <c r="AA1538" s="5" t="str">
        <f>IFERROR(__xludf.DUMMYFUNCTION("IF(REGEXMATCH(Z1538, ""Season""), ""TV Show"", ""Movie"")"),"Movie")</f>
        <v>Movie</v>
      </c>
    </row>
    <row r="1539">
      <c r="A1539" s="1" t="s">
        <v>9007</v>
      </c>
      <c r="B1539" s="1" t="s">
        <v>27</v>
      </c>
      <c r="C1539" s="1" t="s">
        <v>9008</v>
      </c>
      <c r="D1539" s="1" t="s">
        <v>9009</v>
      </c>
      <c r="E1539" s="1" t="s">
        <v>9010</v>
      </c>
      <c r="F1539" s="1" t="s">
        <v>30</v>
      </c>
      <c r="G1539" s="1" t="s">
        <v>8984</v>
      </c>
      <c r="H1539" s="1">
        <v>2013.0</v>
      </c>
      <c r="I1539" s="1" t="s">
        <v>32</v>
      </c>
      <c r="J1539" s="1" t="s">
        <v>2505</v>
      </c>
      <c r="K1539" s="1" t="s">
        <v>805</v>
      </c>
      <c r="L1539" s="1" t="s">
        <v>9011</v>
      </c>
      <c r="M1539" s="2" t="s">
        <v>12</v>
      </c>
      <c r="N1539" s="4">
        <f t="shared" si="1"/>
        <v>44181</v>
      </c>
      <c r="O1539" s="5" t="str">
        <f>IFERROR(__xludf.DUMMYFUNCTION("IF(REGEXMATCH(TRIM(I1539), ""^\d+\s*min""), ""Unclassified"", IF(I1539 = """", ""NR"", I1539))"),"PG-13")</f>
        <v>PG-13</v>
      </c>
      <c r="R1539" s="5" t="str">
        <f t="shared" si="2"/>
        <v>Lee Daniels' The Butler</v>
      </c>
      <c r="S1539" s="5" t="str">
        <f>IFERROR(__xludf.DUMMYFUNCTION("""COMPUTED_VALUE"""),"Christmas With The Kranks")</f>
        <v>Christmas With The Kranks</v>
      </c>
      <c r="U1539" s="5" t="str">
        <f>IFERROR(__xludf.DUMMYFUNCTION("""COMPUTED_VALUE"""),"Rajiv Chilaka, Anirban Majumder, Alka Amarkant Dubey")</f>
        <v>Rajiv Chilaka, Anirban Majumder, Alka Amarkant Dubey</v>
      </c>
      <c r="V1539" s="5" t="s">
        <v>9012</v>
      </c>
      <c r="W1539" s="5" t="str">
        <f t="shared" si="3"/>
        <v>Hanung Bramantyo, Meisa Felaroze</v>
      </c>
      <c r="X1539" s="5">
        <f t="shared" si="4"/>
        <v>1</v>
      </c>
      <c r="Y1539" s="5" t="str">
        <f>IFERROR(__xludf.DUMMYFUNCTION("REGEXEXTRACT(J1539, ""^\d+"")"),"132")</f>
        <v>132</v>
      </c>
      <c r="Z1539" s="5" t="str">
        <f>IFERROR(__xludf.DUMMYFUNCTION("REGEXEXTRACT(J1539, ""[A-Za-z ]+$"")")," min")</f>
        <v> min</v>
      </c>
      <c r="AA1539" s="5" t="str">
        <f>IFERROR(__xludf.DUMMYFUNCTION("IF(REGEXMATCH(Z1539, ""Season""), ""TV Show"", ""Movie"")"),"Movie")</f>
        <v>Movie</v>
      </c>
    </row>
    <row r="1540">
      <c r="A1540" s="1" t="s">
        <v>9013</v>
      </c>
      <c r="B1540" s="1" t="s">
        <v>37</v>
      </c>
      <c r="C1540" s="1" t="s">
        <v>9014</v>
      </c>
      <c r="E1540" s="1" t="s">
        <v>9015</v>
      </c>
      <c r="F1540" s="1" t="s">
        <v>1846</v>
      </c>
      <c r="G1540" s="1" t="s">
        <v>8984</v>
      </c>
      <c r="H1540" s="1">
        <v>2011.0</v>
      </c>
      <c r="I1540" s="1" t="s">
        <v>97</v>
      </c>
      <c r="J1540" s="1" t="s">
        <v>51</v>
      </c>
      <c r="K1540" s="1" t="s">
        <v>567</v>
      </c>
      <c r="L1540" s="1" t="s">
        <v>9016</v>
      </c>
      <c r="M1540" s="2" t="s">
        <v>12</v>
      </c>
      <c r="N1540" s="4">
        <f t="shared" si="1"/>
        <v>44181</v>
      </c>
      <c r="O1540" s="5" t="str">
        <f>IFERROR(__xludf.DUMMYFUNCTION("IF(REGEXMATCH(TRIM(I1540), ""^\d+\s*min""), ""Unclassified"", IF(I1540 = """", ""NR"", I1540))"),"TV-14")</f>
        <v>TV-14</v>
      </c>
      <c r="R1540" s="5" t="str">
        <f t="shared" si="2"/>
        <v>Marvel Anime: Wolverine</v>
      </c>
      <c r="S1540" s="5" t="str">
        <f>IFERROR(__xludf.DUMMYFUNCTION("""COMPUTED_VALUE"""),"Christopher Robin")</f>
        <v>Christopher Robin</v>
      </c>
      <c r="U1540" s="5" t="str">
        <f>IFERROR(__xludf.DUMMYFUNCTION("""COMPUTED_VALUE"""),"Prakash Mehra")</f>
        <v>Prakash Mehra</v>
      </c>
      <c r="V1540" s="5" t="s">
        <v>6738</v>
      </c>
      <c r="W1540" s="5" t="str">
        <f t="shared" si="3"/>
        <v>Hanung Bramantyo, Pandu Adjisurya</v>
      </c>
      <c r="X1540" s="5">
        <f t="shared" si="4"/>
        <v>1</v>
      </c>
      <c r="Y1540" s="5" t="str">
        <f>IFERROR(__xludf.DUMMYFUNCTION("REGEXEXTRACT(J1540, ""^\d+"")"),"1")</f>
        <v>1</v>
      </c>
      <c r="Z1540" s="5" t="str">
        <f>IFERROR(__xludf.DUMMYFUNCTION("REGEXEXTRACT(J1540, ""[A-Za-z ]+$"")")," Season")</f>
        <v> Season</v>
      </c>
      <c r="AA1540" s="5" t="str">
        <f>IFERROR(__xludf.DUMMYFUNCTION("IF(REGEXMATCH(Z1540, ""Season""), ""TV Show"", ""Movie"")"),"TV Show")</f>
        <v>TV Show</v>
      </c>
    </row>
    <row r="1541">
      <c r="A1541" s="1" t="s">
        <v>9017</v>
      </c>
      <c r="B1541" s="1" t="s">
        <v>37</v>
      </c>
      <c r="C1541" s="1" t="s">
        <v>9018</v>
      </c>
      <c r="E1541" s="1" t="s">
        <v>9019</v>
      </c>
      <c r="F1541" s="1" t="s">
        <v>415</v>
      </c>
      <c r="G1541" s="1" t="s">
        <v>8984</v>
      </c>
      <c r="H1541" s="1">
        <v>2011.0</v>
      </c>
      <c r="I1541" s="1" t="s">
        <v>97</v>
      </c>
      <c r="J1541" s="1" t="s">
        <v>51</v>
      </c>
      <c r="K1541" s="1" t="s">
        <v>567</v>
      </c>
      <c r="L1541" s="1" t="s">
        <v>9020</v>
      </c>
      <c r="M1541" s="2" t="s">
        <v>12</v>
      </c>
      <c r="N1541" s="4">
        <f t="shared" si="1"/>
        <v>44181</v>
      </c>
      <c r="O1541" s="5" t="str">
        <f>IFERROR(__xludf.DUMMYFUNCTION("IF(REGEXMATCH(TRIM(I1541), ""^\d+\s*min""), ""Unclassified"", IF(I1541 = """", ""NR"", I1541))"),"TV-14")</f>
        <v>TV-14</v>
      </c>
      <c r="R1541" s="5" t="str">
        <f t="shared" si="2"/>
        <v>Marvel Anime: X-Men</v>
      </c>
      <c r="S1541" s="5" t="str">
        <f>IFERROR(__xludf.DUMMYFUNCTION("""COMPUTED_VALUE"""),"Chronically Metropolitan")</f>
        <v>Chronically Metropolitan</v>
      </c>
      <c r="U1541" s="5" t="str">
        <f>IFERROR(__xludf.DUMMYFUNCTION("""COMPUTED_VALUE"""),"Anand Ravichandran")</f>
        <v>Anand Ravichandran</v>
      </c>
      <c r="V1541" s="5" t="s">
        <v>9021</v>
      </c>
      <c r="W1541" s="5" t="str">
        <f t="shared" si="3"/>
        <v>Hao Wu</v>
      </c>
      <c r="X1541" s="5">
        <f t="shared" si="4"/>
        <v>1</v>
      </c>
      <c r="Y1541" s="5" t="str">
        <f>IFERROR(__xludf.DUMMYFUNCTION("REGEXEXTRACT(J1541, ""^\d+"")"),"1")</f>
        <v>1</v>
      </c>
      <c r="Z1541" s="5" t="str">
        <f>IFERROR(__xludf.DUMMYFUNCTION("REGEXEXTRACT(J1541, ""[A-Za-z ]+$"")")," Season")</f>
        <v> Season</v>
      </c>
      <c r="AA1541" s="5" t="str">
        <f>IFERROR(__xludf.DUMMYFUNCTION("IF(REGEXMATCH(Z1541, ""Season""), ""TV Show"", ""Movie"")"),"TV Show")</f>
        <v>TV Show</v>
      </c>
    </row>
    <row r="1542">
      <c r="A1542" s="1" t="s">
        <v>9022</v>
      </c>
      <c r="B1542" s="1" t="s">
        <v>27</v>
      </c>
      <c r="C1542" s="1" t="s">
        <v>9023</v>
      </c>
      <c r="D1542" s="1" t="s">
        <v>9024</v>
      </c>
      <c r="E1542" s="1" t="s">
        <v>9025</v>
      </c>
      <c r="F1542" s="1" t="s">
        <v>30</v>
      </c>
      <c r="G1542" s="1" t="s">
        <v>8984</v>
      </c>
      <c r="H1542" s="1">
        <v>2016.0</v>
      </c>
      <c r="I1542" s="1" t="s">
        <v>378</v>
      </c>
      <c r="J1542" s="1" t="s">
        <v>743</v>
      </c>
      <c r="K1542" s="1" t="s">
        <v>394</v>
      </c>
      <c r="L1542" s="1" t="s">
        <v>9026</v>
      </c>
      <c r="M1542" s="2" t="s">
        <v>12</v>
      </c>
      <c r="N1542" s="4">
        <f t="shared" si="1"/>
        <v>44181</v>
      </c>
      <c r="O1542" s="5" t="str">
        <f>IFERROR(__xludf.DUMMYFUNCTION("IF(REGEXMATCH(TRIM(I1542), ""^\d+\s*min""), ""Unclassified"", IF(I1542 = """", ""NR"", I1542))"),"R")</f>
        <v>R</v>
      </c>
      <c r="R1542" s="5" t="str">
        <f t="shared" si="2"/>
        <v>Nocturnal Animals</v>
      </c>
      <c r="S1542" s="5" t="str">
        <f>IFERROR(__xludf.DUMMYFUNCTION("""COMPUTED_VALUE"""),"Chronicle Of An Escape")</f>
        <v>Chronicle Of An Escape</v>
      </c>
      <c r="U1542" s="5" t="str">
        <f>IFERROR(__xludf.DUMMYFUNCTION("""COMPUTED_VALUE"""),"Richard Claus, Karsten Kiilerich")</f>
        <v>Richard Claus, Karsten Kiilerich</v>
      </c>
      <c r="V1542" s="5" t="s">
        <v>9027</v>
      </c>
      <c r="W1542" s="5" t="str">
        <f t="shared" si="3"/>
        <v>Harald Zwart</v>
      </c>
      <c r="X1542" s="5">
        <f t="shared" si="4"/>
        <v>1</v>
      </c>
      <c r="Y1542" s="5" t="str">
        <f>IFERROR(__xludf.DUMMYFUNCTION("REGEXEXTRACT(J1542, ""^\d+"")"),"117")</f>
        <v>117</v>
      </c>
      <c r="Z1542" s="5" t="str">
        <f>IFERROR(__xludf.DUMMYFUNCTION("REGEXEXTRACT(J1542, ""[A-Za-z ]+$"")")," min")</f>
        <v> min</v>
      </c>
      <c r="AA1542" s="5" t="str">
        <f>IFERROR(__xludf.DUMMYFUNCTION("IF(REGEXMATCH(Z1542, ""Season""), ""TV Show"", ""Movie"")"),"Movie")</f>
        <v>Movie</v>
      </c>
    </row>
    <row r="1543">
      <c r="A1543" s="1" t="s">
        <v>9028</v>
      </c>
      <c r="B1543" s="1" t="s">
        <v>37</v>
      </c>
      <c r="C1543" s="1" t="s">
        <v>9029</v>
      </c>
      <c r="D1543" s="1" t="s">
        <v>7006</v>
      </c>
      <c r="F1543" s="1" t="s">
        <v>96</v>
      </c>
      <c r="G1543" s="1" t="s">
        <v>8984</v>
      </c>
      <c r="H1543" s="1">
        <v>2020.0</v>
      </c>
      <c r="I1543" s="1" t="s">
        <v>42</v>
      </c>
      <c r="J1543" s="1" t="s">
        <v>51</v>
      </c>
      <c r="K1543" s="1" t="s">
        <v>142</v>
      </c>
      <c r="L1543" s="1" t="s">
        <v>9030</v>
      </c>
      <c r="M1543" s="2" t="s">
        <v>12</v>
      </c>
      <c r="N1543" s="4">
        <f t="shared" si="1"/>
        <v>44181</v>
      </c>
      <c r="O1543" s="5" t="str">
        <f>IFERROR(__xludf.DUMMYFUNCTION("IF(REGEXMATCH(TRIM(I1543), ""^\d+\s*min""), ""Unclassified"", IF(I1543 = """", ""NR"", I1543))"),"TV-MA")</f>
        <v>TV-MA</v>
      </c>
      <c r="R1543" s="5" t="str">
        <f t="shared" si="2"/>
        <v>The Ripper</v>
      </c>
      <c r="S1543" s="5" t="str">
        <f>IFERROR(__xludf.DUMMYFUNCTION("""COMPUTED_VALUE"""),"Chuchu Tv Kids Songs, Learning Videos &amp; Bedtime Stories")</f>
        <v>Chuchu Tv Kids Songs, Learning Videos &amp; Bedtime Stories</v>
      </c>
      <c r="U1543" s="5" t="str">
        <f>IFERROR(__xludf.DUMMYFUNCTION("""COMPUTED_VALUE"""),"Floria Sigismondi")</f>
        <v>Floria Sigismondi</v>
      </c>
      <c r="V1543" s="5" t="s">
        <v>3248</v>
      </c>
      <c r="W1543" s="5" t="str">
        <f t="shared" si="3"/>
        <v>Hardik Mehta</v>
      </c>
      <c r="X1543" s="5">
        <f t="shared" si="4"/>
        <v>3</v>
      </c>
      <c r="Y1543" s="5" t="str">
        <f>IFERROR(__xludf.DUMMYFUNCTION("REGEXEXTRACT(J1543, ""^\d+"")"),"1")</f>
        <v>1</v>
      </c>
      <c r="Z1543" s="5" t="str">
        <f>IFERROR(__xludf.DUMMYFUNCTION("REGEXEXTRACT(J1543, ""[A-Za-z ]+$"")")," Season")</f>
        <v> Season</v>
      </c>
      <c r="AA1543" s="5" t="str">
        <f>IFERROR(__xludf.DUMMYFUNCTION("IF(REGEXMATCH(Z1543, ""Season""), ""TV Show"", ""Movie"")"),"TV Show")</f>
        <v>TV Show</v>
      </c>
    </row>
    <row r="1544">
      <c r="A1544" s="1" t="s">
        <v>9031</v>
      </c>
      <c r="B1544" s="1" t="s">
        <v>27</v>
      </c>
      <c r="C1544" s="1" t="s">
        <v>9032</v>
      </c>
      <c r="D1544" s="1" t="s">
        <v>9033</v>
      </c>
      <c r="E1544" s="1" t="s">
        <v>9033</v>
      </c>
      <c r="F1544" s="1" t="s">
        <v>63</v>
      </c>
      <c r="G1544" s="1" t="s">
        <v>8984</v>
      </c>
      <c r="H1544" s="1">
        <v>2020.0</v>
      </c>
      <c r="I1544" s="1" t="s">
        <v>42</v>
      </c>
      <c r="J1544" s="1" t="s">
        <v>9034</v>
      </c>
      <c r="K1544" s="1" t="s">
        <v>1839</v>
      </c>
      <c r="L1544" s="1" t="s">
        <v>9035</v>
      </c>
      <c r="M1544" s="2" t="s">
        <v>12</v>
      </c>
      <c r="N1544" s="4">
        <f t="shared" si="1"/>
        <v>44181</v>
      </c>
      <c r="O1544" s="5" t="str">
        <f>IFERROR(__xludf.DUMMYFUNCTION("IF(REGEXMATCH(TRIM(I1544), ""^\d+\s*min""), ""Unclassified"", IF(I1544 = """", ""NR"", I1544))"),"TV-MA")</f>
        <v>TV-MA</v>
      </c>
      <c r="R1544" s="5" t="str">
        <f t="shared" si="2"/>
        <v>Vir Das: Outside In - The Lockdown Special</v>
      </c>
      <c r="S1544" s="5" t="str">
        <f>IFERROR(__xludf.DUMMYFUNCTION("""COMPUTED_VALUE"""),"Chuchu Tv Nursery Rhymes &amp; Kids Songs (Hindi)")</f>
        <v>Chuchu Tv Nursery Rhymes &amp; Kids Songs (Hindi)</v>
      </c>
      <c r="U1544" s="5" t="str">
        <f>IFERROR(__xludf.DUMMYFUNCTION("""COMPUTED_VALUE"""),"Renzil D'Silva")</f>
        <v>Renzil D'Silva</v>
      </c>
      <c r="V1544" s="5" t="s">
        <v>9036</v>
      </c>
      <c r="W1544" s="5" t="str">
        <f t="shared" si="3"/>
        <v>Hari Nath</v>
      </c>
      <c r="X1544" s="5">
        <f t="shared" si="4"/>
        <v>1</v>
      </c>
      <c r="Y1544" s="5" t="str">
        <f>IFERROR(__xludf.DUMMYFUNCTION("REGEXEXTRACT(J1544, ""^\d+"")"),"50")</f>
        <v>50</v>
      </c>
      <c r="Z1544" s="5" t="str">
        <f>IFERROR(__xludf.DUMMYFUNCTION("REGEXEXTRACT(J1544, ""[A-Za-z ]+$"")")," min")</f>
        <v> min</v>
      </c>
      <c r="AA1544" s="5" t="str">
        <f>IFERROR(__xludf.DUMMYFUNCTION("IF(REGEXMATCH(Z1544, ""Season""), ""TV Show"", ""Movie"")"),"Movie")</f>
        <v>Movie</v>
      </c>
    </row>
    <row r="1545">
      <c r="A1545" s="1" t="s">
        <v>9037</v>
      </c>
      <c r="B1545" s="1" t="s">
        <v>37</v>
      </c>
      <c r="C1545" s="1" t="s">
        <v>9038</v>
      </c>
      <c r="E1545" s="1" t="s">
        <v>9039</v>
      </c>
      <c r="F1545" s="1" t="s">
        <v>30</v>
      </c>
      <c r="G1545" s="1" t="s">
        <v>9040</v>
      </c>
      <c r="H1545" s="1">
        <v>2014.0</v>
      </c>
      <c r="I1545" s="1" t="s">
        <v>97</v>
      </c>
      <c r="J1545" s="1" t="s">
        <v>43</v>
      </c>
      <c r="K1545" s="1" t="s">
        <v>440</v>
      </c>
      <c r="L1545" s="1" t="s">
        <v>9041</v>
      </c>
      <c r="M1545" s="2" t="s">
        <v>12</v>
      </c>
      <c r="N1545" s="4">
        <f t="shared" si="1"/>
        <v>44180</v>
      </c>
      <c r="O1545" s="5" t="str">
        <f>IFERROR(__xludf.DUMMYFUNCTION("IF(REGEXMATCH(TRIM(I1545), ""^\d+\s*min""), ""Unclassified"", IF(I1545 = """", ""NR"", I1545))"),"TV-14")</f>
        <v>TV-14</v>
      </c>
      <c r="R1545" s="5" t="str">
        <f t="shared" si="2"/>
        <v>Black Ink Crew New York</v>
      </c>
      <c r="S1545" s="5" t="str">
        <f>IFERROR(__xludf.DUMMYFUNCTION("""COMPUTED_VALUE"""),"Chuchutv Bedtime Stories &amp; Moral Stories For Kids (English)")</f>
        <v>Chuchutv Bedtime Stories &amp; Moral Stories For Kids (English)</v>
      </c>
      <c r="U1545" s="5" t="str">
        <f>IFERROR(__xludf.DUMMYFUNCTION("""COMPUTED_VALUE"""),"Fritz Böhm")</f>
        <v>Fritz Böhm</v>
      </c>
      <c r="V1545" s="5" t="s">
        <v>9042</v>
      </c>
      <c r="W1545" s="5" t="str">
        <f t="shared" si="3"/>
        <v>Hari Viswanath</v>
      </c>
      <c r="X1545" s="5">
        <f t="shared" si="4"/>
        <v>1</v>
      </c>
      <c r="Y1545" s="5" t="str">
        <f>IFERROR(__xludf.DUMMYFUNCTION("REGEXEXTRACT(J1545, ""^\d+"")"),"2")</f>
        <v>2</v>
      </c>
      <c r="Z1545" s="5" t="str">
        <f>IFERROR(__xludf.DUMMYFUNCTION("REGEXEXTRACT(J1545, ""[A-Za-z ]+$"")")," Seasons")</f>
        <v> Seasons</v>
      </c>
      <c r="AA1545" s="5" t="str">
        <f>IFERROR(__xludf.DUMMYFUNCTION("IF(REGEXMATCH(Z1545, ""Season""), ""TV Show"", ""Movie"")"),"TV Show")</f>
        <v>TV Show</v>
      </c>
    </row>
    <row r="1546">
      <c r="A1546" s="1" t="s">
        <v>9043</v>
      </c>
      <c r="B1546" s="1" t="s">
        <v>27</v>
      </c>
      <c r="C1546" s="1" t="s">
        <v>9044</v>
      </c>
      <c r="D1546" s="1" t="s">
        <v>9045</v>
      </c>
      <c r="E1546" s="1" t="s">
        <v>9046</v>
      </c>
      <c r="F1546" s="1" t="s">
        <v>1106</v>
      </c>
      <c r="G1546" s="1" t="s">
        <v>9040</v>
      </c>
      <c r="H1546" s="1">
        <v>2018.0</v>
      </c>
      <c r="I1546" s="1" t="s">
        <v>378</v>
      </c>
      <c r="J1546" s="1" t="s">
        <v>256</v>
      </c>
      <c r="K1546" s="1" t="s">
        <v>9047</v>
      </c>
      <c r="L1546" s="1" t="s">
        <v>9048</v>
      </c>
      <c r="M1546" s="2" t="s">
        <v>12</v>
      </c>
      <c r="N1546" s="4">
        <f t="shared" si="1"/>
        <v>44180</v>
      </c>
      <c r="O1546" s="5" t="str">
        <f>IFERROR(__xludf.DUMMYFUNCTION("IF(REGEXMATCH(TRIM(I1546), ""^\d+\s*min""), ""Unclassified"", IF(I1546 = """", ""NR"", I1546))"),"R")</f>
        <v>R</v>
      </c>
      <c r="R1546" s="5" t="str">
        <f t="shared" si="2"/>
        <v>Grizzlies</v>
      </c>
      <c r="S1546" s="5" t="str">
        <f>IFERROR(__xludf.DUMMYFUNCTION("""COMPUTED_VALUE"""),"Chuchutv Bedtime Stories &amp; Moral Stories For Kids (Hindi)")</f>
        <v>Chuchutv Bedtime Stories &amp; Moral Stories For Kids (Hindi)</v>
      </c>
      <c r="U1546" s="5" t="str">
        <f>IFERROR(__xludf.DUMMYFUNCTION("""COMPUTED_VALUE"""),"Ravishankar Venkateswaran")</f>
        <v>Ravishankar Venkateswaran</v>
      </c>
      <c r="V1546" s="5" t="s">
        <v>9049</v>
      </c>
      <c r="W1546" s="5" t="str">
        <f t="shared" si="3"/>
        <v>Harjit Singh</v>
      </c>
      <c r="X1546" s="5">
        <f t="shared" si="4"/>
        <v>1</v>
      </c>
      <c r="Y1546" s="5" t="str">
        <f>IFERROR(__xludf.DUMMYFUNCTION("REGEXEXTRACT(J1546, ""^\d+"")"),"106")</f>
        <v>106</v>
      </c>
      <c r="Z1546" s="5" t="str">
        <f>IFERROR(__xludf.DUMMYFUNCTION("REGEXEXTRACT(J1546, ""[A-Za-z ]+$"")")," min")</f>
        <v> min</v>
      </c>
      <c r="AA1546" s="5" t="str">
        <f>IFERROR(__xludf.DUMMYFUNCTION("IF(REGEXMATCH(Z1546, ""Season""), ""TV Show"", ""Movie"")"),"Movie")</f>
        <v>Movie</v>
      </c>
    </row>
    <row r="1547">
      <c r="A1547" s="1" t="s">
        <v>9050</v>
      </c>
      <c r="B1547" s="1" t="s">
        <v>37</v>
      </c>
      <c r="C1547" s="1" t="s">
        <v>9051</v>
      </c>
      <c r="E1547" s="1" t="s">
        <v>9052</v>
      </c>
      <c r="F1547" s="1" t="s">
        <v>30</v>
      </c>
      <c r="G1547" s="1" t="s">
        <v>9040</v>
      </c>
      <c r="H1547" s="1">
        <v>2020.0</v>
      </c>
      <c r="I1547" s="1" t="s">
        <v>206</v>
      </c>
      <c r="J1547" s="1" t="s">
        <v>43</v>
      </c>
      <c r="K1547" s="1" t="s">
        <v>314</v>
      </c>
      <c r="L1547" s="1" t="s">
        <v>9053</v>
      </c>
      <c r="M1547" s="2" t="s">
        <v>12</v>
      </c>
      <c r="N1547" s="4">
        <f t="shared" si="1"/>
        <v>44180</v>
      </c>
      <c r="O1547" s="5" t="str">
        <f>IFERROR(__xludf.DUMMYFUNCTION("IF(REGEXMATCH(TRIM(I1547), ""^\d+\s*min""), ""Unclassified"", IF(I1547 = """", ""NR"", I1547))"),"TV-Y")</f>
        <v>TV-Y</v>
      </c>
      <c r="R1547" s="5" t="str">
        <f t="shared" si="2"/>
        <v>Pup Academy</v>
      </c>
      <c r="S1547" s="5" t="str">
        <f>IFERROR(__xludf.DUMMYFUNCTION("""COMPUTED_VALUE"""),"Chuchutv Surprise Eggs Learning Videos (English)")</f>
        <v>Chuchutv Surprise Eggs Learning Videos (English)</v>
      </c>
      <c r="U1547" s="5" t="str">
        <f>IFERROR(__xludf.DUMMYFUNCTION("""COMPUTED_VALUE"""),"Vijay S. Bhanushali")</f>
        <v>Vijay S. Bhanushali</v>
      </c>
      <c r="V1547" s="5" t="s">
        <v>9054</v>
      </c>
      <c r="W1547" s="5" t="str">
        <f t="shared" si="3"/>
        <v>Hark Tsui</v>
      </c>
      <c r="X1547" s="5">
        <f t="shared" si="4"/>
        <v>1</v>
      </c>
      <c r="Y1547" s="5" t="str">
        <f>IFERROR(__xludf.DUMMYFUNCTION("REGEXEXTRACT(J1547, ""^\d+"")"),"2")</f>
        <v>2</v>
      </c>
      <c r="Z1547" s="5" t="str">
        <f>IFERROR(__xludf.DUMMYFUNCTION("REGEXEXTRACT(J1547, ""[A-Za-z ]+$"")")," Seasons")</f>
        <v> Seasons</v>
      </c>
      <c r="AA1547" s="5" t="str">
        <f>IFERROR(__xludf.DUMMYFUNCTION("IF(REGEXMATCH(Z1547, ""Season""), ""TV Show"", ""Movie"")"),"TV Show")</f>
        <v>TV Show</v>
      </c>
    </row>
    <row r="1548">
      <c r="A1548" s="1" t="s">
        <v>9055</v>
      </c>
      <c r="B1548" s="1" t="s">
        <v>37</v>
      </c>
      <c r="C1548" s="1" t="s">
        <v>9056</v>
      </c>
      <c r="E1548" s="1" t="s">
        <v>9057</v>
      </c>
      <c r="F1548" s="1" t="s">
        <v>30</v>
      </c>
      <c r="G1548" s="1" t="s">
        <v>9040</v>
      </c>
      <c r="H1548" s="1">
        <v>2020.0</v>
      </c>
      <c r="I1548" s="1" t="s">
        <v>42</v>
      </c>
      <c r="J1548" s="1" t="s">
        <v>43</v>
      </c>
      <c r="K1548" s="1" t="s">
        <v>1261</v>
      </c>
      <c r="L1548" s="1" t="s">
        <v>9058</v>
      </c>
      <c r="M1548" s="2" t="s">
        <v>12</v>
      </c>
      <c r="N1548" s="4">
        <f t="shared" si="1"/>
        <v>44180</v>
      </c>
      <c r="O1548" s="5" t="str">
        <f>IFERROR(__xludf.DUMMYFUNCTION("IF(REGEXMATCH(TRIM(I1548), ""^\d+\s*min""), ""Unclassified"", IF(I1548 = """", ""NR"", I1548))"),"TV-MA")</f>
        <v>TV-MA</v>
      </c>
      <c r="R1548" s="5" t="str">
        <f t="shared" si="2"/>
        <v>Song Exploder</v>
      </c>
      <c r="S1548" s="5" t="str">
        <f>IFERROR(__xludf.DUMMYFUNCTION("""COMPUTED_VALUE"""),"Chuchutv Surprise Eggs Learning Videos (Hindi)")</f>
        <v>Chuchutv Surprise Eggs Learning Videos (Hindi)</v>
      </c>
      <c r="U1548" s="5" t="str">
        <f>IFERROR(__xludf.DUMMYFUNCTION("""COMPUTED_VALUE"""),"David Hunt")</f>
        <v>David Hunt</v>
      </c>
      <c r="V1548" s="5" t="s">
        <v>9059</v>
      </c>
      <c r="W1548" s="5" t="str">
        <f t="shared" si="3"/>
        <v>Harmony Korine</v>
      </c>
      <c r="X1548" s="5">
        <f t="shared" si="4"/>
        <v>1</v>
      </c>
      <c r="Y1548" s="5" t="str">
        <f>IFERROR(__xludf.DUMMYFUNCTION("REGEXEXTRACT(J1548, ""^\d+"")"),"2")</f>
        <v>2</v>
      </c>
      <c r="Z1548" s="5" t="str">
        <f>IFERROR(__xludf.DUMMYFUNCTION("REGEXEXTRACT(J1548, ""[A-Za-z ]+$"")")," Seasons")</f>
        <v> Seasons</v>
      </c>
      <c r="AA1548" s="5" t="str">
        <f>IFERROR(__xludf.DUMMYFUNCTION("IF(REGEXMATCH(Z1548, ""Season""), ""TV Show"", ""Movie"")"),"TV Show")</f>
        <v>TV Show</v>
      </c>
    </row>
    <row r="1549">
      <c r="A1549" s="1" t="s">
        <v>9060</v>
      </c>
      <c r="B1549" s="1" t="s">
        <v>37</v>
      </c>
      <c r="C1549" s="1" t="s">
        <v>9061</v>
      </c>
      <c r="E1549" s="1" t="s">
        <v>9062</v>
      </c>
      <c r="F1549" s="1" t="s">
        <v>30</v>
      </c>
      <c r="G1549" s="1" t="s">
        <v>9040</v>
      </c>
      <c r="H1549" s="1">
        <v>2011.0</v>
      </c>
      <c r="I1549" s="1" t="s">
        <v>97</v>
      </c>
      <c r="J1549" s="1" t="s">
        <v>43</v>
      </c>
      <c r="K1549" s="1" t="s">
        <v>440</v>
      </c>
      <c r="L1549" s="1" t="s">
        <v>9063</v>
      </c>
      <c r="M1549" s="2" t="s">
        <v>12</v>
      </c>
      <c r="N1549" s="4">
        <f t="shared" si="1"/>
        <v>44180</v>
      </c>
      <c r="O1549" s="5" t="str">
        <f>IFERROR(__xludf.DUMMYFUNCTION("IF(REGEXMATCH(TRIM(I1549), ""^\d+\s*min""), ""Unclassified"", IF(I1549 = """", ""NR"", I1549))"),"TV-14")</f>
        <v>TV-14</v>
      </c>
      <c r="R1549" s="5" t="str">
        <f t="shared" si="2"/>
        <v>Teen Mom 2</v>
      </c>
      <c r="S1549" s="5" t="str">
        <f>IFERROR(__xludf.DUMMYFUNCTION("""COMPUTED_VALUE"""),"Chuck Chicken")</f>
        <v>Chuck Chicken</v>
      </c>
      <c r="U1549" s="5" t="str">
        <f>IFERROR(__xludf.DUMMYFUNCTION("""COMPUTED_VALUE"""),"Stephen S. Campanelli")</f>
        <v>Stephen S. Campanelli</v>
      </c>
      <c r="V1549" s="5" t="s">
        <v>4802</v>
      </c>
      <c r="W1549" s="5" t="str">
        <f t="shared" si="3"/>
        <v>Harold Becker</v>
      </c>
      <c r="X1549" s="5">
        <f t="shared" si="4"/>
        <v>1</v>
      </c>
      <c r="Y1549" s="5" t="str">
        <f>IFERROR(__xludf.DUMMYFUNCTION("REGEXEXTRACT(J1549, ""^\d+"")"),"2")</f>
        <v>2</v>
      </c>
      <c r="Z1549" s="5" t="str">
        <f>IFERROR(__xludf.DUMMYFUNCTION("REGEXEXTRACT(J1549, ""[A-Za-z ]+$"")")," Seasons")</f>
        <v> Seasons</v>
      </c>
      <c r="AA1549" s="5" t="str">
        <f>IFERROR(__xludf.DUMMYFUNCTION("IF(REGEXMATCH(Z1549, ""Season""), ""TV Show"", ""Movie"")"),"TV Show")</f>
        <v>TV Show</v>
      </c>
    </row>
    <row r="1550">
      <c r="A1550" s="1" t="s">
        <v>9064</v>
      </c>
      <c r="B1550" s="1" t="s">
        <v>37</v>
      </c>
      <c r="C1550" s="1" t="s">
        <v>9065</v>
      </c>
      <c r="E1550" s="1" t="s">
        <v>9066</v>
      </c>
      <c r="F1550" s="1" t="s">
        <v>30</v>
      </c>
      <c r="G1550" s="1" t="s">
        <v>9040</v>
      </c>
      <c r="H1550" s="1">
        <v>2006.0</v>
      </c>
      <c r="I1550" s="1" t="s">
        <v>97</v>
      </c>
      <c r="J1550" s="1" t="s">
        <v>43</v>
      </c>
      <c r="K1550" s="1" t="s">
        <v>440</v>
      </c>
      <c r="L1550" s="1" t="s">
        <v>9067</v>
      </c>
      <c r="M1550" s="2" t="s">
        <v>12</v>
      </c>
      <c r="N1550" s="4">
        <f t="shared" si="1"/>
        <v>44180</v>
      </c>
      <c r="O1550" s="5" t="str">
        <f>IFERROR(__xludf.DUMMYFUNCTION("IF(REGEXMATCH(TRIM(I1550), ""^\d+\s*min""), ""Unclassified"", IF(I1550 = """", ""NR"", I1550))"),"TV-14")</f>
        <v>TV-14</v>
      </c>
      <c r="R1550" s="5" t="str">
        <f t="shared" si="2"/>
        <v>The Challenge</v>
      </c>
      <c r="S1550" s="5" t="str">
        <f>IFERROR(__xludf.DUMMYFUNCTION("""COMPUTED_VALUE"""),"Chup Chup Ke")</f>
        <v>Chup Chup Ke</v>
      </c>
      <c r="U1550" s="5" t="str">
        <f>IFERROR(__xludf.DUMMYFUNCTION("""COMPUTED_VALUE"""),"Rakesh Ranjan Kumar")</f>
        <v>Rakesh Ranjan Kumar</v>
      </c>
      <c r="V1550" s="5" t="s">
        <v>9068</v>
      </c>
      <c r="W1550" s="5" t="str">
        <f t="shared" si="3"/>
        <v>Harold Cronk</v>
      </c>
      <c r="X1550" s="5">
        <f t="shared" si="4"/>
        <v>2</v>
      </c>
      <c r="Y1550" s="5" t="str">
        <f>IFERROR(__xludf.DUMMYFUNCTION("REGEXEXTRACT(J1550, ""^\d+"")"),"2")</f>
        <v>2</v>
      </c>
      <c r="Z1550" s="5" t="str">
        <f>IFERROR(__xludf.DUMMYFUNCTION("REGEXEXTRACT(J1550, ""[A-Za-z ]+$"")")," Seasons")</f>
        <v> Seasons</v>
      </c>
      <c r="AA1550" s="5" t="str">
        <f>IFERROR(__xludf.DUMMYFUNCTION("IF(REGEXMATCH(Z1550, ""Season""), ""TV Show"", ""Movie"")"),"TV Show")</f>
        <v>TV Show</v>
      </c>
    </row>
    <row r="1551">
      <c r="A1551" s="1" t="s">
        <v>9069</v>
      </c>
      <c r="B1551" s="1" t="s">
        <v>27</v>
      </c>
      <c r="C1551" s="1" t="s">
        <v>9070</v>
      </c>
      <c r="D1551" s="1" t="s">
        <v>7493</v>
      </c>
      <c r="E1551" s="1" t="s">
        <v>9071</v>
      </c>
      <c r="F1551" s="1" t="s">
        <v>9072</v>
      </c>
      <c r="G1551" s="1" t="s">
        <v>9040</v>
      </c>
      <c r="H1551" s="1">
        <v>2019.0</v>
      </c>
      <c r="I1551" s="1" t="s">
        <v>97</v>
      </c>
      <c r="J1551" s="1" t="s">
        <v>88</v>
      </c>
      <c r="K1551" s="1" t="s">
        <v>1320</v>
      </c>
      <c r="L1551" s="1" t="s">
        <v>9073</v>
      </c>
      <c r="M1551" s="2" t="s">
        <v>12</v>
      </c>
      <c r="N1551" s="4">
        <f t="shared" si="1"/>
        <v>44180</v>
      </c>
      <c r="O1551" s="5" t="str">
        <f>IFERROR(__xludf.DUMMYFUNCTION("IF(REGEXMATCH(TRIM(I1551), ""^\d+\s*min""), ""Unclassified"", IF(I1551 = """", ""NR"", I1551))"),"TV-14")</f>
        <v>TV-14</v>
      </c>
      <c r="R1551" s="5" t="str">
        <f t="shared" si="2"/>
        <v>The Professor And The Madman</v>
      </c>
      <c r="S1551" s="5" t="str">
        <f>IFERROR(__xludf.DUMMYFUNCTION("""COMPUTED_VALUE"""),"Chupan Chupai")</f>
        <v>Chupan Chupai</v>
      </c>
      <c r="U1551" s="5" t="str">
        <f>IFERROR(__xludf.DUMMYFUNCTION("""COMPUTED_VALUE"""),"Sam Irvin")</f>
        <v>Sam Irvin</v>
      </c>
      <c r="V1551" s="5" t="s">
        <v>9074</v>
      </c>
      <c r="W1551" s="5" t="str">
        <f t="shared" si="3"/>
        <v>Harrison Smith</v>
      </c>
      <c r="X1551" s="5">
        <f t="shared" si="4"/>
        <v>1</v>
      </c>
      <c r="Y1551" s="5" t="str">
        <f>IFERROR(__xludf.DUMMYFUNCTION("REGEXEXTRACT(J1551, ""^\d+"")"),"125")</f>
        <v>125</v>
      </c>
      <c r="Z1551" s="5" t="str">
        <f>IFERROR(__xludf.DUMMYFUNCTION("REGEXEXTRACT(J1551, ""[A-Za-z ]+$"")")," min")</f>
        <v> min</v>
      </c>
      <c r="AA1551" s="5" t="str">
        <f>IFERROR(__xludf.DUMMYFUNCTION("IF(REGEXMATCH(Z1551, ""Season""), ""TV Show"", ""Movie"")"),"Movie")</f>
        <v>Movie</v>
      </c>
    </row>
    <row r="1552">
      <c r="A1552" s="1" t="s">
        <v>9075</v>
      </c>
      <c r="B1552" s="1" t="s">
        <v>27</v>
      </c>
      <c r="C1552" s="1" t="s">
        <v>9076</v>
      </c>
      <c r="D1552" s="1" t="s">
        <v>9077</v>
      </c>
      <c r="E1552" s="1" t="s">
        <v>9078</v>
      </c>
      <c r="F1552" s="1" t="s">
        <v>30</v>
      </c>
      <c r="G1552" s="1" t="s">
        <v>9079</v>
      </c>
      <c r="H1552" s="1">
        <v>2020.0</v>
      </c>
      <c r="I1552" s="1" t="s">
        <v>32</v>
      </c>
      <c r="J1552" s="1" t="s">
        <v>1256</v>
      </c>
      <c r="K1552" s="1" t="s">
        <v>813</v>
      </c>
      <c r="L1552" s="1" t="s">
        <v>9080</v>
      </c>
      <c r="M1552" s="2" t="s">
        <v>12</v>
      </c>
      <c r="N1552" s="4">
        <f t="shared" si="1"/>
        <v>44179</v>
      </c>
      <c r="O1552" s="5" t="str">
        <f>IFERROR(__xludf.DUMMYFUNCTION("IF(REGEXMATCH(TRIM(I1552), ""^\d+\s*min""), ""Unclassified"", IF(I1552 = """", ""NR"", I1552))"),"PG-13")</f>
        <v>PG-13</v>
      </c>
      <c r="R1552" s="5" t="str">
        <f t="shared" si="2"/>
        <v>A California Christmas</v>
      </c>
      <c r="S1552" s="5" t="str">
        <f>IFERROR(__xludf.DUMMYFUNCTION("""COMPUTED_VALUE"""),"Chupke Chupke")</f>
        <v>Chupke Chupke</v>
      </c>
      <c r="U1552" s="5" t="str">
        <f>IFERROR(__xludf.DUMMYFUNCTION("""COMPUTED_VALUE"""),"Gary Stretch")</f>
        <v>Gary Stretch</v>
      </c>
      <c r="V1552" s="5" t="s">
        <v>9081</v>
      </c>
      <c r="W1552" s="5" t="str">
        <f t="shared" si="3"/>
        <v>Harry Baweja</v>
      </c>
      <c r="X1552" s="5">
        <f t="shared" si="4"/>
        <v>1</v>
      </c>
      <c r="Y1552" s="5" t="str">
        <f>IFERROR(__xludf.DUMMYFUNCTION("REGEXEXTRACT(J1552, ""^\d+"")"),"107")</f>
        <v>107</v>
      </c>
      <c r="Z1552" s="5" t="str">
        <f>IFERROR(__xludf.DUMMYFUNCTION("REGEXEXTRACT(J1552, ""[A-Za-z ]+$"")")," min")</f>
        <v> min</v>
      </c>
      <c r="AA1552" s="5" t="str">
        <f>IFERROR(__xludf.DUMMYFUNCTION("IF(REGEXMATCH(Z1552, ""Season""), ""TV Show"", ""Movie"")"),"Movie")</f>
        <v>Movie</v>
      </c>
    </row>
    <row r="1553">
      <c r="A1553" s="1" t="s">
        <v>9082</v>
      </c>
      <c r="B1553" s="1" t="s">
        <v>37</v>
      </c>
      <c r="C1553" s="1" t="s">
        <v>9083</v>
      </c>
      <c r="E1553" s="1" t="s">
        <v>9084</v>
      </c>
      <c r="F1553" s="1" t="s">
        <v>1319</v>
      </c>
      <c r="G1553" s="1" t="s">
        <v>9079</v>
      </c>
      <c r="H1553" s="1">
        <v>2021.0</v>
      </c>
      <c r="I1553" s="1" t="s">
        <v>289</v>
      </c>
      <c r="J1553" s="1" t="s">
        <v>43</v>
      </c>
      <c r="K1553" s="1" t="s">
        <v>290</v>
      </c>
      <c r="L1553" s="1" t="s">
        <v>9085</v>
      </c>
      <c r="M1553" s="2" t="s">
        <v>12</v>
      </c>
      <c r="N1553" s="4">
        <f t="shared" si="1"/>
        <v>44179</v>
      </c>
      <c r="O1553" s="5" t="str">
        <f>IFERROR(__xludf.DUMMYFUNCTION("IF(REGEXMATCH(TRIM(I1553), ""^\d+\s*min""), ""Unclassified"", IF(I1553 = """", ""NR"", I1553))"),"TV-Y7")</f>
        <v>TV-Y7</v>
      </c>
      <c r="R1553" s="5" t="str">
        <f t="shared" si="2"/>
        <v>Hilda</v>
      </c>
      <c r="S1553" s="5" t="str">
        <f>IFERROR(__xludf.DUMMYFUNCTION("""COMPUTED_VALUE"""),"Churchill’S Secret Agents: The New Recruits")</f>
        <v>Churchill’S Secret Agents: The New Recruits</v>
      </c>
      <c r="U1553" s="5" t="str">
        <f>IFERROR(__xludf.DUMMYFUNCTION("""COMPUTED_VALUE"""),"Desingh Periyasamy")</f>
        <v>Desingh Periyasamy</v>
      </c>
      <c r="V1553" s="5" t="s">
        <v>9086</v>
      </c>
      <c r="W1553" s="5" t="str">
        <f t="shared" si="3"/>
        <v>Harry Bradbeer</v>
      </c>
      <c r="X1553" s="5">
        <f t="shared" si="4"/>
        <v>1</v>
      </c>
      <c r="Y1553" s="5" t="str">
        <f>IFERROR(__xludf.DUMMYFUNCTION("REGEXEXTRACT(J1553, ""^\d+"")"),"2")</f>
        <v>2</v>
      </c>
      <c r="Z1553" s="5" t="str">
        <f>IFERROR(__xludf.DUMMYFUNCTION("REGEXEXTRACT(J1553, ""[A-Za-z ]+$"")")," Seasons")</f>
        <v> Seasons</v>
      </c>
      <c r="AA1553" s="5" t="str">
        <f>IFERROR(__xludf.DUMMYFUNCTION("IF(REGEXMATCH(Z1553, ""Season""), ""TV Show"", ""Movie"")"),"TV Show")</f>
        <v>TV Show</v>
      </c>
    </row>
    <row r="1554">
      <c r="A1554" s="1" t="s">
        <v>9087</v>
      </c>
      <c r="B1554" s="1" t="s">
        <v>37</v>
      </c>
      <c r="C1554" s="1" t="s">
        <v>9088</v>
      </c>
      <c r="E1554" s="1" t="s">
        <v>9089</v>
      </c>
      <c r="F1554" s="1" t="s">
        <v>30</v>
      </c>
      <c r="G1554" s="1" t="s">
        <v>9079</v>
      </c>
      <c r="H1554" s="1">
        <v>2020.0</v>
      </c>
      <c r="I1554" s="1" t="s">
        <v>42</v>
      </c>
      <c r="J1554" s="1" t="s">
        <v>51</v>
      </c>
      <c r="K1554" s="1" t="s">
        <v>9090</v>
      </c>
      <c r="L1554" s="1" t="s">
        <v>9091</v>
      </c>
      <c r="M1554" s="2" t="s">
        <v>12</v>
      </c>
      <c r="N1554" s="4">
        <f t="shared" si="1"/>
        <v>44179</v>
      </c>
      <c r="O1554" s="5" t="str">
        <f>IFERROR(__xludf.DUMMYFUNCTION("IF(REGEXMATCH(TRIM(I1554), ""^\d+\s*min""), ""Unclassified"", IF(I1554 = """", ""NR"", I1554))"),"TV-MA")</f>
        <v>TV-MA</v>
      </c>
      <c r="R1554" s="5" t="str">
        <f t="shared" si="2"/>
        <v>Tiny Pretty Things</v>
      </c>
      <c r="S1554" s="5" t="str">
        <f>IFERROR(__xludf.DUMMYFUNCTION("""COMPUTED_VALUE"""),"Cia: Comrade In America")</f>
        <v>Cia: Comrade In America</v>
      </c>
      <c r="U1554" s="5" t="str">
        <f>IFERROR(__xludf.DUMMYFUNCTION("""COMPUTED_VALUE"""),"Tj Sullivan, Greg Rankin")</f>
        <v>Tj Sullivan, Greg Rankin</v>
      </c>
      <c r="V1554" s="5" t="s">
        <v>9092</v>
      </c>
      <c r="W1554" s="5" t="str">
        <f t="shared" si="3"/>
        <v>Harry Chaskin</v>
      </c>
      <c r="X1554" s="5">
        <f t="shared" si="4"/>
        <v>1</v>
      </c>
      <c r="Y1554" s="5" t="str">
        <f>IFERROR(__xludf.DUMMYFUNCTION("REGEXEXTRACT(J1554, ""^\d+"")"),"1")</f>
        <v>1</v>
      </c>
      <c r="Z1554" s="5" t="str">
        <f>IFERROR(__xludf.DUMMYFUNCTION("REGEXEXTRACT(J1554, ""[A-Za-z ]+$"")")," Season")</f>
        <v> Season</v>
      </c>
      <c r="AA1554" s="5" t="str">
        <f>IFERROR(__xludf.DUMMYFUNCTION("IF(REGEXMATCH(Z1554, ""Season""), ""TV Show"", ""Movie"")"),"TV Show")</f>
        <v>TV Show</v>
      </c>
    </row>
    <row r="1555">
      <c r="A1555" s="1" t="s">
        <v>9093</v>
      </c>
      <c r="B1555" s="1" t="s">
        <v>27</v>
      </c>
      <c r="C1555" s="1" t="s">
        <v>9094</v>
      </c>
      <c r="E1555" s="1" t="s">
        <v>2976</v>
      </c>
      <c r="F1555" s="1" t="s">
        <v>30</v>
      </c>
      <c r="G1555" s="1" t="s">
        <v>9095</v>
      </c>
      <c r="H1555" s="1">
        <v>2020.0</v>
      </c>
      <c r="I1555" s="1" t="s">
        <v>42</v>
      </c>
      <c r="J1555" s="1" t="s">
        <v>1847</v>
      </c>
      <c r="K1555" s="1" t="s">
        <v>239</v>
      </c>
      <c r="L1555" s="1" t="s">
        <v>9096</v>
      </c>
      <c r="M1555" s="2" t="s">
        <v>12</v>
      </c>
      <c r="N1555" s="4">
        <f t="shared" si="1"/>
        <v>44178</v>
      </c>
      <c r="O1555" s="5" t="str">
        <f>IFERROR(__xludf.DUMMYFUNCTION("IF(REGEXMATCH(TRIM(I1555), ""^\d+\s*min""), ""Unclassified"", IF(I1555 = """", ""NR"", I1555))"),"TV-MA")</f>
        <v>TV-MA</v>
      </c>
      <c r="R1555" s="5" t="str">
        <f t="shared" si="2"/>
        <v>The Netflix Afterparty: The Best Shows Of The Worst Year</v>
      </c>
      <c r="S1555" s="5" t="str">
        <f>IFERROR(__xludf.DUMMYFUNCTION("""COMPUTED_VALUE"""),"Cinar Agaci")</f>
        <v>Cinar Agaci</v>
      </c>
      <c r="U1555" s="5" t="str">
        <f>IFERROR(__xludf.DUMMYFUNCTION("""COMPUTED_VALUE"""),"Neeraj Udhwani")</f>
        <v>Neeraj Udhwani</v>
      </c>
      <c r="V1555" s="5" t="s">
        <v>9097</v>
      </c>
      <c r="W1555" s="5" t="str">
        <f t="shared" si="3"/>
        <v>Harry Elfont, Deborah Kaplan</v>
      </c>
      <c r="X1555" s="5">
        <f t="shared" si="4"/>
        <v>1</v>
      </c>
      <c r="Y1555" s="5" t="str">
        <f>IFERROR(__xludf.DUMMYFUNCTION("REGEXEXTRACT(J1555, ""^\d+"")"),"59")</f>
        <v>59</v>
      </c>
      <c r="Z1555" s="5" t="str">
        <f>IFERROR(__xludf.DUMMYFUNCTION("REGEXEXTRACT(J1555, ""[A-Za-z ]+$"")")," min")</f>
        <v> min</v>
      </c>
      <c r="AA1555" s="5" t="str">
        <f>IFERROR(__xludf.DUMMYFUNCTION("IF(REGEXMATCH(Z1555, ""Season""), ""TV Show"", ""Movie"")"),"Movie")</f>
        <v>Movie</v>
      </c>
    </row>
    <row r="1556">
      <c r="A1556" s="1" t="s">
        <v>9098</v>
      </c>
      <c r="B1556" s="1" t="s">
        <v>37</v>
      </c>
      <c r="C1556" s="1" t="s">
        <v>9099</v>
      </c>
      <c r="E1556" s="1" t="s">
        <v>9100</v>
      </c>
      <c r="F1556" s="1" t="s">
        <v>3938</v>
      </c>
      <c r="G1556" s="1" t="s">
        <v>9101</v>
      </c>
      <c r="H1556" s="1">
        <v>2020.0</v>
      </c>
      <c r="I1556" s="1" t="s">
        <v>97</v>
      </c>
      <c r="J1556" s="1" t="s">
        <v>51</v>
      </c>
      <c r="K1556" s="1" t="s">
        <v>283</v>
      </c>
      <c r="L1556" s="1" t="s">
        <v>9102</v>
      </c>
      <c r="M1556" s="2" t="s">
        <v>12</v>
      </c>
      <c r="N1556" s="4">
        <f t="shared" si="1"/>
        <v>44177</v>
      </c>
      <c r="O1556" s="5" t="str">
        <f>IFERROR(__xludf.DUMMYFUNCTION("IF(REGEXMATCH(TRIM(I1556), ""^\d+\s*min""), ""Unclassified"", IF(I1556 = """", ""NR"", I1556))"),"TV-14")</f>
        <v>TV-14</v>
      </c>
      <c r="R1556" s="5" t="str">
        <f t="shared" si="2"/>
        <v>Children Of Adam</v>
      </c>
      <c r="S1556" s="5" t="str">
        <f>IFERROR(__xludf.DUMMYFUNCTION("""COMPUTED_VALUE"""),"Cinderella And The Four Knights")</f>
        <v>Cinderella And The Four Knights</v>
      </c>
      <c r="U1556" s="5" t="str">
        <f>IFERROR(__xludf.DUMMYFUNCTION("""COMPUTED_VALUE"""),"Patrice Laliberté")</f>
        <v>Patrice Laliberté</v>
      </c>
      <c r="V1556" s="5" t="s">
        <v>9103</v>
      </c>
      <c r="W1556" s="5" t="str">
        <f t="shared" si="3"/>
        <v>Harshavardhan Kulkarni</v>
      </c>
      <c r="X1556" s="5">
        <f t="shared" si="4"/>
        <v>1</v>
      </c>
      <c r="Y1556" s="5" t="str">
        <f>IFERROR(__xludf.DUMMYFUNCTION("REGEXEXTRACT(J1556, ""^\d+"")"),"1")</f>
        <v>1</v>
      </c>
      <c r="Z1556" s="5" t="str">
        <f>IFERROR(__xludf.DUMMYFUNCTION("REGEXEXTRACT(J1556, ""[A-Za-z ]+$"")")," Season")</f>
        <v> Season</v>
      </c>
      <c r="AA1556" s="5" t="str">
        <f>IFERROR(__xludf.DUMMYFUNCTION("IF(REGEXMATCH(Z1556, ""Season""), ""TV Show"", ""Movie"")"),"TV Show")</f>
        <v>TV Show</v>
      </c>
    </row>
    <row r="1557">
      <c r="A1557" s="1" t="s">
        <v>9104</v>
      </c>
      <c r="B1557" s="1" t="s">
        <v>37</v>
      </c>
      <c r="C1557" s="1" t="s">
        <v>9105</v>
      </c>
      <c r="E1557" s="1" t="s">
        <v>9106</v>
      </c>
      <c r="F1557" s="1" t="s">
        <v>664</v>
      </c>
      <c r="G1557" s="1" t="s">
        <v>9101</v>
      </c>
      <c r="H1557" s="1">
        <v>2018.0</v>
      </c>
      <c r="I1557" s="1" t="s">
        <v>206</v>
      </c>
      <c r="J1557" s="1" t="s">
        <v>43</v>
      </c>
      <c r="K1557" s="1" t="s">
        <v>314</v>
      </c>
      <c r="L1557" s="1" t="s">
        <v>9107</v>
      </c>
      <c r="M1557" s="2" t="s">
        <v>12</v>
      </c>
      <c r="N1557" s="4">
        <f t="shared" si="1"/>
        <v>44177</v>
      </c>
      <c r="O1557" s="5" t="str">
        <f>IFERROR(__xludf.DUMMYFUNCTION("IF(REGEXMATCH(TRIM(I1557), ""^\d+\s*min""), ""Unclassified"", IF(I1557 = """", ""NR"", I1557))"),"TV-Y")</f>
        <v>TV-Y</v>
      </c>
      <c r="R1557" s="5" t="str">
        <f t="shared" si="2"/>
        <v>Grizzy Et Les Lemmings</v>
      </c>
      <c r="S1557" s="5" t="str">
        <f>IFERROR(__xludf.DUMMYFUNCTION("""COMPUTED_VALUE"""),"Cinema Bandi")</f>
        <v>Cinema Bandi</v>
      </c>
      <c r="U1557" s="5" t="str">
        <f>IFERROR(__xludf.DUMMYFUNCTION("""COMPUTED_VALUE"""),"Ellen Page, Ian Daniel")</f>
        <v>Ellen Page, Ian Daniel</v>
      </c>
      <c r="V1557" s="5" t="s">
        <v>9108</v>
      </c>
      <c r="W1557" s="5" t="str">
        <f t="shared" si="3"/>
        <v>Haruka Fujita</v>
      </c>
      <c r="X1557" s="5">
        <f t="shared" si="4"/>
        <v>1</v>
      </c>
      <c r="Y1557" s="5" t="str">
        <f>IFERROR(__xludf.DUMMYFUNCTION("REGEXEXTRACT(J1557, ""^\d+"")"),"2")</f>
        <v>2</v>
      </c>
      <c r="Z1557" s="5" t="str">
        <f>IFERROR(__xludf.DUMMYFUNCTION("REGEXEXTRACT(J1557, ""[A-Za-z ]+$"")")," Seasons")</f>
        <v> Seasons</v>
      </c>
      <c r="AA1557" s="5" t="str">
        <f>IFERROR(__xludf.DUMMYFUNCTION("IF(REGEXMATCH(Z1557, ""Season""), ""TV Show"", ""Movie"")"),"TV Show")</f>
        <v>TV Show</v>
      </c>
    </row>
    <row r="1558">
      <c r="A1558" s="1" t="s">
        <v>9109</v>
      </c>
      <c r="B1558" s="1" t="s">
        <v>27</v>
      </c>
      <c r="C1558" s="1" t="s">
        <v>9110</v>
      </c>
      <c r="D1558" s="1" t="s">
        <v>6799</v>
      </c>
      <c r="E1558" s="1" t="s">
        <v>9111</v>
      </c>
      <c r="G1558" s="1" t="s">
        <v>9112</v>
      </c>
      <c r="H1558" s="1">
        <v>2020.0</v>
      </c>
      <c r="I1558" s="1" t="s">
        <v>206</v>
      </c>
      <c r="J1558" s="1" t="s">
        <v>8852</v>
      </c>
      <c r="K1558" s="1" t="s">
        <v>80</v>
      </c>
      <c r="L1558" s="1" t="s">
        <v>9113</v>
      </c>
      <c r="M1558" s="2" t="s">
        <v>12</v>
      </c>
      <c r="N1558" s="4">
        <f t="shared" si="1"/>
        <v>44176</v>
      </c>
      <c r="O1558" s="5" t="str">
        <f>IFERROR(__xludf.DUMMYFUNCTION("IF(REGEXMATCH(TRIM(I1558), ""^\d+\s*min""), ""Unclassified"", IF(I1558 = """", ""NR"", I1558))"),"TV-Y")</f>
        <v>TV-Y</v>
      </c>
      <c r="R1558" s="5" t="str">
        <f t="shared" si="2"/>
        <v>A Trash Truck Christmas</v>
      </c>
      <c r="S1558" s="5" t="str">
        <f>IFERROR(__xludf.DUMMYFUNCTION("""COMPUTED_VALUE"""),"Cinta 100Kg")</f>
        <v>Cinta 100Kg</v>
      </c>
      <c r="U1558" s="5" t="str">
        <f>IFERROR(__xludf.DUMMYFUNCTION("""COMPUTED_VALUE"""),"Todd Kauffman, Mark Thornton")</f>
        <v>Todd Kauffman, Mark Thornton</v>
      </c>
      <c r="V1558" s="5" t="s">
        <v>9114</v>
      </c>
      <c r="W1558" s="5" t="str">
        <f t="shared" si="3"/>
        <v>Harvey Glazer, Stuart Stone</v>
      </c>
      <c r="X1558" s="5">
        <f t="shared" si="4"/>
        <v>1</v>
      </c>
      <c r="Y1558" s="5" t="str">
        <f>IFERROR(__xludf.DUMMYFUNCTION("REGEXEXTRACT(J1558, ""^\d+"")"),"28")</f>
        <v>28</v>
      </c>
      <c r="Z1558" s="5" t="str">
        <f>IFERROR(__xludf.DUMMYFUNCTION("REGEXEXTRACT(J1558, ""[A-Za-z ]+$"")")," min")</f>
        <v> min</v>
      </c>
      <c r="AA1558" s="5" t="str">
        <f>IFERROR(__xludf.DUMMYFUNCTION("IF(REGEXMATCH(Z1558, ""Season""), ""TV Show"", ""Movie"")"),"Movie")</f>
        <v>Movie</v>
      </c>
    </row>
    <row r="1559">
      <c r="A1559" s="1" t="s">
        <v>9115</v>
      </c>
      <c r="B1559" s="1" t="s">
        <v>27</v>
      </c>
      <c r="C1559" s="1" t="s">
        <v>9116</v>
      </c>
      <c r="D1559" s="1" t="s">
        <v>9117</v>
      </c>
      <c r="F1559" s="1" t="s">
        <v>30</v>
      </c>
      <c r="G1559" s="1" t="s">
        <v>9112</v>
      </c>
      <c r="H1559" s="1">
        <v>2020.0</v>
      </c>
      <c r="I1559" s="1" t="s">
        <v>770</v>
      </c>
      <c r="J1559" s="1" t="s">
        <v>9118</v>
      </c>
      <c r="K1559" s="1" t="s">
        <v>771</v>
      </c>
      <c r="L1559" s="1" t="s">
        <v>9119</v>
      </c>
      <c r="M1559" s="2" t="s">
        <v>12</v>
      </c>
      <c r="N1559" s="4">
        <f t="shared" si="1"/>
        <v>44176</v>
      </c>
      <c r="O1559" s="5" t="str">
        <f>IFERROR(__xludf.DUMMYFUNCTION("IF(REGEXMATCH(TRIM(I1559), ""^\d+\s*min""), ""Unclassified"", IF(I1559 = """", ""NR"", I1559))"),"G")</f>
        <v>G</v>
      </c>
      <c r="R1559" s="5" t="str">
        <f t="shared" si="2"/>
        <v>Canvas</v>
      </c>
      <c r="S1559" s="5" t="str">
        <f>IFERROR(__xludf.DUMMYFUNCTION("""COMPUTED_VALUE"""),"Cinta Iris")</f>
        <v>Cinta Iris</v>
      </c>
      <c r="U1559" s="5" t="str">
        <f>IFERROR(__xludf.DUMMYFUNCTION("""COMPUTED_VALUE"""),"Prentice Penny")</f>
        <v>Prentice Penny</v>
      </c>
      <c r="V1559" s="5" t="s">
        <v>9120</v>
      </c>
      <c r="W1559" s="5" t="str">
        <f t="shared" si="3"/>
        <v>Harvey Lilley</v>
      </c>
      <c r="X1559" s="5">
        <f t="shared" si="4"/>
        <v>1</v>
      </c>
      <c r="Y1559" s="5" t="str">
        <f>IFERROR(__xludf.DUMMYFUNCTION("REGEXEXTRACT(J1559, ""^\d+"")"),"9")</f>
        <v>9</v>
      </c>
      <c r="Z1559" s="5" t="str">
        <f>IFERROR(__xludf.DUMMYFUNCTION("REGEXEXTRACT(J1559, ""[A-Za-z ]+$"")")," min")</f>
        <v> min</v>
      </c>
      <c r="AA1559" s="5" t="str">
        <f>IFERROR(__xludf.DUMMYFUNCTION("IF(REGEXMATCH(Z1559, ""Season""), ""TV Show"", ""Movie"")"),"Movie")</f>
        <v>Movie</v>
      </c>
    </row>
    <row r="1560">
      <c r="A1560" s="1" t="s">
        <v>9121</v>
      </c>
      <c r="B1560" s="1" t="s">
        <v>27</v>
      </c>
      <c r="C1560" s="1" t="s">
        <v>9122</v>
      </c>
      <c r="D1560" s="1" t="s">
        <v>9123</v>
      </c>
      <c r="E1560" s="1" t="s">
        <v>9124</v>
      </c>
      <c r="F1560" s="1" t="s">
        <v>30</v>
      </c>
      <c r="G1560" s="1" t="s">
        <v>9112</v>
      </c>
      <c r="H1560" s="1">
        <v>2020.0</v>
      </c>
      <c r="I1560" s="1" t="s">
        <v>32</v>
      </c>
      <c r="J1560" s="1" t="s">
        <v>79</v>
      </c>
      <c r="K1560" s="1" t="s">
        <v>34</v>
      </c>
      <c r="L1560" s="1" t="s">
        <v>9125</v>
      </c>
      <c r="M1560" s="2" t="s">
        <v>12</v>
      </c>
      <c r="N1560" s="4">
        <f t="shared" si="1"/>
        <v>44176</v>
      </c>
      <c r="O1560" s="5" t="str">
        <f>IFERROR(__xludf.DUMMYFUNCTION("IF(REGEXMATCH(TRIM(I1560), ""^\d+\s*min""), ""Unclassified"", IF(I1560 = """", ""NR"", I1560))"),"PG-13")</f>
        <v>PG-13</v>
      </c>
      <c r="R1560" s="5" t="str">
        <f t="shared" si="2"/>
        <v>Giving Voice</v>
      </c>
      <c r="S1560" s="5" t="str">
        <f>IFERROR(__xludf.DUMMYFUNCTION("""COMPUTED_VALUE"""),"Cinta Si Wedding Planner")</f>
        <v>Cinta Si Wedding Planner</v>
      </c>
      <c r="U1560" s="5" t="str">
        <f>IFERROR(__xludf.DUMMYFUNCTION("""COMPUTED_VALUE"""),"Zsolt Pálfi")</f>
        <v>Zsolt Pálfi</v>
      </c>
      <c r="V1560" s="5" t="s">
        <v>9126</v>
      </c>
      <c r="W1560" s="5" t="str">
        <f t="shared" si="3"/>
        <v>Harvey Lowry</v>
      </c>
      <c r="X1560" s="5">
        <f t="shared" si="4"/>
        <v>2</v>
      </c>
      <c r="Y1560" s="5" t="str">
        <f>IFERROR(__xludf.DUMMYFUNCTION("REGEXEXTRACT(J1560, ""^\d+"")"),"91")</f>
        <v>91</v>
      </c>
      <c r="Z1560" s="5" t="str">
        <f>IFERROR(__xludf.DUMMYFUNCTION("REGEXEXTRACT(J1560, ""[A-Za-z ]+$"")")," min")</f>
        <v> min</v>
      </c>
      <c r="AA1560" s="5" t="str">
        <f>IFERROR(__xludf.DUMMYFUNCTION("IF(REGEXMATCH(Z1560, ""Season""), ""TV Show"", ""Movie"")"),"Movie")</f>
        <v>Movie</v>
      </c>
    </row>
    <row r="1561">
      <c r="A1561" s="1" t="s">
        <v>9127</v>
      </c>
      <c r="B1561" s="1" t="s">
        <v>37</v>
      </c>
      <c r="C1561" s="1" t="s">
        <v>9128</v>
      </c>
      <c r="E1561" s="1" t="s">
        <v>9129</v>
      </c>
      <c r="F1561" s="1" t="s">
        <v>784</v>
      </c>
      <c r="G1561" s="1" t="s">
        <v>9112</v>
      </c>
      <c r="H1561" s="1">
        <v>2020.0</v>
      </c>
      <c r="I1561" s="1" t="s">
        <v>42</v>
      </c>
      <c r="J1561" s="1" t="s">
        <v>51</v>
      </c>
      <c r="K1561" s="1" t="s">
        <v>1339</v>
      </c>
      <c r="L1561" s="1" t="s">
        <v>9130</v>
      </c>
      <c r="M1561" s="2" t="s">
        <v>12</v>
      </c>
      <c r="N1561" s="4">
        <f t="shared" si="1"/>
        <v>44176</v>
      </c>
      <c r="O1561" s="5" t="str">
        <f>IFERROR(__xludf.DUMMYFUNCTION("IF(REGEXMATCH(TRIM(I1561), ""^\d+\s*min""), ""Unclassified"", IF(I1561 = """", ""NR"", I1561))"),"TV-MA")</f>
        <v>TV-MA</v>
      </c>
      <c r="R1561" s="5" t="str">
        <f t="shared" si="2"/>
        <v>The Mess You Leave Behind</v>
      </c>
      <c r="S1561" s="5" t="str">
        <f>IFERROR(__xludf.DUMMYFUNCTION("""COMPUTED_VALUE"""),"Cinta Teruna Kimchi")</f>
        <v>Cinta Teruna Kimchi</v>
      </c>
      <c r="U1561" s="5" t="str">
        <f>IFERROR(__xludf.DUMMYFUNCTION("""COMPUTED_VALUE"""),"Nawapol Thamrongrattanarit")</f>
        <v>Nawapol Thamrongrattanarit</v>
      </c>
      <c r="V1561" s="5" t="s">
        <v>9131</v>
      </c>
      <c r="W1561" s="5" t="str">
        <f t="shared" si="3"/>
        <v>Hasan Karacadağ</v>
      </c>
      <c r="X1561" s="5">
        <f t="shared" si="4"/>
        <v>3</v>
      </c>
      <c r="Y1561" s="5" t="str">
        <f>IFERROR(__xludf.DUMMYFUNCTION("REGEXEXTRACT(J1561, ""^\d+"")"),"1")</f>
        <v>1</v>
      </c>
      <c r="Z1561" s="5" t="str">
        <f>IFERROR(__xludf.DUMMYFUNCTION("REGEXEXTRACT(J1561, ""[A-Za-z ]+$"")")," Season")</f>
        <v> Season</v>
      </c>
      <c r="AA1561" s="5" t="str">
        <f>IFERROR(__xludf.DUMMYFUNCTION("IF(REGEXMATCH(Z1561, ""Season""), ""TV Show"", ""Movie"")"),"TV Show")</f>
        <v>TV Show</v>
      </c>
    </row>
    <row r="1562">
      <c r="A1562" s="1" t="s">
        <v>9132</v>
      </c>
      <c r="B1562" s="1" t="s">
        <v>27</v>
      </c>
      <c r="C1562" s="1" t="s">
        <v>9133</v>
      </c>
      <c r="D1562" s="1" t="s">
        <v>9134</v>
      </c>
      <c r="E1562" s="1" t="s">
        <v>9135</v>
      </c>
      <c r="F1562" s="1" t="s">
        <v>30</v>
      </c>
      <c r="G1562" s="1" t="s">
        <v>9112</v>
      </c>
      <c r="H1562" s="1">
        <v>2020.0</v>
      </c>
      <c r="I1562" s="1" t="s">
        <v>32</v>
      </c>
      <c r="J1562" s="1" t="s">
        <v>2505</v>
      </c>
      <c r="K1562" s="1" t="s">
        <v>9136</v>
      </c>
      <c r="L1562" s="1" t="s">
        <v>9137</v>
      </c>
      <c r="M1562" s="2" t="s">
        <v>12</v>
      </c>
      <c r="N1562" s="4">
        <f t="shared" si="1"/>
        <v>44176</v>
      </c>
      <c r="O1562" s="5" t="str">
        <f>IFERROR(__xludf.DUMMYFUNCTION("IF(REGEXMATCH(TRIM(I1562), ""^\d+\s*min""), ""Unclassified"", IF(I1562 = """", ""NR"", I1562))"),"PG-13")</f>
        <v>PG-13</v>
      </c>
      <c r="R1562" s="5" t="str">
        <f t="shared" si="2"/>
        <v>The Prom</v>
      </c>
      <c r="S1562" s="5" t="str">
        <f>IFERROR(__xludf.DUMMYFUNCTION("""COMPUTED_VALUE"""),"Circle")</f>
        <v>Circle</v>
      </c>
      <c r="U1562" s="5" t="str">
        <f>IFERROR(__xludf.DUMMYFUNCTION("""COMPUTED_VALUE"""),"Marlene Melchior")</f>
        <v>Marlene Melchior</v>
      </c>
      <c r="V1562" s="5" t="s">
        <v>9138</v>
      </c>
      <c r="W1562" s="5" t="str">
        <f t="shared" si="3"/>
        <v>Hashim Nadeem Khan</v>
      </c>
      <c r="X1562" s="5">
        <f t="shared" si="4"/>
        <v>1</v>
      </c>
      <c r="Y1562" s="5" t="str">
        <f>IFERROR(__xludf.DUMMYFUNCTION("REGEXEXTRACT(J1562, ""^\d+"")"),"132")</f>
        <v>132</v>
      </c>
      <c r="Z1562" s="5" t="str">
        <f>IFERROR(__xludf.DUMMYFUNCTION("REGEXEXTRACT(J1562, ""[A-Za-z ]+$"")")," min")</f>
        <v> min</v>
      </c>
      <c r="AA1562" s="5" t="str">
        <f>IFERROR(__xludf.DUMMYFUNCTION("IF(REGEXMATCH(Z1562, ""Season""), ""TV Show"", ""Movie"")"),"Movie")</f>
        <v>Movie</v>
      </c>
    </row>
    <row r="1563">
      <c r="A1563" s="1" t="s">
        <v>9139</v>
      </c>
      <c r="B1563" s="1" t="s">
        <v>27</v>
      </c>
      <c r="C1563" s="1" t="s">
        <v>9140</v>
      </c>
      <c r="D1563" s="1" t="s">
        <v>8501</v>
      </c>
      <c r="E1563" s="1" t="s">
        <v>9141</v>
      </c>
      <c r="F1563" s="1" t="s">
        <v>63</v>
      </c>
      <c r="G1563" s="1" t="s">
        <v>9112</v>
      </c>
      <c r="H1563" s="1">
        <v>2020.0</v>
      </c>
      <c r="I1563" s="1" t="s">
        <v>42</v>
      </c>
      <c r="J1563" s="1" t="s">
        <v>1428</v>
      </c>
      <c r="K1563" s="1" t="s">
        <v>5099</v>
      </c>
      <c r="L1563" s="1" t="s">
        <v>9142</v>
      </c>
      <c r="M1563" s="2" t="s">
        <v>12</v>
      </c>
      <c r="N1563" s="4">
        <f t="shared" si="1"/>
        <v>44176</v>
      </c>
      <c r="O1563" s="5" t="str">
        <f>IFERROR(__xludf.DUMMYFUNCTION("IF(REGEXMATCH(TRIM(I1563), ""^\d+\s*min""), ""Unclassified"", IF(I1563 = """", ""NR"", I1563))"),"TV-MA")</f>
        <v>TV-MA</v>
      </c>
      <c r="R1563" s="5" t="str">
        <f t="shared" si="2"/>
        <v>Torbaaz</v>
      </c>
      <c r="S1563" s="5" t="str">
        <f>IFERROR(__xludf.DUMMYFUNCTION("""COMPUTED_VALUE"""),"Circus Of Books")</f>
        <v>Circus Of Books</v>
      </c>
      <c r="U1563" s="5" t="str">
        <f>IFERROR(__xludf.DUMMYFUNCTION("""COMPUTED_VALUE"""),"Aaron Lieber")</f>
        <v>Aaron Lieber</v>
      </c>
      <c r="V1563" s="5" t="s">
        <v>9143</v>
      </c>
      <c r="W1563" s="5" t="str">
        <f t="shared" si="3"/>
        <v>Hasraf Dulull</v>
      </c>
      <c r="X1563" s="5">
        <f t="shared" si="4"/>
        <v>1</v>
      </c>
      <c r="Y1563" s="5" t="str">
        <f>IFERROR(__xludf.DUMMYFUNCTION("REGEXEXTRACT(J1563, ""^\d+"")"),"133")</f>
        <v>133</v>
      </c>
      <c r="Z1563" s="5" t="str">
        <f>IFERROR(__xludf.DUMMYFUNCTION("REGEXEXTRACT(J1563, ""[A-Za-z ]+$"")")," min")</f>
        <v> min</v>
      </c>
      <c r="AA1563" s="5" t="str">
        <f>IFERROR(__xludf.DUMMYFUNCTION("IF(REGEXMATCH(Z1563, ""Season""), ""TV Show"", ""Movie"")"),"Movie")</f>
        <v>Movie</v>
      </c>
    </row>
    <row r="1564">
      <c r="A1564" s="1" t="s">
        <v>9144</v>
      </c>
      <c r="B1564" s="1" t="s">
        <v>37</v>
      </c>
      <c r="C1564" s="1" t="s">
        <v>9145</v>
      </c>
      <c r="E1564" s="1" t="s">
        <v>9146</v>
      </c>
      <c r="F1564" s="1" t="s">
        <v>415</v>
      </c>
      <c r="G1564" s="1" t="s">
        <v>9147</v>
      </c>
      <c r="H1564" s="1">
        <v>2020.0</v>
      </c>
      <c r="I1564" s="1" t="s">
        <v>42</v>
      </c>
      <c r="J1564" s="1" t="s">
        <v>51</v>
      </c>
      <c r="K1564" s="1" t="s">
        <v>9148</v>
      </c>
      <c r="L1564" s="1" t="s">
        <v>9149</v>
      </c>
      <c r="M1564" s="2" t="s">
        <v>12</v>
      </c>
      <c r="N1564" s="4">
        <f t="shared" si="1"/>
        <v>44175</v>
      </c>
      <c r="O1564" s="5" t="str">
        <f>IFERROR(__xludf.DUMMYFUNCTION("IF(REGEXMATCH(TRIM(I1564), ""^\d+\s*min""), ""Unclassified"", IF(I1564 = """", ""NR"", I1564))"),"TV-MA")</f>
        <v>TV-MA</v>
      </c>
      <c r="R1564" s="5" t="str">
        <f t="shared" si="2"/>
        <v>Alice In Borderland</v>
      </c>
      <c r="S1564" s="5" t="str">
        <f>IFERROR(__xludf.DUMMYFUNCTION("""COMPUTED_VALUE"""),"Cirque Du Freak: The Vampire'S Assistant")</f>
        <v>Cirque Du Freak: The Vampire'S Assistant</v>
      </c>
      <c r="U1564" s="5" t="str">
        <f>IFERROR(__xludf.DUMMYFUNCTION("""COMPUTED_VALUE"""),"Tamas Yvan Topolanszky")</f>
        <v>Tamas Yvan Topolanszky</v>
      </c>
      <c r="V1564" s="5" t="s">
        <v>9150</v>
      </c>
      <c r="W1564" s="5" t="str">
        <f t="shared" si="3"/>
        <v>Hassan Abdulsalam</v>
      </c>
      <c r="X1564" s="5">
        <f t="shared" si="4"/>
        <v>1</v>
      </c>
      <c r="Y1564" s="5" t="str">
        <f>IFERROR(__xludf.DUMMYFUNCTION("REGEXEXTRACT(J1564, ""^\d+"")"),"1")</f>
        <v>1</v>
      </c>
      <c r="Z1564" s="5" t="str">
        <f>IFERROR(__xludf.DUMMYFUNCTION("REGEXEXTRACT(J1564, ""[A-Za-z ]+$"")")," Season")</f>
        <v> Season</v>
      </c>
      <c r="AA1564" s="5" t="str">
        <f>IFERROR(__xludf.DUMMYFUNCTION("IF(REGEXMATCH(Z1564, ""Season""), ""TV Show"", ""Movie"")"),"TV Show")</f>
        <v>TV Show</v>
      </c>
    </row>
    <row r="1565">
      <c r="A1565" s="1" t="s">
        <v>9151</v>
      </c>
      <c r="B1565" s="1" t="s">
        <v>27</v>
      </c>
      <c r="C1565" s="1" t="s">
        <v>9152</v>
      </c>
      <c r="D1565" s="1" t="s">
        <v>6283</v>
      </c>
      <c r="E1565" s="1" t="s">
        <v>9153</v>
      </c>
      <c r="F1565" s="1" t="s">
        <v>1979</v>
      </c>
      <c r="G1565" s="1" t="s">
        <v>9147</v>
      </c>
      <c r="H1565" s="1">
        <v>2020.0</v>
      </c>
      <c r="I1565" s="1" t="s">
        <v>42</v>
      </c>
      <c r="J1565" s="1" t="s">
        <v>1065</v>
      </c>
      <c r="K1565" s="1" t="s">
        <v>8641</v>
      </c>
      <c r="L1565" s="1" t="s">
        <v>9154</v>
      </c>
      <c r="M1565" s="2" t="s">
        <v>12</v>
      </c>
      <c r="N1565" s="4">
        <f t="shared" si="1"/>
        <v>44175</v>
      </c>
      <c r="O1565" s="5" t="str">
        <f>IFERROR(__xludf.DUMMYFUNCTION("IF(REGEXMATCH(TRIM(I1565), ""^\d+\s*min""), ""Unclassified"", IF(I1565 = """", ""NR"", I1565))"),"TV-MA")</f>
        <v>TV-MA</v>
      </c>
      <c r="R1565" s="5" t="str">
        <f t="shared" si="2"/>
        <v>Funny Boy</v>
      </c>
      <c r="S1565" s="5" t="str">
        <f>IFERROR(__xludf.DUMMYFUNCTION("""COMPUTED_VALUE"""),"Citation")</f>
        <v>Citation</v>
      </c>
      <c r="U1565" s="5" t="str">
        <f>IFERROR(__xludf.DUMMYFUNCTION("""COMPUTED_VALUE"""),"Àlex Pastor, David Pastor")</f>
        <v>Àlex Pastor, David Pastor</v>
      </c>
      <c r="V1565" s="5" t="s">
        <v>9155</v>
      </c>
      <c r="W1565" s="5" t="str">
        <f t="shared" si="3"/>
        <v>Hassan Hegazy, Shady Ali</v>
      </c>
      <c r="X1565" s="5">
        <f t="shared" si="4"/>
        <v>1</v>
      </c>
      <c r="Y1565" s="5" t="str">
        <f>IFERROR(__xludf.DUMMYFUNCTION("REGEXEXTRACT(J1565, ""^\d+"")"),"109")</f>
        <v>109</v>
      </c>
      <c r="Z1565" s="5" t="str">
        <f>IFERROR(__xludf.DUMMYFUNCTION("REGEXEXTRACT(J1565, ""[A-Za-z ]+$"")")," min")</f>
        <v> min</v>
      </c>
      <c r="AA1565" s="5" t="str">
        <f>IFERROR(__xludf.DUMMYFUNCTION("IF(REGEXMATCH(Z1565, ""Season""), ""TV Show"", ""Movie"")"),"Movie")</f>
        <v>Movie</v>
      </c>
    </row>
    <row r="1566">
      <c r="A1566" s="1" t="s">
        <v>9156</v>
      </c>
      <c r="B1566" s="1" t="s">
        <v>37</v>
      </c>
      <c r="C1566" s="8" t="s">
        <v>9157</v>
      </c>
      <c r="D1566" s="1" t="s">
        <v>9158</v>
      </c>
      <c r="E1566" s="1" t="s">
        <v>9159</v>
      </c>
      <c r="G1566" s="1" t="s">
        <v>9147</v>
      </c>
      <c r="H1566" s="1">
        <v>2020.0</v>
      </c>
      <c r="I1566" s="1" t="s">
        <v>97</v>
      </c>
      <c r="J1566" s="1" t="s">
        <v>51</v>
      </c>
      <c r="K1566" s="1" t="s">
        <v>1362</v>
      </c>
      <c r="L1566" s="1" t="s">
        <v>9160</v>
      </c>
      <c r="M1566" s="2" t="s">
        <v>12</v>
      </c>
      <c r="N1566" s="4">
        <f t="shared" si="1"/>
        <v>44175</v>
      </c>
      <c r="O1566" s="5" t="str">
        <f>IFERROR(__xludf.DUMMYFUNCTION("IF(REGEXMATCH(TRIM(I1566), ""^\d+\s*min""), ""Unclassified"", IF(I1566 = """", ""NR"", I1566))"),"TV-14")</f>
        <v>TV-14</v>
      </c>
      <c r="R1566" s="9" t="str">
        <f t="shared" si="2"/>
        <v>Futmalls.Com</v>
      </c>
      <c r="S1566" s="5" t="str">
        <f>IFERROR(__xludf.DUMMYFUNCTION("""COMPUTED_VALUE"""),"Cities Of Last Things")</f>
        <v>Cities Of Last Things</v>
      </c>
      <c r="U1566" s="5" t="str">
        <f>IFERROR(__xludf.DUMMYFUNCTION("""COMPUTED_VALUE"""),"Rami Hachache")</f>
        <v>Rami Hachache</v>
      </c>
      <c r="V1566" s="5" t="s">
        <v>9161</v>
      </c>
      <c r="W1566" s="5" t="str">
        <f t="shared" si="3"/>
        <v>Hatem Khraiche</v>
      </c>
      <c r="X1566" s="5">
        <f t="shared" si="4"/>
        <v>1</v>
      </c>
      <c r="Y1566" s="5" t="str">
        <f>IFERROR(__xludf.DUMMYFUNCTION("REGEXEXTRACT(J1566, ""^\d+"")"),"1")</f>
        <v>1</v>
      </c>
      <c r="Z1566" s="5" t="str">
        <f>IFERROR(__xludf.DUMMYFUNCTION("REGEXEXTRACT(J1566, ""[A-Za-z ]+$"")")," Season")</f>
        <v> Season</v>
      </c>
      <c r="AA1566" s="5" t="str">
        <f>IFERROR(__xludf.DUMMYFUNCTION("IF(REGEXMATCH(Z1566, ""Season""), ""TV Show"", ""Movie"")"),"TV Show")</f>
        <v>TV Show</v>
      </c>
    </row>
    <row r="1567">
      <c r="A1567" s="1" t="s">
        <v>9162</v>
      </c>
      <c r="B1567" s="1" t="s">
        <v>27</v>
      </c>
      <c r="C1567" s="1" t="s">
        <v>9163</v>
      </c>
      <c r="D1567" s="1" t="s">
        <v>9164</v>
      </c>
      <c r="E1567" s="1" t="s">
        <v>9165</v>
      </c>
      <c r="F1567" s="1" t="s">
        <v>4287</v>
      </c>
      <c r="G1567" s="1" t="s">
        <v>9147</v>
      </c>
      <c r="H1567" s="1">
        <v>2016.0</v>
      </c>
      <c r="I1567" s="1" t="s">
        <v>506</v>
      </c>
      <c r="J1567" s="1" t="s">
        <v>1256</v>
      </c>
      <c r="K1567" s="1" t="s">
        <v>3183</v>
      </c>
      <c r="L1567" s="1" t="s">
        <v>9166</v>
      </c>
      <c r="M1567" s="2" t="s">
        <v>12</v>
      </c>
      <c r="N1567" s="4">
        <f t="shared" si="1"/>
        <v>44175</v>
      </c>
      <c r="O1567" s="5" t="str">
        <f>IFERROR(__xludf.DUMMYFUNCTION("IF(REGEXMATCH(TRIM(I1567), ""^\d+\s*min""), ""Unclassified"", IF(I1567 = """", ""NR"", I1567))"),"TV-G")</f>
        <v>TV-G</v>
      </c>
      <c r="R1567" s="5" t="str">
        <f t="shared" si="2"/>
        <v>Just The Way You Are</v>
      </c>
      <c r="S1567" s="5" t="str">
        <f>IFERROR(__xludf.DUMMYFUNCTION("""COMPUTED_VALUE"""),"City In The Sky")</f>
        <v>City In The Sky</v>
      </c>
      <c r="U1567" s="5" t="str">
        <f>IFERROR(__xludf.DUMMYFUNCTION("""COMPUTED_VALUE"""),"Francisco Macri")</f>
        <v>Francisco Macri</v>
      </c>
      <c r="V1567" s="5" t="s">
        <v>9167</v>
      </c>
      <c r="W1567" s="5" t="str">
        <f t="shared" si="3"/>
        <v>Hayao Miyazaki</v>
      </c>
      <c r="X1567" s="5">
        <f t="shared" si="4"/>
        <v>1</v>
      </c>
      <c r="Y1567" s="5" t="str">
        <f>IFERROR(__xludf.DUMMYFUNCTION("REGEXEXTRACT(J1567, ""^\d+"")"),"107")</f>
        <v>107</v>
      </c>
      <c r="Z1567" s="5" t="str">
        <f>IFERROR(__xludf.DUMMYFUNCTION("REGEXEXTRACT(J1567, ""[A-Za-z ]+$"")")," min")</f>
        <v> min</v>
      </c>
      <c r="AA1567" s="5" t="str">
        <f>IFERROR(__xludf.DUMMYFUNCTION("IF(REGEXMATCH(Z1567, ""Season""), ""TV Show"", ""Movie"")"),"Movie")</f>
        <v>Movie</v>
      </c>
    </row>
    <row r="1568">
      <c r="A1568" s="1" t="s">
        <v>9168</v>
      </c>
      <c r="B1568" s="1" t="s">
        <v>27</v>
      </c>
      <c r="C1568" s="1" t="s">
        <v>9169</v>
      </c>
      <c r="D1568" s="1" t="s">
        <v>5285</v>
      </c>
      <c r="E1568" s="1" t="s">
        <v>9170</v>
      </c>
      <c r="F1568" s="1" t="s">
        <v>4287</v>
      </c>
      <c r="G1568" s="1" t="s">
        <v>9147</v>
      </c>
      <c r="H1568" s="1">
        <v>2013.0</v>
      </c>
      <c r="I1568" s="1" t="s">
        <v>97</v>
      </c>
      <c r="J1568" s="1" t="s">
        <v>264</v>
      </c>
      <c r="K1568" s="1" t="s">
        <v>679</v>
      </c>
      <c r="L1568" s="1" t="s">
        <v>9171</v>
      </c>
      <c r="M1568" s="2" t="s">
        <v>12</v>
      </c>
      <c r="N1568" s="4">
        <f t="shared" si="1"/>
        <v>44175</v>
      </c>
      <c r="O1568" s="5" t="str">
        <f>IFERROR(__xludf.DUMMYFUNCTION("IF(REGEXMATCH(TRIM(I1568), ""^\d+\s*min""), ""Unclassified"", IF(I1568 = """", ""NR"", I1568))"),"TV-14")</f>
        <v>TV-14</v>
      </c>
      <c r="R1568" s="5" t="str">
        <f t="shared" si="2"/>
        <v>She'S The One</v>
      </c>
      <c r="S1568" s="5" t="str">
        <f>IFERROR(__xludf.DUMMYFUNCTION("""COMPUTED_VALUE"""),"City Of Ghosts")</f>
        <v>City Of Ghosts</v>
      </c>
      <c r="U1568" s="5" t="str">
        <f>IFERROR(__xludf.DUMMYFUNCTION("""COMPUTED_VALUE"""),"Gabriela García Rivas")</f>
        <v>Gabriela García Rivas</v>
      </c>
      <c r="V1568" s="5" t="s">
        <v>9172</v>
      </c>
      <c r="W1568" s="5" t="str">
        <f t="shared" si="3"/>
        <v>Hayato Date</v>
      </c>
      <c r="X1568" s="5">
        <f t="shared" si="4"/>
        <v>1</v>
      </c>
      <c r="Y1568" s="5" t="str">
        <f>IFERROR(__xludf.DUMMYFUNCTION("REGEXEXTRACT(J1568, ""^\d+"")"),"111")</f>
        <v>111</v>
      </c>
      <c r="Z1568" s="5" t="str">
        <f>IFERROR(__xludf.DUMMYFUNCTION("REGEXEXTRACT(J1568, ""[A-Za-z ]+$"")")," min")</f>
        <v> min</v>
      </c>
      <c r="AA1568" s="5" t="str">
        <f>IFERROR(__xludf.DUMMYFUNCTION("IF(REGEXMATCH(Z1568, ""Season""), ""TV Show"", ""Movie"")"),"Movie")</f>
        <v>Movie</v>
      </c>
    </row>
    <row r="1569">
      <c r="A1569" s="1" t="s">
        <v>9173</v>
      </c>
      <c r="B1569" s="1" t="s">
        <v>27</v>
      </c>
      <c r="C1569" s="1" t="s">
        <v>9174</v>
      </c>
      <c r="D1569" s="1" t="s">
        <v>8995</v>
      </c>
      <c r="E1569" s="1" t="s">
        <v>9175</v>
      </c>
      <c r="F1569" s="1" t="s">
        <v>4287</v>
      </c>
      <c r="G1569" s="1" t="s">
        <v>9147</v>
      </c>
      <c r="H1569" s="1">
        <v>2019.0</v>
      </c>
      <c r="I1569" s="1" t="s">
        <v>42</v>
      </c>
      <c r="J1569" s="1" t="s">
        <v>912</v>
      </c>
      <c r="K1569" s="1" t="s">
        <v>8160</v>
      </c>
      <c r="L1569" s="1" t="s">
        <v>9176</v>
      </c>
      <c r="M1569" s="2" t="s">
        <v>12</v>
      </c>
      <c r="N1569" s="4">
        <f t="shared" si="1"/>
        <v>44175</v>
      </c>
      <c r="O1569" s="5" t="str">
        <f>IFERROR(__xludf.DUMMYFUNCTION("IF(REGEXMATCH(TRIM(I1569), ""^\d+\s*min""), ""Unclassified"", IF(I1569 = """", ""NR"", I1569))"),"TV-MA")</f>
        <v>TV-MA</v>
      </c>
      <c r="R1569" s="5" t="str">
        <f t="shared" si="2"/>
        <v>The Panti Sisters</v>
      </c>
      <c r="S1569" s="5" t="str">
        <f>IFERROR(__xludf.DUMMYFUNCTION("""COMPUTED_VALUE"""),"City Of God")</f>
        <v>City Of God</v>
      </c>
      <c r="U1569" s="5" t="str">
        <f>IFERROR(__xludf.DUMMYFUNCTION("""COMPUTED_VALUE"""),"Eric Goode, Rebecca Chaiklin")</f>
        <v>Eric Goode, Rebecca Chaiklin</v>
      </c>
      <c r="V1569" s="5" t="s">
        <v>9177</v>
      </c>
      <c r="W1569" s="5" t="str">
        <f t="shared" si="3"/>
        <v>Hayden Guppy</v>
      </c>
      <c r="X1569" s="5">
        <f t="shared" si="4"/>
        <v>1</v>
      </c>
      <c r="Y1569" s="5" t="str">
        <f>IFERROR(__xludf.DUMMYFUNCTION("REGEXEXTRACT(J1569, ""^\d+"")"),"108")</f>
        <v>108</v>
      </c>
      <c r="Z1569" s="5" t="str">
        <f>IFERROR(__xludf.DUMMYFUNCTION("REGEXEXTRACT(J1569, ""[A-Za-z ]+$"")")," min")</f>
        <v> min</v>
      </c>
      <c r="AA1569" s="5" t="str">
        <f>IFERROR(__xludf.DUMMYFUNCTION("IF(REGEXMATCH(Z1569, ""Season""), ""TV Show"", ""Movie"")"),"Movie")</f>
        <v>Movie</v>
      </c>
    </row>
    <row r="1570">
      <c r="A1570" s="1" t="s">
        <v>9178</v>
      </c>
      <c r="B1570" s="1" t="s">
        <v>27</v>
      </c>
      <c r="C1570" s="1" t="s">
        <v>9179</v>
      </c>
      <c r="D1570" s="1" t="s">
        <v>8995</v>
      </c>
      <c r="E1570" s="1" t="s">
        <v>9180</v>
      </c>
      <c r="F1570" s="1" t="s">
        <v>4287</v>
      </c>
      <c r="G1570" s="1" t="s">
        <v>9181</v>
      </c>
      <c r="H1570" s="1">
        <v>2019.0</v>
      </c>
      <c r="I1570" s="1" t="s">
        <v>42</v>
      </c>
      <c r="J1570" s="1" t="s">
        <v>305</v>
      </c>
      <c r="K1570" s="1" t="s">
        <v>89</v>
      </c>
      <c r="L1570" s="1" t="s">
        <v>9182</v>
      </c>
      <c r="M1570" s="2" t="s">
        <v>12</v>
      </c>
      <c r="N1570" s="4">
        <f t="shared" si="1"/>
        <v>44174</v>
      </c>
      <c r="O1570" s="5" t="str">
        <f>IFERROR(__xludf.DUMMYFUNCTION("IF(REGEXMATCH(TRIM(I1570), ""^\d+\s*min""), ""Unclassified"", IF(I1570 = """", ""NR"", I1570))"),"TV-MA")</f>
        <v>TV-MA</v>
      </c>
      <c r="R1570" s="5" t="str">
        <f t="shared" si="2"/>
        <v>Kalel, 15</v>
      </c>
      <c r="S1570" s="5" t="str">
        <f>IFERROR(__xludf.DUMMYFUNCTION("""COMPUTED_VALUE"""),"City Of God: 10 Years Later")</f>
        <v>City Of God: 10 Years Later</v>
      </c>
      <c r="U1570" s="5" t="str">
        <f>IFERROR(__xludf.DUMMYFUNCTION("""COMPUTED_VALUE"""),"Francesco Lettieri")</f>
        <v>Francesco Lettieri</v>
      </c>
      <c r="V1570" s="5" t="s">
        <v>9183</v>
      </c>
      <c r="W1570" s="5" t="str">
        <f t="shared" si="3"/>
        <v>He Xiaofeng</v>
      </c>
      <c r="X1570" s="5">
        <f t="shared" si="4"/>
        <v>1</v>
      </c>
      <c r="Y1570" s="5" t="str">
        <f>IFERROR(__xludf.DUMMYFUNCTION("REGEXEXTRACT(J1570, ""^\d+"")"),"105")</f>
        <v>105</v>
      </c>
      <c r="Z1570" s="5" t="str">
        <f>IFERROR(__xludf.DUMMYFUNCTION("REGEXEXTRACT(J1570, ""[A-Za-z ]+$"")")," min")</f>
        <v> min</v>
      </c>
      <c r="AA1570" s="5" t="str">
        <f>IFERROR(__xludf.DUMMYFUNCTION("IF(REGEXMATCH(Z1570, ""Season""), ""TV Show"", ""Movie"")"),"Movie")</f>
        <v>Movie</v>
      </c>
    </row>
    <row r="1571">
      <c r="A1571" s="1" t="s">
        <v>9184</v>
      </c>
      <c r="B1571" s="1" t="s">
        <v>37</v>
      </c>
      <c r="C1571" s="1" t="s">
        <v>9185</v>
      </c>
      <c r="E1571" s="1" t="s">
        <v>9186</v>
      </c>
      <c r="F1571" s="1" t="s">
        <v>2774</v>
      </c>
      <c r="G1571" s="1" t="s">
        <v>9181</v>
      </c>
      <c r="H1571" s="1">
        <v>2013.0</v>
      </c>
      <c r="I1571" s="1" t="s">
        <v>97</v>
      </c>
      <c r="J1571" s="1" t="s">
        <v>148</v>
      </c>
      <c r="K1571" s="1" t="s">
        <v>1294</v>
      </c>
      <c r="L1571" s="1" t="s">
        <v>9187</v>
      </c>
      <c r="M1571" s="2" t="s">
        <v>12</v>
      </c>
      <c r="N1571" s="4">
        <f t="shared" si="1"/>
        <v>44174</v>
      </c>
      <c r="O1571" s="5" t="str">
        <f>IFERROR(__xludf.DUMMYFUNCTION("IF(REGEXMATCH(TRIM(I1571), ""^\d+\s*min""), ""Unclassified"", IF(I1571 = """", ""NR"", I1571))"),"TV-14")</f>
        <v>TV-14</v>
      </c>
      <c r="R1571" s="5" t="str">
        <f t="shared" si="2"/>
        <v>Masameer Classics</v>
      </c>
      <c r="S1571" s="5" t="str">
        <f>IFERROR(__xludf.DUMMYFUNCTION("""COMPUTED_VALUE"""),"City Of Joy")</f>
        <v>City Of Joy</v>
      </c>
      <c r="U1571" s="5" t="str">
        <f>IFERROR(__xludf.DUMMYFUNCTION("""COMPUTED_VALUE"""),"John Suits")</f>
        <v>John Suits</v>
      </c>
      <c r="V1571" s="5" t="s">
        <v>9188</v>
      </c>
      <c r="W1571" s="5" t="str">
        <f t="shared" si="3"/>
        <v>Heber Cannon</v>
      </c>
      <c r="X1571" s="5">
        <f t="shared" si="4"/>
        <v>1</v>
      </c>
      <c r="Y1571" s="5" t="str">
        <f>IFERROR(__xludf.DUMMYFUNCTION("REGEXEXTRACT(J1571, ""^\d+"")"),"4")</f>
        <v>4</v>
      </c>
      <c r="Z1571" s="5" t="str">
        <f>IFERROR(__xludf.DUMMYFUNCTION("REGEXEXTRACT(J1571, ""[A-Za-z ]+$"")")," Seasons")</f>
        <v> Seasons</v>
      </c>
      <c r="AA1571" s="5" t="str">
        <f>IFERROR(__xludf.DUMMYFUNCTION("IF(REGEXMATCH(Z1571, ""Season""), ""TV Show"", ""Movie"")"),"TV Show")</f>
        <v>TV Show</v>
      </c>
    </row>
    <row r="1572">
      <c r="A1572" s="1" t="s">
        <v>9189</v>
      </c>
      <c r="B1572" s="1" t="s">
        <v>37</v>
      </c>
      <c r="C1572" s="1" t="s">
        <v>9190</v>
      </c>
      <c r="E1572" s="1" t="s">
        <v>9191</v>
      </c>
      <c r="F1572" s="1" t="s">
        <v>3309</v>
      </c>
      <c r="G1572" s="1" t="s">
        <v>9181</v>
      </c>
      <c r="H1572" s="1">
        <v>2019.0</v>
      </c>
      <c r="I1572" s="1" t="s">
        <v>97</v>
      </c>
      <c r="J1572" s="1" t="s">
        <v>51</v>
      </c>
      <c r="K1572" s="1" t="s">
        <v>1907</v>
      </c>
      <c r="L1572" s="1" t="s">
        <v>9192</v>
      </c>
      <c r="M1572" s="2" t="s">
        <v>12</v>
      </c>
      <c r="N1572" s="4">
        <f t="shared" si="1"/>
        <v>44174</v>
      </c>
      <c r="O1572" s="5" t="str">
        <f>IFERROR(__xludf.DUMMYFUNCTION("IF(REGEXMATCH(TRIM(I1572), ""^\d+\s*min""), ""Unclassified"", IF(I1572 = """", ""NR"", I1572))"),"TV-14")</f>
        <v>TV-14</v>
      </c>
      <c r="R1572" s="5" t="str">
        <f t="shared" si="2"/>
        <v>Once Upon A Time</v>
      </c>
      <c r="S1572" s="5" t="str">
        <f>IFERROR(__xludf.DUMMYFUNCTION("""COMPUTED_VALUE"""),"City Of Tiny Lights")</f>
        <v>City Of Tiny Lights</v>
      </c>
      <c r="U1572" s="5" t="str">
        <f>IFERROR(__xludf.DUMMYFUNCTION("""COMPUTED_VALUE"""),"Takeru Nakajima, Yoshiyuki Okada")</f>
        <v>Takeru Nakajima, Yoshiyuki Okada</v>
      </c>
      <c r="V1572" s="5" t="s">
        <v>9193</v>
      </c>
      <c r="W1572" s="5" t="str">
        <f t="shared" si="3"/>
        <v>Heber Cannon, Mariah Moore, Marston Sawyers</v>
      </c>
      <c r="X1572" s="5">
        <f t="shared" si="4"/>
        <v>1</v>
      </c>
      <c r="Y1572" s="5" t="str">
        <f>IFERROR(__xludf.DUMMYFUNCTION("REGEXEXTRACT(J1572, ""^\d+"")"),"1")</f>
        <v>1</v>
      </c>
      <c r="Z1572" s="5" t="str">
        <f>IFERROR(__xludf.DUMMYFUNCTION("REGEXEXTRACT(J1572, ""[A-Za-z ]+$"")")," Season")</f>
        <v> Season</v>
      </c>
      <c r="AA1572" s="5" t="str">
        <f>IFERROR(__xludf.DUMMYFUNCTION("IF(REGEXMATCH(Z1572, ""Season""), ""TV Show"", ""Movie"")"),"TV Show")</f>
        <v>TV Show</v>
      </c>
    </row>
    <row r="1573">
      <c r="A1573" s="1" t="s">
        <v>9194</v>
      </c>
      <c r="B1573" s="1" t="s">
        <v>27</v>
      </c>
      <c r="C1573" s="1" t="s">
        <v>9195</v>
      </c>
      <c r="D1573" s="1" t="s">
        <v>9196</v>
      </c>
      <c r="E1573" s="1" t="s">
        <v>9197</v>
      </c>
      <c r="F1573" s="1" t="s">
        <v>1779</v>
      </c>
      <c r="G1573" s="1" t="s">
        <v>9181</v>
      </c>
      <c r="H1573" s="1">
        <v>2020.0</v>
      </c>
      <c r="I1573" s="1" t="s">
        <v>97</v>
      </c>
      <c r="J1573" s="1" t="s">
        <v>804</v>
      </c>
      <c r="K1573" s="1" t="s">
        <v>583</v>
      </c>
      <c r="L1573" s="1" t="s">
        <v>9198</v>
      </c>
      <c r="M1573" s="2" t="s">
        <v>12</v>
      </c>
      <c r="N1573" s="4">
        <f t="shared" si="1"/>
        <v>44174</v>
      </c>
      <c r="O1573" s="5" t="str">
        <f>IFERROR(__xludf.DUMMYFUNCTION("IF(REGEXMATCH(TRIM(I1573), ""^\d+\s*min""), ""Unclassified"", IF(I1573 = """", ""NR"", I1573))"),"TV-14")</f>
        <v>TV-14</v>
      </c>
      <c r="R1573" s="5" t="str">
        <f t="shared" si="2"/>
        <v>Rose Island</v>
      </c>
      <c r="S1573" s="5" t="str">
        <f>IFERROR(__xludf.DUMMYFUNCTION("""COMPUTED_VALUE"""),"Civilizations")</f>
        <v>Civilizations</v>
      </c>
      <c r="U1573" s="5" t="str">
        <f>IFERROR(__xludf.DUMMYFUNCTION("""COMPUTED_VALUE"""),"Susan Walter")</f>
        <v>Susan Walter</v>
      </c>
      <c r="V1573" s="5" t="s">
        <v>9199</v>
      </c>
      <c r="W1573" s="5" t="str">
        <f t="shared" si="3"/>
        <v>Hèctor Hernández Vicens</v>
      </c>
      <c r="X1573" s="5">
        <f t="shared" si="4"/>
        <v>1</v>
      </c>
      <c r="Y1573" s="5" t="str">
        <f>IFERROR(__xludf.DUMMYFUNCTION("REGEXEXTRACT(J1573, ""^\d+"")"),"119")</f>
        <v>119</v>
      </c>
      <c r="Z1573" s="5" t="str">
        <f>IFERROR(__xludf.DUMMYFUNCTION("REGEXEXTRACT(J1573, ""[A-Za-z ]+$"")")," min")</f>
        <v> min</v>
      </c>
      <c r="AA1573" s="5" t="str">
        <f>IFERROR(__xludf.DUMMYFUNCTION("IF(REGEXMATCH(Z1573, ""Season""), ""TV Show"", ""Movie"")"),"Movie")</f>
        <v>Movie</v>
      </c>
    </row>
    <row r="1574">
      <c r="A1574" s="1" t="s">
        <v>9200</v>
      </c>
      <c r="B1574" s="1" t="s">
        <v>37</v>
      </c>
      <c r="C1574" s="1" t="s">
        <v>9201</v>
      </c>
      <c r="E1574" s="1" t="s">
        <v>9202</v>
      </c>
      <c r="F1574" s="1" t="s">
        <v>30</v>
      </c>
      <c r="G1574" s="1" t="s">
        <v>9181</v>
      </c>
      <c r="H1574" s="1">
        <v>2020.0</v>
      </c>
      <c r="I1574" s="1" t="s">
        <v>506</v>
      </c>
      <c r="J1574" s="1" t="s">
        <v>43</v>
      </c>
      <c r="K1574" s="1" t="s">
        <v>314</v>
      </c>
      <c r="L1574" s="1" t="s">
        <v>9203</v>
      </c>
      <c r="M1574" s="2" t="s">
        <v>12</v>
      </c>
      <c r="N1574" s="4">
        <f t="shared" si="1"/>
        <v>44174</v>
      </c>
      <c r="O1574" s="5" t="str">
        <f>IFERROR(__xludf.DUMMYFUNCTION("IF(REGEXMATCH(TRIM(I1574), ""^\d+\s*min""), ""Unclassified"", IF(I1574 = """", ""NR"", I1574))"),"TV-G")</f>
        <v>TV-G</v>
      </c>
      <c r="R1574" s="5" t="str">
        <f t="shared" si="2"/>
        <v>The Big Show Show</v>
      </c>
      <c r="S1574" s="5" t="str">
        <f>IFERROR(__xludf.DUMMYFUNCTION("""COMPUTED_VALUE"""),"Clair Obscur")</f>
        <v>Clair Obscur</v>
      </c>
      <c r="U1574" s="5" t="str">
        <f>IFERROR(__xludf.DUMMYFUNCTION("""COMPUTED_VALUE"""),"Masaaki Yuasa")</f>
        <v>Masaaki Yuasa</v>
      </c>
      <c r="V1574" s="5" t="s">
        <v>9204</v>
      </c>
      <c r="W1574" s="5" t="str">
        <f t="shared" si="3"/>
        <v>Heidi Brandenburg, Mathew Orzel</v>
      </c>
      <c r="X1574" s="5">
        <f t="shared" si="4"/>
        <v>1</v>
      </c>
      <c r="Y1574" s="5" t="str">
        <f>IFERROR(__xludf.DUMMYFUNCTION("REGEXEXTRACT(J1574, ""^\d+"")"),"2")</f>
        <v>2</v>
      </c>
      <c r="Z1574" s="5" t="str">
        <f>IFERROR(__xludf.DUMMYFUNCTION("REGEXEXTRACT(J1574, ""[A-Za-z ]+$"")")," Seasons")</f>
        <v> Seasons</v>
      </c>
      <c r="AA1574" s="5" t="str">
        <f>IFERROR(__xludf.DUMMYFUNCTION("IF(REGEXMATCH(Z1574, ""Season""), ""TV Show"", ""Movie"")"),"TV Show")</f>
        <v>TV Show</v>
      </c>
    </row>
    <row r="1575">
      <c r="A1575" s="1" t="s">
        <v>9205</v>
      </c>
      <c r="B1575" s="1" t="s">
        <v>37</v>
      </c>
      <c r="C1575" s="1" t="s">
        <v>9206</v>
      </c>
      <c r="E1575" s="1" t="s">
        <v>9207</v>
      </c>
      <c r="F1575" s="1" t="s">
        <v>30</v>
      </c>
      <c r="G1575" s="1" t="s">
        <v>9181</v>
      </c>
      <c r="H1575" s="1">
        <v>2020.0</v>
      </c>
      <c r="I1575" s="1" t="s">
        <v>136</v>
      </c>
      <c r="J1575" s="1" t="s">
        <v>276</v>
      </c>
      <c r="K1575" s="1" t="s">
        <v>9208</v>
      </c>
      <c r="L1575" s="1" t="s">
        <v>9209</v>
      </c>
      <c r="M1575" s="2" t="s">
        <v>12</v>
      </c>
      <c r="N1575" s="4">
        <f t="shared" si="1"/>
        <v>44174</v>
      </c>
      <c r="O1575" s="5" t="str">
        <f>IFERROR(__xludf.DUMMYFUNCTION("IF(REGEXMATCH(TRIM(I1575), ""^\d+\s*min""), ""Unclassified"", IF(I1575 = """", ""NR"", I1575))"),"TV-PG")</f>
        <v>TV-PG</v>
      </c>
      <c r="R1575" s="5" t="str">
        <f t="shared" si="2"/>
        <v>The Expanding Universe Of Ashley Garcia</v>
      </c>
      <c r="S1575" s="5" t="str">
        <f>IFERROR(__xludf.DUMMYFUNCTION("""COMPUTED_VALUE"""),"Clannad")</f>
        <v>Clannad</v>
      </c>
      <c r="U1575" s="5" t="str">
        <f>IFERROR(__xludf.DUMMYFUNCTION("""COMPUTED_VALUE"""),"Pierre Deschamps")</f>
        <v>Pierre Deschamps</v>
      </c>
      <c r="V1575" s="5" t="s">
        <v>9210</v>
      </c>
      <c r="W1575" s="5" t="str">
        <f t="shared" si="3"/>
        <v>Heidi Ewing, Rachel Grady</v>
      </c>
      <c r="X1575" s="5">
        <f t="shared" si="4"/>
        <v>2</v>
      </c>
      <c r="Y1575" s="5" t="str">
        <f>IFERROR(__xludf.DUMMYFUNCTION("REGEXEXTRACT(J1575, ""^\d+"")"),"3")</f>
        <v>3</v>
      </c>
      <c r="Z1575" s="5" t="str">
        <f>IFERROR(__xludf.DUMMYFUNCTION("REGEXEXTRACT(J1575, ""[A-Za-z ]+$"")")," Seasons")</f>
        <v> Seasons</v>
      </c>
      <c r="AA1575" s="5" t="str">
        <f>IFERROR(__xludf.DUMMYFUNCTION("IF(REGEXMATCH(Z1575, ""Season""), ""TV Show"", ""Movie"")"),"TV Show")</f>
        <v>TV Show</v>
      </c>
    </row>
    <row r="1576">
      <c r="A1576" s="1" t="s">
        <v>9211</v>
      </c>
      <c r="B1576" s="1" t="s">
        <v>37</v>
      </c>
      <c r="C1576" s="1" t="s">
        <v>9212</v>
      </c>
      <c r="F1576" s="1" t="s">
        <v>30</v>
      </c>
      <c r="G1576" s="1" t="s">
        <v>9181</v>
      </c>
      <c r="H1576" s="1">
        <v>2020.0</v>
      </c>
      <c r="I1576" s="1" t="s">
        <v>97</v>
      </c>
      <c r="J1576" s="1" t="s">
        <v>51</v>
      </c>
      <c r="K1576" s="1" t="s">
        <v>736</v>
      </c>
      <c r="L1576" s="1" t="s">
        <v>9213</v>
      </c>
      <c r="M1576" s="2" t="s">
        <v>12</v>
      </c>
      <c r="N1576" s="4">
        <f t="shared" si="1"/>
        <v>44174</v>
      </c>
      <c r="O1576" s="5" t="str">
        <f>IFERROR(__xludf.DUMMYFUNCTION("IF(REGEXMATCH(TRIM(I1576), ""^\d+\s*min""), ""Unclassified"", IF(I1576 = """", ""NR"", I1576))"),"TV-14")</f>
        <v>TV-14</v>
      </c>
      <c r="R1576" s="5" t="str">
        <f t="shared" si="2"/>
        <v>The Surgeon'S Cut</v>
      </c>
      <c r="S1576" s="5" t="str">
        <f>IFERROR(__xludf.DUMMYFUNCTION("""COMPUTED_VALUE"""),"Clarence Clemons: Who Do I Think I Am?")</f>
        <v>Clarence Clemons: Who Do I Think I Am?</v>
      </c>
      <c r="U1576" s="5" t="str">
        <f>IFERROR(__xludf.DUMMYFUNCTION("""COMPUTED_VALUE"""),"Jeff Tomsic")</f>
        <v>Jeff Tomsic</v>
      </c>
      <c r="V1576" s="5" t="s">
        <v>9214</v>
      </c>
      <c r="W1576" s="5" t="str">
        <f t="shared" si="3"/>
        <v>Heidi Saman</v>
      </c>
      <c r="X1576" s="5">
        <f t="shared" si="4"/>
        <v>1</v>
      </c>
      <c r="Y1576" s="5" t="str">
        <f>IFERROR(__xludf.DUMMYFUNCTION("REGEXEXTRACT(J1576, ""^\d+"")"),"1")</f>
        <v>1</v>
      </c>
      <c r="Z1576" s="5" t="str">
        <f>IFERROR(__xludf.DUMMYFUNCTION("REGEXEXTRACT(J1576, ""[A-Za-z ]+$"")")," Season")</f>
        <v> Season</v>
      </c>
      <c r="AA1576" s="5" t="str">
        <f>IFERROR(__xludf.DUMMYFUNCTION("IF(REGEXMATCH(Z1576, ""Season""), ""TV Show"", ""Movie"")"),"TV Show")</f>
        <v>TV Show</v>
      </c>
    </row>
    <row r="1577">
      <c r="A1577" s="1" t="s">
        <v>9215</v>
      </c>
      <c r="B1577" s="1" t="s">
        <v>27</v>
      </c>
      <c r="C1577" s="1" t="s">
        <v>9216</v>
      </c>
      <c r="D1577" s="1" t="s">
        <v>9217</v>
      </c>
      <c r="E1577" s="1" t="s">
        <v>9218</v>
      </c>
      <c r="F1577" s="1" t="s">
        <v>9219</v>
      </c>
      <c r="G1577" s="1" t="s">
        <v>9220</v>
      </c>
      <c r="H1577" s="1">
        <v>2020.0</v>
      </c>
      <c r="I1577" s="1" t="s">
        <v>136</v>
      </c>
      <c r="J1577" s="1" t="s">
        <v>106</v>
      </c>
      <c r="K1577" s="1" t="s">
        <v>156</v>
      </c>
      <c r="L1577" s="1" t="s">
        <v>9221</v>
      </c>
      <c r="M1577" s="2" t="s">
        <v>12</v>
      </c>
      <c r="N1577" s="4">
        <f t="shared" si="1"/>
        <v>44173</v>
      </c>
      <c r="O1577" s="5" t="str">
        <f>IFERROR(__xludf.DUMMYFUNCTION("IF(REGEXMATCH(TRIM(I1577), ""^\d+\s*min""), ""Unclassified"", IF(I1577 = """", ""NR"", I1577))"),"TV-PG")</f>
        <v>TV-PG</v>
      </c>
      <c r="R1577" s="5" t="str">
        <f t="shared" si="2"/>
        <v>André &amp; His Olive Tree</v>
      </c>
      <c r="S1577" s="5" t="str">
        <f>IFERROR(__xludf.DUMMYFUNCTION("""COMPUTED_VALUE"""),"Clash")</f>
        <v>Clash</v>
      </c>
      <c r="U1577" s="5" t="str">
        <f>IFERROR(__xludf.DUMMYFUNCTION("""COMPUTED_VALUE"""),"Scot Armstrong")</f>
        <v>Scot Armstrong</v>
      </c>
      <c r="V1577" s="5" t="s">
        <v>9222</v>
      </c>
      <c r="W1577" s="5" t="str">
        <f t="shared" si="3"/>
        <v>Heitor Dhalia</v>
      </c>
      <c r="X1577" s="5">
        <f t="shared" si="4"/>
        <v>1</v>
      </c>
      <c r="Y1577" s="5" t="str">
        <f>IFERROR(__xludf.DUMMYFUNCTION("REGEXEXTRACT(J1577, ""^\d+"")"),"104")</f>
        <v>104</v>
      </c>
      <c r="Z1577" s="5" t="str">
        <f>IFERROR(__xludf.DUMMYFUNCTION("REGEXEXTRACT(J1577, ""[A-Za-z ]+$"")")," min")</f>
        <v> min</v>
      </c>
      <c r="AA1577" s="5" t="str">
        <f>IFERROR(__xludf.DUMMYFUNCTION("IF(REGEXMATCH(Z1577, ""Season""), ""TV Show"", ""Movie"")"),"Movie")</f>
        <v>Movie</v>
      </c>
    </row>
    <row r="1578">
      <c r="A1578" s="1" t="s">
        <v>9223</v>
      </c>
      <c r="B1578" s="1" t="s">
        <v>27</v>
      </c>
      <c r="C1578" s="1" t="s">
        <v>9224</v>
      </c>
      <c r="D1578" s="1" t="s">
        <v>9225</v>
      </c>
      <c r="E1578" s="1" t="s">
        <v>9226</v>
      </c>
      <c r="F1578" s="1" t="s">
        <v>30</v>
      </c>
      <c r="G1578" s="1" t="s">
        <v>9220</v>
      </c>
      <c r="H1578" s="1">
        <v>2020.0</v>
      </c>
      <c r="I1578" s="1" t="s">
        <v>78</v>
      </c>
      <c r="J1578" s="1" t="s">
        <v>490</v>
      </c>
      <c r="K1578" s="1" t="s">
        <v>137</v>
      </c>
      <c r="L1578" s="1" t="s">
        <v>9227</v>
      </c>
      <c r="M1578" s="2" t="s">
        <v>12</v>
      </c>
      <c r="N1578" s="4">
        <f t="shared" si="1"/>
        <v>44173</v>
      </c>
      <c r="O1578" s="5" t="str">
        <f>IFERROR(__xludf.DUMMYFUNCTION("IF(REGEXMATCH(TRIM(I1578), ""^\d+\s*min""), ""Unclassified"", IF(I1578 = """", ""NR"", I1578))"),"PG")</f>
        <v>PG</v>
      </c>
      <c r="R1578" s="5" t="str">
        <f t="shared" si="2"/>
        <v>Bobbleheads The Movie</v>
      </c>
      <c r="S1578" s="5" t="str">
        <f>IFERROR(__xludf.DUMMYFUNCTION("""COMPUTED_VALUE"""),"Clash Of The Titans")</f>
        <v>Clash Of The Titans</v>
      </c>
      <c r="U1578" s="5" t="str">
        <f>IFERROR(__xludf.DUMMYFUNCTION("""COMPUTED_VALUE"""),"Naman Nitin Mukesh")</f>
        <v>Naman Nitin Mukesh</v>
      </c>
      <c r="V1578" s="5" t="s">
        <v>4687</v>
      </c>
      <c r="W1578" s="5" t="str">
        <f t="shared" si="3"/>
        <v>Helena Bergström</v>
      </c>
      <c r="X1578" s="5">
        <f t="shared" si="4"/>
        <v>1</v>
      </c>
      <c r="Y1578" s="5" t="str">
        <f>IFERROR(__xludf.DUMMYFUNCTION("REGEXEXTRACT(J1578, ""^\d+"")"),"83")</f>
        <v>83</v>
      </c>
      <c r="Z1578" s="5" t="str">
        <f>IFERROR(__xludf.DUMMYFUNCTION("REGEXEXTRACT(J1578, ""[A-Za-z ]+$"")")," min")</f>
        <v> min</v>
      </c>
      <c r="AA1578" s="5" t="str">
        <f>IFERROR(__xludf.DUMMYFUNCTION("IF(REGEXMATCH(Z1578, ""Season""), ""TV Show"", ""Movie"")"),"Movie")</f>
        <v>Movie</v>
      </c>
    </row>
    <row r="1579">
      <c r="A1579" s="1" t="s">
        <v>9228</v>
      </c>
      <c r="B1579" s="1" t="s">
        <v>27</v>
      </c>
      <c r="C1579" s="1" t="s">
        <v>9229</v>
      </c>
      <c r="E1579" s="1" t="s">
        <v>2891</v>
      </c>
      <c r="F1579" s="1" t="s">
        <v>1992</v>
      </c>
      <c r="G1579" s="1" t="s">
        <v>9220</v>
      </c>
      <c r="H1579" s="1">
        <v>2020.0</v>
      </c>
      <c r="I1579" s="1" t="s">
        <v>42</v>
      </c>
      <c r="J1579" s="1" t="s">
        <v>33</v>
      </c>
      <c r="K1579" s="1" t="s">
        <v>2892</v>
      </c>
      <c r="L1579" s="1" t="s">
        <v>9230</v>
      </c>
      <c r="M1579" s="2" t="s">
        <v>12</v>
      </c>
      <c r="N1579" s="4">
        <f t="shared" si="1"/>
        <v>44173</v>
      </c>
      <c r="O1579" s="5" t="str">
        <f>IFERROR(__xludf.DUMMYFUNCTION("IF(REGEXMATCH(TRIM(I1579), ""^\d+\s*min""), ""Unclassified"", IF(I1579 = """", ""NR"", I1579))"),"TV-MA")</f>
        <v>TV-MA</v>
      </c>
      <c r="R1579" s="5" t="str">
        <f t="shared" si="2"/>
        <v>Emicida: Amarelo - It’S All For Yesterday</v>
      </c>
      <c r="S1579" s="5" t="str">
        <f>IFERROR(__xludf.DUMMYFUNCTION("""COMPUTED_VALUE"""),"Class Of '61")</f>
        <v>Class Of '61</v>
      </c>
      <c r="U1579" s="5" t="str">
        <f>IFERROR(__xludf.DUMMYFUNCTION("""COMPUTED_VALUE"""),"Lynn Novick")</f>
        <v>Lynn Novick</v>
      </c>
      <c r="V1579" s="5" t="s">
        <v>7143</v>
      </c>
      <c r="W1579" s="5" t="str">
        <f t="shared" si="3"/>
        <v>Helena Coan</v>
      </c>
      <c r="X1579" s="5">
        <f t="shared" si="4"/>
        <v>1</v>
      </c>
      <c r="Y1579" s="5" t="str">
        <f>IFERROR(__xludf.DUMMYFUNCTION("REGEXEXTRACT(J1579, ""^\d+"")"),"90")</f>
        <v>90</v>
      </c>
      <c r="Z1579" s="5" t="str">
        <f>IFERROR(__xludf.DUMMYFUNCTION("REGEXEXTRACT(J1579, ""[A-Za-z ]+$"")")," min")</f>
        <v> min</v>
      </c>
      <c r="AA1579" s="5" t="str">
        <f>IFERROR(__xludf.DUMMYFUNCTION("IF(REGEXMATCH(Z1579, ""Season""), ""TV Show"", ""Movie"")"),"Movie")</f>
        <v>Movie</v>
      </c>
    </row>
    <row r="1580">
      <c r="A1580" s="1" t="s">
        <v>9231</v>
      </c>
      <c r="B1580" s="1" t="s">
        <v>37</v>
      </c>
      <c r="C1580" s="1" t="s">
        <v>9232</v>
      </c>
      <c r="E1580" s="1" t="s">
        <v>9233</v>
      </c>
      <c r="F1580" s="1" t="s">
        <v>9234</v>
      </c>
      <c r="G1580" s="1" t="s">
        <v>9220</v>
      </c>
      <c r="H1580" s="1">
        <v>2019.0</v>
      </c>
      <c r="I1580" s="1" t="s">
        <v>136</v>
      </c>
      <c r="J1580" s="1" t="s">
        <v>51</v>
      </c>
      <c r="K1580" s="1" t="s">
        <v>1907</v>
      </c>
      <c r="L1580" s="1" t="s">
        <v>9235</v>
      </c>
      <c r="M1580" s="2" t="s">
        <v>12</v>
      </c>
      <c r="N1580" s="4">
        <f t="shared" si="1"/>
        <v>44173</v>
      </c>
      <c r="O1580" s="5" t="str">
        <f>IFERROR(__xludf.DUMMYFUNCTION("IF(REGEXMATCH(TRIM(I1580), ""^\d+\s*min""), ""Unclassified"", IF(I1580 = """", ""NR"", I1580))"),"TV-PG")</f>
        <v>TV-PG</v>
      </c>
      <c r="R1580" s="5" t="str">
        <f t="shared" si="2"/>
        <v>Juman</v>
      </c>
      <c r="S1580" s="5" t="str">
        <f>IFERROR(__xludf.DUMMYFUNCTION("""COMPUTED_VALUE"""),"Class Of '83")</f>
        <v>Class Of '83</v>
      </c>
      <c r="U1580" s="5" t="str">
        <f>IFERROR(__xludf.DUMMYFUNCTION("""COMPUTED_VALUE"""),"Navjot Gulati")</f>
        <v>Navjot Gulati</v>
      </c>
      <c r="V1580" s="5" t="s">
        <v>7114</v>
      </c>
      <c r="W1580" s="5" t="str">
        <f t="shared" si="3"/>
        <v>Hemambar Jasti</v>
      </c>
      <c r="X1580" s="5">
        <f t="shared" si="4"/>
        <v>1</v>
      </c>
      <c r="Y1580" s="5" t="str">
        <f>IFERROR(__xludf.DUMMYFUNCTION("REGEXEXTRACT(J1580, ""^\d+"")"),"1")</f>
        <v>1</v>
      </c>
      <c r="Z1580" s="5" t="str">
        <f>IFERROR(__xludf.DUMMYFUNCTION("REGEXEXTRACT(J1580, ""[A-Za-z ]+$"")")," Season")</f>
        <v> Season</v>
      </c>
      <c r="AA1580" s="5" t="str">
        <f>IFERROR(__xludf.DUMMYFUNCTION("IF(REGEXMATCH(Z1580, ""Season""), ""TV Show"", ""Movie"")"),"TV Show")</f>
        <v>TV Show</v>
      </c>
    </row>
    <row r="1581">
      <c r="A1581" s="1" t="s">
        <v>9236</v>
      </c>
      <c r="B1581" s="1" t="s">
        <v>37</v>
      </c>
      <c r="C1581" s="1" t="s">
        <v>9237</v>
      </c>
      <c r="E1581" s="1" t="s">
        <v>9238</v>
      </c>
      <c r="F1581" s="1" t="s">
        <v>30</v>
      </c>
      <c r="G1581" s="1" t="s">
        <v>9220</v>
      </c>
      <c r="H1581" s="1">
        <v>2020.0</v>
      </c>
      <c r="I1581" s="1" t="s">
        <v>97</v>
      </c>
      <c r="J1581" s="1" t="s">
        <v>276</v>
      </c>
      <c r="K1581" s="1" t="s">
        <v>7987</v>
      </c>
      <c r="L1581" s="1" t="s">
        <v>9239</v>
      </c>
      <c r="M1581" s="2" t="s">
        <v>12</v>
      </c>
      <c r="N1581" s="4">
        <f t="shared" si="1"/>
        <v>44173</v>
      </c>
      <c r="O1581" s="5" t="str">
        <f>IFERROR(__xludf.DUMMYFUNCTION("IF(REGEXMATCH(TRIM(I1581), ""^\d+\s*min""), ""Unclassified"", IF(I1581 = """", ""NR"", I1581))"),"TV-14")</f>
        <v>TV-14</v>
      </c>
      <c r="R1581" s="5" t="str">
        <f t="shared" si="2"/>
        <v>Mr. Iglesias</v>
      </c>
      <c r="S1581" s="5" t="str">
        <f>IFERROR(__xludf.DUMMYFUNCTION("""COMPUTED_VALUE"""),"Class Rank")</f>
        <v>Class Rank</v>
      </c>
      <c r="U1581" s="5" t="str">
        <f>IFERROR(__xludf.DUMMYFUNCTION("""COMPUTED_VALUE"""),"Stephanie Zwane")</f>
        <v>Stephanie Zwane</v>
      </c>
      <c r="V1581" s="5" t="s">
        <v>9240</v>
      </c>
      <c r="W1581" s="5" t="str">
        <f t="shared" si="3"/>
        <v>Hemant Gaba, Pratim D. Gupta, Sudhish Kamath, Nalan Kumarasamy, Anu Menon, Sandeep Mohan, Qaushiq Mukherjee, Rajshree Ojha, Raja Sen, Abhinav Shiv Tiwari, Suparn Verma</v>
      </c>
      <c r="X1581" s="5">
        <f t="shared" si="4"/>
        <v>1</v>
      </c>
      <c r="Y1581" s="5" t="str">
        <f>IFERROR(__xludf.DUMMYFUNCTION("REGEXEXTRACT(J1581, ""^\d+"")"),"3")</f>
        <v>3</v>
      </c>
      <c r="Z1581" s="5" t="str">
        <f>IFERROR(__xludf.DUMMYFUNCTION("REGEXEXTRACT(J1581, ""[A-Za-z ]+$"")")," Seasons")</f>
        <v> Seasons</v>
      </c>
      <c r="AA1581" s="5" t="str">
        <f>IFERROR(__xludf.DUMMYFUNCTION("IF(REGEXMATCH(Z1581, ""Season""), ""TV Show"", ""Movie"")"),"TV Show")</f>
        <v>TV Show</v>
      </c>
    </row>
    <row r="1582">
      <c r="A1582" s="1" t="s">
        <v>9241</v>
      </c>
      <c r="B1582" s="1" t="s">
        <v>27</v>
      </c>
      <c r="C1582" s="1" t="s">
        <v>9242</v>
      </c>
      <c r="D1582" s="1" t="s">
        <v>3323</v>
      </c>
      <c r="E1582" s="1" t="s">
        <v>9243</v>
      </c>
      <c r="F1582" s="1" t="s">
        <v>30</v>
      </c>
      <c r="G1582" s="1" t="s">
        <v>9220</v>
      </c>
      <c r="H1582" s="1">
        <v>2020.0</v>
      </c>
      <c r="I1582" s="1" t="s">
        <v>289</v>
      </c>
      <c r="J1582" s="1" t="s">
        <v>6391</v>
      </c>
      <c r="K1582" s="1" t="s">
        <v>80</v>
      </c>
      <c r="L1582" s="1" t="s">
        <v>9244</v>
      </c>
      <c r="M1582" s="2" t="s">
        <v>12</v>
      </c>
      <c r="N1582" s="4">
        <f t="shared" si="1"/>
        <v>44173</v>
      </c>
      <c r="O1582" s="5" t="str">
        <f>IFERROR(__xludf.DUMMYFUNCTION("IF(REGEXMATCH(TRIM(I1582), ""^\d+\s*min""), ""Unclassified"", IF(I1582 = """", ""NR"", I1582))"),"TV-Y7")</f>
        <v>TV-Y7</v>
      </c>
      <c r="R1582" s="5" t="str">
        <f t="shared" si="2"/>
        <v>Spirit Riding Free: Ride Along Adventure</v>
      </c>
      <c r="S1582" s="5" t="str">
        <f>IFERROR(__xludf.DUMMYFUNCTION("""COMPUTED_VALUE"""),"Classic Legends")</f>
        <v>Classic Legends</v>
      </c>
      <c r="U1582" s="5" t="str">
        <f>IFERROR(__xludf.DUMMYFUNCTION("""COMPUTED_VALUE"""),"Owen Trevor")</f>
        <v>Owen Trevor</v>
      </c>
      <c r="V1582" s="5" t="s">
        <v>7860</v>
      </c>
      <c r="W1582" s="5" t="str">
        <f t="shared" si="3"/>
        <v>Henri Wong</v>
      </c>
      <c r="X1582" s="5">
        <f t="shared" si="4"/>
        <v>1</v>
      </c>
      <c r="Y1582" s="5" t="str">
        <f>IFERROR(__xludf.DUMMYFUNCTION("REGEXEXTRACT(J1582, ""^\d+"")"),"79")</f>
        <v>79</v>
      </c>
      <c r="Z1582" s="5" t="str">
        <f>IFERROR(__xludf.DUMMYFUNCTION("REGEXEXTRACT(J1582, ""[A-Za-z ]+$"")")," min")</f>
        <v> min</v>
      </c>
      <c r="AA1582" s="5" t="str">
        <f>IFERROR(__xludf.DUMMYFUNCTION("IF(REGEXMATCH(Z1582, ""Season""), ""TV Show"", ""Movie"")"),"Movie")</f>
        <v>Movie</v>
      </c>
    </row>
    <row r="1583">
      <c r="A1583" s="1" t="s">
        <v>9245</v>
      </c>
      <c r="B1583" s="1" t="s">
        <v>27</v>
      </c>
      <c r="C1583" s="1" t="s">
        <v>9246</v>
      </c>
      <c r="D1583" s="1" t="s">
        <v>4933</v>
      </c>
      <c r="E1583" s="1" t="s">
        <v>9247</v>
      </c>
      <c r="G1583" s="1" t="s">
        <v>9220</v>
      </c>
      <c r="H1583" s="1">
        <v>2020.0</v>
      </c>
      <c r="I1583" s="1" t="s">
        <v>206</v>
      </c>
      <c r="J1583" s="1" t="s">
        <v>7058</v>
      </c>
      <c r="K1583" s="1" t="s">
        <v>80</v>
      </c>
      <c r="L1583" s="1" t="s">
        <v>9248</v>
      </c>
      <c r="M1583" s="2" t="s">
        <v>12</v>
      </c>
      <c r="N1583" s="4">
        <f t="shared" si="1"/>
        <v>44173</v>
      </c>
      <c r="O1583" s="5" t="str">
        <f>IFERROR(__xludf.DUMMYFUNCTION("IF(REGEXMATCH(TRIM(I1583), ""^\d+\s*min""), ""Unclassified"", IF(I1583 = """", ""NR"", I1583))"),"TV-Y")</f>
        <v>TV-Y</v>
      </c>
      <c r="R1583" s="5" t="str">
        <f t="shared" si="2"/>
        <v>Super Monsters: Santa’S Super Monster Helpers</v>
      </c>
      <c r="S1583" s="5" t="str">
        <f>IFERROR(__xludf.DUMMYFUNCTION("""COMPUTED_VALUE"""),"Classmates Minus")</f>
        <v>Classmates Minus</v>
      </c>
      <c r="U1583" s="5" t="str">
        <f>IFERROR(__xludf.DUMMYFUNCTION("""COMPUTED_VALUE"""),"Stephanie Turner")</f>
        <v>Stephanie Turner</v>
      </c>
      <c r="V1583" s="5" t="s">
        <v>9249</v>
      </c>
      <c r="W1583" s="5" t="str">
        <f t="shared" si="3"/>
        <v>Henrik Martin Dahlsbakken</v>
      </c>
      <c r="X1583" s="5">
        <f t="shared" si="4"/>
        <v>1</v>
      </c>
      <c r="Y1583" s="5" t="str">
        <f>IFERROR(__xludf.DUMMYFUNCTION("REGEXEXTRACT(J1583, ""^\d+"")"),"24")</f>
        <v>24</v>
      </c>
      <c r="Z1583" s="5" t="str">
        <f>IFERROR(__xludf.DUMMYFUNCTION("REGEXEXTRACT(J1583, ""[A-Za-z ]+$"")")," min")</f>
        <v> min</v>
      </c>
      <c r="AA1583" s="5" t="str">
        <f>IFERROR(__xludf.DUMMYFUNCTION("IF(REGEXMATCH(Z1583, ""Season""), ""TV Show"", ""Movie"")"),"Movie")</f>
        <v>Movie</v>
      </c>
    </row>
    <row r="1584">
      <c r="A1584" s="1" t="s">
        <v>9250</v>
      </c>
      <c r="B1584" s="1" t="s">
        <v>27</v>
      </c>
      <c r="C1584" s="1" t="s">
        <v>9251</v>
      </c>
      <c r="D1584" s="1" t="s">
        <v>6843</v>
      </c>
      <c r="E1584" s="1" t="s">
        <v>9252</v>
      </c>
      <c r="F1584" s="1" t="s">
        <v>30</v>
      </c>
      <c r="G1584" s="1" t="s">
        <v>9220</v>
      </c>
      <c r="H1584" s="1">
        <v>2016.0</v>
      </c>
      <c r="I1584" s="1" t="s">
        <v>378</v>
      </c>
      <c r="J1584" s="1" t="s">
        <v>379</v>
      </c>
      <c r="K1584" s="1" t="s">
        <v>394</v>
      </c>
      <c r="L1584" s="1" t="s">
        <v>9253</v>
      </c>
      <c r="M1584" s="2" t="s">
        <v>12</v>
      </c>
      <c r="N1584" s="4">
        <f t="shared" si="1"/>
        <v>44173</v>
      </c>
      <c r="O1584" s="5" t="str">
        <f>IFERROR(__xludf.DUMMYFUNCTION("IF(REGEXMATCH(TRIM(I1584), ""^\d+\s*min""), ""Unclassified"", IF(I1584 = """", ""NR"", I1584))"),"R")</f>
        <v>R</v>
      </c>
      <c r="R1584" s="5" t="str">
        <f t="shared" si="2"/>
        <v>Triple 9</v>
      </c>
      <c r="S1584" s="5" t="str">
        <f>IFERROR(__xludf.DUMMYFUNCTION("""COMPUTED_VALUE"""),"Clear And Present Danger")</f>
        <v>Clear And Present Danger</v>
      </c>
      <c r="U1584" s="5" t="str">
        <f>IFERROR(__xludf.DUMMYFUNCTION("""COMPUTED_VALUE"""),"Liz Garbus")</f>
        <v>Liz Garbus</v>
      </c>
      <c r="V1584" s="5" t="s">
        <v>9254</v>
      </c>
      <c r="W1584" s="5" t="str">
        <f t="shared" si="3"/>
        <v>Henrik Ruben Genz</v>
      </c>
      <c r="X1584" s="5">
        <f t="shared" si="4"/>
        <v>1</v>
      </c>
      <c r="Y1584" s="5" t="str">
        <f>IFERROR(__xludf.DUMMYFUNCTION("REGEXEXTRACT(J1584, ""^\d+"")"),"115")</f>
        <v>115</v>
      </c>
      <c r="Z1584" s="5" t="str">
        <f>IFERROR(__xludf.DUMMYFUNCTION("REGEXEXTRACT(J1584, ""[A-Za-z ]+$"")")," min")</f>
        <v> min</v>
      </c>
      <c r="AA1584" s="5" t="str">
        <f>IFERROR(__xludf.DUMMYFUNCTION("IF(REGEXMATCH(Z1584, ""Season""), ""TV Show"", ""Movie"")"),"Movie")</f>
        <v>Movie</v>
      </c>
    </row>
    <row r="1585">
      <c r="A1585" s="1" t="s">
        <v>9255</v>
      </c>
      <c r="B1585" s="1" t="s">
        <v>37</v>
      </c>
      <c r="C1585" s="1" t="s">
        <v>9256</v>
      </c>
      <c r="E1585" s="1" t="s">
        <v>9257</v>
      </c>
      <c r="F1585" s="1" t="s">
        <v>749</v>
      </c>
      <c r="G1585" s="1" t="s">
        <v>9258</v>
      </c>
      <c r="H1585" s="1">
        <v>2018.0</v>
      </c>
      <c r="I1585" s="1" t="s">
        <v>97</v>
      </c>
      <c r="J1585" s="1" t="s">
        <v>51</v>
      </c>
      <c r="K1585" s="1" t="s">
        <v>1907</v>
      </c>
      <c r="L1585" s="1" t="s">
        <v>9259</v>
      </c>
      <c r="M1585" s="2" t="s">
        <v>12</v>
      </c>
      <c r="N1585" s="4">
        <f t="shared" si="1"/>
        <v>44172</v>
      </c>
      <c r="O1585" s="5" t="str">
        <f>IFERROR(__xludf.DUMMYFUNCTION("IF(REGEXMATCH(TRIM(I1585), ""^\d+\s*min""), ""Unclassified"", IF(I1585 = """", ""NR"", I1585))"),"TV-14")</f>
        <v>TV-14</v>
      </c>
      <c r="R1585" s="5" t="str">
        <f t="shared" si="2"/>
        <v>100 Days My Prince</v>
      </c>
      <c r="S1585" s="5" t="str">
        <f>IFERROR(__xludf.DUMMYFUNCTION("""COMPUTED_VALUE"""),"Cleo &amp; Cuquin")</f>
        <v>Cleo &amp; Cuquin</v>
      </c>
      <c r="U1585" s="5" t="str">
        <f>IFERROR(__xludf.DUMMYFUNCTION("""COMPUTED_VALUE"""),"Mehmet Ada Öztekin")</f>
        <v>Mehmet Ada Öztekin</v>
      </c>
      <c r="V1585" s="5" t="s">
        <v>9260</v>
      </c>
      <c r="W1585" s="5" t="str">
        <f t="shared" si="3"/>
        <v>Henry Hathaway</v>
      </c>
      <c r="X1585" s="5">
        <f t="shared" si="4"/>
        <v>1</v>
      </c>
      <c r="Y1585" s="5" t="str">
        <f>IFERROR(__xludf.DUMMYFUNCTION("REGEXEXTRACT(J1585, ""^\d+"")"),"1")</f>
        <v>1</v>
      </c>
      <c r="Z1585" s="5" t="str">
        <f>IFERROR(__xludf.DUMMYFUNCTION("REGEXEXTRACT(J1585, ""[A-Za-z ]+$"")")," Season")</f>
        <v> Season</v>
      </c>
      <c r="AA1585" s="5" t="str">
        <f>IFERROR(__xludf.DUMMYFUNCTION("IF(REGEXMATCH(Z1585, ""Season""), ""TV Show"", ""Movie"")"),"TV Show")</f>
        <v>TV Show</v>
      </c>
    </row>
    <row r="1586">
      <c r="A1586" s="1" t="s">
        <v>9261</v>
      </c>
      <c r="B1586" s="1" t="s">
        <v>27</v>
      </c>
      <c r="C1586" s="1" t="s">
        <v>9262</v>
      </c>
      <c r="D1586" s="1" t="s">
        <v>7084</v>
      </c>
      <c r="E1586" s="1" t="s">
        <v>9263</v>
      </c>
      <c r="F1586" s="1" t="s">
        <v>30</v>
      </c>
      <c r="G1586" s="1" t="s">
        <v>9258</v>
      </c>
      <c r="H1586" s="1">
        <v>2020.0</v>
      </c>
      <c r="I1586" s="1" t="s">
        <v>378</v>
      </c>
      <c r="J1586" s="1" t="s">
        <v>247</v>
      </c>
      <c r="K1586" s="1" t="s">
        <v>323</v>
      </c>
      <c r="L1586" s="1" t="s">
        <v>9264</v>
      </c>
      <c r="M1586" s="2" t="s">
        <v>12</v>
      </c>
      <c r="N1586" s="4">
        <f t="shared" si="1"/>
        <v>44172</v>
      </c>
      <c r="O1586" s="5" t="str">
        <f>IFERROR(__xludf.DUMMYFUNCTION("IF(REGEXMATCH(TRIM(I1586), ""^\d+\s*min""), ""Unclassified"", IF(I1586 = """", ""NR"", I1586))"),"R")</f>
        <v>R</v>
      </c>
      <c r="R1586" s="5" t="str">
        <f t="shared" si="2"/>
        <v>Ava</v>
      </c>
      <c r="S1586" s="5" t="str">
        <f>IFERROR(__xludf.DUMMYFUNCTION("""COMPUTED_VALUE"""),"Cleopatra Jones")</f>
        <v>Cleopatra Jones</v>
      </c>
      <c r="U1586" s="5" t="str">
        <f>IFERROR(__xludf.DUMMYFUNCTION("""COMPUTED_VALUE"""),"Jos Humphrey")</f>
        <v>Jos Humphrey</v>
      </c>
      <c r="V1586" s="5" t="s">
        <v>9265</v>
      </c>
      <c r="W1586" s="5" t="str">
        <f t="shared" si="3"/>
        <v>Henry Joost, Ariel Schulman</v>
      </c>
      <c r="X1586" s="5">
        <f t="shared" si="4"/>
        <v>1</v>
      </c>
      <c r="Y1586" s="5" t="str">
        <f>IFERROR(__xludf.DUMMYFUNCTION("REGEXEXTRACT(J1586, ""^\d+"")"),"97")</f>
        <v>97</v>
      </c>
      <c r="Z1586" s="5" t="str">
        <f>IFERROR(__xludf.DUMMYFUNCTION("REGEXEXTRACT(J1586, ""[A-Za-z ]+$"")")," min")</f>
        <v> min</v>
      </c>
      <c r="AA1586" s="5" t="str">
        <f>IFERROR(__xludf.DUMMYFUNCTION("IF(REGEXMATCH(Z1586, ""Season""), ""TV Show"", ""Movie"")"),"Movie")</f>
        <v>Movie</v>
      </c>
    </row>
    <row r="1587">
      <c r="A1587" s="1" t="s">
        <v>9266</v>
      </c>
      <c r="B1587" s="1" t="s">
        <v>37</v>
      </c>
      <c r="C1587" s="1" t="s">
        <v>9267</v>
      </c>
      <c r="E1587" s="1" t="s">
        <v>9268</v>
      </c>
      <c r="G1587" s="1" t="s">
        <v>9258</v>
      </c>
      <c r="H1587" s="1">
        <v>2020.0</v>
      </c>
      <c r="I1587" s="1" t="s">
        <v>97</v>
      </c>
      <c r="J1587" s="1" t="s">
        <v>51</v>
      </c>
      <c r="K1587" s="1" t="s">
        <v>1510</v>
      </c>
      <c r="L1587" s="1" t="s">
        <v>9269</v>
      </c>
      <c r="M1587" s="2" t="s">
        <v>12</v>
      </c>
      <c r="N1587" s="4">
        <f t="shared" si="1"/>
        <v>44172</v>
      </c>
      <c r="O1587" s="5" t="str">
        <f>IFERROR(__xludf.DUMMYFUNCTION("IF(REGEXMATCH(TRIM(I1587), ""^\d+\s*min""), ""Unclassified"", IF(I1587 = """", ""NR"", I1587))"),"TV-14")</f>
        <v>TV-14</v>
      </c>
      <c r="R1587" s="5" t="str">
        <f t="shared" si="2"/>
        <v>Manhunt: Deadly Games</v>
      </c>
      <c r="S1587" s="5" t="str">
        <f>IFERROR(__xludf.DUMMYFUNCTION("""COMPUTED_VALUE"""),"Cleverman")</f>
        <v>Cleverman</v>
      </c>
      <c r="U1587" s="5" t="str">
        <f>IFERROR(__xludf.DUMMYFUNCTION("""COMPUTED_VALUE"""),"Sharmeen Obaid-Chinoy")</f>
        <v>Sharmeen Obaid-Chinoy</v>
      </c>
      <c r="V1587" s="5" t="s">
        <v>9270</v>
      </c>
      <c r="W1587" s="5" t="str">
        <f t="shared" si="3"/>
        <v>Henry Sarwer-Foner</v>
      </c>
      <c r="X1587" s="5">
        <f t="shared" si="4"/>
        <v>1</v>
      </c>
      <c r="Y1587" s="5" t="str">
        <f>IFERROR(__xludf.DUMMYFUNCTION("REGEXEXTRACT(J1587, ""^\d+"")"),"1")</f>
        <v>1</v>
      </c>
      <c r="Z1587" s="5" t="str">
        <f>IFERROR(__xludf.DUMMYFUNCTION("REGEXEXTRACT(J1587, ""[A-Za-z ]+$"")")," Season")</f>
        <v> Season</v>
      </c>
      <c r="AA1587" s="5" t="str">
        <f>IFERROR(__xludf.DUMMYFUNCTION("IF(REGEXMATCH(Z1587, ""Season""), ""TV Show"", ""Movie"")"),"TV Show")</f>
        <v>TV Show</v>
      </c>
    </row>
    <row r="1588">
      <c r="A1588" s="1" t="s">
        <v>9271</v>
      </c>
      <c r="B1588" s="1" t="s">
        <v>37</v>
      </c>
      <c r="C1588" s="1" t="s">
        <v>9272</v>
      </c>
      <c r="D1588" s="1" t="s">
        <v>9273</v>
      </c>
      <c r="F1588" s="1" t="s">
        <v>664</v>
      </c>
      <c r="G1588" s="1" t="s">
        <v>9258</v>
      </c>
      <c r="H1588" s="1">
        <v>2020.0</v>
      </c>
      <c r="I1588" s="1" t="s">
        <v>42</v>
      </c>
      <c r="J1588" s="1" t="s">
        <v>51</v>
      </c>
      <c r="K1588" s="1" t="s">
        <v>112</v>
      </c>
      <c r="L1588" s="1" t="s">
        <v>9274</v>
      </c>
      <c r="M1588" s="2" t="s">
        <v>12</v>
      </c>
      <c r="N1588" s="4">
        <f t="shared" si="1"/>
        <v>44172</v>
      </c>
      <c r="O1588" s="5" t="str">
        <f>IFERROR(__xludf.DUMMYFUNCTION("IF(REGEXMATCH(TRIM(I1588), ""^\d+\s*min""), ""Unclassified"", IF(I1588 = """", ""NR"", I1588))"),"TV-MA")</f>
        <v>TV-MA</v>
      </c>
      <c r="R1588" s="5" t="str">
        <f t="shared" si="2"/>
        <v>Room 2806: The Accusation</v>
      </c>
      <c r="S1588" s="5" t="str">
        <f>IFERROR(__xludf.DUMMYFUNCTION("""COMPUTED_VALUE"""),"Click")</f>
        <v>Click</v>
      </c>
      <c r="U1588" s="5" t="str">
        <f>IFERROR(__xludf.DUMMYFUNCTION("""COMPUTED_VALUE"""),"Toyin Abraham")</f>
        <v>Toyin Abraham</v>
      </c>
      <c r="V1588" s="5" t="s">
        <v>9275</v>
      </c>
      <c r="W1588" s="5" t="str">
        <f t="shared" si="3"/>
        <v>Henry Selick</v>
      </c>
      <c r="X1588" s="5">
        <f t="shared" si="4"/>
        <v>1</v>
      </c>
      <c r="Y1588" s="5" t="str">
        <f>IFERROR(__xludf.DUMMYFUNCTION("REGEXEXTRACT(J1588, ""^\d+"")"),"1")</f>
        <v>1</v>
      </c>
      <c r="Z1588" s="5" t="str">
        <f>IFERROR(__xludf.DUMMYFUNCTION("REGEXEXTRACT(J1588, ""[A-Za-z ]+$"")")," Season")</f>
        <v> Season</v>
      </c>
      <c r="AA1588" s="5" t="str">
        <f>IFERROR(__xludf.DUMMYFUNCTION("IF(REGEXMATCH(Z1588, ""Season""), ""TV Show"", ""Movie"")"),"TV Show")</f>
        <v>TV Show</v>
      </c>
    </row>
    <row r="1589">
      <c r="A1589" s="1" t="s">
        <v>9276</v>
      </c>
      <c r="B1589" s="1" t="s">
        <v>37</v>
      </c>
      <c r="C1589" s="1" t="s">
        <v>9277</v>
      </c>
      <c r="D1589" s="1" t="s">
        <v>9278</v>
      </c>
      <c r="E1589" s="1" t="s">
        <v>9279</v>
      </c>
      <c r="F1589" s="1" t="s">
        <v>2059</v>
      </c>
      <c r="G1589" s="1" t="s">
        <v>9280</v>
      </c>
      <c r="H1589" s="1">
        <v>2020.0</v>
      </c>
      <c r="I1589" s="1" t="s">
        <v>42</v>
      </c>
      <c r="J1589" s="1" t="s">
        <v>51</v>
      </c>
      <c r="K1589" s="1" t="s">
        <v>9281</v>
      </c>
      <c r="L1589" s="1" t="s">
        <v>9282</v>
      </c>
      <c r="M1589" s="2" t="s">
        <v>12</v>
      </c>
      <c r="N1589" s="4">
        <f t="shared" si="1"/>
        <v>44170</v>
      </c>
      <c r="O1589" s="5" t="str">
        <f>IFERROR(__xludf.DUMMYFUNCTION("IF(REGEXMATCH(TRIM(I1589), ""^\d+\s*min""), ""Unclassified"", IF(I1589 = """", ""NR"", I1589))"),"TV-MA")</f>
        <v>TV-MA</v>
      </c>
      <c r="R1589" s="5" t="str">
        <f t="shared" si="2"/>
        <v>Detention</v>
      </c>
      <c r="S1589" s="5" t="str">
        <f>IFERROR(__xludf.DUMMYFUNCTION("""COMPUTED_VALUE"""),"Click For Murder")</f>
        <v>Click For Murder</v>
      </c>
      <c r="U1589" s="5" t="str">
        <f>IFERROR(__xludf.DUMMYFUNCTION("""COMPUTED_VALUE"""),"Ruchi Narain")</f>
        <v>Ruchi Narain</v>
      </c>
      <c r="V1589" s="5" t="s">
        <v>9283</v>
      </c>
      <c r="W1589" s="5" t="str">
        <f t="shared" si="3"/>
        <v>Hepi Mita</v>
      </c>
      <c r="X1589" s="5">
        <f t="shared" si="4"/>
        <v>1</v>
      </c>
      <c r="Y1589" s="5" t="str">
        <f>IFERROR(__xludf.DUMMYFUNCTION("REGEXEXTRACT(J1589, ""^\d+"")"),"1")</f>
        <v>1</v>
      </c>
      <c r="Z1589" s="5" t="str">
        <f>IFERROR(__xludf.DUMMYFUNCTION("REGEXEXTRACT(J1589, ""[A-Za-z ]+$"")")," Season")</f>
        <v> Season</v>
      </c>
      <c r="AA1589" s="5" t="str">
        <f>IFERROR(__xludf.DUMMYFUNCTION("IF(REGEXMATCH(Z1589, ""Season""), ""TV Show"", ""Movie"")"),"TV Show")</f>
        <v>TV Show</v>
      </c>
    </row>
    <row r="1590">
      <c r="A1590" s="1" t="s">
        <v>9284</v>
      </c>
      <c r="B1590" s="1" t="s">
        <v>27</v>
      </c>
      <c r="C1590" s="1" t="s">
        <v>9285</v>
      </c>
      <c r="D1590" s="1" t="s">
        <v>5089</v>
      </c>
      <c r="E1590" s="1" t="s">
        <v>9286</v>
      </c>
      <c r="F1590" s="1" t="s">
        <v>1106</v>
      </c>
      <c r="G1590" s="1" t="s">
        <v>9280</v>
      </c>
      <c r="H1590" s="1">
        <v>2020.0</v>
      </c>
      <c r="I1590" s="1" t="s">
        <v>206</v>
      </c>
      <c r="J1590" s="1" t="s">
        <v>9287</v>
      </c>
      <c r="K1590" s="1" t="s">
        <v>80</v>
      </c>
      <c r="L1590" s="1" t="s">
        <v>9288</v>
      </c>
      <c r="M1590" s="2" t="s">
        <v>12</v>
      </c>
      <c r="N1590" s="4">
        <f t="shared" si="1"/>
        <v>44170</v>
      </c>
      <c r="O1590" s="5" t="str">
        <f>IFERROR(__xludf.DUMMYFUNCTION("IF(REGEXMATCH(TRIM(I1590), ""^\d+\s*min""), ""Unclassified"", IF(I1590 = """", ""NR"", I1590))"),"TV-Y")</f>
        <v>TV-Y</v>
      </c>
      <c r="R1590" s="5" t="str">
        <f t="shared" si="2"/>
        <v>Mighty Express: A Mighty Christmas</v>
      </c>
      <c r="S1590" s="5" t="str">
        <f>IFERROR(__xludf.DUMMYFUNCTION("""COMPUTED_VALUE"""),"Clickbait")</f>
        <v>Clickbait</v>
      </c>
      <c r="U1590" s="5" t="str">
        <f>IFERROR(__xludf.DUMMYFUNCTION("""COMPUTED_VALUE"""),"Christophe Charrier")</f>
        <v>Christophe Charrier</v>
      </c>
      <c r="V1590" s="5" t="s">
        <v>9289</v>
      </c>
      <c r="W1590" s="5" t="str">
        <f t="shared" si="3"/>
        <v>Herman Yau</v>
      </c>
      <c r="X1590" s="5">
        <f t="shared" si="4"/>
        <v>2</v>
      </c>
      <c r="Y1590" s="5" t="str">
        <f>IFERROR(__xludf.DUMMYFUNCTION("REGEXEXTRACT(J1590, ""^\d+"")"),"26")</f>
        <v>26</v>
      </c>
      <c r="Z1590" s="5" t="str">
        <f>IFERROR(__xludf.DUMMYFUNCTION("REGEXEXTRACT(J1590, ""[A-Za-z ]+$"")")," min")</f>
        <v> min</v>
      </c>
      <c r="AA1590" s="5" t="str">
        <f>IFERROR(__xludf.DUMMYFUNCTION("IF(REGEXMATCH(Z1590, ""Season""), ""TV Show"", ""Movie"")"),"Movie")</f>
        <v>Movie</v>
      </c>
    </row>
    <row r="1591">
      <c r="A1591" s="1" t="s">
        <v>9290</v>
      </c>
      <c r="B1591" s="1" t="s">
        <v>37</v>
      </c>
      <c r="C1591" s="1" t="s">
        <v>9291</v>
      </c>
      <c r="E1591" s="1" t="s">
        <v>9292</v>
      </c>
      <c r="F1591" s="1" t="s">
        <v>63</v>
      </c>
      <c r="G1591" s="1" t="s">
        <v>9293</v>
      </c>
      <c r="H1591" s="1">
        <v>2020.0</v>
      </c>
      <c r="I1591" s="1" t="s">
        <v>42</v>
      </c>
      <c r="J1591" s="1" t="s">
        <v>51</v>
      </c>
      <c r="K1591" s="1" t="s">
        <v>64</v>
      </c>
      <c r="L1591" s="1" t="s">
        <v>9294</v>
      </c>
      <c r="M1591" s="2" t="s">
        <v>12</v>
      </c>
      <c r="N1591" s="4">
        <f t="shared" si="1"/>
        <v>44169</v>
      </c>
      <c r="O1591" s="5" t="str">
        <f>IFERROR(__xludf.DUMMYFUNCTION("IF(REGEXMATCH(TRIM(I1591), ""^\d+\s*min""), ""Unclassified"", IF(I1591 = """", ""NR"", I1591))"),"TV-MA")</f>
        <v>TV-MA</v>
      </c>
      <c r="R1591" s="5" t="str">
        <f t="shared" si="2"/>
        <v>Bhaag Beanie Bhaag</v>
      </c>
      <c r="S1591" s="5" t="str">
        <f>IFERROR(__xludf.DUMMYFUNCTION("""COMPUTED_VALUE"""),"Cliffhanger")</f>
        <v>Cliffhanger</v>
      </c>
      <c r="U1591" s="5" t="str">
        <f>IFERROR(__xludf.DUMMYFUNCTION("""COMPUTED_VALUE"""),"Daniel Calparsoro")</f>
        <v>Daniel Calparsoro</v>
      </c>
      <c r="V1591" s="5" t="s">
        <v>9295</v>
      </c>
      <c r="W1591" s="5" t="str">
        <f t="shared" si="3"/>
        <v>Hernán Guerschuny</v>
      </c>
      <c r="X1591" s="5">
        <f t="shared" si="4"/>
        <v>1</v>
      </c>
      <c r="Y1591" s="5" t="str">
        <f>IFERROR(__xludf.DUMMYFUNCTION("REGEXEXTRACT(J1591, ""^\d+"")"),"1")</f>
        <v>1</v>
      </c>
      <c r="Z1591" s="5" t="str">
        <f>IFERROR(__xludf.DUMMYFUNCTION("REGEXEXTRACT(J1591, ""[A-Za-z ]+$"")")," Season")</f>
        <v> Season</v>
      </c>
      <c r="AA1591" s="5" t="str">
        <f>IFERROR(__xludf.DUMMYFUNCTION("IF(REGEXMATCH(Z1591, ""Season""), ""TV Show"", ""Movie"")"),"TV Show")</f>
        <v>TV Show</v>
      </c>
    </row>
    <row r="1592">
      <c r="A1592" s="1" t="s">
        <v>9296</v>
      </c>
      <c r="B1592" s="1" t="s">
        <v>37</v>
      </c>
      <c r="C1592" s="1" t="s">
        <v>9297</v>
      </c>
      <c r="E1592" s="1" t="s">
        <v>9298</v>
      </c>
      <c r="F1592" s="1" t="s">
        <v>30</v>
      </c>
      <c r="G1592" s="1" t="s">
        <v>9293</v>
      </c>
      <c r="H1592" s="1">
        <v>2020.0</v>
      </c>
      <c r="I1592" s="1" t="s">
        <v>42</v>
      </c>
      <c r="J1592" s="1" t="s">
        <v>148</v>
      </c>
      <c r="K1592" s="1" t="s">
        <v>270</v>
      </c>
      <c r="L1592" s="1" t="s">
        <v>9299</v>
      </c>
      <c r="M1592" s="2" t="s">
        <v>12</v>
      </c>
      <c r="N1592" s="4">
        <f t="shared" si="1"/>
        <v>44169</v>
      </c>
      <c r="O1592" s="5" t="str">
        <f>IFERROR(__xludf.DUMMYFUNCTION("IF(REGEXMATCH(TRIM(I1592), ""^\d+\s*min""), ""Unclassified"", IF(I1592 = """", ""NR"", I1592))"),"TV-MA")</f>
        <v>TV-MA</v>
      </c>
      <c r="R1592" s="5" t="str">
        <f t="shared" si="2"/>
        <v>Big Mouth</v>
      </c>
      <c r="S1592" s="5" t="str">
        <f>IFERROR(__xludf.DUMMYFUNCTION("""COMPUTED_VALUE"""),"Clinical")</f>
        <v>Clinical</v>
      </c>
      <c r="U1592" s="5" t="str">
        <f>IFERROR(__xludf.DUMMYFUNCTION("""COMPUTED_VALUE"""),"Trivikram Srinivas")</f>
        <v>Trivikram Srinivas</v>
      </c>
      <c r="V1592" s="5" t="s">
        <v>9300</v>
      </c>
      <c r="W1592" s="5" t="str">
        <f t="shared" si="3"/>
        <v>Hernán Zin</v>
      </c>
      <c r="X1592" s="5">
        <f t="shared" si="4"/>
        <v>4</v>
      </c>
      <c r="Y1592" s="5" t="str">
        <f>IFERROR(__xludf.DUMMYFUNCTION("REGEXEXTRACT(J1592, ""^\d+"")"),"4")</f>
        <v>4</v>
      </c>
      <c r="Z1592" s="5" t="str">
        <f>IFERROR(__xludf.DUMMYFUNCTION("REGEXEXTRACT(J1592, ""[A-Za-z ]+$"")")," Seasons")</f>
        <v> Seasons</v>
      </c>
      <c r="AA1592" s="5" t="str">
        <f>IFERROR(__xludf.DUMMYFUNCTION("IF(REGEXMATCH(Z1592, ""Season""), ""TV Show"", ""Movie"")"),"TV Show")</f>
        <v>TV Show</v>
      </c>
    </row>
    <row r="1593">
      <c r="A1593" s="1" t="s">
        <v>9301</v>
      </c>
      <c r="B1593" s="1" t="s">
        <v>27</v>
      </c>
      <c r="C1593" s="1" t="s">
        <v>9302</v>
      </c>
      <c r="D1593" s="1" t="s">
        <v>7243</v>
      </c>
      <c r="E1593" s="1" t="s">
        <v>9303</v>
      </c>
      <c r="F1593" s="1" t="s">
        <v>30</v>
      </c>
      <c r="G1593" s="1" t="s">
        <v>9293</v>
      </c>
      <c r="H1593" s="1">
        <v>2020.0</v>
      </c>
      <c r="I1593" s="1" t="s">
        <v>289</v>
      </c>
      <c r="J1593" s="1" t="s">
        <v>3060</v>
      </c>
      <c r="K1593" s="1" t="s">
        <v>137</v>
      </c>
      <c r="L1593" s="1" t="s">
        <v>9304</v>
      </c>
      <c r="M1593" s="2" t="s">
        <v>12</v>
      </c>
      <c r="N1593" s="4">
        <f t="shared" si="1"/>
        <v>44169</v>
      </c>
      <c r="O1593" s="5" t="str">
        <f>IFERROR(__xludf.DUMMYFUNCTION("IF(REGEXMATCH(TRIM(I1593), ""^\d+\s*min""), ""Unclassified"", IF(I1593 = """", ""NR"", I1593))"),"TV-Y7")</f>
        <v>TV-Y7</v>
      </c>
      <c r="R1593" s="5" t="str">
        <f t="shared" si="2"/>
        <v>Captain Underpants Mega Blissmas</v>
      </c>
      <c r="S1593" s="5" t="str">
        <f>IFERROR(__xludf.DUMMYFUNCTION("""COMPUTED_VALUE"""),"Clive Davis: The Soundtrack Of Our Lives")</f>
        <v>Clive Davis: The Soundtrack Of Our Lives</v>
      </c>
      <c r="U1593" s="5" t="str">
        <f>IFERROR(__xludf.DUMMYFUNCTION("""COMPUTED_VALUE"""),"Kittiphak Thonguam")</f>
        <v>Kittiphak Thonguam</v>
      </c>
      <c r="V1593" s="5" t="s">
        <v>9305</v>
      </c>
      <c r="W1593" s="5" t="str">
        <f t="shared" si="3"/>
        <v>Hideaki Anno</v>
      </c>
      <c r="X1593" s="5">
        <f t="shared" si="4"/>
        <v>1</v>
      </c>
      <c r="Y1593" s="5" t="str">
        <f>IFERROR(__xludf.DUMMYFUNCTION("REGEXEXTRACT(J1593, ""^\d+"")"),"46")</f>
        <v>46</v>
      </c>
      <c r="Z1593" s="5" t="str">
        <f>IFERROR(__xludf.DUMMYFUNCTION("REGEXEXTRACT(J1593, ""[A-Za-z ]+$"")")," min")</f>
        <v> min</v>
      </c>
      <c r="AA1593" s="5" t="str">
        <f>IFERROR(__xludf.DUMMYFUNCTION("IF(REGEXMATCH(Z1593, ""Season""), ""TV Show"", ""Movie"")"),"Movie")</f>
        <v>Movie</v>
      </c>
    </row>
    <row r="1594">
      <c r="A1594" s="1" t="s">
        <v>9306</v>
      </c>
      <c r="B1594" s="1" t="s">
        <v>27</v>
      </c>
      <c r="C1594" s="1" t="s">
        <v>9307</v>
      </c>
      <c r="D1594" s="1" t="s">
        <v>6407</v>
      </c>
      <c r="E1594" s="1" t="s">
        <v>9308</v>
      </c>
      <c r="F1594" s="1" t="s">
        <v>2492</v>
      </c>
      <c r="G1594" s="1" t="s">
        <v>9293</v>
      </c>
      <c r="H1594" s="1">
        <v>2020.0</v>
      </c>
      <c r="I1594" s="1" t="s">
        <v>42</v>
      </c>
      <c r="J1594" s="1" t="s">
        <v>256</v>
      </c>
      <c r="K1594" s="1" t="s">
        <v>9309</v>
      </c>
      <c r="L1594" s="1" t="s">
        <v>9310</v>
      </c>
      <c r="M1594" s="2" t="s">
        <v>12</v>
      </c>
      <c r="N1594" s="4">
        <f t="shared" si="1"/>
        <v>44169</v>
      </c>
      <c r="O1594" s="5" t="str">
        <f>IFERROR(__xludf.DUMMYFUNCTION("IF(REGEXMATCH(TRIM(I1594), ""^\d+\s*min""), ""Unclassified"", IF(I1594 = """", ""NR"", I1594))"),"TV-MA")</f>
        <v>TV-MA</v>
      </c>
      <c r="R1594" s="5" t="str">
        <f t="shared" si="2"/>
        <v>Christmas Crossfire</v>
      </c>
      <c r="S1594" s="5" t="str">
        <f>IFERROR(__xludf.DUMMYFUNCTION("""COMPUTED_VALUE"""),"Close")</f>
        <v>Close</v>
      </c>
      <c r="U1594" s="5" t="str">
        <f>IFERROR(__xludf.DUMMYFUNCTION("""COMPUTED_VALUE"""),"Cristi Puiu")</f>
        <v>Cristi Puiu</v>
      </c>
      <c r="V1594" s="5" t="s">
        <v>9311</v>
      </c>
      <c r="W1594" s="5" t="str">
        <f t="shared" si="3"/>
        <v>Hideaki Anno, Kazuya Tsurumaki</v>
      </c>
      <c r="X1594" s="5">
        <f t="shared" si="4"/>
        <v>1</v>
      </c>
      <c r="Y1594" s="5" t="str">
        <f>IFERROR(__xludf.DUMMYFUNCTION("REGEXEXTRACT(J1594, ""^\d+"")"),"106")</f>
        <v>106</v>
      </c>
      <c r="Z1594" s="5" t="str">
        <f>IFERROR(__xludf.DUMMYFUNCTION("REGEXEXTRACT(J1594, ""[A-Za-z ]+$"")")," min")</f>
        <v> min</v>
      </c>
      <c r="AA1594" s="5" t="str">
        <f>IFERROR(__xludf.DUMMYFUNCTION("IF(REGEXMATCH(Z1594, ""Season""), ""TV Show"", ""Movie"")"),"Movie")</f>
        <v>Movie</v>
      </c>
    </row>
    <row r="1595">
      <c r="A1595" s="1" t="s">
        <v>9312</v>
      </c>
      <c r="B1595" s="1" t="s">
        <v>37</v>
      </c>
      <c r="C1595" s="1" t="s">
        <v>9313</v>
      </c>
      <c r="E1595" s="1" t="s">
        <v>9314</v>
      </c>
      <c r="F1595" s="1" t="s">
        <v>40</v>
      </c>
      <c r="G1595" s="1" t="s">
        <v>9293</v>
      </c>
      <c r="H1595" s="1">
        <v>2020.0</v>
      </c>
      <c r="I1595" s="1" t="s">
        <v>42</v>
      </c>
      <c r="J1595" s="1" t="s">
        <v>51</v>
      </c>
      <c r="K1595" s="1" t="s">
        <v>1362</v>
      </c>
      <c r="L1595" s="1" t="s">
        <v>9315</v>
      </c>
      <c r="M1595" s="2" t="s">
        <v>12</v>
      </c>
      <c r="N1595" s="4">
        <f t="shared" si="1"/>
        <v>44169</v>
      </c>
      <c r="O1595" s="5" t="str">
        <f>IFERROR(__xludf.DUMMYFUNCTION("IF(REGEXMATCH(TRIM(I1595), ""^\d+\s*min""), ""Unclassified"", IF(I1595 = """", ""NR"", I1595))"),"TV-MA")</f>
        <v>TV-MA</v>
      </c>
      <c r="R1595" s="5" t="str">
        <f t="shared" si="2"/>
        <v>Kings Of Jo'Burg</v>
      </c>
      <c r="S1595" s="5" t="str">
        <f>IFERROR(__xludf.DUMMYFUNCTION("""COMPUTED_VALUE"""),"Close Enemies")</f>
        <v>Close Enemies</v>
      </c>
      <c r="U1595" s="5" t="str">
        <f>IFERROR(__xludf.DUMMYFUNCTION("""COMPUTED_VALUE"""),"Sebastian Jones, Ramez Silyan")</f>
        <v>Sebastian Jones, Ramez Silyan</v>
      </c>
      <c r="V1595" s="5" t="s">
        <v>1935</v>
      </c>
      <c r="W1595" s="5" t="str">
        <f t="shared" si="3"/>
        <v>Hideaki Takizawa</v>
      </c>
      <c r="X1595" s="5">
        <f t="shared" si="4"/>
        <v>1</v>
      </c>
      <c r="Y1595" s="5" t="str">
        <f>IFERROR(__xludf.DUMMYFUNCTION("REGEXEXTRACT(J1595, ""^\d+"")"),"1")</f>
        <v>1</v>
      </c>
      <c r="Z1595" s="5" t="str">
        <f>IFERROR(__xludf.DUMMYFUNCTION("REGEXEXTRACT(J1595, ""[A-Za-z ]+$"")")," Season")</f>
        <v> Season</v>
      </c>
      <c r="AA1595" s="5" t="str">
        <f>IFERROR(__xludf.DUMMYFUNCTION("IF(REGEXMATCH(Z1595, ""Season""), ""TV Show"", ""Movie"")"),"TV Show")</f>
        <v>TV Show</v>
      </c>
    </row>
    <row r="1596">
      <c r="A1596" s="1" t="s">
        <v>9316</v>
      </c>
      <c r="B1596" s="1" t="s">
        <v>27</v>
      </c>
      <c r="C1596" s="1" t="s">
        <v>9317</v>
      </c>
      <c r="E1596" s="1" t="s">
        <v>9318</v>
      </c>
      <c r="F1596" s="1" t="s">
        <v>188</v>
      </c>
      <c r="G1596" s="1" t="s">
        <v>9293</v>
      </c>
      <c r="H1596" s="1">
        <v>2020.0</v>
      </c>
      <c r="I1596" s="1" t="s">
        <v>42</v>
      </c>
      <c r="J1596" s="1" t="s">
        <v>519</v>
      </c>
      <c r="K1596" s="1" t="s">
        <v>199</v>
      </c>
      <c r="L1596" s="1" t="s">
        <v>9319</v>
      </c>
      <c r="M1596" s="2" t="s">
        <v>12</v>
      </c>
      <c r="N1596" s="4">
        <f t="shared" si="1"/>
        <v>44169</v>
      </c>
      <c r="O1596" s="5" t="str">
        <f>IFERROR(__xludf.DUMMYFUNCTION("IF(REGEXMATCH(TRIM(I1596), ""^\d+\s*min""), ""Unclassified"", IF(I1596 = """", ""NR"", I1596))"),"TV-MA")</f>
        <v>TV-MA</v>
      </c>
      <c r="R1596" s="5" t="str">
        <f t="shared" si="2"/>
        <v>Leyla Everlasting</v>
      </c>
      <c r="S1596" s="5" t="str">
        <f>IFERROR(__xludf.DUMMYFUNCTION("""COMPUTED_VALUE"""),"Close Your Eyes Before It’S Dark")</f>
        <v>Close Your Eyes Before It’S Dark</v>
      </c>
      <c r="U1596" s="5" t="str">
        <f>IFERROR(__xludf.DUMMYFUNCTION("""COMPUTED_VALUE"""),"Carlos Sedes")</f>
        <v>Carlos Sedes</v>
      </c>
      <c r="V1596" s="5" t="s">
        <v>4904</v>
      </c>
      <c r="W1596" s="5" t="str">
        <f t="shared" si="3"/>
        <v>Hidenori Inoue</v>
      </c>
      <c r="X1596" s="5">
        <f t="shared" si="4"/>
        <v>7</v>
      </c>
      <c r="Y1596" s="5" t="str">
        <f>IFERROR(__xludf.DUMMYFUNCTION("REGEXEXTRACT(J1596, ""^\d+"")"),"113")</f>
        <v>113</v>
      </c>
      <c r="Z1596" s="5" t="str">
        <f>IFERROR(__xludf.DUMMYFUNCTION("REGEXEXTRACT(J1596, ""[A-Za-z ]+$"")")," min")</f>
        <v> min</v>
      </c>
      <c r="AA1596" s="5" t="str">
        <f>IFERROR(__xludf.DUMMYFUNCTION("IF(REGEXMATCH(Z1596, ""Season""), ""TV Show"", ""Movie"")"),"Movie")</f>
        <v>Movie</v>
      </c>
    </row>
    <row r="1597">
      <c r="A1597" s="1" t="s">
        <v>9320</v>
      </c>
      <c r="B1597" s="1" t="s">
        <v>27</v>
      </c>
      <c r="C1597" s="1" t="s">
        <v>9321</v>
      </c>
      <c r="D1597" s="1" t="s">
        <v>3725</v>
      </c>
      <c r="E1597" s="1" t="s">
        <v>9322</v>
      </c>
      <c r="F1597" s="1" t="s">
        <v>30</v>
      </c>
      <c r="G1597" s="1" t="s">
        <v>9293</v>
      </c>
      <c r="H1597" s="1">
        <v>2020.0</v>
      </c>
      <c r="I1597" s="1" t="s">
        <v>378</v>
      </c>
      <c r="J1597" s="1" t="s">
        <v>1428</v>
      </c>
      <c r="K1597" s="1" t="s">
        <v>1320</v>
      </c>
      <c r="L1597" s="1" t="s">
        <v>9323</v>
      </c>
      <c r="M1597" s="2" t="s">
        <v>12</v>
      </c>
      <c r="N1597" s="4">
        <f t="shared" si="1"/>
        <v>44169</v>
      </c>
      <c r="O1597" s="5" t="str">
        <f>IFERROR(__xludf.DUMMYFUNCTION("IF(REGEXMATCH(TRIM(I1597), ""^\d+\s*min""), ""Unclassified"", IF(I1597 = """", ""NR"", I1597))"),"R")</f>
        <v>R</v>
      </c>
      <c r="R1597" s="5" t="str">
        <f t="shared" si="2"/>
        <v>Mank</v>
      </c>
      <c r="S1597" s="5" t="str">
        <f>IFERROR(__xludf.DUMMYFUNCTION("""COMPUTED_VALUE"""),"Closed Circuit")</f>
        <v>Closed Circuit</v>
      </c>
      <c r="U1597" s="5" t="str">
        <f>IFERROR(__xludf.DUMMYFUNCTION("""COMPUTED_VALUE"""),"Adam B. Stein, Zach Lipovsky")</f>
        <v>Adam B. Stein, Zach Lipovsky</v>
      </c>
      <c r="V1597" s="5" t="s">
        <v>9324</v>
      </c>
      <c r="W1597" s="5" t="str">
        <f t="shared" si="3"/>
        <v>Hidetaka Inazuka</v>
      </c>
      <c r="X1597" s="5">
        <f t="shared" si="4"/>
        <v>1</v>
      </c>
      <c r="Y1597" s="5" t="str">
        <f>IFERROR(__xludf.DUMMYFUNCTION("REGEXEXTRACT(J1597, ""^\d+"")"),"133")</f>
        <v>133</v>
      </c>
      <c r="Z1597" s="5" t="str">
        <f>IFERROR(__xludf.DUMMYFUNCTION("REGEXEXTRACT(J1597, ""[A-Za-z ]+$"")")," min")</f>
        <v> min</v>
      </c>
      <c r="AA1597" s="5" t="str">
        <f>IFERROR(__xludf.DUMMYFUNCTION("IF(REGEXMATCH(Z1597, ""Season""), ""TV Show"", ""Movie"")"),"Movie")</f>
        <v>Movie</v>
      </c>
    </row>
    <row r="1598">
      <c r="A1598" s="1" t="s">
        <v>9325</v>
      </c>
      <c r="B1598" s="1" t="s">
        <v>37</v>
      </c>
      <c r="C1598" s="1" t="s">
        <v>9326</v>
      </c>
      <c r="E1598" s="1" t="s">
        <v>9327</v>
      </c>
      <c r="G1598" s="1" t="s">
        <v>9293</v>
      </c>
      <c r="H1598" s="1">
        <v>2020.0</v>
      </c>
      <c r="I1598" s="1" t="s">
        <v>42</v>
      </c>
      <c r="J1598" s="1" t="s">
        <v>276</v>
      </c>
      <c r="K1598" s="1" t="s">
        <v>99</v>
      </c>
      <c r="L1598" s="1" t="s">
        <v>9328</v>
      </c>
      <c r="M1598" s="2" t="s">
        <v>12</v>
      </c>
      <c r="N1598" s="4">
        <f t="shared" si="1"/>
        <v>44169</v>
      </c>
      <c r="O1598" s="5" t="str">
        <f>IFERROR(__xludf.DUMMYFUNCTION("IF(REGEXMATCH(TRIM(I1598), ""^\d+\s*min""), ""Unclassified"", IF(I1598 = """", ""NR"", I1598))"),"TV-MA")</f>
        <v>TV-MA</v>
      </c>
      <c r="R1598" s="5" t="str">
        <f t="shared" si="2"/>
        <v>The Great British Baking Show: Holidays</v>
      </c>
      <c r="S1598" s="5" t="str">
        <f>IFERROR(__xludf.DUMMYFUNCTION("""COMPUTED_VALUE"""),"Cloud Atlas")</f>
        <v>Cloud Atlas</v>
      </c>
      <c r="U1598" s="5" t="str">
        <f>IFERROR(__xludf.DUMMYFUNCTION("""COMPUTED_VALUE"""),"Athiyan Athirai")</f>
        <v>Athiyan Athirai</v>
      </c>
      <c r="V1598" s="5" t="s">
        <v>9329</v>
      </c>
      <c r="W1598" s="5" t="str">
        <f t="shared" si="3"/>
        <v>Hikari</v>
      </c>
      <c r="X1598" s="5">
        <f t="shared" si="4"/>
        <v>1</v>
      </c>
      <c r="Y1598" s="5" t="str">
        <f>IFERROR(__xludf.DUMMYFUNCTION("REGEXEXTRACT(J1598, ""^\d+"")"),"3")</f>
        <v>3</v>
      </c>
      <c r="Z1598" s="5" t="str">
        <f>IFERROR(__xludf.DUMMYFUNCTION("REGEXEXTRACT(J1598, ""[A-Za-z ]+$"")")," Seasons")</f>
        <v> Seasons</v>
      </c>
      <c r="AA1598" s="5" t="str">
        <f>IFERROR(__xludf.DUMMYFUNCTION("IF(REGEXMATCH(Z1598, ""Season""), ""TV Show"", ""Movie"")"),"TV Show")</f>
        <v>TV Show</v>
      </c>
    </row>
    <row r="1599">
      <c r="A1599" s="1" t="s">
        <v>9330</v>
      </c>
      <c r="B1599" s="1" t="s">
        <v>27</v>
      </c>
      <c r="C1599" s="1" t="s">
        <v>9331</v>
      </c>
      <c r="D1599" s="1" t="s">
        <v>1527</v>
      </c>
      <c r="E1599" s="1" t="s">
        <v>9332</v>
      </c>
      <c r="F1599" s="1" t="s">
        <v>30</v>
      </c>
      <c r="G1599" s="1" t="s">
        <v>9293</v>
      </c>
      <c r="H1599" s="1">
        <v>2020.0</v>
      </c>
      <c r="I1599" s="1" t="s">
        <v>136</v>
      </c>
      <c r="J1599" s="1" t="s">
        <v>454</v>
      </c>
      <c r="K1599" s="1" t="s">
        <v>771</v>
      </c>
      <c r="L1599" s="1" t="s">
        <v>9333</v>
      </c>
      <c r="M1599" s="2" t="s">
        <v>12</v>
      </c>
      <c r="N1599" s="4">
        <f t="shared" si="1"/>
        <v>44169</v>
      </c>
      <c r="O1599" s="5" t="str">
        <f>IFERROR(__xludf.DUMMYFUNCTION("IF(REGEXMATCH(TRIM(I1599), ""^\d+\s*min""), ""Unclassified"", IF(I1599 = """", ""NR"", I1599))"),"TV-PG")</f>
        <v>TV-PG</v>
      </c>
      <c r="R1599" s="5" t="str">
        <f t="shared" si="2"/>
        <v>You Are My Home</v>
      </c>
      <c r="S1599" s="5" t="str">
        <f>IFERROR(__xludf.DUMMYFUNCTION("""COMPUTED_VALUE"""),"Cloudburst")</f>
        <v>Cloudburst</v>
      </c>
      <c r="U1599" s="5" t="str">
        <f>IFERROR(__xludf.DUMMYFUNCTION("""COMPUTED_VALUE"""),"Zuko Nodada")</f>
        <v>Zuko Nodada</v>
      </c>
      <c r="V1599" s="5" t="s">
        <v>9334</v>
      </c>
      <c r="W1599" s="5" t="str">
        <f t="shared" si="3"/>
        <v>Hiromasa Yonebayashi</v>
      </c>
      <c r="X1599" s="5">
        <f t="shared" si="4"/>
        <v>1</v>
      </c>
      <c r="Y1599" s="5" t="str">
        <f>IFERROR(__xludf.DUMMYFUNCTION("REGEXEXTRACT(J1599, ""^\d+"")"),"93")</f>
        <v>93</v>
      </c>
      <c r="Z1599" s="5" t="str">
        <f>IFERROR(__xludf.DUMMYFUNCTION("REGEXEXTRACT(J1599, ""[A-Za-z ]+$"")")," min")</f>
        <v> min</v>
      </c>
      <c r="AA1599" s="5" t="str">
        <f>IFERROR(__xludf.DUMMYFUNCTION("IF(REGEXMATCH(Z1599, ""Season""), ""TV Show"", ""Movie"")"),"Movie")</f>
        <v>Movie</v>
      </c>
    </row>
    <row r="1600">
      <c r="A1600" s="1" t="s">
        <v>9335</v>
      </c>
      <c r="B1600" s="1" t="s">
        <v>27</v>
      </c>
      <c r="C1600" s="1" t="s">
        <v>9336</v>
      </c>
      <c r="D1600" s="1" t="s">
        <v>9337</v>
      </c>
      <c r="E1600" s="1" t="s">
        <v>9338</v>
      </c>
      <c r="F1600" s="1" t="s">
        <v>4287</v>
      </c>
      <c r="G1600" s="1" t="s">
        <v>9339</v>
      </c>
      <c r="H1600" s="1">
        <v>2019.0</v>
      </c>
      <c r="I1600" s="1" t="s">
        <v>97</v>
      </c>
      <c r="J1600" s="1" t="s">
        <v>912</v>
      </c>
      <c r="K1600" s="1" t="s">
        <v>679</v>
      </c>
      <c r="L1600" s="1" t="s">
        <v>9340</v>
      </c>
      <c r="M1600" s="2" t="s">
        <v>12</v>
      </c>
      <c r="N1600" s="4">
        <f t="shared" si="1"/>
        <v>44168</v>
      </c>
      <c r="O1600" s="5" t="str">
        <f>IFERROR(__xludf.DUMMYFUNCTION("IF(REGEXMATCH(TRIM(I1600), ""^\d+\s*min""), ""Unclassified"", IF(I1600 = """", ""NR"", I1600))"),"TV-14")</f>
        <v>TV-14</v>
      </c>
      <c r="R1600" s="5" t="str">
        <f t="shared" si="2"/>
        <v>Between Maybes</v>
      </c>
      <c r="S1600" s="5" t="str">
        <f>IFERROR(__xludf.DUMMYFUNCTION("""COMPUTED_VALUE"""),"Clouds Of Sils Maria")</f>
        <v>Clouds Of Sils Maria</v>
      </c>
      <c r="U1600" s="5" t="str">
        <f>IFERROR(__xludf.DUMMYFUNCTION("""COMPUTED_VALUE"""),"Madonna")</f>
        <v>Madonna</v>
      </c>
      <c r="V1600" s="5" t="s">
        <v>9341</v>
      </c>
      <c r="W1600" s="5" t="str">
        <f t="shared" si="3"/>
        <v>Hiromasa Yonebayashi, Yoshiyuki Momose, Akihiko Yamashita</v>
      </c>
      <c r="X1600" s="5">
        <f t="shared" si="4"/>
        <v>1</v>
      </c>
      <c r="Y1600" s="5" t="str">
        <f>IFERROR(__xludf.DUMMYFUNCTION("REGEXEXTRACT(J1600, ""^\d+"")"),"108")</f>
        <v>108</v>
      </c>
      <c r="Z1600" s="5" t="str">
        <f>IFERROR(__xludf.DUMMYFUNCTION("REGEXEXTRACT(J1600, ""[A-Za-z ]+$"")")," min")</f>
        <v> min</v>
      </c>
      <c r="AA1600" s="5" t="str">
        <f>IFERROR(__xludf.DUMMYFUNCTION("IF(REGEXMATCH(Z1600, ""Season""), ""TV Show"", ""Movie"")"),"Movie")</f>
        <v>Movie</v>
      </c>
    </row>
    <row r="1601">
      <c r="A1601" s="1" t="s">
        <v>9342</v>
      </c>
      <c r="B1601" s="1" t="s">
        <v>27</v>
      </c>
      <c r="C1601" s="1" t="s">
        <v>9343</v>
      </c>
      <c r="D1601" s="1" t="s">
        <v>9344</v>
      </c>
      <c r="E1601" s="1" t="s">
        <v>9345</v>
      </c>
      <c r="F1601" s="1" t="s">
        <v>3217</v>
      </c>
      <c r="G1601" s="1" t="s">
        <v>9339</v>
      </c>
      <c r="H1601" s="1">
        <v>2018.0</v>
      </c>
      <c r="I1601" s="1" t="s">
        <v>42</v>
      </c>
      <c r="J1601" s="1" t="s">
        <v>322</v>
      </c>
      <c r="K1601" s="1" t="s">
        <v>583</v>
      </c>
      <c r="L1601" s="1" t="s">
        <v>9346</v>
      </c>
      <c r="M1601" s="2" t="s">
        <v>12</v>
      </c>
      <c r="N1601" s="4">
        <f t="shared" si="1"/>
        <v>44168</v>
      </c>
      <c r="O1601" s="5" t="str">
        <f>IFERROR(__xludf.DUMMYFUNCTION("IF(REGEXMATCH(TRIM(I1601), ""^\d+\s*min""), ""Unclassified"", IF(I1601 = """", ""NR"", I1601))"),"TV-MA")</f>
        <v>TV-MA</v>
      </c>
      <c r="R1601" s="5" t="str">
        <f t="shared" si="2"/>
        <v>Break</v>
      </c>
      <c r="S1601" s="5" t="str">
        <f>IFERROR(__xludf.DUMMYFUNCTION("""COMPUTED_VALUE"""),"Cloudy With A Chance Of Meatballs")</f>
        <v>Cloudy With A Chance Of Meatballs</v>
      </c>
      <c r="U1601" s="5" t="str">
        <f>IFERROR(__xludf.DUMMYFUNCTION("""COMPUTED_VALUE"""),"Milton Horowitz")</f>
        <v>Milton Horowitz</v>
      </c>
      <c r="V1601" s="5" t="s">
        <v>9347</v>
      </c>
      <c r="W1601" s="5" t="str">
        <f t="shared" si="3"/>
        <v>Hiroshi Aoyama, Kazumi Fukushima, Jim Stenstrum</v>
      </c>
      <c r="X1601" s="5">
        <f t="shared" si="4"/>
        <v>1</v>
      </c>
      <c r="Y1601" s="5" t="str">
        <f>IFERROR(__xludf.DUMMYFUNCTION("REGEXEXTRACT(J1601, ""^\d+"")"),"96")</f>
        <v>96</v>
      </c>
      <c r="Z1601" s="5" t="str">
        <f>IFERROR(__xludf.DUMMYFUNCTION("REGEXEXTRACT(J1601, ""[A-Za-z ]+$"")")," min")</f>
        <v> min</v>
      </c>
      <c r="AA1601" s="5" t="str">
        <f>IFERROR(__xludf.DUMMYFUNCTION("IF(REGEXMATCH(Z1601, ""Season""), ""TV Show"", ""Movie"")"),"Movie")</f>
        <v>Movie</v>
      </c>
    </row>
    <row r="1602">
      <c r="A1602" s="1" t="s">
        <v>9348</v>
      </c>
      <c r="B1602" s="1" t="s">
        <v>27</v>
      </c>
      <c r="C1602" s="1" t="s">
        <v>9349</v>
      </c>
      <c r="D1602" s="1" t="s">
        <v>5723</v>
      </c>
      <c r="E1602" s="1" t="s">
        <v>9350</v>
      </c>
      <c r="G1602" s="1" t="s">
        <v>9339</v>
      </c>
      <c r="H1602" s="1">
        <v>2020.0</v>
      </c>
      <c r="I1602" s="1" t="s">
        <v>206</v>
      </c>
      <c r="J1602" s="1" t="s">
        <v>4935</v>
      </c>
      <c r="K1602" s="1" t="s">
        <v>80</v>
      </c>
      <c r="L1602" s="1" t="s">
        <v>9351</v>
      </c>
      <c r="M1602" s="2" t="s">
        <v>12</v>
      </c>
      <c r="N1602" s="4">
        <f t="shared" si="1"/>
        <v>44168</v>
      </c>
      <c r="O1602" s="5" t="str">
        <f>IFERROR(__xludf.DUMMYFUNCTION("IF(REGEXMATCH(TRIM(I1602), ""^\d+\s*min""), ""Unclassified"", IF(I1602 = """", ""NR"", I1602))"),"TV-Y")</f>
        <v>TV-Y</v>
      </c>
      <c r="R1602" s="5" t="str">
        <f t="shared" si="2"/>
        <v>Chico Bon Bon And The Very Berry Holiday</v>
      </c>
      <c r="S1602" s="5" t="str">
        <f>IFERROR(__xludf.DUMMYFUNCTION("""COMPUTED_VALUE"""),"Cloudy With A Chance Of Meatballs 2")</f>
        <v>Cloudy With A Chance Of Meatballs 2</v>
      </c>
      <c r="U1602" s="5" t="str">
        <f>IFERROR(__xludf.DUMMYFUNCTION("""COMPUTED_VALUE"""),"Sneha Taurani")</f>
        <v>Sneha Taurani</v>
      </c>
      <c r="V1602" s="5" t="s">
        <v>9352</v>
      </c>
      <c r="W1602" s="5" t="str">
        <f t="shared" si="3"/>
        <v>Hiroshi Katagiri</v>
      </c>
      <c r="X1602" s="5">
        <f t="shared" si="4"/>
        <v>1</v>
      </c>
      <c r="Y1602" s="5" t="str">
        <f>IFERROR(__xludf.DUMMYFUNCTION("REGEXEXTRACT(J1602, ""^\d+"")"),"25")</f>
        <v>25</v>
      </c>
      <c r="Z1602" s="5" t="str">
        <f>IFERROR(__xludf.DUMMYFUNCTION("REGEXEXTRACT(J1602, ""[A-Za-z ]+$"")")," min")</f>
        <v> min</v>
      </c>
      <c r="AA1602" s="5" t="str">
        <f>IFERROR(__xludf.DUMMYFUNCTION("IF(REGEXMATCH(Z1602, ""Season""), ""TV Show"", ""Movie"")"),"Movie")</f>
        <v>Movie</v>
      </c>
    </row>
    <row r="1603">
      <c r="A1603" s="1" t="s">
        <v>9353</v>
      </c>
      <c r="B1603" s="1" t="s">
        <v>27</v>
      </c>
      <c r="C1603" s="1" t="s">
        <v>9354</v>
      </c>
      <c r="D1603" s="1" t="s">
        <v>9355</v>
      </c>
      <c r="E1603" s="1" t="s">
        <v>9356</v>
      </c>
      <c r="F1603" s="1" t="s">
        <v>1992</v>
      </c>
      <c r="G1603" s="1" t="s">
        <v>9339</v>
      </c>
      <c r="H1603" s="1">
        <v>2020.0</v>
      </c>
      <c r="I1603" s="1" t="s">
        <v>42</v>
      </c>
      <c r="J1603" s="1" t="s">
        <v>1091</v>
      </c>
      <c r="K1603" s="1" t="s">
        <v>199</v>
      </c>
      <c r="L1603" s="1" t="s">
        <v>9357</v>
      </c>
      <c r="M1603" s="2" t="s">
        <v>12</v>
      </c>
      <c r="N1603" s="4">
        <f t="shared" si="1"/>
        <v>44168</v>
      </c>
      <c r="O1603" s="5" t="str">
        <f>IFERROR(__xludf.DUMMYFUNCTION("IF(REGEXMATCH(TRIM(I1603), ""^\d+\s*min""), ""Unclassified"", IF(I1603 = """", ""NR"", I1603))"),"TV-MA")</f>
        <v>TV-MA</v>
      </c>
      <c r="R1603" s="5" t="str">
        <f t="shared" si="2"/>
        <v>Just Another Christmas</v>
      </c>
      <c r="S1603" s="5" t="str">
        <f>IFERROR(__xludf.DUMMYFUNCTION("""COMPUTED_VALUE"""),"Cloverfield")</f>
        <v>Cloverfield</v>
      </c>
      <c r="U1603" s="5" t="str">
        <f>IFERROR(__xludf.DUMMYFUNCTION("""COMPUTED_VALUE"""),"Momoko Kamiya")</f>
        <v>Momoko Kamiya</v>
      </c>
      <c r="V1603" s="5" t="s">
        <v>476</v>
      </c>
      <c r="W1603" s="5" t="str">
        <f t="shared" si="3"/>
        <v>Hirotsugu Kawasaki</v>
      </c>
      <c r="X1603" s="5">
        <f t="shared" si="4"/>
        <v>1</v>
      </c>
      <c r="Y1603" s="5" t="str">
        <f>IFERROR(__xludf.DUMMYFUNCTION("REGEXEXTRACT(J1603, ""^\d+"")"),"101")</f>
        <v>101</v>
      </c>
      <c r="Z1603" s="5" t="str">
        <f>IFERROR(__xludf.DUMMYFUNCTION("REGEXEXTRACT(J1603, ""[A-Za-z ]+$"")")," min")</f>
        <v> min</v>
      </c>
      <c r="AA1603" s="5" t="str">
        <f>IFERROR(__xludf.DUMMYFUNCTION("IF(REGEXMATCH(Z1603, ""Season""), ""TV Show"", ""Movie"")"),"Movie")</f>
        <v>Movie</v>
      </c>
    </row>
    <row r="1604">
      <c r="A1604" s="1" t="s">
        <v>9358</v>
      </c>
      <c r="B1604" s="1" t="s">
        <v>27</v>
      </c>
      <c r="C1604" s="1" t="s">
        <v>9359</v>
      </c>
      <c r="D1604" s="1" t="s">
        <v>5337</v>
      </c>
      <c r="E1604" s="1" t="s">
        <v>9360</v>
      </c>
      <c r="F1604" s="1" t="s">
        <v>4287</v>
      </c>
      <c r="G1604" s="1" t="s">
        <v>9339</v>
      </c>
      <c r="H1604" s="1">
        <v>2013.0</v>
      </c>
      <c r="I1604" s="1" t="s">
        <v>97</v>
      </c>
      <c r="J1604" s="1" t="s">
        <v>256</v>
      </c>
      <c r="K1604" s="1" t="s">
        <v>583</v>
      </c>
      <c r="L1604" s="1" t="s">
        <v>9361</v>
      </c>
      <c r="M1604" s="2" t="s">
        <v>12</v>
      </c>
      <c r="N1604" s="4">
        <f t="shared" si="1"/>
        <v>44168</v>
      </c>
      <c r="O1604" s="5" t="str">
        <f>IFERROR(__xludf.DUMMYFUNCTION("IF(REGEXMATCH(TRIM(I1604), ""^\d+\s*min""), ""Unclassified"", IF(I1604 = """", ""NR"", I1604))"),"TV-14")</f>
        <v>TV-14</v>
      </c>
      <c r="R1604" s="5" t="str">
        <f t="shared" si="2"/>
        <v>Must Be... Love</v>
      </c>
      <c r="S1604" s="5" t="str">
        <f>IFERROR(__xludf.DUMMYFUNCTION("""COMPUTED_VALUE"""),"Club De Cuervos Presents: I, Potro")</f>
        <v>Club De Cuervos Presents: I, Potro</v>
      </c>
      <c r="U1604" s="5" t="str">
        <f>IFERROR(__xludf.DUMMYFUNCTION("""COMPUTED_VALUE"""),"Matthew Ross")</f>
        <v>Matthew Ross</v>
      </c>
      <c r="V1604" s="5" t="s">
        <v>9362</v>
      </c>
      <c r="W1604" s="5" t="str">
        <f t="shared" si="3"/>
        <v>Hiroyuki Seshita</v>
      </c>
      <c r="X1604" s="5">
        <f t="shared" si="4"/>
        <v>1</v>
      </c>
      <c r="Y1604" s="5" t="str">
        <f>IFERROR(__xludf.DUMMYFUNCTION("REGEXEXTRACT(J1604, ""^\d+"")"),"106")</f>
        <v>106</v>
      </c>
      <c r="Z1604" s="5" t="str">
        <f>IFERROR(__xludf.DUMMYFUNCTION("REGEXEXTRACT(J1604, ""[A-Za-z ]+$"")")," min")</f>
        <v> min</v>
      </c>
      <c r="AA1604" s="5" t="str">
        <f>IFERROR(__xludf.DUMMYFUNCTION("IF(REGEXMATCH(Z1604, ""Season""), ""TV Show"", ""Movie"")"),"Movie")</f>
        <v>Movie</v>
      </c>
    </row>
    <row r="1605">
      <c r="A1605" s="1" t="s">
        <v>9363</v>
      </c>
      <c r="B1605" s="1" t="s">
        <v>37</v>
      </c>
      <c r="C1605" s="1" t="s">
        <v>9364</v>
      </c>
      <c r="F1605" s="1" t="s">
        <v>96</v>
      </c>
      <c r="G1605" s="1" t="s">
        <v>9365</v>
      </c>
      <c r="H1605" s="1">
        <v>2020.0</v>
      </c>
      <c r="I1605" s="1" t="s">
        <v>136</v>
      </c>
      <c r="J1605" s="1" t="s">
        <v>51</v>
      </c>
      <c r="K1605" s="1" t="s">
        <v>544</v>
      </c>
      <c r="L1605" s="1" t="s">
        <v>9366</v>
      </c>
      <c r="M1605" s="2" t="s">
        <v>12</v>
      </c>
      <c r="N1605" s="4">
        <f t="shared" si="1"/>
        <v>44167</v>
      </c>
      <c r="O1605" s="5" t="str">
        <f>IFERROR(__xludf.DUMMYFUNCTION("IF(REGEXMATCH(TRIM(I1605), ""^\d+\s*min""), ""Unclassified"", IF(I1605 = """", ""NR"", I1605))"),"TV-PG")</f>
        <v>TV-PG</v>
      </c>
      <c r="R1605" s="5" t="str">
        <f t="shared" si="2"/>
        <v>Alien Worlds</v>
      </c>
      <c r="S1605" s="5" t="str">
        <f>IFERROR(__xludf.DUMMYFUNCTION("""COMPUTED_VALUE"""),"Club De Cuervos Presents: The Ballad Of Hugo Sánchez")</f>
        <v>Club De Cuervos Presents: The Ballad Of Hugo Sánchez</v>
      </c>
      <c r="U1605" s="5" t="str">
        <f>IFERROR(__xludf.DUMMYFUNCTION("""COMPUTED_VALUE"""),"Lee Kirk")</f>
        <v>Lee Kirk</v>
      </c>
      <c r="V1605" s="5" t="s">
        <v>9367</v>
      </c>
      <c r="W1605" s="5" t="str">
        <f t="shared" si="3"/>
        <v>Hitoshi Namba</v>
      </c>
      <c r="X1605" s="5">
        <f t="shared" si="4"/>
        <v>1</v>
      </c>
      <c r="Y1605" s="5" t="str">
        <f>IFERROR(__xludf.DUMMYFUNCTION("REGEXEXTRACT(J1605, ""^\d+"")"),"1")</f>
        <v>1</v>
      </c>
      <c r="Z1605" s="5" t="str">
        <f>IFERROR(__xludf.DUMMYFUNCTION("REGEXEXTRACT(J1605, ""[A-Za-z ]+$"")")," Season")</f>
        <v> Season</v>
      </c>
      <c r="AA1605" s="5" t="str">
        <f>IFERROR(__xludf.DUMMYFUNCTION("IF(REGEXMATCH(Z1605, ""Season""), ""TV Show"", ""Movie"")"),"TV Show")</f>
        <v>TV Show</v>
      </c>
    </row>
    <row r="1606">
      <c r="A1606" s="1" t="s">
        <v>9368</v>
      </c>
      <c r="B1606" s="1" t="s">
        <v>27</v>
      </c>
      <c r="C1606" s="1" t="s">
        <v>9369</v>
      </c>
      <c r="D1606" s="1" t="s">
        <v>2746</v>
      </c>
      <c r="E1606" s="1" t="s">
        <v>9370</v>
      </c>
      <c r="F1606" s="1" t="s">
        <v>4292</v>
      </c>
      <c r="G1606" s="1" t="s">
        <v>9365</v>
      </c>
      <c r="H1606" s="1">
        <v>2020.0</v>
      </c>
      <c r="I1606" s="1" t="s">
        <v>42</v>
      </c>
      <c r="J1606" s="1" t="s">
        <v>5941</v>
      </c>
      <c r="K1606" s="1" t="s">
        <v>1839</v>
      </c>
      <c r="L1606" s="1" t="s">
        <v>9371</v>
      </c>
      <c r="M1606" s="2" t="s">
        <v>12</v>
      </c>
      <c r="N1606" s="4">
        <f t="shared" si="1"/>
        <v>44167</v>
      </c>
      <c r="O1606" s="5" t="str">
        <f>IFERROR(__xludf.DUMMYFUNCTION("IF(REGEXMATCH(TRIM(I1606), ""^\d+\s*min""), ""Unclassified"", IF(I1606 = """", ""NR"", I1606))"),"TV-MA")</f>
        <v>TV-MA</v>
      </c>
      <c r="R1606" s="5" t="str">
        <f t="shared" si="2"/>
        <v>Ari Eldjárn: Pardon My Icelandic</v>
      </c>
      <c r="S1606" s="5" t="str">
        <f>IFERROR(__xludf.DUMMYFUNCTION("""COMPUTED_VALUE"""),"Club Friday The Series 6")</f>
        <v>Club Friday The Series 6</v>
      </c>
      <c r="U1606" s="5" t="str">
        <f>IFERROR(__xludf.DUMMYFUNCTION("""COMPUTED_VALUE"""),"Ziggy Hofmeyr")</f>
        <v>Ziggy Hofmeyr</v>
      </c>
      <c r="V1606" s="5" t="s">
        <v>9372</v>
      </c>
      <c r="W1606" s="5" t="str">
        <f t="shared" si="3"/>
        <v>Holger Tappe</v>
      </c>
      <c r="X1606" s="5">
        <f t="shared" si="4"/>
        <v>1</v>
      </c>
      <c r="Y1606" s="5" t="str">
        <f>IFERROR(__xludf.DUMMYFUNCTION("REGEXEXTRACT(J1606, ""^\d+"")"),"54")</f>
        <v>54</v>
      </c>
      <c r="Z1606" s="5" t="str">
        <f>IFERROR(__xludf.DUMMYFUNCTION("REGEXEXTRACT(J1606, ""[A-Za-z ]+$"")")," min")</f>
        <v> min</v>
      </c>
      <c r="AA1606" s="5" t="str">
        <f>IFERROR(__xludf.DUMMYFUNCTION("IF(REGEXMATCH(Z1606, ""Season""), ""TV Show"", ""Movie"")"),"Movie")</f>
        <v>Movie</v>
      </c>
    </row>
    <row r="1607">
      <c r="A1607" s="1" t="s">
        <v>9373</v>
      </c>
      <c r="B1607" s="1" t="s">
        <v>37</v>
      </c>
      <c r="C1607" s="1" t="s">
        <v>9374</v>
      </c>
      <c r="E1607" s="1" t="s">
        <v>9375</v>
      </c>
      <c r="F1607" s="1" t="s">
        <v>2873</v>
      </c>
      <c r="G1607" s="1" t="s">
        <v>9365</v>
      </c>
      <c r="H1607" s="1">
        <v>2020.0</v>
      </c>
      <c r="I1607" s="1" t="s">
        <v>97</v>
      </c>
      <c r="J1607" s="1" t="s">
        <v>43</v>
      </c>
      <c r="K1607" s="1" t="s">
        <v>1531</v>
      </c>
      <c r="L1607" s="1" t="s">
        <v>9376</v>
      </c>
      <c r="M1607" s="2" t="s">
        <v>12</v>
      </c>
      <c r="N1607" s="4">
        <f t="shared" si="1"/>
        <v>44167</v>
      </c>
      <c r="O1607" s="5" t="str">
        <f>IFERROR(__xludf.DUMMYFUNCTION("IF(REGEXMATCH(TRIM(I1607), ""^\d+\s*min""), ""Unclassified"", IF(I1607 = """", ""NR"", I1607))"),"TV-14")</f>
        <v>TV-14</v>
      </c>
      <c r="R1607" s="5" t="str">
        <f t="shared" si="2"/>
        <v>Check The Store Next Door: The Next Chapter</v>
      </c>
      <c r="S1607" s="5" t="str">
        <f>IFERROR(__xludf.DUMMYFUNCTION("""COMPUTED_VALUE"""),"Club Friday The Series 7")</f>
        <v>Club Friday The Series 7</v>
      </c>
      <c r="U1607" s="5" t="str">
        <f>IFERROR(__xludf.DUMMYFUNCTION("""COMPUTED_VALUE"""),"Gustavo Ron")</f>
        <v>Gustavo Ron</v>
      </c>
      <c r="V1607" s="5" t="s">
        <v>9377</v>
      </c>
      <c r="W1607" s="5" t="str">
        <f t="shared" si="3"/>
        <v>Honey Trehan</v>
      </c>
      <c r="X1607" s="5">
        <f t="shared" si="4"/>
        <v>1</v>
      </c>
      <c r="Y1607" s="5" t="str">
        <f>IFERROR(__xludf.DUMMYFUNCTION("REGEXEXTRACT(J1607, ""^\d+"")"),"2")</f>
        <v>2</v>
      </c>
      <c r="Z1607" s="5" t="str">
        <f>IFERROR(__xludf.DUMMYFUNCTION("REGEXEXTRACT(J1607, ""[A-Za-z ]+$"")")," Seasons")</f>
        <v> Seasons</v>
      </c>
      <c r="AA1607" s="5" t="str">
        <f>IFERROR(__xludf.DUMMYFUNCTION("IF(REGEXMATCH(Z1607, ""Season""), ""TV Show"", ""Movie"")"),"TV Show")</f>
        <v>TV Show</v>
      </c>
    </row>
    <row r="1608">
      <c r="A1608" s="1" t="s">
        <v>9378</v>
      </c>
      <c r="B1608" s="1" t="s">
        <v>27</v>
      </c>
      <c r="C1608" s="1" t="s">
        <v>9379</v>
      </c>
      <c r="D1608" s="1" t="s">
        <v>2194</v>
      </c>
      <c r="E1608" s="1" t="s">
        <v>9380</v>
      </c>
      <c r="F1608" s="1" t="s">
        <v>2446</v>
      </c>
      <c r="G1608" s="1" t="s">
        <v>9365</v>
      </c>
      <c r="H1608" s="1">
        <v>2020.0</v>
      </c>
      <c r="I1608" s="1" t="s">
        <v>42</v>
      </c>
      <c r="J1608" s="1" t="s">
        <v>870</v>
      </c>
      <c r="K1608" s="1" t="s">
        <v>583</v>
      </c>
      <c r="L1608" s="1" t="s">
        <v>9381</v>
      </c>
      <c r="M1608" s="2" t="s">
        <v>12</v>
      </c>
      <c r="N1608" s="4">
        <f t="shared" si="1"/>
        <v>44167</v>
      </c>
      <c r="O1608" s="5" t="str">
        <f>IFERROR(__xludf.DUMMYFUNCTION("IF(REGEXMATCH(TRIM(I1608), ""^\d+\s*min""), ""Unclassified"", IF(I1608 = """", ""NR"", I1608))"),"TV-MA")</f>
        <v>TV-MA</v>
      </c>
      <c r="R1608" s="5" t="str">
        <f t="shared" si="2"/>
        <v>Fierce</v>
      </c>
      <c r="S1608" s="5" t="str">
        <f>IFERROR(__xludf.DUMMYFUNCTION("""COMPUTED_VALUE"""),"Club Friday The Series 8")</f>
        <v>Club Friday The Series 8</v>
      </c>
      <c r="U1608" s="5" t="str">
        <f>IFERROR(__xludf.DUMMYFUNCTION("""COMPUTED_VALUE"""),"Yacine Belhousse")</f>
        <v>Yacine Belhousse</v>
      </c>
      <c r="V1608" s="5" t="s">
        <v>7737</v>
      </c>
      <c r="W1608" s="5" t="str">
        <f t="shared" si="3"/>
        <v>Hong Khaou</v>
      </c>
      <c r="X1608" s="5">
        <f t="shared" si="4"/>
        <v>1</v>
      </c>
      <c r="Y1608" s="5" t="str">
        <f>IFERROR(__xludf.DUMMYFUNCTION("REGEXEXTRACT(J1608, ""^\d+"")"),"118")</f>
        <v>118</v>
      </c>
      <c r="Z1608" s="5" t="str">
        <f>IFERROR(__xludf.DUMMYFUNCTION("REGEXEXTRACT(J1608, ""[A-Za-z ]+$"")")," min")</f>
        <v> min</v>
      </c>
      <c r="AA1608" s="5" t="str">
        <f>IFERROR(__xludf.DUMMYFUNCTION("IF(REGEXMATCH(Z1608, ""Season""), ""TV Show"", ""Movie"")"),"Movie")</f>
        <v>Movie</v>
      </c>
    </row>
    <row r="1609">
      <c r="A1609" s="1" t="s">
        <v>9382</v>
      </c>
      <c r="B1609" s="1" t="s">
        <v>27</v>
      </c>
      <c r="C1609" s="1" t="s">
        <v>9383</v>
      </c>
      <c r="E1609" s="1" t="s">
        <v>9384</v>
      </c>
      <c r="F1609" s="1" t="s">
        <v>2492</v>
      </c>
      <c r="G1609" s="1" t="s">
        <v>9365</v>
      </c>
      <c r="H1609" s="1">
        <v>2020.0</v>
      </c>
      <c r="I1609" s="1" t="s">
        <v>42</v>
      </c>
      <c r="J1609" s="1" t="s">
        <v>4693</v>
      </c>
      <c r="K1609" s="1" t="s">
        <v>1839</v>
      </c>
      <c r="L1609" s="1" t="s">
        <v>9385</v>
      </c>
      <c r="M1609" s="2" t="s">
        <v>12</v>
      </c>
      <c r="N1609" s="4">
        <f t="shared" si="1"/>
        <v>44167</v>
      </c>
      <c r="O1609" s="5" t="str">
        <f>IFERROR(__xludf.DUMMYFUNCTION("IF(REGEXMATCH(TRIM(I1609), ""^\d+\s*min""), ""Unclassified"", IF(I1609 = """", ""NR"", I1609))"),"TV-MA")</f>
        <v>TV-MA</v>
      </c>
      <c r="R1609" s="5" t="str">
        <f t="shared" si="2"/>
        <v>Hazel Brugger: Tropical</v>
      </c>
      <c r="S1609" s="5" t="str">
        <f>IFERROR(__xludf.DUMMYFUNCTION("""COMPUTED_VALUE"""),"Club Friday To Be Continued - Friend &amp; Enemy")</f>
        <v>Club Friday To Be Continued - Friend &amp; Enemy</v>
      </c>
      <c r="U1609" s="5" t="str">
        <f>IFERROR(__xludf.DUMMYFUNCTION("""COMPUTED_VALUE"""),"Sam Dunn")</f>
        <v>Sam Dunn</v>
      </c>
      <c r="V1609" s="5" t="s">
        <v>9386</v>
      </c>
      <c r="W1609" s="5" t="str">
        <f t="shared" si="3"/>
        <v>Hong Won-Ki</v>
      </c>
      <c r="X1609" s="5">
        <f t="shared" si="4"/>
        <v>1</v>
      </c>
      <c r="Y1609" s="5" t="str">
        <f>IFERROR(__xludf.DUMMYFUNCTION("REGEXEXTRACT(J1609, ""^\d+"")"),"58")</f>
        <v>58</v>
      </c>
      <c r="Z1609" s="5" t="str">
        <f>IFERROR(__xludf.DUMMYFUNCTION("REGEXEXTRACT(J1609, ""[A-Za-z ]+$"")")," min")</f>
        <v> min</v>
      </c>
      <c r="AA1609" s="5" t="str">
        <f>IFERROR(__xludf.DUMMYFUNCTION("IF(REGEXMATCH(Z1609, ""Season""), ""TV Show"", ""Movie"")"),"Movie")</f>
        <v>Movie</v>
      </c>
    </row>
    <row r="1610">
      <c r="A1610" s="1" t="s">
        <v>9387</v>
      </c>
      <c r="B1610" s="1" t="s">
        <v>27</v>
      </c>
      <c r="C1610" s="1" t="s">
        <v>9388</v>
      </c>
      <c r="D1610" s="1" t="s">
        <v>3523</v>
      </c>
      <c r="E1610" s="1" t="s">
        <v>9389</v>
      </c>
      <c r="F1610" s="1" t="s">
        <v>9390</v>
      </c>
      <c r="G1610" s="1" t="s">
        <v>9391</v>
      </c>
      <c r="H1610" s="1">
        <v>2014.0</v>
      </c>
      <c r="I1610" s="1" t="s">
        <v>32</v>
      </c>
      <c r="J1610" s="1" t="s">
        <v>743</v>
      </c>
      <c r="K1610" s="1" t="s">
        <v>380</v>
      </c>
      <c r="L1610" s="1" t="s">
        <v>9392</v>
      </c>
      <c r="M1610" s="2" t="s">
        <v>12</v>
      </c>
      <c r="N1610" s="4">
        <f t="shared" si="1"/>
        <v>44166</v>
      </c>
      <c r="O1610" s="5" t="str">
        <f>IFERROR(__xludf.DUMMYFUNCTION("IF(REGEXMATCH(TRIM(I1610), ""^\d+\s*min""), ""Unclassified"", IF(I1610 = """", ""NR"", I1610))"),"PG-13")</f>
        <v>PG-13</v>
      </c>
      <c r="R1610" s="5" t="str">
        <f t="shared" si="2"/>
        <v>3 Days To Kill</v>
      </c>
      <c r="S1610" s="5" t="str">
        <f>IFERROR(__xludf.DUMMYFUNCTION("""COMPUTED_VALUE"""),"Club Friday To Be Continued - My Beautiful Tomboy")</f>
        <v>Club Friday To Be Continued - My Beautiful Tomboy</v>
      </c>
      <c r="U1610" s="5" t="str">
        <f>IFERROR(__xludf.DUMMYFUNCTION("""COMPUTED_VALUE"""),"Kunihiko Yuyama, Motonori Sakakibara")</f>
        <v>Kunihiko Yuyama, Motonori Sakakibara</v>
      </c>
      <c r="V1610" s="5" t="s">
        <v>9393</v>
      </c>
      <c r="W1610" s="5" t="str">
        <f t="shared" si="3"/>
        <v>Hong-Seon Kim</v>
      </c>
      <c r="X1610" s="5">
        <f t="shared" si="4"/>
        <v>1</v>
      </c>
      <c r="Y1610" s="5" t="str">
        <f>IFERROR(__xludf.DUMMYFUNCTION("REGEXEXTRACT(J1610, ""^\d+"")"),"117")</f>
        <v>117</v>
      </c>
      <c r="Z1610" s="5" t="str">
        <f>IFERROR(__xludf.DUMMYFUNCTION("REGEXEXTRACT(J1610, ""[A-Za-z ]+$"")")," min")</f>
        <v> min</v>
      </c>
      <c r="AA1610" s="5" t="str">
        <f>IFERROR(__xludf.DUMMYFUNCTION("IF(REGEXMATCH(Z1610, ""Season""), ""TV Show"", ""Movie"")"),"Movie")</f>
        <v>Movie</v>
      </c>
    </row>
    <row r="1611">
      <c r="A1611" s="1" t="s">
        <v>9394</v>
      </c>
      <c r="B1611" s="1" t="s">
        <v>27</v>
      </c>
      <c r="C1611" s="1" t="s">
        <v>9395</v>
      </c>
      <c r="D1611" s="1" t="s">
        <v>5382</v>
      </c>
      <c r="E1611" s="1" t="s">
        <v>9396</v>
      </c>
      <c r="F1611" s="1" t="s">
        <v>30</v>
      </c>
      <c r="G1611" s="1" t="s">
        <v>9391</v>
      </c>
      <c r="H1611" s="1">
        <v>2020.0</v>
      </c>
      <c r="I1611" s="1" t="s">
        <v>206</v>
      </c>
      <c r="J1611" s="1" t="s">
        <v>575</v>
      </c>
      <c r="K1611" s="1" t="s">
        <v>80</v>
      </c>
      <c r="L1611" s="1" t="s">
        <v>9397</v>
      </c>
      <c r="M1611" s="2" t="s">
        <v>12</v>
      </c>
      <c r="N1611" s="4">
        <f t="shared" si="1"/>
        <v>44166</v>
      </c>
      <c r="O1611" s="5" t="str">
        <f>IFERROR(__xludf.DUMMYFUNCTION("IF(REGEXMATCH(TRIM(I1611), ""^\d+\s*min""), ""Unclassified"", IF(I1611 = """", ""NR"", I1611))"),"TV-Y")</f>
        <v>TV-Y</v>
      </c>
      <c r="R1611" s="5" t="str">
        <f t="shared" si="2"/>
        <v>Angela'S Christmas Wish</v>
      </c>
      <c r="S1611" s="5" t="str">
        <f>IFERROR(__xludf.DUMMYFUNCTION("""COMPUTED_VALUE"""),"Club Friday To Be Continued - The Promise")</f>
        <v>Club Friday To Be Continued - The Promise</v>
      </c>
      <c r="U1611" s="5" t="str">
        <f>IFERROR(__xludf.DUMMYFUNCTION("""COMPUTED_VALUE"""),"Ali Kalthami, Meshal Aljaser, Faris Godus, Mohamed Al Salman, Faisal Al Amer")</f>
        <v>Ali Kalthami, Meshal Aljaser, Faris Godus, Mohamed Al Salman, Faisal Al Amer</v>
      </c>
      <c r="V1611" s="5" t="s">
        <v>9398</v>
      </c>
      <c r="W1611" s="5" t="str">
        <f t="shared" si="3"/>
        <v>Houda Benyamina</v>
      </c>
      <c r="X1611" s="5">
        <f t="shared" si="4"/>
        <v>1</v>
      </c>
      <c r="Y1611" s="5" t="str">
        <f>IFERROR(__xludf.DUMMYFUNCTION("REGEXEXTRACT(J1611, ""^\d+"")"),"48")</f>
        <v>48</v>
      </c>
      <c r="Z1611" s="5" t="str">
        <f>IFERROR(__xludf.DUMMYFUNCTION("REGEXEXTRACT(J1611, ""[A-Za-z ]+$"")")," min")</f>
        <v> min</v>
      </c>
      <c r="AA1611" s="5" t="str">
        <f>IFERROR(__xludf.DUMMYFUNCTION("IF(REGEXMATCH(Z1611, ""Season""), ""TV Show"", ""Movie"")"),"Movie")</f>
        <v>Movie</v>
      </c>
    </row>
    <row r="1612">
      <c r="A1612" s="1" t="s">
        <v>9399</v>
      </c>
      <c r="B1612" s="1" t="s">
        <v>27</v>
      </c>
      <c r="C1612" s="1" t="s">
        <v>9400</v>
      </c>
      <c r="D1612" s="1" t="s">
        <v>6169</v>
      </c>
      <c r="E1612" s="1" t="s">
        <v>9401</v>
      </c>
      <c r="F1612" s="1" t="s">
        <v>9402</v>
      </c>
      <c r="G1612" s="1" t="s">
        <v>9391</v>
      </c>
      <c r="H1612" s="1">
        <v>2009.0</v>
      </c>
      <c r="I1612" s="1" t="s">
        <v>32</v>
      </c>
      <c r="J1612" s="1" t="s">
        <v>1938</v>
      </c>
      <c r="K1612" s="1" t="s">
        <v>171</v>
      </c>
      <c r="L1612" s="1" t="s">
        <v>9403</v>
      </c>
      <c r="M1612" s="2" t="s">
        <v>12</v>
      </c>
      <c r="N1612" s="4">
        <f t="shared" si="1"/>
        <v>44166</v>
      </c>
      <c r="O1612" s="5" t="str">
        <f>IFERROR(__xludf.DUMMYFUNCTION("IF(REGEXMATCH(TRIM(I1612), ""^\d+\s*min""), ""Unclassified"", IF(I1612 = """", ""NR"", I1612))"),"PG-13")</f>
        <v>PG-13</v>
      </c>
      <c r="R1612" s="5" t="str">
        <f t="shared" si="2"/>
        <v>Angels &amp; Demons</v>
      </c>
      <c r="S1612" s="5" t="str">
        <f>IFERROR(__xludf.DUMMYFUNCTION("""COMPUTED_VALUE"""),"Club Of Crows")</f>
        <v>Club Of Crows</v>
      </c>
      <c r="U1612" s="5" t="str">
        <f>IFERROR(__xludf.DUMMYFUNCTION("""COMPUTED_VALUE"""),"Tolu Awobiyi")</f>
        <v>Tolu Awobiyi</v>
      </c>
      <c r="V1612" s="5" t="s">
        <v>9404</v>
      </c>
      <c r="W1612" s="5" t="str">
        <f t="shared" si="3"/>
        <v>Houssam El-Din Mustafa</v>
      </c>
      <c r="X1612" s="5">
        <f t="shared" si="4"/>
        <v>1</v>
      </c>
      <c r="Y1612" s="5" t="str">
        <f>IFERROR(__xludf.DUMMYFUNCTION("REGEXEXTRACT(J1612, ""^\d+"")"),"139")</f>
        <v>139</v>
      </c>
      <c r="Z1612" s="5" t="str">
        <f>IFERROR(__xludf.DUMMYFUNCTION("REGEXEXTRACT(J1612, ""[A-Za-z ]+$"")")," min")</f>
        <v> min</v>
      </c>
      <c r="AA1612" s="5" t="str">
        <f>IFERROR(__xludf.DUMMYFUNCTION("IF(REGEXMATCH(Z1612, ""Season""), ""TV Show"", ""Movie"")"),"Movie")</f>
        <v>Movie</v>
      </c>
    </row>
    <row r="1613">
      <c r="A1613" s="1" t="s">
        <v>9405</v>
      </c>
      <c r="B1613" s="1" t="s">
        <v>37</v>
      </c>
      <c r="C1613" s="1" t="s">
        <v>9406</v>
      </c>
      <c r="E1613" s="1" t="s">
        <v>9407</v>
      </c>
      <c r="F1613" s="1" t="s">
        <v>30</v>
      </c>
      <c r="G1613" s="1" t="s">
        <v>9391</v>
      </c>
      <c r="H1613" s="1">
        <v>2014.0</v>
      </c>
      <c r="I1613" s="1" t="s">
        <v>97</v>
      </c>
      <c r="J1613" s="1" t="s">
        <v>43</v>
      </c>
      <c r="K1613" s="1" t="s">
        <v>440</v>
      </c>
      <c r="L1613" s="1" t="s">
        <v>9408</v>
      </c>
      <c r="M1613" s="2" t="s">
        <v>12</v>
      </c>
      <c r="N1613" s="4">
        <f t="shared" si="1"/>
        <v>44166</v>
      </c>
      <c r="O1613" s="5" t="str">
        <f>IFERROR(__xludf.DUMMYFUNCTION("IF(REGEXMATCH(TRIM(I1613), ""^\d+\s*min""), ""Unclassified"", IF(I1613 = """", ""NR"", I1613))"),"TV-14")</f>
        <v>TV-14</v>
      </c>
      <c r="R1613" s="5" t="str">
        <f t="shared" si="2"/>
        <v>Are You The One</v>
      </c>
      <c r="S1613" s="5" t="str">
        <f>IFERROR(__xludf.DUMMYFUNCTION("""COMPUTED_VALUE"""),"Coach Carter")</f>
        <v>Coach Carter</v>
      </c>
      <c r="U1613" s="5" t="str">
        <f>IFERROR(__xludf.DUMMYFUNCTION("""COMPUTED_VALUE"""),"Oyefunke Fayoyin")</f>
        <v>Oyefunke Fayoyin</v>
      </c>
      <c r="V1613" s="5" t="s">
        <v>2235</v>
      </c>
      <c r="W1613" s="5" t="str">
        <f t="shared" si="3"/>
        <v>Howard Zieff</v>
      </c>
      <c r="X1613" s="5">
        <f t="shared" si="4"/>
        <v>2</v>
      </c>
      <c r="Y1613" s="5" t="str">
        <f>IFERROR(__xludf.DUMMYFUNCTION("REGEXEXTRACT(J1613, ""^\d+"")"),"2")</f>
        <v>2</v>
      </c>
      <c r="Z1613" s="5" t="str">
        <f>IFERROR(__xludf.DUMMYFUNCTION("REGEXEXTRACT(J1613, ""[A-Za-z ]+$"")")," Seasons")</f>
        <v> Seasons</v>
      </c>
      <c r="AA1613" s="5" t="str">
        <f>IFERROR(__xludf.DUMMYFUNCTION("IF(REGEXMATCH(Z1613, ""Season""), ""TV Show"", ""Movie"")"),"TV Show")</f>
        <v>TV Show</v>
      </c>
    </row>
    <row r="1614">
      <c r="A1614" s="1" t="s">
        <v>9409</v>
      </c>
      <c r="B1614" s="1" t="s">
        <v>27</v>
      </c>
      <c r="C1614" s="1" t="s">
        <v>9410</v>
      </c>
      <c r="D1614" s="1" t="s">
        <v>8033</v>
      </c>
      <c r="E1614" s="1" t="s">
        <v>9411</v>
      </c>
      <c r="F1614" s="1" t="s">
        <v>30</v>
      </c>
      <c r="G1614" s="1" t="s">
        <v>9391</v>
      </c>
      <c r="H1614" s="1">
        <v>2014.0</v>
      </c>
      <c r="I1614" s="1" t="s">
        <v>378</v>
      </c>
      <c r="J1614" s="1" t="s">
        <v>379</v>
      </c>
      <c r="K1614" s="1" t="s">
        <v>1749</v>
      </c>
      <c r="L1614" s="1" t="s">
        <v>9412</v>
      </c>
      <c r="M1614" s="2" t="s">
        <v>12</v>
      </c>
      <c r="N1614" s="4">
        <f t="shared" si="1"/>
        <v>44166</v>
      </c>
      <c r="O1614" s="5" t="str">
        <f>IFERROR(__xludf.DUMMYFUNCTION("IF(REGEXMATCH(TRIM(I1614), ""^\d+\s*min""), ""Unclassified"", IF(I1614 = """", ""NR"", I1614))"),"R")</f>
        <v>R</v>
      </c>
      <c r="R1614" s="5" t="str">
        <f t="shared" si="2"/>
        <v>Chef</v>
      </c>
      <c r="S1614" s="5" t="str">
        <f>IFERROR(__xludf.DUMMYFUNCTION("""COMPUTED_VALUE"""),"Coach Snoop")</f>
        <v>Coach Snoop</v>
      </c>
      <c r="U1614" s="5" t="str">
        <f>IFERROR(__xludf.DUMMYFUNCTION("""COMPUTED_VALUE"""),"Jason Orley")</f>
        <v>Jason Orley</v>
      </c>
      <c r="V1614" s="5" t="s">
        <v>9413</v>
      </c>
      <c r="W1614" s="5" t="str">
        <f t="shared" si="3"/>
        <v>Hoyt Yeatman</v>
      </c>
      <c r="X1614" s="5">
        <f t="shared" si="4"/>
        <v>1</v>
      </c>
      <c r="Y1614" s="5" t="str">
        <f>IFERROR(__xludf.DUMMYFUNCTION("REGEXEXTRACT(J1614, ""^\d+"")"),"115")</f>
        <v>115</v>
      </c>
      <c r="Z1614" s="5" t="str">
        <f>IFERROR(__xludf.DUMMYFUNCTION("REGEXEXTRACT(J1614, ""[A-Za-z ]+$"")")," min")</f>
        <v> min</v>
      </c>
      <c r="AA1614" s="5" t="str">
        <f>IFERROR(__xludf.DUMMYFUNCTION("IF(REGEXMATCH(Z1614, ""Season""), ""TV Show"", ""Movie"")"),"Movie")</f>
        <v>Movie</v>
      </c>
    </row>
    <row r="1615">
      <c r="A1615" s="1" t="s">
        <v>9414</v>
      </c>
      <c r="B1615" s="1" t="s">
        <v>27</v>
      </c>
      <c r="C1615" s="1" t="s">
        <v>9415</v>
      </c>
      <c r="D1615" s="1" t="s">
        <v>9416</v>
      </c>
      <c r="E1615" s="1" t="s">
        <v>9417</v>
      </c>
      <c r="F1615" s="1" t="s">
        <v>96</v>
      </c>
      <c r="G1615" s="1" t="s">
        <v>9391</v>
      </c>
      <c r="H1615" s="1">
        <v>2014.0</v>
      </c>
      <c r="I1615" s="1" t="s">
        <v>32</v>
      </c>
      <c r="J1615" s="1" t="s">
        <v>1065</v>
      </c>
      <c r="K1615" s="1" t="s">
        <v>679</v>
      </c>
      <c r="L1615" s="1" t="s">
        <v>9418</v>
      </c>
      <c r="M1615" s="2" t="s">
        <v>12</v>
      </c>
      <c r="N1615" s="4">
        <f t="shared" si="1"/>
        <v>44166</v>
      </c>
      <c r="O1615" s="5" t="str">
        <f>IFERROR(__xludf.DUMMYFUNCTION("IF(REGEXMATCH(TRIM(I1615), ""^\d+\s*min""), ""Unclassified"", IF(I1615 = """", ""NR"", I1615))"),"PG-13")</f>
        <v>PG-13</v>
      </c>
      <c r="R1615" s="5" t="str">
        <f t="shared" si="2"/>
        <v>Effie Gray</v>
      </c>
      <c r="S1615" s="5" t="str">
        <f>IFERROR(__xludf.DUMMYFUNCTION("""COMPUTED_VALUE"""),"Cobra Kai")</f>
        <v>Cobra Kai</v>
      </c>
      <c r="U1615" s="5" t="str">
        <f>IFERROR(__xludf.DUMMYFUNCTION("""COMPUTED_VALUE"""),"Robert Eagar")</f>
        <v>Robert Eagar</v>
      </c>
      <c r="V1615" s="5" t="s">
        <v>9419</v>
      </c>
      <c r="W1615" s="5" t="str">
        <f t="shared" si="3"/>
        <v>Hrishikesh Mukherjee</v>
      </c>
      <c r="X1615" s="5">
        <f t="shared" si="4"/>
        <v>4</v>
      </c>
      <c r="Y1615" s="5" t="str">
        <f>IFERROR(__xludf.DUMMYFUNCTION("REGEXEXTRACT(J1615, ""^\d+"")"),"109")</f>
        <v>109</v>
      </c>
      <c r="Z1615" s="5" t="str">
        <f>IFERROR(__xludf.DUMMYFUNCTION("REGEXEXTRACT(J1615, ""[A-Za-z ]+$"")")," min")</f>
        <v> min</v>
      </c>
      <c r="AA1615" s="5" t="str">
        <f>IFERROR(__xludf.DUMMYFUNCTION("IF(REGEXMATCH(Z1615, ""Season""), ""TV Show"", ""Movie"")"),"Movie")</f>
        <v>Movie</v>
      </c>
    </row>
    <row r="1616">
      <c r="A1616" s="1" t="s">
        <v>9420</v>
      </c>
      <c r="B1616" s="1" t="s">
        <v>37</v>
      </c>
      <c r="C1616" s="1" t="s">
        <v>9421</v>
      </c>
      <c r="E1616" s="1" t="s">
        <v>9422</v>
      </c>
      <c r="F1616" s="1" t="s">
        <v>9423</v>
      </c>
      <c r="G1616" s="1" t="s">
        <v>9391</v>
      </c>
      <c r="H1616" s="1">
        <v>2018.0</v>
      </c>
      <c r="I1616" s="1" t="s">
        <v>206</v>
      </c>
      <c r="J1616" s="1" t="s">
        <v>51</v>
      </c>
      <c r="K1616" s="1" t="s">
        <v>290</v>
      </c>
      <c r="L1616" s="1" t="s">
        <v>9424</v>
      </c>
      <c r="M1616" s="2" t="s">
        <v>12</v>
      </c>
      <c r="N1616" s="4">
        <f t="shared" si="1"/>
        <v>44166</v>
      </c>
      <c r="O1616" s="5" t="str">
        <f>IFERROR(__xludf.DUMMYFUNCTION("IF(REGEXMATCH(TRIM(I1616), ""^\d+\s*min""), ""Unclassified"", IF(I1616 = """", ""NR"", I1616))"),"TV-Y")</f>
        <v>TV-Y</v>
      </c>
      <c r="R1616" s="5" t="str">
        <f t="shared" si="2"/>
        <v>Gormiti</v>
      </c>
      <c r="S1616" s="5" t="str">
        <f>IFERROR(__xludf.DUMMYFUNCTION("""COMPUTED_VALUE"""),"Cobra Kai - The Afterparty")</f>
        <v>Cobra Kai - The Afterparty</v>
      </c>
      <c r="U1616" s="5" t="str">
        <f>IFERROR(__xludf.DUMMYFUNCTION("""COMPUTED_VALUE"""),"Travis Stevens")</f>
        <v>Travis Stevens</v>
      </c>
      <c r="V1616" s="5" t="s">
        <v>9425</v>
      </c>
      <c r="W1616" s="5" t="str">
        <f t="shared" si="3"/>
        <v>Hsu Chih-Yen, Mag Hsu</v>
      </c>
      <c r="X1616" s="5">
        <f t="shared" si="4"/>
        <v>1</v>
      </c>
      <c r="Y1616" s="5" t="str">
        <f>IFERROR(__xludf.DUMMYFUNCTION("REGEXEXTRACT(J1616, ""^\d+"")"),"1")</f>
        <v>1</v>
      </c>
      <c r="Z1616" s="5" t="str">
        <f>IFERROR(__xludf.DUMMYFUNCTION("REGEXEXTRACT(J1616, ""[A-Za-z ]+$"")")," Season")</f>
        <v> Season</v>
      </c>
      <c r="AA1616" s="5" t="str">
        <f>IFERROR(__xludf.DUMMYFUNCTION("IF(REGEXMATCH(Z1616, ""Season""), ""TV Show"", ""Movie"")"),"TV Show")</f>
        <v>TV Show</v>
      </c>
    </row>
    <row r="1617">
      <c r="A1617" s="1" t="s">
        <v>9426</v>
      </c>
      <c r="B1617" s="1" t="s">
        <v>37</v>
      </c>
      <c r="C1617" s="1" t="s">
        <v>9427</v>
      </c>
      <c r="E1617" s="1" t="s">
        <v>9428</v>
      </c>
      <c r="F1617" s="1" t="s">
        <v>30</v>
      </c>
      <c r="G1617" s="1" t="s">
        <v>9391</v>
      </c>
      <c r="H1617" s="1">
        <v>2012.0</v>
      </c>
      <c r="I1617" s="1" t="s">
        <v>97</v>
      </c>
      <c r="J1617" s="1" t="s">
        <v>43</v>
      </c>
      <c r="K1617" s="1" t="s">
        <v>440</v>
      </c>
      <c r="L1617" s="1" t="s">
        <v>9429</v>
      </c>
      <c r="M1617" s="2" t="s">
        <v>12</v>
      </c>
      <c r="N1617" s="4">
        <f t="shared" si="1"/>
        <v>44166</v>
      </c>
      <c r="O1617" s="5" t="str">
        <f>IFERROR(__xludf.DUMMYFUNCTION("IF(REGEXMATCH(TRIM(I1617), ""^\d+\s*min""), ""Unclassified"", IF(I1617 = """", ""NR"", I1617))"),"TV-14")</f>
        <v>TV-14</v>
      </c>
      <c r="R1617" s="5" t="str">
        <f t="shared" si="2"/>
        <v>Ink Master</v>
      </c>
      <c r="S1617" s="5" t="str">
        <f>IFERROR(__xludf.DUMMYFUNCTION("""COMPUTED_VALUE"""),"Cocaine")</f>
        <v>Cocaine</v>
      </c>
      <c r="U1617" s="5" t="str">
        <f>IFERROR(__xludf.DUMMYFUNCTION("""COMPUTED_VALUE"""),"Mick Grogan")</f>
        <v>Mick Grogan</v>
      </c>
      <c r="V1617" s="5" t="s">
        <v>9430</v>
      </c>
      <c r="W1617" s="5" t="str">
        <f t="shared" si="3"/>
        <v>Hsu Fu-Chun</v>
      </c>
      <c r="X1617" s="5">
        <f t="shared" si="4"/>
        <v>2</v>
      </c>
      <c r="Y1617" s="5" t="str">
        <f>IFERROR(__xludf.DUMMYFUNCTION("REGEXEXTRACT(J1617, ""^\d+"")"),"2")</f>
        <v>2</v>
      </c>
      <c r="Z1617" s="5" t="str">
        <f>IFERROR(__xludf.DUMMYFUNCTION("REGEXEXTRACT(J1617, ""[A-Za-z ]+$"")")," Seasons")</f>
        <v> Seasons</v>
      </c>
      <c r="AA1617" s="5" t="str">
        <f>IFERROR(__xludf.DUMMYFUNCTION("IF(REGEXMATCH(Z1617, ""Season""), ""TV Show"", ""Movie"")"),"TV Show")</f>
        <v>TV Show</v>
      </c>
    </row>
    <row r="1618">
      <c r="A1618" s="1" t="s">
        <v>9431</v>
      </c>
      <c r="B1618" s="1" t="s">
        <v>27</v>
      </c>
      <c r="C1618" s="1" t="s">
        <v>9432</v>
      </c>
      <c r="D1618" s="1" t="s">
        <v>8460</v>
      </c>
      <c r="E1618" s="1" t="s">
        <v>9433</v>
      </c>
      <c r="F1618" s="1" t="s">
        <v>30</v>
      </c>
      <c r="G1618" s="1" t="s">
        <v>9391</v>
      </c>
      <c r="H1618" s="1">
        <v>2006.0</v>
      </c>
      <c r="I1618" s="1" t="s">
        <v>78</v>
      </c>
      <c r="J1618" s="1" t="s">
        <v>79</v>
      </c>
      <c r="K1618" s="1" t="s">
        <v>137</v>
      </c>
      <c r="L1618" s="1" t="s">
        <v>9434</v>
      </c>
      <c r="M1618" s="2" t="s">
        <v>12</v>
      </c>
      <c r="N1618" s="4">
        <f t="shared" si="1"/>
        <v>44166</v>
      </c>
      <c r="O1618" s="5" t="str">
        <f>IFERROR(__xludf.DUMMYFUNCTION("IF(REGEXMATCH(TRIM(I1618), ""^\d+\s*min""), ""Unclassified"", IF(I1618 = """", ""NR"", I1618))"),"PG")</f>
        <v>PG</v>
      </c>
      <c r="R1618" s="5" t="str">
        <f t="shared" si="2"/>
        <v>Monster House</v>
      </c>
      <c r="S1618" s="5" t="str">
        <f>IFERROR(__xludf.DUMMYFUNCTION("""COMPUTED_VALUE"""),"Cocaine Coast")</f>
        <v>Cocaine Coast</v>
      </c>
      <c r="U1618" s="5" t="str">
        <f>IFERROR(__xludf.DUMMYFUNCTION("""COMPUTED_VALUE"""),"Nora Fingscheidt")</f>
        <v>Nora Fingscheidt</v>
      </c>
      <c r="V1618" s="5" t="s">
        <v>9435</v>
      </c>
      <c r="W1618" s="5" t="str">
        <f t="shared" si="3"/>
        <v>Hua Shan</v>
      </c>
      <c r="X1618" s="5">
        <f t="shared" si="4"/>
        <v>1</v>
      </c>
      <c r="Y1618" s="5" t="str">
        <f>IFERROR(__xludf.DUMMYFUNCTION("REGEXEXTRACT(J1618, ""^\d+"")"),"91")</f>
        <v>91</v>
      </c>
      <c r="Z1618" s="5" t="str">
        <f>IFERROR(__xludf.DUMMYFUNCTION("REGEXEXTRACT(J1618, ""[A-Za-z ]+$"")")," min")</f>
        <v> min</v>
      </c>
      <c r="AA1618" s="5" t="str">
        <f>IFERROR(__xludf.DUMMYFUNCTION("IF(REGEXMATCH(Z1618, ""Season""), ""TV Show"", ""Movie"")"),"Movie")</f>
        <v>Movie</v>
      </c>
    </row>
    <row r="1619">
      <c r="A1619" s="1" t="s">
        <v>9436</v>
      </c>
      <c r="B1619" s="1" t="s">
        <v>27</v>
      </c>
      <c r="C1619" s="1" t="s">
        <v>9437</v>
      </c>
      <c r="D1619" s="1" t="s">
        <v>9438</v>
      </c>
      <c r="E1619" s="1" t="s">
        <v>9439</v>
      </c>
      <c r="F1619" s="1" t="s">
        <v>30</v>
      </c>
      <c r="G1619" s="1" t="s">
        <v>9391</v>
      </c>
      <c r="H1619" s="1">
        <v>2020.0</v>
      </c>
      <c r="I1619" s="1" t="s">
        <v>42</v>
      </c>
      <c r="J1619" s="1" t="s">
        <v>4639</v>
      </c>
      <c r="K1619" s="1" t="s">
        <v>239</v>
      </c>
      <c r="L1619" s="1" t="s">
        <v>9440</v>
      </c>
      <c r="M1619" s="2" t="s">
        <v>12</v>
      </c>
      <c r="N1619" s="4">
        <f t="shared" si="1"/>
        <v>44166</v>
      </c>
      <c r="O1619" s="5" t="str">
        <f>IFERROR(__xludf.DUMMYFUNCTION("IF(REGEXMATCH(TRIM(I1619), ""^\d+\s*min""), ""Unclassified"", IF(I1619 = """", ""NR"", I1619))"),"TV-MA")</f>
        <v>TV-MA</v>
      </c>
      <c r="R1619" s="5" t="str">
        <f t="shared" si="2"/>
        <v>Natalie Palamides: Nate - A One Man Show</v>
      </c>
      <c r="S1619" s="5" t="str">
        <f>IFERROR(__xludf.DUMMYFUNCTION("""COMPUTED_VALUE"""),"Cocaine Cowboys: The Kings Of Miami")</f>
        <v>Cocaine Cowboys: The Kings Of Miami</v>
      </c>
      <c r="U1619" s="5" t="str">
        <f>IFERROR(__xludf.DUMMYFUNCTION("""COMPUTED_VALUE"""),"Jeethu Joseph")</f>
        <v>Jeethu Joseph</v>
      </c>
      <c r="V1619" s="5" t="s">
        <v>7594</v>
      </c>
      <c r="W1619" s="5" t="str">
        <f t="shared" si="3"/>
        <v>Huang Hsin-Yao</v>
      </c>
      <c r="X1619" s="5">
        <f t="shared" si="4"/>
        <v>1</v>
      </c>
      <c r="Y1619" s="5" t="str">
        <f>IFERROR(__xludf.DUMMYFUNCTION("REGEXEXTRACT(J1619, ""^\d+"")"),"60")</f>
        <v>60</v>
      </c>
      <c r="Z1619" s="5" t="str">
        <f>IFERROR(__xludf.DUMMYFUNCTION("REGEXEXTRACT(J1619, ""[A-Za-z ]+$"")")," min")</f>
        <v> min</v>
      </c>
      <c r="AA1619" s="5" t="str">
        <f>IFERROR(__xludf.DUMMYFUNCTION("IF(REGEXMATCH(Z1619, ""Season""), ""TV Show"", ""Movie"")"),"Movie")</f>
        <v>Movie</v>
      </c>
    </row>
    <row r="1620">
      <c r="A1620" s="1" t="s">
        <v>9441</v>
      </c>
      <c r="B1620" s="1" t="s">
        <v>37</v>
      </c>
      <c r="C1620" s="1" t="s">
        <v>9442</v>
      </c>
      <c r="E1620" s="1" t="s">
        <v>9443</v>
      </c>
      <c r="F1620" s="1" t="s">
        <v>9444</v>
      </c>
      <c r="G1620" s="1" t="s">
        <v>9391</v>
      </c>
      <c r="H1620" s="1">
        <v>2015.0</v>
      </c>
      <c r="I1620" s="1" t="s">
        <v>206</v>
      </c>
      <c r="J1620" s="1" t="s">
        <v>148</v>
      </c>
      <c r="K1620" s="1" t="s">
        <v>712</v>
      </c>
      <c r="L1620" s="1" t="s">
        <v>9445</v>
      </c>
      <c r="M1620" s="2" t="s">
        <v>12</v>
      </c>
      <c r="N1620" s="4">
        <f t="shared" si="1"/>
        <v>44166</v>
      </c>
      <c r="O1620" s="5" t="str">
        <f>IFERROR(__xludf.DUMMYFUNCTION("IF(REGEXMATCH(TRIM(I1620), ""^\d+\s*min""), ""Unclassified"", IF(I1620 = """", ""NR"", I1620))"),"TV-Y")</f>
        <v>TV-Y</v>
      </c>
      <c r="R1620" s="5" t="str">
        <f t="shared" si="2"/>
        <v>Octonauts</v>
      </c>
      <c r="S1620" s="5" t="str">
        <f>IFERROR(__xludf.DUMMYFUNCTION("""COMPUTED_VALUE"""),"Coco Y Raulito: Carrusel De Ternura")</f>
        <v>Coco Y Raulito: Carrusel De Ternura</v>
      </c>
      <c r="U1620" s="5" t="str">
        <f>IFERROR(__xludf.DUMMYFUNCTION("""COMPUTED_VALUE"""),"Dee Rees")</f>
        <v>Dee Rees</v>
      </c>
      <c r="V1620" s="5" t="s">
        <v>9446</v>
      </c>
      <c r="W1620" s="5" t="str">
        <f t="shared" si="3"/>
        <v>Huang Jianming</v>
      </c>
      <c r="X1620" s="5">
        <f t="shared" si="4"/>
        <v>1</v>
      </c>
      <c r="Y1620" s="5" t="str">
        <f>IFERROR(__xludf.DUMMYFUNCTION("REGEXEXTRACT(J1620, ""^\d+"")"),"4")</f>
        <v>4</v>
      </c>
      <c r="Z1620" s="5" t="str">
        <f>IFERROR(__xludf.DUMMYFUNCTION("REGEXEXTRACT(J1620, ""[A-Za-z ]+$"")")," Seasons")</f>
        <v> Seasons</v>
      </c>
      <c r="AA1620" s="5" t="str">
        <f>IFERROR(__xludf.DUMMYFUNCTION("IF(REGEXMATCH(Z1620, ""Season""), ""TV Show"", ""Movie"")"),"TV Show")</f>
        <v>TV Show</v>
      </c>
    </row>
    <row r="1621">
      <c r="A1621" s="1" t="s">
        <v>9447</v>
      </c>
      <c r="B1621" s="1" t="s">
        <v>37</v>
      </c>
      <c r="C1621" s="1" t="s">
        <v>9448</v>
      </c>
      <c r="E1621" s="1" t="s">
        <v>9449</v>
      </c>
      <c r="F1621" s="1" t="s">
        <v>9450</v>
      </c>
      <c r="G1621" s="1" t="s">
        <v>9391</v>
      </c>
      <c r="H1621" s="1">
        <v>2017.0</v>
      </c>
      <c r="I1621" s="1" t="s">
        <v>206</v>
      </c>
      <c r="J1621" s="1" t="s">
        <v>51</v>
      </c>
      <c r="K1621" s="1" t="s">
        <v>314</v>
      </c>
      <c r="L1621" s="1" t="s">
        <v>9451</v>
      </c>
      <c r="M1621" s="2" t="s">
        <v>12</v>
      </c>
      <c r="N1621" s="4">
        <f t="shared" si="1"/>
        <v>44166</v>
      </c>
      <c r="O1621" s="5" t="str">
        <f>IFERROR(__xludf.DUMMYFUNCTION("IF(REGEXMATCH(TRIM(I1621), ""^\d+\s*min""), ""Unclassified"", IF(I1621 = """", ""NR"", I1621))"),"TV-Y")</f>
        <v>TV-Y</v>
      </c>
      <c r="R1621" s="5" t="str">
        <f t="shared" si="2"/>
        <v>Oddbods</v>
      </c>
      <c r="S1621" s="5" t="str">
        <f>IFERROR(__xludf.DUMMYFUNCTION("""COMPUTED_VALUE"""),"Cocomelon")</f>
        <v>Cocomelon</v>
      </c>
      <c r="U1621" s="5" t="str">
        <f>IFERROR(__xludf.DUMMYFUNCTION("""COMPUTED_VALUE"""),"Sooni Taraporevala")</f>
        <v>Sooni Taraporevala</v>
      </c>
      <c r="V1621" s="5" t="s">
        <v>9452</v>
      </c>
      <c r="W1621" s="5" t="str">
        <f t="shared" si="3"/>
        <v>Huang Lei</v>
      </c>
      <c r="X1621" s="5">
        <f t="shared" si="4"/>
        <v>1</v>
      </c>
      <c r="Y1621" s="5" t="str">
        <f>IFERROR(__xludf.DUMMYFUNCTION("REGEXEXTRACT(J1621, ""^\d+"")"),"1")</f>
        <v>1</v>
      </c>
      <c r="Z1621" s="5" t="str">
        <f>IFERROR(__xludf.DUMMYFUNCTION("REGEXEXTRACT(J1621, ""[A-Za-z ]+$"")")," Season")</f>
        <v> Season</v>
      </c>
      <c r="AA1621" s="5" t="str">
        <f>IFERROR(__xludf.DUMMYFUNCTION("IF(REGEXMATCH(Z1621, ""Season""), ""TV Show"", ""Movie"")"),"TV Show")</f>
        <v>TV Show</v>
      </c>
    </row>
    <row r="1622">
      <c r="A1622" s="1" t="s">
        <v>9453</v>
      </c>
      <c r="B1622" s="1" t="s">
        <v>27</v>
      </c>
      <c r="C1622" s="1" t="s">
        <v>9454</v>
      </c>
      <c r="D1622" s="1" t="s">
        <v>9455</v>
      </c>
      <c r="E1622" s="1" t="s">
        <v>9456</v>
      </c>
      <c r="F1622" s="1" t="s">
        <v>9457</v>
      </c>
      <c r="G1622" s="1" t="s">
        <v>9391</v>
      </c>
      <c r="H1622" s="1">
        <v>2018.0</v>
      </c>
      <c r="I1622" s="1" t="s">
        <v>378</v>
      </c>
      <c r="J1622" s="1" t="s">
        <v>447</v>
      </c>
      <c r="K1622" s="1" t="s">
        <v>380</v>
      </c>
      <c r="L1622" s="1" t="s">
        <v>9458</v>
      </c>
      <c r="M1622" s="2" t="s">
        <v>12</v>
      </c>
      <c r="N1622" s="4">
        <f t="shared" si="1"/>
        <v>44166</v>
      </c>
      <c r="O1622" s="5" t="str">
        <f>IFERROR(__xludf.DUMMYFUNCTION("IF(REGEXMATCH(TRIM(I1622), ""^\d+\s*min""), ""Unclassified"", IF(I1622 = """", ""NR"", I1622))"),"R")</f>
        <v>R</v>
      </c>
      <c r="R1622" s="5" t="str">
        <f t="shared" si="2"/>
        <v>Peppermint</v>
      </c>
      <c r="S1622" s="5" t="str">
        <f>IFERROR(__xludf.DUMMYFUNCTION("""COMPUTED_VALUE"""),"Cocomong")</f>
        <v>Cocomong</v>
      </c>
      <c r="U1622" s="5" t="str">
        <f>IFERROR(__xludf.DUMMYFUNCTION("""COMPUTED_VALUE"""),"Linda Korsten")</f>
        <v>Linda Korsten</v>
      </c>
      <c r="V1622" s="5" t="s">
        <v>9459</v>
      </c>
      <c r="W1622" s="5" t="str">
        <f t="shared" si="3"/>
        <v>Hubert Woroniecki</v>
      </c>
      <c r="X1622" s="5">
        <f t="shared" si="4"/>
        <v>1</v>
      </c>
      <c r="Y1622" s="5" t="str">
        <f>IFERROR(__xludf.DUMMYFUNCTION("REGEXEXTRACT(J1622, ""^\d+"")"),"102")</f>
        <v>102</v>
      </c>
      <c r="Z1622" s="5" t="str">
        <f>IFERROR(__xludf.DUMMYFUNCTION("REGEXEXTRACT(J1622, ""[A-Za-z ]+$"")")," min")</f>
        <v> min</v>
      </c>
      <c r="AA1622" s="5" t="str">
        <f>IFERROR(__xludf.DUMMYFUNCTION("IF(REGEXMATCH(Z1622, ""Season""), ""TV Show"", ""Movie"")"),"Movie")</f>
        <v>Movie</v>
      </c>
    </row>
    <row r="1623">
      <c r="A1623" s="1" t="s">
        <v>9460</v>
      </c>
      <c r="B1623" s="1" t="s">
        <v>27</v>
      </c>
      <c r="C1623" s="1" t="s">
        <v>9461</v>
      </c>
      <c r="D1623" s="1" t="s">
        <v>970</v>
      </c>
      <c r="E1623" s="1" t="s">
        <v>9462</v>
      </c>
      <c r="F1623" s="1" t="s">
        <v>972</v>
      </c>
      <c r="G1623" s="1" t="s">
        <v>9391</v>
      </c>
      <c r="H1623" s="1">
        <v>1990.0</v>
      </c>
      <c r="I1623" s="1" t="s">
        <v>32</v>
      </c>
      <c r="J1623" s="1" t="s">
        <v>985</v>
      </c>
      <c r="K1623" s="1" t="s">
        <v>380</v>
      </c>
      <c r="L1623" s="1" t="s">
        <v>9463</v>
      </c>
      <c r="M1623" s="2" t="s">
        <v>12</v>
      </c>
      <c r="N1623" s="4">
        <f t="shared" si="1"/>
        <v>44166</v>
      </c>
      <c r="O1623" s="5" t="str">
        <f>IFERROR(__xludf.DUMMYFUNCTION("IF(REGEXMATCH(TRIM(I1623), ""^\d+\s*min""), ""Unclassified"", IF(I1623 = """", ""NR"", I1623))"),"PG-13")</f>
        <v>PG-13</v>
      </c>
      <c r="R1623" s="5" t="str">
        <f t="shared" si="2"/>
        <v>Quigley Down Under</v>
      </c>
      <c r="S1623" s="5" t="str">
        <f>IFERROR(__xludf.DUMMYFUNCTION("""COMPUTED_VALUE"""),"Code 8")</f>
        <v>Code 8</v>
      </c>
      <c r="U1623" s="5" t="str">
        <f>IFERROR(__xludf.DUMMYFUNCTION("""COMPUTED_VALUE"""),"Tom Barton-Humphreys")</f>
        <v>Tom Barton-Humphreys</v>
      </c>
      <c r="V1623" s="5" t="s">
        <v>9464</v>
      </c>
      <c r="W1623" s="5" t="str">
        <f t="shared" si="3"/>
        <v>Hugh Wilson</v>
      </c>
      <c r="X1623" s="5">
        <f t="shared" si="4"/>
        <v>1</v>
      </c>
      <c r="Y1623" s="5" t="str">
        <f>IFERROR(__xludf.DUMMYFUNCTION("REGEXEXTRACT(J1623, ""^\d+"")"),"120")</f>
        <v>120</v>
      </c>
      <c r="Z1623" s="5" t="str">
        <f>IFERROR(__xludf.DUMMYFUNCTION("REGEXEXTRACT(J1623, ""[A-Za-z ]+$"")")," min")</f>
        <v> min</v>
      </c>
      <c r="AA1623" s="5" t="str">
        <f>IFERROR(__xludf.DUMMYFUNCTION("IF(REGEXMATCH(Z1623, ""Season""), ""TV Show"", ""Movie"")"),"Movie")</f>
        <v>Movie</v>
      </c>
    </row>
    <row r="1624">
      <c r="A1624" s="1" t="s">
        <v>9465</v>
      </c>
      <c r="B1624" s="1" t="s">
        <v>37</v>
      </c>
      <c r="C1624" s="1" t="s">
        <v>9466</v>
      </c>
      <c r="E1624" s="1" t="s">
        <v>9467</v>
      </c>
      <c r="F1624" s="1" t="s">
        <v>897</v>
      </c>
      <c r="G1624" s="1" t="s">
        <v>9391</v>
      </c>
      <c r="H1624" s="1">
        <v>2006.0</v>
      </c>
      <c r="I1624" s="1" t="s">
        <v>42</v>
      </c>
      <c r="J1624" s="1" t="s">
        <v>2526</v>
      </c>
      <c r="K1624" s="1" t="s">
        <v>9468</v>
      </c>
      <c r="L1624" s="1" t="s">
        <v>9469</v>
      </c>
      <c r="M1624" s="2" t="s">
        <v>12</v>
      </c>
      <c r="N1624" s="4">
        <f t="shared" si="1"/>
        <v>44166</v>
      </c>
      <c r="O1624" s="5" t="str">
        <f>IFERROR(__xludf.DUMMYFUNCTION("IF(REGEXMATCH(TRIM(I1624), ""^\d+\s*min""), ""Unclassified"", IF(I1624 = """", ""NR"", I1624))"),"TV-MA")</f>
        <v>TV-MA</v>
      </c>
      <c r="R1624" s="5" t="str">
        <f t="shared" si="2"/>
        <v>Stargate Sg-1</v>
      </c>
      <c r="S1624" s="5" t="str">
        <f>IFERROR(__xludf.DUMMYFUNCTION("""COMPUTED_VALUE"""),"Code Geass: Lelouch Of The Rebellion")</f>
        <v>Code Geass: Lelouch Of The Rebellion</v>
      </c>
      <c r="U1624" s="5" t="str">
        <f>IFERROR(__xludf.DUMMYFUNCTION("""COMPUTED_VALUE"""),"Angelina Jolie")</f>
        <v>Angelina Jolie</v>
      </c>
      <c r="V1624" s="5" t="s">
        <v>9470</v>
      </c>
      <c r="W1624" s="5" t="str">
        <f t="shared" si="3"/>
        <v>Hugo Stuven</v>
      </c>
      <c r="X1624" s="5">
        <f t="shared" si="4"/>
        <v>1</v>
      </c>
      <c r="Y1624" s="5" t="str">
        <f>IFERROR(__xludf.DUMMYFUNCTION("REGEXEXTRACT(J1624, ""^\d+"")"),"10")</f>
        <v>10</v>
      </c>
      <c r="Z1624" s="5" t="str">
        <f>IFERROR(__xludf.DUMMYFUNCTION("REGEXEXTRACT(J1624, ""[A-Za-z ]+$"")")," Seasons")</f>
        <v> Seasons</v>
      </c>
      <c r="AA1624" s="5" t="str">
        <f>IFERROR(__xludf.DUMMYFUNCTION("IF(REGEXMATCH(Z1624, ""Season""), ""TV Show"", ""Movie"")"),"TV Show")</f>
        <v>TV Show</v>
      </c>
    </row>
    <row r="1625">
      <c r="A1625" s="1" t="s">
        <v>9471</v>
      </c>
      <c r="B1625" s="1" t="s">
        <v>37</v>
      </c>
      <c r="C1625" s="1" t="s">
        <v>9472</v>
      </c>
      <c r="F1625" s="1" t="s">
        <v>30</v>
      </c>
      <c r="G1625" s="1" t="s">
        <v>9391</v>
      </c>
      <c r="H1625" s="1">
        <v>2010.0</v>
      </c>
      <c r="I1625" s="1" t="s">
        <v>97</v>
      </c>
      <c r="J1625" s="1" t="s">
        <v>51</v>
      </c>
      <c r="K1625" s="1" t="s">
        <v>4008</v>
      </c>
      <c r="L1625" s="1" t="s">
        <v>9473</v>
      </c>
      <c r="M1625" s="2" t="s">
        <v>12</v>
      </c>
      <c r="N1625" s="4">
        <f t="shared" si="1"/>
        <v>44166</v>
      </c>
      <c r="O1625" s="5" t="str">
        <f>IFERROR(__xludf.DUMMYFUNCTION("IF(REGEXMATCH(TRIM(I1625), ""^\d+\s*min""), ""Unclassified"", IF(I1625 = """", ""NR"", I1625))"),"TV-14")</f>
        <v>TV-14</v>
      </c>
      <c r="R1625" s="5" t="str">
        <f t="shared" si="2"/>
        <v>The Bachelorette</v>
      </c>
      <c r="S1625" s="5" t="str">
        <f>IFERROR(__xludf.DUMMYFUNCTION("""COMPUTED_VALUE"""),"Code Lyoko")</f>
        <v>Code Lyoko</v>
      </c>
      <c r="U1625" s="5" t="str">
        <f>IFERROR(__xludf.DUMMYFUNCTION("""COMPUTED_VALUE"""),"R.J. Daniel Hanna")</f>
        <v>R.J. Daniel Hanna</v>
      </c>
      <c r="V1625" s="5" t="s">
        <v>9474</v>
      </c>
      <c r="W1625" s="5" t="str">
        <f t="shared" si="3"/>
        <v>Hugues Nancy, Fabien Beziat</v>
      </c>
      <c r="X1625" s="5">
        <f t="shared" si="4"/>
        <v>1</v>
      </c>
      <c r="Y1625" s="5" t="str">
        <f>IFERROR(__xludf.DUMMYFUNCTION("REGEXEXTRACT(J1625, ""^\d+"")"),"1")</f>
        <v>1</v>
      </c>
      <c r="Z1625" s="5" t="str">
        <f>IFERROR(__xludf.DUMMYFUNCTION("REGEXEXTRACT(J1625, ""[A-Za-z ]+$"")")," Season")</f>
        <v> Season</v>
      </c>
      <c r="AA1625" s="5" t="str">
        <f>IFERROR(__xludf.DUMMYFUNCTION("IF(REGEXMATCH(Z1625, ""Season""), ""TV Show"", ""Movie"")"),"TV Show")</f>
        <v>TV Show</v>
      </c>
    </row>
    <row r="1626">
      <c r="A1626" s="1" t="s">
        <v>9475</v>
      </c>
      <c r="B1626" s="1" t="s">
        <v>27</v>
      </c>
      <c r="C1626" s="1" t="s">
        <v>9476</v>
      </c>
      <c r="D1626" s="1" t="s">
        <v>6169</v>
      </c>
      <c r="E1626" s="1" t="s">
        <v>9477</v>
      </c>
      <c r="F1626" s="1" t="s">
        <v>9478</v>
      </c>
      <c r="G1626" s="1" t="s">
        <v>9391</v>
      </c>
      <c r="H1626" s="1">
        <v>2006.0</v>
      </c>
      <c r="I1626" s="1" t="s">
        <v>32</v>
      </c>
      <c r="J1626" s="1" t="s">
        <v>5833</v>
      </c>
      <c r="K1626" s="1" t="s">
        <v>171</v>
      </c>
      <c r="L1626" s="1" t="s">
        <v>9479</v>
      </c>
      <c r="M1626" s="2" t="s">
        <v>12</v>
      </c>
      <c r="N1626" s="4">
        <f t="shared" si="1"/>
        <v>44166</v>
      </c>
      <c r="O1626" s="5" t="str">
        <f>IFERROR(__xludf.DUMMYFUNCTION("IF(REGEXMATCH(TRIM(I1626), ""^\d+\s*min""), ""Unclassified"", IF(I1626 = """", ""NR"", I1626))"),"PG-13")</f>
        <v>PG-13</v>
      </c>
      <c r="R1626" s="5" t="str">
        <f t="shared" si="2"/>
        <v>The Da Vinci Code</v>
      </c>
      <c r="S1626" s="5" t="str">
        <f>IFERROR(__xludf.DUMMYFUNCTION("""COMPUTED_VALUE"""),"Code Name: The Cleaner")</f>
        <v>Code Name: The Cleaner</v>
      </c>
      <c r="U1626" s="5" t="str">
        <f>IFERROR(__xludf.DUMMYFUNCTION("""COMPUTED_VALUE"""),"Paco Cabezas")</f>
        <v>Paco Cabezas</v>
      </c>
      <c r="V1626" s="5" t="s">
        <v>9480</v>
      </c>
      <c r="W1626" s="5" t="str">
        <f t="shared" si="3"/>
        <v>Husam El-Gohari</v>
      </c>
      <c r="X1626" s="5">
        <f t="shared" si="4"/>
        <v>2</v>
      </c>
      <c r="Y1626" s="5" t="str">
        <f>IFERROR(__xludf.DUMMYFUNCTION("REGEXEXTRACT(J1626, ""^\d+"")"),"149")</f>
        <v>149</v>
      </c>
      <c r="Z1626" s="5" t="str">
        <f>IFERROR(__xludf.DUMMYFUNCTION("REGEXEXTRACT(J1626, ""[A-Za-z ]+$"")")," min")</f>
        <v> min</v>
      </c>
      <c r="AA1626" s="5" t="str">
        <f>IFERROR(__xludf.DUMMYFUNCTION("IF(REGEXMATCH(Z1626, ""Season""), ""TV Show"", ""Movie"")"),"Movie")</f>
        <v>Movie</v>
      </c>
    </row>
    <row r="1627">
      <c r="A1627" s="1" t="s">
        <v>9481</v>
      </c>
      <c r="B1627" s="1" t="s">
        <v>37</v>
      </c>
      <c r="C1627" s="1" t="s">
        <v>9482</v>
      </c>
      <c r="E1627" s="1" t="s">
        <v>9483</v>
      </c>
      <c r="F1627" s="1" t="s">
        <v>749</v>
      </c>
      <c r="G1627" s="1" t="s">
        <v>9391</v>
      </c>
      <c r="H1627" s="1">
        <v>2018.0</v>
      </c>
      <c r="I1627" s="1" t="s">
        <v>97</v>
      </c>
      <c r="J1627" s="1" t="s">
        <v>51</v>
      </c>
      <c r="K1627" s="1" t="s">
        <v>9484</v>
      </c>
      <c r="L1627" s="1" t="s">
        <v>9485</v>
      </c>
      <c r="M1627" s="2" t="s">
        <v>12</v>
      </c>
      <c r="N1627" s="4">
        <f t="shared" si="1"/>
        <v>44166</v>
      </c>
      <c r="O1627" s="5" t="str">
        <f>IFERROR(__xludf.DUMMYFUNCTION("IF(REGEXMATCH(TRIM(I1627), ""^\d+\s*min""), ""Unclassified"", IF(I1627 = """", ""NR"", I1627))"),"TV-14")</f>
        <v>TV-14</v>
      </c>
      <c r="R1627" s="5" t="str">
        <f t="shared" si="2"/>
        <v>The Guest</v>
      </c>
      <c r="S1627" s="5" t="str">
        <f>IFERROR(__xludf.DUMMYFUNCTION("""COMPUTED_VALUE"""),"Coded Bias")</f>
        <v>Coded Bias</v>
      </c>
      <c r="U1627" s="5" t="str">
        <f>IFERROR(__xludf.DUMMYFUNCTION("""COMPUTED_VALUE"""),"Peter Billingsley")</f>
        <v>Peter Billingsley</v>
      </c>
      <c r="V1627" s="5" t="s">
        <v>9486</v>
      </c>
      <c r="W1627" s="5" t="str">
        <f t="shared" si="3"/>
        <v>Hussein El Ansary</v>
      </c>
      <c r="X1627" s="5">
        <f t="shared" si="4"/>
        <v>1</v>
      </c>
      <c r="Y1627" s="5" t="str">
        <f>IFERROR(__xludf.DUMMYFUNCTION("REGEXEXTRACT(J1627, ""^\d+"")"),"1")</f>
        <v>1</v>
      </c>
      <c r="Z1627" s="5" t="str">
        <f>IFERROR(__xludf.DUMMYFUNCTION("REGEXEXTRACT(J1627, ""[A-Za-z ]+$"")")," Season")</f>
        <v> Season</v>
      </c>
      <c r="AA1627" s="5" t="str">
        <f>IFERROR(__xludf.DUMMYFUNCTION("IF(REGEXMATCH(Z1627, ""Season""), ""TV Show"", ""Movie"")"),"TV Show")</f>
        <v>TV Show</v>
      </c>
    </row>
    <row r="1628">
      <c r="A1628" s="1" t="s">
        <v>9487</v>
      </c>
      <c r="B1628" s="1" t="s">
        <v>27</v>
      </c>
      <c r="C1628" s="1" t="s">
        <v>9488</v>
      </c>
      <c r="D1628" s="1" t="s">
        <v>3777</v>
      </c>
      <c r="E1628" s="1" t="s">
        <v>9489</v>
      </c>
      <c r="F1628" s="1" t="s">
        <v>9490</v>
      </c>
      <c r="G1628" s="1" t="s">
        <v>9391</v>
      </c>
      <c r="H1628" s="1">
        <v>2018.0</v>
      </c>
      <c r="I1628" s="1" t="s">
        <v>378</v>
      </c>
      <c r="J1628" s="1" t="s">
        <v>79</v>
      </c>
      <c r="K1628" s="1" t="s">
        <v>973</v>
      </c>
      <c r="L1628" s="1" t="s">
        <v>9491</v>
      </c>
      <c r="M1628" s="2" t="s">
        <v>12</v>
      </c>
      <c r="N1628" s="4">
        <f t="shared" si="1"/>
        <v>44166</v>
      </c>
      <c r="O1628" s="5" t="str">
        <f>IFERROR(__xludf.DUMMYFUNCTION("IF(REGEXMATCH(TRIM(I1628), ""^\d+\s*min""), ""Unclassified"", IF(I1628 = """", ""NR"", I1628))"),"R")</f>
        <v>R</v>
      </c>
      <c r="R1628" s="5" t="str">
        <f t="shared" si="2"/>
        <v>The Happytime Murders</v>
      </c>
      <c r="S1628" s="5" t="str">
        <f>IFERROR(__xludf.DUMMYFUNCTION("""COMPUTED_VALUE"""),"Coffee &amp; Kareem")</f>
        <v>Coffee &amp; Kareem</v>
      </c>
      <c r="U1628" s="5" t="str">
        <f>IFERROR(__xludf.DUMMYFUNCTION("""COMPUTED_VALUE"""),"Jason Zada")</f>
        <v>Jason Zada</v>
      </c>
      <c r="V1628" s="5" t="s">
        <v>9492</v>
      </c>
      <c r="W1628" s="5" t="str">
        <f t="shared" si="3"/>
        <v>Hussein Kamal</v>
      </c>
      <c r="X1628" s="5">
        <f t="shared" si="4"/>
        <v>2</v>
      </c>
      <c r="Y1628" s="5" t="str">
        <f>IFERROR(__xludf.DUMMYFUNCTION("REGEXEXTRACT(J1628, ""^\d+"")"),"91")</f>
        <v>91</v>
      </c>
      <c r="Z1628" s="5" t="str">
        <f>IFERROR(__xludf.DUMMYFUNCTION("REGEXEXTRACT(J1628, ""[A-Za-z ]+$"")")," min")</f>
        <v> min</v>
      </c>
      <c r="AA1628" s="5" t="str">
        <f>IFERROR(__xludf.DUMMYFUNCTION("IF(REGEXMATCH(Z1628, ""Season""), ""TV Show"", ""Movie"")"),"Movie")</f>
        <v>Movie</v>
      </c>
    </row>
    <row r="1629">
      <c r="A1629" s="1" t="s">
        <v>9493</v>
      </c>
      <c r="B1629" s="1" t="s">
        <v>37</v>
      </c>
      <c r="C1629" s="1" t="s">
        <v>9494</v>
      </c>
      <c r="F1629" s="1" t="s">
        <v>30</v>
      </c>
      <c r="G1629" s="1" t="s">
        <v>9391</v>
      </c>
      <c r="H1629" s="1">
        <v>2020.0</v>
      </c>
      <c r="I1629" s="1" t="s">
        <v>136</v>
      </c>
      <c r="J1629" s="1" t="s">
        <v>51</v>
      </c>
      <c r="K1629" s="1" t="s">
        <v>1261</v>
      </c>
      <c r="L1629" s="1" t="s">
        <v>9495</v>
      </c>
      <c r="M1629" s="2" t="s">
        <v>12</v>
      </c>
      <c r="N1629" s="4">
        <f t="shared" si="1"/>
        <v>44166</v>
      </c>
      <c r="O1629" s="5" t="str">
        <f>IFERROR(__xludf.DUMMYFUNCTION("IF(REGEXMATCH(TRIM(I1629), ""^\d+\s*min""), ""Unclassified"", IF(I1629 = """", ""NR"", I1629))"),"TV-PG")</f>
        <v>TV-PG</v>
      </c>
      <c r="R1629" s="5" t="str">
        <f t="shared" si="2"/>
        <v>The Holiday Movies That Made Us</v>
      </c>
      <c r="S1629" s="5" t="str">
        <f>IFERROR(__xludf.DUMMYFUNCTION("""COMPUTED_VALUE"""),"Coffee For All")</f>
        <v>Coffee For All</v>
      </c>
      <c r="U1629" s="5" t="str">
        <f>IFERROR(__xludf.DUMMYFUNCTION("""COMPUTED_VALUE"""),"Avgousta Zourelidi")</f>
        <v>Avgousta Zourelidi</v>
      </c>
      <c r="V1629" s="5" t="s">
        <v>9496</v>
      </c>
      <c r="W1629" s="5" t="str">
        <f t="shared" si="3"/>
        <v>Huw Cordey</v>
      </c>
      <c r="X1629" s="5">
        <f t="shared" si="4"/>
        <v>1</v>
      </c>
      <c r="Y1629" s="5" t="str">
        <f>IFERROR(__xludf.DUMMYFUNCTION("REGEXEXTRACT(J1629, ""^\d+"")"),"1")</f>
        <v>1</v>
      </c>
      <c r="Z1629" s="5" t="str">
        <f>IFERROR(__xludf.DUMMYFUNCTION("REGEXEXTRACT(J1629, ""[A-Za-z ]+$"")")," Season")</f>
        <v> Season</v>
      </c>
      <c r="AA1629" s="5" t="str">
        <f>IFERROR(__xludf.DUMMYFUNCTION("IF(REGEXMATCH(Z1629, ""Season""), ""TV Show"", ""Movie"")"),"TV Show")</f>
        <v>TV Show</v>
      </c>
    </row>
    <row r="1630">
      <c r="A1630" s="1" t="s">
        <v>9497</v>
      </c>
      <c r="B1630" s="1" t="s">
        <v>37</v>
      </c>
      <c r="C1630" s="1" t="s">
        <v>9498</v>
      </c>
      <c r="F1630" s="1" t="s">
        <v>96</v>
      </c>
      <c r="G1630" s="1" t="s">
        <v>9391</v>
      </c>
      <c r="H1630" s="1">
        <v>2018.0</v>
      </c>
      <c r="I1630" s="1" t="s">
        <v>136</v>
      </c>
      <c r="J1630" s="1" t="s">
        <v>51</v>
      </c>
      <c r="K1630" s="1" t="s">
        <v>99</v>
      </c>
      <c r="L1630" s="1" t="s">
        <v>9499</v>
      </c>
      <c r="M1630" s="2" t="s">
        <v>12</v>
      </c>
      <c r="N1630" s="4">
        <f t="shared" si="1"/>
        <v>44166</v>
      </c>
      <c r="O1630" s="5" t="str">
        <f>IFERROR(__xludf.DUMMYFUNCTION("IF(REGEXMATCH(TRIM(I1630), ""^\d+\s*min""), ""Unclassified"", IF(I1630 = """", ""NR"", I1630))"),"TV-PG")</f>
        <v>TV-PG</v>
      </c>
      <c r="R1630" s="5" t="str">
        <f t="shared" si="2"/>
        <v>The Repair Shop</v>
      </c>
      <c r="S1630" s="5" t="str">
        <f>IFERROR(__xludf.DUMMYFUNCTION("""COMPUTED_VALUE"""),"Coffee With D")</f>
        <v>Coffee With D</v>
      </c>
      <c r="U1630" s="5" t="str">
        <f>IFERROR(__xludf.DUMMYFUNCTION("""COMPUTED_VALUE"""),"Richard Phelan, Will Becher")</f>
        <v>Richard Phelan, Will Becher</v>
      </c>
      <c r="V1630" s="5" t="s">
        <v>9500</v>
      </c>
      <c r="W1630" s="5" t="str">
        <f t="shared" si="3"/>
        <v>Iain Softley</v>
      </c>
      <c r="X1630" s="5">
        <f t="shared" si="4"/>
        <v>1</v>
      </c>
      <c r="Y1630" s="5" t="str">
        <f>IFERROR(__xludf.DUMMYFUNCTION("REGEXEXTRACT(J1630, ""^\d+"")"),"1")</f>
        <v>1</v>
      </c>
      <c r="Z1630" s="5" t="str">
        <f>IFERROR(__xludf.DUMMYFUNCTION("REGEXEXTRACT(J1630, ""[A-Za-z ]+$"")")," Season")</f>
        <v> Season</v>
      </c>
      <c r="AA1630" s="5" t="str">
        <f>IFERROR(__xludf.DUMMYFUNCTION("IF(REGEXMATCH(Z1630, ""Season""), ""TV Show"", ""Movie"")"),"TV Show")</f>
        <v>TV Show</v>
      </c>
    </row>
    <row r="1631">
      <c r="A1631" s="1" t="s">
        <v>9501</v>
      </c>
      <c r="B1631" s="1" t="s">
        <v>27</v>
      </c>
      <c r="C1631" s="1" t="s">
        <v>9502</v>
      </c>
      <c r="D1631" s="1" t="s">
        <v>6393</v>
      </c>
      <c r="E1631" s="1" t="s">
        <v>9503</v>
      </c>
      <c r="F1631" s="1" t="s">
        <v>4287</v>
      </c>
      <c r="G1631" s="1" t="s">
        <v>9391</v>
      </c>
      <c r="H1631" s="1">
        <v>2020.0</v>
      </c>
      <c r="I1631" s="1" t="s">
        <v>42</v>
      </c>
      <c r="J1631" s="1" t="s">
        <v>416</v>
      </c>
      <c r="K1631" s="1" t="s">
        <v>1441</v>
      </c>
      <c r="L1631" s="1" t="s">
        <v>9504</v>
      </c>
      <c r="M1631" s="2" t="s">
        <v>12</v>
      </c>
      <c r="N1631" s="4">
        <f t="shared" si="1"/>
        <v>44166</v>
      </c>
      <c r="O1631" s="5" t="str">
        <f>IFERROR(__xludf.DUMMYFUNCTION("IF(REGEXMATCH(TRIM(I1631), ""^\d+\s*min""), ""Unclassified"", IF(I1631 = """", ""NR"", I1631))"),"TV-MA")</f>
        <v>TV-MA</v>
      </c>
      <c r="R1631" s="5" t="str">
        <f t="shared" si="2"/>
        <v>U-Turn</v>
      </c>
      <c r="S1631" s="5" t="str">
        <f>IFERROR(__xludf.DUMMYFUNCTION("""COMPUTED_VALUE"""),"Coin Heist")</f>
        <v>Coin Heist</v>
      </c>
      <c r="U1631" s="5" t="str">
        <f>IFERROR(__xludf.DUMMYFUNCTION("""COMPUTED_VALUE"""),"Rod Cabatana Marmol")</f>
        <v>Rod Cabatana Marmol</v>
      </c>
      <c r="V1631" s="5" t="s">
        <v>9505</v>
      </c>
      <c r="W1631" s="5" t="str">
        <f t="shared" si="3"/>
        <v>Ian Barber</v>
      </c>
      <c r="X1631" s="5">
        <f t="shared" si="4"/>
        <v>1</v>
      </c>
      <c r="Y1631" s="5" t="str">
        <f>IFERROR(__xludf.DUMMYFUNCTION("REGEXEXTRACT(J1631, ""^\d+"")"),"99")</f>
        <v>99</v>
      </c>
      <c r="Z1631" s="5" t="str">
        <f>IFERROR(__xludf.DUMMYFUNCTION("REGEXEXTRACT(J1631, ""[A-Za-z ]+$"")")," min")</f>
        <v> min</v>
      </c>
      <c r="AA1631" s="5" t="str">
        <f>IFERROR(__xludf.DUMMYFUNCTION("IF(REGEXMATCH(Z1631, ""Season""), ""TV Show"", ""Movie"")"),"Movie")</f>
        <v>Movie</v>
      </c>
    </row>
    <row r="1632">
      <c r="A1632" s="1" t="s">
        <v>9506</v>
      </c>
      <c r="B1632" s="1" t="s">
        <v>27</v>
      </c>
      <c r="C1632" s="1" t="s">
        <v>9507</v>
      </c>
      <c r="D1632" s="1" t="s">
        <v>9508</v>
      </c>
      <c r="E1632" s="1" t="s">
        <v>9509</v>
      </c>
      <c r="F1632" s="1" t="s">
        <v>4287</v>
      </c>
      <c r="G1632" s="1" t="s">
        <v>9510</v>
      </c>
      <c r="H1632" s="1">
        <v>2020.0</v>
      </c>
      <c r="I1632" s="1" t="s">
        <v>136</v>
      </c>
      <c r="J1632" s="1" t="s">
        <v>256</v>
      </c>
      <c r="K1632" s="1" t="s">
        <v>128</v>
      </c>
      <c r="L1632" s="1" t="s">
        <v>9511</v>
      </c>
      <c r="M1632" s="2" t="s">
        <v>12</v>
      </c>
      <c r="N1632" s="4">
        <f t="shared" si="1"/>
        <v>44165</v>
      </c>
      <c r="O1632" s="5" t="str">
        <f>IFERROR(__xludf.DUMMYFUNCTION("IF(REGEXMATCH(TRIM(I1632), ""^\d+\s*min""), ""Unclassified"", IF(I1632 = """", ""NR"", I1632))"),"TV-PG")</f>
        <v>TV-PG</v>
      </c>
      <c r="R1632" s="5" t="str">
        <f t="shared" si="2"/>
        <v>Finding Agnes</v>
      </c>
      <c r="S1632" s="5" t="str">
        <f>IFERROR(__xludf.DUMMYFUNCTION("""COMPUTED_VALUE"""),"Çok Filim Hareketler Bunlar")</f>
        <v>Çok Filim Hareketler Bunlar</v>
      </c>
      <c r="U1632" s="5" t="str">
        <f>IFERROR(__xludf.DUMMYFUNCTION("""COMPUTED_VALUE"""),"Michał Tylka")</f>
        <v>Michał Tylka</v>
      </c>
      <c r="V1632" s="5" t="s">
        <v>7688</v>
      </c>
      <c r="W1632" s="5" t="str">
        <f t="shared" si="3"/>
        <v>Ian Cheney</v>
      </c>
      <c r="X1632" s="5">
        <f t="shared" si="4"/>
        <v>1</v>
      </c>
      <c r="Y1632" s="5" t="str">
        <f>IFERROR(__xludf.DUMMYFUNCTION("REGEXEXTRACT(J1632, ""^\d+"")"),"106")</f>
        <v>106</v>
      </c>
      <c r="Z1632" s="5" t="str">
        <f>IFERROR(__xludf.DUMMYFUNCTION("REGEXEXTRACT(J1632, ""[A-Za-z ]+$"")")," min")</f>
        <v> min</v>
      </c>
      <c r="AA1632" s="5" t="str">
        <f>IFERROR(__xludf.DUMMYFUNCTION("IF(REGEXMATCH(Z1632, ""Season""), ""TV Show"", ""Movie"")"),"Movie")</f>
        <v>Movie</v>
      </c>
    </row>
    <row r="1633">
      <c r="A1633" s="1" t="s">
        <v>9512</v>
      </c>
      <c r="B1633" s="1" t="s">
        <v>27</v>
      </c>
      <c r="C1633" s="1" t="s">
        <v>9513</v>
      </c>
      <c r="D1633" s="1" t="s">
        <v>9514</v>
      </c>
      <c r="E1633" s="1" t="s">
        <v>9515</v>
      </c>
      <c r="F1633" s="1" t="s">
        <v>30</v>
      </c>
      <c r="G1633" s="1" t="s">
        <v>9510</v>
      </c>
      <c r="H1633" s="1">
        <v>2018.0</v>
      </c>
      <c r="I1633" s="1" t="s">
        <v>378</v>
      </c>
      <c r="J1633" s="1" t="s">
        <v>912</v>
      </c>
      <c r="K1633" s="1" t="s">
        <v>171</v>
      </c>
      <c r="L1633" s="1" t="s">
        <v>9516</v>
      </c>
      <c r="M1633" s="2" t="s">
        <v>12</v>
      </c>
      <c r="N1633" s="4">
        <f t="shared" si="1"/>
        <v>44165</v>
      </c>
      <c r="O1633" s="5" t="str">
        <f>IFERROR(__xludf.DUMMYFUNCTION("IF(REGEXMATCH(TRIM(I1633), ""^\d+\s*min""), ""Unclassified"", IF(I1633 = """", ""NR"", I1633))"),"R")</f>
        <v>R</v>
      </c>
      <c r="R1633" s="5" t="str">
        <f t="shared" si="2"/>
        <v>Rust Creek</v>
      </c>
      <c r="S1633" s="5" t="str">
        <f>IFERROR(__xludf.DUMMYFUNCTION("""COMPUTED_VALUE"""),"Cold Case Files")</f>
        <v>Cold Case Files</v>
      </c>
      <c r="U1633" s="5" t="str">
        <f>IFERROR(__xludf.DUMMYFUNCTION("""COMPUTED_VALUE"""),"Oliver Kienle")</f>
        <v>Oliver Kienle</v>
      </c>
      <c r="V1633" s="5" t="s">
        <v>4448</v>
      </c>
      <c r="W1633" s="5" t="str">
        <f t="shared" si="3"/>
        <v>Ian Cheney, Sharon Shattuck</v>
      </c>
      <c r="X1633" s="5">
        <f t="shared" si="4"/>
        <v>1</v>
      </c>
      <c r="Y1633" s="5" t="str">
        <f>IFERROR(__xludf.DUMMYFUNCTION("REGEXEXTRACT(J1633, ""^\d+"")"),"108")</f>
        <v>108</v>
      </c>
      <c r="Z1633" s="5" t="str">
        <f>IFERROR(__xludf.DUMMYFUNCTION("REGEXEXTRACT(J1633, ""[A-Za-z ]+$"")")," min")</f>
        <v> min</v>
      </c>
      <c r="AA1633" s="5" t="str">
        <f>IFERROR(__xludf.DUMMYFUNCTION("IF(REGEXMATCH(Z1633, ""Season""), ""TV Show"", ""Movie"")"),"Movie")</f>
        <v>Movie</v>
      </c>
    </row>
    <row r="1634">
      <c r="A1634" s="1" t="s">
        <v>9517</v>
      </c>
      <c r="B1634" s="1" t="s">
        <v>27</v>
      </c>
      <c r="C1634" s="1" t="s">
        <v>9518</v>
      </c>
      <c r="D1634" s="1" t="s">
        <v>3304</v>
      </c>
      <c r="E1634" s="1" t="s">
        <v>9519</v>
      </c>
      <c r="F1634" s="1" t="s">
        <v>30</v>
      </c>
      <c r="G1634" s="1" t="s">
        <v>9510</v>
      </c>
      <c r="H1634" s="1">
        <v>2019.0</v>
      </c>
      <c r="I1634" s="1" t="s">
        <v>206</v>
      </c>
      <c r="J1634" s="1" t="s">
        <v>9520</v>
      </c>
      <c r="K1634" s="1" t="s">
        <v>80</v>
      </c>
      <c r="L1634" s="1" t="s">
        <v>9521</v>
      </c>
      <c r="M1634" s="2" t="s">
        <v>12</v>
      </c>
      <c r="N1634" s="4">
        <f t="shared" si="1"/>
        <v>44165</v>
      </c>
      <c r="O1634" s="5" t="str">
        <f>IFERROR(__xludf.DUMMYFUNCTION("IF(REGEXMATCH(TRIM(I1634), ""^\d+\s*min""), ""Unclassified"", IF(I1634 = """", ""NR"", I1634))"),"TV-Y")</f>
        <v>TV-Y</v>
      </c>
      <c r="R1634" s="5" t="str">
        <f t="shared" si="2"/>
        <v>Spookley And The Christmas Kittens</v>
      </c>
      <c r="S1634" s="5" t="str">
        <f>IFERROR(__xludf.DUMMYFUNCTION("""COMPUTED_VALUE"""),"Cold Case Files Classic")</f>
        <v>Cold Case Files Classic</v>
      </c>
      <c r="U1634" s="5" t="str">
        <f>IFERROR(__xludf.DUMMYFUNCTION("""COMPUTED_VALUE"""),"Brian Webber")</f>
        <v>Brian Webber</v>
      </c>
      <c r="V1634" s="5" t="s">
        <v>9522</v>
      </c>
      <c r="W1634" s="5" t="str">
        <f t="shared" si="3"/>
        <v>Ian Edelman</v>
      </c>
      <c r="X1634" s="5">
        <f t="shared" si="4"/>
        <v>2</v>
      </c>
      <c r="Y1634" s="5" t="str">
        <f>IFERROR(__xludf.DUMMYFUNCTION("REGEXEXTRACT(J1634, ""^\d+"")"),"45")</f>
        <v>45</v>
      </c>
      <c r="Z1634" s="5" t="str">
        <f>IFERROR(__xludf.DUMMYFUNCTION("REGEXEXTRACT(J1634, ""[A-Za-z ]+$"")")," min")</f>
        <v> min</v>
      </c>
      <c r="AA1634" s="5" t="str">
        <f>IFERROR(__xludf.DUMMYFUNCTION("IF(REGEXMATCH(Z1634, ""Season""), ""TV Show"", ""Movie"")"),"Movie")</f>
        <v>Movie</v>
      </c>
    </row>
    <row r="1635">
      <c r="A1635" s="1" t="s">
        <v>9523</v>
      </c>
      <c r="B1635" s="1" t="s">
        <v>27</v>
      </c>
      <c r="C1635" s="1" t="s">
        <v>9524</v>
      </c>
      <c r="D1635" s="1" t="s">
        <v>3830</v>
      </c>
      <c r="E1635" s="1" t="s">
        <v>9525</v>
      </c>
      <c r="F1635" s="1" t="s">
        <v>30</v>
      </c>
      <c r="G1635" s="1" t="s">
        <v>9510</v>
      </c>
      <c r="H1635" s="1">
        <v>2020.0</v>
      </c>
      <c r="I1635" s="1" t="s">
        <v>42</v>
      </c>
      <c r="J1635" s="1" t="s">
        <v>454</v>
      </c>
      <c r="K1635" s="1" t="s">
        <v>380</v>
      </c>
      <c r="L1635" s="1" t="s">
        <v>9526</v>
      </c>
      <c r="M1635" s="2" t="s">
        <v>12</v>
      </c>
      <c r="N1635" s="4">
        <f t="shared" si="1"/>
        <v>44165</v>
      </c>
      <c r="O1635" s="5" t="str">
        <f>IFERROR(__xludf.DUMMYFUNCTION("IF(REGEXMATCH(TRIM(I1635), ""^\d+\s*min""), ""Unclassified"", IF(I1635 = """", ""NR"", I1635))"),"TV-MA")</f>
        <v>TV-MA</v>
      </c>
      <c r="R1635" s="5" t="str">
        <f t="shared" si="2"/>
        <v>The 2Nd</v>
      </c>
      <c r="S1635" s="5" t="str">
        <f>IFERROR(__xludf.DUMMYFUNCTION("""COMPUTED_VALUE"""),"Cold Feet")</f>
        <v>Cold Feet</v>
      </c>
      <c r="U1635" s="5" t="str">
        <f>IFERROR(__xludf.DUMMYFUNCTION("""COMPUTED_VALUE"""),"Takashi Yamazaki, Ryuichi Yagi, Makoto Hanafusa")</f>
        <v>Takashi Yamazaki, Ryuichi Yagi, Makoto Hanafusa</v>
      </c>
      <c r="V1635" s="5" t="s">
        <v>9527</v>
      </c>
      <c r="W1635" s="5" t="str">
        <f t="shared" si="3"/>
        <v>Ian Kirby</v>
      </c>
      <c r="X1635" s="5">
        <f t="shared" si="4"/>
        <v>1</v>
      </c>
      <c r="Y1635" s="5" t="str">
        <f>IFERROR(__xludf.DUMMYFUNCTION("REGEXEXTRACT(J1635, ""^\d+"")"),"93")</f>
        <v>93</v>
      </c>
      <c r="Z1635" s="5" t="str">
        <f>IFERROR(__xludf.DUMMYFUNCTION("REGEXEXTRACT(J1635, ""[A-Za-z ]+$"")")," min")</f>
        <v> min</v>
      </c>
      <c r="AA1635" s="5" t="str">
        <f>IFERROR(__xludf.DUMMYFUNCTION("IF(REGEXMATCH(Z1635, ""Season""), ""TV Show"", ""Movie"")"),"Movie")</f>
        <v>Movie</v>
      </c>
    </row>
    <row r="1636">
      <c r="A1636" s="1" t="s">
        <v>9528</v>
      </c>
      <c r="B1636" s="1" t="s">
        <v>37</v>
      </c>
      <c r="C1636" s="1" t="s">
        <v>9529</v>
      </c>
      <c r="E1636" s="1" t="s">
        <v>9530</v>
      </c>
      <c r="F1636" s="1" t="s">
        <v>749</v>
      </c>
      <c r="G1636" s="1" t="s">
        <v>9531</v>
      </c>
      <c r="H1636" s="1">
        <v>2020.0</v>
      </c>
      <c r="I1636" s="1" t="s">
        <v>97</v>
      </c>
      <c r="J1636" s="1" t="s">
        <v>51</v>
      </c>
      <c r="K1636" s="1" t="s">
        <v>190</v>
      </c>
      <c r="L1636" s="1" t="s">
        <v>9532</v>
      </c>
      <c r="M1636" s="2" t="s">
        <v>12</v>
      </c>
      <c r="N1636" s="4">
        <f t="shared" si="1"/>
        <v>44164</v>
      </c>
      <c r="O1636" s="5" t="str">
        <f>IFERROR(__xludf.DUMMYFUNCTION("IF(REGEXMATCH(TRIM(I1636), ""^\d+\s*min""), ""Unclassified"", IF(I1636 = """", ""NR"", I1636))"),"TV-14")</f>
        <v>TV-14</v>
      </c>
      <c r="R1636" s="5" t="str">
        <f t="shared" si="2"/>
        <v>The Uncanny Counter</v>
      </c>
      <c r="S1636" s="5" t="str">
        <f>IFERROR(__xludf.DUMMYFUNCTION("""COMPUTED_VALUE"""),"Cold Harbour")</f>
        <v>Cold Harbour</v>
      </c>
      <c r="U1636" s="5" t="str">
        <f>IFERROR(__xludf.DUMMYFUNCTION("""COMPUTED_VALUE"""),"Pantham Thongsang, Cheewatan Pusitsuksa")</f>
        <v>Pantham Thongsang, Cheewatan Pusitsuksa</v>
      </c>
      <c r="V1636" s="5" t="s">
        <v>9533</v>
      </c>
      <c r="W1636" s="5" t="str">
        <f t="shared" si="3"/>
        <v>Ian Macallister-Mcdonald</v>
      </c>
      <c r="X1636" s="5">
        <f t="shared" si="4"/>
        <v>1</v>
      </c>
      <c r="Y1636" s="5" t="str">
        <f>IFERROR(__xludf.DUMMYFUNCTION("REGEXEXTRACT(J1636, ""^\d+"")"),"1")</f>
        <v>1</v>
      </c>
      <c r="Z1636" s="5" t="str">
        <f>IFERROR(__xludf.DUMMYFUNCTION("REGEXEXTRACT(J1636, ""[A-Za-z ]+$"")")," Season")</f>
        <v> Season</v>
      </c>
      <c r="AA1636" s="5" t="str">
        <f>IFERROR(__xludf.DUMMYFUNCTION("IF(REGEXMATCH(Z1636, ""Season""), ""TV Show"", ""Movie"")"),"TV Show")</f>
        <v>TV Show</v>
      </c>
    </row>
    <row r="1637">
      <c r="A1637" s="1" t="s">
        <v>9534</v>
      </c>
      <c r="B1637" s="1" t="s">
        <v>27</v>
      </c>
      <c r="C1637" s="1" t="s">
        <v>9535</v>
      </c>
      <c r="D1637" s="1" t="s">
        <v>9536</v>
      </c>
      <c r="E1637" s="1" t="s">
        <v>9537</v>
      </c>
      <c r="F1637" s="1" t="s">
        <v>30</v>
      </c>
      <c r="G1637" s="1" t="s">
        <v>9538</v>
      </c>
      <c r="H1637" s="1">
        <v>2020.0</v>
      </c>
      <c r="I1637" s="1" t="s">
        <v>206</v>
      </c>
      <c r="J1637" s="1" t="s">
        <v>7407</v>
      </c>
      <c r="K1637" s="1" t="s">
        <v>80</v>
      </c>
      <c r="L1637" s="1" t="s">
        <v>9539</v>
      </c>
      <c r="M1637" s="2" t="s">
        <v>12</v>
      </c>
      <c r="N1637" s="4">
        <f t="shared" si="1"/>
        <v>44162</v>
      </c>
      <c r="O1637" s="5" t="str">
        <f>IFERROR(__xludf.DUMMYFUNCTION("IF(REGEXMATCH(TRIM(I1637), ""^\d+\s*min""), ""Unclassified"", IF(I1637 = """", ""NR"", I1637))"),"TV-Y")</f>
        <v>TV-Y</v>
      </c>
      <c r="R1637" s="5" t="str">
        <f t="shared" si="2"/>
        <v>A Go! Go! Cory Carson Christmas</v>
      </c>
      <c r="S1637" s="5" t="str">
        <f>IFERROR(__xludf.DUMMYFUNCTION("""COMPUTED_VALUE"""),"Cold Mountain")</f>
        <v>Cold Mountain</v>
      </c>
      <c r="U1637" s="5" t="str">
        <f>IFERROR(__xludf.DUMMYFUNCTION("""COMPUTED_VALUE"""),"Paul Krüger, Anél Stolp")</f>
        <v>Paul Krüger, Anél Stolp</v>
      </c>
      <c r="V1637" s="5" t="s">
        <v>9540</v>
      </c>
      <c r="W1637" s="5" t="str">
        <f t="shared" si="3"/>
        <v>Ian Macnaughton</v>
      </c>
      <c r="X1637" s="5">
        <f t="shared" si="4"/>
        <v>1</v>
      </c>
      <c r="Y1637" s="5" t="str">
        <f>IFERROR(__xludf.DUMMYFUNCTION("REGEXEXTRACT(J1637, ""^\d+"")"),"22")</f>
        <v>22</v>
      </c>
      <c r="Z1637" s="5" t="str">
        <f>IFERROR(__xludf.DUMMYFUNCTION("REGEXEXTRACT(J1637, ""[A-Za-z ]+$"")")," min")</f>
        <v> min</v>
      </c>
      <c r="AA1637" s="5" t="str">
        <f>IFERROR(__xludf.DUMMYFUNCTION("IF(REGEXMATCH(Z1637, ""Season""), ""TV Show"", ""Movie"")"),"Movie")</f>
        <v>Movie</v>
      </c>
    </row>
    <row r="1638">
      <c r="A1638" s="1" t="s">
        <v>9541</v>
      </c>
      <c r="B1638" s="1" t="s">
        <v>27</v>
      </c>
      <c r="C1638" s="1" t="s">
        <v>9542</v>
      </c>
      <c r="D1638" s="1" t="s">
        <v>9543</v>
      </c>
      <c r="E1638" s="1" t="s">
        <v>6260</v>
      </c>
      <c r="F1638" s="1" t="s">
        <v>30</v>
      </c>
      <c r="G1638" s="1" t="s">
        <v>9538</v>
      </c>
      <c r="H1638" s="1">
        <v>2020.0</v>
      </c>
      <c r="I1638" s="1" t="s">
        <v>136</v>
      </c>
      <c r="J1638" s="1" t="s">
        <v>2452</v>
      </c>
      <c r="K1638" s="1" t="s">
        <v>9544</v>
      </c>
      <c r="L1638" s="1" t="s">
        <v>9545</v>
      </c>
      <c r="M1638" s="2" t="s">
        <v>12</v>
      </c>
      <c r="N1638" s="4">
        <f t="shared" si="1"/>
        <v>44162</v>
      </c>
      <c r="O1638" s="5" t="str">
        <f>IFERROR(__xludf.DUMMYFUNCTION("IF(REGEXMATCH(TRIM(I1638), ""^\d+\s*min""), ""Unclassified"", IF(I1638 = """", ""NR"", I1638))"),"TV-PG")</f>
        <v>TV-PG</v>
      </c>
      <c r="R1638" s="5" t="str">
        <f t="shared" si="2"/>
        <v>Dance Dreams: Hot Chocolate Nutcracker</v>
      </c>
      <c r="S1638" s="5" t="str">
        <f>IFERROR(__xludf.DUMMYFUNCTION("""COMPUTED_VALUE"""),"Colin Quinn: Red State Blue State")</f>
        <v>Colin Quinn: Red State Blue State</v>
      </c>
      <c r="U1638" s="5" t="str">
        <f>IFERROR(__xludf.DUMMYFUNCTION("""COMPUTED_VALUE"""),"Benny Safdie, Josh Safdie")</f>
        <v>Benny Safdie, Josh Safdie</v>
      </c>
      <c r="V1638" s="5" t="s">
        <v>9546</v>
      </c>
      <c r="W1638" s="5" t="str">
        <f t="shared" si="3"/>
        <v>Ian Samuels</v>
      </c>
      <c r="X1638" s="5">
        <f t="shared" si="4"/>
        <v>1</v>
      </c>
      <c r="Y1638" s="5" t="str">
        <f>IFERROR(__xludf.DUMMYFUNCTION("REGEXEXTRACT(J1638, ""^\d+"")"),"81")</f>
        <v>81</v>
      </c>
      <c r="Z1638" s="5" t="str">
        <f>IFERROR(__xludf.DUMMYFUNCTION("REGEXEXTRACT(J1638, ""[A-Za-z ]+$"")")," min")</f>
        <v> min</v>
      </c>
      <c r="AA1638" s="5" t="str">
        <f>IFERROR(__xludf.DUMMYFUNCTION("IF(REGEXMATCH(Z1638, ""Season""), ""TV Show"", ""Movie"")"),"Movie")</f>
        <v>Movie</v>
      </c>
    </row>
    <row r="1639">
      <c r="A1639" s="1" t="s">
        <v>9547</v>
      </c>
      <c r="B1639" s="1" t="s">
        <v>27</v>
      </c>
      <c r="C1639" s="1" t="s">
        <v>9548</v>
      </c>
      <c r="D1639" s="1" t="s">
        <v>2055</v>
      </c>
      <c r="E1639" s="1" t="s">
        <v>9549</v>
      </c>
      <c r="F1639" s="1" t="s">
        <v>784</v>
      </c>
      <c r="G1639" s="1" t="s">
        <v>9538</v>
      </c>
      <c r="H1639" s="1">
        <v>2020.0</v>
      </c>
      <c r="I1639" s="1" t="s">
        <v>42</v>
      </c>
      <c r="J1639" s="1" t="s">
        <v>357</v>
      </c>
      <c r="K1639" s="1" t="s">
        <v>1441</v>
      </c>
      <c r="L1639" s="1" t="s">
        <v>9550</v>
      </c>
      <c r="M1639" s="2" t="s">
        <v>12</v>
      </c>
      <c r="N1639" s="4">
        <f t="shared" si="1"/>
        <v>44162</v>
      </c>
      <c r="O1639" s="5" t="str">
        <f>IFERROR(__xludf.DUMMYFUNCTION("IF(REGEXMATCH(TRIM(I1639), ""^\d+\s*min""), ""Unclassified"", IF(I1639 = """", ""NR"", I1639))"),"TV-MA")</f>
        <v>TV-MA</v>
      </c>
      <c r="R1639" s="5" t="str">
        <f t="shared" si="2"/>
        <v>Don’T Listen</v>
      </c>
      <c r="S1639" s="5" t="str">
        <f>IFERROR(__xludf.DUMMYFUNCTION("""COMPUTED_VALUE"""),"Colin Quinn: The New York Story")</f>
        <v>Colin Quinn: The New York Story</v>
      </c>
      <c r="U1639" s="5" t="str">
        <f>IFERROR(__xludf.DUMMYFUNCTION("""COMPUTED_VALUE"""),"Andres Clariond")</f>
        <v>Andres Clariond</v>
      </c>
      <c r="V1639" s="5" t="s">
        <v>9551</v>
      </c>
      <c r="W1639" s="5" t="str">
        <f t="shared" si="3"/>
        <v>Ibai Abad</v>
      </c>
      <c r="X1639" s="5">
        <f t="shared" si="4"/>
        <v>1</v>
      </c>
      <c r="Y1639" s="5" t="str">
        <f>IFERROR(__xludf.DUMMYFUNCTION("REGEXEXTRACT(J1639, ""^\d+"")"),"98")</f>
        <v>98</v>
      </c>
      <c r="Z1639" s="5" t="str">
        <f>IFERROR(__xludf.DUMMYFUNCTION("REGEXEXTRACT(J1639, ""[A-Za-z ]+$"")")," min")</f>
        <v> min</v>
      </c>
      <c r="AA1639" s="5" t="str">
        <f>IFERROR(__xludf.DUMMYFUNCTION("IF(REGEXMATCH(Z1639, ""Season""), ""TV Show"", ""Movie"")"),"Movie")</f>
        <v>Movie</v>
      </c>
    </row>
    <row r="1640">
      <c r="A1640" s="1" t="s">
        <v>9552</v>
      </c>
      <c r="B1640" s="1" t="s">
        <v>37</v>
      </c>
      <c r="C1640" s="1" t="s">
        <v>9553</v>
      </c>
      <c r="F1640" s="1" t="s">
        <v>63</v>
      </c>
      <c r="G1640" s="1" t="s">
        <v>9538</v>
      </c>
      <c r="H1640" s="1">
        <v>2020.0</v>
      </c>
      <c r="I1640" s="1" t="s">
        <v>42</v>
      </c>
      <c r="J1640" s="1" t="s">
        <v>51</v>
      </c>
      <c r="K1640" s="1" t="s">
        <v>1520</v>
      </c>
      <c r="L1640" s="1" t="s">
        <v>9554</v>
      </c>
      <c r="M1640" s="2" t="s">
        <v>12</v>
      </c>
      <c r="N1640" s="4">
        <f t="shared" si="1"/>
        <v>44162</v>
      </c>
      <c r="O1640" s="5" t="str">
        <f>IFERROR(__xludf.DUMMYFUNCTION("IF(REGEXMATCH(TRIM(I1640), ""^\d+\s*min""), ""Unclassified"", IF(I1640 = """", ""NR"", I1640))"),"TV-MA")</f>
        <v>TV-MA</v>
      </c>
      <c r="R1640" s="5" t="str">
        <f t="shared" si="2"/>
        <v>Fabulous Lives Of Bollywood Wives</v>
      </c>
      <c r="S1640" s="5" t="str">
        <f>IFERROR(__xludf.DUMMYFUNCTION("""COMPUTED_VALUE"""),"Colin Quinn: Unconstitutional")</f>
        <v>Colin Quinn: Unconstitutional</v>
      </c>
      <c r="U1640" s="5" t="str">
        <f>IFERROR(__xludf.DUMMYFUNCTION("""COMPUTED_VALUE"""),"Andrew Dean")</f>
        <v>Andrew Dean</v>
      </c>
      <c r="V1640" s="5" t="s">
        <v>9555</v>
      </c>
      <c r="W1640" s="5" t="str">
        <f t="shared" si="3"/>
        <v>Ibrahim Bin Mohamed, Hasan Aljaberi</v>
      </c>
      <c r="X1640" s="5">
        <f t="shared" si="4"/>
        <v>1</v>
      </c>
      <c r="Y1640" s="5" t="str">
        <f>IFERROR(__xludf.DUMMYFUNCTION("REGEXEXTRACT(J1640, ""^\d+"")"),"1")</f>
        <v>1</v>
      </c>
      <c r="Z1640" s="5" t="str">
        <f>IFERROR(__xludf.DUMMYFUNCTION("REGEXEXTRACT(J1640, ""[A-Za-z ]+$"")")," Season")</f>
        <v> Season</v>
      </c>
      <c r="AA1640" s="5" t="str">
        <f>IFERROR(__xludf.DUMMYFUNCTION("IF(REGEXMATCH(Z1640, ""Season""), ""TV Show"", ""Movie"")"),"TV Show")</f>
        <v>TV Show</v>
      </c>
    </row>
    <row r="1641">
      <c r="A1641" s="1" t="s">
        <v>9556</v>
      </c>
      <c r="B1641" s="1" t="s">
        <v>37</v>
      </c>
      <c r="C1641" s="1" t="s">
        <v>9557</v>
      </c>
      <c r="E1641" s="1" t="s">
        <v>9558</v>
      </c>
      <c r="F1641" s="1" t="s">
        <v>221</v>
      </c>
      <c r="G1641" s="1" t="s">
        <v>9538</v>
      </c>
      <c r="H1641" s="1">
        <v>1999.0</v>
      </c>
      <c r="I1641" s="1" t="s">
        <v>97</v>
      </c>
      <c r="J1641" s="1" t="s">
        <v>1809</v>
      </c>
      <c r="K1641" s="1" t="s">
        <v>1830</v>
      </c>
      <c r="L1641" s="1" t="s">
        <v>9559</v>
      </c>
      <c r="M1641" s="2" t="s">
        <v>12</v>
      </c>
      <c r="N1641" s="4">
        <f t="shared" si="1"/>
        <v>44162</v>
      </c>
      <c r="O1641" s="5" t="str">
        <f>IFERROR(__xludf.DUMMYFUNCTION("IF(REGEXMATCH(TRIM(I1641), ""^\d+\s*min""), ""Unclassified"", IF(I1641 = """", ""NR"", I1641))"),"TV-14")</f>
        <v>TV-14</v>
      </c>
      <c r="R1641" s="5" t="str">
        <f t="shared" si="2"/>
        <v>Heartbreak High</v>
      </c>
      <c r="S1641" s="5" t="str">
        <f>IFERROR(__xludf.DUMMYFUNCTION("""COMPUTED_VALUE"""),"Colkatay Columbus")</f>
        <v>Colkatay Columbus</v>
      </c>
      <c r="U1641" s="5" t="str">
        <f>IFERROR(__xludf.DUMMYFUNCTION("""COMPUTED_VALUE"""),"Lars Klevberg")</f>
        <v>Lars Klevberg</v>
      </c>
      <c r="V1641" s="5" t="s">
        <v>9560</v>
      </c>
      <c r="W1641" s="5" t="str">
        <f t="shared" si="3"/>
        <v>Icíar Bollaín</v>
      </c>
      <c r="X1641" s="5">
        <f t="shared" si="4"/>
        <v>1</v>
      </c>
      <c r="Y1641" s="5" t="str">
        <f>IFERROR(__xludf.DUMMYFUNCTION("REGEXEXTRACT(J1641, ""^\d+"")"),"7")</f>
        <v>7</v>
      </c>
      <c r="Z1641" s="5" t="str">
        <f>IFERROR(__xludf.DUMMYFUNCTION("REGEXEXTRACT(J1641, ""[A-Za-z ]+$"")")," Seasons")</f>
        <v> Seasons</v>
      </c>
      <c r="AA1641" s="5" t="str">
        <f>IFERROR(__xludf.DUMMYFUNCTION("IF(REGEXMATCH(Z1641, ""Season""), ""TV Show"", ""Movie"")"),"TV Show")</f>
        <v>TV Show</v>
      </c>
    </row>
    <row r="1642">
      <c r="A1642" s="1" t="s">
        <v>9561</v>
      </c>
      <c r="B1642" s="1" t="s">
        <v>37</v>
      </c>
      <c r="C1642" s="1" t="s">
        <v>9562</v>
      </c>
      <c r="E1642" s="1" t="s">
        <v>9563</v>
      </c>
      <c r="F1642" s="1" t="s">
        <v>2492</v>
      </c>
      <c r="G1642" s="1" t="s">
        <v>9538</v>
      </c>
      <c r="H1642" s="1">
        <v>2020.0</v>
      </c>
      <c r="I1642" s="1" t="s">
        <v>42</v>
      </c>
      <c r="J1642" s="1" t="s">
        <v>51</v>
      </c>
      <c r="K1642" s="1" t="s">
        <v>64</v>
      </c>
      <c r="L1642" s="1" t="s">
        <v>9564</v>
      </c>
      <c r="M1642" s="2" t="s">
        <v>12</v>
      </c>
      <c r="N1642" s="4">
        <f t="shared" si="1"/>
        <v>44162</v>
      </c>
      <c r="O1642" s="5" t="str">
        <f>IFERROR(__xludf.DUMMYFUNCTION("IF(REGEXMATCH(TRIM(I1642), ""^\d+\s*min""), ""Unclassified"", IF(I1642 = """", ""NR"", I1642))"),"TV-MA")</f>
        <v>TV-MA</v>
      </c>
      <c r="R1642" s="5" t="str">
        <f t="shared" si="2"/>
        <v>Over Christmas</v>
      </c>
      <c r="S1642" s="5" t="str">
        <f>IFERROR(__xludf.DUMMYFUNCTION("""COMPUTED_VALUE"""),"Collateral")</f>
        <v>Collateral</v>
      </c>
      <c r="U1642" s="5" t="str">
        <f>IFERROR(__xludf.DUMMYFUNCTION("""COMPUTED_VALUE"""),"Lukasz Kosmicki")</f>
        <v>Lukasz Kosmicki</v>
      </c>
      <c r="V1642" s="5" t="s">
        <v>9565</v>
      </c>
      <c r="W1642" s="5" t="str">
        <f t="shared" si="3"/>
        <v>Ifa Isfansyah</v>
      </c>
      <c r="X1642" s="5">
        <f t="shared" si="4"/>
        <v>2</v>
      </c>
      <c r="Y1642" s="5" t="str">
        <f>IFERROR(__xludf.DUMMYFUNCTION("REGEXEXTRACT(J1642, ""^\d+"")"),"1")</f>
        <v>1</v>
      </c>
      <c r="Z1642" s="5" t="str">
        <f>IFERROR(__xludf.DUMMYFUNCTION("REGEXEXTRACT(J1642, ""[A-Za-z ]+$"")")," Season")</f>
        <v> Season</v>
      </c>
      <c r="AA1642" s="5" t="str">
        <f>IFERROR(__xludf.DUMMYFUNCTION("IF(REGEXMATCH(Z1642, ""Season""), ""TV Show"", ""Movie"")"),"TV Show")</f>
        <v>TV Show</v>
      </c>
    </row>
    <row r="1643">
      <c r="A1643" s="1" t="s">
        <v>9566</v>
      </c>
      <c r="B1643" s="1" t="s">
        <v>37</v>
      </c>
      <c r="C1643" s="1" t="s">
        <v>9567</v>
      </c>
      <c r="E1643" s="1" t="s">
        <v>9568</v>
      </c>
      <c r="F1643" s="1" t="s">
        <v>30</v>
      </c>
      <c r="G1643" s="1" t="s">
        <v>9538</v>
      </c>
      <c r="H1643" s="1">
        <v>2020.0</v>
      </c>
      <c r="I1643" s="1" t="s">
        <v>97</v>
      </c>
      <c r="J1643" s="1" t="s">
        <v>43</v>
      </c>
      <c r="K1643" s="1" t="s">
        <v>440</v>
      </c>
      <c r="L1643" s="1" t="s">
        <v>9569</v>
      </c>
      <c r="M1643" s="2" t="s">
        <v>12</v>
      </c>
      <c r="N1643" s="4">
        <f t="shared" si="1"/>
        <v>44162</v>
      </c>
      <c r="O1643" s="5" t="str">
        <f>IFERROR(__xludf.DUMMYFUNCTION("IF(REGEXMATCH(TRIM(I1643), ""^\d+\s*min""), ""Unclassified"", IF(I1643 = """", ""NR"", I1643))"),"TV-14")</f>
        <v>TV-14</v>
      </c>
      <c r="R1643" s="5" t="str">
        <f t="shared" si="2"/>
        <v>Sugar Rush Christmas</v>
      </c>
      <c r="S1643" s="5" t="str">
        <f>IFERROR(__xludf.DUMMYFUNCTION("""COMPUTED_VALUE"""),"Collateral Beauty")</f>
        <v>Collateral Beauty</v>
      </c>
      <c r="U1643" s="5" t="str">
        <f>IFERROR(__xludf.DUMMYFUNCTION("""COMPUTED_VALUE"""),"Shanavas K. Bavakutty")</f>
        <v>Shanavas K. Bavakutty</v>
      </c>
      <c r="V1643" s="5" t="s">
        <v>8132</v>
      </c>
      <c r="W1643" s="5" t="str">
        <f t="shared" si="3"/>
        <v>Ifeanyi Ikpoenyi</v>
      </c>
      <c r="X1643" s="5">
        <f t="shared" si="4"/>
        <v>1</v>
      </c>
      <c r="Y1643" s="5" t="str">
        <f>IFERROR(__xludf.DUMMYFUNCTION("REGEXEXTRACT(J1643, ""^\d+"")"),"2")</f>
        <v>2</v>
      </c>
      <c r="Z1643" s="5" t="str">
        <f>IFERROR(__xludf.DUMMYFUNCTION("REGEXEXTRACT(J1643, ""[A-Za-z ]+$"")")," Seasons")</f>
        <v> Seasons</v>
      </c>
      <c r="AA1643" s="5" t="str">
        <f>IFERROR(__xludf.DUMMYFUNCTION("IF(REGEXMATCH(Z1643, ""Season""), ""TV Show"", ""Movie"")"),"TV Show")</f>
        <v>TV Show</v>
      </c>
    </row>
    <row r="1644">
      <c r="A1644" s="1" t="s">
        <v>9570</v>
      </c>
      <c r="B1644" s="1" t="s">
        <v>27</v>
      </c>
      <c r="C1644" s="1" t="s">
        <v>9571</v>
      </c>
      <c r="D1644" s="1" t="s">
        <v>9572</v>
      </c>
      <c r="E1644" s="1" t="s">
        <v>9573</v>
      </c>
      <c r="F1644" s="1" t="s">
        <v>1779</v>
      </c>
      <c r="G1644" s="1" t="s">
        <v>9538</v>
      </c>
      <c r="H1644" s="1">
        <v>2020.0</v>
      </c>
      <c r="I1644" s="1" t="s">
        <v>42</v>
      </c>
      <c r="J1644" s="1" t="s">
        <v>433</v>
      </c>
      <c r="K1644" s="1" t="s">
        <v>1066</v>
      </c>
      <c r="L1644" s="1" t="s">
        <v>9574</v>
      </c>
      <c r="M1644" s="2" t="s">
        <v>12</v>
      </c>
      <c r="N1644" s="4">
        <f t="shared" si="1"/>
        <v>44162</v>
      </c>
      <c r="O1644" s="5" t="str">
        <f>IFERROR(__xludf.DUMMYFUNCTION("IF(REGEXMATCH(TRIM(I1644), ""^\d+\s*min""), ""Unclassified"", IF(I1644 = """", ""NR"", I1644))"),"TV-MA")</f>
        <v>TV-MA</v>
      </c>
      <c r="R1644" s="5" t="str">
        <f t="shared" si="2"/>
        <v>The Beast</v>
      </c>
      <c r="S1644" s="5" t="str">
        <f>IFERROR(__xludf.DUMMYFUNCTION("""COMPUTED_VALUE"""),"College Romance")</f>
        <v>College Romance</v>
      </c>
      <c r="U1644" s="5" t="str">
        <f>IFERROR(__xludf.DUMMYFUNCTION("""COMPUTED_VALUE"""),"Kwabena Gyansah")</f>
        <v>Kwabena Gyansah</v>
      </c>
      <c r="V1644" s="5" t="s">
        <v>9575</v>
      </c>
      <c r="W1644" s="5" t="str">
        <f t="shared" si="3"/>
        <v>Iginio Straffi</v>
      </c>
      <c r="X1644" s="5">
        <f t="shared" si="4"/>
        <v>2</v>
      </c>
      <c r="Y1644" s="5" t="str">
        <f>IFERROR(__xludf.DUMMYFUNCTION("REGEXEXTRACT(J1644, ""^\d+"")"),"100")</f>
        <v>100</v>
      </c>
      <c r="Z1644" s="5" t="str">
        <f>IFERROR(__xludf.DUMMYFUNCTION("REGEXEXTRACT(J1644, ""[A-Za-z ]+$"")")," min")</f>
        <v> min</v>
      </c>
      <c r="AA1644" s="5" t="str">
        <f>IFERROR(__xludf.DUMMYFUNCTION("IF(REGEXMATCH(Z1644, ""Season""), ""TV Show"", ""Movie"")"),"Movie")</f>
        <v>Movie</v>
      </c>
    </row>
    <row r="1645">
      <c r="A1645" s="1" t="s">
        <v>9576</v>
      </c>
      <c r="B1645" s="1" t="s">
        <v>27</v>
      </c>
      <c r="C1645" s="1" t="s">
        <v>9577</v>
      </c>
      <c r="D1645" s="1" t="s">
        <v>9578</v>
      </c>
      <c r="E1645" s="1" t="s">
        <v>9579</v>
      </c>
      <c r="F1645" s="1" t="s">
        <v>749</v>
      </c>
      <c r="G1645" s="1" t="s">
        <v>9538</v>
      </c>
      <c r="H1645" s="1">
        <v>2020.0</v>
      </c>
      <c r="I1645" s="1" t="s">
        <v>42</v>
      </c>
      <c r="J1645" s="1" t="s">
        <v>1243</v>
      </c>
      <c r="K1645" s="1" t="s">
        <v>631</v>
      </c>
      <c r="L1645" s="1" t="s">
        <v>9580</v>
      </c>
      <c r="M1645" s="2" t="s">
        <v>12</v>
      </c>
      <c r="N1645" s="4">
        <f t="shared" si="1"/>
        <v>44162</v>
      </c>
      <c r="O1645" s="5" t="str">
        <f>IFERROR(__xludf.DUMMYFUNCTION("IF(REGEXMATCH(TRIM(I1645), ""^\d+\s*min""), ""Unclassified"", IF(I1645 = """", ""NR"", I1645))"),"TV-MA")</f>
        <v>TV-MA</v>
      </c>
      <c r="R1645" s="5" t="str">
        <f t="shared" si="2"/>
        <v>The Call</v>
      </c>
      <c r="S1645" s="5" t="str">
        <f>IFERROR(__xludf.DUMMYFUNCTION("""COMPUTED_VALUE"""),"Colonia")</f>
        <v>Colonia</v>
      </c>
      <c r="U1645" s="5" t="str">
        <f>IFERROR(__xludf.DUMMYFUNCTION("""COMPUTED_VALUE"""),"Jeff Baena")</f>
        <v>Jeff Baena</v>
      </c>
      <c r="V1645" s="5" t="s">
        <v>9581</v>
      </c>
      <c r="W1645" s="5" t="str">
        <f t="shared" si="3"/>
        <v>Ignacio López Escrivá</v>
      </c>
      <c r="X1645" s="5">
        <f t="shared" si="4"/>
        <v>1</v>
      </c>
      <c r="Y1645" s="5" t="str">
        <f>IFERROR(__xludf.DUMMYFUNCTION("REGEXEXTRACT(J1645, ""^\d+"")"),"112")</f>
        <v>112</v>
      </c>
      <c r="Z1645" s="5" t="str">
        <f>IFERROR(__xludf.DUMMYFUNCTION("REGEXEXTRACT(J1645, ""[A-Za-z ]+$"")")," min")</f>
        <v> min</v>
      </c>
      <c r="AA1645" s="5" t="str">
        <f>IFERROR(__xludf.DUMMYFUNCTION("IF(REGEXMATCH(Z1645, ""Season""), ""TV Show"", ""Movie"")"),"Movie")</f>
        <v>Movie</v>
      </c>
    </row>
    <row r="1646">
      <c r="A1646" s="1" t="s">
        <v>9582</v>
      </c>
      <c r="B1646" s="1" t="s">
        <v>27</v>
      </c>
      <c r="C1646" s="1" t="s">
        <v>9583</v>
      </c>
      <c r="D1646" s="1" t="s">
        <v>3017</v>
      </c>
      <c r="E1646" s="1" t="s">
        <v>9584</v>
      </c>
      <c r="F1646" s="1" t="s">
        <v>4287</v>
      </c>
      <c r="G1646" s="1" t="s">
        <v>9585</v>
      </c>
      <c r="H1646" s="1">
        <v>2018.0</v>
      </c>
      <c r="I1646" s="1" t="s">
        <v>136</v>
      </c>
      <c r="J1646" s="1" t="s">
        <v>835</v>
      </c>
      <c r="K1646" s="1" t="s">
        <v>8160</v>
      </c>
      <c r="L1646" s="1" t="s">
        <v>9586</v>
      </c>
      <c r="M1646" s="2" t="s">
        <v>12</v>
      </c>
      <c r="N1646" s="4">
        <f t="shared" si="1"/>
        <v>44161</v>
      </c>
      <c r="O1646" s="5" t="str">
        <f>IFERROR(__xludf.DUMMYFUNCTION("IF(REGEXMATCH(TRIM(I1646), ""^\d+\s*min""), ""Unclassified"", IF(I1646 = """", ""NR"", I1646))"),"TV-PG")</f>
        <v>TV-PG</v>
      </c>
      <c r="R1646" s="5" t="str">
        <f t="shared" si="2"/>
        <v>Fantastica</v>
      </c>
      <c r="S1646" s="5" t="str">
        <f>IFERROR(__xludf.DUMMYFUNCTION("""COMPUTED_VALUE"""),"Colony")</f>
        <v>Colony</v>
      </c>
      <c r="U1646" s="5" t="str">
        <f>IFERROR(__xludf.DUMMYFUNCTION("""COMPUTED_VALUE"""),"Kumaran")</f>
        <v>Kumaran</v>
      </c>
      <c r="V1646" s="5" t="s">
        <v>9587</v>
      </c>
      <c r="W1646" s="5" t="str">
        <f t="shared" si="3"/>
        <v>Igor Kovalyov, Norton Virgien</v>
      </c>
      <c r="X1646" s="5">
        <f t="shared" si="4"/>
        <v>1</v>
      </c>
      <c r="Y1646" s="5" t="str">
        <f>IFERROR(__xludf.DUMMYFUNCTION("REGEXEXTRACT(J1646, ""^\d+"")"),"114")</f>
        <v>114</v>
      </c>
      <c r="Z1646" s="5" t="str">
        <f>IFERROR(__xludf.DUMMYFUNCTION("REGEXEXTRACT(J1646, ""[A-Za-z ]+$"")")," min")</f>
        <v> min</v>
      </c>
      <c r="AA1646" s="5" t="str">
        <f>IFERROR(__xludf.DUMMYFUNCTION("IF(REGEXMATCH(Z1646, ""Season""), ""TV Show"", ""Movie"")"),"Movie")</f>
        <v>Movie</v>
      </c>
    </row>
    <row r="1647">
      <c r="A1647" s="1" t="s">
        <v>9588</v>
      </c>
      <c r="B1647" s="1" t="s">
        <v>27</v>
      </c>
      <c r="C1647" s="1" t="s">
        <v>9589</v>
      </c>
      <c r="D1647" s="1" t="s">
        <v>3849</v>
      </c>
      <c r="E1647" s="1" t="s">
        <v>9590</v>
      </c>
      <c r="F1647" s="1" t="s">
        <v>30</v>
      </c>
      <c r="G1647" s="1" t="s">
        <v>9585</v>
      </c>
      <c r="H1647" s="1">
        <v>2020.0</v>
      </c>
      <c r="I1647" s="1" t="s">
        <v>97</v>
      </c>
      <c r="J1647" s="1" t="s">
        <v>2626</v>
      </c>
      <c r="K1647" s="1" t="s">
        <v>1839</v>
      </c>
      <c r="L1647" s="1" t="s">
        <v>9591</v>
      </c>
      <c r="M1647" s="2" t="s">
        <v>12</v>
      </c>
      <c r="N1647" s="4">
        <f t="shared" si="1"/>
        <v>44161</v>
      </c>
      <c r="O1647" s="5" t="str">
        <f>IFERROR(__xludf.DUMMYFUNCTION("IF(REGEXMATCH(TRIM(I1647), ""^\d+\s*min""), ""Unclassified"", IF(I1647 = """", ""NR"", I1647))"),"TV-14")</f>
        <v>TV-14</v>
      </c>
      <c r="R1647" s="5" t="str">
        <f t="shared" si="2"/>
        <v>Larry The Cable Guy: Remain Seated</v>
      </c>
      <c r="S1647" s="5" t="str">
        <f>IFERROR(__xludf.DUMMYFUNCTION("""COMPUTED_VALUE"""),"Color Of Woman")</f>
        <v>Color Of Woman</v>
      </c>
      <c r="U1647" s="5" t="str">
        <f>IFERROR(__xludf.DUMMYFUNCTION("""COMPUTED_VALUE"""),"Jared Moshé")</f>
        <v>Jared Moshé</v>
      </c>
      <c r="V1647" s="5" t="s">
        <v>9592</v>
      </c>
      <c r="W1647" s="5" t="str">
        <f t="shared" si="3"/>
        <v>Ildiko Enyedi</v>
      </c>
      <c r="X1647" s="5">
        <f t="shared" si="4"/>
        <v>1</v>
      </c>
      <c r="Y1647" s="5" t="str">
        <f>IFERROR(__xludf.DUMMYFUNCTION("REGEXEXTRACT(J1647, ""^\d+"")"),"68")</f>
        <v>68</v>
      </c>
      <c r="Z1647" s="5" t="str">
        <f>IFERROR(__xludf.DUMMYFUNCTION("REGEXEXTRACT(J1647, ""[A-Za-z ]+$"")")," min")</f>
        <v> min</v>
      </c>
      <c r="AA1647" s="5" t="str">
        <f>IFERROR(__xludf.DUMMYFUNCTION("IF(REGEXMATCH(Z1647, ""Season""), ""TV Show"", ""Movie"")"),"Movie")</f>
        <v>Movie</v>
      </c>
    </row>
    <row r="1648">
      <c r="A1648" s="1" t="s">
        <v>9593</v>
      </c>
      <c r="B1648" s="1" t="s">
        <v>27</v>
      </c>
      <c r="C1648" s="1" t="s">
        <v>9594</v>
      </c>
      <c r="D1648" s="1" t="s">
        <v>9595</v>
      </c>
      <c r="E1648" s="1" t="s">
        <v>9596</v>
      </c>
      <c r="F1648" s="1" t="s">
        <v>30</v>
      </c>
      <c r="G1648" s="1" t="s">
        <v>9585</v>
      </c>
      <c r="H1648" s="1">
        <v>2020.0</v>
      </c>
      <c r="I1648" s="1" t="s">
        <v>42</v>
      </c>
      <c r="J1648" s="1" t="s">
        <v>238</v>
      </c>
      <c r="K1648" s="1" t="s">
        <v>306</v>
      </c>
      <c r="L1648" s="1" t="s">
        <v>9597</v>
      </c>
      <c r="M1648" s="2" t="s">
        <v>12</v>
      </c>
      <c r="N1648" s="4">
        <f t="shared" si="1"/>
        <v>44161</v>
      </c>
      <c r="O1648" s="5" t="str">
        <f>IFERROR(__xludf.DUMMYFUNCTION("IF(REGEXMATCH(TRIM(I1648), ""^\d+\s*min""), ""Unclassified"", IF(I1648 = """", ""NR"", I1648))"),"TV-MA")</f>
        <v>TV-MA</v>
      </c>
      <c r="R1648" s="5" t="str">
        <f t="shared" si="2"/>
        <v>Mosul</v>
      </c>
      <c r="S1648" s="5" t="str">
        <f>IFERROR(__xludf.DUMMYFUNCTION("""COMPUTED_VALUE"""),"Colours Of Passion")</f>
        <v>Colours Of Passion</v>
      </c>
      <c r="U1648" s="5" t="str">
        <f>IFERROR(__xludf.DUMMYFUNCTION("""COMPUTED_VALUE"""),"Austin Peck, Anneliese Vandenberg")</f>
        <v>Austin Peck, Anneliese Vandenberg</v>
      </c>
      <c r="V1648" s="5" t="s">
        <v>9598</v>
      </c>
      <c r="W1648" s="5" t="str">
        <f t="shared" si="3"/>
        <v>Ilya Naishuller</v>
      </c>
      <c r="X1648" s="5">
        <f t="shared" si="4"/>
        <v>1</v>
      </c>
      <c r="Y1648" s="5" t="str">
        <f>IFERROR(__xludf.DUMMYFUNCTION("REGEXEXTRACT(J1648, ""^\d+"")"),"103")</f>
        <v>103</v>
      </c>
      <c r="Z1648" s="5" t="str">
        <f>IFERROR(__xludf.DUMMYFUNCTION("REGEXEXTRACT(J1648, ""[A-Za-z ]+$"")")," min")</f>
        <v> min</v>
      </c>
      <c r="AA1648" s="5" t="str">
        <f>IFERROR(__xludf.DUMMYFUNCTION("IF(REGEXMATCH(Z1648, ""Season""), ""TV Show"", ""Movie"")"),"Movie")</f>
        <v>Movie</v>
      </c>
    </row>
    <row r="1649">
      <c r="A1649" s="1" t="s">
        <v>9599</v>
      </c>
      <c r="B1649" s="1" t="s">
        <v>27</v>
      </c>
      <c r="C1649" s="1" t="s">
        <v>9600</v>
      </c>
      <c r="D1649" s="1" t="s">
        <v>4260</v>
      </c>
      <c r="E1649" s="1" t="s">
        <v>9601</v>
      </c>
      <c r="F1649" s="1" t="s">
        <v>4287</v>
      </c>
      <c r="G1649" s="1" t="s">
        <v>9585</v>
      </c>
      <c r="H1649" s="1">
        <v>2017.0</v>
      </c>
      <c r="I1649" s="1" t="s">
        <v>97</v>
      </c>
      <c r="J1649" s="1" t="s">
        <v>941</v>
      </c>
      <c r="K1649" s="1" t="s">
        <v>215</v>
      </c>
      <c r="L1649" s="1" t="s">
        <v>9602</v>
      </c>
      <c r="M1649" s="2" t="s">
        <v>12</v>
      </c>
      <c r="N1649" s="4">
        <f t="shared" si="1"/>
        <v>44161</v>
      </c>
      <c r="O1649" s="5" t="str">
        <f>IFERROR(__xludf.DUMMYFUNCTION("IF(REGEXMATCH(TRIM(I1649), ""^\d+\s*min""), ""Unclassified"", IF(I1649 = """", ""NR"", I1649))"),"TV-14")</f>
        <v>TV-14</v>
      </c>
      <c r="R1649" s="5" t="str">
        <f t="shared" si="2"/>
        <v>Unexpectedly Yours</v>
      </c>
      <c r="S1649" s="5" t="str">
        <f>IFERROR(__xludf.DUMMYFUNCTION("""COMPUTED_VALUE"""),"Come And Find Me")</f>
        <v>Come And Find Me</v>
      </c>
      <c r="U1649" s="5" t="str">
        <f>IFERROR(__xludf.DUMMYFUNCTION("""COMPUTED_VALUE"""),"James Bamford")</f>
        <v>James Bamford</v>
      </c>
      <c r="V1649" s="5" t="s">
        <v>9603</v>
      </c>
      <c r="W1649" s="5" t="str">
        <f t="shared" si="3"/>
        <v>Iman Brotoseno</v>
      </c>
      <c r="X1649" s="5">
        <f t="shared" si="4"/>
        <v>1</v>
      </c>
      <c r="Y1649" s="5" t="str">
        <f>IFERROR(__xludf.DUMMYFUNCTION("REGEXEXTRACT(J1649, ""^\d+"")"),"121")</f>
        <v>121</v>
      </c>
      <c r="Z1649" s="5" t="str">
        <f>IFERROR(__xludf.DUMMYFUNCTION("REGEXEXTRACT(J1649, ""[A-Za-z ]+$"")")," min")</f>
        <v> min</v>
      </c>
      <c r="AA1649" s="5" t="str">
        <f>IFERROR(__xludf.DUMMYFUNCTION("IF(REGEXMATCH(Z1649, ""Season""), ""TV Show"", ""Movie"")"),"Movie")</f>
        <v>Movie</v>
      </c>
    </row>
    <row r="1650">
      <c r="A1650" s="1" t="s">
        <v>9604</v>
      </c>
      <c r="B1650" s="1" t="s">
        <v>27</v>
      </c>
      <c r="C1650" s="1" t="s">
        <v>9605</v>
      </c>
      <c r="D1650" s="1" t="s">
        <v>7128</v>
      </c>
      <c r="E1650" s="1" t="s">
        <v>9606</v>
      </c>
      <c r="F1650" s="1" t="s">
        <v>96</v>
      </c>
      <c r="G1650" s="1" t="s">
        <v>9607</v>
      </c>
      <c r="H1650" s="1">
        <v>2020.0</v>
      </c>
      <c r="I1650" s="1" t="s">
        <v>378</v>
      </c>
      <c r="J1650" s="1" t="s">
        <v>465</v>
      </c>
      <c r="K1650" s="1" t="s">
        <v>1551</v>
      </c>
      <c r="L1650" s="1" t="s">
        <v>9608</v>
      </c>
      <c r="M1650" s="2" t="s">
        <v>12</v>
      </c>
      <c r="N1650" s="4">
        <f t="shared" si="1"/>
        <v>44160</v>
      </c>
      <c r="O1650" s="5" t="str">
        <f>IFERROR(__xludf.DUMMYFUNCTION("IF(REGEXMATCH(TRIM(I1650), ""^\d+\s*min""), ""Unclassified"", IF(I1650 = """", ""NR"", I1650))"),"R")</f>
        <v>R</v>
      </c>
      <c r="R1650" s="5" t="str">
        <f t="shared" si="2"/>
        <v>Ghosts Of War</v>
      </c>
      <c r="S1650" s="5" t="str">
        <f>IFERROR(__xludf.DUMMYFUNCTION("""COMPUTED_VALUE"""),"Come Sunday")</f>
        <v>Come Sunday</v>
      </c>
      <c r="U1650" s="5" t="str">
        <f>IFERROR(__xludf.DUMMYFUNCTION("""COMPUTED_VALUE"""),"Julia Willoughby Nason, Jenner Furst")</f>
        <v>Julia Willoughby Nason, Jenner Furst</v>
      </c>
      <c r="V1650" s="5" t="s">
        <v>9609</v>
      </c>
      <c r="W1650" s="5" t="str">
        <f t="shared" si="3"/>
        <v>Imtiaz Ali</v>
      </c>
      <c r="X1650" s="5">
        <f t="shared" si="4"/>
        <v>6</v>
      </c>
      <c r="Y1650" s="5" t="str">
        <f>IFERROR(__xludf.DUMMYFUNCTION("REGEXEXTRACT(J1650, ""^\d+"")"),"95")</f>
        <v>95</v>
      </c>
      <c r="Z1650" s="5" t="str">
        <f>IFERROR(__xludf.DUMMYFUNCTION("REGEXEXTRACT(J1650, ""[A-Za-z ]+$"")")," min")</f>
        <v> min</v>
      </c>
      <c r="AA1650" s="5" t="str">
        <f>IFERROR(__xludf.DUMMYFUNCTION("IF(REGEXMATCH(Z1650, ""Season""), ""TV Show"", ""Movie"")"),"Movie")</f>
        <v>Movie</v>
      </c>
    </row>
    <row r="1651">
      <c r="A1651" s="1" t="s">
        <v>9610</v>
      </c>
      <c r="B1651" s="1" t="s">
        <v>37</v>
      </c>
      <c r="C1651" s="1" t="s">
        <v>9611</v>
      </c>
      <c r="E1651" s="1" t="s">
        <v>9612</v>
      </c>
      <c r="F1651" s="1" t="s">
        <v>415</v>
      </c>
      <c r="G1651" s="1" t="s">
        <v>9607</v>
      </c>
      <c r="H1651" s="1">
        <v>2020.0</v>
      </c>
      <c r="I1651" s="1" t="s">
        <v>42</v>
      </c>
      <c r="J1651" s="1" t="s">
        <v>43</v>
      </c>
      <c r="K1651" s="1" t="s">
        <v>3858</v>
      </c>
      <c r="L1651" s="1" t="s">
        <v>9613</v>
      </c>
      <c r="M1651" s="2" t="s">
        <v>12</v>
      </c>
      <c r="N1651" s="4">
        <f t="shared" si="1"/>
        <v>44160</v>
      </c>
      <c r="O1651" s="5" t="str">
        <f>IFERROR(__xludf.DUMMYFUNCTION("IF(REGEXMATCH(TRIM(I1651), ""^\d+\s*min""), ""Unclassified"", IF(I1651 = """", ""NR"", I1651))"),"TV-MA")</f>
        <v>TV-MA</v>
      </c>
      <c r="R1651" s="5" t="str">
        <f t="shared" si="2"/>
        <v>Great Pretender</v>
      </c>
      <c r="S1651" s="5" t="str">
        <f>IFERROR(__xludf.DUMMYFUNCTION("""COMPUTED_VALUE"""),"Comedians In Cars Getting Coffee")</f>
        <v>Comedians In Cars Getting Coffee</v>
      </c>
      <c r="U1651" s="5" t="str">
        <f>IFERROR(__xludf.DUMMYFUNCTION("""COMPUTED_VALUE"""),"Nate Adams, Adam Carolla")</f>
        <v>Nate Adams, Adam Carolla</v>
      </c>
      <c r="V1651" s="5" t="s">
        <v>9614</v>
      </c>
      <c r="W1651" s="5" t="str">
        <f t="shared" si="3"/>
        <v>Inas El-Degheidy</v>
      </c>
      <c r="X1651" s="5">
        <f t="shared" si="4"/>
        <v>1</v>
      </c>
      <c r="Y1651" s="5" t="str">
        <f>IFERROR(__xludf.DUMMYFUNCTION("REGEXEXTRACT(J1651, ""^\d+"")"),"2")</f>
        <v>2</v>
      </c>
      <c r="Z1651" s="5" t="str">
        <f>IFERROR(__xludf.DUMMYFUNCTION("REGEXEXTRACT(J1651, ""[A-Za-z ]+$"")")," Seasons")</f>
        <v> Seasons</v>
      </c>
      <c r="AA1651" s="5" t="str">
        <f>IFERROR(__xludf.DUMMYFUNCTION("IF(REGEXMATCH(Z1651, ""Season""), ""TV Show"", ""Movie"")"),"TV Show")</f>
        <v>TV Show</v>
      </c>
    </row>
    <row r="1652">
      <c r="A1652" s="1" t="s">
        <v>9615</v>
      </c>
      <c r="B1652" s="1" t="s">
        <v>27</v>
      </c>
      <c r="C1652" s="1" t="s">
        <v>9616</v>
      </c>
      <c r="D1652" s="1" t="s">
        <v>8862</v>
      </c>
      <c r="E1652" s="1" t="s">
        <v>9617</v>
      </c>
      <c r="F1652" s="1" t="s">
        <v>686</v>
      </c>
      <c r="G1652" s="1" t="s">
        <v>9607</v>
      </c>
      <c r="H1652" s="1">
        <v>2020.0</v>
      </c>
      <c r="I1652" s="1" t="s">
        <v>136</v>
      </c>
      <c r="J1652" s="1" t="s">
        <v>630</v>
      </c>
      <c r="K1652" s="1" t="s">
        <v>8833</v>
      </c>
      <c r="L1652" s="1" t="s">
        <v>9618</v>
      </c>
      <c r="M1652" s="2" t="s">
        <v>12</v>
      </c>
      <c r="N1652" s="4">
        <f t="shared" si="1"/>
        <v>44160</v>
      </c>
      <c r="O1652" s="5" t="str">
        <f>IFERROR(__xludf.DUMMYFUNCTION("IF(REGEXMATCH(TRIM(I1652), ""^\d+\s*min""), ""Unclassified"", IF(I1652 = """", ""NR"", I1652))"),"TV-PG")</f>
        <v>TV-PG</v>
      </c>
      <c r="R1652" s="5" t="str">
        <f t="shared" si="2"/>
        <v>Shawn Mendes: Live In Concert</v>
      </c>
      <c r="S1652" s="5" t="str">
        <f>IFERROR(__xludf.DUMMYFUNCTION("""COMPUTED_VALUE"""),"Comedians Of The World")</f>
        <v>Comedians Of The World</v>
      </c>
      <c r="U1652" s="5" t="str">
        <f>IFERROR(__xludf.DUMMYFUNCTION("""COMPUTED_VALUE"""),"Ivan Silvestrini")</f>
        <v>Ivan Silvestrini</v>
      </c>
      <c r="V1652" s="5" t="s">
        <v>9619</v>
      </c>
      <c r="W1652" s="5" t="str">
        <f t="shared" si="3"/>
        <v>Indra Kumar</v>
      </c>
      <c r="X1652" s="5">
        <f t="shared" si="4"/>
        <v>5</v>
      </c>
      <c r="Y1652" s="5" t="str">
        <f>IFERROR(__xludf.DUMMYFUNCTION("REGEXEXTRACT(J1652, ""^\d+"")"),"87")</f>
        <v>87</v>
      </c>
      <c r="Z1652" s="5" t="str">
        <f>IFERROR(__xludf.DUMMYFUNCTION("REGEXEXTRACT(J1652, ""[A-Za-z ]+$"")")," min")</f>
        <v> min</v>
      </c>
      <c r="AA1652" s="5" t="str">
        <f>IFERROR(__xludf.DUMMYFUNCTION("IF(REGEXMATCH(Z1652, ""Season""), ""TV Show"", ""Movie"")"),"Movie")</f>
        <v>Movie</v>
      </c>
    </row>
    <row r="1653">
      <c r="A1653" s="1" t="s">
        <v>9620</v>
      </c>
      <c r="B1653" s="1" t="s">
        <v>27</v>
      </c>
      <c r="C1653" s="1" t="s">
        <v>9621</v>
      </c>
      <c r="D1653" s="1" t="s">
        <v>4690</v>
      </c>
      <c r="E1653" s="1" t="s">
        <v>9622</v>
      </c>
      <c r="F1653" s="1" t="s">
        <v>1106</v>
      </c>
      <c r="G1653" s="1" t="s">
        <v>9607</v>
      </c>
      <c r="H1653" s="1">
        <v>2020.0</v>
      </c>
      <c r="I1653" s="1" t="s">
        <v>78</v>
      </c>
      <c r="J1653" s="1" t="s">
        <v>379</v>
      </c>
      <c r="K1653" s="1" t="s">
        <v>137</v>
      </c>
      <c r="L1653" s="1" t="s">
        <v>9623</v>
      </c>
      <c r="M1653" s="2" t="s">
        <v>12</v>
      </c>
      <c r="N1653" s="4">
        <f t="shared" si="1"/>
        <v>44160</v>
      </c>
      <c r="O1653" s="5" t="str">
        <f>IFERROR(__xludf.DUMMYFUNCTION("IF(REGEXMATCH(TRIM(I1653), ""^\d+\s*min""), ""Unclassified"", IF(I1653 = """", ""NR"", I1653))"),"PG")</f>
        <v>PG</v>
      </c>
      <c r="R1653" s="5" t="str">
        <f t="shared" si="2"/>
        <v>The Christmas Chronicles: Part Two</v>
      </c>
      <c r="S1653" s="5" t="str">
        <f>IFERROR(__xludf.DUMMYFUNCTION("""COMPUTED_VALUE"""),"Comedy Bang! Bang!")</f>
        <v>Comedy Bang! Bang!</v>
      </c>
      <c r="U1653" s="5" t="str">
        <f>IFERROR(__xludf.DUMMYFUNCTION("""COMPUTED_VALUE"""),"Robert Krantz")</f>
        <v>Robert Krantz</v>
      </c>
      <c r="V1653" s="5" t="s">
        <v>9624</v>
      </c>
      <c r="W1653" s="5" t="str">
        <f t="shared" si="3"/>
        <v>Indrajit Nattoji</v>
      </c>
      <c r="X1653" s="5">
        <f t="shared" si="4"/>
        <v>1</v>
      </c>
      <c r="Y1653" s="5" t="str">
        <f>IFERROR(__xludf.DUMMYFUNCTION("REGEXEXTRACT(J1653, ""^\d+"")"),"115")</f>
        <v>115</v>
      </c>
      <c r="Z1653" s="5" t="str">
        <f>IFERROR(__xludf.DUMMYFUNCTION("REGEXEXTRACT(J1653, ""[A-Za-z ]+$"")")," min")</f>
        <v> min</v>
      </c>
      <c r="AA1653" s="5" t="str">
        <f>IFERROR(__xludf.DUMMYFUNCTION("IF(REGEXMATCH(Z1653, ""Season""), ""TV Show"", ""Movie"")"),"Movie")</f>
        <v>Movie</v>
      </c>
    </row>
    <row r="1654">
      <c r="A1654" s="1" t="s">
        <v>9625</v>
      </c>
      <c r="B1654" s="1" t="s">
        <v>27</v>
      </c>
      <c r="C1654" s="1" t="s">
        <v>9626</v>
      </c>
      <c r="D1654" s="1" t="s">
        <v>9627</v>
      </c>
      <c r="E1654" s="1" t="s">
        <v>9628</v>
      </c>
      <c r="G1654" s="1" t="s">
        <v>9629</v>
      </c>
      <c r="H1654" s="1">
        <v>2020.0</v>
      </c>
      <c r="I1654" s="1" t="s">
        <v>97</v>
      </c>
      <c r="J1654" s="1" t="s">
        <v>9630</v>
      </c>
      <c r="K1654" s="1" t="s">
        <v>1592</v>
      </c>
      <c r="L1654" s="1" t="s">
        <v>9631</v>
      </c>
      <c r="M1654" s="2" t="s">
        <v>12</v>
      </c>
      <c r="N1654" s="4">
        <f t="shared" si="1"/>
        <v>44159</v>
      </c>
      <c r="O1654" s="5" t="str">
        <f>IFERROR(__xludf.DUMMYFUNCTION("IF(REGEXMATCH(TRIM(I1654), ""^\d+\s*min""), ""Unclassified"", IF(I1654 = """", ""NR"", I1654))"),"TV-14")</f>
        <v>TV-14</v>
      </c>
      <c r="R1654" s="5" t="str">
        <f t="shared" si="2"/>
        <v>Andhaghaaram</v>
      </c>
      <c r="S1654" s="5" t="str">
        <f>IFERROR(__xludf.DUMMYFUNCTION("""COMPUTED_VALUE"""),"Comedy High School")</f>
        <v>Comedy High School</v>
      </c>
      <c r="U1654" s="5" t="str">
        <f>IFERROR(__xludf.DUMMYFUNCTION("""COMPUTED_VALUE"""),"Gregory Jacobs")</f>
        <v>Gregory Jacobs</v>
      </c>
      <c r="V1654" s="5" t="s">
        <v>9632</v>
      </c>
      <c r="W1654" s="5" t="str">
        <f t="shared" si="3"/>
        <v>Indrasis Acharya</v>
      </c>
      <c r="X1654" s="5">
        <f t="shared" si="4"/>
        <v>1</v>
      </c>
      <c r="Y1654" s="5" t="str">
        <f>IFERROR(__xludf.DUMMYFUNCTION("REGEXEXTRACT(J1654, ""^\d+"")"),"171")</f>
        <v>171</v>
      </c>
      <c r="Z1654" s="5" t="str">
        <f>IFERROR(__xludf.DUMMYFUNCTION("REGEXEXTRACT(J1654, ""[A-Za-z ]+$"")")," min")</f>
        <v> min</v>
      </c>
      <c r="AA1654" s="5" t="str">
        <f>IFERROR(__xludf.DUMMYFUNCTION("IF(REGEXMATCH(Z1654, ""Season""), ""TV Show"", ""Movie"")"),"Movie")</f>
        <v>Movie</v>
      </c>
    </row>
    <row r="1655">
      <c r="A1655" s="1" t="s">
        <v>9633</v>
      </c>
      <c r="B1655" s="1" t="s">
        <v>27</v>
      </c>
      <c r="C1655" s="1" t="s">
        <v>9634</v>
      </c>
      <c r="D1655" s="1" t="s">
        <v>9627</v>
      </c>
      <c r="E1655" s="1" t="s">
        <v>9628</v>
      </c>
      <c r="F1655" s="1" t="s">
        <v>63</v>
      </c>
      <c r="G1655" s="1" t="s">
        <v>9629</v>
      </c>
      <c r="H1655" s="1">
        <v>2020.0</v>
      </c>
      <c r="I1655" s="1" t="s">
        <v>97</v>
      </c>
      <c r="J1655" s="1" t="s">
        <v>9630</v>
      </c>
      <c r="K1655" s="1" t="s">
        <v>1592</v>
      </c>
      <c r="L1655" s="1" t="s">
        <v>9631</v>
      </c>
      <c r="M1655" s="2" t="s">
        <v>12</v>
      </c>
      <c r="N1655" s="4">
        <f t="shared" si="1"/>
        <v>44159</v>
      </c>
      <c r="O1655" s="5" t="str">
        <f>IFERROR(__xludf.DUMMYFUNCTION("IF(REGEXMATCH(TRIM(I1655), ""^\d+\s*min""), ""Unclassified"", IF(I1655 = """", ""NR"", I1655))"),"TV-14")</f>
        <v>TV-14</v>
      </c>
      <c r="R1655" s="5" t="str">
        <f t="shared" si="2"/>
        <v>Andhakaaram</v>
      </c>
      <c r="S1655" s="5" t="str">
        <f>IFERROR(__xludf.DUMMYFUNCTION("""COMPUTED_VALUE"""),"Comedy Premium League")</f>
        <v>Comedy Premium League</v>
      </c>
      <c r="U1655" s="5" t="str">
        <f>IFERROR(__xludf.DUMMYFUNCTION("""COMPUTED_VALUE"""),"Alfonso Cortés-Cavanillas")</f>
        <v>Alfonso Cortés-Cavanillas</v>
      </c>
      <c r="V1655" s="5" t="s">
        <v>1820</v>
      </c>
      <c r="W1655" s="5" t="str">
        <f t="shared" si="3"/>
        <v>Inma Torrente</v>
      </c>
      <c r="X1655" s="5">
        <f t="shared" si="4"/>
        <v>1</v>
      </c>
      <c r="Y1655" s="5" t="str">
        <f>IFERROR(__xludf.DUMMYFUNCTION("REGEXEXTRACT(J1655, ""^\d+"")"),"171")</f>
        <v>171</v>
      </c>
      <c r="Z1655" s="5" t="str">
        <f>IFERROR(__xludf.DUMMYFUNCTION("REGEXEXTRACT(J1655, ""[A-Za-z ]+$"")")," min")</f>
        <v> min</v>
      </c>
      <c r="AA1655" s="5" t="str">
        <f>IFERROR(__xludf.DUMMYFUNCTION("IF(REGEXMATCH(Z1655, ""Season""), ""TV Show"", ""Movie"")"),"Movie")</f>
        <v>Movie</v>
      </c>
    </row>
    <row r="1656">
      <c r="A1656" s="1" t="s">
        <v>9635</v>
      </c>
      <c r="B1656" s="1" t="s">
        <v>37</v>
      </c>
      <c r="C1656" s="1" t="s">
        <v>9636</v>
      </c>
      <c r="D1656" s="1" t="s">
        <v>6577</v>
      </c>
      <c r="E1656" s="1" t="s">
        <v>9637</v>
      </c>
      <c r="F1656" s="1" t="s">
        <v>400</v>
      </c>
      <c r="G1656" s="1" t="s">
        <v>9629</v>
      </c>
      <c r="H1656" s="1">
        <v>2015.0</v>
      </c>
      <c r="I1656" s="1" t="s">
        <v>42</v>
      </c>
      <c r="J1656" s="1" t="s">
        <v>51</v>
      </c>
      <c r="K1656" s="1" t="s">
        <v>64</v>
      </c>
      <c r="L1656" s="1" t="s">
        <v>9638</v>
      </c>
      <c r="M1656" s="2" t="s">
        <v>12</v>
      </c>
      <c r="N1656" s="4">
        <f t="shared" si="1"/>
        <v>44159</v>
      </c>
      <c r="O1656" s="5" t="str">
        <f>IFERROR(__xludf.DUMMYFUNCTION("IF(REGEXMATCH(TRIM(I1656), ""^\d+\s*min""), ""Unclassified"", IF(I1656 = """", ""NR"", I1656))"),"TV-MA")</f>
        <v>TV-MA</v>
      </c>
      <c r="R1656" s="5" t="str">
        <f t="shared" si="2"/>
        <v>Before 30</v>
      </c>
      <c r="S1656" s="5" t="str">
        <f>IFERROR(__xludf.DUMMYFUNCTION("""COMPUTED_VALUE"""),"Command And Control")</f>
        <v>Command And Control</v>
      </c>
      <c r="U1656" s="5" t="str">
        <f>IFERROR(__xludf.DUMMYFUNCTION("""COMPUTED_VALUE"""),"Xavier Manrique")</f>
        <v>Xavier Manrique</v>
      </c>
      <c r="V1656" s="5" t="s">
        <v>9639</v>
      </c>
      <c r="W1656" s="5" t="str">
        <f t="shared" si="3"/>
        <v>Iñaki Dorronsoro</v>
      </c>
      <c r="X1656" s="5">
        <f t="shared" si="4"/>
        <v>1</v>
      </c>
      <c r="Y1656" s="5" t="str">
        <f>IFERROR(__xludf.DUMMYFUNCTION("REGEXEXTRACT(J1656, ""^\d+"")"),"1")</f>
        <v>1</v>
      </c>
      <c r="Z1656" s="5" t="str">
        <f>IFERROR(__xludf.DUMMYFUNCTION("REGEXEXTRACT(J1656, ""[A-Za-z ]+$"")")," Season")</f>
        <v> Season</v>
      </c>
      <c r="AA1656" s="5" t="str">
        <f>IFERROR(__xludf.DUMMYFUNCTION("IF(REGEXMATCH(Z1656, ""Season""), ""TV Show"", ""Movie"")"),"TV Show")</f>
        <v>TV Show</v>
      </c>
    </row>
    <row r="1657">
      <c r="A1657" s="1" t="s">
        <v>9640</v>
      </c>
      <c r="B1657" s="1" t="s">
        <v>27</v>
      </c>
      <c r="C1657" s="1" t="s">
        <v>9641</v>
      </c>
      <c r="D1657" s="1" t="s">
        <v>9642</v>
      </c>
      <c r="E1657" s="1" t="s">
        <v>9643</v>
      </c>
      <c r="F1657" s="1" t="s">
        <v>30</v>
      </c>
      <c r="G1657" s="1" t="s">
        <v>9629</v>
      </c>
      <c r="H1657" s="1">
        <v>2020.0</v>
      </c>
      <c r="I1657" s="1" t="s">
        <v>206</v>
      </c>
      <c r="J1657" s="1" t="s">
        <v>3060</v>
      </c>
      <c r="K1657" s="1" t="s">
        <v>137</v>
      </c>
      <c r="L1657" s="1" t="s">
        <v>9644</v>
      </c>
      <c r="M1657" s="2" t="s">
        <v>12</v>
      </c>
      <c r="N1657" s="4">
        <f t="shared" si="1"/>
        <v>44159</v>
      </c>
      <c r="O1657" s="5" t="str">
        <f>IFERROR(__xludf.DUMMYFUNCTION("IF(REGEXMATCH(TRIM(I1657), ""^\d+\s*min""), ""Unclassified"", IF(I1657 = """", ""NR"", I1657))"),"TV-Y")</f>
        <v>TV-Y</v>
      </c>
      <c r="R1657" s="5" t="str">
        <f t="shared" si="2"/>
        <v>Dragons: Rescue Riders: Huttsgalor Holiday</v>
      </c>
      <c r="S1657" s="5" t="str">
        <f>IFERROR(__xludf.DUMMYFUNCTION("""COMPUTED_VALUE"""),"Community")</f>
        <v>Community</v>
      </c>
      <c r="U1657" s="5" t="str">
        <f>IFERROR(__xludf.DUMMYFUNCTION("""COMPUTED_VALUE"""),"Richard Gabai")</f>
        <v>Richard Gabai</v>
      </c>
      <c r="V1657" s="5" t="s">
        <v>9645</v>
      </c>
      <c r="W1657" s="5" t="str">
        <f t="shared" si="3"/>
        <v>Ira Sachs</v>
      </c>
      <c r="X1657" s="5">
        <f t="shared" si="4"/>
        <v>1</v>
      </c>
      <c r="Y1657" s="5" t="str">
        <f>IFERROR(__xludf.DUMMYFUNCTION("REGEXEXTRACT(J1657, ""^\d+"")"),"46")</f>
        <v>46</v>
      </c>
      <c r="Z1657" s="5" t="str">
        <f>IFERROR(__xludf.DUMMYFUNCTION("REGEXEXTRACT(J1657, ""[A-Za-z ]+$"")")," min")</f>
        <v> min</v>
      </c>
      <c r="AA1657" s="5" t="str">
        <f>IFERROR(__xludf.DUMMYFUNCTION("IF(REGEXMATCH(Z1657, ""Season""), ""TV Show"", ""Movie"")"),"Movie")</f>
        <v>Movie</v>
      </c>
    </row>
    <row r="1658">
      <c r="A1658" s="1" t="s">
        <v>9646</v>
      </c>
      <c r="B1658" s="1" t="s">
        <v>27</v>
      </c>
      <c r="C1658" s="1" t="s">
        <v>9647</v>
      </c>
      <c r="D1658" s="1" t="s">
        <v>6169</v>
      </c>
      <c r="E1658" s="1" t="s">
        <v>9648</v>
      </c>
      <c r="F1658" s="1" t="s">
        <v>30</v>
      </c>
      <c r="G1658" s="1" t="s">
        <v>9629</v>
      </c>
      <c r="H1658" s="1">
        <v>2020.0</v>
      </c>
      <c r="I1658" s="1" t="s">
        <v>378</v>
      </c>
      <c r="J1658" s="1" t="s">
        <v>743</v>
      </c>
      <c r="K1658" s="1" t="s">
        <v>805</v>
      </c>
      <c r="L1658" s="1" t="s">
        <v>9649</v>
      </c>
      <c r="M1658" s="2" t="s">
        <v>12</v>
      </c>
      <c r="N1658" s="4">
        <f t="shared" si="1"/>
        <v>44159</v>
      </c>
      <c r="O1658" s="5" t="str">
        <f>IFERROR(__xludf.DUMMYFUNCTION("IF(REGEXMATCH(TRIM(I1658), ""^\d+\s*min""), ""Unclassified"", IF(I1658 = """", ""NR"", I1658))"),"R")</f>
        <v>R</v>
      </c>
      <c r="R1658" s="5" t="str">
        <f t="shared" si="2"/>
        <v>Hillbilly Elegy</v>
      </c>
      <c r="S1658" s="5" t="str">
        <f>IFERROR(__xludf.DUMMYFUNCTION("""COMPUTED_VALUE"""),"Como Caído Del Cielo")</f>
        <v>Como Caído Del Cielo</v>
      </c>
      <c r="U1658" s="5" t="str">
        <f>IFERROR(__xludf.DUMMYFUNCTION("""COMPUTED_VALUE"""),"Alfons Adetuyi")</f>
        <v>Alfons Adetuyi</v>
      </c>
      <c r="V1658" s="5" t="s">
        <v>9650</v>
      </c>
      <c r="W1658" s="5" t="str">
        <f t="shared" si="3"/>
        <v>Irek Dobrowolski</v>
      </c>
      <c r="X1658" s="5">
        <f t="shared" si="4"/>
        <v>1</v>
      </c>
      <c r="Y1658" s="5" t="str">
        <f>IFERROR(__xludf.DUMMYFUNCTION("REGEXEXTRACT(J1658, ""^\d+"")"),"117")</f>
        <v>117</v>
      </c>
      <c r="Z1658" s="5" t="str">
        <f>IFERROR(__xludf.DUMMYFUNCTION("REGEXEXTRACT(J1658, ""[A-Za-z ]+$"")")," min")</f>
        <v> min</v>
      </c>
      <c r="AA1658" s="5" t="str">
        <f>IFERROR(__xludf.DUMMYFUNCTION("IF(REGEXMATCH(Z1658, ""Season""), ""TV Show"", ""Movie"")"),"Movie")</f>
        <v>Movie</v>
      </c>
    </row>
    <row r="1659">
      <c r="A1659" s="1" t="s">
        <v>9651</v>
      </c>
      <c r="B1659" s="1" t="s">
        <v>27</v>
      </c>
      <c r="C1659" s="1" t="s">
        <v>9652</v>
      </c>
      <c r="D1659" s="1" t="s">
        <v>4185</v>
      </c>
      <c r="E1659" s="1" t="s">
        <v>9653</v>
      </c>
      <c r="F1659" s="1" t="s">
        <v>1815</v>
      </c>
      <c r="G1659" s="1" t="s">
        <v>9629</v>
      </c>
      <c r="H1659" s="1">
        <v>2020.0</v>
      </c>
      <c r="I1659" s="1" t="s">
        <v>42</v>
      </c>
      <c r="J1659" s="1" t="s">
        <v>1608</v>
      </c>
      <c r="K1659" s="1" t="s">
        <v>128</v>
      </c>
      <c r="L1659" s="1" t="s">
        <v>9654</v>
      </c>
      <c r="M1659" s="2" t="s">
        <v>12</v>
      </c>
      <c r="N1659" s="4">
        <f t="shared" si="1"/>
        <v>44159</v>
      </c>
      <c r="O1659" s="5" t="str">
        <f>IFERROR(__xludf.DUMMYFUNCTION("IF(REGEXMATCH(TRIM(I1659), ""^\d+\s*min""), ""Unclassified"", IF(I1659 = """", ""NR"", I1659))"),"TV-MA")</f>
        <v>TV-MA</v>
      </c>
      <c r="R1659" s="5" t="str">
        <f t="shared" si="2"/>
        <v>Notes For My Son</v>
      </c>
      <c r="S1659" s="5" t="str">
        <f>IFERROR(__xludf.DUMMYFUNCTION("""COMPUTED_VALUE"""),"Company")</f>
        <v>Company</v>
      </c>
      <c r="U1659" s="5" t="str">
        <f>IFERROR(__xludf.DUMMYFUNCTION("""COMPUTED_VALUE"""),"Thomas Astruc")</f>
        <v>Thomas Astruc</v>
      </c>
      <c r="V1659" s="5" t="s">
        <v>2332</v>
      </c>
      <c r="W1659" s="5" t="str">
        <f t="shared" si="3"/>
        <v>Irwin Winkler</v>
      </c>
      <c r="X1659" s="5">
        <f t="shared" si="4"/>
        <v>1</v>
      </c>
      <c r="Y1659" s="5" t="str">
        <f>IFERROR(__xludf.DUMMYFUNCTION("REGEXEXTRACT(J1659, ""^\d+"")"),"84")</f>
        <v>84</v>
      </c>
      <c r="Z1659" s="5" t="str">
        <f>IFERROR(__xludf.DUMMYFUNCTION("REGEXEXTRACT(J1659, ""[A-Za-z ]+$"")")," min")</f>
        <v> min</v>
      </c>
      <c r="AA1659" s="5" t="str">
        <f>IFERROR(__xludf.DUMMYFUNCTION("IF(REGEXMATCH(Z1659, ""Season""), ""TV Show"", ""Movie"")"),"Movie")</f>
        <v>Movie</v>
      </c>
    </row>
    <row r="1660">
      <c r="A1660" s="1" t="s">
        <v>9655</v>
      </c>
      <c r="B1660" s="1" t="s">
        <v>37</v>
      </c>
      <c r="C1660" s="1" t="s">
        <v>9656</v>
      </c>
      <c r="E1660" s="1" t="s">
        <v>9657</v>
      </c>
      <c r="F1660" s="1" t="s">
        <v>3309</v>
      </c>
      <c r="G1660" s="1" t="s">
        <v>9629</v>
      </c>
      <c r="H1660" s="1">
        <v>2020.0</v>
      </c>
      <c r="I1660" s="1" t="s">
        <v>97</v>
      </c>
      <c r="J1660" s="1" t="s">
        <v>51</v>
      </c>
      <c r="K1660" s="1" t="s">
        <v>1531</v>
      </c>
      <c r="L1660" s="1" t="s">
        <v>9658</v>
      </c>
      <c r="M1660" s="2" t="s">
        <v>12</v>
      </c>
      <c r="N1660" s="4">
        <f t="shared" si="1"/>
        <v>44159</v>
      </c>
      <c r="O1660" s="5" t="str">
        <f>IFERROR(__xludf.DUMMYFUNCTION("IF(REGEXMATCH(TRIM(I1660), ""^\d+\s*min""), ""Unclassified"", IF(I1660 = """", ""NR"", I1660))"),"TV-14")</f>
        <v>TV-14</v>
      </c>
      <c r="R1660" s="5" t="str">
        <f t="shared" si="2"/>
        <v>Valentino</v>
      </c>
      <c r="S1660" s="5" t="str">
        <f>IFERROR(__xludf.DUMMYFUNCTION("""COMPUTED_VALUE"""),"Company Of Heroes")</f>
        <v>Company Of Heroes</v>
      </c>
      <c r="U1660" s="5" t="str">
        <f>IFERROR(__xludf.DUMMYFUNCTION("""COMPUTED_VALUE"""),"Erwin Van Den Eshof")</f>
        <v>Erwin Van Den Eshof</v>
      </c>
      <c r="V1660" s="5" t="s">
        <v>9659</v>
      </c>
      <c r="W1660" s="5" t="str">
        <f t="shared" si="3"/>
        <v>Isaac Ezban</v>
      </c>
      <c r="X1660" s="5">
        <f t="shared" si="4"/>
        <v>2</v>
      </c>
      <c r="Y1660" s="5" t="str">
        <f>IFERROR(__xludf.DUMMYFUNCTION("REGEXEXTRACT(J1660, ""^\d+"")"),"1")</f>
        <v>1</v>
      </c>
      <c r="Z1660" s="5" t="str">
        <f>IFERROR(__xludf.DUMMYFUNCTION("REGEXEXTRACT(J1660, ""[A-Za-z ]+$"")")," Season")</f>
        <v> Season</v>
      </c>
      <c r="AA1660" s="5" t="str">
        <f>IFERROR(__xludf.DUMMYFUNCTION("IF(REGEXMATCH(Z1660, ""Season""), ""TV Show"", ""Movie"")"),"TV Show")</f>
        <v>TV Show</v>
      </c>
    </row>
    <row r="1661">
      <c r="A1661" s="1" t="s">
        <v>9660</v>
      </c>
      <c r="B1661" s="1" t="s">
        <v>27</v>
      </c>
      <c r="C1661" s="1" t="s">
        <v>9661</v>
      </c>
      <c r="D1661" s="1" t="s">
        <v>9662</v>
      </c>
      <c r="E1661" s="1" t="s">
        <v>9663</v>
      </c>
      <c r="F1661" s="1" t="s">
        <v>30</v>
      </c>
      <c r="G1661" s="1" t="s">
        <v>9664</v>
      </c>
      <c r="H1661" s="1">
        <v>2020.0</v>
      </c>
      <c r="I1661" s="1" t="s">
        <v>378</v>
      </c>
      <c r="J1661" s="1" t="s">
        <v>357</v>
      </c>
      <c r="K1661" s="1" t="s">
        <v>380</v>
      </c>
      <c r="L1661" s="1" t="s">
        <v>9665</v>
      </c>
      <c r="M1661" s="2" t="s">
        <v>12</v>
      </c>
      <c r="N1661" s="4">
        <f t="shared" si="1"/>
        <v>44158</v>
      </c>
      <c r="O1661" s="5" t="str">
        <f>IFERROR(__xludf.DUMMYFUNCTION("IF(REGEXMATCH(TRIM(I1661), ""^\d+\s*min""), ""Unclassified"", IF(I1661 = """", ""NR"", I1661))"),"R")</f>
        <v>R</v>
      </c>
      <c r="R1661" s="5" t="str">
        <f t="shared" si="2"/>
        <v>Hard Kill</v>
      </c>
      <c r="S1661" s="5" t="str">
        <f>IFERROR(__xludf.DUMMYFUNCTION("""COMPUTED_VALUE"""),"Compulsion")</f>
        <v>Compulsion</v>
      </c>
      <c r="U1661" s="5" t="str">
        <f>IFERROR(__xludf.DUMMYFUNCTION("""COMPUTED_VALUE"""),"G.J. Echternkamp")</f>
        <v>G.J. Echternkamp</v>
      </c>
      <c r="V1661" s="5" t="s">
        <v>9666</v>
      </c>
      <c r="W1661" s="5" t="str">
        <f t="shared" si="3"/>
        <v>Isaac Florentine</v>
      </c>
      <c r="X1661" s="5">
        <f t="shared" si="4"/>
        <v>1</v>
      </c>
      <c r="Y1661" s="5" t="str">
        <f>IFERROR(__xludf.DUMMYFUNCTION("REGEXEXTRACT(J1661, ""^\d+"")"),"98")</f>
        <v>98</v>
      </c>
      <c r="Z1661" s="5" t="str">
        <f>IFERROR(__xludf.DUMMYFUNCTION("REGEXEXTRACT(J1661, ""[A-Za-z ]+$"")")," min")</f>
        <v> min</v>
      </c>
      <c r="AA1661" s="5" t="str">
        <f>IFERROR(__xludf.DUMMYFUNCTION("IF(REGEXMATCH(Z1661, ""Season""), ""TV Show"", ""Movie"")"),"Movie")</f>
        <v>Movie</v>
      </c>
    </row>
    <row r="1662">
      <c r="A1662" s="1" t="s">
        <v>9667</v>
      </c>
      <c r="B1662" s="1" t="s">
        <v>27</v>
      </c>
      <c r="C1662" s="1" t="s">
        <v>9668</v>
      </c>
      <c r="D1662" s="1" t="s">
        <v>8630</v>
      </c>
      <c r="E1662" s="1" t="s">
        <v>9617</v>
      </c>
      <c r="F1662" s="1" t="s">
        <v>30</v>
      </c>
      <c r="G1662" s="1" t="s">
        <v>9664</v>
      </c>
      <c r="H1662" s="1">
        <v>2020.0</v>
      </c>
      <c r="I1662" s="1" t="s">
        <v>42</v>
      </c>
      <c r="J1662" s="1" t="s">
        <v>490</v>
      </c>
      <c r="K1662" s="1" t="s">
        <v>700</v>
      </c>
      <c r="L1662" s="1" t="s">
        <v>9669</v>
      </c>
      <c r="M1662" s="2" t="s">
        <v>12</v>
      </c>
      <c r="N1662" s="4">
        <f t="shared" si="1"/>
        <v>44158</v>
      </c>
      <c r="O1662" s="5" t="str">
        <f>IFERROR(__xludf.DUMMYFUNCTION("IF(REGEXMATCH(TRIM(I1662), ""^\d+\s*min""), ""Unclassified"", IF(I1662 = """", ""NR"", I1662))"),"TV-MA")</f>
        <v>TV-MA</v>
      </c>
      <c r="R1662" s="5" t="str">
        <f t="shared" si="2"/>
        <v>Shawn Mendes: In Wonder</v>
      </c>
      <c r="S1662" s="5" t="str">
        <f>IFERROR(__xludf.DUMMYFUNCTION("""COMPUTED_VALUE"""),"Conan Without Borders")</f>
        <v>Conan Without Borders</v>
      </c>
      <c r="U1662" s="5" t="str">
        <f>IFERROR(__xludf.DUMMYFUNCTION("""COMPUTED_VALUE"""),"Hikari")</f>
        <v>Hikari</v>
      </c>
      <c r="V1662" s="5" t="s">
        <v>9670</v>
      </c>
      <c r="W1662" s="5" t="str">
        <f t="shared" si="3"/>
        <v>Isaac Rentz</v>
      </c>
      <c r="X1662" s="5">
        <f t="shared" si="4"/>
        <v>1</v>
      </c>
      <c r="Y1662" s="5" t="str">
        <f>IFERROR(__xludf.DUMMYFUNCTION("REGEXEXTRACT(J1662, ""^\d+"")"),"83")</f>
        <v>83</v>
      </c>
      <c r="Z1662" s="5" t="str">
        <f>IFERROR(__xludf.DUMMYFUNCTION("REGEXEXTRACT(J1662, ""[A-Za-z ]+$"")")," min")</f>
        <v> min</v>
      </c>
      <c r="AA1662" s="5" t="str">
        <f>IFERROR(__xludf.DUMMYFUNCTION("IF(REGEXMATCH(Z1662, ""Season""), ""TV Show"", ""Movie"")"),"Movie")</f>
        <v>Movie</v>
      </c>
    </row>
    <row r="1663">
      <c r="A1663" s="1" t="s">
        <v>9671</v>
      </c>
      <c r="B1663" s="1" t="s">
        <v>37</v>
      </c>
      <c r="C1663" s="1" t="s">
        <v>9672</v>
      </c>
      <c r="E1663" s="1" t="s">
        <v>9673</v>
      </c>
      <c r="F1663" s="1" t="s">
        <v>749</v>
      </c>
      <c r="G1663" s="1" t="s">
        <v>9664</v>
      </c>
      <c r="H1663" s="1">
        <v>2017.0</v>
      </c>
      <c r="I1663" s="1" t="s">
        <v>42</v>
      </c>
      <c r="J1663" s="1" t="s">
        <v>51</v>
      </c>
      <c r="K1663" s="1" t="s">
        <v>1907</v>
      </c>
      <c r="L1663" s="1" t="s">
        <v>9674</v>
      </c>
      <c r="M1663" s="2" t="s">
        <v>12</v>
      </c>
      <c r="N1663" s="4">
        <f t="shared" si="1"/>
        <v>44158</v>
      </c>
      <c r="O1663" s="5" t="str">
        <f>IFERROR(__xludf.DUMMYFUNCTION("IF(REGEXMATCH(TRIM(I1663), ""^\d+\s*min""), ""Unclassified"", IF(I1663 = """", ""NR"", I1663))"),"TV-MA")</f>
        <v>TV-MA</v>
      </c>
      <c r="R1663" s="5" t="str">
        <f t="shared" si="2"/>
        <v>Strongest Deliveryman</v>
      </c>
      <c r="S1663" s="5" t="str">
        <f>IFERROR(__xludf.DUMMYFUNCTION("""COMPUTED_VALUE"""),"Concrete Cowboy")</f>
        <v>Concrete Cowboy</v>
      </c>
      <c r="U1663" s="5" t="str">
        <f>IFERROR(__xludf.DUMMYFUNCTION("""COMPUTED_VALUE"""),"Jean-Claude Flamand-Barny")</f>
        <v>Jean-Claude Flamand-Barny</v>
      </c>
      <c r="V1663" s="5" t="s">
        <v>9675</v>
      </c>
      <c r="W1663" s="5" t="str">
        <f t="shared" si="3"/>
        <v>Isabel Coixet</v>
      </c>
      <c r="X1663" s="5">
        <f t="shared" si="4"/>
        <v>1</v>
      </c>
      <c r="Y1663" s="5" t="str">
        <f>IFERROR(__xludf.DUMMYFUNCTION("REGEXEXTRACT(J1663, ""^\d+"")"),"1")</f>
        <v>1</v>
      </c>
      <c r="Z1663" s="5" t="str">
        <f>IFERROR(__xludf.DUMMYFUNCTION("REGEXEXTRACT(J1663, ""[A-Za-z ]+$"")")," Season")</f>
        <v> Season</v>
      </c>
      <c r="AA1663" s="5" t="str">
        <f>IFERROR(__xludf.DUMMYFUNCTION("IF(REGEXMATCH(Z1663, ""Season""), ""TV Show"", ""Movie"")"),"TV Show")</f>
        <v>TV Show</v>
      </c>
    </row>
    <row r="1664">
      <c r="A1664" s="1" t="s">
        <v>9676</v>
      </c>
      <c r="B1664" s="1" t="s">
        <v>27</v>
      </c>
      <c r="C1664" s="1" t="s">
        <v>9677</v>
      </c>
      <c r="D1664" s="1" t="s">
        <v>9678</v>
      </c>
      <c r="E1664" s="1" t="s">
        <v>9679</v>
      </c>
      <c r="F1664" s="1" t="s">
        <v>3309</v>
      </c>
      <c r="G1664" s="1" t="s">
        <v>9664</v>
      </c>
      <c r="H1664" s="1">
        <v>2018.0</v>
      </c>
      <c r="I1664" s="1" t="s">
        <v>97</v>
      </c>
      <c r="J1664" s="1" t="s">
        <v>247</v>
      </c>
      <c r="K1664" s="1" t="s">
        <v>1328</v>
      </c>
      <c r="L1664" s="1" t="s">
        <v>9680</v>
      </c>
      <c r="M1664" s="2" t="s">
        <v>12</v>
      </c>
      <c r="N1664" s="4">
        <f t="shared" si="1"/>
        <v>44158</v>
      </c>
      <c r="O1664" s="5" t="str">
        <f>IFERROR(__xludf.DUMMYFUNCTION("IF(REGEXMATCH(TRIM(I1664), ""^\d+\s*min""), ""Unclassified"", IF(I1664 = """", ""NR"", I1664))"),"TV-14")</f>
        <v>TV-14</v>
      </c>
      <c r="R1664" s="5" t="str">
        <f t="shared" si="2"/>
        <v>The Suit</v>
      </c>
      <c r="S1664" s="5" t="str">
        <f>IFERROR(__xludf.DUMMYFUNCTION("""COMPUTED_VALUE"""),"Concrete Football")</f>
        <v>Concrete Football</v>
      </c>
      <c r="U1664" s="5" t="str">
        <f>IFERROR(__xludf.DUMMYFUNCTION("""COMPUTED_VALUE"""),"Lana Wilson")</f>
        <v>Lana Wilson</v>
      </c>
      <c r="V1664" s="5" t="s">
        <v>9681</v>
      </c>
      <c r="W1664" s="5" t="str">
        <f t="shared" si="3"/>
        <v>Isabel Sandoval</v>
      </c>
      <c r="X1664" s="5">
        <f t="shared" si="4"/>
        <v>1</v>
      </c>
      <c r="Y1664" s="5" t="str">
        <f>IFERROR(__xludf.DUMMYFUNCTION("REGEXEXTRACT(J1664, ""^\d+"")"),"97")</f>
        <v>97</v>
      </c>
      <c r="Z1664" s="5" t="str">
        <f>IFERROR(__xludf.DUMMYFUNCTION("REGEXEXTRACT(J1664, ""[A-Za-z ]+$"")")," min")</f>
        <v> min</v>
      </c>
      <c r="AA1664" s="5" t="str">
        <f>IFERROR(__xludf.DUMMYFUNCTION("IF(REGEXMATCH(Z1664, ""Season""), ""TV Show"", ""Movie"")"),"Movie")</f>
        <v>Movie</v>
      </c>
    </row>
    <row r="1665">
      <c r="A1665" s="1" t="s">
        <v>9682</v>
      </c>
      <c r="B1665" s="1" t="s">
        <v>27</v>
      </c>
      <c r="C1665" s="1" t="s">
        <v>9683</v>
      </c>
      <c r="D1665" s="1" t="s">
        <v>6260</v>
      </c>
      <c r="E1665" s="1" t="s">
        <v>9684</v>
      </c>
      <c r="F1665" s="1" t="s">
        <v>30</v>
      </c>
      <c r="G1665" s="1" t="s">
        <v>9685</v>
      </c>
      <c r="H1665" s="1">
        <v>2020.0</v>
      </c>
      <c r="I1665" s="1" t="s">
        <v>136</v>
      </c>
      <c r="J1665" s="1" t="s">
        <v>416</v>
      </c>
      <c r="K1665" s="1" t="s">
        <v>920</v>
      </c>
      <c r="L1665" s="1" t="s">
        <v>9686</v>
      </c>
      <c r="M1665" s="2" t="s">
        <v>12</v>
      </c>
      <c r="N1665" s="4">
        <f t="shared" si="1"/>
        <v>44157</v>
      </c>
      <c r="O1665" s="5" t="str">
        <f>IFERROR(__xludf.DUMMYFUNCTION("IF(REGEXMATCH(TRIM(I1665), ""^\d+\s*min""), ""Unclassified"", IF(I1665 = """", ""NR"", I1665))"),"TV-PG")</f>
        <v>TV-PG</v>
      </c>
      <c r="R1665" s="5" t="str">
        <f t="shared" si="2"/>
        <v>Dolly Parton’S Christmas On The Square</v>
      </c>
      <c r="S1665" s="5" t="str">
        <f>IFERROR(__xludf.DUMMYFUNCTION("""COMPUTED_VALUE"""),"Concussion")</f>
        <v>Concussion</v>
      </c>
      <c r="U1665" s="5" t="str">
        <f>IFERROR(__xludf.DUMMYFUNCTION("""COMPUTED_VALUE"""),"Shannon Hartman")</f>
        <v>Shannon Hartman</v>
      </c>
      <c r="V1665" s="5" t="s">
        <v>9687</v>
      </c>
      <c r="W1665" s="5" t="str">
        <f t="shared" si="3"/>
        <v>Isabelle Nanty</v>
      </c>
      <c r="X1665" s="5">
        <f t="shared" si="4"/>
        <v>1</v>
      </c>
      <c r="Y1665" s="5" t="str">
        <f>IFERROR(__xludf.DUMMYFUNCTION("REGEXEXTRACT(J1665, ""^\d+"")"),"99")</f>
        <v>99</v>
      </c>
      <c r="Z1665" s="5" t="str">
        <f>IFERROR(__xludf.DUMMYFUNCTION("REGEXEXTRACT(J1665, ""[A-Za-z ]+$"")")," min")</f>
        <v> min</v>
      </c>
      <c r="AA1665" s="5" t="str">
        <f>IFERROR(__xludf.DUMMYFUNCTION("IF(REGEXMATCH(Z1665, ""Season""), ""TV Show"", ""Movie"")"),"Movie")</f>
        <v>Movie</v>
      </c>
    </row>
    <row r="1666">
      <c r="A1666" s="1" t="s">
        <v>9688</v>
      </c>
      <c r="B1666" s="1" t="s">
        <v>27</v>
      </c>
      <c r="C1666" s="1" t="s">
        <v>9689</v>
      </c>
      <c r="D1666" s="1" t="s">
        <v>5217</v>
      </c>
      <c r="E1666" s="1" t="s">
        <v>9690</v>
      </c>
      <c r="F1666" s="1" t="s">
        <v>5696</v>
      </c>
      <c r="G1666" s="1" t="s">
        <v>9685</v>
      </c>
      <c r="H1666" s="1">
        <v>2013.0</v>
      </c>
      <c r="I1666" s="1" t="s">
        <v>378</v>
      </c>
      <c r="J1666" s="1" t="s">
        <v>912</v>
      </c>
      <c r="K1666" s="1" t="s">
        <v>380</v>
      </c>
      <c r="L1666" s="1" t="s">
        <v>9691</v>
      </c>
      <c r="M1666" s="2" t="s">
        <v>12</v>
      </c>
      <c r="N1666" s="4">
        <f t="shared" si="1"/>
        <v>44157</v>
      </c>
      <c r="O1666" s="5" t="str">
        <f>IFERROR(__xludf.DUMMYFUNCTION("IF(REGEXMATCH(TRIM(I1666), ""^\d+\s*min""), ""Unclassified"", IF(I1666 = """", ""NR"", I1666))"),"R")</f>
        <v>R</v>
      </c>
      <c r="R1666" s="5" t="str">
        <f t="shared" si="2"/>
        <v>Machete Kills</v>
      </c>
      <c r="S1666" s="5" t="str">
        <f>IFERROR(__xludf.DUMMYFUNCTION("""COMPUTED_VALUE"""),"Confessions Of An Invisible Girl")</f>
        <v>Confessions Of An Invisible Girl</v>
      </c>
      <c r="U1666" s="5" t="str">
        <f>IFERROR(__xludf.DUMMYFUNCTION("""COMPUTED_VALUE"""),"David Oelhoffen")</f>
        <v>David Oelhoffen</v>
      </c>
      <c r="V1666" s="5" t="s">
        <v>9692</v>
      </c>
      <c r="W1666" s="5" t="str">
        <f t="shared" si="3"/>
        <v>Isaki Lacuesta, Isa Campo</v>
      </c>
      <c r="X1666" s="5">
        <f t="shared" si="4"/>
        <v>1</v>
      </c>
      <c r="Y1666" s="5" t="str">
        <f>IFERROR(__xludf.DUMMYFUNCTION("REGEXEXTRACT(J1666, ""^\d+"")"),"108")</f>
        <v>108</v>
      </c>
      <c r="Z1666" s="5" t="str">
        <f>IFERROR(__xludf.DUMMYFUNCTION("REGEXEXTRACT(J1666, ""[A-Za-z ]+$"")")," min")</f>
        <v> min</v>
      </c>
      <c r="AA1666" s="5" t="str">
        <f>IFERROR(__xludf.DUMMYFUNCTION("IF(REGEXMATCH(Z1666, ""Season""), ""TV Show"", ""Movie"")"),"Movie")</f>
        <v>Movie</v>
      </c>
    </row>
    <row r="1667">
      <c r="A1667" s="1" t="s">
        <v>9693</v>
      </c>
      <c r="B1667" s="1" t="s">
        <v>27</v>
      </c>
      <c r="C1667" s="1" t="s">
        <v>9694</v>
      </c>
      <c r="D1667" s="1" t="s">
        <v>9695</v>
      </c>
      <c r="E1667" s="1" t="s">
        <v>9696</v>
      </c>
      <c r="F1667" s="1" t="s">
        <v>7158</v>
      </c>
      <c r="G1667" s="1" t="s">
        <v>9697</v>
      </c>
      <c r="H1667" s="1">
        <v>2019.0</v>
      </c>
      <c r="I1667" s="1" t="s">
        <v>97</v>
      </c>
      <c r="J1667" s="1" t="s">
        <v>454</v>
      </c>
      <c r="K1667" s="1" t="s">
        <v>631</v>
      </c>
      <c r="L1667" s="1" t="s">
        <v>9698</v>
      </c>
      <c r="M1667" s="2" t="s">
        <v>12</v>
      </c>
      <c r="N1667" s="4">
        <f t="shared" si="1"/>
        <v>44155</v>
      </c>
      <c r="O1667" s="5" t="str">
        <f>IFERROR(__xludf.DUMMYFUNCTION("IF(REGEXMATCH(TRIM(I1667), ""^\d+\s*min""), ""Unclassified"", IF(I1667 = """", ""NR"", I1667))"),"TV-14")</f>
        <v>TV-14</v>
      </c>
      <c r="R1667" s="5" t="str">
        <f t="shared" si="2"/>
        <v>40 Sticks</v>
      </c>
      <c r="S1667" s="5" t="str">
        <f>IFERROR(__xludf.DUMMYFUNCTION("""COMPUTED_VALUE"""),"Confusion Na Wa")</f>
        <v>Confusion Na Wa</v>
      </c>
      <c r="U1667" s="5" t="str">
        <f>IFERROR(__xludf.DUMMYFUNCTION("""COMPUTED_VALUE"""),"Ramesh Sippy")</f>
        <v>Ramesh Sippy</v>
      </c>
      <c r="V1667" s="5" t="s">
        <v>9699</v>
      </c>
      <c r="W1667" s="5" t="str">
        <f t="shared" si="3"/>
        <v>Isao Yukisada</v>
      </c>
      <c r="X1667" s="5">
        <f t="shared" si="4"/>
        <v>1</v>
      </c>
      <c r="Y1667" s="5" t="str">
        <f>IFERROR(__xludf.DUMMYFUNCTION("REGEXEXTRACT(J1667, ""^\d+"")"),"93")</f>
        <v>93</v>
      </c>
      <c r="Z1667" s="5" t="str">
        <f>IFERROR(__xludf.DUMMYFUNCTION("REGEXEXTRACT(J1667, ""[A-Za-z ]+$"")")," min")</f>
        <v> min</v>
      </c>
      <c r="AA1667" s="5" t="str">
        <f>IFERROR(__xludf.DUMMYFUNCTION("IF(REGEXMATCH(Z1667, ""Season""), ""TV Show"", ""Movie"")"),"Movie")</f>
        <v>Movie</v>
      </c>
    </row>
    <row r="1668">
      <c r="A1668" s="1" t="s">
        <v>9700</v>
      </c>
      <c r="B1668" s="1" t="s">
        <v>27</v>
      </c>
      <c r="C1668" s="1" t="s">
        <v>9701</v>
      </c>
      <c r="D1668" s="1" t="s">
        <v>9702</v>
      </c>
      <c r="E1668" s="1" t="s">
        <v>9703</v>
      </c>
      <c r="F1668" s="1" t="s">
        <v>30</v>
      </c>
      <c r="G1668" s="1" t="s">
        <v>9697</v>
      </c>
      <c r="H1668" s="1">
        <v>2020.0</v>
      </c>
      <c r="I1668" s="1" t="s">
        <v>206</v>
      </c>
      <c r="J1668" s="1" t="s">
        <v>7390</v>
      </c>
      <c r="K1668" s="1" t="s">
        <v>80</v>
      </c>
      <c r="L1668" s="1" t="s">
        <v>9704</v>
      </c>
      <c r="M1668" s="2" t="s">
        <v>12</v>
      </c>
      <c r="N1668" s="4">
        <f t="shared" si="1"/>
        <v>44155</v>
      </c>
      <c r="O1668" s="5" t="str">
        <f>IFERROR(__xludf.DUMMYFUNCTION("IF(REGEXMATCH(TRIM(I1668), ""^\d+\s*min""), ""Unclassified"", IF(I1668 = """", ""NR"", I1668))"),"TV-Y")</f>
        <v>TV-Y</v>
      </c>
      <c r="R1668" s="5" t="str">
        <f t="shared" si="2"/>
        <v>Alien Xmas</v>
      </c>
      <c r="S1668" s="5" t="str">
        <f>IFERROR(__xludf.DUMMYFUNCTION("""COMPUTED_VALUE"""),"Congo")</f>
        <v>Congo</v>
      </c>
      <c r="U1668" s="5" t="str">
        <f>IFERROR(__xludf.DUMMYFUNCTION("""COMPUTED_VALUE"""),"Vir Das, Ajay Bhuyan")</f>
        <v>Vir Das, Ajay Bhuyan</v>
      </c>
      <c r="V1668" s="5" t="s">
        <v>9705</v>
      </c>
      <c r="W1668" s="5" t="str">
        <f t="shared" si="3"/>
        <v>Ishaan Trivedi</v>
      </c>
      <c r="X1668" s="5">
        <f t="shared" si="4"/>
        <v>1</v>
      </c>
      <c r="Y1668" s="5" t="str">
        <f>IFERROR(__xludf.DUMMYFUNCTION("REGEXEXTRACT(J1668, ""^\d+"")"),"42")</f>
        <v>42</v>
      </c>
      <c r="Z1668" s="5" t="str">
        <f>IFERROR(__xludf.DUMMYFUNCTION("REGEXEXTRACT(J1668, ""[A-Za-z ]+$"")")," min")</f>
        <v> min</v>
      </c>
      <c r="AA1668" s="5" t="str">
        <f>IFERROR(__xludf.DUMMYFUNCTION("IF(REGEXMATCH(Z1668, ""Season""), ""TV Show"", ""Movie"")"),"Movie")</f>
        <v>Movie</v>
      </c>
    </row>
    <row r="1669">
      <c r="A1669" s="1" t="s">
        <v>9706</v>
      </c>
      <c r="B1669" s="1" t="s">
        <v>37</v>
      </c>
      <c r="C1669" s="1" t="s">
        <v>9707</v>
      </c>
      <c r="E1669" s="1" t="s">
        <v>9708</v>
      </c>
      <c r="F1669" s="1" t="s">
        <v>3892</v>
      </c>
      <c r="G1669" s="1" t="s">
        <v>9697</v>
      </c>
      <c r="H1669" s="1">
        <v>2020.0</v>
      </c>
      <c r="I1669" s="1" t="s">
        <v>506</v>
      </c>
      <c r="J1669" s="1" t="s">
        <v>276</v>
      </c>
      <c r="K1669" s="1" t="s">
        <v>507</v>
      </c>
      <c r="L1669" s="1" t="s">
        <v>9709</v>
      </c>
      <c r="M1669" s="2" t="s">
        <v>12</v>
      </c>
      <c r="N1669" s="4">
        <f t="shared" si="1"/>
        <v>44155</v>
      </c>
      <c r="O1669" s="5" t="str">
        <f>IFERROR(__xludf.DUMMYFUNCTION("IF(REGEXMATCH(TRIM(I1669), ""^\d+\s*min""), ""Unclassified"", IF(I1669 = """", ""NR"", I1669))"),"TV-G")</f>
        <v>TV-G</v>
      </c>
      <c r="R1669" s="5" t="str">
        <f t="shared" si="2"/>
        <v>Flavorful Origins</v>
      </c>
      <c r="S1669" s="5" t="str">
        <f>IFERROR(__xludf.DUMMYFUNCTION("""COMPUTED_VALUE"""),"Conjuring Spirit")</f>
        <v>Conjuring Spirit</v>
      </c>
      <c r="U1669" s="5" t="str">
        <f>IFERROR(__xludf.DUMMYFUNCTION("""COMPUTED_VALUE"""),"Josh Z. Weinstein, Joshua Z. Weinstein")</f>
        <v>Josh Z. Weinstein, Joshua Z. Weinstein</v>
      </c>
      <c r="V1669" s="5" t="s">
        <v>9710</v>
      </c>
      <c r="W1669" s="5" t="str">
        <f t="shared" si="3"/>
        <v>Ishaya Bako</v>
      </c>
      <c r="X1669" s="5">
        <f t="shared" si="4"/>
        <v>3</v>
      </c>
      <c r="Y1669" s="5" t="str">
        <f>IFERROR(__xludf.DUMMYFUNCTION("REGEXEXTRACT(J1669, ""^\d+"")"),"3")</f>
        <v>3</v>
      </c>
      <c r="Z1669" s="5" t="str">
        <f>IFERROR(__xludf.DUMMYFUNCTION("REGEXEXTRACT(J1669, ""[A-Za-z ]+$"")")," Seasons")</f>
        <v> Seasons</v>
      </c>
      <c r="AA1669" s="5" t="str">
        <f>IFERROR(__xludf.DUMMYFUNCTION("IF(REGEXMATCH(Z1669, ""Season""), ""TV Show"", ""Movie"")"),"TV Show")</f>
        <v>TV Show</v>
      </c>
    </row>
    <row r="1670">
      <c r="A1670" s="1" t="s">
        <v>9711</v>
      </c>
      <c r="B1670" s="1" t="s">
        <v>37</v>
      </c>
      <c r="C1670" s="1" t="s">
        <v>9712</v>
      </c>
      <c r="E1670" s="1" t="s">
        <v>9713</v>
      </c>
      <c r="G1670" s="1" t="s">
        <v>9697</v>
      </c>
      <c r="H1670" s="1">
        <v>2019.0</v>
      </c>
      <c r="I1670" s="1" t="s">
        <v>97</v>
      </c>
      <c r="J1670" s="1" t="s">
        <v>51</v>
      </c>
      <c r="K1670" s="1" t="s">
        <v>402</v>
      </c>
      <c r="L1670" s="1" t="s">
        <v>9714</v>
      </c>
      <c r="M1670" s="2" t="s">
        <v>12</v>
      </c>
      <c r="N1670" s="4">
        <f t="shared" si="1"/>
        <v>44155</v>
      </c>
      <c r="O1670" s="5" t="str">
        <f>IFERROR(__xludf.DUMMYFUNCTION("IF(REGEXMATCH(TRIM(I1670), ""^\d+\s*min""), ""Unclassified"", IF(I1670 = """", ""NR"", I1670))"),"TV-14")</f>
        <v>TV-14</v>
      </c>
      <c r="R1670" s="5" t="str">
        <f t="shared" si="2"/>
        <v>Heart &amp; Soul</v>
      </c>
      <c r="S1670" s="5" t="str">
        <f>IFERROR(__xludf.DUMMYFUNCTION("""COMPUTED_VALUE"""),"Connected")</f>
        <v>Connected</v>
      </c>
      <c r="U1670" s="5" t="str">
        <f>IFERROR(__xludf.DUMMYFUNCTION("""COMPUTED_VALUE"""),"Chung Mong-Hong")</f>
        <v>Chung Mong-Hong</v>
      </c>
      <c r="V1670" s="5" t="s">
        <v>9715</v>
      </c>
      <c r="W1670" s="5" t="str">
        <f t="shared" si="3"/>
        <v>Ishi Rudell</v>
      </c>
      <c r="X1670" s="5">
        <f t="shared" si="4"/>
        <v>3</v>
      </c>
      <c r="Y1670" s="5" t="str">
        <f>IFERROR(__xludf.DUMMYFUNCTION("REGEXEXTRACT(J1670, ""^\d+"")"),"1")</f>
        <v>1</v>
      </c>
      <c r="Z1670" s="5" t="str">
        <f>IFERROR(__xludf.DUMMYFUNCTION("REGEXEXTRACT(J1670, ""[A-Za-z ]+$"")")," Season")</f>
        <v> Season</v>
      </c>
      <c r="AA1670" s="5" t="str">
        <f>IFERROR(__xludf.DUMMYFUNCTION("IF(REGEXMATCH(Z1670, ""Season""), ""TV Show"", ""Movie"")"),"TV Show")</f>
        <v>TV Show</v>
      </c>
    </row>
    <row r="1671">
      <c r="A1671" s="1" t="s">
        <v>9716</v>
      </c>
      <c r="B1671" s="1" t="s">
        <v>27</v>
      </c>
      <c r="C1671" s="1" t="s">
        <v>9717</v>
      </c>
      <c r="D1671" s="1" t="s">
        <v>9718</v>
      </c>
      <c r="F1671" s="1" t="s">
        <v>30</v>
      </c>
      <c r="G1671" s="1" t="s">
        <v>9697</v>
      </c>
      <c r="H1671" s="1">
        <v>2020.0</v>
      </c>
      <c r="I1671" s="1" t="s">
        <v>78</v>
      </c>
      <c r="J1671" s="1" t="s">
        <v>538</v>
      </c>
      <c r="K1671" s="1" t="s">
        <v>805</v>
      </c>
      <c r="L1671" s="1" t="s">
        <v>9719</v>
      </c>
      <c r="M1671" s="2" t="s">
        <v>12</v>
      </c>
      <c r="N1671" s="4">
        <f t="shared" si="1"/>
        <v>44155</v>
      </c>
      <c r="O1671" s="5" t="str">
        <f>IFERROR(__xludf.DUMMYFUNCTION("IF(REGEXMATCH(TRIM(I1671), ""^\d+\s*min""), ""Unclassified"", IF(I1671 = """", ""NR"", I1671))"),"PG")</f>
        <v>PG</v>
      </c>
      <c r="R1671" s="5" t="str">
        <f t="shared" si="2"/>
        <v>If Anything Happens I Love You</v>
      </c>
      <c r="S1671" s="5" t="str">
        <f>IFERROR(__xludf.DUMMYFUNCTION("""COMPUTED_VALUE"""),"Conor Mcgregor: Notorious")</f>
        <v>Conor Mcgregor: Notorious</v>
      </c>
      <c r="U1671" s="5" t="str">
        <f>IFERROR(__xludf.DUMMYFUNCTION("""COMPUTED_VALUE"""),"Johnny Breedt")</f>
        <v>Johnny Breedt</v>
      </c>
      <c r="V1671" s="5" t="s">
        <v>9720</v>
      </c>
      <c r="W1671" s="5" t="str">
        <f t="shared" si="3"/>
        <v>Ishi Rudell, Jayson Thiessen</v>
      </c>
      <c r="X1671" s="5">
        <f t="shared" si="4"/>
        <v>1</v>
      </c>
      <c r="Y1671" s="5" t="str">
        <f>IFERROR(__xludf.DUMMYFUNCTION("REGEXEXTRACT(J1671, ""^\d+"")"),"13")</f>
        <v>13</v>
      </c>
      <c r="Z1671" s="5" t="str">
        <f>IFERROR(__xludf.DUMMYFUNCTION("REGEXEXTRACT(J1671, ""[A-Za-z ]+$"")")," min")</f>
        <v> min</v>
      </c>
      <c r="AA1671" s="5" t="str">
        <f>IFERROR(__xludf.DUMMYFUNCTION("IF(REGEXMATCH(Z1671, ""Season""), ""TV Show"", ""Movie"")"),"Movie")</f>
        <v>Movie</v>
      </c>
    </row>
    <row r="1672">
      <c r="A1672" s="1" t="s">
        <v>9721</v>
      </c>
      <c r="B1672" s="1" t="s">
        <v>37</v>
      </c>
      <c r="C1672" s="1" t="s">
        <v>9722</v>
      </c>
      <c r="E1672" s="1" t="s">
        <v>9723</v>
      </c>
      <c r="F1672" s="1" t="s">
        <v>63</v>
      </c>
      <c r="G1672" s="1" t="s">
        <v>9697</v>
      </c>
      <c r="H1672" s="1">
        <v>2020.0</v>
      </c>
      <c r="I1672" s="1" t="s">
        <v>42</v>
      </c>
      <c r="J1672" s="1" t="s">
        <v>51</v>
      </c>
      <c r="K1672" s="1" t="s">
        <v>64</v>
      </c>
      <c r="L1672" s="1" t="s">
        <v>9724</v>
      </c>
      <c r="M1672" s="2" t="s">
        <v>12</v>
      </c>
      <c r="N1672" s="4">
        <f t="shared" si="1"/>
        <v>44155</v>
      </c>
      <c r="O1672" s="5" t="str">
        <f>IFERROR(__xludf.DUMMYFUNCTION("IF(REGEXMATCH(TRIM(I1672), ""^\d+\s*min""), ""Unclassified"", IF(I1672 = """", ""NR"", I1672))"),"TV-MA")</f>
        <v>TV-MA</v>
      </c>
      <c r="R1672" s="5" t="str">
        <f t="shared" si="2"/>
        <v>Mismatched</v>
      </c>
      <c r="S1672" s="5" t="str">
        <f>IFERROR(__xludf.DUMMYFUNCTION("""COMPUTED_VALUE"""),"Consequences")</f>
        <v>Consequences</v>
      </c>
      <c r="U1672" s="5" t="str">
        <f>IFERROR(__xludf.DUMMYFUNCTION("""COMPUTED_VALUE"""),"César Rodrigues")</f>
        <v>César Rodrigues</v>
      </c>
      <c r="V1672" s="5" t="s">
        <v>9725</v>
      </c>
      <c r="W1672" s="5" t="str">
        <f t="shared" si="3"/>
        <v>Ismail Farouk</v>
      </c>
      <c r="X1672" s="5">
        <f t="shared" si="4"/>
        <v>2</v>
      </c>
      <c r="Y1672" s="5" t="str">
        <f>IFERROR(__xludf.DUMMYFUNCTION("REGEXEXTRACT(J1672, ""^\d+"")"),"1")</f>
        <v>1</v>
      </c>
      <c r="Z1672" s="5" t="str">
        <f>IFERROR(__xludf.DUMMYFUNCTION("REGEXEXTRACT(J1672, ""[A-Za-z ]+$"")")," Season")</f>
        <v> Season</v>
      </c>
      <c r="AA1672" s="5" t="str">
        <f>IFERROR(__xludf.DUMMYFUNCTION("IF(REGEXMATCH(Z1672, ""Season""), ""TV Show"", ""Movie"")"),"TV Show")</f>
        <v>TV Show</v>
      </c>
    </row>
    <row r="1673">
      <c r="A1673" s="1" t="s">
        <v>9726</v>
      </c>
      <c r="B1673" s="1" t="s">
        <v>27</v>
      </c>
      <c r="C1673" s="1" t="s">
        <v>9727</v>
      </c>
      <c r="D1673" s="1" t="s">
        <v>9728</v>
      </c>
      <c r="E1673" s="1" t="s">
        <v>9729</v>
      </c>
      <c r="F1673" s="1" t="s">
        <v>30</v>
      </c>
      <c r="G1673" s="1" t="s">
        <v>9697</v>
      </c>
      <c r="H1673" s="1">
        <v>2020.0</v>
      </c>
      <c r="I1673" s="1" t="s">
        <v>136</v>
      </c>
      <c r="J1673" s="1" t="s">
        <v>1838</v>
      </c>
      <c r="K1673" s="1" t="s">
        <v>137</v>
      </c>
      <c r="L1673" s="1" t="s">
        <v>9730</v>
      </c>
      <c r="M1673" s="2" t="s">
        <v>12</v>
      </c>
      <c r="N1673" s="4">
        <f t="shared" si="1"/>
        <v>44155</v>
      </c>
      <c r="O1673" s="5" t="str">
        <f>IFERROR(__xludf.DUMMYFUNCTION("IF(REGEXMATCH(TRIM(I1673), ""^\d+\s*min""), ""Unclassified"", IF(I1673 = """", ""NR"", I1673))"),"TV-PG")</f>
        <v>TV-PG</v>
      </c>
      <c r="R1673" s="5" t="str">
        <f t="shared" si="2"/>
        <v>The App That Stole Christmas</v>
      </c>
      <c r="S1673" s="5" t="str">
        <f>IFERROR(__xludf.DUMMYFUNCTION("""COMPUTED_VALUE"""),"Consequences ")</f>
        <v>Consequences </v>
      </c>
      <c r="U1673" s="5" t="str">
        <f>IFERROR(__xludf.DUMMYFUNCTION("""COMPUTED_VALUE"""),"Quek Shio-Chuan")</f>
        <v>Quek Shio-Chuan</v>
      </c>
      <c r="V1673" s="5" t="s">
        <v>9731</v>
      </c>
      <c r="W1673" s="5" t="str">
        <f t="shared" si="3"/>
        <v>Ismail Farouk, Hazem Fouda</v>
      </c>
      <c r="X1673" s="5">
        <f t="shared" si="4"/>
        <v>1</v>
      </c>
      <c r="Y1673" s="5" t="str">
        <f>IFERROR(__xludf.DUMMYFUNCTION("REGEXEXTRACT(J1673, ""^\d+"")"),"64")</f>
        <v>64</v>
      </c>
      <c r="Z1673" s="5" t="str">
        <f>IFERROR(__xludf.DUMMYFUNCTION("REGEXEXTRACT(J1673, ""[A-Za-z ]+$"")")," min")</f>
        <v> min</v>
      </c>
      <c r="AA1673" s="5" t="str">
        <f>IFERROR(__xludf.DUMMYFUNCTION("IF(REGEXMATCH(Z1673, ""Season""), ""TV Show"", ""Movie"")"),"Movie")</f>
        <v>Movie</v>
      </c>
    </row>
    <row r="1674">
      <c r="A1674" s="1" t="s">
        <v>9732</v>
      </c>
      <c r="B1674" s="1" t="s">
        <v>37</v>
      </c>
      <c r="C1674" s="1" t="s">
        <v>9733</v>
      </c>
      <c r="E1674" s="1" t="s">
        <v>9734</v>
      </c>
      <c r="F1674" s="1" t="s">
        <v>30</v>
      </c>
      <c r="G1674" s="1" t="s">
        <v>9697</v>
      </c>
      <c r="H1674" s="1">
        <v>2020.0</v>
      </c>
      <c r="I1674" s="1" t="s">
        <v>136</v>
      </c>
      <c r="J1674" s="1" t="s">
        <v>51</v>
      </c>
      <c r="K1674" s="1" t="s">
        <v>57</v>
      </c>
      <c r="L1674" s="1" t="s">
        <v>9735</v>
      </c>
      <c r="M1674" s="2" t="s">
        <v>12</v>
      </c>
      <c r="N1674" s="4">
        <f t="shared" si="1"/>
        <v>44155</v>
      </c>
      <c r="O1674" s="5" t="str">
        <f>IFERROR(__xludf.DUMMYFUNCTION("IF(REGEXMATCH(TRIM(I1674), ""^\d+\s*min""), ""Unclassified"", IF(I1674 = """", ""NR"", I1674))"),"TV-PG")</f>
        <v>TV-PG</v>
      </c>
      <c r="R1674" s="5" t="str">
        <f t="shared" si="2"/>
        <v>Voices Of Fire</v>
      </c>
      <c r="S1674" s="5" t="str">
        <f>IFERROR(__xludf.DUMMYFUNCTION("""COMPUTED_VALUE"""),"Conspiracy")</f>
        <v>Conspiracy</v>
      </c>
      <c r="U1674" s="5" t="str">
        <f>IFERROR(__xludf.DUMMYFUNCTION("""COMPUTED_VALUE"""),"Pablo Stoll, Juan Pablo Rebella")</f>
        <v>Pablo Stoll, Juan Pablo Rebella</v>
      </c>
      <c r="V1674" s="5" t="s">
        <v>9736</v>
      </c>
      <c r="W1674" s="5" t="str">
        <f t="shared" si="3"/>
        <v>Ísold Uggadóttir</v>
      </c>
      <c r="X1674" s="5">
        <f t="shared" si="4"/>
        <v>1</v>
      </c>
      <c r="Y1674" s="5" t="str">
        <f>IFERROR(__xludf.DUMMYFUNCTION("REGEXEXTRACT(J1674, ""^\d+"")"),"1")</f>
        <v>1</v>
      </c>
      <c r="Z1674" s="5" t="str">
        <f>IFERROR(__xludf.DUMMYFUNCTION("REGEXEXTRACT(J1674, ""[A-Za-z ]+$"")")," Season")</f>
        <v> Season</v>
      </c>
      <c r="AA1674" s="5" t="str">
        <f>IFERROR(__xludf.DUMMYFUNCTION("IF(REGEXMATCH(Z1674, ""Season""), ""TV Show"", ""Movie"")"),"TV Show")</f>
        <v>TV Show</v>
      </c>
    </row>
    <row r="1675">
      <c r="A1675" s="1" t="s">
        <v>9737</v>
      </c>
      <c r="B1675" s="1" t="s">
        <v>27</v>
      </c>
      <c r="C1675" s="1" t="s">
        <v>9738</v>
      </c>
      <c r="D1675" s="1" t="s">
        <v>2398</v>
      </c>
      <c r="E1675" s="1" t="s">
        <v>9739</v>
      </c>
      <c r="F1675" s="1" t="s">
        <v>63</v>
      </c>
      <c r="G1675" s="1" t="s">
        <v>9740</v>
      </c>
      <c r="H1675" s="1">
        <v>2004.0</v>
      </c>
      <c r="I1675" s="1" t="s">
        <v>42</v>
      </c>
      <c r="J1675" s="1" t="s">
        <v>6105</v>
      </c>
      <c r="K1675" s="1" t="s">
        <v>128</v>
      </c>
      <c r="L1675" s="1" t="s">
        <v>9741</v>
      </c>
      <c r="M1675" s="2" t="s">
        <v>12</v>
      </c>
      <c r="N1675" s="4">
        <f t="shared" si="1"/>
        <v>44154</v>
      </c>
      <c r="O1675" s="5" t="str">
        <f>IFERROR(__xludf.DUMMYFUNCTION("IF(REGEXMATCH(TRIM(I1675), ""^\d+\s*min""), ""Unclassified"", IF(I1675 = """", ""NR"", I1675))"),"TV-MA")</f>
        <v>TV-MA</v>
      </c>
      <c r="R1675" s="5" t="str">
        <f t="shared" si="2"/>
        <v>Black Friday</v>
      </c>
      <c r="S1675" s="5" t="str">
        <f>IFERROR(__xludf.DUMMYFUNCTION("""COMPUTED_VALUE"""),"Containment")</f>
        <v>Containment</v>
      </c>
      <c r="U1675" s="5" t="str">
        <f>IFERROR(__xludf.DUMMYFUNCTION("""COMPUTED_VALUE"""),"Krysia Plonka")</f>
        <v>Krysia Plonka</v>
      </c>
      <c r="V1675" s="5" t="s">
        <v>9742</v>
      </c>
      <c r="W1675" s="5" t="str">
        <f t="shared" si="3"/>
        <v>Israel Adrián Caetano</v>
      </c>
      <c r="X1675" s="5">
        <f t="shared" si="4"/>
        <v>2</v>
      </c>
      <c r="Y1675" s="5" t="str">
        <f>IFERROR(__xludf.DUMMYFUNCTION("REGEXEXTRACT(J1675, ""^\d+"")"),"162")</f>
        <v>162</v>
      </c>
      <c r="Z1675" s="5" t="str">
        <f>IFERROR(__xludf.DUMMYFUNCTION("REGEXEXTRACT(J1675, ""[A-Za-z ]+$"")")," min")</f>
        <v> min</v>
      </c>
      <c r="AA1675" s="5" t="str">
        <f>IFERROR(__xludf.DUMMYFUNCTION("IF(REGEXMATCH(Z1675, ""Season""), ""TV Show"", ""Movie"")"),"Movie")</f>
        <v>Movie</v>
      </c>
    </row>
    <row r="1676">
      <c r="A1676" s="1" t="s">
        <v>9743</v>
      </c>
      <c r="B1676" s="1" t="s">
        <v>27</v>
      </c>
      <c r="C1676" s="1" t="s">
        <v>9744</v>
      </c>
      <c r="D1676" s="1" t="s">
        <v>9745</v>
      </c>
      <c r="E1676" s="1" t="s">
        <v>9746</v>
      </c>
      <c r="F1676" s="1" t="s">
        <v>63</v>
      </c>
      <c r="G1676" s="1" t="s">
        <v>9740</v>
      </c>
      <c r="H1676" s="1">
        <v>2011.0</v>
      </c>
      <c r="I1676" s="1" t="s">
        <v>97</v>
      </c>
      <c r="J1676" s="1" t="s">
        <v>2281</v>
      </c>
      <c r="K1676" s="1" t="s">
        <v>1328</v>
      </c>
      <c r="L1676" s="1" t="s">
        <v>9747</v>
      </c>
      <c r="M1676" s="2" t="s">
        <v>12</v>
      </c>
      <c r="N1676" s="4">
        <f t="shared" si="1"/>
        <v>44154</v>
      </c>
      <c r="O1676" s="5" t="str">
        <f>IFERROR(__xludf.DUMMYFUNCTION("IF(REGEXMATCH(TRIM(I1676), ""^\d+\s*min""), ""Unclassified"", IF(I1676 = """", ""NR"", I1676))"),"TV-14")</f>
        <v>TV-14</v>
      </c>
      <c r="R1676" s="5" t="str">
        <f t="shared" si="2"/>
        <v>Bodyguard</v>
      </c>
      <c r="S1676" s="5" t="str">
        <f>IFERROR(__xludf.DUMMYFUNCTION("""COMPUTED_VALUE"""),"Contract")</f>
        <v>Contract</v>
      </c>
      <c r="U1676" s="5" t="str">
        <f>IFERROR(__xludf.DUMMYFUNCTION("""COMPUTED_VALUE"""),"Madhumita")</f>
        <v>Madhumita</v>
      </c>
      <c r="V1676" s="5" t="s">
        <v>9748</v>
      </c>
      <c r="W1676" s="5" t="str">
        <f t="shared" si="3"/>
        <v>Israel Adrián Caetano, Bruno Stagnaro</v>
      </c>
      <c r="X1676" s="5">
        <f t="shared" si="4"/>
        <v>1</v>
      </c>
      <c r="Y1676" s="5" t="str">
        <f>IFERROR(__xludf.DUMMYFUNCTION("REGEXEXTRACT(J1676, ""^\d+"")"),"130")</f>
        <v>130</v>
      </c>
      <c r="Z1676" s="5" t="str">
        <f>IFERROR(__xludf.DUMMYFUNCTION("REGEXEXTRACT(J1676, ""[A-Za-z ]+$"")")," min")</f>
        <v> min</v>
      </c>
      <c r="AA1676" s="5" t="str">
        <f>IFERROR(__xludf.DUMMYFUNCTION("IF(REGEXMATCH(Z1676, ""Season""), ""TV Show"", ""Movie"")"),"Movie")</f>
        <v>Movie</v>
      </c>
    </row>
    <row r="1677">
      <c r="A1677" s="1" t="s">
        <v>9749</v>
      </c>
      <c r="B1677" s="1" t="s">
        <v>27</v>
      </c>
      <c r="C1677" s="1" t="s">
        <v>9750</v>
      </c>
      <c r="D1677" s="1" t="s">
        <v>5669</v>
      </c>
      <c r="E1677" s="1" t="s">
        <v>9751</v>
      </c>
      <c r="F1677" s="1" t="s">
        <v>63</v>
      </c>
      <c r="G1677" s="1" t="s">
        <v>9740</v>
      </c>
      <c r="H1677" s="1">
        <v>2010.0</v>
      </c>
      <c r="I1677" s="1" t="s">
        <v>97</v>
      </c>
      <c r="J1677" s="1" t="s">
        <v>912</v>
      </c>
      <c r="K1677" s="1" t="s">
        <v>230</v>
      </c>
      <c r="L1677" s="1" t="s">
        <v>9752</v>
      </c>
      <c r="M1677" s="2" t="s">
        <v>12</v>
      </c>
      <c r="N1677" s="4">
        <f t="shared" si="1"/>
        <v>44154</v>
      </c>
      <c r="O1677" s="5" t="str">
        <f>IFERROR(__xludf.DUMMYFUNCTION("IF(REGEXMATCH(TRIM(I1677), ""^\d+\s*min""), ""Unclassified"", IF(I1677 = """", ""NR"", I1677))"),"TV-14")</f>
        <v>TV-14</v>
      </c>
      <c r="R1677" s="5" t="str">
        <f t="shared" si="2"/>
        <v>Break Ke Baad</v>
      </c>
      <c r="S1677" s="5" t="str">
        <f>IFERROR(__xludf.DUMMYFUNCTION("""COMPUTED_VALUE"""),"Control Z")</f>
        <v>Control Z</v>
      </c>
      <c r="U1677" s="5" t="str">
        <f>IFERROR(__xludf.DUMMYFUNCTION("""COMPUTED_VALUE"""),"Debamitra Biswal")</f>
        <v>Debamitra Biswal</v>
      </c>
      <c r="V1677" s="5" t="s">
        <v>4106</v>
      </c>
      <c r="W1677" s="5" t="str">
        <f t="shared" si="3"/>
        <v>Ivan Andrew Payawal</v>
      </c>
      <c r="X1677" s="5">
        <f t="shared" si="4"/>
        <v>1</v>
      </c>
      <c r="Y1677" s="5" t="str">
        <f>IFERROR(__xludf.DUMMYFUNCTION("REGEXEXTRACT(J1677, ""^\d+"")"),"108")</f>
        <v>108</v>
      </c>
      <c r="Z1677" s="5" t="str">
        <f>IFERROR(__xludf.DUMMYFUNCTION("REGEXEXTRACT(J1677, ""[A-Za-z ]+$"")")," min")</f>
        <v> min</v>
      </c>
      <c r="AA1677" s="5" t="str">
        <f>IFERROR(__xludf.DUMMYFUNCTION("IF(REGEXMATCH(Z1677, ""Season""), ""TV Show"", ""Movie"")"),"Movie")</f>
        <v>Movie</v>
      </c>
    </row>
    <row r="1678">
      <c r="A1678" s="1" t="s">
        <v>9753</v>
      </c>
      <c r="B1678" s="1" t="s">
        <v>27</v>
      </c>
      <c r="C1678" s="1" t="s">
        <v>9754</v>
      </c>
      <c r="D1678" s="1" t="s">
        <v>9755</v>
      </c>
      <c r="E1678" s="1" t="s">
        <v>9756</v>
      </c>
      <c r="F1678" s="1" t="s">
        <v>63</v>
      </c>
      <c r="G1678" s="1" t="s">
        <v>9740</v>
      </c>
      <c r="H1678" s="1">
        <v>2015.0</v>
      </c>
      <c r="I1678" s="1" t="s">
        <v>97</v>
      </c>
      <c r="J1678" s="1" t="s">
        <v>1273</v>
      </c>
      <c r="K1678" s="1" t="s">
        <v>679</v>
      </c>
      <c r="L1678" s="1" t="s">
        <v>9757</v>
      </c>
      <c r="M1678" s="2" t="s">
        <v>12</v>
      </c>
      <c r="N1678" s="4">
        <f t="shared" si="1"/>
        <v>44154</v>
      </c>
      <c r="O1678" s="5" t="str">
        <f>IFERROR(__xludf.DUMMYFUNCTION("IF(REGEXMATCH(TRIM(I1678), ""^\d+\s*min""), ""Unclassified"", IF(I1678 = """", ""NR"", I1678))"),"TV-14")</f>
        <v>TV-14</v>
      </c>
      <c r="R1678" s="5" t="str">
        <f t="shared" si="2"/>
        <v>Hawaizaada</v>
      </c>
      <c r="S1678" s="5" t="str">
        <f>IFERROR(__xludf.DUMMYFUNCTION("""COMPUTED_VALUE"""),"Conversations With A Killer: The Ted Bundy Tapes")</f>
        <v>Conversations With A Killer: The Ted Bundy Tapes</v>
      </c>
      <c r="U1678" s="5" t="str">
        <f>IFERROR(__xludf.DUMMYFUNCTION("""COMPUTED_VALUE"""),"David Lynch")</f>
        <v>David Lynch</v>
      </c>
      <c r="V1678" s="5" t="s">
        <v>5479</v>
      </c>
      <c r="W1678" s="5" t="str">
        <f t="shared" si="3"/>
        <v>Ivan Ayr</v>
      </c>
      <c r="X1678" s="5">
        <f t="shared" si="4"/>
        <v>2</v>
      </c>
      <c r="Y1678" s="5" t="str">
        <f>IFERROR(__xludf.DUMMYFUNCTION("REGEXEXTRACT(J1678, ""^\d+"")"),"129")</f>
        <v>129</v>
      </c>
      <c r="Z1678" s="5" t="str">
        <f>IFERROR(__xludf.DUMMYFUNCTION("REGEXEXTRACT(J1678, ""[A-Za-z ]+$"")")," min")</f>
        <v> min</v>
      </c>
      <c r="AA1678" s="5" t="str">
        <f>IFERROR(__xludf.DUMMYFUNCTION("IF(REGEXMATCH(Z1678, ""Season""), ""TV Show"", ""Movie"")"),"Movie")</f>
        <v>Movie</v>
      </c>
    </row>
    <row r="1679">
      <c r="A1679" s="1" t="s">
        <v>9758</v>
      </c>
      <c r="B1679" s="1" t="s">
        <v>27</v>
      </c>
      <c r="C1679" s="1" t="s">
        <v>9759</v>
      </c>
      <c r="D1679" s="1" t="s">
        <v>4260</v>
      </c>
      <c r="E1679" s="1" t="s">
        <v>9760</v>
      </c>
      <c r="F1679" s="1" t="s">
        <v>4287</v>
      </c>
      <c r="G1679" s="1" t="s">
        <v>9740</v>
      </c>
      <c r="H1679" s="1">
        <v>2010.0</v>
      </c>
      <c r="I1679" s="1" t="s">
        <v>97</v>
      </c>
      <c r="J1679" s="1" t="s">
        <v>305</v>
      </c>
      <c r="K1679" s="1" t="s">
        <v>3183</v>
      </c>
      <c r="L1679" s="1" t="s">
        <v>9761</v>
      </c>
      <c r="M1679" s="2" t="s">
        <v>12</v>
      </c>
      <c r="N1679" s="4">
        <f t="shared" si="1"/>
        <v>44154</v>
      </c>
      <c r="O1679" s="5" t="str">
        <f>IFERROR(__xludf.DUMMYFUNCTION("IF(REGEXMATCH(TRIM(I1679), ""^\d+\s*min""), ""Unclassified"", IF(I1679 = """", ""NR"", I1679))"),"TV-14")</f>
        <v>TV-14</v>
      </c>
      <c r="R1679" s="5" t="str">
        <f t="shared" si="2"/>
        <v>My Amnesia Girl</v>
      </c>
      <c r="S1679" s="5" t="str">
        <f>IFERROR(__xludf.DUMMYFUNCTION("""COMPUTED_VALUE"""),"Convict")</f>
        <v>Convict</v>
      </c>
      <c r="U1679" s="5" t="str">
        <f>IFERROR(__xludf.DUMMYFUNCTION("""COMPUTED_VALUE"""),"Tyler Perry")</f>
        <v>Tyler Perry</v>
      </c>
      <c r="V1679" s="5" t="s">
        <v>3625</v>
      </c>
      <c r="W1679" s="5" t="str">
        <f t="shared" si="3"/>
        <v>Ivan Reitman</v>
      </c>
      <c r="X1679" s="5">
        <f t="shared" si="4"/>
        <v>3</v>
      </c>
      <c r="Y1679" s="5" t="str">
        <f>IFERROR(__xludf.DUMMYFUNCTION("REGEXEXTRACT(J1679, ""^\d+"")"),"105")</f>
        <v>105</v>
      </c>
      <c r="Z1679" s="5" t="str">
        <f>IFERROR(__xludf.DUMMYFUNCTION("REGEXEXTRACT(J1679, ""[A-Za-z ]+$"")")," min")</f>
        <v> min</v>
      </c>
      <c r="AA1679" s="5" t="str">
        <f>IFERROR(__xludf.DUMMYFUNCTION("IF(REGEXMATCH(Z1679, ""Season""), ""TV Show"", ""Movie"")"),"Movie")</f>
        <v>Movie</v>
      </c>
    </row>
    <row r="1680">
      <c r="A1680" s="1" t="s">
        <v>9762</v>
      </c>
      <c r="B1680" s="1" t="s">
        <v>27</v>
      </c>
      <c r="C1680" s="1" t="s">
        <v>9763</v>
      </c>
      <c r="D1680" s="1" t="s">
        <v>2398</v>
      </c>
      <c r="E1680" s="1" t="s">
        <v>9764</v>
      </c>
      <c r="F1680" s="1" t="s">
        <v>63</v>
      </c>
      <c r="G1680" s="1" t="s">
        <v>9740</v>
      </c>
      <c r="H1680" s="1">
        <v>2016.0</v>
      </c>
      <c r="I1680" s="1" t="s">
        <v>42</v>
      </c>
      <c r="J1680" s="1" t="s">
        <v>1428</v>
      </c>
      <c r="K1680" s="1" t="s">
        <v>631</v>
      </c>
      <c r="L1680" s="1" t="s">
        <v>9765</v>
      </c>
      <c r="M1680" s="2" t="s">
        <v>12</v>
      </c>
      <c r="N1680" s="4">
        <f t="shared" si="1"/>
        <v>44154</v>
      </c>
      <c r="O1680" s="5" t="str">
        <f>IFERROR(__xludf.DUMMYFUNCTION("IF(REGEXMATCH(TRIM(I1680), ""^\d+\s*min""), ""Unclassified"", IF(I1680 = """", ""NR"", I1680))"),"TV-MA")</f>
        <v>TV-MA</v>
      </c>
      <c r="R1680" s="5" t="str">
        <f t="shared" si="2"/>
        <v>Raman Raghav 2.0</v>
      </c>
      <c r="S1680" s="5" t="str">
        <f>IFERROR(__xludf.DUMMYFUNCTION("""COMPUTED_VALUE"""),"Cook Off")</f>
        <v>Cook Off</v>
      </c>
      <c r="U1680" s="5" t="str">
        <f>IFERROR(__xludf.DUMMYFUNCTION("""COMPUTED_VALUE"""),"Caryn Waechter")</f>
        <v>Caryn Waechter</v>
      </c>
      <c r="V1680" s="5" t="s">
        <v>9766</v>
      </c>
      <c r="W1680" s="5" t="str">
        <f t="shared" si="3"/>
        <v>Ivan Sen</v>
      </c>
      <c r="X1680" s="5">
        <f t="shared" si="4"/>
        <v>1</v>
      </c>
      <c r="Y1680" s="5" t="str">
        <f>IFERROR(__xludf.DUMMYFUNCTION("REGEXEXTRACT(J1680, ""^\d+"")"),"133")</f>
        <v>133</v>
      </c>
      <c r="Z1680" s="5" t="str">
        <f>IFERROR(__xludf.DUMMYFUNCTION("REGEXEXTRACT(J1680, ""[A-Za-z ]+$"")")," min")</f>
        <v> min</v>
      </c>
      <c r="AA1680" s="5" t="str">
        <f>IFERROR(__xludf.DUMMYFUNCTION("IF(REGEXMATCH(Z1680, ""Season""), ""TV Show"", ""Movie"")"),"Movie")</f>
        <v>Movie</v>
      </c>
    </row>
    <row r="1681">
      <c r="A1681" s="1" t="s">
        <v>9767</v>
      </c>
      <c r="B1681" s="1" t="s">
        <v>27</v>
      </c>
      <c r="C1681" s="1" t="s">
        <v>9768</v>
      </c>
      <c r="D1681" s="1" t="s">
        <v>1984</v>
      </c>
      <c r="E1681" s="1" t="s">
        <v>9769</v>
      </c>
      <c r="F1681" s="1" t="s">
        <v>63</v>
      </c>
      <c r="G1681" s="1" t="s">
        <v>9740</v>
      </c>
      <c r="H1681" s="1">
        <v>2011.0</v>
      </c>
      <c r="I1681" s="1" t="s">
        <v>97</v>
      </c>
      <c r="J1681" s="1" t="s">
        <v>950</v>
      </c>
      <c r="K1681" s="1" t="s">
        <v>306</v>
      </c>
      <c r="L1681" s="1" t="s">
        <v>9770</v>
      </c>
      <c r="M1681" s="2" t="s">
        <v>12</v>
      </c>
      <c r="N1681" s="4">
        <f t="shared" si="1"/>
        <v>44154</v>
      </c>
      <c r="O1681" s="5" t="str">
        <f>IFERROR(__xludf.DUMMYFUNCTION("IF(REGEXMATCH(TRIM(I1681), ""^\d+\s*min""), ""Unclassified"", IF(I1681 = """", ""NR"", I1681))"),"TV-14")</f>
        <v>TV-14</v>
      </c>
      <c r="R1681" s="5" t="str">
        <f t="shared" si="2"/>
        <v>Singham</v>
      </c>
      <c r="S1681" s="5" t="str">
        <f>IFERROR(__xludf.DUMMYFUNCTION("""COMPUTED_VALUE"""),"Cooked")</f>
        <v>Cooked</v>
      </c>
      <c r="U1681" s="5" t="str">
        <f>IFERROR(__xludf.DUMMYFUNCTION("""COMPUTED_VALUE"""),"Tim Hill")</f>
        <v>Tim Hill</v>
      </c>
      <c r="V1681" s="5" t="s">
        <v>9771</v>
      </c>
      <c r="W1681" s="5" t="str">
        <f t="shared" si="3"/>
        <v>Ivan Silvestrini</v>
      </c>
      <c r="X1681" s="5">
        <f t="shared" si="4"/>
        <v>1</v>
      </c>
      <c r="Y1681" s="5" t="str">
        <f>IFERROR(__xludf.DUMMYFUNCTION("REGEXEXTRACT(J1681, ""^\d+"")"),"142")</f>
        <v>142</v>
      </c>
      <c r="Z1681" s="5" t="str">
        <f>IFERROR(__xludf.DUMMYFUNCTION("REGEXEXTRACT(J1681, ""[A-Za-z ]+$"")")," min")</f>
        <v> min</v>
      </c>
      <c r="AA1681" s="5" t="str">
        <f>IFERROR(__xludf.DUMMYFUNCTION("IF(REGEXMATCH(Z1681, ""Season""), ""TV Show"", ""Movie"")"),"Movie")</f>
        <v>Movie</v>
      </c>
    </row>
    <row r="1682">
      <c r="A1682" s="1" t="s">
        <v>9772</v>
      </c>
      <c r="B1682" s="1" t="s">
        <v>27</v>
      </c>
      <c r="C1682" s="1" t="s">
        <v>9773</v>
      </c>
      <c r="D1682" s="1" t="s">
        <v>7480</v>
      </c>
      <c r="E1682" s="1" t="s">
        <v>9774</v>
      </c>
      <c r="F1682" s="1" t="s">
        <v>63</v>
      </c>
      <c r="G1682" s="1" t="s">
        <v>9740</v>
      </c>
      <c r="H1682" s="1">
        <v>2016.0</v>
      </c>
      <c r="I1682" s="1" t="s">
        <v>97</v>
      </c>
      <c r="J1682" s="1" t="s">
        <v>757</v>
      </c>
      <c r="K1682" s="1" t="s">
        <v>298</v>
      </c>
      <c r="L1682" s="1" t="s">
        <v>9775</v>
      </c>
      <c r="M1682" s="2" t="s">
        <v>12</v>
      </c>
      <c r="N1682" s="4">
        <f t="shared" si="1"/>
        <v>44154</v>
      </c>
      <c r="O1682" s="5" t="str">
        <f>IFERROR(__xludf.DUMMYFUNCTION("IF(REGEXMATCH(TRIM(I1682), ""^\d+\s*min""), ""Unclassified"", IF(I1682 = """", ""NR"", I1682))"),"TV-14")</f>
        <v>TV-14</v>
      </c>
      <c r="R1682" s="5" t="str">
        <f t="shared" si="2"/>
        <v>Te3N</v>
      </c>
      <c r="S1682" s="5" t="str">
        <f>IFERROR(__xludf.DUMMYFUNCTION("""COMPUTED_VALUE"""),"Cooked With Cannabis")</f>
        <v>Cooked With Cannabis</v>
      </c>
      <c r="U1682" s="5" t="str">
        <f>IFERROR(__xludf.DUMMYFUNCTION("""COMPUTED_VALUE"""),"Numa Perrier")</f>
        <v>Numa Perrier</v>
      </c>
      <c r="V1682" s="5" t="s">
        <v>9776</v>
      </c>
      <c r="W1682" s="5" t="str">
        <f t="shared" si="3"/>
        <v>Ivona Juka</v>
      </c>
      <c r="X1682" s="5">
        <f t="shared" si="4"/>
        <v>1</v>
      </c>
      <c r="Y1682" s="5" t="str">
        <f>IFERROR(__xludf.DUMMYFUNCTION("REGEXEXTRACT(J1682, ""^\d+"")"),"128")</f>
        <v>128</v>
      </c>
      <c r="Z1682" s="5" t="str">
        <f>IFERROR(__xludf.DUMMYFUNCTION("REGEXEXTRACT(J1682, ""[A-Za-z ]+$"")")," min")</f>
        <v> min</v>
      </c>
      <c r="AA1682" s="5" t="str">
        <f>IFERROR(__xludf.DUMMYFUNCTION("IF(REGEXMATCH(Z1682, ""Season""), ""TV Show"", ""Movie"")"),"Movie")</f>
        <v>Movie</v>
      </c>
    </row>
    <row r="1683">
      <c r="A1683" s="1" t="s">
        <v>9777</v>
      </c>
      <c r="B1683" s="1" t="s">
        <v>27</v>
      </c>
      <c r="C1683" s="1" t="s">
        <v>9778</v>
      </c>
      <c r="D1683" s="1" t="s">
        <v>9779</v>
      </c>
      <c r="E1683" s="1" t="s">
        <v>9780</v>
      </c>
      <c r="F1683" s="1" t="s">
        <v>30</v>
      </c>
      <c r="G1683" s="1" t="s">
        <v>9740</v>
      </c>
      <c r="H1683" s="1">
        <v>2020.0</v>
      </c>
      <c r="I1683" s="1" t="s">
        <v>506</v>
      </c>
      <c r="J1683" s="1" t="s">
        <v>247</v>
      </c>
      <c r="K1683" s="1" t="s">
        <v>2242</v>
      </c>
      <c r="L1683" s="1" t="s">
        <v>9781</v>
      </c>
      <c r="M1683" s="2" t="s">
        <v>12</v>
      </c>
      <c r="N1683" s="4">
        <f t="shared" si="1"/>
        <v>44154</v>
      </c>
      <c r="O1683" s="5" t="str">
        <f>IFERROR(__xludf.DUMMYFUNCTION("IF(REGEXMATCH(TRIM(I1683), ""^\d+\s*min""), ""Unclassified"", IF(I1683 = """", ""NR"", I1683))"),"TV-G")</f>
        <v>TV-G</v>
      </c>
      <c r="R1683" s="5" t="str">
        <f t="shared" si="2"/>
        <v>The Princess Switch: Switched Again</v>
      </c>
      <c r="S1683" s="5" t="str">
        <f>IFERROR(__xludf.DUMMYFUNCTION("""COMPUTED_VALUE"""),"Cooking On High")</f>
        <v>Cooking On High</v>
      </c>
      <c r="U1683" s="5" t="str">
        <f>IFERROR(__xludf.DUMMYFUNCTION("""COMPUTED_VALUE"""),"Brian Helgeland")</f>
        <v>Brian Helgeland</v>
      </c>
      <c r="V1683" s="5" t="s">
        <v>9782</v>
      </c>
      <c r="W1683" s="5" t="str">
        <f t="shared" si="3"/>
        <v>Izidore K. Musallam</v>
      </c>
      <c r="X1683" s="5">
        <f t="shared" si="4"/>
        <v>1</v>
      </c>
      <c r="Y1683" s="5" t="str">
        <f>IFERROR(__xludf.DUMMYFUNCTION("REGEXEXTRACT(J1683, ""^\d+"")"),"97")</f>
        <v>97</v>
      </c>
      <c r="Z1683" s="5" t="str">
        <f>IFERROR(__xludf.DUMMYFUNCTION("REGEXEXTRACT(J1683, ""[A-Za-z ]+$"")")," min")</f>
        <v> min</v>
      </c>
      <c r="AA1683" s="5" t="str">
        <f>IFERROR(__xludf.DUMMYFUNCTION("IF(REGEXMATCH(Z1683, ""Season""), ""TV Show"", ""Movie"")"),"Movie")</f>
        <v>Movie</v>
      </c>
    </row>
    <row r="1684">
      <c r="A1684" s="1" t="s">
        <v>9783</v>
      </c>
      <c r="B1684" s="1" t="s">
        <v>27</v>
      </c>
      <c r="C1684" s="1" t="s">
        <v>9784</v>
      </c>
      <c r="D1684" s="1" t="s">
        <v>4260</v>
      </c>
      <c r="E1684" s="1" t="s">
        <v>9785</v>
      </c>
      <c r="F1684" s="1" t="s">
        <v>4287</v>
      </c>
      <c r="G1684" s="1" t="s">
        <v>9740</v>
      </c>
      <c r="H1684" s="1">
        <v>2018.0</v>
      </c>
      <c r="I1684" s="1" t="s">
        <v>506</v>
      </c>
      <c r="J1684" s="1" t="s">
        <v>1256</v>
      </c>
      <c r="K1684" s="1" t="s">
        <v>583</v>
      </c>
      <c r="L1684" s="1" t="s">
        <v>9786</v>
      </c>
      <c r="M1684" s="2" t="s">
        <v>12</v>
      </c>
      <c r="N1684" s="4">
        <f t="shared" si="1"/>
        <v>44154</v>
      </c>
      <c r="O1684" s="5" t="str">
        <f>IFERROR(__xludf.DUMMYFUNCTION("IF(REGEXMATCH(TRIM(I1684), ""^\d+\s*min""), ""Unclassified"", IF(I1684 = """", ""NR"", I1684))"),"TV-G")</f>
        <v>TV-G</v>
      </c>
      <c r="R1684" s="5" t="str">
        <f t="shared" si="2"/>
        <v>Three Words To Forever</v>
      </c>
      <c r="S1684" s="5" t="str">
        <f>IFERROR(__xludf.DUMMYFUNCTION("""COMPUTED_VALUE"""),"Cooking With Paris")</f>
        <v>Cooking With Paris</v>
      </c>
      <c r="U1684" s="5" t="str">
        <f>IFERROR(__xludf.DUMMYFUNCTION("""COMPUTED_VALUE"""),"Yoshiyuki Momose")</f>
        <v>Yoshiyuki Momose</v>
      </c>
      <c r="V1684" s="5" t="s">
        <v>2017</v>
      </c>
      <c r="W1684" s="5" t="str">
        <f t="shared" si="3"/>
        <v>Izu Ojukwu</v>
      </c>
      <c r="X1684" s="5">
        <f t="shared" si="4"/>
        <v>1</v>
      </c>
      <c r="Y1684" s="5" t="str">
        <f>IFERROR(__xludf.DUMMYFUNCTION("REGEXEXTRACT(J1684, ""^\d+"")"),"107")</f>
        <v>107</v>
      </c>
      <c r="Z1684" s="5" t="str">
        <f>IFERROR(__xludf.DUMMYFUNCTION("REGEXEXTRACT(J1684, ""[A-Za-z ]+$"")")," min")</f>
        <v> min</v>
      </c>
      <c r="AA1684" s="5" t="str">
        <f>IFERROR(__xludf.DUMMYFUNCTION("IF(REGEXMATCH(Z1684, ""Season""), ""TV Show"", ""Movie"")"),"Movie")</f>
        <v>Movie</v>
      </c>
    </row>
    <row r="1685">
      <c r="A1685" s="1" t="s">
        <v>9787</v>
      </c>
      <c r="B1685" s="1" t="s">
        <v>27</v>
      </c>
      <c r="C1685" s="1" t="s">
        <v>9788</v>
      </c>
      <c r="D1685" s="1" t="s">
        <v>9789</v>
      </c>
      <c r="E1685" s="1" t="s">
        <v>9790</v>
      </c>
      <c r="F1685" s="1" t="s">
        <v>63</v>
      </c>
      <c r="G1685" s="1" t="s">
        <v>9740</v>
      </c>
      <c r="H1685" s="1">
        <v>2009.0</v>
      </c>
      <c r="I1685" s="1" t="s">
        <v>97</v>
      </c>
      <c r="J1685" s="1" t="s">
        <v>1369</v>
      </c>
      <c r="K1685" s="1" t="s">
        <v>199</v>
      </c>
      <c r="L1685" s="1" t="s">
        <v>9791</v>
      </c>
      <c r="M1685" s="2" t="s">
        <v>12</v>
      </c>
      <c r="N1685" s="4">
        <f t="shared" si="1"/>
        <v>44154</v>
      </c>
      <c r="O1685" s="5" t="str">
        <f>IFERROR(__xludf.DUMMYFUNCTION("IF(REGEXMATCH(TRIM(I1685), ""^\d+\s*min""), ""Unclassified"", IF(I1685 = """", ""NR"", I1685))"),"TV-14")</f>
        <v>TV-14</v>
      </c>
      <c r="R1685" s="5" t="str">
        <f t="shared" si="2"/>
        <v>Well Done Abba</v>
      </c>
      <c r="S1685" s="5" t="str">
        <f>IFERROR(__xludf.DUMMYFUNCTION("""COMPUTED_VALUE"""),"Cool Hand Luke")</f>
        <v>Cool Hand Luke</v>
      </c>
      <c r="U1685" s="5" t="str">
        <f>IFERROR(__xludf.DUMMYFUNCTION("""COMPUTED_VALUE"""),"Danny Boyle")</f>
        <v>Danny Boyle</v>
      </c>
      <c r="V1685" s="5" t="s">
        <v>7615</v>
      </c>
      <c r="W1685" s="5" t="str">
        <f t="shared" si="3"/>
        <v>J Blakeson</v>
      </c>
      <c r="X1685" s="5">
        <f t="shared" si="4"/>
        <v>1</v>
      </c>
      <c r="Y1685" s="5" t="str">
        <f>IFERROR(__xludf.DUMMYFUNCTION("REGEXEXTRACT(J1685, ""^\d+"")"),"135")</f>
        <v>135</v>
      </c>
      <c r="Z1685" s="5" t="str">
        <f>IFERROR(__xludf.DUMMYFUNCTION("REGEXEXTRACT(J1685, ""[A-Za-z ]+$"")")," min")</f>
        <v> min</v>
      </c>
      <c r="AA1685" s="5" t="str">
        <f>IFERROR(__xludf.DUMMYFUNCTION("IF(REGEXMATCH(Z1685, ""Season""), ""TV Show"", ""Movie"")"),"Movie")</f>
        <v>Movie</v>
      </c>
    </row>
    <row r="1686">
      <c r="A1686" s="1" t="s">
        <v>9792</v>
      </c>
      <c r="B1686" s="1" t="s">
        <v>37</v>
      </c>
      <c r="C1686" s="1" t="s">
        <v>9793</v>
      </c>
      <c r="E1686" s="1" t="s">
        <v>9794</v>
      </c>
      <c r="F1686" s="1" t="s">
        <v>30</v>
      </c>
      <c r="G1686" s="1" t="s">
        <v>9795</v>
      </c>
      <c r="H1686" s="1">
        <v>2020.0</v>
      </c>
      <c r="I1686" s="1" t="s">
        <v>506</v>
      </c>
      <c r="J1686" s="1" t="s">
        <v>51</v>
      </c>
      <c r="K1686" s="1" t="s">
        <v>440</v>
      </c>
      <c r="L1686" s="1" t="s">
        <v>9796</v>
      </c>
      <c r="M1686" s="2" t="s">
        <v>12</v>
      </c>
      <c r="N1686" s="4">
        <f t="shared" si="1"/>
        <v>44153</v>
      </c>
      <c r="O1686" s="5" t="str">
        <f>IFERROR(__xludf.DUMMYFUNCTION("IF(REGEXMATCH(TRIM(I1686), ""^\d+\s*min""), ""Unclassified"", IF(I1686 = """", ""NR"", I1686))"),"TV-G")</f>
        <v>TV-G</v>
      </c>
      <c r="R1686" s="5" t="str">
        <f t="shared" si="2"/>
        <v>Holiday Home Makeover With Mr. Christmas</v>
      </c>
      <c r="S1686" s="5" t="str">
        <f>IFERROR(__xludf.DUMMYFUNCTION("""COMPUTED_VALUE"""),"Cop And A Half: New Recruit")</f>
        <v>Cop And A Half: New Recruit</v>
      </c>
      <c r="U1686" s="5" t="str">
        <f>IFERROR(__xludf.DUMMYFUNCTION("""COMPUTED_VALUE"""),"Rima Das")</f>
        <v>Rima Das</v>
      </c>
      <c r="V1686" s="5" t="s">
        <v>9797</v>
      </c>
      <c r="W1686" s="5" t="str">
        <f t="shared" si="3"/>
        <v>J. Davis</v>
      </c>
      <c r="X1686" s="5">
        <f t="shared" si="4"/>
        <v>1</v>
      </c>
      <c r="Y1686" s="5" t="str">
        <f>IFERROR(__xludf.DUMMYFUNCTION("REGEXEXTRACT(J1686, ""^\d+"")"),"1")</f>
        <v>1</v>
      </c>
      <c r="Z1686" s="5" t="str">
        <f>IFERROR(__xludf.DUMMYFUNCTION("REGEXEXTRACT(J1686, ""[A-Za-z ]+$"")")," Season")</f>
        <v> Season</v>
      </c>
      <c r="AA1686" s="5" t="str">
        <f>IFERROR(__xludf.DUMMYFUNCTION("IF(REGEXMATCH(Z1686, ""Season""), ""TV Show"", ""Movie"")"),"TV Show")</f>
        <v>TV Show</v>
      </c>
    </row>
    <row r="1687">
      <c r="A1687" s="1" t="s">
        <v>9798</v>
      </c>
      <c r="B1687" s="1" t="s">
        <v>27</v>
      </c>
      <c r="C1687" s="1" t="s">
        <v>9799</v>
      </c>
      <c r="D1687" s="1" t="s">
        <v>9800</v>
      </c>
      <c r="E1687" s="1" t="s">
        <v>9801</v>
      </c>
      <c r="F1687" s="1" t="s">
        <v>1846</v>
      </c>
      <c r="G1687" s="1" t="s">
        <v>9802</v>
      </c>
      <c r="H1687" s="1">
        <v>2020.0</v>
      </c>
      <c r="I1687" s="1" t="s">
        <v>136</v>
      </c>
      <c r="J1687" s="1" t="s">
        <v>1608</v>
      </c>
      <c r="K1687" s="1" t="s">
        <v>128</v>
      </c>
      <c r="L1687" s="1" t="s">
        <v>9803</v>
      </c>
      <c r="M1687" s="2" t="s">
        <v>12</v>
      </c>
      <c r="N1687" s="4">
        <f t="shared" si="1"/>
        <v>44152</v>
      </c>
      <c r="O1687" s="5" t="str">
        <f>IFERROR(__xludf.DUMMYFUNCTION("IF(REGEXMATCH(TRIM(I1687), ""^\d+\s*min""), ""Unclassified"", IF(I1687 = """", ""NR"", I1687))"),"TV-PG")</f>
        <v>TV-PG</v>
      </c>
      <c r="R1687" s="5" t="str">
        <f t="shared" si="2"/>
        <v>Ainu Mosir</v>
      </c>
      <c r="S1687" s="5" t="str">
        <f>IFERROR(__xludf.DUMMYFUNCTION("""COMPUTED_VALUE"""),"Cop Car")</f>
        <v>Cop Car</v>
      </c>
      <c r="U1687" s="5" t="str">
        <f>IFERROR(__xludf.DUMMYFUNCTION("""COMPUTED_VALUE"""),"Paco Plaza")</f>
        <v>Paco Plaza</v>
      </c>
      <c r="V1687" s="5" t="s">
        <v>1233</v>
      </c>
      <c r="W1687" s="5" t="str">
        <f t="shared" si="3"/>
        <v>J. Lee Thompson</v>
      </c>
      <c r="X1687" s="5">
        <f t="shared" si="4"/>
        <v>1</v>
      </c>
      <c r="Y1687" s="5" t="str">
        <f>IFERROR(__xludf.DUMMYFUNCTION("REGEXEXTRACT(J1687, ""^\d+"")"),"84")</f>
        <v>84</v>
      </c>
      <c r="Z1687" s="5" t="str">
        <f>IFERROR(__xludf.DUMMYFUNCTION("REGEXEXTRACT(J1687, ""[A-Za-z ]+$"")")," min")</f>
        <v> min</v>
      </c>
      <c r="AA1687" s="5" t="str">
        <f>IFERROR(__xludf.DUMMYFUNCTION("IF(REGEXMATCH(Z1687, ""Season""), ""TV Show"", ""Movie"")"),"Movie")</f>
        <v>Movie</v>
      </c>
    </row>
    <row r="1688">
      <c r="A1688" s="1" t="s">
        <v>9804</v>
      </c>
      <c r="B1688" s="1" t="s">
        <v>27</v>
      </c>
      <c r="C1688" s="1" t="s">
        <v>9805</v>
      </c>
      <c r="D1688" s="1" t="s">
        <v>9806</v>
      </c>
      <c r="E1688" s="1" t="s">
        <v>9807</v>
      </c>
      <c r="F1688" s="1" t="s">
        <v>30</v>
      </c>
      <c r="G1688" s="1" t="s">
        <v>9802</v>
      </c>
      <c r="H1688" s="1">
        <v>2020.0</v>
      </c>
      <c r="I1688" s="1" t="s">
        <v>42</v>
      </c>
      <c r="J1688" s="1" t="s">
        <v>1583</v>
      </c>
      <c r="K1688" s="1" t="s">
        <v>1839</v>
      </c>
      <c r="L1688" s="1" t="s">
        <v>9808</v>
      </c>
      <c r="M1688" s="2" t="s">
        <v>12</v>
      </c>
      <c r="N1688" s="4">
        <f t="shared" si="1"/>
        <v>44152</v>
      </c>
      <c r="O1688" s="5" t="str">
        <f>IFERROR(__xludf.DUMMYFUNCTION("IF(REGEXMATCH(TRIM(I1688), ""^\d+\s*min""), ""Unclassified"", IF(I1688 = """", ""NR"", I1688))"),"TV-MA")</f>
        <v>TV-MA</v>
      </c>
      <c r="R1688" s="5" t="str">
        <f t="shared" si="2"/>
        <v>Kevin Hart: Zero F**Ks Given</v>
      </c>
      <c r="S1688" s="5" t="str">
        <f>IFERROR(__xludf.DUMMYFUNCTION("""COMPUTED_VALUE"""),"Cop Watchers")</f>
        <v>Cop Watchers</v>
      </c>
      <c r="U1688" s="5" t="str">
        <f>IFERROR(__xludf.DUMMYFUNCTION("""COMPUTED_VALUE"""),"Andrew Goth")</f>
        <v>Andrew Goth</v>
      </c>
      <c r="V1688" s="5" t="s">
        <v>9809</v>
      </c>
      <c r="W1688" s="5" t="str">
        <f t="shared" si="3"/>
        <v>J. Michael Long</v>
      </c>
      <c r="X1688" s="5">
        <f t="shared" si="4"/>
        <v>1</v>
      </c>
      <c r="Y1688" s="5" t="str">
        <f>IFERROR(__xludf.DUMMYFUNCTION("REGEXEXTRACT(J1688, ""^\d+"")"),"70")</f>
        <v>70</v>
      </c>
      <c r="Z1688" s="5" t="str">
        <f>IFERROR(__xludf.DUMMYFUNCTION("REGEXEXTRACT(J1688, ""[A-Za-z ]+$"")")," min")</f>
        <v> min</v>
      </c>
      <c r="AA1688" s="5" t="str">
        <f>IFERROR(__xludf.DUMMYFUNCTION("IF(REGEXMATCH(Z1688, ""Season""), ""TV Show"", ""Movie"")"),"Movie")</f>
        <v>Movie</v>
      </c>
    </row>
    <row r="1689">
      <c r="A1689" s="1" t="s">
        <v>9810</v>
      </c>
      <c r="B1689" s="1" t="s">
        <v>37</v>
      </c>
      <c r="C1689" s="1" t="s">
        <v>9811</v>
      </c>
      <c r="E1689" s="1" t="s">
        <v>9812</v>
      </c>
      <c r="F1689" s="1" t="s">
        <v>30</v>
      </c>
      <c r="G1689" s="1" t="s">
        <v>9802</v>
      </c>
      <c r="H1689" s="1">
        <v>2020.0</v>
      </c>
      <c r="I1689" s="1" t="s">
        <v>289</v>
      </c>
      <c r="J1689" s="1" t="s">
        <v>148</v>
      </c>
      <c r="K1689" s="1" t="s">
        <v>314</v>
      </c>
      <c r="L1689" s="1" t="s">
        <v>9813</v>
      </c>
      <c r="M1689" s="2" t="s">
        <v>12</v>
      </c>
      <c r="N1689" s="4">
        <f t="shared" si="1"/>
        <v>44152</v>
      </c>
      <c r="O1689" s="5" t="str">
        <f>IFERROR(__xludf.DUMMYFUNCTION("IF(REGEXMATCH(TRIM(I1689), ""^\d+\s*min""), ""Unclassified"", IF(I1689 = """", ""NR"", I1689))"),"TV-Y7")</f>
        <v>TV-Y7</v>
      </c>
      <c r="R1689" s="5" t="str">
        <f t="shared" si="2"/>
        <v>The Boss Baby: Back In Business</v>
      </c>
      <c r="S1689" s="5" t="str">
        <f>IFERROR(__xludf.DUMMYFUNCTION("""COMPUTED_VALUE"""),"Copenhagen")</f>
        <v>Copenhagen</v>
      </c>
      <c r="U1689" s="5" t="str">
        <f>IFERROR(__xludf.DUMMYFUNCTION("""COMPUTED_VALUE"""),"William Kaufman")</f>
        <v>William Kaufman</v>
      </c>
      <c r="V1689" s="5" t="s">
        <v>8222</v>
      </c>
      <c r="W1689" s="5" t="str">
        <f t="shared" si="3"/>
        <v>J.A. Bayona</v>
      </c>
      <c r="X1689" s="5">
        <f t="shared" si="4"/>
        <v>2</v>
      </c>
      <c r="Y1689" s="5" t="str">
        <f>IFERROR(__xludf.DUMMYFUNCTION("REGEXEXTRACT(J1689, ""^\d+"")"),"4")</f>
        <v>4</v>
      </c>
      <c r="Z1689" s="5" t="str">
        <f>IFERROR(__xludf.DUMMYFUNCTION("REGEXEXTRACT(J1689, ""[A-Za-z ]+$"")")," Seasons")</f>
        <v> Seasons</v>
      </c>
      <c r="AA1689" s="5" t="str">
        <f>IFERROR(__xludf.DUMMYFUNCTION("IF(REGEXMATCH(Z1689, ""Season""), ""TV Show"", ""Movie"")"),"TV Show")</f>
        <v>TV Show</v>
      </c>
    </row>
    <row r="1690">
      <c r="A1690" s="1" t="s">
        <v>9814</v>
      </c>
      <c r="B1690" s="1" t="s">
        <v>37</v>
      </c>
      <c r="C1690" s="1" t="s">
        <v>9815</v>
      </c>
      <c r="F1690" s="1" t="s">
        <v>30</v>
      </c>
      <c r="G1690" s="1" t="s">
        <v>9802</v>
      </c>
      <c r="H1690" s="1">
        <v>2020.0</v>
      </c>
      <c r="I1690" s="1" t="s">
        <v>42</v>
      </c>
      <c r="J1690" s="1" t="s">
        <v>51</v>
      </c>
      <c r="K1690" s="1" t="s">
        <v>57</v>
      </c>
      <c r="L1690" s="1" t="s">
        <v>9816</v>
      </c>
      <c r="M1690" s="2" t="s">
        <v>12</v>
      </c>
      <c r="N1690" s="4">
        <f t="shared" si="1"/>
        <v>44152</v>
      </c>
      <c r="O1690" s="5" t="str">
        <f>IFERROR(__xludf.DUMMYFUNCTION("IF(REGEXMATCH(TRIM(I1690), ""^\d+\s*min""), ""Unclassified"", IF(I1690 = """", ""NR"", I1690))"),"TV-MA")</f>
        <v>TV-MA</v>
      </c>
      <c r="R1690" s="5" t="str">
        <f t="shared" si="2"/>
        <v>We Are The Champions</v>
      </c>
      <c r="S1690" s="5" t="str">
        <f>IFERROR(__xludf.DUMMYFUNCTION("""COMPUTED_VALUE"""),"Cops And Robbers")</f>
        <v>Cops And Robbers</v>
      </c>
      <c r="U1690" s="5" t="str">
        <f>IFERROR(__xludf.DUMMYFUNCTION("""COMPUTED_VALUE"""),"David Benioff, D.B. Weiss")</f>
        <v>David Benioff, D.B. Weiss</v>
      </c>
      <c r="V1690" s="5" t="s">
        <v>9817</v>
      </c>
      <c r="W1690" s="5" t="str">
        <f t="shared" si="3"/>
        <v>J.C. Chandor</v>
      </c>
      <c r="X1690" s="5">
        <f t="shared" si="4"/>
        <v>2</v>
      </c>
      <c r="Y1690" s="5" t="str">
        <f>IFERROR(__xludf.DUMMYFUNCTION("REGEXEXTRACT(J1690, ""^\d+"")"),"1")</f>
        <v>1</v>
      </c>
      <c r="Z1690" s="5" t="str">
        <f>IFERROR(__xludf.DUMMYFUNCTION("REGEXEXTRACT(J1690, ""[A-Za-z ]+$"")")," Season")</f>
        <v> Season</v>
      </c>
      <c r="AA1690" s="5" t="str">
        <f>IFERROR(__xludf.DUMMYFUNCTION("IF(REGEXMATCH(Z1690, ""Season""), ""TV Show"", ""Movie"")"),"TV Show")</f>
        <v>TV Show</v>
      </c>
    </row>
    <row r="1691">
      <c r="A1691" s="1" t="s">
        <v>9818</v>
      </c>
      <c r="B1691" s="1" t="s">
        <v>27</v>
      </c>
      <c r="C1691" s="1" t="s">
        <v>9819</v>
      </c>
      <c r="D1691" s="1" t="s">
        <v>9820</v>
      </c>
      <c r="E1691" s="1" t="s">
        <v>9821</v>
      </c>
      <c r="F1691" s="1" t="s">
        <v>686</v>
      </c>
      <c r="G1691" s="1" t="s">
        <v>9822</v>
      </c>
      <c r="H1691" s="1">
        <v>2016.0</v>
      </c>
      <c r="I1691" s="1" t="s">
        <v>32</v>
      </c>
      <c r="J1691" s="1" t="s">
        <v>341</v>
      </c>
      <c r="K1691" s="1" t="s">
        <v>828</v>
      </c>
      <c r="L1691" s="1" t="s">
        <v>9823</v>
      </c>
      <c r="M1691" s="2" t="s">
        <v>12</v>
      </c>
      <c r="N1691" s="4">
        <f t="shared" si="1"/>
        <v>44151</v>
      </c>
      <c r="O1691" s="5" t="str">
        <f>IFERROR(__xludf.DUMMYFUNCTION("IF(REGEXMATCH(TRIM(I1691), ""^\d+\s*min""), ""Unclassified"", IF(I1691 = """", ""NR"", I1691))"),"PG-13")</f>
        <v>PG-13</v>
      </c>
      <c r="R1691" s="5" t="str">
        <f t="shared" si="2"/>
        <v>Loving</v>
      </c>
      <c r="S1691" s="5" t="str">
        <f>IFERROR(__xludf.DUMMYFUNCTION("""COMPUTED_VALUE"""),"Coraline")</f>
        <v>Coraline</v>
      </c>
      <c r="U1691" s="5" t="str">
        <f>IFERROR(__xludf.DUMMYFUNCTION("""COMPUTED_VALUE"""),"Steve Boettcher")</f>
        <v>Steve Boettcher</v>
      </c>
      <c r="V1691" s="5" t="s">
        <v>9824</v>
      </c>
      <c r="W1691" s="5" t="str">
        <f t="shared" si="3"/>
        <v>J.C. Falcón</v>
      </c>
      <c r="X1691" s="5">
        <f t="shared" si="4"/>
        <v>1</v>
      </c>
      <c r="Y1691" s="5" t="str">
        <f>IFERROR(__xludf.DUMMYFUNCTION("REGEXEXTRACT(J1691, ""^\d+"")"),"124")</f>
        <v>124</v>
      </c>
      <c r="Z1691" s="5" t="str">
        <f>IFERROR(__xludf.DUMMYFUNCTION("REGEXEXTRACT(J1691, ""[A-Za-z ]+$"")")," min")</f>
        <v> min</v>
      </c>
      <c r="AA1691" s="5" t="str">
        <f>IFERROR(__xludf.DUMMYFUNCTION("IF(REGEXMATCH(Z1691, ""Season""), ""TV Show"", ""Movie"")"),"Movie")</f>
        <v>Movie</v>
      </c>
    </row>
    <row r="1692">
      <c r="A1692" s="1" t="s">
        <v>9825</v>
      </c>
      <c r="B1692" s="1" t="s">
        <v>27</v>
      </c>
      <c r="C1692" s="1" t="s">
        <v>9826</v>
      </c>
      <c r="D1692" s="1" t="s">
        <v>9827</v>
      </c>
      <c r="F1692" s="1" t="s">
        <v>30</v>
      </c>
      <c r="G1692" s="1" t="s">
        <v>9822</v>
      </c>
      <c r="H1692" s="1">
        <v>2017.0</v>
      </c>
      <c r="I1692" s="1" t="s">
        <v>378</v>
      </c>
      <c r="J1692" s="1" t="s">
        <v>447</v>
      </c>
      <c r="K1692" s="1" t="s">
        <v>34</v>
      </c>
      <c r="L1692" s="1" t="s">
        <v>9828</v>
      </c>
      <c r="M1692" s="2" t="s">
        <v>12</v>
      </c>
      <c r="N1692" s="4">
        <f t="shared" si="1"/>
        <v>44151</v>
      </c>
      <c r="O1692" s="5" t="str">
        <f>IFERROR(__xludf.DUMMYFUNCTION("IF(REGEXMATCH(TRIM(I1692), ""^\d+\s*min""), ""Unclassified"", IF(I1692 = """", ""NR"", I1692))"),"R")</f>
        <v>R</v>
      </c>
      <c r="R1692" s="5" t="str">
        <f t="shared" si="2"/>
        <v>Whose Streets?</v>
      </c>
      <c r="S1692" s="5" t="str">
        <f>IFERROR(__xludf.DUMMYFUNCTION("""COMPUTED_VALUE"""),"Coronavirus, Explained")</f>
        <v>Coronavirus, Explained</v>
      </c>
      <c r="U1692" s="5" t="str">
        <f>IFERROR(__xludf.DUMMYFUNCTION("""COMPUTED_VALUE"""),"Mikhil Musale")</f>
        <v>Mikhil Musale</v>
      </c>
      <c r="V1692" s="5" t="s">
        <v>5267</v>
      </c>
      <c r="W1692" s="5" t="str">
        <f t="shared" si="3"/>
        <v>J.D. Dillard</v>
      </c>
      <c r="X1692" s="5">
        <f t="shared" si="4"/>
        <v>2</v>
      </c>
      <c r="Y1692" s="5" t="str">
        <f>IFERROR(__xludf.DUMMYFUNCTION("REGEXEXTRACT(J1692, ""^\d+"")"),"102")</f>
        <v>102</v>
      </c>
      <c r="Z1692" s="5" t="str">
        <f>IFERROR(__xludf.DUMMYFUNCTION("REGEXEXTRACT(J1692, ""[A-Za-z ]+$"")")," min")</f>
        <v> min</v>
      </c>
      <c r="AA1692" s="5" t="str">
        <f>IFERROR(__xludf.DUMMYFUNCTION("IF(REGEXMATCH(Z1692, ""Season""), ""TV Show"", ""Movie"")"),"Movie")</f>
        <v>Movie</v>
      </c>
    </row>
    <row r="1693">
      <c r="A1693" s="1" t="s">
        <v>9829</v>
      </c>
      <c r="B1693" s="1" t="s">
        <v>27</v>
      </c>
      <c r="C1693" s="1" t="s">
        <v>9830</v>
      </c>
      <c r="D1693" s="1" t="s">
        <v>9831</v>
      </c>
      <c r="E1693" s="1" t="s">
        <v>9832</v>
      </c>
      <c r="F1693" s="1" t="s">
        <v>897</v>
      </c>
      <c r="G1693" s="1" t="s">
        <v>9833</v>
      </c>
      <c r="H1693" s="1">
        <v>2017.0</v>
      </c>
      <c r="I1693" s="1" t="s">
        <v>506</v>
      </c>
      <c r="J1693" s="1" t="s">
        <v>1608</v>
      </c>
      <c r="K1693" s="1" t="s">
        <v>9834</v>
      </c>
      <c r="L1693" s="1" t="s">
        <v>9835</v>
      </c>
      <c r="M1693" s="2" t="s">
        <v>12</v>
      </c>
      <c r="N1693" s="4">
        <f t="shared" si="1"/>
        <v>44150</v>
      </c>
      <c r="O1693" s="5" t="str">
        <f>IFERROR(__xludf.DUMMYFUNCTION("IF(REGEXMATCH(TRIM(I1693), ""^\d+\s*min""), ""Unclassified"", IF(I1693 = """", ""NR"", I1693))"),"TV-G")</f>
        <v>TV-G</v>
      </c>
      <c r="R1693" s="5" t="str">
        <f t="shared" si="2"/>
        <v>A Very Country Christmas</v>
      </c>
      <c r="S1693" s="5" t="str">
        <f>IFERROR(__xludf.DUMMYFUNCTION("""COMPUTED_VALUE"""),"Cosmic Sin")</f>
        <v>Cosmic Sin</v>
      </c>
      <c r="U1693" s="5" t="str">
        <f>IFERROR(__xludf.DUMMYFUNCTION("""COMPUTED_VALUE"""),"Tom Green")</f>
        <v>Tom Green</v>
      </c>
      <c r="V1693" s="5" t="s">
        <v>9836</v>
      </c>
      <c r="W1693" s="5" t="str">
        <f t="shared" si="3"/>
        <v>J.F. Musial, Josh Vietze</v>
      </c>
      <c r="X1693" s="5">
        <f t="shared" si="4"/>
        <v>1</v>
      </c>
      <c r="Y1693" s="5" t="str">
        <f>IFERROR(__xludf.DUMMYFUNCTION("REGEXEXTRACT(J1693, ""^\d+"")"),"84")</f>
        <v>84</v>
      </c>
      <c r="Z1693" s="5" t="str">
        <f>IFERROR(__xludf.DUMMYFUNCTION("REGEXEXTRACT(J1693, ""[A-Za-z ]+$"")")," min")</f>
        <v> min</v>
      </c>
      <c r="AA1693" s="5" t="str">
        <f>IFERROR(__xludf.DUMMYFUNCTION("IF(REGEXMATCH(Z1693, ""Season""), ""TV Show"", ""Movie"")"),"Movie")</f>
        <v>Movie</v>
      </c>
    </row>
    <row r="1694">
      <c r="A1694" s="1" t="s">
        <v>9837</v>
      </c>
      <c r="B1694" s="1" t="s">
        <v>37</v>
      </c>
      <c r="C1694" s="1" t="s">
        <v>9838</v>
      </c>
      <c r="E1694" s="1" t="s">
        <v>9839</v>
      </c>
      <c r="F1694" s="1" t="s">
        <v>30</v>
      </c>
      <c r="G1694" s="1" t="s">
        <v>9833</v>
      </c>
      <c r="H1694" s="1">
        <v>2013.0</v>
      </c>
      <c r="I1694" s="1" t="s">
        <v>97</v>
      </c>
      <c r="J1694" s="1" t="s">
        <v>43</v>
      </c>
      <c r="K1694" s="1" t="s">
        <v>440</v>
      </c>
      <c r="L1694" s="1" t="s">
        <v>9840</v>
      </c>
      <c r="M1694" s="2" t="s">
        <v>12</v>
      </c>
      <c r="N1694" s="4">
        <f t="shared" si="1"/>
        <v>44150</v>
      </c>
      <c r="O1694" s="5" t="str">
        <f>IFERROR(__xludf.DUMMYFUNCTION("IF(REGEXMATCH(TRIM(I1694), ""^\d+\s*min""), ""Unclassified"", IF(I1694 = """", ""NR"", I1694))"),"TV-14")</f>
        <v>TV-14</v>
      </c>
      <c r="R1694" s="5" t="str">
        <f t="shared" si="2"/>
        <v>America'S Next Top Model</v>
      </c>
      <c r="S1694" s="5" t="str">
        <f>IFERROR(__xludf.DUMMYFUNCTION("""COMPUTED_VALUE"""),"Cosmos Laundromat: First Cycle")</f>
        <v>Cosmos Laundromat: First Cycle</v>
      </c>
      <c r="U1694" s="5" t="str">
        <f>IFERROR(__xludf.DUMMYFUNCTION("""COMPUTED_VALUE"""),"David Lowery")</f>
        <v>David Lowery</v>
      </c>
      <c r="V1694" s="5" t="s">
        <v>3689</v>
      </c>
      <c r="W1694" s="5" t="str">
        <f t="shared" si="3"/>
        <v>J.J. Abrams</v>
      </c>
      <c r="X1694" s="5">
        <f t="shared" si="4"/>
        <v>1</v>
      </c>
      <c r="Y1694" s="5" t="str">
        <f>IFERROR(__xludf.DUMMYFUNCTION("REGEXEXTRACT(J1694, ""^\d+"")"),"2")</f>
        <v>2</v>
      </c>
      <c r="Z1694" s="5" t="str">
        <f>IFERROR(__xludf.DUMMYFUNCTION("REGEXEXTRACT(J1694, ""[A-Za-z ]+$"")")," Seasons")</f>
        <v> Seasons</v>
      </c>
      <c r="AA1694" s="5" t="str">
        <f>IFERROR(__xludf.DUMMYFUNCTION("IF(REGEXMATCH(Z1694, ""Season""), ""TV Show"", ""Movie"")"),"TV Show")</f>
        <v>TV Show</v>
      </c>
    </row>
    <row r="1695">
      <c r="A1695" s="1" t="s">
        <v>9841</v>
      </c>
      <c r="B1695" s="1" t="s">
        <v>37</v>
      </c>
      <c r="C1695" s="1" t="s">
        <v>9842</v>
      </c>
      <c r="E1695" s="1" t="s">
        <v>9843</v>
      </c>
      <c r="F1695" s="1" t="s">
        <v>415</v>
      </c>
      <c r="G1695" s="1" t="s">
        <v>9833</v>
      </c>
      <c r="H1695" s="1">
        <v>2019.0</v>
      </c>
      <c r="I1695" s="1" t="s">
        <v>206</v>
      </c>
      <c r="J1695" s="1" t="s">
        <v>51</v>
      </c>
      <c r="K1695" s="1" t="s">
        <v>623</v>
      </c>
      <c r="L1695" s="1" t="s">
        <v>9844</v>
      </c>
      <c r="M1695" s="2" t="s">
        <v>12</v>
      </c>
      <c r="N1695" s="4">
        <f t="shared" si="1"/>
        <v>44150</v>
      </c>
      <c r="O1695" s="5" t="str">
        <f>IFERROR(__xludf.DUMMYFUNCTION("IF(REGEXMATCH(TRIM(I1695), ""^\d+\s*min""), ""Unclassified"", IF(I1695 = """", ""NR"", I1695))"),"TV-Y")</f>
        <v>TV-Y</v>
      </c>
      <c r="R1695" s="5" t="str">
        <f t="shared" si="2"/>
        <v>Beyblade Burst Rise</v>
      </c>
      <c r="S1695" s="5" t="str">
        <f>IFERROR(__xludf.DUMMYFUNCTION("""COMPUTED_VALUE"""),"Count Me In")</f>
        <v>Count Me In</v>
      </c>
      <c r="U1695" s="5" t="str">
        <f>IFERROR(__xludf.DUMMYFUNCTION("""COMPUTED_VALUE"""),"Maria Ripoll")</f>
        <v>Maria Ripoll</v>
      </c>
      <c r="V1695" s="5" t="s">
        <v>9845</v>
      </c>
      <c r="W1695" s="5" t="str">
        <f t="shared" si="3"/>
        <v>J.M. Berrios</v>
      </c>
      <c r="X1695" s="5">
        <f t="shared" si="4"/>
        <v>1</v>
      </c>
      <c r="Y1695" s="5" t="str">
        <f>IFERROR(__xludf.DUMMYFUNCTION("REGEXEXTRACT(J1695, ""^\d+"")"),"1")</f>
        <v>1</v>
      </c>
      <c r="Z1695" s="5" t="str">
        <f>IFERROR(__xludf.DUMMYFUNCTION("REGEXEXTRACT(J1695, ""[A-Za-z ]+$"")")," Season")</f>
        <v> Season</v>
      </c>
      <c r="AA1695" s="5" t="str">
        <f>IFERROR(__xludf.DUMMYFUNCTION("IF(REGEXMATCH(Z1695, ""Season""), ""TV Show"", ""Movie"")"),"TV Show")</f>
        <v>TV Show</v>
      </c>
    </row>
    <row r="1696">
      <c r="A1696" s="1" t="s">
        <v>9846</v>
      </c>
      <c r="B1696" s="1" t="s">
        <v>27</v>
      </c>
      <c r="C1696" s="1" t="s">
        <v>9847</v>
      </c>
      <c r="D1696" s="1" t="s">
        <v>5111</v>
      </c>
      <c r="E1696" s="1" t="s">
        <v>9848</v>
      </c>
      <c r="F1696" s="1" t="s">
        <v>30</v>
      </c>
      <c r="G1696" s="1" t="s">
        <v>9833</v>
      </c>
      <c r="H1696" s="1">
        <v>2013.0</v>
      </c>
      <c r="I1696" s="1" t="s">
        <v>78</v>
      </c>
      <c r="J1696" s="1" t="s">
        <v>465</v>
      </c>
      <c r="K1696" s="1" t="s">
        <v>137</v>
      </c>
      <c r="L1696" s="1" t="s">
        <v>9849</v>
      </c>
      <c r="M1696" s="2" t="s">
        <v>12</v>
      </c>
      <c r="N1696" s="4">
        <f t="shared" si="1"/>
        <v>44150</v>
      </c>
      <c r="O1696" s="5" t="str">
        <f>IFERROR(__xludf.DUMMYFUNCTION("IF(REGEXMATCH(TRIM(I1696), ""^\d+\s*min""), ""Unclassified"", IF(I1696 = """", ""NR"", I1696))"),"PG")</f>
        <v>PG</v>
      </c>
      <c r="R1696" s="5" t="str">
        <f t="shared" si="2"/>
        <v>Cloudy With A Chance Of Meatballs 2</v>
      </c>
      <c r="S1696" s="5" t="str">
        <f>IFERROR(__xludf.DUMMYFUNCTION("""COMPUTED_VALUE"""),"Countdown To Death: Pablo Escobar")</f>
        <v>Countdown To Death: Pablo Escobar</v>
      </c>
      <c r="U1696" s="5" t="str">
        <f>IFERROR(__xludf.DUMMYFUNCTION("""COMPUTED_VALUE"""),"Yibrán Asuad")</f>
        <v>Yibrán Asuad</v>
      </c>
      <c r="V1696" s="5" t="s">
        <v>9850</v>
      </c>
      <c r="W1696" s="5" t="str">
        <f t="shared" si="3"/>
        <v>Jacek Koprowicz</v>
      </c>
      <c r="X1696" s="5">
        <f t="shared" si="4"/>
        <v>1</v>
      </c>
      <c r="Y1696" s="5" t="str">
        <f>IFERROR(__xludf.DUMMYFUNCTION("REGEXEXTRACT(J1696, ""^\d+"")"),"95")</f>
        <v>95</v>
      </c>
      <c r="Z1696" s="5" t="str">
        <f>IFERROR(__xludf.DUMMYFUNCTION("REGEXEXTRACT(J1696, ""[A-Za-z ]+$"")")," min")</f>
        <v> min</v>
      </c>
      <c r="AA1696" s="5" t="str">
        <f>IFERROR(__xludf.DUMMYFUNCTION("IF(REGEXMATCH(Z1696, ""Season""), ""TV Show"", ""Movie"")"),"Movie")</f>
        <v>Movie</v>
      </c>
    </row>
    <row r="1697">
      <c r="A1697" s="1" t="s">
        <v>9851</v>
      </c>
      <c r="B1697" s="1" t="s">
        <v>27</v>
      </c>
      <c r="C1697" s="1" t="s">
        <v>9852</v>
      </c>
      <c r="D1697" s="1" t="s">
        <v>9831</v>
      </c>
      <c r="E1697" s="1" t="s">
        <v>9853</v>
      </c>
      <c r="F1697" s="1" t="s">
        <v>1106</v>
      </c>
      <c r="G1697" s="1" t="s">
        <v>9833</v>
      </c>
      <c r="H1697" s="1">
        <v>2018.0</v>
      </c>
      <c r="I1697" s="1" t="s">
        <v>506</v>
      </c>
      <c r="J1697" s="1" t="s">
        <v>1608</v>
      </c>
      <c r="K1697" s="1" t="s">
        <v>9854</v>
      </c>
      <c r="L1697" s="1" t="s">
        <v>9855</v>
      </c>
      <c r="M1697" s="2" t="s">
        <v>12</v>
      </c>
      <c r="N1697" s="4">
        <f t="shared" si="1"/>
        <v>44150</v>
      </c>
      <c r="O1697" s="5" t="str">
        <f>IFERROR(__xludf.DUMMYFUNCTION("IF(REGEXMATCH(TRIM(I1697), ""^\d+\s*min""), ""Unclassified"", IF(I1697 = """", ""NR"", I1697))"),"TV-G")</f>
        <v>TV-G</v>
      </c>
      <c r="R1697" s="5" t="str">
        <f t="shared" si="2"/>
        <v>Hometown Holiday</v>
      </c>
      <c r="S1697" s="5" t="str">
        <f>IFERROR(__xludf.DUMMYFUNCTION("""COMPUTED_VALUE"""),"Countdown: Inspiration4 Mission To Space")</f>
        <v>Countdown: Inspiration4 Mission To Space</v>
      </c>
      <c r="U1697" s="5" t="str">
        <f>IFERROR(__xludf.DUMMYFUNCTION("""COMPUTED_VALUE"""),"Edwin")</f>
        <v>Edwin</v>
      </c>
      <c r="V1697" s="5" t="s">
        <v>9856</v>
      </c>
      <c r="W1697" s="5" t="str">
        <f t="shared" si="3"/>
        <v>Jack C. Newell</v>
      </c>
      <c r="X1697" s="5">
        <f t="shared" si="4"/>
        <v>2</v>
      </c>
      <c r="Y1697" s="5" t="str">
        <f>IFERROR(__xludf.DUMMYFUNCTION("REGEXEXTRACT(J1697, ""^\d+"")"),"84")</f>
        <v>84</v>
      </c>
      <c r="Z1697" s="5" t="str">
        <f>IFERROR(__xludf.DUMMYFUNCTION("REGEXEXTRACT(J1697, ""[A-Za-z ]+$"")")," min")</f>
        <v> min</v>
      </c>
      <c r="AA1697" s="5" t="str">
        <f>IFERROR(__xludf.DUMMYFUNCTION("IF(REGEXMATCH(Z1697, ""Season""), ""TV Show"", ""Movie"")"),"Movie")</f>
        <v>Movie</v>
      </c>
    </row>
    <row r="1698">
      <c r="A1698" s="1" t="s">
        <v>9857</v>
      </c>
      <c r="B1698" s="1" t="s">
        <v>37</v>
      </c>
      <c r="C1698" s="1" t="s">
        <v>9858</v>
      </c>
      <c r="E1698" s="1" t="s">
        <v>9859</v>
      </c>
      <c r="F1698" s="1" t="s">
        <v>9860</v>
      </c>
      <c r="G1698" s="1" t="s">
        <v>9833</v>
      </c>
      <c r="H1698" s="1">
        <v>2021.0</v>
      </c>
      <c r="I1698" s="1" t="s">
        <v>206</v>
      </c>
      <c r="J1698" s="1" t="s">
        <v>43</v>
      </c>
      <c r="K1698" s="1" t="s">
        <v>290</v>
      </c>
      <c r="L1698" s="1" t="s">
        <v>9861</v>
      </c>
      <c r="M1698" s="2" t="s">
        <v>12</v>
      </c>
      <c r="N1698" s="4">
        <f t="shared" si="1"/>
        <v>44150</v>
      </c>
      <c r="O1698" s="5" t="str">
        <f>IFERROR(__xludf.DUMMYFUNCTION("IF(REGEXMATCH(TRIM(I1698), ""^\d+\s*min""), ""Unclassified"", IF(I1698 = """", ""NR"", I1698))"),"TV-Y")</f>
        <v>TV-Y</v>
      </c>
      <c r="R1698" s="5" t="str">
        <f t="shared" si="2"/>
        <v>Polly Pocket</v>
      </c>
      <c r="S1698" s="5" t="str">
        <f>IFERROR(__xludf.DUMMYFUNCTION("""COMPUTED_VALUE"""),"Counterfeiting In Suburbia")</f>
        <v>Counterfeiting In Suburbia</v>
      </c>
      <c r="U1698" s="5" t="str">
        <f>IFERROR(__xludf.DUMMYFUNCTION("""COMPUTED_VALUE"""),"Vadim Jean")</f>
        <v>Vadim Jean</v>
      </c>
      <c r="V1698" s="5" t="s">
        <v>9862</v>
      </c>
      <c r="W1698" s="5" t="str">
        <f t="shared" si="3"/>
        <v>Jack Starrett</v>
      </c>
      <c r="X1698" s="5">
        <f t="shared" si="4"/>
        <v>1</v>
      </c>
      <c r="Y1698" s="5" t="str">
        <f>IFERROR(__xludf.DUMMYFUNCTION("REGEXEXTRACT(J1698, ""^\d+"")"),"2")</f>
        <v>2</v>
      </c>
      <c r="Z1698" s="5" t="str">
        <f>IFERROR(__xludf.DUMMYFUNCTION("REGEXEXTRACT(J1698, ""[A-Za-z ]+$"")")," Seasons")</f>
        <v> Seasons</v>
      </c>
      <c r="AA1698" s="5" t="str">
        <f>IFERROR(__xludf.DUMMYFUNCTION("IF(REGEXMATCH(Z1698, ""Season""), ""TV Show"", ""Movie"")"),"TV Show")</f>
        <v>TV Show</v>
      </c>
    </row>
    <row r="1699">
      <c r="A1699" s="1" t="s">
        <v>9863</v>
      </c>
      <c r="B1699" s="1" t="s">
        <v>37</v>
      </c>
      <c r="C1699" s="1" t="s">
        <v>9864</v>
      </c>
      <c r="E1699" s="1" t="s">
        <v>9865</v>
      </c>
      <c r="F1699" s="1" t="s">
        <v>30</v>
      </c>
      <c r="G1699" s="1" t="s">
        <v>9833</v>
      </c>
      <c r="H1699" s="1">
        <v>2014.0</v>
      </c>
      <c r="I1699" s="1" t="s">
        <v>97</v>
      </c>
      <c r="J1699" s="1" t="s">
        <v>43</v>
      </c>
      <c r="K1699" s="1" t="s">
        <v>440</v>
      </c>
      <c r="L1699" s="1" t="s">
        <v>9866</v>
      </c>
      <c r="M1699" s="2" t="s">
        <v>12</v>
      </c>
      <c r="N1699" s="4">
        <f t="shared" si="1"/>
        <v>44150</v>
      </c>
      <c r="O1699" s="5" t="str">
        <f>IFERROR(__xludf.DUMMYFUNCTION("IF(REGEXMATCH(TRIM(I1699), ""^\d+\s*min""), ""Unclassified"", IF(I1699 = """", ""NR"", I1699))"),"TV-14")</f>
        <v>TV-14</v>
      </c>
      <c r="R1699" s="5" t="str">
        <f t="shared" si="2"/>
        <v>Survivor</v>
      </c>
      <c r="S1699" s="5" t="str">
        <f>IFERROR(__xludf.DUMMYFUNCTION("""COMPUTED_VALUE"""),"Counterpunch")</f>
        <v>Counterpunch</v>
      </c>
      <c r="U1699" s="5" t="str">
        <f>IFERROR(__xludf.DUMMYFUNCTION("""COMPUTED_VALUE"""),"Mark A.Z. Dippé, Kyung Ho Lee")</f>
        <v>Mark A.Z. Dippé, Kyung Ho Lee</v>
      </c>
      <c r="V1699" s="5" t="s">
        <v>9867</v>
      </c>
      <c r="W1699" s="5" t="str">
        <f t="shared" si="3"/>
        <v>Jack Zagha Kababie</v>
      </c>
      <c r="X1699" s="5">
        <f t="shared" si="4"/>
        <v>1</v>
      </c>
      <c r="Y1699" s="5" t="str">
        <f>IFERROR(__xludf.DUMMYFUNCTION("REGEXEXTRACT(J1699, ""^\d+"")"),"2")</f>
        <v>2</v>
      </c>
      <c r="Z1699" s="5" t="str">
        <f>IFERROR(__xludf.DUMMYFUNCTION("REGEXEXTRACT(J1699, ""[A-Za-z ]+$"")")," Seasons")</f>
        <v> Seasons</v>
      </c>
      <c r="AA1699" s="5" t="str">
        <f>IFERROR(__xludf.DUMMYFUNCTION("IF(REGEXMATCH(Z1699, ""Season""), ""TV Show"", ""Movie"")"),"TV Show")</f>
        <v>TV Show</v>
      </c>
    </row>
    <row r="1700">
      <c r="A1700" s="1" t="s">
        <v>9868</v>
      </c>
      <c r="B1700" s="1" t="s">
        <v>37</v>
      </c>
      <c r="C1700" s="1" t="s">
        <v>9869</v>
      </c>
      <c r="E1700" s="1" t="s">
        <v>9870</v>
      </c>
      <c r="F1700" s="1" t="s">
        <v>686</v>
      </c>
      <c r="G1700" s="1" t="s">
        <v>9833</v>
      </c>
      <c r="H1700" s="1">
        <v>2020.0</v>
      </c>
      <c r="I1700" s="1" t="s">
        <v>42</v>
      </c>
      <c r="J1700" s="1" t="s">
        <v>148</v>
      </c>
      <c r="K1700" s="1" t="s">
        <v>3361</v>
      </c>
      <c r="L1700" s="1" t="s">
        <v>9871</v>
      </c>
      <c r="M1700" s="2" t="s">
        <v>12</v>
      </c>
      <c r="N1700" s="4">
        <f t="shared" si="1"/>
        <v>44150</v>
      </c>
      <c r="O1700" s="5" t="str">
        <f>IFERROR(__xludf.DUMMYFUNCTION("IF(REGEXMATCH(TRIM(I1700), ""^\d+\s*min""), ""Unclassified"", IF(I1700 = """", ""NR"", I1700))"),"TV-MA")</f>
        <v>TV-MA</v>
      </c>
      <c r="R1700" s="5" t="str">
        <f t="shared" si="2"/>
        <v>The Crown</v>
      </c>
      <c r="S1700" s="5" t="str">
        <f>IFERROR(__xludf.DUMMYFUNCTION("""COMPUTED_VALUE"""),"Country Comfort")</f>
        <v>Country Comfort</v>
      </c>
      <c r="U1700" s="5" t="str">
        <f>IFERROR(__xludf.DUMMYFUNCTION("""COMPUTED_VALUE"""),"Mark A.Z. Dippé, Eondeok Han")</f>
        <v>Mark A.Z. Dippé, Eondeok Han</v>
      </c>
      <c r="V1700" s="5" t="s">
        <v>9872</v>
      </c>
      <c r="W1700" s="5" t="str">
        <f t="shared" si="3"/>
        <v>Jackie Van Beek, Madeleine Sami</v>
      </c>
      <c r="X1700" s="5">
        <f t="shared" si="4"/>
        <v>1</v>
      </c>
      <c r="Y1700" s="5" t="str">
        <f>IFERROR(__xludf.DUMMYFUNCTION("REGEXEXTRACT(J1700, ""^\d+"")"),"4")</f>
        <v>4</v>
      </c>
      <c r="Z1700" s="5" t="str">
        <f>IFERROR(__xludf.DUMMYFUNCTION("REGEXEXTRACT(J1700, ""[A-Za-z ]+$"")")," Seasons")</f>
        <v> Seasons</v>
      </c>
      <c r="AA1700" s="5" t="str">
        <f>IFERROR(__xludf.DUMMYFUNCTION("IF(REGEXMATCH(Z1700, ""Season""), ""TV Show"", ""Movie"")"),"TV Show")</f>
        <v>TV Show</v>
      </c>
    </row>
    <row r="1701">
      <c r="A1701" s="1" t="s">
        <v>9873</v>
      </c>
      <c r="B1701" s="1" t="s">
        <v>27</v>
      </c>
      <c r="C1701" s="1" t="s">
        <v>9874</v>
      </c>
      <c r="D1701" s="1" t="s">
        <v>9875</v>
      </c>
      <c r="E1701" s="1" t="s">
        <v>9876</v>
      </c>
      <c r="F1701" s="1" t="s">
        <v>30</v>
      </c>
      <c r="G1701" s="1" t="s">
        <v>9833</v>
      </c>
      <c r="H1701" s="1">
        <v>1954.0</v>
      </c>
      <c r="I1701" s="1" t="s">
        <v>506</v>
      </c>
      <c r="J1701" s="1" t="s">
        <v>985</v>
      </c>
      <c r="K1701" s="1" t="s">
        <v>9877</v>
      </c>
      <c r="L1701" s="1" t="s">
        <v>9878</v>
      </c>
      <c r="M1701" s="2" t="s">
        <v>12</v>
      </c>
      <c r="N1701" s="4">
        <f t="shared" si="1"/>
        <v>44150</v>
      </c>
      <c r="O1701" s="5" t="str">
        <f>IFERROR(__xludf.DUMMYFUNCTION("IF(REGEXMATCH(TRIM(I1701), ""^\d+\s*min""), ""Unclassified"", IF(I1701 = """", ""NR"", I1701))"),"TV-G")</f>
        <v>TV-G</v>
      </c>
      <c r="R1701" s="5" t="str">
        <f t="shared" si="2"/>
        <v>White Christmas</v>
      </c>
      <c r="S1701" s="5" t="str">
        <f>IFERROR(__xludf.DUMMYFUNCTION("""COMPUTED_VALUE"""),"Country Ever After")</f>
        <v>Country Ever After</v>
      </c>
      <c r="U1701" s="5" t="str">
        <f>IFERROR(__xludf.DUMMYFUNCTION("""COMPUTED_VALUE"""),"Mark A.Z. Dippé")</f>
        <v>Mark A.Z. Dippé</v>
      </c>
      <c r="V1701" s="5" t="s">
        <v>9879</v>
      </c>
      <c r="W1701" s="5" t="str">
        <f t="shared" si="3"/>
        <v>Jacob Joice</v>
      </c>
      <c r="X1701" s="5">
        <f t="shared" si="4"/>
        <v>1</v>
      </c>
      <c r="Y1701" s="5" t="str">
        <f>IFERROR(__xludf.DUMMYFUNCTION("REGEXEXTRACT(J1701, ""^\d+"")"),"120")</f>
        <v>120</v>
      </c>
      <c r="Z1701" s="5" t="str">
        <f>IFERROR(__xludf.DUMMYFUNCTION("REGEXEXTRACT(J1701, ""[A-Za-z ]+$"")")," min")</f>
        <v> min</v>
      </c>
      <c r="AA1701" s="5" t="str">
        <f>IFERROR(__xludf.DUMMYFUNCTION("IF(REGEXMATCH(Z1701, ""Season""), ""TV Show"", ""Movie"")"),"Movie")</f>
        <v>Movie</v>
      </c>
    </row>
    <row r="1702">
      <c r="A1702" s="1" t="s">
        <v>9880</v>
      </c>
      <c r="B1702" s="1" t="s">
        <v>27</v>
      </c>
      <c r="C1702" s="1" t="s">
        <v>9881</v>
      </c>
      <c r="D1702" s="1" t="s">
        <v>5364</v>
      </c>
      <c r="E1702" s="1" t="s">
        <v>9882</v>
      </c>
      <c r="F1702" s="1" t="s">
        <v>30</v>
      </c>
      <c r="G1702" s="1" t="s">
        <v>9883</v>
      </c>
      <c r="H1702" s="1">
        <v>2019.0</v>
      </c>
      <c r="I1702" s="1" t="s">
        <v>97</v>
      </c>
      <c r="J1702" s="1" t="s">
        <v>630</v>
      </c>
      <c r="K1702" s="1" t="s">
        <v>171</v>
      </c>
      <c r="L1702" s="1" t="s">
        <v>9884</v>
      </c>
      <c r="M1702" s="2" t="s">
        <v>12</v>
      </c>
      <c r="N1702" s="4">
        <f t="shared" si="1"/>
        <v>44149</v>
      </c>
      <c r="O1702" s="5" t="str">
        <f>IFERROR(__xludf.DUMMYFUNCTION("IF(REGEXMATCH(TRIM(I1702), ""^\d+\s*min""), ""Unclassified"", IF(I1702 = """", ""NR"", I1702))"),"TV-14")</f>
        <v>TV-14</v>
      </c>
      <c r="R1702" s="5" t="str">
        <f t="shared" si="2"/>
        <v>Killer Cove</v>
      </c>
      <c r="S1702" s="5" t="str">
        <f>IFERROR(__xludf.DUMMYFUNCTION("""COMPUTED_VALUE"""),"Couple Of Days")</f>
        <v>Couple Of Days</v>
      </c>
      <c r="U1702" s="5" t="str">
        <f>IFERROR(__xludf.DUMMYFUNCTION("""COMPUTED_VALUE"""),"John A. Davis")</f>
        <v>John A. Davis</v>
      </c>
      <c r="V1702" s="5" t="s">
        <v>9885</v>
      </c>
      <c r="W1702" s="5" t="str">
        <f t="shared" si="3"/>
        <v>Jacob Joice, Steve Ball</v>
      </c>
      <c r="X1702" s="5">
        <f t="shared" si="4"/>
        <v>1</v>
      </c>
      <c r="Y1702" s="5" t="str">
        <f>IFERROR(__xludf.DUMMYFUNCTION("REGEXEXTRACT(J1702, ""^\d+"")"),"87")</f>
        <v>87</v>
      </c>
      <c r="Z1702" s="5" t="str">
        <f>IFERROR(__xludf.DUMMYFUNCTION("REGEXEXTRACT(J1702, ""[A-Za-z ]+$"")")," min")</f>
        <v> min</v>
      </c>
      <c r="AA1702" s="5" t="str">
        <f>IFERROR(__xludf.DUMMYFUNCTION("IF(REGEXMATCH(Z1702, ""Season""), ""TV Show"", ""Movie"")"),"Movie")</f>
        <v>Movie</v>
      </c>
    </row>
    <row r="1703">
      <c r="A1703" s="1" t="s">
        <v>9886</v>
      </c>
      <c r="B1703" s="1" t="s">
        <v>37</v>
      </c>
      <c r="C1703" s="1" t="s">
        <v>9887</v>
      </c>
      <c r="E1703" s="1" t="s">
        <v>9888</v>
      </c>
      <c r="F1703" s="1" t="s">
        <v>30</v>
      </c>
      <c r="G1703" s="1" t="s">
        <v>9889</v>
      </c>
      <c r="H1703" s="1">
        <v>2019.0</v>
      </c>
      <c r="I1703" s="1" t="s">
        <v>42</v>
      </c>
      <c r="J1703" s="1" t="s">
        <v>98</v>
      </c>
      <c r="K1703" s="1" t="s">
        <v>6344</v>
      </c>
      <c r="L1703" s="1" t="s">
        <v>9890</v>
      </c>
      <c r="M1703" s="2" t="s">
        <v>12</v>
      </c>
      <c r="N1703" s="4">
        <f t="shared" si="1"/>
        <v>44148</v>
      </c>
      <c r="O1703" s="5" t="str">
        <f>IFERROR(__xludf.DUMMYFUNCTION("IF(REGEXMATCH(TRIM(I1703), ""^\d+\s*min""), ""Unclassified"", IF(I1703 = """", ""NR"", I1703))"),"TV-MA")</f>
        <v>TV-MA</v>
      </c>
      <c r="R1703" s="5" t="str">
        <f t="shared" si="2"/>
        <v>American Horror Story</v>
      </c>
      <c r="S1703" s="5" t="str">
        <f>IFERROR(__xludf.DUMMYFUNCTION("""COMPUTED_VALUE"""),"Couples Counseling")</f>
        <v>Couples Counseling</v>
      </c>
      <c r="U1703" s="5" t="str">
        <f>IFERROR(__xludf.DUMMYFUNCTION("""COMPUTED_VALUE"""),"Justin Webster")</f>
        <v>Justin Webster</v>
      </c>
      <c r="V1703" s="5" t="s">
        <v>9891</v>
      </c>
      <c r="W1703" s="5" t="str">
        <f t="shared" si="3"/>
        <v>Jacob Kornbluth</v>
      </c>
      <c r="X1703" s="5">
        <f t="shared" si="4"/>
        <v>2</v>
      </c>
      <c r="Y1703" s="5" t="str">
        <f>IFERROR(__xludf.DUMMYFUNCTION("REGEXEXTRACT(J1703, ""^\d+"")"),"9")</f>
        <v>9</v>
      </c>
      <c r="Z1703" s="5" t="str">
        <f>IFERROR(__xludf.DUMMYFUNCTION("REGEXEXTRACT(J1703, ""[A-Za-z ]+$"")")," Seasons")</f>
        <v> Seasons</v>
      </c>
      <c r="AA1703" s="5" t="str">
        <f>IFERROR(__xludf.DUMMYFUNCTION("IF(REGEXMATCH(Z1703, ""Season""), ""TV Show"", ""Movie"")"),"TV Show")</f>
        <v>TV Show</v>
      </c>
    </row>
    <row r="1704">
      <c r="A1704" s="1" t="s">
        <v>9892</v>
      </c>
      <c r="B1704" s="1" t="s">
        <v>27</v>
      </c>
      <c r="C1704" s="1" t="s">
        <v>9893</v>
      </c>
      <c r="D1704" s="1" t="s">
        <v>2814</v>
      </c>
      <c r="E1704" s="1" t="s">
        <v>9894</v>
      </c>
      <c r="F1704" s="1" t="s">
        <v>63</v>
      </c>
      <c r="G1704" s="1" t="s">
        <v>9889</v>
      </c>
      <c r="H1704" s="1">
        <v>2020.0</v>
      </c>
      <c r="I1704" s="1" t="s">
        <v>289</v>
      </c>
      <c r="J1704" s="1" t="s">
        <v>6281</v>
      </c>
      <c r="K1704" s="1" t="s">
        <v>137</v>
      </c>
      <c r="L1704" s="1" t="s">
        <v>9895</v>
      </c>
      <c r="M1704" s="2" t="s">
        <v>12</v>
      </c>
      <c r="N1704" s="4">
        <f t="shared" si="1"/>
        <v>44148</v>
      </c>
      <c r="O1704" s="5" t="str">
        <f>IFERROR(__xludf.DUMMYFUNCTION("IF(REGEXMATCH(TRIM(I1704), ""^\d+\s*min""), ""Unclassified"", IF(I1704 = """", ""NR"", I1704))"),"TV-Y7")</f>
        <v>TV-Y7</v>
      </c>
      <c r="R1704" s="5" t="str">
        <f t="shared" si="2"/>
        <v>Fukrey Boyzzz: Space Mein Fukrapanti</v>
      </c>
      <c r="S1704" s="5" t="str">
        <f>IFERROR(__xludf.DUMMYFUNCTION("""COMPUTED_VALUE"""),"Court Justice")</f>
        <v>Court Justice</v>
      </c>
      <c r="U1704" s="5" t="str">
        <f>IFERROR(__xludf.DUMMYFUNCTION("""COMPUTED_VALUE"""),"Tetsuo Yajima")</f>
        <v>Tetsuo Yajima</v>
      </c>
      <c r="V1704" s="5" t="s">
        <v>9896</v>
      </c>
      <c r="W1704" s="5" t="str">
        <f t="shared" si="3"/>
        <v>Jacob Lamendola</v>
      </c>
      <c r="X1704" s="5">
        <f t="shared" si="4"/>
        <v>1</v>
      </c>
      <c r="Y1704" s="5" t="str">
        <f>IFERROR(__xludf.DUMMYFUNCTION("REGEXEXTRACT(J1704, ""^\d+"")"),"75")</f>
        <v>75</v>
      </c>
      <c r="Z1704" s="5" t="str">
        <f>IFERROR(__xludf.DUMMYFUNCTION("REGEXEXTRACT(J1704, ""[A-Za-z ]+$"")")," min")</f>
        <v> min</v>
      </c>
      <c r="AA1704" s="5" t="str">
        <f>IFERROR(__xludf.DUMMYFUNCTION("IF(REGEXMATCH(Z1704, ""Season""), ""TV Show"", ""Movie"")"),"Movie")</f>
        <v>Movie</v>
      </c>
    </row>
    <row r="1705">
      <c r="A1705" s="1" t="s">
        <v>9897</v>
      </c>
      <c r="B1705" s="1" t="s">
        <v>27</v>
      </c>
      <c r="C1705" s="1" t="s">
        <v>9898</v>
      </c>
      <c r="D1705" s="1" t="s">
        <v>5894</v>
      </c>
      <c r="E1705" s="1" t="s">
        <v>9899</v>
      </c>
      <c r="F1705" s="1" t="s">
        <v>30</v>
      </c>
      <c r="G1705" s="1" t="s">
        <v>9889</v>
      </c>
      <c r="H1705" s="1">
        <v>2020.0</v>
      </c>
      <c r="I1705" s="1" t="s">
        <v>78</v>
      </c>
      <c r="J1705" s="1" t="s">
        <v>341</v>
      </c>
      <c r="K1705" s="1" t="s">
        <v>920</v>
      </c>
      <c r="L1705" s="1" t="s">
        <v>9900</v>
      </c>
      <c r="M1705" s="2" t="s">
        <v>12</v>
      </c>
      <c r="N1705" s="4">
        <f t="shared" si="1"/>
        <v>44148</v>
      </c>
      <c r="O1705" s="5" t="str">
        <f>IFERROR(__xludf.DUMMYFUNCTION("IF(REGEXMATCH(TRIM(I1705), ""^\d+\s*min""), ""Unclassified"", IF(I1705 = """", ""NR"", I1705))"),"PG")</f>
        <v>PG</v>
      </c>
      <c r="R1705" s="5" t="str">
        <f t="shared" si="2"/>
        <v>Jingle Jangle: A Christmas Journey</v>
      </c>
      <c r="S1705" s="5" t="str">
        <f>IFERROR(__xludf.DUMMYFUNCTION("""COMPUTED_VALUE"""),"Cousins")</f>
        <v>Cousins</v>
      </c>
      <c r="U1705" s="5" t="str">
        <f>IFERROR(__xludf.DUMMYFUNCTION("""COMPUTED_VALUE"""),"John Lyde")</f>
        <v>John Lyde</v>
      </c>
      <c r="V1705" s="5" t="s">
        <v>9901</v>
      </c>
      <c r="W1705" s="5" t="str">
        <f t="shared" si="3"/>
        <v>Jacob Schwab</v>
      </c>
      <c r="X1705" s="5">
        <f t="shared" si="4"/>
        <v>1</v>
      </c>
      <c r="Y1705" s="5" t="str">
        <f>IFERROR(__xludf.DUMMYFUNCTION("REGEXEXTRACT(J1705, ""^\d+"")"),"124")</f>
        <v>124</v>
      </c>
      <c r="Z1705" s="5" t="str">
        <f>IFERROR(__xludf.DUMMYFUNCTION("REGEXEXTRACT(J1705, ""[A-Za-z ]+$"")")," min")</f>
        <v> min</v>
      </c>
      <c r="AA1705" s="5" t="str">
        <f>IFERROR(__xludf.DUMMYFUNCTION("IF(REGEXMATCH(Z1705, ""Season""), ""TV Show"", ""Movie"")"),"Movie")</f>
        <v>Movie</v>
      </c>
    </row>
    <row r="1706">
      <c r="A1706" s="1" t="s">
        <v>9902</v>
      </c>
      <c r="B1706" s="1" t="s">
        <v>27</v>
      </c>
      <c r="C1706" s="1" t="s">
        <v>9903</v>
      </c>
      <c r="D1706" s="1" t="s">
        <v>9904</v>
      </c>
      <c r="F1706" s="1" t="s">
        <v>1992</v>
      </c>
      <c r="G1706" s="1" t="s">
        <v>9889</v>
      </c>
      <c r="H1706" s="1">
        <v>2020.0</v>
      </c>
      <c r="I1706" s="1" t="s">
        <v>136</v>
      </c>
      <c r="J1706" s="1" t="s">
        <v>665</v>
      </c>
      <c r="K1706" s="1" t="s">
        <v>156</v>
      </c>
      <c r="L1706" s="1" t="s">
        <v>9905</v>
      </c>
      <c r="M1706" s="2" t="s">
        <v>12</v>
      </c>
      <c r="N1706" s="4">
        <f t="shared" si="1"/>
        <v>44148</v>
      </c>
      <c r="O1706" s="5" t="str">
        <f>IFERROR(__xludf.DUMMYFUNCTION("IF(REGEXMATCH(TRIM(I1706), ""^\d+\s*min""), ""Unclassified"", IF(I1706 = """", ""NR"", I1706))"),"TV-PG")</f>
        <v>TV-PG</v>
      </c>
      <c r="R1706" s="5" t="str">
        <f t="shared" si="2"/>
        <v>The Beginning Of Life 2: Outside</v>
      </c>
      <c r="S1706" s="5" t="str">
        <f>IFERROR(__xludf.DUMMYFUNCTION("""COMPUTED_VALUE"""),"Coven Of Sisters")</f>
        <v>Coven Of Sisters</v>
      </c>
      <c r="U1706" s="5" t="str">
        <f>IFERROR(__xludf.DUMMYFUNCTION("""COMPUTED_VALUE"""),"Steve Rash")</f>
        <v>Steve Rash</v>
      </c>
      <c r="V1706" s="5" t="s">
        <v>9906</v>
      </c>
      <c r="W1706" s="5" t="str">
        <f t="shared" si="3"/>
        <v>Jacques Perrin, Jacques Cluzaud</v>
      </c>
      <c r="X1706" s="5">
        <f t="shared" si="4"/>
        <v>1</v>
      </c>
      <c r="Y1706" s="5" t="str">
        <f>IFERROR(__xludf.DUMMYFUNCTION("REGEXEXTRACT(J1706, ""^\d+"")"),"92")</f>
        <v>92</v>
      </c>
      <c r="Z1706" s="5" t="str">
        <f>IFERROR(__xludf.DUMMYFUNCTION("REGEXEXTRACT(J1706, ""[A-Za-z ]+$"")")," min")</f>
        <v> min</v>
      </c>
      <c r="AA1706" s="5" t="str">
        <f>IFERROR(__xludf.DUMMYFUNCTION("IF(REGEXMATCH(Z1706, ""Season""), ""TV Show"", ""Movie"")"),"Movie")</f>
        <v>Movie</v>
      </c>
    </row>
    <row r="1707">
      <c r="A1707" s="1" t="s">
        <v>9907</v>
      </c>
      <c r="B1707" s="1" t="s">
        <v>27</v>
      </c>
      <c r="C1707" s="1" t="s">
        <v>9908</v>
      </c>
      <c r="D1707" s="1" t="s">
        <v>6810</v>
      </c>
      <c r="E1707" s="1" t="s">
        <v>9909</v>
      </c>
      <c r="F1707" s="1" t="s">
        <v>1779</v>
      </c>
      <c r="G1707" s="1" t="s">
        <v>9889</v>
      </c>
      <c r="H1707" s="1">
        <v>2020.0</v>
      </c>
      <c r="I1707" s="1" t="s">
        <v>32</v>
      </c>
      <c r="J1707" s="1" t="s">
        <v>465</v>
      </c>
      <c r="K1707" s="1" t="s">
        <v>128</v>
      </c>
      <c r="L1707" s="1" t="s">
        <v>9910</v>
      </c>
      <c r="M1707" s="2" t="s">
        <v>12</v>
      </c>
      <c r="N1707" s="4">
        <f t="shared" si="1"/>
        <v>44148</v>
      </c>
      <c r="O1707" s="5" t="str">
        <f>IFERROR(__xludf.DUMMYFUNCTION("IF(REGEXMATCH(TRIM(I1707), ""^\d+\s*min""), ""Unclassified"", IF(I1707 = """", ""NR"", I1707))"),"PG-13")</f>
        <v>PG-13</v>
      </c>
      <c r="R1707" s="5" t="str">
        <f t="shared" si="2"/>
        <v>The Life Ahead</v>
      </c>
      <c r="S1707" s="5" t="str">
        <f>IFERROR(__xludf.DUMMYFUNCTION("""COMPUTED_VALUE"""),"Covered: Alive In Asia")</f>
        <v>Covered: Alive In Asia</v>
      </c>
      <c r="U1707" s="5" t="str">
        <f>IFERROR(__xludf.DUMMYFUNCTION("""COMPUTED_VALUE"""),"Ravi Babu")</f>
        <v>Ravi Babu</v>
      </c>
      <c r="V1707" s="5" t="s">
        <v>9911</v>
      </c>
      <c r="W1707" s="5" t="str">
        <f t="shared" si="3"/>
        <v>Jadesola Osiberu</v>
      </c>
      <c r="X1707" s="5">
        <f t="shared" si="4"/>
        <v>1</v>
      </c>
      <c r="Y1707" s="5" t="str">
        <f>IFERROR(__xludf.DUMMYFUNCTION("REGEXEXTRACT(J1707, ""^\d+"")"),"95")</f>
        <v>95</v>
      </c>
      <c r="Z1707" s="5" t="str">
        <f>IFERROR(__xludf.DUMMYFUNCTION("REGEXEXTRACT(J1707, ""[A-Za-z ]+$"")")," min")</f>
        <v> min</v>
      </c>
      <c r="AA1707" s="5" t="str">
        <f>IFERROR(__xludf.DUMMYFUNCTION("IF(REGEXMATCH(Z1707, ""Season""), ""TV Show"", ""Movie"")"),"Movie")</f>
        <v>Movie</v>
      </c>
    </row>
    <row r="1708">
      <c r="A1708" s="1" t="s">
        <v>9912</v>
      </c>
      <c r="B1708" s="1" t="s">
        <v>37</v>
      </c>
      <c r="C1708" s="1" t="s">
        <v>9913</v>
      </c>
      <c r="D1708" s="1" t="s">
        <v>9914</v>
      </c>
      <c r="E1708" s="1" t="s">
        <v>9915</v>
      </c>
      <c r="F1708" s="1" t="s">
        <v>784</v>
      </c>
      <c r="G1708" s="1" t="s">
        <v>9889</v>
      </c>
      <c r="H1708" s="1">
        <v>2020.0</v>
      </c>
      <c r="I1708" s="1" t="s">
        <v>42</v>
      </c>
      <c r="J1708" s="1" t="s">
        <v>51</v>
      </c>
      <c r="K1708" s="1" t="s">
        <v>785</v>
      </c>
      <c r="L1708" s="1" t="s">
        <v>9916</v>
      </c>
      <c r="M1708" s="2" t="s">
        <v>12</v>
      </c>
      <c r="N1708" s="4">
        <f t="shared" si="1"/>
        <v>44148</v>
      </c>
      <c r="O1708" s="5" t="str">
        <f>IFERROR(__xludf.DUMMYFUNCTION("IF(REGEXMATCH(TRIM(I1708), ""^\d+\s*min""), ""Unclassified"", IF(I1708 = """", ""NR"", I1708))"),"TV-MA")</f>
        <v>TV-MA</v>
      </c>
      <c r="R1708" s="5" t="str">
        <f t="shared" si="2"/>
        <v>The Minions Of Midas</v>
      </c>
      <c r="S1708" s="5" t="str">
        <f>IFERROR(__xludf.DUMMYFUNCTION("""COMPUTED_VALUE"""),"Cowspiracy: The Sustainability Secret")</f>
        <v>Cowspiracy: The Sustainability Secret</v>
      </c>
      <c r="U1708" s="5" t="str">
        <f>IFERROR(__xludf.DUMMYFUNCTION("""COMPUTED_VALUE"""),"Soumitra Ranade")</f>
        <v>Soumitra Ranade</v>
      </c>
      <c r="V1708" s="5" t="s">
        <v>9917</v>
      </c>
      <c r="W1708" s="5" t="str">
        <f t="shared" si="3"/>
        <v>Jagdeep Sidhu</v>
      </c>
      <c r="X1708" s="5">
        <f t="shared" si="4"/>
        <v>1</v>
      </c>
      <c r="Y1708" s="5" t="str">
        <f>IFERROR(__xludf.DUMMYFUNCTION("REGEXEXTRACT(J1708, ""^\d+"")"),"1")</f>
        <v>1</v>
      </c>
      <c r="Z1708" s="5" t="str">
        <f>IFERROR(__xludf.DUMMYFUNCTION("REGEXEXTRACT(J1708, ""[A-Za-z ]+$"")")," Season")</f>
        <v> Season</v>
      </c>
      <c r="AA1708" s="5" t="str">
        <f>IFERROR(__xludf.DUMMYFUNCTION("IF(REGEXMATCH(Z1708, ""Season""), ""TV Show"", ""Movie"")"),"TV Show")</f>
        <v>TV Show</v>
      </c>
    </row>
    <row r="1709">
      <c r="A1709" s="1" t="s">
        <v>9918</v>
      </c>
      <c r="B1709" s="1" t="s">
        <v>27</v>
      </c>
      <c r="C1709" s="1" t="s">
        <v>9919</v>
      </c>
      <c r="D1709" s="1" t="s">
        <v>4260</v>
      </c>
      <c r="E1709" s="1" t="s">
        <v>9920</v>
      </c>
      <c r="F1709" s="1" t="s">
        <v>4287</v>
      </c>
      <c r="G1709" s="1" t="s">
        <v>9921</v>
      </c>
      <c r="H1709" s="1">
        <v>2008.0</v>
      </c>
      <c r="I1709" s="1" t="s">
        <v>506</v>
      </c>
      <c r="J1709" s="1" t="s">
        <v>1256</v>
      </c>
      <c r="K1709" s="1" t="s">
        <v>3183</v>
      </c>
      <c r="L1709" s="1" t="s">
        <v>9922</v>
      </c>
      <c r="M1709" s="2" t="s">
        <v>12</v>
      </c>
      <c r="N1709" s="4">
        <f t="shared" si="1"/>
        <v>44147</v>
      </c>
      <c r="O1709" s="5" t="str">
        <f>IFERROR(__xludf.DUMMYFUNCTION("IF(REGEXMATCH(TRIM(I1709), ""^\d+\s*min""), ""Unclassified"", IF(I1709 = """", ""NR"", I1709))"),"TV-G")</f>
        <v>TV-G</v>
      </c>
      <c r="R1709" s="5" t="str">
        <f t="shared" si="2"/>
        <v>A Very Special Love</v>
      </c>
      <c r="S1709" s="5" t="str">
        <f>IFERROR(__xludf.DUMMYFUNCTION("""COMPUTED_VALUE"""),"Crack: Cocaine, Corruption &amp; Conspiracy")</f>
        <v>Crack: Cocaine, Corruption &amp; Conspiracy</v>
      </c>
      <c r="U1709" s="5" t="str">
        <f>IFERROR(__xludf.DUMMYFUNCTION("""COMPUTED_VALUE"""),"Jon Rosenbaum")</f>
        <v>Jon Rosenbaum</v>
      </c>
      <c r="V1709" s="5" t="s">
        <v>9923</v>
      </c>
      <c r="W1709" s="5" t="str">
        <f t="shared" si="3"/>
        <v>Jaivi Dhanda</v>
      </c>
      <c r="X1709" s="5">
        <f t="shared" si="4"/>
        <v>1</v>
      </c>
      <c r="Y1709" s="5" t="str">
        <f>IFERROR(__xludf.DUMMYFUNCTION("REGEXEXTRACT(J1709, ""^\d+"")"),"107")</f>
        <v>107</v>
      </c>
      <c r="Z1709" s="5" t="str">
        <f>IFERROR(__xludf.DUMMYFUNCTION("REGEXEXTRACT(J1709, ""[A-Za-z ]+$"")")," min")</f>
        <v> min</v>
      </c>
      <c r="AA1709" s="5" t="str">
        <f>IFERROR(__xludf.DUMMYFUNCTION("IF(REGEXMATCH(Z1709, ""Season""), ""TV Show"", ""Movie"")"),"Movie")</f>
        <v>Movie</v>
      </c>
    </row>
    <row r="1710">
      <c r="A1710" s="1" t="s">
        <v>9924</v>
      </c>
      <c r="B1710" s="1" t="s">
        <v>37</v>
      </c>
      <c r="C1710" s="1" t="s">
        <v>9925</v>
      </c>
      <c r="E1710" s="1" t="s">
        <v>9926</v>
      </c>
      <c r="F1710" s="1" t="s">
        <v>188</v>
      </c>
      <c r="G1710" s="1" t="s">
        <v>9921</v>
      </c>
      <c r="H1710" s="1">
        <v>2020.0</v>
      </c>
      <c r="I1710" s="1" t="s">
        <v>42</v>
      </c>
      <c r="J1710" s="1" t="s">
        <v>51</v>
      </c>
      <c r="K1710" s="1" t="s">
        <v>402</v>
      </c>
      <c r="L1710" s="1" t="s">
        <v>9927</v>
      </c>
      <c r="M1710" s="2" t="s">
        <v>12</v>
      </c>
      <c r="N1710" s="4">
        <f t="shared" si="1"/>
        <v>44147</v>
      </c>
      <c r="O1710" s="5" t="str">
        <f>IFERROR(__xludf.DUMMYFUNCTION("IF(REGEXMATCH(TRIM(I1710), ""^\d+\s*min""), ""Unclassified"", IF(I1710 = """", ""NR"", I1710))"),"TV-MA")</f>
        <v>TV-MA</v>
      </c>
      <c r="R1710" s="5" t="str">
        <f t="shared" si="2"/>
        <v>Ethos</v>
      </c>
      <c r="S1710" s="5" t="str">
        <f>IFERROR(__xludf.DUMMYFUNCTION("""COMPUTED_VALUE"""),"Cracked Up: The Darrell Hammond Story")</f>
        <v>Cracked Up: The Darrell Hammond Story</v>
      </c>
      <c r="U1710" s="5" t="str">
        <f>IFERROR(__xludf.DUMMYFUNCTION("""COMPUTED_VALUE"""),"Bruce Leddy")</f>
        <v>Bruce Leddy</v>
      </c>
      <c r="V1710" s="5" t="s">
        <v>9928</v>
      </c>
      <c r="W1710" s="5" t="str">
        <f t="shared" si="3"/>
        <v>Jake Szymanski</v>
      </c>
      <c r="X1710" s="5">
        <f t="shared" si="4"/>
        <v>1</v>
      </c>
      <c r="Y1710" s="5" t="str">
        <f>IFERROR(__xludf.DUMMYFUNCTION("REGEXEXTRACT(J1710, ""^\d+"")"),"1")</f>
        <v>1</v>
      </c>
      <c r="Z1710" s="5" t="str">
        <f>IFERROR(__xludf.DUMMYFUNCTION("REGEXEXTRACT(J1710, ""[A-Za-z ]+$"")")," Season")</f>
        <v> Season</v>
      </c>
      <c r="AA1710" s="5" t="str">
        <f>IFERROR(__xludf.DUMMYFUNCTION("IF(REGEXMATCH(Z1710, ""Season""), ""TV Show"", ""Movie"")"),"TV Show")</f>
        <v>TV Show</v>
      </c>
    </row>
    <row r="1711">
      <c r="A1711" s="1" t="s">
        <v>9929</v>
      </c>
      <c r="B1711" s="1" t="s">
        <v>27</v>
      </c>
      <c r="C1711" s="1" t="s">
        <v>9930</v>
      </c>
      <c r="D1711" s="1" t="s">
        <v>9931</v>
      </c>
      <c r="E1711" s="1" t="s">
        <v>9932</v>
      </c>
      <c r="F1711" s="1" t="s">
        <v>4287</v>
      </c>
      <c r="G1711" s="1" t="s">
        <v>9921</v>
      </c>
      <c r="H1711" s="1">
        <v>2018.0</v>
      </c>
      <c r="I1711" s="1" t="s">
        <v>42</v>
      </c>
      <c r="J1711" s="1" t="s">
        <v>2566</v>
      </c>
      <c r="K1711" s="1" t="s">
        <v>679</v>
      </c>
      <c r="L1711" s="1" t="s">
        <v>9933</v>
      </c>
      <c r="M1711" s="2" t="s">
        <v>12</v>
      </c>
      <c r="N1711" s="4">
        <f t="shared" si="1"/>
        <v>44147</v>
      </c>
      <c r="O1711" s="5" t="str">
        <f>IFERROR(__xludf.DUMMYFUNCTION("IF(REGEXMATCH(TRIM(I1711), ""^\d+\s*min""), ""Unclassified"", IF(I1711 = """", ""NR"", I1711))"),"TV-MA")</f>
        <v>TV-MA</v>
      </c>
      <c r="R1711" s="5" t="str">
        <f t="shared" si="2"/>
        <v>First Love</v>
      </c>
      <c r="S1711" s="5" t="str">
        <f>IFERROR(__xludf.DUMMYFUNCTION("""COMPUTED_VALUE"""),"Cradle 2 The Grave")</f>
        <v>Cradle 2 The Grave</v>
      </c>
      <c r="U1711" s="5" t="str">
        <f>IFERROR(__xludf.DUMMYFUNCTION("""COMPUTED_VALUE"""),"Yuki Yamato")</f>
        <v>Yuki Yamato</v>
      </c>
      <c r="V1711" s="5" t="s">
        <v>9934</v>
      </c>
      <c r="W1711" s="5" t="str">
        <f t="shared" si="3"/>
        <v>Jaki Bradley</v>
      </c>
      <c r="X1711" s="5">
        <f t="shared" si="4"/>
        <v>1</v>
      </c>
      <c r="Y1711" s="5" t="str">
        <f>IFERROR(__xludf.DUMMYFUNCTION("REGEXEXTRACT(J1711, ""^\d+"")"),"123")</f>
        <v>123</v>
      </c>
      <c r="Z1711" s="5" t="str">
        <f>IFERROR(__xludf.DUMMYFUNCTION("REGEXEXTRACT(J1711, ""[A-Za-z ]+$"")")," min")</f>
        <v> min</v>
      </c>
      <c r="AA1711" s="5" t="str">
        <f>IFERROR(__xludf.DUMMYFUNCTION("IF(REGEXMATCH(Z1711, ""Season""), ""TV Show"", ""Movie"")"),"Movie")</f>
        <v>Movie</v>
      </c>
    </row>
    <row r="1712">
      <c r="A1712" s="1" t="s">
        <v>9935</v>
      </c>
      <c r="B1712" s="1" t="s">
        <v>27</v>
      </c>
      <c r="C1712" s="1" t="s">
        <v>9936</v>
      </c>
      <c r="D1712" s="1" t="s">
        <v>9937</v>
      </c>
      <c r="E1712" s="1" t="s">
        <v>9938</v>
      </c>
      <c r="F1712" s="1" t="s">
        <v>30</v>
      </c>
      <c r="G1712" s="1" t="s">
        <v>9921</v>
      </c>
      <c r="H1712" s="1">
        <v>2013.0</v>
      </c>
      <c r="I1712" s="1" t="s">
        <v>378</v>
      </c>
      <c r="J1712" s="1" t="s">
        <v>471</v>
      </c>
      <c r="K1712" s="1" t="s">
        <v>1320</v>
      </c>
      <c r="L1712" s="1" t="s">
        <v>9939</v>
      </c>
      <c r="M1712" s="2" t="s">
        <v>12</v>
      </c>
      <c r="N1712" s="4">
        <f t="shared" si="1"/>
        <v>44147</v>
      </c>
      <c r="O1712" s="5" t="str">
        <f>IFERROR(__xludf.DUMMYFUNCTION("IF(REGEXMATCH(TRIM(I1712), ""^\d+\s*min""), ""Unclassified"", IF(I1712 = """", ""NR"", I1712))"),"R")</f>
        <v>R</v>
      </c>
      <c r="R1712" s="5" t="str">
        <f t="shared" si="2"/>
        <v>Fruitvale Station</v>
      </c>
      <c r="S1712" s="5" t="str">
        <f>IFERROR(__xludf.DUMMYFUNCTION("""COMPUTED_VALUE"""),"Craig Ferguson: Tickle Fight")</f>
        <v>Craig Ferguson: Tickle Fight</v>
      </c>
      <c r="U1712" s="5" t="str">
        <f>IFERROR(__xludf.DUMMYFUNCTION("""COMPUTED_VALUE"""),"Andrew Wessels")</f>
        <v>Andrew Wessels</v>
      </c>
      <c r="V1712" s="5" t="s">
        <v>9940</v>
      </c>
      <c r="W1712" s="5" t="str">
        <f t="shared" si="3"/>
        <v>Jakob Lass</v>
      </c>
      <c r="X1712" s="5">
        <f t="shared" si="4"/>
        <v>1</v>
      </c>
      <c r="Y1712" s="5" t="str">
        <f>IFERROR(__xludf.DUMMYFUNCTION("REGEXEXTRACT(J1712, ""^\d+"")"),"85")</f>
        <v>85</v>
      </c>
      <c r="Z1712" s="5" t="str">
        <f>IFERROR(__xludf.DUMMYFUNCTION("REGEXEXTRACT(J1712, ""[A-Za-z ]+$"")")," min")</f>
        <v> min</v>
      </c>
      <c r="AA1712" s="5" t="str">
        <f>IFERROR(__xludf.DUMMYFUNCTION("IF(REGEXMATCH(Z1712, ""Season""), ""TV Show"", ""Movie"")"),"Movie")</f>
        <v>Movie</v>
      </c>
    </row>
    <row r="1713">
      <c r="A1713" s="1" t="s">
        <v>9941</v>
      </c>
      <c r="B1713" s="1" t="s">
        <v>37</v>
      </c>
      <c r="C1713" s="1" t="s">
        <v>9942</v>
      </c>
      <c r="E1713" s="1" t="s">
        <v>9943</v>
      </c>
      <c r="F1713" s="1" t="s">
        <v>749</v>
      </c>
      <c r="G1713" s="1" t="s">
        <v>9921</v>
      </c>
      <c r="H1713" s="1">
        <v>2020.0</v>
      </c>
      <c r="I1713" s="1" t="s">
        <v>42</v>
      </c>
      <c r="J1713" s="1" t="s">
        <v>51</v>
      </c>
      <c r="K1713" s="1" t="s">
        <v>1362</v>
      </c>
      <c r="L1713" s="1" t="s">
        <v>9944</v>
      </c>
      <c r="M1713" s="2" t="s">
        <v>12</v>
      </c>
      <c r="N1713" s="4">
        <f t="shared" si="1"/>
        <v>44147</v>
      </c>
      <c r="O1713" s="5" t="str">
        <f>IFERROR(__xludf.DUMMYFUNCTION("IF(REGEXMATCH(TRIM(I1713), ""^\d+\s*min""), ""Unclassified"", IF(I1713 = """", ""NR"", I1713))"),"TV-MA")</f>
        <v>TV-MA</v>
      </c>
      <c r="R1713" s="5" t="str">
        <f t="shared" si="2"/>
        <v>Graceful Friends</v>
      </c>
      <c r="S1713" s="5" t="str">
        <f>IFERROR(__xludf.DUMMYFUNCTION("""COMPUTED_VALUE"""),"Crash")</f>
        <v>Crash</v>
      </c>
      <c r="U1713" s="5" t="str">
        <f>IFERROR(__xludf.DUMMYFUNCTION("""COMPUTED_VALUE"""),"Emir Kusturica")</f>
        <v>Emir Kusturica</v>
      </c>
      <c r="V1713" s="5" t="s">
        <v>9945</v>
      </c>
      <c r="W1713" s="5" t="str">
        <f t="shared" si="3"/>
        <v>Jakob Verbruggen</v>
      </c>
      <c r="X1713" s="5">
        <f t="shared" si="4"/>
        <v>1</v>
      </c>
      <c r="Y1713" s="5" t="str">
        <f>IFERROR(__xludf.DUMMYFUNCTION("REGEXEXTRACT(J1713, ""^\d+"")"),"1")</f>
        <v>1</v>
      </c>
      <c r="Z1713" s="5" t="str">
        <f>IFERROR(__xludf.DUMMYFUNCTION("REGEXEXTRACT(J1713, ""[A-Za-z ]+$"")")," Season")</f>
        <v> Season</v>
      </c>
      <c r="AA1713" s="5" t="str">
        <f>IFERROR(__xludf.DUMMYFUNCTION("IF(REGEXMATCH(Z1713, ""Season""), ""TV Show"", ""Movie"")"),"TV Show")</f>
        <v>TV Show</v>
      </c>
    </row>
    <row r="1714">
      <c r="A1714" s="1" t="s">
        <v>9946</v>
      </c>
      <c r="B1714" s="1" t="s">
        <v>27</v>
      </c>
      <c r="C1714" s="1" t="s">
        <v>9947</v>
      </c>
      <c r="D1714" s="1" t="s">
        <v>2394</v>
      </c>
      <c r="E1714" s="1" t="s">
        <v>9948</v>
      </c>
      <c r="F1714" s="1" t="s">
        <v>63</v>
      </c>
      <c r="G1714" s="1" t="s">
        <v>9921</v>
      </c>
      <c r="H1714" s="1">
        <v>2020.0</v>
      </c>
      <c r="I1714" s="1" t="s">
        <v>42</v>
      </c>
      <c r="J1714" s="1" t="s">
        <v>1407</v>
      </c>
      <c r="K1714" s="1" t="s">
        <v>583</v>
      </c>
      <c r="L1714" s="1" t="s">
        <v>9949</v>
      </c>
      <c r="M1714" s="2" t="s">
        <v>12</v>
      </c>
      <c r="N1714" s="4">
        <f t="shared" si="1"/>
        <v>44147</v>
      </c>
      <c r="O1714" s="5" t="str">
        <f>IFERROR(__xludf.DUMMYFUNCTION("IF(REGEXMATCH(TRIM(I1714), ""^\d+\s*min""), ""Unclassified"", IF(I1714 = """", ""NR"", I1714))"),"TV-MA")</f>
        <v>TV-MA</v>
      </c>
      <c r="R1714" s="5" t="str">
        <f t="shared" si="2"/>
        <v>Ludo</v>
      </c>
      <c r="S1714" s="5" t="str">
        <f>IFERROR(__xludf.DUMMYFUNCTION("""COMPUTED_VALUE"""),"Crash Landing On You")</f>
        <v>Crash Landing On You</v>
      </c>
      <c r="U1714" s="5" t="str">
        <f>IFERROR(__xludf.DUMMYFUNCTION("""COMPUTED_VALUE"""),"Odunlade Adekola")</f>
        <v>Odunlade Adekola</v>
      </c>
      <c r="V1714" s="5" t="s">
        <v>3875</v>
      </c>
      <c r="W1714" s="5" t="str">
        <f t="shared" si="3"/>
        <v>Jakub Piątek</v>
      </c>
      <c r="X1714" s="5">
        <f t="shared" si="4"/>
        <v>1</v>
      </c>
      <c r="Y1714" s="5" t="str">
        <f>IFERROR(__xludf.DUMMYFUNCTION("REGEXEXTRACT(J1714, ""^\d+"")"),"150")</f>
        <v>150</v>
      </c>
      <c r="Z1714" s="5" t="str">
        <f>IFERROR(__xludf.DUMMYFUNCTION("REGEXEXTRACT(J1714, ""[A-Za-z ]+$"")")," min")</f>
        <v> min</v>
      </c>
      <c r="AA1714" s="5" t="str">
        <f>IFERROR(__xludf.DUMMYFUNCTION("IF(REGEXMATCH(Z1714, ""Season""), ""TV Show"", ""Movie"")"),"Movie")</f>
        <v>Movie</v>
      </c>
    </row>
    <row r="1715">
      <c r="A1715" s="1" t="s">
        <v>9950</v>
      </c>
      <c r="B1715" s="1" t="s">
        <v>27</v>
      </c>
      <c r="C1715" s="1" t="s">
        <v>9951</v>
      </c>
      <c r="D1715" s="1" t="s">
        <v>9952</v>
      </c>
      <c r="E1715" s="1" t="s">
        <v>9953</v>
      </c>
      <c r="F1715" s="1" t="s">
        <v>1815</v>
      </c>
      <c r="G1715" s="1" t="s">
        <v>9921</v>
      </c>
      <c r="H1715" s="1">
        <v>2019.0</v>
      </c>
      <c r="I1715" s="1" t="s">
        <v>42</v>
      </c>
      <c r="J1715" s="1" t="s">
        <v>247</v>
      </c>
      <c r="K1715" s="1" t="s">
        <v>4958</v>
      </c>
      <c r="L1715" s="1" t="s">
        <v>9954</v>
      </c>
      <c r="M1715" s="2" t="s">
        <v>12</v>
      </c>
      <c r="N1715" s="4">
        <f t="shared" si="1"/>
        <v>44147</v>
      </c>
      <c r="O1715" s="5" t="str">
        <f>IFERROR(__xludf.DUMMYFUNCTION("IF(REGEXMATCH(TRIM(I1715), ""^\d+\s*min""), ""Unclassified"", IF(I1715 = """", ""NR"", I1715))"),"TV-MA")</f>
        <v>TV-MA</v>
      </c>
      <c r="R1715" s="5" t="str">
        <f t="shared" si="2"/>
        <v>Memories Of A Teenager</v>
      </c>
      <c r="S1715" s="5" t="str">
        <f>IFERROR(__xludf.DUMMYFUNCTION("""COMPUTED_VALUE"""),"Crashing")</f>
        <v>Crashing</v>
      </c>
      <c r="U1715" s="5" t="str">
        <f>IFERROR(__xludf.DUMMYFUNCTION("""COMPUTED_VALUE"""),"Elisa Fuksas")</f>
        <v>Elisa Fuksas</v>
      </c>
      <c r="V1715" s="5" t="s">
        <v>9273</v>
      </c>
      <c r="W1715" s="5" t="str">
        <f t="shared" si="3"/>
        <v>Jalil Lespert</v>
      </c>
      <c r="X1715" s="5">
        <f t="shared" si="4"/>
        <v>3</v>
      </c>
      <c r="Y1715" s="5" t="str">
        <f>IFERROR(__xludf.DUMMYFUNCTION("REGEXEXTRACT(J1715, ""^\d+"")"),"97")</f>
        <v>97</v>
      </c>
      <c r="Z1715" s="5" t="str">
        <f>IFERROR(__xludf.DUMMYFUNCTION("REGEXEXTRACT(J1715, ""[A-Za-z ]+$"")")," min")</f>
        <v> min</v>
      </c>
      <c r="AA1715" s="5" t="str">
        <f>IFERROR(__xludf.DUMMYFUNCTION("IF(REGEXMATCH(Z1715, ""Season""), ""TV Show"", ""Movie"")"),"Movie")</f>
        <v>Movie</v>
      </c>
    </row>
    <row r="1716">
      <c r="A1716" s="1" t="s">
        <v>9955</v>
      </c>
      <c r="B1716" s="1" t="s">
        <v>27</v>
      </c>
      <c r="C1716" s="1" t="s">
        <v>9956</v>
      </c>
      <c r="D1716" s="1" t="s">
        <v>6757</v>
      </c>
      <c r="E1716" s="1" t="s">
        <v>9957</v>
      </c>
      <c r="F1716" s="1" t="s">
        <v>897</v>
      </c>
      <c r="G1716" s="1" t="s">
        <v>9921</v>
      </c>
      <c r="H1716" s="1">
        <v>2008.0</v>
      </c>
      <c r="I1716" s="1" t="s">
        <v>32</v>
      </c>
      <c r="J1716" s="1" t="s">
        <v>428</v>
      </c>
      <c r="K1716" s="1" t="s">
        <v>1551</v>
      </c>
      <c r="L1716" s="1" t="s">
        <v>9958</v>
      </c>
      <c r="M1716" s="2" t="s">
        <v>12</v>
      </c>
      <c r="N1716" s="4">
        <f t="shared" si="1"/>
        <v>44147</v>
      </c>
      <c r="O1716" s="5" t="str">
        <f>IFERROR(__xludf.DUMMYFUNCTION("IF(REGEXMATCH(TRIM(I1716), ""^\d+\s*min""), ""Unclassified"", IF(I1716 = """", ""NR"", I1716))"),"PG-13")</f>
        <v>PG-13</v>
      </c>
      <c r="R1716" s="5" t="str">
        <f t="shared" si="2"/>
        <v>Prom Night</v>
      </c>
      <c r="S1716" s="5" t="str">
        <f>IFERROR(__xludf.DUMMYFUNCTION("""COMPUTED_VALUE"""),"Crazy About Her")</f>
        <v>Crazy About Her</v>
      </c>
      <c r="U1716" s="5" t="str">
        <f>IFERROR(__xludf.DUMMYFUNCTION("""COMPUTED_VALUE"""),"Lee Toland Krieger")</f>
        <v>Lee Toland Krieger</v>
      </c>
      <c r="V1716" s="5" t="s">
        <v>9959</v>
      </c>
      <c r="W1716" s="5" t="str">
        <f t="shared" si="3"/>
        <v>Jamal Hill</v>
      </c>
      <c r="X1716" s="5">
        <f t="shared" si="4"/>
        <v>1</v>
      </c>
      <c r="Y1716" s="5" t="str">
        <f>IFERROR(__xludf.DUMMYFUNCTION("REGEXEXTRACT(J1716, ""^\d+"")"),"88")</f>
        <v>88</v>
      </c>
      <c r="Z1716" s="5" t="str">
        <f>IFERROR(__xludf.DUMMYFUNCTION("REGEXEXTRACT(J1716, ""[A-Za-z ]+$"")")," min")</f>
        <v> min</v>
      </c>
      <c r="AA1716" s="5" t="str">
        <f>IFERROR(__xludf.DUMMYFUNCTION("IF(REGEXMATCH(Z1716, ""Season""), ""TV Show"", ""Movie"")"),"Movie")</f>
        <v>Movie</v>
      </c>
    </row>
    <row r="1717">
      <c r="A1717" s="1" t="s">
        <v>9960</v>
      </c>
      <c r="B1717" s="1" t="s">
        <v>37</v>
      </c>
      <c r="C1717" s="1" t="s">
        <v>9961</v>
      </c>
      <c r="D1717" s="1" t="s">
        <v>4131</v>
      </c>
      <c r="E1717" s="1" t="s">
        <v>9962</v>
      </c>
      <c r="F1717" s="1" t="s">
        <v>1992</v>
      </c>
      <c r="G1717" s="1" t="s">
        <v>9963</v>
      </c>
      <c r="H1717" s="1">
        <v>2020.0</v>
      </c>
      <c r="I1717" s="1" t="s">
        <v>97</v>
      </c>
      <c r="J1717" s="1" t="s">
        <v>51</v>
      </c>
      <c r="K1717" s="1" t="s">
        <v>1520</v>
      </c>
      <c r="L1717" s="1" t="s">
        <v>9964</v>
      </c>
      <c r="M1717" s="2" t="s">
        <v>12</v>
      </c>
      <c r="N1717" s="4">
        <f t="shared" si="1"/>
        <v>44146</v>
      </c>
      <c r="O1717" s="5" t="str">
        <f>IFERROR(__xludf.DUMMYFUNCTION("IF(REGEXMATCH(TRIM(I1717), ""^\d+\s*min""), ""Unclassified"", IF(I1717 = """", ""NR"", I1717))"),"TV-14")</f>
        <v>TV-14</v>
      </c>
      <c r="R1717" s="5" t="str">
        <f t="shared" si="2"/>
        <v>A Queen Is Born</v>
      </c>
      <c r="S1717" s="5" t="str">
        <f>IFERROR(__xludf.DUMMYFUNCTION("""COMPUTED_VALUE"""),"Crazy Awesome Teachers")</f>
        <v>Crazy Awesome Teachers</v>
      </c>
      <c r="U1717" s="5" t="str">
        <f>IFERROR(__xludf.DUMMYFUNCTION("""COMPUTED_VALUE"""),"Akiyuki Shinbo, Nobuyuki Takeuchi")</f>
        <v>Akiyuki Shinbo, Nobuyuki Takeuchi</v>
      </c>
      <c r="V1717" s="5" t="s">
        <v>3846</v>
      </c>
      <c r="W1717" s="5" t="str">
        <f t="shared" si="3"/>
        <v>Jameel Buari</v>
      </c>
      <c r="X1717" s="5">
        <f t="shared" si="4"/>
        <v>1</v>
      </c>
      <c r="Y1717" s="5" t="str">
        <f>IFERROR(__xludf.DUMMYFUNCTION("REGEXEXTRACT(J1717, ""^\d+"")"),"1")</f>
        <v>1</v>
      </c>
      <c r="Z1717" s="5" t="str">
        <f>IFERROR(__xludf.DUMMYFUNCTION("REGEXEXTRACT(J1717, ""[A-Za-z ]+$"")")," Season")</f>
        <v> Season</v>
      </c>
      <c r="AA1717" s="5" t="str">
        <f>IFERROR(__xludf.DUMMYFUNCTION("IF(REGEXMATCH(Z1717, ""Season""), ""TV Show"", ""Movie"")"),"TV Show")</f>
        <v>TV Show</v>
      </c>
    </row>
    <row r="1718">
      <c r="A1718" s="1" t="s">
        <v>9965</v>
      </c>
      <c r="B1718" s="1" t="s">
        <v>37</v>
      </c>
      <c r="C1718" s="1" t="s">
        <v>9966</v>
      </c>
      <c r="E1718" s="1" t="s">
        <v>9967</v>
      </c>
      <c r="F1718" s="1" t="s">
        <v>221</v>
      </c>
      <c r="G1718" s="1" t="s">
        <v>9963</v>
      </c>
      <c r="H1718" s="1">
        <v>2020.0</v>
      </c>
      <c r="I1718" s="1" t="s">
        <v>42</v>
      </c>
      <c r="J1718" s="1" t="s">
        <v>51</v>
      </c>
      <c r="K1718" s="1" t="s">
        <v>270</v>
      </c>
      <c r="L1718" s="1" t="s">
        <v>9968</v>
      </c>
      <c r="M1718" s="2" t="s">
        <v>12</v>
      </c>
      <c r="N1718" s="4">
        <f t="shared" si="1"/>
        <v>44146</v>
      </c>
      <c r="O1718" s="5" t="str">
        <f>IFERROR(__xludf.DUMMYFUNCTION("IF(REGEXMATCH(TRIM(I1718), ""^\d+\s*min""), ""Unclassified"", IF(I1718 = """", ""NR"", I1718))"),"TV-MA")</f>
        <v>TV-MA</v>
      </c>
      <c r="R1718" s="5" t="str">
        <f t="shared" si="2"/>
        <v>Aunty Donna'S Big Ol' House Of Fun</v>
      </c>
      <c r="S1718" s="5" t="str">
        <f>IFERROR(__xludf.DUMMYFUNCTION("""COMPUTED_VALUE"""),"Crazy Beautiful You")</f>
        <v>Crazy Beautiful You</v>
      </c>
      <c r="U1718" s="5" t="str">
        <f>IFERROR(__xludf.DUMMYFUNCTION("""COMPUTED_VALUE"""),"Ron Oliver")</f>
        <v>Ron Oliver</v>
      </c>
      <c r="V1718" s="5" t="s">
        <v>9969</v>
      </c>
      <c r="W1718" s="5" t="str">
        <f t="shared" si="3"/>
        <v>James Bamford</v>
      </c>
      <c r="X1718" s="5">
        <f t="shared" si="4"/>
        <v>1</v>
      </c>
      <c r="Y1718" s="5" t="str">
        <f>IFERROR(__xludf.DUMMYFUNCTION("REGEXEXTRACT(J1718, ""^\d+"")"),"1")</f>
        <v>1</v>
      </c>
      <c r="Z1718" s="5" t="str">
        <f>IFERROR(__xludf.DUMMYFUNCTION("REGEXEXTRACT(J1718, ""[A-Za-z ]+$"")")," Season")</f>
        <v> Season</v>
      </c>
      <c r="AA1718" s="5" t="str">
        <f>IFERROR(__xludf.DUMMYFUNCTION("IF(REGEXMATCH(Z1718, ""Season""), ""TV Show"", ""Movie"")"),"TV Show")</f>
        <v>TV Show</v>
      </c>
    </row>
    <row r="1719">
      <c r="A1719" s="1" t="s">
        <v>9970</v>
      </c>
      <c r="B1719" s="1" t="s">
        <v>37</v>
      </c>
      <c r="C1719" s="1" t="s">
        <v>9971</v>
      </c>
      <c r="E1719" s="1" t="s">
        <v>9972</v>
      </c>
      <c r="F1719" s="1" t="s">
        <v>30</v>
      </c>
      <c r="G1719" s="1" t="s">
        <v>9963</v>
      </c>
      <c r="H1719" s="1">
        <v>2020.0</v>
      </c>
      <c r="I1719" s="1" t="s">
        <v>42</v>
      </c>
      <c r="J1719" s="1" t="s">
        <v>51</v>
      </c>
      <c r="K1719" s="1" t="s">
        <v>9973</v>
      </c>
      <c r="L1719" s="1" t="s">
        <v>9974</v>
      </c>
      <c r="M1719" s="2" t="s">
        <v>12</v>
      </c>
      <c r="N1719" s="4">
        <f t="shared" si="1"/>
        <v>44146</v>
      </c>
      <c r="O1719" s="5" t="str">
        <f>IFERROR(__xludf.DUMMYFUNCTION("IF(REGEXMATCH(TRIM(I1719), ""^\d+\s*min""), ""Unclassified"", IF(I1719 = """", ""NR"", I1719))"),"TV-MA")</f>
        <v>TV-MA</v>
      </c>
      <c r="R1719" s="5" t="str">
        <f t="shared" si="2"/>
        <v>The Liberator</v>
      </c>
      <c r="S1719" s="5" t="str">
        <f>IFERROR(__xludf.DUMMYFUNCTION("""COMPUTED_VALUE"""),"Crazy Delicious")</f>
        <v>Crazy Delicious</v>
      </c>
      <c r="U1719" s="5" t="str">
        <f>IFERROR(__xludf.DUMMYFUNCTION("""COMPUTED_VALUE"""),"Shojiro Nishimi, Guillaume Renard")</f>
        <v>Shojiro Nishimi, Guillaume Renard</v>
      </c>
      <c r="V1719" s="5" t="s">
        <v>9975</v>
      </c>
      <c r="W1719" s="5" t="str">
        <f t="shared" si="3"/>
        <v>James Barr</v>
      </c>
      <c r="X1719" s="5">
        <f t="shared" si="4"/>
        <v>1</v>
      </c>
      <c r="Y1719" s="5" t="str">
        <f>IFERROR(__xludf.DUMMYFUNCTION("REGEXEXTRACT(J1719, ""^\d+"")"),"1")</f>
        <v>1</v>
      </c>
      <c r="Z1719" s="5" t="str">
        <f>IFERROR(__xludf.DUMMYFUNCTION("REGEXEXTRACT(J1719, ""[A-Za-z ]+$"")")," Season")</f>
        <v> Season</v>
      </c>
      <c r="AA1719" s="5" t="str">
        <f>IFERROR(__xludf.DUMMYFUNCTION("IF(REGEXMATCH(Z1719, ""Season""), ""TV Show"", ""Movie"")"),"TV Show")</f>
        <v>TV Show</v>
      </c>
    </row>
    <row r="1720">
      <c r="A1720" s="1" t="s">
        <v>9976</v>
      </c>
      <c r="B1720" s="1" t="s">
        <v>37</v>
      </c>
      <c r="C1720" s="1" t="s">
        <v>9977</v>
      </c>
      <c r="F1720" s="1" t="s">
        <v>30</v>
      </c>
      <c r="G1720" s="1" t="s">
        <v>9963</v>
      </c>
      <c r="H1720" s="1">
        <v>2020.0</v>
      </c>
      <c r="I1720" s="1" t="s">
        <v>42</v>
      </c>
      <c r="J1720" s="1" t="s">
        <v>51</v>
      </c>
      <c r="K1720" s="1" t="s">
        <v>2043</v>
      </c>
      <c r="L1720" s="1" t="s">
        <v>9978</v>
      </c>
      <c r="M1720" s="2" t="s">
        <v>12</v>
      </c>
      <c r="N1720" s="4">
        <f t="shared" si="1"/>
        <v>44146</v>
      </c>
      <c r="O1720" s="5" t="str">
        <f>IFERROR(__xludf.DUMMYFUNCTION("IF(REGEXMATCH(TRIM(I1720), ""^\d+\s*min""), ""Unclassified"", IF(I1720 = """", ""NR"", I1720))"),"TV-MA")</f>
        <v>TV-MA</v>
      </c>
      <c r="R1720" s="5" t="str">
        <f t="shared" si="2"/>
        <v>Trial 4</v>
      </c>
      <c r="S1720" s="5" t="str">
        <f>IFERROR(__xludf.DUMMYFUNCTION("""COMPUTED_VALUE"""),"Crazy Ex-Girlfriend")</f>
        <v>Crazy Ex-Girlfriend</v>
      </c>
      <c r="U1720" s="5" t="str">
        <f>IFERROR(__xludf.DUMMYFUNCTION("""COMPUTED_VALUE"""),"Pepe Bojórquez")</f>
        <v>Pepe Bojórquez</v>
      </c>
      <c r="V1720" s="5" t="s">
        <v>9979</v>
      </c>
      <c r="W1720" s="5" t="str">
        <f t="shared" si="3"/>
        <v>James Bobin</v>
      </c>
      <c r="X1720" s="5">
        <f t="shared" si="4"/>
        <v>2</v>
      </c>
      <c r="Y1720" s="5" t="str">
        <f>IFERROR(__xludf.DUMMYFUNCTION("REGEXEXTRACT(J1720, ""^\d+"")"),"1")</f>
        <v>1</v>
      </c>
      <c r="Z1720" s="5" t="str">
        <f>IFERROR(__xludf.DUMMYFUNCTION("REGEXEXTRACT(J1720, ""[A-Za-z ]+$"")")," Season")</f>
        <v> Season</v>
      </c>
      <c r="AA1720" s="5" t="str">
        <f>IFERROR(__xludf.DUMMYFUNCTION("IF(REGEXMATCH(Z1720, ""Season""), ""TV Show"", ""Movie"")"),"TV Show")</f>
        <v>TV Show</v>
      </c>
    </row>
    <row r="1721">
      <c r="A1721" s="1" t="s">
        <v>9980</v>
      </c>
      <c r="B1721" s="1" t="s">
        <v>27</v>
      </c>
      <c r="C1721" s="1" t="s">
        <v>9981</v>
      </c>
      <c r="F1721" s="1" t="s">
        <v>9982</v>
      </c>
      <c r="G1721" s="1" t="s">
        <v>9963</v>
      </c>
      <c r="H1721" s="1">
        <v>1979.0</v>
      </c>
      <c r="I1721" s="1" t="s">
        <v>97</v>
      </c>
      <c r="J1721" s="1" t="s">
        <v>2699</v>
      </c>
      <c r="K1721" s="1" t="s">
        <v>156</v>
      </c>
      <c r="L1721" s="1" t="s">
        <v>9983</v>
      </c>
      <c r="M1721" s="2" t="s">
        <v>12</v>
      </c>
      <c r="N1721" s="4">
        <f t="shared" si="1"/>
        <v>44146</v>
      </c>
      <c r="O1721" s="5" t="str">
        <f>IFERROR(__xludf.DUMMYFUNCTION("IF(REGEXMATCH(TRIM(I1721), ""^\d+\s*min""), ""Unclassified"", IF(I1721 = """", ""NR"", I1721))"),"TV-14")</f>
        <v>TV-14</v>
      </c>
      <c r="R1721" s="5" t="str">
        <f t="shared" si="2"/>
        <v>We Are All For The Fatherland</v>
      </c>
      <c r="S1721" s="5" t="str">
        <f>IFERROR(__xludf.DUMMYFUNCTION("""COMPUTED_VALUE"""),"Crazy People")</f>
        <v>Crazy People</v>
      </c>
      <c r="U1721" s="5" t="str">
        <f>IFERROR(__xludf.DUMMYFUNCTION("""COMPUTED_VALUE"""),"Rhys Thomas")</f>
        <v>Rhys Thomas</v>
      </c>
      <c r="V1721" s="5" t="s">
        <v>9984</v>
      </c>
      <c r="W1721" s="5" t="str">
        <f t="shared" si="3"/>
        <v>James Brown</v>
      </c>
      <c r="X1721" s="5">
        <f t="shared" si="4"/>
        <v>1</v>
      </c>
      <c r="Y1721" s="5" t="str">
        <f>IFERROR(__xludf.DUMMYFUNCTION("REGEXEXTRACT(J1721, ""^\d+"")"),"74")</f>
        <v>74</v>
      </c>
      <c r="Z1721" s="5" t="str">
        <f>IFERROR(__xludf.DUMMYFUNCTION("REGEXEXTRACT(J1721, ""[A-Za-z ]+$"")")," min")</f>
        <v> min</v>
      </c>
      <c r="AA1721" s="5" t="str">
        <f>IFERROR(__xludf.DUMMYFUNCTION("IF(REGEXMATCH(Z1721, ""Season""), ""TV Show"", ""Movie"")"),"Movie")</f>
        <v>Movie</v>
      </c>
    </row>
    <row r="1722">
      <c r="A1722" s="1" t="s">
        <v>9985</v>
      </c>
      <c r="B1722" s="1" t="s">
        <v>27</v>
      </c>
      <c r="C1722" s="1" t="s">
        <v>9986</v>
      </c>
      <c r="D1722" s="1" t="s">
        <v>9987</v>
      </c>
      <c r="E1722" s="1" t="s">
        <v>9988</v>
      </c>
      <c r="F1722" s="1" t="s">
        <v>5356</v>
      </c>
      <c r="G1722" s="1" t="s">
        <v>9963</v>
      </c>
      <c r="H1722" s="1">
        <v>2020.0</v>
      </c>
      <c r="I1722" s="1" t="s">
        <v>42</v>
      </c>
      <c r="J1722" s="1" t="s">
        <v>454</v>
      </c>
      <c r="K1722" s="1" t="s">
        <v>128</v>
      </c>
      <c r="L1722" s="1" t="s">
        <v>9989</v>
      </c>
      <c r="M1722" s="2" t="s">
        <v>12</v>
      </c>
      <c r="N1722" s="4">
        <f t="shared" si="1"/>
        <v>44146</v>
      </c>
      <c r="O1722" s="5" t="str">
        <f>IFERROR(__xludf.DUMMYFUNCTION("IF(REGEXMATCH(TRIM(I1722), ""^\d+\s*min""), ""Unclassified"", IF(I1722 = """", ""NR"", I1722))"),"TV-MA")</f>
        <v>TV-MA</v>
      </c>
      <c r="R1722" s="5" t="str">
        <f t="shared" si="2"/>
        <v>What We Wanted</v>
      </c>
      <c r="S1722" s="5" t="str">
        <f>IFERROR(__xludf.DUMMYFUNCTION("""COMPUTED_VALUE"""),"Crazy, Lovely, Cool")</f>
        <v>Crazy, Lovely, Cool</v>
      </c>
      <c r="U1722" s="5" t="str">
        <f>IFERROR(__xludf.DUMMYFUNCTION("""COMPUTED_VALUE"""),"David M. Rosenthal")</f>
        <v>David M. Rosenthal</v>
      </c>
      <c r="V1722" s="5" t="s">
        <v>9123</v>
      </c>
      <c r="W1722" s="5" t="str">
        <f t="shared" si="3"/>
        <v>James D. Stern, Fernando Villena</v>
      </c>
      <c r="X1722" s="5">
        <f t="shared" si="4"/>
        <v>1</v>
      </c>
      <c r="Y1722" s="5" t="str">
        <f>IFERROR(__xludf.DUMMYFUNCTION("REGEXEXTRACT(J1722, ""^\d+"")"),"93")</f>
        <v>93</v>
      </c>
      <c r="Z1722" s="5" t="str">
        <f>IFERROR(__xludf.DUMMYFUNCTION("REGEXEXTRACT(J1722, ""[A-Za-z ]+$"")")," min")</f>
        <v> min</v>
      </c>
      <c r="AA1722" s="5" t="str">
        <f>IFERROR(__xludf.DUMMYFUNCTION("IF(REGEXMATCH(Z1722, ""Season""), ""TV Show"", ""Movie"")"),"Movie")</f>
        <v>Movie</v>
      </c>
    </row>
    <row r="1723">
      <c r="A1723" s="1" t="s">
        <v>9990</v>
      </c>
      <c r="B1723" s="1" t="s">
        <v>37</v>
      </c>
      <c r="C1723" s="1" t="s">
        <v>9991</v>
      </c>
      <c r="D1723" s="1" t="s">
        <v>9992</v>
      </c>
      <c r="F1723" s="1" t="s">
        <v>30</v>
      </c>
      <c r="G1723" s="1" t="s">
        <v>9993</v>
      </c>
      <c r="H1723" s="1">
        <v>2006.0</v>
      </c>
      <c r="I1723" s="1" t="s">
        <v>97</v>
      </c>
      <c r="J1723" s="1" t="s">
        <v>51</v>
      </c>
      <c r="K1723" s="1" t="s">
        <v>1045</v>
      </c>
      <c r="L1723" s="1" t="s">
        <v>9994</v>
      </c>
      <c r="M1723" s="2" t="s">
        <v>12</v>
      </c>
      <c r="N1723" s="4">
        <f t="shared" si="1"/>
        <v>44145</v>
      </c>
      <c r="O1723" s="5" t="str">
        <f>IFERROR(__xludf.DUMMYFUNCTION("IF(REGEXMATCH(TRIM(I1723), ""^\d+\s*min""), ""Unclassified"", IF(I1723 = """", ""NR"", I1723))"),"TV-14")</f>
        <v>TV-14</v>
      </c>
      <c r="R1723" s="5" t="str">
        <f t="shared" si="2"/>
        <v>A Lion In The House</v>
      </c>
      <c r="S1723" s="5" t="str">
        <f>IFERROR(__xludf.DUMMYFUNCTION("""COMPUTED_VALUE"""),"Crazyhead")</f>
        <v>Crazyhead</v>
      </c>
      <c r="U1723" s="5" t="str">
        <f>IFERROR(__xludf.DUMMYFUNCTION("""COMPUTED_VALUE"""),"Louise Alston")</f>
        <v>Louise Alston</v>
      </c>
      <c r="V1723" s="5" t="s">
        <v>9995</v>
      </c>
      <c r="W1723" s="5" t="str">
        <f t="shared" si="3"/>
        <v>James Dearden</v>
      </c>
      <c r="X1723" s="5">
        <f t="shared" si="4"/>
        <v>1</v>
      </c>
      <c r="Y1723" s="5" t="str">
        <f>IFERROR(__xludf.DUMMYFUNCTION("REGEXEXTRACT(J1723, ""^\d+"")"),"1")</f>
        <v>1</v>
      </c>
      <c r="Z1723" s="5" t="str">
        <f>IFERROR(__xludf.DUMMYFUNCTION("REGEXEXTRACT(J1723, ""[A-Za-z ]+$"")")," Season")</f>
        <v> Season</v>
      </c>
      <c r="AA1723" s="5" t="str">
        <f>IFERROR(__xludf.DUMMYFUNCTION("IF(REGEXMATCH(Z1723, ""Season""), ""TV Show"", ""Movie"")"),"TV Show")</f>
        <v>TV Show</v>
      </c>
    </row>
    <row r="1724">
      <c r="A1724" s="1" t="s">
        <v>9996</v>
      </c>
      <c r="B1724" s="1" t="s">
        <v>37</v>
      </c>
      <c r="C1724" s="1" t="s">
        <v>9997</v>
      </c>
      <c r="E1724" s="1" t="s">
        <v>9998</v>
      </c>
      <c r="F1724" s="1" t="s">
        <v>30</v>
      </c>
      <c r="G1724" s="1" t="s">
        <v>9993</v>
      </c>
      <c r="H1724" s="1">
        <v>2020.0</v>
      </c>
      <c r="I1724" s="1" t="s">
        <v>97</v>
      </c>
      <c r="J1724" s="1" t="s">
        <v>51</v>
      </c>
      <c r="K1724" s="1" t="s">
        <v>4634</v>
      </c>
      <c r="L1724" s="1" t="s">
        <v>9999</v>
      </c>
      <c r="M1724" s="2" t="s">
        <v>12</v>
      </c>
      <c r="N1724" s="4">
        <f t="shared" si="1"/>
        <v>44145</v>
      </c>
      <c r="O1724" s="5" t="str">
        <f>IFERROR(__xludf.DUMMYFUNCTION("IF(REGEXMATCH(TRIM(I1724), ""^\d+\s*min""), ""Unclassified"", IF(I1724 = """", ""NR"", I1724))"),"TV-14")</f>
        <v>TV-14</v>
      </c>
      <c r="R1724" s="5" t="str">
        <f t="shared" si="2"/>
        <v>Dash &amp; Lily</v>
      </c>
      <c r="S1724" s="5" t="str">
        <f>IFERROR(__xludf.DUMMYFUNCTION("""COMPUTED_VALUE"""),"Crd")</f>
        <v>Crd</v>
      </c>
      <c r="U1724" s="5" t="str">
        <f>IFERROR(__xludf.DUMMYFUNCTION("""COMPUTED_VALUE"""),"Sunkanmi Adebayo")</f>
        <v>Sunkanmi Adebayo</v>
      </c>
      <c r="V1724" s="5" t="s">
        <v>10000</v>
      </c>
      <c r="W1724" s="5" t="str">
        <f t="shared" si="3"/>
        <v>James Foley</v>
      </c>
      <c r="X1724" s="5">
        <f t="shared" si="4"/>
        <v>1</v>
      </c>
      <c r="Y1724" s="5" t="str">
        <f>IFERROR(__xludf.DUMMYFUNCTION("REGEXEXTRACT(J1724, ""^\d+"")"),"1")</f>
        <v>1</v>
      </c>
      <c r="Z1724" s="5" t="str">
        <f>IFERROR(__xludf.DUMMYFUNCTION("REGEXEXTRACT(J1724, ""[A-Za-z ]+$"")")," Season")</f>
        <v> Season</v>
      </c>
      <c r="AA1724" s="5" t="str">
        <f>IFERROR(__xludf.DUMMYFUNCTION("IF(REGEXMATCH(Z1724, ""Season""), ""TV Show"", ""Movie"")"),"TV Show")</f>
        <v>TV Show</v>
      </c>
    </row>
    <row r="1725">
      <c r="A1725" s="1" t="s">
        <v>10001</v>
      </c>
      <c r="B1725" s="1" t="s">
        <v>37</v>
      </c>
      <c r="C1725" s="1" t="s">
        <v>10002</v>
      </c>
      <c r="G1725" s="1" t="s">
        <v>10003</v>
      </c>
      <c r="H1725" s="1">
        <v>2020.0</v>
      </c>
      <c r="I1725" s="1" t="s">
        <v>289</v>
      </c>
      <c r="J1725" s="1" t="s">
        <v>51</v>
      </c>
      <c r="K1725" s="1" t="s">
        <v>623</v>
      </c>
      <c r="L1725" s="1" t="s">
        <v>10004</v>
      </c>
      <c r="M1725" s="2" t="s">
        <v>12</v>
      </c>
      <c r="N1725" s="4">
        <f t="shared" si="1"/>
        <v>44141</v>
      </c>
      <c r="O1725" s="5" t="str">
        <f>IFERROR(__xludf.DUMMYFUNCTION("IF(REGEXMATCH(TRIM(I1725), ""^\d+\s*min""), ""Unclassified"", IF(I1725 = """", ""NR"", I1725))"),"TV-Y7")</f>
        <v>TV-Y7</v>
      </c>
      <c r="R1725" s="5" t="str">
        <f t="shared" si="2"/>
        <v>Bakugan: Armored Alliance</v>
      </c>
      <c r="S1725" s="5" t="str">
        <f>IFERROR(__xludf.DUMMYFUNCTION("""COMPUTED_VALUE"""),"Creating An Army Of The Dead")</f>
        <v>Creating An Army Of The Dead</v>
      </c>
      <c r="U1725" s="5" t="str">
        <f>IFERROR(__xludf.DUMMYFUNCTION("""COMPUTED_VALUE"""),"Falz")</f>
        <v>Falz</v>
      </c>
      <c r="V1725" s="5" t="s">
        <v>10005</v>
      </c>
      <c r="W1725" s="5" t="str">
        <f t="shared" si="3"/>
        <v>James Franco</v>
      </c>
      <c r="X1725" s="5">
        <f t="shared" si="4"/>
        <v>1</v>
      </c>
      <c r="Y1725" s="5" t="str">
        <f>IFERROR(__xludf.DUMMYFUNCTION("REGEXEXTRACT(J1725, ""^\d+"")"),"1")</f>
        <v>1</v>
      </c>
      <c r="Z1725" s="5" t="str">
        <f>IFERROR(__xludf.DUMMYFUNCTION("REGEXEXTRACT(J1725, ""[A-Za-z ]+$"")")," Season")</f>
        <v> Season</v>
      </c>
      <c r="AA1725" s="5" t="str">
        <f>IFERROR(__xludf.DUMMYFUNCTION("IF(REGEXMATCH(Z1725, ""Season""), ""TV Show"", ""Movie"")"),"TV Show")</f>
        <v>TV Show</v>
      </c>
    </row>
    <row r="1726">
      <c r="A1726" s="1" t="s">
        <v>10006</v>
      </c>
      <c r="B1726" s="1" t="s">
        <v>37</v>
      </c>
      <c r="C1726" s="1" t="s">
        <v>10007</v>
      </c>
      <c r="E1726" s="1" t="s">
        <v>10008</v>
      </c>
      <c r="F1726" s="1" t="s">
        <v>10009</v>
      </c>
      <c r="G1726" s="1" t="s">
        <v>10003</v>
      </c>
      <c r="H1726" s="1">
        <v>2018.0</v>
      </c>
      <c r="I1726" s="1" t="s">
        <v>136</v>
      </c>
      <c r="J1726" s="1" t="s">
        <v>51</v>
      </c>
      <c r="K1726" s="1" t="s">
        <v>623</v>
      </c>
      <c r="L1726" s="1" t="s">
        <v>10010</v>
      </c>
      <c r="M1726" s="2" t="s">
        <v>12</v>
      </c>
      <c r="N1726" s="4">
        <f t="shared" si="1"/>
        <v>44141</v>
      </c>
      <c r="O1726" s="5" t="str">
        <f>IFERROR(__xludf.DUMMYFUNCTION("IF(REGEXMATCH(TRIM(I1726), ""^\d+\s*min""), ""Unclassified"", IF(I1726 = """", ""NR"", I1726))"),"TV-PG")</f>
        <v>TV-PG</v>
      </c>
      <c r="R1726" s="5" t="str">
        <f t="shared" si="2"/>
        <v>Bakugan: Battle Planet</v>
      </c>
      <c r="S1726" s="5" t="str">
        <f>IFERROR(__xludf.DUMMYFUNCTION("""COMPUTED_VALUE"""),"Creating The Queen'S Gambit")</f>
        <v>Creating The Queen'S Gambit</v>
      </c>
      <c r="U1726" s="5" t="str">
        <f>IFERROR(__xludf.DUMMYFUNCTION("""COMPUTED_VALUE"""),"Frank Rajah Arase")</f>
        <v>Frank Rajah Arase</v>
      </c>
      <c r="V1726" s="5" t="s">
        <v>8868</v>
      </c>
      <c r="W1726" s="5" t="str">
        <f t="shared" si="3"/>
        <v>James Haslam</v>
      </c>
      <c r="X1726" s="5">
        <f t="shared" si="4"/>
        <v>1</v>
      </c>
      <c r="Y1726" s="5" t="str">
        <f>IFERROR(__xludf.DUMMYFUNCTION("REGEXEXTRACT(J1726, ""^\d+"")"),"1")</f>
        <v>1</v>
      </c>
      <c r="Z1726" s="5" t="str">
        <f>IFERROR(__xludf.DUMMYFUNCTION("REGEXEXTRACT(J1726, ""[A-Za-z ]+$"")")," Season")</f>
        <v> Season</v>
      </c>
      <c r="AA1726" s="5" t="str">
        <f>IFERROR(__xludf.DUMMYFUNCTION("IF(REGEXMATCH(Z1726, ""Season""), ""TV Show"", ""Movie"")"),"TV Show")</f>
        <v>TV Show</v>
      </c>
    </row>
    <row r="1727">
      <c r="A1727" s="1" t="s">
        <v>10011</v>
      </c>
      <c r="B1727" s="1" t="s">
        <v>27</v>
      </c>
      <c r="C1727" s="1" t="s">
        <v>10012</v>
      </c>
      <c r="D1727" s="1" t="s">
        <v>10013</v>
      </c>
      <c r="E1727" s="1" t="s">
        <v>10014</v>
      </c>
      <c r="F1727" s="1" t="s">
        <v>400</v>
      </c>
      <c r="G1727" s="1" t="s">
        <v>10003</v>
      </c>
      <c r="H1727" s="1">
        <v>2020.0</v>
      </c>
      <c r="I1727" s="1" t="s">
        <v>42</v>
      </c>
      <c r="J1727" s="1" t="s">
        <v>7280</v>
      </c>
      <c r="K1727" s="1" t="s">
        <v>128</v>
      </c>
      <c r="L1727" s="1" t="s">
        <v>10015</v>
      </c>
      <c r="M1727" s="2" t="s">
        <v>12</v>
      </c>
      <c r="N1727" s="4">
        <f t="shared" si="1"/>
        <v>44141</v>
      </c>
      <c r="O1727" s="5" t="str">
        <f>IFERROR(__xludf.DUMMYFUNCTION("IF(REGEXMATCH(TRIM(I1727), ""^\d+\s*min""), ""Unclassified"", IF(I1727 = """", ""NR"", I1727))"),"TV-MA")</f>
        <v>TV-MA</v>
      </c>
      <c r="R1727" s="5" t="str">
        <f t="shared" si="2"/>
        <v>Citation</v>
      </c>
      <c r="S1727" s="5" t="str">
        <f>IFERROR(__xludf.DUMMYFUNCTION("""COMPUTED_VALUE"""),"Creator'S File: Gold")</f>
        <v>Creator'S File: Gold</v>
      </c>
      <c r="U1727" s="5" t="str">
        <f>IFERROR(__xludf.DUMMYFUNCTION("""COMPUTED_VALUE"""),"Fernando Meirelles")</f>
        <v>Fernando Meirelles</v>
      </c>
      <c r="V1727" s="5" t="s">
        <v>10016</v>
      </c>
      <c r="W1727" s="5" t="str">
        <f t="shared" si="3"/>
        <v>James Hawes</v>
      </c>
      <c r="X1727" s="5">
        <f t="shared" si="4"/>
        <v>1</v>
      </c>
      <c r="Y1727" s="5" t="str">
        <f>IFERROR(__xludf.DUMMYFUNCTION("REGEXEXTRACT(J1727, ""^\d+"")"),"151")</f>
        <v>151</v>
      </c>
      <c r="Z1727" s="5" t="str">
        <f>IFERROR(__xludf.DUMMYFUNCTION("REGEXEXTRACT(J1727, ""[A-Za-z ]+$"")")," min")</f>
        <v> min</v>
      </c>
      <c r="AA1727" s="5" t="str">
        <f>IFERROR(__xludf.DUMMYFUNCTION("IF(REGEXMATCH(Z1727, ""Season""), ""TV Show"", ""Movie"")"),"Movie")</f>
        <v>Movie</v>
      </c>
    </row>
    <row r="1728">
      <c r="A1728" s="1" t="s">
        <v>10017</v>
      </c>
      <c r="B1728" s="1" t="s">
        <v>37</v>
      </c>
      <c r="C1728" s="1" t="s">
        <v>10018</v>
      </c>
      <c r="F1728" s="1" t="s">
        <v>30</v>
      </c>
      <c r="G1728" s="1" t="s">
        <v>10003</v>
      </c>
      <c r="H1728" s="1">
        <v>2020.0</v>
      </c>
      <c r="I1728" s="1" t="s">
        <v>136</v>
      </c>
      <c r="J1728" s="1" t="s">
        <v>51</v>
      </c>
      <c r="K1728" s="1" t="s">
        <v>440</v>
      </c>
      <c r="L1728" s="1" t="s">
        <v>10019</v>
      </c>
      <c r="M1728" s="2" t="s">
        <v>12</v>
      </c>
      <c r="N1728" s="4">
        <f t="shared" si="1"/>
        <v>44141</v>
      </c>
      <c r="O1728" s="5" t="str">
        <f>IFERROR(__xludf.DUMMYFUNCTION("IF(REGEXMATCH(TRIM(I1728), ""^\d+\s*min""), ""Unclassified"", IF(I1728 = """", ""NR"", I1728))"),"TV-PG")</f>
        <v>TV-PG</v>
      </c>
      <c r="R1728" s="5" t="str">
        <f t="shared" si="2"/>
        <v>Country Ever After</v>
      </c>
      <c r="S1728" s="5" t="str">
        <f>IFERROR(__xludf.DUMMYFUNCTION("""COMPUTED_VALUE"""),"Creators")</f>
        <v>Creators</v>
      </c>
      <c r="U1728" s="5" t="str">
        <f>IFERROR(__xludf.DUMMYFUNCTION("""COMPUTED_VALUE"""),"Rodrigo Reyes")</f>
        <v>Rodrigo Reyes</v>
      </c>
      <c r="V1728" s="5" t="s">
        <v>10020</v>
      </c>
      <c r="W1728" s="5" t="str">
        <f t="shared" si="3"/>
        <v>James Ivory</v>
      </c>
      <c r="X1728" s="5">
        <f t="shared" si="4"/>
        <v>1</v>
      </c>
      <c r="Y1728" s="5" t="str">
        <f>IFERROR(__xludf.DUMMYFUNCTION("REGEXEXTRACT(J1728, ""^\d+"")"),"1")</f>
        <v>1</v>
      </c>
      <c r="Z1728" s="5" t="str">
        <f>IFERROR(__xludf.DUMMYFUNCTION("REGEXEXTRACT(J1728, ""[A-Za-z ]+$"")")," Season")</f>
        <v> Season</v>
      </c>
      <c r="AA1728" s="5" t="str">
        <f>IFERROR(__xludf.DUMMYFUNCTION("IF(REGEXMATCH(Z1728, ""Season""), ""TV Show"", ""Movie"")"),"TV Show")</f>
        <v>TV Show</v>
      </c>
    </row>
    <row r="1729">
      <c r="A1729" s="1" t="s">
        <v>10021</v>
      </c>
      <c r="B1729" s="1" t="s">
        <v>27</v>
      </c>
      <c r="C1729" s="1" t="s">
        <v>10022</v>
      </c>
      <c r="D1729" s="1" t="s">
        <v>10023</v>
      </c>
      <c r="E1729" s="1" t="s">
        <v>10024</v>
      </c>
      <c r="F1729" s="1" t="s">
        <v>2059</v>
      </c>
      <c r="G1729" s="1" t="s">
        <v>10003</v>
      </c>
      <c r="H1729" s="1">
        <v>2020.0</v>
      </c>
      <c r="I1729" s="1" t="s">
        <v>42</v>
      </c>
      <c r="J1729" s="1" t="s">
        <v>1001</v>
      </c>
      <c r="K1729" s="1" t="s">
        <v>128</v>
      </c>
      <c r="L1729" s="1" t="s">
        <v>10025</v>
      </c>
      <c r="M1729" s="2" t="s">
        <v>12</v>
      </c>
      <c r="N1729" s="4">
        <f t="shared" si="1"/>
        <v>44141</v>
      </c>
      <c r="O1729" s="5" t="str">
        <f>IFERROR(__xludf.DUMMYFUNCTION("IF(REGEXMATCH(TRIM(I1729), ""^\d+\s*min""), ""Unclassified"", IF(I1729 = """", ""NR"", I1729))"),"TV-MA")</f>
        <v>TV-MA</v>
      </c>
      <c r="R1729" s="5" t="str">
        <f t="shared" si="2"/>
        <v>Girl'S Revenge</v>
      </c>
      <c r="S1729" s="5" t="str">
        <f>IFERROR(__xludf.DUMMYFUNCTION("""COMPUTED_VALUE"""),"Creep")</f>
        <v>Creep</v>
      </c>
      <c r="U1729" s="5" t="str">
        <f>IFERROR(__xludf.DUMMYFUNCTION("""COMPUTED_VALUE"""),"Mark Lewis")</f>
        <v>Mark Lewis</v>
      </c>
      <c r="V1729" s="5" t="s">
        <v>10026</v>
      </c>
      <c r="W1729" s="5" t="str">
        <f t="shared" si="3"/>
        <v>James L. Brooks</v>
      </c>
      <c r="X1729" s="5">
        <f t="shared" si="4"/>
        <v>1</v>
      </c>
      <c r="Y1729" s="5" t="str">
        <f>IFERROR(__xludf.DUMMYFUNCTION("REGEXEXTRACT(J1729, ""^\d+"")"),"82")</f>
        <v>82</v>
      </c>
      <c r="Z1729" s="5" t="str">
        <f>IFERROR(__xludf.DUMMYFUNCTION("REGEXEXTRACT(J1729, ""[A-Za-z ]+$"")")," min")</f>
        <v> min</v>
      </c>
      <c r="AA1729" s="5" t="str">
        <f>IFERROR(__xludf.DUMMYFUNCTION("IF(REGEXMATCH(Z1729, ""Season""), ""TV Show"", ""Movie"")"),"Movie")</f>
        <v>Movie</v>
      </c>
    </row>
    <row r="1730">
      <c r="A1730" s="1" t="s">
        <v>10027</v>
      </c>
      <c r="B1730" s="1" t="s">
        <v>27</v>
      </c>
      <c r="C1730" s="1" t="s">
        <v>10028</v>
      </c>
      <c r="D1730" s="1" t="s">
        <v>714</v>
      </c>
      <c r="E1730" s="1" t="s">
        <v>10029</v>
      </c>
      <c r="F1730" s="1" t="s">
        <v>10030</v>
      </c>
      <c r="G1730" s="1" t="s">
        <v>10003</v>
      </c>
      <c r="H1730" s="1">
        <v>2019.0</v>
      </c>
      <c r="I1730" s="1" t="s">
        <v>42</v>
      </c>
      <c r="J1730" s="1" t="s">
        <v>2216</v>
      </c>
      <c r="K1730" s="1" t="s">
        <v>89</v>
      </c>
      <c r="L1730" s="1" t="s">
        <v>10031</v>
      </c>
      <c r="M1730" s="2" t="s">
        <v>12</v>
      </c>
      <c r="N1730" s="4">
        <f t="shared" si="1"/>
        <v>44141</v>
      </c>
      <c r="O1730" s="5" t="str">
        <f>IFERROR(__xludf.DUMMYFUNCTION("IF(REGEXMATCH(TRIM(I1730), ""^\d+\s*min""), ""Unclassified"", IF(I1730 = """", ""NR"", I1730))"),"TV-MA")</f>
        <v>TV-MA</v>
      </c>
      <c r="R1730" s="5" t="str">
        <f t="shared" si="2"/>
        <v>The Endless Trench</v>
      </c>
      <c r="S1730" s="5" t="str">
        <f>IFERROR(__xludf.DUMMYFUNCTION("""COMPUTED_VALUE"""),"Creep 2")</f>
        <v>Creep 2</v>
      </c>
      <c r="U1730" s="5" t="str">
        <f>IFERROR(__xludf.DUMMYFUNCTION("""COMPUTED_VALUE"""),"Sebastian Dinatale")</f>
        <v>Sebastian Dinatale</v>
      </c>
      <c r="V1730" s="5" t="s">
        <v>10032</v>
      </c>
      <c r="W1730" s="5" t="str">
        <f t="shared" si="3"/>
        <v>James Lee</v>
      </c>
      <c r="X1730" s="5">
        <f t="shared" si="4"/>
        <v>1</v>
      </c>
      <c r="Y1730" s="5" t="str">
        <f>IFERROR(__xludf.DUMMYFUNCTION("REGEXEXTRACT(J1730, ""^\d+"")"),"148")</f>
        <v>148</v>
      </c>
      <c r="Z1730" s="5" t="str">
        <f>IFERROR(__xludf.DUMMYFUNCTION("REGEXEXTRACT(J1730, ""[A-Za-z ]+$"")")," min")</f>
        <v> min</v>
      </c>
      <c r="AA1730" s="5" t="str">
        <f>IFERROR(__xludf.DUMMYFUNCTION("IF(REGEXMATCH(Z1730, ""Season""), ""TV Show"", ""Movie"")"),"Movie")</f>
        <v>Movie</v>
      </c>
    </row>
    <row r="1731">
      <c r="A1731" s="1" t="s">
        <v>10033</v>
      </c>
      <c r="B1731" s="1" t="s">
        <v>27</v>
      </c>
      <c r="C1731" s="1" t="s">
        <v>10034</v>
      </c>
      <c r="D1731" s="1" t="s">
        <v>10035</v>
      </c>
      <c r="E1731" s="1" t="s">
        <v>10036</v>
      </c>
      <c r="F1731" s="1" t="s">
        <v>30</v>
      </c>
      <c r="G1731" s="1" t="s">
        <v>10003</v>
      </c>
      <c r="H1731" s="1">
        <v>2016.0</v>
      </c>
      <c r="I1731" s="1" t="s">
        <v>378</v>
      </c>
      <c r="J1731" s="1" t="s">
        <v>465</v>
      </c>
      <c r="K1731" s="1" t="s">
        <v>239</v>
      </c>
      <c r="L1731" s="1" t="s">
        <v>10037</v>
      </c>
      <c r="M1731" s="2" t="s">
        <v>12</v>
      </c>
      <c r="N1731" s="4">
        <f t="shared" si="1"/>
        <v>44141</v>
      </c>
      <c r="O1731" s="5" t="str">
        <f>IFERROR(__xludf.DUMMYFUNCTION("IF(REGEXMATCH(TRIM(I1731), ""^\d+\s*min""), ""Unclassified"", IF(I1731 = """", ""NR"", I1731))"),"R")</f>
        <v>R</v>
      </c>
      <c r="R1731" s="5" t="str">
        <f t="shared" si="2"/>
        <v>The Late Bloomer</v>
      </c>
      <c r="S1731" s="5" t="str">
        <f>IFERROR(__xludf.DUMMYFUNCTION("""COMPUTED_VALUE"""),"Creeped Out")</f>
        <v>Creeped Out</v>
      </c>
      <c r="U1731" s="5" t="str">
        <f>IFERROR(__xludf.DUMMYFUNCTION("""COMPUTED_VALUE"""),"Nuhash Humayun, Syed Ahmed Shawki, Rahat Rahman, Robiul Alam Robi, Golam Kibria Farooki, Mir Mukarram Hossain, Tanvir Ahsan, Mahmudul Islam, Abdullah Al Noor, Krishnendu Chattopadhyay, Syed Saleh Ahmed Sobhan")</f>
        <v>Nuhash Humayun, Syed Ahmed Shawki, Rahat Rahman, Robiul Alam Robi, Golam Kibria Farooki, Mir Mukarram Hossain, Tanvir Ahsan, Mahmudul Islam, Abdullah Al Noor, Krishnendu Chattopadhyay, Syed Saleh Ahmed Sobhan</v>
      </c>
      <c r="V1731" s="5" t="s">
        <v>2064</v>
      </c>
      <c r="W1731" s="5" t="str">
        <f t="shared" si="3"/>
        <v>James Mangold</v>
      </c>
      <c r="X1731" s="5">
        <f t="shared" si="4"/>
        <v>2</v>
      </c>
      <c r="Y1731" s="5" t="str">
        <f>IFERROR(__xludf.DUMMYFUNCTION("REGEXEXTRACT(J1731, ""^\d+"")"),"95")</f>
        <v>95</v>
      </c>
      <c r="Z1731" s="5" t="str">
        <f>IFERROR(__xludf.DUMMYFUNCTION("REGEXEXTRACT(J1731, ""[A-Za-z ]+$"")")," min")</f>
        <v> min</v>
      </c>
      <c r="AA1731" s="5" t="str">
        <f>IFERROR(__xludf.DUMMYFUNCTION("IF(REGEXMATCH(Z1731, ""Season""), ""TV Show"", ""Movie"")"),"Movie")</f>
        <v>Movie</v>
      </c>
    </row>
    <row r="1732">
      <c r="A1732" s="1" t="s">
        <v>10038</v>
      </c>
      <c r="B1732" s="1" t="s">
        <v>37</v>
      </c>
      <c r="C1732" s="1" t="s">
        <v>10039</v>
      </c>
      <c r="E1732" s="1" t="s">
        <v>10040</v>
      </c>
      <c r="F1732" s="1" t="s">
        <v>221</v>
      </c>
      <c r="G1732" s="1" t="s">
        <v>10003</v>
      </c>
      <c r="H1732" s="1">
        <v>2018.0</v>
      </c>
      <c r="I1732" s="1" t="s">
        <v>42</v>
      </c>
      <c r="J1732" s="1" t="s">
        <v>51</v>
      </c>
      <c r="K1732" s="1" t="s">
        <v>1531</v>
      </c>
      <c r="L1732" s="1" t="s">
        <v>10041</v>
      </c>
      <c r="M1732" s="2" t="s">
        <v>12</v>
      </c>
      <c r="N1732" s="4">
        <f t="shared" si="1"/>
        <v>44141</v>
      </c>
      <c r="O1732" s="5" t="str">
        <f>IFERROR(__xludf.DUMMYFUNCTION("IF(REGEXMATCH(TRIM(I1732), ""^\d+\s*min""), ""Unclassified"", IF(I1732 = """", ""NR"", I1732))"),"TV-MA")</f>
        <v>TV-MA</v>
      </c>
      <c r="R1732" s="5" t="str">
        <f t="shared" si="2"/>
        <v>Wrong Kind Of Black</v>
      </c>
      <c r="S1732" s="5" t="str">
        <f>IFERROR(__xludf.DUMMYFUNCTION("""COMPUTED_VALUE"""),"Cricket Fever: Mumbai Indians")</f>
        <v>Cricket Fever: Mumbai Indians</v>
      </c>
      <c r="U1732" s="5" t="str">
        <f>IFERROR(__xludf.DUMMYFUNCTION("""COMPUTED_VALUE"""),"Karan Anshuman")</f>
        <v>Karan Anshuman</v>
      </c>
      <c r="V1732" s="5" t="s">
        <v>10042</v>
      </c>
      <c r="W1732" s="5" t="str">
        <f t="shared" si="3"/>
        <v>James Marsh</v>
      </c>
      <c r="X1732" s="5">
        <f t="shared" si="4"/>
        <v>1</v>
      </c>
      <c r="Y1732" s="5" t="str">
        <f>IFERROR(__xludf.DUMMYFUNCTION("REGEXEXTRACT(J1732, ""^\d+"")"),"1")</f>
        <v>1</v>
      </c>
      <c r="Z1732" s="5" t="str">
        <f>IFERROR(__xludf.DUMMYFUNCTION("REGEXEXTRACT(J1732, ""[A-Za-z ]+$"")")," Season")</f>
        <v> Season</v>
      </c>
      <c r="AA1732" s="5" t="str">
        <f>IFERROR(__xludf.DUMMYFUNCTION("IF(REGEXMATCH(Z1732, ""Season""), ""TV Show"", ""Movie"")"),"TV Show")</f>
        <v>TV Show</v>
      </c>
    </row>
    <row r="1733">
      <c r="A1733" s="1" t="s">
        <v>10043</v>
      </c>
      <c r="B1733" s="1" t="s">
        <v>27</v>
      </c>
      <c r="C1733" s="1" t="s">
        <v>10044</v>
      </c>
      <c r="D1733" s="1" t="s">
        <v>10045</v>
      </c>
      <c r="E1733" s="1" t="s">
        <v>10046</v>
      </c>
      <c r="F1733" s="1" t="s">
        <v>30</v>
      </c>
      <c r="G1733" s="1" t="s">
        <v>10047</v>
      </c>
      <c r="H1733" s="1">
        <v>2020.0</v>
      </c>
      <c r="I1733" s="1" t="s">
        <v>42</v>
      </c>
      <c r="J1733" s="1" t="s">
        <v>33</v>
      </c>
      <c r="K1733" s="1" t="s">
        <v>10048</v>
      </c>
      <c r="L1733" s="1" t="s">
        <v>10049</v>
      </c>
      <c r="M1733" s="2" t="s">
        <v>12</v>
      </c>
      <c r="N1733" s="4">
        <f t="shared" si="1"/>
        <v>44140</v>
      </c>
      <c r="O1733" s="5" t="str">
        <f>IFERROR(__xludf.DUMMYFUNCTION("IF(REGEXMATCH(TRIM(I1733), ""^\d+\s*min""), ""Unclassified"", IF(I1733 = """", ""NR"", I1733))"),"TV-MA")</f>
        <v>TV-MA</v>
      </c>
      <c r="R1733" s="5" t="str">
        <f t="shared" si="2"/>
        <v>A New York Christmas Wedding</v>
      </c>
      <c r="S1733" s="5" t="str">
        <f>IFERROR(__xludf.DUMMYFUNCTION("""COMPUTED_VALUE"""),"Crime Diaries: Night Out")</f>
        <v>Crime Diaries: Night Out</v>
      </c>
      <c r="U1733" s="5" t="str">
        <f>IFERROR(__xludf.DUMMYFUNCTION("""COMPUTED_VALUE"""),"Farhan Akhtar")</f>
        <v>Farhan Akhtar</v>
      </c>
      <c r="V1733" s="5" t="s">
        <v>10050</v>
      </c>
      <c r="W1733" s="5" t="str">
        <f t="shared" si="3"/>
        <v>James Mather, Steve Saint Leger</v>
      </c>
      <c r="X1733" s="5">
        <f t="shared" si="4"/>
        <v>1</v>
      </c>
      <c r="Y1733" s="5" t="str">
        <f>IFERROR(__xludf.DUMMYFUNCTION("REGEXEXTRACT(J1733, ""^\d+"")"),"90")</f>
        <v>90</v>
      </c>
      <c r="Z1733" s="5" t="str">
        <f>IFERROR(__xludf.DUMMYFUNCTION("REGEXEXTRACT(J1733, ""[A-Za-z ]+$"")")," min")</f>
        <v> min</v>
      </c>
      <c r="AA1733" s="5" t="str">
        <f>IFERROR(__xludf.DUMMYFUNCTION("IF(REGEXMATCH(Z1733, ""Season""), ""TV Show"", ""Movie"")"),"Movie")</f>
        <v>Movie</v>
      </c>
    </row>
    <row r="1734">
      <c r="A1734" s="1" t="s">
        <v>10051</v>
      </c>
      <c r="B1734" s="1" t="s">
        <v>27</v>
      </c>
      <c r="C1734" s="1" t="s">
        <v>10052</v>
      </c>
      <c r="D1734" s="1" t="s">
        <v>2329</v>
      </c>
      <c r="E1734" s="1" t="s">
        <v>10053</v>
      </c>
      <c r="F1734" s="1" t="s">
        <v>4287</v>
      </c>
      <c r="G1734" s="1" t="s">
        <v>10047</v>
      </c>
      <c r="H1734" s="1">
        <v>2019.0</v>
      </c>
      <c r="I1734" s="1" t="s">
        <v>97</v>
      </c>
      <c r="J1734" s="1" t="s">
        <v>238</v>
      </c>
      <c r="K1734" s="1" t="s">
        <v>679</v>
      </c>
      <c r="L1734" s="1" t="s">
        <v>10054</v>
      </c>
      <c r="M1734" s="2" t="s">
        <v>12</v>
      </c>
      <c r="N1734" s="4">
        <f t="shared" si="1"/>
        <v>44140</v>
      </c>
      <c r="O1734" s="5" t="str">
        <f>IFERROR(__xludf.DUMMYFUNCTION("IF(REGEXMATCH(TRIM(I1734), ""^\d+\s*min""), ""Unclassified"", IF(I1734 = """", ""NR"", I1734))"),"TV-14")</f>
        <v>TV-14</v>
      </c>
      <c r="R1734" s="5" t="str">
        <f t="shared" si="2"/>
        <v>Alone/Together</v>
      </c>
      <c r="S1734" s="5" t="str">
        <f>IFERROR(__xludf.DUMMYFUNCTION("""COMPUTED_VALUE"""),"Crime Diaries: The Candidate")</f>
        <v>Crime Diaries: The Candidate</v>
      </c>
      <c r="U1734" s="5" t="str">
        <f>IFERROR(__xludf.DUMMYFUNCTION("""COMPUTED_VALUE"""),"Zoya Akhtar")</f>
        <v>Zoya Akhtar</v>
      </c>
      <c r="V1734" s="5" t="s">
        <v>10055</v>
      </c>
      <c r="W1734" s="5" t="str">
        <f t="shared" si="3"/>
        <v>James Mcteigue</v>
      </c>
      <c r="X1734" s="5">
        <f t="shared" si="4"/>
        <v>2</v>
      </c>
      <c r="Y1734" s="5" t="str">
        <f>IFERROR(__xludf.DUMMYFUNCTION("REGEXEXTRACT(J1734, ""^\d+"")"),"103")</f>
        <v>103</v>
      </c>
      <c r="Z1734" s="5" t="str">
        <f>IFERROR(__xludf.DUMMYFUNCTION("REGEXEXTRACT(J1734, ""[A-Za-z ]+$"")")," min")</f>
        <v> min</v>
      </c>
      <c r="AA1734" s="5" t="str">
        <f>IFERROR(__xludf.DUMMYFUNCTION("IF(REGEXMATCH(Z1734, ""Season""), ""TV Show"", ""Movie"")"),"Movie")</f>
        <v>Movie</v>
      </c>
    </row>
    <row r="1735">
      <c r="A1735" s="1" t="s">
        <v>10056</v>
      </c>
      <c r="B1735" s="1" t="s">
        <v>37</v>
      </c>
      <c r="C1735" s="1" t="s">
        <v>10057</v>
      </c>
      <c r="D1735" s="1" t="s">
        <v>988</v>
      </c>
      <c r="F1735" s="1" t="s">
        <v>1815</v>
      </c>
      <c r="G1735" s="1" t="s">
        <v>10047</v>
      </c>
      <c r="H1735" s="1">
        <v>2020.0</v>
      </c>
      <c r="I1735" s="1" t="s">
        <v>97</v>
      </c>
      <c r="J1735" s="1" t="s">
        <v>51</v>
      </c>
      <c r="K1735" s="1" t="s">
        <v>112</v>
      </c>
      <c r="L1735" s="1" t="s">
        <v>10058</v>
      </c>
      <c r="M1735" s="2" t="s">
        <v>12</v>
      </c>
      <c r="N1735" s="4">
        <f t="shared" si="1"/>
        <v>44140</v>
      </c>
      <c r="O1735" s="5" t="str">
        <f>IFERROR(__xludf.DUMMYFUNCTION("IF(REGEXMATCH(TRIM(I1735), ""^\d+\s*min""), ""Unclassified"", IF(I1735 = """", ""NR"", I1735))"),"TV-14")</f>
        <v>TV-14</v>
      </c>
      <c r="R1735" s="5" t="str">
        <f t="shared" si="2"/>
        <v>Carmel: Who Killed Maria Marta?</v>
      </c>
      <c r="S1735" s="5" t="str">
        <f>IFERROR(__xludf.DUMMYFUNCTION("""COMPUTED_VALUE"""),"Crime Scene: The Vanishing At The Cecil Hotel")</f>
        <v>Crime Scene: The Vanishing At The Cecil Hotel</v>
      </c>
      <c r="U1735" s="5" t="str">
        <f>IFERROR(__xludf.DUMMYFUNCTION("""COMPUTED_VALUE"""),"Mrighdeep Singh Lamba")</f>
        <v>Mrighdeep Singh Lamba</v>
      </c>
      <c r="V1735" s="5" t="s">
        <v>5240</v>
      </c>
      <c r="W1735" s="5" t="str">
        <f t="shared" si="3"/>
        <v>James Moll</v>
      </c>
      <c r="X1735" s="5">
        <f t="shared" si="4"/>
        <v>1</v>
      </c>
      <c r="Y1735" s="5" t="str">
        <f>IFERROR(__xludf.DUMMYFUNCTION("REGEXEXTRACT(J1735, ""^\d+"")"),"1")</f>
        <v>1</v>
      </c>
      <c r="Z1735" s="5" t="str">
        <f>IFERROR(__xludf.DUMMYFUNCTION("REGEXEXTRACT(J1735, ""[A-Za-z ]+$"")")," Season")</f>
        <v> Season</v>
      </c>
      <c r="AA1735" s="5" t="str">
        <f>IFERROR(__xludf.DUMMYFUNCTION("IF(REGEXMATCH(Z1735, ""Season""), ""TV Show"", ""Movie"")"),"TV Show")</f>
        <v>TV Show</v>
      </c>
    </row>
    <row r="1736">
      <c r="A1736" s="1" t="s">
        <v>10059</v>
      </c>
      <c r="B1736" s="1" t="s">
        <v>27</v>
      </c>
      <c r="C1736" s="1" t="s">
        <v>10060</v>
      </c>
      <c r="D1736" s="1" t="s">
        <v>10061</v>
      </c>
      <c r="E1736" s="1" t="s">
        <v>10062</v>
      </c>
      <c r="F1736" s="1" t="s">
        <v>1106</v>
      </c>
      <c r="G1736" s="1" t="s">
        <v>10047</v>
      </c>
      <c r="H1736" s="1">
        <v>2020.0</v>
      </c>
      <c r="I1736" s="1" t="s">
        <v>506</v>
      </c>
      <c r="J1736" s="1" t="s">
        <v>630</v>
      </c>
      <c r="K1736" s="1" t="s">
        <v>813</v>
      </c>
      <c r="L1736" s="1" t="s">
        <v>10063</v>
      </c>
      <c r="M1736" s="2" t="s">
        <v>12</v>
      </c>
      <c r="N1736" s="4">
        <f t="shared" si="1"/>
        <v>44140</v>
      </c>
      <c r="O1736" s="5" t="str">
        <f>IFERROR(__xludf.DUMMYFUNCTION("IF(REGEXMATCH(TRIM(I1736), ""^\d+\s*min""), ""Unclassified"", IF(I1736 = """", ""NR"", I1736))"),"TV-G")</f>
        <v>TV-G</v>
      </c>
      <c r="R1736" s="5" t="str">
        <f t="shared" si="2"/>
        <v>Midnight At The Magnolia</v>
      </c>
      <c r="S1736" s="5" t="str">
        <f>IFERROR(__xludf.DUMMYFUNCTION("""COMPUTED_VALUE"""),"Crime Stories: India Detectives")</f>
        <v>Crime Stories: India Detectives</v>
      </c>
      <c r="U1736" s="5" t="str">
        <f>IFERROR(__xludf.DUMMYFUNCTION("""COMPUTED_VALUE"""),"Tsutomu Mizushima")</f>
        <v>Tsutomu Mizushima</v>
      </c>
      <c r="V1736" s="5" t="s">
        <v>10064</v>
      </c>
      <c r="W1736" s="5" t="str">
        <f t="shared" si="3"/>
        <v>James Ponsoldt</v>
      </c>
      <c r="X1736" s="5">
        <f t="shared" si="4"/>
        <v>2</v>
      </c>
      <c r="Y1736" s="5" t="str">
        <f>IFERROR(__xludf.DUMMYFUNCTION("REGEXEXTRACT(J1736, ""^\d+"")"),"87")</f>
        <v>87</v>
      </c>
      <c r="Z1736" s="5" t="str">
        <f>IFERROR(__xludf.DUMMYFUNCTION("REGEXEXTRACT(J1736, ""[A-Za-z ]+$"")")," min")</f>
        <v> min</v>
      </c>
      <c r="AA1736" s="5" t="str">
        <f>IFERROR(__xludf.DUMMYFUNCTION("IF(REGEXMATCH(Z1736, ""Season""), ""TV Show"", ""Movie"")"),"Movie")</f>
        <v>Movie</v>
      </c>
    </row>
    <row r="1737">
      <c r="A1737" s="1" t="s">
        <v>10065</v>
      </c>
      <c r="B1737" s="1" t="s">
        <v>27</v>
      </c>
      <c r="C1737" s="1" t="s">
        <v>10066</v>
      </c>
      <c r="D1737" s="1" t="s">
        <v>10067</v>
      </c>
      <c r="E1737" s="1" t="s">
        <v>10068</v>
      </c>
      <c r="F1737" s="1" t="s">
        <v>4287</v>
      </c>
      <c r="G1737" s="1" t="s">
        <v>10047</v>
      </c>
      <c r="H1737" s="1">
        <v>2012.0</v>
      </c>
      <c r="I1737" s="1" t="s">
        <v>97</v>
      </c>
      <c r="J1737" s="1" t="s">
        <v>447</v>
      </c>
      <c r="K1737" s="1" t="s">
        <v>679</v>
      </c>
      <c r="L1737" s="1" t="s">
        <v>10069</v>
      </c>
      <c r="M1737" s="2" t="s">
        <v>12</v>
      </c>
      <c r="N1737" s="4">
        <f t="shared" si="1"/>
        <v>44140</v>
      </c>
      <c r="O1737" s="5" t="str">
        <f>IFERROR(__xludf.DUMMYFUNCTION("IF(REGEXMATCH(TRIM(I1737), ""^\d+\s*min""), ""Unclassified"", IF(I1737 = """", ""NR"", I1737))"),"TV-14")</f>
        <v>TV-14</v>
      </c>
      <c r="R1737" s="5" t="str">
        <f t="shared" si="2"/>
        <v>One More Try</v>
      </c>
      <c r="S1737" s="5" t="str">
        <f>IFERROR(__xludf.DUMMYFUNCTION("""COMPUTED_VALUE"""),"Crime Time")</f>
        <v>Crime Time</v>
      </c>
      <c r="U1737" s="5" t="str">
        <f>IFERROR(__xludf.DUMMYFUNCTION("""COMPUTED_VALUE"""),"Reema Kagti")</f>
        <v>Reema Kagti</v>
      </c>
      <c r="V1737" s="5" t="s">
        <v>5255</v>
      </c>
      <c r="W1737" s="5" t="str">
        <f t="shared" si="3"/>
        <v>James Redford</v>
      </c>
      <c r="X1737" s="5">
        <f t="shared" si="4"/>
        <v>1</v>
      </c>
      <c r="Y1737" s="5" t="str">
        <f>IFERROR(__xludf.DUMMYFUNCTION("REGEXEXTRACT(J1737, ""^\d+"")"),"102")</f>
        <v>102</v>
      </c>
      <c r="Z1737" s="5" t="str">
        <f>IFERROR(__xludf.DUMMYFUNCTION("REGEXEXTRACT(J1737, ""[A-Za-z ]+$"")")," min")</f>
        <v> min</v>
      </c>
      <c r="AA1737" s="5" t="str">
        <f>IFERROR(__xludf.DUMMYFUNCTION("IF(REGEXMATCH(Z1737, ""Season""), ""TV Show"", ""Movie"")"),"Movie")</f>
        <v>Movie</v>
      </c>
    </row>
    <row r="1738">
      <c r="A1738" s="1" t="s">
        <v>10070</v>
      </c>
      <c r="B1738" s="1" t="s">
        <v>27</v>
      </c>
      <c r="C1738" s="1" t="s">
        <v>10071</v>
      </c>
      <c r="D1738" s="1" t="s">
        <v>10072</v>
      </c>
      <c r="E1738" s="1" t="s">
        <v>10073</v>
      </c>
      <c r="F1738" s="1" t="s">
        <v>30</v>
      </c>
      <c r="G1738" s="1" t="s">
        <v>10047</v>
      </c>
      <c r="H1738" s="1">
        <v>2020.0</v>
      </c>
      <c r="I1738" s="1" t="s">
        <v>506</v>
      </c>
      <c r="J1738" s="1" t="s">
        <v>322</v>
      </c>
      <c r="K1738" s="1" t="s">
        <v>10074</v>
      </c>
      <c r="L1738" s="1" t="s">
        <v>10075</v>
      </c>
      <c r="M1738" s="2" t="s">
        <v>12</v>
      </c>
      <c r="N1738" s="4">
        <f t="shared" si="1"/>
        <v>44140</v>
      </c>
      <c r="O1738" s="5" t="str">
        <f>IFERROR(__xludf.DUMMYFUNCTION("IF(REGEXMATCH(TRIM(I1738), ""^\d+\s*min""), ""Unclassified"", IF(I1738 = """", ""NR"", I1738))"),"TV-G")</f>
        <v>TV-G</v>
      </c>
      <c r="R1738" s="5" t="str">
        <f t="shared" si="2"/>
        <v>Operation Christmas Drop</v>
      </c>
      <c r="S1738" s="5" t="str">
        <f>IFERROR(__xludf.DUMMYFUNCTION("""COMPUTED_VALUE"""),"Criminal Minds")</f>
        <v>Criminal Minds</v>
      </c>
      <c r="U1738" s="5" t="str">
        <f>IFERROR(__xludf.DUMMYFUNCTION("""COMPUTED_VALUE"""),"Jadesola Osiberu")</f>
        <v>Jadesola Osiberu</v>
      </c>
      <c r="V1738" s="5" t="s">
        <v>10076</v>
      </c>
      <c r="W1738" s="5" t="str">
        <f t="shared" si="3"/>
        <v>James Sweeney</v>
      </c>
      <c r="X1738" s="5">
        <f t="shared" si="4"/>
        <v>1</v>
      </c>
      <c r="Y1738" s="5" t="str">
        <f>IFERROR(__xludf.DUMMYFUNCTION("REGEXEXTRACT(J1738, ""^\d+"")"),"96")</f>
        <v>96</v>
      </c>
      <c r="Z1738" s="5" t="str">
        <f>IFERROR(__xludf.DUMMYFUNCTION("REGEXEXTRACT(J1738, ""[A-Za-z ]+$"")")," min")</f>
        <v> min</v>
      </c>
      <c r="AA1738" s="5" t="str">
        <f>IFERROR(__xludf.DUMMYFUNCTION("IF(REGEXMATCH(Z1738, ""Season""), ""TV Show"", ""Movie"")"),"Movie")</f>
        <v>Movie</v>
      </c>
    </row>
    <row r="1739">
      <c r="A1739" s="1" t="s">
        <v>10077</v>
      </c>
      <c r="B1739" s="1" t="s">
        <v>37</v>
      </c>
      <c r="C1739" s="1" t="s">
        <v>10078</v>
      </c>
      <c r="E1739" s="1" t="s">
        <v>10079</v>
      </c>
      <c r="F1739" s="1" t="s">
        <v>3309</v>
      </c>
      <c r="G1739" s="1" t="s">
        <v>10047</v>
      </c>
      <c r="H1739" s="1">
        <v>2020.0</v>
      </c>
      <c r="I1739" s="1" t="s">
        <v>97</v>
      </c>
      <c r="J1739" s="1" t="s">
        <v>51</v>
      </c>
      <c r="K1739" s="1" t="s">
        <v>9281</v>
      </c>
      <c r="L1739" s="1" t="s">
        <v>10080</v>
      </c>
      <c r="M1739" s="2" t="s">
        <v>12</v>
      </c>
      <c r="N1739" s="4">
        <f t="shared" si="1"/>
        <v>44140</v>
      </c>
      <c r="O1739" s="5" t="str">
        <f>IFERROR(__xludf.DUMMYFUNCTION("IF(REGEXMATCH(TRIM(I1739), ""^\d+\s*min""), ""Unclassified"", IF(I1739 = """", ""NR"", I1739))"),"TV-14")</f>
        <v>TV-14</v>
      </c>
      <c r="R1739" s="5" t="str">
        <f t="shared" si="2"/>
        <v>Paranormal</v>
      </c>
      <c r="S1739" s="5" t="str">
        <f>IFERROR(__xludf.DUMMYFUNCTION("""COMPUTED_VALUE"""),"Criminal: France")</f>
        <v>Criminal: France</v>
      </c>
      <c r="U1739" s="5" t="str">
        <f>IFERROR(__xludf.DUMMYFUNCTION("""COMPUTED_VALUE"""),"Vijay Lalwani")</f>
        <v>Vijay Lalwani</v>
      </c>
      <c r="V1739" s="5" t="s">
        <v>8329</v>
      </c>
      <c r="W1739" s="5" t="str">
        <f t="shared" si="3"/>
        <v>James Toback</v>
      </c>
      <c r="X1739" s="5">
        <f t="shared" si="4"/>
        <v>2</v>
      </c>
      <c r="Y1739" s="5" t="str">
        <f>IFERROR(__xludf.DUMMYFUNCTION("REGEXEXTRACT(J1739, ""^\d+"")"),"1")</f>
        <v>1</v>
      </c>
      <c r="Z1739" s="5" t="str">
        <f>IFERROR(__xludf.DUMMYFUNCTION("REGEXEXTRACT(J1739, ""[A-Za-z ]+$"")")," Season")</f>
        <v> Season</v>
      </c>
      <c r="AA1739" s="5" t="str">
        <f>IFERROR(__xludf.DUMMYFUNCTION("IF(REGEXMATCH(Z1739, ""Season""), ""TV Show"", ""Movie"")"),"TV Show")</f>
        <v>TV Show</v>
      </c>
    </row>
    <row r="1740">
      <c r="A1740" s="1" t="s">
        <v>10081</v>
      </c>
      <c r="B1740" s="1" t="s">
        <v>27</v>
      </c>
      <c r="C1740" s="1" t="s">
        <v>10082</v>
      </c>
      <c r="E1740" s="1" t="s">
        <v>10083</v>
      </c>
      <c r="F1740" s="1" t="s">
        <v>1106</v>
      </c>
      <c r="G1740" s="1" t="s">
        <v>10084</v>
      </c>
      <c r="H1740" s="1">
        <v>2018.0</v>
      </c>
      <c r="I1740" s="1" t="s">
        <v>506</v>
      </c>
      <c r="J1740" s="1" t="s">
        <v>630</v>
      </c>
      <c r="K1740" s="1" t="s">
        <v>828</v>
      </c>
      <c r="L1740" s="1" t="s">
        <v>10085</v>
      </c>
      <c r="M1740" s="2" t="s">
        <v>12</v>
      </c>
      <c r="N1740" s="4">
        <f t="shared" si="1"/>
        <v>44139</v>
      </c>
      <c r="O1740" s="5" t="str">
        <f>IFERROR(__xludf.DUMMYFUNCTION("IF(REGEXMATCH(TRIM(I1740), ""^\d+\s*min""), ""Unclassified"", IF(I1740 = """", ""NR"", I1740))"),"TV-G")</f>
        <v>TV-G</v>
      </c>
      <c r="R1740" s="5" t="str">
        <f t="shared" si="2"/>
        <v>A Christmas Catch</v>
      </c>
      <c r="S1740" s="5" t="str">
        <f>IFERROR(__xludf.DUMMYFUNCTION("""COMPUTED_VALUE"""),"Criminal: Germany")</f>
        <v>Criminal: Germany</v>
      </c>
      <c r="U1740" s="5" t="str">
        <f>IFERROR(__xludf.DUMMYFUNCTION("""COMPUTED_VALUE"""),"Abhishek Kapoor")</f>
        <v>Abhishek Kapoor</v>
      </c>
      <c r="V1740" s="5" t="s">
        <v>10086</v>
      </c>
      <c r="W1740" s="5" t="str">
        <f t="shared" si="3"/>
        <v>James Tovell</v>
      </c>
      <c r="X1740" s="5">
        <f t="shared" si="4"/>
        <v>1</v>
      </c>
      <c r="Y1740" s="5" t="str">
        <f>IFERROR(__xludf.DUMMYFUNCTION("REGEXEXTRACT(J1740, ""^\d+"")"),"87")</f>
        <v>87</v>
      </c>
      <c r="Z1740" s="5" t="str">
        <f>IFERROR(__xludf.DUMMYFUNCTION("REGEXEXTRACT(J1740, ""[A-Za-z ]+$"")")," min")</f>
        <v> min</v>
      </c>
      <c r="AA1740" s="5" t="str">
        <f>IFERROR(__xludf.DUMMYFUNCTION("IF(REGEXMATCH(Z1740, ""Season""), ""TV Show"", ""Movie"")"),"Movie")</f>
        <v>Movie</v>
      </c>
    </row>
    <row r="1741">
      <c r="A1741" s="1" t="s">
        <v>10087</v>
      </c>
      <c r="B1741" s="1" t="s">
        <v>27</v>
      </c>
      <c r="C1741" s="1" t="s">
        <v>10088</v>
      </c>
      <c r="D1741" s="1" t="s">
        <v>9831</v>
      </c>
      <c r="E1741" s="1" t="s">
        <v>10089</v>
      </c>
      <c r="F1741" s="1" t="s">
        <v>1106</v>
      </c>
      <c r="G1741" s="1" t="s">
        <v>10084</v>
      </c>
      <c r="H1741" s="1">
        <v>2018.0</v>
      </c>
      <c r="I1741" s="1" t="s">
        <v>136</v>
      </c>
      <c r="J1741" s="1" t="s">
        <v>1144</v>
      </c>
      <c r="K1741" s="1" t="s">
        <v>1099</v>
      </c>
      <c r="L1741" s="1" t="s">
        <v>10090</v>
      </c>
      <c r="M1741" s="2" t="s">
        <v>12</v>
      </c>
      <c r="N1741" s="4">
        <f t="shared" si="1"/>
        <v>44139</v>
      </c>
      <c r="O1741" s="5" t="str">
        <f>IFERROR(__xludf.DUMMYFUNCTION("IF(REGEXMATCH(TRIM(I1741), ""^\d+\s*min""), ""Unclassified"", IF(I1741 = """", ""NR"", I1741))"),"TV-PG")</f>
        <v>TV-PG</v>
      </c>
      <c r="R1741" s="5" t="str">
        <f t="shared" si="2"/>
        <v>Christmas With A Prince</v>
      </c>
      <c r="S1741" s="5" t="str">
        <f>IFERROR(__xludf.DUMMYFUNCTION("""COMPUTED_VALUE"""),"Criminal: Spain")</f>
        <v>Criminal: Spain</v>
      </c>
      <c r="U1741" s="5" t="str">
        <f>IFERROR(__xludf.DUMMYFUNCTION("""COMPUTED_VALUE"""),"Michael Bay")</f>
        <v>Michael Bay</v>
      </c>
      <c r="V1741" s="5" t="s">
        <v>6638</v>
      </c>
      <c r="W1741" s="5" t="str">
        <f t="shared" si="3"/>
        <v>James Wan</v>
      </c>
      <c r="X1741" s="5">
        <f t="shared" si="4"/>
        <v>3</v>
      </c>
      <c r="Y1741" s="5" t="str">
        <f>IFERROR(__xludf.DUMMYFUNCTION("REGEXEXTRACT(J1741, ""^\d+"")"),"86")</f>
        <v>86</v>
      </c>
      <c r="Z1741" s="5" t="str">
        <f>IFERROR(__xludf.DUMMYFUNCTION("REGEXEXTRACT(J1741, ""[A-Za-z ]+$"")")," min")</f>
        <v> min</v>
      </c>
      <c r="AA1741" s="5" t="str">
        <f>IFERROR(__xludf.DUMMYFUNCTION("IF(REGEXMATCH(Z1741, ""Season""), ""TV Show"", ""Movie"")"),"Movie")</f>
        <v>Movie</v>
      </c>
    </row>
    <row r="1742">
      <c r="A1742" s="1" t="s">
        <v>10091</v>
      </c>
      <c r="B1742" s="1" t="s">
        <v>37</v>
      </c>
      <c r="C1742" s="1" t="s">
        <v>10092</v>
      </c>
      <c r="E1742" s="1" t="s">
        <v>10093</v>
      </c>
      <c r="F1742" s="1" t="s">
        <v>3834</v>
      </c>
      <c r="G1742" s="1" t="s">
        <v>10084</v>
      </c>
      <c r="H1742" s="1">
        <v>2020.0</v>
      </c>
      <c r="I1742" s="1" t="s">
        <v>42</v>
      </c>
      <c r="J1742" s="1" t="s">
        <v>51</v>
      </c>
      <c r="K1742" s="1" t="s">
        <v>64</v>
      </c>
      <c r="L1742" s="1" t="s">
        <v>10094</v>
      </c>
      <c r="M1742" s="2" t="s">
        <v>12</v>
      </c>
      <c r="N1742" s="4">
        <f t="shared" si="1"/>
        <v>44139</v>
      </c>
      <c r="O1742" s="5" t="str">
        <f>IFERROR(__xludf.DUMMYFUNCTION("IF(REGEXMATCH(TRIM(I1742), ""^\d+\s*min""), ""Unclassified"", IF(I1742 = """", ""NR"", I1742))"),"TV-MA")</f>
        <v>TV-MA</v>
      </c>
      <c r="R1742" s="5" t="str">
        <f t="shared" si="2"/>
        <v>Love &amp; Anarchy</v>
      </c>
      <c r="S1742" s="5" t="str">
        <f>IFERROR(__xludf.DUMMYFUNCTION("""COMPUTED_VALUE"""),"Criminal: Uk")</f>
        <v>Criminal: Uk</v>
      </c>
      <c r="U1742" s="5" t="str">
        <f>IFERROR(__xludf.DUMMYFUNCTION("""COMPUTED_VALUE"""),"Biodun Stephen")</f>
        <v>Biodun Stephen</v>
      </c>
      <c r="V1742" s="5" t="s">
        <v>10095</v>
      </c>
      <c r="W1742" s="5" t="str">
        <f t="shared" si="3"/>
        <v>James Watkins</v>
      </c>
      <c r="X1742" s="5">
        <f t="shared" si="4"/>
        <v>1</v>
      </c>
      <c r="Y1742" s="5" t="str">
        <f>IFERROR(__xludf.DUMMYFUNCTION("REGEXEXTRACT(J1742, ""^\d+"")"),"1")</f>
        <v>1</v>
      </c>
      <c r="Z1742" s="5" t="str">
        <f>IFERROR(__xludf.DUMMYFUNCTION("REGEXEXTRACT(J1742, ""[A-Za-z ]+$"")")," Season")</f>
        <v> Season</v>
      </c>
      <c r="AA1742" s="5" t="str">
        <f>IFERROR(__xludf.DUMMYFUNCTION("IF(REGEXMATCH(Z1742, ""Season""), ""TV Show"", ""Movie"")"),"TV Show")</f>
        <v>TV Show</v>
      </c>
    </row>
    <row r="1743">
      <c r="A1743" s="1" t="s">
        <v>10096</v>
      </c>
      <c r="B1743" s="1" t="s">
        <v>27</v>
      </c>
      <c r="C1743" s="1" t="s">
        <v>10097</v>
      </c>
      <c r="D1743" s="1" t="s">
        <v>10098</v>
      </c>
      <c r="E1743" s="1" t="s">
        <v>10099</v>
      </c>
      <c r="F1743" s="1" t="s">
        <v>63</v>
      </c>
      <c r="G1743" s="1" t="s">
        <v>10084</v>
      </c>
      <c r="H1743" s="1">
        <v>2020.0</v>
      </c>
      <c r="I1743" s="1" t="s">
        <v>136</v>
      </c>
      <c r="J1743" s="1" t="s">
        <v>1383</v>
      </c>
      <c r="K1743" s="1" t="s">
        <v>128</v>
      </c>
      <c r="L1743" s="1" t="s">
        <v>10100</v>
      </c>
      <c r="M1743" s="2" t="s">
        <v>12</v>
      </c>
      <c r="N1743" s="4">
        <f t="shared" si="1"/>
        <v>44139</v>
      </c>
      <c r="O1743" s="5" t="str">
        <f>IFERROR(__xludf.DUMMYFUNCTION("IF(REGEXMATCH(TRIM(I1743), ""^\d+\s*min""), ""Unclassified"", IF(I1743 = """", ""NR"", I1743))"),"TV-PG")</f>
        <v>TV-PG</v>
      </c>
      <c r="R1743" s="5" t="str">
        <f t="shared" si="2"/>
        <v>Miss India</v>
      </c>
      <c r="S1743" s="5" t="str">
        <f>IFERROR(__xludf.DUMMYFUNCTION("""COMPUTED_VALUE"""),"Crimson Peak")</f>
        <v>Crimson Peak</v>
      </c>
      <c r="U1743" s="5" t="str">
        <f>IFERROR(__xludf.DUMMYFUNCTION("""COMPUTED_VALUE"""),"Ding-Lin Wang")</f>
        <v>Ding-Lin Wang</v>
      </c>
      <c r="V1743" s="5" t="s">
        <v>10101</v>
      </c>
      <c r="W1743" s="5" t="str">
        <f t="shared" si="3"/>
        <v>James Wong</v>
      </c>
      <c r="X1743" s="5">
        <f t="shared" si="4"/>
        <v>2</v>
      </c>
      <c r="Y1743" s="5" t="str">
        <f>IFERROR(__xludf.DUMMYFUNCTION("REGEXEXTRACT(J1743, ""^\d+"")"),"136")</f>
        <v>136</v>
      </c>
      <c r="Z1743" s="5" t="str">
        <f>IFERROR(__xludf.DUMMYFUNCTION("REGEXEXTRACT(J1743, ""[A-Za-z ]+$"")")," min")</f>
        <v> min</v>
      </c>
      <c r="AA1743" s="5" t="str">
        <f>IFERROR(__xludf.DUMMYFUNCTION("IF(REGEXMATCH(Z1743, ""Season""), ""TV Show"", ""Movie"")"),"Movie")</f>
        <v>Movie</v>
      </c>
    </row>
    <row r="1744">
      <c r="A1744" s="1" t="s">
        <v>10102</v>
      </c>
      <c r="B1744" s="1" t="s">
        <v>27</v>
      </c>
      <c r="C1744" s="1" t="s">
        <v>10103</v>
      </c>
      <c r="D1744" s="1" t="s">
        <v>10104</v>
      </c>
      <c r="E1744" s="1" t="s">
        <v>10105</v>
      </c>
      <c r="F1744" s="1" t="s">
        <v>2492</v>
      </c>
      <c r="G1744" s="1" t="s">
        <v>10106</v>
      </c>
      <c r="H1744" s="1">
        <v>2020.0</v>
      </c>
      <c r="I1744" s="1" t="s">
        <v>42</v>
      </c>
      <c r="J1744" s="1" t="s">
        <v>4639</v>
      </c>
      <c r="K1744" s="1" t="s">
        <v>1839</v>
      </c>
      <c r="L1744" s="1" t="s">
        <v>10107</v>
      </c>
      <c r="M1744" s="2" t="s">
        <v>12</v>
      </c>
      <c r="N1744" s="4">
        <f t="shared" si="1"/>
        <v>44138</v>
      </c>
      <c r="O1744" s="5" t="str">
        <f>IFERROR(__xludf.DUMMYFUNCTION("IF(REGEXMATCH(TRIM(I1744), ""^\d+\s*min""), ""Unclassified"", IF(I1744 = """", ""NR"", I1744))"),"TV-MA")</f>
        <v>TV-MA</v>
      </c>
      <c r="R1744" s="5" t="str">
        <f t="shared" si="2"/>
        <v>Felix Lobrecht: Hype</v>
      </c>
      <c r="S1744" s="5" t="str">
        <f>IFERROR(__xludf.DUMMYFUNCTION("""COMPUTED_VALUE"""),"Crip Camp: A Disability Revolution")</f>
        <v>Crip Camp: A Disability Revolution</v>
      </c>
      <c r="U1744" s="5" t="str">
        <f>IFERROR(__xludf.DUMMYFUNCTION("""COMPUTED_VALUE"""),"Richard Van'T Riet")</f>
        <v>Richard Van'T Riet</v>
      </c>
      <c r="V1744" s="5" t="s">
        <v>10108</v>
      </c>
      <c r="W1744" s="5" t="str">
        <f t="shared" si="3"/>
        <v>James Woodroffe</v>
      </c>
      <c r="X1744" s="5">
        <f t="shared" si="4"/>
        <v>1</v>
      </c>
      <c r="Y1744" s="5" t="str">
        <f>IFERROR(__xludf.DUMMYFUNCTION("REGEXEXTRACT(J1744, ""^\d+"")"),"60")</f>
        <v>60</v>
      </c>
      <c r="Z1744" s="5" t="str">
        <f>IFERROR(__xludf.DUMMYFUNCTION("REGEXEXTRACT(J1744, ""[A-Za-z ]+$"")")," min")</f>
        <v> min</v>
      </c>
      <c r="AA1744" s="5" t="str">
        <f>IFERROR(__xludf.DUMMYFUNCTION("IF(REGEXMATCH(Z1744, ""Season""), ""TV Show"", ""Movie"")"),"Movie")</f>
        <v>Movie</v>
      </c>
    </row>
    <row r="1745">
      <c r="A1745" s="1" t="s">
        <v>10109</v>
      </c>
      <c r="B1745" s="1" t="s">
        <v>27</v>
      </c>
      <c r="C1745" s="1" t="s">
        <v>10110</v>
      </c>
      <c r="D1745" s="1" t="s">
        <v>10111</v>
      </c>
      <c r="E1745" s="1" t="s">
        <v>10112</v>
      </c>
      <c r="F1745" s="1" t="s">
        <v>415</v>
      </c>
      <c r="G1745" s="1" t="s">
        <v>10106</v>
      </c>
      <c r="H1745" s="1">
        <v>2020.0</v>
      </c>
      <c r="I1745" s="1" t="s">
        <v>97</v>
      </c>
      <c r="J1745" s="1" t="s">
        <v>127</v>
      </c>
      <c r="K1745" s="1" t="s">
        <v>128</v>
      </c>
      <c r="L1745" s="1" t="s">
        <v>10113</v>
      </c>
      <c r="M1745" s="2" t="s">
        <v>12</v>
      </c>
      <c r="N1745" s="4">
        <f t="shared" si="1"/>
        <v>44138</v>
      </c>
      <c r="O1745" s="5" t="str">
        <f>IFERROR(__xludf.DUMMYFUNCTION("IF(REGEXMATCH(TRIM(I1745), ""^\d+\s*min""), ""Unclassified"", IF(I1745 = """", ""NR"", I1745))"),"TV-14")</f>
        <v>TV-14</v>
      </c>
      <c r="R1745" s="5" t="str">
        <f t="shared" si="2"/>
        <v>Mother</v>
      </c>
      <c r="S1745" s="5" t="str">
        <f>IFERROR(__xludf.DUMMYFUNCTION("""COMPUTED_VALUE"""),"Cristela Alonzo: Lower Classy")</f>
        <v>Cristela Alonzo: Lower Classy</v>
      </c>
      <c r="U1745" s="5" t="str">
        <f>IFERROR(__xludf.DUMMYFUNCTION("""COMPUTED_VALUE"""),"Shonali Bose")</f>
        <v>Shonali Bose</v>
      </c>
      <c r="V1745" s="5" t="s">
        <v>10114</v>
      </c>
      <c r="W1745" s="5" t="str">
        <f t="shared" si="3"/>
        <v>James Yukich</v>
      </c>
      <c r="X1745" s="5">
        <f t="shared" si="4"/>
        <v>2</v>
      </c>
      <c r="Y1745" s="5" t="str">
        <f>IFERROR(__xludf.DUMMYFUNCTION("REGEXEXTRACT(J1745, ""^\d+"")"),"127")</f>
        <v>127</v>
      </c>
      <c r="Z1745" s="5" t="str">
        <f>IFERROR(__xludf.DUMMYFUNCTION("REGEXEXTRACT(J1745, ""[A-Za-z ]+$"")")," min")</f>
        <v> min</v>
      </c>
      <c r="AA1745" s="5" t="str">
        <f>IFERROR(__xludf.DUMMYFUNCTION("IF(REGEXMATCH(Z1745, ""Season""), ""TV Show"", ""Movie"")"),"Movie")</f>
        <v>Movie</v>
      </c>
    </row>
    <row r="1746">
      <c r="A1746" s="1" t="s">
        <v>10115</v>
      </c>
      <c r="B1746" s="1" t="s">
        <v>27</v>
      </c>
      <c r="C1746" s="1" t="s">
        <v>10116</v>
      </c>
      <c r="D1746" s="1" t="s">
        <v>7312</v>
      </c>
      <c r="G1746" s="1" t="s">
        <v>10106</v>
      </c>
      <c r="H1746" s="1">
        <v>2016.0</v>
      </c>
      <c r="I1746" s="1" t="s">
        <v>136</v>
      </c>
      <c r="J1746" s="1" t="s">
        <v>322</v>
      </c>
      <c r="K1746" s="1" t="s">
        <v>156</v>
      </c>
      <c r="L1746" s="1" t="s">
        <v>10117</v>
      </c>
      <c r="M1746" s="2" t="s">
        <v>12</v>
      </c>
      <c r="N1746" s="4">
        <f t="shared" si="1"/>
        <v>44138</v>
      </c>
      <c r="O1746" s="5" t="str">
        <f>IFERROR(__xludf.DUMMYFUNCTION("IF(REGEXMATCH(TRIM(I1746), ""^\d+\s*min""), ""Unclassified"", IF(I1746 = """", ""NR"", I1746))"),"TV-PG")</f>
        <v>TV-PG</v>
      </c>
      <c r="R1746" s="5" t="str">
        <f t="shared" si="2"/>
        <v>The Beginning Of Life</v>
      </c>
      <c r="S1746" s="5" t="str">
        <f>IFERROR(__xludf.DUMMYFUNCTION("""COMPUTED_VALUE"""),"Cristina")</f>
        <v>Cristina</v>
      </c>
      <c r="U1746" s="5" t="str">
        <f>IFERROR(__xludf.DUMMYFUNCTION("""COMPUTED_VALUE"""),"Lance Bangs")</f>
        <v>Lance Bangs</v>
      </c>
      <c r="V1746" s="5" t="s">
        <v>10118</v>
      </c>
      <c r="W1746" s="5" t="str">
        <f t="shared" si="3"/>
        <v>Jami</v>
      </c>
      <c r="X1746" s="5">
        <f t="shared" si="4"/>
        <v>1</v>
      </c>
      <c r="Y1746" s="5" t="str">
        <f>IFERROR(__xludf.DUMMYFUNCTION("REGEXEXTRACT(J1746, ""^\d+"")"),"96")</f>
        <v>96</v>
      </c>
      <c r="Z1746" s="5" t="str">
        <f>IFERROR(__xludf.DUMMYFUNCTION("REGEXEXTRACT(J1746, ""[A-Za-z ]+$"")")," min")</f>
        <v> min</v>
      </c>
      <c r="AA1746" s="5" t="str">
        <f>IFERROR(__xludf.DUMMYFUNCTION("IF(REGEXMATCH(Z1746, ""Season""), ""TV Show"", ""Movie"")"),"Movie")</f>
        <v>Movie</v>
      </c>
    </row>
    <row r="1747">
      <c r="A1747" s="1" t="s">
        <v>10119</v>
      </c>
      <c r="B1747" s="1" t="s">
        <v>27</v>
      </c>
      <c r="C1747" s="1" t="s">
        <v>10120</v>
      </c>
      <c r="E1747" s="1" t="s">
        <v>10121</v>
      </c>
      <c r="G1747" s="1" t="s">
        <v>10106</v>
      </c>
      <c r="H1747" s="1">
        <v>2020.0</v>
      </c>
      <c r="I1747" s="1" t="s">
        <v>136</v>
      </c>
      <c r="J1747" s="1" t="s">
        <v>5934</v>
      </c>
      <c r="K1747" s="1" t="s">
        <v>34</v>
      </c>
      <c r="L1747" s="1" t="s">
        <v>10122</v>
      </c>
      <c r="M1747" s="2" t="s">
        <v>12</v>
      </c>
      <c r="N1747" s="4">
        <f t="shared" si="1"/>
        <v>44138</v>
      </c>
      <c r="O1747" s="5" t="str">
        <f>IFERROR(__xludf.DUMMYFUNCTION("IF(REGEXMATCH(TRIM(I1747), ""^\d+\s*min""), ""Unclassified"", IF(I1747 = """", ""NR"", I1747))"),"TV-PG")</f>
        <v>TV-PG</v>
      </c>
      <c r="R1747" s="5" t="str">
        <f t="shared" si="2"/>
        <v>Ya No Estoy Aquí: Una Conversación Entre Guillermo Del Toro Y Alfonso Cuarón</v>
      </c>
      <c r="S1747" s="5" t="str">
        <f>IFERROR(__xludf.DUMMYFUNCTION("""COMPUTED_VALUE"""),"Crocodile Dundee In Los Angeles")</f>
        <v>Crocodile Dundee In Los Angeles</v>
      </c>
      <c r="U1747" s="5" t="str">
        <f>IFERROR(__xludf.DUMMYFUNCTION("""COMPUTED_VALUE"""),"Robbie Countryman")</f>
        <v>Robbie Countryman</v>
      </c>
      <c r="V1747" s="5" t="s">
        <v>6437</v>
      </c>
      <c r="W1747" s="5" t="str">
        <f t="shared" si="3"/>
        <v>Jamie Babbit</v>
      </c>
      <c r="X1747" s="5">
        <f t="shared" si="4"/>
        <v>1</v>
      </c>
      <c r="Y1747" s="5" t="str">
        <f>IFERROR(__xludf.DUMMYFUNCTION("REGEXEXTRACT(J1747, ""^\d+"")"),"15")</f>
        <v>15</v>
      </c>
      <c r="Z1747" s="5" t="str">
        <f>IFERROR(__xludf.DUMMYFUNCTION("REGEXEXTRACT(J1747, ""[A-Za-z ]+$"")")," min")</f>
        <v> min</v>
      </c>
      <c r="AA1747" s="5" t="str">
        <f>IFERROR(__xludf.DUMMYFUNCTION("IF(REGEXMATCH(Z1747, ""Season""), ""TV Show"", ""Movie"")"),"Movie")</f>
        <v>Movie</v>
      </c>
    </row>
    <row r="1748">
      <c r="A1748" s="1" t="s">
        <v>10123</v>
      </c>
      <c r="B1748" s="1" t="s">
        <v>37</v>
      </c>
      <c r="C1748" s="1" t="s">
        <v>10124</v>
      </c>
      <c r="E1748" s="1" t="s">
        <v>10125</v>
      </c>
      <c r="F1748" s="1" t="s">
        <v>1106</v>
      </c>
      <c r="G1748" s="1" t="s">
        <v>10126</v>
      </c>
      <c r="H1748" s="1">
        <v>2020.0</v>
      </c>
      <c r="I1748" s="1" t="s">
        <v>42</v>
      </c>
      <c r="J1748" s="1" t="s">
        <v>43</v>
      </c>
      <c r="K1748" s="1" t="s">
        <v>1531</v>
      </c>
      <c r="L1748" s="1" t="s">
        <v>10127</v>
      </c>
      <c r="M1748" s="2" t="s">
        <v>12</v>
      </c>
      <c r="N1748" s="4">
        <f t="shared" si="1"/>
        <v>44137</v>
      </c>
      <c r="O1748" s="5" t="str">
        <f>IFERROR(__xludf.DUMMYFUNCTION("IF(REGEXMATCH(TRIM(I1748), ""^\d+\s*min""), ""Unclassified"", IF(I1748 = """", ""NR"", I1748))"),"TV-MA")</f>
        <v>TV-MA</v>
      </c>
      <c r="R1748" s="5" t="str">
        <f t="shared" si="2"/>
        <v>Can You Hear Me?</v>
      </c>
      <c r="S1748" s="5" t="str">
        <f>IFERROR(__xludf.DUMMYFUNCTION("""COMPUTED_VALUE"""),"Cross: Rise Of The Villains")</f>
        <v>Cross: Rise Of The Villains</v>
      </c>
      <c r="U1748" s="5" t="str">
        <f>IFERROR(__xludf.DUMMYFUNCTION("""COMPUTED_VALUE"""),"Trey Edward Shults")</f>
        <v>Trey Edward Shults</v>
      </c>
      <c r="V1748" s="5" t="s">
        <v>10128</v>
      </c>
      <c r="W1748" s="5" t="str">
        <f t="shared" si="3"/>
        <v>Jamie M. Dagg</v>
      </c>
      <c r="X1748" s="5">
        <f t="shared" si="4"/>
        <v>1</v>
      </c>
      <c r="Y1748" s="5" t="str">
        <f>IFERROR(__xludf.DUMMYFUNCTION("REGEXEXTRACT(J1748, ""^\d+"")"),"2")</f>
        <v>2</v>
      </c>
      <c r="Z1748" s="5" t="str">
        <f>IFERROR(__xludf.DUMMYFUNCTION("REGEXEXTRACT(J1748, ""[A-Za-z ]+$"")")," Seasons")</f>
        <v> Seasons</v>
      </c>
      <c r="AA1748" s="5" t="str">
        <f>IFERROR(__xludf.DUMMYFUNCTION("IF(REGEXMATCH(Z1748, ""Season""), ""TV Show"", ""Movie"")"),"TV Show")</f>
        <v>TV Show</v>
      </c>
    </row>
    <row r="1749">
      <c r="A1749" s="1" t="s">
        <v>10129</v>
      </c>
      <c r="B1749" s="1" t="s">
        <v>27</v>
      </c>
      <c r="C1749" s="1" t="s">
        <v>10130</v>
      </c>
      <c r="D1749" s="1" t="s">
        <v>10131</v>
      </c>
      <c r="E1749" s="1" t="s">
        <v>10132</v>
      </c>
      <c r="F1749" s="1" t="s">
        <v>1979</v>
      </c>
      <c r="G1749" s="1" t="s">
        <v>10126</v>
      </c>
      <c r="H1749" s="1">
        <v>2018.0</v>
      </c>
      <c r="I1749" s="1" t="s">
        <v>378</v>
      </c>
      <c r="J1749" s="1" t="s">
        <v>433</v>
      </c>
      <c r="K1749" s="1" t="s">
        <v>658</v>
      </c>
      <c r="L1749" s="1" t="s">
        <v>10133</v>
      </c>
      <c r="M1749" s="2" t="s">
        <v>12</v>
      </c>
      <c r="N1749" s="4">
        <f t="shared" si="1"/>
        <v>44137</v>
      </c>
      <c r="O1749" s="5" t="str">
        <f>IFERROR(__xludf.DUMMYFUNCTION("IF(REGEXMATCH(TRIM(I1749), ""^\d+\s*min""), ""Unclassified"", IF(I1749 = """", ""NR"", I1749))"),"R")</f>
        <v>R</v>
      </c>
      <c r="R1749" s="5" t="str">
        <f t="shared" si="2"/>
        <v>Prospect</v>
      </c>
      <c r="S1749" s="5" t="str">
        <f>IFERROR(__xludf.DUMMYFUNCTION("""COMPUTED_VALUE"""),"Crossroads: One Two Jaga")</f>
        <v>Crossroads: One Two Jaga</v>
      </c>
      <c r="U1749" s="5" t="str">
        <f>IFERROR(__xludf.DUMMYFUNCTION("""COMPUTED_VALUE"""),"Sujeeth")</f>
        <v>Sujeeth</v>
      </c>
      <c r="V1749" s="5" t="s">
        <v>7930</v>
      </c>
      <c r="W1749" s="5" t="str">
        <f t="shared" si="3"/>
        <v>Jan Belcl</v>
      </c>
      <c r="X1749" s="5">
        <f t="shared" si="4"/>
        <v>1</v>
      </c>
      <c r="Y1749" s="5" t="str">
        <f>IFERROR(__xludf.DUMMYFUNCTION("REGEXEXTRACT(J1749, ""^\d+"")"),"100")</f>
        <v>100</v>
      </c>
      <c r="Z1749" s="5" t="str">
        <f>IFERROR(__xludf.DUMMYFUNCTION("REGEXEXTRACT(J1749, ""[A-Za-z ]+$"")")," min")</f>
        <v> min</v>
      </c>
      <c r="AA1749" s="5" t="str">
        <f>IFERROR(__xludf.DUMMYFUNCTION("IF(REGEXMATCH(Z1749, ""Season""), ""TV Show"", ""Movie"")"),"Movie")</f>
        <v>Movie</v>
      </c>
    </row>
    <row r="1750">
      <c r="A1750" s="1" t="s">
        <v>10134</v>
      </c>
      <c r="B1750" s="1" t="s">
        <v>37</v>
      </c>
      <c r="C1750" s="1" t="s">
        <v>10135</v>
      </c>
      <c r="F1750" s="1" t="s">
        <v>30</v>
      </c>
      <c r="G1750" s="1" t="s">
        <v>10136</v>
      </c>
      <c r="H1750" s="1">
        <v>2019.0</v>
      </c>
      <c r="I1750" s="1" t="s">
        <v>42</v>
      </c>
      <c r="J1750" s="1" t="s">
        <v>51</v>
      </c>
      <c r="K1750" s="1" t="s">
        <v>440</v>
      </c>
      <c r="L1750" s="1" t="s">
        <v>10137</v>
      </c>
      <c r="M1750" s="2" t="s">
        <v>12</v>
      </c>
      <c r="N1750" s="4">
        <f t="shared" si="1"/>
        <v>44136</v>
      </c>
      <c r="O1750" s="5" t="str">
        <f>IFERROR(__xludf.DUMMYFUNCTION("IF(REGEXMATCH(TRIM(I1750), ""^\d+\s*min""), ""Unclassified"", IF(I1750 = """", ""NR"", I1750))"),"TV-MA")</f>
        <v>TV-MA</v>
      </c>
      <c r="R1750" s="5" t="str">
        <f t="shared" si="2"/>
        <v>60 Days In</v>
      </c>
      <c r="S1750" s="5" t="str">
        <f>IFERROR(__xludf.DUMMYFUNCTION("""COMPUTED_VALUE"""),"Crouching Tiger, Hidden Dragon")</f>
        <v>Crouching Tiger, Hidden Dragon</v>
      </c>
      <c r="U1750" s="5" t="str">
        <f>IFERROR(__xludf.DUMMYFUNCTION("""COMPUTED_VALUE"""),"Alexandre Avancini")</f>
        <v>Alexandre Avancini</v>
      </c>
      <c r="V1750" s="5" t="s">
        <v>3166</v>
      </c>
      <c r="W1750" s="5" t="str">
        <f t="shared" si="3"/>
        <v>Jan Holoubek</v>
      </c>
      <c r="X1750" s="5">
        <f t="shared" si="4"/>
        <v>1</v>
      </c>
      <c r="Y1750" s="5" t="str">
        <f>IFERROR(__xludf.DUMMYFUNCTION("REGEXEXTRACT(J1750, ""^\d+"")"),"1")</f>
        <v>1</v>
      </c>
      <c r="Z1750" s="5" t="str">
        <f>IFERROR(__xludf.DUMMYFUNCTION("REGEXEXTRACT(J1750, ""[A-Za-z ]+$"")")," Season")</f>
        <v> Season</v>
      </c>
      <c r="AA1750" s="5" t="str">
        <f>IFERROR(__xludf.DUMMYFUNCTION("IF(REGEXMATCH(Z1750, ""Season""), ""TV Show"", ""Movie"")"),"TV Show")</f>
        <v>TV Show</v>
      </c>
    </row>
    <row r="1751">
      <c r="A1751" s="1" t="s">
        <v>10138</v>
      </c>
      <c r="B1751" s="1" t="s">
        <v>27</v>
      </c>
      <c r="C1751" s="1" t="s">
        <v>10139</v>
      </c>
      <c r="D1751" s="1" t="s">
        <v>10140</v>
      </c>
      <c r="E1751" s="1" t="s">
        <v>10141</v>
      </c>
      <c r="F1751" s="1" t="s">
        <v>30</v>
      </c>
      <c r="G1751" s="1" t="s">
        <v>10136</v>
      </c>
      <c r="H1751" s="1">
        <v>2019.0</v>
      </c>
      <c r="I1751" s="1" t="s">
        <v>136</v>
      </c>
      <c r="J1751" s="1" t="s">
        <v>630</v>
      </c>
      <c r="K1751" s="1" t="s">
        <v>137</v>
      </c>
      <c r="L1751" s="1" t="s">
        <v>10142</v>
      </c>
      <c r="M1751" s="2" t="s">
        <v>12</v>
      </c>
      <c r="N1751" s="4">
        <f t="shared" si="1"/>
        <v>44136</v>
      </c>
      <c r="O1751" s="5" t="str">
        <f>IFERROR(__xludf.DUMMYFUNCTION("IF(REGEXMATCH(TRIM(I1751), ""^\d+\s*min""), ""Unclassified"", IF(I1751 = """", ""NR"", I1751))"),"TV-PG")</f>
        <v>TV-PG</v>
      </c>
      <c r="R1751" s="5" t="str">
        <f t="shared" si="2"/>
        <v>Christmas Break-In</v>
      </c>
      <c r="S1751" s="5" t="str">
        <f>IFERROR(__xludf.DUMMYFUNCTION("""COMPUTED_VALUE"""),"Crouching Tiger, Hidden Dragon: Sword Of Destiny")</f>
        <v>Crouching Tiger, Hidden Dragon: Sword Of Destiny</v>
      </c>
      <c r="U1751" s="5" t="str">
        <f>IFERROR(__xludf.DUMMYFUNCTION("""COMPUTED_VALUE"""),"Noah Baumbach")</f>
        <v>Noah Baumbach</v>
      </c>
      <c r="V1751" s="5" t="s">
        <v>10143</v>
      </c>
      <c r="W1751" s="5" t="str">
        <f t="shared" si="3"/>
        <v>Jan Komasa</v>
      </c>
      <c r="X1751" s="5">
        <f t="shared" si="4"/>
        <v>1</v>
      </c>
      <c r="Y1751" s="5" t="str">
        <f>IFERROR(__xludf.DUMMYFUNCTION("REGEXEXTRACT(J1751, ""^\d+"")"),"87")</f>
        <v>87</v>
      </c>
      <c r="Z1751" s="5" t="str">
        <f>IFERROR(__xludf.DUMMYFUNCTION("REGEXEXTRACT(J1751, ""[A-Za-z ]+$"")")," min")</f>
        <v> min</v>
      </c>
      <c r="AA1751" s="5" t="str">
        <f>IFERROR(__xludf.DUMMYFUNCTION("IF(REGEXMATCH(Z1751, ""Season""), ""TV Show"", ""Movie"")"),"Movie")</f>
        <v>Movie</v>
      </c>
    </row>
    <row r="1752">
      <c r="A1752" s="1" t="s">
        <v>10144</v>
      </c>
      <c r="B1752" s="1" t="s">
        <v>37</v>
      </c>
      <c r="C1752" s="1" t="s">
        <v>10145</v>
      </c>
      <c r="E1752" s="1" t="s">
        <v>10146</v>
      </c>
      <c r="F1752" s="1" t="s">
        <v>30</v>
      </c>
      <c r="G1752" s="1" t="s">
        <v>10136</v>
      </c>
      <c r="H1752" s="1">
        <v>2002.0</v>
      </c>
      <c r="I1752" s="1" t="s">
        <v>97</v>
      </c>
      <c r="J1752" s="1" t="s">
        <v>439</v>
      </c>
      <c r="K1752" s="1" t="s">
        <v>8028</v>
      </c>
      <c r="L1752" s="1" t="s">
        <v>10147</v>
      </c>
      <c r="M1752" s="2" t="s">
        <v>12</v>
      </c>
      <c r="N1752" s="4">
        <f t="shared" si="1"/>
        <v>44136</v>
      </c>
      <c r="O1752" s="5" t="str">
        <f>IFERROR(__xludf.DUMMYFUNCTION("IF(REGEXMATCH(TRIM(I1752), ""^\d+\s*min""), ""Unclassified"", IF(I1752 = """", ""NR"", I1752))"),"TV-14")</f>
        <v>TV-14</v>
      </c>
      <c r="R1752" s="5" t="str">
        <f t="shared" si="2"/>
        <v>Dawson'S Creek</v>
      </c>
      <c r="S1752" s="5" t="str">
        <f>IFERROR(__xludf.DUMMYFUNCTION("""COMPUTED_VALUE"""),"Croupier")</f>
        <v>Croupier</v>
      </c>
      <c r="U1752" s="5" t="str">
        <f>IFERROR(__xludf.DUMMYFUNCTION("""COMPUTED_VALUE"""),"Atsuko Ishizuka")</f>
        <v>Atsuko Ishizuka</v>
      </c>
      <c r="V1752" s="5" t="s">
        <v>10148</v>
      </c>
      <c r="W1752" s="5" t="str">
        <f t="shared" si="3"/>
        <v>Jan Suter</v>
      </c>
      <c r="X1752" s="5">
        <f t="shared" si="4"/>
        <v>1</v>
      </c>
      <c r="Y1752" s="5" t="str">
        <f>IFERROR(__xludf.DUMMYFUNCTION("REGEXEXTRACT(J1752, ""^\d+"")"),"6")</f>
        <v>6</v>
      </c>
      <c r="Z1752" s="5" t="str">
        <f>IFERROR(__xludf.DUMMYFUNCTION("REGEXEXTRACT(J1752, ""[A-Za-z ]+$"")")," Seasons")</f>
        <v> Seasons</v>
      </c>
      <c r="AA1752" s="5" t="str">
        <f>IFERROR(__xludf.DUMMYFUNCTION("IF(REGEXMATCH(Z1752, ""Season""), ""TV Show"", ""Movie"")"),"TV Show")</f>
        <v>TV Show</v>
      </c>
    </row>
    <row r="1753">
      <c r="A1753" s="1" t="s">
        <v>10149</v>
      </c>
      <c r="B1753" s="1" t="s">
        <v>27</v>
      </c>
      <c r="C1753" s="1" t="s">
        <v>10150</v>
      </c>
      <c r="D1753" s="1" t="s">
        <v>4359</v>
      </c>
      <c r="E1753" s="1" t="s">
        <v>10151</v>
      </c>
      <c r="F1753" s="1" t="s">
        <v>30</v>
      </c>
      <c r="G1753" s="1" t="s">
        <v>10136</v>
      </c>
      <c r="H1753" s="1">
        <v>2020.0</v>
      </c>
      <c r="I1753" s="1" t="s">
        <v>206</v>
      </c>
      <c r="J1753" s="1" t="s">
        <v>8852</v>
      </c>
      <c r="K1753" s="1" t="s">
        <v>80</v>
      </c>
      <c r="L1753" s="1" t="s">
        <v>10152</v>
      </c>
      <c r="M1753" s="2" t="s">
        <v>12</v>
      </c>
      <c r="N1753" s="4">
        <f t="shared" si="1"/>
        <v>44136</v>
      </c>
      <c r="O1753" s="5" t="str">
        <f>IFERROR(__xludf.DUMMYFUNCTION("IF(REGEXMATCH(TRIM(I1753), ""^\d+\s*min""), ""Unclassified"", IF(I1753 = """", ""NR"", I1753))"),"TV-Y")</f>
        <v>TV-Y</v>
      </c>
      <c r="R1753" s="5" t="str">
        <f t="shared" si="2"/>
        <v>Elf Pets: A Fox Cub’S Christmas Tale</v>
      </c>
      <c r="S1753" s="5" t="str">
        <f>IFERROR(__xludf.DUMMYFUNCTION("""COMPUTED_VALUE"""),"Cuba And The Cameraman")</f>
        <v>Cuba And The Cameraman</v>
      </c>
      <c r="U1753" s="5" t="str">
        <f>IFERROR(__xludf.DUMMYFUNCTION("""COMPUTED_VALUE"""),"Eric Aghimien")</f>
        <v>Eric Aghimien</v>
      </c>
      <c r="V1753" s="5" t="s">
        <v>10153</v>
      </c>
      <c r="W1753" s="5" t="str">
        <f t="shared" si="3"/>
        <v>Jan Suter, Raúl Campos</v>
      </c>
      <c r="X1753" s="5">
        <f t="shared" si="4"/>
        <v>1</v>
      </c>
      <c r="Y1753" s="5" t="str">
        <f>IFERROR(__xludf.DUMMYFUNCTION("REGEXEXTRACT(J1753, ""^\d+"")"),"28")</f>
        <v>28</v>
      </c>
      <c r="Z1753" s="5" t="str">
        <f>IFERROR(__xludf.DUMMYFUNCTION("REGEXEXTRACT(J1753, ""[A-Za-z ]+$"")")," min")</f>
        <v> min</v>
      </c>
      <c r="AA1753" s="5" t="str">
        <f>IFERROR(__xludf.DUMMYFUNCTION("IF(REGEXMATCH(Z1753, ""Season""), ""TV Show"", ""Movie"")"),"Movie")</f>
        <v>Movie</v>
      </c>
    </row>
    <row r="1754">
      <c r="A1754" s="1" t="s">
        <v>10154</v>
      </c>
      <c r="B1754" s="1" t="s">
        <v>27</v>
      </c>
      <c r="C1754" s="1" t="s">
        <v>10155</v>
      </c>
      <c r="D1754" s="1" t="s">
        <v>4359</v>
      </c>
      <c r="E1754" s="1" t="s">
        <v>10156</v>
      </c>
      <c r="F1754" s="1" t="s">
        <v>30</v>
      </c>
      <c r="G1754" s="1" t="s">
        <v>10136</v>
      </c>
      <c r="H1754" s="1">
        <v>2020.0</v>
      </c>
      <c r="I1754" s="1" t="s">
        <v>206</v>
      </c>
      <c r="J1754" s="1" t="s">
        <v>10157</v>
      </c>
      <c r="K1754" s="1" t="s">
        <v>80</v>
      </c>
      <c r="L1754" s="1" t="s">
        <v>10158</v>
      </c>
      <c r="M1754" s="2" t="s">
        <v>12</v>
      </c>
      <c r="N1754" s="4">
        <f t="shared" si="1"/>
        <v>44136</v>
      </c>
      <c r="O1754" s="5" t="str">
        <f>IFERROR(__xludf.DUMMYFUNCTION("IF(REGEXMATCH(TRIM(I1754), ""^\d+\s*min""), ""Unclassified"", IF(I1754 = """", ""NR"", I1754))"),"TV-Y")</f>
        <v>TV-Y</v>
      </c>
      <c r="R1754" s="5" t="str">
        <f t="shared" si="2"/>
        <v>Elf Pets: Santa’S Reindeer Rescue</v>
      </c>
      <c r="S1754" s="5" t="str">
        <f>IFERROR(__xludf.DUMMYFUNCTION("""COMPUTED_VALUE"""),"Cuckoo")</f>
        <v>Cuckoo</v>
      </c>
      <c r="U1754" s="5" t="str">
        <f>IFERROR(__xludf.DUMMYFUNCTION("""COMPUTED_VALUE"""),"Michel Tikhomiroff")</f>
        <v>Michel Tikhomiroff</v>
      </c>
      <c r="V1754" s="5" t="s">
        <v>10159</v>
      </c>
      <c r="W1754" s="5" t="str">
        <f t="shared" si="3"/>
        <v>Jan Suter, Raúl Campos Delgado</v>
      </c>
      <c r="X1754" s="5">
        <f t="shared" si="4"/>
        <v>1</v>
      </c>
      <c r="Y1754" s="5" t="str">
        <f>IFERROR(__xludf.DUMMYFUNCTION("REGEXEXTRACT(J1754, ""^\d+"")"),"27")</f>
        <v>27</v>
      </c>
      <c r="Z1754" s="5" t="str">
        <f>IFERROR(__xludf.DUMMYFUNCTION("REGEXEXTRACT(J1754, ""[A-Za-z ]+$"")")," min")</f>
        <v> min</v>
      </c>
      <c r="AA1754" s="5" t="str">
        <f>IFERROR(__xludf.DUMMYFUNCTION("IF(REGEXMATCH(Z1754, ""Season""), ""TV Show"", ""Movie"")"),"Movie")</f>
        <v>Movie</v>
      </c>
    </row>
    <row r="1755">
      <c r="A1755" s="1" t="s">
        <v>10160</v>
      </c>
      <c r="B1755" s="1" t="s">
        <v>27</v>
      </c>
      <c r="C1755" s="1" t="s">
        <v>10161</v>
      </c>
      <c r="D1755" s="1" t="s">
        <v>10162</v>
      </c>
      <c r="E1755" s="1" t="s">
        <v>10163</v>
      </c>
      <c r="F1755" s="1" t="s">
        <v>1106</v>
      </c>
      <c r="G1755" s="1" t="s">
        <v>10136</v>
      </c>
      <c r="H1755" s="1">
        <v>2018.0</v>
      </c>
      <c r="I1755" s="1" t="s">
        <v>78</v>
      </c>
      <c r="J1755" s="1" t="s">
        <v>33</v>
      </c>
      <c r="K1755" s="1" t="s">
        <v>80</v>
      </c>
      <c r="L1755" s="1" t="s">
        <v>10164</v>
      </c>
      <c r="M1755" s="2" t="s">
        <v>12</v>
      </c>
      <c r="N1755" s="4">
        <f t="shared" si="1"/>
        <v>44136</v>
      </c>
      <c r="O1755" s="5" t="str">
        <f>IFERROR(__xludf.DUMMYFUNCTION("IF(REGEXMATCH(TRIM(I1755), ""^\d+\s*min""), ""Unclassified"", IF(I1755 = """", ""NR"", I1755))"),"PG")</f>
        <v>PG</v>
      </c>
      <c r="R1755" s="5" t="str">
        <f t="shared" si="2"/>
        <v>Elliot The Littlest Reindeer</v>
      </c>
      <c r="S1755" s="5" t="str">
        <f>IFERROR(__xludf.DUMMYFUNCTION("""COMPUTED_VALUE"""),"Cuddle Weather")</f>
        <v>Cuddle Weather</v>
      </c>
      <c r="U1755" s="5" t="str">
        <f>IFERROR(__xludf.DUMMYFUNCTION("""COMPUTED_VALUE"""),"Robert Kenner, Taki Oldham")</f>
        <v>Robert Kenner, Taki Oldham</v>
      </c>
      <c r="V1755" s="5" t="s">
        <v>10104</v>
      </c>
      <c r="W1755" s="5" t="str">
        <f t="shared" si="3"/>
        <v>Jan-Peter Horns</v>
      </c>
      <c r="X1755" s="5">
        <f t="shared" si="4"/>
        <v>1</v>
      </c>
      <c r="Y1755" s="5" t="str">
        <f>IFERROR(__xludf.DUMMYFUNCTION("REGEXEXTRACT(J1755, ""^\d+"")"),"90")</f>
        <v>90</v>
      </c>
      <c r="Z1755" s="5" t="str">
        <f>IFERROR(__xludf.DUMMYFUNCTION("REGEXEXTRACT(J1755, ""[A-Za-z ]+$"")")," min")</f>
        <v> min</v>
      </c>
      <c r="AA1755" s="5" t="str">
        <f>IFERROR(__xludf.DUMMYFUNCTION("IF(REGEXMATCH(Z1755, ""Season""), ""TV Show"", ""Movie"")"),"Movie")</f>
        <v>Movie</v>
      </c>
    </row>
    <row r="1756">
      <c r="A1756" s="1" t="s">
        <v>10165</v>
      </c>
      <c r="B1756" s="1" t="s">
        <v>37</v>
      </c>
      <c r="C1756" s="1" t="s">
        <v>10166</v>
      </c>
      <c r="E1756" s="1" t="s">
        <v>10167</v>
      </c>
      <c r="F1756" s="1" t="s">
        <v>30</v>
      </c>
      <c r="G1756" s="1" t="s">
        <v>10136</v>
      </c>
      <c r="H1756" s="1">
        <v>2019.0</v>
      </c>
      <c r="I1756" s="1" t="s">
        <v>97</v>
      </c>
      <c r="J1756" s="1" t="s">
        <v>51</v>
      </c>
      <c r="K1756" s="1" t="s">
        <v>440</v>
      </c>
      <c r="L1756" s="1" t="s">
        <v>10168</v>
      </c>
      <c r="M1756" s="2" t="s">
        <v>12</v>
      </c>
      <c r="N1756" s="4">
        <f t="shared" si="1"/>
        <v>44136</v>
      </c>
      <c r="O1756" s="5" t="str">
        <f>IFERROR(__xludf.DUMMYFUNCTION("IF(REGEXMATCH(TRIM(I1756), ""^\d+\s*min""), ""Unclassified"", IF(I1756 = """", ""NR"", I1756))"),"TV-14")</f>
        <v>TV-14</v>
      </c>
      <c r="R1756" s="5" t="str">
        <f t="shared" si="2"/>
        <v>Forged In Fire</v>
      </c>
      <c r="S1756" s="5" t="str">
        <f>IFERROR(__xludf.DUMMYFUNCTION("""COMPUTED_VALUE"""),"Cult Of Chucky")</f>
        <v>Cult Of Chucky</v>
      </c>
      <c r="U1756" s="5" t="str">
        <f>IFERROR(__xludf.DUMMYFUNCTION("""COMPUTED_VALUE"""),"John Schultz")</f>
        <v>John Schultz</v>
      </c>
      <c r="V1756" s="5" t="s">
        <v>825</v>
      </c>
      <c r="W1756" s="5" t="str">
        <f t="shared" si="3"/>
        <v>Jane Campion</v>
      </c>
      <c r="X1756" s="5">
        <f t="shared" si="4"/>
        <v>3</v>
      </c>
      <c r="Y1756" s="5" t="str">
        <f>IFERROR(__xludf.DUMMYFUNCTION("REGEXEXTRACT(J1756, ""^\d+"")"),"1")</f>
        <v>1</v>
      </c>
      <c r="Z1756" s="5" t="str">
        <f>IFERROR(__xludf.DUMMYFUNCTION("REGEXEXTRACT(J1756, ""[A-Za-z ]+$"")")," Season")</f>
        <v> Season</v>
      </c>
      <c r="AA1756" s="5" t="str">
        <f>IFERROR(__xludf.DUMMYFUNCTION("IF(REGEXMATCH(Z1756, ""Season""), ""TV Show"", ""Movie"")"),"TV Show")</f>
        <v>TV Show</v>
      </c>
    </row>
    <row r="1757">
      <c r="A1757" s="1" t="s">
        <v>10169</v>
      </c>
      <c r="B1757" s="1" t="s">
        <v>37</v>
      </c>
      <c r="C1757" s="1" t="s">
        <v>10170</v>
      </c>
      <c r="E1757" s="1" t="s">
        <v>10171</v>
      </c>
      <c r="F1757" s="1" t="s">
        <v>30</v>
      </c>
      <c r="G1757" s="1" t="s">
        <v>10136</v>
      </c>
      <c r="H1757" s="1">
        <v>2018.0</v>
      </c>
      <c r="I1757" s="1" t="s">
        <v>97</v>
      </c>
      <c r="J1757" s="1" t="s">
        <v>276</v>
      </c>
      <c r="K1757" s="1" t="s">
        <v>1261</v>
      </c>
      <c r="L1757" s="1" t="s">
        <v>10172</v>
      </c>
      <c r="M1757" s="2" t="s">
        <v>12</v>
      </c>
      <c r="N1757" s="4">
        <f t="shared" si="1"/>
        <v>44136</v>
      </c>
      <c r="O1757" s="5" t="str">
        <f>IFERROR(__xludf.DUMMYFUNCTION("IF(REGEXMATCH(TRIM(I1757), ""^\d+\s*min""), ""Unclassified"", IF(I1757 = """", ""NR"", I1757))"),"TV-14")</f>
        <v>TV-14</v>
      </c>
      <c r="R1757" s="5" t="str">
        <f t="shared" si="2"/>
        <v>Leah Remini: Scientology And The Aftermath</v>
      </c>
      <c r="S1757" s="5" t="str">
        <f>IFERROR(__xludf.DUMMYFUNCTION("""COMPUTED_VALUE"""),"Cultivating The Seas: History And Future Of The Full-Cycle Cultured Kindai Tuna")</f>
        <v>Cultivating The Seas: History And Future Of The Full-Cycle Cultured Kindai Tuna</v>
      </c>
      <c r="U1757" s="5" t="str">
        <f>IFERROR(__xludf.DUMMYFUNCTION("""COMPUTED_VALUE"""),"Linda Mendoza")</f>
        <v>Linda Mendoza</v>
      </c>
      <c r="V1757" s="5" t="s">
        <v>10173</v>
      </c>
      <c r="W1757" s="5" t="str">
        <f t="shared" si="3"/>
        <v>Janet Tobias, Claus Wehlisch</v>
      </c>
      <c r="X1757" s="5">
        <f t="shared" si="4"/>
        <v>1</v>
      </c>
      <c r="Y1757" s="5" t="str">
        <f>IFERROR(__xludf.DUMMYFUNCTION("REGEXEXTRACT(J1757, ""^\d+"")"),"3")</f>
        <v>3</v>
      </c>
      <c r="Z1757" s="5" t="str">
        <f>IFERROR(__xludf.DUMMYFUNCTION("REGEXEXTRACT(J1757, ""[A-Za-z ]+$"")")," Seasons")</f>
        <v> Seasons</v>
      </c>
      <c r="AA1757" s="5" t="str">
        <f>IFERROR(__xludf.DUMMYFUNCTION("IF(REGEXMATCH(Z1757, ""Season""), ""TV Show"", ""Movie"")"),"TV Show")</f>
        <v>TV Show</v>
      </c>
    </row>
    <row r="1758">
      <c r="A1758" s="1" t="s">
        <v>10174</v>
      </c>
      <c r="B1758" s="1" t="s">
        <v>37</v>
      </c>
      <c r="C1758" s="1" t="s">
        <v>10175</v>
      </c>
      <c r="F1758" s="1" t="s">
        <v>30</v>
      </c>
      <c r="G1758" s="1" t="s">
        <v>10136</v>
      </c>
      <c r="H1758" s="1">
        <v>2019.0</v>
      </c>
      <c r="I1758" s="1" t="s">
        <v>206</v>
      </c>
      <c r="J1758" s="1" t="s">
        <v>51</v>
      </c>
      <c r="K1758" s="1" t="s">
        <v>290</v>
      </c>
      <c r="L1758" s="1" t="s">
        <v>10176</v>
      </c>
      <c r="M1758" s="2" t="s">
        <v>12</v>
      </c>
      <c r="N1758" s="4">
        <f t="shared" si="1"/>
        <v>44136</v>
      </c>
      <c r="O1758" s="5" t="str">
        <f>IFERROR(__xludf.DUMMYFUNCTION("IF(REGEXMATCH(TRIM(I1758), ""^\d+\s*min""), ""Unclassified"", IF(I1758 = """", ""NR"", I1758))"),"TV-Y")</f>
        <v>TV-Y</v>
      </c>
      <c r="R1758" s="5" t="str">
        <f t="shared" si="2"/>
        <v>Lego Jurassic World: Legend Of Isla Nublar</v>
      </c>
      <c r="S1758" s="5" t="str">
        <f>IFERROR(__xludf.DUMMYFUNCTION("""COMPUTED_VALUE"""),"Cupcake &amp; Dino - General Services")</f>
        <v>Cupcake &amp; Dino - General Services</v>
      </c>
      <c r="U1758" s="5" t="str">
        <f>IFERROR(__xludf.DUMMYFUNCTION("""COMPUTED_VALUE"""),"Michelle Johnston")</f>
        <v>Michelle Johnston</v>
      </c>
      <c r="V1758" s="5" t="s">
        <v>10177</v>
      </c>
      <c r="W1758" s="5" t="str">
        <f t="shared" si="3"/>
        <v>Jang Jae-Hyun</v>
      </c>
      <c r="X1758" s="5">
        <f t="shared" si="4"/>
        <v>1</v>
      </c>
      <c r="Y1758" s="5" t="str">
        <f>IFERROR(__xludf.DUMMYFUNCTION("REGEXEXTRACT(J1758, ""^\d+"")"),"1")</f>
        <v>1</v>
      </c>
      <c r="Z1758" s="5" t="str">
        <f>IFERROR(__xludf.DUMMYFUNCTION("REGEXEXTRACT(J1758, ""[A-Za-z ]+$"")")," Season")</f>
        <v> Season</v>
      </c>
      <c r="AA1758" s="5" t="str">
        <f>IFERROR(__xludf.DUMMYFUNCTION("IF(REGEXMATCH(Z1758, ""Season""), ""TV Show"", ""Movie"")"),"TV Show")</f>
        <v>TV Show</v>
      </c>
    </row>
    <row r="1759">
      <c r="A1759" s="1" t="s">
        <v>10178</v>
      </c>
      <c r="B1759" s="1" t="s">
        <v>37</v>
      </c>
      <c r="C1759" s="1" t="s">
        <v>10179</v>
      </c>
      <c r="E1759" s="1" t="s">
        <v>10180</v>
      </c>
      <c r="F1759" s="1" t="s">
        <v>30</v>
      </c>
      <c r="G1759" s="1" t="s">
        <v>10136</v>
      </c>
      <c r="H1759" s="1">
        <v>2018.0</v>
      </c>
      <c r="I1759" s="1" t="s">
        <v>206</v>
      </c>
      <c r="J1759" s="1" t="s">
        <v>51</v>
      </c>
      <c r="K1759" s="1" t="s">
        <v>290</v>
      </c>
      <c r="L1759" s="1" t="s">
        <v>10181</v>
      </c>
      <c r="M1759" s="2" t="s">
        <v>12</v>
      </c>
      <c r="N1759" s="4">
        <f t="shared" si="1"/>
        <v>44136</v>
      </c>
      <c r="O1759" s="5" t="str">
        <f>IFERROR(__xludf.DUMMYFUNCTION("IF(REGEXMATCH(TRIM(I1759), ""^\d+\s*min""), ""Unclassified"", IF(I1759 = """", ""NR"", I1759))"),"TV-Y")</f>
        <v>TV-Y</v>
      </c>
      <c r="R1759" s="5" t="str">
        <f t="shared" si="2"/>
        <v>Lego Jurassic World: Secret Exhibit</v>
      </c>
      <c r="S1759" s="5" t="str">
        <f>IFERROR(__xludf.DUMMYFUNCTION("""COMPUTED_VALUE"""),"Curon")</f>
        <v>Curon</v>
      </c>
      <c r="U1759" s="5" t="str">
        <f>IFERROR(__xludf.DUMMYFUNCTION("""COMPUTED_VALUE"""),"Vijay Kumar Arora")</f>
        <v>Vijay Kumar Arora</v>
      </c>
      <c r="V1759" s="5" t="s">
        <v>10182</v>
      </c>
      <c r="W1759" s="5" t="str">
        <f t="shared" si="3"/>
        <v>Jani Lachauer, Jakob Schuh</v>
      </c>
      <c r="X1759" s="5">
        <f t="shared" si="4"/>
        <v>1</v>
      </c>
      <c r="Y1759" s="5" t="str">
        <f>IFERROR(__xludf.DUMMYFUNCTION("REGEXEXTRACT(J1759, ""^\d+"")"),"1")</f>
        <v>1</v>
      </c>
      <c r="Z1759" s="5" t="str">
        <f>IFERROR(__xludf.DUMMYFUNCTION("REGEXEXTRACT(J1759, ""[A-Za-z ]+$"")")," Season")</f>
        <v> Season</v>
      </c>
      <c r="AA1759" s="5" t="str">
        <f>IFERROR(__xludf.DUMMYFUNCTION("IF(REGEXMATCH(Z1759, ""Season""), ""TV Show"", ""Movie"")"),"TV Show")</f>
        <v>TV Show</v>
      </c>
    </row>
    <row r="1760">
      <c r="A1760" s="1" t="s">
        <v>10183</v>
      </c>
      <c r="B1760" s="1" t="s">
        <v>37</v>
      </c>
      <c r="C1760" s="1" t="s">
        <v>10184</v>
      </c>
      <c r="E1760" s="1" t="s">
        <v>10185</v>
      </c>
      <c r="F1760" s="1" t="s">
        <v>1106</v>
      </c>
      <c r="G1760" s="1" t="s">
        <v>10136</v>
      </c>
      <c r="H1760" s="1">
        <v>2020.0</v>
      </c>
      <c r="I1760" s="1" t="s">
        <v>289</v>
      </c>
      <c r="J1760" s="1" t="s">
        <v>43</v>
      </c>
      <c r="K1760" s="1" t="s">
        <v>290</v>
      </c>
      <c r="L1760" s="1" t="s">
        <v>10186</v>
      </c>
      <c r="M1760" s="2" t="s">
        <v>12</v>
      </c>
      <c r="N1760" s="4">
        <f t="shared" si="1"/>
        <v>44136</v>
      </c>
      <c r="O1760" s="5" t="str">
        <f>IFERROR(__xludf.DUMMYFUNCTION("IF(REGEXMATCH(TRIM(I1760), ""^\d+\s*min""), ""Unclassified"", IF(I1760 = """", ""NR"", I1760))"),"TV-Y7")</f>
        <v>TV-Y7</v>
      </c>
      <c r="R1760" s="5" t="str">
        <f t="shared" si="2"/>
        <v>Lego Ninjago</v>
      </c>
      <c r="S1760" s="5" t="str">
        <f>IFERROR(__xludf.DUMMYFUNCTION("""COMPUTED_VALUE"""),"Cursed")</f>
        <v>Cursed</v>
      </c>
      <c r="U1760" s="5" t="str">
        <f>IFERROR(__xludf.DUMMYFUNCTION("""COMPUTED_VALUE"""),"Matt Shakman")</f>
        <v>Matt Shakman</v>
      </c>
      <c r="V1760" s="5" t="s">
        <v>10187</v>
      </c>
      <c r="W1760" s="5" t="str">
        <f t="shared" si="3"/>
        <v>Janusz Majewski</v>
      </c>
      <c r="X1760" s="5">
        <f t="shared" si="4"/>
        <v>2</v>
      </c>
      <c r="Y1760" s="5" t="str">
        <f>IFERROR(__xludf.DUMMYFUNCTION("REGEXEXTRACT(J1760, ""^\d+"")"),"2")</f>
        <v>2</v>
      </c>
      <c r="Z1760" s="5" t="str">
        <f>IFERROR(__xludf.DUMMYFUNCTION("REGEXEXTRACT(J1760, ""[A-Za-z ]+$"")")," Seasons")</f>
        <v> Seasons</v>
      </c>
      <c r="AA1760" s="5" t="str">
        <f>IFERROR(__xludf.DUMMYFUNCTION("IF(REGEXMATCH(Z1760, ""Season""), ""TV Show"", ""Movie"")"),"TV Show")</f>
        <v>TV Show</v>
      </c>
    </row>
    <row r="1761">
      <c r="A1761" s="1" t="s">
        <v>10188</v>
      </c>
      <c r="B1761" s="1" t="s">
        <v>37</v>
      </c>
      <c r="C1761" s="1" t="s">
        <v>10189</v>
      </c>
      <c r="E1761" s="1" t="s">
        <v>10190</v>
      </c>
      <c r="F1761" s="1" t="s">
        <v>10191</v>
      </c>
      <c r="G1761" s="1" t="s">
        <v>10136</v>
      </c>
      <c r="H1761" s="1">
        <v>2019.0</v>
      </c>
      <c r="I1761" s="1" t="s">
        <v>289</v>
      </c>
      <c r="J1761" s="1" t="s">
        <v>2526</v>
      </c>
      <c r="K1761" s="1" t="s">
        <v>290</v>
      </c>
      <c r="L1761" s="1" t="s">
        <v>10192</v>
      </c>
      <c r="M1761" s="2" t="s">
        <v>12</v>
      </c>
      <c r="N1761" s="4">
        <f t="shared" si="1"/>
        <v>44136</v>
      </c>
      <c r="O1761" s="5" t="str">
        <f>IFERROR(__xludf.DUMMYFUNCTION("IF(REGEXMATCH(TRIM(I1761), ""^\d+\s*min""), ""Unclassified"", IF(I1761 = """", ""NR"", I1761))"),"TV-Y7")</f>
        <v>TV-Y7</v>
      </c>
      <c r="R1761" s="5" t="str">
        <f t="shared" si="2"/>
        <v>Lego Ninjago: Masters Of Spinjitzu</v>
      </c>
      <c r="S1761" s="5" t="str">
        <f>IFERROR(__xludf.DUMMYFUNCTION("""COMPUTED_VALUE"""),"Curtiz")</f>
        <v>Curtiz</v>
      </c>
      <c r="U1761" s="5" t="str">
        <f>IFERROR(__xludf.DUMMYFUNCTION("""COMPUTED_VALUE"""),"Mikhail Red")</f>
        <v>Mikhail Red</v>
      </c>
      <c r="V1761" s="5" t="s">
        <v>10193</v>
      </c>
      <c r="W1761" s="5" t="str">
        <f t="shared" si="3"/>
        <v>Jarand Herdal</v>
      </c>
      <c r="X1761" s="5">
        <f t="shared" si="4"/>
        <v>1</v>
      </c>
      <c r="Y1761" s="5" t="str">
        <f>IFERROR(__xludf.DUMMYFUNCTION("REGEXEXTRACT(J1761, ""^\d+"")"),"10")</f>
        <v>10</v>
      </c>
      <c r="Z1761" s="5" t="str">
        <f>IFERROR(__xludf.DUMMYFUNCTION("REGEXEXTRACT(J1761, ""[A-Za-z ]+$"")")," Seasons")</f>
        <v> Seasons</v>
      </c>
      <c r="AA1761" s="5" t="str">
        <f>IFERROR(__xludf.DUMMYFUNCTION("IF(REGEXMATCH(Z1761, ""Season""), ""TV Show"", ""Movie"")"),"TV Show")</f>
        <v>TV Show</v>
      </c>
    </row>
    <row r="1762">
      <c r="A1762" s="1" t="s">
        <v>10194</v>
      </c>
      <c r="B1762" s="1" t="s">
        <v>37</v>
      </c>
      <c r="C1762" s="1" t="s">
        <v>10195</v>
      </c>
      <c r="E1762" s="1" t="s">
        <v>10196</v>
      </c>
      <c r="F1762" s="1" t="s">
        <v>10197</v>
      </c>
      <c r="G1762" s="1" t="s">
        <v>10136</v>
      </c>
      <c r="H1762" s="1">
        <v>2019.0</v>
      </c>
      <c r="I1762" s="1" t="s">
        <v>206</v>
      </c>
      <c r="J1762" s="1" t="s">
        <v>51</v>
      </c>
      <c r="K1762" s="1" t="s">
        <v>314</v>
      </c>
      <c r="L1762" s="1" t="s">
        <v>10198</v>
      </c>
      <c r="M1762" s="2" t="s">
        <v>12</v>
      </c>
      <c r="N1762" s="4">
        <f t="shared" si="1"/>
        <v>44136</v>
      </c>
      <c r="O1762" s="5" t="str">
        <f>IFERROR(__xludf.DUMMYFUNCTION("IF(REGEXMATCH(TRIM(I1762), ""^\d+\s*min""), ""Unclassified"", IF(I1762 = """", ""NR"", I1762))"),"TV-Y")</f>
        <v>TV-Y</v>
      </c>
      <c r="R1762" s="5" t="str">
        <f t="shared" si="2"/>
        <v>Lego: City Adventures</v>
      </c>
      <c r="S1762" s="5" t="str">
        <f>IFERROR(__xludf.DUMMYFUNCTION("""COMPUTED_VALUE"""),"Cut Bank")</f>
        <v>Cut Bank</v>
      </c>
      <c r="U1762" s="5" t="str">
        <f>IFERROR(__xludf.DUMMYFUNCTION("""COMPUTED_VALUE"""),"Pankaj Batra")</f>
        <v>Pankaj Batra</v>
      </c>
      <c r="V1762" s="5" t="s">
        <v>10199</v>
      </c>
      <c r="W1762" s="5" t="str">
        <f t="shared" si="3"/>
        <v>Jared Hess</v>
      </c>
      <c r="X1762" s="5">
        <f t="shared" si="4"/>
        <v>2</v>
      </c>
      <c r="Y1762" s="5" t="str">
        <f>IFERROR(__xludf.DUMMYFUNCTION("REGEXEXTRACT(J1762, ""^\d+"")"),"1")</f>
        <v>1</v>
      </c>
      <c r="Z1762" s="5" t="str">
        <f>IFERROR(__xludf.DUMMYFUNCTION("REGEXEXTRACT(J1762, ""[A-Za-z ]+$"")")," Season")</f>
        <v> Season</v>
      </c>
      <c r="AA1762" s="5" t="str">
        <f>IFERROR(__xludf.DUMMYFUNCTION("IF(REGEXMATCH(Z1762, ""Season""), ""TV Show"", ""Movie"")"),"TV Show")</f>
        <v>TV Show</v>
      </c>
    </row>
    <row r="1763">
      <c r="A1763" s="1" t="s">
        <v>10200</v>
      </c>
      <c r="B1763" s="1" t="s">
        <v>27</v>
      </c>
      <c r="C1763" s="1" t="s">
        <v>10201</v>
      </c>
      <c r="D1763" s="1" t="s">
        <v>10202</v>
      </c>
      <c r="E1763" s="1" t="s">
        <v>10203</v>
      </c>
      <c r="F1763" s="1" t="s">
        <v>30</v>
      </c>
      <c r="G1763" s="1" t="s">
        <v>10136</v>
      </c>
      <c r="H1763" s="1">
        <v>1989.0</v>
      </c>
      <c r="I1763" s="1" t="s">
        <v>78</v>
      </c>
      <c r="J1763" s="1" t="s">
        <v>447</v>
      </c>
      <c r="K1763" s="1" t="s">
        <v>137</v>
      </c>
      <c r="L1763" s="1" t="s">
        <v>10204</v>
      </c>
      <c r="M1763" s="2" t="s">
        <v>12</v>
      </c>
      <c r="N1763" s="4">
        <f t="shared" si="1"/>
        <v>44136</v>
      </c>
      <c r="O1763" s="5" t="str">
        <f>IFERROR(__xludf.DUMMYFUNCTION("IF(REGEXMATCH(TRIM(I1763), ""^\d+\s*min""), ""Unclassified"", IF(I1763 = """", ""NR"", I1763))"),"PG")</f>
        <v>PG</v>
      </c>
      <c r="R1763" s="5" t="str">
        <f t="shared" si="2"/>
        <v>Little Monsters</v>
      </c>
      <c r="S1763" s="5" t="str">
        <f>IFERROR(__xludf.DUMMYFUNCTION("""COMPUTED_VALUE"""),"Cut Throat City")</f>
        <v>Cut Throat City</v>
      </c>
      <c r="U1763" s="5" t="str">
        <f>IFERROR(__xludf.DUMMYFUNCTION("""COMPUTED_VALUE"""),"Serge Ou")</f>
        <v>Serge Ou</v>
      </c>
      <c r="V1763" s="5" t="s">
        <v>7344</v>
      </c>
      <c r="W1763" s="5" t="str">
        <f t="shared" si="3"/>
        <v>Jared Hess, Tyler Measom</v>
      </c>
      <c r="X1763" s="5">
        <f t="shared" si="4"/>
        <v>1</v>
      </c>
      <c r="Y1763" s="5" t="str">
        <f>IFERROR(__xludf.DUMMYFUNCTION("REGEXEXTRACT(J1763, ""^\d+"")"),"102")</f>
        <v>102</v>
      </c>
      <c r="Z1763" s="5" t="str">
        <f>IFERROR(__xludf.DUMMYFUNCTION("REGEXEXTRACT(J1763, ""[A-Za-z ]+$"")")," min")</f>
        <v> min</v>
      </c>
      <c r="AA1763" s="5" t="str">
        <f>IFERROR(__xludf.DUMMYFUNCTION("IF(REGEXMATCH(Z1763, ""Season""), ""TV Show"", ""Movie"")"),"Movie")</f>
        <v>Movie</v>
      </c>
    </row>
    <row r="1764">
      <c r="A1764" s="1" t="s">
        <v>10205</v>
      </c>
      <c r="B1764" s="1" t="s">
        <v>27</v>
      </c>
      <c r="C1764" s="1" t="s">
        <v>10206</v>
      </c>
      <c r="D1764" s="1" t="s">
        <v>10207</v>
      </c>
      <c r="E1764" s="1" t="s">
        <v>10208</v>
      </c>
      <c r="F1764" s="1" t="s">
        <v>10209</v>
      </c>
      <c r="G1764" s="1" t="s">
        <v>10136</v>
      </c>
      <c r="H1764" s="1">
        <v>2018.0</v>
      </c>
      <c r="I1764" s="1" t="s">
        <v>378</v>
      </c>
      <c r="J1764" s="1" t="s">
        <v>170</v>
      </c>
      <c r="K1764" s="1" t="s">
        <v>380</v>
      </c>
      <c r="L1764" s="1" t="s">
        <v>10210</v>
      </c>
      <c r="M1764" s="2" t="s">
        <v>12</v>
      </c>
      <c r="N1764" s="4">
        <f t="shared" si="1"/>
        <v>44136</v>
      </c>
      <c r="O1764" s="5" t="str">
        <f>IFERROR(__xludf.DUMMYFUNCTION("IF(REGEXMATCH(TRIM(I1764), ""^\d+\s*min""), ""Unclassified"", IF(I1764 = """", ""NR"", I1764))"),"R")</f>
        <v>R</v>
      </c>
      <c r="R1764" s="5" t="str">
        <f t="shared" si="2"/>
        <v>Mile 22</v>
      </c>
      <c r="S1764" s="5" t="str">
        <f>IFERROR(__xludf.DUMMYFUNCTION("""COMPUTED_VALUE"""),"Cutie And The Boxer")</f>
        <v>Cutie And The Boxer</v>
      </c>
      <c r="U1764" s="5" t="str">
        <f>IFERROR(__xludf.DUMMYFUNCTION("""COMPUTED_VALUE"""),"Navaniat Singh")</f>
        <v>Navaniat Singh</v>
      </c>
      <c r="V1764" s="5" t="s">
        <v>10211</v>
      </c>
      <c r="W1764" s="5" t="str">
        <f t="shared" si="3"/>
        <v>Jared Moshé</v>
      </c>
      <c r="X1764" s="5">
        <f t="shared" si="4"/>
        <v>1</v>
      </c>
      <c r="Y1764" s="5" t="str">
        <f>IFERROR(__xludf.DUMMYFUNCTION("REGEXEXTRACT(J1764, ""^\d+"")"),"94")</f>
        <v>94</v>
      </c>
      <c r="Z1764" s="5" t="str">
        <f>IFERROR(__xludf.DUMMYFUNCTION("REGEXEXTRACT(J1764, ""[A-Za-z ]+$"")")," min")</f>
        <v> min</v>
      </c>
      <c r="AA1764" s="5" t="str">
        <f>IFERROR(__xludf.DUMMYFUNCTION("IF(REGEXMATCH(Z1764, ""Season""), ""TV Show"", ""Movie"")"),"Movie")</f>
        <v>Movie</v>
      </c>
    </row>
    <row r="1765">
      <c r="A1765" s="1" t="s">
        <v>10212</v>
      </c>
      <c r="B1765" s="1" t="s">
        <v>27</v>
      </c>
      <c r="C1765" s="1" t="s">
        <v>10213</v>
      </c>
      <c r="D1765" s="1" t="s">
        <v>10214</v>
      </c>
      <c r="E1765" s="1" t="s">
        <v>10215</v>
      </c>
      <c r="F1765" s="1" t="s">
        <v>30</v>
      </c>
      <c r="G1765" s="1" t="s">
        <v>10136</v>
      </c>
      <c r="H1765" s="1">
        <v>2018.0</v>
      </c>
      <c r="I1765" s="1" t="s">
        <v>378</v>
      </c>
      <c r="J1765" s="1" t="s">
        <v>2452</v>
      </c>
      <c r="K1765" s="1" t="s">
        <v>2327</v>
      </c>
      <c r="L1765" s="1" t="s">
        <v>10216</v>
      </c>
      <c r="M1765" s="2" t="s">
        <v>12</v>
      </c>
      <c r="N1765" s="4">
        <f t="shared" si="1"/>
        <v>44136</v>
      </c>
      <c r="O1765" s="5" t="str">
        <f>IFERROR(__xludf.DUMMYFUNCTION("IF(REGEXMATCH(TRIM(I1765), ""^\d+\s*min""), ""Unclassified"", IF(I1765 = """", ""NR"", I1765))"),"R")</f>
        <v>R</v>
      </c>
      <c r="R1765" s="5" t="str">
        <f t="shared" si="2"/>
        <v>Piercing</v>
      </c>
      <c r="S1765" s="5" t="str">
        <f>IFERROR(__xludf.DUMMYFUNCTION("""COMPUTED_VALUE"""),"Cuties")</f>
        <v>Cuties</v>
      </c>
      <c r="U1765" s="5" t="str">
        <f>IFERROR(__xludf.DUMMYFUNCTION("""COMPUTED_VALUE"""),"Gaurav Bavdankar")</f>
        <v>Gaurav Bavdankar</v>
      </c>
      <c r="V1765" s="5" t="s">
        <v>10217</v>
      </c>
      <c r="W1765" s="5" t="str">
        <f t="shared" si="3"/>
        <v>Jared Stern</v>
      </c>
      <c r="X1765" s="5">
        <f t="shared" si="4"/>
        <v>1</v>
      </c>
      <c r="Y1765" s="5" t="str">
        <f>IFERROR(__xludf.DUMMYFUNCTION("REGEXEXTRACT(J1765, ""^\d+"")"),"81")</f>
        <v>81</v>
      </c>
      <c r="Z1765" s="5" t="str">
        <f>IFERROR(__xludf.DUMMYFUNCTION("REGEXEXTRACT(J1765, ""[A-Za-z ]+$"")")," min")</f>
        <v> min</v>
      </c>
      <c r="AA1765" s="5" t="str">
        <f>IFERROR(__xludf.DUMMYFUNCTION("IF(REGEXMATCH(Z1765, ""Season""), ""TV Show"", ""Movie"")"),"Movie")</f>
        <v>Movie</v>
      </c>
    </row>
    <row r="1766">
      <c r="A1766" s="1" t="s">
        <v>10218</v>
      </c>
      <c r="B1766" s="1" t="s">
        <v>27</v>
      </c>
      <c r="C1766" s="1" t="s">
        <v>10219</v>
      </c>
      <c r="D1766" s="1" t="s">
        <v>7098</v>
      </c>
      <c r="E1766" s="1" t="s">
        <v>10220</v>
      </c>
      <c r="F1766" s="1" t="s">
        <v>4965</v>
      </c>
      <c r="G1766" s="1" t="s">
        <v>10136</v>
      </c>
      <c r="H1766" s="1">
        <v>2016.0</v>
      </c>
      <c r="I1766" s="1" t="s">
        <v>378</v>
      </c>
      <c r="J1766" s="1" t="s">
        <v>7413</v>
      </c>
      <c r="K1766" s="1" t="s">
        <v>394</v>
      </c>
      <c r="L1766" s="1" t="s">
        <v>10221</v>
      </c>
      <c r="M1766" s="2" t="s">
        <v>12</v>
      </c>
      <c r="N1766" s="4">
        <f t="shared" si="1"/>
        <v>44136</v>
      </c>
      <c r="O1766" s="5" t="str">
        <f>IFERROR(__xludf.DUMMYFUNCTION("IF(REGEXMATCH(TRIM(I1766), ""^\d+\s*min""), ""Unclassified"", IF(I1766 = """", ""NR"", I1766))"),"R")</f>
        <v>R</v>
      </c>
      <c r="R1766" s="5" t="str">
        <f t="shared" si="2"/>
        <v>Snowden</v>
      </c>
      <c r="S1766" s="5" t="str">
        <f>IFERROR(__xludf.DUMMYFUNCTION("""COMPUTED_VALUE"""),"Cyborg 009 Vs Devilman")</f>
        <v>Cyborg 009 Vs Devilman</v>
      </c>
      <c r="U1766" s="5" t="str">
        <f>IFERROR(__xludf.DUMMYFUNCTION("""COMPUTED_VALUE"""),"Jagdeep Sidhu")</f>
        <v>Jagdeep Sidhu</v>
      </c>
      <c r="V1766" s="5" t="s">
        <v>10222</v>
      </c>
      <c r="W1766" s="5" t="str">
        <f t="shared" si="3"/>
        <v>Jarrad Paul, Andrew Mogel</v>
      </c>
      <c r="X1766" s="5">
        <f t="shared" si="4"/>
        <v>1</v>
      </c>
      <c r="Y1766" s="5" t="str">
        <f>IFERROR(__xludf.DUMMYFUNCTION("REGEXEXTRACT(J1766, ""^\d+"")"),"134")</f>
        <v>134</v>
      </c>
      <c r="Z1766" s="5" t="str">
        <f>IFERROR(__xludf.DUMMYFUNCTION("REGEXEXTRACT(J1766, ""[A-Za-z ]+$"")")," min")</f>
        <v> min</v>
      </c>
      <c r="AA1766" s="5" t="str">
        <f>IFERROR(__xludf.DUMMYFUNCTION("IF(REGEXMATCH(Z1766, ""Season""), ""TV Show"", ""Movie"")"),"Movie")</f>
        <v>Movie</v>
      </c>
    </row>
    <row r="1767">
      <c r="A1767" s="1" t="s">
        <v>10223</v>
      </c>
      <c r="B1767" s="1" t="s">
        <v>37</v>
      </c>
      <c r="C1767" s="1" t="s">
        <v>10224</v>
      </c>
      <c r="E1767" s="1" t="s">
        <v>10225</v>
      </c>
      <c r="F1767" s="1" t="s">
        <v>718</v>
      </c>
      <c r="G1767" s="1" t="s">
        <v>10136</v>
      </c>
      <c r="H1767" s="1">
        <v>2018.0</v>
      </c>
      <c r="I1767" s="1" t="s">
        <v>206</v>
      </c>
      <c r="J1767" s="1" t="s">
        <v>148</v>
      </c>
      <c r="K1767" s="1" t="s">
        <v>314</v>
      </c>
      <c r="L1767" s="1" t="s">
        <v>10226</v>
      </c>
      <c r="M1767" s="2" t="s">
        <v>12</v>
      </c>
      <c r="N1767" s="4">
        <f t="shared" si="1"/>
        <v>44136</v>
      </c>
      <c r="O1767" s="5" t="str">
        <f>IFERROR(__xludf.DUMMYFUNCTION("IF(REGEXMATCH(TRIM(I1767), ""^\d+\s*min""), ""Unclassified"", IF(I1767 = """", ""NR"", I1767))"),"TV-Y")</f>
        <v>TV-Y</v>
      </c>
      <c r="R1767" s="5" t="str">
        <f t="shared" si="2"/>
        <v>The Garfield Show</v>
      </c>
      <c r="S1767" s="5" t="str">
        <f>IFERROR(__xludf.DUMMYFUNCTION("""COMPUTED_VALUE"""),"Cyborg 009: Call Of Justice")</f>
        <v>Cyborg 009: Call Of Justice</v>
      </c>
      <c r="U1767" s="5" t="str">
        <f>IFERROR(__xludf.DUMMYFUNCTION("""COMPUTED_VALUE"""),"Tanawat Aiemjinda")</f>
        <v>Tanawat Aiemjinda</v>
      </c>
      <c r="V1767" s="5" t="s">
        <v>10227</v>
      </c>
      <c r="W1767" s="5" t="str">
        <f t="shared" si="3"/>
        <v>Jasbir Bijendra Bhati</v>
      </c>
      <c r="X1767" s="5">
        <f t="shared" si="4"/>
        <v>1</v>
      </c>
      <c r="Y1767" s="5" t="str">
        <f>IFERROR(__xludf.DUMMYFUNCTION("REGEXEXTRACT(J1767, ""^\d+"")"),"4")</f>
        <v>4</v>
      </c>
      <c r="Z1767" s="5" t="str">
        <f>IFERROR(__xludf.DUMMYFUNCTION("REGEXEXTRACT(J1767, ""[A-Za-z ]+$"")")," Seasons")</f>
        <v> Seasons</v>
      </c>
      <c r="AA1767" s="5" t="str">
        <f>IFERROR(__xludf.DUMMYFUNCTION("IF(REGEXMATCH(Z1767, ""Season""), ""TV Show"", ""Movie"")"),"TV Show")</f>
        <v>TV Show</v>
      </c>
    </row>
    <row r="1768">
      <c r="A1768" s="1" t="s">
        <v>10228</v>
      </c>
      <c r="B1768" s="1" t="s">
        <v>37</v>
      </c>
      <c r="C1768" s="1" t="s">
        <v>10229</v>
      </c>
      <c r="E1768" s="1" t="s">
        <v>10230</v>
      </c>
      <c r="F1768" s="1" t="s">
        <v>749</v>
      </c>
      <c r="G1768" s="1" t="s">
        <v>10136</v>
      </c>
      <c r="H1768" s="1">
        <v>2020.0</v>
      </c>
      <c r="I1768" s="1" t="s">
        <v>42</v>
      </c>
      <c r="J1768" s="1" t="s">
        <v>51</v>
      </c>
      <c r="K1768" s="1" t="s">
        <v>1362</v>
      </c>
      <c r="L1768" s="1" t="s">
        <v>10231</v>
      </c>
      <c r="M1768" s="2" t="s">
        <v>12</v>
      </c>
      <c r="N1768" s="4">
        <f t="shared" si="1"/>
        <v>44136</v>
      </c>
      <c r="O1768" s="5" t="str">
        <f>IFERROR(__xludf.DUMMYFUNCTION("IF(REGEXMATCH(TRIM(I1768), ""^\d+\s*min""), ""Unclassified"", IF(I1768 = """", ""NR"", I1768))"),"TV-MA")</f>
        <v>TV-MA</v>
      </c>
      <c r="R1768" s="5" t="str">
        <f t="shared" si="2"/>
        <v>The Good Detective</v>
      </c>
      <c r="S1768" s="5" t="str">
        <f>IFERROR(__xludf.DUMMYFUNCTION("""COMPUTED_VALUE"""),"Cycle")</f>
        <v>Cycle</v>
      </c>
      <c r="U1768" s="5" t="str">
        <f>IFERROR(__xludf.DUMMYFUNCTION("""COMPUTED_VALUE"""),"Mukesh Vohra")</f>
        <v>Mukesh Vohra</v>
      </c>
      <c r="V1768" s="5" t="s">
        <v>10232</v>
      </c>
      <c r="W1768" s="5" t="str">
        <f t="shared" si="3"/>
        <v>Jasmine D'Souza</v>
      </c>
      <c r="X1768" s="5">
        <f t="shared" si="4"/>
        <v>1</v>
      </c>
      <c r="Y1768" s="5" t="str">
        <f>IFERROR(__xludf.DUMMYFUNCTION("REGEXEXTRACT(J1768, ""^\d+"")"),"1")</f>
        <v>1</v>
      </c>
      <c r="Z1768" s="5" t="str">
        <f>IFERROR(__xludf.DUMMYFUNCTION("REGEXEXTRACT(J1768, ""[A-Za-z ]+$"")")," Season")</f>
        <v> Season</v>
      </c>
      <c r="AA1768" s="5" t="str">
        <f>IFERROR(__xludf.DUMMYFUNCTION("IF(REGEXMATCH(Z1768, ""Season""), ""TV Show"", ""Movie"")"),"TV Show")</f>
        <v>TV Show</v>
      </c>
    </row>
    <row r="1769">
      <c r="A1769" s="1" t="s">
        <v>10233</v>
      </c>
      <c r="B1769" s="1" t="s">
        <v>27</v>
      </c>
      <c r="C1769" s="1" t="s">
        <v>10234</v>
      </c>
      <c r="D1769" s="1" t="s">
        <v>8222</v>
      </c>
      <c r="E1769" s="1" t="s">
        <v>10235</v>
      </c>
      <c r="F1769" s="1" t="s">
        <v>10236</v>
      </c>
      <c r="G1769" s="1" t="s">
        <v>10136</v>
      </c>
      <c r="H1769" s="1">
        <v>2012.0</v>
      </c>
      <c r="I1769" s="1" t="s">
        <v>32</v>
      </c>
      <c r="J1769" s="1" t="s">
        <v>835</v>
      </c>
      <c r="K1769" s="1" t="s">
        <v>805</v>
      </c>
      <c r="L1769" s="1" t="s">
        <v>10237</v>
      </c>
      <c r="M1769" s="2" t="s">
        <v>12</v>
      </c>
      <c r="N1769" s="4">
        <f t="shared" si="1"/>
        <v>44136</v>
      </c>
      <c r="O1769" s="5" t="str">
        <f>IFERROR(__xludf.DUMMYFUNCTION("IF(REGEXMATCH(TRIM(I1769), ""^\d+\s*min""), ""Unclassified"", IF(I1769 = """", ""NR"", I1769))"),"PG-13")</f>
        <v>PG-13</v>
      </c>
      <c r="R1769" s="5" t="str">
        <f t="shared" si="2"/>
        <v>The Impossible</v>
      </c>
      <c r="S1769" s="5" t="str">
        <f>IFERROR(__xludf.DUMMYFUNCTION("""COMPUTED_VALUE"""),"D.L. Hughley: Clear")</f>
        <v>D.L. Hughley: Clear</v>
      </c>
      <c r="U1769" s="5" t="str">
        <f>IFERROR(__xludf.DUMMYFUNCTION("""COMPUTED_VALUE"""),"Syrine Boulanouar, Nekfeu")</f>
        <v>Syrine Boulanouar, Nekfeu</v>
      </c>
      <c r="V1769" s="5" t="s">
        <v>10238</v>
      </c>
      <c r="W1769" s="5" t="str">
        <f t="shared" si="3"/>
        <v>Jason Bourque</v>
      </c>
      <c r="X1769" s="5">
        <f t="shared" si="4"/>
        <v>1</v>
      </c>
      <c r="Y1769" s="5" t="str">
        <f>IFERROR(__xludf.DUMMYFUNCTION("REGEXEXTRACT(J1769, ""^\d+"")"),"114")</f>
        <v>114</v>
      </c>
      <c r="Z1769" s="5" t="str">
        <f>IFERROR(__xludf.DUMMYFUNCTION("REGEXEXTRACT(J1769, ""[A-Za-z ]+$"")")," min")</f>
        <v> min</v>
      </c>
      <c r="AA1769" s="5" t="str">
        <f>IFERROR(__xludf.DUMMYFUNCTION("IF(REGEXMATCH(Z1769, ""Season""), ""TV Show"", ""Movie"")"),"Movie")</f>
        <v>Movie</v>
      </c>
    </row>
    <row r="1770">
      <c r="A1770" s="1" t="s">
        <v>10239</v>
      </c>
      <c r="B1770" s="1" t="s">
        <v>27</v>
      </c>
      <c r="C1770" s="1" t="s">
        <v>10240</v>
      </c>
      <c r="D1770" s="1" t="s">
        <v>4930</v>
      </c>
      <c r="E1770" s="1" t="s">
        <v>10241</v>
      </c>
      <c r="F1770" s="1" t="s">
        <v>30</v>
      </c>
      <c r="G1770" s="1" t="s">
        <v>10136</v>
      </c>
      <c r="H1770" s="1">
        <v>1994.0</v>
      </c>
      <c r="I1770" s="1" t="s">
        <v>78</v>
      </c>
      <c r="J1770" s="1" t="s">
        <v>1256</v>
      </c>
      <c r="K1770" s="1" t="s">
        <v>4876</v>
      </c>
      <c r="L1770" s="1" t="s">
        <v>10242</v>
      </c>
      <c r="M1770" s="2" t="s">
        <v>12</v>
      </c>
      <c r="N1770" s="4">
        <f t="shared" si="1"/>
        <v>44136</v>
      </c>
      <c r="O1770" s="5" t="str">
        <f>IFERROR(__xludf.DUMMYFUNCTION("IF(REGEXMATCH(TRIM(I1770), ""^\d+\s*min""), ""Unclassified"", IF(I1770 = """", ""NR"", I1770))"),"PG")</f>
        <v>PG</v>
      </c>
      <c r="R1770" s="5" t="str">
        <f t="shared" si="2"/>
        <v>The Next Karate Kid</v>
      </c>
      <c r="S1770" s="5" t="str">
        <f>IFERROR(__xludf.DUMMYFUNCTION("""COMPUTED_VALUE"""),"D.L. Hughley: Contrarian")</f>
        <v>D.L. Hughley: Contrarian</v>
      </c>
      <c r="U1770" s="5" t="str">
        <f>IFERROR(__xludf.DUMMYFUNCTION("""COMPUTED_VALUE"""),"Tudor Giurgiu")</f>
        <v>Tudor Giurgiu</v>
      </c>
      <c r="V1770" s="5" t="s">
        <v>10243</v>
      </c>
      <c r="W1770" s="5" t="str">
        <f t="shared" si="3"/>
        <v>Jason Cohen</v>
      </c>
      <c r="X1770" s="5">
        <f t="shared" si="4"/>
        <v>1</v>
      </c>
      <c r="Y1770" s="5" t="str">
        <f>IFERROR(__xludf.DUMMYFUNCTION("REGEXEXTRACT(J1770, ""^\d+"")"),"107")</f>
        <v>107</v>
      </c>
      <c r="Z1770" s="5" t="str">
        <f>IFERROR(__xludf.DUMMYFUNCTION("REGEXEXTRACT(J1770, ""[A-Za-z ]+$"")")," min")</f>
        <v> min</v>
      </c>
      <c r="AA1770" s="5" t="str">
        <f>IFERROR(__xludf.DUMMYFUNCTION("IF(REGEXMATCH(Z1770, ""Season""), ""TV Show"", ""Movie"")"),"Movie")</f>
        <v>Movie</v>
      </c>
    </row>
    <row r="1771">
      <c r="A1771" s="1" t="s">
        <v>10244</v>
      </c>
      <c r="B1771" s="1" t="s">
        <v>37</v>
      </c>
      <c r="C1771" s="1" t="s">
        <v>10245</v>
      </c>
      <c r="E1771" s="1" t="s">
        <v>10246</v>
      </c>
      <c r="F1771" s="1" t="s">
        <v>749</v>
      </c>
      <c r="G1771" s="1" t="s">
        <v>10136</v>
      </c>
      <c r="H1771" s="1">
        <v>2018.0</v>
      </c>
      <c r="I1771" s="1" t="s">
        <v>97</v>
      </c>
      <c r="J1771" s="1" t="s">
        <v>43</v>
      </c>
      <c r="K1771" s="1" t="s">
        <v>6338</v>
      </c>
      <c r="L1771" s="1" t="s">
        <v>10247</v>
      </c>
      <c r="M1771" s="2" t="s">
        <v>12</v>
      </c>
      <c r="N1771" s="4">
        <f t="shared" si="1"/>
        <v>44136</v>
      </c>
      <c r="O1771" s="5" t="str">
        <f>IFERROR(__xludf.DUMMYFUNCTION("IF(REGEXMATCH(TRIM(I1771), ""^\d+\s*min""), ""Unclassified"", IF(I1771 = """", ""NR"", I1771))"),"TV-14")</f>
        <v>TV-14</v>
      </c>
      <c r="R1771" s="5" t="str">
        <f t="shared" si="2"/>
        <v>Voice</v>
      </c>
      <c r="S1771" s="5" t="str">
        <f>IFERROR(__xludf.DUMMYFUNCTION("""COMPUTED_VALUE"""),"D.P.")</f>
        <v>D.P.</v>
      </c>
      <c r="U1771" s="5" t="str">
        <f>IFERROR(__xludf.DUMMYFUNCTION("""COMPUTED_VALUE"""),"Luis Ara, Ignacio Jaunsolo")</f>
        <v>Luis Ara, Ignacio Jaunsolo</v>
      </c>
      <c r="V1771" s="5" t="s">
        <v>734</v>
      </c>
      <c r="W1771" s="5" t="str">
        <f t="shared" si="3"/>
        <v>Jason Hehir</v>
      </c>
      <c r="X1771" s="5">
        <f t="shared" si="4"/>
        <v>1</v>
      </c>
      <c r="Y1771" s="5" t="str">
        <f>IFERROR(__xludf.DUMMYFUNCTION("REGEXEXTRACT(J1771, ""^\d+"")"),"2")</f>
        <v>2</v>
      </c>
      <c r="Z1771" s="5" t="str">
        <f>IFERROR(__xludf.DUMMYFUNCTION("REGEXEXTRACT(J1771, ""[A-Za-z ]+$"")")," Seasons")</f>
        <v> Seasons</v>
      </c>
      <c r="AA1771" s="5" t="str">
        <f>IFERROR(__xludf.DUMMYFUNCTION("IF(REGEXMATCH(Z1771, ""Season""), ""TV Show"", ""Movie"")"),"TV Show")</f>
        <v>TV Show</v>
      </c>
    </row>
    <row r="1772">
      <c r="A1772" s="1" t="s">
        <v>10248</v>
      </c>
      <c r="B1772" s="1" t="s">
        <v>27</v>
      </c>
      <c r="C1772" s="1" t="s">
        <v>10249</v>
      </c>
      <c r="D1772" s="1" t="s">
        <v>9077</v>
      </c>
      <c r="E1772" s="1" t="s">
        <v>10250</v>
      </c>
      <c r="F1772" s="1" t="s">
        <v>30</v>
      </c>
      <c r="G1772" s="1" t="s">
        <v>10136</v>
      </c>
      <c r="H1772" s="1">
        <v>2020.0</v>
      </c>
      <c r="I1772" s="1" t="s">
        <v>378</v>
      </c>
      <c r="J1772" s="1" t="s">
        <v>1256</v>
      </c>
      <c r="K1772" s="1" t="s">
        <v>10251</v>
      </c>
      <c r="L1772" s="1" t="s">
        <v>10252</v>
      </c>
      <c r="M1772" s="2" t="s">
        <v>12</v>
      </c>
      <c r="N1772" s="4">
        <f t="shared" si="1"/>
        <v>44136</v>
      </c>
      <c r="O1772" s="5" t="str">
        <f>IFERROR(__xludf.DUMMYFUNCTION("IF(REGEXMATCH(TRIM(I1772), ""^\d+\s*min""), ""Unclassified"", IF(I1772 = """", ""NR"", I1772))"),"R")</f>
        <v>R</v>
      </c>
      <c r="R1772" s="5" t="str">
        <f t="shared" si="2"/>
        <v>Wheels Of Fortune</v>
      </c>
      <c r="S1772" s="5" t="str">
        <f>IFERROR(__xludf.DUMMYFUNCTION("""COMPUTED_VALUE"""),"Da 5 Bloods")</f>
        <v>Da 5 Bloods</v>
      </c>
      <c r="U1772" s="5" t="str">
        <f>IFERROR(__xludf.DUMMYFUNCTION("""COMPUTED_VALUE"""),"Abhishek Sharma")</f>
        <v>Abhishek Sharma</v>
      </c>
      <c r="V1772" s="5" t="s">
        <v>10253</v>
      </c>
      <c r="W1772" s="5" t="str">
        <f t="shared" si="3"/>
        <v>Jason James</v>
      </c>
      <c r="X1772" s="5">
        <f t="shared" si="4"/>
        <v>1</v>
      </c>
      <c r="Y1772" s="5" t="str">
        <f>IFERROR(__xludf.DUMMYFUNCTION("REGEXEXTRACT(J1772, ""^\d+"")"),"107")</f>
        <v>107</v>
      </c>
      <c r="Z1772" s="5" t="str">
        <f>IFERROR(__xludf.DUMMYFUNCTION("REGEXEXTRACT(J1772, ""[A-Za-z ]+$"")")," min")</f>
        <v> min</v>
      </c>
      <c r="AA1772" s="5" t="str">
        <f>IFERROR(__xludf.DUMMYFUNCTION("IF(REGEXMATCH(Z1772, ""Season""), ""TV Show"", ""Movie"")"),"Movie")</f>
        <v>Movie</v>
      </c>
    </row>
    <row r="1773">
      <c r="A1773" s="1" t="s">
        <v>10254</v>
      </c>
      <c r="B1773" s="1" t="s">
        <v>37</v>
      </c>
      <c r="C1773" s="1" t="s">
        <v>10255</v>
      </c>
      <c r="D1773" s="1" t="s">
        <v>10256</v>
      </c>
      <c r="E1773" s="1" t="s">
        <v>10257</v>
      </c>
      <c r="F1773" s="1" t="s">
        <v>1992</v>
      </c>
      <c r="G1773" s="1" t="s">
        <v>10258</v>
      </c>
      <c r="H1773" s="1">
        <v>2017.0</v>
      </c>
      <c r="I1773" s="1" t="s">
        <v>136</v>
      </c>
      <c r="J1773" s="1" t="s">
        <v>51</v>
      </c>
      <c r="K1773" s="1" t="s">
        <v>507</v>
      </c>
      <c r="L1773" s="1" t="s">
        <v>10259</v>
      </c>
      <c r="M1773" s="2" t="s">
        <v>12</v>
      </c>
      <c r="N1773" s="4">
        <f t="shared" si="1"/>
        <v>44135</v>
      </c>
      <c r="O1773" s="5" t="str">
        <f>IFERROR(__xludf.DUMMYFUNCTION("IF(REGEXMATCH(TRIM(I1773), ""^\d+\s*min""), ""Unclassified"", IF(I1773 = """", ""NR"", I1773))"),"TV-PG")</f>
        <v>TV-PG</v>
      </c>
      <c r="R1773" s="5" t="str">
        <f t="shared" si="2"/>
        <v>Afronta! Facing It!</v>
      </c>
      <c r="S1773" s="5" t="str">
        <f>IFERROR(__xludf.DUMMYFUNCTION("""COMPUTED_VALUE"""),"Da Kath &amp; Kim Code")</f>
        <v>Da Kath &amp; Kim Code</v>
      </c>
      <c r="U1773" s="5" t="str">
        <f>IFERROR(__xludf.DUMMYFUNCTION("""COMPUTED_VALUE"""),"Mati Diop")</f>
        <v>Mati Diop</v>
      </c>
      <c r="V1773" s="5" t="s">
        <v>10260</v>
      </c>
      <c r="W1773" s="5" t="str">
        <f t="shared" si="3"/>
        <v>Jason Krawczyk</v>
      </c>
      <c r="X1773" s="5">
        <f t="shared" si="4"/>
        <v>1</v>
      </c>
      <c r="Y1773" s="5" t="str">
        <f>IFERROR(__xludf.DUMMYFUNCTION("REGEXEXTRACT(J1773, ""^\d+"")"),"1")</f>
        <v>1</v>
      </c>
      <c r="Z1773" s="5" t="str">
        <f>IFERROR(__xludf.DUMMYFUNCTION("REGEXEXTRACT(J1773, ""[A-Za-z ]+$"")")," Season")</f>
        <v> Season</v>
      </c>
      <c r="AA1773" s="5" t="str">
        <f>IFERROR(__xludf.DUMMYFUNCTION("IF(REGEXMATCH(Z1773, ""Season""), ""TV Show"", ""Movie"")"),"TV Show")</f>
        <v>TV Show</v>
      </c>
    </row>
    <row r="1774">
      <c r="A1774" s="1" t="s">
        <v>10261</v>
      </c>
      <c r="B1774" s="1" t="s">
        <v>27</v>
      </c>
      <c r="C1774" s="1" t="s">
        <v>10262</v>
      </c>
      <c r="D1774" s="1" t="s">
        <v>9027</v>
      </c>
      <c r="E1774" s="1" t="s">
        <v>10263</v>
      </c>
      <c r="F1774" s="1" t="s">
        <v>8498</v>
      </c>
      <c r="G1774" s="1" t="s">
        <v>10258</v>
      </c>
      <c r="H1774" s="1">
        <v>2018.0</v>
      </c>
      <c r="I1774" s="1" t="s">
        <v>42</v>
      </c>
      <c r="J1774" s="1" t="s">
        <v>2281</v>
      </c>
      <c r="K1774" s="1" t="s">
        <v>306</v>
      </c>
      <c r="L1774" s="1" t="s">
        <v>10264</v>
      </c>
      <c r="M1774" s="2" t="s">
        <v>12</v>
      </c>
      <c r="N1774" s="4">
        <f t="shared" si="1"/>
        <v>44135</v>
      </c>
      <c r="O1774" s="5" t="str">
        <f>IFERROR(__xludf.DUMMYFUNCTION("IF(REGEXMATCH(TRIM(I1774), ""^\d+\s*min""), ""Unclassified"", IF(I1774 = """", ""NR"", I1774))"),"TV-MA")</f>
        <v>TV-MA</v>
      </c>
      <c r="R1774" s="5" t="str">
        <f t="shared" si="2"/>
        <v>The 12Th Man</v>
      </c>
      <c r="S1774" s="5" t="str">
        <f>IFERROR(__xludf.DUMMYFUNCTION("""COMPUTED_VALUE"""),"Daagdi Chaawl")</f>
        <v>Daagdi Chaawl</v>
      </c>
      <c r="U1774" s="5" t="str">
        <f>IFERROR(__xludf.DUMMYFUNCTION("""COMPUTED_VALUE"""),"Jérémy Clapin")</f>
        <v>Jérémy Clapin</v>
      </c>
      <c r="V1774" s="5" t="s">
        <v>10265</v>
      </c>
      <c r="W1774" s="5" t="str">
        <f t="shared" si="3"/>
        <v>Jason Lai</v>
      </c>
      <c r="X1774" s="5">
        <f t="shared" si="4"/>
        <v>1</v>
      </c>
      <c r="Y1774" s="5" t="str">
        <f>IFERROR(__xludf.DUMMYFUNCTION("REGEXEXTRACT(J1774, ""^\d+"")"),"130")</f>
        <v>130</v>
      </c>
      <c r="Z1774" s="5" t="str">
        <f>IFERROR(__xludf.DUMMYFUNCTION("REGEXEXTRACT(J1774, ""[A-Za-z ]+$"")")," min")</f>
        <v> min</v>
      </c>
      <c r="AA1774" s="5" t="str">
        <f>IFERROR(__xludf.DUMMYFUNCTION("IF(REGEXMATCH(Z1774, ""Season""), ""TV Show"", ""Movie"")"),"Movie")</f>
        <v>Movie</v>
      </c>
    </row>
    <row r="1775">
      <c r="A1775" s="1" t="s">
        <v>10266</v>
      </c>
      <c r="B1775" s="1" t="s">
        <v>37</v>
      </c>
      <c r="C1775" s="1" t="s">
        <v>10267</v>
      </c>
      <c r="E1775" s="1" t="s">
        <v>10268</v>
      </c>
      <c r="F1775" s="1" t="s">
        <v>221</v>
      </c>
      <c r="G1775" s="1" t="s">
        <v>10258</v>
      </c>
      <c r="H1775" s="1">
        <v>2019.0</v>
      </c>
      <c r="I1775" s="1" t="s">
        <v>136</v>
      </c>
      <c r="J1775" s="1" t="s">
        <v>51</v>
      </c>
      <c r="K1775" s="1" t="s">
        <v>1520</v>
      </c>
      <c r="L1775" s="1" t="s">
        <v>10269</v>
      </c>
      <c r="M1775" s="2" t="s">
        <v>12</v>
      </c>
      <c r="N1775" s="4">
        <f t="shared" si="1"/>
        <v>44135</v>
      </c>
      <c r="O1775" s="5" t="str">
        <f>IFERROR(__xludf.DUMMYFUNCTION("IF(REGEXMATCH(TRIM(I1775), ""^\d+\s*min""), ""Unclassified"", IF(I1775 = """", ""NR"", I1775))"),"TV-PG")</f>
        <v>TV-PG</v>
      </c>
      <c r="R1775" s="5" t="str">
        <f t="shared" si="2"/>
        <v>Zumbo'S Just Desserts</v>
      </c>
      <c r="S1775" s="5" t="str">
        <f>IFERROR(__xludf.DUMMYFUNCTION("""COMPUTED_VALUE"""),"Dabbe 5: Zehr-I Cin")</f>
        <v>Dabbe 5: Zehr-I Cin</v>
      </c>
      <c r="U1775" s="5" t="str">
        <f>IFERROR(__xludf.DUMMYFUNCTION("""COMPUTED_VALUE"""),"Mandla Dube")</f>
        <v>Mandla Dube</v>
      </c>
      <c r="V1775" s="5" t="s">
        <v>10270</v>
      </c>
      <c r="W1775" s="5" t="str">
        <f t="shared" si="3"/>
        <v>Jason Moore</v>
      </c>
      <c r="X1775" s="5">
        <f t="shared" si="4"/>
        <v>1</v>
      </c>
      <c r="Y1775" s="5" t="str">
        <f>IFERROR(__xludf.DUMMYFUNCTION("REGEXEXTRACT(J1775, ""^\d+"")"),"1")</f>
        <v>1</v>
      </c>
      <c r="Z1775" s="5" t="str">
        <f>IFERROR(__xludf.DUMMYFUNCTION("REGEXEXTRACT(J1775, ""[A-Za-z ]+$"")")," Season")</f>
        <v> Season</v>
      </c>
      <c r="AA1775" s="5" t="str">
        <f>IFERROR(__xludf.DUMMYFUNCTION("IF(REGEXMATCH(Z1775, ""Season""), ""TV Show"", ""Movie"")"),"TV Show")</f>
        <v>TV Show</v>
      </c>
    </row>
    <row r="1776">
      <c r="A1776" s="1" t="s">
        <v>10271</v>
      </c>
      <c r="B1776" s="1" t="s">
        <v>27</v>
      </c>
      <c r="C1776" s="1" t="s">
        <v>10272</v>
      </c>
      <c r="D1776" s="1" t="s">
        <v>10273</v>
      </c>
      <c r="E1776" s="1" t="s">
        <v>10274</v>
      </c>
      <c r="F1776" s="1" t="s">
        <v>30</v>
      </c>
      <c r="G1776" s="1" t="s">
        <v>10275</v>
      </c>
      <c r="H1776" s="1">
        <v>2019.0</v>
      </c>
      <c r="I1776" s="1" t="s">
        <v>97</v>
      </c>
      <c r="J1776" s="1" t="s">
        <v>630</v>
      </c>
      <c r="K1776" s="1" t="s">
        <v>2327</v>
      </c>
      <c r="L1776" s="1" t="s">
        <v>10276</v>
      </c>
      <c r="M1776" s="2" t="s">
        <v>12</v>
      </c>
      <c r="N1776" s="4">
        <f t="shared" si="1"/>
        <v>44134</v>
      </c>
      <c r="O1776" s="5" t="str">
        <f>IFERROR(__xludf.DUMMYFUNCTION("IF(REGEXMATCH(TRIM(I1776), ""^\d+\s*min""), ""Unclassified"", IF(I1776 = """", ""NR"", I1776))"),"TV-14")</f>
        <v>TV-14</v>
      </c>
      <c r="R1776" s="5" t="str">
        <f t="shared" si="2"/>
        <v>Hidden In Plain Sight</v>
      </c>
      <c r="S1776" s="5" t="str">
        <f>IFERROR(__xludf.DUMMYFUNCTION("""COMPUTED_VALUE"""),"Dabbe 6: The Return")</f>
        <v>Dabbe 6: The Return</v>
      </c>
      <c r="U1776" s="5" t="str">
        <f>IFERROR(__xludf.DUMMYFUNCTION("""COMPUTED_VALUE"""),"Mike Ezuruonye")</f>
        <v>Mike Ezuruonye</v>
      </c>
      <c r="V1776" s="5" t="s">
        <v>10277</v>
      </c>
      <c r="W1776" s="5" t="str">
        <f t="shared" si="3"/>
        <v>Jason Orley</v>
      </c>
      <c r="X1776" s="5">
        <f t="shared" si="4"/>
        <v>1</v>
      </c>
      <c r="Y1776" s="5" t="str">
        <f>IFERROR(__xludf.DUMMYFUNCTION("REGEXEXTRACT(J1776, ""^\d+"")"),"87")</f>
        <v>87</v>
      </c>
      <c r="Z1776" s="5" t="str">
        <f>IFERROR(__xludf.DUMMYFUNCTION("REGEXEXTRACT(J1776, ""[A-Za-z ]+$"")")," min")</f>
        <v> min</v>
      </c>
      <c r="AA1776" s="5" t="str">
        <f>IFERROR(__xludf.DUMMYFUNCTION("IF(REGEXMATCH(Z1776, ""Season""), ""TV Show"", ""Movie"")"),"Movie")</f>
        <v>Movie</v>
      </c>
    </row>
    <row r="1777">
      <c r="A1777" s="1" t="s">
        <v>10278</v>
      </c>
      <c r="B1777" s="1" t="s">
        <v>27</v>
      </c>
      <c r="C1777" s="1" t="s">
        <v>10279</v>
      </c>
      <c r="D1777" s="1" t="s">
        <v>10280</v>
      </c>
      <c r="E1777" s="1" t="s">
        <v>10281</v>
      </c>
      <c r="F1777" s="1" t="s">
        <v>96</v>
      </c>
      <c r="G1777" s="1" t="s">
        <v>10275</v>
      </c>
      <c r="H1777" s="1">
        <v>2020.0</v>
      </c>
      <c r="I1777" s="1" t="s">
        <v>97</v>
      </c>
      <c r="J1777" s="1" t="s">
        <v>454</v>
      </c>
      <c r="K1777" s="1" t="s">
        <v>7235</v>
      </c>
      <c r="L1777" s="1" t="s">
        <v>10282</v>
      </c>
      <c r="M1777" s="2" t="s">
        <v>12</v>
      </c>
      <c r="N1777" s="4">
        <f t="shared" si="1"/>
        <v>44134</v>
      </c>
      <c r="O1777" s="5" t="str">
        <f>IFERROR(__xludf.DUMMYFUNCTION("IF(REGEXMATCH(TRIM(I1777), ""^\d+\s*min""), ""Unclassified"", IF(I1777 = """", ""NR"", I1777))"),"TV-14")</f>
        <v>TV-14</v>
      </c>
      <c r="R1777" s="5" t="str">
        <f t="shared" si="2"/>
        <v>His House</v>
      </c>
      <c r="S1777" s="5" t="str">
        <f>IFERROR(__xludf.DUMMYFUNCTION("""COMPUTED_VALUE"""),"Dabbe: The Possession")</f>
        <v>Dabbe: The Possession</v>
      </c>
      <c r="U1777" s="5" t="str">
        <f>IFERROR(__xludf.DUMMYFUNCTION("""COMPUTED_VALUE"""),"Cheta Chukwu")</f>
        <v>Cheta Chukwu</v>
      </c>
      <c r="V1777" s="5" t="s">
        <v>9337</v>
      </c>
      <c r="W1777" s="5" t="str">
        <f t="shared" si="3"/>
        <v>Jason Paul Laxamana</v>
      </c>
      <c r="X1777" s="5">
        <f t="shared" si="4"/>
        <v>2</v>
      </c>
      <c r="Y1777" s="5" t="str">
        <f>IFERROR(__xludf.DUMMYFUNCTION("REGEXEXTRACT(J1777, ""^\d+"")"),"93")</f>
        <v>93</v>
      </c>
      <c r="Z1777" s="5" t="str">
        <f>IFERROR(__xludf.DUMMYFUNCTION("REGEXEXTRACT(J1777, ""[A-Za-z ]+$"")")," min")</f>
        <v> min</v>
      </c>
      <c r="AA1777" s="5" t="str">
        <f>IFERROR(__xludf.DUMMYFUNCTION("IF(REGEXMATCH(Z1777, ""Season""), ""TV Show"", ""Movie"")"),"Movie")</f>
        <v>Movie</v>
      </c>
    </row>
    <row r="1778">
      <c r="A1778" s="1" t="s">
        <v>10283</v>
      </c>
      <c r="B1778" s="1" t="s">
        <v>27</v>
      </c>
      <c r="C1778" s="1" t="s">
        <v>10284</v>
      </c>
      <c r="D1778" s="1" t="s">
        <v>10285</v>
      </c>
      <c r="E1778" s="1" t="s">
        <v>10286</v>
      </c>
      <c r="F1778" s="1" t="s">
        <v>400</v>
      </c>
      <c r="G1778" s="1" t="s">
        <v>10275</v>
      </c>
      <c r="H1778" s="1">
        <v>2017.0</v>
      </c>
      <c r="I1778" s="1" t="s">
        <v>97</v>
      </c>
      <c r="J1778" s="1" t="s">
        <v>835</v>
      </c>
      <c r="K1778" s="1" t="s">
        <v>128</v>
      </c>
      <c r="L1778" s="1" t="s">
        <v>10287</v>
      </c>
      <c r="M1778" s="2" t="s">
        <v>12</v>
      </c>
      <c r="N1778" s="4">
        <f t="shared" si="1"/>
        <v>44134</v>
      </c>
      <c r="O1778" s="5" t="str">
        <f>IFERROR(__xludf.DUMMYFUNCTION("IF(REGEXMATCH(TRIM(I1778), ""^\d+\s*min""), ""Unclassified"", IF(I1778 = """", ""NR"", I1778))"),"TV-14")</f>
        <v>TV-14</v>
      </c>
      <c r="R1778" s="5" t="str">
        <f t="shared" si="2"/>
        <v>In Line</v>
      </c>
      <c r="S1778" s="5" t="str">
        <f>IFERROR(__xludf.DUMMYFUNCTION("""COMPUTED_VALUE"""),"Dad")</f>
        <v>Dad</v>
      </c>
      <c r="U1778" s="5" t="str">
        <f>IFERROR(__xludf.DUMMYFUNCTION("""COMPUTED_VALUE"""),"Roger Russell")</f>
        <v>Roger Russell</v>
      </c>
      <c r="V1778" s="5" t="s">
        <v>10288</v>
      </c>
      <c r="W1778" s="5" t="str">
        <f t="shared" si="3"/>
        <v>Jason Priestley</v>
      </c>
      <c r="X1778" s="5">
        <f t="shared" si="4"/>
        <v>1</v>
      </c>
      <c r="Y1778" s="5" t="str">
        <f>IFERROR(__xludf.DUMMYFUNCTION("REGEXEXTRACT(J1778, ""^\d+"")"),"114")</f>
        <v>114</v>
      </c>
      <c r="Z1778" s="5" t="str">
        <f>IFERROR(__xludf.DUMMYFUNCTION("REGEXEXTRACT(J1778, ""[A-Za-z ]+$"")")," min")</f>
        <v> min</v>
      </c>
      <c r="AA1778" s="5" t="str">
        <f>IFERROR(__xludf.DUMMYFUNCTION("IF(REGEXMATCH(Z1778, ""Season""), ""TV Show"", ""Movie"")"),"Movie")</f>
        <v>Movie</v>
      </c>
    </row>
    <row r="1779">
      <c r="A1779" s="1" t="s">
        <v>10289</v>
      </c>
      <c r="B1779" s="1" t="s">
        <v>27</v>
      </c>
      <c r="C1779" s="1" t="s">
        <v>10290</v>
      </c>
      <c r="D1779" s="1" t="s">
        <v>10291</v>
      </c>
      <c r="E1779" s="1" t="s">
        <v>10292</v>
      </c>
      <c r="F1779" s="1" t="s">
        <v>63</v>
      </c>
      <c r="G1779" s="1" t="s">
        <v>10275</v>
      </c>
      <c r="H1779" s="1">
        <v>2020.0</v>
      </c>
      <c r="I1779" s="1" t="s">
        <v>97</v>
      </c>
      <c r="J1779" s="1" t="s">
        <v>79</v>
      </c>
      <c r="K1779" s="1" t="s">
        <v>1441</v>
      </c>
      <c r="L1779" s="1" t="s">
        <v>10293</v>
      </c>
      <c r="M1779" s="2" t="s">
        <v>12</v>
      </c>
      <c r="N1779" s="4">
        <f t="shared" si="1"/>
        <v>44134</v>
      </c>
      <c r="O1779" s="5" t="str">
        <f>IFERROR(__xludf.DUMMYFUNCTION("IF(REGEXMATCH(TRIM(I1779), ""^\d+\s*min""), ""Unclassified"", IF(I1779 = """", ""NR"", I1779))"),"TV-14")</f>
        <v>TV-14</v>
      </c>
      <c r="R1779" s="5" t="str">
        <f t="shared" si="2"/>
        <v>Kaali Khuhi</v>
      </c>
      <c r="S1779" s="5" t="str">
        <f>IFERROR(__xludf.DUMMYFUNCTION("""COMPUTED_VALUE"""),"Dad Stop Embarrassing Me - The Afterparty")</f>
        <v>Dad Stop Embarrassing Me - The Afterparty</v>
      </c>
      <c r="U1779" s="5" t="str">
        <f>IFERROR(__xludf.DUMMYFUNCTION("""COMPUTED_VALUE"""),"Toka Mcbaror")</f>
        <v>Toka Mcbaror</v>
      </c>
      <c r="V1779" s="5" t="s">
        <v>10294</v>
      </c>
      <c r="W1779" s="5" t="str">
        <f t="shared" si="3"/>
        <v>Jason Reitman</v>
      </c>
      <c r="X1779" s="5">
        <f t="shared" si="4"/>
        <v>2</v>
      </c>
      <c r="Y1779" s="5" t="str">
        <f>IFERROR(__xludf.DUMMYFUNCTION("REGEXEXTRACT(J1779, ""^\d+"")"),"91")</f>
        <v>91</v>
      </c>
      <c r="Z1779" s="5" t="str">
        <f>IFERROR(__xludf.DUMMYFUNCTION("REGEXEXTRACT(J1779, ""[A-Za-z ]+$"")")," min")</f>
        <v> min</v>
      </c>
      <c r="AA1779" s="5" t="str">
        <f>IFERROR(__xludf.DUMMYFUNCTION("IF(REGEXMATCH(Z1779, ""Season""), ""TV Show"", ""Movie"")"),"Movie")</f>
        <v>Movie</v>
      </c>
    </row>
    <row r="1780">
      <c r="A1780" s="1" t="s">
        <v>10295</v>
      </c>
      <c r="B1780" s="1" t="s">
        <v>37</v>
      </c>
      <c r="C1780" s="1" t="s">
        <v>10296</v>
      </c>
      <c r="E1780" s="1" t="s">
        <v>10297</v>
      </c>
      <c r="G1780" s="1" t="s">
        <v>10275</v>
      </c>
      <c r="H1780" s="1">
        <v>2020.0</v>
      </c>
      <c r="I1780" s="1" t="s">
        <v>206</v>
      </c>
      <c r="J1780" s="1" t="s">
        <v>43</v>
      </c>
      <c r="K1780" s="1" t="s">
        <v>637</v>
      </c>
      <c r="L1780" s="1" t="s">
        <v>10298</v>
      </c>
      <c r="M1780" s="2" t="s">
        <v>12</v>
      </c>
      <c r="N1780" s="4">
        <f t="shared" si="1"/>
        <v>44134</v>
      </c>
      <c r="O1780" s="5" t="str">
        <f>IFERROR(__xludf.DUMMYFUNCTION("IF(REGEXMATCH(TRIM(I1780), ""^\d+\s*min""), ""Unclassified"", IF(I1780 = """", ""NR"", I1780))"),"TV-Y")</f>
        <v>TV-Y</v>
      </c>
      <c r="R1780" s="5" t="str">
        <f t="shared" si="2"/>
        <v>Kongsuni And Friends</v>
      </c>
      <c r="S1780" s="5" t="str">
        <f>IFERROR(__xludf.DUMMYFUNCTION("""COMPUTED_VALUE"""),"Dad Stop Embarrassing Me!")</f>
        <v>Dad Stop Embarrassing Me!</v>
      </c>
      <c r="U1780" s="5" t="str">
        <f>IFERROR(__xludf.DUMMYFUNCTION("""COMPUTED_VALUE"""),"Edward Zwick")</f>
        <v>Edward Zwick</v>
      </c>
      <c r="V1780" s="5" t="s">
        <v>10299</v>
      </c>
      <c r="W1780" s="5" t="str">
        <f t="shared" si="3"/>
        <v>Jason Spingarn-Koff</v>
      </c>
      <c r="X1780" s="5">
        <f t="shared" si="4"/>
        <v>1</v>
      </c>
      <c r="Y1780" s="5" t="str">
        <f>IFERROR(__xludf.DUMMYFUNCTION("REGEXEXTRACT(J1780, ""^\d+"")"),"2")</f>
        <v>2</v>
      </c>
      <c r="Z1780" s="5" t="str">
        <f>IFERROR(__xludf.DUMMYFUNCTION("REGEXEXTRACT(J1780, ""[A-Za-z ]+$"")")," Seasons")</f>
        <v> Seasons</v>
      </c>
      <c r="AA1780" s="5" t="str">
        <f>IFERROR(__xludf.DUMMYFUNCTION("IF(REGEXMATCH(Z1780, ""Season""), ""TV Show"", ""Movie"")"),"TV Show")</f>
        <v>TV Show</v>
      </c>
    </row>
    <row r="1781">
      <c r="A1781" s="1" t="s">
        <v>10300</v>
      </c>
      <c r="B1781" s="1" t="s">
        <v>37</v>
      </c>
      <c r="C1781" s="1" t="s">
        <v>10301</v>
      </c>
      <c r="E1781" s="1" t="s">
        <v>10302</v>
      </c>
      <c r="F1781" s="1" t="s">
        <v>30</v>
      </c>
      <c r="G1781" s="1" t="s">
        <v>10275</v>
      </c>
      <c r="H1781" s="1">
        <v>2020.0</v>
      </c>
      <c r="I1781" s="1" t="s">
        <v>97</v>
      </c>
      <c r="J1781" s="1" t="s">
        <v>1809</v>
      </c>
      <c r="K1781" s="1" t="s">
        <v>2583</v>
      </c>
      <c r="L1781" s="1" t="s">
        <v>10303</v>
      </c>
      <c r="M1781" s="2" t="s">
        <v>12</v>
      </c>
      <c r="N1781" s="4">
        <f t="shared" si="1"/>
        <v>44134</v>
      </c>
      <c r="O1781" s="5" t="str">
        <f>IFERROR(__xludf.DUMMYFUNCTION("IF(REGEXMATCH(TRIM(I1781), ""^\d+\s*min""), ""Unclassified"", IF(I1781 = """", ""NR"", I1781))"),"TV-14")</f>
        <v>TV-14</v>
      </c>
      <c r="R1781" s="5" t="str">
        <f t="shared" si="2"/>
        <v>Marvel'S Agents Of S.H.I.E.L.D.</v>
      </c>
      <c r="S1781" s="5" t="str">
        <f>IFERROR(__xludf.DUMMYFUNCTION("""COMPUTED_VALUE"""),"Dad Wanted")</f>
        <v>Dad Wanted</v>
      </c>
      <c r="U1781" s="5" t="str">
        <f>IFERROR(__xludf.DUMMYFUNCTION("""COMPUTED_VALUE"""),"Basava Shankar Eeday")</f>
        <v>Basava Shankar Eeday</v>
      </c>
      <c r="V1781" s="5" t="s">
        <v>10304</v>
      </c>
      <c r="W1781" s="5" t="str">
        <f t="shared" si="3"/>
        <v>Jason Stone</v>
      </c>
      <c r="X1781" s="5">
        <f t="shared" si="4"/>
        <v>1</v>
      </c>
      <c r="Y1781" s="5" t="str">
        <f>IFERROR(__xludf.DUMMYFUNCTION("REGEXEXTRACT(J1781, ""^\d+"")"),"7")</f>
        <v>7</v>
      </c>
      <c r="Z1781" s="5" t="str">
        <f>IFERROR(__xludf.DUMMYFUNCTION("REGEXEXTRACT(J1781, ""[A-Za-z ]+$"")")," Seasons")</f>
        <v> Seasons</v>
      </c>
      <c r="AA1781" s="5" t="str">
        <f>IFERROR(__xludf.DUMMYFUNCTION("IF(REGEXMATCH(Z1781, ""Season""), ""TV Show"", ""Movie"")"),"TV Show")</f>
        <v>TV Show</v>
      </c>
    </row>
    <row r="1782">
      <c r="A1782" s="1" t="s">
        <v>10305</v>
      </c>
      <c r="B1782" s="1" t="s">
        <v>27</v>
      </c>
      <c r="C1782" s="1" t="s">
        <v>10306</v>
      </c>
      <c r="D1782" s="1" t="s">
        <v>10307</v>
      </c>
      <c r="E1782" s="1" t="s">
        <v>10308</v>
      </c>
      <c r="F1782" s="1" t="s">
        <v>664</v>
      </c>
      <c r="G1782" s="1" t="s">
        <v>10275</v>
      </c>
      <c r="H1782" s="1">
        <v>2020.0</v>
      </c>
      <c r="I1782" s="1" t="s">
        <v>42</v>
      </c>
      <c r="J1782" s="1" t="s">
        <v>349</v>
      </c>
      <c r="K1782" s="1" t="s">
        <v>298</v>
      </c>
      <c r="L1782" s="1" t="s">
        <v>10309</v>
      </c>
      <c r="M1782" s="2" t="s">
        <v>12</v>
      </c>
      <c r="N1782" s="4">
        <f t="shared" si="1"/>
        <v>44134</v>
      </c>
      <c r="O1782" s="5" t="str">
        <f>IFERROR(__xludf.DUMMYFUNCTION("IF(REGEXMATCH(TRIM(I1782), ""^\d+\s*min""), ""Unclassified"", IF(I1782 = """", ""NR"", I1782))"),"TV-MA")</f>
        <v>TV-MA</v>
      </c>
      <c r="R1782" s="5" t="str">
        <f t="shared" si="2"/>
        <v>Rogue City</v>
      </c>
      <c r="S1782" s="5" t="str">
        <f>IFERROR(__xludf.DUMMYFUNCTION("""COMPUTED_VALUE"""),"Dad'S Army")</f>
        <v>Dad'S Army</v>
      </c>
      <c r="U1782" s="5" t="str">
        <f>IFERROR(__xludf.DUMMYFUNCTION("""COMPUTED_VALUE"""),"Elle-Máijá Tailfeathers, Kathleen Hepburn")</f>
        <v>Elle-Máijá Tailfeathers, Kathleen Hepburn</v>
      </c>
      <c r="V1782" s="5" t="s">
        <v>10310</v>
      </c>
      <c r="W1782" s="5" t="str">
        <f t="shared" si="3"/>
        <v>Jason Sussberg, David Alvarado</v>
      </c>
      <c r="X1782" s="5">
        <f t="shared" si="4"/>
        <v>1</v>
      </c>
      <c r="Y1782" s="5" t="str">
        <f>IFERROR(__xludf.DUMMYFUNCTION("REGEXEXTRACT(J1782, ""^\d+"")"),"116")</f>
        <v>116</v>
      </c>
      <c r="Z1782" s="5" t="str">
        <f>IFERROR(__xludf.DUMMYFUNCTION("REGEXEXTRACT(J1782, ""[A-Za-z ]+$"")")," min")</f>
        <v> min</v>
      </c>
      <c r="AA1782" s="5" t="str">
        <f>IFERROR(__xludf.DUMMYFUNCTION("IF(REGEXMATCH(Z1782, ""Season""), ""TV Show"", ""Movie"")"),"Movie")</f>
        <v>Movie</v>
      </c>
    </row>
    <row r="1783">
      <c r="A1783" s="1" t="s">
        <v>10311</v>
      </c>
      <c r="B1783" s="1" t="s">
        <v>37</v>
      </c>
      <c r="C1783" s="1" t="s">
        <v>10312</v>
      </c>
      <c r="E1783" s="1" t="s">
        <v>10313</v>
      </c>
      <c r="F1783" s="1" t="s">
        <v>30</v>
      </c>
      <c r="G1783" s="1" t="s">
        <v>10275</v>
      </c>
      <c r="H1783" s="1">
        <v>2020.0</v>
      </c>
      <c r="I1783" s="1" t="s">
        <v>97</v>
      </c>
      <c r="J1783" s="1" t="s">
        <v>148</v>
      </c>
      <c r="K1783" s="1" t="s">
        <v>57</v>
      </c>
      <c r="L1783" s="1" t="s">
        <v>10314</v>
      </c>
      <c r="M1783" s="2" t="s">
        <v>12</v>
      </c>
      <c r="N1783" s="4">
        <f t="shared" si="1"/>
        <v>44134</v>
      </c>
      <c r="O1783" s="5" t="str">
        <f>IFERROR(__xludf.DUMMYFUNCTION("IF(REGEXMATCH(TRIM(I1783), ""^\d+\s*min""), ""Unclassified"", IF(I1783 = """", ""NR"", I1783))"),"TV-14")</f>
        <v>TV-14</v>
      </c>
      <c r="R1783" s="5" t="str">
        <f t="shared" si="2"/>
        <v>Somebody Feed Phil</v>
      </c>
      <c r="S1783" s="5" t="str">
        <f>IFERROR(__xludf.DUMMYFUNCTION("""COMPUTED_VALUE"""),"Daddy Day Care")</f>
        <v>Daddy Day Care</v>
      </c>
      <c r="U1783" s="5" t="str">
        <f>IFERROR(__xludf.DUMMYFUNCTION("""COMPUTED_VALUE"""),"Sanjiv Jaiswal")</f>
        <v>Sanjiv Jaiswal</v>
      </c>
      <c r="V1783" s="5" t="s">
        <v>10315</v>
      </c>
      <c r="W1783" s="5" t="str">
        <f t="shared" si="3"/>
        <v>Jason Winer</v>
      </c>
      <c r="X1783" s="5">
        <f t="shared" si="4"/>
        <v>1</v>
      </c>
      <c r="Y1783" s="5" t="str">
        <f>IFERROR(__xludf.DUMMYFUNCTION("REGEXEXTRACT(J1783, ""^\d+"")"),"4")</f>
        <v>4</v>
      </c>
      <c r="Z1783" s="5" t="str">
        <f>IFERROR(__xludf.DUMMYFUNCTION("REGEXEXTRACT(J1783, ""[A-Za-z ]+$"")")," Seasons")</f>
        <v> Seasons</v>
      </c>
      <c r="AA1783" s="5" t="str">
        <f>IFERROR(__xludf.DUMMYFUNCTION("IF(REGEXMATCH(Z1783, ""Season""), ""TV Show"", ""Movie"")"),"TV Show")</f>
        <v>TV Show</v>
      </c>
    </row>
    <row r="1784">
      <c r="A1784" s="1" t="s">
        <v>10316</v>
      </c>
      <c r="B1784" s="1" t="s">
        <v>37</v>
      </c>
      <c r="C1784" s="1" t="s">
        <v>10317</v>
      </c>
      <c r="E1784" s="1" t="s">
        <v>10318</v>
      </c>
      <c r="F1784" s="1" t="s">
        <v>1779</v>
      </c>
      <c r="G1784" s="1" t="s">
        <v>10275</v>
      </c>
      <c r="H1784" s="1">
        <v>2020.0</v>
      </c>
      <c r="I1784" s="1" t="s">
        <v>42</v>
      </c>
      <c r="J1784" s="1" t="s">
        <v>276</v>
      </c>
      <c r="K1784" s="1" t="s">
        <v>1362</v>
      </c>
      <c r="L1784" s="1" t="s">
        <v>10319</v>
      </c>
      <c r="M1784" s="2" t="s">
        <v>12</v>
      </c>
      <c r="N1784" s="4">
        <f t="shared" si="1"/>
        <v>44134</v>
      </c>
      <c r="O1784" s="5" t="str">
        <f>IFERROR(__xludf.DUMMYFUNCTION("IF(REGEXMATCH(TRIM(I1784), ""^\d+\s*min""), ""Unclassified"", IF(I1784 = """", ""NR"", I1784))"),"TV-MA")</f>
        <v>TV-MA</v>
      </c>
      <c r="R1784" s="5" t="str">
        <f t="shared" si="2"/>
        <v>Suburra: Blood On Rome</v>
      </c>
      <c r="S1784" s="5" t="str">
        <f>IFERROR(__xludf.DUMMYFUNCTION("""COMPUTED_VALUE"""),"Daddy Issues")</f>
        <v>Daddy Issues</v>
      </c>
      <c r="U1784" s="5" t="str">
        <f>IFERROR(__xludf.DUMMYFUNCTION("""COMPUTED_VALUE"""),"Marta Jaenes, Rosa Márquez")</f>
        <v>Marta Jaenes, Rosa Márquez</v>
      </c>
      <c r="V1784" s="5" t="s">
        <v>10320</v>
      </c>
      <c r="W1784" s="5" t="str">
        <f t="shared" si="3"/>
        <v>Jason Zada</v>
      </c>
      <c r="X1784" s="5">
        <f t="shared" si="4"/>
        <v>1</v>
      </c>
      <c r="Y1784" s="5" t="str">
        <f>IFERROR(__xludf.DUMMYFUNCTION("REGEXEXTRACT(J1784, ""^\d+"")"),"3")</f>
        <v>3</v>
      </c>
      <c r="Z1784" s="5" t="str">
        <f>IFERROR(__xludf.DUMMYFUNCTION("REGEXEXTRACT(J1784, ""[A-Za-z ]+$"")")," Seasons")</f>
        <v> Seasons</v>
      </c>
      <c r="AA1784" s="5" t="str">
        <f>IFERROR(__xludf.DUMMYFUNCTION("IF(REGEXMATCH(Z1784, ""Season""), ""TV Show"", ""Movie"")"),"TV Show")</f>
        <v>TV Show</v>
      </c>
    </row>
    <row r="1785">
      <c r="A1785" s="1" t="s">
        <v>10321</v>
      </c>
      <c r="B1785" s="1" t="s">
        <v>27</v>
      </c>
      <c r="C1785" s="1" t="s">
        <v>10322</v>
      </c>
      <c r="D1785" s="1" t="s">
        <v>10323</v>
      </c>
      <c r="E1785" s="1" t="s">
        <v>10324</v>
      </c>
      <c r="F1785" s="1" t="s">
        <v>10325</v>
      </c>
      <c r="G1785" s="1" t="s">
        <v>10275</v>
      </c>
      <c r="H1785" s="1">
        <v>2020.0</v>
      </c>
      <c r="I1785" s="1" t="s">
        <v>42</v>
      </c>
      <c r="J1785" s="1" t="s">
        <v>454</v>
      </c>
      <c r="K1785" s="1" t="s">
        <v>1441</v>
      </c>
      <c r="L1785" s="1" t="s">
        <v>10326</v>
      </c>
      <c r="M1785" s="2" t="s">
        <v>12</v>
      </c>
      <c r="N1785" s="4">
        <f t="shared" si="1"/>
        <v>44134</v>
      </c>
      <c r="O1785" s="5" t="str">
        <f>IFERROR(__xludf.DUMMYFUNCTION("IF(REGEXMATCH(TRIM(I1785), ""^\d+\s*min""), ""Unclassified"", IF(I1785 = """", ""NR"", I1785))"),"TV-MA")</f>
        <v>TV-MA</v>
      </c>
      <c r="R1785" s="5" t="str">
        <f t="shared" si="2"/>
        <v>The Day Of The Lord</v>
      </c>
      <c r="S1785" s="5" t="str">
        <f>IFERROR(__xludf.DUMMYFUNCTION("""COMPUTED_VALUE"""),"Daemonium")</f>
        <v>Daemonium</v>
      </c>
      <c r="U1785" s="5" t="str">
        <f>IFERROR(__xludf.DUMMYFUNCTION("""COMPUTED_VALUE"""),"Julien Abraham")</f>
        <v>Julien Abraham</v>
      </c>
      <c r="V1785" s="5" t="s">
        <v>8428</v>
      </c>
      <c r="W1785" s="5" t="str">
        <f t="shared" si="3"/>
        <v>Jastis Arimba</v>
      </c>
      <c r="X1785" s="5">
        <f t="shared" si="4"/>
        <v>1</v>
      </c>
      <c r="Y1785" s="5" t="str">
        <f>IFERROR(__xludf.DUMMYFUNCTION("REGEXEXTRACT(J1785, ""^\d+"")"),"93")</f>
        <v>93</v>
      </c>
      <c r="Z1785" s="5" t="str">
        <f>IFERROR(__xludf.DUMMYFUNCTION("REGEXEXTRACT(J1785, ""[A-Za-z ]+$"")")," min")</f>
        <v> min</v>
      </c>
      <c r="AA1785" s="5" t="str">
        <f>IFERROR(__xludf.DUMMYFUNCTION("IF(REGEXMATCH(Z1785, ""Season""), ""TV Show"", ""Movie"")"),"Movie")</f>
        <v>Movie</v>
      </c>
    </row>
    <row r="1786">
      <c r="A1786" s="1" t="s">
        <v>10327</v>
      </c>
      <c r="B1786" s="1" t="s">
        <v>27</v>
      </c>
      <c r="C1786" s="1" t="s">
        <v>10328</v>
      </c>
      <c r="D1786" s="1" t="s">
        <v>7915</v>
      </c>
      <c r="E1786" s="1" t="s">
        <v>10329</v>
      </c>
      <c r="F1786" s="1" t="s">
        <v>4287</v>
      </c>
      <c r="G1786" s="1" t="s">
        <v>10330</v>
      </c>
      <c r="H1786" s="1">
        <v>2013.0</v>
      </c>
      <c r="I1786" s="1" t="s">
        <v>97</v>
      </c>
      <c r="J1786" s="1" t="s">
        <v>256</v>
      </c>
      <c r="K1786" s="1" t="s">
        <v>1441</v>
      </c>
      <c r="L1786" s="1" t="s">
        <v>10331</v>
      </c>
      <c r="M1786" s="2" t="s">
        <v>12</v>
      </c>
      <c r="N1786" s="4">
        <f t="shared" si="1"/>
        <v>44133</v>
      </c>
      <c r="O1786" s="5" t="str">
        <f>IFERROR(__xludf.DUMMYFUNCTION("IF(REGEXMATCH(TRIM(I1786), ""^\d+\s*min""), ""Unclassified"", IF(I1786 = """", ""NR"", I1786))"),"TV-14")</f>
        <v>TV-14</v>
      </c>
      <c r="R1786" s="5" t="str">
        <f t="shared" si="2"/>
        <v>Pagpag: Nine Lives</v>
      </c>
      <c r="S1786" s="5" t="str">
        <f>IFERROR(__xludf.DUMMYFUNCTION("""COMPUTED_VALUE"""),"Daffedar")</f>
        <v>Daffedar</v>
      </c>
      <c r="U1786" s="5" t="str">
        <f>IFERROR(__xludf.DUMMYFUNCTION("""COMPUTED_VALUE"""),"Monika Mitchell")</f>
        <v>Monika Mitchell</v>
      </c>
      <c r="V1786" s="5" t="s">
        <v>10332</v>
      </c>
      <c r="W1786" s="5" t="str">
        <f t="shared" si="3"/>
        <v>Jatla Siddartha</v>
      </c>
      <c r="X1786" s="5">
        <f t="shared" si="4"/>
        <v>1</v>
      </c>
      <c r="Y1786" s="5" t="str">
        <f>IFERROR(__xludf.DUMMYFUNCTION("REGEXEXTRACT(J1786, ""^\d+"")"),"106")</f>
        <v>106</v>
      </c>
      <c r="Z1786" s="5" t="str">
        <f>IFERROR(__xludf.DUMMYFUNCTION("REGEXEXTRACT(J1786, ""[A-Za-z ]+$"")")," min")</f>
        <v> min</v>
      </c>
      <c r="AA1786" s="5" t="str">
        <f>IFERROR(__xludf.DUMMYFUNCTION("IF(REGEXMATCH(Z1786, ""Season""), ""TV Show"", ""Movie"")"),"Movie")</f>
        <v>Movie</v>
      </c>
    </row>
    <row r="1787">
      <c r="A1787" s="1" t="s">
        <v>10333</v>
      </c>
      <c r="B1787" s="1" t="s">
        <v>27</v>
      </c>
      <c r="C1787" s="1" t="s">
        <v>10334</v>
      </c>
      <c r="D1787" s="1" t="s">
        <v>10335</v>
      </c>
      <c r="E1787" s="1" t="s">
        <v>10336</v>
      </c>
      <c r="F1787" s="1" t="s">
        <v>30</v>
      </c>
      <c r="G1787" s="1" t="s">
        <v>10337</v>
      </c>
      <c r="H1787" s="1">
        <v>2020.0</v>
      </c>
      <c r="I1787" s="1" t="s">
        <v>42</v>
      </c>
      <c r="J1787" s="1" t="s">
        <v>305</v>
      </c>
      <c r="K1787" s="1" t="s">
        <v>813</v>
      </c>
      <c r="L1787" s="1" t="s">
        <v>10338</v>
      </c>
      <c r="M1787" s="2" t="s">
        <v>12</v>
      </c>
      <c r="N1787" s="4">
        <f t="shared" si="1"/>
        <v>44132</v>
      </c>
      <c r="O1787" s="5" t="str">
        <f>IFERROR(__xludf.DUMMYFUNCTION("IF(REGEXMATCH(TRIM(I1787), ""^\d+\s*min""), ""Unclassified"", IF(I1787 = """", ""NR"", I1787))"),"TV-MA")</f>
        <v>TV-MA</v>
      </c>
      <c r="R1787" s="5" t="str">
        <f t="shared" si="2"/>
        <v>Holidate</v>
      </c>
      <c r="S1787" s="5" t="str">
        <f>IFERROR(__xludf.DUMMYFUNCTION("""COMPUTED_VALUE"""),"Dagh Ujala")</f>
        <v>Dagh Ujala</v>
      </c>
      <c r="U1787" s="5" t="str">
        <f>IFERROR(__xludf.DUMMYFUNCTION("""COMPUTED_VALUE"""),"Eva Orner")</f>
        <v>Eva Orner</v>
      </c>
      <c r="V1787" s="5" t="s">
        <v>2362</v>
      </c>
      <c r="W1787" s="5" t="str">
        <f t="shared" si="3"/>
        <v>Jaume Balagueró</v>
      </c>
      <c r="X1787" s="5">
        <f t="shared" si="4"/>
        <v>1</v>
      </c>
      <c r="Y1787" s="5" t="str">
        <f>IFERROR(__xludf.DUMMYFUNCTION("REGEXEXTRACT(J1787, ""^\d+"")"),"105")</f>
        <v>105</v>
      </c>
      <c r="Z1787" s="5" t="str">
        <f>IFERROR(__xludf.DUMMYFUNCTION("REGEXEXTRACT(J1787, ""[A-Za-z ]+$"")")," min")</f>
        <v> min</v>
      </c>
      <c r="AA1787" s="5" t="str">
        <f>IFERROR(__xludf.DUMMYFUNCTION("IF(REGEXMATCH(Z1787, ""Season""), ""TV Show"", ""Movie"")"),"Movie")</f>
        <v>Movie</v>
      </c>
    </row>
    <row r="1788">
      <c r="A1788" s="1" t="s">
        <v>10339</v>
      </c>
      <c r="B1788" s="1" t="s">
        <v>27</v>
      </c>
      <c r="C1788" s="1" t="s">
        <v>10340</v>
      </c>
      <c r="D1788" s="1" t="s">
        <v>2366</v>
      </c>
      <c r="E1788" s="1" t="s">
        <v>2366</v>
      </c>
      <c r="G1788" s="1" t="s">
        <v>10337</v>
      </c>
      <c r="H1788" s="1">
        <v>2016.0</v>
      </c>
      <c r="I1788" s="1" t="s">
        <v>97</v>
      </c>
      <c r="J1788" s="1" t="s">
        <v>9034</v>
      </c>
      <c r="K1788" s="1" t="s">
        <v>10341</v>
      </c>
      <c r="L1788" s="1" t="s">
        <v>10342</v>
      </c>
      <c r="M1788" s="2" t="s">
        <v>12</v>
      </c>
      <c r="N1788" s="4">
        <f t="shared" si="1"/>
        <v>44132</v>
      </c>
      <c r="O1788" s="5" t="str">
        <f>IFERROR(__xludf.DUMMYFUNCTION("IF(REGEXMATCH(TRIM(I1788), ""^\d+\s*min""), ""Unclassified"", IF(I1788 = """", ""NR"", I1788))"),"TV-14")</f>
        <v>TV-14</v>
      </c>
      <c r="R1788" s="5" t="str">
        <f t="shared" si="2"/>
        <v>La Gran Ilusión</v>
      </c>
      <c r="S1788" s="5" t="str">
        <f>IFERROR(__xludf.DUMMYFUNCTION("""COMPUTED_VALUE"""),"Dallas Buyers Club")</f>
        <v>Dallas Buyers Club</v>
      </c>
      <c r="U1788" s="5" t="str">
        <f>IFERROR(__xludf.DUMMYFUNCTION("""COMPUTED_VALUE"""),"Kvr Mahendra")</f>
        <v>Kvr Mahendra</v>
      </c>
      <c r="V1788" s="5" t="s">
        <v>8620</v>
      </c>
      <c r="W1788" s="5" t="str">
        <f t="shared" si="3"/>
        <v>Jaume Collet-Serra</v>
      </c>
      <c r="X1788" s="5">
        <f t="shared" si="4"/>
        <v>1</v>
      </c>
      <c r="Y1788" s="5" t="str">
        <f>IFERROR(__xludf.DUMMYFUNCTION("REGEXEXTRACT(J1788, ""^\d+"")"),"50")</f>
        <v>50</v>
      </c>
      <c r="Z1788" s="5" t="str">
        <f>IFERROR(__xludf.DUMMYFUNCTION("REGEXEXTRACT(J1788, ""[A-Za-z ]+$"")")," min")</f>
        <v> min</v>
      </c>
      <c r="AA1788" s="5" t="str">
        <f>IFERROR(__xludf.DUMMYFUNCTION("IF(REGEXMATCH(Z1788, ""Season""), ""TV Show"", ""Movie"")"),"Movie")</f>
        <v>Movie</v>
      </c>
    </row>
    <row r="1789">
      <c r="A1789" s="1" t="s">
        <v>10343</v>
      </c>
      <c r="B1789" s="1" t="s">
        <v>27</v>
      </c>
      <c r="C1789" s="1" t="s">
        <v>10344</v>
      </c>
      <c r="D1789" s="1" t="s">
        <v>10345</v>
      </c>
      <c r="E1789" s="1" t="s">
        <v>10346</v>
      </c>
      <c r="F1789" s="1" t="s">
        <v>30</v>
      </c>
      <c r="G1789" s="1" t="s">
        <v>10337</v>
      </c>
      <c r="H1789" s="1">
        <v>2013.0</v>
      </c>
      <c r="I1789" s="1" t="s">
        <v>378</v>
      </c>
      <c r="J1789" s="1" t="s">
        <v>454</v>
      </c>
      <c r="K1789" s="1" t="s">
        <v>8833</v>
      </c>
      <c r="L1789" s="1" t="s">
        <v>10347</v>
      </c>
      <c r="M1789" s="2" t="s">
        <v>12</v>
      </c>
      <c r="N1789" s="4">
        <f t="shared" si="1"/>
        <v>44132</v>
      </c>
      <c r="O1789" s="5" t="str">
        <f>IFERROR(__xludf.DUMMYFUNCTION("IF(REGEXMATCH(TRIM(I1789), ""^\d+\s*min""), ""Unclassified"", IF(I1789 = """", ""NR"", I1789))"),"R")</f>
        <v>R</v>
      </c>
      <c r="R1789" s="5" t="str">
        <f t="shared" si="2"/>
        <v>Metallica Through The Never</v>
      </c>
      <c r="S1789" s="5" t="str">
        <f>IFERROR(__xludf.DUMMYFUNCTION("""COMPUTED_VALUE"""),"Damnation")</f>
        <v>Damnation</v>
      </c>
      <c r="U1789" s="5" t="str">
        <f>IFERROR(__xludf.DUMMYFUNCTION("""COMPUTED_VALUE"""),"Juan Carlos Rulfo")</f>
        <v>Juan Carlos Rulfo</v>
      </c>
      <c r="V1789" s="5" t="s">
        <v>10348</v>
      </c>
      <c r="W1789" s="5" t="str">
        <f t="shared" si="3"/>
        <v>Javier Ambrossi, Javier Calvo</v>
      </c>
      <c r="X1789" s="5">
        <f t="shared" si="4"/>
        <v>1</v>
      </c>
      <c r="Y1789" s="5" t="str">
        <f>IFERROR(__xludf.DUMMYFUNCTION("REGEXEXTRACT(J1789, ""^\d+"")"),"93")</f>
        <v>93</v>
      </c>
      <c r="Z1789" s="5" t="str">
        <f>IFERROR(__xludf.DUMMYFUNCTION("REGEXEXTRACT(J1789, ""[A-Za-z ]+$"")")," min")</f>
        <v> min</v>
      </c>
      <c r="AA1789" s="5" t="str">
        <f>IFERROR(__xludf.DUMMYFUNCTION("IF(REGEXMATCH(Z1789, ""Season""), ""TV Show"", ""Movie"")"),"Movie")</f>
        <v>Movie</v>
      </c>
    </row>
    <row r="1790">
      <c r="A1790" s="1" t="s">
        <v>10349</v>
      </c>
      <c r="B1790" s="1" t="s">
        <v>27</v>
      </c>
      <c r="C1790" s="1" t="s">
        <v>10350</v>
      </c>
      <c r="D1790" s="1" t="s">
        <v>3045</v>
      </c>
      <c r="E1790" s="1" t="s">
        <v>10351</v>
      </c>
      <c r="F1790" s="1" t="s">
        <v>2446</v>
      </c>
      <c r="G1790" s="1" t="s">
        <v>10337</v>
      </c>
      <c r="H1790" s="1">
        <v>2020.0</v>
      </c>
      <c r="I1790" s="1" t="s">
        <v>42</v>
      </c>
      <c r="J1790" s="1" t="s">
        <v>238</v>
      </c>
      <c r="K1790" s="1" t="s">
        <v>1441</v>
      </c>
      <c r="L1790" s="1" t="s">
        <v>10352</v>
      </c>
      <c r="M1790" s="2" t="s">
        <v>12</v>
      </c>
      <c r="N1790" s="4">
        <f t="shared" si="1"/>
        <v>44132</v>
      </c>
      <c r="O1790" s="5" t="str">
        <f>IFERROR(__xludf.DUMMYFUNCTION("IF(REGEXMATCH(TRIM(I1790), ""^\d+\s*min""), ""Unclassified"", IF(I1790 = """", ""NR"", I1790))"),"TV-MA")</f>
        <v>TV-MA</v>
      </c>
      <c r="R1790" s="5" t="str">
        <f t="shared" si="2"/>
        <v>Nobody Sleeps In The Woods Tonight</v>
      </c>
      <c r="S1790" s="5" t="str">
        <f>IFERROR(__xludf.DUMMYFUNCTION("""COMPUTED_VALUE"""),"Dana Carvey: Straight White Male, 60")</f>
        <v>Dana Carvey: Straight White Male, 60</v>
      </c>
      <c r="U1790" s="5" t="str">
        <f>IFERROR(__xludf.DUMMYFUNCTION("""COMPUTED_VALUE"""),"Raj R")</f>
        <v>Raj R</v>
      </c>
      <c r="V1790" s="5" t="s">
        <v>10353</v>
      </c>
      <c r="W1790" s="5" t="str">
        <f t="shared" si="3"/>
        <v>Javier Colinas</v>
      </c>
      <c r="X1790" s="5">
        <f t="shared" si="4"/>
        <v>1</v>
      </c>
      <c r="Y1790" s="5" t="str">
        <f>IFERROR(__xludf.DUMMYFUNCTION("REGEXEXTRACT(J1790, ""^\d+"")"),"103")</f>
        <v>103</v>
      </c>
      <c r="Z1790" s="5" t="str">
        <f>IFERROR(__xludf.DUMMYFUNCTION("REGEXEXTRACT(J1790, ""[A-Za-z ]+$"")")," min")</f>
        <v> min</v>
      </c>
      <c r="AA1790" s="5" t="str">
        <f>IFERROR(__xludf.DUMMYFUNCTION("IF(REGEXMATCH(Z1790, ""Season""), ""TV Show"", ""Movie"")"),"Movie")</f>
        <v>Movie</v>
      </c>
    </row>
    <row r="1791">
      <c r="A1791" s="1" t="s">
        <v>10354</v>
      </c>
      <c r="B1791" s="1" t="s">
        <v>27</v>
      </c>
      <c r="C1791" s="1" t="s">
        <v>10355</v>
      </c>
      <c r="D1791" s="1" t="s">
        <v>10086</v>
      </c>
      <c r="F1791" s="1" t="s">
        <v>30</v>
      </c>
      <c r="G1791" s="1" t="s">
        <v>10337</v>
      </c>
      <c r="H1791" s="1">
        <v>2020.0</v>
      </c>
      <c r="I1791" s="1" t="s">
        <v>136</v>
      </c>
      <c r="J1791" s="1" t="s">
        <v>835</v>
      </c>
      <c r="K1791" s="1" t="s">
        <v>34</v>
      </c>
      <c r="L1791" s="1" t="s">
        <v>10356</v>
      </c>
      <c r="M1791" s="2" t="s">
        <v>12</v>
      </c>
      <c r="N1791" s="4">
        <f t="shared" si="1"/>
        <v>44132</v>
      </c>
      <c r="O1791" s="5" t="str">
        <f>IFERROR(__xludf.DUMMYFUNCTION("IF(REGEXMATCH(TRIM(I1791), ""^\d+\s*min""), ""Unclassified"", IF(I1791 = """", ""NR"", I1791))"),"TV-PG")</f>
        <v>TV-PG</v>
      </c>
      <c r="R1791" s="5" t="str">
        <f t="shared" si="2"/>
        <v>Secrets Of The Saqqara Tomb</v>
      </c>
      <c r="S1791" s="5" t="str">
        <f>IFERROR(__xludf.DUMMYFUNCTION("""COMPUTED_VALUE"""),"Dance &amp; Sing With True")</f>
        <v>Dance &amp; Sing With True</v>
      </c>
      <c r="U1791" s="5" t="str">
        <f>IFERROR(__xludf.DUMMYFUNCTION("""COMPUTED_VALUE"""),"Steve Paley")</f>
        <v>Steve Paley</v>
      </c>
      <c r="V1791" s="5" t="s">
        <v>10357</v>
      </c>
      <c r="W1791" s="5" t="str">
        <f t="shared" si="3"/>
        <v>Javier Ruiz Caldera</v>
      </c>
      <c r="X1791" s="5">
        <f t="shared" si="4"/>
        <v>2</v>
      </c>
      <c r="Y1791" s="5" t="str">
        <f>IFERROR(__xludf.DUMMYFUNCTION("REGEXEXTRACT(J1791, ""^\d+"")"),"114")</f>
        <v>114</v>
      </c>
      <c r="Z1791" s="5" t="str">
        <f>IFERROR(__xludf.DUMMYFUNCTION("REGEXEXTRACT(J1791, ""[A-Za-z ]+$"")")," min")</f>
        <v> min</v>
      </c>
      <c r="AA1791" s="5" t="str">
        <f>IFERROR(__xludf.DUMMYFUNCTION("IF(REGEXMATCH(Z1791, ""Season""), ""TV Show"", ""Movie"")"),"Movie")</f>
        <v>Movie</v>
      </c>
    </row>
    <row r="1792">
      <c r="A1792" s="1" t="s">
        <v>10358</v>
      </c>
      <c r="B1792" s="1" t="s">
        <v>37</v>
      </c>
      <c r="C1792" s="1" t="s">
        <v>10359</v>
      </c>
      <c r="E1792" s="1" t="s">
        <v>10360</v>
      </c>
      <c r="F1792" s="1" t="s">
        <v>30</v>
      </c>
      <c r="G1792" s="1" t="s">
        <v>10361</v>
      </c>
      <c r="H1792" s="1">
        <v>2020.0</v>
      </c>
      <c r="I1792" s="1" t="s">
        <v>42</v>
      </c>
      <c r="J1792" s="1" t="s">
        <v>51</v>
      </c>
      <c r="K1792" s="1" t="s">
        <v>2439</v>
      </c>
      <c r="L1792" s="1" t="s">
        <v>10362</v>
      </c>
      <c r="M1792" s="2" t="s">
        <v>12</v>
      </c>
      <c r="N1792" s="4">
        <f t="shared" si="1"/>
        <v>44131</v>
      </c>
      <c r="O1792" s="5" t="str">
        <f>IFERROR(__xludf.DUMMYFUNCTION("IF(REGEXMATCH(TRIM(I1792), ""^\d+\s*min""), ""Unclassified"", IF(I1792 = """", ""NR"", I1792))"),"TV-MA")</f>
        <v>TV-MA</v>
      </c>
      <c r="R1792" s="5" t="str">
        <f t="shared" si="2"/>
        <v>Blood Of Zeus</v>
      </c>
      <c r="S1792" s="5" t="str">
        <f>IFERROR(__xludf.DUMMYFUNCTION("""COMPUTED_VALUE"""),"Dance Academy")</f>
        <v>Dance Academy</v>
      </c>
      <c r="U1792" s="5" t="str">
        <f>IFERROR(__xludf.DUMMYFUNCTION("""COMPUTED_VALUE"""),"Timo Vuorensola")</f>
        <v>Timo Vuorensola</v>
      </c>
      <c r="V1792" s="5" t="s">
        <v>10363</v>
      </c>
      <c r="W1792" s="5" t="str">
        <f t="shared" si="3"/>
        <v>Jay Baruchel</v>
      </c>
      <c r="X1792" s="5">
        <f t="shared" si="4"/>
        <v>1</v>
      </c>
      <c r="Y1792" s="5" t="str">
        <f>IFERROR(__xludf.DUMMYFUNCTION("REGEXEXTRACT(J1792, ""^\d+"")"),"1")</f>
        <v>1</v>
      </c>
      <c r="Z1792" s="5" t="str">
        <f>IFERROR(__xludf.DUMMYFUNCTION("REGEXEXTRACT(J1792, ""[A-Za-z ]+$"")")," Season")</f>
        <v> Season</v>
      </c>
      <c r="AA1792" s="5" t="str">
        <f>IFERROR(__xludf.DUMMYFUNCTION("IF(REGEXMATCH(Z1792, ""Season""), ""TV Show"", ""Movie"")"),"TV Show")</f>
        <v>TV Show</v>
      </c>
    </row>
    <row r="1793">
      <c r="A1793" s="1" t="s">
        <v>10364</v>
      </c>
      <c r="B1793" s="1" t="s">
        <v>37</v>
      </c>
      <c r="C1793" s="1" t="s">
        <v>10365</v>
      </c>
      <c r="E1793" s="1" t="s">
        <v>10366</v>
      </c>
      <c r="F1793" s="1" t="s">
        <v>30</v>
      </c>
      <c r="G1793" s="1" t="s">
        <v>10361</v>
      </c>
      <c r="H1793" s="1">
        <v>2020.0</v>
      </c>
      <c r="I1793" s="1" t="s">
        <v>206</v>
      </c>
      <c r="J1793" s="1" t="s">
        <v>148</v>
      </c>
      <c r="K1793" s="1" t="s">
        <v>290</v>
      </c>
      <c r="L1793" s="1" t="s">
        <v>10367</v>
      </c>
      <c r="M1793" s="2" t="s">
        <v>12</v>
      </c>
      <c r="N1793" s="4">
        <f t="shared" si="1"/>
        <v>44131</v>
      </c>
      <c r="O1793" s="5" t="str">
        <f>IFERROR(__xludf.DUMMYFUNCTION("IF(REGEXMATCH(TRIM(I1793), ""^\d+\s*min""), ""Unclassified"", IF(I1793 = """", ""NR"", I1793))"),"TV-Y")</f>
        <v>TV-Y</v>
      </c>
      <c r="R1793" s="5" t="str">
        <f t="shared" si="2"/>
        <v>Chico Bon Bon: Monkey With A Tool Belt</v>
      </c>
      <c r="S1793" s="5" t="str">
        <f>IFERROR(__xludf.DUMMYFUNCTION("""COMPUTED_VALUE"""),"Dance Academy: The Comeback")</f>
        <v>Dance Academy: The Comeback</v>
      </c>
      <c r="U1793" s="5" t="str">
        <f>IFERROR(__xludf.DUMMYFUNCTION("""COMPUTED_VALUE"""),"Robb Dipple")</f>
        <v>Robb Dipple</v>
      </c>
      <c r="V1793" s="5" t="s">
        <v>10368</v>
      </c>
      <c r="W1793" s="5" t="str">
        <f t="shared" si="3"/>
        <v>Jay Bulger</v>
      </c>
      <c r="X1793" s="5">
        <f t="shared" si="4"/>
        <v>1</v>
      </c>
      <c r="Y1793" s="5" t="str">
        <f>IFERROR(__xludf.DUMMYFUNCTION("REGEXEXTRACT(J1793, ""^\d+"")"),"4")</f>
        <v>4</v>
      </c>
      <c r="Z1793" s="5" t="str">
        <f>IFERROR(__xludf.DUMMYFUNCTION("REGEXEXTRACT(J1793, ""[A-Za-z ]+$"")")," Seasons")</f>
        <v> Seasons</v>
      </c>
      <c r="AA1793" s="5" t="str">
        <f>IFERROR(__xludf.DUMMYFUNCTION("IF(REGEXMATCH(Z1793, ""Season""), ""TV Show"", ""Movie"")"),"TV Show")</f>
        <v>TV Show</v>
      </c>
    </row>
    <row r="1794">
      <c r="A1794" s="1" t="s">
        <v>10369</v>
      </c>
      <c r="B1794" s="1" t="s">
        <v>27</v>
      </c>
      <c r="C1794" s="1" t="s">
        <v>10370</v>
      </c>
      <c r="D1794" s="1" t="s">
        <v>10371</v>
      </c>
      <c r="F1794" s="1" t="s">
        <v>1815</v>
      </c>
      <c r="G1794" s="1" t="s">
        <v>10361</v>
      </c>
      <c r="H1794" s="1">
        <v>2020.0</v>
      </c>
      <c r="I1794" s="1" t="s">
        <v>97</v>
      </c>
      <c r="J1794" s="1" t="s">
        <v>465</v>
      </c>
      <c r="K1794" s="1" t="s">
        <v>520</v>
      </c>
      <c r="L1794" s="1" t="s">
        <v>10372</v>
      </c>
      <c r="M1794" s="2" t="s">
        <v>12</v>
      </c>
      <c r="N1794" s="4">
        <f t="shared" si="1"/>
        <v>44131</v>
      </c>
      <c r="O1794" s="5" t="str">
        <f>IFERROR(__xludf.DUMMYFUNCTION("IF(REGEXMATCH(TRIM(I1794), ""^\d+\s*min""), ""Unclassified"", IF(I1794 = """", ""NR"", I1794))"),"TV-14")</f>
        <v>TV-14</v>
      </c>
      <c r="R1794" s="5" t="str">
        <f t="shared" si="2"/>
        <v>Guillermo Vilas: Settling The Score</v>
      </c>
      <c r="S1794" s="5" t="str">
        <f>IFERROR(__xludf.DUMMYFUNCTION("""COMPUTED_VALUE"""),"Dance Dreams: Hot Chocolate Nutcracker")</f>
        <v>Dance Dreams: Hot Chocolate Nutcracker</v>
      </c>
      <c r="U1794" s="5" t="str">
        <f>IFERROR(__xludf.DUMMYFUNCTION("""COMPUTED_VALUE"""),"Eli Roth")</f>
        <v>Eli Roth</v>
      </c>
      <c r="V1794" s="5" t="s">
        <v>10373</v>
      </c>
      <c r="W1794" s="5" t="str">
        <f t="shared" si="3"/>
        <v>Jay Chandrasekhar</v>
      </c>
      <c r="X1794" s="5">
        <f t="shared" si="4"/>
        <v>2</v>
      </c>
      <c r="Y1794" s="5" t="str">
        <f>IFERROR(__xludf.DUMMYFUNCTION("REGEXEXTRACT(J1794, ""^\d+"")"),"95")</f>
        <v>95</v>
      </c>
      <c r="Z1794" s="5" t="str">
        <f>IFERROR(__xludf.DUMMYFUNCTION("REGEXEXTRACT(J1794, ""[A-Za-z ]+$"")")," min")</f>
        <v> min</v>
      </c>
      <c r="AA1794" s="5" t="str">
        <f>IFERROR(__xludf.DUMMYFUNCTION("IF(REGEXMATCH(Z1794, ""Season""), ""TV Show"", ""Movie"")"),"Movie")</f>
        <v>Movie</v>
      </c>
    </row>
    <row r="1795">
      <c r="A1795" s="1" t="s">
        <v>10374</v>
      </c>
      <c r="B1795" s="1" t="s">
        <v>27</v>
      </c>
      <c r="C1795" s="1" t="s">
        <v>10375</v>
      </c>
      <c r="D1795" s="1" t="s">
        <v>10376</v>
      </c>
      <c r="E1795" s="1" t="s">
        <v>10377</v>
      </c>
      <c r="F1795" s="1" t="s">
        <v>30</v>
      </c>
      <c r="G1795" s="1" t="s">
        <v>10361</v>
      </c>
      <c r="H1795" s="1">
        <v>2020.0</v>
      </c>
      <c r="I1795" s="1" t="s">
        <v>42</v>
      </c>
      <c r="J1795" s="1" t="s">
        <v>9034</v>
      </c>
      <c r="K1795" s="1" t="s">
        <v>239</v>
      </c>
      <c r="L1795" s="1" t="s">
        <v>10378</v>
      </c>
      <c r="M1795" s="2" t="s">
        <v>12</v>
      </c>
      <c r="N1795" s="4">
        <f t="shared" si="1"/>
        <v>44131</v>
      </c>
      <c r="O1795" s="5" t="str">
        <f>IFERROR(__xludf.DUMMYFUNCTION("IF(REGEXMATCH(TRIM(I1795), ""^\d+\s*min""), ""Unclassified"", IF(I1795 = """", ""NR"", I1795))"),"TV-MA")</f>
        <v>TV-MA</v>
      </c>
      <c r="R1795" s="5" t="str">
        <f t="shared" si="2"/>
        <v>Sarah Cooper: Everything'S Fine</v>
      </c>
      <c r="S1795" s="5" t="str">
        <f>IFERROR(__xludf.DUMMYFUNCTION("""COMPUTED_VALUE"""),"Dance Of The Forty One")</f>
        <v>Dance Of The Forty One</v>
      </c>
      <c r="U1795" s="5" t="str">
        <f>IFERROR(__xludf.DUMMYFUNCTION("""COMPUTED_VALUE"""),"Wash Westmoreland")</f>
        <v>Wash Westmoreland</v>
      </c>
      <c r="V1795" s="5" t="s">
        <v>10379</v>
      </c>
      <c r="W1795" s="5" t="str">
        <f t="shared" si="3"/>
        <v>Jay Chapman</v>
      </c>
      <c r="X1795" s="5">
        <f t="shared" si="4"/>
        <v>12</v>
      </c>
      <c r="Y1795" s="5" t="str">
        <f>IFERROR(__xludf.DUMMYFUNCTION("REGEXEXTRACT(J1795, ""^\d+"")"),"50")</f>
        <v>50</v>
      </c>
      <c r="Z1795" s="5" t="str">
        <f>IFERROR(__xludf.DUMMYFUNCTION("REGEXEXTRACT(J1795, ""[A-Za-z ]+$"")")," min")</f>
        <v> min</v>
      </c>
      <c r="AA1795" s="5" t="str">
        <f>IFERROR(__xludf.DUMMYFUNCTION("IF(REGEXMATCH(Z1795, ""Season""), ""TV Show"", ""Movie"")"),"Movie")</f>
        <v>Movie</v>
      </c>
    </row>
    <row r="1796">
      <c r="A1796" s="1" t="s">
        <v>10380</v>
      </c>
      <c r="B1796" s="1" t="s">
        <v>37</v>
      </c>
      <c r="C1796" s="1" t="s">
        <v>10381</v>
      </c>
      <c r="D1796" s="1" t="s">
        <v>10382</v>
      </c>
      <c r="E1796" s="1" t="s">
        <v>10383</v>
      </c>
      <c r="F1796" s="1" t="s">
        <v>2059</v>
      </c>
      <c r="G1796" s="1" t="s">
        <v>10384</v>
      </c>
      <c r="H1796" s="1">
        <v>2020.0</v>
      </c>
      <c r="I1796" s="1" t="s">
        <v>97</v>
      </c>
      <c r="J1796" s="1" t="s">
        <v>51</v>
      </c>
      <c r="K1796" s="1" t="s">
        <v>10385</v>
      </c>
      <c r="L1796" s="1" t="s">
        <v>10386</v>
      </c>
      <c r="M1796" s="2" t="s">
        <v>12</v>
      </c>
      <c r="N1796" s="4">
        <f t="shared" si="1"/>
        <v>44130</v>
      </c>
      <c r="O1796" s="5" t="str">
        <f>IFERROR(__xludf.DUMMYFUNCTION("IF(REGEXMATCH(TRIM(I1796), ""^\d+\s*min""), ""Unclassified"", IF(I1796 = """", ""NR"", I1796))"),"TV-14")</f>
        <v>TV-14</v>
      </c>
      <c r="R1796" s="5" t="str">
        <f t="shared" si="2"/>
        <v>The Devil Punisher</v>
      </c>
      <c r="S1796" s="5" t="str">
        <f>IFERROR(__xludf.DUMMYFUNCTION("""COMPUTED_VALUE"""),"Dances With Wolves")</f>
        <v>Dances With Wolves</v>
      </c>
      <c r="U1796" s="5" t="str">
        <f>IFERROR(__xludf.DUMMYFUNCTION("""COMPUTED_VALUE"""),"Alessandro Angulo")</f>
        <v>Alessandro Angulo</v>
      </c>
      <c r="V1796" s="5" t="s">
        <v>10387</v>
      </c>
      <c r="W1796" s="5" t="str">
        <f t="shared" si="3"/>
        <v>Jay Chou</v>
      </c>
      <c r="X1796" s="5">
        <f t="shared" si="4"/>
        <v>1</v>
      </c>
      <c r="Y1796" s="5" t="str">
        <f>IFERROR(__xludf.DUMMYFUNCTION("REGEXEXTRACT(J1796, ""^\d+"")"),"1")</f>
        <v>1</v>
      </c>
      <c r="Z1796" s="5" t="str">
        <f>IFERROR(__xludf.DUMMYFUNCTION("REGEXEXTRACT(J1796, ""[A-Za-z ]+$"")")," Season")</f>
        <v> Season</v>
      </c>
      <c r="AA1796" s="5" t="str">
        <f>IFERROR(__xludf.DUMMYFUNCTION("IF(REGEXMATCH(Z1796, ""Season""), ""TV Show"", ""Movie"")"),"TV Show")</f>
        <v>TV Show</v>
      </c>
    </row>
    <row r="1797">
      <c r="A1797" s="1" t="s">
        <v>10388</v>
      </c>
      <c r="B1797" s="1" t="s">
        <v>27</v>
      </c>
      <c r="C1797" s="1" t="s">
        <v>10389</v>
      </c>
      <c r="D1797" s="1" t="s">
        <v>10390</v>
      </c>
      <c r="E1797" s="1" t="s">
        <v>10391</v>
      </c>
      <c r="F1797" s="1" t="s">
        <v>63</v>
      </c>
      <c r="G1797" s="1" t="s">
        <v>10392</v>
      </c>
      <c r="H1797" s="1">
        <v>2009.0</v>
      </c>
      <c r="I1797" s="1" t="s">
        <v>97</v>
      </c>
      <c r="J1797" s="1" t="s">
        <v>1407</v>
      </c>
      <c r="K1797" s="1" t="s">
        <v>230</v>
      </c>
      <c r="L1797" s="1" t="s">
        <v>10393</v>
      </c>
      <c r="M1797" s="2" t="s">
        <v>12</v>
      </c>
      <c r="N1797" s="4">
        <f t="shared" si="1"/>
        <v>44129</v>
      </c>
      <c r="O1797" s="5" t="str">
        <f>IFERROR(__xludf.DUMMYFUNCTION("IF(REGEXMATCH(TRIM(I1797), ""^\d+\s*min""), ""Unclassified"", IF(I1797 = """", ""NR"", I1797))"),"TV-14")</f>
        <v>TV-14</v>
      </c>
      <c r="R1797" s="5" t="str">
        <f t="shared" si="2"/>
        <v>Ajab Prem Ki Ghazab Kahani</v>
      </c>
      <c r="S1797" s="5" t="str">
        <f>IFERROR(__xludf.DUMMYFUNCTION("""COMPUTED_VALUE"""),"Dancing Angels")</f>
        <v>Dancing Angels</v>
      </c>
      <c r="U1797" s="5" t="str">
        <f>IFERROR(__xludf.DUMMYFUNCTION("""COMPUTED_VALUE"""),"Mauro Scandolari")</f>
        <v>Mauro Scandolari</v>
      </c>
      <c r="V1797" s="5" t="s">
        <v>8850</v>
      </c>
      <c r="W1797" s="5" t="str">
        <f t="shared" si="3"/>
        <v>Jay Grace</v>
      </c>
      <c r="X1797" s="5">
        <f t="shared" si="4"/>
        <v>1</v>
      </c>
      <c r="Y1797" s="5" t="str">
        <f>IFERROR(__xludf.DUMMYFUNCTION("REGEXEXTRACT(J1797, ""^\d+"")"),"150")</f>
        <v>150</v>
      </c>
      <c r="Z1797" s="5" t="str">
        <f>IFERROR(__xludf.DUMMYFUNCTION("REGEXEXTRACT(J1797, ""[A-Za-z ]+$"")")," min")</f>
        <v> min</v>
      </c>
      <c r="AA1797" s="5" t="str">
        <f>IFERROR(__xludf.DUMMYFUNCTION("IF(REGEXMATCH(Z1797, ""Season""), ""TV Show"", ""Movie"")"),"Movie")</f>
        <v>Movie</v>
      </c>
    </row>
    <row r="1798">
      <c r="A1798" s="1" t="s">
        <v>10394</v>
      </c>
      <c r="B1798" s="1" t="s">
        <v>27</v>
      </c>
      <c r="C1798" s="1" t="s">
        <v>10395</v>
      </c>
      <c r="D1798" s="1" t="s">
        <v>10396</v>
      </c>
      <c r="E1798" s="1" t="s">
        <v>10397</v>
      </c>
      <c r="F1798" s="1" t="s">
        <v>10398</v>
      </c>
      <c r="G1798" s="1" t="s">
        <v>10399</v>
      </c>
      <c r="H1798" s="1">
        <v>2018.0</v>
      </c>
      <c r="I1798" s="1" t="s">
        <v>378</v>
      </c>
      <c r="J1798" s="1" t="s">
        <v>433</v>
      </c>
      <c r="K1798" s="1" t="s">
        <v>8559</v>
      </c>
      <c r="L1798" s="1" t="s">
        <v>10400</v>
      </c>
      <c r="M1798" s="2" t="s">
        <v>12</v>
      </c>
      <c r="N1798" s="4">
        <f t="shared" si="1"/>
        <v>44128</v>
      </c>
      <c r="O1798" s="5" t="str">
        <f>IFERROR(__xludf.DUMMYFUNCTION("IF(REGEXMATCH(TRIM(I1798), ""^\d+\s*min""), ""Unclassified"", IF(I1798 = """", ""NR"", I1798))"),"R")</f>
        <v>R</v>
      </c>
      <c r="R1798" s="5" t="str">
        <f t="shared" si="2"/>
        <v>Black '47</v>
      </c>
      <c r="S1798" s="5" t="str">
        <f>IFERROR(__xludf.DUMMYFUNCTION("""COMPUTED_VALUE"""),"Dancing Queen")</f>
        <v>Dancing Queen</v>
      </c>
      <c r="U1798" s="5" t="str">
        <f>IFERROR(__xludf.DUMMYFUNCTION("""COMPUTED_VALUE"""),"Arjun Jandyala")</f>
        <v>Arjun Jandyala</v>
      </c>
      <c r="V1798" s="5" t="s">
        <v>10401</v>
      </c>
      <c r="W1798" s="5" t="str">
        <f t="shared" si="3"/>
        <v>Jay Karas</v>
      </c>
      <c r="X1798" s="5">
        <f t="shared" si="4"/>
        <v>14</v>
      </c>
      <c r="Y1798" s="5" t="str">
        <f>IFERROR(__xludf.DUMMYFUNCTION("REGEXEXTRACT(J1798, ""^\d+"")"),"100")</f>
        <v>100</v>
      </c>
      <c r="Z1798" s="5" t="str">
        <f>IFERROR(__xludf.DUMMYFUNCTION("REGEXEXTRACT(J1798, ""[A-Za-z ]+$"")")," min")</f>
        <v> min</v>
      </c>
      <c r="AA1798" s="5" t="str">
        <f>IFERROR(__xludf.DUMMYFUNCTION("IF(REGEXMATCH(Z1798, ""Season""), ""TV Show"", ""Movie"")"),"Movie")</f>
        <v>Movie</v>
      </c>
    </row>
    <row r="1799">
      <c r="A1799" s="1" t="s">
        <v>10402</v>
      </c>
      <c r="B1799" s="1" t="s">
        <v>27</v>
      </c>
      <c r="C1799" s="1" t="s">
        <v>10403</v>
      </c>
      <c r="D1799" s="1" t="s">
        <v>10404</v>
      </c>
      <c r="E1799" s="1" t="s">
        <v>10405</v>
      </c>
      <c r="F1799" s="1" t="s">
        <v>221</v>
      </c>
      <c r="G1799" s="1" t="s">
        <v>10399</v>
      </c>
      <c r="H1799" s="1">
        <v>2019.0</v>
      </c>
      <c r="I1799" s="1" t="s">
        <v>42</v>
      </c>
      <c r="J1799" s="1" t="s">
        <v>743</v>
      </c>
      <c r="K1799" s="1" t="s">
        <v>7087</v>
      </c>
      <c r="L1799" s="1" t="s">
        <v>10406</v>
      </c>
      <c r="M1799" s="2" t="s">
        <v>12</v>
      </c>
      <c r="N1799" s="4">
        <f t="shared" si="1"/>
        <v>44128</v>
      </c>
      <c r="O1799" s="5" t="str">
        <f>IFERROR(__xludf.DUMMYFUNCTION("IF(REGEXMATCH(TRIM(I1799), ""^\d+\s*min""), ""Unclassified"", IF(I1799 = """", ""NR"", I1799))"),"TV-MA")</f>
        <v>TV-MA</v>
      </c>
      <c r="R1799" s="5" t="str">
        <f t="shared" si="2"/>
        <v>I Am Woman</v>
      </c>
      <c r="S1799" s="5" t="str">
        <f>IFERROR(__xludf.DUMMYFUNCTION("""COMPUTED_VALUE"""),"Dancing Queens")</f>
        <v>Dancing Queens</v>
      </c>
      <c r="U1799" s="5" t="str">
        <f>IFERROR(__xludf.DUMMYFUNCTION("""COMPUTED_VALUE"""),"Shashanka Ghosh, Samit Basu")</f>
        <v>Shashanka Ghosh, Samit Basu</v>
      </c>
      <c r="V1799" s="5" t="s">
        <v>10407</v>
      </c>
      <c r="W1799" s="5" t="str">
        <f t="shared" si="3"/>
        <v>Jay Karas, Demetri Martin</v>
      </c>
      <c r="X1799" s="5">
        <f t="shared" si="4"/>
        <v>1</v>
      </c>
      <c r="Y1799" s="5" t="str">
        <f>IFERROR(__xludf.DUMMYFUNCTION("REGEXEXTRACT(J1799, ""^\d+"")"),"117")</f>
        <v>117</v>
      </c>
      <c r="Z1799" s="5" t="str">
        <f>IFERROR(__xludf.DUMMYFUNCTION("REGEXEXTRACT(J1799, ""[A-Za-z ]+$"")")," min")</f>
        <v> min</v>
      </c>
      <c r="AA1799" s="5" t="str">
        <f>IFERROR(__xludf.DUMMYFUNCTION("IF(REGEXMATCH(Z1799, ""Season""), ""TV Show"", ""Movie"")"),"Movie")</f>
        <v>Movie</v>
      </c>
    </row>
    <row r="1800">
      <c r="A1800" s="1" t="s">
        <v>10408</v>
      </c>
      <c r="B1800" s="1" t="s">
        <v>27</v>
      </c>
      <c r="C1800" s="1" t="s">
        <v>10409</v>
      </c>
      <c r="D1800" s="1" t="s">
        <v>8455</v>
      </c>
      <c r="E1800" s="1" t="s">
        <v>10410</v>
      </c>
      <c r="F1800" s="1" t="s">
        <v>1992</v>
      </c>
      <c r="G1800" s="1" t="s">
        <v>10411</v>
      </c>
      <c r="H1800" s="1">
        <v>2019.0</v>
      </c>
      <c r="I1800" s="1" t="s">
        <v>42</v>
      </c>
      <c r="J1800" s="1" t="s">
        <v>630</v>
      </c>
      <c r="K1800" s="1" t="s">
        <v>8160</v>
      </c>
      <c r="L1800" s="1" t="s">
        <v>10412</v>
      </c>
      <c r="M1800" s="2" t="s">
        <v>12</v>
      </c>
      <c r="N1800" s="4">
        <f t="shared" si="1"/>
        <v>44127</v>
      </c>
      <c r="O1800" s="5" t="str">
        <f>IFERROR(__xludf.DUMMYFUNCTION("IF(REGEXMATCH(TRIM(I1800), ""^\d+\s*min""), ""Unclassified"", IF(I1800 = """", ""NR"", I1800))"),"TV-MA")</f>
        <v>TV-MA</v>
      </c>
      <c r="R1800" s="5" t="str">
        <f t="shared" si="2"/>
        <v>Alice Junior</v>
      </c>
      <c r="S1800" s="5" t="str">
        <f>IFERROR(__xludf.DUMMYFUNCTION("""COMPUTED_VALUE"""),"Dancing Quietly")</f>
        <v>Dancing Quietly</v>
      </c>
      <c r="U1800" s="5" t="str">
        <f>IFERROR(__xludf.DUMMYFUNCTION("""COMPUTED_VALUE"""),"Naoko Yamada")</f>
        <v>Naoko Yamada</v>
      </c>
      <c r="V1800" s="5" t="s">
        <v>10413</v>
      </c>
      <c r="W1800" s="5" t="str">
        <f t="shared" si="3"/>
        <v>Jay Lyons</v>
      </c>
      <c r="X1800" s="5">
        <f t="shared" si="4"/>
        <v>1</v>
      </c>
      <c r="Y1800" s="5" t="str">
        <f>IFERROR(__xludf.DUMMYFUNCTION("REGEXEXTRACT(J1800, ""^\d+"")"),"87")</f>
        <v>87</v>
      </c>
      <c r="Z1800" s="5" t="str">
        <f>IFERROR(__xludf.DUMMYFUNCTION("REGEXEXTRACT(J1800, ""[A-Za-z ]+$"")")," min")</f>
        <v> min</v>
      </c>
      <c r="AA1800" s="5" t="str">
        <f>IFERROR(__xludf.DUMMYFUNCTION("IF(REGEXMATCH(Z1800, ""Season""), ""TV Show"", ""Movie"")"),"Movie")</f>
        <v>Movie</v>
      </c>
    </row>
    <row r="1801">
      <c r="A1801" s="1" t="s">
        <v>10414</v>
      </c>
      <c r="B1801" s="1" t="s">
        <v>37</v>
      </c>
      <c r="C1801" s="1" t="s">
        <v>10415</v>
      </c>
      <c r="E1801" s="1" t="s">
        <v>10416</v>
      </c>
      <c r="F1801" s="1" t="s">
        <v>2492</v>
      </c>
      <c r="G1801" s="1" t="s">
        <v>10411</v>
      </c>
      <c r="H1801" s="1">
        <v>2020.0</v>
      </c>
      <c r="I1801" s="1" t="s">
        <v>42</v>
      </c>
      <c r="J1801" s="1" t="s">
        <v>51</v>
      </c>
      <c r="K1801" s="1" t="s">
        <v>190</v>
      </c>
      <c r="L1801" s="1" t="s">
        <v>10417</v>
      </c>
      <c r="M1801" s="2" t="s">
        <v>12</v>
      </c>
      <c r="N1801" s="4">
        <f t="shared" si="1"/>
        <v>44127</v>
      </c>
      <c r="O1801" s="5" t="str">
        <f>IFERROR(__xludf.DUMMYFUNCTION("IF(REGEXMATCH(TRIM(I1801), ""^\d+\s*min""), ""Unclassified"", IF(I1801 = """", ""NR"", I1801))"),"TV-MA")</f>
        <v>TV-MA</v>
      </c>
      <c r="R1801" s="5" t="str">
        <f t="shared" si="2"/>
        <v>Barbarians</v>
      </c>
      <c r="S1801" s="5" t="str">
        <f>IFERROR(__xludf.DUMMYFUNCTION("""COMPUTED_VALUE"""),"Dancing With The Birds")</f>
        <v>Dancing With The Birds</v>
      </c>
      <c r="U1801" s="5" t="str">
        <f>IFERROR(__xludf.DUMMYFUNCTION("""COMPUTED_VALUE"""),"Sergio Pablos")</f>
        <v>Sergio Pablos</v>
      </c>
      <c r="V1801" s="5" t="s">
        <v>4502</v>
      </c>
      <c r="W1801" s="5" t="str">
        <f t="shared" si="3"/>
        <v>Jay Oliva</v>
      </c>
      <c r="X1801" s="5">
        <f t="shared" si="4"/>
        <v>1</v>
      </c>
      <c r="Y1801" s="5" t="str">
        <f>IFERROR(__xludf.DUMMYFUNCTION("REGEXEXTRACT(J1801, ""^\d+"")"),"1")</f>
        <v>1</v>
      </c>
      <c r="Z1801" s="5" t="str">
        <f>IFERROR(__xludf.DUMMYFUNCTION("REGEXEXTRACT(J1801, ""[A-Za-z ]+$"")")," Season")</f>
        <v> Season</v>
      </c>
      <c r="AA1801" s="5" t="str">
        <f>IFERROR(__xludf.DUMMYFUNCTION("IF(REGEXMATCH(Z1801, ""Season""), ""TV Show"", ""Movie"")"),"TV Show")</f>
        <v>TV Show</v>
      </c>
    </row>
    <row r="1802">
      <c r="A1802" s="1" t="s">
        <v>10418</v>
      </c>
      <c r="B1802" s="1" t="s">
        <v>37</v>
      </c>
      <c r="C1802" s="1" t="s">
        <v>10419</v>
      </c>
      <c r="D1802" s="1" t="s">
        <v>10420</v>
      </c>
      <c r="F1802" s="1" t="s">
        <v>30</v>
      </c>
      <c r="G1802" s="1" t="s">
        <v>10411</v>
      </c>
      <c r="H1802" s="1">
        <v>2020.0</v>
      </c>
      <c r="I1802" s="1" t="s">
        <v>42</v>
      </c>
      <c r="J1802" s="1" t="s">
        <v>51</v>
      </c>
      <c r="K1802" s="1" t="s">
        <v>507</v>
      </c>
      <c r="L1802" s="1" t="s">
        <v>10421</v>
      </c>
      <c r="M1802" s="2" t="s">
        <v>12</v>
      </c>
      <c r="N1802" s="4">
        <f t="shared" si="1"/>
        <v>44127</v>
      </c>
      <c r="O1802" s="5" t="str">
        <f>IFERROR(__xludf.DUMMYFUNCTION("IF(REGEXMATCH(TRIM(I1802), ""^\d+\s*min""), ""Unclassified"", IF(I1802 = """", ""NR"", I1802))"),"TV-MA")</f>
        <v>TV-MA</v>
      </c>
      <c r="R1802" s="5" t="str">
        <f t="shared" si="2"/>
        <v>Move</v>
      </c>
      <c r="S1802" s="5" t="str">
        <f>IFERROR(__xludf.DUMMYFUNCTION("""COMPUTED_VALUE"""),"Dandy")</f>
        <v>Dandy</v>
      </c>
      <c r="U1802" s="5" t="str">
        <f>IFERROR(__xludf.DUMMYFUNCTION("""COMPUTED_VALUE"""),"Valli Bindana")</f>
        <v>Valli Bindana</v>
      </c>
      <c r="V1802" s="5" t="s">
        <v>3493</v>
      </c>
      <c r="W1802" s="5" t="str">
        <f t="shared" si="3"/>
        <v>Jay Roach</v>
      </c>
      <c r="X1802" s="5">
        <f t="shared" si="4"/>
        <v>5</v>
      </c>
      <c r="Y1802" s="5" t="str">
        <f>IFERROR(__xludf.DUMMYFUNCTION("REGEXEXTRACT(J1802, ""^\d+"")"),"1")</f>
        <v>1</v>
      </c>
      <c r="Z1802" s="5" t="str">
        <f>IFERROR(__xludf.DUMMYFUNCTION("REGEXEXTRACT(J1802, ""[A-Za-z ]+$"")")," Season")</f>
        <v> Season</v>
      </c>
      <c r="AA1802" s="5" t="str">
        <f>IFERROR(__xludf.DUMMYFUNCTION("IF(REGEXMATCH(Z1802, ""Season""), ""TV Show"", ""Movie"")"),"TV Show")</f>
        <v>TV Show</v>
      </c>
    </row>
    <row r="1803">
      <c r="A1803" s="1" t="s">
        <v>10422</v>
      </c>
      <c r="B1803" s="1" t="s">
        <v>27</v>
      </c>
      <c r="C1803" s="1" t="s">
        <v>10423</v>
      </c>
      <c r="D1803" s="1" t="s">
        <v>8528</v>
      </c>
      <c r="E1803" s="1" t="s">
        <v>10424</v>
      </c>
      <c r="F1803" s="1" t="s">
        <v>10425</v>
      </c>
      <c r="G1803" s="1" t="s">
        <v>10411</v>
      </c>
      <c r="H1803" s="1">
        <v>2020.0</v>
      </c>
      <c r="I1803" s="1" t="s">
        <v>78</v>
      </c>
      <c r="J1803" s="1" t="s">
        <v>433</v>
      </c>
      <c r="K1803" s="1" t="s">
        <v>920</v>
      </c>
      <c r="L1803" s="1" t="s">
        <v>10426</v>
      </c>
      <c r="M1803" s="2" t="s">
        <v>12</v>
      </c>
      <c r="N1803" s="4">
        <f t="shared" si="1"/>
        <v>44127</v>
      </c>
      <c r="O1803" s="5" t="str">
        <f>IFERROR(__xludf.DUMMYFUNCTION("IF(REGEXMATCH(TRIM(I1803), ""^\d+\s*min""), ""Unclassified"", IF(I1803 = """", ""NR"", I1803))"),"PG")</f>
        <v>PG</v>
      </c>
      <c r="R1803" s="5" t="str">
        <f t="shared" si="2"/>
        <v>Over The Moon</v>
      </c>
      <c r="S1803" s="5" t="str">
        <f>IFERROR(__xludf.DUMMYFUNCTION("""COMPUTED_VALUE"""),"Dangal")</f>
        <v>Dangal</v>
      </c>
      <c r="U1803" s="5" t="str">
        <f>IFERROR(__xludf.DUMMYFUNCTION("""COMPUTED_VALUE"""),"Makoto Shinkai")</f>
        <v>Makoto Shinkai</v>
      </c>
      <c r="V1803" s="5" t="s">
        <v>10427</v>
      </c>
      <c r="W1803" s="5" t="str">
        <f t="shared" si="3"/>
        <v>Jay Russell</v>
      </c>
      <c r="X1803" s="5">
        <f t="shared" si="4"/>
        <v>1</v>
      </c>
      <c r="Y1803" s="5" t="str">
        <f>IFERROR(__xludf.DUMMYFUNCTION("REGEXEXTRACT(J1803, ""^\d+"")"),"100")</f>
        <v>100</v>
      </c>
      <c r="Z1803" s="5" t="str">
        <f>IFERROR(__xludf.DUMMYFUNCTION("REGEXEXTRACT(J1803, ""[A-Za-z ]+$"")")," min")</f>
        <v> min</v>
      </c>
      <c r="AA1803" s="5" t="str">
        <f>IFERROR(__xludf.DUMMYFUNCTION("IF(REGEXMATCH(Z1803, ""Season""), ""TV Show"", ""Movie"")"),"Movie")</f>
        <v>Movie</v>
      </c>
    </row>
    <row r="1804">
      <c r="A1804" s="1" t="s">
        <v>10428</v>
      </c>
      <c r="B1804" s="1" t="s">
        <v>27</v>
      </c>
      <c r="C1804" s="1" t="s">
        <v>10429</v>
      </c>
      <c r="D1804" s="1" t="s">
        <v>4805</v>
      </c>
      <c r="E1804" s="1" t="s">
        <v>10430</v>
      </c>
      <c r="F1804" s="1" t="s">
        <v>30</v>
      </c>
      <c r="G1804" s="1" t="s">
        <v>10411</v>
      </c>
      <c r="H1804" s="1">
        <v>2018.0</v>
      </c>
      <c r="I1804" s="1" t="s">
        <v>97</v>
      </c>
      <c r="J1804" s="1" t="s">
        <v>1144</v>
      </c>
      <c r="K1804" s="1" t="s">
        <v>394</v>
      </c>
      <c r="L1804" s="1" t="s">
        <v>10431</v>
      </c>
      <c r="M1804" s="2" t="s">
        <v>12</v>
      </c>
      <c r="N1804" s="4">
        <f t="shared" si="1"/>
        <v>44127</v>
      </c>
      <c r="O1804" s="5" t="str">
        <f>IFERROR(__xludf.DUMMYFUNCTION("IF(REGEXMATCH(TRIM(I1804), ""^\d+\s*min""), ""Unclassified"", IF(I1804 = """", ""NR"", I1804))"),"TV-14")</f>
        <v>TV-14</v>
      </c>
      <c r="R1804" s="5" t="str">
        <f t="shared" si="2"/>
        <v>Shattered Memories</v>
      </c>
      <c r="S1804" s="5" t="str">
        <f>IFERROR(__xludf.DUMMYFUNCTION("""COMPUTED_VALUE"""),"Danger Mouse")</f>
        <v>Danger Mouse</v>
      </c>
      <c r="U1804" s="5" t="str">
        <f>IFERROR(__xludf.DUMMYFUNCTION("""COMPUTED_VALUE"""),"Gautier &amp; Leduc")</f>
        <v>Gautier &amp; Leduc</v>
      </c>
      <c r="V1804" s="5" t="s">
        <v>10432</v>
      </c>
      <c r="W1804" s="5" t="str">
        <f t="shared" si="3"/>
        <v>Jay Surridge</v>
      </c>
      <c r="X1804" s="5">
        <f t="shared" si="4"/>
        <v>1</v>
      </c>
      <c r="Y1804" s="5" t="str">
        <f>IFERROR(__xludf.DUMMYFUNCTION("REGEXEXTRACT(J1804, ""^\d+"")"),"86")</f>
        <v>86</v>
      </c>
      <c r="Z1804" s="5" t="str">
        <f>IFERROR(__xludf.DUMMYFUNCTION("REGEXEXTRACT(J1804, ""[A-Za-z ]+$"")")," min")</f>
        <v> min</v>
      </c>
      <c r="AA1804" s="5" t="str">
        <f>IFERROR(__xludf.DUMMYFUNCTION("IF(REGEXMATCH(Z1804, ""Season""), ""TV Show"", ""Movie"")"),"Movie")</f>
        <v>Movie</v>
      </c>
    </row>
    <row r="1805">
      <c r="A1805" s="1" t="s">
        <v>10433</v>
      </c>
      <c r="B1805" s="1" t="s">
        <v>37</v>
      </c>
      <c r="C1805" s="1" t="s">
        <v>10434</v>
      </c>
      <c r="E1805" s="1" t="s">
        <v>10435</v>
      </c>
      <c r="F1805" s="1" t="s">
        <v>784</v>
      </c>
      <c r="G1805" s="1" t="s">
        <v>10411</v>
      </c>
      <c r="H1805" s="1">
        <v>2020.0</v>
      </c>
      <c r="I1805" s="1" t="s">
        <v>42</v>
      </c>
      <c r="J1805" s="1" t="s">
        <v>51</v>
      </c>
      <c r="K1805" s="1" t="s">
        <v>785</v>
      </c>
      <c r="L1805" s="1" t="s">
        <v>10436</v>
      </c>
      <c r="M1805" s="2" t="s">
        <v>12</v>
      </c>
      <c r="N1805" s="4">
        <f t="shared" si="1"/>
        <v>44127</v>
      </c>
      <c r="O1805" s="5" t="str">
        <f>IFERROR(__xludf.DUMMYFUNCTION("IF(REGEXMATCH(TRIM(I1805), ""^\d+\s*min""), ""Unclassified"", IF(I1805 = """", ""NR"", I1805))"),"TV-MA")</f>
        <v>TV-MA</v>
      </c>
      <c r="R1805" s="5" t="str">
        <f t="shared" si="2"/>
        <v>Stolen Away</v>
      </c>
      <c r="S1805" s="5" t="str">
        <f>IFERROR(__xludf.DUMMYFUNCTION("""COMPUTED_VALUE"""),"Danger Mouse: Classic Collection")</f>
        <v>Danger Mouse: Classic Collection</v>
      </c>
      <c r="U1805" s="5" t="str">
        <f>IFERROR(__xludf.DUMMYFUNCTION("""COMPUTED_VALUE"""),"Christopher Storer")</f>
        <v>Christopher Storer</v>
      </c>
      <c r="V1805" s="5" t="s">
        <v>4663</v>
      </c>
      <c r="W1805" s="5" t="str">
        <f t="shared" si="3"/>
        <v>Jayan Moodley</v>
      </c>
      <c r="X1805" s="5">
        <f t="shared" si="4"/>
        <v>2</v>
      </c>
      <c r="Y1805" s="5" t="str">
        <f>IFERROR(__xludf.DUMMYFUNCTION("REGEXEXTRACT(J1805, ""^\d+"")"),"1")</f>
        <v>1</v>
      </c>
      <c r="Z1805" s="5" t="str">
        <f>IFERROR(__xludf.DUMMYFUNCTION("REGEXEXTRACT(J1805, ""[A-Za-z ]+$"")")," Season")</f>
        <v> Season</v>
      </c>
      <c r="AA1805" s="5" t="str">
        <f>IFERROR(__xludf.DUMMYFUNCTION("IF(REGEXMATCH(Z1805, ""Season""), ""TV Show"", ""Movie"")"),"TV Show")</f>
        <v>TV Show</v>
      </c>
    </row>
    <row r="1806">
      <c r="A1806" s="1" t="s">
        <v>10437</v>
      </c>
      <c r="B1806" s="1" t="s">
        <v>37</v>
      </c>
      <c r="C1806" s="1" t="s">
        <v>10438</v>
      </c>
      <c r="E1806" s="1" t="s">
        <v>10439</v>
      </c>
      <c r="F1806" s="1" t="s">
        <v>30</v>
      </c>
      <c r="G1806" s="1" t="s">
        <v>10411</v>
      </c>
      <c r="H1806" s="1">
        <v>2020.0</v>
      </c>
      <c r="I1806" s="1" t="s">
        <v>42</v>
      </c>
      <c r="J1806" s="1" t="s">
        <v>51</v>
      </c>
      <c r="K1806" s="1" t="s">
        <v>2709</v>
      </c>
      <c r="L1806" s="1" t="s">
        <v>10440</v>
      </c>
      <c r="M1806" s="2" t="s">
        <v>12</v>
      </c>
      <c r="N1806" s="4">
        <f t="shared" si="1"/>
        <v>44127</v>
      </c>
      <c r="O1806" s="5" t="str">
        <f>IFERROR(__xludf.DUMMYFUNCTION("IF(REGEXMATCH(TRIM(I1806), ""^\d+\s*min""), ""Unclassified"", IF(I1806 = """", ""NR"", I1806))"),"TV-MA")</f>
        <v>TV-MA</v>
      </c>
      <c r="R1806" s="5" t="str">
        <f t="shared" si="2"/>
        <v>The Queen'S Gambit</v>
      </c>
      <c r="S1806" s="5" t="str">
        <f>IFERROR(__xludf.DUMMYFUNCTION("""COMPUTED_VALUE"""),"Dangerous Lies")</f>
        <v>Dangerous Lies</v>
      </c>
      <c r="U1806" s="5" t="str">
        <f>IFERROR(__xludf.DUMMYFUNCTION("""COMPUTED_VALUE"""),"Josh Aronson")</f>
        <v>Josh Aronson</v>
      </c>
      <c r="V1806" s="5" t="s">
        <v>10441</v>
      </c>
      <c r="W1806" s="5" t="str">
        <f t="shared" si="3"/>
        <v>Jayan Vannery</v>
      </c>
      <c r="X1806" s="5">
        <f t="shared" si="4"/>
        <v>1</v>
      </c>
      <c r="Y1806" s="5" t="str">
        <f>IFERROR(__xludf.DUMMYFUNCTION("REGEXEXTRACT(J1806, ""^\d+"")"),"1")</f>
        <v>1</v>
      </c>
      <c r="Z1806" s="5" t="str">
        <f>IFERROR(__xludf.DUMMYFUNCTION("REGEXEXTRACT(J1806, ""[A-Za-z ]+$"")")," Season")</f>
        <v> Season</v>
      </c>
      <c r="AA1806" s="5" t="str">
        <f>IFERROR(__xludf.DUMMYFUNCTION("IF(REGEXMATCH(Z1806, ""Season""), ""TV Show"", ""Movie"")"),"TV Show")</f>
        <v>TV Show</v>
      </c>
    </row>
    <row r="1807">
      <c r="A1807" s="1" t="s">
        <v>10442</v>
      </c>
      <c r="B1807" s="1" t="s">
        <v>27</v>
      </c>
      <c r="C1807" s="1" t="s">
        <v>10443</v>
      </c>
      <c r="D1807" s="1" t="s">
        <v>10444</v>
      </c>
      <c r="F1807" s="1" t="s">
        <v>30</v>
      </c>
      <c r="G1807" s="1" t="s">
        <v>10445</v>
      </c>
      <c r="H1807" s="1">
        <v>2017.0</v>
      </c>
      <c r="I1807" s="1" t="s">
        <v>42</v>
      </c>
      <c r="J1807" s="1" t="s">
        <v>447</v>
      </c>
      <c r="K1807" s="1" t="s">
        <v>34</v>
      </c>
      <c r="L1807" s="1" t="s">
        <v>10446</v>
      </c>
      <c r="M1807" s="2" t="s">
        <v>12</v>
      </c>
      <c r="N1807" s="4">
        <f t="shared" si="1"/>
        <v>44126</v>
      </c>
      <c r="O1807" s="5" t="str">
        <f>IFERROR(__xludf.DUMMYFUNCTION("IF(REGEXMATCH(TRIM(I1807), ""^\d+\s*min""), ""Unclassified"", IF(I1807 = """", ""NR"", I1807))"),"TV-MA")</f>
        <v>TV-MA</v>
      </c>
      <c r="R1807" s="5" t="str">
        <f t="shared" si="2"/>
        <v>Bending The Arc</v>
      </c>
      <c r="S1807" s="5" t="str">
        <f>IFERROR(__xludf.DUMMYFUNCTION("""COMPUTED_VALUE"""),"Dangerous Roads")</f>
        <v>Dangerous Roads</v>
      </c>
      <c r="U1807" s="5" t="str">
        <f>IFERROR(__xludf.DUMMYFUNCTION("""COMPUTED_VALUE"""),"Luke Snellin")</f>
        <v>Luke Snellin</v>
      </c>
      <c r="V1807" s="5" t="s">
        <v>10447</v>
      </c>
      <c r="W1807" s="5" t="str">
        <f t="shared" si="3"/>
        <v>Jayaprakash Radhakrishnan</v>
      </c>
      <c r="X1807" s="5">
        <f t="shared" si="4"/>
        <v>1</v>
      </c>
      <c r="Y1807" s="5" t="str">
        <f>IFERROR(__xludf.DUMMYFUNCTION("REGEXEXTRACT(J1807, ""^\d+"")"),"102")</f>
        <v>102</v>
      </c>
      <c r="Z1807" s="5" t="str">
        <f>IFERROR(__xludf.DUMMYFUNCTION("REGEXEXTRACT(J1807, ""[A-Za-z ]+$"")")," min")</f>
        <v> min</v>
      </c>
      <c r="AA1807" s="5" t="str">
        <f>IFERROR(__xludf.DUMMYFUNCTION("IF(REGEXMATCH(Z1807, ""Season""), ""TV Show"", ""Movie"")"),"Movie")</f>
        <v>Movie</v>
      </c>
    </row>
    <row r="1808">
      <c r="A1808" s="1" t="s">
        <v>10448</v>
      </c>
      <c r="B1808" s="1" t="s">
        <v>27</v>
      </c>
      <c r="C1808" s="1" t="s">
        <v>10449</v>
      </c>
      <c r="D1808" s="1" t="s">
        <v>10193</v>
      </c>
      <c r="E1808" s="1" t="s">
        <v>10450</v>
      </c>
      <c r="F1808" s="1" t="s">
        <v>8498</v>
      </c>
      <c r="G1808" s="1" t="s">
        <v>10445</v>
      </c>
      <c r="H1808" s="1">
        <v>2020.0</v>
      </c>
      <c r="I1808" s="1" t="s">
        <v>42</v>
      </c>
      <c r="J1808" s="1" t="s">
        <v>630</v>
      </c>
      <c r="K1808" s="1" t="s">
        <v>1441</v>
      </c>
      <c r="L1808" s="1" t="s">
        <v>10451</v>
      </c>
      <c r="M1808" s="2" t="s">
        <v>12</v>
      </c>
      <c r="N1808" s="4">
        <f t="shared" si="1"/>
        <v>44126</v>
      </c>
      <c r="O1808" s="5" t="str">
        <f>IFERROR(__xludf.DUMMYFUNCTION("IF(REGEXMATCH(TRIM(I1808), ""^\d+\s*min""), ""Unclassified"", IF(I1808 = """", ""NR"", I1808))"),"TV-MA")</f>
        <v>TV-MA</v>
      </c>
      <c r="R1808" s="5" t="str">
        <f t="shared" si="2"/>
        <v>Cadaver</v>
      </c>
      <c r="S1808" s="5" t="str">
        <f>IFERROR(__xludf.DUMMYFUNCTION("""COMPUTED_VALUE"""),"Daniel Sloss: Live Shows")</f>
        <v>Daniel Sloss: Live Shows</v>
      </c>
      <c r="U1808" s="5" t="str">
        <f>IFERROR(__xludf.DUMMYFUNCTION("""COMPUTED_VALUE"""),"Xavier Durringer")</f>
        <v>Xavier Durringer</v>
      </c>
      <c r="V1808" s="5" t="s">
        <v>10452</v>
      </c>
      <c r="W1808" s="5" t="str">
        <f t="shared" si="3"/>
        <v>Jayaraj Rajasekharan Nair</v>
      </c>
      <c r="X1808" s="5">
        <f t="shared" si="4"/>
        <v>1</v>
      </c>
      <c r="Y1808" s="5" t="str">
        <f>IFERROR(__xludf.DUMMYFUNCTION("REGEXEXTRACT(J1808, ""^\d+"")"),"87")</f>
        <v>87</v>
      </c>
      <c r="Z1808" s="5" t="str">
        <f>IFERROR(__xludf.DUMMYFUNCTION("REGEXEXTRACT(J1808, ""[A-Za-z ]+$"")")," min")</f>
        <v> min</v>
      </c>
      <c r="AA1808" s="5" t="str">
        <f>IFERROR(__xludf.DUMMYFUNCTION("IF(REGEXMATCH(Z1808, ""Season""), ""TV Show"", ""Movie"")"),"Movie")</f>
        <v>Movie</v>
      </c>
    </row>
    <row r="1809">
      <c r="A1809" s="1" t="s">
        <v>10453</v>
      </c>
      <c r="B1809" s="1" t="s">
        <v>27</v>
      </c>
      <c r="C1809" s="1" t="s">
        <v>10454</v>
      </c>
      <c r="D1809" s="1" t="s">
        <v>5442</v>
      </c>
      <c r="E1809" s="1" t="s">
        <v>10455</v>
      </c>
      <c r="F1809" s="1" t="s">
        <v>4287</v>
      </c>
      <c r="G1809" s="1" t="s">
        <v>10445</v>
      </c>
      <c r="H1809" s="1">
        <v>2018.0</v>
      </c>
      <c r="I1809" s="1" t="s">
        <v>42</v>
      </c>
      <c r="J1809" s="1" t="s">
        <v>238</v>
      </c>
      <c r="K1809" s="1" t="s">
        <v>679</v>
      </c>
      <c r="L1809" s="1" t="s">
        <v>10456</v>
      </c>
      <c r="M1809" s="2" t="s">
        <v>12</v>
      </c>
      <c r="N1809" s="4">
        <f t="shared" si="1"/>
        <v>44126</v>
      </c>
      <c r="O1809" s="5" t="str">
        <f>IFERROR(__xludf.DUMMYFUNCTION("IF(REGEXMATCH(TRIM(I1809), ""^\d+\s*min""), ""Unclassified"", IF(I1809 = """", ""NR"", I1809))"),"TV-MA")</f>
        <v>TV-MA</v>
      </c>
      <c r="R1809" s="5" t="str">
        <f t="shared" si="2"/>
        <v>Exes Baggage</v>
      </c>
      <c r="S1809" s="5" t="str">
        <f>IFERROR(__xludf.DUMMYFUNCTION("""COMPUTED_VALUE"""),"Daniel Sosa: Maleducado")</f>
        <v>Daniel Sosa: Maleducado</v>
      </c>
      <c r="U1809" s="5" t="str">
        <f>IFERROR(__xludf.DUMMYFUNCTION("""COMPUTED_VALUE"""),"Pawan Kumar")</f>
        <v>Pawan Kumar</v>
      </c>
      <c r="V1809" s="5" t="s">
        <v>4019</v>
      </c>
      <c r="W1809" s="5" t="str">
        <f t="shared" si="3"/>
        <v>Jayme Monjardim</v>
      </c>
      <c r="X1809" s="5">
        <f t="shared" si="4"/>
        <v>1</v>
      </c>
      <c r="Y1809" s="5" t="str">
        <f>IFERROR(__xludf.DUMMYFUNCTION("REGEXEXTRACT(J1809, ""^\d+"")"),"103")</f>
        <v>103</v>
      </c>
      <c r="Z1809" s="5" t="str">
        <f>IFERROR(__xludf.DUMMYFUNCTION("REGEXEXTRACT(J1809, ""[A-Za-z ]+$"")")," min")</f>
        <v> min</v>
      </c>
      <c r="AA1809" s="5" t="str">
        <f>IFERROR(__xludf.DUMMYFUNCTION("IF(REGEXMATCH(Z1809, ""Season""), ""TV Show"", ""Movie"")"),"Movie")</f>
        <v>Movie</v>
      </c>
    </row>
    <row r="1810">
      <c r="A1810" s="1" t="s">
        <v>10457</v>
      </c>
      <c r="B1810" s="1" t="s">
        <v>27</v>
      </c>
      <c r="C1810" s="1" t="s">
        <v>10458</v>
      </c>
      <c r="D1810" s="1" t="s">
        <v>4706</v>
      </c>
      <c r="E1810" s="1" t="s">
        <v>10459</v>
      </c>
      <c r="F1810" s="1" t="s">
        <v>96</v>
      </c>
      <c r="G1810" s="1" t="s">
        <v>10445</v>
      </c>
      <c r="H1810" s="1">
        <v>2019.0</v>
      </c>
      <c r="I1810" s="1" t="s">
        <v>32</v>
      </c>
      <c r="J1810" s="1" t="s">
        <v>1243</v>
      </c>
      <c r="K1810" s="1" t="s">
        <v>7340</v>
      </c>
      <c r="L1810" s="1" t="s">
        <v>10460</v>
      </c>
      <c r="M1810" s="2" t="s">
        <v>12</v>
      </c>
      <c r="N1810" s="4">
        <f t="shared" si="1"/>
        <v>44126</v>
      </c>
      <c r="O1810" s="5" t="str">
        <f>IFERROR(__xludf.DUMMYFUNCTION("IF(REGEXMATCH(TRIM(I1810), ""^\d+\s*min""), ""Unclassified"", IF(I1810 = """", ""NR"", I1810))"),"PG-13")</f>
        <v>PG-13</v>
      </c>
      <c r="R1810" s="5" t="str">
        <f t="shared" si="2"/>
        <v>Fisherman'S Friends</v>
      </c>
      <c r="S1810" s="5" t="str">
        <f>IFERROR(__xludf.DUMMYFUNCTION("""COMPUTED_VALUE"""),"Daniel Sosa: Sosafado")</f>
        <v>Daniel Sosa: Sosafado</v>
      </c>
      <c r="U1810" s="5" t="str">
        <f>IFERROR(__xludf.DUMMYFUNCTION("""COMPUTED_VALUE"""),"Phillip Youmans")</f>
        <v>Phillip Youmans</v>
      </c>
      <c r="V1810" s="5" t="s">
        <v>10461</v>
      </c>
      <c r="W1810" s="5" t="str">
        <f t="shared" si="3"/>
        <v>Jayson Thiessen, Ishi Rudell</v>
      </c>
      <c r="X1810" s="5">
        <f t="shared" si="4"/>
        <v>1</v>
      </c>
      <c r="Y1810" s="5" t="str">
        <f>IFERROR(__xludf.DUMMYFUNCTION("REGEXEXTRACT(J1810, ""^\d+"")"),"112")</f>
        <v>112</v>
      </c>
      <c r="Z1810" s="5" t="str">
        <f>IFERROR(__xludf.DUMMYFUNCTION("REGEXEXTRACT(J1810, ""[A-Za-z ]+$"")")," min")</f>
        <v> min</v>
      </c>
      <c r="AA1810" s="5" t="str">
        <f>IFERROR(__xludf.DUMMYFUNCTION("IF(REGEXMATCH(Z1810, ""Season""), ""TV Show"", ""Movie"")"),"Movie")</f>
        <v>Movie</v>
      </c>
    </row>
    <row r="1811">
      <c r="A1811" s="1" t="s">
        <v>10462</v>
      </c>
      <c r="B1811" s="1" t="s">
        <v>27</v>
      </c>
      <c r="C1811" s="1" t="s">
        <v>10463</v>
      </c>
      <c r="D1811" s="1" t="s">
        <v>4260</v>
      </c>
      <c r="E1811" s="1" t="s">
        <v>10464</v>
      </c>
      <c r="F1811" s="1" t="s">
        <v>4287</v>
      </c>
      <c r="G1811" s="1" t="s">
        <v>10445</v>
      </c>
      <c r="H1811" s="1">
        <v>2018.0</v>
      </c>
      <c r="I1811" s="1" t="s">
        <v>97</v>
      </c>
      <c r="J1811" s="1" t="s">
        <v>985</v>
      </c>
      <c r="K1811" s="1" t="s">
        <v>679</v>
      </c>
      <c r="L1811" s="1" t="s">
        <v>10465</v>
      </c>
      <c r="M1811" s="2" t="s">
        <v>12</v>
      </c>
      <c r="N1811" s="4">
        <f t="shared" si="1"/>
        <v>44126</v>
      </c>
      <c r="O1811" s="5" t="str">
        <f>IFERROR(__xludf.DUMMYFUNCTION("IF(REGEXMATCH(TRIM(I1811), ""^\d+\s*min""), ""Unclassified"", IF(I1811 = """", ""NR"", I1811))"),"TV-14")</f>
        <v>TV-14</v>
      </c>
      <c r="R1811" s="5" t="str">
        <f t="shared" si="2"/>
        <v>The Hows Of Us</v>
      </c>
      <c r="S1811" s="5" t="str">
        <f>IFERROR(__xludf.DUMMYFUNCTION("""COMPUTED_VALUE"""),"Danny Says")</f>
        <v>Danny Says</v>
      </c>
      <c r="U1811" s="5" t="str">
        <f>IFERROR(__xludf.DUMMYFUNCTION("""COMPUTED_VALUE"""),"Zhang Yimou")</f>
        <v>Zhang Yimou</v>
      </c>
      <c r="V1811" s="5" t="s">
        <v>10466</v>
      </c>
      <c r="W1811" s="5" t="str">
        <f t="shared" si="3"/>
        <v>Jazz Boon</v>
      </c>
      <c r="X1811" s="5">
        <f t="shared" si="4"/>
        <v>1</v>
      </c>
      <c r="Y1811" s="5" t="str">
        <f>IFERROR(__xludf.DUMMYFUNCTION("REGEXEXTRACT(J1811, ""^\d+"")"),"120")</f>
        <v>120</v>
      </c>
      <c r="Z1811" s="5" t="str">
        <f>IFERROR(__xludf.DUMMYFUNCTION("REGEXEXTRACT(J1811, ""[A-Za-z ]+$"")")," min")</f>
        <v> min</v>
      </c>
      <c r="AA1811" s="5" t="str">
        <f>IFERROR(__xludf.DUMMYFUNCTION("IF(REGEXMATCH(Z1811, ""Season""), ""TV Show"", ""Movie"")"),"Movie")</f>
        <v>Movie</v>
      </c>
    </row>
    <row r="1812">
      <c r="A1812" s="1" t="s">
        <v>10467</v>
      </c>
      <c r="B1812" s="1" t="s">
        <v>27</v>
      </c>
      <c r="C1812" s="1" t="s">
        <v>10468</v>
      </c>
      <c r="D1812" s="1" t="s">
        <v>10469</v>
      </c>
      <c r="E1812" s="1" t="s">
        <v>10470</v>
      </c>
      <c r="F1812" s="1" t="s">
        <v>10471</v>
      </c>
      <c r="G1812" s="1" t="s">
        <v>10445</v>
      </c>
      <c r="H1812" s="1">
        <v>2018.0</v>
      </c>
      <c r="I1812" s="1" t="s">
        <v>378</v>
      </c>
      <c r="J1812" s="1" t="s">
        <v>264</v>
      </c>
      <c r="K1812" s="1" t="s">
        <v>1320</v>
      </c>
      <c r="L1812" s="1" t="s">
        <v>10472</v>
      </c>
      <c r="M1812" s="2" t="s">
        <v>12</v>
      </c>
      <c r="N1812" s="4">
        <f t="shared" si="1"/>
        <v>44126</v>
      </c>
      <c r="O1812" s="5" t="str">
        <f>IFERROR(__xludf.DUMMYFUNCTION("IF(REGEXMATCH(TRIM(I1812), ""^\d+\s*min""), ""Unclassified"", IF(I1812 = """", ""NR"", I1812))"),"R")</f>
        <v>R</v>
      </c>
      <c r="R1812" s="5" t="str">
        <f t="shared" si="2"/>
        <v>The Hummingbird Project</v>
      </c>
      <c r="S1812" s="5" t="str">
        <f>IFERROR(__xludf.DUMMYFUNCTION("""COMPUTED_VALUE"""),"Dante'S Peak")</f>
        <v>Dante'S Peak</v>
      </c>
      <c r="U1812" s="5" t="str">
        <f>IFERROR(__xludf.DUMMYFUNCTION("""COMPUTED_VALUE"""),"Neal Brennan")</f>
        <v>Neal Brennan</v>
      </c>
      <c r="V1812" s="5" t="s">
        <v>10473</v>
      </c>
      <c r="W1812" s="5" t="str">
        <f t="shared" si="3"/>
        <v>Jean-Bernard Marlin</v>
      </c>
      <c r="X1812" s="5">
        <f t="shared" si="4"/>
        <v>1</v>
      </c>
      <c r="Y1812" s="5" t="str">
        <f>IFERROR(__xludf.DUMMYFUNCTION("REGEXEXTRACT(J1812, ""^\d+"")"),"111")</f>
        <v>111</v>
      </c>
      <c r="Z1812" s="5" t="str">
        <f>IFERROR(__xludf.DUMMYFUNCTION("REGEXEXTRACT(J1812, ""[A-Za-z ]+$"")")," min")</f>
        <v> min</v>
      </c>
      <c r="AA1812" s="5" t="str">
        <f>IFERROR(__xludf.DUMMYFUNCTION("IF(REGEXMATCH(Z1812, ""Season""), ""TV Show"", ""Movie"")"),"Movie")</f>
        <v>Movie</v>
      </c>
    </row>
    <row r="1813">
      <c r="A1813" s="1" t="s">
        <v>10474</v>
      </c>
      <c r="B1813" s="1" t="s">
        <v>27</v>
      </c>
      <c r="C1813" s="1" t="s">
        <v>10475</v>
      </c>
      <c r="D1813" s="1" t="s">
        <v>10476</v>
      </c>
      <c r="E1813" s="1" t="s">
        <v>10477</v>
      </c>
      <c r="F1813" s="1" t="s">
        <v>30</v>
      </c>
      <c r="G1813" s="1" t="s">
        <v>10445</v>
      </c>
      <c r="H1813" s="1">
        <v>2020.0</v>
      </c>
      <c r="I1813" s="1" t="s">
        <v>378</v>
      </c>
      <c r="J1813" s="1" t="s">
        <v>1737</v>
      </c>
      <c r="K1813" s="1" t="s">
        <v>836</v>
      </c>
      <c r="L1813" s="1" t="s">
        <v>10478</v>
      </c>
      <c r="M1813" s="2" t="s">
        <v>12</v>
      </c>
      <c r="N1813" s="4">
        <f t="shared" si="1"/>
        <v>44126</v>
      </c>
      <c r="O1813" s="5" t="str">
        <f>IFERROR(__xludf.DUMMYFUNCTION("IF(REGEXMATCH(TRIM(I1813), ""^\d+\s*min""), ""Unclassified"", IF(I1813 = """", ""NR"", I1813))"),"R")</f>
        <v>R</v>
      </c>
      <c r="R1813" s="5" t="str">
        <f t="shared" si="2"/>
        <v>Yes, God, Yes</v>
      </c>
      <c r="S1813" s="5" t="str">
        <f>IFERROR(__xludf.DUMMYFUNCTION("""COMPUTED_VALUE"""),"Danur: I Can See Ghosts")</f>
        <v>Danur: I Can See Ghosts</v>
      </c>
      <c r="U1813" s="5" t="str">
        <f>IFERROR(__xludf.DUMMYFUNCTION("""COMPUTED_VALUE"""),"Azazel Jacobs")</f>
        <v>Azazel Jacobs</v>
      </c>
      <c r="V1813" s="5" t="s">
        <v>10479</v>
      </c>
      <c r="W1813" s="5" t="str">
        <f t="shared" si="3"/>
        <v>Jean-Claude Flamand-Barny</v>
      </c>
      <c r="X1813" s="5">
        <f t="shared" si="4"/>
        <v>1</v>
      </c>
      <c r="Y1813" s="5" t="str">
        <f>IFERROR(__xludf.DUMMYFUNCTION("REGEXEXTRACT(J1813, ""^\d+"")"),"78")</f>
        <v>78</v>
      </c>
      <c r="Z1813" s="5" t="str">
        <f>IFERROR(__xludf.DUMMYFUNCTION("REGEXEXTRACT(J1813, ""[A-Za-z ]+$"")")," min")</f>
        <v> min</v>
      </c>
      <c r="AA1813" s="5" t="str">
        <f>IFERROR(__xludf.DUMMYFUNCTION("IF(REGEXMATCH(Z1813, ""Season""), ""TV Show"", ""Movie"")"),"Movie")</f>
        <v>Movie</v>
      </c>
    </row>
    <row r="1814">
      <c r="A1814" s="1" t="s">
        <v>10480</v>
      </c>
      <c r="B1814" s="1" t="s">
        <v>27</v>
      </c>
      <c r="C1814" s="1" t="s">
        <v>10481</v>
      </c>
      <c r="D1814" s="1" t="s">
        <v>10482</v>
      </c>
      <c r="E1814" s="1" t="s">
        <v>10483</v>
      </c>
      <c r="F1814" s="1" t="s">
        <v>10484</v>
      </c>
      <c r="G1814" s="1" t="s">
        <v>10485</v>
      </c>
      <c r="H1814" s="1">
        <v>2020.0</v>
      </c>
      <c r="I1814" s="1" t="s">
        <v>136</v>
      </c>
      <c r="J1814" s="1" t="s">
        <v>7064</v>
      </c>
      <c r="K1814" s="1" t="s">
        <v>156</v>
      </c>
      <c r="L1814" s="1" t="s">
        <v>10486</v>
      </c>
      <c r="M1814" s="2" t="s">
        <v>12</v>
      </c>
      <c r="N1814" s="4">
        <f t="shared" si="1"/>
        <v>44125</v>
      </c>
      <c r="O1814" s="5" t="str">
        <f>IFERROR(__xludf.DUMMYFUNCTION("IF(REGEXMATCH(TRIM(I1814), ""^\d+\s*min""), ""Unclassified"", IF(I1814 = """", ""NR"", I1814))"),"TV-PG")</f>
        <v>TV-PG</v>
      </c>
      <c r="R1814" s="5" t="str">
        <f t="shared" si="2"/>
        <v>Brave Blue World: Racing To Solve Our Water Crisis</v>
      </c>
      <c r="S1814" s="5" t="str">
        <f>IFERROR(__xludf.DUMMYFUNCTION("""COMPUTED_VALUE"""),"Dany Boon: Des Hauts De France")</f>
        <v>Dany Boon: Des Hauts De France</v>
      </c>
      <c r="U1814" s="5" t="str">
        <f>IFERROR(__xludf.DUMMYFUNCTION("""COMPUTED_VALUE"""),"Jung Ji-Woo")</f>
        <v>Jung Ji-Woo</v>
      </c>
      <c r="V1814" s="5" t="s">
        <v>10487</v>
      </c>
      <c r="W1814" s="5" t="str">
        <f t="shared" si="3"/>
        <v>Jean-Claude La Marre</v>
      </c>
      <c r="X1814" s="5">
        <f t="shared" si="4"/>
        <v>1</v>
      </c>
      <c r="Y1814" s="5" t="str">
        <f>IFERROR(__xludf.DUMMYFUNCTION("REGEXEXTRACT(J1814, ""^\d+"")"),"51")</f>
        <v>51</v>
      </c>
      <c r="Z1814" s="5" t="str">
        <f>IFERROR(__xludf.DUMMYFUNCTION("REGEXEXTRACT(J1814, ""[A-Za-z ]+$"")")," min")</f>
        <v> min</v>
      </c>
      <c r="AA1814" s="5" t="str">
        <f>IFERROR(__xludf.DUMMYFUNCTION("IF(REGEXMATCH(Z1814, ""Season""), ""TV Show"", ""Movie"")"),"Movie")</f>
        <v>Movie</v>
      </c>
    </row>
    <row r="1815">
      <c r="A1815" s="1" t="s">
        <v>10488</v>
      </c>
      <c r="B1815" s="1" t="s">
        <v>37</v>
      </c>
      <c r="C1815" s="1" t="s">
        <v>10489</v>
      </c>
      <c r="E1815" s="1" t="s">
        <v>10490</v>
      </c>
      <c r="F1815" s="1" t="s">
        <v>30</v>
      </c>
      <c r="G1815" s="1" t="s">
        <v>10485</v>
      </c>
      <c r="H1815" s="1">
        <v>2020.0</v>
      </c>
      <c r="I1815" s="1" t="s">
        <v>42</v>
      </c>
      <c r="J1815" s="1" t="s">
        <v>276</v>
      </c>
      <c r="K1815" s="1" t="s">
        <v>10491</v>
      </c>
      <c r="L1815" s="1" t="s">
        <v>10492</v>
      </c>
      <c r="M1815" s="2" t="s">
        <v>12</v>
      </c>
      <c r="N1815" s="4">
        <f t="shared" si="1"/>
        <v>44125</v>
      </c>
      <c r="O1815" s="5" t="str">
        <f>IFERROR(__xludf.DUMMYFUNCTION("IF(REGEXMATCH(TRIM(I1815), ""^\d+\s*min""), ""Unclassified"", IF(I1815 = """", ""NR"", I1815))"),"TV-MA")</f>
        <v>TV-MA</v>
      </c>
      <c r="R1815" s="5" t="str">
        <f t="shared" si="2"/>
        <v>My Next Guest Needs No Introduction With David Letterman</v>
      </c>
      <c r="S1815" s="5" t="str">
        <f>IFERROR(__xludf.DUMMYFUNCTION("""COMPUTED_VALUE"""),"Darc")</f>
        <v>Darc</v>
      </c>
      <c r="U1815" s="5" t="str">
        <f>IFERROR(__xludf.DUMMYFUNCTION("""COMPUTED_VALUE"""),"Matt D'Avella")</f>
        <v>Matt D'Avella</v>
      </c>
      <c r="V1815" s="5" t="s">
        <v>10493</v>
      </c>
      <c r="W1815" s="5" t="str">
        <f t="shared" si="3"/>
        <v>Jean-François Blais</v>
      </c>
      <c r="X1815" s="5">
        <f t="shared" si="4"/>
        <v>1</v>
      </c>
      <c r="Y1815" s="5" t="str">
        <f>IFERROR(__xludf.DUMMYFUNCTION("REGEXEXTRACT(J1815, ""^\d+"")"),"3")</f>
        <v>3</v>
      </c>
      <c r="Z1815" s="5" t="str">
        <f>IFERROR(__xludf.DUMMYFUNCTION("REGEXEXTRACT(J1815, ""[A-Za-z ]+$"")")," Seasons")</f>
        <v> Seasons</v>
      </c>
      <c r="AA1815" s="5" t="str">
        <f>IFERROR(__xludf.DUMMYFUNCTION("IF(REGEXMATCH(Z1815, ""Season""), ""TV Show"", ""Movie"")"),"TV Show")</f>
        <v>TV Show</v>
      </c>
    </row>
    <row r="1816">
      <c r="A1816" s="1" t="s">
        <v>10494</v>
      </c>
      <c r="B1816" s="1" t="s">
        <v>27</v>
      </c>
      <c r="C1816" s="1" t="s">
        <v>10495</v>
      </c>
      <c r="D1816" s="1" t="s">
        <v>3199</v>
      </c>
      <c r="E1816" s="1" t="s">
        <v>10496</v>
      </c>
      <c r="F1816" s="1" t="s">
        <v>96</v>
      </c>
      <c r="G1816" s="1" t="s">
        <v>10485</v>
      </c>
      <c r="H1816" s="1">
        <v>2020.0</v>
      </c>
      <c r="I1816" s="1" t="s">
        <v>32</v>
      </c>
      <c r="J1816" s="1" t="s">
        <v>2566</v>
      </c>
      <c r="K1816" s="1" t="s">
        <v>4992</v>
      </c>
      <c r="L1816" s="1" t="s">
        <v>10497</v>
      </c>
      <c r="M1816" s="2" t="s">
        <v>12</v>
      </c>
      <c r="N1816" s="4">
        <f t="shared" si="1"/>
        <v>44125</v>
      </c>
      <c r="O1816" s="5" t="str">
        <f>IFERROR(__xludf.DUMMYFUNCTION("IF(REGEXMATCH(TRIM(I1816), ""^\d+\s*min""), ""Unclassified"", IF(I1816 = """", ""NR"", I1816))"),"PG-13")</f>
        <v>PG-13</v>
      </c>
      <c r="R1816" s="5" t="str">
        <f t="shared" si="2"/>
        <v>Rebecca</v>
      </c>
      <c r="S1816" s="5" t="str">
        <f>IFERROR(__xludf.DUMMYFUNCTION("""COMPUTED_VALUE"""),"Dare Me")</f>
        <v>Dare Me</v>
      </c>
      <c r="U1816" s="5" t="str">
        <f>IFERROR(__xludf.DUMMYFUNCTION("""COMPUTED_VALUE"""),"Parthiban")</f>
        <v>Parthiban</v>
      </c>
      <c r="V1816" s="5" t="s">
        <v>10498</v>
      </c>
      <c r="W1816" s="5" t="str">
        <f t="shared" si="3"/>
        <v>Jean-François Richet</v>
      </c>
      <c r="X1816" s="5">
        <f t="shared" si="4"/>
        <v>1</v>
      </c>
      <c r="Y1816" s="5" t="str">
        <f>IFERROR(__xludf.DUMMYFUNCTION("REGEXEXTRACT(J1816, ""^\d+"")"),"123")</f>
        <v>123</v>
      </c>
      <c r="Z1816" s="5" t="str">
        <f>IFERROR(__xludf.DUMMYFUNCTION("REGEXEXTRACT(J1816, ""[A-Za-z ]+$"")")," min")</f>
        <v> min</v>
      </c>
      <c r="AA1816" s="5" t="str">
        <f>IFERROR(__xludf.DUMMYFUNCTION("IF(REGEXMATCH(Z1816, ""Season""), ""TV Show"", ""Movie"")"),"Movie")</f>
        <v>Movie</v>
      </c>
    </row>
    <row r="1817">
      <c r="A1817" s="1" t="s">
        <v>10499</v>
      </c>
      <c r="B1817" s="1" t="s">
        <v>27</v>
      </c>
      <c r="C1817" s="1" t="s">
        <v>10500</v>
      </c>
      <c r="D1817" s="1" t="s">
        <v>8750</v>
      </c>
      <c r="E1817" s="1" t="s">
        <v>10501</v>
      </c>
      <c r="F1817" s="1" t="s">
        <v>1106</v>
      </c>
      <c r="G1817" s="1" t="s">
        <v>10502</v>
      </c>
      <c r="H1817" s="1">
        <v>2020.0</v>
      </c>
      <c r="I1817" s="1" t="s">
        <v>206</v>
      </c>
      <c r="J1817" s="1" t="s">
        <v>3060</v>
      </c>
      <c r="K1817" s="1" t="s">
        <v>80</v>
      </c>
      <c r="L1817" s="1" t="s">
        <v>10503</v>
      </c>
      <c r="M1817" s="2" t="s">
        <v>12</v>
      </c>
      <c r="N1817" s="4">
        <f t="shared" si="1"/>
        <v>44124</v>
      </c>
      <c r="O1817" s="5" t="str">
        <f>IFERROR(__xludf.DUMMYFUNCTION("IF(REGEXMATCH(TRIM(I1817), ""^\d+\s*min""), ""Unclassified"", IF(I1817 = """", ""NR"", I1817))"),"TV-Y")</f>
        <v>TV-Y</v>
      </c>
      <c r="R1817" s="5" t="str">
        <f t="shared" si="2"/>
        <v>The Magic School Bus Rides Again The Frizz Connection</v>
      </c>
      <c r="S1817" s="5" t="str">
        <f>IFERROR(__xludf.DUMMYFUNCTION("""COMPUTED_VALUE"""),"Dare To Be Wild")</f>
        <v>Dare To Be Wild</v>
      </c>
      <c r="U1817" s="5" t="str">
        <f>IFERROR(__xludf.DUMMYFUNCTION("""COMPUTED_VALUE"""),"Scott Mcaboy")</f>
        <v>Scott Mcaboy</v>
      </c>
      <c r="V1817" s="5" t="s">
        <v>10504</v>
      </c>
      <c r="W1817" s="5" t="str">
        <f t="shared" si="3"/>
        <v>Jean-Loup Felicioli, Alain Gagnol</v>
      </c>
      <c r="X1817" s="5">
        <f t="shared" si="4"/>
        <v>1</v>
      </c>
      <c r="Y1817" s="5" t="str">
        <f>IFERROR(__xludf.DUMMYFUNCTION("REGEXEXTRACT(J1817, ""^\d+"")"),"46")</f>
        <v>46</v>
      </c>
      <c r="Z1817" s="5" t="str">
        <f>IFERROR(__xludf.DUMMYFUNCTION("REGEXEXTRACT(J1817, ""[A-Za-z ]+$"")")," min")</f>
        <v> min</v>
      </c>
      <c r="AA1817" s="5" t="str">
        <f>IFERROR(__xludf.DUMMYFUNCTION("IF(REGEXMATCH(Z1817, ""Season""), ""TV Show"", ""Movie"")"),"Movie")</f>
        <v>Movie</v>
      </c>
    </row>
    <row r="1818">
      <c r="A1818" s="1" t="s">
        <v>10505</v>
      </c>
      <c r="B1818" s="1" t="s">
        <v>27</v>
      </c>
      <c r="C1818" s="1" t="s">
        <v>10506</v>
      </c>
      <c r="D1818" s="1" t="s">
        <v>4791</v>
      </c>
      <c r="E1818" s="1" t="s">
        <v>10507</v>
      </c>
      <c r="F1818" s="1" t="s">
        <v>30</v>
      </c>
      <c r="G1818" s="1" t="s">
        <v>10502</v>
      </c>
      <c r="H1818" s="1">
        <v>2020.0</v>
      </c>
      <c r="I1818" s="1" t="s">
        <v>32</v>
      </c>
      <c r="J1818" s="1" t="s">
        <v>447</v>
      </c>
      <c r="K1818" s="1" t="s">
        <v>5165</v>
      </c>
      <c r="L1818" s="1" t="s">
        <v>10508</v>
      </c>
      <c r="M1818" s="2" t="s">
        <v>12</v>
      </c>
      <c r="N1818" s="4">
        <f t="shared" si="1"/>
        <v>44124</v>
      </c>
      <c r="O1818" s="5" t="str">
        <f>IFERROR(__xludf.DUMMYFUNCTION("IF(REGEXMATCH(TRIM(I1818), ""^\d+\s*min""), ""Unclassified"", IF(I1818 = """", ""NR"", I1818))"),"PG-13")</f>
        <v>PG-13</v>
      </c>
      <c r="R1818" s="5" t="str">
        <f t="shared" si="2"/>
        <v>Tremors: Shrieker Island</v>
      </c>
      <c r="S1818" s="5" t="str">
        <f>IFERROR(__xludf.DUMMYFUNCTION("""COMPUTED_VALUE"""),"Dark")</f>
        <v>Dark</v>
      </c>
      <c r="U1818" s="5" t="str">
        <f>IFERROR(__xludf.DUMMYFUNCTION("""COMPUTED_VALUE"""),"Raymie Muzquiz, Stu Livingston")</f>
        <v>Raymie Muzquiz, Stu Livingston</v>
      </c>
      <c r="V1818" s="5" t="s">
        <v>10509</v>
      </c>
      <c r="W1818" s="5" t="str">
        <f t="shared" si="3"/>
        <v>Jean-Marc Vallée</v>
      </c>
      <c r="X1818" s="5">
        <f t="shared" si="4"/>
        <v>1</v>
      </c>
      <c r="Y1818" s="5" t="str">
        <f>IFERROR(__xludf.DUMMYFUNCTION("REGEXEXTRACT(J1818, ""^\d+"")"),"102")</f>
        <v>102</v>
      </c>
      <c r="Z1818" s="5" t="str">
        <f>IFERROR(__xludf.DUMMYFUNCTION("REGEXEXTRACT(J1818, ""[A-Za-z ]+$"")")," min")</f>
        <v> min</v>
      </c>
      <c r="AA1818" s="5" t="str">
        <f>IFERROR(__xludf.DUMMYFUNCTION("IF(REGEXMATCH(Z1818, ""Season""), ""TV Show"", ""Movie"")"),"Movie")</f>
        <v>Movie</v>
      </c>
    </row>
    <row r="1819">
      <c r="A1819" s="1" t="s">
        <v>10510</v>
      </c>
      <c r="B1819" s="1" t="s">
        <v>27</v>
      </c>
      <c r="C1819" s="1" t="s">
        <v>10511</v>
      </c>
      <c r="D1819" s="1" t="s">
        <v>10512</v>
      </c>
      <c r="E1819" s="1" t="s">
        <v>10513</v>
      </c>
      <c r="F1819" s="1" t="s">
        <v>3938</v>
      </c>
      <c r="G1819" s="1" t="s">
        <v>10514</v>
      </c>
      <c r="H1819" s="1">
        <v>1975.0</v>
      </c>
      <c r="I1819" s="1" t="s">
        <v>97</v>
      </c>
      <c r="J1819" s="1" t="s">
        <v>256</v>
      </c>
      <c r="K1819" s="1" t="s">
        <v>2012</v>
      </c>
      <c r="L1819" s="1" t="s">
        <v>10515</v>
      </c>
      <c r="M1819" s="2" t="s">
        <v>12</v>
      </c>
      <c r="N1819" s="4">
        <f t="shared" si="1"/>
        <v>44123</v>
      </c>
      <c r="O1819" s="5" t="str">
        <f>IFERROR(__xludf.DUMMYFUNCTION("IF(REGEXMATCH(TRIM(I1819), ""^\d+\s*min""), ""Unclassified"", IF(I1819 = """", ""NR"", I1819))"),"TV-14")</f>
        <v>TV-14</v>
      </c>
      <c r="R1819" s="5" t="str">
        <f t="shared" si="2"/>
        <v>Beirut Oh Beirut</v>
      </c>
      <c r="S1819" s="5" t="str">
        <f>IFERROR(__xludf.DUMMYFUNCTION("""COMPUTED_VALUE"""),"Dark Chocolate (Bengali Version)")</f>
        <v>Dark Chocolate (Bengali Version)</v>
      </c>
      <c r="U1819" s="5" t="str">
        <f>IFERROR(__xludf.DUMMYFUNCTION("""COMPUTED_VALUE"""),"Joe Menendez")</f>
        <v>Joe Menendez</v>
      </c>
      <c r="V1819" s="5" t="s">
        <v>10516</v>
      </c>
      <c r="W1819" s="5" t="str">
        <f t="shared" si="3"/>
        <v>Jean-Patrick Benes</v>
      </c>
      <c r="X1819" s="5">
        <f t="shared" si="4"/>
        <v>1</v>
      </c>
      <c r="Y1819" s="5" t="str">
        <f>IFERROR(__xludf.DUMMYFUNCTION("REGEXEXTRACT(J1819, ""^\d+"")"),"106")</f>
        <v>106</v>
      </c>
      <c r="Z1819" s="5" t="str">
        <f>IFERROR(__xludf.DUMMYFUNCTION("REGEXEXTRACT(J1819, ""[A-Za-z ]+$"")")," min")</f>
        <v> min</v>
      </c>
      <c r="AA1819" s="5" t="str">
        <f>IFERROR(__xludf.DUMMYFUNCTION("IF(REGEXMATCH(Z1819, ""Season""), ""TV Show"", ""Movie"")"),"Movie")</f>
        <v>Movie</v>
      </c>
    </row>
    <row r="1820">
      <c r="A1820" s="1" t="s">
        <v>10517</v>
      </c>
      <c r="B1820" s="1" t="s">
        <v>27</v>
      </c>
      <c r="C1820" s="1" t="s">
        <v>10518</v>
      </c>
      <c r="D1820" s="1" t="s">
        <v>10519</v>
      </c>
      <c r="E1820" s="1" t="s">
        <v>10520</v>
      </c>
      <c r="F1820" s="1" t="s">
        <v>3938</v>
      </c>
      <c r="G1820" s="1" t="s">
        <v>10514</v>
      </c>
      <c r="H1820" s="1">
        <v>2005.0</v>
      </c>
      <c r="I1820" s="1" t="s">
        <v>97</v>
      </c>
      <c r="J1820" s="1" t="s">
        <v>1243</v>
      </c>
      <c r="K1820" s="1" t="s">
        <v>1429</v>
      </c>
      <c r="L1820" s="1" t="s">
        <v>10521</v>
      </c>
      <c r="M1820" s="2" t="s">
        <v>12</v>
      </c>
      <c r="N1820" s="4">
        <f t="shared" si="1"/>
        <v>44123</v>
      </c>
      <c r="O1820" s="5" t="str">
        <f>IFERROR(__xludf.DUMMYFUNCTION("IF(REGEXMATCH(TRIM(I1820), ""^\d+\s*min""), ""Unclassified"", IF(I1820 = """", ""NR"", I1820))"),"TV-14")</f>
        <v>TV-14</v>
      </c>
      <c r="R1820" s="5" t="str">
        <f t="shared" si="2"/>
        <v>Bosta</v>
      </c>
      <c r="S1820" s="5" t="str">
        <f>IFERROR(__xludf.DUMMYFUNCTION("""COMPUTED_VALUE"""),"Dark City Beneath The Beat")</f>
        <v>Dark City Beneath The Beat</v>
      </c>
      <c r="U1820" s="5" t="str">
        <f>IFERROR(__xludf.DUMMYFUNCTION("""COMPUTED_VALUE"""),"Eric Bross")</f>
        <v>Eric Bross</v>
      </c>
      <c r="V1820" s="5" t="s">
        <v>10522</v>
      </c>
      <c r="W1820" s="5" t="str">
        <f t="shared" si="3"/>
        <v>Jean-Pierre Dardenne, Luc Dardenne</v>
      </c>
      <c r="X1820" s="5">
        <f t="shared" si="4"/>
        <v>1</v>
      </c>
      <c r="Y1820" s="5" t="str">
        <f>IFERROR(__xludf.DUMMYFUNCTION("REGEXEXTRACT(J1820, ""^\d+"")"),"112")</f>
        <v>112</v>
      </c>
      <c r="Z1820" s="5" t="str">
        <f>IFERROR(__xludf.DUMMYFUNCTION("REGEXEXTRACT(J1820, ""[A-Za-z ]+$"")")," min")</f>
        <v> min</v>
      </c>
      <c r="AA1820" s="5" t="str">
        <f>IFERROR(__xludf.DUMMYFUNCTION("IF(REGEXMATCH(Z1820, ""Season""), ""TV Show"", ""Movie"")"),"Movie")</f>
        <v>Movie</v>
      </c>
    </row>
    <row r="1821">
      <c r="A1821" s="1" t="s">
        <v>10523</v>
      </c>
      <c r="B1821" s="1" t="s">
        <v>27</v>
      </c>
      <c r="C1821" s="1" t="s">
        <v>10524</v>
      </c>
      <c r="D1821" s="1" t="s">
        <v>1575</v>
      </c>
      <c r="E1821" s="1" t="s">
        <v>10525</v>
      </c>
      <c r="F1821" s="1" t="s">
        <v>3938</v>
      </c>
      <c r="G1821" s="1" t="s">
        <v>10514</v>
      </c>
      <c r="H1821" s="1">
        <v>2013.0</v>
      </c>
      <c r="I1821" s="1" t="s">
        <v>42</v>
      </c>
      <c r="J1821" s="1" t="s">
        <v>1091</v>
      </c>
      <c r="K1821" s="1" t="s">
        <v>583</v>
      </c>
      <c r="L1821" s="1" t="s">
        <v>10526</v>
      </c>
      <c r="M1821" s="2" t="s">
        <v>12</v>
      </c>
      <c r="N1821" s="4">
        <f t="shared" si="1"/>
        <v>44123</v>
      </c>
      <c r="O1821" s="5" t="str">
        <f>IFERROR(__xludf.DUMMYFUNCTION("IF(REGEXMATCH(TRIM(I1821), ""^\d+\s*min""), ""Unclassified"", IF(I1821 = """", ""NR"", I1821))"),"TV-MA")</f>
        <v>TV-MA</v>
      </c>
      <c r="R1821" s="5" t="str">
        <f t="shared" si="2"/>
        <v>Ghadi</v>
      </c>
      <c r="S1821" s="5" t="str">
        <f>IFERROR(__xludf.DUMMYFUNCTION("""COMPUTED_VALUE"""),"Dark Crimes")</f>
        <v>Dark Crimes</v>
      </c>
      <c r="U1821" s="5" t="str">
        <f>IFERROR(__xludf.DUMMYFUNCTION("""COMPUTED_VALUE"""),"Will Eisenberg")</f>
        <v>Will Eisenberg</v>
      </c>
      <c r="V1821" s="5" t="s">
        <v>10527</v>
      </c>
      <c r="W1821" s="5" t="str">
        <f t="shared" si="3"/>
        <v>Jean-Pierre Devillers</v>
      </c>
      <c r="X1821" s="5">
        <f t="shared" si="4"/>
        <v>1</v>
      </c>
      <c r="Y1821" s="5" t="str">
        <f>IFERROR(__xludf.DUMMYFUNCTION("REGEXEXTRACT(J1821, ""^\d+"")"),"101")</f>
        <v>101</v>
      </c>
      <c r="Z1821" s="5" t="str">
        <f>IFERROR(__xludf.DUMMYFUNCTION("REGEXEXTRACT(J1821, ""[A-Za-z ]+$"")")," min")</f>
        <v> min</v>
      </c>
      <c r="AA1821" s="5" t="str">
        <f>IFERROR(__xludf.DUMMYFUNCTION("IF(REGEXMATCH(Z1821, ""Season""), ""TV Show"", ""Movie"")"),"Movie")</f>
        <v>Movie</v>
      </c>
    </row>
    <row r="1822">
      <c r="A1822" s="1" t="s">
        <v>10528</v>
      </c>
      <c r="B1822" s="1" t="s">
        <v>27</v>
      </c>
      <c r="C1822" s="1" t="s">
        <v>10529</v>
      </c>
      <c r="D1822" s="1" t="s">
        <v>10519</v>
      </c>
      <c r="E1822" s="1" t="s">
        <v>10530</v>
      </c>
      <c r="F1822" s="1" t="s">
        <v>10531</v>
      </c>
      <c r="G1822" s="1" t="s">
        <v>10514</v>
      </c>
      <c r="H1822" s="1">
        <v>2014.0</v>
      </c>
      <c r="I1822" s="1" t="s">
        <v>97</v>
      </c>
      <c r="J1822" s="1" t="s">
        <v>322</v>
      </c>
      <c r="K1822" s="1" t="s">
        <v>156</v>
      </c>
      <c r="L1822" s="1" t="s">
        <v>10532</v>
      </c>
      <c r="M1822" s="2" t="s">
        <v>12</v>
      </c>
      <c r="N1822" s="4">
        <f t="shared" si="1"/>
        <v>44123</v>
      </c>
      <c r="O1822" s="5" t="str">
        <f>IFERROR(__xludf.DUMMYFUNCTION("IF(REGEXMATCH(TRIM(I1822), ""^\d+\s*min""), ""Unclassified"", IF(I1822 = """", ""NR"", I1822))"),"TV-14")</f>
        <v>TV-14</v>
      </c>
      <c r="R1822" s="5" t="str">
        <f t="shared" si="2"/>
        <v>Heritages</v>
      </c>
      <c r="S1822" s="5" t="str">
        <f>IFERROR(__xludf.DUMMYFUNCTION("""COMPUTED_VALUE"""),"Dark Desire")</f>
        <v>Dark Desire</v>
      </c>
      <c r="U1822" s="5" t="str">
        <f>IFERROR(__xludf.DUMMYFUNCTION("""COMPUTED_VALUE"""),"Marina Seresesky")</f>
        <v>Marina Seresesky</v>
      </c>
      <c r="V1822" s="5" t="s">
        <v>10533</v>
      </c>
      <c r="W1822" s="5" t="str">
        <f t="shared" si="3"/>
        <v>Jean-Simon Chartier</v>
      </c>
      <c r="X1822" s="5">
        <f t="shared" si="4"/>
        <v>1</v>
      </c>
      <c r="Y1822" s="5" t="str">
        <f>IFERROR(__xludf.DUMMYFUNCTION("REGEXEXTRACT(J1822, ""^\d+"")"),"96")</f>
        <v>96</v>
      </c>
      <c r="Z1822" s="5" t="str">
        <f>IFERROR(__xludf.DUMMYFUNCTION("REGEXEXTRACT(J1822, ""[A-Za-z ]+$"")")," min")</f>
        <v> min</v>
      </c>
      <c r="AA1822" s="5" t="str">
        <f>IFERROR(__xludf.DUMMYFUNCTION("IF(REGEXMATCH(Z1822, ""Season""), ""TV Show"", ""Movie"")"),"Movie")</f>
        <v>Movie</v>
      </c>
    </row>
    <row r="1823">
      <c r="A1823" s="1" t="s">
        <v>10534</v>
      </c>
      <c r="B1823" s="1" t="s">
        <v>27</v>
      </c>
      <c r="C1823" s="1" t="s">
        <v>10535</v>
      </c>
      <c r="D1823" s="1" t="s">
        <v>10519</v>
      </c>
      <c r="E1823" s="1" t="s">
        <v>10536</v>
      </c>
      <c r="F1823" s="1" t="s">
        <v>3938</v>
      </c>
      <c r="G1823" s="1" t="s">
        <v>10514</v>
      </c>
      <c r="H1823" s="1">
        <v>2017.0</v>
      </c>
      <c r="I1823" s="1" t="s">
        <v>42</v>
      </c>
      <c r="J1823" s="1" t="s">
        <v>238</v>
      </c>
      <c r="K1823" s="1" t="s">
        <v>89</v>
      </c>
      <c r="L1823" s="1" t="s">
        <v>10537</v>
      </c>
      <c r="M1823" s="2" t="s">
        <v>12</v>
      </c>
      <c r="N1823" s="4">
        <f t="shared" si="1"/>
        <v>44123</v>
      </c>
      <c r="O1823" s="5" t="str">
        <f>IFERROR(__xludf.DUMMYFUNCTION("IF(REGEXMATCH(TRIM(I1823), ""^\d+\s*min""), ""Unclassified"", IF(I1823 = """", ""NR"", I1823))"),"TV-MA")</f>
        <v>TV-MA</v>
      </c>
      <c r="R1823" s="5" t="str">
        <f t="shared" si="2"/>
        <v>Listen</v>
      </c>
      <c r="S1823" s="5" t="str">
        <f>IFERROR(__xludf.DUMMYFUNCTION("""COMPUTED_VALUE"""),"Dark Forces")</f>
        <v>Dark Forces</v>
      </c>
      <c r="U1823" s="5" t="str">
        <f>IFERROR(__xludf.DUMMYFUNCTION("""COMPUTED_VALUE"""),"Kenny Leon")</f>
        <v>Kenny Leon</v>
      </c>
      <c r="V1823" s="5" t="s">
        <v>10538</v>
      </c>
      <c r="W1823" s="5" t="str">
        <f t="shared" si="3"/>
        <v>Jeannie Gaffigan</v>
      </c>
      <c r="X1823" s="5">
        <f t="shared" si="4"/>
        <v>1</v>
      </c>
      <c r="Y1823" s="5" t="str">
        <f>IFERROR(__xludf.DUMMYFUNCTION("REGEXEXTRACT(J1823, ""^\d+"")"),"103")</f>
        <v>103</v>
      </c>
      <c r="Z1823" s="5" t="str">
        <f>IFERROR(__xludf.DUMMYFUNCTION("REGEXEXTRACT(J1823, ""[A-Za-z ]+$"")")," min")</f>
        <v> min</v>
      </c>
      <c r="AA1823" s="5" t="str">
        <f>IFERROR(__xludf.DUMMYFUNCTION("IF(REGEXMATCH(Z1823, ""Season""), ""TV Show"", ""Movie"")"),"Movie")</f>
        <v>Movie</v>
      </c>
    </row>
    <row r="1824">
      <c r="A1824" s="1" t="s">
        <v>10539</v>
      </c>
      <c r="B1824" s="1" t="s">
        <v>27</v>
      </c>
      <c r="C1824" s="1" t="s">
        <v>10540</v>
      </c>
      <c r="D1824" s="1" t="s">
        <v>10512</v>
      </c>
      <c r="E1824" s="1" t="s">
        <v>10541</v>
      </c>
      <c r="F1824" s="1" t="s">
        <v>10542</v>
      </c>
      <c r="G1824" s="1" t="s">
        <v>10514</v>
      </c>
      <c r="H1824" s="1">
        <v>1991.0</v>
      </c>
      <c r="I1824" s="1" t="s">
        <v>42</v>
      </c>
      <c r="J1824" s="1" t="s">
        <v>170</v>
      </c>
      <c r="K1824" s="1" t="s">
        <v>1767</v>
      </c>
      <c r="L1824" s="1" t="s">
        <v>10543</v>
      </c>
      <c r="M1824" s="2" t="s">
        <v>12</v>
      </c>
      <c r="N1824" s="4">
        <f t="shared" si="1"/>
        <v>44123</v>
      </c>
      <c r="O1824" s="5" t="str">
        <f>IFERROR(__xludf.DUMMYFUNCTION("IF(REGEXMATCH(TRIM(I1824), ""^\d+\s*min""), ""Unclassified"", IF(I1824 = """", ""NR"", I1824))"),"TV-MA")</f>
        <v>TV-MA</v>
      </c>
      <c r="R1824" s="5" t="str">
        <f t="shared" si="2"/>
        <v>Out Of Life</v>
      </c>
      <c r="S1824" s="5" t="str">
        <f>IFERROR(__xludf.DUMMYFUNCTION("""COMPUTED_VALUE"""),"Dark Light")</f>
        <v>Dark Light</v>
      </c>
      <c r="U1824" s="5" t="str">
        <f>IFERROR(__xludf.DUMMYFUNCTION("""COMPUTED_VALUE"""),"Harvey Lowry")</f>
        <v>Harvey Lowry</v>
      </c>
      <c r="V1824" s="5" t="s">
        <v>347</v>
      </c>
      <c r="W1824" s="5" t="str">
        <f t="shared" si="3"/>
        <v>Jeannot Szwarc</v>
      </c>
      <c r="X1824" s="5">
        <f t="shared" si="4"/>
        <v>1</v>
      </c>
      <c r="Y1824" s="5" t="str">
        <f>IFERROR(__xludf.DUMMYFUNCTION("REGEXEXTRACT(J1824, ""^\d+"")"),"94")</f>
        <v>94</v>
      </c>
      <c r="Z1824" s="5" t="str">
        <f>IFERROR(__xludf.DUMMYFUNCTION("REGEXEXTRACT(J1824, ""[A-Za-z ]+$"")")," min")</f>
        <v> min</v>
      </c>
      <c r="AA1824" s="5" t="str">
        <f>IFERROR(__xludf.DUMMYFUNCTION("IF(REGEXMATCH(Z1824, ""Season""), ""TV Show"", ""Movie"")"),"Movie")</f>
        <v>Movie</v>
      </c>
    </row>
    <row r="1825">
      <c r="A1825" s="1" t="s">
        <v>10544</v>
      </c>
      <c r="B1825" s="1" t="s">
        <v>27</v>
      </c>
      <c r="C1825" s="1" t="s">
        <v>10545</v>
      </c>
      <c r="D1825" s="1" t="s">
        <v>10546</v>
      </c>
      <c r="E1825" s="1" t="s">
        <v>10546</v>
      </c>
      <c r="F1825" s="1" t="s">
        <v>3938</v>
      </c>
      <c r="G1825" s="1" t="s">
        <v>10514</v>
      </c>
      <c r="H1825" s="1">
        <v>2017.0</v>
      </c>
      <c r="I1825" s="1" t="s">
        <v>42</v>
      </c>
      <c r="J1825" s="1" t="s">
        <v>1993</v>
      </c>
      <c r="K1825" s="1" t="s">
        <v>156</v>
      </c>
      <c r="L1825" s="1" t="s">
        <v>10547</v>
      </c>
      <c r="M1825" s="2" t="s">
        <v>12</v>
      </c>
      <c r="N1825" s="4">
        <f t="shared" si="1"/>
        <v>44123</v>
      </c>
      <c r="O1825" s="5" t="str">
        <f>IFERROR(__xludf.DUMMYFUNCTION("IF(REGEXMATCH(TRIM(I1825), ""^\d+\s*min""), ""Unclassified"", IF(I1825 = """", ""NR"", I1825))"),"TV-MA")</f>
        <v>TV-MA</v>
      </c>
      <c r="R1825" s="5" t="str">
        <f t="shared" si="2"/>
        <v>Panoptic</v>
      </c>
      <c r="S1825" s="5" t="str">
        <f>IFERROR(__xludf.DUMMYFUNCTION("""COMPUTED_VALUE"""),"Dark Matter")</f>
        <v>Dark Matter</v>
      </c>
      <c r="U1825" s="5" t="str">
        <f>IFERROR(__xludf.DUMMYFUNCTION("""COMPUTED_VALUE"""),"James Dearden")</f>
        <v>James Dearden</v>
      </c>
      <c r="V1825" s="5" t="s">
        <v>10548</v>
      </c>
      <c r="W1825" s="5" t="str">
        <f t="shared" si="3"/>
        <v>Jedd Wider, Todd Wider</v>
      </c>
      <c r="X1825" s="5">
        <f t="shared" si="4"/>
        <v>1</v>
      </c>
      <c r="Y1825" s="5" t="str">
        <f>IFERROR(__xludf.DUMMYFUNCTION("REGEXEXTRACT(J1825, ""^\d+"")"),"69")</f>
        <v>69</v>
      </c>
      <c r="Z1825" s="5" t="str">
        <f>IFERROR(__xludf.DUMMYFUNCTION("REGEXEXTRACT(J1825, ""[A-Za-z ]+$"")")," min")</f>
        <v> min</v>
      </c>
      <c r="AA1825" s="5" t="str">
        <f>IFERROR(__xludf.DUMMYFUNCTION("IF(REGEXMATCH(Z1825, ""Season""), ""TV Show"", ""Movie"")"),"Movie")</f>
        <v>Movie</v>
      </c>
    </row>
    <row r="1826">
      <c r="A1826" s="1" t="s">
        <v>10549</v>
      </c>
      <c r="B1826" s="1" t="s">
        <v>27</v>
      </c>
      <c r="C1826" s="1" t="s">
        <v>10550</v>
      </c>
      <c r="D1826" s="1" t="s">
        <v>5543</v>
      </c>
      <c r="E1826" s="1" t="s">
        <v>10551</v>
      </c>
      <c r="F1826" s="1" t="s">
        <v>10552</v>
      </c>
      <c r="G1826" s="1" t="s">
        <v>10514</v>
      </c>
      <c r="H1826" s="1">
        <v>2012.0</v>
      </c>
      <c r="I1826" s="1" t="s">
        <v>42</v>
      </c>
      <c r="J1826" s="1" t="s">
        <v>2452</v>
      </c>
      <c r="K1826" s="1" t="s">
        <v>128</v>
      </c>
      <c r="L1826" s="1" t="s">
        <v>10553</v>
      </c>
      <c r="M1826" s="2" t="s">
        <v>12</v>
      </c>
      <c r="N1826" s="4">
        <f t="shared" si="1"/>
        <v>44123</v>
      </c>
      <c r="O1826" s="5" t="str">
        <f>IFERROR(__xludf.DUMMYFUNCTION("IF(REGEXMATCH(TRIM(I1826), ""^\d+\s*min""), ""Unclassified"", IF(I1826 = """", ""NR"", I1826))"),"TV-MA")</f>
        <v>TV-MA</v>
      </c>
      <c r="R1826" s="5" t="str">
        <f t="shared" si="2"/>
        <v>Taxi Ballad</v>
      </c>
      <c r="S1826" s="5" t="str">
        <f>IFERROR(__xludf.DUMMYFUNCTION("""COMPUTED_VALUE"""),"Dark Places")</f>
        <v>Dark Places</v>
      </c>
      <c r="U1826" s="5" t="str">
        <f>IFERROR(__xludf.DUMMYFUNCTION("""COMPUTED_VALUE"""),"Drea Cooper, Zackary Canepari")</f>
        <v>Drea Cooper, Zackary Canepari</v>
      </c>
      <c r="V1826" s="5" t="s">
        <v>10554</v>
      </c>
      <c r="W1826" s="5" t="str">
        <f t="shared" si="3"/>
        <v>Jee-Woon Kim</v>
      </c>
      <c r="X1826" s="5">
        <f t="shared" si="4"/>
        <v>1</v>
      </c>
      <c r="Y1826" s="5" t="str">
        <f>IFERROR(__xludf.DUMMYFUNCTION("REGEXEXTRACT(J1826, ""^\d+"")"),"81")</f>
        <v>81</v>
      </c>
      <c r="Z1826" s="5" t="str">
        <f>IFERROR(__xludf.DUMMYFUNCTION("REGEXEXTRACT(J1826, ""[A-Za-z ]+$"")")," min")</f>
        <v> min</v>
      </c>
      <c r="AA1826" s="5" t="str">
        <f>IFERROR(__xludf.DUMMYFUNCTION("IF(REGEXMATCH(Z1826, ""Season""), ""TV Show"", ""Movie"")"),"Movie")</f>
        <v>Movie</v>
      </c>
    </row>
    <row r="1827">
      <c r="A1827" s="1" t="s">
        <v>10555</v>
      </c>
      <c r="B1827" s="1" t="s">
        <v>27</v>
      </c>
      <c r="C1827" s="1" t="s">
        <v>10556</v>
      </c>
      <c r="D1827" s="1" t="s">
        <v>10557</v>
      </c>
      <c r="E1827" s="1" t="s">
        <v>10558</v>
      </c>
      <c r="F1827" s="1" t="s">
        <v>10559</v>
      </c>
      <c r="G1827" s="1" t="s">
        <v>10514</v>
      </c>
      <c r="H1827" s="1">
        <v>2003.0</v>
      </c>
      <c r="I1827" s="1" t="s">
        <v>42</v>
      </c>
      <c r="J1827" s="1" t="s">
        <v>1171</v>
      </c>
      <c r="K1827" s="1" t="s">
        <v>679</v>
      </c>
      <c r="L1827" s="1" t="s">
        <v>10560</v>
      </c>
      <c r="M1827" s="2" t="s">
        <v>12</v>
      </c>
      <c r="N1827" s="4">
        <f t="shared" si="1"/>
        <v>44123</v>
      </c>
      <c r="O1827" s="5" t="str">
        <f>IFERROR(__xludf.DUMMYFUNCTION("IF(REGEXMATCH(TRIM(I1827), ""^\d+\s*min""), ""Unclassified"", IF(I1827 = """", ""NR"", I1827))"),"TV-MA")</f>
        <v>TV-MA</v>
      </c>
      <c r="R1827" s="5" t="str">
        <f t="shared" si="2"/>
        <v>The Kite</v>
      </c>
      <c r="S1827" s="5" t="str">
        <f>IFERROR(__xludf.DUMMYFUNCTION("""COMPUTED_VALUE"""),"Dark Skies")</f>
        <v>Dark Skies</v>
      </c>
      <c r="U1827" s="5" t="str">
        <f>IFERROR(__xludf.DUMMYFUNCTION("""COMPUTED_VALUE"""),"Michael A. Nickles")</f>
        <v>Michael A. Nickles</v>
      </c>
      <c r="V1827" s="5" t="s">
        <v>10561</v>
      </c>
      <c r="W1827" s="5" t="str">
        <f t="shared" si="3"/>
        <v>Jeethu Joseph</v>
      </c>
      <c r="X1827" s="5">
        <f t="shared" si="4"/>
        <v>2</v>
      </c>
      <c r="Y1827" s="5" t="str">
        <f>IFERROR(__xludf.DUMMYFUNCTION("REGEXEXTRACT(J1827, ""^\d+"")"),"76")</f>
        <v>76</v>
      </c>
      <c r="Z1827" s="5" t="str">
        <f>IFERROR(__xludf.DUMMYFUNCTION("REGEXEXTRACT(J1827, ""[A-Za-z ]+$"")")," min")</f>
        <v> min</v>
      </c>
      <c r="AA1827" s="5" t="str">
        <f>IFERROR(__xludf.DUMMYFUNCTION("IF(REGEXMATCH(Z1827, ""Season""), ""TV Show"", ""Movie"")"),"Movie")</f>
        <v>Movie</v>
      </c>
    </row>
    <row r="1828">
      <c r="A1828" s="1" t="s">
        <v>10562</v>
      </c>
      <c r="B1828" s="1" t="s">
        <v>27</v>
      </c>
      <c r="C1828" s="1" t="s">
        <v>10563</v>
      </c>
      <c r="D1828" s="1" t="s">
        <v>10512</v>
      </c>
      <c r="E1828" s="1" t="s">
        <v>10564</v>
      </c>
      <c r="F1828" s="1" t="s">
        <v>10565</v>
      </c>
      <c r="G1828" s="1" t="s">
        <v>10514</v>
      </c>
      <c r="H1828" s="1">
        <v>1982.0</v>
      </c>
      <c r="I1828" s="1" t="s">
        <v>97</v>
      </c>
      <c r="J1828" s="1" t="s">
        <v>912</v>
      </c>
      <c r="K1828" s="1" t="s">
        <v>89</v>
      </c>
      <c r="L1828" s="1" t="s">
        <v>10566</v>
      </c>
      <c r="M1828" s="2" t="s">
        <v>12</v>
      </c>
      <c r="N1828" s="4">
        <f t="shared" si="1"/>
        <v>44123</v>
      </c>
      <c r="O1828" s="5" t="str">
        <f>IFERROR(__xludf.DUMMYFUNCTION("IF(REGEXMATCH(TRIM(I1828), ""^\d+\s*min""), ""Unclassified"", IF(I1828 = """", ""NR"", I1828))"),"TV-14")</f>
        <v>TV-14</v>
      </c>
      <c r="R1828" s="5" t="str">
        <f t="shared" si="2"/>
        <v>The Little Wars</v>
      </c>
      <c r="S1828" s="5" t="str">
        <f>IFERROR(__xludf.DUMMYFUNCTION("""COMPUTED_VALUE"""),"Dark Tourist")</f>
        <v>Dark Tourist</v>
      </c>
      <c r="U1828" s="5" t="str">
        <f>IFERROR(__xludf.DUMMYFUNCTION("""COMPUTED_VALUE"""),"Blayne Weaver")</f>
        <v>Blayne Weaver</v>
      </c>
      <c r="V1828" s="5" t="s">
        <v>10567</v>
      </c>
      <c r="W1828" s="5" t="str">
        <f t="shared" si="3"/>
        <v>Jeeva</v>
      </c>
      <c r="X1828" s="5">
        <f t="shared" si="4"/>
        <v>1</v>
      </c>
      <c r="Y1828" s="5" t="str">
        <f>IFERROR(__xludf.DUMMYFUNCTION("REGEXEXTRACT(J1828, ""^\d+"")"),"108")</f>
        <v>108</v>
      </c>
      <c r="Z1828" s="5" t="str">
        <f>IFERROR(__xludf.DUMMYFUNCTION("REGEXEXTRACT(J1828, ""[A-Za-z ]+$"")")," min")</f>
        <v> min</v>
      </c>
      <c r="AA1828" s="5" t="str">
        <f>IFERROR(__xludf.DUMMYFUNCTION("IF(REGEXMATCH(Z1828, ""Season""), ""TV Show"", ""Movie"")"),"Movie")</f>
        <v>Movie</v>
      </c>
    </row>
    <row r="1829">
      <c r="A1829" s="1" t="s">
        <v>10568</v>
      </c>
      <c r="B1829" s="1" t="s">
        <v>27</v>
      </c>
      <c r="C1829" s="1" t="s">
        <v>10569</v>
      </c>
      <c r="D1829" s="1" t="s">
        <v>10519</v>
      </c>
      <c r="E1829" s="1" t="s">
        <v>10570</v>
      </c>
      <c r="F1829" s="1" t="s">
        <v>10571</v>
      </c>
      <c r="G1829" s="1" t="s">
        <v>10514</v>
      </c>
      <c r="H1829" s="1">
        <v>2007.0</v>
      </c>
      <c r="I1829" s="1" t="s">
        <v>42</v>
      </c>
      <c r="J1829" s="1" t="s">
        <v>170</v>
      </c>
      <c r="K1829" s="1" t="s">
        <v>89</v>
      </c>
      <c r="L1829" s="1" t="s">
        <v>10572</v>
      </c>
      <c r="M1829" s="2" t="s">
        <v>12</v>
      </c>
      <c r="N1829" s="4">
        <f t="shared" si="1"/>
        <v>44123</v>
      </c>
      <c r="O1829" s="5" t="str">
        <f>IFERROR(__xludf.DUMMYFUNCTION("IF(REGEXMATCH(TRIM(I1829), ""^\d+\s*min""), ""Unclassified"", IF(I1829 = """", ""NR"", I1829))"),"TV-MA")</f>
        <v>TV-MA</v>
      </c>
      <c r="R1829" s="5" t="str">
        <f t="shared" si="2"/>
        <v>Under The Bombs</v>
      </c>
      <c r="S1829" s="5" t="str">
        <f>IFERROR(__xludf.DUMMYFUNCTION("""COMPUTED_VALUE"""),"Dark Waters")</f>
        <v>Dark Waters</v>
      </c>
      <c r="U1829" s="5" t="str">
        <f>IFERROR(__xludf.DUMMYFUNCTION("""COMPUTED_VALUE"""),"David Michôd")</f>
        <v>David Michôd</v>
      </c>
      <c r="V1829" s="5" t="s">
        <v>7541</v>
      </c>
      <c r="W1829" s="5" t="str">
        <f t="shared" si="3"/>
        <v>Jeferson De</v>
      </c>
      <c r="X1829" s="5">
        <f t="shared" si="4"/>
        <v>1</v>
      </c>
      <c r="Y1829" s="5" t="str">
        <f>IFERROR(__xludf.DUMMYFUNCTION("REGEXEXTRACT(J1829, ""^\d+"")"),"94")</f>
        <v>94</v>
      </c>
      <c r="Z1829" s="5" t="str">
        <f>IFERROR(__xludf.DUMMYFUNCTION("REGEXEXTRACT(J1829, ""[A-Za-z ]+$"")")," min")</f>
        <v> min</v>
      </c>
      <c r="AA1829" s="5" t="str">
        <f>IFERROR(__xludf.DUMMYFUNCTION("IF(REGEXMATCH(Z1829, ""Season""), ""TV Show"", ""Movie"")"),"Movie")</f>
        <v>Movie</v>
      </c>
    </row>
    <row r="1830">
      <c r="A1830" s="1" t="s">
        <v>10573</v>
      </c>
      <c r="B1830" s="1" t="s">
        <v>37</v>
      </c>
      <c r="C1830" s="1" t="s">
        <v>10574</v>
      </c>
      <c r="G1830" s="1" t="s">
        <v>10514</v>
      </c>
      <c r="H1830" s="1">
        <v>2020.0</v>
      </c>
      <c r="I1830" s="1" t="s">
        <v>42</v>
      </c>
      <c r="J1830" s="1" t="s">
        <v>43</v>
      </c>
      <c r="K1830" s="1" t="s">
        <v>2043</v>
      </c>
      <c r="L1830" s="1" t="s">
        <v>10575</v>
      </c>
      <c r="M1830" s="2" t="s">
        <v>12</v>
      </c>
      <c r="N1830" s="4">
        <f t="shared" si="1"/>
        <v>44123</v>
      </c>
      <c r="O1830" s="5" t="str">
        <f>IFERROR(__xludf.DUMMYFUNCTION("IF(REGEXMATCH(TRIM(I1830), ""^\d+\s*min""), ""Unclassified"", IF(I1830 = """", ""NR"", I1830))"),"TV-MA")</f>
        <v>TV-MA</v>
      </c>
      <c r="R1830" s="5" t="str">
        <f t="shared" si="2"/>
        <v>Unsolved Mysteries</v>
      </c>
      <c r="S1830" s="5" t="str">
        <f>IFERROR(__xludf.DUMMYFUNCTION("""COMPUTED_VALUE"""),"Darna Mana Hai")</f>
        <v>Darna Mana Hai</v>
      </c>
      <c r="U1830" s="5" t="str">
        <f>IFERROR(__xludf.DUMMYFUNCTION("""COMPUTED_VALUE"""),"Marco Bonfanti")</f>
        <v>Marco Bonfanti</v>
      </c>
      <c r="V1830" s="5" t="s">
        <v>10576</v>
      </c>
      <c r="W1830" s="5" t="str">
        <f t="shared" si="3"/>
        <v>Jeff Baena</v>
      </c>
      <c r="X1830" s="5">
        <f t="shared" si="4"/>
        <v>3</v>
      </c>
      <c r="Y1830" s="5" t="str">
        <f>IFERROR(__xludf.DUMMYFUNCTION("REGEXEXTRACT(J1830, ""^\d+"")"),"2")</f>
        <v>2</v>
      </c>
      <c r="Z1830" s="5" t="str">
        <f>IFERROR(__xludf.DUMMYFUNCTION("REGEXEXTRACT(J1830, ""[A-Za-z ]+$"")")," Seasons")</f>
        <v> Seasons</v>
      </c>
      <c r="AA1830" s="5" t="str">
        <f>IFERROR(__xludf.DUMMYFUNCTION("IF(REGEXMATCH(Z1830, ""Season""), ""TV Show"", ""Movie"")"),"TV Show")</f>
        <v>TV Show</v>
      </c>
    </row>
    <row r="1831">
      <c r="A1831" s="1" t="s">
        <v>10577</v>
      </c>
      <c r="B1831" s="1" t="s">
        <v>27</v>
      </c>
      <c r="C1831" s="1" t="s">
        <v>10578</v>
      </c>
      <c r="D1831" s="1" t="s">
        <v>10579</v>
      </c>
      <c r="E1831" s="1" t="s">
        <v>10580</v>
      </c>
      <c r="F1831" s="1" t="s">
        <v>10581</v>
      </c>
      <c r="G1831" s="1" t="s">
        <v>10514</v>
      </c>
      <c r="H1831" s="1">
        <v>1999.0</v>
      </c>
      <c r="I1831" s="1" t="s">
        <v>42</v>
      </c>
      <c r="J1831" s="1" t="s">
        <v>256</v>
      </c>
      <c r="K1831" s="1" t="s">
        <v>128</v>
      </c>
      <c r="L1831" s="1" t="s">
        <v>10582</v>
      </c>
      <c r="M1831" s="2" t="s">
        <v>12</v>
      </c>
      <c r="N1831" s="4">
        <f t="shared" si="1"/>
        <v>44123</v>
      </c>
      <c r="O1831" s="5" t="str">
        <f>IFERROR(__xludf.DUMMYFUNCTION("IF(REGEXMATCH(TRIM(I1831), ""^\d+\s*min""), ""Unclassified"", IF(I1831 = """", ""NR"", I1831))"),"TV-MA")</f>
        <v>TV-MA</v>
      </c>
      <c r="R1831" s="5" t="str">
        <f t="shared" si="2"/>
        <v>West Beirut</v>
      </c>
      <c r="S1831" s="5" t="str">
        <f>IFERROR(__xludf.DUMMYFUNCTION("""COMPUTED_VALUE"""),"Darr Sabko Lagta Hai")</f>
        <v>Darr Sabko Lagta Hai</v>
      </c>
      <c r="U1831" s="5" t="str">
        <f>IFERROR(__xludf.DUMMYFUNCTION("""COMPUTED_VALUE"""),"Everardo González")</f>
        <v>Everardo González</v>
      </c>
      <c r="V1831" s="5" t="s">
        <v>10583</v>
      </c>
      <c r="W1831" s="5" t="str">
        <f t="shared" si="3"/>
        <v>Jeff Chan</v>
      </c>
      <c r="X1831" s="5">
        <f t="shared" si="4"/>
        <v>1</v>
      </c>
      <c r="Y1831" s="5" t="str">
        <f>IFERROR(__xludf.DUMMYFUNCTION("REGEXEXTRACT(J1831, ""^\d+"")"),"106")</f>
        <v>106</v>
      </c>
      <c r="Z1831" s="5" t="str">
        <f>IFERROR(__xludf.DUMMYFUNCTION("REGEXEXTRACT(J1831, ""[A-Za-z ]+$"")")," min")</f>
        <v> min</v>
      </c>
      <c r="AA1831" s="5" t="str">
        <f>IFERROR(__xludf.DUMMYFUNCTION("IF(REGEXMATCH(Z1831, ""Season""), ""TV Show"", ""Movie"")"),"Movie")</f>
        <v>Movie</v>
      </c>
    </row>
    <row r="1832">
      <c r="A1832" s="1" t="s">
        <v>10584</v>
      </c>
      <c r="B1832" s="1" t="s">
        <v>27</v>
      </c>
      <c r="C1832" s="1" t="s">
        <v>10585</v>
      </c>
      <c r="D1832" s="1" t="s">
        <v>10586</v>
      </c>
      <c r="E1832" s="1" t="s">
        <v>10587</v>
      </c>
      <c r="F1832" s="1" t="s">
        <v>3938</v>
      </c>
      <c r="G1832" s="1" t="s">
        <v>10514</v>
      </c>
      <c r="H1832" s="1">
        <v>2018.0</v>
      </c>
      <c r="I1832" s="1" t="s">
        <v>97</v>
      </c>
      <c r="J1832" s="1" t="s">
        <v>357</v>
      </c>
      <c r="K1832" s="1" t="s">
        <v>215</v>
      </c>
      <c r="L1832" s="1" t="s">
        <v>10588</v>
      </c>
      <c r="M1832" s="2" t="s">
        <v>12</v>
      </c>
      <c r="N1832" s="4">
        <f t="shared" si="1"/>
        <v>44123</v>
      </c>
      <c r="O1832" s="5" t="str">
        <f>IFERROR(__xludf.DUMMYFUNCTION("IF(REGEXMATCH(TRIM(I1832), ""^\d+\s*min""), ""Unclassified"", IF(I1832 = """", ""NR"", I1832))"),"TV-14")</f>
        <v>TV-14</v>
      </c>
      <c r="R1832" s="5" t="str">
        <f t="shared" si="2"/>
        <v>What Did I Mess</v>
      </c>
      <c r="S1832" s="5" t="str">
        <f>IFERROR(__xludf.DUMMYFUNCTION("""COMPUTED_VALUE"""),"Darra")</f>
        <v>Darra</v>
      </c>
      <c r="U1832" s="5" t="str">
        <f>IFERROR(__xludf.DUMMYFUNCTION("""COMPUTED_VALUE"""),"Rodrigo Guardiola, Gabriel Cruz Rivas")</f>
        <v>Rodrigo Guardiola, Gabriel Cruz Rivas</v>
      </c>
      <c r="V1832" s="5" t="s">
        <v>8531</v>
      </c>
      <c r="W1832" s="5" t="str">
        <f t="shared" si="3"/>
        <v>Jeff Deverett</v>
      </c>
      <c r="X1832" s="5">
        <f t="shared" si="4"/>
        <v>1</v>
      </c>
      <c r="Y1832" s="5" t="str">
        <f>IFERROR(__xludf.DUMMYFUNCTION("REGEXEXTRACT(J1832, ""^\d+"")"),"98")</f>
        <v>98</v>
      </c>
      <c r="Z1832" s="5" t="str">
        <f>IFERROR(__xludf.DUMMYFUNCTION("REGEXEXTRACT(J1832, ""[A-Za-z ]+$"")")," min")</f>
        <v> min</v>
      </c>
      <c r="AA1832" s="5" t="str">
        <f>IFERROR(__xludf.DUMMYFUNCTION("IF(REGEXMATCH(Z1832, ""Season""), ""TV Show"", ""Movie"")"),"Movie")</f>
        <v>Movie</v>
      </c>
    </row>
    <row r="1833">
      <c r="A1833" s="1" t="s">
        <v>10589</v>
      </c>
      <c r="B1833" s="1" t="s">
        <v>27</v>
      </c>
      <c r="C1833" s="1" t="s">
        <v>10590</v>
      </c>
      <c r="D1833" s="1" t="s">
        <v>10512</v>
      </c>
      <c r="E1833" s="1" t="s">
        <v>10591</v>
      </c>
      <c r="F1833" s="1" t="s">
        <v>9982</v>
      </c>
      <c r="G1833" s="1" t="s">
        <v>10514</v>
      </c>
      <c r="H1833" s="1">
        <v>1980.0</v>
      </c>
      <c r="I1833" s="1" t="s">
        <v>97</v>
      </c>
      <c r="J1833" s="1" t="s">
        <v>454</v>
      </c>
      <c r="K1833" s="1" t="s">
        <v>156</v>
      </c>
      <c r="L1833" s="1" t="s">
        <v>10592</v>
      </c>
      <c r="M1833" s="2" t="s">
        <v>12</v>
      </c>
      <c r="N1833" s="4">
        <f t="shared" si="1"/>
        <v>44123</v>
      </c>
      <c r="O1833" s="5" t="str">
        <f>IFERROR(__xludf.DUMMYFUNCTION("IF(REGEXMATCH(TRIM(I1833), ""^\d+\s*min""), ""Unclassified"", IF(I1833 = """", ""NR"", I1833))"),"TV-14")</f>
        <v>TV-14</v>
      </c>
      <c r="R1833" s="5" t="str">
        <f t="shared" si="2"/>
        <v>Whispers</v>
      </c>
      <c r="S1833" s="5" t="str">
        <f>IFERROR(__xludf.DUMMYFUNCTION("""COMPUTED_VALUE"""),"Darwin’S Game")</f>
        <v>Darwin’S Game</v>
      </c>
      <c r="U1833" s="5" t="str">
        <f>IFERROR(__xludf.DUMMYFUNCTION("""COMPUTED_VALUE"""),"Juani Libonatti")</f>
        <v>Juani Libonatti</v>
      </c>
      <c r="V1833" s="5" t="s">
        <v>10593</v>
      </c>
      <c r="W1833" s="5" t="str">
        <f t="shared" si="3"/>
        <v>Jeff Garlin</v>
      </c>
      <c r="X1833" s="5">
        <f t="shared" si="4"/>
        <v>1</v>
      </c>
      <c r="Y1833" s="5" t="str">
        <f>IFERROR(__xludf.DUMMYFUNCTION("REGEXEXTRACT(J1833, ""^\d+"")"),"93")</f>
        <v>93</v>
      </c>
      <c r="Z1833" s="5" t="str">
        <f>IFERROR(__xludf.DUMMYFUNCTION("REGEXEXTRACT(J1833, ""[A-Za-z ]+$"")")," min")</f>
        <v> min</v>
      </c>
      <c r="AA1833" s="5" t="str">
        <f>IFERROR(__xludf.DUMMYFUNCTION("IF(REGEXMATCH(Z1833, ""Season""), ""TV Show"", ""Movie"")"),"Movie")</f>
        <v>Movie</v>
      </c>
    </row>
    <row r="1834">
      <c r="A1834" s="1" t="s">
        <v>10594</v>
      </c>
      <c r="B1834" s="1" t="s">
        <v>27</v>
      </c>
      <c r="C1834" s="1" t="s">
        <v>10595</v>
      </c>
      <c r="D1834" s="1" t="s">
        <v>10596</v>
      </c>
      <c r="E1834" s="1" t="s">
        <v>10597</v>
      </c>
      <c r="F1834" s="1" t="s">
        <v>10598</v>
      </c>
      <c r="G1834" s="1" t="s">
        <v>10514</v>
      </c>
      <c r="H1834" s="1">
        <v>2005.0</v>
      </c>
      <c r="I1834" s="1" t="s">
        <v>42</v>
      </c>
      <c r="J1834" s="1" t="s">
        <v>416</v>
      </c>
      <c r="K1834" s="1" t="s">
        <v>128</v>
      </c>
      <c r="L1834" s="1" t="s">
        <v>10599</v>
      </c>
      <c r="M1834" s="2" t="s">
        <v>12</v>
      </c>
      <c r="N1834" s="4">
        <f t="shared" si="1"/>
        <v>44123</v>
      </c>
      <c r="O1834" s="5" t="str">
        <f>IFERROR(__xludf.DUMMYFUNCTION("IF(REGEXMATCH(TRIM(I1834), ""^\d+\s*min""), ""Unclassified"", IF(I1834 = """", ""NR"", I1834))"),"TV-MA")</f>
        <v>TV-MA</v>
      </c>
      <c r="R1834" s="5" t="str">
        <f t="shared" si="2"/>
        <v>Zozo</v>
      </c>
      <c r="S1834" s="5" t="str">
        <f>IFERROR(__xludf.DUMMYFUNCTION("""COMPUTED_VALUE"""),"Dash &amp; Lily")</f>
        <v>Dash &amp; Lily</v>
      </c>
      <c r="U1834" s="5" t="str">
        <f>IFERROR(__xludf.DUMMYFUNCTION("""COMPUTED_VALUE"""),"Dj Chen")</f>
        <v>Dj Chen</v>
      </c>
      <c r="V1834" s="5" t="s">
        <v>10600</v>
      </c>
      <c r="W1834" s="5" t="str">
        <f t="shared" si="3"/>
        <v>Jeff Margolis</v>
      </c>
      <c r="X1834" s="5">
        <f t="shared" si="4"/>
        <v>1</v>
      </c>
      <c r="Y1834" s="5" t="str">
        <f>IFERROR(__xludf.DUMMYFUNCTION("REGEXEXTRACT(J1834, ""^\d+"")"),"99")</f>
        <v>99</v>
      </c>
      <c r="Z1834" s="5" t="str">
        <f>IFERROR(__xludf.DUMMYFUNCTION("REGEXEXTRACT(J1834, ""[A-Za-z ]+$"")")," min")</f>
        <v> min</v>
      </c>
      <c r="AA1834" s="5" t="str">
        <f>IFERROR(__xludf.DUMMYFUNCTION("IF(REGEXMATCH(Z1834, ""Season""), ""TV Show"", ""Movie"")"),"Movie")</f>
        <v>Movie</v>
      </c>
    </row>
    <row r="1835">
      <c r="A1835" s="1" t="s">
        <v>10601</v>
      </c>
      <c r="B1835" s="1" t="s">
        <v>27</v>
      </c>
      <c r="C1835" s="1" t="s">
        <v>10602</v>
      </c>
      <c r="D1835" s="1" t="s">
        <v>10603</v>
      </c>
      <c r="E1835" s="1" t="s">
        <v>10604</v>
      </c>
      <c r="F1835" s="1" t="s">
        <v>30</v>
      </c>
      <c r="G1835" s="1" t="s">
        <v>10605</v>
      </c>
      <c r="H1835" s="1">
        <v>2012.0</v>
      </c>
      <c r="I1835" s="1" t="s">
        <v>78</v>
      </c>
      <c r="J1835" s="1" t="s">
        <v>454</v>
      </c>
      <c r="K1835" s="1" t="s">
        <v>137</v>
      </c>
      <c r="L1835" s="1" t="s">
        <v>10606</v>
      </c>
      <c r="M1835" s="2" t="s">
        <v>12</v>
      </c>
      <c r="N1835" s="4">
        <f t="shared" si="1"/>
        <v>44122</v>
      </c>
      <c r="O1835" s="5" t="str">
        <f>IFERROR(__xludf.DUMMYFUNCTION("IF(REGEXMATCH(TRIM(I1835), ""^\d+\s*min""), ""Unclassified"", IF(I1835 = """", ""NR"", I1835))"),"PG")</f>
        <v>PG</v>
      </c>
      <c r="R1835" s="5" t="str">
        <f t="shared" si="2"/>
        <v>Paranorman</v>
      </c>
      <c r="S1835" s="5" t="str">
        <f>IFERROR(__xludf.DUMMYFUNCTION("""COMPUTED_VALUE"""),"Dating Around")</f>
        <v>Dating Around</v>
      </c>
      <c r="U1835" s="5" t="str">
        <f>IFERROR(__xludf.DUMMYFUNCTION("""COMPUTED_VALUE"""),"Park Joon-Hwa")</f>
        <v>Park Joon-Hwa</v>
      </c>
      <c r="V1835" s="5" t="s">
        <v>9820</v>
      </c>
      <c r="W1835" s="5" t="str">
        <f t="shared" si="3"/>
        <v>Jeff Nichols</v>
      </c>
      <c r="X1835" s="5">
        <f t="shared" si="4"/>
        <v>3</v>
      </c>
      <c r="Y1835" s="5" t="str">
        <f>IFERROR(__xludf.DUMMYFUNCTION("REGEXEXTRACT(J1835, ""^\d+"")"),"93")</f>
        <v>93</v>
      </c>
      <c r="Z1835" s="5" t="str">
        <f>IFERROR(__xludf.DUMMYFUNCTION("REGEXEXTRACT(J1835, ""[A-Za-z ]+$"")")," min")</f>
        <v> min</v>
      </c>
      <c r="AA1835" s="5" t="str">
        <f>IFERROR(__xludf.DUMMYFUNCTION("IF(REGEXMATCH(Z1835, ""Season""), ""TV Show"", ""Movie"")"),"Movie")</f>
        <v>Movie</v>
      </c>
    </row>
    <row r="1836">
      <c r="A1836" s="1" t="s">
        <v>10607</v>
      </c>
      <c r="B1836" s="1" t="s">
        <v>37</v>
      </c>
      <c r="C1836" s="1" t="s">
        <v>10608</v>
      </c>
      <c r="E1836" s="1" t="s">
        <v>10609</v>
      </c>
      <c r="F1836" s="1" t="s">
        <v>749</v>
      </c>
      <c r="G1836" s="1" t="s">
        <v>10605</v>
      </c>
      <c r="H1836" s="1">
        <v>2020.0</v>
      </c>
      <c r="I1836" s="1" t="s">
        <v>97</v>
      </c>
      <c r="J1836" s="1" t="s">
        <v>51</v>
      </c>
      <c r="K1836" s="1" t="s">
        <v>64</v>
      </c>
      <c r="L1836" s="1" t="s">
        <v>10610</v>
      </c>
      <c r="M1836" s="2" t="s">
        <v>12</v>
      </c>
      <c r="N1836" s="4">
        <f t="shared" si="1"/>
        <v>44122</v>
      </c>
      <c r="O1836" s="5" t="str">
        <f>IFERROR(__xludf.DUMMYFUNCTION("IF(REGEXMATCH(TRIM(I1836), ""^\d+\s*min""), ""Unclassified"", IF(I1836 = """", ""NR"", I1836))"),"TV-14")</f>
        <v>TV-14</v>
      </c>
      <c r="R1836" s="5" t="str">
        <f t="shared" si="2"/>
        <v>Start-Up</v>
      </c>
      <c r="S1836" s="5" t="str">
        <f>IFERROR(__xludf.DUMMYFUNCTION("""COMPUTED_VALUE"""),"Dating Around: Brazil")</f>
        <v>Dating Around: Brazil</v>
      </c>
      <c r="U1836" s="5" t="str">
        <f>IFERROR(__xludf.DUMMYFUNCTION("""COMPUTED_VALUE"""),"Saravana Rajendran")</f>
        <v>Saravana Rajendran</v>
      </c>
      <c r="V1836" s="5" t="s">
        <v>10611</v>
      </c>
      <c r="W1836" s="5" t="str">
        <f t="shared" si="3"/>
        <v>Jeff Orlowski</v>
      </c>
      <c r="X1836" s="5">
        <f t="shared" si="4"/>
        <v>2</v>
      </c>
      <c r="Y1836" s="5" t="str">
        <f>IFERROR(__xludf.DUMMYFUNCTION("REGEXEXTRACT(J1836, ""^\d+"")"),"1")</f>
        <v>1</v>
      </c>
      <c r="Z1836" s="5" t="str">
        <f>IFERROR(__xludf.DUMMYFUNCTION("REGEXEXTRACT(J1836, ""[A-Za-z ]+$"")")," Season")</f>
        <v> Season</v>
      </c>
      <c r="AA1836" s="5" t="str">
        <f>IFERROR(__xludf.DUMMYFUNCTION("IF(REGEXMATCH(Z1836, ""Season""), ""TV Show"", ""Movie"")"),"TV Show")</f>
        <v>TV Show</v>
      </c>
    </row>
    <row r="1837">
      <c r="A1837" s="1" t="s">
        <v>10612</v>
      </c>
      <c r="B1837" s="1" t="s">
        <v>27</v>
      </c>
      <c r="C1837" s="1" t="s">
        <v>10613</v>
      </c>
      <c r="D1837" s="1" t="s">
        <v>10614</v>
      </c>
      <c r="E1837" s="1" t="s">
        <v>10615</v>
      </c>
      <c r="F1837" s="1" t="s">
        <v>96</v>
      </c>
      <c r="G1837" s="1" t="s">
        <v>10616</v>
      </c>
      <c r="H1837" s="1">
        <v>2020.0</v>
      </c>
      <c r="I1837" s="1" t="s">
        <v>378</v>
      </c>
      <c r="J1837" s="1" t="s">
        <v>1001</v>
      </c>
      <c r="K1837" s="1" t="s">
        <v>380</v>
      </c>
      <c r="L1837" s="1" t="s">
        <v>10617</v>
      </c>
      <c r="M1837" s="2" t="s">
        <v>12</v>
      </c>
      <c r="N1837" s="4">
        <f t="shared" si="1"/>
        <v>44121</v>
      </c>
      <c r="O1837" s="5" t="str">
        <f>IFERROR(__xludf.DUMMYFUNCTION("IF(REGEXMATCH(TRIM(I1837), ""^\d+\s*min""), ""Unclassified"", IF(I1837 = """", ""NR"", I1837))"),"R")</f>
        <v>R</v>
      </c>
      <c r="R1837" s="5" t="str">
        <f t="shared" si="2"/>
        <v>I Am Vengeance: Retaliation</v>
      </c>
      <c r="S1837" s="5" t="str">
        <f>IFERROR(__xludf.DUMMYFUNCTION("""COMPUTED_VALUE"""),"Daughter From Another Mother")</f>
        <v>Daughter From Another Mother</v>
      </c>
      <c r="U1837" s="5" t="str">
        <f>IFERROR(__xludf.DUMMYFUNCTION("""COMPUTED_VALUE"""),"Matt Kay")</f>
        <v>Matt Kay</v>
      </c>
      <c r="V1837" s="5" t="s">
        <v>8547</v>
      </c>
      <c r="W1837" s="5" t="str">
        <f t="shared" si="3"/>
        <v>Jeff Stilson</v>
      </c>
      <c r="X1837" s="5">
        <f t="shared" si="4"/>
        <v>1</v>
      </c>
      <c r="Y1837" s="5" t="str">
        <f>IFERROR(__xludf.DUMMYFUNCTION("REGEXEXTRACT(J1837, ""^\d+"")"),"82")</f>
        <v>82</v>
      </c>
      <c r="Z1837" s="5" t="str">
        <f>IFERROR(__xludf.DUMMYFUNCTION("REGEXEXTRACT(J1837, ""[A-Za-z ]+$"")")," min")</f>
        <v> min</v>
      </c>
      <c r="AA1837" s="5" t="str">
        <f>IFERROR(__xludf.DUMMYFUNCTION("IF(REGEXMATCH(Z1837, ""Season""), ""TV Show"", ""Movie"")"),"Movie")</f>
        <v>Movie</v>
      </c>
    </row>
    <row r="1838">
      <c r="A1838" s="1" t="s">
        <v>10618</v>
      </c>
      <c r="B1838" s="1" t="s">
        <v>27</v>
      </c>
      <c r="C1838" s="1" t="s">
        <v>10619</v>
      </c>
      <c r="D1838" s="1" t="s">
        <v>5790</v>
      </c>
      <c r="E1838" s="1" t="s">
        <v>10620</v>
      </c>
      <c r="F1838" s="1" t="s">
        <v>7158</v>
      </c>
      <c r="G1838" s="1" t="s">
        <v>10621</v>
      </c>
      <c r="H1838" s="1">
        <v>2018.0</v>
      </c>
      <c r="I1838" s="1" t="s">
        <v>42</v>
      </c>
      <c r="J1838" s="1" t="s">
        <v>1256</v>
      </c>
      <c r="K1838" s="1" t="s">
        <v>215</v>
      </c>
      <c r="L1838" s="1" t="s">
        <v>10622</v>
      </c>
      <c r="M1838" s="2" t="s">
        <v>12</v>
      </c>
      <c r="N1838" s="4">
        <f t="shared" si="1"/>
        <v>44120</v>
      </c>
      <c r="O1838" s="5" t="str">
        <f>IFERROR(__xludf.DUMMYFUNCTION("IF(REGEXMATCH(TRIM(I1838), ""^\d+\s*min""), ""Unclassified"", IF(I1838 = """", ""NR"", I1838))"),"TV-MA")</f>
        <v>TV-MA</v>
      </c>
      <c r="R1838" s="5" t="str">
        <f t="shared" si="2"/>
        <v>Disconnect</v>
      </c>
      <c r="S1838" s="5" t="str">
        <f>IFERROR(__xludf.DUMMYFUNCTION("""COMPUTED_VALUE"""),"Daughters Of Destiny")</f>
        <v>Daughters Of Destiny</v>
      </c>
      <c r="U1838" s="5" t="str">
        <f>IFERROR(__xludf.DUMMYFUNCTION("""COMPUTED_VALUE"""),"Craig Brewer")</f>
        <v>Craig Brewer</v>
      </c>
      <c r="V1838" s="5" t="s">
        <v>10623</v>
      </c>
      <c r="W1838" s="5" t="str">
        <f t="shared" si="3"/>
        <v>Jeff Tomsic</v>
      </c>
      <c r="X1838" s="5">
        <f t="shared" si="4"/>
        <v>1</v>
      </c>
      <c r="Y1838" s="5" t="str">
        <f>IFERROR(__xludf.DUMMYFUNCTION("REGEXEXTRACT(J1838, ""^\d+"")"),"107")</f>
        <v>107</v>
      </c>
      <c r="Z1838" s="5" t="str">
        <f>IFERROR(__xludf.DUMMYFUNCTION("REGEXEXTRACT(J1838, ""[A-Za-z ]+$"")")," min")</f>
        <v> min</v>
      </c>
      <c r="AA1838" s="5" t="str">
        <f>IFERROR(__xludf.DUMMYFUNCTION("IF(REGEXMATCH(Z1838, ""Season""), ""TV Show"", ""Movie"")"),"Movie")</f>
        <v>Movie</v>
      </c>
    </row>
    <row r="1839">
      <c r="A1839" s="1" t="s">
        <v>10624</v>
      </c>
      <c r="B1839" s="1" t="s">
        <v>37</v>
      </c>
      <c r="C1839" s="1" t="s">
        <v>10625</v>
      </c>
      <c r="E1839" s="1" t="s">
        <v>10626</v>
      </c>
      <c r="F1839" s="1" t="s">
        <v>30</v>
      </c>
      <c r="G1839" s="1" t="s">
        <v>10621</v>
      </c>
      <c r="H1839" s="1">
        <v>2020.0</v>
      </c>
      <c r="I1839" s="1" t="s">
        <v>42</v>
      </c>
      <c r="J1839" s="1" t="s">
        <v>51</v>
      </c>
      <c r="K1839" s="1" t="s">
        <v>2192</v>
      </c>
      <c r="L1839" s="1" t="s">
        <v>10627</v>
      </c>
      <c r="M1839" s="2" t="s">
        <v>12</v>
      </c>
      <c r="N1839" s="4">
        <f t="shared" si="1"/>
        <v>44120</v>
      </c>
      <c r="O1839" s="5" t="str">
        <f>IFERROR(__xludf.DUMMYFUNCTION("IF(REGEXMATCH(TRIM(I1839), ""^\d+\s*min""), ""Unclassified"", IF(I1839 = """", ""NR"", I1839))"),"TV-MA")</f>
        <v>TV-MA</v>
      </c>
      <c r="R1839" s="5" t="str">
        <f t="shared" si="2"/>
        <v>Grand Army</v>
      </c>
      <c r="S1839" s="5" t="str">
        <f>IFERROR(__xludf.DUMMYFUNCTION("""COMPUTED_VALUE"""),"Daughters Of The Dust")</f>
        <v>Daughters Of The Dust</v>
      </c>
      <c r="U1839" s="5" t="str">
        <f>IFERROR(__xludf.DUMMYFUNCTION("""COMPUTED_VALUE"""),"Billy Lyons")</f>
        <v>Billy Lyons</v>
      </c>
      <c r="V1839" s="5" t="s">
        <v>8504</v>
      </c>
      <c r="W1839" s="5" t="str">
        <f t="shared" si="3"/>
        <v>Jeff Tremaine</v>
      </c>
      <c r="X1839" s="5">
        <f t="shared" si="4"/>
        <v>2</v>
      </c>
      <c r="Y1839" s="5" t="str">
        <f>IFERROR(__xludf.DUMMYFUNCTION("REGEXEXTRACT(J1839, ""^\d+"")"),"1")</f>
        <v>1</v>
      </c>
      <c r="Z1839" s="5" t="str">
        <f>IFERROR(__xludf.DUMMYFUNCTION("REGEXEXTRACT(J1839, ""[A-Za-z ]+$"")")," Season")</f>
        <v> Season</v>
      </c>
      <c r="AA1839" s="5" t="str">
        <f>IFERROR(__xludf.DUMMYFUNCTION("IF(REGEXMATCH(Z1839, ""Season""), ""TV Show"", ""Movie"")"),"TV Show")</f>
        <v>TV Show</v>
      </c>
    </row>
    <row r="1840">
      <c r="A1840" s="1" t="s">
        <v>10628</v>
      </c>
      <c r="B1840" s="1" t="s">
        <v>27</v>
      </c>
      <c r="C1840" s="1" t="s">
        <v>10629</v>
      </c>
      <c r="D1840" s="1" t="s">
        <v>10630</v>
      </c>
      <c r="E1840" s="1" t="s">
        <v>10631</v>
      </c>
      <c r="F1840" s="1" t="s">
        <v>30</v>
      </c>
      <c r="G1840" s="1" t="s">
        <v>10621</v>
      </c>
      <c r="H1840" s="1">
        <v>2016.0</v>
      </c>
      <c r="I1840" s="1" t="s">
        <v>378</v>
      </c>
      <c r="J1840" s="1" t="s">
        <v>106</v>
      </c>
      <c r="K1840" s="1" t="s">
        <v>380</v>
      </c>
      <c r="L1840" s="1" t="s">
        <v>10632</v>
      </c>
      <c r="M1840" s="2" t="s">
        <v>12</v>
      </c>
      <c r="N1840" s="4">
        <f t="shared" si="1"/>
        <v>44120</v>
      </c>
      <c r="O1840" s="5" t="str">
        <f>IFERROR(__xludf.DUMMYFUNCTION("IF(REGEXMATCH(TRIM(I1840), ""^\d+\s*min""), ""Unclassified"", IF(I1840 = """", ""NR"", I1840))"),"R")</f>
        <v>R</v>
      </c>
      <c r="R1840" s="5" t="str">
        <f t="shared" si="2"/>
        <v>In A Valley Of Violence</v>
      </c>
      <c r="S1840" s="5" t="str">
        <f>IFERROR(__xludf.DUMMYFUNCTION("""COMPUTED_VALUE"""),"Dave Chappelle")</f>
        <v>Dave Chappelle</v>
      </c>
      <c r="U1840" s="5" t="str">
        <f>IFERROR(__xludf.DUMMYFUNCTION("""COMPUTED_VALUE"""),"Michael Steed")</f>
        <v>Michael Steed</v>
      </c>
      <c r="V1840" s="5" t="s">
        <v>5661</v>
      </c>
      <c r="W1840" s="5" t="str">
        <f t="shared" si="3"/>
        <v>Jeff Wadlow</v>
      </c>
      <c r="X1840" s="5">
        <f t="shared" si="4"/>
        <v>2</v>
      </c>
      <c r="Y1840" s="5" t="str">
        <f>IFERROR(__xludf.DUMMYFUNCTION("REGEXEXTRACT(J1840, ""^\d+"")"),"104")</f>
        <v>104</v>
      </c>
      <c r="Z1840" s="5" t="str">
        <f>IFERROR(__xludf.DUMMYFUNCTION("REGEXEXTRACT(J1840, ""[A-Za-z ]+$"")")," min")</f>
        <v> min</v>
      </c>
      <c r="AA1840" s="5" t="str">
        <f>IFERROR(__xludf.DUMMYFUNCTION("IF(REGEXMATCH(Z1840, ""Season""), ""TV Show"", ""Movie"")"),"Movie")</f>
        <v>Movie</v>
      </c>
    </row>
    <row r="1841">
      <c r="A1841" s="1" t="s">
        <v>10633</v>
      </c>
      <c r="B1841" s="1" t="s">
        <v>37</v>
      </c>
      <c r="C1841" s="1" t="s">
        <v>10634</v>
      </c>
      <c r="E1841" s="1" t="s">
        <v>10635</v>
      </c>
      <c r="F1841" s="1" t="s">
        <v>664</v>
      </c>
      <c r="G1841" s="1" t="s">
        <v>10621</v>
      </c>
      <c r="H1841" s="1">
        <v>2020.0</v>
      </c>
      <c r="I1841" s="1" t="s">
        <v>42</v>
      </c>
      <c r="J1841" s="1" t="s">
        <v>51</v>
      </c>
      <c r="K1841" s="1" t="s">
        <v>190</v>
      </c>
      <c r="L1841" s="1" t="s">
        <v>10636</v>
      </c>
      <c r="M1841" s="2" t="s">
        <v>12</v>
      </c>
      <c r="N1841" s="4">
        <f t="shared" si="1"/>
        <v>44120</v>
      </c>
      <c r="O1841" s="5" t="str">
        <f>IFERROR(__xludf.DUMMYFUNCTION("IF(REGEXMATCH(TRIM(I1841), ""^\d+\s*min""), ""Unclassified"", IF(I1841 = """", ""NR"", I1841))"),"TV-MA")</f>
        <v>TV-MA</v>
      </c>
      <c r="R1841" s="5" t="str">
        <f t="shared" si="2"/>
        <v>La Révolution</v>
      </c>
      <c r="S1841" s="5" t="str">
        <f>IFERROR(__xludf.DUMMYFUNCTION("""COMPUTED_VALUE"""),"Dave Chappelle: Equanimity &amp; The Bird Revelation")</f>
        <v>Dave Chappelle: Equanimity &amp; The Bird Revelation</v>
      </c>
      <c r="U1841" s="5" t="str">
        <f>IFERROR(__xludf.DUMMYFUNCTION("""COMPUTED_VALUE"""),"Zak Hilditch")</f>
        <v>Zak Hilditch</v>
      </c>
      <c r="V1841" s="5" t="s">
        <v>10637</v>
      </c>
      <c r="W1841" s="5" t="str">
        <f t="shared" si="3"/>
        <v>Jeffrey C. Bell</v>
      </c>
      <c r="X1841" s="5">
        <f t="shared" si="4"/>
        <v>1</v>
      </c>
      <c r="Y1841" s="5" t="str">
        <f>IFERROR(__xludf.DUMMYFUNCTION("REGEXEXTRACT(J1841, ""^\d+"")"),"1")</f>
        <v>1</v>
      </c>
      <c r="Z1841" s="5" t="str">
        <f>IFERROR(__xludf.DUMMYFUNCTION("REGEXEXTRACT(J1841, ""[A-Za-z ]+$"")")," Season")</f>
        <v> Season</v>
      </c>
      <c r="AA1841" s="5" t="str">
        <f>IFERROR(__xludf.DUMMYFUNCTION("IF(REGEXMATCH(Z1841, ""Season""), ""TV Show"", ""Movie"")"),"TV Show")</f>
        <v>TV Show</v>
      </c>
    </row>
    <row r="1842">
      <c r="A1842" s="1" t="s">
        <v>10638</v>
      </c>
      <c r="B1842" s="1" t="s">
        <v>37</v>
      </c>
      <c r="C1842" s="1" t="s">
        <v>10639</v>
      </c>
      <c r="D1842" s="1" t="s">
        <v>3996</v>
      </c>
      <c r="E1842" s="1" t="s">
        <v>10640</v>
      </c>
      <c r="F1842" s="1" t="s">
        <v>10325</v>
      </c>
      <c r="G1842" s="1" t="s">
        <v>10621</v>
      </c>
      <c r="H1842" s="1">
        <v>2020.0</v>
      </c>
      <c r="I1842" s="1" t="s">
        <v>42</v>
      </c>
      <c r="J1842" s="1" t="s">
        <v>51</v>
      </c>
      <c r="K1842" s="1" t="s">
        <v>785</v>
      </c>
      <c r="L1842" s="1" t="s">
        <v>10641</v>
      </c>
      <c r="M1842" s="2" t="s">
        <v>12</v>
      </c>
      <c r="N1842" s="4">
        <f t="shared" si="1"/>
        <v>44120</v>
      </c>
      <c r="O1842" s="5" t="str">
        <f>IFERROR(__xludf.DUMMYFUNCTION("IF(REGEXMATCH(TRIM(I1842), ""^\d+\s*min""), ""Unclassified"", IF(I1842 = """", ""NR"", I1842))"),"TV-MA")</f>
        <v>TV-MA</v>
      </c>
      <c r="R1842" s="5" t="str">
        <f t="shared" si="2"/>
        <v>Someone Has To Die</v>
      </c>
      <c r="S1842" s="5" t="str">
        <f>IFERROR(__xludf.DUMMYFUNCTION("""COMPUTED_VALUE"""),"Dave Chappelle: Sticks &amp; Stones")</f>
        <v>Dave Chappelle: Sticks &amp; Stones</v>
      </c>
      <c r="U1842" s="5" t="str">
        <f>IFERROR(__xludf.DUMMYFUNCTION("""COMPUTED_VALUE"""),"Michael Steiner")</f>
        <v>Michael Steiner</v>
      </c>
      <c r="V1842" s="5" t="s">
        <v>10642</v>
      </c>
      <c r="W1842" s="5" t="str">
        <f t="shared" si="3"/>
        <v>Jeffrey G. Hunt</v>
      </c>
      <c r="X1842" s="5">
        <f t="shared" si="4"/>
        <v>1</v>
      </c>
      <c r="Y1842" s="5" t="str">
        <f>IFERROR(__xludf.DUMMYFUNCTION("REGEXEXTRACT(J1842, ""^\d+"")"),"1")</f>
        <v>1</v>
      </c>
      <c r="Z1842" s="5" t="str">
        <f>IFERROR(__xludf.DUMMYFUNCTION("REGEXEXTRACT(J1842, ""[A-Za-z ]+$"")")," Season")</f>
        <v> Season</v>
      </c>
      <c r="AA1842" s="5" t="str">
        <f>IFERROR(__xludf.DUMMYFUNCTION("IF(REGEXMATCH(Z1842, ""Season""), ""TV Show"", ""Movie"")"),"TV Show")</f>
        <v>TV Show</v>
      </c>
    </row>
    <row r="1843">
      <c r="A1843" s="1" t="s">
        <v>10643</v>
      </c>
      <c r="B1843" s="1" t="s">
        <v>37</v>
      </c>
      <c r="C1843" s="1" t="s">
        <v>10644</v>
      </c>
      <c r="E1843" s="1" t="s">
        <v>10645</v>
      </c>
      <c r="F1843" s="1" t="s">
        <v>30</v>
      </c>
      <c r="G1843" s="1" t="s">
        <v>10621</v>
      </c>
      <c r="H1843" s="1">
        <v>2020.0</v>
      </c>
      <c r="I1843" s="1" t="s">
        <v>289</v>
      </c>
      <c r="J1843" s="1" t="s">
        <v>276</v>
      </c>
      <c r="K1843" s="1" t="s">
        <v>314</v>
      </c>
      <c r="L1843" s="1" t="s">
        <v>10646</v>
      </c>
      <c r="M1843" s="2" t="s">
        <v>12</v>
      </c>
      <c r="N1843" s="4">
        <f t="shared" si="1"/>
        <v>44120</v>
      </c>
      <c r="O1843" s="5" t="str">
        <f>IFERROR(__xludf.DUMMYFUNCTION("IF(REGEXMATCH(TRIM(I1843), ""^\d+\s*min""), ""Unclassified"", IF(I1843 = """", ""NR"", I1843))"),"TV-Y7")</f>
        <v>TV-Y7</v>
      </c>
      <c r="R1843" s="5" t="str">
        <f t="shared" si="2"/>
        <v>The Last Kids On Earth</v>
      </c>
      <c r="S1843" s="5" t="str">
        <f>IFERROR(__xludf.DUMMYFUNCTION("""COMPUTED_VALUE"""),"Dave Chappelle: The Kennedy Center Mark Twain Prize For American Humor")</f>
        <v>Dave Chappelle: The Kennedy Center Mark Twain Prize For American Humor</v>
      </c>
      <c r="U1843" s="5" t="str">
        <f>IFERROR(__xludf.DUMMYFUNCTION("""COMPUTED_VALUE"""),"Andrew Slater")</f>
        <v>Andrew Slater</v>
      </c>
      <c r="V1843" s="5" t="s">
        <v>10647</v>
      </c>
      <c r="W1843" s="5" t="str">
        <f t="shared" si="3"/>
        <v>Jeffrey Nachmanoff</v>
      </c>
      <c r="X1843" s="5">
        <f t="shared" si="4"/>
        <v>1</v>
      </c>
      <c r="Y1843" s="5" t="str">
        <f>IFERROR(__xludf.DUMMYFUNCTION("REGEXEXTRACT(J1843, ""^\d+"")"),"3")</f>
        <v>3</v>
      </c>
      <c r="Z1843" s="5" t="str">
        <f>IFERROR(__xludf.DUMMYFUNCTION("REGEXEXTRACT(J1843, ""[A-Za-z ]+$"")")," Seasons")</f>
        <v> Seasons</v>
      </c>
      <c r="AA1843" s="5" t="str">
        <f>IFERROR(__xludf.DUMMYFUNCTION("IF(REGEXMATCH(Z1843, ""Season""), ""TV Show"", ""Movie"")"),"TV Show")</f>
        <v>TV Show</v>
      </c>
    </row>
    <row r="1844">
      <c r="A1844" s="1" t="s">
        <v>10648</v>
      </c>
      <c r="B1844" s="1" t="s">
        <v>27</v>
      </c>
      <c r="C1844" s="1" t="s">
        <v>10649</v>
      </c>
      <c r="D1844" s="1" t="s">
        <v>139</v>
      </c>
      <c r="E1844" s="1" t="s">
        <v>10650</v>
      </c>
      <c r="F1844" s="1" t="s">
        <v>10651</v>
      </c>
      <c r="G1844" s="1" t="s">
        <v>10621</v>
      </c>
      <c r="H1844" s="1">
        <v>2020.0</v>
      </c>
      <c r="I1844" s="1" t="s">
        <v>378</v>
      </c>
      <c r="J1844" s="1" t="s">
        <v>2281</v>
      </c>
      <c r="K1844" s="1" t="s">
        <v>805</v>
      </c>
      <c r="L1844" s="1" t="s">
        <v>10652</v>
      </c>
      <c r="M1844" s="2" t="s">
        <v>12</v>
      </c>
      <c r="N1844" s="4">
        <f t="shared" si="1"/>
        <v>44120</v>
      </c>
      <c r="O1844" s="5" t="str">
        <f>IFERROR(__xludf.DUMMYFUNCTION("IF(REGEXMATCH(TRIM(I1844), ""^\d+\s*min""), ""Unclassified"", IF(I1844 = """", ""NR"", I1844))"),"R")</f>
        <v>R</v>
      </c>
      <c r="R1844" s="5" t="str">
        <f t="shared" si="2"/>
        <v>The Trial Of The Chicago 7</v>
      </c>
      <c r="S1844" s="5" t="str">
        <f>IFERROR(__xludf.DUMMYFUNCTION("""COMPUTED_VALUE"""),"David Attenborough: A Life On Our Planet")</f>
        <v>David Attenborough: A Life On Our Planet</v>
      </c>
      <c r="U1844" s="5" t="str">
        <f>IFERROR(__xludf.DUMMYFUNCTION("""COMPUTED_VALUE"""),"Glen Goei, Gavin Yap")</f>
        <v>Glen Goei, Gavin Yap</v>
      </c>
      <c r="V1844" s="5" t="s">
        <v>10653</v>
      </c>
      <c r="W1844" s="5" t="str">
        <f t="shared" si="3"/>
        <v>Jeffrey Schwarz</v>
      </c>
      <c r="X1844" s="5">
        <f t="shared" si="4"/>
        <v>1</v>
      </c>
      <c r="Y1844" s="5" t="str">
        <f>IFERROR(__xludf.DUMMYFUNCTION("REGEXEXTRACT(J1844, ""^\d+"")"),"130")</f>
        <v>130</v>
      </c>
      <c r="Z1844" s="5" t="str">
        <f>IFERROR(__xludf.DUMMYFUNCTION("REGEXEXTRACT(J1844, ""[A-Za-z ]+$"")")," min")</f>
        <v> min</v>
      </c>
      <c r="AA1844" s="5" t="str">
        <f>IFERROR(__xludf.DUMMYFUNCTION("IF(REGEXMATCH(Z1844, ""Season""), ""TV Show"", ""Movie"")"),"Movie")</f>
        <v>Movie</v>
      </c>
    </row>
    <row r="1845">
      <c r="A1845" s="1" t="s">
        <v>10654</v>
      </c>
      <c r="B1845" s="1" t="s">
        <v>27</v>
      </c>
      <c r="C1845" s="1" t="s">
        <v>10655</v>
      </c>
      <c r="D1845" s="1" t="s">
        <v>10656</v>
      </c>
      <c r="E1845" s="1" t="s">
        <v>10657</v>
      </c>
      <c r="F1845" s="1" t="s">
        <v>5696</v>
      </c>
      <c r="G1845" s="1" t="s">
        <v>10621</v>
      </c>
      <c r="H1845" s="1">
        <v>2014.0</v>
      </c>
      <c r="I1845" s="1" t="s">
        <v>378</v>
      </c>
      <c r="J1845" s="1" t="s">
        <v>490</v>
      </c>
      <c r="K1845" s="1" t="s">
        <v>3768</v>
      </c>
      <c r="L1845" s="1" t="s">
        <v>10658</v>
      </c>
      <c r="M1845" s="2" t="s">
        <v>12</v>
      </c>
      <c r="N1845" s="4">
        <f t="shared" si="1"/>
        <v>44120</v>
      </c>
      <c r="O1845" s="5" t="str">
        <f>IFERROR(__xludf.DUMMYFUNCTION("IF(REGEXMATCH(TRIM(I1845), ""^\d+\s*min""), ""Unclassified"", IF(I1845 = """", ""NR"", I1845))"),"R")</f>
        <v>R</v>
      </c>
      <c r="R1845" s="5" t="str">
        <f t="shared" si="2"/>
        <v>Unfriended</v>
      </c>
      <c r="S1845" s="5" t="str">
        <f>IFERROR(__xludf.DUMMYFUNCTION("""COMPUTED_VALUE"""),"David Batra: Elefanten I Rummet")</f>
        <v>David Batra: Elefanten I Rummet</v>
      </c>
      <c r="U1845" s="5" t="str">
        <f>IFERROR(__xludf.DUMMYFUNCTION("""COMPUTED_VALUE"""),"Huw Cordey")</f>
        <v>Huw Cordey</v>
      </c>
      <c r="V1845" s="5" t="s">
        <v>10659</v>
      </c>
      <c r="W1845" s="5" t="str">
        <f t="shared" si="3"/>
        <v>Jeffrey W. Byrd</v>
      </c>
      <c r="X1845" s="5">
        <f t="shared" si="4"/>
        <v>1</v>
      </c>
      <c r="Y1845" s="5" t="str">
        <f>IFERROR(__xludf.DUMMYFUNCTION("REGEXEXTRACT(J1845, ""^\d+"")"),"83")</f>
        <v>83</v>
      </c>
      <c r="Z1845" s="5" t="str">
        <f>IFERROR(__xludf.DUMMYFUNCTION("REGEXEXTRACT(J1845, ""[A-Za-z ]+$"")")," min")</f>
        <v> min</v>
      </c>
      <c r="AA1845" s="5" t="str">
        <f>IFERROR(__xludf.DUMMYFUNCTION("IF(REGEXMATCH(Z1845, ""Season""), ""TV Show"", ""Movie"")"),"Movie")</f>
        <v>Movie</v>
      </c>
    </row>
    <row r="1846">
      <c r="A1846" s="1" t="s">
        <v>10660</v>
      </c>
      <c r="B1846" s="1" t="s">
        <v>27</v>
      </c>
      <c r="C1846" s="1" t="s">
        <v>10661</v>
      </c>
      <c r="D1846" s="1" t="s">
        <v>10662</v>
      </c>
      <c r="E1846" s="1" t="s">
        <v>10663</v>
      </c>
      <c r="F1846" s="1" t="s">
        <v>30</v>
      </c>
      <c r="G1846" s="1" t="s">
        <v>10664</v>
      </c>
      <c r="H1846" s="1">
        <v>2020.0</v>
      </c>
      <c r="I1846" s="1" t="s">
        <v>136</v>
      </c>
      <c r="J1846" s="1" t="s">
        <v>416</v>
      </c>
      <c r="K1846" s="1" t="s">
        <v>80</v>
      </c>
      <c r="L1846" s="1" t="s">
        <v>10665</v>
      </c>
      <c r="M1846" s="2" t="s">
        <v>12</v>
      </c>
      <c r="N1846" s="4">
        <f t="shared" si="1"/>
        <v>44119</v>
      </c>
      <c r="O1846" s="5" t="str">
        <f>IFERROR(__xludf.DUMMYFUNCTION("IF(REGEXMATCH(TRIM(I1846), ""^\d+\s*min""), ""Unclassified"", IF(I1846 = """", ""NR"", I1846))"),"TV-PG")</f>
        <v>TV-PG</v>
      </c>
      <c r="R1846" s="5" t="str">
        <f t="shared" si="2"/>
        <v>A Babysitter'S Guide To Monster Hunting</v>
      </c>
      <c r="S1846" s="5" t="str">
        <f>IFERROR(__xludf.DUMMYFUNCTION("""COMPUTED_VALUE"""),"David Brent: Life On The Road")</f>
        <v>David Brent: Life On The Road</v>
      </c>
      <c r="U1846" s="5" t="str">
        <f>IFERROR(__xludf.DUMMYFUNCTION("""COMPUTED_VALUE"""),"Yuen Woo-Ping")</f>
        <v>Yuen Woo-Ping</v>
      </c>
      <c r="V1846" s="5" t="s">
        <v>10666</v>
      </c>
      <c r="W1846" s="5" t="str">
        <f t="shared" si="3"/>
        <v>Jeffrey Walker</v>
      </c>
      <c r="X1846" s="5">
        <f t="shared" si="4"/>
        <v>2</v>
      </c>
      <c r="Y1846" s="5" t="str">
        <f>IFERROR(__xludf.DUMMYFUNCTION("REGEXEXTRACT(J1846, ""^\d+"")"),"99")</f>
        <v>99</v>
      </c>
      <c r="Z1846" s="5" t="str">
        <f>IFERROR(__xludf.DUMMYFUNCTION("REGEXEXTRACT(J1846, ""[A-Za-z ]+$"")")," min")</f>
        <v> min</v>
      </c>
      <c r="AA1846" s="5" t="str">
        <f>IFERROR(__xludf.DUMMYFUNCTION("IF(REGEXMATCH(Z1846, ""Season""), ""TV Show"", ""Movie"")"),"Movie")</f>
        <v>Movie</v>
      </c>
    </row>
    <row r="1847">
      <c r="A1847" s="1" t="s">
        <v>10667</v>
      </c>
      <c r="B1847" s="1" t="s">
        <v>27</v>
      </c>
      <c r="C1847" s="1" t="s">
        <v>10668</v>
      </c>
      <c r="D1847" s="1" t="s">
        <v>10669</v>
      </c>
      <c r="E1847" s="1" t="s">
        <v>10670</v>
      </c>
      <c r="F1847" s="1" t="s">
        <v>30</v>
      </c>
      <c r="G1847" s="1" t="s">
        <v>10664</v>
      </c>
      <c r="H1847" s="1">
        <v>2016.0</v>
      </c>
      <c r="I1847" s="1" t="s">
        <v>378</v>
      </c>
      <c r="J1847" s="1" t="s">
        <v>4558</v>
      </c>
      <c r="K1847" s="1" t="s">
        <v>380</v>
      </c>
      <c r="L1847" s="1" t="s">
        <v>10671</v>
      </c>
      <c r="M1847" s="2" t="s">
        <v>12</v>
      </c>
      <c r="N1847" s="4">
        <f t="shared" si="1"/>
        <v>44119</v>
      </c>
      <c r="O1847" s="5" t="str">
        <f>IFERROR(__xludf.DUMMYFUNCTION("IF(REGEXMATCH(TRIM(I1847), ""^\d+\s*min""), ""Unclassified"", IF(I1847 = """", ""NR"", I1847))"),"R")</f>
        <v>R</v>
      </c>
      <c r="R1847" s="5" t="str">
        <f t="shared" si="2"/>
        <v>Batman: The Killing Joke</v>
      </c>
      <c r="S1847" s="5" t="str">
        <f>IFERROR(__xludf.DUMMYFUNCTION("""COMPUTED_VALUE"""),"David Cross: Making America Great Again!")</f>
        <v>David Cross: Making America Great Again!</v>
      </c>
      <c r="U1847" s="5" t="str">
        <f>IFERROR(__xludf.DUMMYFUNCTION("""COMPUTED_VALUE"""),"Gillian Robespierre")</f>
        <v>Gillian Robespierre</v>
      </c>
      <c r="V1847" s="5" t="s">
        <v>10672</v>
      </c>
      <c r="W1847" s="5" t="str">
        <f t="shared" si="3"/>
        <v>Jehane Noujaim</v>
      </c>
      <c r="X1847" s="5">
        <f t="shared" si="4"/>
        <v>1</v>
      </c>
      <c r="Y1847" s="5" t="str">
        <f>IFERROR(__xludf.DUMMYFUNCTION("REGEXEXTRACT(J1847, ""^\d+"")"),"77")</f>
        <v>77</v>
      </c>
      <c r="Z1847" s="5" t="str">
        <f>IFERROR(__xludf.DUMMYFUNCTION("REGEXEXTRACT(J1847, ""[A-Za-z ]+$"")")," min")</f>
        <v> min</v>
      </c>
      <c r="AA1847" s="5" t="str">
        <f>IFERROR(__xludf.DUMMYFUNCTION("IF(REGEXMATCH(Z1847, ""Season""), ""TV Show"", ""Movie"")"),"Movie")</f>
        <v>Movie</v>
      </c>
    </row>
    <row r="1848">
      <c r="A1848" s="1" t="s">
        <v>10673</v>
      </c>
      <c r="B1848" s="1" t="s">
        <v>27</v>
      </c>
      <c r="C1848" s="1" t="s">
        <v>10674</v>
      </c>
      <c r="D1848" s="1" t="s">
        <v>10675</v>
      </c>
      <c r="E1848" s="1" t="s">
        <v>10676</v>
      </c>
      <c r="F1848" s="1" t="s">
        <v>3309</v>
      </c>
      <c r="G1848" s="1" t="s">
        <v>10664</v>
      </c>
      <c r="H1848" s="1">
        <v>2018.0</v>
      </c>
      <c r="I1848" s="1" t="s">
        <v>97</v>
      </c>
      <c r="J1848" s="1" t="s">
        <v>170</v>
      </c>
      <c r="K1848" s="1" t="s">
        <v>1328</v>
      </c>
      <c r="L1848" s="1" t="s">
        <v>10677</v>
      </c>
      <c r="M1848" s="2" t="s">
        <v>12</v>
      </c>
      <c r="N1848" s="4">
        <f t="shared" si="1"/>
        <v>44119</v>
      </c>
      <c r="O1848" s="5" t="str">
        <f>IFERROR(__xludf.DUMMYFUNCTION("IF(REGEXMATCH(TRIM(I1848), ""^\d+\s*min""), ""Unclassified"", IF(I1848 = """", ""NR"", I1848))"),"TV-14")</f>
        <v>TV-14</v>
      </c>
      <c r="R1848" s="5" t="str">
        <f t="shared" si="2"/>
        <v>El-Khawaga'S Dilemma</v>
      </c>
      <c r="S1848" s="5" t="str">
        <f>IFERROR(__xludf.DUMMYFUNCTION("""COMPUTED_VALUE"""),"David Foster: Off The Record")</f>
        <v>David Foster: Off The Record</v>
      </c>
      <c r="U1848" s="5" t="str">
        <f>IFERROR(__xludf.DUMMYFUNCTION("""COMPUTED_VALUE"""),"Thomas Vinterberg")</f>
        <v>Thomas Vinterberg</v>
      </c>
      <c r="V1848" s="5" t="s">
        <v>10678</v>
      </c>
      <c r="W1848" s="5" t="str">
        <f t="shared" si="3"/>
        <v>Jelle De Jonge</v>
      </c>
      <c r="X1848" s="5">
        <f t="shared" si="4"/>
        <v>1</v>
      </c>
      <c r="Y1848" s="5" t="str">
        <f>IFERROR(__xludf.DUMMYFUNCTION("REGEXEXTRACT(J1848, ""^\d+"")"),"94")</f>
        <v>94</v>
      </c>
      <c r="Z1848" s="5" t="str">
        <f>IFERROR(__xludf.DUMMYFUNCTION("REGEXEXTRACT(J1848, ""[A-Za-z ]+$"")")," min")</f>
        <v> min</v>
      </c>
      <c r="AA1848" s="5" t="str">
        <f>IFERROR(__xludf.DUMMYFUNCTION("IF(REGEXMATCH(Z1848, ""Season""), ""TV Show"", ""Movie"")"),"Movie")</f>
        <v>Movie</v>
      </c>
    </row>
    <row r="1849">
      <c r="A1849" s="1" t="s">
        <v>10679</v>
      </c>
      <c r="B1849" s="1" t="s">
        <v>37</v>
      </c>
      <c r="C1849" s="1" t="s">
        <v>10680</v>
      </c>
      <c r="E1849" s="1" t="s">
        <v>10681</v>
      </c>
      <c r="F1849" s="1" t="s">
        <v>96</v>
      </c>
      <c r="G1849" s="1" t="s">
        <v>10664</v>
      </c>
      <c r="H1849" s="1">
        <v>2018.0</v>
      </c>
      <c r="I1849" s="1" t="s">
        <v>206</v>
      </c>
      <c r="J1849" s="1" t="s">
        <v>148</v>
      </c>
      <c r="K1849" s="1" t="s">
        <v>712</v>
      </c>
      <c r="L1849" s="1" t="s">
        <v>10682</v>
      </c>
      <c r="M1849" s="2" t="s">
        <v>12</v>
      </c>
      <c r="N1849" s="4">
        <f t="shared" si="1"/>
        <v>44119</v>
      </c>
      <c r="O1849" s="5" t="str">
        <f>IFERROR(__xludf.DUMMYFUNCTION("IF(REGEXMATCH(TRIM(I1849), ""^\d+\s*min""), ""Unclassified"", IF(I1849 = """", ""NR"", I1849))"),"TV-Y")</f>
        <v>TV-Y</v>
      </c>
      <c r="R1849" s="5" t="str">
        <f t="shared" si="2"/>
        <v>Fireman Sam</v>
      </c>
      <c r="S1849" s="5" t="str">
        <f>IFERROR(__xludf.DUMMYFUNCTION("""COMPUTED_VALUE"""),"Dawai Asmara")</f>
        <v>Dawai Asmara</v>
      </c>
      <c r="U1849" s="5" t="str">
        <f>IFERROR(__xludf.DUMMYFUNCTION("""COMPUTED_VALUE"""),"Ciarán Foy")</f>
        <v>Ciarán Foy</v>
      </c>
      <c r="V1849" s="5" t="s">
        <v>10683</v>
      </c>
      <c r="W1849" s="5" t="str">
        <f t="shared" si="3"/>
        <v>Jen Mcgowan</v>
      </c>
      <c r="X1849" s="5">
        <f t="shared" si="4"/>
        <v>1</v>
      </c>
      <c r="Y1849" s="5" t="str">
        <f>IFERROR(__xludf.DUMMYFUNCTION("REGEXEXTRACT(J1849, ""^\d+"")"),"4")</f>
        <v>4</v>
      </c>
      <c r="Z1849" s="5" t="str">
        <f>IFERROR(__xludf.DUMMYFUNCTION("REGEXEXTRACT(J1849, ""[A-Za-z ]+$"")")," Seasons")</f>
        <v> Seasons</v>
      </c>
      <c r="AA1849" s="5" t="str">
        <f>IFERROR(__xludf.DUMMYFUNCTION("IF(REGEXMATCH(Z1849, ""Season""), ""TV Show"", ""Movie"")"),"TV Show")</f>
        <v>TV Show</v>
      </c>
    </row>
    <row r="1850">
      <c r="A1850" s="1" t="s">
        <v>10684</v>
      </c>
      <c r="B1850" s="1" t="s">
        <v>37</v>
      </c>
      <c r="C1850" s="1" t="s">
        <v>10685</v>
      </c>
      <c r="E1850" s="1" t="s">
        <v>10686</v>
      </c>
      <c r="F1850" s="1" t="s">
        <v>30</v>
      </c>
      <c r="G1850" s="1" t="s">
        <v>10664</v>
      </c>
      <c r="H1850" s="1">
        <v>2005.0</v>
      </c>
      <c r="I1850" s="1" t="s">
        <v>97</v>
      </c>
      <c r="J1850" s="1" t="s">
        <v>148</v>
      </c>
      <c r="K1850" s="1" t="s">
        <v>270</v>
      </c>
      <c r="L1850" s="1" t="s">
        <v>10687</v>
      </c>
      <c r="M1850" s="2" t="s">
        <v>12</v>
      </c>
      <c r="N1850" s="4">
        <f t="shared" si="1"/>
        <v>44119</v>
      </c>
      <c r="O1850" s="5" t="str">
        <f>IFERROR(__xludf.DUMMYFUNCTION("IF(REGEXMATCH(TRIM(I1850), ""^\d+\s*min""), ""Unclassified"", IF(I1850 = """", ""NR"", I1850))"),"TV-14")</f>
        <v>TV-14</v>
      </c>
      <c r="R1850" s="5" t="str">
        <f t="shared" si="2"/>
        <v>Half &amp; Half</v>
      </c>
      <c r="S1850" s="5" t="str">
        <f>IFERROR(__xludf.DUMMYFUNCTION("""COMPUTED_VALUE"""),"Dawn Of The Croods")</f>
        <v>Dawn Of The Croods</v>
      </c>
      <c r="U1850" s="5" t="str">
        <f>IFERROR(__xludf.DUMMYFUNCTION("""COMPUTED_VALUE"""),"Daniel Sánchez Arévalo")</f>
        <v>Daniel Sánchez Arévalo</v>
      </c>
      <c r="V1850" s="5" t="s">
        <v>10688</v>
      </c>
      <c r="W1850" s="5" t="str">
        <f t="shared" si="3"/>
        <v>Jenée Lamarque</v>
      </c>
      <c r="X1850" s="5">
        <f t="shared" si="4"/>
        <v>1</v>
      </c>
      <c r="Y1850" s="5" t="str">
        <f>IFERROR(__xludf.DUMMYFUNCTION("REGEXEXTRACT(J1850, ""^\d+"")"),"4")</f>
        <v>4</v>
      </c>
      <c r="Z1850" s="5" t="str">
        <f>IFERROR(__xludf.DUMMYFUNCTION("REGEXEXTRACT(J1850, ""[A-Za-z ]+$"")")," Seasons")</f>
        <v> Seasons</v>
      </c>
      <c r="AA1850" s="5" t="str">
        <f>IFERROR(__xludf.DUMMYFUNCTION("IF(REGEXMATCH(Z1850, ""Season""), ""TV Show"", ""Movie"")"),"TV Show")</f>
        <v>TV Show</v>
      </c>
    </row>
    <row r="1851">
      <c r="A1851" s="1" t="s">
        <v>10689</v>
      </c>
      <c r="B1851" s="1" t="s">
        <v>27</v>
      </c>
      <c r="C1851" s="1" t="s">
        <v>10690</v>
      </c>
      <c r="D1851" s="1" t="s">
        <v>8317</v>
      </c>
      <c r="E1851" s="1" t="s">
        <v>10691</v>
      </c>
      <c r="F1851" s="1" t="s">
        <v>10692</v>
      </c>
      <c r="G1851" s="1" t="s">
        <v>10664</v>
      </c>
      <c r="H1851" s="1">
        <v>2017.0</v>
      </c>
      <c r="I1851" s="1" t="s">
        <v>136</v>
      </c>
      <c r="J1851" s="1" t="s">
        <v>870</v>
      </c>
      <c r="K1851" s="1" t="s">
        <v>128</v>
      </c>
      <c r="L1851" s="1" t="s">
        <v>10693</v>
      </c>
      <c r="M1851" s="2" t="s">
        <v>12</v>
      </c>
      <c r="N1851" s="4">
        <f t="shared" si="1"/>
        <v>44119</v>
      </c>
      <c r="O1851" s="5" t="str">
        <f>IFERROR(__xludf.DUMMYFUNCTION("IF(REGEXMATCH(TRIM(I1851), ""^\d+\s*min""), ""Unclassified"", IF(I1851 = """", ""NR"", I1851))"),"TV-PG")</f>
        <v>TV-PG</v>
      </c>
      <c r="R1851" s="5" t="str">
        <f t="shared" si="2"/>
        <v>Kartini: Princess Of Java</v>
      </c>
      <c r="S1851" s="5" t="str">
        <f>IFERROR(__xludf.DUMMYFUNCTION("""COMPUTED_VALUE"""),"Dawson'S Creek")</f>
        <v>Dawson'S Creek</v>
      </c>
      <c r="U1851" s="5" t="str">
        <f>IFERROR(__xludf.DUMMYFUNCTION("""COMPUTED_VALUE"""),"Don Omope")</f>
        <v>Don Omope</v>
      </c>
      <c r="V1851" s="5" t="s">
        <v>10694</v>
      </c>
      <c r="W1851" s="5" t="str">
        <f t="shared" si="3"/>
        <v>Jenna Laurenzo</v>
      </c>
      <c r="X1851" s="5">
        <f t="shared" si="4"/>
        <v>1</v>
      </c>
      <c r="Y1851" s="5" t="str">
        <f>IFERROR(__xludf.DUMMYFUNCTION("REGEXEXTRACT(J1851, ""^\d+"")"),"118")</f>
        <v>118</v>
      </c>
      <c r="Z1851" s="5" t="str">
        <f>IFERROR(__xludf.DUMMYFUNCTION("REGEXEXTRACT(J1851, ""[A-Za-z ]+$"")")," min")</f>
        <v> min</v>
      </c>
      <c r="AA1851" s="5" t="str">
        <f>IFERROR(__xludf.DUMMYFUNCTION("IF(REGEXMATCH(Z1851, ""Season""), ""TV Show"", ""Movie"")"),"Movie")</f>
        <v>Movie</v>
      </c>
    </row>
    <row r="1852">
      <c r="A1852" s="1" t="s">
        <v>10695</v>
      </c>
      <c r="B1852" s="1" t="s">
        <v>27</v>
      </c>
      <c r="C1852" s="1" t="s">
        <v>10696</v>
      </c>
      <c r="D1852" s="1" t="s">
        <v>10697</v>
      </c>
      <c r="E1852" s="1" t="s">
        <v>10698</v>
      </c>
      <c r="F1852" s="1" t="s">
        <v>2873</v>
      </c>
      <c r="G1852" s="1" t="s">
        <v>10664</v>
      </c>
      <c r="H1852" s="1">
        <v>2020.0</v>
      </c>
      <c r="I1852" s="1" t="s">
        <v>97</v>
      </c>
      <c r="J1852" s="1" t="s">
        <v>630</v>
      </c>
      <c r="K1852" s="1" t="s">
        <v>679</v>
      </c>
      <c r="L1852" s="1" t="s">
        <v>10699</v>
      </c>
      <c r="M1852" s="2" t="s">
        <v>12</v>
      </c>
      <c r="N1852" s="4">
        <f t="shared" si="1"/>
        <v>44119</v>
      </c>
      <c r="O1852" s="5" t="str">
        <f>IFERROR(__xludf.DUMMYFUNCTION("IF(REGEXMATCH(TRIM(I1852), ""^\d+\s*min""), ""Unclassified"", IF(I1852 = """", ""NR"", I1852))"),"TV-14")</f>
        <v>TV-14</v>
      </c>
      <c r="R1852" s="5" t="str">
        <f t="shared" si="2"/>
        <v>Love Like The Falling Rain</v>
      </c>
      <c r="S1852" s="5" t="str">
        <f>IFERROR(__xludf.DUMMYFUNCTION("""COMPUTED_VALUE"""),"Day And Night")</f>
        <v>Day And Night</v>
      </c>
      <c r="U1852" s="5" t="str">
        <f>IFERROR(__xludf.DUMMYFUNCTION("""COMPUTED_VALUE"""),"Ed Perkins")</f>
        <v>Ed Perkins</v>
      </c>
      <c r="V1852" s="5" t="s">
        <v>10700</v>
      </c>
      <c r="W1852" s="5" t="str">
        <f t="shared" si="3"/>
        <v>Jennie Livingston</v>
      </c>
      <c r="X1852" s="5">
        <f t="shared" si="4"/>
        <v>1</v>
      </c>
      <c r="Y1852" s="5" t="str">
        <f>IFERROR(__xludf.DUMMYFUNCTION("REGEXEXTRACT(J1852, ""^\d+"")"),"87")</f>
        <v>87</v>
      </c>
      <c r="Z1852" s="5" t="str">
        <f>IFERROR(__xludf.DUMMYFUNCTION("REGEXEXTRACT(J1852, ""[A-Za-z ]+$"")")," min")</f>
        <v> min</v>
      </c>
      <c r="AA1852" s="5" t="str">
        <f>IFERROR(__xludf.DUMMYFUNCTION("IF(REGEXMATCH(Z1852, ""Season""), ""TV Show"", ""Movie"")"),"Movie")</f>
        <v>Movie</v>
      </c>
    </row>
    <row r="1853">
      <c r="A1853" s="1" t="s">
        <v>10701</v>
      </c>
      <c r="B1853" s="1" t="s">
        <v>37</v>
      </c>
      <c r="C1853" s="1" t="s">
        <v>10702</v>
      </c>
      <c r="E1853" s="1" t="s">
        <v>10703</v>
      </c>
      <c r="F1853" s="1" t="s">
        <v>30</v>
      </c>
      <c r="G1853" s="1" t="s">
        <v>10664</v>
      </c>
      <c r="H1853" s="1">
        <v>2006.0</v>
      </c>
      <c r="I1853" s="1" t="s">
        <v>97</v>
      </c>
      <c r="J1853" s="1" t="s">
        <v>189</v>
      </c>
      <c r="K1853" s="1" t="s">
        <v>7987</v>
      </c>
      <c r="L1853" s="1" t="s">
        <v>10704</v>
      </c>
      <c r="M1853" s="2" t="s">
        <v>12</v>
      </c>
      <c r="N1853" s="4">
        <f t="shared" si="1"/>
        <v>44119</v>
      </c>
      <c r="O1853" s="5" t="str">
        <f>IFERROR(__xludf.DUMMYFUNCTION("IF(REGEXMATCH(TRIM(I1853), ""^\d+\s*min""), ""Unclassified"", IF(I1853 = """", ""NR"", I1853))"),"TV-14")</f>
        <v>TV-14</v>
      </c>
      <c r="R1853" s="5" t="str">
        <f t="shared" si="2"/>
        <v>One On One</v>
      </c>
      <c r="S1853" s="5" t="str">
        <f>IFERROR(__xludf.DUMMYFUNCTION("""COMPUTED_VALUE"""),"Day Of Destiny")</f>
        <v>Day Of Destiny</v>
      </c>
      <c r="U1853" s="5" t="str">
        <f>IFERROR(__xludf.DUMMYFUNCTION("""COMPUTED_VALUE"""),"Steven Soderbergh")</f>
        <v>Steven Soderbergh</v>
      </c>
      <c r="V1853" s="5" t="s">
        <v>10705</v>
      </c>
      <c r="W1853" s="5" t="str">
        <f t="shared" si="3"/>
        <v>Jennifer Baichwal, Nicholas De Pencier</v>
      </c>
      <c r="X1853" s="5">
        <f t="shared" si="4"/>
        <v>1</v>
      </c>
      <c r="Y1853" s="5" t="str">
        <f>IFERROR(__xludf.DUMMYFUNCTION("REGEXEXTRACT(J1853, ""^\d+"")"),"5")</f>
        <v>5</v>
      </c>
      <c r="Z1853" s="5" t="str">
        <f>IFERROR(__xludf.DUMMYFUNCTION("REGEXEXTRACT(J1853, ""[A-Za-z ]+$"")")," Seasons")</f>
        <v> Seasons</v>
      </c>
      <c r="AA1853" s="5" t="str">
        <f>IFERROR(__xludf.DUMMYFUNCTION("IF(REGEXMATCH(Z1853, ""Season""), ""TV Show"", ""Movie"")"),"TV Show")</f>
        <v>TV Show</v>
      </c>
    </row>
    <row r="1854">
      <c r="A1854" s="1" t="s">
        <v>10706</v>
      </c>
      <c r="B1854" s="1" t="s">
        <v>37</v>
      </c>
      <c r="C1854" s="1" t="s">
        <v>10707</v>
      </c>
      <c r="E1854" s="1" t="s">
        <v>10708</v>
      </c>
      <c r="F1854" s="1" t="s">
        <v>30</v>
      </c>
      <c r="G1854" s="1" t="s">
        <v>10664</v>
      </c>
      <c r="H1854" s="1">
        <v>2020.0</v>
      </c>
      <c r="I1854" s="1" t="s">
        <v>289</v>
      </c>
      <c r="J1854" s="1" t="s">
        <v>43</v>
      </c>
      <c r="K1854" s="1" t="s">
        <v>290</v>
      </c>
      <c r="L1854" s="1" t="s">
        <v>10709</v>
      </c>
      <c r="M1854" s="2" t="s">
        <v>12</v>
      </c>
      <c r="N1854" s="4">
        <f t="shared" si="1"/>
        <v>44119</v>
      </c>
      <c r="O1854" s="5" t="str">
        <f>IFERROR(__xludf.DUMMYFUNCTION("IF(REGEXMATCH(TRIM(I1854), ""^\d+\s*min""), ""Unclassified"", IF(I1854 = """", ""NR"", I1854))"),"TV-Y7")</f>
        <v>TV-Y7</v>
      </c>
      <c r="R1854" s="5" t="str">
        <f t="shared" si="2"/>
        <v>Power Rangers Beast Morphers</v>
      </c>
      <c r="S1854" s="5" t="str">
        <f>IFERROR(__xludf.DUMMYFUNCTION("""COMPUTED_VALUE"""),"Day Of The Dead: Bloodline")</f>
        <v>Day Of The Dead: Bloodline</v>
      </c>
      <c r="U1854" s="5" t="str">
        <f>IFERROR(__xludf.DUMMYFUNCTION("""COMPUTED_VALUE"""),"Udai Singh Pawar")</f>
        <v>Udai Singh Pawar</v>
      </c>
      <c r="V1854" s="5" t="s">
        <v>8604</v>
      </c>
      <c r="W1854" s="5" t="str">
        <f t="shared" si="3"/>
        <v>Jennifer Beamish, Toby Trackman</v>
      </c>
      <c r="X1854" s="5">
        <f t="shared" si="4"/>
        <v>1</v>
      </c>
      <c r="Y1854" s="5" t="str">
        <f>IFERROR(__xludf.DUMMYFUNCTION("REGEXEXTRACT(J1854, ""^\d+"")"),"2")</f>
        <v>2</v>
      </c>
      <c r="Z1854" s="5" t="str">
        <f>IFERROR(__xludf.DUMMYFUNCTION("REGEXEXTRACT(J1854, ""[A-Za-z ]+$"")")," Seasons")</f>
        <v> Seasons</v>
      </c>
      <c r="AA1854" s="5" t="str">
        <f>IFERROR(__xludf.DUMMYFUNCTION("IF(REGEXMATCH(Z1854, ""Season""), ""TV Show"", ""Movie"")"),"TV Show")</f>
        <v>TV Show</v>
      </c>
    </row>
    <row r="1855">
      <c r="A1855" s="1" t="s">
        <v>10710</v>
      </c>
      <c r="B1855" s="1" t="s">
        <v>27</v>
      </c>
      <c r="C1855" s="1" t="s">
        <v>10711</v>
      </c>
      <c r="D1855" s="1" t="s">
        <v>10712</v>
      </c>
      <c r="F1855" s="1" t="s">
        <v>63</v>
      </c>
      <c r="G1855" s="1" t="s">
        <v>10664</v>
      </c>
      <c r="H1855" s="1">
        <v>2020.0</v>
      </c>
      <c r="I1855" s="1" t="s">
        <v>136</v>
      </c>
      <c r="J1855" s="1" t="s">
        <v>7390</v>
      </c>
      <c r="K1855" s="1" t="s">
        <v>156</v>
      </c>
      <c r="L1855" s="1" t="s">
        <v>10713</v>
      </c>
      <c r="M1855" s="2" t="s">
        <v>12</v>
      </c>
      <c r="N1855" s="4">
        <f t="shared" si="1"/>
        <v>44119</v>
      </c>
      <c r="O1855" s="5" t="str">
        <f>IFERROR(__xludf.DUMMYFUNCTION("IF(REGEXMATCH(TRIM(I1855), ""^\d+\s*min""), ""Unclassified"", IF(I1855 = """", ""NR"", I1855))"),"TV-PG")</f>
        <v>TV-PG</v>
      </c>
      <c r="R1855" s="5" t="str">
        <f t="shared" si="2"/>
        <v>Rooting For Roona</v>
      </c>
      <c r="S1855" s="5" t="str">
        <f>IFERROR(__xludf.DUMMYFUNCTION("""COMPUTED_VALUE"""),"Daybreak")</f>
        <v>Daybreak</v>
      </c>
      <c r="U1855" s="5" t="str">
        <f>IFERROR(__xludf.DUMMYFUNCTION("""COMPUTED_VALUE"""),"Guntur Soeharjanto")</f>
        <v>Guntur Soeharjanto</v>
      </c>
      <c r="V1855" s="5" t="s">
        <v>5505</v>
      </c>
      <c r="W1855" s="5" t="str">
        <f t="shared" si="3"/>
        <v>Jennifer Brea</v>
      </c>
      <c r="X1855" s="5">
        <f t="shared" si="4"/>
        <v>1</v>
      </c>
      <c r="Y1855" s="5" t="str">
        <f>IFERROR(__xludf.DUMMYFUNCTION("REGEXEXTRACT(J1855, ""^\d+"")"),"42")</f>
        <v>42</v>
      </c>
      <c r="Z1855" s="5" t="str">
        <f>IFERROR(__xludf.DUMMYFUNCTION("REGEXEXTRACT(J1855, ""[A-Za-z ]+$"")")," min")</f>
        <v> min</v>
      </c>
      <c r="AA1855" s="5" t="str">
        <f>IFERROR(__xludf.DUMMYFUNCTION("IF(REGEXMATCH(Z1855, ""Season""), ""TV Show"", ""Movie"")"),"Movie")</f>
        <v>Movie</v>
      </c>
    </row>
    <row r="1856">
      <c r="A1856" s="1" t="s">
        <v>10714</v>
      </c>
      <c r="B1856" s="1" t="s">
        <v>37</v>
      </c>
      <c r="C1856" s="1" t="s">
        <v>10715</v>
      </c>
      <c r="E1856" s="1" t="s">
        <v>10716</v>
      </c>
      <c r="F1856" s="1" t="s">
        <v>30</v>
      </c>
      <c r="G1856" s="1" t="s">
        <v>10664</v>
      </c>
      <c r="H1856" s="1">
        <v>2020.0</v>
      </c>
      <c r="I1856" s="1" t="s">
        <v>42</v>
      </c>
      <c r="J1856" s="1" t="s">
        <v>51</v>
      </c>
      <c r="K1856" s="1" t="s">
        <v>149</v>
      </c>
      <c r="L1856" s="1" t="s">
        <v>10717</v>
      </c>
      <c r="M1856" s="2" t="s">
        <v>12</v>
      </c>
      <c r="N1856" s="4">
        <f t="shared" si="1"/>
        <v>44119</v>
      </c>
      <c r="O1856" s="5" t="str">
        <f>IFERROR(__xludf.DUMMYFUNCTION("IF(REGEXMATCH(TRIM(I1856), ""^\d+\s*min""), ""Unclassified"", IF(I1856 = """", ""NR"", I1856))"),"TV-MA")</f>
        <v>TV-MA</v>
      </c>
      <c r="R1856" s="5" t="str">
        <f t="shared" si="2"/>
        <v>Social Distance</v>
      </c>
      <c r="S1856" s="5" t="str">
        <f>IFERROR(__xludf.DUMMYFUNCTION("""COMPUTED_VALUE"""),"Days We Stared At The Sun")</f>
        <v>Days We Stared At The Sun</v>
      </c>
      <c r="U1856" s="5" t="str">
        <f>IFERROR(__xludf.DUMMYFUNCTION("""COMPUTED_VALUE"""),"Bassam Tariq")</f>
        <v>Bassam Tariq</v>
      </c>
      <c r="V1856" s="5" t="s">
        <v>10718</v>
      </c>
      <c r="W1856" s="5" t="str">
        <f t="shared" si="3"/>
        <v>Jennifer Kaytin Robinson</v>
      </c>
      <c r="X1856" s="5">
        <f t="shared" si="4"/>
        <v>1</v>
      </c>
      <c r="Y1856" s="5" t="str">
        <f>IFERROR(__xludf.DUMMYFUNCTION("REGEXEXTRACT(J1856, ""^\d+"")"),"1")</f>
        <v>1</v>
      </c>
      <c r="Z1856" s="5" t="str">
        <f>IFERROR(__xludf.DUMMYFUNCTION("REGEXEXTRACT(J1856, ""[A-Za-z ]+$"")")," Season")</f>
        <v> Season</v>
      </c>
      <c r="AA1856" s="5" t="str">
        <f>IFERROR(__xludf.DUMMYFUNCTION("IF(REGEXMATCH(Z1856, ""Season""), ""TV Show"", ""Movie"")"),"TV Show")</f>
        <v>TV Show</v>
      </c>
    </row>
    <row r="1857">
      <c r="A1857" s="1" t="s">
        <v>10719</v>
      </c>
      <c r="B1857" s="1" t="s">
        <v>27</v>
      </c>
      <c r="C1857" s="1" t="s">
        <v>10720</v>
      </c>
      <c r="D1857" s="1" t="s">
        <v>10721</v>
      </c>
      <c r="E1857" s="1" t="s">
        <v>10722</v>
      </c>
      <c r="F1857" s="1" t="s">
        <v>2059</v>
      </c>
      <c r="G1857" s="1" t="s">
        <v>10723</v>
      </c>
      <c r="H1857" s="1">
        <v>2020.0</v>
      </c>
      <c r="I1857" s="1" t="s">
        <v>97</v>
      </c>
      <c r="J1857" s="1" t="s">
        <v>1091</v>
      </c>
      <c r="K1857" s="1" t="s">
        <v>10724</v>
      </c>
      <c r="L1857" s="1" t="s">
        <v>10725</v>
      </c>
      <c r="M1857" s="2" t="s">
        <v>12</v>
      </c>
      <c r="N1857" s="4">
        <f t="shared" si="1"/>
        <v>44118</v>
      </c>
      <c r="O1857" s="5" t="str">
        <f>IFERROR(__xludf.DUMMYFUNCTION("IF(REGEXMATCH(TRIM(I1857), ""^\d+\s*min""), ""Unclassified"", IF(I1857 = """", ""NR"", I1857))"),"TV-14")</f>
        <v>TV-14</v>
      </c>
      <c r="R1857" s="5" t="str">
        <f t="shared" si="2"/>
        <v>A Choo</v>
      </c>
      <c r="S1857" s="5" t="str">
        <f>IFERROR(__xludf.DUMMYFUNCTION("""COMPUTED_VALUE"""),"Dayveon")</f>
        <v>Dayveon</v>
      </c>
      <c r="U1857" s="5" t="str">
        <f>IFERROR(__xludf.DUMMYFUNCTION("""COMPUTED_VALUE"""),"Leslie Iwerks")</f>
        <v>Leslie Iwerks</v>
      </c>
      <c r="V1857" s="5" t="s">
        <v>10726</v>
      </c>
      <c r="W1857" s="5" t="str">
        <f t="shared" si="3"/>
        <v>Jennifer Lynch</v>
      </c>
      <c r="X1857" s="5">
        <f t="shared" si="4"/>
        <v>1</v>
      </c>
      <c r="Y1857" s="5" t="str">
        <f>IFERROR(__xludf.DUMMYFUNCTION("REGEXEXTRACT(J1857, ""^\d+"")"),"101")</f>
        <v>101</v>
      </c>
      <c r="Z1857" s="5" t="str">
        <f>IFERROR(__xludf.DUMMYFUNCTION("REGEXEXTRACT(J1857, ""[A-Za-z ]+$"")")," min")</f>
        <v> min</v>
      </c>
      <c r="AA1857" s="5" t="str">
        <f>IFERROR(__xludf.DUMMYFUNCTION("IF(REGEXMATCH(Z1857, ""Season""), ""TV Show"", ""Movie"")"),"Movie")</f>
        <v>Movie</v>
      </c>
    </row>
    <row r="1858">
      <c r="A1858" s="1" t="s">
        <v>10727</v>
      </c>
      <c r="B1858" s="1" t="s">
        <v>27</v>
      </c>
      <c r="C1858" s="1" t="s">
        <v>10728</v>
      </c>
      <c r="D1858" s="1" t="s">
        <v>4209</v>
      </c>
      <c r="E1858" s="1" t="s">
        <v>10729</v>
      </c>
      <c r="F1858" s="1" t="s">
        <v>30</v>
      </c>
      <c r="G1858" s="1" t="s">
        <v>10723</v>
      </c>
      <c r="H1858" s="1">
        <v>2020.0</v>
      </c>
      <c r="I1858" s="1" t="s">
        <v>97</v>
      </c>
      <c r="J1858" s="1" t="s">
        <v>729</v>
      </c>
      <c r="K1858" s="1" t="s">
        <v>700</v>
      </c>
      <c r="L1858" s="1" t="s">
        <v>10730</v>
      </c>
      <c r="M1858" s="2" t="s">
        <v>12</v>
      </c>
      <c r="N1858" s="4">
        <f t="shared" si="1"/>
        <v>44118</v>
      </c>
      <c r="O1858" s="5" t="str">
        <f>IFERROR(__xludf.DUMMYFUNCTION("IF(REGEXMATCH(TRIM(I1858), ""^\d+\s*min""), ""Unclassified"", IF(I1858 = """", ""NR"", I1858))"),"TV-14")</f>
        <v>TV-14</v>
      </c>
      <c r="R1858" s="5" t="str">
        <f t="shared" si="2"/>
        <v>Blackpink: Light Up The Sky</v>
      </c>
      <c r="S1858" s="5" t="str">
        <f>IFERROR(__xludf.DUMMYFUNCTION("""COMPUTED_VALUE"""),"Dc Super Hero Girls")</f>
        <v>Dc Super Hero Girls</v>
      </c>
      <c r="U1858" s="5" t="str">
        <f>IFERROR(__xludf.DUMMYFUNCTION("""COMPUTED_VALUE"""),"Louie Psihoyos")</f>
        <v>Louie Psihoyos</v>
      </c>
      <c r="V1858" s="5" t="s">
        <v>10731</v>
      </c>
      <c r="W1858" s="5" t="str">
        <f t="shared" si="3"/>
        <v>Jennifer M. Kroot</v>
      </c>
      <c r="X1858" s="5">
        <f t="shared" si="4"/>
        <v>1</v>
      </c>
      <c r="Y1858" s="5" t="str">
        <f>IFERROR(__xludf.DUMMYFUNCTION("REGEXEXTRACT(J1858, ""^\d+"")"),"80")</f>
        <v>80</v>
      </c>
      <c r="Z1858" s="5" t="str">
        <f>IFERROR(__xludf.DUMMYFUNCTION("REGEXEXTRACT(J1858, ""[A-Za-z ]+$"")")," min")</f>
        <v> min</v>
      </c>
      <c r="AA1858" s="5" t="str">
        <f>IFERROR(__xludf.DUMMYFUNCTION("IF(REGEXMATCH(Z1858, ""Season""), ""TV Show"", ""Movie"")"),"Movie")</f>
        <v>Movie</v>
      </c>
    </row>
    <row r="1859">
      <c r="A1859" s="1" t="s">
        <v>10732</v>
      </c>
      <c r="B1859" s="1" t="s">
        <v>27</v>
      </c>
      <c r="C1859" s="1" t="s">
        <v>10733</v>
      </c>
      <c r="D1859" s="1" t="s">
        <v>4175</v>
      </c>
      <c r="F1859" s="1" t="s">
        <v>162</v>
      </c>
      <c r="G1859" s="1" t="s">
        <v>10723</v>
      </c>
      <c r="H1859" s="1">
        <v>2020.0</v>
      </c>
      <c r="I1859" s="1" t="s">
        <v>42</v>
      </c>
      <c r="J1859" s="1" t="s">
        <v>297</v>
      </c>
      <c r="K1859" s="1" t="s">
        <v>156</v>
      </c>
      <c r="L1859" s="1" t="s">
        <v>10734</v>
      </c>
      <c r="M1859" s="2" t="s">
        <v>12</v>
      </c>
      <c r="N1859" s="4">
        <f t="shared" si="1"/>
        <v>44118</v>
      </c>
      <c r="O1859" s="5" t="str">
        <f>IFERROR(__xludf.DUMMYFUNCTION("IF(REGEXMATCH(TRIM(I1859), ""^\d+\s*min""), ""Unclassified"", IF(I1859 = """", ""NR"", I1859))"),"TV-MA")</f>
        <v>TV-MA</v>
      </c>
      <c r="R1859" s="5" t="str">
        <f t="shared" si="2"/>
        <v>The Three Deaths Of Marisela Escobedo</v>
      </c>
      <c r="S1859" s="5" t="str">
        <f>IFERROR(__xludf.DUMMYFUNCTION("""COMPUTED_VALUE"""),"Dc'S Legends Of Tomorrow")</f>
        <v>Dc'S Legends Of Tomorrow</v>
      </c>
      <c r="U1859" s="5" t="str">
        <f>IFERROR(__xludf.DUMMYFUNCTION("""COMPUTED_VALUE"""),"Ahmet Katıksız")</f>
        <v>Ahmet Katıksız</v>
      </c>
      <c r="V1859" s="5" t="s">
        <v>10735</v>
      </c>
      <c r="W1859" s="5" t="str">
        <f t="shared" si="3"/>
        <v>Jennifer Morrison</v>
      </c>
      <c r="X1859" s="5">
        <f t="shared" si="4"/>
        <v>1</v>
      </c>
      <c r="Y1859" s="5" t="str">
        <f>IFERROR(__xludf.DUMMYFUNCTION("REGEXEXTRACT(J1859, ""^\d+"")"),"110")</f>
        <v>110</v>
      </c>
      <c r="Z1859" s="5" t="str">
        <f>IFERROR(__xludf.DUMMYFUNCTION("REGEXEXTRACT(J1859, ""[A-Za-z ]+$"")")," min")</f>
        <v> min</v>
      </c>
      <c r="AA1859" s="5" t="str">
        <f>IFERROR(__xludf.DUMMYFUNCTION("IF(REGEXMATCH(Z1859, ""Season""), ""TV Show"", ""Movie"")"),"Movie")</f>
        <v>Movie</v>
      </c>
    </row>
    <row r="1860">
      <c r="A1860" s="1" t="s">
        <v>10736</v>
      </c>
      <c r="B1860" s="1" t="s">
        <v>27</v>
      </c>
      <c r="C1860" s="1" t="s">
        <v>10737</v>
      </c>
      <c r="D1860" s="1" t="s">
        <v>10738</v>
      </c>
      <c r="E1860" s="1" t="s">
        <v>10739</v>
      </c>
      <c r="F1860" s="1" t="s">
        <v>63</v>
      </c>
      <c r="G1860" s="1" t="s">
        <v>10740</v>
      </c>
      <c r="H1860" s="1">
        <v>2004.0</v>
      </c>
      <c r="I1860" s="1" t="s">
        <v>97</v>
      </c>
      <c r="J1860" s="1" t="s">
        <v>743</v>
      </c>
      <c r="K1860" s="1" t="s">
        <v>3434</v>
      </c>
      <c r="L1860" s="1" t="s">
        <v>10741</v>
      </c>
      <c r="M1860" s="2" t="s">
        <v>12</v>
      </c>
      <c r="N1860" s="4">
        <f t="shared" si="1"/>
        <v>44117</v>
      </c>
      <c r="O1860" s="5" t="str">
        <f>IFERROR(__xludf.DUMMYFUNCTION("IF(REGEXMATCH(TRIM(I1860), ""^\d+\s*min""), ""Unclassified"", IF(I1860 = """", ""NR"", I1860))"),"TV-14")</f>
        <v>TV-14</v>
      </c>
      <c r="R1860" s="5" t="str">
        <f t="shared" si="2"/>
        <v>Fida</v>
      </c>
      <c r="S1860" s="5" t="str">
        <f>IFERROR(__xludf.DUMMYFUNCTION("""COMPUTED_VALUE"""),"De Film Van Dylan Haegens")</f>
        <v>De Film Van Dylan Haegens</v>
      </c>
      <c r="U1860" s="5" t="str">
        <f>IFERROR(__xludf.DUMMYFUNCTION("""COMPUTED_VALUE"""),"Jean-François Blais")</f>
        <v>Jean-François Blais</v>
      </c>
      <c r="V1860" s="5" t="s">
        <v>10742</v>
      </c>
      <c r="W1860" s="5" t="str">
        <f t="shared" si="3"/>
        <v>Jennifer Peedom</v>
      </c>
      <c r="X1860" s="5">
        <f t="shared" si="4"/>
        <v>1</v>
      </c>
      <c r="Y1860" s="5" t="str">
        <f>IFERROR(__xludf.DUMMYFUNCTION("REGEXEXTRACT(J1860, ""^\d+"")"),"117")</f>
        <v>117</v>
      </c>
      <c r="Z1860" s="5" t="str">
        <f>IFERROR(__xludf.DUMMYFUNCTION("REGEXEXTRACT(J1860, ""[A-Za-z ]+$"")")," min")</f>
        <v> min</v>
      </c>
      <c r="AA1860" s="5" t="str">
        <f>IFERROR(__xludf.DUMMYFUNCTION("IF(REGEXMATCH(Z1860, ""Season""), ""TV Show"", ""Movie"")"),"Movie")</f>
        <v>Movie</v>
      </c>
    </row>
    <row r="1861">
      <c r="A1861" s="1" t="s">
        <v>10743</v>
      </c>
      <c r="B1861" s="1" t="s">
        <v>27</v>
      </c>
      <c r="C1861" s="1" t="s">
        <v>10744</v>
      </c>
      <c r="D1861" s="1" t="s">
        <v>3490</v>
      </c>
      <c r="E1861" s="1" t="s">
        <v>6825</v>
      </c>
      <c r="F1861" s="1" t="s">
        <v>96</v>
      </c>
      <c r="G1861" s="1" t="s">
        <v>10740</v>
      </c>
      <c r="H1861" s="1">
        <v>2020.0</v>
      </c>
      <c r="I1861" s="1" t="s">
        <v>206</v>
      </c>
      <c r="J1861" s="1" t="s">
        <v>5207</v>
      </c>
      <c r="K1861" s="1" t="s">
        <v>80</v>
      </c>
      <c r="L1861" s="1" t="s">
        <v>10745</v>
      </c>
      <c r="M1861" s="2" t="s">
        <v>12</v>
      </c>
      <c r="N1861" s="4">
        <f t="shared" si="1"/>
        <v>44117</v>
      </c>
      <c r="O1861" s="5" t="str">
        <f>IFERROR(__xludf.DUMMYFUNCTION("IF(REGEXMATCH(TRIM(I1861), ""^\d+\s*min""), ""Unclassified"", IF(I1861 = """", ""NR"", I1861))"),"TV-Y")</f>
        <v>TV-Y</v>
      </c>
      <c r="R1861" s="5" t="str">
        <f t="shared" si="2"/>
        <v>Octonauts &amp; The Great Barrier Reef</v>
      </c>
      <c r="S1861" s="5" t="str">
        <f>IFERROR(__xludf.DUMMYFUNCTION("""COMPUTED_VALUE"""),"De Palma")</f>
        <v>De Palma</v>
      </c>
      <c r="U1861" s="5" t="str">
        <f>IFERROR(__xludf.DUMMYFUNCTION("""COMPUTED_VALUE"""),"Leïla Sy, Kery James")</f>
        <v>Leïla Sy, Kery James</v>
      </c>
      <c r="V1861" s="5" t="s">
        <v>10746</v>
      </c>
      <c r="W1861" s="5" t="str">
        <f t="shared" si="3"/>
        <v>Jennifer Phang</v>
      </c>
      <c r="X1861" s="5">
        <f t="shared" si="4"/>
        <v>1</v>
      </c>
      <c r="Y1861" s="5" t="str">
        <f>IFERROR(__xludf.DUMMYFUNCTION("REGEXEXTRACT(J1861, ""^\d+"")"),"47")</f>
        <v>47</v>
      </c>
      <c r="Z1861" s="5" t="str">
        <f>IFERROR(__xludf.DUMMYFUNCTION("REGEXEXTRACT(J1861, ""[A-Za-z ]+$"")")," min")</f>
        <v> min</v>
      </c>
      <c r="AA1861" s="5" t="str">
        <f>IFERROR(__xludf.DUMMYFUNCTION("IF(REGEXMATCH(Z1861, ""Season""), ""TV Show"", ""Movie"")"),"Movie")</f>
        <v>Movie</v>
      </c>
    </row>
    <row r="1862">
      <c r="A1862" s="1" t="s">
        <v>10747</v>
      </c>
      <c r="B1862" s="1" t="s">
        <v>37</v>
      </c>
      <c r="C1862" s="1" t="s">
        <v>10748</v>
      </c>
      <c r="E1862" s="1" t="s">
        <v>10749</v>
      </c>
      <c r="F1862" s="1" t="s">
        <v>30</v>
      </c>
      <c r="G1862" s="1" t="s">
        <v>10740</v>
      </c>
      <c r="H1862" s="1">
        <v>2020.0</v>
      </c>
      <c r="I1862" s="1" t="s">
        <v>42</v>
      </c>
      <c r="J1862" s="1" t="s">
        <v>51</v>
      </c>
      <c r="K1862" s="1" t="s">
        <v>10750</v>
      </c>
      <c r="L1862" s="1" t="s">
        <v>10751</v>
      </c>
      <c r="M1862" s="2" t="s">
        <v>12</v>
      </c>
      <c r="N1862" s="4">
        <f t="shared" si="1"/>
        <v>44117</v>
      </c>
      <c r="O1862" s="5" t="str">
        <f>IFERROR(__xludf.DUMMYFUNCTION("IF(REGEXMATCH(TRIM(I1862), ""^\d+\s*min""), ""Unclassified"", IF(I1862 = """", ""NR"", I1862))"),"TV-MA")</f>
        <v>TV-MA</v>
      </c>
      <c r="R1862" s="5" t="str">
        <f t="shared" si="2"/>
        <v>The Cabin With Bert Kreischer</v>
      </c>
      <c r="S1862" s="5" t="str">
        <f>IFERROR(__xludf.DUMMYFUNCTION("""COMPUTED_VALUE"""),"Dead Again In Tombstone")</f>
        <v>Dead Again In Tombstone</v>
      </c>
      <c r="U1862" s="5" t="str">
        <f>IFERROR(__xludf.DUMMYFUNCTION("""COMPUTED_VALUE"""),"Vince Gilligan")</f>
        <v>Vince Gilligan</v>
      </c>
      <c r="V1862" s="5" t="s">
        <v>10752</v>
      </c>
      <c r="W1862" s="5" t="str">
        <f t="shared" si="3"/>
        <v>Jennifer Siebel Newsom</v>
      </c>
      <c r="X1862" s="5">
        <f t="shared" si="4"/>
        <v>1</v>
      </c>
      <c r="Y1862" s="5" t="str">
        <f>IFERROR(__xludf.DUMMYFUNCTION("REGEXEXTRACT(J1862, ""^\d+"")"),"1")</f>
        <v>1</v>
      </c>
      <c r="Z1862" s="5" t="str">
        <f>IFERROR(__xludf.DUMMYFUNCTION("REGEXEXTRACT(J1862, ""[A-Za-z ]+$"")")," Season")</f>
        <v> Season</v>
      </c>
      <c r="AA1862" s="5" t="str">
        <f>IFERROR(__xludf.DUMMYFUNCTION("IF(REGEXMATCH(Z1862, ""Season""), ""TV Show"", ""Movie"")"),"TV Show")</f>
        <v>TV Show</v>
      </c>
    </row>
    <row r="1863">
      <c r="A1863" s="1" t="s">
        <v>10753</v>
      </c>
      <c r="B1863" s="1" t="s">
        <v>27</v>
      </c>
      <c r="C1863" s="1" t="s">
        <v>10754</v>
      </c>
      <c r="D1863" s="1" t="s">
        <v>9619</v>
      </c>
      <c r="E1863" s="1" t="s">
        <v>10755</v>
      </c>
      <c r="F1863" s="1" t="s">
        <v>63</v>
      </c>
      <c r="G1863" s="1" t="s">
        <v>10756</v>
      </c>
      <c r="H1863" s="1">
        <v>1990.0</v>
      </c>
      <c r="I1863" s="1" t="s">
        <v>97</v>
      </c>
      <c r="J1863" s="1" t="s">
        <v>1390</v>
      </c>
      <c r="K1863" s="1" t="s">
        <v>583</v>
      </c>
      <c r="L1863" s="1" t="s">
        <v>10757</v>
      </c>
      <c r="M1863" s="2" t="s">
        <v>12</v>
      </c>
      <c r="N1863" s="4">
        <f t="shared" si="1"/>
        <v>44116</v>
      </c>
      <c r="O1863" s="5" t="str">
        <f>IFERROR(__xludf.DUMMYFUNCTION("IF(REGEXMATCH(TRIM(I1863), ""^\d+\s*min""), ""Unclassified"", IF(I1863 = """", ""NR"", I1863))"),"TV-14")</f>
        <v>TV-14</v>
      </c>
      <c r="R1863" s="5" t="str">
        <f t="shared" si="2"/>
        <v>Dil</v>
      </c>
      <c r="S1863" s="5" t="str">
        <f>IFERROR(__xludf.DUMMYFUNCTION("""COMPUTED_VALUE"""),"Dead In A Week (Or Your Money Back)")</f>
        <v>Dead In A Week (Or Your Money Back)</v>
      </c>
      <c r="U1863" s="5" t="str">
        <f>IFERROR(__xludf.DUMMYFUNCTION("""COMPUTED_VALUE"""),"Bolanle Austen-Peters")</f>
        <v>Bolanle Austen-Peters</v>
      </c>
      <c r="V1863" s="5" t="s">
        <v>10162</v>
      </c>
      <c r="W1863" s="5" t="str">
        <f t="shared" si="3"/>
        <v>Jennifer Westcott</v>
      </c>
      <c r="X1863" s="5">
        <f t="shared" si="4"/>
        <v>1</v>
      </c>
      <c r="Y1863" s="5" t="str">
        <f>IFERROR(__xludf.DUMMYFUNCTION("REGEXEXTRACT(J1863, ""^\d+"")"),"165")</f>
        <v>165</v>
      </c>
      <c r="Z1863" s="5" t="str">
        <f>IFERROR(__xludf.DUMMYFUNCTION("REGEXEXTRACT(J1863, ""[A-Za-z ]+$"")")," min")</f>
        <v> min</v>
      </c>
      <c r="AA1863" s="5" t="str">
        <f>IFERROR(__xludf.DUMMYFUNCTION("IF(REGEXMATCH(Z1863, ""Season""), ""TV Show"", ""Movie"")"),"Movie")</f>
        <v>Movie</v>
      </c>
    </row>
    <row r="1864">
      <c r="A1864" s="1" t="s">
        <v>10758</v>
      </c>
      <c r="B1864" s="1" t="s">
        <v>27</v>
      </c>
      <c r="C1864" s="1" t="s">
        <v>10759</v>
      </c>
      <c r="D1864" s="1" t="s">
        <v>2887</v>
      </c>
      <c r="E1864" s="1" t="s">
        <v>10760</v>
      </c>
      <c r="F1864" s="1" t="s">
        <v>63</v>
      </c>
      <c r="G1864" s="1" t="s">
        <v>10756</v>
      </c>
      <c r="H1864" s="1">
        <v>1982.0</v>
      </c>
      <c r="I1864" s="1" t="s">
        <v>97</v>
      </c>
      <c r="J1864" s="1" t="s">
        <v>7413</v>
      </c>
      <c r="K1864" s="1" t="s">
        <v>10761</v>
      </c>
      <c r="L1864" s="1" t="s">
        <v>10762</v>
      </c>
      <c r="M1864" s="2" t="s">
        <v>12</v>
      </c>
      <c r="N1864" s="4">
        <f t="shared" si="1"/>
        <v>44116</v>
      </c>
      <c r="O1864" s="5" t="str">
        <f>IFERROR(__xludf.DUMMYFUNCTION("IF(REGEXMATCH(TRIM(I1864), ""^\d+\s*min""), ""Unclassified"", IF(I1864 = """", ""NR"", I1864))"),"TV-14")</f>
        <v>TV-14</v>
      </c>
      <c r="R1864" s="5" t="str">
        <f t="shared" si="2"/>
        <v>Disco Dancer</v>
      </c>
      <c r="S1864" s="5" t="str">
        <f>IFERROR(__xludf.DUMMYFUNCTION("""COMPUTED_VALUE"""),"Dead Kids")</f>
        <v>Dead Kids</v>
      </c>
      <c r="U1864" s="5" t="str">
        <f>IFERROR(__xludf.DUMMYFUNCTION("""COMPUTED_VALUE"""),"Dennis Rovira Van Boekholt")</f>
        <v>Dennis Rovira Van Boekholt</v>
      </c>
      <c r="V1864" s="5" t="s">
        <v>3571</v>
      </c>
      <c r="W1864" s="5" t="str">
        <f t="shared" si="3"/>
        <v>Jennifer Yuh Nelson</v>
      </c>
      <c r="X1864" s="5">
        <f t="shared" si="4"/>
        <v>1</v>
      </c>
      <c r="Y1864" s="5" t="str">
        <f>IFERROR(__xludf.DUMMYFUNCTION("REGEXEXTRACT(J1864, ""^\d+"")"),"134")</f>
        <v>134</v>
      </c>
      <c r="Z1864" s="5" t="str">
        <f>IFERROR(__xludf.DUMMYFUNCTION("REGEXEXTRACT(J1864, ""[A-Za-z ]+$"")")," min")</f>
        <v> min</v>
      </c>
      <c r="AA1864" s="5" t="str">
        <f>IFERROR(__xludf.DUMMYFUNCTION("IF(REGEXMATCH(Z1864, ""Season""), ""TV Show"", ""Movie"")"),"Movie")</f>
        <v>Movie</v>
      </c>
    </row>
    <row r="1865">
      <c r="A1865" s="1" t="s">
        <v>10763</v>
      </c>
      <c r="B1865" s="1" t="s">
        <v>27</v>
      </c>
      <c r="C1865" s="1" t="s">
        <v>10764</v>
      </c>
      <c r="D1865" s="1" t="s">
        <v>9103</v>
      </c>
      <c r="E1865" s="1" t="s">
        <v>10765</v>
      </c>
      <c r="F1865" s="1" t="s">
        <v>63</v>
      </c>
      <c r="G1865" s="1" t="s">
        <v>10756</v>
      </c>
      <c r="H1865" s="1">
        <v>2015.0</v>
      </c>
      <c r="I1865" s="1" t="s">
        <v>42</v>
      </c>
      <c r="J1865" s="1" t="s">
        <v>1704</v>
      </c>
      <c r="K1865" s="1" t="s">
        <v>215</v>
      </c>
      <c r="L1865" s="1" t="s">
        <v>10766</v>
      </c>
      <c r="M1865" s="2" t="s">
        <v>12</v>
      </c>
      <c r="N1865" s="4">
        <f t="shared" si="1"/>
        <v>44116</v>
      </c>
      <c r="O1865" s="5" t="str">
        <f>IFERROR(__xludf.DUMMYFUNCTION("IF(REGEXMATCH(TRIM(I1865), ""^\d+\s*min""), ""Unclassified"", IF(I1865 = """", ""NR"", I1865))"),"TV-MA")</f>
        <v>TV-MA</v>
      </c>
      <c r="R1865" s="5" t="str">
        <f t="shared" si="2"/>
        <v>Hunterrr</v>
      </c>
      <c r="S1865" s="5" t="str">
        <f>IFERROR(__xludf.DUMMYFUNCTION("""COMPUTED_VALUE"""),"Dead Man Down")</f>
        <v>Dead Man Down</v>
      </c>
      <c r="U1865" s="5" t="str">
        <f>IFERROR(__xludf.DUMMYFUNCTION("""COMPUTED_VALUE"""),"Naoto Amazutsumi")</f>
        <v>Naoto Amazutsumi</v>
      </c>
      <c r="V1865" s="5" t="s">
        <v>10767</v>
      </c>
      <c r="W1865" s="5" t="str">
        <f t="shared" si="3"/>
        <v>Jenny Carchman</v>
      </c>
      <c r="X1865" s="5">
        <f t="shared" si="4"/>
        <v>1</v>
      </c>
      <c r="Y1865" s="5" t="str">
        <f>IFERROR(__xludf.DUMMYFUNCTION("REGEXEXTRACT(J1865, ""^\d+"")"),"140")</f>
        <v>140</v>
      </c>
      <c r="Z1865" s="5" t="str">
        <f>IFERROR(__xludf.DUMMYFUNCTION("REGEXEXTRACT(J1865, ""[A-Za-z ]+$"")")," min")</f>
        <v> min</v>
      </c>
      <c r="AA1865" s="5" t="str">
        <f>IFERROR(__xludf.DUMMYFUNCTION("IF(REGEXMATCH(Z1865, ""Season""), ""TV Show"", ""Movie"")"),"Movie")</f>
        <v>Movie</v>
      </c>
    </row>
    <row r="1866">
      <c r="A1866" s="1" t="s">
        <v>10768</v>
      </c>
      <c r="B1866" s="1" t="s">
        <v>37</v>
      </c>
      <c r="C1866" s="1" t="s">
        <v>10769</v>
      </c>
      <c r="E1866" s="1" t="s">
        <v>10770</v>
      </c>
      <c r="F1866" s="1" t="s">
        <v>30</v>
      </c>
      <c r="G1866" s="1" t="s">
        <v>10756</v>
      </c>
      <c r="H1866" s="1">
        <v>2020.0</v>
      </c>
      <c r="I1866" s="1" t="s">
        <v>289</v>
      </c>
      <c r="J1866" s="1" t="s">
        <v>276</v>
      </c>
      <c r="K1866" s="1" t="s">
        <v>314</v>
      </c>
      <c r="L1866" s="1" t="s">
        <v>10771</v>
      </c>
      <c r="M1866" s="2" t="s">
        <v>12</v>
      </c>
      <c r="N1866" s="4">
        <f t="shared" si="1"/>
        <v>44116</v>
      </c>
      <c r="O1866" s="5" t="str">
        <f>IFERROR(__xludf.DUMMYFUNCTION("IF(REGEXMATCH(TRIM(I1866), ""^\d+\s*min""), ""Unclassified"", IF(I1866 = """", ""NR"", I1866))"),"TV-Y7")</f>
        <v>TV-Y7</v>
      </c>
      <c r="R1866" s="5" t="str">
        <f t="shared" si="2"/>
        <v>Kipo And The Age Of Wonderbeasts</v>
      </c>
      <c r="S1866" s="5" t="str">
        <f>IFERROR(__xludf.DUMMYFUNCTION("""COMPUTED_VALUE"""),"Dead Set")</f>
        <v>Dead Set</v>
      </c>
      <c r="U1866" s="5" t="str">
        <f>IFERROR(__xludf.DUMMYFUNCTION("""COMPUTED_VALUE"""),"Jenny Gage")</f>
        <v>Jenny Gage</v>
      </c>
      <c r="V1866" s="5" t="s">
        <v>10772</v>
      </c>
      <c r="W1866" s="5" t="str">
        <f t="shared" si="3"/>
        <v>Jenny Gage</v>
      </c>
      <c r="X1866" s="5">
        <f t="shared" si="4"/>
        <v>1</v>
      </c>
      <c r="Y1866" s="5" t="str">
        <f>IFERROR(__xludf.DUMMYFUNCTION("REGEXEXTRACT(J1866, ""^\d+"")"),"3")</f>
        <v>3</v>
      </c>
      <c r="Z1866" s="5" t="str">
        <f>IFERROR(__xludf.DUMMYFUNCTION("REGEXEXTRACT(J1866, ""[A-Za-z ]+$"")")," Seasons")</f>
        <v> Seasons</v>
      </c>
      <c r="AA1866" s="5" t="str">
        <f>IFERROR(__xludf.DUMMYFUNCTION("IF(REGEXMATCH(Z1866, ""Season""), ""TV Show"", ""Movie"")"),"TV Show")</f>
        <v>TV Show</v>
      </c>
    </row>
    <row r="1867">
      <c r="A1867" s="1" t="s">
        <v>10773</v>
      </c>
      <c r="B1867" s="1" t="s">
        <v>27</v>
      </c>
      <c r="C1867" s="1" t="s">
        <v>10774</v>
      </c>
      <c r="D1867" s="1" t="s">
        <v>10775</v>
      </c>
      <c r="E1867" s="1" t="s">
        <v>10776</v>
      </c>
      <c r="F1867" s="1" t="s">
        <v>63</v>
      </c>
      <c r="G1867" s="1" t="s">
        <v>10756</v>
      </c>
      <c r="H1867" s="1">
        <v>2006.0</v>
      </c>
      <c r="I1867" s="1" t="s">
        <v>97</v>
      </c>
      <c r="J1867" s="1" t="s">
        <v>1407</v>
      </c>
      <c r="K1867" s="1" t="s">
        <v>199</v>
      </c>
      <c r="L1867" s="1" t="s">
        <v>10777</v>
      </c>
      <c r="M1867" s="2" t="s">
        <v>12</v>
      </c>
      <c r="N1867" s="4">
        <f t="shared" si="1"/>
        <v>44116</v>
      </c>
      <c r="O1867" s="5" t="str">
        <f>IFERROR(__xludf.DUMMYFUNCTION("IF(REGEXMATCH(TRIM(I1867), ""^\d+\s*min""), ""Unclassified"", IF(I1867 = """", ""NR"", I1867))"),"TV-14")</f>
        <v>TV-14</v>
      </c>
      <c r="R1867" s="5" t="str">
        <f t="shared" si="2"/>
        <v>Phir Hera Pheri</v>
      </c>
      <c r="S1867" s="5" t="str">
        <f>IFERROR(__xludf.DUMMYFUNCTION("""COMPUTED_VALUE"""),"Dead To Me")</f>
        <v>Dead To Me</v>
      </c>
      <c r="U1867" s="5" t="str">
        <f>IFERROR(__xludf.DUMMYFUNCTION("""COMPUTED_VALUE"""),"Kaila York")</f>
        <v>Kaila York</v>
      </c>
      <c r="V1867" s="5" t="s">
        <v>10778</v>
      </c>
      <c r="W1867" s="5" t="str">
        <f t="shared" si="3"/>
        <v>Jenny Popplewell</v>
      </c>
      <c r="X1867" s="5">
        <f t="shared" si="4"/>
        <v>1</v>
      </c>
      <c r="Y1867" s="5" t="str">
        <f>IFERROR(__xludf.DUMMYFUNCTION("REGEXEXTRACT(J1867, ""^\d+"")"),"150")</f>
        <v>150</v>
      </c>
      <c r="Z1867" s="5" t="str">
        <f>IFERROR(__xludf.DUMMYFUNCTION("REGEXEXTRACT(J1867, ""[A-Za-z ]+$"")")," min")</f>
        <v> min</v>
      </c>
      <c r="AA1867" s="5" t="str">
        <f>IFERROR(__xludf.DUMMYFUNCTION("IF(REGEXMATCH(Z1867, ""Season""), ""TV Show"", ""Movie"")"),"Movie")</f>
        <v>Movie</v>
      </c>
    </row>
    <row r="1868">
      <c r="A1868" s="1" t="s">
        <v>10779</v>
      </c>
      <c r="B1868" s="1" t="s">
        <v>27</v>
      </c>
      <c r="C1868" s="1" t="s">
        <v>10780</v>
      </c>
      <c r="D1868" s="1" t="s">
        <v>10390</v>
      </c>
      <c r="E1868" s="1" t="s">
        <v>10781</v>
      </c>
      <c r="F1868" s="1" t="s">
        <v>63</v>
      </c>
      <c r="G1868" s="1" t="s">
        <v>10756</v>
      </c>
      <c r="H1868" s="1">
        <v>2002.0</v>
      </c>
      <c r="I1868" s="1" t="s">
        <v>97</v>
      </c>
      <c r="J1868" s="1" t="s">
        <v>1235</v>
      </c>
      <c r="K1868" s="1" t="s">
        <v>128</v>
      </c>
      <c r="L1868" s="1" t="s">
        <v>10782</v>
      </c>
      <c r="M1868" s="2" t="s">
        <v>12</v>
      </c>
      <c r="N1868" s="4">
        <f t="shared" si="1"/>
        <v>44116</v>
      </c>
      <c r="O1868" s="5" t="str">
        <f>IFERROR(__xludf.DUMMYFUNCTION("IF(REGEXMATCH(TRIM(I1868), ""^\d+\s*min""), ""Unclassified"", IF(I1868 = """", ""NR"", I1868))"),"TV-14")</f>
        <v>TV-14</v>
      </c>
      <c r="R1868" s="5" t="str">
        <f t="shared" si="2"/>
        <v>The Legend Of Bhagat Singh</v>
      </c>
      <c r="S1868" s="5" t="str">
        <f>IFERROR(__xludf.DUMMYFUNCTION("""COMPUTED_VALUE"""),"Deadcon")</f>
        <v>Deadcon</v>
      </c>
      <c r="U1868" s="5" t="str">
        <f>IFERROR(__xludf.DUMMYFUNCTION("""COMPUTED_VALUE"""),"Vandana Kataria")</f>
        <v>Vandana Kataria</v>
      </c>
      <c r="V1868" s="5" t="s">
        <v>8105</v>
      </c>
      <c r="W1868" s="5" t="str">
        <f t="shared" si="3"/>
        <v>Jeo Baby</v>
      </c>
      <c r="X1868" s="5">
        <f t="shared" si="4"/>
        <v>1</v>
      </c>
      <c r="Y1868" s="5" t="str">
        <f>IFERROR(__xludf.DUMMYFUNCTION("REGEXEXTRACT(J1868, ""^\d+"")"),"156")</f>
        <v>156</v>
      </c>
      <c r="Z1868" s="5" t="str">
        <f>IFERROR(__xludf.DUMMYFUNCTION("REGEXEXTRACT(J1868, ""[A-Za-z ]+$"")")," min")</f>
        <v> min</v>
      </c>
      <c r="AA1868" s="5" t="str">
        <f>IFERROR(__xludf.DUMMYFUNCTION("IF(REGEXMATCH(Z1868, ""Season""), ""TV Show"", ""Movie"")"),"Movie")</f>
        <v>Movie</v>
      </c>
    </row>
    <row r="1869">
      <c r="A1869" s="1" t="s">
        <v>10783</v>
      </c>
      <c r="B1869" s="1" t="s">
        <v>27</v>
      </c>
      <c r="C1869" s="1" t="s">
        <v>10784</v>
      </c>
      <c r="D1869" s="1" t="s">
        <v>1139</v>
      </c>
      <c r="E1869" s="1" t="s">
        <v>10785</v>
      </c>
      <c r="F1869" s="1" t="s">
        <v>30</v>
      </c>
      <c r="G1869" s="1" t="s">
        <v>10786</v>
      </c>
      <c r="H1869" s="1">
        <v>2017.0</v>
      </c>
      <c r="I1869" s="1" t="s">
        <v>42</v>
      </c>
      <c r="J1869" s="1" t="s">
        <v>1144</v>
      </c>
      <c r="K1869" s="1" t="s">
        <v>1551</v>
      </c>
      <c r="L1869" s="1" t="s">
        <v>10787</v>
      </c>
      <c r="M1869" s="2" t="s">
        <v>12</v>
      </c>
      <c r="N1869" s="4">
        <f t="shared" si="1"/>
        <v>44115</v>
      </c>
      <c r="O1869" s="5" t="str">
        <f>IFERROR(__xludf.DUMMYFUNCTION("IF(REGEXMATCH(TRIM(I1869), ""^\d+\s*min""), ""Unclassified"", IF(I1869 = """", ""NR"", I1869))"),"TV-MA")</f>
        <v>TV-MA</v>
      </c>
      <c r="R1869" s="5" t="str">
        <f t="shared" si="2"/>
        <v>House Of The Witch</v>
      </c>
      <c r="S1869" s="5" t="str">
        <f>IFERROR(__xludf.DUMMYFUNCTION("""COMPUTED_VALUE"""),"Deadline: Sirf 24 Ghante")</f>
        <v>Deadline: Sirf 24 Ghante</v>
      </c>
      <c r="U1869" s="5" t="str">
        <f>IFERROR(__xludf.DUMMYFUNCTION("""COMPUTED_VALUE"""),"Onur Bilgetay")</f>
        <v>Onur Bilgetay</v>
      </c>
      <c r="V1869" s="5" t="s">
        <v>10788</v>
      </c>
      <c r="W1869" s="5" t="str">
        <f t="shared" si="3"/>
        <v>Jeremiah Jones</v>
      </c>
      <c r="X1869" s="5">
        <f t="shared" si="4"/>
        <v>1</v>
      </c>
      <c r="Y1869" s="5" t="str">
        <f>IFERROR(__xludf.DUMMYFUNCTION("REGEXEXTRACT(J1869, ""^\d+"")"),"86")</f>
        <v>86</v>
      </c>
      <c r="Z1869" s="5" t="str">
        <f>IFERROR(__xludf.DUMMYFUNCTION("REGEXEXTRACT(J1869, ""[A-Za-z ]+$"")")," min")</f>
        <v> min</v>
      </c>
      <c r="AA1869" s="5" t="str">
        <f>IFERROR(__xludf.DUMMYFUNCTION("IF(REGEXMATCH(Z1869, ""Season""), ""TV Show"", ""Movie"")"),"Movie")</f>
        <v>Movie</v>
      </c>
    </row>
    <row r="1870">
      <c r="A1870" s="1" t="s">
        <v>10789</v>
      </c>
      <c r="B1870" s="1" t="s">
        <v>37</v>
      </c>
      <c r="C1870" s="1" t="s">
        <v>10790</v>
      </c>
      <c r="F1870" s="1" t="s">
        <v>30</v>
      </c>
      <c r="G1870" s="1" t="s">
        <v>10791</v>
      </c>
      <c r="H1870" s="1">
        <v>2020.0</v>
      </c>
      <c r="I1870" s="1" t="s">
        <v>42</v>
      </c>
      <c r="J1870" s="1" t="s">
        <v>51</v>
      </c>
      <c r="K1870" s="1" t="s">
        <v>1261</v>
      </c>
      <c r="L1870" s="1" t="s">
        <v>10792</v>
      </c>
      <c r="M1870" s="2" t="s">
        <v>12</v>
      </c>
      <c r="N1870" s="4">
        <f t="shared" si="1"/>
        <v>44113</v>
      </c>
      <c r="O1870" s="5" t="str">
        <f>IFERROR(__xludf.DUMMYFUNCTION("IF(REGEXMATCH(TRIM(I1870), ""^\d+\s*min""), ""Unclassified"", IF(I1870 = """", ""NR"", I1870))"),"TV-MA")</f>
        <v>TV-MA</v>
      </c>
      <c r="R1870" s="5" t="str">
        <f t="shared" si="2"/>
        <v>Deaf U</v>
      </c>
      <c r="S1870" s="5" t="str">
        <f>IFERROR(__xludf.DUMMYFUNCTION("""COMPUTED_VALUE"""),"Deadly Illusions")</f>
        <v>Deadly Illusions</v>
      </c>
      <c r="U1870" s="5" t="str">
        <f>IFERROR(__xludf.DUMMYFUNCTION("""COMPUTED_VALUE"""),"Vincenzo Natali")</f>
        <v>Vincenzo Natali</v>
      </c>
      <c r="V1870" s="5" t="s">
        <v>10793</v>
      </c>
      <c r="W1870" s="5" t="str">
        <f t="shared" si="3"/>
        <v>Jeremiah Zagar</v>
      </c>
      <c r="X1870" s="5">
        <f t="shared" si="4"/>
        <v>1</v>
      </c>
      <c r="Y1870" s="5" t="str">
        <f>IFERROR(__xludf.DUMMYFUNCTION("REGEXEXTRACT(J1870, ""^\d+"")"),"1")</f>
        <v>1</v>
      </c>
      <c r="Z1870" s="5" t="str">
        <f>IFERROR(__xludf.DUMMYFUNCTION("REGEXEXTRACT(J1870, ""[A-Za-z ]+$"")")," Season")</f>
        <v> Season</v>
      </c>
      <c r="AA1870" s="5" t="str">
        <f>IFERROR(__xludf.DUMMYFUNCTION("IF(REGEXMATCH(Z1870, ""Season""), ""TV Show"", ""Movie"")"),"TV Show")</f>
        <v>TV Show</v>
      </c>
    </row>
    <row r="1871">
      <c r="A1871" s="1" t="s">
        <v>10794</v>
      </c>
      <c r="B1871" s="1" t="s">
        <v>27</v>
      </c>
      <c r="C1871" s="1" t="s">
        <v>10795</v>
      </c>
      <c r="D1871" s="1" t="s">
        <v>10796</v>
      </c>
      <c r="E1871" s="1" t="s">
        <v>10797</v>
      </c>
      <c r="F1871" s="1" t="s">
        <v>63</v>
      </c>
      <c r="G1871" s="1" t="s">
        <v>10791</v>
      </c>
      <c r="H1871" s="1">
        <v>2020.0</v>
      </c>
      <c r="I1871" s="1" t="s">
        <v>42</v>
      </c>
      <c r="J1871" s="1" t="s">
        <v>3458</v>
      </c>
      <c r="K1871" s="1" t="s">
        <v>215</v>
      </c>
      <c r="L1871" s="1" t="s">
        <v>10798</v>
      </c>
      <c r="M1871" s="2" t="s">
        <v>12</v>
      </c>
      <c r="N1871" s="4">
        <f t="shared" si="1"/>
        <v>44113</v>
      </c>
      <c r="O1871" s="5" t="str">
        <f>IFERROR(__xludf.DUMMYFUNCTION("IF(REGEXMATCH(TRIM(I1871), ""^\d+\s*min""), ""Unclassified"", IF(I1871 = """", ""NR"", I1871))"),"TV-MA")</f>
        <v>TV-MA</v>
      </c>
      <c r="R1871" s="5" t="str">
        <f t="shared" si="2"/>
        <v>Ginny Weds Sunny</v>
      </c>
      <c r="S1871" s="5" t="str">
        <f>IFERROR(__xludf.DUMMYFUNCTION("""COMPUTED_VALUE"""),"Deadly Scholars")</f>
        <v>Deadly Scholars</v>
      </c>
      <c r="U1871" s="5" t="str">
        <f>IFERROR(__xludf.DUMMYFUNCTION("""COMPUTED_VALUE"""),"Tugçe Soysop")</f>
        <v>Tugçe Soysop</v>
      </c>
      <c r="V1871" s="5" t="s">
        <v>7436</v>
      </c>
      <c r="W1871" s="5" t="str">
        <f t="shared" si="3"/>
        <v>Jérémie Degruson, Ben Stassen</v>
      </c>
      <c r="X1871" s="5">
        <f t="shared" si="4"/>
        <v>1</v>
      </c>
      <c r="Y1871" s="5" t="str">
        <f>IFERROR(__xludf.DUMMYFUNCTION("REGEXEXTRACT(J1871, ""^\d+"")"),"126")</f>
        <v>126</v>
      </c>
      <c r="Z1871" s="5" t="str">
        <f>IFERROR(__xludf.DUMMYFUNCTION("REGEXEXTRACT(J1871, ""[A-Za-z ]+$"")")," min")</f>
        <v> min</v>
      </c>
      <c r="AA1871" s="5" t="str">
        <f>IFERROR(__xludf.DUMMYFUNCTION("IF(REGEXMATCH(Z1871, ""Season""), ""TV Show"", ""Movie"")"),"Movie")</f>
        <v>Movie</v>
      </c>
    </row>
    <row r="1872">
      <c r="A1872" s="1" t="s">
        <v>10799</v>
      </c>
      <c r="B1872" s="1" t="s">
        <v>27</v>
      </c>
      <c r="C1872" s="1" t="s">
        <v>10800</v>
      </c>
      <c r="D1872" s="1" t="s">
        <v>5857</v>
      </c>
      <c r="E1872" s="1" t="s">
        <v>10801</v>
      </c>
      <c r="F1872" s="1" t="s">
        <v>10802</v>
      </c>
      <c r="G1872" s="1" t="s">
        <v>10791</v>
      </c>
      <c r="H1872" s="1">
        <v>2018.0</v>
      </c>
      <c r="I1872" s="1" t="s">
        <v>42</v>
      </c>
      <c r="J1872" s="1" t="s">
        <v>433</v>
      </c>
      <c r="K1872" s="1" t="s">
        <v>199</v>
      </c>
      <c r="L1872" s="1" t="s">
        <v>10803</v>
      </c>
      <c r="M1872" s="2" t="s">
        <v>12</v>
      </c>
      <c r="N1872" s="4">
        <f t="shared" si="1"/>
        <v>44113</v>
      </c>
      <c r="O1872" s="5" t="str">
        <f>IFERROR(__xludf.DUMMYFUNCTION("IF(REGEXMATCH(TRIM(I1872), ""^\d+\s*min""), ""Unclassified"", IF(I1872 = """", ""NR"", I1872))"),"TV-MA")</f>
        <v>TV-MA</v>
      </c>
      <c r="R1872" s="5" t="str">
        <f t="shared" si="2"/>
        <v>My Step Dad: The Hippie</v>
      </c>
      <c r="S1872" s="5" t="str">
        <f>IFERROR(__xludf.DUMMYFUNCTION("""COMPUTED_VALUE"""),"Deadly Sins")</f>
        <v>Deadly Sins</v>
      </c>
      <c r="U1872" s="5" t="str">
        <f>IFERROR(__xludf.DUMMYFUNCTION("""COMPUTED_VALUE"""),"Jacob Joice, Steve Ball")</f>
        <v>Jacob Joice, Steve Ball</v>
      </c>
      <c r="V1872" s="5" t="s">
        <v>10804</v>
      </c>
      <c r="W1872" s="5" t="str">
        <f t="shared" si="3"/>
        <v>Jérémy Clapin</v>
      </c>
      <c r="X1872" s="5">
        <f t="shared" si="4"/>
        <v>1</v>
      </c>
      <c r="Y1872" s="5" t="str">
        <f>IFERROR(__xludf.DUMMYFUNCTION("REGEXEXTRACT(J1872, ""^\d+"")"),"100")</f>
        <v>100</v>
      </c>
      <c r="Z1872" s="5" t="str">
        <f>IFERROR(__xludf.DUMMYFUNCTION("REGEXEXTRACT(J1872, ""[A-Za-z ]+$"")")," min")</f>
        <v> min</v>
      </c>
      <c r="AA1872" s="5" t="str">
        <f>IFERROR(__xludf.DUMMYFUNCTION("IF(REGEXMATCH(Z1872, ""Season""), ""TV Show"", ""Movie"")"),"Movie")</f>
        <v>Movie</v>
      </c>
    </row>
    <row r="1873">
      <c r="A1873" s="1" t="s">
        <v>10805</v>
      </c>
      <c r="B1873" s="1" t="s">
        <v>27</v>
      </c>
      <c r="C1873" s="1" t="s">
        <v>10806</v>
      </c>
      <c r="F1873" s="1" t="s">
        <v>1106</v>
      </c>
      <c r="G1873" s="1" t="s">
        <v>10791</v>
      </c>
      <c r="H1873" s="1">
        <v>2020.0</v>
      </c>
      <c r="I1873" s="1" t="s">
        <v>206</v>
      </c>
      <c r="J1873" s="1" t="s">
        <v>4935</v>
      </c>
      <c r="K1873" s="1" t="s">
        <v>80</v>
      </c>
      <c r="L1873" s="1" t="s">
        <v>10807</v>
      </c>
      <c r="M1873" s="2" t="s">
        <v>12</v>
      </c>
      <c r="N1873" s="4">
        <f t="shared" si="1"/>
        <v>44113</v>
      </c>
      <c r="O1873" s="5" t="str">
        <f>IFERROR(__xludf.DUMMYFUNCTION("IF(REGEXMATCH(TRIM(I1873), ""^\d+\s*min""), ""Unclassified"", IF(I1873 = """", ""NR"", I1873))"),"TV-Y")</f>
        <v>TV-Y</v>
      </c>
      <c r="R1873" s="5" t="str">
        <f t="shared" si="2"/>
        <v>Super Monsters: Dia De Los Monsters</v>
      </c>
      <c r="S1873" s="5" t="str">
        <f>IFERROR(__xludf.DUMMYFUNCTION("""COMPUTED_VALUE"""),"Deadly Switch")</f>
        <v>Deadly Switch</v>
      </c>
      <c r="U1873" s="5" t="str">
        <f>IFERROR(__xludf.DUMMYFUNCTION("""COMPUTED_VALUE"""),"Luis Javier Henaine")</f>
        <v>Luis Javier Henaine</v>
      </c>
      <c r="V1873" s="5" t="s">
        <v>10808</v>
      </c>
      <c r="W1873" s="5" t="str">
        <f t="shared" si="3"/>
        <v>Jeremy Coon, Tim Skousen</v>
      </c>
      <c r="X1873" s="5">
        <f t="shared" si="4"/>
        <v>1</v>
      </c>
      <c r="Y1873" s="5" t="str">
        <f>IFERROR(__xludf.DUMMYFUNCTION("REGEXEXTRACT(J1873, ""^\d+"")"),"25")</f>
        <v>25</v>
      </c>
      <c r="Z1873" s="5" t="str">
        <f>IFERROR(__xludf.DUMMYFUNCTION("REGEXEXTRACT(J1873, ""[A-Za-z ]+$"")")," min")</f>
        <v> min</v>
      </c>
      <c r="AA1873" s="5" t="str">
        <f>IFERROR(__xludf.DUMMYFUNCTION("IF(REGEXMATCH(Z1873, ""Season""), ""TV Show"", ""Movie"")"),"Movie")</f>
        <v>Movie</v>
      </c>
    </row>
    <row r="1874">
      <c r="A1874" s="1" t="s">
        <v>10809</v>
      </c>
      <c r="B1874" s="1" t="s">
        <v>27</v>
      </c>
      <c r="C1874" s="1" t="s">
        <v>10810</v>
      </c>
      <c r="D1874" s="1" t="s">
        <v>10811</v>
      </c>
      <c r="E1874" s="1" t="s">
        <v>10812</v>
      </c>
      <c r="F1874" s="1" t="s">
        <v>30</v>
      </c>
      <c r="G1874" s="1" t="s">
        <v>10791</v>
      </c>
      <c r="H1874" s="1">
        <v>2020.0</v>
      </c>
      <c r="I1874" s="1" t="s">
        <v>378</v>
      </c>
      <c r="J1874" s="1" t="s">
        <v>341</v>
      </c>
      <c r="K1874" s="1" t="s">
        <v>836</v>
      </c>
      <c r="L1874" s="1" t="s">
        <v>10813</v>
      </c>
      <c r="M1874" s="2" t="s">
        <v>12</v>
      </c>
      <c r="N1874" s="4">
        <f t="shared" si="1"/>
        <v>44113</v>
      </c>
      <c r="O1874" s="5" t="str">
        <f>IFERROR(__xludf.DUMMYFUNCTION("IF(REGEXMATCH(TRIM(I1874), ""^\d+\s*min""), ""Unclassified"", IF(I1874 = """", ""NR"", I1874))"),"R")</f>
        <v>R</v>
      </c>
      <c r="R1874" s="5" t="str">
        <f t="shared" si="2"/>
        <v>The Forty-Year-Old Version</v>
      </c>
      <c r="S1874" s="5" t="str">
        <f>IFERROR(__xludf.DUMMYFUNCTION("""COMPUTED_VALUE"""),"Deadwind")</f>
        <v>Deadwind</v>
      </c>
      <c r="U1874" s="5" t="str">
        <f>IFERROR(__xludf.DUMMYFUNCTION("""COMPUTED_VALUE"""),"Anand Kamalakar")</f>
        <v>Anand Kamalakar</v>
      </c>
      <c r="V1874" s="5" t="s">
        <v>8093</v>
      </c>
      <c r="W1874" s="5" t="str">
        <f t="shared" si="3"/>
        <v>Jeremy Grant</v>
      </c>
      <c r="X1874" s="5">
        <f t="shared" si="4"/>
        <v>1</v>
      </c>
      <c r="Y1874" s="5" t="str">
        <f>IFERROR(__xludf.DUMMYFUNCTION("REGEXEXTRACT(J1874, ""^\d+"")"),"124")</f>
        <v>124</v>
      </c>
      <c r="Z1874" s="5" t="str">
        <f>IFERROR(__xludf.DUMMYFUNCTION("REGEXEXTRACT(J1874, ""[A-Za-z ]+$"")")," min")</f>
        <v> min</v>
      </c>
      <c r="AA1874" s="5" t="str">
        <f>IFERROR(__xludf.DUMMYFUNCTION("IF(REGEXMATCH(Z1874, ""Season""), ""TV Show"", ""Movie"")"),"Movie")</f>
        <v>Movie</v>
      </c>
    </row>
    <row r="1875">
      <c r="A1875" s="1" t="s">
        <v>10814</v>
      </c>
      <c r="B1875" s="1" t="s">
        <v>37</v>
      </c>
      <c r="C1875" s="1" t="s">
        <v>10815</v>
      </c>
      <c r="E1875" s="1" t="s">
        <v>10816</v>
      </c>
      <c r="F1875" s="1" t="s">
        <v>30</v>
      </c>
      <c r="G1875" s="1" t="s">
        <v>10791</v>
      </c>
      <c r="H1875" s="1">
        <v>2020.0</v>
      </c>
      <c r="I1875" s="1" t="s">
        <v>42</v>
      </c>
      <c r="J1875" s="1" t="s">
        <v>51</v>
      </c>
      <c r="K1875" s="1" t="s">
        <v>71</v>
      </c>
      <c r="L1875" s="1" t="s">
        <v>10817</v>
      </c>
      <c r="M1875" s="2" t="s">
        <v>12</v>
      </c>
      <c r="N1875" s="4">
        <f t="shared" si="1"/>
        <v>44113</v>
      </c>
      <c r="O1875" s="5" t="str">
        <f>IFERROR(__xludf.DUMMYFUNCTION("IF(REGEXMATCH(TRIM(I1875), ""^\d+\s*min""), ""Unclassified"", IF(I1875 = """", ""NR"", I1875))"),"TV-MA")</f>
        <v>TV-MA</v>
      </c>
      <c r="R1875" s="5" t="str">
        <f t="shared" si="2"/>
        <v>The Haunting Of Bly Manor</v>
      </c>
      <c r="S1875" s="5" t="str">
        <f>IFERROR(__xludf.DUMMYFUNCTION("""COMPUTED_VALUE"""),"Deaf U")</f>
        <v>Deaf U</v>
      </c>
      <c r="U1875" s="5" t="str">
        <f>IFERROR(__xludf.DUMMYFUNCTION("""COMPUTED_VALUE"""),"Lee Yoon-Jung")</f>
        <v>Lee Yoon-Jung</v>
      </c>
      <c r="V1875" s="5" t="s">
        <v>10818</v>
      </c>
      <c r="W1875" s="5" t="str">
        <f t="shared" si="3"/>
        <v>Jeremy Kenyon Lockyer Corbell</v>
      </c>
      <c r="X1875" s="5">
        <f t="shared" si="4"/>
        <v>2</v>
      </c>
      <c r="Y1875" s="5" t="str">
        <f>IFERROR(__xludf.DUMMYFUNCTION("REGEXEXTRACT(J1875, ""^\d+"")"),"1")</f>
        <v>1</v>
      </c>
      <c r="Z1875" s="5" t="str">
        <f>IFERROR(__xludf.DUMMYFUNCTION("REGEXEXTRACT(J1875, ""[A-Za-z ]+$"")")," Season")</f>
        <v> Season</v>
      </c>
      <c r="AA1875" s="5" t="str">
        <f>IFERROR(__xludf.DUMMYFUNCTION("IF(REGEXMATCH(Z1875, ""Season""), ""TV Show"", ""Movie"")"),"TV Show")</f>
        <v>TV Show</v>
      </c>
    </row>
    <row r="1876">
      <c r="A1876" s="1" t="s">
        <v>10819</v>
      </c>
      <c r="B1876" s="1" t="s">
        <v>27</v>
      </c>
      <c r="C1876" s="1" t="s">
        <v>10820</v>
      </c>
      <c r="D1876" s="1" t="s">
        <v>3381</v>
      </c>
      <c r="E1876" s="1" t="s">
        <v>10821</v>
      </c>
      <c r="F1876" s="1" t="s">
        <v>664</v>
      </c>
      <c r="G1876" s="1" t="s">
        <v>10822</v>
      </c>
      <c r="H1876" s="1">
        <v>2020.0</v>
      </c>
      <c r="I1876" s="1" t="s">
        <v>42</v>
      </c>
      <c r="J1876" s="1" t="s">
        <v>433</v>
      </c>
      <c r="K1876" s="1" t="s">
        <v>2892</v>
      </c>
      <c r="L1876" s="1" t="s">
        <v>10823</v>
      </c>
      <c r="M1876" s="2" t="s">
        <v>12</v>
      </c>
      <c r="N1876" s="4">
        <f t="shared" si="1"/>
        <v>44112</v>
      </c>
      <c r="O1876" s="5" t="str">
        <f>IFERROR(__xludf.DUMMYFUNCTION("IF(REGEXMATCH(TRIM(I1876), ""^\d+\s*min""), ""Unclassified"", IF(I1876 = """", ""NR"", I1876))"),"TV-MA")</f>
        <v>TV-MA</v>
      </c>
      <c r="R1876" s="5" t="str">
        <f t="shared" si="2"/>
        <v>Bigflo &amp; Oli: Hip Hop Frenzy</v>
      </c>
      <c r="S1876" s="5" t="str">
        <f>IFERROR(__xludf.DUMMYFUNCTION("""COMPUTED_VALUE"""),"Dealer")</f>
        <v>Dealer</v>
      </c>
      <c r="U1876" s="5" t="str">
        <f>IFERROR(__xludf.DUMMYFUNCTION("""COMPUTED_VALUE"""),"Roy Poortmans")</f>
        <v>Roy Poortmans</v>
      </c>
      <c r="V1876" s="5" t="s">
        <v>10824</v>
      </c>
      <c r="W1876" s="5" t="str">
        <f t="shared" si="3"/>
        <v>Jeremy Rush</v>
      </c>
      <c r="X1876" s="5">
        <f t="shared" si="4"/>
        <v>1</v>
      </c>
      <c r="Y1876" s="5" t="str">
        <f>IFERROR(__xludf.DUMMYFUNCTION("REGEXEXTRACT(J1876, ""^\d+"")"),"100")</f>
        <v>100</v>
      </c>
      <c r="Z1876" s="5" t="str">
        <f>IFERROR(__xludf.DUMMYFUNCTION("REGEXEXTRACT(J1876, ""[A-Za-z ]+$"")")," min")</f>
        <v> min</v>
      </c>
      <c r="AA1876" s="5" t="str">
        <f>IFERROR(__xludf.DUMMYFUNCTION("IF(REGEXMATCH(Z1876, ""Season""), ""TV Show"", ""Movie"")"),"Movie")</f>
        <v>Movie</v>
      </c>
    </row>
    <row r="1877">
      <c r="A1877" s="1" t="s">
        <v>10825</v>
      </c>
      <c r="B1877" s="1" t="s">
        <v>37</v>
      </c>
      <c r="C1877" s="1" t="s">
        <v>10826</v>
      </c>
      <c r="E1877" s="1" t="s">
        <v>10827</v>
      </c>
      <c r="F1877" s="1" t="s">
        <v>749</v>
      </c>
      <c r="G1877" s="1" t="s">
        <v>10822</v>
      </c>
      <c r="H1877" s="1">
        <v>2020.0</v>
      </c>
      <c r="I1877" s="1" t="s">
        <v>97</v>
      </c>
      <c r="J1877" s="1" t="s">
        <v>51</v>
      </c>
      <c r="K1877" s="1" t="s">
        <v>64</v>
      </c>
      <c r="L1877" s="1" t="s">
        <v>10828</v>
      </c>
      <c r="M1877" s="2" t="s">
        <v>12</v>
      </c>
      <c r="N1877" s="4">
        <f t="shared" si="1"/>
        <v>44112</v>
      </c>
      <c r="O1877" s="5" t="str">
        <f>IFERROR(__xludf.DUMMYFUNCTION("IF(REGEXMATCH(TRIM(I1877), ""^\d+\s*min""), ""Unclassified"", IF(I1877 = """", ""NR"", I1877))"),"TV-14")</f>
        <v>TV-14</v>
      </c>
      <c r="R1877" s="5" t="str">
        <f t="shared" si="2"/>
        <v>Do Do Sol Sol La La Sol</v>
      </c>
      <c r="S1877" s="5" t="str">
        <f>IFERROR(__xludf.DUMMYFUNCTION("""COMPUTED_VALUE"""),"Dean")</f>
        <v>Dean</v>
      </c>
      <c r="U1877" s="5" t="str">
        <f>IFERROR(__xludf.DUMMYFUNCTION("""COMPUTED_VALUE"""),"Vrinda Samartha")</f>
        <v>Vrinda Samartha</v>
      </c>
      <c r="V1877" s="5" t="s">
        <v>10829</v>
      </c>
      <c r="W1877" s="5" t="str">
        <f t="shared" si="3"/>
        <v>Jeremy Saulnier</v>
      </c>
      <c r="X1877" s="5">
        <f t="shared" si="4"/>
        <v>4</v>
      </c>
      <c r="Y1877" s="5" t="str">
        <f>IFERROR(__xludf.DUMMYFUNCTION("REGEXEXTRACT(J1877, ""^\d+"")"),"1")</f>
        <v>1</v>
      </c>
      <c r="Z1877" s="5" t="str">
        <f>IFERROR(__xludf.DUMMYFUNCTION("REGEXEXTRACT(J1877, ""[A-Za-z ]+$"")")," Season")</f>
        <v> Season</v>
      </c>
      <c r="AA1877" s="5" t="str">
        <f>IFERROR(__xludf.DUMMYFUNCTION("IF(REGEXMATCH(Z1877, ""Season""), ""TV Show"", ""Movie"")"),"TV Show")</f>
        <v>TV Show</v>
      </c>
    </row>
    <row r="1878">
      <c r="A1878" s="1" t="s">
        <v>10830</v>
      </c>
      <c r="B1878" s="1" t="s">
        <v>27</v>
      </c>
      <c r="C1878" s="1" t="s">
        <v>10831</v>
      </c>
      <c r="D1878" s="1" t="s">
        <v>6832</v>
      </c>
      <c r="E1878" s="1" t="s">
        <v>10832</v>
      </c>
      <c r="F1878" s="1" t="s">
        <v>1815</v>
      </c>
      <c r="G1878" s="1" t="s">
        <v>10822</v>
      </c>
      <c r="H1878" s="1">
        <v>2004.0</v>
      </c>
      <c r="I1878" s="1" t="s">
        <v>42</v>
      </c>
      <c r="J1878" s="1" t="s">
        <v>256</v>
      </c>
      <c r="K1878" s="1" t="s">
        <v>128</v>
      </c>
      <c r="L1878" s="1" t="s">
        <v>10833</v>
      </c>
      <c r="M1878" s="2" t="s">
        <v>12</v>
      </c>
      <c r="N1878" s="4">
        <f t="shared" si="1"/>
        <v>44112</v>
      </c>
      <c r="O1878" s="5" t="str">
        <f>IFERROR(__xludf.DUMMYFUNCTION("IF(REGEXMATCH(TRIM(I1878), ""^\d+\s*min""), ""Unclassified"", IF(I1878 = """", ""NR"", I1878))"),"TV-MA")</f>
        <v>TV-MA</v>
      </c>
      <c r="R1878" s="5" t="str">
        <f t="shared" si="2"/>
        <v>Palermo Hollywood</v>
      </c>
      <c r="S1878" s="5" t="str">
        <f>IFERROR(__xludf.DUMMYFUNCTION("""COMPUTED_VALUE"""),"Dear Affy")</f>
        <v>Dear Affy</v>
      </c>
      <c r="U1878" s="5" t="str">
        <f>IFERROR(__xludf.DUMMYFUNCTION("""COMPUTED_VALUE"""),"Nicholaus Goossen")</f>
        <v>Nicholaus Goossen</v>
      </c>
      <c r="V1878" s="5" t="s">
        <v>3070</v>
      </c>
      <c r="W1878" s="5" t="str">
        <f t="shared" si="3"/>
        <v>Jericca Cleland, Kevin Munroe</v>
      </c>
      <c r="X1878" s="5">
        <f t="shared" si="4"/>
        <v>1</v>
      </c>
      <c r="Y1878" s="5" t="str">
        <f>IFERROR(__xludf.DUMMYFUNCTION("REGEXEXTRACT(J1878, ""^\d+"")"),"106")</f>
        <v>106</v>
      </c>
      <c r="Z1878" s="5" t="str">
        <f>IFERROR(__xludf.DUMMYFUNCTION("REGEXEXTRACT(J1878, ""[A-Za-z ]+$"")")," min")</f>
        <v> min</v>
      </c>
      <c r="AA1878" s="5" t="str">
        <f>IFERROR(__xludf.DUMMYFUNCTION("IF(REGEXMATCH(Z1878, ""Season""), ""TV Show"", ""Movie"")"),"Movie")</f>
        <v>Movie</v>
      </c>
    </row>
    <row r="1879">
      <c r="A1879" s="1" t="s">
        <v>10834</v>
      </c>
      <c r="B1879" s="1" t="s">
        <v>37</v>
      </c>
      <c r="C1879" s="1" t="s">
        <v>10835</v>
      </c>
      <c r="E1879" s="1" t="s">
        <v>10836</v>
      </c>
      <c r="F1879" s="1" t="s">
        <v>749</v>
      </c>
      <c r="G1879" s="1" t="s">
        <v>10822</v>
      </c>
      <c r="H1879" s="1">
        <v>2020.0</v>
      </c>
      <c r="I1879" s="1" t="s">
        <v>97</v>
      </c>
      <c r="J1879" s="1" t="s">
        <v>51</v>
      </c>
      <c r="K1879" s="1" t="s">
        <v>1362</v>
      </c>
      <c r="L1879" s="1" t="s">
        <v>10837</v>
      </c>
      <c r="M1879" s="2" t="s">
        <v>12</v>
      </c>
      <c r="N1879" s="4">
        <f t="shared" si="1"/>
        <v>44112</v>
      </c>
      <c r="O1879" s="5" t="str">
        <f>IFERROR(__xludf.DUMMYFUNCTION("IF(REGEXMATCH(TRIM(I1879), ""^\d+\s*min""), ""Unclassified"", IF(I1879 = """", ""NR"", I1879))"),"TV-14")</f>
        <v>TV-14</v>
      </c>
      <c r="R1879" s="5" t="str">
        <f t="shared" si="2"/>
        <v>Private Lives</v>
      </c>
      <c r="S1879" s="5" t="str">
        <f>IFERROR(__xludf.DUMMYFUNCTION("""COMPUTED_VALUE"""),"Dear Dad")</f>
        <v>Dear Dad</v>
      </c>
      <c r="U1879" s="5" t="str">
        <f>IFERROR(__xludf.DUMMYFUNCTION("""COMPUTED_VALUE"""),"Stig Bergqvist, Paul Demeyer")</f>
        <v>Stig Bergqvist, Paul Demeyer</v>
      </c>
      <c r="V1879" s="5" t="s">
        <v>10838</v>
      </c>
      <c r="W1879" s="5" t="str">
        <f t="shared" si="3"/>
        <v>Jerrold Tarog</v>
      </c>
      <c r="X1879" s="5">
        <f t="shared" si="4"/>
        <v>2</v>
      </c>
      <c r="Y1879" s="5" t="str">
        <f>IFERROR(__xludf.DUMMYFUNCTION("REGEXEXTRACT(J1879, ""^\d+"")"),"1")</f>
        <v>1</v>
      </c>
      <c r="Z1879" s="5" t="str">
        <f>IFERROR(__xludf.DUMMYFUNCTION("REGEXEXTRACT(J1879, ""[A-Za-z ]+$"")")," Season")</f>
        <v> Season</v>
      </c>
      <c r="AA1879" s="5" t="str">
        <f>IFERROR(__xludf.DUMMYFUNCTION("IF(REGEXMATCH(Z1879, ""Season""), ""TV Show"", ""Movie"")"),"TV Show")</f>
        <v>TV Show</v>
      </c>
    </row>
    <row r="1880">
      <c r="A1880" s="1" t="s">
        <v>10839</v>
      </c>
      <c r="B1880" s="1" t="s">
        <v>37</v>
      </c>
      <c r="C1880" s="1" t="s">
        <v>10840</v>
      </c>
      <c r="E1880" s="1" t="s">
        <v>10841</v>
      </c>
      <c r="F1880" s="1" t="s">
        <v>897</v>
      </c>
      <c r="G1880" s="1" t="s">
        <v>10822</v>
      </c>
      <c r="H1880" s="1">
        <v>2020.0</v>
      </c>
      <c r="I1880" s="1" t="s">
        <v>42</v>
      </c>
      <c r="J1880" s="1" t="s">
        <v>1809</v>
      </c>
      <c r="K1880" s="1" t="s">
        <v>3223</v>
      </c>
      <c r="L1880" s="1" t="s">
        <v>10842</v>
      </c>
      <c r="M1880" s="2" t="s">
        <v>12</v>
      </c>
      <c r="N1880" s="4">
        <f t="shared" si="1"/>
        <v>44112</v>
      </c>
      <c r="O1880" s="5" t="str">
        <f>IFERROR(__xludf.DUMMYFUNCTION("IF(REGEXMATCH(TRIM(I1880), ""^\d+\s*min""), ""Unclassified"", IF(I1880 = """", ""NR"", I1880))"),"TV-MA")</f>
        <v>TV-MA</v>
      </c>
      <c r="R1880" s="5" t="str">
        <f t="shared" si="2"/>
        <v>The 100</v>
      </c>
      <c r="S1880" s="5" t="str">
        <f>IFERROR(__xludf.DUMMYFUNCTION("""COMPUTED_VALUE"""),"Dear Dracula")</f>
        <v>Dear Dracula</v>
      </c>
      <c r="U1880" s="5" t="str">
        <f>IFERROR(__xludf.DUMMYFUNCTION("""COMPUTED_VALUE"""),"Igor Kovalyov, Norton Virgien")</f>
        <v>Igor Kovalyov, Norton Virgien</v>
      </c>
      <c r="V1880" s="5" t="s">
        <v>10843</v>
      </c>
      <c r="W1880" s="5" t="str">
        <f t="shared" si="3"/>
        <v>Jerry G. Angelo</v>
      </c>
      <c r="X1880" s="5">
        <f t="shared" si="4"/>
        <v>1</v>
      </c>
      <c r="Y1880" s="5" t="str">
        <f>IFERROR(__xludf.DUMMYFUNCTION("REGEXEXTRACT(J1880, ""^\d+"")"),"7")</f>
        <v>7</v>
      </c>
      <c r="Z1880" s="5" t="str">
        <f>IFERROR(__xludf.DUMMYFUNCTION("REGEXEXTRACT(J1880, ""[A-Za-z ]+$"")")," Seasons")</f>
        <v> Seasons</v>
      </c>
      <c r="AA1880" s="5" t="str">
        <f>IFERROR(__xludf.DUMMYFUNCTION("IF(REGEXMATCH(Z1880, ""Season""), ""TV Show"", ""Movie"")"),"TV Show")</f>
        <v>TV Show</v>
      </c>
    </row>
    <row r="1881">
      <c r="A1881" s="1" t="s">
        <v>10844</v>
      </c>
      <c r="B1881" s="1" t="s">
        <v>27</v>
      </c>
      <c r="C1881" s="1" t="s">
        <v>10845</v>
      </c>
      <c r="D1881" s="1" t="s">
        <v>1747</v>
      </c>
      <c r="E1881" s="1" t="s">
        <v>10846</v>
      </c>
      <c r="F1881" s="1" t="s">
        <v>30</v>
      </c>
      <c r="G1881" s="1" t="s">
        <v>10847</v>
      </c>
      <c r="H1881" s="1">
        <v>2020.0</v>
      </c>
      <c r="I1881" s="1" t="s">
        <v>32</v>
      </c>
      <c r="J1881" s="1" t="s">
        <v>106</v>
      </c>
      <c r="K1881" s="1" t="s">
        <v>4525</v>
      </c>
      <c r="L1881" s="1" t="s">
        <v>10848</v>
      </c>
      <c r="M1881" s="2" t="s">
        <v>12</v>
      </c>
      <c r="N1881" s="4">
        <f t="shared" si="1"/>
        <v>44111</v>
      </c>
      <c r="O1881" s="5" t="str">
        <f>IFERROR(__xludf.DUMMYFUNCTION("IF(REGEXMATCH(TRIM(I1881), ""^\d+\s*min""), ""Unclassified"", IF(I1881 = """", ""NR"", I1881))"),"PG-13")</f>
        <v>PG-13</v>
      </c>
      <c r="R1881" s="5" t="str">
        <f t="shared" si="2"/>
        <v>Hubie Halloween</v>
      </c>
      <c r="S1881" s="5" t="str">
        <f>IFERROR(__xludf.DUMMYFUNCTION("""COMPUTED_VALUE"""),"Dear Ex")</f>
        <v>Dear Ex</v>
      </c>
      <c r="U1881" s="5" t="str">
        <f>IFERROR(__xludf.DUMMYFUNCTION("""COMPUTED_VALUE"""),"Danny Cannon")</f>
        <v>Danny Cannon</v>
      </c>
      <c r="V1881" s="5" t="s">
        <v>4430</v>
      </c>
      <c r="W1881" s="5" t="str">
        <f t="shared" si="3"/>
        <v>Jerry Rothwell</v>
      </c>
      <c r="X1881" s="5">
        <f t="shared" si="4"/>
        <v>2</v>
      </c>
      <c r="Y1881" s="5" t="str">
        <f>IFERROR(__xludf.DUMMYFUNCTION("REGEXEXTRACT(J1881, ""^\d+"")"),"104")</f>
        <v>104</v>
      </c>
      <c r="Z1881" s="5" t="str">
        <f>IFERROR(__xludf.DUMMYFUNCTION("REGEXEXTRACT(J1881, ""[A-Za-z ]+$"")")," min")</f>
        <v> min</v>
      </c>
      <c r="AA1881" s="5" t="str">
        <f>IFERROR(__xludf.DUMMYFUNCTION("IF(REGEXMATCH(Z1881, ""Season""), ""TV Show"", ""Movie"")"),"Movie")</f>
        <v>Movie</v>
      </c>
    </row>
    <row r="1882">
      <c r="A1882" s="1" t="s">
        <v>10849</v>
      </c>
      <c r="B1882" s="1" t="s">
        <v>37</v>
      </c>
      <c r="C1882" s="1" t="s">
        <v>10850</v>
      </c>
      <c r="D1882" s="1" t="s">
        <v>10851</v>
      </c>
      <c r="E1882" s="1" t="s">
        <v>10852</v>
      </c>
      <c r="F1882" s="1" t="s">
        <v>1078</v>
      </c>
      <c r="G1882" s="1" t="s">
        <v>10847</v>
      </c>
      <c r="H1882" s="1">
        <v>2020.0</v>
      </c>
      <c r="I1882" s="1" t="s">
        <v>42</v>
      </c>
      <c r="J1882" s="1" t="s">
        <v>51</v>
      </c>
      <c r="K1882" s="1" t="s">
        <v>44</v>
      </c>
      <c r="L1882" s="1" t="s">
        <v>10853</v>
      </c>
      <c r="M1882" s="2" t="s">
        <v>12</v>
      </c>
      <c r="N1882" s="4">
        <f t="shared" si="1"/>
        <v>44111</v>
      </c>
      <c r="O1882" s="5" t="str">
        <f>IFERROR(__xludf.DUMMYFUNCTION("IF(REGEXMATCH(TRIM(I1882), ""^\d+\s*min""), ""Unclassified"", IF(I1882 = """", ""NR"", I1882))"),"TV-MA")</f>
        <v>TV-MA</v>
      </c>
      <c r="R1882" s="5" t="str">
        <f t="shared" si="2"/>
        <v>To The Lake</v>
      </c>
      <c r="S1882" s="5" t="str">
        <f>IFERROR(__xludf.DUMMYFUNCTION("""COMPUTED_VALUE"""),"Dear John")</f>
        <v>Dear John</v>
      </c>
      <c r="U1882" s="5" t="str">
        <f>IFERROR(__xludf.DUMMYFUNCTION("""COMPUTED_VALUE"""),"Mana Yasuda")</f>
        <v>Mana Yasuda</v>
      </c>
      <c r="V1882" s="5" t="s">
        <v>10854</v>
      </c>
      <c r="W1882" s="5" t="str">
        <f t="shared" si="3"/>
        <v>Jerry Rothwell, Reuben Atlas</v>
      </c>
      <c r="X1882" s="5">
        <f t="shared" si="4"/>
        <v>1</v>
      </c>
      <c r="Y1882" s="5" t="str">
        <f>IFERROR(__xludf.DUMMYFUNCTION("REGEXEXTRACT(J1882, ""^\d+"")"),"1")</f>
        <v>1</v>
      </c>
      <c r="Z1882" s="5" t="str">
        <f>IFERROR(__xludf.DUMMYFUNCTION("REGEXEXTRACT(J1882, ""[A-Za-z ]+$"")")," Season")</f>
        <v> Season</v>
      </c>
      <c r="AA1882" s="5" t="str">
        <f>IFERROR(__xludf.DUMMYFUNCTION("IF(REGEXMATCH(Z1882, ""Season""), ""TV Show"", ""Movie"")"),"TV Show")</f>
        <v>TV Show</v>
      </c>
    </row>
    <row r="1883">
      <c r="A1883" s="1" t="s">
        <v>10855</v>
      </c>
      <c r="B1883" s="1" t="s">
        <v>27</v>
      </c>
      <c r="C1883" s="1" t="s">
        <v>10856</v>
      </c>
      <c r="D1883" s="1" t="s">
        <v>10857</v>
      </c>
      <c r="E1883" s="1" t="s">
        <v>10858</v>
      </c>
      <c r="F1883" s="1" t="s">
        <v>30</v>
      </c>
      <c r="G1883" s="1" t="s">
        <v>10859</v>
      </c>
      <c r="H1883" s="1">
        <v>2020.0</v>
      </c>
      <c r="I1883" s="1" t="s">
        <v>378</v>
      </c>
      <c r="J1883" s="1" t="s">
        <v>322</v>
      </c>
      <c r="K1883" s="1" t="s">
        <v>239</v>
      </c>
      <c r="L1883" s="1" t="s">
        <v>10860</v>
      </c>
      <c r="M1883" s="2" t="s">
        <v>12</v>
      </c>
      <c r="N1883" s="4">
        <f t="shared" si="1"/>
        <v>44110</v>
      </c>
      <c r="O1883" s="5" t="str">
        <f>IFERROR(__xludf.DUMMYFUNCTION("IF(REGEXMATCH(TRIM(I1883), ""^\d+\s*min""), ""Unclassified"", IF(I1883 = """", ""NR"", I1883))"),"R")</f>
        <v>R</v>
      </c>
      <c r="R1883" s="5" t="str">
        <f t="shared" si="2"/>
        <v>American Pie 9: Girls' Rules</v>
      </c>
      <c r="S1883" s="5" t="str">
        <f>IFERROR(__xludf.DUMMYFUNCTION("""COMPUTED_VALUE"""),"Dear My Friends")</f>
        <v>Dear My Friends</v>
      </c>
      <c r="U1883" s="5" t="str">
        <f>IFERROR(__xludf.DUMMYFUNCTION("""COMPUTED_VALUE"""),"Gupse Özay")</f>
        <v>Gupse Özay</v>
      </c>
      <c r="V1883" s="5" t="s">
        <v>10861</v>
      </c>
      <c r="W1883" s="5" t="str">
        <f t="shared" si="3"/>
        <v>Jerry Seinfeld</v>
      </c>
      <c r="X1883" s="5">
        <f t="shared" si="4"/>
        <v>2</v>
      </c>
      <c r="Y1883" s="5" t="str">
        <f>IFERROR(__xludf.DUMMYFUNCTION("REGEXEXTRACT(J1883, ""^\d+"")"),"96")</f>
        <v>96</v>
      </c>
      <c r="Z1883" s="5" t="str">
        <f>IFERROR(__xludf.DUMMYFUNCTION("REGEXEXTRACT(J1883, ""[A-Za-z ]+$"")")," min")</f>
        <v> min</v>
      </c>
      <c r="AA1883" s="5" t="str">
        <f>IFERROR(__xludf.DUMMYFUNCTION("IF(REGEXMATCH(Z1883, ""Season""), ""TV Show"", ""Movie"")"),"Movie")</f>
        <v>Movie</v>
      </c>
    </row>
    <row r="1884">
      <c r="A1884" s="1" t="s">
        <v>10862</v>
      </c>
      <c r="B1884" s="1" t="s">
        <v>27</v>
      </c>
      <c r="C1884" s="1" t="s">
        <v>10863</v>
      </c>
      <c r="D1884" s="1" t="s">
        <v>7802</v>
      </c>
      <c r="E1884" s="1" t="s">
        <v>6488</v>
      </c>
      <c r="F1884" s="1" t="s">
        <v>96</v>
      </c>
      <c r="G1884" s="1" t="s">
        <v>10859</v>
      </c>
      <c r="H1884" s="1">
        <v>2019.0</v>
      </c>
      <c r="I1884" s="1" t="s">
        <v>97</v>
      </c>
      <c r="J1884" s="1" t="s">
        <v>33</v>
      </c>
      <c r="K1884" s="1" t="s">
        <v>700</v>
      </c>
      <c r="L1884" s="1" t="s">
        <v>10864</v>
      </c>
      <c r="M1884" s="2" t="s">
        <v>12</v>
      </c>
      <c r="N1884" s="4">
        <f t="shared" si="1"/>
        <v>44110</v>
      </c>
      <c r="O1884" s="5" t="str">
        <f>IFERROR(__xludf.DUMMYFUNCTION("IF(REGEXMATCH(TRIM(I1884), ""^\d+\s*min""), ""Unclassified"", IF(I1884 = """", ""NR"", I1884))"),"TV-14")</f>
        <v>TV-14</v>
      </c>
      <c r="R1884" s="5" t="str">
        <f t="shared" si="2"/>
        <v>Dolly Parton: Here I Am</v>
      </c>
      <c r="S1884" s="5" t="str">
        <f>IFERROR(__xludf.DUMMYFUNCTION("""COMPUTED_VALUE"""),"Dear Santa")</f>
        <v>Dear Santa</v>
      </c>
      <c r="U1884" s="5" t="str">
        <f>IFERROR(__xludf.DUMMYFUNCTION("""COMPUTED_VALUE"""),"Jim Mickle")</f>
        <v>Jim Mickle</v>
      </c>
      <c r="V1884" s="5" t="s">
        <v>10865</v>
      </c>
      <c r="W1884" s="5" t="str">
        <f t="shared" si="3"/>
        <v>Jesse Adang, Syrine Boulanouar</v>
      </c>
      <c r="X1884" s="5">
        <f t="shared" si="4"/>
        <v>1</v>
      </c>
      <c r="Y1884" s="5" t="str">
        <f>IFERROR(__xludf.DUMMYFUNCTION("REGEXEXTRACT(J1884, ""^\d+"")"),"90")</f>
        <v>90</v>
      </c>
      <c r="Z1884" s="5" t="str">
        <f>IFERROR(__xludf.DUMMYFUNCTION("REGEXEXTRACT(J1884, ""[A-Za-z ]+$"")")," min")</f>
        <v> min</v>
      </c>
      <c r="AA1884" s="5" t="str">
        <f>IFERROR(__xludf.DUMMYFUNCTION("IF(REGEXMATCH(Z1884, ""Season""), ""TV Show"", ""Movie"")"),"Movie")</f>
        <v>Movie</v>
      </c>
    </row>
    <row r="1885">
      <c r="A1885" s="1" t="s">
        <v>10866</v>
      </c>
      <c r="B1885" s="1" t="s">
        <v>27</v>
      </c>
      <c r="C1885" s="1" t="s">
        <v>10867</v>
      </c>
      <c r="D1885" s="1" t="s">
        <v>10868</v>
      </c>
      <c r="E1885" s="1" t="s">
        <v>10869</v>
      </c>
      <c r="F1885" s="1" t="s">
        <v>1106</v>
      </c>
      <c r="G1885" s="1" t="s">
        <v>10859</v>
      </c>
      <c r="H1885" s="1">
        <v>2020.0</v>
      </c>
      <c r="I1885" s="1" t="s">
        <v>206</v>
      </c>
      <c r="J1885" s="1" t="s">
        <v>5846</v>
      </c>
      <c r="K1885" s="1" t="s">
        <v>80</v>
      </c>
      <c r="L1885" s="1" t="s">
        <v>10870</v>
      </c>
      <c r="M1885" s="2" t="s">
        <v>12</v>
      </c>
      <c r="N1885" s="4">
        <f t="shared" si="1"/>
        <v>44110</v>
      </c>
      <c r="O1885" s="5" t="str">
        <f>IFERROR(__xludf.DUMMYFUNCTION("IF(REGEXMATCH(TRIM(I1885), ""^\d+\s*min""), ""Unclassified"", IF(I1885 = """", ""NR"", I1885))"),"TV-Y")</f>
        <v>TV-Y</v>
      </c>
      <c r="R1885" s="5" t="str">
        <f t="shared" si="2"/>
        <v>Starbeam: Halloween Hero</v>
      </c>
      <c r="S1885" s="5" t="str">
        <f>IFERROR(__xludf.DUMMYFUNCTION("""COMPUTED_VALUE"""),"Dear White People")</f>
        <v>Dear White People</v>
      </c>
      <c r="U1885" s="5" t="str">
        <f>IFERROR(__xludf.DUMMYFUNCTION("""COMPUTED_VALUE"""),"Jumpei Mizusaki, Koji Morimoto, Michael Arias, Masaru Matsumoto, Arthell Isom, Henry Thurlow, Takanobu Mizuno, Elsa Nakamichi, Hajime Sasaki, Shinji Takagi")</f>
        <v>Jumpei Mizusaki, Koji Morimoto, Michael Arias, Masaru Matsumoto, Arthell Isom, Henry Thurlow, Takanobu Mizuno, Elsa Nakamichi, Hajime Sasaki, Shinji Takagi</v>
      </c>
      <c r="V1885" s="5" t="s">
        <v>10871</v>
      </c>
      <c r="W1885" s="5" t="str">
        <f t="shared" si="3"/>
        <v>Jesse Gustafson</v>
      </c>
      <c r="X1885" s="5">
        <f t="shared" si="4"/>
        <v>1</v>
      </c>
      <c r="Y1885" s="5" t="str">
        <f>IFERROR(__xludf.DUMMYFUNCTION("REGEXEXTRACT(J1885, ""^\d+"")"),"33")</f>
        <v>33</v>
      </c>
      <c r="Z1885" s="5" t="str">
        <f>IFERROR(__xludf.DUMMYFUNCTION("REGEXEXTRACT(J1885, ""[A-Za-z ]+$"")")," min")</f>
        <v> min</v>
      </c>
      <c r="AA1885" s="5" t="str">
        <f>IFERROR(__xludf.DUMMYFUNCTION("IF(REGEXMATCH(Z1885, ""Season""), ""TV Show"", ""Movie"")"),"Movie")</f>
        <v>Movie</v>
      </c>
    </row>
    <row r="1886">
      <c r="A1886" s="1" t="s">
        <v>10872</v>
      </c>
      <c r="B1886" s="1" t="s">
        <v>27</v>
      </c>
      <c r="C1886" s="1" t="s">
        <v>10873</v>
      </c>
      <c r="D1886" s="1" t="s">
        <v>4972</v>
      </c>
      <c r="E1886" s="1" t="s">
        <v>10874</v>
      </c>
      <c r="F1886" s="1" t="s">
        <v>30</v>
      </c>
      <c r="G1886" s="1" t="s">
        <v>10859</v>
      </c>
      <c r="H1886" s="1">
        <v>2017.0</v>
      </c>
      <c r="I1886" s="1" t="s">
        <v>97</v>
      </c>
      <c r="J1886" s="1" t="s">
        <v>2452</v>
      </c>
      <c r="K1886" s="1" t="s">
        <v>828</v>
      </c>
      <c r="L1886" s="1" t="s">
        <v>10875</v>
      </c>
      <c r="M1886" s="2" t="s">
        <v>12</v>
      </c>
      <c r="N1886" s="4">
        <f t="shared" si="1"/>
        <v>44110</v>
      </c>
      <c r="O1886" s="5" t="str">
        <f>IFERROR(__xludf.DUMMYFUNCTION("IF(REGEXMATCH(TRIM(I1886), ""^\d+\s*min""), ""Unclassified"", IF(I1886 = """", ""NR"", I1886))"),"TV-14")</f>
        <v>TV-14</v>
      </c>
      <c r="R1886" s="5" t="str">
        <f t="shared" si="2"/>
        <v>Walk Away From Love</v>
      </c>
      <c r="S1886" s="5" t="str">
        <f>IFERROR(__xludf.DUMMYFUNCTION("""COMPUTED_VALUE"""),"Dear Zindagi")</f>
        <v>Dear Zindagi</v>
      </c>
      <c r="U1886" s="5" t="str">
        <f>IFERROR(__xludf.DUMMYFUNCTION("""COMPUTED_VALUE"""),"Mangesh Hadawale")</f>
        <v>Mangesh Hadawale</v>
      </c>
      <c r="V1886" s="5" t="s">
        <v>10876</v>
      </c>
      <c r="W1886" s="5" t="str">
        <f t="shared" si="3"/>
        <v>Jesse Handsher, Olivier Roland</v>
      </c>
      <c r="X1886" s="5">
        <f t="shared" si="4"/>
        <v>1</v>
      </c>
      <c r="Y1886" s="5" t="str">
        <f>IFERROR(__xludf.DUMMYFUNCTION("REGEXEXTRACT(J1886, ""^\d+"")"),"81")</f>
        <v>81</v>
      </c>
      <c r="Z1886" s="5" t="str">
        <f>IFERROR(__xludf.DUMMYFUNCTION("REGEXEXTRACT(J1886, ""[A-Za-z ]+$"")")," min")</f>
        <v> min</v>
      </c>
      <c r="AA1886" s="5" t="str">
        <f>IFERROR(__xludf.DUMMYFUNCTION("IF(REGEXMATCH(Z1886, ""Season""), ""TV Show"", ""Movie"")"),"Movie")</f>
        <v>Movie</v>
      </c>
    </row>
    <row r="1887">
      <c r="A1887" s="1" t="s">
        <v>10877</v>
      </c>
      <c r="B1887" s="1" t="s">
        <v>37</v>
      </c>
      <c r="C1887" s="1" t="s">
        <v>10878</v>
      </c>
      <c r="F1887" s="1" t="s">
        <v>63</v>
      </c>
      <c r="G1887" s="1" t="s">
        <v>10879</v>
      </c>
      <c r="H1887" s="1">
        <v>2020.0</v>
      </c>
      <c r="I1887" s="1" t="s">
        <v>97</v>
      </c>
      <c r="J1887" s="1" t="s">
        <v>51</v>
      </c>
      <c r="K1887" s="1" t="s">
        <v>544</v>
      </c>
      <c r="L1887" s="1" t="s">
        <v>10880</v>
      </c>
      <c r="M1887" s="2" t="s">
        <v>12</v>
      </c>
      <c r="N1887" s="4">
        <f t="shared" si="1"/>
        <v>44109</v>
      </c>
      <c r="O1887" s="5" t="str">
        <f>IFERROR(__xludf.DUMMYFUNCTION("IF(REGEXMATCH(TRIM(I1887), ""^\d+\s*min""), ""Unclassified"", IF(I1887 = """", ""NR"", I1887))"),"TV-14")</f>
        <v>TV-14</v>
      </c>
      <c r="R1887" s="5" t="str">
        <f t="shared" si="2"/>
        <v>Bad Boy Billionaires: India</v>
      </c>
      <c r="S1887" s="5" t="str">
        <f>IFERROR(__xludf.DUMMYFUNCTION("""COMPUTED_VALUE"""),"Death At A Funeral")</f>
        <v>Death At A Funeral</v>
      </c>
      <c r="U1887" s="5" t="str">
        <f>IFERROR(__xludf.DUMMYFUNCTION("""COMPUTED_VALUE"""),"Wong Kar Wai")</f>
        <v>Wong Kar Wai</v>
      </c>
      <c r="V1887" s="5" t="s">
        <v>10881</v>
      </c>
      <c r="W1887" s="5" t="str">
        <f t="shared" si="3"/>
        <v>Jesse Moss</v>
      </c>
      <c r="X1887" s="5">
        <f t="shared" si="4"/>
        <v>1</v>
      </c>
      <c r="Y1887" s="5" t="str">
        <f>IFERROR(__xludf.DUMMYFUNCTION("REGEXEXTRACT(J1887, ""^\d+"")"),"1")</f>
        <v>1</v>
      </c>
      <c r="Z1887" s="5" t="str">
        <f>IFERROR(__xludf.DUMMYFUNCTION("REGEXEXTRACT(J1887, ""[A-Za-z ]+$"")")," Season")</f>
        <v> Season</v>
      </c>
      <c r="AA1887" s="5" t="str">
        <f>IFERROR(__xludf.DUMMYFUNCTION("IF(REGEXMATCH(Z1887, ""Season""), ""TV Show"", ""Movie"")"),"TV Show")</f>
        <v>TV Show</v>
      </c>
    </row>
    <row r="1888">
      <c r="A1888" s="1" t="s">
        <v>10882</v>
      </c>
      <c r="B1888" s="1" t="s">
        <v>27</v>
      </c>
      <c r="C1888" s="1" t="s">
        <v>10883</v>
      </c>
      <c r="D1888" s="1" t="s">
        <v>900</v>
      </c>
      <c r="E1888" s="1" t="s">
        <v>5968</v>
      </c>
      <c r="F1888" s="1" t="s">
        <v>692</v>
      </c>
      <c r="G1888" s="1" t="s">
        <v>10884</v>
      </c>
      <c r="H1888" s="1">
        <v>2020.0</v>
      </c>
      <c r="I1888" s="1" t="s">
        <v>78</v>
      </c>
      <c r="J1888" s="1" t="s">
        <v>1608</v>
      </c>
      <c r="K1888" s="1" t="s">
        <v>34</v>
      </c>
      <c r="L1888" s="1" t="s">
        <v>10885</v>
      </c>
      <c r="M1888" s="2" t="s">
        <v>12</v>
      </c>
      <c r="N1888" s="4">
        <f t="shared" si="1"/>
        <v>44108</v>
      </c>
      <c r="O1888" s="5" t="str">
        <f>IFERROR(__xludf.DUMMYFUNCTION("IF(REGEXMATCH(TRIM(I1888), ""^\d+\s*min""), ""Unclassified"", IF(I1888 = """", ""NR"", I1888))"),"PG")</f>
        <v>PG</v>
      </c>
      <c r="R1888" s="5" t="str">
        <f t="shared" si="2"/>
        <v>David Attenborough: A Life On Our Planet</v>
      </c>
      <c r="S1888" s="5" t="str">
        <f>IFERROR(__xludf.DUMMYFUNCTION("""COMPUTED_VALUE"""),"Death By Magic")</f>
        <v>Death By Magic</v>
      </c>
      <c r="U1888" s="5" t="str">
        <f>IFERROR(__xludf.DUMMYFUNCTION("""COMPUTED_VALUE"""),"Otilia Portillo Padua")</f>
        <v>Otilia Portillo Padua</v>
      </c>
      <c r="V1888" s="5" t="s">
        <v>7474</v>
      </c>
      <c r="W1888" s="5" t="str">
        <f t="shared" si="3"/>
        <v>Jesse Peretz</v>
      </c>
      <c r="X1888" s="5">
        <f t="shared" si="4"/>
        <v>1</v>
      </c>
      <c r="Y1888" s="5" t="str">
        <f>IFERROR(__xludf.DUMMYFUNCTION("REGEXEXTRACT(J1888, ""^\d+"")"),"84")</f>
        <v>84</v>
      </c>
      <c r="Z1888" s="5" t="str">
        <f>IFERROR(__xludf.DUMMYFUNCTION("REGEXEXTRACT(J1888, ""[A-Za-z ]+$"")")," min")</f>
        <v> min</v>
      </c>
      <c r="AA1888" s="5" t="str">
        <f>IFERROR(__xludf.DUMMYFUNCTION("IF(REGEXMATCH(Z1888, ""Season""), ""TV Show"", ""Movie"")"),"Movie")</f>
        <v>Movie</v>
      </c>
    </row>
    <row r="1889">
      <c r="A1889" s="1" t="s">
        <v>10886</v>
      </c>
      <c r="B1889" s="1" t="s">
        <v>27</v>
      </c>
      <c r="C1889" s="1" t="s">
        <v>10887</v>
      </c>
      <c r="D1889" s="1" t="s">
        <v>1676</v>
      </c>
      <c r="E1889" s="1" t="s">
        <v>10888</v>
      </c>
      <c r="F1889" s="1" t="s">
        <v>1106</v>
      </c>
      <c r="G1889" s="1" t="s">
        <v>10889</v>
      </c>
      <c r="H1889" s="1">
        <v>2020.0</v>
      </c>
      <c r="I1889" s="1" t="s">
        <v>42</v>
      </c>
      <c r="J1889" s="1" t="s">
        <v>10890</v>
      </c>
      <c r="K1889" s="1" t="s">
        <v>1212</v>
      </c>
      <c r="L1889" s="1" t="s">
        <v>10891</v>
      </c>
      <c r="M1889" s="2" t="s">
        <v>12</v>
      </c>
      <c r="N1889" s="4">
        <f t="shared" si="1"/>
        <v>44107</v>
      </c>
      <c r="O1889" s="5" t="str">
        <f>IFERROR(__xludf.DUMMYFUNCTION("IF(REGEXMATCH(TRIM(I1889), ""^\d+\s*min""), ""Unclassified"", IF(I1889 = """", ""NR"", I1889))"),"TV-MA")</f>
        <v>TV-MA</v>
      </c>
      <c r="R1889" s="5" t="str">
        <f t="shared" si="2"/>
        <v>Best Wishes, Warmest Regards: A Schitt'S Creek Farewell</v>
      </c>
      <c r="S1889" s="5" t="str">
        <f>IFERROR(__xludf.DUMMYFUNCTION("""COMPUTED_VALUE"""),"Death Can Wait")</f>
        <v>Death Can Wait</v>
      </c>
      <c r="U1889" s="5" t="str">
        <f>IFERROR(__xludf.DUMMYFUNCTION("""COMPUTED_VALUE"""),"B. V. Nandini Reddy")</f>
        <v>B. V. Nandini Reddy</v>
      </c>
      <c r="V1889" s="5" t="s">
        <v>10892</v>
      </c>
      <c r="W1889" s="5" t="str">
        <f t="shared" si="3"/>
        <v>Jesse V. Johnson</v>
      </c>
      <c r="X1889" s="5">
        <f t="shared" si="4"/>
        <v>4</v>
      </c>
      <c r="Y1889" s="5" t="str">
        <f>IFERROR(__xludf.DUMMYFUNCTION("REGEXEXTRACT(J1889, ""^\d+"")"),"44")</f>
        <v>44</v>
      </c>
      <c r="Z1889" s="5" t="str">
        <f>IFERROR(__xludf.DUMMYFUNCTION("REGEXEXTRACT(J1889, ""[A-Za-z ]+$"")")," min")</f>
        <v> min</v>
      </c>
      <c r="AA1889" s="5" t="str">
        <f>IFERROR(__xludf.DUMMYFUNCTION("IF(REGEXMATCH(Z1889, ""Season""), ""TV Show"", ""Movie"")"),"Movie")</f>
        <v>Movie</v>
      </c>
    </row>
    <row r="1890">
      <c r="A1890" s="1" t="s">
        <v>10893</v>
      </c>
      <c r="B1890" s="1" t="s">
        <v>27</v>
      </c>
      <c r="C1890" s="1" t="s">
        <v>10894</v>
      </c>
      <c r="D1890" s="1" t="s">
        <v>10895</v>
      </c>
      <c r="E1890" s="1" t="s">
        <v>10896</v>
      </c>
      <c r="F1890" s="1" t="s">
        <v>188</v>
      </c>
      <c r="G1890" s="1" t="s">
        <v>10889</v>
      </c>
      <c r="H1890" s="1">
        <v>2018.0</v>
      </c>
      <c r="I1890" s="1" t="s">
        <v>97</v>
      </c>
      <c r="J1890" s="1" t="s">
        <v>379</v>
      </c>
      <c r="K1890" s="1" t="s">
        <v>5099</v>
      </c>
      <c r="L1890" s="1" t="s">
        <v>10897</v>
      </c>
      <c r="M1890" s="2" t="s">
        <v>12</v>
      </c>
      <c r="N1890" s="4">
        <f t="shared" si="1"/>
        <v>44107</v>
      </c>
      <c r="O1890" s="5" t="str">
        <f>IFERROR(__xludf.DUMMYFUNCTION("IF(REGEXMATCH(TRIM(I1890), ""^\d+\s*min""), ""Unclassified"", IF(I1890 = """", ""NR"", I1890))"),"TV-14")</f>
        <v>TV-14</v>
      </c>
      <c r="R1890" s="5" t="str">
        <f t="shared" si="2"/>
        <v>Good Game: The Beginning</v>
      </c>
      <c r="S1890" s="5" t="str">
        <f>IFERROR(__xludf.DUMMYFUNCTION("""COMPUTED_VALUE"""),"Death House")</f>
        <v>Death House</v>
      </c>
      <c r="U1890" s="5" t="str">
        <f>IFERROR(__xludf.DUMMYFUNCTION("""COMPUTED_VALUE"""),"Michael J. Bassett")</f>
        <v>Michael J. Bassett</v>
      </c>
      <c r="V1890" s="5" t="s">
        <v>10898</v>
      </c>
      <c r="W1890" s="5" t="str">
        <f t="shared" si="3"/>
        <v>Jesse V. Johnson, Jesse Johnson</v>
      </c>
      <c r="X1890" s="5">
        <f t="shared" si="4"/>
        <v>1</v>
      </c>
      <c r="Y1890" s="5" t="str">
        <f>IFERROR(__xludf.DUMMYFUNCTION("REGEXEXTRACT(J1890, ""^\d+"")"),"115")</f>
        <v>115</v>
      </c>
      <c r="Z1890" s="5" t="str">
        <f>IFERROR(__xludf.DUMMYFUNCTION("REGEXEXTRACT(J1890, ""[A-Za-z ]+$"")")," min")</f>
        <v> min</v>
      </c>
      <c r="AA1890" s="5" t="str">
        <f>IFERROR(__xludf.DUMMYFUNCTION("IF(REGEXMATCH(Z1890, ""Season""), ""TV Show"", ""Movie"")"),"Movie")</f>
        <v>Movie</v>
      </c>
    </row>
    <row r="1891">
      <c r="A1891" s="1" t="s">
        <v>10899</v>
      </c>
      <c r="B1891" s="1" t="s">
        <v>37</v>
      </c>
      <c r="C1891" s="1" t="s">
        <v>10900</v>
      </c>
      <c r="G1891" s="1" t="s">
        <v>10889</v>
      </c>
      <c r="H1891" s="1">
        <v>2016.0</v>
      </c>
      <c r="I1891" s="1" t="s">
        <v>206</v>
      </c>
      <c r="J1891" s="1" t="s">
        <v>51</v>
      </c>
      <c r="K1891" s="1" t="s">
        <v>290</v>
      </c>
      <c r="L1891" s="1" t="s">
        <v>10901</v>
      </c>
      <c r="M1891" s="2" t="s">
        <v>12</v>
      </c>
      <c r="N1891" s="4">
        <f t="shared" si="1"/>
        <v>44107</v>
      </c>
      <c r="O1891" s="5" t="str">
        <f>IFERROR(__xludf.DUMMYFUNCTION("IF(REGEXMATCH(TRIM(I1891), ""^\d+\s*min""), ""Unclassified"", IF(I1891 = """", ""NR"", I1891))"),"TV-Y")</f>
        <v>TV-Y</v>
      </c>
      <c r="R1891" s="5" t="str">
        <f t="shared" si="2"/>
        <v>Pat A Pat Como</v>
      </c>
      <c r="S1891" s="5" t="str">
        <f>IFERROR(__xludf.DUMMYFUNCTION("""COMPUTED_VALUE"""),"Death Note")</f>
        <v>Death Note</v>
      </c>
      <c r="U1891" s="5" t="str">
        <f>IFERROR(__xludf.DUMMYFUNCTION("""COMPUTED_VALUE"""),"Rahul Ravindran")</f>
        <v>Rahul Ravindran</v>
      </c>
      <c r="V1891" s="5" t="s">
        <v>10902</v>
      </c>
      <c r="W1891" s="5" t="str">
        <f t="shared" si="3"/>
        <v>Jesse Warn</v>
      </c>
      <c r="X1891" s="5">
        <f t="shared" si="4"/>
        <v>1</v>
      </c>
      <c r="Y1891" s="5" t="str">
        <f>IFERROR(__xludf.DUMMYFUNCTION("REGEXEXTRACT(J1891, ""^\d+"")"),"1")</f>
        <v>1</v>
      </c>
      <c r="Z1891" s="5" t="str">
        <f>IFERROR(__xludf.DUMMYFUNCTION("REGEXEXTRACT(J1891, ""[A-Za-z ]+$"")")," Season")</f>
        <v> Season</v>
      </c>
      <c r="AA1891" s="5" t="str">
        <f>IFERROR(__xludf.DUMMYFUNCTION("IF(REGEXMATCH(Z1891, ""Season""), ""TV Show"", ""Movie"")"),"TV Show")</f>
        <v>TV Show</v>
      </c>
    </row>
    <row r="1892">
      <c r="A1892" s="1" t="s">
        <v>10903</v>
      </c>
      <c r="B1892" s="1" t="s">
        <v>37</v>
      </c>
      <c r="C1892" s="1" t="s">
        <v>10904</v>
      </c>
      <c r="G1892" s="1" t="s">
        <v>10889</v>
      </c>
      <c r="H1892" s="1">
        <v>2017.0</v>
      </c>
      <c r="I1892" s="1" t="s">
        <v>206</v>
      </c>
      <c r="J1892" s="1" t="s">
        <v>51</v>
      </c>
      <c r="K1892" s="1" t="s">
        <v>290</v>
      </c>
      <c r="L1892" s="1" t="s">
        <v>10905</v>
      </c>
      <c r="M1892" s="2" t="s">
        <v>12</v>
      </c>
      <c r="N1892" s="4">
        <f t="shared" si="1"/>
        <v>44107</v>
      </c>
      <c r="O1892" s="5" t="str">
        <f>IFERROR(__xludf.DUMMYFUNCTION("IF(REGEXMATCH(TRIM(I1892), ""^\d+\s*min""), ""Unclassified"", IF(I1892 = """", ""NR"", I1892))"),"TV-Y")</f>
        <v>TV-Y</v>
      </c>
      <c r="R1892" s="5" t="str">
        <f t="shared" si="2"/>
        <v>Qurious Como</v>
      </c>
      <c r="S1892" s="5" t="str">
        <f>IFERROR(__xludf.DUMMYFUNCTION("""COMPUTED_VALUE"""),"Death Of Me")</f>
        <v>Death Of Me</v>
      </c>
      <c r="U1892" s="5" t="str">
        <f>IFERROR(__xludf.DUMMYFUNCTION("""COMPUTED_VALUE"""),"Archie Borders")</f>
        <v>Archie Borders</v>
      </c>
      <c r="V1892" s="5" t="s">
        <v>10906</v>
      </c>
      <c r="W1892" s="5" t="str">
        <f t="shared" si="3"/>
        <v>Jessica Yu</v>
      </c>
      <c r="X1892" s="5">
        <f t="shared" si="4"/>
        <v>1</v>
      </c>
      <c r="Y1892" s="5" t="str">
        <f>IFERROR(__xludf.DUMMYFUNCTION("REGEXEXTRACT(J1892, ""^\d+"")"),"1")</f>
        <v>1</v>
      </c>
      <c r="Z1892" s="5" t="str">
        <f>IFERROR(__xludf.DUMMYFUNCTION("REGEXEXTRACT(J1892, ""[A-Za-z ]+$"")")," Season")</f>
        <v> Season</v>
      </c>
      <c r="AA1892" s="5" t="str">
        <f>IFERROR(__xludf.DUMMYFUNCTION("IF(REGEXMATCH(Z1892, ""Season""), ""TV Show"", ""Movie"")"),"TV Show")</f>
        <v>TV Show</v>
      </c>
    </row>
    <row r="1893">
      <c r="A1893" s="1" t="s">
        <v>10907</v>
      </c>
      <c r="B1893" s="1" t="s">
        <v>27</v>
      </c>
      <c r="C1893" s="1" t="s">
        <v>10908</v>
      </c>
      <c r="D1893" s="1" t="s">
        <v>10909</v>
      </c>
      <c r="E1893" s="1" t="s">
        <v>10910</v>
      </c>
      <c r="F1893" s="1" t="s">
        <v>188</v>
      </c>
      <c r="G1893" s="1" t="s">
        <v>10911</v>
      </c>
      <c r="H1893" s="1">
        <v>2016.0</v>
      </c>
      <c r="I1893" s="1" t="s">
        <v>97</v>
      </c>
      <c r="J1893" s="1" t="s">
        <v>170</v>
      </c>
      <c r="K1893" s="1" t="s">
        <v>215</v>
      </c>
      <c r="L1893" s="1" t="s">
        <v>10912</v>
      </c>
      <c r="M1893" s="2" t="s">
        <v>12</v>
      </c>
      <c r="N1893" s="4">
        <f t="shared" si="1"/>
        <v>44106</v>
      </c>
      <c r="O1893" s="5" t="str">
        <f>IFERROR(__xludf.DUMMYFUNCTION("IF(REGEXMATCH(TRIM(I1893), ""^\d+\s*min""), ""Unclassified"", IF(I1893 = """", ""NR"", I1893))"),"TV-14")</f>
        <v>TV-14</v>
      </c>
      <c r="R1893" s="5" t="str">
        <f t="shared" si="2"/>
        <v>A Chaster Marriage</v>
      </c>
      <c r="S1893" s="5" t="str">
        <f>IFERROR(__xludf.DUMMYFUNCTION("""COMPUTED_VALUE"""),"Death Race: Beyond Anarchy")</f>
        <v>Death Race: Beyond Anarchy</v>
      </c>
      <c r="U1893" s="5" t="str">
        <f>IFERROR(__xludf.DUMMYFUNCTION("""COMPUTED_VALUE"""),"Deepti Naval")</f>
        <v>Deepti Naval</v>
      </c>
      <c r="V1893" s="5" t="s">
        <v>4852</v>
      </c>
      <c r="W1893" s="5" t="str">
        <f t="shared" si="3"/>
        <v>Jessie Nelson</v>
      </c>
      <c r="X1893" s="5">
        <f t="shared" si="4"/>
        <v>1</v>
      </c>
      <c r="Y1893" s="5" t="str">
        <f>IFERROR(__xludf.DUMMYFUNCTION("REGEXEXTRACT(J1893, ""^\d+"")"),"94")</f>
        <v>94</v>
      </c>
      <c r="Z1893" s="5" t="str">
        <f>IFERROR(__xludf.DUMMYFUNCTION("REGEXEXTRACT(J1893, ""[A-Za-z ]+$"")")," min")</f>
        <v> min</v>
      </c>
      <c r="AA1893" s="5" t="str">
        <f>IFERROR(__xludf.DUMMYFUNCTION("IF(REGEXMATCH(Z1893, ""Season""), ""TV Show"", ""Movie"")"),"Movie")</f>
        <v>Movie</v>
      </c>
    </row>
    <row r="1894">
      <c r="A1894" s="1" t="s">
        <v>10913</v>
      </c>
      <c r="B1894" s="1" t="s">
        <v>27</v>
      </c>
      <c r="C1894" s="1" t="s">
        <v>10914</v>
      </c>
      <c r="D1894" s="1" t="s">
        <v>204</v>
      </c>
      <c r="E1894" s="1" t="s">
        <v>10915</v>
      </c>
      <c r="G1894" s="1" t="s">
        <v>10911</v>
      </c>
      <c r="H1894" s="1">
        <v>2020.0</v>
      </c>
      <c r="I1894" s="1" t="s">
        <v>206</v>
      </c>
      <c r="J1894" s="1" t="s">
        <v>7407</v>
      </c>
      <c r="K1894" s="1" t="s">
        <v>80</v>
      </c>
      <c r="L1894" s="1" t="s">
        <v>10916</v>
      </c>
      <c r="M1894" s="2" t="s">
        <v>12</v>
      </c>
      <c r="N1894" s="4">
        <f t="shared" si="1"/>
        <v>44106</v>
      </c>
      <c r="O1894" s="5" t="str">
        <f>IFERROR(__xludf.DUMMYFUNCTION("IF(REGEXMATCH(TRIM(I1894), ""^\d+\s*min""), ""Unclassified"", IF(I1894 = """", ""NR"", I1894))"),"TV-Y")</f>
        <v>TV-Y</v>
      </c>
      <c r="R1894" s="5" t="str">
        <f t="shared" si="2"/>
        <v>A Go! Go! Cory Carson Halloween</v>
      </c>
      <c r="S1894" s="5" t="str">
        <f>IFERROR(__xludf.DUMMYFUNCTION("""COMPUTED_VALUE"""),"Death To 2020")</f>
        <v>Death To 2020</v>
      </c>
      <c r="U1894" s="5" t="str">
        <f>IFERROR(__xludf.DUMMYFUNCTION("""COMPUTED_VALUE"""),"Scott Aukerman")</f>
        <v>Scott Aukerman</v>
      </c>
      <c r="V1894" s="5" t="s">
        <v>10917</v>
      </c>
      <c r="W1894" s="5" t="str">
        <f t="shared" si="3"/>
        <v>Jesús Magaña Vázquez</v>
      </c>
      <c r="X1894" s="5">
        <f t="shared" si="4"/>
        <v>1</v>
      </c>
      <c r="Y1894" s="5" t="str">
        <f>IFERROR(__xludf.DUMMYFUNCTION("REGEXEXTRACT(J1894, ""^\d+"")"),"22")</f>
        <v>22</v>
      </c>
      <c r="Z1894" s="5" t="str">
        <f>IFERROR(__xludf.DUMMYFUNCTION("REGEXEXTRACT(J1894, ""[A-Za-z ]+$"")")," min")</f>
        <v> min</v>
      </c>
      <c r="AA1894" s="5" t="str">
        <f>IFERROR(__xludf.DUMMYFUNCTION("IF(REGEXMATCH(Z1894, ""Season""), ""TV Show"", ""Movie"")"),"Movie")</f>
        <v>Movie</v>
      </c>
    </row>
    <row r="1895">
      <c r="A1895" s="1" t="s">
        <v>10918</v>
      </c>
      <c r="B1895" s="1" t="s">
        <v>37</v>
      </c>
      <c r="C1895" s="1" t="s">
        <v>10919</v>
      </c>
      <c r="E1895" s="1" t="s">
        <v>10920</v>
      </c>
      <c r="F1895" s="1" t="s">
        <v>30</v>
      </c>
      <c r="G1895" s="1" t="s">
        <v>10911</v>
      </c>
      <c r="H1895" s="1">
        <v>2005.0</v>
      </c>
      <c r="I1895" s="1" t="s">
        <v>136</v>
      </c>
      <c r="J1895" s="1" t="s">
        <v>51</v>
      </c>
      <c r="K1895" s="1" t="s">
        <v>314</v>
      </c>
      <c r="L1895" s="1" t="s">
        <v>10921</v>
      </c>
      <c r="M1895" s="2" t="s">
        <v>12</v>
      </c>
      <c r="N1895" s="4">
        <f t="shared" si="1"/>
        <v>44106</v>
      </c>
      <c r="O1895" s="5" t="str">
        <f>IFERROR(__xludf.DUMMYFUNCTION("IF(REGEXMATCH(TRIM(I1895), ""^\d+\s*min""), ""Unclassified"", IF(I1895 = """", ""NR"", I1895))"),"TV-PG")</f>
        <v>TV-PG</v>
      </c>
      <c r="R1895" s="5" t="str">
        <f t="shared" si="2"/>
        <v>Dreamworks Happy Holidays From Madagascar</v>
      </c>
      <c r="S1895" s="5" t="str">
        <f>IFERROR(__xludf.DUMMYFUNCTION("""COMPUTED_VALUE"""),"Deathgrip")</f>
        <v>Deathgrip</v>
      </c>
      <c r="U1895" s="5" t="str">
        <f>IFERROR(__xludf.DUMMYFUNCTION("""COMPUTED_VALUE"""),"Mariano Barroso")</f>
        <v>Mariano Barroso</v>
      </c>
      <c r="V1895" s="5" t="s">
        <v>10922</v>
      </c>
      <c r="W1895" s="5" t="str">
        <f t="shared" si="3"/>
        <v>Jesús Torres Torres</v>
      </c>
      <c r="X1895" s="5">
        <f t="shared" si="4"/>
        <v>1</v>
      </c>
      <c r="Y1895" s="5" t="str">
        <f>IFERROR(__xludf.DUMMYFUNCTION("REGEXEXTRACT(J1895, ""^\d+"")"),"1")</f>
        <v>1</v>
      </c>
      <c r="Z1895" s="5" t="str">
        <f>IFERROR(__xludf.DUMMYFUNCTION("REGEXEXTRACT(J1895, ""[A-Za-z ]+$"")")," Season")</f>
        <v> Season</v>
      </c>
      <c r="AA1895" s="5" t="str">
        <f>IFERROR(__xludf.DUMMYFUNCTION("IF(REGEXMATCH(Z1895, ""Season""), ""TV Show"", ""Movie"")"),"TV Show")</f>
        <v>TV Show</v>
      </c>
    </row>
    <row r="1896">
      <c r="A1896" s="1" t="s">
        <v>10923</v>
      </c>
      <c r="B1896" s="1" t="s">
        <v>37</v>
      </c>
      <c r="C1896" s="1" t="s">
        <v>10924</v>
      </c>
      <c r="E1896" s="1" t="s">
        <v>10925</v>
      </c>
      <c r="F1896" s="1" t="s">
        <v>30</v>
      </c>
      <c r="G1896" s="1" t="s">
        <v>10911</v>
      </c>
      <c r="H1896" s="1">
        <v>2020.0</v>
      </c>
      <c r="I1896" s="1" t="s">
        <v>42</v>
      </c>
      <c r="J1896" s="1" t="s">
        <v>51</v>
      </c>
      <c r="K1896" s="1" t="s">
        <v>4634</v>
      </c>
      <c r="L1896" s="1" t="s">
        <v>10926</v>
      </c>
      <c r="M1896" s="2" t="s">
        <v>12</v>
      </c>
      <c r="N1896" s="4">
        <f t="shared" si="1"/>
        <v>44106</v>
      </c>
      <c r="O1896" s="5" t="str">
        <f>IFERROR(__xludf.DUMMYFUNCTION("IF(REGEXMATCH(TRIM(I1896), ""^\d+\s*min""), ""Unclassified"", IF(I1896 = """", ""NR"", I1896))"),"TV-MA")</f>
        <v>TV-MA</v>
      </c>
      <c r="R1896" s="5" t="str">
        <f t="shared" si="2"/>
        <v>Emily In Paris</v>
      </c>
      <c r="S1896" s="5" t="str">
        <f>IFERROR(__xludf.DUMMYFUNCTION("""COMPUTED_VALUE"""),"Dedemin Fisi")</f>
        <v>Dedemin Fisi</v>
      </c>
      <c r="U1896" s="5" t="str">
        <f>IFERROR(__xludf.DUMMYFUNCTION("""COMPUTED_VALUE"""),"Kiko Cruz Claverol, Patricia Font")</f>
        <v>Kiko Cruz Claverol, Patricia Font</v>
      </c>
      <c r="V1896" s="5" t="s">
        <v>10927</v>
      </c>
      <c r="W1896" s="5" t="str">
        <f t="shared" si="3"/>
        <v>Jevons Au, Zune Kwok, Chow Kwun-Wai, Ng Ka-Leung, Wong Fei-Pang</v>
      </c>
      <c r="X1896" s="5">
        <f t="shared" si="4"/>
        <v>1</v>
      </c>
      <c r="Y1896" s="5" t="str">
        <f>IFERROR(__xludf.DUMMYFUNCTION("REGEXEXTRACT(J1896, ""^\d+"")"),"1")</f>
        <v>1</v>
      </c>
      <c r="Z1896" s="5" t="str">
        <f>IFERROR(__xludf.DUMMYFUNCTION("REGEXEXTRACT(J1896, ""[A-Za-z ]+$"")")," Season")</f>
        <v> Season</v>
      </c>
      <c r="AA1896" s="5" t="str">
        <f>IFERROR(__xludf.DUMMYFUNCTION("IF(REGEXMATCH(Z1896, ""Season""), ""TV Show"", ""Movie"")"),"TV Show")</f>
        <v>TV Show</v>
      </c>
    </row>
    <row r="1897">
      <c r="A1897" s="1" t="s">
        <v>10928</v>
      </c>
      <c r="B1897" s="1" t="s">
        <v>37</v>
      </c>
      <c r="C1897" s="1" t="s">
        <v>10929</v>
      </c>
      <c r="E1897" s="1" t="s">
        <v>10930</v>
      </c>
      <c r="F1897" s="1" t="s">
        <v>221</v>
      </c>
      <c r="G1897" s="1" t="s">
        <v>10911</v>
      </c>
      <c r="H1897" s="1">
        <v>2009.0</v>
      </c>
      <c r="I1897" s="1" t="s">
        <v>136</v>
      </c>
      <c r="J1897" s="1" t="s">
        <v>276</v>
      </c>
      <c r="K1897" s="1" t="s">
        <v>10931</v>
      </c>
      <c r="L1897" s="1" t="s">
        <v>10932</v>
      </c>
      <c r="M1897" s="2" t="s">
        <v>12</v>
      </c>
      <c r="N1897" s="4">
        <f t="shared" si="1"/>
        <v>44106</v>
      </c>
      <c r="O1897" s="5" t="str">
        <f>IFERROR(__xludf.DUMMYFUNCTION("IF(REGEXMATCH(TRIM(I1897), ""^\d+\s*min""), ""Unclassified"", IF(I1897 = """", ""NR"", I1897))"),"TV-PG")</f>
        <v>TV-PG</v>
      </c>
      <c r="R1897" s="5" t="str">
        <f t="shared" si="2"/>
        <v>H2O: Just Add Water</v>
      </c>
      <c r="S1897" s="5" t="str">
        <f>IFERROR(__xludf.DUMMYFUNCTION("""COMPUTED_VALUE"""),"Dedh Ishqiya")</f>
        <v>Dedh Ishqiya</v>
      </c>
      <c r="U1897" s="5" t="str">
        <f>IFERROR(__xludf.DUMMYFUNCTION("""COMPUTED_VALUE"""),"Sandeep Reddy Vanga")</f>
        <v>Sandeep Reddy Vanga</v>
      </c>
      <c r="V1897" s="5" t="s">
        <v>10933</v>
      </c>
      <c r="W1897" s="5" t="str">
        <f t="shared" si="3"/>
        <v>Jijo Pancode</v>
      </c>
      <c r="X1897" s="5">
        <f t="shared" si="4"/>
        <v>1</v>
      </c>
      <c r="Y1897" s="5" t="str">
        <f>IFERROR(__xludf.DUMMYFUNCTION("REGEXEXTRACT(J1897, ""^\d+"")"),"3")</f>
        <v>3</v>
      </c>
      <c r="Z1897" s="5" t="str">
        <f>IFERROR(__xludf.DUMMYFUNCTION("REGEXEXTRACT(J1897, ""[A-Za-z ]+$"")")," Seasons")</f>
        <v> Seasons</v>
      </c>
      <c r="AA1897" s="5" t="str">
        <f>IFERROR(__xludf.DUMMYFUNCTION("IF(REGEXMATCH(Z1897, ""Season""), ""TV Show"", ""Movie"")"),"TV Show")</f>
        <v>TV Show</v>
      </c>
    </row>
    <row r="1898">
      <c r="A1898" s="1" t="s">
        <v>10934</v>
      </c>
      <c r="B1898" s="1" t="s">
        <v>27</v>
      </c>
      <c r="C1898" s="1" t="s">
        <v>10935</v>
      </c>
      <c r="D1898" s="1" t="s">
        <v>2356</v>
      </c>
      <c r="E1898" s="1" t="s">
        <v>10936</v>
      </c>
      <c r="F1898" s="1" t="s">
        <v>400</v>
      </c>
      <c r="G1898" s="1" t="s">
        <v>10911</v>
      </c>
      <c r="H1898" s="1">
        <v>2020.0</v>
      </c>
      <c r="I1898" s="1" t="s">
        <v>42</v>
      </c>
      <c r="J1898" s="1" t="s">
        <v>1256</v>
      </c>
      <c r="K1898" s="1" t="s">
        <v>128</v>
      </c>
      <c r="L1898" s="1" t="s">
        <v>10937</v>
      </c>
      <c r="M1898" s="2" t="s">
        <v>12</v>
      </c>
      <c r="N1898" s="4">
        <f t="shared" si="1"/>
        <v>44106</v>
      </c>
      <c r="O1898" s="5" t="str">
        <f>IFERROR(__xludf.DUMMYFUNCTION("IF(REGEXMATCH(TRIM(I1898), ""^\d+\s*min""), ""Unclassified"", IF(I1898 = """", ""NR"", I1898))"),"TV-MA")</f>
        <v>TV-MA</v>
      </c>
      <c r="R1898" s="5" t="str">
        <f t="shared" si="2"/>
        <v>Òlòtūré</v>
      </c>
      <c r="S1898" s="5" t="str">
        <f>IFERROR(__xludf.DUMMYFUNCTION("""COMPUTED_VALUE"""),"Deep")</f>
        <v>Deep</v>
      </c>
      <c r="U1898" s="5" t="str">
        <f>IFERROR(__xludf.DUMMYFUNCTION("""COMPUTED_VALUE"""),"Manny Rodriguez")</f>
        <v>Manny Rodriguez</v>
      </c>
      <c r="V1898" s="5" t="s">
        <v>10938</v>
      </c>
      <c r="W1898" s="5" t="str">
        <f t="shared" si="3"/>
        <v>Jill Bauer, Ronna Gradus</v>
      </c>
      <c r="X1898" s="5">
        <f t="shared" si="4"/>
        <v>1</v>
      </c>
      <c r="Y1898" s="5" t="str">
        <f>IFERROR(__xludf.DUMMYFUNCTION("REGEXEXTRACT(J1898, ""^\d+"")"),"107")</f>
        <v>107</v>
      </c>
      <c r="Z1898" s="5" t="str">
        <f>IFERROR(__xludf.DUMMYFUNCTION("REGEXEXTRACT(J1898, ""[A-Za-z ]+$"")")," min")</f>
        <v> min</v>
      </c>
      <c r="AA1898" s="5" t="str">
        <f>IFERROR(__xludf.DUMMYFUNCTION("IF(REGEXMATCH(Z1898, ""Season""), ""TV Show"", ""Movie"")"),"Movie")</f>
        <v>Movie</v>
      </c>
    </row>
    <row r="1899">
      <c r="A1899" s="1" t="s">
        <v>10939</v>
      </c>
      <c r="B1899" s="1" t="s">
        <v>27</v>
      </c>
      <c r="C1899" s="1" t="s">
        <v>10940</v>
      </c>
      <c r="D1899" s="1" t="s">
        <v>10941</v>
      </c>
      <c r="E1899" s="1" t="s">
        <v>10942</v>
      </c>
      <c r="F1899" s="1" t="s">
        <v>63</v>
      </c>
      <c r="G1899" s="1" t="s">
        <v>10911</v>
      </c>
      <c r="H1899" s="1">
        <v>2020.0</v>
      </c>
      <c r="I1899" s="1" t="s">
        <v>42</v>
      </c>
      <c r="J1899" s="1" t="s">
        <v>379</v>
      </c>
      <c r="K1899" s="1" t="s">
        <v>583</v>
      </c>
      <c r="L1899" s="1" t="s">
        <v>10943</v>
      </c>
      <c r="M1899" s="2" t="s">
        <v>12</v>
      </c>
      <c r="N1899" s="4">
        <f t="shared" si="1"/>
        <v>44106</v>
      </c>
      <c r="O1899" s="5" t="str">
        <f>IFERROR(__xludf.DUMMYFUNCTION("IF(REGEXMATCH(TRIM(I1899), ""^\d+\s*min""), ""Unclassified"", IF(I1899 = """", ""NR"", I1899))"),"TV-MA")</f>
        <v>TV-MA</v>
      </c>
      <c r="R1899" s="5" t="str">
        <f t="shared" si="2"/>
        <v>Serious Men</v>
      </c>
      <c r="S1899" s="5" t="str">
        <f>IFERROR(__xludf.DUMMYFUNCTION("""COMPUTED_VALUE"""),"Deep Blue Sea")</f>
        <v>Deep Blue Sea</v>
      </c>
      <c r="U1899" s="5" t="str">
        <f>IFERROR(__xludf.DUMMYFUNCTION("""COMPUTED_VALUE"""),"Randall Lobb")</f>
        <v>Randall Lobb</v>
      </c>
      <c r="V1899" s="5" t="s">
        <v>10944</v>
      </c>
      <c r="W1899" s="5" t="str">
        <f t="shared" si="3"/>
        <v>Jill Bauer, Ronna Gradus, Rashida Jones</v>
      </c>
      <c r="X1899" s="5">
        <f t="shared" si="4"/>
        <v>1</v>
      </c>
      <c r="Y1899" s="5" t="str">
        <f>IFERROR(__xludf.DUMMYFUNCTION("REGEXEXTRACT(J1899, ""^\d+"")"),"115")</f>
        <v>115</v>
      </c>
      <c r="Z1899" s="5" t="str">
        <f>IFERROR(__xludf.DUMMYFUNCTION("REGEXEXTRACT(J1899, ""[A-Za-z ]+$"")")," min")</f>
        <v> min</v>
      </c>
      <c r="AA1899" s="5" t="str">
        <f>IFERROR(__xludf.DUMMYFUNCTION("IF(REGEXMATCH(Z1899, ""Season""), ""TV Show"", ""Movie"")"),"Movie")</f>
        <v>Movie</v>
      </c>
    </row>
    <row r="1900">
      <c r="A1900" s="1" t="s">
        <v>10945</v>
      </c>
      <c r="B1900" s="1" t="s">
        <v>27</v>
      </c>
      <c r="C1900" s="1" t="s">
        <v>10946</v>
      </c>
      <c r="D1900" s="1" t="s">
        <v>10947</v>
      </c>
      <c r="E1900" s="1" t="s">
        <v>10948</v>
      </c>
      <c r="F1900" s="1" t="s">
        <v>1779</v>
      </c>
      <c r="G1900" s="1" t="s">
        <v>10911</v>
      </c>
      <c r="H1900" s="1">
        <v>2020.0</v>
      </c>
      <c r="I1900" s="1" t="s">
        <v>42</v>
      </c>
      <c r="J1900" s="1" t="s">
        <v>454</v>
      </c>
      <c r="K1900" s="1" t="s">
        <v>1592</v>
      </c>
      <c r="L1900" s="1" t="s">
        <v>10949</v>
      </c>
      <c r="M1900" s="2" t="s">
        <v>12</v>
      </c>
      <c r="N1900" s="4">
        <f t="shared" si="1"/>
        <v>44106</v>
      </c>
      <c r="O1900" s="5" t="str">
        <f>IFERROR(__xludf.DUMMYFUNCTION("IF(REGEXMATCH(TRIM(I1900), ""^\d+\s*min""), ""Unclassified"", IF(I1900 = """", ""NR"", I1900))"),"TV-MA")</f>
        <v>TV-MA</v>
      </c>
      <c r="R1900" s="5" t="str">
        <f t="shared" si="2"/>
        <v>The Binding</v>
      </c>
      <c r="S1900" s="5" t="str">
        <f>IFERROR(__xludf.DUMMYFUNCTION("""COMPUTED_VALUE"""),"Deep Undercover Collection")</f>
        <v>Deep Undercover Collection</v>
      </c>
      <c r="U1900" s="5" t="str">
        <f>IFERROR(__xludf.DUMMYFUNCTION("""COMPUTED_VALUE"""),"Alex Stapleton")</f>
        <v>Alex Stapleton</v>
      </c>
      <c r="V1900" s="5" t="s">
        <v>10950</v>
      </c>
      <c r="W1900" s="5" t="str">
        <f t="shared" si="3"/>
        <v>Jim Fall</v>
      </c>
      <c r="X1900" s="5">
        <f t="shared" si="4"/>
        <v>1</v>
      </c>
      <c r="Y1900" s="5" t="str">
        <f>IFERROR(__xludf.DUMMYFUNCTION("REGEXEXTRACT(J1900, ""^\d+"")"),"93")</f>
        <v>93</v>
      </c>
      <c r="Z1900" s="5" t="str">
        <f>IFERROR(__xludf.DUMMYFUNCTION("REGEXEXTRACT(J1900, ""[A-Za-z ]+$"")")," min")</f>
        <v> min</v>
      </c>
      <c r="AA1900" s="5" t="str">
        <f>IFERROR(__xludf.DUMMYFUNCTION("IF(REGEXMATCH(Z1900, ""Season""), ""TV Show"", ""Movie"")"),"Movie")</f>
        <v>Movie</v>
      </c>
    </row>
    <row r="1901">
      <c r="A1901" s="1" t="s">
        <v>10951</v>
      </c>
      <c r="B1901" s="1" t="s">
        <v>27</v>
      </c>
      <c r="C1901" s="1" t="s">
        <v>10952</v>
      </c>
      <c r="D1901" s="1" t="s">
        <v>3999</v>
      </c>
      <c r="E1901" s="1" t="s">
        <v>10953</v>
      </c>
      <c r="F1901" s="1" t="s">
        <v>188</v>
      </c>
      <c r="G1901" s="1" t="s">
        <v>10911</v>
      </c>
      <c r="H1901" s="1">
        <v>2017.0</v>
      </c>
      <c r="I1901" s="1" t="s">
        <v>42</v>
      </c>
      <c r="J1901" s="1" t="s">
        <v>1256</v>
      </c>
      <c r="K1901" s="1" t="s">
        <v>215</v>
      </c>
      <c r="L1901" s="1" t="s">
        <v>10954</v>
      </c>
      <c r="M1901" s="2" t="s">
        <v>12</v>
      </c>
      <c r="N1901" s="4">
        <f t="shared" si="1"/>
        <v>44106</v>
      </c>
      <c r="O1901" s="5" t="str">
        <f>IFERROR(__xludf.DUMMYFUNCTION("IF(REGEXMATCH(TRIM(I1901), ""^\d+\s*min""), ""Unclassified"", IF(I1901 = """", ""NR"", I1901))"),"TV-MA")</f>
        <v>TV-MA</v>
      </c>
      <c r="R1901" s="5" t="str">
        <f t="shared" si="2"/>
        <v>Turkish Dance School</v>
      </c>
      <c r="S1901" s="5" t="str">
        <f>IFERROR(__xludf.DUMMYFUNCTION("""COMPUTED_VALUE"""),"Deep Water")</f>
        <v>Deep Water</v>
      </c>
      <c r="U1901" s="5" t="str">
        <f>IFERROR(__xludf.DUMMYFUNCTION("""COMPUTED_VALUE"""),"Teng Huatao")</f>
        <v>Teng Huatao</v>
      </c>
      <c r="V1901" s="5" t="s">
        <v>3677</v>
      </c>
      <c r="W1901" s="5" t="str">
        <f t="shared" si="3"/>
        <v>Jim Field Smith</v>
      </c>
      <c r="X1901" s="5">
        <f t="shared" si="4"/>
        <v>1</v>
      </c>
      <c r="Y1901" s="5" t="str">
        <f>IFERROR(__xludf.DUMMYFUNCTION("REGEXEXTRACT(J1901, ""^\d+"")"),"107")</f>
        <v>107</v>
      </c>
      <c r="Z1901" s="5" t="str">
        <f>IFERROR(__xludf.DUMMYFUNCTION("REGEXEXTRACT(J1901, ""[A-Za-z ]+$"")")," min")</f>
        <v> min</v>
      </c>
      <c r="AA1901" s="5" t="str">
        <f>IFERROR(__xludf.DUMMYFUNCTION("IF(REGEXMATCH(Z1901, ""Season""), ""TV Show"", ""Movie"")"),"Movie")</f>
        <v>Movie</v>
      </c>
    </row>
    <row r="1902">
      <c r="A1902" s="1" t="s">
        <v>10955</v>
      </c>
      <c r="B1902" s="1" t="s">
        <v>27</v>
      </c>
      <c r="C1902" s="1" t="s">
        <v>10956</v>
      </c>
      <c r="D1902" s="1" t="s">
        <v>10957</v>
      </c>
      <c r="E1902" s="1" t="s">
        <v>10958</v>
      </c>
      <c r="F1902" s="1" t="s">
        <v>30</v>
      </c>
      <c r="G1902" s="1" t="s">
        <v>10911</v>
      </c>
      <c r="H1902" s="1">
        <v>2020.0</v>
      </c>
      <c r="I1902" s="1" t="s">
        <v>32</v>
      </c>
      <c r="J1902" s="1" t="s">
        <v>1144</v>
      </c>
      <c r="K1902" s="1" t="s">
        <v>4525</v>
      </c>
      <c r="L1902" s="1" t="s">
        <v>10959</v>
      </c>
      <c r="M1902" s="2" t="s">
        <v>12</v>
      </c>
      <c r="N1902" s="4">
        <f t="shared" si="1"/>
        <v>44106</v>
      </c>
      <c r="O1902" s="5" t="str">
        <f>IFERROR(__xludf.DUMMYFUNCTION("IF(REGEXMATCH(TRIM(I1902), ""^\d+\s*min""), ""Unclassified"", IF(I1902 = """", ""NR"", I1902))"),"PG-13")</f>
        <v>PG-13</v>
      </c>
      <c r="R1902" s="5" t="str">
        <f t="shared" si="2"/>
        <v>Vampires Vs. The Bronx</v>
      </c>
      <c r="S1902" s="5" t="str">
        <f>IFERROR(__xludf.DUMMYFUNCTION("""COMPUTED_VALUE"""),"Deewana Main Deewana")</f>
        <v>Deewana Main Deewana</v>
      </c>
      <c r="U1902" s="5" t="str">
        <f>IFERROR(__xludf.DUMMYFUNCTION("""COMPUTED_VALUE"""),"Nzingha Stewart")</f>
        <v>Nzingha Stewart</v>
      </c>
      <c r="V1902" s="5" t="s">
        <v>1089</v>
      </c>
      <c r="W1902" s="5" t="str">
        <f t="shared" si="3"/>
        <v>Jim Henson</v>
      </c>
      <c r="X1902" s="5">
        <f t="shared" si="4"/>
        <v>1</v>
      </c>
      <c r="Y1902" s="5" t="str">
        <f>IFERROR(__xludf.DUMMYFUNCTION("REGEXEXTRACT(J1902, ""^\d+"")"),"86")</f>
        <v>86</v>
      </c>
      <c r="Z1902" s="5" t="str">
        <f>IFERROR(__xludf.DUMMYFUNCTION("REGEXEXTRACT(J1902, ""[A-Za-z ]+$"")")," min")</f>
        <v> min</v>
      </c>
      <c r="AA1902" s="5" t="str">
        <f>IFERROR(__xludf.DUMMYFUNCTION("IF(REGEXMATCH(Z1902, ""Season""), ""TV Show"", ""Movie"")"),"Movie")</f>
        <v>Movie</v>
      </c>
    </row>
    <row r="1903">
      <c r="A1903" s="1" t="s">
        <v>10960</v>
      </c>
      <c r="B1903" s="1" t="s">
        <v>27</v>
      </c>
      <c r="C1903" s="1" t="s">
        <v>10961</v>
      </c>
      <c r="D1903" s="1" t="s">
        <v>10962</v>
      </c>
      <c r="E1903" s="1" t="s">
        <v>10963</v>
      </c>
      <c r="F1903" s="1" t="s">
        <v>162</v>
      </c>
      <c r="G1903" s="1" t="s">
        <v>10911</v>
      </c>
      <c r="H1903" s="1">
        <v>2020.0</v>
      </c>
      <c r="I1903" s="1" t="s">
        <v>42</v>
      </c>
      <c r="J1903" s="1" t="s">
        <v>1243</v>
      </c>
      <c r="K1903" s="1" t="s">
        <v>215</v>
      </c>
      <c r="L1903" s="1" t="s">
        <v>10964</v>
      </c>
      <c r="M1903" s="2" t="s">
        <v>12</v>
      </c>
      <c r="N1903" s="4">
        <f t="shared" si="1"/>
        <v>44106</v>
      </c>
      <c r="O1903" s="5" t="str">
        <f>IFERROR(__xludf.DUMMYFUNCTION("IF(REGEXMATCH(TRIM(I1903), ""^\d+\s*min""), ""Unclassified"", IF(I1903 = """", ""NR"", I1903))"),"TV-MA")</f>
        <v>TV-MA</v>
      </c>
      <c r="R1903" s="5" t="str">
        <f t="shared" si="2"/>
        <v>You'Ve Got This</v>
      </c>
      <c r="S1903" s="5" t="str">
        <f>IFERROR(__xludf.DUMMYFUNCTION("""COMPUTED_VALUE"""),"Deewangee")</f>
        <v>Deewangee</v>
      </c>
      <c r="U1903" s="5" t="str">
        <f>IFERROR(__xludf.DUMMYFUNCTION("""COMPUTED_VALUE"""),"Orlando Von Einsiedel")</f>
        <v>Orlando Von Einsiedel</v>
      </c>
      <c r="V1903" s="5" t="s">
        <v>10965</v>
      </c>
      <c r="W1903" s="5" t="str">
        <f t="shared" si="3"/>
        <v>Jim Hosking</v>
      </c>
      <c r="X1903" s="5">
        <f t="shared" si="4"/>
        <v>1</v>
      </c>
      <c r="Y1903" s="5" t="str">
        <f>IFERROR(__xludf.DUMMYFUNCTION("REGEXEXTRACT(J1903, ""^\d+"")"),"112")</f>
        <v>112</v>
      </c>
      <c r="Z1903" s="5" t="str">
        <f>IFERROR(__xludf.DUMMYFUNCTION("REGEXEXTRACT(J1903, ""[A-Za-z ]+$"")")," min")</f>
        <v> min</v>
      </c>
      <c r="AA1903" s="5" t="str">
        <f>IFERROR(__xludf.DUMMYFUNCTION("IF(REGEXMATCH(Z1903, ""Season""), ""TV Show"", ""Movie"")"),"Movie")</f>
        <v>Movie</v>
      </c>
    </row>
    <row r="1904">
      <c r="A1904" s="1" t="s">
        <v>10966</v>
      </c>
      <c r="B1904" s="1" t="s">
        <v>27</v>
      </c>
      <c r="C1904" s="1" t="s">
        <v>10967</v>
      </c>
      <c r="D1904" s="1" t="s">
        <v>522</v>
      </c>
      <c r="E1904" s="1" t="s">
        <v>10968</v>
      </c>
      <c r="F1904" s="1" t="s">
        <v>3321</v>
      </c>
      <c r="G1904" s="1" t="s">
        <v>10969</v>
      </c>
      <c r="H1904" s="1">
        <v>2020.0</v>
      </c>
      <c r="I1904" s="1" t="s">
        <v>136</v>
      </c>
      <c r="J1904" s="1" t="s">
        <v>447</v>
      </c>
      <c r="K1904" s="1" t="s">
        <v>1328</v>
      </c>
      <c r="L1904" s="1" t="s">
        <v>10970</v>
      </c>
      <c r="M1904" s="2" t="s">
        <v>12</v>
      </c>
      <c r="N1904" s="4">
        <f t="shared" si="1"/>
        <v>44105</v>
      </c>
      <c r="O1904" s="5" t="str">
        <f>IFERROR(__xludf.DUMMYFUNCTION("IF(REGEXMATCH(TRIM(I1904), ""^\d+\s*min""), ""Unclassified"", IF(I1904 = """", ""NR"", I1904))"),"TV-PG")</f>
        <v>TV-PG</v>
      </c>
      <c r="R1904" s="5" t="str">
        <f t="shared" si="2"/>
        <v>All Because Of You</v>
      </c>
      <c r="S1904" s="5" t="str">
        <f>IFERROR(__xludf.DUMMYFUNCTION("""COMPUTED_VALUE"""),"Def Comedy Jam 25")</f>
        <v>Def Comedy Jam 25</v>
      </c>
      <c r="U1904" s="5" t="str">
        <f>IFERROR(__xludf.DUMMYFUNCTION("""COMPUTED_VALUE"""),"Anubhav Sinha")</f>
        <v>Anubhav Sinha</v>
      </c>
      <c r="V1904" s="5" t="s">
        <v>10971</v>
      </c>
      <c r="W1904" s="5" t="str">
        <f t="shared" si="3"/>
        <v>Jim Mickle</v>
      </c>
      <c r="X1904" s="5">
        <f t="shared" si="4"/>
        <v>1</v>
      </c>
      <c r="Y1904" s="5" t="str">
        <f>IFERROR(__xludf.DUMMYFUNCTION("REGEXEXTRACT(J1904, ""^\d+"")"),"102")</f>
        <v>102</v>
      </c>
      <c r="Z1904" s="5" t="str">
        <f>IFERROR(__xludf.DUMMYFUNCTION("REGEXEXTRACT(J1904, ""[A-Za-z ]+$"")")," min")</f>
        <v> min</v>
      </c>
      <c r="AA1904" s="5" t="str">
        <f>IFERROR(__xludf.DUMMYFUNCTION("IF(REGEXMATCH(Z1904, ""Season""), ""TV Show"", ""Movie"")"),"Movie")</f>
        <v>Movie</v>
      </c>
    </row>
    <row r="1905">
      <c r="A1905" s="1" t="s">
        <v>10972</v>
      </c>
      <c r="B1905" s="1" t="s">
        <v>27</v>
      </c>
      <c r="C1905" s="1" t="s">
        <v>10973</v>
      </c>
      <c r="D1905" s="1" t="s">
        <v>3617</v>
      </c>
      <c r="E1905" s="1" t="s">
        <v>10974</v>
      </c>
      <c r="F1905" s="1" t="s">
        <v>10975</v>
      </c>
      <c r="G1905" s="1" t="s">
        <v>10969</v>
      </c>
      <c r="H1905" s="1">
        <v>2017.0</v>
      </c>
      <c r="I1905" s="1" t="s">
        <v>378</v>
      </c>
      <c r="J1905" s="1" t="s">
        <v>79</v>
      </c>
      <c r="K1905" s="1" t="s">
        <v>394</v>
      </c>
      <c r="L1905" s="1" t="s">
        <v>10976</v>
      </c>
      <c r="M1905" s="2" t="s">
        <v>12</v>
      </c>
      <c r="N1905" s="4">
        <f t="shared" si="1"/>
        <v>44105</v>
      </c>
      <c r="O1905" s="5" t="str">
        <f>IFERROR(__xludf.DUMMYFUNCTION("IF(REGEXMATCH(TRIM(I1905), ""^\d+\s*min""), ""Unclassified"", IF(I1905 = """", ""NR"", I1905))"),"R")</f>
        <v>R</v>
      </c>
      <c r="R1905" s="5" t="str">
        <f t="shared" si="2"/>
        <v>An Ordinary Man</v>
      </c>
      <c r="S1905" s="5" t="str">
        <f>IFERROR(__xludf.DUMMYFUNCTION("""COMPUTED_VALUE"""),"Defiance")</f>
        <v>Defiance</v>
      </c>
      <c r="U1905" s="5" t="str">
        <f>IFERROR(__xludf.DUMMYFUNCTION("""COMPUTED_VALUE"""),"Maha Venkatesh")</f>
        <v>Maha Venkatesh</v>
      </c>
      <c r="V1905" s="5" t="s">
        <v>10977</v>
      </c>
      <c r="W1905" s="5" t="str">
        <f t="shared" si="3"/>
        <v>Jim Monaco</v>
      </c>
      <c r="X1905" s="5">
        <f t="shared" si="4"/>
        <v>1</v>
      </c>
      <c r="Y1905" s="5" t="str">
        <f>IFERROR(__xludf.DUMMYFUNCTION("REGEXEXTRACT(J1905, ""^\d+"")"),"91")</f>
        <v>91</v>
      </c>
      <c r="Z1905" s="5" t="str">
        <f>IFERROR(__xludf.DUMMYFUNCTION("REGEXEXTRACT(J1905, ""[A-Za-z ]+$"")")," min")</f>
        <v> min</v>
      </c>
      <c r="AA1905" s="5" t="str">
        <f>IFERROR(__xludf.DUMMYFUNCTION("IF(REGEXMATCH(Z1905, ""Season""), ""TV Show"", ""Movie"")"),"Movie")</f>
        <v>Movie</v>
      </c>
    </row>
    <row r="1906">
      <c r="A1906" s="1" t="s">
        <v>10978</v>
      </c>
      <c r="B1906" s="1" t="s">
        <v>27</v>
      </c>
      <c r="C1906" s="1" t="s">
        <v>10979</v>
      </c>
      <c r="D1906" s="1" t="s">
        <v>7023</v>
      </c>
      <c r="E1906" s="1" t="s">
        <v>10980</v>
      </c>
      <c r="F1906" s="1" t="s">
        <v>30</v>
      </c>
      <c r="G1906" s="1" t="s">
        <v>10969</v>
      </c>
      <c r="H1906" s="1">
        <v>2019.0</v>
      </c>
      <c r="I1906" s="1" t="s">
        <v>97</v>
      </c>
      <c r="J1906" s="1" t="s">
        <v>490</v>
      </c>
      <c r="K1906" s="1" t="s">
        <v>1212</v>
      </c>
      <c r="L1906" s="1" t="s">
        <v>10981</v>
      </c>
      <c r="M1906" s="2" t="s">
        <v>12</v>
      </c>
      <c r="N1906" s="4">
        <f t="shared" si="1"/>
        <v>44105</v>
      </c>
      <c r="O1906" s="5" t="str">
        <f>IFERROR(__xludf.DUMMYFUNCTION("IF(REGEXMATCH(TRIM(I1906), ""^\d+\s*min""), ""Unclassified"", IF(I1906 = """", ""NR"", I1906))"),"TV-14")</f>
        <v>TV-14</v>
      </c>
      <c r="R1906" s="5" t="str">
        <f t="shared" si="2"/>
        <v>Carlos Almaraz: Playing With Fire</v>
      </c>
      <c r="S1906" s="5" t="str">
        <f>IFERROR(__xludf.DUMMYFUNCTION("""COMPUTED_VALUE"""),"Defying The Nazis: The Sharps' War")</f>
        <v>Defying The Nazis: The Sharps' War</v>
      </c>
      <c r="U1906" s="5" t="str">
        <f>IFERROR(__xludf.DUMMYFUNCTION("""COMPUTED_VALUE"""),"Tharun Bhascker")</f>
        <v>Tharun Bhascker</v>
      </c>
      <c r="V1906" s="5" t="s">
        <v>10982</v>
      </c>
      <c r="W1906" s="5" t="str">
        <f t="shared" si="3"/>
        <v>Jim Strouse</v>
      </c>
      <c r="X1906" s="5">
        <f t="shared" si="4"/>
        <v>1</v>
      </c>
      <c r="Y1906" s="5" t="str">
        <f>IFERROR(__xludf.DUMMYFUNCTION("REGEXEXTRACT(J1906, ""^\d+"")"),"83")</f>
        <v>83</v>
      </c>
      <c r="Z1906" s="5" t="str">
        <f>IFERROR(__xludf.DUMMYFUNCTION("REGEXEXTRACT(J1906, ""[A-Za-z ]+$"")")," min")</f>
        <v> min</v>
      </c>
      <c r="AA1906" s="5" t="str">
        <f>IFERROR(__xludf.DUMMYFUNCTION("IF(REGEXMATCH(Z1906, ""Season""), ""TV Show"", ""Movie"")"),"Movie")</f>
        <v>Movie</v>
      </c>
    </row>
    <row r="1907">
      <c r="A1907" s="1" t="s">
        <v>10983</v>
      </c>
      <c r="B1907" s="1" t="s">
        <v>27</v>
      </c>
      <c r="C1907" s="1" t="s">
        <v>10984</v>
      </c>
      <c r="D1907" s="1" t="s">
        <v>10985</v>
      </c>
      <c r="E1907" s="1" t="s">
        <v>10986</v>
      </c>
      <c r="F1907" s="1" t="s">
        <v>40</v>
      </c>
      <c r="G1907" s="1" t="s">
        <v>10969</v>
      </c>
      <c r="H1907" s="1">
        <v>2013.0</v>
      </c>
      <c r="I1907" s="1" t="s">
        <v>42</v>
      </c>
      <c r="J1907" s="1" t="s">
        <v>5120</v>
      </c>
      <c r="K1907" s="1" t="s">
        <v>306</v>
      </c>
      <c r="L1907" s="1" t="s">
        <v>10987</v>
      </c>
      <c r="M1907" s="2" t="s">
        <v>12</v>
      </c>
      <c r="N1907" s="4">
        <f t="shared" si="1"/>
        <v>44105</v>
      </c>
      <c r="O1907" s="5" t="str">
        <f>IFERROR(__xludf.DUMMYFUNCTION("IF(REGEXMATCH(TRIM(I1907), ""^\d+\s*min""), ""Unclassified"", IF(I1907 = """", ""NR"", I1907))"),"TV-MA")</f>
        <v>TV-MA</v>
      </c>
      <c r="R1907" s="5" t="str">
        <f t="shared" si="2"/>
        <v>Cold Harbour</v>
      </c>
      <c r="S1907" s="5" t="str">
        <f>IFERROR(__xludf.DUMMYFUNCTION("""COMPUTED_VALUE"""),"Degrassi: Next Class")</f>
        <v>Degrassi: Next Class</v>
      </c>
      <c r="U1907" s="5" t="str">
        <f>IFERROR(__xludf.DUMMYFUNCTION("""COMPUTED_VALUE"""),"Farhan Alam")</f>
        <v>Farhan Alam</v>
      </c>
      <c r="V1907" s="5" t="s">
        <v>10988</v>
      </c>
      <c r="W1907" s="5" t="str">
        <f t="shared" si="3"/>
        <v>Jimmy Henderson</v>
      </c>
      <c r="X1907" s="5">
        <f t="shared" si="4"/>
        <v>1</v>
      </c>
      <c r="Y1907" s="5" t="str">
        <f>IFERROR(__xludf.DUMMYFUNCTION("REGEXEXTRACT(J1907, ""^\d+"")"),"73")</f>
        <v>73</v>
      </c>
      <c r="Z1907" s="5" t="str">
        <f>IFERROR(__xludf.DUMMYFUNCTION("REGEXEXTRACT(J1907, ""[A-Za-z ]+$"")")," min")</f>
        <v> min</v>
      </c>
      <c r="AA1907" s="5" t="str">
        <f>IFERROR(__xludf.DUMMYFUNCTION("IF(REGEXMATCH(Z1907, ""Season""), ""TV Show"", ""Movie"")"),"Movie")</f>
        <v>Movie</v>
      </c>
    </row>
    <row r="1908">
      <c r="A1908" s="1" t="s">
        <v>10989</v>
      </c>
      <c r="B1908" s="1" t="s">
        <v>37</v>
      </c>
      <c r="C1908" s="1" t="s">
        <v>10990</v>
      </c>
      <c r="E1908" s="1" t="s">
        <v>10991</v>
      </c>
      <c r="F1908" s="1" t="s">
        <v>30</v>
      </c>
      <c r="G1908" s="1" t="s">
        <v>10969</v>
      </c>
      <c r="H1908" s="1">
        <v>2019.0</v>
      </c>
      <c r="I1908" s="1" t="s">
        <v>97</v>
      </c>
      <c r="J1908" s="1" t="s">
        <v>51</v>
      </c>
      <c r="K1908" s="1" t="s">
        <v>2709</v>
      </c>
      <c r="L1908" s="1" t="s">
        <v>10992</v>
      </c>
      <c r="M1908" s="2" t="s">
        <v>12</v>
      </c>
      <c r="N1908" s="4">
        <f t="shared" si="1"/>
        <v>44105</v>
      </c>
      <c r="O1908" s="5" t="str">
        <f>IFERROR(__xludf.DUMMYFUNCTION("IF(REGEXMATCH(TRIM(I1908), ""^\d+\s*min""), ""Unclassified"", IF(I1908 = """", ""NR"", I1908))"),"TV-14")</f>
        <v>TV-14</v>
      </c>
      <c r="R1908" s="5" t="str">
        <f t="shared" si="2"/>
        <v>Evil</v>
      </c>
      <c r="S1908" s="5" t="str">
        <f>IFERROR(__xludf.DUMMYFUNCTION("""COMPUTED_VALUE"""),"Deidra &amp; Laney Rob A Train")</f>
        <v>Deidra &amp; Laney Rob A Train</v>
      </c>
      <c r="U1908" s="5" t="str">
        <f>IFERROR(__xludf.DUMMYFUNCTION("""COMPUTED_VALUE"""),"A. L. Vijay")</f>
        <v>A. L. Vijay</v>
      </c>
      <c r="V1908" s="5" t="s">
        <v>10993</v>
      </c>
      <c r="W1908" s="5" t="str">
        <f t="shared" si="3"/>
        <v>Jitender Pawar</v>
      </c>
      <c r="X1908" s="5">
        <f t="shared" si="4"/>
        <v>1</v>
      </c>
      <c r="Y1908" s="5" t="str">
        <f>IFERROR(__xludf.DUMMYFUNCTION("REGEXEXTRACT(J1908, ""^\d+"")"),"1")</f>
        <v>1</v>
      </c>
      <c r="Z1908" s="5" t="str">
        <f>IFERROR(__xludf.DUMMYFUNCTION("REGEXEXTRACT(J1908, ""[A-Za-z ]+$"")")," Season")</f>
        <v> Season</v>
      </c>
      <c r="AA1908" s="5" t="str">
        <f>IFERROR(__xludf.DUMMYFUNCTION("IF(REGEXMATCH(Z1908, ""Season""), ""TV Show"", ""Movie"")"),"TV Show")</f>
        <v>TV Show</v>
      </c>
    </row>
    <row r="1909">
      <c r="A1909" s="1" t="s">
        <v>10994</v>
      </c>
      <c r="B1909" s="1" t="s">
        <v>37</v>
      </c>
      <c r="C1909" s="1" t="s">
        <v>10995</v>
      </c>
      <c r="E1909" s="1" t="s">
        <v>10996</v>
      </c>
      <c r="F1909" s="1" t="s">
        <v>749</v>
      </c>
      <c r="G1909" s="1" t="s">
        <v>10969</v>
      </c>
      <c r="H1909" s="1">
        <v>2018.0</v>
      </c>
      <c r="I1909" s="1" t="s">
        <v>42</v>
      </c>
      <c r="J1909" s="1" t="s">
        <v>51</v>
      </c>
      <c r="K1909" s="1" t="s">
        <v>1907</v>
      </c>
      <c r="L1909" s="1" t="s">
        <v>10997</v>
      </c>
      <c r="M1909" s="2" t="s">
        <v>12</v>
      </c>
      <c r="N1909" s="4">
        <f t="shared" si="1"/>
        <v>44105</v>
      </c>
      <c r="O1909" s="5" t="str">
        <f>IFERROR(__xludf.DUMMYFUNCTION("IF(REGEXMATCH(TRIM(I1909), ""^\d+\s*min""), ""Unclassified"", IF(I1909 = """", ""NR"", I1909))"),"TV-MA")</f>
        <v>TV-MA</v>
      </c>
      <c r="R1909" s="5" t="str">
        <f t="shared" si="2"/>
        <v>Familiar Wife</v>
      </c>
      <c r="S1909" s="5" t="str">
        <f>IFERROR(__xludf.DUMMYFUNCTION("""COMPUTED_VALUE"""),"Déjà Vu")</f>
        <v>Déjà Vu</v>
      </c>
      <c r="U1909" s="5" t="str">
        <f>IFERROR(__xludf.DUMMYFUNCTION("""COMPUTED_VALUE"""),"Petra Costa")</f>
        <v>Petra Costa</v>
      </c>
      <c r="V1909" s="5" t="s">
        <v>10998</v>
      </c>
      <c r="W1909" s="5" t="str">
        <f t="shared" si="3"/>
        <v>Jitendra Tiwari, Pranav Singh</v>
      </c>
      <c r="X1909" s="5">
        <f t="shared" si="4"/>
        <v>1</v>
      </c>
      <c r="Y1909" s="5" t="str">
        <f>IFERROR(__xludf.DUMMYFUNCTION("REGEXEXTRACT(J1909, ""^\d+"")"),"1")</f>
        <v>1</v>
      </c>
      <c r="Z1909" s="5" t="str">
        <f>IFERROR(__xludf.DUMMYFUNCTION("REGEXEXTRACT(J1909, ""[A-Za-z ]+$"")")," Season")</f>
        <v> Season</v>
      </c>
      <c r="AA1909" s="5" t="str">
        <f>IFERROR(__xludf.DUMMYFUNCTION("IF(REGEXMATCH(Z1909, ""Season""), ""TV Show"", ""Movie"")"),"TV Show")</f>
        <v>TV Show</v>
      </c>
    </row>
    <row r="1910">
      <c r="A1910" s="1" t="s">
        <v>10999</v>
      </c>
      <c r="B1910" s="1" t="s">
        <v>37</v>
      </c>
      <c r="C1910" s="1" t="s">
        <v>11000</v>
      </c>
      <c r="E1910" s="1" t="s">
        <v>11001</v>
      </c>
      <c r="F1910" s="1" t="s">
        <v>415</v>
      </c>
      <c r="G1910" s="1" t="s">
        <v>10969</v>
      </c>
      <c r="H1910" s="1">
        <v>2016.0</v>
      </c>
      <c r="I1910" s="1" t="s">
        <v>42</v>
      </c>
      <c r="J1910" s="1" t="s">
        <v>43</v>
      </c>
      <c r="K1910" s="1" t="s">
        <v>1084</v>
      </c>
      <c r="L1910" s="1" t="s">
        <v>11002</v>
      </c>
      <c r="M1910" s="2" t="s">
        <v>12</v>
      </c>
      <c r="N1910" s="4">
        <f t="shared" si="1"/>
        <v>44105</v>
      </c>
      <c r="O1910" s="5" t="str">
        <f>IFERROR(__xludf.DUMMYFUNCTION("IF(REGEXMATCH(TRIM(I1910), ""^\d+\s*min""), ""Unclassified"", IF(I1910 = """", ""NR"", I1910))"),"TV-MA")</f>
        <v>TV-MA</v>
      </c>
      <c r="R1910" s="5" t="str">
        <f t="shared" si="2"/>
        <v>Food Wars!: Shokugeki No Soma</v>
      </c>
      <c r="S1910" s="5" t="str">
        <f>IFERROR(__xludf.DUMMYFUNCTION("""COMPUTED_VALUE"""),"Delhi 6")</f>
        <v>Delhi 6</v>
      </c>
      <c r="U1910" s="5" t="str">
        <f>IFERROR(__xludf.DUMMYFUNCTION("""COMPUTED_VALUE"""),"Hayato Date")</f>
        <v>Hayato Date</v>
      </c>
      <c r="V1910" s="5" t="s">
        <v>11003</v>
      </c>
      <c r="W1910" s="5" t="str">
        <f t="shared" si="3"/>
        <v>Jjc Skillz, Funke Akindele</v>
      </c>
      <c r="X1910" s="5">
        <f t="shared" si="4"/>
        <v>1</v>
      </c>
      <c r="Y1910" s="5" t="str">
        <f>IFERROR(__xludf.DUMMYFUNCTION("REGEXEXTRACT(J1910, ""^\d+"")"),"2")</f>
        <v>2</v>
      </c>
      <c r="Z1910" s="5" t="str">
        <f>IFERROR(__xludf.DUMMYFUNCTION("REGEXEXTRACT(J1910, ""[A-Za-z ]+$"")")," Seasons")</f>
        <v> Seasons</v>
      </c>
      <c r="AA1910" s="5" t="str">
        <f>IFERROR(__xludf.DUMMYFUNCTION("IF(REGEXMATCH(Z1910, ""Season""), ""TV Show"", ""Movie"")"),"TV Show")</f>
        <v>TV Show</v>
      </c>
    </row>
    <row r="1911">
      <c r="A1911" s="1" t="s">
        <v>11004</v>
      </c>
      <c r="B1911" s="1" t="s">
        <v>27</v>
      </c>
      <c r="C1911" s="1" t="s">
        <v>11005</v>
      </c>
      <c r="D1911" s="1" t="s">
        <v>2272</v>
      </c>
      <c r="E1911" s="1" t="s">
        <v>11006</v>
      </c>
      <c r="F1911" s="1" t="s">
        <v>30</v>
      </c>
      <c r="G1911" s="1" t="s">
        <v>10969</v>
      </c>
      <c r="H1911" s="1">
        <v>2016.0</v>
      </c>
      <c r="I1911" s="1" t="s">
        <v>378</v>
      </c>
      <c r="J1911" s="1" t="s">
        <v>1938</v>
      </c>
      <c r="K1911" s="1" t="s">
        <v>323</v>
      </c>
      <c r="L1911" s="1" t="s">
        <v>11007</v>
      </c>
      <c r="M1911" s="2" t="s">
        <v>12</v>
      </c>
      <c r="N1911" s="4">
        <f t="shared" si="1"/>
        <v>44105</v>
      </c>
      <c r="O1911" s="5" t="str">
        <f>IFERROR(__xludf.DUMMYFUNCTION("IF(REGEXMATCH(TRIM(I1911), ""^\d+\s*min""), ""Unclassified"", IF(I1911 = """", ""NR"", I1911))"),"R")</f>
        <v>R</v>
      </c>
      <c r="R1911" s="5" t="str">
        <f t="shared" si="2"/>
        <v>Free State Of Jones</v>
      </c>
      <c r="S1911" s="5" t="str">
        <f>IFERROR(__xludf.DUMMYFUNCTION("""COMPUTED_VALUE"""),"Delhi Belly")</f>
        <v>Delhi Belly</v>
      </c>
      <c r="U1911" s="5" t="str">
        <f>IFERROR(__xludf.DUMMYFUNCTION("""COMPUTED_VALUE"""),"Petra Costa, Lea Glob")</f>
        <v>Petra Costa, Lea Glob</v>
      </c>
      <c r="V1911" s="5" t="s">
        <v>11008</v>
      </c>
      <c r="W1911" s="5" t="str">
        <f t="shared" si="3"/>
        <v>Jo Sung-Hee</v>
      </c>
      <c r="X1911" s="5">
        <f t="shared" si="4"/>
        <v>1</v>
      </c>
      <c r="Y1911" s="5" t="str">
        <f>IFERROR(__xludf.DUMMYFUNCTION("REGEXEXTRACT(J1911, ""^\d+"")"),"139")</f>
        <v>139</v>
      </c>
      <c r="Z1911" s="5" t="str">
        <f>IFERROR(__xludf.DUMMYFUNCTION("REGEXEXTRACT(J1911, ""[A-Za-z ]+$"")")," min")</f>
        <v> min</v>
      </c>
      <c r="AA1911" s="5" t="str">
        <f>IFERROR(__xludf.DUMMYFUNCTION("IF(REGEXMATCH(Z1911, ""Season""), ""TV Show"", ""Movie"")"),"Movie")</f>
        <v>Movie</v>
      </c>
    </row>
    <row r="1912">
      <c r="A1912" s="1" t="s">
        <v>11009</v>
      </c>
      <c r="B1912" s="1" t="s">
        <v>37</v>
      </c>
      <c r="C1912" s="1" t="s">
        <v>11010</v>
      </c>
      <c r="E1912" s="1" t="s">
        <v>11011</v>
      </c>
      <c r="F1912" s="1" t="s">
        <v>1992</v>
      </c>
      <c r="G1912" s="1" t="s">
        <v>10969</v>
      </c>
      <c r="H1912" s="1">
        <v>2020.0</v>
      </c>
      <c r="I1912" s="1" t="s">
        <v>42</v>
      </c>
      <c r="J1912" s="1" t="s">
        <v>51</v>
      </c>
      <c r="K1912" s="1" t="s">
        <v>11012</v>
      </c>
      <c r="L1912" s="1" t="s">
        <v>11013</v>
      </c>
      <c r="M1912" s="2" t="s">
        <v>12</v>
      </c>
      <c r="N1912" s="4">
        <f t="shared" si="1"/>
        <v>44105</v>
      </c>
      <c r="O1912" s="5" t="str">
        <f>IFERROR(__xludf.DUMMYFUNCTION("IF(REGEXMATCH(TRIM(I1912), ""^\d+\s*min""), ""Unclassified"", IF(I1912 = """", ""NR"", I1912))"),"TV-MA")</f>
        <v>TV-MA</v>
      </c>
      <c r="R1912" s="5" t="str">
        <f t="shared" si="2"/>
        <v>Good Morning, Verônica</v>
      </c>
      <c r="S1912" s="5" t="str">
        <f>IFERROR(__xludf.DUMMYFUNCTION("""COMPUTED_VALUE"""),"Delhi Crime")</f>
        <v>Delhi Crime</v>
      </c>
      <c r="U1912" s="5" t="str">
        <f>IFERROR(__xludf.DUMMYFUNCTION("""COMPUTED_VALUE"""),"Rémy Four, Julien War")</f>
        <v>Rémy Four, Julien War</v>
      </c>
      <c r="V1912" s="5" t="s">
        <v>11014</v>
      </c>
      <c r="W1912" s="5" t="str">
        <f t="shared" si="3"/>
        <v>Joachim Fest, Christian Herrendoerfer</v>
      </c>
      <c r="X1912" s="5">
        <f t="shared" si="4"/>
        <v>1</v>
      </c>
      <c r="Y1912" s="5" t="str">
        <f>IFERROR(__xludf.DUMMYFUNCTION("REGEXEXTRACT(J1912, ""^\d+"")"),"1")</f>
        <v>1</v>
      </c>
      <c r="Z1912" s="5" t="str">
        <f>IFERROR(__xludf.DUMMYFUNCTION("REGEXEXTRACT(J1912, ""[A-Za-z ]+$"")")," Season")</f>
        <v> Season</v>
      </c>
      <c r="AA1912" s="5" t="str">
        <f>IFERROR(__xludf.DUMMYFUNCTION("IF(REGEXMATCH(Z1912, ""Season""), ""TV Show"", ""Movie"")"),"TV Show")</f>
        <v>TV Show</v>
      </c>
    </row>
    <row r="1913">
      <c r="A1913" s="1" t="s">
        <v>11015</v>
      </c>
      <c r="B1913" s="1" t="s">
        <v>27</v>
      </c>
      <c r="C1913" s="1" t="s">
        <v>11016</v>
      </c>
      <c r="D1913" s="1" t="s">
        <v>344</v>
      </c>
      <c r="F1913" s="1" t="s">
        <v>30</v>
      </c>
      <c r="G1913" s="1" t="s">
        <v>10969</v>
      </c>
      <c r="H1913" s="1">
        <v>2019.0</v>
      </c>
      <c r="I1913" s="1" t="s">
        <v>97</v>
      </c>
      <c r="J1913" s="1" t="s">
        <v>465</v>
      </c>
      <c r="K1913" s="1" t="s">
        <v>34</v>
      </c>
      <c r="L1913" s="1" t="s">
        <v>11017</v>
      </c>
      <c r="M1913" s="2" t="s">
        <v>12</v>
      </c>
      <c r="N1913" s="4">
        <f t="shared" si="1"/>
        <v>44105</v>
      </c>
      <c r="O1913" s="5" t="str">
        <f>IFERROR(__xludf.DUMMYFUNCTION("IF(REGEXMATCH(TRIM(I1913), ""^\d+\s*min""), ""Unclassified"", IF(I1913 = """", ""NR"", I1913))"),"TV-14")</f>
        <v>TV-14</v>
      </c>
      <c r="R1913" s="5" t="str">
        <f t="shared" si="2"/>
        <v>Human Nature</v>
      </c>
      <c r="S1913" s="5" t="str">
        <f>IFERROR(__xludf.DUMMYFUNCTION("""COMPUTED_VALUE"""),"Deliha")</f>
        <v>Deliha</v>
      </c>
      <c r="U1913" s="5" t="str">
        <f>IFERROR(__xludf.DUMMYFUNCTION("""COMPUTED_VALUE"""),"Alejandro Fernández Almendras")</f>
        <v>Alejandro Fernández Almendras</v>
      </c>
      <c r="V1913" s="5" t="s">
        <v>11018</v>
      </c>
      <c r="W1913" s="5" t="str">
        <f t="shared" si="3"/>
        <v>Joachim Rønning, Espen Sandberg</v>
      </c>
      <c r="X1913" s="5">
        <f t="shared" si="4"/>
        <v>1</v>
      </c>
      <c r="Y1913" s="5" t="str">
        <f>IFERROR(__xludf.DUMMYFUNCTION("REGEXEXTRACT(J1913, ""^\d+"")"),"95")</f>
        <v>95</v>
      </c>
      <c r="Z1913" s="5" t="str">
        <f>IFERROR(__xludf.DUMMYFUNCTION("REGEXEXTRACT(J1913, ""[A-Za-z ]+$"")")," min")</f>
        <v> min</v>
      </c>
      <c r="AA1913" s="5" t="str">
        <f>IFERROR(__xludf.DUMMYFUNCTION("IF(REGEXMATCH(Z1913, ""Season""), ""TV Show"", ""Movie"")"),"Movie")</f>
        <v>Movie</v>
      </c>
    </row>
    <row r="1914">
      <c r="A1914" s="1" t="s">
        <v>11019</v>
      </c>
      <c r="B1914" s="1" t="s">
        <v>27</v>
      </c>
      <c r="C1914" s="1" t="s">
        <v>11020</v>
      </c>
      <c r="D1914" s="1" t="s">
        <v>11021</v>
      </c>
      <c r="E1914" s="1" t="s">
        <v>11022</v>
      </c>
      <c r="F1914" s="1" t="s">
        <v>2715</v>
      </c>
      <c r="G1914" s="1" t="s">
        <v>10969</v>
      </c>
      <c r="H1914" s="1">
        <v>2016.0</v>
      </c>
      <c r="I1914" s="1" t="s">
        <v>32</v>
      </c>
      <c r="J1914" s="1" t="s">
        <v>1091</v>
      </c>
      <c r="K1914" s="1" t="s">
        <v>617</v>
      </c>
      <c r="L1914" s="1" t="s">
        <v>11023</v>
      </c>
      <c r="M1914" s="2" t="s">
        <v>12</v>
      </c>
      <c r="N1914" s="4">
        <f t="shared" si="1"/>
        <v>44105</v>
      </c>
      <c r="O1914" s="5" t="str">
        <f>IFERROR(__xludf.DUMMYFUNCTION("IF(REGEXMATCH(TRIM(I1914), ""^\d+\s*min""), ""Unclassified"", IF(I1914 = """", ""NR"", I1914))"),"PG-13")</f>
        <v>PG-13</v>
      </c>
      <c r="R1914" s="5" t="str">
        <f t="shared" si="2"/>
        <v>Hunt For The Wilderpeople</v>
      </c>
      <c r="S1914" s="5" t="str">
        <f>IFERROR(__xludf.DUMMYFUNCTION("""COMPUTED_VALUE"""),"Deliha 2")</f>
        <v>Deliha 2</v>
      </c>
      <c r="U1914" s="5" t="str">
        <f>IFERROR(__xludf.DUMMYFUNCTION("""COMPUTED_VALUE"""),"Jota Linares")</f>
        <v>Jota Linares</v>
      </c>
      <c r="V1914" s="5" t="s">
        <v>11024</v>
      </c>
      <c r="W1914" s="5" t="str">
        <f t="shared" si="3"/>
        <v>Joanna Lombardi, Bruno Ascenzo</v>
      </c>
      <c r="X1914" s="5">
        <f t="shared" si="4"/>
        <v>1</v>
      </c>
      <c r="Y1914" s="5" t="str">
        <f>IFERROR(__xludf.DUMMYFUNCTION("REGEXEXTRACT(J1914, ""^\d+"")"),"101")</f>
        <v>101</v>
      </c>
      <c r="Z1914" s="5" t="str">
        <f>IFERROR(__xludf.DUMMYFUNCTION("REGEXEXTRACT(J1914, ""[A-Za-z ]+$"")")," min")</f>
        <v> min</v>
      </c>
      <c r="AA1914" s="5" t="str">
        <f>IFERROR(__xludf.DUMMYFUNCTION("IF(REGEXMATCH(Z1914, ""Season""), ""TV Show"", ""Movie"")"),"Movie")</f>
        <v>Movie</v>
      </c>
    </row>
    <row r="1915">
      <c r="A1915" s="1" t="s">
        <v>11025</v>
      </c>
      <c r="B1915" s="1" t="s">
        <v>27</v>
      </c>
      <c r="C1915" s="1" t="s">
        <v>11026</v>
      </c>
      <c r="D1915" s="1" t="s">
        <v>11027</v>
      </c>
      <c r="F1915" s="1" t="s">
        <v>949</v>
      </c>
      <c r="G1915" s="1" t="s">
        <v>10969</v>
      </c>
      <c r="H1915" s="1">
        <v>2019.0</v>
      </c>
      <c r="I1915" s="1" t="s">
        <v>42</v>
      </c>
      <c r="J1915" s="1" t="s">
        <v>6281</v>
      </c>
      <c r="K1915" s="1" t="s">
        <v>156</v>
      </c>
      <c r="L1915" s="1" t="s">
        <v>11028</v>
      </c>
      <c r="M1915" s="2" t="s">
        <v>12</v>
      </c>
      <c r="N1915" s="4">
        <f t="shared" si="1"/>
        <v>44105</v>
      </c>
      <c r="O1915" s="5" t="str">
        <f>IFERROR(__xludf.DUMMYFUNCTION("IF(REGEXMATCH(TRIM(I1915), ""^\d+\s*min""), ""Unclassified"", IF(I1915 = """", ""NR"", I1915))"),"TV-MA")</f>
        <v>TV-MA</v>
      </c>
      <c r="R1915" s="5" t="str">
        <f t="shared" si="2"/>
        <v>I'M Leaving Now</v>
      </c>
      <c r="S1915" s="5" t="str">
        <f>IFERROR(__xludf.DUMMYFUNCTION("""COMPUTED_VALUE"""),"Delirium")</f>
        <v>Delirium</v>
      </c>
      <c r="U1915" s="5" t="str">
        <f>IFERROR(__xludf.DUMMYFUNCTION("""COMPUTED_VALUE"""),"Wagner De Assis")</f>
        <v>Wagner De Assis</v>
      </c>
      <c r="V1915" s="5" t="s">
        <v>11029</v>
      </c>
      <c r="W1915" s="5" t="str">
        <f t="shared" si="3"/>
        <v>Joaquín Mazón</v>
      </c>
      <c r="X1915" s="5">
        <f t="shared" si="4"/>
        <v>1</v>
      </c>
      <c r="Y1915" s="5" t="str">
        <f>IFERROR(__xludf.DUMMYFUNCTION("REGEXEXTRACT(J1915, ""^\d+"")"),"75")</f>
        <v>75</v>
      </c>
      <c r="Z1915" s="5" t="str">
        <f>IFERROR(__xludf.DUMMYFUNCTION("REGEXEXTRACT(J1915, ""[A-Za-z ]+$"")")," min")</f>
        <v> min</v>
      </c>
      <c r="AA1915" s="5" t="str">
        <f>IFERROR(__xludf.DUMMYFUNCTION("IF(REGEXMATCH(Z1915, ""Season""), ""TV Show"", ""Movie"")"),"Movie")</f>
        <v>Movie</v>
      </c>
    </row>
    <row r="1916">
      <c r="A1916" s="1" t="s">
        <v>11030</v>
      </c>
      <c r="B1916" s="1" t="s">
        <v>37</v>
      </c>
      <c r="C1916" s="1" t="s">
        <v>11031</v>
      </c>
      <c r="E1916" s="1" t="s">
        <v>11032</v>
      </c>
      <c r="G1916" s="1" t="s">
        <v>10969</v>
      </c>
      <c r="H1916" s="1">
        <v>2018.0</v>
      </c>
      <c r="I1916" s="1" t="s">
        <v>42</v>
      </c>
      <c r="J1916" s="1" t="s">
        <v>51</v>
      </c>
      <c r="K1916" s="1" t="s">
        <v>507</v>
      </c>
      <c r="L1916" s="1" t="s">
        <v>11033</v>
      </c>
      <c r="M1916" s="2" t="s">
        <v>12</v>
      </c>
      <c r="N1916" s="4">
        <f t="shared" si="1"/>
        <v>44105</v>
      </c>
      <c r="O1916" s="5" t="str">
        <f>IFERROR(__xludf.DUMMYFUNCTION("IF(REGEXMATCH(TRIM(I1916), ""^\d+\s*min""), ""Unclassified"", IF(I1916 = """", ""NR"", I1916))"),"TV-MA")</f>
        <v>TV-MA</v>
      </c>
      <c r="R1916" s="5" t="str">
        <f t="shared" si="2"/>
        <v>Journey Of An African Colony</v>
      </c>
      <c r="S1916" s="5" t="str">
        <f>IFERROR(__xludf.DUMMYFUNCTION("""COMPUTED_VALUE"""),"Demarcus Family Rules")</f>
        <v>Demarcus Family Rules</v>
      </c>
      <c r="U1916" s="5" t="str">
        <f>IFERROR(__xludf.DUMMYFUNCTION("""COMPUTED_VALUE"""),"White Trash Tyler")</f>
        <v>White Trash Tyler</v>
      </c>
      <c r="V1916" s="5" t="s">
        <v>11034</v>
      </c>
      <c r="W1916" s="5" t="str">
        <f t="shared" si="3"/>
        <v>Jocelyn Moorhouse</v>
      </c>
      <c r="X1916" s="5">
        <f t="shared" si="4"/>
        <v>1</v>
      </c>
      <c r="Y1916" s="5" t="str">
        <f>IFERROR(__xludf.DUMMYFUNCTION("REGEXEXTRACT(J1916, ""^\d+"")"),"1")</f>
        <v>1</v>
      </c>
      <c r="Z1916" s="5" t="str">
        <f>IFERROR(__xludf.DUMMYFUNCTION("REGEXEXTRACT(J1916, ""[A-Za-z ]+$"")")," Season")</f>
        <v> Season</v>
      </c>
      <c r="AA1916" s="5" t="str">
        <f>IFERROR(__xludf.DUMMYFUNCTION("IF(REGEXMATCH(Z1916, ""Season""), ""TV Show"", ""Movie"")"),"TV Show")</f>
        <v>TV Show</v>
      </c>
    </row>
    <row r="1917">
      <c r="A1917" s="1" t="s">
        <v>11035</v>
      </c>
      <c r="B1917" s="1" t="s">
        <v>37</v>
      </c>
      <c r="C1917" s="1" t="s">
        <v>11036</v>
      </c>
      <c r="E1917" s="1" t="s">
        <v>11037</v>
      </c>
      <c r="F1917" s="1" t="s">
        <v>126</v>
      </c>
      <c r="G1917" s="1" t="s">
        <v>10969</v>
      </c>
      <c r="H1917" s="1">
        <v>2020.0</v>
      </c>
      <c r="I1917" s="1" t="s">
        <v>42</v>
      </c>
      <c r="J1917" s="1" t="s">
        <v>51</v>
      </c>
      <c r="K1917" s="1" t="s">
        <v>402</v>
      </c>
      <c r="L1917" s="1" t="s">
        <v>11038</v>
      </c>
      <c r="M1917" s="2" t="s">
        <v>12</v>
      </c>
      <c r="N1917" s="4">
        <f t="shared" si="1"/>
        <v>44105</v>
      </c>
      <c r="O1917" s="5" t="str">
        <f>IFERROR(__xludf.DUMMYFUNCTION("IF(REGEXMATCH(TRIM(I1917), ""^\d+\s*min""), ""Unclassified"", IF(I1917 = """", ""NR"", I1917))"),"TV-MA")</f>
        <v>TV-MA</v>
      </c>
      <c r="R1917" s="5" t="str">
        <f t="shared" si="2"/>
        <v>Oktoberfest: Beer &amp; Blood</v>
      </c>
      <c r="S1917" s="5" t="str">
        <f>IFERROR(__xludf.DUMMYFUNCTION("""COMPUTED_VALUE"""),"Demetri Martin: Live (At The Time)")</f>
        <v>Demetri Martin: Live (At The Time)</v>
      </c>
      <c r="U1917" s="5" t="str">
        <f>IFERROR(__xludf.DUMMYFUNCTION("""COMPUTED_VALUE"""),"Stan Lathan")</f>
        <v>Stan Lathan</v>
      </c>
      <c r="V1917" s="5" t="s">
        <v>11039</v>
      </c>
      <c r="W1917" s="5" t="str">
        <f t="shared" si="3"/>
        <v>Jody Hill</v>
      </c>
      <c r="X1917" s="5">
        <f t="shared" si="4"/>
        <v>1</v>
      </c>
      <c r="Y1917" s="5" t="str">
        <f>IFERROR(__xludf.DUMMYFUNCTION("REGEXEXTRACT(J1917, ""^\d+"")"),"1")</f>
        <v>1</v>
      </c>
      <c r="Z1917" s="5" t="str">
        <f>IFERROR(__xludf.DUMMYFUNCTION("REGEXEXTRACT(J1917, ""[A-Za-z ]+$"")")," Season")</f>
        <v> Season</v>
      </c>
      <c r="AA1917" s="5" t="str">
        <f>IFERROR(__xludf.DUMMYFUNCTION("IF(REGEXMATCH(Z1917, ""Season""), ""TV Show"", ""Movie"")"),"TV Show")</f>
        <v>TV Show</v>
      </c>
    </row>
    <row r="1918">
      <c r="A1918" s="1" t="s">
        <v>11040</v>
      </c>
      <c r="B1918" s="1" t="s">
        <v>27</v>
      </c>
      <c r="C1918" s="1" t="s">
        <v>11041</v>
      </c>
      <c r="D1918" s="1" t="s">
        <v>11042</v>
      </c>
      <c r="E1918" s="1" t="s">
        <v>11043</v>
      </c>
      <c r="F1918" s="1" t="s">
        <v>692</v>
      </c>
      <c r="G1918" s="1" t="s">
        <v>10969</v>
      </c>
      <c r="H1918" s="1">
        <v>2005.0</v>
      </c>
      <c r="I1918" s="1" t="s">
        <v>32</v>
      </c>
      <c r="J1918" s="1" t="s">
        <v>630</v>
      </c>
      <c r="K1918" s="1" t="s">
        <v>700</v>
      </c>
      <c r="L1918" s="1" t="s">
        <v>11044</v>
      </c>
      <c r="M1918" s="2" t="s">
        <v>12</v>
      </c>
      <c r="N1918" s="4">
        <f t="shared" si="1"/>
        <v>44105</v>
      </c>
      <c r="O1918" s="5" t="str">
        <f>IFERROR(__xludf.DUMMYFUNCTION("IF(REGEXMATCH(TRIM(I1918), ""^\d+\s*min""), ""Unclassified"", IF(I1918 = """", ""NR"", I1918))"),"PG-13")</f>
        <v>PG-13</v>
      </c>
      <c r="R1918" s="5" t="str">
        <f t="shared" si="2"/>
        <v>Rize</v>
      </c>
      <c r="S1918" s="5" t="str">
        <f>IFERROR(__xludf.DUMMYFUNCTION("""COMPUTED_VALUE"""),"Demetri Martin: The Overthinker")</f>
        <v>Demetri Martin: The Overthinker</v>
      </c>
      <c r="U1918" s="5" t="str">
        <f>IFERROR(__xludf.DUMMYFUNCTION("""COMPUTED_VALUE"""),"Yeung Yat-Tak")</f>
        <v>Yeung Yat-Tak</v>
      </c>
      <c r="V1918" s="5" t="s">
        <v>11045</v>
      </c>
      <c r="W1918" s="5" t="str">
        <f t="shared" si="3"/>
        <v>Jody Lambert</v>
      </c>
      <c r="X1918" s="5">
        <f t="shared" si="4"/>
        <v>1</v>
      </c>
      <c r="Y1918" s="5" t="str">
        <f>IFERROR(__xludf.DUMMYFUNCTION("REGEXEXTRACT(J1918, ""^\d+"")"),"87")</f>
        <v>87</v>
      </c>
      <c r="Z1918" s="5" t="str">
        <f>IFERROR(__xludf.DUMMYFUNCTION("REGEXEXTRACT(J1918, ""[A-Za-z ]+$"")")," min")</f>
        <v> min</v>
      </c>
      <c r="AA1918" s="5" t="str">
        <f>IFERROR(__xludf.DUMMYFUNCTION("IF(REGEXMATCH(Z1918, ""Season""), ""TV Show"", ""Movie"")"),"Movie")</f>
        <v>Movie</v>
      </c>
    </row>
    <row r="1919">
      <c r="A1919" s="1" t="s">
        <v>11046</v>
      </c>
      <c r="B1919" s="1" t="s">
        <v>37</v>
      </c>
      <c r="C1919" s="1" t="s">
        <v>11047</v>
      </c>
      <c r="E1919" s="1" t="s">
        <v>11048</v>
      </c>
      <c r="F1919" s="1" t="s">
        <v>1815</v>
      </c>
      <c r="G1919" s="1" t="s">
        <v>10969</v>
      </c>
      <c r="H1919" s="1">
        <v>2019.0</v>
      </c>
      <c r="I1919" s="1" t="s">
        <v>42</v>
      </c>
      <c r="J1919" s="1" t="s">
        <v>51</v>
      </c>
      <c r="K1919" s="1" t="s">
        <v>1822</v>
      </c>
      <c r="L1919" s="1" t="s">
        <v>11049</v>
      </c>
      <c r="M1919" s="2" t="s">
        <v>12</v>
      </c>
      <c r="N1919" s="4">
        <f t="shared" si="1"/>
        <v>44105</v>
      </c>
      <c r="O1919" s="5" t="str">
        <f>IFERROR(__xludf.DUMMYFUNCTION("IF(REGEXMATCH(TRIM(I1919), ""^\d+\s*min""), ""Unclassified"", IF(I1919 = """", ""NR"", I1919))"),"TV-MA")</f>
        <v>TV-MA</v>
      </c>
      <c r="R1919" s="5" t="str">
        <f t="shared" si="2"/>
        <v>Secreto Bien Guardado</v>
      </c>
      <c r="S1919" s="5" t="str">
        <f>IFERROR(__xludf.DUMMYFUNCTION("""COMPUTED_VALUE"""),"Democrats")</f>
        <v>Democrats</v>
      </c>
      <c r="U1919" s="5" t="str">
        <f>IFERROR(__xludf.DUMMYFUNCTION("""COMPUTED_VALUE"""),"Rai Yuvraj Bains")</f>
        <v>Rai Yuvraj Bains</v>
      </c>
      <c r="V1919" s="5" t="s">
        <v>355</v>
      </c>
      <c r="W1919" s="5" t="str">
        <f t="shared" si="3"/>
        <v>Joe Alves</v>
      </c>
      <c r="X1919" s="5">
        <f t="shared" si="4"/>
        <v>1</v>
      </c>
      <c r="Y1919" s="5" t="str">
        <f>IFERROR(__xludf.DUMMYFUNCTION("REGEXEXTRACT(J1919, ""^\d+"")"),"1")</f>
        <v>1</v>
      </c>
      <c r="Z1919" s="5" t="str">
        <f>IFERROR(__xludf.DUMMYFUNCTION("REGEXEXTRACT(J1919, ""[A-Za-z ]+$"")")," Season")</f>
        <v> Season</v>
      </c>
      <c r="AA1919" s="5" t="str">
        <f>IFERROR(__xludf.DUMMYFUNCTION("IF(REGEXMATCH(Z1919, ""Season""), ""TV Show"", ""Movie"")"),"TV Show")</f>
        <v>TV Show</v>
      </c>
    </row>
    <row r="1920">
      <c r="A1920" s="1" t="s">
        <v>11050</v>
      </c>
      <c r="B1920" s="1" t="s">
        <v>37</v>
      </c>
      <c r="C1920" s="1" t="s">
        <v>11051</v>
      </c>
      <c r="E1920" s="1" t="s">
        <v>11052</v>
      </c>
      <c r="F1920" s="1" t="s">
        <v>415</v>
      </c>
      <c r="G1920" s="1" t="s">
        <v>10969</v>
      </c>
      <c r="H1920" s="1">
        <v>2018.0</v>
      </c>
      <c r="I1920" s="1" t="s">
        <v>42</v>
      </c>
      <c r="J1920" s="1" t="s">
        <v>276</v>
      </c>
      <c r="K1920" s="1" t="s">
        <v>567</v>
      </c>
      <c r="L1920" s="1" t="s">
        <v>11053</v>
      </c>
      <c r="M1920" s="2" t="s">
        <v>12</v>
      </c>
      <c r="N1920" s="4">
        <f t="shared" si="1"/>
        <v>44105</v>
      </c>
      <c r="O1920" s="5" t="str">
        <f>IFERROR(__xludf.DUMMYFUNCTION("IF(REGEXMATCH(TRIM(I1920), ""^\d+\s*min""), ""Unclassified"", IF(I1920 = """", ""NR"", I1920))"),"TV-MA")</f>
        <v>TV-MA</v>
      </c>
      <c r="R1920" s="5" t="str">
        <f t="shared" si="2"/>
        <v>Sword Art Online</v>
      </c>
      <c r="S1920" s="5" t="str">
        <f>IFERROR(__xludf.DUMMYFUNCTION("""COMPUTED_VALUE"""),"Demon Slayer: Kimetsu No Yaiba")</f>
        <v>Demon Slayer: Kimetsu No Yaiba</v>
      </c>
      <c r="U1920" s="5" t="str">
        <f>IFERROR(__xludf.DUMMYFUNCTION("""COMPUTED_VALUE"""),"Sunil Thakur")</f>
        <v>Sunil Thakur</v>
      </c>
      <c r="V1920" s="5" t="s">
        <v>7826</v>
      </c>
      <c r="W1920" s="5" t="str">
        <f t="shared" si="3"/>
        <v>Joe Berlinger</v>
      </c>
      <c r="X1920" s="5">
        <f t="shared" si="4"/>
        <v>4</v>
      </c>
      <c r="Y1920" s="5" t="str">
        <f>IFERROR(__xludf.DUMMYFUNCTION("REGEXEXTRACT(J1920, ""^\d+"")"),"3")</f>
        <v>3</v>
      </c>
      <c r="Z1920" s="5" t="str">
        <f>IFERROR(__xludf.DUMMYFUNCTION("REGEXEXTRACT(J1920, ""[A-Za-z ]+$"")")," Seasons")</f>
        <v> Seasons</v>
      </c>
      <c r="AA1920" s="5" t="str">
        <f>IFERROR(__xludf.DUMMYFUNCTION("IF(REGEXMATCH(Z1920, ""Season""), ""TV Show"", ""Movie"")"),"TV Show")</f>
        <v>TV Show</v>
      </c>
    </row>
    <row r="1921">
      <c r="A1921" s="1" t="s">
        <v>11054</v>
      </c>
      <c r="B1921" s="1" t="s">
        <v>27</v>
      </c>
      <c r="C1921" s="1" t="s">
        <v>11055</v>
      </c>
      <c r="D1921" s="1" t="s">
        <v>11056</v>
      </c>
      <c r="E1921" s="1" t="s">
        <v>11057</v>
      </c>
      <c r="G1921" s="1" t="s">
        <v>10969</v>
      </c>
      <c r="H1921" s="1">
        <v>2019.0</v>
      </c>
      <c r="I1921" s="1" t="s">
        <v>136</v>
      </c>
      <c r="J1921" s="1" t="s">
        <v>79</v>
      </c>
      <c r="K1921" s="1" t="s">
        <v>215</v>
      </c>
      <c r="L1921" s="1" t="s">
        <v>11058</v>
      </c>
      <c r="M1921" s="2" t="s">
        <v>12</v>
      </c>
      <c r="N1921" s="4">
        <f t="shared" si="1"/>
        <v>44105</v>
      </c>
      <c r="O1921" s="5" t="str">
        <f>IFERROR(__xludf.DUMMYFUNCTION("IF(REGEXMATCH(TRIM(I1921), ""^\d+\s*min""), ""Unclassified"", IF(I1921 = """", ""NR"", I1921))"),"TV-PG")</f>
        <v>TV-PG</v>
      </c>
      <c r="R1921" s="5" t="str">
        <f t="shared" si="2"/>
        <v>The American Game</v>
      </c>
      <c r="S1921" s="5" t="str">
        <f>IFERROR(__xludf.DUMMYFUNCTION("""COMPUTED_VALUE"""),"Demon'S Path")</f>
        <v>Demon'S Path</v>
      </c>
      <c r="U1921" s="5" t="str">
        <f>IFERROR(__xludf.DUMMYFUNCTION("""COMPUTED_VALUE"""),"Muh Chen")</f>
        <v>Muh Chen</v>
      </c>
      <c r="V1921" s="5" t="s">
        <v>4441</v>
      </c>
      <c r="W1921" s="5" t="str">
        <f t="shared" si="3"/>
        <v>Joe Berlinger, Bruce Sinofsky</v>
      </c>
      <c r="X1921" s="5">
        <f t="shared" si="4"/>
        <v>1</v>
      </c>
      <c r="Y1921" s="5" t="str">
        <f>IFERROR(__xludf.DUMMYFUNCTION("REGEXEXTRACT(J1921, ""^\d+"")"),"91")</f>
        <v>91</v>
      </c>
      <c r="Z1921" s="5" t="str">
        <f>IFERROR(__xludf.DUMMYFUNCTION("REGEXEXTRACT(J1921, ""[A-Za-z ]+$"")")," min")</f>
        <v> min</v>
      </c>
      <c r="AA1921" s="5" t="str">
        <f>IFERROR(__xludf.DUMMYFUNCTION("IF(REGEXMATCH(Z1921, ""Season""), ""TV Show"", ""Movie"")"),"Movie")</f>
        <v>Movie</v>
      </c>
    </row>
    <row r="1922">
      <c r="A1922" s="1" t="s">
        <v>11059</v>
      </c>
      <c r="B1922" s="1" t="s">
        <v>27</v>
      </c>
      <c r="C1922" s="1" t="s">
        <v>11060</v>
      </c>
      <c r="D1922" s="1" t="s">
        <v>7511</v>
      </c>
      <c r="E1922" s="1" t="s">
        <v>11061</v>
      </c>
      <c r="F1922" s="1" t="s">
        <v>2774</v>
      </c>
      <c r="G1922" s="1" t="s">
        <v>10969</v>
      </c>
      <c r="H1922" s="1">
        <v>2020.0</v>
      </c>
      <c r="I1922" s="1" t="s">
        <v>97</v>
      </c>
      <c r="J1922" s="1" t="s">
        <v>985</v>
      </c>
      <c r="K1922" s="1" t="s">
        <v>5295</v>
      </c>
      <c r="L1922" s="1" t="s">
        <v>11062</v>
      </c>
      <c r="M1922" s="2" t="s">
        <v>12</v>
      </c>
      <c r="N1922" s="4">
        <f t="shared" si="1"/>
        <v>44105</v>
      </c>
      <c r="O1922" s="5" t="str">
        <f>IFERROR(__xludf.DUMMYFUNCTION("IF(REGEXMATCH(TRIM(I1922), ""^\d+\s*min""), ""Unclassified"", IF(I1922 = """", ""NR"", I1922))"),"TV-14")</f>
        <v>TV-14</v>
      </c>
      <c r="R1922" s="5" t="str">
        <f t="shared" si="2"/>
        <v>The Book Of Sun</v>
      </c>
      <c r="S1922" s="5" t="str">
        <f>IFERROR(__xludf.DUMMYFUNCTION("""COMPUTED_VALUE"""),"Demonic")</f>
        <v>Demonic</v>
      </c>
      <c r="U1922" s="5" t="str">
        <f>IFERROR(__xludf.DUMMYFUNCTION("""COMPUTED_VALUE"""),"Saurabh Sinha")</f>
        <v>Saurabh Sinha</v>
      </c>
      <c r="V1922" s="5" t="s">
        <v>11063</v>
      </c>
      <c r="W1922" s="5" t="str">
        <f t="shared" si="3"/>
        <v>Joe Boyd</v>
      </c>
      <c r="X1922" s="5">
        <f t="shared" si="4"/>
        <v>1</v>
      </c>
      <c r="Y1922" s="5" t="str">
        <f>IFERROR(__xludf.DUMMYFUNCTION("REGEXEXTRACT(J1922, ""^\d+"")"),"120")</f>
        <v>120</v>
      </c>
      <c r="Z1922" s="5" t="str">
        <f>IFERROR(__xludf.DUMMYFUNCTION("REGEXEXTRACT(J1922, ""[A-Za-z ]+$"")")," min")</f>
        <v> min</v>
      </c>
      <c r="AA1922" s="5" t="str">
        <f>IFERROR(__xludf.DUMMYFUNCTION("IF(REGEXMATCH(Z1922, ""Season""), ""TV Show"", ""Movie"")"),"Movie")</f>
        <v>Movie</v>
      </c>
    </row>
    <row r="1923">
      <c r="A1923" s="1" t="s">
        <v>11064</v>
      </c>
      <c r="B1923" s="1" t="s">
        <v>27</v>
      </c>
      <c r="C1923" s="1" t="s">
        <v>11065</v>
      </c>
      <c r="D1923" s="1" t="s">
        <v>11066</v>
      </c>
      <c r="E1923" s="1" t="s">
        <v>11067</v>
      </c>
      <c r="F1923" s="1" t="s">
        <v>4918</v>
      </c>
      <c r="G1923" s="1" t="s">
        <v>10969</v>
      </c>
      <c r="H1923" s="1">
        <v>2020.0</v>
      </c>
      <c r="I1923" s="1" t="s">
        <v>378</v>
      </c>
      <c r="J1923" s="1" t="s">
        <v>2566</v>
      </c>
      <c r="K1923" s="1" t="s">
        <v>323</v>
      </c>
      <c r="L1923" s="1" t="s">
        <v>11068</v>
      </c>
      <c r="M1923" s="2" t="s">
        <v>12</v>
      </c>
      <c r="N1923" s="4">
        <f t="shared" si="1"/>
        <v>44105</v>
      </c>
      <c r="O1923" s="5" t="str">
        <f>IFERROR(__xludf.DUMMYFUNCTION("IF(REGEXMATCH(TRIM(I1923), ""^\d+\s*min""), ""Unclassified"", IF(I1923 = """", ""NR"", I1923))"),"R")</f>
        <v>R</v>
      </c>
      <c r="R1923" s="5" t="str">
        <f t="shared" si="2"/>
        <v>The Outpost</v>
      </c>
      <c r="S1923" s="5" t="str">
        <f>IFERROR(__xludf.DUMMYFUNCTION("""COMPUTED_VALUE"""),"Den Of Thieves")</f>
        <v>Den Of Thieves</v>
      </c>
      <c r="U1923" s="5" t="str">
        <f>IFERROR(__xludf.DUMMYFUNCTION("""COMPUTED_VALUE"""),"Ashwin Saravanan")</f>
        <v>Ashwin Saravanan</v>
      </c>
      <c r="V1923" s="5" t="s">
        <v>11069</v>
      </c>
      <c r="W1923" s="5" t="str">
        <f t="shared" si="3"/>
        <v>Joe Camp</v>
      </c>
      <c r="X1923" s="5">
        <f t="shared" si="4"/>
        <v>3</v>
      </c>
      <c r="Y1923" s="5" t="str">
        <f>IFERROR(__xludf.DUMMYFUNCTION("REGEXEXTRACT(J1923, ""^\d+"")"),"123")</f>
        <v>123</v>
      </c>
      <c r="Z1923" s="5" t="str">
        <f>IFERROR(__xludf.DUMMYFUNCTION("REGEXEXTRACT(J1923, ""[A-Za-z ]+$"")")," min")</f>
        <v> min</v>
      </c>
      <c r="AA1923" s="5" t="str">
        <f>IFERROR(__xludf.DUMMYFUNCTION("IF(REGEXMATCH(Z1923, ""Season""), ""TV Show"", ""Movie"")"),"Movie")</f>
        <v>Movie</v>
      </c>
    </row>
    <row r="1924">
      <c r="A1924" s="1" t="s">
        <v>11070</v>
      </c>
      <c r="B1924" s="1" t="s">
        <v>37</v>
      </c>
      <c r="C1924" s="1" t="s">
        <v>11071</v>
      </c>
      <c r="E1924" s="1" t="s">
        <v>11072</v>
      </c>
      <c r="F1924" s="1" t="s">
        <v>30</v>
      </c>
      <c r="G1924" s="1" t="s">
        <v>10969</v>
      </c>
      <c r="H1924" s="1">
        <v>2003.0</v>
      </c>
      <c r="I1924" s="1" t="s">
        <v>136</v>
      </c>
      <c r="J1924" s="1" t="s">
        <v>189</v>
      </c>
      <c r="K1924" s="1" t="s">
        <v>270</v>
      </c>
      <c r="L1924" s="1" t="s">
        <v>11073</v>
      </c>
      <c r="M1924" s="2" t="s">
        <v>12</v>
      </c>
      <c r="N1924" s="4">
        <f t="shared" si="1"/>
        <v>44105</v>
      </c>
      <c r="O1924" s="5" t="str">
        <f>IFERROR(__xludf.DUMMYFUNCTION("IF(REGEXMATCH(TRIM(I1924), ""^\d+\s*min""), ""Unclassified"", IF(I1924 = """", ""NR"", I1924))"),"TV-PG")</f>
        <v>TV-PG</v>
      </c>
      <c r="R1924" s="5" t="str">
        <f t="shared" si="2"/>
        <v>The Parkers</v>
      </c>
      <c r="S1924" s="5" t="str">
        <f>IFERROR(__xludf.DUMMYFUNCTION("""COMPUTED_VALUE"""),"Denis Leary: No Cure For Cancer")</f>
        <v>Denis Leary: No Cure For Cancer</v>
      </c>
      <c r="U1924" s="5" t="str">
        <f>IFERROR(__xludf.DUMMYFUNCTION("""COMPUTED_VALUE"""),"Julia Knowles")</f>
        <v>Julia Knowles</v>
      </c>
      <c r="V1924" s="5" t="s">
        <v>11074</v>
      </c>
      <c r="W1924" s="5" t="str">
        <f t="shared" si="3"/>
        <v>Joe Dante</v>
      </c>
      <c r="X1924" s="5">
        <f t="shared" si="4"/>
        <v>2</v>
      </c>
      <c r="Y1924" s="5" t="str">
        <f>IFERROR(__xludf.DUMMYFUNCTION("REGEXEXTRACT(J1924, ""^\d+"")"),"5")</f>
        <v>5</v>
      </c>
      <c r="Z1924" s="5" t="str">
        <f>IFERROR(__xludf.DUMMYFUNCTION("REGEXEXTRACT(J1924, ""[A-Za-z ]+$"")")," Seasons")</f>
        <v> Seasons</v>
      </c>
      <c r="AA1924" s="5" t="str">
        <f>IFERROR(__xludf.DUMMYFUNCTION("IF(REGEXMATCH(Z1924, ""Season""), ""TV Show"", ""Movie"")"),"TV Show")</f>
        <v>TV Show</v>
      </c>
    </row>
    <row r="1925">
      <c r="A1925" s="1" t="s">
        <v>11075</v>
      </c>
      <c r="B1925" s="1" t="s">
        <v>37</v>
      </c>
      <c r="C1925" s="1" t="s">
        <v>11076</v>
      </c>
      <c r="E1925" s="1" t="s">
        <v>11077</v>
      </c>
      <c r="F1925" s="1" t="s">
        <v>30</v>
      </c>
      <c r="G1925" s="1" t="s">
        <v>10969</v>
      </c>
      <c r="H1925" s="1">
        <v>2019.0</v>
      </c>
      <c r="I1925" s="1" t="s">
        <v>97</v>
      </c>
      <c r="J1925" s="1" t="s">
        <v>51</v>
      </c>
      <c r="K1925" s="1" t="s">
        <v>149</v>
      </c>
      <c r="L1925" s="1" t="s">
        <v>11078</v>
      </c>
      <c r="M1925" s="2" t="s">
        <v>12</v>
      </c>
      <c r="N1925" s="4">
        <f t="shared" si="1"/>
        <v>44105</v>
      </c>
      <c r="O1925" s="5" t="str">
        <f>IFERROR(__xludf.DUMMYFUNCTION("IF(REGEXMATCH(TRIM(I1925), ""^\d+\s*min""), ""Unclassified"", IF(I1925 = """", ""NR"", I1925))"),"TV-14")</f>
        <v>TV-14</v>
      </c>
      <c r="R1925" s="5" t="str">
        <f t="shared" si="2"/>
        <v>The Unicorn</v>
      </c>
      <c r="S1925" s="5" t="str">
        <f>IFERROR(__xludf.DUMMYFUNCTION("""COMPUTED_VALUE"""),"Dennis And Gnasher Unleashed")</f>
        <v>Dennis And Gnasher Unleashed</v>
      </c>
      <c r="U1925" s="5" t="str">
        <f>IFERROR(__xludf.DUMMYFUNCTION("""COMPUTED_VALUE"""),"Tarsem Singh")</f>
        <v>Tarsem Singh</v>
      </c>
      <c r="V1925" s="5" t="s">
        <v>11079</v>
      </c>
      <c r="W1925" s="5" t="str">
        <f t="shared" si="3"/>
        <v>Joe Demaio</v>
      </c>
      <c r="X1925" s="5">
        <f t="shared" si="4"/>
        <v>2</v>
      </c>
      <c r="Y1925" s="5" t="str">
        <f>IFERROR(__xludf.DUMMYFUNCTION("REGEXEXTRACT(J1925, ""^\d+"")"),"1")</f>
        <v>1</v>
      </c>
      <c r="Z1925" s="5" t="str">
        <f>IFERROR(__xludf.DUMMYFUNCTION("REGEXEXTRACT(J1925, ""[A-Za-z ]+$"")")," Season")</f>
        <v> Season</v>
      </c>
      <c r="AA1925" s="5" t="str">
        <f>IFERROR(__xludf.DUMMYFUNCTION("IF(REGEXMATCH(Z1925, ""Season""), ""TV Show"", ""Movie"")"),"TV Show")</f>
        <v>TV Show</v>
      </c>
    </row>
    <row r="1926">
      <c r="A1926" s="1" t="s">
        <v>11080</v>
      </c>
      <c r="B1926" s="1" t="s">
        <v>27</v>
      </c>
      <c r="C1926" s="1" t="s">
        <v>11081</v>
      </c>
      <c r="D1926" s="1" t="s">
        <v>11082</v>
      </c>
      <c r="E1926" s="1" t="s">
        <v>11083</v>
      </c>
      <c r="F1926" s="1" t="s">
        <v>30</v>
      </c>
      <c r="G1926" s="1" t="s">
        <v>10969</v>
      </c>
      <c r="H1926" s="1">
        <v>2018.0</v>
      </c>
      <c r="I1926" s="1" t="s">
        <v>97</v>
      </c>
      <c r="J1926" s="1" t="s">
        <v>465</v>
      </c>
      <c r="K1926" s="1" t="s">
        <v>394</v>
      </c>
      <c r="L1926" s="1" t="s">
        <v>11084</v>
      </c>
      <c r="M1926" s="2" t="s">
        <v>12</v>
      </c>
      <c r="N1926" s="4">
        <f t="shared" si="1"/>
        <v>44105</v>
      </c>
      <c r="O1926" s="5" t="str">
        <f>IFERROR(__xludf.DUMMYFUNCTION("IF(REGEXMATCH(TRIM(I1926), ""^\d+\s*min""), ""Unclassified"", IF(I1926 = """", ""NR"", I1926))"),"TV-14")</f>
        <v>TV-14</v>
      </c>
      <c r="R1926" s="5" t="str">
        <f t="shared" si="2"/>
        <v>We Have Always Lived In The Castle</v>
      </c>
      <c r="S1926" s="5" t="str">
        <f>IFERROR(__xludf.DUMMYFUNCTION("""COMPUTED_VALUE"""),"Dennis The Menace")</f>
        <v>Dennis The Menace</v>
      </c>
      <c r="U1926" s="5" t="str">
        <f>IFERROR(__xludf.DUMMYFUNCTION("""COMPUTED_VALUE"""),"Kepa Sojo")</f>
        <v>Kepa Sojo</v>
      </c>
      <c r="V1926" s="5" t="s">
        <v>11085</v>
      </c>
      <c r="W1926" s="5" t="str">
        <f t="shared" si="3"/>
        <v>Joe Dietsch, Louie Gibson</v>
      </c>
      <c r="X1926" s="5">
        <f t="shared" si="4"/>
        <v>1</v>
      </c>
      <c r="Y1926" s="5" t="str">
        <f>IFERROR(__xludf.DUMMYFUNCTION("REGEXEXTRACT(J1926, ""^\d+"")"),"95")</f>
        <v>95</v>
      </c>
      <c r="Z1926" s="5" t="str">
        <f>IFERROR(__xludf.DUMMYFUNCTION("REGEXEXTRACT(J1926, ""[A-Za-z ]+$"")")," min")</f>
        <v> min</v>
      </c>
      <c r="AA1926" s="5" t="str">
        <f>IFERROR(__xludf.DUMMYFUNCTION("IF(REGEXMATCH(Z1926, ""Season""), ""TV Show"", ""Movie"")"),"Movie")</f>
        <v>Movie</v>
      </c>
    </row>
    <row r="1927">
      <c r="A1927" s="1" t="s">
        <v>11086</v>
      </c>
      <c r="B1927" s="1" t="s">
        <v>37</v>
      </c>
      <c r="C1927" s="1" t="s">
        <v>11087</v>
      </c>
      <c r="E1927" s="1" t="s">
        <v>11088</v>
      </c>
      <c r="F1927" s="1" t="s">
        <v>162</v>
      </c>
      <c r="G1927" s="1" t="s">
        <v>10969</v>
      </c>
      <c r="H1927" s="1">
        <v>2020.0</v>
      </c>
      <c r="I1927" s="1" t="s">
        <v>42</v>
      </c>
      <c r="J1927" s="1" t="s">
        <v>51</v>
      </c>
      <c r="K1927" s="1" t="s">
        <v>785</v>
      </c>
      <c r="L1927" s="1" t="s">
        <v>11089</v>
      </c>
      <c r="M1927" s="2" t="s">
        <v>12</v>
      </c>
      <c r="N1927" s="4">
        <f t="shared" si="1"/>
        <v>44105</v>
      </c>
      <c r="O1927" s="5" t="str">
        <f>IFERROR(__xludf.DUMMYFUNCTION("IF(REGEXMATCH(TRIM(I1927), ""^\d+\s*min""), ""Unclassified"", IF(I1927 = """", ""NR"", I1927))"),"TV-MA")</f>
        <v>TV-MA</v>
      </c>
      <c r="R1927" s="5" t="str">
        <f t="shared" si="2"/>
        <v>You Cannot Hide</v>
      </c>
      <c r="S1927" s="5" t="str">
        <f>IFERROR(__xludf.DUMMYFUNCTION("""COMPUTED_VALUE"""),"Deon Cole: Cole Hearted")</f>
        <v>Deon Cole: Cole Hearted</v>
      </c>
      <c r="U1927" s="5" t="str">
        <f>IFERROR(__xludf.DUMMYFUNCTION("""COMPUTED_VALUE"""),"Vikramaditya Motwane, Anurag Kashyap")</f>
        <v>Vikramaditya Motwane, Anurag Kashyap</v>
      </c>
      <c r="V1927" s="5" t="s">
        <v>11090</v>
      </c>
      <c r="W1927" s="5" t="str">
        <f t="shared" si="3"/>
        <v>Joe Lynch</v>
      </c>
      <c r="X1927" s="5">
        <f t="shared" si="4"/>
        <v>1</v>
      </c>
      <c r="Y1927" s="5" t="str">
        <f>IFERROR(__xludf.DUMMYFUNCTION("REGEXEXTRACT(J1927, ""^\d+"")"),"1")</f>
        <v>1</v>
      </c>
      <c r="Z1927" s="5" t="str">
        <f>IFERROR(__xludf.DUMMYFUNCTION("REGEXEXTRACT(J1927, ""[A-Za-z ]+$"")")," Season")</f>
        <v> Season</v>
      </c>
      <c r="AA1927" s="5" t="str">
        <f>IFERROR(__xludf.DUMMYFUNCTION("IF(REGEXMATCH(Z1927, ""Season""), ""TV Show"", ""Movie"")"),"TV Show")</f>
        <v>TV Show</v>
      </c>
    </row>
    <row r="1928">
      <c r="A1928" s="1" t="s">
        <v>11091</v>
      </c>
      <c r="B1928" s="1" t="s">
        <v>27</v>
      </c>
      <c r="C1928" s="1" t="s">
        <v>11092</v>
      </c>
      <c r="D1928" s="1" t="s">
        <v>10778</v>
      </c>
      <c r="F1928" s="1" t="s">
        <v>30</v>
      </c>
      <c r="G1928" s="1" t="s">
        <v>11093</v>
      </c>
      <c r="H1928" s="1">
        <v>2020.0</v>
      </c>
      <c r="I1928" s="1" t="s">
        <v>42</v>
      </c>
      <c r="J1928" s="1" t="s">
        <v>1608</v>
      </c>
      <c r="K1928" s="1" t="s">
        <v>34</v>
      </c>
      <c r="L1928" s="1" t="s">
        <v>11094</v>
      </c>
      <c r="M1928" s="2" t="s">
        <v>12</v>
      </c>
      <c r="N1928" s="4">
        <f t="shared" si="1"/>
        <v>44104</v>
      </c>
      <c r="O1928" s="5" t="str">
        <f>IFERROR(__xludf.DUMMYFUNCTION("IF(REGEXMATCH(TRIM(I1928), ""^\d+\s*min""), ""Unclassified"", IF(I1928 = """", ""NR"", I1928))"),"TV-MA")</f>
        <v>TV-MA</v>
      </c>
      <c r="R1928" s="5" t="str">
        <f t="shared" si="2"/>
        <v>American Murder: The Family Next Door</v>
      </c>
      <c r="S1928" s="5" t="str">
        <f>IFERROR(__xludf.DUMMYFUNCTION("""COMPUTED_VALUE"""),"Department")</f>
        <v>Department</v>
      </c>
      <c r="U1928" s="5" t="str">
        <f>IFERROR(__xludf.DUMMYFUNCTION("""COMPUTED_VALUE"""),"Cho Li, Chen Hung-Yi, Weica Wang, Liu Bang-Yao, Lin Guan-Fu, Shen Chi, Yc Tom Lee")</f>
        <v>Cho Li, Chen Hung-Yi, Weica Wang, Liu Bang-Yao, Lin Guan-Fu, Shen Chi, Yc Tom Lee</v>
      </c>
      <c r="V1928" s="5" t="s">
        <v>11095</v>
      </c>
      <c r="W1928" s="5" t="str">
        <f t="shared" si="3"/>
        <v>Joe Mantello</v>
      </c>
      <c r="X1928" s="5">
        <f t="shared" si="4"/>
        <v>1</v>
      </c>
      <c r="Y1928" s="5" t="str">
        <f>IFERROR(__xludf.DUMMYFUNCTION("REGEXEXTRACT(J1928, ""^\d+"")"),"84")</f>
        <v>84</v>
      </c>
      <c r="Z1928" s="5" t="str">
        <f>IFERROR(__xludf.DUMMYFUNCTION("REGEXEXTRACT(J1928, ""[A-Za-z ]+$"")")," min")</f>
        <v> min</v>
      </c>
      <c r="AA1928" s="5" t="str">
        <f>IFERROR(__xludf.DUMMYFUNCTION("IF(REGEXMATCH(Z1928, ""Season""), ""TV Show"", ""Movie"")"),"Movie")</f>
        <v>Movie</v>
      </c>
    </row>
    <row r="1929">
      <c r="A1929" s="1" t="s">
        <v>11096</v>
      </c>
      <c r="B1929" s="1" t="s">
        <v>27</v>
      </c>
      <c r="C1929" s="1" t="s">
        <v>11097</v>
      </c>
      <c r="D1929" s="1" t="s">
        <v>7728</v>
      </c>
      <c r="E1929" s="1" t="s">
        <v>11098</v>
      </c>
      <c r="F1929" s="1" t="s">
        <v>11099</v>
      </c>
      <c r="G1929" s="1" t="s">
        <v>11093</v>
      </c>
      <c r="H1929" s="1">
        <v>2019.0</v>
      </c>
      <c r="I1929" s="1" t="s">
        <v>136</v>
      </c>
      <c r="J1929" s="1" t="s">
        <v>5170</v>
      </c>
      <c r="K1929" s="1" t="s">
        <v>128</v>
      </c>
      <c r="L1929" s="1" t="s">
        <v>11100</v>
      </c>
      <c r="M1929" s="2" t="s">
        <v>12</v>
      </c>
      <c r="N1929" s="4">
        <f t="shared" si="1"/>
        <v>44104</v>
      </c>
      <c r="O1929" s="5" t="str">
        <f>IFERROR(__xludf.DUMMYFUNCTION("IF(REGEXMATCH(TRIM(I1929), ""^\d+\s*min""), ""Unclassified"", IF(I1929 = """", ""NR"", I1929))"),"TV-PG")</f>
        <v>TV-PG</v>
      </c>
      <c r="R1929" s="5" t="str">
        <f t="shared" si="2"/>
        <v>Baxu And The Giants</v>
      </c>
      <c r="S1929" s="5" t="str">
        <f>IFERROR(__xludf.DUMMYFUNCTION("""COMPUTED_VALUE"""),"Deranged")</f>
        <v>Deranged</v>
      </c>
      <c r="U1929" s="5" t="str">
        <f>IFERROR(__xludf.DUMMYFUNCTION("""COMPUTED_VALUE"""),"Manu Ashokan")</f>
        <v>Manu Ashokan</v>
      </c>
      <c r="V1929" s="5" t="s">
        <v>11101</v>
      </c>
      <c r="W1929" s="5" t="str">
        <f t="shared" si="3"/>
        <v>Joe Menendez</v>
      </c>
      <c r="X1929" s="5">
        <f t="shared" si="4"/>
        <v>1</v>
      </c>
      <c r="Y1929" s="5" t="str">
        <f>IFERROR(__xludf.DUMMYFUNCTION("REGEXEXTRACT(J1929, ""^\d+"")"),"29")</f>
        <v>29</v>
      </c>
      <c r="Z1929" s="5" t="str">
        <f>IFERROR(__xludf.DUMMYFUNCTION("REGEXEXTRACT(J1929, ""[A-Za-z ]+$"")")," min")</f>
        <v> min</v>
      </c>
      <c r="AA1929" s="5" t="str">
        <f>IFERROR(__xludf.DUMMYFUNCTION("IF(REGEXMATCH(Z1929, ""Season""), ""TV Show"", ""Movie"")"),"Movie")</f>
        <v>Movie</v>
      </c>
    </row>
    <row r="1930">
      <c r="A1930" s="1" t="s">
        <v>11102</v>
      </c>
      <c r="B1930" s="1" t="s">
        <v>37</v>
      </c>
      <c r="C1930" s="1" t="s">
        <v>11103</v>
      </c>
      <c r="E1930" s="1" t="s">
        <v>11104</v>
      </c>
      <c r="F1930" s="1" t="s">
        <v>415</v>
      </c>
      <c r="G1930" s="1" t="s">
        <v>11093</v>
      </c>
      <c r="H1930" s="1">
        <v>2010.0</v>
      </c>
      <c r="I1930" s="1" t="s">
        <v>42</v>
      </c>
      <c r="J1930" s="1" t="s">
        <v>276</v>
      </c>
      <c r="K1930" s="1" t="s">
        <v>567</v>
      </c>
      <c r="L1930" s="1" t="s">
        <v>11105</v>
      </c>
      <c r="M1930" s="2" t="s">
        <v>12</v>
      </c>
      <c r="N1930" s="4">
        <f t="shared" si="1"/>
        <v>44104</v>
      </c>
      <c r="O1930" s="5" t="str">
        <f>IFERROR(__xludf.DUMMYFUNCTION("IF(REGEXMATCH(TRIM(I1930), ""^\d+\s*min""), ""Unclassified"", IF(I1930 = """", ""NR"", I1930))"),"TV-MA")</f>
        <v>TV-MA</v>
      </c>
      <c r="R1930" s="5" t="str">
        <f t="shared" si="2"/>
        <v>Black Butler</v>
      </c>
      <c r="S1930" s="5" t="str">
        <f>IFERROR(__xludf.DUMMYFUNCTION("""COMPUTED_VALUE"""),"Deray Davis: How To Act Black")</f>
        <v>Deray Davis: How To Act Black</v>
      </c>
      <c r="U1930" s="5" t="str">
        <f>IFERROR(__xludf.DUMMYFUNCTION("""COMPUTED_VALUE"""),"Anita Udeep")</f>
        <v>Anita Udeep</v>
      </c>
      <c r="V1930" s="5" t="s">
        <v>11106</v>
      </c>
      <c r="W1930" s="5" t="str">
        <f t="shared" si="3"/>
        <v>Joe Miale</v>
      </c>
      <c r="X1930" s="5">
        <f t="shared" si="4"/>
        <v>1</v>
      </c>
      <c r="Y1930" s="5" t="str">
        <f>IFERROR(__xludf.DUMMYFUNCTION("REGEXEXTRACT(J1930, ""^\d+"")"),"3")</f>
        <v>3</v>
      </c>
      <c r="Z1930" s="5" t="str">
        <f>IFERROR(__xludf.DUMMYFUNCTION("REGEXEXTRACT(J1930, ""[A-Za-z ]+$"")")," Seasons")</f>
        <v> Seasons</v>
      </c>
      <c r="AA1930" s="5" t="str">
        <f>IFERROR(__xludf.DUMMYFUNCTION("IF(REGEXMATCH(Z1930, ""Season""), ""TV Show"", ""Movie"")"),"TV Show")</f>
        <v>TV Show</v>
      </c>
    </row>
    <row r="1931">
      <c r="A1931" s="1" t="s">
        <v>11107</v>
      </c>
      <c r="B1931" s="1" t="s">
        <v>37</v>
      </c>
      <c r="C1931" s="1" t="s">
        <v>11108</v>
      </c>
      <c r="E1931" s="1" t="s">
        <v>11109</v>
      </c>
      <c r="F1931" s="1" t="s">
        <v>30</v>
      </c>
      <c r="G1931" s="1" t="s">
        <v>11093</v>
      </c>
      <c r="H1931" s="1">
        <v>2020.0</v>
      </c>
      <c r="I1931" s="1" t="s">
        <v>136</v>
      </c>
      <c r="J1931" s="1" t="s">
        <v>148</v>
      </c>
      <c r="K1931" s="1" t="s">
        <v>270</v>
      </c>
      <c r="L1931" s="1" t="s">
        <v>11110</v>
      </c>
      <c r="M1931" s="2" t="s">
        <v>12</v>
      </c>
      <c r="N1931" s="4">
        <f t="shared" si="1"/>
        <v>44104</v>
      </c>
      <c r="O1931" s="5" t="str">
        <f>IFERROR(__xludf.DUMMYFUNCTION("IF(REGEXMATCH(TRIM(I1931), ""^\d+\s*min""), ""Unclassified"", IF(I1931 = """", ""NR"", I1931))"),"TV-PG")</f>
        <v>TV-PG</v>
      </c>
      <c r="R1931" s="5" t="str">
        <f t="shared" si="2"/>
        <v>Man With A Plan</v>
      </c>
      <c r="S1931" s="5" t="str">
        <f>IFERROR(__xludf.DUMMYFUNCTION("""COMPUTED_VALUE"""),"Dérè: An African Tale")</f>
        <v>Dérè: An African Tale</v>
      </c>
      <c r="U1931" s="5" t="str">
        <f>IFERROR(__xludf.DUMMYFUNCTION("""COMPUTED_VALUE"""),"Vlad Yudin")</f>
        <v>Vlad Yudin</v>
      </c>
      <c r="V1931" s="5" t="s">
        <v>11111</v>
      </c>
      <c r="W1931" s="5" t="str">
        <f t="shared" si="3"/>
        <v>Joe Murray, Cosmo Segurson</v>
      </c>
      <c r="X1931" s="5">
        <f t="shared" si="4"/>
        <v>1</v>
      </c>
      <c r="Y1931" s="5" t="str">
        <f>IFERROR(__xludf.DUMMYFUNCTION("REGEXEXTRACT(J1931, ""^\d+"")"),"4")</f>
        <v>4</v>
      </c>
      <c r="Z1931" s="5" t="str">
        <f>IFERROR(__xludf.DUMMYFUNCTION("REGEXEXTRACT(J1931, ""[A-Za-z ]+$"")")," Seasons")</f>
        <v> Seasons</v>
      </c>
      <c r="AA1931" s="5" t="str">
        <f>IFERROR(__xludf.DUMMYFUNCTION("IF(REGEXMATCH(Z1931, ""Season""), ""TV Show"", ""Movie"")"),"TV Show")</f>
        <v>TV Show</v>
      </c>
    </row>
    <row r="1932">
      <c r="A1932" s="1" t="s">
        <v>11112</v>
      </c>
      <c r="B1932" s="1" t="s">
        <v>27</v>
      </c>
      <c r="C1932" s="1" t="s">
        <v>11113</v>
      </c>
      <c r="D1932" s="1" t="s">
        <v>11114</v>
      </c>
      <c r="E1932" s="1" t="s">
        <v>11115</v>
      </c>
      <c r="F1932" s="1" t="s">
        <v>11116</v>
      </c>
      <c r="G1932" s="1" t="s">
        <v>11093</v>
      </c>
      <c r="H1932" s="1">
        <v>2018.0</v>
      </c>
      <c r="I1932" s="1" t="s">
        <v>42</v>
      </c>
      <c r="J1932" s="1" t="s">
        <v>8852</v>
      </c>
      <c r="K1932" s="1" t="s">
        <v>298</v>
      </c>
      <c r="L1932" s="1" t="s">
        <v>11117</v>
      </c>
      <c r="M1932" s="2" t="s">
        <v>12</v>
      </c>
      <c r="N1932" s="4">
        <f t="shared" si="1"/>
        <v>44104</v>
      </c>
      <c r="O1932" s="5" t="str">
        <f>IFERROR(__xludf.DUMMYFUNCTION("IF(REGEXMATCH(TRIM(I1932), ""^\d+\s*min""), ""Unclassified"", IF(I1932 = """", ""NR"", I1932))"),"TV-MA")</f>
        <v>TV-MA</v>
      </c>
      <c r="R1932" s="5" t="str">
        <f t="shared" si="2"/>
        <v>Poacher</v>
      </c>
      <c r="S1932" s="5" t="str">
        <f>IFERROR(__xludf.DUMMYFUNCTION("""COMPUTED_VALUE"""),"Derek")</f>
        <v>Derek</v>
      </c>
      <c r="U1932" s="5" t="str">
        <f>IFERROR(__xludf.DUMMYFUNCTION("""COMPUTED_VALUE"""),"Alberto Arnaut Estrada")</f>
        <v>Alberto Arnaut Estrada</v>
      </c>
      <c r="V1932" s="5" t="s">
        <v>11118</v>
      </c>
      <c r="W1932" s="5" t="str">
        <f t="shared" si="3"/>
        <v>Joe Nussbaum</v>
      </c>
      <c r="X1932" s="5">
        <f t="shared" si="4"/>
        <v>1</v>
      </c>
      <c r="Y1932" s="5" t="str">
        <f>IFERROR(__xludf.DUMMYFUNCTION("REGEXEXTRACT(J1932, ""^\d+"")"),"28")</f>
        <v>28</v>
      </c>
      <c r="Z1932" s="5" t="str">
        <f>IFERROR(__xludf.DUMMYFUNCTION("REGEXEXTRACT(J1932, ""[A-Za-z ]+$"")")," min")</f>
        <v> min</v>
      </c>
      <c r="AA1932" s="5" t="str">
        <f>IFERROR(__xludf.DUMMYFUNCTION("IF(REGEXMATCH(Z1932, ""Season""), ""TV Show"", ""Movie"")"),"Movie")</f>
        <v>Movie</v>
      </c>
    </row>
    <row r="1933">
      <c r="A1933" s="1" t="s">
        <v>11119</v>
      </c>
      <c r="B1933" s="1" t="s">
        <v>27</v>
      </c>
      <c r="C1933" s="1" t="s">
        <v>11120</v>
      </c>
      <c r="D1933" s="1" t="s">
        <v>11095</v>
      </c>
      <c r="E1933" s="1" t="s">
        <v>11121</v>
      </c>
      <c r="F1933" s="1" t="s">
        <v>30</v>
      </c>
      <c r="G1933" s="1" t="s">
        <v>11093</v>
      </c>
      <c r="H1933" s="1">
        <v>2020.0</v>
      </c>
      <c r="I1933" s="1" t="s">
        <v>378</v>
      </c>
      <c r="J1933" s="1" t="s">
        <v>393</v>
      </c>
      <c r="K1933" s="1" t="s">
        <v>8641</v>
      </c>
      <c r="L1933" s="1" t="s">
        <v>11122</v>
      </c>
      <c r="M1933" s="2" t="s">
        <v>12</v>
      </c>
      <c r="N1933" s="4">
        <f t="shared" si="1"/>
        <v>44104</v>
      </c>
      <c r="O1933" s="5" t="str">
        <f>IFERROR(__xludf.DUMMYFUNCTION("IF(REGEXMATCH(TRIM(I1933), ""^\d+\s*min""), ""Unclassified"", IF(I1933 = """", ""NR"", I1933))"),"R")</f>
        <v>R</v>
      </c>
      <c r="R1933" s="5" t="str">
        <f t="shared" si="2"/>
        <v>The Boys In The Band</v>
      </c>
      <c r="S1933" s="5" t="str">
        <f>IFERROR(__xludf.DUMMYFUNCTION("""COMPUTED_VALUE"""),"Derren Brown: Miracle")</f>
        <v>Derren Brown: Miracle</v>
      </c>
      <c r="U1933" s="5" t="str">
        <f>IFERROR(__xludf.DUMMYFUNCTION("""COMPUTED_VALUE"""),"Robert Moresco")</f>
        <v>Robert Moresco</v>
      </c>
      <c r="V1933" s="5" t="s">
        <v>5979</v>
      </c>
      <c r="W1933" s="5" t="str">
        <f t="shared" si="3"/>
        <v>Joe Penna</v>
      </c>
      <c r="X1933" s="5">
        <f t="shared" si="4"/>
        <v>1</v>
      </c>
      <c r="Y1933" s="5" t="str">
        <f>IFERROR(__xludf.DUMMYFUNCTION("REGEXEXTRACT(J1933, ""^\d+"")"),"122")</f>
        <v>122</v>
      </c>
      <c r="Z1933" s="5" t="str">
        <f>IFERROR(__xludf.DUMMYFUNCTION("REGEXEXTRACT(J1933, ""[A-Za-z ]+$"")")," min")</f>
        <v> min</v>
      </c>
      <c r="AA1933" s="5" t="str">
        <f>IFERROR(__xludf.DUMMYFUNCTION("IF(REGEXMATCH(Z1933, ""Season""), ""TV Show"", ""Movie"")"),"Movie")</f>
        <v>Movie</v>
      </c>
    </row>
    <row r="1934">
      <c r="A1934" s="1" t="s">
        <v>11123</v>
      </c>
      <c r="B1934" s="1" t="s">
        <v>27</v>
      </c>
      <c r="C1934" s="1" t="s">
        <v>11124</v>
      </c>
      <c r="E1934" s="1" t="s">
        <v>11125</v>
      </c>
      <c r="F1934" s="1" t="s">
        <v>30</v>
      </c>
      <c r="G1934" s="1" t="s">
        <v>11093</v>
      </c>
      <c r="H1934" s="1">
        <v>2020.0</v>
      </c>
      <c r="I1934" s="1" t="s">
        <v>42</v>
      </c>
      <c r="J1934" s="1" t="s">
        <v>8852</v>
      </c>
      <c r="K1934" s="1" t="s">
        <v>1212</v>
      </c>
      <c r="L1934" s="1" t="s">
        <v>11126</v>
      </c>
      <c r="M1934" s="2" t="s">
        <v>12</v>
      </c>
      <c r="N1934" s="4">
        <f t="shared" si="1"/>
        <v>44104</v>
      </c>
      <c r="O1934" s="5" t="str">
        <f>IFERROR(__xludf.DUMMYFUNCTION("IF(REGEXMATCH(TRIM(I1934), ""^\d+\s*min""), ""Unclassified"", IF(I1934 = """", ""NR"", I1934))"),"TV-MA")</f>
        <v>TV-MA</v>
      </c>
      <c r="R1934" s="5" t="str">
        <f t="shared" si="2"/>
        <v>The Boys In The Band: Something Personal</v>
      </c>
      <c r="S1934" s="5" t="str">
        <f>IFERROR(__xludf.DUMMYFUNCTION("""COMPUTED_VALUE"""),"Derren Brown: Sacrifice")</f>
        <v>Derren Brown: Sacrifice</v>
      </c>
      <c r="U1934" s="5" t="str">
        <f>IFERROR(__xludf.DUMMYFUNCTION("""COMPUTED_VALUE"""),"Aadish Keluskar")</f>
        <v>Aadish Keluskar</v>
      </c>
      <c r="V1934" s="5" t="s">
        <v>11127</v>
      </c>
      <c r="W1934" s="5" t="str">
        <f t="shared" si="3"/>
        <v>Joe Piscatella</v>
      </c>
      <c r="X1934" s="5">
        <f t="shared" si="4"/>
        <v>1</v>
      </c>
      <c r="Y1934" s="5" t="str">
        <f>IFERROR(__xludf.DUMMYFUNCTION("REGEXEXTRACT(J1934, ""^\d+"")"),"28")</f>
        <v>28</v>
      </c>
      <c r="Z1934" s="5" t="str">
        <f>IFERROR(__xludf.DUMMYFUNCTION("REGEXEXTRACT(J1934, ""[A-Za-z ]+$"")")," min")</f>
        <v> min</v>
      </c>
      <c r="AA1934" s="5" t="str">
        <f>IFERROR(__xludf.DUMMYFUNCTION("IF(REGEXMATCH(Z1934, ""Season""), ""TV Show"", ""Movie"")"),"Movie")</f>
        <v>Movie</v>
      </c>
    </row>
    <row r="1935">
      <c r="A1935" s="1" t="s">
        <v>11128</v>
      </c>
      <c r="B1935" s="1" t="s">
        <v>37</v>
      </c>
      <c r="C1935" s="1" t="s">
        <v>11129</v>
      </c>
      <c r="E1935" s="1" t="s">
        <v>11130</v>
      </c>
      <c r="F1935" s="1" t="s">
        <v>221</v>
      </c>
      <c r="G1935" s="1" t="s">
        <v>11093</v>
      </c>
      <c r="H1935" s="1">
        <v>2020.0</v>
      </c>
      <c r="I1935" s="1" t="s">
        <v>42</v>
      </c>
      <c r="J1935" s="1" t="s">
        <v>3285</v>
      </c>
      <c r="K1935" s="1" t="s">
        <v>4118</v>
      </c>
      <c r="L1935" s="1" t="s">
        <v>11131</v>
      </c>
      <c r="M1935" s="2" t="s">
        <v>12</v>
      </c>
      <c r="N1935" s="4">
        <f t="shared" si="1"/>
        <v>44104</v>
      </c>
      <c r="O1935" s="5" t="str">
        <f>IFERROR(__xludf.DUMMYFUNCTION("IF(REGEXMATCH(TRIM(I1935), ""^\d+\s*min""), ""Unclassified"", IF(I1935 = """", ""NR"", I1935))"),"TV-MA")</f>
        <v>TV-MA</v>
      </c>
      <c r="R1935" s="5" t="str">
        <f t="shared" si="2"/>
        <v>Wentworth</v>
      </c>
      <c r="S1935" s="5" t="str">
        <f>IFERROR(__xludf.DUMMYFUNCTION("""COMPUTED_VALUE"""),"Derren Brown: The Push")</f>
        <v>Derren Brown: The Push</v>
      </c>
      <c r="U1935" s="5" t="str">
        <f>IFERROR(__xludf.DUMMYFUNCTION("""COMPUTED_VALUE"""),"Joe Murray, Cosmo Segurson")</f>
        <v>Joe Murray, Cosmo Segurson</v>
      </c>
      <c r="V1935" s="5" t="s">
        <v>11132</v>
      </c>
      <c r="W1935" s="5" t="str">
        <f t="shared" si="3"/>
        <v>Joe Robert Cole</v>
      </c>
      <c r="X1935" s="5">
        <f t="shared" si="4"/>
        <v>1</v>
      </c>
      <c r="Y1935" s="5" t="str">
        <f>IFERROR(__xludf.DUMMYFUNCTION("REGEXEXTRACT(J1935, ""^\d+"")"),"8")</f>
        <v>8</v>
      </c>
      <c r="Z1935" s="5" t="str">
        <f>IFERROR(__xludf.DUMMYFUNCTION("REGEXEXTRACT(J1935, ""[A-Za-z ]+$"")")," Seasons")</f>
        <v> Seasons</v>
      </c>
      <c r="AA1935" s="5" t="str">
        <f>IFERROR(__xludf.DUMMYFUNCTION("IF(REGEXMATCH(Z1935, ""Season""), ""TV Show"", ""Movie"")"),"TV Show")</f>
        <v>TV Show</v>
      </c>
    </row>
    <row r="1936">
      <c r="A1936" s="1" t="s">
        <v>11133</v>
      </c>
      <c r="B1936" s="1" t="s">
        <v>27</v>
      </c>
      <c r="C1936" s="1" t="s">
        <v>11134</v>
      </c>
      <c r="D1936" s="1" t="s">
        <v>11135</v>
      </c>
      <c r="F1936" s="1" t="s">
        <v>30</v>
      </c>
      <c r="G1936" s="1" t="s">
        <v>11136</v>
      </c>
      <c r="H1936" s="1">
        <v>2012.0</v>
      </c>
      <c r="I1936" s="1" t="s">
        <v>32</v>
      </c>
      <c r="J1936" s="1" t="s">
        <v>357</v>
      </c>
      <c r="K1936" s="1" t="s">
        <v>34</v>
      </c>
      <c r="L1936" s="1" t="s">
        <v>11137</v>
      </c>
      <c r="M1936" s="2" t="s">
        <v>12</v>
      </c>
      <c r="N1936" s="4">
        <f t="shared" si="1"/>
        <v>44103</v>
      </c>
      <c r="O1936" s="5" t="str">
        <f>IFERROR(__xludf.DUMMYFUNCTION("IF(REGEXMATCH(TRIM(I1936), ""^\d+\s*min""), ""Unclassified"", IF(I1936 = """", ""NR"", I1936))"),"PG-13")</f>
        <v>PG-13</v>
      </c>
      <c r="R1936" s="5" t="str">
        <f t="shared" si="2"/>
        <v>Bully</v>
      </c>
      <c r="S1936" s="5" t="str">
        <f>IFERROR(__xludf.DUMMYFUNCTION("""COMPUTED_VALUE"""),"Derry Girls")</f>
        <v>Derry Girls</v>
      </c>
      <c r="U1936" s="5" t="str">
        <f>IFERROR(__xludf.DUMMYFUNCTION("""COMPUTED_VALUE"""),"Jesse Moss")</f>
        <v>Jesse Moss</v>
      </c>
      <c r="V1936" s="5" t="s">
        <v>2185</v>
      </c>
      <c r="W1936" s="5" t="str">
        <f t="shared" si="3"/>
        <v>Joe Roth</v>
      </c>
      <c r="X1936" s="5">
        <f t="shared" si="4"/>
        <v>2</v>
      </c>
      <c r="Y1936" s="5" t="str">
        <f>IFERROR(__xludf.DUMMYFUNCTION("REGEXEXTRACT(J1936, ""^\d+"")"),"98")</f>
        <v>98</v>
      </c>
      <c r="Z1936" s="5" t="str">
        <f>IFERROR(__xludf.DUMMYFUNCTION("REGEXEXTRACT(J1936, ""[A-Za-z ]+$"")")," min")</f>
        <v> min</v>
      </c>
      <c r="AA1936" s="5" t="str">
        <f>IFERROR(__xludf.DUMMYFUNCTION("IF(REGEXMATCH(Z1936, ""Season""), ""TV Show"", ""Movie"")"),"Movie")</f>
        <v>Movie</v>
      </c>
    </row>
    <row r="1937">
      <c r="A1937" s="1" t="s">
        <v>11138</v>
      </c>
      <c r="B1937" s="1" t="s">
        <v>27</v>
      </c>
      <c r="C1937" s="1" t="s">
        <v>11139</v>
      </c>
      <c r="D1937" s="1" t="s">
        <v>11140</v>
      </c>
      <c r="E1937" s="1" t="s">
        <v>691</v>
      </c>
      <c r="F1937" s="1" t="s">
        <v>30</v>
      </c>
      <c r="G1937" s="1" t="s">
        <v>11136</v>
      </c>
      <c r="H1937" s="1">
        <v>2020.0</v>
      </c>
      <c r="I1937" s="1" t="s">
        <v>42</v>
      </c>
      <c r="J1937" s="1" t="s">
        <v>1847</v>
      </c>
      <c r="K1937" s="1" t="s">
        <v>1839</v>
      </c>
      <c r="L1937" s="1" t="s">
        <v>11141</v>
      </c>
      <c r="M1937" s="2" t="s">
        <v>12</v>
      </c>
      <c r="N1937" s="4">
        <f t="shared" si="1"/>
        <v>44103</v>
      </c>
      <c r="O1937" s="5" t="str">
        <f>IFERROR(__xludf.DUMMYFUNCTION("IF(REGEXMATCH(TRIM(I1937), ""^\d+\s*min""), ""Unclassified"", IF(I1937 = """", ""NR"", I1937))"),"TV-MA")</f>
        <v>TV-MA</v>
      </c>
      <c r="R1937" s="5" t="str">
        <f t="shared" si="2"/>
        <v>Michelle Buteau: Welcome To Buteaupia</v>
      </c>
      <c r="S1937" s="5" t="str">
        <f>IFERROR(__xludf.DUMMYFUNCTION("""COMPUTED_VALUE"""),"Designated Survivor")</f>
        <v>Designated Survivor</v>
      </c>
      <c r="U1937" s="5" t="str">
        <f>IFERROR(__xludf.DUMMYFUNCTION("""COMPUTED_VALUE"""),"Shin Won-Ho")</f>
        <v>Shin Won-Ho</v>
      </c>
      <c r="V1937" s="5" t="s">
        <v>11142</v>
      </c>
      <c r="W1937" s="5" t="str">
        <f t="shared" si="3"/>
        <v>Joe Swanberg</v>
      </c>
      <c r="X1937" s="5">
        <f t="shared" si="4"/>
        <v>1</v>
      </c>
      <c r="Y1937" s="5" t="str">
        <f>IFERROR(__xludf.DUMMYFUNCTION("REGEXEXTRACT(J1937, ""^\d+"")"),"59")</f>
        <v>59</v>
      </c>
      <c r="Z1937" s="5" t="str">
        <f>IFERROR(__xludf.DUMMYFUNCTION("REGEXEXTRACT(J1937, ""[A-Za-z ]+$"")")," min")</f>
        <v> min</v>
      </c>
      <c r="AA1937" s="5" t="str">
        <f>IFERROR(__xludf.DUMMYFUNCTION("IF(REGEXMATCH(Z1937, ""Season""), ""TV Show"", ""Movie"")"),"Movie")</f>
        <v>Movie</v>
      </c>
    </row>
    <row r="1938">
      <c r="A1938" s="1" t="s">
        <v>11143</v>
      </c>
      <c r="B1938" s="1" t="s">
        <v>27</v>
      </c>
      <c r="C1938" s="1" t="s">
        <v>11144</v>
      </c>
      <c r="D1938" s="1" t="s">
        <v>5344</v>
      </c>
      <c r="E1938" s="1" t="s">
        <v>11145</v>
      </c>
      <c r="F1938" s="1" t="s">
        <v>30</v>
      </c>
      <c r="G1938" s="1" t="s">
        <v>11136</v>
      </c>
      <c r="H1938" s="1">
        <v>2020.0</v>
      </c>
      <c r="I1938" s="1" t="s">
        <v>378</v>
      </c>
      <c r="J1938" s="1" t="s">
        <v>729</v>
      </c>
      <c r="K1938" s="1" t="s">
        <v>380</v>
      </c>
      <c r="L1938" s="1" t="s">
        <v>11146</v>
      </c>
      <c r="M1938" s="2" t="s">
        <v>12</v>
      </c>
      <c r="N1938" s="4">
        <f t="shared" si="1"/>
        <v>44103</v>
      </c>
      <c r="O1938" s="5" t="str">
        <f>IFERROR(__xludf.DUMMYFUNCTION("IF(REGEXMATCH(TRIM(I1938), ""^\d+\s*min""), ""Unclassified"", IF(I1938 = """", ""NR"", I1938))"),"R")</f>
        <v>R</v>
      </c>
      <c r="R1938" s="5" t="str">
        <f t="shared" si="2"/>
        <v>Welcome To Sudden Death</v>
      </c>
      <c r="S1938" s="5" t="str">
        <f>IFERROR(__xludf.DUMMYFUNCTION("""COMPUTED_VALUE"""),"Designated Survivor: 60 Days")</f>
        <v>Designated Survivor: 60 Days</v>
      </c>
      <c r="U1938" s="5" t="str">
        <f>IFERROR(__xludf.DUMMYFUNCTION("""COMPUTED_VALUE"""),"Sujoy Ghosh")</f>
        <v>Sujoy Ghosh</v>
      </c>
      <c r="V1938" s="5" t="s">
        <v>5367</v>
      </c>
      <c r="W1938" s="5" t="str">
        <f t="shared" si="3"/>
        <v>Joe Wright</v>
      </c>
      <c r="X1938" s="5">
        <f t="shared" si="4"/>
        <v>1</v>
      </c>
      <c r="Y1938" s="5" t="str">
        <f>IFERROR(__xludf.DUMMYFUNCTION("REGEXEXTRACT(J1938, ""^\d+"")"),"80")</f>
        <v>80</v>
      </c>
      <c r="Z1938" s="5" t="str">
        <f>IFERROR(__xludf.DUMMYFUNCTION("REGEXEXTRACT(J1938, ""[A-Za-z ]+$"")")," min")</f>
        <v> min</v>
      </c>
      <c r="AA1938" s="5" t="str">
        <f>IFERROR(__xludf.DUMMYFUNCTION("IF(REGEXMATCH(Z1938, ""Season""), ""TV Show"", ""Movie"")"),"Movie")</f>
        <v>Movie</v>
      </c>
    </row>
    <row r="1939">
      <c r="A1939" s="1" t="s">
        <v>11147</v>
      </c>
      <c r="B1939" s="1" t="s">
        <v>27</v>
      </c>
      <c r="C1939" s="1" t="s">
        <v>11148</v>
      </c>
      <c r="D1939" s="1" t="s">
        <v>11135</v>
      </c>
      <c r="E1939" s="1" t="s">
        <v>11149</v>
      </c>
      <c r="F1939" s="1" t="s">
        <v>940</v>
      </c>
      <c r="G1939" s="1" t="s">
        <v>11150</v>
      </c>
      <c r="H1939" s="1">
        <v>2002.0</v>
      </c>
      <c r="I1939" s="1" t="s">
        <v>32</v>
      </c>
      <c r="J1939" s="1" t="s">
        <v>238</v>
      </c>
      <c r="K1939" s="1" t="s">
        <v>2892</v>
      </c>
      <c r="L1939" s="1" t="s">
        <v>11151</v>
      </c>
      <c r="M1939" s="2" t="s">
        <v>12</v>
      </c>
      <c r="N1939" s="4">
        <f t="shared" si="1"/>
        <v>44102</v>
      </c>
      <c r="O1939" s="5" t="str">
        <f>IFERROR(__xludf.DUMMYFUNCTION("IF(REGEXMATCH(TRIM(I1939), ""^\d+\s*min""), ""Unclassified"", IF(I1939 = """", ""NR"", I1939))"),"PG-13")</f>
        <v>PG-13</v>
      </c>
      <c r="R1939" s="5" t="str">
        <f t="shared" si="2"/>
        <v>Amandla! A Revolution In Four Part Harmony</v>
      </c>
      <c r="S1939" s="5" t="str">
        <f>IFERROR(__xludf.DUMMYFUNCTION("""COMPUTED_VALUE"""),"Desire")</f>
        <v>Desire</v>
      </c>
      <c r="U1939" s="5" t="str">
        <f>IFERROR(__xludf.DUMMYFUNCTION("""COMPUTED_VALUE"""),"John Asher")</f>
        <v>John Asher</v>
      </c>
      <c r="V1939" s="5" t="s">
        <v>11152</v>
      </c>
      <c r="W1939" s="5" t="str">
        <f t="shared" si="3"/>
        <v>Joel Coen, Ethan Coen</v>
      </c>
      <c r="X1939" s="5">
        <f t="shared" si="4"/>
        <v>1</v>
      </c>
      <c r="Y1939" s="5" t="str">
        <f>IFERROR(__xludf.DUMMYFUNCTION("REGEXEXTRACT(J1939, ""^\d+"")"),"103")</f>
        <v>103</v>
      </c>
      <c r="Z1939" s="5" t="str">
        <f>IFERROR(__xludf.DUMMYFUNCTION("REGEXEXTRACT(J1939, ""[A-Za-z ]+$"")")," min")</f>
        <v> min</v>
      </c>
      <c r="AA1939" s="5" t="str">
        <f>IFERROR(__xludf.DUMMYFUNCTION("IF(REGEXMATCH(Z1939, ""Season""), ""TV Show"", ""Movie"")"),"Movie")</f>
        <v>Movie</v>
      </c>
    </row>
    <row r="1940">
      <c r="A1940" s="1" t="s">
        <v>11153</v>
      </c>
      <c r="B1940" s="1" t="s">
        <v>27</v>
      </c>
      <c r="C1940" s="1" t="s">
        <v>11154</v>
      </c>
      <c r="D1940" s="1" t="s">
        <v>11155</v>
      </c>
      <c r="E1940" s="1" t="s">
        <v>11156</v>
      </c>
      <c r="F1940" s="1" t="s">
        <v>63</v>
      </c>
      <c r="G1940" s="1" t="s">
        <v>11150</v>
      </c>
      <c r="H1940" s="1">
        <v>2013.0</v>
      </c>
      <c r="I1940" s="1" t="s">
        <v>136</v>
      </c>
      <c r="J1940" s="1" t="s">
        <v>106</v>
      </c>
      <c r="K1940" s="1" t="s">
        <v>89</v>
      </c>
      <c r="L1940" s="1" t="s">
        <v>11157</v>
      </c>
      <c r="M1940" s="2" t="s">
        <v>12</v>
      </c>
      <c r="N1940" s="4">
        <f t="shared" si="1"/>
        <v>44102</v>
      </c>
      <c r="O1940" s="5" t="str">
        <f>IFERROR(__xludf.DUMMYFUNCTION("IF(REGEXMATCH(TRIM(I1940), ""^\d+\s*min""), ""Unclassified"", IF(I1940 = """", ""NR"", I1940))"),"TV-PG")</f>
        <v>TV-PG</v>
      </c>
      <c r="R1940" s="5" t="str">
        <f t="shared" si="2"/>
        <v>Ankhon Dekhi</v>
      </c>
      <c r="S1940" s="5" t="str">
        <f>IFERROR(__xludf.DUMMYFUNCTION("""COMPUTED_VALUE"""),"Desolate")</f>
        <v>Desolate</v>
      </c>
      <c r="U1940" s="5" t="str">
        <f>IFERROR(__xludf.DUMMYFUNCTION("""COMPUTED_VALUE"""),"Alex Burunova")</f>
        <v>Alex Burunova</v>
      </c>
      <c r="V1940" s="5" t="s">
        <v>11158</v>
      </c>
      <c r="W1940" s="5" t="str">
        <f t="shared" si="3"/>
        <v>Joel Crawford</v>
      </c>
      <c r="X1940" s="5">
        <f t="shared" si="4"/>
        <v>1</v>
      </c>
      <c r="Y1940" s="5" t="str">
        <f>IFERROR(__xludf.DUMMYFUNCTION("REGEXEXTRACT(J1940, ""^\d+"")"),"104")</f>
        <v>104</v>
      </c>
      <c r="Z1940" s="5" t="str">
        <f>IFERROR(__xludf.DUMMYFUNCTION("REGEXEXTRACT(J1940, ""[A-Za-z ]+$"")")," min")</f>
        <v> min</v>
      </c>
      <c r="AA1940" s="5" t="str">
        <f>IFERROR(__xludf.DUMMYFUNCTION("IF(REGEXMATCH(Z1940, ""Season""), ""TV Show"", ""Movie"")"),"Movie")</f>
        <v>Movie</v>
      </c>
    </row>
    <row r="1941">
      <c r="A1941" s="1" t="s">
        <v>11159</v>
      </c>
      <c r="B1941" s="1" t="s">
        <v>27</v>
      </c>
      <c r="C1941" s="1" t="s">
        <v>11160</v>
      </c>
      <c r="D1941" s="1" t="s">
        <v>266</v>
      </c>
      <c r="E1941" s="1" t="s">
        <v>11161</v>
      </c>
      <c r="F1941" s="1" t="s">
        <v>63</v>
      </c>
      <c r="G1941" s="1" t="s">
        <v>11150</v>
      </c>
      <c r="H1941" s="1">
        <v>2014.0</v>
      </c>
      <c r="I1941" s="1" t="s">
        <v>97</v>
      </c>
      <c r="J1941" s="1" t="s">
        <v>11162</v>
      </c>
      <c r="K1941" s="1" t="s">
        <v>583</v>
      </c>
      <c r="L1941" s="1" t="s">
        <v>11163</v>
      </c>
      <c r="M1941" s="2" t="s">
        <v>12</v>
      </c>
      <c r="N1941" s="4">
        <f t="shared" si="1"/>
        <v>44102</v>
      </c>
      <c r="O1941" s="5" t="str">
        <f>IFERROR(__xludf.DUMMYFUNCTION("IF(REGEXMATCH(TRIM(I1941), ""^\d+\s*min""), ""Unclassified"", IF(I1941 = """", ""NR"", I1941))"),"TV-14")</f>
        <v>TV-14</v>
      </c>
      <c r="R1941" s="5" t="str">
        <f t="shared" si="2"/>
        <v>Dedh Ishqiya</v>
      </c>
      <c r="S1941" s="5" t="str">
        <f>IFERROR(__xludf.DUMMYFUNCTION("""COMPUTED_VALUE"""),"Desolation")</f>
        <v>Desolation</v>
      </c>
      <c r="U1941" s="5" t="str">
        <f>IFERROR(__xludf.DUMMYFUNCTION("""COMPUTED_VALUE"""),"Jesús Torres Torres")</f>
        <v>Jesús Torres Torres</v>
      </c>
      <c r="V1941" s="5" t="s">
        <v>3631</v>
      </c>
      <c r="W1941" s="5" t="str">
        <f t="shared" si="3"/>
        <v>Joel Gallen</v>
      </c>
      <c r="X1941" s="5">
        <f t="shared" si="4"/>
        <v>1</v>
      </c>
      <c r="Y1941" s="5" t="str">
        <f>IFERROR(__xludf.DUMMYFUNCTION("REGEXEXTRACT(J1941, ""^\d+"")"),"146")</f>
        <v>146</v>
      </c>
      <c r="Z1941" s="5" t="str">
        <f>IFERROR(__xludf.DUMMYFUNCTION("REGEXEXTRACT(J1941, ""[A-Za-z ]+$"")")," min")</f>
        <v> min</v>
      </c>
      <c r="AA1941" s="5" t="str">
        <f>IFERROR(__xludf.DUMMYFUNCTION("IF(REGEXMATCH(Z1941, ""Season""), ""TV Show"", ""Movie"")"),"Movie")</f>
        <v>Movie</v>
      </c>
    </row>
    <row r="1942">
      <c r="A1942" s="1" t="s">
        <v>11164</v>
      </c>
      <c r="B1942" s="1" t="s">
        <v>27</v>
      </c>
      <c r="C1942" s="1" t="s">
        <v>11165</v>
      </c>
      <c r="D1942" s="1" t="s">
        <v>1984</v>
      </c>
      <c r="E1942" s="1" t="s">
        <v>11166</v>
      </c>
      <c r="F1942" s="1" t="s">
        <v>63</v>
      </c>
      <c r="G1942" s="1" t="s">
        <v>11150</v>
      </c>
      <c r="H1942" s="1">
        <v>2008.0</v>
      </c>
      <c r="I1942" s="1" t="s">
        <v>42</v>
      </c>
      <c r="J1942" s="1" t="s">
        <v>1369</v>
      </c>
      <c r="K1942" s="1" t="s">
        <v>230</v>
      </c>
      <c r="L1942" s="1" t="s">
        <v>11167</v>
      </c>
      <c r="M1942" s="2" t="s">
        <v>12</v>
      </c>
      <c r="N1942" s="4">
        <f t="shared" si="1"/>
        <v>44102</v>
      </c>
      <c r="O1942" s="5" t="str">
        <f>IFERROR(__xludf.DUMMYFUNCTION("IF(REGEXMATCH(TRIM(I1942), ""^\d+\s*min""), ""Unclassified"", IF(I1942 = """", ""NR"", I1942))"),"TV-MA")</f>
        <v>TV-MA</v>
      </c>
      <c r="R1942" s="5" t="str">
        <f t="shared" si="2"/>
        <v>Golmaal Returns</v>
      </c>
      <c r="S1942" s="5" t="str">
        <f>IFERROR(__xludf.DUMMYFUNCTION("""COMPUTED_VALUE"""),"Desperados")</f>
        <v>Desperados</v>
      </c>
      <c r="U1942" s="5" t="str">
        <f>IFERROR(__xludf.DUMMYFUNCTION("""COMPUTED_VALUE"""),"Camille Shooshani")</f>
        <v>Camille Shooshani</v>
      </c>
      <c r="V1942" s="5" t="s">
        <v>11168</v>
      </c>
      <c r="W1942" s="5" t="str">
        <f t="shared" si="3"/>
        <v>Joel Gallen, Tig Notaro</v>
      </c>
      <c r="X1942" s="5">
        <f t="shared" si="4"/>
        <v>1</v>
      </c>
      <c r="Y1942" s="5" t="str">
        <f>IFERROR(__xludf.DUMMYFUNCTION("REGEXEXTRACT(J1942, ""^\d+"")"),"135")</f>
        <v>135</v>
      </c>
      <c r="Z1942" s="5" t="str">
        <f>IFERROR(__xludf.DUMMYFUNCTION("REGEXEXTRACT(J1942, ""[A-Za-z ]+$"")")," min")</f>
        <v> min</v>
      </c>
      <c r="AA1942" s="5" t="str">
        <f>IFERROR(__xludf.DUMMYFUNCTION("IF(REGEXMATCH(Z1942, ""Season""), ""TV Show"", ""Movie"")"),"Movie")</f>
        <v>Movie</v>
      </c>
    </row>
    <row r="1943">
      <c r="A1943" s="1" t="s">
        <v>11169</v>
      </c>
      <c r="B1943" s="1" t="s">
        <v>27</v>
      </c>
      <c r="C1943" s="1" t="s">
        <v>11170</v>
      </c>
      <c r="D1943" s="1" t="s">
        <v>10738</v>
      </c>
      <c r="E1943" s="1" t="s">
        <v>11171</v>
      </c>
      <c r="F1943" s="1" t="s">
        <v>63</v>
      </c>
      <c r="G1943" s="1" t="s">
        <v>11150</v>
      </c>
      <c r="H1943" s="1">
        <v>2003.0</v>
      </c>
      <c r="I1943" s="1" t="s">
        <v>136</v>
      </c>
      <c r="J1943" s="1" t="s">
        <v>1273</v>
      </c>
      <c r="K1943" s="1" t="s">
        <v>230</v>
      </c>
      <c r="L1943" s="1" t="s">
        <v>11172</v>
      </c>
      <c r="M1943" s="2" t="s">
        <v>12</v>
      </c>
      <c r="N1943" s="4">
        <f t="shared" si="1"/>
        <v>44102</v>
      </c>
      <c r="O1943" s="5" t="str">
        <f>IFERROR(__xludf.DUMMYFUNCTION("IF(REGEXMATCH(TRIM(I1943), ""^\d+\s*min""), ""Unclassified"", IF(I1943 = """", ""NR"", I1943))"),"TV-PG")</f>
        <v>TV-PG</v>
      </c>
      <c r="R1943" s="5" t="str">
        <f t="shared" si="2"/>
        <v>Ishq Vishk</v>
      </c>
      <c r="S1943" s="5" t="str">
        <f>IFERROR(__xludf.DUMMYFUNCTION("""COMPUTED_VALUE"""),"Despido Procedente")</f>
        <v>Despido Procedente</v>
      </c>
      <c r="U1943" s="5" t="str">
        <f>IFERROR(__xludf.DUMMYFUNCTION("""COMPUTED_VALUE"""),"Vijay Kumar")</f>
        <v>Vijay Kumar</v>
      </c>
      <c r="V1943" s="5" t="s">
        <v>3558</v>
      </c>
      <c r="W1943" s="5" t="str">
        <f t="shared" si="3"/>
        <v>Joel Hopkins</v>
      </c>
      <c r="X1943" s="5">
        <f t="shared" si="4"/>
        <v>1</v>
      </c>
      <c r="Y1943" s="5" t="str">
        <f>IFERROR(__xludf.DUMMYFUNCTION("REGEXEXTRACT(J1943, ""^\d+"")"),"129")</f>
        <v>129</v>
      </c>
      <c r="Z1943" s="5" t="str">
        <f>IFERROR(__xludf.DUMMYFUNCTION("REGEXEXTRACT(J1943, ""[A-Za-z ]+$"")")," min")</f>
        <v> min</v>
      </c>
      <c r="AA1943" s="5" t="str">
        <f>IFERROR(__xludf.DUMMYFUNCTION("IF(REGEXMATCH(Z1943, ""Season""), ""TV Show"", ""Movie"")"),"Movie")</f>
        <v>Movie</v>
      </c>
    </row>
    <row r="1944">
      <c r="A1944" s="1" t="s">
        <v>11173</v>
      </c>
      <c r="B1944" s="1" t="s">
        <v>27</v>
      </c>
      <c r="C1944" s="1" t="s">
        <v>11174</v>
      </c>
      <c r="D1944" s="1" t="s">
        <v>266</v>
      </c>
      <c r="E1944" s="1" t="s">
        <v>11175</v>
      </c>
      <c r="F1944" s="1" t="s">
        <v>63</v>
      </c>
      <c r="G1944" s="1" t="s">
        <v>11150</v>
      </c>
      <c r="H1944" s="1">
        <v>2009.0</v>
      </c>
      <c r="I1944" s="1" t="s">
        <v>97</v>
      </c>
      <c r="J1944" s="1" t="s">
        <v>379</v>
      </c>
      <c r="K1944" s="1" t="s">
        <v>215</v>
      </c>
      <c r="L1944" s="1" t="s">
        <v>11176</v>
      </c>
      <c r="M1944" s="2" t="s">
        <v>12</v>
      </c>
      <c r="N1944" s="4">
        <f t="shared" si="1"/>
        <v>44102</v>
      </c>
      <c r="O1944" s="5" t="str">
        <f>IFERROR(__xludf.DUMMYFUNCTION("IF(REGEXMATCH(TRIM(I1944), ""^\d+\s*min""), ""Unclassified"", IF(I1944 = """", ""NR"", I1944))"),"TV-14")</f>
        <v>TV-14</v>
      </c>
      <c r="R1944" s="5" t="str">
        <f t="shared" si="2"/>
        <v>Ishqiya</v>
      </c>
      <c r="S1944" s="5" t="str">
        <f>IFERROR(__xludf.DUMMYFUNCTION("""COMPUTED_VALUE"""),"Despite Everything")</f>
        <v>Despite Everything</v>
      </c>
      <c r="U1944" s="5" t="str">
        <f>IFERROR(__xludf.DUMMYFUNCTION("""COMPUTED_VALUE"""),"Phanindra Narsetti")</f>
        <v>Phanindra Narsetti</v>
      </c>
      <c r="V1944" s="5" t="s">
        <v>11177</v>
      </c>
      <c r="W1944" s="5" t="str">
        <f t="shared" si="3"/>
        <v>Joel Oliansky</v>
      </c>
      <c r="X1944" s="5">
        <f t="shared" si="4"/>
        <v>1</v>
      </c>
      <c r="Y1944" s="5" t="str">
        <f>IFERROR(__xludf.DUMMYFUNCTION("REGEXEXTRACT(J1944, ""^\d+"")"),"115")</f>
        <v>115</v>
      </c>
      <c r="Z1944" s="5" t="str">
        <f>IFERROR(__xludf.DUMMYFUNCTION("REGEXEXTRACT(J1944, ""[A-Za-z ]+$"")")," min")</f>
        <v> min</v>
      </c>
      <c r="AA1944" s="5" t="str">
        <f>IFERROR(__xludf.DUMMYFUNCTION("IF(REGEXMATCH(Z1944, ""Season""), ""TV Show"", ""Movie"")"),"Movie")</f>
        <v>Movie</v>
      </c>
    </row>
    <row r="1945">
      <c r="A1945" s="1" t="s">
        <v>11178</v>
      </c>
      <c r="B1945" s="1" t="s">
        <v>27</v>
      </c>
      <c r="C1945" s="1" t="s">
        <v>11179</v>
      </c>
      <c r="D1945" s="1" t="s">
        <v>9609</v>
      </c>
      <c r="E1945" s="1" t="s">
        <v>11180</v>
      </c>
      <c r="F1945" s="1" t="s">
        <v>63</v>
      </c>
      <c r="G1945" s="1" t="s">
        <v>11150</v>
      </c>
      <c r="H1945" s="1">
        <v>2007.0</v>
      </c>
      <c r="I1945" s="1" t="s">
        <v>97</v>
      </c>
      <c r="J1945" s="1" t="s">
        <v>820</v>
      </c>
      <c r="K1945" s="1" t="s">
        <v>230</v>
      </c>
      <c r="L1945" s="1" t="s">
        <v>11181</v>
      </c>
      <c r="M1945" s="2" t="s">
        <v>12</v>
      </c>
      <c r="N1945" s="4">
        <f t="shared" si="1"/>
        <v>44102</v>
      </c>
      <c r="O1945" s="5" t="str">
        <f>IFERROR(__xludf.DUMMYFUNCTION("IF(REGEXMATCH(TRIM(I1945), ""^\d+\s*min""), ""Unclassified"", IF(I1945 = """", ""NR"", I1945))"),"TV-14")</f>
        <v>TV-14</v>
      </c>
      <c r="R1945" s="5" t="str">
        <f t="shared" si="2"/>
        <v>Jab We Met</v>
      </c>
      <c r="S1945" s="5" t="str">
        <f>IFERROR(__xludf.DUMMYFUNCTION("""COMPUTED_VALUE"""),"Destiny")</f>
        <v>Destiny</v>
      </c>
      <c r="U1945" s="5" t="str">
        <f>IFERROR(__xludf.DUMMYFUNCTION("""COMPUTED_VALUE"""),"Gideon Raff")</f>
        <v>Gideon Raff</v>
      </c>
      <c r="V1945" s="5" t="s">
        <v>11182</v>
      </c>
      <c r="W1945" s="5" t="str">
        <f t="shared" si="3"/>
        <v>Joel Schumacher</v>
      </c>
      <c r="X1945" s="5">
        <f t="shared" si="4"/>
        <v>1</v>
      </c>
      <c r="Y1945" s="5" t="str">
        <f>IFERROR(__xludf.DUMMYFUNCTION("REGEXEXTRACT(J1945, ""^\d+"")"),"143")</f>
        <v>143</v>
      </c>
      <c r="Z1945" s="5" t="str">
        <f>IFERROR(__xludf.DUMMYFUNCTION("REGEXEXTRACT(J1945, ""[A-Za-z ]+$"")")," min")</f>
        <v> min</v>
      </c>
      <c r="AA1945" s="5" t="str">
        <f>IFERROR(__xludf.DUMMYFUNCTION("IF(REGEXMATCH(Z1945, ""Season""), ""TV Show"", ""Movie"")"),"Movie")</f>
        <v>Movie</v>
      </c>
    </row>
    <row r="1946">
      <c r="A1946" s="1" t="s">
        <v>11183</v>
      </c>
      <c r="B1946" s="1" t="s">
        <v>27</v>
      </c>
      <c r="C1946" s="1" t="s">
        <v>11184</v>
      </c>
      <c r="D1946" s="1" t="s">
        <v>9619</v>
      </c>
      <c r="E1946" s="1" t="s">
        <v>11185</v>
      </c>
      <c r="F1946" s="1" t="s">
        <v>63</v>
      </c>
      <c r="G1946" s="1" t="s">
        <v>11150</v>
      </c>
      <c r="H1946" s="1">
        <v>1999.0</v>
      </c>
      <c r="I1946" s="1" t="s">
        <v>97</v>
      </c>
      <c r="J1946" s="1" t="s">
        <v>6683</v>
      </c>
      <c r="K1946" s="1" t="s">
        <v>679</v>
      </c>
      <c r="L1946" s="1" t="s">
        <v>11186</v>
      </c>
      <c r="M1946" s="2" t="s">
        <v>12</v>
      </c>
      <c r="N1946" s="4">
        <f t="shared" si="1"/>
        <v>44102</v>
      </c>
      <c r="O1946" s="5" t="str">
        <f>IFERROR(__xludf.DUMMYFUNCTION("IF(REGEXMATCH(TRIM(I1946), ""^\d+\s*min""), ""Unclassified"", IF(I1946 = """", ""NR"", I1946))"),"TV-14")</f>
        <v>TV-14</v>
      </c>
      <c r="R1946" s="5" t="str">
        <f t="shared" si="2"/>
        <v>Mann</v>
      </c>
      <c r="S1946" s="5" t="str">
        <f>IFERROR(__xludf.DUMMYFUNCTION("""COMPUTED_VALUE"""),"Detention")</f>
        <v>Detention</v>
      </c>
      <c r="U1946" s="5" t="str">
        <f>IFERROR(__xludf.DUMMYFUNCTION("""COMPUTED_VALUE"""),"Jorge M. Fontana")</f>
        <v>Jorge M. Fontana</v>
      </c>
      <c r="V1946" s="5" t="s">
        <v>11187</v>
      </c>
      <c r="W1946" s="5" t="str">
        <f t="shared" si="3"/>
        <v>Joey Curtis</v>
      </c>
      <c r="X1946" s="5">
        <f t="shared" si="4"/>
        <v>1</v>
      </c>
      <c r="Y1946" s="5" t="str">
        <f>IFERROR(__xludf.DUMMYFUNCTION("REGEXEXTRACT(J1946, ""^\d+"")"),"173")</f>
        <v>173</v>
      </c>
      <c r="Z1946" s="5" t="str">
        <f>IFERROR(__xludf.DUMMYFUNCTION("REGEXEXTRACT(J1946, ""[A-Za-z ]+$"")")," min")</f>
        <v> min</v>
      </c>
      <c r="AA1946" s="5" t="str">
        <f>IFERROR(__xludf.DUMMYFUNCTION("IF(REGEXMATCH(Z1946, ""Season""), ""TV Show"", ""Movie"")"),"Movie")</f>
        <v>Movie</v>
      </c>
    </row>
    <row r="1947">
      <c r="A1947" s="1" t="s">
        <v>11188</v>
      </c>
      <c r="B1947" s="1" t="s">
        <v>27</v>
      </c>
      <c r="C1947" s="1" t="s">
        <v>11189</v>
      </c>
      <c r="D1947" s="1" t="s">
        <v>11190</v>
      </c>
      <c r="E1947" s="1" t="s">
        <v>11191</v>
      </c>
      <c r="F1947" s="1" t="s">
        <v>63</v>
      </c>
      <c r="G1947" s="1" t="s">
        <v>11150</v>
      </c>
      <c r="H1947" s="1">
        <v>2007.0</v>
      </c>
      <c r="I1947" s="1" t="s">
        <v>97</v>
      </c>
      <c r="J1947" s="1" t="s">
        <v>1273</v>
      </c>
      <c r="K1947" s="1" t="s">
        <v>298</v>
      </c>
      <c r="L1947" s="1" t="s">
        <v>11192</v>
      </c>
      <c r="M1947" s="2" t="s">
        <v>12</v>
      </c>
      <c r="N1947" s="4">
        <f t="shared" si="1"/>
        <v>44102</v>
      </c>
      <c r="O1947" s="5" t="str">
        <f>IFERROR(__xludf.DUMMYFUNCTION("IF(REGEXMATCH(TRIM(I1947), ""^\d+\s*min""), ""Unclassified"", IF(I1947 = """", ""NR"", I1947))"),"TV-14")</f>
        <v>TV-14</v>
      </c>
      <c r="R1947" s="5" t="str">
        <f t="shared" si="2"/>
        <v>Manorama Six Feet Under</v>
      </c>
      <c r="S1947" s="5" t="str">
        <f>IFERROR(__xludf.DUMMYFUNCTION("""COMPUTED_VALUE"""),"Detention Letter")</f>
        <v>Detention Letter</v>
      </c>
      <c r="U1947" s="5" t="str">
        <f>IFERROR(__xludf.DUMMYFUNCTION("""COMPUTED_VALUE"""),"Olivier Afonso")</f>
        <v>Olivier Afonso</v>
      </c>
      <c r="V1947" s="5" t="s">
        <v>11193</v>
      </c>
      <c r="W1947" s="5" t="str">
        <f t="shared" si="3"/>
        <v>Joey Kern</v>
      </c>
      <c r="X1947" s="5">
        <f t="shared" si="4"/>
        <v>1</v>
      </c>
      <c r="Y1947" s="5" t="str">
        <f>IFERROR(__xludf.DUMMYFUNCTION("REGEXEXTRACT(J1947, ""^\d+"")"),"129")</f>
        <v>129</v>
      </c>
      <c r="Z1947" s="5" t="str">
        <f>IFERROR(__xludf.DUMMYFUNCTION("REGEXEXTRACT(J1947, ""[A-Za-z ]+$"")")," min")</f>
        <v> min</v>
      </c>
      <c r="AA1947" s="5" t="str">
        <f>IFERROR(__xludf.DUMMYFUNCTION("IF(REGEXMATCH(Z1947, ""Season""), ""TV Show"", ""Movie"")"),"Movie")</f>
        <v>Movie</v>
      </c>
    </row>
    <row r="1948">
      <c r="A1948" s="1" t="s">
        <v>11194</v>
      </c>
      <c r="B1948" s="1" t="s">
        <v>27</v>
      </c>
      <c r="C1948" s="1" t="s">
        <v>11195</v>
      </c>
      <c r="D1948" s="1" t="s">
        <v>2039</v>
      </c>
      <c r="E1948" s="1" t="s">
        <v>11196</v>
      </c>
      <c r="F1948" s="1" t="s">
        <v>63</v>
      </c>
      <c r="G1948" s="1" t="s">
        <v>11150</v>
      </c>
      <c r="H1948" s="1">
        <v>2007.0</v>
      </c>
      <c r="I1948" s="1" t="s">
        <v>136</v>
      </c>
      <c r="J1948" s="1" t="s">
        <v>5833</v>
      </c>
      <c r="K1948" s="1" t="s">
        <v>230</v>
      </c>
      <c r="L1948" s="1" t="s">
        <v>11197</v>
      </c>
      <c r="M1948" s="2" t="s">
        <v>12</v>
      </c>
      <c r="N1948" s="4">
        <f t="shared" si="1"/>
        <v>44102</v>
      </c>
      <c r="O1948" s="5" t="str">
        <f>IFERROR(__xludf.DUMMYFUNCTION("IF(REGEXMATCH(TRIM(I1948), ""^\d+\s*min""), ""Unclassified"", IF(I1948 = """", ""NR"", I1948))"),"TV-PG")</f>
        <v>TV-PG</v>
      </c>
      <c r="R1948" s="5" t="str">
        <f t="shared" si="2"/>
        <v>Welcome</v>
      </c>
      <c r="S1948" s="5" t="str">
        <f>IFERROR(__xludf.DUMMYFUNCTION("""COMPUTED_VALUE"""),"Detour")</f>
        <v>Detour</v>
      </c>
      <c r="U1948" s="5" t="str">
        <f>IFERROR(__xludf.DUMMYFUNCTION("""COMPUTED_VALUE"""),"Karim Amer, Jehane Noujaim")</f>
        <v>Karim Amer, Jehane Noujaim</v>
      </c>
      <c r="V1948" s="5" t="s">
        <v>11198</v>
      </c>
      <c r="W1948" s="5" t="str">
        <f t="shared" si="3"/>
        <v>Joey So</v>
      </c>
      <c r="X1948" s="5">
        <f t="shared" si="4"/>
        <v>6</v>
      </c>
      <c r="Y1948" s="5" t="str">
        <f>IFERROR(__xludf.DUMMYFUNCTION("REGEXEXTRACT(J1948, ""^\d+"")"),"149")</f>
        <v>149</v>
      </c>
      <c r="Z1948" s="5" t="str">
        <f>IFERROR(__xludf.DUMMYFUNCTION("REGEXEXTRACT(J1948, ""[A-Za-z ]+$"")")," min")</f>
        <v> min</v>
      </c>
      <c r="AA1948" s="5" t="str">
        <f>IFERROR(__xludf.DUMMYFUNCTION("IF(REGEXMATCH(Z1948, ""Season""), ""TV Show"", ""Movie"")"),"Movie")</f>
        <v>Movie</v>
      </c>
    </row>
    <row r="1949">
      <c r="A1949" s="1" t="s">
        <v>11199</v>
      </c>
      <c r="B1949" s="1" t="s">
        <v>37</v>
      </c>
      <c r="C1949" s="1" t="s">
        <v>11200</v>
      </c>
      <c r="F1949" s="1" t="s">
        <v>30</v>
      </c>
      <c r="G1949" s="1" t="s">
        <v>11150</v>
      </c>
      <c r="H1949" s="1">
        <v>2020.0</v>
      </c>
      <c r="I1949" s="1" t="s">
        <v>136</v>
      </c>
      <c r="J1949" s="1" t="s">
        <v>51</v>
      </c>
      <c r="K1949" s="1" t="s">
        <v>1261</v>
      </c>
      <c r="L1949" s="1" t="s">
        <v>11201</v>
      </c>
      <c r="M1949" s="2" t="s">
        <v>12</v>
      </c>
      <c r="N1949" s="4">
        <f t="shared" si="1"/>
        <v>44102</v>
      </c>
      <c r="O1949" s="5" t="str">
        <f>IFERROR(__xludf.DUMMYFUNCTION("IF(REGEXMATCH(TRIM(I1949), ""^\d+\s*min""), ""Unclassified"", IF(I1949 = """", ""NR"", I1949))"),"TV-PG")</f>
        <v>TV-PG</v>
      </c>
      <c r="R1949" s="5" t="str">
        <f t="shared" si="2"/>
        <v>Whose Vote Counts, Explained</v>
      </c>
      <c r="S1949" s="5" t="str">
        <f>IFERROR(__xludf.DUMMYFUNCTION("""COMPUTED_VALUE"""),"Deuces")</f>
        <v>Deuces</v>
      </c>
      <c r="U1949" s="5" t="str">
        <f>IFERROR(__xludf.DUMMYFUNCTION("""COMPUTED_VALUE"""),"Jay Chapman")</f>
        <v>Jay Chapman</v>
      </c>
      <c r="V1949" s="5" t="s">
        <v>11202</v>
      </c>
      <c r="W1949" s="5" t="str">
        <f t="shared" si="3"/>
        <v>Johan Brisinger</v>
      </c>
      <c r="X1949" s="5">
        <f t="shared" si="4"/>
        <v>1</v>
      </c>
      <c r="Y1949" s="5" t="str">
        <f>IFERROR(__xludf.DUMMYFUNCTION("REGEXEXTRACT(J1949, ""^\d+"")"),"1")</f>
        <v>1</v>
      </c>
      <c r="Z1949" s="5" t="str">
        <f>IFERROR(__xludf.DUMMYFUNCTION("REGEXEXTRACT(J1949, ""[A-Za-z ]+$"")")," Season")</f>
        <v> Season</v>
      </c>
      <c r="AA1949" s="5" t="str">
        <f>IFERROR(__xludf.DUMMYFUNCTION("IF(REGEXMATCH(Z1949, ""Season""), ""TV Show"", ""Movie"")"),"TV Show")</f>
        <v>TV Show</v>
      </c>
    </row>
    <row r="1950">
      <c r="A1950" s="1" t="s">
        <v>11203</v>
      </c>
      <c r="B1950" s="1" t="s">
        <v>37</v>
      </c>
      <c r="C1950" s="1" t="s">
        <v>11204</v>
      </c>
      <c r="E1950" s="1" t="s">
        <v>11205</v>
      </c>
      <c r="F1950" s="1" t="s">
        <v>30</v>
      </c>
      <c r="G1950" s="1" t="s">
        <v>11206</v>
      </c>
      <c r="H1950" s="1">
        <v>2019.0</v>
      </c>
      <c r="I1950" s="1" t="s">
        <v>42</v>
      </c>
      <c r="J1950" s="1" t="s">
        <v>148</v>
      </c>
      <c r="K1950" s="1" t="s">
        <v>190</v>
      </c>
      <c r="L1950" s="1" t="s">
        <v>11207</v>
      </c>
      <c r="M1950" s="2" t="s">
        <v>12</v>
      </c>
      <c r="N1950" s="4">
        <f t="shared" si="1"/>
        <v>44101</v>
      </c>
      <c r="O1950" s="5" t="str">
        <f>IFERROR(__xludf.DUMMYFUNCTION("IF(REGEXMATCH(TRIM(I1950), ""^\d+\s*min""), ""Unclassified"", IF(I1950 = """", ""NR"", I1950))"),"TV-MA")</f>
        <v>TV-MA</v>
      </c>
      <c r="R1950" s="5" t="str">
        <f t="shared" si="2"/>
        <v>Van Helsing</v>
      </c>
      <c r="S1950" s="5" t="str">
        <f>IFERROR(__xludf.DUMMYFUNCTION("""COMPUTED_VALUE"""),"Dev.D")</f>
        <v>Dev.D</v>
      </c>
      <c r="U1950" s="5" t="str">
        <f>IFERROR(__xludf.DUMMYFUNCTION("""COMPUTED_VALUE"""),"Jay Karas, Demetri Martin")</f>
        <v>Jay Karas, Demetri Martin</v>
      </c>
      <c r="V1950" s="5" t="s">
        <v>2749</v>
      </c>
      <c r="W1950" s="5" t="str">
        <f t="shared" si="3"/>
        <v>Johane Matte, Andrew L. Schmidt, Francisco Ruiz Velasco</v>
      </c>
      <c r="X1950" s="5">
        <f t="shared" si="4"/>
        <v>1</v>
      </c>
      <c r="Y1950" s="5" t="str">
        <f>IFERROR(__xludf.DUMMYFUNCTION("REGEXEXTRACT(J1950, ""^\d+"")"),"4")</f>
        <v>4</v>
      </c>
      <c r="Z1950" s="5" t="str">
        <f>IFERROR(__xludf.DUMMYFUNCTION("REGEXEXTRACT(J1950, ""[A-Za-z ]+$"")")," Seasons")</f>
        <v> Seasons</v>
      </c>
      <c r="AA1950" s="5" t="str">
        <f>IFERROR(__xludf.DUMMYFUNCTION("IF(REGEXMATCH(Z1950, ""Season""), ""TV Show"", ""Movie"")"),"TV Show")</f>
        <v>TV Show</v>
      </c>
    </row>
    <row r="1951">
      <c r="A1951" s="1" t="s">
        <v>11208</v>
      </c>
      <c r="B1951" s="1" t="s">
        <v>37</v>
      </c>
      <c r="C1951" s="1" t="s">
        <v>11209</v>
      </c>
      <c r="E1951" s="1" t="s">
        <v>11210</v>
      </c>
      <c r="F1951" s="1" t="s">
        <v>30</v>
      </c>
      <c r="G1951" s="1" t="s">
        <v>11211</v>
      </c>
      <c r="H1951" s="1">
        <v>2020.0</v>
      </c>
      <c r="I1951" s="1" t="s">
        <v>97</v>
      </c>
      <c r="J1951" s="1" t="s">
        <v>148</v>
      </c>
      <c r="K1951" s="1" t="s">
        <v>270</v>
      </c>
      <c r="L1951" s="1" t="s">
        <v>11212</v>
      </c>
      <c r="M1951" s="2" t="s">
        <v>12</v>
      </c>
      <c r="N1951" s="4">
        <f t="shared" si="1"/>
        <v>44100</v>
      </c>
      <c r="O1951" s="5" t="str">
        <f>IFERROR(__xludf.DUMMYFUNCTION("IF(REGEXMATCH(TRIM(I1951), ""^\d+\s*min""), ""Unclassified"", IF(I1951 = """", ""NR"", I1951))"),"TV-14")</f>
        <v>TV-14</v>
      </c>
      <c r="R1951" s="5" t="str">
        <f t="shared" si="2"/>
        <v>The Good Place</v>
      </c>
      <c r="S1951" s="5" t="str">
        <f>IFERROR(__xludf.DUMMYFUNCTION("""COMPUTED_VALUE"""),"Deviant Love")</f>
        <v>Deviant Love</v>
      </c>
      <c r="U1951" s="5" t="str">
        <f>IFERROR(__xludf.DUMMYFUNCTION("""COMPUTED_VALUE"""),"Dante Lam")</f>
        <v>Dante Lam</v>
      </c>
      <c r="V1951" s="5" t="s">
        <v>11213</v>
      </c>
      <c r="W1951" s="5" t="str">
        <f t="shared" si="3"/>
        <v>Johanna Demetrakas</v>
      </c>
      <c r="X1951" s="5">
        <f t="shared" si="4"/>
        <v>1</v>
      </c>
      <c r="Y1951" s="5" t="str">
        <f>IFERROR(__xludf.DUMMYFUNCTION("REGEXEXTRACT(J1951, ""^\d+"")"),"4")</f>
        <v>4</v>
      </c>
      <c r="Z1951" s="5" t="str">
        <f>IFERROR(__xludf.DUMMYFUNCTION("REGEXEXTRACT(J1951, ""[A-Za-z ]+$"")")," Seasons")</f>
        <v> Seasons</v>
      </c>
      <c r="AA1951" s="5" t="str">
        <f>IFERROR(__xludf.DUMMYFUNCTION("IF(REGEXMATCH(Z1951, ""Season""), ""TV Show"", ""Movie"")"),"TV Show")</f>
        <v>TV Show</v>
      </c>
    </row>
    <row r="1952">
      <c r="A1952" s="1" t="s">
        <v>11214</v>
      </c>
      <c r="B1952" s="1" t="s">
        <v>27</v>
      </c>
      <c r="C1952" s="1" t="s">
        <v>11215</v>
      </c>
      <c r="D1952" s="1" t="s">
        <v>11216</v>
      </c>
      <c r="E1952" s="1" t="s">
        <v>11217</v>
      </c>
      <c r="F1952" s="1" t="s">
        <v>63</v>
      </c>
      <c r="G1952" s="1" t="s">
        <v>11211</v>
      </c>
      <c r="H1952" s="1">
        <v>2015.0</v>
      </c>
      <c r="I1952" s="1" t="s">
        <v>97</v>
      </c>
      <c r="J1952" s="1" t="s">
        <v>357</v>
      </c>
      <c r="K1952" s="1" t="s">
        <v>89</v>
      </c>
      <c r="L1952" s="1" t="s">
        <v>11218</v>
      </c>
      <c r="M1952" s="2" t="s">
        <v>12</v>
      </c>
      <c r="N1952" s="4">
        <f t="shared" si="1"/>
        <v>44100</v>
      </c>
      <c r="O1952" s="5" t="str">
        <f>IFERROR(__xludf.DUMMYFUNCTION("IF(REGEXMATCH(TRIM(I1952), ""^\d+\s*min""), ""Unclassified"", IF(I1952 = """", ""NR"", I1952))"),"TV-14")</f>
        <v>TV-14</v>
      </c>
      <c r="R1952" s="5" t="str">
        <f t="shared" si="2"/>
        <v>Time Out</v>
      </c>
      <c r="S1952" s="5" t="str">
        <f>IFERROR(__xludf.DUMMYFUNCTION("""COMPUTED_VALUE"""),"Devil'S Bride")</f>
        <v>Devil'S Bride</v>
      </c>
      <c r="U1952" s="5" t="str">
        <f>IFERROR(__xludf.DUMMYFUNCTION("""COMPUTED_VALUE"""),"Chi Keung Fung")</f>
        <v>Chi Keung Fung</v>
      </c>
      <c r="V1952" s="5" t="s">
        <v>5771</v>
      </c>
      <c r="W1952" s="5" t="str">
        <f t="shared" si="3"/>
        <v>Johannes Roberts</v>
      </c>
      <c r="X1952" s="5">
        <f t="shared" si="4"/>
        <v>2</v>
      </c>
      <c r="Y1952" s="5" t="str">
        <f>IFERROR(__xludf.DUMMYFUNCTION("REGEXEXTRACT(J1952, ""^\d+"")"),"98")</f>
        <v>98</v>
      </c>
      <c r="Z1952" s="5" t="str">
        <f>IFERROR(__xludf.DUMMYFUNCTION("REGEXEXTRACT(J1952, ""[A-Za-z ]+$"")")," min")</f>
        <v> min</v>
      </c>
      <c r="AA1952" s="5" t="str">
        <f>IFERROR(__xludf.DUMMYFUNCTION("IF(REGEXMATCH(Z1952, ""Season""), ""TV Show"", ""Movie"")"),"Movie")</f>
        <v>Movie</v>
      </c>
    </row>
    <row r="1953">
      <c r="A1953" s="1" t="s">
        <v>11219</v>
      </c>
      <c r="B1953" s="1" t="s">
        <v>37</v>
      </c>
      <c r="C1953" s="1" t="s">
        <v>11220</v>
      </c>
      <c r="F1953" s="1" t="s">
        <v>2492</v>
      </c>
      <c r="G1953" s="1" t="s">
        <v>11221</v>
      </c>
      <c r="H1953" s="1">
        <v>2020.0</v>
      </c>
      <c r="I1953" s="1" t="s">
        <v>97</v>
      </c>
      <c r="J1953" s="1" t="s">
        <v>51</v>
      </c>
      <c r="K1953" s="1" t="s">
        <v>112</v>
      </c>
      <c r="L1953" s="1" t="s">
        <v>11222</v>
      </c>
      <c r="M1953" s="2" t="s">
        <v>12</v>
      </c>
      <c r="N1953" s="4">
        <f t="shared" si="1"/>
        <v>44099</v>
      </c>
      <c r="O1953" s="5" t="str">
        <f>IFERROR(__xludf.DUMMYFUNCTION("IF(REGEXMATCH(TRIM(I1953), ""^\d+\s*min""), ""Unclassified"", IF(I1953 = """", ""NR"", I1953))"),"TV-14")</f>
        <v>TV-14</v>
      </c>
      <c r="R1953" s="5" t="str">
        <f t="shared" si="2"/>
        <v>A Perfect Crime</v>
      </c>
      <c r="S1953" s="5" t="str">
        <f>IFERROR(__xludf.DUMMYFUNCTION("""COMPUTED_VALUE"""),"Devil'S Gate")</f>
        <v>Devil'S Gate</v>
      </c>
      <c r="U1953" s="5" t="str">
        <f>IFERROR(__xludf.DUMMYFUNCTION("""COMPUTED_VALUE"""),"Corey Yuen, Patrick Leung")</f>
        <v>Corey Yuen, Patrick Leung</v>
      </c>
      <c r="V1953" s="5" t="s">
        <v>11223</v>
      </c>
      <c r="W1953" s="5" t="str">
        <f t="shared" si="3"/>
        <v>John A. Davis</v>
      </c>
      <c r="X1953" s="5">
        <f t="shared" si="4"/>
        <v>1</v>
      </c>
      <c r="Y1953" s="5" t="str">
        <f>IFERROR(__xludf.DUMMYFUNCTION("REGEXEXTRACT(J1953, ""^\d+"")"),"1")</f>
        <v>1</v>
      </c>
      <c r="Z1953" s="5" t="str">
        <f>IFERROR(__xludf.DUMMYFUNCTION("REGEXEXTRACT(J1953, ""[A-Za-z ]+$"")")," Season")</f>
        <v> Season</v>
      </c>
      <c r="AA1953" s="5" t="str">
        <f>IFERROR(__xludf.DUMMYFUNCTION("IF(REGEXMATCH(Z1953, ""Season""), ""TV Show"", ""Movie"")"),"TV Show")</f>
        <v>TV Show</v>
      </c>
    </row>
    <row r="1954">
      <c r="A1954" s="1" t="s">
        <v>11224</v>
      </c>
      <c r="B1954" s="1" t="s">
        <v>37</v>
      </c>
      <c r="C1954" s="1" t="s">
        <v>11225</v>
      </c>
      <c r="G1954" s="1" t="s">
        <v>11221</v>
      </c>
      <c r="H1954" s="1">
        <v>2020.0</v>
      </c>
      <c r="I1954" s="1" t="s">
        <v>206</v>
      </c>
      <c r="J1954" s="1" t="s">
        <v>276</v>
      </c>
      <c r="K1954" s="1" t="s">
        <v>314</v>
      </c>
      <c r="L1954" s="1" t="s">
        <v>11226</v>
      </c>
      <c r="M1954" s="2" t="s">
        <v>12</v>
      </c>
      <c r="N1954" s="4">
        <f t="shared" si="1"/>
        <v>44099</v>
      </c>
      <c r="O1954" s="5" t="str">
        <f>IFERROR(__xludf.DUMMYFUNCTION("IF(REGEXMATCH(TRIM(I1954), ""^\d+\s*min""), ""Unclassified"", IF(I1954 = """", ""NR"", I1954))"),"TV-Y")</f>
        <v>TV-Y</v>
      </c>
      <c r="R1954" s="5" t="str">
        <f t="shared" si="2"/>
        <v>Mighty Little Bheem</v>
      </c>
      <c r="S1954" s="5" t="str">
        <f>IFERROR(__xludf.DUMMYFUNCTION("""COMPUTED_VALUE"""),"Devilman Crybaby")</f>
        <v>Devilman Crybaby</v>
      </c>
      <c r="U1954" s="5" t="str">
        <f>IFERROR(__xludf.DUMMYFUNCTION("""COMPUTED_VALUE"""),"To-Hoi Kong")</f>
        <v>To-Hoi Kong</v>
      </c>
      <c r="V1954" s="5" t="s">
        <v>11227</v>
      </c>
      <c r="W1954" s="5" t="str">
        <f t="shared" si="3"/>
        <v>John Asher</v>
      </c>
      <c r="X1954" s="5">
        <f t="shared" si="4"/>
        <v>3</v>
      </c>
      <c r="Y1954" s="5" t="str">
        <f>IFERROR(__xludf.DUMMYFUNCTION("REGEXEXTRACT(J1954, ""^\d+"")"),"3")</f>
        <v>3</v>
      </c>
      <c r="Z1954" s="5" t="str">
        <f>IFERROR(__xludf.DUMMYFUNCTION("REGEXEXTRACT(J1954, ""[A-Za-z ]+$"")")," Seasons")</f>
        <v> Seasons</v>
      </c>
      <c r="AA1954" s="5" t="str">
        <f>IFERROR(__xludf.DUMMYFUNCTION("IF(REGEXMATCH(Z1954, ""Season""), ""TV Show"", ""Movie"")"),"TV Show")</f>
        <v>TV Show</v>
      </c>
    </row>
    <row r="1955">
      <c r="A1955" s="1" t="s">
        <v>11228</v>
      </c>
      <c r="B1955" s="1" t="s">
        <v>27</v>
      </c>
      <c r="C1955" s="1" t="s">
        <v>11229</v>
      </c>
      <c r="D1955" s="1" t="s">
        <v>5851</v>
      </c>
      <c r="E1955" s="1" t="s">
        <v>11230</v>
      </c>
      <c r="G1955" s="1" t="s">
        <v>11221</v>
      </c>
      <c r="H1955" s="1">
        <v>2016.0</v>
      </c>
      <c r="I1955" s="1" t="s">
        <v>42</v>
      </c>
      <c r="J1955" s="1" t="s">
        <v>379</v>
      </c>
      <c r="K1955" s="1" t="s">
        <v>128</v>
      </c>
      <c r="L1955" s="1" t="s">
        <v>11231</v>
      </c>
      <c r="M1955" s="2" t="s">
        <v>12</v>
      </c>
      <c r="N1955" s="4">
        <f t="shared" si="1"/>
        <v>44099</v>
      </c>
      <c r="O1955" s="5" t="str">
        <f>IFERROR(__xludf.DUMMYFUNCTION("IF(REGEXMATCH(TRIM(I1955), ""^\d+\s*min""), ""Unclassified"", IF(I1955 = """", ""NR"", I1955))"),"TV-MA")</f>
        <v>TV-MA</v>
      </c>
      <c r="R1955" s="5" t="str">
        <f t="shared" si="2"/>
        <v>My Mother'S Wound</v>
      </c>
      <c r="S1955" s="5" t="str">
        <f>IFERROR(__xludf.DUMMYFUNCTION("""COMPUTED_VALUE"""),"Devlok With Devdutt Pattanaik")</f>
        <v>Devlok With Devdutt Pattanaik</v>
      </c>
      <c r="U1955" s="5" t="str">
        <f>IFERROR(__xludf.DUMMYFUNCTION("""COMPUTED_VALUE"""),"Frank Ariza")</f>
        <v>Frank Ariza</v>
      </c>
      <c r="V1955" s="5" t="s">
        <v>11232</v>
      </c>
      <c r="W1955" s="5" t="str">
        <f t="shared" si="3"/>
        <v>John Banas</v>
      </c>
      <c r="X1955" s="5">
        <f t="shared" si="4"/>
        <v>1</v>
      </c>
      <c r="Y1955" s="5" t="str">
        <f>IFERROR(__xludf.DUMMYFUNCTION("REGEXEXTRACT(J1955, ""^\d+"")"),"115")</f>
        <v>115</v>
      </c>
      <c r="Z1955" s="5" t="str">
        <f>IFERROR(__xludf.DUMMYFUNCTION("REGEXEXTRACT(J1955, ""[A-Za-z ]+$"")")," min")</f>
        <v> min</v>
      </c>
      <c r="AA1955" s="5" t="str">
        <f>IFERROR(__xludf.DUMMYFUNCTION("IF(REGEXMATCH(Z1955, ""Season""), ""TV Show"", ""Movie"")"),"Movie")</f>
        <v>Movie</v>
      </c>
    </row>
    <row r="1956">
      <c r="A1956" s="1" t="s">
        <v>11233</v>
      </c>
      <c r="B1956" s="1" t="s">
        <v>37</v>
      </c>
      <c r="C1956" s="1" t="s">
        <v>11234</v>
      </c>
      <c r="E1956" s="1" t="s">
        <v>11235</v>
      </c>
      <c r="F1956" s="1" t="s">
        <v>30</v>
      </c>
      <c r="G1956" s="1" t="s">
        <v>11221</v>
      </c>
      <c r="H1956" s="1">
        <v>2020.0</v>
      </c>
      <c r="I1956" s="1" t="s">
        <v>42</v>
      </c>
      <c r="J1956" s="1" t="s">
        <v>51</v>
      </c>
      <c r="K1956" s="1" t="s">
        <v>270</v>
      </c>
      <c r="L1956" s="1" t="s">
        <v>11236</v>
      </c>
      <c r="M1956" s="2" t="s">
        <v>12</v>
      </c>
      <c r="N1956" s="4">
        <f t="shared" si="1"/>
        <v>44099</v>
      </c>
      <c r="O1956" s="5" t="str">
        <f>IFERROR(__xludf.DUMMYFUNCTION("IF(REGEXMATCH(TRIM(I1956), ""^\d+\s*min""), ""Unclassified"", IF(I1956 = """", ""NR"", I1956))"),"TV-MA")</f>
        <v>TV-MA</v>
      </c>
      <c r="R1956" s="5" t="str">
        <f t="shared" si="2"/>
        <v>Sneakerheads</v>
      </c>
      <c r="S1956" s="5" t="str">
        <f>IFERROR(__xludf.DUMMYFUNCTION("""COMPUTED_VALUE"""),"Devrai")</f>
        <v>Devrai</v>
      </c>
      <c r="U1956" s="5" t="str">
        <f>IFERROR(__xludf.DUMMYFUNCTION("""COMPUTED_VALUE"""),"Jerry Seinfeld")</f>
        <v>Jerry Seinfeld</v>
      </c>
      <c r="V1956" s="5" t="s">
        <v>11237</v>
      </c>
      <c r="W1956" s="5" t="str">
        <f t="shared" si="3"/>
        <v>John Barnard</v>
      </c>
      <c r="X1956" s="5">
        <f t="shared" si="4"/>
        <v>1</v>
      </c>
      <c r="Y1956" s="5" t="str">
        <f>IFERROR(__xludf.DUMMYFUNCTION("REGEXEXTRACT(J1956, ""^\d+"")"),"1")</f>
        <v>1</v>
      </c>
      <c r="Z1956" s="5" t="str">
        <f>IFERROR(__xludf.DUMMYFUNCTION("REGEXEXTRACT(J1956, ""[A-Za-z ]+$"")")," Season")</f>
        <v> Season</v>
      </c>
      <c r="AA1956" s="5" t="str">
        <f>IFERROR(__xludf.DUMMYFUNCTION("IF(REGEXMATCH(Z1956, ""Season""), ""TV Show"", ""Movie"")"),"TV Show")</f>
        <v>TV Show</v>
      </c>
    </row>
    <row r="1957">
      <c r="A1957" s="1" t="s">
        <v>11238</v>
      </c>
      <c r="B1957" s="1" t="s">
        <v>37</v>
      </c>
      <c r="C1957" s="1" t="s">
        <v>11239</v>
      </c>
      <c r="E1957" s="1" t="s">
        <v>11240</v>
      </c>
      <c r="F1957" s="1" t="s">
        <v>749</v>
      </c>
      <c r="G1957" s="1" t="s">
        <v>11221</v>
      </c>
      <c r="H1957" s="1">
        <v>2020.0</v>
      </c>
      <c r="I1957" s="1" t="s">
        <v>42</v>
      </c>
      <c r="J1957" s="1" t="s">
        <v>51</v>
      </c>
      <c r="K1957" s="1" t="s">
        <v>44</v>
      </c>
      <c r="L1957" s="1" t="s">
        <v>11241</v>
      </c>
      <c r="M1957" s="2" t="s">
        <v>12</v>
      </c>
      <c r="N1957" s="4">
        <f t="shared" si="1"/>
        <v>44099</v>
      </c>
      <c r="O1957" s="5" t="str">
        <f>IFERROR(__xludf.DUMMYFUNCTION("IF(REGEXMATCH(TRIM(I1957), ""^\d+\s*min""), ""Unclassified"", IF(I1957 = """", ""NR"", I1957))"),"TV-MA")</f>
        <v>TV-MA</v>
      </c>
      <c r="R1957" s="5" t="str">
        <f t="shared" si="2"/>
        <v>The School Nurse Files</v>
      </c>
      <c r="S1957" s="5" t="str">
        <f>IFERROR(__xludf.DUMMYFUNCTION("""COMPUTED_VALUE"""),"Dexter")</f>
        <v>Dexter</v>
      </c>
      <c r="U1957" s="5" t="str">
        <f>IFERROR(__xludf.DUMMYFUNCTION("""COMPUTED_VALUE"""),"Aditya Sarpotdar")</f>
        <v>Aditya Sarpotdar</v>
      </c>
      <c r="V1957" s="5" t="s">
        <v>11242</v>
      </c>
      <c r="W1957" s="5" t="str">
        <f t="shared" si="3"/>
        <v>John Bridcut</v>
      </c>
      <c r="X1957" s="5">
        <f t="shared" si="4"/>
        <v>1</v>
      </c>
      <c r="Y1957" s="5" t="str">
        <f>IFERROR(__xludf.DUMMYFUNCTION("REGEXEXTRACT(J1957, ""^\d+"")"),"1")</f>
        <v>1</v>
      </c>
      <c r="Z1957" s="5" t="str">
        <f>IFERROR(__xludf.DUMMYFUNCTION("REGEXEXTRACT(J1957, ""[A-Za-z ]+$"")")," Season")</f>
        <v> Season</v>
      </c>
      <c r="AA1957" s="5" t="str">
        <f>IFERROR(__xludf.DUMMYFUNCTION("IF(REGEXMATCH(Z1957, ""Season""), ""TV Show"", ""Movie"")"),"TV Show")</f>
        <v>TV Show</v>
      </c>
    </row>
    <row r="1958">
      <c r="A1958" s="1" t="s">
        <v>11243</v>
      </c>
      <c r="B1958" s="1" t="s">
        <v>27</v>
      </c>
      <c r="C1958" s="1" t="s">
        <v>11244</v>
      </c>
      <c r="E1958" s="1" t="s">
        <v>11245</v>
      </c>
      <c r="G1958" s="1" t="s">
        <v>11221</v>
      </c>
      <c r="H1958" s="1">
        <v>2019.0</v>
      </c>
      <c r="I1958" s="1" t="s">
        <v>42</v>
      </c>
      <c r="J1958" s="1" t="s">
        <v>10890</v>
      </c>
      <c r="K1958" s="1" t="s">
        <v>2892</v>
      </c>
      <c r="L1958" s="1" t="s">
        <v>11246</v>
      </c>
      <c r="M1958" s="2" t="s">
        <v>12</v>
      </c>
      <c r="N1958" s="4">
        <f t="shared" si="1"/>
        <v>44099</v>
      </c>
      <c r="O1958" s="5" t="str">
        <f>IFERROR(__xludf.DUMMYFUNCTION("IF(REGEXMATCH(TRIM(I1958), ""^\d+\s*min""), ""Unclassified"", IF(I1958 = """", ""NR"", I1958))"),"TV-MA")</f>
        <v>TV-MA</v>
      </c>
      <c r="R1958" s="5" t="str">
        <f t="shared" si="2"/>
        <v>Zulu Man In Japan</v>
      </c>
      <c r="S1958" s="5" t="str">
        <f>IFERROR(__xludf.DUMMYFUNCTION("""COMPUTED_VALUE"""),"Dhamaal")</f>
        <v>Dhamaal</v>
      </c>
      <c r="U1958" s="5" t="str">
        <f>IFERROR(__xludf.DUMMYFUNCTION("""COMPUTED_VALUE"""),"Nisheeta Keni")</f>
        <v>Nisheeta Keni</v>
      </c>
      <c r="V1958" s="5" t="s">
        <v>11247</v>
      </c>
      <c r="W1958" s="5" t="str">
        <f t="shared" si="3"/>
        <v>John Butler</v>
      </c>
      <c r="X1958" s="5">
        <f t="shared" si="4"/>
        <v>1</v>
      </c>
      <c r="Y1958" s="5" t="str">
        <f>IFERROR(__xludf.DUMMYFUNCTION("REGEXEXTRACT(J1958, ""^\d+"")"),"44")</f>
        <v>44</v>
      </c>
      <c r="Z1958" s="5" t="str">
        <f>IFERROR(__xludf.DUMMYFUNCTION("REGEXEXTRACT(J1958, ""[A-Za-z ]+$"")")," min")</f>
        <v> min</v>
      </c>
      <c r="AA1958" s="5" t="str">
        <f>IFERROR(__xludf.DUMMYFUNCTION("IF(REGEXMATCH(Z1958, ""Season""), ""TV Show"", ""Movie"")"),"Movie")</f>
        <v>Movie</v>
      </c>
    </row>
    <row r="1959">
      <c r="A1959" s="1" t="s">
        <v>11248</v>
      </c>
      <c r="B1959" s="1" t="s">
        <v>27</v>
      </c>
      <c r="C1959" s="1" t="s">
        <v>11249</v>
      </c>
      <c r="D1959" s="1" t="s">
        <v>11250</v>
      </c>
      <c r="E1959" s="1" t="s">
        <v>11251</v>
      </c>
      <c r="F1959" s="1" t="s">
        <v>4497</v>
      </c>
      <c r="G1959" s="1" t="s">
        <v>11252</v>
      </c>
      <c r="H1959" s="1">
        <v>2011.0</v>
      </c>
      <c r="I1959" s="1" t="s">
        <v>32</v>
      </c>
      <c r="J1959" s="1" t="s">
        <v>127</v>
      </c>
      <c r="K1959" s="1" t="s">
        <v>11253</v>
      </c>
      <c r="L1959" s="1" t="s">
        <v>11254</v>
      </c>
      <c r="M1959" s="2" t="s">
        <v>12</v>
      </c>
      <c r="N1959" s="4">
        <f t="shared" si="1"/>
        <v>44098</v>
      </c>
      <c r="O1959" s="5" t="str">
        <f>IFERROR(__xludf.DUMMYFUNCTION("IF(REGEXMATCH(TRIM(I1959), ""^\d+\s*min""), ""Unclassified"", IF(I1959 = """", ""NR"", I1959))"),"PG-13")</f>
        <v>PG-13</v>
      </c>
      <c r="R1959" s="5" t="str">
        <f t="shared" si="2"/>
        <v>Real Steel</v>
      </c>
      <c r="S1959" s="5" t="str">
        <f>IFERROR(__xludf.DUMMYFUNCTION("""COMPUTED_VALUE"""),"Dhan Dhana Dhan Goal")</f>
        <v>Dhan Dhana Dhan Goal</v>
      </c>
      <c r="U1959" s="5" t="str">
        <f>IFERROR(__xludf.DUMMYFUNCTION("""COMPUTED_VALUE"""),"Daniel Gray Longino")</f>
        <v>Daniel Gray Longino</v>
      </c>
      <c r="V1959" s="5" t="s">
        <v>11255</v>
      </c>
      <c r="W1959" s="5" t="str">
        <f t="shared" si="3"/>
        <v>John Carchietta</v>
      </c>
      <c r="X1959" s="5">
        <f t="shared" si="4"/>
        <v>1</v>
      </c>
      <c r="Y1959" s="5" t="str">
        <f>IFERROR(__xludf.DUMMYFUNCTION("REGEXEXTRACT(J1959, ""^\d+"")"),"127")</f>
        <v>127</v>
      </c>
      <c r="Z1959" s="5" t="str">
        <f>IFERROR(__xludf.DUMMYFUNCTION("REGEXEXTRACT(J1959, ""[A-Za-z ]+$"")")," min")</f>
        <v> min</v>
      </c>
      <c r="AA1959" s="5" t="str">
        <f>IFERROR(__xludf.DUMMYFUNCTION("IF(REGEXMATCH(Z1959, ""Season""), ""TV Show"", ""Movie"")"),"Movie")</f>
        <v>Movie</v>
      </c>
    </row>
    <row r="1960">
      <c r="A1960" s="1" t="s">
        <v>11256</v>
      </c>
      <c r="B1960" s="1" t="s">
        <v>37</v>
      </c>
      <c r="C1960" s="1" t="s">
        <v>11257</v>
      </c>
      <c r="E1960" s="1" t="s">
        <v>11258</v>
      </c>
      <c r="F1960" s="1" t="s">
        <v>30</v>
      </c>
      <c r="G1960" s="1" t="s">
        <v>11252</v>
      </c>
      <c r="H1960" s="1">
        <v>2020.0</v>
      </c>
      <c r="I1960" s="1" t="s">
        <v>42</v>
      </c>
      <c r="J1960" s="1" t="s">
        <v>148</v>
      </c>
      <c r="K1960" s="1" t="s">
        <v>1261</v>
      </c>
      <c r="L1960" s="1" t="s">
        <v>11259</v>
      </c>
      <c r="M1960" s="2" t="s">
        <v>12</v>
      </c>
      <c r="N1960" s="4">
        <f t="shared" si="1"/>
        <v>44098</v>
      </c>
      <c r="O1960" s="5" t="str">
        <f>IFERROR(__xludf.DUMMYFUNCTION("IF(REGEXMATCH(TRIM(I1960), ""^\d+\s*min""), ""Unclassified"", IF(I1960 = """", ""NR"", I1960))"),"TV-MA")</f>
        <v>TV-MA</v>
      </c>
      <c r="R1960" s="5" t="str">
        <f t="shared" si="2"/>
        <v>The Chef Show</v>
      </c>
      <c r="S1960" s="5" t="str">
        <f>IFERROR(__xludf.DUMMYFUNCTION("""COMPUTED_VALUE"""),"Dhanak")</f>
        <v>Dhanak</v>
      </c>
      <c r="U1960" s="5" t="str">
        <f>IFERROR(__xludf.DUMMYFUNCTION("""COMPUTED_VALUE"""),"Gerardo Olivares")</f>
        <v>Gerardo Olivares</v>
      </c>
      <c r="V1960" s="5" t="s">
        <v>11260</v>
      </c>
      <c r="W1960" s="5" t="str">
        <f t="shared" si="3"/>
        <v>John Crowley</v>
      </c>
      <c r="X1960" s="5">
        <f t="shared" si="4"/>
        <v>1</v>
      </c>
      <c r="Y1960" s="5" t="str">
        <f>IFERROR(__xludf.DUMMYFUNCTION("REGEXEXTRACT(J1960, ""^\d+"")"),"4")</f>
        <v>4</v>
      </c>
      <c r="Z1960" s="5" t="str">
        <f>IFERROR(__xludf.DUMMYFUNCTION("REGEXEXTRACT(J1960, ""[A-Za-z ]+$"")")," Seasons")</f>
        <v> Seasons</v>
      </c>
      <c r="AA1960" s="5" t="str">
        <f>IFERROR(__xludf.DUMMYFUNCTION("IF(REGEXMATCH(Z1960, ""Season""), ""TV Show"", ""Movie"")"),"TV Show")</f>
        <v>TV Show</v>
      </c>
    </row>
    <row r="1961">
      <c r="A1961" s="1" t="s">
        <v>11261</v>
      </c>
      <c r="B1961" s="1" t="s">
        <v>27</v>
      </c>
      <c r="C1961" s="1" t="s">
        <v>11262</v>
      </c>
      <c r="D1961" s="1" t="s">
        <v>9086</v>
      </c>
      <c r="E1961" s="1" t="s">
        <v>11263</v>
      </c>
      <c r="F1961" s="1" t="s">
        <v>96</v>
      </c>
      <c r="G1961" s="1" t="s">
        <v>11264</v>
      </c>
      <c r="H1961" s="1">
        <v>2020.0</v>
      </c>
      <c r="I1961" s="1" t="s">
        <v>32</v>
      </c>
      <c r="J1961" s="1" t="s">
        <v>341</v>
      </c>
      <c r="K1961" s="1" t="s">
        <v>3738</v>
      </c>
      <c r="L1961" s="1" t="s">
        <v>11265</v>
      </c>
      <c r="M1961" s="2" t="s">
        <v>12</v>
      </c>
      <c r="N1961" s="4">
        <f t="shared" si="1"/>
        <v>44097</v>
      </c>
      <c r="O1961" s="5" t="str">
        <f>IFERROR(__xludf.DUMMYFUNCTION("IF(REGEXMATCH(TRIM(I1961), ""^\d+\s*min""), ""Unclassified"", IF(I1961 = """", ""NR"", I1961))"),"PG-13")</f>
        <v>PG-13</v>
      </c>
      <c r="R1961" s="5" t="str">
        <f t="shared" si="2"/>
        <v>Enola Holmes</v>
      </c>
      <c r="S1961" s="5" t="str">
        <f>IFERROR(__xludf.DUMMYFUNCTION("""COMPUTED_VALUE"""),"Dharam Sankat Mein")</f>
        <v>Dharam Sankat Mein</v>
      </c>
      <c r="U1961" s="5" t="str">
        <f>IFERROR(__xludf.DUMMYFUNCTION("""COMPUTED_VALUE"""),"Wi Ding Ho")</f>
        <v>Wi Ding Ho</v>
      </c>
      <c r="V1961" s="5" t="s">
        <v>11266</v>
      </c>
      <c r="W1961" s="5" t="str">
        <f t="shared" si="3"/>
        <v>John Curran</v>
      </c>
      <c r="X1961" s="5">
        <f t="shared" si="4"/>
        <v>1</v>
      </c>
      <c r="Y1961" s="5" t="str">
        <f>IFERROR(__xludf.DUMMYFUNCTION("REGEXEXTRACT(J1961, ""^\d+"")"),"124")</f>
        <v>124</v>
      </c>
      <c r="Z1961" s="5" t="str">
        <f>IFERROR(__xludf.DUMMYFUNCTION("REGEXEXTRACT(J1961, ""[A-Za-z ]+$"")")," min")</f>
        <v> min</v>
      </c>
      <c r="AA1961" s="5" t="str">
        <f>IFERROR(__xludf.DUMMYFUNCTION("IF(REGEXMATCH(Z1961, ""Season""), ""TV Show"", ""Movie"")"),"Movie")</f>
        <v>Movie</v>
      </c>
    </row>
    <row r="1962">
      <c r="A1962" s="1" t="s">
        <v>11267</v>
      </c>
      <c r="B1962" s="1" t="s">
        <v>27</v>
      </c>
      <c r="C1962" s="1" t="s">
        <v>11268</v>
      </c>
      <c r="D1962" s="1" t="s">
        <v>11269</v>
      </c>
      <c r="E1962" s="1" t="s">
        <v>11270</v>
      </c>
      <c r="F1962" s="1" t="s">
        <v>30</v>
      </c>
      <c r="G1962" s="1" t="s">
        <v>11271</v>
      </c>
      <c r="H1962" s="1">
        <v>2020.0</v>
      </c>
      <c r="I1962" s="1" t="s">
        <v>506</v>
      </c>
      <c r="J1962" s="1" t="s">
        <v>471</v>
      </c>
      <c r="K1962" s="1" t="s">
        <v>34</v>
      </c>
      <c r="L1962" s="1" t="s">
        <v>11272</v>
      </c>
      <c r="M1962" s="2" t="s">
        <v>12</v>
      </c>
      <c r="N1962" s="4">
        <f t="shared" si="1"/>
        <v>44096</v>
      </c>
      <c r="O1962" s="5" t="str">
        <f>IFERROR(__xludf.DUMMYFUNCTION("IF(REGEXMATCH(TRIM(I1962), ""^\d+\s*min""), ""Unclassified"", IF(I1962 = """", ""NR"", I1962))"),"TV-G")</f>
        <v>TV-G</v>
      </c>
      <c r="R1962" s="5" t="str">
        <f t="shared" si="2"/>
        <v>Kiss The Ground</v>
      </c>
      <c r="S1962" s="5" t="str">
        <f>IFERROR(__xludf.DUMMYFUNCTION("""COMPUTED_VALUE"""),"Dharmakshetra")</f>
        <v>Dharmakshetra</v>
      </c>
      <c r="U1962" s="5" t="str">
        <f>IFERROR(__xludf.DUMMYFUNCTION("""COMPUTED_VALUE"""),"Joe Lynch")</f>
        <v>Joe Lynch</v>
      </c>
      <c r="V1962" s="5" t="s">
        <v>11273</v>
      </c>
      <c r="W1962" s="5" t="str">
        <f t="shared" si="3"/>
        <v>John Dahl</v>
      </c>
      <c r="X1962" s="5">
        <f t="shared" si="4"/>
        <v>2</v>
      </c>
      <c r="Y1962" s="5" t="str">
        <f>IFERROR(__xludf.DUMMYFUNCTION("REGEXEXTRACT(J1962, ""^\d+"")"),"85")</f>
        <v>85</v>
      </c>
      <c r="Z1962" s="5" t="str">
        <f>IFERROR(__xludf.DUMMYFUNCTION("REGEXEXTRACT(J1962, ""[A-Za-z ]+$"")")," min")</f>
        <v> min</v>
      </c>
      <c r="AA1962" s="5" t="str">
        <f>IFERROR(__xludf.DUMMYFUNCTION("IF(REGEXMATCH(Z1962, ""Season""), ""TV Show"", ""Movie"")"),"Movie")</f>
        <v>Movie</v>
      </c>
    </row>
    <row r="1963">
      <c r="A1963" s="1" t="s">
        <v>11274</v>
      </c>
      <c r="B1963" s="1" t="s">
        <v>37</v>
      </c>
      <c r="C1963" s="1" t="s">
        <v>11275</v>
      </c>
      <c r="F1963" s="1" t="s">
        <v>30</v>
      </c>
      <c r="G1963" s="1" t="s">
        <v>11271</v>
      </c>
      <c r="H1963" s="1">
        <v>2020.0</v>
      </c>
      <c r="I1963" s="1" t="s">
        <v>42</v>
      </c>
      <c r="J1963" s="1" t="s">
        <v>51</v>
      </c>
      <c r="K1963" s="1" t="s">
        <v>1261</v>
      </c>
      <c r="L1963" s="1" t="s">
        <v>11276</v>
      </c>
      <c r="M1963" s="2" t="s">
        <v>12</v>
      </c>
      <c r="N1963" s="4">
        <f t="shared" si="1"/>
        <v>44096</v>
      </c>
      <c r="O1963" s="5" t="str">
        <f>IFERROR(__xludf.DUMMYFUNCTION("IF(REGEXMATCH(TRIM(I1963), ""^\d+\s*min""), ""Unclassified"", IF(I1963 = """", ""NR"", I1963))"),"TV-MA")</f>
        <v>TV-MA</v>
      </c>
      <c r="R1963" s="5" t="str">
        <f t="shared" si="2"/>
        <v>The Playbook</v>
      </c>
      <c r="S1963" s="5" t="str">
        <f>IFERROR(__xludf.DUMMYFUNCTION("""COMPUTED_VALUE"""),"Dhh")</f>
        <v>Dhh</v>
      </c>
      <c r="U1963" s="5" t="str">
        <f>IFERROR(__xludf.DUMMYFUNCTION("""COMPUTED_VALUE"""),"Andreas Pichler")</f>
        <v>Andreas Pichler</v>
      </c>
      <c r="V1963" s="5" t="s">
        <v>3886</v>
      </c>
      <c r="W1963" s="5" t="str">
        <f t="shared" si="3"/>
        <v>John Dower</v>
      </c>
      <c r="X1963" s="5">
        <f t="shared" si="4"/>
        <v>2</v>
      </c>
      <c r="Y1963" s="5" t="str">
        <f>IFERROR(__xludf.DUMMYFUNCTION("REGEXEXTRACT(J1963, ""^\d+"")"),"1")</f>
        <v>1</v>
      </c>
      <c r="Z1963" s="5" t="str">
        <f>IFERROR(__xludf.DUMMYFUNCTION("REGEXEXTRACT(J1963, ""[A-Za-z ]+$"")")," Season")</f>
        <v> Season</v>
      </c>
      <c r="AA1963" s="5" t="str">
        <f>IFERROR(__xludf.DUMMYFUNCTION("IF(REGEXMATCH(Z1963, ""Season""), ""TV Show"", ""Movie"")"),"TV Show")</f>
        <v>TV Show</v>
      </c>
    </row>
    <row r="1964">
      <c r="A1964" s="1" t="s">
        <v>11277</v>
      </c>
      <c r="B1964" s="1" t="s">
        <v>27</v>
      </c>
      <c r="C1964" s="1" t="s">
        <v>11278</v>
      </c>
      <c r="D1964" s="1" t="s">
        <v>11279</v>
      </c>
      <c r="F1964" s="1" t="s">
        <v>30</v>
      </c>
      <c r="G1964" s="1" t="s">
        <v>11280</v>
      </c>
      <c r="H1964" s="1">
        <v>2020.0</v>
      </c>
      <c r="I1964" s="1" t="s">
        <v>136</v>
      </c>
      <c r="J1964" s="1" t="s">
        <v>11281</v>
      </c>
      <c r="K1964" s="1" t="s">
        <v>34</v>
      </c>
      <c r="L1964" s="1" t="s">
        <v>11282</v>
      </c>
      <c r="M1964" s="2" t="s">
        <v>12</v>
      </c>
      <c r="N1964" s="4">
        <f t="shared" si="1"/>
        <v>44095</v>
      </c>
      <c r="O1964" s="5" t="str">
        <f>IFERROR(__xludf.DUMMYFUNCTION("IF(REGEXMATCH(TRIM(I1964), ""^\d+\s*min""), ""Unclassified"", IF(I1964 = """", ""NR"", I1964))"),"TV-PG")</f>
        <v>TV-PG</v>
      </c>
      <c r="R1964" s="5" t="str">
        <f t="shared" si="2"/>
        <v>A Love Song For Latasha</v>
      </c>
      <c r="S1964" s="5" t="str">
        <f>IFERROR(__xludf.DUMMYFUNCTION("""COMPUTED_VALUE"""),"Dhia Sofea")</f>
        <v>Dhia Sofea</v>
      </c>
      <c r="U1964" s="5" t="str">
        <f>IFERROR(__xludf.DUMMYFUNCTION("""COMPUTED_VALUE"""),"Daniel Arasanz")</f>
        <v>Daniel Arasanz</v>
      </c>
      <c r="V1964" s="5" t="s">
        <v>11283</v>
      </c>
      <c r="W1964" s="5" t="str">
        <f t="shared" si="3"/>
        <v>John Duigan</v>
      </c>
      <c r="X1964" s="5">
        <f t="shared" si="4"/>
        <v>2</v>
      </c>
      <c r="Y1964" s="5" t="str">
        <f>IFERROR(__xludf.DUMMYFUNCTION("REGEXEXTRACT(J1964, ""^\d+"")"),"20")</f>
        <v>20</v>
      </c>
      <c r="Z1964" s="5" t="str">
        <f>IFERROR(__xludf.DUMMYFUNCTION("REGEXEXTRACT(J1964, ""[A-Za-z ]+$"")")," min")</f>
        <v> min</v>
      </c>
      <c r="AA1964" s="5" t="str">
        <f>IFERROR(__xludf.DUMMYFUNCTION("IF(REGEXMATCH(Z1964, ""Season""), ""TV Show"", ""Movie"")"),"Movie")</f>
        <v>Movie</v>
      </c>
    </row>
    <row r="1965">
      <c r="A1965" s="1" t="s">
        <v>11284</v>
      </c>
      <c r="B1965" s="1" t="s">
        <v>27</v>
      </c>
      <c r="C1965" s="1" t="s">
        <v>11285</v>
      </c>
      <c r="D1965" s="1" t="s">
        <v>11286</v>
      </c>
      <c r="E1965" s="1" t="s">
        <v>11287</v>
      </c>
      <c r="F1965" s="1" t="s">
        <v>415</v>
      </c>
      <c r="G1965" s="1" t="s">
        <v>11288</v>
      </c>
      <c r="H1965" s="1">
        <v>2018.0</v>
      </c>
      <c r="I1965" s="1" t="s">
        <v>136</v>
      </c>
      <c r="J1965" s="1" t="s">
        <v>447</v>
      </c>
      <c r="K1965" s="1" t="s">
        <v>128</v>
      </c>
      <c r="L1965" s="1" t="s">
        <v>11289</v>
      </c>
      <c r="M1965" s="2" t="s">
        <v>12</v>
      </c>
      <c r="N1965" s="4">
        <f t="shared" si="1"/>
        <v>44094</v>
      </c>
      <c r="O1965" s="5" t="str">
        <f>IFERROR(__xludf.DUMMYFUNCTION("IF(REGEXMATCH(TRIM(I1965), ""^\d+\s*min""), ""Unclassified"", IF(I1965 = """", ""NR"", I1965))"),"TV-PG")</f>
        <v>TV-PG</v>
      </c>
      <c r="R1965" s="5" t="str">
        <f t="shared" si="2"/>
        <v>Dtc Yukemuri Junjo Hen From High &amp; Low</v>
      </c>
      <c r="S1965" s="5" t="str">
        <f>IFERROR(__xludf.DUMMYFUNCTION("""COMPUTED_VALUE"""),"Dhobi Ghat (Mumbai Diaries)")</f>
        <v>Dhobi Ghat (Mumbai Diaries)</v>
      </c>
      <c r="U1965" s="5" t="str">
        <f>IFERROR(__xludf.DUMMYFUNCTION("""COMPUTED_VALUE"""),"Spike Jonze")</f>
        <v>Spike Jonze</v>
      </c>
      <c r="V1965" s="5" t="s">
        <v>11290</v>
      </c>
      <c r="W1965" s="5" t="str">
        <f t="shared" si="3"/>
        <v>John Edginton</v>
      </c>
      <c r="X1965" s="5">
        <f t="shared" si="4"/>
        <v>1</v>
      </c>
      <c r="Y1965" s="5" t="str">
        <f>IFERROR(__xludf.DUMMYFUNCTION("REGEXEXTRACT(J1965, ""^\d+"")"),"102")</f>
        <v>102</v>
      </c>
      <c r="Z1965" s="5" t="str">
        <f>IFERROR(__xludf.DUMMYFUNCTION("REGEXEXTRACT(J1965, ""[A-Za-z ]+$"")")," min")</f>
        <v> min</v>
      </c>
      <c r="AA1965" s="5" t="str">
        <f>IFERROR(__xludf.DUMMYFUNCTION("IF(REGEXMATCH(Z1965, ""Season""), ""TV Show"", ""Movie"")"),"Movie")</f>
        <v>Movie</v>
      </c>
    </row>
    <row r="1966">
      <c r="A1966" s="1" t="s">
        <v>11291</v>
      </c>
      <c r="B1966" s="1" t="s">
        <v>27</v>
      </c>
      <c r="C1966" s="1" t="s">
        <v>11292</v>
      </c>
      <c r="D1966" s="1" t="s">
        <v>11293</v>
      </c>
      <c r="E1966" s="1" t="s">
        <v>11294</v>
      </c>
      <c r="F1966" s="1" t="s">
        <v>415</v>
      </c>
      <c r="G1966" s="1" t="s">
        <v>11288</v>
      </c>
      <c r="H1966" s="1">
        <v>2016.0</v>
      </c>
      <c r="I1966" s="1" t="s">
        <v>42</v>
      </c>
      <c r="J1966" s="1" t="s">
        <v>1273</v>
      </c>
      <c r="K1966" s="1" t="s">
        <v>1066</v>
      </c>
      <c r="L1966" s="1" t="s">
        <v>11295</v>
      </c>
      <c r="M1966" s="2" t="s">
        <v>12</v>
      </c>
      <c r="N1966" s="4">
        <f t="shared" si="1"/>
        <v>44094</v>
      </c>
      <c r="O1966" s="5" t="str">
        <f>IFERROR(__xludf.DUMMYFUNCTION("IF(REGEXMATCH(TRIM(I1966), ""^\d+\s*min""), ""Unclassified"", IF(I1966 = """", ""NR"", I1966))"),"TV-MA")</f>
        <v>TV-MA</v>
      </c>
      <c r="R1966" s="5" t="str">
        <f t="shared" si="2"/>
        <v>High &amp; Low The Movie</v>
      </c>
      <c r="S1966" s="5" t="str">
        <f>IFERROR(__xludf.DUMMYFUNCTION("""COMPUTED_VALUE"""),"Dhoondte Reh Jaoge")</f>
        <v>Dhoondte Reh Jaoge</v>
      </c>
      <c r="U1966" s="5" t="str">
        <f>IFERROR(__xludf.DUMMYFUNCTION("""COMPUTED_VALUE"""),"Marcelo Altmark, Mariano Mucci, Luis A. Scalella")</f>
        <v>Marcelo Altmark, Mariano Mucci, Luis A. Scalella</v>
      </c>
      <c r="V1966" s="5" t="s">
        <v>7467</v>
      </c>
      <c r="W1966" s="5" t="str">
        <f t="shared" si="3"/>
        <v>John Erick Dowdle</v>
      </c>
      <c r="X1966" s="5">
        <f t="shared" si="4"/>
        <v>2</v>
      </c>
      <c r="Y1966" s="5" t="str">
        <f>IFERROR(__xludf.DUMMYFUNCTION("REGEXEXTRACT(J1966, ""^\d+"")"),"129")</f>
        <v>129</v>
      </c>
      <c r="Z1966" s="5" t="str">
        <f>IFERROR(__xludf.DUMMYFUNCTION("REGEXEXTRACT(J1966, ""[A-Za-z ]+$"")")," min")</f>
        <v> min</v>
      </c>
      <c r="AA1966" s="5" t="str">
        <f>IFERROR(__xludf.DUMMYFUNCTION("IF(REGEXMATCH(Z1966, ""Season""), ""TV Show"", ""Movie"")"),"Movie")</f>
        <v>Movie</v>
      </c>
    </row>
    <row r="1967">
      <c r="A1967" s="1" t="s">
        <v>11296</v>
      </c>
      <c r="B1967" s="1" t="s">
        <v>27</v>
      </c>
      <c r="C1967" s="1" t="s">
        <v>11297</v>
      </c>
      <c r="D1967" s="1" t="s">
        <v>11298</v>
      </c>
      <c r="E1967" s="1" t="s">
        <v>11299</v>
      </c>
      <c r="F1967" s="1" t="s">
        <v>415</v>
      </c>
      <c r="G1967" s="1" t="s">
        <v>11288</v>
      </c>
      <c r="H1967" s="1">
        <v>2017.0</v>
      </c>
      <c r="I1967" s="1" t="s">
        <v>42</v>
      </c>
      <c r="J1967" s="1" t="s">
        <v>341</v>
      </c>
      <c r="K1967" s="1" t="s">
        <v>1066</v>
      </c>
      <c r="L1967" s="1" t="s">
        <v>11300</v>
      </c>
      <c r="M1967" s="2" t="s">
        <v>12</v>
      </c>
      <c r="N1967" s="4">
        <f t="shared" si="1"/>
        <v>44094</v>
      </c>
      <c r="O1967" s="5" t="str">
        <f>IFERROR(__xludf.DUMMYFUNCTION("IF(REGEXMATCH(TRIM(I1967), ""^\d+\s*min""), ""Unclassified"", IF(I1967 = """", ""NR"", I1967))"),"TV-MA")</f>
        <v>TV-MA</v>
      </c>
      <c r="R1967" s="5" t="str">
        <f t="shared" si="2"/>
        <v>High &amp; Low The Movie 2 / End Of Sky</v>
      </c>
      <c r="S1967" s="5" t="str">
        <f>IFERROR(__xludf.DUMMYFUNCTION("""COMPUTED_VALUE"""),"Di Renjie Zhi Sidatianwang")</f>
        <v>Di Renjie Zhi Sidatianwang</v>
      </c>
      <c r="U1967" s="5" t="str">
        <f>IFERROR(__xludf.DUMMYFUNCTION("""COMPUTED_VALUE"""),"Hernán Zin")</f>
        <v>Hernán Zin</v>
      </c>
      <c r="V1967" s="5" t="s">
        <v>11301</v>
      </c>
      <c r="W1967" s="5" t="str">
        <f t="shared" si="3"/>
        <v>John Ford</v>
      </c>
      <c r="X1967" s="5">
        <f t="shared" si="4"/>
        <v>2</v>
      </c>
      <c r="Y1967" s="5" t="str">
        <f>IFERROR(__xludf.DUMMYFUNCTION("REGEXEXTRACT(J1967, ""^\d+"")"),"124")</f>
        <v>124</v>
      </c>
      <c r="Z1967" s="5" t="str">
        <f>IFERROR(__xludf.DUMMYFUNCTION("REGEXEXTRACT(J1967, ""[A-Za-z ]+$"")")," min")</f>
        <v> min</v>
      </c>
      <c r="AA1967" s="5" t="str">
        <f>IFERROR(__xludf.DUMMYFUNCTION("IF(REGEXMATCH(Z1967, ""Season""), ""TV Show"", ""Movie"")"),"Movie")</f>
        <v>Movie</v>
      </c>
    </row>
    <row r="1968">
      <c r="A1968" s="1" t="s">
        <v>11302</v>
      </c>
      <c r="B1968" s="1" t="s">
        <v>27</v>
      </c>
      <c r="C1968" s="1" t="s">
        <v>11303</v>
      </c>
      <c r="D1968" s="1" t="s">
        <v>11298</v>
      </c>
      <c r="E1968" s="1" t="s">
        <v>11304</v>
      </c>
      <c r="F1968" s="1" t="s">
        <v>415</v>
      </c>
      <c r="G1968" s="1" t="s">
        <v>11288</v>
      </c>
      <c r="H1968" s="1">
        <v>2017.0</v>
      </c>
      <c r="I1968" s="1" t="s">
        <v>42</v>
      </c>
      <c r="J1968" s="1" t="s">
        <v>870</v>
      </c>
      <c r="K1968" s="1" t="s">
        <v>1066</v>
      </c>
      <c r="L1968" s="1" t="s">
        <v>11305</v>
      </c>
      <c r="M1968" s="2" t="s">
        <v>12</v>
      </c>
      <c r="N1968" s="4">
        <f t="shared" si="1"/>
        <v>44094</v>
      </c>
      <c r="O1968" s="5" t="str">
        <f>IFERROR(__xludf.DUMMYFUNCTION("IF(REGEXMATCH(TRIM(I1968), ""^\d+\s*min""), ""Unclassified"", IF(I1968 = """", ""NR"", I1968))"),"TV-MA")</f>
        <v>TV-MA</v>
      </c>
      <c r="R1968" s="5" t="str">
        <f t="shared" si="2"/>
        <v>High &amp; Low The Movie 3 / Final Mission</v>
      </c>
      <c r="S1968" s="5" t="str">
        <f>IFERROR(__xludf.DUMMYFUNCTION("""COMPUTED_VALUE"""),"Diablero")</f>
        <v>Diablero</v>
      </c>
      <c r="U1968" s="5" t="str">
        <f>IFERROR(__xludf.DUMMYFUNCTION("""COMPUTED_VALUE"""),"Sittisiri Mongkolsiri")</f>
        <v>Sittisiri Mongkolsiri</v>
      </c>
      <c r="V1968" s="5" t="s">
        <v>11306</v>
      </c>
      <c r="W1968" s="5" t="str">
        <f t="shared" si="3"/>
        <v>John Fortenberry</v>
      </c>
      <c r="X1968" s="5">
        <f t="shared" si="4"/>
        <v>3</v>
      </c>
      <c r="Y1968" s="5" t="str">
        <f>IFERROR(__xludf.DUMMYFUNCTION("REGEXEXTRACT(J1968, ""^\d+"")"),"118")</f>
        <v>118</v>
      </c>
      <c r="Z1968" s="5" t="str">
        <f>IFERROR(__xludf.DUMMYFUNCTION("REGEXEXTRACT(J1968, ""[A-Za-z ]+$"")")," min")</f>
        <v> min</v>
      </c>
      <c r="AA1968" s="5" t="str">
        <f>IFERROR(__xludf.DUMMYFUNCTION("IF(REGEXMATCH(Z1968, ""Season""), ""TV Show"", ""Movie"")"),"Movie")</f>
        <v>Movie</v>
      </c>
    </row>
    <row r="1969">
      <c r="A1969" s="1" t="s">
        <v>11307</v>
      </c>
      <c r="B1969" s="1" t="s">
        <v>27</v>
      </c>
      <c r="C1969" s="1" t="s">
        <v>11308</v>
      </c>
      <c r="D1969" s="1" t="s">
        <v>11309</v>
      </c>
      <c r="E1969" s="1" t="s">
        <v>11310</v>
      </c>
      <c r="F1969" s="1" t="s">
        <v>415</v>
      </c>
      <c r="G1969" s="1" t="s">
        <v>11288</v>
      </c>
      <c r="H1969" s="1">
        <v>2016.0</v>
      </c>
      <c r="I1969" s="1" t="s">
        <v>42</v>
      </c>
      <c r="J1969" s="1" t="s">
        <v>264</v>
      </c>
      <c r="K1969" s="1" t="s">
        <v>1066</v>
      </c>
      <c r="L1969" s="1" t="s">
        <v>11311</v>
      </c>
      <c r="M1969" s="2" t="s">
        <v>12</v>
      </c>
      <c r="N1969" s="4">
        <f t="shared" si="1"/>
        <v>44094</v>
      </c>
      <c r="O1969" s="5" t="str">
        <f>IFERROR(__xludf.DUMMYFUNCTION("IF(REGEXMATCH(TRIM(I1969), ""^\d+\s*min""), ""Unclassified"", IF(I1969 = """", ""NR"", I1969))"),"TV-MA")</f>
        <v>TV-MA</v>
      </c>
      <c r="R1969" s="5" t="str">
        <f t="shared" si="2"/>
        <v>High &amp; Low The Red Rain</v>
      </c>
      <c r="S1969" s="5" t="str">
        <f>IFERROR(__xludf.DUMMYFUNCTION("""COMPUTED_VALUE"""),"Diagnosis")</f>
        <v>Diagnosis</v>
      </c>
      <c r="U1969" s="5" t="str">
        <f>IFERROR(__xludf.DUMMYFUNCTION("""COMPUTED_VALUE"""),"Robbie Grewal")</f>
        <v>Robbie Grewal</v>
      </c>
      <c r="V1969" s="5" t="s">
        <v>3731</v>
      </c>
      <c r="W1969" s="5" t="str">
        <f t="shared" si="3"/>
        <v>John G. Avildsen</v>
      </c>
      <c r="X1969" s="5">
        <f t="shared" si="4"/>
        <v>5</v>
      </c>
      <c r="Y1969" s="5" t="str">
        <f>IFERROR(__xludf.DUMMYFUNCTION("REGEXEXTRACT(J1969, ""^\d+"")"),"111")</f>
        <v>111</v>
      </c>
      <c r="Z1969" s="5" t="str">
        <f>IFERROR(__xludf.DUMMYFUNCTION("REGEXEXTRACT(J1969, ""[A-Za-z ]+$"")")," min")</f>
        <v> min</v>
      </c>
      <c r="AA1969" s="5" t="str">
        <f>IFERROR(__xludf.DUMMYFUNCTION("IF(REGEXMATCH(Z1969, ""Season""), ""TV Show"", ""Movie"")"),"Movie")</f>
        <v>Movie</v>
      </c>
    </row>
    <row r="1970">
      <c r="A1970" s="1" t="s">
        <v>11312</v>
      </c>
      <c r="B1970" s="1" t="s">
        <v>27</v>
      </c>
      <c r="C1970" s="1" t="s">
        <v>11313</v>
      </c>
      <c r="D1970" s="1" t="s">
        <v>11293</v>
      </c>
      <c r="E1970" s="1" t="s">
        <v>11314</v>
      </c>
      <c r="G1970" s="1" t="s">
        <v>11288</v>
      </c>
      <c r="H1970" s="1">
        <v>2019.0</v>
      </c>
      <c r="I1970" s="1" t="s">
        <v>42</v>
      </c>
      <c r="J1970" s="1" t="s">
        <v>88</v>
      </c>
      <c r="K1970" s="1" t="s">
        <v>1066</v>
      </c>
      <c r="L1970" s="1" t="s">
        <v>11315</v>
      </c>
      <c r="M1970" s="2" t="s">
        <v>12</v>
      </c>
      <c r="N1970" s="4">
        <f t="shared" si="1"/>
        <v>44094</v>
      </c>
      <c r="O1970" s="5" t="str">
        <f>IFERROR(__xludf.DUMMYFUNCTION("IF(REGEXMATCH(TRIM(I1970), ""^\d+\s*min""), ""Unclassified"", IF(I1970 = """", ""NR"", I1970))"),"TV-MA")</f>
        <v>TV-MA</v>
      </c>
      <c r="R1970" s="5" t="str">
        <f t="shared" si="2"/>
        <v>High &amp; Low The Worst</v>
      </c>
      <c r="S1970" s="5" t="str">
        <f>IFERROR(__xludf.DUMMYFUNCTION("""COMPUTED_VALUE"""),"Diamond City")</f>
        <v>Diamond City</v>
      </c>
      <c r="U1970" s="5" t="str">
        <f>IFERROR(__xludf.DUMMYFUNCTION("""COMPUTED_VALUE"""),"Thiagarajan Kumararaja")</f>
        <v>Thiagarajan Kumararaja</v>
      </c>
      <c r="V1970" s="5" t="s">
        <v>11316</v>
      </c>
      <c r="W1970" s="5" t="str">
        <f t="shared" si="3"/>
        <v>John H. Lee</v>
      </c>
      <c r="X1970" s="5">
        <f t="shared" si="4"/>
        <v>1</v>
      </c>
      <c r="Y1970" s="5" t="str">
        <f>IFERROR(__xludf.DUMMYFUNCTION("REGEXEXTRACT(J1970, ""^\d+"")"),"125")</f>
        <v>125</v>
      </c>
      <c r="Z1970" s="5" t="str">
        <f>IFERROR(__xludf.DUMMYFUNCTION("REGEXEXTRACT(J1970, ""[A-Za-z ]+$"")")," min")</f>
        <v> min</v>
      </c>
      <c r="AA1970" s="5" t="str">
        <f>IFERROR(__xludf.DUMMYFUNCTION("IF(REGEXMATCH(Z1970, ""Season""), ""TV Show"", ""Movie"")"),"Movie")</f>
        <v>Movie</v>
      </c>
    </row>
    <row r="1971">
      <c r="A1971" s="1" t="s">
        <v>11317</v>
      </c>
      <c r="B1971" s="1" t="s">
        <v>27</v>
      </c>
      <c r="C1971" s="1" t="s">
        <v>11318</v>
      </c>
      <c r="D1971" s="1" t="s">
        <v>11293</v>
      </c>
      <c r="E1971" s="1" t="s">
        <v>11319</v>
      </c>
      <c r="F1971" s="1" t="s">
        <v>415</v>
      </c>
      <c r="G1971" s="1" t="s">
        <v>11288</v>
      </c>
      <c r="H1971" s="1">
        <v>2016.0</v>
      </c>
      <c r="I1971" s="1" t="s">
        <v>42</v>
      </c>
      <c r="J1971" s="1" t="s">
        <v>170</v>
      </c>
      <c r="K1971" s="1" t="s">
        <v>1066</v>
      </c>
      <c r="L1971" s="1" t="s">
        <v>11320</v>
      </c>
      <c r="M1971" s="2" t="s">
        <v>12</v>
      </c>
      <c r="N1971" s="4">
        <f t="shared" si="1"/>
        <v>44094</v>
      </c>
      <c r="O1971" s="5" t="str">
        <f>IFERROR(__xludf.DUMMYFUNCTION("IF(REGEXMATCH(TRIM(I1971), ""^\d+\s*min""), ""Unclassified"", IF(I1971 = """", ""NR"", I1971))"),"TV-MA")</f>
        <v>TV-MA</v>
      </c>
      <c r="R1971" s="5" t="str">
        <f t="shared" si="2"/>
        <v>Road To High &amp; Low</v>
      </c>
      <c r="S1971" s="5" t="str">
        <f>IFERROR(__xludf.DUMMYFUNCTION("""COMPUTED_VALUE"""),"Diamond Lover")</f>
        <v>Diamond Lover</v>
      </c>
      <c r="U1971" s="5" t="str">
        <f>IFERROR(__xludf.DUMMYFUNCTION("""COMPUTED_VALUE"""),"Kate Horne")</f>
        <v>Kate Horne</v>
      </c>
      <c r="V1971" s="5" t="s">
        <v>11321</v>
      </c>
      <c r="W1971" s="5" t="str">
        <f t="shared" si="3"/>
        <v>John Haptas, Kristine Samuelson</v>
      </c>
      <c r="X1971" s="5">
        <f t="shared" si="4"/>
        <v>1</v>
      </c>
      <c r="Y1971" s="5" t="str">
        <f>IFERROR(__xludf.DUMMYFUNCTION("REGEXEXTRACT(J1971, ""^\d+"")"),"94")</f>
        <v>94</v>
      </c>
      <c r="Z1971" s="5" t="str">
        <f>IFERROR(__xludf.DUMMYFUNCTION("REGEXEXTRACT(J1971, ""[A-Za-z ]+$"")")," min")</f>
        <v> min</v>
      </c>
      <c r="AA1971" s="5" t="str">
        <f>IFERROR(__xludf.DUMMYFUNCTION("IF(REGEXMATCH(Z1971, ""Season""), ""TV Show"", ""Movie"")"),"Movie")</f>
        <v>Movie</v>
      </c>
    </row>
    <row r="1972">
      <c r="A1972" s="1" t="s">
        <v>11322</v>
      </c>
      <c r="B1972" s="1" t="s">
        <v>27</v>
      </c>
      <c r="C1972" s="1" t="s">
        <v>11323</v>
      </c>
      <c r="D1972" s="1" t="s">
        <v>11324</v>
      </c>
      <c r="E1972" s="1" t="s">
        <v>11325</v>
      </c>
      <c r="F1972" s="1" t="s">
        <v>3309</v>
      </c>
      <c r="G1972" s="1" t="s">
        <v>11288</v>
      </c>
      <c r="H1972" s="1">
        <v>2019.0</v>
      </c>
      <c r="I1972" s="1" t="s">
        <v>42</v>
      </c>
      <c r="J1972" s="1" t="s">
        <v>2281</v>
      </c>
      <c r="K1972" s="1" t="s">
        <v>1592</v>
      </c>
      <c r="L1972" s="1" t="s">
        <v>11326</v>
      </c>
      <c r="M1972" s="2" t="s">
        <v>12</v>
      </c>
      <c r="N1972" s="4">
        <f t="shared" si="1"/>
        <v>44094</v>
      </c>
      <c r="O1972" s="5" t="str">
        <f>IFERROR(__xludf.DUMMYFUNCTION("IF(REGEXMATCH(TRIM(I1972), ""^\d+\s*min""), ""Unclassified"", IF(I1972 = """", ""NR"", I1972))"),"TV-MA")</f>
        <v>TV-MA</v>
      </c>
      <c r="R1972" s="5" t="str">
        <f t="shared" si="2"/>
        <v>The Blue Elephant 2</v>
      </c>
      <c r="S1972" s="5" t="str">
        <f>IFERROR(__xludf.DUMMYFUNCTION("""COMPUTED_VALUE"""),"Diamonds In The Sky")</f>
        <v>Diamonds In The Sky</v>
      </c>
      <c r="U1972" s="5" t="str">
        <f>IFERROR(__xludf.DUMMYFUNCTION("""COMPUTED_VALUE"""),"Roberto Girault Facha")</f>
        <v>Roberto Girault Facha</v>
      </c>
      <c r="V1972" s="5" t="s">
        <v>11327</v>
      </c>
      <c r="W1972" s="5" t="str">
        <f t="shared" si="3"/>
        <v>John Herzfeld</v>
      </c>
      <c r="X1972" s="5">
        <f t="shared" si="4"/>
        <v>1</v>
      </c>
      <c r="Y1972" s="5" t="str">
        <f>IFERROR(__xludf.DUMMYFUNCTION("REGEXEXTRACT(J1972, ""^\d+"")"),"130")</f>
        <v>130</v>
      </c>
      <c r="Z1972" s="5" t="str">
        <f>IFERROR(__xludf.DUMMYFUNCTION("REGEXEXTRACT(J1972, ""[A-Za-z ]+$"")")," min")</f>
        <v> min</v>
      </c>
      <c r="AA1972" s="5" t="str">
        <f>IFERROR(__xludf.DUMMYFUNCTION("IF(REGEXMATCH(Z1972, ""Season""), ""TV Show"", ""Movie"")"),"Movie")</f>
        <v>Movie</v>
      </c>
    </row>
    <row r="1973">
      <c r="A1973" s="1" t="s">
        <v>11328</v>
      </c>
      <c r="B1973" s="1" t="s">
        <v>27</v>
      </c>
      <c r="C1973" s="1" t="s">
        <v>11329</v>
      </c>
      <c r="D1973" s="1" t="s">
        <v>11330</v>
      </c>
      <c r="E1973" s="1" t="s">
        <v>11331</v>
      </c>
      <c r="F1973" s="1" t="s">
        <v>63</v>
      </c>
      <c r="G1973" s="1" t="s">
        <v>11332</v>
      </c>
      <c r="H1973" s="1">
        <v>2013.0</v>
      </c>
      <c r="I1973" s="1" t="s">
        <v>97</v>
      </c>
      <c r="J1973" s="1" t="s">
        <v>743</v>
      </c>
      <c r="K1973" s="1" t="s">
        <v>199</v>
      </c>
      <c r="L1973" s="1" t="s">
        <v>11333</v>
      </c>
      <c r="M1973" s="2" t="s">
        <v>12</v>
      </c>
      <c r="N1973" s="4">
        <f t="shared" si="1"/>
        <v>44093</v>
      </c>
      <c r="O1973" s="5" t="str">
        <f>IFERROR(__xludf.DUMMYFUNCTION("IF(REGEXMATCH(TRIM(I1973), ""^\d+\s*min""), ""Unclassified"", IF(I1973 = """", ""NR"", I1973))"),"TV-14")</f>
        <v>TV-14</v>
      </c>
      <c r="R1973" s="5" t="str">
        <f t="shared" si="2"/>
        <v>Bhaji In Problem</v>
      </c>
      <c r="S1973" s="5" t="str">
        <f>IFERROR(__xludf.DUMMYFUNCTION("""COMPUTED_VALUE"""),"Diana: 7 Days That Shook The World")</f>
        <v>Diana: 7 Days That Shook The World</v>
      </c>
      <c r="U1973" s="5" t="str">
        <f>IFERROR(__xludf.DUMMYFUNCTION("""COMPUTED_VALUE"""),"Alex Díaz, Marcos Bucay")</f>
        <v>Alex Díaz, Marcos Bucay</v>
      </c>
      <c r="V1973" s="5" t="s">
        <v>6843</v>
      </c>
      <c r="W1973" s="5" t="str">
        <f t="shared" si="3"/>
        <v>John Hillcoat</v>
      </c>
      <c r="X1973" s="5">
        <f t="shared" si="4"/>
        <v>2</v>
      </c>
      <c r="Y1973" s="5" t="str">
        <f>IFERROR(__xludf.DUMMYFUNCTION("REGEXEXTRACT(J1973, ""^\d+"")"),"117")</f>
        <v>117</v>
      </c>
      <c r="Z1973" s="5" t="str">
        <f>IFERROR(__xludf.DUMMYFUNCTION("REGEXEXTRACT(J1973, ""[A-Za-z ]+$"")")," min")</f>
        <v> min</v>
      </c>
      <c r="AA1973" s="5" t="str">
        <f>IFERROR(__xludf.DUMMYFUNCTION("IF(REGEXMATCH(Z1973, ""Season""), ""TV Show"", ""Movie"")"),"Movie")</f>
        <v>Movie</v>
      </c>
    </row>
    <row r="1974">
      <c r="A1974" s="1" t="s">
        <v>11334</v>
      </c>
      <c r="B1974" s="1" t="s">
        <v>27</v>
      </c>
      <c r="C1974" s="1" t="s">
        <v>11335</v>
      </c>
      <c r="D1974" s="1" t="s">
        <v>11336</v>
      </c>
      <c r="E1974" s="1" t="s">
        <v>11337</v>
      </c>
      <c r="F1974" s="1" t="s">
        <v>63</v>
      </c>
      <c r="G1974" s="1" t="s">
        <v>11332</v>
      </c>
      <c r="H1974" s="1">
        <v>2015.0</v>
      </c>
      <c r="I1974" s="1" t="s">
        <v>97</v>
      </c>
      <c r="J1974" s="1" t="s">
        <v>4242</v>
      </c>
      <c r="K1974" s="1" t="s">
        <v>1066</v>
      </c>
      <c r="L1974" s="1" t="s">
        <v>11338</v>
      </c>
      <c r="M1974" s="2" t="s">
        <v>12</v>
      </c>
      <c r="N1974" s="4">
        <f t="shared" si="1"/>
        <v>44093</v>
      </c>
      <c r="O1974" s="5" t="str">
        <f>IFERROR(__xludf.DUMMYFUNCTION("IF(REGEXMATCH(TRIM(I1974), ""^\d+\s*min""), ""Unclassified"", IF(I1974 = """", ""NR"", I1974))"),"TV-14")</f>
        <v>TV-14</v>
      </c>
      <c r="R1974" s="5" t="str">
        <f t="shared" si="2"/>
        <v>Black</v>
      </c>
      <c r="S1974" s="5" t="str">
        <f>IFERROR(__xludf.DUMMYFUNCTION("""COMPUTED_VALUE"""),"Diana: In Her Own Words")</f>
        <v>Diana: In Her Own Words</v>
      </c>
      <c r="U1974" s="5" t="str">
        <f>IFERROR(__xludf.DUMMYFUNCTION("""COMPUTED_VALUE"""),"Svati Chakravarty Bhatkal")</f>
        <v>Svati Chakravarty Bhatkal</v>
      </c>
      <c r="V1974" s="5" t="s">
        <v>11339</v>
      </c>
      <c r="W1974" s="5" t="str">
        <f t="shared" si="3"/>
        <v>John Hoffman, Nanfu Wang</v>
      </c>
      <c r="X1974" s="5">
        <f t="shared" si="4"/>
        <v>1</v>
      </c>
      <c r="Y1974" s="5" t="str">
        <f>IFERROR(__xludf.DUMMYFUNCTION("REGEXEXTRACT(J1974, ""^\d+"")"),"137")</f>
        <v>137</v>
      </c>
      <c r="Z1974" s="5" t="str">
        <f>IFERROR(__xludf.DUMMYFUNCTION("REGEXEXTRACT(J1974, ""[A-Za-z ]+$"")")," min")</f>
        <v> min</v>
      </c>
      <c r="AA1974" s="5" t="str">
        <f>IFERROR(__xludf.DUMMYFUNCTION("IF(REGEXMATCH(Z1974, ""Season""), ""TV Show"", ""Movie"")"),"Movie")</f>
        <v>Movie</v>
      </c>
    </row>
    <row r="1975">
      <c r="A1975" s="1" t="s">
        <v>11340</v>
      </c>
      <c r="B1975" s="1" t="s">
        <v>37</v>
      </c>
      <c r="C1975" s="1" t="s">
        <v>11341</v>
      </c>
      <c r="E1975" s="1" t="s">
        <v>11342</v>
      </c>
      <c r="G1975" s="1" t="s">
        <v>11332</v>
      </c>
      <c r="H1975" s="1">
        <v>2020.0</v>
      </c>
      <c r="I1975" s="1" t="s">
        <v>206</v>
      </c>
      <c r="J1975" s="1" t="s">
        <v>51</v>
      </c>
      <c r="K1975" s="1" t="s">
        <v>314</v>
      </c>
      <c r="L1975" s="1" t="s">
        <v>11343</v>
      </c>
      <c r="M1975" s="2" t="s">
        <v>12</v>
      </c>
      <c r="N1975" s="4">
        <f t="shared" si="1"/>
        <v>44093</v>
      </c>
      <c r="O1975" s="5" t="str">
        <f>IFERROR(__xludf.DUMMYFUNCTION("IF(REGEXMATCH(TRIM(I1975), ""^\d+\s*min""), ""Unclassified"", IF(I1975 = """", ""NR"", I1975))"),"TV-Y")</f>
        <v>TV-Y</v>
      </c>
      <c r="R1975" s="5" t="str">
        <f t="shared" si="2"/>
        <v>Fukrey Boyzzz</v>
      </c>
      <c r="S1975" s="5" t="str">
        <f>IFERROR(__xludf.DUMMYFUNCTION("""COMPUTED_VALUE"""),"Diary Of A Chambermaid")</f>
        <v>Diary Of A Chambermaid</v>
      </c>
      <c r="U1975" s="5" t="str">
        <f>IFERROR(__xludf.DUMMYFUNCTION("""COMPUTED_VALUE"""),"Kevin Bray")</f>
        <v>Kevin Bray</v>
      </c>
      <c r="V1975" s="5" t="s">
        <v>2172</v>
      </c>
      <c r="W1975" s="5" t="str">
        <f t="shared" si="3"/>
        <v>John Hughes</v>
      </c>
      <c r="X1975" s="5">
        <f t="shared" si="4"/>
        <v>1</v>
      </c>
      <c r="Y1975" s="5" t="str">
        <f>IFERROR(__xludf.DUMMYFUNCTION("REGEXEXTRACT(J1975, ""^\d+"")"),"1")</f>
        <v>1</v>
      </c>
      <c r="Z1975" s="5" t="str">
        <f>IFERROR(__xludf.DUMMYFUNCTION("REGEXEXTRACT(J1975, ""[A-Za-z ]+$"")")," Season")</f>
        <v> Season</v>
      </c>
      <c r="AA1975" s="5" t="str">
        <f>IFERROR(__xludf.DUMMYFUNCTION("IF(REGEXMATCH(Z1975, ""Season""), ""TV Show"", ""Movie"")"),"TV Show")</f>
        <v>TV Show</v>
      </c>
    </row>
    <row r="1976">
      <c r="A1976" s="1" t="s">
        <v>11344</v>
      </c>
      <c r="B1976" s="1" t="s">
        <v>27</v>
      </c>
      <c r="C1976" s="1" t="s">
        <v>11345</v>
      </c>
      <c r="D1976" s="1" t="s">
        <v>11346</v>
      </c>
      <c r="E1976" s="1" t="s">
        <v>11347</v>
      </c>
      <c r="F1976" s="1" t="s">
        <v>63</v>
      </c>
      <c r="G1976" s="1" t="s">
        <v>11332</v>
      </c>
      <c r="H1976" s="1">
        <v>2013.0</v>
      </c>
      <c r="I1976" s="1" t="s">
        <v>42</v>
      </c>
      <c r="J1976" s="1" t="s">
        <v>1938</v>
      </c>
      <c r="K1976" s="1" t="s">
        <v>679</v>
      </c>
      <c r="L1976" s="1" t="s">
        <v>11348</v>
      </c>
      <c r="M1976" s="2" t="s">
        <v>12</v>
      </c>
      <c r="N1976" s="4">
        <f t="shared" si="1"/>
        <v>44093</v>
      </c>
      <c r="O1976" s="5" t="str">
        <f>IFERROR(__xludf.DUMMYFUNCTION("IF(REGEXMATCH(TRIM(I1976), ""^\d+\s*min""), ""Unclassified"", IF(I1976 = """", ""NR"", I1976))"),"TV-MA")</f>
        <v>TV-MA</v>
      </c>
      <c r="R1976" s="5" t="str">
        <f t="shared" si="2"/>
        <v>Saheb Biwi Aur Gangster Returns</v>
      </c>
      <c r="S1976" s="5" t="str">
        <f>IFERROR(__xludf.DUMMYFUNCTION("""COMPUTED_VALUE"""),"Dick Johnson Is Dead")</f>
        <v>Dick Johnson Is Dead</v>
      </c>
      <c r="U1976" s="5" t="str">
        <f>IFERROR(__xludf.DUMMYFUNCTION("""COMPUTED_VALUE"""),"Jesse V. Johnson, Jesse Johnson")</f>
        <v>Jesse V. Johnson, Jesse Johnson</v>
      </c>
      <c r="V1976" s="5" t="s">
        <v>11349</v>
      </c>
      <c r="W1976" s="5" t="str">
        <f t="shared" si="3"/>
        <v>John Huston</v>
      </c>
      <c r="X1976" s="5">
        <f t="shared" si="4"/>
        <v>3</v>
      </c>
      <c r="Y1976" s="5" t="str">
        <f>IFERROR(__xludf.DUMMYFUNCTION("REGEXEXTRACT(J1976, ""^\d+"")"),"139")</f>
        <v>139</v>
      </c>
      <c r="Z1976" s="5" t="str">
        <f>IFERROR(__xludf.DUMMYFUNCTION("REGEXEXTRACT(J1976, ""[A-Za-z ]+$"")")," min")</f>
        <v> min</v>
      </c>
      <c r="AA1976" s="5" t="str">
        <f>IFERROR(__xludf.DUMMYFUNCTION("IF(REGEXMATCH(Z1976, ""Season""), ""TV Show"", ""Movie"")"),"Movie")</f>
        <v>Movie</v>
      </c>
    </row>
    <row r="1977">
      <c r="A1977" s="1" t="s">
        <v>11350</v>
      </c>
      <c r="B1977" s="1" t="s">
        <v>27</v>
      </c>
      <c r="C1977" s="1" t="s">
        <v>11351</v>
      </c>
      <c r="D1977" s="1" t="s">
        <v>745</v>
      </c>
      <c r="E1977" s="1" t="s">
        <v>11352</v>
      </c>
      <c r="F1977" s="1" t="s">
        <v>63</v>
      </c>
      <c r="G1977" s="1" t="s">
        <v>11332</v>
      </c>
      <c r="H1977" s="1">
        <v>2016.0</v>
      </c>
      <c r="I1977" s="1" t="s">
        <v>97</v>
      </c>
      <c r="J1977" s="1" t="s">
        <v>264</v>
      </c>
      <c r="K1977" s="1" t="s">
        <v>199</v>
      </c>
      <c r="L1977" s="1" t="s">
        <v>11353</v>
      </c>
      <c r="M1977" s="2" t="s">
        <v>12</v>
      </c>
      <c r="N1977" s="4">
        <f t="shared" si="1"/>
        <v>44093</v>
      </c>
      <c r="O1977" s="5" t="str">
        <f>IFERROR(__xludf.DUMMYFUNCTION("IF(REGEXMATCH(TRIM(I1977), ""^\d+\s*min""), ""Unclassified"", IF(I1977 = """", ""NR"", I1977))"),"TV-14")</f>
        <v>TV-14</v>
      </c>
      <c r="R1977" s="5" t="str">
        <f t="shared" si="2"/>
        <v>Santa Banta Pvt Ltd</v>
      </c>
      <c r="S1977" s="5" t="str">
        <f>IFERROR(__xludf.DUMMYFUNCTION("""COMPUTED_VALUE"""),"Die Another Day")</f>
        <v>Die Another Day</v>
      </c>
      <c r="U1977" s="5" t="str">
        <f>IFERROR(__xludf.DUMMYFUNCTION("""COMPUTED_VALUE"""),"Miguel Cohan, Miguel Cohan")</f>
        <v>Miguel Cohan, Miguel Cohan</v>
      </c>
      <c r="V1977" s="5" t="s">
        <v>11354</v>
      </c>
      <c r="W1977" s="5" t="str">
        <f t="shared" si="3"/>
        <v>John Irvin</v>
      </c>
      <c r="X1977" s="5">
        <f t="shared" si="4"/>
        <v>1</v>
      </c>
      <c r="Y1977" s="5" t="str">
        <f>IFERROR(__xludf.DUMMYFUNCTION("REGEXEXTRACT(J1977, ""^\d+"")"),"111")</f>
        <v>111</v>
      </c>
      <c r="Z1977" s="5" t="str">
        <f>IFERROR(__xludf.DUMMYFUNCTION("REGEXEXTRACT(J1977, ""[A-Za-z ]+$"")")," min")</f>
        <v> min</v>
      </c>
      <c r="AA1977" s="5" t="str">
        <f>IFERROR(__xludf.DUMMYFUNCTION("IF(REGEXMATCH(Z1977, ""Season""), ""TV Show"", ""Movie"")"),"Movie")</f>
        <v>Movie</v>
      </c>
    </row>
    <row r="1978">
      <c r="A1978" s="1" t="s">
        <v>11355</v>
      </c>
      <c r="B1978" s="1" t="s">
        <v>27</v>
      </c>
      <c r="C1978" s="1" t="s">
        <v>11356</v>
      </c>
      <c r="D1978" s="1" t="s">
        <v>11357</v>
      </c>
      <c r="E1978" s="1" t="s">
        <v>11358</v>
      </c>
      <c r="F1978" s="1" t="s">
        <v>63</v>
      </c>
      <c r="G1978" s="1" t="s">
        <v>11332</v>
      </c>
      <c r="H1978" s="1">
        <v>2014.0</v>
      </c>
      <c r="I1978" s="1" t="s">
        <v>42</v>
      </c>
      <c r="J1978" s="1" t="s">
        <v>238</v>
      </c>
      <c r="K1978" s="1" t="s">
        <v>298</v>
      </c>
      <c r="L1978" s="1" t="s">
        <v>11359</v>
      </c>
      <c r="M1978" s="2" t="s">
        <v>12</v>
      </c>
      <c r="N1978" s="4">
        <f t="shared" si="1"/>
        <v>44093</v>
      </c>
      <c r="O1978" s="5" t="str">
        <f>IFERROR(__xludf.DUMMYFUNCTION("IF(REGEXMATCH(TRIM(I1978), ""^\d+\s*min""), ""Unclassified"", IF(I1978 = """", ""NR"", I1978))"),"TV-MA")</f>
        <v>TV-MA</v>
      </c>
      <c r="R1978" s="5" t="str">
        <f t="shared" si="2"/>
        <v>The Royal Bengal Tiger</v>
      </c>
      <c r="S1978" s="5" t="str">
        <f>IFERROR(__xludf.DUMMYFUNCTION("""COMPUTED_VALUE"""),"Die Ontwaking")</f>
        <v>Die Ontwaking</v>
      </c>
      <c r="U1978" s="5" t="str">
        <f>IFERROR(__xludf.DUMMYFUNCTION("""COMPUTED_VALUE"""),"Luis Alberto Restrepo, Andrés Beltrán, Jaime Rayo")</f>
        <v>Luis Alberto Restrepo, Andrés Beltrán, Jaime Rayo</v>
      </c>
      <c r="V1978" s="5" t="s">
        <v>11360</v>
      </c>
      <c r="W1978" s="5" t="str">
        <f t="shared" si="3"/>
        <v>John L. Spencer</v>
      </c>
      <c r="X1978" s="5">
        <f t="shared" si="4"/>
        <v>1</v>
      </c>
      <c r="Y1978" s="5" t="str">
        <f>IFERROR(__xludf.DUMMYFUNCTION("REGEXEXTRACT(J1978, ""^\d+"")"),"103")</f>
        <v>103</v>
      </c>
      <c r="Z1978" s="5" t="str">
        <f>IFERROR(__xludf.DUMMYFUNCTION("REGEXEXTRACT(J1978, ""[A-Za-z ]+$"")")," min")</f>
        <v> min</v>
      </c>
      <c r="AA1978" s="5" t="str">
        <f>IFERROR(__xludf.DUMMYFUNCTION("IF(REGEXMATCH(Z1978, ""Season""), ""TV Show"", ""Movie"")"),"Movie")</f>
        <v>Movie</v>
      </c>
    </row>
    <row r="1979">
      <c r="A1979" s="1" t="s">
        <v>11361</v>
      </c>
      <c r="B1979" s="1" t="s">
        <v>27</v>
      </c>
      <c r="C1979" s="1" t="s">
        <v>11362</v>
      </c>
      <c r="D1979" s="1" t="s">
        <v>886</v>
      </c>
      <c r="E1979" s="1" t="s">
        <v>11363</v>
      </c>
      <c r="F1979" s="1" t="s">
        <v>63</v>
      </c>
      <c r="G1979" s="1" t="s">
        <v>11364</v>
      </c>
      <c r="H1979" s="1">
        <v>2020.0</v>
      </c>
      <c r="I1979" s="1" t="s">
        <v>42</v>
      </c>
      <c r="J1979" s="1" t="s">
        <v>985</v>
      </c>
      <c r="K1979" s="1" t="s">
        <v>89</v>
      </c>
      <c r="L1979" s="1" t="s">
        <v>11365</v>
      </c>
      <c r="M1979" s="2" t="s">
        <v>12</v>
      </c>
      <c r="N1979" s="4">
        <f t="shared" si="1"/>
        <v>44092</v>
      </c>
      <c r="O1979" s="5" t="str">
        <f>IFERROR(__xludf.DUMMYFUNCTION("IF(REGEXMATCH(TRIM(I1979), ""^\d+\s*min""), ""Unclassified"", IF(I1979 = """", ""NR"", I1979))"),"TV-MA")</f>
        <v>TV-MA</v>
      </c>
      <c r="R1979" s="5" t="str">
        <f t="shared" si="2"/>
        <v>Dolly Kitty Aur Woh Chamakte Sitare</v>
      </c>
      <c r="S1979" s="5" t="str">
        <f>IFERROR(__xludf.DUMMYFUNCTION("""COMPUTED_VALUE"""),"Dieter Nuhr: Nuhr In Berlin")</f>
        <v>Dieter Nuhr: Nuhr In Berlin</v>
      </c>
      <c r="U1979" s="5" t="str">
        <f>IFERROR(__xludf.DUMMYFUNCTION("""COMPUTED_VALUE"""),"Hideaki Anno")</f>
        <v>Hideaki Anno</v>
      </c>
      <c r="V1979" s="5" t="s">
        <v>11366</v>
      </c>
      <c r="W1979" s="5" t="str">
        <f t="shared" si="3"/>
        <v>John Lee</v>
      </c>
      <c r="X1979" s="5">
        <f t="shared" si="4"/>
        <v>1</v>
      </c>
      <c r="Y1979" s="5" t="str">
        <f>IFERROR(__xludf.DUMMYFUNCTION("REGEXEXTRACT(J1979, ""^\d+"")"),"120")</f>
        <v>120</v>
      </c>
      <c r="Z1979" s="5" t="str">
        <f>IFERROR(__xludf.DUMMYFUNCTION("REGEXEXTRACT(J1979, ""[A-Za-z ]+$"")")," min")</f>
        <v> min</v>
      </c>
      <c r="AA1979" s="5" t="str">
        <f>IFERROR(__xludf.DUMMYFUNCTION("IF(REGEXMATCH(Z1979, ""Season""), ""TV Show"", ""Movie"")"),"Movie")</f>
        <v>Movie</v>
      </c>
    </row>
    <row r="1980">
      <c r="A1980" s="1" t="s">
        <v>11367</v>
      </c>
      <c r="B1980" s="1" t="s">
        <v>37</v>
      </c>
      <c r="C1980" s="1" t="s">
        <v>11368</v>
      </c>
      <c r="E1980" s="1" t="s">
        <v>11369</v>
      </c>
      <c r="F1980" s="1" t="s">
        <v>30</v>
      </c>
      <c r="G1980" s="1" t="s">
        <v>11364</v>
      </c>
      <c r="H1980" s="1">
        <v>2020.0</v>
      </c>
      <c r="I1980" s="1" t="s">
        <v>42</v>
      </c>
      <c r="J1980" s="1" t="s">
        <v>51</v>
      </c>
      <c r="K1980" s="1" t="s">
        <v>71</v>
      </c>
      <c r="L1980" s="1" t="s">
        <v>11370</v>
      </c>
      <c r="M1980" s="2" t="s">
        <v>12</v>
      </c>
      <c r="N1980" s="4">
        <f t="shared" si="1"/>
        <v>44092</v>
      </c>
      <c r="O1980" s="5" t="str">
        <f>IFERROR(__xludf.DUMMYFUNCTION("IF(REGEXMATCH(TRIM(I1980), ""^\d+\s*min""), ""Unclassified"", IF(I1980 = """", ""NR"", I1980))"),"TV-MA")</f>
        <v>TV-MA</v>
      </c>
      <c r="R1980" s="5" t="str">
        <f t="shared" si="2"/>
        <v>Ratched</v>
      </c>
      <c r="S1980" s="5" t="str">
        <f>IFERROR(__xludf.DUMMYFUNCTION("""COMPUTED_VALUE"""),"Digs &amp; Discoveries: All Track'S Lead To Rome")</f>
        <v>Digs &amp; Discoveries: All Track'S Lead To Rome</v>
      </c>
      <c r="U1980" s="5" t="str">
        <f>IFERROR(__xludf.DUMMYFUNCTION("""COMPUTED_VALUE"""),"Hideaki Anno, Kazuya Tsurumaki")</f>
        <v>Hideaki Anno, Kazuya Tsurumaki</v>
      </c>
      <c r="V1980" s="5" t="s">
        <v>11371</v>
      </c>
      <c r="W1980" s="5" t="str">
        <f t="shared" si="3"/>
        <v>John Lee Hancock</v>
      </c>
      <c r="X1980" s="5">
        <f t="shared" si="4"/>
        <v>3</v>
      </c>
      <c r="Y1980" s="5" t="str">
        <f>IFERROR(__xludf.DUMMYFUNCTION("REGEXEXTRACT(J1980, ""^\d+"")"),"1")</f>
        <v>1</v>
      </c>
      <c r="Z1980" s="5" t="str">
        <f>IFERROR(__xludf.DUMMYFUNCTION("REGEXEXTRACT(J1980, ""[A-Za-z ]+$"")")," Season")</f>
        <v> Season</v>
      </c>
      <c r="AA1980" s="5" t="str">
        <f>IFERROR(__xludf.DUMMYFUNCTION("IF(REGEXMATCH(Z1980, ""Season""), ""TV Show"", ""Movie"")"),"TV Show")</f>
        <v>TV Show</v>
      </c>
    </row>
    <row r="1981">
      <c r="A1981" s="1" t="s">
        <v>11372</v>
      </c>
      <c r="B1981" s="1" t="s">
        <v>37</v>
      </c>
      <c r="C1981" s="1" t="s">
        <v>11373</v>
      </c>
      <c r="E1981" s="1" t="s">
        <v>11374</v>
      </c>
      <c r="F1981" s="1" t="s">
        <v>30</v>
      </c>
      <c r="G1981" s="1" t="s">
        <v>11364</v>
      </c>
      <c r="H1981" s="1">
        <v>2020.0</v>
      </c>
      <c r="I1981" s="1" t="s">
        <v>506</v>
      </c>
      <c r="J1981" s="1" t="s">
        <v>51</v>
      </c>
      <c r="K1981" s="1" t="s">
        <v>440</v>
      </c>
      <c r="L1981" s="1" t="s">
        <v>11375</v>
      </c>
      <c r="M1981" s="2" t="s">
        <v>12</v>
      </c>
      <c r="N1981" s="4">
        <f t="shared" si="1"/>
        <v>44092</v>
      </c>
      <c r="O1981" s="5" t="str">
        <f>IFERROR(__xludf.DUMMYFUNCTION("IF(REGEXMATCH(TRIM(I1981), ""^\d+\s*min""), ""Unclassified"", IF(I1981 = """", ""NR"", I1981))"),"TV-G")</f>
        <v>TV-G</v>
      </c>
      <c r="R1981" s="5" t="str">
        <f t="shared" si="2"/>
        <v>The American Barbecue Showdown</v>
      </c>
      <c r="S1981" s="5" t="str">
        <f>IFERROR(__xludf.DUMMYFUNCTION("""COMPUTED_VALUE"""),"Digs &amp; Discoveries: Mines Of Mystery")</f>
        <v>Digs &amp; Discoveries: Mines Of Mystery</v>
      </c>
      <c r="U1981" s="5" t="str">
        <f>IFERROR(__xludf.DUMMYFUNCTION("""COMPUTED_VALUE"""),"Abhijit Kokate, Srivinay Salian")</f>
        <v>Abhijit Kokate, Srivinay Salian</v>
      </c>
      <c r="V1981" s="5" t="s">
        <v>6732</v>
      </c>
      <c r="W1981" s="5" t="str">
        <f t="shared" si="3"/>
        <v>John Luessenhop</v>
      </c>
      <c r="X1981" s="5">
        <f t="shared" si="4"/>
        <v>1</v>
      </c>
      <c r="Y1981" s="5" t="str">
        <f>IFERROR(__xludf.DUMMYFUNCTION("REGEXEXTRACT(J1981, ""^\d+"")"),"1")</f>
        <v>1</v>
      </c>
      <c r="Z1981" s="5" t="str">
        <f>IFERROR(__xludf.DUMMYFUNCTION("REGEXEXTRACT(J1981, ""[A-Za-z ]+$"")")," Season")</f>
        <v> Season</v>
      </c>
      <c r="AA1981" s="5" t="str">
        <f>IFERROR(__xludf.DUMMYFUNCTION("IF(REGEXMATCH(Z1981, ""Season""), ""TV Show"", ""Movie"")"),"TV Show")</f>
        <v>TV Show</v>
      </c>
    </row>
    <row r="1982">
      <c r="A1982" s="1" t="s">
        <v>11376</v>
      </c>
      <c r="B1982" s="1" t="s">
        <v>37</v>
      </c>
      <c r="C1982" s="1" t="s">
        <v>11377</v>
      </c>
      <c r="E1982" s="1" t="s">
        <v>11378</v>
      </c>
      <c r="F1982" s="1" t="s">
        <v>30</v>
      </c>
      <c r="G1982" s="1" t="s">
        <v>11364</v>
      </c>
      <c r="H1982" s="1">
        <v>2019.0</v>
      </c>
      <c r="I1982" s="1" t="s">
        <v>97</v>
      </c>
      <c r="J1982" s="1" t="s">
        <v>1809</v>
      </c>
      <c r="K1982" s="1" t="s">
        <v>4173</v>
      </c>
      <c r="L1982" s="1" t="s">
        <v>11379</v>
      </c>
      <c r="M1982" s="2" t="s">
        <v>12</v>
      </c>
      <c r="N1982" s="4">
        <f t="shared" si="1"/>
        <v>44092</v>
      </c>
      <c r="O1982" s="5" t="str">
        <f>IFERROR(__xludf.DUMMYFUNCTION("IF(REGEXMATCH(TRIM(I1982), ""^\d+\s*min""), ""Unclassified"", IF(I1982 = """", ""NR"", I1982))"),"TV-14")</f>
        <v>TV-14</v>
      </c>
      <c r="R1982" s="5" t="str">
        <f t="shared" si="2"/>
        <v>The Blacklist</v>
      </c>
      <c r="S1982" s="5" t="str">
        <f>IFERROR(__xludf.DUMMYFUNCTION("""COMPUTED_VALUE"""),"Dil")</f>
        <v>Dil</v>
      </c>
      <c r="U1982" s="5" t="str">
        <f>IFERROR(__xludf.DUMMYFUNCTION("""COMPUTED_VALUE"""),"Antonin Baudry")</f>
        <v>Antonin Baudry</v>
      </c>
      <c r="V1982" s="5" t="s">
        <v>11380</v>
      </c>
      <c r="W1982" s="5" t="str">
        <f t="shared" si="3"/>
        <v>John Lyde</v>
      </c>
      <c r="X1982" s="5">
        <f t="shared" si="4"/>
        <v>1</v>
      </c>
      <c r="Y1982" s="5" t="str">
        <f>IFERROR(__xludf.DUMMYFUNCTION("REGEXEXTRACT(J1982, ""^\d+"")"),"7")</f>
        <v>7</v>
      </c>
      <c r="Z1982" s="5" t="str">
        <f>IFERROR(__xludf.DUMMYFUNCTION("REGEXEXTRACT(J1982, ""[A-Za-z ]+$"")")," Seasons")</f>
        <v> Seasons</v>
      </c>
      <c r="AA1982" s="5" t="str">
        <f>IFERROR(__xludf.DUMMYFUNCTION("IF(REGEXMATCH(Z1982, ""Season""), ""TV Show"", ""Movie"")"),"TV Show")</f>
        <v>TV Show</v>
      </c>
    </row>
    <row r="1983">
      <c r="A1983" s="1" t="s">
        <v>11381</v>
      </c>
      <c r="B1983" s="1" t="s">
        <v>27</v>
      </c>
      <c r="C1983" s="1" t="s">
        <v>11382</v>
      </c>
      <c r="D1983" s="1" t="s">
        <v>4371</v>
      </c>
      <c r="E1983" s="1" t="s">
        <v>11383</v>
      </c>
      <c r="F1983" s="1" t="s">
        <v>2873</v>
      </c>
      <c r="G1983" s="1" t="s">
        <v>11364</v>
      </c>
      <c r="H1983" s="1">
        <v>2020.0</v>
      </c>
      <c r="I1983" s="1" t="s">
        <v>97</v>
      </c>
      <c r="J1983" s="1" t="s">
        <v>357</v>
      </c>
      <c r="K1983" s="1" t="s">
        <v>215</v>
      </c>
      <c r="L1983" s="1" t="s">
        <v>11384</v>
      </c>
      <c r="M1983" s="2" t="s">
        <v>12</v>
      </c>
      <c r="N1983" s="4">
        <f t="shared" si="1"/>
        <v>44092</v>
      </c>
      <c r="O1983" s="5" t="str">
        <f>IFERROR(__xludf.DUMMYFUNCTION("IF(REGEXMATCH(TRIM(I1983), ""^\d+\s*min""), ""Unclassified"", IF(I1983 = """", ""NR"", I1983))"),"TV-14")</f>
        <v>TV-14</v>
      </c>
      <c r="R1983" s="5" t="str">
        <f t="shared" si="2"/>
        <v>Whipped</v>
      </c>
      <c r="S1983" s="5" t="str">
        <f>IFERROR(__xludf.DUMMYFUNCTION("""COMPUTED_VALUE"""),"Dil Chahta Hai")</f>
        <v>Dil Chahta Hai</v>
      </c>
      <c r="U1983" s="5" t="str">
        <f>IFERROR(__xludf.DUMMYFUNCTION("""COMPUTED_VALUE"""),"Jon Watts")</f>
        <v>Jon Watts</v>
      </c>
      <c r="V1983" s="5" t="s">
        <v>11385</v>
      </c>
      <c r="W1983" s="5" t="str">
        <f t="shared" si="3"/>
        <v>John Maclean</v>
      </c>
      <c r="X1983" s="5">
        <f t="shared" si="4"/>
        <v>1</v>
      </c>
      <c r="Y1983" s="5" t="str">
        <f>IFERROR(__xludf.DUMMYFUNCTION("REGEXEXTRACT(J1983, ""^\d+"")"),"98")</f>
        <v>98</v>
      </c>
      <c r="Z1983" s="5" t="str">
        <f>IFERROR(__xludf.DUMMYFUNCTION("REGEXEXTRACT(J1983, ""[A-Za-z ]+$"")")," min")</f>
        <v> min</v>
      </c>
      <c r="AA1983" s="5" t="str">
        <f>IFERROR(__xludf.DUMMYFUNCTION("IF(REGEXMATCH(Z1983, ""Season""), ""TV Show"", ""Movie"")"),"Movie")</f>
        <v>Movie</v>
      </c>
    </row>
    <row r="1984">
      <c r="A1984" s="1" t="s">
        <v>11386</v>
      </c>
      <c r="B1984" s="1" t="s">
        <v>27</v>
      </c>
      <c r="C1984" s="1" t="s">
        <v>11387</v>
      </c>
      <c r="D1984" s="1" t="s">
        <v>11388</v>
      </c>
      <c r="E1984" s="1" t="s">
        <v>11389</v>
      </c>
      <c r="F1984" s="1" t="s">
        <v>63</v>
      </c>
      <c r="G1984" s="1" t="s">
        <v>11390</v>
      </c>
      <c r="H1984" s="1">
        <v>2014.0</v>
      </c>
      <c r="I1984" s="1" t="s">
        <v>97</v>
      </c>
      <c r="J1984" s="1" t="s">
        <v>2281</v>
      </c>
      <c r="K1984" s="1" t="s">
        <v>631</v>
      </c>
      <c r="L1984" s="1" t="s">
        <v>11391</v>
      </c>
      <c r="M1984" s="2" t="s">
        <v>12</v>
      </c>
      <c r="N1984" s="4">
        <f t="shared" si="1"/>
        <v>44091</v>
      </c>
      <c r="O1984" s="5" t="str">
        <f>IFERROR(__xludf.DUMMYFUNCTION("IF(REGEXMATCH(TRIM(I1984), ""^\d+\s*min""), ""Unclassified"", IF(I1984 = """", ""NR"", I1984))"),"TV-14")</f>
        <v>TV-14</v>
      </c>
      <c r="R1984" s="5" t="str">
        <f t="shared" si="2"/>
        <v>Anaamika</v>
      </c>
      <c r="S1984" s="5" t="str">
        <f>IFERROR(__xludf.DUMMYFUNCTION("""COMPUTED_VALUE"""),"Dil Dhadakne Do")</f>
        <v>Dil Dhadakne Do</v>
      </c>
      <c r="U1984" s="5" t="str">
        <f>IFERROR(__xludf.DUMMYFUNCTION("""COMPUTED_VALUE"""),"Jakob Lass")</f>
        <v>Jakob Lass</v>
      </c>
      <c r="V1984" s="5" t="s">
        <v>6053</v>
      </c>
      <c r="W1984" s="5" t="str">
        <f t="shared" si="3"/>
        <v>John Madden</v>
      </c>
      <c r="X1984" s="5">
        <f t="shared" si="4"/>
        <v>1</v>
      </c>
      <c r="Y1984" s="5" t="str">
        <f>IFERROR(__xludf.DUMMYFUNCTION("REGEXEXTRACT(J1984, ""^\d+"")"),"130")</f>
        <v>130</v>
      </c>
      <c r="Z1984" s="5" t="str">
        <f>IFERROR(__xludf.DUMMYFUNCTION("REGEXEXTRACT(J1984, ""[A-Za-z ]+$"")")," min")</f>
        <v> min</v>
      </c>
      <c r="AA1984" s="5" t="str">
        <f>IFERROR(__xludf.DUMMYFUNCTION("IF(REGEXMATCH(Z1984, ""Season""), ""TV Show"", ""Movie"")"),"Movie")</f>
        <v>Movie</v>
      </c>
    </row>
    <row r="1985">
      <c r="A1985" s="1" t="s">
        <v>11392</v>
      </c>
      <c r="B1985" s="1" t="s">
        <v>37</v>
      </c>
      <c r="C1985" s="1" t="s">
        <v>11393</v>
      </c>
      <c r="E1985" s="1" t="s">
        <v>11394</v>
      </c>
      <c r="G1985" s="1" t="s">
        <v>11390</v>
      </c>
      <c r="H1985" s="1">
        <v>2020.0</v>
      </c>
      <c r="I1985" s="1" t="s">
        <v>42</v>
      </c>
      <c r="J1985" s="1" t="s">
        <v>51</v>
      </c>
      <c r="K1985" s="1" t="s">
        <v>567</v>
      </c>
      <c r="L1985" s="1" t="s">
        <v>11395</v>
      </c>
      <c r="M1985" s="2" t="s">
        <v>12</v>
      </c>
      <c r="N1985" s="4">
        <f t="shared" si="1"/>
        <v>44091</v>
      </c>
      <c r="O1985" s="5" t="str">
        <f>IFERROR(__xludf.DUMMYFUNCTION("IF(REGEXMATCH(TRIM(I1985), ""^\d+\s*min""), ""Unclassified"", IF(I1985 = """", ""NR"", I1985))"),"TV-MA")</f>
        <v>TV-MA</v>
      </c>
      <c r="R1985" s="5" t="str">
        <f t="shared" si="2"/>
        <v>Dragon'S Dogma</v>
      </c>
      <c r="S1985" s="5" t="str">
        <f>IFERROR(__xludf.DUMMYFUNCTION("""COMPUTED_VALUE"""),"Dil Hai Tumhaara")</f>
        <v>Dil Hai Tumhaara</v>
      </c>
      <c r="U1985" s="5" t="str">
        <f>IFERROR(__xludf.DUMMYFUNCTION("""COMPUTED_VALUE"""),"John Haptas, Kristine Samuelson")</f>
        <v>John Haptas, Kristine Samuelson</v>
      </c>
      <c r="V1985" s="5" t="s">
        <v>11396</v>
      </c>
      <c r="W1985" s="5" t="str">
        <f t="shared" si="3"/>
        <v>John Michael Mcdonagh</v>
      </c>
      <c r="X1985" s="5">
        <f t="shared" si="4"/>
        <v>1</v>
      </c>
      <c r="Y1985" s="5" t="str">
        <f>IFERROR(__xludf.DUMMYFUNCTION("REGEXEXTRACT(J1985, ""^\d+"")"),"1")</f>
        <v>1</v>
      </c>
      <c r="Z1985" s="5" t="str">
        <f>IFERROR(__xludf.DUMMYFUNCTION("REGEXEXTRACT(J1985, ""[A-Za-z ]+$"")")," Season")</f>
        <v> Season</v>
      </c>
      <c r="AA1985" s="5" t="str">
        <f>IFERROR(__xludf.DUMMYFUNCTION("IF(REGEXMATCH(Z1985, ""Season""), ""TV Show"", ""Movie"")"),"TV Show")</f>
        <v>TV Show</v>
      </c>
    </row>
    <row r="1986">
      <c r="A1986" s="1" t="s">
        <v>11397</v>
      </c>
      <c r="B1986" s="1" t="s">
        <v>27</v>
      </c>
      <c r="C1986" s="1" t="s">
        <v>11398</v>
      </c>
      <c r="D1986" s="1" t="s">
        <v>7702</v>
      </c>
      <c r="E1986" s="1" t="s">
        <v>11399</v>
      </c>
      <c r="F1986" s="1" t="s">
        <v>664</v>
      </c>
      <c r="G1986" s="1" t="s">
        <v>11390</v>
      </c>
      <c r="H1986" s="1">
        <v>2020.0</v>
      </c>
      <c r="I1986" s="1" t="s">
        <v>42</v>
      </c>
      <c r="J1986" s="1" t="s">
        <v>322</v>
      </c>
      <c r="K1986" s="1" t="s">
        <v>2892</v>
      </c>
      <c r="L1986" s="1" t="s">
        <v>11400</v>
      </c>
      <c r="M1986" s="2" t="s">
        <v>12</v>
      </c>
      <c r="N1986" s="4">
        <f t="shared" si="1"/>
        <v>44091</v>
      </c>
      <c r="O1986" s="5" t="str">
        <f>IFERROR(__xludf.DUMMYFUNCTION("IF(REGEXMATCH(TRIM(I1986), ""^\d+\s*min""), ""Unclassified"", IF(I1986 = """", ""NR"", I1986))"),"TV-MA")</f>
        <v>TV-MA</v>
      </c>
      <c r="R1986" s="5" t="str">
        <f t="shared" si="2"/>
        <v>Gims: On The Record</v>
      </c>
      <c r="S1986" s="5" t="str">
        <f>IFERROR(__xludf.DUMMYFUNCTION("""COMPUTED_VALUE"""),"Dil Se")</f>
        <v>Dil Se</v>
      </c>
      <c r="U1986" s="5" t="str">
        <f>IFERROR(__xludf.DUMMYFUNCTION("""COMPUTED_VALUE"""),"Sanjay Jadhav")</f>
        <v>Sanjay Jadhav</v>
      </c>
      <c r="V1986" s="5" t="s">
        <v>11401</v>
      </c>
      <c r="W1986" s="5" t="str">
        <f t="shared" si="3"/>
        <v>John Mikulak, Joshua Brown</v>
      </c>
      <c r="X1986" s="5">
        <f t="shared" si="4"/>
        <v>1</v>
      </c>
      <c r="Y1986" s="5" t="str">
        <f>IFERROR(__xludf.DUMMYFUNCTION("REGEXEXTRACT(J1986, ""^\d+"")"),"96")</f>
        <v>96</v>
      </c>
      <c r="Z1986" s="5" t="str">
        <f>IFERROR(__xludf.DUMMYFUNCTION("REGEXEXTRACT(J1986, ""[A-Za-z ]+$"")")," min")</f>
        <v> min</v>
      </c>
      <c r="AA1986" s="5" t="str">
        <f>IFERROR(__xludf.DUMMYFUNCTION("IF(REGEXMATCH(Z1986, ""Season""), ""TV Show"", ""Movie"")"),"Movie")</f>
        <v>Movie</v>
      </c>
    </row>
    <row r="1987">
      <c r="A1987" s="1" t="s">
        <v>11402</v>
      </c>
      <c r="B1987" s="1" t="s">
        <v>27</v>
      </c>
      <c r="C1987" s="1" t="s">
        <v>11403</v>
      </c>
      <c r="D1987" s="1" t="s">
        <v>8135</v>
      </c>
      <c r="E1987" s="1" t="s">
        <v>11404</v>
      </c>
      <c r="F1987" s="1" t="s">
        <v>96</v>
      </c>
      <c r="G1987" s="1" t="s">
        <v>11390</v>
      </c>
      <c r="H1987" s="1">
        <v>2020.0</v>
      </c>
      <c r="I1987" s="1" t="s">
        <v>206</v>
      </c>
      <c r="J1987" s="1" t="s">
        <v>207</v>
      </c>
      <c r="K1987" s="1" t="s">
        <v>137</v>
      </c>
      <c r="L1987" s="1" t="s">
        <v>11405</v>
      </c>
      <c r="M1987" s="2" t="s">
        <v>12</v>
      </c>
      <c r="N1987" s="4">
        <f t="shared" si="1"/>
        <v>44091</v>
      </c>
      <c r="O1987" s="5" t="str">
        <f>IFERROR(__xludf.DUMMYFUNCTION("IF(REGEXMATCH(TRIM(I1987), ""^\d+\s*min""), ""Unclassified"", IF(I1987 = """", ""NR"", I1987))"),"TV-Y")</f>
        <v>TV-Y</v>
      </c>
      <c r="R1987" s="5" t="str">
        <f t="shared" si="2"/>
        <v>Horrid Henry'S Gross Day Out</v>
      </c>
      <c r="S1987" s="5" t="str">
        <f>IFERROR(__xludf.DUMMYFUNCTION("""COMPUTED_VALUE"""),"Dil Vil Pyaar Vyaar")</f>
        <v>Dil Vil Pyaar Vyaar</v>
      </c>
      <c r="U1987" s="5" t="str">
        <f>IFERROR(__xludf.DUMMYFUNCTION("""COMPUTED_VALUE"""),"Vinod Kapri")</f>
        <v>Vinod Kapri</v>
      </c>
      <c r="V1987" s="5" t="s">
        <v>11406</v>
      </c>
      <c r="W1987" s="5" t="str">
        <f t="shared" si="3"/>
        <v>John Milius</v>
      </c>
      <c r="X1987" s="5">
        <f t="shared" si="4"/>
        <v>1</v>
      </c>
      <c r="Y1987" s="5" t="str">
        <f>IFERROR(__xludf.DUMMYFUNCTION("REGEXEXTRACT(J1987, ""^\d+"")"),"61")</f>
        <v>61</v>
      </c>
      <c r="Z1987" s="5" t="str">
        <f>IFERROR(__xludf.DUMMYFUNCTION("REGEXEXTRACT(J1987, ""[A-Za-z ]+$"")")," min")</f>
        <v> min</v>
      </c>
      <c r="AA1987" s="5" t="str">
        <f>IFERROR(__xludf.DUMMYFUNCTION("IF(REGEXMATCH(Z1987, ""Season""), ""TV Show"", ""Movie"")"),"Movie")</f>
        <v>Movie</v>
      </c>
    </row>
    <row r="1988">
      <c r="A1988" s="1" t="s">
        <v>11407</v>
      </c>
      <c r="B1988" s="1" t="s">
        <v>27</v>
      </c>
      <c r="C1988" s="1" t="s">
        <v>11408</v>
      </c>
      <c r="D1988" s="1" t="s">
        <v>11388</v>
      </c>
      <c r="E1988" s="1" t="s">
        <v>11389</v>
      </c>
      <c r="G1988" s="1" t="s">
        <v>11390</v>
      </c>
      <c r="H1988" s="1">
        <v>2014.0</v>
      </c>
      <c r="I1988" s="1" t="s">
        <v>97</v>
      </c>
      <c r="J1988" s="1" t="s">
        <v>4242</v>
      </c>
      <c r="K1988" s="1" t="s">
        <v>631</v>
      </c>
      <c r="L1988" s="1" t="s">
        <v>11391</v>
      </c>
      <c r="M1988" s="2" t="s">
        <v>12</v>
      </c>
      <c r="N1988" s="4">
        <f t="shared" si="1"/>
        <v>44091</v>
      </c>
      <c r="O1988" s="5" t="str">
        <f>IFERROR(__xludf.DUMMYFUNCTION("IF(REGEXMATCH(TRIM(I1988), ""^\d+\s*min""), ""Unclassified"", IF(I1988 = """", ""NR"", I1988))"),"TV-14")</f>
        <v>TV-14</v>
      </c>
      <c r="R1988" s="5" t="str">
        <f t="shared" si="2"/>
        <v>Nee Enge En Anbe</v>
      </c>
      <c r="S1988" s="5" t="str">
        <f>IFERROR(__xludf.DUMMYFUNCTION("""COMPUTED_VALUE"""),"Dilan 1990")</f>
        <v>Dilan 1990</v>
      </c>
      <c r="U1988" s="5" t="str">
        <f>IFERROR(__xludf.DUMMYFUNCTION("""COMPUTED_VALUE"""),"Elías León")</f>
        <v>Elías León</v>
      </c>
      <c r="V1988" s="5" t="s">
        <v>8795</v>
      </c>
      <c r="W1988" s="5" t="str">
        <f t="shared" si="3"/>
        <v>John Mitchell, Jeremy Kipp Walker</v>
      </c>
      <c r="X1988" s="5">
        <f t="shared" si="4"/>
        <v>1</v>
      </c>
      <c r="Y1988" s="5" t="str">
        <f>IFERROR(__xludf.DUMMYFUNCTION("REGEXEXTRACT(J1988, ""^\d+"")"),"137")</f>
        <v>137</v>
      </c>
      <c r="Z1988" s="5" t="str">
        <f>IFERROR(__xludf.DUMMYFUNCTION("REGEXEXTRACT(J1988, ""[A-Za-z ]+$"")")," min")</f>
        <v> min</v>
      </c>
      <c r="AA1988" s="5" t="str">
        <f>IFERROR(__xludf.DUMMYFUNCTION("IF(REGEXMATCH(Z1988, ""Season""), ""TV Show"", ""Movie"")"),"Movie")</f>
        <v>Movie</v>
      </c>
    </row>
    <row r="1989">
      <c r="A1989" s="1" t="s">
        <v>11409</v>
      </c>
      <c r="B1989" s="1" t="s">
        <v>27</v>
      </c>
      <c r="C1989" s="1" t="s">
        <v>11410</v>
      </c>
      <c r="D1989" s="1" t="s">
        <v>11411</v>
      </c>
      <c r="E1989" s="1" t="s">
        <v>11412</v>
      </c>
      <c r="F1989" s="1" t="s">
        <v>30</v>
      </c>
      <c r="G1989" s="1" t="s">
        <v>11390</v>
      </c>
      <c r="H1989" s="1">
        <v>2020.0</v>
      </c>
      <c r="I1989" s="1" t="s">
        <v>42</v>
      </c>
      <c r="J1989" s="1" t="s">
        <v>33</v>
      </c>
      <c r="K1989" s="1" t="s">
        <v>1320</v>
      </c>
      <c r="L1989" s="1" t="s">
        <v>11413</v>
      </c>
      <c r="M1989" s="2" t="s">
        <v>12</v>
      </c>
      <c r="N1989" s="4">
        <f t="shared" si="1"/>
        <v>44091</v>
      </c>
      <c r="O1989" s="5" t="str">
        <f>IFERROR(__xludf.DUMMYFUNCTION("IF(REGEXMATCH(TRIM(I1989), ""^\d+\s*min""), ""Unclassified"", IF(I1989 = """", ""NR"", I1989))"),"TV-MA")</f>
        <v>TV-MA</v>
      </c>
      <c r="R1989" s="5" t="str">
        <f t="shared" si="2"/>
        <v>Residue</v>
      </c>
      <c r="S1989" s="5" t="str">
        <f>IFERROR(__xludf.DUMMYFUNCTION("""COMPUTED_VALUE"""),"Dilan 1991")</f>
        <v>Dilan 1991</v>
      </c>
      <c r="U1989" s="5" t="str">
        <f>IFERROR(__xludf.DUMMYFUNCTION("""COMPUTED_VALUE"""),"Kyle Newacheck")</f>
        <v>Kyle Newacheck</v>
      </c>
      <c r="V1989" s="5" t="s">
        <v>11414</v>
      </c>
      <c r="W1989" s="5" t="str">
        <f t="shared" si="3"/>
        <v>John Murlowski</v>
      </c>
      <c r="X1989" s="5">
        <f t="shared" si="4"/>
        <v>1</v>
      </c>
      <c r="Y1989" s="5" t="str">
        <f>IFERROR(__xludf.DUMMYFUNCTION("REGEXEXTRACT(J1989, ""^\d+"")"),"90")</f>
        <v>90</v>
      </c>
      <c r="Z1989" s="5" t="str">
        <f>IFERROR(__xludf.DUMMYFUNCTION("REGEXEXTRACT(J1989, ""[A-Za-z ]+$"")")," min")</f>
        <v> min</v>
      </c>
      <c r="AA1989" s="5" t="str">
        <f>IFERROR(__xludf.DUMMYFUNCTION("IF(REGEXMATCH(Z1989, ""Season""), ""TV Show"", ""Movie"")"),"Movie")</f>
        <v>Movie</v>
      </c>
    </row>
    <row r="1990">
      <c r="A1990" s="1" t="s">
        <v>11415</v>
      </c>
      <c r="B1990" s="1" t="s">
        <v>37</v>
      </c>
      <c r="C1990" s="1" t="s">
        <v>11416</v>
      </c>
      <c r="E1990" s="1" t="s">
        <v>11417</v>
      </c>
      <c r="F1990" s="1" t="s">
        <v>2492</v>
      </c>
      <c r="G1990" s="1" t="s">
        <v>11390</v>
      </c>
      <c r="H1990" s="1">
        <v>2020.0</v>
      </c>
      <c r="I1990" s="1" t="s">
        <v>42</v>
      </c>
      <c r="J1990" s="1" t="s">
        <v>51</v>
      </c>
      <c r="K1990" s="1" t="s">
        <v>1531</v>
      </c>
      <c r="L1990" s="1" t="s">
        <v>11418</v>
      </c>
      <c r="M1990" s="2" t="s">
        <v>12</v>
      </c>
      <c r="N1990" s="4">
        <f t="shared" si="1"/>
        <v>44091</v>
      </c>
      <c r="O1990" s="5" t="str">
        <f>IFERROR(__xludf.DUMMYFUNCTION("IF(REGEXMATCH(TRIM(I1990), ""^\d+\s*min""), ""Unclassified"", IF(I1990 = """", ""NR"", I1990))"),"TV-MA")</f>
        <v>TV-MA</v>
      </c>
      <c r="R1990" s="5" t="str">
        <f t="shared" si="2"/>
        <v>The Last Word</v>
      </c>
      <c r="S1990" s="5" t="str">
        <f>IFERROR(__xludf.DUMMYFUNCTION("""COMPUTED_VALUE"""),"Dilwale")</f>
        <v>Dilwale</v>
      </c>
      <c r="U1990" s="5" t="str">
        <f>IFERROR(__xludf.DUMMYFUNCTION("""COMPUTED_VALUE"""),"Mark Ritchie")</f>
        <v>Mark Ritchie</v>
      </c>
      <c r="V1990" s="5" t="s">
        <v>11419</v>
      </c>
      <c r="W1990" s="5" t="str">
        <f t="shared" si="3"/>
        <v>John Papola</v>
      </c>
      <c r="X1990" s="5">
        <f t="shared" si="4"/>
        <v>1</v>
      </c>
      <c r="Y1990" s="5" t="str">
        <f>IFERROR(__xludf.DUMMYFUNCTION("REGEXEXTRACT(J1990, ""^\d+"")"),"1")</f>
        <v>1</v>
      </c>
      <c r="Z1990" s="5" t="str">
        <f>IFERROR(__xludf.DUMMYFUNCTION("REGEXEXTRACT(J1990, ""[A-Za-z ]+$"")")," Season")</f>
        <v> Season</v>
      </c>
      <c r="AA1990" s="5" t="str">
        <f>IFERROR(__xludf.DUMMYFUNCTION("IF(REGEXMATCH(Z1990, ""Season""), ""TV Show"", ""Movie"")"),"TV Show")</f>
        <v>TV Show</v>
      </c>
    </row>
    <row r="1991">
      <c r="A1991" s="1" t="s">
        <v>11420</v>
      </c>
      <c r="B1991" s="1" t="s">
        <v>37</v>
      </c>
      <c r="C1991" s="1" t="s">
        <v>11421</v>
      </c>
      <c r="E1991" s="1" t="s">
        <v>11422</v>
      </c>
      <c r="F1991" s="1" t="s">
        <v>1779</v>
      </c>
      <c r="G1991" s="1" t="s">
        <v>11423</v>
      </c>
      <c r="H1991" s="1">
        <v>2020.0</v>
      </c>
      <c r="I1991" s="1" t="s">
        <v>42</v>
      </c>
      <c r="J1991" s="1" t="s">
        <v>276</v>
      </c>
      <c r="K1991" s="1" t="s">
        <v>1830</v>
      </c>
      <c r="L1991" s="1" t="s">
        <v>11424</v>
      </c>
      <c r="M1991" s="2" t="s">
        <v>12</v>
      </c>
      <c r="N1991" s="4">
        <f t="shared" si="1"/>
        <v>44090</v>
      </c>
      <c r="O1991" s="5" t="str">
        <f>IFERROR(__xludf.DUMMYFUNCTION("IF(REGEXMATCH(TRIM(I1991), ""^\d+\s*min""), ""Unclassified"", IF(I1991 = """", ""NR"", I1991))"),"TV-MA")</f>
        <v>TV-MA</v>
      </c>
      <c r="R1991" s="5" t="str">
        <f t="shared" si="2"/>
        <v>Baby</v>
      </c>
      <c r="S1991" s="5" t="str">
        <f>IFERROR(__xludf.DUMMYFUNCTION("""COMPUTED_VALUE"""),"Dinner For Five")</f>
        <v>Dinner For Five</v>
      </c>
      <c r="U1991" s="5" t="str">
        <f>IFERROR(__xludf.DUMMYFUNCTION("""COMPUTED_VALUE"""),"Rocky Soraya")</f>
        <v>Rocky Soraya</v>
      </c>
      <c r="V1991" s="5" t="s">
        <v>11425</v>
      </c>
      <c r="W1991" s="5" t="str">
        <f t="shared" si="3"/>
        <v>John Patrick Shanley</v>
      </c>
      <c r="X1991" s="5">
        <f t="shared" si="4"/>
        <v>1</v>
      </c>
      <c r="Y1991" s="5" t="str">
        <f>IFERROR(__xludf.DUMMYFUNCTION("REGEXEXTRACT(J1991, ""^\d+"")"),"3")</f>
        <v>3</v>
      </c>
      <c r="Z1991" s="5" t="str">
        <f>IFERROR(__xludf.DUMMYFUNCTION("REGEXEXTRACT(J1991, ""[A-Za-z ]+$"")")," Seasons")</f>
        <v> Seasons</v>
      </c>
      <c r="AA1991" s="5" t="str">
        <f>IFERROR(__xludf.DUMMYFUNCTION("IF(REGEXMATCH(Z1991, ""Season""), ""TV Show"", ""Movie"")"),"TV Show")</f>
        <v>TV Show</v>
      </c>
    </row>
    <row r="1992">
      <c r="A1992" s="1" t="s">
        <v>11426</v>
      </c>
      <c r="B1992" s="1" t="s">
        <v>37</v>
      </c>
      <c r="C1992" s="1" t="s">
        <v>11427</v>
      </c>
      <c r="F1992" s="1" t="s">
        <v>30</v>
      </c>
      <c r="G1992" s="1" t="s">
        <v>11423</v>
      </c>
      <c r="H1992" s="1">
        <v>2020.0</v>
      </c>
      <c r="I1992" s="1" t="s">
        <v>97</v>
      </c>
      <c r="J1992" s="1" t="s">
        <v>51</v>
      </c>
      <c r="K1992" s="1" t="s">
        <v>736</v>
      </c>
      <c r="L1992" s="1" t="s">
        <v>11428</v>
      </c>
      <c r="M1992" s="2" t="s">
        <v>12</v>
      </c>
      <c r="N1992" s="4">
        <f t="shared" si="1"/>
        <v>44090</v>
      </c>
      <c r="O1992" s="5" t="str">
        <f>IFERROR(__xludf.DUMMYFUNCTION("IF(REGEXMATCH(TRIM(I1992), ""^\d+\s*min""), ""Unclassified"", IF(I1992 = """", ""NR"", I1992))"),"TV-14")</f>
        <v>TV-14</v>
      </c>
      <c r="R1992" s="5" t="str">
        <f t="shared" si="2"/>
        <v>Challenger</v>
      </c>
      <c r="S1992" s="5" t="str">
        <f>IFERROR(__xludf.DUMMYFUNCTION("""COMPUTED_VALUE"""),"Dinner For Schmucks")</f>
        <v>Dinner For Schmucks</v>
      </c>
      <c r="U1992" s="5" t="str">
        <f>IFERROR(__xludf.DUMMYFUNCTION("""COMPUTED_VALUE"""),"Federico Veiroj")</f>
        <v>Federico Veiroj</v>
      </c>
      <c r="V1992" s="5" t="s">
        <v>8886</v>
      </c>
      <c r="W1992" s="5" t="str">
        <f t="shared" si="3"/>
        <v>John Putch</v>
      </c>
      <c r="X1992" s="5">
        <f t="shared" si="4"/>
        <v>1</v>
      </c>
      <c r="Y1992" s="5" t="str">
        <f>IFERROR(__xludf.DUMMYFUNCTION("REGEXEXTRACT(J1992, ""^\d+"")"),"1")</f>
        <v>1</v>
      </c>
      <c r="Z1992" s="5" t="str">
        <f>IFERROR(__xludf.DUMMYFUNCTION("REGEXEXTRACT(J1992, ""[A-Za-z ]+$"")")," Season")</f>
        <v> Season</v>
      </c>
      <c r="AA1992" s="5" t="str">
        <f>IFERROR(__xludf.DUMMYFUNCTION("IF(REGEXMATCH(Z1992, ""Season""), ""TV Show"", ""Movie"")"),"TV Show")</f>
        <v>TV Show</v>
      </c>
    </row>
    <row r="1993">
      <c r="A1993" s="1" t="s">
        <v>11429</v>
      </c>
      <c r="B1993" s="1" t="s">
        <v>37</v>
      </c>
      <c r="C1993" s="1" t="s">
        <v>11430</v>
      </c>
      <c r="E1993" s="1" t="s">
        <v>11431</v>
      </c>
      <c r="F1993" s="1" t="s">
        <v>11432</v>
      </c>
      <c r="G1993" s="1" t="s">
        <v>11423</v>
      </c>
      <c r="H1993" s="1">
        <v>2020.0</v>
      </c>
      <c r="I1993" s="1" t="s">
        <v>42</v>
      </c>
      <c r="J1993" s="1" t="s">
        <v>43</v>
      </c>
      <c r="K1993" s="1" t="s">
        <v>3274</v>
      </c>
      <c r="L1993" s="1" t="s">
        <v>11433</v>
      </c>
      <c r="M1993" s="2" t="s">
        <v>12</v>
      </c>
      <c r="N1993" s="4">
        <f t="shared" si="1"/>
        <v>44090</v>
      </c>
      <c r="O1993" s="5" t="str">
        <f>IFERROR(__xludf.DUMMYFUNCTION("IF(REGEXMATCH(TRIM(I1993), ""^\d+\s*min""), ""Unclassified"", IF(I1993 = """", ""NR"", I1993))"),"TV-MA")</f>
        <v>TV-MA</v>
      </c>
      <c r="R1993" s="5" t="str">
        <f t="shared" si="2"/>
        <v>Criminal: Uk</v>
      </c>
      <c r="S1993" s="5" t="str">
        <f>IFERROR(__xludf.DUMMYFUNCTION("""COMPUTED_VALUE"""),"Dino Girl Gauko")</f>
        <v>Dino Girl Gauko</v>
      </c>
      <c r="U1993" s="5" t="str">
        <f>IFERROR(__xludf.DUMMYFUNCTION("""COMPUTED_VALUE"""),"Isabel Coixet")</f>
        <v>Isabel Coixet</v>
      </c>
      <c r="V1993" s="5" t="s">
        <v>11434</v>
      </c>
      <c r="W1993" s="5" t="str">
        <f t="shared" si="3"/>
        <v>John R. Leonetti</v>
      </c>
      <c r="X1993" s="5">
        <f t="shared" si="4"/>
        <v>1</v>
      </c>
      <c r="Y1993" s="5" t="str">
        <f>IFERROR(__xludf.DUMMYFUNCTION("REGEXEXTRACT(J1993, ""^\d+"")"),"2")</f>
        <v>2</v>
      </c>
      <c r="Z1993" s="5" t="str">
        <f>IFERROR(__xludf.DUMMYFUNCTION("REGEXEXTRACT(J1993, ""[A-Za-z ]+$"")")," Seasons")</f>
        <v> Seasons</v>
      </c>
      <c r="AA1993" s="5" t="str">
        <f>IFERROR(__xludf.DUMMYFUNCTION("IF(REGEXMATCH(Z1993, ""Season""), ""TV Show"", ""Movie"")"),"TV Show")</f>
        <v>TV Show</v>
      </c>
    </row>
    <row r="1994">
      <c r="A1994" s="1" t="s">
        <v>11435</v>
      </c>
      <c r="B1994" s="1" t="s">
        <v>27</v>
      </c>
      <c r="C1994" s="1" t="s">
        <v>11436</v>
      </c>
      <c r="D1994" s="1" t="s">
        <v>11437</v>
      </c>
      <c r="E1994" s="1" t="s">
        <v>11438</v>
      </c>
      <c r="G1994" s="1" t="s">
        <v>11423</v>
      </c>
      <c r="H1994" s="1">
        <v>2018.0</v>
      </c>
      <c r="I1994" s="1" t="s">
        <v>42</v>
      </c>
      <c r="J1994" s="1" t="s">
        <v>1993</v>
      </c>
      <c r="K1994" s="1" t="s">
        <v>1839</v>
      </c>
      <c r="L1994" s="1" t="s">
        <v>11439</v>
      </c>
      <c r="M1994" s="2" t="s">
        <v>12</v>
      </c>
      <c r="N1994" s="4">
        <f t="shared" si="1"/>
        <v>44090</v>
      </c>
      <c r="O1994" s="5" t="str">
        <f>IFERROR(__xludf.DUMMYFUNCTION("IF(REGEXMATCH(TRIM(I1994), ""^\d+\s*min""), ""Unclassified"", IF(I1994 = """", ""NR"", I1994))"),"TV-MA")</f>
        <v>TV-MA</v>
      </c>
      <c r="R1994" s="5" t="str">
        <f t="shared" si="2"/>
        <v>Dr Jason Leong Hashtag Blessed</v>
      </c>
      <c r="S1994" s="5" t="str">
        <f>IFERROR(__xludf.DUMMYFUNCTION("""COMPUTED_VALUE"""),"Dino Hunt")</f>
        <v>Dino Hunt</v>
      </c>
      <c r="U1994" s="5" t="str">
        <f>IFERROR(__xludf.DUMMYFUNCTION("""COMPUTED_VALUE"""),"Grant Sputore")</f>
        <v>Grant Sputore</v>
      </c>
      <c r="V1994" s="5" t="s">
        <v>11440</v>
      </c>
      <c r="W1994" s="5" t="str">
        <f t="shared" si="3"/>
        <v>John Ridley</v>
      </c>
      <c r="X1994" s="5">
        <f t="shared" si="4"/>
        <v>1</v>
      </c>
      <c r="Y1994" s="5" t="str">
        <f>IFERROR(__xludf.DUMMYFUNCTION("REGEXEXTRACT(J1994, ""^\d+"")"),"69")</f>
        <v>69</v>
      </c>
      <c r="Z1994" s="5" t="str">
        <f>IFERROR(__xludf.DUMMYFUNCTION("REGEXEXTRACT(J1994, ""[A-Za-z ]+$"")")," min")</f>
        <v> min</v>
      </c>
      <c r="AA1994" s="5" t="str">
        <f>IFERROR(__xludf.DUMMYFUNCTION("IF(REGEXMATCH(Z1994, ""Season""), ""TV Show"", ""Movie"")"),"Movie")</f>
        <v>Movie</v>
      </c>
    </row>
    <row r="1995">
      <c r="A1995" s="1" t="s">
        <v>11441</v>
      </c>
      <c r="B1995" s="1" t="s">
        <v>37</v>
      </c>
      <c r="C1995" s="1" t="s">
        <v>11442</v>
      </c>
      <c r="E1995" s="1" t="s">
        <v>11443</v>
      </c>
      <c r="F1995" s="1" t="s">
        <v>2446</v>
      </c>
      <c r="G1995" s="1" t="s">
        <v>11423</v>
      </c>
      <c r="H1995" s="1">
        <v>2020.0</v>
      </c>
      <c r="I1995" s="1" t="s">
        <v>42</v>
      </c>
      <c r="J1995" s="1" t="s">
        <v>43</v>
      </c>
      <c r="K1995" s="1" t="s">
        <v>1362</v>
      </c>
      <c r="L1995" s="1" t="s">
        <v>11444</v>
      </c>
      <c r="M1995" s="2" t="s">
        <v>12</v>
      </c>
      <c r="N1995" s="4">
        <f t="shared" si="1"/>
        <v>44090</v>
      </c>
      <c r="O1995" s="5" t="str">
        <f>IFERROR(__xludf.DUMMYFUNCTION("IF(REGEXMATCH(TRIM(I1995), ""^\d+\s*min""), ""Unclassified"", IF(I1995 = """", ""NR"", I1995))"),"TV-MA")</f>
        <v>TV-MA</v>
      </c>
      <c r="R1995" s="5" t="str">
        <f t="shared" si="2"/>
        <v>Signs</v>
      </c>
      <c r="S1995" s="5" t="str">
        <f>IFERROR(__xludf.DUMMYFUNCTION("""COMPUTED_VALUE"""),"Dinosaur King")</f>
        <v>Dinosaur King</v>
      </c>
      <c r="U1995" s="5" t="str">
        <f>IFERROR(__xludf.DUMMYFUNCTION("""COMPUTED_VALUE"""),"Juan Antin")</f>
        <v>Juan Antin</v>
      </c>
      <c r="V1995" s="5" t="s">
        <v>11445</v>
      </c>
      <c r="W1995" s="5" t="str">
        <f t="shared" si="3"/>
        <v>John Scheinfeld</v>
      </c>
      <c r="X1995" s="5">
        <f t="shared" si="4"/>
        <v>1</v>
      </c>
      <c r="Y1995" s="5" t="str">
        <f>IFERROR(__xludf.DUMMYFUNCTION("REGEXEXTRACT(J1995, ""^\d+"")"),"2")</f>
        <v>2</v>
      </c>
      <c r="Z1995" s="5" t="str">
        <f>IFERROR(__xludf.DUMMYFUNCTION("REGEXEXTRACT(J1995, ""[A-Za-z ]+$"")")," Seasons")</f>
        <v> Seasons</v>
      </c>
      <c r="AA1995" s="5" t="str">
        <f>IFERROR(__xludf.DUMMYFUNCTION("IF(REGEXMATCH(Z1995, ""Season""), ""TV Show"", ""Movie"")"),"TV Show")</f>
        <v>TV Show</v>
      </c>
    </row>
    <row r="1996">
      <c r="A1996" s="1" t="s">
        <v>11446</v>
      </c>
      <c r="B1996" s="1" t="s">
        <v>37</v>
      </c>
      <c r="C1996" s="1" t="s">
        <v>11447</v>
      </c>
      <c r="E1996" s="1" t="s">
        <v>11448</v>
      </c>
      <c r="F1996" s="1" t="s">
        <v>30</v>
      </c>
      <c r="G1996" s="1" t="s">
        <v>11423</v>
      </c>
      <c r="H1996" s="1">
        <v>2020.0</v>
      </c>
      <c r="I1996" s="1" t="s">
        <v>136</v>
      </c>
      <c r="J1996" s="1" t="s">
        <v>51</v>
      </c>
      <c r="K1996" s="1" t="s">
        <v>440</v>
      </c>
      <c r="L1996" s="1" t="s">
        <v>11449</v>
      </c>
      <c r="M1996" s="2" t="s">
        <v>12</v>
      </c>
      <c r="N1996" s="4">
        <f t="shared" si="1"/>
        <v>44090</v>
      </c>
      <c r="O1996" s="5" t="str">
        <f>IFERROR(__xludf.DUMMYFUNCTION("IF(REGEXMATCH(TRIM(I1996), ""^\d+\s*min""), ""Unclassified"", IF(I1996 = """", ""NR"", I1996))"),"TV-PG")</f>
        <v>TV-PG</v>
      </c>
      <c r="R1996" s="5" t="str">
        <f t="shared" si="2"/>
        <v>Sing On!</v>
      </c>
      <c r="S1996" s="5" t="str">
        <f>IFERROR(__xludf.DUMMYFUNCTION("""COMPUTED_VALUE"""),"Dinotrux")</f>
        <v>Dinotrux</v>
      </c>
      <c r="U1996" s="5" t="str">
        <f>IFERROR(__xludf.DUMMYFUNCTION("""COMPUTED_VALUE"""),"Hanno Olderdissen")</f>
        <v>Hanno Olderdissen</v>
      </c>
      <c r="V1996" s="5" t="s">
        <v>11450</v>
      </c>
      <c r="W1996" s="5" t="str">
        <f t="shared" si="3"/>
        <v>John Schultz</v>
      </c>
      <c r="X1996" s="5">
        <f t="shared" si="4"/>
        <v>3</v>
      </c>
      <c r="Y1996" s="5" t="str">
        <f>IFERROR(__xludf.DUMMYFUNCTION("REGEXEXTRACT(J1996, ""^\d+"")"),"1")</f>
        <v>1</v>
      </c>
      <c r="Z1996" s="5" t="str">
        <f>IFERROR(__xludf.DUMMYFUNCTION("REGEXEXTRACT(J1996, ""[A-Za-z ]+$"")")," Season")</f>
        <v> Season</v>
      </c>
      <c r="AA1996" s="5" t="str">
        <f>IFERROR(__xludf.DUMMYFUNCTION("IF(REGEXMATCH(Z1996, ""Season""), ""TV Show"", ""Movie"")"),"TV Show")</f>
        <v>TV Show</v>
      </c>
    </row>
    <row r="1997">
      <c r="A1997" s="1" t="s">
        <v>11451</v>
      </c>
      <c r="B1997" s="1" t="s">
        <v>27</v>
      </c>
      <c r="C1997" s="1" t="s">
        <v>11452</v>
      </c>
      <c r="D1997" s="1" t="s">
        <v>2353</v>
      </c>
      <c r="E1997" s="1" t="s">
        <v>11453</v>
      </c>
      <c r="F1997" s="1" t="s">
        <v>30</v>
      </c>
      <c r="G1997" s="1" t="s">
        <v>11423</v>
      </c>
      <c r="H1997" s="1">
        <v>2020.0</v>
      </c>
      <c r="I1997" s="1" t="s">
        <v>378</v>
      </c>
      <c r="J1997" s="1" t="s">
        <v>1938</v>
      </c>
      <c r="K1997" s="1" t="s">
        <v>394</v>
      </c>
      <c r="L1997" s="1" t="s">
        <v>11454</v>
      </c>
      <c r="M1997" s="2" t="s">
        <v>12</v>
      </c>
      <c r="N1997" s="4">
        <f t="shared" si="1"/>
        <v>44090</v>
      </c>
      <c r="O1997" s="5" t="str">
        <f>IFERROR(__xludf.DUMMYFUNCTION("IF(REGEXMATCH(TRIM(I1997), ""^\d+\s*min""), ""Unclassified"", IF(I1997 = """", ""NR"", I1997))"),"R")</f>
        <v>R</v>
      </c>
      <c r="R1997" s="5" t="str">
        <f t="shared" si="2"/>
        <v>The Devil All The Time</v>
      </c>
      <c r="S1997" s="5" t="str">
        <f>IFERROR(__xludf.DUMMYFUNCTION("""COMPUTED_VALUE"""),"Dinotrux Supercharged")</f>
        <v>Dinotrux Supercharged</v>
      </c>
      <c r="U1997" s="5" t="str">
        <f>IFERROR(__xludf.DUMMYFUNCTION("""COMPUTED_VALUE"""),"Amar Kaushik")</f>
        <v>Amar Kaushik</v>
      </c>
      <c r="V1997" s="5" t="s">
        <v>11455</v>
      </c>
      <c r="W1997" s="5" t="str">
        <f t="shared" si="3"/>
        <v>John Smithson</v>
      </c>
      <c r="X1997" s="5">
        <f t="shared" si="4"/>
        <v>1</v>
      </c>
      <c r="Y1997" s="5" t="str">
        <f>IFERROR(__xludf.DUMMYFUNCTION("REGEXEXTRACT(J1997, ""^\d+"")"),"139")</f>
        <v>139</v>
      </c>
      <c r="Z1997" s="5" t="str">
        <f>IFERROR(__xludf.DUMMYFUNCTION("REGEXEXTRACT(J1997, ""[A-Za-z ]+$"")")," min")</f>
        <v> min</v>
      </c>
      <c r="AA1997" s="5" t="str">
        <f>IFERROR(__xludf.DUMMYFUNCTION("IF(REGEXMATCH(Z1997, ""Season""), ""TV Show"", ""Movie"")"),"Movie")</f>
        <v>Movie</v>
      </c>
    </row>
    <row r="1998">
      <c r="A1998" s="1" t="s">
        <v>11456</v>
      </c>
      <c r="B1998" s="1" t="s">
        <v>27</v>
      </c>
      <c r="C1998" s="1" t="s">
        <v>11457</v>
      </c>
      <c r="D1998" s="1" t="s">
        <v>4136</v>
      </c>
      <c r="E1998" s="1" t="s">
        <v>11458</v>
      </c>
      <c r="F1998" s="1" t="s">
        <v>784</v>
      </c>
      <c r="G1998" s="1" t="s">
        <v>11423</v>
      </c>
      <c r="H1998" s="1">
        <v>2020.0</v>
      </c>
      <c r="I1998" s="1" t="s">
        <v>42</v>
      </c>
      <c r="J1998" s="1" t="s">
        <v>170</v>
      </c>
      <c r="K1998" s="1" t="s">
        <v>298</v>
      </c>
      <c r="L1998" s="1" t="s">
        <v>11459</v>
      </c>
      <c r="M1998" s="2" t="s">
        <v>12</v>
      </c>
      <c r="N1998" s="4">
        <f t="shared" si="1"/>
        <v>44090</v>
      </c>
      <c r="O1998" s="5" t="str">
        <f>IFERROR(__xludf.DUMMYFUNCTION("IF(REGEXMATCH(TRIM(I1998), ""^\d+\s*min""), ""Unclassified"", IF(I1998 = """", ""NR"", I1998))"),"TV-MA")</f>
        <v>TV-MA</v>
      </c>
      <c r="R1998" s="5" t="str">
        <f t="shared" si="2"/>
        <v>The Paramedic</v>
      </c>
      <c r="S1998" s="5" t="str">
        <f>IFERROR(__xludf.DUMMYFUNCTION("""COMPUTED_VALUE"""),"Dirty John")</f>
        <v>Dirty John</v>
      </c>
      <c r="U1998" s="5" t="str">
        <f>IFERROR(__xludf.DUMMYFUNCTION("""COMPUTED_VALUE"""),"Eva Trobisch")</f>
        <v>Eva Trobisch</v>
      </c>
      <c r="V1998" s="5" t="s">
        <v>11460</v>
      </c>
      <c r="W1998" s="5" t="str">
        <f t="shared" si="3"/>
        <v>John Stephenson</v>
      </c>
      <c r="X1998" s="5">
        <f t="shared" si="4"/>
        <v>1</v>
      </c>
      <c r="Y1998" s="5" t="str">
        <f>IFERROR(__xludf.DUMMYFUNCTION("REGEXEXTRACT(J1998, ""^\d+"")"),"94")</f>
        <v>94</v>
      </c>
      <c r="Z1998" s="5" t="str">
        <f>IFERROR(__xludf.DUMMYFUNCTION("REGEXEXTRACT(J1998, ""[A-Za-z ]+$"")")," min")</f>
        <v> min</v>
      </c>
      <c r="AA1998" s="5" t="str">
        <f>IFERROR(__xludf.DUMMYFUNCTION("IF(REGEXMATCH(Z1998, ""Season""), ""TV Show"", ""Movie"")"),"Movie")</f>
        <v>Movie</v>
      </c>
    </row>
    <row r="1999">
      <c r="A1999" s="1" t="s">
        <v>11461</v>
      </c>
      <c r="B1999" s="1" t="s">
        <v>27</v>
      </c>
      <c r="C1999" s="1" t="s">
        <v>11462</v>
      </c>
      <c r="D1999" s="1" t="s">
        <v>10095</v>
      </c>
      <c r="E1999" s="1" t="s">
        <v>11463</v>
      </c>
      <c r="F1999" s="1" t="s">
        <v>11464</v>
      </c>
      <c r="G1999" s="1" t="s">
        <v>11423</v>
      </c>
      <c r="H1999" s="1">
        <v>2016.0</v>
      </c>
      <c r="I1999" s="1" t="s">
        <v>378</v>
      </c>
      <c r="J1999" s="1" t="s">
        <v>665</v>
      </c>
      <c r="K1999" s="1" t="s">
        <v>1066</v>
      </c>
      <c r="L1999" s="1" t="s">
        <v>11465</v>
      </c>
      <c r="M1999" s="2" t="s">
        <v>12</v>
      </c>
      <c r="N1999" s="4">
        <f t="shared" si="1"/>
        <v>44090</v>
      </c>
      <c r="O1999" s="5" t="str">
        <f>IFERROR(__xludf.DUMMYFUNCTION("IF(REGEXMATCH(TRIM(I1999), ""^\d+\s*min""), ""Unclassified"", IF(I1999 = """", ""NR"", I1999))"),"R")</f>
        <v>R</v>
      </c>
      <c r="R1999" s="5" t="str">
        <f t="shared" si="2"/>
        <v>The Take</v>
      </c>
      <c r="S1999" s="5" t="str">
        <f>IFERROR(__xludf.DUMMYFUNCTION("""COMPUTED_VALUE"""),"Dirty Money")</f>
        <v>Dirty Money</v>
      </c>
      <c r="U1999" s="5" t="str">
        <f>IFERROR(__xludf.DUMMYFUNCTION("""COMPUTED_VALUE"""),"Mathieu Auvray")</f>
        <v>Mathieu Auvray</v>
      </c>
      <c r="V1999" s="5" t="s">
        <v>3565</v>
      </c>
      <c r="W1999" s="5" t="str">
        <f t="shared" si="3"/>
        <v>John Stevenson, Mark Osborne</v>
      </c>
      <c r="X1999" s="5">
        <f t="shared" si="4"/>
        <v>1</v>
      </c>
      <c r="Y1999" s="5" t="str">
        <f>IFERROR(__xludf.DUMMYFUNCTION("REGEXEXTRACT(J1999, ""^\d+"")"),"92")</f>
        <v>92</v>
      </c>
      <c r="Z1999" s="5" t="str">
        <f>IFERROR(__xludf.DUMMYFUNCTION("REGEXEXTRACT(J1999, ""[A-Za-z ]+$"")")," min")</f>
        <v> min</v>
      </c>
      <c r="AA1999" s="5" t="str">
        <f>IFERROR(__xludf.DUMMYFUNCTION("IF(REGEXMATCH(Z1999, ""Season""), ""TV Show"", ""Movie"")"),"Movie")</f>
        <v>Movie</v>
      </c>
    </row>
    <row r="2000">
      <c r="A2000" s="1" t="s">
        <v>11466</v>
      </c>
      <c r="B2000" s="1" t="s">
        <v>37</v>
      </c>
      <c r="C2000" s="1" t="s">
        <v>11467</v>
      </c>
      <c r="D2000" s="1" t="s">
        <v>11468</v>
      </c>
      <c r="E2000" s="1" t="s">
        <v>11469</v>
      </c>
      <c r="F2000" s="1" t="s">
        <v>96</v>
      </c>
      <c r="G2000" s="1" t="s">
        <v>11470</v>
      </c>
      <c r="H2000" s="1">
        <v>2020.0</v>
      </c>
      <c r="I2000" s="1" t="s">
        <v>42</v>
      </c>
      <c r="J2000" s="1" t="s">
        <v>98</v>
      </c>
      <c r="K2000" s="1" t="s">
        <v>3361</v>
      </c>
      <c r="L2000" s="1" t="s">
        <v>11471</v>
      </c>
      <c r="M2000" s="2" t="s">
        <v>12</v>
      </c>
      <c r="N2000" s="4">
        <f t="shared" si="1"/>
        <v>44089</v>
      </c>
      <c r="O2000" s="5" t="str">
        <f>IFERROR(__xludf.DUMMYFUNCTION("IF(REGEXMATCH(TRIM(I2000), ""^\d+\s*min""), ""Unclassified"", IF(I2000 = """", ""NR"", I2000))"),"TV-MA")</f>
        <v>TV-MA</v>
      </c>
      <c r="R2000" s="5" t="str">
        <f t="shared" si="2"/>
        <v>Call The Midwife</v>
      </c>
      <c r="S2000" s="5" t="str">
        <f>IFERROR(__xludf.DUMMYFUNCTION("""COMPUTED_VALUE"""),"Disappearance")</f>
        <v>Disappearance</v>
      </c>
      <c r="U2000" s="5" t="str">
        <f>IFERROR(__xludf.DUMMYFUNCTION("""COMPUTED_VALUE"""),"Limbert Fabian, Brandon Oldenburg")</f>
        <v>Limbert Fabian, Brandon Oldenburg</v>
      </c>
      <c r="V2000" s="5" t="s">
        <v>11472</v>
      </c>
      <c r="W2000" s="5" t="str">
        <f t="shared" si="3"/>
        <v>John Stewart Muller</v>
      </c>
      <c r="X2000" s="5">
        <f t="shared" si="4"/>
        <v>1</v>
      </c>
      <c r="Y2000" s="5" t="str">
        <f>IFERROR(__xludf.DUMMYFUNCTION("REGEXEXTRACT(J2000, ""^\d+"")"),"9")</f>
        <v>9</v>
      </c>
      <c r="Z2000" s="5" t="str">
        <f>IFERROR(__xludf.DUMMYFUNCTION("REGEXEXTRACT(J2000, ""[A-Za-z ]+$"")")," Seasons")</f>
        <v> Seasons</v>
      </c>
      <c r="AA2000" s="5" t="str">
        <f>IFERROR(__xludf.DUMMYFUNCTION("IF(REGEXMATCH(Z2000, ""Season""), ""TV Show"", ""Movie"")"),"TV Show")</f>
        <v>TV Show</v>
      </c>
    </row>
    <row r="2001">
      <c r="A2001" s="1" t="s">
        <v>11473</v>
      </c>
      <c r="B2001" s="1" t="s">
        <v>27</v>
      </c>
      <c r="C2001" s="1" t="s">
        <v>11474</v>
      </c>
      <c r="D2001" s="1" t="s">
        <v>11475</v>
      </c>
      <c r="F2001" s="1" t="s">
        <v>11476</v>
      </c>
      <c r="G2001" s="1" t="s">
        <v>11470</v>
      </c>
      <c r="H2001" s="1">
        <v>2020.0</v>
      </c>
      <c r="I2001" s="1" t="s">
        <v>136</v>
      </c>
      <c r="J2001" s="1" t="s">
        <v>729</v>
      </c>
      <c r="K2001" s="1" t="s">
        <v>156</v>
      </c>
      <c r="L2001" s="1" t="s">
        <v>11477</v>
      </c>
      <c r="M2001" s="2" t="s">
        <v>12</v>
      </c>
      <c r="N2001" s="4">
        <f t="shared" si="1"/>
        <v>44089</v>
      </c>
      <c r="O2001" s="5" t="str">
        <f>IFERROR(__xludf.DUMMYFUNCTION("IF(REGEXMATCH(TRIM(I2001), ""^\d+\s*min""), ""Unclassified"", IF(I2001 = """", ""NR"", I2001))"),"TV-PG")</f>
        <v>TV-PG</v>
      </c>
      <c r="R2001" s="5" t="str">
        <f t="shared" si="2"/>
        <v>Hope Frozen: A Quest To Live Twice</v>
      </c>
      <c r="S2001" s="5" t="str">
        <f>IFERROR(__xludf.DUMMYFUNCTION("""COMPUTED_VALUE"""),"Disciples Of The 36Th Chamber")</f>
        <v>Disciples Of The 36Th Chamber</v>
      </c>
      <c r="U2001" s="5" t="str">
        <f>IFERROR(__xludf.DUMMYFUNCTION("""COMPUTED_VALUE"""),"Datta Mohan Bhandare")</f>
        <v>Datta Mohan Bhandare</v>
      </c>
      <c r="V2001" s="5" t="s">
        <v>11478</v>
      </c>
      <c r="W2001" s="5" t="str">
        <f t="shared" si="3"/>
        <v>John Stockwell</v>
      </c>
      <c r="X2001" s="5">
        <f t="shared" si="4"/>
        <v>2</v>
      </c>
      <c r="Y2001" s="5" t="str">
        <f>IFERROR(__xludf.DUMMYFUNCTION("REGEXEXTRACT(J2001, ""^\d+"")"),"80")</f>
        <v>80</v>
      </c>
      <c r="Z2001" s="5" t="str">
        <f>IFERROR(__xludf.DUMMYFUNCTION("REGEXEXTRACT(J2001, ""[A-Za-z ]+$"")")," min")</f>
        <v> min</v>
      </c>
      <c r="AA2001" s="5" t="str">
        <f>IFERROR(__xludf.DUMMYFUNCTION("IF(REGEXMATCH(Z2001, ""Season""), ""TV Show"", ""Movie"")"),"Movie")</f>
        <v>Movie</v>
      </c>
    </row>
    <row r="2002">
      <c r="A2002" s="1" t="s">
        <v>11479</v>
      </c>
      <c r="B2002" s="1" t="s">
        <v>27</v>
      </c>
      <c r="C2002" s="1" t="s">
        <v>11480</v>
      </c>
      <c r="D2002" s="1" t="s">
        <v>4717</v>
      </c>
      <c r="E2002" s="1" t="s">
        <v>11481</v>
      </c>
      <c r="F2002" s="1" t="s">
        <v>96</v>
      </c>
      <c r="G2002" s="1" t="s">
        <v>11470</v>
      </c>
      <c r="H2002" s="1">
        <v>2020.0</v>
      </c>
      <c r="I2002" s="1" t="s">
        <v>42</v>
      </c>
      <c r="J2002" s="1" t="s">
        <v>919</v>
      </c>
      <c r="K2002" s="1" t="s">
        <v>1839</v>
      </c>
      <c r="L2002" s="1" t="s">
        <v>11482</v>
      </c>
      <c r="M2002" s="2" t="s">
        <v>12</v>
      </c>
      <c r="N2002" s="4">
        <f t="shared" si="1"/>
        <v>44089</v>
      </c>
      <c r="O2002" s="5" t="str">
        <f>IFERROR(__xludf.DUMMYFUNCTION("IF(REGEXMATCH(TRIM(I2002), ""^\d+\s*min""), ""Unclassified"", IF(I2002 = """", ""NR"", I2002))"),"TV-MA")</f>
        <v>TV-MA</v>
      </c>
      <c r="R2002" s="5" t="str">
        <f t="shared" si="2"/>
        <v>Michael Mcintyre: Showman</v>
      </c>
      <c r="S2002" s="5" t="str">
        <f>IFERROR(__xludf.DUMMYFUNCTION("""COMPUTED_VALUE"""),"Disclosure")</f>
        <v>Disclosure</v>
      </c>
      <c r="U2002" s="5" t="str">
        <f>IFERROR(__xludf.DUMMYFUNCTION("""COMPUTED_VALUE"""),"Sanjib Dey")</f>
        <v>Sanjib Dey</v>
      </c>
      <c r="V2002" s="5" t="s">
        <v>11483</v>
      </c>
      <c r="W2002" s="5" t="str">
        <f t="shared" si="3"/>
        <v>John Suits</v>
      </c>
      <c r="X2002" s="5">
        <f t="shared" si="4"/>
        <v>1</v>
      </c>
      <c r="Y2002" s="5" t="str">
        <f>IFERROR(__xludf.DUMMYFUNCTION("REGEXEXTRACT(J2002, ""^\d+"")"),"63")</f>
        <v>63</v>
      </c>
      <c r="Z2002" s="5" t="str">
        <f>IFERROR(__xludf.DUMMYFUNCTION("REGEXEXTRACT(J2002, ""[A-Za-z ]+$"")")," min")</f>
        <v> min</v>
      </c>
      <c r="AA2002" s="5" t="str">
        <f>IFERROR(__xludf.DUMMYFUNCTION("IF(REGEXMATCH(Z2002, ""Season""), ""TV Show"", ""Movie"")"),"Movie")</f>
        <v>Movie</v>
      </c>
    </row>
    <row r="2003">
      <c r="A2003" s="1" t="s">
        <v>11484</v>
      </c>
      <c r="B2003" s="1" t="s">
        <v>27</v>
      </c>
      <c r="C2003" s="1" t="s">
        <v>11485</v>
      </c>
      <c r="D2003" s="1" t="s">
        <v>11486</v>
      </c>
      <c r="E2003" s="1" t="s">
        <v>11487</v>
      </c>
      <c r="F2003" s="1" t="s">
        <v>718</v>
      </c>
      <c r="G2003" s="1" t="s">
        <v>11470</v>
      </c>
      <c r="H2003" s="1">
        <v>2002.0</v>
      </c>
      <c r="I2003" s="1" t="s">
        <v>378</v>
      </c>
      <c r="J2003" s="1" t="s">
        <v>428</v>
      </c>
      <c r="K2003" s="1" t="s">
        <v>1538</v>
      </c>
      <c r="L2003" s="1" t="s">
        <v>11488</v>
      </c>
      <c r="M2003" s="2" t="s">
        <v>12</v>
      </c>
      <c r="N2003" s="4">
        <f t="shared" si="1"/>
        <v>44089</v>
      </c>
      <c r="O2003" s="5" t="str">
        <f>IFERROR(__xludf.DUMMYFUNCTION("IF(REGEXMATCH(TRIM(I2003), ""^\d+\s*min""), ""Unclassified"", IF(I2003 = """", ""NR"", I2003))"),"R")</f>
        <v>R</v>
      </c>
      <c r="R2003" s="5" t="str">
        <f t="shared" si="2"/>
        <v>Raising Victor Vargas</v>
      </c>
      <c r="S2003" s="5" t="str">
        <f>IFERROR(__xludf.DUMMYFUNCTION("""COMPUTED_VALUE"""),"Disco Dancer")</f>
        <v>Disco Dancer</v>
      </c>
      <c r="U2003" s="5" t="str">
        <f>IFERROR(__xludf.DUMMYFUNCTION("""COMPUTED_VALUE"""),"Daniel Yee Heng Chan")</f>
        <v>Daniel Yee Heng Chan</v>
      </c>
      <c r="V2003" s="5" t="s">
        <v>11489</v>
      </c>
      <c r="W2003" s="5" t="str">
        <f t="shared" si="3"/>
        <v>John Trengove</v>
      </c>
      <c r="X2003" s="5">
        <f t="shared" si="4"/>
        <v>1</v>
      </c>
      <c r="Y2003" s="5" t="str">
        <f>IFERROR(__xludf.DUMMYFUNCTION("REGEXEXTRACT(J2003, ""^\d+"")"),"88")</f>
        <v>88</v>
      </c>
      <c r="Z2003" s="5" t="str">
        <f>IFERROR(__xludf.DUMMYFUNCTION("REGEXEXTRACT(J2003, ""[A-Za-z ]+$"")")," min")</f>
        <v> min</v>
      </c>
      <c r="AA2003" s="5" t="str">
        <f>IFERROR(__xludf.DUMMYFUNCTION("IF(REGEXMATCH(Z2003, ""Season""), ""TV Show"", ""Movie"")"),"Movie")</f>
        <v>Movie</v>
      </c>
    </row>
    <row r="2004">
      <c r="A2004" s="1" t="s">
        <v>11490</v>
      </c>
      <c r="B2004" s="1" t="s">
        <v>37</v>
      </c>
      <c r="C2004" s="1" t="s">
        <v>11491</v>
      </c>
      <c r="F2004" s="1" t="s">
        <v>30</v>
      </c>
      <c r="G2004" s="1" t="s">
        <v>11470</v>
      </c>
      <c r="H2004" s="1">
        <v>2020.0</v>
      </c>
      <c r="I2004" s="1" t="s">
        <v>42</v>
      </c>
      <c r="J2004" s="1" t="s">
        <v>43</v>
      </c>
      <c r="K2004" s="1" t="s">
        <v>222</v>
      </c>
      <c r="L2004" s="1" t="s">
        <v>11492</v>
      </c>
      <c r="M2004" s="2" t="s">
        <v>12</v>
      </c>
      <c r="N2004" s="4">
        <f t="shared" si="1"/>
        <v>44089</v>
      </c>
      <c r="O2004" s="5" t="str">
        <f>IFERROR(__xludf.DUMMYFUNCTION("IF(REGEXMATCH(TRIM(I2004), ""^\d+\s*min""), ""Unclassified"", IF(I2004 = """", ""NR"", I2004))"),"TV-MA")</f>
        <v>TV-MA</v>
      </c>
      <c r="R2004" s="5" t="str">
        <f t="shared" si="2"/>
        <v>Taco Chronicles</v>
      </c>
      <c r="S2004" s="5" t="str">
        <f>IFERROR(__xludf.DUMMYFUNCTION("""COMPUTED_VALUE"""),"Disconnect")</f>
        <v>Disconnect</v>
      </c>
      <c r="U2004" s="5" t="str">
        <f>IFERROR(__xludf.DUMMYFUNCTION("""COMPUTED_VALUE"""),"Rakeysh Omprakash Mehra")</f>
        <v>Rakeysh Omprakash Mehra</v>
      </c>
      <c r="V2004" s="5" t="s">
        <v>11493</v>
      </c>
      <c r="W2004" s="5" t="str">
        <f t="shared" si="3"/>
        <v>John Upchurch</v>
      </c>
      <c r="X2004" s="5">
        <f t="shared" si="4"/>
        <v>1</v>
      </c>
      <c r="Y2004" s="5" t="str">
        <f>IFERROR(__xludf.DUMMYFUNCTION("REGEXEXTRACT(J2004, ""^\d+"")"),"2")</f>
        <v>2</v>
      </c>
      <c r="Z2004" s="5" t="str">
        <f>IFERROR(__xludf.DUMMYFUNCTION("REGEXEXTRACT(J2004, ""[A-Za-z ]+$"")")," Seasons")</f>
        <v> Seasons</v>
      </c>
      <c r="AA2004" s="5" t="str">
        <f>IFERROR(__xludf.DUMMYFUNCTION("IF(REGEXMATCH(Z2004, ""Season""), ""TV Show"", ""Movie"")"),"TV Show")</f>
        <v>TV Show</v>
      </c>
    </row>
    <row r="2005">
      <c r="A2005" s="1" t="s">
        <v>11494</v>
      </c>
      <c r="B2005" s="1" t="s">
        <v>27</v>
      </c>
      <c r="C2005" s="1" t="s">
        <v>11495</v>
      </c>
      <c r="D2005" s="1" t="s">
        <v>684</v>
      </c>
      <c r="E2005" s="1" t="s">
        <v>11496</v>
      </c>
      <c r="F2005" s="1" t="s">
        <v>11497</v>
      </c>
      <c r="G2005" s="1" t="s">
        <v>11470</v>
      </c>
      <c r="H2005" s="1">
        <v>2013.0</v>
      </c>
      <c r="I2005" s="1" t="s">
        <v>78</v>
      </c>
      <c r="J2005" s="1" t="s">
        <v>305</v>
      </c>
      <c r="K2005" s="1" t="s">
        <v>137</v>
      </c>
      <c r="L2005" s="1" t="s">
        <v>11498</v>
      </c>
      <c r="M2005" s="2" t="s">
        <v>12</v>
      </c>
      <c r="N2005" s="4">
        <f t="shared" si="1"/>
        <v>44089</v>
      </c>
      <c r="O2005" s="5" t="str">
        <f>IFERROR(__xludf.DUMMYFUNCTION("IF(REGEXMATCH(TRIM(I2005), ""^\d+\s*min""), ""Unclassified"", IF(I2005 = """", ""NR"", I2005))"),"PG")</f>
        <v>PG</v>
      </c>
      <c r="R2005" s="5" t="str">
        <f t="shared" si="2"/>
        <v>The Smurfs 2</v>
      </c>
      <c r="S2005" s="5" t="str">
        <f>IFERROR(__xludf.DUMMYFUNCTION("""COMPUTED_VALUE"""),"Discovering Bigfoot")</f>
        <v>Discovering Bigfoot</v>
      </c>
      <c r="U2005" s="5" t="str">
        <f>IFERROR(__xludf.DUMMYFUNCTION("""COMPUTED_VALUE"""),"Han Han")</f>
        <v>Han Han</v>
      </c>
      <c r="V2005" s="5" t="s">
        <v>5808</v>
      </c>
      <c r="W2005" s="5" t="str">
        <f t="shared" si="3"/>
        <v>John Wells</v>
      </c>
      <c r="X2005" s="5">
        <f t="shared" si="4"/>
        <v>2</v>
      </c>
      <c r="Y2005" s="5" t="str">
        <f>IFERROR(__xludf.DUMMYFUNCTION("REGEXEXTRACT(J2005, ""^\d+"")"),"105")</f>
        <v>105</v>
      </c>
      <c r="Z2005" s="5" t="str">
        <f>IFERROR(__xludf.DUMMYFUNCTION("REGEXEXTRACT(J2005, ""[A-Za-z ]+$"")")," min")</f>
        <v> min</v>
      </c>
      <c r="AA2005" s="5" t="str">
        <f>IFERROR(__xludf.DUMMYFUNCTION("IF(REGEXMATCH(Z2005, ""Season""), ""TV Show"", ""Movie"")"),"Movie")</f>
        <v>Movie</v>
      </c>
    </row>
    <row r="2006">
      <c r="A2006" s="1" t="s">
        <v>11499</v>
      </c>
      <c r="B2006" s="1" t="s">
        <v>27</v>
      </c>
      <c r="C2006" s="1" t="s">
        <v>11500</v>
      </c>
      <c r="D2006" s="1" t="s">
        <v>11501</v>
      </c>
      <c r="E2006" s="1" t="s">
        <v>11502</v>
      </c>
      <c r="G2006" s="1" t="s">
        <v>11470</v>
      </c>
      <c r="H2006" s="1">
        <v>2020.0</v>
      </c>
      <c r="I2006" s="1" t="s">
        <v>78</v>
      </c>
      <c r="J2006" s="1" t="s">
        <v>454</v>
      </c>
      <c r="K2006" s="1" t="s">
        <v>80</v>
      </c>
      <c r="L2006" s="1" t="s">
        <v>11503</v>
      </c>
      <c r="M2006" s="2" t="s">
        <v>12</v>
      </c>
      <c r="N2006" s="4">
        <f t="shared" si="1"/>
        <v>44089</v>
      </c>
      <c r="O2006" s="5" t="str">
        <f>IFERROR(__xludf.DUMMYFUNCTION("IF(REGEXMATCH(TRIM(I2006), ""^\d+\s*min""), ""Unclassified"", IF(I2006 = """", ""NR"", I2006))"),"PG")</f>
        <v>PG</v>
      </c>
      <c r="R2006" s="5" t="str">
        <f t="shared" si="2"/>
        <v>Wish Upon A Unicorn</v>
      </c>
      <c r="S2006" s="5" t="str">
        <f>IFERROR(__xludf.DUMMYFUNCTION("""COMPUTED_VALUE"""),"Disenchantment")</f>
        <v>Disenchantment</v>
      </c>
      <c r="U2006" s="5" t="str">
        <f>IFERROR(__xludf.DUMMYFUNCTION("""COMPUTED_VALUE"""),"Jang Jae-Hyun")</f>
        <v>Jang Jae-Hyun</v>
      </c>
      <c r="V2006" s="5" t="s">
        <v>10335</v>
      </c>
      <c r="W2006" s="5" t="str">
        <f t="shared" si="3"/>
        <v>John Whitesell</v>
      </c>
      <c r="X2006" s="5">
        <f t="shared" si="4"/>
        <v>1</v>
      </c>
      <c r="Y2006" s="5" t="str">
        <f>IFERROR(__xludf.DUMMYFUNCTION("REGEXEXTRACT(J2006, ""^\d+"")"),"93")</f>
        <v>93</v>
      </c>
      <c r="Z2006" s="5" t="str">
        <f>IFERROR(__xludf.DUMMYFUNCTION("REGEXEXTRACT(J2006, ""[A-Za-z ]+$"")")," min")</f>
        <v> min</v>
      </c>
      <c r="AA2006" s="5" t="str">
        <f>IFERROR(__xludf.DUMMYFUNCTION("IF(REGEXMATCH(Z2006, ""Season""), ""TV Show"", ""Movie"")"),"Movie")</f>
        <v>Movie</v>
      </c>
    </row>
    <row r="2007">
      <c r="A2007" s="1" t="s">
        <v>11504</v>
      </c>
      <c r="B2007" s="1" t="s">
        <v>27</v>
      </c>
      <c r="C2007" s="1" t="s">
        <v>11505</v>
      </c>
      <c r="D2007" s="1" t="s">
        <v>11506</v>
      </c>
      <c r="E2007" s="1" t="s">
        <v>11507</v>
      </c>
      <c r="F2007" s="1" t="s">
        <v>400</v>
      </c>
      <c r="G2007" s="1" t="s">
        <v>11508</v>
      </c>
      <c r="H2007" s="1">
        <v>2018.0</v>
      </c>
      <c r="I2007" s="1" t="s">
        <v>42</v>
      </c>
      <c r="J2007" s="1" t="s">
        <v>1704</v>
      </c>
      <c r="K2007" s="1" t="s">
        <v>1429</v>
      </c>
      <c r="L2007" s="1" t="s">
        <v>11509</v>
      </c>
      <c r="M2007" s="2" t="s">
        <v>12</v>
      </c>
      <c r="N2007" s="4">
        <f t="shared" si="1"/>
        <v>44088</v>
      </c>
      <c r="O2007" s="5" t="str">
        <f>IFERROR(__xludf.DUMMYFUNCTION("IF(REGEXMATCH(TRIM(I2007), ""^\d+\s*min""), ""Unclassified"", IF(I2007 = """", ""NR"", I2007))"),"TV-MA")</f>
        <v>TV-MA</v>
      </c>
      <c r="R2007" s="5" t="str">
        <f t="shared" si="2"/>
        <v>Lara And The Beat</v>
      </c>
      <c r="S2007" s="5" t="str">
        <f>IFERROR(__xludf.DUMMYFUNCTION("""COMPUTED_VALUE"""),"Disjointed")</f>
        <v>Disjointed</v>
      </c>
      <c r="U2007" s="5" t="str">
        <f>IFERROR(__xludf.DUMMYFUNCTION("""COMPUTED_VALUE"""),"Sudabeh Mortezai")</f>
        <v>Sudabeh Mortezai</v>
      </c>
      <c r="V2007" s="5" t="s">
        <v>11510</v>
      </c>
      <c r="W2007" s="5" t="str">
        <f t="shared" si="3"/>
        <v>John Woo</v>
      </c>
      <c r="X2007" s="5">
        <f t="shared" si="4"/>
        <v>1</v>
      </c>
      <c r="Y2007" s="5" t="str">
        <f>IFERROR(__xludf.DUMMYFUNCTION("REGEXEXTRACT(J2007, ""^\d+"")"),"140")</f>
        <v>140</v>
      </c>
      <c r="Z2007" s="5" t="str">
        <f>IFERROR(__xludf.DUMMYFUNCTION("REGEXEXTRACT(J2007, ""[A-Za-z ]+$"")")," min")</f>
        <v> min</v>
      </c>
      <c r="AA2007" s="5" t="str">
        <f>IFERROR(__xludf.DUMMYFUNCTION("IF(REGEXMATCH(Z2007, ""Season""), ""TV Show"", ""Movie"")"),"Movie")</f>
        <v>Movie</v>
      </c>
    </row>
    <row r="2008">
      <c r="A2008" s="1" t="s">
        <v>11511</v>
      </c>
      <c r="B2008" s="1" t="s">
        <v>37</v>
      </c>
      <c r="C2008" s="1" t="s">
        <v>11512</v>
      </c>
      <c r="E2008" s="1" t="s">
        <v>11513</v>
      </c>
      <c r="F2008" s="1" t="s">
        <v>11514</v>
      </c>
      <c r="G2008" s="1" t="s">
        <v>11515</v>
      </c>
      <c r="H2008" s="1">
        <v>2020.0</v>
      </c>
      <c r="I2008" s="1" t="s">
        <v>206</v>
      </c>
      <c r="J2008" s="1" t="s">
        <v>43</v>
      </c>
      <c r="K2008" s="1" t="s">
        <v>712</v>
      </c>
      <c r="L2008" s="1" t="s">
        <v>11516</v>
      </c>
      <c r="M2008" s="2" t="s">
        <v>12</v>
      </c>
      <c r="N2008" s="4">
        <f t="shared" si="1"/>
        <v>44085</v>
      </c>
      <c r="O2008" s="5" t="str">
        <f>IFERROR(__xludf.DUMMYFUNCTION("IF(REGEXMATCH(TRIM(I2008), ""^\d+\s*min""), ""Unclassified"", IF(I2008 = """", ""NR"", I2008))"),"TV-Y")</f>
        <v>TV-Y</v>
      </c>
      <c r="R2008" s="5" t="str">
        <f t="shared" si="2"/>
        <v>Buddi</v>
      </c>
      <c r="S2008" s="5" t="str">
        <f>IFERROR(__xludf.DUMMYFUNCTION("""COMPUTED_VALUE"""),"Dismissed")</f>
        <v>Dismissed</v>
      </c>
      <c r="U2008" s="5" t="str">
        <f>IFERROR(__xludf.DUMMYFUNCTION("""COMPUTED_VALUE"""),"Richard Shepard")</f>
        <v>Richard Shepard</v>
      </c>
      <c r="V2008" s="5" t="s">
        <v>11517</v>
      </c>
      <c r="W2008" s="5" t="str">
        <f t="shared" si="3"/>
        <v>Johnnie To</v>
      </c>
      <c r="X2008" s="5">
        <f t="shared" si="4"/>
        <v>8</v>
      </c>
      <c r="Y2008" s="5" t="str">
        <f>IFERROR(__xludf.DUMMYFUNCTION("REGEXEXTRACT(J2008, ""^\d+"")"),"2")</f>
        <v>2</v>
      </c>
      <c r="Z2008" s="5" t="str">
        <f>IFERROR(__xludf.DUMMYFUNCTION("REGEXEXTRACT(J2008, ""[A-Za-z ]+$"")")," Seasons")</f>
        <v> Seasons</v>
      </c>
      <c r="AA2008" s="5" t="str">
        <f>IFERROR(__xludf.DUMMYFUNCTION("IF(REGEXMATCH(Z2008, ""Season""), ""TV Show"", ""Movie"")"),"TV Show")</f>
        <v>TV Show</v>
      </c>
    </row>
    <row r="2009">
      <c r="A2009" s="1" t="s">
        <v>11518</v>
      </c>
      <c r="B2009" s="1" t="s">
        <v>27</v>
      </c>
      <c r="C2009" s="1" t="s">
        <v>11519</v>
      </c>
      <c r="D2009" s="1" t="s">
        <v>10353</v>
      </c>
      <c r="E2009" s="1" t="s">
        <v>11520</v>
      </c>
      <c r="F2009" s="1" t="s">
        <v>162</v>
      </c>
      <c r="G2009" s="1" t="s">
        <v>11515</v>
      </c>
      <c r="H2009" s="1">
        <v>2020.0</v>
      </c>
      <c r="I2009" s="1" t="s">
        <v>97</v>
      </c>
      <c r="J2009" s="1" t="s">
        <v>238</v>
      </c>
      <c r="K2009" s="1" t="s">
        <v>2242</v>
      </c>
      <c r="L2009" s="1" t="s">
        <v>11521</v>
      </c>
      <c r="M2009" s="2" t="s">
        <v>12</v>
      </c>
      <c r="N2009" s="4">
        <f t="shared" si="1"/>
        <v>44085</v>
      </c>
      <c r="O2009" s="5" t="str">
        <f>IFERROR(__xludf.DUMMYFUNCTION("IF(REGEXMATCH(TRIM(I2009), ""^\d+\s*min""), ""Unclassified"", IF(I2009 = """", ""NR"", I2009))"),"TV-14")</f>
        <v>TV-14</v>
      </c>
      <c r="R2009" s="5" t="str">
        <f t="shared" si="2"/>
        <v>Dad Wanted</v>
      </c>
      <c r="S2009" s="5" t="str">
        <f>IFERROR(__xludf.DUMMYFUNCTION("""COMPUTED_VALUE"""),"District 9")</f>
        <v>District 9</v>
      </c>
      <c r="U2009" s="5" t="str">
        <f>IFERROR(__xludf.DUMMYFUNCTION("""COMPUTED_VALUE"""),"Mike Diva, Akiva Schaffer")</f>
        <v>Mike Diva, Akiva Schaffer</v>
      </c>
      <c r="V2009" s="5" t="s">
        <v>11522</v>
      </c>
      <c r="W2009" s="5" t="str">
        <f t="shared" si="3"/>
        <v>Johnny Breedt</v>
      </c>
      <c r="X2009" s="5">
        <f t="shared" si="4"/>
        <v>1</v>
      </c>
      <c r="Y2009" s="5" t="str">
        <f>IFERROR(__xludf.DUMMYFUNCTION("REGEXEXTRACT(J2009, ""^\d+"")"),"103")</f>
        <v>103</v>
      </c>
      <c r="Z2009" s="5" t="str">
        <f>IFERROR(__xludf.DUMMYFUNCTION("REGEXEXTRACT(J2009, ""[A-Za-z ]+$"")")," min")</f>
        <v> min</v>
      </c>
      <c r="AA2009" s="5" t="str">
        <f>IFERROR(__xludf.DUMMYFUNCTION("IF(REGEXMATCH(Z2009, ""Season""), ""TV Show"", ""Movie"")"),"Movie")</f>
        <v>Movie</v>
      </c>
    </row>
    <row r="2010">
      <c r="A2010" s="1" t="s">
        <v>11523</v>
      </c>
      <c r="B2010" s="1" t="s">
        <v>37</v>
      </c>
      <c r="C2010" s="1" t="s">
        <v>11524</v>
      </c>
      <c r="E2010" s="1" t="s">
        <v>11525</v>
      </c>
      <c r="F2010" s="1" t="s">
        <v>664</v>
      </c>
      <c r="G2010" s="1" t="s">
        <v>11515</v>
      </c>
      <c r="H2010" s="1">
        <v>2020.0</v>
      </c>
      <c r="I2010" s="1" t="s">
        <v>42</v>
      </c>
      <c r="J2010" s="1" t="s">
        <v>43</v>
      </c>
      <c r="K2010" s="1" t="s">
        <v>1531</v>
      </c>
      <c r="L2010" s="1" t="s">
        <v>11526</v>
      </c>
      <c r="M2010" s="2" t="s">
        <v>12</v>
      </c>
      <c r="N2010" s="4">
        <f t="shared" si="1"/>
        <v>44085</v>
      </c>
      <c r="O2010" s="5" t="str">
        <f>IFERROR(__xludf.DUMMYFUNCTION("IF(REGEXMATCH(TRIM(I2010), ""^\d+\s*min""), ""Unclassified"", IF(I2010 = """", ""NR"", I2010))"),"TV-MA")</f>
        <v>TV-MA</v>
      </c>
      <c r="R2010" s="5" t="str">
        <f t="shared" si="2"/>
        <v>Family Business</v>
      </c>
      <c r="S2010" s="5" t="str">
        <f>IFERROR(__xludf.DUMMYFUNCTION("""COMPUTED_VALUE"""),"Diva Brides")</f>
        <v>Diva Brides</v>
      </c>
      <c r="U2010" s="5" t="str">
        <f>IFERROR(__xludf.DUMMYFUNCTION("""COMPUTED_VALUE"""),"Trisha Ziff")</f>
        <v>Trisha Ziff</v>
      </c>
      <c r="V2010" s="5" t="s">
        <v>11527</v>
      </c>
      <c r="W2010" s="5" t="str">
        <f t="shared" si="3"/>
        <v>Johnny Kevorkian</v>
      </c>
      <c r="X2010" s="5">
        <f t="shared" si="4"/>
        <v>1</v>
      </c>
      <c r="Y2010" s="5" t="str">
        <f>IFERROR(__xludf.DUMMYFUNCTION("REGEXEXTRACT(J2010, ""^\d+"")"),"2")</f>
        <v>2</v>
      </c>
      <c r="Z2010" s="5" t="str">
        <f>IFERROR(__xludf.DUMMYFUNCTION("REGEXEXTRACT(J2010, ""[A-Za-z ]+$"")")," Seasons")</f>
        <v> Seasons</v>
      </c>
      <c r="AA2010" s="5" t="str">
        <f>IFERROR(__xludf.DUMMYFUNCTION("IF(REGEXMATCH(Z2010, ""Season""), ""TV Show"", ""Movie"")"),"TV Show")</f>
        <v>TV Show</v>
      </c>
    </row>
    <row r="2011">
      <c r="A2011" s="1" t="s">
        <v>11528</v>
      </c>
      <c r="B2011" s="1" t="s">
        <v>37</v>
      </c>
      <c r="C2011" s="1" t="s">
        <v>11529</v>
      </c>
      <c r="E2011" s="1" t="s">
        <v>11530</v>
      </c>
      <c r="F2011" s="1" t="s">
        <v>30</v>
      </c>
      <c r="G2011" s="1" t="s">
        <v>11515</v>
      </c>
      <c r="H2011" s="1">
        <v>2007.0</v>
      </c>
      <c r="I2011" s="1" t="s">
        <v>97</v>
      </c>
      <c r="J2011" s="1" t="s">
        <v>3285</v>
      </c>
      <c r="K2011" s="1" t="s">
        <v>270</v>
      </c>
      <c r="L2011" s="1" t="s">
        <v>11531</v>
      </c>
      <c r="M2011" s="2" t="s">
        <v>12</v>
      </c>
      <c r="N2011" s="4">
        <f t="shared" si="1"/>
        <v>44085</v>
      </c>
      <c r="O2011" s="5" t="str">
        <f>IFERROR(__xludf.DUMMYFUNCTION("IF(REGEXMATCH(TRIM(I2011), ""^\d+\s*min""), ""Unclassified"", IF(I2011 = """", ""NR"", I2011))"),"TV-14")</f>
        <v>TV-14</v>
      </c>
      <c r="R2011" s="5" t="str">
        <f t="shared" si="2"/>
        <v>Girlfriends</v>
      </c>
      <c r="S2011" s="5" t="str">
        <f>IFERROR(__xludf.DUMMYFUNCTION("""COMPUTED_VALUE"""),"Dive Club")</f>
        <v>Dive Club</v>
      </c>
      <c r="U2011" s="5" t="str">
        <f>IFERROR(__xludf.DUMMYFUNCTION("""COMPUTED_VALUE"""),"Vasan Bala")</f>
        <v>Vasan Bala</v>
      </c>
      <c r="V2011" s="5" t="s">
        <v>11532</v>
      </c>
      <c r="W2011" s="5" t="str">
        <f t="shared" si="3"/>
        <v>Johnny Martin</v>
      </c>
      <c r="X2011" s="5">
        <f t="shared" si="4"/>
        <v>1</v>
      </c>
      <c r="Y2011" s="5" t="str">
        <f>IFERROR(__xludf.DUMMYFUNCTION("REGEXEXTRACT(J2011, ""^\d+"")"),"8")</f>
        <v>8</v>
      </c>
      <c r="Z2011" s="5" t="str">
        <f>IFERROR(__xludf.DUMMYFUNCTION("REGEXEXTRACT(J2011, ""[A-Za-z ]+$"")")," Seasons")</f>
        <v> Seasons</v>
      </c>
      <c r="AA2011" s="5" t="str">
        <f>IFERROR(__xludf.DUMMYFUNCTION("IF(REGEXMATCH(Z2011, ""Season""), ""TV Show"", ""Movie"")"),"TV Show")</f>
        <v>TV Show</v>
      </c>
    </row>
    <row r="2012">
      <c r="A2012" s="1" t="s">
        <v>11533</v>
      </c>
      <c r="B2012" s="1" t="s">
        <v>27</v>
      </c>
      <c r="C2012" s="1" t="s">
        <v>11534</v>
      </c>
      <c r="D2012" s="1" t="s">
        <v>11535</v>
      </c>
      <c r="E2012" s="1" t="s">
        <v>11536</v>
      </c>
      <c r="F2012" s="1" t="s">
        <v>30</v>
      </c>
      <c r="G2012" s="1" t="s">
        <v>11515</v>
      </c>
      <c r="H2012" s="1">
        <v>2014.0</v>
      </c>
      <c r="I2012" s="1" t="s">
        <v>78</v>
      </c>
      <c r="J2012" s="1" t="s">
        <v>447</v>
      </c>
      <c r="K2012" s="1" t="s">
        <v>80</v>
      </c>
      <c r="L2012" s="1" t="s">
        <v>11537</v>
      </c>
      <c r="M2012" s="2" t="s">
        <v>12</v>
      </c>
      <c r="N2012" s="4">
        <f t="shared" si="1"/>
        <v>44085</v>
      </c>
      <c r="O2012" s="5" t="str">
        <f>IFERROR(__xludf.DUMMYFUNCTION("IF(REGEXMATCH(TRIM(I2012), ""^\d+\s*min""), ""Unclassified"", IF(I2012 = """", ""NR"", I2012))"),"PG")</f>
        <v>PG</v>
      </c>
      <c r="R2012" s="5" t="str">
        <f t="shared" si="2"/>
        <v>How To Train Your Dragon 2</v>
      </c>
      <c r="S2012" s="5" t="str">
        <f>IFERROR(__xludf.DUMMYFUNCTION("""COMPUTED_VALUE"""),"Divines")</f>
        <v>Divines</v>
      </c>
      <c r="U2012" s="5" t="str">
        <f>IFERROR(__xludf.DUMMYFUNCTION("""COMPUTED_VALUE"""),"Diego Enrique Osorno")</f>
        <v>Diego Enrique Osorno</v>
      </c>
      <c r="V2012" s="5" t="s">
        <v>11538</v>
      </c>
      <c r="W2012" s="5" t="str">
        <f t="shared" si="3"/>
        <v>Johnny To</v>
      </c>
      <c r="X2012" s="5">
        <f t="shared" si="4"/>
        <v>1</v>
      </c>
      <c r="Y2012" s="5" t="str">
        <f>IFERROR(__xludf.DUMMYFUNCTION("REGEXEXTRACT(J2012, ""^\d+"")"),"102")</f>
        <v>102</v>
      </c>
      <c r="Z2012" s="5" t="str">
        <f>IFERROR(__xludf.DUMMYFUNCTION("REGEXEXTRACT(J2012, ""[A-Za-z ]+$"")")," min")</f>
        <v> min</v>
      </c>
      <c r="AA2012" s="5" t="str">
        <f>IFERROR(__xludf.DUMMYFUNCTION("IF(REGEXMATCH(Z2012, ""Season""), ""TV Show"", ""Movie"")"),"Movie")</f>
        <v>Movie</v>
      </c>
    </row>
    <row r="2013">
      <c r="A2013" s="1" t="s">
        <v>11539</v>
      </c>
      <c r="B2013" s="1" t="s">
        <v>27</v>
      </c>
      <c r="C2013" s="1" t="s">
        <v>11540</v>
      </c>
      <c r="D2013" s="1" t="s">
        <v>11541</v>
      </c>
      <c r="E2013" s="1" t="s">
        <v>11542</v>
      </c>
      <c r="F2013" s="1" t="s">
        <v>11543</v>
      </c>
      <c r="G2013" s="1" t="s">
        <v>11515</v>
      </c>
      <c r="H2013" s="1">
        <v>2020.0</v>
      </c>
      <c r="I2013" s="1" t="s">
        <v>289</v>
      </c>
      <c r="J2013" s="1" t="s">
        <v>454</v>
      </c>
      <c r="K2013" s="1" t="s">
        <v>137</v>
      </c>
      <c r="L2013" s="1" t="s">
        <v>11544</v>
      </c>
      <c r="M2013" s="2" t="s">
        <v>12</v>
      </c>
      <c r="N2013" s="4">
        <f t="shared" si="1"/>
        <v>44085</v>
      </c>
      <c r="O2013" s="5" t="str">
        <f>IFERROR(__xludf.DUMMYFUNCTION("IF(REGEXMATCH(TRIM(I2013), ""^\d+\s*min""), ""Unclassified"", IF(I2013 = """", ""NR"", I2013))"),"TV-Y7")</f>
        <v>TV-Y7</v>
      </c>
      <c r="R2013" s="5" t="str">
        <f t="shared" si="2"/>
        <v>Pets United</v>
      </c>
      <c r="S2013" s="5" t="str">
        <f>IFERROR(__xludf.DUMMYFUNCTION("""COMPUTED_VALUE"""),"Dj Cinderella")</f>
        <v>Dj Cinderella</v>
      </c>
      <c r="U2013" s="5" t="str">
        <f>IFERROR(__xludf.DUMMYFUNCTION("""COMPUTED_VALUE"""),"Pedring A. Lopez")</f>
        <v>Pedring A. Lopez</v>
      </c>
      <c r="V2013" s="5" t="s">
        <v>11545</v>
      </c>
      <c r="W2013" s="5" t="str">
        <f t="shared" si="3"/>
        <v>Johnson Esthappan</v>
      </c>
      <c r="X2013" s="5">
        <f t="shared" si="4"/>
        <v>1</v>
      </c>
      <c r="Y2013" s="5" t="str">
        <f>IFERROR(__xludf.DUMMYFUNCTION("REGEXEXTRACT(J2013, ""^\d+"")"),"93")</f>
        <v>93</v>
      </c>
      <c r="Z2013" s="5" t="str">
        <f>IFERROR(__xludf.DUMMYFUNCTION("REGEXEXTRACT(J2013, ""[A-Za-z ]+$"")")," min")</f>
        <v> min</v>
      </c>
      <c r="AA2013" s="5" t="str">
        <f>IFERROR(__xludf.DUMMYFUNCTION("IF(REGEXMATCH(Z2013, ""Season""), ""TV Show"", ""Movie"")"),"Movie")</f>
        <v>Movie</v>
      </c>
    </row>
    <row r="2014">
      <c r="A2014" s="1" t="s">
        <v>11546</v>
      </c>
      <c r="B2014" s="1" t="s">
        <v>37</v>
      </c>
      <c r="C2014" s="1" t="s">
        <v>11547</v>
      </c>
      <c r="E2014" s="1" t="s">
        <v>11548</v>
      </c>
      <c r="F2014" s="1" t="s">
        <v>784</v>
      </c>
      <c r="G2014" s="1" t="s">
        <v>11515</v>
      </c>
      <c r="H2014" s="1">
        <v>2020.0</v>
      </c>
      <c r="I2014" s="1" t="s">
        <v>42</v>
      </c>
      <c r="J2014" s="1" t="s">
        <v>51</v>
      </c>
      <c r="K2014" s="1" t="s">
        <v>1339</v>
      </c>
      <c r="L2014" s="1" t="s">
        <v>11549</v>
      </c>
      <c r="M2014" s="2" t="s">
        <v>12</v>
      </c>
      <c r="N2014" s="4">
        <f t="shared" si="1"/>
        <v>44085</v>
      </c>
      <c r="O2014" s="5" t="str">
        <f>IFERROR(__xludf.DUMMYFUNCTION("IF(REGEXMATCH(TRIM(I2014), ""^\d+\s*min""), ""Unclassified"", IF(I2014 = """", ""NR"", I2014))"),"TV-MA")</f>
        <v>TV-MA</v>
      </c>
      <c r="R2014" s="5" t="str">
        <f t="shared" si="2"/>
        <v>The Barrier</v>
      </c>
      <c r="S2014" s="5" t="str">
        <f>IFERROR(__xludf.DUMMYFUNCTION("""COMPUTED_VALUE"""),"Django Unchained")</f>
        <v>Django Unchained</v>
      </c>
      <c r="U2014" s="5" t="str">
        <f>IFERROR(__xludf.DUMMYFUNCTION("""COMPUTED_VALUE"""),"Sam Cullman")</f>
        <v>Sam Cullman</v>
      </c>
      <c r="V2014" s="5" t="s">
        <v>11550</v>
      </c>
      <c r="W2014" s="5" t="str">
        <f t="shared" si="3"/>
        <v>Jon Alpert</v>
      </c>
      <c r="X2014" s="5">
        <f t="shared" si="4"/>
        <v>1</v>
      </c>
      <c r="Y2014" s="5" t="str">
        <f>IFERROR(__xludf.DUMMYFUNCTION("REGEXEXTRACT(J2014, ""^\d+"")"),"1")</f>
        <v>1</v>
      </c>
      <c r="Z2014" s="5" t="str">
        <f>IFERROR(__xludf.DUMMYFUNCTION("REGEXEXTRACT(J2014, ""[A-Za-z ]+$"")")," Season")</f>
        <v> Season</v>
      </c>
      <c r="AA2014" s="5" t="str">
        <f>IFERROR(__xludf.DUMMYFUNCTION("IF(REGEXMATCH(Z2014, ""Season""), ""TV Show"", ""Movie"")"),"TV Show")</f>
        <v>TV Show</v>
      </c>
    </row>
    <row r="2015">
      <c r="A2015" s="1" t="s">
        <v>11551</v>
      </c>
      <c r="B2015" s="1" t="s">
        <v>37</v>
      </c>
      <c r="C2015" s="1" t="s">
        <v>11552</v>
      </c>
      <c r="E2015" s="1" t="s">
        <v>11553</v>
      </c>
      <c r="F2015" s="1" t="s">
        <v>96</v>
      </c>
      <c r="G2015" s="1" t="s">
        <v>11515</v>
      </c>
      <c r="H2015" s="1">
        <v>2020.0</v>
      </c>
      <c r="I2015" s="1" t="s">
        <v>42</v>
      </c>
      <c r="J2015" s="1" t="s">
        <v>51</v>
      </c>
      <c r="K2015" s="1" t="s">
        <v>277</v>
      </c>
      <c r="L2015" s="1" t="s">
        <v>11554</v>
      </c>
      <c r="M2015" s="2" t="s">
        <v>12</v>
      </c>
      <c r="N2015" s="4">
        <f t="shared" si="1"/>
        <v>44085</v>
      </c>
      <c r="O2015" s="5" t="str">
        <f>IFERROR(__xludf.DUMMYFUNCTION("IF(REGEXMATCH(TRIM(I2015), ""^\d+\s*min""), ""Unclassified"", IF(I2015 = """", ""NR"", I2015))"),"TV-MA")</f>
        <v>TV-MA</v>
      </c>
      <c r="R2015" s="5" t="str">
        <f t="shared" si="2"/>
        <v>The Duchess</v>
      </c>
      <c r="S2015" s="5" t="str">
        <f>IFERROR(__xludf.DUMMYFUNCTION("""COMPUTED_VALUE"""),"Dna")</f>
        <v>Dna</v>
      </c>
      <c r="U2015" s="5" t="str">
        <f>IFERROR(__xludf.DUMMYFUNCTION("""COMPUTED_VALUE"""),"Francesco Imperato")</f>
        <v>Francesco Imperato</v>
      </c>
      <c r="V2015" s="5" t="s">
        <v>11555</v>
      </c>
      <c r="W2015" s="5" t="str">
        <f t="shared" si="3"/>
        <v>Jon Avnet</v>
      </c>
      <c r="X2015" s="5">
        <f t="shared" si="4"/>
        <v>1</v>
      </c>
      <c r="Y2015" s="5" t="str">
        <f>IFERROR(__xludf.DUMMYFUNCTION("REGEXEXTRACT(J2015, ""^\d+"")"),"1")</f>
        <v>1</v>
      </c>
      <c r="Z2015" s="5" t="str">
        <f>IFERROR(__xludf.DUMMYFUNCTION("REGEXEXTRACT(J2015, ""[A-Za-z ]+$"")")," Season")</f>
        <v> Season</v>
      </c>
      <c r="AA2015" s="5" t="str">
        <f>IFERROR(__xludf.DUMMYFUNCTION("IF(REGEXMATCH(Z2015, ""Season""), ""TV Show"", ""Movie"")"),"TV Show")</f>
        <v>TV Show</v>
      </c>
    </row>
    <row r="2016">
      <c r="A2016" s="1" t="s">
        <v>11556</v>
      </c>
      <c r="B2016" s="1" t="s">
        <v>27</v>
      </c>
      <c r="C2016" s="1" t="s">
        <v>11557</v>
      </c>
      <c r="D2016" s="1" t="s">
        <v>11558</v>
      </c>
      <c r="E2016" s="1" t="s">
        <v>11559</v>
      </c>
      <c r="G2016" s="1" t="s">
        <v>11515</v>
      </c>
      <c r="H2016" s="1">
        <v>2014.0</v>
      </c>
      <c r="I2016" s="1" t="s">
        <v>97</v>
      </c>
      <c r="J2016" s="1" t="s">
        <v>1993</v>
      </c>
      <c r="K2016" s="1" t="s">
        <v>1839</v>
      </c>
      <c r="L2016" s="1" t="s">
        <v>11560</v>
      </c>
      <c r="M2016" s="2" t="s">
        <v>12</v>
      </c>
      <c r="N2016" s="4">
        <f t="shared" si="1"/>
        <v>44085</v>
      </c>
      <c r="O2016" s="5" t="str">
        <f>IFERROR(__xludf.DUMMYFUNCTION("IF(REGEXMATCH(TRIM(I2016), ""^\d+\s*min""), ""Unclassified"", IF(I2016 = """", ""NR"", I2016))"),"TV-14")</f>
        <v>TV-14</v>
      </c>
      <c r="R2016" s="5" t="str">
        <f t="shared" si="2"/>
        <v>Wonho Chung: Live In New York</v>
      </c>
      <c r="S2016" s="5" t="str">
        <f>IFERROR(__xludf.DUMMYFUNCTION("""COMPUTED_VALUE"""),"Do Do Sol Sol La La Sol")</f>
        <v>Do Do Sol Sol La La Sol</v>
      </c>
      <c r="U2016" s="5" t="str">
        <f>IFERROR(__xludf.DUMMYFUNCTION("""COMPUTED_VALUE"""),"Stefon Bristol")</f>
        <v>Stefon Bristol</v>
      </c>
      <c r="V2016" s="5" t="s">
        <v>11561</v>
      </c>
      <c r="W2016" s="5" t="str">
        <f t="shared" si="3"/>
        <v>Jon Carey, Adam Darke</v>
      </c>
      <c r="X2016" s="5">
        <f t="shared" si="4"/>
        <v>1</v>
      </c>
      <c r="Y2016" s="5" t="str">
        <f>IFERROR(__xludf.DUMMYFUNCTION("REGEXEXTRACT(J2016, ""^\d+"")"),"69")</f>
        <v>69</v>
      </c>
      <c r="Z2016" s="5" t="str">
        <f>IFERROR(__xludf.DUMMYFUNCTION("REGEXEXTRACT(J2016, ""[A-Za-z ]+$"")")," min")</f>
        <v> min</v>
      </c>
      <c r="AA2016" s="5" t="str">
        <f>IFERROR(__xludf.DUMMYFUNCTION("IF(REGEXMATCH(Z2016, ""Season""), ""TV Show"", ""Movie"")"),"Movie")</f>
        <v>Movie</v>
      </c>
    </row>
    <row r="2017">
      <c r="A2017" s="1" t="s">
        <v>11562</v>
      </c>
      <c r="B2017" s="1" t="s">
        <v>27</v>
      </c>
      <c r="C2017" s="1" t="s">
        <v>11563</v>
      </c>
      <c r="D2017" s="1" t="s">
        <v>11564</v>
      </c>
      <c r="E2017" s="1" t="s">
        <v>11565</v>
      </c>
      <c r="F2017" s="1" t="s">
        <v>63</v>
      </c>
      <c r="G2017" s="1" t="s">
        <v>11566</v>
      </c>
      <c r="H2017" s="1">
        <v>2018.0</v>
      </c>
      <c r="I2017" s="1" t="s">
        <v>97</v>
      </c>
      <c r="J2017" s="1" t="s">
        <v>1428</v>
      </c>
      <c r="K2017" s="1" t="s">
        <v>298</v>
      </c>
      <c r="L2017" s="1" t="s">
        <v>11567</v>
      </c>
      <c r="M2017" s="2" t="s">
        <v>12</v>
      </c>
      <c r="N2017" s="4">
        <f t="shared" si="1"/>
        <v>44084</v>
      </c>
      <c r="O2017" s="5" t="str">
        <f>IFERROR(__xludf.DUMMYFUNCTION("IF(REGEXMATCH(TRIM(I2017), ""^\d+\s*min""), ""Unclassified"", IF(I2017 = """", ""NR"", I2017))"),"TV-14")</f>
        <v>TV-14</v>
      </c>
      <c r="R2017" s="5" t="str">
        <f t="shared" si="2"/>
        <v>Aapla Manus</v>
      </c>
      <c r="S2017" s="5" t="str">
        <f>IFERROR(__xludf.DUMMYFUNCTION("""COMPUTED_VALUE"""),"Do Dooni Chaar")</f>
        <v>Do Dooni Chaar</v>
      </c>
      <c r="U2017" s="5" t="str">
        <f>IFERROR(__xludf.DUMMYFUNCTION("""COMPUTED_VALUE"""),"Kate Melville")</f>
        <v>Kate Melville</v>
      </c>
      <c r="V2017" s="5" t="s">
        <v>8033</v>
      </c>
      <c r="W2017" s="5" t="str">
        <f t="shared" si="3"/>
        <v>Jon Favreau</v>
      </c>
      <c r="X2017" s="5">
        <f t="shared" si="4"/>
        <v>2</v>
      </c>
      <c r="Y2017" s="5" t="str">
        <f>IFERROR(__xludf.DUMMYFUNCTION("REGEXEXTRACT(J2017, ""^\d+"")"),"133")</f>
        <v>133</v>
      </c>
      <c r="Z2017" s="5" t="str">
        <f>IFERROR(__xludf.DUMMYFUNCTION("REGEXEXTRACT(J2017, ""[A-Za-z ]+$"")")," min")</f>
        <v> min</v>
      </c>
      <c r="AA2017" s="5" t="str">
        <f>IFERROR(__xludf.DUMMYFUNCTION("IF(REGEXMATCH(Z2017, ""Season""), ""TV Show"", ""Movie"")"),"Movie")</f>
        <v>Movie</v>
      </c>
    </row>
    <row r="2018">
      <c r="A2018" s="1" t="s">
        <v>11568</v>
      </c>
      <c r="B2018" s="1" t="s">
        <v>27</v>
      </c>
      <c r="C2018" s="1" t="s">
        <v>11569</v>
      </c>
      <c r="D2018" s="1" t="s">
        <v>232</v>
      </c>
      <c r="E2018" s="1" t="s">
        <v>11570</v>
      </c>
      <c r="F2018" s="1" t="s">
        <v>63</v>
      </c>
      <c r="G2018" s="1" t="s">
        <v>11566</v>
      </c>
      <c r="H2018" s="1">
        <v>2018.0</v>
      </c>
      <c r="I2018" s="1" t="s">
        <v>97</v>
      </c>
      <c r="J2018" s="1" t="s">
        <v>11571</v>
      </c>
      <c r="K2018" s="1" t="s">
        <v>128</v>
      </c>
      <c r="L2018" s="1" t="s">
        <v>11572</v>
      </c>
      <c r="M2018" s="2" t="s">
        <v>12</v>
      </c>
      <c r="N2018" s="4">
        <f t="shared" si="1"/>
        <v>44084</v>
      </c>
      <c r="O2018" s="5" t="str">
        <f>IFERROR(__xludf.DUMMYFUNCTION("IF(REGEXMATCH(TRIM(I2018), ""^\d+\s*min""), ""Unclassified"", IF(I2018 = """", ""NR"", I2018))"),"TV-14")</f>
        <v>TV-14</v>
      </c>
      <c r="R2018" s="5" t="str">
        <f t="shared" si="2"/>
        <v>Ani... Dr. Kashinath Ghanekar</v>
      </c>
      <c r="S2018" s="5" t="str">
        <f>IFERROR(__xludf.DUMMYFUNCTION("""COMPUTED_VALUE"""),"Do Paise Ki Dhoop Chaar Aane Ki Baarish")</f>
        <v>Do Paise Ki Dhoop Chaar Aane Ki Baarish</v>
      </c>
      <c r="U2018" s="5" t="str">
        <f>IFERROR(__xludf.DUMMYFUNCTION("""COMPUTED_VALUE"""),"Aditya Vikram Sengupta")</f>
        <v>Aditya Vikram Sengupta</v>
      </c>
      <c r="V2018" s="5" t="s">
        <v>11573</v>
      </c>
      <c r="W2018" s="5" t="str">
        <f t="shared" si="3"/>
        <v>Jon Greenhalgh</v>
      </c>
      <c r="X2018" s="5">
        <f t="shared" si="4"/>
        <v>1</v>
      </c>
      <c r="Y2018" s="5" t="str">
        <f>IFERROR(__xludf.DUMMYFUNCTION("REGEXEXTRACT(J2018, ""^\d+"")"),"157")</f>
        <v>157</v>
      </c>
      <c r="Z2018" s="5" t="str">
        <f>IFERROR(__xludf.DUMMYFUNCTION("REGEXEXTRACT(J2018, ""[A-Za-z ]+$"")")," min")</f>
        <v> min</v>
      </c>
      <c r="AA2018" s="5" t="str">
        <f>IFERROR(__xludf.DUMMYFUNCTION("IF(REGEXMATCH(Z2018, ""Season""), ""TV Show"", ""Movie"")"),"Movie")</f>
        <v>Movie</v>
      </c>
    </row>
    <row r="2019">
      <c r="A2019" s="1" t="s">
        <v>11574</v>
      </c>
      <c r="B2019" s="1" t="s">
        <v>27</v>
      </c>
      <c r="C2019" s="1" t="s">
        <v>11575</v>
      </c>
      <c r="D2019" s="1" t="s">
        <v>11576</v>
      </c>
      <c r="E2019" s="1" t="s">
        <v>11577</v>
      </c>
      <c r="F2019" s="1" t="s">
        <v>63</v>
      </c>
      <c r="G2019" s="1" t="s">
        <v>11566</v>
      </c>
      <c r="H2019" s="1">
        <v>2019.0</v>
      </c>
      <c r="I2019" s="1" t="s">
        <v>97</v>
      </c>
      <c r="J2019" s="1" t="s">
        <v>349</v>
      </c>
      <c r="K2019" s="1" t="s">
        <v>128</v>
      </c>
      <c r="L2019" s="1" t="s">
        <v>11578</v>
      </c>
      <c r="M2019" s="2" t="s">
        <v>12</v>
      </c>
      <c r="N2019" s="4">
        <f t="shared" si="1"/>
        <v>44084</v>
      </c>
      <c r="O2019" s="5" t="str">
        <f>IFERROR(__xludf.DUMMYFUNCTION("IF(REGEXMATCH(TRIM(I2019), ""^\d+\s*min""), ""Unclassified"", IF(I2019 = """", ""NR"", I2019))"),"TV-14")</f>
        <v>TV-14</v>
      </c>
      <c r="R2019" s="5" t="str">
        <f t="shared" si="2"/>
        <v>Bhai: Vyakti Ki Valli - Poorvardha</v>
      </c>
      <c r="S2019" s="5" t="str">
        <f>IFERROR(__xludf.DUMMYFUNCTION("""COMPUTED_VALUE"""),"Do The Right Thing")</f>
        <v>Do The Right Thing</v>
      </c>
      <c r="U2019" s="5" t="str">
        <f>IFERROR(__xludf.DUMMYFUNCTION("""COMPUTED_VALUE"""),"Mandie Fletcher")</f>
        <v>Mandie Fletcher</v>
      </c>
      <c r="V2019" s="5" t="s">
        <v>11579</v>
      </c>
      <c r="W2019" s="5" t="str">
        <f t="shared" si="3"/>
        <v>Jon Gunn</v>
      </c>
      <c r="X2019" s="5">
        <f t="shared" si="4"/>
        <v>1</v>
      </c>
      <c r="Y2019" s="5" t="str">
        <f>IFERROR(__xludf.DUMMYFUNCTION("REGEXEXTRACT(J2019, ""^\d+"")"),"116")</f>
        <v>116</v>
      </c>
      <c r="Z2019" s="5" t="str">
        <f>IFERROR(__xludf.DUMMYFUNCTION("REGEXEXTRACT(J2019, ""[A-Za-z ]+$"")")," min")</f>
        <v> min</v>
      </c>
      <c r="AA2019" s="5" t="str">
        <f>IFERROR(__xludf.DUMMYFUNCTION("IF(REGEXMATCH(Z2019, ""Season""), ""TV Show"", ""Movie"")"),"Movie")</f>
        <v>Movie</v>
      </c>
    </row>
    <row r="2020">
      <c r="A2020" s="1" t="s">
        <v>11580</v>
      </c>
      <c r="B2020" s="1" t="s">
        <v>27</v>
      </c>
      <c r="C2020" s="1" t="s">
        <v>11581</v>
      </c>
      <c r="D2020" s="1" t="s">
        <v>11576</v>
      </c>
      <c r="E2020" s="1" t="s">
        <v>11582</v>
      </c>
      <c r="F2020" s="1" t="s">
        <v>63</v>
      </c>
      <c r="G2020" s="1" t="s">
        <v>11566</v>
      </c>
      <c r="H2020" s="1">
        <v>2019.0</v>
      </c>
      <c r="I2020" s="1" t="s">
        <v>136</v>
      </c>
      <c r="J2020" s="1" t="s">
        <v>1243</v>
      </c>
      <c r="K2020" s="1" t="s">
        <v>128</v>
      </c>
      <c r="L2020" s="1" t="s">
        <v>11583</v>
      </c>
      <c r="M2020" s="2" t="s">
        <v>12</v>
      </c>
      <c r="N2020" s="4">
        <f t="shared" si="1"/>
        <v>44084</v>
      </c>
      <c r="O2020" s="5" t="str">
        <f>IFERROR(__xludf.DUMMYFUNCTION("IF(REGEXMATCH(TRIM(I2020), ""^\d+\s*min""), ""Unclassified"", IF(I2020 = """", ""NR"", I2020))"),"TV-PG")</f>
        <v>TV-PG</v>
      </c>
      <c r="R2020" s="5" t="str">
        <f t="shared" si="2"/>
        <v>Bhai: Vyakti Ki Valli - Uttarardh</v>
      </c>
      <c r="S2020" s="5" t="str">
        <f>IFERROR(__xludf.DUMMYFUNCTION("""COMPUTED_VALUE"""),"Doctor Bello")</f>
        <v>Doctor Bello</v>
      </c>
      <c r="U2020" s="5" t="str">
        <f>IFERROR(__xludf.DUMMYFUNCTION("""COMPUTED_VALUE"""),"Aijaz Khan")</f>
        <v>Aijaz Khan</v>
      </c>
      <c r="V2020" s="5" t="s">
        <v>11584</v>
      </c>
      <c r="W2020" s="5" t="str">
        <f t="shared" si="3"/>
        <v>Jon Hurwitz, Hayden Schlossberg</v>
      </c>
      <c r="X2020" s="5">
        <f t="shared" si="4"/>
        <v>1</v>
      </c>
      <c r="Y2020" s="5" t="str">
        <f>IFERROR(__xludf.DUMMYFUNCTION("REGEXEXTRACT(J2020, ""^\d+"")"),"112")</f>
        <v>112</v>
      </c>
      <c r="Z2020" s="5" t="str">
        <f>IFERROR(__xludf.DUMMYFUNCTION("REGEXEXTRACT(J2020, ""[A-Za-z ]+$"")")," min")</f>
        <v> min</v>
      </c>
      <c r="AA2020" s="5" t="str">
        <f>IFERROR(__xludf.DUMMYFUNCTION("IF(REGEXMATCH(Z2020, ""Season""), ""TV Show"", ""Movie"")"),"Movie")</f>
        <v>Movie</v>
      </c>
    </row>
    <row r="2021">
      <c r="A2021" s="1" t="s">
        <v>11585</v>
      </c>
      <c r="B2021" s="1" t="s">
        <v>27</v>
      </c>
      <c r="C2021" s="1" t="s">
        <v>11586</v>
      </c>
      <c r="D2021" s="1" t="s">
        <v>11587</v>
      </c>
      <c r="E2021" s="1" t="s">
        <v>11588</v>
      </c>
      <c r="F2021" s="1" t="s">
        <v>63</v>
      </c>
      <c r="G2021" s="1" t="s">
        <v>11566</v>
      </c>
      <c r="H2021" s="1">
        <v>2018.0</v>
      </c>
      <c r="I2021" s="1" t="s">
        <v>136</v>
      </c>
      <c r="J2021" s="1" t="s">
        <v>322</v>
      </c>
      <c r="K2021" s="1" t="s">
        <v>583</v>
      </c>
      <c r="L2021" s="1" t="s">
        <v>11589</v>
      </c>
      <c r="M2021" s="2" t="s">
        <v>12</v>
      </c>
      <c r="N2021" s="4">
        <f t="shared" si="1"/>
        <v>44084</v>
      </c>
      <c r="O2021" s="5" t="str">
        <f>IFERROR(__xludf.DUMMYFUNCTION("IF(REGEXMATCH(TRIM(I2021), ""^\d+\s*min""), ""Unclassified"", IF(I2021 = """", ""NR"", I2021))"),"TV-PG")</f>
        <v>TV-PG</v>
      </c>
      <c r="R2021" s="5" t="str">
        <f t="shared" si="2"/>
        <v>Cycle</v>
      </c>
      <c r="S2021" s="5" t="str">
        <f>IFERROR(__xludf.DUMMYFUNCTION("""COMPUTED_VALUE"""),"Doctor Foster")</f>
        <v>Doctor Foster</v>
      </c>
      <c r="U2021" s="5" t="str">
        <f>IFERROR(__xludf.DUMMYFUNCTION("""COMPUTED_VALUE"""),"Gonzalo López-Gallego")</f>
        <v>Gonzalo López-Gallego</v>
      </c>
      <c r="V2021" s="5" t="s">
        <v>10868</v>
      </c>
      <c r="W2021" s="5" t="str">
        <f t="shared" si="3"/>
        <v>Jon Izen</v>
      </c>
      <c r="X2021" s="5">
        <f t="shared" si="4"/>
        <v>1</v>
      </c>
      <c r="Y2021" s="5" t="str">
        <f>IFERROR(__xludf.DUMMYFUNCTION("REGEXEXTRACT(J2021, ""^\d+"")"),"96")</f>
        <v>96</v>
      </c>
      <c r="Z2021" s="5" t="str">
        <f>IFERROR(__xludf.DUMMYFUNCTION("REGEXEXTRACT(J2021, ""[A-Za-z ]+$"")")," min")</f>
        <v> min</v>
      </c>
      <c r="AA2021" s="5" t="str">
        <f>IFERROR(__xludf.DUMMYFUNCTION("IF(REGEXMATCH(Z2021, ""Season""), ""TV Show"", ""Movie"")"),"Movie")</f>
        <v>Movie</v>
      </c>
    </row>
    <row r="2022">
      <c r="A2022" s="1" t="s">
        <v>11590</v>
      </c>
      <c r="B2022" s="1" t="s">
        <v>27</v>
      </c>
      <c r="C2022" s="1" t="s">
        <v>11591</v>
      </c>
      <c r="D2022" s="1" t="s">
        <v>11592</v>
      </c>
      <c r="E2022" s="1" t="s">
        <v>11593</v>
      </c>
      <c r="F2022" s="1" t="s">
        <v>63</v>
      </c>
      <c r="G2022" s="1" t="s">
        <v>11566</v>
      </c>
      <c r="H2022" s="1">
        <v>2017.0</v>
      </c>
      <c r="I2022" s="1" t="s">
        <v>506</v>
      </c>
      <c r="J2022" s="1" t="s">
        <v>127</v>
      </c>
      <c r="K2022" s="1" t="s">
        <v>2983</v>
      </c>
      <c r="L2022" s="1" t="s">
        <v>11594</v>
      </c>
      <c r="M2022" s="2" t="s">
        <v>12</v>
      </c>
      <c r="N2022" s="4">
        <f t="shared" si="1"/>
        <v>44084</v>
      </c>
      <c r="O2022" s="5" t="str">
        <f>IFERROR(__xludf.DUMMYFUNCTION("IF(REGEXMATCH(TRIM(I2022), ""^\d+\s*min""), ""Unclassified"", IF(I2022 = """", ""NR"", I2022))"),"TV-G")</f>
        <v>TV-G</v>
      </c>
      <c r="R2022" s="5" t="str">
        <f t="shared" si="2"/>
        <v>Dhh</v>
      </c>
      <c r="S2022" s="5" t="str">
        <f>IFERROR(__xludf.DUMMYFUNCTION("""COMPUTED_VALUE"""),"Doctor Zhivago")</f>
        <v>Doctor Zhivago</v>
      </c>
      <c r="U2022" s="5" t="str">
        <f>IFERROR(__xludf.DUMMYFUNCTION("""COMPUTED_VALUE"""),"Abby Epstein")</f>
        <v>Abby Epstein</v>
      </c>
      <c r="V2022" s="5" t="s">
        <v>11595</v>
      </c>
      <c r="W2022" s="5" t="str">
        <f t="shared" si="3"/>
        <v>Jon J. Whelan</v>
      </c>
      <c r="X2022" s="5">
        <f t="shared" si="4"/>
        <v>1</v>
      </c>
      <c r="Y2022" s="5" t="str">
        <f>IFERROR(__xludf.DUMMYFUNCTION("REGEXEXTRACT(J2022, ""^\d+"")"),"127")</f>
        <v>127</v>
      </c>
      <c r="Z2022" s="5" t="str">
        <f>IFERROR(__xludf.DUMMYFUNCTION("REGEXEXTRACT(J2022, ""[A-Za-z ]+$"")")," min")</f>
        <v> min</v>
      </c>
      <c r="AA2022" s="5" t="str">
        <f>IFERROR(__xludf.DUMMYFUNCTION("IF(REGEXMATCH(Z2022, ""Season""), ""TV Show"", ""Movie"")"),"Movie")</f>
        <v>Movie</v>
      </c>
    </row>
    <row r="2023">
      <c r="A2023" s="1" t="s">
        <v>11596</v>
      </c>
      <c r="B2023" s="1" t="s">
        <v>37</v>
      </c>
      <c r="C2023" s="1" t="s">
        <v>11597</v>
      </c>
      <c r="E2023" s="1" t="s">
        <v>11598</v>
      </c>
      <c r="F2023" s="1" t="s">
        <v>30</v>
      </c>
      <c r="G2023" s="1" t="s">
        <v>11566</v>
      </c>
      <c r="H2023" s="1">
        <v>2020.0</v>
      </c>
      <c r="I2023" s="1" t="s">
        <v>97</v>
      </c>
      <c r="J2023" s="1" t="s">
        <v>189</v>
      </c>
      <c r="K2023" s="1" t="s">
        <v>2709</v>
      </c>
      <c r="L2023" s="1" t="s">
        <v>11599</v>
      </c>
      <c r="M2023" s="2" t="s">
        <v>12</v>
      </c>
      <c r="N2023" s="4">
        <f t="shared" si="1"/>
        <v>44084</v>
      </c>
      <c r="O2023" s="5" t="str">
        <f>IFERROR(__xludf.DUMMYFUNCTION("IF(REGEXMATCH(TRIM(I2023), ""^\d+\s*min""), ""Unclassified"", IF(I2023 = """", ""NR"", I2023))"),"TV-14")</f>
        <v>TV-14</v>
      </c>
      <c r="R2023" s="5" t="str">
        <f t="shared" si="2"/>
        <v>Greenleaf</v>
      </c>
      <c r="S2023" s="5" t="str">
        <f>IFERROR(__xludf.DUMMYFUNCTION("""COMPUTED_VALUE"""),"Documentary Now!")</f>
        <v>Documentary Now!</v>
      </c>
      <c r="U2023" s="5" t="str">
        <f>IFERROR(__xludf.DUMMYFUNCTION("""COMPUTED_VALUE"""),"Hepi Mita")</f>
        <v>Hepi Mita</v>
      </c>
      <c r="V2023" s="5" t="s">
        <v>11600</v>
      </c>
      <c r="W2023" s="5" t="str">
        <f t="shared" si="3"/>
        <v>Jon Lucas, Scott Moore</v>
      </c>
      <c r="X2023" s="5">
        <f t="shared" si="4"/>
        <v>2</v>
      </c>
      <c r="Y2023" s="5" t="str">
        <f>IFERROR(__xludf.DUMMYFUNCTION("REGEXEXTRACT(J2023, ""^\d+"")"),"5")</f>
        <v>5</v>
      </c>
      <c r="Z2023" s="5" t="str">
        <f>IFERROR(__xludf.DUMMYFUNCTION("REGEXEXTRACT(J2023, ""[A-Za-z ]+$"")")," Seasons")</f>
        <v> Seasons</v>
      </c>
      <c r="AA2023" s="5" t="str">
        <f>IFERROR(__xludf.DUMMYFUNCTION("IF(REGEXMATCH(Z2023, ""Season""), ""TV Show"", ""Movie"")"),"TV Show")</f>
        <v>TV Show</v>
      </c>
    </row>
    <row r="2024">
      <c r="A2024" s="1" t="s">
        <v>11601</v>
      </c>
      <c r="B2024" s="1" t="s">
        <v>37</v>
      </c>
      <c r="C2024" s="1" t="s">
        <v>11602</v>
      </c>
      <c r="D2024" s="1" t="s">
        <v>11603</v>
      </c>
      <c r="E2024" s="1" t="s">
        <v>11604</v>
      </c>
      <c r="F2024" s="1" t="s">
        <v>30</v>
      </c>
      <c r="G2024" s="1" t="s">
        <v>11566</v>
      </c>
      <c r="H2024" s="1">
        <v>2020.0</v>
      </c>
      <c r="I2024" s="1" t="s">
        <v>506</v>
      </c>
      <c r="J2024" s="1" t="s">
        <v>51</v>
      </c>
      <c r="K2024" s="1" t="s">
        <v>314</v>
      </c>
      <c r="L2024" s="1" t="s">
        <v>11605</v>
      </c>
      <c r="M2024" s="2" t="s">
        <v>12</v>
      </c>
      <c r="N2024" s="4">
        <f t="shared" si="1"/>
        <v>44084</v>
      </c>
      <c r="O2024" s="5" t="str">
        <f>IFERROR(__xludf.DUMMYFUNCTION("IF(REGEXMATCH(TRIM(I2024), ""^\d+\s*min""), ""Unclassified"", IF(I2024 = """", ""NR"", I2024))"),"TV-G")</f>
        <v>TV-G</v>
      </c>
      <c r="R2024" s="5" t="str">
        <f t="shared" si="2"/>
        <v>Julie And The Phantoms</v>
      </c>
      <c r="S2024" s="5" t="str">
        <f>IFERROR(__xludf.DUMMYFUNCTION("""COMPUTED_VALUE"""),"Dog Eat Dog")</f>
        <v>Dog Eat Dog</v>
      </c>
      <c r="U2024" s="5" t="str">
        <f>IFERROR(__xludf.DUMMYFUNCTION("""COMPUTED_VALUE"""),"Che Sandoval")</f>
        <v>Che Sandoval</v>
      </c>
      <c r="V2024" s="5" t="s">
        <v>11606</v>
      </c>
      <c r="W2024" s="5" t="str">
        <f t="shared" si="3"/>
        <v>Jon M. Chu</v>
      </c>
      <c r="X2024" s="5">
        <f t="shared" si="4"/>
        <v>3</v>
      </c>
      <c r="Y2024" s="5" t="str">
        <f>IFERROR(__xludf.DUMMYFUNCTION("REGEXEXTRACT(J2024, ""^\d+"")"),"1")</f>
        <v>1</v>
      </c>
      <c r="Z2024" s="5" t="str">
        <f>IFERROR(__xludf.DUMMYFUNCTION("REGEXEXTRACT(J2024, ""[A-Za-z ]+$"")")," Season")</f>
        <v> Season</v>
      </c>
      <c r="AA2024" s="5" t="str">
        <f>IFERROR(__xludf.DUMMYFUNCTION("IF(REGEXMATCH(Z2024, ""Season""), ""TV Show"", ""Movie"")"),"TV Show")</f>
        <v>TV Show</v>
      </c>
    </row>
    <row r="2025">
      <c r="A2025" s="1" t="s">
        <v>11607</v>
      </c>
      <c r="B2025" s="1" t="s">
        <v>27</v>
      </c>
      <c r="C2025" s="1" t="s">
        <v>11608</v>
      </c>
      <c r="D2025" s="1" t="s">
        <v>11609</v>
      </c>
      <c r="E2025" s="1" t="s">
        <v>11610</v>
      </c>
      <c r="F2025" s="1" t="s">
        <v>63</v>
      </c>
      <c r="G2025" s="1" t="s">
        <v>11566</v>
      </c>
      <c r="H2025" s="1">
        <v>2019.0</v>
      </c>
      <c r="I2025" s="1" t="s">
        <v>42</v>
      </c>
      <c r="J2025" s="1" t="s">
        <v>2281</v>
      </c>
      <c r="K2025" s="1" t="s">
        <v>679</v>
      </c>
      <c r="L2025" s="1" t="s">
        <v>11611</v>
      </c>
      <c r="M2025" s="2" t="s">
        <v>12</v>
      </c>
      <c r="N2025" s="4">
        <f t="shared" si="1"/>
        <v>44084</v>
      </c>
      <c r="O2025" s="5" t="str">
        <f>IFERROR(__xludf.DUMMYFUNCTION("IF(REGEXMATCH(TRIM(I2025), ""^\d+\s*min""), ""Unclassified"", IF(I2025 = """", ""NR"", I2025))"),"TV-MA")</f>
        <v>TV-MA</v>
      </c>
      <c r="R2025" s="5" t="str">
        <f t="shared" si="2"/>
        <v>Kaagar</v>
      </c>
      <c r="S2025" s="5" t="str">
        <f>IFERROR(__xludf.DUMMYFUNCTION("""COMPUTED_VALUE"""),"Dog Gone Trouble")</f>
        <v>Dog Gone Trouble</v>
      </c>
      <c r="U2025" s="5" t="str">
        <f>IFERROR(__xludf.DUMMYFUNCTION("""COMPUTED_VALUE"""),"Jean-Bernard Marlin")</f>
        <v>Jean-Bernard Marlin</v>
      </c>
      <c r="V2025" s="5" t="s">
        <v>11612</v>
      </c>
      <c r="W2025" s="5" t="str">
        <f t="shared" si="3"/>
        <v>Jon Manning</v>
      </c>
      <c r="X2025" s="5">
        <f t="shared" si="4"/>
        <v>1</v>
      </c>
      <c r="Y2025" s="5" t="str">
        <f>IFERROR(__xludf.DUMMYFUNCTION("REGEXEXTRACT(J2025, ""^\d+"")"),"130")</f>
        <v>130</v>
      </c>
      <c r="Z2025" s="5" t="str">
        <f>IFERROR(__xludf.DUMMYFUNCTION("REGEXEXTRACT(J2025, ""[A-Za-z ]+$"")")," min")</f>
        <v> min</v>
      </c>
      <c r="AA2025" s="5" t="str">
        <f>IFERROR(__xludf.DUMMYFUNCTION("IF(REGEXMATCH(Z2025, ""Season""), ""TV Show"", ""Movie"")"),"Movie")</f>
        <v>Movie</v>
      </c>
    </row>
    <row r="2026">
      <c r="A2026" s="1" t="s">
        <v>11613</v>
      </c>
      <c r="B2026" s="1" t="s">
        <v>27</v>
      </c>
      <c r="C2026" s="1" t="s">
        <v>11614</v>
      </c>
      <c r="D2026" s="1" t="s">
        <v>5863</v>
      </c>
      <c r="E2026" s="1" t="s">
        <v>11615</v>
      </c>
      <c r="F2026" s="1" t="s">
        <v>188</v>
      </c>
      <c r="G2026" s="1" t="s">
        <v>11566</v>
      </c>
      <c r="H2026" s="1">
        <v>2018.0</v>
      </c>
      <c r="I2026" s="1" t="s">
        <v>42</v>
      </c>
      <c r="J2026" s="1" t="s">
        <v>454</v>
      </c>
      <c r="K2026" s="1" t="s">
        <v>215</v>
      </c>
      <c r="L2026" s="1" t="s">
        <v>11616</v>
      </c>
      <c r="M2026" s="2" t="s">
        <v>12</v>
      </c>
      <c r="N2026" s="4">
        <f t="shared" si="1"/>
        <v>44084</v>
      </c>
      <c r="O2026" s="5" t="str">
        <f>IFERROR(__xludf.DUMMYFUNCTION("IF(REGEXMATCH(TRIM(I2026), ""^\d+\s*min""), ""Unclassified"", IF(I2026 = """", ""NR"", I2026))"),"TV-MA")</f>
        <v>TV-MA</v>
      </c>
      <c r="R2026" s="5" t="str">
        <f t="shared" si="2"/>
        <v>Night Of Knots</v>
      </c>
      <c r="S2026" s="5" t="str">
        <f>IFERROR(__xludf.DUMMYFUNCTION("""COMPUTED_VALUE"""),"Dogs")</f>
        <v>Dogs</v>
      </c>
      <c r="U2026" s="5" t="str">
        <f>IFERROR(__xludf.DUMMYFUNCTION("""COMPUTED_VALUE"""),"Yee Tung-Shing")</f>
        <v>Yee Tung-Shing</v>
      </c>
      <c r="V2026" s="5" t="s">
        <v>11617</v>
      </c>
      <c r="W2026" s="5" t="str">
        <f t="shared" si="3"/>
        <v>Jon Reiner, Brad Rothschild</v>
      </c>
      <c r="X2026" s="5">
        <f t="shared" si="4"/>
        <v>1</v>
      </c>
      <c r="Y2026" s="5" t="str">
        <f>IFERROR(__xludf.DUMMYFUNCTION("REGEXEXTRACT(J2026, ""^\d+"")"),"93")</f>
        <v>93</v>
      </c>
      <c r="Z2026" s="5" t="str">
        <f>IFERROR(__xludf.DUMMYFUNCTION("REGEXEXTRACT(J2026, ""[A-Za-z ]+$"")")," min")</f>
        <v> min</v>
      </c>
      <c r="AA2026" s="5" t="str">
        <f>IFERROR(__xludf.DUMMYFUNCTION("IF(REGEXMATCH(Z2026, ""Season""), ""TV Show"", ""Movie"")"),"Movie")</f>
        <v>Movie</v>
      </c>
    </row>
    <row r="2027">
      <c r="A2027" s="1" t="s">
        <v>11618</v>
      </c>
      <c r="B2027" s="1" t="s">
        <v>27</v>
      </c>
      <c r="C2027" s="1" t="s">
        <v>11619</v>
      </c>
      <c r="D2027" s="1" t="s">
        <v>11620</v>
      </c>
      <c r="E2027" s="1" t="s">
        <v>11621</v>
      </c>
      <c r="F2027" s="1" t="s">
        <v>63</v>
      </c>
      <c r="G2027" s="1" t="s">
        <v>11566</v>
      </c>
      <c r="H2027" s="1">
        <v>2016.0</v>
      </c>
      <c r="I2027" s="1" t="s">
        <v>97</v>
      </c>
      <c r="J2027" s="1" t="s">
        <v>2414</v>
      </c>
      <c r="K2027" s="1" t="s">
        <v>583</v>
      </c>
      <c r="L2027" s="1" t="s">
        <v>11622</v>
      </c>
      <c r="M2027" s="2" t="s">
        <v>12</v>
      </c>
      <c r="N2027" s="4">
        <f t="shared" si="1"/>
        <v>44084</v>
      </c>
      <c r="O2027" s="5" t="str">
        <f>IFERROR(__xludf.DUMMYFUNCTION("IF(REGEXMATCH(TRIM(I2027), ""^\d+\s*min""), ""Unclassified"", IF(I2027 = """", ""NR"", I2027))"),"TV-14")</f>
        <v>TV-14</v>
      </c>
      <c r="R2027" s="5" t="str">
        <f t="shared" si="2"/>
        <v>Photocopy</v>
      </c>
      <c r="S2027" s="5" t="str">
        <f>IFERROR(__xludf.DUMMYFUNCTION("""COMPUTED_VALUE"""),"Dogs Of Berlin")</f>
        <v>Dogs Of Berlin</v>
      </c>
      <c r="U2027" s="5" t="str">
        <f>IFERROR(__xludf.DUMMYFUNCTION("""COMPUTED_VALUE"""),"Patricia Font")</f>
        <v>Patricia Font</v>
      </c>
      <c r="V2027" s="5" t="s">
        <v>11623</v>
      </c>
      <c r="W2027" s="5" t="str">
        <f t="shared" si="3"/>
        <v>Jon Rosenbaum</v>
      </c>
      <c r="X2027" s="5">
        <f t="shared" si="4"/>
        <v>3</v>
      </c>
      <c r="Y2027" s="5" t="str">
        <f>IFERROR(__xludf.DUMMYFUNCTION("REGEXEXTRACT(J2027, ""^\d+"")"),"138")</f>
        <v>138</v>
      </c>
      <c r="Z2027" s="5" t="str">
        <f>IFERROR(__xludf.DUMMYFUNCTION("REGEXEXTRACT(J2027, ""[A-Za-z ]+$"")")," min")</f>
        <v> min</v>
      </c>
      <c r="AA2027" s="5" t="str">
        <f>IFERROR(__xludf.DUMMYFUNCTION("IF(REGEXMATCH(Z2027, ""Season""), ""TV Show"", ""Movie"")"),"Movie")</f>
        <v>Movie</v>
      </c>
    </row>
    <row r="2028">
      <c r="A2028" s="1" t="s">
        <v>11624</v>
      </c>
      <c r="B2028" s="1" t="s">
        <v>27</v>
      </c>
      <c r="C2028" s="1" t="s">
        <v>11625</v>
      </c>
      <c r="D2028" s="1" t="s">
        <v>11626</v>
      </c>
      <c r="E2028" s="1" t="s">
        <v>11627</v>
      </c>
      <c r="F2028" s="1" t="s">
        <v>63</v>
      </c>
      <c r="G2028" s="1" t="s">
        <v>11566</v>
      </c>
      <c r="H2028" s="1">
        <v>2016.0</v>
      </c>
      <c r="I2028" s="1" t="s">
        <v>97</v>
      </c>
      <c r="J2028" s="1" t="s">
        <v>2414</v>
      </c>
      <c r="K2028" s="1" t="s">
        <v>583</v>
      </c>
      <c r="L2028" s="1" t="s">
        <v>11628</v>
      </c>
      <c r="M2028" s="2" t="s">
        <v>12</v>
      </c>
      <c r="N2028" s="4">
        <f t="shared" si="1"/>
        <v>44084</v>
      </c>
      <c r="O2028" s="5" t="str">
        <f>IFERROR(__xludf.DUMMYFUNCTION("IF(REGEXMATCH(TRIM(I2028), ""^\d+\s*min""), ""Unclassified"", IF(I2028 = """", ""NR"", I2028))"),"TV-14")</f>
        <v>TV-14</v>
      </c>
      <c r="R2028" s="5" t="str">
        <f t="shared" si="2"/>
        <v>Poshter Girl</v>
      </c>
      <c r="S2028" s="5" t="str">
        <f>IFERROR(__xludf.DUMMYFUNCTION("""COMPUTED_VALUE"""),"Dogwashers")</f>
        <v>Dogwashers</v>
      </c>
      <c r="U2028" s="5" t="str">
        <f>IFERROR(__xludf.DUMMYFUNCTION("""COMPUTED_VALUE"""),"Yen Cheng-Kuo")</f>
        <v>Yen Cheng-Kuo</v>
      </c>
      <c r="V2028" s="5" t="s">
        <v>11629</v>
      </c>
      <c r="W2028" s="5" t="str">
        <f t="shared" si="3"/>
        <v>Jon Schnitzer</v>
      </c>
      <c r="X2028" s="5">
        <f t="shared" si="4"/>
        <v>1</v>
      </c>
      <c r="Y2028" s="5" t="str">
        <f>IFERROR(__xludf.DUMMYFUNCTION("REGEXEXTRACT(J2028, ""^\d+"")"),"138")</f>
        <v>138</v>
      </c>
      <c r="Z2028" s="5" t="str">
        <f>IFERROR(__xludf.DUMMYFUNCTION("REGEXEXTRACT(J2028, ""[A-Za-z ]+$"")")," min")</f>
        <v> min</v>
      </c>
      <c r="AA2028" s="5" t="str">
        <f>IFERROR(__xludf.DUMMYFUNCTION("IF(REGEXMATCH(Z2028, ""Season""), ""TV Show"", ""Movie"")"),"Movie")</f>
        <v>Movie</v>
      </c>
    </row>
    <row r="2029">
      <c r="A2029" s="1" t="s">
        <v>11630</v>
      </c>
      <c r="B2029" s="1" t="s">
        <v>27</v>
      </c>
      <c r="C2029" s="1" t="s">
        <v>11631</v>
      </c>
      <c r="D2029" s="1" t="s">
        <v>11632</v>
      </c>
      <c r="E2029" s="1" t="s">
        <v>11633</v>
      </c>
      <c r="F2029" s="1" t="s">
        <v>2873</v>
      </c>
      <c r="G2029" s="1" t="s">
        <v>11566</v>
      </c>
      <c r="H2029" s="1">
        <v>2017.0</v>
      </c>
      <c r="I2029" s="1" t="s">
        <v>506</v>
      </c>
      <c r="J2029" s="1" t="s">
        <v>665</v>
      </c>
      <c r="K2029" s="1" t="s">
        <v>80</v>
      </c>
      <c r="L2029" s="1" t="s">
        <v>11634</v>
      </c>
      <c r="M2029" s="2" t="s">
        <v>12</v>
      </c>
      <c r="N2029" s="4">
        <f t="shared" si="1"/>
        <v>44084</v>
      </c>
      <c r="O2029" s="5" t="str">
        <f>IFERROR(__xludf.DUMMYFUNCTION("IF(REGEXMATCH(TRIM(I2029), ""^\d+\s*min""), ""Unclassified"", IF(I2029 = """", ""NR"", I2029))"),"TV-G")</f>
        <v>TV-G</v>
      </c>
      <c r="R2029" s="5" t="str">
        <f t="shared" si="2"/>
        <v>Satria Heroes: Revenge Of The Darkness</v>
      </c>
      <c r="S2029" s="5" t="str">
        <f>IFERROR(__xludf.DUMMYFUNCTION("""COMPUTED_VALUE"""),"Dolemite Is My Name")</f>
        <v>Dolemite Is My Name</v>
      </c>
      <c r="U2029" s="5" t="str">
        <f>IFERROR(__xludf.DUMMYFUNCTION("""COMPUTED_VALUE"""),"Alex Parkinson, Richard Da Costa")</f>
        <v>Alex Parkinson, Richard Da Costa</v>
      </c>
      <c r="V2029" s="5" t="s">
        <v>11635</v>
      </c>
      <c r="W2029" s="5" t="str">
        <f t="shared" si="3"/>
        <v>Jon Spira</v>
      </c>
      <c r="X2029" s="5">
        <f t="shared" si="4"/>
        <v>1</v>
      </c>
      <c r="Y2029" s="5" t="str">
        <f>IFERROR(__xludf.DUMMYFUNCTION("REGEXEXTRACT(J2029, ""^\d+"")"),"92")</f>
        <v>92</v>
      </c>
      <c r="Z2029" s="5" t="str">
        <f>IFERROR(__xludf.DUMMYFUNCTION("REGEXEXTRACT(J2029, ""[A-Za-z ]+$"")")," min")</f>
        <v> min</v>
      </c>
      <c r="AA2029" s="5" t="str">
        <f>IFERROR(__xludf.DUMMYFUNCTION("IF(REGEXMATCH(Z2029, ""Season""), ""TV Show"", ""Movie"")"),"Movie")</f>
        <v>Movie</v>
      </c>
    </row>
    <row r="2030">
      <c r="A2030" s="1" t="s">
        <v>11636</v>
      </c>
      <c r="B2030" s="1" t="s">
        <v>27</v>
      </c>
      <c r="C2030" s="1" t="s">
        <v>11637</v>
      </c>
      <c r="D2030" s="1" t="s">
        <v>633</v>
      </c>
      <c r="E2030" s="1" t="s">
        <v>11638</v>
      </c>
      <c r="F2030" s="1" t="s">
        <v>3309</v>
      </c>
      <c r="G2030" s="1" t="s">
        <v>11566</v>
      </c>
      <c r="H2030" s="1">
        <v>2018.0</v>
      </c>
      <c r="I2030" s="1" t="s">
        <v>97</v>
      </c>
      <c r="J2030" s="1" t="s">
        <v>297</v>
      </c>
      <c r="K2030" s="1" t="s">
        <v>298</v>
      </c>
      <c r="L2030" s="1" t="s">
        <v>11639</v>
      </c>
      <c r="M2030" s="2" t="s">
        <v>12</v>
      </c>
      <c r="N2030" s="4">
        <f t="shared" si="1"/>
        <v>44084</v>
      </c>
      <c r="O2030" s="5" t="str">
        <f>IFERROR(__xludf.DUMMYFUNCTION("IF(REGEXMATCH(TRIM(I2030), ""^\d+\s*min""), ""Unclassified"", IF(I2030 = """", ""NR"", I2030))"),"TV-14")</f>
        <v>TV-14</v>
      </c>
      <c r="R2030" s="5" t="str">
        <f t="shared" si="2"/>
        <v>Son Of Adam</v>
      </c>
      <c r="S2030" s="5" t="str">
        <f>IFERROR(__xludf.DUMMYFUNCTION("""COMPUTED_VALUE"""),"Dollar")</f>
        <v>Dollar</v>
      </c>
      <c r="U2030" s="5" t="str">
        <f>IFERROR(__xludf.DUMMYFUNCTION("""COMPUTED_VALUE"""),"Frant Gwo")</f>
        <v>Frant Gwo</v>
      </c>
      <c r="V2030" s="5" t="s">
        <v>11640</v>
      </c>
      <c r="W2030" s="5" t="str">
        <f t="shared" si="3"/>
        <v>Jon Turteltaub</v>
      </c>
      <c r="X2030" s="5">
        <f t="shared" si="4"/>
        <v>1</v>
      </c>
      <c r="Y2030" s="5" t="str">
        <f>IFERROR(__xludf.DUMMYFUNCTION("REGEXEXTRACT(J2030, ""^\d+"")"),"110")</f>
        <v>110</v>
      </c>
      <c r="Z2030" s="5" t="str">
        <f>IFERROR(__xludf.DUMMYFUNCTION("REGEXEXTRACT(J2030, ""[A-Za-z ]+$"")")," min")</f>
        <v> min</v>
      </c>
      <c r="AA2030" s="5" t="str">
        <f>IFERROR(__xludf.DUMMYFUNCTION("IF(REGEXMATCH(Z2030, ""Season""), ""TV Show"", ""Movie"")"),"Movie")</f>
        <v>Movie</v>
      </c>
    </row>
    <row r="2031">
      <c r="A2031" s="1" t="s">
        <v>11641</v>
      </c>
      <c r="B2031" s="1" t="s">
        <v>27</v>
      </c>
      <c r="C2031" s="1" t="s">
        <v>11642</v>
      </c>
      <c r="D2031" s="1" t="s">
        <v>3523</v>
      </c>
      <c r="E2031" s="1" t="s">
        <v>11643</v>
      </c>
      <c r="F2031" s="1" t="s">
        <v>30</v>
      </c>
      <c r="G2031" s="1" t="s">
        <v>11566</v>
      </c>
      <c r="H2031" s="1">
        <v>2020.0</v>
      </c>
      <c r="I2031" s="1" t="s">
        <v>42</v>
      </c>
      <c r="J2031" s="1" t="s">
        <v>447</v>
      </c>
      <c r="K2031" s="1" t="s">
        <v>4525</v>
      </c>
      <c r="L2031" s="1" t="s">
        <v>11644</v>
      </c>
      <c r="M2031" s="2" t="s">
        <v>12</v>
      </c>
      <c r="N2031" s="4">
        <f t="shared" si="1"/>
        <v>44084</v>
      </c>
      <c r="O2031" s="5" t="str">
        <f>IFERROR(__xludf.DUMMYFUNCTION("IF(REGEXMATCH(TRIM(I2031), ""^\d+\s*min""), ""Unclassified"", IF(I2031 = """", ""NR"", I2031))"),"TV-MA")</f>
        <v>TV-MA</v>
      </c>
      <c r="R2031" s="5" t="str">
        <f t="shared" si="2"/>
        <v>The Babysitter: Killer Queen</v>
      </c>
      <c r="S2031" s="5" t="str">
        <f>IFERROR(__xludf.DUMMYFUNCTION("""COMPUTED_VALUE"""),"Dolly Kitty Aur Woh Chamakte Sitare")</f>
        <v>Dolly Kitty Aur Woh Chamakte Sitare</v>
      </c>
      <c r="U2031" s="5" t="str">
        <f>IFERROR(__xludf.DUMMYFUNCTION("""COMPUTED_VALUE"""),"Hao Wu")</f>
        <v>Hao Wu</v>
      </c>
      <c r="V2031" s="5" t="s">
        <v>11645</v>
      </c>
      <c r="W2031" s="5" t="str">
        <f t="shared" si="3"/>
        <v>Jon Watts</v>
      </c>
      <c r="X2031" s="5">
        <f t="shared" si="4"/>
        <v>1</v>
      </c>
      <c r="Y2031" s="5" t="str">
        <f>IFERROR(__xludf.DUMMYFUNCTION("REGEXEXTRACT(J2031, ""^\d+"")"),"102")</f>
        <v>102</v>
      </c>
      <c r="Z2031" s="5" t="str">
        <f>IFERROR(__xludf.DUMMYFUNCTION("REGEXEXTRACT(J2031, ""[A-Za-z ]+$"")")," min")</f>
        <v> min</v>
      </c>
      <c r="AA2031" s="5" t="str">
        <f>IFERROR(__xludf.DUMMYFUNCTION("IF(REGEXMATCH(Z2031, ""Season""), ""TV Show"", ""Movie"")"),"Movie")</f>
        <v>Movie</v>
      </c>
    </row>
    <row r="2032">
      <c r="A2032" s="1" t="s">
        <v>11646</v>
      </c>
      <c r="B2032" s="1" t="s">
        <v>27</v>
      </c>
      <c r="C2032" s="1" t="s">
        <v>11647</v>
      </c>
      <c r="D2032" s="1" t="s">
        <v>2470</v>
      </c>
      <c r="E2032" s="1" t="s">
        <v>11648</v>
      </c>
      <c r="F2032" s="1" t="s">
        <v>63</v>
      </c>
      <c r="G2032" s="1" t="s">
        <v>11649</v>
      </c>
      <c r="H2032" s="1">
        <v>2020.0</v>
      </c>
      <c r="I2032" s="1" t="s">
        <v>97</v>
      </c>
      <c r="J2032" s="1" t="s">
        <v>519</v>
      </c>
      <c r="K2032" s="1" t="s">
        <v>836</v>
      </c>
      <c r="L2032" s="1" t="s">
        <v>11650</v>
      </c>
      <c r="M2032" s="2" t="s">
        <v>12</v>
      </c>
      <c r="N2032" s="4">
        <f t="shared" si="1"/>
        <v>44083</v>
      </c>
      <c r="O2032" s="5" t="str">
        <f>IFERROR(__xludf.DUMMYFUNCTION("IF(REGEXMATCH(TRIM(I2032), ""^\d+\s*min""), ""Unclassified"", IF(I2032 = """", ""NR"", I2032))"),"TV-14")</f>
        <v>TV-14</v>
      </c>
      <c r="R2032" s="5" t="str">
        <f t="shared" si="2"/>
        <v>Cargo</v>
      </c>
      <c r="S2032" s="5" t="str">
        <f>IFERROR(__xludf.DUMMYFUNCTION("""COMPUTED_VALUE"""),"Dolly Parton: A Musicares Tribute")</f>
        <v>Dolly Parton: A Musicares Tribute</v>
      </c>
      <c r="U2032" s="5" t="str">
        <f>IFERROR(__xludf.DUMMYFUNCTION("""COMPUTED_VALUE"""),"Felipe Cano")</f>
        <v>Felipe Cano</v>
      </c>
      <c r="V2032" s="5" t="s">
        <v>11651</v>
      </c>
      <c r="W2032" s="5" t="str">
        <f t="shared" si="3"/>
        <v>Jonás Trueba</v>
      </c>
      <c r="X2032" s="5">
        <f t="shared" si="4"/>
        <v>1</v>
      </c>
      <c r="Y2032" s="5" t="str">
        <f>IFERROR(__xludf.DUMMYFUNCTION("REGEXEXTRACT(J2032, ""^\d+"")"),"113")</f>
        <v>113</v>
      </c>
      <c r="Z2032" s="5" t="str">
        <f>IFERROR(__xludf.DUMMYFUNCTION("REGEXEXTRACT(J2032, ""[A-Za-z ]+$"")")," min")</f>
        <v> min</v>
      </c>
      <c r="AA2032" s="5" t="str">
        <f>IFERROR(__xludf.DUMMYFUNCTION("IF(REGEXMATCH(Z2032, ""Season""), ""TV Show"", ""Movie"")"),"Movie")</f>
        <v>Movie</v>
      </c>
    </row>
    <row r="2033">
      <c r="A2033" s="1" t="s">
        <v>11652</v>
      </c>
      <c r="B2033" s="1" t="s">
        <v>27</v>
      </c>
      <c r="C2033" s="1" t="s">
        <v>11653</v>
      </c>
      <c r="D2033" s="1" t="s">
        <v>11654</v>
      </c>
      <c r="E2033" s="1" t="s">
        <v>11655</v>
      </c>
      <c r="F2033" s="1" t="s">
        <v>664</v>
      </c>
      <c r="G2033" s="1" t="s">
        <v>11649</v>
      </c>
      <c r="H2033" s="1">
        <v>2020.0</v>
      </c>
      <c r="I2033" s="1" t="s">
        <v>42</v>
      </c>
      <c r="J2033" s="1" t="s">
        <v>322</v>
      </c>
      <c r="K2033" s="1" t="s">
        <v>128</v>
      </c>
      <c r="L2033" s="1" t="s">
        <v>11656</v>
      </c>
      <c r="M2033" s="2" t="s">
        <v>12</v>
      </c>
      <c r="N2033" s="4">
        <f t="shared" si="1"/>
        <v>44083</v>
      </c>
      <c r="O2033" s="5" t="str">
        <f>IFERROR(__xludf.DUMMYFUNCTION("IF(REGEXMATCH(TRIM(I2033), ""^\d+\s*min""), ""Unclassified"", IF(I2033 = """", ""NR"", I2033))"),"TV-MA")</f>
        <v>TV-MA</v>
      </c>
      <c r="R2033" s="5" t="str">
        <f t="shared" si="2"/>
        <v>Cuties</v>
      </c>
      <c r="S2033" s="5" t="str">
        <f>IFERROR(__xludf.DUMMYFUNCTION("""COMPUTED_VALUE"""),"Dolly Parton: Here I Am")</f>
        <v>Dolly Parton: Here I Am</v>
      </c>
      <c r="U2033" s="5" t="str">
        <f>IFERROR(__xludf.DUMMYFUNCTION("""COMPUTED_VALUE"""),"Gabriela Tagliavini")</f>
        <v>Gabriela Tagliavini</v>
      </c>
      <c r="V2033" s="5" t="s">
        <v>11657</v>
      </c>
      <c r="W2033" s="5" t="str">
        <f t="shared" si="3"/>
        <v>Jonathan A. Rosenbaum</v>
      </c>
      <c r="X2033" s="5">
        <f t="shared" si="4"/>
        <v>1</v>
      </c>
      <c r="Y2033" s="5" t="str">
        <f>IFERROR(__xludf.DUMMYFUNCTION("REGEXEXTRACT(J2033, ""^\d+"")"),"96")</f>
        <v>96</v>
      </c>
      <c r="Z2033" s="5" t="str">
        <f>IFERROR(__xludf.DUMMYFUNCTION("REGEXEXTRACT(J2033, ""[A-Za-z ]+$"")")," min")</f>
        <v> min</v>
      </c>
      <c r="AA2033" s="5" t="str">
        <f>IFERROR(__xludf.DUMMYFUNCTION("IF(REGEXMATCH(Z2033, ""Season""), ""TV Show"", ""Movie"")"),"Movie")</f>
        <v>Movie</v>
      </c>
    </row>
    <row r="2034">
      <c r="A2034" s="1" t="s">
        <v>11658</v>
      </c>
      <c r="B2034" s="1" t="s">
        <v>37</v>
      </c>
      <c r="C2034" s="1" t="s">
        <v>11659</v>
      </c>
      <c r="F2034" s="1" t="s">
        <v>30</v>
      </c>
      <c r="G2034" s="1" t="s">
        <v>11649</v>
      </c>
      <c r="H2034" s="1">
        <v>2020.0</v>
      </c>
      <c r="I2034" s="1" t="s">
        <v>136</v>
      </c>
      <c r="J2034" s="1" t="s">
        <v>51</v>
      </c>
      <c r="K2034" s="1" t="s">
        <v>440</v>
      </c>
      <c r="L2034" s="1" t="s">
        <v>11660</v>
      </c>
      <c r="M2034" s="2" t="s">
        <v>12</v>
      </c>
      <c r="N2034" s="4">
        <f t="shared" si="1"/>
        <v>44083</v>
      </c>
      <c r="O2034" s="5" t="str">
        <f>IFERROR(__xludf.DUMMYFUNCTION("IF(REGEXMATCH(TRIM(I2034), ""^\d+\s*min""), ""Unclassified"", IF(I2034 = """", ""NR"", I2034))"),"TV-PG")</f>
        <v>TV-PG</v>
      </c>
      <c r="R2034" s="5" t="str">
        <f t="shared" si="2"/>
        <v>Get Organized With The Home Edit</v>
      </c>
      <c r="S2034" s="5" t="str">
        <f>IFERROR(__xludf.DUMMYFUNCTION("""COMPUTED_VALUE"""),"Dolly Parton’S Christmas On The Square")</f>
        <v>Dolly Parton’S Christmas On The Square</v>
      </c>
      <c r="U2034" s="5" t="str">
        <f>IFERROR(__xludf.DUMMYFUNCTION("""COMPUTED_VALUE"""),"Lee Jeong-Beom")</f>
        <v>Lee Jeong-Beom</v>
      </c>
      <c r="V2034" s="5" t="s">
        <v>11661</v>
      </c>
      <c r="W2034" s="5" t="str">
        <f t="shared" si="3"/>
        <v>Jonathan Augustin</v>
      </c>
      <c r="X2034" s="5">
        <f t="shared" si="4"/>
        <v>1</v>
      </c>
      <c r="Y2034" s="5" t="str">
        <f>IFERROR(__xludf.DUMMYFUNCTION("REGEXEXTRACT(J2034, ""^\d+"")"),"1")</f>
        <v>1</v>
      </c>
      <c r="Z2034" s="5" t="str">
        <f>IFERROR(__xludf.DUMMYFUNCTION("REGEXEXTRACT(J2034, ""[A-Za-z ]+$"")")," Season")</f>
        <v> Season</v>
      </c>
      <c r="AA2034" s="5" t="str">
        <f>IFERROR(__xludf.DUMMYFUNCTION("IF(REGEXMATCH(Z2034, ""Season""), ""TV Show"", ""Movie"")"),"TV Show")</f>
        <v>TV Show</v>
      </c>
    </row>
    <row r="2035">
      <c r="A2035" s="1" t="s">
        <v>11662</v>
      </c>
      <c r="B2035" s="1" t="s">
        <v>37</v>
      </c>
      <c r="C2035" s="1" t="s">
        <v>11663</v>
      </c>
      <c r="D2035" s="1" t="s">
        <v>11664</v>
      </c>
      <c r="F2035" s="1" t="s">
        <v>784</v>
      </c>
      <c r="G2035" s="1" t="s">
        <v>11649</v>
      </c>
      <c r="H2035" s="1">
        <v>2020.0</v>
      </c>
      <c r="I2035" s="1" t="s">
        <v>42</v>
      </c>
      <c r="J2035" s="1" t="s">
        <v>51</v>
      </c>
      <c r="K2035" s="1" t="s">
        <v>112</v>
      </c>
      <c r="L2035" s="1" t="s">
        <v>11665</v>
      </c>
      <c r="M2035" s="2" t="s">
        <v>12</v>
      </c>
      <c r="N2035" s="4">
        <f t="shared" si="1"/>
        <v>44083</v>
      </c>
      <c r="O2035" s="5" t="str">
        <f>IFERROR(__xludf.DUMMYFUNCTION("IF(REGEXMATCH(TRIM(I2035), ""^\d+\s*min""), ""Unclassified"", IF(I2035 = """", ""NR"", I2035))"),"TV-MA")</f>
        <v>TV-MA</v>
      </c>
      <c r="R2035" s="5" t="str">
        <f t="shared" si="2"/>
        <v>La Línea: Shadow Of Narco</v>
      </c>
      <c r="S2035" s="5" t="str">
        <f>IFERROR(__xludf.DUMMYFUNCTION("""COMPUTED_VALUE"""),"Dolly Parton'S Heartstrings")</f>
        <v>Dolly Parton'S Heartstrings</v>
      </c>
      <c r="U2035" s="5" t="str">
        <f>IFERROR(__xludf.DUMMYFUNCTION("""COMPUTED_VALUE"""),"William Bindley")</f>
        <v>William Bindley</v>
      </c>
      <c r="V2035" s="5" t="s">
        <v>11666</v>
      </c>
      <c r="W2035" s="5" t="str">
        <f t="shared" si="3"/>
        <v>Jonathan Baker</v>
      </c>
      <c r="X2035" s="5">
        <f t="shared" si="4"/>
        <v>1</v>
      </c>
      <c r="Y2035" s="5" t="str">
        <f>IFERROR(__xludf.DUMMYFUNCTION("REGEXEXTRACT(J2035, ""^\d+"")"),"1")</f>
        <v>1</v>
      </c>
      <c r="Z2035" s="5" t="str">
        <f>IFERROR(__xludf.DUMMYFUNCTION("REGEXEXTRACT(J2035, ""[A-Za-z ]+$"")")," Season")</f>
        <v> Season</v>
      </c>
      <c r="AA2035" s="5" t="str">
        <f>IFERROR(__xludf.DUMMYFUNCTION("IF(REGEXMATCH(Z2035, ""Season""), ""TV Show"", ""Movie"")"),"TV Show")</f>
        <v>TV Show</v>
      </c>
    </row>
    <row r="2036">
      <c r="A2036" s="1" t="s">
        <v>11667</v>
      </c>
      <c r="B2036" s="1" t="s">
        <v>27</v>
      </c>
      <c r="C2036" s="1" t="s">
        <v>11668</v>
      </c>
      <c r="D2036" s="1" t="s">
        <v>11669</v>
      </c>
      <c r="E2036" s="1" t="s">
        <v>11670</v>
      </c>
      <c r="F2036" s="1" t="s">
        <v>1815</v>
      </c>
      <c r="G2036" s="1" t="s">
        <v>11649</v>
      </c>
      <c r="H2036" s="1">
        <v>2020.0</v>
      </c>
      <c r="I2036" s="1" t="s">
        <v>97</v>
      </c>
      <c r="J2036" s="1" t="s">
        <v>912</v>
      </c>
      <c r="K2036" s="1" t="s">
        <v>230</v>
      </c>
      <c r="L2036" s="1" t="s">
        <v>11671</v>
      </c>
      <c r="M2036" s="2" t="s">
        <v>12</v>
      </c>
      <c r="N2036" s="4">
        <f t="shared" si="1"/>
        <v>44083</v>
      </c>
      <c r="O2036" s="5" t="str">
        <f>IFERROR(__xludf.DUMMYFUNCTION("IF(REGEXMATCH(TRIM(I2036), ""^\d+\s*min""), ""Unclassified"", IF(I2036 = """", ""NR"", I2036))"),"TV-14")</f>
        <v>TV-14</v>
      </c>
      <c r="R2036" s="5" t="str">
        <f t="shared" si="2"/>
        <v>So Much Love To Give</v>
      </c>
      <c r="S2036" s="5" t="str">
        <f>IFERROR(__xludf.DUMMYFUNCTION("""COMPUTED_VALUE"""),"Dolphin Kick")</f>
        <v>Dolphin Kick</v>
      </c>
      <c r="U2036" s="5" t="str">
        <f>IFERROR(__xludf.DUMMYFUNCTION("""COMPUTED_VALUE"""),"Manav Shah")</f>
        <v>Manav Shah</v>
      </c>
      <c r="V2036" s="5" t="s">
        <v>4627</v>
      </c>
      <c r="W2036" s="5" t="str">
        <f t="shared" si="3"/>
        <v>Jonathan Clay</v>
      </c>
      <c r="X2036" s="5">
        <f t="shared" si="4"/>
        <v>1</v>
      </c>
      <c r="Y2036" s="5" t="str">
        <f>IFERROR(__xludf.DUMMYFUNCTION("REGEXEXTRACT(J2036, ""^\d+"")"),"108")</f>
        <v>108</v>
      </c>
      <c r="Z2036" s="5" t="str">
        <f>IFERROR(__xludf.DUMMYFUNCTION("REGEXEXTRACT(J2036, ""[A-Za-z ]+$"")")," min")</f>
        <v> min</v>
      </c>
      <c r="AA2036" s="5" t="str">
        <f>IFERROR(__xludf.DUMMYFUNCTION("IF(REGEXMATCH(Z2036, ""Season""), ""TV Show"", ""Movie"")"),"Movie")</f>
        <v>Movie</v>
      </c>
    </row>
    <row r="2037">
      <c r="A2037" s="1" t="s">
        <v>11672</v>
      </c>
      <c r="B2037" s="1" t="s">
        <v>27</v>
      </c>
      <c r="C2037" s="1" t="s">
        <v>11673</v>
      </c>
      <c r="D2037" s="1" t="s">
        <v>10611</v>
      </c>
      <c r="E2037" s="1" t="s">
        <v>11674</v>
      </c>
      <c r="F2037" s="1" t="s">
        <v>30</v>
      </c>
      <c r="G2037" s="1" t="s">
        <v>11649</v>
      </c>
      <c r="H2037" s="1">
        <v>2020.0</v>
      </c>
      <c r="I2037" s="1" t="s">
        <v>32</v>
      </c>
      <c r="J2037" s="1" t="s">
        <v>170</v>
      </c>
      <c r="K2037" s="1" t="s">
        <v>34</v>
      </c>
      <c r="L2037" s="1" t="s">
        <v>11675</v>
      </c>
      <c r="M2037" s="2" t="s">
        <v>12</v>
      </c>
      <c r="N2037" s="4">
        <f t="shared" si="1"/>
        <v>44083</v>
      </c>
      <c r="O2037" s="5" t="str">
        <f>IFERROR(__xludf.DUMMYFUNCTION("IF(REGEXMATCH(TRIM(I2037), ""^\d+\s*min""), ""Unclassified"", IF(I2037 = """", ""NR"", I2037))"),"PG-13")</f>
        <v>PG-13</v>
      </c>
      <c r="R2037" s="5" t="str">
        <f t="shared" si="2"/>
        <v>The Social Dilemma</v>
      </c>
      <c r="S2037" s="5" t="str">
        <f>IFERROR(__xludf.DUMMYFUNCTION("""COMPUTED_VALUE"""),"Dolphin Tale 2")</f>
        <v>Dolphin Tale 2</v>
      </c>
      <c r="U2037" s="5" t="str">
        <f>IFERROR(__xludf.DUMMYFUNCTION("""COMPUTED_VALUE"""),"Michael Epstein")</f>
        <v>Michael Epstein</v>
      </c>
      <c r="V2037" s="5" t="s">
        <v>11676</v>
      </c>
      <c r="W2037" s="5" t="str">
        <f t="shared" si="3"/>
        <v>Jonathan Demme</v>
      </c>
      <c r="X2037" s="5">
        <f t="shared" si="4"/>
        <v>3</v>
      </c>
      <c r="Y2037" s="5" t="str">
        <f>IFERROR(__xludf.DUMMYFUNCTION("REGEXEXTRACT(J2037, ""^\d+"")"),"94")</f>
        <v>94</v>
      </c>
      <c r="Z2037" s="5" t="str">
        <f>IFERROR(__xludf.DUMMYFUNCTION("REGEXEXTRACT(J2037, ""[A-Za-z ]+$"")")," min")</f>
        <v> min</v>
      </c>
      <c r="AA2037" s="5" t="str">
        <f>IFERROR(__xludf.DUMMYFUNCTION("IF(REGEXMATCH(Z2037, ""Season""), ""TV Show"", ""Movie"")"),"Movie")</f>
        <v>Movie</v>
      </c>
    </row>
    <row r="2038">
      <c r="A2038" s="1" t="s">
        <v>11677</v>
      </c>
      <c r="B2038" s="1" t="s">
        <v>27</v>
      </c>
      <c r="C2038" s="1" t="s">
        <v>11678</v>
      </c>
      <c r="D2038" s="1" t="s">
        <v>4611</v>
      </c>
      <c r="E2038" s="1" t="s">
        <v>11679</v>
      </c>
      <c r="F2038" s="1" t="s">
        <v>749</v>
      </c>
      <c r="G2038" s="1" t="s">
        <v>11680</v>
      </c>
      <c r="H2038" s="1">
        <v>2020.0</v>
      </c>
      <c r="I2038" s="1" t="s">
        <v>42</v>
      </c>
      <c r="J2038" s="1" t="s">
        <v>416</v>
      </c>
      <c r="K2038" s="1" t="s">
        <v>1592</v>
      </c>
      <c r="L2038" s="1" t="s">
        <v>11681</v>
      </c>
      <c r="M2038" s="2" t="s">
        <v>12</v>
      </c>
      <c r="N2038" s="4">
        <f t="shared" si="1"/>
        <v>44082</v>
      </c>
      <c r="O2038" s="5" t="str">
        <f>IFERROR(__xludf.DUMMYFUNCTION("IF(REGEXMATCH(TRIM(I2038), ""^\d+\s*min""), ""Unclassified"", IF(I2038 = """", ""NR"", I2038))"),"TV-MA")</f>
        <v>TV-MA</v>
      </c>
      <c r="R2038" s="5" t="str">
        <f t="shared" si="2"/>
        <v>#Alive</v>
      </c>
      <c r="S2038" s="5" t="str">
        <f>IFERROR(__xludf.DUMMYFUNCTION("""COMPUTED_VALUE"""),"Domestic Disturbance")</f>
        <v>Domestic Disturbance</v>
      </c>
      <c r="U2038" s="5" t="str">
        <f>IFERROR(__xludf.DUMMYFUNCTION("""COMPUTED_VALUE"""),"Rachel Lears")</f>
        <v>Rachel Lears</v>
      </c>
      <c r="V2038" s="5" t="s">
        <v>11682</v>
      </c>
      <c r="W2038" s="5" t="str">
        <f t="shared" si="3"/>
        <v>Jonathan Glazer</v>
      </c>
      <c r="X2038" s="5">
        <f t="shared" si="4"/>
        <v>1</v>
      </c>
      <c r="Y2038" s="5" t="str">
        <f>IFERROR(__xludf.DUMMYFUNCTION("REGEXEXTRACT(J2038, ""^\d+"")"),"99")</f>
        <v>99</v>
      </c>
      <c r="Z2038" s="5" t="str">
        <f>IFERROR(__xludf.DUMMYFUNCTION("REGEXEXTRACT(J2038, ""[A-Za-z ]+$"")")," min")</f>
        <v> min</v>
      </c>
      <c r="AA2038" s="5" t="str">
        <f>IFERROR(__xludf.DUMMYFUNCTION("IF(REGEXMATCH(Z2038, ""Season""), ""TV Show"", ""Movie"")"),"Movie")</f>
        <v>Movie</v>
      </c>
    </row>
    <row r="2039">
      <c r="A2039" s="1" t="s">
        <v>11683</v>
      </c>
      <c r="B2039" s="1" t="s">
        <v>37</v>
      </c>
      <c r="C2039" s="1" t="s">
        <v>11684</v>
      </c>
      <c r="E2039" s="1" t="s">
        <v>11685</v>
      </c>
      <c r="F2039" s="1" t="s">
        <v>749</v>
      </c>
      <c r="G2039" s="1" t="s">
        <v>11680</v>
      </c>
      <c r="H2039" s="1">
        <v>2020.0</v>
      </c>
      <c r="I2039" s="1" t="s">
        <v>97</v>
      </c>
      <c r="J2039" s="1" t="s">
        <v>51</v>
      </c>
      <c r="K2039" s="1" t="s">
        <v>1907</v>
      </c>
      <c r="L2039" s="1" t="s">
        <v>11686</v>
      </c>
      <c r="M2039" s="2" t="s">
        <v>12</v>
      </c>
      <c r="N2039" s="4">
        <f t="shared" si="1"/>
        <v>44082</v>
      </c>
      <c r="O2039" s="5" t="str">
        <f>IFERROR(__xludf.DUMMYFUNCTION("IF(REGEXMATCH(TRIM(I2039), ""^\d+\s*min""), ""Unclassified"", IF(I2039 = """", ""NR"", I2039))"),"TV-14")</f>
        <v>TV-14</v>
      </c>
      <c r="R2039" s="5" t="str">
        <f t="shared" si="2"/>
        <v>Record Of Youth</v>
      </c>
      <c r="S2039" s="5" t="str">
        <f>IFERROR(__xludf.DUMMYFUNCTION("""COMPUTED_VALUE"""),"Domino")</f>
        <v>Domino</v>
      </c>
      <c r="U2039" s="5" t="str">
        <f>IFERROR(__xludf.DUMMYFUNCTION("""COMPUTED_VALUE"""),"Syamsul Yusof")</f>
        <v>Syamsul Yusof</v>
      </c>
      <c r="V2039" s="5" t="s">
        <v>11687</v>
      </c>
      <c r="W2039" s="5" t="str">
        <f t="shared" si="3"/>
        <v>Jonathan Helpert</v>
      </c>
      <c r="X2039" s="5">
        <f t="shared" si="4"/>
        <v>1</v>
      </c>
      <c r="Y2039" s="5" t="str">
        <f>IFERROR(__xludf.DUMMYFUNCTION("REGEXEXTRACT(J2039, ""^\d+"")"),"1")</f>
        <v>1</v>
      </c>
      <c r="Z2039" s="5" t="str">
        <f>IFERROR(__xludf.DUMMYFUNCTION("REGEXEXTRACT(J2039, ""[A-Za-z ]+$"")")," Season")</f>
        <v> Season</v>
      </c>
      <c r="AA2039" s="5" t="str">
        <f>IFERROR(__xludf.DUMMYFUNCTION("IF(REGEXMATCH(Z2039, ""Season""), ""TV Show"", ""Movie"")"),"TV Show")</f>
        <v>TV Show</v>
      </c>
    </row>
    <row r="2040">
      <c r="A2040" s="1" t="s">
        <v>11688</v>
      </c>
      <c r="B2040" s="1" t="s">
        <v>27</v>
      </c>
      <c r="C2040" s="1" t="s">
        <v>11689</v>
      </c>
      <c r="D2040" s="1" t="s">
        <v>11690</v>
      </c>
      <c r="F2040" s="1" t="s">
        <v>40</v>
      </c>
      <c r="G2040" s="1" t="s">
        <v>11691</v>
      </c>
      <c r="H2040" s="1">
        <v>2020.0</v>
      </c>
      <c r="I2040" s="1" t="s">
        <v>506</v>
      </c>
      <c r="J2040" s="1" t="s">
        <v>1144</v>
      </c>
      <c r="K2040" s="1" t="s">
        <v>4616</v>
      </c>
      <c r="L2040" s="1" t="s">
        <v>11692</v>
      </c>
      <c r="M2040" s="2" t="s">
        <v>12</v>
      </c>
      <c r="N2040" s="4">
        <f t="shared" si="1"/>
        <v>44081</v>
      </c>
      <c r="O2040" s="5" t="str">
        <f>IFERROR(__xludf.DUMMYFUNCTION("IF(REGEXMATCH(TRIM(I2040), ""^\d+\s*min""), ""Unclassified"", IF(I2040 = """", ""NR"", I2040))"),"TV-G")</f>
        <v>TV-G</v>
      </c>
      <c r="R2040" s="5" t="str">
        <f t="shared" si="2"/>
        <v>My Octopus Teacher</v>
      </c>
      <c r="S2040" s="5" t="str">
        <f>IFERROR(__xludf.DUMMYFUNCTION("""COMPUTED_VALUE"""),"Don")</f>
        <v>Don</v>
      </c>
      <c r="U2040" s="5" t="str">
        <f>IFERROR(__xludf.DUMMYFUNCTION("""COMPUTED_VALUE"""),"Mangesh Kanthale")</f>
        <v>Mangesh Kanthale</v>
      </c>
      <c r="V2040" s="5" t="s">
        <v>3943</v>
      </c>
      <c r="W2040" s="5" t="str">
        <f t="shared" si="3"/>
        <v>Jonathan Hensleigh</v>
      </c>
      <c r="X2040" s="5">
        <f t="shared" si="4"/>
        <v>2</v>
      </c>
      <c r="Y2040" s="5" t="str">
        <f>IFERROR(__xludf.DUMMYFUNCTION("REGEXEXTRACT(J2040, ""^\d+"")"),"86")</f>
        <v>86</v>
      </c>
      <c r="Z2040" s="5" t="str">
        <f>IFERROR(__xludf.DUMMYFUNCTION("REGEXEXTRACT(J2040, ""[A-Za-z ]+$"")")," min")</f>
        <v> min</v>
      </c>
      <c r="AA2040" s="5" t="str">
        <f>IFERROR(__xludf.DUMMYFUNCTION("IF(REGEXMATCH(Z2040, ""Season""), ""TV Show"", ""Movie"")"),"Movie")</f>
        <v>Movie</v>
      </c>
    </row>
    <row r="2041">
      <c r="A2041" s="1" t="s">
        <v>11693</v>
      </c>
      <c r="B2041" s="1" t="s">
        <v>27</v>
      </c>
      <c r="C2041" s="1" t="s">
        <v>11694</v>
      </c>
      <c r="D2041" s="1" t="s">
        <v>11695</v>
      </c>
      <c r="E2041" s="1" t="s">
        <v>11696</v>
      </c>
      <c r="F2041" s="1" t="s">
        <v>188</v>
      </c>
      <c r="G2041" s="1" t="s">
        <v>11691</v>
      </c>
      <c r="H2041" s="1">
        <v>2010.0</v>
      </c>
      <c r="I2041" s="1" t="s">
        <v>42</v>
      </c>
      <c r="J2041" s="1" t="s">
        <v>357</v>
      </c>
      <c r="K2041" s="1" t="s">
        <v>89</v>
      </c>
      <c r="L2041" s="1" t="s">
        <v>11697</v>
      </c>
      <c r="M2041" s="2" t="s">
        <v>12</v>
      </c>
      <c r="N2041" s="4">
        <f t="shared" si="1"/>
        <v>44081</v>
      </c>
      <c r="O2041" s="5" t="str">
        <f>IFERROR(__xludf.DUMMYFUNCTION("IF(REGEXMATCH(TRIM(I2041), ""^\d+\s*min""), ""Unclassified"", IF(I2041 = """", ""NR"", I2041))"),"TV-MA")</f>
        <v>TV-MA</v>
      </c>
      <c r="R2041" s="5" t="str">
        <f t="shared" si="2"/>
        <v>Toll Booth</v>
      </c>
      <c r="S2041" s="5" t="str">
        <f>IFERROR(__xludf.DUMMYFUNCTION("""COMPUTED_VALUE"""),"Don 2")</f>
        <v>Don 2</v>
      </c>
      <c r="U2041" s="5" t="str">
        <f>IFERROR(__xludf.DUMMYFUNCTION("""COMPUTED_VALUE"""),"Herman Yau")</f>
        <v>Herman Yau</v>
      </c>
      <c r="V2041" s="5" t="s">
        <v>11698</v>
      </c>
      <c r="W2041" s="5" t="str">
        <f t="shared" si="3"/>
        <v>Jonathan Ignatius Green</v>
      </c>
      <c r="X2041" s="5">
        <f t="shared" si="4"/>
        <v>1</v>
      </c>
      <c r="Y2041" s="5" t="str">
        <f>IFERROR(__xludf.DUMMYFUNCTION("REGEXEXTRACT(J2041, ""^\d+"")"),"98")</f>
        <v>98</v>
      </c>
      <c r="Z2041" s="5" t="str">
        <f>IFERROR(__xludf.DUMMYFUNCTION("REGEXEXTRACT(J2041, ""[A-Za-z ]+$"")")," min")</f>
        <v> min</v>
      </c>
      <c r="AA2041" s="5" t="str">
        <f>IFERROR(__xludf.DUMMYFUNCTION("IF(REGEXMATCH(Z2041, ""Season""), ""TV Show"", ""Movie"")"),"Movie")</f>
        <v>Movie</v>
      </c>
    </row>
    <row r="2042">
      <c r="A2042" s="1" t="s">
        <v>11699</v>
      </c>
      <c r="B2042" s="1" t="s">
        <v>37</v>
      </c>
      <c r="C2042" s="1" t="s">
        <v>11700</v>
      </c>
      <c r="E2042" s="1" t="s">
        <v>11701</v>
      </c>
      <c r="G2042" s="1" t="s">
        <v>11691</v>
      </c>
      <c r="H2042" s="1">
        <v>2020.0</v>
      </c>
      <c r="I2042" s="1" t="s">
        <v>289</v>
      </c>
      <c r="J2042" s="1" t="s">
        <v>43</v>
      </c>
      <c r="K2042" s="1" t="s">
        <v>290</v>
      </c>
      <c r="L2042" s="1" t="s">
        <v>11702</v>
      </c>
      <c r="M2042" s="2" t="s">
        <v>12</v>
      </c>
      <c r="N2042" s="4">
        <f t="shared" si="1"/>
        <v>44081</v>
      </c>
      <c r="O2042" s="5" t="str">
        <f>IFERROR(__xludf.DUMMYFUNCTION("IF(REGEXMATCH(TRIM(I2042), ""^\d+\s*min""), ""Unclassified"", IF(I2042 = """", ""NR"", I2042))"),"TV-Y7")</f>
        <v>TV-Y7</v>
      </c>
      <c r="R2042" s="5" t="str">
        <f t="shared" si="2"/>
        <v>Transformers: Cyberverse</v>
      </c>
      <c r="S2042" s="5" t="str">
        <f>IFERROR(__xludf.DUMMYFUNCTION("""COMPUTED_VALUE"""),"Don Quixote: The Ingenious Gentleman Of La Mancha")</f>
        <v>Don Quixote: The Ingenious Gentleman Of La Mancha</v>
      </c>
      <c r="U2042" s="5" t="str">
        <f>IFERROR(__xludf.DUMMYFUNCTION("""COMPUTED_VALUE"""),"Dar Gai")</f>
        <v>Dar Gai</v>
      </c>
      <c r="V2042" s="5" t="s">
        <v>11703</v>
      </c>
      <c r="W2042" s="5" t="str">
        <f t="shared" si="3"/>
        <v>Jonathan Levine</v>
      </c>
      <c r="X2042" s="5">
        <f t="shared" si="4"/>
        <v>2</v>
      </c>
      <c r="Y2042" s="5" t="str">
        <f>IFERROR(__xludf.DUMMYFUNCTION("REGEXEXTRACT(J2042, ""^\d+"")"),"2")</f>
        <v>2</v>
      </c>
      <c r="Z2042" s="5" t="str">
        <f>IFERROR(__xludf.DUMMYFUNCTION("REGEXEXTRACT(J2042, ""[A-Za-z ]+$"")")," Seasons")</f>
        <v> Seasons</v>
      </c>
      <c r="AA2042" s="5" t="str">
        <f>IFERROR(__xludf.DUMMYFUNCTION("IF(REGEXMATCH(Z2042, ""Season""), ""TV Show"", ""Movie"")"),"TV Show")</f>
        <v>TV Show</v>
      </c>
    </row>
    <row r="2043">
      <c r="A2043" s="1" t="s">
        <v>11704</v>
      </c>
      <c r="B2043" s="1" t="s">
        <v>27</v>
      </c>
      <c r="C2043" s="1" t="s">
        <v>11705</v>
      </c>
      <c r="D2043" s="1" t="s">
        <v>6211</v>
      </c>
      <c r="F2043" s="1" t="s">
        <v>30</v>
      </c>
      <c r="G2043" s="1" t="s">
        <v>11691</v>
      </c>
      <c r="H2043" s="1">
        <v>2010.0</v>
      </c>
      <c r="I2043" s="1" t="s">
        <v>78</v>
      </c>
      <c r="J2043" s="1" t="s">
        <v>264</v>
      </c>
      <c r="K2043" s="1" t="s">
        <v>34</v>
      </c>
      <c r="L2043" s="1" t="s">
        <v>11706</v>
      </c>
      <c r="M2043" s="2" t="s">
        <v>12</v>
      </c>
      <c r="N2043" s="4">
        <f t="shared" si="1"/>
        <v>44081</v>
      </c>
      <c r="O2043" s="5" t="str">
        <f>IFERROR(__xludf.DUMMYFUNCTION("IF(REGEXMATCH(TRIM(I2043), ""^\d+\s*min""), ""Unclassified"", IF(I2043 = """", ""NR"", I2043))"),"PG")</f>
        <v>PG</v>
      </c>
      <c r="R2043" s="5" t="str">
        <f t="shared" si="2"/>
        <v>Waiting For "Superman"</v>
      </c>
      <c r="S2043" s="5" t="str">
        <f>IFERROR(__xludf.DUMMYFUNCTION("""COMPUTED_VALUE"""),"Don Verdean")</f>
        <v>Don Verdean</v>
      </c>
      <c r="U2043" s="5" t="str">
        <f>IFERROR(__xludf.DUMMYFUNCTION("""COMPUTED_VALUE"""),"Sathyan Anthikad")</f>
        <v>Sathyan Anthikad</v>
      </c>
      <c r="V2043" s="5" t="s">
        <v>5815</v>
      </c>
      <c r="W2043" s="5" t="str">
        <f t="shared" si="3"/>
        <v>Jonathan Liebesman</v>
      </c>
      <c r="X2043" s="5">
        <f t="shared" si="4"/>
        <v>1</v>
      </c>
      <c r="Y2043" s="5" t="str">
        <f>IFERROR(__xludf.DUMMYFUNCTION("REGEXEXTRACT(J2043, ""^\d+"")"),"111")</f>
        <v>111</v>
      </c>
      <c r="Z2043" s="5" t="str">
        <f>IFERROR(__xludf.DUMMYFUNCTION("REGEXEXTRACT(J2043, ""[A-Za-z ]+$"")")," min")</f>
        <v> min</v>
      </c>
      <c r="AA2043" s="5" t="str">
        <f>IFERROR(__xludf.DUMMYFUNCTION("IF(REGEXMATCH(Z2043, ""Season""), ""TV Show"", ""Movie"")"),"Movie")</f>
        <v>Movie</v>
      </c>
    </row>
    <row r="2044">
      <c r="A2044" s="1" t="s">
        <v>11707</v>
      </c>
      <c r="B2044" s="1" t="s">
        <v>37</v>
      </c>
      <c r="C2044" s="1" t="s">
        <v>11708</v>
      </c>
      <c r="E2044" s="1" t="s">
        <v>11709</v>
      </c>
      <c r="F2044" s="1" t="s">
        <v>11710</v>
      </c>
      <c r="G2044" s="1" t="s">
        <v>11711</v>
      </c>
      <c r="H2044" s="1">
        <v>2017.0</v>
      </c>
      <c r="I2044" s="1" t="s">
        <v>42</v>
      </c>
      <c r="J2044" s="1" t="s">
        <v>51</v>
      </c>
      <c r="K2044" s="1" t="s">
        <v>11712</v>
      </c>
      <c r="L2044" s="1" t="s">
        <v>11713</v>
      </c>
      <c r="M2044" s="2" t="s">
        <v>12</v>
      </c>
      <c r="N2044" s="4">
        <f t="shared" si="1"/>
        <v>44079</v>
      </c>
      <c r="O2044" s="5" t="str">
        <f>IFERROR(__xludf.DUMMYFUNCTION("IF(REGEXMATCH(TRIM(I2044), ""^\d+\s*min""), ""Unclassified"", IF(I2044 = """", ""NR"", I2044))"),"TV-MA")</f>
        <v>TV-MA</v>
      </c>
      <c r="R2044" s="5" t="str">
        <f t="shared" si="2"/>
        <v>Cleverman</v>
      </c>
      <c r="S2044" s="5" t="str">
        <f>IFERROR(__xludf.DUMMYFUNCTION("""COMPUTED_VALUE"""),"Don'T Be Afraid Of The Dark")</f>
        <v>Don'T Be Afraid Of The Dark</v>
      </c>
      <c r="U2044" s="5" t="str">
        <f>IFERROR(__xludf.DUMMYFUNCTION("""COMPUTED_VALUE"""),"Brian Oakes")</f>
        <v>Brian Oakes</v>
      </c>
      <c r="V2044" s="5" t="s">
        <v>5715</v>
      </c>
      <c r="W2044" s="5" t="str">
        <f t="shared" si="3"/>
        <v>Jonathan Lynn</v>
      </c>
      <c r="X2044" s="5">
        <f t="shared" si="4"/>
        <v>1</v>
      </c>
      <c r="Y2044" s="5" t="str">
        <f>IFERROR(__xludf.DUMMYFUNCTION("REGEXEXTRACT(J2044, ""^\d+"")"),"1")</f>
        <v>1</v>
      </c>
      <c r="Z2044" s="5" t="str">
        <f>IFERROR(__xludf.DUMMYFUNCTION("REGEXEXTRACT(J2044, ""[A-Za-z ]+$"")")," Season")</f>
        <v> Season</v>
      </c>
      <c r="AA2044" s="5" t="str">
        <f>IFERROR(__xludf.DUMMYFUNCTION("IF(REGEXMATCH(Z2044, ""Season""), ""TV Show"", ""Movie"")"),"TV Show")</f>
        <v>TV Show</v>
      </c>
    </row>
    <row r="2045">
      <c r="A2045" s="1" t="s">
        <v>11714</v>
      </c>
      <c r="B2045" s="1" t="s">
        <v>27</v>
      </c>
      <c r="C2045" s="1" t="s">
        <v>11715</v>
      </c>
      <c r="D2045" s="1" t="s">
        <v>11716</v>
      </c>
      <c r="E2045" s="1" t="s">
        <v>11717</v>
      </c>
      <c r="F2045" s="1" t="s">
        <v>96</v>
      </c>
      <c r="G2045" s="1" t="s">
        <v>11711</v>
      </c>
      <c r="H2045" s="1">
        <v>2020.0</v>
      </c>
      <c r="I2045" s="1" t="s">
        <v>378</v>
      </c>
      <c r="J2045" s="1" t="s">
        <v>247</v>
      </c>
      <c r="K2045" s="1" t="s">
        <v>805</v>
      </c>
      <c r="L2045" s="1" t="s">
        <v>11718</v>
      </c>
      <c r="M2045" s="2" t="s">
        <v>12</v>
      </c>
      <c r="N2045" s="4">
        <f t="shared" si="1"/>
        <v>44079</v>
      </c>
      <c r="O2045" s="5" t="str">
        <f>IFERROR(__xludf.DUMMYFUNCTION("IF(REGEXMATCH(TRIM(I2045), ""^\d+\s*min""), ""Unclassified"", IF(I2045 = """", ""NR"", I2045))"),"R")</f>
        <v>R</v>
      </c>
      <c r="R2045" s="5" t="str">
        <f t="shared" si="2"/>
        <v>Villain</v>
      </c>
      <c r="S2045" s="5" t="str">
        <f>IFERROR(__xludf.DUMMYFUNCTION("""COMPUTED_VALUE"""),"Don'T Be The First One")</f>
        <v>Don'T Be The First One</v>
      </c>
      <c r="U2045" s="5" t="str">
        <f>IFERROR(__xludf.DUMMYFUNCTION("""COMPUTED_VALUE"""),"Bille August")</f>
        <v>Bille August</v>
      </c>
      <c r="V2045" s="5" t="s">
        <v>11719</v>
      </c>
      <c r="W2045" s="5" t="str">
        <f t="shared" si="3"/>
        <v>Jonathan Mostow</v>
      </c>
      <c r="X2045" s="5">
        <f t="shared" si="4"/>
        <v>2</v>
      </c>
      <c r="Y2045" s="5" t="str">
        <f>IFERROR(__xludf.DUMMYFUNCTION("REGEXEXTRACT(J2045, ""^\d+"")"),"97")</f>
        <v>97</v>
      </c>
      <c r="Z2045" s="5" t="str">
        <f>IFERROR(__xludf.DUMMYFUNCTION("REGEXEXTRACT(J2045, ""[A-Za-z ]+$"")")," min")</f>
        <v> min</v>
      </c>
      <c r="AA2045" s="5" t="str">
        <f>IFERROR(__xludf.DUMMYFUNCTION("IF(REGEXMATCH(Z2045, ""Season""), ""TV Show"", ""Movie"")"),"Movie")</f>
        <v>Movie</v>
      </c>
    </row>
    <row r="2046">
      <c r="A2046" s="1" t="s">
        <v>11720</v>
      </c>
      <c r="B2046" s="1" t="s">
        <v>37</v>
      </c>
      <c r="C2046" s="1" t="s">
        <v>11721</v>
      </c>
      <c r="E2046" s="1" t="s">
        <v>11722</v>
      </c>
      <c r="F2046" s="1" t="s">
        <v>30</v>
      </c>
      <c r="G2046" s="1" t="s">
        <v>11723</v>
      </c>
      <c r="H2046" s="1">
        <v>2020.0</v>
      </c>
      <c r="I2046" s="1" t="s">
        <v>97</v>
      </c>
      <c r="J2046" s="1" t="s">
        <v>51</v>
      </c>
      <c r="K2046" s="1" t="s">
        <v>11724</v>
      </c>
      <c r="L2046" s="1" t="s">
        <v>11725</v>
      </c>
      <c r="M2046" s="2" t="s">
        <v>12</v>
      </c>
      <c r="N2046" s="4">
        <f t="shared" si="1"/>
        <v>44078</v>
      </c>
      <c r="O2046" s="5" t="str">
        <f>IFERROR(__xludf.DUMMYFUNCTION("IF(REGEXMATCH(TRIM(I2046), ""^\d+\s*min""), ""Unclassified"", IF(I2046 = """", ""NR"", I2046))"),"TV-14")</f>
        <v>TV-14</v>
      </c>
      <c r="R2046" s="5" t="str">
        <f t="shared" si="2"/>
        <v>Away</v>
      </c>
      <c r="S2046" s="5" t="str">
        <f>IFERROR(__xludf.DUMMYFUNCTION("""COMPUTED_VALUE"""),"Don'T Crack Under Pressure")</f>
        <v>Don'T Crack Under Pressure</v>
      </c>
      <c r="U2046" s="5" t="str">
        <f>IFERROR(__xludf.DUMMYFUNCTION("""COMPUTED_VALUE"""),"Fab Five Freddie")</f>
        <v>Fab Five Freddie</v>
      </c>
      <c r="V2046" s="5" t="s">
        <v>11726</v>
      </c>
      <c r="W2046" s="5" t="str">
        <f t="shared" si="3"/>
        <v>Jonathan Sobol</v>
      </c>
      <c r="X2046" s="5">
        <f t="shared" si="4"/>
        <v>1</v>
      </c>
      <c r="Y2046" s="5" t="str">
        <f>IFERROR(__xludf.DUMMYFUNCTION("REGEXEXTRACT(J2046, ""^\d+"")"),"1")</f>
        <v>1</v>
      </c>
      <c r="Z2046" s="5" t="str">
        <f>IFERROR(__xludf.DUMMYFUNCTION("REGEXEXTRACT(J2046, ""[A-Za-z ]+$"")")," Season")</f>
        <v> Season</v>
      </c>
      <c r="AA2046" s="5" t="str">
        <f>IFERROR(__xludf.DUMMYFUNCTION("IF(REGEXMATCH(Z2046, ""Season""), ""TV Show"", ""Movie"")"),"TV Show")</f>
        <v>TV Show</v>
      </c>
    </row>
    <row r="2047">
      <c r="A2047" s="1" t="s">
        <v>11727</v>
      </c>
      <c r="B2047" s="1" t="s">
        <v>27</v>
      </c>
      <c r="C2047" s="1" t="s">
        <v>11728</v>
      </c>
      <c r="D2047" s="1" t="s">
        <v>4465</v>
      </c>
      <c r="E2047" s="1" t="s">
        <v>11729</v>
      </c>
      <c r="F2047" s="1" t="s">
        <v>30</v>
      </c>
      <c r="G2047" s="1" t="s">
        <v>11723</v>
      </c>
      <c r="H2047" s="1">
        <v>2020.0</v>
      </c>
      <c r="I2047" s="1" t="s">
        <v>378</v>
      </c>
      <c r="J2047" s="1" t="s">
        <v>1369</v>
      </c>
      <c r="K2047" s="1" t="s">
        <v>1320</v>
      </c>
      <c r="L2047" s="1" t="s">
        <v>11730</v>
      </c>
      <c r="M2047" s="2" t="s">
        <v>12</v>
      </c>
      <c r="N2047" s="4">
        <f t="shared" si="1"/>
        <v>44078</v>
      </c>
      <c r="O2047" s="5" t="str">
        <f>IFERROR(__xludf.DUMMYFUNCTION("IF(REGEXMATCH(TRIM(I2047), ""^\d+\s*min""), ""Unclassified"", IF(I2047 = """", ""NR"", I2047))"),"R")</f>
        <v>R</v>
      </c>
      <c r="R2047" s="5" t="str">
        <f t="shared" si="2"/>
        <v>I'M Thinking Of Ending Things</v>
      </c>
      <c r="S2047" s="5" t="str">
        <f>IFERROR(__xludf.DUMMYFUNCTION("""COMPUTED_VALUE"""),"Don'T Crack Under Pressure Ii")</f>
        <v>Don'T Crack Under Pressure Ii</v>
      </c>
      <c r="U2047" s="5" t="str">
        <f>IFERROR(__xludf.DUMMYFUNCTION("""COMPUTED_VALUE"""),"Sandra Restrepo")</f>
        <v>Sandra Restrepo</v>
      </c>
      <c r="V2047" s="5" t="s">
        <v>11731</v>
      </c>
      <c r="W2047" s="5" t="str">
        <f t="shared" si="3"/>
        <v>Jonathan Taylor</v>
      </c>
      <c r="X2047" s="5">
        <f t="shared" si="4"/>
        <v>1</v>
      </c>
      <c r="Y2047" s="5" t="str">
        <f>IFERROR(__xludf.DUMMYFUNCTION("REGEXEXTRACT(J2047, ""^\d+"")"),"135")</f>
        <v>135</v>
      </c>
      <c r="Z2047" s="5" t="str">
        <f>IFERROR(__xludf.DUMMYFUNCTION("REGEXEXTRACT(J2047, ""[A-Za-z ]+$"")")," min")</f>
        <v> min</v>
      </c>
      <c r="AA2047" s="5" t="str">
        <f>IFERROR(__xludf.DUMMYFUNCTION("IF(REGEXMATCH(Z2047, ""Season""), ""TV Show"", ""Movie"")"),"Movie")</f>
        <v>Movie</v>
      </c>
    </row>
    <row r="2048">
      <c r="A2048" s="1" t="s">
        <v>11732</v>
      </c>
      <c r="B2048" s="1" t="s">
        <v>27</v>
      </c>
      <c r="C2048" s="1" t="s">
        <v>11733</v>
      </c>
      <c r="D2048" s="1" t="s">
        <v>4663</v>
      </c>
      <c r="E2048" s="1" t="s">
        <v>11734</v>
      </c>
      <c r="F2048" s="1" t="s">
        <v>40</v>
      </c>
      <c r="G2048" s="1" t="s">
        <v>11723</v>
      </c>
      <c r="H2048" s="1">
        <v>2019.0</v>
      </c>
      <c r="I2048" s="1" t="s">
        <v>97</v>
      </c>
      <c r="J2048" s="1" t="s">
        <v>454</v>
      </c>
      <c r="K2048" s="1" t="s">
        <v>583</v>
      </c>
      <c r="L2048" s="1" t="s">
        <v>11735</v>
      </c>
      <c r="M2048" s="2" t="s">
        <v>12</v>
      </c>
      <c r="N2048" s="4">
        <f t="shared" si="1"/>
        <v>44078</v>
      </c>
      <c r="O2048" s="5" t="str">
        <f>IFERROR(__xludf.DUMMYFUNCTION("IF(REGEXMATCH(TRIM(I2048), ""^\d+\s*min""), ""Unclassified"", IF(I2048 = """", ""NR"", I2048))"),"TV-14")</f>
        <v>TV-14</v>
      </c>
      <c r="R2048" s="5" t="str">
        <f t="shared" si="2"/>
        <v>Kandasamys: The Wedding</v>
      </c>
      <c r="S2048" s="5" t="str">
        <f>IFERROR(__xludf.DUMMYFUNCTION("""COMPUTED_VALUE"""),"Don'T Crack Under Pressure Iii")</f>
        <v>Don'T Crack Under Pressure Iii</v>
      </c>
      <c r="U2048" s="5" t="str">
        <f>IFERROR(__xludf.DUMMYFUNCTION("""COMPUTED_VALUE"""),"Sarthak Dasgupta")</f>
        <v>Sarthak Dasgupta</v>
      </c>
      <c r="V2048" s="5" t="s">
        <v>1882</v>
      </c>
      <c r="W2048" s="5" t="str">
        <f t="shared" si="3"/>
        <v>Jonathan Teplitzky</v>
      </c>
      <c r="X2048" s="5">
        <f t="shared" si="4"/>
        <v>1</v>
      </c>
      <c r="Y2048" s="5" t="str">
        <f>IFERROR(__xludf.DUMMYFUNCTION("REGEXEXTRACT(J2048, ""^\d+"")"),"93")</f>
        <v>93</v>
      </c>
      <c r="Z2048" s="5" t="str">
        <f>IFERROR(__xludf.DUMMYFUNCTION("REGEXEXTRACT(J2048, ""[A-Za-z ]+$"")")," min")</f>
        <v> min</v>
      </c>
      <c r="AA2048" s="5" t="str">
        <f>IFERROR(__xludf.DUMMYFUNCTION("IF(REGEXMATCH(Z2048, ""Season""), ""TV Show"", ""Movie"")"),"Movie")</f>
        <v>Movie</v>
      </c>
    </row>
    <row r="2049">
      <c r="A2049" s="1" t="s">
        <v>11736</v>
      </c>
      <c r="B2049" s="1" t="s">
        <v>37</v>
      </c>
      <c r="C2049" s="1" t="s">
        <v>11737</v>
      </c>
      <c r="E2049" s="1" t="s">
        <v>11738</v>
      </c>
      <c r="F2049" s="1" t="s">
        <v>30</v>
      </c>
      <c r="G2049" s="1" t="s">
        <v>11723</v>
      </c>
      <c r="H2049" s="1">
        <v>2020.0</v>
      </c>
      <c r="I2049" s="1" t="s">
        <v>289</v>
      </c>
      <c r="J2049" s="1" t="s">
        <v>43</v>
      </c>
      <c r="K2049" s="1" t="s">
        <v>290</v>
      </c>
      <c r="L2049" s="1" t="s">
        <v>11739</v>
      </c>
      <c r="M2049" s="2" t="s">
        <v>12</v>
      </c>
      <c r="N2049" s="4">
        <f t="shared" si="1"/>
        <v>44078</v>
      </c>
      <c r="O2049" s="5" t="str">
        <f>IFERROR(__xludf.DUMMYFUNCTION("IF(REGEXMATCH(TRIM(I2049), ""^\d+\s*min""), ""Unclassified"", IF(I2049 = """", ""NR"", I2049))"),"TV-Y7")</f>
        <v>TV-Y7</v>
      </c>
      <c r="R2049" s="5" t="str">
        <f t="shared" si="2"/>
        <v>Spirit Riding Free: Riding Academy</v>
      </c>
      <c r="S2049" s="5" t="str">
        <f>IFERROR(__xludf.DUMMYFUNCTION("""COMPUTED_VALUE"""),"Don'T F**K With Cats: Hunting An Internet Killer")</f>
        <v>Don'T F**K With Cats: Hunting An Internet Killer</v>
      </c>
      <c r="U2049" s="5" t="str">
        <f>IFERROR(__xludf.DUMMYFUNCTION("""COMPUTED_VALUE"""),"Jennifer Kaytin Robinson")</f>
        <v>Jennifer Kaytin Robinson</v>
      </c>
      <c r="V2049" s="5" t="s">
        <v>6818</v>
      </c>
      <c r="W2049" s="5" t="str">
        <f t="shared" si="3"/>
        <v>Jonathon Link</v>
      </c>
      <c r="X2049" s="5">
        <f t="shared" si="4"/>
        <v>1</v>
      </c>
      <c r="Y2049" s="5" t="str">
        <f>IFERROR(__xludf.DUMMYFUNCTION("REGEXEXTRACT(J2049, ""^\d+"")"),"2")</f>
        <v>2</v>
      </c>
      <c r="Z2049" s="5" t="str">
        <f>IFERROR(__xludf.DUMMYFUNCTION("REGEXEXTRACT(J2049, ""[A-Za-z ]+$"")")," Seasons")</f>
        <v> Seasons</v>
      </c>
      <c r="AA2049" s="5" t="str">
        <f>IFERROR(__xludf.DUMMYFUNCTION("IF(REGEXMATCH(Z2049, ""Season""), ""TV Show"", ""Movie"")"),"TV Show")</f>
        <v>TV Show</v>
      </c>
    </row>
    <row r="2050">
      <c r="A2050" s="1" t="s">
        <v>11740</v>
      </c>
      <c r="B2050" s="1" t="s">
        <v>27</v>
      </c>
      <c r="C2050" s="1" t="s">
        <v>11741</v>
      </c>
      <c r="D2050" s="1" t="s">
        <v>158</v>
      </c>
      <c r="E2050" s="1" t="s">
        <v>11742</v>
      </c>
      <c r="F2050" s="1" t="s">
        <v>400</v>
      </c>
      <c r="G2050" s="1" t="s">
        <v>11723</v>
      </c>
      <c r="H2050" s="1">
        <v>2019.0</v>
      </c>
      <c r="I2050" s="1" t="s">
        <v>42</v>
      </c>
      <c r="J2050" s="1" t="s">
        <v>170</v>
      </c>
      <c r="K2050" s="1" t="s">
        <v>836</v>
      </c>
      <c r="L2050" s="1" t="s">
        <v>11743</v>
      </c>
      <c r="M2050" s="2" t="s">
        <v>12</v>
      </c>
      <c r="N2050" s="4">
        <f t="shared" si="1"/>
        <v>44078</v>
      </c>
      <c r="O2050" s="5" t="str">
        <f>IFERROR(__xludf.DUMMYFUNCTION("IF(REGEXMATCH(TRIM(I2050), ""^\d+\s*min""), ""Unclassified"", IF(I2050 = """", ""NR"", I2050))"),"TV-MA")</f>
        <v>TV-MA</v>
      </c>
      <c r="R2050" s="5" t="str">
        <f t="shared" si="2"/>
        <v>The Lost Okoroshi</v>
      </c>
      <c r="S2050" s="5" t="str">
        <f>IFERROR(__xludf.DUMMYFUNCTION("""COMPUTED_VALUE"""),"Don'T Go Breaking My Heart")</f>
        <v>Don'T Go Breaking My Heart</v>
      </c>
      <c r="U2050" s="5" t="str">
        <f>IFERROR(__xludf.DUMMYFUNCTION("""COMPUTED_VALUE"""),"Renato De Maria")</f>
        <v>Renato De Maria</v>
      </c>
      <c r="V2050" s="5" t="s">
        <v>11744</v>
      </c>
      <c r="W2050" s="5" t="str">
        <f t="shared" si="3"/>
        <v>Joram Lürsen</v>
      </c>
      <c r="X2050" s="5">
        <f t="shared" si="4"/>
        <v>2</v>
      </c>
      <c r="Y2050" s="5" t="str">
        <f>IFERROR(__xludf.DUMMYFUNCTION("REGEXEXTRACT(J2050, ""^\d+"")"),"94")</f>
        <v>94</v>
      </c>
      <c r="Z2050" s="5" t="str">
        <f>IFERROR(__xludf.DUMMYFUNCTION("REGEXEXTRACT(J2050, ""[A-Za-z ]+$"")")," min")</f>
        <v> min</v>
      </c>
      <c r="AA2050" s="5" t="str">
        <f>IFERROR(__xludf.DUMMYFUNCTION("IF(REGEXMATCH(Z2050, ""Season""), ""TV Show"", ""Movie"")"),"Movie")</f>
        <v>Movie</v>
      </c>
    </row>
    <row r="2051">
      <c r="A2051" s="1" t="s">
        <v>11745</v>
      </c>
      <c r="B2051" s="1" t="s">
        <v>27</v>
      </c>
      <c r="C2051" s="1" t="s">
        <v>11746</v>
      </c>
      <c r="D2051" s="1" t="s">
        <v>2329</v>
      </c>
      <c r="E2051" s="1" t="s">
        <v>11747</v>
      </c>
      <c r="F2051" s="1" t="s">
        <v>4287</v>
      </c>
      <c r="G2051" s="1" t="s">
        <v>11723</v>
      </c>
      <c r="H2051" s="1">
        <v>2015.0</v>
      </c>
      <c r="I2051" s="1" t="s">
        <v>97</v>
      </c>
      <c r="J2051" s="1" t="s">
        <v>743</v>
      </c>
      <c r="K2051" s="1" t="s">
        <v>215</v>
      </c>
      <c r="L2051" s="1" t="s">
        <v>11748</v>
      </c>
      <c r="M2051" s="2" t="s">
        <v>12</v>
      </c>
      <c r="N2051" s="4">
        <f t="shared" si="1"/>
        <v>44078</v>
      </c>
      <c r="O2051" s="5" t="str">
        <f>IFERROR(__xludf.DUMMYFUNCTION("IF(REGEXMATCH(TRIM(I2051), ""^\d+\s*min""), ""Unclassified"", IF(I2051 = """", ""NR"", I2051))"),"TV-14")</f>
        <v>TV-14</v>
      </c>
      <c r="R2051" s="5" t="str">
        <f t="shared" si="2"/>
        <v>You'Re My Boss</v>
      </c>
      <c r="S2051" s="5" t="str">
        <f>IFERROR(__xludf.DUMMYFUNCTION("""COMPUTED_VALUE"""),"Don'T Go Breaking My Heart 2")</f>
        <v>Don'T Go Breaking My Heart 2</v>
      </c>
      <c r="U2051" s="5" t="str">
        <f>IFERROR(__xludf.DUMMYFUNCTION("""COMPUTED_VALUE"""),"Alan Rickman")</f>
        <v>Alan Rickman</v>
      </c>
      <c r="V2051" s="5" t="s">
        <v>11749</v>
      </c>
      <c r="W2051" s="5" t="str">
        <f t="shared" si="3"/>
        <v>Jordan Brady</v>
      </c>
      <c r="X2051" s="5">
        <f t="shared" si="4"/>
        <v>1</v>
      </c>
      <c r="Y2051" s="5" t="str">
        <f>IFERROR(__xludf.DUMMYFUNCTION("REGEXEXTRACT(J2051, ""^\d+"")"),"117")</f>
        <v>117</v>
      </c>
      <c r="Z2051" s="5" t="str">
        <f>IFERROR(__xludf.DUMMYFUNCTION("REGEXEXTRACT(J2051, ""[A-Za-z ]+$"")")," min")</f>
        <v> min</v>
      </c>
      <c r="AA2051" s="5" t="str">
        <f>IFERROR(__xludf.DUMMYFUNCTION("IF(REGEXMATCH(Z2051, ""Season""), ""TV Show"", ""Movie"")"),"Movie")</f>
        <v>Movie</v>
      </c>
    </row>
    <row r="2052">
      <c r="A2052" s="1" t="s">
        <v>11750</v>
      </c>
      <c r="B2052" s="1" t="s">
        <v>27</v>
      </c>
      <c r="C2052" s="1" t="s">
        <v>11751</v>
      </c>
      <c r="D2052" s="1" t="s">
        <v>11752</v>
      </c>
      <c r="E2052" s="1" t="s">
        <v>11753</v>
      </c>
      <c r="F2052" s="1" t="s">
        <v>1992</v>
      </c>
      <c r="G2052" s="1" t="s">
        <v>11754</v>
      </c>
      <c r="H2052" s="1">
        <v>2020.0</v>
      </c>
      <c r="I2052" s="1" t="s">
        <v>42</v>
      </c>
      <c r="J2052" s="1" t="s">
        <v>919</v>
      </c>
      <c r="K2052" s="1" t="s">
        <v>1839</v>
      </c>
      <c r="L2052" s="1" t="s">
        <v>11755</v>
      </c>
      <c r="M2052" s="2" t="s">
        <v>12</v>
      </c>
      <c r="N2052" s="4">
        <f t="shared" si="1"/>
        <v>44077</v>
      </c>
      <c r="O2052" s="5" t="str">
        <f>IFERROR(__xludf.DUMMYFUNCTION("IF(REGEXMATCH(TRIM(I2052), ""^\d+\s*min""), ""Unclassified"", IF(I2052 = """", ""NR"", I2052))"),"TV-MA")</f>
        <v>TV-MA</v>
      </c>
      <c r="R2052" s="5" t="str">
        <f t="shared" si="2"/>
        <v>Afonso Padilha: Classless</v>
      </c>
      <c r="S2052" s="5" t="str">
        <f>IFERROR(__xludf.DUMMYFUNCTION("""COMPUTED_VALUE"""),"Don'T Knock Twice")</f>
        <v>Don'T Knock Twice</v>
      </c>
      <c r="U2052" s="5" t="str">
        <f>IFERROR(__xludf.DUMMYFUNCTION("""COMPUTED_VALUE"""),"Ulises Valencia")</f>
        <v>Ulises Valencia</v>
      </c>
      <c r="V2052" s="5" t="s">
        <v>11756</v>
      </c>
      <c r="W2052" s="5" t="str">
        <f t="shared" si="3"/>
        <v>Jordan Ross</v>
      </c>
      <c r="X2052" s="5">
        <f t="shared" si="4"/>
        <v>1</v>
      </c>
      <c r="Y2052" s="5" t="str">
        <f>IFERROR(__xludf.DUMMYFUNCTION("REGEXEXTRACT(J2052, ""^\d+"")"),"63")</f>
        <v>63</v>
      </c>
      <c r="Z2052" s="5" t="str">
        <f>IFERROR(__xludf.DUMMYFUNCTION("REGEXEXTRACT(J2052, ""[A-Za-z ]+$"")")," min")</f>
        <v> min</v>
      </c>
      <c r="AA2052" s="5" t="str">
        <f>IFERROR(__xludf.DUMMYFUNCTION("IF(REGEXMATCH(Z2052, ""Season""), ""TV Show"", ""Movie"")"),"Movie")</f>
        <v>Movie</v>
      </c>
    </row>
    <row r="2053">
      <c r="A2053" s="1" t="s">
        <v>11757</v>
      </c>
      <c r="B2053" s="1" t="s">
        <v>27</v>
      </c>
      <c r="C2053" s="1" t="s">
        <v>11758</v>
      </c>
      <c r="D2053" s="1" t="s">
        <v>7282</v>
      </c>
      <c r="E2053" s="1" t="s">
        <v>11759</v>
      </c>
      <c r="F2053" s="1" t="s">
        <v>2873</v>
      </c>
      <c r="G2053" s="1" t="s">
        <v>11754</v>
      </c>
      <c r="H2053" s="1">
        <v>2018.0</v>
      </c>
      <c r="I2053" s="1" t="s">
        <v>136</v>
      </c>
      <c r="J2053" s="1" t="s">
        <v>5120</v>
      </c>
      <c r="K2053" s="1" t="s">
        <v>89</v>
      </c>
      <c r="L2053" s="1" t="s">
        <v>11760</v>
      </c>
      <c r="M2053" s="2" t="s">
        <v>12</v>
      </c>
      <c r="N2053" s="4">
        <f t="shared" si="1"/>
        <v>44077</v>
      </c>
      <c r="O2053" s="5" t="str">
        <f>IFERROR(__xludf.DUMMYFUNCTION("IF(REGEXMATCH(TRIM(I2053), ""^\d+\s*min""), ""Unclassified"", IF(I2053 = """", ""NR"", I2053))"),"TV-PG")</f>
        <v>TV-PG</v>
      </c>
      <c r="R2053" s="5" t="str">
        <f t="shared" si="2"/>
        <v>Ave Maryam</v>
      </c>
      <c r="S2053" s="5" t="str">
        <f>IFERROR(__xludf.DUMMYFUNCTION("""COMPUTED_VALUE"""),"Don’T Listen")</f>
        <v>Don’T Listen</v>
      </c>
      <c r="U2053" s="5" t="str">
        <f>IFERROR(__xludf.DUMMYFUNCTION("""COMPUTED_VALUE"""),"Beyoncé Knowles-Carter")</f>
        <v>Beyoncé Knowles-Carter</v>
      </c>
      <c r="V2053" s="5" t="s">
        <v>11761</v>
      </c>
      <c r="W2053" s="5" t="str">
        <f t="shared" si="3"/>
        <v>Jordana Spiro</v>
      </c>
      <c r="X2053" s="5">
        <f t="shared" si="4"/>
        <v>1</v>
      </c>
      <c r="Y2053" s="5" t="str">
        <f>IFERROR(__xludf.DUMMYFUNCTION("REGEXEXTRACT(J2053, ""^\d+"")"),"73")</f>
        <v>73</v>
      </c>
      <c r="Z2053" s="5" t="str">
        <f>IFERROR(__xludf.DUMMYFUNCTION("REGEXEXTRACT(J2053, ""[A-Za-z ]+$"")")," min")</f>
        <v> min</v>
      </c>
      <c r="AA2053" s="5" t="str">
        <f>IFERROR(__xludf.DUMMYFUNCTION("IF(REGEXMATCH(Z2053, ""Season""), ""TV Show"", ""Movie"")"),"Movie")</f>
        <v>Movie</v>
      </c>
    </row>
    <row r="2054">
      <c r="A2054" s="1" t="s">
        <v>11762</v>
      </c>
      <c r="B2054" s="1" t="s">
        <v>27</v>
      </c>
      <c r="C2054" s="1" t="s">
        <v>11763</v>
      </c>
      <c r="D2054" s="1" t="s">
        <v>11764</v>
      </c>
      <c r="E2054" s="1" t="s">
        <v>11765</v>
      </c>
      <c r="F2054" s="1" t="s">
        <v>30</v>
      </c>
      <c r="G2054" s="1" t="s">
        <v>11754</v>
      </c>
      <c r="H2054" s="1">
        <v>2020.0</v>
      </c>
      <c r="I2054" s="1" t="s">
        <v>136</v>
      </c>
      <c r="J2054" s="1" t="s">
        <v>79</v>
      </c>
      <c r="K2054" s="1" t="s">
        <v>5739</v>
      </c>
      <c r="L2054" s="1" t="s">
        <v>11766</v>
      </c>
      <c r="M2054" s="2" t="s">
        <v>12</v>
      </c>
      <c r="N2054" s="4">
        <f t="shared" si="1"/>
        <v>44077</v>
      </c>
      <c r="O2054" s="5" t="str">
        <f>IFERROR(__xludf.DUMMYFUNCTION("IF(REGEXMATCH(TRIM(I2054), ""^\d+\s*min""), ""Unclassified"", IF(I2054 = """", ""NR"", I2054))"),"TV-PG")</f>
        <v>TV-PG</v>
      </c>
      <c r="R2054" s="5" t="str">
        <f t="shared" si="2"/>
        <v>Love, Guaranteed</v>
      </c>
      <c r="S2054" s="5" t="str">
        <f>IFERROR(__xludf.DUMMYFUNCTION("""COMPUTED_VALUE"""),"Don'T Look Down")</f>
        <v>Don'T Look Down</v>
      </c>
      <c r="U2054" s="5" t="str">
        <f>IFERROR(__xludf.DUMMYFUNCTION("""COMPUTED_VALUE"""),"Richard Curtis")</f>
        <v>Richard Curtis</v>
      </c>
      <c r="V2054" s="5" t="s">
        <v>11767</v>
      </c>
      <c r="W2054" s="5" t="str">
        <f t="shared" si="3"/>
        <v>Jordi Llompart</v>
      </c>
      <c r="X2054" s="5">
        <f t="shared" si="4"/>
        <v>1</v>
      </c>
      <c r="Y2054" s="5" t="str">
        <f>IFERROR(__xludf.DUMMYFUNCTION("REGEXEXTRACT(J2054, ""^\d+"")"),"91")</f>
        <v>91</v>
      </c>
      <c r="Z2054" s="5" t="str">
        <f>IFERROR(__xludf.DUMMYFUNCTION("REGEXEXTRACT(J2054, ""[A-Za-z ]+$"")")," min")</f>
        <v> min</v>
      </c>
      <c r="AA2054" s="5" t="str">
        <f>IFERROR(__xludf.DUMMYFUNCTION("IF(REGEXMATCH(Z2054, ""Season""), ""TV Show"", ""Movie"")"),"Movie")</f>
        <v>Movie</v>
      </c>
    </row>
    <row r="2055">
      <c r="A2055" s="1" t="s">
        <v>11768</v>
      </c>
      <c r="B2055" s="1" t="s">
        <v>37</v>
      </c>
      <c r="C2055" s="1" t="s">
        <v>11769</v>
      </c>
      <c r="E2055" s="1" t="s">
        <v>11770</v>
      </c>
      <c r="F2055" s="1" t="s">
        <v>96</v>
      </c>
      <c r="G2055" s="1" t="s">
        <v>11754</v>
      </c>
      <c r="H2055" s="1">
        <v>2020.0</v>
      </c>
      <c r="I2055" s="1" t="s">
        <v>42</v>
      </c>
      <c r="J2055" s="1" t="s">
        <v>51</v>
      </c>
      <c r="K2055" s="1" t="s">
        <v>1362</v>
      </c>
      <c r="L2055" s="1" t="s">
        <v>11771</v>
      </c>
      <c r="M2055" s="2" t="s">
        <v>12</v>
      </c>
      <c r="N2055" s="4">
        <f t="shared" si="1"/>
        <v>44077</v>
      </c>
      <c r="O2055" s="5" t="str">
        <f>IFERROR(__xludf.DUMMYFUNCTION("IF(REGEXMATCH(TRIM(I2055), ""^\d+\s*min""), ""Unclassified"", IF(I2055 = """", ""NR"", I2055))"),"TV-MA")</f>
        <v>TV-MA</v>
      </c>
      <c r="R2055" s="5" t="str">
        <f t="shared" si="2"/>
        <v>Young Wallander</v>
      </c>
      <c r="S2055" s="5" t="str">
        <f>IFERROR(__xludf.DUMMYFUNCTION("""COMPUTED_VALUE"""),"Don'T Think Twice")</f>
        <v>Don'T Think Twice</v>
      </c>
      <c r="U2055" s="5" t="str">
        <f>IFERROR(__xludf.DUMMYFUNCTION("""COMPUTED_VALUE"""),"Suparn Verma")</f>
        <v>Suparn Verma</v>
      </c>
      <c r="V2055" s="5" t="s">
        <v>2259</v>
      </c>
      <c r="W2055" s="5" t="str">
        <f t="shared" si="3"/>
        <v>Jorge Blanco</v>
      </c>
      <c r="X2055" s="5">
        <f t="shared" si="4"/>
        <v>1</v>
      </c>
      <c r="Y2055" s="5" t="str">
        <f>IFERROR(__xludf.DUMMYFUNCTION("REGEXEXTRACT(J2055, ""^\d+"")"),"1")</f>
        <v>1</v>
      </c>
      <c r="Z2055" s="5" t="str">
        <f>IFERROR(__xludf.DUMMYFUNCTION("REGEXEXTRACT(J2055, ""[A-Za-z ]+$"")")," Season")</f>
        <v> Season</v>
      </c>
      <c r="AA2055" s="5" t="str">
        <f>IFERROR(__xludf.DUMMYFUNCTION("IF(REGEXMATCH(Z2055, ""Season""), ""TV Show"", ""Movie"")"),"TV Show")</f>
        <v>TV Show</v>
      </c>
    </row>
    <row r="2056">
      <c r="A2056" s="1" t="s">
        <v>11772</v>
      </c>
      <c r="B2056" s="1" t="s">
        <v>37</v>
      </c>
      <c r="C2056" s="1" t="s">
        <v>11773</v>
      </c>
      <c r="F2056" s="1" t="s">
        <v>30</v>
      </c>
      <c r="G2056" s="1" t="s">
        <v>11774</v>
      </c>
      <c r="H2056" s="1">
        <v>2020.0</v>
      </c>
      <c r="I2056" s="1" t="s">
        <v>97</v>
      </c>
      <c r="J2056" s="1" t="s">
        <v>51</v>
      </c>
      <c r="K2056" s="1" t="s">
        <v>57</v>
      </c>
      <c r="L2056" s="1" t="s">
        <v>11775</v>
      </c>
      <c r="M2056" s="2" t="s">
        <v>12</v>
      </c>
      <c r="N2056" s="4">
        <f t="shared" si="1"/>
        <v>44076</v>
      </c>
      <c r="O2056" s="5" t="str">
        <f>IFERROR(__xludf.DUMMYFUNCTION("IF(REGEXMATCH(TRIM(I2056), ""^\d+\s*min""), ""Unclassified"", IF(I2056 = """", ""NR"", I2056))"),"TV-14")</f>
        <v>TV-14</v>
      </c>
      <c r="R2056" s="5" t="str">
        <f t="shared" si="2"/>
        <v>Chef'S Table: Bbq</v>
      </c>
      <c r="S2056" s="5" t="str">
        <f>IFERROR(__xludf.DUMMYFUNCTION("""COMPUTED_VALUE"""),"Donald Glover: Weirdo")</f>
        <v>Donald Glover: Weirdo</v>
      </c>
      <c r="U2056" s="5" t="str">
        <f>IFERROR(__xludf.DUMMYFUNCTION("""COMPUTED_VALUE"""),"Anant Balani")</f>
        <v>Anant Balani</v>
      </c>
      <c r="V2056" s="5" t="s">
        <v>11776</v>
      </c>
      <c r="W2056" s="5" t="str">
        <f t="shared" si="3"/>
        <v>Jorge Granier</v>
      </c>
      <c r="X2056" s="5">
        <f t="shared" si="4"/>
        <v>1</v>
      </c>
      <c r="Y2056" s="5" t="str">
        <f>IFERROR(__xludf.DUMMYFUNCTION("REGEXEXTRACT(J2056, ""^\d+"")"),"1")</f>
        <v>1</v>
      </c>
      <c r="Z2056" s="5" t="str">
        <f>IFERROR(__xludf.DUMMYFUNCTION("REGEXEXTRACT(J2056, ""[A-Za-z ]+$"")")," Season")</f>
        <v> Season</v>
      </c>
      <c r="AA2056" s="5" t="str">
        <f>IFERROR(__xludf.DUMMYFUNCTION("IF(REGEXMATCH(Z2056, ""Season""), ""TV Show"", ""Movie"")"),"TV Show")</f>
        <v>TV Show</v>
      </c>
    </row>
    <row r="2057">
      <c r="A2057" s="1" t="s">
        <v>11777</v>
      </c>
      <c r="B2057" s="1" t="s">
        <v>27</v>
      </c>
      <c r="C2057" s="1" t="s">
        <v>11778</v>
      </c>
      <c r="D2057" s="1" t="s">
        <v>7550</v>
      </c>
      <c r="E2057" s="1" t="s">
        <v>11779</v>
      </c>
      <c r="F2057" s="1" t="s">
        <v>2492</v>
      </c>
      <c r="G2057" s="1" t="s">
        <v>11774</v>
      </c>
      <c r="H2057" s="1">
        <v>2020.0</v>
      </c>
      <c r="I2057" s="1" t="s">
        <v>42</v>
      </c>
      <c r="J2057" s="1" t="s">
        <v>454</v>
      </c>
      <c r="K2057" s="1" t="s">
        <v>89</v>
      </c>
      <c r="L2057" s="1" t="s">
        <v>11780</v>
      </c>
      <c r="M2057" s="2" t="s">
        <v>12</v>
      </c>
      <c r="N2057" s="4">
        <f t="shared" si="1"/>
        <v>44076</v>
      </c>
      <c r="O2057" s="5" t="str">
        <f>IFERROR(__xludf.DUMMYFUNCTION("IF(REGEXMATCH(TRIM(I2057), ""^\d+\s*min""), ""Unclassified"", IF(I2057 = """", ""NR"", I2057))"),"TV-MA")</f>
        <v>TV-MA</v>
      </c>
      <c r="R2057" s="5" t="str">
        <f t="shared" si="2"/>
        <v>Freaks – You'Re One Of Us</v>
      </c>
      <c r="S2057" s="5" t="str">
        <f>IFERROR(__xludf.DUMMYFUNCTION("""COMPUTED_VALUE"""),"Donnie Brasco")</f>
        <v>Donnie Brasco</v>
      </c>
      <c r="U2057" s="5" t="str">
        <f>IFERROR(__xludf.DUMMYFUNCTION("""COMPUTED_VALUE"""),"Soukarya Ghosal")</f>
        <v>Soukarya Ghosal</v>
      </c>
      <c r="V2057" s="5" t="s">
        <v>11781</v>
      </c>
      <c r="W2057" s="5" t="str">
        <f t="shared" si="3"/>
        <v>Jorge Hernandez Aldana</v>
      </c>
      <c r="X2057" s="5">
        <f t="shared" si="4"/>
        <v>1</v>
      </c>
      <c r="Y2057" s="5" t="str">
        <f>IFERROR(__xludf.DUMMYFUNCTION("REGEXEXTRACT(J2057, ""^\d+"")"),"93")</f>
        <v>93</v>
      </c>
      <c r="Z2057" s="5" t="str">
        <f>IFERROR(__xludf.DUMMYFUNCTION("REGEXEXTRACT(J2057, ""[A-Za-z ]+$"")")," min")</f>
        <v> min</v>
      </c>
      <c r="AA2057" s="5" t="str">
        <f>IFERROR(__xludf.DUMMYFUNCTION("IF(REGEXMATCH(Z2057, ""Season""), ""TV Show"", ""Movie"")"),"Movie")</f>
        <v>Movie</v>
      </c>
    </row>
    <row r="2058">
      <c r="A2058" s="1" t="s">
        <v>11782</v>
      </c>
      <c r="B2058" s="1" t="s">
        <v>27</v>
      </c>
      <c r="C2058" s="1" t="s">
        <v>11783</v>
      </c>
      <c r="D2058" s="1" t="s">
        <v>11784</v>
      </c>
      <c r="E2058" s="1" t="s">
        <v>11785</v>
      </c>
      <c r="F2058" s="1" t="s">
        <v>911</v>
      </c>
      <c r="G2058" s="1" t="s">
        <v>11774</v>
      </c>
      <c r="H2058" s="1">
        <v>2009.0</v>
      </c>
      <c r="I2058" s="1" t="s">
        <v>78</v>
      </c>
      <c r="J2058" s="1" t="s">
        <v>1091</v>
      </c>
      <c r="K2058" s="1" t="s">
        <v>137</v>
      </c>
      <c r="L2058" s="1" t="s">
        <v>11786</v>
      </c>
      <c r="M2058" s="2" t="s">
        <v>12</v>
      </c>
      <c r="N2058" s="4">
        <f t="shared" si="1"/>
        <v>44076</v>
      </c>
      <c r="O2058" s="5" t="str">
        <f>IFERROR(__xludf.DUMMYFUNCTION("IF(REGEXMATCH(TRIM(I2058), ""^\d+\s*min""), ""Unclassified"", IF(I2058 = """", ""NR"", I2058))"),"PG")</f>
        <v>PG</v>
      </c>
      <c r="R2058" s="5" t="str">
        <f t="shared" si="2"/>
        <v>Hotel For Dogs</v>
      </c>
      <c r="S2058" s="5" t="str">
        <f>IFERROR(__xludf.DUMMYFUNCTION("""COMPUTED_VALUE"""),"Doob: No Bed Of Roses")</f>
        <v>Doob: No Bed Of Roses</v>
      </c>
      <c r="U2058" s="5" t="str">
        <f>IFERROR(__xludf.DUMMYFUNCTION("""COMPUTED_VALUE"""),"Leena Yadav")</f>
        <v>Leena Yadav</v>
      </c>
      <c r="V2058" s="5" t="s">
        <v>11787</v>
      </c>
      <c r="W2058" s="5" t="str">
        <f t="shared" si="3"/>
        <v>Jorge M. Fontana</v>
      </c>
      <c r="X2058" s="5">
        <f t="shared" si="4"/>
        <v>1</v>
      </c>
      <c r="Y2058" s="5" t="str">
        <f>IFERROR(__xludf.DUMMYFUNCTION("REGEXEXTRACT(J2058, ""^\d+"")"),"101")</f>
        <v>101</v>
      </c>
      <c r="Z2058" s="5" t="str">
        <f>IFERROR(__xludf.DUMMYFUNCTION("REGEXEXTRACT(J2058, ""[A-Za-z ]+$"")")," min")</f>
        <v> min</v>
      </c>
      <c r="AA2058" s="5" t="str">
        <f>IFERROR(__xludf.DUMMYFUNCTION("IF(REGEXMATCH(Z2058, ""Season""), ""TV Show"", ""Movie"")"),"Movie")</f>
        <v>Movie</v>
      </c>
    </row>
    <row r="2059">
      <c r="A2059" s="1" t="s">
        <v>11788</v>
      </c>
      <c r="B2059" s="1" t="s">
        <v>27</v>
      </c>
      <c r="C2059" s="1" t="s">
        <v>11789</v>
      </c>
      <c r="D2059" s="1" t="s">
        <v>11790</v>
      </c>
      <c r="E2059" s="1" t="s">
        <v>11791</v>
      </c>
      <c r="F2059" s="1" t="s">
        <v>3543</v>
      </c>
      <c r="G2059" s="1" t="s">
        <v>11774</v>
      </c>
      <c r="H2059" s="1">
        <v>2020.0</v>
      </c>
      <c r="I2059" s="1" t="s">
        <v>506</v>
      </c>
      <c r="J2059" s="1" t="s">
        <v>454</v>
      </c>
      <c r="K2059" s="1" t="s">
        <v>2892</v>
      </c>
      <c r="L2059" s="1" t="s">
        <v>11792</v>
      </c>
      <c r="M2059" s="2" t="s">
        <v>12</v>
      </c>
      <c r="N2059" s="4">
        <f t="shared" si="1"/>
        <v>44076</v>
      </c>
      <c r="O2059" s="5" t="str">
        <f>IFERROR(__xludf.DUMMYFUNCTION("IF(REGEXMATCH(TRIM(I2059), ""^\d+\s*min""), ""Unclassified"", IF(I2059 = """", ""NR"", I2059))"),"TV-G")</f>
        <v>TV-G</v>
      </c>
      <c r="R2059" s="5" t="str">
        <f t="shared" si="2"/>
        <v>Sky Tour: The Movie</v>
      </c>
      <c r="S2059" s="5" t="str">
        <f>IFERROR(__xludf.DUMMYFUNCTION("""COMPUTED_VALUE"""),"Doom")</f>
        <v>Doom</v>
      </c>
      <c r="U2059" s="5" t="str">
        <f>IFERROR(__xludf.DUMMYFUNCTION("""COMPUTED_VALUE"""),"Amitabha Singh")</f>
        <v>Amitabha Singh</v>
      </c>
      <c r="V2059" s="5" t="s">
        <v>11793</v>
      </c>
      <c r="W2059" s="5" t="str">
        <f t="shared" si="3"/>
        <v>Jorge Michel Grau</v>
      </c>
      <c r="X2059" s="5">
        <f t="shared" si="4"/>
        <v>1</v>
      </c>
      <c r="Y2059" s="5" t="str">
        <f>IFERROR(__xludf.DUMMYFUNCTION("REGEXEXTRACT(J2059, ""^\d+"")"),"93")</f>
        <v>93</v>
      </c>
      <c r="Z2059" s="5" t="str">
        <f>IFERROR(__xludf.DUMMYFUNCTION("REGEXEXTRACT(J2059, ""[A-Za-z ]+$"")")," min")</f>
        <v> min</v>
      </c>
      <c r="AA2059" s="5" t="str">
        <f>IFERROR(__xludf.DUMMYFUNCTION("IF(REGEXMATCH(Z2059, ""Season""), ""TV Show"", ""Movie"")"),"Movie")</f>
        <v>Movie</v>
      </c>
    </row>
    <row r="2060">
      <c r="A2060" s="1" t="s">
        <v>11794</v>
      </c>
      <c r="B2060" s="1" t="s">
        <v>37</v>
      </c>
      <c r="C2060" s="1" t="s">
        <v>11795</v>
      </c>
      <c r="E2060" s="1" t="s">
        <v>11796</v>
      </c>
      <c r="G2060" s="1" t="s">
        <v>11774</v>
      </c>
      <c r="H2060" s="1">
        <v>2020.0</v>
      </c>
      <c r="I2060" s="1" t="s">
        <v>42</v>
      </c>
      <c r="J2060" s="1" t="s">
        <v>51</v>
      </c>
      <c r="K2060" s="1" t="s">
        <v>11797</v>
      </c>
      <c r="L2060" s="1" t="s">
        <v>11798</v>
      </c>
      <c r="M2060" s="2" t="s">
        <v>12</v>
      </c>
      <c r="N2060" s="4">
        <f t="shared" si="1"/>
        <v>44076</v>
      </c>
      <c r="O2060" s="5" t="str">
        <f>IFERROR(__xludf.DUMMYFUNCTION("IF(REGEXMATCH(TRIM(I2060), ""^\d+\s*min""), ""Unclassified"", IF(I2060 = """", ""NR"", I2060))"),"TV-MA")</f>
        <v>TV-MA</v>
      </c>
      <c r="R2060" s="5" t="str">
        <f t="shared" si="2"/>
        <v>The Witcher: A Look Inside The Episodes</v>
      </c>
      <c r="S2060" s="5" t="str">
        <f>IFERROR(__xludf.DUMMYFUNCTION("""COMPUTED_VALUE"""),"Doom: Annihilation")</f>
        <v>Doom: Annihilation</v>
      </c>
      <c r="U2060" s="5" t="str">
        <f>IFERROR(__xludf.DUMMYFUNCTION("""COMPUTED_VALUE"""),"Hasan Karacadağ")</f>
        <v>Hasan Karacadağ</v>
      </c>
      <c r="V2060" s="5" t="s">
        <v>11799</v>
      </c>
      <c r="W2060" s="5" t="str">
        <f t="shared" si="3"/>
        <v>Jos Humphrey</v>
      </c>
      <c r="X2060" s="5">
        <f t="shared" si="4"/>
        <v>1</v>
      </c>
      <c r="Y2060" s="5" t="str">
        <f>IFERROR(__xludf.DUMMYFUNCTION("REGEXEXTRACT(J2060, ""^\d+"")"),"1")</f>
        <v>1</v>
      </c>
      <c r="Z2060" s="5" t="str">
        <f>IFERROR(__xludf.DUMMYFUNCTION("REGEXEXTRACT(J2060, ""[A-Za-z ]+$"")")," Season")</f>
        <v> Season</v>
      </c>
      <c r="AA2060" s="5" t="str">
        <f>IFERROR(__xludf.DUMMYFUNCTION("IF(REGEXMATCH(Z2060, ""Season""), ""TV Show"", ""Movie"")"),"TV Show")</f>
        <v>TV Show</v>
      </c>
    </row>
    <row r="2061">
      <c r="A2061" s="1" t="s">
        <v>11800</v>
      </c>
      <c r="B2061" s="1" t="s">
        <v>27</v>
      </c>
      <c r="C2061" s="1" t="s">
        <v>11801</v>
      </c>
      <c r="D2061" s="1" t="s">
        <v>2933</v>
      </c>
      <c r="E2061" s="1" t="s">
        <v>11802</v>
      </c>
      <c r="F2061" s="1" t="s">
        <v>11803</v>
      </c>
      <c r="G2061" s="1" t="s">
        <v>11804</v>
      </c>
      <c r="H2061" s="1">
        <v>2018.0</v>
      </c>
      <c r="I2061" s="1" t="s">
        <v>32</v>
      </c>
      <c r="J2061" s="1" t="s">
        <v>322</v>
      </c>
      <c r="K2061" s="1" t="s">
        <v>2866</v>
      </c>
      <c r="L2061" s="1" t="s">
        <v>11805</v>
      </c>
      <c r="M2061" s="2" t="s">
        <v>12</v>
      </c>
      <c r="N2061" s="4">
        <f t="shared" si="1"/>
        <v>44075</v>
      </c>
      <c r="O2061" s="5" t="str">
        <f>IFERROR(__xludf.DUMMYFUNCTION("IF(REGEXMATCH(TRIM(I2061), ""^\d+\s*min""), ""Unclassified"", IF(I2061 = """", ""NR"", I2061))"),"PG-13")</f>
        <v>PG-13</v>
      </c>
      <c r="R2061" s="5" t="str">
        <f t="shared" si="2"/>
        <v>Adrift</v>
      </c>
      <c r="S2061" s="5" t="str">
        <f>IFERROR(__xludf.DUMMYFUNCTION("""COMPUTED_VALUE"""),"Doomsday Preppers")</f>
        <v>Doomsday Preppers</v>
      </c>
      <c r="U2061" s="5" t="str">
        <f>IFERROR(__xludf.DUMMYFUNCTION("""COMPUTED_VALUE"""),"Chris Nelson")</f>
        <v>Chris Nelson</v>
      </c>
      <c r="V2061" s="5" t="s">
        <v>11806</v>
      </c>
      <c r="W2061" s="5" t="str">
        <f t="shared" si="3"/>
        <v>José Eduardo Belmonte</v>
      </c>
      <c r="X2061" s="5">
        <f t="shared" si="4"/>
        <v>1</v>
      </c>
      <c r="Y2061" s="5" t="str">
        <f>IFERROR(__xludf.DUMMYFUNCTION("REGEXEXTRACT(J2061, ""^\d+"")"),"96")</f>
        <v>96</v>
      </c>
      <c r="Z2061" s="5" t="str">
        <f>IFERROR(__xludf.DUMMYFUNCTION("REGEXEXTRACT(J2061, ""[A-Za-z ]+$"")")," min")</f>
        <v> min</v>
      </c>
      <c r="AA2061" s="5" t="str">
        <f>IFERROR(__xludf.DUMMYFUNCTION("IF(REGEXMATCH(Z2061, ""Season""), ""TV Show"", ""Movie"")"),"Movie")</f>
        <v>Movie</v>
      </c>
    </row>
    <row r="2062">
      <c r="A2062" s="1" t="s">
        <v>11807</v>
      </c>
      <c r="B2062" s="1" t="s">
        <v>27</v>
      </c>
      <c r="C2062" s="1" t="s">
        <v>11808</v>
      </c>
      <c r="D2062" s="1" t="s">
        <v>5442</v>
      </c>
      <c r="E2062" s="1" t="s">
        <v>11809</v>
      </c>
      <c r="F2062" s="1" t="s">
        <v>4287</v>
      </c>
      <c r="G2062" s="1" t="s">
        <v>11804</v>
      </c>
      <c r="H2062" s="1">
        <v>2016.0</v>
      </c>
      <c r="I2062" s="1" t="s">
        <v>97</v>
      </c>
      <c r="J2062" s="1" t="s">
        <v>1243</v>
      </c>
      <c r="K2062" s="1" t="s">
        <v>3183</v>
      </c>
      <c r="L2062" s="1" t="s">
        <v>11810</v>
      </c>
      <c r="M2062" s="2" t="s">
        <v>12</v>
      </c>
      <c r="N2062" s="4">
        <f t="shared" si="1"/>
        <v>44075</v>
      </c>
      <c r="O2062" s="5" t="str">
        <f>IFERROR(__xludf.DUMMYFUNCTION("IF(REGEXMATCH(TRIM(I2062), ""^\d+\s*min""), ""Unclassified"", IF(I2062 = """", ""NR"", I2062))"),"TV-14")</f>
        <v>TV-14</v>
      </c>
      <c r="R2062" s="5" t="str">
        <f t="shared" si="2"/>
        <v>Always Be My Maybe</v>
      </c>
      <c r="S2062" s="5" t="str">
        <f>IFERROR(__xludf.DUMMYFUNCTION("""COMPUTED_VALUE"""),"Door Ke Darshan")</f>
        <v>Door Ke Darshan</v>
      </c>
      <c r="U2062" s="5" t="str">
        <f>IFERROR(__xludf.DUMMYFUNCTION("""COMPUTED_VALUE"""),"Lee Kyoungmi, Yim Pilsung, Jeon Go-Woon, Kim Jong-Kwan")</f>
        <v>Lee Kyoungmi, Yim Pilsung, Jeon Go-Woon, Kim Jong-Kwan</v>
      </c>
      <c r="V2062" s="5" t="s">
        <v>6802</v>
      </c>
      <c r="W2062" s="5" t="str">
        <f t="shared" si="3"/>
        <v>Jose Gomez</v>
      </c>
      <c r="X2062" s="5">
        <f t="shared" si="4"/>
        <v>1</v>
      </c>
      <c r="Y2062" s="5" t="str">
        <f>IFERROR(__xludf.DUMMYFUNCTION("REGEXEXTRACT(J2062, ""^\d+"")"),"112")</f>
        <v>112</v>
      </c>
      <c r="Z2062" s="5" t="str">
        <f>IFERROR(__xludf.DUMMYFUNCTION("REGEXEXTRACT(J2062, ""[A-Za-z ]+$"")")," min")</f>
        <v> min</v>
      </c>
      <c r="AA2062" s="5" t="str">
        <f>IFERROR(__xludf.DUMMYFUNCTION("IF(REGEXMATCH(Z2062, ""Season""), ""TV Show"", ""Movie"")"),"Movie")</f>
        <v>Movie</v>
      </c>
    </row>
    <row r="2063">
      <c r="A2063" s="1" t="s">
        <v>11811</v>
      </c>
      <c r="B2063" s="1" t="s">
        <v>27</v>
      </c>
      <c r="C2063" s="1" t="s">
        <v>11812</v>
      </c>
      <c r="D2063" s="1" t="s">
        <v>5157</v>
      </c>
      <c r="E2063" s="1" t="s">
        <v>11813</v>
      </c>
      <c r="F2063" s="1" t="s">
        <v>4615</v>
      </c>
      <c r="G2063" s="1" t="s">
        <v>11804</v>
      </c>
      <c r="H2063" s="1">
        <v>2020.0</v>
      </c>
      <c r="I2063" s="1" t="s">
        <v>206</v>
      </c>
      <c r="J2063" s="1" t="s">
        <v>4699</v>
      </c>
      <c r="K2063" s="1" t="s">
        <v>920</v>
      </c>
      <c r="L2063" s="1" t="s">
        <v>11814</v>
      </c>
      <c r="M2063" s="2" t="s">
        <v>12</v>
      </c>
      <c r="N2063" s="4">
        <f t="shared" si="1"/>
        <v>44075</v>
      </c>
      <c r="O2063" s="5" t="str">
        <f>IFERROR(__xludf.DUMMYFUNCTION("IF(REGEXMATCH(TRIM(I2063), ""^\d+\s*min""), ""Unclassified"", IF(I2063 = """", ""NR"", I2063))"),"TV-Y")</f>
        <v>TV-Y</v>
      </c>
      <c r="R2063" s="5" t="str">
        <f t="shared" si="2"/>
        <v>Barbie Princess Adventure</v>
      </c>
      <c r="S2063" s="5" t="str">
        <f>IFERROR(__xludf.DUMMYFUNCTION("""COMPUTED_VALUE"""),"Dope")</f>
        <v>Dope</v>
      </c>
      <c r="U2063" s="5" t="str">
        <f>IFERROR(__xludf.DUMMYFUNCTION("""COMPUTED_VALUE"""),"John R. Leonetti")</f>
        <v>John R. Leonetti</v>
      </c>
      <c r="V2063" s="5" t="s">
        <v>3869</v>
      </c>
      <c r="W2063" s="5" t="str">
        <f t="shared" si="3"/>
        <v>Jose Javier Reyes</v>
      </c>
      <c r="X2063" s="5">
        <f t="shared" si="4"/>
        <v>1</v>
      </c>
      <c r="Y2063" s="5" t="str">
        <f>IFERROR(__xludf.DUMMYFUNCTION("REGEXEXTRACT(J2063, ""^\d+"")"),"72")</f>
        <v>72</v>
      </c>
      <c r="Z2063" s="5" t="str">
        <f>IFERROR(__xludf.DUMMYFUNCTION("REGEXEXTRACT(J2063, ""[A-Za-z ]+$"")")," min")</f>
        <v> min</v>
      </c>
      <c r="AA2063" s="5" t="str">
        <f>IFERROR(__xludf.DUMMYFUNCTION("IF(REGEXMATCH(Z2063, ""Season""), ""TV Show"", ""Movie"")"),"Movie")</f>
        <v>Movie</v>
      </c>
    </row>
    <row r="2064">
      <c r="A2064" s="1" t="s">
        <v>11815</v>
      </c>
      <c r="B2064" s="1" t="s">
        <v>37</v>
      </c>
      <c r="C2064" s="1" t="s">
        <v>11816</v>
      </c>
      <c r="E2064" s="1" t="s">
        <v>11817</v>
      </c>
      <c r="F2064" s="1" t="s">
        <v>415</v>
      </c>
      <c r="G2064" s="1" t="s">
        <v>11804</v>
      </c>
      <c r="H2064" s="1">
        <v>2017.0</v>
      </c>
      <c r="I2064" s="1" t="s">
        <v>42</v>
      </c>
      <c r="J2064" s="1" t="s">
        <v>43</v>
      </c>
      <c r="K2064" s="1" t="s">
        <v>567</v>
      </c>
      <c r="L2064" s="1" t="s">
        <v>11818</v>
      </c>
      <c r="M2064" s="2" t="s">
        <v>12</v>
      </c>
      <c r="N2064" s="4">
        <f t="shared" si="1"/>
        <v>44075</v>
      </c>
      <c r="O2064" s="5" t="str">
        <f>IFERROR(__xludf.DUMMYFUNCTION("IF(REGEXMATCH(TRIM(I2064), ""^\d+\s*min""), ""Unclassified"", IF(I2064 = """", ""NR"", I2064))"),"TV-MA")</f>
        <v>TV-MA</v>
      </c>
      <c r="R2064" s="5" t="str">
        <f t="shared" si="2"/>
        <v>Blue Exorcist</v>
      </c>
      <c r="S2064" s="5" t="str">
        <f>IFERROR(__xludf.DUMMYFUNCTION("""COMPUTED_VALUE"""),"Dorasaani")</f>
        <v>Dorasaani</v>
      </c>
      <c r="U2064" s="5" t="str">
        <f>IFERROR(__xludf.DUMMYFUNCTION("""COMPUTED_VALUE"""),"Jeremiah Jones")</f>
        <v>Jeremiah Jones</v>
      </c>
      <c r="V2064" s="5" t="s">
        <v>5047</v>
      </c>
      <c r="W2064" s="5" t="str">
        <f t="shared" si="3"/>
        <v>José Larraza, Marc Pons</v>
      </c>
      <c r="X2064" s="5">
        <f t="shared" si="4"/>
        <v>1</v>
      </c>
      <c r="Y2064" s="5" t="str">
        <f>IFERROR(__xludf.DUMMYFUNCTION("REGEXEXTRACT(J2064, ""^\d+"")"),"2")</f>
        <v>2</v>
      </c>
      <c r="Z2064" s="5" t="str">
        <f>IFERROR(__xludf.DUMMYFUNCTION("REGEXEXTRACT(J2064, ""[A-Za-z ]+$"")")," Seasons")</f>
        <v> Seasons</v>
      </c>
      <c r="AA2064" s="5" t="str">
        <f>IFERROR(__xludf.DUMMYFUNCTION("IF(REGEXMATCH(Z2064, ""Season""), ""TV Show"", ""Movie"")"),"TV Show")</f>
        <v>TV Show</v>
      </c>
    </row>
    <row r="2065">
      <c r="A2065" s="1" t="s">
        <v>11819</v>
      </c>
      <c r="B2065" s="1" t="s">
        <v>37</v>
      </c>
      <c r="C2065" s="1" t="s">
        <v>11820</v>
      </c>
      <c r="E2065" s="1" t="s">
        <v>11821</v>
      </c>
      <c r="F2065" s="1" t="s">
        <v>30</v>
      </c>
      <c r="G2065" s="1" t="s">
        <v>11804</v>
      </c>
      <c r="H2065" s="1">
        <v>2020.0</v>
      </c>
      <c r="I2065" s="1" t="s">
        <v>206</v>
      </c>
      <c r="J2065" s="1" t="s">
        <v>51</v>
      </c>
      <c r="K2065" s="1" t="s">
        <v>290</v>
      </c>
      <c r="L2065" s="1" t="s">
        <v>11822</v>
      </c>
      <c r="M2065" s="2" t="s">
        <v>12</v>
      </c>
      <c r="N2065" s="4">
        <f t="shared" si="1"/>
        <v>44075</v>
      </c>
      <c r="O2065" s="5" t="str">
        <f>IFERROR(__xludf.DUMMYFUNCTION("IF(REGEXMATCH(TRIM(I2065), ""^\d+\s*min""), ""Unclassified"", IF(I2065 = """", ""NR"", I2065))"),"TV-Y")</f>
        <v>TV-Y</v>
      </c>
      <c r="R2065" s="5" t="str">
        <f t="shared" si="2"/>
        <v>Bookmarks</v>
      </c>
      <c r="S2065" s="5" t="str">
        <f>IFERROR(__xludf.DUMMYFUNCTION("""COMPUTED_VALUE"""),"Dorohedoro")</f>
        <v>Dorohedoro</v>
      </c>
      <c r="U2065" s="5" t="str">
        <f>IFERROR(__xludf.DUMMYFUNCTION("""COMPUTED_VALUE"""),"Brie Larson")</f>
        <v>Brie Larson</v>
      </c>
      <c r="V2065" s="5" t="s">
        <v>11823</v>
      </c>
      <c r="W2065" s="5" t="str">
        <f t="shared" si="3"/>
        <v>Jose Manuel Colón</v>
      </c>
      <c r="X2065" s="5">
        <f t="shared" si="4"/>
        <v>2</v>
      </c>
      <c r="Y2065" s="5" t="str">
        <f>IFERROR(__xludf.DUMMYFUNCTION("REGEXEXTRACT(J2065, ""^\d+"")"),"1")</f>
        <v>1</v>
      </c>
      <c r="Z2065" s="5" t="str">
        <f>IFERROR(__xludf.DUMMYFUNCTION("REGEXEXTRACT(J2065, ""[A-Za-z ]+$"")")," Season")</f>
        <v> Season</v>
      </c>
      <c r="AA2065" s="5" t="str">
        <f>IFERROR(__xludf.DUMMYFUNCTION("IF(REGEXMATCH(Z2065, ""Season""), ""TV Show"", ""Movie"")"),"TV Show")</f>
        <v>TV Show</v>
      </c>
    </row>
    <row r="2066">
      <c r="A2066" s="1" t="s">
        <v>11824</v>
      </c>
      <c r="B2066" s="1" t="s">
        <v>37</v>
      </c>
      <c r="C2066" s="1" t="s">
        <v>11825</v>
      </c>
      <c r="E2066" s="1" t="s">
        <v>11826</v>
      </c>
      <c r="F2066" s="1" t="s">
        <v>4478</v>
      </c>
      <c r="G2066" s="1" t="s">
        <v>11804</v>
      </c>
      <c r="H2066" s="1">
        <v>2012.0</v>
      </c>
      <c r="I2066" s="1" t="s">
        <v>42</v>
      </c>
      <c r="J2066" s="1" t="s">
        <v>276</v>
      </c>
      <c r="K2066" s="1" t="s">
        <v>402</v>
      </c>
      <c r="L2066" s="1" t="s">
        <v>11827</v>
      </c>
      <c r="M2066" s="2" t="s">
        <v>12</v>
      </c>
      <c r="N2066" s="4">
        <f t="shared" si="1"/>
        <v>44075</v>
      </c>
      <c r="O2066" s="5" t="str">
        <f>IFERROR(__xludf.DUMMYFUNCTION("IF(REGEXMATCH(TRIM(I2066), ""^\d+\s*min""), ""Unclassified"", IF(I2066 = """", ""NR"", I2066))"),"TV-MA")</f>
        <v>TV-MA</v>
      </c>
      <c r="R2066" s="5" t="str">
        <f t="shared" si="2"/>
        <v>Borgen</v>
      </c>
      <c r="S2066" s="5" t="str">
        <f>IFERROR(__xludf.DUMMYFUNCTION("""COMPUTED_VALUE"""),"Dostana")</f>
        <v>Dostana</v>
      </c>
      <c r="U2066" s="5" t="str">
        <f>IFERROR(__xludf.DUMMYFUNCTION("""COMPUTED_VALUE"""),"Rocky Soraya, Anggy Umbara")</f>
        <v>Rocky Soraya, Anggy Umbara</v>
      </c>
      <c r="V2066" s="5" t="s">
        <v>11828</v>
      </c>
      <c r="W2066" s="5" t="str">
        <f t="shared" si="3"/>
        <v>José Miguel Contreras</v>
      </c>
      <c r="X2066" s="5">
        <f t="shared" si="4"/>
        <v>1</v>
      </c>
      <c r="Y2066" s="5" t="str">
        <f>IFERROR(__xludf.DUMMYFUNCTION("REGEXEXTRACT(J2066, ""^\d+"")"),"3")</f>
        <v>3</v>
      </c>
      <c r="Z2066" s="5" t="str">
        <f>IFERROR(__xludf.DUMMYFUNCTION("REGEXEXTRACT(J2066, ""[A-Za-z ]+$"")")," Seasons")</f>
        <v> Seasons</v>
      </c>
      <c r="AA2066" s="5" t="str">
        <f>IFERROR(__xludf.DUMMYFUNCTION("IF(REGEXMATCH(Z2066, ""Season""), ""TV Show"", ""Movie"")"),"TV Show")</f>
        <v>TV Show</v>
      </c>
    </row>
    <row r="2067">
      <c r="A2067" s="1" t="s">
        <v>11829</v>
      </c>
      <c r="B2067" s="1" t="s">
        <v>27</v>
      </c>
      <c r="C2067" s="1" t="s">
        <v>11830</v>
      </c>
      <c r="D2067" s="1" t="s">
        <v>2848</v>
      </c>
      <c r="E2067" s="1" t="s">
        <v>11831</v>
      </c>
      <c r="F2067" s="1" t="s">
        <v>6651</v>
      </c>
      <c r="G2067" s="1" t="s">
        <v>11804</v>
      </c>
      <c r="H2067" s="1">
        <v>2019.0</v>
      </c>
      <c r="I2067" s="1" t="s">
        <v>136</v>
      </c>
      <c r="J2067" s="1" t="s">
        <v>1243</v>
      </c>
      <c r="K2067" s="1" t="s">
        <v>11832</v>
      </c>
      <c r="L2067" s="1" t="s">
        <v>11833</v>
      </c>
      <c r="M2067" s="2" t="s">
        <v>12</v>
      </c>
      <c r="N2067" s="4">
        <f t="shared" si="1"/>
        <v>44075</v>
      </c>
      <c r="O2067" s="5" t="str">
        <f>IFERROR(__xludf.DUMMYFUNCTION("IF(REGEXMATCH(TRIM(I2067), ""^\d+\s*min""), ""Unclassified"", IF(I2067 = """", ""NR"", I2067))"),"TV-PG")</f>
        <v>TV-PG</v>
      </c>
      <c r="R2067" s="5" t="str">
        <f t="shared" si="2"/>
        <v>Children Of The Sea</v>
      </c>
      <c r="S2067" s="5" t="str">
        <f>IFERROR(__xludf.DUMMYFUNCTION("""COMPUTED_VALUE"""),"Dota: Dragon'S Blood")</f>
        <v>Dota: Dragon'S Blood</v>
      </c>
      <c r="U2067" s="5" t="str">
        <f>IFERROR(__xludf.DUMMYFUNCTION("""COMPUTED_VALUE"""),"Shelly Chopra Dhar")</f>
        <v>Shelly Chopra Dhar</v>
      </c>
      <c r="V2067" s="5" t="s">
        <v>11834</v>
      </c>
      <c r="W2067" s="5" t="str">
        <f t="shared" si="3"/>
        <v>Joseduardo Giordano, Sergio Goyri Jr.</v>
      </c>
      <c r="X2067" s="5">
        <f t="shared" si="4"/>
        <v>1</v>
      </c>
      <c r="Y2067" s="5" t="str">
        <f>IFERROR(__xludf.DUMMYFUNCTION("REGEXEXTRACT(J2067, ""^\d+"")"),"112")</f>
        <v>112</v>
      </c>
      <c r="Z2067" s="5" t="str">
        <f>IFERROR(__xludf.DUMMYFUNCTION("REGEXEXTRACT(J2067, ""[A-Za-z ]+$"")")," min")</f>
        <v> min</v>
      </c>
      <c r="AA2067" s="5" t="str">
        <f>IFERROR(__xludf.DUMMYFUNCTION("IF(REGEXMATCH(Z2067, ""Season""), ""TV Show"", ""Movie"")"),"Movie")</f>
        <v>Movie</v>
      </c>
    </row>
    <row r="2068">
      <c r="A2068" s="1" t="s">
        <v>11835</v>
      </c>
      <c r="B2068" s="1" t="s">
        <v>37</v>
      </c>
      <c r="C2068" s="1" t="s">
        <v>11836</v>
      </c>
      <c r="E2068" s="1" t="s">
        <v>11837</v>
      </c>
      <c r="F2068" s="1" t="s">
        <v>415</v>
      </c>
      <c r="G2068" s="1" t="s">
        <v>11804</v>
      </c>
      <c r="H2068" s="1">
        <v>2016.0</v>
      </c>
      <c r="I2068" s="1" t="s">
        <v>97</v>
      </c>
      <c r="J2068" s="1" t="s">
        <v>51</v>
      </c>
      <c r="K2068" s="1" t="s">
        <v>2161</v>
      </c>
      <c r="L2068" s="1" t="s">
        <v>11838</v>
      </c>
      <c r="M2068" s="2" t="s">
        <v>12</v>
      </c>
      <c r="N2068" s="4">
        <f t="shared" si="1"/>
        <v>44075</v>
      </c>
      <c r="O2068" s="5" t="str">
        <f>IFERROR(__xludf.DUMMYFUNCTION("IF(REGEXMATCH(TRIM(I2068), ""^\d+\s*min""), ""Unclassified"", IF(I2068 = """", ""NR"", I2068))"),"TV-14")</f>
        <v>TV-14</v>
      </c>
      <c r="R2068" s="5" t="str">
        <f t="shared" si="2"/>
        <v>Erased</v>
      </c>
      <c r="S2068" s="5" t="str">
        <f>IFERROR(__xludf.DUMMYFUNCTION("""COMPUTED_VALUE"""),"Double Dad")</f>
        <v>Double Dad</v>
      </c>
      <c r="U2068" s="5" t="str">
        <f>IFERROR(__xludf.DUMMYFUNCTION("""COMPUTED_VALUE"""),"Shanjey Kumar Perumal")</f>
        <v>Shanjey Kumar Perumal</v>
      </c>
      <c r="V2068" s="5" t="s">
        <v>10596</v>
      </c>
      <c r="W2068" s="5" t="str">
        <f t="shared" si="3"/>
        <v>Josef Fares</v>
      </c>
      <c r="X2068" s="5">
        <f t="shared" si="4"/>
        <v>1</v>
      </c>
      <c r="Y2068" s="5" t="str">
        <f>IFERROR(__xludf.DUMMYFUNCTION("REGEXEXTRACT(J2068, ""^\d+"")"),"1")</f>
        <v>1</v>
      </c>
      <c r="Z2068" s="5" t="str">
        <f>IFERROR(__xludf.DUMMYFUNCTION("REGEXEXTRACT(J2068, ""[A-Za-z ]+$"")")," Season")</f>
        <v> Season</v>
      </c>
      <c r="AA2068" s="5" t="str">
        <f>IFERROR(__xludf.DUMMYFUNCTION("IF(REGEXMATCH(Z2068, ""Season""), ""TV Show"", ""Movie"")"),"TV Show")</f>
        <v>TV Show</v>
      </c>
    </row>
    <row r="2069">
      <c r="A2069" s="1" t="s">
        <v>11839</v>
      </c>
      <c r="B2069" s="1" t="s">
        <v>27</v>
      </c>
      <c r="C2069" s="1" t="s">
        <v>11840</v>
      </c>
      <c r="D2069" s="1" t="s">
        <v>9367</v>
      </c>
      <c r="E2069" s="1" t="s">
        <v>11841</v>
      </c>
      <c r="F2069" s="1" t="s">
        <v>415</v>
      </c>
      <c r="G2069" s="1" t="s">
        <v>11804</v>
      </c>
      <c r="H2069" s="1">
        <v>2016.0</v>
      </c>
      <c r="I2069" s="1" t="s">
        <v>97</v>
      </c>
      <c r="J2069" s="1" t="s">
        <v>4699</v>
      </c>
      <c r="K2069" s="1" t="s">
        <v>417</v>
      </c>
      <c r="L2069" s="1" t="s">
        <v>11842</v>
      </c>
      <c r="M2069" s="2" t="s">
        <v>12</v>
      </c>
      <c r="N2069" s="4">
        <f t="shared" si="1"/>
        <v>44075</v>
      </c>
      <c r="O2069" s="5" t="str">
        <f>IFERROR(__xludf.DUMMYFUNCTION("IF(REGEXMATCH(TRIM(I2069), ""^\d+\s*min""), ""Unclassified"", IF(I2069 = """", ""NR"", I2069))"),"TV-14")</f>
        <v>TV-14</v>
      </c>
      <c r="R2069" s="5" t="str">
        <f t="shared" si="2"/>
        <v>Fate/Grand Order -First Order-</v>
      </c>
      <c r="S2069" s="5" t="str">
        <f>IFERROR(__xludf.DUMMYFUNCTION("""COMPUTED_VALUE"""),"Double Jeopardy")</f>
        <v>Double Jeopardy</v>
      </c>
      <c r="U2069" s="5" t="str">
        <f>IFERROR(__xludf.DUMMYFUNCTION("""COMPUTED_VALUE"""),"Tianyu Zhao")</f>
        <v>Tianyu Zhao</v>
      </c>
      <c r="V2069" s="5" t="s">
        <v>11843</v>
      </c>
      <c r="W2069" s="5" t="str">
        <f t="shared" si="3"/>
        <v>Joseph Cross</v>
      </c>
      <c r="X2069" s="5">
        <f t="shared" si="4"/>
        <v>1</v>
      </c>
      <c r="Y2069" s="5" t="str">
        <f>IFERROR(__xludf.DUMMYFUNCTION("REGEXEXTRACT(J2069, ""^\d+"")"),"72")</f>
        <v>72</v>
      </c>
      <c r="Z2069" s="5" t="str">
        <f>IFERROR(__xludf.DUMMYFUNCTION("REGEXEXTRACT(J2069, ""[A-Za-z ]+$"")")," min")</f>
        <v> min</v>
      </c>
      <c r="AA2069" s="5" t="str">
        <f>IFERROR(__xludf.DUMMYFUNCTION("IF(REGEXMATCH(Z2069, ""Season""), ""TV Show"", ""Movie"")"),"Movie")</f>
        <v>Movie</v>
      </c>
    </row>
    <row r="2070">
      <c r="A2070" s="1" t="s">
        <v>11844</v>
      </c>
      <c r="B2070" s="1" t="s">
        <v>37</v>
      </c>
      <c r="C2070" s="1" t="s">
        <v>11845</v>
      </c>
      <c r="E2070" s="1" t="s">
        <v>11846</v>
      </c>
      <c r="F2070" s="1" t="s">
        <v>30</v>
      </c>
      <c r="G2070" s="1" t="s">
        <v>11804</v>
      </c>
      <c r="H2070" s="1">
        <v>2020.0</v>
      </c>
      <c r="I2070" s="1" t="s">
        <v>42</v>
      </c>
      <c r="J2070" s="1" t="s">
        <v>51</v>
      </c>
      <c r="K2070" s="1" t="s">
        <v>2512</v>
      </c>
      <c r="L2070" s="1" t="s">
        <v>11847</v>
      </c>
      <c r="M2070" s="2" t="s">
        <v>12</v>
      </c>
      <c r="N2070" s="4">
        <f t="shared" si="1"/>
        <v>44075</v>
      </c>
      <c r="O2070" s="5" t="str">
        <f>IFERROR(__xludf.DUMMYFUNCTION("IF(REGEXMATCH(TRIM(I2070), ""^\d+\s*min""), ""Unclassified"", IF(I2070 = """", ""NR"", I2070))"),"TV-MA")</f>
        <v>TV-MA</v>
      </c>
      <c r="R2070" s="5" t="str">
        <f t="shared" si="2"/>
        <v>Felipe Esparza: Bad Decisions</v>
      </c>
      <c r="S2070" s="5" t="str">
        <f>IFERROR(__xludf.DUMMYFUNCTION("""COMPUTED_VALUE"""),"Double World")</f>
        <v>Double World</v>
      </c>
      <c r="U2070" s="5" t="str">
        <f>IFERROR(__xludf.DUMMYFUNCTION("""COMPUTED_VALUE"""),"Shazia Ali Khan")</f>
        <v>Shazia Ali Khan</v>
      </c>
      <c r="V2070" s="5" t="s">
        <v>7895</v>
      </c>
      <c r="W2070" s="5" t="str">
        <f t="shared" si="3"/>
        <v>Joseph Hsu</v>
      </c>
      <c r="X2070" s="5">
        <f t="shared" si="4"/>
        <v>1</v>
      </c>
      <c r="Y2070" s="5" t="str">
        <f>IFERROR(__xludf.DUMMYFUNCTION("REGEXEXTRACT(J2070, ""^\d+"")"),"1")</f>
        <v>1</v>
      </c>
      <c r="Z2070" s="5" t="str">
        <f>IFERROR(__xludf.DUMMYFUNCTION("REGEXEXTRACT(J2070, ""[A-Za-z ]+$"")")," Season")</f>
        <v> Season</v>
      </c>
      <c r="AA2070" s="5" t="str">
        <f>IFERROR(__xludf.DUMMYFUNCTION("IF(REGEXMATCH(Z2070, ""Season""), ""TV Show"", ""Movie"")"),"TV Show")</f>
        <v>TV Show</v>
      </c>
    </row>
    <row r="2071">
      <c r="A2071" s="1" t="s">
        <v>11848</v>
      </c>
      <c r="B2071" s="1" t="s">
        <v>37</v>
      </c>
      <c r="C2071" s="1" t="s">
        <v>11849</v>
      </c>
      <c r="E2071" s="1" t="s">
        <v>11850</v>
      </c>
      <c r="F2071" s="1" t="s">
        <v>664</v>
      </c>
      <c r="G2071" s="1" t="s">
        <v>11804</v>
      </c>
      <c r="H2071" s="1">
        <v>2002.0</v>
      </c>
      <c r="I2071" s="1" t="s">
        <v>42</v>
      </c>
      <c r="J2071" s="1" t="s">
        <v>148</v>
      </c>
      <c r="K2071" s="1" t="s">
        <v>1294</v>
      </c>
      <c r="L2071" s="1" t="s">
        <v>11851</v>
      </c>
      <c r="M2071" s="2" t="s">
        <v>12</v>
      </c>
      <c r="N2071" s="4">
        <f t="shared" si="1"/>
        <v>44075</v>
      </c>
      <c r="O2071" s="5" t="str">
        <f>IFERROR(__xludf.DUMMYFUNCTION("IF(REGEXMATCH(TRIM(I2071), ""^\d+\s*min""), ""Unclassified"", IF(I2071 = """", ""NR"", I2071))"),"TV-MA")</f>
        <v>TV-MA</v>
      </c>
      <c r="R2071" s="5" t="str">
        <f t="shared" si="2"/>
        <v>H</v>
      </c>
      <c r="S2071" s="5" t="str">
        <f>IFERROR(__xludf.DUMMYFUNCTION("""COMPUTED_VALUE"""),"Doubles Cause Troubles")</f>
        <v>Doubles Cause Troubles</v>
      </c>
      <c r="U2071" s="5" t="str">
        <f>IFERROR(__xludf.DUMMYFUNCTION("""COMPUTED_VALUE"""),"Erik White")</f>
        <v>Erik White</v>
      </c>
      <c r="V2071" s="5" t="s">
        <v>11852</v>
      </c>
      <c r="W2071" s="5" t="str">
        <f t="shared" si="3"/>
        <v>Joseph Mbah</v>
      </c>
      <c r="X2071" s="5">
        <f t="shared" si="4"/>
        <v>1</v>
      </c>
      <c r="Y2071" s="5" t="str">
        <f>IFERROR(__xludf.DUMMYFUNCTION("REGEXEXTRACT(J2071, ""^\d+"")"),"4")</f>
        <v>4</v>
      </c>
      <c r="Z2071" s="5" t="str">
        <f>IFERROR(__xludf.DUMMYFUNCTION("REGEXEXTRACT(J2071, ""[A-Za-z ]+$"")")," Seasons")</f>
        <v> Seasons</v>
      </c>
      <c r="AA2071" s="5" t="str">
        <f>IFERROR(__xludf.DUMMYFUNCTION("IF(REGEXMATCH(Z2071, ""Season""), ""TV Show"", ""Movie"")"),"TV Show")</f>
        <v>TV Show</v>
      </c>
    </row>
    <row r="2072">
      <c r="A2072" s="1" t="s">
        <v>11853</v>
      </c>
      <c r="B2072" s="1" t="s">
        <v>37</v>
      </c>
      <c r="C2072" s="1" t="s">
        <v>11854</v>
      </c>
      <c r="E2072" s="1" t="s">
        <v>11855</v>
      </c>
      <c r="F2072" s="1" t="s">
        <v>11856</v>
      </c>
      <c r="G2072" s="1" t="s">
        <v>11804</v>
      </c>
      <c r="H2072" s="1">
        <v>2020.0</v>
      </c>
      <c r="I2072" s="1" t="s">
        <v>289</v>
      </c>
      <c r="J2072" s="1" t="s">
        <v>51</v>
      </c>
      <c r="K2072" s="1" t="s">
        <v>290</v>
      </c>
      <c r="L2072" s="1" t="s">
        <v>11857</v>
      </c>
      <c r="M2072" s="2" t="s">
        <v>12</v>
      </c>
      <c r="N2072" s="4">
        <f t="shared" si="1"/>
        <v>44075</v>
      </c>
      <c r="O2072" s="5" t="str">
        <f>IFERROR(__xludf.DUMMYFUNCTION("IF(REGEXMATCH(TRIM(I2072), ""^\d+\s*min""), ""Unclassified"", IF(I2072 = """", ""NR"", I2072))"),"TV-Y7")</f>
        <v>TV-Y7</v>
      </c>
      <c r="R2072" s="5" t="str">
        <f t="shared" si="2"/>
        <v>Heidi</v>
      </c>
      <c r="S2072" s="5" t="str">
        <f>IFERROR(__xludf.DUMMYFUNCTION("""COMPUTED_VALUE"""),"Doubt")</f>
        <v>Doubt</v>
      </c>
      <c r="U2072" s="5" t="str">
        <f>IFERROR(__xludf.DUMMYFUNCTION("""COMPUTED_VALUE"""),"Owen Egerton")</f>
        <v>Owen Egerton</v>
      </c>
      <c r="V2072" s="5" t="s">
        <v>11858</v>
      </c>
      <c r="W2072" s="5" t="str">
        <f t="shared" si="3"/>
        <v>Joseph Ruben</v>
      </c>
      <c r="X2072" s="5">
        <f t="shared" si="4"/>
        <v>1</v>
      </c>
      <c r="Y2072" s="5" t="str">
        <f>IFERROR(__xludf.DUMMYFUNCTION("REGEXEXTRACT(J2072, ""^\d+"")"),"1")</f>
        <v>1</v>
      </c>
      <c r="Z2072" s="5" t="str">
        <f>IFERROR(__xludf.DUMMYFUNCTION("REGEXEXTRACT(J2072, ""[A-Za-z ]+$"")")," Season")</f>
        <v> Season</v>
      </c>
      <c r="AA2072" s="5" t="str">
        <f>IFERROR(__xludf.DUMMYFUNCTION("IF(REGEXMATCH(Z2072, ""Season""), ""TV Show"", ""Movie"")"),"TV Show")</f>
        <v>TV Show</v>
      </c>
    </row>
    <row r="2073">
      <c r="A2073" s="1" t="s">
        <v>11859</v>
      </c>
      <c r="B2073" s="1" t="s">
        <v>27</v>
      </c>
      <c r="C2073" s="1" t="s">
        <v>11860</v>
      </c>
      <c r="D2073" s="1" t="s">
        <v>4749</v>
      </c>
      <c r="E2073" s="1" t="s">
        <v>11861</v>
      </c>
      <c r="F2073" s="1" t="s">
        <v>30</v>
      </c>
      <c r="G2073" s="1" t="s">
        <v>11804</v>
      </c>
      <c r="H2073" s="1">
        <v>2011.0</v>
      </c>
      <c r="I2073" s="1" t="s">
        <v>78</v>
      </c>
      <c r="J2073" s="1" t="s">
        <v>665</v>
      </c>
      <c r="K2073" s="1" t="s">
        <v>137</v>
      </c>
      <c r="L2073" s="1" t="s">
        <v>11862</v>
      </c>
      <c r="M2073" s="2" t="s">
        <v>12</v>
      </c>
      <c r="N2073" s="4">
        <f t="shared" si="1"/>
        <v>44075</v>
      </c>
      <c r="O2073" s="5" t="str">
        <f>IFERROR(__xludf.DUMMYFUNCTION("IF(REGEXMATCH(TRIM(I2073), ""^\d+\s*min""), ""Unclassified"", IF(I2073 = """", ""NR"", I2073))"),"PG")</f>
        <v>PG</v>
      </c>
      <c r="R2073" s="5" t="str">
        <f t="shared" si="2"/>
        <v>Puss In Boots</v>
      </c>
      <c r="S2073" s="5" t="str">
        <f>IFERROR(__xludf.DUMMYFUNCTION("""COMPUTED_VALUE"""),"Dovlatov")</f>
        <v>Dovlatov</v>
      </c>
      <c r="U2073" s="5" t="str">
        <f>IFERROR(__xludf.DUMMYFUNCTION("""COMPUTED_VALUE"""),"Sam ""Blitz"" Bazawule")</f>
        <v>Sam "Blitz" Bazawule</v>
      </c>
      <c r="V2073" s="5" t="s">
        <v>363</v>
      </c>
      <c r="W2073" s="5" t="str">
        <f t="shared" si="3"/>
        <v>Joseph Sargent</v>
      </c>
      <c r="X2073" s="5">
        <f t="shared" si="4"/>
        <v>1</v>
      </c>
      <c r="Y2073" s="5" t="str">
        <f>IFERROR(__xludf.DUMMYFUNCTION("REGEXEXTRACT(J2073, ""^\d+"")"),"92")</f>
        <v>92</v>
      </c>
      <c r="Z2073" s="5" t="str">
        <f>IFERROR(__xludf.DUMMYFUNCTION("REGEXEXTRACT(J2073, ""[A-Za-z ]+$"")")," min")</f>
        <v> min</v>
      </c>
      <c r="AA2073" s="5" t="str">
        <f>IFERROR(__xludf.DUMMYFUNCTION("IF(REGEXMATCH(Z2073, ""Season""), ""TV Show"", ""Movie"")"),"Movie")</f>
        <v>Movie</v>
      </c>
    </row>
    <row r="2074">
      <c r="A2074" s="1" t="s">
        <v>11863</v>
      </c>
      <c r="B2074" s="1" t="s">
        <v>27</v>
      </c>
      <c r="C2074" s="1" t="s">
        <v>11864</v>
      </c>
      <c r="D2074" s="1" t="s">
        <v>11865</v>
      </c>
      <c r="E2074" s="1" t="s">
        <v>11866</v>
      </c>
      <c r="F2074" s="1" t="s">
        <v>30</v>
      </c>
      <c r="G2074" s="1" t="s">
        <v>11804</v>
      </c>
      <c r="H2074" s="1">
        <v>2008.0</v>
      </c>
      <c r="I2074" s="1" t="s">
        <v>378</v>
      </c>
      <c r="J2074" s="1" t="s">
        <v>1065</v>
      </c>
      <c r="K2074" s="1" t="s">
        <v>239</v>
      </c>
      <c r="L2074" s="1" t="s">
        <v>11867</v>
      </c>
      <c r="M2074" s="2" t="s">
        <v>12</v>
      </c>
      <c r="N2074" s="4">
        <f t="shared" si="1"/>
        <v>44075</v>
      </c>
      <c r="O2074" s="5" t="str">
        <f>IFERROR(__xludf.DUMMYFUNCTION("IF(REGEXMATCH(TRIM(I2074), ""^\d+\s*min""), ""Unclassified"", IF(I2074 = """", ""NR"", I2074))"),"R")</f>
        <v>R</v>
      </c>
      <c r="R2074" s="5" t="str">
        <f t="shared" si="2"/>
        <v>Sex Drive</v>
      </c>
      <c r="S2074" s="5" t="str">
        <f>IFERROR(__xludf.DUMMYFUNCTION("""COMPUTED_VALUE"""),"Down The Fence")</f>
        <v>Down The Fence</v>
      </c>
      <c r="U2074" s="5" t="str">
        <f>IFERROR(__xludf.DUMMYFUNCTION("""COMPUTED_VALUE"""),"Swapnaneel Jayakar")</f>
        <v>Swapnaneel Jayakar</v>
      </c>
      <c r="V2074" s="5" t="s">
        <v>11868</v>
      </c>
      <c r="W2074" s="5" t="str">
        <f t="shared" si="3"/>
        <v>Josh Aronson</v>
      </c>
      <c r="X2074" s="5">
        <f t="shared" si="4"/>
        <v>1</v>
      </c>
      <c r="Y2074" s="5" t="str">
        <f>IFERROR(__xludf.DUMMYFUNCTION("REGEXEXTRACT(J2074, ""^\d+"")"),"109")</f>
        <v>109</v>
      </c>
      <c r="Z2074" s="5" t="str">
        <f>IFERROR(__xludf.DUMMYFUNCTION("REGEXEXTRACT(J2074, ""[A-Za-z ]+$"")")," min")</f>
        <v> min</v>
      </c>
      <c r="AA2074" s="5" t="str">
        <f>IFERROR(__xludf.DUMMYFUNCTION("IF(REGEXMATCH(Z2074, ""Season""), ""TV Show"", ""Movie"")"),"Movie")</f>
        <v>Movie</v>
      </c>
    </row>
    <row r="2075">
      <c r="A2075" s="1" t="s">
        <v>11869</v>
      </c>
      <c r="B2075" s="1" t="s">
        <v>37</v>
      </c>
      <c r="C2075" s="1" t="s">
        <v>11870</v>
      </c>
      <c r="E2075" s="1" t="s">
        <v>11871</v>
      </c>
      <c r="F2075" s="1" t="s">
        <v>30</v>
      </c>
      <c r="G2075" s="1" t="s">
        <v>11804</v>
      </c>
      <c r="H2075" s="1">
        <v>1998.0</v>
      </c>
      <c r="I2075" s="1" t="s">
        <v>136</v>
      </c>
      <c r="J2075" s="1" t="s">
        <v>439</v>
      </c>
      <c r="K2075" s="1" t="s">
        <v>7987</v>
      </c>
      <c r="L2075" s="1" t="s">
        <v>11872</v>
      </c>
      <c r="M2075" s="2" t="s">
        <v>12</v>
      </c>
      <c r="N2075" s="4">
        <f t="shared" si="1"/>
        <v>44075</v>
      </c>
      <c r="O2075" s="5" t="str">
        <f>IFERROR(__xludf.DUMMYFUNCTION("IF(REGEXMATCH(TRIM(I2075), ""^\d+\s*min""), ""Unclassified"", IF(I2075 = """", ""NR"", I2075))"),"TV-PG")</f>
        <v>TV-PG</v>
      </c>
      <c r="R2075" s="5" t="str">
        <f t="shared" si="2"/>
        <v>Sister, Sister</v>
      </c>
      <c r="S2075" s="5" t="str">
        <f>IFERROR(__xludf.DUMMYFUNCTION("""COMPUTED_VALUE"""),"Down To Earth With Zac Efron")</f>
        <v>Down To Earth With Zac Efron</v>
      </c>
      <c r="U2075" s="5" t="str">
        <f>IFERROR(__xludf.DUMMYFUNCTION("""COMPUTED_VALUE"""),"Kyzza Terrazas")</f>
        <v>Kyzza Terrazas</v>
      </c>
      <c r="V2075" s="5" t="s">
        <v>11873</v>
      </c>
      <c r="W2075" s="5" t="str">
        <f t="shared" si="3"/>
        <v>Josh Greenbaum</v>
      </c>
      <c r="X2075" s="5">
        <f t="shared" si="4"/>
        <v>1</v>
      </c>
      <c r="Y2075" s="5" t="str">
        <f>IFERROR(__xludf.DUMMYFUNCTION("REGEXEXTRACT(J2075, ""^\d+"")"),"6")</f>
        <v>6</v>
      </c>
      <c r="Z2075" s="5" t="str">
        <f>IFERROR(__xludf.DUMMYFUNCTION("REGEXEXTRACT(J2075, ""[A-Za-z ]+$"")")," Seasons")</f>
        <v> Seasons</v>
      </c>
      <c r="AA2075" s="5" t="str">
        <f>IFERROR(__xludf.DUMMYFUNCTION("IF(REGEXMATCH(Z2075, ""Season""), ""TV Show"", ""Movie"")"),"TV Show")</f>
        <v>TV Show</v>
      </c>
    </row>
    <row r="2076">
      <c r="A2076" s="1" t="s">
        <v>11874</v>
      </c>
      <c r="B2076" s="1" t="s">
        <v>27</v>
      </c>
      <c r="C2076" s="1" t="s">
        <v>11875</v>
      </c>
      <c r="D2076" s="1" t="s">
        <v>173</v>
      </c>
      <c r="E2076" s="1" t="s">
        <v>11876</v>
      </c>
      <c r="F2076" s="1" t="s">
        <v>63</v>
      </c>
      <c r="G2076" s="1" t="s">
        <v>11804</v>
      </c>
      <c r="H2076" s="1">
        <v>1998.0</v>
      </c>
      <c r="I2076" s="1" t="s">
        <v>97</v>
      </c>
      <c r="J2076" s="1" t="s">
        <v>3511</v>
      </c>
      <c r="K2076" s="1" t="s">
        <v>583</v>
      </c>
      <c r="L2076" s="1" t="s">
        <v>11877</v>
      </c>
      <c r="M2076" s="2" t="s">
        <v>12</v>
      </c>
      <c r="N2076" s="4">
        <f t="shared" si="1"/>
        <v>44075</v>
      </c>
      <c r="O2076" s="5" t="str">
        <f>IFERROR(__xludf.DUMMYFUNCTION("IF(REGEXMATCH(TRIM(I2076), ""^\d+\s*min""), ""Unclassified"", IF(I2076 = """", ""NR"", I2076))"),"TV-14")</f>
        <v>TV-14</v>
      </c>
      <c r="R2076" s="5" t="str">
        <f t="shared" si="2"/>
        <v>Soldier</v>
      </c>
      <c r="S2076" s="5" t="str">
        <f>IFERROR(__xludf.DUMMYFUNCTION("""COMPUTED_VALUE"""),"Downton Abbey")</f>
        <v>Downton Abbey</v>
      </c>
      <c r="U2076" s="5" t="str">
        <f>IFERROR(__xludf.DUMMYFUNCTION("""COMPUTED_VALUE"""),"John Lee Hancock")</f>
        <v>John Lee Hancock</v>
      </c>
      <c r="V2076" s="5" t="s">
        <v>11878</v>
      </c>
      <c r="W2076" s="5" t="str">
        <f t="shared" si="3"/>
        <v>Josh Izenberg, Wynn Padula</v>
      </c>
      <c r="X2076" s="5">
        <f t="shared" si="4"/>
        <v>1</v>
      </c>
      <c r="Y2076" s="5" t="str">
        <f>IFERROR(__xludf.DUMMYFUNCTION("REGEXEXTRACT(J2076, ""^\d+"")"),"155")</f>
        <v>155</v>
      </c>
      <c r="Z2076" s="5" t="str">
        <f>IFERROR(__xludf.DUMMYFUNCTION("REGEXEXTRACT(J2076, ""[A-Za-z ]+$"")")," min")</f>
        <v> min</v>
      </c>
      <c r="AA2076" s="5" t="str">
        <f>IFERROR(__xludf.DUMMYFUNCTION("IF(REGEXMATCH(Z2076, ""Season""), ""TV Show"", ""Movie"")"),"Movie")</f>
        <v>Movie</v>
      </c>
    </row>
    <row r="2077">
      <c r="A2077" s="1" t="s">
        <v>11879</v>
      </c>
      <c r="B2077" s="1" t="s">
        <v>27</v>
      </c>
      <c r="C2077" s="1" t="s">
        <v>11880</v>
      </c>
      <c r="D2077" s="1" t="s">
        <v>11881</v>
      </c>
      <c r="E2077" s="1" t="s">
        <v>11882</v>
      </c>
      <c r="F2077" s="1" t="s">
        <v>784</v>
      </c>
      <c r="G2077" s="1" t="s">
        <v>11804</v>
      </c>
      <c r="H2077" s="1">
        <v>2018.0</v>
      </c>
      <c r="I2077" s="1" t="s">
        <v>42</v>
      </c>
      <c r="J2077" s="1" t="s">
        <v>1065</v>
      </c>
      <c r="K2077" s="1" t="s">
        <v>520</v>
      </c>
      <c r="L2077" s="1" t="s">
        <v>11883</v>
      </c>
      <c r="M2077" s="2" t="s">
        <v>12</v>
      </c>
      <c r="N2077" s="4">
        <f t="shared" si="1"/>
        <v>44075</v>
      </c>
      <c r="O2077" s="5" t="str">
        <f>IFERROR(__xludf.DUMMYFUNCTION("IF(REGEXMATCH(TRIM(I2077), ""^\d+\s*min""), ""Unclassified"", IF(I2077 = """", ""NR"", I2077))"),"TV-MA")</f>
        <v>TV-MA</v>
      </c>
      <c r="R2077" s="5" t="str">
        <f t="shared" si="2"/>
        <v>Take The Ball, Pass The Ball</v>
      </c>
      <c r="S2077" s="5" t="str">
        <f>IFERROR(__xludf.DUMMYFUNCTION("""COMPUTED_VALUE"""),"Dr Jason Leong Hashtag Blessed")</f>
        <v>Dr Jason Leong Hashtag Blessed</v>
      </c>
      <c r="U2077" s="5" t="str">
        <f>IFERROR(__xludf.DUMMYFUNCTION("""COMPUTED_VALUE"""),"Theo Love")</f>
        <v>Theo Love</v>
      </c>
      <c r="V2077" s="5" t="s">
        <v>11884</v>
      </c>
      <c r="W2077" s="5" t="str">
        <f t="shared" si="3"/>
        <v>Josh Mendoza</v>
      </c>
      <c r="X2077" s="5">
        <f t="shared" si="4"/>
        <v>1</v>
      </c>
      <c r="Y2077" s="5" t="str">
        <f>IFERROR(__xludf.DUMMYFUNCTION("REGEXEXTRACT(J2077, ""^\d+"")"),"109")</f>
        <v>109</v>
      </c>
      <c r="Z2077" s="5" t="str">
        <f>IFERROR(__xludf.DUMMYFUNCTION("REGEXEXTRACT(J2077, ""[A-Za-z ]+$"")")," min")</f>
        <v> min</v>
      </c>
      <c r="AA2077" s="5" t="str">
        <f>IFERROR(__xludf.DUMMYFUNCTION("IF(REGEXMATCH(Z2077, ""Season""), ""TV Show"", ""Movie"")"),"Movie")</f>
        <v>Movie</v>
      </c>
    </row>
    <row r="2078">
      <c r="A2078" s="1" t="s">
        <v>11885</v>
      </c>
      <c r="B2078" s="1" t="s">
        <v>27</v>
      </c>
      <c r="C2078" s="1" t="s">
        <v>11886</v>
      </c>
      <c r="D2078" s="1" t="s">
        <v>5399</v>
      </c>
      <c r="E2078" s="1" t="s">
        <v>11887</v>
      </c>
      <c r="F2078" s="1" t="s">
        <v>30</v>
      </c>
      <c r="G2078" s="1" t="s">
        <v>11804</v>
      </c>
      <c r="H2078" s="1">
        <v>2020.0</v>
      </c>
      <c r="I2078" s="1" t="s">
        <v>289</v>
      </c>
      <c r="J2078" s="1" t="s">
        <v>379</v>
      </c>
      <c r="K2078" s="1" t="s">
        <v>137</v>
      </c>
      <c r="L2078" s="1" t="s">
        <v>11888</v>
      </c>
      <c r="M2078" s="2" t="s">
        <v>12</v>
      </c>
      <c r="N2078" s="4">
        <f t="shared" si="1"/>
        <v>44075</v>
      </c>
      <c r="O2078" s="5" t="str">
        <f>IFERROR(__xludf.DUMMYFUNCTION("IF(REGEXMATCH(TRIM(I2078), ""^\d+\s*min""), ""Unclassified"", IF(I2078 = """", ""NR"", I2078))"),"TV-Y7")</f>
        <v>TV-Y7</v>
      </c>
      <c r="R2078" s="5" t="str">
        <f t="shared" si="2"/>
        <v>The Boss Baby: Get That Baby!</v>
      </c>
      <c r="S2078" s="5" t="str">
        <f>IFERROR(__xludf.DUMMYFUNCTION("""COMPUTED_VALUE"""),"Dr. Seuss' The Cat In The Hat")</f>
        <v>Dr. Seuss' The Cat In The Hat</v>
      </c>
      <c r="U2078" s="5" t="str">
        <f>IFERROR(__xludf.DUMMYFUNCTION("""COMPUTED_VALUE"""),"Awi Suryadi")</f>
        <v>Awi Suryadi</v>
      </c>
      <c r="V2078" s="5" t="s">
        <v>11889</v>
      </c>
      <c r="W2078" s="5" t="str">
        <f t="shared" si="3"/>
        <v>Josh Safdie, Benny Safdie</v>
      </c>
      <c r="X2078" s="5">
        <f t="shared" si="4"/>
        <v>1</v>
      </c>
      <c r="Y2078" s="5" t="str">
        <f>IFERROR(__xludf.DUMMYFUNCTION("REGEXEXTRACT(J2078, ""^\d+"")"),"115")</f>
        <v>115</v>
      </c>
      <c r="Z2078" s="5" t="str">
        <f>IFERROR(__xludf.DUMMYFUNCTION("REGEXEXTRACT(J2078, ""[A-Za-z ]+$"")")," min")</f>
        <v> min</v>
      </c>
      <c r="AA2078" s="5" t="str">
        <f>IFERROR(__xludf.DUMMYFUNCTION("IF(REGEXMATCH(Z2078, ""Season""), ""TV Show"", ""Movie"")"),"Movie")</f>
        <v>Movie</v>
      </c>
    </row>
    <row r="2079">
      <c r="A2079" s="1" t="s">
        <v>11890</v>
      </c>
      <c r="B2079" s="1" t="s">
        <v>27</v>
      </c>
      <c r="C2079" s="1" t="s">
        <v>11891</v>
      </c>
      <c r="D2079" s="1" t="s">
        <v>7763</v>
      </c>
      <c r="E2079" s="1" t="s">
        <v>11892</v>
      </c>
      <c r="F2079" s="1" t="s">
        <v>1779</v>
      </c>
      <c r="G2079" s="1" t="s">
        <v>11804</v>
      </c>
      <c r="H2079" s="1">
        <v>2020.0</v>
      </c>
      <c r="I2079" s="1" t="s">
        <v>42</v>
      </c>
      <c r="J2079" s="1" t="s">
        <v>247</v>
      </c>
      <c r="K2079" s="1" t="s">
        <v>5099</v>
      </c>
      <c r="L2079" s="1" t="s">
        <v>11893</v>
      </c>
      <c r="M2079" s="2" t="s">
        <v>12</v>
      </c>
      <c r="N2079" s="4">
        <f t="shared" si="1"/>
        <v>44075</v>
      </c>
      <c r="O2079" s="5" t="str">
        <f>IFERROR(__xludf.DUMMYFUNCTION("IF(REGEXMATCH(TRIM(I2079), ""^\d+\s*min""), ""Unclassified"", IF(I2079 = """", ""NR"", I2079))"),"TV-MA")</f>
        <v>TV-MA</v>
      </c>
      <c r="R2079" s="5" t="str">
        <f t="shared" si="2"/>
        <v>The Match</v>
      </c>
      <c r="S2079" s="5" t="str">
        <f>IFERROR(__xludf.DUMMYFUNCTION("""COMPUTED_VALUE"""),"Dr. Seuss' The Grinch")</f>
        <v>Dr. Seuss' The Grinch</v>
      </c>
      <c r="U2079" s="5" t="str">
        <f>IFERROR(__xludf.DUMMYFUNCTION("""COMPUTED_VALUE"""),"Raj Babu")</f>
        <v>Raj Babu</v>
      </c>
      <c r="V2079" s="5" t="s">
        <v>11894</v>
      </c>
      <c r="W2079" s="5" t="str">
        <f t="shared" si="3"/>
        <v>Josh Wakely</v>
      </c>
      <c r="X2079" s="5">
        <f t="shared" si="4"/>
        <v>1</v>
      </c>
      <c r="Y2079" s="5" t="str">
        <f>IFERROR(__xludf.DUMMYFUNCTION("REGEXEXTRACT(J2079, ""^\d+"")"),"97")</f>
        <v>97</v>
      </c>
      <c r="Z2079" s="5" t="str">
        <f>IFERROR(__xludf.DUMMYFUNCTION("REGEXEXTRACT(J2079, ""[A-Za-z ]+$"")")," min")</f>
        <v> min</v>
      </c>
      <c r="AA2079" s="5" t="str">
        <f>IFERROR(__xludf.DUMMYFUNCTION("IF(REGEXMATCH(Z2079, ""Season""), ""TV Show"", ""Movie"")"),"Movie")</f>
        <v>Movie</v>
      </c>
    </row>
    <row r="2080">
      <c r="A2080" s="1" t="s">
        <v>11895</v>
      </c>
      <c r="B2080" s="1" t="s">
        <v>37</v>
      </c>
      <c r="C2080" s="1" t="s">
        <v>11896</v>
      </c>
      <c r="E2080" s="1" t="s">
        <v>11897</v>
      </c>
      <c r="F2080" s="1" t="s">
        <v>415</v>
      </c>
      <c r="G2080" s="1" t="s">
        <v>11804</v>
      </c>
      <c r="H2080" s="1">
        <v>2019.0</v>
      </c>
      <c r="I2080" s="1" t="s">
        <v>97</v>
      </c>
      <c r="J2080" s="1" t="s">
        <v>51</v>
      </c>
      <c r="K2080" s="1" t="s">
        <v>2161</v>
      </c>
      <c r="L2080" s="1" t="s">
        <v>11898</v>
      </c>
      <c r="M2080" s="2" t="s">
        <v>12</v>
      </c>
      <c r="N2080" s="4">
        <f t="shared" si="1"/>
        <v>44075</v>
      </c>
      <c r="O2080" s="5" t="str">
        <f>IFERROR(__xludf.DUMMYFUNCTION("IF(REGEXMATCH(TRIM(I2080), ""^\d+\s*min""), ""Unclassified"", IF(I2080 = """", ""NR"", I2080))"),"TV-14")</f>
        <v>TV-14</v>
      </c>
      <c r="R2080" s="5" t="str">
        <f t="shared" si="2"/>
        <v>The Promised Neverland</v>
      </c>
      <c r="S2080" s="5" t="str">
        <f>IFERROR(__xludf.DUMMYFUNCTION("""COMPUTED_VALUE"""),"Dr. Seuss' The Lorax")</f>
        <v>Dr. Seuss' The Lorax</v>
      </c>
      <c r="U2080" s="5" t="str">
        <f>IFERROR(__xludf.DUMMYFUNCTION("""COMPUTED_VALUE"""),"Javier Ruiz Caldera")</f>
        <v>Javier Ruiz Caldera</v>
      </c>
      <c r="V2080" s="5" t="s">
        <v>11899</v>
      </c>
      <c r="W2080" s="5" t="str">
        <f t="shared" si="3"/>
        <v>Josh Webber</v>
      </c>
      <c r="X2080" s="5">
        <f t="shared" si="4"/>
        <v>1</v>
      </c>
      <c r="Y2080" s="5" t="str">
        <f>IFERROR(__xludf.DUMMYFUNCTION("REGEXEXTRACT(J2080, ""^\d+"")"),"1")</f>
        <v>1</v>
      </c>
      <c r="Z2080" s="5" t="str">
        <f>IFERROR(__xludf.DUMMYFUNCTION("REGEXEXTRACT(J2080, ""[A-Za-z ]+$"")")," Season")</f>
        <v> Season</v>
      </c>
      <c r="AA2080" s="5" t="str">
        <f>IFERROR(__xludf.DUMMYFUNCTION("IF(REGEXMATCH(Z2080, ""Season""), ""TV Show"", ""Movie"")"),"TV Show")</f>
        <v>TV Show</v>
      </c>
    </row>
    <row r="2081">
      <c r="A2081" s="1" t="s">
        <v>11900</v>
      </c>
      <c r="B2081" s="1" t="s">
        <v>27</v>
      </c>
      <c r="C2081" s="1" t="s">
        <v>11901</v>
      </c>
      <c r="D2081" s="1" t="s">
        <v>684</v>
      </c>
      <c r="E2081" s="1" t="s">
        <v>11902</v>
      </c>
      <c r="F2081" s="1" t="s">
        <v>11903</v>
      </c>
      <c r="G2081" s="1" t="s">
        <v>11804</v>
      </c>
      <c r="H2081" s="1">
        <v>2011.0</v>
      </c>
      <c r="I2081" s="1" t="s">
        <v>78</v>
      </c>
      <c r="J2081" s="1" t="s">
        <v>238</v>
      </c>
      <c r="K2081" s="1" t="s">
        <v>137</v>
      </c>
      <c r="L2081" s="1" t="s">
        <v>11904</v>
      </c>
      <c r="M2081" s="2" t="s">
        <v>12</v>
      </c>
      <c r="N2081" s="4">
        <f t="shared" si="1"/>
        <v>44075</v>
      </c>
      <c r="O2081" s="5" t="str">
        <f>IFERROR(__xludf.DUMMYFUNCTION("IF(REGEXMATCH(TRIM(I2081), ""^\d+\s*min""), ""Unclassified"", IF(I2081 = """", ""NR"", I2081))"),"PG")</f>
        <v>PG</v>
      </c>
      <c r="R2081" s="5" t="str">
        <f t="shared" si="2"/>
        <v>The Smurfs</v>
      </c>
      <c r="S2081" s="5" t="str">
        <f>IFERROR(__xludf.DUMMYFUNCTION("""COMPUTED_VALUE"""),"Dracula")</f>
        <v>Dracula</v>
      </c>
      <c r="U2081" s="5" t="str">
        <f>IFERROR(__xludf.DUMMYFUNCTION("""COMPUTED_VALUE"""),"Chanon Yingyong, Phuwanit Pholdee")</f>
        <v>Chanon Yingyong, Phuwanit Pholdee</v>
      </c>
      <c r="V2081" s="5" t="s">
        <v>11905</v>
      </c>
      <c r="W2081" s="5" t="str">
        <f t="shared" si="3"/>
        <v>Josh Z. Weinstein, Joshua Z. Weinstein</v>
      </c>
      <c r="X2081" s="5">
        <f t="shared" si="4"/>
        <v>1</v>
      </c>
      <c r="Y2081" s="5" t="str">
        <f>IFERROR(__xludf.DUMMYFUNCTION("REGEXEXTRACT(J2081, ""^\d+"")"),"103")</f>
        <v>103</v>
      </c>
      <c r="Z2081" s="5" t="str">
        <f>IFERROR(__xludf.DUMMYFUNCTION("REGEXEXTRACT(J2081, ""[A-Za-z ]+$"")")," min")</f>
        <v> min</v>
      </c>
      <c r="AA2081" s="5" t="str">
        <f>IFERROR(__xludf.DUMMYFUNCTION("IF(REGEXMATCH(Z2081, ""Season""), ""TV Show"", ""Movie"")"),"Movie")</f>
        <v>Movie</v>
      </c>
    </row>
    <row r="2082">
      <c r="A2082" s="1" t="s">
        <v>11906</v>
      </c>
      <c r="B2082" s="1" t="s">
        <v>37</v>
      </c>
      <c r="C2082" s="1" t="s">
        <v>11907</v>
      </c>
      <c r="D2082" s="1" t="s">
        <v>8699</v>
      </c>
      <c r="E2082" s="1" t="s">
        <v>11908</v>
      </c>
      <c r="F2082" s="1" t="s">
        <v>96</v>
      </c>
      <c r="G2082" s="1" t="s">
        <v>11804</v>
      </c>
      <c r="H2082" s="1">
        <v>2020.0</v>
      </c>
      <c r="I2082" s="1" t="s">
        <v>206</v>
      </c>
      <c r="J2082" s="1" t="s">
        <v>43</v>
      </c>
      <c r="K2082" s="1" t="s">
        <v>11909</v>
      </c>
      <c r="L2082" s="1" t="s">
        <v>11910</v>
      </c>
      <c r="M2082" s="2" t="s">
        <v>12</v>
      </c>
      <c r="N2082" s="4">
        <f t="shared" si="1"/>
        <v>44075</v>
      </c>
      <c r="O2082" s="5" t="str">
        <f>IFERROR(__xludf.DUMMYFUNCTION("IF(REGEXMATCH(TRIM(I2082), ""^\d+\s*min""), ""Unclassified"", IF(I2082 = """", ""NR"", I2082))"),"TV-Y")</f>
        <v>TV-Y</v>
      </c>
      <c r="R2082" s="5" t="str">
        <f t="shared" si="2"/>
        <v>Thomas And Friends</v>
      </c>
      <c r="S2082" s="5" t="str">
        <f>IFERROR(__xludf.DUMMYFUNCTION("""COMPUTED_VALUE"""),"Dragon Pilot: Hisone &amp; Masotan")</f>
        <v>Dragon Pilot: Hisone &amp; Masotan</v>
      </c>
      <c r="U2082" s="5" t="str">
        <f>IFERROR(__xludf.DUMMYFUNCTION("""COMPUTED_VALUE"""),"Stuart Sender")</f>
        <v>Stuart Sender</v>
      </c>
      <c r="V2082" s="5" t="s">
        <v>11911</v>
      </c>
      <c r="W2082" s="5" t="str">
        <f t="shared" si="3"/>
        <v>Joshua Caldwell</v>
      </c>
      <c r="X2082" s="5">
        <f t="shared" si="4"/>
        <v>1</v>
      </c>
      <c r="Y2082" s="5" t="str">
        <f>IFERROR(__xludf.DUMMYFUNCTION("REGEXEXTRACT(J2082, ""^\d+"")"),"2")</f>
        <v>2</v>
      </c>
      <c r="Z2082" s="5" t="str">
        <f>IFERROR(__xludf.DUMMYFUNCTION("REGEXEXTRACT(J2082, ""[A-Za-z ]+$"")")," Seasons")</f>
        <v> Seasons</v>
      </c>
      <c r="AA2082" s="5" t="str">
        <f>IFERROR(__xludf.DUMMYFUNCTION("IF(REGEXMATCH(Z2082, ""Season""), ""TV Show"", ""Movie"")"),"TV Show")</f>
        <v>TV Show</v>
      </c>
    </row>
    <row r="2083">
      <c r="A2083" s="1" t="s">
        <v>11912</v>
      </c>
      <c r="B2083" s="1" t="s">
        <v>27</v>
      </c>
      <c r="C2083" s="1" t="s">
        <v>11913</v>
      </c>
      <c r="D2083" s="1" t="s">
        <v>11914</v>
      </c>
      <c r="E2083" s="1" t="s">
        <v>11915</v>
      </c>
      <c r="F2083" s="1" t="s">
        <v>1106</v>
      </c>
      <c r="G2083" s="1" t="s">
        <v>11804</v>
      </c>
      <c r="H2083" s="1">
        <v>2020.0</v>
      </c>
      <c r="I2083" s="1" t="s">
        <v>206</v>
      </c>
      <c r="J2083" s="1" t="s">
        <v>7058</v>
      </c>
      <c r="K2083" s="1" t="s">
        <v>80</v>
      </c>
      <c r="L2083" s="1" t="s">
        <v>11916</v>
      </c>
      <c r="M2083" s="2" t="s">
        <v>12</v>
      </c>
      <c r="N2083" s="4">
        <f t="shared" si="1"/>
        <v>44075</v>
      </c>
      <c r="O2083" s="5" t="str">
        <f>IFERROR(__xludf.DUMMYFUNCTION("IF(REGEXMATCH(TRIM(I2083), ""^\d+\s*min""), ""Unclassified"", IF(I2083 = """", ""NR"", I2083))"),"TV-Y")</f>
        <v>TV-Y</v>
      </c>
      <c r="R2083" s="5" t="str">
        <f t="shared" si="2"/>
        <v>True: Friendship Day</v>
      </c>
      <c r="S2083" s="5" t="str">
        <f>IFERROR(__xludf.DUMMYFUNCTION("""COMPUTED_VALUE"""),"Dragon Quest Your Story")</f>
        <v>Dragon Quest Your Story</v>
      </c>
      <c r="U2083" s="5" t="str">
        <f>IFERROR(__xludf.DUMMYFUNCTION("""COMPUTED_VALUE"""),"Wenn V. Deramas")</f>
        <v>Wenn V. Deramas</v>
      </c>
      <c r="V2083" s="5" t="s">
        <v>11917</v>
      </c>
      <c r="W2083" s="5" t="str">
        <f t="shared" si="3"/>
        <v>Joshua Marston</v>
      </c>
      <c r="X2083" s="5">
        <f t="shared" si="4"/>
        <v>1</v>
      </c>
      <c r="Y2083" s="5" t="str">
        <f>IFERROR(__xludf.DUMMYFUNCTION("REGEXEXTRACT(J2083, ""^\d+"")"),"24")</f>
        <v>24</v>
      </c>
      <c r="Z2083" s="5" t="str">
        <f>IFERROR(__xludf.DUMMYFUNCTION("REGEXEXTRACT(J2083, ""[A-Za-z ]+$"")")," min")</f>
        <v> min</v>
      </c>
      <c r="AA2083" s="5" t="str">
        <f>IFERROR(__xludf.DUMMYFUNCTION("IF(REGEXMATCH(Z2083, ""Season""), ""TV Show"", ""Movie"")"),"Movie")</f>
        <v>Movie</v>
      </c>
    </row>
    <row r="2084">
      <c r="A2084" s="1" t="s">
        <v>11918</v>
      </c>
      <c r="B2084" s="1" t="s">
        <v>27</v>
      </c>
      <c r="C2084" s="1" t="s">
        <v>11919</v>
      </c>
      <c r="D2084" s="1" t="s">
        <v>11920</v>
      </c>
      <c r="E2084" s="1" t="s">
        <v>11921</v>
      </c>
      <c r="F2084" s="1" t="s">
        <v>63</v>
      </c>
      <c r="G2084" s="1" t="s">
        <v>11922</v>
      </c>
      <c r="H2084" s="1">
        <v>2020.0</v>
      </c>
      <c r="I2084" s="1" t="s">
        <v>97</v>
      </c>
      <c r="J2084" s="1" t="s">
        <v>297</v>
      </c>
      <c r="K2084" s="1" t="s">
        <v>215</v>
      </c>
      <c r="L2084" s="1" t="s">
        <v>11923</v>
      </c>
      <c r="M2084" s="2" t="s">
        <v>12</v>
      </c>
      <c r="N2084" s="4">
        <f t="shared" si="1"/>
        <v>44074</v>
      </c>
      <c r="O2084" s="5" t="str">
        <f>IFERROR(__xludf.DUMMYFUNCTION("IF(REGEXMATCH(TRIM(I2084), ""^\d+\s*min""), ""Unclassified"", IF(I2084 = """", ""NR"", I2084))"),"TV-14")</f>
        <v>TV-14</v>
      </c>
      <c r="R2084" s="5" t="str">
        <f t="shared" si="2"/>
        <v>Maniyarayile Ashokan</v>
      </c>
      <c r="S2084" s="5" t="str">
        <f>IFERROR(__xludf.DUMMYFUNCTION("""COMPUTED_VALUE"""),"Dragon Tiger Gate")</f>
        <v>Dragon Tiger Gate</v>
      </c>
      <c r="U2084" s="5" t="str">
        <f>IFERROR(__xludf.DUMMYFUNCTION("""COMPUTED_VALUE"""),"Joyce Bernal")</f>
        <v>Joyce Bernal</v>
      </c>
      <c r="V2084" s="5" t="s">
        <v>11924</v>
      </c>
      <c r="W2084" s="5" t="str">
        <f t="shared" si="3"/>
        <v>Joshua Oppenheimer</v>
      </c>
      <c r="X2084" s="5">
        <f t="shared" si="4"/>
        <v>1</v>
      </c>
      <c r="Y2084" s="5" t="str">
        <f>IFERROR(__xludf.DUMMYFUNCTION("REGEXEXTRACT(J2084, ""^\d+"")"),"110")</f>
        <v>110</v>
      </c>
      <c r="Z2084" s="5" t="str">
        <f>IFERROR(__xludf.DUMMYFUNCTION("REGEXEXTRACT(J2084, ""[A-Za-z ]+$"")")," min")</f>
        <v> min</v>
      </c>
      <c r="AA2084" s="5" t="str">
        <f>IFERROR(__xludf.DUMMYFUNCTION("IF(REGEXMATCH(Z2084, ""Season""), ""TV Show"", ""Movie"")"),"Movie")</f>
        <v>Movie</v>
      </c>
    </row>
    <row r="2085">
      <c r="A2085" s="1" t="s">
        <v>11925</v>
      </c>
      <c r="B2085" s="1" t="s">
        <v>27</v>
      </c>
      <c r="C2085" s="1" t="s">
        <v>11926</v>
      </c>
      <c r="D2085" s="1" t="s">
        <v>10892</v>
      </c>
      <c r="E2085" s="1" t="s">
        <v>11927</v>
      </c>
      <c r="F2085" s="1" t="s">
        <v>30</v>
      </c>
      <c r="G2085" s="1" t="s">
        <v>11922</v>
      </c>
      <c r="H2085" s="1">
        <v>2020.0</v>
      </c>
      <c r="I2085" s="1" t="s">
        <v>42</v>
      </c>
      <c r="J2085" s="1" t="s">
        <v>247</v>
      </c>
      <c r="K2085" s="1" t="s">
        <v>380</v>
      </c>
      <c r="L2085" s="1" t="s">
        <v>11928</v>
      </c>
      <c r="M2085" s="2" t="s">
        <v>12</v>
      </c>
      <c r="N2085" s="4">
        <f t="shared" si="1"/>
        <v>44074</v>
      </c>
      <c r="O2085" s="5" t="str">
        <f>IFERROR(__xludf.DUMMYFUNCTION("IF(REGEXMATCH(TRIM(I2085), ""^\d+\s*min""), ""Unclassified"", IF(I2085 = """", ""NR"", I2085))"),"TV-MA")</f>
        <v>TV-MA</v>
      </c>
      <c r="R2085" s="5" t="str">
        <f t="shared" si="2"/>
        <v>The Debt Collector 2</v>
      </c>
      <c r="S2085" s="5" t="str">
        <f>IFERROR(__xludf.DUMMYFUNCTION("""COMPUTED_VALUE"""),"Dragon'S Dogma")</f>
        <v>Dragon'S Dogma</v>
      </c>
      <c r="U2085" s="5" t="str">
        <f>IFERROR(__xludf.DUMMYFUNCTION("""COMPUTED_VALUE"""),"Maryo J. De Los Reyes")</f>
        <v>Maryo J. De Los Reyes</v>
      </c>
      <c r="V2085" s="5" t="s">
        <v>1501</v>
      </c>
      <c r="W2085" s="5" t="str">
        <f t="shared" si="3"/>
        <v>Joshua Rofé</v>
      </c>
      <c r="X2085" s="5">
        <f t="shared" si="4"/>
        <v>1</v>
      </c>
      <c r="Y2085" s="5" t="str">
        <f>IFERROR(__xludf.DUMMYFUNCTION("REGEXEXTRACT(J2085, ""^\d+"")"),"97")</f>
        <v>97</v>
      </c>
      <c r="Z2085" s="5" t="str">
        <f>IFERROR(__xludf.DUMMYFUNCTION("REGEXEXTRACT(J2085, ""[A-Za-z ]+$"")")," min")</f>
        <v> min</v>
      </c>
      <c r="AA2085" s="5" t="str">
        <f>IFERROR(__xludf.DUMMYFUNCTION("IF(REGEXMATCH(Z2085, ""Season""), ""TV Show"", ""Movie"")"),"Movie")</f>
        <v>Movie</v>
      </c>
    </row>
    <row r="2086">
      <c r="A2086" s="1" t="s">
        <v>11929</v>
      </c>
      <c r="B2086" s="1" t="s">
        <v>27</v>
      </c>
      <c r="C2086" s="1" t="s">
        <v>11930</v>
      </c>
      <c r="D2086" s="1" t="s">
        <v>3711</v>
      </c>
      <c r="E2086" s="1" t="s">
        <v>11931</v>
      </c>
      <c r="F2086" s="1" t="s">
        <v>30</v>
      </c>
      <c r="G2086" s="1" t="s">
        <v>11932</v>
      </c>
      <c r="H2086" s="1">
        <v>2020.0</v>
      </c>
      <c r="I2086" s="1" t="s">
        <v>78</v>
      </c>
      <c r="J2086" s="1" t="s">
        <v>170</v>
      </c>
      <c r="K2086" s="1" t="s">
        <v>805</v>
      </c>
      <c r="L2086" s="1" t="s">
        <v>11933</v>
      </c>
      <c r="M2086" s="2" t="s">
        <v>12</v>
      </c>
      <c r="N2086" s="4">
        <f t="shared" si="1"/>
        <v>44072</v>
      </c>
      <c r="O2086" s="5" t="str">
        <f>IFERROR(__xludf.DUMMYFUNCTION("IF(REGEXMATCH(TRIM(I2086), ""^\d+\s*min""), ""Unclassified"", IF(I2086 = """", ""NR"", I2086))"),"PG")</f>
        <v>PG</v>
      </c>
      <c r="R2086" s="5" t="str">
        <f t="shared" si="2"/>
        <v>All Together Now</v>
      </c>
      <c r="S2086" s="5" t="str">
        <f>IFERROR(__xludf.DUMMYFUNCTION("""COMPUTED_VALUE"""),"Dragonheart")</f>
        <v>Dragonheart</v>
      </c>
      <c r="U2086" s="5" t="str">
        <f>IFERROR(__xludf.DUMMYFUNCTION("""COMPUTED_VALUE"""),"Karan Shivajirao Chavan, Vikram Tanajirao Patil")</f>
        <v>Karan Shivajirao Chavan, Vikram Tanajirao Patil</v>
      </c>
      <c r="V2086" s="5" t="s">
        <v>11269</v>
      </c>
      <c r="W2086" s="5" t="str">
        <f t="shared" si="3"/>
        <v>Joshua Tickell, Rebecca Harrell Tickell</v>
      </c>
      <c r="X2086" s="5">
        <f t="shared" si="4"/>
        <v>1</v>
      </c>
      <c r="Y2086" s="5" t="str">
        <f>IFERROR(__xludf.DUMMYFUNCTION("REGEXEXTRACT(J2086, ""^\d+"")"),"94")</f>
        <v>94</v>
      </c>
      <c r="Z2086" s="5" t="str">
        <f>IFERROR(__xludf.DUMMYFUNCTION("REGEXEXTRACT(J2086, ""[A-Za-z ]+$"")")," min")</f>
        <v> min</v>
      </c>
      <c r="AA2086" s="5" t="str">
        <f>IFERROR(__xludf.DUMMYFUNCTION("IF(REGEXMATCH(Z2086, ""Season""), ""TV Show"", ""Movie"")"),"Movie")</f>
        <v>Movie</v>
      </c>
    </row>
    <row r="2087">
      <c r="A2087" s="1" t="s">
        <v>11934</v>
      </c>
      <c r="B2087" s="1" t="s">
        <v>37</v>
      </c>
      <c r="C2087" s="1" t="s">
        <v>11935</v>
      </c>
      <c r="F2087" s="1" t="s">
        <v>686</v>
      </c>
      <c r="G2087" s="1" t="s">
        <v>11936</v>
      </c>
      <c r="H2087" s="1">
        <v>2020.0</v>
      </c>
      <c r="I2087" s="1" t="s">
        <v>42</v>
      </c>
      <c r="J2087" s="1" t="s">
        <v>51</v>
      </c>
      <c r="K2087" s="1" t="s">
        <v>142</v>
      </c>
      <c r="L2087" s="1" t="s">
        <v>11937</v>
      </c>
      <c r="M2087" s="2" t="s">
        <v>12</v>
      </c>
      <c r="N2087" s="4">
        <f t="shared" si="1"/>
        <v>44071</v>
      </c>
      <c r="O2087" s="5" t="str">
        <f>IFERROR(__xludf.DUMMYFUNCTION("IF(REGEXMATCH(TRIM(I2087), ""^\d+\s*min""), ""Unclassified"", IF(I2087 = """", ""NR"", I2087))"),"TV-MA")</f>
        <v>TV-MA</v>
      </c>
      <c r="R2087" s="5" t="str">
        <f t="shared" si="2"/>
        <v>I Am A Killer: Released</v>
      </c>
      <c r="S2087" s="5" t="str">
        <f>IFERROR(__xludf.DUMMYFUNCTION("""COMPUTED_VALUE"""),"Dragonheart 3: The Sorcerer")</f>
        <v>Dragonheart 3: The Sorcerer</v>
      </c>
      <c r="U2087" s="5" t="str">
        <f>IFERROR(__xludf.DUMMYFUNCTION("""COMPUTED_VALUE"""),"Amy Schumer")</f>
        <v>Amy Schumer</v>
      </c>
      <c r="V2087" s="5" t="s">
        <v>5535</v>
      </c>
      <c r="W2087" s="5" t="str">
        <f t="shared" si="3"/>
        <v>Joshua Zeman</v>
      </c>
      <c r="X2087" s="5">
        <f t="shared" si="4"/>
        <v>1</v>
      </c>
      <c r="Y2087" s="5" t="str">
        <f>IFERROR(__xludf.DUMMYFUNCTION("REGEXEXTRACT(J2087, ""^\d+"")"),"1")</f>
        <v>1</v>
      </c>
      <c r="Z2087" s="5" t="str">
        <f>IFERROR(__xludf.DUMMYFUNCTION("REGEXEXTRACT(J2087, ""[A-Za-z ]+$"")")," Season")</f>
        <v> Season</v>
      </c>
      <c r="AA2087" s="5" t="str">
        <f>IFERROR(__xludf.DUMMYFUNCTION("IF(REGEXMATCH(Z2087, ""Season""), ""TV Show"", ""Movie"")"),"TV Show")</f>
        <v>TV Show</v>
      </c>
    </row>
    <row r="2088">
      <c r="A2088" s="1" t="s">
        <v>11938</v>
      </c>
      <c r="B2088" s="1" t="s">
        <v>37</v>
      </c>
      <c r="C2088" s="1" t="s">
        <v>11939</v>
      </c>
      <c r="E2088" s="1" t="s">
        <v>11940</v>
      </c>
      <c r="F2088" s="1" t="s">
        <v>63</v>
      </c>
      <c r="G2088" s="1" t="s">
        <v>11936</v>
      </c>
      <c r="H2088" s="1">
        <v>2020.0</v>
      </c>
      <c r="I2088" s="1" t="s">
        <v>42</v>
      </c>
      <c r="J2088" s="1" t="s">
        <v>51</v>
      </c>
      <c r="K2088" s="1" t="s">
        <v>1531</v>
      </c>
      <c r="L2088" s="1" t="s">
        <v>11941</v>
      </c>
      <c r="M2088" s="2" t="s">
        <v>12</v>
      </c>
      <c r="N2088" s="4">
        <f t="shared" si="1"/>
        <v>44071</v>
      </c>
      <c r="O2088" s="5" t="str">
        <f>IFERROR(__xludf.DUMMYFUNCTION("IF(REGEXMATCH(TRIM(I2088), ""^\d+\s*min""), ""Unclassified"", IF(I2088 = """", ""NR"", I2088))"),"TV-MA")</f>
        <v>TV-MA</v>
      </c>
      <c r="R2088" s="5" t="str">
        <f t="shared" si="2"/>
        <v>Masaba Masaba</v>
      </c>
      <c r="S2088" s="5" t="str">
        <f>IFERROR(__xludf.DUMMYFUNCTION("""COMPUTED_VALUE"""),"Dragonheart: A New Beginning")</f>
        <v>Dragonheart: A New Beginning</v>
      </c>
      <c r="U2088" s="5" t="str">
        <f>IFERROR(__xludf.DUMMYFUNCTION("""COMPUTED_VALUE"""),"Richard Loncraine")</f>
        <v>Richard Loncraine</v>
      </c>
      <c r="V2088" s="5" t="s">
        <v>9217</v>
      </c>
      <c r="W2088" s="5" t="str">
        <f t="shared" si="3"/>
        <v>Josiah Ng</v>
      </c>
      <c r="X2088" s="5">
        <f t="shared" si="4"/>
        <v>1</v>
      </c>
      <c r="Y2088" s="5" t="str">
        <f>IFERROR(__xludf.DUMMYFUNCTION("REGEXEXTRACT(J2088, ""^\d+"")"),"1")</f>
        <v>1</v>
      </c>
      <c r="Z2088" s="5" t="str">
        <f>IFERROR(__xludf.DUMMYFUNCTION("REGEXEXTRACT(J2088, ""[A-Za-z ]+$"")")," Season")</f>
        <v> Season</v>
      </c>
      <c r="AA2088" s="5" t="str">
        <f>IFERROR(__xludf.DUMMYFUNCTION("IF(REGEXMATCH(Z2088, ""Season""), ""TV Show"", ""Movie"")"),"TV Show")</f>
        <v>TV Show</v>
      </c>
    </row>
    <row r="2089">
      <c r="A2089" s="1" t="s">
        <v>11942</v>
      </c>
      <c r="B2089" s="1" t="s">
        <v>27</v>
      </c>
      <c r="C2089" s="1" t="s">
        <v>11943</v>
      </c>
      <c r="D2089" s="1" t="s">
        <v>4799</v>
      </c>
      <c r="E2089" s="1" t="s">
        <v>11944</v>
      </c>
      <c r="F2089" s="1" t="s">
        <v>11945</v>
      </c>
      <c r="G2089" s="1" t="s">
        <v>11936</v>
      </c>
      <c r="H2089" s="1">
        <v>2020.0</v>
      </c>
      <c r="I2089" s="1" t="s">
        <v>42</v>
      </c>
      <c r="J2089" s="1" t="s">
        <v>1256</v>
      </c>
      <c r="K2089" s="1" t="s">
        <v>1066</v>
      </c>
      <c r="L2089" s="1" t="s">
        <v>11946</v>
      </c>
      <c r="M2089" s="2" t="s">
        <v>12</v>
      </c>
      <c r="N2089" s="4">
        <f t="shared" si="1"/>
        <v>44071</v>
      </c>
      <c r="O2089" s="5" t="str">
        <f>IFERROR(__xludf.DUMMYFUNCTION("IF(REGEXMATCH(TRIM(I2089), ""^\d+\s*min""), ""Unclassified"", IF(I2089 = """", ""NR"", I2089))"),"TV-MA")</f>
        <v>TV-MA</v>
      </c>
      <c r="R2089" s="5" t="str">
        <f t="shared" si="2"/>
        <v>Santana</v>
      </c>
      <c r="S2089" s="5" t="str">
        <f>IFERROR(__xludf.DUMMYFUNCTION("""COMPUTED_VALUE"""),"Dragonheart: Battle For The Heartfire")</f>
        <v>Dragonheart: Battle For The Heartfire</v>
      </c>
      <c r="U2089" s="5" t="str">
        <f>IFERROR(__xludf.DUMMYFUNCTION("""COMPUTED_VALUE"""),"Pia Sukanya")</f>
        <v>Pia Sukanya</v>
      </c>
      <c r="V2089" s="5" t="s">
        <v>11947</v>
      </c>
      <c r="W2089" s="5" t="str">
        <f t="shared" si="3"/>
        <v>Jota Linares</v>
      </c>
      <c r="X2089" s="5">
        <f t="shared" si="4"/>
        <v>2</v>
      </c>
      <c r="Y2089" s="5" t="str">
        <f>IFERROR(__xludf.DUMMYFUNCTION("REGEXEXTRACT(J2089, ""^\d+"")"),"107")</f>
        <v>107</v>
      </c>
      <c r="Z2089" s="5" t="str">
        <f>IFERROR(__xludf.DUMMYFUNCTION("REGEXEXTRACT(J2089, ""[A-Za-z ]+$"")")," min")</f>
        <v> min</v>
      </c>
      <c r="AA2089" s="5" t="str">
        <f>IFERROR(__xludf.DUMMYFUNCTION("IF(REGEXMATCH(Z2089, ""Season""), ""TV Show"", ""Movie"")"),"Movie")</f>
        <v>Movie</v>
      </c>
    </row>
    <row r="2090">
      <c r="A2090" s="1" t="s">
        <v>11948</v>
      </c>
      <c r="B2090" s="1" t="s">
        <v>27</v>
      </c>
      <c r="C2090" s="1" t="s">
        <v>11949</v>
      </c>
      <c r="D2090" s="1" t="s">
        <v>5929</v>
      </c>
      <c r="E2090" s="1" t="s">
        <v>11950</v>
      </c>
      <c r="F2090" s="1" t="s">
        <v>784</v>
      </c>
      <c r="G2090" s="1" t="s">
        <v>11936</v>
      </c>
      <c r="H2090" s="1">
        <v>2020.0</v>
      </c>
      <c r="I2090" s="1" t="s">
        <v>42</v>
      </c>
      <c r="J2090" s="1" t="s">
        <v>247</v>
      </c>
      <c r="K2090" s="1" t="s">
        <v>631</v>
      </c>
      <c r="L2090" s="1" t="s">
        <v>11951</v>
      </c>
      <c r="M2090" s="2" t="s">
        <v>12</v>
      </c>
      <c r="N2090" s="4">
        <f t="shared" si="1"/>
        <v>44071</v>
      </c>
      <c r="O2090" s="5" t="str">
        <f>IFERROR(__xludf.DUMMYFUNCTION("IF(REGEXMATCH(TRIM(I2090), ""^\d+\s*min""), ""Unclassified"", IF(I2090 = """", ""NR"", I2090))"),"TV-MA")</f>
        <v>TV-MA</v>
      </c>
      <c r="R2090" s="5" t="str">
        <f t="shared" si="2"/>
        <v>Unknown Origins</v>
      </c>
      <c r="S2090" s="5" t="str">
        <f>IFERROR(__xludf.DUMMYFUNCTION("""COMPUTED_VALUE"""),"Dragonheart: Vengeance")</f>
        <v>Dragonheart: Vengeance</v>
      </c>
      <c r="U2090" s="5" t="str">
        <f>IFERROR(__xludf.DUMMYFUNCTION("""COMPUTED_VALUE"""),"Yann Gozlan")</f>
        <v>Yann Gozlan</v>
      </c>
      <c r="V2090" s="5" t="s">
        <v>11952</v>
      </c>
      <c r="W2090" s="5" t="str">
        <f t="shared" si="3"/>
        <v>Jovanka Vuckovic, Annie Clark, Roxanne Benjamin, Karyn Kusama</v>
      </c>
      <c r="X2090" s="5">
        <f t="shared" si="4"/>
        <v>1</v>
      </c>
      <c r="Y2090" s="5" t="str">
        <f>IFERROR(__xludf.DUMMYFUNCTION("REGEXEXTRACT(J2090, ""^\d+"")"),"97")</f>
        <v>97</v>
      </c>
      <c r="Z2090" s="5" t="str">
        <f>IFERROR(__xludf.DUMMYFUNCTION("REGEXEXTRACT(J2090, ""[A-Za-z ]+$"")")," min")</f>
        <v> min</v>
      </c>
      <c r="AA2090" s="5" t="str">
        <f>IFERROR(__xludf.DUMMYFUNCTION("IF(REGEXMATCH(Z2090, ""Season""), ""TV Show"", ""Movie"")"),"Movie")</f>
        <v>Movie</v>
      </c>
    </row>
    <row r="2091">
      <c r="A2091" s="1" t="s">
        <v>11953</v>
      </c>
      <c r="B2091" s="1" t="s">
        <v>37</v>
      </c>
      <c r="C2091" s="1" t="s">
        <v>11954</v>
      </c>
      <c r="E2091" s="1" t="s">
        <v>11955</v>
      </c>
      <c r="F2091" s="1" t="s">
        <v>415</v>
      </c>
      <c r="G2091" s="1" t="s">
        <v>11956</v>
      </c>
      <c r="H2091" s="1">
        <v>2020.0</v>
      </c>
      <c r="I2091" s="1" t="s">
        <v>97</v>
      </c>
      <c r="J2091" s="1" t="s">
        <v>276</v>
      </c>
      <c r="K2091" s="1" t="s">
        <v>567</v>
      </c>
      <c r="L2091" s="1" t="s">
        <v>11957</v>
      </c>
      <c r="M2091" s="2" t="s">
        <v>12</v>
      </c>
      <c r="N2091" s="4">
        <f t="shared" si="1"/>
        <v>44070</v>
      </c>
      <c r="O2091" s="5" t="str">
        <f>IFERROR(__xludf.DUMMYFUNCTION("IF(REGEXMATCH(TRIM(I2091), ""^\d+\s*min""), ""Unclassified"", IF(I2091 = """", ""NR"", I2091))"),"TV-14")</f>
        <v>TV-14</v>
      </c>
      <c r="R2091" s="5" t="str">
        <f t="shared" si="2"/>
        <v>Aggretsuko</v>
      </c>
      <c r="S2091" s="5" t="str">
        <f>IFERROR(__xludf.DUMMYFUNCTION("""COMPUTED_VALUE"""),"Dragonkala Ka Rahasya")</f>
        <v>Dragonkala Ka Rahasya</v>
      </c>
      <c r="U2091" s="5" t="str">
        <f>IFERROR(__xludf.DUMMYFUNCTION("""COMPUTED_VALUE"""),"Lukas Dhont")</f>
        <v>Lukas Dhont</v>
      </c>
      <c r="V2091" s="5" t="s">
        <v>11958</v>
      </c>
      <c r="W2091" s="5" t="str">
        <f t="shared" si="3"/>
        <v>Joyce Bernal</v>
      </c>
      <c r="X2091" s="5">
        <f t="shared" si="4"/>
        <v>2</v>
      </c>
      <c r="Y2091" s="5" t="str">
        <f>IFERROR(__xludf.DUMMYFUNCTION("REGEXEXTRACT(J2091, ""^\d+"")"),"3")</f>
        <v>3</v>
      </c>
      <c r="Z2091" s="5" t="str">
        <f>IFERROR(__xludf.DUMMYFUNCTION("REGEXEXTRACT(J2091, ""[A-Za-z ]+$"")")," Seasons")</f>
        <v> Seasons</v>
      </c>
      <c r="AA2091" s="5" t="str">
        <f>IFERROR(__xludf.DUMMYFUNCTION("IF(REGEXMATCH(Z2091, ""Season""), ""TV Show"", ""Movie"")"),"TV Show")</f>
        <v>TV Show</v>
      </c>
    </row>
    <row r="2092">
      <c r="A2092" s="1" t="s">
        <v>11959</v>
      </c>
      <c r="B2092" s="1" t="s">
        <v>27</v>
      </c>
      <c r="C2092" s="1" t="s">
        <v>11960</v>
      </c>
      <c r="D2092" s="1" t="s">
        <v>6057</v>
      </c>
      <c r="E2092" s="1" t="s">
        <v>11961</v>
      </c>
      <c r="F2092" s="1" t="s">
        <v>30</v>
      </c>
      <c r="G2092" s="1" t="s">
        <v>11956</v>
      </c>
      <c r="H2092" s="1">
        <v>1998.0</v>
      </c>
      <c r="I2092" s="1" t="s">
        <v>42</v>
      </c>
      <c r="J2092" s="1" t="s">
        <v>238</v>
      </c>
      <c r="K2092" s="1" t="s">
        <v>836</v>
      </c>
      <c r="L2092" s="1" t="s">
        <v>11962</v>
      </c>
      <c r="M2092" s="2" t="s">
        <v>12</v>
      </c>
      <c r="N2092" s="4">
        <f t="shared" si="1"/>
        <v>44070</v>
      </c>
      <c r="O2092" s="5" t="str">
        <f>IFERROR(__xludf.DUMMYFUNCTION("IF(REGEXMATCH(TRIM(I2092), ""^\d+\s*min""), ""Unclassified"", IF(I2092 = """", ""NR"", I2092))"),"TV-MA")</f>
        <v>TV-MA</v>
      </c>
      <c r="R2092" s="5" t="str">
        <f t="shared" si="2"/>
        <v>Edge Of Seventeen</v>
      </c>
      <c r="S2092" s="5" t="str">
        <f>IFERROR(__xludf.DUMMYFUNCTION("""COMPUTED_VALUE"""),"Dragons: Dawn Of The Dragon Racers")</f>
        <v>Dragons: Dawn Of The Dragon Racers</v>
      </c>
      <c r="U2092" s="5" t="str">
        <f>IFERROR(__xludf.DUMMYFUNCTION("""COMPUTED_VALUE"""),"Michael Simon, Matthew Mcneil")</f>
        <v>Michael Simon, Matthew Mcneil</v>
      </c>
      <c r="V2092" s="5" t="s">
        <v>11963</v>
      </c>
      <c r="W2092" s="5" t="str">
        <f t="shared" si="3"/>
        <v>Jp Habac</v>
      </c>
      <c r="X2092" s="5">
        <f t="shared" si="4"/>
        <v>2</v>
      </c>
      <c r="Y2092" s="5" t="str">
        <f>IFERROR(__xludf.DUMMYFUNCTION("REGEXEXTRACT(J2092, ""^\d+"")"),"103")</f>
        <v>103</v>
      </c>
      <c r="Z2092" s="5" t="str">
        <f>IFERROR(__xludf.DUMMYFUNCTION("REGEXEXTRACT(J2092, ""[A-Za-z ]+$"")")," min")</f>
        <v> min</v>
      </c>
      <c r="AA2092" s="5" t="str">
        <f>IFERROR(__xludf.DUMMYFUNCTION("IF(REGEXMATCH(Z2092, ""Season""), ""TV Show"", ""Movie"")"),"Movie")</f>
        <v>Movie</v>
      </c>
    </row>
    <row r="2093">
      <c r="A2093" s="1" t="s">
        <v>11964</v>
      </c>
      <c r="B2093" s="1" t="s">
        <v>27</v>
      </c>
      <c r="C2093" s="1" t="s">
        <v>11965</v>
      </c>
      <c r="D2093" s="1" t="s">
        <v>11966</v>
      </c>
      <c r="E2093" s="1" t="s">
        <v>11967</v>
      </c>
      <c r="F2093" s="1" t="s">
        <v>2059</v>
      </c>
      <c r="G2093" s="1" t="s">
        <v>11956</v>
      </c>
      <c r="H2093" s="1">
        <v>2020.0</v>
      </c>
      <c r="I2093" s="1" t="s">
        <v>42</v>
      </c>
      <c r="J2093" s="1" t="s">
        <v>428</v>
      </c>
      <c r="K2093" s="1" t="s">
        <v>1592</v>
      </c>
      <c r="L2093" s="1" t="s">
        <v>11968</v>
      </c>
      <c r="M2093" s="2" t="s">
        <v>12</v>
      </c>
      <c r="N2093" s="4">
        <f t="shared" si="1"/>
        <v>44070</v>
      </c>
      <c r="O2093" s="5" t="str">
        <f>IFERROR(__xludf.DUMMYFUNCTION("IF(REGEXMATCH(TRIM(I2093), ""^\d+\s*min""), ""Unclassified"", IF(I2093 = """", ""NR"", I2093))"),"TV-MA")</f>
        <v>TV-MA</v>
      </c>
      <c r="R2093" s="5" t="str">
        <f t="shared" si="2"/>
        <v>The Bridge Curse</v>
      </c>
      <c r="S2093" s="5" t="str">
        <f>IFERROR(__xludf.DUMMYFUNCTION("""COMPUTED_VALUE"""),"Dragons: Race To The Edge")</f>
        <v>Dragons: Race To The Edge</v>
      </c>
      <c r="U2093" s="5" t="str">
        <f>IFERROR(__xludf.DUMMYFUNCTION("""COMPUTED_VALUE"""),"Frank W Chen")</f>
        <v>Frank W Chen</v>
      </c>
      <c r="V2093" s="5" t="s">
        <v>11969</v>
      </c>
      <c r="W2093" s="5" t="str">
        <f t="shared" si="3"/>
        <v>Juan Antin</v>
      </c>
      <c r="X2093" s="5">
        <f t="shared" si="4"/>
        <v>1</v>
      </c>
      <c r="Y2093" s="5" t="str">
        <f>IFERROR(__xludf.DUMMYFUNCTION("REGEXEXTRACT(J2093, ""^\d+"")"),"88")</f>
        <v>88</v>
      </c>
      <c r="Z2093" s="5" t="str">
        <f>IFERROR(__xludf.DUMMYFUNCTION("REGEXEXTRACT(J2093, ""[A-Za-z ]+$"")")," min")</f>
        <v> min</v>
      </c>
      <c r="AA2093" s="5" t="str">
        <f>IFERROR(__xludf.DUMMYFUNCTION("IF(REGEXMATCH(Z2093, ""Season""), ""TV Show"", ""Movie"")"),"Movie")</f>
        <v>Movie</v>
      </c>
    </row>
    <row r="2094">
      <c r="A2094" s="1" t="s">
        <v>11970</v>
      </c>
      <c r="B2094" s="1" t="s">
        <v>27</v>
      </c>
      <c r="C2094" s="1" t="s">
        <v>11971</v>
      </c>
      <c r="D2094" s="1" t="s">
        <v>5320</v>
      </c>
      <c r="E2094" s="1" t="s">
        <v>11972</v>
      </c>
      <c r="F2094" s="1" t="s">
        <v>30</v>
      </c>
      <c r="G2094" s="1" t="s">
        <v>11956</v>
      </c>
      <c r="H2094" s="1">
        <v>2016.0</v>
      </c>
      <c r="I2094" s="1" t="s">
        <v>32</v>
      </c>
      <c r="J2094" s="1" t="s">
        <v>264</v>
      </c>
      <c r="K2094" s="1" t="s">
        <v>1198</v>
      </c>
      <c r="L2094" s="1" t="s">
        <v>11973</v>
      </c>
      <c r="M2094" s="2" t="s">
        <v>12</v>
      </c>
      <c r="N2094" s="4">
        <f t="shared" si="1"/>
        <v>44070</v>
      </c>
      <c r="O2094" s="5" t="str">
        <f>IFERROR(__xludf.DUMMYFUNCTION("IF(REGEXMATCH(TRIM(I2094), ""^\d+\s*min""), ""Unclassified"", IF(I2094 = """", ""NR"", I2094))"),"PG-13")</f>
        <v>PG-13</v>
      </c>
      <c r="R2094" s="5" t="str">
        <f t="shared" si="2"/>
        <v>The Young Messiah</v>
      </c>
      <c r="S2094" s="5" t="str">
        <f>IFERROR(__xludf.DUMMYFUNCTION("""COMPUTED_VALUE"""),"Dragons: Rescue Riders")</f>
        <v>Dragons: Rescue Riders</v>
      </c>
      <c r="U2094" s="5" t="str">
        <f>IFERROR(__xludf.DUMMYFUNCTION("""COMPUTED_VALUE"""),"Olivia M. Lamasan")</f>
        <v>Olivia M. Lamasan</v>
      </c>
      <c r="V2094" s="5" t="s">
        <v>11974</v>
      </c>
      <c r="W2094" s="5" t="str">
        <f t="shared" si="3"/>
        <v>Juan Antonio De La Riva</v>
      </c>
      <c r="X2094" s="5">
        <f t="shared" si="4"/>
        <v>1</v>
      </c>
      <c r="Y2094" s="5" t="str">
        <f>IFERROR(__xludf.DUMMYFUNCTION("REGEXEXTRACT(J2094, ""^\d+"")"),"111")</f>
        <v>111</v>
      </c>
      <c r="Z2094" s="5" t="str">
        <f>IFERROR(__xludf.DUMMYFUNCTION("REGEXEXTRACT(J2094, ""[A-Za-z ]+$"")")," min")</f>
        <v> min</v>
      </c>
      <c r="AA2094" s="5" t="str">
        <f>IFERROR(__xludf.DUMMYFUNCTION("IF(REGEXMATCH(Z2094, ""Season""), ""TV Show"", ""Movie"")"),"Movie")</f>
        <v>Movie</v>
      </c>
    </row>
    <row r="2095">
      <c r="A2095" s="1" t="s">
        <v>11975</v>
      </c>
      <c r="B2095" s="1" t="s">
        <v>37</v>
      </c>
      <c r="C2095" s="1" t="s">
        <v>11976</v>
      </c>
      <c r="E2095" s="1" t="s">
        <v>11977</v>
      </c>
      <c r="F2095" s="1" t="s">
        <v>1837</v>
      </c>
      <c r="G2095" s="1" t="s">
        <v>11978</v>
      </c>
      <c r="H2095" s="1">
        <v>2020.0</v>
      </c>
      <c r="I2095" s="1" t="s">
        <v>42</v>
      </c>
      <c r="J2095" s="1" t="s">
        <v>51</v>
      </c>
      <c r="K2095" s="1" t="s">
        <v>1339</v>
      </c>
      <c r="L2095" s="1" t="s">
        <v>11979</v>
      </c>
      <c r="M2095" s="2" t="s">
        <v>12</v>
      </c>
      <c r="N2095" s="4">
        <f t="shared" si="1"/>
        <v>44069</v>
      </c>
      <c r="O2095" s="5" t="str">
        <f>IFERROR(__xludf.DUMMYFUNCTION("IF(REGEXMATCH(TRIM(I2095), ""^\d+\s*min""), ""Unclassified"", IF(I2095 = """", ""NR"", I2095))"),"TV-MA")</f>
        <v>TV-MA</v>
      </c>
      <c r="R2095" s="5" t="str">
        <f t="shared" si="2"/>
        <v>Her Mother'S Killer</v>
      </c>
      <c r="S2095" s="5" t="str">
        <f>IFERROR(__xludf.DUMMYFUNCTION("""COMPUTED_VALUE"""),"Dragons: Rescue Riders: Hunt For The Golden Dragon")</f>
        <v>Dragons: Rescue Riders: Hunt For The Golden Dragon</v>
      </c>
      <c r="U2095" s="5" t="str">
        <f>IFERROR(__xludf.DUMMYFUNCTION("""COMPUTED_VALUE"""),"J.C. Chandor")</f>
        <v>J.C. Chandor</v>
      </c>
      <c r="V2095" s="5" t="s">
        <v>8936</v>
      </c>
      <c r="W2095" s="5" t="str">
        <f t="shared" si="3"/>
        <v>Juan Camilo Pinzon</v>
      </c>
      <c r="X2095" s="5">
        <f t="shared" si="4"/>
        <v>1</v>
      </c>
      <c r="Y2095" s="5" t="str">
        <f>IFERROR(__xludf.DUMMYFUNCTION("REGEXEXTRACT(J2095, ""^\d+"")"),"1")</f>
        <v>1</v>
      </c>
      <c r="Z2095" s="5" t="str">
        <f>IFERROR(__xludf.DUMMYFUNCTION("REGEXEXTRACT(J2095, ""[A-Za-z ]+$"")")," Season")</f>
        <v> Season</v>
      </c>
      <c r="AA2095" s="5" t="str">
        <f>IFERROR(__xludf.DUMMYFUNCTION("IF(REGEXMATCH(Z2095, ""Season""), ""TV Show"", ""Movie"")"),"TV Show")</f>
        <v>TV Show</v>
      </c>
    </row>
    <row r="2096">
      <c r="A2096" s="1" t="s">
        <v>11980</v>
      </c>
      <c r="B2096" s="1" t="s">
        <v>27</v>
      </c>
      <c r="C2096" s="1" t="s">
        <v>11981</v>
      </c>
      <c r="D2096" s="1" t="s">
        <v>9681</v>
      </c>
      <c r="E2096" s="1" t="s">
        <v>11982</v>
      </c>
      <c r="F2096" s="1" t="s">
        <v>11983</v>
      </c>
      <c r="G2096" s="1" t="s">
        <v>11978</v>
      </c>
      <c r="H2096" s="1">
        <v>2019.0</v>
      </c>
      <c r="I2096" s="1" t="s">
        <v>42</v>
      </c>
      <c r="J2096" s="1" t="s">
        <v>170</v>
      </c>
      <c r="K2096" s="1" t="s">
        <v>4958</v>
      </c>
      <c r="L2096" s="1" t="s">
        <v>11984</v>
      </c>
      <c r="M2096" s="2" t="s">
        <v>12</v>
      </c>
      <c r="N2096" s="4">
        <f t="shared" si="1"/>
        <v>44069</v>
      </c>
      <c r="O2096" s="5" t="str">
        <f>IFERROR(__xludf.DUMMYFUNCTION("IF(REGEXMATCH(TRIM(I2096), ""^\d+\s*min""), ""Unclassified"", IF(I2096 = """", ""NR"", I2096))"),"TV-MA")</f>
        <v>TV-MA</v>
      </c>
      <c r="R2096" s="5" t="str">
        <f t="shared" si="2"/>
        <v>Lingua Franca</v>
      </c>
      <c r="S2096" s="5" t="str">
        <f>IFERROR(__xludf.DUMMYFUNCTION("""COMPUTED_VALUE"""),"Dragons: Rescue Riders: Huttsgalor Holiday")</f>
        <v>Dragons: Rescue Riders: Huttsgalor Holiday</v>
      </c>
      <c r="U2096" s="5" t="str">
        <f>IFERROR(__xludf.DUMMYFUNCTION("""COMPUTED_VALUE"""),"Brian Klein")</f>
        <v>Brian Klein</v>
      </c>
      <c r="V2096" s="5" t="s">
        <v>1802</v>
      </c>
      <c r="W2096" s="5" t="str">
        <f t="shared" si="3"/>
        <v>Juan Carlos Medina</v>
      </c>
      <c r="X2096" s="5">
        <f t="shared" si="4"/>
        <v>1</v>
      </c>
      <c r="Y2096" s="5" t="str">
        <f>IFERROR(__xludf.DUMMYFUNCTION("REGEXEXTRACT(J2096, ""^\d+"")"),"94")</f>
        <v>94</v>
      </c>
      <c r="Z2096" s="5" t="str">
        <f>IFERROR(__xludf.DUMMYFUNCTION("REGEXEXTRACT(J2096, ""[A-Za-z ]+$"")")," min")</f>
        <v> min</v>
      </c>
      <c r="AA2096" s="5" t="str">
        <f>IFERROR(__xludf.DUMMYFUNCTION("IF(REGEXMATCH(Z2096, ""Season""), ""TV Show"", ""Movie"")"),"Movie")</f>
        <v>Movie</v>
      </c>
    </row>
    <row r="2097">
      <c r="A2097" s="1" t="s">
        <v>11985</v>
      </c>
      <c r="B2097" s="1" t="s">
        <v>27</v>
      </c>
      <c r="C2097" s="1" t="s">
        <v>11986</v>
      </c>
      <c r="D2097" s="1" t="s">
        <v>11987</v>
      </c>
      <c r="E2097" s="1" t="s">
        <v>11988</v>
      </c>
      <c r="F2097" s="1" t="s">
        <v>30</v>
      </c>
      <c r="G2097" s="1" t="s">
        <v>11978</v>
      </c>
      <c r="H2097" s="1">
        <v>2020.0</v>
      </c>
      <c r="I2097" s="1" t="s">
        <v>42</v>
      </c>
      <c r="J2097" s="1" t="s">
        <v>5846</v>
      </c>
      <c r="K2097" s="1" t="s">
        <v>34</v>
      </c>
      <c r="L2097" s="1" t="s">
        <v>11989</v>
      </c>
      <c r="M2097" s="2" t="s">
        <v>12</v>
      </c>
      <c r="N2097" s="4">
        <f t="shared" si="1"/>
        <v>44069</v>
      </c>
      <c r="O2097" s="5" t="str">
        <f>IFERROR(__xludf.DUMMYFUNCTION("IF(REGEXMATCH(TRIM(I2097), ""^\d+\s*min""), ""Unclassified"", IF(I2097 = """", ""NR"", I2097))"),"TV-MA")</f>
        <v>TV-MA</v>
      </c>
      <c r="R2097" s="5" t="str">
        <f t="shared" si="2"/>
        <v>Making The Witcher</v>
      </c>
      <c r="S2097" s="5" t="str">
        <f>IFERROR(__xludf.DUMMYFUNCTION("""COMPUTED_VALUE"""),"Dragons: Rescue Riders: Secrets Of The Songwing")</f>
        <v>Dragons: Rescue Riders: Secrets Of The Songwing</v>
      </c>
      <c r="U2097" s="5" t="str">
        <f>IFERROR(__xludf.DUMMYFUNCTION("""COMPUTED_VALUE"""),"Ibrahim Bin Mohamed, Hasan Aljaberi")</f>
        <v>Ibrahim Bin Mohamed, Hasan Aljaberi</v>
      </c>
      <c r="V2097" s="5" t="s">
        <v>11990</v>
      </c>
      <c r="W2097" s="5" t="str">
        <f t="shared" si="3"/>
        <v>Juan Carlos Rulfo</v>
      </c>
      <c r="X2097" s="5">
        <f t="shared" si="4"/>
        <v>1</v>
      </c>
      <c r="Y2097" s="5" t="str">
        <f>IFERROR(__xludf.DUMMYFUNCTION("REGEXEXTRACT(J2097, ""^\d+"")"),"33")</f>
        <v>33</v>
      </c>
      <c r="Z2097" s="5" t="str">
        <f>IFERROR(__xludf.DUMMYFUNCTION("REGEXEXTRACT(J2097, ""[A-Za-z ]+$"")")," min")</f>
        <v> min</v>
      </c>
      <c r="AA2097" s="5" t="str">
        <f>IFERROR(__xludf.DUMMYFUNCTION("IF(REGEXMATCH(Z2097, ""Season""), ""TV Show"", ""Movie"")"),"Movie")</f>
        <v>Movie</v>
      </c>
    </row>
    <row r="2098">
      <c r="A2098" s="1" t="s">
        <v>11991</v>
      </c>
      <c r="B2098" s="1" t="s">
        <v>37</v>
      </c>
      <c r="C2098" s="1" t="s">
        <v>11992</v>
      </c>
      <c r="F2098" s="1" t="s">
        <v>30</v>
      </c>
      <c r="G2098" s="1" t="s">
        <v>11978</v>
      </c>
      <c r="H2098" s="1">
        <v>2020.0</v>
      </c>
      <c r="I2098" s="1" t="s">
        <v>42</v>
      </c>
      <c r="J2098" s="1" t="s">
        <v>51</v>
      </c>
      <c r="K2098" s="1" t="s">
        <v>440</v>
      </c>
      <c r="L2098" s="1" t="s">
        <v>11993</v>
      </c>
      <c r="M2098" s="2" t="s">
        <v>12</v>
      </c>
      <c r="N2098" s="4">
        <f t="shared" si="1"/>
        <v>44069</v>
      </c>
      <c r="O2098" s="5" t="str">
        <f>IFERROR(__xludf.DUMMYFUNCTION("IF(REGEXMATCH(TRIM(I2098), ""^\d+\s*min""), ""Unclassified"", IF(I2098 = """", ""NR"", I2098))"),"TV-MA")</f>
        <v>TV-MA</v>
      </c>
      <c r="R2098" s="5" t="str">
        <f t="shared" si="2"/>
        <v>Million Dollar Beach House</v>
      </c>
      <c r="S2098" s="5" t="str">
        <f>IFERROR(__xludf.DUMMYFUNCTION("""COMPUTED_VALUE"""),"Dramaworld")</f>
        <v>Dramaworld</v>
      </c>
      <c r="U2098" s="5" t="str">
        <f>IFERROR(__xludf.DUMMYFUNCTION("""COMPUTED_VALUE"""),"Clark Johnson")</f>
        <v>Clark Johnson</v>
      </c>
      <c r="V2098" s="5" t="s">
        <v>11994</v>
      </c>
      <c r="W2098" s="5" t="str">
        <f t="shared" si="3"/>
        <v>Juan José Campanella</v>
      </c>
      <c r="X2098" s="5">
        <f t="shared" si="4"/>
        <v>1</v>
      </c>
      <c r="Y2098" s="5" t="str">
        <f>IFERROR(__xludf.DUMMYFUNCTION("REGEXEXTRACT(J2098, ""^\d+"")"),"1")</f>
        <v>1</v>
      </c>
      <c r="Z2098" s="5" t="str">
        <f>IFERROR(__xludf.DUMMYFUNCTION("REGEXEXTRACT(J2098, ""[A-Za-z ]+$"")")," Season")</f>
        <v> Season</v>
      </c>
      <c r="AA2098" s="5" t="str">
        <f>IFERROR(__xludf.DUMMYFUNCTION("IF(REGEXMATCH(Z2098, ""Season""), ""TV Show"", ""Movie"")"),"TV Show")</f>
        <v>TV Show</v>
      </c>
    </row>
    <row r="2099">
      <c r="A2099" s="1" t="s">
        <v>11995</v>
      </c>
      <c r="B2099" s="1" t="s">
        <v>27</v>
      </c>
      <c r="C2099" s="1" t="s">
        <v>11996</v>
      </c>
      <c r="F2099" s="1" t="s">
        <v>96</v>
      </c>
      <c r="G2099" s="1" t="s">
        <v>11978</v>
      </c>
      <c r="H2099" s="1">
        <v>2020.0</v>
      </c>
      <c r="I2099" s="1" t="s">
        <v>32</v>
      </c>
      <c r="J2099" s="1" t="s">
        <v>1256</v>
      </c>
      <c r="K2099" s="1" t="s">
        <v>520</v>
      </c>
      <c r="L2099" s="1" t="s">
        <v>11997</v>
      </c>
      <c r="M2099" s="2" t="s">
        <v>12</v>
      </c>
      <c r="N2099" s="4">
        <f t="shared" si="1"/>
        <v>44069</v>
      </c>
      <c r="O2099" s="5" t="str">
        <f>IFERROR(__xludf.DUMMYFUNCTION("IF(REGEXMATCH(TRIM(I2099), ""^\d+\s*min""), ""Unclassified"", IF(I2099 = """", ""NR"", I2099))"),"PG-13")</f>
        <v>PG-13</v>
      </c>
      <c r="R2099" s="5" t="str">
        <f t="shared" si="2"/>
        <v>Rising Phoenix</v>
      </c>
      <c r="S2099" s="5" t="str">
        <f>IFERROR(__xludf.DUMMYFUNCTION("""COMPUTED_VALUE"""),"Dream Big: Engineering Our World")</f>
        <v>Dream Big: Engineering Our World</v>
      </c>
      <c r="U2099" s="5" t="str">
        <f>IFERROR(__xludf.DUMMYFUNCTION("""COMPUTED_VALUE"""),"Emmanuel Mouret")</f>
        <v>Emmanuel Mouret</v>
      </c>
      <c r="V2099" s="5" t="s">
        <v>11998</v>
      </c>
      <c r="W2099" s="5" t="str">
        <f t="shared" si="3"/>
        <v>Juan Manuel Cotelo</v>
      </c>
      <c r="X2099" s="5">
        <f t="shared" si="4"/>
        <v>1</v>
      </c>
      <c r="Y2099" s="5" t="str">
        <f>IFERROR(__xludf.DUMMYFUNCTION("REGEXEXTRACT(J2099, ""^\d+"")"),"107")</f>
        <v>107</v>
      </c>
      <c r="Z2099" s="5" t="str">
        <f>IFERROR(__xludf.DUMMYFUNCTION("REGEXEXTRACT(J2099, ""[A-Za-z ]+$"")")," min")</f>
        <v> min</v>
      </c>
      <c r="AA2099" s="5" t="str">
        <f>IFERROR(__xludf.DUMMYFUNCTION("IF(REGEXMATCH(Z2099, ""Season""), ""TV Show"", ""Movie"")"),"Movie")</f>
        <v>Movie</v>
      </c>
    </row>
    <row r="2100">
      <c r="A2100" s="1" t="s">
        <v>11999</v>
      </c>
      <c r="B2100" s="1" t="s">
        <v>37</v>
      </c>
      <c r="C2100" s="1" t="s">
        <v>12000</v>
      </c>
      <c r="E2100" s="1" t="s">
        <v>12001</v>
      </c>
      <c r="F2100" s="1" t="s">
        <v>30</v>
      </c>
      <c r="G2100" s="1" t="s">
        <v>12002</v>
      </c>
      <c r="H2100" s="1">
        <v>2020.0</v>
      </c>
      <c r="I2100" s="1" t="s">
        <v>206</v>
      </c>
      <c r="J2100" s="1" t="s">
        <v>51</v>
      </c>
      <c r="K2100" s="1" t="s">
        <v>290</v>
      </c>
      <c r="L2100" s="1" t="s">
        <v>12003</v>
      </c>
      <c r="M2100" s="2" t="s">
        <v>12</v>
      </c>
      <c r="N2100" s="4">
        <f t="shared" si="1"/>
        <v>44068</v>
      </c>
      <c r="O2100" s="5" t="str">
        <f>IFERROR(__xludf.DUMMYFUNCTION("IF(REGEXMATCH(TRIM(I2100), ""^\d+\s*min""), ""Unclassified"", IF(I2100 = """", ""NR"", I2100))"),"TV-Y")</f>
        <v>TV-Y</v>
      </c>
      <c r="R2100" s="5" t="str">
        <f t="shared" si="2"/>
        <v>Emily'S Wonder Lab</v>
      </c>
      <c r="S2100" s="5" t="str">
        <f>IFERROR(__xludf.DUMMYFUNCTION("""COMPUTED_VALUE"""),"Dream Boat")</f>
        <v>Dream Boat</v>
      </c>
      <c r="U2100" s="5" t="str">
        <f>IFERROR(__xludf.DUMMYFUNCTION("""COMPUTED_VALUE"""),"Conor Allyn")</f>
        <v>Conor Allyn</v>
      </c>
      <c r="V2100" s="5" t="s">
        <v>12004</v>
      </c>
      <c r="W2100" s="5" t="str">
        <f t="shared" si="3"/>
        <v>Juan Pablo Buscarini</v>
      </c>
      <c r="X2100" s="5">
        <f t="shared" si="4"/>
        <v>1</v>
      </c>
      <c r="Y2100" s="5" t="str">
        <f>IFERROR(__xludf.DUMMYFUNCTION("REGEXEXTRACT(J2100, ""^\d+"")"),"1")</f>
        <v>1</v>
      </c>
      <c r="Z2100" s="5" t="str">
        <f>IFERROR(__xludf.DUMMYFUNCTION("REGEXEXTRACT(J2100, ""[A-Za-z ]+$"")")," Season")</f>
        <v> Season</v>
      </c>
      <c r="AA2100" s="5" t="str">
        <f>IFERROR(__xludf.DUMMYFUNCTION("IF(REGEXMATCH(Z2100, ""Season""), ""TV Show"", ""Movie"")"),"TV Show")</f>
        <v>TV Show</v>
      </c>
    </row>
    <row r="2101">
      <c r="A2101" s="1" t="s">
        <v>12005</v>
      </c>
      <c r="B2101" s="1" t="s">
        <v>37</v>
      </c>
      <c r="C2101" s="1" t="s">
        <v>12006</v>
      </c>
      <c r="E2101" s="1" t="s">
        <v>12007</v>
      </c>
      <c r="F2101" s="1" t="s">
        <v>30</v>
      </c>
      <c r="G2101" s="1" t="s">
        <v>12002</v>
      </c>
      <c r="H2101" s="1">
        <v>2020.0</v>
      </c>
      <c r="I2101" s="1" t="s">
        <v>42</v>
      </c>
      <c r="J2101" s="1" t="s">
        <v>43</v>
      </c>
      <c r="K2101" s="1" t="s">
        <v>2192</v>
      </c>
      <c r="L2101" s="1" t="s">
        <v>12008</v>
      </c>
      <c r="M2101" s="2" t="s">
        <v>12</v>
      </c>
      <c r="N2101" s="4">
        <f t="shared" si="1"/>
        <v>44068</v>
      </c>
      <c r="O2101" s="5" t="str">
        <f>IFERROR(__xludf.DUMMYFUNCTION("IF(REGEXMATCH(TRIM(I2101), ""^\d+\s*min""), ""Unclassified"", IF(I2101 = """", ""NR"", I2101))"),"TV-MA")</f>
        <v>TV-MA</v>
      </c>
      <c r="R2101" s="5" t="str">
        <f t="shared" si="2"/>
        <v>Trinkets</v>
      </c>
      <c r="S2101" s="5" t="str">
        <f>IFERROR(__xludf.DUMMYFUNCTION("""COMPUTED_VALUE"""),"Dream Home Makeover")</f>
        <v>Dream Home Makeover</v>
      </c>
      <c r="U2101" s="5" t="str">
        <f>IFERROR(__xludf.DUMMYFUNCTION("""COMPUTED_VALUE"""),"Nuel Naval")</f>
        <v>Nuel Naval</v>
      </c>
      <c r="V2101" s="5" t="s">
        <v>12009</v>
      </c>
      <c r="W2101" s="5" t="str">
        <f t="shared" si="3"/>
        <v>Juan Zapata</v>
      </c>
      <c r="X2101" s="5">
        <f t="shared" si="4"/>
        <v>1</v>
      </c>
      <c r="Y2101" s="5" t="str">
        <f>IFERROR(__xludf.DUMMYFUNCTION("REGEXEXTRACT(J2101, ""^\d+"")"),"2")</f>
        <v>2</v>
      </c>
      <c r="Z2101" s="5" t="str">
        <f>IFERROR(__xludf.DUMMYFUNCTION("REGEXEXTRACT(J2101, ""[A-Za-z ]+$"")")," Seasons")</f>
        <v> Seasons</v>
      </c>
      <c r="AA2101" s="5" t="str">
        <f>IFERROR(__xludf.DUMMYFUNCTION("IF(REGEXMATCH(Z2101, ""Season""), ""TV Show"", ""Movie"")"),"TV Show")</f>
        <v>TV Show</v>
      </c>
    </row>
    <row r="2102">
      <c r="A2102" s="1" t="s">
        <v>12010</v>
      </c>
      <c r="B2102" s="1" t="s">
        <v>27</v>
      </c>
      <c r="C2102" s="1" t="s">
        <v>12011</v>
      </c>
      <c r="D2102" s="1" t="s">
        <v>12012</v>
      </c>
      <c r="E2102" s="1" t="s">
        <v>12013</v>
      </c>
      <c r="F2102" s="1" t="s">
        <v>30</v>
      </c>
      <c r="G2102" s="1" t="s">
        <v>12014</v>
      </c>
      <c r="H2102" s="1">
        <v>2016.0</v>
      </c>
      <c r="I2102" s="1" t="s">
        <v>32</v>
      </c>
      <c r="J2102" s="1" t="s">
        <v>297</v>
      </c>
      <c r="K2102" s="1" t="s">
        <v>394</v>
      </c>
      <c r="L2102" s="1" t="s">
        <v>12015</v>
      </c>
      <c r="M2102" s="2" t="s">
        <v>12</v>
      </c>
      <c r="N2102" s="4">
        <f t="shared" si="1"/>
        <v>44067</v>
      </c>
      <c r="O2102" s="5" t="str">
        <f>IFERROR(__xludf.DUMMYFUNCTION("IF(REGEXMATCH(TRIM(I2102), ""^\d+\s*min""), ""Unclassified"", IF(I2102 = """", ""NR"", I2102))"),"PG-13")</f>
        <v>PG-13</v>
      </c>
      <c r="R2102" s="5" t="str">
        <f t="shared" si="2"/>
        <v>Septembers Of Shiraz</v>
      </c>
      <c r="S2102" s="5" t="str">
        <f>IFERROR(__xludf.DUMMYFUNCTION("""COMPUTED_VALUE"""),"Dream/Killer")</f>
        <v>Dream/Killer</v>
      </c>
      <c r="U2102" s="5" t="str">
        <f>IFERROR(__xludf.DUMMYFUNCTION("""COMPUTED_VALUE"""),"Keoni Waxman")</f>
        <v>Keoni Waxman</v>
      </c>
      <c r="V2102" s="5" t="s">
        <v>12016</v>
      </c>
      <c r="W2102" s="5" t="str">
        <f t="shared" si="3"/>
        <v>Juani Libonatti</v>
      </c>
      <c r="X2102" s="5">
        <f t="shared" si="4"/>
        <v>1</v>
      </c>
      <c r="Y2102" s="5" t="str">
        <f>IFERROR(__xludf.DUMMYFUNCTION("REGEXEXTRACT(J2102, ""^\d+"")"),"110")</f>
        <v>110</v>
      </c>
      <c r="Z2102" s="5" t="str">
        <f>IFERROR(__xludf.DUMMYFUNCTION("REGEXEXTRACT(J2102, ""[A-Za-z ]+$"")")," min")</f>
        <v> min</v>
      </c>
      <c r="AA2102" s="5" t="str">
        <f>IFERROR(__xludf.DUMMYFUNCTION("IF(REGEXMATCH(Z2102, ""Season""), ""TV Show"", ""Movie"")"),"Movie")</f>
        <v>Movie</v>
      </c>
    </row>
    <row r="2103">
      <c r="A2103" s="1" t="s">
        <v>12017</v>
      </c>
      <c r="B2103" s="1" t="s">
        <v>37</v>
      </c>
      <c r="C2103" s="1" t="s">
        <v>12018</v>
      </c>
      <c r="G2103" s="1" t="s">
        <v>12019</v>
      </c>
      <c r="H2103" s="1">
        <v>2019.0</v>
      </c>
      <c r="I2103" s="1" t="s">
        <v>42</v>
      </c>
      <c r="J2103" s="1" t="s">
        <v>51</v>
      </c>
      <c r="K2103" s="1" t="s">
        <v>12020</v>
      </c>
      <c r="L2103" s="1" t="s">
        <v>12021</v>
      </c>
      <c r="M2103" s="2" t="s">
        <v>12</v>
      </c>
      <c r="N2103" s="4">
        <f t="shared" si="1"/>
        <v>44065</v>
      </c>
      <c r="O2103" s="5" t="str">
        <f>IFERROR(__xludf.DUMMYFUNCTION("IF(REGEXMATCH(TRIM(I2103), ""^\d+\s*min""), ""Unclassified"", IF(I2103 = """", ""NR"", I2103))"),"TV-MA")</f>
        <v>TV-MA</v>
      </c>
      <c r="R2103" s="5" t="str">
        <f t="shared" si="2"/>
        <v>Baewatch: Parental Guidance</v>
      </c>
      <c r="S2103" s="5" t="str">
        <f>IFERROR(__xludf.DUMMYFUNCTION("""COMPUTED_VALUE"""),"Dreamworks Happy Holidays From Madagascar")</f>
        <v>Dreamworks Happy Holidays From Madagascar</v>
      </c>
      <c r="U2103" s="5" t="str">
        <f>IFERROR(__xludf.DUMMYFUNCTION("""COMPUTED_VALUE"""),"Isao Yukisada")</f>
        <v>Isao Yukisada</v>
      </c>
      <c r="V2103" s="5" t="s">
        <v>12022</v>
      </c>
      <c r="W2103" s="5" t="str">
        <f t="shared" si="3"/>
        <v>Judah Friedlander</v>
      </c>
      <c r="X2103" s="5">
        <f t="shared" si="4"/>
        <v>1</v>
      </c>
      <c r="Y2103" s="5" t="str">
        <f>IFERROR(__xludf.DUMMYFUNCTION("REGEXEXTRACT(J2103, ""^\d+"")"),"1")</f>
        <v>1</v>
      </c>
      <c r="Z2103" s="5" t="str">
        <f>IFERROR(__xludf.DUMMYFUNCTION("REGEXEXTRACT(J2103, ""[A-Za-z ]+$"")")," Season")</f>
        <v> Season</v>
      </c>
      <c r="AA2103" s="5" t="str">
        <f>IFERROR(__xludf.DUMMYFUNCTION("IF(REGEXMATCH(Z2103, ""Season""), ""TV Show"", ""Movie"")"),"TV Show")</f>
        <v>TV Show</v>
      </c>
    </row>
    <row r="2104">
      <c r="A2104" s="1" t="s">
        <v>12023</v>
      </c>
      <c r="B2104" s="1" t="s">
        <v>37</v>
      </c>
      <c r="C2104" s="1" t="s">
        <v>12024</v>
      </c>
      <c r="E2104" s="6" t="s">
        <v>12025</v>
      </c>
      <c r="F2104" s="1" t="s">
        <v>400</v>
      </c>
      <c r="G2104" s="1" t="s">
        <v>12019</v>
      </c>
      <c r="H2104" s="1">
        <v>2013.0</v>
      </c>
      <c r="I2104" s="1" t="s">
        <v>506</v>
      </c>
      <c r="J2104" s="1" t="s">
        <v>51</v>
      </c>
      <c r="K2104" s="1" t="s">
        <v>1294</v>
      </c>
      <c r="L2104" s="1" t="s">
        <v>12026</v>
      </c>
      <c r="M2104" s="2" t="s">
        <v>12</v>
      </c>
      <c r="N2104" s="4">
        <f t="shared" si="1"/>
        <v>44065</v>
      </c>
      <c r="O2104" s="5" t="str">
        <f>IFERROR(__xludf.DUMMYFUNCTION("IF(REGEXMATCH(TRIM(I2104), ""^\d+\s*min""), ""Unclassified"", IF(I2104 = """", ""NR"", I2104))"),"TV-G")</f>
        <v>TV-G</v>
      </c>
      <c r="R2104" s="5" t="str">
        <f t="shared" si="2"/>
        <v>Ojos In D' House</v>
      </c>
      <c r="S2104" s="5" t="str">
        <f>IFERROR(__xludf.DUMMYFUNCTION("""COMPUTED_VALUE"""),"Dreamworks Holiday Classics")</f>
        <v>Dreamworks Holiday Classics</v>
      </c>
      <c r="U2104" s="5" t="str">
        <f>IFERROR(__xludf.DUMMYFUNCTION("""COMPUTED_VALUE"""),"A.R. Murugadoss")</f>
        <v>A.R. Murugadoss</v>
      </c>
      <c r="V2104" s="5" t="s">
        <v>12027</v>
      </c>
      <c r="W2104" s="5" t="str">
        <f t="shared" si="3"/>
        <v>Jude Okwudiafor Johnson</v>
      </c>
      <c r="X2104" s="5">
        <f t="shared" si="4"/>
        <v>1</v>
      </c>
      <c r="Y2104" s="5" t="str">
        <f>IFERROR(__xludf.DUMMYFUNCTION("REGEXEXTRACT(J2104, ""^\d+"")"),"1")</f>
        <v>1</v>
      </c>
      <c r="Z2104" s="5" t="str">
        <f>IFERROR(__xludf.DUMMYFUNCTION("REGEXEXTRACT(J2104, ""[A-Za-z ]+$"")")," Season")</f>
        <v> Season</v>
      </c>
      <c r="AA2104" s="5" t="str">
        <f>IFERROR(__xludf.DUMMYFUNCTION("IF(REGEXMATCH(Z2104, ""Season""), ""TV Show"", ""Movie"")"),"TV Show")</f>
        <v>TV Show</v>
      </c>
    </row>
    <row r="2105">
      <c r="A2105" s="1" t="s">
        <v>12028</v>
      </c>
      <c r="B2105" s="1" t="s">
        <v>27</v>
      </c>
      <c r="C2105" s="1" t="s">
        <v>12029</v>
      </c>
      <c r="D2105" s="1" t="s">
        <v>2737</v>
      </c>
      <c r="E2105" s="1" t="s">
        <v>12030</v>
      </c>
      <c r="F2105" s="1" t="s">
        <v>63</v>
      </c>
      <c r="G2105" s="1" t="s">
        <v>12031</v>
      </c>
      <c r="H2105" s="1">
        <v>2020.0</v>
      </c>
      <c r="I2105" s="1" t="s">
        <v>97</v>
      </c>
      <c r="J2105" s="1" t="s">
        <v>357</v>
      </c>
      <c r="K2105" s="1" t="s">
        <v>298</v>
      </c>
      <c r="L2105" s="1" t="s">
        <v>12032</v>
      </c>
      <c r="M2105" s="2" t="s">
        <v>12</v>
      </c>
      <c r="N2105" s="4">
        <f t="shared" si="1"/>
        <v>44064</v>
      </c>
      <c r="O2105" s="5" t="str">
        <f>IFERROR(__xludf.DUMMYFUNCTION("IF(REGEXMATCH(TRIM(I2105), ""^\d+\s*min""), ""Unclassified"", IF(I2105 = """", ""NR"", I2105))"),"TV-14")</f>
        <v>TV-14</v>
      </c>
      <c r="R2105" s="5" t="str">
        <f t="shared" si="2"/>
        <v>Class Of '83</v>
      </c>
      <c r="S2105" s="5" t="str">
        <f>IFERROR(__xludf.DUMMYFUNCTION("""COMPUTED_VALUE"""),"Dreamworks Home: For The Holidays")</f>
        <v>Dreamworks Home: For The Holidays</v>
      </c>
      <c r="U2105" s="5" t="str">
        <f>IFERROR(__xludf.DUMMYFUNCTION("""COMPUTED_VALUE"""),"Fritz Ofner")</f>
        <v>Fritz Ofner</v>
      </c>
      <c r="V2105" s="5" t="s">
        <v>8064</v>
      </c>
      <c r="W2105" s="5" t="str">
        <f t="shared" si="3"/>
        <v>Jude Weng</v>
      </c>
      <c r="X2105" s="5">
        <f t="shared" si="4"/>
        <v>1</v>
      </c>
      <c r="Y2105" s="5" t="str">
        <f>IFERROR(__xludf.DUMMYFUNCTION("REGEXEXTRACT(J2105, ""^\d+"")"),"98")</f>
        <v>98</v>
      </c>
      <c r="Z2105" s="5" t="str">
        <f>IFERROR(__xludf.DUMMYFUNCTION("REGEXEXTRACT(J2105, ""[A-Za-z ]+$"")")," min")</f>
        <v> min</v>
      </c>
      <c r="AA2105" s="5" t="str">
        <f>IFERROR(__xludf.DUMMYFUNCTION("IF(REGEXMATCH(Z2105, ""Season""), ""TV Show"", ""Movie"")"),"Movie")</f>
        <v>Movie</v>
      </c>
    </row>
    <row r="2106">
      <c r="A2106" s="1" t="s">
        <v>12033</v>
      </c>
      <c r="B2106" s="1" t="s">
        <v>27</v>
      </c>
      <c r="C2106" s="1" t="s">
        <v>12034</v>
      </c>
      <c r="D2106" s="1" t="s">
        <v>3298</v>
      </c>
      <c r="E2106" s="1" t="s">
        <v>12035</v>
      </c>
      <c r="F2106" s="1" t="s">
        <v>162</v>
      </c>
      <c r="G2106" s="1" t="s">
        <v>12031</v>
      </c>
      <c r="H2106" s="1">
        <v>2020.0</v>
      </c>
      <c r="I2106" s="1" t="s">
        <v>42</v>
      </c>
      <c r="J2106" s="1" t="s">
        <v>2452</v>
      </c>
      <c r="K2106" s="1" t="s">
        <v>1972</v>
      </c>
      <c r="L2106" s="1" t="s">
        <v>12036</v>
      </c>
      <c r="M2106" s="2" t="s">
        <v>12</v>
      </c>
      <c r="N2106" s="4">
        <f t="shared" si="1"/>
        <v>44064</v>
      </c>
      <c r="O2106" s="5" t="str">
        <f>IFERROR(__xludf.DUMMYFUNCTION("IF(REGEXMATCH(TRIM(I2106), ""^\d+\s*min""), ""Unclassified"", IF(I2106 = """", ""NR"", I2106))"),"TV-MA")</f>
        <v>TV-MA</v>
      </c>
      <c r="R2106" s="5" t="str">
        <f t="shared" si="2"/>
        <v>Dark Forces</v>
      </c>
      <c r="S2106" s="5" t="str">
        <f>IFERROR(__xludf.DUMMYFUNCTION("""COMPUTED_VALUE"""),"Dreamworks How To Train Your Dragon Legends")</f>
        <v>Dreamworks How To Train Your Dragon Legends</v>
      </c>
      <c r="U2106" s="5" t="str">
        <f>IFERROR(__xludf.DUMMYFUNCTION("""COMPUTED_VALUE"""),"Nottapon Boonprakob")</f>
        <v>Nottapon Boonprakob</v>
      </c>
      <c r="V2106" s="5" t="s">
        <v>12037</v>
      </c>
      <c r="W2106" s="5" t="str">
        <f t="shared" si="3"/>
        <v>Julia Hart</v>
      </c>
      <c r="X2106" s="5">
        <f t="shared" si="4"/>
        <v>1</v>
      </c>
      <c r="Y2106" s="5" t="str">
        <f>IFERROR(__xludf.DUMMYFUNCTION("REGEXEXTRACT(J2106, ""^\d+"")"),"81")</f>
        <v>81</v>
      </c>
      <c r="Z2106" s="5" t="str">
        <f>IFERROR(__xludf.DUMMYFUNCTION("REGEXEXTRACT(J2106, ""[A-Za-z ]+$"")")," min")</f>
        <v> min</v>
      </c>
      <c r="AA2106" s="5" t="str">
        <f>IFERROR(__xludf.DUMMYFUNCTION("IF(REGEXMATCH(Z2106, ""Season""), ""TV Show"", ""Movie"")"),"Movie")</f>
        <v>Movie</v>
      </c>
    </row>
    <row r="2107">
      <c r="A2107" s="1" t="s">
        <v>12038</v>
      </c>
      <c r="B2107" s="1" t="s">
        <v>37</v>
      </c>
      <c r="C2107" s="1" t="s">
        <v>12039</v>
      </c>
      <c r="E2107" s="1" t="s">
        <v>12040</v>
      </c>
      <c r="F2107" s="1" t="s">
        <v>30</v>
      </c>
      <c r="G2107" s="1" t="s">
        <v>12031</v>
      </c>
      <c r="H2107" s="1">
        <v>2020.0</v>
      </c>
      <c r="I2107" s="1" t="s">
        <v>42</v>
      </c>
      <c r="J2107" s="1" t="s">
        <v>51</v>
      </c>
      <c r="K2107" s="1" t="s">
        <v>270</v>
      </c>
      <c r="L2107" s="1" t="s">
        <v>12041</v>
      </c>
      <c r="M2107" s="2" t="s">
        <v>12</v>
      </c>
      <c r="N2107" s="4">
        <f t="shared" si="1"/>
        <v>44064</v>
      </c>
      <c r="O2107" s="5" t="str">
        <f>IFERROR(__xludf.DUMMYFUNCTION("IF(REGEXMATCH(TRIM(I2107), ""^\d+\s*min""), ""Unclassified"", IF(I2107 = """", ""NR"", I2107))"),"TV-MA")</f>
        <v>TV-MA</v>
      </c>
      <c r="R2107" s="5" t="str">
        <f t="shared" si="2"/>
        <v>Hoops</v>
      </c>
      <c r="S2107" s="5" t="str">
        <f>IFERROR(__xludf.DUMMYFUNCTION("""COMPUTED_VALUE"""),"Dreamworks Kung Fu Panda Awesome Secrets")</f>
        <v>Dreamworks Kung Fu Panda Awesome Secrets</v>
      </c>
      <c r="U2107" s="5" t="str">
        <f>IFERROR(__xludf.DUMMYFUNCTION("""COMPUTED_VALUE"""),"Xavier Gens")</f>
        <v>Xavier Gens</v>
      </c>
      <c r="V2107" s="5" t="s">
        <v>12042</v>
      </c>
      <c r="W2107" s="5" t="str">
        <f t="shared" si="3"/>
        <v>Julia Knowles</v>
      </c>
      <c r="X2107" s="5">
        <f t="shared" si="4"/>
        <v>1</v>
      </c>
      <c r="Y2107" s="5" t="str">
        <f>IFERROR(__xludf.DUMMYFUNCTION("REGEXEXTRACT(J2107, ""^\d+"")"),"1")</f>
        <v>1</v>
      </c>
      <c r="Z2107" s="5" t="str">
        <f>IFERROR(__xludf.DUMMYFUNCTION("REGEXEXTRACT(J2107, ""[A-Za-z ]+$"")")," Season")</f>
        <v> Season</v>
      </c>
      <c r="AA2107" s="5" t="str">
        <f>IFERROR(__xludf.DUMMYFUNCTION("IF(REGEXMATCH(Z2107, ""Season""), ""TV Show"", ""Movie"")"),"TV Show")</f>
        <v>TV Show</v>
      </c>
    </row>
    <row r="2108">
      <c r="A2108" s="1" t="s">
        <v>12043</v>
      </c>
      <c r="B2108" s="1" t="s">
        <v>37</v>
      </c>
      <c r="C2108" s="1" t="s">
        <v>12044</v>
      </c>
      <c r="E2108" s="1" t="s">
        <v>12045</v>
      </c>
      <c r="F2108" s="1" t="s">
        <v>1106</v>
      </c>
      <c r="G2108" s="1" t="s">
        <v>12031</v>
      </c>
      <c r="H2108" s="1">
        <v>2020.0</v>
      </c>
      <c r="I2108" s="1" t="s">
        <v>97</v>
      </c>
      <c r="J2108" s="1" t="s">
        <v>276</v>
      </c>
      <c r="K2108" s="1" t="s">
        <v>1520</v>
      </c>
      <c r="L2108" s="1" t="s">
        <v>12046</v>
      </c>
      <c r="M2108" s="2" t="s">
        <v>12</v>
      </c>
      <c r="N2108" s="4">
        <f t="shared" si="1"/>
        <v>44064</v>
      </c>
      <c r="O2108" s="5" t="str">
        <f>IFERROR(__xludf.DUMMYFUNCTION("IF(REGEXMATCH(TRIM(I2108), ""^\d+\s*min""), ""Unclassified"", IF(I2108 = """", ""NR"", I2108))"),"TV-14")</f>
        <v>TV-14</v>
      </c>
      <c r="R2108" s="5" t="str">
        <f t="shared" si="2"/>
        <v>Rust Valley Restorers</v>
      </c>
      <c r="S2108" s="5" t="str">
        <f>IFERROR(__xludf.DUMMYFUNCTION("""COMPUTED_VALUE"""),"Dreamworks Shrek'S Swamp Stories")</f>
        <v>Dreamworks Shrek'S Swamp Stories</v>
      </c>
      <c r="U2108" s="5" t="str">
        <f>IFERROR(__xludf.DUMMYFUNCTION("""COMPUTED_VALUE"""),"Jonathan A. Rosenbaum")</f>
        <v>Jonathan A. Rosenbaum</v>
      </c>
      <c r="V2108" s="5" t="s">
        <v>12047</v>
      </c>
      <c r="W2108" s="5" t="str">
        <f t="shared" si="3"/>
        <v>Julia Von Heinz</v>
      </c>
      <c r="X2108" s="5">
        <f t="shared" si="4"/>
        <v>1</v>
      </c>
      <c r="Y2108" s="5" t="str">
        <f>IFERROR(__xludf.DUMMYFUNCTION("REGEXEXTRACT(J2108, ""^\d+"")"),"3")</f>
        <v>3</v>
      </c>
      <c r="Z2108" s="5" t="str">
        <f>IFERROR(__xludf.DUMMYFUNCTION("REGEXEXTRACT(J2108, ""[A-Za-z ]+$"")")," Seasons")</f>
        <v> Seasons</v>
      </c>
      <c r="AA2108" s="5" t="str">
        <f>IFERROR(__xludf.DUMMYFUNCTION("IF(REGEXMATCH(Z2108, ""Season""), ""TV Show"", ""Movie"")"),"TV Show")</f>
        <v>TV Show</v>
      </c>
    </row>
    <row r="2109">
      <c r="A2109" s="1" t="s">
        <v>12048</v>
      </c>
      <c r="B2109" s="1" t="s">
        <v>27</v>
      </c>
      <c r="C2109" s="1" t="s">
        <v>12049</v>
      </c>
      <c r="D2109" s="1" t="s">
        <v>12050</v>
      </c>
      <c r="E2109" s="1" t="s">
        <v>12051</v>
      </c>
      <c r="F2109" s="1" t="s">
        <v>30</v>
      </c>
      <c r="G2109" s="1" t="s">
        <v>12031</v>
      </c>
      <c r="H2109" s="1">
        <v>2020.0</v>
      </c>
      <c r="I2109" s="1" t="s">
        <v>136</v>
      </c>
      <c r="J2109" s="1" t="s">
        <v>106</v>
      </c>
      <c r="K2109" s="1" t="s">
        <v>1178</v>
      </c>
      <c r="L2109" s="1" t="s">
        <v>12052</v>
      </c>
      <c r="M2109" s="2" t="s">
        <v>12</v>
      </c>
      <c r="N2109" s="4">
        <f t="shared" si="1"/>
        <v>44064</v>
      </c>
      <c r="O2109" s="5" t="str">
        <f>IFERROR(__xludf.DUMMYFUNCTION("IF(REGEXMATCH(TRIM(I2109), ""^\d+\s*min""), ""Unclassified"", IF(I2109 = """", ""NR"", I2109))"),"TV-PG")</f>
        <v>TV-PG</v>
      </c>
      <c r="R2109" s="5" t="str">
        <f t="shared" si="2"/>
        <v>The Sleepover</v>
      </c>
      <c r="S2109" s="5" t="str">
        <f>IFERROR(__xludf.DUMMYFUNCTION("""COMPUTED_VALUE"""),"Dreamworks Spooky Stories")</f>
        <v>Dreamworks Spooky Stories</v>
      </c>
      <c r="U2109" s="5" t="str">
        <f>IFERROR(__xludf.DUMMYFUNCTION("""COMPUTED_VALUE"""),"Franck Phelizon")</f>
        <v>Franck Phelizon</v>
      </c>
      <c r="V2109" s="5" t="s">
        <v>12053</v>
      </c>
      <c r="W2109" s="5" t="str">
        <f t="shared" si="3"/>
        <v>Julia Willoughby Nason, Jenner Furst</v>
      </c>
      <c r="X2109" s="5">
        <f t="shared" si="4"/>
        <v>1</v>
      </c>
      <c r="Y2109" s="5" t="str">
        <f>IFERROR(__xludf.DUMMYFUNCTION("REGEXEXTRACT(J2109, ""^\d+"")"),"104")</f>
        <v>104</v>
      </c>
      <c r="Z2109" s="5" t="str">
        <f>IFERROR(__xludf.DUMMYFUNCTION("REGEXEXTRACT(J2109, ""[A-Za-z ]+$"")")," min")</f>
        <v> min</v>
      </c>
      <c r="AA2109" s="5" t="str">
        <f>IFERROR(__xludf.DUMMYFUNCTION("IF(REGEXMATCH(Z2109, ""Season""), ""TV Show"", ""Movie"")"),"Movie")</f>
        <v>Movie</v>
      </c>
    </row>
    <row r="2110">
      <c r="A2110" s="1" t="s">
        <v>12054</v>
      </c>
      <c r="B2110" s="1" t="s">
        <v>37</v>
      </c>
      <c r="C2110" s="1" t="s">
        <v>12055</v>
      </c>
      <c r="D2110" s="1" t="s">
        <v>12056</v>
      </c>
      <c r="E2110" s="1" t="s">
        <v>12057</v>
      </c>
      <c r="F2110" s="1" t="s">
        <v>749</v>
      </c>
      <c r="G2110" s="1" t="s">
        <v>12058</v>
      </c>
      <c r="H2110" s="1">
        <v>2020.0</v>
      </c>
      <c r="I2110" s="1" t="s">
        <v>42</v>
      </c>
      <c r="J2110" s="1" t="s">
        <v>51</v>
      </c>
      <c r="K2110" s="1" t="s">
        <v>9484</v>
      </c>
      <c r="L2110" s="1" t="s">
        <v>12059</v>
      </c>
      <c r="M2110" s="2" t="s">
        <v>12</v>
      </c>
      <c r="N2110" s="4">
        <f t="shared" si="1"/>
        <v>44063</v>
      </c>
      <c r="O2110" s="5" t="str">
        <f>IFERROR(__xludf.DUMMYFUNCTION("IF(REGEXMATCH(TRIM(I2110), ""^\d+\s*min""), ""Unclassified"", IF(I2110 = """", ""NR"", I2110))"),"TV-MA")</f>
        <v>TV-MA</v>
      </c>
      <c r="R2110" s="5" t="str">
        <f t="shared" si="2"/>
        <v>Goedam</v>
      </c>
      <c r="S2110" s="5" t="str">
        <f>IFERROR(__xludf.DUMMYFUNCTION("""COMPUTED_VALUE"""),"Dreamworks Spooky Stories: Volume 2")</f>
        <v>Dreamworks Spooky Stories: Volume 2</v>
      </c>
      <c r="U2110" s="5" t="str">
        <f>IFERROR(__xludf.DUMMYFUNCTION("""COMPUTED_VALUE"""),"Peter Howitt")</f>
        <v>Peter Howitt</v>
      </c>
      <c r="V2110" s="5" t="s">
        <v>1835</v>
      </c>
      <c r="W2110" s="5" t="str">
        <f t="shared" si="3"/>
        <v>Julián Gaviria</v>
      </c>
      <c r="X2110" s="5">
        <f t="shared" si="4"/>
        <v>1</v>
      </c>
      <c r="Y2110" s="5" t="str">
        <f>IFERROR(__xludf.DUMMYFUNCTION("REGEXEXTRACT(J2110, ""^\d+"")"),"1")</f>
        <v>1</v>
      </c>
      <c r="Z2110" s="5" t="str">
        <f>IFERROR(__xludf.DUMMYFUNCTION("REGEXEXTRACT(J2110, ""[A-Za-z ]+$"")")," Season")</f>
        <v> Season</v>
      </c>
      <c r="AA2110" s="5" t="str">
        <f>IFERROR(__xludf.DUMMYFUNCTION("IF(REGEXMATCH(Z2110, ""Season""), ""TV Show"", ""Movie"")"),"TV Show")</f>
        <v>TV Show</v>
      </c>
    </row>
    <row r="2111">
      <c r="A2111" s="1" t="s">
        <v>12060</v>
      </c>
      <c r="B2111" s="1" t="s">
        <v>27</v>
      </c>
      <c r="C2111" s="1" t="s">
        <v>12061</v>
      </c>
      <c r="F2111" s="1" t="s">
        <v>30</v>
      </c>
      <c r="G2111" s="1" t="s">
        <v>12058</v>
      </c>
      <c r="H2111" s="1">
        <v>2020.0</v>
      </c>
      <c r="I2111" s="1" t="s">
        <v>136</v>
      </c>
      <c r="J2111" s="1" t="s">
        <v>12062</v>
      </c>
      <c r="K2111" s="1" t="s">
        <v>1212</v>
      </c>
      <c r="L2111" s="1" t="s">
        <v>12063</v>
      </c>
      <c r="M2111" s="2" t="s">
        <v>12</v>
      </c>
      <c r="N2111" s="4">
        <f t="shared" si="1"/>
        <v>44063</v>
      </c>
      <c r="O2111" s="5" t="str">
        <f>IFERROR(__xludf.DUMMYFUNCTION("IF(REGEXMATCH(TRIM(I2111), ""^\d+\s*min""), ""Unclassified"", IF(I2111 = """", ""NR"", I2111))"),"TV-PG")</f>
        <v>TV-PG</v>
      </c>
      <c r="R2111" s="5" t="str">
        <f t="shared" si="2"/>
        <v>John Was Trying To Contact Aliens</v>
      </c>
      <c r="S2111" s="5" t="str">
        <f>IFERROR(__xludf.DUMMYFUNCTION("""COMPUTED_VALUE"""),"Dreamy Eyes")</f>
        <v>Dreamy Eyes</v>
      </c>
      <c r="U2111" s="5" t="str">
        <f>IFERROR(__xludf.DUMMYFUNCTION("""COMPUTED_VALUE"""),"Chiwetel Ejiofor")</f>
        <v>Chiwetel Ejiofor</v>
      </c>
      <c r="V2111" s="5" t="s">
        <v>1864</v>
      </c>
      <c r="W2111" s="5" t="str">
        <f t="shared" si="3"/>
        <v>Julián Hernández</v>
      </c>
      <c r="X2111" s="5">
        <f t="shared" si="4"/>
        <v>2</v>
      </c>
      <c r="Y2111" s="5" t="str">
        <f>IFERROR(__xludf.DUMMYFUNCTION("REGEXEXTRACT(J2111, ""^\d+"")"),"17")</f>
        <v>17</v>
      </c>
      <c r="Z2111" s="5" t="str">
        <f>IFERROR(__xludf.DUMMYFUNCTION("REGEXEXTRACT(J2111, ""[A-Za-z ]+$"")")," min")</f>
        <v> min</v>
      </c>
      <c r="AA2111" s="5" t="str">
        <f>IFERROR(__xludf.DUMMYFUNCTION("IF(REGEXMATCH(Z2111, ""Season""), ""TV Show"", ""Movie"")"),"Movie")</f>
        <v>Movie</v>
      </c>
    </row>
    <row r="2112">
      <c r="A2112" s="1" t="s">
        <v>12064</v>
      </c>
      <c r="B2112" s="1" t="s">
        <v>27</v>
      </c>
      <c r="C2112" s="1" t="s">
        <v>12065</v>
      </c>
      <c r="D2112" s="1" t="s">
        <v>12066</v>
      </c>
      <c r="E2112" s="1" t="s">
        <v>12067</v>
      </c>
      <c r="F2112" s="1" t="s">
        <v>3309</v>
      </c>
      <c r="G2112" s="1" t="s">
        <v>12058</v>
      </c>
      <c r="H2112" s="1">
        <v>2019.0</v>
      </c>
      <c r="I2112" s="1" t="s">
        <v>42</v>
      </c>
      <c r="J2112" s="1" t="s">
        <v>941</v>
      </c>
      <c r="K2112" s="1" t="s">
        <v>199</v>
      </c>
      <c r="L2112" s="1" t="s">
        <v>12068</v>
      </c>
      <c r="M2112" s="2" t="s">
        <v>12</v>
      </c>
      <c r="N2112" s="4">
        <f t="shared" si="1"/>
        <v>44063</v>
      </c>
      <c r="O2112" s="5" t="str">
        <f>IFERROR(__xludf.DUMMYFUNCTION("IF(REGEXMATCH(TRIM(I2112), ""^\d+\s*min""), ""Unclassified"", IF(I2112 = """", ""NR"", I2112))"),"TV-MA")</f>
        <v>TV-MA</v>
      </c>
      <c r="R2112" s="5" t="str">
        <f t="shared" si="2"/>
        <v>Scarecrow</v>
      </c>
      <c r="S2112" s="5" t="str">
        <f>IFERROR(__xludf.DUMMYFUNCTION("""COMPUTED_VALUE"""),"Dries")</f>
        <v>Dries</v>
      </c>
      <c r="U2112" s="5" t="str">
        <f>IFERROR(__xludf.DUMMYFUNCTION("""COMPUTED_VALUE"""),"Rodrigo Salomón, Pietro Scappini")</f>
        <v>Rodrigo Salomón, Pietro Scappini</v>
      </c>
      <c r="V2112" s="5" t="s">
        <v>12069</v>
      </c>
      <c r="W2112" s="5" t="str">
        <f t="shared" si="3"/>
        <v>Julian Jarrold</v>
      </c>
      <c r="X2112" s="5">
        <f t="shared" si="4"/>
        <v>1</v>
      </c>
      <c r="Y2112" s="5" t="str">
        <f>IFERROR(__xludf.DUMMYFUNCTION("REGEXEXTRACT(J2112, ""^\d+"")"),"121")</f>
        <v>121</v>
      </c>
      <c r="Z2112" s="5" t="str">
        <f>IFERROR(__xludf.DUMMYFUNCTION("REGEXEXTRACT(J2112, ""[A-Za-z ]+$"")")," min")</f>
        <v> min</v>
      </c>
      <c r="AA2112" s="5" t="str">
        <f>IFERROR(__xludf.DUMMYFUNCTION("IF(REGEXMATCH(Z2112, ""Season""), ""TV Show"", ""Movie"")"),"Movie")</f>
        <v>Movie</v>
      </c>
    </row>
    <row r="2113">
      <c r="A2113" s="1" t="s">
        <v>12070</v>
      </c>
      <c r="B2113" s="1" t="s">
        <v>27</v>
      </c>
      <c r="C2113" s="1" t="s">
        <v>12071</v>
      </c>
      <c r="D2113" s="1" t="s">
        <v>991</v>
      </c>
      <c r="E2113" s="1" t="s">
        <v>12072</v>
      </c>
      <c r="F2113" s="1" t="s">
        <v>1815</v>
      </c>
      <c r="G2113" s="1" t="s">
        <v>12058</v>
      </c>
      <c r="H2113" s="1">
        <v>2020.0</v>
      </c>
      <c r="I2113" s="1" t="s">
        <v>97</v>
      </c>
      <c r="J2113" s="1" t="s">
        <v>433</v>
      </c>
      <c r="K2113" s="1" t="s">
        <v>128</v>
      </c>
      <c r="L2113" s="1" t="s">
        <v>12073</v>
      </c>
      <c r="M2113" s="2" t="s">
        <v>12</v>
      </c>
      <c r="N2113" s="4">
        <f t="shared" si="1"/>
        <v>44063</v>
      </c>
      <c r="O2113" s="5" t="str">
        <f>IFERROR(__xludf.DUMMYFUNCTION("IF(REGEXMATCH(TRIM(I2113), ""^\d+\s*min""), ""Unclassified"", IF(I2113 = """", ""NR"", I2113))"),"TV-14")</f>
        <v>TV-14</v>
      </c>
      <c r="R2113" s="5" t="str">
        <f t="shared" si="2"/>
        <v>The Crimes That Bind</v>
      </c>
      <c r="S2113" s="5" t="str">
        <f>IFERROR(__xludf.DUMMYFUNCTION("""COMPUTED_VALUE"""),"Drifting Dragons")</f>
        <v>Drifting Dragons</v>
      </c>
      <c r="U2113" s="5" t="str">
        <f>IFERROR(__xludf.DUMMYFUNCTION("""COMPUTED_VALUE"""),"Miguel Ángel Vivas")</f>
        <v>Miguel Ángel Vivas</v>
      </c>
      <c r="V2113" s="5" t="s">
        <v>6790</v>
      </c>
      <c r="W2113" s="5" t="str">
        <f t="shared" si="3"/>
        <v>Julian Schnabel</v>
      </c>
      <c r="X2113" s="5">
        <f t="shared" si="4"/>
        <v>1</v>
      </c>
      <c r="Y2113" s="5" t="str">
        <f>IFERROR(__xludf.DUMMYFUNCTION("REGEXEXTRACT(J2113, ""^\d+"")"),"100")</f>
        <v>100</v>
      </c>
      <c r="Z2113" s="5" t="str">
        <f>IFERROR(__xludf.DUMMYFUNCTION("REGEXEXTRACT(J2113, ""[A-Za-z ]+$"")")," min")</f>
        <v> min</v>
      </c>
      <c r="AA2113" s="5" t="str">
        <f>IFERROR(__xludf.DUMMYFUNCTION("IF(REGEXMATCH(Z2113, ""Season""), ""TV Show"", ""Movie"")"),"Movie")</f>
        <v>Movie</v>
      </c>
    </row>
    <row r="2114">
      <c r="A2114" s="1" t="s">
        <v>12074</v>
      </c>
      <c r="B2114" s="1" t="s">
        <v>37</v>
      </c>
      <c r="C2114" s="1" t="s">
        <v>12075</v>
      </c>
      <c r="F2114" s="1" t="s">
        <v>30</v>
      </c>
      <c r="G2114" s="1" t="s">
        <v>12076</v>
      </c>
      <c r="H2114" s="1">
        <v>2020.0</v>
      </c>
      <c r="I2114" s="1" t="s">
        <v>97</v>
      </c>
      <c r="J2114" s="1" t="s">
        <v>51</v>
      </c>
      <c r="K2114" s="1" t="s">
        <v>440</v>
      </c>
      <c r="L2114" s="1" t="s">
        <v>12077</v>
      </c>
      <c r="M2114" s="2" t="s">
        <v>12</v>
      </c>
      <c r="N2114" s="4">
        <f t="shared" si="1"/>
        <v>44062</v>
      </c>
      <c r="O2114" s="5" t="str">
        <f>IFERROR(__xludf.DUMMYFUNCTION("IF(REGEXMATCH(TRIM(I2114), ""^\d+\s*min""), ""Unclassified"", IF(I2114 = """", ""NR"", I2114))"),"TV-14")</f>
        <v>TV-14</v>
      </c>
      <c r="R2114" s="5" t="str">
        <f t="shared" si="2"/>
        <v>Demarcus Family Rules</v>
      </c>
      <c r="S2114" s="5" t="str">
        <f>IFERROR(__xludf.DUMMYFUNCTION("""COMPUTED_VALUE"""),"Drink Drank Drunk")</f>
        <v>Drink Drank Drunk</v>
      </c>
      <c r="U2114" s="5" t="str">
        <f>IFERROR(__xludf.DUMMYFUNCTION("""COMPUTED_VALUE"""),"Carlos Vermut")</f>
        <v>Carlos Vermut</v>
      </c>
      <c r="V2114" s="5" t="s">
        <v>10256</v>
      </c>
      <c r="W2114" s="5" t="str">
        <f t="shared" si="3"/>
        <v>Juliana Vicente</v>
      </c>
      <c r="X2114" s="5">
        <f t="shared" si="4"/>
        <v>1</v>
      </c>
      <c r="Y2114" s="5" t="str">
        <f>IFERROR(__xludf.DUMMYFUNCTION("REGEXEXTRACT(J2114, ""^\d+"")"),"1")</f>
        <v>1</v>
      </c>
      <c r="Z2114" s="5" t="str">
        <f>IFERROR(__xludf.DUMMYFUNCTION("REGEXEXTRACT(J2114, ""[A-Za-z ]+$"")")," Season")</f>
        <v> Season</v>
      </c>
      <c r="AA2114" s="5" t="str">
        <f>IFERROR(__xludf.DUMMYFUNCTION("IF(REGEXMATCH(Z2114, ""Season""), ""TV Show"", ""Movie"")"),"TV Show")</f>
        <v>TV Show</v>
      </c>
    </row>
    <row r="2115">
      <c r="A2115" s="1" t="s">
        <v>12078</v>
      </c>
      <c r="B2115" s="1" t="s">
        <v>37</v>
      </c>
      <c r="C2115" s="1" t="s">
        <v>12079</v>
      </c>
      <c r="F2115" s="1" t="s">
        <v>30</v>
      </c>
      <c r="G2115" s="1" t="s">
        <v>12076</v>
      </c>
      <c r="H2115" s="1">
        <v>2020.0</v>
      </c>
      <c r="I2115" s="1" t="s">
        <v>97</v>
      </c>
      <c r="J2115" s="1" t="s">
        <v>51</v>
      </c>
      <c r="K2115" s="1" t="s">
        <v>736</v>
      </c>
      <c r="L2115" s="1" t="s">
        <v>12080</v>
      </c>
      <c r="M2115" s="2" t="s">
        <v>12</v>
      </c>
      <c r="N2115" s="4">
        <f t="shared" si="1"/>
        <v>44062</v>
      </c>
      <c r="O2115" s="5" t="str">
        <f>IFERROR(__xludf.DUMMYFUNCTION("IF(REGEXMATCH(TRIM(I2115), ""^\d+\s*min""), ""Unclassified"", IF(I2115 = """", ""NR"", I2115))"),"TV-14")</f>
        <v>TV-14</v>
      </c>
      <c r="R2115" s="5" t="str">
        <f t="shared" si="2"/>
        <v>High Score</v>
      </c>
      <c r="S2115" s="5" t="str">
        <f>IFERROR(__xludf.DUMMYFUNCTION("""COMPUTED_VALUE"""),"Drishyam")</f>
        <v>Drishyam</v>
      </c>
      <c r="U2115" s="5" t="str">
        <f>IFERROR(__xludf.DUMMYFUNCTION("""COMPUTED_VALUE"""),"Sridhar Rangayan")</f>
        <v>Sridhar Rangayan</v>
      </c>
      <c r="V2115" s="5" t="s">
        <v>12081</v>
      </c>
      <c r="W2115" s="5" t="str">
        <f t="shared" si="3"/>
        <v>Julie Dash</v>
      </c>
      <c r="X2115" s="5">
        <f t="shared" si="4"/>
        <v>1</v>
      </c>
      <c r="Y2115" s="5" t="str">
        <f>IFERROR(__xludf.DUMMYFUNCTION("REGEXEXTRACT(J2115, ""^\d+"")"),"1")</f>
        <v>1</v>
      </c>
      <c r="Z2115" s="5" t="str">
        <f>IFERROR(__xludf.DUMMYFUNCTION("REGEXEXTRACT(J2115, ""[A-Za-z ]+$"")")," Season")</f>
        <v> Season</v>
      </c>
      <c r="AA2115" s="5" t="str">
        <f>IFERROR(__xludf.DUMMYFUNCTION("IF(REGEXMATCH(Z2115, ""Season""), ""TV Show"", ""Movie"")"),"TV Show")</f>
        <v>TV Show</v>
      </c>
    </row>
    <row r="2116">
      <c r="A2116" s="1" t="s">
        <v>12082</v>
      </c>
      <c r="B2116" s="1" t="s">
        <v>27</v>
      </c>
      <c r="C2116" s="1" t="s">
        <v>12083</v>
      </c>
      <c r="D2116" s="1" t="s">
        <v>572</v>
      </c>
      <c r="E2116" s="1" t="s">
        <v>12084</v>
      </c>
      <c r="G2116" s="1" t="s">
        <v>12076</v>
      </c>
      <c r="H2116" s="1">
        <v>2020.0</v>
      </c>
      <c r="I2116" s="1" t="s">
        <v>289</v>
      </c>
      <c r="J2116" s="1" t="s">
        <v>1583</v>
      </c>
      <c r="K2116" s="1" t="s">
        <v>137</v>
      </c>
      <c r="L2116" s="1" t="s">
        <v>12085</v>
      </c>
      <c r="M2116" s="2" t="s">
        <v>12</v>
      </c>
      <c r="N2116" s="4">
        <f t="shared" si="1"/>
        <v>44062</v>
      </c>
      <c r="O2116" s="5" t="str">
        <f>IFERROR(__xludf.DUMMYFUNCTION("IF(REGEXMATCH(TRIM(I2116), ""^\d+\s*min""), ""Unclassified"", IF(I2116 = """", ""NR"", I2116))"),"TV-Y7")</f>
        <v>TV-Y7</v>
      </c>
      <c r="R2116" s="5" t="str">
        <f t="shared" si="2"/>
        <v>Little Singham: Kaal Ka Badla</v>
      </c>
      <c r="S2116" s="5" t="str">
        <f>IFERROR(__xludf.DUMMYFUNCTION("""COMPUTED_VALUE"""),"Drive")</f>
        <v>Drive</v>
      </c>
      <c r="U2116" s="5" t="str">
        <f>IFERROR(__xludf.DUMMYFUNCTION("""COMPUTED_VALUE"""),"Michael Blieden")</f>
        <v>Michael Blieden</v>
      </c>
      <c r="V2116" s="5" t="s">
        <v>12086</v>
      </c>
      <c r="W2116" s="5" t="str">
        <f t="shared" si="3"/>
        <v>Julie Taymor</v>
      </c>
      <c r="X2116" s="5">
        <f t="shared" si="4"/>
        <v>1</v>
      </c>
      <c r="Y2116" s="5" t="str">
        <f>IFERROR(__xludf.DUMMYFUNCTION("REGEXEXTRACT(J2116, ""^\d+"")"),"70")</f>
        <v>70</v>
      </c>
      <c r="Z2116" s="5" t="str">
        <f>IFERROR(__xludf.DUMMYFUNCTION("REGEXEXTRACT(J2116, ""[A-Za-z ]+$"")")," min")</f>
        <v> min</v>
      </c>
      <c r="AA2116" s="5" t="str">
        <f>IFERROR(__xludf.DUMMYFUNCTION("IF(REGEXMATCH(Z2116, ""Season""), ""TV Show"", ""Movie"")"),"Movie")</f>
        <v>Movie</v>
      </c>
    </row>
    <row r="2117">
      <c r="A2117" s="1" t="s">
        <v>12087</v>
      </c>
      <c r="B2117" s="1" t="s">
        <v>27</v>
      </c>
      <c r="C2117" s="1" t="s">
        <v>12088</v>
      </c>
      <c r="D2117" s="1" t="s">
        <v>7949</v>
      </c>
      <c r="E2117" s="1" t="s">
        <v>12089</v>
      </c>
      <c r="F2117" s="1" t="s">
        <v>30</v>
      </c>
      <c r="G2117" s="1" t="s">
        <v>12090</v>
      </c>
      <c r="H2117" s="1">
        <v>2019.0</v>
      </c>
      <c r="I2117" s="1" t="s">
        <v>378</v>
      </c>
      <c r="J2117" s="1" t="s">
        <v>247</v>
      </c>
      <c r="K2117" s="1" t="s">
        <v>239</v>
      </c>
      <c r="L2117" s="1" t="s">
        <v>12091</v>
      </c>
      <c r="M2117" s="2" t="s">
        <v>12</v>
      </c>
      <c r="N2117" s="4">
        <f t="shared" si="1"/>
        <v>44061</v>
      </c>
      <c r="O2117" s="5" t="str">
        <f>IFERROR(__xludf.DUMMYFUNCTION("IF(REGEXMATCH(TRIM(I2117), ""^\d+\s*min""), ""Unclassified"", IF(I2117 = """", ""NR"", I2117))"),"R")</f>
        <v>R</v>
      </c>
      <c r="R2117" s="5" t="str">
        <f t="shared" si="2"/>
        <v>Drunk Parents</v>
      </c>
      <c r="S2117" s="5" t="str">
        <f>IFERROR(__xludf.DUMMYFUNCTION("""COMPUTED_VALUE"""),"Driven To Dance")</f>
        <v>Driven To Dance</v>
      </c>
      <c r="U2117" s="5" t="str">
        <f>IFERROR(__xludf.DUMMYFUNCTION("""COMPUTED_VALUE"""),"Pawan K Shrivastava")</f>
        <v>Pawan K Shrivastava</v>
      </c>
      <c r="V2117" s="5" t="s">
        <v>12092</v>
      </c>
      <c r="W2117" s="5" t="str">
        <f t="shared" si="3"/>
        <v>Julien Abraham</v>
      </c>
      <c r="X2117" s="5">
        <f t="shared" si="4"/>
        <v>1</v>
      </c>
      <c r="Y2117" s="5" t="str">
        <f>IFERROR(__xludf.DUMMYFUNCTION("REGEXEXTRACT(J2117, ""^\d+"")"),"97")</f>
        <v>97</v>
      </c>
      <c r="Z2117" s="5" t="str">
        <f>IFERROR(__xludf.DUMMYFUNCTION("REGEXEXTRACT(J2117, ""[A-Za-z ]+$"")")," min")</f>
        <v> min</v>
      </c>
      <c r="AA2117" s="5" t="str">
        <f>IFERROR(__xludf.DUMMYFUNCTION("IF(REGEXMATCH(Z2117, ""Season""), ""TV Show"", ""Movie"")"),"Movie")</f>
        <v>Movie</v>
      </c>
    </row>
    <row r="2118">
      <c r="A2118" s="1" t="s">
        <v>12093</v>
      </c>
      <c r="B2118" s="1" t="s">
        <v>27</v>
      </c>
      <c r="C2118" s="1" t="s">
        <v>12094</v>
      </c>
      <c r="D2118" s="1" t="s">
        <v>12095</v>
      </c>
      <c r="E2118" s="1" t="s">
        <v>12096</v>
      </c>
      <c r="F2118" s="1" t="s">
        <v>400</v>
      </c>
      <c r="G2118" s="1" t="s">
        <v>12090</v>
      </c>
      <c r="H2118" s="1">
        <v>2017.0</v>
      </c>
      <c r="I2118" s="1" t="s">
        <v>136</v>
      </c>
      <c r="J2118" s="1" t="s">
        <v>6281</v>
      </c>
      <c r="K2118" s="1" t="s">
        <v>583</v>
      </c>
      <c r="L2118" s="1" t="s">
        <v>12097</v>
      </c>
      <c r="M2118" s="2" t="s">
        <v>12</v>
      </c>
      <c r="N2118" s="4">
        <f t="shared" si="1"/>
        <v>44061</v>
      </c>
      <c r="O2118" s="5" t="str">
        <f>IFERROR(__xludf.DUMMYFUNCTION("IF(REGEXMATCH(TRIM(I2118), ""^\d+\s*min""), ""Unclassified"", IF(I2118 = """", ""NR"", I2118))"),"TV-PG")</f>
        <v>TV-PG</v>
      </c>
      <c r="R2118" s="5" t="str">
        <f t="shared" si="2"/>
        <v>Meet The In-Laws</v>
      </c>
      <c r="S2118" s="5" t="str">
        <f>IFERROR(__xludf.DUMMYFUNCTION("""COMPUTED_VALUE"""),"Droppin' Cash: Los Angeles")</f>
        <v>Droppin' Cash: Los Angeles</v>
      </c>
      <c r="U2118" s="5" t="str">
        <f>IFERROR(__xludf.DUMMYFUNCTION("""COMPUTED_VALUE"""),"Mar Targarona")</f>
        <v>Mar Targarona</v>
      </c>
      <c r="V2118" s="5" t="s">
        <v>12098</v>
      </c>
      <c r="W2118" s="5" t="str">
        <f t="shared" si="3"/>
        <v>Julien Christian Lutz</v>
      </c>
      <c r="X2118" s="5">
        <f t="shared" si="4"/>
        <v>1</v>
      </c>
      <c r="Y2118" s="5" t="str">
        <f>IFERROR(__xludf.DUMMYFUNCTION("REGEXEXTRACT(J2118, ""^\d+"")"),"75")</f>
        <v>75</v>
      </c>
      <c r="Z2118" s="5" t="str">
        <f>IFERROR(__xludf.DUMMYFUNCTION("REGEXEXTRACT(J2118, ""[A-Za-z ]+$"")")," min")</f>
        <v> min</v>
      </c>
      <c r="AA2118" s="5" t="str">
        <f>IFERROR(__xludf.DUMMYFUNCTION("IF(REGEXMATCH(Z2118, ""Season""), ""TV Show"", ""Movie"")"),"Movie")</f>
        <v>Movie</v>
      </c>
    </row>
    <row r="2119">
      <c r="A2119" s="1" t="s">
        <v>12099</v>
      </c>
      <c r="B2119" s="1" t="s">
        <v>27</v>
      </c>
      <c r="C2119" s="1" t="s">
        <v>12100</v>
      </c>
      <c r="D2119" s="1" t="s">
        <v>12101</v>
      </c>
      <c r="E2119" s="1" t="s">
        <v>12102</v>
      </c>
      <c r="F2119" s="1" t="s">
        <v>2873</v>
      </c>
      <c r="G2119" s="1" t="s">
        <v>12103</v>
      </c>
      <c r="H2119" s="1">
        <v>2020.0</v>
      </c>
      <c r="I2119" s="1" t="s">
        <v>136</v>
      </c>
      <c r="J2119" s="1" t="s">
        <v>447</v>
      </c>
      <c r="K2119" s="1" t="s">
        <v>583</v>
      </c>
      <c r="L2119" s="1" t="s">
        <v>12104</v>
      </c>
      <c r="M2119" s="2" t="s">
        <v>12</v>
      </c>
      <c r="N2119" s="4">
        <f t="shared" si="1"/>
        <v>44060</v>
      </c>
      <c r="O2119" s="5" t="str">
        <f>IFERROR(__xludf.DUMMYFUNCTION("IF(REGEXMATCH(TRIM(I2119), ""^\d+\s*min""), ""Unclassified"", IF(I2119 = """", ""NR"", I2119))"),"TV-PG")</f>
        <v>TV-PG</v>
      </c>
      <c r="R2119" s="5" t="str">
        <f t="shared" si="2"/>
        <v>Crazy Awesome Teachers</v>
      </c>
      <c r="S2119" s="5" t="str">
        <f>IFERROR(__xludf.DUMMYFUNCTION("""COMPUTED_VALUE"""),"Drug Lords")</f>
        <v>Drug Lords</v>
      </c>
      <c r="U2119" s="5" t="str">
        <f>IFERROR(__xludf.DUMMYFUNCTION("""COMPUTED_VALUE"""),"Aruna Raje")</f>
        <v>Aruna Raje</v>
      </c>
      <c r="V2119" s="5" t="s">
        <v>49</v>
      </c>
      <c r="W2119" s="5" t="str">
        <f t="shared" si="3"/>
        <v>Julien Leclercq</v>
      </c>
      <c r="X2119" s="5">
        <f t="shared" si="4"/>
        <v>3</v>
      </c>
      <c r="Y2119" s="5" t="str">
        <f>IFERROR(__xludf.DUMMYFUNCTION("REGEXEXTRACT(J2119, ""^\d+"")"),"102")</f>
        <v>102</v>
      </c>
      <c r="Z2119" s="5" t="str">
        <f>IFERROR(__xludf.DUMMYFUNCTION("REGEXEXTRACT(J2119, ""[A-Za-z ]+$"")")," min")</f>
        <v> min</v>
      </c>
      <c r="AA2119" s="5" t="str">
        <f>IFERROR(__xludf.DUMMYFUNCTION("IF(REGEXMATCH(Z2119, ""Season""), ""TV Show"", ""Movie"")"),"Movie")</f>
        <v>Movie</v>
      </c>
    </row>
    <row r="2120">
      <c r="A2120" s="1" t="s">
        <v>12105</v>
      </c>
      <c r="B2120" s="1" t="s">
        <v>37</v>
      </c>
      <c r="C2120" s="1" t="s">
        <v>12106</v>
      </c>
      <c r="E2120" s="1" t="s">
        <v>12107</v>
      </c>
      <c r="F2120" s="1" t="s">
        <v>30</v>
      </c>
      <c r="G2120" s="1" t="s">
        <v>12103</v>
      </c>
      <c r="H2120" s="1">
        <v>2020.0</v>
      </c>
      <c r="I2120" s="1" t="s">
        <v>289</v>
      </c>
      <c r="J2120" s="1" t="s">
        <v>43</v>
      </c>
      <c r="K2120" s="1" t="s">
        <v>290</v>
      </c>
      <c r="L2120" s="1" t="s">
        <v>12108</v>
      </c>
      <c r="M2120" s="2" t="s">
        <v>12</v>
      </c>
      <c r="N2120" s="4">
        <f t="shared" si="1"/>
        <v>44060</v>
      </c>
      <c r="O2120" s="5" t="str">
        <f>IFERROR(__xludf.DUMMYFUNCTION("IF(REGEXMATCH(TRIM(I2120), ""^\d+\s*min""), ""Unclassified"", IF(I2120 = """", ""NR"", I2120))"),"TV-Y7")</f>
        <v>TV-Y7</v>
      </c>
      <c r="R2120" s="5" t="str">
        <f t="shared" si="2"/>
        <v>Glitch Techs</v>
      </c>
      <c r="S2120" s="5" t="str">
        <f>IFERROR(__xludf.DUMMYFUNCTION("""COMPUTED_VALUE"""),"Drug Squad: Costa Del Sol")</f>
        <v>Drug Squad: Costa Del Sol</v>
      </c>
      <c r="U2120" s="5" t="str">
        <f>IFERROR(__xludf.DUMMYFUNCTION("""COMPUTED_VALUE"""),"Alex Lehmann")</f>
        <v>Alex Lehmann</v>
      </c>
      <c r="V2120" s="5" t="s">
        <v>12109</v>
      </c>
      <c r="W2120" s="5" t="str">
        <f t="shared" si="3"/>
        <v>Julien Rambaldi</v>
      </c>
      <c r="X2120" s="5">
        <f t="shared" si="4"/>
        <v>1</v>
      </c>
      <c r="Y2120" s="5" t="str">
        <f>IFERROR(__xludf.DUMMYFUNCTION("REGEXEXTRACT(J2120, ""^\d+"")"),"2")</f>
        <v>2</v>
      </c>
      <c r="Z2120" s="5" t="str">
        <f>IFERROR(__xludf.DUMMYFUNCTION("REGEXEXTRACT(J2120, ""[A-Za-z ]+$"")")," Seasons")</f>
        <v> Seasons</v>
      </c>
      <c r="AA2120" s="5" t="str">
        <f>IFERROR(__xludf.DUMMYFUNCTION("IF(REGEXMATCH(Z2120, ""Season""), ""TV Show"", ""Movie"")"),"TV Show")</f>
        <v>TV Show</v>
      </c>
    </row>
    <row r="2121">
      <c r="A2121" s="1" t="s">
        <v>12110</v>
      </c>
      <c r="B2121" s="1" t="s">
        <v>27</v>
      </c>
      <c r="C2121" s="1" t="s">
        <v>12111</v>
      </c>
      <c r="D2121" s="1" t="s">
        <v>4338</v>
      </c>
      <c r="F2121" s="1" t="s">
        <v>2873</v>
      </c>
      <c r="G2121" s="1" t="s">
        <v>12103</v>
      </c>
      <c r="H2121" s="1">
        <v>2018.0</v>
      </c>
      <c r="I2121" s="1" t="s">
        <v>136</v>
      </c>
      <c r="J2121" s="1" t="s">
        <v>428</v>
      </c>
      <c r="K2121" s="1" t="s">
        <v>12112</v>
      </c>
      <c r="L2121" s="1" t="s">
        <v>12113</v>
      </c>
      <c r="M2121" s="2" t="s">
        <v>12</v>
      </c>
      <c r="N2121" s="4">
        <f t="shared" si="1"/>
        <v>44060</v>
      </c>
      <c r="O2121" s="5" t="str">
        <f>IFERROR(__xludf.DUMMYFUNCTION("IF(REGEXMATCH(TRIM(I2121), ""^\d+\s*min""), ""Unclassified"", IF(I2121 = """", ""NR"", I2121))"),"TV-PG")</f>
        <v>TV-PG</v>
      </c>
      <c r="R2121" s="5" t="str">
        <f t="shared" si="2"/>
        <v>Islands Of Faith</v>
      </c>
      <c r="S2121" s="5" t="str">
        <f>IFERROR(__xludf.DUMMYFUNCTION("""COMPUTED_VALUE"""),"Drugs, Inc.")</f>
        <v>Drugs, Inc.</v>
      </c>
      <c r="U2121" s="5" t="str">
        <f>IFERROR(__xludf.DUMMYFUNCTION("""COMPUTED_VALUE"""),"Elisabeth Vogler")</f>
        <v>Elisabeth Vogler</v>
      </c>
      <c r="V2121" s="5" t="s">
        <v>7832</v>
      </c>
      <c r="W2121" s="5" t="str">
        <f t="shared" si="3"/>
        <v>Julien Royal</v>
      </c>
      <c r="X2121" s="5">
        <f t="shared" si="4"/>
        <v>1</v>
      </c>
      <c r="Y2121" s="5" t="str">
        <f>IFERROR(__xludf.DUMMYFUNCTION("REGEXEXTRACT(J2121, ""^\d+"")"),"88")</f>
        <v>88</v>
      </c>
      <c r="Z2121" s="5" t="str">
        <f>IFERROR(__xludf.DUMMYFUNCTION("REGEXEXTRACT(J2121, ""[A-Za-z ]+$"")")," min")</f>
        <v> min</v>
      </c>
      <c r="AA2121" s="5" t="str">
        <f>IFERROR(__xludf.DUMMYFUNCTION("IF(REGEXMATCH(Z2121, ""Season""), ""TV Show"", ""Movie"")"),"Movie")</f>
        <v>Movie</v>
      </c>
    </row>
    <row r="2122">
      <c r="A2122" s="1" t="s">
        <v>12114</v>
      </c>
      <c r="B2122" s="1" t="s">
        <v>27</v>
      </c>
      <c r="C2122" s="1" t="s">
        <v>12115</v>
      </c>
      <c r="D2122" s="1" t="s">
        <v>12116</v>
      </c>
      <c r="E2122" s="1" t="s">
        <v>12117</v>
      </c>
      <c r="F2122" s="1" t="s">
        <v>686</v>
      </c>
      <c r="G2122" s="1" t="s">
        <v>12118</v>
      </c>
      <c r="H2122" s="1">
        <v>2012.0</v>
      </c>
      <c r="I2122" s="1" t="s">
        <v>32</v>
      </c>
      <c r="J2122" s="1" t="s">
        <v>6611</v>
      </c>
      <c r="K2122" s="1" t="s">
        <v>1429</v>
      </c>
      <c r="L2122" s="1" t="s">
        <v>12119</v>
      </c>
      <c r="M2122" s="2" t="s">
        <v>12</v>
      </c>
      <c r="N2122" s="4">
        <f t="shared" si="1"/>
        <v>44059</v>
      </c>
      <c r="O2122" s="5" t="str">
        <f>IFERROR(__xludf.DUMMYFUNCTION("IF(REGEXMATCH(TRIM(I2122), ""^\d+\s*min""), ""Unclassified"", IF(I2122 = """", ""NR"", I2122))"),"PG-13")</f>
        <v>PG-13</v>
      </c>
      <c r="R2122" s="5" t="str">
        <f t="shared" si="2"/>
        <v>Les Misérables</v>
      </c>
      <c r="S2122" s="5" t="str">
        <f>IFERROR(__xludf.DUMMYFUNCTION("""COMPUTED_VALUE"""),"Drunk Parents")</f>
        <v>Drunk Parents</v>
      </c>
      <c r="U2122" s="5" t="str">
        <f>IFERROR(__xludf.DUMMYFUNCTION("""COMPUTED_VALUE"""),"Parambrata Chatterjee")</f>
        <v>Parambrata Chatterjee</v>
      </c>
      <c r="V2122" s="5" t="s">
        <v>12120</v>
      </c>
      <c r="W2122" s="5" t="str">
        <f t="shared" si="3"/>
        <v>Julien Seri</v>
      </c>
      <c r="X2122" s="5">
        <f t="shared" si="4"/>
        <v>1</v>
      </c>
      <c r="Y2122" s="5" t="str">
        <f>IFERROR(__xludf.DUMMYFUNCTION("REGEXEXTRACT(J2122, ""^\d+"")"),"158")</f>
        <v>158</v>
      </c>
      <c r="Z2122" s="5" t="str">
        <f>IFERROR(__xludf.DUMMYFUNCTION("REGEXEXTRACT(J2122, ""[A-Za-z ]+$"")")," min")</f>
        <v> min</v>
      </c>
      <c r="AA2122" s="5" t="str">
        <f>IFERROR(__xludf.DUMMYFUNCTION("IF(REGEXMATCH(Z2122, ""Season""), ""TV Show"", ""Movie"")"),"Movie")</f>
        <v>Movie</v>
      </c>
    </row>
    <row r="2123">
      <c r="A2123" s="1" t="s">
        <v>12121</v>
      </c>
      <c r="B2123" s="1" t="s">
        <v>27</v>
      </c>
      <c r="C2123" s="1" t="s">
        <v>12122</v>
      </c>
      <c r="D2123" s="1" t="s">
        <v>12123</v>
      </c>
      <c r="E2123" s="1" t="s">
        <v>12124</v>
      </c>
      <c r="F2123" s="1" t="s">
        <v>12125</v>
      </c>
      <c r="G2123" s="1" t="s">
        <v>12118</v>
      </c>
      <c r="H2123" s="1">
        <v>2014.0</v>
      </c>
      <c r="I2123" s="1" t="s">
        <v>32</v>
      </c>
      <c r="J2123" s="1" t="s">
        <v>447</v>
      </c>
      <c r="K2123" s="1" t="s">
        <v>942</v>
      </c>
      <c r="L2123" s="1" t="s">
        <v>12126</v>
      </c>
      <c r="M2123" s="2" t="s">
        <v>12</v>
      </c>
      <c r="N2123" s="4">
        <f t="shared" si="1"/>
        <v>44059</v>
      </c>
      <c r="O2123" s="5" t="str">
        <f>IFERROR(__xludf.DUMMYFUNCTION("IF(REGEXMATCH(TRIM(I2123), ""^\d+\s*min""), ""Unclassified"", IF(I2123 = """", ""NR"", I2123))"),"PG-13")</f>
        <v>PG-13</v>
      </c>
      <c r="R2123" s="5" t="str">
        <f t="shared" si="2"/>
        <v>Seventh Son</v>
      </c>
      <c r="S2123" s="5" t="str">
        <f>IFERROR(__xludf.DUMMYFUNCTION("""COMPUTED_VALUE"""),"Dry Martina")</f>
        <v>Dry Martina</v>
      </c>
      <c r="U2123" s="5" t="str">
        <f>IFERROR(__xludf.DUMMYFUNCTION("""COMPUTED_VALUE"""),"Woo Min-Ho")</f>
        <v>Woo Min-Ho</v>
      </c>
      <c r="V2123" s="5" t="s">
        <v>8349</v>
      </c>
      <c r="W2123" s="5" t="str">
        <f t="shared" si="3"/>
        <v>Juliet May</v>
      </c>
      <c r="X2123" s="5">
        <f t="shared" si="4"/>
        <v>1</v>
      </c>
      <c r="Y2123" s="5" t="str">
        <f>IFERROR(__xludf.DUMMYFUNCTION("REGEXEXTRACT(J2123, ""^\d+"")"),"102")</f>
        <v>102</v>
      </c>
      <c r="Z2123" s="5" t="str">
        <f>IFERROR(__xludf.DUMMYFUNCTION("REGEXEXTRACT(J2123, ""[A-Za-z ]+$"")")," min")</f>
        <v> min</v>
      </c>
      <c r="AA2123" s="5" t="str">
        <f>IFERROR(__xludf.DUMMYFUNCTION("IF(REGEXMATCH(Z2123, ""Season""), ""TV Show"", ""Movie"")"),"Movie")</f>
        <v>Movie</v>
      </c>
    </row>
    <row r="2124">
      <c r="A2124" s="1" t="s">
        <v>12127</v>
      </c>
      <c r="B2124" s="1" t="s">
        <v>37</v>
      </c>
      <c r="C2124" s="1" t="s">
        <v>12128</v>
      </c>
      <c r="E2124" s="1" t="s">
        <v>12129</v>
      </c>
      <c r="F2124" s="1" t="s">
        <v>749</v>
      </c>
      <c r="G2124" s="1" t="s">
        <v>12118</v>
      </c>
      <c r="H2124" s="1">
        <v>2020.0</v>
      </c>
      <c r="I2124" s="1" t="s">
        <v>42</v>
      </c>
      <c r="J2124" s="1" t="s">
        <v>43</v>
      </c>
      <c r="K2124" s="1" t="s">
        <v>6338</v>
      </c>
      <c r="L2124" s="1" t="s">
        <v>12130</v>
      </c>
      <c r="M2124" s="2" t="s">
        <v>12</v>
      </c>
      <c r="N2124" s="4">
        <f t="shared" si="1"/>
        <v>44059</v>
      </c>
      <c r="O2124" s="5" t="str">
        <f>IFERROR(__xludf.DUMMYFUNCTION("IF(REGEXMATCH(TRIM(I2124), ""^\d+\s*min""), ""Unclassified"", IF(I2124 = """", ""NR"", I2124))"),"TV-MA")</f>
        <v>TV-MA</v>
      </c>
      <c r="R2124" s="5" t="str">
        <f t="shared" si="2"/>
        <v>Stranger</v>
      </c>
      <c r="S2124" s="5" t="str">
        <f>IFERROR(__xludf.DUMMYFUNCTION("""COMPUTED_VALUE"""),"Dtc Yukemuri Junjo Hen From High &amp; Low")</f>
        <v>Dtc Yukemuri Junjo Hen From High &amp; Low</v>
      </c>
      <c r="U2124" s="5" t="str">
        <f>IFERROR(__xludf.DUMMYFUNCTION("""COMPUTED_VALUE"""),"Paul Miller")</f>
        <v>Paul Miller</v>
      </c>
      <c r="V2124" s="5" t="s">
        <v>12131</v>
      </c>
      <c r="W2124" s="5" t="str">
        <f t="shared" si="3"/>
        <v>Julio Fernández Talamantes</v>
      </c>
      <c r="X2124" s="5">
        <f t="shared" si="4"/>
        <v>1</v>
      </c>
      <c r="Y2124" s="5" t="str">
        <f>IFERROR(__xludf.DUMMYFUNCTION("REGEXEXTRACT(J2124, ""^\d+"")"),"2")</f>
        <v>2</v>
      </c>
      <c r="Z2124" s="5" t="str">
        <f>IFERROR(__xludf.DUMMYFUNCTION("REGEXEXTRACT(J2124, ""[A-Za-z ]+$"")")," Seasons")</f>
        <v> Seasons</v>
      </c>
      <c r="AA2124" s="5" t="str">
        <f>IFERROR(__xludf.DUMMYFUNCTION("IF(REGEXMATCH(Z2124, ""Season""), ""TV Show"", ""Movie"")"),"TV Show")</f>
        <v>TV Show</v>
      </c>
    </row>
    <row r="2125">
      <c r="A2125" s="1" t="s">
        <v>12132</v>
      </c>
      <c r="B2125" s="1" t="s">
        <v>37</v>
      </c>
      <c r="C2125" s="1" t="s">
        <v>12133</v>
      </c>
      <c r="E2125" s="1" t="s">
        <v>12134</v>
      </c>
      <c r="G2125" s="1" t="s">
        <v>12135</v>
      </c>
      <c r="H2125" s="1">
        <v>2016.0</v>
      </c>
      <c r="I2125" s="1" t="s">
        <v>136</v>
      </c>
      <c r="J2125" s="1" t="s">
        <v>51</v>
      </c>
      <c r="K2125" s="1" t="s">
        <v>1907</v>
      </c>
      <c r="L2125" s="1" t="s">
        <v>12136</v>
      </c>
      <c r="M2125" s="2" t="s">
        <v>12</v>
      </c>
      <c r="N2125" s="4">
        <f t="shared" si="1"/>
        <v>44058</v>
      </c>
      <c r="O2125" s="5" t="str">
        <f>IFERROR(__xludf.DUMMYFUNCTION("IF(REGEXMATCH(TRIM(I2125), ""^\d+\s*min""), ""Unclassified"", IF(I2125 = """", ""NR"", I2125))"),"TV-PG")</f>
        <v>TV-PG</v>
      </c>
      <c r="R2125" s="5" t="str">
        <f t="shared" si="2"/>
        <v>Dérè: An African Tale</v>
      </c>
      <c r="S2125" s="5" t="str">
        <f>IFERROR(__xludf.DUMMYFUNCTION("""COMPUTED_VALUE"""),"Duck Butter")</f>
        <v>Duck Butter</v>
      </c>
      <c r="U2125" s="5" t="str">
        <f>IFERROR(__xludf.DUMMYFUNCTION("""COMPUTED_VALUE"""),"Michael Del Monte")</f>
        <v>Michael Del Monte</v>
      </c>
      <c r="V2125" s="5" t="s">
        <v>12137</v>
      </c>
      <c r="W2125" s="5" t="str">
        <f t="shared" si="3"/>
        <v>Julio Medem</v>
      </c>
      <c r="X2125" s="5">
        <f t="shared" si="4"/>
        <v>1</v>
      </c>
      <c r="Y2125" s="5" t="str">
        <f>IFERROR(__xludf.DUMMYFUNCTION("REGEXEXTRACT(J2125, ""^\d+"")"),"1")</f>
        <v>1</v>
      </c>
      <c r="Z2125" s="5" t="str">
        <f>IFERROR(__xludf.DUMMYFUNCTION("REGEXEXTRACT(J2125, ""[A-Za-z ]+$"")")," Season")</f>
        <v> Season</v>
      </c>
      <c r="AA2125" s="5" t="str">
        <f>IFERROR(__xludf.DUMMYFUNCTION("IF(REGEXMATCH(Z2125, ""Season""), ""TV Show"", ""Movie"")"),"TV Show")</f>
        <v>TV Show</v>
      </c>
    </row>
    <row r="2126">
      <c r="A2126" s="1" t="s">
        <v>12138</v>
      </c>
      <c r="B2126" s="1" t="s">
        <v>37</v>
      </c>
      <c r="C2126" s="1" t="s">
        <v>12139</v>
      </c>
      <c r="E2126" s="1" t="s">
        <v>12140</v>
      </c>
      <c r="F2126" s="1" t="s">
        <v>4478</v>
      </c>
      <c r="G2126" s="1" t="s">
        <v>12135</v>
      </c>
      <c r="H2126" s="1">
        <v>2020.0</v>
      </c>
      <c r="I2126" s="1" t="s">
        <v>42</v>
      </c>
      <c r="J2126" s="1" t="s">
        <v>189</v>
      </c>
      <c r="K2126" s="1" t="s">
        <v>1531</v>
      </c>
      <c r="L2126" s="1" t="s">
        <v>12141</v>
      </c>
      <c r="M2126" s="2" t="s">
        <v>12</v>
      </c>
      <c r="N2126" s="4">
        <f t="shared" si="1"/>
        <v>44058</v>
      </c>
      <c r="O2126" s="5" t="str">
        <f>IFERROR(__xludf.DUMMYFUNCTION("IF(REGEXMATCH(TRIM(I2126), ""^\d+\s*min""), ""Unclassified"", IF(I2126 = """", ""NR"", I2126))"),"TV-MA")</f>
        <v>TV-MA</v>
      </c>
      <c r="R2126" s="5" t="str">
        <f t="shared" si="2"/>
        <v>Rita</v>
      </c>
      <c r="S2126" s="5" t="str">
        <f>IFERROR(__xludf.DUMMYFUNCTION("""COMPUTED_VALUE"""),"Duck Duck Goose")</f>
        <v>Duck Duck Goose</v>
      </c>
      <c r="U2126" s="5" t="str">
        <f>IFERROR(__xludf.DUMMYFUNCTION("""COMPUTED_VALUE"""),"Suseenthiran")</f>
        <v>Suseenthiran</v>
      </c>
      <c r="V2126" s="5" t="s">
        <v>5062</v>
      </c>
      <c r="W2126" s="5" t="str">
        <f t="shared" si="3"/>
        <v>Julio Quintana</v>
      </c>
      <c r="X2126" s="5">
        <f t="shared" si="4"/>
        <v>1</v>
      </c>
      <c r="Y2126" s="5" t="str">
        <f>IFERROR(__xludf.DUMMYFUNCTION("REGEXEXTRACT(J2126, ""^\d+"")"),"5")</f>
        <v>5</v>
      </c>
      <c r="Z2126" s="5" t="str">
        <f>IFERROR(__xludf.DUMMYFUNCTION("REGEXEXTRACT(J2126, ""[A-Za-z ]+$"")")," Seasons")</f>
        <v> Seasons</v>
      </c>
      <c r="AA2126" s="5" t="str">
        <f>IFERROR(__xludf.DUMMYFUNCTION("IF(REGEXMATCH(Z2126, ""Season""), ""TV Show"", ""Movie"")"),"TV Show")</f>
        <v>TV Show</v>
      </c>
    </row>
    <row r="2127">
      <c r="A2127" s="1" t="s">
        <v>12142</v>
      </c>
      <c r="B2127" s="1" t="s">
        <v>37</v>
      </c>
      <c r="C2127" s="1" t="s">
        <v>12143</v>
      </c>
      <c r="E2127" s="1" t="s">
        <v>12144</v>
      </c>
      <c r="F2127" s="1" t="s">
        <v>2774</v>
      </c>
      <c r="G2127" s="1" t="s">
        <v>12135</v>
      </c>
      <c r="H2127" s="1">
        <v>2014.0</v>
      </c>
      <c r="I2127" s="1" t="s">
        <v>97</v>
      </c>
      <c r="J2127" s="1" t="s">
        <v>43</v>
      </c>
      <c r="K2127" s="1" t="s">
        <v>402</v>
      </c>
      <c r="L2127" s="1" t="s">
        <v>12145</v>
      </c>
      <c r="M2127" s="2" t="s">
        <v>12</v>
      </c>
      <c r="N2127" s="4">
        <f t="shared" si="1"/>
        <v>44058</v>
      </c>
      <c r="O2127" s="5" t="str">
        <f>IFERROR(__xludf.DUMMYFUNCTION("IF(REGEXMATCH(TRIM(I2127), ""^\d+\s*min""), ""Unclassified"", IF(I2127 = """", ""NR"", I2127))"),"TV-14")</f>
        <v>TV-14</v>
      </c>
      <c r="R2127" s="5" t="str">
        <f t="shared" si="2"/>
        <v>Takki</v>
      </c>
      <c r="S2127" s="5" t="str">
        <f>IFERROR(__xludf.DUMMYFUNCTION("""COMPUTED_VALUE"""),"Dude")</f>
        <v>Dude</v>
      </c>
      <c r="U2127" s="5" t="str">
        <f>IFERROR(__xludf.DUMMYFUNCTION("""COMPUTED_VALUE"""),"Matt Tyrnauer")</f>
        <v>Matt Tyrnauer</v>
      </c>
      <c r="V2127" s="5" t="s">
        <v>12146</v>
      </c>
      <c r="W2127" s="5" t="str">
        <f t="shared" si="3"/>
        <v>Julius Avery</v>
      </c>
      <c r="X2127" s="5">
        <f t="shared" si="4"/>
        <v>1</v>
      </c>
      <c r="Y2127" s="5" t="str">
        <f>IFERROR(__xludf.DUMMYFUNCTION("REGEXEXTRACT(J2127, ""^\d+"")"),"2")</f>
        <v>2</v>
      </c>
      <c r="Z2127" s="5" t="str">
        <f>IFERROR(__xludf.DUMMYFUNCTION("REGEXEXTRACT(J2127, ""[A-Za-z ]+$"")")," Seasons")</f>
        <v> Seasons</v>
      </c>
      <c r="AA2127" s="5" t="str">
        <f>IFERROR(__xludf.DUMMYFUNCTION("IF(REGEXMATCH(Z2127, ""Season""), ""TV Show"", ""Movie"")"),"TV Show")</f>
        <v>TV Show</v>
      </c>
    </row>
    <row r="2128">
      <c r="A2128" s="1" t="s">
        <v>12147</v>
      </c>
      <c r="B2128" s="1" t="s">
        <v>27</v>
      </c>
      <c r="C2128" s="1" t="s">
        <v>12148</v>
      </c>
      <c r="D2128" s="1" t="s">
        <v>2642</v>
      </c>
      <c r="E2128" s="1" t="s">
        <v>12149</v>
      </c>
      <c r="F2128" s="1" t="s">
        <v>63</v>
      </c>
      <c r="G2128" s="1" t="s">
        <v>12135</v>
      </c>
      <c r="H2128" s="1">
        <v>2009.0</v>
      </c>
      <c r="I2128" s="1" t="s">
        <v>136</v>
      </c>
      <c r="J2128" s="1" t="s">
        <v>12150</v>
      </c>
      <c r="K2128" s="1" t="s">
        <v>230</v>
      </c>
      <c r="L2128" s="1" t="s">
        <v>12151</v>
      </c>
      <c r="M2128" s="2" t="s">
        <v>12</v>
      </c>
      <c r="N2128" s="4">
        <f t="shared" si="1"/>
        <v>44058</v>
      </c>
      <c r="O2128" s="5" t="str">
        <f>IFERROR(__xludf.DUMMYFUNCTION("IF(REGEXMATCH(TRIM(I2128), ""^\d+\s*min""), ""Unclassified"", IF(I2128 = """", ""NR"", I2128))"),"TV-PG")</f>
        <v>TV-PG</v>
      </c>
      <c r="R2128" s="5" t="str">
        <f t="shared" si="2"/>
        <v>What'S Your Raashee?</v>
      </c>
      <c r="S2128" s="5" t="str">
        <f>IFERROR(__xludf.DUMMYFUNCTION("""COMPUTED_VALUE"""),"Due Date")</f>
        <v>Due Date</v>
      </c>
      <c r="U2128" s="5" t="str">
        <f>IFERROR(__xludf.DUMMYFUNCTION("""COMPUTED_VALUE"""),"Prasanth Varma")</f>
        <v>Prasanth Varma</v>
      </c>
      <c r="V2128" s="5" t="s">
        <v>12152</v>
      </c>
      <c r="W2128" s="5" t="str">
        <f t="shared" si="3"/>
        <v>Julius Onah</v>
      </c>
      <c r="X2128" s="5">
        <f t="shared" si="4"/>
        <v>1</v>
      </c>
      <c r="Y2128" s="5" t="str">
        <f>IFERROR(__xludf.DUMMYFUNCTION("REGEXEXTRACT(J2128, ""^\d+"")"),"203")</f>
        <v>203</v>
      </c>
      <c r="Z2128" s="5" t="str">
        <f>IFERROR(__xludf.DUMMYFUNCTION("REGEXEXTRACT(J2128, ""[A-Za-z ]+$"")")," min")</f>
        <v> min</v>
      </c>
      <c r="AA2128" s="5" t="str">
        <f>IFERROR(__xludf.DUMMYFUNCTION("IF(REGEXMATCH(Z2128, ""Season""), ""TV Show"", ""Movie"")"),"Movie")</f>
        <v>Movie</v>
      </c>
    </row>
    <row r="2129">
      <c r="A2129" s="1" t="s">
        <v>12153</v>
      </c>
      <c r="B2129" s="1" t="s">
        <v>37</v>
      </c>
      <c r="C2129" s="10">
        <v>0.03</v>
      </c>
      <c r="E2129" s="1" t="s">
        <v>12154</v>
      </c>
      <c r="F2129" s="1" t="s">
        <v>1992</v>
      </c>
      <c r="G2129" s="1" t="s">
        <v>12155</v>
      </c>
      <c r="H2129" s="1">
        <v>2020.0</v>
      </c>
      <c r="I2129" s="1" t="s">
        <v>42</v>
      </c>
      <c r="J2129" s="1" t="s">
        <v>148</v>
      </c>
      <c r="K2129" s="1" t="s">
        <v>408</v>
      </c>
      <c r="L2129" s="1" t="s">
        <v>12156</v>
      </c>
      <c r="M2129" s="2" t="s">
        <v>12</v>
      </c>
      <c r="N2129" s="4">
        <f t="shared" si="1"/>
        <v>44057</v>
      </c>
      <c r="O2129" s="5" t="str">
        <f>IFERROR(__xludf.DUMMYFUNCTION("IF(REGEXMATCH(TRIM(I2129), ""^\d+\s*min""), ""Unclassified"", IF(I2129 = """", ""NR"", I2129))"),"TV-MA")</f>
        <v>TV-MA</v>
      </c>
      <c r="R2129" s="5" t="str">
        <f t="shared" si="2"/>
        <v>3%</v>
      </c>
      <c r="S2129" s="5" t="str">
        <f>IFERROR(__xludf.DUMMYFUNCTION("""COMPUTED_VALUE"""),"Dueños Del Paraíso")</f>
        <v>Dueños Del Paraíso</v>
      </c>
      <c r="U2129" s="5" t="str">
        <f>IFERROR(__xludf.DUMMYFUNCTION("""COMPUTED_VALUE"""),"Gangadhar Salimath")</f>
        <v>Gangadhar Salimath</v>
      </c>
      <c r="V2129" s="5" t="s">
        <v>12157</v>
      </c>
      <c r="W2129" s="5" t="str">
        <f t="shared" si="3"/>
        <v>Julius R. Nasso</v>
      </c>
      <c r="X2129" s="5">
        <f t="shared" si="4"/>
        <v>1</v>
      </c>
      <c r="Y2129" s="5" t="str">
        <f>IFERROR(__xludf.DUMMYFUNCTION("REGEXEXTRACT(J2129, ""^\d+"")"),"4")</f>
        <v>4</v>
      </c>
      <c r="Z2129" s="5" t="str">
        <f>IFERROR(__xludf.DUMMYFUNCTION("REGEXEXTRACT(J2129, ""[A-Za-z ]+$"")")," Seasons")</f>
        <v> Seasons</v>
      </c>
      <c r="AA2129" s="5" t="str">
        <f>IFERROR(__xludf.DUMMYFUNCTION("IF(REGEXMATCH(Z2129, ""Season""), ""TV Show"", ""Movie"")"),"TV Show")</f>
        <v>TV Show</v>
      </c>
    </row>
    <row r="2130">
      <c r="A2130" s="1" t="s">
        <v>12158</v>
      </c>
      <c r="B2130" s="1" t="s">
        <v>27</v>
      </c>
      <c r="C2130" s="1" t="s">
        <v>12159</v>
      </c>
      <c r="D2130" s="1" t="s">
        <v>2188</v>
      </c>
      <c r="G2130" s="1" t="s">
        <v>12155</v>
      </c>
      <c r="H2130" s="1">
        <v>2020.0</v>
      </c>
      <c r="I2130" s="1" t="s">
        <v>506</v>
      </c>
      <c r="J2130" s="1" t="s">
        <v>1847</v>
      </c>
      <c r="K2130" s="1" t="s">
        <v>520</v>
      </c>
      <c r="L2130" s="1" t="s">
        <v>12160</v>
      </c>
      <c r="M2130" s="2" t="s">
        <v>12</v>
      </c>
      <c r="N2130" s="4">
        <f t="shared" si="1"/>
        <v>44057</v>
      </c>
      <c r="O2130" s="5" t="str">
        <f>IFERROR(__xludf.DUMMYFUNCTION("IF(REGEXMATCH(TRIM(I2130), ""^\d+\s*min""), ""Unclassified"", IF(I2130 = """", ""NR"", I2130))"),"TV-G")</f>
        <v>TV-G</v>
      </c>
      <c r="R2130" s="5" t="str">
        <f t="shared" si="2"/>
        <v>Beyond The Boundary: Icc Women'S T20 World Cup Australia 2020</v>
      </c>
      <c r="S2130" s="5" t="str">
        <f>IFERROR(__xludf.DUMMYFUNCTION("""COMPUTED_VALUE"""),"Düğün Dernek")</f>
        <v>Düğün Dernek</v>
      </c>
      <c r="U2130" s="5" t="str">
        <f>IFERROR(__xludf.DUMMYFUNCTION("""COMPUTED_VALUE"""),"Daniel J. Clark")</f>
        <v>Daniel J. Clark</v>
      </c>
      <c r="V2130" s="5" t="s">
        <v>12161</v>
      </c>
      <c r="W2130" s="5" t="str">
        <f t="shared" si="3"/>
        <v>July Hygreck</v>
      </c>
      <c r="X2130" s="5">
        <f t="shared" si="4"/>
        <v>1</v>
      </c>
      <c r="Y2130" s="5" t="str">
        <f>IFERROR(__xludf.DUMMYFUNCTION("REGEXEXTRACT(J2130, ""^\d+"")"),"59")</f>
        <v>59</v>
      </c>
      <c r="Z2130" s="5" t="str">
        <f>IFERROR(__xludf.DUMMYFUNCTION("REGEXEXTRACT(J2130, ""[A-Za-z ]+$"")")," min")</f>
        <v> min</v>
      </c>
      <c r="AA2130" s="5" t="str">
        <f>IFERROR(__xludf.DUMMYFUNCTION("IF(REGEXMATCH(Z2130, ""Season""), ""TV Show"", ""Movie"")"),"Movie")</f>
        <v>Movie</v>
      </c>
    </row>
    <row r="2131">
      <c r="A2131" s="1" t="s">
        <v>12162</v>
      </c>
      <c r="B2131" s="1" t="s">
        <v>27</v>
      </c>
      <c r="C2131" s="1" t="s">
        <v>12163</v>
      </c>
      <c r="D2131" s="1" t="s">
        <v>5203</v>
      </c>
      <c r="E2131" s="1" t="s">
        <v>12164</v>
      </c>
      <c r="F2131" s="1" t="s">
        <v>1106</v>
      </c>
      <c r="G2131" s="1" t="s">
        <v>12155</v>
      </c>
      <c r="H2131" s="1">
        <v>2020.0</v>
      </c>
      <c r="I2131" s="1" t="s">
        <v>289</v>
      </c>
      <c r="J2131" s="1" t="s">
        <v>665</v>
      </c>
      <c r="K2131" s="1" t="s">
        <v>137</v>
      </c>
      <c r="L2131" s="1" t="s">
        <v>12165</v>
      </c>
      <c r="M2131" s="2" t="s">
        <v>12</v>
      </c>
      <c r="N2131" s="4">
        <f t="shared" si="1"/>
        <v>44057</v>
      </c>
      <c r="O2131" s="5" t="str">
        <f>IFERROR(__xludf.DUMMYFUNCTION("IF(REGEXMATCH(TRIM(I2131), ""^\d+\s*min""), ""Unclassified"", IF(I2131 = """", ""NR"", I2131))"),"TV-Y7")</f>
        <v>TV-Y7</v>
      </c>
      <c r="R2131" s="5" t="str">
        <f t="shared" si="2"/>
        <v>Fearless</v>
      </c>
      <c r="S2131" s="5" t="str">
        <f>IFERROR(__xludf.DUMMYFUNCTION("""COMPUTED_VALUE"""),"Dügün Dernek 2: Sünnet")</f>
        <v>Dügün Dernek 2: Sünnet</v>
      </c>
      <c r="U2131" s="5" t="str">
        <f>IFERROR(__xludf.DUMMYFUNCTION("""COMPUTED_VALUE"""),"Marcelo Galvão")</f>
        <v>Marcelo Galvão</v>
      </c>
      <c r="V2131" s="5" t="s">
        <v>12166</v>
      </c>
      <c r="W2131" s="5" t="str">
        <f t="shared" si="3"/>
        <v>Jumpei Mizusaki, Koji Morimoto, Michael Arias, Masaru Matsumoto, Arthell Isom, Henry Thurlow, Takanobu Mizuno, Elsa Nakamichi, Hajime Sasaki, Shinji Takagi</v>
      </c>
      <c r="X2131" s="5">
        <f t="shared" si="4"/>
        <v>1</v>
      </c>
      <c r="Y2131" s="5" t="str">
        <f>IFERROR(__xludf.DUMMYFUNCTION("REGEXEXTRACT(J2131, ""^\d+"")"),"92")</f>
        <v>92</v>
      </c>
      <c r="Z2131" s="5" t="str">
        <f>IFERROR(__xludf.DUMMYFUNCTION("REGEXEXTRACT(J2131, ""[A-Za-z ]+$"")")," min")</f>
        <v> min</v>
      </c>
      <c r="AA2131" s="5" t="str">
        <f>IFERROR(__xludf.DUMMYFUNCTION("IF(REGEXMATCH(Z2131, ""Season""), ""TV Show"", ""Movie"")"),"Movie")</f>
        <v>Movie</v>
      </c>
    </row>
    <row r="2132">
      <c r="A2132" s="1" t="s">
        <v>12167</v>
      </c>
      <c r="B2132" s="1" t="s">
        <v>27</v>
      </c>
      <c r="C2132" s="1" t="s">
        <v>12168</v>
      </c>
      <c r="D2132" s="1" t="s">
        <v>7471</v>
      </c>
      <c r="E2132" s="1" t="s">
        <v>12169</v>
      </c>
      <c r="F2132" s="1" t="s">
        <v>2072</v>
      </c>
      <c r="G2132" s="1" t="s">
        <v>12155</v>
      </c>
      <c r="H2132" s="1">
        <v>2018.0</v>
      </c>
      <c r="I2132" s="1" t="s">
        <v>42</v>
      </c>
      <c r="J2132" s="1" t="s">
        <v>106</v>
      </c>
      <c r="K2132" s="1" t="s">
        <v>1320</v>
      </c>
      <c r="L2132" s="1" t="s">
        <v>12170</v>
      </c>
      <c r="M2132" s="2" t="s">
        <v>12</v>
      </c>
      <c r="N2132" s="4">
        <f t="shared" si="1"/>
        <v>44057</v>
      </c>
      <c r="O2132" s="5" t="str">
        <f>IFERROR(__xludf.DUMMYFUNCTION("IF(REGEXMATCH(TRIM(I2132), ""^\d+\s*min""), ""Unclassified"", IF(I2132 = """", ""NR"", I2132))"),"TV-MA")</f>
        <v>TV-MA</v>
      </c>
      <c r="R2132" s="5" t="str">
        <f t="shared" si="2"/>
        <v>Nigerian Prince</v>
      </c>
      <c r="S2132" s="5" t="str">
        <f>IFERROR(__xludf.DUMMYFUNCTION("""COMPUTED_VALUE"""),"Dukhtar")</f>
        <v>Dukhtar</v>
      </c>
      <c r="U2132" s="5" t="str">
        <f>IFERROR(__xludf.DUMMYFUNCTION("""COMPUTED_VALUE"""),"Shanawaz Nellikunnil")</f>
        <v>Shanawaz Nellikunnil</v>
      </c>
      <c r="V2132" s="5" t="s">
        <v>8995</v>
      </c>
      <c r="W2132" s="5" t="str">
        <f t="shared" si="3"/>
        <v>Jun Lana</v>
      </c>
      <c r="X2132" s="5">
        <f t="shared" si="4"/>
        <v>4</v>
      </c>
      <c r="Y2132" s="5" t="str">
        <f>IFERROR(__xludf.DUMMYFUNCTION("REGEXEXTRACT(J2132, ""^\d+"")"),"104")</f>
        <v>104</v>
      </c>
      <c r="Z2132" s="5" t="str">
        <f>IFERROR(__xludf.DUMMYFUNCTION("REGEXEXTRACT(J2132, ""[A-Za-z ]+$"")")," min")</f>
        <v> min</v>
      </c>
      <c r="AA2132" s="5" t="str">
        <f>IFERROR(__xludf.DUMMYFUNCTION("IF(REGEXMATCH(Z2132, ""Season""), ""TV Show"", ""Movie"")"),"Movie")</f>
        <v>Movie</v>
      </c>
    </row>
    <row r="2133">
      <c r="A2133" s="1" t="s">
        <v>12171</v>
      </c>
      <c r="B2133" s="1" t="s">
        <v>27</v>
      </c>
      <c r="C2133" s="1" t="s">
        <v>12172</v>
      </c>
      <c r="D2133" s="1" t="s">
        <v>3490</v>
      </c>
      <c r="E2133" s="1" t="s">
        <v>12173</v>
      </c>
      <c r="F2133" s="1" t="s">
        <v>96</v>
      </c>
      <c r="G2133" s="1" t="s">
        <v>12155</v>
      </c>
      <c r="H2133" s="1">
        <v>2020.0</v>
      </c>
      <c r="I2133" s="1" t="s">
        <v>206</v>
      </c>
      <c r="J2133" s="1" t="s">
        <v>4699</v>
      </c>
      <c r="K2133" s="1" t="s">
        <v>80</v>
      </c>
      <c r="L2133" s="1" t="s">
        <v>12174</v>
      </c>
      <c r="M2133" s="2" t="s">
        <v>12</v>
      </c>
      <c r="N2133" s="4">
        <f t="shared" si="1"/>
        <v>44057</v>
      </c>
      <c r="O2133" s="5" t="str">
        <f>IFERROR(__xludf.DUMMYFUNCTION("IF(REGEXMATCH(TRIM(I2133), ""^\d+\s*min""), ""Unclassified"", IF(I2133 = """", ""NR"", I2133))"),"TV-Y")</f>
        <v>TV-Y</v>
      </c>
      <c r="R2133" s="5" t="str">
        <f t="shared" si="2"/>
        <v>Octonauts &amp; The Caves Of Sac Actun</v>
      </c>
      <c r="S2133" s="5" t="str">
        <f>IFERROR(__xludf.DUMMYFUNCTION("""COMPUTED_VALUE"""),"Dum")</f>
        <v>Dum</v>
      </c>
      <c r="U2133" s="5" t="str">
        <f>IFERROR(__xludf.DUMMYFUNCTION("""COMPUTED_VALUE"""),"Lars Kaalund")</f>
        <v>Lars Kaalund</v>
      </c>
      <c r="V2133" s="5" t="s">
        <v>12175</v>
      </c>
      <c r="W2133" s="5" t="str">
        <f t="shared" si="3"/>
        <v>Jun-Seong Kim</v>
      </c>
      <c r="X2133" s="5">
        <f t="shared" si="4"/>
        <v>1</v>
      </c>
      <c r="Y2133" s="5" t="str">
        <f>IFERROR(__xludf.DUMMYFUNCTION("REGEXEXTRACT(J2133, ""^\d+"")"),"72")</f>
        <v>72</v>
      </c>
      <c r="Z2133" s="5" t="str">
        <f>IFERROR(__xludf.DUMMYFUNCTION("REGEXEXTRACT(J2133, ""[A-Za-z ]+$"")")," min")</f>
        <v> min</v>
      </c>
      <c r="AA2133" s="5" t="str">
        <f>IFERROR(__xludf.DUMMYFUNCTION("IF(REGEXMATCH(Z2133, ""Season""), ""TV Show"", ""Movie"")"),"Movie")</f>
        <v>Movie</v>
      </c>
    </row>
    <row r="2134">
      <c r="A2134" s="1" t="s">
        <v>12176</v>
      </c>
      <c r="B2134" s="1" t="s">
        <v>27</v>
      </c>
      <c r="C2134" s="1" t="s">
        <v>12177</v>
      </c>
      <c r="D2134" s="1" t="s">
        <v>9265</v>
      </c>
      <c r="E2134" s="1" t="s">
        <v>12178</v>
      </c>
      <c r="F2134" s="1" t="s">
        <v>30</v>
      </c>
      <c r="G2134" s="1" t="s">
        <v>12155</v>
      </c>
      <c r="H2134" s="1">
        <v>2020.0</v>
      </c>
      <c r="I2134" s="1" t="s">
        <v>378</v>
      </c>
      <c r="J2134" s="1" t="s">
        <v>519</v>
      </c>
      <c r="K2134" s="1" t="s">
        <v>380</v>
      </c>
      <c r="L2134" s="1" t="s">
        <v>12179</v>
      </c>
      <c r="M2134" s="2" t="s">
        <v>12</v>
      </c>
      <c r="N2134" s="4">
        <f t="shared" si="1"/>
        <v>44057</v>
      </c>
      <c r="O2134" s="5" t="str">
        <f>IFERROR(__xludf.DUMMYFUNCTION("IF(REGEXMATCH(TRIM(I2134), ""^\d+\s*min""), ""Unclassified"", IF(I2134 = """", ""NR"", I2134))"),"R")</f>
        <v>R</v>
      </c>
      <c r="R2134" s="5" t="str">
        <f t="shared" si="2"/>
        <v>Project Power</v>
      </c>
      <c r="S2134" s="5" t="str">
        <f>IFERROR(__xludf.DUMMYFUNCTION("""COMPUTED_VALUE"""),"Dumb And Dumberer: When Harry Met Lloyd")</f>
        <v>Dumb And Dumberer: When Harry Met Lloyd</v>
      </c>
      <c r="U2134" s="5" t="str">
        <f>IFERROR(__xludf.DUMMYFUNCTION("""COMPUTED_VALUE"""),"Hari Nath")</f>
        <v>Hari Nath</v>
      </c>
      <c r="V2134" s="5" t="s">
        <v>12180</v>
      </c>
      <c r="W2134" s="5" t="str">
        <f t="shared" si="3"/>
        <v>Jung Ji-Woo</v>
      </c>
      <c r="X2134" s="5">
        <f t="shared" si="4"/>
        <v>1</v>
      </c>
      <c r="Y2134" s="5" t="str">
        <f>IFERROR(__xludf.DUMMYFUNCTION("REGEXEXTRACT(J2134, ""^\d+"")"),"113")</f>
        <v>113</v>
      </c>
      <c r="Z2134" s="5" t="str">
        <f>IFERROR(__xludf.DUMMYFUNCTION("REGEXEXTRACT(J2134, ""[A-Za-z ]+$"")")," min")</f>
        <v> min</v>
      </c>
      <c r="AA2134" s="5" t="str">
        <f>IFERROR(__xludf.DUMMYFUNCTION("IF(REGEXMATCH(Z2134, ""Season""), ""TV Show"", ""Movie"")"),"Movie")</f>
        <v>Movie</v>
      </c>
    </row>
    <row r="2135">
      <c r="A2135" s="1" t="s">
        <v>12181</v>
      </c>
      <c r="B2135" s="1" t="s">
        <v>37</v>
      </c>
      <c r="C2135" s="1" t="s">
        <v>12182</v>
      </c>
      <c r="E2135" s="1" t="s">
        <v>12183</v>
      </c>
      <c r="F2135" s="1" t="s">
        <v>30</v>
      </c>
      <c r="G2135" s="1" t="s">
        <v>12155</v>
      </c>
      <c r="H2135" s="1">
        <v>2020.0</v>
      </c>
      <c r="I2135" s="1" t="s">
        <v>42</v>
      </c>
      <c r="J2135" s="1" t="s">
        <v>51</v>
      </c>
      <c r="K2135" s="1" t="s">
        <v>605</v>
      </c>
      <c r="L2135" s="1" t="s">
        <v>12184</v>
      </c>
      <c r="M2135" s="2" t="s">
        <v>12</v>
      </c>
      <c r="N2135" s="4">
        <f t="shared" si="1"/>
        <v>44057</v>
      </c>
      <c r="O2135" s="5" t="str">
        <f>IFERROR(__xludf.DUMMYFUNCTION("IF(REGEXMATCH(TRIM(I2135), ""^\d+\s*min""), ""Unclassified"", IF(I2135 = """", ""NR"", I2135))"),"TV-MA")</f>
        <v>TV-MA</v>
      </c>
      <c r="R2135" s="5" t="str">
        <f t="shared" si="2"/>
        <v>Teenage Bounty Hunters</v>
      </c>
      <c r="S2135" s="5" t="str">
        <f>IFERROR(__xludf.DUMMYFUNCTION("""COMPUTED_VALUE"""),"Dumplin'")</f>
        <v>Dumplin'</v>
      </c>
      <c r="U2135" s="5" t="str">
        <f>IFERROR(__xludf.DUMMYFUNCTION("""COMPUTED_VALUE"""),"Saket Chaudhary")</f>
        <v>Saket Chaudhary</v>
      </c>
      <c r="V2135" s="5" t="s">
        <v>12185</v>
      </c>
      <c r="W2135" s="5" t="str">
        <f t="shared" si="3"/>
        <v>Jung-Ah Im</v>
      </c>
      <c r="X2135" s="5">
        <f t="shared" si="4"/>
        <v>1</v>
      </c>
      <c r="Y2135" s="5" t="str">
        <f>IFERROR(__xludf.DUMMYFUNCTION("REGEXEXTRACT(J2135, ""^\d+"")"),"1")</f>
        <v>1</v>
      </c>
      <c r="Z2135" s="5" t="str">
        <f>IFERROR(__xludf.DUMMYFUNCTION("REGEXEXTRACT(J2135, ""[A-Za-z ]+$"")")," Season")</f>
        <v> Season</v>
      </c>
      <c r="AA2135" s="5" t="str">
        <f>IFERROR(__xludf.DUMMYFUNCTION("IF(REGEXMATCH(Z2135, ""Season""), ""TV Show"", ""Movie"")"),"TV Show")</f>
        <v>TV Show</v>
      </c>
    </row>
    <row r="2136">
      <c r="A2136" s="1" t="s">
        <v>12186</v>
      </c>
      <c r="B2136" s="1" t="s">
        <v>37</v>
      </c>
      <c r="C2136" s="1" t="s">
        <v>12187</v>
      </c>
      <c r="E2136" s="1" t="s">
        <v>12188</v>
      </c>
      <c r="F2136" s="1" t="s">
        <v>1837</v>
      </c>
      <c r="G2136" s="1" t="s">
        <v>12155</v>
      </c>
      <c r="H2136" s="1">
        <v>2020.0</v>
      </c>
      <c r="I2136" s="1" t="s">
        <v>42</v>
      </c>
      <c r="J2136" s="1" t="s">
        <v>51</v>
      </c>
      <c r="K2136" s="1" t="s">
        <v>785</v>
      </c>
      <c r="L2136" s="1" t="s">
        <v>12189</v>
      </c>
      <c r="M2136" s="2" t="s">
        <v>12</v>
      </c>
      <c r="N2136" s="4">
        <f t="shared" si="1"/>
        <v>44057</v>
      </c>
      <c r="O2136" s="5" t="str">
        <f>IFERROR(__xludf.DUMMYFUNCTION("IF(REGEXMATCH(TRIM(I2136), ""^\d+\s*min""), ""Unclassified"", IF(I2136 = """", ""NR"", I2136))"),"TV-MA")</f>
        <v>TV-MA</v>
      </c>
      <c r="R2136" s="5" t="str">
        <f t="shared" si="2"/>
        <v>The Great Heist</v>
      </c>
      <c r="S2136" s="5" t="str">
        <f>IFERROR(__xludf.DUMMYFUNCTION("""COMPUTED_VALUE"""),"Duniya")</f>
        <v>Duniya</v>
      </c>
      <c r="U2136" s="5" t="str">
        <f>IFERROR(__xludf.DUMMYFUNCTION("""COMPUTED_VALUE"""),"Tanuja Chandra")</f>
        <v>Tanuja Chandra</v>
      </c>
      <c r="V2136" s="5" t="s">
        <v>12190</v>
      </c>
      <c r="W2136" s="5" t="str">
        <f t="shared" si="3"/>
        <v>Jung-Ah Im, Seung-Uk Jo</v>
      </c>
      <c r="X2136" s="5">
        <f t="shared" si="4"/>
        <v>1</v>
      </c>
      <c r="Y2136" s="5" t="str">
        <f>IFERROR(__xludf.DUMMYFUNCTION("REGEXEXTRACT(J2136, ""^\d+"")"),"1")</f>
        <v>1</v>
      </c>
      <c r="Z2136" s="5" t="str">
        <f>IFERROR(__xludf.DUMMYFUNCTION("REGEXEXTRACT(J2136, ""[A-Za-z ]+$"")")," Season")</f>
        <v> Season</v>
      </c>
      <c r="AA2136" s="5" t="str">
        <f>IFERROR(__xludf.DUMMYFUNCTION("IF(REGEXMATCH(Z2136, ""Season""), ""TV Show"", ""Movie"")"),"TV Show")</f>
        <v>TV Show</v>
      </c>
    </row>
    <row r="2137">
      <c r="A2137" s="1" t="s">
        <v>12191</v>
      </c>
      <c r="B2137" s="1" t="s">
        <v>37</v>
      </c>
      <c r="C2137" s="1" t="s">
        <v>12192</v>
      </c>
      <c r="E2137" s="1" t="s">
        <v>12193</v>
      </c>
      <c r="F2137" s="1" t="s">
        <v>30</v>
      </c>
      <c r="G2137" s="1" t="s">
        <v>12155</v>
      </c>
      <c r="H2137" s="1">
        <v>2014.0</v>
      </c>
      <c r="I2137" s="1" t="s">
        <v>289</v>
      </c>
      <c r="J2137" s="1" t="s">
        <v>148</v>
      </c>
      <c r="K2137" s="1" t="s">
        <v>3368</v>
      </c>
      <c r="L2137" s="1" t="s">
        <v>12194</v>
      </c>
      <c r="M2137" s="2" t="s">
        <v>12</v>
      </c>
      <c r="N2137" s="4">
        <f t="shared" si="1"/>
        <v>44057</v>
      </c>
      <c r="O2137" s="5" t="str">
        <f>IFERROR(__xludf.DUMMYFUNCTION("IF(REGEXMATCH(TRIM(I2137), ""^\d+\s*min""), ""Unclassified"", IF(I2137 = """", ""NR"", I2137))"),"TV-Y7")</f>
        <v>TV-Y7</v>
      </c>
      <c r="R2137" s="5" t="str">
        <f t="shared" si="2"/>
        <v>The Legend Of Korra</v>
      </c>
      <c r="S2137" s="5" t="str">
        <f>IFERROR(__xludf.DUMMYFUNCTION("""COMPUTED_VALUE"""),"Duplicate")</f>
        <v>Duplicate</v>
      </c>
      <c r="U2137" s="5" t="str">
        <f>IFERROR(__xludf.DUMMYFUNCTION("""COMPUTED_VALUE"""),"Jackie Van Beek, Madeleine Sami")</f>
        <v>Jackie Van Beek, Madeleine Sami</v>
      </c>
      <c r="V2137" s="5" t="s">
        <v>12195</v>
      </c>
      <c r="W2137" s="5" t="str">
        <f t="shared" si="3"/>
        <v>Jung-Woo Park</v>
      </c>
      <c r="X2137" s="5">
        <f t="shared" si="4"/>
        <v>1</v>
      </c>
      <c r="Y2137" s="5" t="str">
        <f>IFERROR(__xludf.DUMMYFUNCTION("REGEXEXTRACT(J2137, ""^\d+"")"),"4")</f>
        <v>4</v>
      </c>
      <c r="Z2137" s="5" t="str">
        <f>IFERROR(__xludf.DUMMYFUNCTION("REGEXEXTRACT(J2137, ""[A-Za-z ]+$"")")," Seasons")</f>
        <v> Seasons</v>
      </c>
      <c r="AA2137" s="5" t="str">
        <f>IFERROR(__xludf.DUMMYFUNCTION("IF(REGEXMATCH(Z2137, ""Season""), ""TV Show"", ""Movie"")"),"TV Show")</f>
        <v>TV Show</v>
      </c>
    </row>
    <row r="2138">
      <c r="A2138" s="1" t="s">
        <v>12196</v>
      </c>
      <c r="B2138" s="1" t="s">
        <v>37</v>
      </c>
      <c r="C2138" s="1" t="s">
        <v>12197</v>
      </c>
      <c r="E2138" s="1" t="s">
        <v>12198</v>
      </c>
      <c r="F2138" s="1" t="s">
        <v>415</v>
      </c>
      <c r="G2138" s="1" t="s">
        <v>12155</v>
      </c>
      <c r="H2138" s="1">
        <v>2018.0</v>
      </c>
      <c r="I2138" s="1" t="s">
        <v>289</v>
      </c>
      <c r="J2138" s="1" t="s">
        <v>51</v>
      </c>
      <c r="K2138" s="1" t="s">
        <v>623</v>
      </c>
      <c r="L2138" s="1" t="s">
        <v>12199</v>
      </c>
      <c r="M2138" s="2" t="s">
        <v>12</v>
      </c>
      <c r="N2138" s="4">
        <f t="shared" si="1"/>
        <v>44057</v>
      </c>
      <c r="O2138" s="5" t="str">
        <f>IFERROR(__xludf.DUMMYFUNCTION("IF(REGEXMATCH(TRIM(I2138), ""^\d+\s*min""), ""Unclassified"", IF(I2138 = """", ""NR"", I2138))"),"TV-Y7")</f>
        <v>TV-Y7</v>
      </c>
      <c r="R2138" s="5" t="str">
        <f t="shared" si="2"/>
        <v>Zoids Wild</v>
      </c>
      <c r="S2138" s="5" t="str">
        <f>IFERROR(__xludf.DUMMYFUNCTION("""COMPUTED_VALUE"""),"Durarara!!")</f>
        <v>Durarara!!</v>
      </c>
      <c r="U2138" s="5" t="str">
        <f>IFERROR(__xludf.DUMMYFUNCTION("""COMPUTED_VALUE"""),"Sachin Kamlakar Khot")</f>
        <v>Sachin Kamlakar Khot</v>
      </c>
      <c r="V2138" s="5" t="s">
        <v>12200</v>
      </c>
      <c r="W2138" s="5" t="str">
        <f t="shared" si="3"/>
        <v>Junichi Sato, Tomotaka Shibayama</v>
      </c>
      <c r="X2138" s="5">
        <f t="shared" si="4"/>
        <v>1</v>
      </c>
      <c r="Y2138" s="5" t="str">
        <f>IFERROR(__xludf.DUMMYFUNCTION("REGEXEXTRACT(J2138, ""^\d+"")"),"1")</f>
        <v>1</v>
      </c>
      <c r="Z2138" s="5" t="str">
        <f>IFERROR(__xludf.DUMMYFUNCTION("REGEXEXTRACT(J2138, ""[A-Za-z ]+$"")")," Season")</f>
        <v> Season</v>
      </c>
      <c r="AA2138" s="5" t="str">
        <f>IFERROR(__xludf.DUMMYFUNCTION("IF(REGEXMATCH(Z2138, ""Season""), ""TV Show"", ""Movie"")"),"TV Show")</f>
        <v>TV Show</v>
      </c>
    </row>
    <row r="2139">
      <c r="A2139" s="1" t="s">
        <v>12201</v>
      </c>
      <c r="B2139" s="1" t="s">
        <v>27</v>
      </c>
      <c r="C2139" s="1" t="s">
        <v>12202</v>
      </c>
      <c r="D2139" s="1" t="s">
        <v>12203</v>
      </c>
      <c r="E2139" s="1" t="s">
        <v>12204</v>
      </c>
      <c r="F2139" s="1" t="s">
        <v>664</v>
      </c>
      <c r="G2139" s="1" t="s">
        <v>12205</v>
      </c>
      <c r="H2139" s="1">
        <v>2019.0</v>
      </c>
      <c r="I2139" s="1" t="s">
        <v>42</v>
      </c>
      <c r="J2139" s="1" t="s">
        <v>454</v>
      </c>
      <c r="K2139" s="1" t="s">
        <v>583</v>
      </c>
      <c r="L2139" s="1" t="s">
        <v>12206</v>
      </c>
      <c r="M2139" s="2" t="s">
        <v>12</v>
      </c>
      <c r="N2139" s="4">
        <f t="shared" si="1"/>
        <v>44056</v>
      </c>
      <c r="O2139" s="5" t="str">
        <f>IFERROR(__xludf.DUMMYFUNCTION("IF(REGEXMATCH(TRIM(I2139), ""^\d+\s*min""), ""Unclassified"", IF(I2139 = """", ""NR"", I2139))"),"TV-MA")</f>
        <v>TV-MA</v>
      </c>
      <c r="R2139" s="5" t="str">
        <f t="shared" si="2"/>
        <v>An Easy Girl</v>
      </c>
      <c r="S2139" s="5" t="str">
        <f>IFERROR(__xludf.DUMMYFUNCTION("""COMPUTED_VALUE"""),"Dushman")</f>
        <v>Dushman</v>
      </c>
      <c r="U2139" s="5" t="str">
        <f>IFERROR(__xludf.DUMMYFUNCTION("""COMPUTED_VALUE"""),"Daniel Monzón")</f>
        <v>Daniel Monzón</v>
      </c>
      <c r="V2139" s="5" t="s">
        <v>11752</v>
      </c>
      <c r="W2139" s="5" t="str">
        <f t="shared" si="3"/>
        <v>Junior Carelli, Rudge Campos</v>
      </c>
      <c r="X2139" s="5">
        <f t="shared" si="4"/>
        <v>1</v>
      </c>
      <c r="Y2139" s="5" t="str">
        <f>IFERROR(__xludf.DUMMYFUNCTION("REGEXEXTRACT(J2139, ""^\d+"")"),"93")</f>
        <v>93</v>
      </c>
      <c r="Z2139" s="5" t="str">
        <f>IFERROR(__xludf.DUMMYFUNCTION("REGEXEXTRACT(J2139, ""[A-Za-z ]+$"")")," min")</f>
        <v> min</v>
      </c>
      <c r="AA2139" s="5" t="str">
        <f>IFERROR(__xludf.DUMMYFUNCTION("IF(REGEXMATCH(Z2139, ""Season""), ""TV Show"", ""Movie"")"),"Movie")</f>
        <v>Movie</v>
      </c>
    </row>
    <row r="2140">
      <c r="A2140" s="1" t="s">
        <v>12207</v>
      </c>
      <c r="B2140" s="1" t="s">
        <v>27</v>
      </c>
      <c r="C2140" s="1" t="s">
        <v>12208</v>
      </c>
      <c r="D2140" s="1" t="s">
        <v>2353</v>
      </c>
      <c r="E2140" s="1" t="s">
        <v>12209</v>
      </c>
      <c r="F2140" s="1" t="s">
        <v>686</v>
      </c>
      <c r="G2140" s="1" t="s">
        <v>12205</v>
      </c>
      <c r="H2140" s="1">
        <v>2016.0</v>
      </c>
      <c r="I2140" s="1" t="s">
        <v>378</v>
      </c>
      <c r="J2140" s="1" t="s">
        <v>804</v>
      </c>
      <c r="K2140" s="1" t="s">
        <v>1320</v>
      </c>
      <c r="L2140" s="1" t="s">
        <v>12210</v>
      </c>
      <c r="M2140" s="2" t="s">
        <v>12</v>
      </c>
      <c r="N2140" s="4">
        <f t="shared" si="1"/>
        <v>44056</v>
      </c>
      <c r="O2140" s="5" t="str">
        <f>IFERROR(__xludf.DUMMYFUNCTION("IF(REGEXMATCH(TRIM(I2140), ""^\d+\s*min""), ""Unclassified"", IF(I2140 = """", ""NR"", I2140))"),"R")</f>
        <v>R</v>
      </c>
      <c r="R2140" s="5" t="str">
        <f t="shared" si="2"/>
        <v>Christine</v>
      </c>
      <c r="S2140" s="5" t="str">
        <f>IFERROR(__xludf.DUMMYFUNCTION("""COMPUTED_VALUE"""),"Dying To Tell")</f>
        <v>Dying To Tell</v>
      </c>
      <c r="U2140" s="5" t="str">
        <f>IFERROR(__xludf.DUMMYFUNCTION("""COMPUTED_VALUE"""),"Rayka Zehtabchi")</f>
        <v>Rayka Zehtabchi</v>
      </c>
      <c r="V2140" s="5" t="s">
        <v>3013</v>
      </c>
      <c r="W2140" s="5" t="str">
        <f t="shared" si="3"/>
        <v>Juraj Šajmovič</v>
      </c>
      <c r="X2140" s="5">
        <f t="shared" si="4"/>
        <v>1</v>
      </c>
      <c r="Y2140" s="5" t="str">
        <f>IFERROR(__xludf.DUMMYFUNCTION("REGEXEXTRACT(J2140, ""^\d+"")"),"119")</f>
        <v>119</v>
      </c>
      <c r="Z2140" s="5" t="str">
        <f>IFERROR(__xludf.DUMMYFUNCTION("REGEXEXTRACT(J2140, ""[A-Za-z ]+$"")")," min")</f>
        <v> min</v>
      </c>
      <c r="AA2140" s="5" t="str">
        <f>IFERROR(__xludf.DUMMYFUNCTION("IF(REGEXMATCH(Z2140, ""Season""), ""TV Show"", ""Movie"")"),"Movie")</f>
        <v>Movie</v>
      </c>
    </row>
    <row r="2141">
      <c r="A2141" s="1" t="s">
        <v>12211</v>
      </c>
      <c r="B2141" s="1" t="s">
        <v>27</v>
      </c>
      <c r="C2141" s="1" t="s">
        <v>12212</v>
      </c>
      <c r="D2141" s="1" t="s">
        <v>2353</v>
      </c>
      <c r="E2141" s="1" t="s">
        <v>12213</v>
      </c>
      <c r="F2141" s="1" t="s">
        <v>2321</v>
      </c>
      <c r="G2141" s="1" t="s">
        <v>12205</v>
      </c>
      <c r="H2141" s="1">
        <v>2012.0</v>
      </c>
      <c r="I2141" s="1" t="s">
        <v>42</v>
      </c>
      <c r="J2141" s="1" t="s">
        <v>305</v>
      </c>
      <c r="K2141" s="1" t="s">
        <v>2327</v>
      </c>
      <c r="L2141" s="1" t="s">
        <v>12214</v>
      </c>
      <c r="M2141" s="2" t="s">
        <v>12</v>
      </c>
      <c r="N2141" s="4">
        <f t="shared" si="1"/>
        <v>44056</v>
      </c>
      <c r="O2141" s="5" t="str">
        <f>IFERROR(__xludf.DUMMYFUNCTION("IF(REGEXMATCH(TRIM(I2141), ""^\d+\s*min""), ""Unclassified"", IF(I2141 = """", ""NR"", I2141))"),"TV-MA")</f>
        <v>TV-MA</v>
      </c>
      <c r="R2141" s="5" t="str">
        <f t="shared" si="2"/>
        <v>Simon Killer</v>
      </c>
      <c r="S2141" s="5" t="str">
        <f>IFERROR(__xludf.DUMMYFUNCTION("""COMPUTED_VALUE"""),"Dynasty")</f>
        <v>Dynasty</v>
      </c>
      <c r="U2141" s="5" t="str">
        <f>IFERROR(__xludf.DUMMYFUNCTION("""COMPUTED_VALUE"""),"Tom Stern")</f>
        <v>Tom Stern</v>
      </c>
      <c r="V2141" s="5" t="s">
        <v>1970</v>
      </c>
      <c r="W2141" s="5" t="str">
        <f t="shared" si="3"/>
        <v>Just Philippot</v>
      </c>
      <c r="X2141" s="5">
        <f t="shared" si="4"/>
        <v>1</v>
      </c>
      <c r="Y2141" s="5" t="str">
        <f>IFERROR(__xludf.DUMMYFUNCTION("REGEXEXTRACT(J2141, ""^\d+"")"),"105")</f>
        <v>105</v>
      </c>
      <c r="Z2141" s="5" t="str">
        <f>IFERROR(__xludf.DUMMYFUNCTION("REGEXEXTRACT(J2141, ""[A-Za-z ]+$"")")," min")</f>
        <v> min</v>
      </c>
      <c r="AA2141" s="5" t="str">
        <f>IFERROR(__xludf.DUMMYFUNCTION("IF(REGEXMATCH(Z2141, ""Season""), ""TV Show"", ""Movie"")"),"Movie")</f>
        <v>Movie</v>
      </c>
    </row>
    <row r="2142">
      <c r="A2142" s="1" t="s">
        <v>12215</v>
      </c>
      <c r="B2142" s="1" t="s">
        <v>37</v>
      </c>
      <c r="C2142" s="1" t="s">
        <v>12216</v>
      </c>
      <c r="F2142" s="1" t="s">
        <v>30</v>
      </c>
      <c r="G2142" s="1" t="s">
        <v>12217</v>
      </c>
      <c r="H2142" s="1">
        <v>2020.0</v>
      </c>
      <c r="I2142" s="1" t="s">
        <v>42</v>
      </c>
      <c r="J2142" s="1" t="s">
        <v>51</v>
      </c>
      <c r="K2142" s="1" t="s">
        <v>440</v>
      </c>
      <c r="L2142" s="1" t="s">
        <v>12218</v>
      </c>
      <c r="M2142" s="2" t="s">
        <v>12</v>
      </c>
      <c r="N2142" s="4">
        <f t="shared" si="1"/>
        <v>44055</v>
      </c>
      <c r="O2142" s="5" t="str">
        <f>IFERROR(__xludf.DUMMYFUNCTION("IF(REGEXMATCH(TRIM(I2142), ""^\d+\s*min""), ""Unclassified"", IF(I2142 = """", ""NR"", I2142))"),"TV-MA")</f>
        <v>TV-MA</v>
      </c>
      <c r="R2142" s="5" t="str">
        <f t="shared" si="2"/>
        <v>(Un)Well</v>
      </c>
      <c r="S2142" s="5" t="str">
        <f>IFERROR(__xludf.DUMMYFUNCTION("""COMPUTED_VALUE"""),"Dynasty Warriors")</f>
        <v>Dynasty Warriors</v>
      </c>
      <c r="U2142" s="5" t="str">
        <f>IFERROR(__xludf.DUMMYFUNCTION("""COMPUTED_VALUE"""),"Kelly Duane De La Vega")</f>
        <v>Kelly Duane De La Vega</v>
      </c>
      <c r="V2142" s="5" t="s">
        <v>2179</v>
      </c>
      <c r="W2142" s="5" t="str">
        <f t="shared" si="3"/>
        <v>Justin Baldoni</v>
      </c>
      <c r="X2142" s="5">
        <f t="shared" si="4"/>
        <v>1</v>
      </c>
      <c r="Y2142" s="5" t="str">
        <f>IFERROR(__xludf.DUMMYFUNCTION("REGEXEXTRACT(J2142, ""^\d+"")"),"1")</f>
        <v>1</v>
      </c>
      <c r="Z2142" s="5" t="str">
        <f>IFERROR(__xludf.DUMMYFUNCTION("REGEXEXTRACT(J2142, ""[A-Za-z ]+$"")")," Season")</f>
        <v> Season</v>
      </c>
      <c r="AA2142" s="5" t="str">
        <f>IFERROR(__xludf.DUMMYFUNCTION("IF(REGEXMATCH(Z2142, ""Season""), ""TV Show"", ""Movie"")"),"TV Show")</f>
        <v>TV Show</v>
      </c>
    </row>
    <row r="2143">
      <c r="A2143" s="1" t="s">
        <v>12219</v>
      </c>
      <c r="B2143" s="1" t="s">
        <v>27</v>
      </c>
      <c r="C2143" s="1" t="s">
        <v>12220</v>
      </c>
      <c r="D2143" s="1" t="s">
        <v>12221</v>
      </c>
      <c r="E2143" s="1" t="s">
        <v>12222</v>
      </c>
      <c r="F2143" s="1" t="s">
        <v>63</v>
      </c>
      <c r="G2143" s="1" t="s">
        <v>12217</v>
      </c>
      <c r="H2143" s="1">
        <v>2020.0</v>
      </c>
      <c r="I2143" s="1" t="s">
        <v>97</v>
      </c>
      <c r="J2143" s="1" t="s">
        <v>519</v>
      </c>
      <c r="K2143" s="1" t="s">
        <v>306</v>
      </c>
      <c r="L2143" s="1" t="s">
        <v>12223</v>
      </c>
      <c r="M2143" s="2" t="s">
        <v>12</v>
      </c>
      <c r="N2143" s="4">
        <f t="shared" si="1"/>
        <v>44055</v>
      </c>
      <c r="O2143" s="5" t="str">
        <f>IFERROR(__xludf.DUMMYFUNCTION("IF(REGEXMATCH(TRIM(I2143), ""^\d+\s*min""), ""Unclassified"", IF(I2143 = """", ""NR"", I2143))"),"TV-14")</f>
        <v>TV-14</v>
      </c>
      <c r="R2143" s="5" t="str">
        <f t="shared" si="2"/>
        <v>Gunjan Saxena: The Kargil Girl</v>
      </c>
      <c r="S2143" s="5" t="str">
        <f>IFERROR(__xludf.DUMMYFUNCTION("""COMPUTED_VALUE"""),"E-Cigarettes: Miracle Or Menace?")</f>
        <v>E-Cigarettes: Miracle Or Menace?</v>
      </c>
      <c r="U2143" s="5" t="str">
        <f>IFERROR(__xludf.DUMMYFUNCTION("""COMPUTED_VALUE"""),"Julio Medem")</f>
        <v>Julio Medem</v>
      </c>
      <c r="V2143" s="5" t="s">
        <v>12224</v>
      </c>
      <c r="W2143" s="5" t="str">
        <f t="shared" si="3"/>
        <v>Justin Bare, Matthew Miele</v>
      </c>
      <c r="X2143" s="5">
        <f t="shared" si="4"/>
        <v>1</v>
      </c>
      <c r="Y2143" s="5" t="str">
        <f>IFERROR(__xludf.DUMMYFUNCTION("REGEXEXTRACT(J2143, ""^\d+"")"),"113")</f>
        <v>113</v>
      </c>
      <c r="Z2143" s="5" t="str">
        <f>IFERROR(__xludf.DUMMYFUNCTION("REGEXEXTRACT(J2143, ""[A-Za-z ]+$"")")," min")</f>
        <v> min</v>
      </c>
      <c r="AA2143" s="5" t="str">
        <f>IFERROR(__xludf.DUMMYFUNCTION("IF(REGEXMATCH(Z2143, ""Season""), ""TV Show"", ""Movie"")"),"Movie")</f>
        <v>Movie</v>
      </c>
    </row>
    <row r="2144">
      <c r="A2144" s="1" t="s">
        <v>12225</v>
      </c>
      <c r="B2144" s="1" t="s">
        <v>27</v>
      </c>
      <c r="C2144" s="1" t="s">
        <v>12226</v>
      </c>
      <c r="D2144" s="1" t="s">
        <v>3695</v>
      </c>
      <c r="E2144" s="1" t="s">
        <v>12227</v>
      </c>
      <c r="F2144" s="1" t="s">
        <v>30</v>
      </c>
      <c r="G2144" s="1" t="s">
        <v>12228</v>
      </c>
      <c r="H2144" s="1">
        <v>2014.0</v>
      </c>
      <c r="I2144" s="1" t="s">
        <v>78</v>
      </c>
      <c r="J2144" s="1" t="s">
        <v>454</v>
      </c>
      <c r="K2144" s="1" t="s">
        <v>2155</v>
      </c>
      <c r="L2144" s="1" t="s">
        <v>12229</v>
      </c>
      <c r="M2144" s="2" t="s">
        <v>12</v>
      </c>
      <c r="N2144" s="4">
        <f t="shared" si="1"/>
        <v>44054</v>
      </c>
      <c r="O2144" s="5" t="str">
        <f>IFERROR(__xludf.DUMMYFUNCTION("IF(REGEXMATCH(TRIM(I2144), ""^\d+\s*min""), ""Unclassified"", IF(I2144 = """", ""NR"", I2144))"),"PG")</f>
        <v>PG</v>
      </c>
      <c r="R2144" s="5" t="str">
        <f t="shared" si="2"/>
        <v>Mr. Peabody &amp; Sherman</v>
      </c>
      <c r="S2144" s="5" t="str">
        <f>IFERROR(__xludf.DUMMYFUNCTION("""COMPUTED_VALUE"""),"E-Team")</f>
        <v>E-Team</v>
      </c>
      <c r="U2144" s="5" t="str">
        <f>IFERROR(__xludf.DUMMYFUNCTION("""COMPUTED_VALUE"""),"Johnny Kevorkian")</f>
        <v>Johnny Kevorkian</v>
      </c>
      <c r="V2144" s="5" t="s">
        <v>6176</v>
      </c>
      <c r="W2144" s="5" t="str">
        <f t="shared" si="3"/>
        <v>Justin Benson, Aaron Moorhead</v>
      </c>
      <c r="X2144" s="5">
        <f t="shared" si="4"/>
        <v>2</v>
      </c>
      <c r="Y2144" s="5" t="str">
        <f>IFERROR(__xludf.DUMMYFUNCTION("REGEXEXTRACT(J2144, ""^\d+"")"),"93")</f>
        <v>93</v>
      </c>
      <c r="Z2144" s="5" t="str">
        <f>IFERROR(__xludf.DUMMYFUNCTION("REGEXEXTRACT(J2144, ""[A-Za-z ]+$"")")," min")</f>
        <v> min</v>
      </c>
      <c r="AA2144" s="5" t="str">
        <f>IFERROR(__xludf.DUMMYFUNCTION("IF(REGEXMATCH(Z2144, ""Season""), ""TV Show"", ""Movie"")"),"Movie")</f>
        <v>Movie</v>
      </c>
    </row>
    <row r="2145">
      <c r="A2145" s="1" t="s">
        <v>12230</v>
      </c>
      <c r="B2145" s="1" t="s">
        <v>27</v>
      </c>
      <c r="C2145" s="1" t="s">
        <v>12231</v>
      </c>
      <c r="D2145" s="1" t="s">
        <v>12232</v>
      </c>
      <c r="E2145" s="1" t="s">
        <v>12233</v>
      </c>
      <c r="F2145" s="1" t="s">
        <v>30</v>
      </c>
      <c r="G2145" s="1" t="s">
        <v>12228</v>
      </c>
      <c r="H2145" s="1">
        <v>2020.0</v>
      </c>
      <c r="I2145" s="1" t="s">
        <v>42</v>
      </c>
      <c r="J2145" s="1" t="s">
        <v>10890</v>
      </c>
      <c r="K2145" s="1" t="s">
        <v>1839</v>
      </c>
      <c r="L2145" s="1" t="s">
        <v>12234</v>
      </c>
      <c r="M2145" s="2" t="s">
        <v>12</v>
      </c>
      <c r="N2145" s="4">
        <f t="shared" si="1"/>
        <v>44054</v>
      </c>
      <c r="O2145" s="5" t="str">
        <f>IFERROR(__xludf.DUMMYFUNCTION("IF(REGEXMATCH(TRIM(I2145), ""^\d+\s*min""), ""Unclassified"", IF(I2145 = """", ""NR"", I2145))"),"TV-MA")</f>
        <v>TV-MA</v>
      </c>
      <c r="R2145" s="5" t="str">
        <f t="shared" si="2"/>
        <v>Rob Schneider: Asian Momma, Mexican Kids</v>
      </c>
      <c r="S2145" s="5" t="str">
        <f>IFERROR(__xludf.DUMMYFUNCTION("""COMPUTED_VALUE"""),"Earth And Blood")</f>
        <v>Earth And Blood</v>
      </c>
      <c r="U2145" s="5" t="str">
        <f>IFERROR(__xludf.DUMMYFUNCTION("""COMPUTED_VALUE"""),"Amshan Kumar")</f>
        <v>Amshan Kumar</v>
      </c>
      <c r="V2145" s="5" t="s">
        <v>6835</v>
      </c>
      <c r="W2145" s="5" t="str">
        <f t="shared" si="3"/>
        <v>Justin Chadwick</v>
      </c>
      <c r="X2145" s="5">
        <f t="shared" si="4"/>
        <v>1</v>
      </c>
      <c r="Y2145" s="5" t="str">
        <f>IFERROR(__xludf.DUMMYFUNCTION("REGEXEXTRACT(J2145, ""^\d+"")"),"44")</f>
        <v>44</v>
      </c>
      <c r="Z2145" s="5" t="str">
        <f>IFERROR(__xludf.DUMMYFUNCTION("REGEXEXTRACT(J2145, ""[A-Za-z ]+$"")")," min")</f>
        <v> min</v>
      </c>
      <c r="AA2145" s="5" t="str">
        <f>IFERROR(__xludf.DUMMYFUNCTION("IF(REGEXMATCH(Z2145, ""Season""), ""TV Show"", ""Movie"")"),"Movie")</f>
        <v>Movie</v>
      </c>
    </row>
    <row r="2146">
      <c r="A2146" s="1" t="s">
        <v>12235</v>
      </c>
      <c r="B2146" s="1" t="s">
        <v>37</v>
      </c>
      <c r="C2146" s="1" t="s">
        <v>12236</v>
      </c>
      <c r="E2146" s="1" t="s">
        <v>12237</v>
      </c>
      <c r="F2146" s="1" t="s">
        <v>30</v>
      </c>
      <c r="G2146" s="1" t="s">
        <v>12238</v>
      </c>
      <c r="H2146" s="1">
        <v>2020.0</v>
      </c>
      <c r="I2146" s="1" t="s">
        <v>506</v>
      </c>
      <c r="J2146" s="1" t="s">
        <v>51</v>
      </c>
      <c r="K2146" s="1" t="s">
        <v>314</v>
      </c>
      <c r="L2146" s="1" t="s">
        <v>12239</v>
      </c>
      <c r="M2146" s="2" t="s">
        <v>12</v>
      </c>
      <c r="N2146" s="4">
        <f t="shared" si="1"/>
        <v>44053</v>
      </c>
      <c r="O2146" s="5" t="str">
        <f>IFERROR(__xludf.DUMMYFUNCTION("IF(REGEXMATCH(TRIM(I2146), ""^\d+\s*min""), ""Unclassified"", IF(I2146 = """", ""NR"", I2146))"),"TV-G")</f>
        <v>TV-G</v>
      </c>
      <c r="R2146" s="5" t="str">
        <f t="shared" si="2"/>
        <v>Game On: A Comedy Crossover Event</v>
      </c>
      <c r="S2146" s="5" t="str">
        <f>IFERROR(__xludf.DUMMYFUNCTION("""COMPUTED_VALUE"""),"Earth To Echo")</f>
        <v>Earth To Echo</v>
      </c>
      <c r="U2146" s="5" t="str">
        <f>IFERROR(__xludf.DUMMYFUNCTION("""COMPUTED_VALUE"""),"Adam Davis, Jerry Kolber, Trey Nelson, Erich Sturm")</f>
        <v>Adam Davis, Jerry Kolber, Trey Nelson, Erich Sturm</v>
      </c>
      <c r="V2146" s="5" t="s">
        <v>12240</v>
      </c>
      <c r="W2146" s="5" t="str">
        <f t="shared" si="3"/>
        <v>Justin Chon</v>
      </c>
      <c r="X2146" s="5">
        <f t="shared" si="4"/>
        <v>1</v>
      </c>
      <c r="Y2146" s="5" t="str">
        <f>IFERROR(__xludf.DUMMYFUNCTION("REGEXEXTRACT(J2146, ""^\d+"")"),"1")</f>
        <v>1</v>
      </c>
      <c r="Z2146" s="5" t="str">
        <f>IFERROR(__xludf.DUMMYFUNCTION("REGEXEXTRACT(J2146, ""[A-Za-z ]+$"")")," Season")</f>
        <v> Season</v>
      </c>
      <c r="AA2146" s="5" t="str">
        <f>IFERROR(__xludf.DUMMYFUNCTION("IF(REGEXMATCH(Z2146, ""Season""), ""TV Show"", ""Movie"")"),"TV Show")</f>
        <v>TV Show</v>
      </c>
    </row>
    <row r="2147">
      <c r="A2147" s="1" t="s">
        <v>12241</v>
      </c>
      <c r="B2147" s="1" t="s">
        <v>37</v>
      </c>
      <c r="C2147" s="1" t="s">
        <v>12242</v>
      </c>
      <c r="E2147" s="1" t="s">
        <v>3355</v>
      </c>
      <c r="F2147" s="1" t="s">
        <v>415</v>
      </c>
      <c r="G2147" s="1" t="s">
        <v>12238</v>
      </c>
      <c r="H2147" s="1">
        <v>2019.0</v>
      </c>
      <c r="I2147" s="1" t="s">
        <v>42</v>
      </c>
      <c r="J2147" s="1" t="s">
        <v>43</v>
      </c>
      <c r="K2147" s="1" t="s">
        <v>1520</v>
      </c>
      <c r="L2147" s="1" t="s">
        <v>12243</v>
      </c>
      <c r="M2147" s="2" t="s">
        <v>12</v>
      </c>
      <c r="N2147" s="4">
        <f t="shared" si="1"/>
        <v>44053</v>
      </c>
      <c r="O2147" s="5" t="str">
        <f>IFERROR(__xludf.DUMMYFUNCTION("IF(REGEXMATCH(TRIM(I2147), ""^\d+\s*min""), ""Unclassified"", IF(I2147 = """", ""NR"", I2147))"),"TV-MA")</f>
        <v>TV-MA</v>
      </c>
      <c r="R2147" s="5" t="str">
        <f t="shared" si="2"/>
        <v>Terrace House: Tokyo 2019-2020</v>
      </c>
      <c r="S2147" s="5" t="str">
        <f>IFERROR(__xludf.DUMMYFUNCTION("""COMPUTED_VALUE"""),"Earth To Luna!")</f>
        <v>Earth To Luna!</v>
      </c>
      <c r="U2147" s="5" t="str">
        <f>IFERROR(__xludf.DUMMYFUNCTION("""COMPUTED_VALUE"""),"Hsu Chih-Yen, Mag Hsu")</f>
        <v>Hsu Chih-Yen, Mag Hsu</v>
      </c>
      <c r="V2147" s="5" t="s">
        <v>9831</v>
      </c>
      <c r="W2147" s="5" t="str">
        <f t="shared" si="3"/>
        <v>Justin G. Dyck</v>
      </c>
      <c r="X2147" s="5">
        <f t="shared" si="4"/>
        <v>7</v>
      </c>
      <c r="Y2147" s="5" t="str">
        <f>IFERROR(__xludf.DUMMYFUNCTION("REGEXEXTRACT(J2147, ""^\d+"")"),"2")</f>
        <v>2</v>
      </c>
      <c r="Z2147" s="5" t="str">
        <f>IFERROR(__xludf.DUMMYFUNCTION("REGEXEXTRACT(J2147, ""[A-Za-z ]+$"")")," Seasons")</f>
        <v> Seasons</v>
      </c>
      <c r="AA2147" s="5" t="str">
        <f>IFERROR(__xludf.DUMMYFUNCTION("IF(REGEXMATCH(Z2147, ""Season""), ""TV Show"", ""Movie"")"),"TV Show")</f>
        <v>TV Show</v>
      </c>
    </row>
    <row r="2148">
      <c r="A2148" s="1" t="s">
        <v>12244</v>
      </c>
      <c r="B2148" s="1" t="s">
        <v>27</v>
      </c>
      <c r="C2148" s="1" t="s">
        <v>12245</v>
      </c>
      <c r="D2148" s="1" t="s">
        <v>12246</v>
      </c>
      <c r="E2148" s="1" t="s">
        <v>12247</v>
      </c>
      <c r="F2148" s="1" t="s">
        <v>30</v>
      </c>
      <c r="G2148" s="1" t="s">
        <v>12238</v>
      </c>
      <c r="H2148" s="1">
        <v>2020.0</v>
      </c>
      <c r="I2148" s="1" t="s">
        <v>32</v>
      </c>
      <c r="J2148" s="1" t="s">
        <v>297</v>
      </c>
      <c r="K2148" s="1" t="s">
        <v>828</v>
      </c>
      <c r="L2148" s="1" t="s">
        <v>12248</v>
      </c>
      <c r="M2148" s="2" t="s">
        <v>12</v>
      </c>
      <c r="N2148" s="4">
        <f t="shared" si="1"/>
        <v>44053</v>
      </c>
      <c r="O2148" s="5" t="str">
        <f>IFERROR(__xludf.DUMMYFUNCTION("IF(REGEXMATCH(TRIM(I2148), ""^\d+\s*min""), ""Unclassified"", IF(I2148 = """", ""NR"", I2148))"),"PG-13")</f>
        <v>PG-13</v>
      </c>
      <c r="R2148" s="5" t="str">
        <f t="shared" si="2"/>
        <v>The Lost Husband</v>
      </c>
      <c r="S2148" s="5" t="str">
        <f>IFERROR(__xludf.DUMMYFUNCTION("""COMPUTED_VALUE"""),"Earth'S Natural Wonders")</f>
        <v>Earth'S Natural Wonders</v>
      </c>
      <c r="U2148" s="5" t="str">
        <f>IFERROR(__xludf.DUMMYFUNCTION("""COMPUTED_VALUE"""),"Rick Morales")</f>
        <v>Rick Morales</v>
      </c>
      <c r="V2148" s="5" t="s">
        <v>5616</v>
      </c>
      <c r="W2148" s="5" t="str">
        <f t="shared" si="3"/>
        <v>Justin Kelly</v>
      </c>
      <c r="X2148" s="5">
        <f t="shared" si="4"/>
        <v>2</v>
      </c>
      <c r="Y2148" s="5" t="str">
        <f>IFERROR(__xludf.DUMMYFUNCTION("REGEXEXTRACT(J2148, ""^\d+"")"),"110")</f>
        <v>110</v>
      </c>
      <c r="Z2148" s="5" t="str">
        <f>IFERROR(__xludf.DUMMYFUNCTION("REGEXEXTRACT(J2148, ""[A-Za-z ]+$"")")," min")</f>
        <v> min</v>
      </c>
      <c r="AA2148" s="5" t="str">
        <f>IFERROR(__xludf.DUMMYFUNCTION("IF(REGEXMATCH(Z2148, ""Season""), ""TV Show"", ""Movie"")"),"Movie")</f>
        <v>Movie</v>
      </c>
    </row>
    <row r="2149">
      <c r="A2149" s="1" t="s">
        <v>12249</v>
      </c>
      <c r="B2149" s="1" t="s">
        <v>27</v>
      </c>
      <c r="C2149" s="1" t="s">
        <v>12250</v>
      </c>
      <c r="D2149" s="1" t="s">
        <v>10013</v>
      </c>
      <c r="E2149" s="1" t="s">
        <v>12251</v>
      </c>
      <c r="G2149" s="1" t="s">
        <v>12252</v>
      </c>
      <c r="H2149" s="1">
        <v>2018.0</v>
      </c>
      <c r="I2149" s="1" t="s">
        <v>97</v>
      </c>
      <c r="J2149" s="1" t="s">
        <v>519</v>
      </c>
      <c r="K2149" s="1" t="s">
        <v>128</v>
      </c>
      <c r="L2149" s="1" t="s">
        <v>12253</v>
      </c>
      <c r="M2149" s="2" t="s">
        <v>12</v>
      </c>
      <c r="N2149" s="4">
        <f t="shared" si="1"/>
        <v>44051</v>
      </c>
      <c r="O2149" s="5" t="str">
        <f>IFERROR(__xludf.DUMMYFUNCTION("IF(REGEXMATCH(TRIM(I2149), ""^\d+\s*min""), ""Unclassified"", IF(I2149 = """", ""NR"", I2149))"),"TV-14")</f>
        <v>TV-14</v>
      </c>
      <c r="R2149" s="5" t="str">
        <f t="shared" si="2"/>
        <v>Diamonds In The Sky</v>
      </c>
      <c r="S2149" s="5" t="str">
        <f>IFERROR(__xludf.DUMMYFUNCTION("""COMPUTED_VALUE"""),"Earth'S Natural Wonders: Life At The Extremes")</f>
        <v>Earth'S Natural Wonders: Life At The Extremes</v>
      </c>
      <c r="U2149" s="5" t="str">
        <f>IFERROR(__xludf.DUMMYFUNCTION("""COMPUTED_VALUE"""),"Michael D. Black")</f>
        <v>Michael D. Black</v>
      </c>
      <c r="V2149" s="5" t="s">
        <v>12254</v>
      </c>
      <c r="W2149" s="5" t="str">
        <f t="shared" si="3"/>
        <v>Justin Krook</v>
      </c>
      <c r="X2149" s="5">
        <f t="shared" si="4"/>
        <v>1</v>
      </c>
      <c r="Y2149" s="5" t="str">
        <f>IFERROR(__xludf.DUMMYFUNCTION("REGEXEXTRACT(J2149, ""^\d+"")"),"113")</f>
        <v>113</v>
      </c>
      <c r="Z2149" s="5" t="str">
        <f>IFERROR(__xludf.DUMMYFUNCTION("REGEXEXTRACT(J2149, ""[A-Za-z ]+$"")")," min")</f>
        <v> min</v>
      </c>
      <c r="AA2149" s="5" t="str">
        <f>IFERROR(__xludf.DUMMYFUNCTION("IF(REGEXMATCH(Z2149, ""Season""), ""TV Show"", ""Movie"")"),"Movie")</f>
        <v>Movie</v>
      </c>
    </row>
    <row r="2150">
      <c r="A2150" s="1" t="s">
        <v>12255</v>
      </c>
      <c r="B2150" s="1" t="s">
        <v>37</v>
      </c>
      <c r="C2150" s="1" t="s">
        <v>12256</v>
      </c>
      <c r="E2150" s="1" t="s">
        <v>12257</v>
      </c>
      <c r="F2150" s="1" t="s">
        <v>400</v>
      </c>
      <c r="G2150" s="1" t="s">
        <v>12252</v>
      </c>
      <c r="H2150" s="1">
        <v>2016.0</v>
      </c>
      <c r="I2150" s="1" t="s">
        <v>97</v>
      </c>
      <c r="J2150" s="1" t="s">
        <v>51</v>
      </c>
      <c r="K2150" s="1" t="s">
        <v>402</v>
      </c>
      <c r="L2150" s="1" t="s">
        <v>12258</v>
      </c>
      <c r="M2150" s="2" t="s">
        <v>12</v>
      </c>
      <c r="N2150" s="4">
        <f t="shared" si="1"/>
        <v>44051</v>
      </c>
      <c r="O2150" s="5" t="str">
        <f>IFERROR(__xludf.DUMMYFUNCTION("IF(REGEXMATCH(TRIM(I2150), ""^\d+\s*min""), ""Unclassified"", IF(I2150 = """", ""NR"", I2150))"),"TV-14")</f>
        <v>TV-14</v>
      </c>
      <c r="R2150" s="5" t="str">
        <f t="shared" si="2"/>
        <v>The Governor</v>
      </c>
      <c r="S2150" s="5" t="str">
        <f>IFERROR(__xludf.DUMMYFUNCTION("""COMPUTED_VALUE"""),"Earthquake Bird")</f>
        <v>Earthquake Bird</v>
      </c>
      <c r="U2150" s="5" t="str">
        <f>IFERROR(__xludf.DUMMYFUNCTION("""COMPUTED_VALUE"""),"Dan Gilroy")</f>
        <v>Dan Gilroy</v>
      </c>
      <c r="V2150" s="5" t="s">
        <v>12259</v>
      </c>
      <c r="W2150" s="5" t="str">
        <f t="shared" si="3"/>
        <v>Justin Lee</v>
      </c>
      <c r="X2150" s="5">
        <f t="shared" si="4"/>
        <v>1</v>
      </c>
      <c r="Y2150" s="5" t="str">
        <f>IFERROR(__xludf.DUMMYFUNCTION("REGEXEXTRACT(J2150, ""^\d+"")"),"1")</f>
        <v>1</v>
      </c>
      <c r="Z2150" s="5" t="str">
        <f>IFERROR(__xludf.DUMMYFUNCTION("REGEXEXTRACT(J2150, ""[A-Za-z ]+$"")")," Season")</f>
        <v> Season</v>
      </c>
      <c r="AA2150" s="5" t="str">
        <f>IFERROR(__xludf.DUMMYFUNCTION("IF(REGEXMATCH(Z2150, ""Season""), ""TV Show"", ""Movie"")"),"TV Show")</f>
        <v>TV Show</v>
      </c>
    </row>
    <row r="2151">
      <c r="A2151" s="1" t="s">
        <v>12260</v>
      </c>
      <c r="B2151" s="1" t="s">
        <v>27</v>
      </c>
      <c r="C2151" s="1" t="s">
        <v>12261</v>
      </c>
      <c r="D2151" s="1" t="s">
        <v>12262</v>
      </c>
      <c r="E2151" s="1" t="s">
        <v>12263</v>
      </c>
      <c r="F2151" s="1" t="s">
        <v>12264</v>
      </c>
      <c r="G2151" s="1" t="s">
        <v>12252</v>
      </c>
      <c r="H2151" s="1">
        <v>2020.0</v>
      </c>
      <c r="I2151" s="1" t="s">
        <v>378</v>
      </c>
      <c r="J2151" s="1" t="s">
        <v>33</v>
      </c>
      <c r="K2151" s="1" t="s">
        <v>3768</v>
      </c>
      <c r="L2151" s="1" t="s">
        <v>12265</v>
      </c>
      <c r="M2151" s="2" t="s">
        <v>12</v>
      </c>
      <c r="N2151" s="4">
        <f t="shared" si="1"/>
        <v>44051</v>
      </c>
      <c r="O2151" s="5" t="str">
        <f>IFERROR(__xludf.DUMMYFUNCTION("IF(REGEXMATCH(TRIM(I2151), ""^\d+\s*min""), ""Unclassified"", IF(I2151 = """", ""NR"", I2151))"),"R")</f>
        <v>R</v>
      </c>
      <c r="R2151" s="5" t="str">
        <f t="shared" si="2"/>
        <v>We Summon The Darkness</v>
      </c>
      <c r="S2151" s="5" t="str">
        <f>IFERROR(__xludf.DUMMYFUNCTION("""COMPUTED_VALUE"""),"East Side Sushi")</f>
        <v>East Side Sushi</v>
      </c>
      <c r="U2151" s="5" t="str">
        <f>IFERROR(__xludf.DUMMYFUNCTION("""COMPUTED_VALUE"""),"Mamat Khalid")</f>
        <v>Mamat Khalid</v>
      </c>
      <c r="V2151" s="5" t="s">
        <v>12266</v>
      </c>
      <c r="W2151" s="5" t="str">
        <f t="shared" si="3"/>
        <v>Justin Mcconnell</v>
      </c>
      <c r="X2151" s="5">
        <f t="shared" si="4"/>
        <v>1</v>
      </c>
      <c r="Y2151" s="5" t="str">
        <f>IFERROR(__xludf.DUMMYFUNCTION("REGEXEXTRACT(J2151, ""^\d+"")"),"90")</f>
        <v>90</v>
      </c>
      <c r="Z2151" s="5" t="str">
        <f>IFERROR(__xludf.DUMMYFUNCTION("REGEXEXTRACT(J2151, ""[A-Za-z ]+$"")")," min")</f>
        <v> min</v>
      </c>
      <c r="AA2151" s="5" t="str">
        <f>IFERROR(__xludf.DUMMYFUNCTION("IF(REGEXMATCH(Z2151, ""Season""), ""TV Show"", ""Movie"")"),"Movie")</f>
        <v>Movie</v>
      </c>
    </row>
    <row r="2152">
      <c r="A2152" s="1" t="s">
        <v>12267</v>
      </c>
      <c r="B2152" s="1" t="s">
        <v>27</v>
      </c>
      <c r="C2152" s="1" t="s">
        <v>12268</v>
      </c>
      <c r="D2152" s="1" t="s">
        <v>7910</v>
      </c>
      <c r="E2152" s="1" t="s">
        <v>12269</v>
      </c>
      <c r="F2152" s="1" t="s">
        <v>2492</v>
      </c>
      <c r="G2152" s="1" t="s">
        <v>12270</v>
      </c>
      <c r="H2152" s="1">
        <v>2020.0</v>
      </c>
      <c r="I2152" s="1" t="s">
        <v>42</v>
      </c>
      <c r="J2152" s="1" t="s">
        <v>1001</v>
      </c>
      <c r="K2152" s="1" t="s">
        <v>199</v>
      </c>
      <c r="L2152" s="1" t="s">
        <v>12271</v>
      </c>
      <c r="M2152" s="2" t="s">
        <v>12</v>
      </c>
      <c r="N2152" s="4">
        <f t="shared" si="1"/>
        <v>44050</v>
      </c>
      <c r="O2152" s="5" t="str">
        <f>IFERROR(__xludf.DUMMYFUNCTION("IF(REGEXMATCH(TRIM(I2152), ""^\d+\s*min""), ""Unclassified"", IF(I2152 = """", ""NR"", I2152))"),"TV-MA")</f>
        <v>TV-MA</v>
      </c>
      <c r="R2152" s="5" t="str">
        <f t="shared" si="2"/>
        <v>Berlin, Berlin: Lolle On The Run</v>
      </c>
      <c r="S2152" s="5" t="str">
        <f>IFERROR(__xludf.DUMMYFUNCTION("""COMPUTED_VALUE"""),"Eastsiders")</f>
        <v>Eastsiders</v>
      </c>
      <c r="U2152" s="5" t="str">
        <f>IFERROR(__xludf.DUMMYFUNCTION("""COMPUTED_VALUE"""),"Amarjit Virdi")</f>
        <v>Amarjit Virdi</v>
      </c>
      <c r="V2152" s="5" t="s">
        <v>3979</v>
      </c>
      <c r="W2152" s="5" t="str">
        <f t="shared" si="3"/>
        <v>Justin P. Lange</v>
      </c>
      <c r="X2152" s="5">
        <f t="shared" si="4"/>
        <v>1</v>
      </c>
      <c r="Y2152" s="5" t="str">
        <f>IFERROR(__xludf.DUMMYFUNCTION("REGEXEXTRACT(J2152, ""^\d+"")"),"82")</f>
        <v>82</v>
      </c>
      <c r="Z2152" s="5" t="str">
        <f>IFERROR(__xludf.DUMMYFUNCTION("REGEXEXTRACT(J2152, ""[A-Za-z ]+$"")")," min")</f>
        <v> min</v>
      </c>
      <c r="AA2152" s="5" t="str">
        <f>IFERROR(__xludf.DUMMYFUNCTION("IF(REGEXMATCH(Z2152, ""Season""), ""TV Show"", ""Movie"")"),"Movie")</f>
        <v>Movie</v>
      </c>
    </row>
    <row r="2153">
      <c r="A2153" s="1" t="s">
        <v>12272</v>
      </c>
      <c r="B2153" s="1" t="s">
        <v>37</v>
      </c>
      <c r="C2153" s="1" t="s">
        <v>12273</v>
      </c>
      <c r="E2153" s="1" t="s">
        <v>12274</v>
      </c>
      <c r="F2153" s="1" t="s">
        <v>784</v>
      </c>
      <c r="G2153" s="1" t="s">
        <v>12270</v>
      </c>
      <c r="H2153" s="1">
        <v>2020.0</v>
      </c>
      <c r="I2153" s="1" t="s">
        <v>42</v>
      </c>
      <c r="J2153" s="1" t="s">
        <v>276</v>
      </c>
      <c r="K2153" s="1" t="s">
        <v>785</v>
      </c>
      <c r="L2153" s="1" t="s">
        <v>12275</v>
      </c>
      <c r="M2153" s="2" t="s">
        <v>12</v>
      </c>
      <c r="N2153" s="4">
        <f t="shared" si="1"/>
        <v>44050</v>
      </c>
      <c r="O2153" s="5" t="str">
        <f>IFERROR(__xludf.DUMMYFUNCTION("IF(REGEXMATCH(TRIM(I2153), ""^\d+\s*min""), ""Unclassified"", IF(I2153 = """", ""NR"", I2153))"),"TV-MA")</f>
        <v>TV-MA</v>
      </c>
      <c r="R2153" s="5" t="str">
        <f t="shared" si="2"/>
        <v>High Seas</v>
      </c>
      <c r="S2153" s="5" t="str">
        <f>IFERROR(__xludf.DUMMYFUNCTION("""COMPUTED_VALUE"""),"Easy")</f>
        <v>Easy</v>
      </c>
      <c r="U2153" s="5" t="str">
        <f>IFERROR(__xludf.DUMMYFUNCTION("""COMPUTED_VALUE"""),"Nishil Sheth")</f>
        <v>Nishil Sheth</v>
      </c>
      <c r="V2153" s="5" t="s">
        <v>12276</v>
      </c>
      <c r="W2153" s="5" t="str">
        <f t="shared" si="3"/>
        <v>Justin Pemberton</v>
      </c>
      <c r="X2153" s="5">
        <f t="shared" si="4"/>
        <v>1</v>
      </c>
      <c r="Y2153" s="5" t="str">
        <f>IFERROR(__xludf.DUMMYFUNCTION("REGEXEXTRACT(J2153, ""^\d+"")"),"3")</f>
        <v>3</v>
      </c>
      <c r="Z2153" s="5" t="str">
        <f>IFERROR(__xludf.DUMMYFUNCTION("REGEXEXTRACT(J2153, ""[A-Za-z ]+$"")")," Seasons")</f>
        <v> Seasons</v>
      </c>
      <c r="AA2153" s="5" t="str">
        <f>IFERROR(__xludf.DUMMYFUNCTION("IF(REGEXMATCH(Z2153, ""Season""), ""TV Show"", ""Movie"")"),"TV Show")</f>
        <v>TV Show</v>
      </c>
    </row>
    <row r="2154">
      <c r="A2154" s="1" t="s">
        <v>12277</v>
      </c>
      <c r="B2154" s="1" t="s">
        <v>37</v>
      </c>
      <c r="C2154" s="1" t="s">
        <v>12278</v>
      </c>
      <c r="G2154" s="1" t="s">
        <v>12270</v>
      </c>
      <c r="H2154" s="1">
        <v>2020.0</v>
      </c>
      <c r="I2154" s="1" t="s">
        <v>42</v>
      </c>
      <c r="J2154" s="1" t="s">
        <v>276</v>
      </c>
      <c r="K2154" s="1" t="s">
        <v>440</v>
      </c>
      <c r="L2154" s="1" t="s">
        <v>12279</v>
      </c>
      <c r="M2154" s="2" t="s">
        <v>12</v>
      </c>
      <c r="N2154" s="4">
        <f t="shared" si="1"/>
        <v>44050</v>
      </c>
      <c r="O2154" s="5" t="str">
        <f>IFERROR(__xludf.DUMMYFUNCTION("IF(REGEXMATCH(TRIM(I2154), ""^\d+\s*min""), ""Unclassified"", IF(I2154 = """", ""NR"", I2154))"),"TV-MA")</f>
        <v>TV-MA</v>
      </c>
      <c r="R2154" s="5" t="str">
        <f t="shared" si="2"/>
        <v>Selling Sunset</v>
      </c>
      <c r="S2154" s="5" t="str">
        <f>IFERROR(__xludf.DUMMYFUNCTION("""COMPUTED_VALUE"""),"Easy A")</f>
        <v>Easy A</v>
      </c>
      <c r="U2154" s="5" t="str">
        <f>IFERROR(__xludf.DUMMYFUNCTION("""COMPUTED_VALUE"""),"Byun Hyuk")</f>
        <v>Byun Hyuk</v>
      </c>
      <c r="V2154" s="5" t="s">
        <v>12280</v>
      </c>
      <c r="W2154" s="5" t="str">
        <f t="shared" si="3"/>
        <v>Justin Webster</v>
      </c>
      <c r="X2154" s="5">
        <f t="shared" si="4"/>
        <v>2</v>
      </c>
      <c r="Y2154" s="5" t="str">
        <f>IFERROR(__xludf.DUMMYFUNCTION("REGEXEXTRACT(J2154, ""^\d+"")"),"3")</f>
        <v>3</v>
      </c>
      <c r="Z2154" s="5" t="str">
        <f>IFERROR(__xludf.DUMMYFUNCTION("REGEXEXTRACT(J2154, ""[A-Za-z ]+$"")")," Seasons")</f>
        <v> Seasons</v>
      </c>
      <c r="AA2154" s="5" t="str">
        <f>IFERROR(__xludf.DUMMYFUNCTION("IF(REGEXMATCH(Z2154, ""Season""), ""TV Show"", ""Movie"")"),"TV Show")</f>
        <v>TV Show</v>
      </c>
    </row>
    <row r="2155">
      <c r="A2155" s="1" t="s">
        <v>12281</v>
      </c>
      <c r="B2155" s="1" t="s">
        <v>37</v>
      </c>
      <c r="C2155" s="1" t="s">
        <v>12282</v>
      </c>
      <c r="E2155" s="1" t="s">
        <v>12283</v>
      </c>
      <c r="F2155" s="1" t="s">
        <v>2492</v>
      </c>
      <c r="G2155" s="1" t="s">
        <v>12270</v>
      </c>
      <c r="H2155" s="1">
        <v>2020.0</v>
      </c>
      <c r="I2155" s="1" t="s">
        <v>136</v>
      </c>
      <c r="J2155" s="1" t="s">
        <v>51</v>
      </c>
      <c r="K2155" s="1" t="s">
        <v>1520</v>
      </c>
      <c r="L2155" s="1" t="s">
        <v>12284</v>
      </c>
      <c r="M2155" s="2" t="s">
        <v>12</v>
      </c>
      <c r="N2155" s="4">
        <f t="shared" si="1"/>
        <v>44050</v>
      </c>
      <c r="O2155" s="5" t="str">
        <f>IFERROR(__xludf.DUMMYFUNCTION("IF(REGEXMATCH(TRIM(I2155), ""^\d+\s*min""), ""Unclassified"", IF(I2155 = """", ""NR"", I2155))"),"TV-PG")</f>
        <v>TV-PG</v>
      </c>
      <c r="R2155" s="5" t="str">
        <f t="shared" si="2"/>
        <v>Sing On! Germany</v>
      </c>
      <c r="S2155" s="5" t="str">
        <f>IFERROR(__xludf.DUMMYFUNCTION("""COMPUTED_VALUE"""),"Easy Fortune Happy Life")</f>
        <v>Easy Fortune Happy Life</v>
      </c>
      <c r="U2155" s="5" t="str">
        <f>IFERROR(__xludf.DUMMYFUNCTION("""COMPUTED_VALUE"""),"Zoe Berriatúa")</f>
        <v>Zoe Berriatúa</v>
      </c>
      <c r="V2155" s="5" t="s">
        <v>12285</v>
      </c>
      <c r="W2155" s="5" t="str">
        <f t="shared" si="3"/>
        <v>K. Gopinathan</v>
      </c>
      <c r="X2155" s="5">
        <f t="shared" si="4"/>
        <v>1</v>
      </c>
      <c r="Y2155" s="5" t="str">
        <f>IFERROR(__xludf.DUMMYFUNCTION("REGEXEXTRACT(J2155, ""^\d+"")"),"1")</f>
        <v>1</v>
      </c>
      <c r="Z2155" s="5" t="str">
        <f>IFERROR(__xludf.DUMMYFUNCTION("REGEXEXTRACT(J2155, ""[A-Za-z ]+$"")")," Season")</f>
        <v> Season</v>
      </c>
      <c r="AA2155" s="5" t="str">
        <f>IFERROR(__xludf.DUMMYFUNCTION("IF(REGEXMATCH(Z2155, ""Season""), ""TV Show"", ""Movie"")"),"TV Show")</f>
        <v>TV Show</v>
      </c>
    </row>
    <row r="2156">
      <c r="A2156" s="1" t="s">
        <v>12286</v>
      </c>
      <c r="B2156" s="1" t="s">
        <v>27</v>
      </c>
      <c r="C2156" s="1" t="s">
        <v>12287</v>
      </c>
      <c r="D2156" s="1" t="s">
        <v>7682</v>
      </c>
      <c r="E2156" s="1" t="s">
        <v>7682</v>
      </c>
      <c r="F2156" s="1" t="s">
        <v>30</v>
      </c>
      <c r="G2156" s="1" t="s">
        <v>12270</v>
      </c>
      <c r="H2156" s="1">
        <v>2018.0</v>
      </c>
      <c r="I2156" s="1" t="s">
        <v>97</v>
      </c>
      <c r="J2156" s="1" t="s">
        <v>1993</v>
      </c>
      <c r="K2156" s="1" t="s">
        <v>34</v>
      </c>
      <c r="L2156" s="1" t="s">
        <v>12288</v>
      </c>
      <c r="M2156" s="2" t="s">
        <v>12</v>
      </c>
      <c r="N2156" s="4">
        <f t="shared" si="1"/>
        <v>44050</v>
      </c>
      <c r="O2156" s="5" t="str">
        <f>IFERROR(__xludf.DUMMYFUNCTION("IF(REGEXMATCH(TRIM(I2156), ""^\d+\s*min""), ""Unclassified"", IF(I2156 = """", ""NR"", I2156))"),"TV-14")</f>
        <v>TV-14</v>
      </c>
      <c r="R2156" s="5" t="str">
        <f t="shared" si="2"/>
        <v>Stars In The Sky: A Hunting Story</v>
      </c>
      <c r="S2156" s="5" t="str">
        <f>IFERROR(__xludf.DUMMYFUNCTION("""COMPUTED_VALUE"""),"Eat Pray Love")</f>
        <v>Eat Pray Love</v>
      </c>
      <c r="U2156" s="5" t="str">
        <f>IFERROR(__xludf.DUMMYFUNCTION("""COMPUTED_VALUE"""),"Adam Bhala Lough")</f>
        <v>Adam Bhala Lough</v>
      </c>
      <c r="V2156" s="5" t="s">
        <v>12289</v>
      </c>
      <c r="W2156" s="5" t="str">
        <f t="shared" si="3"/>
        <v>K. Rajagopal</v>
      </c>
      <c r="X2156" s="5">
        <f t="shared" si="4"/>
        <v>1</v>
      </c>
      <c r="Y2156" s="5" t="str">
        <f>IFERROR(__xludf.DUMMYFUNCTION("REGEXEXTRACT(J2156, ""^\d+"")"),"69")</f>
        <v>69</v>
      </c>
      <c r="Z2156" s="5" t="str">
        <f>IFERROR(__xludf.DUMMYFUNCTION("REGEXEXTRACT(J2156, ""[A-Za-z ]+$"")")," min")</f>
        <v> min</v>
      </c>
      <c r="AA2156" s="5" t="str">
        <f>IFERROR(__xludf.DUMMYFUNCTION("IF(REGEXMATCH(Z2156, ""Season""), ""TV Show"", ""Movie"")"),"Movie")</f>
        <v>Movie</v>
      </c>
    </row>
    <row r="2157">
      <c r="A2157" s="1" t="s">
        <v>12290</v>
      </c>
      <c r="B2157" s="1" t="s">
        <v>27</v>
      </c>
      <c r="C2157" s="1" t="s">
        <v>12291</v>
      </c>
      <c r="D2157" s="1" t="s">
        <v>8750</v>
      </c>
      <c r="E2157" s="1" t="s">
        <v>12292</v>
      </c>
      <c r="F2157" s="1" t="s">
        <v>30</v>
      </c>
      <c r="G2157" s="1" t="s">
        <v>12270</v>
      </c>
      <c r="H2157" s="1">
        <v>2020.0</v>
      </c>
      <c r="I2157" s="1" t="s">
        <v>206</v>
      </c>
      <c r="J2157" s="1" t="s">
        <v>3060</v>
      </c>
      <c r="K2157" s="1" t="s">
        <v>80</v>
      </c>
      <c r="L2157" s="1" t="s">
        <v>12293</v>
      </c>
      <c r="M2157" s="2" t="s">
        <v>12</v>
      </c>
      <c r="N2157" s="4">
        <f t="shared" si="1"/>
        <v>44050</v>
      </c>
      <c r="O2157" s="5" t="str">
        <f>IFERROR(__xludf.DUMMYFUNCTION("IF(REGEXMATCH(TRIM(I2157), ""^\d+\s*min""), ""Unclassified"", IF(I2157 = """", ""NR"", I2157))"),"TV-Y")</f>
        <v>TV-Y</v>
      </c>
      <c r="R2157" s="5" t="str">
        <f t="shared" si="2"/>
        <v>The Magic School Bus Rides Again Kids In Space</v>
      </c>
      <c r="S2157" s="5" t="str">
        <f>IFERROR(__xludf.DUMMYFUNCTION("""COMPUTED_VALUE"""),"Echcharikkai")</f>
        <v>Echcharikkai</v>
      </c>
      <c r="U2157" s="5" t="str">
        <f>IFERROR(__xludf.DUMMYFUNCTION("""COMPUTED_VALUE"""),"Faozan Rizal")</f>
        <v>Faozan Rizal</v>
      </c>
      <c r="V2157" s="5" t="s">
        <v>12294</v>
      </c>
      <c r="W2157" s="5" t="str">
        <f t="shared" si="3"/>
        <v>K. Ramanlal</v>
      </c>
      <c r="X2157" s="5">
        <f t="shared" si="4"/>
        <v>1</v>
      </c>
      <c r="Y2157" s="5" t="str">
        <f>IFERROR(__xludf.DUMMYFUNCTION("REGEXEXTRACT(J2157, ""^\d+"")"),"46")</f>
        <v>46</v>
      </c>
      <c r="Z2157" s="5" t="str">
        <f>IFERROR(__xludf.DUMMYFUNCTION("REGEXEXTRACT(J2157, ""[A-Za-z ]+$"")")," min")</f>
        <v> min</v>
      </c>
      <c r="AA2157" s="5" t="str">
        <f>IFERROR(__xludf.DUMMYFUNCTION("IF(REGEXMATCH(Z2157, ""Season""), ""TV Show"", ""Movie"")"),"Movie")</f>
        <v>Movie</v>
      </c>
    </row>
    <row r="2158">
      <c r="A2158" s="1" t="s">
        <v>12295</v>
      </c>
      <c r="B2158" s="1" t="s">
        <v>37</v>
      </c>
      <c r="C2158" s="1" t="s">
        <v>12296</v>
      </c>
      <c r="E2158" s="1" t="s">
        <v>12297</v>
      </c>
      <c r="F2158" s="1" t="s">
        <v>30</v>
      </c>
      <c r="G2158" s="1" t="s">
        <v>12270</v>
      </c>
      <c r="H2158" s="1">
        <v>2020.0</v>
      </c>
      <c r="I2158" s="1" t="s">
        <v>136</v>
      </c>
      <c r="J2158" s="1" t="s">
        <v>51</v>
      </c>
      <c r="K2158" s="1" t="s">
        <v>7132</v>
      </c>
      <c r="L2158" s="1" t="s">
        <v>12298</v>
      </c>
      <c r="M2158" s="2" t="s">
        <v>12</v>
      </c>
      <c r="N2158" s="4">
        <f t="shared" si="1"/>
        <v>44050</v>
      </c>
      <c r="O2158" s="5" t="str">
        <f>IFERROR(__xludf.DUMMYFUNCTION("IF(REGEXMATCH(TRIM(I2158), ""^\d+\s*min""), ""Unclassified"", IF(I2158 = """", ""NR"", I2158))"),"TV-PG")</f>
        <v>TV-PG</v>
      </c>
      <c r="R2158" s="5" t="str">
        <f t="shared" si="2"/>
        <v>Tiny Creatures</v>
      </c>
      <c r="S2158" s="5" t="str">
        <f>IFERROR(__xludf.DUMMYFUNCTION("""COMPUTED_VALUE"""),"Echo In The Canyon")</f>
        <v>Echo In The Canyon</v>
      </c>
      <c r="U2158" s="5" t="str">
        <f>IFERROR(__xludf.DUMMYFUNCTION("""COMPUTED_VALUE"""),"Mansore")</f>
        <v>Mansore</v>
      </c>
      <c r="V2158" s="5" t="s">
        <v>12299</v>
      </c>
      <c r="W2158" s="5" t="str">
        <f t="shared" si="3"/>
        <v>K. Subhash</v>
      </c>
      <c r="X2158" s="5">
        <f t="shared" si="4"/>
        <v>1</v>
      </c>
      <c r="Y2158" s="5" t="str">
        <f>IFERROR(__xludf.DUMMYFUNCTION("REGEXEXTRACT(J2158, ""^\d+"")"),"1")</f>
        <v>1</v>
      </c>
      <c r="Z2158" s="5" t="str">
        <f>IFERROR(__xludf.DUMMYFUNCTION("REGEXEXTRACT(J2158, ""[A-Za-z ]+$"")")," Season")</f>
        <v> Season</v>
      </c>
      <c r="AA2158" s="5" t="str">
        <f>IFERROR(__xludf.DUMMYFUNCTION("IF(REGEXMATCH(Z2158, ""Season""), ""TV Show"", ""Movie"")"),"TV Show")</f>
        <v>TV Show</v>
      </c>
    </row>
    <row r="2159">
      <c r="A2159" s="1" t="s">
        <v>12300</v>
      </c>
      <c r="B2159" s="1" t="s">
        <v>37</v>
      </c>
      <c r="C2159" s="1" t="s">
        <v>12301</v>
      </c>
      <c r="E2159" s="1" t="s">
        <v>12302</v>
      </c>
      <c r="F2159" s="1" t="s">
        <v>30</v>
      </c>
      <c r="G2159" s="1" t="s">
        <v>12270</v>
      </c>
      <c r="H2159" s="1">
        <v>2020.0</v>
      </c>
      <c r="I2159" s="1" t="s">
        <v>289</v>
      </c>
      <c r="J2159" s="1" t="s">
        <v>51</v>
      </c>
      <c r="K2159" s="1" t="s">
        <v>3368</v>
      </c>
      <c r="L2159" s="1" t="s">
        <v>12303</v>
      </c>
      <c r="M2159" s="2" t="s">
        <v>12</v>
      </c>
      <c r="N2159" s="4">
        <f t="shared" si="1"/>
        <v>44050</v>
      </c>
      <c r="O2159" s="5" t="str">
        <f>IFERROR(__xludf.DUMMYFUNCTION("IF(REGEXMATCH(TRIM(I2159), ""^\d+\s*min""), ""Unclassified"", IF(I2159 = """", ""NR"", I2159))"),"TV-Y7")</f>
        <v>TV-Y7</v>
      </c>
      <c r="R2159" s="5" t="str">
        <f t="shared" si="2"/>
        <v>Wizards: Tales Of Arcadia</v>
      </c>
      <c r="S2159" s="5" t="str">
        <f>IFERROR(__xludf.DUMMYFUNCTION("""COMPUTED_VALUE"""),"Eddie - Strongman")</f>
        <v>Eddie - Strongman</v>
      </c>
      <c r="U2159" s="5" t="str">
        <f>IFERROR(__xludf.DUMMYFUNCTION("""COMPUTED_VALUE"""),"Kuntz Agus")</f>
        <v>Kuntz Agus</v>
      </c>
      <c r="V2159" s="5" t="s">
        <v>12304</v>
      </c>
      <c r="W2159" s="5" t="str">
        <f t="shared" si="3"/>
        <v>K.C. Bokadia</v>
      </c>
      <c r="X2159" s="5">
        <f t="shared" si="4"/>
        <v>1</v>
      </c>
      <c r="Y2159" s="5" t="str">
        <f>IFERROR(__xludf.DUMMYFUNCTION("REGEXEXTRACT(J2159, ""^\d+"")"),"1")</f>
        <v>1</v>
      </c>
      <c r="Z2159" s="5" t="str">
        <f>IFERROR(__xludf.DUMMYFUNCTION("REGEXEXTRACT(J2159, ""[A-Za-z ]+$"")")," Season")</f>
        <v> Season</v>
      </c>
      <c r="AA2159" s="5" t="str">
        <f>IFERROR(__xludf.DUMMYFUNCTION("IF(REGEXMATCH(Z2159, ""Season""), ""TV Show"", ""Movie"")"),"TV Show")</f>
        <v>TV Show</v>
      </c>
    </row>
    <row r="2160">
      <c r="A2160" s="1" t="s">
        <v>12305</v>
      </c>
      <c r="B2160" s="1" t="s">
        <v>37</v>
      </c>
      <c r="C2160" s="1" t="s">
        <v>12306</v>
      </c>
      <c r="F2160" s="1" t="s">
        <v>30</v>
      </c>
      <c r="G2160" s="1" t="s">
        <v>12270</v>
      </c>
      <c r="H2160" s="1">
        <v>2020.0</v>
      </c>
      <c r="I2160" s="1" t="s">
        <v>206</v>
      </c>
      <c r="J2160" s="1" t="s">
        <v>51</v>
      </c>
      <c r="K2160" s="1" t="s">
        <v>290</v>
      </c>
      <c r="L2160" s="1" t="s">
        <v>12307</v>
      </c>
      <c r="M2160" s="2" t="s">
        <v>12</v>
      </c>
      <c r="N2160" s="4">
        <f t="shared" si="1"/>
        <v>44050</v>
      </c>
      <c r="O2160" s="5" t="str">
        <f>IFERROR(__xludf.DUMMYFUNCTION("IF(REGEXMATCH(TRIM(I2160), ""^\d+\s*min""), ""Unclassified"", IF(I2160 = """", ""NR"", I2160))"),"TV-Y")</f>
        <v>TV-Y</v>
      </c>
      <c r="R2160" s="5" t="str">
        <f t="shared" si="2"/>
        <v>Word Party Songs</v>
      </c>
      <c r="S2160" s="5" t="str">
        <f>IFERROR(__xludf.DUMMYFUNCTION("""COMPUTED_VALUE"""),"Eddie Murphy: Delirious")</f>
        <v>Eddie Murphy: Delirious</v>
      </c>
      <c r="U2160" s="5" t="str">
        <f>IFERROR(__xludf.DUMMYFUNCTION("""COMPUTED_VALUE"""),"Hanung Bramantyo, Meisa Felaroze")</f>
        <v>Hanung Bramantyo, Meisa Felaroze</v>
      </c>
      <c r="V2160" s="5" t="s">
        <v>195</v>
      </c>
      <c r="W2160" s="5" t="str">
        <f t="shared" si="3"/>
        <v>K.S. Ravikumar</v>
      </c>
      <c r="X2160" s="5">
        <f t="shared" si="4"/>
        <v>1</v>
      </c>
      <c r="Y2160" s="5" t="str">
        <f>IFERROR(__xludf.DUMMYFUNCTION("REGEXEXTRACT(J2160, ""^\d+"")"),"1")</f>
        <v>1</v>
      </c>
      <c r="Z2160" s="5" t="str">
        <f>IFERROR(__xludf.DUMMYFUNCTION("REGEXEXTRACT(J2160, ""[A-Za-z ]+$"")")," Season")</f>
        <v> Season</v>
      </c>
      <c r="AA2160" s="5" t="str">
        <f>IFERROR(__xludf.DUMMYFUNCTION("IF(REGEXMATCH(Z2160, ""Season""), ""TV Show"", ""Movie"")"),"TV Show")</f>
        <v>TV Show</v>
      </c>
    </row>
    <row r="2161">
      <c r="A2161" s="1" t="s">
        <v>12308</v>
      </c>
      <c r="B2161" s="1" t="s">
        <v>27</v>
      </c>
      <c r="C2161" s="1" t="s">
        <v>12309</v>
      </c>
      <c r="D2161" s="1" t="s">
        <v>12310</v>
      </c>
      <c r="E2161" s="1" t="s">
        <v>12311</v>
      </c>
      <c r="F2161" s="1" t="s">
        <v>30</v>
      </c>
      <c r="G2161" s="1" t="s">
        <v>12270</v>
      </c>
      <c r="H2161" s="1">
        <v>2020.0</v>
      </c>
      <c r="I2161" s="1" t="s">
        <v>97</v>
      </c>
      <c r="J2161" s="1" t="s">
        <v>170</v>
      </c>
      <c r="K2161" s="1" t="s">
        <v>239</v>
      </c>
      <c r="L2161" s="1" t="s">
        <v>12312</v>
      </c>
      <c r="M2161" s="2" t="s">
        <v>12</v>
      </c>
      <c r="N2161" s="4">
        <f t="shared" si="1"/>
        <v>44050</v>
      </c>
      <c r="O2161" s="5" t="str">
        <f>IFERROR(__xludf.DUMMYFUNCTION("IF(REGEXMATCH(TRIM(I2161), ""^\d+\s*min""), ""Unclassified"", IF(I2161 = """", ""NR"", I2161))"),"TV-14")</f>
        <v>TV-14</v>
      </c>
      <c r="R2161" s="5" t="str">
        <f t="shared" si="2"/>
        <v>Work It</v>
      </c>
      <c r="S2161" s="5" t="str">
        <f>IFERROR(__xludf.DUMMYFUNCTION("""COMPUTED_VALUE"""),"Eddie Murphy: Raw")</f>
        <v>Eddie Murphy: Raw</v>
      </c>
      <c r="U2161" s="5" t="str">
        <f>IFERROR(__xludf.DUMMYFUNCTION("""COMPUTED_VALUE"""),"Jerrold Tarog")</f>
        <v>Jerrold Tarog</v>
      </c>
      <c r="V2161" s="5" t="s">
        <v>5261</v>
      </c>
      <c r="W2161" s="5" t="str">
        <f t="shared" si="3"/>
        <v>Kaashvie Nair</v>
      </c>
      <c r="X2161" s="5">
        <f t="shared" si="4"/>
        <v>1</v>
      </c>
      <c r="Y2161" s="5" t="str">
        <f>IFERROR(__xludf.DUMMYFUNCTION("REGEXEXTRACT(J2161, ""^\d+"")"),"94")</f>
        <v>94</v>
      </c>
      <c r="Z2161" s="5" t="str">
        <f>IFERROR(__xludf.DUMMYFUNCTION("REGEXEXTRACT(J2161, ""[A-Za-z ]+$"")")," min")</f>
        <v> min</v>
      </c>
      <c r="AA2161" s="5" t="str">
        <f>IFERROR(__xludf.DUMMYFUNCTION("IF(REGEXMATCH(Z2161, ""Season""), ""TV Show"", ""Movie"")"),"Movie")</f>
        <v>Movie</v>
      </c>
    </row>
    <row r="2162">
      <c r="A2162" s="1" t="s">
        <v>12313</v>
      </c>
      <c r="B2162" s="1" t="s">
        <v>37</v>
      </c>
      <c r="C2162" s="1" t="s">
        <v>12314</v>
      </c>
      <c r="E2162" s="1" t="s">
        <v>12315</v>
      </c>
      <c r="F2162" s="1" t="s">
        <v>1106</v>
      </c>
      <c r="G2162" s="1" t="s">
        <v>12316</v>
      </c>
      <c r="H2162" s="1">
        <v>2016.0</v>
      </c>
      <c r="I2162" s="1" t="s">
        <v>289</v>
      </c>
      <c r="J2162" s="1" t="s">
        <v>189</v>
      </c>
      <c r="K2162" s="1" t="s">
        <v>290</v>
      </c>
      <c r="L2162" s="1" t="s">
        <v>12317</v>
      </c>
      <c r="M2162" s="2" t="s">
        <v>12</v>
      </c>
      <c r="N2162" s="4">
        <f t="shared" si="1"/>
        <v>44049</v>
      </c>
      <c r="O2162" s="5" t="str">
        <f>IFERROR(__xludf.DUMMYFUNCTION("IF(REGEXMATCH(TRIM(I2162), ""^\d+\s*min""), ""Unclassified"", IF(I2162 = """", ""NR"", I2162))"),"TV-Y7")</f>
        <v>TV-Y7</v>
      </c>
      <c r="R2162" s="5" t="str">
        <f t="shared" si="2"/>
        <v>Ever After High</v>
      </c>
      <c r="S2162" s="5" t="str">
        <f>IFERROR(__xludf.DUMMYFUNCTION("""COMPUTED_VALUE"""),"Eden")</f>
        <v>Eden</v>
      </c>
      <c r="U2162" s="5" t="str">
        <f>IFERROR(__xludf.DUMMYFUNCTION("""COMPUTED_VALUE"""),"Laura Alvea, José Ortuño")</f>
        <v>Laura Alvea, José Ortuño</v>
      </c>
      <c r="V2162" s="5" t="s">
        <v>12318</v>
      </c>
      <c r="W2162" s="5" t="str">
        <f t="shared" si="3"/>
        <v>Kabir Bhatia</v>
      </c>
      <c r="X2162" s="5">
        <f t="shared" si="4"/>
        <v>1</v>
      </c>
      <c r="Y2162" s="5" t="str">
        <f>IFERROR(__xludf.DUMMYFUNCTION("REGEXEXTRACT(J2162, ""^\d+"")"),"5")</f>
        <v>5</v>
      </c>
      <c r="Z2162" s="5" t="str">
        <f>IFERROR(__xludf.DUMMYFUNCTION("REGEXEXTRACT(J2162, ""[A-Za-z ]+$"")")," Seasons")</f>
        <v> Seasons</v>
      </c>
      <c r="AA2162" s="5" t="str">
        <f>IFERROR(__xludf.DUMMYFUNCTION("IF(REGEXMATCH(Z2162, ""Season""), ""TV Show"", ""Movie"")"),"TV Show")</f>
        <v>TV Show</v>
      </c>
    </row>
    <row r="2163">
      <c r="A2163" s="1" t="s">
        <v>12319</v>
      </c>
      <c r="B2163" s="1" t="s">
        <v>27</v>
      </c>
      <c r="C2163" s="1" t="s">
        <v>12320</v>
      </c>
      <c r="D2163" s="1" t="s">
        <v>12321</v>
      </c>
      <c r="E2163" s="1" t="s">
        <v>12322</v>
      </c>
      <c r="F2163" s="1" t="s">
        <v>7629</v>
      </c>
      <c r="G2163" s="1" t="s">
        <v>12316</v>
      </c>
      <c r="H2163" s="1">
        <v>2020.0</v>
      </c>
      <c r="I2163" s="1" t="s">
        <v>136</v>
      </c>
      <c r="J2163" s="1" t="s">
        <v>4699</v>
      </c>
      <c r="K2163" s="1" t="s">
        <v>2892</v>
      </c>
      <c r="L2163" s="1" t="s">
        <v>12323</v>
      </c>
      <c r="M2163" s="2" t="s">
        <v>12</v>
      </c>
      <c r="N2163" s="4">
        <f t="shared" si="1"/>
        <v>44049</v>
      </c>
      <c r="O2163" s="5" t="str">
        <f>IFERROR(__xludf.DUMMYFUNCTION("IF(REGEXMATCH(TRIM(I2163), ""^\d+\s*min""), ""Unclassified"", IF(I2163 = """", ""NR"", I2163))"),"TV-PG")</f>
        <v>TV-PG</v>
      </c>
      <c r="R2163" s="5" t="str">
        <f t="shared" si="2"/>
        <v>Nasha Natasha</v>
      </c>
      <c r="S2163" s="5" t="str">
        <f>IFERROR(__xludf.DUMMYFUNCTION("""COMPUTED_VALUE"""),"Edens Zero")</f>
        <v>Edens Zero</v>
      </c>
      <c r="U2163" s="5" t="str">
        <f>IFERROR(__xludf.DUMMYFUNCTION("""COMPUTED_VALUE"""),"Gastón Duprat")</f>
        <v>Gastón Duprat</v>
      </c>
      <c r="V2163" s="5" t="s">
        <v>12324</v>
      </c>
      <c r="W2163" s="5" t="str">
        <f t="shared" si="3"/>
        <v>Kabir Khan</v>
      </c>
      <c r="X2163" s="5">
        <f t="shared" si="4"/>
        <v>1</v>
      </c>
      <c r="Y2163" s="5" t="str">
        <f>IFERROR(__xludf.DUMMYFUNCTION("REGEXEXTRACT(J2163, ""^\d+"")"),"72")</f>
        <v>72</v>
      </c>
      <c r="Z2163" s="5" t="str">
        <f>IFERROR(__xludf.DUMMYFUNCTION("REGEXEXTRACT(J2163, ""[A-Za-z ]+$"")")," min")</f>
        <v> min</v>
      </c>
      <c r="AA2163" s="5" t="str">
        <f>IFERROR(__xludf.DUMMYFUNCTION("IF(REGEXMATCH(Z2163, ""Season""), ""TV Show"", ""Movie"")"),"Movie")</f>
        <v>Movie</v>
      </c>
    </row>
    <row r="2164">
      <c r="A2164" s="1" t="s">
        <v>12325</v>
      </c>
      <c r="B2164" s="1" t="s">
        <v>37</v>
      </c>
      <c r="C2164" s="1" t="s">
        <v>12326</v>
      </c>
      <c r="E2164" s="1" t="s">
        <v>12327</v>
      </c>
      <c r="F2164" s="1" t="s">
        <v>8686</v>
      </c>
      <c r="G2164" s="1" t="s">
        <v>12316</v>
      </c>
      <c r="H2164" s="1">
        <v>2020.0</v>
      </c>
      <c r="I2164" s="1" t="s">
        <v>42</v>
      </c>
      <c r="J2164" s="1" t="s">
        <v>276</v>
      </c>
      <c r="K2164" s="1" t="s">
        <v>44</v>
      </c>
      <c r="L2164" s="1" t="s">
        <v>12328</v>
      </c>
      <c r="M2164" s="2" t="s">
        <v>12</v>
      </c>
      <c r="N2164" s="4">
        <f t="shared" si="1"/>
        <v>44049</v>
      </c>
      <c r="O2164" s="5" t="str">
        <f>IFERROR(__xludf.DUMMYFUNCTION("IF(REGEXMATCH(TRIM(I2164), ""^\d+\s*min""), ""Unclassified"", IF(I2164 = """", ""NR"", I2164))"),"TV-MA")</f>
        <v>TV-MA</v>
      </c>
      <c r="R2164" s="5" t="str">
        <f t="shared" si="2"/>
        <v>The Rain</v>
      </c>
      <c r="S2164" s="5" t="str">
        <f>IFERROR(__xludf.DUMMYFUNCTION("""COMPUTED_VALUE"""),"Edgar Rice Burroughs' Tarzan And Jane")</f>
        <v>Edgar Rice Burroughs' Tarzan And Jane</v>
      </c>
      <c r="U2164" s="5" t="str">
        <f>IFERROR(__xludf.DUMMYFUNCTION("""COMPUTED_VALUE"""),"Andy Caballero, Diego Corsini")</f>
        <v>Andy Caballero, Diego Corsini</v>
      </c>
      <c r="V2164" s="5" t="s">
        <v>12329</v>
      </c>
      <c r="W2164" s="5" t="str">
        <f t="shared" si="3"/>
        <v>Kabir Sadanand</v>
      </c>
      <c r="X2164" s="5">
        <f t="shared" si="4"/>
        <v>2</v>
      </c>
      <c r="Y2164" s="5" t="str">
        <f>IFERROR(__xludf.DUMMYFUNCTION("REGEXEXTRACT(J2164, ""^\d+"")"),"3")</f>
        <v>3</v>
      </c>
      <c r="Z2164" s="5" t="str">
        <f>IFERROR(__xludf.DUMMYFUNCTION("REGEXEXTRACT(J2164, ""[A-Za-z ]+$"")")," Seasons")</f>
        <v> Seasons</v>
      </c>
      <c r="AA2164" s="5" t="str">
        <f>IFERROR(__xludf.DUMMYFUNCTION("IF(REGEXMATCH(Z2164, ""Season""), ""TV Show"", ""Movie"")"),"TV Show")</f>
        <v>TV Show</v>
      </c>
    </row>
    <row r="2165">
      <c r="A2165" s="1" t="s">
        <v>12330</v>
      </c>
      <c r="B2165" s="1" t="s">
        <v>27</v>
      </c>
      <c r="C2165" s="1" t="s">
        <v>12331</v>
      </c>
      <c r="D2165" s="1" t="s">
        <v>7818</v>
      </c>
      <c r="E2165" s="1" t="s">
        <v>12332</v>
      </c>
      <c r="F2165" s="1" t="s">
        <v>664</v>
      </c>
      <c r="G2165" s="1" t="s">
        <v>12333</v>
      </c>
      <c r="H2165" s="1">
        <v>2020.0</v>
      </c>
      <c r="I2165" s="1" t="s">
        <v>97</v>
      </c>
      <c r="J2165" s="1" t="s">
        <v>465</v>
      </c>
      <c r="K2165" s="1" t="s">
        <v>520</v>
      </c>
      <c r="L2165" s="1" t="s">
        <v>12334</v>
      </c>
      <c r="M2165" s="2" t="s">
        <v>12</v>
      </c>
      <c r="N2165" s="4">
        <f t="shared" si="1"/>
        <v>44048</v>
      </c>
      <c r="O2165" s="5" t="str">
        <f>IFERROR(__xludf.DUMMYFUNCTION("IF(REGEXMATCH(TRIM(I2165), ""^\d+\s*min""), ""Unclassified"", IF(I2165 = """", ""NR"", I2165))"),"TV-14")</f>
        <v>TV-14</v>
      </c>
      <c r="R2165" s="5" t="str">
        <f t="shared" si="2"/>
        <v>Anelka: Misunderstood</v>
      </c>
      <c r="S2165" s="5" t="str">
        <f>IFERROR(__xludf.DUMMYFUNCTION("""COMPUTED_VALUE"""),"Edge Of Fear")</f>
        <v>Edge Of Fear</v>
      </c>
      <c r="U2165" s="5" t="str">
        <f>IFERROR(__xludf.DUMMYFUNCTION("""COMPUTED_VALUE"""),"Seren Yüce")</f>
        <v>Seren Yüce</v>
      </c>
      <c r="V2165" s="5" t="s">
        <v>12335</v>
      </c>
      <c r="W2165" s="5" t="str">
        <f t="shared" si="3"/>
        <v>Kader Aoun</v>
      </c>
      <c r="X2165" s="5">
        <f t="shared" si="4"/>
        <v>1</v>
      </c>
      <c r="Y2165" s="5" t="str">
        <f>IFERROR(__xludf.DUMMYFUNCTION("REGEXEXTRACT(J2165, ""^\d+"")"),"95")</f>
        <v>95</v>
      </c>
      <c r="Z2165" s="5" t="str">
        <f>IFERROR(__xludf.DUMMYFUNCTION("REGEXEXTRACT(J2165, ""[A-Za-z ]+$"")")," min")</f>
        <v> min</v>
      </c>
      <c r="AA2165" s="5" t="str">
        <f>IFERROR(__xludf.DUMMYFUNCTION("IF(REGEXMATCH(Z2165, ""Season""), ""TV Show"", ""Movie"")"),"Movie")</f>
        <v>Movie</v>
      </c>
    </row>
    <row r="2166">
      <c r="A2166" s="1" t="s">
        <v>12336</v>
      </c>
      <c r="B2166" s="1" t="s">
        <v>27</v>
      </c>
      <c r="C2166" s="1" t="s">
        <v>12337</v>
      </c>
      <c r="D2166" s="1" t="s">
        <v>12338</v>
      </c>
      <c r="E2166" s="1" t="s">
        <v>12339</v>
      </c>
      <c r="G2166" s="1" t="s">
        <v>12333</v>
      </c>
      <c r="H2166" s="1">
        <v>2019.0</v>
      </c>
      <c r="I2166" s="1" t="s">
        <v>97</v>
      </c>
      <c r="J2166" s="1" t="s">
        <v>1091</v>
      </c>
      <c r="K2166" s="1" t="s">
        <v>631</v>
      </c>
      <c r="L2166" s="1" t="s">
        <v>12340</v>
      </c>
      <c r="M2166" s="2" t="s">
        <v>12</v>
      </c>
      <c r="N2166" s="4">
        <f t="shared" si="1"/>
        <v>44048</v>
      </c>
      <c r="O2166" s="5" t="str">
        <f>IFERROR(__xludf.DUMMYFUNCTION("IF(REGEXMATCH(TRIM(I2166), ""^\d+\s*min""), ""Unclassified"", IF(I2166 = """", ""NR"", I2166))"),"TV-14")</f>
        <v>TV-14</v>
      </c>
      <c r="R2166" s="5" t="str">
        <f t="shared" si="2"/>
        <v>Sin City</v>
      </c>
      <c r="S2166" s="5" t="str">
        <f>IFERROR(__xludf.DUMMYFUNCTION("""COMPUTED_VALUE"""),"Edge Of Seventeen")</f>
        <v>Edge Of Seventeen</v>
      </c>
      <c r="U2166" s="5" t="str">
        <f>IFERROR(__xludf.DUMMYFUNCTION("""COMPUTED_VALUE"""),"Jonathan Helpert")</f>
        <v>Jonathan Helpert</v>
      </c>
      <c r="V2166" s="5" t="s">
        <v>6942</v>
      </c>
      <c r="W2166" s="5" t="str">
        <f t="shared" si="3"/>
        <v>Kagiso Lediga</v>
      </c>
      <c r="X2166" s="5">
        <f t="shared" si="4"/>
        <v>2</v>
      </c>
      <c r="Y2166" s="5" t="str">
        <f>IFERROR(__xludf.DUMMYFUNCTION("REGEXEXTRACT(J2166, ""^\d+"")"),"101")</f>
        <v>101</v>
      </c>
      <c r="Z2166" s="5" t="str">
        <f>IFERROR(__xludf.DUMMYFUNCTION("REGEXEXTRACT(J2166, ""[A-Za-z ]+$"")")," min")</f>
        <v> min</v>
      </c>
      <c r="AA2166" s="5" t="str">
        <f>IFERROR(__xludf.DUMMYFUNCTION("IF(REGEXMATCH(Z2166, ""Season""), ""TV Show"", ""Movie"")"),"Movie")</f>
        <v>Movie</v>
      </c>
    </row>
    <row r="2167">
      <c r="A2167" s="1" t="s">
        <v>12341</v>
      </c>
      <c r="B2167" s="1" t="s">
        <v>37</v>
      </c>
      <c r="C2167" s="1" t="s">
        <v>12342</v>
      </c>
      <c r="F2167" s="1" t="s">
        <v>30</v>
      </c>
      <c r="G2167" s="1" t="s">
        <v>12333</v>
      </c>
      <c r="H2167" s="1">
        <v>2020.0</v>
      </c>
      <c r="I2167" s="1" t="s">
        <v>97</v>
      </c>
      <c r="J2167" s="1" t="s">
        <v>51</v>
      </c>
      <c r="K2167" s="1" t="s">
        <v>112</v>
      </c>
      <c r="L2167" s="1" t="s">
        <v>12343</v>
      </c>
      <c r="M2167" s="2" t="s">
        <v>12</v>
      </c>
      <c r="N2167" s="4">
        <f t="shared" si="1"/>
        <v>44048</v>
      </c>
      <c r="O2167" s="5" t="str">
        <f>IFERROR(__xludf.DUMMYFUNCTION("IF(REGEXMATCH(TRIM(I2167), ""^\d+\s*min""), ""Unclassified"", IF(I2167 = """", ""NR"", I2167))"),"TV-14")</f>
        <v>TV-14</v>
      </c>
      <c r="R2167" s="5" t="str">
        <f t="shared" si="2"/>
        <v>World'S Most Wanted</v>
      </c>
      <c r="S2167" s="5" t="str">
        <f>IFERROR(__xludf.DUMMYFUNCTION("""COMPUTED_VALUE"""),"Edge Of The Universe")</f>
        <v>Edge Of The Universe</v>
      </c>
      <c r="U2167" s="5" t="str">
        <f>IFERROR(__xludf.DUMMYFUNCTION("""COMPUTED_VALUE"""),"André D'Elia")</f>
        <v>André D'Elia</v>
      </c>
      <c r="V2167" s="5" t="s">
        <v>12344</v>
      </c>
      <c r="W2167" s="5" t="str">
        <f t="shared" si="3"/>
        <v>Kaila York</v>
      </c>
      <c r="X2167" s="5">
        <f t="shared" si="4"/>
        <v>1</v>
      </c>
      <c r="Y2167" s="5" t="str">
        <f>IFERROR(__xludf.DUMMYFUNCTION("REGEXEXTRACT(J2167, ""^\d+"")"),"1")</f>
        <v>1</v>
      </c>
      <c r="Z2167" s="5" t="str">
        <f>IFERROR(__xludf.DUMMYFUNCTION("REGEXEXTRACT(J2167, ""[A-Za-z ]+$"")")," Season")</f>
        <v> Season</v>
      </c>
      <c r="AA2167" s="5" t="str">
        <f>IFERROR(__xludf.DUMMYFUNCTION("IF(REGEXMATCH(Z2167, ""Season""), ""TV Show"", ""Movie"")"),"TV Show")</f>
        <v>TV Show</v>
      </c>
    </row>
    <row r="2168">
      <c r="A2168" s="1" t="s">
        <v>12345</v>
      </c>
      <c r="B2168" s="1" t="s">
        <v>27</v>
      </c>
      <c r="C2168" s="1" t="s">
        <v>12346</v>
      </c>
      <c r="D2168" s="1" t="s">
        <v>9536</v>
      </c>
      <c r="E2168" s="1" t="s">
        <v>12347</v>
      </c>
      <c r="G2168" s="1" t="s">
        <v>12348</v>
      </c>
      <c r="H2168" s="1">
        <v>2020.0</v>
      </c>
      <c r="I2168" s="1" t="s">
        <v>206</v>
      </c>
      <c r="J2168" s="1" t="s">
        <v>6851</v>
      </c>
      <c r="K2168" s="1" t="s">
        <v>80</v>
      </c>
      <c r="L2168" s="1" t="s">
        <v>12349</v>
      </c>
      <c r="M2168" s="2" t="s">
        <v>12</v>
      </c>
      <c r="N2168" s="4">
        <f t="shared" si="1"/>
        <v>44047</v>
      </c>
      <c r="O2168" s="5" t="str">
        <f>IFERROR(__xludf.DUMMYFUNCTION("IF(REGEXMATCH(TRIM(I2168), ""^\d+\s*min""), ""Unclassified"", IF(I2168 = """", ""NR"", I2168))"),"TV-Y")</f>
        <v>TV-Y</v>
      </c>
      <c r="R2168" s="5" t="str">
        <f t="shared" si="2"/>
        <v>A Go! Go! Cory Carson Summer Camp</v>
      </c>
      <c r="S2168" s="5" t="str">
        <f>IFERROR(__xludf.DUMMYFUNCTION("""COMPUTED_VALUE"""),"Edha")</f>
        <v>Edha</v>
      </c>
      <c r="U2168" s="5" t="str">
        <f>IFERROR(__xludf.DUMMYFUNCTION("""COMPUTED_VALUE"""),"Skye Borgman")</f>
        <v>Skye Borgman</v>
      </c>
      <c r="V2168" s="5" t="s">
        <v>12350</v>
      </c>
      <c r="W2168" s="5" t="str">
        <f t="shared" si="3"/>
        <v>Kaizad Gustad</v>
      </c>
      <c r="X2168" s="5">
        <f t="shared" si="4"/>
        <v>1</v>
      </c>
      <c r="Y2168" s="5" t="str">
        <f>IFERROR(__xludf.DUMMYFUNCTION("REGEXEXTRACT(J2168, ""^\d+"")"),"21")</f>
        <v>21</v>
      </c>
      <c r="Z2168" s="5" t="str">
        <f>IFERROR(__xludf.DUMMYFUNCTION("REGEXEXTRACT(J2168, ""[A-Za-z ]+$"")")," min")</f>
        <v> min</v>
      </c>
      <c r="AA2168" s="5" t="str">
        <f>IFERROR(__xludf.DUMMYFUNCTION("IF(REGEXMATCH(Z2168, ""Season""), ""TV Show"", ""Movie"")"),"Movie")</f>
        <v>Movie</v>
      </c>
    </row>
    <row r="2169">
      <c r="A2169" s="1" t="s">
        <v>12351</v>
      </c>
      <c r="B2169" s="1" t="s">
        <v>27</v>
      </c>
      <c r="C2169" s="1" t="s">
        <v>12352</v>
      </c>
      <c r="D2169" s="1" t="s">
        <v>12353</v>
      </c>
      <c r="E2169" s="1" t="s">
        <v>12354</v>
      </c>
      <c r="F2169" s="1" t="s">
        <v>30</v>
      </c>
      <c r="G2169" s="1" t="s">
        <v>12348</v>
      </c>
      <c r="H2169" s="1">
        <v>2020.0</v>
      </c>
      <c r="I2169" s="1" t="s">
        <v>506</v>
      </c>
      <c r="J2169" s="1" t="s">
        <v>5650</v>
      </c>
      <c r="K2169" s="1" t="s">
        <v>137</v>
      </c>
      <c r="L2169" s="1" t="s">
        <v>12355</v>
      </c>
      <c r="M2169" s="2" t="s">
        <v>12</v>
      </c>
      <c r="N2169" s="4">
        <f t="shared" si="1"/>
        <v>44047</v>
      </c>
      <c r="O2169" s="5" t="str">
        <f>IFERROR(__xludf.DUMMYFUNCTION("IF(REGEXMATCH(TRIM(I2169), ""^\d+\s*min""), ""Unclassified"", IF(I2169 = """", ""NR"", I2169))"),"TV-G")</f>
        <v>TV-G</v>
      </c>
      <c r="R2169" s="5" t="str">
        <f t="shared" si="2"/>
        <v>Malibu Rescue: The Next Wave</v>
      </c>
      <c r="S2169" s="5" t="str">
        <f>IFERROR(__xludf.DUMMYFUNCTION("""COMPUTED_VALUE"""),"Edmilson Filho: Notas, Comedy About Relationships")</f>
        <v>Edmilson Filho: Notas, Comedy About Relationships</v>
      </c>
      <c r="U2169" s="5" t="str">
        <f>IFERROR(__xludf.DUMMYFUNCTION("""COMPUTED_VALUE"""),"Hashim Nadeem Khan")</f>
        <v>Hashim Nadeem Khan</v>
      </c>
      <c r="V2169" s="5" t="s">
        <v>12356</v>
      </c>
      <c r="W2169" s="5" t="str">
        <f t="shared" si="3"/>
        <v>Kamal Sahani</v>
      </c>
      <c r="X2169" s="5">
        <f t="shared" si="4"/>
        <v>1</v>
      </c>
      <c r="Y2169" s="5" t="str">
        <f>IFERROR(__xludf.DUMMYFUNCTION("REGEXEXTRACT(J2169, ""^\d+"")"),"71")</f>
        <v>71</v>
      </c>
      <c r="Z2169" s="5" t="str">
        <f>IFERROR(__xludf.DUMMYFUNCTION("REGEXEXTRACT(J2169, ""[A-Za-z ]+$"")")," min")</f>
        <v> min</v>
      </c>
      <c r="AA2169" s="5" t="str">
        <f>IFERROR(__xludf.DUMMYFUNCTION("IF(REGEXMATCH(Z2169, ""Season""), ""TV Show"", ""Movie"")"),"Movie")</f>
        <v>Movie</v>
      </c>
    </row>
    <row r="2170">
      <c r="A2170" s="1" t="s">
        <v>12357</v>
      </c>
      <c r="B2170" s="1" t="s">
        <v>37</v>
      </c>
      <c r="C2170" s="1" t="s">
        <v>12358</v>
      </c>
      <c r="E2170" s="1" t="s">
        <v>12359</v>
      </c>
      <c r="F2170" s="1" t="s">
        <v>1992</v>
      </c>
      <c r="G2170" s="1" t="s">
        <v>12348</v>
      </c>
      <c r="H2170" s="1">
        <v>2020.0</v>
      </c>
      <c r="I2170" s="1" t="s">
        <v>136</v>
      </c>
      <c r="J2170" s="1" t="s">
        <v>51</v>
      </c>
      <c r="K2170" s="1" t="s">
        <v>3350</v>
      </c>
      <c r="L2170" s="1" t="s">
        <v>12360</v>
      </c>
      <c r="M2170" s="2" t="s">
        <v>12</v>
      </c>
      <c r="N2170" s="4">
        <f t="shared" si="1"/>
        <v>44047</v>
      </c>
      <c r="O2170" s="5" t="str">
        <f>IFERROR(__xludf.DUMMYFUNCTION("IF(REGEXMATCH(TRIM(I2170), ""^\d+\s*min""), ""Unclassified"", IF(I2170 = """", ""NR"", I2170))"),"TV-PG")</f>
        <v>TV-PG</v>
      </c>
      <c r="R2170" s="5" t="str">
        <f t="shared" si="2"/>
        <v>Mystery Lab</v>
      </c>
      <c r="S2170" s="5" t="str">
        <f>IFERROR(__xludf.DUMMYFUNCTION("""COMPUTED_VALUE"""),"Edoardo Ferrario: Temi Caldi")</f>
        <v>Edoardo Ferrario: Temi Caldi</v>
      </c>
      <c r="U2170" s="5" t="str">
        <f>IFERROR(__xludf.DUMMYFUNCTION("""COMPUTED_VALUE"""),"Sarjun")</f>
        <v>Sarjun</v>
      </c>
      <c r="V2170" s="5" t="s">
        <v>12361</v>
      </c>
      <c r="W2170" s="5" t="str">
        <f t="shared" si="3"/>
        <v>Kang Cheng, Shan Hua</v>
      </c>
      <c r="X2170" s="5">
        <f t="shared" si="4"/>
        <v>1</v>
      </c>
      <c r="Y2170" s="5" t="str">
        <f>IFERROR(__xludf.DUMMYFUNCTION("REGEXEXTRACT(J2170, ""^\d+"")"),"1")</f>
        <v>1</v>
      </c>
      <c r="Z2170" s="5" t="str">
        <f>IFERROR(__xludf.DUMMYFUNCTION("REGEXEXTRACT(J2170, ""[A-Za-z ]+$"")")," Season")</f>
        <v> Season</v>
      </c>
      <c r="AA2170" s="5" t="str">
        <f>IFERROR(__xludf.DUMMYFUNCTION("IF(REGEXMATCH(Z2170, ""Season""), ""TV Show"", ""Movie"")"),"TV Show")</f>
        <v>TV Show</v>
      </c>
    </row>
    <row r="2171">
      <c r="A2171" s="1" t="s">
        <v>12362</v>
      </c>
      <c r="B2171" s="1" t="s">
        <v>27</v>
      </c>
      <c r="C2171" s="1" t="s">
        <v>12363</v>
      </c>
      <c r="D2171" s="1" t="s">
        <v>8820</v>
      </c>
      <c r="E2171" s="1" t="s">
        <v>12364</v>
      </c>
      <c r="F2171" s="1" t="s">
        <v>30</v>
      </c>
      <c r="G2171" s="1" t="s">
        <v>12348</v>
      </c>
      <c r="H2171" s="1">
        <v>2020.0</v>
      </c>
      <c r="I2171" s="1" t="s">
        <v>42</v>
      </c>
      <c r="J2171" s="1" t="s">
        <v>1838</v>
      </c>
      <c r="K2171" s="1" t="s">
        <v>1839</v>
      </c>
      <c r="L2171" s="1" t="s">
        <v>12365</v>
      </c>
      <c r="M2171" s="2" t="s">
        <v>12</v>
      </c>
      <c r="N2171" s="4">
        <f t="shared" si="1"/>
        <v>44047</v>
      </c>
      <c r="O2171" s="5" t="str">
        <f>IFERROR(__xludf.DUMMYFUNCTION("IF(REGEXMATCH(TRIM(I2171), ""^\d+\s*min""), ""Unclassified"", IF(I2171 = """", ""NR"", I2171))"),"TV-MA")</f>
        <v>TV-MA</v>
      </c>
      <c r="R2171" s="5" t="str">
        <f t="shared" si="2"/>
        <v>Sam Jay: 3 In The Morning</v>
      </c>
      <c r="S2171" s="5" t="str">
        <f>IFERROR(__xludf.DUMMYFUNCTION("""COMPUTED_VALUE"""),"Ee Nagaraniki Emaindi")</f>
        <v>Ee Nagaraniki Emaindi</v>
      </c>
      <c r="U2171" s="5" t="str">
        <f>IFERROR(__xludf.DUMMYFUNCTION("""COMPUTED_VALUE"""),"Feroz")</f>
        <v>Feroz</v>
      </c>
      <c r="V2171" s="5" t="s">
        <v>12366</v>
      </c>
      <c r="W2171" s="5" t="str">
        <f t="shared" si="3"/>
        <v>Kanika Batra</v>
      </c>
      <c r="X2171" s="5">
        <f t="shared" si="4"/>
        <v>1</v>
      </c>
      <c r="Y2171" s="5" t="str">
        <f>IFERROR(__xludf.DUMMYFUNCTION("REGEXEXTRACT(J2171, ""^\d+"")"),"64")</f>
        <v>64</v>
      </c>
      <c r="Z2171" s="5" t="str">
        <f>IFERROR(__xludf.DUMMYFUNCTION("REGEXEXTRACT(J2171, ""[A-Za-z ]+$"")")," min")</f>
        <v> min</v>
      </c>
      <c r="AA2171" s="5" t="str">
        <f>IFERROR(__xludf.DUMMYFUNCTION("IF(REGEXMATCH(Z2171, ""Season""), ""TV Show"", ""Movie"")"),"Movie")</f>
        <v>Movie</v>
      </c>
    </row>
    <row r="2172">
      <c r="A2172" s="1" t="s">
        <v>12367</v>
      </c>
      <c r="B2172" s="1" t="s">
        <v>37</v>
      </c>
      <c r="C2172" s="1" t="s">
        <v>12368</v>
      </c>
      <c r="F2172" s="1" t="s">
        <v>30</v>
      </c>
      <c r="G2172" s="1" t="s">
        <v>12369</v>
      </c>
      <c r="H2172" s="1">
        <v>2020.0</v>
      </c>
      <c r="I2172" s="1" t="s">
        <v>42</v>
      </c>
      <c r="J2172" s="1" t="s">
        <v>51</v>
      </c>
      <c r="K2172" s="1" t="s">
        <v>1261</v>
      </c>
      <c r="L2172" s="1" t="s">
        <v>12370</v>
      </c>
      <c r="M2172" s="2" t="s">
        <v>12</v>
      </c>
      <c r="N2172" s="4">
        <f t="shared" si="1"/>
        <v>44046</v>
      </c>
      <c r="O2172" s="5" t="str">
        <f>IFERROR(__xludf.DUMMYFUNCTION("IF(REGEXMATCH(TRIM(I2172), ""^\d+\s*min""), ""Unclassified"", IF(I2172 = """", ""NR"", I2172))"),"TV-MA")</f>
        <v>TV-MA</v>
      </c>
      <c r="R2172" s="5" t="str">
        <f t="shared" si="2"/>
        <v>Immigration Nation</v>
      </c>
      <c r="S2172" s="5" t="str">
        <f>IFERROR(__xludf.DUMMYFUNCTION("""COMPUTED_VALUE"""),"Eeb Allay Ooo!")</f>
        <v>Eeb Allay Ooo!</v>
      </c>
      <c r="U2172" s="5" t="str">
        <f>IFERROR(__xludf.DUMMYFUNCTION("""COMPUTED_VALUE"""),"Syed Atif Ali")</f>
        <v>Syed Atif Ali</v>
      </c>
      <c r="V2172" s="5" t="s">
        <v>12371</v>
      </c>
      <c r="W2172" s="5" t="str">
        <f t="shared" si="3"/>
        <v>Kanwal Sethi</v>
      </c>
      <c r="X2172" s="5">
        <f t="shared" si="4"/>
        <v>1</v>
      </c>
      <c r="Y2172" s="5" t="str">
        <f>IFERROR(__xludf.DUMMYFUNCTION("REGEXEXTRACT(J2172, ""^\d+"")"),"1")</f>
        <v>1</v>
      </c>
      <c r="Z2172" s="5" t="str">
        <f>IFERROR(__xludf.DUMMYFUNCTION("REGEXEXTRACT(J2172, ""[A-Za-z ]+$"")")," Season")</f>
        <v> Season</v>
      </c>
      <c r="AA2172" s="5" t="str">
        <f>IFERROR(__xludf.DUMMYFUNCTION("IF(REGEXMATCH(Z2172, ""Season""), ""TV Show"", ""Movie"")"),"TV Show")</f>
        <v>TV Show</v>
      </c>
    </row>
    <row r="2173">
      <c r="A2173" s="1" t="s">
        <v>12372</v>
      </c>
      <c r="B2173" s="1" t="s">
        <v>27</v>
      </c>
      <c r="C2173" s="1" t="s">
        <v>12373</v>
      </c>
      <c r="D2173" s="1" t="s">
        <v>12374</v>
      </c>
      <c r="E2173" s="1" t="s">
        <v>12375</v>
      </c>
      <c r="F2173" s="1" t="s">
        <v>30</v>
      </c>
      <c r="G2173" s="1" t="s">
        <v>12376</v>
      </c>
      <c r="H2173" s="1">
        <v>2020.0</v>
      </c>
      <c r="I2173" s="1" t="s">
        <v>42</v>
      </c>
      <c r="J2173" s="1" t="s">
        <v>665</v>
      </c>
      <c r="K2173" s="1" t="s">
        <v>836</v>
      </c>
      <c r="L2173" s="1" t="s">
        <v>12377</v>
      </c>
      <c r="M2173" s="2" t="s">
        <v>12</v>
      </c>
      <c r="N2173" s="4">
        <f t="shared" si="1"/>
        <v>44045</v>
      </c>
      <c r="O2173" s="5" t="str">
        <f>IFERROR(__xludf.DUMMYFUNCTION("IF(REGEXMATCH(TRIM(I2173), ""^\d+\s*min""), ""Unclassified"", IF(I2173 = """", ""NR"", I2173))"),"TV-MA")</f>
        <v>TV-MA</v>
      </c>
      <c r="R2173" s="5" t="str">
        <f t="shared" si="2"/>
        <v>Almost Love</v>
      </c>
      <c r="S2173" s="5" t="str">
        <f>IFERROR(__xludf.DUMMYFUNCTION("""COMPUTED_VALUE"""),"Eeda")</f>
        <v>Eeda</v>
      </c>
      <c r="U2173" s="5" t="str">
        <f>IFERROR(__xludf.DUMMYFUNCTION("""COMPUTED_VALUE"""),"Lee Seung-Won")</f>
        <v>Lee Seung-Won</v>
      </c>
      <c r="V2173" s="5" t="s">
        <v>12378</v>
      </c>
      <c r="W2173" s="5" t="str">
        <f t="shared" si="3"/>
        <v>Karan Anshuman</v>
      </c>
      <c r="X2173" s="5">
        <f t="shared" si="4"/>
        <v>1</v>
      </c>
      <c r="Y2173" s="5" t="str">
        <f>IFERROR(__xludf.DUMMYFUNCTION("REGEXEXTRACT(J2173, ""^\d+"")"),"92")</f>
        <v>92</v>
      </c>
      <c r="Z2173" s="5" t="str">
        <f>IFERROR(__xludf.DUMMYFUNCTION("REGEXEXTRACT(J2173, ""[A-Za-z ]+$"")")," min")</f>
        <v> min</v>
      </c>
      <c r="AA2173" s="5" t="str">
        <f>IFERROR(__xludf.DUMMYFUNCTION("IF(REGEXMATCH(Z2173, ""Season""), ""TV Show"", ""Movie"")"),"Movie")</f>
        <v>Movie</v>
      </c>
    </row>
    <row r="2174">
      <c r="A2174" s="1" t="s">
        <v>12379</v>
      </c>
      <c r="B2174" s="1" t="s">
        <v>27</v>
      </c>
      <c r="C2174" s="1" t="s">
        <v>12380</v>
      </c>
      <c r="D2174" s="1" t="s">
        <v>5729</v>
      </c>
      <c r="E2174" s="1" t="s">
        <v>12381</v>
      </c>
      <c r="F2174" s="1" t="s">
        <v>30</v>
      </c>
      <c r="G2174" s="1" t="s">
        <v>12382</v>
      </c>
      <c r="H2174" s="1">
        <v>2017.0</v>
      </c>
      <c r="I2174" s="1" t="s">
        <v>378</v>
      </c>
      <c r="J2174" s="1" t="s">
        <v>729</v>
      </c>
      <c r="K2174" s="1" t="s">
        <v>239</v>
      </c>
      <c r="L2174" s="1" t="s">
        <v>12383</v>
      </c>
      <c r="M2174" s="2" t="s">
        <v>12</v>
      </c>
      <c r="N2174" s="4">
        <f t="shared" si="1"/>
        <v>44044</v>
      </c>
      <c r="O2174" s="5" t="str">
        <f>IFERROR(__xludf.DUMMYFUNCTION("IF(REGEXMATCH(TRIM(I2174), ""^\d+\s*min""), ""Unclassified"", IF(I2174 = """", ""NR"", I2174))"),"R")</f>
        <v>R</v>
      </c>
      <c r="R2174" s="5" t="str">
        <f t="shared" si="2"/>
        <v>Killing Hasselhoff</v>
      </c>
      <c r="S2174" s="5" t="str">
        <f>IFERROR(__xludf.DUMMYFUNCTION("""COMPUTED_VALUE"""),"Eerie")</f>
        <v>Eerie</v>
      </c>
      <c r="U2174" s="5" t="str">
        <f>IFERROR(__xludf.DUMMYFUNCTION("""COMPUTED_VALUE"""),"Rik Reinholdtsen")</f>
        <v>Rik Reinholdtsen</v>
      </c>
      <c r="V2174" s="5" t="s">
        <v>12384</v>
      </c>
      <c r="W2174" s="5" t="str">
        <f t="shared" si="3"/>
        <v>Karan Bali</v>
      </c>
      <c r="X2174" s="5">
        <f t="shared" si="4"/>
        <v>1</v>
      </c>
      <c r="Y2174" s="5" t="str">
        <f>IFERROR(__xludf.DUMMYFUNCTION("REGEXEXTRACT(J2174, ""^\d+"")"),"80")</f>
        <v>80</v>
      </c>
      <c r="Z2174" s="5" t="str">
        <f>IFERROR(__xludf.DUMMYFUNCTION("REGEXEXTRACT(J2174, ""[A-Za-z ]+$"")")," min")</f>
        <v> min</v>
      </c>
      <c r="AA2174" s="5" t="str">
        <f>IFERROR(__xludf.DUMMYFUNCTION("IF(REGEXMATCH(Z2174, ""Season""), ""TV Show"", ""Movie"")"),"Movie")</f>
        <v>Movie</v>
      </c>
    </row>
    <row r="2175">
      <c r="A2175" s="1" t="s">
        <v>12385</v>
      </c>
      <c r="B2175" s="1" t="s">
        <v>37</v>
      </c>
      <c r="C2175" s="1" t="s">
        <v>12386</v>
      </c>
      <c r="E2175" s="1" t="s">
        <v>12387</v>
      </c>
      <c r="F2175" s="1" t="s">
        <v>30</v>
      </c>
      <c r="G2175" s="1" t="s">
        <v>12382</v>
      </c>
      <c r="H2175" s="1">
        <v>2000.0</v>
      </c>
      <c r="I2175" s="1" t="s">
        <v>136</v>
      </c>
      <c r="J2175" s="1" t="s">
        <v>439</v>
      </c>
      <c r="K2175" s="1" t="s">
        <v>7987</v>
      </c>
      <c r="L2175" s="1" t="s">
        <v>12388</v>
      </c>
      <c r="M2175" s="2" t="s">
        <v>12</v>
      </c>
      <c r="N2175" s="4">
        <f t="shared" si="1"/>
        <v>44044</v>
      </c>
      <c r="O2175" s="5" t="str">
        <f>IFERROR(__xludf.DUMMYFUNCTION("IF(REGEXMATCH(TRIM(I2175), ""^\d+\s*min""), ""Unclassified"", IF(I2175 = """", ""NR"", I2175))"),"TV-PG")</f>
        <v>TV-PG</v>
      </c>
      <c r="R2175" s="5" t="str">
        <f t="shared" si="2"/>
        <v>Moesha</v>
      </c>
      <c r="S2175" s="5" t="str">
        <f>IFERROR(__xludf.DUMMYFUNCTION("""COMPUTED_VALUE"""),"Effie Gray")</f>
        <v>Effie Gray</v>
      </c>
      <c r="U2175" s="5" t="str">
        <f>IFERROR(__xludf.DUMMYFUNCTION("""COMPUTED_VALUE"""),"Gauravv K Chawla")</f>
        <v>Gauravv K Chawla</v>
      </c>
      <c r="V2175" s="5" t="s">
        <v>12389</v>
      </c>
      <c r="W2175" s="5" t="str">
        <f t="shared" si="3"/>
        <v>Karan Johar</v>
      </c>
      <c r="X2175" s="5">
        <f t="shared" si="4"/>
        <v>3</v>
      </c>
      <c r="Y2175" s="5" t="str">
        <f>IFERROR(__xludf.DUMMYFUNCTION("REGEXEXTRACT(J2175, ""^\d+"")"),"6")</f>
        <v>6</v>
      </c>
      <c r="Z2175" s="5" t="str">
        <f>IFERROR(__xludf.DUMMYFUNCTION("REGEXEXTRACT(J2175, ""[A-Za-z ]+$"")")," Seasons")</f>
        <v> Seasons</v>
      </c>
      <c r="AA2175" s="5" t="str">
        <f>IFERROR(__xludf.DUMMYFUNCTION("IF(REGEXMATCH(Z2175, ""Season""), ""TV Show"", ""Movie"")"),"TV Show")</f>
        <v>TV Show</v>
      </c>
    </row>
    <row r="2176">
      <c r="A2176" s="1" t="s">
        <v>12390</v>
      </c>
      <c r="B2176" s="1" t="s">
        <v>37</v>
      </c>
      <c r="C2176" s="1" t="s">
        <v>12391</v>
      </c>
      <c r="E2176" s="1" t="s">
        <v>12392</v>
      </c>
      <c r="F2176" s="1" t="s">
        <v>1106</v>
      </c>
      <c r="G2176" s="1" t="s">
        <v>12382</v>
      </c>
      <c r="H2176" s="1">
        <v>2020.0</v>
      </c>
      <c r="I2176" s="1" t="s">
        <v>506</v>
      </c>
      <c r="J2176" s="1" t="s">
        <v>51</v>
      </c>
      <c r="K2176" s="1" t="s">
        <v>290</v>
      </c>
      <c r="L2176" s="1" t="s">
        <v>12393</v>
      </c>
      <c r="M2176" s="2" t="s">
        <v>12</v>
      </c>
      <c r="N2176" s="4">
        <f t="shared" si="1"/>
        <v>44044</v>
      </c>
      <c r="O2176" s="5" t="str">
        <f>IFERROR(__xludf.DUMMYFUNCTION("IF(REGEXMATCH(TRIM(I2176), ""^\d+\s*min""), ""Unclassified"", IF(I2176 = """", ""NR"", I2176))"),"TV-G")</f>
        <v>TV-G</v>
      </c>
      <c r="R2176" s="5" t="str">
        <f t="shared" si="2"/>
        <v>My Perfect Landing</v>
      </c>
      <c r="S2176" s="5" t="str">
        <f>IFERROR(__xludf.DUMMYFUNCTION("""COMPUTED_VALUE"""),"Ég Man Þig")</f>
        <v>Ég Man Þig</v>
      </c>
      <c r="U2176" s="5" t="str">
        <f>IFERROR(__xludf.DUMMYFUNCTION("""COMPUTED_VALUE"""),"Bent-Jorgen Perlmutt")</f>
        <v>Bent-Jorgen Perlmutt</v>
      </c>
      <c r="V2176" s="5" t="s">
        <v>12394</v>
      </c>
      <c r="W2176" s="5" t="str">
        <f t="shared" si="3"/>
        <v>Karan Lalit Butani</v>
      </c>
      <c r="X2176" s="5">
        <f t="shared" si="4"/>
        <v>1</v>
      </c>
      <c r="Y2176" s="5" t="str">
        <f>IFERROR(__xludf.DUMMYFUNCTION("REGEXEXTRACT(J2176, ""^\d+"")"),"1")</f>
        <v>1</v>
      </c>
      <c r="Z2176" s="5" t="str">
        <f>IFERROR(__xludf.DUMMYFUNCTION("REGEXEXTRACT(J2176, ""[A-Za-z ]+$"")")," Season")</f>
        <v> Season</v>
      </c>
      <c r="AA2176" s="5" t="str">
        <f>IFERROR(__xludf.DUMMYFUNCTION("IF(REGEXMATCH(Z2176, ""Season""), ""TV Show"", ""Movie"")"),"TV Show")</f>
        <v>TV Show</v>
      </c>
    </row>
    <row r="2177">
      <c r="A2177" s="1" t="s">
        <v>12395</v>
      </c>
      <c r="B2177" s="1" t="s">
        <v>37</v>
      </c>
      <c r="C2177" s="1" t="s">
        <v>12396</v>
      </c>
      <c r="E2177" s="1" t="s">
        <v>12397</v>
      </c>
      <c r="F2177" s="1" t="s">
        <v>415</v>
      </c>
      <c r="G2177" s="1" t="s">
        <v>12382</v>
      </c>
      <c r="H2177" s="1">
        <v>2014.0</v>
      </c>
      <c r="I2177" s="1" t="s">
        <v>97</v>
      </c>
      <c r="J2177" s="1" t="s">
        <v>51</v>
      </c>
      <c r="K2177" s="1" t="s">
        <v>4890</v>
      </c>
      <c r="L2177" s="1" t="s">
        <v>12398</v>
      </c>
      <c r="M2177" s="2" t="s">
        <v>12</v>
      </c>
      <c r="N2177" s="4">
        <f t="shared" si="1"/>
        <v>44044</v>
      </c>
      <c r="O2177" s="5" t="str">
        <f>IFERROR(__xludf.DUMMYFUNCTION("IF(REGEXMATCH(TRIM(I2177), ""^\d+\s*min""), ""Unclassified"", IF(I2177 = """", ""NR"", I2177))"),"TV-14")</f>
        <v>TV-14</v>
      </c>
      <c r="R2177" s="5" t="str">
        <f t="shared" si="2"/>
        <v>Nagi-Asu: A Lull In The Sea</v>
      </c>
      <c r="S2177" s="5" t="str">
        <f>IFERROR(__xludf.DUMMYFUNCTION("""COMPUTED_VALUE"""),"Eggnoid: Love &amp; Time Portal")</f>
        <v>Eggnoid: Love &amp; Time Portal</v>
      </c>
      <c r="U2177" s="5" t="str">
        <f>IFERROR(__xludf.DUMMYFUNCTION("""COMPUTED_VALUE"""),"Hugo Stuven")</f>
        <v>Hugo Stuven</v>
      </c>
      <c r="V2177" s="5" t="s">
        <v>12399</v>
      </c>
      <c r="W2177" s="5" t="str">
        <f t="shared" si="3"/>
        <v>Karan Malhotra</v>
      </c>
      <c r="X2177" s="5">
        <f t="shared" si="4"/>
        <v>1</v>
      </c>
      <c r="Y2177" s="5" t="str">
        <f>IFERROR(__xludf.DUMMYFUNCTION("REGEXEXTRACT(J2177, ""^\d+"")"),"1")</f>
        <v>1</v>
      </c>
      <c r="Z2177" s="5" t="str">
        <f>IFERROR(__xludf.DUMMYFUNCTION("REGEXEXTRACT(J2177, ""[A-Za-z ]+$"")")," Season")</f>
        <v> Season</v>
      </c>
      <c r="AA2177" s="5" t="str">
        <f>IFERROR(__xludf.DUMMYFUNCTION("IF(REGEXMATCH(Z2177, ""Season""), ""TV Show"", ""Movie"")"),"TV Show")</f>
        <v>TV Show</v>
      </c>
    </row>
    <row r="2178">
      <c r="A2178" s="1" t="s">
        <v>12400</v>
      </c>
      <c r="B2178" s="1" t="s">
        <v>27</v>
      </c>
      <c r="C2178" s="1" t="s">
        <v>12401</v>
      </c>
      <c r="D2178" s="1" t="s">
        <v>4413</v>
      </c>
      <c r="E2178" s="1" t="s">
        <v>12402</v>
      </c>
      <c r="F2178" s="1" t="s">
        <v>30</v>
      </c>
      <c r="G2178" s="1" t="s">
        <v>12382</v>
      </c>
      <c r="H2178" s="1">
        <v>2020.0</v>
      </c>
      <c r="I2178" s="1" t="s">
        <v>378</v>
      </c>
      <c r="J2178" s="1" t="s">
        <v>106</v>
      </c>
      <c r="K2178" s="1" t="s">
        <v>380</v>
      </c>
      <c r="L2178" s="1" t="s">
        <v>12403</v>
      </c>
      <c r="M2178" s="2" t="s">
        <v>12</v>
      </c>
      <c r="N2178" s="4">
        <f t="shared" si="1"/>
        <v>44044</v>
      </c>
      <c r="O2178" s="5" t="str">
        <f>IFERROR(__xludf.DUMMYFUNCTION("IF(REGEXMATCH(TRIM(I2178), ""^\d+\s*min""), ""Unclassified"", IF(I2178 = """", ""NR"", I2178))"),"R")</f>
        <v>R</v>
      </c>
      <c r="R2178" s="5" t="str">
        <f t="shared" si="2"/>
        <v>Rogue Warfare: The Hunt</v>
      </c>
      <c r="S2178" s="5" t="str">
        <f>IFERROR(__xludf.DUMMYFUNCTION("""COMPUTED_VALUE"""),"Eh Janam Tumhare Lekhe")</f>
        <v>Eh Janam Tumhare Lekhe</v>
      </c>
      <c r="U2178" s="5" t="str">
        <f>IFERROR(__xludf.DUMMYFUNCTION("""COMPUTED_VALUE"""),"Greg Pritikin")</f>
        <v>Greg Pritikin</v>
      </c>
      <c r="V2178" s="5" t="s">
        <v>12404</v>
      </c>
      <c r="W2178" s="5" t="str">
        <f t="shared" si="3"/>
        <v>Karan Shivajirao Chavan, Vikram Tanajirao Patil</v>
      </c>
      <c r="X2178" s="5">
        <f t="shared" si="4"/>
        <v>1</v>
      </c>
      <c r="Y2178" s="5" t="str">
        <f>IFERROR(__xludf.DUMMYFUNCTION("REGEXEXTRACT(J2178, ""^\d+"")"),"104")</f>
        <v>104</v>
      </c>
      <c r="Z2178" s="5" t="str">
        <f>IFERROR(__xludf.DUMMYFUNCTION("REGEXEXTRACT(J2178, ""[A-Za-z ]+$"")")," min")</f>
        <v> min</v>
      </c>
      <c r="AA2178" s="5" t="str">
        <f>IFERROR(__xludf.DUMMYFUNCTION("IF(REGEXMATCH(Z2178, ""Season""), ""TV Show"", ""Movie"")"),"Movie")</f>
        <v>Movie</v>
      </c>
    </row>
    <row r="2179">
      <c r="A2179" s="1" t="s">
        <v>12405</v>
      </c>
      <c r="B2179" s="1" t="s">
        <v>27</v>
      </c>
      <c r="C2179" s="1" t="s">
        <v>12406</v>
      </c>
      <c r="D2179" s="1" t="s">
        <v>4933</v>
      </c>
      <c r="E2179" s="1" t="s">
        <v>12407</v>
      </c>
      <c r="F2179" s="1" t="s">
        <v>1106</v>
      </c>
      <c r="G2179" s="1" t="s">
        <v>12382</v>
      </c>
      <c r="H2179" s="1">
        <v>2020.0</v>
      </c>
      <c r="I2179" s="1" t="s">
        <v>206</v>
      </c>
      <c r="J2179" s="1" t="s">
        <v>4935</v>
      </c>
      <c r="K2179" s="1" t="s">
        <v>80</v>
      </c>
      <c r="L2179" s="1" t="s">
        <v>12408</v>
      </c>
      <c r="M2179" s="2" t="s">
        <v>12</v>
      </c>
      <c r="N2179" s="4">
        <f t="shared" si="1"/>
        <v>44044</v>
      </c>
      <c r="O2179" s="5" t="str">
        <f>IFERROR(__xludf.DUMMYFUNCTION("IF(REGEXMATCH(TRIM(I2179), ""^\d+\s*min""), ""Unclassified"", IF(I2179 = """", ""NR"", I2179))"),"TV-Y")</f>
        <v>TV-Y</v>
      </c>
      <c r="R2179" s="5" t="str">
        <f t="shared" si="2"/>
        <v>Super Monsters: The New Class</v>
      </c>
      <c r="S2179" s="5" t="str">
        <f>IFERROR(__xludf.DUMMYFUNCTION("""COMPUTED_VALUE"""),"Einsatzgruppen: The Nazi Death Squads")</f>
        <v>Einsatzgruppen: The Nazi Death Squads</v>
      </c>
      <c r="U2179" s="5" t="str">
        <f>IFERROR(__xludf.DUMMYFUNCTION("""COMPUTED_VALUE"""),"Kobun Shizuno, Hiroyuki Seshita")</f>
        <v>Kobun Shizuno, Hiroyuki Seshita</v>
      </c>
      <c r="V2179" s="5" t="s">
        <v>12409</v>
      </c>
      <c r="W2179" s="5" t="str">
        <f t="shared" si="3"/>
        <v>Karen J. Lloyd</v>
      </c>
      <c r="X2179" s="5">
        <f t="shared" si="4"/>
        <v>2</v>
      </c>
      <c r="Y2179" s="5" t="str">
        <f>IFERROR(__xludf.DUMMYFUNCTION("REGEXEXTRACT(J2179, ""^\d+"")"),"25")</f>
        <v>25</v>
      </c>
      <c r="Z2179" s="5" t="str">
        <f>IFERROR(__xludf.DUMMYFUNCTION("REGEXEXTRACT(J2179, ""[A-Za-z ]+$"")")," min")</f>
        <v> min</v>
      </c>
      <c r="AA2179" s="5" t="str">
        <f>IFERROR(__xludf.DUMMYFUNCTION("IF(REGEXMATCH(Z2179, ""Season""), ""TV Show"", ""Movie"")"),"Movie")</f>
        <v>Movie</v>
      </c>
    </row>
    <row r="2180">
      <c r="A2180" s="1" t="s">
        <v>12410</v>
      </c>
      <c r="B2180" s="1" t="s">
        <v>37</v>
      </c>
      <c r="C2180" s="1" t="s">
        <v>12411</v>
      </c>
      <c r="E2180" s="1" t="s">
        <v>12412</v>
      </c>
      <c r="F2180" s="1" t="s">
        <v>1106</v>
      </c>
      <c r="G2180" s="1" t="s">
        <v>12382</v>
      </c>
      <c r="H2180" s="1">
        <v>2018.0</v>
      </c>
      <c r="I2180" s="1" t="s">
        <v>506</v>
      </c>
      <c r="J2180" s="1" t="s">
        <v>51</v>
      </c>
      <c r="K2180" s="1" t="s">
        <v>12413</v>
      </c>
      <c r="L2180" s="1" t="s">
        <v>12414</v>
      </c>
      <c r="M2180" s="2" t="s">
        <v>12</v>
      </c>
      <c r="N2180" s="4">
        <f t="shared" si="1"/>
        <v>44044</v>
      </c>
      <c r="O2180" s="5" t="str">
        <f>IFERROR(__xludf.DUMMYFUNCTION("IF(REGEXMATCH(TRIM(I2180), ""^\d+\s*min""), ""Unclassified"", IF(I2180 = """", ""NR"", I2180))"),"TV-G")</f>
        <v>TV-G</v>
      </c>
      <c r="R2180" s="5" t="str">
        <f t="shared" si="2"/>
        <v>The Next Step</v>
      </c>
      <c r="S2180" s="5" t="str">
        <f>IFERROR(__xludf.DUMMYFUNCTION("""COMPUTED_VALUE"""),"Either Me Or My Auntie")</f>
        <v>Either Me Or My Auntie</v>
      </c>
      <c r="U2180" s="5" t="str">
        <f>IFERROR(__xludf.DUMMYFUNCTION("""COMPUTED_VALUE"""),"Kunal Kohli")</f>
        <v>Kunal Kohli</v>
      </c>
      <c r="V2180" s="5" t="s">
        <v>10476</v>
      </c>
      <c r="W2180" s="5" t="str">
        <f t="shared" si="3"/>
        <v>Karen Maine</v>
      </c>
      <c r="X2180" s="5">
        <f t="shared" si="4"/>
        <v>1</v>
      </c>
      <c r="Y2180" s="5" t="str">
        <f>IFERROR(__xludf.DUMMYFUNCTION("REGEXEXTRACT(J2180, ""^\d+"")"),"1")</f>
        <v>1</v>
      </c>
      <c r="Z2180" s="5" t="str">
        <f>IFERROR(__xludf.DUMMYFUNCTION("REGEXEXTRACT(J2180, ""[A-Za-z ]+$"")")," Season")</f>
        <v> Season</v>
      </c>
      <c r="AA2180" s="5" t="str">
        <f>IFERROR(__xludf.DUMMYFUNCTION("IF(REGEXMATCH(Z2180, ""Season""), ""TV Show"", ""Movie"")"),"TV Show")</f>
        <v>TV Show</v>
      </c>
    </row>
    <row r="2181">
      <c r="A2181" s="1" t="s">
        <v>12415</v>
      </c>
      <c r="B2181" s="1" t="s">
        <v>27</v>
      </c>
      <c r="C2181" s="1" t="s">
        <v>12416</v>
      </c>
      <c r="D2181" s="1" t="s">
        <v>11858</v>
      </c>
      <c r="E2181" s="1" t="s">
        <v>12417</v>
      </c>
      <c r="F2181" s="1" t="s">
        <v>12418</v>
      </c>
      <c r="G2181" s="1" t="s">
        <v>12382</v>
      </c>
      <c r="H2181" s="1">
        <v>2017.0</v>
      </c>
      <c r="I2181" s="1" t="s">
        <v>378</v>
      </c>
      <c r="J2181" s="1" t="s">
        <v>264</v>
      </c>
      <c r="K2181" s="1" t="s">
        <v>828</v>
      </c>
      <c r="L2181" s="1" t="s">
        <v>12419</v>
      </c>
      <c r="M2181" s="2" t="s">
        <v>12</v>
      </c>
      <c r="N2181" s="4">
        <f t="shared" si="1"/>
        <v>44044</v>
      </c>
      <c r="O2181" s="5" t="str">
        <f>IFERROR(__xludf.DUMMYFUNCTION("IF(REGEXMATCH(TRIM(I2181), ""^\d+\s*min""), ""Unclassified"", IF(I2181 = """", ""NR"", I2181))"),"R")</f>
        <v>R</v>
      </c>
      <c r="R2181" s="5" t="str">
        <f t="shared" si="2"/>
        <v>The Ottoman Lieutenant</v>
      </c>
      <c r="S2181" s="5" t="str">
        <f>IFERROR(__xludf.DUMMYFUNCTION("""COMPUTED_VALUE"""),"Ek Cup Chya")</f>
        <v>Ek Cup Chya</v>
      </c>
      <c r="U2181" s="5" t="str">
        <f>IFERROR(__xludf.DUMMYFUNCTION("""COMPUTED_VALUE"""),"Noor Imran Mithu")</f>
        <v>Noor Imran Mithu</v>
      </c>
      <c r="V2181" s="5" t="s">
        <v>12420</v>
      </c>
      <c r="W2181" s="5" t="str">
        <f t="shared" si="3"/>
        <v>Karen Moncrieff</v>
      </c>
      <c r="X2181" s="5">
        <f t="shared" si="4"/>
        <v>1</v>
      </c>
      <c r="Y2181" s="5" t="str">
        <f>IFERROR(__xludf.DUMMYFUNCTION("REGEXEXTRACT(J2181, ""^\d+"")"),"111")</f>
        <v>111</v>
      </c>
      <c r="Z2181" s="5" t="str">
        <f>IFERROR(__xludf.DUMMYFUNCTION("REGEXEXTRACT(J2181, ""[A-Za-z ]+$"")")," min")</f>
        <v> min</v>
      </c>
      <c r="AA2181" s="5" t="str">
        <f>IFERROR(__xludf.DUMMYFUNCTION("IF(REGEXMATCH(Z2181, ""Season""), ""TV Show"", ""Movie"")"),"Movie")</f>
        <v>Movie</v>
      </c>
    </row>
    <row r="2182">
      <c r="A2182" s="1" t="s">
        <v>12421</v>
      </c>
      <c r="B2182" s="1" t="s">
        <v>37</v>
      </c>
      <c r="C2182" s="1" t="s">
        <v>12422</v>
      </c>
      <c r="E2182" s="1" t="s">
        <v>12423</v>
      </c>
      <c r="F2182" s="1" t="s">
        <v>415</v>
      </c>
      <c r="G2182" s="1" t="s">
        <v>12382</v>
      </c>
      <c r="H2182" s="1">
        <v>2008.0</v>
      </c>
      <c r="I2182" s="1" t="s">
        <v>97</v>
      </c>
      <c r="J2182" s="1" t="s">
        <v>51</v>
      </c>
      <c r="K2182" s="1" t="s">
        <v>1756</v>
      </c>
      <c r="L2182" s="1" t="s">
        <v>12424</v>
      </c>
      <c r="M2182" s="2" t="s">
        <v>12</v>
      </c>
      <c r="N2182" s="4">
        <f t="shared" si="1"/>
        <v>44044</v>
      </c>
      <c r="O2182" s="5" t="str">
        <f>IFERROR(__xludf.DUMMYFUNCTION("IF(REGEXMATCH(TRIM(I2182), ""^\d+\s*min""), ""Unclassified"", IF(I2182 = """", ""NR"", I2182))"),"TV-14")</f>
        <v>TV-14</v>
      </c>
      <c r="R2182" s="5" t="str">
        <f t="shared" si="2"/>
        <v>Toradora!</v>
      </c>
      <c r="S2182" s="5" t="str">
        <f>IFERROR(__xludf.DUMMYFUNCTION("""COMPUTED_VALUE"""),"Ek Hasina Thi")</f>
        <v>Ek Hasina Thi</v>
      </c>
      <c r="U2182" s="5" t="str">
        <f>IFERROR(__xludf.DUMMYFUNCTION("""COMPUTED_VALUE"""),"Nonzee Nimibutr")</f>
        <v>Nonzee Nimibutr</v>
      </c>
      <c r="V2182" s="5" t="s">
        <v>12425</v>
      </c>
      <c r="W2182" s="5" t="str">
        <f t="shared" si="3"/>
        <v>Karey Kirkpatrick</v>
      </c>
      <c r="X2182" s="5">
        <f t="shared" si="4"/>
        <v>1</v>
      </c>
      <c r="Y2182" s="5" t="str">
        <f>IFERROR(__xludf.DUMMYFUNCTION("REGEXEXTRACT(J2182, ""^\d+"")"),"1")</f>
        <v>1</v>
      </c>
      <c r="Z2182" s="5" t="str">
        <f>IFERROR(__xludf.DUMMYFUNCTION("REGEXEXTRACT(J2182, ""[A-Za-z ]+$"")")," Season")</f>
        <v> Season</v>
      </c>
      <c r="AA2182" s="5" t="str">
        <f>IFERROR(__xludf.DUMMYFUNCTION("IF(REGEXMATCH(Z2182, ""Season""), ""TV Show"", ""Movie"")"),"TV Show")</f>
        <v>TV Show</v>
      </c>
    </row>
    <row r="2183">
      <c r="A2183" s="1" t="s">
        <v>12426</v>
      </c>
      <c r="B2183" s="1" t="s">
        <v>37</v>
      </c>
      <c r="C2183" s="1" t="s">
        <v>12427</v>
      </c>
      <c r="E2183" s="1" t="s">
        <v>12428</v>
      </c>
      <c r="F2183" s="1" t="s">
        <v>30</v>
      </c>
      <c r="G2183" s="1" t="s">
        <v>12382</v>
      </c>
      <c r="H2183" s="1">
        <v>2020.0</v>
      </c>
      <c r="I2183" s="1" t="s">
        <v>206</v>
      </c>
      <c r="J2183" s="1" t="s">
        <v>43</v>
      </c>
      <c r="K2183" s="1" t="s">
        <v>290</v>
      </c>
      <c r="L2183" s="1" t="s">
        <v>12429</v>
      </c>
      <c r="M2183" s="2" t="s">
        <v>12</v>
      </c>
      <c r="N2183" s="4">
        <f t="shared" si="1"/>
        <v>44044</v>
      </c>
      <c r="O2183" s="5" t="str">
        <f>IFERROR(__xludf.DUMMYFUNCTION("IF(REGEXMATCH(TRIM(I2183), ""^\d+\s*min""), ""Unclassified"", IF(I2183 = """", ""NR"", I2183))"),"TV-Y")</f>
        <v>TV-Y</v>
      </c>
      <c r="R2183" s="5" t="str">
        <f t="shared" si="2"/>
        <v>Transformers Rescue Bots Academy</v>
      </c>
      <c r="S2183" s="5" t="str">
        <f>IFERROR(__xludf.DUMMYFUNCTION("""COMPUTED_VALUE"""),"Ek Jaan Hain Hum")</f>
        <v>Ek Jaan Hain Hum</v>
      </c>
      <c r="U2183" s="5" t="str">
        <f>IFERROR(__xludf.DUMMYFUNCTION("""COMPUTED_VALUE"""),"Ísold Uggadóttir")</f>
        <v>Ísold Uggadóttir</v>
      </c>
      <c r="V2183" s="5" t="s">
        <v>12430</v>
      </c>
      <c r="W2183" s="5" t="str">
        <f t="shared" si="3"/>
        <v>Karim Amer, Jehane Noujaim</v>
      </c>
      <c r="X2183" s="5">
        <f t="shared" si="4"/>
        <v>1</v>
      </c>
      <c r="Y2183" s="5" t="str">
        <f>IFERROR(__xludf.DUMMYFUNCTION("REGEXEXTRACT(J2183, ""^\d+"")"),"2")</f>
        <v>2</v>
      </c>
      <c r="Z2183" s="5" t="str">
        <f>IFERROR(__xludf.DUMMYFUNCTION("REGEXEXTRACT(J2183, ""[A-Za-z ]+$"")")," Seasons")</f>
        <v> Seasons</v>
      </c>
      <c r="AA2183" s="5" t="str">
        <f>IFERROR(__xludf.DUMMYFUNCTION("IF(REGEXMATCH(Z2183, ""Season""), ""TV Show"", ""Movie"")"),"TV Show")</f>
        <v>TV Show</v>
      </c>
    </row>
    <row r="2184">
      <c r="A2184" s="1" t="s">
        <v>12431</v>
      </c>
      <c r="B2184" s="1" t="s">
        <v>27</v>
      </c>
      <c r="C2184" s="1" t="s">
        <v>12432</v>
      </c>
      <c r="D2184" s="1" t="s">
        <v>12433</v>
      </c>
      <c r="E2184" s="1" t="s">
        <v>12434</v>
      </c>
      <c r="G2184" s="1" t="s">
        <v>12382</v>
      </c>
      <c r="H2184" s="1">
        <v>2020.0</v>
      </c>
      <c r="I2184" s="1" t="s">
        <v>42</v>
      </c>
      <c r="J2184" s="1" t="s">
        <v>4699</v>
      </c>
      <c r="K2184" s="1" t="s">
        <v>1839</v>
      </c>
      <c r="L2184" s="1" t="s">
        <v>12435</v>
      </c>
      <c r="M2184" s="2" t="s">
        <v>12</v>
      </c>
      <c r="N2184" s="4">
        <f t="shared" si="1"/>
        <v>44044</v>
      </c>
      <c r="O2184" s="5" t="str">
        <f>IFERROR(__xludf.DUMMYFUNCTION("IF(REGEXMATCH(TRIM(I2184), ""^\d+\s*min""), ""Unclassified"", IF(I2184 = """", ""NR"", I2184))"),"TV-MA")</f>
        <v>TV-MA</v>
      </c>
      <c r="R2184" s="5" t="str">
        <f t="shared" si="2"/>
        <v>Tumi Or Not Tumi</v>
      </c>
      <c r="S2184" s="5" t="str">
        <f>IFERROR(__xludf.DUMMYFUNCTION("""COMPUTED_VALUE"""),"Ek Khiladi Ek Haseena")</f>
        <v>Ek Khiladi Ek Haseena</v>
      </c>
      <c r="U2184" s="5" t="str">
        <f>IFERROR(__xludf.DUMMYFUNCTION("""COMPUTED_VALUE"""),"Lorena Munoz")</f>
        <v>Lorena Munoz</v>
      </c>
      <c r="V2184" s="5" t="s">
        <v>1632</v>
      </c>
      <c r="W2184" s="5" t="str">
        <f t="shared" si="3"/>
        <v>Karim El Shenawy</v>
      </c>
      <c r="X2184" s="5">
        <f t="shared" si="4"/>
        <v>1</v>
      </c>
      <c r="Y2184" s="5" t="str">
        <f>IFERROR(__xludf.DUMMYFUNCTION("REGEXEXTRACT(J2184, ""^\d+"")"),"72")</f>
        <v>72</v>
      </c>
      <c r="Z2184" s="5" t="str">
        <f>IFERROR(__xludf.DUMMYFUNCTION("REGEXEXTRACT(J2184, ""[A-Za-z ]+$"")")," min")</f>
        <v> min</v>
      </c>
      <c r="AA2184" s="5" t="str">
        <f>IFERROR(__xludf.DUMMYFUNCTION("IF(REGEXMATCH(Z2184, ""Season""), ""TV Show"", ""Movie"")"),"Movie")</f>
        <v>Movie</v>
      </c>
    </row>
    <row r="2185">
      <c r="A2185" s="1" t="s">
        <v>12436</v>
      </c>
      <c r="B2185" s="1" t="s">
        <v>27</v>
      </c>
      <c r="C2185" s="1" t="s">
        <v>12437</v>
      </c>
      <c r="D2185" s="1" t="s">
        <v>5134</v>
      </c>
      <c r="E2185" s="1" t="s">
        <v>12438</v>
      </c>
      <c r="F2185" s="1" t="s">
        <v>1106</v>
      </c>
      <c r="G2185" s="1" t="s">
        <v>12382</v>
      </c>
      <c r="H2185" s="1">
        <v>2018.0</v>
      </c>
      <c r="I2185" s="1" t="s">
        <v>378</v>
      </c>
      <c r="J2185" s="1" t="s">
        <v>416</v>
      </c>
      <c r="K2185" s="1" t="s">
        <v>12439</v>
      </c>
      <c r="L2185" s="1" t="s">
        <v>12440</v>
      </c>
      <c r="M2185" s="2" t="s">
        <v>12</v>
      </c>
      <c r="N2185" s="4">
        <f t="shared" si="1"/>
        <v>44044</v>
      </c>
      <c r="O2185" s="5" t="str">
        <f>IFERROR(__xludf.DUMMYFUNCTION("IF(REGEXMATCH(TRIM(I2185), ""^\d+\s*min""), ""Unclassified"", IF(I2185 = """", ""NR"", I2185))"),"R")</f>
        <v>R</v>
      </c>
      <c r="R2185" s="5" t="str">
        <f t="shared" si="2"/>
        <v>What Keeps You Alive</v>
      </c>
      <c r="S2185" s="5" t="str">
        <f>IFERROR(__xludf.DUMMYFUNCTION("""COMPUTED_VALUE"""),"Ek Ladki Ko Dekha Toh Aisa Laga")</f>
        <v>Ek Ladki Ko Dekha Toh Aisa Laga</v>
      </c>
      <c r="U2185" s="5" t="str">
        <f>IFERROR(__xludf.DUMMYFUNCTION("""COMPUTED_VALUE"""),"Genevieve Nnaji")</f>
        <v>Genevieve Nnaji</v>
      </c>
      <c r="V2185" s="5" t="s">
        <v>12441</v>
      </c>
      <c r="W2185" s="5" t="str">
        <f t="shared" si="3"/>
        <v>Karim El Sobky</v>
      </c>
      <c r="X2185" s="5">
        <f t="shared" si="4"/>
        <v>1</v>
      </c>
      <c r="Y2185" s="5" t="str">
        <f>IFERROR(__xludf.DUMMYFUNCTION("REGEXEXTRACT(J2185, ""^\d+"")"),"99")</f>
        <v>99</v>
      </c>
      <c r="Z2185" s="5" t="str">
        <f>IFERROR(__xludf.DUMMYFUNCTION("REGEXEXTRACT(J2185, ""[A-Za-z ]+$"")")," min")</f>
        <v> min</v>
      </c>
      <c r="AA2185" s="5" t="str">
        <f>IFERROR(__xludf.DUMMYFUNCTION("IF(REGEXMATCH(Z2185, ""Season""), ""TV Show"", ""Movie"")"),"Movie")</f>
        <v>Movie</v>
      </c>
    </row>
    <row r="2186">
      <c r="A2186" s="1" t="s">
        <v>12442</v>
      </c>
      <c r="B2186" s="1" t="s">
        <v>37</v>
      </c>
      <c r="C2186" s="1" t="s">
        <v>12443</v>
      </c>
      <c r="E2186" s="1" t="s">
        <v>12444</v>
      </c>
      <c r="F2186" s="1" t="s">
        <v>96</v>
      </c>
      <c r="G2186" s="1" t="s">
        <v>12445</v>
      </c>
      <c r="H2186" s="1">
        <v>2020.0</v>
      </c>
      <c r="I2186" s="1" t="s">
        <v>136</v>
      </c>
      <c r="J2186" s="1" t="s">
        <v>51</v>
      </c>
      <c r="K2186" s="1" t="s">
        <v>3274</v>
      </c>
      <c r="L2186" s="1" t="s">
        <v>12446</v>
      </c>
      <c r="M2186" s="2" t="s">
        <v>12</v>
      </c>
      <c r="N2186" s="4">
        <f t="shared" si="1"/>
        <v>44043</v>
      </c>
      <c r="O2186" s="5" t="str">
        <f>IFERROR(__xludf.DUMMYFUNCTION("IF(REGEXMATCH(TRIM(I2186), ""^\d+\s*min""), ""Unclassified"", IF(I2186 = """", ""NR"", I2186))"),"TV-PG")</f>
        <v>TV-PG</v>
      </c>
      <c r="R2186" s="5" t="str">
        <f t="shared" si="2"/>
        <v>Get Even</v>
      </c>
      <c r="S2186" s="5" t="str">
        <f>IFERROR(__xludf.DUMMYFUNCTION("""COMPUTED_VALUE"""),"Ek Main Aur Ekk Tu")</f>
        <v>Ek Main Aur Ekk Tu</v>
      </c>
      <c r="U2186" s="5" t="str">
        <f>IFERROR(__xludf.DUMMYFUNCTION("""COMPUTED_VALUE"""),"Terry Gilliam, Terry Jones")</f>
        <v>Terry Gilliam, Terry Jones</v>
      </c>
      <c r="V2186" s="5" t="s">
        <v>12447</v>
      </c>
      <c r="W2186" s="5" t="str">
        <f t="shared" si="3"/>
        <v>Karl Mueller</v>
      </c>
      <c r="X2186" s="5">
        <f t="shared" si="4"/>
        <v>1</v>
      </c>
      <c r="Y2186" s="5" t="str">
        <f>IFERROR(__xludf.DUMMYFUNCTION("REGEXEXTRACT(J2186, ""^\d+"")"),"1")</f>
        <v>1</v>
      </c>
      <c r="Z2186" s="5" t="str">
        <f>IFERROR(__xludf.DUMMYFUNCTION("REGEXEXTRACT(J2186, ""[A-Za-z ]+$"")")," Season")</f>
        <v> Season</v>
      </c>
      <c r="AA2186" s="5" t="str">
        <f>IFERROR(__xludf.DUMMYFUNCTION("IF(REGEXMATCH(Z2186, ""Season""), ""TV Show"", ""Movie"")"),"TV Show")</f>
        <v>TV Show</v>
      </c>
    </row>
    <row r="2187">
      <c r="A2187" s="1" t="s">
        <v>12448</v>
      </c>
      <c r="B2187" s="1" t="s">
        <v>27</v>
      </c>
      <c r="C2187" s="1" t="s">
        <v>12449</v>
      </c>
      <c r="D2187" s="1" t="s">
        <v>12450</v>
      </c>
      <c r="E2187" s="1" t="s">
        <v>12451</v>
      </c>
      <c r="F2187" s="1" t="s">
        <v>2492</v>
      </c>
      <c r="G2187" s="1" t="s">
        <v>12445</v>
      </c>
      <c r="H2187" s="1">
        <v>2020.0</v>
      </c>
      <c r="I2187" s="1" t="s">
        <v>206</v>
      </c>
      <c r="J2187" s="1" t="s">
        <v>490</v>
      </c>
      <c r="K2187" s="1" t="s">
        <v>137</v>
      </c>
      <c r="L2187" s="1" t="s">
        <v>12452</v>
      </c>
      <c r="M2187" s="2" t="s">
        <v>12</v>
      </c>
      <c r="N2187" s="4">
        <f t="shared" si="1"/>
        <v>44043</v>
      </c>
      <c r="O2187" s="5" t="str">
        <f>IFERROR(__xludf.DUMMYFUNCTION("IF(REGEXMATCH(TRIM(I2187), ""^\d+\s*min""), ""Unclassified"", IF(I2187 = """", ""NR"", I2187))"),"TV-Y")</f>
        <v>TV-Y</v>
      </c>
      <c r="R2187" s="5" t="str">
        <f t="shared" si="2"/>
        <v>Latte And The Magic Waterstone</v>
      </c>
      <c r="S2187" s="5" t="str">
        <f>IFERROR(__xludf.DUMMYFUNCTION("""COMPUTED_VALUE"""),"Ekşi Elmalar")</f>
        <v>Ekşi Elmalar</v>
      </c>
      <c r="U2187" s="5" t="str">
        <f>IFERROR(__xludf.DUMMYFUNCTION("""COMPUTED_VALUE"""),"Yanyong Kuruaungkoul")</f>
        <v>Yanyong Kuruaungkoul</v>
      </c>
      <c r="V2187" s="5" t="s">
        <v>4224</v>
      </c>
      <c r="W2187" s="5" t="str">
        <f t="shared" si="3"/>
        <v>Karthik Subbaraj</v>
      </c>
      <c r="X2187" s="5">
        <f t="shared" si="4"/>
        <v>3</v>
      </c>
      <c r="Y2187" s="5" t="str">
        <f>IFERROR(__xludf.DUMMYFUNCTION("REGEXEXTRACT(J2187, ""^\d+"")"),"83")</f>
        <v>83</v>
      </c>
      <c r="Z2187" s="5" t="str">
        <f>IFERROR(__xludf.DUMMYFUNCTION("REGEXEXTRACT(J2187, ""[A-Za-z ]+$"")")," min")</f>
        <v> min</v>
      </c>
      <c r="AA2187" s="5" t="str">
        <f>IFERROR(__xludf.DUMMYFUNCTION("IF(REGEXMATCH(Z2187, ""Season""), ""TV Show"", ""Movie"")"),"Movie")</f>
        <v>Movie</v>
      </c>
    </row>
    <row r="2188">
      <c r="A2188" s="1" t="s">
        <v>12453</v>
      </c>
      <c r="B2188" s="1" t="s">
        <v>27</v>
      </c>
      <c r="C2188" s="1" t="s">
        <v>12454</v>
      </c>
      <c r="D2188" s="1" t="s">
        <v>9377</v>
      </c>
      <c r="E2188" s="1" t="s">
        <v>12455</v>
      </c>
      <c r="F2188" s="1" t="s">
        <v>63</v>
      </c>
      <c r="G2188" s="1" t="s">
        <v>12445</v>
      </c>
      <c r="H2188" s="1">
        <v>2020.0</v>
      </c>
      <c r="I2188" s="1" t="s">
        <v>42</v>
      </c>
      <c r="J2188" s="1" t="s">
        <v>1407</v>
      </c>
      <c r="K2188" s="1" t="s">
        <v>298</v>
      </c>
      <c r="L2188" s="1" t="s">
        <v>12456</v>
      </c>
      <c r="M2188" s="2" t="s">
        <v>12</v>
      </c>
      <c r="N2188" s="4">
        <f t="shared" si="1"/>
        <v>44043</v>
      </c>
      <c r="O2188" s="5" t="str">
        <f>IFERROR(__xludf.DUMMYFUNCTION("IF(REGEXMATCH(TRIM(I2188), ""^\d+\s*min""), ""Unclassified"", IF(I2188 = """", ""NR"", I2188))"),"TV-MA")</f>
        <v>TV-MA</v>
      </c>
      <c r="R2188" s="5" t="str">
        <f t="shared" si="2"/>
        <v>Raat Akeli Hai</v>
      </c>
      <c r="S2188" s="5" t="str">
        <f>IFERROR(__xludf.DUMMYFUNCTION("""COMPUTED_VALUE"""),"El Barco")</f>
        <v>El Barco</v>
      </c>
      <c r="U2188" s="5" t="str">
        <f>IFERROR(__xludf.DUMMYFUNCTION("""COMPUTED_VALUE"""),"Lenin Bharathi")</f>
        <v>Lenin Bharathi</v>
      </c>
      <c r="V2188" s="5" t="s">
        <v>12457</v>
      </c>
      <c r="W2188" s="5" t="str">
        <f t="shared" si="3"/>
        <v>Karyn Kusama</v>
      </c>
      <c r="X2188" s="5">
        <f t="shared" si="4"/>
        <v>2</v>
      </c>
      <c r="Y2188" s="5" t="str">
        <f>IFERROR(__xludf.DUMMYFUNCTION("REGEXEXTRACT(J2188, ""^\d+"")"),"150")</f>
        <v>150</v>
      </c>
      <c r="Z2188" s="5" t="str">
        <f>IFERROR(__xludf.DUMMYFUNCTION("REGEXEXTRACT(J2188, ""[A-Za-z ]+$"")")," min")</f>
        <v> min</v>
      </c>
      <c r="AA2188" s="5" t="str">
        <f>IFERROR(__xludf.DUMMYFUNCTION("IF(REGEXMATCH(Z2188, ""Season""), ""TV Show"", ""Movie"")"),"Movie")</f>
        <v>Movie</v>
      </c>
    </row>
    <row r="2189">
      <c r="A2189" s="1" t="s">
        <v>12458</v>
      </c>
      <c r="B2189" s="1" t="s">
        <v>27</v>
      </c>
      <c r="C2189" s="1" t="s">
        <v>12459</v>
      </c>
      <c r="D2189" s="1" t="s">
        <v>12460</v>
      </c>
      <c r="E2189" s="1" t="s">
        <v>12461</v>
      </c>
      <c r="F2189" s="1" t="s">
        <v>40</v>
      </c>
      <c r="G2189" s="1" t="s">
        <v>12445</v>
      </c>
      <c r="H2189" s="1">
        <v>2020.0</v>
      </c>
      <c r="I2189" s="1" t="s">
        <v>42</v>
      </c>
      <c r="J2189" s="1" t="s">
        <v>912</v>
      </c>
      <c r="K2189" s="1" t="s">
        <v>215</v>
      </c>
      <c r="L2189" s="1" t="s">
        <v>12462</v>
      </c>
      <c r="M2189" s="2" t="s">
        <v>12</v>
      </c>
      <c r="N2189" s="4">
        <f t="shared" si="1"/>
        <v>44043</v>
      </c>
      <c r="O2189" s="5" t="str">
        <f>IFERROR(__xludf.DUMMYFUNCTION("IF(REGEXMATCH(TRIM(I2189), ""^\d+\s*min""), ""Unclassified"", IF(I2189 = """", ""NR"", I2189))"),"TV-MA")</f>
        <v>TV-MA</v>
      </c>
      <c r="R2189" s="5" t="str">
        <f t="shared" si="2"/>
        <v>Seriously Single</v>
      </c>
      <c r="S2189" s="5" t="str">
        <f>IFERROR(__xludf.DUMMYFUNCTION("""COMPUTED_VALUE"""),"El Camino Christmas")</f>
        <v>El Camino Christmas</v>
      </c>
      <c r="U2189" s="5" t="str">
        <f>IFERROR(__xludf.DUMMYFUNCTION("""COMPUTED_VALUE"""),"Kunihiko Yuyama")</f>
        <v>Kunihiko Yuyama</v>
      </c>
      <c r="V2189" s="5" t="s">
        <v>12463</v>
      </c>
      <c r="W2189" s="5" t="str">
        <f t="shared" si="3"/>
        <v>Kasia Uscinska</v>
      </c>
      <c r="X2189" s="5">
        <f t="shared" si="4"/>
        <v>2</v>
      </c>
      <c r="Y2189" s="5" t="str">
        <f>IFERROR(__xludf.DUMMYFUNCTION("REGEXEXTRACT(J2189, ""^\d+"")"),"108")</f>
        <v>108</v>
      </c>
      <c r="Z2189" s="5" t="str">
        <f>IFERROR(__xludf.DUMMYFUNCTION("REGEXEXTRACT(J2189, ""[A-Za-z ]+$"")")," min")</f>
        <v> min</v>
      </c>
      <c r="AA2189" s="5" t="str">
        <f>IFERROR(__xludf.DUMMYFUNCTION("IF(REGEXMATCH(Z2189, ""Season""), ""TV Show"", ""Movie"")"),"Movie")</f>
        <v>Movie</v>
      </c>
    </row>
    <row r="2190">
      <c r="A2190" s="1" t="s">
        <v>12464</v>
      </c>
      <c r="B2190" s="1" t="s">
        <v>27</v>
      </c>
      <c r="C2190" s="1" t="s">
        <v>12465</v>
      </c>
      <c r="D2190" s="1" t="s">
        <v>2507</v>
      </c>
      <c r="E2190" s="1" t="s">
        <v>12466</v>
      </c>
      <c r="F2190" s="1" t="s">
        <v>30</v>
      </c>
      <c r="G2190" s="1" t="s">
        <v>12445</v>
      </c>
      <c r="H2190" s="1">
        <v>2020.0</v>
      </c>
      <c r="I2190" s="1" t="s">
        <v>506</v>
      </c>
      <c r="J2190" s="1" t="s">
        <v>10890</v>
      </c>
      <c r="K2190" s="1" t="s">
        <v>80</v>
      </c>
      <c r="L2190" s="1" t="s">
        <v>12467</v>
      </c>
      <c r="M2190" s="2" t="s">
        <v>12</v>
      </c>
      <c r="N2190" s="4">
        <f t="shared" si="1"/>
        <v>44043</v>
      </c>
      <c r="O2190" s="5" t="str">
        <f>IFERROR(__xludf.DUMMYFUNCTION("IF(REGEXMATCH(TRIM(I2190), ""^\d+\s*min""), ""Unclassified"", IF(I2190 = """", ""NR"", I2190))"),"TV-G")</f>
        <v>TV-G</v>
      </c>
      <c r="R2190" s="5" t="str">
        <f t="shared" si="2"/>
        <v>Sugar High</v>
      </c>
      <c r="S2190" s="5" t="str">
        <f>IFERROR(__xludf.DUMMYFUNCTION("""COMPUTED_VALUE"""),"El Camino: A Breaking Bad Movie")</f>
        <v>El Camino: A Breaking Bad Movie</v>
      </c>
      <c r="U2190" s="5" t="str">
        <f>IFERROR(__xludf.DUMMYFUNCTION("""COMPUTED_VALUE"""),"Ranjit Jeyakodi")</f>
        <v>Ranjit Jeyakodi</v>
      </c>
      <c r="V2190" s="5" t="s">
        <v>12468</v>
      </c>
      <c r="W2190" s="5" t="str">
        <f t="shared" si="3"/>
        <v>Kaspar Astrup Schröder</v>
      </c>
      <c r="X2190" s="5">
        <f t="shared" si="4"/>
        <v>1</v>
      </c>
      <c r="Y2190" s="5" t="str">
        <f>IFERROR(__xludf.DUMMYFUNCTION("REGEXEXTRACT(J2190, ""^\d+"")"),"44")</f>
        <v>44</v>
      </c>
      <c r="Z2190" s="5" t="str">
        <f>IFERROR(__xludf.DUMMYFUNCTION("REGEXEXTRACT(J2190, ""[A-Za-z ]+$"")")," min")</f>
        <v> min</v>
      </c>
      <c r="AA2190" s="5" t="str">
        <f>IFERROR(__xludf.DUMMYFUNCTION("IF(REGEXMATCH(Z2190, ""Season""), ""TV Show"", ""Movie"")"),"Movie")</f>
        <v>Movie</v>
      </c>
    </row>
    <row r="2191">
      <c r="A2191" s="1" t="s">
        <v>12469</v>
      </c>
      <c r="B2191" s="1" t="s">
        <v>37</v>
      </c>
      <c r="C2191" s="1" t="s">
        <v>12470</v>
      </c>
      <c r="E2191" s="1" t="s">
        <v>12471</v>
      </c>
      <c r="F2191" s="1" t="s">
        <v>30</v>
      </c>
      <c r="G2191" s="1" t="s">
        <v>12445</v>
      </c>
      <c r="H2191" s="1">
        <v>2020.0</v>
      </c>
      <c r="I2191" s="1" t="s">
        <v>136</v>
      </c>
      <c r="J2191" s="1" t="s">
        <v>276</v>
      </c>
      <c r="K2191" s="1" t="s">
        <v>440</v>
      </c>
      <c r="L2191" s="1" t="s">
        <v>12472</v>
      </c>
      <c r="M2191" s="2" t="s">
        <v>12</v>
      </c>
      <c r="N2191" s="4">
        <f t="shared" si="1"/>
        <v>44043</v>
      </c>
      <c r="O2191" s="5" t="str">
        <f>IFERROR(__xludf.DUMMYFUNCTION("IF(REGEXMATCH(TRIM(I2191), ""^\d+\s*min""), ""Unclassified"", IF(I2191 = """", ""NR"", I2191))"),"TV-PG")</f>
        <v>TV-PG</v>
      </c>
      <c r="R2191" s="5" t="str">
        <f t="shared" si="2"/>
        <v>Sugar Rush</v>
      </c>
      <c r="S2191" s="5" t="str">
        <f>IFERROR(__xludf.DUMMYFUNCTION("""COMPUTED_VALUE"""),"El Cartel")</f>
        <v>El Cartel</v>
      </c>
      <c r="U2191" s="5" t="str">
        <f>IFERROR(__xludf.DUMMYFUNCTION("""COMPUTED_VALUE"""),"Ram")</f>
        <v>Ram</v>
      </c>
      <c r="V2191" s="5" t="s">
        <v>12473</v>
      </c>
      <c r="W2191" s="5" t="str">
        <f t="shared" si="3"/>
        <v>Kasper Barfoed</v>
      </c>
      <c r="X2191" s="5">
        <f t="shared" si="4"/>
        <v>1</v>
      </c>
      <c r="Y2191" s="5" t="str">
        <f>IFERROR(__xludf.DUMMYFUNCTION("REGEXEXTRACT(J2191, ""^\d+"")"),"3")</f>
        <v>3</v>
      </c>
      <c r="Z2191" s="5" t="str">
        <f>IFERROR(__xludf.DUMMYFUNCTION("REGEXEXTRACT(J2191, ""[A-Za-z ]+$"")")," Seasons")</f>
        <v> Seasons</v>
      </c>
      <c r="AA2191" s="5" t="str">
        <f>IFERROR(__xludf.DUMMYFUNCTION("IF(REGEXMATCH(Z2191, ""Season""), ""TV Show"", ""Movie"")"),"TV Show")</f>
        <v>TV Show</v>
      </c>
    </row>
    <row r="2192">
      <c r="A2192" s="1" t="s">
        <v>12474</v>
      </c>
      <c r="B2192" s="1" t="s">
        <v>37</v>
      </c>
      <c r="C2192" s="1" t="s">
        <v>12475</v>
      </c>
      <c r="F2192" s="1" t="s">
        <v>897</v>
      </c>
      <c r="G2192" s="1" t="s">
        <v>12445</v>
      </c>
      <c r="H2192" s="1">
        <v>2020.0</v>
      </c>
      <c r="I2192" s="1" t="s">
        <v>97</v>
      </c>
      <c r="J2192" s="1" t="s">
        <v>43</v>
      </c>
      <c r="K2192" s="1" t="s">
        <v>12476</v>
      </c>
      <c r="L2192" s="1" t="s">
        <v>12477</v>
      </c>
      <c r="M2192" s="2" t="s">
        <v>12</v>
      </c>
      <c r="N2192" s="4">
        <f t="shared" si="1"/>
        <v>44043</v>
      </c>
      <c r="O2192" s="5" t="str">
        <f>IFERROR(__xludf.DUMMYFUNCTION("IF(REGEXMATCH(TRIM(I2192), ""^\d+\s*min""), ""Unclassified"", IF(I2192 = """", ""NR"", I2192))"),"TV-14")</f>
        <v>TV-14</v>
      </c>
      <c r="R2192" s="5" t="str">
        <f t="shared" si="2"/>
        <v>The Umbrella Academy</v>
      </c>
      <c r="S2192" s="5" t="str">
        <f>IFERROR(__xludf.DUMMYFUNCTION("""COMPUTED_VALUE"""),"El Cartel 2")</f>
        <v>El Cartel 2</v>
      </c>
      <c r="U2192" s="5" t="str">
        <f>IFERROR(__xludf.DUMMYFUNCTION("""COMPUTED_VALUE"""),"John Fortenberry")</f>
        <v>John Fortenberry</v>
      </c>
      <c r="V2192" s="5" t="s">
        <v>12478</v>
      </c>
      <c r="W2192" s="5" t="str">
        <f t="shared" si="3"/>
        <v>Kasper Collin</v>
      </c>
      <c r="X2192" s="5">
        <f t="shared" si="4"/>
        <v>1</v>
      </c>
      <c r="Y2192" s="5" t="str">
        <f>IFERROR(__xludf.DUMMYFUNCTION("REGEXEXTRACT(J2192, ""^\d+"")"),"2")</f>
        <v>2</v>
      </c>
      <c r="Z2192" s="5" t="str">
        <f>IFERROR(__xludf.DUMMYFUNCTION("REGEXEXTRACT(J2192, ""[A-Za-z ]+$"")")," Seasons")</f>
        <v> Seasons</v>
      </c>
      <c r="AA2192" s="5" t="str">
        <f>IFERROR(__xludf.DUMMYFUNCTION("IF(REGEXMATCH(Z2192, ""Season""), ""TV Show"", ""Movie"")"),"TV Show")</f>
        <v>TV Show</v>
      </c>
    </row>
    <row r="2193">
      <c r="A2193" s="1" t="s">
        <v>12479</v>
      </c>
      <c r="B2193" s="1" t="s">
        <v>27</v>
      </c>
      <c r="C2193" s="1" t="s">
        <v>12480</v>
      </c>
      <c r="D2193" s="1" t="s">
        <v>1498</v>
      </c>
      <c r="E2193" s="1" t="s">
        <v>12481</v>
      </c>
      <c r="F2193" s="1" t="s">
        <v>12482</v>
      </c>
      <c r="G2193" s="1" t="s">
        <v>12483</v>
      </c>
      <c r="H2193" s="1">
        <v>2017.0</v>
      </c>
      <c r="I2193" s="1" t="s">
        <v>42</v>
      </c>
      <c r="J2193" s="1" t="s">
        <v>447</v>
      </c>
      <c r="K2193" s="1" t="s">
        <v>128</v>
      </c>
      <c r="L2193" s="1" t="s">
        <v>12484</v>
      </c>
      <c r="M2193" s="2" t="s">
        <v>12</v>
      </c>
      <c r="N2193" s="4">
        <f t="shared" si="1"/>
        <v>44042</v>
      </c>
      <c r="O2193" s="5" t="str">
        <f>IFERROR(__xludf.DUMMYFUNCTION("IF(REGEXMATCH(TRIM(I2193), ""^\d+\s*min""), ""Unclassified"", IF(I2193 = """", ""NR"", I2193))"),"TV-MA")</f>
        <v>TV-MA</v>
      </c>
      <c r="R2193" s="5" t="str">
        <f t="shared" si="2"/>
        <v>Retablo</v>
      </c>
      <c r="S2193" s="5" t="str">
        <f>IFERROR(__xludf.DUMMYFUNCTION("""COMPUTED_VALUE"""),"El Chapo")</f>
        <v>El Chapo</v>
      </c>
      <c r="U2193" s="5" t="str">
        <f>IFERROR(__xludf.DUMMYFUNCTION("""COMPUTED_VALUE"""),"Chris Bould")</f>
        <v>Chris Bould</v>
      </c>
      <c r="V2193" s="5" t="s">
        <v>12485</v>
      </c>
      <c r="W2193" s="5" t="str">
        <f t="shared" si="3"/>
        <v>Kasra Farahani</v>
      </c>
      <c r="X2193" s="5">
        <f t="shared" si="4"/>
        <v>1</v>
      </c>
      <c r="Y2193" s="5" t="str">
        <f>IFERROR(__xludf.DUMMYFUNCTION("REGEXEXTRACT(J2193, ""^\d+"")"),"102")</f>
        <v>102</v>
      </c>
      <c r="Z2193" s="5" t="str">
        <f>IFERROR(__xludf.DUMMYFUNCTION("REGEXEXTRACT(J2193, ""[A-Za-z ]+$"")")," min")</f>
        <v> min</v>
      </c>
      <c r="AA2193" s="5" t="str">
        <f>IFERROR(__xludf.DUMMYFUNCTION("IF(REGEXMATCH(Z2193, ""Season""), ""TV Show"", ""Movie"")"),"Movie")</f>
        <v>Movie</v>
      </c>
    </row>
    <row r="2194">
      <c r="A2194" s="1" t="s">
        <v>12486</v>
      </c>
      <c r="B2194" s="1" t="s">
        <v>37</v>
      </c>
      <c r="C2194" s="1" t="s">
        <v>12487</v>
      </c>
      <c r="E2194" s="1" t="s">
        <v>12488</v>
      </c>
      <c r="F2194" s="1" t="s">
        <v>30</v>
      </c>
      <c r="G2194" s="1" t="s">
        <v>12483</v>
      </c>
      <c r="H2194" s="1">
        <v>2020.0</v>
      </c>
      <c r="I2194" s="1" t="s">
        <v>289</v>
      </c>
      <c r="J2194" s="1" t="s">
        <v>51</v>
      </c>
      <c r="K2194" s="1" t="s">
        <v>2439</v>
      </c>
      <c r="L2194" s="1" t="s">
        <v>12489</v>
      </c>
      <c r="M2194" s="2" t="s">
        <v>12</v>
      </c>
      <c r="N2194" s="4">
        <f t="shared" si="1"/>
        <v>44042</v>
      </c>
      <c r="O2194" s="5" t="str">
        <f>IFERROR(__xludf.DUMMYFUNCTION("IF(REGEXMATCH(TRIM(I2194), ""^\d+\s*min""), ""Unclassified"", IF(I2194 = """", ""NR"", I2194))"),"TV-Y7")</f>
        <v>TV-Y7</v>
      </c>
      <c r="R2194" s="5" t="str">
        <f t="shared" si="2"/>
        <v>Transformers: War For Cybertron Trilogy</v>
      </c>
      <c r="S2194" s="5" t="str">
        <f>IFERROR(__xludf.DUMMYFUNCTION("""COMPUTED_VALUE"""),"El Chavo")</f>
        <v>El Chavo</v>
      </c>
      <c r="U2194" s="5" t="str">
        <f>IFERROR(__xludf.DUMMYFUNCTION("""COMPUTED_VALUE"""),"Kevin Booth, David Johndrow")</f>
        <v>Kevin Booth, David Johndrow</v>
      </c>
      <c r="V2194" s="5" t="s">
        <v>12490</v>
      </c>
      <c r="W2194" s="5" t="str">
        <f t="shared" si="3"/>
        <v>Katarina Launing</v>
      </c>
      <c r="X2194" s="5">
        <f t="shared" si="4"/>
        <v>1</v>
      </c>
      <c r="Y2194" s="5" t="str">
        <f>IFERROR(__xludf.DUMMYFUNCTION("REGEXEXTRACT(J2194, ""^\d+"")"),"1")</f>
        <v>1</v>
      </c>
      <c r="Z2194" s="5" t="str">
        <f>IFERROR(__xludf.DUMMYFUNCTION("REGEXEXTRACT(J2194, ""[A-Za-z ]+$"")")," Season")</f>
        <v> Season</v>
      </c>
      <c r="AA2194" s="5" t="str">
        <f>IFERROR(__xludf.DUMMYFUNCTION("IF(REGEXMATCH(Z2194, ""Season""), ""TV Show"", ""Movie"")"),"TV Show")</f>
        <v>TV Show</v>
      </c>
    </row>
    <row r="2195">
      <c r="A2195" s="1" t="s">
        <v>12491</v>
      </c>
      <c r="B2195" s="1" t="s">
        <v>27</v>
      </c>
      <c r="C2195" s="1" t="s">
        <v>12492</v>
      </c>
      <c r="D2195" s="1" t="s">
        <v>12493</v>
      </c>
      <c r="E2195" s="1" t="s">
        <v>12494</v>
      </c>
      <c r="F2195" s="1" t="s">
        <v>63</v>
      </c>
      <c r="G2195" s="1" t="s">
        <v>12483</v>
      </c>
      <c r="H2195" s="1">
        <v>2020.0</v>
      </c>
      <c r="I2195" s="1" t="s">
        <v>42</v>
      </c>
      <c r="J2195" s="1" t="s">
        <v>4242</v>
      </c>
      <c r="K2195" s="1" t="s">
        <v>836</v>
      </c>
      <c r="L2195" s="1" t="s">
        <v>12495</v>
      </c>
      <c r="M2195" s="2" t="s">
        <v>12</v>
      </c>
      <c r="N2195" s="4">
        <f t="shared" si="1"/>
        <v>44042</v>
      </c>
      <c r="O2195" s="5" t="str">
        <f>IFERROR(__xludf.DUMMYFUNCTION("IF(REGEXMATCH(TRIM(I2195), ""^\d+\s*min""), ""Unclassified"", IF(I2195 = """", ""NR"", I2195))"),"TV-MA")</f>
        <v>TV-MA</v>
      </c>
      <c r="R2195" s="5" t="str">
        <f t="shared" si="2"/>
        <v>Uma Maheswara Ugra Roopasya</v>
      </c>
      <c r="S2195" s="5" t="str">
        <f>IFERROR(__xludf.DUMMYFUNCTION("""COMPUTED_VALUE"""),"El Che")</f>
        <v>El Che</v>
      </c>
      <c r="U2195" s="5" t="str">
        <f>IFERROR(__xludf.DUMMYFUNCTION("""COMPUTED_VALUE"""),"Paul M. Green")</f>
        <v>Paul M. Green</v>
      </c>
      <c r="V2195" s="5" t="s">
        <v>12496</v>
      </c>
      <c r="W2195" s="5" t="str">
        <f t="shared" si="3"/>
        <v>Kate Horne</v>
      </c>
      <c r="X2195" s="5">
        <f t="shared" si="4"/>
        <v>1</v>
      </c>
      <c r="Y2195" s="5" t="str">
        <f>IFERROR(__xludf.DUMMYFUNCTION("REGEXEXTRACT(J2195, ""^\d+"")"),"137")</f>
        <v>137</v>
      </c>
      <c r="Z2195" s="5" t="str">
        <f>IFERROR(__xludf.DUMMYFUNCTION("REGEXEXTRACT(J2195, ""[A-Za-z ]+$"")")," min")</f>
        <v> min</v>
      </c>
      <c r="AA2195" s="5" t="str">
        <f>IFERROR(__xludf.DUMMYFUNCTION("IF(REGEXMATCH(Z2195, ""Season""), ""TV Show"", ""Movie"")"),"Movie")</f>
        <v>Movie</v>
      </c>
    </row>
    <row r="2196">
      <c r="A2196" s="1" t="s">
        <v>12497</v>
      </c>
      <c r="B2196" s="1" t="s">
        <v>37</v>
      </c>
      <c r="C2196" s="1" t="s">
        <v>12498</v>
      </c>
      <c r="D2196" s="1" t="s">
        <v>12499</v>
      </c>
      <c r="E2196" s="1" t="s">
        <v>12500</v>
      </c>
      <c r="G2196" s="1" t="s">
        <v>12483</v>
      </c>
      <c r="H2196" s="1">
        <v>2020.0</v>
      </c>
      <c r="I2196" s="1" t="s">
        <v>42</v>
      </c>
      <c r="J2196" s="1" t="s">
        <v>51</v>
      </c>
      <c r="K2196" s="1" t="s">
        <v>64</v>
      </c>
      <c r="L2196" s="1" t="s">
        <v>12501</v>
      </c>
      <c r="M2196" s="2" t="s">
        <v>12</v>
      </c>
      <c r="N2196" s="4">
        <f t="shared" si="1"/>
        <v>44042</v>
      </c>
      <c r="O2196" s="5" t="str">
        <f>IFERROR(__xludf.DUMMYFUNCTION("IF(REGEXMATCH(TRIM(I2196), ""^\d+\s*min""), ""Unclassified"", IF(I2196 = """", ""NR"", I2196))"),"TV-MA")</f>
        <v>TV-MA</v>
      </c>
      <c r="R2196" s="5" t="str">
        <f t="shared" si="2"/>
        <v>Unlucky Ploy</v>
      </c>
      <c r="S2196" s="5" t="str">
        <f>IFERROR(__xludf.DUMMYFUNCTION("""COMPUTED_VALUE"""),"El Chema")</f>
        <v>El Chema</v>
      </c>
      <c r="U2196" s="5" t="str">
        <f>IFERROR(__xludf.DUMMYFUNCTION("""COMPUTED_VALUE"""),"Julio Fernández Talamantes")</f>
        <v>Julio Fernández Talamantes</v>
      </c>
      <c r="V2196" s="5" t="s">
        <v>12502</v>
      </c>
      <c r="W2196" s="5" t="str">
        <f t="shared" si="3"/>
        <v>Kate Melville</v>
      </c>
      <c r="X2196" s="5">
        <f t="shared" si="4"/>
        <v>1</v>
      </c>
      <c r="Y2196" s="5" t="str">
        <f>IFERROR(__xludf.DUMMYFUNCTION("REGEXEXTRACT(J2196, ""^\d+"")"),"1")</f>
        <v>1</v>
      </c>
      <c r="Z2196" s="5" t="str">
        <f>IFERROR(__xludf.DUMMYFUNCTION("REGEXEXTRACT(J2196, ""[A-Za-z ]+$"")")," Season")</f>
        <v> Season</v>
      </c>
      <c r="AA2196" s="5" t="str">
        <f>IFERROR(__xludf.DUMMYFUNCTION("IF(REGEXMATCH(Z2196, ""Season""), ""TV Show"", ""Movie"")"),"TV Show")</f>
        <v>TV Show</v>
      </c>
    </row>
    <row r="2197">
      <c r="A2197" s="1" t="s">
        <v>12503</v>
      </c>
      <c r="B2197" s="1" t="s">
        <v>27</v>
      </c>
      <c r="C2197" s="1" t="s">
        <v>12504</v>
      </c>
      <c r="D2197" s="1" t="s">
        <v>2096</v>
      </c>
      <c r="E2197" s="1" t="s">
        <v>12505</v>
      </c>
      <c r="F2197" s="1" t="s">
        <v>400</v>
      </c>
      <c r="G2197" s="1" t="s">
        <v>12506</v>
      </c>
      <c r="H2197" s="1">
        <v>2016.0</v>
      </c>
      <c r="I2197" s="1" t="s">
        <v>42</v>
      </c>
      <c r="J2197" s="1" t="s">
        <v>1243</v>
      </c>
      <c r="K2197" s="1" t="s">
        <v>215</v>
      </c>
      <c r="L2197" s="1" t="s">
        <v>12507</v>
      </c>
      <c r="M2197" s="2" t="s">
        <v>12</v>
      </c>
      <c r="N2197" s="4">
        <f t="shared" si="1"/>
        <v>44041</v>
      </c>
      <c r="O2197" s="5" t="str">
        <f>IFERROR(__xludf.DUMMYFUNCTION("IF(REGEXMATCH(TRIM(I2197), ""^\d+\s*min""), ""Unclassified"", IF(I2197 = """", ""NR"", I2197))"),"TV-MA")</f>
        <v>TV-MA</v>
      </c>
      <c r="R2197" s="5" t="str">
        <f t="shared" si="2"/>
        <v>It'S Her Day</v>
      </c>
      <c r="S2197" s="5" t="str">
        <f>IFERROR(__xludf.DUMMYFUNCTION("""COMPUTED_VALUE"""),"El Clon")</f>
        <v>El Clon</v>
      </c>
      <c r="U2197" s="5" t="str">
        <f>IFERROR(__xludf.DUMMYFUNCTION("""COMPUTED_VALUE"""),"Walter C. Miller")</f>
        <v>Walter C. Miller</v>
      </c>
      <c r="V2197" s="5" t="s">
        <v>12508</v>
      </c>
      <c r="W2197" s="5" t="str">
        <f t="shared" si="3"/>
        <v>Kate Mulleavy, Laura Mulleavy</v>
      </c>
      <c r="X2197" s="5">
        <f t="shared" si="4"/>
        <v>1</v>
      </c>
      <c r="Y2197" s="5" t="str">
        <f>IFERROR(__xludf.DUMMYFUNCTION("REGEXEXTRACT(J2197, ""^\d+"")"),"112")</f>
        <v>112</v>
      </c>
      <c r="Z2197" s="5" t="str">
        <f>IFERROR(__xludf.DUMMYFUNCTION("REGEXEXTRACT(J2197, ""[A-Za-z ]+$"")")," min")</f>
        <v> min</v>
      </c>
      <c r="AA2197" s="5" t="str">
        <f>IFERROR(__xludf.DUMMYFUNCTION("IF(REGEXMATCH(Z2197, ""Season""), ""TV Show"", ""Movie"")"),"Movie")</f>
        <v>Movie</v>
      </c>
    </row>
    <row r="2198">
      <c r="A2198" s="1" t="s">
        <v>12509</v>
      </c>
      <c r="B2198" s="1" t="s">
        <v>27</v>
      </c>
      <c r="C2198" s="1" t="s">
        <v>12510</v>
      </c>
      <c r="D2198" s="1" t="s">
        <v>12511</v>
      </c>
      <c r="E2198" s="1" t="s">
        <v>12512</v>
      </c>
      <c r="F2198" s="1" t="s">
        <v>12513</v>
      </c>
      <c r="G2198" s="1" t="s">
        <v>12506</v>
      </c>
      <c r="H2198" s="1">
        <v>2019.0</v>
      </c>
      <c r="I2198" s="1" t="s">
        <v>42</v>
      </c>
      <c r="J2198" s="1" t="s">
        <v>447</v>
      </c>
      <c r="K2198" s="1" t="s">
        <v>298</v>
      </c>
      <c r="L2198" s="1" t="s">
        <v>12514</v>
      </c>
      <c r="M2198" s="2" t="s">
        <v>12</v>
      </c>
      <c r="N2198" s="4">
        <f t="shared" si="1"/>
        <v>44041</v>
      </c>
      <c r="O2198" s="5" t="str">
        <f>IFERROR(__xludf.DUMMYFUNCTION("IF(REGEXMATCH(TRIM(I2198), ""^\d+\s*min""), ""Unclassified"", IF(I2198 = """", ""NR"", I2198))"),"TV-MA")</f>
        <v>TV-MA</v>
      </c>
      <c r="R2198" s="5" t="str">
        <f t="shared" si="2"/>
        <v>Redemption</v>
      </c>
      <c r="S2198" s="5" t="str">
        <f>IFERROR(__xludf.DUMMYFUNCTION("""COMPUTED_VALUE"""),"El Club De Los Buenos Infieles")</f>
        <v>El Club De Los Buenos Infieles</v>
      </c>
      <c r="U2198" s="5" t="str">
        <f>IFERROR(__xludf.DUMMYFUNCTION("""COMPUTED_VALUE"""),"Noriyuki Abe")</f>
        <v>Noriyuki Abe</v>
      </c>
      <c r="V2198" s="5" t="s">
        <v>12515</v>
      </c>
      <c r="W2198" s="5" t="str">
        <f t="shared" si="3"/>
        <v>Katherine Brooks</v>
      </c>
      <c r="X2198" s="5">
        <f t="shared" si="4"/>
        <v>1</v>
      </c>
      <c r="Y2198" s="5" t="str">
        <f>IFERROR(__xludf.DUMMYFUNCTION("REGEXEXTRACT(J2198, ""^\d+"")"),"102")</f>
        <v>102</v>
      </c>
      <c r="Z2198" s="5" t="str">
        <f>IFERROR(__xludf.DUMMYFUNCTION("REGEXEXTRACT(J2198, ""[A-Za-z ]+$"")")," min")</f>
        <v> min</v>
      </c>
      <c r="AA2198" s="5" t="str">
        <f>IFERROR(__xludf.DUMMYFUNCTION("IF(REGEXMATCH(Z2198, ""Season""), ""TV Show"", ""Movie"")"),"Movie")</f>
        <v>Movie</v>
      </c>
    </row>
    <row r="2199">
      <c r="A2199" s="1" t="s">
        <v>12516</v>
      </c>
      <c r="B2199" s="1" t="s">
        <v>27</v>
      </c>
      <c r="C2199" s="1" t="s">
        <v>12517</v>
      </c>
      <c r="D2199" s="1" t="s">
        <v>12518</v>
      </c>
      <c r="E2199" s="1" t="s">
        <v>12519</v>
      </c>
      <c r="F2199" s="1" t="s">
        <v>12520</v>
      </c>
      <c r="G2199" s="1" t="s">
        <v>12506</v>
      </c>
      <c r="H2199" s="1">
        <v>2020.0</v>
      </c>
      <c r="I2199" s="1" t="s">
        <v>42</v>
      </c>
      <c r="J2199" s="1" t="s">
        <v>238</v>
      </c>
      <c r="K2199" s="1" t="s">
        <v>89</v>
      </c>
      <c r="L2199" s="1" t="s">
        <v>12521</v>
      </c>
      <c r="M2199" s="2" t="s">
        <v>12</v>
      </c>
      <c r="N2199" s="4">
        <f t="shared" si="1"/>
        <v>44041</v>
      </c>
      <c r="O2199" s="5" t="str">
        <f>IFERROR(__xludf.DUMMYFUNCTION("IF(REGEXMATCH(TRIM(I2199), ""^\d+\s*min""), ""Unclassified"", IF(I2199 = """", ""NR"", I2199))"),"TV-MA")</f>
        <v>TV-MA</v>
      </c>
      <c r="R2199" s="5" t="str">
        <f t="shared" si="2"/>
        <v>Shine Your Eyes</v>
      </c>
      <c r="S2199" s="5" t="str">
        <f>IFERROR(__xludf.DUMMYFUNCTION("""COMPUTED_VALUE"""),"El Club De Los Insomnes")</f>
        <v>El Club De Los Insomnes</v>
      </c>
      <c r="U2199" s="5" t="str">
        <f>IFERROR(__xludf.DUMMYFUNCTION("""COMPUTED_VALUE"""),"Ellen Brown")</f>
        <v>Ellen Brown</v>
      </c>
      <c r="V2199" s="5" t="s">
        <v>12522</v>
      </c>
      <c r="W2199" s="5" t="str">
        <f t="shared" si="3"/>
        <v>Katherine Dieckmann</v>
      </c>
      <c r="X2199" s="5">
        <f t="shared" si="4"/>
        <v>1</v>
      </c>
      <c r="Y2199" s="5" t="str">
        <f>IFERROR(__xludf.DUMMYFUNCTION("REGEXEXTRACT(J2199, ""^\d+"")"),"103")</f>
        <v>103</v>
      </c>
      <c r="Z2199" s="5" t="str">
        <f>IFERROR(__xludf.DUMMYFUNCTION("REGEXEXTRACT(J2199, ""[A-Za-z ]+$"")")," min")</f>
        <v> min</v>
      </c>
      <c r="AA2199" s="5" t="str">
        <f>IFERROR(__xludf.DUMMYFUNCTION("IF(REGEXMATCH(Z2199, ""Season""), ""TV Show"", ""Movie"")"),"Movie")</f>
        <v>Movie</v>
      </c>
    </row>
    <row r="2200">
      <c r="A2200" s="1" t="s">
        <v>12523</v>
      </c>
      <c r="B2200" s="1" t="s">
        <v>27</v>
      </c>
      <c r="C2200" s="1" t="s">
        <v>12524</v>
      </c>
      <c r="D2200" s="1" t="s">
        <v>10143</v>
      </c>
      <c r="E2200" s="1" t="s">
        <v>12525</v>
      </c>
      <c r="F2200" s="1" t="s">
        <v>2446</v>
      </c>
      <c r="G2200" s="1" t="s">
        <v>12506</v>
      </c>
      <c r="H2200" s="1">
        <v>2020.0</v>
      </c>
      <c r="I2200" s="1" t="s">
        <v>42</v>
      </c>
      <c r="J2200" s="1" t="s">
        <v>1383</v>
      </c>
      <c r="K2200" s="1" t="s">
        <v>298</v>
      </c>
      <c r="L2200" s="1" t="s">
        <v>12526</v>
      </c>
      <c r="M2200" s="2" t="s">
        <v>12</v>
      </c>
      <c r="N2200" s="4">
        <f t="shared" si="1"/>
        <v>44041</v>
      </c>
      <c r="O2200" s="5" t="str">
        <f>IFERROR(__xludf.DUMMYFUNCTION("IF(REGEXMATCH(TRIM(I2200), ""^\d+\s*min""), ""Unclassified"", IF(I2200 = """", ""NR"", I2200))"),"TV-MA")</f>
        <v>TV-MA</v>
      </c>
      <c r="R2200" s="5" t="str">
        <f t="shared" si="2"/>
        <v>The Hater</v>
      </c>
      <c r="S2200" s="5" t="str">
        <f>IFERROR(__xludf.DUMMYFUNCTION("""COMPUTED_VALUE"""),"El Desconocido")</f>
        <v>El Desconocido</v>
      </c>
      <c r="U2200" s="5" t="str">
        <f>IFERROR(__xludf.DUMMYFUNCTION("""COMPUTED_VALUE"""),"Matt Askem")</f>
        <v>Matt Askem</v>
      </c>
      <c r="V2200" s="5" t="s">
        <v>12527</v>
      </c>
      <c r="W2200" s="5" t="str">
        <f t="shared" si="3"/>
        <v>Katherine Fairfax Wright</v>
      </c>
      <c r="X2200" s="5">
        <f t="shared" si="4"/>
        <v>1</v>
      </c>
      <c r="Y2200" s="5" t="str">
        <f>IFERROR(__xludf.DUMMYFUNCTION("REGEXEXTRACT(J2200, ""^\d+"")"),"136")</f>
        <v>136</v>
      </c>
      <c r="Z2200" s="5" t="str">
        <f>IFERROR(__xludf.DUMMYFUNCTION("REGEXEXTRACT(J2200, ""[A-Za-z ]+$"")")," min")</f>
        <v> min</v>
      </c>
      <c r="AA2200" s="5" t="str">
        <f>IFERROR(__xludf.DUMMYFUNCTION("IF(REGEXMATCH(Z2200, ""Season""), ""TV Show"", ""Movie"")"),"Movie")</f>
        <v>Movie</v>
      </c>
    </row>
    <row r="2201">
      <c r="A2201" s="1" t="s">
        <v>12528</v>
      </c>
      <c r="B2201" s="1" t="s">
        <v>27</v>
      </c>
      <c r="C2201" s="1" t="s">
        <v>12529</v>
      </c>
      <c r="D2201" s="1" t="s">
        <v>12530</v>
      </c>
      <c r="F2201" s="1" t="s">
        <v>30</v>
      </c>
      <c r="G2201" s="1" t="s">
        <v>12506</v>
      </c>
      <c r="H2201" s="1">
        <v>2020.0</v>
      </c>
      <c r="I2201" s="1" t="s">
        <v>136</v>
      </c>
      <c r="J2201" s="1" t="s">
        <v>12531</v>
      </c>
      <c r="K2201" s="1" t="s">
        <v>34</v>
      </c>
      <c r="L2201" s="1" t="s">
        <v>12532</v>
      </c>
      <c r="M2201" s="2" t="s">
        <v>12</v>
      </c>
      <c r="N2201" s="4">
        <f t="shared" si="1"/>
        <v>44041</v>
      </c>
      <c r="O2201" s="5" t="str">
        <f>IFERROR(__xludf.DUMMYFUNCTION("IF(REGEXMATCH(TRIM(I2201), ""^\d+\s*min""), ""Unclassified"", IF(I2201 = """", ""NR"", I2201))"),"TV-PG")</f>
        <v>TV-PG</v>
      </c>
      <c r="R2201" s="5" t="str">
        <f t="shared" si="2"/>
        <v>The Speed Cubers</v>
      </c>
      <c r="S2201" s="5" t="str">
        <f>IFERROR(__xludf.DUMMYFUNCTION("""COMPUTED_VALUE"""),"El Dragón: Return Of A Warrior")</f>
        <v>El Dragón: Return Of A Warrior</v>
      </c>
      <c r="U2201" s="5" t="str">
        <f>IFERROR(__xludf.DUMMYFUNCTION("""COMPUTED_VALUE"""),"Rob Zombie")</f>
        <v>Rob Zombie</v>
      </c>
      <c r="V2201" s="5" t="s">
        <v>12533</v>
      </c>
      <c r="W2201" s="5" t="str">
        <f t="shared" si="3"/>
        <v>Kathryn Bigelow</v>
      </c>
      <c r="X2201" s="5">
        <f t="shared" si="4"/>
        <v>1</v>
      </c>
      <c r="Y2201" s="5" t="str">
        <f>IFERROR(__xludf.DUMMYFUNCTION("REGEXEXTRACT(J2201, ""^\d+"")"),"41")</f>
        <v>41</v>
      </c>
      <c r="Z2201" s="5" t="str">
        <f>IFERROR(__xludf.DUMMYFUNCTION("REGEXEXTRACT(J2201, ""[A-Za-z ]+$"")")," min")</f>
        <v> min</v>
      </c>
      <c r="AA2201" s="5" t="str">
        <f>IFERROR(__xludf.DUMMYFUNCTION("IF(REGEXMATCH(Z2201, ""Season""), ""TV Show"", ""Movie"")"),"Movie")</f>
        <v>Movie</v>
      </c>
    </row>
    <row r="2202">
      <c r="A2202" s="1" t="s">
        <v>12534</v>
      </c>
      <c r="B2202" s="1" t="s">
        <v>27</v>
      </c>
      <c r="C2202" s="1" t="s">
        <v>12535</v>
      </c>
      <c r="D2202" s="1" t="s">
        <v>12536</v>
      </c>
      <c r="F2202" s="1" t="s">
        <v>30</v>
      </c>
      <c r="G2202" s="1" t="s">
        <v>12506</v>
      </c>
      <c r="H2202" s="1">
        <v>2019.0</v>
      </c>
      <c r="I2202" s="1" t="s">
        <v>42</v>
      </c>
      <c r="J2202" s="1" t="s">
        <v>428</v>
      </c>
      <c r="K2202" s="1" t="s">
        <v>34</v>
      </c>
      <c r="L2202" s="1" t="s">
        <v>12537</v>
      </c>
      <c r="M2202" s="2" t="s">
        <v>12</v>
      </c>
      <c r="N2202" s="4">
        <f t="shared" si="1"/>
        <v>44041</v>
      </c>
      <c r="O2202" s="5" t="str">
        <f>IFERROR(__xludf.DUMMYFUNCTION("IF(REGEXMATCH(TRIM(I2202), ""^\d+\s*min""), ""Unclassified"", IF(I2202 = """", ""NR"", I2202))"),"TV-MA")</f>
        <v>TV-MA</v>
      </c>
      <c r="R2202" s="5" t="str">
        <f t="shared" si="2"/>
        <v>Tread</v>
      </c>
      <c r="S2202" s="5" t="str">
        <f>IFERROR(__xludf.DUMMYFUNCTION("""COMPUTED_VALUE"""),"El Especial De Alex Fernández, El Especial")</f>
        <v>El Especial De Alex Fernández, El Especial</v>
      </c>
      <c r="U2202" s="5" t="str">
        <f>IFERROR(__xludf.DUMMYFUNCTION("""COMPUTED_VALUE"""),"Álvaro Brechner")</f>
        <v>Álvaro Brechner</v>
      </c>
      <c r="V2202" s="5" t="s">
        <v>2787</v>
      </c>
      <c r="W2202" s="5" t="str">
        <f t="shared" si="3"/>
        <v>Kathryn Fasegha</v>
      </c>
      <c r="X2202" s="5">
        <f t="shared" si="4"/>
        <v>1</v>
      </c>
      <c r="Y2202" s="5" t="str">
        <f>IFERROR(__xludf.DUMMYFUNCTION("REGEXEXTRACT(J2202, ""^\d+"")"),"88")</f>
        <v>88</v>
      </c>
      <c r="Z2202" s="5" t="str">
        <f>IFERROR(__xludf.DUMMYFUNCTION("REGEXEXTRACT(J2202, ""[A-Za-z ]+$"")")," min")</f>
        <v> min</v>
      </c>
      <c r="AA2202" s="5" t="str">
        <f>IFERROR(__xludf.DUMMYFUNCTION("IF(REGEXMATCH(Z2202, ""Season""), ""TV Show"", ""Movie"")"),"Movie")</f>
        <v>Movie</v>
      </c>
    </row>
    <row r="2203">
      <c r="A2203" s="1" t="s">
        <v>12538</v>
      </c>
      <c r="B2203" s="1" t="s">
        <v>37</v>
      </c>
      <c r="C2203" s="1" t="s">
        <v>12539</v>
      </c>
      <c r="E2203" s="1" t="s">
        <v>12540</v>
      </c>
      <c r="F2203" s="1" t="s">
        <v>30</v>
      </c>
      <c r="G2203" s="1" t="s">
        <v>12541</v>
      </c>
      <c r="H2203" s="1">
        <v>2020.0</v>
      </c>
      <c r="I2203" s="1" t="s">
        <v>42</v>
      </c>
      <c r="J2203" s="1" t="s">
        <v>189</v>
      </c>
      <c r="K2203" s="1" t="s">
        <v>1261</v>
      </c>
      <c r="L2203" s="1" t="s">
        <v>12542</v>
      </c>
      <c r="M2203" s="2" t="s">
        <v>12</v>
      </c>
      <c r="N2203" s="4">
        <f t="shared" si="1"/>
        <v>44040</v>
      </c>
      <c r="O2203" s="5" t="str">
        <f>IFERROR(__xludf.DUMMYFUNCTION("IF(REGEXMATCH(TRIM(I2203), ""^\d+\s*min""), ""Unclassified"", IF(I2203 = """", ""NR"", I2203))"),"TV-MA")</f>
        <v>TV-MA</v>
      </c>
      <c r="R2203" s="5" t="str">
        <f t="shared" si="2"/>
        <v>Last Chance U</v>
      </c>
      <c r="S2203" s="5" t="str">
        <f>IFERROR(__xludf.DUMMYFUNCTION("""COMPUTED_VALUE"""),"El Fin De Eta")</f>
        <v>El Fin De Eta</v>
      </c>
      <c r="U2203" s="5" t="str">
        <f>IFERROR(__xludf.DUMMYFUNCTION("""COMPUTED_VALUE"""),"Rakesh Mehta")</f>
        <v>Rakesh Mehta</v>
      </c>
      <c r="V2203" s="5" t="s">
        <v>12460</v>
      </c>
      <c r="W2203" s="5" t="str">
        <f t="shared" si="3"/>
        <v>Katleho Ramaphakela, Rethabile Ramaphakela</v>
      </c>
      <c r="X2203" s="5">
        <f t="shared" si="4"/>
        <v>1</v>
      </c>
      <c r="Y2203" s="5" t="str">
        <f>IFERROR(__xludf.DUMMYFUNCTION("REGEXEXTRACT(J2203, ""^\d+"")"),"5")</f>
        <v>5</v>
      </c>
      <c r="Z2203" s="5" t="str">
        <f>IFERROR(__xludf.DUMMYFUNCTION("REGEXEXTRACT(J2203, ""[A-Za-z ]+$"")")," Seasons")</f>
        <v> Seasons</v>
      </c>
      <c r="AA2203" s="5" t="str">
        <f>IFERROR(__xludf.DUMMYFUNCTION("IF(REGEXMATCH(Z2203, ""Season""), ""TV Show"", ""Movie"")"),"TV Show")</f>
        <v>TV Show</v>
      </c>
    </row>
    <row r="2204">
      <c r="A2204" s="1" t="s">
        <v>12543</v>
      </c>
      <c r="B2204" s="1" t="s">
        <v>27</v>
      </c>
      <c r="C2204" s="1" t="s">
        <v>12544</v>
      </c>
      <c r="D2204" s="1" t="s">
        <v>3152</v>
      </c>
      <c r="E2204" s="1" t="s">
        <v>12545</v>
      </c>
      <c r="F2204" s="1" t="s">
        <v>30</v>
      </c>
      <c r="G2204" s="1" t="s">
        <v>12546</v>
      </c>
      <c r="H2204" s="1">
        <v>2020.0</v>
      </c>
      <c r="I2204" s="1" t="s">
        <v>42</v>
      </c>
      <c r="J2204" s="1" t="s">
        <v>1608</v>
      </c>
      <c r="K2204" s="1" t="s">
        <v>836</v>
      </c>
      <c r="L2204" s="1" t="s">
        <v>12547</v>
      </c>
      <c r="M2204" s="2" t="s">
        <v>12</v>
      </c>
      <c r="N2204" s="4">
        <f t="shared" si="1"/>
        <v>44038</v>
      </c>
      <c r="O2204" s="5" t="str">
        <f>IFERROR(__xludf.DUMMYFUNCTION("IF(REGEXMATCH(TRIM(I2204), ""^\d+\s*min""), ""Unclassified"", IF(I2204 = """", ""NR"", I2204))"),"TV-MA")</f>
        <v>TV-MA</v>
      </c>
      <c r="R2204" s="5" t="str">
        <f t="shared" si="2"/>
        <v>Banana Split</v>
      </c>
      <c r="S2204" s="5" t="str">
        <f>IFERROR(__xludf.DUMMYFUNCTION("""COMPUTED_VALUE"""),"El Final Del Paraíso")</f>
        <v>El Final Del Paraíso</v>
      </c>
      <c r="U2204" s="5" t="str">
        <f>IFERROR(__xludf.DUMMYFUNCTION("""COMPUTED_VALUE"""),"Eduardo Chauvet")</f>
        <v>Eduardo Chauvet</v>
      </c>
      <c r="V2204" s="5" t="s">
        <v>12548</v>
      </c>
      <c r="W2204" s="5" t="str">
        <f t="shared" si="3"/>
        <v>Katy Chevigny, Ross Kauffman</v>
      </c>
      <c r="X2204" s="5">
        <f t="shared" si="4"/>
        <v>1</v>
      </c>
      <c r="Y2204" s="5" t="str">
        <f>IFERROR(__xludf.DUMMYFUNCTION("REGEXEXTRACT(J2204, ""^\d+"")"),"84")</f>
        <v>84</v>
      </c>
      <c r="Z2204" s="5" t="str">
        <f>IFERROR(__xludf.DUMMYFUNCTION("REGEXEXTRACT(J2204, ""[A-Za-z ]+$"")")," min")</f>
        <v> min</v>
      </c>
      <c r="AA2204" s="5" t="str">
        <f>IFERROR(__xludf.DUMMYFUNCTION("IF(REGEXMATCH(Z2204, ""Season""), ""TV Show"", ""Movie"")"),"Movie")</f>
        <v>Movie</v>
      </c>
    </row>
    <row r="2205">
      <c r="A2205" s="1" t="s">
        <v>12549</v>
      </c>
      <c r="B2205" s="1" t="s">
        <v>37</v>
      </c>
      <c r="C2205" s="1" t="s">
        <v>12550</v>
      </c>
      <c r="E2205" s="1" t="s">
        <v>12551</v>
      </c>
      <c r="F2205" s="1" t="s">
        <v>30</v>
      </c>
      <c r="G2205" s="1" t="s">
        <v>12546</v>
      </c>
      <c r="H2205" s="1">
        <v>2019.0</v>
      </c>
      <c r="I2205" s="1" t="s">
        <v>42</v>
      </c>
      <c r="J2205" s="1" t="s">
        <v>2526</v>
      </c>
      <c r="K2205" s="1" t="s">
        <v>149</v>
      </c>
      <c r="L2205" s="1" t="s">
        <v>12552</v>
      </c>
      <c r="M2205" s="2" t="s">
        <v>12</v>
      </c>
      <c r="N2205" s="4">
        <f t="shared" si="1"/>
        <v>44038</v>
      </c>
      <c r="O2205" s="5" t="str">
        <f>IFERROR(__xludf.DUMMYFUNCTION("IF(REGEXMATCH(TRIM(I2205), ""^\d+\s*min""), ""Unclassified"", IF(I2205 = """", ""NR"", I2205))"),"TV-MA")</f>
        <v>TV-MA</v>
      </c>
      <c r="R2205" s="5" t="str">
        <f t="shared" si="2"/>
        <v>Shameless (U.S.)</v>
      </c>
      <c r="S2205" s="5" t="str">
        <f>IFERROR(__xludf.DUMMYFUNCTION("""COMPUTED_VALUE"""),"El Límite Infinito")</f>
        <v>El Límite Infinito</v>
      </c>
      <c r="U2205" s="5" t="str">
        <f>IFERROR(__xludf.DUMMYFUNCTION("""COMPUTED_VALUE"""),"Gonzalo Bendala")</f>
        <v>Gonzalo Bendala</v>
      </c>
      <c r="V2205" s="5" t="s">
        <v>12553</v>
      </c>
      <c r="W2205" s="5" t="str">
        <f t="shared" si="3"/>
        <v>Kavi Raz</v>
      </c>
      <c r="X2205" s="5">
        <f t="shared" si="4"/>
        <v>1</v>
      </c>
      <c r="Y2205" s="5" t="str">
        <f>IFERROR(__xludf.DUMMYFUNCTION("REGEXEXTRACT(J2205, ""^\d+"")"),"10")</f>
        <v>10</v>
      </c>
      <c r="Z2205" s="5" t="str">
        <f>IFERROR(__xludf.DUMMYFUNCTION("REGEXEXTRACT(J2205, ""[A-Za-z ]+$"")")," Seasons")</f>
        <v> Seasons</v>
      </c>
      <c r="AA2205" s="5" t="str">
        <f>IFERROR(__xludf.DUMMYFUNCTION("IF(REGEXMATCH(Z2205, ""Season""), ""TV Show"", ""Movie"")"),"TV Show")</f>
        <v>TV Show</v>
      </c>
    </row>
    <row r="2206">
      <c r="A2206" s="1" t="s">
        <v>12554</v>
      </c>
      <c r="B2206" s="1" t="s">
        <v>27</v>
      </c>
      <c r="C2206" s="1" t="s">
        <v>12555</v>
      </c>
      <c r="D2206" s="1" t="s">
        <v>8073</v>
      </c>
      <c r="E2206" s="1" t="s">
        <v>12556</v>
      </c>
      <c r="F2206" s="1" t="s">
        <v>63</v>
      </c>
      <c r="G2206" s="1" t="s">
        <v>12557</v>
      </c>
      <c r="H2206" s="1">
        <v>2020.0</v>
      </c>
      <c r="I2206" s="1" t="s">
        <v>97</v>
      </c>
      <c r="J2206" s="1" t="s">
        <v>835</v>
      </c>
      <c r="K2206" s="1" t="s">
        <v>199</v>
      </c>
      <c r="L2206" s="1" t="s">
        <v>12558</v>
      </c>
      <c r="M2206" s="2" t="s">
        <v>12</v>
      </c>
      <c r="N2206" s="4">
        <f t="shared" si="1"/>
        <v>44037</v>
      </c>
      <c r="O2206" s="5" t="str">
        <f>IFERROR(__xludf.DUMMYFUNCTION("IF(REGEXMATCH(TRIM(I2206), ""^\d+\s*min""), ""Unclassified"", IF(I2206 = """", ""NR"", I2206))"),"TV-14")</f>
        <v>TV-14</v>
      </c>
      <c r="R2206" s="5" t="str">
        <f t="shared" si="2"/>
        <v>Door Ke Darshan</v>
      </c>
      <c r="S2206" s="5" t="str">
        <f>IFERROR(__xludf.DUMMYFUNCTION("""COMPUTED_VALUE"""),"El Marginal")</f>
        <v>El Marginal</v>
      </c>
      <c r="U2206" s="5" t="str">
        <f>IFERROR(__xludf.DUMMYFUNCTION("""COMPUTED_VALUE"""),"Noam Murro")</f>
        <v>Noam Murro</v>
      </c>
      <c r="V2206" s="5" t="s">
        <v>1964</v>
      </c>
      <c r="W2206" s="5" t="str">
        <f t="shared" si="3"/>
        <v>Kayode Kasum</v>
      </c>
      <c r="X2206" s="5">
        <f t="shared" si="4"/>
        <v>4</v>
      </c>
      <c r="Y2206" s="5" t="str">
        <f>IFERROR(__xludf.DUMMYFUNCTION("REGEXEXTRACT(J2206, ""^\d+"")"),"114")</f>
        <v>114</v>
      </c>
      <c r="Z2206" s="5" t="str">
        <f>IFERROR(__xludf.DUMMYFUNCTION("REGEXEXTRACT(J2206, ""[A-Za-z ]+$"")")," min")</f>
        <v> min</v>
      </c>
      <c r="AA2206" s="5" t="str">
        <f>IFERROR(__xludf.DUMMYFUNCTION("IF(REGEXMATCH(Z2206, ""Season""), ""TV Show"", ""Movie"")"),"Movie")</f>
        <v>Movie</v>
      </c>
    </row>
    <row r="2207">
      <c r="A2207" s="1" t="s">
        <v>12559</v>
      </c>
      <c r="B2207" s="1" t="s">
        <v>27</v>
      </c>
      <c r="C2207" s="1" t="s">
        <v>12560</v>
      </c>
      <c r="D2207" s="1" t="s">
        <v>12561</v>
      </c>
      <c r="E2207" s="1" t="s">
        <v>12562</v>
      </c>
      <c r="F2207" s="1" t="s">
        <v>3892</v>
      </c>
      <c r="G2207" s="1" t="s">
        <v>12557</v>
      </c>
      <c r="H2207" s="1">
        <v>2020.0</v>
      </c>
      <c r="I2207" s="1" t="s">
        <v>97</v>
      </c>
      <c r="J2207" s="1" t="s">
        <v>297</v>
      </c>
      <c r="K2207" s="1" t="s">
        <v>1066</v>
      </c>
      <c r="L2207" s="1" t="s">
        <v>12563</v>
      </c>
      <c r="M2207" s="2" t="s">
        <v>12</v>
      </c>
      <c r="N2207" s="4">
        <f t="shared" si="1"/>
        <v>44037</v>
      </c>
      <c r="O2207" s="5" t="str">
        <f>IFERROR(__xludf.DUMMYFUNCTION("IF(REGEXMATCH(TRIM(I2207), ""^\d+\s*min""), ""Unclassified"", IF(I2207 = """", ""NR"", I2207))"),"TV-14")</f>
        <v>TV-14</v>
      </c>
      <c r="R2207" s="5" t="str">
        <f t="shared" si="2"/>
        <v>Double World</v>
      </c>
      <c r="S2207" s="5" t="str">
        <f>IFERROR(__xludf.DUMMYFUNCTION("""COMPUTED_VALUE"""),"El Patrón, Radiografía De Un Crimen")</f>
        <v>El Patrón, Radiografía De Un Crimen</v>
      </c>
      <c r="U2207" s="5" t="str">
        <f>IFERROR(__xludf.DUMMYFUNCTION("""COMPUTED_VALUE"""),"Kheiron")</f>
        <v>Kheiron</v>
      </c>
      <c r="V2207" s="5" t="s">
        <v>12564</v>
      </c>
      <c r="W2207" s="5" t="str">
        <f t="shared" si="3"/>
        <v>Kazuaki Kiriya</v>
      </c>
      <c r="X2207" s="5">
        <f t="shared" si="4"/>
        <v>1</v>
      </c>
      <c r="Y2207" s="5" t="str">
        <f>IFERROR(__xludf.DUMMYFUNCTION("REGEXEXTRACT(J2207, ""^\d+"")"),"110")</f>
        <v>110</v>
      </c>
      <c r="Z2207" s="5" t="str">
        <f>IFERROR(__xludf.DUMMYFUNCTION("REGEXEXTRACT(J2207, ""[A-Za-z ]+$"")")," min")</f>
        <v> min</v>
      </c>
      <c r="AA2207" s="5" t="str">
        <f>IFERROR(__xludf.DUMMYFUNCTION("IF(REGEXMATCH(Z2207, ""Season""), ""TV Show"", ""Movie"")"),"Movie")</f>
        <v>Movie</v>
      </c>
    </row>
    <row r="2208">
      <c r="A2208" s="1" t="s">
        <v>12565</v>
      </c>
      <c r="B2208" s="1" t="s">
        <v>27</v>
      </c>
      <c r="C2208" s="1" t="s">
        <v>12566</v>
      </c>
      <c r="D2208" s="1" t="s">
        <v>3370</v>
      </c>
      <c r="E2208" s="1" t="s">
        <v>12567</v>
      </c>
      <c r="F2208" s="1" t="s">
        <v>63</v>
      </c>
      <c r="G2208" s="1" t="s">
        <v>12557</v>
      </c>
      <c r="H2208" s="1">
        <v>2016.0</v>
      </c>
      <c r="I2208" s="1" t="s">
        <v>42</v>
      </c>
      <c r="J2208" s="1" t="s">
        <v>238</v>
      </c>
      <c r="K2208" s="1" t="s">
        <v>89</v>
      </c>
      <c r="L2208" s="1" t="s">
        <v>12568</v>
      </c>
      <c r="M2208" s="2" t="s">
        <v>12</v>
      </c>
      <c r="N2208" s="4">
        <f t="shared" si="1"/>
        <v>44037</v>
      </c>
      <c r="O2208" s="5" t="str">
        <f>IFERROR(__xludf.DUMMYFUNCTION("IF(REGEXMATCH(TRIM(I2208), ""^\d+\s*min""), ""Unclassified"", IF(I2208 = """", ""NR"", I2208))"),"TV-MA")</f>
        <v>TV-MA</v>
      </c>
      <c r="R2208" s="5" t="str">
        <f t="shared" si="2"/>
        <v>Project Marathwada</v>
      </c>
      <c r="S2208" s="5" t="str">
        <f>IFERROR(__xludf.DUMMYFUNCTION("""COMPUTED_VALUE"""),"El Pepe, A Supreme Life")</f>
        <v>El Pepe, A Supreme Life</v>
      </c>
      <c r="U2208" s="5" t="str">
        <f>IFERROR(__xludf.DUMMYFUNCTION("""COMPUTED_VALUE"""),"Susanne Bier")</f>
        <v>Susanne Bier</v>
      </c>
      <c r="V2208" s="5" t="s">
        <v>12569</v>
      </c>
      <c r="W2208" s="5" t="str">
        <f t="shared" si="3"/>
        <v>Kazuchika Kise</v>
      </c>
      <c r="X2208" s="5">
        <f t="shared" si="4"/>
        <v>2</v>
      </c>
      <c r="Y2208" s="5" t="str">
        <f>IFERROR(__xludf.DUMMYFUNCTION("REGEXEXTRACT(J2208, ""^\d+"")"),"103")</f>
        <v>103</v>
      </c>
      <c r="Z2208" s="5" t="str">
        <f>IFERROR(__xludf.DUMMYFUNCTION("REGEXEXTRACT(J2208, ""[A-Za-z ]+$"")")," min")</f>
        <v> min</v>
      </c>
      <c r="AA2208" s="5" t="str">
        <f>IFERROR(__xludf.DUMMYFUNCTION("IF(REGEXMATCH(Z2208, ""Season""), ""TV Show"", ""Movie"")"),"Movie")</f>
        <v>Movie</v>
      </c>
    </row>
    <row r="2209">
      <c r="A2209" s="1" t="s">
        <v>12570</v>
      </c>
      <c r="B2209" s="1" t="s">
        <v>27</v>
      </c>
      <c r="C2209" s="1" t="s">
        <v>12571</v>
      </c>
      <c r="D2209" s="1" t="s">
        <v>12572</v>
      </c>
      <c r="E2209" s="1" t="s">
        <v>12573</v>
      </c>
      <c r="F2209" s="1" t="s">
        <v>12574</v>
      </c>
      <c r="G2209" s="1" t="s">
        <v>12575</v>
      </c>
      <c r="H2209" s="1">
        <v>2020.0</v>
      </c>
      <c r="I2209" s="1" t="s">
        <v>289</v>
      </c>
      <c r="J2209" s="1" t="s">
        <v>256</v>
      </c>
      <c r="K2209" s="1" t="s">
        <v>137</v>
      </c>
      <c r="L2209" s="1" t="s">
        <v>12576</v>
      </c>
      <c r="M2209" s="2" t="s">
        <v>12</v>
      </c>
      <c r="N2209" s="4">
        <f t="shared" si="1"/>
        <v>44036</v>
      </c>
      <c r="O2209" s="5" t="str">
        <f>IFERROR(__xludf.DUMMYFUNCTION("IF(REGEXMATCH(TRIM(I2209), ""^\d+\s*min""), ""Unclassified"", IF(I2209 = """", ""NR"", I2209))"),"TV-Y7")</f>
        <v>TV-Y7</v>
      </c>
      <c r="R2209" s="5" t="str">
        <f t="shared" si="2"/>
        <v>Animal Crackers</v>
      </c>
      <c r="S2209" s="5" t="str">
        <f>IFERROR(__xludf.DUMMYFUNCTION("""COMPUTED_VALUE"""),"El Potro: Unstoppable")</f>
        <v>El Potro: Unstoppable</v>
      </c>
      <c r="U2209" s="5" t="str">
        <f>IFERROR(__xludf.DUMMYFUNCTION("""COMPUTED_VALUE"""),"Irek Dobrowolski")</f>
        <v>Irek Dobrowolski</v>
      </c>
      <c r="V2209" s="5" t="s">
        <v>12577</v>
      </c>
      <c r="W2209" s="5" t="str">
        <f t="shared" si="3"/>
        <v>Kazuchika Kise, Masahiko Murata</v>
      </c>
      <c r="X2209" s="5">
        <f t="shared" si="4"/>
        <v>1</v>
      </c>
      <c r="Y2209" s="5" t="str">
        <f>IFERROR(__xludf.DUMMYFUNCTION("REGEXEXTRACT(J2209, ""^\d+"")"),"106")</f>
        <v>106</v>
      </c>
      <c r="Z2209" s="5" t="str">
        <f>IFERROR(__xludf.DUMMYFUNCTION("REGEXEXTRACT(J2209, ""[A-Za-z ]+$"")")," min")</f>
        <v> min</v>
      </c>
      <c r="AA2209" s="5" t="str">
        <f>IFERROR(__xludf.DUMMYFUNCTION("IF(REGEXMATCH(Z2209, ""Season""), ""TV Show"", ""Movie"")"),"Movie")</f>
        <v>Movie</v>
      </c>
    </row>
    <row r="2210">
      <c r="A2210" s="1" t="s">
        <v>12578</v>
      </c>
      <c r="B2210" s="1" t="s">
        <v>27</v>
      </c>
      <c r="C2210" s="1" t="s">
        <v>12579</v>
      </c>
      <c r="D2210" s="1" t="s">
        <v>9642</v>
      </c>
      <c r="E2210" s="1" t="s">
        <v>12580</v>
      </c>
      <c r="F2210" s="1" t="s">
        <v>30</v>
      </c>
      <c r="G2210" s="1" t="s">
        <v>12575</v>
      </c>
      <c r="H2210" s="1">
        <v>2020.0</v>
      </c>
      <c r="I2210" s="1" t="s">
        <v>206</v>
      </c>
      <c r="J2210" s="1" t="s">
        <v>3060</v>
      </c>
      <c r="K2210" s="1" t="s">
        <v>137</v>
      </c>
      <c r="L2210" s="1" t="s">
        <v>12581</v>
      </c>
      <c r="M2210" s="2" t="s">
        <v>12</v>
      </c>
      <c r="N2210" s="4">
        <f t="shared" si="1"/>
        <v>44036</v>
      </c>
      <c r="O2210" s="5" t="str">
        <f>IFERROR(__xludf.DUMMYFUNCTION("IF(REGEXMATCH(TRIM(I2210), ""^\d+\s*min""), ""Unclassified"", IF(I2210 = """", ""NR"", I2210))"),"TV-Y")</f>
        <v>TV-Y</v>
      </c>
      <c r="R2210" s="5" t="str">
        <f t="shared" si="2"/>
        <v>Dragons: Rescue Riders: Secrets Of The Songwing</v>
      </c>
      <c r="S2210" s="5" t="str">
        <f>IFERROR(__xludf.DUMMYFUNCTION("""COMPUTED_VALUE"""),"El Reemplazante")</f>
        <v>El Reemplazante</v>
      </c>
      <c r="U2210" s="5" t="str">
        <f>IFERROR(__xludf.DUMMYFUNCTION("""COMPUTED_VALUE"""),"Gilbert Chan")</f>
        <v>Gilbert Chan</v>
      </c>
      <c r="V2210" s="5" t="s">
        <v>12582</v>
      </c>
      <c r="W2210" s="5" t="str">
        <f t="shared" si="3"/>
        <v>Kazuya Murata</v>
      </c>
      <c r="X2210" s="5">
        <f t="shared" si="4"/>
        <v>1</v>
      </c>
      <c r="Y2210" s="5" t="str">
        <f>IFERROR(__xludf.DUMMYFUNCTION("REGEXEXTRACT(J2210, ""^\d+"")"),"46")</f>
        <v>46</v>
      </c>
      <c r="Z2210" s="5" t="str">
        <f>IFERROR(__xludf.DUMMYFUNCTION("REGEXEXTRACT(J2210, ""[A-Za-z ]+$"")")," min")</f>
        <v> min</v>
      </c>
      <c r="AA2210" s="5" t="str">
        <f>IFERROR(__xludf.DUMMYFUNCTION("IF(REGEXMATCH(Z2210, ""Season""), ""TV Show"", ""Movie"")"),"Movie")</f>
        <v>Movie</v>
      </c>
    </row>
    <row r="2211">
      <c r="A2211" s="1" t="s">
        <v>12583</v>
      </c>
      <c r="B2211" s="1" t="s">
        <v>27</v>
      </c>
      <c r="C2211" s="1" t="s">
        <v>12584</v>
      </c>
      <c r="D2211" s="1" t="s">
        <v>12585</v>
      </c>
      <c r="E2211" s="1" t="s">
        <v>12586</v>
      </c>
      <c r="F2211" s="1" t="s">
        <v>400</v>
      </c>
      <c r="G2211" s="1" t="s">
        <v>12575</v>
      </c>
      <c r="H2211" s="1">
        <v>2019.0</v>
      </c>
      <c r="I2211" s="1" t="s">
        <v>42</v>
      </c>
      <c r="J2211" s="1" t="s">
        <v>379</v>
      </c>
      <c r="K2211" s="1" t="s">
        <v>128</v>
      </c>
      <c r="L2211" s="1" t="s">
        <v>12587</v>
      </c>
      <c r="M2211" s="2" t="s">
        <v>12</v>
      </c>
      <c r="N2211" s="4">
        <f t="shared" si="1"/>
        <v>44036</v>
      </c>
      <c r="O2211" s="5" t="str">
        <f>IFERROR(__xludf.DUMMYFUNCTION("IF(REGEXMATCH(TRIM(I2211), ""^\d+\s*min""), ""Unclassified"", IF(I2211 = """", ""NR"", I2211))"),"TV-MA")</f>
        <v>TV-MA</v>
      </c>
      <c r="R2211" s="5" t="str">
        <f t="shared" si="2"/>
        <v>Nimbe</v>
      </c>
      <c r="S2211" s="5" t="str">
        <f>IFERROR(__xludf.DUMMYFUNCTION("""COMPUTED_VALUE"""),"El Sendero De La Anaconda")</f>
        <v>El Sendero De La Anaconda</v>
      </c>
      <c r="U2211" s="5" t="str">
        <f>IFERROR(__xludf.DUMMYFUNCTION("""COMPUTED_VALUE"""),"Rarecho")</f>
        <v>Rarecho</v>
      </c>
      <c r="V2211" s="5" t="s">
        <v>12588</v>
      </c>
      <c r="W2211" s="5" t="str">
        <f t="shared" si="3"/>
        <v>Keanu Reeves</v>
      </c>
      <c r="X2211" s="5">
        <f t="shared" si="4"/>
        <v>1</v>
      </c>
      <c r="Y2211" s="5" t="str">
        <f>IFERROR(__xludf.DUMMYFUNCTION("REGEXEXTRACT(J2211, ""^\d+"")"),"115")</f>
        <v>115</v>
      </c>
      <c r="Z2211" s="5" t="str">
        <f>IFERROR(__xludf.DUMMYFUNCTION("REGEXEXTRACT(J2211, ""[A-Za-z ]+$"")")," min")</f>
        <v> min</v>
      </c>
      <c r="AA2211" s="5" t="str">
        <f>IFERROR(__xludf.DUMMYFUNCTION("IF(REGEXMATCH(Z2211, ""Season""), ""TV Show"", ""Movie"")"),"Movie")</f>
        <v>Movie</v>
      </c>
    </row>
    <row r="2212">
      <c r="A2212" s="1" t="s">
        <v>12589</v>
      </c>
      <c r="B2212" s="1" t="s">
        <v>27</v>
      </c>
      <c r="C2212" s="1" t="s">
        <v>12590</v>
      </c>
      <c r="D2212" s="1" t="s">
        <v>7642</v>
      </c>
      <c r="E2212" s="1" t="s">
        <v>12591</v>
      </c>
      <c r="F2212" s="1" t="s">
        <v>12592</v>
      </c>
      <c r="G2212" s="1" t="s">
        <v>12575</v>
      </c>
      <c r="H2212" s="1">
        <v>2020.0</v>
      </c>
      <c r="I2212" s="1" t="s">
        <v>42</v>
      </c>
      <c r="J2212" s="1" t="s">
        <v>1704</v>
      </c>
      <c r="K2212" s="1" t="s">
        <v>631</v>
      </c>
      <c r="L2212" s="1" t="s">
        <v>12593</v>
      </c>
      <c r="M2212" s="2" t="s">
        <v>12</v>
      </c>
      <c r="N2212" s="4">
        <f t="shared" si="1"/>
        <v>44036</v>
      </c>
      <c r="O2212" s="5" t="str">
        <f>IFERROR(__xludf.DUMMYFUNCTION("IF(REGEXMATCH(TRIM(I2212), ""^\d+\s*min""), ""Unclassified"", IF(I2212 = """", ""NR"", I2212))"),"TV-MA")</f>
        <v>TV-MA</v>
      </c>
      <c r="R2212" s="5" t="str">
        <f t="shared" si="2"/>
        <v>Offering To The Storm</v>
      </c>
      <c r="S2212" s="5" t="str">
        <f>IFERROR(__xludf.DUMMYFUNCTION("""COMPUTED_VALUE"""),"El Señor De Los Cielos")</f>
        <v>El Señor De Los Cielos</v>
      </c>
      <c r="U2212" s="5" t="str">
        <f>IFERROR(__xludf.DUMMYFUNCTION("""COMPUTED_VALUE"""),"Steve Cheng")</f>
        <v>Steve Cheng</v>
      </c>
      <c r="V2212" s="5" t="s">
        <v>12594</v>
      </c>
      <c r="W2212" s="5" t="str">
        <f t="shared" si="3"/>
        <v>Kedar Shinde</v>
      </c>
      <c r="X2212" s="5">
        <f t="shared" si="4"/>
        <v>2</v>
      </c>
      <c r="Y2212" s="5" t="str">
        <f>IFERROR(__xludf.DUMMYFUNCTION("REGEXEXTRACT(J2212, ""^\d+"")"),"140")</f>
        <v>140</v>
      </c>
      <c r="Z2212" s="5" t="str">
        <f>IFERROR(__xludf.DUMMYFUNCTION("REGEXEXTRACT(J2212, ""[A-Za-z ]+$"")")," min")</f>
        <v> min</v>
      </c>
      <c r="AA2212" s="5" t="str">
        <f>IFERROR(__xludf.DUMMYFUNCTION("IF(REGEXMATCH(Z2212, ""Season""), ""TV Show"", ""Movie"")"),"Movie")</f>
        <v>Movie</v>
      </c>
    </row>
    <row r="2213">
      <c r="A2213" s="1" t="s">
        <v>12595</v>
      </c>
      <c r="B2213" s="1" t="s">
        <v>27</v>
      </c>
      <c r="C2213" s="1" t="s">
        <v>12596</v>
      </c>
      <c r="D2213" s="1" t="s">
        <v>12597</v>
      </c>
      <c r="E2213" s="1" t="s">
        <v>12598</v>
      </c>
      <c r="F2213" s="1" t="s">
        <v>415</v>
      </c>
      <c r="G2213" s="1" t="s">
        <v>12575</v>
      </c>
      <c r="H2213" s="1">
        <v>2020.0</v>
      </c>
      <c r="I2213" s="1" t="s">
        <v>42</v>
      </c>
      <c r="J2213" s="1" t="s">
        <v>341</v>
      </c>
      <c r="K2213" s="1" t="s">
        <v>679</v>
      </c>
      <c r="L2213" s="1" t="s">
        <v>12599</v>
      </c>
      <c r="M2213" s="2" t="s">
        <v>12</v>
      </c>
      <c r="N2213" s="4">
        <f t="shared" si="1"/>
        <v>44036</v>
      </c>
      <c r="O2213" s="5" t="str">
        <f>IFERROR(__xludf.DUMMYFUNCTION("IF(REGEXMATCH(TRIM(I2213), ""^\d+\s*min""), ""Unclassified"", IF(I2213 = """", ""NR"", I2213))"),"TV-MA")</f>
        <v>TV-MA</v>
      </c>
      <c r="R2213" s="5" t="str">
        <f t="shared" si="2"/>
        <v>Romance Doll</v>
      </c>
      <c r="S2213" s="5" t="str">
        <f>IFERROR(__xludf.DUMMYFUNCTION("""COMPUTED_VALUE"""),"El Silencio Es Bienvenido")</f>
        <v>El Silencio Es Bienvenido</v>
      </c>
      <c r="U2213" s="5" t="str">
        <f>IFERROR(__xludf.DUMMYFUNCTION("""COMPUTED_VALUE"""),"Sam Loh")</f>
        <v>Sam Loh</v>
      </c>
      <c r="V2213" s="5" t="s">
        <v>12600</v>
      </c>
      <c r="W2213" s="5" t="str">
        <f t="shared" si="3"/>
        <v>Keenen Ivory Wayans</v>
      </c>
      <c r="X2213" s="5">
        <f t="shared" si="4"/>
        <v>1</v>
      </c>
      <c r="Y2213" s="5" t="str">
        <f>IFERROR(__xludf.DUMMYFUNCTION("REGEXEXTRACT(J2213, ""^\d+"")"),"124")</f>
        <v>124</v>
      </c>
      <c r="Z2213" s="5" t="str">
        <f>IFERROR(__xludf.DUMMYFUNCTION("REGEXEXTRACT(J2213, ""[A-Za-z ]+$"")")," min")</f>
        <v> min</v>
      </c>
      <c r="AA2213" s="5" t="str">
        <f>IFERROR(__xludf.DUMMYFUNCTION("IF(REGEXMATCH(Z2213, ""Season""), ""TV Show"", ""Movie"")"),"Movie")</f>
        <v>Movie</v>
      </c>
    </row>
    <row r="2214">
      <c r="A2214" s="1" t="s">
        <v>12601</v>
      </c>
      <c r="B2214" s="1" t="s">
        <v>37</v>
      </c>
      <c r="C2214" s="1" t="s">
        <v>12602</v>
      </c>
      <c r="E2214" s="1" t="s">
        <v>12603</v>
      </c>
      <c r="F2214" s="1" t="s">
        <v>784</v>
      </c>
      <c r="G2214" s="1" t="s">
        <v>12575</v>
      </c>
      <c r="H2214" s="1">
        <v>2020.0</v>
      </c>
      <c r="I2214" s="1" t="s">
        <v>506</v>
      </c>
      <c r="J2214" s="1" t="s">
        <v>51</v>
      </c>
      <c r="K2214" s="1" t="s">
        <v>4146</v>
      </c>
      <c r="L2214" s="1" t="s">
        <v>12604</v>
      </c>
      <c r="M2214" s="2" t="s">
        <v>12</v>
      </c>
      <c r="N2214" s="4">
        <f t="shared" si="1"/>
        <v>44036</v>
      </c>
      <c r="O2214" s="5" t="str">
        <f>IFERROR(__xludf.DUMMYFUNCTION("IF(REGEXMATCH(TRIM(I2214), ""^\d+\s*min""), ""Unclassified"", IF(I2214 = """", ""NR"", I2214))"),"TV-G")</f>
        <v>TV-G</v>
      </c>
      <c r="R2214" s="5" t="str">
        <f t="shared" si="2"/>
        <v>Sing On! Spain</v>
      </c>
      <c r="S2214" s="5" t="str">
        <f>IFERROR(__xludf.DUMMYFUNCTION("""COMPUTED_VALUE"""),"El Testigo")</f>
        <v>El Testigo</v>
      </c>
      <c r="U2214" s="5" t="str">
        <f>IFERROR(__xludf.DUMMYFUNCTION("""COMPUTED_VALUE"""),"Jason Lai")</f>
        <v>Jason Lai</v>
      </c>
      <c r="V2214" s="5" t="s">
        <v>12605</v>
      </c>
      <c r="W2214" s="5" t="str">
        <f t="shared" si="3"/>
        <v>Keerthi</v>
      </c>
      <c r="X2214" s="5">
        <f t="shared" si="4"/>
        <v>1</v>
      </c>
      <c r="Y2214" s="5" t="str">
        <f>IFERROR(__xludf.DUMMYFUNCTION("REGEXEXTRACT(J2214, ""^\d+"")"),"1")</f>
        <v>1</v>
      </c>
      <c r="Z2214" s="5" t="str">
        <f>IFERROR(__xludf.DUMMYFUNCTION("REGEXEXTRACT(J2214, ""[A-Za-z ]+$"")")," Season")</f>
        <v> Season</v>
      </c>
      <c r="AA2214" s="5" t="str">
        <f>IFERROR(__xludf.DUMMYFUNCTION("IF(REGEXMATCH(Z2214, ""Season""), ""TV Show"", ""Movie"")"),"TV Show")</f>
        <v>TV Show</v>
      </c>
    </row>
    <row r="2215">
      <c r="A2215" s="1" t="s">
        <v>12606</v>
      </c>
      <c r="B2215" s="1" t="s">
        <v>27</v>
      </c>
      <c r="C2215" s="1" t="s">
        <v>12607</v>
      </c>
      <c r="D2215" s="1" t="s">
        <v>1876</v>
      </c>
      <c r="E2215" s="1" t="s">
        <v>12608</v>
      </c>
      <c r="F2215" s="1" t="s">
        <v>686</v>
      </c>
      <c r="G2215" s="1" t="s">
        <v>12575</v>
      </c>
      <c r="H2215" s="1">
        <v>2020.0</v>
      </c>
      <c r="I2215" s="1" t="s">
        <v>97</v>
      </c>
      <c r="J2215" s="1" t="s">
        <v>1428</v>
      </c>
      <c r="K2215" s="1" t="s">
        <v>813</v>
      </c>
      <c r="L2215" s="1" t="s">
        <v>12609</v>
      </c>
      <c r="M2215" s="2" t="s">
        <v>12</v>
      </c>
      <c r="N2215" s="4">
        <f t="shared" si="1"/>
        <v>44036</v>
      </c>
      <c r="O2215" s="5" t="str">
        <f>IFERROR(__xludf.DUMMYFUNCTION("IF(REGEXMATCH(TRIM(I2215), ""^\d+\s*min""), ""Unclassified"", IF(I2215 = """", ""NR"", I2215))"),"TV-14")</f>
        <v>TV-14</v>
      </c>
      <c r="R2215" s="5" t="str">
        <f t="shared" si="2"/>
        <v>The Kissing Booth 2</v>
      </c>
      <c r="S2215" s="5" t="str">
        <f>IFERROR(__xludf.DUMMYFUNCTION("""COMPUTED_VALUE"""),"El Último Testigo")</f>
        <v>El Último Testigo</v>
      </c>
      <c r="U2215" s="5" t="str">
        <f>IFERROR(__xludf.DUMMYFUNCTION("""COMPUTED_VALUE"""),"Samit Kakkad")</f>
        <v>Samit Kakkad</v>
      </c>
      <c r="V2215" s="5" t="s">
        <v>12610</v>
      </c>
      <c r="W2215" s="5" t="str">
        <f t="shared" si="3"/>
        <v>Kees Van Oostrum</v>
      </c>
      <c r="X2215" s="5">
        <f t="shared" si="4"/>
        <v>1</v>
      </c>
      <c r="Y2215" s="5" t="str">
        <f>IFERROR(__xludf.DUMMYFUNCTION("REGEXEXTRACT(J2215, ""^\d+"")"),"133")</f>
        <v>133</v>
      </c>
      <c r="Z2215" s="5" t="str">
        <f>IFERROR(__xludf.DUMMYFUNCTION("REGEXEXTRACT(J2215, ""[A-Za-z ]+$"")")," min")</f>
        <v> min</v>
      </c>
      <c r="AA2215" s="5" t="str">
        <f>IFERROR(__xludf.DUMMYFUNCTION("IF(REGEXMATCH(Z2215, ""Season""), ""TV Show"", ""Movie"")"),"Movie")</f>
        <v>Movie</v>
      </c>
    </row>
    <row r="2216">
      <c r="A2216" s="1" t="s">
        <v>12611</v>
      </c>
      <c r="B2216" s="1" t="s">
        <v>37</v>
      </c>
      <c r="C2216" s="1" t="s">
        <v>12612</v>
      </c>
      <c r="D2216" s="1" t="s">
        <v>1101</v>
      </c>
      <c r="F2216" s="1" t="s">
        <v>30</v>
      </c>
      <c r="G2216" s="1" t="s">
        <v>12613</v>
      </c>
      <c r="H2216" s="1">
        <v>2015.0</v>
      </c>
      <c r="I2216" s="1" t="s">
        <v>97</v>
      </c>
      <c r="J2216" s="1" t="s">
        <v>51</v>
      </c>
      <c r="K2216" s="1" t="s">
        <v>1261</v>
      </c>
      <c r="L2216" s="1" t="s">
        <v>12614</v>
      </c>
      <c r="M2216" s="2" t="s">
        <v>12</v>
      </c>
      <c r="N2216" s="4">
        <f t="shared" si="1"/>
        <v>44035</v>
      </c>
      <c r="O2216" s="5" t="str">
        <f>IFERROR(__xludf.DUMMYFUNCTION("IF(REGEXMATCH(TRIM(I2216), ""^\d+\s*min""), ""Unclassified"", IF(I2216 = """", ""NR"", I2216))"),"TV-14")</f>
        <v>TV-14</v>
      </c>
      <c r="R2216" s="5" t="str">
        <f t="shared" si="2"/>
        <v>Sinatra: All Or Nothing At All</v>
      </c>
      <c r="S2216" s="5" t="str">
        <f>IFERROR(__xludf.DUMMYFUNCTION("""COMPUTED_VALUE"""),"El Vato")</f>
        <v>El Vato</v>
      </c>
      <c r="U2216" s="5" t="str">
        <f>IFERROR(__xludf.DUMMYFUNCTION("""COMPUTED_VALUE"""),"Joel Gallen, Tig Notaro")</f>
        <v>Joel Gallen, Tig Notaro</v>
      </c>
      <c r="V2216" s="5" t="s">
        <v>12615</v>
      </c>
      <c r="W2216" s="5" t="str">
        <f t="shared" si="3"/>
        <v>Keiichi Hara</v>
      </c>
      <c r="X2216" s="5">
        <f t="shared" si="4"/>
        <v>1</v>
      </c>
      <c r="Y2216" s="5" t="str">
        <f>IFERROR(__xludf.DUMMYFUNCTION("REGEXEXTRACT(J2216, ""^\d+"")"),"1")</f>
        <v>1</v>
      </c>
      <c r="Z2216" s="5" t="str">
        <f>IFERROR(__xludf.DUMMYFUNCTION("REGEXEXTRACT(J2216, ""[A-Za-z ]+$"")")," Season")</f>
        <v> Season</v>
      </c>
      <c r="AA2216" s="5" t="str">
        <f>IFERROR(__xludf.DUMMYFUNCTION("IF(REGEXMATCH(Z2216, ""Season""), ""TV Show"", ""Movie"")"),"TV Show")</f>
        <v>TV Show</v>
      </c>
    </row>
    <row r="2217">
      <c r="A2217" s="1" t="s">
        <v>12616</v>
      </c>
      <c r="B2217" s="1" t="s">
        <v>27</v>
      </c>
      <c r="C2217" s="1" t="s">
        <v>12617</v>
      </c>
      <c r="D2217" s="1" t="s">
        <v>12618</v>
      </c>
      <c r="E2217" s="1" t="s">
        <v>12619</v>
      </c>
      <c r="F2217" s="1" t="s">
        <v>749</v>
      </c>
      <c r="G2217" s="1" t="s">
        <v>12613</v>
      </c>
      <c r="H2217" s="1">
        <v>2020.0</v>
      </c>
      <c r="I2217" s="1" t="s">
        <v>289</v>
      </c>
      <c r="J2217" s="1" t="s">
        <v>79</v>
      </c>
      <c r="K2217" s="1" t="s">
        <v>137</v>
      </c>
      <c r="L2217" s="1" t="s">
        <v>12620</v>
      </c>
      <c r="M2217" s="2" t="s">
        <v>12</v>
      </c>
      <c r="N2217" s="4">
        <f t="shared" si="1"/>
        <v>44035</v>
      </c>
      <c r="O2217" s="5" t="str">
        <f>IFERROR(__xludf.DUMMYFUNCTION("IF(REGEXMATCH(TRIM(I2217), ""^\d+\s*min""), ""Unclassified"", IF(I2217 = """", ""NR"", I2217))"),"TV-Y7")</f>
        <v>TV-Y7</v>
      </c>
      <c r="R2217" s="5" t="str">
        <f t="shared" si="2"/>
        <v>The Larva Island Movie</v>
      </c>
      <c r="S2217" s="5" t="str">
        <f>IFERROR(__xludf.DUMMYFUNCTION("""COMPUTED_VALUE"""),"El Viaje: Márama Y Rombai")</f>
        <v>El Viaje: Márama Y Rombai</v>
      </c>
      <c r="U2217" s="5" t="str">
        <f>IFERROR(__xludf.DUMMYFUNCTION("""COMPUTED_VALUE"""),"Prasobh Vijayan")</f>
        <v>Prasobh Vijayan</v>
      </c>
      <c r="V2217" s="5" t="s">
        <v>6214</v>
      </c>
      <c r="W2217" s="5" t="str">
        <f t="shared" si="3"/>
        <v>Keiichi Sato, Yasushi Kawamura</v>
      </c>
      <c r="X2217" s="5">
        <f t="shared" si="4"/>
        <v>1</v>
      </c>
      <c r="Y2217" s="5" t="str">
        <f>IFERROR(__xludf.DUMMYFUNCTION("REGEXEXTRACT(J2217, ""^\d+"")"),"91")</f>
        <v>91</v>
      </c>
      <c r="Z2217" s="5" t="str">
        <f>IFERROR(__xludf.DUMMYFUNCTION("REGEXEXTRACT(J2217, ""[A-Za-z ]+$"")")," min")</f>
        <v> min</v>
      </c>
      <c r="AA2217" s="5" t="str">
        <f>IFERROR(__xludf.DUMMYFUNCTION("IF(REGEXMATCH(Z2217, ""Season""), ""TV Show"", ""Movie"")"),"Movie")</f>
        <v>Movie</v>
      </c>
    </row>
    <row r="2218">
      <c r="A2218" s="1" t="s">
        <v>12621</v>
      </c>
      <c r="B2218" s="1" t="s">
        <v>27</v>
      </c>
      <c r="C2218" s="1" t="s">
        <v>12622</v>
      </c>
      <c r="D2218" s="1" t="s">
        <v>12623</v>
      </c>
      <c r="E2218" s="1" t="s">
        <v>12624</v>
      </c>
      <c r="F2218" s="1" t="s">
        <v>40</v>
      </c>
      <c r="G2218" s="1" t="s">
        <v>12613</v>
      </c>
      <c r="H2218" s="1">
        <v>2019.0</v>
      </c>
      <c r="I2218" s="1" t="s">
        <v>136</v>
      </c>
      <c r="J2218" s="1" t="s">
        <v>12625</v>
      </c>
      <c r="K2218" s="1" t="s">
        <v>128</v>
      </c>
      <c r="L2218" s="1" t="s">
        <v>12626</v>
      </c>
      <c r="M2218" s="2" t="s">
        <v>12</v>
      </c>
      <c r="N2218" s="4">
        <f t="shared" si="1"/>
        <v>44035</v>
      </c>
      <c r="O2218" s="5" t="str">
        <f>IFERROR(__xludf.DUMMYFUNCTION("IF(REGEXMATCH(TRIM(I2218), ""^\d+\s*min""), ""Unclassified"", IF(I2218 = """", ""NR"", I2218))"),"TV-PG")</f>
        <v>TV-PG</v>
      </c>
      <c r="R2218" s="5" t="str">
        <f t="shared" si="2"/>
        <v>The Letter Reader</v>
      </c>
      <c r="S2218" s="5" t="str">
        <f>IFERROR(__xludf.DUMMYFUNCTION("""COMPUTED_VALUE"""),"El-Khawaga'S Dilemma")</f>
        <v>El-Khawaga'S Dilemma</v>
      </c>
      <c r="U2218" s="5" t="str">
        <f>IFERROR(__xludf.DUMMYFUNCTION("""COMPUTED_VALUE"""),"Sriram Raghavan")</f>
        <v>Sriram Raghavan</v>
      </c>
      <c r="V2218" s="5" t="s">
        <v>12627</v>
      </c>
      <c r="W2218" s="5" t="str">
        <f t="shared" si="3"/>
        <v>Keiko Yagi</v>
      </c>
      <c r="X2218" s="5">
        <f t="shared" si="4"/>
        <v>1</v>
      </c>
      <c r="Y2218" s="5" t="str">
        <f>IFERROR(__xludf.DUMMYFUNCTION("REGEXEXTRACT(J2218, ""^\d+"")"),"30")</f>
        <v>30</v>
      </c>
      <c r="Z2218" s="5" t="str">
        <f>IFERROR(__xludf.DUMMYFUNCTION("REGEXEXTRACT(J2218, ""[A-Za-z ]+$"")")," min")</f>
        <v> min</v>
      </c>
      <c r="AA2218" s="5" t="str">
        <f>IFERROR(__xludf.DUMMYFUNCTION("IF(REGEXMATCH(Z2218, ""Season""), ""TV Show"", ""Movie"")"),"Movie")</f>
        <v>Movie</v>
      </c>
    </row>
    <row r="2219">
      <c r="A2219" s="1" t="s">
        <v>12628</v>
      </c>
      <c r="B2219" s="1" t="s">
        <v>37</v>
      </c>
      <c r="C2219" s="1" t="s">
        <v>12629</v>
      </c>
      <c r="F2219" s="1" t="s">
        <v>30</v>
      </c>
      <c r="G2219" s="1" t="s">
        <v>12630</v>
      </c>
      <c r="H2219" s="1">
        <v>2020.0</v>
      </c>
      <c r="I2219" s="1" t="s">
        <v>42</v>
      </c>
      <c r="J2219" s="1" t="s">
        <v>51</v>
      </c>
      <c r="K2219" s="1" t="s">
        <v>2043</v>
      </c>
      <c r="L2219" s="1" t="s">
        <v>12631</v>
      </c>
      <c r="M2219" s="2" t="s">
        <v>12</v>
      </c>
      <c r="N2219" s="4">
        <f t="shared" si="1"/>
        <v>44034</v>
      </c>
      <c r="O2219" s="5" t="str">
        <f>IFERROR(__xludf.DUMMYFUNCTION("IF(REGEXMATCH(TRIM(I2219), ""^\d+\s*min""), ""Unclassified"", IF(I2219 = """", ""NR"", I2219))"),"TV-MA")</f>
        <v>TV-MA</v>
      </c>
      <c r="R2219" s="5" t="str">
        <f t="shared" si="2"/>
        <v>Fear City: New York Vs The Mafia</v>
      </c>
      <c r="S2219" s="5" t="str">
        <f>IFERROR(__xludf.DUMMYFUNCTION("""COMPUTED_VALUE"""),"Elaan")</f>
        <v>Elaan</v>
      </c>
      <c r="U2219" s="5" t="str">
        <f>IFERROR(__xludf.DUMMYFUNCTION("""COMPUTED_VALUE"""),"Elaine Bogan, John Sanford")</f>
        <v>Elaine Bogan, John Sanford</v>
      </c>
      <c r="V2219" s="5" t="s">
        <v>2412</v>
      </c>
      <c r="W2219" s="5" t="str">
        <f t="shared" si="3"/>
        <v>Keishi Otomo</v>
      </c>
      <c r="X2219" s="5">
        <f t="shared" si="4"/>
        <v>2</v>
      </c>
      <c r="Y2219" s="5" t="str">
        <f>IFERROR(__xludf.DUMMYFUNCTION("REGEXEXTRACT(J2219, ""^\d+"")"),"1")</f>
        <v>1</v>
      </c>
      <c r="Z2219" s="5" t="str">
        <f>IFERROR(__xludf.DUMMYFUNCTION("REGEXEXTRACT(J2219, ""[A-Za-z ]+$"")")," Season")</f>
        <v> Season</v>
      </c>
      <c r="AA2219" s="5" t="str">
        <f>IFERROR(__xludf.DUMMYFUNCTION("IF(REGEXMATCH(Z2219, ""Season""), ""TV Show"", ""Movie"")"),"TV Show")</f>
        <v>TV Show</v>
      </c>
    </row>
    <row r="2220">
      <c r="A2220" s="1" t="s">
        <v>12632</v>
      </c>
      <c r="B2220" s="1" t="s">
        <v>37</v>
      </c>
      <c r="C2220" s="1" t="s">
        <v>12633</v>
      </c>
      <c r="E2220" s="1" t="s">
        <v>12634</v>
      </c>
      <c r="F2220" s="1" t="s">
        <v>8498</v>
      </c>
      <c r="G2220" s="1" t="s">
        <v>12630</v>
      </c>
      <c r="H2220" s="1">
        <v>2020.0</v>
      </c>
      <c r="I2220" s="1" t="s">
        <v>42</v>
      </c>
      <c r="J2220" s="1" t="s">
        <v>276</v>
      </c>
      <c r="K2220" s="1" t="s">
        <v>1294</v>
      </c>
      <c r="L2220" s="1" t="s">
        <v>12635</v>
      </c>
      <c r="M2220" s="2" t="s">
        <v>12</v>
      </c>
      <c r="N2220" s="4">
        <f t="shared" si="1"/>
        <v>44034</v>
      </c>
      <c r="O2220" s="5" t="str">
        <f>IFERROR(__xludf.DUMMYFUNCTION("IF(REGEXMATCH(TRIM(I2220), ""^\d+\s*min""), ""Unclassified"", IF(I2220 = """", ""NR"", I2220))"),"TV-MA")</f>
        <v>TV-MA</v>
      </c>
      <c r="R2220" s="5" t="str">
        <f t="shared" si="2"/>
        <v>Norsemen</v>
      </c>
      <c r="S2220" s="5" t="str">
        <f>IFERROR(__xludf.DUMMYFUNCTION("""COMPUTED_VALUE"""),"Elena")</f>
        <v>Elena</v>
      </c>
      <c r="U2220" s="5" t="str">
        <f>IFERROR(__xludf.DUMMYFUNCTION("""COMPUTED_VALUE"""),"Michael Cuesta")</f>
        <v>Michael Cuesta</v>
      </c>
      <c r="V2220" s="5" t="s">
        <v>12636</v>
      </c>
      <c r="W2220" s="5" t="str">
        <f t="shared" si="3"/>
        <v>Keith Fulton, Louis Pepe</v>
      </c>
      <c r="X2220" s="5">
        <f t="shared" si="4"/>
        <v>1</v>
      </c>
      <c r="Y2220" s="5" t="str">
        <f>IFERROR(__xludf.DUMMYFUNCTION("REGEXEXTRACT(J2220, ""^\d+"")"),"3")</f>
        <v>3</v>
      </c>
      <c r="Z2220" s="5" t="str">
        <f>IFERROR(__xludf.DUMMYFUNCTION("REGEXEXTRACT(J2220, ""[A-Za-z ]+$"")")," Seasons")</f>
        <v> Seasons</v>
      </c>
      <c r="AA2220" s="5" t="str">
        <f>IFERROR(__xludf.DUMMYFUNCTION("IF(REGEXMATCH(Z2220, ""Season""), ""TV Show"", ""Movie"")"),"TV Show")</f>
        <v>TV Show</v>
      </c>
    </row>
    <row r="2221">
      <c r="A2221" s="1" t="s">
        <v>12637</v>
      </c>
      <c r="B2221" s="1" t="s">
        <v>27</v>
      </c>
      <c r="C2221" s="1" t="s">
        <v>12638</v>
      </c>
      <c r="D2221" s="1" t="s">
        <v>12639</v>
      </c>
      <c r="F2221" s="1" t="s">
        <v>30</v>
      </c>
      <c r="G2221" s="1" t="s">
        <v>12630</v>
      </c>
      <c r="H2221" s="1">
        <v>2019.0</v>
      </c>
      <c r="I2221" s="1" t="s">
        <v>42</v>
      </c>
      <c r="J2221" s="1" t="s">
        <v>155</v>
      </c>
      <c r="K2221" s="1" t="s">
        <v>700</v>
      </c>
      <c r="L2221" s="1" t="s">
        <v>12640</v>
      </c>
      <c r="M2221" s="2" t="s">
        <v>12</v>
      </c>
      <c r="N2221" s="4">
        <f t="shared" si="1"/>
        <v>44034</v>
      </c>
      <c r="O2221" s="5" t="str">
        <f>IFERROR(__xludf.DUMMYFUNCTION("IF(REGEXMATCH(TRIM(I2221), ""^\d+\s*min""), ""Unclassified"", IF(I2221 = """", ""NR"", I2221))"),"TV-MA")</f>
        <v>TV-MA</v>
      </c>
      <c r="R2221" s="5" t="str">
        <f t="shared" si="2"/>
        <v>The Remix: Hip Hop X Fashion</v>
      </c>
      <c r="S2221" s="5" t="str">
        <f>IFERROR(__xludf.DUMMYFUNCTION("""COMPUTED_VALUE"""),"Elephants Dream 4 Hour")</f>
        <v>Elephants Dream 4 Hour</v>
      </c>
      <c r="U2221" s="5" t="str">
        <f>IFERROR(__xludf.DUMMYFUNCTION("""COMPUTED_VALUE"""),"David Cronenberg")</f>
        <v>David Cronenberg</v>
      </c>
      <c r="V2221" s="5" t="s">
        <v>12641</v>
      </c>
      <c r="W2221" s="5" t="str">
        <f t="shared" si="3"/>
        <v>Keith L. Smith</v>
      </c>
      <c r="X2221" s="5">
        <f t="shared" si="4"/>
        <v>1</v>
      </c>
      <c r="Y2221" s="5" t="str">
        <f>IFERROR(__xludf.DUMMYFUNCTION("REGEXEXTRACT(J2221, ""^\d+"")"),"67")</f>
        <v>67</v>
      </c>
      <c r="Z2221" s="5" t="str">
        <f>IFERROR(__xludf.DUMMYFUNCTION("REGEXEXTRACT(J2221, ""[A-Za-z ]+$"")")," min")</f>
        <v> min</v>
      </c>
      <c r="AA2221" s="5" t="str">
        <f>IFERROR(__xludf.DUMMYFUNCTION("IF(REGEXMATCH(Z2221, ""Season""), ""TV Show"", ""Movie"")"),"Movie")</f>
        <v>Movie</v>
      </c>
    </row>
    <row r="2222">
      <c r="A2222" s="1" t="s">
        <v>12642</v>
      </c>
      <c r="B2222" s="1" t="s">
        <v>27</v>
      </c>
      <c r="C2222" s="1" t="s">
        <v>12643</v>
      </c>
      <c r="D2222" s="1" t="s">
        <v>12644</v>
      </c>
      <c r="E2222" s="1" t="s">
        <v>12645</v>
      </c>
      <c r="F2222" s="1" t="s">
        <v>12646</v>
      </c>
      <c r="G2222" s="1" t="s">
        <v>12647</v>
      </c>
      <c r="H2222" s="1">
        <v>2019.0</v>
      </c>
      <c r="I2222" s="1" t="s">
        <v>42</v>
      </c>
      <c r="J2222" s="1" t="s">
        <v>305</v>
      </c>
      <c r="K2222" s="1" t="s">
        <v>306</v>
      </c>
      <c r="L2222" s="1" t="s">
        <v>12648</v>
      </c>
      <c r="M2222" s="2" t="s">
        <v>12</v>
      </c>
      <c r="N2222" s="4">
        <f t="shared" si="1"/>
        <v>44033</v>
      </c>
      <c r="O2222" s="5" t="str">
        <f>IFERROR(__xludf.DUMMYFUNCTION("IF(REGEXMATCH(TRIM(I2222), ""^\d+\s*min""), ""Unclassified"", IF(I2222 = """", ""NR"", I2222))"),"TV-MA")</f>
        <v>TV-MA</v>
      </c>
      <c r="R2222" s="5" t="str">
        <f t="shared" si="2"/>
        <v>Ip Man 4: The Finale</v>
      </c>
      <c r="S2222" s="5" t="str">
        <f>IFERROR(__xludf.DUMMYFUNCTION("""COMPUTED_VALUE"""),"Elevator Baby")</f>
        <v>Elevator Baby</v>
      </c>
      <c r="U2222" s="5" t="str">
        <f>IFERROR(__xludf.DUMMYFUNCTION("""COMPUTED_VALUE"""),"Thom Zimny")</f>
        <v>Thom Zimny</v>
      </c>
      <c r="V2222" s="5" t="s">
        <v>12649</v>
      </c>
      <c r="W2222" s="5" t="str">
        <f t="shared" si="3"/>
        <v>Keith Malloy</v>
      </c>
      <c r="X2222" s="5">
        <f t="shared" si="4"/>
        <v>1</v>
      </c>
      <c r="Y2222" s="5" t="str">
        <f>IFERROR(__xludf.DUMMYFUNCTION("REGEXEXTRACT(J2222, ""^\d+"")"),"105")</f>
        <v>105</v>
      </c>
      <c r="Z2222" s="5" t="str">
        <f>IFERROR(__xludf.DUMMYFUNCTION("REGEXEXTRACT(J2222, ""[A-Za-z ]+$"")")," min")</f>
        <v> min</v>
      </c>
      <c r="AA2222" s="5" t="str">
        <f>IFERROR(__xludf.DUMMYFUNCTION("IF(REGEXMATCH(Z2222, ""Season""), ""TV Show"", ""Movie"")"),"Movie")</f>
        <v>Movie</v>
      </c>
    </row>
    <row r="2223">
      <c r="A2223" s="1" t="s">
        <v>12650</v>
      </c>
      <c r="B2223" s="1" t="s">
        <v>27</v>
      </c>
      <c r="C2223" s="1" t="s">
        <v>12651</v>
      </c>
      <c r="D2223" s="1" t="s">
        <v>5785</v>
      </c>
      <c r="E2223" s="1" t="s">
        <v>12652</v>
      </c>
      <c r="F2223" s="1" t="s">
        <v>96</v>
      </c>
      <c r="G2223" s="1" t="s">
        <v>12647</v>
      </c>
      <c r="H2223" s="1">
        <v>2020.0</v>
      </c>
      <c r="I2223" s="1" t="s">
        <v>42</v>
      </c>
      <c r="J2223" s="1" t="s">
        <v>4693</v>
      </c>
      <c r="K2223" s="1" t="s">
        <v>1839</v>
      </c>
      <c r="L2223" s="1" t="s">
        <v>12653</v>
      </c>
      <c r="M2223" s="2" t="s">
        <v>12</v>
      </c>
      <c r="N2223" s="4">
        <f t="shared" si="1"/>
        <v>44033</v>
      </c>
      <c r="O2223" s="5" t="str">
        <f>IFERROR(__xludf.DUMMYFUNCTION("IF(REGEXMATCH(TRIM(I2223), ""^\d+\s*min""), ""Unclassified"", IF(I2223 = """", ""NR"", I2223))"),"TV-MA")</f>
        <v>TV-MA</v>
      </c>
      <c r="R2223" s="5" t="str">
        <f t="shared" si="2"/>
        <v>Jack Whitehall: I'M Only Joking</v>
      </c>
      <c r="S2223" s="5" t="str">
        <f>IFERROR(__xludf.DUMMYFUNCTION("""COMPUTED_VALUE"""),"Elf Pets: A Fox Cub’S Christmas Tale")</f>
        <v>Elf Pets: A Fox Cub’S Christmas Tale</v>
      </c>
      <c r="U2223" s="5" t="str">
        <f>IFERROR(__xludf.DUMMYFUNCTION("""COMPUTED_VALUE"""),"James Marsh")</f>
        <v>James Marsh</v>
      </c>
      <c r="V2223" s="5" t="s">
        <v>12654</v>
      </c>
      <c r="W2223" s="5" t="str">
        <f t="shared" si="3"/>
        <v>Keith Scholey</v>
      </c>
      <c r="X2223" s="5">
        <f t="shared" si="4"/>
        <v>1</v>
      </c>
      <c r="Y2223" s="5" t="str">
        <f>IFERROR(__xludf.DUMMYFUNCTION("REGEXEXTRACT(J2223, ""^\d+"")"),"58")</f>
        <v>58</v>
      </c>
      <c r="Z2223" s="5" t="str">
        <f>IFERROR(__xludf.DUMMYFUNCTION("REGEXEXTRACT(J2223, ""[A-Za-z ]+$"")")," min")</f>
        <v> min</v>
      </c>
      <c r="AA2223" s="5" t="str">
        <f>IFERROR(__xludf.DUMMYFUNCTION("IF(REGEXMATCH(Z2223, ""Season""), ""TV Show"", ""Movie"")"),"Movie")</f>
        <v>Movie</v>
      </c>
    </row>
    <row r="2224">
      <c r="A2224" s="1" t="s">
        <v>12655</v>
      </c>
      <c r="B2224" s="1" t="s">
        <v>37</v>
      </c>
      <c r="C2224" s="1" t="s">
        <v>12656</v>
      </c>
      <c r="G2224" s="1" t="s">
        <v>12647</v>
      </c>
      <c r="H2224" s="1">
        <v>2020.0</v>
      </c>
      <c r="I2224" s="1" t="s">
        <v>136</v>
      </c>
      <c r="J2224" s="1" t="s">
        <v>51</v>
      </c>
      <c r="K2224" s="1" t="s">
        <v>8990</v>
      </c>
      <c r="L2224" s="1" t="s">
        <v>12657</v>
      </c>
      <c r="M2224" s="2" t="s">
        <v>12</v>
      </c>
      <c r="N2224" s="4">
        <f t="shared" si="1"/>
        <v>44033</v>
      </c>
      <c r="O2224" s="5" t="str">
        <f>IFERROR(__xludf.DUMMYFUNCTION("IF(REGEXMATCH(TRIM(I2224), ""^\d+\s*min""), ""Unclassified"", IF(I2224 = """", ""NR"", I2224))"),"TV-PG")</f>
        <v>TV-PG</v>
      </c>
      <c r="R2224" s="5" t="str">
        <f t="shared" si="2"/>
        <v>Street Food: Latin America</v>
      </c>
      <c r="S2224" s="5" t="str">
        <f>IFERROR(__xludf.DUMMYFUNCTION("""COMPUTED_VALUE"""),"Elf Pets: Santa’S Reindeer Rescue")</f>
        <v>Elf Pets: Santa’S Reindeer Rescue</v>
      </c>
      <c r="U2224" s="5" t="str">
        <f>IFERROR(__xludf.DUMMYFUNCTION("""COMPUTED_VALUE"""),"Sean Olson")</f>
        <v>Sean Olson</v>
      </c>
      <c r="V2224" s="5" t="s">
        <v>12658</v>
      </c>
      <c r="W2224" s="5" t="str">
        <f t="shared" si="3"/>
        <v>Kelly Duane De La Vega</v>
      </c>
      <c r="X2224" s="5">
        <f t="shared" si="4"/>
        <v>1</v>
      </c>
      <c r="Y2224" s="5" t="str">
        <f>IFERROR(__xludf.DUMMYFUNCTION("REGEXEXTRACT(J2224, ""^\d+"")"),"1")</f>
        <v>1</v>
      </c>
      <c r="Z2224" s="5" t="str">
        <f>IFERROR(__xludf.DUMMYFUNCTION("REGEXEXTRACT(J2224, ""[A-Za-z ]+$"")")," Season")</f>
        <v> Season</v>
      </c>
      <c r="AA2224" s="5" t="str">
        <f>IFERROR(__xludf.DUMMYFUNCTION("IF(REGEXMATCH(Z2224, ""Season""), ""TV Show"", ""Movie"")"),"TV Show")</f>
        <v>TV Show</v>
      </c>
    </row>
    <row r="2225">
      <c r="A2225" s="1" t="s">
        <v>12659</v>
      </c>
      <c r="B2225" s="1" t="s">
        <v>37</v>
      </c>
      <c r="C2225" s="1" t="s">
        <v>12660</v>
      </c>
      <c r="E2225" s="1" t="s">
        <v>12661</v>
      </c>
      <c r="F2225" s="1" t="s">
        <v>96</v>
      </c>
      <c r="G2225" s="1" t="s">
        <v>12662</v>
      </c>
      <c r="H2225" s="1">
        <v>2017.0</v>
      </c>
      <c r="I2225" s="1" t="s">
        <v>42</v>
      </c>
      <c r="J2225" s="1" t="s">
        <v>51</v>
      </c>
      <c r="K2225" s="1" t="s">
        <v>142</v>
      </c>
      <c r="L2225" s="1" t="s">
        <v>12663</v>
      </c>
      <c r="M2225" s="2" t="s">
        <v>12</v>
      </c>
      <c r="N2225" s="4">
        <f t="shared" si="1"/>
        <v>44031</v>
      </c>
      <c r="O2225" s="5" t="str">
        <f>IFERROR(__xludf.DUMMYFUNCTION("IF(REGEXMATCH(TRIM(I2225), ""^\d+\s*min""), ""Unclassified"", IF(I2225 = """", ""NR"", I2225))"),"TV-MA")</f>
        <v>TV-MA</v>
      </c>
      <c r="R2225" s="5" t="str">
        <f t="shared" si="2"/>
        <v>Killer Women With Piers Morgan</v>
      </c>
      <c r="S2225" s="5" t="str">
        <f>IFERROR(__xludf.DUMMYFUNCTION("""COMPUTED_VALUE"""),"Eli")</f>
        <v>Eli</v>
      </c>
      <c r="U2225" s="5" t="str">
        <f>IFERROR(__xludf.DUMMYFUNCTION("""COMPUTED_VALUE"""),"Sigrid Andrea Bernardo")</f>
        <v>Sigrid Andrea Bernardo</v>
      </c>
      <c r="V2225" s="5" t="s">
        <v>2294</v>
      </c>
      <c r="W2225" s="5" t="str">
        <f t="shared" si="3"/>
        <v>Kelly Fremon Craig</v>
      </c>
      <c r="X2225" s="5">
        <f t="shared" si="4"/>
        <v>1</v>
      </c>
      <c r="Y2225" s="5" t="str">
        <f>IFERROR(__xludf.DUMMYFUNCTION("REGEXEXTRACT(J2225, ""^\d+"")"),"1")</f>
        <v>1</v>
      </c>
      <c r="Z2225" s="5" t="str">
        <f>IFERROR(__xludf.DUMMYFUNCTION("REGEXEXTRACT(J2225, ""[A-Za-z ]+$"")")," Season")</f>
        <v> Season</v>
      </c>
      <c r="AA2225" s="5" t="str">
        <f>IFERROR(__xludf.DUMMYFUNCTION("IF(REGEXMATCH(Z2225, ""Season""), ""TV Show"", ""Movie"")"),"TV Show")</f>
        <v>TV Show</v>
      </c>
    </row>
    <row r="2226">
      <c r="A2226" s="1" t="s">
        <v>12664</v>
      </c>
      <c r="B2226" s="1" t="s">
        <v>27</v>
      </c>
      <c r="C2226" s="1" t="s">
        <v>12665</v>
      </c>
      <c r="D2226" s="1" t="s">
        <v>6316</v>
      </c>
      <c r="E2226" s="1" t="s">
        <v>12666</v>
      </c>
      <c r="F2226" s="1" t="s">
        <v>12667</v>
      </c>
      <c r="G2226" s="1" t="s">
        <v>12668</v>
      </c>
      <c r="H2226" s="1">
        <v>2018.0</v>
      </c>
      <c r="I2226" s="1" t="s">
        <v>97</v>
      </c>
      <c r="J2226" s="1" t="s">
        <v>630</v>
      </c>
      <c r="K2226" s="1" t="s">
        <v>128</v>
      </c>
      <c r="L2226" s="1" t="s">
        <v>12669</v>
      </c>
      <c r="M2226" s="2" t="s">
        <v>12</v>
      </c>
      <c r="N2226" s="4">
        <f t="shared" si="1"/>
        <v>44030</v>
      </c>
      <c r="O2226" s="5" t="str">
        <f>IFERROR(__xludf.DUMMYFUNCTION("IF(REGEXMATCH(TRIM(I2226), ""^\d+\s*min""), ""Unclassified"", IF(I2226 = """", ""NR"", I2226))"),"TV-14")</f>
        <v>TV-14</v>
      </c>
      <c r="R2226" s="5" t="str">
        <f t="shared" si="2"/>
        <v>Funan</v>
      </c>
      <c r="S2226" s="5" t="str">
        <f>IFERROR(__xludf.DUMMYFUNCTION("""COMPUTED_VALUE"""),"Elisa &amp; Marcela")</f>
        <v>Elisa &amp; Marcela</v>
      </c>
      <c r="U2226" s="5" t="str">
        <f>IFERROR(__xludf.DUMMYFUNCTION("""COMPUTED_VALUE"""),"Guillermo De Oliveira")</f>
        <v>Guillermo De Oliveira</v>
      </c>
      <c r="V2226" s="5" t="s">
        <v>12670</v>
      </c>
      <c r="W2226" s="5" t="str">
        <f t="shared" si="3"/>
        <v>Kelly Noonan</v>
      </c>
      <c r="X2226" s="5">
        <f t="shared" si="4"/>
        <v>1</v>
      </c>
      <c r="Y2226" s="5" t="str">
        <f>IFERROR(__xludf.DUMMYFUNCTION("REGEXEXTRACT(J2226, ""^\d+"")"),"87")</f>
        <v>87</v>
      </c>
      <c r="Z2226" s="5" t="str">
        <f>IFERROR(__xludf.DUMMYFUNCTION("REGEXEXTRACT(J2226, ""[A-Za-z ]+$"")")," min")</f>
        <v> min</v>
      </c>
      <c r="AA2226" s="5" t="str">
        <f>IFERROR(__xludf.DUMMYFUNCTION("IF(REGEXMATCH(Z2226, ""Season""), ""TV Show"", ""Movie"")"),"Movie")</f>
        <v>Movie</v>
      </c>
    </row>
    <row r="2227">
      <c r="A2227" s="1" t="s">
        <v>12671</v>
      </c>
      <c r="B2227" s="1" t="s">
        <v>37</v>
      </c>
      <c r="C2227" s="1" t="s">
        <v>12672</v>
      </c>
      <c r="F2227" s="1" t="s">
        <v>664</v>
      </c>
      <c r="G2227" s="1" t="s">
        <v>12668</v>
      </c>
      <c r="H2227" s="1">
        <v>2019.0</v>
      </c>
      <c r="I2227" s="1" t="s">
        <v>206</v>
      </c>
      <c r="J2227" s="1" t="s">
        <v>51</v>
      </c>
      <c r="K2227" s="1" t="s">
        <v>290</v>
      </c>
      <c r="L2227" s="1" t="s">
        <v>12673</v>
      </c>
      <c r="M2227" s="2" t="s">
        <v>12</v>
      </c>
      <c r="N2227" s="4">
        <f t="shared" si="1"/>
        <v>44030</v>
      </c>
      <c r="O2227" s="5" t="str">
        <f>IFERROR(__xludf.DUMMYFUNCTION("IF(REGEXMATCH(TRIM(I2227), ""^\d+\s*min""), ""Unclassified"", IF(I2227 = """", ""NR"", I2227))"),"TV-Y")</f>
        <v>TV-Y</v>
      </c>
      <c r="R2227" s="5" t="str">
        <f t="shared" si="2"/>
        <v>Gigantosaurus</v>
      </c>
      <c r="S2227" s="5" t="str">
        <f>IFERROR(__xludf.DUMMYFUNCTION("""COMPUTED_VALUE"""),"Elite")</f>
        <v>Elite</v>
      </c>
      <c r="U2227" s="5" t="str">
        <f>IFERROR(__xludf.DUMMYFUNCTION("""COMPUTED_VALUE"""),"Manoj Beedha")</f>
        <v>Manoj Beedha</v>
      </c>
      <c r="V2227" s="5" t="s">
        <v>12674</v>
      </c>
      <c r="W2227" s="5" t="str">
        <f t="shared" si="3"/>
        <v>Kelly Reichardt</v>
      </c>
      <c r="X2227" s="5">
        <f t="shared" si="4"/>
        <v>1</v>
      </c>
      <c r="Y2227" s="5" t="str">
        <f>IFERROR(__xludf.DUMMYFUNCTION("REGEXEXTRACT(J2227, ""^\d+"")"),"1")</f>
        <v>1</v>
      </c>
      <c r="Z2227" s="5" t="str">
        <f>IFERROR(__xludf.DUMMYFUNCTION("REGEXEXTRACT(J2227, ""[A-Za-z ]+$"")")," Season")</f>
        <v> Season</v>
      </c>
      <c r="AA2227" s="5" t="str">
        <f>IFERROR(__xludf.DUMMYFUNCTION("IF(REGEXMATCH(Z2227, ""Season""), ""TV Show"", ""Movie"")"),"TV Show")</f>
        <v>TV Show</v>
      </c>
    </row>
    <row r="2228">
      <c r="A2228" s="1" t="s">
        <v>12675</v>
      </c>
      <c r="B2228" s="1" t="s">
        <v>37</v>
      </c>
      <c r="C2228" s="1" t="s">
        <v>12676</v>
      </c>
      <c r="E2228" s="1" t="s">
        <v>12677</v>
      </c>
      <c r="F2228" s="1" t="s">
        <v>221</v>
      </c>
      <c r="G2228" s="1" t="s">
        <v>12668</v>
      </c>
      <c r="H2228" s="1">
        <v>2018.0</v>
      </c>
      <c r="I2228" s="1" t="s">
        <v>42</v>
      </c>
      <c r="J2228" s="1" t="s">
        <v>51</v>
      </c>
      <c r="K2228" s="1" t="s">
        <v>4008</v>
      </c>
      <c r="L2228" s="1" t="s">
        <v>12678</v>
      </c>
      <c r="M2228" s="2" t="s">
        <v>12</v>
      </c>
      <c r="N2228" s="4">
        <f t="shared" si="1"/>
        <v>44030</v>
      </c>
      <c r="O2228" s="5" t="str">
        <f>IFERROR(__xludf.DUMMYFUNCTION("IF(REGEXMATCH(TRIM(I2228), ""^\d+\s*min""), ""Unclassified"", IF(I2228 = """", ""NR"", I2228))"),"TV-MA")</f>
        <v>TV-MA</v>
      </c>
      <c r="R2228" s="5" t="str">
        <f t="shared" si="2"/>
        <v>Single Wives</v>
      </c>
      <c r="S2228" s="5" t="str">
        <f>IFERROR(__xludf.DUMMYFUNCTION("""COMPUTED_VALUE"""),"Elite Short Stories: Carla Samuel")</f>
        <v>Elite Short Stories: Carla Samuel</v>
      </c>
      <c r="U2228" s="5" t="str">
        <f>IFERROR(__xludf.DUMMYFUNCTION("""COMPUTED_VALUE"""),"Alfonso Cuarón")</f>
        <v>Alfonso Cuarón</v>
      </c>
      <c r="V2228" s="5" t="s">
        <v>549</v>
      </c>
      <c r="W2228" s="5" t="str">
        <f t="shared" si="3"/>
        <v>Kemi Adetiba</v>
      </c>
      <c r="X2228" s="5">
        <f t="shared" si="4"/>
        <v>3</v>
      </c>
      <c r="Y2228" s="5" t="str">
        <f>IFERROR(__xludf.DUMMYFUNCTION("REGEXEXTRACT(J2228, ""^\d+"")"),"1")</f>
        <v>1</v>
      </c>
      <c r="Z2228" s="5" t="str">
        <f>IFERROR(__xludf.DUMMYFUNCTION("REGEXEXTRACT(J2228, ""[A-Za-z ]+$"")")," Season")</f>
        <v> Season</v>
      </c>
      <c r="AA2228" s="5" t="str">
        <f>IFERROR(__xludf.DUMMYFUNCTION("IF(REGEXMATCH(Z2228, ""Season""), ""TV Show"", ""Movie"")"),"TV Show")</f>
        <v>TV Show</v>
      </c>
    </row>
    <row r="2229">
      <c r="A2229" s="1" t="s">
        <v>12679</v>
      </c>
      <c r="B2229" s="1" t="s">
        <v>37</v>
      </c>
      <c r="C2229" s="1" t="s">
        <v>12680</v>
      </c>
      <c r="E2229" s="1" t="s">
        <v>12681</v>
      </c>
      <c r="F2229" s="1" t="s">
        <v>12682</v>
      </c>
      <c r="G2229" s="1" t="s">
        <v>12683</v>
      </c>
      <c r="H2229" s="1">
        <v>2020.0</v>
      </c>
      <c r="I2229" s="1" t="s">
        <v>42</v>
      </c>
      <c r="J2229" s="1" t="s">
        <v>51</v>
      </c>
      <c r="K2229" s="1" t="s">
        <v>3223</v>
      </c>
      <c r="L2229" s="1" t="s">
        <v>12684</v>
      </c>
      <c r="M2229" s="2" t="s">
        <v>12</v>
      </c>
      <c r="N2229" s="4">
        <f t="shared" si="1"/>
        <v>44029</v>
      </c>
      <c r="O2229" s="5" t="str">
        <f>IFERROR(__xludf.DUMMYFUNCTION("IF(REGEXMATCH(TRIM(I2229), ""^\d+\s*min""), ""Unclassified"", IF(I2229 = """", ""NR"", I2229))"),"TV-MA")</f>
        <v>TV-MA</v>
      </c>
      <c r="R2229" s="5" t="str">
        <f t="shared" si="2"/>
        <v>Cursed</v>
      </c>
      <c r="S2229" s="5" t="str">
        <f>IFERROR(__xludf.DUMMYFUNCTION("""COMPUTED_VALUE"""),"Elite Short Stories: Guzmán Caye Rebe")</f>
        <v>Elite Short Stories: Guzmán Caye Rebe</v>
      </c>
      <c r="U2229" s="5" t="str">
        <f>IFERROR(__xludf.DUMMYFUNCTION("""COMPUTED_VALUE"""),"John Hoffman, Nanfu Wang")</f>
        <v>John Hoffman, Nanfu Wang</v>
      </c>
      <c r="V2229" s="5" t="s">
        <v>12685</v>
      </c>
      <c r="W2229" s="5" t="str">
        <f t="shared" si="3"/>
        <v>Ken Barbet</v>
      </c>
      <c r="X2229" s="5">
        <f t="shared" si="4"/>
        <v>1</v>
      </c>
      <c r="Y2229" s="5" t="str">
        <f>IFERROR(__xludf.DUMMYFUNCTION("REGEXEXTRACT(J2229, ""^\d+"")"),"1")</f>
        <v>1</v>
      </c>
      <c r="Z2229" s="5" t="str">
        <f>IFERROR(__xludf.DUMMYFUNCTION("REGEXEXTRACT(J2229, ""[A-Za-z ]+$"")")," Season")</f>
        <v> Season</v>
      </c>
      <c r="AA2229" s="5" t="str">
        <f>IFERROR(__xludf.DUMMYFUNCTION("IF(REGEXMATCH(Z2229, ""Season""), ""TV Show"", ""Movie"")"),"TV Show")</f>
        <v>TV Show</v>
      </c>
    </row>
    <row r="2230">
      <c r="A2230" s="1" t="s">
        <v>12686</v>
      </c>
      <c r="B2230" s="1" t="s">
        <v>27</v>
      </c>
      <c r="C2230" s="1" t="s">
        <v>12687</v>
      </c>
      <c r="D2230" s="1" t="s">
        <v>12688</v>
      </c>
      <c r="F2230" s="1" t="s">
        <v>30</v>
      </c>
      <c r="G2230" s="1" t="s">
        <v>12683</v>
      </c>
      <c r="H2230" s="1">
        <v>2020.0</v>
      </c>
      <c r="I2230" s="1" t="s">
        <v>378</v>
      </c>
      <c r="J2230" s="1" t="s">
        <v>433</v>
      </c>
      <c r="K2230" s="1" t="s">
        <v>34</v>
      </c>
      <c r="L2230" s="1" t="s">
        <v>12689</v>
      </c>
      <c r="M2230" s="2" t="s">
        <v>12</v>
      </c>
      <c r="N2230" s="4">
        <f t="shared" si="1"/>
        <v>44029</v>
      </c>
      <c r="O2230" s="5" t="str">
        <f>IFERROR(__xludf.DUMMYFUNCTION("IF(REGEXMATCH(TRIM(I2230), ""^\d+\s*min""), ""Unclassified"", IF(I2230 = """", ""NR"", I2230))"),"R")</f>
        <v>R</v>
      </c>
      <c r="R2230" s="5" t="str">
        <f t="shared" si="2"/>
        <v>Father Soldier Son</v>
      </c>
      <c r="S2230" s="5" t="str">
        <f>IFERROR(__xludf.DUMMYFUNCTION("""COMPUTED_VALUE"""),"Elite Short Stories: Nadia Guzmán")</f>
        <v>Elite Short Stories: Nadia Guzmán</v>
      </c>
      <c r="U2230" s="5" t="str">
        <f>IFERROR(__xludf.DUMMYFUNCTION("""COMPUTED_VALUE"""),"Marco Risi")</f>
        <v>Marco Risi</v>
      </c>
      <c r="V2230" s="5" t="s">
        <v>12690</v>
      </c>
      <c r="W2230" s="5" t="str">
        <f t="shared" si="3"/>
        <v>Ken Burns</v>
      </c>
      <c r="X2230" s="5">
        <f t="shared" si="4"/>
        <v>2</v>
      </c>
      <c r="Y2230" s="5" t="str">
        <f>IFERROR(__xludf.DUMMYFUNCTION("REGEXEXTRACT(J2230, ""^\d+"")"),"100")</f>
        <v>100</v>
      </c>
      <c r="Z2230" s="5" t="str">
        <f>IFERROR(__xludf.DUMMYFUNCTION("REGEXEXTRACT(J2230, ""[A-Za-z ]+$"")")," min")</f>
        <v> min</v>
      </c>
      <c r="AA2230" s="5" t="str">
        <f>IFERROR(__xludf.DUMMYFUNCTION("IF(REGEXMATCH(Z2230, ""Season""), ""TV Show"", ""Movie"")"),"Movie")</f>
        <v>Movie</v>
      </c>
    </row>
    <row r="2231">
      <c r="A2231" s="1" t="s">
        <v>12691</v>
      </c>
      <c r="B2231" s="1" t="s">
        <v>37</v>
      </c>
      <c r="C2231" s="1" t="s">
        <v>12692</v>
      </c>
      <c r="E2231" s="1" t="s">
        <v>12693</v>
      </c>
      <c r="F2231" s="1" t="s">
        <v>30</v>
      </c>
      <c r="G2231" s="1" t="s">
        <v>12683</v>
      </c>
      <c r="H2231" s="1">
        <v>2020.0</v>
      </c>
      <c r="I2231" s="1" t="s">
        <v>97</v>
      </c>
      <c r="J2231" s="1" t="s">
        <v>43</v>
      </c>
      <c r="K2231" s="1" t="s">
        <v>4118</v>
      </c>
      <c r="L2231" s="1" t="s">
        <v>12694</v>
      </c>
      <c r="M2231" s="2" t="s">
        <v>12</v>
      </c>
      <c r="N2231" s="4">
        <f t="shared" si="1"/>
        <v>44029</v>
      </c>
      <c r="O2231" s="5" t="str">
        <f>IFERROR(__xludf.DUMMYFUNCTION("IF(REGEXMATCH(TRIM(I2231), ""^\d+\s*min""), ""Unclassified"", IF(I2231 = """", ""NR"", I2231))"),"TV-14")</f>
        <v>TV-14</v>
      </c>
      <c r="R2231" s="5" t="str">
        <f t="shared" si="2"/>
        <v>In The Dark</v>
      </c>
      <c r="S2231" s="5" t="str">
        <f>IFERROR(__xludf.DUMMYFUNCTION("""COMPUTED_VALUE"""),"Elite Short Stories: Omar Ander Alexis")</f>
        <v>Elite Short Stories: Omar Ander Alexis</v>
      </c>
      <c r="U2231" s="5" t="str">
        <f>IFERROR(__xludf.DUMMYFUNCTION("""COMPUTED_VALUE"""),"Anne Fletcher")</f>
        <v>Anne Fletcher</v>
      </c>
      <c r="V2231" s="5" t="s">
        <v>12695</v>
      </c>
      <c r="W2231" s="5" t="str">
        <f t="shared" si="3"/>
        <v>Ken Burns, Artemis Joukowsky</v>
      </c>
      <c r="X2231" s="5">
        <f t="shared" si="4"/>
        <v>1</v>
      </c>
      <c r="Y2231" s="5" t="str">
        <f>IFERROR(__xludf.DUMMYFUNCTION("REGEXEXTRACT(J2231, ""^\d+"")"),"2")</f>
        <v>2</v>
      </c>
      <c r="Z2231" s="5" t="str">
        <f>IFERROR(__xludf.DUMMYFUNCTION("REGEXEXTRACT(J2231, ""[A-Za-z ]+$"")")," Seasons")</f>
        <v> Seasons</v>
      </c>
      <c r="AA2231" s="5" t="str">
        <f>IFERROR(__xludf.DUMMYFUNCTION("IF(REGEXMATCH(Z2231, ""Season""), ""TV Show"", ""Movie"")"),"TV Show")</f>
        <v>TV Show</v>
      </c>
    </row>
    <row r="2232">
      <c r="A2232" s="1" t="s">
        <v>12696</v>
      </c>
      <c r="B2232" s="1" t="s">
        <v>37</v>
      </c>
      <c r="C2232" s="1" t="s">
        <v>12697</v>
      </c>
      <c r="E2232" s="1" t="s">
        <v>12698</v>
      </c>
      <c r="F2232" s="1" t="s">
        <v>1992</v>
      </c>
      <c r="G2232" s="1" t="s">
        <v>12683</v>
      </c>
      <c r="H2232" s="1">
        <v>2020.0</v>
      </c>
      <c r="I2232" s="1" t="s">
        <v>42</v>
      </c>
      <c r="J2232" s="1" t="s">
        <v>51</v>
      </c>
      <c r="K2232" s="1" t="s">
        <v>44</v>
      </c>
      <c r="L2232" s="1" t="s">
        <v>12699</v>
      </c>
      <c r="M2232" s="2" t="s">
        <v>12</v>
      </c>
      <c r="N2232" s="4">
        <f t="shared" si="1"/>
        <v>44029</v>
      </c>
      <c r="O2232" s="5" t="str">
        <f>IFERROR(__xludf.DUMMYFUNCTION("IF(REGEXMATCH(TRIM(I2232), ""^\d+\s*min""), ""Unclassified"", IF(I2232 = """", ""NR"", I2232))"),"TV-MA")</f>
        <v>TV-MA</v>
      </c>
      <c r="R2232" s="5" t="str">
        <f t="shared" si="2"/>
        <v>Kissing Game</v>
      </c>
      <c r="S2232" s="5" t="str">
        <f>IFERROR(__xludf.DUMMYFUNCTION("""COMPUTED_VALUE"""),"Elizabeth And Margaret: Love And Loyalty")</f>
        <v>Elizabeth And Margaret: Love And Loyalty</v>
      </c>
      <c r="U2232" s="5" t="str">
        <f>IFERROR(__xludf.DUMMYFUNCTION("""COMPUTED_VALUE"""),"Marek Losey")</f>
        <v>Marek Losey</v>
      </c>
      <c r="V2232" s="5" t="s">
        <v>12700</v>
      </c>
      <c r="W2232" s="5" t="str">
        <f t="shared" si="3"/>
        <v>Ken Burns, Christopher Loren Ewers, Erik Ewers</v>
      </c>
      <c r="X2232" s="5">
        <f t="shared" si="4"/>
        <v>1</v>
      </c>
      <c r="Y2232" s="5" t="str">
        <f>IFERROR(__xludf.DUMMYFUNCTION("REGEXEXTRACT(J2232, ""^\d+"")"),"1")</f>
        <v>1</v>
      </c>
      <c r="Z2232" s="5" t="str">
        <f>IFERROR(__xludf.DUMMYFUNCTION("REGEXEXTRACT(J2232, ""[A-Za-z ]+$"")")," Season")</f>
        <v> Season</v>
      </c>
      <c r="AA2232" s="5" t="str">
        <f>IFERROR(__xludf.DUMMYFUNCTION("IF(REGEXMATCH(Z2232, ""Season""), ""TV Show"", ""Movie"")"),"TV Show")</f>
        <v>TV Show</v>
      </c>
    </row>
    <row r="2233">
      <c r="A2233" s="1" t="s">
        <v>12701</v>
      </c>
      <c r="B2233" s="1" t="s">
        <v>27</v>
      </c>
      <c r="C2233" s="1" t="s">
        <v>12702</v>
      </c>
      <c r="D2233" s="1" t="s">
        <v>12703</v>
      </c>
      <c r="E2233" s="1" t="s">
        <v>12704</v>
      </c>
      <c r="F2233" s="1" t="s">
        <v>400</v>
      </c>
      <c r="G2233" s="1" t="s">
        <v>12683</v>
      </c>
      <c r="H2233" s="1">
        <v>2019.0</v>
      </c>
      <c r="I2233" s="1" t="s">
        <v>42</v>
      </c>
      <c r="J2233" s="1" t="s">
        <v>465</v>
      </c>
      <c r="K2233" s="1" t="s">
        <v>199</v>
      </c>
      <c r="L2233" s="1" t="s">
        <v>12705</v>
      </c>
      <c r="M2233" s="2" t="s">
        <v>12</v>
      </c>
      <c r="N2233" s="4">
        <f t="shared" si="1"/>
        <v>44029</v>
      </c>
      <c r="O2233" s="5" t="str">
        <f>IFERROR(__xludf.DUMMYFUNCTION("IF(REGEXMATCH(TRIM(I2233), ""^\d+\s*min""), ""Unclassified"", IF(I2233 = """", ""NR"", I2233))"),"TV-MA")</f>
        <v>TV-MA</v>
      </c>
      <c r="R2233" s="5" t="str">
        <f t="shared" si="2"/>
        <v>The Millions</v>
      </c>
      <c r="S2233" s="5" t="str">
        <f>IFERROR(__xludf.DUMMYFUNCTION("""COMPUTED_VALUE"""),"Elizabeth At 90: A Family Tribute")</f>
        <v>Elizabeth At 90: A Family Tribute</v>
      </c>
      <c r="U2233" s="5" t="str">
        <f>IFERROR(__xludf.DUMMYFUNCTION("""COMPUTED_VALUE"""),"Andy Serkis")</f>
        <v>Andy Serkis</v>
      </c>
      <c r="V2233" s="5" t="s">
        <v>12706</v>
      </c>
      <c r="W2233" s="5" t="str">
        <f t="shared" si="3"/>
        <v>Ken Burns, Lynn Novick</v>
      </c>
      <c r="X2233" s="5">
        <f t="shared" si="4"/>
        <v>1</v>
      </c>
      <c r="Y2233" s="5" t="str">
        <f>IFERROR(__xludf.DUMMYFUNCTION("REGEXEXTRACT(J2233, ""^\d+"")"),"95")</f>
        <v>95</v>
      </c>
      <c r="Z2233" s="5" t="str">
        <f>IFERROR(__xludf.DUMMYFUNCTION("REGEXEXTRACT(J2233, ""[A-Za-z ]+$"")")," min")</f>
        <v> min</v>
      </c>
      <c r="AA2233" s="5" t="str">
        <f>IFERROR(__xludf.DUMMYFUNCTION("IF(REGEXMATCH(Z2233, ""Season""), ""TV Show"", ""Movie"")"),"Movie")</f>
        <v>Movie</v>
      </c>
    </row>
    <row r="2234">
      <c r="A2234" s="1" t="s">
        <v>12707</v>
      </c>
      <c r="B2234" s="1" t="s">
        <v>27</v>
      </c>
      <c r="C2234" s="1" t="s">
        <v>12708</v>
      </c>
      <c r="D2234" s="1" t="s">
        <v>12709</v>
      </c>
      <c r="E2234" s="1" t="s">
        <v>12710</v>
      </c>
      <c r="F2234" s="1" t="s">
        <v>30</v>
      </c>
      <c r="G2234" s="1" t="s">
        <v>12711</v>
      </c>
      <c r="H2234" s="1">
        <v>2020.0</v>
      </c>
      <c r="I2234" s="1" t="s">
        <v>97</v>
      </c>
      <c r="J2234" s="1" t="s">
        <v>33</v>
      </c>
      <c r="K2234" s="1" t="s">
        <v>171</v>
      </c>
      <c r="L2234" s="1" t="s">
        <v>12712</v>
      </c>
      <c r="M2234" s="2" t="s">
        <v>12</v>
      </c>
      <c r="N2234" s="4">
        <f t="shared" si="1"/>
        <v>44028</v>
      </c>
      <c r="O2234" s="5" t="str">
        <f>IFERROR(__xludf.DUMMYFUNCTION("IF(REGEXMATCH(TRIM(I2234), ""^\d+\s*min""), ""Unclassified"", IF(I2234 = """", ""NR"", I2234))"),"TV-14")</f>
        <v>TV-14</v>
      </c>
      <c r="R2234" s="5" t="str">
        <f t="shared" si="2"/>
        <v>Fatal Affair</v>
      </c>
      <c r="S2234" s="5" t="str">
        <f>IFERROR(__xludf.DUMMYFUNCTION("""COMPUTED_VALUE"""),"Elizabeth Harvest")</f>
        <v>Elizabeth Harvest</v>
      </c>
      <c r="U2234" s="5" t="str">
        <f>IFERROR(__xludf.DUMMYFUNCTION("""COMPUTED_VALUE"""),"Mat King")</f>
        <v>Mat King</v>
      </c>
      <c r="V2234" s="5" t="s">
        <v>10738</v>
      </c>
      <c r="W2234" s="5" t="str">
        <f t="shared" si="3"/>
        <v>Ken Ghosh</v>
      </c>
      <c r="X2234" s="5">
        <f t="shared" si="4"/>
        <v>3</v>
      </c>
      <c r="Y2234" s="5" t="str">
        <f>IFERROR(__xludf.DUMMYFUNCTION("REGEXEXTRACT(J2234, ""^\d+"")"),"90")</f>
        <v>90</v>
      </c>
      <c r="Z2234" s="5" t="str">
        <f>IFERROR(__xludf.DUMMYFUNCTION("REGEXEXTRACT(J2234, ""[A-Za-z ]+$"")")," min")</f>
        <v> min</v>
      </c>
      <c r="AA2234" s="5" t="str">
        <f>IFERROR(__xludf.DUMMYFUNCTION("IF(REGEXMATCH(Z2234, ""Season""), ""TV Show"", ""Movie"")"),"Movie")</f>
        <v>Movie</v>
      </c>
    </row>
    <row r="2235">
      <c r="A2235" s="1" t="s">
        <v>12713</v>
      </c>
      <c r="B2235" s="1" t="s">
        <v>27</v>
      </c>
      <c r="C2235" s="1" t="s">
        <v>12714</v>
      </c>
      <c r="D2235" s="1" t="s">
        <v>2825</v>
      </c>
      <c r="E2235" s="1" t="s">
        <v>12715</v>
      </c>
      <c r="F2235" s="1" t="s">
        <v>3217</v>
      </c>
      <c r="G2235" s="1" t="s">
        <v>12711</v>
      </c>
      <c r="H2235" s="1">
        <v>2018.0</v>
      </c>
      <c r="I2235" s="1" t="s">
        <v>42</v>
      </c>
      <c r="J2235" s="1" t="s">
        <v>447</v>
      </c>
      <c r="K2235" s="1" t="s">
        <v>215</v>
      </c>
      <c r="L2235" s="1" t="s">
        <v>12716</v>
      </c>
      <c r="M2235" s="2" t="s">
        <v>12</v>
      </c>
      <c r="N2235" s="4">
        <f t="shared" si="1"/>
        <v>44028</v>
      </c>
      <c r="O2235" s="5" t="str">
        <f>IFERROR(__xludf.DUMMYFUNCTION("IF(REGEXMATCH(TRIM(I2235), ""^\d+\s*min""), ""Unclassified"", IF(I2235 = """", ""NR"", I2235))"),"TV-MA")</f>
        <v>TV-MA</v>
      </c>
      <c r="R2235" s="5" t="str">
        <f t="shared" si="2"/>
        <v>Milf</v>
      </c>
      <c r="S2235" s="5" t="str">
        <f>IFERROR(__xludf.DUMMYFUNCTION("""COMPUTED_VALUE"""),"Elize Matsunaga: Once Upon A Crime")</f>
        <v>Elize Matsunaga: Once Upon A Crime</v>
      </c>
      <c r="U2235" s="5" t="str">
        <f>IFERROR(__xludf.DUMMYFUNCTION("""COMPUTED_VALUE"""),"Jacob Joice")</f>
        <v>Jacob Joice</v>
      </c>
      <c r="V2235" s="5" t="s">
        <v>12717</v>
      </c>
      <c r="W2235" s="5" t="str">
        <f t="shared" si="3"/>
        <v>Ken Hughes</v>
      </c>
      <c r="X2235" s="5">
        <f t="shared" si="4"/>
        <v>1</v>
      </c>
      <c r="Y2235" s="5" t="str">
        <f>IFERROR(__xludf.DUMMYFUNCTION("REGEXEXTRACT(J2235, ""^\d+"")"),"102")</f>
        <v>102</v>
      </c>
      <c r="Z2235" s="5" t="str">
        <f>IFERROR(__xludf.DUMMYFUNCTION("REGEXEXTRACT(J2235, ""[A-Za-z ]+$"")")," min")</f>
        <v> min</v>
      </c>
      <c r="AA2235" s="5" t="str">
        <f>IFERROR(__xludf.DUMMYFUNCTION("IF(REGEXMATCH(Z2235, ""Season""), ""TV Show"", ""Movie"")"),"Movie")</f>
        <v>Movie</v>
      </c>
    </row>
    <row r="2236">
      <c r="A2236" s="1" t="s">
        <v>12718</v>
      </c>
      <c r="B2236" s="1" t="s">
        <v>27</v>
      </c>
      <c r="C2236" s="1" t="s">
        <v>12719</v>
      </c>
      <c r="D2236" s="1" t="s">
        <v>1772</v>
      </c>
      <c r="E2236" s="1" t="s">
        <v>12720</v>
      </c>
      <c r="F2236" s="1" t="s">
        <v>400</v>
      </c>
      <c r="G2236" s="1" t="s">
        <v>12721</v>
      </c>
      <c r="H2236" s="1">
        <v>2019.0</v>
      </c>
      <c r="I2236" s="1" t="s">
        <v>97</v>
      </c>
      <c r="J2236" s="1" t="s">
        <v>357</v>
      </c>
      <c r="K2236" s="1" t="s">
        <v>679</v>
      </c>
      <c r="L2236" s="1" t="s">
        <v>12722</v>
      </c>
      <c r="M2236" s="2" t="s">
        <v>12</v>
      </c>
      <c r="N2236" s="4">
        <f t="shared" si="1"/>
        <v>44027</v>
      </c>
      <c r="O2236" s="5" t="str">
        <f>IFERROR(__xludf.DUMMYFUNCTION("IF(REGEXMATCH(TRIM(I2236), ""^\d+\s*min""), ""Unclassified"", IF(I2236 = """", ""NR"", I2236))"),"TV-14")</f>
        <v>TV-14</v>
      </c>
      <c r="R2236" s="5" t="str">
        <f t="shared" si="2"/>
        <v>Cold Feet</v>
      </c>
      <c r="S2236" s="5" t="str">
        <f>IFERROR(__xludf.DUMMYFUNCTION("""COMPUTED_VALUE"""),"Ellen Degeneres: Relatable")</f>
        <v>Ellen Degeneres: Relatable</v>
      </c>
      <c r="U2236" s="5" t="str">
        <f>IFERROR(__xludf.DUMMYFUNCTION("""COMPUTED_VALUE"""),"Bert Marcus")</f>
        <v>Bert Marcus</v>
      </c>
      <c r="V2236" s="5" t="s">
        <v>12723</v>
      </c>
      <c r="W2236" s="5" t="str">
        <f t="shared" si="3"/>
        <v>Ken Kushner</v>
      </c>
      <c r="X2236" s="5">
        <f t="shared" si="4"/>
        <v>1</v>
      </c>
      <c r="Y2236" s="5" t="str">
        <f>IFERROR(__xludf.DUMMYFUNCTION("REGEXEXTRACT(J2236, ""^\d+"")"),"98")</f>
        <v>98</v>
      </c>
      <c r="Z2236" s="5" t="str">
        <f>IFERROR(__xludf.DUMMYFUNCTION("REGEXEXTRACT(J2236, ""[A-Za-z ]+$"")")," min")</f>
        <v> min</v>
      </c>
      <c r="AA2236" s="5" t="str">
        <f>IFERROR(__xludf.DUMMYFUNCTION("IF(REGEXMATCH(Z2236, ""Season""), ""TV Show"", ""Movie"")"),"Movie")</f>
        <v>Movie</v>
      </c>
    </row>
    <row r="2237">
      <c r="A2237" s="1" t="s">
        <v>12724</v>
      </c>
      <c r="B2237" s="1" t="s">
        <v>37</v>
      </c>
      <c r="C2237" s="1" t="s">
        <v>12725</v>
      </c>
      <c r="E2237" s="1" t="s">
        <v>12726</v>
      </c>
      <c r="F2237" s="1" t="s">
        <v>162</v>
      </c>
      <c r="G2237" s="1" t="s">
        <v>12721</v>
      </c>
      <c r="H2237" s="1">
        <v>2020.0</v>
      </c>
      <c r="I2237" s="1" t="s">
        <v>42</v>
      </c>
      <c r="J2237" s="1" t="s">
        <v>51</v>
      </c>
      <c r="K2237" s="1" t="s">
        <v>785</v>
      </c>
      <c r="L2237" s="1" t="s">
        <v>12727</v>
      </c>
      <c r="M2237" s="2" t="s">
        <v>12</v>
      </c>
      <c r="N2237" s="4">
        <f t="shared" si="1"/>
        <v>44027</v>
      </c>
      <c r="O2237" s="5" t="str">
        <f>IFERROR(__xludf.DUMMYFUNCTION("IF(REGEXMATCH(TRIM(I2237), ""^\d+\s*min""), ""Unclassified"", IF(I2237 = """", ""NR"", I2237))"),"TV-MA")</f>
        <v>TV-MA</v>
      </c>
      <c r="R2237" s="5" t="str">
        <f t="shared" si="2"/>
        <v>Dark Desire</v>
      </c>
      <c r="S2237" s="5" t="str">
        <f>IFERROR(__xludf.DUMMYFUNCTION("""COMPUTED_VALUE"""),"Elles Étaient En Guerre (1914-1918)")</f>
        <v>Elles Étaient En Guerre (1914-1918)</v>
      </c>
      <c r="U2237" s="5" t="str">
        <f>IFERROR(__xludf.DUMMYFUNCTION("""COMPUTED_VALUE"""),"Ahsan Rahim")</f>
        <v>Ahsan Rahim</v>
      </c>
      <c r="V2237" s="5" t="s">
        <v>12728</v>
      </c>
      <c r="W2237" s="5" t="str">
        <f t="shared" si="3"/>
        <v>Ken Kwapis</v>
      </c>
      <c r="X2237" s="5">
        <f t="shared" si="4"/>
        <v>1</v>
      </c>
      <c r="Y2237" s="5" t="str">
        <f>IFERROR(__xludf.DUMMYFUNCTION("REGEXEXTRACT(J2237, ""^\d+"")"),"1")</f>
        <v>1</v>
      </c>
      <c r="Z2237" s="5" t="str">
        <f>IFERROR(__xludf.DUMMYFUNCTION("REGEXEXTRACT(J2237, ""[A-Za-z ]+$"")")," Season")</f>
        <v> Season</v>
      </c>
      <c r="AA2237" s="5" t="str">
        <f>IFERROR(__xludf.DUMMYFUNCTION("IF(REGEXMATCH(Z2237, ""Season""), ""TV Show"", ""Movie"")"),"TV Show")</f>
        <v>TV Show</v>
      </c>
    </row>
    <row r="2238">
      <c r="A2238" s="1" t="s">
        <v>12729</v>
      </c>
      <c r="B2238" s="1" t="s">
        <v>27</v>
      </c>
      <c r="C2238" s="1" t="s">
        <v>12730</v>
      </c>
      <c r="G2238" s="1" t="s">
        <v>12721</v>
      </c>
      <c r="H2238" s="1">
        <v>2020.0</v>
      </c>
      <c r="I2238" s="1" t="s">
        <v>289</v>
      </c>
      <c r="J2238" s="1" t="s">
        <v>2626</v>
      </c>
      <c r="K2238" s="1" t="s">
        <v>137</v>
      </c>
      <c r="L2238" s="1" t="s">
        <v>12731</v>
      </c>
      <c r="M2238" s="2" t="s">
        <v>12</v>
      </c>
      <c r="N2238" s="4">
        <f t="shared" si="1"/>
        <v>44027</v>
      </c>
      <c r="O2238" s="5" t="str">
        <f>IFERROR(__xludf.DUMMYFUNCTION("IF(REGEXMATCH(TRIM(I2238), ""^\d+\s*min""), ""Unclassified"", IF(I2238 = """", ""NR"", I2238))"),"TV-Y7")</f>
        <v>TV-Y7</v>
      </c>
      <c r="R2238" s="5" t="str">
        <f t="shared" si="2"/>
        <v>Little Singham: Legend Of Dugabakka</v>
      </c>
      <c r="S2238" s="5" t="str">
        <f>IFERROR(__xludf.DUMMYFUNCTION("""COMPUTED_VALUE"""),"Elles Étaient En Guerre 1939-1945")</f>
        <v>Elles Étaient En Guerre 1939-1945</v>
      </c>
      <c r="U2238" s="5" t="str">
        <f>IFERROR(__xludf.DUMMYFUNCTION("""COMPUTED_VALUE"""),"Andrew Lau Wai-Keung")</f>
        <v>Andrew Lau Wai-Keung</v>
      </c>
      <c r="V2238" s="5" t="s">
        <v>12732</v>
      </c>
      <c r="W2238" s="5" t="str">
        <f t="shared" si="3"/>
        <v>Ken Loach</v>
      </c>
      <c r="X2238" s="5">
        <f t="shared" si="4"/>
        <v>1</v>
      </c>
      <c r="Y2238" s="5" t="str">
        <f>IFERROR(__xludf.DUMMYFUNCTION("REGEXEXTRACT(J2238, ""^\d+"")"),"68")</f>
        <v>68</v>
      </c>
      <c r="Z2238" s="5" t="str">
        <f>IFERROR(__xludf.DUMMYFUNCTION("REGEXEXTRACT(J2238, ""[A-Za-z ]+$"")")," min")</f>
        <v> min</v>
      </c>
      <c r="AA2238" s="5" t="str">
        <f>IFERROR(__xludf.DUMMYFUNCTION("IF(REGEXMATCH(Z2238, ""Season""), ""TV Show"", ""Movie"")"),"Movie")</f>
        <v>Movie</v>
      </c>
    </row>
    <row r="2239">
      <c r="A2239" s="1" t="s">
        <v>12733</v>
      </c>
      <c r="B2239" s="1" t="s">
        <v>37</v>
      </c>
      <c r="C2239" s="1" t="s">
        <v>12734</v>
      </c>
      <c r="F2239" s="1" t="s">
        <v>30</v>
      </c>
      <c r="G2239" s="1" t="s">
        <v>12721</v>
      </c>
      <c r="H2239" s="1">
        <v>2020.0</v>
      </c>
      <c r="I2239" s="1" t="s">
        <v>42</v>
      </c>
      <c r="J2239" s="1" t="s">
        <v>51</v>
      </c>
      <c r="K2239" s="1" t="s">
        <v>12735</v>
      </c>
      <c r="L2239" s="1" t="s">
        <v>12736</v>
      </c>
      <c r="M2239" s="2" t="s">
        <v>12</v>
      </c>
      <c r="N2239" s="4">
        <f t="shared" si="1"/>
        <v>44027</v>
      </c>
      <c r="O2239" s="5" t="str">
        <f>IFERROR(__xludf.DUMMYFUNCTION("IF(REGEXMATCH(TRIM(I2239), ""^\d+\s*min""), ""Unclassified"", IF(I2239 = """", ""NR"", I2239))"),"TV-MA")</f>
        <v>TV-MA</v>
      </c>
      <c r="R2239" s="5" t="str">
        <f t="shared" si="2"/>
        <v>Skin Decision: Before And After</v>
      </c>
      <c r="S2239" s="5" t="str">
        <f>IFERROR(__xludf.DUMMYFUNCTION("""COMPUTED_VALUE"""),"Elles Ont Toutes Une Histoire")</f>
        <v>Elles Ont Toutes Une Histoire</v>
      </c>
      <c r="U2239" s="5" t="str">
        <f>IFERROR(__xludf.DUMMYFUNCTION("""COMPUTED_VALUE"""),"Cheang Pou Soi")</f>
        <v>Cheang Pou Soi</v>
      </c>
      <c r="V2239" s="5" t="s">
        <v>12737</v>
      </c>
      <c r="W2239" s="5" t="str">
        <f t="shared" si="3"/>
        <v>Ken Marino</v>
      </c>
      <c r="X2239" s="5">
        <f t="shared" si="4"/>
        <v>1</v>
      </c>
      <c r="Y2239" s="5" t="str">
        <f>IFERROR(__xludf.DUMMYFUNCTION("REGEXEXTRACT(J2239, ""^\d+"")"),"1")</f>
        <v>1</v>
      </c>
      <c r="Z2239" s="5" t="str">
        <f>IFERROR(__xludf.DUMMYFUNCTION("REGEXEXTRACT(J2239, ""[A-Za-z ]+$"")")," Season")</f>
        <v> Season</v>
      </c>
      <c r="AA2239" s="5" t="str">
        <f>IFERROR(__xludf.DUMMYFUNCTION("IF(REGEXMATCH(Z2239, ""Season""), ""TV Show"", ""Movie"")"),"TV Show")</f>
        <v>TV Show</v>
      </c>
    </row>
    <row r="2240">
      <c r="A2240" s="1" t="s">
        <v>12738</v>
      </c>
      <c r="B2240" s="1" t="s">
        <v>37</v>
      </c>
      <c r="C2240" s="1" t="s">
        <v>12739</v>
      </c>
      <c r="E2240" s="1" t="s">
        <v>12740</v>
      </c>
      <c r="F2240" s="1" t="s">
        <v>12741</v>
      </c>
      <c r="G2240" s="1" t="s">
        <v>12721</v>
      </c>
      <c r="H2240" s="1">
        <v>2016.0</v>
      </c>
      <c r="I2240" s="1" t="s">
        <v>206</v>
      </c>
      <c r="J2240" s="1" t="s">
        <v>43</v>
      </c>
      <c r="K2240" s="1" t="s">
        <v>8845</v>
      </c>
      <c r="L2240" s="1" t="s">
        <v>12742</v>
      </c>
      <c r="M2240" s="2" t="s">
        <v>12</v>
      </c>
      <c r="N2240" s="4">
        <f t="shared" si="1"/>
        <v>44027</v>
      </c>
      <c r="O2240" s="5" t="str">
        <f>IFERROR(__xludf.DUMMYFUNCTION("IF(REGEXMATCH(TRIM(I2240), ""^\d+\s*min""), ""Unclassified"", IF(I2240 = """", ""NR"", I2240))"),"TV-Y")</f>
        <v>TV-Y</v>
      </c>
      <c r="R2240" s="5" t="str">
        <f t="shared" si="2"/>
        <v>Sunny Bunnies</v>
      </c>
      <c r="S2240" s="5" t="str">
        <f>IFERROR(__xludf.DUMMYFUNCTION("""COMPUTED_VALUE"""),"Elliot The Littlest Reindeer")</f>
        <v>Elliot The Littlest Reindeer</v>
      </c>
      <c r="U2240" s="5" t="str">
        <f>IFERROR(__xludf.DUMMYFUNCTION("""COMPUTED_VALUE"""),"Enrique García Meza")</f>
        <v>Enrique García Meza</v>
      </c>
      <c r="V2240" s="5" t="s">
        <v>2356</v>
      </c>
      <c r="W2240" s="5" t="str">
        <f t="shared" si="3"/>
        <v>Kenneth Gyang</v>
      </c>
      <c r="X2240" s="5">
        <f t="shared" si="4"/>
        <v>3</v>
      </c>
      <c r="Y2240" s="5" t="str">
        <f>IFERROR(__xludf.DUMMYFUNCTION("REGEXEXTRACT(J2240, ""^\d+"")"),"2")</f>
        <v>2</v>
      </c>
      <c r="Z2240" s="5" t="str">
        <f>IFERROR(__xludf.DUMMYFUNCTION("REGEXEXTRACT(J2240, ""[A-Za-z ]+$"")")," Seasons")</f>
        <v> Seasons</v>
      </c>
      <c r="AA2240" s="5" t="str">
        <f>IFERROR(__xludf.DUMMYFUNCTION("IF(REGEXMATCH(Z2240, ""Season""), ""TV Show"", ""Movie"")"),"TV Show")</f>
        <v>TV Show</v>
      </c>
    </row>
    <row r="2241">
      <c r="A2241" s="1" t="s">
        <v>12743</v>
      </c>
      <c r="B2241" s="1" t="s">
        <v>27</v>
      </c>
      <c r="C2241" s="1" t="s">
        <v>12744</v>
      </c>
      <c r="D2241" s="1" t="s">
        <v>5602</v>
      </c>
      <c r="E2241" s="1" t="s">
        <v>12745</v>
      </c>
      <c r="F2241" s="1" t="s">
        <v>400</v>
      </c>
      <c r="G2241" s="1" t="s">
        <v>12721</v>
      </c>
      <c r="H2241" s="1">
        <v>2018.0</v>
      </c>
      <c r="I2241" s="1" t="s">
        <v>97</v>
      </c>
      <c r="J2241" s="1" t="s">
        <v>106</v>
      </c>
      <c r="K2241" s="1" t="s">
        <v>298</v>
      </c>
      <c r="L2241" s="1" t="s">
        <v>12746</v>
      </c>
      <c r="M2241" s="2" t="s">
        <v>12</v>
      </c>
      <c r="N2241" s="4">
        <f t="shared" si="1"/>
        <v>44027</v>
      </c>
      <c r="O2241" s="5" t="str">
        <f>IFERROR(__xludf.DUMMYFUNCTION("IF(REGEXMATCH(TRIM(I2241), ""^\d+\s*min""), ""Unclassified"", IF(I2241 = """", ""NR"", I2241))"),"TV-14")</f>
        <v>TV-14</v>
      </c>
      <c r="R2241" s="5" t="str">
        <f t="shared" si="2"/>
        <v>Sylvia</v>
      </c>
      <c r="S2241" s="5" t="str">
        <f>IFERROR(__xludf.DUMMYFUNCTION("""COMPUTED_VALUE"""),"Elstree 1976")</f>
        <v>Elstree 1976</v>
      </c>
      <c r="U2241" s="5" t="str">
        <f>IFERROR(__xludf.DUMMYFUNCTION("""COMPUTED_VALUE"""),"Katarina Launing")</f>
        <v>Katarina Launing</v>
      </c>
      <c r="V2241" s="5" t="s">
        <v>12747</v>
      </c>
      <c r="W2241" s="5" t="str">
        <f t="shared" si="3"/>
        <v>Kenneth Müller</v>
      </c>
      <c r="X2241" s="5">
        <f t="shared" si="4"/>
        <v>1</v>
      </c>
      <c r="Y2241" s="5" t="str">
        <f>IFERROR(__xludf.DUMMYFUNCTION("REGEXEXTRACT(J2241, ""^\d+"")"),"104")</f>
        <v>104</v>
      </c>
      <c r="Z2241" s="5" t="str">
        <f>IFERROR(__xludf.DUMMYFUNCTION("REGEXEXTRACT(J2241, ""[A-Za-z ]+$"")")," min")</f>
        <v> min</v>
      </c>
      <c r="AA2241" s="5" t="str">
        <f>IFERROR(__xludf.DUMMYFUNCTION("IF(REGEXMATCH(Z2241, ""Season""), ""TV Show"", ""Movie"")"),"Movie")</f>
        <v>Movie</v>
      </c>
    </row>
    <row r="2242">
      <c r="A2242" s="1" t="s">
        <v>12748</v>
      </c>
      <c r="B2242" s="1" t="s">
        <v>27</v>
      </c>
      <c r="C2242" s="1" t="s">
        <v>12749</v>
      </c>
      <c r="D2242" s="1" t="s">
        <v>12750</v>
      </c>
      <c r="E2242" s="1" t="s">
        <v>12751</v>
      </c>
      <c r="F2242" s="1" t="s">
        <v>1779</v>
      </c>
      <c r="G2242" s="1" t="s">
        <v>12721</v>
      </c>
      <c r="H2242" s="1">
        <v>2020.0</v>
      </c>
      <c r="I2242" s="1" t="s">
        <v>42</v>
      </c>
      <c r="J2242" s="1" t="s">
        <v>1191</v>
      </c>
      <c r="K2242" s="1" t="s">
        <v>199</v>
      </c>
      <c r="L2242" s="1" t="s">
        <v>12752</v>
      </c>
      <c r="M2242" s="2" t="s">
        <v>12</v>
      </c>
      <c r="N2242" s="4">
        <f t="shared" si="1"/>
        <v>44027</v>
      </c>
      <c r="O2242" s="5" t="str">
        <f>IFERROR(__xludf.DUMMYFUNCTION("IF(REGEXMATCH(TRIM(I2242), ""^\d+\s*min""), ""Unclassified"", IF(I2242 = """", ""NR"", I2242))"),"TV-MA")</f>
        <v>TV-MA</v>
      </c>
      <c r="R2242" s="5" t="str">
        <f t="shared" si="2"/>
        <v>The Players</v>
      </c>
      <c r="S2242" s="5" t="str">
        <f>IFERROR(__xludf.DUMMYFUNCTION("""COMPUTED_VALUE"""),"Emelie")</f>
        <v>Emelie</v>
      </c>
      <c r="U2242" s="5" t="str">
        <f>IFERROR(__xludf.DUMMYFUNCTION("""COMPUTED_VALUE"""),"Johnnie To")</f>
        <v>Johnnie To</v>
      </c>
      <c r="V2242" s="5" t="s">
        <v>12753</v>
      </c>
      <c r="W2242" s="5" t="str">
        <f t="shared" si="3"/>
        <v>Kenny Leon</v>
      </c>
      <c r="X2242" s="5">
        <f t="shared" si="4"/>
        <v>1</v>
      </c>
      <c r="Y2242" s="5" t="str">
        <f>IFERROR(__xludf.DUMMYFUNCTION("REGEXEXTRACT(J2242, ""^\d+"")"),"89")</f>
        <v>89</v>
      </c>
      <c r="Z2242" s="5" t="str">
        <f>IFERROR(__xludf.DUMMYFUNCTION("REGEXEXTRACT(J2242, ""[A-Za-z ]+$"")")," min")</f>
        <v> min</v>
      </c>
      <c r="AA2242" s="5" t="str">
        <f>IFERROR(__xludf.DUMMYFUNCTION("IF(REGEXMATCH(Z2242, ""Season""), ""TV Show"", ""Movie"")"),"Movie")</f>
        <v>Movie</v>
      </c>
    </row>
    <row r="2243">
      <c r="A2243" s="1" t="s">
        <v>12754</v>
      </c>
      <c r="B2243" s="1" t="s">
        <v>37</v>
      </c>
      <c r="C2243" s="1" t="s">
        <v>12755</v>
      </c>
      <c r="E2243" s="1" t="s">
        <v>12756</v>
      </c>
      <c r="F2243" s="1" t="s">
        <v>30</v>
      </c>
      <c r="G2243" s="1" t="s">
        <v>12757</v>
      </c>
      <c r="H2243" s="1">
        <v>2020.0</v>
      </c>
      <c r="I2243" s="1" t="s">
        <v>42</v>
      </c>
      <c r="J2243" s="1" t="s">
        <v>51</v>
      </c>
      <c r="K2243" s="1" t="s">
        <v>1261</v>
      </c>
      <c r="L2243" s="1" t="s">
        <v>12758</v>
      </c>
      <c r="M2243" s="2" t="s">
        <v>12</v>
      </c>
      <c r="N2243" s="4">
        <f t="shared" si="1"/>
        <v>44026</v>
      </c>
      <c r="O2243" s="5" t="str">
        <f>IFERROR(__xludf.DUMMYFUNCTION("IF(REGEXMATCH(TRIM(I2243), ""^\d+\s*min""), ""Unclassified"", IF(I2243 = """", ""NR"", I2243))"),"TV-MA")</f>
        <v>TV-MA</v>
      </c>
      <c r="R2243" s="5" t="str">
        <f t="shared" si="2"/>
        <v>The Business Of Drugs</v>
      </c>
      <c r="S2243" s="5" t="str">
        <f>IFERROR(__xludf.DUMMYFUNCTION("""COMPUTED_VALUE"""),"Emi: Liya Hai To Chukana Padega")</f>
        <v>Emi: Liya Hai To Chukana Padega</v>
      </c>
      <c r="U2243" s="5" t="str">
        <f>IFERROR(__xludf.DUMMYFUNCTION("""COMPUTED_VALUE"""),"Lawrence Cheng")</f>
        <v>Lawrence Cheng</v>
      </c>
      <c r="V2243" s="5" t="s">
        <v>11603</v>
      </c>
      <c r="W2243" s="5" t="str">
        <f t="shared" si="3"/>
        <v>Kenny Ortega</v>
      </c>
      <c r="X2243" s="5">
        <f t="shared" si="4"/>
        <v>1</v>
      </c>
      <c r="Y2243" s="5" t="str">
        <f>IFERROR(__xludf.DUMMYFUNCTION("REGEXEXTRACT(J2243, ""^\d+"")"),"1")</f>
        <v>1</v>
      </c>
      <c r="Z2243" s="5" t="str">
        <f>IFERROR(__xludf.DUMMYFUNCTION("REGEXEXTRACT(J2243, ""[A-Za-z ]+$"")")," Season")</f>
        <v> Season</v>
      </c>
      <c r="AA2243" s="5" t="str">
        <f>IFERROR(__xludf.DUMMYFUNCTION("IF(REGEXMATCH(Z2243, ""Season""), ""TV Show"", ""Movie"")"),"TV Show")</f>
        <v>TV Show</v>
      </c>
    </row>
    <row r="2244">
      <c r="A2244" s="1" t="s">
        <v>12759</v>
      </c>
      <c r="B2244" s="1" t="s">
        <v>27</v>
      </c>
      <c r="C2244" s="1" t="s">
        <v>12760</v>
      </c>
      <c r="D2244" s="1" t="s">
        <v>9177</v>
      </c>
      <c r="E2244" s="1" t="s">
        <v>12761</v>
      </c>
      <c r="F2244" s="1" t="s">
        <v>221</v>
      </c>
      <c r="G2244" s="1" t="s">
        <v>12757</v>
      </c>
      <c r="H2244" s="1">
        <v>2020.0</v>
      </c>
      <c r="I2244" s="1" t="s">
        <v>42</v>
      </c>
      <c r="J2244" s="1" t="s">
        <v>2670</v>
      </c>
      <c r="K2244" s="1" t="s">
        <v>1839</v>
      </c>
      <c r="L2244" s="1" t="s">
        <v>12762</v>
      </c>
      <c r="M2244" s="2" t="s">
        <v>12</v>
      </c>
      <c r="N2244" s="4">
        <f t="shared" si="1"/>
        <v>44026</v>
      </c>
      <c r="O2244" s="5" t="str">
        <f>IFERROR(__xludf.DUMMYFUNCTION("IF(REGEXMATCH(TRIM(I2244), ""^\d+\s*min""), ""Unclassified"", IF(I2244 = """", ""NR"", I2244))"),"TV-MA")</f>
        <v>TV-MA</v>
      </c>
      <c r="R2244" s="5" t="str">
        <f t="shared" si="2"/>
        <v>Urzila Carlson: Overqualified Loser</v>
      </c>
      <c r="S2244" s="5" t="str">
        <f>IFERROR(__xludf.DUMMYFUNCTION("""COMPUTED_VALUE"""),"Emicida: Amarelo - It’S All For Yesterday")</f>
        <v>Emicida: Amarelo - It’S All For Yesterday</v>
      </c>
      <c r="U2244" s="5" t="str">
        <f>IFERROR(__xludf.DUMMYFUNCTION("""COMPUTED_VALUE"""),"Prakash Balwant Saini")</f>
        <v>Prakash Balwant Saini</v>
      </c>
      <c r="V2244" s="5" t="s">
        <v>12763</v>
      </c>
      <c r="W2244" s="5" t="str">
        <f t="shared" si="3"/>
        <v>Kenny Young</v>
      </c>
      <c r="X2244" s="5">
        <f t="shared" si="4"/>
        <v>2</v>
      </c>
      <c r="Y2244" s="5" t="str">
        <f>IFERROR(__xludf.DUMMYFUNCTION("REGEXEXTRACT(J2244, ""^\d+"")"),"62")</f>
        <v>62</v>
      </c>
      <c r="Z2244" s="5" t="str">
        <f>IFERROR(__xludf.DUMMYFUNCTION("REGEXEXTRACT(J2244, ""[A-Za-z ]+$"")")," min")</f>
        <v> min</v>
      </c>
      <c r="AA2244" s="5" t="str">
        <f>IFERROR(__xludf.DUMMYFUNCTION("IF(REGEXMATCH(Z2244, ""Season""), ""TV Show"", ""Movie"")"),"Movie")</f>
        <v>Movie</v>
      </c>
    </row>
    <row r="2245">
      <c r="A2245" s="1" t="s">
        <v>12764</v>
      </c>
      <c r="B2245" s="1" t="s">
        <v>27</v>
      </c>
      <c r="C2245" s="1" t="s">
        <v>12765</v>
      </c>
      <c r="D2245" s="1" t="s">
        <v>12766</v>
      </c>
      <c r="F2245" s="1" t="s">
        <v>664</v>
      </c>
      <c r="G2245" s="1" t="s">
        <v>12757</v>
      </c>
      <c r="H2245" s="1">
        <v>2020.0</v>
      </c>
      <c r="I2245" s="1" t="s">
        <v>42</v>
      </c>
      <c r="J2245" s="1" t="s">
        <v>1144</v>
      </c>
      <c r="K2245" s="1" t="s">
        <v>2892</v>
      </c>
      <c r="L2245" s="1" t="s">
        <v>12767</v>
      </c>
      <c r="M2245" s="2" t="s">
        <v>12</v>
      </c>
      <c r="N2245" s="4">
        <f t="shared" si="1"/>
        <v>44026</v>
      </c>
      <c r="O2245" s="5" t="str">
        <f>IFERROR(__xludf.DUMMYFUNCTION("IF(REGEXMATCH(TRIM(I2245), ""^\d+\s*min""), ""Unclassified"", IF(I2245 = """", ""NR"", I2245))"),"TV-MA")</f>
        <v>TV-MA</v>
      </c>
      <c r="R2245" s="5" t="str">
        <f t="shared" si="2"/>
        <v>We Are One</v>
      </c>
      <c r="S2245" s="5" t="str">
        <f>IFERROR(__xludf.DUMMYFUNCTION("""COMPUTED_VALUE"""),"Emicida: Amarelo - Live In São Paulo")</f>
        <v>Emicida: Amarelo - Live In São Paulo</v>
      </c>
      <c r="U2245" s="5" t="str">
        <f>IFERROR(__xludf.DUMMYFUNCTION("""COMPUTED_VALUE"""),"Nam Ron")</f>
        <v>Nam Ron</v>
      </c>
      <c r="V2245" s="5" t="s">
        <v>11632</v>
      </c>
      <c r="W2245" s="5" t="str">
        <f t="shared" si="3"/>
        <v>Kenzo Maihara, Amandha Wyanto</v>
      </c>
      <c r="X2245" s="5">
        <f t="shared" si="4"/>
        <v>1</v>
      </c>
      <c r="Y2245" s="5" t="str">
        <f>IFERROR(__xludf.DUMMYFUNCTION("REGEXEXTRACT(J2245, ""^\d+"")"),"86")</f>
        <v>86</v>
      </c>
      <c r="Z2245" s="5" t="str">
        <f>IFERROR(__xludf.DUMMYFUNCTION("REGEXEXTRACT(J2245, ""[A-Za-z ]+$"")")," min")</f>
        <v> min</v>
      </c>
      <c r="AA2245" s="5" t="str">
        <f>IFERROR(__xludf.DUMMYFUNCTION("IF(REGEXMATCH(Z2245, ""Season""), ""TV Show"", ""Movie"")"),"Movie")</f>
        <v>Movie</v>
      </c>
    </row>
    <row r="2246">
      <c r="A2246" s="1" t="s">
        <v>12768</v>
      </c>
      <c r="B2246" s="1" t="s">
        <v>27</v>
      </c>
      <c r="C2246" s="1" t="s">
        <v>12769</v>
      </c>
      <c r="D2246" s="1" t="s">
        <v>1769</v>
      </c>
      <c r="E2246" s="1" t="s">
        <v>12770</v>
      </c>
      <c r="F2246" s="1" t="s">
        <v>40</v>
      </c>
      <c r="G2246" s="1" t="s">
        <v>12771</v>
      </c>
      <c r="H2246" s="1">
        <v>2016.0</v>
      </c>
      <c r="I2246" s="1" t="s">
        <v>42</v>
      </c>
      <c r="J2246" s="1" t="s">
        <v>106</v>
      </c>
      <c r="K2246" s="1" t="s">
        <v>128</v>
      </c>
      <c r="L2246" s="1" t="s">
        <v>12772</v>
      </c>
      <c r="M2246" s="2" t="s">
        <v>12</v>
      </c>
      <c r="N2246" s="4">
        <f t="shared" si="1"/>
        <v>44023</v>
      </c>
      <c r="O2246" s="5" t="str">
        <f>IFERROR(__xludf.DUMMYFUNCTION("IF(REGEXMATCH(TRIM(I2246), ""^\d+\s*min""), ""Unclassified"", IF(I2246 = """", ""NR"", I2246))"),"TV-MA")</f>
        <v>TV-MA</v>
      </c>
      <c r="R2246" s="5" t="str">
        <f t="shared" si="2"/>
        <v>Hole In The Wall</v>
      </c>
      <c r="S2246" s="5" t="str">
        <f>IFERROR(__xludf.DUMMYFUNCTION("""COMPUTED_VALUE"""),"Emily In Paris")</f>
        <v>Emily In Paris</v>
      </c>
      <c r="U2246" s="5" t="str">
        <f>IFERROR(__xludf.DUMMYFUNCTION("""COMPUTED_VALUE"""),"Baljit Singh Deo")</f>
        <v>Baljit Singh Deo</v>
      </c>
      <c r="V2246" s="5" t="s">
        <v>12773</v>
      </c>
      <c r="W2246" s="5" t="str">
        <f t="shared" si="3"/>
        <v>Keoni Waxman</v>
      </c>
      <c r="X2246" s="5">
        <f t="shared" si="4"/>
        <v>2</v>
      </c>
      <c r="Y2246" s="5" t="str">
        <f>IFERROR(__xludf.DUMMYFUNCTION("REGEXEXTRACT(J2246, ""^\d+"")"),"104")</f>
        <v>104</v>
      </c>
      <c r="Z2246" s="5" t="str">
        <f>IFERROR(__xludf.DUMMYFUNCTION("REGEXEXTRACT(J2246, ""[A-Za-z ]+$"")")," min")</f>
        <v> min</v>
      </c>
      <c r="AA2246" s="5" t="str">
        <f>IFERROR(__xludf.DUMMYFUNCTION("IF(REGEXMATCH(Z2246, ""Season""), ""TV Show"", ""Movie"")"),"Movie")</f>
        <v>Movie</v>
      </c>
    </row>
    <row r="2247">
      <c r="A2247" s="1" t="s">
        <v>12774</v>
      </c>
      <c r="B2247" s="1" t="s">
        <v>37</v>
      </c>
      <c r="C2247" s="1" t="s">
        <v>12775</v>
      </c>
      <c r="D2247" s="1" t="s">
        <v>4238</v>
      </c>
      <c r="F2247" s="1" t="s">
        <v>1992</v>
      </c>
      <c r="G2247" s="1" t="s">
        <v>12776</v>
      </c>
      <c r="H2247" s="1">
        <v>2020.0</v>
      </c>
      <c r="I2247" s="1" t="s">
        <v>97</v>
      </c>
      <c r="J2247" s="1" t="s">
        <v>51</v>
      </c>
      <c r="K2247" s="1" t="s">
        <v>530</v>
      </c>
      <c r="L2247" s="1" t="s">
        <v>12777</v>
      </c>
      <c r="M2247" s="2" t="s">
        <v>12</v>
      </c>
      <c r="N2247" s="4">
        <f t="shared" si="1"/>
        <v>44022</v>
      </c>
      <c r="O2247" s="5" t="str">
        <f>IFERROR(__xludf.DUMMYFUNCTION("IF(REGEXMATCH(TRIM(I2247), ""^\d+\s*min""), ""Unclassified"", IF(I2247 = """", ""NR"", I2247))"),"TV-14")</f>
        <v>TV-14</v>
      </c>
      <c r="R2247" s="5" t="str">
        <f t="shared" si="2"/>
        <v>Dating Around: Brazil</v>
      </c>
      <c r="S2247" s="5" t="str">
        <f>IFERROR(__xludf.DUMMYFUNCTION("""COMPUTED_VALUE"""),"Emily'S Wonder Lab")</f>
        <v>Emily'S Wonder Lab</v>
      </c>
      <c r="U2247" s="5" t="str">
        <f>IFERROR(__xludf.DUMMYFUNCTION("""COMPUTED_VALUE"""),"Leung Lok Man, Luk Kim-Ching")</f>
        <v>Leung Lok Man, Luk Kim-Ching</v>
      </c>
      <c r="V2247" s="5" t="s">
        <v>12778</v>
      </c>
      <c r="W2247" s="5" t="str">
        <f t="shared" si="3"/>
        <v>Kepa Sojo</v>
      </c>
      <c r="X2247" s="5">
        <f t="shared" si="4"/>
        <v>1</v>
      </c>
      <c r="Y2247" s="5" t="str">
        <f>IFERROR(__xludf.DUMMYFUNCTION("REGEXEXTRACT(J2247, ""^\d+"")"),"1")</f>
        <v>1</v>
      </c>
      <c r="Z2247" s="5" t="str">
        <f>IFERROR(__xludf.DUMMYFUNCTION("REGEXEXTRACT(J2247, ""[A-Za-z ]+$"")")," Season")</f>
        <v> Season</v>
      </c>
      <c r="AA2247" s="5" t="str">
        <f>IFERROR(__xludf.DUMMYFUNCTION("IF(REGEXMATCH(Z2247, ""Season""), ""TV Show"", ""Movie"")"),"TV Show")</f>
        <v>TV Show</v>
      </c>
    </row>
    <row r="2248">
      <c r="A2248" s="1" t="s">
        <v>12779</v>
      </c>
      <c r="B2248" s="1" t="s">
        <v>37</v>
      </c>
      <c r="C2248" s="1" t="s">
        <v>12780</v>
      </c>
      <c r="E2248" s="1" t="s">
        <v>12781</v>
      </c>
      <c r="F2248" s="1" t="s">
        <v>30</v>
      </c>
      <c r="G2248" s="1" t="s">
        <v>12776</v>
      </c>
      <c r="H2248" s="1">
        <v>2020.0</v>
      </c>
      <c r="I2248" s="1" t="s">
        <v>136</v>
      </c>
      <c r="J2248" s="1" t="s">
        <v>51</v>
      </c>
      <c r="K2248" s="1" t="s">
        <v>7683</v>
      </c>
      <c r="L2248" s="1" t="s">
        <v>12782</v>
      </c>
      <c r="M2248" s="2" t="s">
        <v>12</v>
      </c>
      <c r="N2248" s="4">
        <f t="shared" si="1"/>
        <v>44022</v>
      </c>
      <c r="O2248" s="5" t="str">
        <f>IFERROR(__xludf.DUMMYFUNCTION("IF(REGEXMATCH(TRIM(I2248), ""^\d+\s*min""), ""Unclassified"", IF(I2248 = """", ""NR"", I2248))"),"TV-PG")</f>
        <v>TV-PG</v>
      </c>
      <c r="R2248" s="5" t="str">
        <f t="shared" si="2"/>
        <v>Down To Earth With Zac Efron</v>
      </c>
      <c r="S2248" s="5" t="str">
        <f>IFERROR(__xludf.DUMMYFUNCTION("""COMPUTED_VALUE"""),"Emma' (Mother)")</f>
        <v>Emma' (Mother)</v>
      </c>
      <c r="U2248" s="5" t="str">
        <f>IFERROR(__xludf.DUMMYFUNCTION("""COMPUTED_VALUE"""),"Jazz Boon")</f>
        <v>Jazz Boon</v>
      </c>
      <c r="V2248" s="5" t="s">
        <v>12783</v>
      </c>
      <c r="W2248" s="5" t="str">
        <f t="shared" si="3"/>
        <v>Ketan Mehta</v>
      </c>
      <c r="X2248" s="5">
        <f t="shared" si="4"/>
        <v>3</v>
      </c>
      <c r="Y2248" s="5" t="str">
        <f>IFERROR(__xludf.DUMMYFUNCTION("REGEXEXTRACT(J2248, ""^\d+"")"),"1")</f>
        <v>1</v>
      </c>
      <c r="Z2248" s="5" t="str">
        <f>IFERROR(__xludf.DUMMYFUNCTION("REGEXEXTRACT(J2248, ""[A-Za-z ]+$"")")," Season")</f>
        <v> Season</v>
      </c>
      <c r="AA2248" s="5" t="str">
        <f>IFERROR(__xludf.DUMMYFUNCTION("IF(REGEXMATCH(Z2248, ""Season""), ""TV Show"", ""Movie"")"),"TV Show")</f>
        <v>TV Show</v>
      </c>
    </row>
    <row r="2249">
      <c r="A2249" s="1" t="s">
        <v>12784</v>
      </c>
      <c r="B2249" s="1" t="s">
        <v>27</v>
      </c>
      <c r="C2249" s="1" t="s">
        <v>12785</v>
      </c>
      <c r="D2249" s="1" t="s">
        <v>1646</v>
      </c>
      <c r="E2249" s="1" t="s">
        <v>12786</v>
      </c>
      <c r="F2249" s="1" t="s">
        <v>3309</v>
      </c>
      <c r="G2249" s="1" t="s">
        <v>12776</v>
      </c>
      <c r="H2249" s="1">
        <v>2018.0</v>
      </c>
      <c r="I2249" s="1" t="s">
        <v>97</v>
      </c>
      <c r="J2249" s="1" t="s">
        <v>1091</v>
      </c>
      <c r="K2249" s="1" t="s">
        <v>199</v>
      </c>
      <c r="L2249" s="1" t="s">
        <v>12787</v>
      </c>
      <c r="M2249" s="2" t="s">
        <v>12</v>
      </c>
      <c r="N2249" s="4">
        <f t="shared" si="1"/>
        <v>44022</v>
      </c>
      <c r="O2249" s="5" t="str">
        <f>IFERROR(__xludf.DUMMYFUNCTION("IF(REGEXMATCH(TRIM(I2249), ""^\d+\s*min""), ""Unclassified"", IF(I2249 = """", ""NR"", I2249))"),"TV-14")</f>
        <v>TV-14</v>
      </c>
      <c r="R2249" s="5" t="str">
        <f t="shared" si="2"/>
        <v>Mama'S Boy</v>
      </c>
      <c r="S2249" s="5" t="str">
        <f>IFERROR(__xludf.DUMMYFUNCTION("""COMPUTED_VALUE"""),"Emo The Musical")</f>
        <v>Emo The Musical</v>
      </c>
      <c r="U2249" s="5" t="str">
        <f>IFERROR(__xludf.DUMMYFUNCTION("""COMPUTED_VALUE"""),"Felix Chong")</f>
        <v>Felix Chong</v>
      </c>
      <c r="V2249" s="5" t="s">
        <v>7191</v>
      </c>
      <c r="W2249" s="5" t="str">
        <f t="shared" si="3"/>
        <v>Ketche</v>
      </c>
      <c r="X2249" s="5">
        <f t="shared" si="4"/>
        <v>1</v>
      </c>
      <c r="Y2249" s="5" t="str">
        <f>IFERROR(__xludf.DUMMYFUNCTION("REGEXEXTRACT(J2249, ""^\d+"")"),"101")</f>
        <v>101</v>
      </c>
      <c r="Z2249" s="5" t="str">
        <f>IFERROR(__xludf.DUMMYFUNCTION("REGEXEXTRACT(J2249, ""[A-Za-z ]+$"")")," min")</f>
        <v> min</v>
      </c>
      <c r="AA2249" s="5" t="str">
        <f>IFERROR(__xludf.DUMMYFUNCTION("IF(REGEXMATCH(Z2249, ""Season""), ""TV Show"", ""Movie"")"),"Movie")</f>
        <v>Movie</v>
      </c>
    </row>
    <row r="2250">
      <c r="A2250" s="1" t="s">
        <v>12788</v>
      </c>
      <c r="B2250" s="1" t="s">
        <v>27</v>
      </c>
      <c r="C2250" s="1" t="s">
        <v>12789</v>
      </c>
      <c r="D2250" s="1" t="s">
        <v>12790</v>
      </c>
      <c r="F2250" s="1" t="s">
        <v>30</v>
      </c>
      <c r="G2250" s="1" t="s">
        <v>12776</v>
      </c>
      <c r="H2250" s="1">
        <v>2020.0</v>
      </c>
      <c r="I2250" s="1" t="s">
        <v>97</v>
      </c>
      <c r="J2250" s="1" t="s">
        <v>12062</v>
      </c>
      <c r="K2250" s="1" t="s">
        <v>34</v>
      </c>
      <c r="L2250" s="1" t="s">
        <v>12791</v>
      </c>
      <c r="M2250" s="2" t="s">
        <v>12</v>
      </c>
      <c r="N2250" s="4">
        <f t="shared" si="1"/>
        <v>44022</v>
      </c>
      <c r="O2250" s="5" t="str">
        <f>IFERROR(__xludf.DUMMYFUNCTION("IF(REGEXMATCH(TRIM(I2250), ""^\d+\s*min""), ""Unclassified"", IF(I2250 = """", ""NR"", I2250))"),"TV-14")</f>
        <v>TV-14</v>
      </c>
      <c r="R2250" s="5" t="str">
        <f t="shared" si="2"/>
        <v>The Claudia Kishi Club</v>
      </c>
      <c r="S2250" s="5" t="str">
        <f>IFERROR(__xludf.DUMMYFUNCTION("""COMPUTED_VALUE"""),"Emogenius")</f>
        <v>Emogenius</v>
      </c>
      <c r="U2250" s="5" t="str">
        <f>IFERROR(__xludf.DUMMYFUNCTION("""COMPUTED_VALUE"""),"Dhanush")</f>
        <v>Dhanush</v>
      </c>
      <c r="V2250" s="5" t="s">
        <v>12792</v>
      </c>
      <c r="W2250" s="5" t="str">
        <f t="shared" si="3"/>
        <v>Kevan Peterson</v>
      </c>
      <c r="X2250" s="5">
        <f t="shared" si="4"/>
        <v>1</v>
      </c>
      <c r="Y2250" s="5" t="str">
        <f>IFERROR(__xludf.DUMMYFUNCTION("REGEXEXTRACT(J2250, ""^\d+"")"),"17")</f>
        <v>17</v>
      </c>
      <c r="Z2250" s="5" t="str">
        <f>IFERROR(__xludf.DUMMYFUNCTION("REGEXEXTRACT(J2250, ""[A-Za-z ]+$"")")," min")</f>
        <v> min</v>
      </c>
      <c r="AA2250" s="5" t="str">
        <f>IFERROR(__xludf.DUMMYFUNCTION("IF(REGEXMATCH(Z2250, ""Season""), ""TV Show"", ""Movie"")"),"Movie")</f>
        <v>Movie</v>
      </c>
    </row>
    <row r="2251">
      <c r="A2251" s="1" t="s">
        <v>12793</v>
      </c>
      <c r="B2251" s="1" t="s">
        <v>37</v>
      </c>
      <c r="C2251" s="1" t="s">
        <v>12794</v>
      </c>
      <c r="E2251" s="1" t="s">
        <v>12795</v>
      </c>
      <c r="F2251" s="1" t="s">
        <v>30</v>
      </c>
      <c r="G2251" s="1" t="s">
        <v>12776</v>
      </c>
      <c r="H2251" s="1">
        <v>2020.0</v>
      </c>
      <c r="I2251" s="1" t="s">
        <v>289</v>
      </c>
      <c r="J2251" s="1" t="s">
        <v>51</v>
      </c>
      <c r="K2251" s="1" t="s">
        <v>12796</v>
      </c>
      <c r="L2251" s="1" t="s">
        <v>12797</v>
      </c>
      <c r="M2251" s="2" t="s">
        <v>12</v>
      </c>
      <c r="N2251" s="4">
        <f t="shared" si="1"/>
        <v>44022</v>
      </c>
      <c r="O2251" s="5" t="str">
        <f>IFERROR(__xludf.DUMMYFUNCTION("IF(REGEXMATCH(TRIM(I2251), ""^\d+\s*min""), ""Unclassified"", IF(I2251 = """", ""NR"", I2251))"),"TV-Y7")</f>
        <v>TV-Y7</v>
      </c>
      <c r="R2251" s="5" t="str">
        <f t="shared" si="2"/>
        <v>The Epic Tales Of Captain Underpants In Space</v>
      </c>
      <c r="S2251" s="5" t="str">
        <f>IFERROR(__xludf.DUMMYFUNCTION("""COMPUTED_VALUE"""),"Empire Games")</f>
        <v>Empire Games</v>
      </c>
      <c r="U2251" s="5" t="str">
        <f>IFERROR(__xludf.DUMMYFUNCTION("""COMPUTED_VALUE"""),"Gary Mak")</f>
        <v>Gary Mak</v>
      </c>
      <c r="V2251" s="5" t="s">
        <v>12798</v>
      </c>
      <c r="W2251" s="5" t="str">
        <f t="shared" si="3"/>
        <v>Kevin Booth, David Johndrow</v>
      </c>
      <c r="X2251" s="5">
        <f t="shared" si="4"/>
        <v>1</v>
      </c>
      <c r="Y2251" s="5" t="str">
        <f>IFERROR(__xludf.DUMMYFUNCTION("REGEXEXTRACT(J2251, ""^\d+"")"),"1")</f>
        <v>1</v>
      </c>
      <c r="Z2251" s="5" t="str">
        <f>IFERROR(__xludf.DUMMYFUNCTION("REGEXEXTRACT(J2251, ""[A-Za-z ]+$"")")," Season")</f>
        <v> Season</v>
      </c>
      <c r="AA2251" s="5" t="str">
        <f>IFERROR(__xludf.DUMMYFUNCTION("IF(REGEXMATCH(Z2251, ""Season""), ""TV Show"", ""Movie"")"),"TV Show")</f>
        <v>TV Show</v>
      </c>
    </row>
    <row r="2252">
      <c r="A2252" s="1" t="s">
        <v>12799</v>
      </c>
      <c r="B2252" s="1" t="s">
        <v>27</v>
      </c>
      <c r="C2252" s="1" t="s">
        <v>12800</v>
      </c>
      <c r="D2252" s="1" t="s">
        <v>8486</v>
      </c>
      <c r="E2252" s="1" t="s">
        <v>12801</v>
      </c>
      <c r="F2252" s="1" t="s">
        <v>30</v>
      </c>
      <c r="G2252" s="1" t="s">
        <v>12776</v>
      </c>
      <c r="H2252" s="1">
        <v>2020.0</v>
      </c>
      <c r="I2252" s="1" t="s">
        <v>378</v>
      </c>
      <c r="J2252" s="1" t="s">
        <v>3458</v>
      </c>
      <c r="K2252" s="1" t="s">
        <v>380</v>
      </c>
      <c r="L2252" s="1" t="s">
        <v>12802</v>
      </c>
      <c r="M2252" s="2" t="s">
        <v>12</v>
      </c>
      <c r="N2252" s="4">
        <f t="shared" si="1"/>
        <v>44022</v>
      </c>
      <c r="O2252" s="5" t="str">
        <f>IFERROR(__xludf.DUMMYFUNCTION("IF(REGEXMATCH(TRIM(I2252), ""^\d+\s*min""), ""Unclassified"", IF(I2252 = """", ""NR"", I2252))"),"R")</f>
        <v>R</v>
      </c>
      <c r="R2252" s="5" t="str">
        <f t="shared" si="2"/>
        <v>The Old Guard</v>
      </c>
      <c r="S2252" s="5" t="str">
        <f>IFERROR(__xludf.DUMMYFUNCTION("""COMPUTED_VALUE"""),"Empire Of Scents")</f>
        <v>Empire Of Scents</v>
      </c>
      <c r="U2252" s="5" t="str">
        <f>IFERROR(__xludf.DUMMYFUNCTION("""COMPUTED_VALUE"""),"Liu Jiang")</f>
        <v>Liu Jiang</v>
      </c>
      <c r="V2252" s="5" t="s">
        <v>12803</v>
      </c>
      <c r="W2252" s="5" t="str">
        <f t="shared" si="3"/>
        <v>Kevin Bray</v>
      </c>
      <c r="X2252" s="5">
        <f t="shared" si="4"/>
        <v>1</v>
      </c>
      <c r="Y2252" s="5" t="str">
        <f>IFERROR(__xludf.DUMMYFUNCTION("REGEXEXTRACT(J2252, ""^\d+"")"),"126")</f>
        <v>126</v>
      </c>
      <c r="Z2252" s="5" t="str">
        <f>IFERROR(__xludf.DUMMYFUNCTION("REGEXEXTRACT(J2252, ""[A-Za-z ]+$"")")," min")</f>
        <v> min</v>
      </c>
      <c r="AA2252" s="5" t="str">
        <f>IFERROR(__xludf.DUMMYFUNCTION("IF(REGEXMATCH(Z2252, ""Season""), ""TV Show"", ""Movie"")"),"Movie")</f>
        <v>Movie</v>
      </c>
    </row>
    <row r="2253">
      <c r="A2253" s="1" t="s">
        <v>12804</v>
      </c>
      <c r="B2253" s="1" t="s">
        <v>37</v>
      </c>
      <c r="C2253" s="1" t="s">
        <v>12805</v>
      </c>
      <c r="D2253" s="1" t="s">
        <v>12806</v>
      </c>
      <c r="E2253" s="1" t="s">
        <v>12807</v>
      </c>
      <c r="F2253" s="1" t="s">
        <v>671</v>
      </c>
      <c r="G2253" s="1" t="s">
        <v>12776</v>
      </c>
      <c r="H2253" s="1">
        <v>2019.0</v>
      </c>
      <c r="I2253" s="1" t="s">
        <v>42</v>
      </c>
      <c r="J2253" s="1" t="s">
        <v>51</v>
      </c>
      <c r="K2253" s="1" t="s">
        <v>1362</v>
      </c>
      <c r="L2253" s="1" t="s">
        <v>12808</v>
      </c>
      <c r="M2253" s="2" t="s">
        <v>12</v>
      </c>
      <c r="N2253" s="4">
        <f t="shared" si="1"/>
        <v>44022</v>
      </c>
      <c r="O2253" s="5" t="str">
        <f>IFERROR(__xludf.DUMMYFUNCTION("IF(REGEXMATCH(TRIM(I2253), ""^\d+\s*min""), ""Unclassified"", IF(I2253 = """", ""NR"", I2253))"),"TV-MA")</f>
        <v>TV-MA</v>
      </c>
      <c r="R2253" s="5" t="str">
        <f t="shared" si="2"/>
        <v>The Twelve</v>
      </c>
      <c r="S2253" s="5" t="str">
        <f>IFERROR(__xludf.DUMMYFUNCTION("""COMPUTED_VALUE"""),"Employee Of The Month")</f>
        <v>Employee Of The Month</v>
      </c>
      <c r="U2253" s="5" t="str">
        <f>IFERROR(__xludf.DUMMYFUNCTION("""COMPUTED_VALUE"""),"Joseduardo Giordano, Sergio Goyri Jr.")</f>
        <v>Joseduardo Giordano, Sergio Goyri Jr.</v>
      </c>
      <c r="V2253" s="5" t="s">
        <v>7395</v>
      </c>
      <c r="W2253" s="5" t="str">
        <f t="shared" si="3"/>
        <v>Kevin Costner</v>
      </c>
      <c r="X2253" s="5">
        <f t="shared" si="4"/>
        <v>1</v>
      </c>
      <c r="Y2253" s="5" t="str">
        <f>IFERROR(__xludf.DUMMYFUNCTION("REGEXEXTRACT(J2253, ""^\d+"")"),"1")</f>
        <v>1</v>
      </c>
      <c r="Z2253" s="5" t="str">
        <f>IFERROR(__xludf.DUMMYFUNCTION("REGEXEXTRACT(J2253, ""[A-Za-z ]+$"")")," Season")</f>
        <v> Season</v>
      </c>
      <c r="AA2253" s="5" t="str">
        <f>IFERROR(__xludf.DUMMYFUNCTION("IF(REGEXMATCH(Z2253, ""Season""), ""TV Show"", ""Movie"")"),"TV Show")</f>
        <v>TV Show</v>
      </c>
    </row>
    <row r="2254">
      <c r="A2254" s="1" t="s">
        <v>12809</v>
      </c>
      <c r="B2254" s="1" t="s">
        <v>27</v>
      </c>
      <c r="C2254" s="1" t="s">
        <v>12810</v>
      </c>
      <c r="D2254" s="1" t="s">
        <v>7995</v>
      </c>
      <c r="E2254" s="1" t="s">
        <v>12811</v>
      </c>
      <c r="G2254" s="1" t="s">
        <v>12776</v>
      </c>
      <c r="H2254" s="1">
        <v>2019.0</v>
      </c>
      <c r="I2254" s="1" t="s">
        <v>506</v>
      </c>
      <c r="J2254" s="1" t="s">
        <v>985</v>
      </c>
      <c r="K2254" s="1" t="s">
        <v>199</v>
      </c>
      <c r="L2254" s="1" t="s">
        <v>12812</v>
      </c>
      <c r="M2254" s="2" t="s">
        <v>12</v>
      </c>
      <c r="N2254" s="4">
        <f t="shared" si="1"/>
        <v>44022</v>
      </c>
      <c r="O2254" s="5" t="str">
        <f>IFERROR(__xludf.DUMMYFUNCTION("IF(REGEXMATCH(TRIM(I2254), ""^\d+\s*min""), ""Unclassified"", IF(I2254 = """", ""NR"", I2254))"),"TV-G")</f>
        <v>TV-G</v>
      </c>
      <c r="R2254" s="5" t="str">
        <f t="shared" si="2"/>
        <v>Your Excellency</v>
      </c>
      <c r="S2254" s="5" t="str">
        <f>IFERROR(__xludf.DUMMYFUNCTION("""COMPUTED_VALUE"""),"Encerrados")</f>
        <v>Encerrados</v>
      </c>
      <c r="U2254" s="5" t="str">
        <f>IFERROR(__xludf.DUMMYFUNCTION("""COMPUTED_VALUE"""),"Alice Rohrwacher")</f>
        <v>Alice Rohrwacher</v>
      </c>
      <c r="V2254" s="5" t="s">
        <v>12813</v>
      </c>
      <c r="W2254" s="5" t="str">
        <f t="shared" si="3"/>
        <v>Kevin Derek</v>
      </c>
      <c r="X2254" s="5">
        <f t="shared" si="4"/>
        <v>1</v>
      </c>
      <c r="Y2254" s="5" t="str">
        <f>IFERROR(__xludf.DUMMYFUNCTION("REGEXEXTRACT(J2254, ""^\d+"")"),"120")</f>
        <v>120</v>
      </c>
      <c r="Z2254" s="5" t="str">
        <f>IFERROR(__xludf.DUMMYFUNCTION("REGEXEXTRACT(J2254, ""[A-Za-z ]+$"")")," min")</f>
        <v> min</v>
      </c>
      <c r="AA2254" s="5" t="str">
        <f>IFERROR(__xludf.DUMMYFUNCTION("IF(REGEXMATCH(Z2254, ""Season""), ""TV Show"", ""Movie"")"),"Movie")</f>
        <v>Movie</v>
      </c>
    </row>
    <row r="2255">
      <c r="A2255" s="1" t="s">
        <v>12814</v>
      </c>
      <c r="B2255" s="1" t="s">
        <v>37</v>
      </c>
      <c r="C2255" s="1" t="s">
        <v>12815</v>
      </c>
      <c r="E2255" s="1" t="s">
        <v>12816</v>
      </c>
      <c r="F2255" s="1" t="s">
        <v>415</v>
      </c>
      <c r="G2255" s="1" t="s">
        <v>12817</v>
      </c>
      <c r="H2255" s="1">
        <v>2020.0</v>
      </c>
      <c r="I2255" s="1" t="s">
        <v>42</v>
      </c>
      <c r="J2255" s="1" t="s">
        <v>51</v>
      </c>
      <c r="K2255" s="1" t="s">
        <v>567</v>
      </c>
      <c r="L2255" s="1" t="s">
        <v>12818</v>
      </c>
      <c r="M2255" s="2" t="s">
        <v>12</v>
      </c>
      <c r="N2255" s="4">
        <f t="shared" si="1"/>
        <v>44021</v>
      </c>
      <c r="O2255" s="5" t="str">
        <f>IFERROR(__xludf.DUMMYFUNCTION("IF(REGEXMATCH(TRIM(I2255), ""^\d+\s*min""), ""Unclassified"", IF(I2255 = """", ""NR"", I2255))"),"TV-MA")</f>
        <v>TV-MA</v>
      </c>
      <c r="R2255" s="5" t="str">
        <f t="shared" si="2"/>
        <v>Japan Sinks: 2020</v>
      </c>
      <c r="S2255" s="5" t="str">
        <f>IFERROR(__xludf.DUMMYFUNCTION("""COMPUTED_VALUE"""),"Encounter: The Killing")</f>
        <v>Encounter: The Killing</v>
      </c>
      <c r="U2255" s="5" t="str">
        <f>IFERROR(__xludf.DUMMYFUNCTION("""COMPUTED_VALUE"""),"Nandita Das")</f>
        <v>Nandita Das</v>
      </c>
      <c r="V2255" s="5" t="s">
        <v>12819</v>
      </c>
      <c r="W2255" s="5" t="str">
        <f t="shared" si="3"/>
        <v>Kevin Donovan</v>
      </c>
      <c r="X2255" s="5">
        <f t="shared" si="4"/>
        <v>1</v>
      </c>
      <c r="Y2255" s="5" t="str">
        <f>IFERROR(__xludf.DUMMYFUNCTION("REGEXEXTRACT(J2255, ""^\d+"")"),"1")</f>
        <v>1</v>
      </c>
      <c r="Z2255" s="5" t="str">
        <f>IFERROR(__xludf.DUMMYFUNCTION("REGEXEXTRACT(J2255, ""[A-Za-z ]+$"")")," Season")</f>
        <v> Season</v>
      </c>
      <c r="AA2255" s="5" t="str">
        <f>IFERROR(__xludf.DUMMYFUNCTION("IF(REGEXMATCH(Z2255, ""Season""), ""TV Show"", ""Movie"")"),"TV Show")</f>
        <v>TV Show</v>
      </c>
    </row>
    <row r="2256">
      <c r="A2256" s="1" t="s">
        <v>12820</v>
      </c>
      <c r="B2256" s="1" t="s">
        <v>37</v>
      </c>
      <c r="C2256" s="1" t="s">
        <v>12821</v>
      </c>
      <c r="E2256" s="1" t="s">
        <v>12822</v>
      </c>
      <c r="F2256" s="1" t="s">
        <v>188</v>
      </c>
      <c r="G2256" s="1" t="s">
        <v>12817</v>
      </c>
      <c r="H2256" s="1">
        <v>2020.0</v>
      </c>
      <c r="I2256" s="1" t="s">
        <v>42</v>
      </c>
      <c r="J2256" s="1" t="s">
        <v>148</v>
      </c>
      <c r="K2256" s="1" t="s">
        <v>12823</v>
      </c>
      <c r="L2256" s="1" t="s">
        <v>12824</v>
      </c>
      <c r="M2256" s="2" t="s">
        <v>12</v>
      </c>
      <c r="N2256" s="4">
        <f t="shared" si="1"/>
        <v>44021</v>
      </c>
      <c r="O2256" s="5" t="str">
        <f>IFERROR(__xludf.DUMMYFUNCTION("IF(REGEXMATCH(TRIM(I2256), ""^\d+\s*min""), ""Unclassified"", IF(I2256 = """", ""NR"", I2256))"),"TV-MA")</f>
        <v>TV-MA</v>
      </c>
      <c r="R2256" s="5" t="str">
        <f t="shared" si="2"/>
        <v>The Protector</v>
      </c>
      <c r="S2256" s="5" t="str">
        <f>IFERROR(__xludf.DUMMYFUNCTION("""COMPUTED_VALUE"""),"Encounters With Evil")</f>
        <v>Encounters With Evil</v>
      </c>
      <c r="U2256" s="5" t="str">
        <f>IFERROR(__xludf.DUMMYFUNCTION("""COMPUTED_VALUE"""),"Romain Gavras")</f>
        <v>Romain Gavras</v>
      </c>
      <c r="V2256" s="5" t="s">
        <v>12825</v>
      </c>
      <c r="W2256" s="5" t="str">
        <f t="shared" si="3"/>
        <v>Kevin Ford, Smriti Keshari, Eric Schlosser</v>
      </c>
      <c r="X2256" s="5">
        <f t="shared" si="4"/>
        <v>1</v>
      </c>
      <c r="Y2256" s="5" t="str">
        <f>IFERROR(__xludf.DUMMYFUNCTION("REGEXEXTRACT(J2256, ""^\d+"")"),"4")</f>
        <v>4</v>
      </c>
      <c r="Z2256" s="5" t="str">
        <f>IFERROR(__xludf.DUMMYFUNCTION("REGEXEXTRACT(J2256, ""[A-Za-z ]+$"")")," Seasons")</f>
        <v> Seasons</v>
      </c>
      <c r="AA2256" s="5" t="str">
        <f>IFERROR(__xludf.DUMMYFUNCTION("IF(REGEXMATCH(Z2256, ""Season""), ""TV Show"", ""Movie"")"),"TV Show")</f>
        <v>TV Show</v>
      </c>
    </row>
    <row r="2257">
      <c r="A2257" s="1" t="s">
        <v>12826</v>
      </c>
      <c r="B2257" s="1" t="s">
        <v>37</v>
      </c>
      <c r="C2257" s="1" t="s">
        <v>12827</v>
      </c>
      <c r="E2257" s="1" t="s">
        <v>12828</v>
      </c>
      <c r="F2257" s="1" t="s">
        <v>749</v>
      </c>
      <c r="G2257" s="1" t="s">
        <v>12817</v>
      </c>
      <c r="H2257" s="1">
        <v>2020.0</v>
      </c>
      <c r="I2257" s="1" t="s">
        <v>97</v>
      </c>
      <c r="J2257" s="1" t="s">
        <v>51</v>
      </c>
      <c r="K2257" s="1" t="s">
        <v>7164</v>
      </c>
      <c r="L2257" s="1" t="s">
        <v>12829</v>
      </c>
      <c r="M2257" s="2" t="s">
        <v>12</v>
      </c>
      <c r="N2257" s="4">
        <f t="shared" si="1"/>
        <v>44021</v>
      </c>
      <c r="O2257" s="5" t="str">
        <f>IFERROR(__xludf.DUMMYFUNCTION("IF(REGEXMATCH(TRIM(I2257), ""^\d+\s*min""), ""Unclassified"", IF(I2257 = """", ""NR"", I2257))"),"TV-14")</f>
        <v>TV-14</v>
      </c>
      <c r="R2257" s="5" t="str">
        <f t="shared" si="2"/>
        <v>Was It Love?</v>
      </c>
      <c r="S2257" s="5" t="str">
        <f>IFERROR(__xludf.DUMMYFUNCTION("""COMPUTED_VALUE"""),"End Game")</f>
        <v>End Game</v>
      </c>
      <c r="U2257" s="5" t="str">
        <f>IFERROR(__xludf.DUMMYFUNCTION("""COMPUTED_VALUE"""),"Sebastián Hofmann")</f>
        <v>Sebastián Hofmann</v>
      </c>
      <c r="V2257" s="5" t="s">
        <v>12830</v>
      </c>
      <c r="W2257" s="5" t="str">
        <f t="shared" si="3"/>
        <v>Kevin Hooks</v>
      </c>
      <c r="X2257" s="5">
        <f t="shared" si="4"/>
        <v>1</v>
      </c>
      <c r="Y2257" s="5" t="str">
        <f>IFERROR(__xludf.DUMMYFUNCTION("REGEXEXTRACT(J2257, ""^\d+"")"),"1")</f>
        <v>1</v>
      </c>
      <c r="Z2257" s="5" t="str">
        <f>IFERROR(__xludf.DUMMYFUNCTION("REGEXEXTRACT(J2257, ""[A-Za-z ]+$"")")," Season")</f>
        <v> Season</v>
      </c>
      <c r="AA2257" s="5" t="str">
        <f>IFERROR(__xludf.DUMMYFUNCTION("IF(REGEXMATCH(Z2257, ""Season""), ""TV Show"", ""Movie"")"),"TV Show")</f>
        <v>TV Show</v>
      </c>
    </row>
    <row r="2258">
      <c r="A2258" s="1" t="s">
        <v>12831</v>
      </c>
      <c r="B2258" s="1" t="s">
        <v>27</v>
      </c>
      <c r="C2258" s="1" t="s">
        <v>12832</v>
      </c>
      <c r="D2258" s="1" t="s">
        <v>3971</v>
      </c>
      <c r="E2258" s="1" t="s">
        <v>12833</v>
      </c>
      <c r="F2258" s="1" t="s">
        <v>2715</v>
      </c>
      <c r="G2258" s="1" t="s">
        <v>12834</v>
      </c>
      <c r="H2258" s="1">
        <v>2018.0</v>
      </c>
      <c r="I2258" s="1" t="s">
        <v>378</v>
      </c>
      <c r="J2258" s="1" t="s">
        <v>1191</v>
      </c>
      <c r="K2258" s="1" t="s">
        <v>645</v>
      </c>
      <c r="L2258" s="1" t="s">
        <v>12835</v>
      </c>
      <c r="M2258" s="2" t="s">
        <v>12</v>
      </c>
      <c r="N2258" s="4">
        <f t="shared" si="1"/>
        <v>44020</v>
      </c>
      <c r="O2258" s="5" t="str">
        <f>IFERROR(__xludf.DUMMYFUNCTION("IF(REGEXMATCH(TRIM(I2258), ""^\d+\s*min""), ""Unclassified"", IF(I2258 = """", ""NR"", I2258))"),"R")</f>
        <v>R</v>
      </c>
      <c r="R2258" s="5" t="str">
        <f t="shared" si="2"/>
        <v>Born Racer</v>
      </c>
      <c r="S2258" s="5" t="str">
        <f>IFERROR(__xludf.DUMMYFUNCTION("""COMPUTED_VALUE"""),"End Of Watch")</f>
        <v>End Of Watch</v>
      </c>
      <c r="U2258" s="5" t="str">
        <f>IFERROR(__xludf.DUMMYFUNCTION("""COMPUTED_VALUE"""),"Denny Lu, Mike Myhre")</f>
        <v>Denny Lu, Mike Myhre</v>
      </c>
      <c r="V2258" s="5" t="s">
        <v>5036</v>
      </c>
      <c r="W2258" s="5" t="str">
        <f t="shared" si="3"/>
        <v>Kevin Johnson</v>
      </c>
      <c r="X2258" s="5">
        <f t="shared" si="4"/>
        <v>1</v>
      </c>
      <c r="Y2258" s="5" t="str">
        <f>IFERROR(__xludf.DUMMYFUNCTION("REGEXEXTRACT(J2258, ""^\d+"")"),"89")</f>
        <v>89</v>
      </c>
      <c r="Z2258" s="5" t="str">
        <f>IFERROR(__xludf.DUMMYFUNCTION("REGEXEXTRACT(J2258, ""[A-Za-z ]+$"")")," min")</f>
        <v> min</v>
      </c>
      <c r="AA2258" s="5" t="str">
        <f>IFERROR(__xludf.DUMMYFUNCTION("IF(REGEXMATCH(Z2258, ""Season""), ""TV Show"", ""Movie"")"),"Movie")</f>
        <v>Movie</v>
      </c>
    </row>
    <row r="2259">
      <c r="A2259" s="1" t="s">
        <v>12836</v>
      </c>
      <c r="B2259" s="1" t="s">
        <v>27</v>
      </c>
      <c r="C2259" s="1" t="s">
        <v>12837</v>
      </c>
      <c r="D2259" s="1" t="s">
        <v>5282</v>
      </c>
      <c r="E2259" s="1" t="s">
        <v>12838</v>
      </c>
      <c r="F2259" s="1" t="s">
        <v>30</v>
      </c>
      <c r="G2259" s="1" t="s">
        <v>12834</v>
      </c>
      <c r="H2259" s="1">
        <v>2020.0</v>
      </c>
      <c r="I2259" s="1" t="s">
        <v>97</v>
      </c>
      <c r="J2259" s="1" t="s">
        <v>322</v>
      </c>
      <c r="K2259" s="1" t="s">
        <v>1212</v>
      </c>
      <c r="L2259" s="1" t="s">
        <v>12839</v>
      </c>
      <c r="M2259" s="2" t="s">
        <v>12</v>
      </c>
      <c r="N2259" s="4">
        <f t="shared" si="1"/>
        <v>44020</v>
      </c>
      <c r="O2259" s="5" t="str">
        <f>IFERROR(__xludf.DUMMYFUNCTION("IF(REGEXMATCH(TRIM(I2259), ""^\d+\s*min""), ""Unclassified"", IF(I2259 = """", ""NR"", I2259))"),"TV-14")</f>
        <v>TV-14</v>
      </c>
      <c r="R2259" s="5" t="str">
        <f t="shared" si="2"/>
        <v>Mucho Mucho Amor: The Legend Of Walter Mercado</v>
      </c>
      <c r="S2259" s="5" t="str">
        <f>IFERROR(__xludf.DUMMYFUNCTION("""COMPUTED_VALUE"""),"Enemigo Íntimo")</f>
        <v>Enemigo Íntimo</v>
      </c>
      <c r="U2259" s="5" t="str">
        <f>IFERROR(__xludf.DUMMYFUNCTION("""COMPUTED_VALUE"""),"Clay Kaytis")</f>
        <v>Clay Kaytis</v>
      </c>
      <c r="V2259" s="5" t="s">
        <v>10721</v>
      </c>
      <c r="W2259" s="5" t="str">
        <f t="shared" si="3"/>
        <v>Kevin Ko, Peter Tsi</v>
      </c>
      <c r="X2259" s="5">
        <f t="shared" si="4"/>
        <v>1</v>
      </c>
      <c r="Y2259" s="5" t="str">
        <f>IFERROR(__xludf.DUMMYFUNCTION("REGEXEXTRACT(J2259, ""^\d+"")"),"96")</f>
        <v>96</v>
      </c>
      <c r="Z2259" s="5" t="str">
        <f>IFERROR(__xludf.DUMMYFUNCTION("REGEXEXTRACT(J2259, ""[A-Za-z ]+$"")")," min")</f>
        <v> min</v>
      </c>
      <c r="AA2259" s="5" t="str">
        <f>IFERROR(__xludf.DUMMYFUNCTION("IF(REGEXMATCH(Z2259, ""Season""), ""TV Show"", ""Movie"")"),"Movie")</f>
        <v>Movie</v>
      </c>
    </row>
    <row r="2260">
      <c r="A2260" s="1" t="s">
        <v>12840</v>
      </c>
      <c r="B2260" s="1" t="s">
        <v>37</v>
      </c>
      <c r="C2260" s="1" t="s">
        <v>12841</v>
      </c>
      <c r="E2260" s="1" t="s">
        <v>12842</v>
      </c>
      <c r="F2260" s="1" t="s">
        <v>221</v>
      </c>
      <c r="G2260" s="1" t="s">
        <v>12834</v>
      </c>
      <c r="H2260" s="1">
        <v>2020.0</v>
      </c>
      <c r="I2260" s="1" t="s">
        <v>42</v>
      </c>
      <c r="J2260" s="1" t="s">
        <v>51</v>
      </c>
      <c r="K2260" s="1" t="s">
        <v>402</v>
      </c>
      <c r="L2260" s="1" t="s">
        <v>12843</v>
      </c>
      <c r="M2260" s="2" t="s">
        <v>12</v>
      </c>
      <c r="N2260" s="4">
        <f t="shared" si="1"/>
        <v>44020</v>
      </c>
      <c r="O2260" s="5" t="str">
        <f>IFERROR(__xludf.DUMMYFUNCTION("IF(REGEXMATCH(TRIM(I2260), ""^\d+\s*min""), ""Unclassified"", IF(I2260 = """", ""NR"", I2260))"),"TV-MA")</f>
        <v>TV-MA</v>
      </c>
      <c r="R2260" s="5" t="str">
        <f t="shared" si="2"/>
        <v>Stateless</v>
      </c>
      <c r="S2260" s="5" t="str">
        <f>IFERROR(__xludf.DUMMYFUNCTION("""COMPUTED_VALUE"""),"Enemy")</f>
        <v>Enemy</v>
      </c>
      <c r="U2260" s="5" t="str">
        <f>IFERROR(__xludf.DUMMYFUNCTION("""COMPUTED_VALUE"""),"Fernando Colomo")</f>
        <v>Fernando Colomo</v>
      </c>
      <c r="V2260" s="5" t="s">
        <v>12844</v>
      </c>
      <c r="W2260" s="5" t="str">
        <f t="shared" si="3"/>
        <v>Kevin Layne</v>
      </c>
      <c r="X2260" s="5">
        <f t="shared" si="4"/>
        <v>2</v>
      </c>
      <c r="Y2260" s="5" t="str">
        <f>IFERROR(__xludf.DUMMYFUNCTION("REGEXEXTRACT(J2260, ""^\d+"")"),"1")</f>
        <v>1</v>
      </c>
      <c r="Z2260" s="5" t="str">
        <f>IFERROR(__xludf.DUMMYFUNCTION("REGEXEXTRACT(J2260, ""[A-Za-z ]+$"")")," Season")</f>
        <v> Season</v>
      </c>
      <c r="AA2260" s="5" t="str">
        <f>IFERROR(__xludf.DUMMYFUNCTION("IF(REGEXMATCH(Z2260, ""Season""), ""TV Show"", ""Movie"")"),"TV Show")</f>
        <v>TV Show</v>
      </c>
    </row>
    <row r="2261">
      <c r="A2261" s="1" t="s">
        <v>12845</v>
      </c>
      <c r="B2261" s="1" t="s">
        <v>27</v>
      </c>
      <c r="C2261" s="1" t="s">
        <v>12846</v>
      </c>
      <c r="D2261" s="1" t="s">
        <v>8980</v>
      </c>
      <c r="E2261" s="1" t="s">
        <v>12847</v>
      </c>
      <c r="F2261" s="1" t="s">
        <v>30</v>
      </c>
      <c r="G2261" s="1" t="s">
        <v>12834</v>
      </c>
      <c r="H2261" s="1">
        <v>2018.0</v>
      </c>
      <c r="I2261" s="1" t="s">
        <v>378</v>
      </c>
      <c r="J2261" s="1" t="s">
        <v>79</v>
      </c>
      <c r="K2261" s="1" t="s">
        <v>1749</v>
      </c>
      <c r="L2261" s="1" t="s">
        <v>12848</v>
      </c>
      <c r="M2261" s="2" t="s">
        <v>12</v>
      </c>
      <c r="N2261" s="4">
        <f t="shared" si="1"/>
        <v>44020</v>
      </c>
      <c r="O2261" s="5" t="str">
        <f>IFERROR(__xludf.DUMMYFUNCTION("IF(REGEXMATCH(TRIM(I2261), ""^\d+\s*min""), ""Unclassified"", IF(I2261 = """", ""NR"", I2261))"),"R")</f>
        <v>R</v>
      </c>
      <c r="R2261" s="5" t="str">
        <f t="shared" si="2"/>
        <v>The Long Dumb Road</v>
      </c>
      <c r="S2261" s="5" t="str">
        <f>IFERROR(__xludf.DUMMYFUNCTION("""COMPUTED_VALUE"""),"Engineering Girls")</f>
        <v>Engineering Girls</v>
      </c>
      <c r="U2261" s="5" t="str">
        <f>IFERROR(__xludf.DUMMYFUNCTION("""COMPUTED_VALUE"""),"Robert Vince")</f>
        <v>Robert Vince</v>
      </c>
      <c r="V2261" s="5" t="s">
        <v>5683</v>
      </c>
      <c r="W2261" s="5" t="str">
        <f t="shared" si="3"/>
        <v>Kevin Macdonald</v>
      </c>
      <c r="X2261" s="5">
        <f t="shared" si="4"/>
        <v>3</v>
      </c>
      <c r="Y2261" s="5" t="str">
        <f>IFERROR(__xludf.DUMMYFUNCTION("REGEXEXTRACT(J2261, ""^\d+"")"),"91")</f>
        <v>91</v>
      </c>
      <c r="Z2261" s="5" t="str">
        <f>IFERROR(__xludf.DUMMYFUNCTION("REGEXEXTRACT(J2261, ""[A-Za-z ]+$"")")," min")</f>
        <v> min</v>
      </c>
      <c r="AA2261" s="5" t="str">
        <f>IFERROR(__xludf.DUMMYFUNCTION("IF(REGEXMATCH(Z2261, ""Season""), ""TV Show"", ""Movie"")"),"Movie")</f>
        <v>Movie</v>
      </c>
    </row>
    <row r="2262">
      <c r="A2262" s="1" t="s">
        <v>12849</v>
      </c>
      <c r="B2262" s="1" t="s">
        <v>27</v>
      </c>
      <c r="C2262" s="1" t="s">
        <v>12850</v>
      </c>
      <c r="D2262" s="1" t="s">
        <v>4784</v>
      </c>
      <c r="E2262" s="1" t="s">
        <v>12851</v>
      </c>
      <c r="F2262" s="1" t="s">
        <v>2321</v>
      </c>
      <c r="G2262" s="1" t="s">
        <v>12852</v>
      </c>
      <c r="H2262" s="1">
        <v>2012.0</v>
      </c>
      <c r="I2262" s="1" t="s">
        <v>78</v>
      </c>
      <c r="J2262" s="1" t="s">
        <v>1144</v>
      </c>
      <c r="K2262" s="1" t="s">
        <v>80</v>
      </c>
      <c r="L2262" s="1" t="s">
        <v>12853</v>
      </c>
      <c r="M2262" s="2" t="s">
        <v>12</v>
      </c>
      <c r="N2262" s="4">
        <f t="shared" si="1"/>
        <v>44019</v>
      </c>
      <c r="O2262" s="5" t="str">
        <f>IFERROR(__xludf.DUMMYFUNCTION("IF(REGEXMATCH(TRIM(I2262), ""^\d+\s*min""), ""Unclassified"", IF(I2262 = """", ""NR"", I2262))"),"PG")</f>
        <v>PG</v>
      </c>
      <c r="R2262" s="5" t="str">
        <f t="shared" si="2"/>
        <v>Dr. Seuss' The Lorax</v>
      </c>
      <c r="S2262" s="5" t="str">
        <f>IFERROR(__xludf.DUMMYFUNCTION("""COMPUTED_VALUE"""),"English Babu Desi Mem")</f>
        <v>English Babu Desi Mem</v>
      </c>
      <c r="U2262" s="5" t="str">
        <f>IFERROR(__xludf.DUMMYFUNCTION("""COMPUTED_VALUE"""),"Raditya Dika")</f>
        <v>Raditya Dika</v>
      </c>
      <c r="V2262" s="5" t="s">
        <v>12854</v>
      </c>
      <c r="W2262" s="5" t="str">
        <f t="shared" si="3"/>
        <v>Kevin Mcmanus, Matthew Mcmanus</v>
      </c>
      <c r="X2262" s="5">
        <f t="shared" si="4"/>
        <v>1</v>
      </c>
      <c r="Y2262" s="5" t="str">
        <f>IFERROR(__xludf.DUMMYFUNCTION("REGEXEXTRACT(J2262, ""^\d+"")"),"86")</f>
        <v>86</v>
      </c>
      <c r="Z2262" s="5" t="str">
        <f>IFERROR(__xludf.DUMMYFUNCTION("REGEXEXTRACT(J2262, ""[A-Za-z ]+$"")")," min")</f>
        <v> min</v>
      </c>
      <c r="AA2262" s="5" t="str">
        <f>IFERROR(__xludf.DUMMYFUNCTION("IF(REGEXMATCH(Z2262, ""Season""), ""TV Show"", ""Movie"")"),"Movie")</f>
        <v>Movie</v>
      </c>
    </row>
    <row r="2263">
      <c r="A2263" s="1" t="s">
        <v>12855</v>
      </c>
      <c r="B2263" s="1" t="s">
        <v>27</v>
      </c>
      <c r="C2263" s="1" t="s">
        <v>12856</v>
      </c>
      <c r="D2263" s="1" t="s">
        <v>12857</v>
      </c>
      <c r="E2263" s="1" t="s">
        <v>12858</v>
      </c>
      <c r="G2263" s="1" t="s">
        <v>12852</v>
      </c>
      <c r="H2263" s="1">
        <v>2020.0</v>
      </c>
      <c r="I2263" s="1" t="s">
        <v>42</v>
      </c>
      <c r="J2263" s="1" t="s">
        <v>155</v>
      </c>
      <c r="K2263" s="1" t="s">
        <v>1839</v>
      </c>
      <c r="L2263" s="1" t="s">
        <v>12859</v>
      </c>
      <c r="M2263" s="2" t="s">
        <v>12</v>
      </c>
      <c r="N2263" s="4">
        <f t="shared" si="1"/>
        <v>44019</v>
      </c>
      <c r="O2263" s="5" t="str">
        <f>IFERROR(__xludf.DUMMYFUNCTION("IF(REGEXMATCH(TRIM(I2263), ""^\d+\s*min""), ""Unclassified"", IF(I2263 = """", ""NR"", I2263))"),"TV-MA")</f>
        <v>TV-MA</v>
      </c>
      <c r="R2263" s="5" t="str">
        <f t="shared" si="2"/>
        <v>Jim Jefferies: Intolerant</v>
      </c>
      <c r="S2263" s="5" t="str">
        <f>IFERROR(__xludf.DUMMYFUNCTION("""COMPUTED_VALUE"""),"Enissa Amani: Ehrenwort")</f>
        <v>Enissa Amani: Ehrenwort</v>
      </c>
      <c r="U2263" s="5" t="str">
        <f>IFERROR(__xludf.DUMMYFUNCTION("""COMPUTED_VALUE"""),"David Paul Meyer")</f>
        <v>David Paul Meyer</v>
      </c>
      <c r="V2263" s="5" t="s">
        <v>12860</v>
      </c>
      <c r="W2263" s="5" t="str">
        <f t="shared" si="3"/>
        <v>Kevin Munroe</v>
      </c>
      <c r="X2263" s="5">
        <f t="shared" si="4"/>
        <v>1</v>
      </c>
      <c r="Y2263" s="5" t="str">
        <f>IFERROR(__xludf.DUMMYFUNCTION("REGEXEXTRACT(J2263, ""^\d+"")"),"67")</f>
        <v>67</v>
      </c>
      <c r="Z2263" s="5" t="str">
        <f>IFERROR(__xludf.DUMMYFUNCTION("REGEXEXTRACT(J2263, ""[A-Za-z ]+$"")")," min")</f>
        <v> min</v>
      </c>
      <c r="AA2263" s="5" t="str">
        <f>IFERROR(__xludf.DUMMYFUNCTION("IF(REGEXMATCH(Z2263, ""Season""), ""TV Show"", ""Movie"")"),"Movie")</f>
        <v>Movie</v>
      </c>
    </row>
    <row r="2264">
      <c r="A2264" s="1" t="s">
        <v>12861</v>
      </c>
      <c r="B2264" s="1" t="s">
        <v>27</v>
      </c>
      <c r="C2264" s="1" t="s">
        <v>12862</v>
      </c>
      <c r="D2264" s="1" t="s">
        <v>5172</v>
      </c>
      <c r="E2264" s="1" t="s">
        <v>12863</v>
      </c>
      <c r="F2264" s="1" t="s">
        <v>2296</v>
      </c>
      <c r="G2264" s="1" t="s">
        <v>12864</v>
      </c>
      <c r="H2264" s="1">
        <v>2019.0</v>
      </c>
      <c r="I2264" s="1" t="s">
        <v>42</v>
      </c>
      <c r="J2264" s="1" t="s">
        <v>1191</v>
      </c>
      <c r="K2264" s="1" t="s">
        <v>645</v>
      </c>
      <c r="L2264" s="1" t="s">
        <v>12865</v>
      </c>
      <c r="M2264" s="2" t="s">
        <v>12</v>
      </c>
      <c r="N2264" s="4">
        <f t="shared" si="1"/>
        <v>44018</v>
      </c>
      <c r="O2264" s="5" t="str">
        <f>IFERROR(__xludf.DUMMYFUNCTION("IF(REGEXMATCH(TRIM(I2264), ""^\d+\s*min""), ""Unclassified"", IF(I2264 = """", ""NR"", I2264))"),"TV-MA")</f>
        <v>TV-MA</v>
      </c>
      <c r="R2264" s="5" t="str">
        <f t="shared" si="2"/>
        <v>A Kid From Coney Island</v>
      </c>
      <c r="S2264" s="5" t="str">
        <f>IFERROR(__xludf.DUMMYFUNCTION("""COMPUTED_VALUE"""),"Enlighten Us")</f>
        <v>Enlighten Us</v>
      </c>
      <c r="U2264" s="5" t="str">
        <f>IFERROR(__xludf.DUMMYFUNCTION("""COMPUTED_VALUE"""),"Daniel Goldhaber")</f>
        <v>Daniel Goldhaber</v>
      </c>
      <c r="V2264" s="5" t="s">
        <v>12866</v>
      </c>
      <c r="W2264" s="5" t="str">
        <f t="shared" si="3"/>
        <v>Kevin Peeples</v>
      </c>
      <c r="X2264" s="5">
        <f t="shared" si="4"/>
        <v>1</v>
      </c>
      <c r="Y2264" s="5" t="str">
        <f>IFERROR(__xludf.DUMMYFUNCTION("REGEXEXTRACT(J2264, ""^\d+"")"),"89")</f>
        <v>89</v>
      </c>
      <c r="Z2264" s="5" t="str">
        <f>IFERROR(__xludf.DUMMYFUNCTION("REGEXEXTRACT(J2264, ""[A-Za-z ]+$"")")," min")</f>
        <v> min</v>
      </c>
      <c r="AA2264" s="5" t="str">
        <f>IFERROR(__xludf.DUMMYFUNCTION("IF(REGEXMATCH(Z2264, ""Season""), ""TV Show"", ""Movie"")"),"Movie")</f>
        <v>Movie</v>
      </c>
    </row>
    <row r="2265">
      <c r="A2265" s="1" t="s">
        <v>12867</v>
      </c>
      <c r="B2265" s="1" t="s">
        <v>27</v>
      </c>
      <c r="C2265" s="1" t="s">
        <v>12868</v>
      </c>
      <c r="D2265" s="1" t="s">
        <v>12869</v>
      </c>
      <c r="E2265" s="1" t="s">
        <v>12870</v>
      </c>
      <c r="G2265" s="1" t="s">
        <v>12864</v>
      </c>
      <c r="H2265" s="1">
        <v>2020.0</v>
      </c>
      <c r="I2265" s="1" t="s">
        <v>42</v>
      </c>
      <c r="J2265" s="1" t="s">
        <v>2616</v>
      </c>
      <c r="K2265" s="1" t="s">
        <v>1939</v>
      </c>
      <c r="L2265" s="1" t="s">
        <v>12871</v>
      </c>
      <c r="M2265" s="2" t="s">
        <v>12</v>
      </c>
      <c r="N2265" s="4">
        <f t="shared" si="1"/>
        <v>44018</v>
      </c>
      <c r="O2265" s="5" t="str">
        <f>IFERROR(__xludf.DUMMYFUNCTION("IF(REGEXMATCH(TRIM(I2265), ""^\d+\s*min""), ""Unclassified"", IF(I2265 = """", ""NR"", I2265))"),"TV-MA")</f>
        <v>TV-MA</v>
      </c>
      <c r="R2265" s="5" t="str">
        <f t="shared" si="2"/>
        <v>Pnl - Dans La Légende Tour</v>
      </c>
      <c r="S2265" s="5" t="str">
        <f>IFERROR(__xludf.DUMMYFUNCTION("""COMPUTED_VALUE"""),"Enola Holmes")</f>
        <v>Enola Holmes</v>
      </c>
      <c r="U2265" s="5" t="str">
        <f>IFERROR(__xludf.DUMMYFUNCTION("""COMPUTED_VALUE"""),"Fred Cavayé")</f>
        <v>Fred Cavayé</v>
      </c>
      <c r="V2265" s="5" t="s">
        <v>12872</v>
      </c>
      <c r="W2265" s="5" t="str">
        <f t="shared" si="3"/>
        <v>Kevin Phillips</v>
      </c>
      <c r="X2265" s="5">
        <f t="shared" si="4"/>
        <v>1</v>
      </c>
      <c r="Y2265" s="5" t="str">
        <f>IFERROR(__xludf.DUMMYFUNCTION("REGEXEXTRACT(J2265, ""^\d+"")"),"65")</f>
        <v>65</v>
      </c>
      <c r="Z2265" s="5" t="str">
        <f>IFERROR(__xludf.DUMMYFUNCTION("REGEXEXTRACT(J2265, ""[A-Za-z ]+$"")")," min")</f>
        <v> min</v>
      </c>
      <c r="AA2265" s="5" t="str">
        <f>IFERROR(__xludf.DUMMYFUNCTION("IF(REGEXMATCH(Z2265, ""Season""), ""TV Show"", ""Movie"")"),"Movie")</f>
        <v>Movie</v>
      </c>
    </row>
    <row r="2266">
      <c r="A2266" s="1" t="s">
        <v>12873</v>
      </c>
      <c r="B2266" s="1" t="s">
        <v>27</v>
      </c>
      <c r="C2266" s="1" t="s">
        <v>12874</v>
      </c>
      <c r="D2266" s="1" t="s">
        <v>12875</v>
      </c>
      <c r="E2266" s="1" t="s">
        <v>12876</v>
      </c>
      <c r="F2266" s="1" t="s">
        <v>63</v>
      </c>
      <c r="G2266" s="1" t="s">
        <v>12877</v>
      </c>
      <c r="H2266" s="1">
        <v>2012.0</v>
      </c>
      <c r="I2266" s="1" t="s">
        <v>97</v>
      </c>
      <c r="J2266" s="1" t="s">
        <v>7280</v>
      </c>
      <c r="K2266" s="1" t="s">
        <v>230</v>
      </c>
      <c r="L2266" s="1" t="s">
        <v>12878</v>
      </c>
      <c r="M2266" s="2" t="s">
        <v>12</v>
      </c>
      <c r="N2266" s="4">
        <f t="shared" si="1"/>
        <v>44017</v>
      </c>
      <c r="O2266" s="5" t="str">
        <f>IFERROR(__xludf.DUMMYFUNCTION("IF(REGEXMATCH(TRIM(I2266), ""^\d+\s*min""), ""Unclassified"", IF(I2266 = """", ""NR"", I2266))"),"TV-14")</f>
        <v>TV-14</v>
      </c>
      <c r="R2266" s="5" t="str">
        <f t="shared" si="2"/>
        <v>Aiyyaa</v>
      </c>
      <c r="S2266" s="5" t="str">
        <f>IFERROR(__xludf.DUMMYFUNCTION("""COMPUTED_VALUE"""),"Entangled")</f>
        <v>Entangled</v>
      </c>
      <c r="U2266" s="5" t="str">
        <f>IFERROR(__xludf.DUMMYFUNCTION("""COMPUTED_VALUE"""),"Joel Coen, Ethan Coen")</f>
        <v>Joel Coen, Ethan Coen</v>
      </c>
      <c r="V2266" s="5" t="s">
        <v>10035</v>
      </c>
      <c r="W2266" s="5" t="str">
        <f t="shared" si="3"/>
        <v>Kevin Pollak</v>
      </c>
      <c r="X2266" s="5">
        <f t="shared" si="4"/>
        <v>1</v>
      </c>
      <c r="Y2266" s="5" t="str">
        <f>IFERROR(__xludf.DUMMYFUNCTION("REGEXEXTRACT(J2266, ""^\d+"")"),"151")</f>
        <v>151</v>
      </c>
      <c r="Z2266" s="5" t="str">
        <f>IFERROR(__xludf.DUMMYFUNCTION("REGEXEXTRACT(J2266, ""[A-Za-z ]+$"")")," min")</f>
        <v> min</v>
      </c>
      <c r="AA2266" s="5" t="str">
        <f>IFERROR(__xludf.DUMMYFUNCTION("IF(REGEXMATCH(Z2266, ""Season""), ""TV Show"", ""Movie"")"),"Movie")</f>
        <v>Movie</v>
      </c>
    </row>
    <row r="2267">
      <c r="A2267" s="1" t="s">
        <v>12879</v>
      </c>
      <c r="B2267" s="1" t="s">
        <v>27</v>
      </c>
      <c r="C2267" s="1" t="s">
        <v>12880</v>
      </c>
      <c r="D2267" s="1" t="s">
        <v>12881</v>
      </c>
      <c r="E2267" s="1" t="s">
        <v>12882</v>
      </c>
      <c r="F2267" s="1" t="s">
        <v>63</v>
      </c>
      <c r="G2267" s="1" t="s">
        <v>12877</v>
      </c>
      <c r="H2267" s="1">
        <v>2011.0</v>
      </c>
      <c r="I2267" s="1" t="s">
        <v>97</v>
      </c>
      <c r="J2267" s="1" t="s">
        <v>349</v>
      </c>
      <c r="K2267" s="1" t="s">
        <v>617</v>
      </c>
      <c r="L2267" s="1" t="s">
        <v>12883</v>
      </c>
      <c r="M2267" s="2" t="s">
        <v>12</v>
      </c>
      <c r="N2267" s="4">
        <f t="shared" si="1"/>
        <v>44017</v>
      </c>
      <c r="O2267" s="5" t="str">
        <f>IFERROR(__xludf.DUMMYFUNCTION("IF(REGEXMATCH(TRIM(I2267), ""^\d+\s*min""), ""Unclassified"", IF(I2267 = """", ""NR"", I2267))"),"TV-14")</f>
        <v>TV-14</v>
      </c>
      <c r="R2267" s="5" t="str">
        <f t="shared" si="2"/>
        <v>Bbuddah Hoga Terra Baap</v>
      </c>
      <c r="S2267" s="5" t="str">
        <f>IFERROR(__xludf.DUMMYFUNCTION("""COMPUTED_VALUE"""),"Entanglement")</f>
        <v>Entanglement</v>
      </c>
      <c r="U2267" s="5" t="str">
        <f>IFERROR(__xludf.DUMMYFUNCTION("""COMPUTED_VALUE"""),"V C Abhilash")</f>
        <v>V C Abhilash</v>
      </c>
      <c r="V2267" s="5" t="s">
        <v>12884</v>
      </c>
      <c r="W2267" s="5" t="str">
        <f t="shared" si="3"/>
        <v>Kevin R. Adams, Joe Ksander</v>
      </c>
      <c r="X2267" s="5">
        <f t="shared" si="4"/>
        <v>1</v>
      </c>
      <c r="Y2267" s="5" t="str">
        <f>IFERROR(__xludf.DUMMYFUNCTION("REGEXEXTRACT(J2267, ""^\d+"")"),"116")</f>
        <v>116</v>
      </c>
      <c r="Z2267" s="5" t="str">
        <f>IFERROR(__xludf.DUMMYFUNCTION("REGEXEXTRACT(J2267, ""[A-Za-z ]+$"")")," min")</f>
        <v> min</v>
      </c>
      <c r="AA2267" s="5" t="str">
        <f>IFERROR(__xludf.DUMMYFUNCTION("IF(REGEXMATCH(Z2267, ""Season""), ""TV Show"", ""Movie"")"),"Movie")</f>
        <v>Movie</v>
      </c>
    </row>
    <row r="2268">
      <c r="A2268" s="1" t="s">
        <v>12885</v>
      </c>
      <c r="B2268" s="1" t="s">
        <v>27</v>
      </c>
      <c r="C2268" s="1" t="s">
        <v>12886</v>
      </c>
      <c r="D2268" s="1" t="s">
        <v>12887</v>
      </c>
      <c r="E2268" s="1" t="s">
        <v>12888</v>
      </c>
      <c r="F2268" s="1" t="s">
        <v>63</v>
      </c>
      <c r="G2268" s="1" t="s">
        <v>12877</v>
      </c>
      <c r="H2268" s="1">
        <v>2012.0</v>
      </c>
      <c r="I2268" s="1" t="s">
        <v>97</v>
      </c>
      <c r="J2268" s="1" t="s">
        <v>297</v>
      </c>
      <c r="K2268" s="1" t="s">
        <v>679</v>
      </c>
      <c r="L2268" s="1" t="s">
        <v>12889</v>
      </c>
      <c r="M2268" s="2" t="s">
        <v>12</v>
      </c>
      <c r="N2268" s="4">
        <f t="shared" si="1"/>
        <v>44017</v>
      </c>
      <c r="O2268" s="5" t="str">
        <f>IFERROR(__xludf.DUMMYFUNCTION("IF(REGEXMATCH(TRIM(I2268), ""^\d+\s*min""), ""Unclassified"", IF(I2268 = """", ""NR"", I2268))"),"TV-14")</f>
        <v>TV-14</v>
      </c>
      <c r="R2268" s="5" t="str">
        <f t="shared" si="2"/>
        <v>Blood Money</v>
      </c>
      <c r="S2268" s="5" t="str">
        <f>IFERROR(__xludf.DUMMYFUNCTION("""COMPUTED_VALUE"""),"Enter The Anime")</f>
        <v>Enter The Anime</v>
      </c>
      <c r="U2268" s="5" t="str">
        <f>IFERROR(__xludf.DUMMYFUNCTION("""COMPUTED_VALUE"""),"Nila Madhab Panda")</f>
        <v>Nila Madhab Panda</v>
      </c>
      <c r="V2268" s="5" t="s">
        <v>12890</v>
      </c>
      <c r="W2268" s="5" t="str">
        <f t="shared" si="3"/>
        <v>Kevin Reynolds</v>
      </c>
      <c r="X2268" s="5">
        <f t="shared" si="4"/>
        <v>1</v>
      </c>
      <c r="Y2268" s="5" t="str">
        <f>IFERROR(__xludf.DUMMYFUNCTION("REGEXEXTRACT(J2268, ""^\d+"")"),"110")</f>
        <v>110</v>
      </c>
      <c r="Z2268" s="5" t="str">
        <f>IFERROR(__xludf.DUMMYFUNCTION("REGEXEXTRACT(J2268, ""[A-Za-z ]+$"")")," min")</f>
        <v> min</v>
      </c>
      <c r="AA2268" s="5" t="str">
        <f>IFERROR(__xludf.DUMMYFUNCTION("IF(REGEXMATCH(Z2268, ""Season""), ""TV Show"", ""Movie"")"),"Movie")</f>
        <v>Movie</v>
      </c>
    </row>
    <row r="2269">
      <c r="A2269" s="1" t="s">
        <v>12891</v>
      </c>
      <c r="B2269" s="1" t="s">
        <v>27</v>
      </c>
      <c r="C2269" s="1" t="s">
        <v>12892</v>
      </c>
      <c r="D2269" s="1" t="s">
        <v>2404</v>
      </c>
      <c r="E2269" s="1" t="s">
        <v>12893</v>
      </c>
      <c r="F2269" s="1" t="s">
        <v>63</v>
      </c>
      <c r="G2269" s="1" t="s">
        <v>12877</v>
      </c>
      <c r="H2269" s="1">
        <v>2013.0</v>
      </c>
      <c r="I2269" s="1" t="s">
        <v>42</v>
      </c>
      <c r="J2269" s="1" t="s">
        <v>2566</v>
      </c>
      <c r="K2269" s="1" t="s">
        <v>128</v>
      </c>
      <c r="L2269" s="1" t="s">
        <v>12894</v>
      </c>
      <c r="M2269" s="2" t="s">
        <v>12</v>
      </c>
      <c r="N2269" s="4">
        <f t="shared" si="1"/>
        <v>44017</v>
      </c>
      <c r="O2269" s="5" t="str">
        <f>IFERROR(__xludf.DUMMYFUNCTION("IF(REGEXMATCH(TRIM(I2269), ""^\d+\s*min""), ""Unclassified"", IF(I2269 = """", ""NR"", I2269))"),"TV-MA")</f>
        <v>TV-MA</v>
      </c>
      <c r="R2269" s="5" t="str">
        <f t="shared" si="2"/>
        <v>Bombay Talkies</v>
      </c>
      <c r="S2269" s="5" t="str">
        <f>IFERROR(__xludf.DUMMYFUNCTION("""COMPUTED_VALUE"""),"Enter The Dragon")</f>
        <v>Enter The Dragon</v>
      </c>
      <c r="U2269" s="5" t="str">
        <f>IFERROR(__xludf.DUMMYFUNCTION("""COMPUTED_VALUE"""),"Timo Tjahjanto")</f>
        <v>Timo Tjahjanto</v>
      </c>
      <c r="V2269" s="5" t="s">
        <v>5737</v>
      </c>
      <c r="W2269" s="5" t="str">
        <f t="shared" si="3"/>
        <v>Kevin Smith</v>
      </c>
      <c r="X2269" s="5">
        <f t="shared" si="4"/>
        <v>5</v>
      </c>
      <c r="Y2269" s="5" t="str">
        <f>IFERROR(__xludf.DUMMYFUNCTION("REGEXEXTRACT(J2269, ""^\d+"")"),"123")</f>
        <v>123</v>
      </c>
      <c r="Z2269" s="5" t="str">
        <f>IFERROR(__xludf.DUMMYFUNCTION("REGEXEXTRACT(J2269, ""[A-Za-z ]+$"")")," min")</f>
        <v> min</v>
      </c>
      <c r="AA2269" s="5" t="str">
        <f>IFERROR(__xludf.DUMMYFUNCTION("IF(REGEXMATCH(Z2269, ""Season""), ""TV Show"", ""Movie"")"),"Movie")</f>
        <v>Movie</v>
      </c>
    </row>
    <row r="2270">
      <c r="A2270" s="1" t="s">
        <v>12895</v>
      </c>
      <c r="B2270" s="1" t="s">
        <v>27</v>
      </c>
      <c r="C2270" s="1" t="s">
        <v>12896</v>
      </c>
      <c r="D2270" s="1" t="s">
        <v>2250</v>
      </c>
      <c r="E2270" s="1" t="s">
        <v>12897</v>
      </c>
      <c r="F2270" s="1" t="s">
        <v>63</v>
      </c>
      <c r="G2270" s="1" t="s">
        <v>12877</v>
      </c>
      <c r="H2270" s="1">
        <v>2013.0</v>
      </c>
      <c r="I2270" s="1" t="s">
        <v>97</v>
      </c>
      <c r="J2270" s="1" t="s">
        <v>1938</v>
      </c>
      <c r="K2270" s="1" t="s">
        <v>617</v>
      </c>
      <c r="L2270" s="1" t="s">
        <v>12898</v>
      </c>
      <c r="M2270" s="2" t="s">
        <v>12</v>
      </c>
      <c r="N2270" s="4">
        <f t="shared" si="1"/>
        <v>44017</v>
      </c>
      <c r="O2270" s="5" t="str">
        <f>IFERROR(__xludf.DUMMYFUNCTION("IF(REGEXMATCH(TRIM(I2270), ""^\d+\s*min""), ""Unclassified"", IF(I2270 = """", ""NR"", I2270))"),"TV-14")</f>
        <v>TV-14</v>
      </c>
      <c r="R2270" s="5" t="str">
        <f t="shared" si="2"/>
        <v>Boss</v>
      </c>
      <c r="S2270" s="5" t="str">
        <f>IFERROR(__xludf.DUMMYFUNCTION("""COMPUTED_VALUE"""),"Enter The Warriors Gate")</f>
        <v>Enter The Warriors Gate</v>
      </c>
      <c r="U2270" s="5" t="str">
        <f>IFERROR(__xludf.DUMMYFUNCTION("""COMPUTED_VALUE"""),"Nakul Singh Sawhney")</f>
        <v>Nakul Singh Sawhney</v>
      </c>
      <c r="V2270" s="5" t="s">
        <v>12899</v>
      </c>
      <c r="W2270" s="5" t="str">
        <f t="shared" si="3"/>
        <v>Khaled El Halafawy</v>
      </c>
      <c r="X2270" s="5">
        <f t="shared" si="4"/>
        <v>2</v>
      </c>
      <c r="Y2270" s="5" t="str">
        <f>IFERROR(__xludf.DUMMYFUNCTION("REGEXEXTRACT(J2270, ""^\d+"")"),"139")</f>
        <v>139</v>
      </c>
      <c r="Z2270" s="5" t="str">
        <f>IFERROR(__xludf.DUMMYFUNCTION("REGEXEXTRACT(J2270, ""[A-Za-z ]+$"")")," min")</f>
        <v> min</v>
      </c>
      <c r="AA2270" s="5" t="str">
        <f>IFERROR(__xludf.DUMMYFUNCTION("IF(REGEXMATCH(Z2270, ""Season""), ""TV Show"", ""Movie"")"),"Movie")</f>
        <v>Movie</v>
      </c>
    </row>
    <row r="2271">
      <c r="A2271" s="1" t="s">
        <v>12900</v>
      </c>
      <c r="B2271" s="1" t="s">
        <v>27</v>
      </c>
      <c r="C2271" s="1" t="s">
        <v>12901</v>
      </c>
      <c r="D2271" s="1" t="s">
        <v>12902</v>
      </c>
      <c r="E2271" s="1" t="s">
        <v>12903</v>
      </c>
      <c r="F2271" s="1" t="s">
        <v>63</v>
      </c>
      <c r="G2271" s="1" t="s">
        <v>12877</v>
      </c>
      <c r="H2271" s="1">
        <v>2016.0</v>
      </c>
      <c r="I2271" s="1" t="s">
        <v>42</v>
      </c>
      <c r="J2271" s="1" t="s">
        <v>465</v>
      </c>
      <c r="K2271" s="1" t="s">
        <v>89</v>
      </c>
      <c r="L2271" s="1" t="s">
        <v>12904</v>
      </c>
      <c r="M2271" s="2" t="s">
        <v>12</v>
      </c>
      <c r="N2271" s="4">
        <f t="shared" si="1"/>
        <v>44017</v>
      </c>
      <c r="O2271" s="5" t="str">
        <f>IFERROR(__xludf.DUMMYFUNCTION("IF(REGEXMATCH(TRIM(I2271), ""^\d+\s*min""), ""Unclassified"", IF(I2271 = """", ""NR"", I2271))"),"TV-MA")</f>
        <v>TV-MA</v>
      </c>
      <c r="R2271" s="5" t="str">
        <f t="shared" si="2"/>
        <v>Budhia Singh: Born To Run</v>
      </c>
      <c r="S2271" s="5" t="str">
        <f>IFERROR(__xludf.DUMMYFUNCTION("""COMPUTED_VALUE"""),"Episodes")</f>
        <v>Episodes</v>
      </c>
      <c r="U2271" s="5" t="str">
        <f>IFERROR(__xludf.DUMMYFUNCTION("""COMPUTED_VALUE"""),"Nishanth Ravindaran, Jathin Sanker Raj")</f>
        <v>Nishanth Ravindaran, Jathin Sanker Raj</v>
      </c>
      <c r="V2271" s="5" t="s">
        <v>12066</v>
      </c>
      <c r="W2271" s="5" t="str">
        <f t="shared" si="3"/>
        <v>Khaled Marei</v>
      </c>
      <c r="X2271" s="5">
        <f t="shared" si="4"/>
        <v>5</v>
      </c>
      <c r="Y2271" s="5" t="str">
        <f>IFERROR(__xludf.DUMMYFUNCTION("REGEXEXTRACT(J2271, ""^\d+"")"),"95")</f>
        <v>95</v>
      </c>
      <c r="Z2271" s="5" t="str">
        <f>IFERROR(__xludf.DUMMYFUNCTION("REGEXEXTRACT(J2271, ""[A-Za-z ]+$"")")," min")</f>
        <v> min</v>
      </c>
      <c r="AA2271" s="5" t="str">
        <f>IFERROR(__xludf.DUMMYFUNCTION("IF(REGEXMATCH(Z2271, ""Season""), ""TV Show"", ""Movie"")"),"Movie")</f>
        <v>Movie</v>
      </c>
    </row>
    <row r="2272">
      <c r="A2272" s="1" t="s">
        <v>12905</v>
      </c>
      <c r="B2272" s="1" t="s">
        <v>27</v>
      </c>
      <c r="C2272" s="1" t="s">
        <v>12906</v>
      </c>
      <c r="D2272" s="1" t="s">
        <v>1405</v>
      </c>
      <c r="E2272" s="1" t="s">
        <v>12907</v>
      </c>
      <c r="F2272" s="1" t="s">
        <v>63</v>
      </c>
      <c r="G2272" s="1" t="s">
        <v>12877</v>
      </c>
      <c r="H2272" s="1">
        <v>2013.0</v>
      </c>
      <c r="I2272" s="1" t="s">
        <v>97</v>
      </c>
      <c r="J2272" s="1" t="s">
        <v>941</v>
      </c>
      <c r="K2272" s="1" t="s">
        <v>230</v>
      </c>
      <c r="L2272" s="1" t="s">
        <v>12908</v>
      </c>
      <c r="M2272" s="2" t="s">
        <v>12</v>
      </c>
      <c r="N2272" s="4">
        <f t="shared" si="1"/>
        <v>44017</v>
      </c>
      <c r="O2272" s="5" t="str">
        <f>IFERROR(__xludf.DUMMYFUNCTION("IF(REGEXMATCH(TRIM(I2272), ""^\d+\s*min""), ""Unclassified"", IF(I2272 = """", ""NR"", I2272))"),"TV-14")</f>
        <v>TV-14</v>
      </c>
      <c r="R2272" s="5" t="str">
        <f t="shared" si="2"/>
        <v>Chashme Baddoor</v>
      </c>
      <c r="S2272" s="5" t="str">
        <f>IFERROR(__xludf.DUMMYFUNCTION("""COMPUTED_VALUE"""),"Equals")</f>
        <v>Equals</v>
      </c>
      <c r="U2272" s="5" t="str">
        <f>IFERROR(__xludf.DUMMYFUNCTION("""COMPUTED_VALUE"""),"Swapna Waghmare Joshi")</f>
        <v>Swapna Waghmare Joshi</v>
      </c>
      <c r="V2272" s="5" t="s">
        <v>12909</v>
      </c>
      <c r="W2272" s="5" t="str">
        <f t="shared" si="3"/>
        <v>Khaled Youssef</v>
      </c>
      <c r="X2272" s="5">
        <f t="shared" si="4"/>
        <v>1</v>
      </c>
      <c r="Y2272" s="5" t="str">
        <f>IFERROR(__xludf.DUMMYFUNCTION("REGEXEXTRACT(J2272, ""^\d+"")"),"121")</f>
        <v>121</v>
      </c>
      <c r="Z2272" s="5" t="str">
        <f>IFERROR(__xludf.DUMMYFUNCTION("REGEXEXTRACT(J2272, ""[A-Za-z ]+$"")")," min")</f>
        <v> min</v>
      </c>
      <c r="AA2272" s="5" t="str">
        <f>IFERROR(__xludf.DUMMYFUNCTION("IF(REGEXMATCH(Z2272, ""Season""), ""TV Show"", ""Movie"")"),"Movie")</f>
        <v>Movie</v>
      </c>
    </row>
    <row r="2273">
      <c r="A2273" s="1" t="s">
        <v>12910</v>
      </c>
      <c r="B2273" s="1" t="s">
        <v>27</v>
      </c>
      <c r="C2273" s="1" t="s">
        <v>12911</v>
      </c>
      <c r="D2273" s="1" t="s">
        <v>8001</v>
      </c>
      <c r="E2273" s="1" t="s">
        <v>12912</v>
      </c>
      <c r="F2273" s="1" t="s">
        <v>63</v>
      </c>
      <c r="G2273" s="1" t="s">
        <v>12877</v>
      </c>
      <c r="H2273" s="1">
        <v>2015.0</v>
      </c>
      <c r="I2273" s="1" t="s">
        <v>136</v>
      </c>
      <c r="J2273" s="1" t="s">
        <v>127</v>
      </c>
      <c r="K2273" s="1" t="s">
        <v>583</v>
      </c>
      <c r="L2273" s="1" t="s">
        <v>12913</v>
      </c>
      <c r="M2273" s="2" t="s">
        <v>12</v>
      </c>
      <c r="N2273" s="4">
        <f t="shared" si="1"/>
        <v>44017</v>
      </c>
      <c r="O2273" s="5" t="str">
        <f>IFERROR(__xludf.DUMMYFUNCTION("IF(REGEXMATCH(TRIM(I2273), ""^\d+\s*min""), ""Unclassified"", IF(I2273 = """", ""NR"", I2273))"),"TV-PG")</f>
        <v>TV-PG</v>
      </c>
      <c r="R2273" s="5" t="str">
        <f t="shared" si="2"/>
        <v>Dharam Sankat Mein</v>
      </c>
      <c r="S2273" s="5" t="str">
        <f>IFERROR(__xludf.DUMMYFUNCTION("""COMPUTED_VALUE"""),"Equestria Girls: Tales Of Canterlot High")</f>
        <v>Equestria Girls: Tales Of Canterlot High</v>
      </c>
      <c r="U2273" s="5" t="str">
        <f>IFERROR(__xludf.DUMMYFUNCTION("""COMPUTED_VALUE"""),"Aitor Arregi, Jon Garaño")</f>
        <v>Aitor Arregi, Jon Garaño</v>
      </c>
      <c r="V2273" s="5" t="s">
        <v>12914</v>
      </c>
      <c r="W2273" s="5" t="str">
        <f t="shared" si="3"/>
        <v>Khalid Mohamed</v>
      </c>
      <c r="X2273" s="5">
        <f t="shared" si="4"/>
        <v>1</v>
      </c>
      <c r="Y2273" s="5" t="str">
        <f>IFERROR(__xludf.DUMMYFUNCTION("REGEXEXTRACT(J2273, ""^\d+"")"),"127")</f>
        <v>127</v>
      </c>
      <c r="Z2273" s="5" t="str">
        <f>IFERROR(__xludf.DUMMYFUNCTION("REGEXEXTRACT(J2273, ""[A-Za-z ]+$"")")," min")</f>
        <v> min</v>
      </c>
      <c r="AA2273" s="5" t="str">
        <f>IFERROR(__xludf.DUMMYFUNCTION("IF(REGEXMATCH(Z2273, ""Season""), ""TV Show"", ""Movie"")"),"Movie")</f>
        <v>Movie</v>
      </c>
    </row>
    <row r="2274">
      <c r="A2274" s="1" t="s">
        <v>12915</v>
      </c>
      <c r="B2274" s="1" t="s">
        <v>27</v>
      </c>
      <c r="C2274" s="1" t="s">
        <v>12916</v>
      </c>
      <c r="D2274" s="1" t="s">
        <v>12917</v>
      </c>
      <c r="E2274" s="1" t="s">
        <v>12918</v>
      </c>
      <c r="F2274" s="1" t="s">
        <v>63</v>
      </c>
      <c r="G2274" s="1" t="s">
        <v>12877</v>
      </c>
      <c r="H2274" s="1">
        <v>2015.0</v>
      </c>
      <c r="I2274" s="1" t="s">
        <v>97</v>
      </c>
      <c r="J2274" s="1" t="s">
        <v>6105</v>
      </c>
      <c r="K2274" s="1" t="s">
        <v>298</v>
      </c>
      <c r="L2274" s="1" t="s">
        <v>12919</v>
      </c>
      <c r="M2274" s="2" t="s">
        <v>12</v>
      </c>
      <c r="N2274" s="4">
        <f t="shared" si="1"/>
        <v>44017</v>
      </c>
      <c r="O2274" s="5" t="str">
        <f>IFERROR(__xludf.DUMMYFUNCTION("IF(REGEXMATCH(TRIM(I2274), ""^\d+\s*min""), ""Unclassified"", IF(I2274 = """", ""NR"", I2274))"),"TV-14")</f>
        <v>TV-14</v>
      </c>
      <c r="R2274" s="5" t="str">
        <f t="shared" si="2"/>
        <v>Drishyam</v>
      </c>
      <c r="S2274" s="5" t="str">
        <f>IFERROR(__xludf.DUMMYFUNCTION("""COMPUTED_VALUE"""),"Equilibrium")</f>
        <v>Equilibrium</v>
      </c>
      <c r="U2274" s="5" t="str">
        <f>IFERROR(__xludf.DUMMYFUNCTION("""COMPUTED_VALUE"""),"Erik Matti")</f>
        <v>Erik Matti</v>
      </c>
      <c r="V2274" s="5" t="s">
        <v>7622</v>
      </c>
      <c r="W2274" s="5" t="str">
        <f t="shared" si="3"/>
        <v>Khalid Rahman</v>
      </c>
      <c r="X2274" s="5">
        <f t="shared" si="4"/>
        <v>1</v>
      </c>
      <c r="Y2274" s="5" t="str">
        <f>IFERROR(__xludf.DUMMYFUNCTION("REGEXEXTRACT(J2274, ""^\d+"")"),"162")</f>
        <v>162</v>
      </c>
      <c r="Z2274" s="5" t="str">
        <f>IFERROR(__xludf.DUMMYFUNCTION("REGEXEXTRACT(J2274, ""[A-Za-z ]+$"")")," min")</f>
        <v> min</v>
      </c>
      <c r="AA2274" s="5" t="str">
        <f>IFERROR(__xludf.DUMMYFUNCTION("IF(REGEXMATCH(Z2274, ""Season""), ""TV Show"", ""Movie"")"),"Movie")</f>
        <v>Movie</v>
      </c>
    </row>
    <row r="2275">
      <c r="A2275" s="1" t="s">
        <v>12920</v>
      </c>
      <c r="B2275" s="1" t="s">
        <v>27</v>
      </c>
      <c r="C2275" s="1" t="s">
        <v>12921</v>
      </c>
      <c r="D2275" s="1" t="s">
        <v>12922</v>
      </c>
      <c r="E2275" s="1" t="s">
        <v>12923</v>
      </c>
      <c r="F2275" s="1" t="s">
        <v>63</v>
      </c>
      <c r="G2275" s="1" t="s">
        <v>12877</v>
      </c>
      <c r="H2275" s="1">
        <v>2015.0</v>
      </c>
      <c r="I2275" s="1" t="s">
        <v>97</v>
      </c>
      <c r="J2275" s="1" t="s">
        <v>757</v>
      </c>
      <c r="K2275" s="1" t="s">
        <v>306</v>
      </c>
      <c r="L2275" s="1" t="s">
        <v>12924</v>
      </c>
      <c r="M2275" s="2" t="s">
        <v>12</v>
      </c>
      <c r="N2275" s="4">
        <f t="shared" si="1"/>
        <v>44017</v>
      </c>
      <c r="O2275" s="5" t="str">
        <f>IFERROR(__xludf.DUMMYFUNCTION("IF(REGEXMATCH(TRIM(I2275), ""^\d+\s*min""), ""Unclassified"", IF(I2275 = """", ""NR"", I2275))"),"TV-14")</f>
        <v>TV-14</v>
      </c>
      <c r="R2275" s="5" t="str">
        <f t="shared" si="2"/>
        <v>Gabbar Is Back</v>
      </c>
      <c r="S2275" s="5" t="str">
        <f>IFERROR(__xludf.DUMMYFUNCTION("""COMPUTED_VALUE"""),"Equinox")</f>
        <v>Equinox</v>
      </c>
      <c r="U2275" s="5" t="str">
        <f>IFERROR(__xludf.DUMMYFUNCTION("""COMPUTED_VALUE"""),"Christopher Guest")</f>
        <v>Christopher Guest</v>
      </c>
      <c r="V2275" s="5" t="s">
        <v>12925</v>
      </c>
      <c r="W2275" s="5" t="str">
        <f t="shared" si="3"/>
        <v>Kheiron</v>
      </c>
      <c r="X2275" s="5">
        <f t="shared" si="4"/>
        <v>1</v>
      </c>
      <c r="Y2275" s="5" t="str">
        <f>IFERROR(__xludf.DUMMYFUNCTION("REGEXEXTRACT(J2275, ""^\d+"")"),"128")</f>
        <v>128</v>
      </c>
      <c r="Z2275" s="5" t="str">
        <f>IFERROR(__xludf.DUMMYFUNCTION("REGEXEXTRACT(J2275, ""[A-Za-z ]+$"")")," min")</f>
        <v> min</v>
      </c>
      <c r="AA2275" s="5" t="str">
        <f>IFERROR(__xludf.DUMMYFUNCTION("IF(REGEXMATCH(Z2275, ""Season""), ""TV Show"", ""Movie"")"),"Movie")</f>
        <v>Movie</v>
      </c>
    </row>
    <row r="2276">
      <c r="A2276" s="1" t="s">
        <v>12926</v>
      </c>
      <c r="B2276" s="1" t="s">
        <v>27</v>
      </c>
      <c r="C2276" s="1" t="s">
        <v>12927</v>
      </c>
      <c r="D2276" s="1" t="s">
        <v>12329</v>
      </c>
      <c r="E2276" s="1" t="s">
        <v>12928</v>
      </c>
      <c r="F2276" s="1" t="s">
        <v>63</v>
      </c>
      <c r="G2276" s="1" t="s">
        <v>12877</v>
      </c>
      <c r="H2276" s="1">
        <v>2014.0</v>
      </c>
      <c r="I2276" s="1" t="s">
        <v>97</v>
      </c>
      <c r="J2276" s="1" t="s">
        <v>1243</v>
      </c>
      <c r="K2276" s="1" t="s">
        <v>1328</v>
      </c>
      <c r="L2276" s="1" t="s">
        <v>12929</v>
      </c>
      <c r="M2276" s="2" t="s">
        <v>12</v>
      </c>
      <c r="N2276" s="4">
        <f t="shared" si="1"/>
        <v>44017</v>
      </c>
      <c r="O2276" s="5" t="str">
        <f>IFERROR(__xludf.DUMMYFUNCTION("IF(REGEXMATCH(TRIM(I2276), ""^\d+\s*min""), ""Unclassified"", IF(I2276 = """", ""NR"", I2276))"),"TV-14")</f>
        <v>TV-14</v>
      </c>
      <c r="R2276" s="5" t="str">
        <f t="shared" si="2"/>
        <v>Gollu Aur Pappu</v>
      </c>
      <c r="S2276" s="5" t="str">
        <f>IFERROR(__xludf.DUMMYFUNCTION("""COMPUTED_VALUE"""),"Erased")</f>
        <v>Erased</v>
      </c>
      <c r="U2276" s="5" t="str">
        <f>IFERROR(__xludf.DUMMYFUNCTION("""COMPUTED_VALUE"""),"Vincent Kok")</f>
        <v>Vincent Kok</v>
      </c>
      <c r="V2276" s="5" t="s">
        <v>12930</v>
      </c>
      <c r="W2276" s="5" t="str">
        <f t="shared" si="3"/>
        <v>Kief Davidson</v>
      </c>
      <c r="X2276" s="5">
        <f t="shared" si="4"/>
        <v>1</v>
      </c>
      <c r="Y2276" s="5" t="str">
        <f>IFERROR(__xludf.DUMMYFUNCTION("REGEXEXTRACT(J2276, ""^\d+"")"),"112")</f>
        <v>112</v>
      </c>
      <c r="Z2276" s="5" t="str">
        <f>IFERROR(__xludf.DUMMYFUNCTION("REGEXEXTRACT(J2276, ""[A-Za-z ]+$"")")," min")</f>
        <v> min</v>
      </c>
      <c r="AA2276" s="5" t="str">
        <f>IFERROR(__xludf.DUMMYFUNCTION("IF(REGEXMATCH(Z2276, ""Season""), ""TV Show"", ""Movie"")"),"Movie")</f>
        <v>Movie</v>
      </c>
    </row>
    <row r="2277">
      <c r="A2277" s="1" t="s">
        <v>12931</v>
      </c>
      <c r="B2277" s="1" t="s">
        <v>37</v>
      </c>
      <c r="C2277" s="1" t="s">
        <v>12932</v>
      </c>
      <c r="D2277" s="1" t="s">
        <v>12933</v>
      </c>
      <c r="E2277" s="1" t="s">
        <v>12934</v>
      </c>
      <c r="F2277" s="1" t="s">
        <v>2796</v>
      </c>
      <c r="G2277" s="1" t="s">
        <v>12877</v>
      </c>
      <c r="H2277" s="1">
        <v>2020.0</v>
      </c>
      <c r="I2277" s="1" t="s">
        <v>42</v>
      </c>
      <c r="J2277" s="1" t="s">
        <v>51</v>
      </c>
      <c r="K2277" s="1" t="s">
        <v>64</v>
      </c>
      <c r="L2277" s="1" t="s">
        <v>12935</v>
      </c>
      <c r="M2277" s="2" t="s">
        <v>12</v>
      </c>
      <c r="N2277" s="4">
        <f t="shared" si="1"/>
        <v>44017</v>
      </c>
      <c r="O2277" s="5" t="str">
        <f>IFERROR(__xludf.DUMMYFUNCTION("IF(REGEXMATCH(TRIM(I2277), ""^\d+\s*min""), ""Unclassified"", IF(I2277 = """", ""NR"", I2277))"),"TV-MA")</f>
        <v>TV-MA</v>
      </c>
      <c r="R2277" s="5" t="str">
        <f t="shared" si="2"/>
        <v>Hook</v>
      </c>
      <c r="S2277" s="5" t="str">
        <f>IFERROR(__xludf.DUMMYFUNCTION("""COMPUTED_VALUE"""),"Eric Andre: Legalize Everything")</f>
        <v>Eric Andre: Legalize Everything</v>
      </c>
      <c r="U2277" s="5" t="str">
        <f>IFERROR(__xludf.DUMMYFUNCTION("""COMPUTED_VALUE"""),"Christian Zübert")</f>
        <v>Christian Zübert</v>
      </c>
      <c r="V2277" s="5" t="s">
        <v>10444</v>
      </c>
      <c r="W2277" s="5" t="str">
        <f t="shared" si="3"/>
        <v>Kief Davidson, Pedro Kos</v>
      </c>
      <c r="X2277" s="5">
        <f t="shared" si="4"/>
        <v>1</v>
      </c>
      <c r="Y2277" s="5" t="str">
        <f>IFERROR(__xludf.DUMMYFUNCTION("REGEXEXTRACT(J2277, ""^\d+"")"),"1")</f>
        <v>1</v>
      </c>
      <c r="Z2277" s="5" t="str">
        <f>IFERROR(__xludf.DUMMYFUNCTION("REGEXEXTRACT(J2277, ""[A-Za-z ]+$"")")," Season")</f>
        <v> Season</v>
      </c>
      <c r="AA2277" s="5" t="str">
        <f>IFERROR(__xludf.DUMMYFUNCTION("IF(REGEXMATCH(Z2277, ""Season""), ""TV Show"", ""Movie"")"),"TV Show")</f>
        <v>TV Show</v>
      </c>
    </row>
    <row r="2278">
      <c r="A2278" s="1" t="s">
        <v>12936</v>
      </c>
      <c r="B2278" s="1" t="s">
        <v>27</v>
      </c>
      <c r="C2278" s="1" t="s">
        <v>12937</v>
      </c>
      <c r="D2278" s="1" t="s">
        <v>10941</v>
      </c>
      <c r="E2278" s="1" t="s">
        <v>12938</v>
      </c>
      <c r="F2278" s="1" t="s">
        <v>63</v>
      </c>
      <c r="G2278" s="1" t="s">
        <v>12877</v>
      </c>
      <c r="H2278" s="1">
        <v>2013.0</v>
      </c>
      <c r="I2278" s="1" t="s">
        <v>42</v>
      </c>
      <c r="J2278" s="1" t="s">
        <v>88</v>
      </c>
      <c r="K2278" s="1" t="s">
        <v>679</v>
      </c>
      <c r="L2278" s="1" t="s">
        <v>12939</v>
      </c>
      <c r="M2278" s="2" t="s">
        <v>12</v>
      </c>
      <c r="N2278" s="4">
        <f t="shared" si="1"/>
        <v>44017</v>
      </c>
      <c r="O2278" s="5" t="str">
        <f>IFERROR(__xludf.DUMMYFUNCTION("IF(REGEXMATCH(TRIM(I2278), ""^\d+\s*min""), ""Unclassified"", IF(I2278 = """", ""NR"", I2278))"),"TV-MA")</f>
        <v>TV-MA</v>
      </c>
      <c r="R2278" s="5" t="str">
        <f t="shared" si="2"/>
        <v>Inkaar</v>
      </c>
      <c r="S2278" s="5" t="str">
        <f>IFERROR(__xludf.DUMMYFUNCTION("""COMPUTED_VALUE"""),"Eric Ldle'S What About Dick?")</f>
        <v>Eric Ldle'S What About Dick?</v>
      </c>
      <c r="U2278" s="5" t="str">
        <f>IFERROR(__xludf.DUMMYFUNCTION("""COMPUTED_VALUE"""),"David Mackenzie")</f>
        <v>David Mackenzie</v>
      </c>
      <c r="V2278" s="5" t="s">
        <v>12940</v>
      </c>
      <c r="W2278" s="5" t="str">
        <f t="shared" si="3"/>
        <v>Kief Davidson, Richard Ladkani</v>
      </c>
      <c r="X2278" s="5">
        <f t="shared" si="4"/>
        <v>1</v>
      </c>
      <c r="Y2278" s="5" t="str">
        <f>IFERROR(__xludf.DUMMYFUNCTION("REGEXEXTRACT(J2278, ""^\d+"")"),"125")</f>
        <v>125</v>
      </c>
      <c r="Z2278" s="5" t="str">
        <f>IFERROR(__xludf.DUMMYFUNCTION("REGEXEXTRACT(J2278, ""[A-Za-z ]+$"")")," min")</f>
        <v> min</v>
      </c>
      <c r="AA2278" s="5" t="str">
        <f>IFERROR(__xludf.DUMMYFUNCTION("IF(REGEXMATCH(Z2278, ""Season""), ""TV Show"", ""Movie"")"),"Movie")</f>
        <v>Movie</v>
      </c>
    </row>
    <row r="2279">
      <c r="A2279" s="1" t="s">
        <v>12941</v>
      </c>
      <c r="B2279" s="1" t="s">
        <v>27</v>
      </c>
      <c r="C2279" s="1" t="s">
        <v>12942</v>
      </c>
      <c r="D2279" s="1" t="s">
        <v>12943</v>
      </c>
      <c r="E2279" s="1" t="s">
        <v>12944</v>
      </c>
      <c r="F2279" s="1" t="s">
        <v>63</v>
      </c>
      <c r="G2279" s="1" t="s">
        <v>12877</v>
      </c>
      <c r="H2279" s="1">
        <v>2013.0</v>
      </c>
      <c r="I2279" s="1" t="s">
        <v>97</v>
      </c>
      <c r="J2279" s="1" t="s">
        <v>757</v>
      </c>
      <c r="K2279" s="1" t="s">
        <v>298</v>
      </c>
      <c r="L2279" s="1" t="s">
        <v>12945</v>
      </c>
      <c r="M2279" s="2" t="s">
        <v>12</v>
      </c>
      <c r="N2279" s="4">
        <f t="shared" si="1"/>
        <v>44017</v>
      </c>
      <c r="O2279" s="5" t="str">
        <f>IFERROR(__xludf.DUMMYFUNCTION("IF(REGEXMATCH(TRIM(I2279), ""^\d+\s*min""), ""Unclassified"", IF(I2279 = """", ""NR"", I2279))"),"TV-14")</f>
        <v>TV-14</v>
      </c>
      <c r="R2279" s="5" t="str">
        <f t="shared" si="2"/>
        <v>Madras Café</v>
      </c>
      <c r="S2279" s="5" t="str">
        <f>IFERROR(__xludf.DUMMYFUNCTION("""COMPUTED_VALUE"""),"Errementari: The Blacksmith And The Devil")</f>
        <v>Errementari: The Blacksmith And The Devil</v>
      </c>
      <c r="U2279" s="5" t="str">
        <f>IFERROR(__xludf.DUMMYFUNCTION("""COMPUTED_VALUE"""),"Tejas Prabha Vijay Deoskar")</f>
        <v>Tejas Prabha Vijay Deoskar</v>
      </c>
      <c r="V2279" s="5" t="s">
        <v>12946</v>
      </c>
      <c r="W2279" s="5" t="str">
        <f t="shared" si="3"/>
        <v>Kieran Darcy-Smith</v>
      </c>
      <c r="X2279" s="5">
        <f t="shared" si="4"/>
        <v>1</v>
      </c>
      <c r="Y2279" s="5" t="str">
        <f>IFERROR(__xludf.DUMMYFUNCTION("REGEXEXTRACT(J2279, ""^\d+"")"),"128")</f>
        <v>128</v>
      </c>
      <c r="Z2279" s="5" t="str">
        <f>IFERROR(__xludf.DUMMYFUNCTION("REGEXEXTRACT(J2279, ""[A-Za-z ]+$"")")," min")</f>
        <v> min</v>
      </c>
      <c r="AA2279" s="5" t="str">
        <f>IFERROR(__xludf.DUMMYFUNCTION("IF(REGEXMATCH(Z2279, ""Season""), ""TV Show"", ""Movie"")"),"Movie")</f>
        <v>Movie</v>
      </c>
    </row>
    <row r="2280">
      <c r="A2280" s="1" t="s">
        <v>12947</v>
      </c>
      <c r="B2280" s="1" t="s">
        <v>27</v>
      </c>
      <c r="C2280" s="1" t="s">
        <v>12948</v>
      </c>
      <c r="D2280" s="1" t="s">
        <v>12949</v>
      </c>
      <c r="E2280" s="1" t="s">
        <v>12950</v>
      </c>
      <c r="F2280" s="1" t="s">
        <v>63</v>
      </c>
      <c r="G2280" s="1" t="s">
        <v>12877</v>
      </c>
      <c r="H2280" s="1">
        <v>2014.0</v>
      </c>
      <c r="I2280" s="1" t="s">
        <v>136</v>
      </c>
      <c r="J2280" s="1" t="s">
        <v>985</v>
      </c>
      <c r="K2280" s="1" t="s">
        <v>5099</v>
      </c>
      <c r="L2280" s="1" t="s">
        <v>12951</v>
      </c>
      <c r="M2280" s="2" t="s">
        <v>12</v>
      </c>
      <c r="N2280" s="4">
        <f t="shared" si="1"/>
        <v>44017</v>
      </c>
      <c r="O2280" s="5" t="str">
        <f>IFERROR(__xludf.DUMMYFUNCTION("IF(REGEXMATCH(TRIM(I2280), ""^\d+\s*min""), ""Unclassified"", IF(I2280 = """", ""NR"", I2280))"),"TV-PG")</f>
        <v>TV-PG</v>
      </c>
      <c r="R2280" s="5" t="str">
        <f t="shared" si="2"/>
        <v>Mary Kom</v>
      </c>
      <c r="S2280" s="5" t="str">
        <f>IFERROR(__xludf.DUMMYFUNCTION("""COMPUTED_VALUE"""),"Escape From Mr. Lemoncello’S Library")</f>
        <v>Escape From Mr. Lemoncello’S Library</v>
      </c>
      <c r="U2280" s="5" t="str">
        <f>IFERROR(__xludf.DUMMYFUNCTION("""COMPUTED_VALUE"""),"Matheus Souza")</f>
        <v>Matheus Souza</v>
      </c>
      <c r="V2280" s="5" t="s">
        <v>12952</v>
      </c>
      <c r="W2280" s="5" t="str">
        <f t="shared" si="3"/>
        <v>Kike Maíllo</v>
      </c>
      <c r="X2280" s="5">
        <f t="shared" si="4"/>
        <v>1</v>
      </c>
      <c r="Y2280" s="5" t="str">
        <f>IFERROR(__xludf.DUMMYFUNCTION("REGEXEXTRACT(J2280, ""^\d+"")"),"120")</f>
        <v>120</v>
      </c>
      <c r="Z2280" s="5" t="str">
        <f>IFERROR(__xludf.DUMMYFUNCTION("REGEXEXTRACT(J2280, ""[A-Za-z ]+$"")")," min")</f>
        <v> min</v>
      </c>
      <c r="AA2280" s="5" t="str">
        <f>IFERROR(__xludf.DUMMYFUNCTION("IF(REGEXMATCH(Z2280, ""Season""), ""TV Show"", ""Movie"")"),"Movie")</f>
        <v>Movie</v>
      </c>
    </row>
    <row r="2281">
      <c r="A2281" s="1" t="s">
        <v>12953</v>
      </c>
      <c r="B2281" s="1" t="s">
        <v>27</v>
      </c>
      <c r="C2281" s="1" t="s">
        <v>12954</v>
      </c>
      <c r="D2281" s="1" t="s">
        <v>7480</v>
      </c>
      <c r="E2281" s="1" t="s">
        <v>12955</v>
      </c>
      <c r="F2281" s="1" t="s">
        <v>63</v>
      </c>
      <c r="G2281" s="1" t="s">
        <v>12877</v>
      </c>
      <c r="H2281" s="1">
        <v>2011.0</v>
      </c>
      <c r="I2281" s="1" t="s">
        <v>42</v>
      </c>
      <c r="J2281" s="1" t="s">
        <v>1144</v>
      </c>
      <c r="K2281" s="1" t="s">
        <v>89</v>
      </c>
      <c r="L2281" s="1" t="s">
        <v>12956</v>
      </c>
      <c r="M2281" s="2" t="s">
        <v>12</v>
      </c>
      <c r="N2281" s="4">
        <f t="shared" si="1"/>
        <v>44017</v>
      </c>
      <c r="O2281" s="5" t="str">
        <f>IFERROR(__xludf.DUMMYFUNCTION("IF(REGEXMATCH(TRIM(I2281), ""^\d+\s*min""), ""Unclassified"", IF(I2281 = """", ""NR"", I2281))"),"TV-MA")</f>
        <v>TV-MA</v>
      </c>
      <c r="R2281" s="5" t="str">
        <f t="shared" si="2"/>
        <v>Michael</v>
      </c>
      <c r="S2281" s="5" t="str">
        <f>IFERROR(__xludf.DUMMYFUNCTION("""COMPUTED_VALUE"""),"Escape From Planet Earth")</f>
        <v>Escape From Planet Earth</v>
      </c>
      <c r="U2281" s="5" t="str">
        <f>IFERROR(__xludf.DUMMYFUNCTION("""COMPUTED_VALUE"""),"Sara Dosa")</f>
        <v>Sara Dosa</v>
      </c>
      <c r="V2281" s="5" t="s">
        <v>12957</v>
      </c>
      <c r="W2281" s="5" t="str">
        <f t="shared" si="3"/>
        <v>Kiki Goshay, Jacqueline Monetta</v>
      </c>
      <c r="X2281" s="5">
        <f t="shared" si="4"/>
        <v>1</v>
      </c>
      <c r="Y2281" s="5" t="str">
        <f>IFERROR(__xludf.DUMMYFUNCTION("REGEXEXTRACT(J2281, ""^\d+"")"),"86")</f>
        <v>86</v>
      </c>
      <c r="Z2281" s="5" t="str">
        <f>IFERROR(__xludf.DUMMYFUNCTION("REGEXEXTRACT(J2281, ""[A-Za-z ]+$"")")," min")</f>
        <v> min</v>
      </c>
      <c r="AA2281" s="5" t="str">
        <f>IFERROR(__xludf.DUMMYFUNCTION("IF(REGEXMATCH(Z2281, ""Season""), ""TV Show"", ""Movie"")"),"Movie")</f>
        <v>Movie</v>
      </c>
    </row>
    <row r="2282">
      <c r="A2282" s="1" t="s">
        <v>12958</v>
      </c>
      <c r="B2282" s="1" t="s">
        <v>27</v>
      </c>
      <c r="C2282" s="1" t="s">
        <v>12959</v>
      </c>
      <c r="D2282" s="1" t="s">
        <v>11564</v>
      </c>
      <c r="E2282" s="1" t="s">
        <v>12960</v>
      </c>
      <c r="F2282" s="1" t="s">
        <v>63</v>
      </c>
      <c r="G2282" s="1" t="s">
        <v>12877</v>
      </c>
      <c r="H2282" s="1">
        <v>2014.0</v>
      </c>
      <c r="I2282" s="1" t="s">
        <v>42</v>
      </c>
      <c r="J2282" s="1" t="s">
        <v>1256</v>
      </c>
      <c r="K2282" s="1" t="s">
        <v>215</v>
      </c>
      <c r="L2282" s="1" t="s">
        <v>12961</v>
      </c>
      <c r="M2282" s="2" t="s">
        <v>12</v>
      </c>
      <c r="N2282" s="4">
        <f t="shared" si="1"/>
        <v>44017</v>
      </c>
      <c r="O2282" s="5" t="str">
        <f>IFERROR(__xludf.DUMMYFUNCTION("IF(REGEXMATCH(TRIM(I2282), ""^\d+\s*min""), ""Unclassified"", IF(I2282 = """", ""NR"", I2282))"),"TV-MA")</f>
        <v>TV-MA</v>
      </c>
      <c r="R2282" s="5" t="str">
        <f t="shared" si="2"/>
        <v>Mumbai Delhi Mumbai</v>
      </c>
      <c r="S2282" s="5" t="str">
        <f>IFERROR(__xludf.DUMMYFUNCTION("""COMPUTED_VALUE"""),"Escape From The ""Liberty"" Cinema")</f>
        <v>Escape From The "Liberty" Cinema</v>
      </c>
      <c r="U2282" s="5" t="str">
        <f>IFERROR(__xludf.DUMMYFUNCTION("""COMPUTED_VALUE"""),"Bradley Walsh")</f>
        <v>Bradley Walsh</v>
      </c>
      <c r="V2282" s="5" t="s">
        <v>12962</v>
      </c>
      <c r="W2282" s="5" t="str">
        <f t="shared" si="3"/>
        <v>Kiko Cruz Claverol, Patricia Font</v>
      </c>
      <c r="X2282" s="5">
        <f t="shared" si="4"/>
        <v>1</v>
      </c>
      <c r="Y2282" s="5" t="str">
        <f>IFERROR(__xludf.DUMMYFUNCTION("REGEXEXTRACT(J2282, ""^\d+"")"),"107")</f>
        <v>107</v>
      </c>
      <c r="Z2282" s="5" t="str">
        <f>IFERROR(__xludf.DUMMYFUNCTION("REGEXEXTRACT(J2282, ""[A-Za-z ]+$"")")," min")</f>
        <v> min</v>
      </c>
      <c r="AA2282" s="5" t="str">
        <f>IFERROR(__xludf.DUMMYFUNCTION("IF(REGEXMATCH(Z2282, ""Season""), ""TV Show"", ""Movie"")"),"Movie")</f>
        <v>Movie</v>
      </c>
    </row>
    <row r="2283">
      <c r="A2283" s="1" t="s">
        <v>12963</v>
      </c>
      <c r="B2283" s="1" t="s">
        <v>27</v>
      </c>
      <c r="C2283" s="1" t="s">
        <v>12964</v>
      </c>
      <c r="D2283" s="1" t="s">
        <v>12965</v>
      </c>
      <c r="E2283" s="1" t="s">
        <v>12966</v>
      </c>
      <c r="F2283" s="1" t="s">
        <v>63</v>
      </c>
      <c r="G2283" s="1" t="s">
        <v>12877</v>
      </c>
      <c r="H2283" s="1">
        <v>2012.0</v>
      </c>
      <c r="I2283" s="1" t="s">
        <v>136</v>
      </c>
      <c r="J2283" s="1" t="s">
        <v>1273</v>
      </c>
      <c r="K2283" s="1" t="s">
        <v>583</v>
      </c>
      <c r="L2283" s="1" t="s">
        <v>12967</v>
      </c>
      <c r="M2283" s="2" t="s">
        <v>12</v>
      </c>
      <c r="N2283" s="4">
        <f t="shared" si="1"/>
        <v>44017</v>
      </c>
      <c r="O2283" s="5" t="str">
        <f>IFERROR(__xludf.DUMMYFUNCTION("IF(REGEXMATCH(TRIM(I2283), ""^\d+\s*min""), ""Unclassified"", IF(I2283 = """", ""NR"", I2283))"),"TV-PG")</f>
        <v>TV-PG</v>
      </c>
      <c r="R2283" s="5" t="str">
        <f t="shared" si="2"/>
        <v>Oh My God</v>
      </c>
      <c r="S2283" s="5" t="str">
        <f>IFERROR(__xludf.DUMMYFUNCTION("""COMPUTED_VALUE"""),"Escaping Tel Aviv")</f>
        <v>Escaping Tel Aviv</v>
      </c>
      <c r="U2283" s="5" t="str">
        <f>IFERROR(__xludf.DUMMYFUNCTION("""COMPUTED_VALUE"""),"Orson Welles")</f>
        <v>Orson Welles</v>
      </c>
      <c r="V2283" s="5" t="s">
        <v>12968</v>
      </c>
      <c r="W2283" s="5" t="str">
        <f t="shared" si="3"/>
        <v>Kim A. Snyder</v>
      </c>
      <c r="X2283" s="5">
        <f t="shared" si="4"/>
        <v>2</v>
      </c>
      <c r="Y2283" s="5" t="str">
        <f>IFERROR(__xludf.DUMMYFUNCTION("REGEXEXTRACT(J2283, ""^\d+"")"),"129")</f>
        <v>129</v>
      </c>
      <c r="Z2283" s="5" t="str">
        <f>IFERROR(__xludf.DUMMYFUNCTION("REGEXEXTRACT(J2283, ""[A-Za-z ]+$"")")," min")</f>
        <v> min</v>
      </c>
      <c r="AA2283" s="5" t="str">
        <f>IFERROR(__xludf.DUMMYFUNCTION("IF(REGEXMATCH(Z2283, ""Season""), ""TV Show"", ""Movie"")"),"Movie")</f>
        <v>Movie</v>
      </c>
    </row>
    <row r="2284">
      <c r="A2284" s="1" t="s">
        <v>12969</v>
      </c>
      <c r="B2284" s="1" t="s">
        <v>27</v>
      </c>
      <c r="C2284" s="1" t="s">
        <v>12970</v>
      </c>
      <c r="D2284" s="1" t="s">
        <v>6423</v>
      </c>
      <c r="E2284" s="1" t="s">
        <v>12971</v>
      </c>
      <c r="F2284" s="1" t="s">
        <v>63</v>
      </c>
      <c r="G2284" s="1" t="s">
        <v>12877</v>
      </c>
      <c r="H2284" s="1">
        <v>2014.0</v>
      </c>
      <c r="I2284" s="1" t="s">
        <v>97</v>
      </c>
      <c r="J2284" s="1" t="s">
        <v>1369</v>
      </c>
      <c r="K2284" s="1" t="s">
        <v>583</v>
      </c>
      <c r="L2284" s="1" t="s">
        <v>12972</v>
      </c>
      <c r="M2284" s="2" t="s">
        <v>12</v>
      </c>
      <c r="N2284" s="4">
        <f t="shared" si="1"/>
        <v>44017</v>
      </c>
      <c r="O2284" s="5" t="str">
        <f>IFERROR(__xludf.DUMMYFUNCTION("IF(REGEXMATCH(TRIM(I2284), ""^\d+\s*min""), ""Unclassified"", IF(I2284 = """", ""NR"", I2284))"),"TV-14")</f>
        <v>TV-14</v>
      </c>
      <c r="R2284" s="5" t="str">
        <f t="shared" si="2"/>
        <v>One By Two</v>
      </c>
      <c r="S2284" s="5" t="str">
        <f>IFERROR(__xludf.DUMMYFUNCTION("""COMPUTED_VALUE"""),"Especial 20 Años Fútbol De Primera")</f>
        <v>Especial 20 Años Fútbol De Primera</v>
      </c>
      <c r="U2284" s="5" t="str">
        <f>IFERROR(__xludf.DUMMYFUNCTION("""COMPUTED_VALUE"""),"Morgan Neville")</f>
        <v>Morgan Neville</v>
      </c>
      <c r="V2284" s="5" t="s">
        <v>12973</v>
      </c>
      <c r="W2284" s="5" t="str">
        <f t="shared" si="3"/>
        <v>Kim Dong-Kyu</v>
      </c>
      <c r="X2284" s="5">
        <f t="shared" si="4"/>
        <v>1</v>
      </c>
      <c r="Y2284" s="5" t="str">
        <f>IFERROR(__xludf.DUMMYFUNCTION("REGEXEXTRACT(J2284, ""^\d+"")"),"135")</f>
        <v>135</v>
      </c>
      <c r="Z2284" s="5" t="str">
        <f>IFERROR(__xludf.DUMMYFUNCTION("REGEXEXTRACT(J2284, ""[A-Za-z ]+$"")")," min")</f>
        <v> min</v>
      </c>
      <c r="AA2284" s="5" t="str">
        <f>IFERROR(__xludf.DUMMYFUNCTION("IF(REGEXMATCH(Z2284, ""Season""), ""TV Show"", ""Movie"")"),"Movie")</f>
        <v>Movie</v>
      </c>
    </row>
    <row r="2285">
      <c r="A2285" s="1" t="s">
        <v>12974</v>
      </c>
      <c r="B2285" s="1" t="s">
        <v>27</v>
      </c>
      <c r="C2285" s="1" t="s">
        <v>12975</v>
      </c>
      <c r="D2285" s="1" t="s">
        <v>12976</v>
      </c>
      <c r="E2285" s="1" t="s">
        <v>12977</v>
      </c>
      <c r="F2285" s="1" t="s">
        <v>30</v>
      </c>
      <c r="G2285" s="1" t="s">
        <v>12877</v>
      </c>
      <c r="H2285" s="1">
        <v>2019.0</v>
      </c>
      <c r="I2285" s="1" t="s">
        <v>42</v>
      </c>
      <c r="J2285" s="1" t="s">
        <v>247</v>
      </c>
      <c r="K2285" s="1" t="s">
        <v>1538</v>
      </c>
      <c r="L2285" s="1" t="s">
        <v>12978</v>
      </c>
      <c r="M2285" s="2" t="s">
        <v>12</v>
      </c>
      <c r="N2285" s="4">
        <f t="shared" si="1"/>
        <v>44017</v>
      </c>
      <c r="O2285" s="5" t="str">
        <f>IFERROR(__xludf.DUMMYFUNCTION("IF(REGEXMATCH(TRIM(I2285), ""^\d+\s*min""), ""Unclassified"", IF(I2285 = """", ""NR"", I2285))"),"TV-MA")</f>
        <v>TV-MA</v>
      </c>
      <c r="R2285" s="5" t="str">
        <f t="shared" si="2"/>
        <v>Only</v>
      </c>
      <c r="S2285" s="5" t="str">
        <f>IFERROR(__xludf.DUMMYFUNCTION("""COMPUTED_VALUE"""),"Esperando La Carroza")</f>
        <v>Esperando La Carroza</v>
      </c>
      <c r="U2285" s="5" t="str">
        <f>IFERROR(__xludf.DUMMYFUNCTION("""COMPUTED_VALUE"""),"Indrajit Nattoji")</f>
        <v>Indrajit Nattoji</v>
      </c>
      <c r="V2285" s="5" t="s">
        <v>12979</v>
      </c>
      <c r="W2285" s="5" t="str">
        <f t="shared" si="3"/>
        <v>Kim Jee-Woon</v>
      </c>
      <c r="X2285" s="5">
        <f t="shared" si="4"/>
        <v>1</v>
      </c>
      <c r="Y2285" s="5" t="str">
        <f>IFERROR(__xludf.DUMMYFUNCTION("REGEXEXTRACT(J2285, ""^\d+"")"),"97")</f>
        <v>97</v>
      </c>
      <c r="Z2285" s="5" t="str">
        <f>IFERROR(__xludf.DUMMYFUNCTION("REGEXEXTRACT(J2285, ""[A-Za-z ]+$"")")," min")</f>
        <v> min</v>
      </c>
      <c r="AA2285" s="5" t="str">
        <f>IFERROR(__xludf.DUMMYFUNCTION("IF(REGEXMATCH(Z2285, ""Season""), ""TV Show"", ""Movie"")"),"Movie")</f>
        <v>Movie</v>
      </c>
    </row>
    <row r="2286">
      <c r="A2286" s="1" t="s">
        <v>12980</v>
      </c>
      <c r="B2286" s="1" t="s">
        <v>27</v>
      </c>
      <c r="C2286" s="1" t="s">
        <v>12981</v>
      </c>
      <c r="D2286" s="1" t="s">
        <v>12982</v>
      </c>
      <c r="E2286" s="1" t="s">
        <v>12983</v>
      </c>
      <c r="F2286" s="1" t="s">
        <v>63</v>
      </c>
      <c r="G2286" s="1" t="s">
        <v>12877</v>
      </c>
      <c r="H2286" s="1">
        <v>2019.0</v>
      </c>
      <c r="I2286" s="1" t="s">
        <v>97</v>
      </c>
      <c r="J2286" s="1" t="s">
        <v>88</v>
      </c>
      <c r="K2286" s="1" t="s">
        <v>89</v>
      </c>
      <c r="L2286" s="1" t="s">
        <v>12984</v>
      </c>
      <c r="M2286" s="2" t="s">
        <v>12</v>
      </c>
      <c r="N2286" s="4">
        <f t="shared" si="1"/>
        <v>44017</v>
      </c>
      <c r="O2286" s="5" t="str">
        <f>IFERROR(__xludf.DUMMYFUNCTION("IF(REGEXMATCH(TRIM(I2286), ""^\d+\s*min""), ""Unclassified"", IF(I2286 = """", ""NR"", I2286))"),"TV-14")</f>
        <v>TV-14</v>
      </c>
      <c r="R2286" s="5" t="str">
        <f t="shared" si="2"/>
        <v>Penalty</v>
      </c>
      <c r="S2286" s="5" t="str">
        <f>IFERROR(__xludf.DUMMYFUNCTION("""COMPUTED_VALUE"""),"Estar O No Estar")</f>
        <v>Estar O No Estar</v>
      </c>
      <c r="U2286" s="5" t="str">
        <f>IFERROR(__xludf.DUMMYFUNCTION("""COMPUTED_VALUE"""),"Raj Kumar Gupta")</f>
        <v>Raj Kumar Gupta</v>
      </c>
      <c r="V2286" s="5" t="s">
        <v>12985</v>
      </c>
      <c r="W2286" s="5" t="str">
        <f t="shared" si="3"/>
        <v>Kim Joo-Hyung</v>
      </c>
      <c r="X2286" s="5">
        <f t="shared" si="4"/>
        <v>2</v>
      </c>
      <c r="Y2286" s="5" t="str">
        <f>IFERROR(__xludf.DUMMYFUNCTION("REGEXEXTRACT(J2286, ""^\d+"")"),"125")</f>
        <v>125</v>
      </c>
      <c r="Z2286" s="5" t="str">
        <f>IFERROR(__xludf.DUMMYFUNCTION("REGEXEXTRACT(J2286, ""[A-Za-z ]+$"")")," min")</f>
        <v> min</v>
      </c>
      <c r="AA2286" s="5" t="str">
        <f>IFERROR(__xludf.DUMMYFUNCTION("IF(REGEXMATCH(Z2286, ""Season""), ""TV Show"", ""Movie"")"),"Movie")</f>
        <v>Movie</v>
      </c>
    </row>
    <row r="2287">
      <c r="A2287" s="1" t="s">
        <v>12986</v>
      </c>
      <c r="B2287" s="1" t="s">
        <v>27</v>
      </c>
      <c r="C2287" s="1" t="s">
        <v>12987</v>
      </c>
      <c r="D2287" s="1" t="s">
        <v>165</v>
      </c>
      <c r="E2287" s="1" t="s">
        <v>12988</v>
      </c>
      <c r="F2287" s="1" t="s">
        <v>63</v>
      </c>
      <c r="G2287" s="1" t="s">
        <v>12877</v>
      </c>
      <c r="H2287" s="1">
        <v>2012.0</v>
      </c>
      <c r="I2287" s="1" t="s">
        <v>97</v>
      </c>
      <c r="J2287" s="1" t="s">
        <v>6105</v>
      </c>
      <c r="K2287" s="1" t="s">
        <v>1066</v>
      </c>
      <c r="L2287" s="1" t="s">
        <v>12989</v>
      </c>
      <c r="M2287" s="2" t="s">
        <v>12</v>
      </c>
      <c r="N2287" s="4">
        <f t="shared" si="1"/>
        <v>44017</v>
      </c>
      <c r="O2287" s="5" t="str">
        <f>IFERROR(__xludf.DUMMYFUNCTION("IF(REGEXMATCH(TRIM(I2287), ""^\d+\s*min""), ""Unclassified"", IF(I2287 = """", ""NR"", I2287))"),"TV-14")</f>
        <v>TV-14</v>
      </c>
      <c r="R2287" s="5" t="str">
        <f t="shared" si="2"/>
        <v>Players</v>
      </c>
      <c r="S2287" s="5" t="str">
        <f>IFERROR(__xludf.DUMMYFUNCTION("""COMPUTED_VALUE"""),"Eternal Love")</f>
        <v>Eternal Love</v>
      </c>
      <c r="U2287" s="5" t="str">
        <f>IFERROR(__xludf.DUMMYFUNCTION("""COMPUTED_VALUE"""),"Remo D'Souza")</f>
        <v>Remo D'Souza</v>
      </c>
      <c r="V2287" s="5" t="s">
        <v>10469</v>
      </c>
      <c r="W2287" s="5" t="str">
        <f t="shared" si="3"/>
        <v>Kim Nguyen</v>
      </c>
      <c r="X2287" s="5">
        <f t="shared" si="4"/>
        <v>3</v>
      </c>
      <c r="Y2287" s="5" t="str">
        <f>IFERROR(__xludf.DUMMYFUNCTION("REGEXEXTRACT(J2287, ""^\d+"")"),"162")</f>
        <v>162</v>
      </c>
      <c r="Z2287" s="5" t="str">
        <f>IFERROR(__xludf.DUMMYFUNCTION("REGEXEXTRACT(J2287, ""[A-Za-z ]+$"")")," min")</f>
        <v> min</v>
      </c>
      <c r="AA2287" s="5" t="str">
        <f>IFERROR(__xludf.DUMMYFUNCTION("IF(REGEXMATCH(Z2287, ""Season""), ""TV Show"", ""Movie"")"),"Movie")</f>
        <v>Movie</v>
      </c>
    </row>
    <row r="2288">
      <c r="A2288" s="1" t="s">
        <v>12990</v>
      </c>
      <c r="B2288" s="1" t="s">
        <v>27</v>
      </c>
      <c r="C2288" s="1" t="s">
        <v>12991</v>
      </c>
      <c r="D2288" s="1" t="s">
        <v>12992</v>
      </c>
      <c r="E2288" s="1" t="s">
        <v>12993</v>
      </c>
      <c r="F2288" s="1" t="s">
        <v>63</v>
      </c>
      <c r="G2288" s="1" t="s">
        <v>12877</v>
      </c>
      <c r="H2288" s="1">
        <v>2015.0</v>
      </c>
      <c r="I2288" s="1" t="s">
        <v>42</v>
      </c>
      <c r="J2288" s="1" t="s">
        <v>1383</v>
      </c>
      <c r="K2288" s="1" t="s">
        <v>583</v>
      </c>
      <c r="L2288" s="1" t="s">
        <v>12994</v>
      </c>
      <c r="M2288" s="2" t="s">
        <v>12</v>
      </c>
      <c r="N2288" s="4">
        <f t="shared" si="1"/>
        <v>44017</v>
      </c>
      <c r="O2288" s="5" t="str">
        <f>IFERROR(__xludf.DUMMYFUNCTION("IF(REGEXMATCH(TRIM(I2288), ""^\d+\s*min""), ""Unclassified"", IF(I2288 = """", ""NR"", I2288))"),"TV-MA")</f>
        <v>TV-MA</v>
      </c>
      <c r="R2288" s="5" t="str">
        <f t="shared" si="2"/>
        <v>Pyaar Ka Punchnama 2</v>
      </c>
      <c r="S2288" s="5" t="str">
        <f>IFERROR(__xludf.DUMMYFUNCTION("""COMPUTED_VALUE"""),"Ethirmarai")</f>
        <v>Ethirmarai</v>
      </c>
      <c r="U2288" s="5" t="str">
        <f>IFERROR(__xludf.DUMMYFUNCTION("""COMPUTED_VALUE"""),"Arnab Chaudhuri")</f>
        <v>Arnab Chaudhuri</v>
      </c>
      <c r="V2288" s="5" t="s">
        <v>12995</v>
      </c>
      <c r="W2288" s="5" t="str">
        <f t="shared" si="3"/>
        <v>Kim Seong-Hun</v>
      </c>
      <c r="X2288" s="5">
        <f t="shared" si="4"/>
        <v>2</v>
      </c>
      <c r="Y2288" s="5" t="str">
        <f>IFERROR(__xludf.DUMMYFUNCTION("REGEXEXTRACT(J2288, ""^\d+"")"),"136")</f>
        <v>136</v>
      </c>
      <c r="Z2288" s="5" t="str">
        <f>IFERROR(__xludf.DUMMYFUNCTION("REGEXEXTRACT(J2288, ""[A-Za-z ]+$"")")," min")</f>
        <v> min</v>
      </c>
      <c r="AA2288" s="5" t="str">
        <f>IFERROR(__xludf.DUMMYFUNCTION("IF(REGEXMATCH(Z2288, ""Season""), ""TV Show"", ""Movie"")"),"Movie")</f>
        <v>Movie</v>
      </c>
    </row>
    <row r="2289">
      <c r="A2289" s="1" t="s">
        <v>12996</v>
      </c>
      <c r="B2289" s="1" t="s">
        <v>27</v>
      </c>
      <c r="C2289" s="1" t="s">
        <v>12997</v>
      </c>
      <c r="D2289" s="1" t="s">
        <v>12998</v>
      </c>
      <c r="E2289" s="1" t="s">
        <v>12999</v>
      </c>
      <c r="F2289" s="1" t="s">
        <v>63</v>
      </c>
      <c r="G2289" s="1" t="s">
        <v>12877</v>
      </c>
      <c r="H2289" s="1">
        <v>2014.0</v>
      </c>
      <c r="I2289" s="1" t="s">
        <v>42</v>
      </c>
      <c r="J2289" s="1" t="s">
        <v>2414</v>
      </c>
      <c r="K2289" s="1" t="s">
        <v>583</v>
      </c>
      <c r="L2289" s="1" t="s">
        <v>13000</v>
      </c>
      <c r="M2289" s="2" t="s">
        <v>12</v>
      </c>
      <c r="N2289" s="4">
        <f t="shared" si="1"/>
        <v>44017</v>
      </c>
      <c r="O2289" s="5" t="str">
        <f>IFERROR(__xludf.DUMMYFUNCTION("IF(REGEXMATCH(TRIM(I2289), ""^\d+\s*min""), ""Unclassified"", IF(I2289 = """", ""NR"", I2289))"),"TV-MA")</f>
        <v>TV-MA</v>
      </c>
      <c r="R2289" s="5" t="str">
        <f t="shared" si="2"/>
        <v>Queen</v>
      </c>
      <c r="S2289" s="5" t="str">
        <f>IFERROR(__xludf.DUMMYFUNCTION("""COMPUTED_VALUE"""),"Ethos")</f>
        <v>Ethos</v>
      </c>
      <c r="U2289" s="5" t="str">
        <f>IFERROR(__xludf.DUMMYFUNCTION("""COMPUTED_VALUE"""),"Rana Ranbir")</f>
        <v>Rana Ranbir</v>
      </c>
      <c r="V2289" s="5" t="s">
        <v>13001</v>
      </c>
      <c r="W2289" s="5" t="str">
        <f t="shared" si="3"/>
        <v>Kim Sung-Hoon</v>
      </c>
      <c r="X2289" s="5">
        <f t="shared" si="4"/>
        <v>1</v>
      </c>
      <c r="Y2289" s="5" t="str">
        <f>IFERROR(__xludf.DUMMYFUNCTION("REGEXEXTRACT(J2289, ""^\d+"")"),"138")</f>
        <v>138</v>
      </c>
      <c r="Z2289" s="5" t="str">
        <f>IFERROR(__xludf.DUMMYFUNCTION("REGEXEXTRACT(J2289, ""[A-Za-z ]+$"")")," min")</f>
        <v> min</v>
      </c>
      <c r="AA2289" s="5" t="str">
        <f>IFERROR(__xludf.DUMMYFUNCTION("IF(REGEXMATCH(Z2289, ""Season""), ""TV Show"", ""Movie"")"),"Movie")</f>
        <v>Movie</v>
      </c>
    </row>
    <row r="2290">
      <c r="A2290" s="1" t="s">
        <v>13002</v>
      </c>
      <c r="B2290" s="1" t="s">
        <v>27</v>
      </c>
      <c r="C2290" s="1" t="s">
        <v>13003</v>
      </c>
      <c r="D2290" s="1" t="s">
        <v>3114</v>
      </c>
      <c r="E2290" s="1" t="s">
        <v>13004</v>
      </c>
      <c r="F2290" s="1" t="s">
        <v>63</v>
      </c>
      <c r="G2290" s="1" t="s">
        <v>12877</v>
      </c>
      <c r="H2290" s="1">
        <v>2011.0</v>
      </c>
      <c r="I2290" s="1" t="s">
        <v>42</v>
      </c>
      <c r="J2290" s="1" t="s">
        <v>3458</v>
      </c>
      <c r="K2290" s="1" t="s">
        <v>8559</v>
      </c>
      <c r="L2290" s="1" t="s">
        <v>13005</v>
      </c>
      <c r="M2290" s="2" t="s">
        <v>12</v>
      </c>
      <c r="N2290" s="4">
        <f t="shared" si="1"/>
        <v>44017</v>
      </c>
      <c r="O2290" s="5" t="str">
        <f>IFERROR(__xludf.DUMMYFUNCTION("IF(REGEXMATCH(TRIM(I2290), ""^\d+\s*min""), ""Unclassified"", IF(I2290 = """", ""NR"", I2290))"),"TV-MA")</f>
        <v>TV-MA</v>
      </c>
      <c r="R2290" s="5" t="str">
        <f t="shared" si="2"/>
        <v>Shaitan</v>
      </c>
      <c r="S2290" s="5" t="str">
        <f>IFERROR(__xludf.DUMMYFUNCTION("""COMPUTED_VALUE"""),"Eugenie Nights")</f>
        <v>Eugenie Nights</v>
      </c>
      <c r="U2290" s="5" t="str">
        <f>IFERROR(__xludf.DUMMYFUNCTION("""COMPUTED_VALUE"""),"Priyadarshan, Kookie V. Gulati")</f>
        <v>Priyadarshan, Kookie V. Gulati</v>
      </c>
      <c r="V2290" s="5" t="s">
        <v>13006</v>
      </c>
      <c r="W2290" s="5" t="str">
        <f t="shared" si="3"/>
        <v>Kim Tae-Hyung</v>
      </c>
      <c r="X2290" s="5">
        <f t="shared" si="4"/>
        <v>1</v>
      </c>
      <c r="Y2290" s="5" t="str">
        <f>IFERROR(__xludf.DUMMYFUNCTION("REGEXEXTRACT(J2290, ""^\d+"")"),"126")</f>
        <v>126</v>
      </c>
      <c r="Z2290" s="5" t="str">
        <f>IFERROR(__xludf.DUMMYFUNCTION("REGEXEXTRACT(J2290, ""[A-Za-z ]+$"")")," min")</f>
        <v> min</v>
      </c>
      <c r="AA2290" s="5" t="str">
        <f>IFERROR(__xludf.DUMMYFUNCTION("IF(REGEXMATCH(Z2290, ""Season""), ""TV Show"", ""Movie"")"),"Movie")</f>
        <v>Movie</v>
      </c>
    </row>
    <row r="2291">
      <c r="A2291" s="1" t="s">
        <v>13007</v>
      </c>
      <c r="B2291" s="1" t="s">
        <v>27</v>
      </c>
      <c r="C2291" s="1" t="s">
        <v>13008</v>
      </c>
      <c r="D2291" s="1" t="s">
        <v>13009</v>
      </c>
      <c r="E2291" s="1" t="s">
        <v>13010</v>
      </c>
      <c r="F2291" s="1" t="s">
        <v>63</v>
      </c>
      <c r="G2291" s="1" t="s">
        <v>12877</v>
      </c>
      <c r="H2291" s="1">
        <v>2013.0</v>
      </c>
      <c r="I2291" s="1" t="s">
        <v>136</v>
      </c>
      <c r="J2291" s="1" t="s">
        <v>4242</v>
      </c>
      <c r="K2291" s="1" t="s">
        <v>298</v>
      </c>
      <c r="L2291" s="1" t="s">
        <v>13011</v>
      </c>
      <c r="M2291" s="2" t="s">
        <v>12</v>
      </c>
      <c r="N2291" s="4">
        <f t="shared" si="1"/>
        <v>44017</v>
      </c>
      <c r="O2291" s="5" t="str">
        <f>IFERROR(__xludf.DUMMYFUNCTION("IF(REGEXMATCH(TRIM(I2291), ""^\d+\s*min""), ""Unclassified"", IF(I2291 = """", ""NR"", I2291))"),"TV-PG")</f>
        <v>TV-PG</v>
      </c>
      <c r="R2291" s="5" t="str">
        <f t="shared" si="2"/>
        <v>Special 26</v>
      </c>
      <c r="S2291" s="5" t="str">
        <f>IFERROR(__xludf.DUMMYFUNCTION("""COMPUTED_VALUE"""),"Euphoria")</f>
        <v>Euphoria</v>
      </c>
      <c r="U2291" s="5" t="str">
        <f>IFERROR(__xludf.DUMMYFUNCTION("""COMPUTED_VALUE"""),"Vivek Agnihotri")</f>
        <v>Vivek Agnihotri</v>
      </c>
      <c r="V2291" s="5" t="s">
        <v>3985</v>
      </c>
      <c r="W2291" s="5" t="str">
        <f t="shared" si="3"/>
        <v>Kimmy Gatewood</v>
      </c>
      <c r="X2291" s="5">
        <f t="shared" si="4"/>
        <v>1</v>
      </c>
      <c r="Y2291" s="5" t="str">
        <f>IFERROR(__xludf.DUMMYFUNCTION("REGEXEXTRACT(J2291, ""^\d+"")"),"137")</f>
        <v>137</v>
      </c>
      <c r="Z2291" s="5" t="str">
        <f>IFERROR(__xludf.DUMMYFUNCTION("REGEXEXTRACT(J2291, ""[A-Za-z ]+$"")")," min")</f>
        <v> min</v>
      </c>
      <c r="AA2291" s="5" t="str">
        <f>IFERROR(__xludf.DUMMYFUNCTION("IF(REGEXMATCH(Z2291, ""Season""), ""TV Show"", ""Movie"")"),"Movie")</f>
        <v>Movie</v>
      </c>
    </row>
    <row r="2292">
      <c r="A2292" s="1" t="s">
        <v>13012</v>
      </c>
      <c r="B2292" s="1" t="s">
        <v>27</v>
      </c>
      <c r="C2292" s="1" t="s">
        <v>13013</v>
      </c>
      <c r="D2292" s="1" t="s">
        <v>91</v>
      </c>
      <c r="E2292" s="1" t="s">
        <v>13014</v>
      </c>
      <c r="F2292" s="1" t="s">
        <v>63</v>
      </c>
      <c r="G2292" s="1" t="s">
        <v>12877</v>
      </c>
      <c r="H2292" s="1">
        <v>2011.0</v>
      </c>
      <c r="I2292" s="1" t="s">
        <v>97</v>
      </c>
      <c r="J2292" s="1" t="s">
        <v>835</v>
      </c>
      <c r="K2292" s="1" t="s">
        <v>583</v>
      </c>
      <c r="L2292" s="1" t="s">
        <v>13015</v>
      </c>
      <c r="M2292" s="2" t="s">
        <v>12</v>
      </c>
      <c r="N2292" s="4">
        <f t="shared" si="1"/>
        <v>44017</v>
      </c>
      <c r="O2292" s="5" t="str">
        <f>IFERROR(__xludf.DUMMYFUNCTION("IF(REGEXMATCH(TRIM(I2292), ""^\d+\s*min""), ""Unclassified"", IF(I2292 = """", ""NR"", I2292))"),"TV-14")</f>
        <v>TV-14</v>
      </c>
      <c r="R2292" s="5" t="str">
        <f t="shared" si="2"/>
        <v>Tanu Weds Manu</v>
      </c>
      <c r="S2292" s="5" t="str">
        <f>IFERROR(__xludf.DUMMYFUNCTION("""COMPUTED_VALUE"""),"Europe'S Most Dangerous Man: Otto Skorzeny In Spain")</f>
        <v>Europe'S Most Dangerous Man: Otto Skorzeny In Spain</v>
      </c>
      <c r="U2292" s="5" t="str">
        <f>IFERROR(__xludf.DUMMYFUNCTION("""COMPUTED_VALUE"""),"Habib Faisal")</f>
        <v>Habib Faisal</v>
      </c>
      <c r="V2292" s="5" t="s">
        <v>4025</v>
      </c>
      <c r="W2292" s="5" t="str">
        <f t="shared" si="3"/>
        <v>Kingsley Ogoro</v>
      </c>
      <c r="X2292" s="5">
        <f t="shared" si="4"/>
        <v>2</v>
      </c>
      <c r="Y2292" s="5" t="str">
        <f>IFERROR(__xludf.DUMMYFUNCTION("REGEXEXTRACT(J2292, ""^\d+"")"),"114")</f>
        <v>114</v>
      </c>
      <c r="Z2292" s="5" t="str">
        <f>IFERROR(__xludf.DUMMYFUNCTION("REGEXEXTRACT(J2292, ""[A-Za-z ]+$"")")," min")</f>
        <v> min</v>
      </c>
      <c r="AA2292" s="5" t="str">
        <f>IFERROR(__xludf.DUMMYFUNCTION("IF(REGEXMATCH(Z2292, ""Season""), ""TV Show"", ""Movie"")"),"Movie")</f>
        <v>Movie</v>
      </c>
    </row>
    <row r="2293">
      <c r="A2293" s="1" t="s">
        <v>13016</v>
      </c>
      <c r="B2293" s="1" t="s">
        <v>27</v>
      </c>
      <c r="C2293" s="1" t="s">
        <v>13017</v>
      </c>
      <c r="D2293" s="1" t="s">
        <v>8811</v>
      </c>
      <c r="E2293" s="1" t="s">
        <v>13018</v>
      </c>
      <c r="F2293" s="1" t="s">
        <v>63</v>
      </c>
      <c r="G2293" s="1" t="s">
        <v>12877</v>
      </c>
      <c r="H2293" s="1">
        <v>2013.0</v>
      </c>
      <c r="I2293" s="1" t="s">
        <v>97</v>
      </c>
      <c r="J2293" s="1" t="s">
        <v>322</v>
      </c>
      <c r="K2293" s="1" t="s">
        <v>199</v>
      </c>
      <c r="L2293" s="1" t="s">
        <v>13019</v>
      </c>
      <c r="M2293" s="2" t="s">
        <v>12</v>
      </c>
      <c r="N2293" s="4">
        <f t="shared" si="1"/>
        <v>44017</v>
      </c>
      <c r="O2293" s="5" t="str">
        <f>IFERROR(__xludf.DUMMYFUNCTION("IF(REGEXMATCH(TRIM(I2293), ""^\d+\s*min""), ""Unclassified"", IF(I2293 = """", ""NR"", I2293))"),"TV-14")</f>
        <v>TV-14</v>
      </c>
      <c r="R2293" s="5" t="str">
        <f t="shared" si="2"/>
        <v>What The Fish</v>
      </c>
      <c r="S2293" s="5" t="str">
        <f>IFERROR(__xludf.DUMMYFUNCTION("""COMPUTED_VALUE"""),"Eurovision Song Contest")</f>
        <v>Eurovision Song Contest</v>
      </c>
      <c r="U2293" s="5" t="str">
        <f>IFERROR(__xludf.DUMMYFUNCTION("""COMPUTED_VALUE"""),"Bobby Roth")</f>
        <v>Bobby Roth</v>
      </c>
      <c r="V2293" s="5" t="s">
        <v>1149</v>
      </c>
      <c r="W2293" s="5" t="str">
        <f t="shared" si="3"/>
        <v>Kinka Usher</v>
      </c>
      <c r="X2293" s="5">
        <f t="shared" si="4"/>
        <v>1</v>
      </c>
      <c r="Y2293" s="5" t="str">
        <f>IFERROR(__xludf.DUMMYFUNCTION("REGEXEXTRACT(J2293, ""^\d+"")"),"96")</f>
        <v>96</v>
      </c>
      <c r="Z2293" s="5" t="str">
        <f>IFERROR(__xludf.DUMMYFUNCTION("REGEXEXTRACT(J2293, ""[A-Za-z ]+$"")")," min")</f>
        <v> min</v>
      </c>
      <c r="AA2293" s="5" t="str">
        <f>IFERROR(__xludf.DUMMYFUNCTION("IF(REGEXMATCH(Z2293, ""Season""), ""TV Show"", ""Movie"")"),"Movie")</f>
        <v>Movie</v>
      </c>
    </row>
    <row r="2294">
      <c r="A2294" s="1" t="s">
        <v>13020</v>
      </c>
      <c r="B2294" s="1" t="s">
        <v>37</v>
      </c>
      <c r="C2294" s="1" t="s">
        <v>13021</v>
      </c>
      <c r="E2294" s="1" t="s">
        <v>13022</v>
      </c>
      <c r="F2294" s="1" t="s">
        <v>63</v>
      </c>
      <c r="G2294" s="1" t="s">
        <v>13023</v>
      </c>
      <c r="H2294" s="1">
        <v>2020.0</v>
      </c>
      <c r="I2294" s="1" t="s">
        <v>289</v>
      </c>
      <c r="J2294" s="1" t="s">
        <v>43</v>
      </c>
      <c r="K2294" s="1" t="s">
        <v>314</v>
      </c>
      <c r="L2294" s="1" t="s">
        <v>13024</v>
      </c>
      <c r="M2294" s="2" t="s">
        <v>12</v>
      </c>
      <c r="N2294" s="4">
        <f t="shared" si="1"/>
        <v>44016</v>
      </c>
      <c r="O2294" s="5" t="str">
        <f>IFERROR(__xludf.DUMMYFUNCTION("IF(REGEXMATCH(TRIM(I2294), ""^\d+\s*min""), ""Unclassified"", IF(I2294 = """", ""NR"", I2294))"),"TV-Y7")</f>
        <v>TV-Y7</v>
      </c>
      <c r="R2294" s="5" t="str">
        <f t="shared" si="2"/>
        <v>Little Singham</v>
      </c>
      <c r="S2294" s="5" t="str">
        <f>IFERROR(__xludf.DUMMYFUNCTION("""COMPUTED_VALUE"""),"Eurovision Song Contest: The Story Of Fire Saga")</f>
        <v>Eurovision Song Contest: The Story Of Fire Saga</v>
      </c>
      <c r="U2294" s="5" t="str">
        <f>IFERROR(__xludf.DUMMYFUNCTION("""COMPUTED_VALUE"""),"Halder Gomes")</f>
        <v>Halder Gomes</v>
      </c>
      <c r="V2294" s="5" t="s">
        <v>13025</v>
      </c>
      <c r="W2294" s="5" t="str">
        <f t="shared" si="3"/>
        <v>Kip Andersen, Keegan Kuhn</v>
      </c>
      <c r="X2294" s="5">
        <f t="shared" si="4"/>
        <v>2</v>
      </c>
      <c r="Y2294" s="5" t="str">
        <f>IFERROR(__xludf.DUMMYFUNCTION("REGEXEXTRACT(J2294, ""^\d+"")"),"2")</f>
        <v>2</v>
      </c>
      <c r="Z2294" s="5" t="str">
        <f>IFERROR(__xludf.DUMMYFUNCTION("REGEXEXTRACT(J2294, ""[A-Za-z ]+$"")")," Seasons")</f>
        <v> Seasons</v>
      </c>
      <c r="AA2294" s="5" t="str">
        <f>IFERROR(__xludf.DUMMYFUNCTION("IF(REGEXMATCH(Z2294, ""Season""), ""TV Show"", ""Movie"")"),"TV Show")</f>
        <v>TV Show</v>
      </c>
    </row>
    <row r="2295">
      <c r="A2295" s="1" t="s">
        <v>13026</v>
      </c>
      <c r="B2295" s="1" t="s">
        <v>37</v>
      </c>
      <c r="C2295" s="1" t="s">
        <v>13027</v>
      </c>
      <c r="E2295" s="1" t="s">
        <v>13028</v>
      </c>
      <c r="F2295" s="1" t="s">
        <v>784</v>
      </c>
      <c r="G2295" s="1" t="s">
        <v>13029</v>
      </c>
      <c r="H2295" s="1">
        <v>2019.0</v>
      </c>
      <c r="I2295" s="1" t="s">
        <v>42</v>
      </c>
      <c r="J2295" s="1" t="s">
        <v>439</v>
      </c>
      <c r="K2295" s="1" t="s">
        <v>1822</v>
      </c>
      <c r="L2295" s="1" t="s">
        <v>13030</v>
      </c>
      <c r="M2295" s="2" t="s">
        <v>12</v>
      </c>
      <c r="N2295" s="4">
        <f t="shared" si="1"/>
        <v>44015</v>
      </c>
      <c r="O2295" s="5" t="str">
        <f>IFERROR(__xludf.DUMMYFUNCTION("IF(REGEXMATCH(TRIM(I2295), ""^\d+\s*min""), ""Unclassified"", IF(I2295 = """", ""NR"", I2295))"),"TV-MA")</f>
        <v>TV-MA</v>
      </c>
      <c r="R2295" s="5" t="str">
        <f t="shared" si="2"/>
        <v>Cable Girls</v>
      </c>
      <c r="S2295" s="5" t="str">
        <f>IFERROR(__xludf.DUMMYFUNCTION("""COMPUTED_VALUE"""),"Evan Almighty")</f>
        <v>Evan Almighty</v>
      </c>
      <c r="U2295" s="5" t="str">
        <f>IFERROR(__xludf.DUMMYFUNCTION("""COMPUTED_VALUE"""),"Amitoj Mann")</f>
        <v>Amitoj Mann</v>
      </c>
      <c r="V2295" s="5" t="s">
        <v>13031</v>
      </c>
      <c r="W2295" s="5" t="str">
        <f t="shared" si="3"/>
        <v>Kiran Narayanan</v>
      </c>
      <c r="X2295" s="5">
        <f t="shared" si="4"/>
        <v>1</v>
      </c>
      <c r="Y2295" s="5" t="str">
        <f>IFERROR(__xludf.DUMMYFUNCTION("REGEXEXTRACT(J2295, ""^\d+"")"),"6")</f>
        <v>6</v>
      </c>
      <c r="Z2295" s="5" t="str">
        <f>IFERROR(__xludf.DUMMYFUNCTION("REGEXEXTRACT(J2295, ""[A-Za-z ]+$"")")," Seasons")</f>
        <v> Seasons</v>
      </c>
      <c r="AA2295" s="5" t="str">
        <f>IFERROR(__xludf.DUMMYFUNCTION("IF(REGEXMATCH(Z2295, ""Season""), ""TV Show"", ""Movie"")"),"TV Show")</f>
        <v>TV Show</v>
      </c>
    </row>
    <row r="2296">
      <c r="A2296" s="1" t="s">
        <v>13032</v>
      </c>
      <c r="B2296" s="1" t="s">
        <v>27</v>
      </c>
      <c r="C2296" s="1" t="s">
        <v>13033</v>
      </c>
      <c r="D2296" s="1" t="s">
        <v>13034</v>
      </c>
      <c r="E2296" s="1" t="s">
        <v>13035</v>
      </c>
      <c r="F2296" s="1" t="s">
        <v>30</v>
      </c>
      <c r="G2296" s="1" t="s">
        <v>13029</v>
      </c>
      <c r="H2296" s="1">
        <v>2020.0</v>
      </c>
      <c r="I2296" s="1" t="s">
        <v>42</v>
      </c>
      <c r="J2296" s="1" t="s">
        <v>1256</v>
      </c>
      <c r="K2296" s="1" t="s">
        <v>813</v>
      </c>
      <c r="L2296" s="1" t="s">
        <v>13036</v>
      </c>
      <c r="M2296" s="2" t="s">
        <v>12</v>
      </c>
      <c r="N2296" s="4">
        <f t="shared" si="1"/>
        <v>44015</v>
      </c>
      <c r="O2296" s="5" t="str">
        <f>IFERROR(__xludf.DUMMYFUNCTION("IF(REGEXMATCH(TRIM(I2296), ""^\d+\s*min""), ""Unclassified"", IF(I2296 = """", ""NR"", I2296))"),"TV-MA")</f>
        <v>TV-MA</v>
      </c>
      <c r="R2296" s="5" t="str">
        <f t="shared" si="2"/>
        <v>Desperados</v>
      </c>
      <c r="S2296" s="5" t="str">
        <f>IFERROR(__xludf.DUMMYFUNCTION("""COMPUTED_VALUE"""),"Evangelion: Death (True)²")</f>
        <v>Evangelion: Death (True)²</v>
      </c>
      <c r="U2296" s="5" t="str">
        <f>IFERROR(__xludf.DUMMYFUNCTION("""COMPUTED_VALUE"""),"B. Unnikrishnan")</f>
        <v>B. Unnikrishnan</v>
      </c>
      <c r="V2296" s="5" t="s">
        <v>6077</v>
      </c>
      <c r="W2296" s="5" t="str">
        <f t="shared" si="3"/>
        <v>Kiran Rao</v>
      </c>
      <c r="X2296" s="5">
        <f t="shared" si="4"/>
        <v>1</v>
      </c>
      <c r="Y2296" s="5" t="str">
        <f>IFERROR(__xludf.DUMMYFUNCTION("REGEXEXTRACT(J2296, ""^\d+"")"),"107")</f>
        <v>107</v>
      </c>
      <c r="Z2296" s="5" t="str">
        <f>IFERROR(__xludf.DUMMYFUNCTION("REGEXEXTRACT(J2296, ""[A-Za-z ]+$"")")," min")</f>
        <v> min</v>
      </c>
      <c r="AA2296" s="5" t="str">
        <f>IFERROR(__xludf.DUMMYFUNCTION("IF(REGEXMATCH(Z2296, ""Season""), ""TV Show"", ""Movie"")"),"Movie")</f>
        <v>Movie</v>
      </c>
    </row>
    <row r="2297">
      <c r="A2297" s="1" t="s">
        <v>13037</v>
      </c>
      <c r="B2297" s="1" t="s">
        <v>27</v>
      </c>
      <c r="C2297" s="1" t="s">
        <v>13038</v>
      </c>
      <c r="D2297" s="1" t="s">
        <v>13039</v>
      </c>
      <c r="E2297" s="1" t="s">
        <v>13040</v>
      </c>
      <c r="F2297" s="1" t="s">
        <v>13041</v>
      </c>
      <c r="G2297" s="1" t="s">
        <v>13029</v>
      </c>
      <c r="H2297" s="1">
        <v>2020.0</v>
      </c>
      <c r="I2297" s="1" t="s">
        <v>42</v>
      </c>
      <c r="J2297" s="1" t="s">
        <v>1191</v>
      </c>
      <c r="K2297" s="1" t="s">
        <v>128</v>
      </c>
      <c r="L2297" s="1" t="s">
        <v>13042</v>
      </c>
      <c r="M2297" s="2" t="s">
        <v>12</v>
      </c>
      <c r="N2297" s="4">
        <f t="shared" si="1"/>
        <v>44015</v>
      </c>
      <c r="O2297" s="5" t="str">
        <f>IFERROR(__xludf.DUMMYFUNCTION("IF(REGEXMATCH(TRIM(I2297), ""^\d+\s*min""), ""Unclassified"", IF(I2297 = """", ""NR"", I2297))"),"TV-MA")</f>
        <v>TV-MA</v>
      </c>
      <c r="R2297" s="5" t="str">
        <f t="shared" si="2"/>
        <v>Hunter In The Blue Side Of Manchester</v>
      </c>
      <c r="S2297" s="5" t="str">
        <f>IFERROR(__xludf.DUMMYFUNCTION("""COMPUTED_VALUE"""),"Eve'S Apple")</f>
        <v>Eve'S Apple</v>
      </c>
      <c r="U2297" s="5" t="str">
        <f>IFERROR(__xludf.DUMMYFUNCTION("""COMPUTED_VALUE"""),"Madhur Bhandarkar")</f>
        <v>Madhur Bhandarkar</v>
      </c>
      <c r="V2297" s="5" t="s">
        <v>13043</v>
      </c>
      <c r="W2297" s="5" t="str">
        <f t="shared" si="3"/>
        <v>Kirati Nakintanon</v>
      </c>
      <c r="X2297" s="5">
        <f t="shared" si="4"/>
        <v>1</v>
      </c>
      <c r="Y2297" s="5" t="str">
        <f>IFERROR(__xludf.DUMMYFUNCTION("REGEXEXTRACT(J2297, ""^\d+"")"),"89")</f>
        <v>89</v>
      </c>
      <c r="Z2297" s="5" t="str">
        <f>IFERROR(__xludf.DUMMYFUNCTION("REGEXEXTRACT(J2297, ""[A-Za-z ]+$"")")," min")</f>
        <v> min</v>
      </c>
      <c r="AA2297" s="5" t="str">
        <f>IFERROR(__xludf.DUMMYFUNCTION("IF(REGEXMATCH(Z2297, ""Season""), ""TV Show"", ""Movie"")"),"Movie")</f>
        <v>Movie</v>
      </c>
    </row>
    <row r="2298">
      <c r="A2298" s="1" t="s">
        <v>13044</v>
      </c>
      <c r="B2298" s="1" t="s">
        <v>27</v>
      </c>
      <c r="C2298" s="1" t="s">
        <v>13045</v>
      </c>
      <c r="D2298" s="1" t="s">
        <v>13046</v>
      </c>
      <c r="E2298" s="1" t="s">
        <v>13047</v>
      </c>
      <c r="F2298" s="1" t="s">
        <v>13048</v>
      </c>
      <c r="G2298" s="1" t="s">
        <v>13029</v>
      </c>
      <c r="H2298" s="1">
        <v>2017.0</v>
      </c>
      <c r="I2298" s="1" t="s">
        <v>32</v>
      </c>
      <c r="J2298" s="1" t="s">
        <v>170</v>
      </c>
      <c r="K2298" s="1" t="s">
        <v>34</v>
      </c>
      <c r="L2298" s="1" t="s">
        <v>13049</v>
      </c>
      <c r="M2298" s="2" t="s">
        <v>12</v>
      </c>
      <c r="N2298" s="4">
        <f t="shared" si="1"/>
        <v>44015</v>
      </c>
      <c r="O2298" s="5" t="str">
        <f>IFERROR(__xludf.DUMMYFUNCTION("IF(REGEXMATCH(TRIM(I2298), ""^\d+\s*min""), ""Unclassified"", IF(I2298 = """", ""NR"", I2298))"),"PG-13")</f>
        <v>PG-13</v>
      </c>
      <c r="R2298" s="5" t="str">
        <f t="shared" si="2"/>
        <v>I Am Not Your Negro</v>
      </c>
      <c r="S2298" s="5" t="str">
        <f>IFERROR(__xludf.DUMMYFUNCTION("""COMPUTED_VALUE"""),"Evelyn")</f>
        <v>Evelyn</v>
      </c>
      <c r="U2298" s="5" t="str">
        <f>IFERROR(__xludf.DUMMYFUNCTION("""COMPUTED_VALUE"""),"Sajid Khan")</f>
        <v>Sajid Khan</v>
      </c>
      <c r="V2298" s="5" t="s">
        <v>13050</v>
      </c>
      <c r="W2298" s="5" t="str">
        <f t="shared" si="3"/>
        <v>Kirby Dick</v>
      </c>
      <c r="X2298" s="5">
        <f t="shared" si="4"/>
        <v>1</v>
      </c>
      <c r="Y2298" s="5" t="str">
        <f>IFERROR(__xludf.DUMMYFUNCTION("REGEXEXTRACT(J2298, ""^\d+"")"),"94")</f>
        <v>94</v>
      </c>
      <c r="Z2298" s="5" t="str">
        <f>IFERROR(__xludf.DUMMYFUNCTION("REGEXEXTRACT(J2298, ""[A-Za-z ]+$"")")," min")</f>
        <v> min</v>
      </c>
      <c r="AA2298" s="5" t="str">
        <f>IFERROR(__xludf.DUMMYFUNCTION("IF(REGEXMATCH(Z2298, ""Season""), ""TV Show"", ""Movie"")"),"Movie")</f>
        <v>Movie</v>
      </c>
    </row>
    <row r="2299">
      <c r="A2299" s="1" t="s">
        <v>13051</v>
      </c>
      <c r="B2299" s="1" t="s">
        <v>37</v>
      </c>
      <c r="C2299" s="1" t="s">
        <v>13052</v>
      </c>
      <c r="E2299" s="1" t="s">
        <v>13053</v>
      </c>
      <c r="F2299" s="1" t="s">
        <v>415</v>
      </c>
      <c r="G2299" s="1" t="s">
        <v>13029</v>
      </c>
      <c r="H2299" s="1">
        <v>2020.0</v>
      </c>
      <c r="I2299" s="1" t="s">
        <v>42</v>
      </c>
      <c r="J2299" s="1" t="s">
        <v>51</v>
      </c>
      <c r="K2299" s="1" t="s">
        <v>9484</v>
      </c>
      <c r="L2299" s="1" t="s">
        <v>13054</v>
      </c>
      <c r="M2299" s="2" t="s">
        <v>12</v>
      </c>
      <c r="N2299" s="4">
        <f t="shared" si="1"/>
        <v>44015</v>
      </c>
      <c r="O2299" s="5" t="str">
        <f>IFERROR(__xludf.DUMMYFUNCTION("IF(REGEXMATCH(TRIM(I2299), ""^\d+\s*min""), ""Unclassified"", IF(I2299 = """", ""NR"", I2299))"),"TV-MA")</f>
        <v>TV-MA</v>
      </c>
      <c r="R2299" s="5" t="str">
        <f t="shared" si="2"/>
        <v>Ju-On: Origins</v>
      </c>
      <c r="S2299" s="5" t="str">
        <f>IFERROR(__xludf.DUMMYFUNCTION("""COMPUTED_VALUE"""),"Even The Rain")</f>
        <v>Even The Rain</v>
      </c>
      <c r="U2299" s="5" t="str">
        <f>IFERROR(__xludf.DUMMYFUNCTION("""COMPUTED_VALUE"""),"Saji Surendran")</f>
        <v>Saji Surendran</v>
      </c>
      <c r="V2299" s="5" t="s">
        <v>13055</v>
      </c>
      <c r="W2299" s="5" t="str">
        <f t="shared" si="3"/>
        <v>Kireet Khurana, Padmakumar Narasimhamurthy</v>
      </c>
      <c r="X2299" s="5">
        <f t="shared" si="4"/>
        <v>1</v>
      </c>
      <c r="Y2299" s="5" t="str">
        <f>IFERROR(__xludf.DUMMYFUNCTION("REGEXEXTRACT(J2299, ""^\d+"")"),"1")</f>
        <v>1</v>
      </c>
      <c r="Z2299" s="5" t="str">
        <f>IFERROR(__xludf.DUMMYFUNCTION("REGEXEXTRACT(J2299, ""[A-Za-z ]+$"")")," Season")</f>
        <v> Season</v>
      </c>
      <c r="AA2299" s="5" t="str">
        <f>IFERROR(__xludf.DUMMYFUNCTION("IF(REGEXMATCH(Z2299, ""Season""), ""TV Show"", ""Movie"")"),"TV Show")</f>
        <v>TV Show</v>
      </c>
    </row>
    <row r="2300">
      <c r="A2300" s="1" t="s">
        <v>13056</v>
      </c>
      <c r="B2300" s="1" t="s">
        <v>37</v>
      </c>
      <c r="C2300" s="1" t="s">
        <v>13057</v>
      </c>
      <c r="F2300" s="1" t="s">
        <v>30</v>
      </c>
      <c r="G2300" s="1" t="s">
        <v>13029</v>
      </c>
      <c r="H2300" s="1">
        <v>2020.0</v>
      </c>
      <c r="I2300" s="1" t="s">
        <v>136</v>
      </c>
      <c r="J2300" s="1" t="s">
        <v>51</v>
      </c>
      <c r="K2300" s="1" t="s">
        <v>440</v>
      </c>
      <c r="L2300" s="1" t="s">
        <v>13058</v>
      </c>
      <c r="M2300" s="2" t="s">
        <v>12</v>
      </c>
      <c r="N2300" s="4">
        <f t="shared" si="1"/>
        <v>44015</v>
      </c>
      <c r="O2300" s="5" t="str">
        <f>IFERROR(__xludf.DUMMYFUNCTION("IF(REGEXMATCH(TRIM(I2300), ""^\d+\s*min""), ""Unclassified"", IF(I2300 = """", ""NR"", I2300))"),"TV-PG")</f>
        <v>TV-PG</v>
      </c>
      <c r="R2300" s="5" t="str">
        <f t="shared" si="2"/>
        <v>Southern Survival</v>
      </c>
      <c r="S2300" s="5" t="str">
        <f>IFERROR(__xludf.DUMMYFUNCTION("""COMPUTED_VALUE"""),"Evening Shadows")</f>
        <v>Evening Shadows</v>
      </c>
      <c r="U2300" s="5" t="str">
        <f>IFERROR(__xludf.DUMMYFUNCTION("""COMPUTED_VALUE"""),"Ksshitij Chaudhary")</f>
        <v>Ksshitij Chaudhary</v>
      </c>
      <c r="V2300" s="5" t="s">
        <v>13059</v>
      </c>
      <c r="W2300" s="5" t="str">
        <f t="shared" si="3"/>
        <v>Kirk De Micco, Chris Sanders</v>
      </c>
      <c r="X2300" s="5">
        <f t="shared" si="4"/>
        <v>1</v>
      </c>
      <c r="Y2300" s="5" t="str">
        <f>IFERROR(__xludf.DUMMYFUNCTION("REGEXEXTRACT(J2300, ""^\d+"")"),"1")</f>
        <v>1</v>
      </c>
      <c r="Z2300" s="5" t="str">
        <f>IFERROR(__xludf.DUMMYFUNCTION("REGEXEXTRACT(J2300, ""[A-Za-z ]+$"")")," Season")</f>
        <v> Season</v>
      </c>
      <c r="AA2300" s="5" t="str">
        <f>IFERROR(__xludf.DUMMYFUNCTION("IF(REGEXMATCH(Z2300, ""Season""), ""TV Show"", ""Movie"")"),"TV Show")</f>
        <v>TV Show</v>
      </c>
    </row>
    <row r="2301">
      <c r="A2301" s="1" t="s">
        <v>13060</v>
      </c>
      <c r="B2301" s="1" t="s">
        <v>37</v>
      </c>
      <c r="C2301" s="1" t="s">
        <v>13061</v>
      </c>
      <c r="E2301" s="1" t="s">
        <v>13062</v>
      </c>
      <c r="F2301" s="1" t="s">
        <v>30</v>
      </c>
      <c r="G2301" s="1" t="s">
        <v>13029</v>
      </c>
      <c r="H2301" s="1">
        <v>2020.0</v>
      </c>
      <c r="I2301" s="1" t="s">
        <v>506</v>
      </c>
      <c r="J2301" s="1" t="s">
        <v>51</v>
      </c>
      <c r="K2301" s="1" t="s">
        <v>10931</v>
      </c>
      <c r="L2301" s="1" t="s">
        <v>13063</v>
      </c>
      <c r="M2301" s="2" t="s">
        <v>12</v>
      </c>
      <c r="N2301" s="4">
        <f t="shared" si="1"/>
        <v>44015</v>
      </c>
      <c r="O2301" s="5" t="str">
        <f>IFERROR(__xludf.DUMMYFUNCTION("IF(REGEXMATCH(TRIM(I2301), ""^\d+\s*min""), ""Unclassified"", IF(I2301 = """", ""NR"", I2301))"),"TV-G")</f>
        <v>TV-G</v>
      </c>
      <c r="R2301" s="5" t="str">
        <f t="shared" si="2"/>
        <v>The Baby-Sitters Club</v>
      </c>
      <c r="S2301" s="5" t="str">
        <f>IFERROR(__xludf.DUMMYFUNCTION("""COMPUTED_VALUE"""),"Event Horizon")</f>
        <v>Event Horizon</v>
      </c>
      <c r="U2301" s="5" t="str">
        <f>IFERROR(__xludf.DUMMYFUNCTION("""COMPUTED_VALUE"""),"Sundar C.")</f>
        <v>Sundar C.</v>
      </c>
      <c r="V2301" s="5" t="s">
        <v>13064</v>
      </c>
      <c r="W2301" s="5" t="str">
        <f t="shared" si="3"/>
        <v>Kirk Demicco, Brandon Jeffords</v>
      </c>
      <c r="X2301" s="5">
        <f t="shared" si="4"/>
        <v>1</v>
      </c>
      <c r="Y2301" s="5" t="str">
        <f>IFERROR(__xludf.DUMMYFUNCTION("REGEXEXTRACT(J2301, ""^\d+"")"),"1")</f>
        <v>1</v>
      </c>
      <c r="Z2301" s="5" t="str">
        <f>IFERROR(__xludf.DUMMYFUNCTION("REGEXEXTRACT(J2301, ""[A-Za-z ]+$"")")," Season")</f>
        <v> Season</v>
      </c>
      <c r="AA2301" s="5" t="str">
        <f>IFERROR(__xludf.DUMMYFUNCTION("IF(REGEXMATCH(Z2301, ""Season""), ""TV Show"", ""Movie"")"),"TV Show")</f>
        <v>TV Show</v>
      </c>
    </row>
    <row r="2302">
      <c r="A2302" s="1" t="s">
        <v>13065</v>
      </c>
      <c r="B2302" s="1" t="s">
        <v>27</v>
      </c>
      <c r="C2302" s="1" t="s">
        <v>13066</v>
      </c>
      <c r="D2302" s="1" t="s">
        <v>13067</v>
      </c>
      <c r="E2302" s="1" t="s">
        <v>13068</v>
      </c>
      <c r="F2302" s="1" t="s">
        <v>13069</v>
      </c>
      <c r="G2302" s="1" t="s">
        <v>13029</v>
      </c>
      <c r="H2302" s="1">
        <v>2019.0</v>
      </c>
      <c r="I2302" s="1" t="s">
        <v>42</v>
      </c>
      <c r="J2302" s="1" t="s">
        <v>2216</v>
      </c>
      <c r="K2302" s="1" t="s">
        <v>583</v>
      </c>
      <c r="L2302" s="1" t="s">
        <v>13070</v>
      </c>
      <c r="M2302" s="2" t="s">
        <v>12</v>
      </c>
      <c r="N2302" s="4">
        <f t="shared" si="1"/>
        <v>44015</v>
      </c>
      <c r="O2302" s="5" t="str">
        <f>IFERROR(__xludf.DUMMYFUNCTION("IF(REGEXMATCH(TRIM(I2302), ""^\d+\s*min""), ""Unclassified"", IF(I2302 = """", ""NR"", I2302))"),"TV-MA")</f>
        <v>TV-MA</v>
      </c>
      <c r="R2302" s="5" t="str">
        <f t="shared" si="2"/>
        <v>The Perfect Picture: Ten Years Later</v>
      </c>
      <c r="S2302" s="5" t="str">
        <f>IFERROR(__xludf.DUMMYFUNCTION("""COMPUTED_VALUE"""),"Ever After High")</f>
        <v>Ever After High</v>
      </c>
      <c r="U2302" s="5" t="str">
        <f>IFERROR(__xludf.DUMMYFUNCTION("""COMPUTED_VALUE"""),"Gary Binkow")</f>
        <v>Gary Binkow</v>
      </c>
      <c r="V2302" s="5" t="s">
        <v>9225</v>
      </c>
      <c r="W2302" s="5" t="str">
        <f t="shared" si="3"/>
        <v>Kirk Wise</v>
      </c>
      <c r="X2302" s="5">
        <f t="shared" si="4"/>
        <v>1</v>
      </c>
      <c r="Y2302" s="5" t="str">
        <f>IFERROR(__xludf.DUMMYFUNCTION("REGEXEXTRACT(J2302, ""^\d+"")"),"148")</f>
        <v>148</v>
      </c>
      <c r="Z2302" s="5" t="str">
        <f>IFERROR(__xludf.DUMMYFUNCTION("REGEXEXTRACT(J2302, ""[A-Za-z ]+$"")")," min")</f>
        <v> min</v>
      </c>
      <c r="AA2302" s="5" t="str">
        <f>IFERROR(__xludf.DUMMYFUNCTION("IF(REGEXMATCH(Z2302, ""Season""), ""TV Show"", ""Movie"")"),"Movie")</f>
        <v>Movie</v>
      </c>
    </row>
    <row r="2303">
      <c r="A2303" s="1" t="s">
        <v>13071</v>
      </c>
      <c r="B2303" s="1" t="s">
        <v>37</v>
      </c>
      <c r="C2303" s="1" t="s">
        <v>13072</v>
      </c>
      <c r="F2303" s="1" t="s">
        <v>30</v>
      </c>
      <c r="G2303" s="1" t="s">
        <v>13073</v>
      </c>
      <c r="H2303" s="1">
        <v>1993.0</v>
      </c>
      <c r="I2303" s="1" t="s">
        <v>506</v>
      </c>
      <c r="J2303" s="1" t="s">
        <v>51</v>
      </c>
      <c r="K2303" s="1" t="s">
        <v>440</v>
      </c>
      <c r="L2303" s="1" t="s">
        <v>13074</v>
      </c>
      <c r="M2303" s="2" t="s">
        <v>12</v>
      </c>
      <c r="N2303" s="4">
        <f t="shared" si="1"/>
        <v>44014</v>
      </c>
      <c r="O2303" s="5" t="str">
        <f>IFERROR(__xludf.DUMMYFUNCTION("IF(REGEXMATCH(TRIM(I2303), ""^\d+\s*min""), ""Unclassified"", IF(I2303 = """", ""NR"", I2303))"),"TV-G")</f>
        <v>TV-G</v>
      </c>
      <c r="R2303" s="5" t="str">
        <f t="shared" si="2"/>
        <v>Supermarket Sweep</v>
      </c>
      <c r="S2303" s="5" t="str">
        <f>IFERROR(__xludf.DUMMYFUNCTION("""COMPUTED_VALUE"""),"Every Time I Die")</f>
        <v>Every Time I Die</v>
      </c>
      <c r="U2303" s="5" t="str">
        <f>IFERROR(__xludf.DUMMYFUNCTION("""COMPUTED_VALUE"""),"Nikhil Advani")</f>
        <v>Nikhil Advani</v>
      </c>
      <c r="V2303" s="5" t="s">
        <v>29</v>
      </c>
      <c r="W2303" s="5" t="str">
        <f t="shared" si="3"/>
        <v>Kirsten Johnson</v>
      </c>
      <c r="X2303" s="5">
        <f t="shared" si="4"/>
        <v>1</v>
      </c>
      <c r="Y2303" s="5" t="str">
        <f>IFERROR(__xludf.DUMMYFUNCTION("REGEXEXTRACT(J2303, ""^\d+"")"),"1")</f>
        <v>1</v>
      </c>
      <c r="Z2303" s="5" t="str">
        <f>IFERROR(__xludf.DUMMYFUNCTION("REGEXEXTRACT(J2303, ""[A-Za-z ]+$"")")," Season")</f>
        <v> Season</v>
      </c>
      <c r="AA2303" s="5" t="str">
        <f>IFERROR(__xludf.DUMMYFUNCTION("IF(REGEXMATCH(Z2303, ""Season""), ""TV Show"", ""Movie"")"),"TV Show")</f>
        <v>TV Show</v>
      </c>
    </row>
    <row r="2304">
      <c r="A2304" s="1" t="s">
        <v>13075</v>
      </c>
      <c r="B2304" s="1" t="s">
        <v>27</v>
      </c>
      <c r="C2304" s="1" t="s">
        <v>13076</v>
      </c>
      <c r="D2304" s="1" t="s">
        <v>7427</v>
      </c>
      <c r="E2304" s="1" t="s">
        <v>13077</v>
      </c>
      <c r="F2304" s="1" t="s">
        <v>1992</v>
      </c>
      <c r="G2304" s="1" t="s">
        <v>13073</v>
      </c>
      <c r="H2304" s="1">
        <v>2020.0</v>
      </c>
      <c r="I2304" s="1" t="s">
        <v>42</v>
      </c>
      <c r="J2304" s="1" t="s">
        <v>1001</v>
      </c>
      <c r="K2304" s="1" t="s">
        <v>1839</v>
      </c>
      <c r="L2304" s="1" t="s">
        <v>13078</v>
      </c>
      <c r="M2304" s="2" t="s">
        <v>12</v>
      </c>
      <c r="N2304" s="4">
        <f t="shared" si="1"/>
        <v>44014</v>
      </c>
      <c r="O2304" s="5" t="str">
        <f>IFERROR(__xludf.DUMMYFUNCTION("IF(REGEXMATCH(TRIM(I2304), ""^\d+\s*min""), ""Unclassified"", IF(I2304 = """", ""NR"", I2304))"),"TV-MA")</f>
        <v>TV-MA</v>
      </c>
      <c r="R2304" s="5" t="str">
        <f t="shared" si="2"/>
        <v>Thiago Ventura: Pokas</v>
      </c>
      <c r="S2304" s="5" t="str">
        <f>IFERROR(__xludf.DUMMYFUNCTION("""COMPUTED_VALUE"""),"Everybody Knows")</f>
        <v>Everybody Knows</v>
      </c>
      <c r="U2304" s="5" t="str">
        <f>IFERROR(__xludf.DUMMYFUNCTION("""COMPUTED_VALUE"""),"Navinder Pal Singh")</f>
        <v>Navinder Pal Singh</v>
      </c>
      <c r="V2304" s="5" t="s">
        <v>13079</v>
      </c>
      <c r="W2304" s="5" t="str">
        <f t="shared" si="3"/>
        <v>Kitaro Kosaka</v>
      </c>
      <c r="X2304" s="5">
        <f t="shared" si="4"/>
        <v>1</v>
      </c>
      <c r="Y2304" s="5" t="str">
        <f>IFERROR(__xludf.DUMMYFUNCTION("REGEXEXTRACT(J2304, ""^\d+"")"),"82")</f>
        <v>82</v>
      </c>
      <c r="Z2304" s="5" t="str">
        <f>IFERROR(__xludf.DUMMYFUNCTION("REGEXEXTRACT(J2304, ""[A-Za-z ]+$"")")," min")</f>
        <v> min</v>
      </c>
      <c r="AA2304" s="5" t="str">
        <f>IFERROR(__xludf.DUMMYFUNCTION("IF(REGEXMATCH(Z2304, ""Season""), ""TV Show"", ""Movie"")"),"Movie")</f>
        <v>Movie</v>
      </c>
    </row>
    <row r="2305">
      <c r="A2305" s="1" t="s">
        <v>13080</v>
      </c>
      <c r="B2305" s="1" t="s">
        <v>37</v>
      </c>
      <c r="C2305" s="1" t="s">
        <v>13081</v>
      </c>
      <c r="E2305" s="1" t="s">
        <v>13082</v>
      </c>
      <c r="F2305" s="1" t="s">
        <v>30</v>
      </c>
      <c r="G2305" s="1" t="s">
        <v>13073</v>
      </c>
      <c r="H2305" s="1">
        <v>2020.0</v>
      </c>
      <c r="I2305" s="1" t="s">
        <v>42</v>
      </c>
      <c r="J2305" s="1" t="s">
        <v>51</v>
      </c>
      <c r="K2305" s="1" t="s">
        <v>12476</v>
      </c>
      <c r="L2305" s="1" t="s">
        <v>13083</v>
      </c>
      <c r="M2305" s="2" t="s">
        <v>12</v>
      </c>
      <c r="N2305" s="4">
        <f t="shared" si="1"/>
        <v>44014</v>
      </c>
      <c r="O2305" s="5" t="str">
        <f>IFERROR(__xludf.DUMMYFUNCTION("IF(REGEXMATCH(TRIM(I2305), ""^\d+\s*min""), ""Unclassified"", IF(I2305 = """", ""NR"", I2305))"),"TV-MA")</f>
        <v>TV-MA</v>
      </c>
      <c r="R2305" s="5" t="str">
        <f t="shared" si="2"/>
        <v>Warrior Nun</v>
      </c>
      <c r="S2305" s="5" t="str">
        <f>IFERROR(__xludf.DUMMYFUNCTION("""COMPUTED_VALUE"""),"Everyday I Love You")</f>
        <v>Everyday I Love You</v>
      </c>
      <c r="U2305" s="5" t="str">
        <f>IFERROR(__xludf.DUMMYFUNCTION("""COMPUTED_VALUE"""),"Kunal Deshmukh")</f>
        <v>Kunal Deshmukh</v>
      </c>
      <c r="V2305" s="5" t="s">
        <v>13084</v>
      </c>
      <c r="W2305" s="5" t="str">
        <f t="shared" si="3"/>
        <v>Kittiphak Thonguam</v>
      </c>
      <c r="X2305" s="5">
        <f t="shared" si="4"/>
        <v>1</v>
      </c>
      <c r="Y2305" s="5" t="str">
        <f>IFERROR(__xludf.DUMMYFUNCTION("REGEXEXTRACT(J2305, ""^\d+"")"),"1")</f>
        <v>1</v>
      </c>
      <c r="Z2305" s="5" t="str">
        <f>IFERROR(__xludf.DUMMYFUNCTION("REGEXEXTRACT(J2305, ""[A-Za-z ]+$"")")," Season")</f>
        <v> Season</v>
      </c>
      <c r="AA2305" s="5" t="str">
        <f>IFERROR(__xludf.DUMMYFUNCTION("IF(REGEXMATCH(Z2305, ""Season""), ""TV Show"", ""Movie"")"),"TV Show")</f>
        <v>TV Show</v>
      </c>
    </row>
    <row r="2306">
      <c r="A2306" s="1" t="s">
        <v>13085</v>
      </c>
      <c r="B2306" s="1" t="s">
        <v>27</v>
      </c>
      <c r="C2306" s="1" t="s">
        <v>13086</v>
      </c>
      <c r="D2306" s="1" t="s">
        <v>13087</v>
      </c>
      <c r="E2306" s="1" t="s">
        <v>13088</v>
      </c>
      <c r="F2306" s="1" t="s">
        <v>1779</v>
      </c>
      <c r="G2306" s="1" t="s">
        <v>13089</v>
      </c>
      <c r="H2306" s="1">
        <v>2019.0</v>
      </c>
      <c r="I2306" s="1" t="s">
        <v>97</v>
      </c>
      <c r="J2306" s="1" t="s">
        <v>465</v>
      </c>
      <c r="K2306" s="1" t="s">
        <v>156</v>
      </c>
      <c r="L2306" s="1" t="s">
        <v>13090</v>
      </c>
      <c r="M2306" s="2" t="s">
        <v>12</v>
      </c>
      <c r="N2306" s="4">
        <f t="shared" si="1"/>
        <v>44013</v>
      </c>
      <c r="O2306" s="5" t="str">
        <f>IFERROR(__xludf.DUMMYFUNCTION("IF(REGEXMATCH(TRIM(I2306), ""^\d+\s*min""), ""Unclassified"", IF(I2306 = """", ""NR"", I2306))"),"TV-14")</f>
        <v>TV-14</v>
      </c>
      <c r="R2306" s="5" t="str">
        <f t="shared" si="2"/>
        <v>#Annefrank - Parallel Stories</v>
      </c>
      <c r="S2306" s="5" t="str">
        <f>IFERROR(__xludf.DUMMYFUNCTION("""COMPUTED_VALUE"""),"Everyday Miracles")</f>
        <v>Everyday Miracles</v>
      </c>
      <c r="U2306" s="5" t="str">
        <f>IFERROR(__xludf.DUMMYFUNCTION("""COMPUTED_VALUE"""),"R. Kannan")</f>
        <v>R. Kannan</v>
      </c>
      <c r="V2306" s="5" t="s">
        <v>13091</v>
      </c>
      <c r="W2306" s="5" t="str">
        <f t="shared" si="3"/>
        <v>Kitty Green</v>
      </c>
      <c r="X2306" s="5">
        <f t="shared" si="4"/>
        <v>1</v>
      </c>
      <c r="Y2306" s="5" t="str">
        <f>IFERROR(__xludf.DUMMYFUNCTION("REGEXEXTRACT(J2306, ""^\d+"")"),"95")</f>
        <v>95</v>
      </c>
      <c r="Z2306" s="5" t="str">
        <f>IFERROR(__xludf.DUMMYFUNCTION("REGEXEXTRACT(J2306, ""[A-Za-z ]+$"")")," min")</f>
        <v> min</v>
      </c>
      <c r="AA2306" s="5" t="str">
        <f>IFERROR(__xludf.DUMMYFUNCTION("IF(REGEXMATCH(Z2306, ""Season""), ""TV Show"", ""Movie"")"),"Movie")</f>
        <v>Movie</v>
      </c>
    </row>
    <row r="2307">
      <c r="A2307" s="1" t="s">
        <v>13092</v>
      </c>
      <c r="B2307" s="1" t="s">
        <v>37</v>
      </c>
      <c r="C2307" s="1" t="s">
        <v>13093</v>
      </c>
      <c r="E2307" s="1" t="s">
        <v>13094</v>
      </c>
      <c r="F2307" s="1" t="s">
        <v>96</v>
      </c>
      <c r="G2307" s="1" t="s">
        <v>13089</v>
      </c>
      <c r="H2307" s="1">
        <v>2019.0</v>
      </c>
      <c r="I2307" s="1" t="s">
        <v>42</v>
      </c>
      <c r="J2307" s="1" t="s">
        <v>51</v>
      </c>
      <c r="K2307" s="1" t="s">
        <v>99</v>
      </c>
      <c r="L2307" s="1" t="s">
        <v>13095</v>
      </c>
      <c r="M2307" s="2" t="s">
        <v>12</v>
      </c>
      <c r="N2307" s="4">
        <f t="shared" si="1"/>
        <v>44013</v>
      </c>
      <c r="O2307" s="5" t="str">
        <f>IFERROR(__xludf.DUMMYFUNCTION("IF(REGEXMATCH(TRIM(I2307), ""^\d+\s*min""), ""Unclassified"", IF(I2307 = """", ""NR"", I2307))"),"TV-MA")</f>
        <v>TV-MA</v>
      </c>
      <c r="R2307" s="5" t="str">
        <f t="shared" si="2"/>
        <v>21 Again</v>
      </c>
      <c r="S2307" s="5" t="str">
        <f>IFERROR(__xludf.DUMMYFUNCTION("""COMPUTED_VALUE"""),"Everything About Her")</f>
        <v>Everything About Her</v>
      </c>
      <c r="U2307" s="5" t="str">
        <f>IFERROR(__xludf.DUMMYFUNCTION("""COMPUTED_VALUE"""),"Gaurav Narayanan")</f>
        <v>Gaurav Narayanan</v>
      </c>
      <c r="V2307" s="5" t="s">
        <v>5902</v>
      </c>
      <c r="W2307" s="5" t="str">
        <f t="shared" si="3"/>
        <v>Kıvanç Baruönü</v>
      </c>
      <c r="X2307" s="5">
        <f t="shared" si="4"/>
        <v>5</v>
      </c>
      <c r="Y2307" s="5" t="str">
        <f>IFERROR(__xludf.DUMMYFUNCTION("REGEXEXTRACT(J2307, ""^\d+"")"),"1")</f>
        <v>1</v>
      </c>
      <c r="Z2307" s="5" t="str">
        <f>IFERROR(__xludf.DUMMYFUNCTION("REGEXEXTRACT(J2307, ""[A-Za-z ]+$"")")," Season")</f>
        <v> Season</v>
      </c>
      <c r="AA2307" s="5" t="str">
        <f>IFERROR(__xludf.DUMMYFUNCTION("IF(REGEXMATCH(Z2307, ""Season""), ""TV Show"", ""Movie"")"),"TV Show")</f>
        <v>TV Show</v>
      </c>
    </row>
    <row r="2308">
      <c r="A2308" s="1" t="s">
        <v>13096</v>
      </c>
      <c r="B2308" s="1" t="s">
        <v>37</v>
      </c>
      <c r="C2308" s="1" t="s">
        <v>13097</v>
      </c>
      <c r="E2308" s="1" t="s">
        <v>13098</v>
      </c>
      <c r="F2308" s="1" t="s">
        <v>2059</v>
      </c>
      <c r="G2308" s="1" t="s">
        <v>13089</v>
      </c>
      <c r="H2308" s="1">
        <v>2016.0</v>
      </c>
      <c r="I2308" s="1" t="s">
        <v>42</v>
      </c>
      <c r="J2308" s="1" t="s">
        <v>51</v>
      </c>
      <c r="K2308" s="1" t="s">
        <v>402</v>
      </c>
      <c r="L2308" s="1" t="s">
        <v>13099</v>
      </c>
      <c r="M2308" s="2" t="s">
        <v>12</v>
      </c>
      <c r="N2308" s="4">
        <f t="shared" si="1"/>
        <v>44013</v>
      </c>
      <c r="O2308" s="5" t="str">
        <f>IFERROR(__xludf.DUMMYFUNCTION("IF(REGEXMATCH(TRIM(I2308), ""^\d+\s*min""), ""Unclassified"", IF(I2308 = """", ""NR"", I2308))"),"TV-MA")</f>
        <v>TV-MA</v>
      </c>
      <c r="R2308" s="5" t="str">
        <f t="shared" si="2"/>
        <v>A Touch Of Green</v>
      </c>
      <c r="S2308" s="5" t="str">
        <f>IFERROR(__xludf.DUMMYFUNCTION("""COMPUTED_VALUE"""),"Everything Sucks!")</f>
        <v>Everything Sucks!</v>
      </c>
      <c r="U2308" s="5" t="str">
        <f>IFERROR(__xludf.DUMMYFUNCTION("""COMPUTED_VALUE"""),"Kevin Layne")</f>
        <v>Kevin Layne</v>
      </c>
      <c r="V2308" s="5" t="s">
        <v>13100</v>
      </c>
      <c r="W2308" s="5" t="str">
        <f t="shared" si="3"/>
        <v>Kobun Shizuno, Hiroyuki Seshita</v>
      </c>
      <c r="X2308" s="5">
        <f t="shared" si="4"/>
        <v>3</v>
      </c>
      <c r="Y2308" s="5" t="str">
        <f>IFERROR(__xludf.DUMMYFUNCTION("REGEXEXTRACT(J2308, ""^\d+"")"),"1")</f>
        <v>1</v>
      </c>
      <c r="Z2308" s="5" t="str">
        <f>IFERROR(__xludf.DUMMYFUNCTION("REGEXEXTRACT(J2308, ""[A-Za-z ]+$"")")," Season")</f>
        <v> Season</v>
      </c>
      <c r="AA2308" s="5" t="str">
        <f>IFERROR(__xludf.DUMMYFUNCTION("IF(REGEXMATCH(Z2308, ""Season""), ""TV Show"", ""Movie"")"),"TV Show")</f>
        <v>TV Show</v>
      </c>
    </row>
    <row r="2309">
      <c r="A2309" s="1" t="s">
        <v>13101</v>
      </c>
      <c r="B2309" s="1" t="s">
        <v>37</v>
      </c>
      <c r="C2309" s="1" t="s">
        <v>13102</v>
      </c>
      <c r="D2309" s="1" t="s">
        <v>13103</v>
      </c>
      <c r="E2309" s="1" t="s">
        <v>13104</v>
      </c>
      <c r="F2309" s="1" t="s">
        <v>897</v>
      </c>
      <c r="G2309" s="1" t="s">
        <v>13089</v>
      </c>
      <c r="H2309" s="1">
        <v>2019.0</v>
      </c>
      <c r="I2309" s="1" t="s">
        <v>206</v>
      </c>
      <c r="J2309" s="1" t="s">
        <v>51</v>
      </c>
      <c r="K2309" s="1" t="s">
        <v>290</v>
      </c>
      <c r="L2309" s="1" t="s">
        <v>13105</v>
      </c>
      <c r="M2309" s="2" t="s">
        <v>12</v>
      </c>
      <c r="N2309" s="4">
        <f t="shared" si="1"/>
        <v>44013</v>
      </c>
      <c r="O2309" s="5" t="str">
        <f>IFERROR(__xludf.DUMMYFUNCTION("IF(REGEXMATCH(TRIM(I2309), ""^\d+\s*min""), ""Unclassified"", IF(I2309 = """", ""NR"", I2309))"),"TV-Y")</f>
        <v>TV-Y</v>
      </c>
      <c r="R2309" s="5" t="str">
        <f t="shared" si="2"/>
        <v>Abby Hatcher</v>
      </c>
      <c r="S2309" s="5" t="str">
        <f>IFERROR(__xludf.DUMMYFUNCTION("""COMPUTED_VALUE"""),"Everything Will Be Fine")</f>
        <v>Everything Will Be Fine</v>
      </c>
      <c r="U2309" s="5" t="str">
        <f>IFERROR(__xludf.DUMMYFUNCTION("""COMPUTED_VALUE"""),"Jennifer M. Kroot")</f>
        <v>Jennifer M. Kroot</v>
      </c>
      <c r="V2309" s="5" t="s">
        <v>5917</v>
      </c>
      <c r="W2309" s="5" t="str">
        <f t="shared" si="3"/>
        <v>Kongkiat Khomsiri</v>
      </c>
      <c r="X2309" s="5">
        <f t="shared" si="4"/>
        <v>1</v>
      </c>
      <c r="Y2309" s="5" t="str">
        <f>IFERROR(__xludf.DUMMYFUNCTION("REGEXEXTRACT(J2309, ""^\d+"")"),"1")</f>
        <v>1</v>
      </c>
      <c r="Z2309" s="5" t="str">
        <f>IFERROR(__xludf.DUMMYFUNCTION("REGEXEXTRACT(J2309, ""[A-Za-z ]+$"")")," Season")</f>
        <v> Season</v>
      </c>
      <c r="AA2309" s="5" t="str">
        <f>IFERROR(__xludf.DUMMYFUNCTION("IF(REGEXMATCH(Z2309, ""Season""), ""TV Show"", ""Movie"")"),"TV Show")</f>
        <v>TV Show</v>
      </c>
    </row>
    <row r="2310">
      <c r="A2310" s="1" t="s">
        <v>13106</v>
      </c>
      <c r="B2310" s="1" t="s">
        <v>27</v>
      </c>
      <c r="C2310" s="1" t="s">
        <v>13107</v>
      </c>
      <c r="D2310" s="1" t="s">
        <v>13108</v>
      </c>
      <c r="E2310" s="1" t="s">
        <v>13109</v>
      </c>
      <c r="F2310" s="1" t="s">
        <v>784</v>
      </c>
      <c r="G2310" s="1" t="s">
        <v>13089</v>
      </c>
      <c r="H2310" s="1">
        <v>2020.0</v>
      </c>
      <c r="I2310" s="1" t="s">
        <v>42</v>
      </c>
      <c r="J2310" s="1" t="s">
        <v>985</v>
      </c>
      <c r="K2310" s="1" t="s">
        <v>128</v>
      </c>
      <c r="L2310" s="1" t="s">
        <v>13110</v>
      </c>
      <c r="M2310" s="2" t="s">
        <v>12</v>
      </c>
      <c r="N2310" s="4">
        <f t="shared" si="1"/>
        <v>44013</v>
      </c>
      <c r="O2310" s="5" t="str">
        <f>IFERROR(__xludf.DUMMYFUNCTION("IF(REGEXMATCH(TRIM(I2310), ""^\d+\s*min""), ""Unclassified"", IF(I2310 = """", ""NR"", I2310))"),"TV-MA")</f>
        <v>TV-MA</v>
      </c>
      <c r="R2310" s="5" t="str">
        <f t="shared" si="2"/>
        <v>Adú</v>
      </c>
      <c r="S2310" s="5" t="str">
        <f>IFERROR(__xludf.DUMMYFUNCTION("""COMPUTED_VALUE"""),"Evil")</f>
        <v>Evil</v>
      </c>
      <c r="U2310" s="5" t="str">
        <f>IFERROR(__xludf.DUMMYFUNCTION("""COMPUTED_VALUE"""),"Akin Omotoso")</f>
        <v>Akin Omotoso</v>
      </c>
      <c r="V2310" s="5" t="s">
        <v>117</v>
      </c>
      <c r="W2310" s="5" t="str">
        <f t="shared" si="3"/>
        <v>Kongkiat Komesiri</v>
      </c>
      <c r="X2310" s="5">
        <f t="shared" si="4"/>
        <v>1</v>
      </c>
      <c r="Y2310" s="5" t="str">
        <f>IFERROR(__xludf.DUMMYFUNCTION("REGEXEXTRACT(J2310, ""^\d+"")"),"120")</f>
        <v>120</v>
      </c>
      <c r="Z2310" s="5" t="str">
        <f>IFERROR(__xludf.DUMMYFUNCTION("REGEXEXTRACT(J2310, ""[A-Za-z ]+$"")")," min")</f>
        <v> min</v>
      </c>
      <c r="AA2310" s="5" t="str">
        <f>IFERROR(__xludf.DUMMYFUNCTION("IF(REGEXMATCH(Z2310, ""Season""), ""TV Show"", ""Movie"")"),"Movie")</f>
        <v>Movie</v>
      </c>
    </row>
    <row r="2311">
      <c r="A2311" s="1" t="s">
        <v>13111</v>
      </c>
      <c r="B2311" s="1" t="s">
        <v>27</v>
      </c>
      <c r="C2311" s="1" t="s">
        <v>13112</v>
      </c>
      <c r="D2311" s="1" t="s">
        <v>4304</v>
      </c>
      <c r="E2311" s="1" t="s">
        <v>13113</v>
      </c>
      <c r="F2311" s="1" t="s">
        <v>188</v>
      </c>
      <c r="G2311" s="1" t="s">
        <v>13089</v>
      </c>
      <c r="H2311" s="1">
        <v>2015.0</v>
      </c>
      <c r="I2311" s="1" t="s">
        <v>42</v>
      </c>
      <c r="J2311" s="1" t="s">
        <v>379</v>
      </c>
      <c r="K2311" s="1" t="s">
        <v>1328</v>
      </c>
      <c r="L2311" s="1" t="s">
        <v>13114</v>
      </c>
      <c r="M2311" s="2" t="s">
        <v>12</v>
      </c>
      <c r="N2311" s="4">
        <f t="shared" si="1"/>
        <v>44013</v>
      </c>
      <c r="O2311" s="5" t="str">
        <f>IFERROR(__xludf.DUMMYFUNCTION("IF(REGEXMATCH(TRIM(I2311), ""^\d+\s*min""), ""Unclassified"", IF(I2311 = """", ""NR"", I2311))"),"TV-MA")</f>
        <v>TV-MA</v>
      </c>
      <c r="R2311" s="5" t="str">
        <f t="shared" si="2"/>
        <v>Ali Baba Ve 7 Cüceler</v>
      </c>
      <c r="S2311" s="5" t="str">
        <f>IFERROR(__xludf.DUMMYFUNCTION("""COMPUTED_VALUE"""),"Evil Genius")</f>
        <v>Evil Genius</v>
      </c>
      <c r="U2311" s="5" t="str">
        <f>IFERROR(__xludf.DUMMYFUNCTION("""COMPUTED_VALUE"""),"Dani De La Torre")</f>
        <v>Dani De La Torre</v>
      </c>
      <c r="V2311" s="5" t="s">
        <v>8441</v>
      </c>
      <c r="W2311" s="5" t="str">
        <f t="shared" si="3"/>
        <v>Kornél Mundruczó</v>
      </c>
      <c r="X2311" s="5">
        <f t="shared" si="4"/>
        <v>1</v>
      </c>
      <c r="Y2311" s="5" t="str">
        <f>IFERROR(__xludf.DUMMYFUNCTION("REGEXEXTRACT(J2311, ""^\d+"")"),"115")</f>
        <v>115</v>
      </c>
      <c r="Z2311" s="5" t="str">
        <f>IFERROR(__xludf.DUMMYFUNCTION("REGEXEXTRACT(J2311, ""[A-Za-z ]+$"")")," min")</f>
        <v> min</v>
      </c>
      <c r="AA2311" s="5" t="str">
        <f>IFERROR(__xludf.DUMMYFUNCTION("IF(REGEXMATCH(Z2311, ""Season""), ""TV Show"", ""Movie"")"),"Movie")</f>
        <v>Movie</v>
      </c>
    </row>
    <row r="2312">
      <c r="A2312" s="1" t="s">
        <v>13115</v>
      </c>
      <c r="B2312" s="1" t="s">
        <v>27</v>
      </c>
      <c r="C2312" s="1" t="s">
        <v>13116</v>
      </c>
      <c r="D2312" s="1" t="s">
        <v>3010</v>
      </c>
      <c r="E2312" s="1" t="s">
        <v>13117</v>
      </c>
      <c r="F2312" s="1" t="s">
        <v>1106</v>
      </c>
      <c r="G2312" s="1" t="s">
        <v>13089</v>
      </c>
      <c r="H2312" s="1">
        <v>2019.0</v>
      </c>
      <c r="I2312" s="1" t="s">
        <v>42</v>
      </c>
      <c r="J2312" s="1" t="s">
        <v>1256</v>
      </c>
      <c r="K2312" s="1" t="s">
        <v>700</v>
      </c>
      <c r="L2312" s="1" t="s">
        <v>13118</v>
      </c>
      <c r="M2312" s="2" t="s">
        <v>12</v>
      </c>
      <c r="N2312" s="4">
        <f t="shared" si="1"/>
        <v>44013</v>
      </c>
      <c r="O2312" s="5" t="str">
        <f>IFERROR(__xludf.DUMMYFUNCTION("IF(REGEXMATCH(TRIM(I2312), ""^\d+\s*min""), ""Unclassified"", IF(I2312 = """", ""NR"", I2312))"),"TV-MA")</f>
        <v>TV-MA</v>
      </c>
      <c r="R2312" s="5" t="str">
        <f t="shared" si="2"/>
        <v>David Foster: Off The Record</v>
      </c>
      <c r="S2312" s="5" t="str">
        <f>IFERROR(__xludf.DUMMYFUNCTION("""COMPUTED_VALUE"""),"Evolution")</f>
        <v>Evolution</v>
      </c>
      <c r="U2312" s="5" t="str">
        <f>IFERROR(__xludf.DUMMYFUNCTION("""COMPUTED_VALUE"""),"Tinge Krishnan")</f>
        <v>Tinge Krishnan</v>
      </c>
      <c r="V2312" s="5" t="s">
        <v>13119</v>
      </c>
      <c r="W2312" s="5" t="str">
        <f t="shared" si="3"/>
        <v>Kranthi Madhav</v>
      </c>
      <c r="X2312" s="5">
        <f t="shared" si="4"/>
        <v>1</v>
      </c>
      <c r="Y2312" s="5" t="str">
        <f>IFERROR(__xludf.DUMMYFUNCTION("REGEXEXTRACT(J2312, ""^\d+"")"),"107")</f>
        <v>107</v>
      </c>
      <c r="Z2312" s="5" t="str">
        <f>IFERROR(__xludf.DUMMYFUNCTION("REGEXEXTRACT(J2312, ""[A-Za-z ]+$"")")," min")</f>
        <v> min</v>
      </c>
      <c r="AA2312" s="5" t="str">
        <f>IFERROR(__xludf.DUMMYFUNCTION("IF(REGEXMATCH(Z2312, ""Season""), ""TV Show"", ""Movie"")"),"Movie")</f>
        <v>Movie</v>
      </c>
    </row>
    <row r="2313">
      <c r="A2313" s="1" t="s">
        <v>13120</v>
      </c>
      <c r="B2313" s="1" t="s">
        <v>27</v>
      </c>
      <c r="C2313" s="1" t="s">
        <v>13121</v>
      </c>
      <c r="D2313" s="1" t="s">
        <v>3894</v>
      </c>
      <c r="E2313" s="1" t="s">
        <v>13122</v>
      </c>
      <c r="F2313" s="1" t="s">
        <v>3775</v>
      </c>
      <c r="G2313" s="1" t="s">
        <v>13089</v>
      </c>
      <c r="H2313" s="1">
        <v>1999.0</v>
      </c>
      <c r="I2313" s="1" t="s">
        <v>378</v>
      </c>
      <c r="J2313" s="1" t="s">
        <v>305</v>
      </c>
      <c r="K2313" s="1" t="s">
        <v>171</v>
      </c>
      <c r="L2313" s="1" t="s">
        <v>13123</v>
      </c>
      <c r="M2313" s="2" t="s">
        <v>12</v>
      </c>
      <c r="N2313" s="4">
        <f t="shared" si="1"/>
        <v>44013</v>
      </c>
      <c r="O2313" s="5" t="str">
        <f>IFERROR(__xludf.DUMMYFUNCTION("IF(REGEXMATCH(TRIM(I2313), ""^\d+\s*min""), ""Unclassified"", IF(I2313 = """", ""NR"", I2313))"),"R")</f>
        <v>R</v>
      </c>
      <c r="R2313" s="5" t="str">
        <f t="shared" si="2"/>
        <v>Double Jeopardy</v>
      </c>
      <c r="S2313" s="5" t="str">
        <f>IFERROR(__xludf.DUMMYFUNCTION("""COMPUTED_VALUE"""),"Evvarikee Cheppoddu")</f>
        <v>Evvarikee Cheppoddu</v>
      </c>
      <c r="U2313" s="5" t="str">
        <f>IFERROR(__xludf.DUMMYFUNCTION("""COMPUTED_VALUE"""),"Aleksey German")</f>
        <v>Aleksey German</v>
      </c>
      <c r="V2313" s="5" t="s">
        <v>13124</v>
      </c>
      <c r="W2313" s="5" t="str">
        <f t="shared" si="3"/>
        <v>Kranti Kanade</v>
      </c>
      <c r="X2313" s="5">
        <f t="shared" si="4"/>
        <v>1</v>
      </c>
      <c r="Y2313" s="5" t="str">
        <f>IFERROR(__xludf.DUMMYFUNCTION("REGEXEXTRACT(J2313, ""^\d+"")"),"105")</f>
        <v>105</v>
      </c>
      <c r="Z2313" s="5" t="str">
        <f>IFERROR(__xludf.DUMMYFUNCTION("REGEXEXTRACT(J2313, ""[A-Za-z ]+$"")")," min")</f>
        <v> min</v>
      </c>
      <c r="AA2313" s="5" t="str">
        <f>IFERROR(__xludf.DUMMYFUNCTION("IF(REGEXMATCH(Z2313, ""Season""), ""TV Show"", ""Movie"")"),"Movie")</f>
        <v>Movie</v>
      </c>
    </row>
    <row r="2314">
      <c r="A2314" s="1" t="s">
        <v>13125</v>
      </c>
      <c r="B2314" s="1" t="s">
        <v>27</v>
      </c>
      <c r="C2314" s="1" t="s">
        <v>13126</v>
      </c>
      <c r="D2314" s="1" t="s">
        <v>4304</v>
      </c>
      <c r="E2314" s="1" t="s">
        <v>13127</v>
      </c>
      <c r="F2314" s="1" t="s">
        <v>188</v>
      </c>
      <c r="G2314" s="1" t="s">
        <v>13089</v>
      </c>
      <c r="H2314" s="1">
        <v>2014.0</v>
      </c>
      <c r="I2314" s="1" t="s">
        <v>42</v>
      </c>
      <c r="J2314" s="1" t="s">
        <v>7413</v>
      </c>
      <c r="K2314" s="1" t="s">
        <v>199</v>
      </c>
      <c r="L2314" s="1" t="s">
        <v>13128</v>
      </c>
      <c r="M2314" s="2" t="s">
        <v>12</v>
      </c>
      <c r="N2314" s="4">
        <f t="shared" si="1"/>
        <v>44013</v>
      </c>
      <c r="O2314" s="5" t="str">
        <f>IFERROR(__xludf.DUMMYFUNCTION("IF(REGEXMATCH(TRIM(I2314), ""^\d+\s*min""), ""Unclassified"", IF(I2314 = """", ""NR"", I2314))"),"TV-MA")</f>
        <v>TV-MA</v>
      </c>
      <c r="R2314" s="5" t="str">
        <f t="shared" si="2"/>
        <v>Pek Yakında</v>
      </c>
      <c r="S2314" s="5" t="str">
        <f>IFERROR(__xludf.DUMMYFUNCTION("""COMPUTED_VALUE"""),"Ex Machina")</f>
        <v>Ex Machina</v>
      </c>
      <c r="U2314" s="5" t="str">
        <f>IFERROR(__xludf.DUMMYFUNCTION("""COMPUTED_VALUE"""),"Sergio Barrejón")</f>
        <v>Sergio Barrejón</v>
      </c>
      <c r="V2314" s="5" t="s">
        <v>13129</v>
      </c>
      <c r="W2314" s="5" t="str">
        <f t="shared" si="3"/>
        <v>Kranti Redkar</v>
      </c>
      <c r="X2314" s="5">
        <f t="shared" si="4"/>
        <v>1</v>
      </c>
      <c r="Y2314" s="5" t="str">
        <f>IFERROR(__xludf.DUMMYFUNCTION("REGEXEXTRACT(J2314, ""^\d+"")"),"134")</f>
        <v>134</v>
      </c>
      <c r="Z2314" s="5" t="str">
        <f>IFERROR(__xludf.DUMMYFUNCTION("REGEXEXTRACT(J2314, ""[A-Za-z ]+$"")")," min")</f>
        <v> min</v>
      </c>
      <c r="AA2314" s="5" t="str">
        <f>IFERROR(__xludf.DUMMYFUNCTION("IF(REGEXMATCH(Z2314, ""Season""), ""TV Show"", ""Movie"")"),"Movie")</f>
        <v>Movie</v>
      </c>
    </row>
    <row r="2315">
      <c r="A2315" s="1" t="s">
        <v>13130</v>
      </c>
      <c r="B2315" s="1" t="s">
        <v>37</v>
      </c>
      <c r="C2315" s="1" t="s">
        <v>13131</v>
      </c>
      <c r="E2315" s="1" t="s">
        <v>13132</v>
      </c>
      <c r="F2315" s="1" t="s">
        <v>30</v>
      </c>
      <c r="G2315" s="1" t="s">
        <v>13089</v>
      </c>
      <c r="H2315" s="1">
        <v>2020.0</v>
      </c>
      <c r="I2315" s="1" t="s">
        <v>97</v>
      </c>
      <c r="J2315" s="1" t="s">
        <v>51</v>
      </c>
      <c r="K2315" s="1" t="s">
        <v>4008</v>
      </c>
      <c r="L2315" s="1" t="s">
        <v>13133</v>
      </c>
      <c r="M2315" s="2" t="s">
        <v>12</v>
      </c>
      <c r="N2315" s="4">
        <f t="shared" si="1"/>
        <v>44013</v>
      </c>
      <c r="O2315" s="5" t="str">
        <f>IFERROR(__xludf.DUMMYFUNCTION("IF(REGEXMATCH(TRIM(I2315), ""^\d+\s*min""), ""Unclassified"", IF(I2315 = """", ""NR"", I2315))"),"TV-14")</f>
        <v>TV-14</v>
      </c>
      <c r="R2315" s="5" t="str">
        <f t="shared" si="2"/>
        <v>Say I Do</v>
      </c>
      <c r="S2315" s="5" t="str">
        <f>IFERROR(__xludf.DUMMYFUNCTION("""COMPUTED_VALUE"""),"Ex-Boyfriend")</f>
        <v>Ex-Boyfriend</v>
      </c>
      <c r="U2315" s="5" t="str">
        <f>IFERROR(__xludf.DUMMYFUNCTION("""COMPUTED_VALUE"""),"Sandi Tan")</f>
        <v>Sandi Tan</v>
      </c>
      <c r="V2315" s="5" t="s">
        <v>13134</v>
      </c>
      <c r="W2315" s="5" t="str">
        <f t="shared" si="3"/>
        <v>Kris Pearn</v>
      </c>
      <c r="X2315" s="5">
        <f t="shared" si="4"/>
        <v>1</v>
      </c>
      <c r="Y2315" s="5" t="str">
        <f>IFERROR(__xludf.DUMMYFUNCTION("REGEXEXTRACT(J2315, ""^\d+"")"),"1")</f>
        <v>1</v>
      </c>
      <c r="Z2315" s="5" t="str">
        <f>IFERROR(__xludf.DUMMYFUNCTION("REGEXEXTRACT(J2315, ""[A-Za-z ]+$"")")," Season")</f>
        <v> Season</v>
      </c>
      <c r="AA2315" s="5" t="str">
        <f>IFERROR(__xludf.DUMMYFUNCTION("IF(REGEXMATCH(Z2315, ""Season""), ""TV Show"", ""Movie"")"),"TV Show")</f>
        <v>TV Show</v>
      </c>
    </row>
    <row r="2316">
      <c r="A2316" s="1" t="s">
        <v>13135</v>
      </c>
      <c r="B2316" s="1" t="s">
        <v>27</v>
      </c>
      <c r="C2316" s="1" t="s">
        <v>13136</v>
      </c>
      <c r="D2316" s="1" t="s">
        <v>5378</v>
      </c>
      <c r="E2316" s="1" t="s">
        <v>13137</v>
      </c>
      <c r="F2316" s="1" t="s">
        <v>686</v>
      </c>
      <c r="G2316" s="1" t="s">
        <v>13089</v>
      </c>
      <c r="H2316" s="1">
        <v>2007.0</v>
      </c>
      <c r="I2316" s="1" t="s">
        <v>32</v>
      </c>
      <c r="J2316" s="1" t="s">
        <v>757</v>
      </c>
      <c r="K2316" s="1" t="s">
        <v>10724</v>
      </c>
      <c r="L2316" s="1" t="s">
        <v>13138</v>
      </c>
      <c r="M2316" s="2" t="s">
        <v>12</v>
      </c>
      <c r="N2316" s="4">
        <f t="shared" si="1"/>
        <v>44013</v>
      </c>
      <c r="O2316" s="5" t="str">
        <f>IFERROR(__xludf.DUMMYFUNCTION("IF(REGEXMATCH(TRIM(I2316), ""^\d+\s*min""), ""Unclassified"", IF(I2316 = """", ""NR"", I2316))"),"PG-13")</f>
        <v>PG-13</v>
      </c>
      <c r="R2316" s="5" t="str">
        <f t="shared" si="2"/>
        <v>Stardust</v>
      </c>
      <c r="S2316" s="5" t="str">
        <f>IFERROR(__xludf.DUMMYFUNCTION("""COMPUTED_VALUE"""),"Examination Of Conscience")</f>
        <v>Examination Of Conscience</v>
      </c>
      <c r="U2316" s="5" t="str">
        <f>IFERROR(__xludf.DUMMYFUNCTION("""COMPUTED_VALUE"""),"Vijay Yelakanti")</f>
        <v>Vijay Yelakanti</v>
      </c>
      <c r="V2316" s="5" t="s">
        <v>12922</v>
      </c>
      <c r="W2316" s="5" t="str">
        <f t="shared" si="3"/>
        <v>Krish</v>
      </c>
      <c r="X2316" s="5">
        <f t="shared" si="4"/>
        <v>1</v>
      </c>
      <c r="Y2316" s="5" t="str">
        <f>IFERROR(__xludf.DUMMYFUNCTION("REGEXEXTRACT(J2316, ""^\d+"")"),"128")</f>
        <v>128</v>
      </c>
      <c r="Z2316" s="5" t="str">
        <f>IFERROR(__xludf.DUMMYFUNCTION("REGEXEXTRACT(J2316, ""[A-Za-z ]+$"")")," min")</f>
        <v> min</v>
      </c>
      <c r="AA2316" s="5" t="str">
        <f>IFERROR(__xludf.DUMMYFUNCTION("IF(REGEXMATCH(Z2316, ""Season""), ""TV Show"", ""Movie"")"),"Movie")</f>
        <v>Movie</v>
      </c>
    </row>
    <row r="2317">
      <c r="A2317" s="1" t="s">
        <v>13139</v>
      </c>
      <c r="B2317" s="1" t="s">
        <v>27</v>
      </c>
      <c r="C2317" s="1" t="s">
        <v>13140</v>
      </c>
      <c r="D2317" s="1" t="s">
        <v>13141</v>
      </c>
      <c r="E2317" s="1" t="s">
        <v>13142</v>
      </c>
      <c r="F2317" s="1" t="s">
        <v>30</v>
      </c>
      <c r="G2317" s="1" t="s">
        <v>13089</v>
      </c>
      <c r="H2317" s="1">
        <v>2019.0</v>
      </c>
      <c r="I2317" s="1" t="s">
        <v>42</v>
      </c>
      <c r="J2317" s="1" t="s">
        <v>238</v>
      </c>
      <c r="K2317" s="1" t="s">
        <v>239</v>
      </c>
      <c r="L2317" s="1" t="s">
        <v>13143</v>
      </c>
      <c r="M2317" s="2" t="s">
        <v>12</v>
      </c>
      <c r="N2317" s="4">
        <f t="shared" si="1"/>
        <v>44013</v>
      </c>
      <c r="O2317" s="5" t="str">
        <f>IFERROR(__xludf.DUMMYFUNCTION("IF(REGEXMATCH(TRIM(I2317), ""^\d+\s*min""), ""Unclassified"", IF(I2317 = """", ""NR"", I2317))"),"TV-MA")</f>
        <v>TV-MA</v>
      </c>
      <c r="R2317" s="5" t="str">
        <f t="shared" si="2"/>
        <v>The F**K-It List</v>
      </c>
      <c r="S2317" s="5" t="str">
        <f>IFERROR(__xludf.DUMMYFUNCTION("""COMPUTED_VALUE"""),"Exclusive Edition")</f>
        <v>Exclusive Edition</v>
      </c>
      <c r="U2317" s="5" t="str">
        <f>IFERROR(__xludf.DUMMYFUNCTION("""COMPUTED_VALUE"""),"S.S. Rajamouli")</f>
        <v>S.S. Rajamouli</v>
      </c>
      <c r="V2317" s="5" t="s">
        <v>13144</v>
      </c>
      <c r="W2317" s="5" t="str">
        <f t="shared" si="3"/>
        <v>Krishna Agazzi, Filippo Gastaldi</v>
      </c>
      <c r="X2317" s="5">
        <f t="shared" si="4"/>
        <v>1</v>
      </c>
      <c r="Y2317" s="5" t="str">
        <f>IFERROR(__xludf.DUMMYFUNCTION("REGEXEXTRACT(J2317, ""^\d+"")"),"103")</f>
        <v>103</v>
      </c>
      <c r="Z2317" s="5" t="str">
        <f>IFERROR(__xludf.DUMMYFUNCTION("REGEXEXTRACT(J2317, ""[A-Za-z ]+$"")")," min")</f>
        <v> min</v>
      </c>
      <c r="AA2317" s="5" t="str">
        <f>IFERROR(__xludf.DUMMYFUNCTION("IF(REGEXMATCH(Z2317, ""Season""), ""TV Show"", ""Movie"")"),"Movie")</f>
        <v>Movie</v>
      </c>
    </row>
    <row r="2318">
      <c r="A2318" s="1" t="s">
        <v>13145</v>
      </c>
      <c r="B2318" s="1" t="s">
        <v>27</v>
      </c>
      <c r="C2318" s="1" t="s">
        <v>13146</v>
      </c>
      <c r="D2318" s="1" t="s">
        <v>1471</v>
      </c>
      <c r="F2318" s="1" t="s">
        <v>13147</v>
      </c>
      <c r="G2318" s="1" t="s">
        <v>13089</v>
      </c>
      <c r="H2318" s="1">
        <v>2019.0</v>
      </c>
      <c r="I2318" s="1" t="s">
        <v>97</v>
      </c>
      <c r="J2318" s="1" t="s">
        <v>322</v>
      </c>
      <c r="K2318" s="1" t="s">
        <v>156</v>
      </c>
      <c r="L2318" s="1" t="s">
        <v>13148</v>
      </c>
      <c r="M2318" s="2" t="s">
        <v>12</v>
      </c>
      <c r="N2318" s="4">
        <f t="shared" si="1"/>
        <v>44013</v>
      </c>
      <c r="O2318" s="5" t="str">
        <f>IFERROR(__xludf.DUMMYFUNCTION("IF(REGEXMATCH(TRIM(I2318), ""^\d+\s*min""), ""Unclassified"", IF(I2318 = """", ""NR"", I2318))"),"TV-14")</f>
        <v>TV-14</v>
      </c>
      <c r="R2318" s="5" t="str">
        <f t="shared" si="2"/>
        <v>The Silence Of Others</v>
      </c>
      <c r="S2318" s="5" t="str">
        <f>IFERROR(__xludf.DUMMYFUNCTION("""COMPUTED_VALUE"""),"Executive Decision")</f>
        <v>Executive Decision</v>
      </c>
      <c r="U2318" s="5" t="str">
        <f>IFERROR(__xludf.DUMMYFUNCTION("""COMPUTED_VALUE"""),"Joanna Lombardi, Bruno Ascenzo")</f>
        <v>Joanna Lombardi, Bruno Ascenzo</v>
      </c>
      <c r="V2318" s="5" t="s">
        <v>13149</v>
      </c>
      <c r="W2318" s="5" t="str">
        <f t="shared" si="3"/>
        <v>Krishna Vamshi</v>
      </c>
      <c r="X2318" s="5">
        <f t="shared" si="4"/>
        <v>1</v>
      </c>
      <c r="Y2318" s="5" t="str">
        <f>IFERROR(__xludf.DUMMYFUNCTION("REGEXEXTRACT(J2318, ""^\d+"")"),"96")</f>
        <v>96</v>
      </c>
      <c r="Z2318" s="5" t="str">
        <f>IFERROR(__xludf.DUMMYFUNCTION("REGEXEXTRACT(J2318, ""[A-Za-z ]+$"")")," min")</f>
        <v> min</v>
      </c>
      <c r="AA2318" s="5" t="str">
        <f>IFERROR(__xludf.DUMMYFUNCTION("IF(REGEXMATCH(Z2318, ""Season""), ""TV Show"", ""Movie"")"),"Movie")</f>
        <v>Movie</v>
      </c>
    </row>
    <row r="2319">
      <c r="A2319" s="1" t="s">
        <v>13150</v>
      </c>
      <c r="B2319" s="1" t="s">
        <v>27</v>
      </c>
      <c r="C2319" s="1" t="s">
        <v>13151</v>
      </c>
      <c r="D2319" s="1" t="s">
        <v>13152</v>
      </c>
      <c r="E2319" s="1" t="s">
        <v>13153</v>
      </c>
      <c r="F2319" s="1" t="s">
        <v>949</v>
      </c>
      <c r="G2319" s="1" t="s">
        <v>13089</v>
      </c>
      <c r="H2319" s="1">
        <v>1990.0</v>
      </c>
      <c r="I2319" s="1" t="s">
        <v>378</v>
      </c>
      <c r="J2319" s="1" t="s">
        <v>835</v>
      </c>
      <c r="K2319" s="1" t="s">
        <v>942</v>
      </c>
      <c r="L2319" s="1" t="s">
        <v>13154</v>
      </c>
      <c r="M2319" s="2" t="s">
        <v>12</v>
      </c>
      <c r="N2319" s="4">
        <f t="shared" si="1"/>
        <v>44013</v>
      </c>
      <c r="O2319" s="5" t="str">
        <f>IFERROR(__xludf.DUMMYFUNCTION("IF(REGEXMATCH(TRIM(I2319), ""^\d+\s*min""), ""Unclassified"", IF(I2319 = """", ""NR"", I2319))"),"R")</f>
        <v>R</v>
      </c>
      <c r="R2319" s="5" t="str">
        <f t="shared" si="2"/>
        <v>Total Recall</v>
      </c>
      <c r="S2319" s="5" t="str">
        <f>IFERROR(__xludf.DUMMYFUNCTION("""COMPUTED_VALUE"""),"Exes Baggage")</f>
        <v>Exes Baggage</v>
      </c>
      <c r="U2319" s="5" t="str">
        <f>IFERROR(__xludf.DUMMYFUNCTION("""COMPUTED_VALUE"""),"Kim Jee-Woon")</f>
        <v>Kim Jee-Woon</v>
      </c>
      <c r="V2319" s="5" t="s">
        <v>13155</v>
      </c>
      <c r="W2319" s="5" t="str">
        <f t="shared" si="3"/>
        <v>Kristian Levring</v>
      </c>
      <c r="X2319" s="5">
        <f t="shared" si="4"/>
        <v>1</v>
      </c>
      <c r="Y2319" s="5" t="str">
        <f>IFERROR(__xludf.DUMMYFUNCTION("REGEXEXTRACT(J2319, ""^\d+"")"),"114")</f>
        <v>114</v>
      </c>
      <c r="Z2319" s="5" t="str">
        <f>IFERROR(__xludf.DUMMYFUNCTION("REGEXEXTRACT(J2319, ""[A-Za-z ]+$"")")," min")</f>
        <v> min</v>
      </c>
      <c r="AA2319" s="5" t="str">
        <f>IFERROR(__xludf.DUMMYFUNCTION("IF(REGEXMATCH(Z2319, ""Season""), ""TV Show"", ""Movie"")"),"Movie")</f>
        <v>Movie</v>
      </c>
    </row>
    <row r="2320">
      <c r="A2320" s="1" t="s">
        <v>13156</v>
      </c>
      <c r="B2320" s="1" t="s">
        <v>37</v>
      </c>
      <c r="C2320" s="1" t="s">
        <v>13157</v>
      </c>
      <c r="F2320" s="1" t="s">
        <v>664</v>
      </c>
      <c r="G2320" s="1" t="s">
        <v>13089</v>
      </c>
      <c r="H2320" s="1">
        <v>2004.0</v>
      </c>
      <c r="I2320" s="1" t="s">
        <v>206</v>
      </c>
      <c r="J2320" s="1" t="s">
        <v>51</v>
      </c>
      <c r="K2320" s="1" t="s">
        <v>290</v>
      </c>
      <c r="L2320" s="1" t="s">
        <v>13158</v>
      </c>
      <c r="M2320" s="2" t="s">
        <v>12</v>
      </c>
      <c r="N2320" s="4">
        <f t="shared" si="1"/>
        <v>44013</v>
      </c>
      <c r="O2320" s="5" t="str">
        <f>IFERROR(__xludf.DUMMYFUNCTION("IF(REGEXMATCH(TRIM(I2320), ""^\d+\s*min""), ""Unclassified"", IF(I2320 = """", ""NR"", I2320))"),"TV-Y")</f>
        <v>TV-Y</v>
      </c>
      <c r="R2320" s="5" t="str">
        <f t="shared" si="2"/>
        <v>Trotro</v>
      </c>
      <c r="S2320" s="5" t="str">
        <f>IFERROR(__xludf.DUMMYFUNCTION("""COMPUTED_VALUE"""),"Exhibit A")</f>
        <v>Exhibit A</v>
      </c>
      <c r="U2320" s="5" t="str">
        <f>IFERROR(__xludf.DUMMYFUNCTION("""COMPUTED_VALUE"""),"Rajesh Touchriver")</f>
        <v>Rajesh Touchriver</v>
      </c>
      <c r="V2320" s="5" t="s">
        <v>8820</v>
      </c>
      <c r="W2320" s="5" t="str">
        <f t="shared" si="3"/>
        <v>Kristian Mercado</v>
      </c>
      <c r="X2320" s="5">
        <f t="shared" si="4"/>
        <v>2</v>
      </c>
      <c r="Y2320" s="5" t="str">
        <f>IFERROR(__xludf.DUMMYFUNCTION("REGEXEXTRACT(J2320, ""^\d+"")"),"1")</f>
        <v>1</v>
      </c>
      <c r="Z2320" s="5" t="str">
        <f>IFERROR(__xludf.DUMMYFUNCTION("REGEXEXTRACT(J2320, ""[A-Za-z ]+$"")")," Season")</f>
        <v> Season</v>
      </c>
      <c r="AA2320" s="5" t="str">
        <f>IFERROR(__xludf.DUMMYFUNCTION("IF(REGEXMATCH(Z2320, ""Season""), ""TV Show"", ""Movie"")"),"TV Show")</f>
        <v>TV Show</v>
      </c>
    </row>
    <row r="2321">
      <c r="A2321" s="1" t="s">
        <v>13159</v>
      </c>
      <c r="B2321" s="1" t="s">
        <v>27</v>
      </c>
      <c r="C2321" s="1" t="s">
        <v>13160</v>
      </c>
      <c r="D2321" s="1" t="s">
        <v>13161</v>
      </c>
      <c r="E2321" s="1" t="s">
        <v>13162</v>
      </c>
      <c r="F2321" s="1" t="s">
        <v>1779</v>
      </c>
      <c r="G2321" s="1" t="s">
        <v>13089</v>
      </c>
      <c r="H2321" s="1">
        <v>2020.0</v>
      </c>
      <c r="I2321" s="1" t="s">
        <v>42</v>
      </c>
      <c r="J2321" s="1" t="s">
        <v>447</v>
      </c>
      <c r="K2321" s="1" t="s">
        <v>215</v>
      </c>
      <c r="L2321" s="1" t="s">
        <v>13163</v>
      </c>
      <c r="M2321" s="2" t="s">
        <v>12</v>
      </c>
      <c r="N2321" s="4">
        <f t="shared" si="1"/>
        <v>44013</v>
      </c>
      <c r="O2321" s="5" t="str">
        <f>IFERROR(__xludf.DUMMYFUNCTION("IF(REGEXMATCH(TRIM(I2321), ""^\d+\s*min""), ""Unclassified"", IF(I2321 = """", ""NR"", I2321))"),"TV-MA")</f>
        <v>TV-MA</v>
      </c>
      <c r="R2321" s="5" t="str">
        <f t="shared" si="2"/>
        <v>Under The Riccione Sun</v>
      </c>
      <c r="S2321" s="5" t="str">
        <f>IFERROR(__xludf.DUMMYFUNCTION("""COMPUTED_VALUE"""),"Exit Afghanistan")</f>
        <v>Exit Afghanistan</v>
      </c>
      <c r="U2321" s="5" t="str">
        <f>IFERROR(__xludf.DUMMYFUNCTION("""COMPUTED_VALUE"""),"David Lam")</f>
        <v>David Lam</v>
      </c>
      <c r="V2321" s="5" t="s">
        <v>13164</v>
      </c>
      <c r="W2321" s="5" t="str">
        <f t="shared" si="3"/>
        <v>Kristin Hanggi</v>
      </c>
      <c r="X2321" s="5">
        <f t="shared" si="4"/>
        <v>1</v>
      </c>
      <c r="Y2321" s="5" t="str">
        <f>IFERROR(__xludf.DUMMYFUNCTION("REGEXEXTRACT(J2321, ""^\d+"")"),"102")</f>
        <v>102</v>
      </c>
      <c r="Z2321" s="5" t="str">
        <f>IFERROR(__xludf.DUMMYFUNCTION("REGEXEXTRACT(J2321, ""[A-Za-z ]+$"")")," min")</f>
        <v> min</v>
      </c>
      <c r="AA2321" s="5" t="str">
        <f>IFERROR(__xludf.DUMMYFUNCTION("IF(REGEXMATCH(Z2321, ""Season""), ""TV Show"", ""Movie"")"),"Movie")</f>
        <v>Movie</v>
      </c>
    </row>
    <row r="2322">
      <c r="A2322" s="1" t="s">
        <v>13165</v>
      </c>
      <c r="B2322" s="1" t="s">
        <v>37</v>
      </c>
      <c r="C2322" s="1" t="s">
        <v>13166</v>
      </c>
      <c r="E2322" s="1" t="s">
        <v>13167</v>
      </c>
      <c r="F2322" s="1" t="s">
        <v>415</v>
      </c>
      <c r="G2322" s="1" t="s">
        <v>13168</v>
      </c>
      <c r="H2322" s="1">
        <v>2020.0</v>
      </c>
      <c r="I2322" s="1" t="s">
        <v>97</v>
      </c>
      <c r="J2322" s="1" t="s">
        <v>51</v>
      </c>
      <c r="K2322" s="1" t="s">
        <v>567</v>
      </c>
      <c r="L2322" s="1" t="s">
        <v>13169</v>
      </c>
      <c r="M2322" s="2" t="s">
        <v>12</v>
      </c>
      <c r="N2322" s="4">
        <f t="shared" si="1"/>
        <v>44012</v>
      </c>
      <c r="O2322" s="5" t="str">
        <f>IFERROR(__xludf.DUMMYFUNCTION("IF(REGEXMATCH(TRIM(I2322), ""^\d+\s*min""), ""Unclassified"", IF(I2322 = """", ""NR"", I2322))"),"TV-14")</f>
        <v>TV-14</v>
      </c>
      <c r="R2322" s="5" t="str">
        <f t="shared" si="2"/>
        <v>Bna</v>
      </c>
      <c r="S2322" s="5" t="str">
        <f>IFERROR(__xludf.DUMMYFUNCTION("""COMPUTED_VALUE"""),"Exit Strategy")</f>
        <v>Exit Strategy</v>
      </c>
      <c r="U2322" s="5" t="str">
        <f>IFERROR(__xludf.DUMMYFUNCTION("""COMPUTED_VALUE"""),"Thiru")</f>
        <v>Thiru</v>
      </c>
      <c r="V2322" s="5" t="s">
        <v>13170</v>
      </c>
      <c r="W2322" s="5" t="str">
        <f t="shared" si="3"/>
        <v>Kristina Goolsby, Ashley York</v>
      </c>
      <c r="X2322" s="5">
        <f t="shared" si="4"/>
        <v>1</v>
      </c>
      <c r="Y2322" s="5" t="str">
        <f>IFERROR(__xludf.DUMMYFUNCTION("REGEXEXTRACT(J2322, ""^\d+"")"),"1")</f>
        <v>1</v>
      </c>
      <c r="Z2322" s="5" t="str">
        <f>IFERROR(__xludf.DUMMYFUNCTION("REGEXEXTRACT(J2322, ""[A-Za-z ]+$"")")," Season")</f>
        <v> Season</v>
      </c>
      <c r="AA2322" s="5" t="str">
        <f>IFERROR(__xludf.DUMMYFUNCTION("IF(REGEXMATCH(Z2322, ""Season""), ""TV Show"", ""Movie"")"),"TV Show")</f>
        <v>TV Show</v>
      </c>
    </row>
    <row r="2323">
      <c r="A2323" s="1" t="s">
        <v>13171</v>
      </c>
      <c r="B2323" s="1" t="s">
        <v>27</v>
      </c>
      <c r="C2323" s="1" t="s">
        <v>13172</v>
      </c>
      <c r="D2323" s="1" t="s">
        <v>7037</v>
      </c>
      <c r="E2323" s="1" t="s">
        <v>13173</v>
      </c>
      <c r="F2323" s="1" t="s">
        <v>30</v>
      </c>
      <c r="G2323" s="1" t="s">
        <v>13168</v>
      </c>
      <c r="H2323" s="1">
        <v>2020.0</v>
      </c>
      <c r="I2323" s="1" t="s">
        <v>42</v>
      </c>
      <c r="J2323" s="1" t="s">
        <v>8095</v>
      </c>
      <c r="K2323" s="1" t="s">
        <v>1839</v>
      </c>
      <c r="L2323" s="1" t="s">
        <v>13174</v>
      </c>
      <c r="M2323" s="2" t="s">
        <v>12</v>
      </c>
      <c r="N2323" s="4">
        <f t="shared" si="1"/>
        <v>44012</v>
      </c>
      <c r="O2323" s="5" t="str">
        <f>IFERROR(__xludf.DUMMYFUNCTION("IF(REGEXMATCH(TRIM(I2323), ""^\d+\s*min""), ""Unclassified"", IF(I2323 = """", ""NR"", I2323))"),"TV-MA")</f>
        <v>TV-MA</v>
      </c>
      <c r="R2323" s="5" t="str">
        <f t="shared" si="2"/>
        <v>George Lopez: We'Ll Do It For Half</v>
      </c>
      <c r="S2323" s="5" t="str">
        <f>IFERROR(__xludf.DUMMYFUNCTION("""COMPUTED_VALUE"""),"Exit Wounds")</f>
        <v>Exit Wounds</v>
      </c>
      <c r="U2323" s="5" t="str">
        <f>IFERROR(__xludf.DUMMYFUNCTION("""COMPUTED_VALUE"""),"Tom Forrest")</f>
        <v>Tom Forrest</v>
      </c>
      <c r="V2323" s="5" t="s">
        <v>2083</v>
      </c>
      <c r="W2323" s="5" t="str">
        <f t="shared" si="3"/>
        <v>Kristine Stolakis</v>
      </c>
      <c r="X2323" s="5">
        <f t="shared" si="4"/>
        <v>1</v>
      </c>
      <c r="Y2323" s="5" t="str">
        <f>IFERROR(__xludf.DUMMYFUNCTION("REGEXEXTRACT(J2323, ""^\d+"")"),"52")</f>
        <v>52</v>
      </c>
      <c r="Z2323" s="5" t="str">
        <f>IFERROR(__xludf.DUMMYFUNCTION("REGEXEXTRACT(J2323, ""[A-Za-z ]+$"")")," min")</f>
        <v> min</v>
      </c>
      <c r="AA2323" s="5" t="str">
        <f>IFERROR(__xludf.DUMMYFUNCTION("IF(REGEXMATCH(Z2323, ""Season""), ""TV Show"", ""Movie"")"),"Movie")</f>
        <v>Movie</v>
      </c>
    </row>
    <row r="2324">
      <c r="A2324" s="1" t="s">
        <v>13175</v>
      </c>
      <c r="B2324" s="1" t="s">
        <v>37</v>
      </c>
      <c r="C2324" s="1" t="s">
        <v>13176</v>
      </c>
      <c r="F2324" s="1" t="s">
        <v>13177</v>
      </c>
      <c r="G2324" s="1" t="s">
        <v>13168</v>
      </c>
      <c r="H2324" s="1">
        <v>2020.0</v>
      </c>
      <c r="I2324" s="1" t="s">
        <v>42</v>
      </c>
      <c r="J2324" s="1" t="s">
        <v>51</v>
      </c>
      <c r="K2324" s="1" t="s">
        <v>402</v>
      </c>
      <c r="L2324" s="1" t="s">
        <v>13178</v>
      </c>
      <c r="M2324" s="2" t="s">
        <v>12</v>
      </c>
      <c r="N2324" s="4">
        <f t="shared" si="1"/>
        <v>44012</v>
      </c>
      <c r="O2324" s="5" t="str">
        <f>IFERROR(__xludf.DUMMYFUNCTION("IF(REGEXMATCH(TRIM(I2324), ""^\d+\s*min""), ""Unclassified"", IF(I2324 = """", ""NR"", I2324))"),"TV-MA")</f>
        <v>TV-MA</v>
      </c>
      <c r="R2324" s="5" t="str">
        <f t="shared" si="2"/>
        <v>Homemade</v>
      </c>
      <c r="S2324" s="5" t="str">
        <f>IFERROR(__xludf.DUMMYFUNCTION("""COMPUTED_VALUE"""),"Expedition China")</f>
        <v>Expedition China</v>
      </c>
      <c r="U2324" s="5" t="str">
        <f>IFERROR(__xludf.DUMMYFUNCTION("""COMPUTED_VALUE"""),"Anik Datta")</f>
        <v>Anik Datta</v>
      </c>
      <c r="V2324" s="5" t="s">
        <v>13179</v>
      </c>
      <c r="W2324" s="5" t="str">
        <f t="shared" si="3"/>
        <v>Krysia Plonka</v>
      </c>
      <c r="X2324" s="5">
        <f t="shared" si="4"/>
        <v>1</v>
      </c>
      <c r="Y2324" s="5" t="str">
        <f>IFERROR(__xludf.DUMMYFUNCTION("REGEXEXTRACT(J2324, ""^\d+"")"),"1")</f>
        <v>1</v>
      </c>
      <c r="Z2324" s="5" t="str">
        <f>IFERROR(__xludf.DUMMYFUNCTION("REGEXEXTRACT(J2324, ""[A-Za-z ]+$"")")," Season")</f>
        <v> Season</v>
      </c>
      <c r="AA2324" s="5" t="str">
        <f>IFERROR(__xludf.DUMMYFUNCTION("IF(REGEXMATCH(Z2324, ""Season""), ""TV Show"", ""Movie"")"),"TV Show")</f>
        <v>TV Show</v>
      </c>
    </row>
    <row r="2325">
      <c r="A2325" s="1" t="s">
        <v>13180</v>
      </c>
      <c r="B2325" s="1" t="s">
        <v>27</v>
      </c>
      <c r="C2325" s="1" t="s">
        <v>13181</v>
      </c>
      <c r="D2325" s="1" t="s">
        <v>13182</v>
      </c>
      <c r="E2325" s="1" t="s">
        <v>13183</v>
      </c>
      <c r="F2325" s="1" t="s">
        <v>13184</v>
      </c>
      <c r="G2325" s="1" t="s">
        <v>13168</v>
      </c>
      <c r="H2325" s="1">
        <v>2011.0</v>
      </c>
      <c r="I2325" s="1" t="s">
        <v>97</v>
      </c>
      <c r="J2325" s="1" t="s">
        <v>1144</v>
      </c>
      <c r="K2325" s="1" t="s">
        <v>306</v>
      </c>
      <c r="L2325" s="1" t="s">
        <v>13185</v>
      </c>
      <c r="M2325" s="2" t="s">
        <v>12</v>
      </c>
      <c r="N2325" s="4">
        <f t="shared" si="1"/>
        <v>44012</v>
      </c>
      <c r="O2325" s="5" t="str">
        <f>IFERROR(__xludf.DUMMYFUNCTION("IF(REGEXMATCH(TRIM(I2325), ""^\d+\s*min""), ""Unclassified"", IF(I2325 = """", ""NR"", I2325))"),"TV-14")</f>
        <v>TV-14</v>
      </c>
      <c r="R2325" s="5" t="str">
        <f t="shared" si="2"/>
        <v>The Mirror Boy</v>
      </c>
      <c r="S2325" s="5" t="str">
        <f>IFERROR(__xludf.DUMMYFUNCTION("""COMPUTED_VALUE"""),"Expedition Happiness")</f>
        <v>Expedition Happiness</v>
      </c>
      <c r="U2325" s="5" t="str">
        <f>IFERROR(__xludf.DUMMYFUNCTION("""COMPUTED_VALUE"""),"Shaad Ali")</f>
        <v>Shaad Ali</v>
      </c>
      <c r="V2325" s="5" t="s">
        <v>13186</v>
      </c>
      <c r="W2325" s="5" t="str">
        <f t="shared" si="3"/>
        <v>Krzysztof Zanussi</v>
      </c>
      <c r="X2325" s="5">
        <f t="shared" si="4"/>
        <v>1</v>
      </c>
      <c r="Y2325" s="5" t="str">
        <f>IFERROR(__xludf.DUMMYFUNCTION("REGEXEXTRACT(J2325, ""^\d+"")"),"86")</f>
        <v>86</v>
      </c>
      <c r="Z2325" s="5" t="str">
        <f>IFERROR(__xludf.DUMMYFUNCTION("REGEXEXTRACT(J2325, ""[A-Za-z ]+$"")")," min")</f>
        <v> min</v>
      </c>
      <c r="AA2325" s="5" t="str">
        <f>IFERROR(__xludf.DUMMYFUNCTION("IF(REGEXMATCH(Z2325, ""Season""), ""TV Show"", ""Movie"")"),"Movie")</f>
        <v>Movie</v>
      </c>
    </row>
    <row r="2326">
      <c r="A2326" s="1" t="s">
        <v>13187</v>
      </c>
      <c r="B2326" s="1" t="s">
        <v>27</v>
      </c>
      <c r="C2326" s="1" t="s">
        <v>13188</v>
      </c>
      <c r="D2326" s="1" t="s">
        <v>13039</v>
      </c>
      <c r="E2326" s="1" t="s">
        <v>13189</v>
      </c>
      <c r="F2326" s="1" t="s">
        <v>2873</v>
      </c>
      <c r="G2326" s="1" t="s">
        <v>13190</v>
      </c>
      <c r="H2326" s="1">
        <v>2020.0</v>
      </c>
      <c r="I2326" s="1" t="s">
        <v>506</v>
      </c>
      <c r="J2326" s="1" t="s">
        <v>106</v>
      </c>
      <c r="K2326" s="1" t="s">
        <v>679</v>
      </c>
      <c r="L2326" s="1" t="s">
        <v>13191</v>
      </c>
      <c r="M2326" s="2" t="s">
        <v>12</v>
      </c>
      <c r="N2326" s="4">
        <f t="shared" si="1"/>
        <v>44010</v>
      </c>
      <c r="O2326" s="5" t="str">
        <f>IFERROR(__xludf.DUMMYFUNCTION("IF(REGEXMATCH(TRIM(I2326), ""^\d+\s*min""), ""Unclassified"", IF(I2326 = """", ""NR"", I2326))"),"TV-G")</f>
        <v>TV-G</v>
      </c>
      <c r="R2326" s="5" t="str">
        <f t="shared" si="2"/>
        <v>#Friendbutmarried 2</v>
      </c>
      <c r="S2326" s="5" t="str">
        <f>IFERROR(__xludf.DUMMYFUNCTION("""COMPUTED_VALUE"""),"Expelled From Paradise")</f>
        <v>Expelled From Paradise</v>
      </c>
      <c r="U2326" s="5" t="str">
        <f>IFERROR(__xludf.DUMMYFUNCTION("""COMPUTED_VALUE"""),"Gareth Evans")</f>
        <v>Gareth Evans</v>
      </c>
      <c r="V2326" s="5" t="s">
        <v>13192</v>
      </c>
      <c r="W2326" s="5" t="str">
        <f t="shared" si="3"/>
        <v>Ksshitij Chaudhary</v>
      </c>
      <c r="X2326" s="5">
        <f t="shared" si="4"/>
        <v>2</v>
      </c>
      <c r="Y2326" s="5" t="str">
        <f>IFERROR(__xludf.DUMMYFUNCTION("REGEXEXTRACT(J2326, ""^\d+"")"),"104")</f>
        <v>104</v>
      </c>
      <c r="Z2326" s="5" t="str">
        <f>IFERROR(__xludf.DUMMYFUNCTION("REGEXEXTRACT(J2326, ""[A-Za-z ]+$"")")," min")</f>
        <v> min</v>
      </c>
      <c r="AA2326" s="5" t="str">
        <f>IFERROR(__xludf.DUMMYFUNCTION("IF(REGEXMATCH(Z2326, ""Season""), ""TV Show"", ""Movie"")"),"Movie")</f>
        <v>Movie</v>
      </c>
    </row>
    <row r="2327">
      <c r="A2327" s="1" t="s">
        <v>13193</v>
      </c>
      <c r="B2327" s="1" t="s">
        <v>27</v>
      </c>
      <c r="C2327" s="1" t="s">
        <v>13194</v>
      </c>
      <c r="D2327" s="1" t="s">
        <v>5508</v>
      </c>
      <c r="E2327" s="1" t="s">
        <v>13195</v>
      </c>
      <c r="F2327" s="1" t="s">
        <v>400</v>
      </c>
      <c r="G2327" s="1" t="s">
        <v>13190</v>
      </c>
      <c r="H2327" s="1">
        <v>2019.0</v>
      </c>
      <c r="I2327" s="1" t="s">
        <v>42</v>
      </c>
      <c r="J2327" s="1" t="s">
        <v>1171</v>
      </c>
      <c r="K2327" s="1" t="s">
        <v>156</v>
      </c>
      <c r="L2327" s="1" t="s">
        <v>13196</v>
      </c>
      <c r="M2327" s="2" t="s">
        <v>12</v>
      </c>
      <c r="N2327" s="4">
        <f t="shared" si="1"/>
        <v>44010</v>
      </c>
      <c r="O2327" s="5" t="str">
        <f>IFERROR(__xludf.DUMMYFUNCTION("IF(REGEXMATCH(TRIM(I2327), ""^\d+\s*min""), ""Unclassified"", IF(I2327 = """", ""NR"", I2327))"),"TV-MA")</f>
        <v>TV-MA</v>
      </c>
      <c r="R2327" s="5" t="str">
        <f t="shared" si="2"/>
        <v>Skin</v>
      </c>
      <c r="S2327" s="5" t="str">
        <f>IFERROR(__xludf.DUMMYFUNCTION("""COMPUTED_VALUE"""),"Explained")</f>
        <v>Explained</v>
      </c>
      <c r="U2327" s="5" t="str">
        <f>IFERROR(__xludf.DUMMYFUNCTION("""COMPUTED_VALUE"""),"Paul Urkijo Alijo")</f>
        <v>Paul Urkijo Alijo</v>
      </c>
      <c r="V2327" s="5" t="s">
        <v>11437</v>
      </c>
      <c r="W2327" s="5" t="str">
        <f t="shared" si="3"/>
        <v>Kubhaer T. Jethwani</v>
      </c>
      <c r="X2327" s="5">
        <f t="shared" si="4"/>
        <v>1</v>
      </c>
      <c r="Y2327" s="5" t="str">
        <f>IFERROR(__xludf.DUMMYFUNCTION("REGEXEXTRACT(J2327, ""^\d+"")"),"76")</f>
        <v>76</v>
      </c>
      <c r="Z2327" s="5" t="str">
        <f>IFERROR(__xludf.DUMMYFUNCTION("REGEXEXTRACT(J2327, ""[A-Za-z ]+$"")")," min")</f>
        <v> min</v>
      </c>
      <c r="AA2327" s="5" t="str">
        <f>IFERROR(__xludf.DUMMYFUNCTION("IF(REGEXMATCH(Z2327, ""Season""), ""TV Show"", ""Movie"")"),"Movie")</f>
        <v>Movie</v>
      </c>
    </row>
    <row r="2328">
      <c r="A2328" s="1" t="s">
        <v>13197</v>
      </c>
      <c r="B2328" s="1" t="s">
        <v>27</v>
      </c>
      <c r="C2328" s="1" t="s">
        <v>13198</v>
      </c>
      <c r="D2328" s="1" t="s">
        <v>250</v>
      </c>
      <c r="E2328" s="1" t="s">
        <v>13199</v>
      </c>
      <c r="G2328" s="1" t="s">
        <v>13190</v>
      </c>
      <c r="H2328" s="1">
        <v>2019.0</v>
      </c>
      <c r="I2328" s="1" t="s">
        <v>97</v>
      </c>
      <c r="J2328" s="1" t="s">
        <v>1369</v>
      </c>
      <c r="K2328" s="1" t="s">
        <v>128</v>
      </c>
      <c r="L2328" s="1" t="s">
        <v>13200</v>
      </c>
      <c r="M2328" s="2" t="s">
        <v>12</v>
      </c>
      <c r="N2328" s="4">
        <f t="shared" si="1"/>
        <v>44010</v>
      </c>
      <c r="O2328" s="5" t="str">
        <f>IFERROR(__xludf.DUMMYFUNCTION("IF(REGEXMATCH(TRIM(I2328), ""^\d+\s*min""), ""Unclassified"", IF(I2328 = """", ""NR"", I2328))"),"TV-14")</f>
        <v>TV-14</v>
      </c>
      <c r="R2328" s="5" t="str">
        <f t="shared" si="2"/>
        <v>Thackeray (Marathi)</v>
      </c>
      <c r="S2328" s="5" t="str">
        <f>IFERROR(__xludf.DUMMYFUNCTION("""COMPUTED_VALUE"""),"Expo")</f>
        <v>Expo</v>
      </c>
      <c r="U2328" s="5" t="str">
        <f>IFERROR(__xludf.DUMMYFUNCTION("""COMPUTED_VALUE"""),"Johanna Demetrakas")</f>
        <v>Johanna Demetrakas</v>
      </c>
      <c r="V2328" s="5" t="s">
        <v>13201</v>
      </c>
      <c r="W2328" s="5" t="str">
        <f t="shared" si="3"/>
        <v>Kumaran</v>
      </c>
      <c r="X2328" s="5">
        <f t="shared" si="4"/>
        <v>1</v>
      </c>
      <c r="Y2328" s="5" t="str">
        <f>IFERROR(__xludf.DUMMYFUNCTION("REGEXEXTRACT(J2328, ""^\d+"")"),"135")</f>
        <v>135</v>
      </c>
      <c r="Z2328" s="5" t="str">
        <f>IFERROR(__xludf.DUMMYFUNCTION("REGEXEXTRACT(J2328, ""[A-Za-z ]+$"")")," min")</f>
        <v> min</v>
      </c>
      <c r="AA2328" s="5" t="str">
        <f>IFERROR(__xludf.DUMMYFUNCTION("IF(REGEXMATCH(Z2328, ""Season""), ""TV Show"", ""Movie"")"),"Movie")</f>
        <v>Movie</v>
      </c>
    </row>
    <row r="2329">
      <c r="A2329" s="1" t="s">
        <v>13202</v>
      </c>
      <c r="B2329" s="1" t="s">
        <v>37</v>
      </c>
      <c r="C2329" s="1" t="s">
        <v>13203</v>
      </c>
      <c r="E2329" s="1" t="s">
        <v>13204</v>
      </c>
      <c r="F2329" s="1" t="s">
        <v>911</v>
      </c>
      <c r="G2329" s="1" t="s">
        <v>13205</v>
      </c>
      <c r="H2329" s="1">
        <v>2020.0</v>
      </c>
      <c r="I2329" s="1" t="s">
        <v>42</v>
      </c>
      <c r="J2329" s="1" t="s">
        <v>276</v>
      </c>
      <c r="K2329" s="1" t="s">
        <v>1362</v>
      </c>
      <c r="L2329" s="1" t="s">
        <v>13206</v>
      </c>
      <c r="M2329" s="2" t="s">
        <v>12</v>
      </c>
      <c r="N2329" s="4">
        <f t="shared" si="1"/>
        <v>44009</v>
      </c>
      <c r="O2329" s="5" t="str">
        <f>IFERROR(__xludf.DUMMYFUNCTION("IF(REGEXMATCH(TRIM(I2329), ""^\d+\s*min""), ""Unclassified"", IF(I2329 = """", ""NR"", I2329))"),"TV-MA")</f>
        <v>TV-MA</v>
      </c>
      <c r="R2329" s="5" t="str">
        <f t="shared" si="2"/>
        <v>Dark</v>
      </c>
      <c r="S2329" s="5" t="str">
        <f>IFERROR(__xludf.DUMMYFUNCTION("""COMPUTED_VALUE"""),"Extinction")</f>
        <v>Extinction</v>
      </c>
      <c r="U2329" s="5" t="str">
        <f>IFERROR(__xludf.DUMMYFUNCTION("""COMPUTED_VALUE"""),"Padraic Mckinley")</f>
        <v>Padraic Mckinley</v>
      </c>
      <c r="V2329" s="5" t="s">
        <v>13207</v>
      </c>
      <c r="W2329" s="5" t="str">
        <f t="shared" si="3"/>
        <v>Kunal Deshmukh</v>
      </c>
      <c r="X2329" s="5">
        <f t="shared" si="4"/>
        <v>1</v>
      </c>
      <c r="Y2329" s="5" t="str">
        <f>IFERROR(__xludf.DUMMYFUNCTION("REGEXEXTRACT(J2329, ""^\d+"")"),"3")</f>
        <v>3</v>
      </c>
      <c r="Z2329" s="5" t="str">
        <f>IFERROR(__xludf.DUMMYFUNCTION("REGEXEXTRACT(J2329, ""[A-Za-z ]+$"")")," Seasons")</f>
        <v> Seasons</v>
      </c>
      <c r="AA2329" s="5" t="str">
        <f>IFERROR(__xludf.DUMMYFUNCTION("IF(REGEXMATCH(Z2329, ""Season""), ""TV Show"", ""Movie"")"),"TV Show")</f>
        <v>TV Show</v>
      </c>
    </row>
    <row r="2330">
      <c r="A2330" s="1" t="s">
        <v>13208</v>
      </c>
      <c r="B2330" s="1" t="s">
        <v>27</v>
      </c>
      <c r="C2330" s="1" t="s">
        <v>13209</v>
      </c>
      <c r="D2330" s="1" t="s">
        <v>13210</v>
      </c>
      <c r="E2330" s="1" t="s">
        <v>13211</v>
      </c>
      <c r="F2330" s="1" t="s">
        <v>221</v>
      </c>
      <c r="G2330" s="1" t="s">
        <v>13205</v>
      </c>
      <c r="H2330" s="1">
        <v>2020.0</v>
      </c>
      <c r="I2330" s="1" t="s">
        <v>78</v>
      </c>
      <c r="J2330" s="1" t="s">
        <v>416</v>
      </c>
      <c r="K2330" s="1" t="s">
        <v>13212</v>
      </c>
      <c r="L2330" s="1" t="s">
        <v>13213</v>
      </c>
      <c r="M2330" s="2" t="s">
        <v>12</v>
      </c>
      <c r="N2330" s="4">
        <f t="shared" si="1"/>
        <v>44009</v>
      </c>
      <c r="O2330" s="5" t="str">
        <f>IFERROR(__xludf.DUMMYFUNCTION("IF(REGEXMATCH(TRIM(I2330), ""^\d+\s*min""), ""Unclassified"", IF(I2330 = """", ""NR"", I2330))"),"PG")</f>
        <v>PG</v>
      </c>
      <c r="R2330" s="5" t="str">
        <f t="shared" si="2"/>
        <v>Ride Like A Girl</v>
      </c>
      <c r="S2330" s="5" t="str">
        <f>IFERROR(__xludf.DUMMYFUNCTION("""COMPUTED_VALUE"""),"Extraction")</f>
        <v>Extraction</v>
      </c>
      <c r="U2330" s="5" t="str">
        <f>IFERROR(__xludf.DUMMYFUNCTION("""COMPUTED_VALUE"""),"Rizal Mantovani")</f>
        <v>Rizal Mantovani</v>
      </c>
      <c r="V2330" s="5" t="s">
        <v>13214</v>
      </c>
      <c r="W2330" s="5" t="str">
        <f t="shared" si="3"/>
        <v>Kunal Kohli</v>
      </c>
      <c r="X2330" s="5">
        <f t="shared" si="4"/>
        <v>1</v>
      </c>
      <c r="Y2330" s="5" t="str">
        <f>IFERROR(__xludf.DUMMYFUNCTION("REGEXEXTRACT(J2330, ""^\d+"")"),"99")</f>
        <v>99</v>
      </c>
      <c r="Z2330" s="5" t="str">
        <f>IFERROR(__xludf.DUMMYFUNCTION("REGEXEXTRACT(J2330, ""[A-Za-z ]+$"")")," min")</f>
        <v> min</v>
      </c>
      <c r="AA2330" s="5" t="str">
        <f>IFERROR(__xludf.DUMMYFUNCTION("IF(REGEXMATCH(Z2330, ""Season""), ""TV Show"", ""Movie"")"),"Movie")</f>
        <v>Movie</v>
      </c>
    </row>
    <row r="2331">
      <c r="A2331" s="1" t="s">
        <v>13215</v>
      </c>
      <c r="B2331" s="1" t="s">
        <v>37</v>
      </c>
      <c r="C2331" s="1" t="s">
        <v>13216</v>
      </c>
      <c r="E2331" s="1" t="s">
        <v>13217</v>
      </c>
      <c r="F2331" s="1" t="s">
        <v>1837</v>
      </c>
      <c r="G2331" s="1" t="s">
        <v>13218</v>
      </c>
      <c r="H2331" s="1">
        <v>2020.0</v>
      </c>
      <c r="I2331" s="1" t="s">
        <v>42</v>
      </c>
      <c r="J2331" s="1" t="s">
        <v>51</v>
      </c>
      <c r="K2331" s="1" t="s">
        <v>1822</v>
      </c>
      <c r="L2331" s="1" t="s">
        <v>13219</v>
      </c>
      <c r="M2331" s="2" t="s">
        <v>12</v>
      </c>
      <c r="N2331" s="4">
        <f t="shared" si="1"/>
        <v>44008</v>
      </c>
      <c r="O2331" s="5" t="str">
        <f>IFERROR(__xludf.DUMMYFUNCTION("IF(REGEXMATCH(TRIM(I2331), ""^\d+\s*min""), ""Unclassified"", IF(I2331 = """", ""NR"", I2331))"),"TV-MA")</f>
        <v>TV-MA</v>
      </c>
      <c r="R2331" s="5" t="str">
        <f t="shared" si="2"/>
        <v>All For Love</v>
      </c>
      <c r="S2331" s="5" t="str">
        <f>IFERROR(__xludf.DUMMYFUNCTION("""COMPUTED_VALUE"""),"Extracurricular")</f>
        <v>Extracurricular</v>
      </c>
      <c r="U2331" s="5" t="str">
        <f>IFERROR(__xludf.DUMMYFUNCTION("""COMPUTED_VALUE"""),"Kief Davidson")</f>
        <v>Kief Davidson</v>
      </c>
      <c r="V2331" s="5" t="s">
        <v>13220</v>
      </c>
      <c r="W2331" s="5" t="str">
        <f t="shared" si="3"/>
        <v>Kundan Shah</v>
      </c>
      <c r="X2331" s="5">
        <f t="shared" si="4"/>
        <v>4</v>
      </c>
      <c r="Y2331" s="5" t="str">
        <f>IFERROR(__xludf.DUMMYFUNCTION("REGEXEXTRACT(J2331, ""^\d+"")"),"1")</f>
        <v>1</v>
      </c>
      <c r="Z2331" s="5" t="str">
        <f>IFERROR(__xludf.DUMMYFUNCTION("REGEXEXTRACT(J2331, ""[A-Za-z ]+$"")")," Season")</f>
        <v> Season</v>
      </c>
      <c r="AA2331" s="5" t="str">
        <f>IFERROR(__xludf.DUMMYFUNCTION("IF(REGEXMATCH(Z2331, ""Season""), ""TV Show"", ""Movie"")"),"TV Show")</f>
        <v>TV Show</v>
      </c>
    </row>
    <row r="2332">
      <c r="A2332" s="1" t="s">
        <v>13221</v>
      </c>
      <c r="B2332" s="1" t="s">
        <v>27</v>
      </c>
      <c r="C2332" s="1" t="s">
        <v>13222</v>
      </c>
      <c r="D2332" s="1" t="s">
        <v>5889</v>
      </c>
      <c r="E2332" s="1" t="s">
        <v>13223</v>
      </c>
      <c r="F2332" s="1" t="s">
        <v>30</v>
      </c>
      <c r="G2332" s="1" t="s">
        <v>13218</v>
      </c>
      <c r="H2332" s="1">
        <v>2020.0</v>
      </c>
      <c r="I2332" s="1" t="s">
        <v>32</v>
      </c>
      <c r="J2332" s="1" t="s">
        <v>341</v>
      </c>
      <c r="K2332" s="1" t="s">
        <v>13224</v>
      </c>
      <c r="L2332" s="1" t="s">
        <v>13225</v>
      </c>
      <c r="M2332" s="2" t="s">
        <v>12</v>
      </c>
      <c r="N2332" s="4">
        <f t="shared" si="1"/>
        <v>44008</v>
      </c>
      <c r="O2332" s="5" t="str">
        <f>IFERROR(__xludf.DUMMYFUNCTION("IF(REGEXMATCH(TRIM(I2332), ""^\d+\s*min""), ""Unclassified"", IF(I2332 = """", ""NR"", I2332))"),"PG-13")</f>
        <v>PG-13</v>
      </c>
      <c r="R2332" s="5" t="str">
        <f t="shared" si="2"/>
        <v>Eurovision Song Contest: The Story Of Fire Saga</v>
      </c>
      <c r="S2332" s="5" t="str">
        <f>IFERROR(__xludf.DUMMYFUNCTION("""COMPUTED_VALUE"""),"Extras")</f>
        <v>Extras</v>
      </c>
      <c r="U2332" s="5" t="str">
        <f>IFERROR(__xludf.DUMMYFUNCTION("""COMPUTED_VALUE"""),"Rusty Cundieff, Darin Scott")</f>
        <v>Rusty Cundieff, Darin Scott</v>
      </c>
      <c r="V2332" s="5" t="s">
        <v>13226</v>
      </c>
      <c r="W2332" s="5" t="str">
        <f t="shared" si="3"/>
        <v>Kunihiko Yuyama</v>
      </c>
      <c r="X2332" s="5">
        <f t="shared" si="4"/>
        <v>1</v>
      </c>
      <c r="Y2332" s="5" t="str">
        <f>IFERROR(__xludf.DUMMYFUNCTION("REGEXEXTRACT(J2332, ""^\d+"")"),"124")</f>
        <v>124</v>
      </c>
      <c r="Z2332" s="5" t="str">
        <f>IFERROR(__xludf.DUMMYFUNCTION("REGEXEXTRACT(J2332, ""[A-Za-z ]+$"")")," min")</f>
        <v> min</v>
      </c>
      <c r="AA2332" s="5" t="str">
        <f>IFERROR(__xludf.DUMMYFUNCTION("IF(REGEXMATCH(Z2332, ""Season""), ""TV Show"", ""Movie"")"),"Movie")</f>
        <v>Movie</v>
      </c>
    </row>
    <row r="2333">
      <c r="A2333" s="1" t="s">
        <v>13227</v>
      </c>
      <c r="B2333" s="1" t="s">
        <v>37</v>
      </c>
      <c r="C2333" s="1" t="s">
        <v>13228</v>
      </c>
      <c r="F2333" s="1" t="s">
        <v>30</v>
      </c>
      <c r="G2333" s="1" t="s">
        <v>13218</v>
      </c>
      <c r="H2333" s="1">
        <v>2020.0</v>
      </c>
      <c r="I2333" s="1" t="s">
        <v>42</v>
      </c>
      <c r="J2333" s="1" t="s">
        <v>51</v>
      </c>
      <c r="K2333" s="1" t="s">
        <v>1261</v>
      </c>
      <c r="L2333" s="1" t="s">
        <v>13229</v>
      </c>
      <c r="M2333" s="2" t="s">
        <v>12</v>
      </c>
      <c r="N2333" s="4">
        <f t="shared" si="1"/>
        <v>44008</v>
      </c>
      <c r="O2333" s="5" t="str">
        <f>IFERROR(__xludf.DUMMYFUNCTION("IF(REGEXMATCH(TRIM(I2333), ""^\d+\s*min""), ""Unclassified"", IF(I2333 = """", ""NR"", I2333))"),"TV-MA")</f>
        <v>TV-MA</v>
      </c>
      <c r="R2333" s="5" t="str">
        <f t="shared" si="2"/>
        <v>Home Game</v>
      </c>
      <c r="S2333" s="5" t="str">
        <f>IFERROR(__xludf.DUMMYFUNCTION("""COMPUTED_VALUE"""),"Extreme Engagement")</f>
        <v>Extreme Engagement</v>
      </c>
      <c r="U2333" s="5" t="str">
        <f>IFERROR(__xludf.DUMMYFUNCTION("""COMPUTED_VALUE"""),"Kabir Bhatia")</f>
        <v>Kabir Bhatia</v>
      </c>
      <c r="V2333" s="5" t="s">
        <v>13230</v>
      </c>
      <c r="W2333" s="5" t="str">
        <f t="shared" si="3"/>
        <v>Kunihiko Yuyama, Motonori Sakakibara</v>
      </c>
      <c r="X2333" s="5">
        <f t="shared" si="4"/>
        <v>1</v>
      </c>
      <c r="Y2333" s="5" t="str">
        <f>IFERROR(__xludf.DUMMYFUNCTION("REGEXEXTRACT(J2333, ""^\d+"")"),"1")</f>
        <v>1</v>
      </c>
      <c r="Z2333" s="5" t="str">
        <f>IFERROR(__xludf.DUMMYFUNCTION("REGEXEXTRACT(J2333, ""[A-Za-z ]+$"")")," Season")</f>
        <v> Season</v>
      </c>
      <c r="AA2333" s="5" t="str">
        <f>IFERROR(__xludf.DUMMYFUNCTION("IF(REGEXMATCH(Z2333, ""Season""), ""TV Show"", ""Movie"")"),"TV Show")</f>
        <v>TV Show</v>
      </c>
    </row>
    <row r="2334">
      <c r="A2334" s="1" t="s">
        <v>13231</v>
      </c>
      <c r="B2334" s="1" t="s">
        <v>27</v>
      </c>
      <c r="C2334" s="1" t="s">
        <v>13232</v>
      </c>
      <c r="D2334" s="1" t="s">
        <v>13233</v>
      </c>
      <c r="E2334" s="1" t="s">
        <v>13234</v>
      </c>
      <c r="F2334" s="1" t="s">
        <v>400</v>
      </c>
      <c r="G2334" s="1" t="s">
        <v>13218</v>
      </c>
      <c r="H2334" s="1">
        <v>2019.0</v>
      </c>
      <c r="I2334" s="1" t="s">
        <v>97</v>
      </c>
      <c r="J2334" s="1" t="s">
        <v>743</v>
      </c>
      <c r="K2334" s="1" t="s">
        <v>215</v>
      </c>
      <c r="L2334" s="1" t="s">
        <v>13235</v>
      </c>
      <c r="M2334" s="2" t="s">
        <v>12</v>
      </c>
      <c r="N2334" s="4">
        <f t="shared" si="1"/>
        <v>44008</v>
      </c>
      <c r="O2334" s="5" t="str">
        <f>IFERROR(__xludf.DUMMYFUNCTION("IF(REGEXMATCH(TRIM(I2334), ""^\d+\s*min""), ""Unclassified"", IF(I2334 = """", ""NR"", I2334))"),"TV-14")</f>
        <v>TV-14</v>
      </c>
      <c r="R2334" s="5" t="str">
        <f t="shared" si="2"/>
        <v>Kasanova</v>
      </c>
      <c r="S2334" s="5" t="str">
        <f>IFERROR(__xludf.DUMMYFUNCTION("""COMPUTED_VALUE"""),"Extremely Wicked, Shockingly Evil And Vile")</f>
        <v>Extremely Wicked, Shockingly Evil And Vile</v>
      </c>
      <c r="U2334" s="5" t="str">
        <f>IFERROR(__xludf.DUMMYFUNCTION("""COMPUTED_VALUE"""),"Chris Eigeman")</f>
        <v>Chris Eigeman</v>
      </c>
      <c r="V2334" s="5" t="s">
        <v>10013</v>
      </c>
      <c r="W2334" s="5" t="str">
        <f t="shared" si="3"/>
        <v>Kunle Afolayan</v>
      </c>
      <c r="X2334" s="5">
        <f t="shared" si="4"/>
        <v>8</v>
      </c>
      <c r="Y2334" s="5" t="str">
        <f>IFERROR(__xludf.DUMMYFUNCTION("REGEXEXTRACT(J2334, ""^\d+"")"),"117")</f>
        <v>117</v>
      </c>
      <c r="Z2334" s="5" t="str">
        <f>IFERROR(__xludf.DUMMYFUNCTION("REGEXEXTRACT(J2334, ""[A-Za-z ]+$"")")," min")</f>
        <v> min</v>
      </c>
      <c r="AA2334" s="5" t="str">
        <f>IFERROR(__xludf.DUMMYFUNCTION("IF(REGEXMATCH(Z2334, ""Season""), ""TV Show"", ""Movie"")"),"Movie")</f>
        <v>Movie</v>
      </c>
    </row>
    <row r="2335">
      <c r="A2335" s="1" t="s">
        <v>13236</v>
      </c>
      <c r="B2335" s="1" t="s">
        <v>27</v>
      </c>
      <c r="C2335" s="1" t="s">
        <v>13237</v>
      </c>
      <c r="D2335" s="1" t="s">
        <v>6840</v>
      </c>
      <c r="E2335" s="1" t="s">
        <v>13238</v>
      </c>
      <c r="F2335" s="1" t="s">
        <v>4287</v>
      </c>
      <c r="G2335" s="1" t="s">
        <v>13218</v>
      </c>
      <c r="H2335" s="1">
        <v>2016.0</v>
      </c>
      <c r="I2335" s="1" t="s">
        <v>42</v>
      </c>
      <c r="J2335" s="1" t="s">
        <v>1256</v>
      </c>
      <c r="K2335" s="1" t="s">
        <v>89</v>
      </c>
      <c r="L2335" s="1" t="s">
        <v>13239</v>
      </c>
      <c r="M2335" s="2" t="s">
        <v>12</v>
      </c>
      <c r="N2335" s="4">
        <f t="shared" si="1"/>
        <v>44008</v>
      </c>
      <c r="O2335" s="5" t="str">
        <f>IFERROR(__xludf.DUMMYFUNCTION("IF(REGEXMATCH(TRIM(I2335), ""^\d+\s*min""), ""Unclassified"", IF(I2335 = """", ""NR"", I2335))"),"TV-MA")</f>
        <v>TV-MA</v>
      </c>
      <c r="R2335" s="5" t="str">
        <f t="shared" si="2"/>
        <v>Ordinary People</v>
      </c>
      <c r="S2335" s="5" t="str">
        <f>IFERROR(__xludf.DUMMYFUNCTION("""COMPUTED_VALUE"""),"Extremis")</f>
        <v>Extremis</v>
      </c>
      <c r="U2335" s="5" t="str">
        <f>IFERROR(__xludf.DUMMYFUNCTION("""COMPUTED_VALUE"""),"Olaf De Fleur")</f>
        <v>Olaf De Fleur</v>
      </c>
      <c r="V2335" s="5" t="s">
        <v>13240</v>
      </c>
      <c r="W2335" s="5" t="str">
        <f t="shared" si="3"/>
        <v>Kuntz Agus</v>
      </c>
      <c r="X2335" s="5">
        <f t="shared" si="4"/>
        <v>1</v>
      </c>
      <c r="Y2335" s="5" t="str">
        <f>IFERROR(__xludf.DUMMYFUNCTION("REGEXEXTRACT(J2335, ""^\d+"")"),"107")</f>
        <v>107</v>
      </c>
      <c r="Z2335" s="5" t="str">
        <f>IFERROR(__xludf.DUMMYFUNCTION("REGEXEXTRACT(J2335, ""[A-Za-z ]+$"")")," min")</f>
        <v> min</v>
      </c>
      <c r="AA2335" s="5" t="str">
        <f>IFERROR(__xludf.DUMMYFUNCTION("IF(REGEXMATCH(Z2335, ""Season""), ""TV Show"", ""Movie"")"),"Movie")</f>
        <v>Movie</v>
      </c>
    </row>
    <row r="2336">
      <c r="A2336" s="1" t="s">
        <v>13241</v>
      </c>
      <c r="B2336" s="1" t="s">
        <v>27</v>
      </c>
      <c r="C2336" s="1" t="s">
        <v>13242</v>
      </c>
      <c r="F2336" s="1" t="s">
        <v>63</v>
      </c>
      <c r="G2336" s="1" t="s">
        <v>13218</v>
      </c>
      <c r="H2336" s="1">
        <v>2019.0</v>
      </c>
      <c r="I2336" s="1" t="s">
        <v>42</v>
      </c>
      <c r="J2336" s="1" t="s">
        <v>264</v>
      </c>
      <c r="K2336" s="1" t="s">
        <v>679</v>
      </c>
      <c r="L2336" s="1" t="s">
        <v>13243</v>
      </c>
      <c r="M2336" s="2" t="s">
        <v>12</v>
      </c>
      <c r="N2336" s="4">
        <f t="shared" si="1"/>
        <v>44008</v>
      </c>
      <c r="O2336" s="5" t="str">
        <f>IFERROR(__xludf.DUMMYFUNCTION("IF(REGEXMATCH(TRIM(I2336), ""^\d+\s*min""), ""Unclassified"", IF(I2336 = """", ""NR"", I2336))"),"TV-MA")</f>
        <v>TV-MA</v>
      </c>
      <c r="R2336" s="5" t="str">
        <f t="shared" si="2"/>
        <v>Seven (Tamil)</v>
      </c>
      <c r="S2336" s="5" t="str">
        <f>IFERROR(__xludf.DUMMYFUNCTION("""COMPUTED_VALUE"""),"Eye For An Eye")</f>
        <v>Eye For An Eye</v>
      </c>
      <c r="U2336" s="5" t="str">
        <f>IFERROR(__xludf.DUMMYFUNCTION("""COMPUTED_VALUE"""),"Tamara Jenkins")</f>
        <v>Tamara Jenkins</v>
      </c>
      <c r="V2336" s="5" t="s">
        <v>13244</v>
      </c>
      <c r="W2336" s="5" t="str">
        <f t="shared" si="3"/>
        <v>Kurt Voelker</v>
      </c>
      <c r="X2336" s="5">
        <f t="shared" si="4"/>
        <v>1</v>
      </c>
      <c r="Y2336" s="5" t="str">
        <f>IFERROR(__xludf.DUMMYFUNCTION("REGEXEXTRACT(J2336, ""^\d+"")"),"111")</f>
        <v>111</v>
      </c>
      <c r="Z2336" s="5" t="str">
        <f>IFERROR(__xludf.DUMMYFUNCTION("REGEXEXTRACT(J2336, ""[A-Za-z ]+$"")")," min")</f>
        <v> min</v>
      </c>
      <c r="AA2336" s="5" t="str">
        <f>IFERROR(__xludf.DUMMYFUNCTION("IF(REGEXMATCH(Z2336, ""Season""), ""TV Show"", ""Movie"")"),"Movie")</f>
        <v>Movie</v>
      </c>
    </row>
    <row r="2337">
      <c r="A2337" s="1" t="s">
        <v>13245</v>
      </c>
      <c r="B2337" s="1" t="s">
        <v>27</v>
      </c>
      <c r="C2337" s="1" t="s">
        <v>13246</v>
      </c>
      <c r="G2337" s="1" t="s">
        <v>13218</v>
      </c>
      <c r="H2337" s="1">
        <v>2019.0</v>
      </c>
      <c r="I2337" s="1" t="s">
        <v>97</v>
      </c>
      <c r="J2337" s="1" t="s">
        <v>349</v>
      </c>
      <c r="K2337" s="1" t="s">
        <v>679</v>
      </c>
      <c r="L2337" s="1" t="s">
        <v>13243</v>
      </c>
      <c r="M2337" s="2" t="s">
        <v>12</v>
      </c>
      <c r="N2337" s="4">
        <f t="shared" si="1"/>
        <v>44008</v>
      </c>
      <c r="O2337" s="5" t="str">
        <f>IFERROR(__xludf.DUMMYFUNCTION("IF(REGEXMATCH(TRIM(I2337), ""^\d+\s*min""), ""Unclassified"", IF(I2337 = """", ""NR"", I2337))"),"TV-14")</f>
        <v>TV-14</v>
      </c>
      <c r="R2337" s="5" t="str">
        <f t="shared" si="2"/>
        <v>Seven (Telugu)</v>
      </c>
      <c r="S2337" s="5" t="str">
        <f>IFERROR(__xludf.DUMMYFUNCTION("""COMPUTED_VALUE"""),"Eyes Of A Thief")</f>
        <v>Eyes Of A Thief</v>
      </c>
      <c r="U2337" s="5" t="str">
        <f>IFERROR(__xludf.DUMMYFUNCTION("""COMPUTED_VALUE"""),"Kavi Raz")</f>
        <v>Kavi Raz</v>
      </c>
      <c r="V2337" s="5" t="s">
        <v>13247</v>
      </c>
      <c r="W2337" s="5" t="str">
        <f t="shared" si="3"/>
        <v>Kurt Wimmer</v>
      </c>
      <c r="X2337" s="5">
        <f t="shared" si="4"/>
        <v>1</v>
      </c>
      <c r="Y2337" s="5" t="str">
        <f>IFERROR(__xludf.DUMMYFUNCTION("REGEXEXTRACT(J2337, ""^\d+"")"),"116")</f>
        <v>116</v>
      </c>
      <c r="Z2337" s="5" t="str">
        <f>IFERROR(__xludf.DUMMYFUNCTION("REGEXEXTRACT(J2337, ""[A-Za-z ]+$"")")," min")</f>
        <v> min</v>
      </c>
      <c r="AA2337" s="5" t="str">
        <f>IFERROR(__xludf.DUMMYFUNCTION("IF(REGEXMATCH(Z2337, ""Season""), ""TV Show"", ""Movie"")"),"Movie")</f>
        <v>Movie</v>
      </c>
    </row>
    <row r="2338">
      <c r="A2338" s="1" t="s">
        <v>13248</v>
      </c>
      <c r="B2338" s="1" t="s">
        <v>27</v>
      </c>
      <c r="C2338" s="1" t="s">
        <v>13249</v>
      </c>
      <c r="D2338" s="1" t="s">
        <v>250</v>
      </c>
      <c r="E2338" s="1" t="s">
        <v>13199</v>
      </c>
      <c r="F2338" s="1" t="s">
        <v>63</v>
      </c>
      <c r="G2338" s="1" t="s">
        <v>13218</v>
      </c>
      <c r="H2338" s="1">
        <v>2019.0</v>
      </c>
      <c r="I2338" s="1" t="s">
        <v>97</v>
      </c>
      <c r="J2338" s="1" t="s">
        <v>1369</v>
      </c>
      <c r="K2338" s="1" t="s">
        <v>128</v>
      </c>
      <c r="L2338" s="1" t="s">
        <v>13250</v>
      </c>
      <c r="M2338" s="2" t="s">
        <v>12</v>
      </c>
      <c r="N2338" s="4">
        <f t="shared" si="1"/>
        <v>44008</v>
      </c>
      <c r="O2338" s="5" t="str">
        <f>IFERROR(__xludf.DUMMYFUNCTION("IF(REGEXMATCH(TRIM(I2338), ""^\d+\s*min""), ""Unclassified"", IF(I2338 = """", ""NR"", I2338))"),"TV-14")</f>
        <v>TV-14</v>
      </c>
      <c r="R2338" s="5" t="str">
        <f t="shared" si="2"/>
        <v>Thackeray (Hindi)</v>
      </c>
      <c r="S2338" s="5" t="str">
        <f>IFERROR(__xludf.DUMMYFUNCTION("""COMPUTED_VALUE"""),"Eyyvah Eyyvah")</f>
        <v>Eyyvah Eyyvah</v>
      </c>
      <c r="U2338" s="5" t="str">
        <f>IFERROR(__xludf.DUMMYFUNCTION("""COMPUTED_VALUE"""),"Nick Simon")</f>
        <v>Nick Simon</v>
      </c>
      <c r="V2338" s="5" t="s">
        <v>13251</v>
      </c>
      <c r="W2338" s="5" t="str">
        <f t="shared" si="3"/>
        <v>Kushal Srivastava</v>
      </c>
      <c r="X2338" s="5">
        <f t="shared" si="4"/>
        <v>1</v>
      </c>
      <c r="Y2338" s="5" t="str">
        <f>IFERROR(__xludf.DUMMYFUNCTION("REGEXEXTRACT(J2338, ""^\d+"")"),"135")</f>
        <v>135</v>
      </c>
      <c r="Z2338" s="5" t="str">
        <f>IFERROR(__xludf.DUMMYFUNCTION("REGEXEXTRACT(J2338, ""[A-Za-z ]+$"")")," min")</f>
        <v> min</v>
      </c>
      <c r="AA2338" s="5" t="str">
        <f>IFERROR(__xludf.DUMMYFUNCTION("IF(REGEXMATCH(Z2338, ""Season""), ""TV Show"", ""Movie"")"),"Movie")</f>
        <v>Movie</v>
      </c>
    </row>
    <row r="2339">
      <c r="A2339" s="1" t="s">
        <v>13252</v>
      </c>
      <c r="B2339" s="1" t="s">
        <v>37</v>
      </c>
      <c r="C2339" s="1" t="s">
        <v>13253</v>
      </c>
      <c r="E2339" s="1" t="s">
        <v>13254</v>
      </c>
      <c r="F2339" s="1" t="s">
        <v>749</v>
      </c>
      <c r="G2339" s="1" t="s">
        <v>13218</v>
      </c>
      <c r="H2339" s="1">
        <v>2020.0</v>
      </c>
      <c r="I2339" s="1" t="s">
        <v>506</v>
      </c>
      <c r="J2339" s="1" t="s">
        <v>51</v>
      </c>
      <c r="K2339" s="1" t="s">
        <v>13255</v>
      </c>
      <c r="L2339" s="1" t="s">
        <v>13256</v>
      </c>
      <c r="M2339" s="2" t="s">
        <v>12</v>
      </c>
      <c r="N2339" s="4">
        <f t="shared" si="1"/>
        <v>44008</v>
      </c>
      <c r="O2339" s="5" t="str">
        <f>IFERROR(__xludf.DUMMYFUNCTION("IF(REGEXMATCH(TRIM(I2339), ""^\d+\s*min""), ""Unclassified"", IF(I2339 = """", ""NR"", I2339))"),"TV-G")</f>
        <v>TV-G</v>
      </c>
      <c r="R2339" s="5" t="str">
        <f t="shared" si="2"/>
        <v>Twogether</v>
      </c>
      <c r="S2339" s="5" t="str">
        <f>IFERROR(__xludf.DUMMYFUNCTION("""COMPUTED_VALUE"""),"Eyyvah Eyyvah 2")</f>
        <v>Eyyvah Eyyvah 2</v>
      </c>
      <c r="U2339" s="5" t="str">
        <f>IFERROR(__xludf.DUMMYFUNCTION("""COMPUTED_VALUE"""),"Eric Idle, Aubrey Powell")</f>
        <v>Eric Idle, Aubrey Powell</v>
      </c>
      <c r="V2339" s="5" t="s">
        <v>13257</v>
      </c>
      <c r="W2339" s="5" t="str">
        <f t="shared" si="3"/>
        <v>Kvr Mahendra</v>
      </c>
      <c r="X2339" s="5">
        <f t="shared" si="4"/>
        <v>1</v>
      </c>
      <c r="Y2339" s="5" t="str">
        <f>IFERROR(__xludf.DUMMYFUNCTION("REGEXEXTRACT(J2339, ""^\d+"")"),"1")</f>
        <v>1</v>
      </c>
      <c r="Z2339" s="5" t="str">
        <f>IFERROR(__xludf.DUMMYFUNCTION("REGEXEXTRACT(J2339, ""[A-Za-z ]+$"")")," Season")</f>
        <v> Season</v>
      </c>
      <c r="AA2339" s="5" t="str">
        <f>IFERROR(__xludf.DUMMYFUNCTION("IF(REGEXMATCH(Z2339, ""Season""), ""TV Show"", ""Movie"")"),"TV Show")</f>
        <v>TV Show</v>
      </c>
    </row>
    <row r="2340">
      <c r="A2340" s="1" t="s">
        <v>13258</v>
      </c>
      <c r="B2340" s="1" t="s">
        <v>27</v>
      </c>
      <c r="C2340" s="1" t="s">
        <v>13259</v>
      </c>
      <c r="D2340" s="1" t="s">
        <v>13260</v>
      </c>
      <c r="E2340" s="1" t="s">
        <v>13261</v>
      </c>
      <c r="F2340" s="1" t="s">
        <v>63</v>
      </c>
      <c r="G2340" s="1" t="s">
        <v>13262</v>
      </c>
      <c r="H2340" s="1">
        <v>2020.0</v>
      </c>
      <c r="I2340" s="1" t="s">
        <v>42</v>
      </c>
      <c r="J2340" s="1" t="s">
        <v>3458</v>
      </c>
      <c r="K2340" s="1" t="s">
        <v>3183</v>
      </c>
      <c r="L2340" s="1" t="s">
        <v>13263</v>
      </c>
      <c r="M2340" s="2" t="s">
        <v>12</v>
      </c>
      <c r="N2340" s="4">
        <f t="shared" si="1"/>
        <v>44007</v>
      </c>
      <c r="O2340" s="5" t="str">
        <f>IFERROR(__xludf.DUMMYFUNCTION("IF(REGEXMATCH(TRIM(I2340), ""^\d+\s*min""), ""Unclassified"", IF(I2340 = """", ""NR"", I2340))"),"TV-MA")</f>
        <v>TV-MA</v>
      </c>
      <c r="R2340" s="5" t="str">
        <f t="shared" si="2"/>
        <v>Krishna And His Leela</v>
      </c>
      <c r="S2340" s="5" t="str">
        <f>IFERROR(__xludf.DUMMYFUNCTION("""COMPUTED_VALUE"""),"Eyyvah Eyyvah 3")</f>
        <v>Eyyvah Eyyvah 3</v>
      </c>
      <c r="U2340" s="5" t="str">
        <f>IFERROR(__xludf.DUMMYFUNCTION("""COMPUTED_VALUE"""),"Anthony Giordano")</f>
        <v>Anthony Giordano</v>
      </c>
      <c r="V2340" s="5" t="s">
        <v>13264</v>
      </c>
      <c r="W2340" s="5" t="str">
        <f t="shared" si="3"/>
        <v>Kwabena Gyansah</v>
      </c>
      <c r="X2340" s="5">
        <f t="shared" si="4"/>
        <v>1</v>
      </c>
      <c r="Y2340" s="5" t="str">
        <f>IFERROR(__xludf.DUMMYFUNCTION("REGEXEXTRACT(J2340, ""^\d+"")"),"126")</f>
        <v>126</v>
      </c>
      <c r="Z2340" s="5" t="str">
        <f>IFERROR(__xludf.DUMMYFUNCTION("REGEXEXTRACT(J2340, ""[A-Za-z ]+$"")")," min")</f>
        <v> min</v>
      </c>
      <c r="AA2340" s="5" t="str">
        <f>IFERROR(__xludf.DUMMYFUNCTION("IF(REGEXMATCH(Z2340, ""Season""), ""TV Show"", ""Movie"")"),"Movie")</f>
        <v>Movie</v>
      </c>
    </row>
    <row r="2341">
      <c r="A2341" s="1" t="s">
        <v>13265</v>
      </c>
      <c r="B2341" s="1" t="s">
        <v>27</v>
      </c>
      <c r="C2341" s="1" t="s">
        <v>13266</v>
      </c>
      <c r="D2341" s="1" t="s">
        <v>13267</v>
      </c>
      <c r="E2341" s="1" t="s">
        <v>13268</v>
      </c>
      <c r="F2341" s="1" t="s">
        <v>63</v>
      </c>
      <c r="G2341" s="1" t="s">
        <v>13262</v>
      </c>
      <c r="H2341" s="1">
        <v>2015.0</v>
      </c>
      <c r="I2341" s="1" t="s">
        <v>97</v>
      </c>
      <c r="J2341" s="1" t="s">
        <v>6617</v>
      </c>
      <c r="K2341" s="1" t="s">
        <v>306</v>
      </c>
      <c r="L2341" s="1" t="s">
        <v>13269</v>
      </c>
      <c r="M2341" s="2" t="s">
        <v>12</v>
      </c>
      <c r="N2341" s="4">
        <f t="shared" si="1"/>
        <v>44007</v>
      </c>
      <c r="O2341" s="5" t="str">
        <f>IFERROR(__xludf.DUMMYFUNCTION("IF(REGEXMATCH(TRIM(I2341), ""^\d+\s*min""), ""Unclassified"", IF(I2341 = """", ""NR"", I2341))"),"TV-14")</f>
        <v>TV-14</v>
      </c>
      <c r="R2341" s="5" t="str">
        <f t="shared" si="2"/>
        <v>Prem Ratan Dhan Payo</v>
      </c>
      <c r="S2341" s="5" t="str">
        <f>IFERROR(__xludf.DUMMYFUNCTION("""COMPUTED_VALUE"""),"Ezel")</f>
        <v>Ezel</v>
      </c>
      <c r="U2341" s="5" t="str">
        <f>IFERROR(__xludf.DUMMYFUNCTION("""COMPUTED_VALUE"""),"Will Yapp")</f>
        <v>Will Yapp</v>
      </c>
      <c r="V2341" s="5" t="s">
        <v>13270</v>
      </c>
      <c r="W2341" s="5" t="str">
        <f t="shared" si="3"/>
        <v>Kyle Newacheck</v>
      </c>
      <c r="X2341" s="5">
        <f t="shared" si="4"/>
        <v>2</v>
      </c>
      <c r="Y2341" s="5" t="str">
        <f>IFERROR(__xludf.DUMMYFUNCTION("REGEXEXTRACT(J2341, ""^\d+"")"),"164")</f>
        <v>164</v>
      </c>
      <c r="Z2341" s="5" t="str">
        <f>IFERROR(__xludf.DUMMYFUNCTION("REGEXEXTRACT(J2341, ""[A-Za-z ]+$"")")," min")</f>
        <v> min</v>
      </c>
      <c r="AA2341" s="5" t="str">
        <f>IFERROR(__xludf.DUMMYFUNCTION("IF(REGEXMATCH(Z2341, ""Season""), ""TV Show"", ""Movie"")"),"Movie")</f>
        <v>Movie</v>
      </c>
    </row>
    <row r="2342">
      <c r="A2342" s="1" t="s">
        <v>13271</v>
      </c>
      <c r="B2342" s="1" t="s">
        <v>27</v>
      </c>
      <c r="C2342" s="1" t="s">
        <v>13272</v>
      </c>
      <c r="D2342" s="1" t="s">
        <v>13267</v>
      </c>
      <c r="E2342" s="1" t="s">
        <v>13273</v>
      </c>
      <c r="F2342" s="1" t="s">
        <v>63</v>
      </c>
      <c r="G2342" s="1" t="s">
        <v>13262</v>
      </c>
      <c r="H2342" s="1">
        <v>2006.0</v>
      </c>
      <c r="I2342" s="1" t="s">
        <v>97</v>
      </c>
      <c r="J2342" s="1" t="s">
        <v>214</v>
      </c>
      <c r="K2342" s="1" t="s">
        <v>679</v>
      </c>
      <c r="L2342" s="1" t="s">
        <v>13274</v>
      </c>
      <c r="M2342" s="2" t="s">
        <v>12</v>
      </c>
      <c r="N2342" s="4">
        <f t="shared" si="1"/>
        <v>44007</v>
      </c>
      <c r="O2342" s="5" t="str">
        <f>IFERROR(__xludf.DUMMYFUNCTION("IF(REGEXMATCH(TRIM(I2342), ""^\d+\s*min""), ""Unclassified"", IF(I2342 = """", ""NR"", I2342))"),"TV-14")</f>
        <v>TV-14</v>
      </c>
      <c r="R2342" s="5" t="str">
        <f t="shared" si="2"/>
        <v>Vivah</v>
      </c>
      <c r="S2342" s="5" t="str">
        <f>IFERROR(__xludf.DUMMYFUNCTION("""COMPUTED_VALUE"""),"F Is For Family")</f>
        <v>F Is For Family</v>
      </c>
      <c r="U2342" s="5" t="str">
        <f>IFERROR(__xludf.DUMMYFUNCTION("""COMPUTED_VALUE"""),"Eric Idle")</f>
        <v>Eric Idle</v>
      </c>
      <c r="V2342" s="5" t="s">
        <v>13275</v>
      </c>
      <c r="W2342" s="5" t="str">
        <f t="shared" si="3"/>
        <v>Kyle Newman</v>
      </c>
      <c r="X2342" s="5">
        <f t="shared" si="4"/>
        <v>1</v>
      </c>
      <c r="Y2342" s="5" t="str">
        <f>IFERROR(__xludf.DUMMYFUNCTION("REGEXEXTRACT(J2342, ""^\d+"")"),"166")</f>
        <v>166</v>
      </c>
      <c r="Z2342" s="5" t="str">
        <f>IFERROR(__xludf.DUMMYFUNCTION("REGEXEXTRACT(J2342, ""[A-Za-z ]+$"")")," min")</f>
        <v> min</v>
      </c>
      <c r="AA2342" s="5" t="str">
        <f>IFERROR(__xludf.DUMMYFUNCTION("IF(REGEXMATCH(Z2342, ""Season""), ""TV Show"", ""Movie"")"),"Movie")</f>
        <v>Movie</v>
      </c>
    </row>
    <row r="2343">
      <c r="A2343" s="1" t="s">
        <v>13276</v>
      </c>
      <c r="B2343" s="1" t="s">
        <v>27</v>
      </c>
      <c r="C2343" s="1" t="s">
        <v>13277</v>
      </c>
      <c r="D2343" s="1" t="s">
        <v>3579</v>
      </c>
      <c r="F2343" s="1" t="s">
        <v>30</v>
      </c>
      <c r="G2343" s="1" t="s">
        <v>13278</v>
      </c>
      <c r="H2343" s="1">
        <v>2020.0</v>
      </c>
      <c r="I2343" s="1" t="s">
        <v>32</v>
      </c>
      <c r="J2343" s="1" t="s">
        <v>106</v>
      </c>
      <c r="K2343" s="1" t="s">
        <v>645</v>
      </c>
      <c r="L2343" s="1" t="s">
        <v>13279</v>
      </c>
      <c r="M2343" s="2" t="s">
        <v>12</v>
      </c>
      <c r="N2343" s="4">
        <f t="shared" si="1"/>
        <v>44006</v>
      </c>
      <c r="O2343" s="5" t="str">
        <f>IFERROR(__xludf.DUMMYFUNCTION("IF(REGEXMATCH(TRIM(I2343), ""^\d+\s*min""), ""Unclassified"", IF(I2343 = """", ""NR"", I2343))"),"PG-13")</f>
        <v>PG-13</v>
      </c>
      <c r="R2343" s="5" t="str">
        <f t="shared" si="2"/>
        <v>Athlete A</v>
      </c>
      <c r="S2343" s="5" t="str">
        <f>IFERROR(__xludf.DUMMYFUNCTION("""COMPUTED_VALUE"""),"F The Prom")</f>
        <v>F The Prom</v>
      </c>
      <c r="U2343" s="5" t="str">
        <f>IFERROR(__xludf.DUMMYFUNCTION("""COMPUTED_VALUE"""),"Terry Hughes, Ian Macnaughton")</f>
        <v>Terry Hughes, Ian Macnaughton</v>
      </c>
      <c r="V2343" s="5" t="s">
        <v>13280</v>
      </c>
      <c r="W2343" s="5" t="str">
        <f t="shared" si="3"/>
        <v>Kyle Patrick Alvarez</v>
      </c>
      <c r="X2343" s="5">
        <f t="shared" si="4"/>
        <v>1</v>
      </c>
      <c r="Y2343" s="5" t="str">
        <f>IFERROR(__xludf.DUMMYFUNCTION("REGEXEXTRACT(J2343, ""^\d+"")"),"104")</f>
        <v>104</v>
      </c>
      <c r="Z2343" s="5" t="str">
        <f>IFERROR(__xludf.DUMMYFUNCTION("REGEXEXTRACT(J2343, ""[A-Za-z ]+$"")")," min")</f>
        <v> min</v>
      </c>
      <c r="AA2343" s="5" t="str">
        <f>IFERROR(__xludf.DUMMYFUNCTION("IF(REGEXMATCH(Z2343, ""Season""), ""TV Show"", ""Movie"")"),"Movie")</f>
        <v>Movie</v>
      </c>
    </row>
    <row r="2344">
      <c r="A2344" s="1" t="s">
        <v>13281</v>
      </c>
      <c r="B2344" s="1" t="s">
        <v>27</v>
      </c>
      <c r="C2344" s="1" t="s">
        <v>13282</v>
      </c>
      <c r="D2344" s="1" t="s">
        <v>2441</v>
      </c>
      <c r="E2344" s="1" t="s">
        <v>13283</v>
      </c>
      <c r="F2344" s="1" t="s">
        <v>63</v>
      </c>
      <c r="G2344" s="1" t="s">
        <v>13278</v>
      </c>
      <c r="H2344" s="1">
        <v>2020.0</v>
      </c>
      <c r="I2344" s="1" t="s">
        <v>42</v>
      </c>
      <c r="J2344" s="1" t="s">
        <v>170</v>
      </c>
      <c r="K2344" s="1" t="s">
        <v>1441</v>
      </c>
      <c r="L2344" s="1" t="s">
        <v>13284</v>
      </c>
      <c r="M2344" s="2" t="s">
        <v>12</v>
      </c>
      <c r="N2344" s="4">
        <f t="shared" si="1"/>
        <v>44006</v>
      </c>
      <c r="O2344" s="5" t="str">
        <f>IFERROR(__xludf.DUMMYFUNCTION("IF(REGEXMATCH(TRIM(I2344), ""^\d+\s*min""), ""Unclassified"", IF(I2344 = """", ""NR"", I2344))"),"TV-MA")</f>
        <v>TV-MA</v>
      </c>
      <c r="R2344" s="5" t="str">
        <f t="shared" si="2"/>
        <v>Bulbbul</v>
      </c>
      <c r="S2344" s="5" t="str">
        <f>IFERROR(__xludf.DUMMYFUNCTION("""COMPUTED_VALUE"""),"F.R.E.D.I.")</f>
        <v>F.R.E.D.I.</v>
      </c>
      <c r="U2344" s="5" t="str">
        <f>IFERROR(__xludf.DUMMYFUNCTION("""COMPUTED_VALUE"""),"Roger Graef, James Rogan")</f>
        <v>Roger Graef, James Rogan</v>
      </c>
      <c r="V2344" s="5" t="s">
        <v>13285</v>
      </c>
      <c r="W2344" s="5" t="str">
        <f t="shared" si="3"/>
        <v>Kyle Rankin</v>
      </c>
      <c r="X2344" s="5">
        <f t="shared" si="4"/>
        <v>1</v>
      </c>
      <c r="Y2344" s="5" t="str">
        <f>IFERROR(__xludf.DUMMYFUNCTION("REGEXEXTRACT(J2344, ""^\d+"")"),"94")</f>
        <v>94</v>
      </c>
      <c r="Z2344" s="5" t="str">
        <f>IFERROR(__xludf.DUMMYFUNCTION("REGEXEXTRACT(J2344, ""[A-Za-z ]+$"")")," min")</f>
        <v> min</v>
      </c>
      <c r="AA2344" s="5" t="str">
        <f>IFERROR(__xludf.DUMMYFUNCTION("IF(REGEXMATCH(Z2344, ""Season""), ""TV Show"", ""Movie"")"),"Movie")</f>
        <v>Movie</v>
      </c>
    </row>
    <row r="2345">
      <c r="A2345" s="1" t="s">
        <v>13286</v>
      </c>
      <c r="B2345" s="1" t="s">
        <v>37</v>
      </c>
      <c r="C2345" s="1" t="s">
        <v>13287</v>
      </c>
      <c r="E2345" s="1" t="s">
        <v>13288</v>
      </c>
      <c r="F2345" s="1" t="s">
        <v>96</v>
      </c>
      <c r="G2345" s="1" t="s">
        <v>13278</v>
      </c>
      <c r="H2345" s="1">
        <v>2020.0</v>
      </c>
      <c r="I2345" s="1" t="s">
        <v>136</v>
      </c>
      <c r="J2345" s="1" t="s">
        <v>51</v>
      </c>
      <c r="K2345" s="1" t="s">
        <v>2382</v>
      </c>
      <c r="L2345" s="1" t="s">
        <v>13289</v>
      </c>
      <c r="M2345" s="2" t="s">
        <v>12</v>
      </c>
      <c r="N2345" s="4">
        <f t="shared" si="1"/>
        <v>44006</v>
      </c>
      <c r="O2345" s="5" t="str">
        <f>IFERROR(__xludf.DUMMYFUNCTION("IF(REGEXMATCH(TRIM(I2345), ""^\d+\s*min""), ""Unclassified"", IF(I2345 = """", ""NR"", I2345))"),"TV-PG")</f>
        <v>TV-PG</v>
      </c>
      <c r="R2345" s="5" t="str">
        <f t="shared" si="2"/>
        <v>Crazy Delicious</v>
      </c>
      <c r="S2345" s="5" t="str">
        <f>IFERROR(__xludf.DUMMYFUNCTION("""COMPUTED_VALUE"""),"Fabrizio Copano: Solo Pienso En Mi")</f>
        <v>Fabrizio Copano: Solo Pienso En Mi</v>
      </c>
      <c r="U2345" s="5" t="str">
        <f>IFERROR(__xludf.DUMMYFUNCTION("""COMPUTED_VALUE"""),"Terry Jones")</f>
        <v>Terry Jones</v>
      </c>
      <c r="V2345" s="5" t="s">
        <v>13290</v>
      </c>
      <c r="W2345" s="5" t="str">
        <f t="shared" si="3"/>
        <v>Kyle Rideout</v>
      </c>
      <c r="X2345" s="5">
        <f t="shared" si="4"/>
        <v>1</v>
      </c>
      <c r="Y2345" s="5" t="str">
        <f>IFERROR(__xludf.DUMMYFUNCTION("REGEXEXTRACT(J2345, ""^\d+"")"),"1")</f>
        <v>1</v>
      </c>
      <c r="Z2345" s="5" t="str">
        <f>IFERROR(__xludf.DUMMYFUNCTION("REGEXEXTRACT(J2345, ""[A-Za-z ]+$"")")," Season")</f>
        <v> Season</v>
      </c>
      <c r="AA2345" s="5" t="str">
        <f>IFERROR(__xludf.DUMMYFUNCTION("IF(REGEXMATCH(Z2345, ""Season""), ""TV Show"", ""Movie"")"),"TV Show")</f>
        <v>TV Show</v>
      </c>
    </row>
    <row r="2346">
      <c r="A2346" s="1" t="s">
        <v>13291</v>
      </c>
      <c r="B2346" s="1" t="s">
        <v>27</v>
      </c>
      <c r="C2346" s="1" t="s">
        <v>13292</v>
      </c>
      <c r="D2346" s="1" t="s">
        <v>8219</v>
      </c>
      <c r="E2346" s="1" t="s">
        <v>13293</v>
      </c>
      <c r="F2346" s="1" t="s">
        <v>13294</v>
      </c>
      <c r="G2346" s="1" t="s">
        <v>13278</v>
      </c>
      <c r="H2346" s="1">
        <v>2020.0</v>
      </c>
      <c r="I2346" s="1" t="s">
        <v>42</v>
      </c>
      <c r="J2346" s="1" t="s">
        <v>665</v>
      </c>
      <c r="K2346" s="1" t="s">
        <v>89</v>
      </c>
      <c r="L2346" s="1" t="s">
        <v>13295</v>
      </c>
      <c r="M2346" s="2" t="s">
        <v>12</v>
      </c>
      <c r="N2346" s="4">
        <f t="shared" si="1"/>
        <v>44006</v>
      </c>
      <c r="O2346" s="5" t="str">
        <f>IFERROR(__xludf.DUMMYFUNCTION("IF(REGEXMATCH(TRIM(I2346), ""^\d+\s*min""), ""Unclassified"", IF(I2346 = """", ""NR"", I2346))"),"TV-MA")</f>
        <v>TV-MA</v>
      </c>
      <c r="R2346" s="5" t="str">
        <f t="shared" si="2"/>
        <v>Nobody Knows I'M Here</v>
      </c>
      <c r="S2346" s="5" t="str">
        <f>IFERROR(__xludf.DUMMYFUNCTION("""COMPUTED_VALUE"""),"Fabulous Lives Of Bollywood Wives")</f>
        <v>Fabulous Lives Of Bollywood Wives</v>
      </c>
      <c r="U2346" s="5" t="str">
        <f>IFERROR(__xludf.DUMMYFUNCTION("""COMPUTED_VALUE"""),"Ian Macnaughton")</f>
        <v>Ian Macnaughton</v>
      </c>
      <c r="V2346" s="5" t="s">
        <v>2726</v>
      </c>
      <c r="W2346" s="5" t="str">
        <f t="shared" si="3"/>
        <v>Kyohei Ishiguro</v>
      </c>
      <c r="X2346" s="5">
        <f t="shared" si="4"/>
        <v>1</v>
      </c>
      <c r="Y2346" s="5" t="str">
        <f>IFERROR(__xludf.DUMMYFUNCTION("REGEXEXTRACT(J2346, ""^\d+"")"),"92")</f>
        <v>92</v>
      </c>
      <c r="Z2346" s="5" t="str">
        <f>IFERROR(__xludf.DUMMYFUNCTION("REGEXEXTRACT(J2346, ""[A-Za-z ]+$"")")," min")</f>
        <v> min</v>
      </c>
      <c r="AA2346" s="5" t="str">
        <f>IFERROR(__xludf.DUMMYFUNCTION("IF(REGEXMATCH(Z2346, ""Season""), ""TV Show"", ""Movie"")"),"Movie")</f>
        <v>Movie</v>
      </c>
    </row>
    <row r="2347">
      <c r="A2347" s="1" t="s">
        <v>13296</v>
      </c>
      <c r="B2347" s="1" t="s">
        <v>27</v>
      </c>
      <c r="C2347" s="1" t="s">
        <v>13297</v>
      </c>
      <c r="D2347" s="1" t="s">
        <v>7210</v>
      </c>
      <c r="E2347" s="1" t="s">
        <v>13298</v>
      </c>
      <c r="F2347" s="1" t="s">
        <v>30</v>
      </c>
      <c r="G2347" s="1" t="s">
        <v>13299</v>
      </c>
      <c r="H2347" s="1">
        <v>2020.0</v>
      </c>
      <c r="I2347" s="1" t="s">
        <v>42</v>
      </c>
      <c r="J2347" s="1" t="s">
        <v>8095</v>
      </c>
      <c r="K2347" s="1" t="s">
        <v>1839</v>
      </c>
      <c r="L2347" s="1" t="s">
        <v>13300</v>
      </c>
      <c r="M2347" s="2" t="s">
        <v>12</v>
      </c>
      <c r="N2347" s="4">
        <f t="shared" si="1"/>
        <v>44005</v>
      </c>
      <c r="O2347" s="5" t="str">
        <f>IFERROR(__xludf.DUMMYFUNCTION("IF(REGEXMATCH(TRIM(I2347), ""^\d+\s*min""), ""Unclassified"", IF(I2347 = """", ""NR"", I2347))"),"TV-MA")</f>
        <v>TV-MA</v>
      </c>
      <c r="R2347" s="5" t="str">
        <f t="shared" si="2"/>
        <v>Eric Andre: Legalize Everything</v>
      </c>
      <c r="S2347" s="5" t="str">
        <f>IFERROR(__xludf.DUMMYFUNCTION("""COMPUTED_VALUE"""),"Face 2 Face")</f>
        <v>Face 2 Face</v>
      </c>
      <c r="U2347" s="5" t="str">
        <f>IFERROR(__xludf.DUMMYFUNCTION("""COMPUTED_VALUE"""),"Albert Sharpe")</f>
        <v>Albert Sharpe</v>
      </c>
      <c r="V2347" s="5" t="s">
        <v>13301</v>
      </c>
      <c r="W2347" s="5" t="str">
        <f t="shared" si="3"/>
        <v>Kyoko Miyake</v>
      </c>
      <c r="X2347" s="5">
        <f t="shared" si="4"/>
        <v>1</v>
      </c>
      <c r="Y2347" s="5" t="str">
        <f>IFERROR(__xludf.DUMMYFUNCTION("REGEXEXTRACT(J2347, ""^\d+"")"),"52")</f>
        <v>52</v>
      </c>
      <c r="Z2347" s="5" t="str">
        <f>IFERROR(__xludf.DUMMYFUNCTION("REGEXEXTRACT(J2347, ""[A-Za-z ]+$"")")," min")</f>
        <v> min</v>
      </c>
      <c r="AA2347" s="5" t="str">
        <f>IFERROR(__xludf.DUMMYFUNCTION("IF(REGEXMATCH(Z2347, ""Season""), ""TV Show"", ""Movie"")"),"Movie")</f>
        <v>Movie</v>
      </c>
    </row>
    <row r="2348">
      <c r="A2348" s="1" t="s">
        <v>13302</v>
      </c>
      <c r="B2348" s="1" t="s">
        <v>37</v>
      </c>
      <c r="C2348" s="1" t="s">
        <v>13303</v>
      </c>
      <c r="E2348" s="1" t="s">
        <v>13304</v>
      </c>
      <c r="F2348" s="1" t="s">
        <v>30</v>
      </c>
      <c r="G2348" s="1" t="s">
        <v>13299</v>
      </c>
      <c r="H2348" s="1">
        <v>2020.0</v>
      </c>
      <c r="I2348" s="1" t="s">
        <v>97</v>
      </c>
      <c r="J2348" s="1" t="s">
        <v>43</v>
      </c>
      <c r="K2348" s="1" t="s">
        <v>13305</v>
      </c>
      <c r="L2348" s="1" t="s">
        <v>13306</v>
      </c>
      <c r="M2348" s="2" t="s">
        <v>12</v>
      </c>
      <c r="N2348" s="4">
        <f t="shared" si="1"/>
        <v>44005</v>
      </c>
      <c r="O2348" s="5" t="str">
        <f>IFERROR(__xludf.DUMMYFUNCTION("IF(REGEXMATCH(TRIM(I2348), ""^\d+\s*min""), ""Unclassified"", IF(I2348 = """", ""NR"", I2348))"),"TV-14")</f>
        <v>TV-14</v>
      </c>
      <c r="R2348" s="5" t="str">
        <f t="shared" si="2"/>
        <v>Roswell, New Mexico</v>
      </c>
      <c r="S2348" s="5" t="str">
        <f>IFERROR(__xludf.DUMMYFUNCTION("""COMPUTED_VALUE"""),"Fadily Camara : La Plus Drôle De Tes Copines")</f>
        <v>Fadily Camara : La Plus Drôle De Tes Copines</v>
      </c>
      <c r="U2348" s="5" t="str">
        <f>IFERROR(__xludf.DUMMYFUNCTION("""COMPUTED_VALUE"""),"Simranjit Singh Hundal")</f>
        <v>Simranjit Singh Hundal</v>
      </c>
      <c r="V2348" s="5" t="s">
        <v>13103</v>
      </c>
      <c r="W2348" s="5" t="str">
        <f t="shared" si="3"/>
        <v>Kyran Kelly</v>
      </c>
      <c r="X2348" s="5">
        <f t="shared" si="4"/>
        <v>2</v>
      </c>
      <c r="Y2348" s="5" t="str">
        <f>IFERROR(__xludf.DUMMYFUNCTION("REGEXEXTRACT(J2348, ""^\d+"")"),"2")</f>
        <v>2</v>
      </c>
      <c r="Z2348" s="5" t="str">
        <f>IFERROR(__xludf.DUMMYFUNCTION("REGEXEXTRACT(J2348, ""[A-Za-z ]+$"")")," Seasons")</f>
        <v> Seasons</v>
      </c>
      <c r="AA2348" s="5" t="str">
        <f>IFERROR(__xludf.DUMMYFUNCTION("IF(REGEXMATCH(Z2348, ""Season""), ""TV Show"", ""Movie"")"),"TV Show")</f>
        <v>TV Show</v>
      </c>
    </row>
    <row r="2349">
      <c r="A2349" s="1" t="s">
        <v>13307</v>
      </c>
      <c r="B2349" s="1" t="s">
        <v>27</v>
      </c>
      <c r="C2349" s="1" t="s">
        <v>13308</v>
      </c>
      <c r="D2349" s="1" t="s">
        <v>13309</v>
      </c>
      <c r="E2349" s="1" t="s">
        <v>13310</v>
      </c>
      <c r="F2349" s="1" t="s">
        <v>63</v>
      </c>
      <c r="G2349" s="1" t="s">
        <v>13311</v>
      </c>
      <c r="H2349" s="1">
        <v>2020.0</v>
      </c>
      <c r="I2349" s="1" t="s">
        <v>97</v>
      </c>
      <c r="J2349" s="1" t="s">
        <v>1243</v>
      </c>
      <c r="K2349" s="1" t="s">
        <v>89</v>
      </c>
      <c r="L2349" s="1" t="s">
        <v>13312</v>
      </c>
      <c r="M2349" s="2" t="s">
        <v>12</v>
      </c>
      <c r="N2349" s="4">
        <f t="shared" si="1"/>
        <v>44004</v>
      </c>
      <c r="O2349" s="5" t="str">
        <f>IFERROR(__xludf.DUMMYFUNCTION("IF(REGEXMATCH(TRIM(I2349), ""^\d+\s*min""), ""Unclassified"", IF(I2349 = """", ""NR"", I2349))"),"TV-14")</f>
        <v>TV-14</v>
      </c>
      <c r="R2349" s="5" t="str">
        <f t="shared" si="2"/>
        <v>Kappela</v>
      </c>
      <c r="S2349" s="5" t="str">
        <f>IFERROR(__xludf.DUMMYFUNCTION("""COMPUTED_VALUE"""),"Fairy Tail")</f>
        <v>Fairy Tail</v>
      </c>
      <c r="U2349" s="5" t="str">
        <f>IFERROR(__xludf.DUMMYFUNCTION("""COMPUTED_VALUE"""),"N. Linguswamy")</f>
        <v>N. Linguswamy</v>
      </c>
      <c r="V2349" s="5" t="s">
        <v>13313</v>
      </c>
      <c r="W2349" s="5" t="str">
        <f t="shared" si="3"/>
        <v>Kyzza Terrazas</v>
      </c>
      <c r="X2349" s="5">
        <f t="shared" si="4"/>
        <v>1</v>
      </c>
      <c r="Y2349" s="5" t="str">
        <f>IFERROR(__xludf.DUMMYFUNCTION("REGEXEXTRACT(J2349, ""^\d+"")"),"112")</f>
        <v>112</v>
      </c>
      <c r="Z2349" s="5" t="str">
        <f>IFERROR(__xludf.DUMMYFUNCTION("REGEXEXTRACT(J2349, ""[A-Za-z ]+$"")")," min")</f>
        <v> min</v>
      </c>
      <c r="AA2349" s="5" t="str">
        <f>IFERROR(__xludf.DUMMYFUNCTION("IF(REGEXMATCH(Z2349, ""Season""), ""TV Show"", ""Movie"")"),"Movie")</f>
        <v>Movie</v>
      </c>
    </row>
    <row r="2350">
      <c r="A2350" s="1" t="s">
        <v>13314</v>
      </c>
      <c r="B2350" s="1" t="s">
        <v>27</v>
      </c>
      <c r="C2350" s="1" t="s">
        <v>13315</v>
      </c>
      <c r="D2350" s="1" t="s">
        <v>9710</v>
      </c>
      <c r="E2350" s="1" t="s">
        <v>13316</v>
      </c>
      <c r="F2350" s="1" t="s">
        <v>400</v>
      </c>
      <c r="G2350" s="1" t="s">
        <v>13311</v>
      </c>
      <c r="H2350" s="1">
        <v>2017.0</v>
      </c>
      <c r="I2350" s="1" t="s">
        <v>136</v>
      </c>
      <c r="J2350" s="1" t="s">
        <v>33</v>
      </c>
      <c r="K2350" s="1" t="s">
        <v>215</v>
      </c>
      <c r="L2350" s="1" t="s">
        <v>13317</v>
      </c>
      <c r="M2350" s="2" t="s">
        <v>12</v>
      </c>
      <c r="N2350" s="4">
        <f t="shared" si="1"/>
        <v>44004</v>
      </c>
      <c r="O2350" s="5" t="str">
        <f>IFERROR(__xludf.DUMMYFUNCTION("IF(REGEXMATCH(TRIM(I2350), ""^\d+\s*min""), ""Unclassified"", IF(I2350 = """", ""NR"", I2350))"),"TV-PG")</f>
        <v>TV-PG</v>
      </c>
      <c r="R2350" s="5" t="str">
        <f t="shared" si="2"/>
        <v>The Royal Hibiscus Hotel</v>
      </c>
      <c r="S2350" s="5" t="str">
        <f>IFERROR(__xludf.DUMMYFUNCTION("""COMPUTED_VALUE"""),"Faith, Hope &amp; Love")</f>
        <v>Faith, Hope &amp; Love</v>
      </c>
      <c r="U2350" s="5" t="str">
        <f>IFERROR(__xludf.DUMMYFUNCTION("""COMPUTED_VALUE"""),"Deep Joshi")</f>
        <v>Deep Joshi</v>
      </c>
      <c r="V2350" s="5" t="s">
        <v>13318</v>
      </c>
      <c r="W2350" s="5" t="str">
        <f t="shared" si="3"/>
        <v>L. Frazier</v>
      </c>
      <c r="X2350" s="5">
        <f t="shared" si="4"/>
        <v>1</v>
      </c>
      <c r="Y2350" s="5" t="str">
        <f>IFERROR(__xludf.DUMMYFUNCTION("REGEXEXTRACT(J2350, ""^\d+"")"),"90")</f>
        <v>90</v>
      </c>
      <c r="Z2350" s="5" t="str">
        <f>IFERROR(__xludf.DUMMYFUNCTION("REGEXEXTRACT(J2350, ""[A-Za-z ]+$"")")," min")</f>
        <v> min</v>
      </c>
      <c r="AA2350" s="5" t="str">
        <f>IFERROR(__xludf.DUMMYFUNCTION("IF(REGEXMATCH(Z2350, ""Season""), ""TV Show"", ""Movie"")"),"Movie")</f>
        <v>Movie</v>
      </c>
    </row>
    <row r="2351">
      <c r="A2351" s="1" t="s">
        <v>13319</v>
      </c>
      <c r="B2351" s="1" t="s">
        <v>37</v>
      </c>
      <c r="C2351" s="1" t="s">
        <v>13320</v>
      </c>
      <c r="E2351" s="1" t="s">
        <v>13321</v>
      </c>
      <c r="F2351" s="1" t="s">
        <v>749</v>
      </c>
      <c r="G2351" s="1" t="s">
        <v>13322</v>
      </c>
      <c r="H2351" s="1">
        <v>2020.0</v>
      </c>
      <c r="I2351" s="1" t="s">
        <v>42</v>
      </c>
      <c r="J2351" s="1" t="s">
        <v>51</v>
      </c>
      <c r="K2351" s="1" t="s">
        <v>7164</v>
      </c>
      <c r="L2351" s="1" t="s">
        <v>13323</v>
      </c>
      <c r="M2351" s="2" t="s">
        <v>12</v>
      </c>
      <c r="N2351" s="4">
        <f t="shared" si="1"/>
        <v>44003</v>
      </c>
      <c r="O2351" s="5" t="str">
        <f>IFERROR(__xludf.DUMMYFUNCTION("IF(REGEXMATCH(TRIM(I2351), ""^\d+\s*min""), ""Unclassified"", IF(I2351 = """", ""NR"", I2351))"),"TV-MA")</f>
        <v>TV-MA</v>
      </c>
      <c r="R2351" s="5" t="str">
        <f t="shared" si="2"/>
        <v>It'S Okay To Not Be Okay</v>
      </c>
      <c r="S2351" s="5" t="str">
        <f>IFERROR(__xludf.DUMMYFUNCTION("""COMPUTED_VALUE"""),"Fake Or Fortune?")</f>
        <v>Fake Or Fortune?</v>
      </c>
      <c r="U2351" s="5" t="str">
        <f>IFERROR(__xludf.DUMMYFUNCTION("""COMPUTED_VALUE"""),"Manjeet Maan")</f>
        <v>Manjeet Maan</v>
      </c>
      <c r="V2351" s="5" t="s">
        <v>7092</v>
      </c>
      <c r="W2351" s="5" t="str">
        <f t="shared" si="3"/>
        <v>Ladislaus Kiraly</v>
      </c>
      <c r="X2351" s="5">
        <f t="shared" si="4"/>
        <v>1</v>
      </c>
      <c r="Y2351" s="5" t="str">
        <f>IFERROR(__xludf.DUMMYFUNCTION("REGEXEXTRACT(J2351, ""^\d+"")"),"1")</f>
        <v>1</v>
      </c>
      <c r="Z2351" s="5" t="str">
        <f>IFERROR(__xludf.DUMMYFUNCTION("REGEXEXTRACT(J2351, ""[A-Za-z ]+$"")")," Season")</f>
        <v> Season</v>
      </c>
      <c r="AA2351" s="5" t="str">
        <f>IFERROR(__xludf.DUMMYFUNCTION("IF(REGEXMATCH(Z2351, ""Season""), ""TV Show"", ""Movie"")"),"TV Show")</f>
        <v>TV Show</v>
      </c>
    </row>
    <row r="2352">
      <c r="A2352" s="1" t="s">
        <v>13324</v>
      </c>
      <c r="B2352" s="1" t="s">
        <v>27</v>
      </c>
      <c r="C2352" s="1" t="s">
        <v>13325</v>
      </c>
      <c r="D2352" s="1" t="s">
        <v>12508</v>
      </c>
      <c r="E2352" s="1" t="s">
        <v>13326</v>
      </c>
      <c r="F2352" s="1" t="s">
        <v>30</v>
      </c>
      <c r="G2352" s="1" t="s">
        <v>13322</v>
      </c>
      <c r="H2352" s="1">
        <v>2017.0</v>
      </c>
      <c r="I2352" s="1" t="s">
        <v>378</v>
      </c>
      <c r="J2352" s="1" t="s">
        <v>1091</v>
      </c>
      <c r="K2352" s="1" t="s">
        <v>2327</v>
      </c>
      <c r="L2352" s="1" t="s">
        <v>13327</v>
      </c>
      <c r="M2352" s="2" t="s">
        <v>12</v>
      </c>
      <c r="N2352" s="4">
        <f t="shared" si="1"/>
        <v>44003</v>
      </c>
      <c r="O2352" s="5" t="str">
        <f>IFERROR(__xludf.DUMMYFUNCTION("IF(REGEXMATCH(TRIM(I2352), ""^\d+\s*min""), ""Unclassified"", IF(I2352 = """", ""NR"", I2352))"),"R")</f>
        <v>R</v>
      </c>
      <c r="R2352" s="5" t="str">
        <f t="shared" si="2"/>
        <v>Woodshock</v>
      </c>
      <c r="S2352" s="5" t="str">
        <f>IFERROR(__xludf.DUMMYFUNCTION("""COMPUTED_VALUE"""),"Fakkah Fuzz: Almost Banned")</f>
        <v>Fakkah Fuzz: Almost Banned</v>
      </c>
      <c r="U2352" s="5" t="str">
        <f>IFERROR(__xludf.DUMMYFUNCTION("""COMPUTED_VALUE"""),"Shagufta Rafique")</f>
        <v>Shagufta Rafique</v>
      </c>
      <c r="V2352" s="5" t="s">
        <v>13328</v>
      </c>
      <c r="W2352" s="5" t="str">
        <f t="shared" si="3"/>
        <v>Lai Chun-Yu</v>
      </c>
      <c r="X2352" s="5">
        <f t="shared" si="4"/>
        <v>1</v>
      </c>
      <c r="Y2352" s="5" t="str">
        <f>IFERROR(__xludf.DUMMYFUNCTION("REGEXEXTRACT(J2352, ""^\d+"")"),"101")</f>
        <v>101</v>
      </c>
      <c r="Z2352" s="5" t="str">
        <f>IFERROR(__xludf.DUMMYFUNCTION("REGEXEXTRACT(J2352, ""[A-Za-z ]+$"")")," min")</f>
        <v> min</v>
      </c>
      <c r="AA2352" s="5" t="str">
        <f>IFERROR(__xludf.DUMMYFUNCTION("IF(REGEXMATCH(Z2352, ""Season""), ""TV Show"", ""Movie"")"),"Movie")</f>
        <v>Movie</v>
      </c>
    </row>
    <row r="2353">
      <c r="A2353" s="1" t="s">
        <v>13329</v>
      </c>
      <c r="B2353" s="1" t="s">
        <v>27</v>
      </c>
      <c r="C2353" s="1" t="s">
        <v>13330</v>
      </c>
      <c r="D2353" s="1" t="s">
        <v>759</v>
      </c>
      <c r="E2353" s="1" t="s">
        <v>13331</v>
      </c>
      <c r="F2353" s="1" t="s">
        <v>400</v>
      </c>
      <c r="G2353" s="1" t="s">
        <v>13332</v>
      </c>
      <c r="H2353" s="1">
        <v>2019.0</v>
      </c>
      <c r="I2353" s="1" t="s">
        <v>42</v>
      </c>
      <c r="J2353" s="1" t="s">
        <v>1608</v>
      </c>
      <c r="K2353" s="1" t="s">
        <v>128</v>
      </c>
      <c r="L2353" s="1" t="s">
        <v>13333</v>
      </c>
      <c r="M2353" s="2" t="s">
        <v>12</v>
      </c>
      <c r="N2353" s="4">
        <f t="shared" si="1"/>
        <v>44002</v>
      </c>
      <c r="O2353" s="5" t="str">
        <f>IFERROR(__xludf.DUMMYFUNCTION("IF(REGEXMATCH(TRIM(I2353), ""^\d+\s*min""), ""Unclassified"", IF(I2353 = """", ""NR"", I2353))"),"TV-MA")</f>
        <v>TV-MA</v>
      </c>
      <c r="R2353" s="5" t="str">
        <f t="shared" si="2"/>
        <v>Elevator Baby</v>
      </c>
      <c r="S2353" s="5" t="str">
        <f>IFERROR(__xludf.DUMMYFUNCTION("""COMPUTED_VALUE"""),"Fakta Ladh Mhana")</f>
        <v>Fakta Ladh Mhana</v>
      </c>
      <c r="U2353" s="5" t="str">
        <f>IFERROR(__xludf.DUMMYFUNCTION("""COMPUTED_VALUE"""),"Tinu Pappachan")</f>
        <v>Tinu Pappachan</v>
      </c>
      <c r="V2353" s="5" t="s">
        <v>13334</v>
      </c>
      <c r="W2353" s="5" t="str">
        <f t="shared" si="3"/>
        <v>Lana Wachowski, Lilly Wachowski</v>
      </c>
      <c r="X2353" s="5">
        <f t="shared" si="4"/>
        <v>1</v>
      </c>
      <c r="Y2353" s="5" t="str">
        <f>IFERROR(__xludf.DUMMYFUNCTION("REGEXEXTRACT(J2353, ""^\d+"")"),"84")</f>
        <v>84</v>
      </c>
      <c r="Z2353" s="5" t="str">
        <f>IFERROR(__xludf.DUMMYFUNCTION("REGEXEXTRACT(J2353, ""[A-Za-z ]+$"")")," min")</f>
        <v> min</v>
      </c>
      <c r="AA2353" s="5" t="str">
        <f>IFERROR(__xludf.DUMMYFUNCTION("IF(REGEXMATCH(Z2353, ""Season""), ""TV Show"", ""Movie"")"),"Movie")</f>
        <v>Movie</v>
      </c>
    </row>
    <row r="2354">
      <c r="A2354" s="1" t="s">
        <v>13335</v>
      </c>
      <c r="B2354" s="1" t="s">
        <v>37</v>
      </c>
      <c r="C2354" s="1" t="s">
        <v>13336</v>
      </c>
      <c r="F2354" s="1" t="s">
        <v>30</v>
      </c>
      <c r="G2354" s="1" t="s">
        <v>13337</v>
      </c>
      <c r="H2354" s="1">
        <v>2020.0</v>
      </c>
      <c r="I2354" s="1" t="s">
        <v>97</v>
      </c>
      <c r="J2354" s="1" t="s">
        <v>43</v>
      </c>
      <c r="K2354" s="1" t="s">
        <v>736</v>
      </c>
      <c r="L2354" s="1" t="s">
        <v>13338</v>
      </c>
      <c r="M2354" s="2" t="s">
        <v>12</v>
      </c>
      <c r="N2354" s="4">
        <f t="shared" si="1"/>
        <v>44001</v>
      </c>
      <c r="O2354" s="5" t="str">
        <f>IFERROR(__xludf.DUMMYFUNCTION("IF(REGEXMATCH(TRIM(I2354), ""^\d+\s*min""), ""Unclassified"", IF(I2354 = """", ""NR"", I2354))"),"TV-14")</f>
        <v>TV-14</v>
      </c>
      <c r="R2354" s="5" t="str">
        <f t="shared" si="2"/>
        <v>Babies</v>
      </c>
      <c r="S2354" s="5" t="str">
        <f>IFERROR(__xludf.DUMMYFUNCTION("""COMPUTED_VALUE"""),"Fall Girls")</f>
        <v>Fall Girls</v>
      </c>
      <c r="U2354" s="5" t="str">
        <f>IFERROR(__xludf.DUMMYFUNCTION("""COMPUTED_VALUE"""),"Amarpreet G S Chabbra")</f>
        <v>Amarpreet G S Chabbra</v>
      </c>
      <c r="V2354" s="5" t="s">
        <v>13339</v>
      </c>
      <c r="W2354" s="5" t="str">
        <f t="shared" si="3"/>
        <v>Lana Wilson</v>
      </c>
      <c r="X2354" s="5">
        <f t="shared" si="4"/>
        <v>1</v>
      </c>
      <c r="Y2354" s="5" t="str">
        <f>IFERROR(__xludf.DUMMYFUNCTION("REGEXEXTRACT(J2354, ""^\d+"")"),"2")</f>
        <v>2</v>
      </c>
      <c r="Z2354" s="5" t="str">
        <f>IFERROR(__xludf.DUMMYFUNCTION("REGEXEXTRACT(J2354, ""[A-Za-z ]+$"")")," Seasons")</f>
        <v> Seasons</v>
      </c>
      <c r="AA2354" s="5" t="str">
        <f>IFERROR(__xludf.DUMMYFUNCTION("IF(REGEXMATCH(Z2354, ""Season""), ""TV Show"", ""Movie"")"),"TV Show")</f>
        <v>TV Show</v>
      </c>
    </row>
    <row r="2355">
      <c r="A2355" s="1" t="s">
        <v>13340</v>
      </c>
      <c r="B2355" s="1" t="s">
        <v>27</v>
      </c>
      <c r="C2355" s="1" t="s">
        <v>13341</v>
      </c>
      <c r="D2355" s="1" t="s">
        <v>2465</v>
      </c>
      <c r="E2355" s="1" t="s">
        <v>13342</v>
      </c>
      <c r="F2355" s="1" t="s">
        <v>63</v>
      </c>
      <c r="G2355" s="1" t="s">
        <v>13337</v>
      </c>
      <c r="H2355" s="1">
        <v>2020.0</v>
      </c>
      <c r="I2355" s="1" t="s">
        <v>42</v>
      </c>
      <c r="J2355" s="1" t="s">
        <v>1243</v>
      </c>
      <c r="K2355" s="1" t="s">
        <v>583</v>
      </c>
      <c r="L2355" s="1" t="s">
        <v>13343</v>
      </c>
      <c r="M2355" s="2" t="s">
        <v>12</v>
      </c>
      <c r="N2355" s="4">
        <f t="shared" si="1"/>
        <v>44001</v>
      </c>
      <c r="O2355" s="5" t="str">
        <f>IFERROR(__xludf.DUMMYFUNCTION("IF(REGEXMATCH(TRIM(I2355), ""^\d+\s*min""), ""Unclassified"", IF(I2355 = """", ""NR"", I2355))"),"TV-MA")</f>
        <v>TV-MA</v>
      </c>
      <c r="R2355" s="5" t="str">
        <f t="shared" si="2"/>
        <v>Chaman Bahaar</v>
      </c>
      <c r="S2355" s="5" t="str">
        <f>IFERROR(__xludf.DUMMYFUNCTION("""COMPUTED_VALUE"""),"Fall In Love With Me")</f>
        <v>Fall In Love With Me</v>
      </c>
      <c r="U2355" s="5" t="str">
        <f>IFERROR(__xludf.DUMMYFUNCTION("""COMPUTED_VALUE"""),"Paresh Mokashi")</f>
        <v>Paresh Mokashi</v>
      </c>
      <c r="V2355" s="5" t="s">
        <v>13344</v>
      </c>
      <c r="W2355" s="5" t="str">
        <f t="shared" si="3"/>
        <v>Lance Bangs</v>
      </c>
      <c r="X2355" s="5">
        <f t="shared" si="4"/>
        <v>8</v>
      </c>
      <c r="Y2355" s="5" t="str">
        <f>IFERROR(__xludf.DUMMYFUNCTION("REGEXEXTRACT(J2355, ""^\d+"")"),"112")</f>
        <v>112</v>
      </c>
      <c r="Z2355" s="5" t="str">
        <f>IFERROR(__xludf.DUMMYFUNCTION("REGEXEXTRACT(J2355, ""[A-Za-z ]+$"")")," min")</f>
        <v> min</v>
      </c>
      <c r="AA2355" s="5" t="str">
        <f>IFERROR(__xludf.DUMMYFUNCTION("IF(REGEXMATCH(Z2355, ""Season""), ""TV Show"", ""Movie"")"),"Movie")</f>
        <v>Movie</v>
      </c>
    </row>
    <row r="2356">
      <c r="A2356" s="1" t="s">
        <v>13345</v>
      </c>
      <c r="B2356" s="1" t="s">
        <v>27</v>
      </c>
      <c r="C2356" s="1" t="s">
        <v>13346</v>
      </c>
      <c r="D2356" s="1" t="s">
        <v>3307</v>
      </c>
      <c r="E2356" s="1" t="s">
        <v>13347</v>
      </c>
      <c r="F2356" s="1" t="s">
        <v>13348</v>
      </c>
      <c r="G2356" s="1" t="s">
        <v>13337</v>
      </c>
      <c r="H2356" s="1">
        <v>1997.0</v>
      </c>
      <c r="I2356" s="1" t="s">
        <v>97</v>
      </c>
      <c r="J2356" s="1" t="s">
        <v>1383</v>
      </c>
      <c r="K2356" s="1" t="s">
        <v>128</v>
      </c>
      <c r="L2356" s="1" t="s">
        <v>13349</v>
      </c>
      <c r="M2356" s="2" t="s">
        <v>12</v>
      </c>
      <c r="N2356" s="4">
        <f t="shared" si="1"/>
        <v>44001</v>
      </c>
      <c r="O2356" s="5" t="str">
        <f>IFERROR(__xludf.DUMMYFUNCTION("IF(REGEXMATCH(TRIM(I2356), ""^\d+\s*min""), ""Unclassified"", IF(I2356 = """", ""NR"", I2356))"),"TV-14")</f>
        <v>TV-14</v>
      </c>
      <c r="R2356" s="5" t="str">
        <f t="shared" si="2"/>
        <v>Destiny</v>
      </c>
      <c r="S2356" s="5" t="str">
        <f>IFERROR(__xludf.DUMMYFUNCTION("""COMPUTED_VALUE"""),"Fallen")</f>
        <v>Fallen</v>
      </c>
      <c r="U2356" s="5" t="str">
        <f>IFERROR(__xludf.DUMMYFUNCTION("""COMPUTED_VALUE"""),"Rohit Jugraj")</f>
        <v>Rohit Jugraj</v>
      </c>
      <c r="V2356" s="5" t="s">
        <v>10396</v>
      </c>
      <c r="W2356" s="5" t="str">
        <f t="shared" si="3"/>
        <v>Lance Daly</v>
      </c>
      <c r="X2356" s="5">
        <f t="shared" si="4"/>
        <v>1</v>
      </c>
      <c r="Y2356" s="5" t="str">
        <f>IFERROR(__xludf.DUMMYFUNCTION("REGEXEXTRACT(J2356, ""^\d+"")"),"136")</f>
        <v>136</v>
      </c>
      <c r="Z2356" s="5" t="str">
        <f>IFERROR(__xludf.DUMMYFUNCTION("REGEXEXTRACT(J2356, ""[A-Za-z ]+$"")")," min")</f>
        <v> min</v>
      </c>
      <c r="AA2356" s="5" t="str">
        <f>IFERROR(__xludf.DUMMYFUNCTION("IF(REGEXMATCH(Z2356, ""Season""), ""TV Show"", ""Movie"")"),"Movie")</f>
        <v>Movie</v>
      </c>
    </row>
    <row r="2357">
      <c r="A2357" s="1" t="s">
        <v>13350</v>
      </c>
      <c r="B2357" s="1" t="s">
        <v>27</v>
      </c>
      <c r="C2357" s="1" t="s">
        <v>13351</v>
      </c>
      <c r="F2357" s="1" t="s">
        <v>30</v>
      </c>
      <c r="G2357" s="1" t="s">
        <v>13337</v>
      </c>
      <c r="H2357" s="1">
        <v>2020.0</v>
      </c>
      <c r="I2357" s="1" t="s">
        <v>42</v>
      </c>
      <c r="J2357" s="1" t="s">
        <v>912</v>
      </c>
      <c r="K2357" s="1" t="s">
        <v>1212</v>
      </c>
      <c r="L2357" s="1" t="s">
        <v>13352</v>
      </c>
      <c r="M2357" s="2" t="s">
        <v>12</v>
      </c>
      <c r="N2357" s="4">
        <f t="shared" si="1"/>
        <v>44001</v>
      </c>
      <c r="O2357" s="5" t="str">
        <f>IFERROR(__xludf.DUMMYFUNCTION("IF(REGEXMATCH(TRIM(I2357), ""^\d+\s*min""), ""Unclassified"", IF(I2357 = """", ""NR"", I2357))"),"TV-MA")</f>
        <v>TV-MA</v>
      </c>
      <c r="R2357" s="5" t="str">
        <f t="shared" si="2"/>
        <v>Disclosure</v>
      </c>
      <c r="S2357" s="5" t="str">
        <f>IFERROR(__xludf.DUMMYFUNCTION("""COMPUTED_VALUE"""),"Fallet")</f>
        <v>Fallet</v>
      </c>
      <c r="U2357" s="5" t="str">
        <f>IFERROR(__xludf.DUMMYFUNCTION("""COMPUTED_VALUE"""),"Atharv Baluja")</f>
        <v>Atharv Baluja</v>
      </c>
      <c r="V2357" s="5" t="s">
        <v>4720</v>
      </c>
      <c r="W2357" s="5" t="str">
        <f t="shared" si="3"/>
        <v>Lance Hool</v>
      </c>
      <c r="X2357" s="5">
        <f t="shared" si="4"/>
        <v>1</v>
      </c>
      <c r="Y2357" s="5" t="str">
        <f>IFERROR(__xludf.DUMMYFUNCTION("REGEXEXTRACT(J2357, ""^\d+"")"),"108")</f>
        <v>108</v>
      </c>
      <c r="Z2357" s="5" t="str">
        <f>IFERROR(__xludf.DUMMYFUNCTION("REGEXEXTRACT(J2357, ""[A-Za-z ]+$"")")," min")</f>
        <v> min</v>
      </c>
      <c r="AA2357" s="5" t="str">
        <f>IFERROR(__xludf.DUMMYFUNCTION("IF(REGEXMATCH(Z2357, ""Season""), ""TV Show"", ""Movie"")"),"Movie")</f>
        <v>Movie</v>
      </c>
    </row>
    <row r="2358">
      <c r="A2358" s="1" t="s">
        <v>13353</v>
      </c>
      <c r="B2358" s="1" t="s">
        <v>27</v>
      </c>
      <c r="C2358" s="1" t="s">
        <v>13354</v>
      </c>
      <c r="D2358" s="1" t="s">
        <v>6953</v>
      </c>
      <c r="E2358" s="1" t="s">
        <v>13355</v>
      </c>
      <c r="F2358" s="1" t="s">
        <v>30</v>
      </c>
      <c r="G2358" s="1" t="s">
        <v>13337</v>
      </c>
      <c r="H2358" s="1">
        <v>2020.0</v>
      </c>
      <c r="I2358" s="1" t="s">
        <v>506</v>
      </c>
      <c r="J2358" s="1" t="s">
        <v>297</v>
      </c>
      <c r="K2358" s="1" t="s">
        <v>2242</v>
      </c>
      <c r="L2358" s="1" t="s">
        <v>13356</v>
      </c>
      <c r="M2358" s="2" t="s">
        <v>12</v>
      </c>
      <c r="N2358" s="4">
        <f t="shared" si="1"/>
        <v>44001</v>
      </c>
      <c r="O2358" s="5" t="str">
        <f>IFERROR(__xludf.DUMMYFUNCTION("IF(REGEXMATCH(TRIM(I2358), ""^\d+\s*min""), ""Unclassified"", IF(I2358 = """", ""NR"", I2358))"),"TV-G")</f>
        <v>TV-G</v>
      </c>
      <c r="R2358" s="5" t="str">
        <f t="shared" si="2"/>
        <v>Feel The Beat</v>
      </c>
      <c r="S2358" s="5" t="str">
        <f>IFERROR(__xludf.DUMMYFUNCTION("""COMPUTED_VALUE"""),"Falling Inn Love")</f>
        <v>Falling Inn Love</v>
      </c>
      <c r="U2358" s="5" t="str">
        <f>IFERROR(__xludf.DUMMYFUNCTION("""COMPUTED_VALUE"""),"Vishal Bhardwaj")</f>
        <v>Vishal Bhardwaj</v>
      </c>
      <c r="V2358" s="5" t="s">
        <v>4769</v>
      </c>
      <c r="W2358" s="5" t="str">
        <f t="shared" si="3"/>
        <v>Lance Young</v>
      </c>
      <c r="X2358" s="5">
        <f t="shared" si="4"/>
        <v>1</v>
      </c>
      <c r="Y2358" s="5" t="str">
        <f>IFERROR(__xludf.DUMMYFUNCTION("REGEXEXTRACT(J2358, ""^\d+"")"),"110")</f>
        <v>110</v>
      </c>
      <c r="Z2358" s="5" t="str">
        <f>IFERROR(__xludf.DUMMYFUNCTION("REGEXEXTRACT(J2358, ""[A-Za-z ]+$"")")," min")</f>
        <v> min</v>
      </c>
      <c r="AA2358" s="5" t="str">
        <f>IFERROR(__xludf.DUMMYFUNCTION("IF(REGEXMATCH(Z2358, ""Season""), ""TV Show"", ""Movie"")"),"Movie")</f>
        <v>Movie</v>
      </c>
    </row>
    <row r="2359">
      <c r="A2359" s="1" t="s">
        <v>13357</v>
      </c>
      <c r="B2359" s="1" t="s">
        <v>37</v>
      </c>
      <c r="C2359" s="1" t="s">
        <v>13358</v>
      </c>
      <c r="E2359" s="1" t="s">
        <v>13359</v>
      </c>
      <c r="F2359" s="1" t="s">
        <v>30</v>
      </c>
      <c r="G2359" s="1" t="s">
        <v>13337</v>
      </c>
      <c r="H2359" s="1">
        <v>2020.0</v>
      </c>
      <c r="I2359" s="1" t="s">
        <v>136</v>
      </c>
      <c r="J2359" s="1" t="s">
        <v>51</v>
      </c>
      <c r="K2359" s="1" t="s">
        <v>440</v>
      </c>
      <c r="L2359" s="1" t="s">
        <v>13360</v>
      </c>
      <c r="M2359" s="2" t="s">
        <v>12</v>
      </c>
      <c r="N2359" s="4">
        <f t="shared" si="1"/>
        <v>44001</v>
      </c>
      <c r="O2359" s="5" t="str">
        <f>IFERROR(__xludf.DUMMYFUNCTION("IF(REGEXMATCH(TRIM(I2359), ""^\d+\s*min""), ""Unclassified"", IF(I2359 = """", ""NR"", I2359))"),"TV-PG")</f>
        <v>TV-PG</v>
      </c>
      <c r="R2359" s="5" t="str">
        <f t="shared" si="2"/>
        <v>Floor Is Lava</v>
      </c>
      <c r="S2359" s="5" t="str">
        <f>IFERROR(__xludf.DUMMYFUNCTION("""COMPUTED_VALUE"""),"Falsa Identidad")</f>
        <v>Falsa Identidad</v>
      </c>
      <c r="U2359" s="5" t="str">
        <f>IFERROR(__xludf.DUMMYFUNCTION("""COMPUTED_VALUE"""),"Shashanka Ghosh")</f>
        <v>Shashanka Ghosh</v>
      </c>
      <c r="V2359" s="5" t="s">
        <v>4530</v>
      </c>
      <c r="W2359" s="5" t="str">
        <f t="shared" si="3"/>
        <v>Lara Saba</v>
      </c>
      <c r="X2359" s="5">
        <f t="shared" si="4"/>
        <v>1</v>
      </c>
      <c r="Y2359" s="5" t="str">
        <f>IFERROR(__xludf.DUMMYFUNCTION("REGEXEXTRACT(J2359, ""^\d+"")"),"1")</f>
        <v>1</v>
      </c>
      <c r="Z2359" s="5" t="str">
        <f>IFERROR(__xludf.DUMMYFUNCTION("REGEXEXTRACT(J2359, ""[A-Za-z ]+$"")")," Season")</f>
        <v> Season</v>
      </c>
      <c r="AA2359" s="5" t="str">
        <f>IFERROR(__xludf.DUMMYFUNCTION("IF(REGEXMATCH(Z2359, ""Season""), ""TV Show"", ""Movie"")"),"TV Show")</f>
        <v>TV Show</v>
      </c>
    </row>
    <row r="2360">
      <c r="A2360" s="1" t="s">
        <v>13361</v>
      </c>
      <c r="B2360" s="1" t="s">
        <v>27</v>
      </c>
      <c r="C2360" s="1" t="s">
        <v>13362</v>
      </c>
      <c r="D2360" s="1" t="s">
        <v>8760</v>
      </c>
      <c r="E2360" s="1" t="s">
        <v>13363</v>
      </c>
      <c r="F2360" s="1" t="s">
        <v>664</v>
      </c>
      <c r="G2360" s="1" t="s">
        <v>13337</v>
      </c>
      <c r="H2360" s="1">
        <v>2020.0</v>
      </c>
      <c r="I2360" s="1" t="s">
        <v>42</v>
      </c>
      <c r="J2360" s="1" t="s">
        <v>454</v>
      </c>
      <c r="K2360" s="1" t="s">
        <v>306</v>
      </c>
      <c r="L2360" s="1" t="s">
        <v>13364</v>
      </c>
      <c r="M2360" s="2" t="s">
        <v>12</v>
      </c>
      <c r="N2360" s="4">
        <f t="shared" si="1"/>
        <v>44001</v>
      </c>
      <c r="O2360" s="5" t="str">
        <f>IFERROR(__xludf.DUMMYFUNCTION("IF(REGEXMATCH(TRIM(I2360), ""^\d+\s*min""), ""Unclassified"", IF(I2360 = """", ""NR"", I2360))"),"TV-MA")</f>
        <v>TV-MA</v>
      </c>
      <c r="R2360" s="5" t="str">
        <f t="shared" si="2"/>
        <v>Lost Bullet</v>
      </c>
      <c r="S2360" s="5" t="str">
        <f>IFERROR(__xludf.DUMMYFUNCTION("""COMPUTED_VALUE"""),"Falz Experience")</f>
        <v>Falz Experience</v>
      </c>
      <c r="U2360" s="5" t="str">
        <f>IFERROR(__xludf.DUMMYFUNCTION("""COMPUTED_VALUE"""),"Puneet Sira")</f>
        <v>Puneet Sira</v>
      </c>
      <c r="V2360" s="5" t="s">
        <v>13365</v>
      </c>
      <c r="W2360" s="5" t="str">
        <f t="shared" si="3"/>
        <v>Larry Elikann</v>
      </c>
      <c r="X2360" s="5">
        <f t="shared" si="4"/>
        <v>1</v>
      </c>
      <c r="Y2360" s="5" t="str">
        <f>IFERROR(__xludf.DUMMYFUNCTION("REGEXEXTRACT(J2360, ""^\d+"")"),"93")</f>
        <v>93</v>
      </c>
      <c r="Z2360" s="5" t="str">
        <f>IFERROR(__xludf.DUMMYFUNCTION("REGEXEXTRACT(J2360, ""[A-Za-z ]+$"")")," min")</f>
        <v> min</v>
      </c>
      <c r="AA2360" s="5" t="str">
        <f>IFERROR(__xludf.DUMMYFUNCTION("IF(REGEXMATCH(Z2360, ""Season""), ""TV Show"", ""Movie"")"),"Movie")</f>
        <v>Movie</v>
      </c>
    </row>
    <row r="2361">
      <c r="A2361" s="1" t="s">
        <v>13366</v>
      </c>
      <c r="B2361" s="1" t="s">
        <v>37</v>
      </c>
      <c r="C2361" s="1" t="s">
        <v>13367</v>
      </c>
      <c r="E2361" s="1" t="s">
        <v>13368</v>
      </c>
      <c r="F2361" s="1" t="s">
        <v>1992</v>
      </c>
      <c r="G2361" s="1" t="s">
        <v>13337</v>
      </c>
      <c r="H2361" s="1">
        <v>2020.0</v>
      </c>
      <c r="I2361" s="1" t="s">
        <v>42</v>
      </c>
      <c r="J2361" s="1" t="s">
        <v>43</v>
      </c>
      <c r="K2361" s="1" t="s">
        <v>1907</v>
      </c>
      <c r="L2361" s="1" t="s">
        <v>13369</v>
      </c>
      <c r="M2361" s="2" t="s">
        <v>12</v>
      </c>
      <c r="N2361" s="4">
        <f t="shared" si="1"/>
        <v>44001</v>
      </c>
      <c r="O2361" s="5" t="str">
        <f>IFERROR(__xludf.DUMMYFUNCTION("IF(REGEXMATCH(TRIM(I2361), ""^\d+\s*min""), ""Unclassified"", IF(I2361 = """", ""NR"", I2361))"),"TV-MA")</f>
        <v>TV-MA</v>
      </c>
      <c r="R2361" s="5" t="str">
        <f t="shared" si="2"/>
        <v>Most Beautiful Thing</v>
      </c>
      <c r="S2361" s="5" t="str">
        <f>IFERROR(__xludf.DUMMYFUNCTION("""COMPUTED_VALUE"""),"Familiar Wife")</f>
        <v>Familiar Wife</v>
      </c>
      <c r="U2361" s="5" t="str">
        <f>IFERROR(__xludf.DUMMYFUNCTION("""COMPUTED_VALUE"""),"Aziz Mirza")</f>
        <v>Aziz Mirza</v>
      </c>
      <c r="V2361" s="5" t="s">
        <v>13370</v>
      </c>
      <c r="W2361" s="5" t="str">
        <f t="shared" si="3"/>
        <v>Larry Latham</v>
      </c>
      <c r="X2361" s="5">
        <f t="shared" si="4"/>
        <v>2</v>
      </c>
      <c r="Y2361" s="5" t="str">
        <f>IFERROR(__xludf.DUMMYFUNCTION("REGEXEXTRACT(J2361, ""^\d+"")"),"2")</f>
        <v>2</v>
      </c>
      <c r="Z2361" s="5" t="str">
        <f>IFERROR(__xludf.DUMMYFUNCTION("REGEXEXTRACT(J2361, ""[A-Za-z ]+$"")")," Seasons")</f>
        <v> Seasons</v>
      </c>
      <c r="AA2361" s="5" t="str">
        <f>IFERROR(__xludf.DUMMYFUNCTION("IF(REGEXMATCH(Z2361, ""Season""), ""TV Show"", ""Movie"")"),"TV Show")</f>
        <v>TV Show</v>
      </c>
    </row>
    <row r="2362">
      <c r="A2362" s="1" t="s">
        <v>13371</v>
      </c>
      <c r="B2362" s="1" t="s">
        <v>27</v>
      </c>
      <c r="C2362" s="1" t="s">
        <v>13372</v>
      </c>
      <c r="D2362" s="1" t="s">
        <v>5851</v>
      </c>
      <c r="E2362" s="1" t="s">
        <v>13373</v>
      </c>
      <c r="F2362" s="1" t="s">
        <v>188</v>
      </c>
      <c r="G2362" s="1" t="s">
        <v>13337</v>
      </c>
      <c r="H2362" s="1">
        <v>2020.0</v>
      </c>
      <c r="I2362" s="1" t="s">
        <v>42</v>
      </c>
      <c r="J2362" s="1" t="s">
        <v>33</v>
      </c>
      <c r="K2362" s="1" t="s">
        <v>679</v>
      </c>
      <c r="L2362" s="1" t="s">
        <v>13374</v>
      </c>
      <c r="M2362" s="2" t="s">
        <v>12</v>
      </c>
      <c r="N2362" s="4">
        <f t="shared" si="1"/>
        <v>44001</v>
      </c>
      <c r="O2362" s="5" t="str">
        <f>IFERROR(__xludf.DUMMYFUNCTION("IF(REGEXMATCH(TRIM(I2362), ""^\d+\s*min""), ""Unclassified"", IF(I2362 = """", ""NR"", I2362))"),"TV-MA")</f>
        <v>TV-MA</v>
      </c>
      <c r="R2362" s="5" t="str">
        <f t="shared" si="2"/>
        <v>One-Way To Tomorrow</v>
      </c>
      <c r="S2362" s="5" t="str">
        <f>IFERROR(__xludf.DUMMYFUNCTION("""COMPUTED_VALUE"""),"Familiye")</f>
        <v>Familiye</v>
      </c>
      <c r="U2362" s="5" t="str">
        <f>IFERROR(__xludf.DUMMYFUNCTION("""COMPUTED_VALUE"""),"Sameer Sharma")</f>
        <v>Sameer Sharma</v>
      </c>
      <c r="V2362" s="5" t="s">
        <v>13375</v>
      </c>
      <c r="W2362" s="5" t="str">
        <f t="shared" si="3"/>
        <v>Lars Büchel</v>
      </c>
      <c r="X2362" s="5">
        <f t="shared" si="4"/>
        <v>1</v>
      </c>
      <c r="Y2362" s="5" t="str">
        <f>IFERROR(__xludf.DUMMYFUNCTION("REGEXEXTRACT(J2362, ""^\d+"")"),"90")</f>
        <v>90</v>
      </c>
      <c r="Z2362" s="5" t="str">
        <f>IFERROR(__xludf.DUMMYFUNCTION("REGEXEXTRACT(J2362, ""[A-Za-z ]+$"")")," min")</f>
        <v> min</v>
      </c>
      <c r="AA2362" s="5" t="str">
        <f>IFERROR(__xludf.DUMMYFUNCTION("IF(REGEXMATCH(Z2362, ""Season""), ""TV Show"", ""Movie"")"),"Movie")</f>
        <v>Movie</v>
      </c>
    </row>
    <row r="2363">
      <c r="A2363" s="1" t="s">
        <v>13376</v>
      </c>
      <c r="B2363" s="1" t="s">
        <v>27</v>
      </c>
      <c r="C2363" s="1" t="s">
        <v>13377</v>
      </c>
      <c r="D2363" s="1" t="s">
        <v>3307</v>
      </c>
      <c r="E2363" s="1" t="s">
        <v>13378</v>
      </c>
      <c r="F2363" s="1" t="s">
        <v>13379</v>
      </c>
      <c r="G2363" s="1" t="s">
        <v>13337</v>
      </c>
      <c r="H2363" s="1">
        <v>1994.0</v>
      </c>
      <c r="I2363" s="1" t="s">
        <v>97</v>
      </c>
      <c r="J2363" s="1" t="s">
        <v>2281</v>
      </c>
      <c r="K2363" s="1" t="s">
        <v>128</v>
      </c>
      <c r="L2363" s="1" t="s">
        <v>13380</v>
      </c>
      <c r="M2363" s="2" t="s">
        <v>12</v>
      </c>
      <c r="N2363" s="4">
        <f t="shared" si="1"/>
        <v>44001</v>
      </c>
      <c r="O2363" s="5" t="str">
        <f>IFERROR(__xludf.DUMMYFUNCTION("IF(REGEXMATCH(TRIM(I2363), ""^\d+\s*min""), ""Unclassified"", IF(I2363 = """", ""NR"", I2363))"),"TV-14")</f>
        <v>TV-14</v>
      </c>
      <c r="R2363" s="5" t="str">
        <f t="shared" si="2"/>
        <v>The Emigrant</v>
      </c>
      <c r="S2363" s="5" t="str">
        <f>IFERROR(__xludf.DUMMYFUNCTION("""COMPUTED_VALUE"""),"Family Blood")</f>
        <v>Family Blood</v>
      </c>
      <c r="U2363" s="5" t="str">
        <f>IFERROR(__xludf.DUMMYFUNCTION("""COMPUTED_VALUE"""),"Chandan Arora")</f>
        <v>Chandan Arora</v>
      </c>
      <c r="V2363" s="5" t="s">
        <v>13381</v>
      </c>
      <c r="W2363" s="5" t="str">
        <f t="shared" si="3"/>
        <v>Lars Kaalund</v>
      </c>
      <c r="X2363" s="5">
        <f t="shared" si="4"/>
        <v>1</v>
      </c>
      <c r="Y2363" s="5" t="str">
        <f>IFERROR(__xludf.DUMMYFUNCTION("REGEXEXTRACT(J2363, ""^\d+"")"),"130")</f>
        <v>130</v>
      </c>
      <c r="Z2363" s="5" t="str">
        <f>IFERROR(__xludf.DUMMYFUNCTION("REGEXEXTRACT(J2363, ""[A-Za-z ]+$"")")," min")</f>
        <v> min</v>
      </c>
      <c r="AA2363" s="5" t="str">
        <f>IFERROR(__xludf.DUMMYFUNCTION("IF(REGEXMATCH(Z2363, ""Season""), ""TV Show"", ""Movie"")"),"Movie")</f>
        <v>Movie</v>
      </c>
    </row>
    <row r="2364">
      <c r="A2364" s="1" t="s">
        <v>13382</v>
      </c>
      <c r="B2364" s="1" t="s">
        <v>37</v>
      </c>
      <c r="C2364" s="1" t="s">
        <v>13383</v>
      </c>
      <c r="E2364" s="1" t="s">
        <v>13384</v>
      </c>
      <c r="F2364" s="1" t="s">
        <v>30</v>
      </c>
      <c r="G2364" s="1" t="s">
        <v>13337</v>
      </c>
      <c r="H2364" s="1">
        <v>2020.0</v>
      </c>
      <c r="I2364" s="1" t="s">
        <v>42</v>
      </c>
      <c r="J2364" s="1" t="s">
        <v>43</v>
      </c>
      <c r="K2364" s="1" t="s">
        <v>2915</v>
      </c>
      <c r="L2364" s="1" t="s">
        <v>13385</v>
      </c>
      <c r="M2364" s="2" t="s">
        <v>12</v>
      </c>
      <c r="N2364" s="4">
        <f t="shared" si="1"/>
        <v>44001</v>
      </c>
      <c r="O2364" s="5" t="str">
        <f>IFERROR(__xludf.DUMMYFUNCTION("IF(REGEXMATCH(TRIM(I2364), ""^\d+\s*min""), ""Unclassified"", IF(I2364 = """", ""NR"", I2364))"),"TV-MA")</f>
        <v>TV-MA</v>
      </c>
      <c r="R2364" s="5" t="str">
        <f t="shared" si="2"/>
        <v>The Politician</v>
      </c>
      <c r="S2364" s="5" t="str">
        <f>IFERROR(__xludf.DUMMYFUNCTION("""COMPUTED_VALUE"""),"Family Business")</f>
        <v>Family Business</v>
      </c>
      <c r="U2364" s="5" t="str">
        <f>IFERROR(__xludf.DUMMYFUNCTION("""COMPUTED_VALUE"""),"Rajan Madhav")</f>
        <v>Rajan Madhav</v>
      </c>
      <c r="V2364" s="5" t="s">
        <v>13386</v>
      </c>
      <c r="W2364" s="5" t="str">
        <f t="shared" si="3"/>
        <v>Lars Klevberg</v>
      </c>
      <c r="X2364" s="5">
        <f t="shared" si="4"/>
        <v>1</v>
      </c>
      <c r="Y2364" s="5" t="str">
        <f>IFERROR(__xludf.DUMMYFUNCTION("REGEXEXTRACT(J2364, ""^\d+"")"),"2")</f>
        <v>2</v>
      </c>
      <c r="Z2364" s="5" t="str">
        <f>IFERROR(__xludf.DUMMYFUNCTION("REGEXEXTRACT(J2364, ""[A-Za-z ]+$"")")," Seasons")</f>
        <v> Seasons</v>
      </c>
      <c r="AA2364" s="5" t="str">
        <f>IFERROR(__xludf.DUMMYFUNCTION("IF(REGEXMATCH(Z2364, ""Season""), ""TV Show"", ""Movie"")"),"TV Show")</f>
        <v>TV Show</v>
      </c>
    </row>
    <row r="2365">
      <c r="A2365" s="1" t="s">
        <v>13387</v>
      </c>
      <c r="B2365" s="1" t="s">
        <v>27</v>
      </c>
      <c r="C2365" s="1" t="s">
        <v>13388</v>
      </c>
      <c r="D2365" s="1" t="s">
        <v>13389</v>
      </c>
      <c r="E2365" s="1" t="s">
        <v>13390</v>
      </c>
      <c r="F2365" s="1" t="s">
        <v>13391</v>
      </c>
      <c r="G2365" s="1" t="s">
        <v>13337</v>
      </c>
      <c r="H2365" s="1">
        <v>2020.0</v>
      </c>
      <c r="I2365" s="1" t="s">
        <v>42</v>
      </c>
      <c r="J2365" s="1" t="s">
        <v>757</v>
      </c>
      <c r="K2365" s="1" t="s">
        <v>298</v>
      </c>
      <c r="L2365" s="1" t="s">
        <v>13392</v>
      </c>
      <c r="M2365" s="2" t="s">
        <v>12</v>
      </c>
      <c r="N2365" s="4">
        <f t="shared" si="1"/>
        <v>44001</v>
      </c>
      <c r="O2365" s="5" t="str">
        <f>IFERROR(__xludf.DUMMYFUNCTION("IF(REGEXMATCH(TRIM(I2365), ""^\d+\s*min""), ""Unclassified"", IF(I2365 = """", ""NR"", I2365))"),"TV-MA")</f>
        <v>TV-MA</v>
      </c>
      <c r="R2365" s="5" t="str">
        <f t="shared" si="2"/>
        <v>Wasp Network</v>
      </c>
      <c r="S2365" s="5" t="str">
        <f>IFERROR(__xludf.DUMMYFUNCTION("""COMPUTED_VALUE"""),"Family Reunion")</f>
        <v>Family Reunion</v>
      </c>
      <c r="U2365" s="5" t="str">
        <f>IFERROR(__xludf.DUMMYFUNCTION("""COMPUTED_VALUE"""),"Raaghav Dar")</f>
        <v>Raaghav Dar</v>
      </c>
      <c r="V2365" s="5" t="s">
        <v>13393</v>
      </c>
      <c r="W2365" s="5" t="str">
        <f t="shared" si="3"/>
        <v>Lars Von Trier</v>
      </c>
      <c r="X2365" s="5">
        <f t="shared" si="4"/>
        <v>2</v>
      </c>
      <c r="Y2365" s="5" t="str">
        <f>IFERROR(__xludf.DUMMYFUNCTION("REGEXEXTRACT(J2365, ""^\d+"")"),"128")</f>
        <v>128</v>
      </c>
      <c r="Z2365" s="5" t="str">
        <f>IFERROR(__xludf.DUMMYFUNCTION("REGEXEXTRACT(J2365, ""[A-Za-z ]+$"")")," min")</f>
        <v> min</v>
      </c>
      <c r="AA2365" s="5" t="str">
        <f>IFERROR(__xludf.DUMMYFUNCTION("IF(REGEXMATCH(Z2365, ""Season""), ""TV Show"", ""Movie"")"),"Movie")</f>
        <v>Movie</v>
      </c>
    </row>
    <row r="2366">
      <c r="A2366" s="1" t="s">
        <v>13394</v>
      </c>
      <c r="B2366" s="1" t="s">
        <v>27</v>
      </c>
      <c r="C2366" s="1" t="s">
        <v>13395</v>
      </c>
      <c r="D2366" s="1" t="s">
        <v>12200</v>
      </c>
      <c r="E2366" s="1" t="s">
        <v>13396</v>
      </c>
      <c r="F2366" s="1" t="s">
        <v>415</v>
      </c>
      <c r="G2366" s="1" t="s">
        <v>13397</v>
      </c>
      <c r="H2366" s="1">
        <v>2020.0</v>
      </c>
      <c r="I2366" s="1" t="s">
        <v>136</v>
      </c>
      <c r="J2366" s="1" t="s">
        <v>106</v>
      </c>
      <c r="K2366" s="1" t="s">
        <v>2728</v>
      </c>
      <c r="L2366" s="1" t="s">
        <v>13398</v>
      </c>
      <c r="M2366" s="2" t="s">
        <v>12</v>
      </c>
      <c r="N2366" s="4">
        <f t="shared" si="1"/>
        <v>44000</v>
      </c>
      <c r="O2366" s="5" t="str">
        <f>IFERROR(__xludf.DUMMYFUNCTION("IF(REGEXMATCH(TRIM(I2366), ""^\d+\s*min""), ""Unclassified"", IF(I2366 = """", ""NR"", I2366))"),"TV-PG")</f>
        <v>TV-PG</v>
      </c>
      <c r="R2366" s="5" t="str">
        <f t="shared" si="2"/>
        <v>A Whisker Away</v>
      </c>
      <c r="S2366" s="5" t="str">
        <f>IFERROR(__xludf.DUMMYFUNCTION("""COMPUTED_VALUE"""),"Famous In Ahmedabad")</f>
        <v>Famous In Ahmedabad</v>
      </c>
      <c r="U2366" s="5" t="str">
        <f>IFERROR(__xludf.DUMMYFUNCTION("""COMPUTED_VALUE"""),"Ishi Rudell")</f>
        <v>Ishi Rudell</v>
      </c>
      <c r="V2366" s="5" t="s">
        <v>10697</v>
      </c>
      <c r="W2366" s="5" t="str">
        <f t="shared" si="3"/>
        <v>Lasja Fauzia Susatyo</v>
      </c>
      <c r="X2366" s="5">
        <f t="shared" si="4"/>
        <v>1</v>
      </c>
      <c r="Y2366" s="5" t="str">
        <f>IFERROR(__xludf.DUMMYFUNCTION("REGEXEXTRACT(J2366, ""^\d+"")"),"104")</f>
        <v>104</v>
      </c>
      <c r="Z2366" s="5" t="str">
        <f>IFERROR(__xludf.DUMMYFUNCTION("REGEXEXTRACT(J2366, ""[A-Za-z ]+$"")")," min")</f>
        <v> min</v>
      </c>
      <c r="AA2366" s="5" t="str">
        <f>IFERROR(__xludf.DUMMYFUNCTION("IF(REGEXMATCH(Z2366, ""Season""), ""TV Show"", ""Movie"")"),"Movie")</f>
        <v>Movie</v>
      </c>
    </row>
    <row r="2367">
      <c r="A2367" s="1" t="s">
        <v>13399</v>
      </c>
      <c r="B2367" s="1" t="s">
        <v>27</v>
      </c>
      <c r="C2367" s="1" t="s">
        <v>13400</v>
      </c>
      <c r="D2367" s="1" t="s">
        <v>3307</v>
      </c>
      <c r="E2367" s="1" t="s">
        <v>13401</v>
      </c>
      <c r="F2367" s="1" t="s">
        <v>13402</v>
      </c>
      <c r="G2367" s="1" t="s">
        <v>13397</v>
      </c>
      <c r="H2367" s="1">
        <v>1979.0</v>
      </c>
      <c r="I2367" s="1" t="s">
        <v>42</v>
      </c>
      <c r="J2367" s="1" t="s">
        <v>2859</v>
      </c>
      <c r="K2367" s="1" t="s">
        <v>2012</v>
      </c>
      <c r="L2367" s="1" t="s">
        <v>13403</v>
      </c>
      <c r="M2367" s="2" t="s">
        <v>12</v>
      </c>
      <c r="N2367" s="4">
        <f t="shared" si="1"/>
        <v>44000</v>
      </c>
      <c r="O2367" s="5" t="str">
        <f>IFERROR(__xludf.DUMMYFUNCTION("IF(REGEXMATCH(TRIM(I2367), ""^\d+\s*min""), ""Unclassified"", IF(I2367 = """", ""NR"", I2367))"),"TV-MA")</f>
        <v>TV-MA</v>
      </c>
      <c r="R2367" s="5" t="str">
        <f t="shared" si="2"/>
        <v>Alexandria ... Why?</v>
      </c>
      <c r="S2367" s="5" t="str">
        <f>IFERROR(__xludf.DUMMYFUNCTION("""COMPUTED_VALUE"""),"Fan Girl")</f>
        <v>Fan Girl</v>
      </c>
      <c r="U2367" s="5" t="str">
        <f>IFERROR(__xludf.DUMMYFUNCTION("""COMPUTED_VALUE"""),"David Lee Miller")</f>
        <v>David Lee Miller</v>
      </c>
      <c r="V2367" s="5" t="s">
        <v>909</v>
      </c>
      <c r="W2367" s="5" t="str">
        <f t="shared" si="3"/>
        <v>Lasse Hallström</v>
      </c>
      <c r="X2367" s="5">
        <f t="shared" si="4"/>
        <v>6</v>
      </c>
      <c r="Y2367" s="5" t="str">
        <f>IFERROR(__xludf.DUMMYFUNCTION("REGEXEXTRACT(J2367, ""^\d+"")"),"131")</f>
        <v>131</v>
      </c>
      <c r="Z2367" s="5" t="str">
        <f>IFERROR(__xludf.DUMMYFUNCTION("REGEXEXTRACT(J2367, ""[A-Za-z ]+$"")")," min")</f>
        <v> min</v>
      </c>
      <c r="AA2367" s="5" t="str">
        <f>IFERROR(__xludf.DUMMYFUNCTION("IF(REGEXMATCH(Z2367, ""Season""), ""TV Show"", ""Movie"")"),"Movie")</f>
        <v>Movie</v>
      </c>
    </row>
    <row r="2368">
      <c r="A2368" s="1" t="s">
        <v>13404</v>
      </c>
      <c r="B2368" s="1" t="s">
        <v>27</v>
      </c>
      <c r="C2368" s="1" t="s">
        <v>13405</v>
      </c>
      <c r="D2368" s="1" t="s">
        <v>3307</v>
      </c>
      <c r="E2368" s="1" t="s">
        <v>13406</v>
      </c>
      <c r="F2368" s="1" t="s">
        <v>13348</v>
      </c>
      <c r="G2368" s="1" t="s">
        <v>13397</v>
      </c>
      <c r="H2368" s="1">
        <v>1989.0</v>
      </c>
      <c r="I2368" s="1" t="s">
        <v>42</v>
      </c>
      <c r="J2368" s="1" t="s">
        <v>1065</v>
      </c>
      <c r="K2368" s="1" t="s">
        <v>2012</v>
      </c>
      <c r="L2368" s="1" t="s">
        <v>13407</v>
      </c>
      <c r="M2368" s="2" t="s">
        <v>12</v>
      </c>
      <c r="N2368" s="4">
        <f t="shared" si="1"/>
        <v>44000</v>
      </c>
      <c r="O2368" s="5" t="str">
        <f>IFERROR(__xludf.DUMMYFUNCTION("IF(REGEXMATCH(TRIM(I2368), ""^\d+\s*min""), ""Unclassified"", IF(I2368 = """", ""NR"", I2368))"),"TV-MA")</f>
        <v>TV-MA</v>
      </c>
      <c r="R2368" s="5" t="str">
        <f t="shared" si="2"/>
        <v>Alexandria: Again And Forever</v>
      </c>
      <c r="S2368" s="5" t="str">
        <f>IFERROR(__xludf.DUMMYFUNCTION("""COMPUTED_VALUE"""),"Fan Of Amoory")</f>
        <v>Fan Of Amoory</v>
      </c>
      <c r="U2368" s="5" t="str">
        <f>IFERROR(__xludf.DUMMYFUNCTION("""COMPUTED_VALUE"""),"Amit Saxena")</f>
        <v>Amit Saxena</v>
      </c>
      <c r="V2368" s="5" t="s">
        <v>13408</v>
      </c>
      <c r="W2368" s="5" t="str">
        <f t="shared" si="3"/>
        <v>Lasse Hallström, Joe Johnston</v>
      </c>
      <c r="X2368" s="5">
        <f t="shared" si="4"/>
        <v>1</v>
      </c>
      <c r="Y2368" s="5" t="str">
        <f>IFERROR(__xludf.DUMMYFUNCTION("REGEXEXTRACT(J2368, ""^\d+"")"),"109")</f>
        <v>109</v>
      </c>
      <c r="Z2368" s="5" t="str">
        <f>IFERROR(__xludf.DUMMYFUNCTION("REGEXEXTRACT(J2368, ""[A-Za-z ]+$"")")," min")</f>
        <v> min</v>
      </c>
      <c r="AA2368" s="5" t="str">
        <f>IFERROR(__xludf.DUMMYFUNCTION("IF(REGEXMATCH(Z2368, ""Season""), ""TV Show"", ""Movie"")"),"Movie")</f>
        <v>Movie</v>
      </c>
    </row>
    <row r="2369">
      <c r="A2369" s="1" t="s">
        <v>13409</v>
      </c>
      <c r="B2369" s="1" t="s">
        <v>27</v>
      </c>
      <c r="C2369" s="1" t="s">
        <v>13410</v>
      </c>
      <c r="D2369" s="1" t="s">
        <v>3307</v>
      </c>
      <c r="E2369" s="1" t="s">
        <v>13411</v>
      </c>
      <c r="F2369" s="1" t="s">
        <v>3309</v>
      </c>
      <c r="G2369" s="1" t="s">
        <v>13397</v>
      </c>
      <c r="H2369" s="1">
        <v>1982.0</v>
      </c>
      <c r="I2369" s="1" t="s">
        <v>42</v>
      </c>
      <c r="J2369" s="1" t="s">
        <v>1273</v>
      </c>
      <c r="K2369" s="1" t="s">
        <v>1767</v>
      </c>
      <c r="L2369" s="1" t="s">
        <v>13412</v>
      </c>
      <c r="M2369" s="2" t="s">
        <v>12</v>
      </c>
      <c r="N2369" s="4">
        <f t="shared" si="1"/>
        <v>44000</v>
      </c>
      <c r="O2369" s="5" t="str">
        <f>IFERROR(__xludf.DUMMYFUNCTION("IF(REGEXMATCH(TRIM(I2369), ""^\d+\s*min""), ""Unclassified"", IF(I2369 = """", ""NR"", I2369))"),"TV-MA")</f>
        <v>TV-MA</v>
      </c>
      <c r="R2369" s="5" t="str">
        <f t="shared" si="2"/>
        <v>An Egyptian Story</v>
      </c>
      <c r="S2369" s="5" t="str">
        <f>IFERROR(__xludf.DUMMYFUNCTION("""COMPUTED_VALUE"""),"Fanatic")</f>
        <v>Fanatic</v>
      </c>
      <c r="U2369" s="5" t="str">
        <f>IFERROR(__xludf.DUMMYFUNCTION("""COMPUTED_VALUE"""),"Jaivi Dhanda")</f>
        <v>Jaivi Dhanda</v>
      </c>
      <c r="V2369" s="5" t="s">
        <v>13413</v>
      </c>
      <c r="W2369" s="5" t="str">
        <f t="shared" si="3"/>
        <v>Latif Faiziyev, Umesh Mehra</v>
      </c>
      <c r="X2369" s="5">
        <f t="shared" si="4"/>
        <v>3</v>
      </c>
      <c r="Y2369" s="5" t="str">
        <f>IFERROR(__xludf.DUMMYFUNCTION("REGEXEXTRACT(J2369, ""^\d+"")"),"129")</f>
        <v>129</v>
      </c>
      <c r="Z2369" s="5" t="str">
        <f>IFERROR(__xludf.DUMMYFUNCTION("REGEXEXTRACT(J2369, ""[A-Za-z ]+$"")")," min")</f>
        <v> min</v>
      </c>
      <c r="AA2369" s="5" t="str">
        <f>IFERROR(__xludf.DUMMYFUNCTION("IF(REGEXMATCH(Z2369, ""Season""), ""TV Show"", ""Movie"")"),"Movie")</f>
        <v>Movie</v>
      </c>
    </row>
    <row r="2370">
      <c r="A2370" s="1" t="s">
        <v>13414</v>
      </c>
      <c r="B2370" s="1" t="s">
        <v>27</v>
      </c>
      <c r="C2370" s="1" t="s">
        <v>13415</v>
      </c>
      <c r="D2370" s="1" t="s">
        <v>3307</v>
      </c>
      <c r="E2370" s="1" t="s">
        <v>13416</v>
      </c>
      <c r="F2370" s="1" t="s">
        <v>3309</v>
      </c>
      <c r="G2370" s="1" t="s">
        <v>13397</v>
      </c>
      <c r="H2370" s="1">
        <v>1958.0</v>
      </c>
      <c r="I2370" s="1" t="s">
        <v>97</v>
      </c>
      <c r="J2370" s="1" t="s">
        <v>5120</v>
      </c>
      <c r="K2370" s="1" t="s">
        <v>2012</v>
      </c>
      <c r="L2370" s="1" t="s">
        <v>13417</v>
      </c>
      <c r="M2370" s="2" t="s">
        <v>12</v>
      </c>
      <c r="N2370" s="4">
        <f t="shared" si="1"/>
        <v>44000</v>
      </c>
      <c r="O2370" s="5" t="str">
        <f>IFERROR(__xludf.DUMMYFUNCTION("IF(REGEXMATCH(TRIM(I2370), ""^\d+\s*min""), ""Unclassified"", IF(I2370 = """", ""NR"", I2370))"),"TV-14")</f>
        <v>TV-14</v>
      </c>
      <c r="R2370" s="5" t="str">
        <f t="shared" si="2"/>
        <v>Cairo Station</v>
      </c>
      <c r="S2370" s="5" t="str">
        <f>IFERROR(__xludf.DUMMYFUNCTION("""COMPUTED_VALUE"""),"Fanatyk")</f>
        <v>Fanatyk</v>
      </c>
      <c r="U2370" s="5" t="str">
        <f>IFERROR(__xludf.DUMMYFUNCTION("""COMPUTED_VALUE"""),"Suman Ghosh")</f>
        <v>Suman Ghosh</v>
      </c>
      <c r="V2370" s="5" t="s">
        <v>13418</v>
      </c>
      <c r="W2370" s="5" t="str">
        <f t="shared" si="3"/>
        <v>Laura Alvea, José Ortuño</v>
      </c>
      <c r="X2370" s="5">
        <f t="shared" si="4"/>
        <v>1</v>
      </c>
      <c r="Y2370" s="5" t="str">
        <f>IFERROR(__xludf.DUMMYFUNCTION("REGEXEXTRACT(J2370, ""^\d+"")"),"73")</f>
        <v>73</v>
      </c>
      <c r="Z2370" s="5" t="str">
        <f>IFERROR(__xludf.DUMMYFUNCTION("REGEXEXTRACT(J2370, ""[A-Za-z ]+$"")")," min")</f>
        <v> min</v>
      </c>
      <c r="AA2370" s="5" t="str">
        <f>IFERROR(__xludf.DUMMYFUNCTION("IF(REGEXMATCH(Z2370, ""Season""), ""TV Show"", ""Movie"")"),"Movie")</f>
        <v>Movie</v>
      </c>
    </row>
    <row r="2371">
      <c r="A2371" s="1" t="s">
        <v>13419</v>
      </c>
      <c r="B2371" s="1" t="s">
        <v>27</v>
      </c>
      <c r="C2371" s="1" t="s">
        <v>13420</v>
      </c>
      <c r="D2371" s="1" t="s">
        <v>3307</v>
      </c>
      <c r="E2371" s="1" t="s">
        <v>13421</v>
      </c>
      <c r="F2371" s="1" t="s">
        <v>3309</v>
      </c>
      <c r="G2371" s="1" t="s">
        <v>13397</v>
      </c>
      <c r="H2371" s="1">
        <v>1956.0</v>
      </c>
      <c r="I2371" s="1" t="s">
        <v>97</v>
      </c>
      <c r="J2371" s="1" t="s">
        <v>106</v>
      </c>
      <c r="K2371" s="1" t="s">
        <v>2012</v>
      </c>
      <c r="L2371" s="1" t="s">
        <v>13422</v>
      </c>
      <c r="M2371" s="2" t="s">
        <v>12</v>
      </c>
      <c r="N2371" s="4">
        <f t="shared" si="1"/>
        <v>44000</v>
      </c>
      <c r="O2371" s="5" t="str">
        <f>IFERROR(__xludf.DUMMYFUNCTION("IF(REGEXMATCH(TRIM(I2371), ""^\d+\s*min""), ""Unclassified"", IF(I2371 = """", ""NR"", I2371))"),"TV-14")</f>
        <v>TV-14</v>
      </c>
      <c r="R2371" s="5" t="str">
        <f t="shared" si="2"/>
        <v>Dark Waters</v>
      </c>
      <c r="S2371" s="5" t="str">
        <f>IFERROR(__xludf.DUMMYFUNCTION("""COMPUTED_VALUE"""),"Fandry")</f>
        <v>Fandry</v>
      </c>
      <c r="U2371" s="5" t="str">
        <f>IFERROR(__xludf.DUMMYFUNCTION("""COMPUTED_VALUE"""),"Kabir Khan")</f>
        <v>Kabir Khan</v>
      </c>
      <c r="V2371" s="5" t="s">
        <v>1736</v>
      </c>
      <c r="W2371" s="5" t="str">
        <f t="shared" si="3"/>
        <v>Laura Brownson</v>
      </c>
      <c r="X2371" s="5">
        <f t="shared" si="4"/>
        <v>2</v>
      </c>
      <c r="Y2371" s="5" t="str">
        <f>IFERROR(__xludf.DUMMYFUNCTION("REGEXEXTRACT(J2371, ""^\d+"")"),"104")</f>
        <v>104</v>
      </c>
      <c r="Z2371" s="5" t="str">
        <f>IFERROR(__xludf.DUMMYFUNCTION("REGEXEXTRACT(J2371, ""[A-Za-z ]+$"")")," min")</f>
        <v> min</v>
      </c>
      <c r="AA2371" s="5" t="str">
        <f>IFERROR(__xludf.DUMMYFUNCTION("IF(REGEXMATCH(Z2371, ""Season""), ""TV Show"", ""Movie"")"),"Movie")</f>
        <v>Movie</v>
      </c>
    </row>
    <row r="2372">
      <c r="A2372" s="1" t="s">
        <v>13423</v>
      </c>
      <c r="B2372" s="1" t="s">
        <v>27</v>
      </c>
      <c r="C2372" s="1" t="s">
        <v>13424</v>
      </c>
      <c r="D2372" s="1" t="s">
        <v>13425</v>
      </c>
      <c r="E2372" s="1" t="s">
        <v>13426</v>
      </c>
      <c r="G2372" s="1" t="s">
        <v>13397</v>
      </c>
      <c r="H2372" s="1">
        <v>2020.0</v>
      </c>
      <c r="I2372" s="1" t="s">
        <v>136</v>
      </c>
      <c r="J2372" s="1" t="s">
        <v>575</v>
      </c>
      <c r="K2372" s="1" t="s">
        <v>520</v>
      </c>
      <c r="L2372" s="1" t="s">
        <v>13427</v>
      </c>
      <c r="M2372" s="2" t="s">
        <v>12</v>
      </c>
      <c r="N2372" s="4">
        <f t="shared" si="1"/>
        <v>44000</v>
      </c>
      <c r="O2372" s="5" t="str">
        <f>IFERROR(__xludf.DUMMYFUNCTION("IF(REGEXMATCH(TRIM(I2372), ""^\d+\s*min""), ""Unclassified"", IF(I2372 = """", ""NR"", I2372))"),"TV-PG")</f>
        <v>TV-PG</v>
      </c>
      <c r="R2372" s="5" t="str">
        <f t="shared" si="2"/>
        <v>El Límite Infinito</v>
      </c>
      <c r="S2372" s="5" t="str">
        <f>IFERROR(__xludf.DUMMYFUNCTION("""COMPUTED_VALUE"""),"Fangbone")</f>
        <v>Fangbone</v>
      </c>
      <c r="U2372" s="5" t="str">
        <f>IFERROR(__xludf.DUMMYFUNCTION("""COMPUTED_VALUE"""),"Akshay Akkineni")</f>
        <v>Akshay Akkineni</v>
      </c>
      <c r="V2372" s="5" t="s">
        <v>2004</v>
      </c>
      <c r="W2372" s="5" t="str">
        <f t="shared" si="3"/>
        <v>Laura Fairrie</v>
      </c>
      <c r="X2372" s="5">
        <f t="shared" si="4"/>
        <v>1</v>
      </c>
      <c r="Y2372" s="5" t="str">
        <f>IFERROR(__xludf.DUMMYFUNCTION("REGEXEXTRACT(J2372, ""^\d+"")"),"48")</f>
        <v>48</v>
      </c>
      <c r="Z2372" s="5" t="str">
        <f>IFERROR(__xludf.DUMMYFUNCTION("REGEXEXTRACT(J2372, ""[A-Za-z ]+$"")")," min")</f>
        <v> min</v>
      </c>
      <c r="AA2372" s="5" t="str">
        <f>IFERROR(__xludf.DUMMYFUNCTION("IF(REGEXMATCH(Z2372, ""Season""), ""TV Show"", ""Movie"")"),"Movie")</f>
        <v>Movie</v>
      </c>
    </row>
    <row r="2373">
      <c r="A2373" s="1" t="s">
        <v>13428</v>
      </c>
      <c r="B2373" s="1" t="s">
        <v>27</v>
      </c>
      <c r="C2373" s="1" t="s">
        <v>13429</v>
      </c>
      <c r="D2373" s="1" t="s">
        <v>6840</v>
      </c>
      <c r="E2373" s="1" t="s">
        <v>13430</v>
      </c>
      <c r="F2373" s="1" t="s">
        <v>4287</v>
      </c>
      <c r="G2373" s="1" t="s">
        <v>13397</v>
      </c>
      <c r="H2373" s="1">
        <v>2019.0</v>
      </c>
      <c r="I2373" s="1" t="s">
        <v>97</v>
      </c>
      <c r="J2373" s="1" t="s">
        <v>835</v>
      </c>
      <c r="K2373" s="1" t="s">
        <v>199</v>
      </c>
      <c r="L2373" s="1" t="s">
        <v>13431</v>
      </c>
      <c r="M2373" s="2" t="s">
        <v>12</v>
      </c>
      <c r="N2373" s="4">
        <f t="shared" si="1"/>
        <v>44000</v>
      </c>
      <c r="O2373" s="5" t="str">
        <f>IFERROR(__xludf.DUMMYFUNCTION("IF(REGEXMATCH(TRIM(I2373), ""^\d+\s*min""), ""Unclassified"", IF(I2373 = """", ""NR"", I2373))"),"TV-14")</f>
        <v>TV-14</v>
      </c>
      <c r="R2373" s="5" t="str">
        <f t="shared" si="2"/>
        <v>Lola Igna</v>
      </c>
      <c r="S2373" s="5" t="str">
        <f>IFERROR(__xludf.DUMMYFUNCTION("""COMPUTED_VALUE"""),"Fantastic Fungi")</f>
        <v>Fantastic Fungi</v>
      </c>
      <c r="U2373" s="5" t="str">
        <f>IFERROR(__xludf.DUMMYFUNCTION("""COMPUTED_VALUE"""),"Nidhi Sharma")</f>
        <v>Nidhi Sharma</v>
      </c>
      <c r="V2373" s="5" t="s">
        <v>13432</v>
      </c>
      <c r="W2373" s="5" t="str">
        <f t="shared" si="3"/>
        <v>Laura Mañá</v>
      </c>
      <c r="X2373" s="5">
        <f t="shared" si="4"/>
        <v>1</v>
      </c>
      <c r="Y2373" s="5" t="str">
        <f>IFERROR(__xludf.DUMMYFUNCTION("REGEXEXTRACT(J2373, ""^\d+"")"),"114")</f>
        <v>114</v>
      </c>
      <c r="Z2373" s="5" t="str">
        <f>IFERROR(__xludf.DUMMYFUNCTION("REGEXEXTRACT(J2373, ""[A-Za-z ]+$"")")," min")</f>
        <v> min</v>
      </c>
      <c r="AA2373" s="5" t="str">
        <f>IFERROR(__xludf.DUMMYFUNCTION("IF(REGEXMATCH(Z2373, ""Season""), ""TV Show"", ""Movie"")"),"Movie")</f>
        <v>Movie</v>
      </c>
    </row>
    <row r="2374">
      <c r="A2374" s="1" t="s">
        <v>13433</v>
      </c>
      <c r="B2374" s="1" t="s">
        <v>27</v>
      </c>
      <c r="C2374" s="1" t="s">
        <v>13434</v>
      </c>
      <c r="D2374" s="1" t="s">
        <v>13435</v>
      </c>
      <c r="E2374" s="1" t="s">
        <v>13436</v>
      </c>
      <c r="F2374" s="1" t="s">
        <v>2796</v>
      </c>
      <c r="G2374" s="1" t="s">
        <v>13397</v>
      </c>
      <c r="H2374" s="1">
        <v>2020.0</v>
      </c>
      <c r="I2374" s="1" t="s">
        <v>506</v>
      </c>
      <c r="J2374" s="1" t="s">
        <v>1144</v>
      </c>
      <c r="K2374" s="1" t="s">
        <v>2892</v>
      </c>
      <c r="L2374" s="1" t="s">
        <v>13437</v>
      </c>
      <c r="M2374" s="2" t="s">
        <v>12</v>
      </c>
      <c r="N2374" s="4">
        <f t="shared" si="1"/>
        <v>44000</v>
      </c>
      <c r="O2374" s="5" t="str">
        <f>IFERROR(__xludf.DUMMYFUNCTION("IF(REGEXMATCH(TRIM(I2374), ""^\d+\s*min""), ""Unclassified"", IF(I2374 = """", ""NR"", I2374))"),"TV-G")</f>
        <v>TV-G</v>
      </c>
      <c r="R2374" s="5" t="str">
        <f t="shared" si="2"/>
        <v>One Take</v>
      </c>
      <c r="S2374" s="5" t="str">
        <f>IFERROR(__xludf.DUMMYFUNCTION("""COMPUTED_VALUE"""),"Fantastica")</f>
        <v>Fantastica</v>
      </c>
      <c r="U2374" s="5" t="str">
        <f>IFERROR(__xludf.DUMMYFUNCTION("""COMPUTED_VALUE"""),"Mastan Alibhai Burmawalla, Abbas Alibhai Burmawalla")</f>
        <v>Mastan Alibhai Burmawalla, Abbas Alibhai Burmawalla</v>
      </c>
      <c r="V2374" s="5" t="s">
        <v>12310</v>
      </c>
      <c r="W2374" s="5" t="str">
        <f t="shared" si="3"/>
        <v>Laura Terruso</v>
      </c>
      <c r="X2374" s="5">
        <f t="shared" si="4"/>
        <v>1</v>
      </c>
      <c r="Y2374" s="5" t="str">
        <f>IFERROR(__xludf.DUMMYFUNCTION("REGEXEXTRACT(J2374, ""^\d+"")"),"86")</f>
        <v>86</v>
      </c>
      <c r="Z2374" s="5" t="str">
        <f>IFERROR(__xludf.DUMMYFUNCTION("REGEXEXTRACT(J2374, ""[A-Za-z ]+$"")")," min")</f>
        <v> min</v>
      </c>
      <c r="AA2374" s="5" t="str">
        <f>IFERROR(__xludf.DUMMYFUNCTION("IF(REGEXMATCH(Z2374, ""Season""), ""TV Show"", ""Movie"")"),"Movie")</f>
        <v>Movie</v>
      </c>
    </row>
    <row r="2375">
      <c r="A2375" s="1" t="s">
        <v>13438</v>
      </c>
      <c r="B2375" s="1" t="s">
        <v>27</v>
      </c>
      <c r="C2375" s="1" t="s">
        <v>13439</v>
      </c>
      <c r="D2375" s="1" t="s">
        <v>3307</v>
      </c>
      <c r="E2375" s="1" t="s">
        <v>13440</v>
      </c>
      <c r="F2375" s="1" t="s">
        <v>3309</v>
      </c>
      <c r="G2375" s="1" t="s">
        <v>13397</v>
      </c>
      <c r="H2375" s="1">
        <v>1963.0</v>
      </c>
      <c r="I2375" s="1" t="s">
        <v>42</v>
      </c>
      <c r="J2375" s="1" t="s">
        <v>13441</v>
      </c>
      <c r="K2375" s="1" t="s">
        <v>342</v>
      </c>
      <c r="L2375" s="1" t="s">
        <v>13442</v>
      </c>
      <c r="M2375" s="2" t="s">
        <v>12</v>
      </c>
      <c r="N2375" s="4">
        <f t="shared" si="1"/>
        <v>44000</v>
      </c>
      <c r="O2375" s="5" t="str">
        <f>IFERROR(__xludf.DUMMYFUNCTION("IF(REGEXMATCH(TRIM(I2375), ""^\d+\s*min""), ""Unclassified"", IF(I2375 = """", ""NR"", I2375))"),"TV-MA")</f>
        <v>TV-MA</v>
      </c>
      <c r="R2375" s="5" t="str">
        <f t="shared" si="2"/>
        <v>Saladin</v>
      </c>
      <c r="S2375" s="5" t="str">
        <f>IFERROR(__xludf.DUMMYFUNCTION("""COMPUTED_VALUE"""),"Faraar")</f>
        <v>Faraar</v>
      </c>
      <c r="U2375" s="5" t="str">
        <f>IFERROR(__xludf.DUMMYFUNCTION("""COMPUTED_VALUE"""),"Vipin Parashar")</f>
        <v>Vipin Parashar</v>
      </c>
      <c r="V2375" s="5" t="s">
        <v>13443</v>
      </c>
      <c r="W2375" s="5" t="str">
        <f t="shared" si="3"/>
        <v>Laura Vanzee Taylor</v>
      </c>
      <c r="X2375" s="5">
        <f t="shared" si="4"/>
        <v>1</v>
      </c>
      <c r="Y2375" s="5" t="str">
        <f>IFERROR(__xludf.DUMMYFUNCTION("REGEXEXTRACT(J2375, ""^\d+"")"),"194")</f>
        <v>194</v>
      </c>
      <c r="Z2375" s="5" t="str">
        <f>IFERROR(__xludf.DUMMYFUNCTION("REGEXEXTRACT(J2375, ""[A-Za-z ]+$"")")," min")</f>
        <v> min</v>
      </c>
      <c r="AA2375" s="5" t="str">
        <f>IFERROR(__xludf.DUMMYFUNCTION("IF(REGEXMATCH(Z2375, ""Season""), ""TV Show"", ""Movie"")"),"Movie")</f>
        <v>Movie</v>
      </c>
    </row>
    <row r="2376">
      <c r="A2376" s="1" t="s">
        <v>13444</v>
      </c>
      <c r="B2376" s="1" t="s">
        <v>27</v>
      </c>
      <c r="C2376" s="1" t="s">
        <v>13445</v>
      </c>
      <c r="D2376" s="1" t="s">
        <v>8383</v>
      </c>
      <c r="E2376" s="1" t="s">
        <v>13446</v>
      </c>
      <c r="F2376" s="1" t="s">
        <v>3938</v>
      </c>
      <c r="G2376" s="1" t="s">
        <v>13397</v>
      </c>
      <c r="H2376" s="1">
        <v>2010.0</v>
      </c>
      <c r="I2376" s="1" t="s">
        <v>42</v>
      </c>
      <c r="J2376" s="1" t="s">
        <v>1171</v>
      </c>
      <c r="K2376" s="1" t="s">
        <v>679</v>
      </c>
      <c r="L2376" s="1" t="s">
        <v>13447</v>
      </c>
      <c r="M2376" s="2" t="s">
        <v>12</v>
      </c>
      <c r="N2376" s="4">
        <f t="shared" si="1"/>
        <v>44000</v>
      </c>
      <c r="O2376" s="5" t="str">
        <f>IFERROR(__xludf.DUMMYFUNCTION("IF(REGEXMATCH(TRIM(I2376), ""^\d+\s*min""), ""Unclassified"", IF(I2376 = """", ""NR"", I2376))"),"TV-MA")</f>
        <v>TV-MA</v>
      </c>
      <c r="R2376" s="5" t="str">
        <f t="shared" si="2"/>
        <v>Stray Bullet</v>
      </c>
      <c r="S2376" s="5" t="str">
        <f>IFERROR(__xludf.DUMMYFUNCTION("""COMPUTED_VALUE"""),"Farce")</f>
        <v>Farce</v>
      </c>
      <c r="U2376" s="5" t="str">
        <f>IFERROR(__xludf.DUMMYFUNCTION("""COMPUTED_VALUE"""),"Vikram Pradhan")</f>
        <v>Vikram Pradhan</v>
      </c>
      <c r="V2376" s="5" t="s">
        <v>13448</v>
      </c>
      <c r="W2376" s="5" t="str">
        <f t="shared" si="3"/>
        <v>Lauren Miller Rogen</v>
      </c>
      <c r="X2376" s="5">
        <f t="shared" si="4"/>
        <v>1</v>
      </c>
      <c r="Y2376" s="5" t="str">
        <f>IFERROR(__xludf.DUMMYFUNCTION("REGEXEXTRACT(J2376, ""^\d+"")"),"76")</f>
        <v>76</v>
      </c>
      <c r="Z2376" s="5" t="str">
        <f>IFERROR(__xludf.DUMMYFUNCTION("REGEXEXTRACT(J2376, ""[A-Za-z ]+$"")")," min")</f>
        <v> min</v>
      </c>
      <c r="AA2376" s="5" t="str">
        <f>IFERROR(__xludf.DUMMYFUNCTION("IF(REGEXMATCH(Z2376, ""Season""), ""TV Show"", ""Movie"")"),"Movie")</f>
        <v>Movie</v>
      </c>
    </row>
    <row r="2377">
      <c r="A2377" s="1" t="s">
        <v>13449</v>
      </c>
      <c r="B2377" s="1" t="s">
        <v>27</v>
      </c>
      <c r="C2377" s="1" t="s">
        <v>13450</v>
      </c>
      <c r="D2377" s="1" t="s">
        <v>3307</v>
      </c>
      <c r="E2377" s="1" t="s">
        <v>13451</v>
      </c>
      <c r="F2377" s="1" t="s">
        <v>3309</v>
      </c>
      <c r="G2377" s="1" t="s">
        <v>13397</v>
      </c>
      <c r="H2377" s="1">
        <v>1954.0</v>
      </c>
      <c r="I2377" s="1" t="s">
        <v>97</v>
      </c>
      <c r="J2377" s="1" t="s">
        <v>349</v>
      </c>
      <c r="K2377" s="1" t="s">
        <v>2012</v>
      </c>
      <c r="L2377" s="1" t="s">
        <v>13452</v>
      </c>
      <c r="M2377" s="2" t="s">
        <v>12</v>
      </c>
      <c r="N2377" s="4">
        <f t="shared" si="1"/>
        <v>44000</v>
      </c>
      <c r="O2377" s="5" t="str">
        <f>IFERROR(__xludf.DUMMYFUNCTION("IF(REGEXMATCH(TRIM(I2377), ""^\d+\s*min""), ""Unclassified"", IF(I2377 = """", ""NR"", I2377))"),"TV-14")</f>
        <v>TV-14</v>
      </c>
      <c r="R2377" s="5" t="str">
        <f t="shared" si="2"/>
        <v>The Blazing Sun</v>
      </c>
      <c r="S2377" s="5" t="str">
        <f>IFERROR(__xludf.DUMMYFUNCTION("""COMPUTED_VALUE"""),"Fartsa")</f>
        <v>Fartsa</v>
      </c>
      <c r="U2377" s="5" t="str">
        <f>IFERROR(__xludf.DUMMYFUNCTION("""COMPUTED_VALUE"""),"Vijay")</f>
        <v>Vijay</v>
      </c>
      <c r="V2377" s="5" t="s">
        <v>13453</v>
      </c>
      <c r="W2377" s="5" t="str">
        <f t="shared" si="3"/>
        <v>Laurent Bouzereau</v>
      </c>
      <c r="X2377" s="5">
        <f t="shared" si="4"/>
        <v>1</v>
      </c>
      <c r="Y2377" s="5" t="str">
        <f>IFERROR(__xludf.DUMMYFUNCTION("REGEXEXTRACT(J2377, ""^\d+"")"),"116")</f>
        <v>116</v>
      </c>
      <c r="Z2377" s="5" t="str">
        <f>IFERROR(__xludf.DUMMYFUNCTION("REGEXEXTRACT(J2377, ""[A-Za-z ]+$"")")," min")</f>
        <v> min</v>
      </c>
      <c r="AA2377" s="5" t="str">
        <f>IFERROR(__xludf.DUMMYFUNCTION("IF(REGEXMATCH(Z2377, ""Season""), ""TV Show"", ""Movie"")"),"Movie")</f>
        <v>Movie</v>
      </c>
    </row>
    <row r="2378">
      <c r="A2378" s="1" t="s">
        <v>13454</v>
      </c>
      <c r="B2378" s="1" t="s">
        <v>27</v>
      </c>
      <c r="C2378" s="1" t="s">
        <v>13455</v>
      </c>
      <c r="D2378" s="1" t="s">
        <v>3307</v>
      </c>
      <c r="E2378" s="1" t="s">
        <v>13456</v>
      </c>
      <c r="F2378" s="1" t="s">
        <v>3309</v>
      </c>
      <c r="G2378" s="1" t="s">
        <v>13397</v>
      </c>
      <c r="H2378" s="1">
        <v>1970.0</v>
      </c>
      <c r="I2378" s="1" t="s">
        <v>42</v>
      </c>
      <c r="J2378" s="1" t="s">
        <v>2281</v>
      </c>
      <c r="K2378" s="1" t="s">
        <v>2012</v>
      </c>
      <c r="L2378" s="1" t="s">
        <v>13457</v>
      </c>
      <c r="M2378" s="2" t="s">
        <v>12</v>
      </c>
      <c r="N2378" s="4">
        <f t="shared" si="1"/>
        <v>44000</v>
      </c>
      <c r="O2378" s="5" t="str">
        <f>IFERROR(__xludf.DUMMYFUNCTION("IF(REGEXMATCH(TRIM(I2378), ""^\d+\s*min""), ""Unclassified"", IF(I2378 = """", ""NR"", I2378))"),"TV-MA")</f>
        <v>TV-MA</v>
      </c>
      <c r="R2378" s="5" t="str">
        <f t="shared" si="2"/>
        <v>The Land</v>
      </c>
      <c r="S2378" s="5" t="str">
        <f>IFERROR(__xludf.DUMMYFUNCTION("""COMPUTED_VALUE"""),"Fary : Hexagone")</f>
        <v>Fary : Hexagone</v>
      </c>
      <c r="U2378" s="5" t="str">
        <f>IFERROR(__xludf.DUMMYFUNCTION("""COMPUTED_VALUE"""),"Sartaj Singh Pannu")</f>
        <v>Sartaj Singh Pannu</v>
      </c>
      <c r="V2378" s="5" t="s">
        <v>13458</v>
      </c>
      <c r="W2378" s="5" t="str">
        <f t="shared" si="3"/>
        <v>Laurent Cantet</v>
      </c>
      <c r="X2378" s="5">
        <f t="shared" si="4"/>
        <v>1</v>
      </c>
      <c r="Y2378" s="5" t="str">
        <f>IFERROR(__xludf.DUMMYFUNCTION("REGEXEXTRACT(J2378, ""^\d+"")"),"130")</f>
        <v>130</v>
      </c>
      <c r="Z2378" s="5" t="str">
        <f>IFERROR(__xludf.DUMMYFUNCTION("REGEXEXTRACT(J2378, ""[A-Za-z ]+$"")")," min")</f>
        <v> min</v>
      </c>
      <c r="AA2378" s="5" t="str">
        <f>IFERROR(__xludf.DUMMYFUNCTION("IF(REGEXMATCH(Z2378, ""Season""), ""TV Show"", ""Movie"")"),"Movie")</f>
        <v>Movie</v>
      </c>
    </row>
    <row r="2379">
      <c r="A2379" s="1" t="s">
        <v>13459</v>
      </c>
      <c r="B2379" s="1" t="s">
        <v>27</v>
      </c>
      <c r="C2379" s="1" t="s">
        <v>13460</v>
      </c>
      <c r="D2379" s="1" t="s">
        <v>13461</v>
      </c>
      <c r="E2379" s="1" t="s">
        <v>13462</v>
      </c>
      <c r="F2379" s="1" t="s">
        <v>13463</v>
      </c>
      <c r="G2379" s="1" t="s">
        <v>13397</v>
      </c>
      <c r="H2379" s="1">
        <v>2014.0</v>
      </c>
      <c r="I2379" s="1" t="s">
        <v>78</v>
      </c>
      <c r="J2379" s="1" t="s">
        <v>471</v>
      </c>
      <c r="K2379" s="1" t="s">
        <v>137</v>
      </c>
      <c r="L2379" s="1" t="s">
        <v>13464</v>
      </c>
      <c r="M2379" s="2" t="s">
        <v>12</v>
      </c>
      <c r="N2379" s="4">
        <f t="shared" si="1"/>
        <v>44000</v>
      </c>
      <c r="O2379" s="5" t="str">
        <f>IFERROR(__xludf.DUMMYFUNCTION("IF(REGEXMATCH(TRIM(I2379), ""^\d+\s*min""), ""Unclassified"", IF(I2379 = """", ""NR"", I2379))"),"PG")</f>
        <v>PG</v>
      </c>
      <c r="R2379" s="5" t="str">
        <f t="shared" si="2"/>
        <v>The Nut Job</v>
      </c>
      <c r="S2379" s="5" t="str">
        <f>IFERROR(__xludf.DUMMYFUNCTION("""COMPUTED_VALUE"""),"Fary Is The New Black")</f>
        <v>Fary Is The New Black</v>
      </c>
      <c r="U2379" s="5" t="str">
        <f>IFERROR(__xludf.DUMMYFUNCTION("""COMPUTED_VALUE"""),"Ayaan Mukherji")</f>
        <v>Ayaan Mukherji</v>
      </c>
      <c r="V2379" s="5" t="s">
        <v>13465</v>
      </c>
      <c r="W2379" s="5" t="str">
        <f t="shared" si="3"/>
        <v>Law Wing-Cheong</v>
      </c>
      <c r="X2379" s="5">
        <f t="shared" si="4"/>
        <v>1</v>
      </c>
      <c r="Y2379" s="5" t="str">
        <f>IFERROR(__xludf.DUMMYFUNCTION("REGEXEXTRACT(J2379, ""^\d+"")"),"85")</f>
        <v>85</v>
      </c>
      <c r="Z2379" s="5" t="str">
        <f>IFERROR(__xludf.DUMMYFUNCTION("REGEXEXTRACT(J2379, ""[A-Za-z ]+$"")")," min")</f>
        <v> min</v>
      </c>
      <c r="AA2379" s="5" t="str">
        <f>IFERROR(__xludf.DUMMYFUNCTION("IF(REGEXMATCH(Z2379, ""Season""), ""TV Show"", ""Movie"")"),"Movie")</f>
        <v>Movie</v>
      </c>
    </row>
    <row r="2380">
      <c r="A2380" s="1" t="s">
        <v>13466</v>
      </c>
      <c r="B2380" s="1" t="s">
        <v>37</v>
      </c>
      <c r="C2380" s="1" t="s">
        <v>13467</v>
      </c>
      <c r="E2380" s="1" t="s">
        <v>13468</v>
      </c>
      <c r="F2380" s="1" t="s">
        <v>30</v>
      </c>
      <c r="G2380" s="1" t="s">
        <v>13397</v>
      </c>
      <c r="H2380" s="1">
        <v>2020.0</v>
      </c>
      <c r="I2380" s="1" t="s">
        <v>42</v>
      </c>
      <c r="J2380" s="1" t="s">
        <v>43</v>
      </c>
      <c r="K2380" s="1" t="s">
        <v>9281</v>
      </c>
      <c r="L2380" s="1" t="s">
        <v>13469</v>
      </c>
      <c r="M2380" s="2" t="s">
        <v>12</v>
      </c>
      <c r="N2380" s="4">
        <f t="shared" si="1"/>
        <v>44000</v>
      </c>
      <c r="O2380" s="5" t="str">
        <f>IFERROR(__xludf.DUMMYFUNCTION("IF(REGEXMATCH(TRIM(I2380), ""^\d+\s*min""), ""Unclassified"", IF(I2380 = """", ""NR"", I2380))"),"TV-MA")</f>
        <v>TV-MA</v>
      </c>
      <c r="R2380" s="5" t="str">
        <f t="shared" si="2"/>
        <v>The Order</v>
      </c>
      <c r="S2380" s="5" t="str">
        <f>IFERROR(__xludf.DUMMYFUNCTION("""COMPUTED_VALUE"""),"Fashion")</f>
        <v>Fashion</v>
      </c>
      <c r="U2380" s="5" t="str">
        <f>IFERROR(__xludf.DUMMYFUNCTION("""COMPUTED_VALUE"""),"Sidharth Malhotra")</f>
        <v>Sidharth Malhotra</v>
      </c>
      <c r="V2380" s="5" t="s">
        <v>13470</v>
      </c>
      <c r="W2380" s="5" t="str">
        <f t="shared" si="3"/>
        <v>Lawrence Cheng</v>
      </c>
      <c r="X2380" s="5">
        <f t="shared" si="4"/>
        <v>1</v>
      </c>
      <c r="Y2380" s="5" t="str">
        <f>IFERROR(__xludf.DUMMYFUNCTION("REGEXEXTRACT(J2380, ""^\d+"")"),"2")</f>
        <v>2</v>
      </c>
      <c r="Z2380" s="5" t="str">
        <f>IFERROR(__xludf.DUMMYFUNCTION("REGEXEXTRACT(J2380, ""[A-Za-z ]+$"")")," Seasons")</f>
        <v> Seasons</v>
      </c>
      <c r="AA2380" s="5" t="str">
        <f>IFERROR(__xludf.DUMMYFUNCTION("IF(REGEXMATCH(Z2380, ""Season""), ""TV Show"", ""Movie"")"),"TV Show")</f>
        <v>TV Show</v>
      </c>
    </row>
    <row r="2381">
      <c r="A2381" s="1" t="s">
        <v>13471</v>
      </c>
      <c r="B2381" s="1" t="s">
        <v>27</v>
      </c>
      <c r="C2381" s="1" t="s">
        <v>13472</v>
      </c>
      <c r="D2381" s="1" t="s">
        <v>10965</v>
      </c>
      <c r="E2381" s="1" t="s">
        <v>13473</v>
      </c>
      <c r="F2381" s="1" t="s">
        <v>686</v>
      </c>
      <c r="G2381" s="1" t="s">
        <v>13474</v>
      </c>
      <c r="H2381" s="1">
        <v>2018.0</v>
      </c>
      <c r="I2381" s="1" t="s">
        <v>378</v>
      </c>
      <c r="J2381" s="1" t="s">
        <v>912</v>
      </c>
      <c r="K2381" s="1" t="s">
        <v>1749</v>
      </c>
      <c r="L2381" s="1" t="s">
        <v>13475</v>
      </c>
      <c r="M2381" s="2" t="s">
        <v>12</v>
      </c>
      <c r="N2381" s="4">
        <f t="shared" si="1"/>
        <v>43999</v>
      </c>
      <c r="O2381" s="5" t="str">
        <f>IFERROR(__xludf.DUMMYFUNCTION("IF(REGEXMATCH(TRIM(I2381), ""^\d+\s*min""), ""Unclassified"", IF(I2381 = """", ""NR"", I2381))"),"R")</f>
        <v>R</v>
      </c>
      <c r="R2381" s="5" t="str">
        <f t="shared" si="2"/>
        <v>An Evening With Beverly Luff Linn</v>
      </c>
      <c r="S2381" s="5" t="str">
        <f>IFERROR(__xludf.DUMMYFUNCTION("""COMPUTED_VALUE"""),"Fast &amp; Furious Spy Racers")</f>
        <v>Fast &amp; Furious Spy Racers</v>
      </c>
      <c r="U2381" s="5" t="str">
        <f>IFERROR(__xludf.DUMMYFUNCTION("""COMPUTED_VALUE"""),"Saket Behl")</f>
        <v>Saket Behl</v>
      </c>
      <c r="V2381" s="5" t="s">
        <v>13476</v>
      </c>
      <c r="W2381" s="5" t="str">
        <f t="shared" si="3"/>
        <v>Lawrence Kasdan</v>
      </c>
      <c r="X2381" s="5">
        <f t="shared" si="4"/>
        <v>1</v>
      </c>
      <c r="Y2381" s="5" t="str">
        <f>IFERROR(__xludf.DUMMYFUNCTION("REGEXEXTRACT(J2381, ""^\d+"")"),"108")</f>
        <v>108</v>
      </c>
      <c r="Z2381" s="5" t="str">
        <f>IFERROR(__xludf.DUMMYFUNCTION("REGEXEXTRACT(J2381, ""[A-Za-z ]+$"")")," min")</f>
        <v> min</v>
      </c>
      <c r="AA2381" s="5" t="str">
        <f>IFERROR(__xludf.DUMMYFUNCTION("IF(REGEXMATCH(Z2381, ""Season""), ""TV Show"", ""Movie"")"),"Movie")</f>
        <v>Movie</v>
      </c>
    </row>
    <row r="2382">
      <c r="A2382" s="1" t="s">
        <v>13477</v>
      </c>
      <c r="B2382" s="1" t="s">
        <v>27</v>
      </c>
      <c r="C2382" s="1" t="s">
        <v>13478</v>
      </c>
      <c r="D2382" s="1" t="s">
        <v>13479</v>
      </c>
      <c r="E2382" s="1" t="s">
        <v>13480</v>
      </c>
      <c r="F2382" s="1" t="s">
        <v>30</v>
      </c>
      <c r="G2382" s="1" t="s">
        <v>13474</v>
      </c>
      <c r="H2382" s="1">
        <v>2020.0</v>
      </c>
      <c r="I2382" s="1" t="s">
        <v>136</v>
      </c>
      <c r="J2382" s="1" t="s">
        <v>2452</v>
      </c>
      <c r="K2382" s="1" t="s">
        <v>5064</v>
      </c>
      <c r="L2382" s="1" t="s">
        <v>13481</v>
      </c>
      <c r="M2382" s="2" t="s">
        <v>12</v>
      </c>
      <c r="N2382" s="4">
        <f t="shared" si="1"/>
        <v>43999</v>
      </c>
      <c r="O2382" s="5" t="str">
        <f>IFERROR(__xludf.DUMMYFUNCTION("IF(REGEXMATCH(TRIM(I2382), ""^\d+\s*min""), ""Unclassified"", IF(I2382 = """", ""NR"", I2382))"),"TV-PG")</f>
        <v>TV-PG</v>
      </c>
      <c r="R2382" s="5" t="str">
        <f t="shared" si="2"/>
        <v>Riding Faith</v>
      </c>
      <c r="S2382" s="5" t="str">
        <f>IFERROR(__xludf.DUMMYFUNCTION("""COMPUTED_VALUE"""),"Fastest Car")</f>
        <v>Fastest Car</v>
      </c>
      <c r="U2382" s="5" t="str">
        <f>IFERROR(__xludf.DUMMYFUNCTION("""COMPUTED_VALUE"""),"Anjum Shahzad")</f>
        <v>Anjum Shahzad</v>
      </c>
      <c r="V2382" s="5" t="s">
        <v>2503</v>
      </c>
      <c r="W2382" s="5" t="str">
        <f t="shared" si="3"/>
        <v>Laxman Utekar</v>
      </c>
      <c r="X2382" s="5">
        <f t="shared" si="4"/>
        <v>2</v>
      </c>
      <c r="Y2382" s="5" t="str">
        <f>IFERROR(__xludf.DUMMYFUNCTION("REGEXEXTRACT(J2382, ""^\d+"")"),"81")</f>
        <v>81</v>
      </c>
      <c r="Z2382" s="5" t="str">
        <f>IFERROR(__xludf.DUMMYFUNCTION("REGEXEXTRACT(J2382, ""[A-Za-z ]+$"")")," min")</f>
        <v> min</v>
      </c>
      <c r="AA2382" s="5" t="str">
        <f>IFERROR(__xludf.DUMMYFUNCTION("IF(REGEXMATCH(Z2382, ""Season""), ""TV Show"", ""Movie"")"),"Movie")</f>
        <v>Movie</v>
      </c>
    </row>
    <row r="2383">
      <c r="A2383" s="1" t="s">
        <v>13482</v>
      </c>
      <c r="B2383" s="1" t="s">
        <v>27</v>
      </c>
      <c r="C2383" s="1" t="s">
        <v>13483</v>
      </c>
      <c r="D2383" s="1" t="s">
        <v>13182</v>
      </c>
      <c r="E2383" s="1" t="s">
        <v>13484</v>
      </c>
      <c r="F2383" s="1" t="s">
        <v>13485</v>
      </c>
      <c r="G2383" s="1" t="s">
        <v>13486</v>
      </c>
      <c r="H2383" s="1">
        <v>2012.0</v>
      </c>
      <c r="I2383" s="1" t="s">
        <v>97</v>
      </c>
      <c r="J2383" s="1" t="s">
        <v>1171</v>
      </c>
      <c r="K2383" s="1" t="s">
        <v>128</v>
      </c>
      <c r="L2383" s="1" t="s">
        <v>13487</v>
      </c>
      <c r="M2383" s="2" t="s">
        <v>12</v>
      </c>
      <c r="N2383" s="4">
        <f t="shared" si="1"/>
        <v>43998</v>
      </c>
      <c r="O2383" s="5" t="str">
        <f>IFERROR(__xludf.DUMMYFUNCTION("IF(REGEXMATCH(TRIM(I2383), ""^\d+\s*min""), ""Unclassified"", IF(I2383 = """", ""NR"", I2383))"),"TV-14")</f>
        <v>TV-14</v>
      </c>
      <c r="R2383" s="5" t="str">
        <f t="shared" si="2"/>
        <v>Last Flight To Abuja</v>
      </c>
      <c r="S2383" s="5" t="str">
        <f>IFERROR(__xludf.DUMMYFUNCTION("""COMPUTED_VALUE"""),"Fat Ballerina - David A. Arnold")</f>
        <v>Fat Ballerina - David A. Arnold</v>
      </c>
      <c r="U2383" s="5" t="str">
        <f>IFERROR(__xludf.DUMMYFUNCTION("""COMPUTED_VALUE"""),"Ken Kwapis")</f>
        <v>Ken Kwapis</v>
      </c>
      <c r="V2383" s="5" t="s">
        <v>13488</v>
      </c>
      <c r="W2383" s="5" t="str">
        <f t="shared" si="3"/>
        <v>Le Van Kiet</v>
      </c>
      <c r="X2383" s="5">
        <f t="shared" si="4"/>
        <v>1</v>
      </c>
      <c r="Y2383" s="5" t="str">
        <f>IFERROR(__xludf.DUMMYFUNCTION("REGEXEXTRACT(J2383, ""^\d+"")"),"76")</f>
        <v>76</v>
      </c>
      <c r="Z2383" s="5" t="str">
        <f>IFERROR(__xludf.DUMMYFUNCTION("REGEXEXTRACT(J2383, ""[A-Za-z ]+$"")")," min")</f>
        <v> min</v>
      </c>
      <c r="AA2383" s="5" t="str">
        <f>IFERROR(__xludf.DUMMYFUNCTION("IF(REGEXMATCH(Z2383, ""Season""), ""TV Show"", ""Movie"")"),"Movie")</f>
        <v>Movie</v>
      </c>
    </row>
    <row r="2384">
      <c r="A2384" s="1" t="s">
        <v>13489</v>
      </c>
      <c r="B2384" s="1" t="s">
        <v>27</v>
      </c>
      <c r="C2384" s="1" t="s">
        <v>13490</v>
      </c>
      <c r="D2384" s="1" t="s">
        <v>13491</v>
      </c>
      <c r="E2384" s="1" t="s">
        <v>13492</v>
      </c>
      <c r="F2384" s="1" t="s">
        <v>30</v>
      </c>
      <c r="G2384" s="1" t="s">
        <v>13486</v>
      </c>
      <c r="H2384" s="1">
        <v>2016.0</v>
      </c>
      <c r="I2384" s="1" t="s">
        <v>32</v>
      </c>
      <c r="J2384" s="1" t="s">
        <v>665</v>
      </c>
      <c r="K2384" s="1" t="s">
        <v>3768</v>
      </c>
      <c r="L2384" s="1" t="s">
        <v>13493</v>
      </c>
      <c r="M2384" s="2" t="s">
        <v>12</v>
      </c>
      <c r="N2384" s="4">
        <f t="shared" si="1"/>
        <v>43998</v>
      </c>
      <c r="O2384" s="5" t="str">
        <f>IFERROR(__xludf.DUMMYFUNCTION("IF(REGEXMATCH(TRIM(I2384), ""^\d+\s*min""), ""Unclassified"", IF(I2384 = """", ""NR"", I2384))"),"PG-13")</f>
        <v>PG-13</v>
      </c>
      <c r="R2384" s="5" t="str">
        <f t="shared" si="2"/>
        <v>The Darkness</v>
      </c>
      <c r="S2384" s="5" t="str">
        <f>IFERROR(__xludf.DUMMYFUNCTION("""COMPUTED_VALUE"""),"Fatal Affair")</f>
        <v>Fatal Affair</v>
      </c>
      <c r="U2384" s="5" t="str">
        <f>IFERROR(__xludf.DUMMYFUNCTION("""COMPUTED_VALUE"""),"Monique Gardenberg")</f>
        <v>Monique Gardenberg</v>
      </c>
      <c r="V2384" s="5" t="s">
        <v>13494</v>
      </c>
      <c r="W2384" s="5" t="str">
        <f t="shared" si="3"/>
        <v>Leandro Mark, Nicolás Silbert</v>
      </c>
      <c r="X2384" s="5">
        <f t="shared" si="4"/>
        <v>1</v>
      </c>
      <c r="Y2384" s="5" t="str">
        <f>IFERROR(__xludf.DUMMYFUNCTION("REGEXEXTRACT(J2384, ""^\d+"")"),"92")</f>
        <v>92</v>
      </c>
      <c r="Z2384" s="5" t="str">
        <f>IFERROR(__xludf.DUMMYFUNCTION("REGEXEXTRACT(J2384, ""[A-Za-z ]+$"")")," min")</f>
        <v> min</v>
      </c>
      <c r="AA2384" s="5" t="str">
        <f>IFERROR(__xludf.DUMMYFUNCTION("IF(REGEXMATCH(Z2384, ""Season""), ""TV Show"", ""Movie"")"),"Movie")</f>
        <v>Movie</v>
      </c>
    </row>
    <row r="2385">
      <c r="A2385" s="1" t="s">
        <v>13495</v>
      </c>
      <c r="B2385" s="1" t="s">
        <v>37</v>
      </c>
      <c r="C2385" s="1" t="s">
        <v>13496</v>
      </c>
      <c r="E2385" s="1" t="s">
        <v>13497</v>
      </c>
      <c r="F2385" s="1" t="s">
        <v>30</v>
      </c>
      <c r="G2385" s="1" t="s">
        <v>13498</v>
      </c>
      <c r="H2385" s="1">
        <v>2015.0</v>
      </c>
      <c r="I2385" s="1" t="s">
        <v>136</v>
      </c>
      <c r="J2385" s="1" t="s">
        <v>43</v>
      </c>
      <c r="K2385" s="1" t="s">
        <v>440</v>
      </c>
      <c r="L2385" s="1" t="s">
        <v>13499</v>
      </c>
      <c r="M2385" s="2" t="s">
        <v>12</v>
      </c>
      <c r="N2385" s="4">
        <f t="shared" si="1"/>
        <v>43997</v>
      </c>
      <c r="O2385" s="5" t="str">
        <f>IFERROR(__xludf.DUMMYFUNCTION("IF(REGEXMATCH(TRIM(I2385), ""^\d+\s*min""), ""Unclassified"", IF(I2385 = """", ""NR"", I2385))"),"TV-PG")</f>
        <v>TV-PG</v>
      </c>
      <c r="R2385" s="5" t="str">
        <f t="shared" si="2"/>
        <v>The Chase</v>
      </c>
      <c r="S2385" s="5" t="str">
        <f>IFERROR(__xludf.DUMMYFUNCTION("""COMPUTED_VALUE"""),"Fatal Destiny")</f>
        <v>Fatal Destiny</v>
      </c>
      <c r="U2385" s="5" t="str">
        <f>IFERROR(__xludf.DUMMYFUNCTION("""COMPUTED_VALUE"""),"Han Yan")</f>
        <v>Han Yan</v>
      </c>
      <c r="V2385" s="5" t="s">
        <v>4775</v>
      </c>
      <c r="W2385" s="5" t="str">
        <f t="shared" si="3"/>
        <v>Leandro Neri</v>
      </c>
      <c r="X2385" s="5">
        <f t="shared" si="4"/>
        <v>1</v>
      </c>
      <c r="Y2385" s="5" t="str">
        <f>IFERROR(__xludf.DUMMYFUNCTION("REGEXEXTRACT(J2385, ""^\d+"")"),"2")</f>
        <v>2</v>
      </c>
      <c r="Z2385" s="5" t="str">
        <f>IFERROR(__xludf.DUMMYFUNCTION("REGEXEXTRACT(J2385, ""[A-Za-z ]+$"")")," Seasons")</f>
        <v> Seasons</v>
      </c>
      <c r="AA2385" s="5" t="str">
        <f>IFERROR(__xludf.DUMMYFUNCTION("IF(REGEXMATCH(Z2385, ""Season""), ""TV Show"", ""Movie"")"),"TV Show")</f>
        <v>TV Show</v>
      </c>
    </row>
    <row r="2386">
      <c r="A2386" s="1" t="s">
        <v>13500</v>
      </c>
      <c r="B2386" s="1" t="s">
        <v>27</v>
      </c>
      <c r="C2386" s="1" t="s">
        <v>13501</v>
      </c>
      <c r="E2386" s="1" t="s">
        <v>13502</v>
      </c>
      <c r="F2386" s="1" t="s">
        <v>686</v>
      </c>
      <c r="G2386" s="1" t="s">
        <v>13498</v>
      </c>
      <c r="H2386" s="1">
        <v>2019.0</v>
      </c>
      <c r="I2386" s="1" t="s">
        <v>42</v>
      </c>
      <c r="J2386" s="1" t="s">
        <v>471</v>
      </c>
      <c r="K2386" s="1" t="s">
        <v>700</v>
      </c>
      <c r="L2386" s="1" t="s">
        <v>13503</v>
      </c>
      <c r="M2386" s="2" t="s">
        <v>12</v>
      </c>
      <c r="N2386" s="4">
        <f t="shared" si="1"/>
        <v>43997</v>
      </c>
      <c r="O2386" s="5" t="str">
        <f>IFERROR(__xludf.DUMMYFUNCTION("IF(REGEXMATCH(TRIM(I2386), ""^\d+\s*min""), ""Unclassified"", IF(I2386 = """", ""NR"", I2386))"),"TV-MA")</f>
        <v>TV-MA</v>
      </c>
      <c r="R2386" s="5" t="str">
        <f t="shared" si="2"/>
        <v>The Show Must Go On: The Queen + Adam Lambert Story</v>
      </c>
      <c r="S2386" s="5" t="str">
        <f>IFERROR(__xludf.DUMMYFUNCTION("""COMPUTED_VALUE"""),"Fate Of Alakada")</f>
        <v>Fate Of Alakada</v>
      </c>
      <c r="U2386" s="5" t="str">
        <f>IFERROR(__xludf.DUMMYFUNCTION("""COMPUTED_VALUE"""),"Jeremy Saulnier")</f>
        <v>Jeremy Saulnier</v>
      </c>
      <c r="V2386" s="5" t="s">
        <v>13504</v>
      </c>
      <c r="W2386" s="5" t="str">
        <f t="shared" si="3"/>
        <v>Leanne Gater</v>
      </c>
      <c r="X2386" s="5">
        <f t="shared" si="4"/>
        <v>1</v>
      </c>
      <c r="Y2386" s="5" t="str">
        <f>IFERROR(__xludf.DUMMYFUNCTION("REGEXEXTRACT(J2386, ""^\d+"")"),"85")</f>
        <v>85</v>
      </c>
      <c r="Z2386" s="5" t="str">
        <f>IFERROR(__xludf.DUMMYFUNCTION("REGEXEXTRACT(J2386, ""[A-Za-z ]+$"")")," min")</f>
        <v> min</v>
      </c>
      <c r="AA2386" s="5" t="str">
        <f>IFERROR(__xludf.DUMMYFUNCTION("IF(REGEXMATCH(Z2386, ""Season""), ""TV Show"", ""Movie"")"),"Movie")</f>
        <v>Movie</v>
      </c>
    </row>
    <row r="2387">
      <c r="A2387" s="1" t="s">
        <v>13505</v>
      </c>
      <c r="B2387" s="1" t="s">
        <v>27</v>
      </c>
      <c r="C2387" s="1" t="s">
        <v>13506</v>
      </c>
      <c r="D2387" s="1" t="s">
        <v>11994</v>
      </c>
      <c r="E2387" s="1" t="s">
        <v>13507</v>
      </c>
      <c r="F2387" s="1" t="s">
        <v>2011</v>
      </c>
      <c r="G2387" s="1" t="s">
        <v>13498</v>
      </c>
      <c r="H2387" s="1">
        <v>2013.0</v>
      </c>
      <c r="I2387" s="1" t="s">
        <v>78</v>
      </c>
      <c r="J2387" s="1" t="s">
        <v>471</v>
      </c>
      <c r="K2387" s="1" t="s">
        <v>2547</v>
      </c>
      <c r="L2387" s="1" t="s">
        <v>13508</v>
      </c>
      <c r="M2387" s="2" t="s">
        <v>12</v>
      </c>
      <c r="N2387" s="4">
        <f t="shared" si="1"/>
        <v>43997</v>
      </c>
      <c r="O2387" s="5" t="str">
        <f>IFERROR(__xludf.DUMMYFUNCTION("IF(REGEXMATCH(TRIM(I2387), ""^\d+\s*min""), ""Unclassified"", IF(I2387 = """", ""NR"", I2387))"),"PG")</f>
        <v>PG</v>
      </c>
      <c r="R2387" s="5" t="str">
        <f t="shared" si="2"/>
        <v>Underdogs</v>
      </c>
      <c r="S2387" s="5" t="str">
        <f>IFERROR(__xludf.DUMMYFUNCTION("""COMPUTED_VALUE"""),"Fate: The Winx Saga")</f>
        <v>Fate: The Winx Saga</v>
      </c>
      <c r="U2387" s="5" t="str">
        <f>IFERROR(__xludf.DUMMYFUNCTION("""COMPUTED_VALUE"""),"Kim A. Snyder")</f>
        <v>Kim A. Snyder</v>
      </c>
      <c r="V2387" s="5" t="s">
        <v>13509</v>
      </c>
      <c r="W2387" s="5" t="str">
        <f t="shared" si="3"/>
        <v>Lee Chang-Dong</v>
      </c>
      <c r="X2387" s="5">
        <f t="shared" si="4"/>
        <v>1</v>
      </c>
      <c r="Y2387" s="5" t="str">
        <f>IFERROR(__xludf.DUMMYFUNCTION("REGEXEXTRACT(J2387, ""^\d+"")"),"85")</f>
        <v>85</v>
      </c>
      <c r="Z2387" s="5" t="str">
        <f>IFERROR(__xludf.DUMMYFUNCTION("REGEXEXTRACT(J2387, ""[A-Za-z ]+$"")")," min")</f>
        <v> min</v>
      </c>
      <c r="AA2387" s="5" t="str">
        <f>IFERROR(__xludf.DUMMYFUNCTION("IF(REGEXMATCH(Z2387, ""Season""), ""TV Show"", ""Movie"")"),"Movie")</f>
        <v>Movie</v>
      </c>
    </row>
    <row r="2388">
      <c r="A2388" s="1" t="s">
        <v>13510</v>
      </c>
      <c r="B2388" s="1" t="s">
        <v>27</v>
      </c>
      <c r="C2388" s="1" t="s">
        <v>13511</v>
      </c>
      <c r="D2388" s="1" t="s">
        <v>522</v>
      </c>
      <c r="E2388" s="1" t="s">
        <v>13512</v>
      </c>
      <c r="F2388" s="1" t="s">
        <v>3321</v>
      </c>
      <c r="G2388" s="1" t="s">
        <v>13498</v>
      </c>
      <c r="H2388" s="1">
        <v>2019.0</v>
      </c>
      <c r="I2388" s="1" t="s">
        <v>97</v>
      </c>
      <c r="J2388" s="1" t="s">
        <v>912</v>
      </c>
      <c r="K2388" s="1" t="s">
        <v>306</v>
      </c>
      <c r="L2388" s="1" t="s">
        <v>13513</v>
      </c>
      <c r="M2388" s="2" t="s">
        <v>12</v>
      </c>
      <c r="N2388" s="4">
        <f t="shared" si="1"/>
        <v>43997</v>
      </c>
      <c r="O2388" s="5" t="str">
        <f>IFERROR(__xludf.DUMMYFUNCTION("IF(REGEXMATCH(TRIM(I2388), ""^\d+\s*min""), ""Unclassified"", IF(I2388 = """", ""NR"", I2388))"),"TV-14")</f>
        <v>TV-14</v>
      </c>
      <c r="R2388" s="5" t="str">
        <f t="shared" si="2"/>
        <v>Wira</v>
      </c>
      <c r="S2388" s="5" t="str">
        <f>IFERROR(__xludf.DUMMYFUNCTION("""COMPUTED_VALUE"""),"Fate: The Winx Saga - The Afterparty")</f>
        <v>Fate: The Winx Saga - The Afterparty</v>
      </c>
      <c r="U2388" s="5" t="str">
        <f>IFERROR(__xludf.DUMMYFUNCTION("""COMPUTED_VALUE"""),"Álvaro Longoria, Gerardo Olivares")</f>
        <v>Álvaro Longoria, Gerardo Olivares</v>
      </c>
      <c r="V2388" s="5" t="s">
        <v>13514</v>
      </c>
      <c r="W2388" s="5" t="str">
        <f t="shared" si="3"/>
        <v>Lee Chung-Hyun</v>
      </c>
      <c r="X2388" s="5">
        <f t="shared" si="4"/>
        <v>1</v>
      </c>
      <c r="Y2388" s="5" t="str">
        <f>IFERROR(__xludf.DUMMYFUNCTION("REGEXEXTRACT(J2388, ""^\d+"")"),"108")</f>
        <v>108</v>
      </c>
      <c r="Z2388" s="5" t="str">
        <f>IFERROR(__xludf.DUMMYFUNCTION("REGEXEXTRACT(J2388, ""[A-Za-z ]+$"")")," min")</f>
        <v> min</v>
      </c>
      <c r="AA2388" s="5" t="str">
        <f>IFERROR(__xludf.DUMMYFUNCTION("IF(REGEXMATCH(Z2388, ""Season""), ""TV Show"", ""Movie"")"),"Movie")</f>
        <v>Movie</v>
      </c>
    </row>
    <row r="2389">
      <c r="A2389" s="1" t="s">
        <v>13515</v>
      </c>
      <c r="B2389" s="1" t="s">
        <v>27</v>
      </c>
      <c r="C2389" s="1" t="s">
        <v>13516</v>
      </c>
      <c r="D2389" s="1" t="s">
        <v>9710</v>
      </c>
      <c r="E2389" s="1" t="s">
        <v>13517</v>
      </c>
      <c r="F2389" s="1" t="s">
        <v>400</v>
      </c>
      <c r="G2389" s="1" t="s">
        <v>13518</v>
      </c>
      <c r="H2389" s="1">
        <v>2019.0</v>
      </c>
      <c r="I2389" s="1" t="s">
        <v>42</v>
      </c>
      <c r="J2389" s="1" t="s">
        <v>985</v>
      </c>
      <c r="K2389" s="1" t="s">
        <v>298</v>
      </c>
      <c r="L2389" s="1" t="s">
        <v>13519</v>
      </c>
      <c r="M2389" s="2" t="s">
        <v>12</v>
      </c>
      <c r="N2389" s="4">
        <f t="shared" si="1"/>
        <v>43995</v>
      </c>
      <c r="O2389" s="5" t="str">
        <f>IFERROR(__xludf.DUMMYFUNCTION("IF(REGEXMATCH(TRIM(I2389), ""^\d+\s*min""), ""Unclassified"", IF(I2389 = """", ""NR"", I2389))"),"TV-MA")</f>
        <v>TV-MA</v>
      </c>
      <c r="R2389" s="5" t="str">
        <f t="shared" si="2"/>
        <v>4Th Republic</v>
      </c>
      <c r="S2389" s="5" t="str">
        <f>IFERROR(__xludf.DUMMYFUNCTION("""COMPUTED_VALUE"""),"Fate/Apocrypha")</f>
        <v>Fate/Apocrypha</v>
      </c>
      <c r="U2389" s="5" t="str">
        <f>IFERROR(__xludf.DUMMYFUNCTION("""COMPUTED_VALUE"""),"Anthony Byrne")</f>
        <v>Anthony Byrne</v>
      </c>
      <c r="V2389" s="5" t="s">
        <v>9009</v>
      </c>
      <c r="W2389" s="5" t="str">
        <f t="shared" si="3"/>
        <v>Lee Daniels</v>
      </c>
      <c r="X2389" s="5">
        <f t="shared" si="4"/>
        <v>1</v>
      </c>
      <c r="Y2389" s="5" t="str">
        <f>IFERROR(__xludf.DUMMYFUNCTION("REGEXEXTRACT(J2389, ""^\d+"")"),"120")</f>
        <v>120</v>
      </c>
      <c r="Z2389" s="5" t="str">
        <f>IFERROR(__xludf.DUMMYFUNCTION("REGEXEXTRACT(J2389, ""[A-Za-z ]+$"")")," min")</f>
        <v> min</v>
      </c>
      <c r="AA2389" s="5" t="str">
        <f>IFERROR(__xludf.DUMMYFUNCTION("IF(REGEXMATCH(Z2389, ""Season""), ""TV Show"", ""Movie"")"),"Movie")</f>
        <v>Movie</v>
      </c>
    </row>
    <row r="2390">
      <c r="A2390" s="1" t="s">
        <v>13520</v>
      </c>
      <c r="B2390" s="1" t="s">
        <v>37</v>
      </c>
      <c r="C2390" s="1" t="s">
        <v>13521</v>
      </c>
      <c r="E2390" s="1" t="s">
        <v>13522</v>
      </c>
      <c r="F2390" s="1" t="s">
        <v>30</v>
      </c>
      <c r="G2390" s="1" t="s">
        <v>13518</v>
      </c>
      <c r="H2390" s="1">
        <v>2020.0</v>
      </c>
      <c r="I2390" s="1" t="s">
        <v>506</v>
      </c>
      <c r="J2390" s="1" t="s">
        <v>148</v>
      </c>
      <c r="K2390" s="1" t="s">
        <v>314</v>
      </c>
      <c r="L2390" s="1" t="s">
        <v>13523</v>
      </c>
      <c r="M2390" s="2" t="s">
        <v>12</v>
      </c>
      <c r="N2390" s="4">
        <f t="shared" si="1"/>
        <v>43995</v>
      </c>
      <c r="O2390" s="5" t="str">
        <f>IFERROR(__xludf.DUMMYFUNCTION("IF(REGEXMATCH(TRIM(I2390), ""^\d+\s*min""), ""Unclassified"", IF(I2390 = """", ""NR"", I2390))"),"TV-G")</f>
        <v>TV-G</v>
      </c>
      <c r="R2390" s="5" t="str">
        <f t="shared" si="2"/>
        <v>Alexa &amp; Katie</v>
      </c>
      <c r="S2390" s="5" t="str">
        <f>IFERROR(__xludf.DUMMYFUNCTION("""COMPUTED_VALUE"""),"Fate/Extra Last Encore")</f>
        <v>Fate/Extra Last Encore</v>
      </c>
      <c r="U2390" s="5" t="str">
        <f>IFERROR(__xludf.DUMMYFUNCTION("""COMPUTED_VALUE"""),"Rashida Jones, Alan Hicks")</f>
        <v>Rashida Jones, Alan Hicks</v>
      </c>
      <c r="V2390" s="5" t="s">
        <v>13524</v>
      </c>
      <c r="W2390" s="5" t="str">
        <f t="shared" si="3"/>
        <v>Lee Eung-Bok</v>
      </c>
      <c r="X2390" s="5">
        <f t="shared" si="4"/>
        <v>1</v>
      </c>
      <c r="Y2390" s="5" t="str">
        <f>IFERROR(__xludf.DUMMYFUNCTION("REGEXEXTRACT(J2390, ""^\d+"")"),"4")</f>
        <v>4</v>
      </c>
      <c r="Z2390" s="5" t="str">
        <f>IFERROR(__xludf.DUMMYFUNCTION("REGEXEXTRACT(J2390, ""[A-Za-z ]+$"")")," Seasons")</f>
        <v> Seasons</v>
      </c>
      <c r="AA2390" s="5" t="str">
        <f>IFERROR(__xludf.DUMMYFUNCTION("IF(REGEXMATCH(Z2390, ""Season""), ""TV Show"", ""Movie"")"),"TV Show")</f>
        <v>TV Show</v>
      </c>
    </row>
    <row r="2391">
      <c r="A2391" s="1" t="s">
        <v>13525</v>
      </c>
      <c r="B2391" s="1" t="s">
        <v>27</v>
      </c>
      <c r="C2391" s="1" t="s">
        <v>13526</v>
      </c>
      <c r="D2391" s="1" t="s">
        <v>46</v>
      </c>
      <c r="E2391" s="1" t="s">
        <v>13527</v>
      </c>
      <c r="F2391" s="1" t="s">
        <v>63</v>
      </c>
      <c r="G2391" s="1" t="s">
        <v>13518</v>
      </c>
      <c r="H2391" s="1">
        <v>2020.0</v>
      </c>
      <c r="I2391" s="1" t="s">
        <v>97</v>
      </c>
      <c r="J2391" s="1" t="s">
        <v>743</v>
      </c>
      <c r="K2391" s="1" t="s">
        <v>128</v>
      </c>
      <c r="L2391" s="1" t="s">
        <v>13528</v>
      </c>
      <c r="M2391" s="2" t="s">
        <v>12</v>
      </c>
      <c r="N2391" s="4">
        <f t="shared" si="1"/>
        <v>43995</v>
      </c>
      <c r="O2391" s="5" t="str">
        <f>IFERROR(__xludf.DUMMYFUNCTION("IF(REGEXMATCH(TRIM(I2391), ""^\d+\s*min""), ""Unclassified"", IF(I2391 = """", ""NR"", I2391))"),"TV-14")</f>
        <v>TV-14</v>
      </c>
      <c r="R2391" s="5" t="str">
        <f t="shared" si="2"/>
        <v>Asura Guru</v>
      </c>
      <c r="S2391" s="5" t="str">
        <f>IFERROR(__xludf.DUMMYFUNCTION("""COMPUTED_VALUE"""),"Fate/Grand Order -First Order-")</f>
        <v>Fate/Grand Order -First Order-</v>
      </c>
      <c r="U2391" s="5" t="str">
        <f>IFERROR(__xludf.DUMMYFUNCTION("""COMPUTED_VALUE"""),"Ariel Vromen")</f>
        <v>Ariel Vromen</v>
      </c>
      <c r="V2391" s="5" t="s">
        <v>13529</v>
      </c>
      <c r="W2391" s="5" t="str">
        <f t="shared" si="3"/>
        <v>Lee Fulkerson</v>
      </c>
      <c r="X2391" s="5">
        <f t="shared" si="4"/>
        <v>1</v>
      </c>
      <c r="Y2391" s="5" t="str">
        <f>IFERROR(__xludf.DUMMYFUNCTION("REGEXEXTRACT(J2391, ""^\d+"")"),"117")</f>
        <v>117</v>
      </c>
      <c r="Z2391" s="5" t="str">
        <f>IFERROR(__xludf.DUMMYFUNCTION("REGEXEXTRACT(J2391, ""[A-Za-z ]+$"")")," min")</f>
        <v> min</v>
      </c>
      <c r="AA2391" s="5" t="str">
        <f>IFERROR(__xludf.DUMMYFUNCTION("IF(REGEXMATCH(Z2391, ""Season""), ""TV Show"", ""Movie"")"),"Movie")</f>
        <v>Movie</v>
      </c>
    </row>
    <row r="2392">
      <c r="A2392" s="1" t="s">
        <v>13530</v>
      </c>
      <c r="B2392" s="1" t="s">
        <v>37</v>
      </c>
      <c r="C2392" s="1" t="s">
        <v>13531</v>
      </c>
      <c r="E2392" s="1" t="s">
        <v>13532</v>
      </c>
      <c r="F2392" s="1" t="s">
        <v>30</v>
      </c>
      <c r="G2392" s="1" t="s">
        <v>13518</v>
      </c>
      <c r="H2392" s="1">
        <v>2020.0</v>
      </c>
      <c r="I2392" s="1" t="s">
        <v>97</v>
      </c>
      <c r="J2392" s="1" t="s">
        <v>439</v>
      </c>
      <c r="K2392" s="1" t="s">
        <v>1510</v>
      </c>
      <c r="L2392" s="1" t="s">
        <v>13533</v>
      </c>
      <c r="M2392" s="2" t="s">
        <v>12</v>
      </c>
      <c r="N2392" s="4">
        <f t="shared" si="1"/>
        <v>43995</v>
      </c>
      <c r="O2392" s="5" t="str">
        <f>IFERROR(__xludf.DUMMYFUNCTION("IF(REGEXMATCH(TRIM(I2392), ""^\d+\s*min""), ""Unclassified"", IF(I2392 = """", ""NR"", I2392))"),"TV-14")</f>
        <v>TV-14</v>
      </c>
      <c r="R2392" s="5" t="str">
        <f t="shared" si="2"/>
        <v>How To Get Away With Murder</v>
      </c>
      <c r="S2392" s="5" t="str">
        <f>IFERROR(__xludf.DUMMYFUNCTION("""COMPUTED_VALUE"""),"Fate/Stay Night: Unlimited Blade Works")</f>
        <v>Fate/Stay Night: Unlimited Blade Works</v>
      </c>
      <c r="U2392" s="5" t="str">
        <f>IFERROR(__xludf.DUMMYFUNCTION("""COMPUTED_VALUE"""),"Nicole Holofcener")</f>
        <v>Nicole Holofcener</v>
      </c>
      <c r="V2392" s="5" t="s">
        <v>11135</v>
      </c>
      <c r="W2392" s="5" t="str">
        <f t="shared" si="3"/>
        <v>Lee Hirsch</v>
      </c>
      <c r="X2392" s="5">
        <f t="shared" si="4"/>
        <v>2</v>
      </c>
      <c r="Y2392" s="5" t="str">
        <f>IFERROR(__xludf.DUMMYFUNCTION("REGEXEXTRACT(J2392, ""^\d+"")"),"6")</f>
        <v>6</v>
      </c>
      <c r="Z2392" s="5" t="str">
        <f>IFERROR(__xludf.DUMMYFUNCTION("REGEXEXTRACT(J2392, ""[A-Za-z ]+$"")")," Seasons")</f>
        <v> Seasons</v>
      </c>
      <c r="AA2392" s="5" t="str">
        <f>IFERROR(__xludf.DUMMYFUNCTION("IF(REGEXMATCH(Z2392, ""Season""), ""TV Show"", ""Movie"")"),"TV Show")</f>
        <v>TV Show</v>
      </c>
    </row>
    <row r="2393">
      <c r="A2393" s="1" t="s">
        <v>13534</v>
      </c>
      <c r="B2393" s="1" t="s">
        <v>27</v>
      </c>
      <c r="C2393" s="1" t="s">
        <v>13535</v>
      </c>
      <c r="D2393" s="1" t="s">
        <v>7452</v>
      </c>
      <c r="E2393" s="1" t="s">
        <v>13536</v>
      </c>
      <c r="F2393" s="1" t="s">
        <v>2873</v>
      </c>
      <c r="G2393" s="1" t="s">
        <v>13518</v>
      </c>
      <c r="H2393" s="1">
        <v>2020.0</v>
      </c>
      <c r="I2393" s="1" t="s">
        <v>97</v>
      </c>
      <c r="J2393" s="1" t="s">
        <v>433</v>
      </c>
      <c r="K2393" s="1" t="s">
        <v>679</v>
      </c>
      <c r="L2393" s="1" t="s">
        <v>13537</v>
      </c>
      <c r="M2393" s="2" t="s">
        <v>12</v>
      </c>
      <c r="N2393" s="4">
        <f t="shared" si="1"/>
        <v>43995</v>
      </c>
      <c r="O2393" s="5" t="str">
        <f>IFERROR(__xludf.DUMMYFUNCTION("IF(REGEXMATCH(TRIM(I2393), ""^\d+\s*min""), ""Unclassified"", IF(I2393 = """", ""NR"", I2393))"),"TV-14")</f>
        <v>TV-14</v>
      </c>
      <c r="R2393" s="5" t="str">
        <f t="shared" si="2"/>
        <v>Milea</v>
      </c>
      <c r="S2393" s="5" t="str">
        <f>IFERROR(__xludf.DUMMYFUNCTION("""COMPUTED_VALUE"""),"Fate/Zero")</f>
        <v>Fate/Zero</v>
      </c>
      <c r="U2393" s="5" t="str">
        <f>IFERROR(__xludf.DUMMYFUNCTION("""COMPUTED_VALUE"""),"Alessio Cremonini")</f>
        <v>Alessio Cremonini</v>
      </c>
      <c r="V2393" s="5" t="s">
        <v>13538</v>
      </c>
      <c r="W2393" s="5" t="str">
        <f t="shared" si="3"/>
        <v>Lee Jeong-Beom</v>
      </c>
      <c r="X2393" s="5">
        <f t="shared" si="4"/>
        <v>1</v>
      </c>
      <c r="Y2393" s="5" t="str">
        <f>IFERROR(__xludf.DUMMYFUNCTION("REGEXEXTRACT(J2393, ""^\d+"")"),"100")</f>
        <v>100</v>
      </c>
      <c r="Z2393" s="5" t="str">
        <f>IFERROR(__xludf.DUMMYFUNCTION("REGEXEXTRACT(J2393, ""[A-Za-z ]+$"")")," min")</f>
        <v> min</v>
      </c>
      <c r="AA2393" s="5" t="str">
        <f>IFERROR(__xludf.DUMMYFUNCTION("IF(REGEXMATCH(Z2393, ""Season""), ""TV Show"", ""Movie"")"),"Movie")</f>
        <v>Movie</v>
      </c>
    </row>
    <row r="2394">
      <c r="A2394" s="1" t="s">
        <v>13539</v>
      </c>
      <c r="B2394" s="1" t="s">
        <v>27</v>
      </c>
      <c r="C2394" s="1" t="s">
        <v>13540</v>
      </c>
      <c r="D2394" s="1" t="s">
        <v>13541</v>
      </c>
      <c r="E2394" s="1" t="s">
        <v>13542</v>
      </c>
      <c r="F2394" s="1" t="s">
        <v>63</v>
      </c>
      <c r="G2394" s="1" t="s">
        <v>13543</v>
      </c>
      <c r="H2394" s="1">
        <v>2020.0</v>
      </c>
      <c r="I2394" s="1" t="s">
        <v>42</v>
      </c>
      <c r="J2394" s="1" t="s">
        <v>1091</v>
      </c>
      <c r="K2394" s="1" t="s">
        <v>836</v>
      </c>
      <c r="L2394" s="1" t="s">
        <v>13544</v>
      </c>
      <c r="M2394" s="2" t="s">
        <v>12</v>
      </c>
      <c r="N2394" s="4">
        <f t="shared" si="1"/>
        <v>43994</v>
      </c>
      <c r="O2394" s="5" t="str">
        <f>IFERROR(__xludf.DUMMYFUNCTION("IF(REGEXMATCH(TRIM(I2394), ""^\d+\s*min""), ""Unclassified"", IF(I2394 = """", ""NR"", I2394))"),"TV-MA")</f>
        <v>TV-MA</v>
      </c>
      <c r="R2394" s="5" t="str">
        <f t="shared" si="2"/>
        <v>Axone</v>
      </c>
      <c r="S2394" s="5" t="str">
        <f>IFERROR(__xludf.DUMMYFUNCTION("""COMPUTED_VALUE"""),"Father Brown")</f>
        <v>Father Brown</v>
      </c>
      <c r="U2394" s="5" t="str">
        <f>IFERROR(__xludf.DUMMYFUNCTION("""COMPUTED_VALUE"""),"Joram Lürsen")</f>
        <v>Joram Lürsen</v>
      </c>
      <c r="V2394" s="5" t="s">
        <v>13545</v>
      </c>
      <c r="W2394" s="5" t="str">
        <f t="shared" si="3"/>
        <v>Lee Kae-Byeok</v>
      </c>
      <c r="X2394" s="5">
        <f t="shared" si="4"/>
        <v>1</v>
      </c>
      <c r="Y2394" s="5" t="str">
        <f>IFERROR(__xludf.DUMMYFUNCTION("REGEXEXTRACT(J2394, ""^\d+"")"),"101")</f>
        <v>101</v>
      </c>
      <c r="Z2394" s="5" t="str">
        <f>IFERROR(__xludf.DUMMYFUNCTION("REGEXEXTRACT(J2394, ""[A-Za-z ]+$"")")," min")</f>
        <v> min</v>
      </c>
      <c r="AA2394" s="5" t="str">
        <f>IFERROR(__xludf.DUMMYFUNCTION("IF(REGEXMATCH(Z2394, ""Season""), ""TV Show"", ""Movie"")"),"Movie")</f>
        <v>Movie</v>
      </c>
    </row>
    <row r="2395">
      <c r="A2395" s="1" t="s">
        <v>13546</v>
      </c>
      <c r="B2395" s="1" t="s">
        <v>27</v>
      </c>
      <c r="C2395" s="1" t="s">
        <v>13547</v>
      </c>
      <c r="D2395" s="1" t="s">
        <v>983</v>
      </c>
      <c r="E2395" s="1" t="s">
        <v>13548</v>
      </c>
      <c r="F2395" s="1" t="s">
        <v>30</v>
      </c>
      <c r="G2395" s="1" t="s">
        <v>13543</v>
      </c>
      <c r="H2395" s="1">
        <v>2020.0</v>
      </c>
      <c r="I2395" s="1" t="s">
        <v>378</v>
      </c>
      <c r="J2395" s="1" t="s">
        <v>1235</v>
      </c>
      <c r="K2395" s="1" t="s">
        <v>323</v>
      </c>
      <c r="L2395" s="1" t="s">
        <v>13549</v>
      </c>
      <c r="M2395" s="2" t="s">
        <v>12</v>
      </c>
      <c r="N2395" s="4">
        <f t="shared" si="1"/>
        <v>43994</v>
      </c>
      <c r="O2395" s="5" t="str">
        <f>IFERROR(__xludf.DUMMYFUNCTION("IF(REGEXMATCH(TRIM(I2395), ""^\d+\s*min""), ""Unclassified"", IF(I2395 = """", ""NR"", I2395))"),"R")</f>
        <v>R</v>
      </c>
      <c r="R2395" s="5" t="str">
        <f t="shared" si="2"/>
        <v>Da 5 Bloods</v>
      </c>
      <c r="S2395" s="5" t="str">
        <f>IFERROR(__xludf.DUMMYFUNCTION("""COMPUTED_VALUE"""),"Father Of The Year")</f>
        <v>Father Of The Year</v>
      </c>
      <c r="U2395" s="5" t="str">
        <f>IFERROR(__xludf.DUMMYFUNCTION("""COMPUTED_VALUE"""),"Madeleine Gavin")</f>
        <v>Madeleine Gavin</v>
      </c>
      <c r="V2395" s="5" t="s">
        <v>13550</v>
      </c>
      <c r="W2395" s="5" t="str">
        <f t="shared" si="3"/>
        <v>Lee Kirk</v>
      </c>
      <c r="X2395" s="5">
        <f t="shared" si="4"/>
        <v>1</v>
      </c>
      <c r="Y2395" s="5" t="str">
        <f>IFERROR(__xludf.DUMMYFUNCTION("REGEXEXTRACT(J2395, ""^\d+"")"),"156")</f>
        <v>156</v>
      </c>
      <c r="Z2395" s="5" t="str">
        <f>IFERROR(__xludf.DUMMYFUNCTION("REGEXEXTRACT(J2395, ""[A-Za-z ]+$"")")," min")</f>
        <v> min</v>
      </c>
      <c r="AA2395" s="5" t="str">
        <f>IFERROR(__xludf.DUMMYFUNCTION("IF(REGEXMATCH(Z2395, ""Season""), ""TV Show"", ""Movie"")"),"Movie")</f>
        <v>Movie</v>
      </c>
    </row>
    <row r="2396">
      <c r="A2396" s="1" t="s">
        <v>13551</v>
      </c>
      <c r="B2396" s="1" t="s">
        <v>37</v>
      </c>
      <c r="C2396" s="1" t="s">
        <v>13552</v>
      </c>
      <c r="G2396" s="1" t="s">
        <v>13543</v>
      </c>
      <c r="H2396" s="1">
        <v>2020.0</v>
      </c>
      <c r="I2396" s="1" t="s">
        <v>42</v>
      </c>
      <c r="J2396" s="1" t="s">
        <v>43</v>
      </c>
      <c r="K2396" s="1" t="s">
        <v>4008</v>
      </c>
      <c r="L2396" s="1" t="s">
        <v>13553</v>
      </c>
      <c r="M2396" s="2" t="s">
        <v>12</v>
      </c>
      <c r="N2396" s="4">
        <f t="shared" si="1"/>
        <v>43994</v>
      </c>
      <c r="O2396" s="5" t="str">
        <f>IFERROR(__xludf.DUMMYFUNCTION("IF(REGEXMATCH(TRIM(I2396), ""^\d+\s*min""), ""Unclassified"", IF(I2396 = """", ""NR"", I2396))"),"TV-MA")</f>
        <v>TV-MA</v>
      </c>
      <c r="R2396" s="5" t="str">
        <f t="shared" si="2"/>
        <v>Dating Around</v>
      </c>
      <c r="S2396" s="5" t="str">
        <f>IFERROR(__xludf.DUMMYFUNCTION("""COMPUTED_VALUE"""),"Father Soldier Son")</f>
        <v>Father Soldier Son</v>
      </c>
      <c r="U2396" s="5" t="str">
        <f>IFERROR(__xludf.DUMMYFUNCTION("""COMPUTED_VALUE"""),"Kevin R. Adams, Joe Ksander")</f>
        <v>Kevin R. Adams, Joe Ksander</v>
      </c>
      <c r="V2396" s="5" t="s">
        <v>13554</v>
      </c>
      <c r="W2396" s="5" t="str">
        <f t="shared" si="3"/>
        <v>Lee Kyoungmi, Yim Pilsung, Jeon Go-Woon, Kim Jong-Kwan</v>
      </c>
      <c r="X2396" s="5">
        <f t="shared" si="4"/>
        <v>1</v>
      </c>
      <c r="Y2396" s="5" t="str">
        <f>IFERROR(__xludf.DUMMYFUNCTION("REGEXEXTRACT(J2396, ""^\d+"")"),"2")</f>
        <v>2</v>
      </c>
      <c r="Z2396" s="5" t="str">
        <f>IFERROR(__xludf.DUMMYFUNCTION("REGEXEXTRACT(J2396, ""[A-Za-z ]+$"")")," Seasons")</f>
        <v> Seasons</v>
      </c>
      <c r="AA2396" s="5" t="str">
        <f>IFERROR(__xludf.DUMMYFUNCTION("IF(REGEXMATCH(Z2396, ""Season""), ""TV Show"", ""Movie"")"),"TV Show")</f>
        <v>TV Show</v>
      </c>
    </row>
    <row r="2397">
      <c r="A2397" s="1" t="s">
        <v>13555</v>
      </c>
      <c r="B2397" s="1" t="s">
        <v>37</v>
      </c>
      <c r="C2397" s="1" t="s">
        <v>13556</v>
      </c>
      <c r="E2397" s="1" t="s">
        <v>13557</v>
      </c>
      <c r="F2397" s="1" t="s">
        <v>13558</v>
      </c>
      <c r="G2397" s="1" t="s">
        <v>13543</v>
      </c>
      <c r="H2397" s="1">
        <v>2020.0</v>
      </c>
      <c r="I2397" s="1" t="s">
        <v>42</v>
      </c>
      <c r="J2397" s="1" t="s">
        <v>148</v>
      </c>
      <c r="K2397" s="1" t="s">
        <v>270</v>
      </c>
      <c r="L2397" s="1" t="s">
        <v>13559</v>
      </c>
      <c r="M2397" s="2" t="s">
        <v>12</v>
      </c>
      <c r="N2397" s="4">
        <f t="shared" si="1"/>
        <v>43994</v>
      </c>
      <c r="O2397" s="5" t="str">
        <f>IFERROR(__xludf.DUMMYFUNCTION("IF(REGEXMATCH(TRIM(I2397), ""^\d+\s*min""), ""Unclassified"", IF(I2397 = """", ""NR"", I2397))"),"TV-MA")</f>
        <v>TV-MA</v>
      </c>
      <c r="R2397" s="5" t="str">
        <f t="shared" si="2"/>
        <v>F Is For Family</v>
      </c>
      <c r="S2397" s="5" t="str">
        <f>IFERROR(__xludf.DUMMYFUNCTION("""COMPUTED_VALUE"""),"Fatherhood")</f>
        <v>Fatherhood</v>
      </c>
      <c r="U2397" s="5" t="str">
        <f>IFERROR(__xludf.DUMMYFUNCTION("""COMPUTED_VALUE"""),"Ian Samuels")</f>
        <v>Ian Samuels</v>
      </c>
      <c r="V2397" s="5" t="s">
        <v>13560</v>
      </c>
      <c r="W2397" s="5" t="str">
        <f t="shared" si="3"/>
        <v>Lee Seung-Won</v>
      </c>
      <c r="X2397" s="5">
        <f t="shared" si="4"/>
        <v>1</v>
      </c>
      <c r="Y2397" s="5" t="str">
        <f>IFERROR(__xludf.DUMMYFUNCTION("REGEXEXTRACT(J2397, ""^\d+"")"),"4")</f>
        <v>4</v>
      </c>
      <c r="Z2397" s="5" t="str">
        <f>IFERROR(__xludf.DUMMYFUNCTION("REGEXEXTRACT(J2397, ""[A-Za-z ]+$"")")," Seasons")</f>
        <v> Seasons</v>
      </c>
      <c r="AA2397" s="5" t="str">
        <f>IFERROR(__xludf.DUMMYFUNCTION("IF(REGEXMATCH(Z2397, ""Season""), ""TV Show"", ""Movie"")"),"TV Show")</f>
        <v>TV Show</v>
      </c>
    </row>
    <row r="2398">
      <c r="A2398" s="1" t="s">
        <v>13561</v>
      </c>
      <c r="B2398" s="1" t="s">
        <v>37</v>
      </c>
      <c r="C2398" s="1" t="s">
        <v>13562</v>
      </c>
      <c r="E2398" s="1" t="s">
        <v>13563</v>
      </c>
      <c r="F2398" s="1" t="s">
        <v>2492</v>
      </c>
      <c r="G2398" s="1" t="s">
        <v>13543</v>
      </c>
      <c r="H2398" s="1">
        <v>2020.0</v>
      </c>
      <c r="I2398" s="1" t="s">
        <v>42</v>
      </c>
      <c r="J2398" s="1" t="s">
        <v>51</v>
      </c>
      <c r="K2398" s="1" t="s">
        <v>6164</v>
      </c>
      <c r="L2398" s="1" t="s">
        <v>13564</v>
      </c>
      <c r="M2398" s="2" t="s">
        <v>12</v>
      </c>
      <c r="N2398" s="4">
        <f t="shared" si="1"/>
        <v>43994</v>
      </c>
      <c r="O2398" s="5" t="str">
        <f>IFERROR(__xludf.DUMMYFUNCTION("IF(REGEXMATCH(TRIM(I2398), ""^\d+\s*min""), ""Unclassified"", IF(I2398 = """", ""NR"", I2398))"),"TV-MA")</f>
        <v>TV-MA</v>
      </c>
      <c r="R2398" s="5" t="str">
        <f t="shared" si="2"/>
        <v>Frank Elstner: Just One Last Question</v>
      </c>
      <c r="S2398" s="5" t="str">
        <f>IFERROR(__xludf.DUMMYFUNCTION("""COMPUTED_VALUE"""),"Fatima")</f>
        <v>Fatima</v>
      </c>
      <c r="U2398" s="5" t="str">
        <f>IFERROR(__xludf.DUMMYFUNCTION("""COMPUTED_VALUE"""),"Franck Ribière")</f>
        <v>Franck Ribière</v>
      </c>
      <c r="V2398" s="5" t="s">
        <v>13565</v>
      </c>
      <c r="W2398" s="5" t="str">
        <f t="shared" si="3"/>
        <v>Lee Tamahori</v>
      </c>
      <c r="X2398" s="5">
        <f t="shared" si="4"/>
        <v>4</v>
      </c>
      <c r="Y2398" s="5" t="str">
        <f>IFERROR(__xludf.DUMMYFUNCTION("REGEXEXTRACT(J2398, ""^\d+"")"),"1")</f>
        <v>1</v>
      </c>
      <c r="Z2398" s="5" t="str">
        <f>IFERROR(__xludf.DUMMYFUNCTION("REGEXEXTRACT(J2398, ""[A-Za-z ]+$"")")," Season")</f>
        <v> Season</v>
      </c>
      <c r="AA2398" s="5" t="str">
        <f>IFERROR(__xludf.DUMMYFUNCTION("IF(REGEXMATCH(Z2398, ""Season""), ""TV Show"", ""Movie"")"),"TV Show")</f>
        <v>TV Show</v>
      </c>
    </row>
    <row r="2399">
      <c r="A2399" s="1" t="s">
        <v>13566</v>
      </c>
      <c r="B2399" s="1" t="s">
        <v>27</v>
      </c>
      <c r="C2399" s="1" t="s">
        <v>13567</v>
      </c>
      <c r="D2399" s="1" t="s">
        <v>13568</v>
      </c>
      <c r="E2399" s="1" t="s">
        <v>13569</v>
      </c>
      <c r="F2399" s="1" t="s">
        <v>30</v>
      </c>
      <c r="G2399" s="1" t="s">
        <v>13543</v>
      </c>
      <c r="H2399" s="1">
        <v>2020.0</v>
      </c>
      <c r="I2399" s="1" t="s">
        <v>42</v>
      </c>
      <c r="J2399" s="1" t="s">
        <v>6490</v>
      </c>
      <c r="K2399" s="1" t="s">
        <v>1839</v>
      </c>
      <c r="L2399" s="1" t="s">
        <v>13570</v>
      </c>
      <c r="M2399" s="2" t="s">
        <v>12</v>
      </c>
      <c r="N2399" s="4">
        <f t="shared" si="1"/>
        <v>43994</v>
      </c>
      <c r="O2399" s="5" t="str">
        <f>IFERROR(__xludf.DUMMYFUNCTION("IF(REGEXMATCH(TRIM(I2399), ""^\d+\s*min""), ""Unclassified"", IF(I2399 = """", ""NR"", I2399))"),"TV-MA")</f>
        <v>TV-MA</v>
      </c>
      <c r="R2399" s="5" t="str">
        <f t="shared" si="2"/>
        <v>Jo Koy: In His Elements</v>
      </c>
      <c r="S2399" s="5" t="str">
        <f>IFERROR(__xludf.DUMMYFUNCTION("""COMPUTED_VALUE"""),"Fatma")</f>
        <v>Fatma</v>
      </c>
      <c r="U2399" s="5" t="str">
        <f>IFERROR(__xludf.DUMMYFUNCTION("""COMPUTED_VALUE"""),"Peter Ho")</f>
        <v>Peter Ho</v>
      </c>
      <c r="V2399" s="5" t="s">
        <v>13571</v>
      </c>
      <c r="W2399" s="5" t="str">
        <f t="shared" si="3"/>
        <v>Lee Toland Krieger</v>
      </c>
      <c r="X2399" s="5">
        <f t="shared" si="4"/>
        <v>1</v>
      </c>
      <c r="Y2399" s="5" t="str">
        <f>IFERROR(__xludf.DUMMYFUNCTION("REGEXEXTRACT(J2399, ""^\d+"")"),"55")</f>
        <v>55</v>
      </c>
      <c r="Z2399" s="5" t="str">
        <f>IFERROR(__xludf.DUMMYFUNCTION("REGEXEXTRACT(J2399, ""[A-Za-z ]+$"")")," min")</f>
        <v> min</v>
      </c>
      <c r="AA2399" s="5" t="str">
        <f>IFERROR(__xludf.DUMMYFUNCTION("IF(REGEXMATCH(Z2399, ""Season""), ""TV Show"", ""Movie"")"),"Movie")</f>
        <v>Movie</v>
      </c>
    </row>
    <row r="2400">
      <c r="A2400" s="1" t="s">
        <v>13572</v>
      </c>
      <c r="B2400" s="1" t="s">
        <v>27</v>
      </c>
      <c r="C2400" s="1" t="s">
        <v>13573</v>
      </c>
      <c r="D2400" s="1" t="s">
        <v>13079</v>
      </c>
      <c r="E2400" s="1" t="s">
        <v>13574</v>
      </c>
      <c r="F2400" s="1" t="s">
        <v>415</v>
      </c>
      <c r="G2400" s="1" t="s">
        <v>13543</v>
      </c>
      <c r="H2400" s="1">
        <v>2018.0</v>
      </c>
      <c r="I2400" s="1" t="s">
        <v>78</v>
      </c>
      <c r="J2400" s="1" t="s">
        <v>322</v>
      </c>
      <c r="K2400" s="1" t="s">
        <v>13575</v>
      </c>
      <c r="L2400" s="1" t="s">
        <v>13576</v>
      </c>
      <c r="M2400" s="2" t="s">
        <v>12</v>
      </c>
      <c r="N2400" s="4">
        <f t="shared" si="1"/>
        <v>43994</v>
      </c>
      <c r="O2400" s="5" t="str">
        <f>IFERROR(__xludf.DUMMYFUNCTION("IF(REGEXMATCH(TRIM(I2400), ""^\d+\s*min""), ""Unclassified"", IF(I2400 = """", ""NR"", I2400))"),"PG")</f>
        <v>PG</v>
      </c>
      <c r="R2400" s="5" t="str">
        <f t="shared" si="2"/>
        <v>Okko'S Inn</v>
      </c>
      <c r="S2400" s="5" t="str">
        <f>IFERROR(__xludf.DUMMYFUNCTION("""COMPUTED_VALUE"""),"Fatso")</f>
        <v>Fatso</v>
      </c>
      <c r="U2400" s="5" t="str">
        <f>IFERROR(__xludf.DUMMYFUNCTION("""COMPUTED_VALUE"""),"Qaushiq Mukherjee")</f>
        <v>Qaushiq Mukherjee</v>
      </c>
      <c r="V2400" s="5" t="s">
        <v>13577</v>
      </c>
      <c r="W2400" s="5" t="str">
        <f t="shared" si="3"/>
        <v>Lee Yoon-Jung</v>
      </c>
      <c r="X2400" s="5">
        <f t="shared" si="4"/>
        <v>1</v>
      </c>
      <c r="Y2400" s="5" t="str">
        <f>IFERROR(__xludf.DUMMYFUNCTION("REGEXEXTRACT(J2400, ""^\d+"")"),"96")</f>
        <v>96</v>
      </c>
      <c r="Z2400" s="5" t="str">
        <f>IFERROR(__xludf.DUMMYFUNCTION("REGEXEXTRACT(J2400, ""[A-Za-z ]+$"")")," min")</f>
        <v> min</v>
      </c>
      <c r="AA2400" s="5" t="str">
        <f>IFERROR(__xludf.DUMMYFUNCTION("IF(REGEXMATCH(Z2400, ""Season""), ""TV Show"", ""Movie"")"),"Movie")</f>
        <v>Movie</v>
      </c>
    </row>
    <row r="2401">
      <c r="A2401" s="1" t="s">
        <v>13578</v>
      </c>
      <c r="B2401" s="1" t="s">
        <v>37</v>
      </c>
      <c r="C2401" s="1" t="s">
        <v>13579</v>
      </c>
      <c r="E2401" s="1" t="s">
        <v>13580</v>
      </c>
      <c r="F2401" s="1" t="s">
        <v>415</v>
      </c>
      <c r="G2401" s="1" t="s">
        <v>13543</v>
      </c>
      <c r="H2401" s="1">
        <v>2002.0</v>
      </c>
      <c r="I2401" s="1" t="s">
        <v>97</v>
      </c>
      <c r="J2401" s="1" t="s">
        <v>148</v>
      </c>
      <c r="K2401" s="1" t="s">
        <v>2439</v>
      </c>
      <c r="L2401" s="1" t="s">
        <v>13581</v>
      </c>
      <c r="M2401" s="2" t="s">
        <v>12</v>
      </c>
      <c r="N2401" s="4">
        <f t="shared" si="1"/>
        <v>43994</v>
      </c>
      <c r="O2401" s="5" t="str">
        <f>IFERROR(__xludf.DUMMYFUNCTION("IF(REGEXMATCH(TRIM(I2401), ""^\d+\s*min""), ""Unclassified"", IF(I2401 = """", ""NR"", I2401))"),"TV-14")</f>
        <v>TV-14</v>
      </c>
      <c r="R2401" s="5" t="str">
        <f t="shared" si="2"/>
        <v>One Piece</v>
      </c>
      <c r="S2401" s="5" t="str">
        <f>IFERROR(__xludf.DUMMYFUNCTION("""COMPUTED_VALUE"""),"Fauda")</f>
        <v>Fauda</v>
      </c>
      <c r="U2401" s="5" t="str">
        <f>IFERROR(__xludf.DUMMYFUNCTION("""COMPUTED_VALUE"""),"Onir")</f>
        <v>Onir</v>
      </c>
      <c r="V2401" s="5" t="s">
        <v>13582</v>
      </c>
      <c r="W2401" s="5" t="str">
        <f t="shared" si="3"/>
        <v>Leena Yadav</v>
      </c>
      <c r="X2401" s="5">
        <f t="shared" si="4"/>
        <v>3</v>
      </c>
      <c r="Y2401" s="5" t="str">
        <f>IFERROR(__xludf.DUMMYFUNCTION("REGEXEXTRACT(J2401, ""^\d+"")"),"4")</f>
        <v>4</v>
      </c>
      <c r="Z2401" s="5" t="str">
        <f>IFERROR(__xludf.DUMMYFUNCTION("REGEXEXTRACT(J2401, ""[A-Za-z ]+$"")")," Seasons")</f>
        <v> Seasons</v>
      </c>
      <c r="AA2401" s="5" t="str">
        <f>IFERROR(__xludf.DUMMYFUNCTION("IF(REGEXMATCH(Z2401, ""Season""), ""TV Show"", ""Movie"")"),"TV Show")</f>
        <v>TV Show</v>
      </c>
    </row>
    <row r="2402">
      <c r="A2402" s="1" t="s">
        <v>13583</v>
      </c>
      <c r="B2402" s="1" t="s">
        <v>37</v>
      </c>
      <c r="C2402" s="1" t="s">
        <v>13584</v>
      </c>
      <c r="E2402" s="1" t="s">
        <v>13585</v>
      </c>
      <c r="F2402" s="1" t="s">
        <v>162</v>
      </c>
      <c r="G2402" s="1" t="s">
        <v>13543</v>
      </c>
      <c r="H2402" s="1">
        <v>2020.0</v>
      </c>
      <c r="I2402" s="1" t="s">
        <v>42</v>
      </c>
      <c r="J2402" s="1" t="s">
        <v>51</v>
      </c>
      <c r="K2402" s="1" t="s">
        <v>785</v>
      </c>
      <c r="L2402" s="1" t="s">
        <v>13586</v>
      </c>
      <c r="M2402" s="2" t="s">
        <v>12</v>
      </c>
      <c r="N2402" s="4">
        <f t="shared" si="1"/>
        <v>43994</v>
      </c>
      <c r="O2402" s="5" t="str">
        <f>IFERROR(__xludf.DUMMYFUNCTION("IF(REGEXMATCH(TRIM(I2402), ""^\d+\s*min""), ""Unclassified"", IF(I2402 = """", ""NR"", I2402))"),"TV-MA")</f>
        <v>TV-MA</v>
      </c>
      <c r="R2402" s="5" t="str">
        <f t="shared" si="2"/>
        <v>The Search</v>
      </c>
      <c r="S2402" s="5" t="str">
        <f>IFERROR(__xludf.DUMMYFUNCTION("""COMPUTED_VALUE"""),"Fear And Loathing In Las Vegas")</f>
        <v>Fear And Loathing In Las Vegas</v>
      </c>
      <c r="U2402" s="5" t="str">
        <f>IFERROR(__xludf.DUMMYFUNCTION("""COMPUTED_VALUE"""),"Jatla Siddartha")</f>
        <v>Jatla Siddartha</v>
      </c>
      <c r="V2402" s="5" t="s">
        <v>13587</v>
      </c>
      <c r="W2402" s="5" t="str">
        <f t="shared" si="3"/>
        <v>Leif Tilden</v>
      </c>
      <c r="X2402" s="5">
        <f t="shared" si="4"/>
        <v>1</v>
      </c>
      <c r="Y2402" s="5" t="str">
        <f>IFERROR(__xludf.DUMMYFUNCTION("REGEXEXTRACT(J2402, ""^\d+"")"),"1")</f>
        <v>1</v>
      </c>
      <c r="Z2402" s="5" t="str">
        <f>IFERROR(__xludf.DUMMYFUNCTION("REGEXEXTRACT(J2402, ""[A-Za-z ]+$"")")," Season")</f>
        <v> Season</v>
      </c>
      <c r="AA2402" s="5" t="str">
        <f>IFERROR(__xludf.DUMMYFUNCTION("IF(REGEXMATCH(Z2402, ""Season""), ""TV Show"", ""Movie"")"),"TV Show")</f>
        <v>TV Show</v>
      </c>
    </row>
    <row r="2403">
      <c r="A2403" s="1" t="s">
        <v>13588</v>
      </c>
      <c r="B2403" s="1" t="s">
        <v>37</v>
      </c>
      <c r="C2403" s="1" t="s">
        <v>13589</v>
      </c>
      <c r="E2403" s="1" t="s">
        <v>13590</v>
      </c>
      <c r="F2403" s="1" t="s">
        <v>13591</v>
      </c>
      <c r="G2403" s="1" t="s">
        <v>13543</v>
      </c>
      <c r="H2403" s="1">
        <v>2020.0</v>
      </c>
      <c r="I2403" s="1" t="s">
        <v>42</v>
      </c>
      <c r="J2403" s="1" t="s">
        <v>51</v>
      </c>
      <c r="K2403" s="1" t="s">
        <v>1362</v>
      </c>
      <c r="L2403" s="1" t="s">
        <v>13592</v>
      </c>
      <c r="M2403" s="2" t="s">
        <v>12</v>
      </c>
      <c r="N2403" s="4">
        <f t="shared" si="1"/>
        <v>43994</v>
      </c>
      <c r="O2403" s="5" t="str">
        <f>IFERROR(__xludf.DUMMYFUNCTION("IF(REGEXMATCH(TRIM(I2403), ""^\d+\s*min""), ""Unclassified"", IF(I2403 = """", ""NR"", I2403))"),"TV-MA")</f>
        <v>TV-MA</v>
      </c>
      <c r="R2403" s="5" t="str">
        <f t="shared" si="2"/>
        <v>The Woods</v>
      </c>
      <c r="S2403" s="5" t="str">
        <f>IFERROR(__xludf.DUMMYFUNCTION("""COMPUTED_VALUE"""),"Fear City: New York Vs The Mafia")</f>
        <v>Fear City: New York Vs The Mafia</v>
      </c>
      <c r="U2403" s="5" t="str">
        <f>IFERROR(__xludf.DUMMYFUNCTION("""COMPUTED_VALUE"""),"Kanwal Sethi")</f>
        <v>Kanwal Sethi</v>
      </c>
      <c r="V2403" s="5" t="s">
        <v>2805</v>
      </c>
      <c r="W2403" s="5" t="str">
        <f t="shared" si="3"/>
        <v>Leigh Janiak</v>
      </c>
      <c r="X2403" s="5">
        <f t="shared" si="4"/>
        <v>3</v>
      </c>
      <c r="Y2403" s="5" t="str">
        <f>IFERROR(__xludf.DUMMYFUNCTION("REGEXEXTRACT(J2403, ""^\d+"")"),"1")</f>
        <v>1</v>
      </c>
      <c r="Z2403" s="5" t="str">
        <f>IFERROR(__xludf.DUMMYFUNCTION("REGEXEXTRACT(J2403, ""[A-Za-z ]+$"")")," Season")</f>
        <v> Season</v>
      </c>
      <c r="AA2403" s="5" t="str">
        <f>IFERROR(__xludf.DUMMYFUNCTION("IF(REGEXMATCH(Z2403, ""Season""), ""TV Show"", ""Movie"")"),"TV Show")</f>
        <v>TV Show</v>
      </c>
    </row>
    <row r="2404">
      <c r="A2404" s="1" t="s">
        <v>13593</v>
      </c>
      <c r="B2404" s="1" t="s">
        <v>27</v>
      </c>
      <c r="C2404" s="1" t="s">
        <v>13594</v>
      </c>
      <c r="D2404" s="1" t="s">
        <v>1330</v>
      </c>
      <c r="E2404" s="1" t="s">
        <v>13595</v>
      </c>
      <c r="F2404" s="1" t="s">
        <v>13596</v>
      </c>
      <c r="G2404" s="1" t="s">
        <v>13597</v>
      </c>
      <c r="H2404" s="1">
        <v>2014.0</v>
      </c>
      <c r="I2404" s="1" t="s">
        <v>42</v>
      </c>
      <c r="J2404" s="1" t="s">
        <v>106</v>
      </c>
      <c r="K2404" s="1" t="s">
        <v>583</v>
      </c>
      <c r="L2404" s="1" t="s">
        <v>13598</v>
      </c>
      <c r="M2404" s="2" t="s">
        <v>12</v>
      </c>
      <c r="N2404" s="4">
        <f t="shared" si="1"/>
        <v>43993</v>
      </c>
      <c r="O2404" s="5" t="str">
        <f>IFERROR(__xludf.DUMMYFUNCTION("IF(REGEXMATCH(TRIM(I2404), ""^\d+\s*min""), ""Unclassified"", IF(I2404 = """", ""NR"", I2404))"),"TV-MA")</f>
        <v>TV-MA</v>
      </c>
      <c r="R2404" s="5" t="str">
        <f t="shared" si="2"/>
        <v>From A To B</v>
      </c>
      <c r="S2404" s="5" t="str">
        <f>IFERROR(__xludf.DUMMYFUNCTION("""COMPUTED_VALUE"""),"Fear Files... Har Mod Pe Darr")</f>
        <v>Fear Files... Har Mod Pe Darr</v>
      </c>
      <c r="U2404" s="5" t="str">
        <f>IFERROR(__xludf.DUMMYFUNCTION("""COMPUTED_VALUE"""),"Samuel Jouy")</f>
        <v>Samuel Jouy</v>
      </c>
      <c r="V2404" s="5" t="s">
        <v>13599</v>
      </c>
      <c r="W2404" s="5" t="str">
        <f t="shared" si="3"/>
        <v>Leïla Sy, Kery James</v>
      </c>
      <c r="X2404" s="5">
        <f t="shared" si="4"/>
        <v>1</v>
      </c>
      <c r="Y2404" s="5" t="str">
        <f>IFERROR(__xludf.DUMMYFUNCTION("REGEXEXTRACT(J2404, ""^\d+"")"),"104")</f>
        <v>104</v>
      </c>
      <c r="Z2404" s="5" t="str">
        <f>IFERROR(__xludf.DUMMYFUNCTION("REGEXEXTRACT(J2404, ""[A-Za-z ]+$"")")," min")</f>
        <v> min</v>
      </c>
      <c r="AA2404" s="5" t="str">
        <f>IFERROR(__xludf.DUMMYFUNCTION("IF(REGEXMATCH(Z2404, ""Season""), ""TV Show"", ""Movie"")"),"Movie")</f>
        <v>Movie</v>
      </c>
    </row>
    <row r="2405">
      <c r="A2405" s="1" t="s">
        <v>13600</v>
      </c>
      <c r="B2405" s="1" t="s">
        <v>27</v>
      </c>
      <c r="C2405" s="1" t="s">
        <v>13601</v>
      </c>
      <c r="D2405" s="1" t="s">
        <v>2837</v>
      </c>
      <c r="E2405" s="1" t="s">
        <v>13602</v>
      </c>
      <c r="F2405" s="1" t="s">
        <v>2774</v>
      </c>
      <c r="G2405" s="1" t="s">
        <v>13597</v>
      </c>
      <c r="H2405" s="1">
        <v>2008.0</v>
      </c>
      <c r="I2405" s="1" t="s">
        <v>97</v>
      </c>
      <c r="J2405" s="1" t="s">
        <v>1091</v>
      </c>
      <c r="K2405" s="1" t="s">
        <v>199</v>
      </c>
      <c r="L2405" s="1" t="s">
        <v>13603</v>
      </c>
      <c r="M2405" s="2" t="s">
        <v>12</v>
      </c>
      <c r="N2405" s="4">
        <f t="shared" si="1"/>
        <v>43993</v>
      </c>
      <c r="O2405" s="5" t="str">
        <f>IFERROR(__xludf.DUMMYFUNCTION("IF(REGEXMATCH(TRIM(I2405), ""^\d+\s*min""), ""Unclassified"", IF(I2405 = """", ""NR"", I2405))"),"TV-14")</f>
        <v>TV-14</v>
      </c>
      <c r="R2405" s="5" t="str">
        <f t="shared" si="2"/>
        <v>Menahi</v>
      </c>
      <c r="S2405" s="5" t="str">
        <f>IFERROR(__xludf.DUMMYFUNCTION("""COMPUTED_VALUE"""),"Fear Street Part 1: 1994")</f>
        <v>Fear Street Part 1: 1994</v>
      </c>
      <c r="U2405" s="5" t="str">
        <f>IFERROR(__xludf.DUMMYFUNCTION("""COMPUTED_VALUE"""),"Shivam Nair")</f>
        <v>Shivam Nair</v>
      </c>
      <c r="V2405" s="5" t="s">
        <v>13604</v>
      </c>
      <c r="W2405" s="5" t="str">
        <f t="shared" si="3"/>
        <v>Lekh Tandon</v>
      </c>
      <c r="X2405" s="5">
        <f t="shared" si="4"/>
        <v>3</v>
      </c>
      <c r="Y2405" s="5" t="str">
        <f>IFERROR(__xludf.DUMMYFUNCTION("REGEXEXTRACT(J2405, ""^\d+"")"),"101")</f>
        <v>101</v>
      </c>
      <c r="Z2405" s="5" t="str">
        <f>IFERROR(__xludf.DUMMYFUNCTION("REGEXEXTRACT(J2405, ""[A-Za-z ]+$"")")," min")</f>
        <v> min</v>
      </c>
      <c r="AA2405" s="5" t="str">
        <f>IFERROR(__xludf.DUMMYFUNCTION("IF(REGEXMATCH(Z2405, ""Season""), ""TV Show"", ""Movie"")"),"Movie")</f>
        <v>Movie</v>
      </c>
    </row>
    <row r="2406">
      <c r="A2406" s="1" t="s">
        <v>13605</v>
      </c>
      <c r="B2406" s="1" t="s">
        <v>37</v>
      </c>
      <c r="C2406" s="1" t="s">
        <v>13606</v>
      </c>
      <c r="E2406" s="1" t="s">
        <v>13607</v>
      </c>
      <c r="F2406" s="1" t="s">
        <v>1779</v>
      </c>
      <c r="G2406" s="1" t="s">
        <v>13608</v>
      </c>
      <c r="H2406" s="1">
        <v>2020.0</v>
      </c>
      <c r="I2406" s="1" t="s">
        <v>42</v>
      </c>
      <c r="J2406" s="1" t="s">
        <v>51</v>
      </c>
      <c r="K2406" s="1" t="s">
        <v>9281</v>
      </c>
      <c r="L2406" s="1" t="s">
        <v>13609</v>
      </c>
      <c r="M2406" s="2" t="s">
        <v>12</v>
      </c>
      <c r="N2406" s="4">
        <f t="shared" si="1"/>
        <v>43992</v>
      </c>
      <c r="O2406" s="5" t="str">
        <f>IFERROR(__xludf.DUMMYFUNCTION("IF(REGEXMATCH(TRIM(I2406), ""^\d+\s*min""), ""Unclassified"", IF(I2406 = """", ""NR"", I2406))"),"TV-MA")</f>
        <v>TV-MA</v>
      </c>
      <c r="R2406" s="5" t="str">
        <f t="shared" si="2"/>
        <v>Curon</v>
      </c>
      <c r="S2406" s="5" t="str">
        <f>IFERROR(__xludf.DUMMYFUNCTION("""COMPUTED_VALUE"""),"Fear Street Part 2: 1978")</f>
        <v>Fear Street Part 2: 1978</v>
      </c>
      <c r="U2406" s="5" t="str">
        <f>IFERROR(__xludf.DUMMYFUNCTION("""COMPUTED_VALUE"""),"Jordan Brady")</f>
        <v>Jordan Brady</v>
      </c>
      <c r="V2406" s="5" t="s">
        <v>5340</v>
      </c>
      <c r="W2406" s="5" t="str">
        <f t="shared" si="3"/>
        <v>Leli Maki</v>
      </c>
      <c r="X2406" s="5">
        <f t="shared" si="4"/>
        <v>1</v>
      </c>
      <c r="Y2406" s="5" t="str">
        <f>IFERROR(__xludf.DUMMYFUNCTION("REGEXEXTRACT(J2406, ""^\d+"")"),"1")</f>
        <v>1</v>
      </c>
      <c r="Z2406" s="5" t="str">
        <f>IFERROR(__xludf.DUMMYFUNCTION("REGEXEXTRACT(J2406, ""[A-Za-z ]+$"")")," Season")</f>
        <v> Season</v>
      </c>
      <c r="AA2406" s="5" t="str">
        <f>IFERROR(__xludf.DUMMYFUNCTION("IF(REGEXMATCH(Z2406, ""Season""), ""TV Show"", ""Movie"")"),"TV Show")</f>
        <v>TV Show</v>
      </c>
    </row>
    <row r="2407">
      <c r="A2407" s="1" t="s">
        <v>13610</v>
      </c>
      <c r="B2407" s="1" t="s">
        <v>37</v>
      </c>
      <c r="C2407" s="1" t="s">
        <v>13611</v>
      </c>
      <c r="D2407" s="1" t="s">
        <v>4161</v>
      </c>
      <c r="E2407" s="1" t="s">
        <v>13612</v>
      </c>
      <c r="F2407" s="1" t="s">
        <v>30</v>
      </c>
      <c r="G2407" s="1" t="s">
        <v>13608</v>
      </c>
      <c r="H2407" s="1">
        <v>2020.0</v>
      </c>
      <c r="I2407" s="1" t="s">
        <v>97</v>
      </c>
      <c r="J2407" s="1" t="s">
        <v>189</v>
      </c>
      <c r="K2407" s="1" t="s">
        <v>2583</v>
      </c>
      <c r="L2407" s="1" t="s">
        <v>13613</v>
      </c>
      <c r="M2407" s="2" t="s">
        <v>12</v>
      </c>
      <c r="N2407" s="4">
        <f t="shared" si="1"/>
        <v>43992</v>
      </c>
      <c r="O2407" s="5" t="str">
        <f>IFERROR(__xludf.DUMMYFUNCTION("IF(REGEXMATCH(TRIM(I2407), ""^\d+\s*min""), ""Unclassified"", IF(I2407 = """", ""NR"", I2407))"),"TV-14")</f>
        <v>TV-14</v>
      </c>
      <c r="R2407" s="5" t="str">
        <f t="shared" si="2"/>
        <v>Dc'S Legends Of Tomorrow</v>
      </c>
      <c r="S2407" s="5" t="str">
        <f>IFERROR(__xludf.DUMMYFUNCTION("""COMPUTED_VALUE"""),"Fear Street Part 3: 1666")</f>
        <v>Fear Street Part 3: 1666</v>
      </c>
      <c r="U2407" s="5" t="str">
        <f>IFERROR(__xludf.DUMMYFUNCTION("""COMPUTED_VALUE"""),"Todd Biermann")</f>
        <v>Todd Biermann</v>
      </c>
      <c r="V2407" s="5" t="s">
        <v>3788</v>
      </c>
      <c r="W2407" s="5" t="str">
        <f t="shared" si="3"/>
        <v>Len Wiseman</v>
      </c>
      <c r="X2407" s="5">
        <f t="shared" si="4"/>
        <v>1</v>
      </c>
      <c r="Y2407" s="5" t="str">
        <f>IFERROR(__xludf.DUMMYFUNCTION("REGEXEXTRACT(J2407, ""^\d+"")"),"5")</f>
        <v>5</v>
      </c>
      <c r="Z2407" s="5" t="str">
        <f>IFERROR(__xludf.DUMMYFUNCTION("REGEXEXTRACT(J2407, ""[A-Za-z ]+$"")")," Seasons")</f>
        <v> Seasons</v>
      </c>
      <c r="AA2407" s="5" t="str">
        <f>IFERROR(__xludf.DUMMYFUNCTION("IF(REGEXMATCH(Z2407, ""Season""), ""TV Show"", ""Movie"")"),"TV Show")</f>
        <v>TV Show</v>
      </c>
    </row>
    <row r="2408">
      <c r="A2408" s="1" t="s">
        <v>13614</v>
      </c>
      <c r="B2408" s="1" t="s">
        <v>37</v>
      </c>
      <c r="C2408" s="1" t="s">
        <v>13615</v>
      </c>
      <c r="F2408" s="1" t="s">
        <v>30</v>
      </c>
      <c r="G2408" s="1" t="s">
        <v>13608</v>
      </c>
      <c r="H2408" s="1">
        <v>2020.0</v>
      </c>
      <c r="I2408" s="1" t="s">
        <v>42</v>
      </c>
      <c r="J2408" s="1" t="s">
        <v>51</v>
      </c>
      <c r="K2408" s="1" t="s">
        <v>7683</v>
      </c>
      <c r="L2408" s="1" t="s">
        <v>13616</v>
      </c>
      <c r="M2408" s="2" t="s">
        <v>12</v>
      </c>
      <c r="N2408" s="4">
        <f t="shared" si="1"/>
        <v>43992</v>
      </c>
      <c r="O2408" s="5" t="str">
        <f>IFERROR(__xludf.DUMMYFUNCTION("IF(REGEXMATCH(TRIM(I2408), ""^\d+\s*min""), ""Unclassified"", IF(I2408 = """", ""NR"", I2408))"),"TV-MA")</f>
        <v>TV-MA</v>
      </c>
      <c r="R2408" s="5" t="str">
        <f t="shared" si="2"/>
        <v>Lenox Hill</v>
      </c>
      <c r="S2408" s="5" t="str">
        <f>IFERROR(__xludf.DUMMYFUNCTION("""COMPUTED_VALUE"""),"Fearless")</f>
        <v>Fearless</v>
      </c>
      <c r="U2408" s="5" t="str">
        <f>IFERROR(__xludf.DUMMYFUNCTION("""COMPUTED_VALUE"""),"Patrick Graham")</f>
        <v>Patrick Graham</v>
      </c>
      <c r="V2408" s="5" t="s">
        <v>13617</v>
      </c>
      <c r="W2408" s="5" t="str">
        <f t="shared" si="3"/>
        <v>Lena Khan</v>
      </c>
      <c r="X2408" s="5">
        <f t="shared" si="4"/>
        <v>1</v>
      </c>
      <c r="Y2408" s="5" t="str">
        <f>IFERROR(__xludf.DUMMYFUNCTION("REGEXEXTRACT(J2408, ""^\d+"")"),"1")</f>
        <v>1</v>
      </c>
      <c r="Z2408" s="5" t="str">
        <f>IFERROR(__xludf.DUMMYFUNCTION("REGEXEXTRACT(J2408, ""[A-Za-z ]+$"")")," Season")</f>
        <v> Season</v>
      </c>
      <c r="AA2408" s="5" t="str">
        <f>IFERROR(__xludf.DUMMYFUNCTION("IF(REGEXMATCH(Z2408, ""Season""), ""TV Show"", ""Movie"")"),"TV Show")</f>
        <v>TV Show</v>
      </c>
    </row>
    <row r="2409">
      <c r="A2409" s="1" t="s">
        <v>13618</v>
      </c>
      <c r="B2409" s="1" t="s">
        <v>27</v>
      </c>
      <c r="C2409" s="1" t="s">
        <v>13619</v>
      </c>
      <c r="D2409" s="1" t="s">
        <v>8342</v>
      </c>
      <c r="E2409" s="1" t="s">
        <v>13620</v>
      </c>
      <c r="F2409" s="1" t="s">
        <v>30</v>
      </c>
      <c r="G2409" s="1" t="s">
        <v>13608</v>
      </c>
      <c r="H2409" s="1">
        <v>2009.0</v>
      </c>
      <c r="I2409" s="1" t="s">
        <v>378</v>
      </c>
      <c r="J2409" s="1" t="s">
        <v>519</v>
      </c>
      <c r="K2409" s="1" t="s">
        <v>836</v>
      </c>
      <c r="L2409" s="1" t="s">
        <v>13621</v>
      </c>
      <c r="M2409" s="2" t="s">
        <v>12</v>
      </c>
      <c r="N2409" s="4">
        <f t="shared" si="1"/>
        <v>43992</v>
      </c>
      <c r="O2409" s="5" t="str">
        <f>IFERROR(__xludf.DUMMYFUNCTION("IF(REGEXMATCH(TRIM(I2409), ""^\d+\s*min""), ""Unclassified"", IF(I2409 = """", ""NR"", I2409))"),"R")</f>
        <v>R</v>
      </c>
      <c r="R2409" s="5" t="str">
        <f t="shared" si="2"/>
        <v>Middle Men</v>
      </c>
      <c r="S2409" s="5" t="str">
        <f>IFERROR(__xludf.DUMMYFUNCTION("""COMPUTED_VALUE"""),"Feb-09")</f>
        <v>Feb-09</v>
      </c>
      <c r="U2409" s="5" t="str">
        <f>IFERROR(__xludf.DUMMYFUNCTION("""COMPUTED_VALUE"""),"Mike Clattenburg")</f>
        <v>Mike Clattenburg</v>
      </c>
      <c r="V2409" s="5" t="s">
        <v>13622</v>
      </c>
      <c r="W2409" s="5" t="str">
        <f t="shared" si="3"/>
        <v>Lenin Bharathi</v>
      </c>
      <c r="X2409" s="5">
        <f t="shared" si="4"/>
        <v>1</v>
      </c>
      <c r="Y2409" s="5" t="str">
        <f>IFERROR(__xludf.DUMMYFUNCTION("REGEXEXTRACT(J2409, ""^\d+"")"),"113")</f>
        <v>113</v>
      </c>
      <c r="Z2409" s="5" t="str">
        <f>IFERROR(__xludf.DUMMYFUNCTION("REGEXEXTRACT(J2409, ""[A-Za-z ]+$"")")," min")</f>
        <v> min</v>
      </c>
      <c r="AA2409" s="5" t="str">
        <f>IFERROR(__xludf.DUMMYFUNCTION("IF(REGEXMATCH(Z2409, ""Season""), ""TV Show"", ""Movie"")"),"Movie")</f>
        <v>Movie</v>
      </c>
    </row>
    <row r="2410">
      <c r="A2410" s="1" t="s">
        <v>13623</v>
      </c>
      <c r="B2410" s="1" t="s">
        <v>37</v>
      </c>
      <c r="C2410" s="1" t="s">
        <v>13624</v>
      </c>
      <c r="E2410" s="1" t="s">
        <v>13625</v>
      </c>
      <c r="F2410" s="1" t="s">
        <v>749</v>
      </c>
      <c r="G2410" s="1" t="s">
        <v>13608</v>
      </c>
      <c r="H2410" s="1">
        <v>2018.0</v>
      </c>
      <c r="I2410" s="1" t="s">
        <v>42</v>
      </c>
      <c r="J2410" s="1" t="s">
        <v>51</v>
      </c>
      <c r="K2410" s="1" t="s">
        <v>6338</v>
      </c>
      <c r="L2410" s="1" t="s">
        <v>13626</v>
      </c>
      <c r="M2410" s="2" t="s">
        <v>12</v>
      </c>
      <c r="N2410" s="4">
        <f t="shared" si="1"/>
        <v>43992</v>
      </c>
      <c r="O2410" s="5" t="str">
        <f>IFERROR(__xludf.DUMMYFUNCTION("IF(REGEXMATCH(TRIM(I2410), ""^\d+\s*min""), ""Unclassified"", IF(I2410 = """", ""NR"", I2410))"),"TV-MA")</f>
        <v>TV-MA</v>
      </c>
      <c r="R2410" s="5" t="str">
        <f t="shared" si="2"/>
        <v>My Mister</v>
      </c>
      <c r="S2410" s="5" t="str">
        <f>IFERROR(__xludf.DUMMYFUNCTION("""COMPUTED_VALUE"""),"February 9")</f>
        <v>February 9</v>
      </c>
      <c r="U2410" s="5" t="str">
        <f>IFERROR(__xludf.DUMMYFUNCTION("""COMPUTED_VALUE"""),"Han Qing")</f>
        <v>Han Qing</v>
      </c>
      <c r="V2410" s="5" t="s">
        <v>13627</v>
      </c>
      <c r="W2410" s="5" t="str">
        <f t="shared" si="3"/>
        <v>Lennart Ruff</v>
      </c>
      <c r="X2410" s="5">
        <f t="shared" si="4"/>
        <v>1</v>
      </c>
      <c r="Y2410" s="5" t="str">
        <f>IFERROR(__xludf.DUMMYFUNCTION("REGEXEXTRACT(J2410, ""^\d+"")"),"1")</f>
        <v>1</v>
      </c>
      <c r="Z2410" s="5" t="str">
        <f>IFERROR(__xludf.DUMMYFUNCTION("REGEXEXTRACT(J2410, ""[A-Za-z ]+$"")")," Season")</f>
        <v> Season</v>
      </c>
      <c r="AA2410" s="5" t="str">
        <f>IFERROR(__xludf.DUMMYFUNCTION("IF(REGEXMATCH(Z2410, ""Season""), ""TV Show"", ""Movie"")"),"TV Show")</f>
        <v>TV Show</v>
      </c>
    </row>
    <row r="2411">
      <c r="A2411" s="1" t="s">
        <v>13628</v>
      </c>
      <c r="B2411" s="1" t="s">
        <v>37</v>
      </c>
      <c r="C2411" s="1" t="s">
        <v>13629</v>
      </c>
      <c r="E2411" s="1" t="s">
        <v>13630</v>
      </c>
      <c r="F2411" s="1" t="s">
        <v>1992</v>
      </c>
      <c r="G2411" s="1" t="s">
        <v>13608</v>
      </c>
      <c r="H2411" s="1">
        <v>2020.0</v>
      </c>
      <c r="I2411" s="1" t="s">
        <v>42</v>
      </c>
      <c r="J2411" s="1" t="s">
        <v>51</v>
      </c>
      <c r="K2411" s="1" t="s">
        <v>9484</v>
      </c>
      <c r="L2411" s="1" t="s">
        <v>13631</v>
      </c>
      <c r="M2411" s="2" t="s">
        <v>12</v>
      </c>
      <c r="N2411" s="4">
        <f t="shared" si="1"/>
        <v>43992</v>
      </c>
      <c r="O2411" s="5" t="str">
        <f>IFERROR(__xludf.DUMMYFUNCTION("IF(REGEXMATCH(TRIM(I2411), ""^\d+\s*min""), ""Unclassified"", IF(I2411 = """", ""NR"", I2411))"),"TV-MA")</f>
        <v>TV-MA</v>
      </c>
      <c r="R2411" s="5" t="str">
        <f t="shared" si="2"/>
        <v>Reality Z</v>
      </c>
      <c r="S2411" s="5" t="str">
        <f>IFERROR(__xludf.DUMMYFUNCTION("""COMPUTED_VALUE"""),"Feel Good")</f>
        <v>Feel Good</v>
      </c>
      <c r="U2411" s="5" t="str">
        <f>IFERROR(__xludf.DUMMYFUNCTION("""COMPUTED_VALUE"""),"Ashwiny Iyer Tiwari")</f>
        <v>Ashwiny Iyer Tiwari</v>
      </c>
      <c r="V2411" s="5" t="s">
        <v>13632</v>
      </c>
      <c r="W2411" s="5" t="str">
        <f t="shared" si="3"/>
        <v>Lenny Abrahamson</v>
      </c>
      <c r="X2411" s="5">
        <f t="shared" si="4"/>
        <v>1</v>
      </c>
      <c r="Y2411" s="5" t="str">
        <f>IFERROR(__xludf.DUMMYFUNCTION("REGEXEXTRACT(J2411, ""^\d+"")"),"1")</f>
        <v>1</v>
      </c>
      <c r="Z2411" s="5" t="str">
        <f>IFERROR(__xludf.DUMMYFUNCTION("REGEXEXTRACT(J2411, ""[A-Za-z ]+$"")")," Season")</f>
        <v> Season</v>
      </c>
      <c r="AA2411" s="5" t="str">
        <f>IFERROR(__xludf.DUMMYFUNCTION("IF(REGEXMATCH(Z2411, ""Season""), ""TV Show"", ""Movie"")"),"TV Show")</f>
        <v>TV Show</v>
      </c>
    </row>
    <row r="2412">
      <c r="A2412" s="1" t="s">
        <v>13633</v>
      </c>
      <c r="B2412" s="1" t="s">
        <v>27</v>
      </c>
      <c r="C2412" s="1" t="s">
        <v>13634</v>
      </c>
      <c r="D2412" s="1" t="s">
        <v>6450</v>
      </c>
      <c r="E2412" s="1" t="s">
        <v>13635</v>
      </c>
      <c r="F2412" s="1" t="s">
        <v>749</v>
      </c>
      <c r="G2412" s="1" t="s">
        <v>13608</v>
      </c>
      <c r="H2412" s="1">
        <v>2018.0</v>
      </c>
      <c r="I2412" s="1" t="s">
        <v>42</v>
      </c>
      <c r="J2412" s="1" t="s">
        <v>3458</v>
      </c>
      <c r="K2412" s="1" t="s">
        <v>13636</v>
      </c>
      <c r="L2412" s="1" t="s">
        <v>13637</v>
      </c>
      <c r="M2412" s="2" t="s">
        <v>12</v>
      </c>
      <c r="N2412" s="4">
        <f t="shared" si="1"/>
        <v>43992</v>
      </c>
      <c r="O2412" s="5" t="str">
        <f>IFERROR(__xludf.DUMMYFUNCTION("IF(REGEXMATCH(TRIM(I2412), ""^\d+\s*min""), ""Unclassified"", IF(I2412 = """", ""NR"", I2412))"),"TV-MA")</f>
        <v>TV-MA</v>
      </c>
      <c r="R2412" s="5" t="str">
        <f t="shared" si="2"/>
        <v>The Witch: Part 1 - The Subversion</v>
      </c>
      <c r="S2412" s="5" t="str">
        <f>IFERROR(__xludf.DUMMYFUNCTION("""COMPUTED_VALUE"""),"Feel Rich")</f>
        <v>Feel Rich</v>
      </c>
      <c r="U2412" s="5" t="str">
        <f>IFERROR(__xludf.DUMMYFUNCTION("""COMPUTED_VALUE"""),"Atlee Kumar")</f>
        <v>Atlee Kumar</v>
      </c>
      <c r="V2412" s="5" t="s">
        <v>13638</v>
      </c>
      <c r="W2412" s="5" t="str">
        <f t="shared" si="3"/>
        <v>Leo Riley</v>
      </c>
      <c r="X2412" s="5">
        <f t="shared" si="4"/>
        <v>1</v>
      </c>
      <c r="Y2412" s="5" t="str">
        <f>IFERROR(__xludf.DUMMYFUNCTION("REGEXEXTRACT(J2412, ""^\d+"")"),"126")</f>
        <v>126</v>
      </c>
      <c r="Z2412" s="5" t="str">
        <f>IFERROR(__xludf.DUMMYFUNCTION("REGEXEXTRACT(J2412, ""[A-Za-z ]+$"")")," min")</f>
        <v> min</v>
      </c>
      <c r="AA2412" s="5" t="str">
        <f>IFERROR(__xludf.DUMMYFUNCTION("IF(REGEXMATCH(Z2412, ""Season""), ""TV Show"", ""Movie"")"),"Movie")</f>
        <v>Movie</v>
      </c>
    </row>
    <row r="2413">
      <c r="A2413" s="1" t="s">
        <v>13639</v>
      </c>
      <c r="B2413" s="1" t="s">
        <v>27</v>
      </c>
      <c r="C2413" s="1" t="s">
        <v>13640</v>
      </c>
      <c r="D2413" s="1" t="s">
        <v>13641</v>
      </c>
      <c r="E2413" s="1" t="s">
        <v>13642</v>
      </c>
      <c r="F2413" s="1" t="s">
        <v>30</v>
      </c>
      <c r="G2413" s="1" t="s">
        <v>13643</v>
      </c>
      <c r="H2413" s="1">
        <v>2017.0</v>
      </c>
      <c r="I2413" s="1" t="s">
        <v>32</v>
      </c>
      <c r="J2413" s="1" t="s">
        <v>357</v>
      </c>
      <c r="K2413" s="1" t="s">
        <v>828</v>
      </c>
      <c r="L2413" s="1" t="s">
        <v>13644</v>
      </c>
      <c r="M2413" s="2" t="s">
        <v>12</v>
      </c>
      <c r="N2413" s="4">
        <f t="shared" si="1"/>
        <v>43990</v>
      </c>
      <c r="O2413" s="5" t="str">
        <f>IFERROR(__xludf.DUMMYFUNCTION("IF(REGEXMATCH(TRIM(I2413), ""^\d+\s*min""), ""Unclassified"", IF(I2413 = """", ""NR"", I2413))"),"PG-13")</f>
        <v>PG-13</v>
      </c>
      <c r="R2413" s="5" t="str">
        <f t="shared" si="2"/>
        <v>Before I Fall</v>
      </c>
      <c r="S2413" s="5" t="str">
        <f>IFERROR(__xludf.DUMMYFUNCTION("""COMPUTED_VALUE"""),"Feel The Beat")</f>
        <v>Feel The Beat</v>
      </c>
      <c r="U2413" s="5" t="str">
        <f>IFERROR(__xludf.DUMMYFUNCTION("""COMPUTED_VALUE"""),"Ravi Udyawar")</f>
        <v>Ravi Udyawar</v>
      </c>
      <c r="V2413" s="5" t="s">
        <v>13645</v>
      </c>
      <c r="W2413" s="5" t="str">
        <f t="shared" si="3"/>
        <v>Leo Riley, Eric Radomski</v>
      </c>
      <c r="X2413" s="5">
        <f t="shared" si="4"/>
        <v>1</v>
      </c>
      <c r="Y2413" s="5" t="str">
        <f>IFERROR(__xludf.DUMMYFUNCTION("REGEXEXTRACT(J2413, ""^\d+"")"),"98")</f>
        <v>98</v>
      </c>
      <c r="Z2413" s="5" t="str">
        <f>IFERROR(__xludf.DUMMYFUNCTION("REGEXEXTRACT(J2413, ""[A-Za-z ]+$"")")," min")</f>
        <v> min</v>
      </c>
      <c r="AA2413" s="5" t="str">
        <f>IFERROR(__xludf.DUMMYFUNCTION("IF(REGEXMATCH(Z2413, ""Season""), ""TV Show"", ""Movie"")"),"Movie")</f>
        <v>Movie</v>
      </c>
    </row>
    <row r="2414">
      <c r="A2414" s="1" t="s">
        <v>13646</v>
      </c>
      <c r="B2414" s="1" t="s">
        <v>27</v>
      </c>
      <c r="C2414" s="1" t="s">
        <v>13647</v>
      </c>
      <c r="D2414" s="1" t="s">
        <v>2979</v>
      </c>
      <c r="E2414" s="1" t="s">
        <v>13648</v>
      </c>
      <c r="F2414" s="1" t="s">
        <v>2446</v>
      </c>
      <c r="G2414" s="1" t="s">
        <v>13649</v>
      </c>
      <c r="H2414" s="1">
        <v>2020.0</v>
      </c>
      <c r="I2414" s="1" t="s">
        <v>42</v>
      </c>
      <c r="J2414" s="1" t="s">
        <v>835</v>
      </c>
      <c r="K2414" s="1" t="s">
        <v>679</v>
      </c>
      <c r="L2414" s="1" t="s">
        <v>13650</v>
      </c>
      <c r="M2414" s="2" t="s">
        <v>12</v>
      </c>
      <c r="N2414" s="4">
        <f t="shared" si="1"/>
        <v>43989</v>
      </c>
      <c r="O2414" s="5" t="str">
        <f>IFERROR(__xludf.DUMMYFUNCTION("IF(REGEXMATCH(TRIM(I2414), ""^\d+\s*min""), ""Unclassified"", IF(I2414 = """", ""NR"", I2414))"),"TV-MA")</f>
        <v>TV-MA</v>
      </c>
      <c r="R2414" s="5" t="str">
        <f t="shared" si="2"/>
        <v>365 Days</v>
      </c>
      <c r="S2414" s="5" t="str">
        <f>IFERROR(__xludf.DUMMYFUNCTION("""COMPUTED_VALUE"""),"Feels Like Ishq")</f>
        <v>Feels Like Ishq</v>
      </c>
      <c r="U2414" s="5" t="str">
        <f>IFERROR(__xludf.DUMMYFUNCTION("""COMPUTED_VALUE"""),"R. Balki")</f>
        <v>R. Balki</v>
      </c>
      <c r="V2414" s="5" t="s">
        <v>13651</v>
      </c>
      <c r="W2414" s="5" t="str">
        <f t="shared" si="3"/>
        <v>Leopoldo Aguilar</v>
      </c>
      <c r="X2414" s="5">
        <f t="shared" si="4"/>
        <v>1</v>
      </c>
      <c r="Y2414" s="5" t="str">
        <f>IFERROR(__xludf.DUMMYFUNCTION("REGEXEXTRACT(J2414, ""^\d+"")"),"114")</f>
        <v>114</v>
      </c>
      <c r="Z2414" s="5" t="str">
        <f>IFERROR(__xludf.DUMMYFUNCTION("REGEXEXTRACT(J2414, ""[A-Za-z ]+$"")")," min")</f>
        <v> min</v>
      </c>
      <c r="AA2414" s="5" t="str">
        <f>IFERROR(__xludf.DUMMYFUNCTION("IF(REGEXMATCH(Z2414, ""Season""), ""TV Show"", ""Movie"")"),"Movie")</f>
        <v>Movie</v>
      </c>
    </row>
    <row r="2415">
      <c r="A2415" s="1" t="s">
        <v>13652</v>
      </c>
      <c r="B2415" s="1" t="s">
        <v>27</v>
      </c>
      <c r="C2415" s="1" t="s">
        <v>13653</v>
      </c>
      <c r="D2415" s="1" t="s">
        <v>764</v>
      </c>
      <c r="E2415" s="1" t="s">
        <v>13654</v>
      </c>
      <c r="F2415" s="1" t="s">
        <v>63</v>
      </c>
      <c r="G2415" s="1" t="s">
        <v>13649</v>
      </c>
      <c r="H2415" s="1">
        <v>2020.0</v>
      </c>
      <c r="I2415" s="1" t="s">
        <v>97</v>
      </c>
      <c r="J2415" s="1" t="s">
        <v>2505</v>
      </c>
      <c r="K2415" s="1" t="s">
        <v>631</v>
      </c>
      <c r="L2415" s="1" t="s">
        <v>13655</v>
      </c>
      <c r="M2415" s="2" t="s">
        <v>12</v>
      </c>
      <c r="N2415" s="4">
        <f t="shared" si="1"/>
        <v>43989</v>
      </c>
      <c r="O2415" s="5" t="str">
        <f>IFERROR(__xludf.DUMMYFUNCTION("IF(REGEXMATCH(TRIM(I2415), ""^\d+\s*min""), ""Unclassified"", IF(I2415 = """", ""NR"", I2415))"),"TV-14")</f>
        <v>TV-14</v>
      </c>
      <c r="R2415" s="5" t="str">
        <f t="shared" si="2"/>
        <v>Forensic</v>
      </c>
      <c r="S2415" s="5" t="str">
        <f>IFERROR(__xludf.DUMMYFUNCTION("""COMPUTED_VALUE"""),"Felipe Esparza: Bad Decisions")</f>
        <v>Felipe Esparza: Bad Decisions</v>
      </c>
      <c r="U2415" s="5" t="str">
        <f>IFERROR(__xludf.DUMMYFUNCTION("""COMPUTED_VALUE"""),"Shree Narayan Singh")</f>
        <v>Shree Narayan Singh</v>
      </c>
      <c r="V2415" s="5" t="s">
        <v>4735</v>
      </c>
      <c r="W2415" s="5" t="str">
        <f t="shared" si="3"/>
        <v>Les Mayfield</v>
      </c>
      <c r="X2415" s="5">
        <f t="shared" si="4"/>
        <v>3</v>
      </c>
      <c r="Y2415" s="5" t="str">
        <f>IFERROR(__xludf.DUMMYFUNCTION("REGEXEXTRACT(J2415, ""^\d+"")"),"132")</f>
        <v>132</v>
      </c>
      <c r="Z2415" s="5" t="str">
        <f>IFERROR(__xludf.DUMMYFUNCTION("REGEXEXTRACT(J2415, ""[A-Za-z ]+$"")")," min")</f>
        <v> min</v>
      </c>
      <c r="AA2415" s="5" t="str">
        <f>IFERROR(__xludf.DUMMYFUNCTION("IF(REGEXMATCH(Z2415, ""Season""), ""TV Show"", ""Movie"")"),"Movie")</f>
        <v>Movie</v>
      </c>
    </row>
    <row r="2416">
      <c r="A2416" s="1" t="s">
        <v>13656</v>
      </c>
      <c r="B2416" s="1" t="s">
        <v>27</v>
      </c>
      <c r="C2416" s="1" t="s">
        <v>13657</v>
      </c>
      <c r="D2416" s="1" t="s">
        <v>12366</v>
      </c>
      <c r="E2416" s="1" t="s">
        <v>13658</v>
      </c>
      <c r="F2416" s="1" t="s">
        <v>63</v>
      </c>
      <c r="G2416" s="1" t="s">
        <v>13649</v>
      </c>
      <c r="H2416" s="1">
        <v>2018.0</v>
      </c>
      <c r="I2416" s="1" t="s">
        <v>97</v>
      </c>
      <c r="J2416" s="1" t="s">
        <v>665</v>
      </c>
      <c r="K2416" s="1" t="s">
        <v>89</v>
      </c>
      <c r="L2416" s="1" t="s">
        <v>13659</v>
      </c>
      <c r="M2416" s="2" t="s">
        <v>12</v>
      </c>
      <c r="N2416" s="4">
        <f t="shared" si="1"/>
        <v>43989</v>
      </c>
      <c r="O2416" s="5" t="str">
        <f>IFERROR(__xludf.DUMMYFUNCTION("IF(REGEXMATCH(TRIM(I2416), ""^\d+\s*min""), ""Unclassified"", IF(I2416 = """", ""NR"", I2416))"),"TV-14")</f>
        <v>TV-14</v>
      </c>
      <c r="R2416" s="5" t="str">
        <f t="shared" si="2"/>
        <v>Project Papa</v>
      </c>
      <c r="S2416" s="5" t="str">
        <f>IFERROR(__xludf.DUMMYFUNCTION("""COMPUTED_VALUE"""),"Felipe Esparza: They'Re Not Going To Laugh At You")</f>
        <v>Felipe Esparza: They'Re Not Going To Laugh At You</v>
      </c>
      <c r="U2416" s="5" t="str">
        <f>IFERROR(__xludf.DUMMYFUNCTION("""COMPUTED_VALUE"""),"Manuel Martín Cuenca")</f>
        <v>Manuel Martín Cuenca</v>
      </c>
      <c r="V2416" s="5" t="s">
        <v>13660</v>
      </c>
      <c r="W2416" s="5" t="str">
        <f t="shared" si="3"/>
        <v>Lesli Linka Glatter</v>
      </c>
      <c r="X2416" s="5">
        <f t="shared" si="4"/>
        <v>1</v>
      </c>
      <c r="Y2416" s="5" t="str">
        <f>IFERROR(__xludf.DUMMYFUNCTION("REGEXEXTRACT(J2416, ""^\d+"")"),"92")</f>
        <v>92</v>
      </c>
      <c r="Z2416" s="5" t="str">
        <f>IFERROR(__xludf.DUMMYFUNCTION("REGEXEXTRACT(J2416, ""[A-Za-z ]+$"")")," min")</f>
        <v> min</v>
      </c>
      <c r="AA2416" s="5" t="str">
        <f>IFERROR(__xludf.DUMMYFUNCTION("IF(REGEXMATCH(Z2416, ""Season""), ""TV Show"", ""Movie"")"),"Movie")</f>
        <v>Movie</v>
      </c>
    </row>
    <row r="2417">
      <c r="A2417" s="1" t="s">
        <v>13661</v>
      </c>
      <c r="B2417" s="1" t="s">
        <v>37</v>
      </c>
      <c r="C2417" s="1" t="s">
        <v>13662</v>
      </c>
      <c r="E2417" s="1" t="s">
        <v>13663</v>
      </c>
      <c r="F2417" s="1" t="s">
        <v>13664</v>
      </c>
      <c r="G2417" s="1" t="s">
        <v>13665</v>
      </c>
      <c r="H2417" s="1">
        <v>2018.0</v>
      </c>
      <c r="I2417" s="1" t="s">
        <v>42</v>
      </c>
      <c r="J2417" s="1" t="s">
        <v>148</v>
      </c>
      <c r="K2417" s="1" t="s">
        <v>13666</v>
      </c>
      <c r="L2417" s="1" t="s">
        <v>13667</v>
      </c>
      <c r="M2417" s="2" t="s">
        <v>12</v>
      </c>
      <c r="N2417" s="4">
        <f t="shared" si="1"/>
        <v>43988</v>
      </c>
      <c r="O2417" s="5" t="str">
        <f>IFERROR(__xludf.DUMMYFUNCTION("IF(REGEXMATCH(TRIM(I2417), ""^\d+\s*min""), ""Unclassified"", IF(I2417 = """", ""NR"", I2417))"),"TV-MA")</f>
        <v>TV-MA</v>
      </c>
      <c r="R2417" s="5" t="str">
        <f t="shared" si="2"/>
        <v>Queen Of The South</v>
      </c>
      <c r="S2417" s="5" t="str">
        <f>IFERROR(__xludf.DUMMYFUNCTION("""COMPUTED_VALUE"""),"Felipe Neto: My Life Makes No Sense")</f>
        <v>Felipe Neto: My Life Makes No Sense</v>
      </c>
      <c r="U2417" s="5" t="str">
        <f>IFERROR(__xludf.DUMMYFUNCTION("""COMPUTED_VALUE"""),"Susan Johnson")</f>
        <v>Susan Johnson</v>
      </c>
      <c r="V2417" s="5" t="s">
        <v>13668</v>
      </c>
      <c r="W2417" s="5" t="str">
        <f t="shared" si="3"/>
        <v>Leslie Iwerks</v>
      </c>
      <c r="X2417" s="5">
        <f t="shared" si="4"/>
        <v>2</v>
      </c>
      <c r="Y2417" s="5" t="str">
        <f>IFERROR(__xludf.DUMMYFUNCTION("REGEXEXTRACT(J2417, ""^\d+"")"),"4")</f>
        <v>4</v>
      </c>
      <c r="Z2417" s="5" t="str">
        <f>IFERROR(__xludf.DUMMYFUNCTION("REGEXEXTRACT(J2417, ""[A-Za-z ]+$"")")," Seasons")</f>
        <v> Seasons</v>
      </c>
      <c r="AA2417" s="5" t="str">
        <f>IFERROR(__xludf.DUMMYFUNCTION("IF(REGEXMATCH(Z2417, ""Season""), ""TV Show"", ""Movie"")"),"TV Show")</f>
        <v>TV Show</v>
      </c>
    </row>
    <row r="2418">
      <c r="A2418" s="1" t="s">
        <v>13669</v>
      </c>
      <c r="B2418" s="1" t="s">
        <v>27</v>
      </c>
      <c r="C2418" s="1" t="s">
        <v>13670</v>
      </c>
      <c r="D2418" s="1" t="s">
        <v>13671</v>
      </c>
      <c r="E2418" s="1" t="s">
        <v>13672</v>
      </c>
      <c r="F2418" s="1" t="s">
        <v>30</v>
      </c>
      <c r="G2418" s="1" t="s">
        <v>13665</v>
      </c>
      <c r="H2418" s="1">
        <v>2020.0</v>
      </c>
      <c r="I2418" s="1" t="s">
        <v>378</v>
      </c>
      <c r="J2418" s="1" t="s">
        <v>33</v>
      </c>
      <c r="K2418" s="1" t="s">
        <v>1320</v>
      </c>
      <c r="L2418" s="1" t="s">
        <v>13673</v>
      </c>
      <c r="M2418" s="2" t="s">
        <v>12</v>
      </c>
      <c r="N2418" s="4">
        <f t="shared" si="1"/>
        <v>43988</v>
      </c>
      <c r="O2418" s="5" t="str">
        <f>IFERROR(__xludf.DUMMYFUNCTION("IF(REGEXMATCH(TRIM(I2418), ""^\d+\s*min""), ""Unclassified"", IF(I2418 = """", ""NR"", I2418))"),"R")</f>
        <v>R</v>
      </c>
      <c r="R2418" s="5" t="str">
        <f t="shared" si="2"/>
        <v>The Night Clerk</v>
      </c>
      <c r="S2418" s="5" t="str">
        <f>IFERROR(__xludf.DUMMYFUNCTION("""COMPUTED_VALUE"""),"Felix Lobrecht: Hype")</f>
        <v>Felix Lobrecht: Hype</v>
      </c>
      <c r="U2418" s="5" t="str">
        <f>IFERROR(__xludf.DUMMYFUNCTION("""COMPUTED_VALUE"""),"Y. Joon Chung")</f>
        <v>Y. Joon Chung</v>
      </c>
      <c r="V2418" s="5" t="s">
        <v>9806</v>
      </c>
      <c r="W2418" s="5" t="str">
        <f t="shared" si="3"/>
        <v>Leslie Small</v>
      </c>
      <c r="X2418" s="5">
        <f t="shared" si="4"/>
        <v>5</v>
      </c>
      <c r="Y2418" s="5" t="str">
        <f>IFERROR(__xludf.DUMMYFUNCTION("REGEXEXTRACT(J2418, ""^\d+"")"),"90")</f>
        <v>90</v>
      </c>
      <c r="Z2418" s="5" t="str">
        <f>IFERROR(__xludf.DUMMYFUNCTION("REGEXEXTRACT(J2418, ""[A-Za-z ]+$"")")," min")</f>
        <v> min</v>
      </c>
      <c r="AA2418" s="5" t="str">
        <f>IFERROR(__xludf.DUMMYFUNCTION("IF(REGEXMATCH(Z2418, ""Season""), ""TV Show"", ""Movie"")"),"Movie")</f>
        <v>Movie</v>
      </c>
    </row>
    <row r="2419">
      <c r="A2419" s="1" t="s">
        <v>13674</v>
      </c>
      <c r="B2419" s="1" t="s">
        <v>37</v>
      </c>
      <c r="C2419" s="1" t="s">
        <v>13675</v>
      </c>
      <c r="E2419" s="1" t="s">
        <v>13676</v>
      </c>
      <c r="F2419" s="1" t="s">
        <v>30</v>
      </c>
      <c r="G2419" s="1" t="s">
        <v>13677</v>
      </c>
      <c r="H2419" s="1">
        <v>2020.0</v>
      </c>
      <c r="I2419" s="1" t="s">
        <v>42</v>
      </c>
      <c r="J2419" s="1" t="s">
        <v>148</v>
      </c>
      <c r="K2419" s="1" t="s">
        <v>1510</v>
      </c>
      <c r="L2419" s="1" t="s">
        <v>13678</v>
      </c>
      <c r="M2419" s="2" t="s">
        <v>12</v>
      </c>
      <c r="N2419" s="4">
        <f t="shared" si="1"/>
        <v>43987</v>
      </c>
      <c r="O2419" s="5" t="str">
        <f>IFERROR(__xludf.DUMMYFUNCTION("IF(REGEXMATCH(TRIM(I2419), ""^\d+\s*min""), ""Unclassified"", IF(I2419 = """", ""NR"", I2419))"),"TV-MA")</f>
        <v>TV-MA</v>
      </c>
      <c r="R2419" s="5" t="str">
        <f t="shared" si="2"/>
        <v>13 Reasons Why</v>
      </c>
      <c r="S2419" s="5" t="str">
        <f>IFERROR(__xludf.DUMMYFUNCTION("""COMPUTED_VALUE"""),"Felon")</f>
        <v>Felon</v>
      </c>
      <c r="U2419" s="5" t="str">
        <f>IFERROR(__xludf.DUMMYFUNCTION("""COMPUTED_VALUE"""),"Rucha Humnabadkar")</f>
        <v>Rucha Humnabadkar</v>
      </c>
      <c r="V2419" s="5" t="s">
        <v>13679</v>
      </c>
      <c r="W2419" s="5" t="str">
        <f t="shared" si="3"/>
        <v>Leslie Small, Tim Story</v>
      </c>
      <c r="X2419" s="5">
        <f t="shared" si="4"/>
        <v>2</v>
      </c>
      <c r="Y2419" s="5" t="str">
        <f>IFERROR(__xludf.DUMMYFUNCTION("REGEXEXTRACT(J2419, ""^\d+"")"),"4")</f>
        <v>4</v>
      </c>
      <c r="Z2419" s="5" t="str">
        <f>IFERROR(__xludf.DUMMYFUNCTION("REGEXEXTRACT(J2419, ""[A-Za-z ]+$"")")," Seasons")</f>
        <v> Seasons</v>
      </c>
      <c r="AA2419" s="5" t="str">
        <f>IFERROR(__xludf.DUMMYFUNCTION("IF(REGEXMATCH(Z2419, ""Season""), ""TV Show"", ""Movie"")"),"TV Show")</f>
        <v>TV Show</v>
      </c>
    </row>
    <row r="2420">
      <c r="A2420" s="1" t="s">
        <v>13680</v>
      </c>
      <c r="B2420" s="1" t="s">
        <v>27</v>
      </c>
      <c r="C2420" s="1" t="s">
        <v>13681</v>
      </c>
      <c r="D2420" s="1" t="s">
        <v>13682</v>
      </c>
      <c r="E2420" s="1" t="s">
        <v>13683</v>
      </c>
      <c r="F2420" s="1" t="s">
        <v>3309</v>
      </c>
      <c r="G2420" s="1" t="s">
        <v>13677</v>
      </c>
      <c r="H2420" s="1">
        <v>2016.0</v>
      </c>
      <c r="I2420" s="1" t="s">
        <v>97</v>
      </c>
      <c r="J2420" s="1" t="s">
        <v>1144</v>
      </c>
      <c r="K2420" s="1" t="s">
        <v>128</v>
      </c>
      <c r="L2420" s="1" t="s">
        <v>13684</v>
      </c>
      <c r="M2420" s="2" t="s">
        <v>12</v>
      </c>
      <c r="N2420" s="4">
        <f t="shared" si="1"/>
        <v>43987</v>
      </c>
      <c r="O2420" s="5" t="str">
        <f>IFERROR(__xludf.DUMMYFUNCTION("IF(REGEXMATCH(TRIM(I2420), ""^\d+\s*min""), ""Unclassified"", IF(I2420 = """", ""NR"", I2420))"),"TV-14")</f>
        <v>TV-14</v>
      </c>
      <c r="R2420" s="5" t="str">
        <f t="shared" si="2"/>
        <v>Before The Summer Crowds</v>
      </c>
      <c r="S2420" s="5" t="str">
        <f>IFERROR(__xludf.DUMMYFUNCTION("""COMPUTED_VALUE"""),"Feminists: What Were They Thinking?")</f>
        <v>Feminists: What Were They Thinking?</v>
      </c>
      <c r="U2420" s="5" t="str">
        <f>IFERROR(__xludf.DUMMYFUNCTION("""COMPUTED_VALUE"""),"Mike Newell")</f>
        <v>Mike Newell</v>
      </c>
      <c r="V2420" s="5" t="s">
        <v>12688</v>
      </c>
      <c r="W2420" s="5" t="str">
        <f t="shared" si="3"/>
        <v>Leslye Davis, Catrin Einhorn</v>
      </c>
      <c r="X2420" s="5">
        <f t="shared" si="4"/>
        <v>1</v>
      </c>
      <c r="Y2420" s="5" t="str">
        <f>IFERROR(__xludf.DUMMYFUNCTION("REGEXEXTRACT(J2420, ""^\d+"")"),"86")</f>
        <v>86</v>
      </c>
      <c r="Z2420" s="5" t="str">
        <f>IFERROR(__xludf.DUMMYFUNCTION("REGEXEXTRACT(J2420, ""[A-Za-z ]+$"")")," min")</f>
        <v> min</v>
      </c>
      <c r="AA2420" s="5" t="str">
        <f>IFERROR(__xludf.DUMMYFUNCTION("IF(REGEXMATCH(Z2420, ""Season""), ""TV Show"", ""Movie"")"),"Movie")</f>
        <v>Movie</v>
      </c>
    </row>
    <row r="2421">
      <c r="A2421" s="1" t="s">
        <v>13685</v>
      </c>
      <c r="B2421" s="1" t="s">
        <v>27</v>
      </c>
      <c r="C2421" s="1" t="s">
        <v>13686</v>
      </c>
      <c r="D2421" s="1" t="s">
        <v>526</v>
      </c>
      <c r="E2421" s="1" t="s">
        <v>13687</v>
      </c>
      <c r="F2421" s="1" t="s">
        <v>30</v>
      </c>
      <c r="G2421" s="1" t="s">
        <v>13677</v>
      </c>
      <c r="H2421" s="1">
        <v>2014.0</v>
      </c>
      <c r="I2421" s="1" t="s">
        <v>32</v>
      </c>
      <c r="J2421" s="1" t="s">
        <v>238</v>
      </c>
      <c r="K2421" s="1" t="s">
        <v>813</v>
      </c>
      <c r="L2421" s="1" t="s">
        <v>13688</v>
      </c>
      <c r="M2421" s="2" t="s">
        <v>12</v>
      </c>
      <c r="N2421" s="4">
        <f t="shared" si="1"/>
        <v>43987</v>
      </c>
      <c r="O2421" s="5" t="str">
        <f>IFERROR(__xludf.DUMMYFUNCTION("IF(REGEXMATCH(TRIM(I2421), ""^\d+\s*min""), ""Unclassified"", IF(I2421 = """", ""NR"", I2421))"),"PG-13")</f>
        <v>PG-13</v>
      </c>
      <c r="R2421" s="5" t="str">
        <f t="shared" si="2"/>
        <v>Big Stone Gap</v>
      </c>
      <c r="S2421" s="5" t="str">
        <f>IFERROR(__xludf.DUMMYFUNCTION("""COMPUTED_VALUE"""),"Feo Pero Sabroso")</f>
        <v>Feo Pero Sabroso</v>
      </c>
      <c r="U2421" s="5" t="str">
        <f>IFERROR(__xludf.DUMMYFUNCTION("""COMPUTED_VALUE"""),"Jake Szymanski")</f>
        <v>Jake Szymanski</v>
      </c>
      <c r="V2421" s="5" t="s">
        <v>13689</v>
      </c>
      <c r="W2421" s="5" t="str">
        <f t="shared" si="3"/>
        <v>Leslye Headland</v>
      </c>
      <c r="X2421" s="5">
        <f t="shared" si="4"/>
        <v>1</v>
      </c>
      <c r="Y2421" s="5" t="str">
        <f>IFERROR(__xludf.DUMMYFUNCTION("REGEXEXTRACT(J2421, ""^\d+"")"),"103")</f>
        <v>103</v>
      </c>
      <c r="Z2421" s="5" t="str">
        <f>IFERROR(__xludf.DUMMYFUNCTION("REGEXEXTRACT(J2421, ""[A-Za-z ]+$"")")," min")</f>
        <v> min</v>
      </c>
      <c r="AA2421" s="5" t="str">
        <f>IFERROR(__xludf.DUMMYFUNCTION("IF(REGEXMATCH(Z2421, ""Season""), ""TV Show"", ""Movie"")"),"Movie")</f>
        <v>Movie</v>
      </c>
    </row>
    <row r="2422">
      <c r="A2422" s="1" t="s">
        <v>13690</v>
      </c>
      <c r="B2422" s="1" t="s">
        <v>27</v>
      </c>
      <c r="C2422" s="1" t="s">
        <v>13691</v>
      </c>
      <c r="D2422" s="1" t="s">
        <v>2398</v>
      </c>
      <c r="E2422" s="1" t="s">
        <v>13692</v>
      </c>
      <c r="F2422" s="1" t="s">
        <v>63</v>
      </c>
      <c r="G2422" s="1" t="s">
        <v>13677</v>
      </c>
      <c r="H2422" s="1">
        <v>2020.0</v>
      </c>
      <c r="I2422" s="1" t="s">
        <v>97</v>
      </c>
      <c r="J2422" s="1" t="s">
        <v>835</v>
      </c>
      <c r="K2422" s="1" t="s">
        <v>128</v>
      </c>
      <c r="L2422" s="1" t="s">
        <v>13693</v>
      </c>
      <c r="M2422" s="2" t="s">
        <v>12</v>
      </c>
      <c r="N2422" s="4">
        <f t="shared" si="1"/>
        <v>43987</v>
      </c>
      <c r="O2422" s="5" t="str">
        <f>IFERROR(__xludf.DUMMYFUNCTION("IF(REGEXMATCH(TRIM(I2422), ""^\d+\s*min""), ""Unclassified"", IF(I2422 = """", ""NR"", I2422))"),"TV-14")</f>
        <v>TV-14</v>
      </c>
      <c r="R2422" s="5" t="str">
        <f t="shared" si="2"/>
        <v>Choked: Paisa Bolta Hai</v>
      </c>
      <c r="S2422" s="5" t="str">
        <f>IFERROR(__xludf.DUMMYFUNCTION("""COMPUTED_VALUE"""),"Fernando Sanjiao: Hombre")</f>
        <v>Fernando Sanjiao: Hombre</v>
      </c>
      <c r="U2422" s="5" t="str">
        <f>IFERROR(__xludf.DUMMYFUNCTION("""COMPUTED_VALUE"""),"Abhishek Varman")</f>
        <v>Abhishek Varman</v>
      </c>
      <c r="V2422" s="5" t="s">
        <v>11966</v>
      </c>
      <c r="W2422" s="5" t="str">
        <f t="shared" si="3"/>
        <v>Lester Hsi</v>
      </c>
      <c r="X2422" s="5">
        <f t="shared" si="4"/>
        <v>1</v>
      </c>
      <c r="Y2422" s="5" t="str">
        <f>IFERROR(__xludf.DUMMYFUNCTION("REGEXEXTRACT(J2422, ""^\d+"")"),"114")</f>
        <v>114</v>
      </c>
      <c r="Z2422" s="5" t="str">
        <f>IFERROR(__xludf.DUMMYFUNCTION("REGEXEXTRACT(J2422, ""[A-Za-z ]+$"")")," min")</f>
        <v> min</v>
      </c>
      <c r="AA2422" s="5" t="str">
        <f>IFERROR(__xludf.DUMMYFUNCTION("IF(REGEXMATCH(Z2422, ""Season""), ""TV Show"", ""Movie"")"),"Movie")</f>
        <v>Movie</v>
      </c>
    </row>
    <row r="2423">
      <c r="A2423" s="1" t="s">
        <v>13694</v>
      </c>
      <c r="B2423" s="1" t="s">
        <v>27</v>
      </c>
      <c r="C2423" s="1" t="s">
        <v>13695</v>
      </c>
      <c r="D2423" s="1" t="s">
        <v>1772</v>
      </c>
      <c r="E2423" s="1" t="s">
        <v>13696</v>
      </c>
      <c r="F2423" s="1" t="s">
        <v>400</v>
      </c>
      <c r="G2423" s="1" t="s">
        <v>13677</v>
      </c>
      <c r="H2423" s="1">
        <v>2019.0</v>
      </c>
      <c r="I2423" s="1" t="s">
        <v>42</v>
      </c>
      <c r="J2423" s="1" t="s">
        <v>379</v>
      </c>
      <c r="K2423" s="1" t="s">
        <v>199</v>
      </c>
      <c r="L2423" s="1" t="s">
        <v>13697</v>
      </c>
      <c r="M2423" s="2" t="s">
        <v>12</v>
      </c>
      <c r="N2423" s="4">
        <f t="shared" si="1"/>
        <v>43987</v>
      </c>
      <c r="O2423" s="5" t="str">
        <f>IFERROR(__xludf.DUMMYFUNCTION("IF(REGEXMATCH(TRIM(I2423), ""^\d+\s*min""), ""Unclassified"", IF(I2423 = """", ""NR"", I2423))"),"TV-MA")</f>
        <v>TV-MA</v>
      </c>
      <c r="R2423" s="5" t="str">
        <f t="shared" si="2"/>
        <v>Merry Men 2: Another Mission</v>
      </c>
      <c r="S2423" s="5" t="str">
        <f>IFERROR(__xludf.DUMMYFUNCTION("""COMPUTED_VALUE"""),"Ferrari Ki Sawaari")</f>
        <v>Ferrari Ki Sawaari</v>
      </c>
      <c r="U2423" s="5" t="str">
        <f>IFERROR(__xludf.DUMMYFUNCTION("""COMPUTED_VALUE"""),"Sabir Khan")</f>
        <v>Sabir Khan</v>
      </c>
      <c r="V2423" s="5" t="s">
        <v>13698</v>
      </c>
      <c r="W2423" s="5" t="str">
        <f t="shared" si="3"/>
        <v>Leticia Jorge Romero</v>
      </c>
      <c r="X2423" s="5">
        <f t="shared" si="4"/>
        <v>1</v>
      </c>
      <c r="Y2423" s="5" t="str">
        <f>IFERROR(__xludf.DUMMYFUNCTION("REGEXEXTRACT(J2423, ""^\d+"")"),"115")</f>
        <v>115</v>
      </c>
      <c r="Z2423" s="5" t="str">
        <f>IFERROR(__xludf.DUMMYFUNCTION("REGEXEXTRACT(J2423, ""[A-Za-z ]+$"")")," min")</f>
        <v> min</v>
      </c>
      <c r="AA2423" s="5" t="str">
        <f>IFERROR(__xludf.DUMMYFUNCTION("IF(REGEXMATCH(Z2423, ""Season""), ""TV Show"", ""Movie"")"),"Movie")</f>
        <v>Movie</v>
      </c>
    </row>
    <row r="2424">
      <c r="A2424" s="1" t="s">
        <v>13699</v>
      </c>
      <c r="B2424" s="1" t="s">
        <v>37</v>
      </c>
      <c r="C2424" s="1" t="s">
        <v>13700</v>
      </c>
      <c r="E2424" s="1" t="s">
        <v>13701</v>
      </c>
      <c r="F2424" s="1" t="s">
        <v>30</v>
      </c>
      <c r="G2424" s="1" t="s">
        <v>13677</v>
      </c>
      <c r="H2424" s="1">
        <v>2020.0</v>
      </c>
      <c r="I2424" s="1" t="s">
        <v>97</v>
      </c>
      <c r="J2424" s="1" t="s">
        <v>189</v>
      </c>
      <c r="K2424" s="1" t="s">
        <v>440</v>
      </c>
      <c r="L2424" s="1" t="s">
        <v>13702</v>
      </c>
      <c r="M2424" s="2" t="s">
        <v>12</v>
      </c>
      <c r="N2424" s="4">
        <f t="shared" si="1"/>
        <v>43987</v>
      </c>
      <c r="O2424" s="5" t="str">
        <f>IFERROR(__xludf.DUMMYFUNCTION("IF(REGEXMATCH(TRIM(I2424), ""^\d+\s*min""), ""Unclassified"", IF(I2424 = """", ""NR"", I2424))"),"TV-14")</f>
        <v>TV-14</v>
      </c>
      <c r="R2424" s="5" t="str">
        <f t="shared" si="2"/>
        <v>Queer Eye</v>
      </c>
      <c r="S2424" s="5" t="str">
        <f>IFERROR(__xludf.DUMMYFUNCTION("""COMPUTED_VALUE"""),"Ferris Bueller'S Day Off")</f>
        <v>Ferris Bueller'S Day Off</v>
      </c>
      <c r="U2424" s="5" t="str">
        <f>IFERROR(__xludf.DUMMYFUNCTION("""COMPUTED_VALUE"""),"Nikhil Nagesh Bhat")</f>
        <v>Nikhil Nagesh Bhat</v>
      </c>
      <c r="V2424" s="5" t="s">
        <v>5097</v>
      </c>
      <c r="W2424" s="5" t="str">
        <f t="shared" si="3"/>
        <v>Letizia Lamartire</v>
      </c>
      <c r="X2424" s="5">
        <f t="shared" si="4"/>
        <v>1</v>
      </c>
      <c r="Y2424" s="5" t="str">
        <f>IFERROR(__xludf.DUMMYFUNCTION("REGEXEXTRACT(J2424, ""^\d+"")"),"5")</f>
        <v>5</v>
      </c>
      <c r="Z2424" s="5" t="str">
        <f>IFERROR(__xludf.DUMMYFUNCTION("REGEXEXTRACT(J2424, ""[A-Za-z ]+$"")")," Seasons")</f>
        <v> Seasons</v>
      </c>
      <c r="AA2424" s="5" t="str">
        <f>IFERROR(__xludf.DUMMYFUNCTION("IF(REGEXMATCH(Z2424, ""Season""), ""TV Show"", ""Movie"")"),"TV Show")</f>
        <v>TV Show</v>
      </c>
    </row>
    <row r="2425">
      <c r="A2425" s="1" t="s">
        <v>13703</v>
      </c>
      <c r="B2425" s="1" t="s">
        <v>37</v>
      </c>
      <c r="C2425" s="1" t="s">
        <v>13704</v>
      </c>
      <c r="D2425" s="1" t="s">
        <v>13705</v>
      </c>
      <c r="E2425" s="1" t="s">
        <v>13706</v>
      </c>
      <c r="F2425" s="1" t="s">
        <v>897</v>
      </c>
      <c r="G2425" s="1" t="s">
        <v>13677</v>
      </c>
      <c r="H2425" s="1">
        <v>2019.0</v>
      </c>
      <c r="I2425" s="1" t="s">
        <v>97</v>
      </c>
      <c r="J2425" s="1" t="s">
        <v>13707</v>
      </c>
      <c r="K2425" s="1" t="s">
        <v>13708</v>
      </c>
      <c r="L2425" s="1" t="s">
        <v>13709</v>
      </c>
      <c r="M2425" s="2" t="s">
        <v>12</v>
      </c>
      <c r="N2425" s="4">
        <f t="shared" si="1"/>
        <v>43987</v>
      </c>
      <c r="O2425" s="5" t="str">
        <f>IFERROR(__xludf.DUMMYFUNCTION("IF(REGEXMATCH(TRIM(I2425), ""^\d+\s*min""), ""Unclassified"", IF(I2425 = """", ""NR"", I2425))"),"TV-14")</f>
        <v>TV-14</v>
      </c>
      <c r="R2425" s="5" t="str">
        <f t="shared" si="2"/>
        <v>Supernatural</v>
      </c>
      <c r="S2425" s="5" t="str">
        <f>IFERROR(__xludf.DUMMYFUNCTION("""COMPUTED_VALUE"""),"Ferry")</f>
        <v>Ferry</v>
      </c>
      <c r="U2425" s="5" t="str">
        <f>IFERROR(__xludf.DUMMYFUNCTION("""COMPUTED_VALUE"""),"Xiaoxing Yi, Yoshitaka Takeuchi, Haoling Li")</f>
        <v>Xiaoxing Yi, Yoshitaka Takeuchi, Haoling Li</v>
      </c>
      <c r="V2425" s="5" t="s">
        <v>13710</v>
      </c>
      <c r="W2425" s="5" t="str">
        <f t="shared" si="3"/>
        <v>Leung Lok Man, Luk Kim-Ching</v>
      </c>
      <c r="X2425" s="5">
        <f t="shared" si="4"/>
        <v>1</v>
      </c>
      <c r="Y2425" s="5" t="str">
        <f>IFERROR(__xludf.DUMMYFUNCTION("REGEXEXTRACT(J2425, ""^\d+"")"),"15")</f>
        <v>15</v>
      </c>
      <c r="Z2425" s="5" t="str">
        <f>IFERROR(__xludf.DUMMYFUNCTION("REGEXEXTRACT(J2425, ""[A-Za-z ]+$"")")," Seasons")</f>
        <v> Seasons</v>
      </c>
      <c r="AA2425" s="5" t="str">
        <f>IFERROR(__xludf.DUMMYFUNCTION("IF(REGEXMATCH(Z2425, ""Season""), ""TV Show"", ""Movie"")"),"TV Show")</f>
        <v>TV Show</v>
      </c>
    </row>
    <row r="2426">
      <c r="A2426" s="1" t="s">
        <v>13711</v>
      </c>
      <c r="B2426" s="1" t="s">
        <v>27</v>
      </c>
      <c r="C2426" s="1" t="s">
        <v>13712</v>
      </c>
      <c r="D2426" s="1" t="s">
        <v>182</v>
      </c>
      <c r="E2426" s="1" t="s">
        <v>13713</v>
      </c>
      <c r="F2426" s="1" t="s">
        <v>30</v>
      </c>
      <c r="G2426" s="1" t="s">
        <v>13677</v>
      </c>
      <c r="H2426" s="1">
        <v>2020.0</v>
      </c>
      <c r="I2426" s="1" t="s">
        <v>42</v>
      </c>
      <c r="J2426" s="1" t="s">
        <v>5833</v>
      </c>
      <c r="K2426" s="1" t="s">
        <v>8559</v>
      </c>
      <c r="L2426" s="1" t="s">
        <v>13714</v>
      </c>
      <c r="M2426" s="2" t="s">
        <v>12</v>
      </c>
      <c r="N2426" s="4">
        <f t="shared" si="1"/>
        <v>43987</v>
      </c>
      <c r="O2426" s="5" t="str">
        <f>IFERROR(__xludf.DUMMYFUNCTION("IF(REGEXMATCH(TRIM(I2426), ""^\d+\s*min""), ""Unclassified"", IF(I2426 = """", ""NR"", I2426))"),"TV-MA")</f>
        <v>TV-MA</v>
      </c>
      <c r="R2426" s="5" t="str">
        <f t="shared" si="2"/>
        <v>The Last Days Of American Crime</v>
      </c>
      <c r="S2426" s="5" t="str">
        <f>IFERROR(__xludf.DUMMYFUNCTION("""COMPUTED_VALUE"""),"Fida")</f>
        <v>Fida</v>
      </c>
      <c r="U2426" s="5" t="str">
        <f>IFERROR(__xludf.DUMMYFUNCTION("""COMPUTED_VALUE"""),"Lauren Miller Rogen")</f>
        <v>Lauren Miller Rogen</v>
      </c>
      <c r="V2426" s="5" t="s">
        <v>13715</v>
      </c>
      <c r="W2426" s="5" t="str">
        <f t="shared" si="3"/>
        <v>Lev L. Spiro</v>
      </c>
      <c r="X2426" s="5">
        <f t="shared" si="4"/>
        <v>1</v>
      </c>
      <c r="Y2426" s="5" t="str">
        <f>IFERROR(__xludf.DUMMYFUNCTION("REGEXEXTRACT(J2426, ""^\d+"")"),"149")</f>
        <v>149</v>
      </c>
      <c r="Z2426" s="5" t="str">
        <f>IFERROR(__xludf.DUMMYFUNCTION("REGEXEXTRACT(J2426, ""[A-Za-z ]+$"")")," min")</f>
        <v> min</v>
      </c>
      <c r="AA2426" s="5" t="str">
        <f>IFERROR(__xludf.DUMMYFUNCTION("IF(REGEXMATCH(Z2426, ""Season""), ""TV Show"", ""Movie"")"),"Movie")</f>
        <v>Movie</v>
      </c>
    </row>
    <row r="2427">
      <c r="A2427" s="1" t="s">
        <v>13716</v>
      </c>
      <c r="B2427" s="1" t="s">
        <v>27</v>
      </c>
      <c r="C2427" s="1" t="s">
        <v>13717</v>
      </c>
      <c r="G2427" s="1" t="s">
        <v>13677</v>
      </c>
      <c r="H2427" s="1">
        <v>2010.0</v>
      </c>
      <c r="I2427" s="1" t="s">
        <v>42</v>
      </c>
      <c r="J2427" s="1" t="s">
        <v>322</v>
      </c>
      <c r="K2427" s="1" t="s">
        <v>679</v>
      </c>
      <c r="L2427" s="1" t="s">
        <v>13718</v>
      </c>
      <c r="M2427" s="2" t="s">
        <v>12</v>
      </c>
      <c r="N2427" s="4">
        <f t="shared" si="1"/>
        <v>43987</v>
      </c>
      <c r="O2427" s="5" t="str">
        <f>IFERROR(__xludf.DUMMYFUNCTION("IF(REGEXMATCH(TRIM(I2427), ""^\d+\s*min""), ""Unclassified"", IF(I2427 = """", ""NR"", I2427))"),"TV-MA")</f>
        <v>TV-MA</v>
      </c>
      <c r="R2427" s="5" t="str">
        <f t="shared" si="2"/>
        <v>The Light Of My Eyes</v>
      </c>
      <c r="S2427" s="5" t="str">
        <f>IFERROR(__xludf.DUMMYFUNCTION("""COMPUTED_VALUE"""),"Fiddler On The Roof")</f>
        <v>Fiddler On The Roof</v>
      </c>
      <c r="U2427" s="5" t="str">
        <f>IFERROR(__xludf.DUMMYFUNCTION("""COMPUTED_VALUE"""),"Vikas Bahl, Nitesh Tiwari")</f>
        <v>Vikas Bahl, Nitesh Tiwari</v>
      </c>
      <c r="V2427" s="5" t="s">
        <v>10656</v>
      </c>
      <c r="W2427" s="5" t="str">
        <f t="shared" si="3"/>
        <v>Levan Gabriadze</v>
      </c>
      <c r="X2427" s="5">
        <f t="shared" si="4"/>
        <v>1</v>
      </c>
      <c r="Y2427" s="5" t="str">
        <f>IFERROR(__xludf.DUMMYFUNCTION("REGEXEXTRACT(J2427, ""^\d+"")"),"96")</f>
        <v>96</v>
      </c>
      <c r="Z2427" s="5" t="str">
        <f>IFERROR(__xludf.DUMMYFUNCTION("REGEXEXTRACT(J2427, ""[A-Za-z ]+$"")")," min")</f>
        <v> min</v>
      </c>
      <c r="AA2427" s="5" t="str">
        <f>IFERROR(__xludf.DUMMYFUNCTION("IF(REGEXMATCH(Z2427, ""Season""), ""TV Show"", ""Movie"")"),"Movie")</f>
        <v>Movie</v>
      </c>
    </row>
    <row r="2428">
      <c r="A2428" s="1" t="s">
        <v>13719</v>
      </c>
      <c r="B2428" s="1" t="s">
        <v>37</v>
      </c>
      <c r="C2428" s="1" t="s">
        <v>13720</v>
      </c>
      <c r="E2428" s="1" t="s">
        <v>13721</v>
      </c>
      <c r="F2428" s="1" t="s">
        <v>415</v>
      </c>
      <c r="G2428" s="1" t="s">
        <v>13722</v>
      </c>
      <c r="H2428" s="1">
        <v>2020.0</v>
      </c>
      <c r="I2428" s="1" t="s">
        <v>42</v>
      </c>
      <c r="J2428" s="1" t="s">
        <v>276</v>
      </c>
      <c r="K2428" s="1" t="s">
        <v>567</v>
      </c>
      <c r="L2428" s="1" t="s">
        <v>13723</v>
      </c>
      <c r="M2428" s="2" t="s">
        <v>12</v>
      </c>
      <c r="N2428" s="4">
        <f t="shared" si="1"/>
        <v>43986</v>
      </c>
      <c r="O2428" s="5" t="str">
        <f>IFERROR(__xludf.DUMMYFUNCTION("IF(REGEXMATCH(TRIM(I2428), ""^\d+\s*min""), ""Unclassified"", IF(I2428 = """", ""NR"", I2428))"),"TV-MA")</f>
        <v>TV-MA</v>
      </c>
      <c r="R2428" s="5" t="str">
        <f t="shared" si="2"/>
        <v>Baki</v>
      </c>
      <c r="S2428" s="5" t="str">
        <f>IFERROR(__xludf.DUMMYFUNCTION("""COMPUTED_VALUE"""),"Fierce")</f>
        <v>Fierce</v>
      </c>
      <c r="U2428" s="5" t="str">
        <f>IFERROR(__xludf.DUMMYFUNCTION("""COMPUTED_VALUE"""),"Khalid Mohamed")</f>
        <v>Khalid Mohamed</v>
      </c>
      <c r="V2428" s="5" t="s">
        <v>13724</v>
      </c>
      <c r="W2428" s="5" t="str">
        <f t="shared" si="3"/>
        <v>Levan Tsikurishvili</v>
      </c>
      <c r="X2428" s="5">
        <f t="shared" si="4"/>
        <v>1</v>
      </c>
      <c r="Y2428" s="5" t="str">
        <f>IFERROR(__xludf.DUMMYFUNCTION("REGEXEXTRACT(J2428, ""^\d+"")"),"3")</f>
        <v>3</v>
      </c>
      <c r="Z2428" s="5" t="str">
        <f>IFERROR(__xludf.DUMMYFUNCTION("REGEXEXTRACT(J2428, ""[A-Za-z ]+$"")")," Seasons")</f>
        <v> Seasons</v>
      </c>
      <c r="AA2428" s="5" t="str">
        <f>IFERROR(__xludf.DUMMYFUNCTION("IF(REGEXMATCH(Z2428, ""Season""), ""TV Show"", ""Movie"")"),"TV Show")</f>
        <v>TV Show</v>
      </c>
    </row>
    <row r="2429">
      <c r="A2429" s="1" t="s">
        <v>13725</v>
      </c>
      <c r="B2429" s="1" t="s">
        <v>27</v>
      </c>
      <c r="C2429" s="1" t="s">
        <v>13726</v>
      </c>
      <c r="D2429" s="1" t="s">
        <v>1739</v>
      </c>
      <c r="E2429" s="1" t="s">
        <v>13727</v>
      </c>
      <c r="F2429" s="1" t="s">
        <v>188</v>
      </c>
      <c r="G2429" s="1" t="s">
        <v>13722</v>
      </c>
      <c r="H2429" s="1">
        <v>2017.0</v>
      </c>
      <c r="I2429" s="1" t="s">
        <v>97</v>
      </c>
      <c r="J2429" s="1" t="s">
        <v>447</v>
      </c>
      <c r="K2429" s="1" t="s">
        <v>679</v>
      </c>
      <c r="L2429" s="1" t="s">
        <v>13728</v>
      </c>
      <c r="M2429" s="2" t="s">
        <v>12</v>
      </c>
      <c r="N2429" s="4">
        <f t="shared" si="1"/>
        <v>43986</v>
      </c>
      <c r="O2429" s="5" t="str">
        <f>IFERROR(__xludf.DUMMYFUNCTION("IF(REGEXMATCH(TRIM(I2429), ""^\d+\s*min""), ""Unclassified"", IF(I2429 = """", ""NR"", I2429))"),"TV-14")</f>
        <v>TV-14</v>
      </c>
      <c r="R2429" s="5" t="str">
        <f t="shared" si="2"/>
        <v>Hot Sweet Sour</v>
      </c>
      <c r="S2429" s="5" t="str">
        <f>IFERROR(__xludf.DUMMYFUNCTION("""COMPUTED_VALUE"""),"Fifty")</f>
        <v>Fifty</v>
      </c>
      <c r="U2429" s="5" t="str">
        <f>IFERROR(__xludf.DUMMYFUNCTION("""COMPUTED_VALUE"""),"Sanjay Leela Bhansali")</f>
        <v>Sanjay Leela Bhansali</v>
      </c>
      <c r="V2429" s="5" t="s">
        <v>13729</v>
      </c>
      <c r="W2429" s="5" t="str">
        <f t="shared" si="3"/>
        <v>Lewis Milestone</v>
      </c>
      <c r="X2429" s="5">
        <f t="shared" si="4"/>
        <v>1</v>
      </c>
      <c r="Y2429" s="5" t="str">
        <f>IFERROR(__xludf.DUMMYFUNCTION("REGEXEXTRACT(J2429, ""^\d+"")"),"102")</f>
        <v>102</v>
      </c>
      <c r="Z2429" s="5" t="str">
        <f>IFERROR(__xludf.DUMMYFUNCTION("REGEXEXTRACT(J2429, ""[A-Za-z ]+$"")")," min")</f>
        <v> min</v>
      </c>
      <c r="AA2429" s="5" t="str">
        <f>IFERROR(__xludf.DUMMYFUNCTION("IF(REGEXMATCH(Z2429, ""Season""), ""TV Show"", ""Movie"")"),"Movie")</f>
        <v>Movie</v>
      </c>
    </row>
    <row r="2430">
      <c r="A2430" s="1" t="s">
        <v>13730</v>
      </c>
      <c r="B2430" s="1" t="s">
        <v>27</v>
      </c>
      <c r="C2430" s="1" t="s">
        <v>13731</v>
      </c>
      <c r="D2430" s="1" t="s">
        <v>13732</v>
      </c>
      <c r="E2430" s="1" t="s">
        <v>13733</v>
      </c>
      <c r="F2430" s="1" t="s">
        <v>188</v>
      </c>
      <c r="G2430" s="1" t="s">
        <v>13722</v>
      </c>
      <c r="H2430" s="1">
        <v>2017.0</v>
      </c>
      <c r="I2430" s="1" t="s">
        <v>42</v>
      </c>
      <c r="J2430" s="1" t="s">
        <v>305</v>
      </c>
      <c r="K2430" s="1" t="s">
        <v>199</v>
      </c>
      <c r="L2430" s="1" t="s">
        <v>13734</v>
      </c>
      <c r="M2430" s="2" t="s">
        <v>12</v>
      </c>
      <c r="N2430" s="4">
        <f t="shared" si="1"/>
        <v>43986</v>
      </c>
      <c r="O2430" s="5" t="str">
        <f>IFERROR(__xludf.DUMMYFUNCTION("IF(REGEXMATCH(TRIM(I2430), ""^\d+\s*min""), ""Unclassified"", IF(I2430 = """", ""NR"", I2430))"),"TV-MA")</f>
        <v>TV-MA</v>
      </c>
      <c r="R2430" s="5" t="str">
        <f t="shared" si="2"/>
        <v>Overnight Republic</v>
      </c>
      <c r="S2430" s="5" t="str">
        <f>IFERROR(__xludf.DUMMYFUNCTION("""COMPUTED_VALUE"""),"Fifty Year Old Teenager")</f>
        <v>Fifty Year Old Teenager</v>
      </c>
      <c r="U2430" s="5" t="str">
        <f>IFERROR(__xludf.DUMMYFUNCTION("""COMPUTED_VALUE"""),"Prem Soni")</f>
        <v>Prem Soni</v>
      </c>
      <c r="V2430" s="5" t="s">
        <v>13735</v>
      </c>
      <c r="W2430" s="5" t="str">
        <f t="shared" si="3"/>
        <v>Lewis Milestone, Carol Reed</v>
      </c>
      <c r="X2430" s="5">
        <f t="shared" si="4"/>
        <v>1</v>
      </c>
      <c r="Y2430" s="5" t="str">
        <f>IFERROR(__xludf.DUMMYFUNCTION("REGEXEXTRACT(J2430, ""^\d+"")"),"105")</f>
        <v>105</v>
      </c>
      <c r="Z2430" s="5" t="str">
        <f>IFERROR(__xludf.DUMMYFUNCTION("REGEXEXTRACT(J2430, ""[A-Za-z ]+$"")")," min")</f>
        <v> min</v>
      </c>
      <c r="AA2430" s="5" t="str">
        <f>IFERROR(__xludf.DUMMYFUNCTION("IF(REGEXMATCH(Z2430, ""Season""), ""TV Show"", ""Movie"")"),"Movie")</f>
        <v>Movie</v>
      </c>
    </row>
    <row r="2431">
      <c r="A2431" s="1" t="s">
        <v>13736</v>
      </c>
      <c r="B2431" s="1" t="s">
        <v>27</v>
      </c>
      <c r="C2431" s="1" t="s">
        <v>13737</v>
      </c>
      <c r="D2431" s="1" t="s">
        <v>633</v>
      </c>
      <c r="E2431" s="1" t="s">
        <v>13738</v>
      </c>
      <c r="F2431" s="1" t="s">
        <v>3309</v>
      </c>
      <c r="G2431" s="1" t="s">
        <v>13739</v>
      </c>
      <c r="H2431" s="1">
        <v>2007.0</v>
      </c>
      <c r="I2431" s="1" t="s">
        <v>42</v>
      </c>
      <c r="J2431" s="1" t="s">
        <v>835</v>
      </c>
      <c r="K2431" s="1" t="s">
        <v>215</v>
      </c>
      <c r="L2431" s="1" t="s">
        <v>13740</v>
      </c>
      <c r="M2431" s="2" t="s">
        <v>12</v>
      </c>
      <c r="N2431" s="4">
        <f t="shared" si="1"/>
        <v>43985</v>
      </c>
      <c r="O2431" s="5" t="str">
        <f>IFERROR(__xludf.DUMMYFUNCTION("IF(REGEXMATCH(TRIM(I2431), ""^\d+\s*min""), ""Unclassified"", IF(I2431 = """", ""NR"", I2431))"),"TV-MA")</f>
        <v>TV-MA</v>
      </c>
      <c r="R2431" s="5" t="str">
        <f t="shared" si="2"/>
        <v>Can’T Complain</v>
      </c>
      <c r="S2431" s="5" t="str">
        <f>IFERROR(__xludf.DUMMYFUNCTION("""COMPUTED_VALUE"""),"Fifty: The Series")</f>
        <v>Fifty: The Series</v>
      </c>
      <c r="U2431" s="5" t="str">
        <f>IFERROR(__xludf.DUMMYFUNCTION("""COMPUTED_VALUE"""),"Prabhu Deva")</f>
        <v>Prabhu Deva</v>
      </c>
      <c r="V2431" s="5" t="s">
        <v>13741</v>
      </c>
      <c r="W2431" s="5" t="str">
        <f t="shared" si="3"/>
        <v>Li Jun</v>
      </c>
      <c r="X2431" s="5">
        <f t="shared" si="4"/>
        <v>1</v>
      </c>
      <c r="Y2431" s="5" t="str">
        <f>IFERROR(__xludf.DUMMYFUNCTION("REGEXEXTRACT(J2431, ""^\d+"")"),"114")</f>
        <v>114</v>
      </c>
      <c r="Z2431" s="5" t="str">
        <f>IFERROR(__xludf.DUMMYFUNCTION("REGEXEXTRACT(J2431, ""[A-Za-z ]+$"")")," min")</f>
        <v> min</v>
      </c>
      <c r="AA2431" s="5" t="str">
        <f>IFERROR(__xludf.DUMMYFUNCTION("IF(REGEXMATCH(Z2431, ""Season""), ""TV Show"", ""Movie"")"),"Movie")</f>
        <v>Movie</v>
      </c>
    </row>
    <row r="2432">
      <c r="A2432" s="1" t="s">
        <v>13742</v>
      </c>
      <c r="B2432" s="1" t="s">
        <v>27</v>
      </c>
      <c r="C2432" s="1" t="s">
        <v>13743</v>
      </c>
      <c r="D2432" s="1" t="s">
        <v>8743</v>
      </c>
      <c r="E2432" s="1" t="s">
        <v>13744</v>
      </c>
      <c r="F2432" s="1" t="s">
        <v>30</v>
      </c>
      <c r="G2432" s="1" t="s">
        <v>13739</v>
      </c>
      <c r="H2432" s="1">
        <v>2017.0</v>
      </c>
      <c r="I2432" s="1" t="s">
        <v>378</v>
      </c>
      <c r="J2432" s="1" t="s">
        <v>170</v>
      </c>
      <c r="K2432" s="1" t="s">
        <v>836</v>
      </c>
      <c r="L2432" s="1" t="s">
        <v>13745</v>
      </c>
      <c r="M2432" s="2" t="s">
        <v>12</v>
      </c>
      <c r="N2432" s="4">
        <f t="shared" si="1"/>
        <v>43985</v>
      </c>
      <c r="O2432" s="5" t="str">
        <f>IFERROR(__xludf.DUMMYFUNCTION("IF(REGEXMATCH(TRIM(I2432), ""^\d+\s*min""), ""Unclassified"", IF(I2432 = """", ""NR"", I2432))"),"R")</f>
        <v>R</v>
      </c>
      <c r="R2432" s="5" t="str">
        <f t="shared" si="2"/>
        <v>Lady Bird</v>
      </c>
      <c r="S2432" s="5" t="str">
        <f>IFERROR(__xludf.DUMMYFUNCTION("""COMPUTED_VALUE"""),"Figaro Pho")</f>
        <v>Figaro Pho</v>
      </c>
      <c r="U2432" s="5" t="str">
        <f>IFERROR(__xludf.DUMMYFUNCTION("""COMPUTED_VALUE"""),"Mandeep Kumar")</f>
        <v>Mandeep Kumar</v>
      </c>
      <c r="V2432" s="5" t="s">
        <v>13746</v>
      </c>
      <c r="W2432" s="5" t="str">
        <f t="shared" si="3"/>
        <v>Li Pei-Chuan</v>
      </c>
      <c r="X2432" s="5">
        <f t="shared" si="4"/>
        <v>1</v>
      </c>
      <c r="Y2432" s="5" t="str">
        <f>IFERROR(__xludf.DUMMYFUNCTION("REGEXEXTRACT(J2432, ""^\d+"")"),"94")</f>
        <v>94</v>
      </c>
      <c r="Z2432" s="5" t="str">
        <f>IFERROR(__xludf.DUMMYFUNCTION("REGEXEXTRACT(J2432, ""[A-Za-z ]+$"")")," min")</f>
        <v> min</v>
      </c>
      <c r="AA2432" s="5" t="str">
        <f>IFERROR(__xludf.DUMMYFUNCTION("IF(REGEXMATCH(Z2432, ""Season""), ""TV Show"", ""Movie"")"),"Movie")</f>
        <v>Movie</v>
      </c>
    </row>
    <row r="2433">
      <c r="A2433" s="1" t="s">
        <v>13747</v>
      </c>
      <c r="B2433" s="1" t="s">
        <v>27</v>
      </c>
      <c r="C2433" s="1" t="s">
        <v>13748</v>
      </c>
      <c r="D2433" s="1" t="s">
        <v>13749</v>
      </c>
      <c r="F2433" s="1" t="s">
        <v>30</v>
      </c>
      <c r="G2433" s="1" t="s">
        <v>13739</v>
      </c>
      <c r="H2433" s="1">
        <v>2020.0</v>
      </c>
      <c r="I2433" s="1" t="s">
        <v>506</v>
      </c>
      <c r="J2433" s="1" t="s">
        <v>490</v>
      </c>
      <c r="K2433" s="1" t="s">
        <v>9544</v>
      </c>
      <c r="L2433" s="1" t="s">
        <v>13750</v>
      </c>
      <c r="M2433" s="2" t="s">
        <v>12</v>
      </c>
      <c r="N2433" s="4">
        <f t="shared" si="1"/>
        <v>43985</v>
      </c>
      <c r="O2433" s="5" t="str">
        <f>IFERROR(__xludf.DUMMYFUNCTION("IF(REGEXMATCH(TRIM(I2433), ""^\d+\s*min""), ""Unclassified"", IF(I2433 = """", ""NR"", I2433))"),"TV-G")</f>
        <v>TV-G</v>
      </c>
      <c r="R2433" s="5" t="str">
        <f t="shared" si="2"/>
        <v>Spelling The Dream</v>
      </c>
      <c r="S2433" s="5" t="str">
        <f>IFERROR(__xludf.DUMMYFUNCTION("""COMPUTED_VALUE"""),"Fightworld")</f>
        <v>Fightworld</v>
      </c>
      <c r="U2433" s="5" t="str">
        <f>IFERROR(__xludf.DUMMYFUNCTION("""COMPUTED_VALUE"""),"Jesse Handsher, Olivier Roland")</f>
        <v>Jesse Handsher, Olivier Roland</v>
      </c>
      <c r="V2433" s="5" t="s">
        <v>7009</v>
      </c>
      <c r="W2433" s="5" t="str">
        <f t="shared" si="3"/>
        <v>Li Weiran</v>
      </c>
      <c r="X2433" s="5">
        <f t="shared" si="4"/>
        <v>1</v>
      </c>
      <c r="Y2433" s="5" t="str">
        <f>IFERROR(__xludf.DUMMYFUNCTION("REGEXEXTRACT(J2433, ""^\d+"")"),"83")</f>
        <v>83</v>
      </c>
      <c r="Z2433" s="5" t="str">
        <f>IFERROR(__xludf.DUMMYFUNCTION("REGEXEXTRACT(J2433, ""[A-Za-z ]+$"")")," min")</f>
        <v> min</v>
      </c>
      <c r="AA2433" s="5" t="str">
        <f>IFERROR(__xludf.DUMMYFUNCTION("IF(REGEXMATCH(Z2433, ""Season""), ""TV Show"", ""Movie"")"),"Movie")</f>
        <v>Movie</v>
      </c>
    </row>
    <row r="2434">
      <c r="A2434" s="1" t="s">
        <v>13751</v>
      </c>
      <c r="B2434" s="1" t="s">
        <v>37</v>
      </c>
      <c r="C2434" s="1" t="s">
        <v>13752</v>
      </c>
      <c r="G2434" s="1" t="s">
        <v>13753</v>
      </c>
      <c r="H2434" s="1">
        <v>2019.0</v>
      </c>
      <c r="I2434" s="1" t="s">
        <v>97</v>
      </c>
      <c r="J2434" s="1" t="s">
        <v>51</v>
      </c>
      <c r="K2434" s="1" t="s">
        <v>440</v>
      </c>
      <c r="L2434" s="1" t="s">
        <v>13754</v>
      </c>
      <c r="M2434" s="2" t="s">
        <v>12</v>
      </c>
      <c r="N2434" s="4">
        <f t="shared" si="1"/>
        <v>43984</v>
      </c>
      <c r="O2434" s="5" t="str">
        <f>IFERROR(__xludf.DUMMYFUNCTION("IF(REGEXMATCH(TRIM(I2434), ""^\d+\s*min""), ""Unclassified"", IF(I2434 = """", ""NR"", I2434))"),"TV-14")</f>
        <v>TV-14</v>
      </c>
      <c r="R2434" s="5" t="str">
        <f t="shared" si="2"/>
        <v>Alone</v>
      </c>
      <c r="S2434" s="5" t="str">
        <f>IFERROR(__xludf.DUMMYFUNCTION("""COMPUTED_VALUE"""),"Figures Of Speech")</f>
        <v>Figures Of Speech</v>
      </c>
      <c r="U2434" s="5" t="str">
        <f>IFERROR(__xludf.DUMMYFUNCTION("""COMPUTED_VALUE"""),"Pablo Giorgelli")</f>
        <v>Pablo Giorgelli</v>
      </c>
      <c r="V2434" s="5" t="s">
        <v>7424</v>
      </c>
      <c r="W2434" s="5" t="str">
        <f t="shared" si="3"/>
        <v>Liam Lynch</v>
      </c>
      <c r="X2434" s="5">
        <f t="shared" si="4"/>
        <v>2</v>
      </c>
      <c r="Y2434" s="5" t="str">
        <f>IFERROR(__xludf.DUMMYFUNCTION("REGEXEXTRACT(J2434, ""^\d+"")"),"1")</f>
        <v>1</v>
      </c>
      <c r="Z2434" s="5" t="str">
        <f>IFERROR(__xludf.DUMMYFUNCTION("REGEXEXTRACT(J2434, ""[A-Za-z ]+$"")")," Season")</f>
        <v> Season</v>
      </c>
      <c r="AA2434" s="5" t="str">
        <f>IFERROR(__xludf.DUMMYFUNCTION("IF(REGEXMATCH(Z2434, ""Season""), ""TV Show"", ""Movie"")"),"TV Show")</f>
        <v>TV Show</v>
      </c>
    </row>
    <row r="2435">
      <c r="A2435" s="1" t="s">
        <v>13755</v>
      </c>
      <c r="B2435" s="1" t="s">
        <v>27</v>
      </c>
      <c r="C2435" s="1" t="s">
        <v>13756</v>
      </c>
      <c r="D2435" s="1" t="s">
        <v>13757</v>
      </c>
      <c r="E2435" s="1" t="s">
        <v>13758</v>
      </c>
      <c r="F2435" s="1" t="s">
        <v>3309</v>
      </c>
      <c r="G2435" s="1" t="s">
        <v>13753</v>
      </c>
      <c r="H2435" s="1">
        <v>2008.0</v>
      </c>
      <c r="I2435" s="1" t="s">
        <v>97</v>
      </c>
      <c r="J2435" s="1" t="s">
        <v>256</v>
      </c>
      <c r="K2435" s="1" t="s">
        <v>199</v>
      </c>
      <c r="L2435" s="1" t="s">
        <v>13759</v>
      </c>
      <c r="M2435" s="2" t="s">
        <v>12</v>
      </c>
      <c r="N2435" s="4">
        <f t="shared" si="1"/>
        <v>43984</v>
      </c>
      <c r="O2435" s="5" t="str">
        <f>IFERROR(__xludf.DUMMYFUNCTION("IF(REGEXMATCH(TRIM(I2435), ""^\d+\s*min""), ""Unclassified"", IF(I2435 = """", ""NR"", I2435))"),"TV-14")</f>
        <v>TV-14</v>
      </c>
      <c r="R2435" s="5" t="str">
        <f t="shared" si="2"/>
        <v>Andaleeb El Dokki</v>
      </c>
      <c r="S2435" s="5" t="str">
        <f>IFERROR(__xludf.DUMMYFUNCTION("""COMPUTED_VALUE"""),"Filinta")</f>
        <v>Filinta</v>
      </c>
      <c r="U2435" s="5" t="str">
        <f>IFERROR(__xludf.DUMMYFUNCTION("""COMPUTED_VALUE"""),"Ted Emery")</f>
        <v>Ted Emery</v>
      </c>
      <c r="V2435" s="5" t="s">
        <v>7043</v>
      </c>
      <c r="W2435" s="5" t="str">
        <f t="shared" si="3"/>
        <v>Liam O'Donnell</v>
      </c>
      <c r="X2435" s="5">
        <f t="shared" si="4"/>
        <v>2</v>
      </c>
      <c r="Y2435" s="5" t="str">
        <f>IFERROR(__xludf.DUMMYFUNCTION("REGEXEXTRACT(J2435, ""^\d+"")"),"106")</f>
        <v>106</v>
      </c>
      <c r="Z2435" s="5" t="str">
        <f>IFERROR(__xludf.DUMMYFUNCTION("REGEXEXTRACT(J2435, ""[A-Za-z ]+$"")")," min")</f>
        <v> min</v>
      </c>
      <c r="AA2435" s="5" t="str">
        <f>IFERROR(__xludf.DUMMYFUNCTION("IF(REGEXMATCH(Z2435, ""Season""), ""TV Show"", ""Movie"")"),"Movie")</f>
        <v>Movie</v>
      </c>
    </row>
    <row r="2436">
      <c r="A2436" s="1" t="s">
        <v>13760</v>
      </c>
      <c r="B2436" s="1" t="s">
        <v>27</v>
      </c>
      <c r="C2436" s="1" t="s">
        <v>13761</v>
      </c>
      <c r="D2436" s="1" t="s">
        <v>9614</v>
      </c>
      <c r="E2436" s="1" t="s">
        <v>13762</v>
      </c>
      <c r="F2436" s="1" t="s">
        <v>3309</v>
      </c>
      <c r="G2436" s="1" t="s">
        <v>13753</v>
      </c>
      <c r="H2436" s="1">
        <v>2006.0</v>
      </c>
      <c r="I2436" s="1" t="s">
        <v>97</v>
      </c>
      <c r="J2436" s="1" t="s">
        <v>349</v>
      </c>
      <c r="K2436" s="1" t="s">
        <v>583</v>
      </c>
      <c r="L2436" s="1" t="s">
        <v>13763</v>
      </c>
      <c r="M2436" s="2" t="s">
        <v>12</v>
      </c>
      <c r="N2436" s="4">
        <f t="shared" si="1"/>
        <v>43984</v>
      </c>
      <c r="O2436" s="5" t="str">
        <f>IFERROR(__xludf.DUMMYFUNCTION("IF(REGEXMATCH(TRIM(I2436), ""^\d+\s*min""), ""Unclassified"", IF(I2436 = """", ""NR"", I2436))"),"TV-14")</f>
        <v>TV-14</v>
      </c>
      <c r="R2436" s="5" t="str">
        <f t="shared" si="2"/>
        <v>Let'S Dance</v>
      </c>
      <c r="S2436" s="5" t="str">
        <f>IFERROR(__xludf.DUMMYFUNCTION("""COMPUTED_VALUE"""),"Filmworker")</f>
        <v>Filmworker</v>
      </c>
      <c r="U2436" s="5" t="str">
        <f>IFERROR(__xludf.DUMMYFUNCTION("""COMPUTED_VALUE"""),"Tony Datis")</f>
        <v>Tony Datis</v>
      </c>
      <c r="V2436" s="5" t="s">
        <v>13764</v>
      </c>
      <c r="W2436" s="5" t="str">
        <f t="shared" si="3"/>
        <v>Liao Shih-Han</v>
      </c>
      <c r="X2436" s="5">
        <f t="shared" si="4"/>
        <v>1</v>
      </c>
      <c r="Y2436" s="5" t="str">
        <f>IFERROR(__xludf.DUMMYFUNCTION("REGEXEXTRACT(J2436, ""^\d+"")"),"116")</f>
        <v>116</v>
      </c>
      <c r="Z2436" s="5" t="str">
        <f>IFERROR(__xludf.DUMMYFUNCTION("REGEXEXTRACT(J2436, ""[A-Za-z ]+$"")")," min")</f>
        <v> min</v>
      </c>
      <c r="AA2436" s="5" t="str">
        <f>IFERROR(__xludf.DUMMYFUNCTION("IF(REGEXMATCH(Z2436, ""Season""), ""TV Show"", ""Movie"")"),"Movie")</f>
        <v>Movie</v>
      </c>
    </row>
    <row r="2437">
      <c r="A2437" s="1" t="s">
        <v>13765</v>
      </c>
      <c r="B2437" s="1" t="s">
        <v>27</v>
      </c>
      <c r="C2437" s="1" t="s">
        <v>13766</v>
      </c>
      <c r="D2437" s="1" t="s">
        <v>13757</v>
      </c>
      <c r="E2437" s="1" t="s">
        <v>13767</v>
      </c>
      <c r="F2437" s="1" t="s">
        <v>3309</v>
      </c>
      <c r="G2437" s="1" t="s">
        <v>13753</v>
      </c>
      <c r="H2437" s="1">
        <v>2006.0</v>
      </c>
      <c r="I2437" s="1" t="s">
        <v>97</v>
      </c>
      <c r="J2437" s="1" t="s">
        <v>1065</v>
      </c>
      <c r="K2437" s="1" t="s">
        <v>199</v>
      </c>
      <c r="L2437" s="1" t="s">
        <v>13768</v>
      </c>
      <c r="M2437" s="2" t="s">
        <v>12</v>
      </c>
      <c r="N2437" s="4">
        <f t="shared" si="1"/>
        <v>43984</v>
      </c>
      <c r="O2437" s="5" t="str">
        <f>IFERROR(__xludf.DUMMYFUNCTION("IF(REGEXMATCH(TRIM(I2437), ""^\d+\s*min""), ""Unclassified"", IF(I2437 = """", ""NR"", I2437))"),"TV-14")</f>
        <v>TV-14</v>
      </c>
      <c r="R2437" s="5" t="str">
        <f t="shared" si="2"/>
        <v>Life'S Speed Bump</v>
      </c>
      <c r="S2437" s="5" t="str">
        <f>IFERROR(__xludf.DUMMYFUNCTION("""COMPUTED_VALUE"""),"Filosofi Kopi The Movie")</f>
        <v>Filosofi Kopi The Movie</v>
      </c>
      <c r="U2437" s="5" t="str">
        <f>IFERROR(__xludf.DUMMYFUNCTION("""COMPUTED_VALUE"""),"Raúl Campos, Jan Suter")</f>
        <v>Raúl Campos, Jan Suter</v>
      </c>
      <c r="V2437" s="5" t="s">
        <v>754</v>
      </c>
      <c r="W2437" s="5" t="str">
        <f t="shared" si="3"/>
        <v>Lijo Jose Pellissery</v>
      </c>
      <c r="X2437" s="5">
        <f t="shared" si="4"/>
        <v>1</v>
      </c>
      <c r="Y2437" s="5" t="str">
        <f>IFERROR(__xludf.DUMMYFUNCTION("REGEXEXTRACT(J2437, ""^\d+"")"),"109")</f>
        <v>109</v>
      </c>
      <c r="Z2437" s="5" t="str">
        <f>IFERROR(__xludf.DUMMYFUNCTION("REGEXEXTRACT(J2437, ""[A-Za-z ]+$"")")," min")</f>
        <v> min</v>
      </c>
      <c r="AA2437" s="5" t="str">
        <f>IFERROR(__xludf.DUMMYFUNCTION("IF(REGEXMATCH(Z2437, ""Season""), ""TV Show"", ""Movie"")"),"Movie")</f>
        <v>Movie</v>
      </c>
    </row>
    <row r="2438">
      <c r="A2438" s="1" t="s">
        <v>13769</v>
      </c>
      <c r="B2438" s="1" t="s">
        <v>27</v>
      </c>
      <c r="C2438" s="1" t="s">
        <v>13770</v>
      </c>
      <c r="D2438" s="1" t="s">
        <v>612</v>
      </c>
      <c r="E2438" s="1" t="s">
        <v>13771</v>
      </c>
      <c r="G2438" s="1" t="s">
        <v>13753</v>
      </c>
      <c r="H2438" s="1">
        <v>2009.0</v>
      </c>
      <c r="I2438" s="1" t="s">
        <v>97</v>
      </c>
      <c r="J2438" s="1" t="s">
        <v>247</v>
      </c>
      <c r="K2438" s="1" t="s">
        <v>215</v>
      </c>
      <c r="L2438" s="1" t="s">
        <v>13772</v>
      </c>
      <c r="M2438" s="2" t="s">
        <v>12</v>
      </c>
      <c r="N2438" s="4">
        <f t="shared" si="1"/>
        <v>43984</v>
      </c>
      <c r="O2438" s="5" t="str">
        <f>IFERROR(__xludf.DUMMYFUNCTION("IF(REGEXMATCH(TRIM(I2438), ""^\d+\s*min""), ""Unclassified"", IF(I2438 = """", ""NR"", I2438))"),"TV-14")</f>
        <v>TV-14</v>
      </c>
      <c r="R2438" s="5" t="str">
        <f t="shared" si="2"/>
        <v>Mr. Romantic</v>
      </c>
      <c r="S2438" s="5" t="str">
        <f>IFERROR(__xludf.DUMMYFUNCTION("""COMPUTED_VALUE"""),"Final Account")</f>
        <v>Final Account</v>
      </c>
      <c r="U2438" s="5" t="str">
        <f>IFERROR(__xludf.DUMMYFUNCTION("""COMPUTED_VALUE"""),"Ben Young")</f>
        <v>Ben Young</v>
      </c>
      <c r="V2438" s="5" t="s">
        <v>13773</v>
      </c>
      <c r="W2438" s="5" t="str">
        <f t="shared" si="3"/>
        <v>Lilibet Foster</v>
      </c>
      <c r="X2438" s="5">
        <f t="shared" si="4"/>
        <v>1</v>
      </c>
      <c r="Y2438" s="5" t="str">
        <f>IFERROR(__xludf.DUMMYFUNCTION("REGEXEXTRACT(J2438, ""^\d+"")"),"97")</f>
        <v>97</v>
      </c>
      <c r="Z2438" s="5" t="str">
        <f>IFERROR(__xludf.DUMMYFUNCTION("REGEXEXTRACT(J2438, ""[A-Za-z ]+$"")")," min")</f>
        <v> min</v>
      </c>
      <c r="AA2438" s="5" t="str">
        <f>IFERROR(__xludf.DUMMYFUNCTION("IF(REGEXMATCH(Z2438, ""Season""), ""TV Show"", ""Movie"")"),"Movie")</f>
        <v>Movie</v>
      </c>
    </row>
    <row r="2439">
      <c r="A2439" s="1" t="s">
        <v>13774</v>
      </c>
      <c r="B2439" s="1" t="s">
        <v>27</v>
      </c>
      <c r="C2439" s="1" t="s">
        <v>13775</v>
      </c>
      <c r="D2439" s="1" t="s">
        <v>13776</v>
      </c>
      <c r="E2439" s="1" t="s">
        <v>13777</v>
      </c>
      <c r="F2439" s="1" t="s">
        <v>3309</v>
      </c>
      <c r="G2439" s="1" t="s">
        <v>13753</v>
      </c>
      <c r="H2439" s="1">
        <v>2012.0</v>
      </c>
      <c r="I2439" s="1" t="s">
        <v>42</v>
      </c>
      <c r="J2439" s="1" t="s">
        <v>433</v>
      </c>
      <c r="K2439" s="1" t="s">
        <v>583</v>
      </c>
      <c r="L2439" s="1" t="s">
        <v>13778</v>
      </c>
      <c r="M2439" s="2" t="s">
        <v>12</v>
      </c>
      <c r="N2439" s="4">
        <f t="shared" si="1"/>
        <v>43984</v>
      </c>
      <c r="O2439" s="5" t="str">
        <f>IFERROR(__xludf.DUMMYFUNCTION("IF(REGEXMATCH(TRIM(I2439), ""^\d+\s*min""), ""Unclassified"", IF(I2439 = """", ""NR"", I2439))"),"TV-MA")</f>
        <v>TV-MA</v>
      </c>
      <c r="R2439" s="5" t="str">
        <f t="shared" si="2"/>
        <v>My Horrible Grandma</v>
      </c>
      <c r="S2439" s="5" t="str">
        <f>IFERROR(__xludf.DUMMYFUNCTION("""COMPUTED_VALUE"""),"Final Destination")</f>
        <v>Final Destination</v>
      </c>
      <c r="U2439" s="5" t="str">
        <f>IFERROR(__xludf.DUMMYFUNCTION("""COMPUTED_VALUE"""),"Kirby Dick")</f>
        <v>Kirby Dick</v>
      </c>
      <c r="V2439" s="5" t="s">
        <v>13779</v>
      </c>
      <c r="W2439" s="5" t="str">
        <f t="shared" si="3"/>
        <v>Lilly Wachowski, Lana Wachowski</v>
      </c>
      <c r="X2439" s="5">
        <f t="shared" si="4"/>
        <v>3</v>
      </c>
      <c r="Y2439" s="5" t="str">
        <f>IFERROR(__xludf.DUMMYFUNCTION("REGEXEXTRACT(J2439, ""^\d+"")"),"100")</f>
        <v>100</v>
      </c>
      <c r="Z2439" s="5" t="str">
        <f>IFERROR(__xludf.DUMMYFUNCTION("REGEXEXTRACT(J2439, ""[A-Za-z ]+$"")")," min")</f>
        <v> min</v>
      </c>
      <c r="AA2439" s="5" t="str">
        <f>IFERROR(__xludf.DUMMYFUNCTION("IF(REGEXMATCH(Z2439, ""Season""), ""TV Show"", ""Movie"")"),"Movie")</f>
        <v>Movie</v>
      </c>
    </row>
    <row r="2440">
      <c r="A2440" s="1" t="s">
        <v>13780</v>
      </c>
      <c r="B2440" s="1" t="s">
        <v>27</v>
      </c>
      <c r="C2440" s="1" t="s">
        <v>13781</v>
      </c>
      <c r="D2440" s="1" t="s">
        <v>12066</v>
      </c>
      <c r="E2440" s="1" t="s">
        <v>13782</v>
      </c>
      <c r="F2440" s="1" t="s">
        <v>3309</v>
      </c>
      <c r="G2440" s="1" t="s">
        <v>13753</v>
      </c>
      <c r="H2440" s="1">
        <v>2008.0</v>
      </c>
      <c r="I2440" s="1" t="s">
        <v>97</v>
      </c>
      <c r="J2440" s="1" t="s">
        <v>349</v>
      </c>
      <c r="K2440" s="1" t="s">
        <v>128</v>
      </c>
      <c r="L2440" s="1" t="s">
        <v>13783</v>
      </c>
      <c r="M2440" s="2" t="s">
        <v>12</v>
      </c>
      <c r="N2440" s="4">
        <f t="shared" si="1"/>
        <v>43984</v>
      </c>
      <c r="O2440" s="5" t="str">
        <f>IFERROR(__xludf.DUMMYFUNCTION("IF(REGEXMATCH(TRIM(I2440), ""^\d+\s*min""), ""Unclassified"", IF(I2440 = """", ""NR"", I2440))"),"TV-14")</f>
        <v>TV-14</v>
      </c>
      <c r="R2440" s="5" t="str">
        <f t="shared" si="2"/>
        <v>Sorry To Disturb</v>
      </c>
      <c r="S2440" s="5" t="str">
        <f>IFERROR(__xludf.DUMMYFUNCTION("""COMPUTED_VALUE"""),"Final Destination 2")</f>
        <v>Final Destination 2</v>
      </c>
      <c r="U2440" s="5" t="str">
        <f>IFERROR(__xludf.DUMMYFUNCTION("""COMPUTED_VALUE"""),"Chris Jenkins")</f>
        <v>Chris Jenkins</v>
      </c>
      <c r="V2440" s="5" t="s">
        <v>13784</v>
      </c>
      <c r="W2440" s="5" t="str">
        <f t="shared" si="3"/>
        <v>Lilly Wachowski, Lana Wachowski, Tom Tykwer</v>
      </c>
      <c r="X2440" s="5">
        <f t="shared" si="4"/>
        <v>1</v>
      </c>
      <c r="Y2440" s="5" t="str">
        <f>IFERROR(__xludf.DUMMYFUNCTION("REGEXEXTRACT(J2440, ""^\d+"")"),"116")</f>
        <v>116</v>
      </c>
      <c r="Z2440" s="5" t="str">
        <f>IFERROR(__xludf.DUMMYFUNCTION("REGEXEXTRACT(J2440, ""[A-Za-z ]+$"")")," min")</f>
        <v> min</v>
      </c>
      <c r="AA2440" s="5" t="str">
        <f>IFERROR(__xludf.DUMMYFUNCTION("IF(REGEXMATCH(Z2440, ""Season""), ""TV Show"", ""Movie"")"),"Movie")</f>
        <v>Movie</v>
      </c>
    </row>
    <row r="2441">
      <c r="A2441" s="1" t="s">
        <v>13785</v>
      </c>
      <c r="B2441" s="1" t="s">
        <v>27</v>
      </c>
      <c r="C2441" s="1" t="s">
        <v>13786</v>
      </c>
      <c r="D2441" s="1" t="s">
        <v>13787</v>
      </c>
      <c r="E2441" s="1" t="s">
        <v>13788</v>
      </c>
      <c r="F2441" s="1" t="s">
        <v>3309</v>
      </c>
      <c r="G2441" s="1" t="s">
        <v>13753</v>
      </c>
      <c r="H2441" s="1">
        <v>2004.0</v>
      </c>
      <c r="I2441" s="1" t="s">
        <v>97</v>
      </c>
      <c r="J2441" s="1" t="s">
        <v>264</v>
      </c>
      <c r="K2441" s="1" t="s">
        <v>1328</v>
      </c>
      <c r="L2441" s="1" t="s">
        <v>13789</v>
      </c>
      <c r="M2441" s="2" t="s">
        <v>12</v>
      </c>
      <c r="N2441" s="4">
        <f t="shared" si="1"/>
        <v>43984</v>
      </c>
      <c r="O2441" s="5" t="str">
        <f>IFERROR(__xludf.DUMMYFUNCTION("IF(REGEXMATCH(TRIM(I2441), ""^\d+\s*min""), ""Unclassified"", IF(I2441 = """", ""NR"", I2441))"),"TV-14")</f>
        <v>TV-14</v>
      </c>
      <c r="R2441" s="5" t="str">
        <f t="shared" si="2"/>
        <v>The Student Cop</v>
      </c>
      <c r="S2441" s="5" t="str">
        <f>IFERROR(__xludf.DUMMYFUNCTION("""COMPUTED_VALUE"""),"Final Destination 3")</f>
        <v>Final Destination 3</v>
      </c>
      <c r="U2441" s="5" t="str">
        <f>IFERROR(__xludf.DUMMYFUNCTION("""COMPUTED_VALUE"""),"Diego Cohen")</f>
        <v>Diego Cohen</v>
      </c>
      <c r="V2441" s="5" t="s">
        <v>13790</v>
      </c>
      <c r="W2441" s="5" t="str">
        <f t="shared" si="3"/>
        <v>Limbert Fabian, Brandon Oldenburg</v>
      </c>
      <c r="X2441" s="5">
        <f t="shared" si="4"/>
        <v>1</v>
      </c>
      <c r="Y2441" s="5" t="str">
        <f>IFERROR(__xludf.DUMMYFUNCTION("REGEXEXTRACT(J2441, ""^\d+"")"),"111")</f>
        <v>111</v>
      </c>
      <c r="Z2441" s="5" t="str">
        <f>IFERROR(__xludf.DUMMYFUNCTION("REGEXEXTRACT(J2441, ""[A-Za-z ]+$"")")," min")</f>
        <v> min</v>
      </c>
      <c r="AA2441" s="5" t="str">
        <f>IFERROR(__xludf.DUMMYFUNCTION("IF(REGEXMATCH(Z2441, ""Season""), ""TV Show"", ""Movie"")"),"Movie")</f>
        <v>Movie</v>
      </c>
    </row>
    <row r="2442">
      <c r="A2442" s="1" t="s">
        <v>13791</v>
      </c>
      <c r="B2442" s="1" t="s">
        <v>27</v>
      </c>
      <c r="C2442" s="1" t="s">
        <v>13792</v>
      </c>
      <c r="E2442" s="1" t="s">
        <v>11915</v>
      </c>
      <c r="F2442" s="1" t="s">
        <v>1106</v>
      </c>
      <c r="G2442" s="1" t="s">
        <v>13753</v>
      </c>
      <c r="H2442" s="1">
        <v>2020.0</v>
      </c>
      <c r="I2442" s="1" t="s">
        <v>206</v>
      </c>
      <c r="J2442" s="1" t="s">
        <v>7058</v>
      </c>
      <c r="K2442" s="1" t="s">
        <v>80</v>
      </c>
      <c r="L2442" s="1" t="s">
        <v>13793</v>
      </c>
      <c r="M2442" s="2" t="s">
        <v>12</v>
      </c>
      <c r="N2442" s="4">
        <f t="shared" si="1"/>
        <v>43984</v>
      </c>
      <c r="O2442" s="5" t="str">
        <f>IFERROR(__xludf.DUMMYFUNCTION("IF(REGEXMATCH(TRIM(I2442), ""^\d+\s*min""), ""Unclassified"", IF(I2442 = """", ""NR"", I2442))"),"TV-Y")</f>
        <v>TV-Y</v>
      </c>
      <c r="R2442" s="5" t="str">
        <f t="shared" si="2"/>
        <v>True: Rainbow Rescue</v>
      </c>
      <c r="S2442" s="5" t="str">
        <f>IFERROR(__xludf.DUMMYFUNCTION("""COMPUTED_VALUE"""),"Final Fantasy Xiv Dad Of Light")</f>
        <v>Final Fantasy Xiv Dad Of Light</v>
      </c>
      <c r="U2442" s="5" t="str">
        <f>IFERROR(__xludf.DUMMYFUNCTION("""COMPUTED_VALUE"""),"Lee Eung-Bok")</f>
        <v>Lee Eung-Bok</v>
      </c>
      <c r="V2442" s="5" t="s">
        <v>8943</v>
      </c>
      <c r="W2442" s="5" t="str">
        <f t="shared" si="3"/>
        <v>Lin Oeding</v>
      </c>
      <c r="X2442" s="5">
        <f t="shared" si="4"/>
        <v>1</v>
      </c>
      <c r="Y2442" s="5" t="str">
        <f>IFERROR(__xludf.DUMMYFUNCTION("REGEXEXTRACT(J2442, ""^\d+"")"),"24")</f>
        <v>24</v>
      </c>
      <c r="Z2442" s="5" t="str">
        <f>IFERROR(__xludf.DUMMYFUNCTION("REGEXEXTRACT(J2442, ""[A-Za-z ]+$"")")," min")</f>
        <v> min</v>
      </c>
      <c r="AA2442" s="5" t="str">
        <f>IFERROR(__xludf.DUMMYFUNCTION("IF(REGEXMATCH(Z2442, ""Season""), ""TV Show"", ""Movie"")"),"Movie")</f>
        <v>Movie</v>
      </c>
    </row>
    <row r="2443">
      <c r="A2443" s="1" t="s">
        <v>13794</v>
      </c>
      <c r="B2443" s="1" t="s">
        <v>27</v>
      </c>
      <c r="C2443" s="1" t="s">
        <v>13795</v>
      </c>
      <c r="D2443" s="1" t="s">
        <v>9782</v>
      </c>
      <c r="E2443" s="1" t="s">
        <v>13796</v>
      </c>
      <c r="F2443" s="1" t="s">
        <v>13797</v>
      </c>
      <c r="G2443" s="1" t="s">
        <v>13753</v>
      </c>
      <c r="H2443" s="1">
        <v>2006.0</v>
      </c>
      <c r="I2443" s="1" t="s">
        <v>136</v>
      </c>
      <c r="J2443" s="1" t="s">
        <v>465</v>
      </c>
      <c r="K2443" s="1" t="s">
        <v>583</v>
      </c>
      <c r="L2443" s="1" t="s">
        <v>13798</v>
      </c>
      <c r="M2443" s="2" t="s">
        <v>12</v>
      </c>
      <c r="N2443" s="4">
        <f t="shared" si="1"/>
        <v>43984</v>
      </c>
      <c r="O2443" s="5" t="str">
        <f>IFERROR(__xludf.DUMMYFUNCTION("IF(REGEXMATCH(TRIM(I2443), ""^\d+\s*min""), ""Unclassified"", IF(I2443 = """", ""NR"", I2443))"),"TV-PG")</f>
        <v>TV-PG</v>
      </c>
      <c r="R2443" s="5" t="str">
        <f t="shared" si="2"/>
        <v>What'S Up?</v>
      </c>
      <c r="S2443" s="5" t="str">
        <f>IFERROR(__xludf.DUMMYFUNCTION("""COMPUTED_VALUE"""),"Finally Found Someone")</f>
        <v>Finally Found Someone</v>
      </c>
      <c r="U2443" s="5" t="str">
        <f>IFERROR(__xludf.DUMMYFUNCTION("""COMPUTED_VALUE"""),"Jody Hill")</f>
        <v>Jody Hill</v>
      </c>
      <c r="V2443" s="5" t="s">
        <v>6633</v>
      </c>
      <c r="W2443" s="5" t="str">
        <f t="shared" si="3"/>
        <v>Lina Al Abed</v>
      </c>
      <c r="X2443" s="5">
        <f t="shared" si="4"/>
        <v>1</v>
      </c>
      <c r="Y2443" s="5" t="str">
        <f>IFERROR(__xludf.DUMMYFUNCTION("REGEXEXTRACT(J2443, ""^\d+"")"),"95")</f>
        <v>95</v>
      </c>
      <c r="Z2443" s="5" t="str">
        <f>IFERROR(__xludf.DUMMYFUNCTION("REGEXEXTRACT(J2443, ""[A-Za-z ]+$"")")," min")</f>
        <v> min</v>
      </c>
      <c r="AA2443" s="5" t="str">
        <f>IFERROR(__xludf.DUMMYFUNCTION("IF(REGEXMATCH(Z2443, ""Season""), ""TV Show"", ""Movie"")"),"Movie")</f>
        <v>Movie</v>
      </c>
    </row>
    <row r="2444">
      <c r="A2444" s="1" t="s">
        <v>13799</v>
      </c>
      <c r="B2444" s="1" t="s">
        <v>27</v>
      </c>
      <c r="C2444" s="1" t="s">
        <v>13800</v>
      </c>
      <c r="D2444" s="1" t="s">
        <v>13801</v>
      </c>
      <c r="E2444" s="1" t="s">
        <v>13802</v>
      </c>
      <c r="F2444" s="1" t="s">
        <v>3309</v>
      </c>
      <c r="G2444" s="1" t="s">
        <v>13753</v>
      </c>
      <c r="H2444" s="1">
        <v>2011.0</v>
      </c>
      <c r="I2444" s="1" t="s">
        <v>97</v>
      </c>
      <c r="J2444" s="1" t="s">
        <v>1369</v>
      </c>
      <c r="K2444" s="1" t="s">
        <v>215</v>
      </c>
      <c r="L2444" s="1" t="s">
        <v>13803</v>
      </c>
      <c r="M2444" s="2" t="s">
        <v>12</v>
      </c>
      <c r="N2444" s="4">
        <f t="shared" si="1"/>
        <v>43984</v>
      </c>
      <c r="O2444" s="5" t="str">
        <f>IFERROR(__xludf.DUMMYFUNCTION("IF(REGEXMATCH(TRIM(I2444), ""^\d+\s*min""), ""Unclassified"", IF(I2444 = """", ""NR"", I2444))"),"TV-14")</f>
        <v>TV-14</v>
      </c>
      <c r="R2444" s="5" t="str">
        <f t="shared" si="2"/>
        <v>X Large</v>
      </c>
      <c r="S2444" s="5" t="str">
        <f>IFERROR(__xludf.DUMMYFUNCTION("""COMPUTED_VALUE"""),"Find Yourself")</f>
        <v>Find Yourself</v>
      </c>
      <c r="U2444" s="5" t="str">
        <f>IFERROR(__xludf.DUMMYFUNCTION("""COMPUTED_VALUE"""),"Samu Fuentes")</f>
        <v>Samu Fuentes</v>
      </c>
      <c r="V2444" s="5" t="s">
        <v>13804</v>
      </c>
      <c r="W2444" s="5" t="str">
        <f t="shared" si="3"/>
        <v>Linas Phillips</v>
      </c>
      <c r="X2444" s="5">
        <f t="shared" si="4"/>
        <v>1</v>
      </c>
      <c r="Y2444" s="5" t="str">
        <f>IFERROR(__xludf.DUMMYFUNCTION("REGEXEXTRACT(J2444, ""^\d+"")"),"135")</f>
        <v>135</v>
      </c>
      <c r="Z2444" s="5" t="str">
        <f>IFERROR(__xludf.DUMMYFUNCTION("REGEXEXTRACT(J2444, ""[A-Za-z ]+$"")")," min")</f>
        <v> min</v>
      </c>
      <c r="AA2444" s="5" t="str">
        <f>IFERROR(__xludf.DUMMYFUNCTION("IF(REGEXMATCH(Z2444, ""Season""), ""TV Show"", ""Movie"")"),"Movie")</f>
        <v>Movie</v>
      </c>
    </row>
    <row r="2445">
      <c r="A2445" s="1" t="s">
        <v>13805</v>
      </c>
      <c r="B2445" s="1" t="s">
        <v>27</v>
      </c>
      <c r="C2445" s="1">
        <v>122.0</v>
      </c>
      <c r="D2445" s="1" t="s">
        <v>13806</v>
      </c>
      <c r="E2445" s="1" t="s">
        <v>13807</v>
      </c>
      <c r="F2445" s="1" t="s">
        <v>3309</v>
      </c>
      <c r="G2445" s="1" t="s">
        <v>13808</v>
      </c>
      <c r="H2445" s="1">
        <v>2019.0</v>
      </c>
      <c r="I2445" s="1" t="s">
        <v>42</v>
      </c>
      <c r="J2445" s="1" t="s">
        <v>465</v>
      </c>
      <c r="K2445" s="1" t="s">
        <v>1441</v>
      </c>
      <c r="L2445" s="1" t="s">
        <v>13809</v>
      </c>
      <c r="M2445" s="2" t="s">
        <v>12</v>
      </c>
      <c r="N2445" s="4">
        <f t="shared" si="1"/>
        <v>43983</v>
      </c>
      <c r="O2445" s="5" t="str">
        <f>IFERROR(__xludf.DUMMYFUNCTION("IF(REGEXMATCH(TRIM(I2445), ""^\d+\s*min""), ""Unclassified"", IF(I2445 = """", ""NR"", I2445))"),"TV-MA")</f>
        <v>TV-MA</v>
      </c>
      <c r="R2445" s="5" t="str">
        <f t="shared" si="2"/>
        <v>122</v>
      </c>
      <c r="S2445" s="5" t="str">
        <f>IFERROR(__xludf.DUMMYFUNCTION("""COMPUTED_VALUE"""),"Finding ‘Ohana")</f>
        <v>Finding ‘Ohana</v>
      </c>
      <c r="U2445" s="5" t="str">
        <f>IFERROR(__xludf.DUMMYFUNCTION("""COMPUTED_VALUE"""),"Alexandre Espigares")</f>
        <v>Alexandre Espigares</v>
      </c>
      <c r="V2445" s="5" t="s">
        <v>13810</v>
      </c>
      <c r="W2445" s="5" t="str">
        <f t="shared" si="3"/>
        <v>Linda Korsten</v>
      </c>
      <c r="X2445" s="5">
        <f t="shared" si="4"/>
        <v>1</v>
      </c>
      <c r="Y2445" s="5" t="str">
        <f>IFERROR(__xludf.DUMMYFUNCTION("REGEXEXTRACT(J2445, ""^\d+"")"),"95")</f>
        <v>95</v>
      </c>
      <c r="Z2445" s="5" t="str">
        <f>IFERROR(__xludf.DUMMYFUNCTION("REGEXEXTRACT(J2445, ""[A-Za-z ]+$"")")," min")</f>
        <v> min</v>
      </c>
      <c r="AA2445" s="5" t="str">
        <f>IFERROR(__xludf.DUMMYFUNCTION("IF(REGEXMATCH(Z2445, ""Season""), ""TV Show"", ""Movie"")"),"Movie")</f>
        <v>Movie</v>
      </c>
    </row>
    <row r="2446">
      <c r="A2446" s="1" t="s">
        <v>13811</v>
      </c>
      <c r="B2446" s="1" t="s">
        <v>37</v>
      </c>
      <c r="C2446" s="1" t="s">
        <v>13812</v>
      </c>
      <c r="E2446" s="1" t="s">
        <v>13813</v>
      </c>
      <c r="F2446" s="1" t="s">
        <v>415</v>
      </c>
      <c r="G2446" s="1" t="s">
        <v>13808</v>
      </c>
      <c r="H2446" s="1">
        <v>1999.0</v>
      </c>
      <c r="I2446" s="1" t="s">
        <v>289</v>
      </c>
      <c r="J2446" s="1" t="s">
        <v>43</v>
      </c>
      <c r="K2446" s="1" t="s">
        <v>567</v>
      </c>
      <c r="L2446" s="1" t="s">
        <v>13814</v>
      </c>
      <c r="M2446" s="2" t="s">
        <v>12</v>
      </c>
      <c r="N2446" s="4">
        <f t="shared" si="1"/>
        <v>43983</v>
      </c>
      <c r="O2446" s="5" t="str">
        <f>IFERROR(__xludf.DUMMYFUNCTION("IF(REGEXMATCH(TRIM(I2446), ""^\d+\s*min""), ""Unclassified"", IF(I2446 = """", ""NR"", I2446))"),"TV-Y7")</f>
        <v>TV-Y7</v>
      </c>
      <c r="R2446" s="5" t="str">
        <f t="shared" si="2"/>
        <v>Cardcaptor Sakura</v>
      </c>
      <c r="S2446" s="5" t="str">
        <f>IFERROR(__xludf.DUMMYFUNCTION("""COMPUTED_VALUE"""),"Finding Agnes")</f>
        <v>Finding Agnes</v>
      </c>
      <c r="U2446" s="5" t="str">
        <f>IFERROR(__xludf.DUMMYFUNCTION("""COMPUTED_VALUE"""),"Scott L. Montoya")</f>
        <v>Scott L. Montoya</v>
      </c>
      <c r="V2446" s="5" t="s">
        <v>13815</v>
      </c>
      <c r="W2446" s="5" t="str">
        <f t="shared" si="3"/>
        <v>Linda Mendoza</v>
      </c>
      <c r="X2446" s="5">
        <f t="shared" si="4"/>
        <v>3</v>
      </c>
      <c r="Y2446" s="5" t="str">
        <f>IFERROR(__xludf.DUMMYFUNCTION("REGEXEXTRACT(J2446, ""^\d+"")"),"2")</f>
        <v>2</v>
      </c>
      <c r="Z2446" s="5" t="str">
        <f>IFERROR(__xludf.DUMMYFUNCTION("REGEXEXTRACT(J2446, ""[A-Za-z ]+$"")")," Seasons")</f>
        <v> Seasons</v>
      </c>
      <c r="AA2446" s="5" t="str">
        <f>IFERROR(__xludf.DUMMYFUNCTION("IF(REGEXMATCH(Z2446, ""Season""), ""TV Show"", ""Movie"")"),"TV Show")</f>
        <v>TV Show</v>
      </c>
    </row>
    <row r="2447">
      <c r="A2447" s="1" t="s">
        <v>13816</v>
      </c>
      <c r="B2447" s="1" t="s">
        <v>27</v>
      </c>
      <c r="C2447" s="1" t="s">
        <v>13817</v>
      </c>
      <c r="D2447" s="1" t="s">
        <v>13818</v>
      </c>
      <c r="E2447" s="1" t="s">
        <v>13819</v>
      </c>
      <c r="F2447" s="1" t="s">
        <v>63</v>
      </c>
      <c r="G2447" s="1" t="s">
        <v>13808</v>
      </c>
      <c r="H2447" s="1">
        <v>2020.0</v>
      </c>
      <c r="I2447" s="1" t="s">
        <v>97</v>
      </c>
      <c r="J2447" s="1" t="s">
        <v>665</v>
      </c>
      <c r="K2447" s="1" t="s">
        <v>836</v>
      </c>
      <c r="L2447" s="1" t="s">
        <v>13820</v>
      </c>
      <c r="M2447" s="2" t="s">
        <v>12</v>
      </c>
      <c r="N2447" s="4">
        <f t="shared" si="1"/>
        <v>43983</v>
      </c>
      <c r="O2447" s="5" t="str">
        <f>IFERROR(__xludf.DUMMYFUNCTION("IF(REGEXMATCH(TRIM(I2447), ""^\d+\s*min""), ""Unclassified"", IF(I2447 = """", ""NR"", I2447))"),"TV-14")</f>
        <v>TV-14</v>
      </c>
      <c r="R2447" s="5" t="str">
        <f t="shared" si="2"/>
        <v>Chippa</v>
      </c>
      <c r="S2447" s="5" t="str">
        <f>IFERROR(__xludf.DUMMYFUNCTION("""COMPUTED_VALUE"""),"Finding Hubby")</f>
        <v>Finding Hubby</v>
      </c>
      <c r="U2447" s="5" t="str">
        <f>IFERROR(__xludf.DUMMYFUNCTION("""COMPUTED_VALUE"""),"Sam Voutas")</f>
        <v>Sam Voutas</v>
      </c>
      <c r="V2447" s="5" t="s">
        <v>13821</v>
      </c>
      <c r="W2447" s="5" t="str">
        <f t="shared" si="3"/>
        <v>Linda Otto</v>
      </c>
      <c r="X2447" s="5">
        <f t="shared" si="4"/>
        <v>1</v>
      </c>
      <c r="Y2447" s="5" t="str">
        <f>IFERROR(__xludf.DUMMYFUNCTION("REGEXEXTRACT(J2447, ""^\d+"")"),"92")</f>
        <v>92</v>
      </c>
      <c r="Z2447" s="5" t="str">
        <f>IFERROR(__xludf.DUMMYFUNCTION("REGEXEXTRACT(J2447, ""[A-Za-z ]+$"")")," min")</f>
        <v> min</v>
      </c>
      <c r="AA2447" s="5" t="str">
        <f>IFERROR(__xludf.DUMMYFUNCTION("IF(REGEXMATCH(Z2447, ""Season""), ""TV Show"", ""Movie"")"),"Movie")</f>
        <v>Movie</v>
      </c>
    </row>
    <row r="2448">
      <c r="A2448" s="1" t="s">
        <v>13822</v>
      </c>
      <c r="B2448" s="1" t="s">
        <v>27</v>
      </c>
      <c r="C2448" s="1" t="s">
        <v>13823</v>
      </c>
      <c r="D2448" s="1" t="s">
        <v>13824</v>
      </c>
      <c r="E2448" s="1" t="s">
        <v>13825</v>
      </c>
      <c r="F2448" s="1" t="s">
        <v>13826</v>
      </c>
      <c r="G2448" s="1" t="s">
        <v>13808</v>
      </c>
      <c r="H2448" s="1">
        <v>2017.0</v>
      </c>
      <c r="I2448" s="1" t="s">
        <v>506</v>
      </c>
      <c r="J2448" s="1" t="s">
        <v>433</v>
      </c>
      <c r="K2448" s="1" t="s">
        <v>215</v>
      </c>
      <c r="L2448" s="1" t="s">
        <v>13827</v>
      </c>
      <c r="M2448" s="2" t="s">
        <v>12</v>
      </c>
      <c r="N2448" s="4">
        <f t="shared" si="1"/>
        <v>43983</v>
      </c>
      <c r="O2448" s="5" t="str">
        <f>IFERROR(__xludf.DUMMYFUNCTION("IF(REGEXMATCH(TRIM(I2448), ""^\d+\s*min""), ""Unclassified"", IF(I2448 = """", ""NR"", I2448))"),"TV-G")</f>
        <v>TV-G</v>
      </c>
      <c r="R2448" s="5" t="str">
        <f t="shared" si="2"/>
        <v>Cook Off</v>
      </c>
      <c r="S2448" s="5" t="str">
        <f>IFERROR(__xludf.DUMMYFUNCTION("""COMPUTED_VALUE"""),"Fire At Sea")</f>
        <v>Fire At Sea</v>
      </c>
      <c r="U2448" s="5" t="str">
        <f>IFERROR(__xludf.DUMMYFUNCTION("""COMPUTED_VALUE"""),"Raj Kaushal")</f>
        <v>Raj Kaushal</v>
      </c>
      <c r="V2448" s="5" t="s">
        <v>13828</v>
      </c>
      <c r="W2448" s="5" t="str">
        <f t="shared" si="3"/>
        <v>Linda Saffire, Adam Schlesinger</v>
      </c>
      <c r="X2448" s="5">
        <f t="shared" si="4"/>
        <v>1</v>
      </c>
      <c r="Y2448" s="5" t="str">
        <f>IFERROR(__xludf.DUMMYFUNCTION("REGEXEXTRACT(J2448, ""^\d+"")"),"100")</f>
        <v>100</v>
      </c>
      <c r="Z2448" s="5" t="str">
        <f>IFERROR(__xludf.DUMMYFUNCTION("REGEXEXTRACT(J2448, ""[A-Za-z ]+$"")")," min")</f>
        <v> min</v>
      </c>
      <c r="AA2448" s="5" t="str">
        <f>IFERROR(__xludf.DUMMYFUNCTION("IF(REGEXMATCH(Z2448, ""Season""), ""TV Show"", ""Movie"")"),"Movie")</f>
        <v>Movie</v>
      </c>
    </row>
    <row r="2449">
      <c r="A2449" s="1" t="s">
        <v>13829</v>
      </c>
      <c r="B2449" s="1" t="s">
        <v>37</v>
      </c>
      <c r="C2449" s="1" t="s">
        <v>13830</v>
      </c>
      <c r="E2449" s="1" t="s">
        <v>13831</v>
      </c>
      <c r="F2449" s="1" t="s">
        <v>749</v>
      </c>
      <c r="G2449" s="1" t="s">
        <v>13808</v>
      </c>
      <c r="H2449" s="1">
        <v>2016.0</v>
      </c>
      <c r="I2449" s="1" t="s">
        <v>42</v>
      </c>
      <c r="J2449" s="1" t="s">
        <v>51</v>
      </c>
      <c r="K2449" s="1" t="s">
        <v>13832</v>
      </c>
      <c r="L2449" s="1" t="s">
        <v>13833</v>
      </c>
      <c r="M2449" s="2" t="s">
        <v>12</v>
      </c>
      <c r="N2449" s="4">
        <f t="shared" si="1"/>
        <v>43983</v>
      </c>
      <c r="O2449" s="5" t="str">
        <f>IFERROR(__xludf.DUMMYFUNCTION("IF(REGEXMATCH(TRIM(I2449), ""^\d+\s*min""), ""Unclassified"", IF(I2449 = """", ""NR"", I2449))"),"TV-MA")</f>
        <v>TV-MA</v>
      </c>
      <c r="R2449" s="5" t="str">
        <f t="shared" si="2"/>
        <v>Dear My Friends</v>
      </c>
      <c r="S2449" s="5" t="str">
        <f>IFERROR(__xludf.DUMMYFUNCTION("""COMPUTED_VALUE"""),"Fire Chasers")</f>
        <v>Fire Chasers</v>
      </c>
      <c r="U2449" s="5" t="str">
        <f>IFERROR(__xludf.DUMMYFUNCTION("""COMPUTED_VALUE"""),"Bo Burnham, Christopher Storer")</f>
        <v>Bo Burnham, Christopher Storer</v>
      </c>
      <c r="V2449" s="5" t="s">
        <v>11027</v>
      </c>
      <c r="W2449" s="5" t="str">
        <f t="shared" si="3"/>
        <v>Lindsey Cordero, Armando Croda</v>
      </c>
      <c r="X2449" s="5">
        <f t="shared" si="4"/>
        <v>1</v>
      </c>
      <c r="Y2449" s="5" t="str">
        <f>IFERROR(__xludf.DUMMYFUNCTION("REGEXEXTRACT(J2449, ""^\d+"")"),"1")</f>
        <v>1</v>
      </c>
      <c r="Z2449" s="5" t="str">
        <f>IFERROR(__xludf.DUMMYFUNCTION("REGEXEXTRACT(J2449, ""[A-Za-z ]+$"")")," Season")</f>
        <v> Season</v>
      </c>
      <c r="AA2449" s="5" t="str">
        <f>IFERROR(__xludf.DUMMYFUNCTION("IF(REGEXMATCH(Z2449, ""Season""), ""TV Show"", ""Movie"")"),"TV Show")</f>
        <v>TV Show</v>
      </c>
    </row>
    <row r="2450">
      <c r="A2450" s="1" t="s">
        <v>13834</v>
      </c>
      <c r="B2450" s="1" t="s">
        <v>27</v>
      </c>
      <c r="C2450" s="1" t="s">
        <v>13835</v>
      </c>
      <c r="D2450" s="1" t="s">
        <v>8970</v>
      </c>
      <c r="E2450" s="1" t="s">
        <v>13836</v>
      </c>
      <c r="F2450" s="1" t="s">
        <v>4557</v>
      </c>
      <c r="G2450" s="1" t="s">
        <v>13808</v>
      </c>
      <c r="H2450" s="1">
        <v>2019.0</v>
      </c>
      <c r="I2450" s="1" t="s">
        <v>136</v>
      </c>
      <c r="J2450" s="1" t="s">
        <v>729</v>
      </c>
      <c r="K2450" s="1" t="s">
        <v>199</v>
      </c>
      <c r="L2450" s="1" t="s">
        <v>13837</v>
      </c>
      <c r="M2450" s="2" t="s">
        <v>12</v>
      </c>
      <c r="N2450" s="4">
        <f t="shared" si="1"/>
        <v>43983</v>
      </c>
      <c r="O2450" s="5" t="str">
        <f>IFERROR(__xludf.DUMMYFUNCTION("IF(REGEXMATCH(TRIM(I2450), ""^\d+\s*min""), ""Unclassified"", IF(I2450 = """", ""NR"", I2450))"),"TV-PG")</f>
        <v>TV-PG</v>
      </c>
      <c r="R2450" s="5" t="str">
        <f t="shared" si="2"/>
        <v>Kalek Shanab</v>
      </c>
      <c r="S2450" s="5" t="str">
        <f>IFERROR(__xludf.DUMMYFUNCTION("""COMPUTED_VALUE"""),"Fire In Paradise")</f>
        <v>Fire In Paradise</v>
      </c>
      <c r="U2450" s="5" t="str">
        <f>IFERROR(__xludf.DUMMYFUNCTION("""COMPUTED_VALUE"""),"K.C. Bokadia")</f>
        <v>K.C. Bokadia</v>
      </c>
      <c r="V2450" s="5" t="s">
        <v>13838</v>
      </c>
      <c r="W2450" s="5" t="str">
        <f t="shared" si="3"/>
        <v>Lionel C. Martin</v>
      </c>
      <c r="X2450" s="5">
        <f t="shared" si="4"/>
        <v>1</v>
      </c>
      <c r="Y2450" s="5" t="str">
        <f>IFERROR(__xludf.DUMMYFUNCTION("REGEXEXTRACT(J2450, ""^\d+"")"),"80")</f>
        <v>80</v>
      </c>
      <c r="Z2450" s="5" t="str">
        <f>IFERROR(__xludf.DUMMYFUNCTION("REGEXEXTRACT(J2450, ""[A-Za-z ]+$"")")," min")</f>
        <v> min</v>
      </c>
      <c r="AA2450" s="5" t="str">
        <f>IFERROR(__xludf.DUMMYFUNCTION("IF(REGEXMATCH(Z2450, ""Season""), ""TV Show"", ""Movie"")"),"Movie")</f>
        <v>Movie</v>
      </c>
    </row>
    <row r="2451">
      <c r="A2451" s="1" t="s">
        <v>13839</v>
      </c>
      <c r="B2451" s="1" t="s">
        <v>37</v>
      </c>
      <c r="C2451" s="1" t="s">
        <v>13840</v>
      </c>
      <c r="E2451" s="1" t="s">
        <v>13841</v>
      </c>
      <c r="F2451" s="1" t="s">
        <v>415</v>
      </c>
      <c r="G2451" s="1" t="s">
        <v>13808</v>
      </c>
      <c r="H2451" s="1">
        <v>2018.0</v>
      </c>
      <c r="I2451" s="1" t="s">
        <v>42</v>
      </c>
      <c r="J2451" s="1" t="s">
        <v>51</v>
      </c>
      <c r="K2451" s="1" t="s">
        <v>567</v>
      </c>
      <c r="L2451" s="1" t="s">
        <v>13842</v>
      </c>
      <c r="M2451" s="2" t="s">
        <v>12</v>
      </c>
      <c r="N2451" s="4">
        <f t="shared" si="1"/>
        <v>43983</v>
      </c>
      <c r="O2451" s="5" t="str">
        <f>IFERROR(__xludf.DUMMYFUNCTION("IF(REGEXMATCH(TRIM(I2451), ""^\d+\s*min""), ""Unclassified"", IF(I2451 = """", ""NR"", I2451))"),"TV-MA")</f>
        <v>TV-MA</v>
      </c>
      <c r="R2451" s="5" t="str">
        <f t="shared" si="2"/>
        <v>Megalobox</v>
      </c>
      <c r="S2451" s="5" t="str">
        <f>IFERROR(__xludf.DUMMYFUNCTION("""COMPUTED_VALUE"""),"Fire In The Blood")</f>
        <v>Fire In The Blood</v>
      </c>
      <c r="U2451" s="5" t="str">
        <f>IFERROR(__xludf.DUMMYFUNCTION("""COMPUTED_VALUE"""),"Samir Soni")</f>
        <v>Samir Soni</v>
      </c>
      <c r="V2451" s="5" t="s">
        <v>13843</v>
      </c>
      <c r="W2451" s="5" t="str">
        <f t="shared" si="3"/>
        <v>Lisa Arnold</v>
      </c>
      <c r="X2451" s="5">
        <f t="shared" si="4"/>
        <v>1</v>
      </c>
      <c r="Y2451" s="5" t="str">
        <f>IFERROR(__xludf.DUMMYFUNCTION("REGEXEXTRACT(J2451, ""^\d+"")"),"1")</f>
        <v>1</v>
      </c>
      <c r="Z2451" s="5" t="str">
        <f>IFERROR(__xludf.DUMMYFUNCTION("REGEXEXTRACT(J2451, ""[A-Za-z ]+$"")")," Season")</f>
        <v> Season</v>
      </c>
      <c r="AA2451" s="5" t="str">
        <f>IFERROR(__xludf.DUMMYFUNCTION("IF(REGEXMATCH(Z2451, ""Season""), ""TV Show"", ""Movie"")"),"TV Show")</f>
        <v>TV Show</v>
      </c>
    </row>
    <row r="2452">
      <c r="A2452" s="1" t="s">
        <v>13844</v>
      </c>
      <c r="B2452" s="1" t="s">
        <v>37</v>
      </c>
      <c r="C2452" s="1" t="s">
        <v>13845</v>
      </c>
      <c r="E2452" s="1" t="s">
        <v>13846</v>
      </c>
      <c r="F2452" s="1" t="s">
        <v>415</v>
      </c>
      <c r="G2452" s="1" t="s">
        <v>13808</v>
      </c>
      <c r="H2452" s="1">
        <v>2014.0</v>
      </c>
      <c r="I2452" s="1" t="s">
        <v>42</v>
      </c>
      <c r="J2452" s="1" t="s">
        <v>276</v>
      </c>
      <c r="K2452" s="1" t="s">
        <v>402</v>
      </c>
      <c r="L2452" s="1" t="s">
        <v>13847</v>
      </c>
      <c r="M2452" s="2" t="s">
        <v>12</v>
      </c>
      <c r="N2452" s="4">
        <f t="shared" si="1"/>
        <v>43983</v>
      </c>
      <c r="O2452" s="5" t="str">
        <f>IFERROR(__xludf.DUMMYFUNCTION("IF(REGEXMATCH(TRIM(I2452), ""^\d+\s*min""), ""Unclassified"", IF(I2452 = """", ""NR"", I2452))"),"TV-MA")</f>
        <v>TV-MA</v>
      </c>
      <c r="R2452" s="5" t="str">
        <f t="shared" si="2"/>
        <v>Midnight Diner</v>
      </c>
      <c r="S2452" s="5" t="str">
        <f>IFERROR(__xludf.DUMMYFUNCTION("""COMPUTED_VALUE"""),"Firebrand")</f>
        <v>Firebrand</v>
      </c>
      <c r="U2452" s="5" t="str">
        <f>IFERROR(__xludf.DUMMYFUNCTION("""COMPUTED_VALUE"""),"Juan Antonio De La Riva")</f>
        <v>Juan Antonio De La Riva</v>
      </c>
      <c r="V2452" s="5" t="s">
        <v>12639</v>
      </c>
      <c r="W2452" s="5" t="str">
        <f t="shared" si="3"/>
        <v>Lisa Cortés, Farah X</v>
      </c>
      <c r="X2452" s="5">
        <f t="shared" si="4"/>
        <v>1</v>
      </c>
      <c r="Y2452" s="5" t="str">
        <f>IFERROR(__xludf.DUMMYFUNCTION("REGEXEXTRACT(J2452, ""^\d+"")"),"3")</f>
        <v>3</v>
      </c>
      <c r="Z2452" s="5" t="str">
        <f>IFERROR(__xludf.DUMMYFUNCTION("REGEXEXTRACT(J2452, ""[A-Za-z ]+$"")")," Seasons")</f>
        <v> Seasons</v>
      </c>
      <c r="AA2452" s="5" t="str">
        <f>IFERROR(__xludf.DUMMYFUNCTION("IF(REGEXMATCH(Z2452, ""Season""), ""TV Show"", ""Movie"")"),"TV Show")</f>
        <v>TV Show</v>
      </c>
    </row>
    <row r="2453">
      <c r="A2453" s="1" t="s">
        <v>13848</v>
      </c>
      <c r="B2453" s="1" t="s">
        <v>27</v>
      </c>
      <c r="C2453" s="1" t="s">
        <v>13849</v>
      </c>
      <c r="D2453" s="1" t="s">
        <v>13850</v>
      </c>
      <c r="E2453" s="1" t="s">
        <v>13851</v>
      </c>
      <c r="F2453" s="1" t="s">
        <v>6651</v>
      </c>
      <c r="G2453" s="1" t="s">
        <v>13808</v>
      </c>
      <c r="H2453" s="1">
        <v>2018.0</v>
      </c>
      <c r="I2453" s="1" t="s">
        <v>78</v>
      </c>
      <c r="J2453" s="1" t="s">
        <v>357</v>
      </c>
      <c r="K2453" s="1" t="s">
        <v>1848</v>
      </c>
      <c r="L2453" s="1" t="s">
        <v>13852</v>
      </c>
      <c r="M2453" s="2" t="s">
        <v>12</v>
      </c>
      <c r="N2453" s="4">
        <f t="shared" si="1"/>
        <v>43983</v>
      </c>
      <c r="O2453" s="5" t="str">
        <f>IFERROR(__xludf.DUMMYFUNCTION("IF(REGEXMATCH(TRIM(I2453), ""^\d+\s*min""), ""Unclassified"", IF(I2453 = """", ""NR"", I2453))"),"PG")</f>
        <v>PG</v>
      </c>
      <c r="R2453" s="5" t="str">
        <f t="shared" si="2"/>
        <v>Mirai</v>
      </c>
      <c r="S2453" s="5" t="str">
        <f>IFERROR(__xludf.DUMMYFUNCTION("""COMPUTED_VALUE"""),"Firedrake The Silver Dragon")</f>
        <v>Firedrake The Silver Dragon</v>
      </c>
      <c r="U2453" s="5" t="str">
        <f>IFERROR(__xludf.DUMMYFUNCTION("""COMPUTED_VALUE"""),"Bert Marcus, Cyrus Saidi")</f>
        <v>Bert Marcus, Cyrus Saidi</v>
      </c>
      <c r="V2453" s="5" t="s">
        <v>13853</v>
      </c>
      <c r="W2453" s="5" t="str">
        <f t="shared" si="3"/>
        <v>Liu Jiang</v>
      </c>
      <c r="X2453" s="5">
        <f t="shared" si="4"/>
        <v>1</v>
      </c>
      <c r="Y2453" s="5" t="str">
        <f>IFERROR(__xludf.DUMMYFUNCTION("REGEXEXTRACT(J2453, ""^\d+"")"),"98")</f>
        <v>98</v>
      </c>
      <c r="Z2453" s="5" t="str">
        <f>IFERROR(__xludf.DUMMYFUNCTION("REGEXEXTRACT(J2453, ""[A-Za-z ]+$"")")," min")</f>
        <v> min</v>
      </c>
      <c r="AA2453" s="5" t="str">
        <f>IFERROR(__xludf.DUMMYFUNCTION("IF(REGEXMATCH(Z2453, ""Season""), ""TV Show"", ""Movie"")"),"Movie")</f>
        <v>Movie</v>
      </c>
    </row>
    <row r="2454">
      <c r="A2454" s="1" t="s">
        <v>13854</v>
      </c>
      <c r="B2454" s="1" t="s">
        <v>37</v>
      </c>
      <c r="C2454" s="1" t="s">
        <v>13855</v>
      </c>
      <c r="E2454" s="1" t="s">
        <v>13856</v>
      </c>
      <c r="F2454" s="1" t="s">
        <v>749</v>
      </c>
      <c r="G2454" s="1" t="s">
        <v>13808</v>
      </c>
      <c r="H2454" s="1">
        <v>2017.0</v>
      </c>
      <c r="I2454" s="1" t="s">
        <v>42</v>
      </c>
      <c r="J2454" s="1" t="s">
        <v>51</v>
      </c>
      <c r="K2454" s="1" t="s">
        <v>7164</v>
      </c>
      <c r="L2454" s="1" t="s">
        <v>13857</v>
      </c>
      <c r="M2454" s="2" t="s">
        <v>12</v>
      </c>
      <c r="N2454" s="4">
        <f t="shared" si="1"/>
        <v>43983</v>
      </c>
      <c r="O2454" s="5" t="str">
        <f>IFERROR(__xludf.DUMMYFUNCTION("IF(REGEXMATCH(TRIM(I2454), ""^\d+\s*min""), ""Unclassified"", IF(I2454 = """", ""NR"", I2454))"),"TV-MA")</f>
        <v>TV-MA</v>
      </c>
      <c r="R2454" s="5" t="str">
        <f t="shared" si="2"/>
        <v>My Shy Boss</v>
      </c>
      <c r="S2454" s="5" t="str">
        <f>IFERROR(__xludf.DUMMYFUNCTION("""COMPUTED_VALUE"""),"Fireflies")</f>
        <v>Fireflies</v>
      </c>
      <c r="U2454" s="5" t="str">
        <f>IFERROR(__xludf.DUMMYFUNCTION("""COMPUTED_VALUE"""),"Shlok Sharma")</f>
        <v>Shlok Sharma</v>
      </c>
      <c r="V2454" s="5" t="s">
        <v>13858</v>
      </c>
      <c r="W2454" s="5" t="str">
        <f t="shared" si="3"/>
        <v>Liu Jie</v>
      </c>
      <c r="X2454" s="5">
        <f t="shared" si="4"/>
        <v>1</v>
      </c>
      <c r="Y2454" s="5" t="str">
        <f>IFERROR(__xludf.DUMMYFUNCTION("REGEXEXTRACT(J2454, ""^\d+"")"),"1")</f>
        <v>1</v>
      </c>
      <c r="Z2454" s="5" t="str">
        <f>IFERROR(__xludf.DUMMYFUNCTION("REGEXEXTRACT(J2454, ""[A-Za-z ]+$"")")," Season")</f>
        <v> Season</v>
      </c>
      <c r="AA2454" s="5" t="str">
        <f>IFERROR(__xludf.DUMMYFUNCTION("IF(REGEXMATCH(Z2454, ""Season""), ""TV Show"", ""Movie"")"),"TV Show")</f>
        <v>TV Show</v>
      </c>
    </row>
    <row r="2455">
      <c r="A2455" s="1" t="s">
        <v>13859</v>
      </c>
      <c r="B2455" s="1" t="s">
        <v>37</v>
      </c>
      <c r="C2455" s="1" t="s">
        <v>13860</v>
      </c>
      <c r="E2455" s="1" t="s">
        <v>13861</v>
      </c>
      <c r="F2455" s="1" t="s">
        <v>749</v>
      </c>
      <c r="G2455" s="1" t="s">
        <v>13808</v>
      </c>
      <c r="H2455" s="1">
        <v>2017.0</v>
      </c>
      <c r="I2455" s="1" t="s">
        <v>42</v>
      </c>
      <c r="J2455" s="1" t="s">
        <v>51</v>
      </c>
      <c r="K2455" s="1" t="s">
        <v>7164</v>
      </c>
      <c r="L2455" s="1" t="s">
        <v>13862</v>
      </c>
      <c r="M2455" s="2" t="s">
        <v>12</v>
      </c>
      <c r="N2455" s="4">
        <f t="shared" si="1"/>
        <v>43983</v>
      </c>
      <c r="O2455" s="5" t="str">
        <f>IFERROR(__xludf.DUMMYFUNCTION("IF(REGEXMATCH(TRIM(I2455), ""^\d+\s*min""), ""Unclassified"", IF(I2455 = """", ""NR"", I2455))"),"TV-MA")</f>
        <v>TV-MA</v>
      </c>
      <c r="R2455" s="5" t="str">
        <f t="shared" si="2"/>
        <v>Revolutionary Love</v>
      </c>
      <c r="S2455" s="5" t="str">
        <f>IFERROR(__xludf.DUMMYFUNCTION("""COMPUTED_VALUE"""),"Firefly Lane")</f>
        <v>Firefly Lane</v>
      </c>
      <c r="U2455" s="5" t="str">
        <f>IFERROR(__xludf.DUMMYFUNCTION("""COMPUTED_VALUE"""),"Yayo Herrero")</f>
        <v>Yayo Herrero</v>
      </c>
      <c r="V2455" s="5" t="s">
        <v>13863</v>
      </c>
      <c r="W2455" s="5" t="str">
        <f t="shared" si="3"/>
        <v>Liu Kuang-Hui</v>
      </c>
      <c r="X2455" s="5">
        <f t="shared" si="4"/>
        <v>1</v>
      </c>
      <c r="Y2455" s="5" t="str">
        <f>IFERROR(__xludf.DUMMYFUNCTION("REGEXEXTRACT(J2455, ""^\d+"")"),"1")</f>
        <v>1</v>
      </c>
      <c r="Z2455" s="5" t="str">
        <f>IFERROR(__xludf.DUMMYFUNCTION("REGEXEXTRACT(J2455, ""[A-Za-z ]+$"")")," Season")</f>
        <v> Season</v>
      </c>
      <c r="AA2455" s="5" t="str">
        <f>IFERROR(__xludf.DUMMYFUNCTION("IF(REGEXMATCH(Z2455, ""Season""), ""TV Show"", ""Movie"")"),"TV Show")</f>
        <v>TV Show</v>
      </c>
    </row>
    <row r="2456">
      <c r="A2456" s="1" t="s">
        <v>13864</v>
      </c>
      <c r="B2456" s="1" t="s">
        <v>27</v>
      </c>
      <c r="C2456" s="1" t="s">
        <v>13865</v>
      </c>
      <c r="D2456" s="1" t="s">
        <v>10005</v>
      </c>
      <c r="E2456" s="1" t="s">
        <v>13866</v>
      </c>
      <c r="F2456" s="1" t="s">
        <v>30</v>
      </c>
      <c r="G2456" s="1" t="s">
        <v>13808</v>
      </c>
      <c r="H2456" s="1">
        <v>2017.0</v>
      </c>
      <c r="I2456" s="1" t="s">
        <v>378</v>
      </c>
      <c r="J2456" s="1" t="s">
        <v>106</v>
      </c>
      <c r="K2456" s="1" t="s">
        <v>107</v>
      </c>
      <c r="L2456" s="1" t="s">
        <v>13867</v>
      </c>
      <c r="M2456" s="2" t="s">
        <v>12</v>
      </c>
      <c r="N2456" s="4">
        <f t="shared" si="1"/>
        <v>43983</v>
      </c>
      <c r="O2456" s="5" t="str">
        <f>IFERROR(__xludf.DUMMYFUNCTION("IF(REGEXMATCH(TRIM(I2456), ""^\d+\s*min""), ""Unclassified"", IF(I2456 = """", ""NR"", I2456))"),"R")</f>
        <v>R</v>
      </c>
      <c r="R2456" s="5" t="str">
        <f t="shared" si="2"/>
        <v>The Disaster Artist</v>
      </c>
      <c r="S2456" s="5" t="str">
        <f>IFERROR(__xludf.DUMMYFUNCTION("""COMPUTED_VALUE"""),"Fireman Sam")</f>
        <v>Fireman Sam</v>
      </c>
      <c r="U2456" s="5" t="str">
        <f>IFERROR(__xludf.DUMMYFUNCTION("""COMPUTED_VALUE"""),"Matt Palmer")</f>
        <v>Matt Palmer</v>
      </c>
      <c r="V2456" s="5" t="s">
        <v>13868</v>
      </c>
      <c r="W2456" s="5" t="str">
        <f t="shared" si="3"/>
        <v>Liv Ullmann</v>
      </c>
      <c r="X2456" s="5">
        <f t="shared" si="4"/>
        <v>1</v>
      </c>
      <c r="Y2456" s="5" t="str">
        <f>IFERROR(__xludf.DUMMYFUNCTION("REGEXEXTRACT(J2456, ""^\d+"")"),"104")</f>
        <v>104</v>
      </c>
      <c r="Z2456" s="5" t="str">
        <f>IFERROR(__xludf.DUMMYFUNCTION("REGEXEXTRACT(J2456, ""[A-Za-z ]+$"")")," min")</f>
        <v> min</v>
      </c>
      <c r="AA2456" s="5" t="str">
        <f>IFERROR(__xludf.DUMMYFUNCTION("IF(REGEXMATCH(Z2456, ""Season""), ""TV Show"", ""Movie"")"),"Movie")</f>
        <v>Movie</v>
      </c>
    </row>
    <row r="2457">
      <c r="A2457" s="1" t="s">
        <v>13869</v>
      </c>
      <c r="B2457" s="1" t="s">
        <v>27</v>
      </c>
      <c r="C2457" s="1" t="s">
        <v>13870</v>
      </c>
      <c r="D2457" s="1" t="s">
        <v>13871</v>
      </c>
      <c r="E2457" s="1" t="s">
        <v>13872</v>
      </c>
      <c r="F2457" s="1" t="s">
        <v>13873</v>
      </c>
      <c r="G2457" s="1" t="s">
        <v>13808</v>
      </c>
      <c r="H2457" s="1">
        <v>2016.0</v>
      </c>
      <c r="I2457" s="1" t="s">
        <v>97</v>
      </c>
      <c r="J2457" s="1" t="s">
        <v>357</v>
      </c>
      <c r="K2457" s="1" t="s">
        <v>805</v>
      </c>
      <c r="L2457" s="1" t="s">
        <v>13874</v>
      </c>
      <c r="M2457" s="2" t="s">
        <v>12</v>
      </c>
      <c r="N2457" s="4">
        <f t="shared" si="1"/>
        <v>43983</v>
      </c>
      <c r="O2457" s="5" t="str">
        <f>IFERROR(__xludf.DUMMYFUNCTION("IF(REGEXMATCH(TRIM(I2457), ""^\d+\s*min""), ""Unclassified"", IF(I2457 = """", ""NR"", I2457))"),"TV-14")</f>
        <v>TV-14</v>
      </c>
      <c r="R2457" s="5" t="str">
        <f t="shared" si="2"/>
        <v>The Stolen</v>
      </c>
      <c r="S2457" s="5" t="str">
        <f>IFERROR(__xludf.DUMMYFUNCTION("""COMPUTED_VALUE"""),"Fireplace 4K: Classic Crackling Fireplace From Fireplace For Your Home")</f>
        <v>Fireplace 4K: Classic Crackling Fireplace From Fireplace For Your Home</v>
      </c>
      <c r="U2457" s="5" t="str">
        <f>IFERROR(__xludf.DUMMYFUNCTION("""COMPUTED_VALUE"""),"Rodrigo Triana")</f>
        <v>Rodrigo Triana</v>
      </c>
      <c r="V2457" s="5" t="s">
        <v>13875</v>
      </c>
      <c r="W2457" s="5" t="str">
        <f t="shared" si="3"/>
        <v>Liz Garbus</v>
      </c>
      <c r="X2457" s="5">
        <f t="shared" si="4"/>
        <v>2</v>
      </c>
      <c r="Y2457" s="5" t="str">
        <f>IFERROR(__xludf.DUMMYFUNCTION("REGEXEXTRACT(J2457, ""^\d+"")"),"98")</f>
        <v>98</v>
      </c>
      <c r="Z2457" s="5" t="str">
        <f>IFERROR(__xludf.DUMMYFUNCTION("REGEXEXTRACT(J2457, ""[A-Za-z ]+$"")")," min")</f>
        <v> min</v>
      </c>
      <c r="AA2457" s="5" t="str">
        <f>IFERROR(__xludf.DUMMYFUNCTION("IF(REGEXMATCH(Z2457, ""Season""), ""TV Show"", ""Movie"")"),"Movie")</f>
        <v>Movie</v>
      </c>
    </row>
    <row r="2458">
      <c r="A2458" s="1" t="s">
        <v>13876</v>
      </c>
      <c r="B2458" s="1" t="s">
        <v>27</v>
      </c>
      <c r="C2458" s="1" t="s">
        <v>13877</v>
      </c>
      <c r="D2458" s="1" t="s">
        <v>13878</v>
      </c>
      <c r="E2458" s="1" t="s">
        <v>13879</v>
      </c>
      <c r="F2458" s="1" t="s">
        <v>13880</v>
      </c>
      <c r="G2458" s="7">
        <v>43982.0</v>
      </c>
      <c r="H2458" s="1">
        <v>2019.0</v>
      </c>
      <c r="I2458" s="1" t="s">
        <v>97</v>
      </c>
      <c r="J2458" s="1" t="s">
        <v>106</v>
      </c>
      <c r="K2458" s="1" t="s">
        <v>3822</v>
      </c>
      <c r="L2458" s="1" t="s">
        <v>13881</v>
      </c>
      <c r="M2458" s="2" t="s">
        <v>12</v>
      </c>
      <c r="N2458" s="4">
        <f t="shared" si="1"/>
        <v>43982</v>
      </c>
      <c r="O2458" s="5" t="str">
        <f>IFERROR(__xludf.DUMMYFUNCTION("IF(REGEXMATCH(TRIM(I2458), ""^\d+\s*min""), ""Unclassified"", IF(I2458 = """", ""NR"", I2458))"),"TV-14")</f>
        <v>TV-14</v>
      </c>
      <c r="R2458" s="5" t="str">
        <f t="shared" si="2"/>
        <v>High Strung Free Dance</v>
      </c>
      <c r="S2458" s="5" t="str">
        <f>IFERROR(__xludf.DUMMYFUNCTION("""COMPUTED_VALUE"""),"Fireplace 4K: Crackling Birchwood From Fireplace For Your Home")</f>
        <v>Fireplace 4K: Crackling Birchwood From Fireplace For Your Home</v>
      </c>
      <c r="U2458" s="5" t="str">
        <f>IFERROR(__xludf.DUMMYFUNCTION("""COMPUTED_VALUE"""),"Elaine Mcmillion Sheldon")</f>
        <v>Elaine Mcmillion Sheldon</v>
      </c>
      <c r="V2458" s="5" t="s">
        <v>13882</v>
      </c>
      <c r="W2458" s="5" t="str">
        <f t="shared" si="3"/>
        <v>Liz Plonka</v>
      </c>
      <c r="X2458" s="5">
        <f t="shared" si="4"/>
        <v>1</v>
      </c>
      <c r="Y2458" s="5" t="str">
        <f>IFERROR(__xludf.DUMMYFUNCTION("REGEXEXTRACT(J2458, ""^\d+"")"),"104")</f>
        <v>104</v>
      </c>
      <c r="Z2458" s="5" t="str">
        <f>IFERROR(__xludf.DUMMYFUNCTION("REGEXEXTRACT(J2458, ""[A-Za-z ]+$"")")," min")</f>
        <v> min</v>
      </c>
      <c r="AA2458" s="5" t="str">
        <f>IFERROR(__xludf.DUMMYFUNCTION("IF(REGEXMATCH(Z2458, ""Season""), ""TV Show"", ""Movie"")"),"Movie")</f>
        <v>Movie</v>
      </c>
    </row>
    <row r="2459">
      <c r="A2459" s="1" t="s">
        <v>13883</v>
      </c>
      <c r="B2459" s="1" t="s">
        <v>27</v>
      </c>
      <c r="C2459" s="1" t="s">
        <v>13884</v>
      </c>
      <c r="D2459" s="1" t="s">
        <v>660</v>
      </c>
      <c r="E2459" s="1" t="s">
        <v>13885</v>
      </c>
      <c r="F2459" s="1" t="s">
        <v>4557</v>
      </c>
      <c r="G2459" s="7">
        <v>43980.0</v>
      </c>
      <c r="H2459" s="1">
        <v>2018.0</v>
      </c>
      <c r="I2459" s="1" t="s">
        <v>136</v>
      </c>
      <c r="J2459" s="1" t="s">
        <v>416</v>
      </c>
      <c r="K2459" s="1" t="s">
        <v>583</v>
      </c>
      <c r="L2459" s="1" t="s">
        <v>13886</v>
      </c>
      <c r="M2459" s="2" t="s">
        <v>12</v>
      </c>
      <c r="N2459" s="4">
        <f t="shared" si="1"/>
        <v>43980</v>
      </c>
      <c r="O2459" s="5" t="str">
        <f>IFERROR(__xludf.DUMMYFUNCTION("IF(REGEXMATCH(TRIM(I2459), ""^\d+\s*min""), ""Unclassified"", IF(I2459 = """", ""NR"", I2459))"),"TV-PG")</f>
        <v>TV-PG</v>
      </c>
      <c r="R2459" s="5" t="str">
        <f t="shared" si="2"/>
        <v>Freej Al Taibeen</v>
      </c>
      <c r="S2459" s="5" t="str">
        <f>IFERROR(__xludf.DUMMYFUNCTION("""COMPUTED_VALUE"""),"Fireworks")</f>
        <v>Fireworks</v>
      </c>
      <c r="U2459" s="5" t="str">
        <f>IFERROR(__xludf.DUMMYFUNCTION("""COMPUTED_VALUE"""),"Federico D'Alessandro")</f>
        <v>Federico D'Alessandro</v>
      </c>
      <c r="V2459" s="5" t="s">
        <v>13887</v>
      </c>
      <c r="W2459" s="5" t="str">
        <f t="shared" si="3"/>
        <v>Llewellyn M. Smith</v>
      </c>
      <c r="X2459" s="5">
        <f t="shared" si="4"/>
        <v>1</v>
      </c>
      <c r="Y2459" s="5" t="str">
        <f>IFERROR(__xludf.DUMMYFUNCTION("REGEXEXTRACT(J2459, ""^\d+"")"),"99")</f>
        <v>99</v>
      </c>
      <c r="Z2459" s="5" t="str">
        <f>IFERROR(__xludf.DUMMYFUNCTION("REGEXEXTRACT(J2459, ""[A-Za-z ]+$"")")," min")</f>
        <v> min</v>
      </c>
      <c r="AA2459" s="5" t="str">
        <f>IFERROR(__xludf.DUMMYFUNCTION("IF(REGEXMATCH(Z2459, ""Season""), ""TV Show"", ""Movie"")"),"Movie")</f>
        <v>Movie</v>
      </c>
    </row>
    <row r="2460">
      <c r="A2460" s="1" t="s">
        <v>13888</v>
      </c>
      <c r="B2460" s="1" t="s">
        <v>27</v>
      </c>
      <c r="C2460" s="1" t="s">
        <v>13889</v>
      </c>
      <c r="D2460" s="1" t="s">
        <v>2091</v>
      </c>
      <c r="E2460" s="1" t="s">
        <v>13890</v>
      </c>
      <c r="F2460" s="1" t="s">
        <v>63</v>
      </c>
      <c r="G2460" s="7">
        <v>43980.0</v>
      </c>
      <c r="H2460" s="1">
        <v>2020.0</v>
      </c>
      <c r="I2460" s="1" t="s">
        <v>42</v>
      </c>
      <c r="J2460" s="1" t="s">
        <v>2626</v>
      </c>
      <c r="K2460" s="1" t="s">
        <v>1839</v>
      </c>
      <c r="L2460" s="1" t="s">
        <v>13891</v>
      </c>
      <c r="M2460" s="2" t="s">
        <v>12</v>
      </c>
      <c r="N2460" s="4">
        <f t="shared" si="1"/>
        <v>43980</v>
      </c>
      <c r="O2460" s="5" t="str">
        <f>IFERROR(__xludf.DUMMYFUNCTION("IF(REGEXMATCH(TRIM(I2460), ""^\d+\s*min""), ""Unclassified"", IF(I2460 = """", ""NR"", I2460))"),"TV-MA")</f>
        <v>TV-MA</v>
      </c>
      <c r="R2460" s="5" t="str">
        <f t="shared" si="2"/>
        <v>Kenny Sebastian: The Most Interesting Person In The Room</v>
      </c>
      <c r="S2460" s="5" t="str">
        <f>IFERROR(__xludf.DUMMYFUNCTION("""COMPUTED_VALUE"""),"First And Last")</f>
        <v>First And Last</v>
      </c>
      <c r="U2460" s="5" t="str">
        <f>IFERROR(__xludf.DUMMYFUNCTION("""COMPUTED_VALUE"""),"Seiji Mizushima")</f>
        <v>Seiji Mizushima</v>
      </c>
      <c r="V2460" s="5" t="s">
        <v>8057</v>
      </c>
      <c r="W2460" s="5" t="str">
        <f t="shared" si="3"/>
        <v>Lluís Quílez</v>
      </c>
      <c r="X2460" s="5">
        <f t="shared" si="4"/>
        <v>1</v>
      </c>
      <c r="Y2460" s="5" t="str">
        <f>IFERROR(__xludf.DUMMYFUNCTION("REGEXEXTRACT(J2460, ""^\d+"")"),"68")</f>
        <v>68</v>
      </c>
      <c r="Z2460" s="5" t="str">
        <f>IFERROR(__xludf.DUMMYFUNCTION("REGEXEXTRACT(J2460, ""[A-Za-z ]+$"")")," min")</f>
        <v> min</v>
      </c>
      <c r="AA2460" s="5" t="str">
        <f>IFERROR(__xludf.DUMMYFUNCTION("IF(REGEXMATCH(Z2460, ""Season""), ""TV Show"", ""Movie"")"),"Movie")</f>
        <v>Movie</v>
      </c>
    </row>
    <row r="2461">
      <c r="A2461" s="1" t="s">
        <v>13892</v>
      </c>
      <c r="B2461" s="1" t="s">
        <v>37</v>
      </c>
      <c r="C2461" s="1" t="s">
        <v>13893</v>
      </c>
      <c r="E2461" s="1" t="s">
        <v>13894</v>
      </c>
      <c r="F2461" s="1" t="s">
        <v>30</v>
      </c>
      <c r="G2461" s="7">
        <v>43980.0</v>
      </c>
      <c r="H2461" s="1">
        <v>2020.0</v>
      </c>
      <c r="I2461" s="1" t="s">
        <v>42</v>
      </c>
      <c r="J2461" s="1" t="s">
        <v>51</v>
      </c>
      <c r="K2461" s="1" t="s">
        <v>270</v>
      </c>
      <c r="L2461" s="1" t="s">
        <v>13895</v>
      </c>
      <c r="M2461" s="2" t="s">
        <v>12</v>
      </c>
      <c r="N2461" s="4">
        <f t="shared" si="1"/>
        <v>43980</v>
      </c>
      <c r="O2461" s="5" t="str">
        <f>IFERROR(__xludf.DUMMYFUNCTION("IF(REGEXMATCH(TRIM(I2461), ""^\d+\s*min""), ""Unclassified"", IF(I2461 = """", ""NR"", I2461))"),"TV-MA")</f>
        <v>TV-MA</v>
      </c>
      <c r="R2461" s="5" t="str">
        <f t="shared" si="2"/>
        <v>Space Force</v>
      </c>
      <c r="S2461" s="5" t="str">
        <f>IFERROR(__xludf.DUMMYFUNCTION("""COMPUTED_VALUE"""),"First Impression")</f>
        <v>First Impression</v>
      </c>
      <c r="U2461" s="5" t="str">
        <f>IFERROR(__xludf.DUMMYFUNCTION("""COMPUTED_VALUE"""),"Myriam Aziza")</f>
        <v>Myriam Aziza</v>
      </c>
      <c r="V2461" s="5" t="s">
        <v>13896</v>
      </c>
      <c r="W2461" s="5" t="str">
        <f t="shared" si="3"/>
        <v>Lô Politi</v>
      </c>
      <c r="X2461" s="5">
        <f t="shared" si="4"/>
        <v>1</v>
      </c>
      <c r="Y2461" s="5" t="str">
        <f>IFERROR(__xludf.DUMMYFUNCTION("REGEXEXTRACT(J2461, ""^\d+"")"),"1")</f>
        <v>1</v>
      </c>
      <c r="Z2461" s="5" t="str">
        <f>IFERROR(__xludf.DUMMYFUNCTION("REGEXEXTRACT(J2461, ""[A-Za-z ]+$"")")," Season")</f>
        <v> Season</v>
      </c>
      <c r="AA2461" s="5" t="str">
        <f>IFERROR(__xludf.DUMMYFUNCTION("IF(REGEXMATCH(Z2461, ""Season""), ""TV Show"", ""Movie"")"),"TV Show")</f>
        <v>TV Show</v>
      </c>
    </row>
    <row r="2462">
      <c r="A2462" s="1" t="s">
        <v>13897</v>
      </c>
      <c r="B2462" s="1" t="s">
        <v>27</v>
      </c>
      <c r="C2462" s="1" t="s">
        <v>13898</v>
      </c>
      <c r="D2462" s="1" t="s">
        <v>3307</v>
      </c>
      <c r="E2462" s="1" t="s">
        <v>13899</v>
      </c>
      <c r="F2462" s="1" t="s">
        <v>13348</v>
      </c>
      <c r="G2462" s="7">
        <v>43980.0</v>
      </c>
      <c r="H2462" s="1">
        <v>1999.0</v>
      </c>
      <c r="I2462" s="1" t="s">
        <v>42</v>
      </c>
      <c r="J2462" s="1" t="s">
        <v>256</v>
      </c>
      <c r="K2462" s="1" t="s">
        <v>679</v>
      </c>
      <c r="L2462" s="1" t="s">
        <v>13900</v>
      </c>
      <c r="M2462" s="2" t="s">
        <v>12</v>
      </c>
      <c r="N2462" s="4">
        <f t="shared" si="1"/>
        <v>43980</v>
      </c>
      <c r="O2462" s="5" t="str">
        <f>IFERROR(__xludf.DUMMYFUNCTION("IF(REGEXMATCH(TRIM(I2462), ""^\d+\s*min""), ""Unclassified"", IF(I2462 = """", ""NR"", I2462))"),"TV-MA")</f>
        <v>TV-MA</v>
      </c>
      <c r="R2462" s="5" t="str">
        <f t="shared" si="2"/>
        <v>The Other</v>
      </c>
      <c r="S2462" s="5" t="str">
        <f>IFERROR(__xludf.DUMMYFUNCTION("""COMPUTED_VALUE"""),"First Kill")</f>
        <v>First Kill</v>
      </c>
      <c r="U2462" s="5" t="str">
        <f>IFERROR(__xludf.DUMMYFUNCTION("""COMPUTED_VALUE"""),"Gerard Barrett")</f>
        <v>Gerard Barrett</v>
      </c>
      <c r="V2462" s="5" t="s">
        <v>13901</v>
      </c>
      <c r="W2462" s="5" t="str">
        <f t="shared" si="3"/>
        <v>Logan Kibens</v>
      </c>
      <c r="X2462" s="5">
        <f t="shared" si="4"/>
        <v>1</v>
      </c>
      <c r="Y2462" s="5" t="str">
        <f>IFERROR(__xludf.DUMMYFUNCTION("REGEXEXTRACT(J2462, ""^\d+"")"),"106")</f>
        <v>106</v>
      </c>
      <c r="Z2462" s="5" t="str">
        <f>IFERROR(__xludf.DUMMYFUNCTION("REGEXEXTRACT(J2462, ""[A-Za-z ]+$"")")," min")</f>
        <v> min</v>
      </c>
      <c r="AA2462" s="5" t="str">
        <f>IFERROR(__xludf.DUMMYFUNCTION("IF(REGEXMATCH(Z2462, ""Season""), ""TV Show"", ""Movie"")"),"Movie")</f>
        <v>Movie</v>
      </c>
    </row>
    <row r="2463">
      <c r="A2463" s="1" t="s">
        <v>13902</v>
      </c>
      <c r="B2463" s="1" t="s">
        <v>37</v>
      </c>
      <c r="C2463" s="1" t="s">
        <v>13903</v>
      </c>
      <c r="E2463" s="1" t="s">
        <v>13904</v>
      </c>
      <c r="F2463" s="1" t="s">
        <v>1453</v>
      </c>
      <c r="G2463" s="7">
        <v>43979.0</v>
      </c>
      <c r="H2463" s="1">
        <v>2018.0</v>
      </c>
      <c r="I2463" s="1" t="s">
        <v>42</v>
      </c>
      <c r="J2463" s="1" t="s">
        <v>43</v>
      </c>
      <c r="K2463" s="1" t="s">
        <v>149</v>
      </c>
      <c r="L2463" s="1" t="s">
        <v>13905</v>
      </c>
      <c r="M2463" s="2" t="s">
        <v>12</v>
      </c>
      <c r="N2463" s="4">
        <f t="shared" si="1"/>
        <v>43979</v>
      </c>
      <c r="O2463" s="5" t="str">
        <f>IFERROR(__xludf.DUMMYFUNCTION("IF(REGEXMATCH(TRIM(I2463), ""^\d+\s*min""), ""Unclassified"", IF(I2463 = """", ""NR"", I2463))"),"TV-MA")</f>
        <v>TV-MA</v>
      </c>
      <c r="R2463" s="5" t="str">
        <f t="shared" si="2"/>
        <v>Can'T Cope, Won'T Cope</v>
      </c>
      <c r="S2463" s="5" t="str">
        <f>IFERROR(__xludf.DUMMYFUNCTION("""COMPUTED_VALUE"""),"First Kiss")</f>
        <v>First Kiss</v>
      </c>
      <c r="U2463" s="5" t="str">
        <f>IFERROR(__xludf.DUMMYFUNCTION("""COMPUTED_VALUE"""),"Rene Liu")</f>
        <v>Rene Liu</v>
      </c>
      <c r="V2463" s="5" t="s">
        <v>13906</v>
      </c>
      <c r="W2463" s="5" t="str">
        <f t="shared" si="3"/>
        <v>Lone Scherfig</v>
      </c>
      <c r="X2463" s="5">
        <f t="shared" si="4"/>
        <v>1</v>
      </c>
      <c r="Y2463" s="5" t="str">
        <f>IFERROR(__xludf.DUMMYFUNCTION("REGEXEXTRACT(J2463, ""^\d+"")"),"2")</f>
        <v>2</v>
      </c>
      <c r="Z2463" s="5" t="str">
        <f>IFERROR(__xludf.DUMMYFUNCTION("REGEXEXTRACT(J2463, ""[A-Za-z ]+$"")")," Seasons")</f>
        <v> Seasons</v>
      </c>
      <c r="AA2463" s="5" t="str">
        <f>IFERROR(__xludf.DUMMYFUNCTION("IF(REGEXMATCH(Z2463, ""Season""), ""TV Show"", ""Movie"")"),"TV Show")</f>
        <v>TV Show</v>
      </c>
    </row>
    <row r="2464">
      <c r="A2464" s="1" t="s">
        <v>13907</v>
      </c>
      <c r="B2464" s="1" t="s">
        <v>37</v>
      </c>
      <c r="C2464" s="1" t="s">
        <v>13908</v>
      </c>
      <c r="E2464" s="1" t="s">
        <v>13909</v>
      </c>
      <c r="F2464" s="1" t="s">
        <v>415</v>
      </c>
      <c r="G2464" s="7">
        <v>43979.0</v>
      </c>
      <c r="H2464" s="1">
        <v>2020.0</v>
      </c>
      <c r="I2464" s="1" t="s">
        <v>42</v>
      </c>
      <c r="J2464" s="1" t="s">
        <v>51</v>
      </c>
      <c r="K2464" s="1" t="s">
        <v>567</v>
      </c>
      <c r="L2464" s="1" t="s">
        <v>13910</v>
      </c>
      <c r="M2464" s="2" t="s">
        <v>12</v>
      </c>
      <c r="N2464" s="4">
        <f t="shared" si="1"/>
        <v>43979</v>
      </c>
      <c r="O2464" s="5" t="str">
        <f>IFERROR(__xludf.DUMMYFUNCTION("IF(REGEXMATCH(TRIM(I2464), ""^\d+\s*min""), ""Unclassified"", IF(I2464 = """", ""NR"", I2464))"),"TV-MA")</f>
        <v>TV-MA</v>
      </c>
      <c r="R2464" s="5" t="str">
        <f t="shared" si="2"/>
        <v>Dorohedoro</v>
      </c>
      <c r="S2464" s="5" t="str">
        <f>IFERROR(__xludf.DUMMYFUNCTION("""COMPUTED_VALUE"""),"First Love")</f>
        <v>First Love</v>
      </c>
      <c r="U2464" s="5" t="str">
        <f>IFERROR(__xludf.DUMMYFUNCTION("""COMPUTED_VALUE"""),"Madeleine Parry, Jon Olb")</f>
        <v>Madeleine Parry, Jon Olb</v>
      </c>
      <c r="V2464" s="5" t="s">
        <v>13911</v>
      </c>
      <c r="W2464" s="5" t="str">
        <f t="shared" si="3"/>
        <v>Lonny Price</v>
      </c>
      <c r="X2464" s="5">
        <f t="shared" si="4"/>
        <v>1</v>
      </c>
      <c r="Y2464" s="5" t="str">
        <f>IFERROR(__xludf.DUMMYFUNCTION("REGEXEXTRACT(J2464, ""^\d+"")"),"1")</f>
        <v>1</v>
      </c>
      <c r="Z2464" s="5" t="str">
        <f>IFERROR(__xludf.DUMMYFUNCTION("REGEXEXTRACT(J2464, ""[A-Za-z ]+$"")")," Season")</f>
        <v> Season</v>
      </c>
      <c r="AA2464" s="5" t="str">
        <f>IFERROR(__xludf.DUMMYFUNCTION("IF(REGEXMATCH(Z2464, ""Season""), ""TV Show"", ""Movie"")"),"TV Show")</f>
        <v>TV Show</v>
      </c>
    </row>
    <row r="2465">
      <c r="A2465" s="1" t="s">
        <v>13912</v>
      </c>
      <c r="B2465" s="1" t="s">
        <v>27</v>
      </c>
      <c r="C2465" s="1" t="s">
        <v>13913</v>
      </c>
      <c r="D2465" s="1" t="s">
        <v>667</v>
      </c>
      <c r="E2465" s="1" t="s">
        <v>13914</v>
      </c>
      <c r="F2465" s="1" t="s">
        <v>4557</v>
      </c>
      <c r="G2465" s="7">
        <v>43979.0</v>
      </c>
      <c r="H2465" s="1">
        <v>2014.0</v>
      </c>
      <c r="I2465" s="1" t="s">
        <v>97</v>
      </c>
      <c r="J2465" s="1" t="s">
        <v>5650</v>
      </c>
      <c r="K2465" s="1" t="s">
        <v>6462</v>
      </c>
      <c r="L2465" s="1" t="s">
        <v>13915</v>
      </c>
      <c r="M2465" s="2" t="s">
        <v>12</v>
      </c>
      <c r="N2465" s="4">
        <f t="shared" si="1"/>
        <v>43979</v>
      </c>
      <c r="O2465" s="5" t="str">
        <f>IFERROR(__xludf.DUMMYFUNCTION("IF(REGEXMATCH(TRIM(I2465), ""^\d+\s*min""), ""Unclassified"", IF(I2465 = """", ""NR"", I2465))"),"TV-14")</f>
        <v>TV-14</v>
      </c>
      <c r="R2465" s="5" t="str">
        <f t="shared" si="2"/>
        <v>Grandmother'S Farm</v>
      </c>
      <c r="S2465" s="5" t="str">
        <f>IFERROR(__xludf.DUMMYFUNCTION("""COMPUTED_VALUE"""),"First Match")</f>
        <v>First Match</v>
      </c>
      <c r="U2465" s="5" t="str">
        <f>IFERROR(__xludf.DUMMYFUNCTION("""COMPUTED_VALUE"""),"Zoya Akhtar, Karan Johar, Anurag Kashyap, Dibakar Banerjee")</f>
        <v>Zoya Akhtar, Karan Johar, Anurag Kashyap, Dibakar Banerjee</v>
      </c>
      <c r="V2465" s="5" t="s">
        <v>13916</v>
      </c>
      <c r="W2465" s="5" t="str">
        <f t="shared" si="3"/>
        <v>Lonzo Nzekwe</v>
      </c>
      <c r="X2465" s="5">
        <f t="shared" si="4"/>
        <v>1</v>
      </c>
      <c r="Y2465" s="5" t="str">
        <f>IFERROR(__xludf.DUMMYFUNCTION("REGEXEXTRACT(J2465, ""^\d+"")"),"71")</f>
        <v>71</v>
      </c>
      <c r="Z2465" s="5" t="str">
        <f>IFERROR(__xludf.DUMMYFUNCTION("REGEXEXTRACT(J2465, ""[A-Za-z ]+$"")")," min")</f>
        <v> min</v>
      </c>
      <c r="AA2465" s="5" t="str">
        <f>IFERROR(__xludf.DUMMYFUNCTION("IF(REGEXMATCH(Z2465, ""Season""), ""TV Show"", ""Movie"")"),"Movie")</f>
        <v>Movie</v>
      </c>
    </row>
    <row r="2466">
      <c r="A2466" s="1" t="s">
        <v>13917</v>
      </c>
      <c r="B2466" s="1" t="s">
        <v>27</v>
      </c>
      <c r="C2466" s="1" t="s">
        <v>13918</v>
      </c>
      <c r="D2466" s="1" t="s">
        <v>667</v>
      </c>
      <c r="E2466" s="1" t="s">
        <v>13919</v>
      </c>
      <c r="F2466" s="1" t="s">
        <v>4557</v>
      </c>
      <c r="G2466" s="7">
        <v>43979.0</v>
      </c>
      <c r="H2466" s="1">
        <v>2015.0</v>
      </c>
      <c r="I2466" s="1" t="s">
        <v>97</v>
      </c>
      <c r="J2466" s="1" t="s">
        <v>729</v>
      </c>
      <c r="K2466" s="1" t="s">
        <v>6462</v>
      </c>
      <c r="L2466" s="1" t="s">
        <v>13920</v>
      </c>
      <c r="M2466" s="2" t="s">
        <v>12</v>
      </c>
      <c r="N2466" s="4">
        <f t="shared" si="1"/>
        <v>43979</v>
      </c>
      <c r="O2466" s="5" t="str">
        <f>IFERROR(__xludf.DUMMYFUNCTION("IF(REGEXMATCH(TRIM(I2466), ""^\d+\s*min""), ""Unclassified"", IF(I2466 = """", ""NR"", I2466))"),"TV-14")</f>
        <v>TV-14</v>
      </c>
      <c r="R2466" s="5" t="str">
        <f t="shared" si="2"/>
        <v>Grandmother'S Farm Part 2</v>
      </c>
      <c r="S2466" s="5" t="str">
        <f>IFERROR(__xludf.DUMMYFUNCTION("""COMPUTED_VALUE"""),"First Team: Juventus")</f>
        <v>First Team: Juventus</v>
      </c>
      <c r="U2466" s="5" t="str">
        <f>IFERROR(__xludf.DUMMYFUNCTION("""COMPUTED_VALUE"""),"Oded Raz")</f>
        <v>Oded Raz</v>
      </c>
      <c r="V2466" s="5" t="s">
        <v>13921</v>
      </c>
      <c r="W2466" s="5" t="str">
        <f t="shared" si="3"/>
        <v>Lorena Munoz</v>
      </c>
      <c r="X2466" s="5">
        <f t="shared" si="4"/>
        <v>1</v>
      </c>
      <c r="Y2466" s="5" t="str">
        <f>IFERROR(__xludf.DUMMYFUNCTION("REGEXEXTRACT(J2466, ""^\d+"")"),"80")</f>
        <v>80</v>
      </c>
      <c r="Z2466" s="5" t="str">
        <f>IFERROR(__xludf.DUMMYFUNCTION("REGEXEXTRACT(J2466, ""[A-Za-z ]+$"")")," min")</f>
        <v> min</v>
      </c>
      <c r="AA2466" s="5" t="str">
        <f>IFERROR(__xludf.DUMMYFUNCTION("IF(REGEXMATCH(Z2466, ""Season""), ""TV Show"", ""Movie"")"),"Movie")</f>
        <v>Movie</v>
      </c>
    </row>
    <row r="2467">
      <c r="A2467" s="1" t="s">
        <v>13922</v>
      </c>
      <c r="B2467" s="1" t="s">
        <v>27</v>
      </c>
      <c r="C2467" s="1" t="s">
        <v>13923</v>
      </c>
      <c r="D2467" s="1" t="s">
        <v>1003</v>
      </c>
      <c r="E2467" s="1" t="s">
        <v>13924</v>
      </c>
      <c r="F2467" s="1" t="s">
        <v>1815</v>
      </c>
      <c r="G2467" s="7">
        <v>43979.0</v>
      </c>
      <c r="H2467" s="1">
        <v>2020.0</v>
      </c>
      <c r="I2467" s="1" t="s">
        <v>42</v>
      </c>
      <c r="J2467" s="1" t="s">
        <v>349</v>
      </c>
      <c r="K2467" s="1" t="s">
        <v>298</v>
      </c>
      <c r="L2467" s="1" t="s">
        <v>13925</v>
      </c>
      <c r="M2467" s="2" t="s">
        <v>12</v>
      </c>
      <c r="N2467" s="4">
        <f t="shared" si="1"/>
        <v>43979</v>
      </c>
      <c r="O2467" s="5" t="str">
        <f>IFERROR(__xludf.DUMMYFUNCTION("IF(REGEXMATCH(TRIM(I2467), ""^\d+\s*min""), ""Unclassified"", IF(I2467 = """", ""NR"", I2467))"),"TV-MA")</f>
        <v>TV-MA</v>
      </c>
      <c r="R2467" s="5" t="str">
        <f t="shared" si="2"/>
        <v>Intuition</v>
      </c>
      <c r="S2467" s="5" t="str">
        <f>IFERROR(__xludf.DUMMYFUNCTION("""COMPUTED_VALUE"""),"First They Killed My Father")</f>
        <v>First They Killed My Father</v>
      </c>
      <c r="U2467" s="5" t="str">
        <f>IFERROR(__xludf.DUMMYFUNCTION("""COMPUTED_VALUE"""),"Mariana Tschudi, Héctor Gálvez")</f>
        <v>Mariana Tschudi, Héctor Gálvez</v>
      </c>
      <c r="V2467" s="5" t="s">
        <v>13926</v>
      </c>
      <c r="W2467" s="5" t="str">
        <f t="shared" si="3"/>
        <v>Lorene Machado</v>
      </c>
      <c r="X2467" s="5">
        <f t="shared" si="4"/>
        <v>1</v>
      </c>
      <c r="Y2467" s="5" t="str">
        <f>IFERROR(__xludf.DUMMYFUNCTION("REGEXEXTRACT(J2467, ""^\d+"")"),"116")</f>
        <v>116</v>
      </c>
      <c r="Z2467" s="5" t="str">
        <f>IFERROR(__xludf.DUMMYFUNCTION("REGEXEXTRACT(J2467, ""[A-Za-z ]+$"")")," min")</f>
        <v> min</v>
      </c>
      <c r="AA2467" s="5" t="str">
        <f>IFERROR(__xludf.DUMMYFUNCTION("IF(REGEXMATCH(Z2467, ""Season""), ""TV Show"", ""Movie"")"),"Movie")</f>
        <v>Movie</v>
      </c>
    </row>
    <row r="2468">
      <c r="A2468" s="1" t="s">
        <v>13927</v>
      </c>
      <c r="B2468" s="1" t="s">
        <v>37</v>
      </c>
      <c r="C2468" s="1" t="s">
        <v>13928</v>
      </c>
      <c r="E2468" s="1" t="s">
        <v>13929</v>
      </c>
      <c r="F2468" s="1" t="s">
        <v>221</v>
      </c>
      <c r="G2468" s="7">
        <v>43979.0</v>
      </c>
      <c r="H2468" s="1">
        <v>2016.0</v>
      </c>
      <c r="I2468" s="1" t="s">
        <v>506</v>
      </c>
      <c r="J2468" s="1" t="s">
        <v>148</v>
      </c>
      <c r="K2468" s="1" t="s">
        <v>314</v>
      </c>
      <c r="L2468" s="1" t="s">
        <v>13930</v>
      </c>
      <c r="M2468" s="2" t="s">
        <v>12</v>
      </c>
      <c r="N2468" s="4">
        <f t="shared" si="1"/>
        <v>43979</v>
      </c>
      <c r="O2468" s="5" t="str">
        <f>IFERROR(__xludf.DUMMYFUNCTION("IF(REGEXMATCH(TRIM(I2468), ""^\d+\s*min""), ""Unclassified"", IF(I2468 = """", ""NR"", I2468))"),"TV-G")</f>
        <v>TV-G</v>
      </c>
      <c r="R2468" s="5" t="str">
        <f t="shared" si="2"/>
        <v>Mako Mermaids: An H2O Adventure</v>
      </c>
      <c r="S2468" s="5" t="str">
        <f>IFERROR(__xludf.DUMMYFUNCTION("""COMPUTED_VALUE"""),"Firstborn")</f>
        <v>Firstborn</v>
      </c>
      <c r="U2468" s="5" t="str">
        <f>IFERROR(__xludf.DUMMYFUNCTION("""COMPUTED_VALUE"""),"Ramón Salazar")</f>
        <v>Ramón Salazar</v>
      </c>
      <c r="V2468" s="5" t="s">
        <v>4969</v>
      </c>
      <c r="W2468" s="5" t="str">
        <f t="shared" si="3"/>
        <v>Lorene Scafaria</v>
      </c>
      <c r="X2468" s="5">
        <f t="shared" si="4"/>
        <v>1</v>
      </c>
      <c r="Y2468" s="5" t="str">
        <f>IFERROR(__xludf.DUMMYFUNCTION("REGEXEXTRACT(J2468, ""^\d+"")"),"4")</f>
        <v>4</v>
      </c>
      <c r="Z2468" s="5" t="str">
        <f>IFERROR(__xludf.DUMMYFUNCTION("REGEXEXTRACT(J2468, ""[A-Za-z ]+$"")")," Seasons")</f>
        <v> Seasons</v>
      </c>
      <c r="AA2468" s="5" t="str">
        <f>IFERROR(__xludf.DUMMYFUNCTION("IF(REGEXMATCH(Z2468, ""Season""), ""TV Show"", ""Movie"")"),"TV Show")</f>
        <v>TV Show</v>
      </c>
    </row>
    <row r="2469">
      <c r="A2469" s="1" t="s">
        <v>13931</v>
      </c>
      <c r="B2469" s="1" t="s">
        <v>27</v>
      </c>
      <c r="C2469" s="1" t="s">
        <v>13932</v>
      </c>
      <c r="D2469" s="1" t="s">
        <v>13933</v>
      </c>
      <c r="E2469" s="1" t="s">
        <v>13934</v>
      </c>
      <c r="F2469" s="1" t="s">
        <v>5541</v>
      </c>
      <c r="G2469" s="7">
        <v>43978.0</v>
      </c>
      <c r="H2469" s="1">
        <v>2019.0</v>
      </c>
      <c r="I2469" s="1" t="s">
        <v>42</v>
      </c>
      <c r="J2469" s="1" t="s">
        <v>1243</v>
      </c>
      <c r="K2469" s="1" t="s">
        <v>89</v>
      </c>
      <c r="L2469" s="1" t="s">
        <v>13935</v>
      </c>
      <c r="M2469" s="2" t="s">
        <v>12</v>
      </c>
      <c r="N2469" s="4">
        <f t="shared" si="1"/>
        <v>43978</v>
      </c>
      <c r="O2469" s="5" t="str">
        <f>IFERROR(__xludf.DUMMYFUNCTION("IF(REGEXMATCH(TRIM(I2469), ""^\d+\s*min""), ""Unclassified"", IF(I2469 = """", ""NR"", I2469))"),"TV-MA")</f>
        <v>TV-MA</v>
      </c>
      <c r="R2469" s="5" t="str">
        <f t="shared" si="2"/>
        <v>I'M No Longer Here</v>
      </c>
      <c r="S2469" s="5" t="str">
        <f>IFERROR(__xludf.DUMMYFUNCTION("""COMPUTED_VALUE"""),"Fisherman'S Friends")</f>
        <v>Fisherman'S Friends</v>
      </c>
      <c r="U2469" s="5" t="str">
        <f>IFERROR(__xludf.DUMMYFUNCTION("""COMPUTED_VALUE"""),"Eduardo Mendoza De Echave")</f>
        <v>Eduardo Mendoza De Echave</v>
      </c>
      <c r="V2469" s="5" t="s">
        <v>13936</v>
      </c>
      <c r="W2469" s="5" t="str">
        <f t="shared" si="3"/>
        <v>Lori Kaye</v>
      </c>
      <c r="X2469" s="5">
        <f t="shared" si="4"/>
        <v>1</v>
      </c>
      <c r="Y2469" s="5" t="str">
        <f>IFERROR(__xludf.DUMMYFUNCTION("REGEXEXTRACT(J2469, ""^\d+"")"),"112")</f>
        <v>112</v>
      </c>
      <c r="Z2469" s="5" t="str">
        <f>IFERROR(__xludf.DUMMYFUNCTION("REGEXEXTRACT(J2469, ""[A-Za-z ]+$"")")," min")</f>
        <v> min</v>
      </c>
      <c r="AA2469" s="5" t="str">
        <f>IFERROR(__xludf.DUMMYFUNCTION("IF(REGEXMATCH(Z2469, ""Season""), ""TV Show"", ""Movie"")"),"Movie")</f>
        <v>Movie</v>
      </c>
    </row>
    <row r="2470">
      <c r="A2470" s="1" t="s">
        <v>13937</v>
      </c>
      <c r="B2470" s="1" t="s">
        <v>27</v>
      </c>
      <c r="C2470" s="1" t="s">
        <v>13938</v>
      </c>
      <c r="D2470" s="1" t="s">
        <v>13939</v>
      </c>
      <c r="E2470" s="1" t="s">
        <v>13940</v>
      </c>
      <c r="F2470" s="1" t="s">
        <v>221</v>
      </c>
      <c r="G2470" s="7">
        <v>43977.0</v>
      </c>
      <c r="H2470" s="1">
        <v>2020.0</v>
      </c>
      <c r="I2470" s="1" t="s">
        <v>42</v>
      </c>
      <c r="J2470" s="1" t="s">
        <v>5120</v>
      </c>
      <c r="K2470" s="1" t="s">
        <v>1839</v>
      </c>
      <c r="L2470" s="1" t="s">
        <v>13941</v>
      </c>
      <c r="M2470" s="2" t="s">
        <v>12</v>
      </c>
      <c r="N2470" s="4">
        <f t="shared" si="1"/>
        <v>43977</v>
      </c>
      <c r="O2470" s="5" t="str">
        <f>IFERROR(__xludf.DUMMYFUNCTION("IF(REGEXMATCH(TRIM(I2470), ""^\d+\s*min""), ""Unclassified"", IF(I2470 = """", ""NR"", I2470))"),"TV-MA")</f>
        <v>TV-MA</v>
      </c>
      <c r="R2470" s="5" t="str">
        <f t="shared" si="2"/>
        <v>Hannah Gadsby: Douglas</v>
      </c>
      <c r="S2470" s="5" t="str">
        <f>IFERROR(__xludf.DUMMYFUNCTION("""COMPUTED_VALUE"""),"Fishpeople")</f>
        <v>Fishpeople</v>
      </c>
      <c r="U2470" s="5" t="str">
        <f>IFERROR(__xludf.DUMMYFUNCTION("""COMPUTED_VALUE"""),"Craig Johnson")</f>
        <v>Craig Johnson</v>
      </c>
      <c r="V2470" s="5" t="s">
        <v>13942</v>
      </c>
      <c r="W2470" s="5" t="str">
        <f t="shared" si="3"/>
        <v>Louie Psihoyos</v>
      </c>
      <c r="X2470" s="5">
        <f t="shared" si="4"/>
        <v>1</v>
      </c>
      <c r="Y2470" s="5" t="str">
        <f>IFERROR(__xludf.DUMMYFUNCTION("REGEXEXTRACT(J2470, ""^\d+"")"),"73")</f>
        <v>73</v>
      </c>
      <c r="Z2470" s="5" t="str">
        <f>IFERROR(__xludf.DUMMYFUNCTION("REGEXEXTRACT(J2470, ""[A-Za-z ]+$"")")," min")</f>
        <v> min</v>
      </c>
      <c r="AA2470" s="5" t="str">
        <f>IFERROR(__xludf.DUMMYFUNCTION("IF(REGEXMATCH(Z2470, ""Season""), ""TV Show"", ""Movie"")"),"Movie")</f>
        <v>Movie</v>
      </c>
    </row>
    <row r="2471">
      <c r="A2471" s="1" t="s">
        <v>13943</v>
      </c>
      <c r="B2471" s="1" t="s">
        <v>27</v>
      </c>
      <c r="C2471" s="1" t="s">
        <v>13944</v>
      </c>
      <c r="D2471" s="1" t="s">
        <v>13945</v>
      </c>
      <c r="E2471" s="1" t="s">
        <v>13946</v>
      </c>
      <c r="F2471" s="1" t="s">
        <v>3892</v>
      </c>
      <c r="G2471" s="7">
        <v>43976.0</v>
      </c>
      <c r="H2471" s="1">
        <v>2019.0</v>
      </c>
      <c r="I2471" s="1" t="s">
        <v>97</v>
      </c>
      <c r="J2471" s="1" t="s">
        <v>297</v>
      </c>
      <c r="K2471" s="1" t="s">
        <v>1328</v>
      </c>
      <c r="L2471" s="1" t="s">
        <v>13947</v>
      </c>
      <c r="M2471" s="2" t="s">
        <v>12</v>
      </c>
      <c r="N2471" s="4">
        <f t="shared" si="1"/>
        <v>43976</v>
      </c>
      <c r="O2471" s="5" t="str">
        <f>IFERROR(__xludf.DUMMYFUNCTION("IF(REGEXMATCH(TRIM(I2471), ""^\d+\s*min""), ""Unclassified"", IF(I2471 = """", ""NR"", I2471))"),"TV-14")</f>
        <v>TV-14</v>
      </c>
      <c r="R2471" s="5" t="str">
        <f t="shared" si="2"/>
        <v>Ne Zha</v>
      </c>
      <c r="S2471" s="5" t="str">
        <f>IFERROR(__xludf.DUMMYFUNCTION("""COMPUTED_VALUE"""),"Fishtail")</f>
        <v>Fishtail</v>
      </c>
      <c r="U2471" s="5" t="str">
        <f>IFERROR(__xludf.DUMMYFUNCTION("""COMPUTED_VALUE"""),"Jeffrey Walker")</f>
        <v>Jeffrey Walker</v>
      </c>
      <c r="V2471" s="5" t="s">
        <v>2451</v>
      </c>
      <c r="W2471" s="5" t="str">
        <f t="shared" si="3"/>
        <v>Louie Schwartzberg</v>
      </c>
      <c r="X2471" s="5">
        <f t="shared" si="4"/>
        <v>1</v>
      </c>
      <c r="Y2471" s="5" t="str">
        <f>IFERROR(__xludf.DUMMYFUNCTION("REGEXEXTRACT(J2471, ""^\d+"")"),"110")</f>
        <v>110</v>
      </c>
      <c r="Z2471" s="5" t="str">
        <f>IFERROR(__xludf.DUMMYFUNCTION("REGEXEXTRACT(J2471, ""[A-Za-z ]+$"")")," min")</f>
        <v> min</v>
      </c>
      <c r="AA2471" s="5" t="str">
        <f>IFERROR(__xludf.DUMMYFUNCTION("IF(REGEXMATCH(Z2471, ""Season""), ""TV Show"", ""Movie"")"),"Movie")</f>
        <v>Movie</v>
      </c>
    </row>
    <row r="2472">
      <c r="A2472" s="1" t="s">
        <v>13948</v>
      </c>
      <c r="B2472" s="1" t="s">
        <v>37</v>
      </c>
      <c r="C2472" s="1" t="s">
        <v>13949</v>
      </c>
      <c r="D2472" s="1" t="s">
        <v>10902</v>
      </c>
      <c r="E2472" s="1" t="s">
        <v>13950</v>
      </c>
      <c r="F2472" s="1" t="s">
        <v>30</v>
      </c>
      <c r="G2472" s="7">
        <v>43976.0</v>
      </c>
      <c r="H2472" s="1">
        <v>2019.0</v>
      </c>
      <c r="I2472" s="1" t="s">
        <v>97</v>
      </c>
      <c r="J2472" s="1" t="s">
        <v>189</v>
      </c>
      <c r="K2472" s="1" t="s">
        <v>2583</v>
      </c>
      <c r="L2472" s="1" t="s">
        <v>13951</v>
      </c>
      <c r="M2472" s="2" t="s">
        <v>12</v>
      </c>
      <c r="N2472" s="4">
        <f t="shared" si="1"/>
        <v>43976</v>
      </c>
      <c r="O2472" s="5" t="str">
        <f>IFERROR(__xludf.DUMMYFUNCTION("IF(REGEXMATCH(TRIM(I2472), ""^\d+\s*min""), ""Unclassified"", IF(I2472 = """", ""NR"", I2472))"),"TV-14")</f>
        <v>TV-14</v>
      </c>
      <c r="R2472" s="5" t="str">
        <f t="shared" si="2"/>
        <v>Supergirl</v>
      </c>
      <c r="S2472" s="5" t="str">
        <f>IFERROR(__xludf.DUMMYFUNCTION("""COMPUTED_VALUE"""),"Fishtronaut: The Movie")</f>
        <v>Fishtronaut: The Movie</v>
      </c>
      <c r="U2472" s="5" t="str">
        <f>IFERROR(__xludf.DUMMYFUNCTION("""COMPUTED_VALUE"""),"Shadab Khan")</f>
        <v>Shadab Khan</v>
      </c>
      <c r="V2472" s="5" t="s">
        <v>13952</v>
      </c>
      <c r="W2472" s="5" t="str">
        <f t="shared" si="3"/>
        <v>Louis C.K.</v>
      </c>
      <c r="X2472" s="5">
        <f t="shared" si="4"/>
        <v>3</v>
      </c>
      <c r="Y2472" s="5" t="str">
        <f>IFERROR(__xludf.DUMMYFUNCTION("REGEXEXTRACT(J2472, ""^\d+"")"),"5")</f>
        <v>5</v>
      </c>
      <c r="Z2472" s="5" t="str">
        <f>IFERROR(__xludf.DUMMYFUNCTION("REGEXEXTRACT(J2472, ""[A-Za-z ]+$"")")," Seasons")</f>
        <v> Seasons</v>
      </c>
      <c r="AA2472" s="5" t="str">
        <f>IFERROR(__xludf.DUMMYFUNCTION("IF(REGEXMATCH(Z2472, ""Season""), ""TV Show"", ""Movie"")"),"TV Show")</f>
        <v>TV Show</v>
      </c>
    </row>
    <row r="2473">
      <c r="A2473" s="1" t="s">
        <v>13953</v>
      </c>
      <c r="B2473" s="1" t="s">
        <v>27</v>
      </c>
      <c r="C2473" s="1" t="s">
        <v>13954</v>
      </c>
      <c r="D2473" s="1" t="s">
        <v>11889</v>
      </c>
      <c r="E2473" s="1" t="s">
        <v>13955</v>
      </c>
      <c r="F2473" s="1" t="s">
        <v>30</v>
      </c>
      <c r="G2473" s="7">
        <v>43976.0</v>
      </c>
      <c r="H2473" s="1">
        <v>2019.0</v>
      </c>
      <c r="I2473" s="1" t="s">
        <v>378</v>
      </c>
      <c r="J2473" s="1" t="s">
        <v>1369</v>
      </c>
      <c r="K2473" s="1" t="s">
        <v>394</v>
      </c>
      <c r="L2473" s="1" t="s">
        <v>13956</v>
      </c>
      <c r="M2473" s="2" t="s">
        <v>12</v>
      </c>
      <c r="N2473" s="4">
        <f t="shared" si="1"/>
        <v>43976</v>
      </c>
      <c r="O2473" s="5" t="str">
        <f>IFERROR(__xludf.DUMMYFUNCTION("IF(REGEXMATCH(TRIM(I2473), ""^\d+\s*min""), ""Unclassified"", IF(I2473 = """", ""NR"", I2473))"),"R")</f>
        <v>R</v>
      </c>
      <c r="R2473" s="5" t="str">
        <f t="shared" si="2"/>
        <v>Uncut Gems</v>
      </c>
      <c r="S2473" s="5" t="str">
        <f>IFERROR(__xludf.DUMMYFUNCTION("""COMPUTED_VALUE"""),"Fit For Fashion")</f>
        <v>Fit For Fashion</v>
      </c>
      <c r="U2473" s="5" t="str">
        <f>IFERROR(__xludf.DUMMYFUNCTION("""COMPUTED_VALUE"""),"Nattawut Poonpiriya")</f>
        <v>Nattawut Poonpiriya</v>
      </c>
      <c r="V2473" s="5" t="s">
        <v>13957</v>
      </c>
      <c r="W2473" s="5" t="str">
        <f t="shared" si="3"/>
        <v>Louis J. Horvitz</v>
      </c>
      <c r="X2473" s="5">
        <f t="shared" si="4"/>
        <v>1</v>
      </c>
      <c r="Y2473" s="5" t="str">
        <f>IFERROR(__xludf.DUMMYFUNCTION("REGEXEXTRACT(J2473, ""^\d+"")"),"135")</f>
        <v>135</v>
      </c>
      <c r="Z2473" s="5" t="str">
        <f>IFERROR(__xludf.DUMMYFUNCTION("REGEXEXTRACT(J2473, ""[A-Za-z ]+$"")")," min")</f>
        <v> min</v>
      </c>
      <c r="AA2473" s="5" t="str">
        <f>IFERROR(__xludf.DUMMYFUNCTION("IF(REGEXMATCH(Z2473, ""Season""), ""TV Show"", ""Movie"")"),"Movie")</f>
        <v>Movie</v>
      </c>
    </row>
    <row r="2474">
      <c r="A2474" s="1" t="s">
        <v>13958</v>
      </c>
      <c r="B2474" s="1" t="s">
        <v>37</v>
      </c>
      <c r="C2474" s="1" t="s">
        <v>13959</v>
      </c>
      <c r="E2474" s="1" t="s">
        <v>13960</v>
      </c>
      <c r="F2474" s="1" t="s">
        <v>63</v>
      </c>
      <c r="G2474" s="7">
        <v>43975.0</v>
      </c>
      <c r="H2474" s="1">
        <v>2020.0</v>
      </c>
      <c r="I2474" s="1" t="s">
        <v>42</v>
      </c>
      <c r="J2474" s="1" t="s">
        <v>51</v>
      </c>
      <c r="K2474" s="1" t="s">
        <v>13961</v>
      </c>
      <c r="L2474" s="1" t="s">
        <v>13962</v>
      </c>
      <c r="M2474" s="2" t="s">
        <v>12</v>
      </c>
      <c r="N2474" s="4">
        <f t="shared" si="1"/>
        <v>43975</v>
      </c>
      <c r="O2474" s="5" t="str">
        <f>IFERROR(__xludf.DUMMYFUNCTION("IF(REGEXMATCH(TRIM(I2474), ""^\d+\s*min""), ""Unclassified"", IF(I2474 = """", ""NR"", I2474))"),"TV-MA")</f>
        <v>TV-MA</v>
      </c>
      <c r="R2474" s="5" t="str">
        <f t="shared" si="2"/>
        <v>Betaal</v>
      </c>
      <c r="S2474" s="5" t="str">
        <f>IFERROR(__xludf.DUMMYFUNCTION("""COMPUTED_VALUE"""),"Fitoor")</f>
        <v>Fitoor</v>
      </c>
      <c r="U2474" s="5" t="str">
        <f>IFERROR(__xludf.DUMMYFUNCTION("""COMPUTED_VALUE"""),"Felix Starck")</f>
        <v>Felix Starck</v>
      </c>
      <c r="V2474" s="5" t="s">
        <v>13963</v>
      </c>
      <c r="W2474" s="5" t="str">
        <f t="shared" si="3"/>
        <v>Louis Leterrier</v>
      </c>
      <c r="X2474" s="5">
        <f t="shared" si="4"/>
        <v>1</v>
      </c>
      <c r="Y2474" s="5" t="str">
        <f>IFERROR(__xludf.DUMMYFUNCTION("REGEXEXTRACT(J2474, ""^\d+"")"),"1")</f>
        <v>1</v>
      </c>
      <c r="Z2474" s="5" t="str">
        <f>IFERROR(__xludf.DUMMYFUNCTION("REGEXEXTRACT(J2474, ""[A-Za-z ]+$"")")," Season")</f>
        <v> Season</v>
      </c>
      <c r="AA2474" s="5" t="str">
        <f>IFERROR(__xludf.DUMMYFUNCTION("IF(REGEXMATCH(Z2474, ""Season""), ""TV Show"", ""Movie"")"),"TV Show")</f>
        <v>TV Show</v>
      </c>
    </row>
    <row r="2475">
      <c r="A2475" s="1" t="s">
        <v>13964</v>
      </c>
      <c r="B2475" s="1" t="s">
        <v>37</v>
      </c>
      <c r="C2475" s="1" t="s">
        <v>13965</v>
      </c>
      <c r="E2475" s="1" t="s">
        <v>13966</v>
      </c>
      <c r="F2475" s="1" t="s">
        <v>30</v>
      </c>
      <c r="G2475" s="7">
        <v>43974.0</v>
      </c>
      <c r="H2475" s="1">
        <v>2019.0</v>
      </c>
      <c r="I2475" s="1" t="s">
        <v>97</v>
      </c>
      <c r="J2475" s="1" t="s">
        <v>276</v>
      </c>
      <c r="K2475" s="1" t="s">
        <v>2709</v>
      </c>
      <c r="L2475" s="1" t="s">
        <v>13967</v>
      </c>
      <c r="M2475" s="2" t="s">
        <v>12</v>
      </c>
      <c r="N2475" s="4">
        <f t="shared" si="1"/>
        <v>43974</v>
      </c>
      <c r="O2475" s="5" t="str">
        <f>IFERROR(__xludf.DUMMYFUNCTION("IF(REGEXMATCH(TRIM(I2475), ""^\d+\s*min""), ""Unclassified"", IF(I2475 = """", ""NR"", I2475))"),"TV-14")</f>
        <v>TV-14</v>
      </c>
      <c r="R2475" s="5" t="str">
        <f t="shared" si="2"/>
        <v>Dynasty</v>
      </c>
      <c r="S2475" s="5" t="str">
        <f>IFERROR(__xludf.DUMMYFUNCTION("""COMPUTED_VALUE"""),"Fittest In Dubai")</f>
        <v>Fittest In Dubai</v>
      </c>
      <c r="U2475" s="5" t="str">
        <f>IFERROR(__xludf.DUMMYFUNCTION("""COMPUTED_VALUE"""),"Norberto López Amado")</f>
        <v>Norberto López Amado</v>
      </c>
      <c r="V2475" s="5" t="s">
        <v>13968</v>
      </c>
      <c r="W2475" s="5" t="str">
        <f t="shared" si="3"/>
        <v>Louise Alston</v>
      </c>
      <c r="X2475" s="5">
        <f t="shared" si="4"/>
        <v>1</v>
      </c>
      <c r="Y2475" s="5" t="str">
        <f>IFERROR(__xludf.DUMMYFUNCTION("REGEXEXTRACT(J2475, ""^\d+"")"),"3")</f>
        <v>3</v>
      </c>
      <c r="Z2475" s="5" t="str">
        <f>IFERROR(__xludf.DUMMYFUNCTION("REGEXEXTRACT(J2475, ""[A-Za-z ]+$"")")," Seasons")</f>
        <v> Seasons</v>
      </c>
      <c r="AA2475" s="5" t="str">
        <f>IFERROR(__xludf.DUMMYFUNCTION("IF(REGEXMATCH(Z2475, ""Season""), ""TV Show"", ""Movie"")"),"TV Show")</f>
        <v>TV Show</v>
      </c>
    </row>
    <row r="2476">
      <c r="A2476" s="1" t="s">
        <v>13969</v>
      </c>
      <c r="B2476" s="1" t="s">
        <v>27</v>
      </c>
      <c r="C2476" s="1" t="s">
        <v>13970</v>
      </c>
      <c r="D2476" s="1" t="s">
        <v>2080</v>
      </c>
      <c r="E2476" s="1" t="s">
        <v>13971</v>
      </c>
      <c r="F2476" s="1" t="s">
        <v>2873</v>
      </c>
      <c r="G2476" s="7">
        <v>43974.0</v>
      </c>
      <c r="H2476" s="1">
        <v>2020.0</v>
      </c>
      <c r="I2476" s="1" t="s">
        <v>506</v>
      </c>
      <c r="J2476" s="1" t="s">
        <v>757</v>
      </c>
      <c r="K2476" s="1" t="s">
        <v>128</v>
      </c>
      <c r="L2476" s="1" t="s">
        <v>13972</v>
      </c>
      <c r="M2476" s="2" t="s">
        <v>12</v>
      </c>
      <c r="N2476" s="4">
        <f t="shared" si="1"/>
        <v>43974</v>
      </c>
      <c r="O2476" s="5" t="str">
        <f>IFERROR(__xludf.DUMMYFUNCTION("IF(REGEXMATCH(TRIM(I2476), ""^\d+\s*min""), ""Unclassified"", IF(I2476 = """", ""NR"", I2476))"),"TV-G")</f>
        <v>TV-G</v>
      </c>
      <c r="R2476" s="5" t="str">
        <f t="shared" si="2"/>
        <v>One Day We'Ll Talk About Today</v>
      </c>
      <c r="S2476" s="5" t="str">
        <f>IFERROR(__xludf.DUMMYFUNCTION("""COMPUTED_VALUE"""),"Five Came Back")</f>
        <v>Five Came Back</v>
      </c>
      <c r="U2476" s="5" t="str">
        <f>IFERROR(__xludf.DUMMYFUNCTION("""COMPUTED_VALUE"""),"Alex Richanbach")</f>
        <v>Alex Richanbach</v>
      </c>
      <c r="V2476" s="5" t="s">
        <v>13973</v>
      </c>
      <c r="W2476" s="5" t="str">
        <f t="shared" si="3"/>
        <v>Louise Wardle</v>
      </c>
      <c r="X2476" s="5">
        <f t="shared" si="4"/>
        <v>1</v>
      </c>
      <c r="Y2476" s="5" t="str">
        <f>IFERROR(__xludf.DUMMYFUNCTION("REGEXEXTRACT(J2476, ""^\d+"")"),"128")</f>
        <v>128</v>
      </c>
      <c r="Z2476" s="5" t="str">
        <f>IFERROR(__xludf.DUMMYFUNCTION("REGEXEXTRACT(J2476, ""[A-Za-z ]+$"")")," min")</f>
        <v> min</v>
      </c>
      <c r="AA2476" s="5" t="str">
        <f>IFERROR(__xludf.DUMMYFUNCTION("IF(REGEXMATCH(Z2476, ""Season""), ""TV Show"", ""Movie"")"),"Movie")</f>
        <v>Movie</v>
      </c>
    </row>
    <row r="2477">
      <c r="A2477" s="1" t="s">
        <v>13974</v>
      </c>
      <c r="B2477" s="1" t="s">
        <v>27</v>
      </c>
      <c r="C2477" s="1" t="s">
        <v>13975</v>
      </c>
      <c r="D2477" s="1" t="s">
        <v>3338</v>
      </c>
      <c r="E2477" s="1" t="s">
        <v>13976</v>
      </c>
      <c r="F2477" s="1" t="s">
        <v>2873</v>
      </c>
      <c r="G2477" s="7">
        <v>43974.0</v>
      </c>
      <c r="H2477" s="1">
        <v>2020.0</v>
      </c>
      <c r="I2477" s="1" t="s">
        <v>506</v>
      </c>
      <c r="J2477" s="1" t="s">
        <v>454</v>
      </c>
      <c r="K2477" s="1" t="s">
        <v>1429</v>
      </c>
      <c r="L2477" s="1" t="s">
        <v>13977</v>
      </c>
      <c r="M2477" s="2" t="s">
        <v>12</v>
      </c>
      <c r="N2477" s="4">
        <f t="shared" si="1"/>
        <v>43974</v>
      </c>
      <c r="O2477" s="5" t="str">
        <f>IFERROR(__xludf.DUMMYFUNCTION("IF(REGEXMATCH(TRIM(I2477), ""^\d+\s*min""), ""Unclassified"", IF(I2477 = """", ""NR"", I2477))"),"TV-G")</f>
        <v>TV-G</v>
      </c>
      <c r="R2477" s="5" t="str">
        <f t="shared" si="2"/>
        <v>Si Doel The Movie 3</v>
      </c>
      <c r="S2477" s="5" t="str">
        <f>IFERROR(__xludf.DUMMYFUNCTION("""COMPUTED_VALUE"""),"Five Came Back: The Reference Films")</f>
        <v>Five Came Back: The Reference Films</v>
      </c>
      <c r="U2477" s="5" t="str">
        <f>IFERROR(__xludf.DUMMYFUNCTION("""COMPUTED_VALUE"""),"Tig Notaro")</f>
        <v>Tig Notaro</v>
      </c>
      <c r="V2477" s="5" t="s">
        <v>13978</v>
      </c>
      <c r="W2477" s="5" t="str">
        <f t="shared" si="3"/>
        <v>Lp</v>
      </c>
      <c r="X2477" s="5">
        <f t="shared" si="4"/>
        <v>1</v>
      </c>
      <c r="Y2477" s="5" t="str">
        <f>IFERROR(__xludf.DUMMYFUNCTION("REGEXEXTRACT(J2477, ""^\d+"")"),"93")</f>
        <v>93</v>
      </c>
      <c r="Z2477" s="5" t="str">
        <f>IFERROR(__xludf.DUMMYFUNCTION("REGEXEXTRACT(J2477, ""[A-Za-z ]+$"")")," min")</f>
        <v> min</v>
      </c>
      <c r="AA2477" s="5" t="str">
        <f>IFERROR(__xludf.DUMMYFUNCTION("IF(REGEXMATCH(Z2477, ""Season""), ""TV Show"", ""Movie"")"),"Movie")</f>
        <v>Movie</v>
      </c>
    </row>
    <row r="2478">
      <c r="A2478" s="1" t="s">
        <v>13979</v>
      </c>
      <c r="B2478" s="1" t="s">
        <v>37</v>
      </c>
      <c r="C2478" s="1" t="s">
        <v>13980</v>
      </c>
      <c r="F2478" s="1" t="s">
        <v>96</v>
      </c>
      <c r="G2478" s="7">
        <v>43973.0</v>
      </c>
      <c r="H2478" s="1">
        <v>2020.0</v>
      </c>
      <c r="I2478" s="1" t="s">
        <v>97</v>
      </c>
      <c r="J2478" s="1" t="s">
        <v>51</v>
      </c>
      <c r="K2478" s="1" t="s">
        <v>544</v>
      </c>
      <c r="L2478" s="1" t="s">
        <v>13981</v>
      </c>
      <c r="M2478" s="2" t="s">
        <v>12</v>
      </c>
      <c r="N2478" s="4">
        <f t="shared" si="1"/>
        <v>43973</v>
      </c>
      <c r="O2478" s="5" t="str">
        <f>IFERROR(__xludf.DUMMYFUNCTION("IF(REGEXMATCH(TRIM(I2478), ""^\d+\s*min""), ""Unclassified"", IF(I2478 = """", ""NR"", I2478))"),"TV-14")</f>
        <v>TV-14</v>
      </c>
      <c r="R2478" s="5" t="str">
        <f t="shared" si="2"/>
        <v>History 101</v>
      </c>
      <c r="S2478" s="5" t="str">
        <f>IFERROR(__xludf.DUMMYFUNCTION("""COMPUTED_VALUE"""),"Five Elements Ninjas")</f>
        <v>Five Elements Ninjas</v>
      </c>
      <c r="U2478" s="5" t="str">
        <f>IFERROR(__xludf.DUMMYFUNCTION("""COMPUTED_VALUE"""),"Brit Mcadams")</f>
        <v>Brit Mcadams</v>
      </c>
      <c r="V2478" s="5" t="s">
        <v>13982</v>
      </c>
      <c r="W2478" s="5" t="str">
        <f t="shared" si="3"/>
        <v>Lu Yang</v>
      </c>
      <c r="X2478" s="5">
        <f t="shared" si="4"/>
        <v>1</v>
      </c>
      <c r="Y2478" s="5" t="str">
        <f>IFERROR(__xludf.DUMMYFUNCTION("REGEXEXTRACT(J2478, ""^\d+"")"),"1")</f>
        <v>1</v>
      </c>
      <c r="Z2478" s="5" t="str">
        <f>IFERROR(__xludf.DUMMYFUNCTION("REGEXEXTRACT(J2478, ""[A-Za-z ]+$"")")," Season")</f>
        <v> Season</v>
      </c>
      <c r="AA2478" s="5" t="str">
        <f>IFERROR(__xludf.DUMMYFUNCTION("IF(REGEXMATCH(Z2478, ""Season""), ""TV Show"", ""Movie"")"),"TV Show")</f>
        <v>TV Show</v>
      </c>
    </row>
    <row r="2479">
      <c r="A2479" s="1" t="s">
        <v>13983</v>
      </c>
      <c r="B2479" s="1" t="s">
        <v>27</v>
      </c>
      <c r="C2479" s="1" t="s">
        <v>13984</v>
      </c>
      <c r="D2479" s="1" t="s">
        <v>3450</v>
      </c>
      <c r="E2479" s="1" t="s">
        <v>13985</v>
      </c>
      <c r="F2479" s="1" t="s">
        <v>400</v>
      </c>
      <c r="G2479" s="7">
        <v>43973.0</v>
      </c>
      <c r="H2479" s="1">
        <v>2019.0</v>
      </c>
      <c r="I2479" s="1" t="s">
        <v>42</v>
      </c>
      <c r="J2479" s="1" t="s">
        <v>5833</v>
      </c>
      <c r="K2479" s="1" t="s">
        <v>1592</v>
      </c>
      <c r="L2479" s="1" t="s">
        <v>13986</v>
      </c>
      <c r="M2479" s="2" t="s">
        <v>12</v>
      </c>
      <c r="N2479" s="4">
        <f t="shared" si="1"/>
        <v>43973</v>
      </c>
      <c r="O2479" s="5" t="str">
        <f>IFERROR(__xludf.DUMMYFUNCTION("IF(REGEXMATCH(TRIM(I2479), ""^\d+\s*min""), ""Unclassified"", IF(I2479 = """", ""NR"", I2479))"),"TV-MA")</f>
        <v>TV-MA</v>
      </c>
      <c r="R2479" s="5" t="str">
        <f t="shared" si="2"/>
        <v>Living In Bondage: Breaking Free</v>
      </c>
      <c r="S2479" s="5" t="str">
        <f>IFERROR(__xludf.DUMMYFUNCTION("""COMPUTED_VALUE"""),"Five Feet Apart")</f>
        <v>Five Feet Apart</v>
      </c>
      <c r="U2479" s="5" t="str">
        <f>IFERROR(__xludf.DUMMYFUNCTION("""COMPUTED_VALUE"""),"Mercedes Cordova")</f>
        <v>Mercedes Cordova</v>
      </c>
      <c r="V2479" s="5" t="s">
        <v>13987</v>
      </c>
      <c r="W2479" s="5" t="str">
        <f t="shared" si="3"/>
        <v>Luc Vinciguerra</v>
      </c>
      <c r="X2479" s="5">
        <f t="shared" si="4"/>
        <v>2</v>
      </c>
      <c r="Y2479" s="5" t="str">
        <f>IFERROR(__xludf.DUMMYFUNCTION("REGEXEXTRACT(J2479, ""^\d+"")"),"149")</f>
        <v>149</v>
      </c>
      <c r="Z2479" s="5" t="str">
        <f>IFERROR(__xludf.DUMMYFUNCTION("REGEXEXTRACT(J2479, ""[A-Za-z ]+$"")")," min")</f>
        <v> min</v>
      </c>
      <c r="AA2479" s="5" t="str">
        <f>IFERROR(__xludf.DUMMYFUNCTION("IF(REGEXMATCH(Z2479, ""Season""), ""TV Show"", ""Movie"")"),"Movie")</f>
        <v>Movie</v>
      </c>
    </row>
    <row r="2480">
      <c r="A2480" s="1" t="s">
        <v>13988</v>
      </c>
      <c r="B2480" s="1" t="s">
        <v>27</v>
      </c>
      <c r="C2480" s="1" t="s">
        <v>13989</v>
      </c>
      <c r="D2480" s="1" t="s">
        <v>9341</v>
      </c>
      <c r="E2480" s="1" t="s">
        <v>13990</v>
      </c>
      <c r="F2480" s="1" t="s">
        <v>415</v>
      </c>
      <c r="G2480" s="7">
        <v>43973.0</v>
      </c>
      <c r="H2480" s="1">
        <v>2018.0</v>
      </c>
      <c r="I2480" s="1" t="s">
        <v>78</v>
      </c>
      <c r="J2480" s="1" t="s">
        <v>5941</v>
      </c>
      <c r="K2480" s="1" t="s">
        <v>13575</v>
      </c>
      <c r="L2480" s="1" t="s">
        <v>13991</v>
      </c>
      <c r="M2480" s="2" t="s">
        <v>12</v>
      </c>
      <c r="N2480" s="4">
        <f t="shared" si="1"/>
        <v>43973</v>
      </c>
      <c r="O2480" s="5" t="str">
        <f>IFERROR(__xludf.DUMMYFUNCTION("IF(REGEXMATCH(TRIM(I2480), ""^\d+\s*min""), ""Unclassified"", IF(I2480 = """", ""NR"", I2480))"),"PG")</f>
        <v>PG</v>
      </c>
      <c r="R2480" s="5" t="str">
        <f t="shared" si="2"/>
        <v>Modest Heroes: Ponoc Short Films Theatre</v>
      </c>
      <c r="S2480" s="5" t="str">
        <f>IFERROR(__xludf.DUMMYFUNCTION("""COMPUTED_VALUE"""),"Five Nights In Maine")</f>
        <v>Five Nights In Maine</v>
      </c>
      <c r="U2480" s="5" t="str">
        <f>IFERROR(__xludf.DUMMYFUNCTION("""COMPUTED_VALUE"""),"Hayao Miyazaki")</f>
        <v>Hayao Miyazaki</v>
      </c>
      <c r="V2480" s="5" t="s">
        <v>13992</v>
      </c>
      <c r="W2480" s="5" t="str">
        <f t="shared" si="3"/>
        <v>Luca Vullo</v>
      </c>
      <c r="X2480" s="5">
        <f t="shared" si="4"/>
        <v>1</v>
      </c>
      <c r="Y2480" s="5" t="str">
        <f>IFERROR(__xludf.DUMMYFUNCTION("REGEXEXTRACT(J2480, ""^\d+"")"),"54")</f>
        <v>54</v>
      </c>
      <c r="Z2480" s="5" t="str">
        <f>IFERROR(__xludf.DUMMYFUNCTION("REGEXEXTRACT(J2480, ""[A-Za-z ]+$"")")," min")</f>
        <v> min</v>
      </c>
      <c r="AA2480" s="5" t="str">
        <f>IFERROR(__xludf.DUMMYFUNCTION("IF(REGEXMATCH(Z2480, ""Season""), ""TV Show"", ""Movie"")"),"Movie")</f>
        <v>Movie</v>
      </c>
    </row>
    <row r="2481">
      <c r="A2481" s="1" t="s">
        <v>13993</v>
      </c>
      <c r="B2481" s="1" t="s">
        <v>27</v>
      </c>
      <c r="C2481" s="1" t="s">
        <v>13994</v>
      </c>
      <c r="D2481" s="1" t="s">
        <v>13995</v>
      </c>
      <c r="E2481" s="1" t="s">
        <v>13996</v>
      </c>
      <c r="F2481" s="1" t="s">
        <v>30</v>
      </c>
      <c r="G2481" s="7">
        <v>43973.0</v>
      </c>
      <c r="H2481" s="1">
        <v>2020.0</v>
      </c>
      <c r="I2481" s="1" t="s">
        <v>378</v>
      </c>
      <c r="J2481" s="1" t="s">
        <v>630</v>
      </c>
      <c r="K2481" s="1" t="s">
        <v>13997</v>
      </c>
      <c r="L2481" s="1" t="s">
        <v>13998</v>
      </c>
      <c r="M2481" s="2" t="s">
        <v>12</v>
      </c>
      <c r="N2481" s="4">
        <f t="shared" si="1"/>
        <v>43973</v>
      </c>
      <c r="O2481" s="5" t="str">
        <f>IFERROR(__xludf.DUMMYFUNCTION("IF(REGEXMATCH(TRIM(I2481), ""^\d+\s*min""), ""Unclassified"", IF(I2481 = """", ""NR"", I2481))"),"R")</f>
        <v>R</v>
      </c>
      <c r="R2481" s="5" t="str">
        <f t="shared" si="2"/>
        <v>The Lovebirds</v>
      </c>
      <c r="S2481" s="5" t="str">
        <f>IFERROR(__xludf.DUMMYFUNCTION("""COMPUTED_VALUE"""),"Fix It And Finish It")</f>
        <v>Fix It And Finish It</v>
      </c>
      <c r="U2481" s="5" t="str">
        <f>IFERROR(__xludf.DUMMYFUNCTION("""COMPUTED_VALUE"""),"Anthony Abrams, Adam Larson Broder")</f>
        <v>Anthony Abrams, Adam Larson Broder</v>
      </c>
      <c r="V2481" s="5" t="s">
        <v>13999</v>
      </c>
      <c r="W2481" s="5" t="str">
        <f t="shared" si="3"/>
        <v>Lucas Figueroa</v>
      </c>
      <c r="X2481" s="5">
        <f t="shared" si="4"/>
        <v>1</v>
      </c>
      <c r="Y2481" s="5" t="str">
        <f>IFERROR(__xludf.DUMMYFUNCTION("REGEXEXTRACT(J2481, ""^\d+"")"),"87")</f>
        <v>87</v>
      </c>
      <c r="Z2481" s="5" t="str">
        <f>IFERROR(__xludf.DUMMYFUNCTION("REGEXEXTRACT(J2481, ""[A-Za-z ]+$"")")," min")</f>
        <v> min</v>
      </c>
      <c r="AA2481" s="5" t="str">
        <f>IFERROR(__xludf.DUMMYFUNCTION("IF(REGEXMATCH(Z2481, ""Season""), ""TV Show"", ""Movie"")"),"Movie")</f>
        <v>Movie</v>
      </c>
    </row>
    <row r="2482">
      <c r="A2482" s="1" t="s">
        <v>14000</v>
      </c>
      <c r="B2482" s="1" t="s">
        <v>37</v>
      </c>
      <c r="C2482" s="1" t="s">
        <v>14001</v>
      </c>
      <c r="D2482" s="1" t="s">
        <v>14002</v>
      </c>
      <c r="E2482" s="1" t="s">
        <v>14003</v>
      </c>
      <c r="F2482" s="1" t="s">
        <v>1106</v>
      </c>
      <c r="G2482" s="7">
        <v>43973.0</v>
      </c>
      <c r="H2482" s="1">
        <v>2020.0</v>
      </c>
      <c r="I2482" s="1" t="s">
        <v>42</v>
      </c>
      <c r="J2482" s="1" t="s">
        <v>43</v>
      </c>
      <c r="K2482" s="1" t="s">
        <v>270</v>
      </c>
      <c r="L2482" s="1" t="s">
        <v>14004</v>
      </c>
      <c r="M2482" s="2" t="s">
        <v>12</v>
      </c>
      <c r="N2482" s="4">
        <f t="shared" si="1"/>
        <v>43973</v>
      </c>
      <c r="O2482" s="5" t="str">
        <f>IFERROR(__xludf.DUMMYFUNCTION("IF(REGEXMATCH(TRIM(I2482), ""^\d+\s*min""), ""Unclassified"", IF(I2482 = """", ""NR"", I2482))"),"TV-MA")</f>
        <v>TV-MA</v>
      </c>
      <c r="R2482" s="5" t="str">
        <f t="shared" si="2"/>
        <v>Trailer Park Boys: The Animated Series</v>
      </c>
      <c r="S2482" s="5" t="str">
        <f>IFERROR(__xludf.DUMMYFUNCTION("""COMPUTED_VALUE"""),"Fiza")</f>
        <v>Fiza</v>
      </c>
      <c r="U2482" s="5" t="str">
        <f>IFERROR(__xludf.DUMMYFUNCTION("""COMPUTED_VALUE"""),"Trey Borzillieri, Barbara Schroeder")</f>
        <v>Trey Borzillieri, Barbara Schroeder</v>
      </c>
      <c r="V2482" s="5" t="s">
        <v>14005</v>
      </c>
      <c r="W2482" s="5" t="str">
        <f t="shared" si="3"/>
        <v>Lucas Margutti</v>
      </c>
      <c r="X2482" s="5">
        <f t="shared" si="4"/>
        <v>4</v>
      </c>
      <c r="Y2482" s="5" t="str">
        <f>IFERROR(__xludf.DUMMYFUNCTION("REGEXEXTRACT(J2482, ""^\d+"")"),"2")</f>
        <v>2</v>
      </c>
      <c r="Z2482" s="5" t="str">
        <f>IFERROR(__xludf.DUMMYFUNCTION("REGEXEXTRACT(J2482, ""[A-Za-z ]+$"")")," Seasons")</f>
        <v> Seasons</v>
      </c>
      <c r="AA2482" s="5" t="str">
        <f>IFERROR(__xludf.DUMMYFUNCTION("IF(REGEXMATCH(Z2482, ""Season""), ""TV Show"", ""Movie"")"),"TV Show")</f>
        <v>TV Show</v>
      </c>
    </row>
    <row r="2483">
      <c r="A2483" s="1" t="s">
        <v>14006</v>
      </c>
      <c r="B2483" s="1" t="s">
        <v>27</v>
      </c>
      <c r="C2483" s="1" t="s">
        <v>14007</v>
      </c>
      <c r="D2483" s="1" t="s">
        <v>13039</v>
      </c>
      <c r="E2483" s="1" t="s">
        <v>14008</v>
      </c>
      <c r="F2483" s="1" t="s">
        <v>2873</v>
      </c>
      <c r="G2483" s="7">
        <v>43972.0</v>
      </c>
      <c r="H2483" s="1">
        <v>2018.0</v>
      </c>
      <c r="I2483" s="1" t="s">
        <v>506</v>
      </c>
      <c r="J2483" s="1" t="s">
        <v>447</v>
      </c>
      <c r="K2483" s="1" t="s">
        <v>679</v>
      </c>
      <c r="L2483" s="1" t="s">
        <v>14009</v>
      </c>
      <c r="M2483" s="2" t="s">
        <v>12</v>
      </c>
      <c r="N2483" s="4">
        <f t="shared" si="1"/>
        <v>43972</v>
      </c>
      <c r="O2483" s="5" t="str">
        <f>IFERROR(__xludf.DUMMYFUNCTION("IF(REGEXMATCH(TRIM(I2483), ""^\d+\s*min""), ""Unclassified"", IF(I2483 = """", ""NR"", I2483))"),"TV-G")</f>
        <v>TV-G</v>
      </c>
      <c r="R2483" s="5" t="str">
        <f t="shared" si="2"/>
        <v>#Friendbutmarried</v>
      </c>
      <c r="S2483" s="5" t="str">
        <f>IFERROR(__xludf.DUMMYFUNCTION("""COMPUTED_VALUE"""),"Flaked")</f>
        <v>Flaked</v>
      </c>
      <c r="U2483" s="5" t="str">
        <f>IFERROR(__xludf.DUMMYFUNCTION("""COMPUTED_VALUE"""),"Bobcat Goldthwait")</f>
        <v>Bobcat Goldthwait</v>
      </c>
      <c r="V2483" s="5" t="s">
        <v>9952</v>
      </c>
      <c r="W2483" s="5" t="str">
        <f t="shared" si="3"/>
        <v>Lucas Santa Ana</v>
      </c>
      <c r="X2483" s="5">
        <f t="shared" si="4"/>
        <v>1</v>
      </c>
      <c r="Y2483" s="5" t="str">
        <f>IFERROR(__xludf.DUMMYFUNCTION("REGEXEXTRACT(J2483, ""^\d+"")"),"102")</f>
        <v>102</v>
      </c>
      <c r="Z2483" s="5" t="str">
        <f>IFERROR(__xludf.DUMMYFUNCTION("REGEXEXTRACT(J2483, ""[A-Za-z ]+$"")")," min")</f>
        <v> min</v>
      </c>
      <c r="AA2483" s="5" t="str">
        <f>IFERROR(__xludf.DUMMYFUNCTION("IF(REGEXMATCH(Z2483, ""Season""), ""TV Show"", ""Movie"")"),"Movie")</f>
        <v>Movie</v>
      </c>
    </row>
    <row r="2484">
      <c r="A2484" s="1" t="s">
        <v>14010</v>
      </c>
      <c r="B2484" s="1" t="s">
        <v>27</v>
      </c>
      <c r="C2484" s="1" t="s">
        <v>14011</v>
      </c>
      <c r="D2484" s="1" t="s">
        <v>1477</v>
      </c>
      <c r="E2484" s="1" t="s">
        <v>14012</v>
      </c>
      <c r="F2484" s="1" t="s">
        <v>9234</v>
      </c>
      <c r="G2484" s="7">
        <v>43972.0</v>
      </c>
      <c r="H2484" s="1">
        <v>1981.0</v>
      </c>
      <c r="I2484" s="1" t="s">
        <v>97</v>
      </c>
      <c r="J2484" s="1" t="s">
        <v>7419</v>
      </c>
      <c r="K2484" s="1" t="s">
        <v>583</v>
      </c>
      <c r="L2484" s="1" t="s">
        <v>14013</v>
      </c>
      <c r="M2484" s="2" t="s">
        <v>12</v>
      </c>
      <c r="N2484" s="4">
        <f t="shared" si="1"/>
        <v>43972</v>
      </c>
      <c r="O2484" s="5" t="str">
        <f>IFERROR(__xludf.DUMMYFUNCTION("IF(REGEXMATCH(TRIM(I2484), ""^\d+\s*min""), ""Unclassified"", IF(I2484 = """", ""NR"", I2484))"),"TV-14")</f>
        <v>TV-14</v>
      </c>
      <c r="R2484" s="5" t="str">
        <f t="shared" si="2"/>
        <v>Bye Bye London</v>
      </c>
      <c r="S2484" s="5" t="str">
        <f>IFERROR(__xludf.DUMMYFUNCTION("""COMPUTED_VALUE"""),"Flash Of Genius")</f>
        <v>Flash Of Genius</v>
      </c>
      <c r="U2484" s="5" t="str">
        <f>IFERROR(__xludf.DUMMYFUNCTION("""COMPUTED_VALUE"""),"Dani Levy")</f>
        <v>Dani Levy</v>
      </c>
      <c r="V2484" s="5" t="s">
        <v>14014</v>
      </c>
      <c r="W2484" s="5" t="str">
        <f t="shared" si="3"/>
        <v>Lucien Bourjeily</v>
      </c>
      <c r="X2484" s="5">
        <f t="shared" si="4"/>
        <v>1</v>
      </c>
      <c r="Y2484" s="5" t="str">
        <f>IFERROR(__xludf.DUMMYFUNCTION("REGEXEXTRACT(J2484, ""^\d+"")"),"177")</f>
        <v>177</v>
      </c>
      <c r="Z2484" s="5" t="str">
        <f>IFERROR(__xludf.DUMMYFUNCTION("REGEXEXTRACT(J2484, ""[A-Za-z ]+$"")")," min")</f>
        <v> min</v>
      </c>
      <c r="AA2484" s="5" t="str">
        <f>IFERROR(__xludf.DUMMYFUNCTION("IF(REGEXMATCH(Z2484, ""Season""), ""TV Show"", ""Movie"")"),"Movie")</f>
        <v>Movie</v>
      </c>
    </row>
    <row r="2485">
      <c r="A2485" s="1" t="s">
        <v>14015</v>
      </c>
      <c r="B2485" s="1" t="s">
        <v>27</v>
      </c>
      <c r="C2485" s="1" t="s">
        <v>14016</v>
      </c>
      <c r="D2485" s="1" t="s">
        <v>7746</v>
      </c>
      <c r="E2485" s="1" t="s">
        <v>14017</v>
      </c>
      <c r="G2485" s="7">
        <v>43972.0</v>
      </c>
      <c r="H2485" s="1">
        <v>1996.0</v>
      </c>
      <c r="I2485" s="1" t="s">
        <v>97</v>
      </c>
      <c r="J2485" s="1" t="s">
        <v>4906</v>
      </c>
      <c r="K2485" s="1" t="s">
        <v>199</v>
      </c>
      <c r="L2485" s="1" t="s">
        <v>14018</v>
      </c>
      <c r="M2485" s="2" t="s">
        <v>12</v>
      </c>
      <c r="N2485" s="4">
        <f t="shared" si="1"/>
        <v>43972</v>
      </c>
      <c r="O2485" s="5" t="str">
        <f>IFERROR(__xludf.DUMMYFUNCTION("IF(REGEXMATCH(TRIM(I2485), ""^\d+\s*min""), ""Unclassified"", IF(I2485 = """", ""NR"", I2485))"),"TV-14")</f>
        <v>TV-14</v>
      </c>
      <c r="R2485" s="5" t="str">
        <f t="shared" si="2"/>
        <v>Fifty Year Old Teenager</v>
      </c>
      <c r="S2485" s="5" t="str">
        <f>IFERROR(__xludf.DUMMYFUNCTION("""COMPUTED_VALUE"""),"Flavorful Origins")</f>
        <v>Flavorful Origins</v>
      </c>
      <c r="U2485" s="5" t="str">
        <f>IFERROR(__xludf.DUMMYFUNCTION("""COMPUTED_VALUE"""),"Sonny Mallhi")</f>
        <v>Sonny Mallhi</v>
      </c>
      <c r="V2485" s="5" t="s">
        <v>14019</v>
      </c>
      <c r="W2485" s="5" t="str">
        <f t="shared" si="3"/>
        <v>Lucien Jean-Baptiste</v>
      </c>
      <c r="X2485" s="5">
        <f t="shared" si="4"/>
        <v>1</v>
      </c>
      <c r="Y2485" s="5" t="str">
        <f>IFERROR(__xludf.DUMMYFUNCTION("REGEXEXTRACT(J2485, ""^\d+"")"),"204")</f>
        <v>204</v>
      </c>
      <c r="Z2485" s="5" t="str">
        <f>IFERROR(__xludf.DUMMYFUNCTION("REGEXEXTRACT(J2485, ""[A-Za-z ]+$"")")," min")</f>
        <v> min</v>
      </c>
      <c r="AA2485" s="5" t="str">
        <f>IFERROR(__xludf.DUMMYFUNCTION("IF(REGEXMATCH(Z2485, ""Season""), ""TV Show"", ""Movie"")"),"Movie")</f>
        <v>Movie</v>
      </c>
    </row>
    <row r="2486">
      <c r="A2486" s="1" t="s">
        <v>14020</v>
      </c>
      <c r="B2486" s="1" t="s">
        <v>27</v>
      </c>
      <c r="C2486" s="1" t="s">
        <v>14021</v>
      </c>
      <c r="D2486" s="1" t="s">
        <v>7751</v>
      </c>
      <c r="E2486" s="1" t="s">
        <v>14022</v>
      </c>
      <c r="G2486" s="7">
        <v>43972.0</v>
      </c>
      <c r="H2486" s="1">
        <v>1982.0</v>
      </c>
      <c r="I2486" s="1" t="s">
        <v>136</v>
      </c>
      <c r="J2486" s="1" t="s">
        <v>14023</v>
      </c>
      <c r="K2486" s="1" t="s">
        <v>215</v>
      </c>
      <c r="L2486" s="1" t="s">
        <v>14024</v>
      </c>
      <c r="M2486" s="2" t="s">
        <v>12</v>
      </c>
      <c r="N2486" s="4">
        <f t="shared" si="1"/>
        <v>43972</v>
      </c>
      <c r="O2486" s="5" t="str">
        <f>IFERROR(__xludf.DUMMYFUNCTION("IF(REGEXMATCH(TRIM(I2486), ""^\d+\s*min""), ""Unclassified"", IF(I2486 = """", ""NR"", I2486))"),"TV-PG")</f>
        <v>TV-PG</v>
      </c>
      <c r="R2486" s="5" t="str">
        <f t="shared" si="2"/>
        <v>Lock Your Girls In</v>
      </c>
      <c r="S2486" s="5" t="str">
        <f>IFERROR(__xludf.DUMMYFUNCTION("""COMPUTED_VALUE"""),"Flavors Of Youth: International Version")</f>
        <v>Flavors Of Youth: International Version</v>
      </c>
      <c r="U2486" s="5" t="str">
        <f>IFERROR(__xludf.DUMMYFUNCTION("""COMPUTED_VALUE"""),"Andrew Niccol")</f>
        <v>Andrew Niccol</v>
      </c>
      <c r="V2486" s="5" t="s">
        <v>4256</v>
      </c>
      <c r="W2486" s="5" t="str">
        <f t="shared" si="3"/>
        <v>Lucky Kuswandi</v>
      </c>
      <c r="X2486" s="5">
        <f t="shared" si="4"/>
        <v>2</v>
      </c>
      <c r="Y2486" s="5" t="str">
        <f>IFERROR(__xludf.DUMMYFUNCTION("REGEXEXTRACT(J2486, ""^\d+"")"),"233")</f>
        <v>233</v>
      </c>
      <c r="Z2486" s="5" t="str">
        <f>IFERROR(__xludf.DUMMYFUNCTION("REGEXEXTRACT(J2486, ""[A-Za-z ]+$"")")," min")</f>
        <v> min</v>
      </c>
      <c r="AA2486" s="5" t="str">
        <f>IFERROR(__xludf.DUMMYFUNCTION("IF(REGEXMATCH(Z2486, ""Season""), ""TV Show"", ""Movie"")"),"Movie")</f>
        <v>Movie</v>
      </c>
    </row>
    <row r="2487">
      <c r="A2487" s="1" t="s">
        <v>14025</v>
      </c>
      <c r="B2487" s="1" t="s">
        <v>27</v>
      </c>
      <c r="C2487" s="1" t="s">
        <v>14026</v>
      </c>
      <c r="D2487" s="1" t="s">
        <v>1824</v>
      </c>
      <c r="E2487" s="1" t="s">
        <v>14027</v>
      </c>
      <c r="F2487" s="1" t="s">
        <v>13294</v>
      </c>
      <c r="G2487" s="7">
        <v>43972.0</v>
      </c>
      <c r="H2487" s="1">
        <v>2019.0</v>
      </c>
      <c r="I2487" s="1" t="s">
        <v>97</v>
      </c>
      <c r="J2487" s="1" t="s">
        <v>357</v>
      </c>
      <c r="K2487" s="1" t="s">
        <v>215</v>
      </c>
      <c r="L2487" s="1" t="s">
        <v>14028</v>
      </c>
      <c r="M2487" s="2" t="s">
        <v>12</v>
      </c>
      <c r="N2487" s="4">
        <f t="shared" si="1"/>
        <v>43972</v>
      </c>
      <c r="O2487" s="5" t="str">
        <f>IFERROR(__xludf.DUMMYFUNCTION("IF(REGEXMATCH(TRIM(I2487), ""^\d+\s*min""), ""Unclassified"", IF(I2487 = """", ""NR"", I2487))"),"TV-14")</f>
        <v>TV-14</v>
      </c>
      <c r="R2487" s="5" t="str">
        <f t="shared" si="2"/>
        <v>Mujeres Arriba</v>
      </c>
      <c r="S2487" s="5" t="str">
        <f>IFERROR(__xludf.DUMMYFUNCTION("""COMPUTED_VALUE"""),"Flimflam")</f>
        <v>Flimflam</v>
      </c>
      <c r="U2487" s="5" t="str">
        <f>IFERROR(__xludf.DUMMYFUNCTION("""COMPUTED_VALUE"""),"Isabelle Nanty")</f>
        <v>Isabelle Nanty</v>
      </c>
      <c r="V2487" s="5" t="s">
        <v>14029</v>
      </c>
      <c r="W2487" s="5" t="str">
        <f t="shared" si="3"/>
        <v>Lucy Cohen</v>
      </c>
      <c r="X2487" s="5">
        <f t="shared" si="4"/>
        <v>1</v>
      </c>
      <c r="Y2487" s="5" t="str">
        <f>IFERROR(__xludf.DUMMYFUNCTION("REGEXEXTRACT(J2487, ""^\d+"")"),"98")</f>
        <v>98</v>
      </c>
      <c r="Z2487" s="5" t="str">
        <f>IFERROR(__xludf.DUMMYFUNCTION("REGEXEXTRACT(J2487, ""[A-Za-z ]+$"")")," min")</f>
        <v> min</v>
      </c>
      <c r="AA2487" s="5" t="str">
        <f>IFERROR(__xludf.DUMMYFUNCTION("IF(REGEXMATCH(Z2487, ""Season""), ""TV Show"", ""Movie"")"),"Movie")</f>
        <v>Movie</v>
      </c>
    </row>
    <row r="2488">
      <c r="A2488" s="1" t="s">
        <v>14030</v>
      </c>
      <c r="B2488" s="1" t="s">
        <v>37</v>
      </c>
      <c r="C2488" s="1" t="s">
        <v>14031</v>
      </c>
      <c r="E2488" s="1" t="s">
        <v>14032</v>
      </c>
      <c r="F2488" s="1" t="s">
        <v>749</v>
      </c>
      <c r="G2488" s="7">
        <v>43972.0</v>
      </c>
      <c r="H2488" s="1">
        <v>2020.0</v>
      </c>
      <c r="I2488" s="1" t="s">
        <v>42</v>
      </c>
      <c r="J2488" s="1" t="s">
        <v>51</v>
      </c>
      <c r="K2488" s="1" t="s">
        <v>4219</v>
      </c>
      <c r="L2488" s="1" t="s">
        <v>14033</v>
      </c>
      <c r="M2488" s="2" t="s">
        <v>12</v>
      </c>
      <c r="N2488" s="4">
        <f t="shared" si="1"/>
        <v>43972</v>
      </c>
      <c r="O2488" s="5" t="str">
        <f>IFERROR(__xludf.DUMMYFUNCTION("IF(REGEXMATCH(TRIM(I2488), ""^\d+\s*min""), ""Unclassified"", IF(I2488 = """", ""NR"", I2488))"),"TV-MA")</f>
        <v>TV-MA</v>
      </c>
      <c r="R2488" s="5" t="str">
        <f t="shared" si="2"/>
        <v>Mystic Pop-Up Bar</v>
      </c>
      <c r="S2488" s="5" t="str">
        <f>IFERROR(__xludf.DUMMYFUNCTION("""COMPUTED_VALUE"""),"Flinch")</f>
        <v>Flinch</v>
      </c>
      <c r="U2488" s="5" t="str">
        <f>IFERROR(__xludf.DUMMYFUNCTION("""COMPUTED_VALUE"""),"Rob Epstein, Jeffrey Friedman")</f>
        <v>Rob Epstein, Jeffrey Friedman</v>
      </c>
      <c r="V2488" s="5" t="s">
        <v>14034</v>
      </c>
      <c r="W2488" s="5" t="str">
        <f t="shared" si="3"/>
        <v>Lucy Van Beek</v>
      </c>
      <c r="X2488" s="5">
        <f t="shared" si="4"/>
        <v>1</v>
      </c>
      <c r="Y2488" s="5" t="str">
        <f>IFERROR(__xludf.DUMMYFUNCTION("REGEXEXTRACT(J2488, ""^\d+"")"),"1")</f>
        <v>1</v>
      </c>
      <c r="Z2488" s="5" t="str">
        <f>IFERROR(__xludf.DUMMYFUNCTION("REGEXEXTRACT(J2488, ""[A-Za-z ]+$"")")," Season")</f>
        <v> Season</v>
      </c>
      <c r="AA2488" s="5" t="str">
        <f>IFERROR(__xludf.DUMMYFUNCTION("IF(REGEXMATCH(Z2488, ""Season""), ""TV Show"", ""Movie"")"),"TV Show")</f>
        <v>TV Show</v>
      </c>
    </row>
    <row r="2489">
      <c r="A2489" s="1" t="s">
        <v>14035</v>
      </c>
      <c r="B2489" s="1" t="s">
        <v>27</v>
      </c>
      <c r="C2489" s="1" t="s">
        <v>14036</v>
      </c>
      <c r="D2489" s="1" t="s">
        <v>14037</v>
      </c>
      <c r="E2489" s="1" t="s">
        <v>14038</v>
      </c>
      <c r="F2489" s="1" t="s">
        <v>3309</v>
      </c>
      <c r="G2489" s="7">
        <v>43972.0</v>
      </c>
      <c r="H2489" s="1">
        <v>1979.0</v>
      </c>
      <c r="I2489" s="1" t="s">
        <v>97</v>
      </c>
      <c r="J2489" s="1" t="s">
        <v>14039</v>
      </c>
      <c r="K2489" s="1" t="s">
        <v>583</v>
      </c>
      <c r="L2489" s="1" t="s">
        <v>14040</v>
      </c>
      <c r="M2489" s="2" t="s">
        <v>12</v>
      </c>
      <c r="N2489" s="4">
        <f t="shared" si="1"/>
        <v>43972</v>
      </c>
      <c r="O2489" s="5" t="str">
        <f>IFERROR(__xludf.DUMMYFUNCTION("IF(REGEXMATCH(TRIM(I2489), ""^\d+\s*min""), ""Unclassified"", IF(I2489 = """", ""NR"", I2489))"),"TV-14")</f>
        <v>TV-14</v>
      </c>
      <c r="R2489" s="5" t="str">
        <f t="shared" si="2"/>
        <v>No Longer Kids</v>
      </c>
      <c r="S2489" s="5" t="str">
        <f>IFERROR(__xludf.DUMMYFUNCTION("""COMPUTED_VALUE"""),"Flint Town")</f>
        <v>Flint Town</v>
      </c>
      <c r="U2489" s="5" t="str">
        <f>IFERROR(__xludf.DUMMYFUNCTION("""COMPUTED_VALUE"""),"Antonio Morabito")</f>
        <v>Antonio Morabito</v>
      </c>
      <c r="V2489" s="5" t="s">
        <v>14041</v>
      </c>
      <c r="W2489" s="5" t="str">
        <f t="shared" si="3"/>
        <v>Ludovic Bernard</v>
      </c>
      <c r="X2489" s="5">
        <f t="shared" si="4"/>
        <v>1</v>
      </c>
      <c r="Y2489" s="5" t="str">
        <f>IFERROR(__xludf.DUMMYFUNCTION("REGEXEXTRACT(J2489, ""^\d+"")"),"237")</f>
        <v>237</v>
      </c>
      <c r="Z2489" s="5" t="str">
        <f>IFERROR(__xludf.DUMMYFUNCTION("REGEXEXTRACT(J2489, ""[A-Za-z ]+$"")")," min")</f>
        <v> min</v>
      </c>
      <c r="AA2489" s="5" t="str">
        <f>IFERROR(__xludf.DUMMYFUNCTION("IF(REGEXMATCH(Z2489, ""Season""), ""TV Show"", ""Movie"")"),"Movie")</f>
        <v>Movie</v>
      </c>
    </row>
    <row r="2490">
      <c r="A2490" s="1" t="s">
        <v>14042</v>
      </c>
      <c r="B2490" s="1" t="s">
        <v>27</v>
      </c>
      <c r="C2490" s="1" t="s">
        <v>14043</v>
      </c>
      <c r="D2490" s="1" t="s">
        <v>9492</v>
      </c>
      <c r="E2490" s="1" t="s">
        <v>14044</v>
      </c>
      <c r="G2490" s="7">
        <v>43972.0</v>
      </c>
      <c r="H2490" s="1">
        <v>1984.0</v>
      </c>
      <c r="I2490" s="1" t="s">
        <v>97</v>
      </c>
      <c r="J2490" s="1" t="s">
        <v>14045</v>
      </c>
      <c r="K2490" s="1" t="s">
        <v>583</v>
      </c>
      <c r="L2490" s="1" t="s">
        <v>14046</v>
      </c>
      <c r="M2490" s="2" t="s">
        <v>12</v>
      </c>
      <c r="N2490" s="4">
        <f t="shared" si="1"/>
        <v>43972</v>
      </c>
      <c r="O2490" s="5" t="str">
        <f>IFERROR(__xludf.DUMMYFUNCTION("IF(REGEXMATCH(TRIM(I2490), ""^\d+\s*min""), ""Unclassified"", IF(I2490 = """", ""NR"", I2490))"),"TV-14")</f>
        <v>TV-14</v>
      </c>
      <c r="R2490" s="5" t="str">
        <f t="shared" si="2"/>
        <v>Raya And Sakina</v>
      </c>
      <c r="S2490" s="5" t="str">
        <f>IFERROR(__xludf.DUMMYFUNCTION("""COMPUTED_VALUE"""),"Flipped")</f>
        <v>Flipped</v>
      </c>
      <c r="U2490" s="5" t="str">
        <f>IFERROR(__xludf.DUMMYFUNCTION("""COMPUTED_VALUE"""),"Rene Bueno")</f>
        <v>Rene Bueno</v>
      </c>
      <c r="V2490" s="5" t="s">
        <v>9572</v>
      </c>
      <c r="W2490" s="5" t="str">
        <f t="shared" si="3"/>
        <v>Ludovico Di Martino</v>
      </c>
      <c r="X2490" s="5">
        <f t="shared" si="4"/>
        <v>1</v>
      </c>
      <c r="Y2490" s="5" t="str">
        <f>IFERROR(__xludf.DUMMYFUNCTION("REGEXEXTRACT(J2490, ""^\d+"")"),"230")</f>
        <v>230</v>
      </c>
      <c r="Z2490" s="5" t="str">
        <f>IFERROR(__xludf.DUMMYFUNCTION("REGEXEXTRACT(J2490, ""[A-Za-z ]+$"")")," min")</f>
        <v> min</v>
      </c>
      <c r="AA2490" s="5" t="str">
        <f>IFERROR(__xludf.DUMMYFUNCTION("IF(REGEXMATCH(Z2490, ""Season""), ""TV Show"", ""Movie"")"),"Movie")</f>
        <v>Movie</v>
      </c>
    </row>
    <row r="2491">
      <c r="A2491" s="1" t="s">
        <v>14047</v>
      </c>
      <c r="B2491" s="1" t="s">
        <v>27</v>
      </c>
      <c r="C2491" s="1" t="s">
        <v>14048</v>
      </c>
      <c r="D2491" s="1" t="s">
        <v>9492</v>
      </c>
      <c r="E2491" s="1" t="s">
        <v>14049</v>
      </c>
      <c r="G2491" s="7">
        <v>43972.0</v>
      </c>
      <c r="H2491" s="1">
        <v>1985.0</v>
      </c>
      <c r="I2491" s="1" t="s">
        <v>97</v>
      </c>
      <c r="J2491" s="1" t="s">
        <v>6683</v>
      </c>
      <c r="K2491" s="1" t="s">
        <v>199</v>
      </c>
      <c r="L2491" s="1" t="s">
        <v>14050</v>
      </c>
      <c r="M2491" s="2" t="s">
        <v>12</v>
      </c>
      <c r="N2491" s="4">
        <f t="shared" si="1"/>
        <v>43972</v>
      </c>
      <c r="O2491" s="5" t="str">
        <f>IFERROR(__xludf.DUMMYFUNCTION("IF(REGEXMATCH(TRIM(I2491), ""^\d+\s*min""), ""Unclassified"", IF(I2491 = """", ""NR"", I2491))"),"TV-14")</f>
        <v>TV-14</v>
      </c>
      <c r="R2491" s="5" t="str">
        <f t="shared" si="2"/>
        <v>Sayed The Servant</v>
      </c>
      <c r="S2491" s="5" t="str">
        <f>IFERROR(__xludf.DUMMYFUNCTION("""COMPUTED_VALUE"""),"Flock Of Four")</f>
        <v>Flock Of Four</v>
      </c>
      <c r="U2491" s="5" t="str">
        <f>IFERROR(__xludf.DUMMYFUNCTION("""COMPUTED_VALUE"""),"John Woo")</f>
        <v>John Woo</v>
      </c>
      <c r="V2491" s="5" t="s">
        <v>14051</v>
      </c>
      <c r="W2491" s="5" t="str">
        <f t="shared" si="3"/>
        <v>Luis Alberto Restrepo, Andrés Beltrán, Jaime Rayo</v>
      </c>
      <c r="X2491" s="5">
        <f t="shared" si="4"/>
        <v>1</v>
      </c>
      <c r="Y2491" s="5" t="str">
        <f>IFERROR(__xludf.DUMMYFUNCTION("REGEXEXTRACT(J2491, ""^\d+"")"),"173")</f>
        <v>173</v>
      </c>
      <c r="Z2491" s="5" t="str">
        <f>IFERROR(__xludf.DUMMYFUNCTION("REGEXEXTRACT(J2491, ""[A-Za-z ]+$"")")," min")</f>
        <v> min</v>
      </c>
      <c r="AA2491" s="5" t="str">
        <f>IFERROR(__xludf.DUMMYFUNCTION("IF(REGEXMATCH(Z2491, ""Season""), ""TV Show"", ""Movie"")"),"Movie")</f>
        <v>Movie</v>
      </c>
    </row>
    <row r="2492">
      <c r="A2492" s="1" t="s">
        <v>14052</v>
      </c>
      <c r="B2492" s="1" t="s">
        <v>27</v>
      </c>
      <c r="C2492" s="1" t="s">
        <v>14053</v>
      </c>
      <c r="D2492" s="1" t="s">
        <v>14054</v>
      </c>
      <c r="E2492" s="1" t="s">
        <v>14055</v>
      </c>
      <c r="F2492" s="1" t="s">
        <v>3309</v>
      </c>
      <c r="G2492" s="7">
        <v>43972.0</v>
      </c>
      <c r="H2492" s="1">
        <v>1981.0</v>
      </c>
      <c r="I2492" s="1" t="s">
        <v>97</v>
      </c>
      <c r="J2492" s="1" t="s">
        <v>14056</v>
      </c>
      <c r="K2492" s="1" t="s">
        <v>215</v>
      </c>
      <c r="L2492" s="1" t="s">
        <v>14057</v>
      </c>
      <c r="M2492" s="2" t="s">
        <v>12</v>
      </c>
      <c r="N2492" s="4">
        <f t="shared" si="1"/>
        <v>43972</v>
      </c>
      <c r="O2492" s="5" t="str">
        <f>IFERROR(__xludf.DUMMYFUNCTION("IF(REGEXMATCH(TRIM(I2492), ""^\d+\s*min""), ""Unclassified"", IF(I2492 = """", ""NR"", I2492))"),"TV-14")</f>
        <v>TV-14</v>
      </c>
      <c r="R2492" s="5" t="str">
        <f t="shared" si="2"/>
        <v>The Married Couples</v>
      </c>
      <c r="S2492" s="5" t="str">
        <f>IFERROR(__xludf.DUMMYFUNCTION("""COMPUTED_VALUE"""),"Floor Is Lava")</f>
        <v>Floor Is Lava</v>
      </c>
      <c r="U2492" s="5" t="str">
        <f>IFERROR(__xludf.DUMMYFUNCTION("""COMPUTED_VALUE"""),"Patricia Ferreira")</f>
        <v>Patricia Ferreira</v>
      </c>
      <c r="V2492" s="5" t="s">
        <v>7185</v>
      </c>
      <c r="W2492" s="5" t="str">
        <f t="shared" si="3"/>
        <v>Luis Alejandro Pérez</v>
      </c>
      <c r="X2492" s="5">
        <f t="shared" si="4"/>
        <v>1</v>
      </c>
      <c r="Y2492" s="5" t="str">
        <f>IFERROR(__xludf.DUMMYFUNCTION("REGEXEXTRACT(J2492, ""^\d+"")"),"195")</f>
        <v>195</v>
      </c>
      <c r="Z2492" s="5" t="str">
        <f>IFERROR(__xludf.DUMMYFUNCTION("REGEXEXTRACT(J2492, ""[A-Za-z ]+$"")")," min")</f>
        <v> min</v>
      </c>
      <c r="AA2492" s="5" t="str">
        <f>IFERROR(__xludf.DUMMYFUNCTION("IF(REGEXMATCH(Z2492, ""Season""), ""TV Show"", ""Movie"")"),"Movie")</f>
        <v>Movie</v>
      </c>
    </row>
    <row r="2493">
      <c r="A2493" s="1" t="s">
        <v>14058</v>
      </c>
      <c r="B2493" s="1" t="s">
        <v>27</v>
      </c>
      <c r="C2493" s="1" t="s">
        <v>14059</v>
      </c>
      <c r="D2493" s="1" t="s">
        <v>9404</v>
      </c>
      <c r="E2493" s="1" t="s">
        <v>14060</v>
      </c>
      <c r="F2493" s="1" t="s">
        <v>3309</v>
      </c>
      <c r="G2493" s="7">
        <v>43972.0</v>
      </c>
      <c r="H2493" s="1">
        <v>1973.0</v>
      </c>
      <c r="I2493" s="1" t="s">
        <v>97</v>
      </c>
      <c r="J2493" s="1" t="s">
        <v>14061</v>
      </c>
      <c r="K2493" s="1" t="s">
        <v>583</v>
      </c>
      <c r="L2493" s="1" t="s">
        <v>14062</v>
      </c>
      <c r="M2493" s="2" t="s">
        <v>12</v>
      </c>
      <c r="N2493" s="4">
        <f t="shared" si="1"/>
        <v>43972</v>
      </c>
      <c r="O2493" s="5" t="str">
        <f>IFERROR(__xludf.DUMMYFUNCTION("IF(REGEXMATCH(TRIM(I2493), ""^\d+\s*min""), ""Unclassified"", IF(I2493 = """", ""NR"", I2493))"),"TV-14")</f>
        <v>TV-14</v>
      </c>
      <c r="R2493" s="5" t="str">
        <f t="shared" si="2"/>
        <v>The School Of Mischief</v>
      </c>
      <c r="S2493" s="5" t="str">
        <f>IFERROR(__xludf.DUMMYFUNCTION("""COMPUTED_VALUE"""),"Flower Girl")</f>
        <v>Flower Girl</v>
      </c>
      <c r="U2493" s="5" t="str">
        <f>IFERROR(__xludf.DUMMYFUNCTION("""COMPUTED_VALUE"""),"Jimmy Henderson")</f>
        <v>Jimmy Henderson</v>
      </c>
      <c r="V2493" s="5" t="s">
        <v>790</v>
      </c>
      <c r="W2493" s="5" t="str">
        <f t="shared" si="3"/>
        <v>Luis Alfaro, Javier Gómez Santander</v>
      </c>
      <c r="X2493" s="5">
        <f t="shared" si="4"/>
        <v>1</v>
      </c>
      <c r="Y2493" s="5" t="str">
        <f>IFERROR(__xludf.DUMMYFUNCTION("REGEXEXTRACT(J2493, ""^\d+"")"),"253")</f>
        <v>253</v>
      </c>
      <c r="Z2493" s="5" t="str">
        <f>IFERROR(__xludf.DUMMYFUNCTION("REGEXEXTRACT(J2493, ""[A-Za-z ]+$"")")," min")</f>
        <v> min</v>
      </c>
      <c r="AA2493" s="5" t="str">
        <f>IFERROR(__xludf.DUMMYFUNCTION("IF(REGEXMATCH(Z2493, ""Season""), ""TV Show"", ""Movie"")"),"Movie")</f>
        <v>Movie</v>
      </c>
    </row>
    <row r="2494">
      <c r="A2494" s="1" t="s">
        <v>14063</v>
      </c>
      <c r="B2494" s="1" t="s">
        <v>27</v>
      </c>
      <c r="C2494" s="1" t="s">
        <v>14064</v>
      </c>
      <c r="D2494" s="1" t="s">
        <v>14065</v>
      </c>
      <c r="E2494" s="1" t="s">
        <v>14066</v>
      </c>
      <c r="F2494" s="1" t="s">
        <v>3309</v>
      </c>
      <c r="G2494" s="7">
        <v>43972.0</v>
      </c>
      <c r="H2494" s="1">
        <v>1976.0</v>
      </c>
      <c r="I2494" s="1" t="s">
        <v>136</v>
      </c>
      <c r="J2494" s="1" t="s">
        <v>11571</v>
      </c>
      <c r="K2494" s="1" t="s">
        <v>199</v>
      </c>
      <c r="L2494" s="1" t="s">
        <v>14067</v>
      </c>
      <c r="M2494" s="2" t="s">
        <v>12</v>
      </c>
      <c r="N2494" s="4">
        <f t="shared" si="1"/>
        <v>43972</v>
      </c>
      <c r="O2494" s="5" t="str">
        <f>IFERROR(__xludf.DUMMYFUNCTION("IF(REGEXMATCH(TRIM(I2494), ""^\d+\s*min""), ""Unclassified"", IF(I2494 = """", ""NR"", I2494))"),"TV-PG")</f>
        <v>TV-PG</v>
      </c>
      <c r="R2494" s="5" t="str">
        <f t="shared" si="2"/>
        <v>The Witness Who Didn'T See Anything</v>
      </c>
      <c r="S2494" s="5" t="str">
        <f>IFERROR(__xludf.DUMMYFUNCTION("""COMPUTED_VALUE"""),"Flowering Heart")</f>
        <v>Flowering Heart</v>
      </c>
      <c r="U2494" s="5" t="str">
        <f>IFERROR(__xludf.DUMMYFUNCTION("""COMPUTED_VALUE"""),"Devashish Makhija")</f>
        <v>Devashish Makhija</v>
      </c>
      <c r="V2494" s="5" t="s">
        <v>7628</v>
      </c>
      <c r="W2494" s="5" t="str">
        <f t="shared" si="3"/>
        <v>Luis Ara</v>
      </c>
      <c r="X2494" s="5">
        <f t="shared" si="4"/>
        <v>3</v>
      </c>
      <c r="Y2494" s="5" t="str">
        <f>IFERROR(__xludf.DUMMYFUNCTION("REGEXEXTRACT(J2494, ""^\d+"")"),"157")</f>
        <v>157</v>
      </c>
      <c r="Z2494" s="5" t="str">
        <f>IFERROR(__xludf.DUMMYFUNCTION("REGEXEXTRACT(J2494, ""[A-Za-z ]+$"")")," min")</f>
        <v> min</v>
      </c>
      <c r="AA2494" s="5" t="str">
        <f>IFERROR(__xludf.DUMMYFUNCTION("IF(REGEXMATCH(Z2494, ""Season""), ""TV Show"", ""Movie"")"),"Movie")</f>
        <v>Movie</v>
      </c>
    </row>
    <row r="2495">
      <c r="A2495" s="1" t="s">
        <v>14068</v>
      </c>
      <c r="B2495" s="1" t="s">
        <v>27</v>
      </c>
      <c r="C2495" s="1" t="s">
        <v>14069</v>
      </c>
      <c r="D2495" s="1" t="s">
        <v>13916</v>
      </c>
      <c r="E2495" s="1" t="s">
        <v>14070</v>
      </c>
      <c r="F2495" s="1" t="s">
        <v>14071</v>
      </c>
      <c r="G2495" s="7">
        <v>43971.0</v>
      </c>
      <c r="H2495" s="1">
        <v>2010.0</v>
      </c>
      <c r="I2495" s="1" t="s">
        <v>42</v>
      </c>
      <c r="J2495" s="1" t="s">
        <v>247</v>
      </c>
      <c r="K2495" s="1" t="s">
        <v>128</v>
      </c>
      <c r="L2495" s="1" t="s">
        <v>14072</v>
      </c>
      <c r="M2495" s="2" t="s">
        <v>12</v>
      </c>
      <c r="N2495" s="4">
        <f t="shared" si="1"/>
        <v>43971</v>
      </c>
      <c r="O2495" s="5" t="str">
        <f>IFERROR(__xludf.DUMMYFUNCTION("IF(REGEXMATCH(TRIM(I2495), ""^\d+\s*min""), ""Unclassified"", IF(I2495 = """", ""NR"", I2495))"),"TV-MA")</f>
        <v>TV-MA</v>
      </c>
      <c r="R2495" s="5" t="str">
        <f t="shared" si="2"/>
        <v>Anchor Baby</v>
      </c>
      <c r="S2495" s="5" t="str">
        <f>IFERROR(__xludf.DUMMYFUNCTION("""COMPUTED_VALUE"""),"Flowers")</f>
        <v>Flowers</v>
      </c>
      <c r="U2495" s="5" t="str">
        <f>IFERROR(__xludf.DUMMYFUNCTION("""COMPUTED_VALUE"""),"Amal Neerad")</f>
        <v>Amal Neerad</v>
      </c>
      <c r="V2495" s="5" t="s">
        <v>14073</v>
      </c>
      <c r="W2495" s="5" t="str">
        <f t="shared" si="3"/>
        <v>Luis Ara, Ignacio Jaunsolo</v>
      </c>
      <c r="X2495" s="5">
        <f t="shared" si="4"/>
        <v>1</v>
      </c>
      <c r="Y2495" s="5" t="str">
        <f>IFERROR(__xludf.DUMMYFUNCTION("REGEXEXTRACT(J2495, ""^\d+"")"),"97")</f>
        <v>97</v>
      </c>
      <c r="Z2495" s="5" t="str">
        <f>IFERROR(__xludf.DUMMYFUNCTION("REGEXEXTRACT(J2495, ""[A-Za-z ]+$"")")," min")</f>
        <v> min</v>
      </c>
      <c r="AA2495" s="5" t="str">
        <f>IFERROR(__xludf.DUMMYFUNCTION("IF(REGEXMATCH(Z2495, ""Season""), ""TV Show"", ""Movie"")"),"Movie")</f>
        <v>Movie</v>
      </c>
    </row>
    <row r="2496">
      <c r="A2496" s="1" t="s">
        <v>14074</v>
      </c>
      <c r="B2496" s="1" t="s">
        <v>27</v>
      </c>
      <c r="C2496" s="1" t="s">
        <v>14075</v>
      </c>
      <c r="D2496" s="1" t="s">
        <v>1200</v>
      </c>
      <c r="E2496" s="1" t="s">
        <v>14076</v>
      </c>
      <c r="F2496" s="1" t="s">
        <v>30</v>
      </c>
      <c r="G2496" s="7">
        <v>43971.0</v>
      </c>
      <c r="H2496" s="1">
        <v>2020.0</v>
      </c>
      <c r="I2496" s="1" t="s">
        <v>136</v>
      </c>
      <c r="J2496" s="1" t="s">
        <v>471</v>
      </c>
      <c r="K2496" s="1" t="s">
        <v>8833</v>
      </c>
      <c r="L2496" s="1" t="s">
        <v>14077</v>
      </c>
      <c r="M2496" s="2" t="s">
        <v>12</v>
      </c>
      <c r="N2496" s="4">
        <f t="shared" si="1"/>
        <v>43971</v>
      </c>
      <c r="O2496" s="5" t="str">
        <f>IFERROR(__xludf.DUMMYFUNCTION("IF(REGEXMATCH(TRIM(I2496), ""^\d+\s*min""), ""Unclassified"", IF(I2496 = """", ""NR"", I2496))"),"TV-PG")</f>
        <v>TV-PG</v>
      </c>
      <c r="R2496" s="5" t="str">
        <f t="shared" si="2"/>
        <v>Ben Platt Live From Radio City Music Hall</v>
      </c>
      <c r="S2496" s="5" t="str">
        <f>IFERROR(__xludf.DUMMYFUNCTION("""COMPUTED_VALUE"""),"Flying Guillotine 2")</f>
        <v>Flying Guillotine 2</v>
      </c>
      <c r="U2496" s="5" t="str">
        <f>IFERROR(__xludf.DUMMYFUNCTION("""COMPUTED_VALUE"""),"Fluvio Iannuci, Roly Santos")</f>
        <v>Fluvio Iannuci, Roly Santos</v>
      </c>
      <c r="V2496" s="5" t="s">
        <v>2817</v>
      </c>
      <c r="W2496" s="5" t="str">
        <f t="shared" si="3"/>
        <v>Luis Estrada</v>
      </c>
      <c r="X2496" s="5">
        <f t="shared" si="4"/>
        <v>2</v>
      </c>
      <c r="Y2496" s="5" t="str">
        <f>IFERROR(__xludf.DUMMYFUNCTION("REGEXEXTRACT(J2496, ""^\d+"")"),"85")</f>
        <v>85</v>
      </c>
      <c r="Z2496" s="5" t="str">
        <f>IFERROR(__xludf.DUMMYFUNCTION("REGEXEXTRACT(J2496, ""[A-Za-z ]+$"")")," min")</f>
        <v> min</v>
      </c>
      <c r="AA2496" s="5" t="str">
        <f>IFERROR(__xludf.DUMMYFUNCTION("IF(REGEXMATCH(Z2496, ""Season""), ""TV Show"", ""Movie"")"),"Movie")</f>
        <v>Movie</v>
      </c>
    </row>
    <row r="2497">
      <c r="A2497" s="1" t="s">
        <v>14078</v>
      </c>
      <c r="B2497" s="1" t="s">
        <v>37</v>
      </c>
      <c r="C2497" s="1" t="s">
        <v>14079</v>
      </c>
      <c r="G2497" s="7">
        <v>43971.0</v>
      </c>
      <c r="H2497" s="1">
        <v>2020.0</v>
      </c>
      <c r="I2497" s="1" t="s">
        <v>97</v>
      </c>
      <c r="J2497" s="1" t="s">
        <v>51</v>
      </c>
      <c r="K2497" s="1" t="s">
        <v>791</v>
      </c>
      <c r="L2497" s="1" t="s">
        <v>14080</v>
      </c>
      <c r="M2497" s="2" t="s">
        <v>12</v>
      </c>
      <c r="N2497" s="4">
        <f t="shared" si="1"/>
        <v>43971</v>
      </c>
      <c r="O2497" s="5" t="str">
        <f>IFERROR(__xludf.DUMMYFUNCTION("IF(REGEXMATCH(TRIM(I2497), ""^\d+\s*min""), ""Unclassified"", IF(I2497 = """", ""NR"", I2497))"),"TV-14")</f>
        <v>TV-14</v>
      </c>
      <c r="R2497" s="5" t="str">
        <f t="shared" si="2"/>
        <v>Especial 20 Años Fútbol De Primera</v>
      </c>
      <c r="S2497" s="5" t="str">
        <f>IFERROR(__xludf.DUMMYFUNCTION("""COMPUTED_VALUE"""),"Follow Me")</f>
        <v>Follow Me</v>
      </c>
      <c r="U2497" s="5" t="str">
        <f>IFERROR(__xludf.DUMMYFUNCTION("""COMPUTED_VALUE"""),"Julius R. Nasso")</f>
        <v>Julius R. Nasso</v>
      </c>
      <c r="V2497" s="5" t="s">
        <v>14081</v>
      </c>
      <c r="W2497" s="5" t="str">
        <f t="shared" si="3"/>
        <v>Luis Javier Henaine</v>
      </c>
      <c r="X2497" s="5">
        <f t="shared" si="4"/>
        <v>1</v>
      </c>
      <c r="Y2497" s="5" t="str">
        <f>IFERROR(__xludf.DUMMYFUNCTION("REGEXEXTRACT(J2497, ""^\d+"")"),"1")</f>
        <v>1</v>
      </c>
      <c r="Z2497" s="5" t="str">
        <f>IFERROR(__xludf.DUMMYFUNCTION("REGEXEXTRACT(J2497, ""[A-Za-z ]+$"")")," Season")</f>
        <v> Season</v>
      </c>
      <c r="AA2497" s="5" t="str">
        <f>IFERROR(__xludf.DUMMYFUNCTION("IF(REGEXMATCH(Z2497, ""Season""), ""TV Show"", ""Movie"")"),"TV Show")</f>
        <v>TV Show</v>
      </c>
    </row>
    <row r="2498">
      <c r="A2498" s="1" t="s">
        <v>14082</v>
      </c>
      <c r="B2498" s="1" t="s">
        <v>27</v>
      </c>
      <c r="C2498" s="1" t="s">
        <v>14083</v>
      </c>
      <c r="D2498" s="1" t="s">
        <v>14084</v>
      </c>
      <c r="E2498" s="1" t="s">
        <v>14085</v>
      </c>
      <c r="F2498" s="1" t="s">
        <v>96</v>
      </c>
      <c r="G2498" s="7">
        <v>43971.0</v>
      </c>
      <c r="H2498" s="1">
        <v>2014.0</v>
      </c>
      <c r="I2498" s="1" t="s">
        <v>42</v>
      </c>
      <c r="J2498" s="1" t="s">
        <v>170</v>
      </c>
      <c r="K2498" s="1" t="s">
        <v>1320</v>
      </c>
      <c r="L2498" s="1" t="s">
        <v>14086</v>
      </c>
      <c r="M2498" s="2" t="s">
        <v>12</v>
      </c>
      <c r="N2498" s="4">
        <f t="shared" si="1"/>
        <v>43971</v>
      </c>
      <c r="O2498" s="5" t="str">
        <f>IFERROR(__xludf.DUMMYFUNCTION("IF(REGEXMATCH(TRIM(I2498), ""^\d+\s*min""), ""Unclassified"", IF(I2498 = """", ""NR"", I2498))"),"TV-MA")</f>
        <v>TV-MA</v>
      </c>
      <c r="R2498" s="5" t="str">
        <f t="shared" si="2"/>
        <v>Honeytrap</v>
      </c>
      <c r="S2498" s="5" t="str">
        <f>IFERROR(__xludf.DUMMYFUNCTION("""COMPUTED_VALUE"""),"Follow This")</f>
        <v>Follow This</v>
      </c>
      <c r="U2498" s="5" t="str">
        <f>IFERROR(__xludf.DUMMYFUNCTION("""COMPUTED_VALUE"""),"Lucas Figueroa")</f>
        <v>Lucas Figueroa</v>
      </c>
      <c r="V2498" s="5" t="s">
        <v>14087</v>
      </c>
      <c r="W2498" s="5" t="str">
        <f t="shared" si="3"/>
        <v>Luis Javier M. Henaine</v>
      </c>
      <c r="X2498" s="5">
        <f t="shared" si="4"/>
        <v>1</v>
      </c>
      <c r="Y2498" s="5" t="str">
        <f>IFERROR(__xludf.DUMMYFUNCTION("REGEXEXTRACT(J2498, ""^\d+"")"),"94")</f>
        <v>94</v>
      </c>
      <c r="Z2498" s="5" t="str">
        <f>IFERROR(__xludf.DUMMYFUNCTION("REGEXEXTRACT(J2498, ""[A-Za-z ]+$"")")," min")</f>
        <v> min</v>
      </c>
      <c r="AA2498" s="5" t="str">
        <f>IFERROR(__xludf.DUMMYFUNCTION("IF(REGEXMATCH(Z2498, ""Season""), ""TV Show"", ""Movie"")"),"Movie")</f>
        <v>Movie</v>
      </c>
    </row>
    <row r="2499">
      <c r="A2499" s="1" t="s">
        <v>14088</v>
      </c>
      <c r="B2499" s="1" t="s">
        <v>27</v>
      </c>
      <c r="C2499" s="1" t="s">
        <v>14089</v>
      </c>
      <c r="D2499" s="1" t="s">
        <v>7805</v>
      </c>
      <c r="E2499" s="1" t="s">
        <v>14090</v>
      </c>
      <c r="F2499" s="1" t="s">
        <v>30</v>
      </c>
      <c r="G2499" s="7">
        <v>43971.0</v>
      </c>
      <c r="H2499" s="1">
        <v>2010.0</v>
      </c>
      <c r="I2499" s="1" t="s">
        <v>97</v>
      </c>
      <c r="J2499" s="1" t="s">
        <v>729</v>
      </c>
      <c r="K2499" s="1" t="s">
        <v>1538</v>
      </c>
      <c r="L2499" s="1" t="s">
        <v>14091</v>
      </c>
      <c r="M2499" s="2" t="s">
        <v>12</v>
      </c>
      <c r="N2499" s="4">
        <f t="shared" si="1"/>
        <v>43971</v>
      </c>
      <c r="O2499" s="5" t="str">
        <f>IFERROR(__xludf.DUMMYFUNCTION("IF(REGEXMATCH(TRIM(I2499), ""^\d+\s*min""), ""Unclassified"", IF(I2499 = """", ""NR"", I2499))"),"TV-14")</f>
        <v>TV-14</v>
      </c>
      <c r="R2499" s="5" t="str">
        <f t="shared" si="2"/>
        <v>I Will Follow</v>
      </c>
      <c r="S2499" s="5" t="str">
        <f>IFERROR(__xludf.DUMMYFUNCTION("""COMPUTED_VALUE"""),"Followers")</f>
        <v>Followers</v>
      </c>
      <c r="U2499" s="5" t="str">
        <f>IFERROR(__xludf.DUMMYFUNCTION("""COMPUTED_VALUE"""),"Alex Timbers")</f>
        <v>Alex Timbers</v>
      </c>
      <c r="V2499" s="5" t="s">
        <v>14092</v>
      </c>
      <c r="W2499" s="5" t="str">
        <f t="shared" si="3"/>
        <v>Luis Lopez</v>
      </c>
      <c r="X2499" s="5">
        <f t="shared" si="4"/>
        <v>1</v>
      </c>
      <c r="Y2499" s="5" t="str">
        <f>IFERROR(__xludf.DUMMYFUNCTION("REGEXEXTRACT(J2499, ""^\d+"")"),"80")</f>
        <v>80</v>
      </c>
      <c r="Z2499" s="5" t="str">
        <f>IFERROR(__xludf.DUMMYFUNCTION("REGEXEXTRACT(J2499, ""[A-Za-z ]+$"")")," min")</f>
        <v> min</v>
      </c>
      <c r="AA2499" s="5" t="str">
        <f>IFERROR(__xludf.DUMMYFUNCTION("IF(REGEXMATCH(Z2499, ""Season""), ""TV Show"", ""Movie"")"),"Movie")</f>
        <v>Movie</v>
      </c>
    </row>
    <row r="2500">
      <c r="A2500" s="1" t="s">
        <v>14093</v>
      </c>
      <c r="B2500" s="1" t="s">
        <v>27</v>
      </c>
      <c r="C2500" s="1" t="s">
        <v>14094</v>
      </c>
      <c r="D2500" s="1" t="s">
        <v>4169</v>
      </c>
      <c r="E2500" s="1" t="s">
        <v>14095</v>
      </c>
      <c r="F2500" s="1" t="s">
        <v>162</v>
      </c>
      <c r="G2500" s="7">
        <v>43971.0</v>
      </c>
      <c r="H2500" s="1">
        <v>2020.0</v>
      </c>
      <c r="I2500" s="1" t="s">
        <v>42</v>
      </c>
      <c r="J2500" s="1" t="s">
        <v>170</v>
      </c>
      <c r="K2500" s="1" t="s">
        <v>199</v>
      </c>
      <c r="L2500" s="1" t="s">
        <v>14096</v>
      </c>
      <c r="M2500" s="2" t="s">
        <v>12</v>
      </c>
      <c r="N2500" s="4">
        <f t="shared" si="1"/>
        <v>43971</v>
      </c>
      <c r="O2500" s="5" t="str">
        <f>IFERROR(__xludf.DUMMYFUNCTION("IF(REGEXMATCH(TRIM(I2500), ""^\d+\s*min""), ""Unclassified"", IF(I2500 = """", ""NR"", I2500))"),"TV-MA")</f>
        <v>TV-MA</v>
      </c>
      <c r="R2500" s="5" t="str">
        <f t="shared" si="2"/>
        <v>Mutiny Of The Worker Bees</v>
      </c>
      <c r="S2500" s="5" t="str">
        <f>IFERROR(__xludf.DUMMYFUNCTION("""COMPUTED_VALUE"""),"Food On The Go")</f>
        <v>Food On The Go</v>
      </c>
      <c r="U2500" s="5" t="str">
        <f>IFERROR(__xludf.DUMMYFUNCTION("""COMPUTED_VALUE"""),"Alfonso Rodríguez")</f>
        <v>Alfonso Rodríguez</v>
      </c>
      <c r="V2500" s="5" t="s">
        <v>14097</v>
      </c>
      <c r="W2500" s="5" t="str">
        <f t="shared" si="3"/>
        <v>Luis Lopez, Clay Tweel</v>
      </c>
      <c r="X2500" s="5">
        <f t="shared" si="4"/>
        <v>1</v>
      </c>
      <c r="Y2500" s="5" t="str">
        <f>IFERROR(__xludf.DUMMYFUNCTION("REGEXEXTRACT(J2500, ""^\d+"")"),"94")</f>
        <v>94</v>
      </c>
      <c r="Z2500" s="5" t="str">
        <f>IFERROR(__xludf.DUMMYFUNCTION("REGEXEXTRACT(J2500, ""[A-Za-z ]+$"")")," min")</f>
        <v> min</v>
      </c>
      <c r="AA2500" s="5" t="str">
        <f>IFERROR(__xludf.DUMMYFUNCTION("IF(REGEXMATCH(Z2500, ""Season""), ""TV Show"", ""Movie"")"),"Movie")</f>
        <v>Movie</v>
      </c>
    </row>
    <row r="2501">
      <c r="A2501" s="1" t="s">
        <v>14098</v>
      </c>
      <c r="B2501" s="1" t="s">
        <v>37</v>
      </c>
      <c r="C2501" s="1" t="s">
        <v>14099</v>
      </c>
      <c r="E2501" s="1" t="s">
        <v>14100</v>
      </c>
      <c r="F2501" s="1" t="s">
        <v>1837</v>
      </c>
      <c r="G2501" s="7">
        <v>43971.0</v>
      </c>
      <c r="H2501" s="1">
        <v>2020.0</v>
      </c>
      <c r="I2501" s="1" t="s">
        <v>97</v>
      </c>
      <c r="J2501" s="1" t="s">
        <v>51</v>
      </c>
      <c r="K2501" s="1" t="s">
        <v>1339</v>
      </c>
      <c r="L2501" s="1" t="s">
        <v>14101</v>
      </c>
      <c r="M2501" s="2" t="s">
        <v>12</v>
      </c>
      <c r="N2501" s="4">
        <f t="shared" si="1"/>
        <v>43971</v>
      </c>
      <c r="O2501" s="5" t="str">
        <f>IFERROR(__xludf.DUMMYFUNCTION("IF(REGEXMATCH(TRIM(I2501), ""^\d+\s*min""), ""Unclassified"", IF(I2501 = """", ""NR"", I2501))"),"TV-14")</f>
        <v>TV-14</v>
      </c>
      <c r="R2501" s="5" t="str">
        <f t="shared" si="2"/>
        <v>The Queen And The Conqueror</v>
      </c>
      <c r="S2501" s="5" t="str">
        <f>IFERROR(__xludf.DUMMYFUNCTION("""COMPUTED_VALUE"""),"Food Wars!: Shokugeki No Soma")</f>
        <v>Food Wars!: Shokugeki No Soma</v>
      </c>
      <c r="U2501" s="5" t="str">
        <f>IFERROR(__xludf.DUMMYFUNCTION("""COMPUTED_VALUE"""),"Guillermo Garcia, David Cantolla")</f>
        <v>Guillermo Garcia, David Cantolla</v>
      </c>
      <c r="V2501" s="5" t="s">
        <v>14102</v>
      </c>
      <c r="W2501" s="5" t="str">
        <f t="shared" si="3"/>
        <v>Luis Mandoki</v>
      </c>
      <c r="X2501" s="5">
        <f t="shared" si="4"/>
        <v>1</v>
      </c>
      <c r="Y2501" s="5" t="str">
        <f>IFERROR(__xludf.DUMMYFUNCTION("REGEXEXTRACT(J2501, ""^\d+"")"),"1")</f>
        <v>1</v>
      </c>
      <c r="Z2501" s="5" t="str">
        <f>IFERROR(__xludf.DUMMYFUNCTION("REGEXEXTRACT(J2501, ""[A-Za-z ]+$"")")," Season")</f>
        <v> Season</v>
      </c>
      <c r="AA2501" s="5" t="str">
        <f>IFERROR(__xludf.DUMMYFUNCTION("IF(REGEXMATCH(Z2501, ""Season""), ""TV Show"", ""Movie"")"),"TV Show")</f>
        <v>TV Show</v>
      </c>
    </row>
    <row r="2502">
      <c r="A2502" s="1" t="s">
        <v>14103</v>
      </c>
      <c r="B2502" s="1" t="s">
        <v>27</v>
      </c>
      <c r="C2502" s="1" t="s">
        <v>14104</v>
      </c>
      <c r="D2502" s="1" t="s">
        <v>14105</v>
      </c>
      <c r="E2502" s="1" t="s">
        <v>14106</v>
      </c>
      <c r="F2502" s="1" t="s">
        <v>63</v>
      </c>
      <c r="G2502" s="7">
        <v>43971.0</v>
      </c>
      <c r="H2502" s="1">
        <v>2020.0</v>
      </c>
      <c r="I2502" s="1" t="s">
        <v>42</v>
      </c>
      <c r="J2502" s="1" t="s">
        <v>665</v>
      </c>
      <c r="K2502" s="1" t="s">
        <v>836</v>
      </c>
      <c r="L2502" s="1" t="s">
        <v>14107</v>
      </c>
      <c r="M2502" s="2" t="s">
        <v>12</v>
      </c>
      <c r="N2502" s="4">
        <f t="shared" si="1"/>
        <v>43971</v>
      </c>
      <c r="O2502" s="5" t="str">
        <f>IFERROR(__xludf.DUMMYFUNCTION("IF(REGEXMATCH(TRIM(I2502), ""^\d+\s*min""), ""Unclassified"", IF(I2502 = """", ""NR"", I2502))"),"TV-MA")</f>
        <v>TV-MA</v>
      </c>
      <c r="R2502" s="5" t="str">
        <f t="shared" si="2"/>
        <v>What Are The Odds?</v>
      </c>
      <c r="S2502" s="5" t="str">
        <f>IFERROR(__xludf.DUMMYFUNCTION("""COMPUTED_VALUE"""),"Food: Delicious Science")</f>
        <v>Food: Delicious Science</v>
      </c>
      <c r="U2502" s="5" t="str">
        <f>IFERROR(__xludf.DUMMYFUNCTION("""COMPUTED_VALUE"""),"Priyadarshan")</f>
        <v>Priyadarshan</v>
      </c>
      <c r="V2502" s="5" t="s">
        <v>14108</v>
      </c>
      <c r="W2502" s="5" t="str">
        <f t="shared" si="3"/>
        <v>Luis Prieto</v>
      </c>
      <c r="X2502" s="5">
        <f t="shared" si="4"/>
        <v>1</v>
      </c>
      <c r="Y2502" s="5" t="str">
        <f>IFERROR(__xludf.DUMMYFUNCTION("REGEXEXTRACT(J2502, ""^\d+"")"),"92")</f>
        <v>92</v>
      </c>
      <c r="Z2502" s="5" t="str">
        <f>IFERROR(__xludf.DUMMYFUNCTION("REGEXEXTRACT(J2502, ""[A-Za-z ]+$"")")," min")</f>
        <v> min</v>
      </c>
      <c r="AA2502" s="5" t="str">
        <f>IFERROR(__xludf.DUMMYFUNCTION("IF(REGEXMATCH(Z2502, ""Season""), ""TV Show"", ""Movie"")"),"Movie")</f>
        <v>Movie</v>
      </c>
    </row>
    <row r="2503">
      <c r="A2503" s="1" t="s">
        <v>14109</v>
      </c>
      <c r="B2503" s="1" t="s">
        <v>27</v>
      </c>
      <c r="C2503" s="1" t="s">
        <v>14110</v>
      </c>
      <c r="D2503" s="1" t="s">
        <v>14111</v>
      </c>
      <c r="E2503" s="1" t="s">
        <v>14112</v>
      </c>
      <c r="F2503" s="1" t="s">
        <v>3309</v>
      </c>
      <c r="G2503" s="7">
        <v>43970.0</v>
      </c>
      <c r="H2503" s="1">
        <v>2006.0</v>
      </c>
      <c r="I2503" s="1" t="s">
        <v>136</v>
      </c>
      <c r="J2503" s="1" t="s">
        <v>305</v>
      </c>
      <c r="K2503" s="1" t="s">
        <v>199</v>
      </c>
      <c r="L2503" s="1" t="s">
        <v>14113</v>
      </c>
      <c r="M2503" s="2" t="s">
        <v>12</v>
      </c>
      <c r="N2503" s="4">
        <f t="shared" si="1"/>
        <v>43970</v>
      </c>
      <c r="O2503" s="5" t="str">
        <f>IFERROR(__xludf.DUMMYFUNCTION("IF(REGEXMATCH(TRIM(I2503), ""^\d+\s*min""), ""Unclassified"", IF(I2503 = """", ""NR"", I2503))"),"TV-PG")</f>
        <v>TV-PG</v>
      </c>
      <c r="R2503" s="5" t="str">
        <f t="shared" si="2"/>
        <v>Either Me Or My Auntie</v>
      </c>
      <c r="S2503" s="5" t="str">
        <f>IFERROR(__xludf.DUMMYFUNCTION("""COMPUTED_VALUE"""),"Fools Rush In")</f>
        <v>Fools Rush In</v>
      </c>
      <c r="U2503" s="5" t="str">
        <f>IFERROR(__xludf.DUMMYFUNCTION("""COMPUTED_VALUE"""),"Dito Montiel")</f>
        <v>Dito Montiel</v>
      </c>
      <c r="V2503" s="5" t="s">
        <v>6291</v>
      </c>
      <c r="W2503" s="5" t="str">
        <f t="shared" si="3"/>
        <v>Luis Valdez</v>
      </c>
      <c r="X2503" s="5">
        <f t="shared" si="4"/>
        <v>2</v>
      </c>
      <c r="Y2503" s="5" t="str">
        <f>IFERROR(__xludf.DUMMYFUNCTION("REGEXEXTRACT(J2503, ""^\d+"")"),"105")</f>
        <v>105</v>
      </c>
      <c r="Z2503" s="5" t="str">
        <f>IFERROR(__xludf.DUMMYFUNCTION("REGEXEXTRACT(J2503, ""[A-Za-z ]+$"")")," min")</f>
        <v> min</v>
      </c>
      <c r="AA2503" s="5" t="str">
        <f>IFERROR(__xludf.DUMMYFUNCTION("IF(REGEXMATCH(Z2503, ""Season""), ""TV Show"", ""Movie"")"),"Movie")</f>
        <v>Movie</v>
      </c>
    </row>
    <row r="2504">
      <c r="A2504" s="1" t="s">
        <v>14114</v>
      </c>
      <c r="B2504" s="1" t="s">
        <v>27</v>
      </c>
      <c r="C2504" s="1" t="s">
        <v>14115</v>
      </c>
      <c r="D2504" s="1" t="s">
        <v>13801</v>
      </c>
      <c r="E2504" s="1" t="s">
        <v>14116</v>
      </c>
      <c r="F2504" s="1" t="s">
        <v>3309</v>
      </c>
      <c r="G2504" s="7">
        <v>43970.0</v>
      </c>
      <c r="H2504" s="1">
        <v>2009.0</v>
      </c>
      <c r="I2504" s="1" t="s">
        <v>97</v>
      </c>
      <c r="J2504" s="1" t="s">
        <v>985</v>
      </c>
      <c r="K2504" s="1" t="s">
        <v>1066</v>
      </c>
      <c r="L2504" s="1" t="s">
        <v>14117</v>
      </c>
      <c r="M2504" s="2" t="s">
        <v>12</v>
      </c>
      <c r="N2504" s="4">
        <f t="shared" si="1"/>
        <v>43970</v>
      </c>
      <c r="O2504" s="5" t="str">
        <f>IFERROR(__xludf.DUMMYFUNCTION("IF(REGEXMATCH(TRIM(I2504), ""^\d+\s*min""), ""Unclassified"", IF(I2504 = """", ""NR"", I2504))"),"TV-14")</f>
        <v>TV-14</v>
      </c>
      <c r="R2504" s="5" t="str">
        <f t="shared" si="2"/>
        <v>Escaping Tel Aviv</v>
      </c>
      <c r="S2504" s="5" t="str">
        <f>IFERROR(__xludf.DUMMYFUNCTION("""COMPUTED_VALUE"""),"Footprints In The Sand")</f>
        <v>Footprints In The Sand</v>
      </c>
      <c r="U2504" s="5" t="str">
        <f>IFERROR(__xludf.DUMMYFUNCTION("""COMPUTED_VALUE"""),"Vicente Villanueva")</f>
        <v>Vicente Villanueva</v>
      </c>
      <c r="V2504" s="5" t="s">
        <v>14118</v>
      </c>
      <c r="W2504" s="5" t="str">
        <f t="shared" si="3"/>
        <v>Lukas Dhont</v>
      </c>
      <c r="X2504" s="5">
        <f t="shared" si="4"/>
        <v>1</v>
      </c>
      <c r="Y2504" s="5" t="str">
        <f>IFERROR(__xludf.DUMMYFUNCTION("REGEXEXTRACT(J2504, ""^\d+"")"),"120")</f>
        <v>120</v>
      </c>
      <c r="Z2504" s="5" t="str">
        <f>IFERROR(__xludf.DUMMYFUNCTION("REGEXEXTRACT(J2504, ""[A-Za-z ]+$"")")," min")</f>
        <v> min</v>
      </c>
      <c r="AA2504" s="5" t="str">
        <f>IFERROR(__xludf.DUMMYFUNCTION("IF(REGEXMATCH(Z2504, ""Season""), ""TV Show"", ""Movie"")"),"Movie")</f>
        <v>Movie</v>
      </c>
    </row>
    <row r="2505">
      <c r="A2505" s="1" t="s">
        <v>14119</v>
      </c>
      <c r="B2505" s="1" t="s">
        <v>27</v>
      </c>
      <c r="C2505" s="1" t="s">
        <v>14120</v>
      </c>
      <c r="D2505" s="1" t="s">
        <v>612</v>
      </c>
      <c r="E2505" s="1" t="s">
        <v>14121</v>
      </c>
      <c r="F2505" s="1" t="s">
        <v>3309</v>
      </c>
      <c r="G2505" s="7">
        <v>43970.0</v>
      </c>
      <c r="H2505" s="1">
        <v>2012.0</v>
      </c>
      <c r="I2505" s="1" t="s">
        <v>97</v>
      </c>
      <c r="J2505" s="1" t="s">
        <v>322</v>
      </c>
      <c r="K2505" s="1" t="s">
        <v>215</v>
      </c>
      <c r="L2505" s="1" t="s">
        <v>14122</v>
      </c>
      <c r="M2505" s="2" t="s">
        <v>12</v>
      </c>
      <c r="N2505" s="4">
        <f t="shared" si="1"/>
        <v>43970</v>
      </c>
      <c r="O2505" s="5" t="str">
        <f>IFERROR(__xludf.DUMMYFUNCTION("IF(REGEXMATCH(TRIM(I2505), ""^\d+\s*min""), ""Unclassified"", IF(I2505 = """", ""NR"", I2505))"),"TV-14")</f>
        <v>TV-14</v>
      </c>
      <c r="R2505" s="5" t="str">
        <f t="shared" si="2"/>
        <v>Game Over</v>
      </c>
      <c r="S2505" s="5" t="str">
        <f>IFERROR(__xludf.DUMMYFUNCTION("""COMPUTED_VALUE"""),"Footprints: The Path Of Your Life")</f>
        <v>Footprints: The Path Of Your Life</v>
      </c>
      <c r="U2505" s="5" t="str">
        <f>IFERROR(__xludf.DUMMYFUNCTION("""COMPUTED_VALUE"""),"Amit Roy")</f>
        <v>Amit Roy</v>
      </c>
      <c r="V2505" s="5" t="s">
        <v>14123</v>
      </c>
      <c r="W2505" s="5" t="str">
        <f t="shared" si="3"/>
        <v>Lukasz Kosmicki</v>
      </c>
      <c r="X2505" s="5">
        <f t="shared" si="4"/>
        <v>1</v>
      </c>
      <c r="Y2505" s="5" t="str">
        <f>IFERROR(__xludf.DUMMYFUNCTION("REGEXEXTRACT(J2505, ""^\d+"")"),"96")</f>
        <v>96</v>
      </c>
      <c r="Z2505" s="5" t="str">
        <f>IFERROR(__xludf.DUMMYFUNCTION("REGEXEXTRACT(J2505, ""[A-Za-z ]+$"")")," min")</f>
        <v> min</v>
      </c>
      <c r="AA2505" s="5" t="str">
        <f>IFERROR(__xludf.DUMMYFUNCTION("IF(REGEXMATCH(Z2505, ""Season""), ""TV Show"", ""Movie"")"),"Movie")</f>
        <v>Movie</v>
      </c>
    </row>
    <row r="2506">
      <c r="A2506" s="1" t="s">
        <v>14124</v>
      </c>
      <c r="B2506" s="1" t="s">
        <v>27</v>
      </c>
      <c r="C2506" s="1" t="s">
        <v>14125</v>
      </c>
      <c r="D2506" s="1" t="s">
        <v>1341</v>
      </c>
      <c r="E2506" s="1" t="s">
        <v>14126</v>
      </c>
      <c r="F2506" s="1" t="s">
        <v>3309</v>
      </c>
      <c r="G2506" s="7">
        <v>43970.0</v>
      </c>
      <c r="H2506" s="1">
        <v>2007.0</v>
      </c>
      <c r="I2506" s="1" t="s">
        <v>97</v>
      </c>
      <c r="J2506" s="1" t="s">
        <v>1256</v>
      </c>
      <c r="K2506" s="1" t="s">
        <v>199</v>
      </c>
      <c r="L2506" s="1" t="s">
        <v>14127</v>
      </c>
      <c r="M2506" s="2" t="s">
        <v>12</v>
      </c>
      <c r="N2506" s="4">
        <f t="shared" si="1"/>
        <v>43970</v>
      </c>
      <c r="O2506" s="5" t="str">
        <f>IFERROR(__xludf.DUMMYFUNCTION("IF(REGEXMATCH(TRIM(I2506), ""^\d+\s*min""), ""Unclassified"", IF(I2506 = """", ""NR"", I2506))"),"TV-14")</f>
        <v>TV-14</v>
      </c>
      <c r="R2506" s="5" t="str">
        <f t="shared" si="2"/>
        <v>Karkar</v>
      </c>
      <c r="S2506" s="5" t="str">
        <f>IFERROR(__xludf.DUMMYFUNCTION("""COMPUTED_VALUE"""),"For Colored Girls")</f>
        <v>For Colored Girls</v>
      </c>
      <c r="U2506" s="5" t="str">
        <f>IFERROR(__xludf.DUMMYFUNCTION("""COMPUTED_VALUE"""),"Teddy Lussi-Modeste")</f>
        <v>Teddy Lussi-Modeste</v>
      </c>
      <c r="V2506" s="5" t="s">
        <v>841</v>
      </c>
      <c r="W2506" s="5" t="str">
        <f t="shared" si="3"/>
        <v>Luke Holland</v>
      </c>
      <c r="X2506" s="5">
        <f t="shared" si="4"/>
        <v>1</v>
      </c>
      <c r="Y2506" s="5" t="str">
        <f>IFERROR(__xludf.DUMMYFUNCTION("REGEXEXTRACT(J2506, ""^\d+"")"),"107")</f>
        <v>107</v>
      </c>
      <c r="Z2506" s="5" t="str">
        <f>IFERROR(__xludf.DUMMYFUNCTION("REGEXEXTRACT(J2506, ""[A-Za-z ]+$"")")," min")</f>
        <v> min</v>
      </c>
      <c r="AA2506" s="5" t="str">
        <f>IFERROR(__xludf.DUMMYFUNCTION("IF(REGEXMATCH(Z2506, ""Season""), ""TV Show"", ""Movie"")"),"Movie")</f>
        <v>Movie</v>
      </c>
    </row>
    <row r="2507">
      <c r="A2507" s="1" t="s">
        <v>14128</v>
      </c>
      <c r="B2507" s="1" t="s">
        <v>27</v>
      </c>
      <c r="C2507" s="1" t="s">
        <v>14129</v>
      </c>
      <c r="D2507" s="1" t="s">
        <v>601</v>
      </c>
      <c r="E2507" s="1" t="s">
        <v>14130</v>
      </c>
      <c r="F2507" s="1" t="s">
        <v>3309</v>
      </c>
      <c r="G2507" s="7">
        <v>43970.0</v>
      </c>
      <c r="H2507" s="1">
        <v>2008.0</v>
      </c>
      <c r="I2507" s="1" t="s">
        <v>136</v>
      </c>
      <c r="J2507" s="1" t="s">
        <v>454</v>
      </c>
      <c r="K2507" s="1" t="s">
        <v>199</v>
      </c>
      <c r="L2507" s="1" t="s">
        <v>14131</v>
      </c>
      <c r="M2507" s="2" t="s">
        <v>12</v>
      </c>
      <c r="N2507" s="4">
        <f t="shared" si="1"/>
        <v>43970</v>
      </c>
      <c r="O2507" s="5" t="str">
        <f>IFERROR(__xludf.DUMMYFUNCTION("IF(REGEXMATCH(TRIM(I2507), ""^\d+\s*min""), ""Unclassified"", IF(I2507 = """", ""NR"", I2507))"),"TV-PG")</f>
        <v>TV-PG</v>
      </c>
      <c r="R2507" s="5" t="str">
        <f t="shared" si="2"/>
        <v>My Sleeping Lover</v>
      </c>
      <c r="S2507" s="5" t="str">
        <f>IFERROR(__xludf.DUMMYFUNCTION("""COMPUTED_VALUE"""),"For Grace")</f>
        <v>For Grace</v>
      </c>
      <c r="U2507" s="5" t="str">
        <f>IFERROR(__xludf.DUMMYFUNCTION("""COMPUTED_VALUE"""),"Dawn Porter")</f>
        <v>Dawn Porter</v>
      </c>
      <c r="V2507" s="5" t="s">
        <v>14132</v>
      </c>
      <c r="W2507" s="5" t="str">
        <f t="shared" si="3"/>
        <v>Luke Jurevicius</v>
      </c>
      <c r="X2507" s="5">
        <f t="shared" si="4"/>
        <v>1</v>
      </c>
      <c r="Y2507" s="5" t="str">
        <f>IFERROR(__xludf.DUMMYFUNCTION("REGEXEXTRACT(J2507, ""^\d+"")"),"93")</f>
        <v>93</v>
      </c>
      <c r="Z2507" s="5" t="str">
        <f>IFERROR(__xludf.DUMMYFUNCTION("REGEXEXTRACT(J2507, ""[A-Za-z ]+$"")")," min")</f>
        <v> min</v>
      </c>
      <c r="AA2507" s="5" t="str">
        <f>IFERROR(__xludf.DUMMYFUNCTION("IF(REGEXMATCH(Z2507, ""Season""), ""TV Show"", ""Movie"")"),"Movie")</f>
        <v>Movie</v>
      </c>
    </row>
    <row r="2508">
      <c r="A2508" s="1" t="s">
        <v>14133</v>
      </c>
      <c r="B2508" s="1" t="s">
        <v>27</v>
      </c>
      <c r="C2508" s="1" t="s">
        <v>14134</v>
      </c>
      <c r="D2508" s="1" t="s">
        <v>601</v>
      </c>
      <c r="E2508" s="1" t="s">
        <v>14135</v>
      </c>
      <c r="F2508" s="1" t="s">
        <v>3309</v>
      </c>
      <c r="G2508" s="7">
        <v>43970.0</v>
      </c>
      <c r="H2508" s="1">
        <v>2009.0</v>
      </c>
      <c r="I2508" s="1" t="s">
        <v>97</v>
      </c>
      <c r="J2508" s="1" t="s">
        <v>1091</v>
      </c>
      <c r="K2508" s="1" t="s">
        <v>199</v>
      </c>
      <c r="L2508" s="1" t="s">
        <v>14136</v>
      </c>
      <c r="M2508" s="2" t="s">
        <v>12</v>
      </c>
      <c r="N2508" s="4">
        <f t="shared" si="1"/>
        <v>43970</v>
      </c>
      <c r="O2508" s="5" t="str">
        <f>IFERROR(__xludf.DUMMYFUNCTION("IF(REGEXMATCH(TRIM(I2508), ""^\d+\s*min""), ""Unclassified"", IF(I2508 = """", ""NR"", I2508))"),"TV-14")</f>
        <v>TV-14</v>
      </c>
      <c r="R2508" s="5" t="str">
        <f t="shared" si="2"/>
        <v>Omar &amp; Salma 2</v>
      </c>
      <c r="S2508" s="5" t="str">
        <f>IFERROR(__xludf.DUMMYFUNCTION("""COMPUTED_VALUE"""),"For Greater Glory")</f>
        <v>For Greater Glory</v>
      </c>
      <c r="U2508" s="5" t="str">
        <f>IFERROR(__xludf.DUMMYFUNCTION("""COMPUTED_VALUE"""),"Ben Shelton")</f>
        <v>Ben Shelton</v>
      </c>
      <c r="V2508" s="5" t="s">
        <v>14137</v>
      </c>
      <c r="W2508" s="5" t="str">
        <f t="shared" si="3"/>
        <v>Luke Snellin</v>
      </c>
      <c r="X2508" s="5">
        <f t="shared" si="4"/>
        <v>1</v>
      </c>
      <c r="Y2508" s="5" t="str">
        <f>IFERROR(__xludf.DUMMYFUNCTION("REGEXEXTRACT(J2508, ""^\d+"")"),"101")</f>
        <v>101</v>
      </c>
      <c r="Z2508" s="5" t="str">
        <f>IFERROR(__xludf.DUMMYFUNCTION("REGEXEXTRACT(J2508, ""[A-Za-z ]+$"")")," min")</f>
        <v> min</v>
      </c>
      <c r="AA2508" s="5" t="str">
        <f>IFERROR(__xludf.DUMMYFUNCTION("IF(REGEXMATCH(Z2508, ""Season""), ""TV Show"", ""Movie"")"),"Movie")</f>
        <v>Movie</v>
      </c>
    </row>
    <row r="2509">
      <c r="A2509" s="1" t="s">
        <v>14138</v>
      </c>
      <c r="B2509" s="1" t="s">
        <v>37</v>
      </c>
      <c r="C2509" s="1" t="s">
        <v>14139</v>
      </c>
      <c r="D2509" s="1" t="s">
        <v>14140</v>
      </c>
      <c r="E2509" s="1" t="s">
        <v>14141</v>
      </c>
      <c r="F2509" s="1" t="s">
        <v>30</v>
      </c>
      <c r="G2509" s="7">
        <v>43970.0</v>
      </c>
      <c r="H2509" s="1">
        <v>2020.0</v>
      </c>
      <c r="I2509" s="1" t="s">
        <v>42</v>
      </c>
      <c r="J2509" s="1" t="s">
        <v>51</v>
      </c>
      <c r="K2509" s="1" t="s">
        <v>2512</v>
      </c>
      <c r="L2509" s="1" t="s">
        <v>14142</v>
      </c>
      <c r="M2509" s="2" t="s">
        <v>12</v>
      </c>
      <c r="N2509" s="4">
        <f t="shared" si="1"/>
        <v>43970</v>
      </c>
      <c r="O2509" s="5" t="str">
        <f>IFERROR(__xludf.DUMMYFUNCTION("IF(REGEXMATCH(TRIM(I2509), ""^\d+\s*min""), ""Unclassified"", IF(I2509 = """", ""NR"", I2509))"),"TV-MA")</f>
        <v>TV-MA</v>
      </c>
      <c r="R2509" s="5" t="str">
        <f t="shared" si="2"/>
        <v>Patton Oswalt: I Love Everything</v>
      </c>
      <c r="S2509" s="5" t="str">
        <f>IFERROR(__xludf.DUMMYFUNCTION("""COMPUTED_VALUE"""),"For Here Or To Go?")</f>
        <v>For Here Or To Go?</v>
      </c>
      <c r="U2509" s="5" t="str">
        <f>IFERROR(__xludf.DUMMYFUNCTION("""COMPUTED_VALUE"""),"Curro Velázquez")</f>
        <v>Curro Velázquez</v>
      </c>
      <c r="V2509" s="5" t="s">
        <v>14143</v>
      </c>
      <c r="W2509" s="5" t="str">
        <f t="shared" si="3"/>
        <v>Luke Sparke</v>
      </c>
      <c r="X2509" s="5">
        <f t="shared" si="4"/>
        <v>1</v>
      </c>
      <c r="Y2509" s="5" t="str">
        <f>IFERROR(__xludf.DUMMYFUNCTION("REGEXEXTRACT(J2509, ""^\d+"")"),"1")</f>
        <v>1</v>
      </c>
      <c r="Z2509" s="5" t="str">
        <f>IFERROR(__xludf.DUMMYFUNCTION("REGEXEXTRACT(J2509, ""[A-Za-z ]+$"")")," Season")</f>
        <v> Season</v>
      </c>
      <c r="AA2509" s="5" t="str">
        <f>IFERROR(__xludf.DUMMYFUNCTION("IF(REGEXMATCH(Z2509, ""Season""), ""TV Show"", ""Movie"")"),"TV Show")</f>
        <v>TV Show</v>
      </c>
    </row>
    <row r="2510">
      <c r="A2510" s="1" t="s">
        <v>14144</v>
      </c>
      <c r="B2510" s="1" t="s">
        <v>37</v>
      </c>
      <c r="C2510" s="1" t="s">
        <v>14145</v>
      </c>
      <c r="E2510" s="1" t="s">
        <v>14146</v>
      </c>
      <c r="F2510" s="1" t="s">
        <v>30</v>
      </c>
      <c r="G2510" s="7">
        <v>43970.0</v>
      </c>
      <c r="H2510" s="1">
        <v>2020.0</v>
      </c>
      <c r="I2510" s="1" t="s">
        <v>97</v>
      </c>
      <c r="J2510" s="1" t="s">
        <v>51</v>
      </c>
      <c r="K2510" s="1" t="s">
        <v>3083</v>
      </c>
      <c r="L2510" s="1" t="s">
        <v>14147</v>
      </c>
      <c r="M2510" s="2" t="s">
        <v>12</v>
      </c>
      <c r="N2510" s="4">
        <f t="shared" si="1"/>
        <v>43970</v>
      </c>
      <c r="O2510" s="5" t="str">
        <f>IFERROR(__xludf.DUMMYFUNCTION("IF(REGEXMATCH(TRIM(I2510), ""^\d+\s*min""), ""Unclassified"", IF(I2510 = """", ""NR"", I2510))"),"TV-14")</f>
        <v>TV-14</v>
      </c>
      <c r="R2510" s="5" t="str">
        <f t="shared" si="2"/>
        <v>Sweet Magnolias</v>
      </c>
      <c r="S2510" s="5" t="str">
        <f>IFERROR(__xludf.DUMMYFUNCTION("""COMPUTED_VALUE"""),"For Love Or Money")</f>
        <v>For Love Or Money</v>
      </c>
      <c r="U2510" s="5" t="str">
        <f>IFERROR(__xludf.DUMMYFUNCTION("""COMPUTED_VALUE"""),"Robert Smigel")</f>
        <v>Robert Smigel</v>
      </c>
      <c r="V2510" s="5" t="s">
        <v>12992</v>
      </c>
      <c r="W2510" s="5" t="str">
        <f t="shared" si="3"/>
        <v>Luv Ranjan</v>
      </c>
      <c r="X2510" s="5">
        <f t="shared" si="4"/>
        <v>2</v>
      </c>
      <c r="Y2510" s="5" t="str">
        <f>IFERROR(__xludf.DUMMYFUNCTION("REGEXEXTRACT(J2510, ""^\d+"")"),"1")</f>
        <v>1</v>
      </c>
      <c r="Z2510" s="5" t="str">
        <f>IFERROR(__xludf.DUMMYFUNCTION("REGEXEXTRACT(J2510, ""[A-Za-z ]+$"")")," Season")</f>
        <v> Season</v>
      </c>
      <c r="AA2510" s="5" t="str">
        <f>IFERROR(__xludf.DUMMYFUNCTION("IF(REGEXMATCH(Z2510, ""Season""), ""TV Show"", ""Movie"")"),"TV Show")</f>
        <v>TV Show</v>
      </c>
    </row>
    <row r="2511">
      <c r="A2511" s="1" t="s">
        <v>14148</v>
      </c>
      <c r="B2511" s="1" t="s">
        <v>27</v>
      </c>
      <c r="C2511" s="1" t="s">
        <v>14149</v>
      </c>
      <c r="D2511" s="1" t="s">
        <v>13757</v>
      </c>
      <c r="E2511" s="1" t="s">
        <v>14150</v>
      </c>
      <c r="F2511" s="1" t="s">
        <v>3309</v>
      </c>
      <c r="G2511" s="7">
        <v>43970.0</v>
      </c>
      <c r="H2511" s="1">
        <v>2006.0</v>
      </c>
      <c r="I2511" s="1" t="s">
        <v>97</v>
      </c>
      <c r="J2511" s="1" t="s">
        <v>297</v>
      </c>
      <c r="K2511" s="1" t="s">
        <v>215</v>
      </c>
      <c r="L2511" s="1" t="s">
        <v>14151</v>
      </c>
      <c r="M2511" s="2" t="s">
        <v>12</v>
      </c>
      <c r="N2511" s="4">
        <f t="shared" si="1"/>
        <v>43970</v>
      </c>
      <c r="O2511" s="5" t="str">
        <f>IFERROR(__xludf.DUMMYFUNCTION("IF(REGEXMATCH(TRIM(I2511), ""^\d+\s*min""), ""Unclassified"", IF(I2511 = """", ""NR"", I2511))"),"TV-14")</f>
        <v>TV-14</v>
      </c>
      <c r="R2511" s="5" t="str">
        <f t="shared" si="2"/>
        <v>Tarek'S Situation</v>
      </c>
      <c r="S2511" s="5" t="str">
        <f>IFERROR(__xludf.DUMMYFUNCTION("""COMPUTED_VALUE"""),"For The Birds")</f>
        <v>For The Birds</v>
      </c>
      <c r="U2511" s="5" t="str">
        <f>IFERROR(__xludf.DUMMYFUNCTION("""COMPUTED_VALUE"""),"Max Amini")</f>
        <v>Max Amini</v>
      </c>
      <c r="V2511" s="5" t="s">
        <v>8236</v>
      </c>
      <c r="W2511" s="5" t="str">
        <f t="shared" si="3"/>
        <v>Lydia Dean Pilcher, Ginny Mohler</v>
      </c>
      <c r="X2511" s="5">
        <f t="shared" si="4"/>
        <v>1</v>
      </c>
      <c r="Y2511" s="5" t="str">
        <f>IFERROR(__xludf.DUMMYFUNCTION("REGEXEXTRACT(J2511, ""^\d+"")"),"110")</f>
        <v>110</v>
      </c>
      <c r="Z2511" s="5" t="str">
        <f>IFERROR(__xludf.DUMMYFUNCTION("REGEXEXTRACT(J2511, ""[A-Za-z ]+$"")")," min")</f>
        <v> min</v>
      </c>
      <c r="AA2511" s="5" t="str">
        <f>IFERROR(__xludf.DUMMYFUNCTION("IF(REGEXMATCH(Z2511, ""Season""), ""TV Show"", ""Movie"")"),"Movie")</f>
        <v>Movie</v>
      </c>
    </row>
    <row r="2512">
      <c r="A2512" s="1" t="s">
        <v>14152</v>
      </c>
      <c r="B2512" s="1" t="s">
        <v>27</v>
      </c>
      <c r="C2512" s="1" t="s">
        <v>14153</v>
      </c>
      <c r="D2512" s="1" t="s">
        <v>1341</v>
      </c>
      <c r="E2512" s="1" t="s">
        <v>14154</v>
      </c>
      <c r="F2512" s="1" t="s">
        <v>3309</v>
      </c>
      <c r="G2512" s="7">
        <v>43970.0</v>
      </c>
      <c r="H2512" s="1">
        <v>2004.0</v>
      </c>
      <c r="I2512" s="1" t="s">
        <v>97</v>
      </c>
      <c r="J2512" s="1" t="s">
        <v>1243</v>
      </c>
      <c r="K2512" s="1" t="s">
        <v>199</v>
      </c>
      <c r="L2512" s="1" t="s">
        <v>14155</v>
      </c>
      <c r="M2512" s="2" t="s">
        <v>12</v>
      </c>
      <c r="N2512" s="4">
        <f t="shared" si="1"/>
        <v>43970</v>
      </c>
      <c r="O2512" s="5" t="str">
        <f>IFERROR(__xludf.DUMMYFUNCTION("IF(REGEXMATCH(TRIM(I2512), ""^\d+\s*min""), ""Unclassified"", IF(I2512 = """", ""NR"", I2512))"),"TV-14")</f>
        <v>TV-14</v>
      </c>
      <c r="R2512" s="5" t="str">
        <f t="shared" si="2"/>
        <v>The Beach Loafer</v>
      </c>
      <c r="S2512" s="5" t="str">
        <f>IFERROR(__xludf.DUMMYFUNCTION("""COMPUTED_VALUE"""),"For The Broken Hearted")</f>
        <v>For The Broken Hearted</v>
      </c>
      <c r="U2512" s="5" t="str">
        <f>IFERROR(__xludf.DUMMYFUNCTION("""COMPUTED_VALUE"""),"Jason Sussberg, David Alvarado")</f>
        <v>Jason Sussberg, David Alvarado</v>
      </c>
      <c r="V2512" s="5" t="s">
        <v>14156</v>
      </c>
      <c r="W2512" s="5" t="str">
        <f t="shared" si="3"/>
        <v>Lydia Tenaglia</v>
      </c>
      <c r="X2512" s="5">
        <f t="shared" si="4"/>
        <v>1</v>
      </c>
      <c r="Y2512" s="5" t="str">
        <f>IFERROR(__xludf.DUMMYFUNCTION("REGEXEXTRACT(J2512, ""^\d+"")"),"112")</f>
        <v>112</v>
      </c>
      <c r="Z2512" s="5" t="str">
        <f>IFERROR(__xludf.DUMMYFUNCTION("REGEXEXTRACT(J2512, ""[A-Za-z ]+$"")")," min")</f>
        <v> min</v>
      </c>
      <c r="AA2512" s="5" t="str">
        <f>IFERROR(__xludf.DUMMYFUNCTION("IF(REGEXMATCH(Z2512, ""Season""), ""TV Show"", ""Movie"")"),"Movie")</f>
        <v>Movie</v>
      </c>
    </row>
    <row r="2513">
      <c r="A2513" s="1" t="s">
        <v>14157</v>
      </c>
      <c r="B2513" s="1" t="s">
        <v>27</v>
      </c>
      <c r="C2513" s="1" t="s">
        <v>14158</v>
      </c>
      <c r="D2513" s="1" t="s">
        <v>8871</v>
      </c>
      <c r="E2513" s="1" t="s">
        <v>14159</v>
      </c>
      <c r="F2513" s="1" t="s">
        <v>14160</v>
      </c>
      <c r="G2513" s="7">
        <v>43970.0</v>
      </c>
      <c r="H2513" s="1">
        <v>2012.0</v>
      </c>
      <c r="I2513" s="1" t="s">
        <v>78</v>
      </c>
      <c r="J2513" s="1" t="s">
        <v>454</v>
      </c>
      <c r="K2513" s="1" t="s">
        <v>89</v>
      </c>
      <c r="L2513" s="1" t="s">
        <v>14161</v>
      </c>
      <c r="M2513" s="2" t="s">
        <v>12</v>
      </c>
      <c r="N2513" s="4">
        <f t="shared" si="1"/>
        <v>43970</v>
      </c>
      <c r="O2513" s="5" t="str">
        <f>IFERROR(__xludf.DUMMYFUNCTION("IF(REGEXMATCH(TRIM(I2513), ""^\d+\s*min""), ""Unclassified"", IF(I2513 = """", ""NR"", I2513))"),"PG")</f>
        <v>PG</v>
      </c>
      <c r="R2513" s="5" t="str">
        <f t="shared" si="2"/>
        <v>Wadjda</v>
      </c>
      <c r="S2513" s="5" t="str">
        <f>IFERROR(__xludf.DUMMYFUNCTION("""COMPUTED_VALUE"""),"For The Love Of Benji")</f>
        <v>For The Love Of Benji</v>
      </c>
      <c r="U2513" s="5" t="str">
        <f>IFERROR(__xludf.DUMMYFUNCTION("""COMPUTED_VALUE"""),"Célia Catunda, Kiko Mistrorigo, Rodrigo Eba")</f>
        <v>Célia Catunda, Kiko Mistrorigo, Rodrigo Eba</v>
      </c>
      <c r="V2513" s="5" t="s">
        <v>14162</v>
      </c>
      <c r="W2513" s="5" t="str">
        <f t="shared" si="3"/>
        <v>Lygia Barbosa Da Silva, Eliane Brum</v>
      </c>
      <c r="X2513" s="5">
        <f t="shared" si="4"/>
        <v>1</v>
      </c>
      <c r="Y2513" s="5" t="str">
        <f>IFERROR(__xludf.DUMMYFUNCTION("REGEXEXTRACT(J2513, ""^\d+"")"),"93")</f>
        <v>93</v>
      </c>
      <c r="Z2513" s="5" t="str">
        <f>IFERROR(__xludf.DUMMYFUNCTION("REGEXEXTRACT(J2513, ""[A-Za-z ]+$"")")," min")</f>
        <v> min</v>
      </c>
      <c r="AA2513" s="5" t="str">
        <f>IFERROR(__xludf.DUMMYFUNCTION("IF(REGEXMATCH(Z2513, ""Season""), ""TV Show"", ""Movie"")"),"Movie")</f>
        <v>Movie</v>
      </c>
    </row>
    <row r="2514">
      <c r="A2514" s="1" t="s">
        <v>14163</v>
      </c>
      <c r="B2514" s="1" t="s">
        <v>27</v>
      </c>
      <c r="C2514" s="1" t="s">
        <v>14164</v>
      </c>
      <c r="D2514" s="1" t="s">
        <v>13787</v>
      </c>
      <c r="E2514" s="1" t="s">
        <v>14165</v>
      </c>
      <c r="F2514" s="1" t="s">
        <v>3309</v>
      </c>
      <c r="G2514" s="7">
        <v>43970.0</v>
      </c>
      <c r="H2514" s="1">
        <v>2005.0</v>
      </c>
      <c r="I2514" s="1" t="s">
        <v>136</v>
      </c>
      <c r="J2514" s="1" t="s">
        <v>1065</v>
      </c>
      <c r="K2514" s="1" t="s">
        <v>215</v>
      </c>
      <c r="L2514" s="1" t="s">
        <v>14166</v>
      </c>
      <c r="M2514" s="2" t="s">
        <v>12</v>
      </c>
      <c r="N2514" s="4">
        <f t="shared" si="1"/>
        <v>43970</v>
      </c>
      <c r="O2514" s="5" t="str">
        <f>IFERROR(__xludf.DUMMYFUNCTION("IF(REGEXMATCH(TRIM(I2514), ""^\d+\s*min""), ""Unclassified"", IF(I2514 = """", ""NR"", I2514))"),"TV-PG")</f>
        <v>TV-PG</v>
      </c>
      <c r="R2514" s="5" t="str">
        <f t="shared" si="2"/>
        <v>Zaki Chan</v>
      </c>
      <c r="S2514" s="5" t="str">
        <f>IFERROR(__xludf.DUMMYFUNCTION("""COMPUTED_VALUE"""),"For The Love Of Spock")</f>
        <v>For The Love Of Spock</v>
      </c>
      <c r="U2514" s="5" t="str">
        <f>IFERROR(__xludf.DUMMYFUNCTION("""COMPUTED_VALUE"""),"Sang-Ho Yeon")</f>
        <v>Sang-Ho Yeon</v>
      </c>
      <c r="V2514" s="5" t="s">
        <v>14167</v>
      </c>
      <c r="W2514" s="5" t="str">
        <f t="shared" si="3"/>
        <v>Lynn Novick</v>
      </c>
      <c r="X2514" s="5">
        <f t="shared" si="4"/>
        <v>1</v>
      </c>
      <c r="Y2514" s="5" t="str">
        <f>IFERROR(__xludf.DUMMYFUNCTION("REGEXEXTRACT(J2514, ""^\d+"")"),"109")</f>
        <v>109</v>
      </c>
      <c r="Z2514" s="5" t="str">
        <f>IFERROR(__xludf.DUMMYFUNCTION("REGEXEXTRACT(J2514, ""[A-Za-z ]+$"")")," min")</f>
        <v> min</v>
      </c>
      <c r="AA2514" s="5" t="str">
        <f>IFERROR(__xludf.DUMMYFUNCTION("IF(REGEXMATCH(Z2514, ""Season""), ""TV Show"", ""Movie"")"),"Movie")</f>
        <v>Movie</v>
      </c>
    </row>
    <row r="2515">
      <c r="A2515" s="1" t="s">
        <v>14168</v>
      </c>
      <c r="B2515" s="1" t="s">
        <v>27</v>
      </c>
      <c r="C2515" s="1" t="s">
        <v>14169</v>
      </c>
      <c r="D2515" s="1" t="s">
        <v>5024</v>
      </c>
      <c r="E2515" s="1" t="s">
        <v>14170</v>
      </c>
      <c r="F2515" s="1" t="s">
        <v>400</v>
      </c>
      <c r="G2515" s="7">
        <v>43969.0</v>
      </c>
      <c r="H2515" s="1">
        <v>2019.0</v>
      </c>
      <c r="I2515" s="1" t="s">
        <v>97</v>
      </c>
      <c r="J2515" s="1" t="s">
        <v>305</v>
      </c>
      <c r="K2515" s="1" t="s">
        <v>128</v>
      </c>
      <c r="L2515" s="1" t="s">
        <v>14171</v>
      </c>
      <c r="M2515" s="2" t="s">
        <v>12</v>
      </c>
      <c r="N2515" s="4">
        <f t="shared" si="1"/>
        <v>43969</v>
      </c>
      <c r="O2515" s="5" t="str">
        <f>IFERROR(__xludf.DUMMYFUNCTION("IF(REGEXMATCH(TRIM(I2515), ""^\d+\s*min""), ""Unclassified"", IF(I2515 = """", ""NR"", I2515))"),"TV-14")</f>
        <v>TV-14</v>
      </c>
      <c r="R2515" s="5" t="str">
        <f t="shared" si="2"/>
        <v>Light In The Dark</v>
      </c>
      <c r="S2515" s="5" t="str">
        <f>IFERROR(__xludf.DUMMYFUNCTION("""COMPUTED_VALUE"""),"For The Win")</f>
        <v>For The Win</v>
      </c>
      <c r="U2515" s="5" t="str">
        <f>IFERROR(__xludf.DUMMYFUNCTION("""COMPUTED_VALUE"""),"Andy Fickman")</f>
        <v>Andy Fickman</v>
      </c>
      <c r="V2515" s="5" t="s">
        <v>3701</v>
      </c>
      <c r="W2515" s="5" t="str">
        <f t="shared" si="3"/>
        <v>Lynn Shelton</v>
      </c>
      <c r="X2515" s="5">
        <f t="shared" si="4"/>
        <v>5</v>
      </c>
      <c r="Y2515" s="5" t="str">
        <f>IFERROR(__xludf.DUMMYFUNCTION("REGEXEXTRACT(J2515, ""^\d+"")"),"105")</f>
        <v>105</v>
      </c>
      <c r="Z2515" s="5" t="str">
        <f>IFERROR(__xludf.DUMMYFUNCTION("REGEXEXTRACT(J2515, ""[A-Za-z ]+$"")")," min")</f>
        <v> min</v>
      </c>
      <c r="AA2515" s="5" t="str">
        <f>IFERROR(__xludf.DUMMYFUNCTION("IF(REGEXMATCH(Z2515, ""Season""), ""TV Show"", ""Movie"")"),"Movie")</f>
        <v>Movie</v>
      </c>
    </row>
    <row r="2516">
      <c r="A2516" s="1" t="s">
        <v>14172</v>
      </c>
      <c r="B2516" s="1" t="s">
        <v>37</v>
      </c>
      <c r="C2516" s="1" t="s">
        <v>14173</v>
      </c>
      <c r="E2516" s="1" t="s">
        <v>14174</v>
      </c>
      <c r="F2516" s="1" t="s">
        <v>96</v>
      </c>
      <c r="G2516" s="7">
        <v>43969.0</v>
      </c>
      <c r="H2516" s="1">
        <v>2020.0</v>
      </c>
      <c r="I2516" s="1" t="s">
        <v>136</v>
      </c>
      <c r="J2516" s="1" t="s">
        <v>51</v>
      </c>
      <c r="K2516" s="1" t="s">
        <v>2382</v>
      </c>
      <c r="L2516" s="1" t="s">
        <v>14175</v>
      </c>
      <c r="M2516" s="2" t="s">
        <v>12</v>
      </c>
      <c r="N2516" s="4">
        <f t="shared" si="1"/>
        <v>43969</v>
      </c>
      <c r="O2516" s="5" t="str">
        <f>IFERROR(__xludf.DUMMYFUNCTION("IF(REGEXMATCH(TRIM(I2516), ""^\d+\s*min""), ""Unclassified"", IF(I2516 = """", ""NR"", I2516))"),"TV-PG")</f>
        <v>TV-PG</v>
      </c>
      <c r="R2516" s="5" t="str">
        <f t="shared" si="2"/>
        <v>The Big Flower Fight</v>
      </c>
      <c r="S2516" s="5" t="str">
        <f>IFERROR(__xludf.DUMMYFUNCTION("""COMPUTED_VALUE"""),"For Your Own Good")</f>
        <v>For Your Own Good</v>
      </c>
      <c r="U2516" s="5" t="str">
        <f>IFERROR(__xludf.DUMMYFUNCTION("""COMPUTED_VALUE"""),"Olivia Milch")</f>
        <v>Olivia Milch</v>
      </c>
      <c r="V2516" s="5" t="s">
        <v>14176</v>
      </c>
      <c r="W2516" s="5" t="str">
        <f t="shared" si="3"/>
        <v>Lyric R. Cabral, David Felix Sutcliffe</v>
      </c>
      <c r="X2516" s="5">
        <f t="shared" si="4"/>
        <v>1</v>
      </c>
      <c r="Y2516" s="5" t="str">
        <f>IFERROR(__xludf.DUMMYFUNCTION("REGEXEXTRACT(J2516, ""^\d+"")"),"1")</f>
        <v>1</v>
      </c>
      <c r="Z2516" s="5" t="str">
        <f>IFERROR(__xludf.DUMMYFUNCTION("REGEXEXTRACT(J2516, ""[A-Za-z ]+$"")")," Season")</f>
        <v> Season</v>
      </c>
      <c r="AA2516" s="5" t="str">
        <f>IFERROR(__xludf.DUMMYFUNCTION("IF(REGEXMATCH(Z2516, ""Season""), ""TV Show"", ""Movie"")"),"TV Show")</f>
        <v>TV Show</v>
      </c>
    </row>
    <row r="2517">
      <c r="A2517" s="1" t="s">
        <v>14177</v>
      </c>
      <c r="B2517" s="1" t="s">
        <v>37</v>
      </c>
      <c r="C2517" s="1" t="s">
        <v>14178</v>
      </c>
      <c r="E2517" s="1" t="s">
        <v>14179</v>
      </c>
      <c r="F2517" s="1" t="s">
        <v>30</v>
      </c>
      <c r="G2517" s="7">
        <v>43968.0</v>
      </c>
      <c r="H2517" s="1">
        <v>2020.0</v>
      </c>
      <c r="I2517" s="1" t="s">
        <v>42</v>
      </c>
      <c r="J2517" s="1" t="s">
        <v>439</v>
      </c>
      <c r="K2517" s="1" t="s">
        <v>2512</v>
      </c>
      <c r="L2517" s="1" t="s">
        <v>14180</v>
      </c>
      <c r="M2517" s="2" t="s">
        <v>12</v>
      </c>
      <c r="N2517" s="4">
        <f t="shared" si="1"/>
        <v>43968</v>
      </c>
      <c r="O2517" s="5" t="str">
        <f>IFERROR(__xludf.DUMMYFUNCTION("IF(REGEXMATCH(TRIM(I2517), ""^\d+\s*min""), ""Unclassified"", IF(I2517 = """", ""NR"", I2517))"),"TV-MA")</f>
        <v>TV-MA</v>
      </c>
      <c r="R2517" s="5" t="str">
        <f t="shared" si="2"/>
        <v>Patriot Act With Hasan Minhaj</v>
      </c>
      <c r="S2517" s="5" t="str">
        <f>IFERROR(__xludf.DUMMYFUNCTION("""COMPUTED_VALUE"""),"Forbidden Games: The Justin Fashanu Story")</f>
        <v>Forbidden Games: The Justin Fashanu Story</v>
      </c>
      <c r="U2517" s="5" t="str">
        <f>IFERROR(__xludf.DUMMYFUNCTION("""COMPUTED_VALUE"""),"David Sington, Heather Walsh")</f>
        <v>David Sington, Heather Walsh</v>
      </c>
      <c r="V2517" s="5" t="s">
        <v>14181</v>
      </c>
      <c r="W2517" s="5" t="str">
        <f t="shared" si="3"/>
        <v>M. Night Shyamalan</v>
      </c>
      <c r="X2517" s="5">
        <f t="shared" si="4"/>
        <v>2</v>
      </c>
      <c r="Y2517" s="5" t="str">
        <f>IFERROR(__xludf.DUMMYFUNCTION("REGEXEXTRACT(J2517, ""^\d+"")"),"6")</f>
        <v>6</v>
      </c>
      <c r="Z2517" s="5" t="str">
        <f>IFERROR(__xludf.DUMMYFUNCTION("REGEXEXTRACT(J2517, ""[A-Za-z ]+$"")")," Seasons")</f>
        <v> Seasons</v>
      </c>
      <c r="AA2517" s="5" t="str">
        <f>IFERROR(__xludf.DUMMYFUNCTION("IF(REGEXMATCH(Z2517, ""Season""), ""TV Show"", ""Movie"")"),"TV Show")</f>
        <v>TV Show</v>
      </c>
    </row>
    <row r="2518">
      <c r="A2518" s="1" t="s">
        <v>14182</v>
      </c>
      <c r="B2518" s="1" t="s">
        <v>27</v>
      </c>
      <c r="C2518" s="1" t="s">
        <v>14183</v>
      </c>
      <c r="D2518" s="1" t="s">
        <v>14184</v>
      </c>
      <c r="E2518" s="1" t="s">
        <v>14185</v>
      </c>
      <c r="F2518" s="1" t="s">
        <v>9234</v>
      </c>
      <c r="G2518" s="7">
        <v>43968.0</v>
      </c>
      <c r="H2518" s="1">
        <v>2019.0</v>
      </c>
      <c r="I2518" s="1" t="s">
        <v>42</v>
      </c>
      <c r="J2518" s="1" t="s">
        <v>247</v>
      </c>
      <c r="K2518" s="1" t="s">
        <v>1328</v>
      </c>
      <c r="L2518" s="1" t="s">
        <v>14186</v>
      </c>
      <c r="M2518" s="2" t="s">
        <v>12</v>
      </c>
      <c r="N2518" s="4">
        <f t="shared" si="1"/>
        <v>43968</v>
      </c>
      <c r="O2518" s="5" t="str">
        <f>IFERROR(__xludf.DUMMYFUNCTION("IF(REGEXMATCH(TRIM(I2518), ""^\d+\s*min""), ""Unclassified"", IF(I2518 = """", ""NR"", I2518))"),"TV-MA")</f>
        <v>TV-MA</v>
      </c>
      <c r="R2518" s="5" t="str">
        <f t="shared" si="2"/>
        <v>The End</v>
      </c>
      <c r="S2518" s="5" t="str">
        <f>IFERROR(__xludf.DUMMYFUNCTION("""COMPUTED_VALUE"""),"Forbidden Planet")</f>
        <v>Forbidden Planet</v>
      </c>
      <c r="U2518" s="5" t="str">
        <f>IFERROR(__xludf.DUMMYFUNCTION("""COMPUTED_VALUE"""),"Pedro Coutinho")</f>
        <v>Pedro Coutinho</v>
      </c>
      <c r="V2518" s="5" t="s">
        <v>14187</v>
      </c>
      <c r="W2518" s="5" t="str">
        <f t="shared" si="3"/>
        <v>M.J. Bassett</v>
      </c>
      <c r="X2518" s="5">
        <f t="shared" si="4"/>
        <v>1</v>
      </c>
      <c r="Y2518" s="5" t="str">
        <f>IFERROR(__xludf.DUMMYFUNCTION("REGEXEXTRACT(J2518, ""^\d+"")"),"97")</f>
        <v>97</v>
      </c>
      <c r="Z2518" s="5" t="str">
        <f>IFERROR(__xludf.DUMMYFUNCTION("REGEXEXTRACT(J2518, ""[A-Za-z ]+$"")")," min")</f>
        <v> min</v>
      </c>
      <c r="AA2518" s="5" t="str">
        <f>IFERROR(__xludf.DUMMYFUNCTION("IF(REGEXMATCH(Z2518, ""Season""), ""TV Show"", ""Movie"")"),"Movie")</f>
        <v>Movie</v>
      </c>
    </row>
    <row r="2519">
      <c r="A2519" s="1" t="s">
        <v>14188</v>
      </c>
      <c r="B2519" s="1" t="s">
        <v>37</v>
      </c>
      <c r="C2519" s="1" t="s">
        <v>14189</v>
      </c>
      <c r="E2519" s="1" t="s">
        <v>14190</v>
      </c>
      <c r="F2519" s="1" t="s">
        <v>749</v>
      </c>
      <c r="G2519" s="7">
        <v>43967.0</v>
      </c>
      <c r="H2519" s="1">
        <v>2009.0</v>
      </c>
      <c r="I2519" s="1" t="s">
        <v>97</v>
      </c>
      <c r="J2519" s="1" t="s">
        <v>51</v>
      </c>
      <c r="K2519" s="1" t="s">
        <v>7164</v>
      </c>
      <c r="L2519" s="1" t="s">
        <v>14191</v>
      </c>
      <c r="M2519" s="2" t="s">
        <v>12</v>
      </c>
      <c r="N2519" s="4">
        <f t="shared" si="1"/>
        <v>43967</v>
      </c>
      <c r="O2519" s="5" t="str">
        <f>IFERROR(__xludf.DUMMYFUNCTION("IF(REGEXMATCH(TRIM(I2519), ""^\d+\s*min""), ""Unclassified"", IF(I2519 = """", ""NR"", I2519))"),"TV-14")</f>
        <v>TV-14</v>
      </c>
      <c r="R2519" s="5" t="str">
        <f t="shared" si="2"/>
        <v>Boys Over Flowers</v>
      </c>
      <c r="S2519" s="5" t="str">
        <f>IFERROR(__xludf.DUMMYFUNCTION("""COMPUTED_VALUE"""),"Force 2")</f>
        <v>Force 2</v>
      </c>
      <c r="U2519" s="5" t="str">
        <f>IFERROR(__xludf.DUMMYFUNCTION("""COMPUTED_VALUE"""),"Joshua Marston")</f>
        <v>Joshua Marston</v>
      </c>
      <c r="V2519" s="5" t="s">
        <v>14192</v>
      </c>
      <c r="W2519" s="5" t="str">
        <f t="shared" si="3"/>
        <v>M.J. Isakson</v>
      </c>
      <c r="X2519" s="5">
        <f t="shared" si="4"/>
        <v>1</v>
      </c>
      <c r="Y2519" s="5" t="str">
        <f>IFERROR(__xludf.DUMMYFUNCTION("REGEXEXTRACT(J2519, ""^\d+"")"),"1")</f>
        <v>1</v>
      </c>
      <c r="Z2519" s="5" t="str">
        <f>IFERROR(__xludf.DUMMYFUNCTION("REGEXEXTRACT(J2519, ""[A-Za-z ]+$"")")," Season")</f>
        <v> Season</v>
      </c>
      <c r="AA2519" s="5" t="str">
        <f>IFERROR(__xludf.DUMMYFUNCTION("IF(REGEXMATCH(Z2519, ""Season""), ""TV Show"", ""Movie"")"),"TV Show")</f>
        <v>TV Show</v>
      </c>
    </row>
    <row r="2520">
      <c r="A2520" s="1" t="s">
        <v>14193</v>
      </c>
      <c r="B2520" s="1" t="s">
        <v>37</v>
      </c>
      <c r="C2520" s="1" t="s">
        <v>14194</v>
      </c>
      <c r="E2520" s="1" t="s">
        <v>14195</v>
      </c>
      <c r="F2520" s="1" t="s">
        <v>749</v>
      </c>
      <c r="G2520" s="7">
        <v>43967.0</v>
      </c>
      <c r="H2520" s="1">
        <v>2009.0</v>
      </c>
      <c r="I2520" s="1" t="s">
        <v>97</v>
      </c>
      <c r="J2520" s="1" t="s">
        <v>51</v>
      </c>
      <c r="K2520" s="1" t="s">
        <v>14196</v>
      </c>
      <c r="L2520" s="1" t="s">
        <v>14197</v>
      </c>
      <c r="M2520" s="2" t="s">
        <v>12</v>
      </c>
      <c r="N2520" s="4">
        <f t="shared" si="1"/>
        <v>43967</v>
      </c>
      <c r="O2520" s="5" t="str">
        <f>IFERROR(__xludf.DUMMYFUNCTION("IF(REGEXMATCH(TRIM(I2520), ""^\d+\s*min""), ""Unclassified"", IF(I2520 = """", ""NR"", I2520))"),"TV-14")</f>
        <v>TV-14</v>
      </c>
      <c r="R2520" s="5" t="str">
        <f t="shared" si="2"/>
        <v>Iris</v>
      </c>
      <c r="S2520" s="5" t="str">
        <f>IFERROR(__xludf.DUMMYFUNCTION("""COMPUTED_VALUE"""),"Forces Of Nature")</f>
        <v>Forces Of Nature</v>
      </c>
      <c r="U2520" s="5" t="str">
        <f>IFERROR(__xludf.DUMMYFUNCTION("""COMPUTED_VALUE"""),"Eleonore Pourriat")</f>
        <v>Eleonore Pourriat</v>
      </c>
      <c r="V2520" s="5" t="s">
        <v>14198</v>
      </c>
      <c r="W2520" s="5" t="str">
        <f t="shared" si="3"/>
        <v>Maciej Dejczer</v>
      </c>
      <c r="X2520" s="5">
        <f t="shared" si="4"/>
        <v>1</v>
      </c>
      <c r="Y2520" s="5" t="str">
        <f>IFERROR(__xludf.DUMMYFUNCTION("REGEXEXTRACT(J2520, ""^\d+"")"),"1")</f>
        <v>1</v>
      </c>
      <c r="Z2520" s="5" t="str">
        <f>IFERROR(__xludf.DUMMYFUNCTION("REGEXEXTRACT(J2520, ""[A-Za-z ]+$"")")," Season")</f>
        <v> Season</v>
      </c>
      <c r="AA2520" s="5" t="str">
        <f>IFERROR(__xludf.DUMMYFUNCTION("IF(REGEXMATCH(Z2520, ""Season""), ""TV Show"", ""Movie"")"),"TV Show")</f>
        <v>TV Show</v>
      </c>
    </row>
    <row r="2521">
      <c r="A2521" s="1" t="s">
        <v>14199</v>
      </c>
      <c r="B2521" s="1" t="s">
        <v>37</v>
      </c>
      <c r="C2521" s="1" t="s">
        <v>14200</v>
      </c>
      <c r="E2521" s="1" t="s">
        <v>14201</v>
      </c>
      <c r="F2521" s="1" t="s">
        <v>30</v>
      </c>
      <c r="G2521" s="7">
        <v>43966.0</v>
      </c>
      <c r="H2521" s="1">
        <v>2007.0</v>
      </c>
      <c r="I2521" s="1" t="s">
        <v>289</v>
      </c>
      <c r="J2521" s="1" t="s">
        <v>276</v>
      </c>
      <c r="K2521" s="1" t="s">
        <v>14202</v>
      </c>
      <c r="L2521" s="1" t="s">
        <v>14203</v>
      </c>
      <c r="M2521" s="2" t="s">
        <v>12</v>
      </c>
      <c r="N2521" s="4">
        <f t="shared" si="1"/>
        <v>43966</v>
      </c>
      <c r="O2521" s="5" t="str">
        <f>IFERROR(__xludf.DUMMYFUNCTION("IF(REGEXMATCH(TRIM(I2521), ""^\d+\s*min""), ""Unclassified"", IF(I2521 = """", ""NR"", I2521))"),"TV-Y7")</f>
        <v>TV-Y7</v>
      </c>
      <c r="R2521" s="5" t="str">
        <f t="shared" si="2"/>
        <v>Avatar: The Last Airbender</v>
      </c>
      <c r="S2521" s="5" t="str">
        <f>IFERROR(__xludf.DUMMYFUNCTION("""COMPUTED_VALUE"""),"Forensic")</f>
        <v>Forensic</v>
      </c>
      <c r="U2521" s="5" t="str">
        <f>IFERROR(__xludf.DUMMYFUNCTION("""COMPUTED_VALUE"""),"Peter Webber")</f>
        <v>Peter Webber</v>
      </c>
      <c r="V2521" s="5" t="s">
        <v>14204</v>
      </c>
      <c r="W2521" s="5" t="str">
        <f t="shared" si="3"/>
        <v>Macon Blair</v>
      </c>
      <c r="X2521" s="5">
        <f t="shared" si="4"/>
        <v>1</v>
      </c>
      <c r="Y2521" s="5" t="str">
        <f>IFERROR(__xludf.DUMMYFUNCTION("REGEXEXTRACT(J2521, ""^\d+"")"),"3")</f>
        <v>3</v>
      </c>
      <c r="Z2521" s="5" t="str">
        <f>IFERROR(__xludf.DUMMYFUNCTION("REGEXEXTRACT(J2521, ""[A-Za-z ]+$"")")," Seasons")</f>
        <v> Seasons</v>
      </c>
      <c r="AA2521" s="5" t="str">
        <f>IFERROR(__xludf.DUMMYFUNCTION("IF(REGEXMATCH(Z2521, ""Season""), ""TV Show"", ""Movie"")"),"TV Show")</f>
        <v>TV Show</v>
      </c>
    </row>
    <row r="2522">
      <c r="A2522" s="1" t="s">
        <v>14205</v>
      </c>
      <c r="B2522" s="1" t="s">
        <v>27</v>
      </c>
      <c r="C2522" s="1" t="s">
        <v>14206</v>
      </c>
      <c r="D2522" s="1" t="s">
        <v>14014</v>
      </c>
      <c r="E2522" s="1" t="s">
        <v>14207</v>
      </c>
      <c r="F2522" s="1" t="s">
        <v>3938</v>
      </c>
      <c r="G2522" s="7">
        <v>43966.0</v>
      </c>
      <c r="H2522" s="1">
        <v>2017.0</v>
      </c>
      <c r="I2522" s="1" t="s">
        <v>42</v>
      </c>
      <c r="J2522" s="1" t="s">
        <v>79</v>
      </c>
      <c r="K2522" s="1" t="s">
        <v>128</v>
      </c>
      <c r="L2522" s="1" t="s">
        <v>14208</v>
      </c>
      <c r="M2522" s="2" t="s">
        <v>12</v>
      </c>
      <c r="N2522" s="4">
        <f t="shared" si="1"/>
        <v>43966</v>
      </c>
      <c r="O2522" s="5" t="str">
        <f>IFERROR(__xludf.DUMMYFUNCTION("IF(REGEXMATCH(TRIM(I2522), ""^\d+\s*min""), ""Unclassified"", IF(I2522 = """", ""NR"", I2522))"),"TV-MA")</f>
        <v>TV-MA</v>
      </c>
      <c r="R2522" s="5" t="str">
        <f t="shared" si="2"/>
        <v>Heaven Without People</v>
      </c>
      <c r="S2522" s="5" t="str">
        <f>IFERROR(__xludf.DUMMYFUNCTION("""COMPUTED_VALUE"""),"Forensic Files")</f>
        <v>Forensic Files</v>
      </c>
      <c r="U2522" s="5" t="str">
        <f>IFERROR(__xludf.DUMMYFUNCTION("""COMPUTED_VALUE"""),"Peter Orton")</f>
        <v>Peter Orton</v>
      </c>
      <c r="V2522" s="5" t="s">
        <v>14209</v>
      </c>
      <c r="W2522" s="5" t="str">
        <f t="shared" si="3"/>
        <v>Madeleine Gavin</v>
      </c>
      <c r="X2522" s="5">
        <f t="shared" si="4"/>
        <v>1</v>
      </c>
      <c r="Y2522" s="5" t="str">
        <f>IFERROR(__xludf.DUMMYFUNCTION("REGEXEXTRACT(J2522, ""^\d+"")"),"91")</f>
        <v>91</v>
      </c>
      <c r="Z2522" s="5" t="str">
        <f>IFERROR(__xludf.DUMMYFUNCTION("REGEXEXTRACT(J2522, ""[A-Za-z ]+$"")")," min")</f>
        <v> min</v>
      </c>
      <c r="AA2522" s="5" t="str">
        <f>IFERROR(__xludf.DUMMYFUNCTION("IF(REGEXMATCH(Z2522, ""Season""), ""TV Show"", ""Movie"")"),"Movie")</f>
        <v>Movie</v>
      </c>
    </row>
    <row r="2523">
      <c r="A2523" s="1" t="s">
        <v>14210</v>
      </c>
      <c r="B2523" s="1" t="s">
        <v>27</v>
      </c>
      <c r="C2523" s="1" t="s">
        <v>14211</v>
      </c>
      <c r="D2523" s="1" t="s">
        <v>13432</v>
      </c>
      <c r="E2523" s="1" t="s">
        <v>14212</v>
      </c>
      <c r="F2523" s="1" t="s">
        <v>784</v>
      </c>
      <c r="G2523" s="7">
        <v>43966.0</v>
      </c>
      <c r="H2523" s="1">
        <v>2019.0</v>
      </c>
      <c r="I2523" s="1" t="s">
        <v>42</v>
      </c>
      <c r="J2523" s="1" t="s">
        <v>428</v>
      </c>
      <c r="K2523" s="1" t="s">
        <v>215</v>
      </c>
      <c r="L2523" s="1" t="s">
        <v>14213</v>
      </c>
      <c r="M2523" s="2" t="s">
        <v>12</v>
      </c>
      <c r="N2523" s="4">
        <f t="shared" si="1"/>
        <v>43966</v>
      </c>
      <c r="O2523" s="5" t="str">
        <f>IFERROR(__xludf.DUMMYFUNCTION("IF(REGEXMATCH(TRIM(I2523), ""^\d+\s*min""), ""Unclassified"", IF(I2523 = """", ""NR"", I2523))"),"TV-MA")</f>
        <v>TV-MA</v>
      </c>
      <c r="R2523" s="5" t="str">
        <f t="shared" si="2"/>
        <v>I Love You, Stupid</v>
      </c>
      <c r="S2523" s="5" t="str">
        <f>IFERROR(__xludf.DUMMYFUNCTION("""COMPUTED_VALUE"""),"Forest Of Piano")</f>
        <v>Forest Of Piano</v>
      </c>
      <c r="U2523" s="5" t="str">
        <f>IFERROR(__xludf.DUMMYFUNCTION("""COMPUTED_VALUE"""),"Marja Lewis Ryan")</f>
        <v>Marja Lewis Ryan</v>
      </c>
      <c r="V2523" s="5" t="s">
        <v>13939</v>
      </c>
      <c r="W2523" s="5" t="str">
        <f t="shared" si="3"/>
        <v>Madeleine Parry</v>
      </c>
      <c r="X2523" s="5">
        <f t="shared" si="4"/>
        <v>1</v>
      </c>
      <c r="Y2523" s="5" t="str">
        <f>IFERROR(__xludf.DUMMYFUNCTION("REGEXEXTRACT(J2523, ""^\d+"")"),"88")</f>
        <v>88</v>
      </c>
      <c r="Z2523" s="5" t="str">
        <f>IFERROR(__xludf.DUMMYFUNCTION("REGEXEXTRACT(J2523, ""[A-Za-z ]+$"")")," min")</f>
        <v> min</v>
      </c>
      <c r="AA2523" s="5" t="str">
        <f>IFERROR(__xludf.DUMMYFUNCTION("IF(REGEXMATCH(Z2523, ""Season""), ""TV Show"", ""Movie"")"),"Movie")</f>
        <v>Movie</v>
      </c>
    </row>
    <row r="2524">
      <c r="A2524" s="1" t="s">
        <v>14214</v>
      </c>
      <c r="B2524" s="1" t="s">
        <v>37</v>
      </c>
      <c r="C2524" s="1" t="s">
        <v>14215</v>
      </c>
      <c r="D2524" s="1" t="s">
        <v>10579</v>
      </c>
      <c r="E2524" s="1" t="s">
        <v>14216</v>
      </c>
      <c r="F2524" s="1" t="s">
        <v>664</v>
      </c>
      <c r="G2524" s="7">
        <v>43966.0</v>
      </c>
      <c r="H2524" s="1">
        <v>2020.0</v>
      </c>
      <c r="I2524" s="1" t="s">
        <v>42</v>
      </c>
      <c r="J2524" s="1" t="s">
        <v>51</v>
      </c>
      <c r="K2524" s="1" t="s">
        <v>1362</v>
      </c>
      <c r="L2524" s="1" t="s">
        <v>14217</v>
      </c>
      <c r="M2524" s="2" t="s">
        <v>12</v>
      </c>
      <c r="N2524" s="4">
        <f t="shared" si="1"/>
        <v>43966</v>
      </c>
      <c r="O2524" s="5" t="str">
        <f>IFERROR(__xludf.DUMMYFUNCTION("IF(REGEXMATCH(TRIM(I2524), ""^\d+\s*min""), ""Unclassified"", IF(I2524 = """", ""NR"", I2524))"),"TV-MA")</f>
        <v>TV-MA</v>
      </c>
      <c r="R2524" s="5" t="str">
        <f t="shared" si="2"/>
        <v>Inhuman Resources</v>
      </c>
      <c r="S2524" s="5" t="str">
        <f>IFERROR(__xludf.DUMMYFUNCTION("""COMPUTED_VALUE"""),"Forever Chape")</f>
        <v>Forever Chape</v>
      </c>
      <c r="U2524" s="5" t="str">
        <f>IFERROR(__xludf.DUMMYFUNCTION("""COMPUTED_VALUE"""),"Ryan Koo")</f>
        <v>Ryan Koo</v>
      </c>
      <c r="V2524" s="5" t="s">
        <v>14218</v>
      </c>
      <c r="W2524" s="5" t="str">
        <f t="shared" si="3"/>
        <v>Madeleine Parry, Jon Olb</v>
      </c>
      <c r="X2524" s="5">
        <f t="shared" si="4"/>
        <v>1</v>
      </c>
      <c r="Y2524" s="5" t="str">
        <f>IFERROR(__xludf.DUMMYFUNCTION("REGEXEXTRACT(J2524, ""^\d+"")"),"1")</f>
        <v>1</v>
      </c>
      <c r="Z2524" s="5" t="str">
        <f>IFERROR(__xludf.DUMMYFUNCTION("REGEXEXTRACT(J2524, ""[A-Za-z ]+$"")")," Season")</f>
        <v> Season</v>
      </c>
      <c r="AA2524" s="5" t="str">
        <f>IFERROR(__xludf.DUMMYFUNCTION("IF(REGEXMATCH(Z2524, ""Season""), ""TV Show"", ""Movie"")"),"TV Show")</f>
        <v>TV Show</v>
      </c>
    </row>
    <row r="2525">
      <c r="A2525" s="1" t="s">
        <v>14219</v>
      </c>
      <c r="B2525" s="1" t="s">
        <v>37</v>
      </c>
      <c r="C2525" s="1" t="s">
        <v>14220</v>
      </c>
      <c r="E2525" s="1" t="s">
        <v>14221</v>
      </c>
      <c r="F2525" s="1" t="s">
        <v>30</v>
      </c>
      <c r="G2525" s="7">
        <v>43966.0</v>
      </c>
      <c r="H2525" s="1">
        <v>2019.0</v>
      </c>
      <c r="I2525" s="1" t="s">
        <v>136</v>
      </c>
      <c r="J2525" s="1" t="s">
        <v>439</v>
      </c>
      <c r="K2525" s="1" t="s">
        <v>2709</v>
      </c>
      <c r="L2525" s="1" t="s">
        <v>14222</v>
      </c>
      <c r="M2525" s="2" t="s">
        <v>12</v>
      </c>
      <c r="N2525" s="4">
        <f t="shared" si="1"/>
        <v>43966</v>
      </c>
      <c r="O2525" s="5" t="str">
        <f>IFERROR(__xludf.DUMMYFUNCTION("IF(REGEXMATCH(TRIM(I2525), ""^\d+\s*min""), ""Unclassified"", IF(I2525 = """", ""NR"", I2525))"),"TV-PG")</f>
        <v>TV-PG</v>
      </c>
      <c r="R2525" s="5" t="str">
        <f t="shared" si="2"/>
        <v>Madam Secretary</v>
      </c>
      <c r="S2525" s="5" t="str">
        <f>IFERROR(__xludf.DUMMYFUNCTION("""COMPUTED_VALUE"""),"Forever Pure")</f>
        <v>Forever Pure</v>
      </c>
      <c r="U2525" s="5" t="str">
        <f>IFERROR(__xludf.DUMMYFUNCTION("""COMPUTED_VALUE"""),"Hatem Khraiche")</f>
        <v>Hatem Khraiche</v>
      </c>
      <c r="V2525" s="5" t="s">
        <v>14223</v>
      </c>
      <c r="W2525" s="5" t="str">
        <f t="shared" si="3"/>
        <v>Madhumita</v>
      </c>
      <c r="X2525" s="5">
        <f t="shared" si="4"/>
        <v>1</v>
      </c>
      <c r="Y2525" s="5" t="str">
        <f>IFERROR(__xludf.DUMMYFUNCTION("REGEXEXTRACT(J2525, ""^\d+"")"),"6")</f>
        <v>6</v>
      </c>
      <c r="Z2525" s="5" t="str">
        <f>IFERROR(__xludf.DUMMYFUNCTION("REGEXEXTRACT(J2525, ""[A-Za-z ]+$"")")," Seasons")</f>
        <v> Seasons</v>
      </c>
      <c r="AA2525" s="5" t="str">
        <f>IFERROR(__xludf.DUMMYFUNCTION("IF(REGEXMATCH(Z2525, ""Season""), ""TV Show"", ""Movie"")"),"TV Show")</f>
        <v>TV Show</v>
      </c>
    </row>
    <row r="2526">
      <c r="A2526" s="1" t="s">
        <v>14224</v>
      </c>
      <c r="B2526" s="1" t="s">
        <v>37</v>
      </c>
      <c r="C2526" s="1" t="s">
        <v>14225</v>
      </c>
      <c r="E2526" s="1" t="s">
        <v>14226</v>
      </c>
      <c r="F2526" s="1" t="s">
        <v>30</v>
      </c>
      <c r="G2526" s="7">
        <v>43966.0</v>
      </c>
      <c r="H2526" s="1">
        <v>2020.0</v>
      </c>
      <c r="I2526" s="1" t="s">
        <v>97</v>
      </c>
      <c r="J2526" s="1" t="s">
        <v>276</v>
      </c>
      <c r="K2526" s="1" t="s">
        <v>10750</v>
      </c>
      <c r="L2526" s="1" t="s">
        <v>14227</v>
      </c>
      <c r="M2526" s="2" t="s">
        <v>12</v>
      </c>
      <c r="N2526" s="4">
        <f t="shared" si="1"/>
        <v>43966</v>
      </c>
      <c r="O2526" s="5" t="str">
        <f>IFERROR(__xludf.DUMMYFUNCTION("IF(REGEXMATCH(TRIM(I2526), ""^\d+\s*min""), ""Unclassified"", IF(I2526 = """", ""NR"", I2526))"),"TV-14")</f>
        <v>TV-14</v>
      </c>
      <c r="R2526" s="5" t="str">
        <f t="shared" si="2"/>
        <v>Magic For Humans</v>
      </c>
      <c r="S2526" s="5" t="str">
        <f>IFERROR(__xludf.DUMMYFUNCTION("""COMPUTED_VALUE"""),"Forged In Fire")</f>
        <v>Forged In Fire</v>
      </c>
      <c r="U2526" s="5" t="str">
        <f>IFERROR(__xludf.DUMMYFUNCTION("""COMPUTED_VALUE"""),"Derek Peck")</f>
        <v>Derek Peck</v>
      </c>
      <c r="V2526" s="5" t="s">
        <v>14228</v>
      </c>
      <c r="W2526" s="5" t="str">
        <f t="shared" si="3"/>
        <v>Madhur Bhandarkar</v>
      </c>
      <c r="X2526" s="5">
        <f t="shared" si="4"/>
        <v>5</v>
      </c>
      <c r="Y2526" s="5" t="str">
        <f>IFERROR(__xludf.DUMMYFUNCTION("REGEXEXTRACT(J2526, ""^\d+"")"),"3")</f>
        <v>3</v>
      </c>
      <c r="Z2526" s="5" t="str">
        <f>IFERROR(__xludf.DUMMYFUNCTION("REGEXEXTRACT(J2526, ""[A-Za-z ]+$"")")," Seasons")</f>
        <v> Seasons</v>
      </c>
      <c r="AA2526" s="5" t="str">
        <f>IFERROR(__xludf.DUMMYFUNCTION("IF(REGEXMATCH(Z2526, ""Season""), ""TV Show"", ""Movie"")"),"TV Show")</f>
        <v>TV Show</v>
      </c>
    </row>
    <row r="2527">
      <c r="A2527" s="1" t="s">
        <v>14229</v>
      </c>
      <c r="B2527" s="1" t="s">
        <v>37</v>
      </c>
      <c r="C2527" s="1" t="s">
        <v>14230</v>
      </c>
      <c r="E2527" s="1" t="s">
        <v>14231</v>
      </c>
      <c r="F2527" s="1" t="s">
        <v>415</v>
      </c>
      <c r="G2527" s="7">
        <v>43966.0</v>
      </c>
      <c r="H2527" s="1">
        <v>2014.0</v>
      </c>
      <c r="I2527" s="1" t="s">
        <v>42</v>
      </c>
      <c r="J2527" s="1" t="s">
        <v>51</v>
      </c>
      <c r="K2527" s="1" t="s">
        <v>14232</v>
      </c>
      <c r="L2527" s="1" t="s">
        <v>14233</v>
      </c>
      <c r="M2527" s="2" t="s">
        <v>12</v>
      </c>
      <c r="N2527" s="4">
        <f t="shared" si="1"/>
        <v>43966</v>
      </c>
      <c r="O2527" s="5" t="str">
        <f>IFERROR(__xludf.DUMMYFUNCTION("IF(REGEXMATCH(TRIM(I2527), ""^\d+\s*min""), ""Unclassified"", IF(I2527 = """", ""NR"", I2527))"),"TV-MA")</f>
        <v>TV-MA</v>
      </c>
      <c r="R2527" s="5" t="str">
        <f t="shared" si="2"/>
        <v>Parasyte: The Maxim</v>
      </c>
      <c r="S2527" s="5" t="str">
        <f>IFERROR(__xludf.DUMMYFUNCTION("""COMPUTED_VALUE"""),"Forget Me Not")</f>
        <v>Forget Me Not</v>
      </c>
      <c r="U2527" s="5" t="str">
        <f>IFERROR(__xludf.DUMMYFUNCTION("""COMPUTED_VALUE"""),"Jennifer Morrison")</f>
        <v>Jennifer Morrison</v>
      </c>
      <c r="V2527" s="5" t="s">
        <v>14234</v>
      </c>
      <c r="W2527" s="5" t="str">
        <f t="shared" si="3"/>
        <v>Madonna</v>
      </c>
      <c r="X2527" s="5">
        <f t="shared" si="4"/>
        <v>1</v>
      </c>
      <c r="Y2527" s="5" t="str">
        <f>IFERROR(__xludf.DUMMYFUNCTION("REGEXEXTRACT(J2527, ""^\d+"")"),"1")</f>
        <v>1</v>
      </c>
      <c r="Z2527" s="5" t="str">
        <f>IFERROR(__xludf.DUMMYFUNCTION("REGEXEXTRACT(J2527, ""[A-Za-z ]+$"")")," Season")</f>
        <v> Season</v>
      </c>
      <c r="AA2527" s="5" t="str">
        <f>IFERROR(__xludf.DUMMYFUNCTION("IF(REGEXMATCH(Z2527, ""Season""), ""TV Show"", ""Movie"")"),"TV Show")</f>
        <v>TV Show</v>
      </c>
    </row>
    <row r="2528">
      <c r="A2528" s="1" t="s">
        <v>14235</v>
      </c>
      <c r="B2528" s="1" t="s">
        <v>37</v>
      </c>
      <c r="C2528" s="1" t="s">
        <v>14236</v>
      </c>
      <c r="E2528" s="1" t="s">
        <v>14237</v>
      </c>
      <c r="F2528" s="1" t="s">
        <v>30</v>
      </c>
      <c r="G2528" s="7">
        <v>43966.0</v>
      </c>
      <c r="H2528" s="1">
        <v>2020.0</v>
      </c>
      <c r="I2528" s="1" t="s">
        <v>289</v>
      </c>
      <c r="J2528" s="1" t="s">
        <v>189</v>
      </c>
      <c r="K2528" s="1" t="s">
        <v>3368</v>
      </c>
      <c r="L2528" s="1" t="s">
        <v>14238</v>
      </c>
      <c r="M2528" s="2" t="s">
        <v>12</v>
      </c>
      <c r="N2528" s="4">
        <f t="shared" si="1"/>
        <v>43966</v>
      </c>
      <c r="O2528" s="5" t="str">
        <f>IFERROR(__xludf.DUMMYFUNCTION("IF(REGEXMATCH(TRIM(I2528), ""^\d+\s*min""), ""Unclassified"", IF(I2528 = """", ""NR"", I2528))"),"TV-Y7")</f>
        <v>TV-Y7</v>
      </c>
      <c r="R2528" s="5" t="str">
        <f t="shared" si="2"/>
        <v>She-Ra And The Princesses Of Power</v>
      </c>
      <c r="S2528" s="5" t="str">
        <f>IFERROR(__xludf.DUMMYFUNCTION("""COMPUTED_VALUE"""),"Forgive Us Our Debts")</f>
        <v>Forgive Us Our Debts</v>
      </c>
      <c r="U2528" s="5" t="str">
        <f>IFERROR(__xludf.DUMMYFUNCTION("""COMPUTED_VALUE"""),"Hèctor Hernández Vicens")</f>
        <v>Hèctor Hernández Vicens</v>
      </c>
      <c r="V2528" s="5" t="s">
        <v>6522</v>
      </c>
      <c r="W2528" s="5" t="str">
        <f t="shared" si="3"/>
        <v>Madonne Ashwin</v>
      </c>
      <c r="X2528" s="5">
        <f t="shared" si="4"/>
        <v>1</v>
      </c>
      <c r="Y2528" s="5" t="str">
        <f>IFERROR(__xludf.DUMMYFUNCTION("REGEXEXTRACT(J2528, ""^\d+"")"),"5")</f>
        <v>5</v>
      </c>
      <c r="Z2528" s="5" t="str">
        <f>IFERROR(__xludf.DUMMYFUNCTION("REGEXEXTRACT(J2528, ""[A-Za-z ]+$"")")," Seasons")</f>
        <v> Seasons</v>
      </c>
      <c r="AA2528" s="5" t="str">
        <f>IFERROR(__xludf.DUMMYFUNCTION("IF(REGEXMATCH(Z2528, ""Season""), ""TV Show"", ""Movie"")"),"TV Show")</f>
        <v>TV Show</v>
      </c>
    </row>
    <row r="2529">
      <c r="A2529" s="1" t="s">
        <v>14239</v>
      </c>
      <c r="B2529" s="1" t="s">
        <v>37</v>
      </c>
      <c r="C2529" s="1" t="s">
        <v>14240</v>
      </c>
      <c r="D2529" s="1" t="s">
        <v>14241</v>
      </c>
      <c r="E2529" s="1" t="s">
        <v>14242</v>
      </c>
      <c r="F2529" s="1" t="s">
        <v>2796</v>
      </c>
      <c r="G2529" s="7">
        <v>43966.0</v>
      </c>
      <c r="H2529" s="1">
        <v>2020.0</v>
      </c>
      <c r="I2529" s="1" t="s">
        <v>42</v>
      </c>
      <c r="J2529" s="1" t="s">
        <v>51</v>
      </c>
      <c r="K2529" s="1" t="s">
        <v>1362</v>
      </c>
      <c r="L2529" s="1" t="s">
        <v>14243</v>
      </c>
      <c r="M2529" s="2" t="s">
        <v>12</v>
      </c>
      <c r="N2529" s="4">
        <f t="shared" si="1"/>
        <v>43966</v>
      </c>
      <c r="O2529" s="5" t="str">
        <f>IFERROR(__xludf.DUMMYFUNCTION("IF(REGEXMATCH(TRIM(I2529), ""^\d+\s*min""), ""Unclassified"", IF(I2529 = """", ""NR"", I2529))"),"TV-MA")</f>
        <v>TV-MA</v>
      </c>
      <c r="R2529" s="5" t="str">
        <f t="shared" si="2"/>
        <v>Sleepless Society: Two Pillows &amp; A Lost Soul</v>
      </c>
      <c r="S2529" s="5" t="str">
        <f>IFERROR(__xludf.DUMMYFUNCTION("""COMPUTED_VALUE"""),"Forgotten")</f>
        <v>Forgotten</v>
      </c>
      <c r="U2529" s="5" t="str">
        <f>IFERROR(__xludf.DUMMYFUNCTION("""COMPUTED_VALUE"""),"Kader Aoun")</f>
        <v>Kader Aoun</v>
      </c>
      <c r="V2529" s="5" t="s">
        <v>14244</v>
      </c>
      <c r="W2529" s="5" t="str">
        <f t="shared" si="3"/>
        <v>Mads Matthiesen</v>
      </c>
      <c r="X2529" s="5">
        <f t="shared" si="4"/>
        <v>1</v>
      </c>
      <c r="Y2529" s="5" t="str">
        <f>IFERROR(__xludf.DUMMYFUNCTION("REGEXEXTRACT(J2529, ""^\d+"")"),"1")</f>
        <v>1</v>
      </c>
      <c r="Z2529" s="5" t="str">
        <f>IFERROR(__xludf.DUMMYFUNCTION("REGEXEXTRACT(J2529, ""[A-Za-z ]+$"")")," Season")</f>
        <v> Season</v>
      </c>
      <c r="AA2529" s="5" t="str">
        <f>IFERROR(__xludf.DUMMYFUNCTION("IF(REGEXMATCH(Z2529, ""Season""), ""TV Show"", ""Movie"")"),"TV Show")</f>
        <v>TV Show</v>
      </c>
    </row>
    <row r="2530">
      <c r="A2530" s="1" t="s">
        <v>14245</v>
      </c>
      <c r="B2530" s="1" t="s">
        <v>37</v>
      </c>
      <c r="C2530" s="1" t="s">
        <v>14246</v>
      </c>
      <c r="E2530" s="1" t="s">
        <v>14247</v>
      </c>
      <c r="F2530" s="1" t="s">
        <v>749</v>
      </c>
      <c r="G2530" s="7">
        <v>43966.0</v>
      </c>
      <c r="H2530" s="1">
        <v>2019.0</v>
      </c>
      <c r="I2530" s="1" t="s">
        <v>42</v>
      </c>
      <c r="J2530" s="1" t="s">
        <v>51</v>
      </c>
      <c r="K2530" s="1" t="s">
        <v>14248</v>
      </c>
      <c r="L2530" s="1" t="s">
        <v>14249</v>
      </c>
      <c r="M2530" s="2" t="s">
        <v>12</v>
      </c>
      <c r="N2530" s="4">
        <f t="shared" si="1"/>
        <v>43966</v>
      </c>
      <c r="O2530" s="5" t="str">
        <f>IFERROR(__xludf.DUMMYFUNCTION("IF(REGEXMATCH(TRIM(I2530), ""^\d+\s*min""), ""Unclassified"", IF(I2530 = """", ""NR"", I2530))"),"TV-MA")</f>
        <v>TV-MA</v>
      </c>
      <c r="R2530" s="5" t="str">
        <f t="shared" si="2"/>
        <v>Strangers From Hell</v>
      </c>
      <c r="S2530" s="5" t="str">
        <f>IFERROR(__xludf.DUMMYFUNCTION("""COMPUTED_VALUE"""),"Forks Over Knives")</f>
        <v>Forks Over Knives</v>
      </c>
      <c r="U2530" s="5" t="str">
        <f>IFERROR(__xludf.DUMMYFUNCTION("""COMPUTED_VALUE"""),"Abhay Chopra")</f>
        <v>Abhay Chopra</v>
      </c>
      <c r="V2530" s="5" t="s">
        <v>5285</v>
      </c>
      <c r="W2530" s="5" t="str">
        <f t="shared" si="3"/>
        <v>Mae Czarina Cruz</v>
      </c>
      <c r="X2530" s="5">
        <f t="shared" si="4"/>
        <v>7</v>
      </c>
      <c r="Y2530" s="5" t="str">
        <f>IFERROR(__xludf.DUMMYFUNCTION("REGEXEXTRACT(J2530, ""^\d+"")"),"1")</f>
        <v>1</v>
      </c>
      <c r="Z2530" s="5" t="str">
        <f>IFERROR(__xludf.DUMMYFUNCTION("REGEXEXTRACT(J2530, ""[A-Za-z ]+$"")")," Season")</f>
        <v> Season</v>
      </c>
      <c r="AA2530" s="5" t="str">
        <f>IFERROR(__xludf.DUMMYFUNCTION("IF(REGEXMATCH(Z2530, ""Season""), ""TV Show"", ""Movie"")"),"TV Show")</f>
        <v>TV Show</v>
      </c>
    </row>
    <row r="2531">
      <c r="A2531" s="1" t="s">
        <v>14250</v>
      </c>
      <c r="B2531" s="1" t="s">
        <v>37</v>
      </c>
      <c r="C2531" s="1" t="s">
        <v>14251</v>
      </c>
      <c r="E2531" s="1" t="s">
        <v>14252</v>
      </c>
      <c r="F2531" s="1" t="s">
        <v>221</v>
      </c>
      <c r="G2531" s="7">
        <v>43966.0</v>
      </c>
      <c r="H2531" s="1">
        <v>2015.0</v>
      </c>
      <c r="I2531" s="1" t="s">
        <v>206</v>
      </c>
      <c r="J2531" s="1" t="s">
        <v>43</v>
      </c>
      <c r="K2531" s="1" t="s">
        <v>290</v>
      </c>
      <c r="L2531" s="1" t="s">
        <v>14253</v>
      </c>
      <c r="M2531" s="2" t="s">
        <v>12</v>
      </c>
      <c r="N2531" s="4">
        <f t="shared" si="1"/>
        <v>43966</v>
      </c>
      <c r="O2531" s="5" t="str">
        <f>IFERROR(__xludf.DUMMYFUNCTION("IF(REGEXMATCH(TRIM(I2531), ""^\d+\s*min""), ""Unclassified"", IF(I2531 = """", ""NR"", I2531))"),"TV-Y")</f>
        <v>TV-Y</v>
      </c>
      <c r="R2531" s="5" t="str">
        <f t="shared" si="2"/>
        <v>The Wiggles</v>
      </c>
      <c r="S2531" s="5" t="str">
        <f>IFERROR(__xludf.DUMMYFUNCTION("""COMPUTED_VALUE"""),"Formula 1: Drive To Survive")</f>
        <v>Formula 1: Drive To Survive</v>
      </c>
      <c r="U2531" s="5" t="str">
        <f>IFERROR(__xludf.DUMMYFUNCTION("""COMPUTED_VALUE"""),"Diego Lerman")</f>
        <v>Diego Lerman</v>
      </c>
      <c r="V2531" s="5" t="s">
        <v>14254</v>
      </c>
      <c r="W2531" s="5" t="str">
        <f t="shared" si="3"/>
        <v>Mag Hsu, Hsu Chih-Yen</v>
      </c>
      <c r="X2531" s="5">
        <f t="shared" si="4"/>
        <v>1</v>
      </c>
      <c r="Y2531" s="5" t="str">
        <f>IFERROR(__xludf.DUMMYFUNCTION("REGEXEXTRACT(J2531, ""^\d+"")"),"2")</f>
        <v>2</v>
      </c>
      <c r="Z2531" s="5" t="str">
        <f>IFERROR(__xludf.DUMMYFUNCTION("REGEXEXTRACT(J2531, ""[A-Za-z ]+$"")")," Seasons")</f>
        <v> Seasons</v>
      </c>
      <c r="AA2531" s="5" t="str">
        <f>IFERROR(__xludf.DUMMYFUNCTION("IF(REGEXMATCH(Z2531, ""Season""), ""TV Show"", ""Movie"")"),"TV Show")</f>
        <v>TV Show</v>
      </c>
    </row>
    <row r="2532">
      <c r="A2532" s="1" t="s">
        <v>14255</v>
      </c>
      <c r="B2532" s="1" t="s">
        <v>37</v>
      </c>
      <c r="C2532" s="1" t="s">
        <v>14256</v>
      </c>
      <c r="E2532" s="1" t="s">
        <v>14257</v>
      </c>
      <c r="F2532" s="1" t="s">
        <v>14258</v>
      </c>
      <c r="G2532" s="7">
        <v>43966.0</v>
      </c>
      <c r="H2532" s="1">
        <v>2020.0</v>
      </c>
      <c r="I2532" s="1" t="s">
        <v>42</v>
      </c>
      <c r="J2532" s="1" t="s">
        <v>51</v>
      </c>
      <c r="K2532" s="1" t="s">
        <v>3274</v>
      </c>
      <c r="L2532" s="1" t="s">
        <v>14259</v>
      </c>
      <c r="M2532" s="2" t="s">
        <v>12</v>
      </c>
      <c r="N2532" s="4">
        <f t="shared" si="1"/>
        <v>43966</v>
      </c>
      <c r="O2532" s="5" t="str">
        <f>IFERROR(__xludf.DUMMYFUNCTION("IF(REGEXMATCH(TRIM(I2532), ""^\d+\s*min""), ""Unclassified"", IF(I2532 = """", ""NR"", I2532))"),"TV-MA")</f>
        <v>TV-MA</v>
      </c>
      <c r="R2532" s="5" t="str">
        <f t="shared" si="2"/>
        <v>White Lines</v>
      </c>
      <c r="S2532" s="5" t="str">
        <f>IFERROR(__xludf.DUMMYFUNCTION("""COMPUTED_VALUE"""),"Fortune Feimster: Sweet &amp; Salty")</f>
        <v>Fortune Feimster: Sweet &amp; Salty</v>
      </c>
      <c r="U2532" s="5" t="str">
        <f>IFERROR(__xludf.DUMMYFUNCTION("""COMPUTED_VALUE"""),"Farah Khan")</f>
        <v>Farah Khan</v>
      </c>
      <c r="V2532" s="5" t="s">
        <v>14260</v>
      </c>
      <c r="W2532" s="5" t="str">
        <f t="shared" si="3"/>
        <v>Magdy Al-Hawwary</v>
      </c>
      <c r="X2532" s="5">
        <f t="shared" si="4"/>
        <v>1</v>
      </c>
      <c r="Y2532" s="5" t="str">
        <f>IFERROR(__xludf.DUMMYFUNCTION("REGEXEXTRACT(J2532, ""^\d+"")"),"1")</f>
        <v>1</v>
      </c>
      <c r="Z2532" s="5" t="str">
        <f>IFERROR(__xludf.DUMMYFUNCTION("REGEXEXTRACT(J2532, ""[A-Za-z ]+$"")")," Season")</f>
        <v> Season</v>
      </c>
      <c r="AA2532" s="5" t="str">
        <f>IFERROR(__xludf.DUMMYFUNCTION("IF(REGEXMATCH(Z2532, ""Season""), ""TV Show"", ""Movie"")"),"TV Show")</f>
        <v>TV Show</v>
      </c>
    </row>
    <row r="2533">
      <c r="A2533" s="1" t="s">
        <v>14261</v>
      </c>
      <c r="B2533" s="1" t="s">
        <v>27</v>
      </c>
      <c r="C2533" s="1" t="s">
        <v>14262</v>
      </c>
      <c r="D2533" s="1" t="s">
        <v>7452</v>
      </c>
      <c r="E2533" s="1" t="s">
        <v>14263</v>
      </c>
      <c r="F2533" s="1" t="s">
        <v>2873</v>
      </c>
      <c r="G2533" s="7">
        <v>43965.0</v>
      </c>
      <c r="H2533" s="1">
        <v>2018.0</v>
      </c>
      <c r="I2533" s="1" t="s">
        <v>97</v>
      </c>
      <c r="J2533" s="1" t="s">
        <v>1065</v>
      </c>
      <c r="K2533" s="1" t="s">
        <v>679</v>
      </c>
      <c r="L2533" s="1" t="s">
        <v>14264</v>
      </c>
      <c r="M2533" s="2" t="s">
        <v>12</v>
      </c>
      <c r="N2533" s="4">
        <f t="shared" si="1"/>
        <v>43965</v>
      </c>
      <c r="O2533" s="5" t="str">
        <f>IFERROR(__xludf.DUMMYFUNCTION("IF(REGEXMATCH(TRIM(I2533), ""^\d+\s*min""), ""Unclassified"", IF(I2533 = """", ""NR"", I2533))"),"TV-14")</f>
        <v>TV-14</v>
      </c>
      <c r="R2533" s="5" t="str">
        <f t="shared" si="2"/>
        <v>Dilan 1990</v>
      </c>
      <c r="S2533" s="5" t="str">
        <f>IFERROR(__xludf.DUMMYFUNCTION("""COMPUTED_VALUE"""),"Four Christmases")</f>
        <v>Four Christmases</v>
      </c>
      <c r="U2533" s="5" t="str">
        <f>IFERROR(__xludf.DUMMYFUNCTION("""COMPUTED_VALUE"""),"Ananda Krishnan")</f>
        <v>Ananda Krishnan</v>
      </c>
      <c r="V2533" s="5" t="s">
        <v>1463</v>
      </c>
      <c r="W2533" s="5" t="str">
        <f t="shared" si="3"/>
        <v>Magnus Martens</v>
      </c>
      <c r="X2533" s="5">
        <f t="shared" si="4"/>
        <v>1</v>
      </c>
      <c r="Y2533" s="5" t="str">
        <f>IFERROR(__xludf.DUMMYFUNCTION("REGEXEXTRACT(J2533, ""^\d+"")"),"109")</f>
        <v>109</v>
      </c>
      <c r="Z2533" s="5" t="str">
        <f>IFERROR(__xludf.DUMMYFUNCTION("REGEXEXTRACT(J2533, ""[A-Za-z ]+$"")")," min")</f>
        <v> min</v>
      </c>
      <c r="AA2533" s="5" t="str">
        <f>IFERROR(__xludf.DUMMYFUNCTION("IF(REGEXMATCH(Z2533, ""Season""), ""TV Show"", ""Movie"")"),"Movie")</f>
        <v>Movie</v>
      </c>
    </row>
    <row r="2534">
      <c r="A2534" s="1" t="s">
        <v>14265</v>
      </c>
      <c r="B2534" s="1" t="s">
        <v>27</v>
      </c>
      <c r="C2534" s="1" t="s">
        <v>14266</v>
      </c>
      <c r="D2534" s="1" t="s">
        <v>7452</v>
      </c>
      <c r="E2534" s="1" t="s">
        <v>14267</v>
      </c>
      <c r="F2534" s="1" t="s">
        <v>2873</v>
      </c>
      <c r="G2534" s="7">
        <v>43965.0</v>
      </c>
      <c r="H2534" s="1">
        <v>2019.0</v>
      </c>
      <c r="I2534" s="1" t="s">
        <v>97</v>
      </c>
      <c r="J2534" s="1" t="s">
        <v>870</v>
      </c>
      <c r="K2534" s="1" t="s">
        <v>679</v>
      </c>
      <c r="L2534" s="1" t="s">
        <v>14268</v>
      </c>
      <c r="M2534" s="2" t="s">
        <v>12</v>
      </c>
      <c r="N2534" s="4">
        <f t="shared" si="1"/>
        <v>43965</v>
      </c>
      <c r="O2534" s="5" t="str">
        <f>IFERROR(__xludf.DUMMYFUNCTION("IF(REGEXMATCH(TRIM(I2534), ""^\d+\s*min""), ""Unclassified"", IF(I2534 = """", ""NR"", I2534))"),"TV-14")</f>
        <v>TV-14</v>
      </c>
      <c r="R2534" s="5" t="str">
        <f t="shared" si="2"/>
        <v>Dilan 1991</v>
      </c>
      <c r="S2534" s="5" t="str">
        <f>IFERROR(__xludf.DUMMYFUNCTION("""COMPUTED_VALUE"""),"Four Seasons In Havana")</f>
        <v>Four Seasons In Havana</v>
      </c>
      <c r="U2534" s="5" t="str">
        <f>IFERROR(__xludf.DUMMYFUNCTION("""COMPUTED_VALUE"""),"Amol Palekar")</f>
        <v>Amol Palekar</v>
      </c>
      <c r="V2534" s="5" t="s">
        <v>14269</v>
      </c>
      <c r="W2534" s="5" t="str">
        <f t="shared" si="3"/>
        <v>Maha Venkatesh</v>
      </c>
      <c r="X2534" s="5">
        <f t="shared" si="4"/>
        <v>1</v>
      </c>
      <c r="Y2534" s="5" t="str">
        <f>IFERROR(__xludf.DUMMYFUNCTION("REGEXEXTRACT(J2534, ""^\d+"")"),"118")</f>
        <v>118</v>
      </c>
      <c r="Z2534" s="5" t="str">
        <f>IFERROR(__xludf.DUMMYFUNCTION("REGEXEXTRACT(J2534, ""[A-Za-z ]+$"")")," min")</f>
        <v> min</v>
      </c>
      <c r="AA2534" s="5" t="str">
        <f>IFERROR(__xludf.DUMMYFUNCTION("IF(REGEXMATCH(Z2534, ""Season""), ""TV Show"", ""Movie"")"),"Movie")</f>
        <v>Movie</v>
      </c>
    </row>
    <row r="2535">
      <c r="A2535" s="1" t="s">
        <v>14270</v>
      </c>
      <c r="B2535" s="1" t="s">
        <v>27</v>
      </c>
      <c r="C2535" s="1" t="s">
        <v>14271</v>
      </c>
      <c r="D2535" s="1" t="s">
        <v>14272</v>
      </c>
      <c r="E2535" s="1" t="s">
        <v>14273</v>
      </c>
      <c r="F2535" s="1" t="s">
        <v>4557</v>
      </c>
      <c r="G2535" s="7">
        <v>43965.0</v>
      </c>
      <c r="H2535" s="1">
        <v>2018.0</v>
      </c>
      <c r="I2535" s="1" t="s">
        <v>506</v>
      </c>
      <c r="J2535" s="1" t="s">
        <v>1065</v>
      </c>
      <c r="K2535" s="1" t="s">
        <v>2983</v>
      </c>
      <c r="L2535" s="1" t="s">
        <v>14274</v>
      </c>
      <c r="M2535" s="2" t="s">
        <v>12</v>
      </c>
      <c r="N2535" s="4">
        <f t="shared" si="1"/>
        <v>43965</v>
      </c>
      <c r="O2535" s="5" t="str">
        <f>IFERROR(__xludf.DUMMYFUNCTION("IF(REGEXMATCH(TRIM(I2535), ""^\d+\s*min""), ""Unclassified"", IF(I2535 = """", ""NR"", I2535))"),"TV-G")</f>
        <v>TV-G</v>
      </c>
      <c r="R2535" s="5" t="str">
        <f t="shared" si="2"/>
        <v>Fan Of Amoory</v>
      </c>
      <c r="S2535" s="5" t="str">
        <f>IFERROR(__xludf.DUMMYFUNCTION("""COMPUTED_VALUE"""),"Four Sisters And A Wedding")</f>
        <v>Four Sisters And A Wedding</v>
      </c>
      <c r="U2535" s="5" t="str">
        <f>IFERROR(__xludf.DUMMYFUNCTION("""COMPUTED_VALUE"""),"Joe Miale")</f>
        <v>Joe Miale</v>
      </c>
      <c r="V2535" s="5" t="s">
        <v>14275</v>
      </c>
      <c r="W2535" s="5" t="str">
        <f t="shared" si="3"/>
        <v>Mahesh Bhatt</v>
      </c>
      <c r="X2535" s="5">
        <f t="shared" si="4"/>
        <v>3</v>
      </c>
      <c r="Y2535" s="5" t="str">
        <f>IFERROR(__xludf.DUMMYFUNCTION("REGEXEXTRACT(J2535, ""^\d+"")"),"109")</f>
        <v>109</v>
      </c>
      <c r="Z2535" s="5" t="str">
        <f>IFERROR(__xludf.DUMMYFUNCTION("REGEXEXTRACT(J2535, ""[A-Za-z ]+$"")")," min")</f>
        <v> min</v>
      </c>
      <c r="AA2535" s="5" t="str">
        <f>IFERROR(__xludf.DUMMYFUNCTION("IF(REGEXMATCH(Z2535, ""Season""), ""TV Show"", ""Movie"")"),"Movie")</f>
        <v>Movie</v>
      </c>
    </row>
    <row r="2536">
      <c r="A2536" s="1" t="s">
        <v>14276</v>
      </c>
      <c r="B2536" s="1" t="s">
        <v>27</v>
      </c>
      <c r="C2536" s="1" t="s">
        <v>14277</v>
      </c>
      <c r="D2536" s="1" t="s">
        <v>14278</v>
      </c>
      <c r="E2536" s="1" t="s">
        <v>14279</v>
      </c>
      <c r="F2536" s="1" t="s">
        <v>63</v>
      </c>
      <c r="G2536" s="7">
        <v>43965.0</v>
      </c>
      <c r="H2536" s="1">
        <v>2020.0</v>
      </c>
      <c r="I2536" s="1" t="s">
        <v>42</v>
      </c>
      <c r="J2536" s="1" t="s">
        <v>2859</v>
      </c>
      <c r="K2536" s="1" t="s">
        <v>10724</v>
      </c>
      <c r="L2536" s="1" t="s">
        <v>14280</v>
      </c>
      <c r="M2536" s="2" t="s">
        <v>12</v>
      </c>
      <c r="N2536" s="4">
        <f t="shared" si="1"/>
        <v>43965</v>
      </c>
      <c r="O2536" s="5" t="str">
        <f>IFERROR(__xludf.DUMMYFUNCTION("IF(REGEXMATCH(TRIM(I2536), ""^\d+\s*min""), ""Unclassified"", IF(I2536 = """", ""NR"", I2536))"),"TV-MA")</f>
        <v>TV-MA</v>
      </c>
      <c r="R2536" s="5" t="str">
        <f t="shared" si="2"/>
        <v>Malang</v>
      </c>
      <c r="S2536" s="5" t="str">
        <f>IFERROR(__xludf.DUMMYFUNCTION("""COMPUTED_VALUE"""),"Four Sisters Before The Wedding")</f>
        <v>Four Sisters Before The Wedding</v>
      </c>
      <c r="U2536" s="5" t="str">
        <f>IFERROR(__xludf.DUMMYFUNCTION("""COMPUTED_VALUE"""),"Olivia Newman")</f>
        <v>Olivia Newman</v>
      </c>
      <c r="V2536" s="5" t="s">
        <v>11576</v>
      </c>
      <c r="W2536" s="5" t="str">
        <f t="shared" si="3"/>
        <v>Mahesh Manjrekar</v>
      </c>
      <c r="X2536" s="5">
        <f t="shared" si="4"/>
        <v>5</v>
      </c>
      <c r="Y2536" s="5" t="str">
        <f>IFERROR(__xludf.DUMMYFUNCTION("REGEXEXTRACT(J2536, ""^\d+"")"),"131")</f>
        <v>131</v>
      </c>
      <c r="Z2536" s="5" t="str">
        <f>IFERROR(__xludf.DUMMYFUNCTION("REGEXEXTRACT(J2536, ""[A-Za-z ]+$"")")," min")</f>
        <v> min</v>
      </c>
      <c r="AA2536" s="5" t="str">
        <f>IFERROR(__xludf.DUMMYFUNCTION("IF(REGEXMATCH(Z2536, ""Season""), ""TV Show"", ""Movie"")"),"Movie")</f>
        <v>Movie</v>
      </c>
    </row>
    <row r="2537">
      <c r="A2537" s="1" t="s">
        <v>14281</v>
      </c>
      <c r="B2537" s="1" t="s">
        <v>27</v>
      </c>
      <c r="C2537" s="1" t="s">
        <v>14282</v>
      </c>
      <c r="D2537" s="1" t="s">
        <v>14283</v>
      </c>
      <c r="E2537" s="1" t="s">
        <v>14284</v>
      </c>
      <c r="G2537" s="7">
        <v>43965.0</v>
      </c>
      <c r="H2537" s="1">
        <v>2017.0</v>
      </c>
      <c r="I2537" s="1" t="s">
        <v>97</v>
      </c>
      <c r="J2537" s="1" t="s">
        <v>79</v>
      </c>
      <c r="K2537" s="1" t="s">
        <v>128</v>
      </c>
      <c r="L2537" s="1" t="s">
        <v>14285</v>
      </c>
      <c r="M2537" s="2" t="s">
        <v>12</v>
      </c>
      <c r="N2537" s="4">
        <f t="shared" si="1"/>
        <v>43965</v>
      </c>
      <c r="O2537" s="5" t="str">
        <f>IFERROR(__xludf.DUMMYFUNCTION("IF(REGEXMATCH(TRIM(I2537), ""^\d+\s*min""), ""Unclassified"", IF(I2537 = """", ""NR"", I2537))"),"TV-14")</f>
        <v>TV-14</v>
      </c>
      <c r="R2537" s="5" t="str">
        <f t="shared" si="2"/>
        <v>Match</v>
      </c>
      <c r="S2537" s="5" t="str">
        <f>IFERROR(__xludf.DUMMYFUNCTION("""COMPUTED_VALUE"""),"Four Weddings And A Funeral")</f>
        <v>Four Weddings And A Funeral</v>
      </c>
      <c r="U2537" s="5" t="str">
        <f>IFERROR(__xludf.DUMMYFUNCTION("""COMPUTED_VALUE"""),"Jared Stern")</f>
        <v>Jared Stern</v>
      </c>
      <c r="V2537" s="5" t="s">
        <v>14286</v>
      </c>
      <c r="W2537" s="5" t="str">
        <f t="shared" si="3"/>
        <v>Mahin Ibrahim, Austin Kolodney, Will Lowell, David Beier, Dave Dorsey, Xu Zhang, Alana Waksman, Jon Yonkondy, Drue Metz, Brandon Somerhalder</v>
      </c>
      <c r="X2537" s="5">
        <f t="shared" si="4"/>
        <v>1</v>
      </c>
      <c r="Y2537" s="5" t="str">
        <f>IFERROR(__xludf.DUMMYFUNCTION("REGEXEXTRACT(J2537, ""^\d+"")"),"91")</f>
        <v>91</v>
      </c>
      <c r="Z2537" s="5" t="str">
        <f>IFERROR(__xludf.DUMMYFUNCTION("REGEXEXTRACT(J2537, ""[A-Za-z ]+$"")")," min")</f>
        <v> min</v>
      </c>
      <c r="AA2537" s="5" t="str">
        <f>IFERROR(__xludf.DUMMYFUNCTION("IF(REGEXMATCH(Z2537, ""Season""), ""TV Show"", ""Movie"")"),"Movie")</f>
        <v>Movie</v>
      </c>
    </row>
    <row r="2538">
      <c r="A2538" s="1" t="s">
        <v>14287</v>
      </c>
      <c r="B2538" s="1" t="s">
        <v>27</v>
      </c>
      <c r="C2538" s="1" t="s">
        <v>14288</v>
      </c>
      <c r="D2538" s="1" t="s">
        <v>1864</v>
      </c>
      <c r="E2538" s="1" t="s">
        <v>14289</v>
      </c>
      <c r="F2538" s="1" t="s">
        <v>162</v>
      </c>
      <c r="G2538" s="7">
        <v>43965.0</v>
      </c>
      <c r="H2538" s="1">
        <v>2018.0</v>
      </c>
      <c r="I2538" s="1" t="s">
        <v>42</v>
      </c>
      <c r="J2538" s="1" t="s">
        <v>14290</v>
      </c>
      <c r="K2538" s="1" t="s">
        <v>89</v>
      </c>
      <c r="L2538" s="1" t="s">
        <v>14291</v>
      </c>
      <c r="M2538" s="2" t="s">
        <v>12</v>
      </c>
      <c r="N2538" s="4">
        <f t="shared" si="1"/>
        <v>43965</v>
      </c>
      <c r="O2538" s="5" t="str">
        <f>IFERROR(__xludf.DUMMYFUNCTION("IF(REGEXMATCH(TRIM(I2538), ""^\d+\s*min""), ""Unclassified"", IF(I2538 = """", ""NR"", I2538))"),"TV-MA")</f>
        <v>TV-MA</v>
      </c>
      <c r="R2538" s="5" t="str">
        <f t="shared" si="2"/>
        <v>Rencor Tatuado</v>
      </c>
      <c r="S2538" s="5" t="str">
        <f>IFERROR(__xludf.DUMMYFUNCTION("""COMPUTED_VALUE"""),"Fracture")</f>
        <v>Fracture</v>
      </c>
      <c r="U2538" s="5" t="str">
        <f>IFERROR(__xludf.DUMMYFUNCTION("""COMPUTED_VALUE"""),"Lennart Ruff")</f>
        <v>Lennart Ruff</v>
      </c>
      <c r="V2538" s="5" t="s">
        <v>3160</v>
      </c>
      <c r="W2538" s="5" t="str">
        <f t="shared" si="3"/>
        <v>Mahmood Ali-Balogun</v>
      </c>
      <c r="X2538" s="5">
        <f t="shared" si="4"/>
        <v>1</v>
      </c>
      <c r="Y2538" s="5" t="str">
        <f>IFERROR(__xludf.DUMMYFUNCTION("REGEXEXTRACT(J2538, ""^\d+"")"),"152")</f>
        <v>152</v>
      </c>
      <c r="Z2538" s="5" t="str">
        <f>IFERROR(__xludf.DUMMYFUNCTION("REGEXEXTRACT(J2538, ""[A-Za-z ]+$"")")," min")</f>
        <v> min</v>
      </c>
      <c r="AA2538" s="5" t="str">
        <f>IFERROR(__xludf.DUMMYFUNCTION("IF(REGEXMATCH(Z2538, ""Season""), ""TV Show"", ""Movie"")"),"Movie")</f>
        <v>Movie</v>
      </c>
    </row>
    <row r="2539">
      <c r="A2539" s="1" t="s">
        <v>14292</v>
      </c>
      <c r="B2539" s="1" t="s">
        <v>27</v>
      </c>
      <c r="C2539" s="1" t="s">
        <v>14293</v>
      </c>
      <c r="D2539" s="1" t="s">
        <v>473</v>
      </c>
      <c r="E2539" s="1" t="s">
        <v>14294</v>
      </c>
      <c r="F2539" s="1" t="s">
        <v>400</v>
      </c>
      <c r="G2539" s="7">
        <v>43965.0</v>
      </c>
      <c r="H2539" s="1">
        <v>2018.0</v>
      </c>
      <c r="I2539" s="1" t="s">
        <v>97</v>
      </c>
      <c r="J2539" s="1" t="s">
        <v>155</v>
      </c>
      <c r="K2539" s="1" t="s">
        <v>631</v>
      </c>
      <c r="L2539" s="1" t="s">
        <v>14295</v>
      </c>
      <c r="M2539" s="2" t="s">
        <v>12</v>
      </c>
      <c r="N2539" s="4">
        <f t="shared" si="1"/>
        <v>43965</v>
      </c>
      <c r="O2539" s="5" t="str">
        <f>IFERROR(__xludf.DUMMYFUNCTION("IF(REGEXMATCH(TRIM(I2539), ""^\d+\s*min""), ""Unclassified"", IF(I2539 = """", ""NR"", I2539))"),"TV-14")</f>
        <v>TV-14</v>
      </c>
      <c r="R2539" s="5" t="str">
        <f t="shared" si="2"/>
        <v>The Delivery Boy</v>
      </c>
      <c r="S2539" s="5" t="str">
        <f>IFERROR(__xludf.DUMMYFUNCTION("""COMPUTED_VALUE"""),"Fractured")</f>
        <v>Fractured</v>
      </c>
      <c r="U2539" s="5" t="str">
        <f>IFERROR(__xludf.DUMMYFUNCTION("""COMPUTED_VALUE"""),"Dan Lucchesi")</f>
        <v>Dan Lucchesi</v>
      </c>
      <c r="V2539" s="5" t="s">
        <v>14296</v>
      </c>
      <c r="W2539" s="5" t="str">
        <f t="shared" si="3"/>
        <v>Mahmoud Al Massad</v>
      </c>
      <c r="X2539" s="5">
        <f t="shared" si="4"/>
        <v>1</v>
      </c>
      <c r="Y2539" s="5" t="str">
        <f>IFERROR(__xludf.DUMMYFUNCTION("REGEXEXTRACT(J2539, ""^\d+"")"),"67")</f>
        <v>67</v>
      </c>
      <c r="Z2539" s="5" t="str">
        <f>IFERROR(__xludf.DUMMYFUNCTION("REGEXEXTRACT(J2539, ""[A-Za-z ]+$"")")," min")</f>
        <v> min</v>
      </c>
      <c r="AA2539" s="5" t="str">
        <f>IFERROR(__xludf.DUMMYFUNCTION("IF(REGEXMATCH(Z2539, ""Season""), ""TV Show"", ""Movie"")"),"Movie")</f>
        <v>Movie</v>
      </c>
    </row>
    <row r="2540">
      <c r="A2540" s="1" t="s">
        <v>14297</v>
      </c>
      <c r="B2540" s="1" t="s">
        <v>27</v>
      </c>
      <c r="C2540" s="1" t="s">
        <v>14298</v>
      </c>
      <c r="D2540" s="1" t="s">
        <v>14299</v>
      </c>
      <c r="E2540" s="1" t="s">
        <v>14300</v>
      </c>
      <c r="F2540" s="1" t="s">
        <v>9234</v>
      </c>
      <c r="G2540" s="7">
        <v>43965.0</v>
      </c>
      <c r="H2540" s="1">
        <v>2018.0</v>
      </c>
      <c r="I2540" s="1" t="s">
        <v>136</v>
      </c>
      <c r="J2540" s="1" t="s">
        <v>4699</v>
      </c>
      <c r="K2540" s="1" t="s">
        <v>583</v>
      </c>
      <c r="L2540" s="1" t="s">
        <v>14301</v>
      </c>
      <c r="M2540" s="2" t="s">
        <v>12</v>
      </c>
      <c r="N2540" s="4">
        <f t="shared" si="1"/>
        <v>43965</v>
      </c>
      <c r="O2540" s="5" t="str">
        <f>IFERROR(__xludf.DUMMYFUNCTION("IF(REGEXMATCH(TRIM(I2540), ""^\d+\s*min""), ""Unclassified"", IF(I2540 = """", ""NR"", I2540))"),"TV-PG")</f>
        <v>TV-PG</v>
      </c>
      <c r="R2540" s="5" t="str">
        <f t="shared" si="2"/>
        <v>Wedy Atkalam</v>
      </c>
      <c r="S2540" s="5" t="str">
        <f>IFERROR(__xludf.DUMMYFUNCTION("""COMPUTED_VALUE"""),"Framing John Delorean")</f>
        <v>Framing John Delorean</v>
      </c>
      <c r="U2540" s="5" t="str">
        <f>IFERROR(__xludf.DUMMYFUNCTION("""COMPUTED_VALUE"""),"Mijke De Jong")</f>
        <v>Mijke De Jong</v>
      </c>
      <c r="V2540" s="5" t="s">
        <v>2720</v>
      </c>
      <c r="W2540" s="5" t="str">
        <f t="shared" si="3"/>
        <v>Mahmoud Karim</v>
      </c>
      <c r="X2540" s="5">
        <f t="shared" si="4"/>
        <v>3</v>
      </c>
      <c r="Y2540" s="5" t="str">
        <f>IFERROR(__xludf.DUMMYFUNCTION("REGEXEXTRACT(J2540, ""^\d+"")"),"72")</f>
        <v>72</v>
      </c>
      <c r="Z2540" s="5" t="str">
        <f>IFERROR(__xludf.DUMMYFUNCTION("REGEXEXTRACT(J2540, ""[A-Za-z ]+$"")")," min")</f>
        <v> min</v>
      </c>
      <c r="AA2540" s="5" t="str">
        <f>IFERROR(__xludf.DUMMYFUNCTION("IF(REGEXMATCH(Z2540, ""Season""), ""TV Show"", ""Movie"")"),"Movie")</f>
        <v>Movie</v>
      </c>
    </row>
    <row r="2541">
      <c r="A2541" s="1" t="s">
        <v>14302</v>
      </c>
      <c r="B2541" s="1" t="s">
        <v>27</v>
      </c>
      <c r="C2541" s="1" t="s">
        <v>14303</v>
      </c>
      <c r="D2541" s="1" t="s">
        <v>6771</v>
      </c>
      <c r="E2541" s="1" t="s">
        <v>14304</v>
      </c>
      <c r="F2541" s="1" t="s">
        <v>63</v>
      </c>
      <c r="G2541" s="7">
        <v>43964.0</v>
      </c>
      <c r="H2541" s="1">
        <v>2012.0</v>
      </c>
      <c r="I2541" s="1" t="s">
        <v>97</v>
      </c>
      <c r="J2541" s="1" t="s">
        <v>490</v>
      </c>
      <c r="K2541" s="1" t="s">
        <v>156</v>
      </c>
      <c r="L2541" s="1" t="s">
        <v>14305</v>
      </c>
      <c r="M2541" s="2" t="s">
        <v>12</v>
      </c>
      <c r="N2541" s="4">
        <f t="shared" si="1"/>
        <v>43964</v>
      </c>
      <c r="O2541" s="5" t="str">
        <f>IFERROR(__xludf.DUMMYFUNCTION("IF(REGEXMATCH(TRIM(I2541), ""^\d+\s*min""), ""Unclassified"", IF(I2541 = """", ""NR"", I2541))"),"TV-14")</f>
        <v>TV-14</v>
      </c>
      <c r="R2541" s="5" t="str">
        <f t="shared" si="2"/>
        <v>Fire In The Blood</v>
      </c>
      <c r="S2541" s="5" t="str">
        <f>IFERROR(__xludf.DUMMYFUNCTION("""COMPUTED_VALUE"""),"Franca: Chaos And Creation")</f>
        <v>Franca: Chaos And Creation</v>
      </c>
      <c r="U2541" s="5" t="str">
        <f>IFERROR(__xludf.DUMMYFUNCTION("""COMPUTED_VALUE"""),"Daryl Hannah")</f>
        <v>Daryl Hannah</v>
      </c>
      <c r="V2541" s="5" t="s">
        <v>14306</v>
      </c>
      <c r="W2541" s="5" t="str">
        <f t="shared" si="3"/>
        <v>Mahmoud Sabbagh</v>
      </c>
      <c r="X2541" s="5">
        <f t="shared" si="4"/>
        <v>1</v>
      </c>
      <c r="Y2541" s="5" t="str">
        <f>IFERROR(__xludf.DUMMYFUNCTION("REGEXEXTRACT(J2541, ""^\d+"")"),"83")</f>
        <v>83</v>
      </c>
      <c r="Z2541" s="5" t="str">
        <f>IFERROR(__xludf.DUMMYFUNCTION("REGEXEXTRACT(J2541, ""[A-Za-z ]+$"")")," min")</f>
        <v> min</v>
      </c>
      <c r="AA2541" s="5" t="str">
        <f>IFERROR(__xludf.DUMMYFUNCTION("IF(REGEXMATCH(Z2541, ""Season""), ""TV Show"", ""Movie"")"),"Movie")</f>
        <v>Movie</v>
      </c>
    </row>
    <row r="2542">
      <c r="A2542" s="1" t="s">
        <v>14307</v>
      </c>
      <c r="B2542" s="1" t="s">
        <v>27</v>
      </c>
      <c r="C2542" s="1" t="s">
        <v>14308</v>
      </c>
      <c r="D2542" s="1" t="s">
        <v>12232</v>
      </c>
      <c r="E2542" s="1" t="s">
        <v>14309</v>
      </c>
      <c r="F2542" s="1" t="s">
        <v>30</v>
      </c>
      <c r="G2542" s="7">
        <v>43964.0</v>
      </c>
      <c r="H2542" s="1">
        <v>2020.0</v>
      </c>
      <c r="I2542" s="1" t="s">
        <v>42</v>
      </c>
      <c r="J2542" s="1" t="s">
        <v>33</v>
      </c>
      <c r="K2542" s="1" t="s">
        <v>813</v>
      </c>
      <c r="L2542" s="1" t="s">
        <v>14310</v>
      </c>
      <c r="M2542" s="2" t="s">
        <v>12</v>
      </c>
      <c r="N2542" s="4">
        <f t="shared" si="1"/>
        <v>43964</v>
      </c>
      <c r="O2542" s="5" t="str">
        <f>IFERROR(__xludf.DUMMYFUNCTION("IF(REGEXMATCH(TRIM(I2542), ""^\d+\s*min""), ""Unclassified"", IF(I2542 = """", ""NR"", I2542))"),"TV-MA")</f>
        <v>TV-MA</v>
      </c>
      <c r="R2542" s="5" t="str">
        <f t="shared" si="2"/>
        <v>The Wrong Missy</v>
      </c>
      <c r="S2542" s="5" t="str">
        <f>IFERROR(__xludf.DUMMYFUNCTION("""COMPUTED_VALUE"""),"Frances Ha")</f>
        <v>Frances Ha</v>
      </c>
      <c r="U2542" s="5" t="str">
        <f>IFERROR(__xludf.DUMMYFUNCTION("""COMPUTED_VALUE"""),"Michael Larnell")</f>
        <v>Michael Larnell</v>
      </c>
      <c r="V2542" s="5" t="s">
        <v>7169</v>
      </c>
      <c r="W2542" s="5" t="str">
        <f t="shared" si="3"/>
        <v>Mahsun Kırmızıgül</v>
      </c>
      <c r="X2542" s="5">
        <f t="shared" si="4"/>
        <v>2</v>
      </c>
      <c r="Y2542" s="5" t="str">
        <f>IFERROR(__xludf.DUMMYFUNCTION("REGEXEXTRACT(J2542, ""^\d+"")"),"90")</f>
        <v>90</v>
      </c>
      <c r="Z2542" s="5" t="str">
        <f>IFERROR(__xludf.DUMMYFUNCTION("REGEXEXTRACT(J2542, ""[A-Za-z ]+$"")")," min")</f>
        <v> min</v>
      </c>
      <c r="AA2542" s="5" t="str">
        <f>IFERROR(__xludf.DUMMYFUNCTION("IF(REGEXMATCH(Z2542, ""Season""), ""TV Show"", ""Movie"")"),"Movie")</f>
        <v>Movie</v>
      </c>
    </row>
    <row r="2543">
      <c r="A2543" s="1" t="s">
        <v>14311</v>
      </c>
      <c r="B2543" s="1" t="s">
        <v>27</v>
      </c>
      <c r="C2543" s="1" t="s">
        <v>14312</v>
      </c>
      <c r="D2543" s="1" t="s">
        <v>9486</v>
      </c>
      <c r="E2543" s="1" t="s">
        <v>14313</v>
      </c>
      <c r="F2543" s="1" t="s">
        <v>4557</v>
      </c>
      <c r="G2543" s="7">
        <v>43963.0</v>
      </c>
      <c r="H2543" s="1">
        <v>2019.0</v>
      </c>
      <c r="I2543" s="1" t="s">
        <v>97</v>
      </c>
      <c r="J2543" s="1" t="s">
        <v>256</v>
      </c>
      <c r="K2543" s="1" t="s">
        <v>679</v>
      </c>
      <c r="L2543" s="1" t="s">
        <v>14314</v>
      </c>
      <c r="M2543" s="2" t="s">
        <v>12</v>
      </c>
      <c r="N2543" s="4">
        <f t="shared" si="1"/>
        <v>43963</v>
      </c>
      <c r="O2543" s="5" t="str">
        <f>IFERROR(__xludf.DUMMYFUNCTION("IF(REGEXMATCH(TRIM(I2543), ""^\d+\s*min""), ""Unclassified"", IF(I2543 = """", ""NR"", I2543))"),"TV-14")</f>
        <v>TV-14</v>
      </c>
      <c r="R2543" s="5" t="str">
        <f t="shared" si="2"/>
        <v>Ali &amp; Alia</v>
      </c>
      <c r="S2543" s="5" t="str">
        <f>IFERROR(__xludf.DUMMYFUNCTION("""COMPUTED_VALUE"""),"Francesco De Carlo: Cose Di Questo Mondo")</f>
        <v>Francesco De Carlo: Cose Di Questo Mondo</v>
      </c>
      <c r="U2543" s="5" t="str">
        <f>IFERROR(__xludf.DUMMYFUNCTION("""COMPUTED_VALUE"""),"Advait Chandan")</f>
        <v>Advait Chandan</v>
      </c>
      <c r="V2543" s="5" t="s">
        <v>7873</v>
      </c>
      <c r="W2543" s="5" t="str">
        <f t="shared" si="3"/>
        <v>Maïa Sandoz</v>
      </c>
      <c r="X2543" s="5">
        <f t="shared" si="4"/>
        <v>1</v>
      </c>
      <c r="Y2543" s="5" t="str">
        <f>IFERROR(__xludf.DUMMYFUNCTION("REGEXEXTRACT(J2543, ""^\d+"")"),"106")</f>
        <v>106</v>
      </c>
      <c r="Z2543" s="5" t="str">
        <f>IFERROR(__xludf.DUMMYFUNCTION("REGEXEXTRACT(J2543, ""[A-Za-z ]+$"")")," min")</f>
        <v> min</v>
      </c>
      <c r="AA2543" s="5" t="str">
        <f>IFERROR(__xludf.DUMMYFUNCTION("IF(REGEXMATCH(Z2543, ""Season""), ""TV Show"", ""Movie"")"),"Movie")</f>
        <v>Movie</v>
      </c>
    </row>
    <row r="2544">
      <c r="A2544" s="1" t="s">
        <v>14315</v>
      </c>
      <c r="B2544" s="1" t="s">
        <v>37</v>
      </c>
      <c r="C2544" s="1" t="s">
        <v>14316</v>
      </c>
      <c r="E2544" s="1" t="s">
        <v>11915</v>
      </c>
      <c r="F2544" s="1" t="s">
        <v>1106</v>
      </c>
      <c r="G2544" s="7">
        <v>43963.0</v>
      </c>
      <c r="H2544" s="1">
        <v>2020.0</v>
      </c>
      <c r="I2544" s="1" t="s">
        <v>206</v>
      </c>
      <c r="J2544" s="1" t="s">
        <v>51</v>
      </c>
      <c r="K2544" s="1" t="s">
        <v>290</v>
      </c>
      <c r="L2544" s="1" t="s">
        <v>14317</v>
      </c>
      <c r="M2544" s="2" t="s">
        <v>12</v>
      </c>
      <c r="N2544" s="4">
        <f t="shared" si="1"/>
        <v>43963</v>
      </c>
      <c r="O2544" s="5" t="str">
        <f>IFERROR(__xludf.DUMMYFUNCTION("IF(REGEXMATCH(TRIM(I2544), ""^\d+\s*min""), ""Unclassified"", IF(I2544 = """", ""NR"", I2544))"),"TV-Y")</f>
        <v>TV-Y</v>
      </c>
      <c r="R2544" s="5" t="str">
        <f t="shared" si="2"/>
        <v>True: Terrific Tales</v>
      </c>
      <c r="S2544" s="5" t="str">
        <f>IFERROR(__xludf.DUMMYFUNCTION("""COMPUTED_VALUE"""),"Franco Escamilla: Bienvenido Al Mundo")</f>
        <v>Franco Escamilla: Bienvenido Al Mundo</v>
      </c>
      <c r="U2544" s="5" t="str">
        <f>IFERROR(__xludf.DUMMYFUNCTION("""COMPUTED_VALUE"""),"Brandon Camp")</f>
        <v>Brandon Camp</v>
      </c>
      <c r="V2544" s="5" t="s">
        <v>11654</v>
      </c>
      <c r="W2544" s="5" t="str">
        <f t="shared" si="3"/>
        <v>Maïmouna Doucouré</v>
      </c>
      <c r="X2544" s="5">
        <f t="shared" si="4"/>
        <v>1</v>
      </c>
      <c r="Y2544" s="5" t="str">
        <f>IFERROR(__xludf.DUMMYFUNCTION("REGEXEXTRACT(J2544, ""^\d+"")"),"1")</f>
        <v>1</v>
      </c>
      <c r="Z2544" s="5" t="str">
        <f>IFERROR(__xludf.DUMMYFUNCTION("REGEXEXTRACT(J2544, ""[A-Za-z ]+$"")")," Season")</f>
        <v> Season</v>
      </c>
      <c r="AA2544" s="5" t="str">
        <f>IFERROR(__xludf.DUMMYFUNCTION("IF(REGEXMATCH(Z2544, ""Season""), ""TV Show"", ""Movie"")"),"TV Show")</f>
        <v>TV Show</v>
      </c>
    </row>
    <row r="2545">
      <c r="A2545" s="1" t="s">
        <v>14318</v>
      </c>
      <c r="B2545" s="1" t="s">
        <v>27</v>
      </c>
      <c r="C2545" s="1" t="s">
        <v>14319</v>
      </c>
      <c r="D2545" s="1" t="s">
        <v>5027</v>
      </c>
      <c r="E2545" s="1" t="s">
        <v>14320</v>
      </c>
      <c r="F2545" s="1" t="s">
        <v>30</v>
      </c>
      <c r="G2545" s="7">
        <v>43963.0</v>
      </c>
      <c r="H2545" s="1">
        <v>2020.0</v>
      </c>
      <c r="I2545" s="1" t="s">
        <v>97</v>
      </c>
      <c r="J2545" s="1" t="s">
        <v>14321</v>
      </c>
      <c r="K2545" s="1" t="s">
        <v>239</v>
      </c>
      <c r="L2545" s="1" t="s">
        <v>14322</v>
      </c>
      <c r="M2545" s="2" t="s">
        <v>12</v>
      </c>
      <c r="N2545" s="4">
        <f t="shared" si="1"/>
        <v>43963</v>
      </c>
      <c r="O2545" s="5" t="str">
        <f>IFERROR(__xludf.DUMMYFUNCTION("IF(REGEXMATCH(TRIM(I2545), ""^\d+\s*min""), ""Unclassified"", IF(I2545 = """", ""NR"", I2545))"),"TV-14")</f>
        <v>TV-14</v>
      </c>
      <c r="R2545" s="5" t="str">
        <f t="shared" si="2"/>
        <v>Unbreakable Kimmy Schmidt: Kimmy Vs. The Reverend</v>
      </c>
      <c r="S2545" s="5" t="str">
        <f>IFERROR(__xludf.DUMMYFUNCTION("""COMPUTED_VALUE"""),"Franco Escamilla: Por La Anécdota")</f>
        <v>Franco Escamilla: Por La Anécdota</v>
      </c>
      <c r="U2545" s="5" t="str">
        <f>IFERROR(__xludf.DUMMYFUNCTION("""COMPUTED_VALUE"""),"Alison Klayman")</f>
        <v>Alison Klayman</v>
      </c>
      <c r="V2545" s="5" t="s">
        <v>8421</v>
      </c>
      <c r="W2545" s="5" t="str">
        <f t="shared" si="3"/>
        <v>Maite Ruiz De Austri</v>
      </c>
      <c r="X2545" s="5">
        <f t="shared" si="4"/>
        <v>1</v>
      </c>
      <c r="Y2545" s="5" t="str">
        <f>IFERROR(__xludf.DUMMYFUNCTION("REGEXEXTRACT(J2545, ""^\d+"")"),"190")</f>
        <v>190</v>
      </c>
      <c r="Z2545" s="5" t="str">
        <f>IFERROR(__xludf.DUMMYFUNCTION("REGEXEXTRACT(J2545, ""[A-Za-z ]+$"")")," min")</f>
        <v> min</v>
      </c>
      <c r="AA2545" s="5" t="str">
        <f>IFERROR(__xludf.DUMMYFUNCTION("IF(REGEXMATCH(Z2545, ""Season""), ""TV Show"", ""Movie"")"),"Movie")</f>
        <v>Movie</v>
      </c>
    </row>
    <row r="2546">
      <c r="A2546" s="1" t="s">
        <v>14323</v>
      </c>
      <c r="B2546" s="1" t="s">
        <v>27</v>
      </c>
      <c r="C2546" s="1" t="s">
        <v>14324</v>
      </c>
      <c r="D2546" s="1" t="s">
        <v>14325</v>
      </c>
      <c r="E2546" s="1" t="s">
        <v>14326</v>
      </c>
      <c r="F2546" s="1" t="s">
        <v>63</v>
      </c>
      <c r="G2546" s="7">
        <v>43962.0</v>
      </c>
      <c r="H2546" s="1">
        <v>2010.0</v>
      </c>
      <c r="I2546" s="1" t="s">
        <v>136</v>
      </c>
      <c r="J2546" s="1" t="s">
        <v>1273</v>
      </c>
      <c r="K2546" s="1" t="s">
        <v>14327</v>
      </c>
      <c r="L2546" s="1" t="s">
        <v>14328</v>
      </c>
      <c r="M2546" s="2" t="s">
        <v>12</v>
      </c>
      <c r="N2546" s="4">
        <f t="shared" si="1"/>
        <v>43962</v>
      </c>
      <c r="O2546" s="5" t="str">
        <f>IFERROR(__xludf.DUMMYFUNCTION("IF(REGEXMATCH(TRIM(I2546), ""^\d+\s*min""), ""Unclassified"", IF(I2546 = """", ""NR"", I2546))"),"TV-PG")</f>
        <v>TV-PG</v>
      </c>
      <c r="R2546" s="5" t="str">
        <f t="shared" si="2"/>
        <v>Action Replayy</v>
      </c>
      <c r="S2546" s="5" t="str">
        <f>IFERROR(__xludf.DUMMYFUNCTION("""COMPUTED_VALUE"""),"Frank &amp; Lola")</f>
        <v>Frank &amp; Lola</v>
      </c>
      <c r="U2546" s="5" t="str">
        <f>IFERROR(__xludf.DUMMYFUNCTION("""COMPUTED_VALUE"""),"Yoo Byung-Jae")</f>
        <v>Yoo Byung-Jae</v>
      </c>
      <c r="V2546" s="5" t="s">
        <v>8739</v>
      </c>
      <c r="W2546" s="5" t="str">
        <f t="shared" si="3"/>
        <v>Maïwenn</v>
      </c>
      <c r="X2546" s="5">
        <f t="shared" si="4"/>
        <v>1</v>
      </c>
      <c r="Y2546" s="5" t="str">
        <f>IFERROR(__xludf.DUMMYFUNCTION("REGEXEXTRACT(J2546, ""^\d+"")"),"129")</f>
        <v>129</v>
      </c>
      <c r="Z2546" s="5" t="str">
        <f>IFERROR(__xludf.DUMMYFUNCTION("REGEXEXTRACT(J2546, ""[A-Za-z ]+$"")")," min")</f>
        <v> min</v>
      </c>
      <c r="AA2546" s="5" t="str">
        <f>IFERROR(__xludf.DUMMYFUNCTION("IF(REGEXMATCH(Z2546, ""Season""), ""TV Show"", ""Movie"")"),"Movie")</f>
        <v>Movie</v>
      </c>
    </row>
    <row r="2547">
      <c r="A2547" s="1" t="s">
        <v>14329</v>
      </c>
      <c r="B2547" s="1" t="s">
        <v>27</v>
      </c>
      <c r="C2547" s="1" t="s">
        <v>14330</v>
      </c>
      <c r="D2547" s="1" t="s">
        <v>10390</v>
      </c>
      <c r="E2547" s="1" t="s">
        <v>14331</v>
      </c>
      <c r="F2547" s="1" t="s">
        <v>63</v>
      </c>
      <c r="G2547" s="7">
        <v>43962.0</v>
      </c>
      <c r="H2547" s="1">
        <v>1994.0</v>
      </c>
      <c r="I2547" s="1" t="s">
        <v>97</v>
      </c>
      <c r="J2547" s="1" t="s">
        <v>14332</v>
      </c>
      <c r="K2547" s="1" t="s">
        <v>2289</v>
      </c>
      <c r="L2547" s="1" t="s">
        <v>14333</v>
      </c>
      <c r="M2547" s="2" t="s">
        <v>12</v>
      </c>
      <c r="N2547" s="4">
        <f t="shared" si="1"/>
        <v>43962</v>
      </c>
      <c r="O2547" s="5" t="str">
        <f>IFERROR(__xludf.DUMMYFUNCTION("IF(REGEXMATCH(TRIM(I2547), ""^\d+\s*min""), ""Unclassified"", IF(I2547 = """", ""NR"", I2547))"),"TV-14")</f>
        <v>TV-14</v>
      </c>
      <c r="R2547" s="5" t="str">
        <f t="shared" si="2"/>
        <v>Andaz Apna Apna</v>
      </c>
      <c r="S2547" s="5" t="str">
        <f>IFERROR(__xludf.DUMMYFUNCTION("""COMPUTED_VALUE"""),"Frank And Cindy")</f>
        <v>Frank And Cindy</v>
      </c>
      <c r="U2547" s="5" t="str">
        <f>IFERROR(__xludf.DUMMYFUNCTION("""COMPUTED_VALUE"""),"Sunao Katabuchi")</f>
        <v>Sunao Katabuchi</v>
      </c>
      <c r="V2547" s="5" t="s">
        <v>14334</v>
      </c>
      <c r="W2547" s="5" t="str">
        <f t="shared" si="3"/>
        <v>Majid Al Ansari</v>
      </c>
      <c r="X2547" s="5">
        <f t="shared" si="4"/>
        <v>1</v>
      </c>
      <c r="Y2547" s="5" t="str">
        <f>IFERROR(__xludf.DUMMYFUNCTION("REGEXEXTRACT(J2547, ""^\d+"")"),"160")</f>
        <v>160</v>
      </c>
      <c r="Z2547" s="5" t="str">
        <f>IFERROR(__xludf.DUMMYFUNCTION("REGEXEXTRACT(J2547, ""[A-Za-z ]+$"")")," min")</f>
        <v> min</v>
      </c>
      <c r="AA2547" s="5" t="str">
        <f>IFERROR(__xludf.DUMMYFUNCTION("IF(REGEXMATCH(Z2547, ""Season""), ""TV Show"", ""Movie"")"),"Movie")</f>
        <v>Movie</v>
      </c>
    </row>
    <row r="2548">
      <c r="A2548" s="1" t="s">
        <v>14335</v>
      </c>
      <c r="B2548" s="1" t="s">
        <v>37</v>
      </c>
      <c r="C2548" s="1" t="s">
        <v>14336</v>
      </c>
      <c r="E2548" s="1" t="s">
        <v>14337</v>
      </c>
      <c r="F2548" s="1" t="s">
        <v>14338</v>
      </c>
      <c r="G2548" s="7">
        <v>43962.0</v>
      </c>
      <c r="H2548" s="1">
        <v>2019.0</v>
      </c>
      <c r="I2548" s="1" t="s">
        <v>42</v>
      </c>
      <c r="J2548" s="1" t="s">
        <v>276</v>
      </c>
      <c r="K2548" s="1" t="s">
        <v>1362</v>
      </c>
      <c r="L2548" s="1" t="s">
        <v>14339</v>
      </c>
      <c r="M2548" s="2" t="s">
        <v>12</v>
      </c>
      <c r="N2548" s="4">
        <f t="shared" si="1"/>
        <v>43962</v>
      </c>
      <c r="O2548" s="5" t="str">
        <f>IFERROR(__xludf.DUMMYFUNCTION("IF(REGEXMATCH(TRIM(I2548), ""^\d+\s*min""), ""Unclassified"", IF(I2548 = """", ""NR"", I2548))"),"TV-MA")</f>
        <v>TV-MA</v>
      </c>
      <c r="R2548" s="5" t="str">
        <f t="shared" si="2"/>
        <v>Bordertown</v>
      </c>
      <c r="S2548" s="5" t="str">
        <f>IFERROR(__xludf.DUMMYFUNCTION("""COMPUTED_VALUE"""),"Frank Elstner: Just One Last Question")</f>
        <v>Frank Elstner: Just One Last Question</v>
      </c>
      <c r="U2548" s="5" t="str">
        <f>IFERROR(__xludf.DUMMYFUNCTION("""COMPUTED_VALUE"""),"Johan Brisinger")</f>
        <v>Johan Brisinger</v>
      </c>
      <c r="V2548" s="5" t="s">
        <v>14340</v>
      </c>
      <c r="W2548" s="5" t="str">
        <f t="shared" si="3"/>
        <v>Majid Majidi</v>
      </c>
      <c r="X2548" s="5">
        <f t="shared" si="4"/>
        <v>1</v>
      </c>
      <c r="Y2548" s="5" t="str">
        <f>IFERROR(__xludf.DUMMYFUNCTION("REGEXEXTRACT(J2548, ""^\d+"")"),"3")</f>
        <v>3</v>
      </c>
      <c r="Z2548" s="5" t="str">
        <f>IFERROR(__xludf.DUMMYFUNCTION("REGEXEXTRACT(J2548, ""[A-Za-z ]+$"")")," Seasons")</f>
        <v> Seasons</v>
      </c>
      <c r="AA2548" s="5" t="str">
        <f>IFERROR(__xludf.DUMMYFUNCTION("IF(REGEXMATCH(Z2548, ""Season""), ""TV Show"", ""Movie"")"),"TV Show")</f>
        <v>TV Show</v>
      </c>
    </row>
    <row r="2549">
      <c r="A2549" s="1" t="s">
        <v>14341</v>
      </c>
      <c r="B2549" s="1" t="s">
        <v>27</v>
      </c>
      <c r="C2549" s="1" t="s">
        <v>14342</v>
      </c>
      <c r="D2549" s="1" t="s">
        <v>6630</v>
      </c>
      <c r="E2549" s="1" t="s">
        <v>14343</v>
      </c>
      <c r="F2549" s="1" t="s">
        <v>30</v>
      </c>
      <c r="G2549" s="7">
        <v>43962.0</v>
      </c>
      <c r="H2549" s="1">
        <v>2020.0</v>
      </c>
      <c r="I2549" s="1" t="s">
        <v>42</v>
      </c>
      <c r="J2549" s="1" t="s">
        <v>1144</v>
      </c>
      <c r="K2549" s="1" t="s">
        <v>34</v>
      </c>
      <c r="L2549" s="1" t="s">
        <v>14344</v>
      </c>
      <c r="M2549" s="2" t="s">
        <v>12</v>
      </c>
      <c r="N2549" s="4">
        <f t="shared" si="1"/>
        <v>43962</v>
      </c>
      <c r="O2549" s="5" t="str">
        <f>IFERROR(__xludf.DUMMYFUNCTION("IF(REGEXMATCH(TRIM(I2549), ""^\d+\s*min""), ""Unclassified"", IF(I2549 = """", ""NR"", I2549))"),"TV-MA")</f>
        <v>TV-MA</v>
      </c>
      <c r="R2549" s="5" t="str">
        <f t="shared" si="2"/>
        <v>Have A Good Trip: Adventures In Psychedelics</v>
      </c>
      <c r="S2549" s="5" t="str">
        <f>IFERROR(__xludf.DUMMYFUNCTION("""COMPUTED_VALUE"""),"Frankenstein’S Monster’S Monster, Frankenstein")</f>
        <v>Frankenstein’S Monster’S Monster, Frankenstein</v>
      </c>
      <c r="U2549" s="5" t="str">
        <f>IFERROR(__xludf.DUMMYFUNCTION("""COMPUTED_VALUE"""),"Maria Sadowska")</f>
        <v>Maria Sadowska</v>
      </c>
      <c r="V2549" s="5" t="s">
        <v>11609</v>
      </c>
      <c r="W2549" s="5" t="str">
        <f t="shared" si="3"/>
        <v>Makarand Mane</v>
      </c>
      <c r="X2549" s="5">
        <f t="shared" si="4"/>
        <v>2</v>
      </c>
      <c r="Y2549" s="5" t="str">
        <f>IFERROR(__xludf.DUMMYFUNCTION("REGEXEXTRACT(J2549, ""^\d+"")"),"86")</f>
        <v>86</v>
      </c>
      <c r="Z2549" s="5" t="str">
        <f>IFERROR(__xludf.DUMMYFUNCTION("REGEXEXTRACT(J2549, ""[A-Za-z ]+$"")")," min")</f>
        <v> min</v>
      </c>
      <c r="AA2549" s="5" t="str">
        <f>IFERROR(__xludf.DUMMYFUNCTION("IF(REGEXMATCH(Z2549, ""Season""), ""TV Show"", ""Movie"")"),"Movie")</f>
        <v>Movie</v>
      </c>
    </row>
    <row r="2550">
      <c r="A2550" s="1" t="s">
        <v>14345</v>
      </c>
      <c r="B2550" s="1" t="s">
        <v>37</v>
      </c>
      <c r="C2550" s="1" t="s">
        <v>14346</v>
      </c>
      <c r="F2550" s="1" t="s">
        <v>30</v>
      </c>
      <c r="G2550" s="7">
        <v>43962.0</v>
      </c>
      <c r="H2550" s="1">
        <v>2020.0</v>
      </c>
      <c r="I2550" s="1" t="s">
        <v>42</v>
      </c>
      <c r="J2550" s="1" t="s">
        <v>51</v>
      </c>
      <c r="K2550" s="1" t="s">
        <v>2043</v>
      </c>
      <c r="L2550" s="1" t="s">
        <v>14347</v>
      </c>
      <c r="M2550" s="2" t="s">
        <v>12</v>
      </c>
      <c r="N2550" s="4">
        <f t="shared" si="1"/>
        <v>43962</v>
      </c>
      <c r="O2550" s="5" t="str">
        <f>IFERROR(__xludf.DUMMYFUNCTION("IF(REGEXMATCH(TRIM(I2550), ""^\d+\s*min""), ""Unclassified"", IF(I2550 = """", ""NR"", I2550))"),"TV-MA")</f>
        <v>TV-MA</v>
      </c>
      <c r="R2550" s="5" t="str">
        <f t="shared" si="2"/>
        <v>Trial By Media</v>
      </c>
      <c r="S2550" s="5" t="str">
        <f>IFERROR(__xludf.DUMMYFUNCTION("""COMPUTED_VALUE"""),"Frasier")</f>
        <v>Frasier</v>
      </c>
      <c r="U2550" s="5" t="str">
        <f>IFERROR(__xludf.DUMMYFUNCTION("""COMPUTED_VALUE"""),"Yang Woo-Seok")</f>
        <v>Yang Woo-Seok</v>
      </c>
      <c r="V2550" s="5" t="s">
        <v>14348</v>
      </c>
      <c r="W2550" s="5" t="str">
        <f t="shared" si="3"/>
        <v>Makoto Shinkai</v>
      </c>
      <c r="X2550" s="5">
        <f t="shared" si="4"/>
        <v>1</v>
      </c>
      <c r="Y2550" s="5" t="str">
        <f>IFERROR(__xludf.DUMMYFUNCTION("REGEXEXTRACT(J2550, ""^\d+"")"),"1")</f>
        <v>1</v>
      </c>
      <c r="Z2550" s="5" t="str">
        <f>IFERROR(__xludf.DUMMYFUNCTION("REGEXEXTRACT(J2550, ""[A-Za-z ]+$"")")," Season")</f>
        <v> Season</v>
      </c>
      <c r="AA2550" s="5" t="str">
        <f>IFERROR(__xludf.DUMMYFUNCTION("IF(REGEXMATCH(Z2550, ""Season""), ""TV Show"", ""Movie"")"),"TV Show")</f>
        <v>TV Show</v>
      </c>
    </row>
    <row r="2551">
      <c r="A2551" s="1" t="s">
        <v>14349</v>
      </c>
      <c r="B2551" s="1" t="s">
        <v>27</v>
      </c>
      <c r="C2551" s="1" t="s">
        <v>14350</v>
      </c>
      <c r="D2551" s="1" t="s">
        <v>14351</v>
      </c>
      <c r="E2551" s="1" t="s">
        <v>14352</v>
      </c>
      <c r="F2551" s="1" t="s">
        <v>30</v>
      </c>
      <c r="G2551" s="7">
        <v>43960.0</v>
      </c>
      <c r="H2551" s="1">
        <v>2020.0</v>
      </c>
      <c r="I2551" s="1" t="s">
        <v>378</v>
      </c>
      <c r="J2551" s="1" t="s">
        <v>665</v>
      </c>
      <c r="K2551" s="1" t="s">
        <v>394</v>
      </c>
      <c r="L2551" s="1" t="s">
        <v>14353</v>
      </c>
      <c r="M2551" s="2" t="s">
        <v>12</v>
      </c>
      <c r="N2551" s="4">
        <f t="shared" si="1"/>
        <v>43960</v>
      </c>
      <c r="O2551" s="5" t="str">
        <f>IFERROR(__xludf.DUMMYFUNCTION("IF(REGEXMATCH(TRIM(I2551), ""^\d+\s*min""), ""Unclassified"", IF(I2551 = """", ""NR"", I2551))"),"R")</f>
        <v>R</v>
      </c>
      <c r="R2551" s="5" t="str">
        <f t="shared" si="2"/>
        <v>John Henry</v>
      </c>
      <c r="S2551" s="5" t="str">
        <f>IFERROR(__xludf.DUMMYFUNCTION("""COMPUTED_VALUE"""),"Frat Star")</f>
        <v>Frat Star</v>
      </c>
      <c r="U2551" s="5" t="str">
        <f>IFERROR(__xludf.DUMMYFUNCTION("""COMPUTED_VALUE"""),"John L. Spencer")</f>
        <v>John L. Spencer</v>
      </c>
      <c r="V2551" s="5" t="s">
        <v>1266</v>
      </c>
      <c r="W2551" s="5" t="str">
        <f t="shared" si="3"/>
        <v>Malcolm D. Lee</v>
      </c>
      <c r="X2551" s="5">
        <f t="shared" si="4"/>
        <v>2</v>
      </c>
      <c r="Y2551" s="5" t="str">
        <f>IFERROR(__xludf.DUMMYFUNCTION("REGEXEXTRACT(J2551, ""^\d+"")"),"92")</f>
        <v>92</v>
      </c>
      <c r="Z2551" s="5" t="str">
        <f>IFERROR(__xludf.DUMMYFUNCTION("REGEXEXTRACT(J2551, ""[A-Za-z ]+$"")")," min")</f>
        <v> min</v>
      </c>
      <c r="AA2551" s="5" t="str">
        <f>IFERROR(__xludf.DUMMYFUNCTION("IF(REGEXMATCH(Z2551, ""Season""), ""TV Show"", ""Movie"")"),"Movie")</f>
        <v>Movie</v>
      </c>
    </row>
    <row r="2552">
      <c r="A2552" s="1" t="s">
        <v>14354</v>
      </c>
      <c r="B2552" s="1" t="s">
        <v>27</v>
      </c>
      <c r="C2552" s="1" t="s">
        <v>14355</v>
      </c>
      <c r="D2552" s="1" t="s">
        <v>7757</v>
      </c>
      <c r="E2552" s="1" t="s">
        <v>14356</v>
      </c>
      <c r="F2552" s="1" t="s">
        <v>1779</v>
      </c>
      <c r="G2552" s="7">
        <v>43959.0</v>
      </c>
      <c r="H2552" s="1">
        <v>2020.0</v>
      </c>
      <c r="I2552" s="1" t="s">
        <v>42</v>
      </c>
      <c r="J2552" s="1" t="s">
        <v>835</v>
      </c>
      <c r="K2552" s="1" t="s">
        <v>89</v>
      </c>
      <c r="L2552" s="1" t="s">
        <v>14357</v>
      </c>
      <c r="M2552" s="2" t="s">
        <v>12</v>
      </c>
      <c r="N2552" s="4">
        <f t="shared" si="1"/>
        <v>43959</v>
      </c>
      <c r="O2552" s="5" t="str">
        <f>IFERROR(__xludf.DUMMYFUNCTION("IF(REGEXMATCH(TRIM(I2552), ""^\d+\s*min""), ""Unclassified"", IF(I2552 = """", ""NR"", I2552))"),"TV-MA")</f>
        <v>TV-MA</v>
      </c>
      <c r="R2552" s="5" t="str">
        <f t="shared" si="2"/>
        <v>18 Presents</v>
      </c>
      <c r="S2552" s="5" t="str">
        <f>IFERROR(__xludf.DUMMYFUNCTION("""COMPUTED_VALUE"""),"Freak Show")</f>
        <v>Freak Show</v>
      </c>
      <c r="U2552" s="5" t="str">
        <f>IFERROR(__xludf.DUMMYFUNCTION("""COMPUTED_VALUE"""),"Victor Cook")</f>
        <v>Victor Cook</v>
      </c>
      <c r="V2552" s="5" t="s">
        <v>14358</v>
      </c>
      <c r="W2552" s="5" t="str">
        <f t="shared" si="3"/>
        <v>Malik Bendjelloul</v>
      </c>
      <c r="X2552" s="5">
        <f t="shared" si="4"/>
        <v>1</v>
      </c>
      <c r="Y2552" s="5" t="str">
        <f>IFERROR(__xludf.DUMMYFUNCTION("REGEXEXTRACT(J2552, ""^\d+"")"),"114")</f>
        <v>114</v>
      </c>
      <c r="Z2552" s="5" t="str">
        <f>IFERROR(__xludf.DUMMYFUNCTION("REGEXEXTRACT(J2552, ""[A-Za-z ]+$"")")," min")</f>
        <v> min</v>
      </c>
      <c r="AA2552" s="5" t="str">
        <f>IFERROR(__xludf.DUMMYFUNCTION("IF(REGEXMATCH(Z2552, ""Season""), ""TV Show"", ""Movie"")"),"Movie")</f>
        <v>Movie</v>
      </c>
    </row>
    <row r="2553">
      <c r="A2553" s="1" t="s">
        <v>14359</v>
      </c>
      <c r="B2553" s="1" t="s">
        <v>37</v>
      </c>
      <c r="C2553" s="1" t="s">
        <v>14360</v>
      </c>
      <c r="E2553" s="1" t="s">
        <v>14361</v>
      </c>
      <c r="F2553" s="1" t="s">
        <v>30</v>
      </c>
      <c r="G2553" s="7">
        <v>43959.0</v>
      </c>
      <c r="H2553" s="1">
        <v>2020.0</v>
      </c>
      <c r="I2553" s="1" t="s">
        <v>42</v>
      </c>
      <c r="J2553" s="1" t="s">
        <v>43</v>
      </c>
      <c r="K2553" s="1" t="s">
        <v>149</v>
      </c>
      <c r="L2553" s="1" t="s">
        <v>14362</v>
      </c>
      <c r="M2553" s="2" t="s">
        <v>12</v>
      </c>
      <c r="N2553" s="4">
        <f t="shared" si="1"/>
        <v>43959</v>
      </c>
      <c r="O2553" s="5" t="str">
        <f>IFERROR(__xludf.DUMMYFUNCTION("IF(REGEXMATCH(TRIM(I2553), ""^\d+\s*min""), ""Unclassified"", IF(I2553 = """", ""NR"", I2553))"),"TV-MA")</f>
        <v>TV-MA</v>
      </c>
      <c r="R2553" s="5" t="str">
        <f t="shared" si="2"/>
        <v>Dead To Me</v>
      </c>
      <c r="S2553" s="5" t="str">
        <f>IFERROR(__xludf.DUMMYFUNCTION("""COMPUTED_VALUE"""),"Freaks")</f>
        <v>Freaks</v>
      </c>
      <c r="U2553" s="5" t="str">
        <f>IFERROR(__xludf.DUMMYFUNCTION("""COMPUTED_VALUE"""),"Kazuya Murata")</f>
        <v>Kazuya Murata</v>
      </c>
      <c r="V2553" s="5" t="s">
        <v>3590</v>
      </c>
      <c r="W2553" s="5" t="str">
        <f t="shared" si="3"/>
        <v>Malik Nejer</v>
      </c>
      <c r="X2553" s="5">
        <f t="shared" si="4"/>
        <v>2</v>
      </c>
      <c r="Y2553" s="5" t="str">
        <f>IFERROR(__xludf.DUMMYFUNCTION("REGEXEXTRACT(J2553, ""^\d+"")"),"2")</f>
        <v>2</v>
      </c>
      <c r="Z2553" s="5" t="str">
        <f>IFERROR(__xludf.DUMMYFUNCTION("REGEXEXTRACT(J2553, ""[A-Za-z ]+$"")")," Seasons")</f>
        <v> Seasons</v>
      </c>
      <c r="AA2553" s="5" t="str">
        <f>IFERROR(__xludf.DUMMYFUNCTION("IF(REGEXMATCH(Z2553, ""Season""), ""TV Show"", ""Movie"")"),"TV Show")</f>
        <v>TV Show</v>
      </c>
    </row>
    <row r="2554">
      <c r="A2554" s="1" t="s">
        <v>14363</v>
      </c>
      <c r="B2554" s="1" t="s">
        <v>37</v>
      </c>
      <c r="C2554" s="1" t="s">
        <v>14364</v>
      </c>
      <c r="E2554" s="1" t="s">
        <v>14365</v>
      </c>
      <c r="F2554" s="1" t="s">
        <v>1106</v>
      </c>
      <c r="G2554" s="7">
        <v>43959.0</v>
      </c>
      <c r="H2554" s="1">
        <v>2020.0</v>
      </c>
      <c r="I2554" s="1" t="s">
        <v>97</v>
      </c>
      <c r="J2554" s="1" t="s">
        <v>43</v>
      </c>
      <c r="K2554" s="1" t="s">
        <v>1520</v>
      </c>
      <c r="L2554" s="1" t="s">
        <v>14366</v>
      </c>
      <c r="M2554" s="2" t="s">
        <v>12</v>
      </c>
      <c r="N2554" s="4">
        <f t="shared" si="1"/>
        <v>43959</v>
      </c>
      <c r="O2554" s="5" t="str">
        <f>IFERROR(__xludf.DUMMYFUNCTION("IF(REGEXMATCH(TRIM(I2554), ""^\d+\s*min""), ""Unclassified"", IF(I2554 = """", ""NR"", I2554))"),"TV-14")</f>
        <v>TV-14</v>
      </c>
      <c r="R2554" s="5" t="str">
        <f t="shared" si="2"/>
        <v>Restaurants On The Edge</v>
      </c>
      <c r="S2554" s="5" t="str">
        <f>IFERROR(__xludf.DUMMYFUNCTION("""COMPUTED_VALUE"""),"Freaks – You'Re One Of Us")</f>
        <v>Freaks – You'Re One Of Us</v>
      </c>
      <c r="U2554" s="5" t="str">
        <f>IFERROR(__xludf.DUMMYFUNCTION("""COMPUTED_VALUE"""),"Martin Zandvliet")</f>
        <v>Martin Zandvliet</v>
      </c>
      <c r="V2554" s="5" t="s">
        <v>14367</v>
      </c>
      <c r="W2554" s="5" t="str">
        <f t="shared" si="3"/>
        <v>Malik Vitthal</v>
      </c>
      <c r="X2554" s="5">
        <f t="shared" si="4"/>
        <v>1</v>
      </c>
      <c r="Y2554" s="5" t="str">
        <f>IFERROR(__xludf.DUMMYFUNCTION("REGEXEXTRACT(J2554, ""^\d+"")"),"2")</f>
        <v>2</v>
      </c>
      <c r="Z2554" s="5" t="str">
        <f>IFERROR(__xludf.DUMMYFUNCTION("REGEXEXTRACT(J2554, ""[A-Za-z ]+$"")")," Seasons")</f>
        <v> Seasons</v>
      </c>
      <c r="AA2554" s="5" t="str">
        <f>IFERROR(__xludf.DUMMYFUNCTION("IF(REGEXMATCH(Z2554, ""Season""), ""TV Show"", ""Movie"")"),"TV Show")</f>
        <v>TV Show</v>
      </c>
    </row>
    <row r="2555">
      <c r="A2555" s="1" t="s">
        <v>14368</v>
      </c>
      <c r="B2555" s="1" t="s">
        <v>37</v>
      </c>
      <c r="C2555" s="1" t="s">
        <v>14369</v>
      </c>
      <c r="D2555" s="1" t="s">
        <v>5370</v>
      </c>
      <c r="E2555" s="1" t="s">
        <v>14370</v>
      </c>
      <c r="F2555" s="1" t="s">
        <v>14371</v>
      </c>
      <c r="G2555" s="7">
        <v>43959.0</v>
      </c>
      <c r="H2555" s="1">
        <v>2020.0</v>
      </c>
      <c r="I2555" s="1" t="s">
        <v>42</v>
      </c>
      <c r="J2555" s="1" t="s">
        <v>51</v>
      </c>
      <c r="K2555" s="1" t="s">
        <v>402</v>
      </c>
      <c r="L2555" s="1" t="s">
        <v>14372</v>
      </c>
      <c r="M2555" s="2" t="s">
        <v>12</v>
      </c>
      <c r="N2555" s="4">
        <f t="shared" si="1"/>
        <v>43959</v>
      </c>
      <c r="O2555" s="5" t="str">
        <f>IFERROR(__xludf.DUMMYFUNCTION("IF(REGEXMATCH(TRIM(I2555), ""^\d+\s*min""), ""Unclassified"", IF(I2555 = """", ""NR"", I2555))"),"TV-MA")</f>
        <v>TV-MA</v>
      </c>
      <c r="R2555" s="5" t="str">
        <f t="shared" si="2"/>
        <v>The Eddy</v>
      </c>
      <c r="S2555" s="5" t="str">
        <f>IFERROR(__xludf.DUMMYFUNCTION("""COMPUTED_VALUE"""),"Fred Armisen: Standup For Drummers")</f>
        <v>Fred Armisen: Standup For Drummers</v>
      </c>
      <c r="U2555" s="5" t="str">
        <f>IFERROR(__xludf.DUMMYFUNCTION("""COMPUTED_VALUE"""),"Uraaz Bahl")</f>
        <v>Uraaz Bahl</v>
      </c>
      <c r="V2555" s="5" t="s">
        <v>14373</v>
      </c>
      <c r="W2555" s="5" t="str">
        <f t="shared" si="3"/>
        <v>Mamat Khalid</v>
      </c>
      <c r="X2555" s="5">
        <f t="shared" si="4"/>
        <v>1</v>
      </c>
      <c r="Y2555" s="5" t="str">
        <f>IFERROR(__xludf.DUMMYFUNCTION("REGEXEXTRACT(J2555, ""^\d+"")"),"1")</f>
        <v>1</v>
      </c>
      <c r="Z2555" s="5" t="str">
        <f>IFERROR(__xludf.DUMMYFUNCTION("REGEXEXTRACT(J2555, ""[A-Za-z ]+$"")")," Season")</f>
        <v> Season</v>
      </c>
      <c r="AA2555" s="5" t="str">
        <f>IFERROR(__xludf.DUMMYFUNCTION("IF(REGEXMATCH(Z2555, ""Season""), ""TV Show"", ""Movie"")"),"TV Show")</f>
        <v>TV Show</v>
      </c>
    </row>
    <row r="2556">
      <c r="A2556" s="1" t="s">
        <v>14374</v>
      </c>
      <c r="B2556" s="1" t="s">
        <v>37</v>
      </c>
      <c r="C2556" s="1" t="s">
        <v>14375</v>
      </c>
      <c r="E2556" s="1" t="s">
        <v>14376</v>
      </c>
      <c r="F2556" s="1" t="s">
        <v>1106</v>
      </c>
      <c r="G2556" s="7">
        <v>43959.0</v>
      </c>
      <c r="H2556" s="1">
        <v>2020.0</v>
      </c>
      <c r="I2556" s="1" t="s">
        <v>289</v>
      </c>
      <c r="J2556" s="1" t="s">
        <v>43</v>
      </c>
      <c r="K2556" s="1" t="s">
        <v>8248</v>
      </c>
      <c r="L2556" s="1" t="s">
        <v>14377</v>
      </c>
      <c r="M2556" s="2" t="s">
        <v>12</v>
      </c>
      <c r="N2556" s="4">
        <f t="shared" si="1"/>
        <v>43959</v>
      </c>
      <c r="O2556" s="5" t="str">
        <f>IFERROR(__xludf.DUMMYFUNCTION("IF(REGEXMATCH(TRIM(I2556), ""^\d+\s*min""), ""Unclassified"", IF(I2556 = """", ""NR"", I2556))"),"TV-Y7")</f>
        <v>TV-Y7</v>
      </c>
      <c r="R2556" s="5" t="str">
        <f t="shared" si="2"/>
        <v>The Hollow</v>
      </c>
      <c r="S2556" s="5" t="str">
        <f>IFERROR(__xludf.DUMMYFUNCTION("""COMPUTED_VALUE"""),"Fred Claus")</f>
        <v>Fred Claus</v>
      </c>
      <c r="U2556" s="5" t="str">
        <f>IFERROR(__xludf.DUMMYFUNCTION("""COMPUTED_VALUE"""),"Paul Solet, Rick Benattar")</f>
        <v>Paul Solet, Rick Benattar</v>
      </c>
      <c r="V2556" s="5" t="s">
        <v>13850</v>
      </c>
      <c r="W2556" s="5" t="str">
        <f t="shared" si="3"/>
        <v>Mamoru Hosoda</v>
      </c>
      <c r="X2556" s="5">
        <f t="shared" si="4"/>
        <v>1</v>
      </c>
      <c r="Y2556" s="5" t="str">
        <f>IFERROR(__xludf.DUMMYFUNCTION("REGEXEXTRACT(J2556, ""^\d+"")"),"2")</f>
        <v>2</v>
      </c>
      <c r="Z2556" s="5" t="str">
        <f>IFERROR(__xludf.DUMMYFUNCTION("REGEXEXTRACT(J2556, ""[A-Za-z ]+$"")")," Seasons")</f>
        <v> Seasons</v>
      </c>
      <c r="AA2556" s="5" t="str">
        <f>IFERROR(__xludf.DUMMYFUNCTION("IF(REGEXMATCH(Z2556, ""Season""), ""TV Show"", ""Movie"")"),"TV Show")</f>
        <v>TV Show</v>
      </c>
    </row>
    <row r="2557">
      <c r="A2557" s="1" t="s">
        <v>14378</v>
      </c>
      <c r="B2557" s="1" t="s">
        <v>27</v>
      </c>
      <c r="C2557" s="1" t="s">
        <v>14379</v>
      </c>
      <c r="D2557" s="1" t="s">
        <v>14380</v>
      </c>
      <c r="E2557" s="1" t="s">
        <v>14381</v>
      </c>
      <c r="F2557" s="1" t="s">
        <v>4557</v>
      </c>
      <c r="G2557" s="7">
        <v>43958.0</v>
      </c>
      <c r="H2557" s="1">
        <v>2016.0</v>
      </c>
      <c r="I2557" s="1" t="s">
        <v>97</v>
      </c>
      <c r="J2557" s="1" t="s">
        <v>33</v>
      </c>
      <c r="K2557" s="1" t="s">
        <v>14382</v>
      </c>
      <c r="L2557" s="1" t="s">
        <v>14383</v>
      </c>
      <c r="M2557" s="2" t="s">
        <v>12</v>
      </c>
      <c r="N2557" s="4">
        <f t="shared" si="1"/>
        <v>43958</v>
      </c>
      <c r="O2557" s="5" t="str">
        <f>IFERROR(__xludf.DUMMYFUNCTION("IF(REGEXMATCH(TRIM(I2557), ""^\d+\s*min""), ""Unclassified"", IF(I2557 = """", ""NR"", I2557))"),"TV-14")</f>
        <v>TV-14</v>
      </c>
      <c r="R2557" s="5" t="str">
        <f t="shared" si="2"/>
        <v>Aerials</v>
      </c>
      <c r="S2557" s="5" t="str">
        <f>IFERROR(__xludf.DUMMYFUNCTION("""COMPUTED_VALUE"""),"Free Fire")</f>
        <v>Free Fire</v>
      </c>
      <c r="U2557" s="5" t="str">
        <f>IFERROR(__xludf.DUMMYFUNCTION("""COMPUTED_VALUE"""),"Ben Wallis")</f>
        <v>Ben Wallis</v>
      </c>
      <c r="V2557" s="5" t="s">
        <v>14384</v>
      </c>
      <c r="W2557" s="5" t="str">
        <f t="shared" si="3"/>
        <v>Mana Yasuda</v>
      </c>
      <c r="X2557" s="5">
        <f t="shared" si="4"/>
        <v>2</v>
      </c>
      <c r="Y2557" s="5" t="str">
        <f>IFERROR(__xludf.DUMMYFUNCTION("REGEXEXTRACT(J2557, ""^\d+"")"),"90")</f>
        <v>90</v>
      </c>
      <c r="Z2557" s="5" t="str">
        <f>IFERROR(__xludf.DUMMYFUNCTION("REGEXEXTRACT(J2557, ""[A-Za-z ]+$"")")," min")</f>
        <v> min</v>
      </c>
      <c r="AA2557" s="5" t="str">
        <f>IFERROR(__xludf.DUMMYFUNCTION("IF(REGEXMATCH(Z2557, ""Season""), ""TV Show"", ""Movie"")"),"Movie")</f>
        <v>Movie</v>
      </c>
    </row>
    <row r="2558">
      <c r="A2558" s="1" t="s">
        <v>14385</v>
      </c>
      <c r="B2558" s="1" t="s">
        <v>27</v>
      </c>
      <c r="C2558" s="1" t="s">
        <v>14386</v>
      </c>
      <c r="D2558" s="1" t="s">
        <v>14387</v>
      </c>
      <c r="E2558" s="1" t="s">
        <v>14388</v>
      </c>
      <c r="F2558" s="1" t="s">
        <v>9234</v>
      </c>
      <c r="G2558" s="7">
        <v>43958.0</v>
      </c>
      <c r="H2558" s="1">
        <v>2019.0</v>
      </c>
      <c r="I2558" s="1" t="s">
        <v>97</v>
      </c>
      <c r="J2558" s="1" t="s">
        <v>170</v>
      </c>
      <c r="K2558" s="1" t="s">
        <v>14389</v>
      </c>
      <c r="L2558" s="1" t="s">
        <v>14390</v>
      </c>
      <c r="M2558" s="2" t="s">
        <v>12</v>
      </c>
      <c r="N2558" s="4">
        <f t="shared" si="1"/>
        <v>43958</v>
      </c>
      <c r="O2558" s="5" t="str">
        <f>IFERROR(__xludf.DUMMYFUNCTION("IF(REGEXMATCH(TRIM(I2558), ""^\d+\s*min""), ""Unclassified"", IF(I2558 = """", ""NR"", I2558))"),"TV-14")</f>
        <v>TV-14</v>
      </c>
      <c r="R2558" s="5" t="str">
        <f t="shared" si="2"/>
        <v>In Paradox</v>
      </c>
      <c r="S2558" s="5" t="str">
        <f>IFERROR(__xludf.DUMMYFUNCTION("""COMPUTED_VALUE"""),"Free Rein")</f>
        <v>Free Rein</v>
      </c>
      <c r="U2558" s="5" t="str">
        <f>IFERROR(__xludf.DUMMYFUNCTION("""COMPUTED_VALUE"""),"Robin Aubert")</f>
        <v>Robin Aubert</v>
      </c>
      <c r="V2558" s="5" t="s">
        <v>13435</v>
      </c>
      <c r="W2558" s="5" t="str">
        <f t="shared" si="3"/>
        <v>Manatsanun Phanlerdwongsakul</v>
      </c>
      <c r="X2558" s="5">
        <f t="shared" si="4"/>
        <v>1</v>
      </c>
      <c r="Y2558" s="5" t="str">
        <f>IFERROR(__xludf.DUMMYFUNCTION("REGEXEXTRACT(J2558, ""^\d+"")"),"94")</f>
        <v>94</v>
      </c>
      <c r="Z2558" s="5" t="str">
        <f>IFERROR(__xludf.DUMMYFUNCTION("REGEXEXTRACT(J2558, ""[A-Za-z ]+$"")")," min")</f>
        <v> min</v>
      </c>
      <c r="AA2558" s="5" t="str">
        <f>IFERROR(__xludf.DUMMYFUNCTION("IF(REGEXMATCH(Z2558, ""Season""), ""TV Show"", ""Movie"")"),"Movie")</f>
        <v>Movie</v>
      </c>
    </row>
    <row r="2559">
      <c r="A2559" s="1" t="s">
        <v>14391</v>
      </c>
      <c r="B2559" s="1" t="s">
        <v>37</v>
      </c>
      <c r="C2559" s="1" t="s">
        <v>14392</v>
      </c>
      <c r="D2559" s="1" t="s">
        <v>9183</v>
      </c>
      <c r="E2559" s="1" t="s">
        <v>14393</v>
      </c>
      <c r="F2559" s="1" t="s">
        <v>3892</v>
      </c>
      <c r="G2559" s="7">
        <v>43958.0</v>
      </c>
      <c r="H2559" s="1">
        <v>2020.0</v>
      </c>
      <c r="I2559" s="1" t="s">
        <v>42</v>
      </c>
      <c r="J2559" s="1" t="s">
        <v>43</v>
      </c>
      <c r="K2559" s="1" t="s">
        <v>933</v>
      </c>
      <c r="L2559" s="1" t="s">
        <v>14394</v>
      </c>
      <c r="M2559" s="2" t="s">
        <v>12</v>
      </c>
      <c r="N2559" s="4">
        <f t="shared" si="1"/>
        <v>43958</v>
      </c>
      <c r="O2559" s="5" t="str">
        <f>IFERROR(__xludf.DUMMYFUNCTION("IF(REGEXMATCH(TRIM(I2559), ""^\d+\s*min""), ""Unclassified"", IF(I2559 = """", ""NR"", I2559))"),"TV-MA")</f>
        <v>TV-MA</v>
      </c>
      <c r="R2559" s="5" t="str">
        <f t="shared" si="2"/>
        <v>Scissor Seven</v>
      </c>
      <c r="S2559" s="5" t="str">
        <f>IFERROR(__xludf.DUMMYFUNCTION("""COMPUTED_VALUE"""),"Free Rein: The Twelve Neighs Of Christmas")</f>
        <v>Free Rein: The Twelve Neighs Of Christmas</v>
      </c>
      <c r="U2559" s="5" t="str">
        <f>IFERROR(__xludf.DUMMYFUNCTION("""COMPUTED_VALUE"""),"Mitch Gould")</f>
        <v>Mitch Gould</v>
      </c>
      <c r="V2559" s="5" t="s">
        <v>14395</v>
      </c>
      <c r="W2559" s="5" t="str">
        <f t="shared" si="3"/>
        <v>Manav Shah</v>
      </c>
      <c r="X2559" s="5">
        <f t="shared" si="4"/>
        <v>1</v>
      </c>
      <c r="Y2559" s="5" t="str">
        <f>IFERROR(__xludf.DUMMYFUNCTION("REGEXEXTRACT(J2559, ""^\d+"")"),"2")</f>
        <v>2</v>
      </c>
      <c r="Z2559" s="5" t="str">
        <f>IFERROR(__xludf.DUMMYFUNCTION("REGEXEXTRACT(J2559, ""[A-Za-z ]+$"")")," Seasons")</f>
        <v> Seasons</v>
      </c>
      <c r="AA2559" s="5" t="str">
        <f>IFERROR(__xludf.DUMMYFUNCTION("IF(REGEXMATCH(Z2559, ""Season""), ""TV Show"", ""Movie"")"),"TV Show")</f>
        <v>TV Show</v>
      </c>
    </row>
    <row r="2560">
      <c r="A2560" s="1" t="s">
        <v>14396</v>
      </c>
      <c r="B2560" s="1" t="s">
        <v>27</v>
      </c>
      <c r="C2560" s="1" t="s">
        <v>14397</v>
      </c>
      <c r="D2560" s="1" t="s">
        <v>3338</v>
      </c>
      <c r="E2560" s="1" t="s">
        <v>14398</v>
      </c>
      <c r="F2560" s="1" t="s">
        <v>2873</v>
      </c>
      <c r="G2560" s="7">
        <v>43958.0</v>
      </c>
      <c r="H2560" s="1">
        <v>2018.0</v>
      </c>
      <c r="I2560" s="1" t="s">
        <v>136</v>
      </c>
      <c r="J2560" s="1" t="s">
        <v>1144</v>
      </c>
      <c r="K2560" s="1" t="s">
        <v>128</v>
      </c>
      <c r="L2560" s="1" t="s">
        <v>14399</v>
      </c>
      <c r="M2560" s="2" t="s">
        <v>12</v>
      </c>
      <c r="N2560" s="4">
        <f t="shared" si="1"/>
        <v>43958</v>
      </c>
      <c r="O2560" s="5" t="str">
        <f>IFERROR(__xludf.DUMMYFUNCTION("IF(REGEXMATCH(TRIM(I2560), ""^\d+\s*min""), ""Unclassified"", IF(I2560 = """", ""NR"", I2560))"),"TV-PG")</f>
        <v>TV-PG</v>
      </c>
      <c r="R2560" s="5" t="str">
        <f t="shared" si="2"/>
        <v>Si Doel The Movie</v>
      </c>
      <c r="S2560" s="5" t="str">
        <f>IFERROR(__xludf.DUMMYFUNCTION("""COMPUTED_VALUE"""),"Free Rein: Valentine'S Day")</f>
        <v>Free Rein: Valentine'S Day</v>
      </c>
      <c r="U2560" s="5" t="str">
        <f>IFERROR(__xludf.DUMMYFUNCTION("""COMPUTED_VALUE"""),"Lars Büchel")</f>
        <v>Lars Büchel</v>
      </c>
      <c r="V2560" s="5" t="s">
        <v>14400</v>
      </c>
      <c r="W2560" s="5" t="str">
        <f t="shared" si="3"/>
        <v>Manbhavan Singh</v>
      </c>
      <c r="X2560" s="5">
        <f t="shared" si="4"/>
        <v>1</v>
      </c>
      <c r="Y2560" s="5" t="str">
        <f>IFERROR(__xludf.DUMMYFUNCTION("REGEXEXTRACT(J2560, ""^\d+"")"),"86")</f>
        <v>86</v>
      </c>
      <c r="Z2560" s="5" t="str">
        <f>IFERROR(__xludf.DUMMYFUNCTION("REGEXEXTRACT(J2560, ""[A-Za-z ]+$"")")," min")</f>
        <v> min</v>
      </c>
      <c r="AA2560" s="5" t="str">
        <f>IFERROR(__xludf.DUMMYFUNCTION("IF(REGEXMATCH(Z2560, ""Season""), ""TV Show"", ""Movie"")"),"Movie")</f>
        <v>Movie</v>
      </c>
    </row>
    <row r="2561">
      <c r="A2561" s="1" t="s">
        <v>14401</v>
      </c>
      <c r="B2561" s="1" t="s">
        <v>27</v>
      </c>
      <c r="C2561" s="1" t="s">
        <v>14402</v>
      </c>
      <c r="D2561" s="1" t="s">
        <v>14403</v>
      </c>
      <c r="E2561" s="1" t="s">
        <v>14404</v>
      </c>
      <c r="F2561" s="1" t="s">
        <v>30</v>
      </c>
      <c r="G2561" s="7">
        <v>43957.0</v>
      </c>
      <c r="H2561" s="1">
        <v>2020.0</v>
      </c>
      <c r="I2561" s="1" t="s">
        <v>78</v>
      </c>
      <c r="J2561" s="1" t="s">
        <v>1191</v>
      </c>
      <c r="K2561" s="1" t="s">
        <v>34</v>
      </c>
      <c r="L2561" s="1" t="s">
        <v>14405</v>
      </c>
      <c r="M2561" s="2" t="s">
        <v>12</v>
      </c>
      <c r="N2561" s="4">
        <f t="shared" si="1"/>
        <v>43957</v>
      </c>
      <c r="O2561" s="5" t="str">
        <f>IFERROR(__xludf.DUMMYFUNCTION("IF(REGEXMATCH(TRIM(I2561), ""^\d+\s*min""), ""Unclassified"", IF(I2561 = """", ""NR"", I2561))"),"PG")</f>
        <v>PG</v>
      </c>
      <c r="R2561" s="5" t="str">
        <f t="shared" si="2"/>
        <v>Becoming</v>
      </c>
      <c r="S2561" s="5" t="str">
        <f>IFERROR(__xludf.DUMMYFUNCTION("""COMPUTED_VALUE"""),"Free State Of Jones")</f>
        <v>Free State Of Jones</v>
      </c>
      <c r="U2561" s="5" t="str">
        <f>IFERROR(__xludf.DUMMYFUNCTION("""COMPUTED_VALUE"""),"Amit Barot")</f>
        <v>Amit Barot</v>
      </c>
      <c r="V2561" s="5" t="s">
        <v>14406</v>
      </c>
      <c r="W2561" s="5" t="str">
        <f t="shared" si="3"/>
        <v>Mandeep Kumar</v>
      </c>
      <c r="X2561" s="5">
        <f t="shared" si="4"/>
        <v>1</v>
      </c>
      <c r="Y2561" s="5" t="str">
        <f>IFERROR(__xludf.DUMMYFUNCTION("REGEXEXTRACT(J2561, ""^\d+"")"),"89")</f>
        <v>89</v>
      </c>
      <c r="Z2561" s="5" t="str">
        <f>IFERROR(__xludf.DUMMYFUNCTION("REGEXEXTRACT(J2561, ""[A-Za-z ]+$"")")," min")</f>
        <v> min</v>
      </c>
      <c r="AA2561" s="5" t="str">
        <f>IFERROR(__xludf.DUMMYFUNCTION("IF(REGEXMATCH(Z2561, ""Season""), ""TV Show"", ""Movie"")"),"Movie")</f>
        <v>Movie</v>
      </c>
    </row>
    <row r="2562">
      <c r="A2562" s="1" t="s">
        <v>14407</v>
      </c>
      <c r="B2562" s="1" t="s">
        <v>27</v>
      </c>
      <c r="C2562" s="1" t="s">
        <v>14408</v>
      </c>
      <c r="D2562" s="1" t="s">
        <v>14409</v>
      </c>
      <c r="E2562" s="1" t="s">
        <v>14410</v>
      </c>
      <c r="G2562" s="7">
        <v>43957.0</v>
      </c>
      <c r="H2562" s="1">
        <v>2020.0</v>
      </c>
      <c r="I2562" s="1" t="s">
        <v>42</v>
      </c>
      <c r="J2562" s="1" t="s">
        <v>1256</v>
      </c>
      <c r="K2562" s="1" t="s">
        <v>215</v>
      </c>
      <c r="L2562" s="1" t="s">
        <v>14411</v>
      </c>
      <c r="M2562" s="2" t="s">
        <v>12</v>
      </c>
      <c r="N2562" s="4">
        <f t="shared" si="1"/>
        <v>43957</v>
      </c>
      <c r="O2562" s="5" t="str">
        <f>IFERROR(__xludf.DUMMYFUNCTION("IF(REGEXMATCH(TRIM(I2562), ""^\d+\s*min""), ""Unclassified"", IF(I2562 = """", ""NR"", I2562))"),"TV-MA")</f>
        <v>TV-MA</v>
      </c>
      <c r="R2562" s="5" t="str">
        <f t="shared" si="2"/>
        <v>Sí, Mi Amor</v>
      </c>
      <c r="S2562" s="5" t="str">
        <f>IFERROR(__xludf.DUMMYFUNCTION("""COMPUTED_VALUE"""),"Free To Play")</f>
        <v>Free To Play</v>
      </c>
      <c r="U2562" s="5" t="str">
        <f>IFERROR(__xludf.DUMMYFUNCTION("""COMPUTED_VALUE"""),"Carlo Padial")</f>
        <v>Carlo Padial</v>
      </c>
      <c r="V2562" s="5" t="s">
        <v>14412</v>
      </c>
      <c r="W2562" s="5" t="str">
        <f t="shared" si="3"/>
        <v>Mandie Fletcher</v>
      </c>
      <c r="X2562" s="5">
        <f t="shared" si="4"/>
        <v>1</v>
      </c>
      <c r="Y2562" s="5" t="str">
        <f>IFERROR(__xludf.DUMMYFUNCTION("REGEXEXTRACT(J2562, ""^\d+"")"),"107")</f>
        <v>107</v>
      </c>
      <c r="Z2562" s="5" t="str">
        <f>IFERROR(__xludf.DUMMYFUNCTION("REGEXEXTRACT(J2562, ""[A-Za-z ]+$"")")," min")</f>
        <v> min</v>
      </c>
      <c r="AA2562" s="5" t="str">
        <f>IFERROR(__xludf.DUMMYFUNCTION("IF(REGEXMATCH(Z2562, ""Season""), ""TV Show"", ""Movie"")"),"Movie")</f>
        <v>Movie</v>
      </c>
    </row>
    <row r="2563">
      <c r="A2563" s="1" t="s">
        <v>14413</v>
      </c>
      <c r="B2563" s="1" t="s">
        <v>27</v>
      </c>
      <c r="C2563" s="1" t="s">
        <v>14414</v>
      </c>
      <c r="D2563" s="1" t="s">
        <v>14415</v>
      </c>
      <c r="E2563" s="1" t="s">
        <v>10861</v>
      </c>
      <c r="F2563" s="1" t="s">
        <v>30</v>
      </c>
      <c r="G2563" s="7">
        <v>43956.0</v>
      </c>
      <c r="H2563" s="1">
        <v>2020.0</v>
      </c>
      <c r="I2563" s="1" t="s">
        <v>136</v>
      </c>
      <c r="J2563" s="1" t="s">
        <v>207</v>
      </c>
      <c r="K2563" s="1" t="s">
        <v>1839</v>
      </c>
      <c r="L2563" s="1" t="s">
        <v>14416</v>
      </c>
      <c r="M2563" s="2" t="s">
        <v>12</v>
      </c>
      <c r="N2563" s="4">
        <f t="shared" si="1"/>
        <v>43956</v>
      </c>
      <c r="O2563" s="5" t="str">
        <f>IFERROR(__xludf.DUMMYFUNCTION("IF(REGEXMATCH(TRIM(I2563), ""^\d+\s*min""), ""Unclassified"", IF(I2563 = """", ""NR"", I2563))"),"TV-PG")</f>
        <v>TV-PG</v>
      </c>
      <c r="R2563" s="5" t="str">
        <f t="shared" si="2"/>
        <v>Jerry Seinfeld: 23 Hours To Kill</v>
      </c>
      <c r="S2563" s="5" t="str">
        <f>IFERROR(__xludf.DUMMYFUNCTION("""COMPUTED_VALUE"""),"Free Willy")</f>
        <v>Free Willy</v>
      </c>
      <c r="U2563" s="5" t="str">
        <f>IFERROR(__xludf.DUMMYFUNCTION("""COMPUTED_VALUE"""),"Mike Smith, John Paul Tremblay, Robb Wells")</f>
        <v>Mike Smith, John Paul Tremblay, Robb Wells</v>
      </c>
      <c r="V2563" s="5" t="s">
        <v>14417</v>
      </c>
      <c r="W2563" s="5" t="str">
        <f t="shared" si="3"/>
        <v>Mandla Dube</v>
      </c>
      <c r="X2563" s="5">
        <f t="shared" si="4"/>
        <v>1</v>
      </c>
      <c r="Y2563" s="5" t="str">
        <f>IFERROR(__xludf.DUMMYFUNCTION("REGEXEXTRACT(J2563, ""^\d+"")"),"61")</f>
        <v>61</v>
      </c>
      <c r="Z2563" s="5" t="str">
        <f>IFERROR(__xludf.DUMMYFUNCTION("REGEXEXTRACT(J2563, ""[A-Za-z ]+$"")")," min")</f>
        <v> min</v>
      </c>
      <c r="AA2563" s="5" t="str">
        <f>IFERROR(__xludf.DUMMYFUNCTION("IF(REGEXMATCH(Z2563, ""Season""), ""TV Show"", ""Movie"")"),"Movie")</f>
        <v>Movie</v>
      </c>
    </row>
    <row r="2564">
      <c r="A2564" s="1" t="s">
        <v>14418</v>
      </c>
      <c r="B2564" s="1" t="s">
        <v>27</v>
      </c>
      <c r="C2564" s="1" t="s">
        <v>14419</v>
      </c>
      <c r="D2564" s="1" t="s">
        <v>144</v>
      </c>
      <c r="E2564" s="1" t="s">
        <v>14420</v>
      </c>
      <c r="F2564" s="1" t="s">
        <v>14421</v>
      </c>
      <c r="G2564" s="7">
        <v>43955.0</v>
      </c>
      <c r="H2564" s="1">
        <v>2019.0</v>
      </c>
      <c r="I2564" s="1" t="s">
        <v>78</v>
      </c>
      <c r="J2564" s="1" t="s">
        <v>454</v>
      </c>
      <c r="K2564" s="1" t="s">
        <v>137</v>
      </c>
      <c r="L2564" s="1" t="s">
        <v>14422</v>
      </c>
      <c r="M2564" s="2" t="s">
        <v>12</v>
      </c>
      <c r="N2564" s="4">
        <f t="shared" si="1"/>
        <v>43955</v>
      </c>
      <c r="O2564" s="5" t="str">
        <f>IFERROR(__xludf.DUMMYFUNCTION("IF(REGEXMATCH(TRIM(I2564), ""^\d+\s*min""), ""Unclassified"", IF(I2564 = """", ""NR"", I2564))"),"PG")</f>
        <v>PG</v>
      </c>
      <c r="R2564" s="5" t="str">
        <f t="shared" si="2"/>
        <v>Arctic Dogs</v>
      </c>
      <c r="S2564" s="5" t="str">
        <f>IFERROR(__xludf.DUMMYFUNCTION("""COMPUTED_VALUE"""),"Freedom At Midnight")</f>
        <v>Freedom At Midnight</v>
      </c>
      <c r="U2564" s="5" t="str">
        <f>IFERROR(__xludf.DUMMYFUNCTION("""COMPUTED_VALUE"""),"Milind Dhaimade")</f>
        <v>Milind Dhaimade</v>
      </c>
      <c r="V2564" s="5" t="s">
        <v>14423</v>
      </c>
      <c r="W2564" s="5" t="str">
        <f t="shared" si="3"/>
        <v>Mangesh Hadawale</v>
      </c>
      <c r="X2564" s="5">
        <f t="shared" si="4"/>
        <v>1</v>
      </c>
      <c r="Y2564" s="5" t="str">
        <f>IFERROR(__xludf.DUMMYFUNCTION("REGEXEXTRACT(J2564, ""^\d+"")"),"93")</f>
        <v>93</v>
      </c>
      <c r="Z2564" s="5" t="str">
        <f>IFERROR(__xludf.DUMMYFUNCTION("REGEXEXTRACT(J2564, ""[A-Za-z ]+$"")")," min")</f>
        <v> min</v>
      </c>
      <c r="AA2564" s="5" t="str">
        <f>IFERROR(__xludf.DUMMYFUNCTION("IF(REGEXMATCH(Z2564, ""Season""), ""TV Show"", ""Movie"")"),"Movie")</f>
        <v>Movie</v>
      </c>
    </row>
    <row r="2565">
      <c r="A2565" s="1" t="s">
        <v>14424</v>
      </c>
      <c r="B2565" s="1" t="s">
        <v>27</v>
      </c>
      <c r="C2565" s="1" t="s">
        <v>14425</v>
      </c>
      <c r="D2565" s="1" t="s">
        <v>14005</v>
      </c>
      <c r="E2565" s="1" t="s">
        <v>14426</v>
      </c>
      <c r="F2565" s="1" t="s">
        <v>1992</v>
      </c>
      <c r="G2565" s="7">
        <v>43955.0</v>
      </c>
      <c r="H2565" s="1">
        <v>2020.0</v>
      </c>
      <c r="I2565" s="1" t="s">
        <v>506</v>
      </c>
      <c r="J2565" s="1" t="s">
        <v>2452</v>
      </c>
      <c r="K2565" s="1" t="s">
        <v>1662</v>
      </c>
      <c r="L2565" s="1" t="s">
        <v>14427</v>
      </c>
      <c r="M2565" s="2" t="s">
        <v>12</v>
      </c>
      <c r="N2565" s="4">
        <f t="shared" si="1"/>
        <v>43955</v>
      </c>
      <c r="O2565" s="5" t="str">
        <f>IFERROR(__xludf.DUMMYFUNCTION("IF(REGEXMATCH(TRIM(I2565), ""^\d+\s*min""), ""Unclassified"", IF(I2565 = """", ""NR"", I2565))"),"TV-G")</f>
        <v>TV-G</v>
      </c>
      <c r="R2565" s="5" t="str">
        <f t="shared" si="2"/>
        <v>Luccas Neto Em: Acampamento De Férias 2</v>
      </c>
      <c r="S2565" s="5" t="str">
        <f>IFERROR(__xludf.DUMMYFUNCTION("""COMPUTED_VALUE"""),"Freedom Writers")</f>
        <v>Freedom Writers</v>
      </c>
      <c r="U2565" s="5" t="str">
        <f>IFERROR(__xludf.DUMMYFUNCTION("""COMPUTED_VALUE"""),"Hong-Seon Kim")</f>
        <v>Hong-Seon Kim</v>
      </c>
      <c r="V2565" s="5" t="s">
        <v>14428</v>
      </c>
      <c r="W2565" s="5" t="str">
        <f t="shared" si="3"/>
        <v>Mangesh Kanthale</v>
      </c>
      <c r="X2565" s="5">
        <f t="shared" si="4"/>
        <v>1</v>
      </c>
      <c r="Y2565" s="5" t="str">
        <f>IFERROR(__xludf.DUMMYFUNCTION("REGEXEXTRACT(J2565, ""^\d+"")"),"81")</f>
        <v>81</v>
      </c>
      <c r="Z2565" s="5" t="str">
        <f>IFERROR(__xludf.DUMMYFUNCTION("REGEXEXTRACT(J2565, ""[A-Za-z ]+$"")")," min")</f>
        <v> min</v>
      </c>
      <c r="AA2565" s="5" t="str">
        <f>IFERROR(__xludf.DUMMYFUNCTION("IF(REGEXMATCH(Z2565, ""Season""), ""TV Show"", ""Movie"")"),"Movie")</f>
        <v>Movie</v>
      </c>
    </row>
    <row r="2566">
      <c r="A2566" s="1" t="s">
        <v>14429</v>
      </c>
      <c r="B2566" s="1" t="s">
        <v>27</v>
      </c>
      <c r="C2566" s="1" t="s">
        <v>14430</v>
      </c>
      <c r="D2566" s="1" t="s">
        <v>2628</v>
      </c>
      <c r="E2566" s="1" t="s">
        <v>14431</v>
      </c>
      <c r="F2566" s="1" t="s">
        <v>63</v>
      </c>
      <c r="G2566" s="7">
        <v>43954.0</v>
      </c>
      <c r="H2566" s="1">
        <v>2019.0</v>
      </c>
      <c r="I2566" s="1" t="s">
        <v>97</v>
      </c>
      <c r="J2566" s="1" t="s">
        <v>985</v>
      </c>
      <c r="K2566" s="1" t="s">
        <v>128</v>
      </c>
      <c r="L2566" s="1" t="s">
        <v>14432</v>
      </c>
      <c r="M2566" s="2" t="s">
        <v>12</v>
      </c>
      <c r="N2566" s="4">
        <f t="shared" si="1"/>
        <v>43954</v>
      </c>
      <c r="O2566" s="5" t="str">
        <f>IFERROR(__xludf.DUMMYFUNCTION("IF(REGEXMATCH(TRIM(I2566), ""^\d+\s*min""), ""Unclassified"", IF(I2566 = """", ""NR"", I2566))"),"TV-14")</f>
        <v>TV-14</v>
      </c>
      <c r="R2566" s="5" t="str">
        <f t="shared" si="2"/>
        <v>One Day: Justice Delivered</v>
      </c>
      <c r="S2566" s="5" t="str">
        <f>IFERROR(__xludf.DUMMYFUNCTION("""COMPUTED_VALUE"""),"Freedomland")</f>
        <v>Freedomland</v>
      </c>
      <c r="U2566" s="5" t="str">
        <f>IFERROR(__xludf.DUMMYFUNCTION("""COMPUTED_VALUE"""),"Duncan Jones")</f>
        <v>Duncan Jones</v>
      </c>
      <c r="V2566" s="5" t="s">
        <v>1686</v>
      </c>
      <c r="W2566" s="5" t="str">
        <f t="shared" si="3"/>
        <v>Mani Ratnam</v>
      </c>
      <c r="X2566" s="5">
        <f t="shared" si="4"/>
        <v>5</v>
      </c>
      <c r="Y2566" s="5" t="str">
        <f>IFERROR(__xludf.DUMMYFUNCTION("REGEXEXTRACT(J2566, ""^\d+"")"),"120")</f>
        <v>120</v>
      </c>
      <c r="Z2566" s="5" t="str">
        <f>IFERROR(__xludf.DUMMYFUNCTION("REGEXEXTRACT(J2566, ""[A-Za-z ]+$"")")," min")</f>
        <v> min</v>
      </c>
      <c r="AA2566" s="5" t="str">
        <f>IFERROR(__xludf.DUMMYFUNCTION("IF(REGEXMATCH(Z2566, ""Season""), ""TV Show"", ""Movie"")"),"Movie")</f>
        <v>Movie</v>
      </c>
    </row>
    <row r="2567">
      <c r="A2567" s="1" t="s">
        <v>14433</v>
      </c>
      <c r="B2567" s="1" t="s">
        <v>37</v>
      </c>
      <c r="C2567" s="1" t="s">
        <v>14434</v>
      </c>
      <c r="D2567" s="1" t="s">
        <v>9295</v>
      </c>
      <c r="E2567" s="1" t="s">
        <v>14435</v>
      </c>
      <c r="F2567" s="1" t="s">
        <v>1815</v>
      </c>
      <c r="G2567" s="7">
        <v>43953.0</v>
      </c>
      <c r="H2567" s="1">
        <v>2020.0</v>
      </c>
      <c r="I2567" s="1" t="s">
        <v>42</v>
      </c>
      <c r="J2567" s="1" t="s">
        <v>51</v>
      </c>
      <c r="K2567" s="1" t="s">
        <v>1627</v>
      </c>
      <c r="L2567" s="1" t="s">
        <v>14436</v>
      </c>
      <c r="M2567" s="2" t="s">
        <v>12</v>
      </c>
      <c r="N2567" s="4">
        <f t="shared" si="1"/>
        <v>43953</v>
      </c>
      <c r="O2567" s="5" t="str">
        <f>IFERROR(__xludf.DUMMYFUNCTION("IF(REGEXMATCH(TRIM(I2567), ""^\d+\s*min""), ""Unclassified"", IF(I2567 = """", ""NR"", I2567))"),"TV-MA")</f>
        <v>TV-MA</v>
      </c>
      <c r="R2567" s="5" t="str">
        <f t="shared" si="2"/>
        <v>Almost Happy</v>
      </c>
      <c r="S2567" s="5" t="str">
        <f>IFERROR(__xludf.DUMMYFUNCTION("""COMPUTED_VALUE"""),"Freej Al Taibeen")</f>
        <v>Freej Al Taibeen</v>
      </c>
      <c r="U2567" s="5" t="str">
        <f>IFERROR(__xludf.DUMMYFUNCTION("""COMPUTED_VALUE"""),"Hang-Jun Jang")</f>
        <v>Hang-Jun Jang</v>
      </c>
      <c r="V2567" s="5" t="s">
        <v>14437</v>
      </c>
      <c r="W2567" s="5" t="str">
        <f t="shared" si="3"/>
        <v>Manika Sharma</v>
      </c>
      <c r="X2567" s="5">
        <f t="shared" si="4"/>
        <v>1</v>
      </c>
      <c r="Y2567" s="5" t="str">
        <f>IFERROR(__xludf.DUMMYFUNCTION("REGEXEXTRACT(J2567, ""^\d+"")"),"1")</f>
        <v>1</v>
      </c>
      <c r="Z2567" s="5" t="str">
        <f>IFERROR(__xludf.DUMMYFUNCTION("REGEXEXTRACT(J2567, ""[A-Za-z ]+$"")")," Season")</f>
        <v> Season</v>
      </c>
      <c r="AA2567" s="5" t="str">
        <f>IFERROR(__xludf.DUMMYFUNCTION("IF(REGEXMATCH(Z2567, ""Season""), ""TV Show"", ""Movie"")"),"TV Show")</f>
        <v>TV Show</v>
      </c>
    </row>
    <row r="2568">
      <c r="A2568" s="1" t="s">
        <v>14438</v>
      </c>
      <c r="B2568" s="1" t="s">
        <v>27</v>
      </c>
      <c r="C2568" s="1" t="s">
        <v>14439</v>
      </c>
      <c r="D2568" s="1" t="s">
        <v>1166</v>
      </c>
      <c r="E2568" s="1" t="s">
        <v>14440</v>
      </c>
      <c r="F2568" s="1" t="s">
        <v>30</v>
      </c>
      <c r="G2568" s="7">
        <v>43953.0</v>
      </c>
      <c r="H2568" s="1">
        <v>2019.0</v>
      </c>
      <c r="I2568" s="1" t="s">
        <v>32</v>
      </c>
      <c r="J2568" s="1" t="s">
        <v>170</v>
      </c>
      <c r="K2568" s="1" t="s">
        <v>2275</v>
      </c>
      <c r="L2568" s="1" t="s">
        <v>14441</v>
      </c>
      <c r="M2568" s="2" t="s">
        <v>12</v>
      </c>
      <c r="N2568" s="4">
        <f t="shared" si="1"/>
        <v>43953</v>
      </c>
      <c r="O2568" s="5" t="str">
        <f>IFERROR(__xludf.DUMMYFUNCTION("IF(REGEXMATCH(TRIM(I2568), ""^\d+\s*min""), ""Unclassified"", IF(I2568 = """", ""NR"", I2568))"),"PG-13")</f>
        <v>PG-13</v>
      </c>
      <c r="R2568" s="5" t="str">
        <f t="shared" si="2"/>
        <v>Bennett'S War</v>
      </c>
      <c r="S2568" s="5" t="str">
        <f>IFERROR(__xludf.DUMMYFUNCTION("""COMPUTED_VALUE"""),"Freeway: Crack In The System")</f>
        <v>Freeway: Crack In The System</v>
      </c>
      <c r="U2568" s="5" t="str">
        <f>IFERROR(__xludf.DUMMYFUNCTION("""COMPUTED_VALUE"""),"Fumihiko Sori")</f>
        <v>Fumihiko Sori</v>
      </c>
      <c r="V2568" s="5" t="s">
        <v>14442</v>
      </c>
      <c r="W2568" s="5" t="str">
        <f t="shared" si="3"/>
        <v>Manish Gupta</v>
      </c>
      <c r="X2568" s="5">
        <f t="shared" si="4"/>
        <v>1</v>
      </c>
      <c r="Y2568" s="5" t="str">
        <f>IFERROR(__xludf.DUMMYFUNCTION("REGEXEXTRACT(J2568, ""^\d+"")"),"94")</f>
        <v>94</v>
      </c>
      <c r="Z2568" s="5" t="str">
        <f>IFERROR(__xludf.DUMMYFUNCTION("REGEXEXTRACT(J2568, ""[A-Za-z ]+$"")")," min")</f>
        <v> min</v>
      </c>
      <c r="AA2568" s="5" t="str">
        <f>IFERROR(__xludf.DUMMYFUNCTION("IF(REGEXMATCH(Z2568, ""Season""), ""TV Show"", ""Movie"")"),"Movie")</f>
        <v>Movie</v>
      </c>
    </row>
    <row r="2569">
      <c r="A2569" s="1" t="s">
        <v>14443</v>
      </c>
      <c r="B2569" s="1" t="s">
        <v>27</v>
      </c>
      <c r="C2569" s="1" t="s">
        <v>14444</v>
      </c>
      <c r="D2569" s="1" t="s">
        <v>6899</v>
      </c>
      <c r="E2569" s="1" t="s">
        <v>14445</v>
      </c>
      <c r="F2569" s="1" t="s">
        <v>1837</v>
      </c>
      <c r="G2569" s="7">
        <v>43953.0</v>
      </c>
      <c r="H2569" s="1">
        <v>2020.0</v>
      </c>
      <c r="I2569" s="1" t="s">
        <v>97</v>
      </c>
      <c r="J2569" s="1" t="s">
        <v>79</v>
      </c>
      <c r="K2569" s="1" t="s">
        <v>199</v>
      </c>
      <c r="L2569" s="1" t="s">
        <v>14446</v>
      </c>
      <c r="M2569" s="2" t="s">
        <v>12</v>
      </c>
      <c r="N2569" s="4">
        <f t="shared" si="1"/>
        <v>43953</v>
      </c>
      <c r="O2569" s="5" t="str">
        <f>IFERROR(__xludf.DUMMYFUNCTION("IF(REGEXMATCH(TRIM(I2569), ""^\d+\s*min""), ""Unclassified"", IF(I2569 = """", ""NR"", I2569))"),"TV-14")</f>
        <v>TV-14</v>
      </c>
      <c r="R2569" s="5" t="str">
        <f t="shared" si="2"/>
        <v>Death Can Wait</v>
      </c>
      <c r="S2569" s="5" t="str">
        <f>IFERROR(__xludf.DUMMYFUNCTION("""COMPUTED_VALUE"""),"Freezer'S Campaign")</f>
        <v>Freezer'S Campaign</v>
      </c>
      <c r="U2569" s="5" t="str">
        <f>IFERROR(__xludf.DUMMYFUNCTION("""COMPUTED_VALUE"""),"Mariano Baez")</f>
        <v>Mariano Baez</v>
      </c>
      <c r="V2569" s="5" t="s">
        <v>14447</v>
      </c>
      <c r="W2569" s="5" t="str">
        <f t="shared" si="3"/>
        <v>Manish Jha</v>
      </c>
      <c r="X2569" s="5">
        <f t="shared" si="4"/>
        <v>2</v>
      </c>
      <c r="Y2569" s="5" t="str">
        <f>IFERROR(__xludf.DUMMYFUNCTION("REGEXEXTRACT(J2569, ""^\d+"")"),"91")</f>
        <v>91</v>
      </c>
      <c r="Z2569" s="5" t="str">
        <f>IFERROR(__xludf.DUMMYFUNCTION("REGEXEXTRACT(J2569, ""[A-Za-z ]+$"")")," min")</f>
        <v> min</v>
      </c>
      <c r="AA2569" s="5" t="str">
        <f>IFERROR(__xludf.DUMMYFUNCTION("IF(REGEXMATCH(Z2569, ""Season""), ""TV Show"", ""Movie"")"),"Movie")</f>
        <v>Movie</v>
      </c>
    </row>
    <row r="2570">
      <c r="A2570" s="1" t="s">
        <v>14448</v>
      </c>
      <c r="B2570" s="1" t="s">
        <v>37</v>
      </c>
      <c r="C2570" s="1" t="s">
        <v>14449</v>
      </c>
      <c r="G2570" s="7">
        <v>43953.0</v>
      </c>
      <c r="H2570" s="1">
        <v>2015.0</v>
      </c>
      <c r="I2570" s="1" t="s">
        <v>136</v>
      </c>
      <c r="J2570" s="1" t="s">
        <v>51</v>
      </c>
      <c r="K2570" s="1" t="s">
        <v>1261</v>
      </c>
      <c r="L2570" s="1" t="s">
        <v>14450</v>
      </c>
      <c r="M2570" s="2" t="s">
        <v>12</v>
      </c>
      <c r="N2570" s="4">
        <f t="shared" si="1"/>
        <v>43953</v>
      </c>
      <c r="O2570" s="5" t="str">
        <f>IFERROR(__xludf.DUMMYFUNCTION("IF(REGEXMATCH(TRIM(I2570), ""^\d+\s*min""), ""Unclassified"", IF(I2570 = """", ""NR"", I2570))"),"TV-PG")</f>
        <v>TV-PG</v>
      </c>
      <c r="R2570" s="5" t="str">
        <f t="shared" si="2"/>
        <v>Hangar 1: The Ufo Files</v>
      </c>
      <c r="S2570" s="5" t="str">
        <f>IFERROR(__xludf.DUMMYFUNCTION("""COMPUTED_VALUE"""),"French Dirty")</f>
        <v>French Dirty</v>
      </c>
      <c r="U2570" s="5" t="str">
        <f>IFERROR(__xludf.DUMMYFUNCTION("""COMPUTED_VALUE"""),"Stephanie Laing")</f>
        <v>Stephanie Laing</v>
      </c>
      <c r="V2570" s="5" t="s">
        <v>11592</v>
      </c>
      <c r="W2570" s="5" t="str">
        <f t="shared" si="3"/>
        <v>Manish Saini</v>
      </c>
      <c r="X2570" s="5">
        <f t="shared" si="4"/>
        <v>1</v>
      </c>
      <c r="Y2570" s="5" t="str">
        <f>IFERROR(__xludf.DUMMYFUNCTION("REGEXEXTRACT(J2570, ""^\d+"")"),"1")</f>
        <v>1</v>
      </c>
      <c r="Z2570" s="5" t="str">
        <f>IFERROR(__xludf.DUMMYFUNCTION("REGEXEXTRACT(J2570, ""[A-Za-z ]+$"")")," Season")</f>
        <v> Season</v>
      </c>
      <c r="AA2570" s="5" t="str">
        <f>IFERROR(__xludf.DUMMYFUNCTION("IF(REGEXMATCH(Z2570, ""Season""), ""TV Show"", ""Movie"")"),"TV Show")</f>
        <v>TV Show</v>
      </c>
    </row>
    <row r="2571">
      <c r="A2571" s="1" t="s">
        <v>14451</v>
      </c>
      <c r="B2571" s="1" t="s">
        <v>37</v>
      </c>
      <c r="C2571" s="1" t="s">
        <v>14452</v>
      </c>
      <c r="G2571" s="7">
        <v>43953.0</v>
      </c>
      <c r="H2571" s="1">
        <v>2020.0</v>
      </c>
      <c r="I2571" s="1" t="s">
        <v>136</v>
      </c>
      <c r="J2571" s="1" t="s">
        <v>51</v>
      </c>
      <c r="K2571" s="1" t="s">
        <v>440</v>
      </c>
      <c r="L2571" s="1" t="s">
        <v>14453</v>
      </c>
      <c r="M2571" s="2" t="s">
        <v>12</v>
      </c>
      <c r="N2571" s="4">
        <f t="shared" si="1"/>
        <v>43953</v>
      </c>
      <c r="O2571" s="5" t="str">
        <f>IFERROR(__xludf.DUMMYFUNCTION("IF(REGEXMATCH(TRIM(I2571), ""^\d+\s*min""), ""Unclassified"", IF(I2571 = """", ""NR"", I2571))"),"TV-PG")</f>
        <v>TV-PG</v>
      </c>
      <c r="R2571" s="5" t="str">
        <f t="shared" si="2"/>
        <v>Hoarders</v>
      </c>
      <c r="S2571" s="5" t="str">
        <f>IFERROR(__xludf.DUMMYFUNCTION("""COMPUTED_VALUE"""),"French Toast")</f>
        <v>French Toast</v>
      </c>
      <c r="U2571" s="5" t="str">
        <f>IFERROR(__xludf.DUMMYFUNCTION("""COMPUTED_VALUE"""),"Anand Tiwari")</f>
        <v>Anand Tiwari</v>
      </c>
      <c r="V2571" s="5" t="s">
        <v>14454</v>
      </c>
      <c r="W2571" s="5" t="str">
        <f t="shared" si="3"/>
        <v>Manish Tiwary</v>
      </c>
      <c r="X2571" s="5">
        <f t="shared" si="4"/>
        <v>1</v>
      </c>
      <c r="Y2571" s="5" t="str">
        <f>IFERROR(__xludf.DUMMYFUNCTION("REGEXEXTRACT(J2571, ""^\d+"")"),"1")</f>
        <v>1</v>
      </c>
      <c r="Z2571" s="5" t="str">
        <f>IFERROR(__xludf.DUMMYFUNCTION("REGEXEXTRACT(J2571, ""[A-Za-z ]+$"")")," Season")</f>
        <v> Season</v>
      </c>
      <c r="AA2571" s="5" t="str">
        <f>IFERROR(__xludf.DUMMYFUNCTION("IF(REGEXMATCH(Z2571, ""Season""), ""TV Show"", ""Movie"")"),"TV Show")</f>
        <v>TV Show</v>
      </c>
    </row>
    <row r="2572">
      <c r="A2572" s="1" t="s">
        <v>14455</v>
      </c>
      <c r="B2572" s="1" t="s">
        <v>27</v>
      </c>
      <c r="C2572" s="1" t="s">
        <v>14456</v>
      </c>
      <c r="D2572" s="1" t="s">
        <v>9077</v>
      </c>
      <c r="E2572" s="1" t="s">
        <v>14457</v>
      </c>
      <c r="F2572" s="1" t="s">
        <v>30</v>
      </c>
      <c r="G2572" s="7">
        <v>43953.0</v>
      </c>
      <c r="H2572" s="1">
        <v>2019.0</v>
      </c>
      <c r="I2572" s="1" t="s">
        <v>78</v>
      </c>
      <c r="J2572" s="1" t="s">
        <v>106</v>
      </c>
      <c r="K2572" s="1" t="s">
        <v>2275</v>
      </c>
      <c r="L2572" s="1" t="s">
        <v>14458</v>
      </c>
      <c r="M2572" s="2" t="s">
        <v>12</v>
      </c>
      <c r="N2572" s="4">
        <f t="shared" si="1"/>
        <v>43953</v>
      </c>
      <c r="O2572" s="5" t="str">
        <f>IFERROR(__xludf.DUMMYFUNCTION("IF(REGEXMATCH(TRIM(I2572), ""^\d+\s*min""), ""Unclassified"", IF(I2572 = """", ""NR"", I2572))"),"PG")</f>
        <v>PG</v>
      </c>
      <c r="R2572" s="5" t="str">
        <f t="shared" si="2"/>
        <v>Lady Driver</v>
      </c>
      <c r="S2572" s="5" t="str">
        <f>IFERROR(__xludf.DUMMYFUNCTION("""COMPUTED_VALUE"""),"Frequency")</f>
        <v>Frequency</v>
      </c>
      <c r="U2572" s="5" t="str">
        <f>IFERROR(__xludf.DUMMYFUNCTION("""COMPUTED_VALUE"""),"Roberta Grossman, Sophie Sartain")</f>
        <v>Roberta Grossman, Sophie Sartain</v>
      </c>
      <c r="V2572" s="5" t="s">
        <v>4495</v>
      </c>
      <c r="W2572" s="5" t="str">
        <f t="shared" si="3"/>
        <v>Manjari Makijany</v>
      </c>
      <c r="X2572" s="5">
        <f t="shared" si="4"/>
        <v>1</v>
      </c>
      <c r="Y2572" s="5" t="str">
        <f>IFERROR(__xludf.DUMMYFUNCTION("REGEXEXTRACT(J2572, ""^\d+"")"),"104")</f>
        <v>104</v>
      </c>
      <c r="Z2572" s="5" t="str">
        <f>IFERROR(__xludf.DUMMYFUNCTION("REGEXEXTRACT(J2572, ""[A-Za-z ]+$"")")," min")</f>
        <v> min</v>
      </c>
      <c r="AA2572" s="5" t="str">
        <f>IFERROR(__xludf.DUMMYFUNCTION("IF(REGEXMATCH(Z2572, ""Season""), ""TV Show"", ""Movie"")"),"Movie")</f>
        <v>Movie</v>
      </c>
    </row>
    <row r="2573">
      <c r="A2573" s="1" t="s">
        <v>14459</v>
      </c>
      <c r="B2573" s="1" t="s">
        <v>27</v>
      </c>
      <c r="C2573" s="1" t="s">
        <v>14460</v>
      </c>
      <c r="D2573" s="1" t="s">
        <v>14461</v>
      </c>
      <c r="E2573" s="1" t="s">
        <v>14462</v>
      </c>
      <c r="F2573" s="1" t="s">
        <v>30</v>
      </c>
      <c r="G2573" s="7">
        <v>43953.0</v>
      </c>
      <c r="H2573" s="1">
        <v>2013.0</v>
      </c>
      <c r="I2573" s="1" t="s">
        <v>97</v>
      </c>
      <c r="J2573" s="1" t="s">
        <v>1171</v>
      </c>
      <c r="K2573" s="1" t="s">
        <v>1839</v>
      </c>
      <c r="L2573" s="1" t="s">
        <v>14463</v>
      </c>
      <c r="M2573" s="2" t="s">
        <v>12</v>
      </c>
      <c r="N2573" s="4">
        <f t="shared" si="1"/>
        <v>43953</v>
      </c>
      <c r="O2573" s="5" t="str">
        <f>IFERROR(__xludf.DUMMYFUNCTION("IF(REGEXMATCH(TRIM(I2573), ""^\d+\s*min""), ""Unclassified"", IF(I2573 = """", ""NR"", I2573))"),"TV-14")</f>
        <v>TV-14</v>
      </c>
      <c r="R2573" s="5" t="str">
        <f t="shared" si="2"/>
        <v>Mike Birbiglia: My Girlfriend'S Boyfriend</v>
      </c>
      <c r="S2573" s="5" t="str">
        <f>IFERROR(__xludf.DUMMYFUNCTION("""COMPUTED_VALUE"""),"Fresh, Fried &amp; Crispy")</f>
        <v>Fresh, Fried &amp; Crispy</v>
      </c>
      <c r="U2573" s="5" t="str">
        <f>IFERROR(__xludf.DUMMYFUNCTION("""COMPUTED_VALUE"""),"David Bruckner")</f>
        <v>David Bruckner</v>
      </c>
      <c r="V2573" s="5" t="s">
        <v>14464</v>
      </c>
      <c r="W2573" s="5" t="str">
        <f t="shared" si="3"/>
        <v>Manjeet Maan</v>
      </c>
      <c r="X2573" s="5">
        <f t="shared" si="4"/>
        <v>1</v>
      </c>
      <c r="Y2573" s="5" t="str">
        <f>IFERROR(__xludf.DUMMYFUNCTION("REGEXEXTRACT(J2573, ""^\d+"")"),"76")</f>
        <v>76</v>
      </c>
      <c r="Z2573" s="5" t="str">
        <f>IFERROR(__xludf.DUMMYFUNCTION("REGEXEXTRACT(J2573, ""[A-Za-z ]+$"")")," min")</f>
        <v> min</v>
      </c>
      <c r="AA2573" s="5" t="str">
        <f>IFERROR(__xludf.DUMMYFUNCTION("IF(REGEXMATCH(Z2573, ""Season""), ""TV Show"", ""Movie"")"),"Movie")</f>
        <v>Movie</v>
      </c>
    </row>
    <row r="2574">
      <c r="A2574" s="1" t="s">
        <v>14465</v>
      </c>
      <c r="B2574" s="1" t="s">
        <v>27</v>
      </c>
      <c r="C2574" s="1" t="s">
        <v>14466</v>
      </c>
      <c r="D2574" s="1" t="s">
        <v>9077</v>
      </c>
      <c r="E2574" s="1" t="s">
        <v>14467</v>
      </c>
      <c r="F2574" s="1" t="s">
        <v>30</v>
      </c>
      <c r="G2574" s="7">
        <v>43953.0</v>
      </c>
      <c r="H2574" s="1">
        <v>2020.0</v>
      </c>
      <c r="I2574" s="1" t="s">
        <v>78</v>
      </c>
      <c r="J2574" s="1" t="s">
        <v>33</v>
      </c>
      <c r="K2574" s="1" t="s">
        <v>14468</v>
      </c>
      <c r="L2574" s="1" t="s">
        <v>14469</v>
      </c>
      <c r="M2574" s="2" t="s">
        <v>12</v>
      </c>
      <c r="N2574" s="4">
        <f t="shared" si="1"/>
        <v>43953</v>
      </c>
      <c r="O2574" s="5" t="str">
        <f>IFERROR(__xludf.DUMMYFUNCTION("IF(REGEXMATCH(TRIM(I2574), ""^\d+\s*min""), ""Unclassified"", IF(I2574 = """", ""NR"", I2574))"),"PG")</f>
        <v>PG</v>
      </c>
      <c r="R2574" s="5" t="str">
        <f t="shared" si="2"/>
        <v>Roped</v>
      </c>
      <c r="S2574" s="5" t="str">
        <f>IFERROR(__xludf.DUMMYFUNCTION("""COMPUTED_VALUE"""),"Freshman Year")</f>
        <v>Freshman Year</v>
      </c>
      <c r="U2574" s="5" t="str">
        <f>IFERROR(__xludf.DUMMYFUNCTION("""COMPUTED_VALUE"""),"Tamta Gabrichidze")</f>
        <v>Tamta Gabrichidze</v>
      </c>
      <c r="V2574" s="5" t="s">
        <v>14470</v>
      </c>
      <c r="W2574" s="5" t="str">
        <f t="shared" si="3"/>
        <v>Manjeet Singh</v>
      </c>
      <c r="X2574" s="5">
        <f t="shared" si="4"/>
        <v>1</v>
      </c>
      <c r="Y2574" s="5" t="str">
        <f>IFERROR(__xludf.DUMMYFUNCTION("REGEXEXTRACT(J2574, ""^\d+"")"),"90")</f>
        <v>90</v>
      </c>
      <c r="Z2574" s="5" t="str">
        <f>IFERROR(__xludf.DUMMYFUNCTION("REGEXEXTRACT(J2574, ""[A-Za-z ]+$"")")," min")</f>
        <v> min</v>
      </c>
      <c r="AA2574" s="5" t="str">
        <f>IFERROR(__xludf.DUMMYFUNCTION("IF(REGEXMATCH(Z2574, ""Season""), ""TV Show"", ""Movie"")"),"Movie")</f>
        <v>Movie</v>
      </c>
    </row>
    <row r="2575">
      <c r="A2575" s="1" t="s">
        <v>14471</v>
      </c>
      <c r="B2575" s="1" t="s">
        <v>27</v>
      </c>
      <c r="C2575" s="1" t="s">
        <v>14472</v>
      </c>
      <c r="D2575" s="1" t="s">
        <v>3722</v>
      </c>
      <c r="E2575" s="1" t="s">
        <v>14473</v>
      </c>
      <c r="F2575" s="1" t="s">
        <v>30</v>
      </c>
      <c r="G2575" s="7">
        <v>43953.0</v>
      </c>
      <c r="H2575" s="1">
        <v>2020.0</v>
      </c>
      <c r="I2575" s="1" t="s">
        <v>378</v>
      </c>
      <c r="J2575" s="1" t="s">
        <v>238</v>
      </c>
      <c r="K2575" s="1" t="s">
        <v>2327</v>
      </c>
      <c r="L2575" s="1" t="s">
        <v>14474</v>
      </c>
      <c r="M2575" s="2" t="s">
        <v>12</v>
      </c>
      <c r="N2575" s="4">
        <f t="shared" si="1"/>
        <v>43953</v>
      </c>
      <c r="O2575" s="5" t="str">
        <f>IFERROR(__xludf.DUMMYFUNCTION("IF(REGEXMATCH(TRIM(I2575), ""^\d+\s*min""), ""Unclassified"", IF(I2575 = """", ""NR"", I2575))"),"R")</f>
        <v>R</v>
      </c>
      <c r="R2575" s="5" t="str">
        <f t="shared" si="2"/>
        <v>The Stand At Paxton County</v>
      </c>
      <c r="S2575" s="5" t="str">
        <f>IFERROR(__xludf.DUMMYFUNCTION("""COMPUTED_VALUE"""),"Freud")</f>
        <v>Freud</v>
      </c>
      <c r="U2575" s="5" t="str">
        <f>IFERROR(__xludf.DUMMYFUNCTION("""COMPUTED_VALUE"""),"Ari Sandel")</f>
        <v>Ari Sandel</v>
      </c>
      <c r="V2575" s="5" t="s">
        <v>14475</v>
      </c>
      <c r="W2575" s="5" t="str">
        <f t="shared" si="3"/>
        <v>Manmohan Desai</v>
      </c>
      <c r="X2575" s="5">
        <f t="shared" si="4"/>
        <v>1</v>
      </c>
      <c r="Y2575" s="5" t="str">
        <f>IFERROR(__xludf.DUMMYFUNCTION("REGEXEXTRACT(J2575, ""^\d+"")"),"103")</f>
        <v>103</v>
      </c>
      <c r="Z2575" s="5" t="str">
        <f>IFERROR(__xludf.DUMMYFUNCTION("REGEXEXTRACT(J2575, ""[A-Za-z ]+$"")")," min")</f>
        <v> min</v>
      </c>
      <c r="AA2575" s="5" t="str">
        <f>IFERROR(__xludf.DUMMYFUNCTION("IF(REGEXMATCH(Z2575, ""Season""), ""TV Show"", ""Movie"")"),"Movie")</f>
        <v>Movie</v>
      </c>
    </row>
    <row r="2576">
      <c r="A2576" s="1" t="s">
        <v>14476</v>
      </c>
      <c r="B2576" s="1" t="s">
        <v>37</v>
      </c>
      <c r="C2576" s="1" t="s">
        <v>14477</v>
      </c>
      <c r="E2576" s="1" t="s">
        <v>14478</v>
      </c>
      <c r="G2576" s="7">
        <v>43953.0</v>
      </c>
      <c r="H2576" s="1">
        <v>2015.0</v>
      </c>
      <c r="I2576" s="1" t="s">
        <v>136</v>
      </c>
      <c r="J2576" s="1" t="s">
        <v>51</v>
      </c>
      <c r="K2576" s="1" t="s">
        <v>736</v>
      </c>
      <c r="L2576" s="1" t="s">
        <v>14479</v>
      </c>
      <c r="M2576" s="2" t="s">
        <v>12</v>
      </c>
      <c r="N2576" s="4">
        <f t="shared" si="1"/>
        <v>43953</v>
      </c>
      <c r="O2576" s="5" t="str">
        <f>IFERROR(__xludf.DUMMYFUNCTION("IF(REGEXMATCH(TRIM(I2576), ""^\d+\s*min""), ""Unclassified"", IF(I2576 = """", ""NR"", I2576))"),"TV-PG")</f>
        <v>TV-PG</v>
      </c>
      <c r="R2576" s="5" t="str">
        <f t="shared" si="2"/>
        <v>The Universe: Ancient Mysteries Solved</v>
      </c>
      <c r="S2576" s="5" t="str">
        <f>IFERROR(__xludf.DUMMYFUNCTION("""COMPUTED_VALUE"""),"Friday Night Lights")</f>
        <v>Friday Night Lights</v>
      </c>
      <c r="U2576" s="5" t="str">
        <f>IFERROR(__xludf.DUMMYFUNCTION("""COMPUTED_VALUE"""),"Julius Onah")</f>
        <v>Julius Onah</v>
      </c>
      <c r="V2576" s="5" t="s">
        <v>14480</v>
      </c>
      <c r="W2576" s="5" t="str">
        <f t="shared" si="3"/>
        <v>Manny Rodriguez</v>
      </c>
      <c r="X2576" s="5">
        <f t="shared" si="4"/>
        <v>5</v>
      </c>
      <c r="Y2576" s="5" t="str">
        <f>IFERROR(__xludf.DUMMYFUNCTION("REGEXEXTRACT(J2576, ""^\d+"")"),"1")</f>
        <v>1</v>
      </c>
      <c r="Z2576" s="5" t="str">
        <f>IFERROR(__xludf.DUMMYFUNCTION("REGEXEXTRACT(J2576, ""[A-Za-z ]+$"")")," Season")</f>
        <v> Season</v>
      </c>
      <c r="AA2576" s="5" t="str">
        <f>IFERROR(__xludf.DUMMYFUNCTION("IF(REGEXMATCH(Z2576, ""Season""), ""TV Show"", ""Movie"")"),"TV Show")</f>
        <v>TV Show</v>
      </c>
    </row>
    <row r="2577">
      <c r="A2577" s="1" t="s">
        <v>14481</v>
      </c>
      <c r="B2577" s="1" t="s">
        <v>37</v>
      </c>
      <c r="C2577" s="1" t="s">
        <v>14482</v>
      </c>
      <c r="E2577" s="1" t="s">
        <v>14483</v>
      </c>
      <c r="F2577" s="1" t="s">
        <v>30</v>
      </c>
      <c r="G2577" s="7">
        <v>43953.0</v>
      </c>
      <c r="H2577" s="1">
        <v>2009.0</v>
      </c>
      <c r="I2577" s="1" t="s">
        <v>97</v>
      </c>
      <c r="J2577" s="1" t="s">
        <v>51</v>
      </c>
      <c r="K2577" s="1" t="s">
        <v>1261</v>
      </c>
      <c r="L2577" s="1" t="s">
        <v>14484</v>
      </c>
      <c r="M2577" s="2" t="s">
        <v>12</v>
      </c>
      <c r="N2577" s="4">
        <f t="shared" si="1"/>
        <v>43953</v>
      </c>
      <c r="O2577" s="5" t="str">
        <f>IFERROR(__xludf.DUMMYFUNCTION("IF(REGEXMATCH(TRIM(I2577), ""^\d+\s*min""), ""Unclassified"", IF(I2577 = """", ""NR"", I2577))"),"TV-14")</f>
        <v>TV-14</v>
      </c>
      <c r="R2577" s="5" t="str">
        <f t="shared" si="2"/>
        <v>Wwii In Hd</v>
      </c>
      <c r="S2577" s="5" t="str">
        <f>IFERROR(__xludf.DUMMYFUNCTION("""COMPUTED_VALUE"""),"Friday Night Tykes")</f>
        <v>Friday Night Tykes</v>
      </c>
      <c r="U2577" s="5" t="str">
        <f>IFERROR(__xludf.DUMMYFUNCTION("""COMPUTED_VALUE"""),"Ildiko Enyedi")</f>
        <v>Ildiko Enyedi</v>
      </c>
      <c r="V2577" s="5" t="s">
        <v>7049</v>
      </c>
      <c r="W2577" s="5" t="str">
        <f t="shared" si="3"/>
        <v>Manny Rodriguez, Jay Lavender</v>
      </c>
      <c r="X2577" s="5">
        <f t="shared" si="4"/>
        <v>1</v>
      </c>
      <c r="Y2577" s="5" t="str">
        <f>IFERROR(__xludf.DUMMYFUNCTION("REGEXEXTRACT(J2577, ""^\d+"")"),"1")</f>
        <v>1</v>
      </c>
      <c r="Z2577" s="5" t="str">
        <f>IFERROR(__xludf.DUMMYFUNCTION("REGEXEXTRACT(J2577, ""[A-Za-z ]+$"")")," Season")</f>
        <v> Season</v>
      </c>
      <c r="AA2577" s="5" t="str">
        <f>IFERROR(__xludf.DUMMYFUNCTION("IF(REGEXMATCH(Z2577, ""Season""), ""TV Show"", ""Movie"")"),"TV Show")</f>
        <v>TV Show</v>
      </c>
    </row>
    <row r="2578">
      <c r="A2578" s="1" t="s">
        <v>14485</v>
      </c>
      <c r="B2578" s="1" t="s">
        <v>27</v>
      </c>
      <c r="C2578" s="1" t="s">
        <v>14486</v>
      </c>
      <c r="D2578" s="1" t="s">
        <v>11132</v>
      </c>
      <c r="E2578" s="1" t="s">
        <v>14487</v>
      </c>
      <c r="F2578" s="1" t="s">
        <v>30</v>
      </c>
      <c r="G2578" s="7">
        <v>43952.0</v>
      </c>
      <c r="H2578" s="1">
        <v>2020.0</v>
      </c>
      <c r="I2578" s="1" t="s">
        <v>378</v>
      </c>
      <c r="J2578" s="1" t="s">
        <v>393</v>
      </c>
      <c r="K2578" s="1" t="s">
        <v>1320</v>
      </c>
      <c r="L2578" s="1" t="s">
        <v>14488</v>
      </c>
      <c r="M2578" s="2" t="s">
        <v>12</v>
      </c>
      <c r="N2578" s="4">
        <f t="shared" si="1"/>
        <v>43952</v>
      </c>
      <c r="O2578" s="5" t="str">
        <f>IFERROR(__xludf.DUMMYFUNCTION("IF(REGEXMATCH(TRIM(I2578), ""^\d+\s*min""), ""Unclassified"", IF(I2578 = """", ""NR"", I2578))"),"R")</f>
        <v>R</v>
      </c>
      <c r="R2578" s="5" t="str">
        <f t="shared" si="2"/>
        <v>All Day And A Night</v>
      </c>
      <c r="S2578" s="5" t="str">
        <f>IFERROR(__xludf.DUMMYFUNCTION("""COMPUTED_VALUE"""),"Friday The 13Th")</f>
        <v>Friday The 13Th</v>
      </c>
      <c r="U2578" s="5" t="str">
        <f>IFERROR(__xludf.DUMMYFUNCTION("""COMPUTED_VALUE"""),"You-Jeong Chang")</f>
        <v>You-Jeong Chang</v>
      </c>
      <c r="V2578" s="5" t="s">
        <v>14489</v>
      </c>
      <c r="W2578" s="5" t="str">
        <f t="shared" si="3"/>
        <v>Manoj Beedha</v>
      </c>
      <c r="X2578" s="5">
        <f t="shared" si="4"/>
        <v>1</v>
      </c>
      <c r="Y2578" s="5" t="str">
        <f>IFERROR(__xludf.DUMMYFUNCTION("REGEXEXTRACT(J2578, ""^\d+"")"),"122")</f>
        <v>122</v>
      </c>
      <c r="Z2578" s="5" t="str">
        <f>IFERROR(__xludf.DUMMYFUNCTION("REGEXEXTRACT(J2578, ""[A-Za-z ]+$"")")," min")</f>
        <v> min</v>
      </c>
      <c r="AA2578" s="5" t="str">
        <f>IFERROR(__xludf.DUMMYFUNCTION("IF(REGEXMATCH(Z2578, ""Season""), ""TV Show"", ""Movie"")"),"Movie")</f>
        <v>Movie</v>
      </c>
    </row>
    <row r="2579">
      <c r="A2579" s="1" t="s">
        <v>14490</v>
      </c>
      <c r="B2579" s="1" t="s">
        <v>27</v>
      </c>
      <c r="C2579" s="1" t="s">
        <v>14491</v>
      </c>
      <c r="D2579" s="1" t="s">
        <v>14492</v>
      </c>
      <c r="E2579" s="1" t="s">
        <v>14493</v>
      </c>
      <c r="F2579" s="1" t="s">
        <v>30</v>
      </c>
      <c r="G2579" s="7">
        <v>43952.0</v>
      </c>
      <c r="H2579" s="1">
        <v>2018.0</v>
      </c>
      <c r="I2579" s="1" t="s">
        <v>42</v>
      </c>
      <c r="J2579" s="1" t="s">
        <v>247</v>
      </c>
      <c r="K2579" s="1" t="s">
        <v>34</v>
      </c>
      <c r="L2579" s="1" t="s">
        <v>14494</v>
      </c>
      <c r="M2579" s="2" t="s">
        <v>12</v>
      </c>
      <c r="N2579" s="4">
        <f t="shared" si="1"/>
        <v>43952</v>
      </c>
      <c r="O2579" s="5" t="str">
        <f>IFERROR(__xludf.DUMMYFUNCTION("IF(REGEXMATCH(TRIM(I2579), ""^\d+\s*min""), ""Unclassified"", IF(I2579 = """", ""NR"", I2579))"),"TV-MA")</f>
        <v>TV-MA</v>
      </c>
      <c r="R2579" s="5" t="str">
        <f t="shared" si="2"/>
        <v>Cracked Up: The Darrell Hammond Story</v>
      </c>
      <c r="S2579" s="5" t="str">
        <f>IFERROR(__xludf.DUMMYFUNCTION("""COMPUTED_VALUE"""),"Friend Request")</f>
        <v>Friend Request</v>
      </c>
      <c r="U2579" s="5" t="str">
        <f>IFERROR(__xludf.DUMMYFUNCTION("""COMPUTED_VALUE"""),"Dan Forrer")</f>
        <v>Dan Forrer</v>
      </c>
      <c r="V2579" s="5" t="s">
        <v>3996</v>
      </c>
      <c r="W2579" s="5" t="str">
        <f t="shared" si="3"/>
        <v>Manolo Caro</v>
      </c>
      <c r="X2579" s="5">
        <f t="shared" si="4"/>
        <v>3</v>
      </c>
      <c r="Y2579" s="5" t="str">
        <f>IFERROR(__xludf.DUMMYFUNCTION("REGEXEXTRACT(J2579, ""^\d+"")"),"97")</f>
        <v>97</v>
      </c>
      <c r="Z2579" s="5" t="str">
        <f>IFERROR(__xludf.DUMMYFUNCTION("REGEXEXTRACT(J2579, ""[A-Za-z ]+$"")")," min")</f>
        <v> min</v>
      </c>
      <c r="AA2579" s="5" t="str">
        <f>IFERROR(__xludf.DUMMYFUNCTION("IF(REGEXMATCH(Z2579, ""Season""), ""TV Show"", ""Movie"")"),"Movie")</f>
        <v>Movie</v>
      </c>
    </row>
    <row r="2580">
      <c r="A2580" s="1" t="s">
        <v>14495</v>
      </c>
      <c r="B2580" s="1" t="s">
        <v>27</v>
      </c>
      <c r="C2580" s="1" t="s">
        <v>14496</v>
      </c>
      <c r="D2580" s="1" t="s">
        <v>14497</v>
      </c>
      <c r="E2580" s="1" t="s">
        <v>14498</v>
      </c>
      <c r="F2580" s="1" t="s">
        <v>3217</v>
      </c>
      <c r="G2580" s="7">
        <v>43952.0</v>
      </c>
      <c r="H2580" s="1">
        <v>2019.0</v>
      </c>
      <c r="I2580" s="1" t="s">
        <v>42</v>
      </c>
      <c r="J2580" s="1" t="s">
        <v>357</v>
      </c>
      <c r="K2580" s="1" t="s">
        <v>631</v>
      </c>
      <c r="L2580" s="1" t="s">
        <v>14499</v>
      </c>
      <c r="M2580" s="2" t="s">
        <v>12</v>
      </c>
      <c r="N2580" s="4">
        <f t="shared" si="1"/>
        <v>43952</v>
      </c>
      <c r="O2580" s="5" t="str">
        <f>IFERROR(__xludf.DUMMYFUNCTION("IF(REGEXMATCH(TRIM(I2580), ""^\d+\s*min""), ""Unclassified"", IF(I2580 = """", ""NR"", I2580))"),"TV-MA")</f>
        <v>TV-MA</v>
      </c>
      <c r="R2580" s="5" t="str">
        <f t="shared" si="2"/>
        <v>Get In</v>
      </c>
      <c r="S2580" s="5" t="str">
        <f>IFERROR(__xludf.DUMMYFUNCTION("""COMPUTED_VALUE"""),"Friends")</f>
        <v>Friends</v>
      </c>
      <c r="U2580" s="5" t="str">
        <f>IFERROR(__xludf.DUMMYFUNCTION("""COMPUTED_VALUE"""),"Selima Taibi")</f>
        <v>Selima Taibi</v>
      </c>
      <c r="V2580" s="5" t="s">
        <v>14500</v>
      </c>
      <c r="W2580" s="5" t="str">
        <f t="shared" si="3"/>
        <v>Manop Janjarasskul</v>
      </c>
      <c r="X2580" s="5">
        <f t="shared" si="4"/>
        <v>1</v>
      </c>
      <c r="Y2580" s="5" t="str">
        <f>IFERROR(__xludf.DUMMYFUNCTION("REGEXEXTRACT(J2580, ""^\d+"")"),"98")</f>
        <v>98</v>
      </c>
      <c r="Z2580" s="5" t="str">
        <f>IFERROR(__xludf.DUMMYFUNCTION("REGEXEXTRACT(J2580, ""[A-Za-z ]+$"")")," min")</f>
        <v> min</v>
      </c>
      <c r="AA2580" s="5" t="str">
        <f>IFERROR(__xludf.DUMMYFUNCTION("IF(REGEXMATCH(Z2580, ""Season""), ""TV Show"", ""Movie"")"),"Movie")</f>
        <v>Movie</v>
      </c>
    </row>
    <row r="2581">
      <c r="A2581" s="1" t="s">
        <v>14501</v>
      </c>
      <c r="B2581" s="1" t="s">
        <v>27</v>
      </c>
      <c r="C2581" s="1" t="s">
        <v>14502</v>
      </c>
      <c r="D2581" s="1" t="s">
        <v>204</v>
      </c>
      <c r="E2581" s="1" t="s">
        <v>14503</v>
      </c>
      <c r="F2581" s="1" t="s">
        <v>30</v>
      </c>
      <c r="G2581" s="7">
        <v>43952.0</v>
      </c>
      <c r="H2581" s="1">
        <v>2020.0</v>
      </c>
      <c r="I2581" s="1" t="s">
        <v>206</v>
      </c>
      <c r="J2581" s="1" t="s">
        <v>7390</v>
      </c>
      <c r="K2581" s="1" t="s">
        <v>80</v>
      </c>
      <c r="L2581" s="1" t="s">
        <v>14504</v>
      </c>
      <c r="M2581" s="2" t="s">
        <v>12</v>
      </c>
      <c r="N2581" s="4">
        <f t="shared" si="1"/>
        <v>43952</v>
      </c>
      <c r="O2581" s="5" t="str">
        <f>IFERROR(__xludf.DUMMYFUNCTION("IF(REGEXMATCH(TRIM(I2581), ""^\d+\s*min""), ""Unclassified"", IF(I2581 = """", ""NR"", I2581))"),"TV-Y")</f>
        <v>TV-Y</v>
      </c>
      <c r="R2581" s="5" t="str">
        <f t="shared" si="2"/>
        <v>Go! Go! Cory Carson: The Chrissy</v>
      </c>
      <c r="S2581" s="5" t="str">
        <f>IFERROR(__xludf.DUMMYFUNCTION("""COMPUTED_VALUE"""),"Friends From College")</f>
        <v>Friends From College</v>
      </c>
      <c r="U2581" s="5" t="str">
        <f>IFERROR(__xludf.DUMMYFUNCTION("""COMPUTED_VALUE"""),"Marty Callner")</f>
        <v>Marty Callner</v>
      </c>
      <c r="V2581" s="5" t="s">
        <v>3795</v>
      </c>
      <c r="W2581" s="5" t="str">
        <f t="shared" si="3"/>
        <v>Måns Mårlind, Björn Stein</v>
      </c>
      <c r="X2581" s="5">
        <f t="shared" si="4"/>
        <v>2</v>
      </c>
      <c r="Y2581" s="5" t="str">
        <f>IFERROR(__xludf.DUMMYFUNCTION("REGEXEXTRACT(J2581, ""^\d+"")"),"42")</f>
        <v>42</v>
      </c>
      <c r="Z2581" s="5" t="str">
        <f>IFERROR(__xludf.DUMMYFUNCTION("REGEXEXTRACT(J2581, ""[A-Za-z ]+$"")")," min")</f>
        <v> min</v>
      </c>
      <c r="AA2581" s="5" t="str">
        <f>IFERROR(__xludf.DUMMYFUNCTION("IF(REGEXMATCH(Z2581, ""Season""), ""TV Show"", ""Movie"")"),"Movie")</f>
        <v>Movie</v>
      </c>
    </row>
    <row r="2582">
      <c r="A2582" s="1" t="s">
        <v>14505</v>
      </c>
      <c r="B2582" s="1" t="s">
        <v>37</v>
      </c>
      <c r="C2582" s="1" t="s">
        <v>14506</v>
      </c>
      <c r="E2582" s="1" t="s">
        <v>14507</v>
      </c>
      <c r="F2582" s="1" t="s">
        <v>30</v>
      </c>
      <c r="G2582" s="7">
        <v>43952.0</v>
      </c>
      <c r="H2582" s="1">
        <v>2020.0</v>
      </c>
      <c r="I2582" s="1" t="s">
        <v>42</v>
      </c>
      <c r="J2582" s="1" t="s">
        <v>51</v>
      </c>
      <c r="K2582" s="1" t="s">
        <v>2709</v>
      </c>
      <c r="L2582" s="1" t="s">
        <v>14508</v>
      </c>
      <c r="M2582" s="2" t="s">
        <v>12</v>
      </c>
      <c r="N2582" s="4">
        <f t="shared" si="1"/>
        <v>43952</v>
      </c>
      <c r="O2582" s="5" t="str">
        <f>IFERROR(__xludf.DUMMYFUNCTION("IF(REGEXMATCH(TRIM(I2582), ""^\d+\s*min""), ""Unclassified"", IF(I2582 = """", ""NR"", I2582))"),"TV-MA")</f>
        <v>TV-MA</v>
      </c>
      <c r="R2582" s="5" t="str">
        <f t="shared" si="2"/>
        <v>Hollywood</v>
      </c>
      <c r="S2582" s="5" t="str">
        <f>IFERROR(__xludf.DUMMYFUNCTION("""COMPUTED_VALUE"""),"Friendsgiving")</f>
        <v>Friendsgiving</v>
      </c>
      <c r="U2582" s="5" t="str">
        <f>IFERROR(__xludf.DUMMYFUNCTION("""COMPUTED_VALUE"""),"Javier Ambrossi, Javier Calvo")</f>
        <v>Javier Ambrossi, Javier Calvo</v>
      </c>
      <c r="V2582" s="5" t="s">
        <v>14509</v>
      </c>
      <c r="W2582" s="5" t="str">
        <f t="shared" si="3"/>
        <v>Mansore</v>
      </c>
      <c r="X2582" s="5">
        <f t="shared" si="4"/>
        <v>1</v>
      </c>
      <c r="Y2582" s="5" t="str">
        <f>IFERROR(__xludf.DUMMYFUNCTION("REGEXEXTRACT(J2582, ""^\d+"")"),"1")</f>
        <v>1</v>
      </c>
      <c r="Z2582" s="5" t="str">
        <f>IFERROR(__xludf.DUMMYFUNCTION("REGEXEXTRACT(J2582, ""[A-Za-z ]+$"")")," Season")</f>
        <v> Season</v>
      </c>
      <c r="AA2582" s="5" t="str">
        <f>IFERROR(__xludf.DUMMYFUNCTION("IF(REGEXMATCH(Z2582, ""Season""), ""TV Show"", ""Movie"")"),"TV Show")</f>
        <v>TV Show</v>
      </c>
    </row>
    <row r="2583">
      <c r="A2583" s="1" t="s">
        <v>14510</v>
      </c>
      <c r="B2583" s="1" t="s">
        <v>27</v>
      </c>
      <c r="C2583" s="1" t="s">
        <v>14511</v>
      </c>
      <c r="D2583" s="1" t="s">
        <v>10653</v>
      </c>
      <c r="F2583" s="1" t="s">
        <v>30</v>
      </c>
      <c r="G2583" s="7">
        <v>43952.0</v>
      </c>
      <c r="H2583" s="1">
        <v>2013.0</v>
      </c>
      <c r="I2583" s="1" t="s">
        <v>42</v>
      </c>
      <c r="J2583" s="1" t="s">
        <v>33</v>
      </c>
      <c r="K2583" s="1" t="s">
        <v>1212</v>
      </c>
      <c r="L2583" s="1" t="s">
        <v>14512</v>
      </c>
      <c r="M2583" s="2" t="s">
        <v>12</v>
      </c>
      <c r="N2583" s="4">
        <f t="shared" si="1"/>
        <v>43952</v>
      </c>
      <c r="O2583" s="5" t="str">
        <f>IFERROR(__xludf.DUMMYFUNCTION("IF(REGEXMATCH(TRIM(I2583), ""^\d+\s*min""), ""Unclassified"", IF(I2583 = """", ""NR"", I2583))"),"TV-MA")</f>
        <v>TV-MA</v>
      </c>
      <c r="R2583" s="5" t="str">
        <f t="shared" si="2"/>
        <v>I Am Divine</v>
      </c>
      <c r="S2583" s="5" t="str">
        <f>IFERROR(__xludf.DUMMYFUNCTION("""COMPUTED_VALUE"""),"Friendship")</f>
        <v>Friendship</v>
      </c>
      <c r="U2583" s="5" t="str">
        <f>IFERROR(__xludf.DUMMYFUNCTION("""COMPUTED_VALUE"""),"David Wain")</f>
        <v>David Wain</v>
      </c>
      <c r="V2583" s="5" t="s">
        <v>14513</v>
      </c>
      <c r="W2583" s="5" t="str">
        <f t="shared" si="3"/>
        <v>Manu Ashokan</v>
      </c>
      <c r="X2583" s="5">
        <f t="shared" si="4"/>
        <v>1</v>
      </c>
      <c r="Y2583" s="5" t="str">
        <f>IFERROR(__xludf.DUMMYFUNCTION("REGEXEXTRACT(J2583, ""^\d+"")"),"90")</f>
        <v>90</v>
      </c>
      <c r="Z2583" s="5" t="str">
        <f>IFERROR(__xludf.DUMMYFUNCTION("REGEXEXTRACT(J2583, ""[A-Za-z ]+$"")")," min")</f>
        <v> min</v>
      </c>
      <c r="AA2583" s="5" t="str">
        <f>IFERROR(__xludf.DUMMYFUNCTION("IF(REGEXMATCH(Z2583, ""Season""), ""TV Show"", ""Movie"")"),"Movie")</f>
        <v>Movie</v>
      </c>
    </row>
    <row r="2584">
      <c r="A2584" s="1" t="s">
        <v>14514</v>
      </c>
      <c r="B2584" s="1" t="s">
        <v>27</v>
      </c>
      <c r="C2584" s="1" t="s">
        <v>14515</v>
      </c>
      <c r="D2584" s="1" t="s">
        <v>14516</v>
      </c>
      <c r="E2584" s="1" t="s">
        <v>14517</v>
      </c>
      <c r="F2584" s="1" t="s">
        <v>30</v>
      </c>
      <c r="G2584" s="7">
        <v>43952.0</v>
      </c>
      <c r="H2584" s="1">
        <v>2008.0</v>
      </c>
      <c r="I2584" s="1" t="s">
        <v>78</v>
      </c>
      <c r="J2584" s="1" t="s">
        <v>79</v>
      </c>
      <c r="K2584" s="1" t="s">
        <v>137</v>
      </c>
      <c r="L2584" s="1" t="s">
        <v>14518</v>
      </c>
      <c r="M2584" s="2" t="s">
        <v>12</v>
      </c>
      <c r="N2584" s="4">
        <f t="shared" si="1"/>
        <v>43952</v>
      </c>
      <c r="O2584" s="5" t="str">
        <f>IFERROR(__xludf.DUMMYFUNCTION("IF(REGEXMATCH(TRIM(I2584), ""^\d+\s*min""), ""Unclassified"", IF(I2584 = """", ""NR"", I2584))"),"PG")</f>
        <v>PG</v>
      </c>
      <c r="R2584" s="5" t="str">
        <f t="shared" si="2"/>
        <v>Madagascar: Escape 2 Africa</v>
      </c>
      <c r="S2584" s="5" t="str">
        <f>IFERROR(__xludf.DUMMYFUNCTION("""COMPUTED_VALUE"""),"From A To B")</f>
        <v>From A To B</v>
      </c>
      <c r="U2584" s="5" t="str">
        <f>IFERROR(__xludf.DUMMYFUNCTION("""COMPUTED_VALUE"""),"Isaac Florentine")</f>
        <v>Isaac Florentine</v>
      </c>
      <c r="V2584" s="5" t="s">
        <v>2957</v>
      </c>
      <c r="W2584" s="5" t="str">
        <f t="shared" si="3"/>
        <v>Manuel Alcalá</v>
      </c>
      <c r="X2584" s="5">
        <f t="shared" si="4"/>
        <v>1</v>
      </c>
      <c r="Y2584" s="5" t="str">
        <f>IFERROR(__xludf.DUMMYFUNCTION("REGEXEXTRACT(J2584, ""^\d+"")"),"91")</f>
        <v>91</v>
      </c>
      <c r="Z2584" s="5" t="str">
        <f>IFERROR(__xludf.DUMMYFUNCTION("REGEXEXTRACT(J2584, ""[A-Za-z ]+$"")")," min")</f>
        <v> min</v>
      </c>
      <c r="AA2584" s="5" t="str">
        <f>IFERROR(__xludf.DUMMYFUNCTION("IF(REGEXMATCH(Z2584, ""Season""), ""TV Show"", ""Movie"")"),"Movie")</f>
        <v>Movie</v>
      </c>
    </row>
    <row r="2585">
      <c r="A2585" s="1" t="s">
        <v>14519</v>
      </c>
      <c r="B2585" s="1" t="s">
        <v>37</v>
      </c>
      <c r="C2585" s="1" t="s">
        <v>14520</v>
      </c>
      <c r="E2585" s="1" t="s">
        <v>14521</v>
      </c>
      <c r="F2585" s="1" t="s">
        <v>1078</v>
      </c>
      <c r="G2585" s="7">
        <v>43952.0</v>
      </c>
      <c r="H2585" s="1">
        <v>2019.0</v>
      </c>
      <c r="I2585" s="1" t="s">
        <v>206</v>
      </c>
      <c r="J2585" s="1" t="s">
        <v>148</v>
      </c>
      <c r="K2585" s="1" t="s">
        <v>290</v>
      </c>
      <c r="L2585" s="1" t="s">
        <v>14522</v>
      </c>
      <c r="M2585" s="2" t="s">
        <v>12</v>
      </c>
      <c r="N2585" s="4">
        <f t="shared" si="1"/>
        <v>43952</v>
      </c>
      <c r="O2585" s="5" t="str">
        <f>IFERROR(__xludf.DUMMYFUNCTION("IF(REGEXMATCH(TRIM(I2585), ""^\d+\s*min""), ""Unclassified"", IF(I2585 = """", ""NR"", I2585))"),"TV-Y")</f>
        <v>TV-Y</v>
      </c>
      <c r="R2585" s="5" t="str">
        <f t="shared" si="2"/>
        <v>Masha And The Bear</v>
      </c>
      <c r="S2585" s="5" t="str">
        <f>IFERROR(__xludf.DUMMYFUNCTION("""COMPUTED_VALUE"""),"From Dusk Till Dawn")</f>
        <v>From Dusk Till Dawn</v>
      </c>
      <c r="U2585" s="5" t="str">
        <f>IFERROR(__xludf.DUMMYFUNCTION("""COMPUTED_VALUE"""),"Scott Moran")</f>
        <v>Scott Moran</v>
      </c>
      <c r="V2585" s="5" t="s">
        <v>14523</v>
      </c>
      <c r="W2585" s="5" t="str">
        <f t="shared" si="3"/>
        <v>Manuel Martín Cuenca</v>
      </c>
      <c r="X2585" s="5">
        <f t="shared" si="4"/>
        <v>1</v>
      </c>
      <c r="Y2585" s="5" t="str">
        <f>IFERROR(__xludf.DUMMYFUNCTION("REGEXEXTRACT(J2585, ""^\d+"")"),"4")</f>
        <v>4</v>
      </c>
      <c r="Z2585" s="5" t="str">
        <f>IFERROR(__xludf.DUMMYFUNCTION("REGEXEXTRACT(J2585, ""[A-Za-z ]+$"")")," Seasons")</f>
        <v> Seasons</v>
      </c>
      <c r="AA2585" s="5" t="str">
        <f>IFERROR(__xludf.DUMMYFUNCTION("IF(REGEXMATCH(Z2585, ""Season""), ""TV Show"", ""Movie"")"),"TV Show")</f>
        <v>TV Show</v>
      </c>
    </row>
    <row r="2586">
      <c r="A2586" s="1" t="s">
        <v>14524</v>
      </c>
      <c r="B2586" s="1" t="s">
        <v>27</v>
      </c>
      <c r="C2586" s="1" t="s">
        <v>14525</v>
      </c>
      <c r="D2586" s="1" t="s">
        <v>5242</v>
      </c>
      <c r="E2586" s="1" t="s">
        <v>14526</v>
      </c>
      <c r="F2586" s="1" t="s">
        <v>40</v>
      </c>
      <c r="G2586" s="7">
        <v>43952.0</v>
      </c>
      <c r="H2586" s="1">
        <v>2012.0</v>
      </c>
      <c r="I2586" s="1" t="s">
        <v>97</v>
      </c>
      <c r="J2586" s="1" t="s">
        <v>170</v>
      </c>
      <c r="K2586" s="1" t="s">
        <v>583</v>
      </c>
      <c r="L2586" s="1" t="s">
        <v>14527</v>
      </c>
      <c r="M2586" s="2" t="s">
        <v>12</v>
      </c>
      <c r="N2586" s="4">
        <f t="shared" si="1"/>
        <v>43952</v>
      </c>
      <c r="O2586" s="5" t="str">
        <f>IFERROR(__xludf.DUMMYFUNCTION("IF(REGEXMATCH(TRIM(I2586), ""^\d+\s*min""), ""Unclassified"", IF(I2586 = """", ""NR"", I2586))"),"TV-14")</f>
        <v>TV-14</v>
      </c>
      <c r="R2586" s="5" t="str">
        <f t="shared" si="2"/>
        <v>Material</v>
      </c>
      <c r="S2586" s="5" t="str">
        <f>IFERROR(__xludf.DUMMYFUNCTION("""COMPUTED_VALUE"""),"From Japan To Egypt")</f>
        <v>From Japan To Egypt</v>
      </c>
      <c r="U2586" s="5" t="str">
        <f>IFERROR(__xludf.DUMMYFUNCTION("""COMPUTED_VALUE"""),"Santiago Diaz, Pablo Martin Farina")</f>
        <v>Santiago Diaz, Pablo Martin Farina</v>
      </c>
      <c r="V2586" s="5" t="s">
        <v>14528</v>
      </c>
      <c r="W2586" s="5" t="str">
        <f t="shared" si="3"/>
        <v>Mar Targarona</v>
      </c>
      <c r="X2586" s="5">
        <f t="shared" si="4"/>
        <v>2</v>
      </c>
      <c r="Y2586" s="5" t="str">
        <f>IFERROR(__xludf.DUMMYFUNCTION("REGEXEXTRACT(J2586, ""^\d+"")"),"94")</f>
        <v>94</v>
      </c>
      <c r="Z2586" s="5" t="str">
        <f>IFERROR(__xludf.DUMMYFUNCTION("REGEXEXTRACT(J2586, ""[A-Za-z ]+$"")")," min")</f>
        <v> min</v>
      </c>
      <c r="AA2586" s="5" t="str">
        <f>IFERROR(__xludf.DUMMYFUNCTION("IF(REGEXMATCH(Z2586, ""Season""), ""TV Show"", ""Movie"")"),"Movie")</f>
        <v>Movie</v>
      </c>
    </row>
    <row r="2587">
      <c r="A2587" s="1" t="s">
        <v>14529</v>
      </c>
      <c r="B2587" s="1" t="s">
        <v>37</v>
      </c>
      <c r="C2587" s="1" t="s">
        <v>14530</v>
      </c>
      <c r="E2587" s="1" t="s">
        <v>14531</v>
      </c>
      <c r="F2587" s="1" t="s">
        <v>14532</v>
      </c>
      <c r="G2587" s="7">
        <v>43952.0</v>
      </c>
      <c r="H2587" s="1">
        <v>2019.0</v>
      </c>
      <c r="I2587" s="1" t="s">
        <v>42</v>
      </c>
      <c r="J2587" s="1" t="s">
        <v>276</v>
      </c>
      <c r="K2587" s="1" t="s">
        <v>402</v>
      </c>
      <c r="L2587" s="1" t="s">
        <v>14533</v>
      </c>
      <c r="M2587" s="2" t="s">
        <v>12</v>
      </c>
      <c r="N2587" s="4">
        <f t="shared" si="1"/>
        <v>43952</v>
      </c>
      <c r="O2587" s="5" t="str">
        <f>IFERROR(__xludf.DUMMYFUNCTION("IF(REGEXMATCH(TRIM(I2587), ""^\d+\s*min""), ""Unclassified"", IF(I2587 = """", ""NR"", I2587))"),"TV-MA")</f>
        <v>TV-MA</v>
      </c>
      <c r="R2587" s="5" t="str">
        <f t="shared" si="2"/>
        <v>Medici: Masters Of Florence</v>
      </c>
      <c r="S2587" s="5" t="str">
        <f>IFERROR(__xludf.DUMMYFUNCTION("""COMPUTED_VALUE"""),"From One Second To The Next")</f>
        <v>From One Second To The Next</v>
      </c>
      <c r="U2587" s="5" t="str">
        <f>IFERROR(__xludf.DUMMYFUNCTION("""COMPUTED_VALUE"""),"Charles Stone Iii")</f>
        <v>Charles Stone Iii</v>
      </c>
      <c r="V2587" s="5" t="s">
        <v>14534</v>
      </c>
      <c r="W2587" s="5" t="str">
        <f t="shared" si="3"/>
        <v>Marc Abraham</v>
      </c>
      <c r="X2587" s="5">
        <f t="shared" si="4"/>
        <v>1</v>
      </c>
      <c r="Y2587" s="5" t="str">
        <f>IFERROR(__xludf.DUMMYFUNCTION("REGEXEXTRACT(J2587, ""^\d+"")"),"3")</f>
        <v>3</v>
      </c>
      <c r="Z2587" s="5" t="str">
        <f>IFERROR(__xludf.DUMMYFUNCTION("REGEXEXTRACT(J2587, ""[A-Za-z ]+$"")")," Seasons")</f>
        <v> Seasons</v>
      </c>
      <c r="AA2587" s="5" t="str">
        <f>IFERROR(__xludf.DUMMYFUNCTION("IF(REGEXMATCH(Z2587, ""Season""), ""TV Show"", ""Movie"")"),"TV Show")</f>
        <v>TV Show</v>
      </c>
    </row>
    <row r="2588">
      <c r="A2588" s="1" t="s">
        <v>14535</v>
      </c>
      <c r="B2588" s="1" t="s">
        <v>37</v>
      </c>
      <c r="C2588" s="1" t="s">
        <v>14536</v>
      </c>
      <c r="E2588" s="1" t="s">
        <v>14537</v>
      </c>
      <c r="F2588" s="1" t="s">
        <v>415</v>
      </c>
      <c r="G2588" s="7">
        <v>43952.0</v>
      </c>
      <c r="H2588" s="1">
        <v>2014.0</v>
      </c>
      <c r="I2588" s="1" t="s">
        <v>136</v>
      </c>
      <c r="J2588" s="1" t="s">
        <v>51</v>
      </c>
      <c r="K2588" s="1" t="s">
        <v>14538</v>
      </c>
      <c r="L2588" s="1" t="s">
        <v>14539</v>
      </c>
      <c r="M2588" s="2" t="s">
        <v>12</v>
      </c>
      <c r="N2588" s="4">
        <f t="shared" si="1"/>
        <v>43952</v>
      </c>
      <c r="O2588" s="5" t="str">
        <f>IFERROR(__xludf.DUMMYFUNCTION("IF(REGEXMATCH(TRIM(I2588), ""^\d+\s*min""), ""Unclassified"", IF(I2588 = """", ""NR"", I2588))"),"TV-PG")</f>
        <v>TV-PG</v>
      </c>
      <c r="R2588" s="5" t="str">
        <f t="shared" si="2"/>
        <v>Monthly Girls' Nozaki Kun</v>
      </c>
      <c r="S2588" s="5" t="str">
        <f>IFERROR(__xludf.DUMMYFUNCTION("""COMPUTED_VALUE"""),"From Paris With Love")</f>
        <v>From Paris With Love</v>
      </c>
      <c r="U2588" s="5" t="str">
        <f>IFERROR(__xludf.DUMMYFUNCTION("""COMPUTED_VALUE"""),"Matt Angel, Suzanne Coote")</f>
        <v>Matt Angel, Suzanne Coote</v>
      </c>
      <c r="V2588" s="5" t="s">
        <v>14540</v>
      </c>
      <c r="W2588" s="5" t="str">
        <f t="shared" si="3"/>
        <v>Marc Forster</v>
      </c>
      <c r="X2588" s="5">
        <f t="shared" si="4"/>
        <v>3</v>
      </c>
      <c r="Y2588" s="5" t="str">
        <f>IFERROR(__xludf.DUMMYFUNCTION("REGEXEXTRACT(J2588, ""^\d+"")"),"1")</f>
        <v>1</v>
      </c>
      <c r="Z2588" s="5" t="str">
        <f>IFERROR(__xludf.DUMMYFUNCTION("REGEXEXTRACT(J2588, ""[A-Za-z ]+$"")")," Season")</f>
        <v> Season</v>
      </c>
      <c r="AA2588" s="5" t="str">
        <f>IFERROR(__xludf.DUMMYFUNCTION("IF(REGEXMATCH(Z2588, ""Season""), ""TV Show"", ""Movie"")"),"TV Show")</f>
        <v>TV Show</v>
      </c>
    </row>
    <row r="2589">
      <c r="A2589" s="1" t="s">
        <v>14541</v>
      </c>
      <c r="B2589" s="1" t="s">
        <v>27</v>
      </c>
      <c r="C2589" s="1" t="s">
        <v>14542</v>
      </c>
      <c r="D2589" s="1" t="s">
        <v>14543</v>
      </c>
      <c r="E2589" s="1" t="s">
        <v>14544</v>
      </c>
      <c r="F2589" s="1" t="s">
        <v>63</v>
      </c>
      <c r="G2589" s="7">
        <v>43952.0</v>
      </c>
      <c r="H2589" s="1">
        <v>2020.0</v>
      </c>
      <c r="I2589" s="1" t="s">
        <v>42</v>
      </c>
      <c r="J2589" s="1" t="s">
        <v>1256</v>
      </c>
      <c r="K2589" s="1" t="s">
        <v>631</v>
      </c>
      <c r="L2589" s="1" t="s">
        <v>14545</v>
      </c>
      <c r="M2589" s="2" t="s">
        <v>12</v>
      </c>
      <c r="N2589" s="4">
        <f t="shared" si="1"/>
        <v>43952</v>
      </c>
      <c r="O2589" s="5" t="str">
        <f>IFERROR(__xludf.DUMMYFUNCTION("IF(REGEXMATCH(TRIM(I2589), ""^\d+\s*min""), ""Unclassified"", IF(I2589 = """", ""NR"", I2589))"),"TV-MA")</f>
        <v>TV-MA</v>
      </c>
      <c r="R2589" s="5" t="str">
        <f t="shared" si="2"/>
        <v>Mrs. Serial Killer</v>
      </c>
      <c r="S2589" s="5" t="str">
        <f>IFERROR(__xludf.DUMMYFUNCTION("""COMPUTED_VALUE"""),"From Stress To Happiness")</f>
        <v>From Stress To Happiness</v>
      </c>
      <c r="U2589" s="5" t="str">
        <f>IFERROR(__xludf.DUMMYFUNCTION("""COMPUTED_VALUE"""),"Chris Baugh")</f>
        <v>Chris Baugh</v>
      </c>
      <c r="V2589" s="5" t="s">
        <v>9344</v>
      </c>
      <c r="W2589" s="5" t="str">
        <f t="shared" si="3"/>
        <v>Marc Fouchard</v>
      </c>
      <c r="X2589" s="5">
        <f t="shared" si="4"/>
        <v>1</v>
      </c>
      <c r="Y2589" s="5" t="str">
        <f>IFERROR(__xludf.DUMMYFUNCTION("REGEXEXTRACT(J2589, ""^\d+"")"),"107")</f>
        <v>107</v>
      </c>
      <c r="Z2589" s="5" t="str">
        <f>IFERROR(__xludf.DUMMYFUNCTION("REGEXEXTRACT(J2589, ""[A-Za-z ]+$"")")," min")</f>
        <v> min</v>
      </c>
      <c r="AA2589" s="5" t="str">
        <f>IFERROR(__xludf.DUMMYFUNCTION("IF(REGEXMATCH(Z2589, ""Season""), ""TV Show"", ""Movie"")"),"Movie")</f>
        <v>Movie</v>
      </c>
    </row>
    <row r="2590">
      <c r="A2590" s="1" t="s">
        <v>14546</v>
      </c>
      <c r="B2590" s="1" t="s">
        <v>37</v>
      </c>
      <c r="C2590" s="1" t="s">
        <v>14547</v>
      </c>
      <c r="E2590" s="1" t="s">
        <v>14548</v>
      </c>
      <c r="F2590" s="1" t="s">
        <v>1106</v>
      </c>
      <c r="G2590" s="7">
        <v>43952.0</v>
      </c>
      <c r="H2590" s="1">
        <v>2020.0</v>
      </c>
      <c r="I2590" s="1" t="s">
        <v>506</v>
      </c>
      <c r="J2590" s="1" t="s">
        <v>51</v>
      </c>
      <c r="K2590" s="1" t="s">
        <v>314</v>
      </c>
      <c r="L2590" s="1" t="s">
        <v>14549</v>
      </c>
      <c r="M2590" s="2" t="s">
        <v>12</v>
      </c>
      <c r="N2590" s="4">
        <f t="shared" si="1"/>
        <v>43952</v>
      </c>
      <c r="O2590" s="5" t="str">
        <f>IFERROR(__xludf.DUMMYFUNCTION("IF(REGEXMATCH(TRIM(I2590), ""^\d+\s*min""), ""Unclassified"", IF(I2590 = """", ""NR"", I2590))"),"TV-G")</f>
        <v>TV-G</v>
      </c>
      <c r="R2590" s="5" t="str">
        <f t="shared" si="2"/>
        <v>Oh Yuck</v>
      </c>
      <c r="S2590" s="5" t="str">
        <f>IFERROR(__xludf.DUMMYFUNCTION("""COMPUTED_VALUE"""),"Froning: The Fittest Man In History")</f>
        <v>Froning: The Fittest Man In History</v>
      </c>
      <c r="U2590" s="5" t="str">
        <f>IFERROR(__xludf.DUMMYFUNCTION("""COMPUTED_VALUE"""),"Latif Faiziyev, Umesh Mehra")</f>
        <v>Latif Faiziyev, Umesh Mehra</v>
      </c>
      <c r="V2590" s="5" t="s">
        <v>14550</v>
      </c>
      <c r="W2590" s="5" t="str">
        <f t="shared" si="3"/>
        <v>Marc Francis, Max Pugh</v>
      </c>
      <c r="X2590" s="5">
        <f t="shared" si="4"/>
        <v>1</v>
      </c>
      <c r="Y2590" s="5" t="str">
        <f>IFERROR(__xludf.DUMMYFUNCTION("REGEXEXTRACT(J2590, ""^\d+"")"),"1")</f>
        <v>1</v>
      </c>
      <c r="Z2590" s="5" t="str">
        <f>IFERROR(__xludf.DUMMYFUNCTION("REGEXEXTRACT(J2590, ""[A-Za-z ]+$"")")," Season")</f>
        <v> Season</v>
      </c>
      <c r="AA2590" s="5" t="str">
        <f>IFERROR(__xludf.DUMMYFUNCTION("IF(REGEXMATCH(Z2590, ""Season""), ""TV Show"", ""Movie"")"),"TV Show")</f>
        <v>TV Show</v>
      </c>
    </row>
    <row r="2591">
      <c r="A2591" s="1" t="s">
        <v>14551</v>
      </c>
      <c r="B2591" s="1" t="s">
        <v>27</v>
      </c>
      <c r="C2591" s="1" t="s">
        <v>14552</v>
      </c>
      <c r="D2591" s="1" t="s">
        <v>14553</v>
      </c>
      <c r="E2591" s="1" t="s">
        <v>14554</v>
      </c>
      <c r="F2591" s="1" t="s">
        <v>63</v>
      </c>
      <c r="G2591" s="7">
        <v>43952.0</v>
      </c>
      <c r="H2591" s="1">
        <v>2020.0</v>
      </c>
      <c r="I2591" s="1" t="s">
        <v>42</v>
      </c>
      <c r="J2591" s="1" t="s">
        <v>820</v>
      </c>
      <c r="K2591" s="1" t="s">
        <v>1592</v>
      </c>
      <c r="L2591" s="1" t="s">
        <v>14555</v>
      </c>
      <c r="M2591" s="2" t="s">
        <v>12</v>
      </c>
      <c r="N2591" s="4">
        <f t="shared" si="1"/>
        <v>43952</v>
      </c>
      <c r="O2591" s="5" t="str">
        <f>IFERROR(__xludf.DUMMYFUNCTION("IF(REGEXMATCH(TRIM(I2591), ""^\d+\s*min""), ""Unclassified"", IF(I2591 = """", ""NR"", I2591))"),"TV-MA")</f>
        <v>TV-MA</v>
      </c>
      <c r="R2591" s="5" t="str">
        <f t="shared" si="2"/>
        <v>Psycho</v>
      </c>
      <c r="S2591" s="5" t="str">
        <f>IFERROR(__xludf.DUMMYFUNCTION("""COMPUTED_VALUE"""),"Fronteras")</f>
        <v>Fronteras</v>
      </c>
      <c r="U2591" s="5" t="str">
        <f>IFERROR(__xludf.DUMMYFUNCTION("""COMPUTED_VALUE"""),"Rajiv Mehra")</f>
        <v>Rajiv Mehra</v>
      </c>
      <c r="V2591" s="5" t="s">
        <v>14556</v>
      </c>
      <c r="W2591" s="5" t="str">
        <f t="shared" si="3"/>
        <v>Marc Levin</v>
      </c>
      <c r="X2591" s="5">
        <f t="shared" si="4"/>
        <v>1</v>
      </c>
      <c r="Y2591" s="5" t="str">
        <f>IFERROR(__xludf.DUMMYFUNCTION("REGEXEXTRACT(J2591, ""^\d+"")"),"143")</f>
        <v>143</v>
      </c>
      <c r="Z2591" s="5" t="str">
        <f>IFERROR(__xludf.DUMMYFUNCTION("REGEXEXTRACT(J2591, ""[A-Za-z ]+$"")")," min")</f>
        <v> min</v>
      </c>
      <c r="AA2591" s="5" t="str">
        <f>IFERROR(__xludf.DUMMYFUNCTION("IF(REGEXMATCH(Z2591, ""Season""), ""TV Show"", ""Movie"")"),"Movie")</f>
        <v>Movie</v>
      </c>
    </row>
    <row r="2592">
      <c r="A2592" s="1" t="s">
        <v>14557</v>
      </c>
      <c r="B2592" s="1" t="s">
        <v>37</v>
      </c>
      <c r="C2592" s="1" t="s">
        <v>14558</v>
      </c>
      <c r="E2592" s="1" t="s">
        <v>14559</v>
      </c>
      <c r="F2592" s="1" t="s">
        <v>972</v>
      </c>
      <c r="G2592" s="7">
        <v>43952.0</v>
      </c>
      <c r="H2592" s="1">
        <v>2019.0</v>
      </c>
      <c r="I2592" s="1" t="s">
        <v>42</v>
      </c>
      <c r="J2592" s="1" t="s">
        <v>51</v>
      </c>
      <c r="K2592" s="1" t="s">
        <v>1510</v>
      </c>
      <c r="L2592" s="1" t="s">
        <v>14560</v>
      </c>
      <c r="M2592" s="2" t="s">
        <v>12</v>
      </c>
      <c r="N2592" s="4">
        <f t="shared" si="1"/>
        <v>43952</v>
      </c>
      <c r="O2592" s="5" t="str">
        <f>IFERROR(__xludf.DUMMYFUNCTION("IF(REGEXMATCH(TRIM(I2592), ""^\d+\s*min""), ""Unclassified"", IF(I2592 = """", ""NR"", I2592))"),"TV-MA")</f>
        <v>TV-MA</v>
      </c>
      <c r="R2592" s="5" t="str">
        <f t="shared" si="2"/>
        <v>Reckoning</v>
      </c>
      <c r="S2592" s="5" t="str">
        <f>IFERROR(__xludf.DUMMYFUNCTION("""COMPUTED_VALUE"""),"Frontier")</f>
        <v>Frontier</v>
      </c>
      <c r="U2592" s="5" t="str">
        <f>IFERROR(__xludf.DUMMYFUNCTION("""COMPUTED_VALUE"""),"Rhiannon Bannenberg")</f>
        <v>Rhiannon Bannenberg</v>
      </c>
      <c r="V2592" s="5" t="s">
        <v>12262</v>
      </c>
      <c r="W2592" s="5" t="str">
        <f t="shared" si="3"/>
        <v>Marc Meyers</v>
      </c>
      <c r="X2592" s="5">
        <f t="shared" si="4"/>
        <v>1</v>
      </c>
      <c r="Y2592" s="5" t="str">
        <f>IFERROR(__xludf.DUMMYFUNCTION("REGEXEXTRACT(J2592, ""^\d+"")"),"1")</f>
        <v>1</v>
      </c>
      <c r="Z2592" s="5" t="str">
        <f>IFERROR(__xludf.DUMMYFUNCTION("REGEXEXTRACT(J2592, ""[A-Za-z ]+$"")")," Season")</f>
        <v> Season</v>
      </c>
      <c r="AA2592" s="5" t="str">
        <f>IFERROR(__xludf.DUMMYFUNCTION("IF(REGEXMATCH(Z2592, ""Season""), ""TV Show"", ""Movie"")"),"TV Show")</f>
        <v>TV Show</v>
      </c>
    </row>
    <row r="2593">
      <c r="A2593" s="1" t="s">
        <v>14561</v>
      </c>
      <c r="B2593" s="1" t="s">
        <v>27</v>
      </c>
      <c r="C2593" s="1" t="s">
        <v>14562</v>
      </c>
      <c r="D2593" s="1" t="s">
        <v>1402</v>
      </c>
      <c r="E2593" s="1" t="s">
        <v>14563</v>
      </c>
      <c r="F2593" s="1" t="s">
        <v>30</v>
      </c>
      <c r="G2593" s="7">
        <v>43952.0</v>
      </c>
      <c r="H2593" s="1">
        <v>2020.0</v>
      </c>
      <c r="I2593" s="1" t="s">
        <v>32</v>
      </c>
      <c r="J2593" s="1" t="s">
        <v>305</v>
      </c>
      <c r="K2593" s="1" t="s">
        <v>14564</v>
      </c>
      <c r="L2593" s="1" t="s">
        <v>14565</v>
      </c>
      <c r="M2593" s="2" t="s">
        <v>12</v>
      </c>
      <c r="N2593" s="4">
        <f t="shared" si="1"/>
        <v>43952</v>
      </c>
      <c r="O2593" s="5" t="str">
        <f>IFERROR(__xludf.DUMMYFUNCTION("IF(REGEXMATCH(TRIM(I2593), ""^\d+\s*min""), ""Unclassified"", IF(I2593 = """", ""NR"", I2593))"),"PG-13")</f>
        <v>PG-13</v>
      </c>
      <c r="R2593" s="5" t="str">
        <f t="shared" si="2"/>
        <v>The Half Of It</v>
      </c>
      <c r="S2593" s="5" t="str">
        <f>IFERROR(__xludf.DUMMYFUNCTION("""COMPUTED_VALUE"""),"Frozen Planet")</f>
        <v>Frozen Planet</v>
      </c>
      <c r="U2593" s="5" t="str">
        <f>IFERROR(__xludf.DUMMYFUNCTION("""COMPUTED_VALUE"""),"David Mrnka")</f>
        <v>David Mrnka</v>
      </c>
      <c r="V2593" s="5" t="s">
        <v>14566</v>
      </c>
      <c r="W2593" s="5" t="str">
        <f t="shared" si="3"/>
        <v>Marc Vigil</v>
      </c>
      <c r="X2593" s="5">
        <f t="shared" si="4"/>
        <v>1</v>
      </c>
      <c r="Y2593" s="5" t="str">
        <f>IFERROR(__xludf.DUMMYFUNCTION("REGEXEXTRACT(J2593, ""^\d+"")"),"105")</f>
        <v>105</v>
      </c>
      <c r="Z2593" s="5" t="str">
        <f>IFERROR(__xludf.DUMMYFUNCTION("REGEXEXTRACT(J2593, ""[A-Za-z ]+$"")")," min")</f>
        <v> min</v>
      </c>
      <c r="AA2593" s="5" t="str">
        <f>IFERROR(__xludf.DUMMYFUNCTION("IF(REGEXMATCH(Z2593, ""Season""), ""TV Show"", ""Movie"")"),"Movie")</f>
        <v>Movie</v>
      </c>
    </row>
    <row r="2594">
      <c r="A2594" s="1" t="s">
        <v>14567</v>
      </c>
      <c r="B2594" s="1" t="s">
        <v>27</v>
      </c>
      <c r="C2594" s="1" t="s">
        <v>14568</v>
      </c>
      <c r="D2594" s="1" t="s">
        <v>1176</v>
      </c>
      <c r="E2594" s="1" t="s">
        <v>14569</v>
      </c>
      <c r="F2594" s="1" t="s">
        <v>30</v>
      </c>
      <c r="G2594" s="7">
        <v>43952.0</v>
      </c>
      <c r="H2594" s="1">
        <v>2007.0</v>
      </c>
      <c r="I2594" s="1" t="s">
        <v>378</v>
      </c>
      <c r="J2594" s="1" t="s">
        <v>349</v>
      </c>
      <c r="K2594" s="1" t="s">
        <v>813</v>
      </c>
      <c r="L2594" s="1" t="s">
        <v>14570</v>
      </c>
      <c r="M2594" s="2" t="s">
        <v>12</v>
      </c>
      <c r="N2594" s="4">
        <f t="shared" si="1"/>
        <v>43952</v>
      </c>
      <c r="O2594" s="5" t="str">
        <f>IFERROR(__xludf.DUMMYFUNCTION("IF(REGEXMATCH(TRIM(I2594), ""^\d+\s*min""), ""Unclassified"", IF(I2594 = """", ""NR"", I2594))"),"R")</f>
        <v>R</v>
      </c>
      <c r="R2594" s="5" t="str">
        <f t="shared" si="2"/>
        <v>The Heartbreak Kid</v>
      </c>
      <c r="S2594" s="5" t="str">
        <f>IFERROR(__xludf.DUMMYFUNCTION("""COMPUTED_VALUE"""),"Frozen Planet: On Thin Ice")</f>
        <v>Frozen Planet: On Thin Ice</v>
      </c>
      <c r="U2594" s="5" t="str">
        <f>IFERROR(__xludf.DUMMYFUNCTION("""COMPUTED_VALUE"""),"Maya Forbes")</f>
        <v>Maya Forbes</v>
      </c>
      <c r="V2594" s="5" t="s">
        <v>14571</v>
      </c>
      <c r="W2594" s="5" t="str">
        <f t="shared" si="3"/>
        <v>Marcel Barrena</v>
      </c>
      <c r="X2594" s="5">
        <f t="shared" si="4"/>
        <v>1</v>
      </c>
      <c r="Y2594" s="5" t="str">
        <f>IFERROR(__xludf.DUMMYFUNCTION("REGEXEXTRACT(J2594, ""^\d+"")"),"116")</f>
        <v>116</v>
      </c>
      <c r="Z2594" s="5" t="str">
        <f>IFERROR(__xludf.DUMMYFUNCTION("REGEXEXTRACT(J2594, ""[A-Za-z ]+$"")")," min")</f>
        <v> min</v>
      </c>
      <c r="AA2594" s="5" t="str">
        <f>IFERROR(__xludf.DUMMYFUNCTION("IF(REGEXMATCH(Z2594, ""Season""), ""TV Show"", ""Movie"")"),"Movie")</f>
        <v>Movie</v>
      </c>
    </row>
    <row r="2595">
      <c r="A2595" s="1" t="s">
        <v>14572</v>
      </c>
      <c r="B2595" s="1" t="s">
        <v>27</v>
      </c>
      <c r="C2595" s="1" t="s">
        <v>14573</v>
      </c>
      <c r="D2595" s="1" t="s">
        <v>11198</v>
      </c>
      <c r="E2595" s="1" t="s">
        <v>14574</v>
      </c>
      <c r="G2595" s="7">
        <v>43952.0</v>
      </c>
      <c r="H2595" s="1">
        <v>2020.0</v>
      </c>
      <c r="I2595" s="1" t="s">
        <v>206</v>
      </c>
      <c r="J2595" s="1" t="s">
        <v>370</v>
      </c>
      <c r="K2595" s="1" t="s">
        <v>80</v>
      </c>
      <c r="L2595" s="1" t="s">
        <v>14575</v>
      </c>
      <c r="M2595" s="2" t="s">
        <v>12</v>
      </c>
      <c r="N2595" s="4">
        <f t="shared" si="1"/>
        <v>43952</v>
      </c>
      <c r="O2595" s="5" t="str">
        <f>IFERROR(__xludf.DUMMYFUNCTION("IF(REGEXMATCH(TRIM(I2595), ""^\d+\s*min""), ""Unclassified"", IF(I2595 = """", ""NR"", I2595))"),"TV-Y")</f>
        <v>TV-Y</v>
      </c>
      <c r="R2595" s="5" t="str">
        <f t="shared" si="2"/>
        <v>Thomas &amp; Friends: Marvelous Machinery: A New Arrival</v>
      </c>
      <c r="S2595" s="5" t="str">
        <f>IFERROR(__xludf.DUMMYFUNCTION("""COMPUTED_VALUE"""),"Frozen Planet: The Epic Journey")</f>
        <v>Frozen Planet: The Epic Journey</v>
      </c>
      <c r="U2595" s="5" t="str">
        <f>IFERROR(__xludf.DUMMYFUNCTION("""COMPUTED_VALUE"""),"Choi Jin-Seong")</f>
        <v>Choi Jin-Seong</v>
      </c>
      <c r="V2595" s="5" t="s">
        <v>14576</v>
      </c>
      <c r="W2595" s="5" t="str">
        <f t="shared" si="3"/>
        <v>Marcelo Altmark, Mariano Mucci, Luis A. Scalella</v>
      </c>
      <c r="X2595" s="5">
        <f t="shared" si="4"/>
        <v>1</v>
      </c>
      <c r="Y2595" s="5" t="str">
        <f>IFERROR(__xludf.DUMMYFUNCTION("REGEXEXTRACT(J2595, ""^\d+"")"),"23")</f>
        <v>23</v>
      </c>
      <c r="Z2595" s="5" t="str">
        <f>IFERROR(__xludf.DUMMYFUNCTION("REGEXEXTRACT(J2595, ""[A-Za-z ]+$"")")," min")</f>
        <v> min</v>
      </c>
      <c r="AA2595" s="5" t="str">
        <f>IFERROR(__xludf.DUMMYFUNCTION("IF(REGEXMATCH(Z2595, ""Season""), ""TV Show"", ""Movie"")"),"Movie")</f>
        <v>Movie</v>
      </c>
    </row>
    <row r="2596">
      <c r="A2596" s="1" t="s">
        <v>14577</v>
      </c>
      <c r="B2596" s="1" t="s">
        <v>27</v>
      </c>
      <c r="C2596" s="1" t="s">
        <v>14578</v>
      </c>
      <c r="D2596" s="1" t="s">
        <v>11198</v>
      </c>
      <c r="E2596" s="1" t="s">
        <v>14579</v>
      </c>
      <c r="G2596" s="7">
        <v>43952.0</v>
      </c>
      <c r="H2596" s="1">
        <v>2020.0</v>
      </c>
      <c r="I2596" s="1" t="s">
        <v>206</v>
      </c>
      <c r="J2596" s="1" t="s">
        <v>370</v>
      </c>
      <c r="K2596" s="1" t="s">
        <v>80</v>
      </c>
      <c r="L2596" s="1" t="s">
        <v>14580</v>
      </c>
      <c r="M2596" s="2" t="s">
        <v>12</v>
      </c>
      <c r="N2596" s="4">
        <f t="shared" si="1"/>
        <v>43952</v>
      </c>
      <c r="O2596" s="5" t="str">
        <f>IFERROR(__xludf.DUMMYFUNCTION("IF(REGEXMATCH(TRIM(I2596), ""^\d+\s*min""), ""Unclassified"", IF(I2596 = """", ""NR"", I2596))"),"TV-Y")</f>
        <v>TV-Y</v>
      </c>
      <c r="R2596" s="5" t="str">
        <f t="shared" si="2"/>
        <v>Thomas &amp; Friends: Marvelous Machinery: World Of Tomorrow</v>
      </c>
      <c r="S2596" s="5" t="str">
        <f>IFERROR(__xludf.DUMMYFUNCTION("""COMPUTED_VALUE"""),"Frozen River")</f>
        <v>Frozen River</v>
      </c>
      <c r="U2596" s="5" t="str">
        <f>IFERROR(__xludf.DUMMYFUNCTION("""COMPUTED_VALUE"""),"Milind Rau")</f>
        <v>Milind Rau</v>
      </c>
      <c r="V2596" s="5" t="s">
        <v>14581</v>
      </c>
      <c r="W2596" s="5" t="str">
        <f t="shared" si="3"/>
        <v>Marcelo Galvão</v>
      </c>
      <c r="X2596" s="5">
        <f t="shared" si="4"/>
        <v>2</v>
      </c>
      <c r="Y2596" s="5" t="str">
        <f>IFERROR(__xludf.DUMMYFUNCTION("REGEXEXTRACT(J2596, ""^\d+"")"),"23")</f>
        <v>23</v>
      </c>
      <c r="Z2596" s="5" t="str">
        <f>IFERROR(__xludf.DUMMYFUNCTION("REGEXEXTRACT(J2596, ""[A-Za-z ]+$"")")," min")</f>
        <v> min</v>
      </c>
      <c r="AA2596" s="5" t="str">
        <f>IFERROR(__xludf.DUMMYFUNCTION("IF(REGEXMATCH(Z2596, ""Season""), ""TV Show"", ""Movie"")"),"Movie")</f>
        <v>Movie</v>
      </c>
    </row>
    <row r="2597">
      <c r="A2597" s="1" t="s">
        <v>14582</v>
      </c>
      <c r="B2597" s="1" t="s">
        <v>27</v>
      </c>
      <c r="C2597" s="1" t="s">
        <v>14583</v>
      </c>
      <c r="D2597" s="1" t="s">
        <v>11198</v>
      </c>
      <c r="E2597" s="1" t="s">
        <v>14584</v>
      </c>
      <c r="G2597" s="7">
        <v>43952.0</v>
      </c>
      <c r="H2597" s="1">
        <v>2020.0</v>
      </c>
      <c r="I2597" s="1" t="s">
        <v>206</v>
      </c>
      <c r="J2597" s="1" t="s">
        <v>370</v>
      </c>
      <c r="K2597" s="1" t="s">
        <v>80</v>
      </c>
      <c r="L2597" s="1" t="s">
        <v>14585</v>
      </c>
      <c r="M2597" s="2" t="s">
        <v>12</v>
      </c>
      <c r="N2597" s="4">
        <f t="shared" si="1"/>
        <v>43952</v>
      </c>
      <c r="O2597" s="5" t="str">
        <f>IFERROR(__xludf.DUMMYFUNCTION("IF(REGEXMATCH(TRIM(I2597), ""^\d+\s*min""), ""Unclassified"", IF(I2597 = """", ""NR"", I2597))"),"TV-Y")</f>
        <v>TV-Y</v>
      </c>
      <c r="R2597" s="5" t="str">
        <f t="shared" si="2"/>
        <v>Thomas &amp; Friends: Thomas And The Royal Engine</v>
      </c>
      <c r="S2597" s="5" t="str">
        <f>IFERROR(__xludf.DUMMYFUNCTION("""COMPUTED_VALUE"""),"Fruitvale Station")</f>
        <v>Fruitvale Station</v>
      </c>
      <c r="U2597" s="5" t="str">
        <f>IFERROR(__xludf.DUMMYFUNCTION("""COMPUTED_VALUE"""),"Craig Elrod")</f>
        <v>Craig Elrod</v>
      </c>
      <c r="V2597" s="5" t="s">
        <v>14586</v>
      </c>
      <c r="W2597" s="5" t="str">
        <f t="shared" si="3"/>
        <v>Marcelo González</v>
      </c>
      <c r="X2597" s="5">
        <f t="shared" si="4"/>
        <v>1</v>
      </c>
      <c r="Y2597" s="5" t="str">
        <f>IFERROR(__xludf.DUMMYFUNCTION("REGEXEXTRACT(J2597, ""^\d+"")"),"23")</f>
        <v>23</v>
      </c>
      <c r="Z2597" s="5" t="str">
        <f>IFERROR(__xludf.DUMMYFUNCTION("REGEXEXTRACT(J2597, ""[A-Za-z ]+$"")")," min")</f>
        <v> min</v>
      </c>
      <c r="AA2597" s="5" t="str">
        <f>IFERROR(__xludf.DUMMYFUNCTION("IF(REGEXMATCH(Z2597, ""Season""), ""TV Show"", ""Movie"")"),"Movie")</f>
        <v>Movie</v>
      </c>
    </row>
    <row r="2598">
      <c r="A2598" s="1" t="s">
        <v>14587</v>
      </c>
      <c r="B2598" s="1" t="s">
        <v>27</v>
      </c>
      <c r="C2598" s="1" t="s">
        <v>14588</v>
      </c>
      <c r="D2598" s="1" t="s">
        <v>6334</v>
      </c>
      <c r="E2598" s="1" t="s">
        <v>14589</v>
      </c>
      <c r="F2598" s="1" t="s">
        <v>692</v>
      </c>
      <c r="G2598" s="7">
        <v>43952.0</v>
      </c>
      <c r="H2598" s="1">
        <v>2003.0</v>
      </c>
      <c r="I2598" s="1" t="s">
        <v>78</v>
      </c>
      <c r="J2598" s="1" t="s">
        <v>305</v>
      </c>
      <c r="K2598" s="1" t="s">
        <v>137</v>
      </c>
      <c r="L2598" s="1" t="s">
        <v>14590</v>
      </c>
      <c r="M2598" s="2" t="s">
        <v>12</v>
      </c>
      <c r="N2598" s="4">
        <f t="shared" si="1"/>
        <v>43952</v>
      </c>
      <c r="O2598" s="5" t="str">
        <f>IFERROR(__xludf.DUMMYFUNCTION("IF(REGEXMATCH(TRIM(I2598), ""^\d+\s*min""), ""Unclassified"", IF(I2598 = """", ""NR"", I2598))"),"PG")</f>
        <v>PG</v>
      </c>
      <c r="R2598" s="5" t="str">
        <f t="shared" si="2"/>
        <v>What A Girl Wants</v>
      </c>
      <c r="S2598" s="5" t="str">
        <f>IFERROR(__xludf.DUMMYFUNCTION("""COMPUTED_VALUE"""),"Fta")</f>
        <v>Fta</v>
      </c>
      <c r="U2598" s="5" t="str">
        <f>IFERROR(__xludf.DUMMYFUNCTION("""COMPUTED_VALUE"""),"Jose Manuel Colón")</f>
        <v>Jose Manuel Colón</v>
      </c>
      <c r="V2598" s="5" t="s">
        <v>2009</v>
      </c>
      <c r="W2598" s="5" t="str">
        <f t="shared" si="3"/>
        <v>Marcelo Piñeyro</v>
      </c>
      <c r="X2598" s="5">
        <f t="shared" si="4"/>
        <v>1</v>
      </c>
      <c r="Y2598" s="5" t="str">
        <f>IFERROR(__xludf.DUMMYFUNCTION("REGEXEXTRACT(J2598, ""^\d+"")"),"105")</f>
        <v>105</v>
      </c>
      <c r="Z2598" s="5" t="str">
        <f>IFERROR(__xludf.DUMMYFUNCTION("REGEXEXTRACT(J2598, ""[A-Za-z ]+$"")")," min")</f>
        <v> min</v>
      </c>
      <c r="AA2598" s="5" t="str">
        <f>IFERROR(__xludf.DUMMYFUNCTION("IF(REGEXMATCH(Z2598, ""Season""), ""TV Show"", ""Movie"")"),"Movie")</f>
        <v>Movie</v>
      </c>
    </row>
    <row r="2599">
      <c r="A2599" s="1" t="s">
        <v>14591</v>
      </c>
      <c r="B2599" s="1" t="s">
        <v>27</v>
      </c>
      <c r="C2599" s="1" t="s">
        <v>14592</v>
      </c>
      <c r="D2599" s="1" t="s">
        <v>14593</v>
      </c>
      <c r="E2599" s="1" t="s">
        <v>14594</v>
      </c>
      <c r="F2599" s="1" t="s">
        <v>30</v>
      </c>
      <c r="G2599" s="1" t="s">
        <v>14595</v>
      </c>
      <c r="H2599" s="1">
        <v>2020.0</v>
      </c>
      <c r="I2599" s="1" t="s">
        <v>97</v>
      </c>
      <c r="J2599" s="1" t="s">
        <v>247</v>
      </c>
      <c r="K2599" s="1" t="s">
        <v>171</v>
      </c>
      <c r="L2599" s="1" t="s">
        <v>14596</v>
      </c>
      <c r="M2599" s="2" t="s">
        <v>12</v>
      </c>
      <c r="N2599" s="4">
        <f t="shared" si="1"/>
        <v>43951</v>
      </c>
      <c r="O2599" s="5" t="str">
        <f>IFERROR(__xludf.DUMMYFUNCTION("IF(REGEXMATCH(TRIM(I2599), ""^\d+\s*min""), ""Unclassified"", IF(I2599 = """", ""NR"", I2599))"),"TV-14")</f>
        <v>TV-14</v>
      </c>
      <c r="R2599" s="5" t="str">
        <f t="shared" si="2"/>
        <v>Dangerous Lies</v>
      </c>
      <c r="S2599" s="5" t="str">
        <f>IFERROR(__xludf.DUMMYFUNCTION("""COMPUTED_VALUE"""),"Fuga")</f>
        <v>Fuga</v>
      </c>
      <c r="U2599" s="5" t="str">
        <f>IFERROR(__xludf.DUMMYFUNCTION("""COMPUTED_VALUE"""),"Yasuhiro Irie")</f>
        <v>Yasuhiro Irie</v>
      </c>
      <c r="V2599" s="5" t="s">
        <v>14597</v>
      </c>
      <c r="W2599" s="5" t="str">
        <f t="shared" si="3"/>
        <v>Marco Bonfanti</v>
      </c>
      <c r="X2599" s="5">
        <f t="shared" si="4"/>
        <v>1</v>
      </c>
      <c r="Y2599" s="5" t="str">
        <f>IFERROR(__xludf.DUMMYFUNCTION("REGEXEXTRACT(J2599, ""^\d+"")"),"97")</f>
        <v>97</v>
      </c>
      <c r="Z2599" s="5" t="str">
        <f>IFERROR(__xludf.DUMMYFUNCTION("REGEXEXTRACT(J2599, ""[A-Za-z ]+$"")")," min")</f>
        <v> min</v>
      </c>
      <c r="AA2599" s="5" t="str">
        <f>IFERROR(__xludf.DUMMYFUNCTION("IF(REGEXMATCH(Z2599, ""Season""), ""TV Show"", ""Movie"")"),"Movie")</f>
        <v>Movie</v>
      </c>
    </row>
    <row r="2600">
      <c r="A2600" s="1" t="s">
        <v>14598</v>
      </c>
      <c r="B2600" s="1" t="s">
        <v>37</v>
      </c>
      <c r="C2600" s="1" t="s">
        <v>14599</v>
      </c>
      <c r="E2600" s="1" t="s">
        <v>14600</v>
      </c>
      <c r="F2600" s="1" t="s">
        <v>415</v>
      </c>
      <c r="G2600" s="1" t="s">
        <v>14595</v>
      </c>
      <c r="H2600" s="1">
        <v>2020.0</v>
      </c>
      <c r="I2600" s="1" t="s">
        <v>97</v>
      </c>
      <c r="J2600" s="1" t="s">
        <v>51</v>
      </c>
      <c r="K2600" s="1" t="s">
        <v>567</v>
      </c>
      <c r="L2600" s="1" t="s">
        <v>14601</v>
      </c>
      <c r="M2600" s="2" t="s">
        <v>12</v>
      </c>
      <c r="N2600" s="4">
        <f t="shared" si="1"/>
        <v>43951</v>
      </c>
      <c r="O2600" s="5" t="str">
        <f>IFERROR(__xludf.DUMMYFUNCTION("IF(REGEXMATCH(TRIM(I2600), ""^\d+\s*min""), ""Unclassified"", IF(I2600 = """", ""NR"", I2600))"),"TV-14")</f>
        <v>TV-14</v>
      </c>
      <c r="R2600" s="5" t="str">
        <f t="shared" si="2"/>
        <v>Drifting Dragons</v>
      </c>
      <c r="S2600" s="5" t="str">
        <f>IFERROR(__xludf.DUMMYFUNCTION("""COMPUTED_VALUE"""),"Fugitiva")</f>
        <v>Fugitiva</v>
      </c>
      <c r="U2600" s="5" t="str">
        <f>IFERROR(__xludf.DUMMYFUNCTION("""COMPUTED_VALUE"""),"Alethea Jones")</f>
        <v>Alethea Jones</v>
      </c>
      <c r="V2600" s="5" t="s">
        <v>14602</v>
      </c>
      <c r="W2600" s="5" t="str">
        <f t="shared" si="3"/>
        <v>Marco Deufemia, Justin G. Dyck</v>
      </c>
      <c r="X2600" s="5">
        <f t="shared" si="4"/>
        <v>1</v>
      </c>
      <c r="Y2600" s="5" t="str">
        <f>IFERROR(__xludf.DUMMYFUNCTION("REGEXEXTRACT(J2600, ""^\d+"")"),"1")</f>
        <v>1</v>
      </c>
      <c r="Z2600" s="5" t="str">
        <f>IFERROR(__xludf.DUMMYFUNCTION("REGEXEXTRACT(J2600, ""[A-Za-z ]+$"")")," Season")</f>
        <v> Season</v>
      </c>
      <c r="AA2600" s="5" t="str">
        <f>IFERROR(__xludf.DUMMYFUNCTION("IF(REGEXMATCH(Z2600, ""Season""), ""TV Show"", ""Movie"")"),"TV Show")</f>
        <v>TV Show</v>
      </c>
    </row>
    <row r="2601">
      <c r="A2601" s="1" t="s">
        <v>14603</v>
      </c>
      <c r="B2601" s="1" t="s">
        <v>37</v>
      </c>
      <c r="C2601" s="1" t="s">
        <v>14604</v>
      </c>
      <c r="E2601" s="1" t="s">
        <v>14605</v>
      </c>
      <c r="F2601" s="1" t="s">
        <v>14606</v>
      </c>
      <c r="G2601" s="1" t="s">
        <v>14595</v>
      </c>
      <c r="H2601" s="1">
        <v>2019.0</v>
      </c>
      <c r="I2601" s="1" t="s">
        <v>42</v>
      </c>
      <c r="J2601" s="1" t="s">
        <v>1809</v>
      </c>
      <c r="K2601" s="1" t="s">
        <v>785</v>
      </c>
      <c r="L2601" s="1" t="s">
        <v>14607</v>
      </c>
      <c r="M2601" s="2" t="s">
        <v>12</v>
      </c>
      <c r="N2601" s="4">
        <f t="shared" si="1"/>
        <v>43951</v>
      </c>
      <c r="O2601" s="5" t="str">
        <f>IFERROR(__xludf.DUMMYFUNCTION("IF(REGEXMATCH(TRIM(I2601), ""^\d+\s*min""), ""Unclassified"", IF(I2601 = """", ""NR"", I2601))"),"TV-MA")</f>
        <v>TV-MA</v>
      </c>
      <c r="R2601" s="5" t="str">
        <f t="shared" si="2"/>
        <v>El Señor De Los Cielos</v>
      </c>
      <c r="S2601" s="5" t="str">
        <f>IFERROR(__xludf.DUMMYFUNCTION("""COMPUTED_VALUE"""),"Fukrey")</f>
        <v>Fukrey</v>
      </c>
      <c r="U2601" s="5" t="str">
        <f>IFERROR(__xludf.DUMMYFUNCTION("""COMPUTED_VALUE"""),"Jay Baruchel")</f>
        <v>Jay Baruchel</v>
      </c>
      <c r="V2601" s="5" t="s">
        <v>14608</v>
      </c>
      <c r="W2601" s="5" t="str">
        <f t="shared" si="3"/>
        <v>Marco Dutra</v>
      </c>
      <c r="X2601" s="5">
        <f t="shared" si="4"/>
        <v>1</v>
      </c>
      <c r="Y2601" s="5" t="str">
        <f>IFERROR(__xludf.DUMMYFUNCTION("REGEXEXTRACT(J2601, ""^\d+"")"),"7")</f>
        <v>7</v>
      </c>
      <c r="Z2601" s="5" t="str">
        <f>IFERROR(__xludf.DUMMYFUNCTION("REGEXEXTRACT(J2601, ""[A-Za-z ]+$"")")," Seasons")</f>
        <v> Seasons</v>
      </c>
      <c r="AA2601" s="5" t="str">
        <f>IFERROR(__xludf.DUMMYFUNCTION("IF(REGEXMATCH(Z2601, ""Season""), ""TV Show"", ""Movie"")"),"TV Show")</f>
        <v>TV Show</v>
      </c>
    </row>
    <row r="2602">
      <c r="A2602" s="1" t="s">
        <v>14609</v>
      </c>
      <c r="B2602" s="1" t="s">
        <v>37</v>
      </c>
      <c r="C2602" s="1" t="s">
        <v>14610</v>
      </c>
      <c r="E2602" s="1" t="s">
        <v>14611</v>
      </c>
      <c r="F2602" s="1" t="s">
        <v>897</v>
      </c>
      <c r="G2602" s="1" t="s">
        <v>14595</v>
      </c>
      <c r="H2602" s="1">
        <v>2019.0</v>
      </c>
      <c r="I2602" s="1" t="s">
        <v>136</v>
      </c>
      <c r="J2602" s="1" t="s">
        <v>189</v>
      </c>
      <c r="K2602" s="1" t="s">
        <v>2351</v>
      </c>
      <c r="L2602" s="1" t="s">
        <v>14612</v>
      </c>
      <c r="M2602" s="2" t="s">
        <v>12</v>
      </c>
      <c r="N2602" s="4">
        <f t="shared" si="1"/>
        <v>43951</v>
      </c>
      <c r="O2602" s="5" t="str">
        <f>IFERROR(__xludf.DUMMYFUNCTION("IF(REGEXMATCH(TRIM(I2602), ""^\d+\s*min""), ""Unclassified"", IF(I2602 = """", ""NR"", I2602))"),"TV-PG")</f>
        <v>TV-PG</v>
      </c>
      <c r="R2602" s="5" t="str">
        <f t="shared" si="2"/>
        <v>Good Witch</v>
      </c>
      <c r="S2602" s="5" t="str">
        <f>IFERROR(__xludf.DUMMYFUNCTION("""COMPUTED_VALUE"""),"Fukrey Boyzzz")</f>
        <v>Fukrey Boyzzz</v>
      </c>
      <c r="U2602" s="5" t="str">
        <f>IFERROR(__xludf.DUMMYFUNCTION("""COMPUTED_VALUE"""),"Ludovic Bernard")</f>
        <v>Ludovic Bernard</v>
      </c>
      <c r="V2602" s="5" t="s">
        <v>7400</v>
      </c>
      <c r="W2602" s="5" t="str">
        <f t="shared" si="3"/>
        <v>Marco Petry</v>
      </c>
      <c r="X2602" s="5">
        <f t="shared" si="4"/>
        <v>1</v>
      </c>
      <c r="Y2602" s="5" t="str">
        <f>IFERROR(__xludf.DUMMYFUNCTION("REGEXEXTRACT(J2602, ""^\d+"")"),"5")</f>
        <v>5</v>
      </c>
      <c r="Z2602" s="5" t="str">
        <f>IFERROR(__xludf.DUMMYFUNCTION("REGEXEXTRACT(J2602, ""[A-Za-z ]+$"")")," Seasons")</f>
        <v> Seasons</v>
      </c>
      <c r="AA2602" s="5" t="str">
        <f>IFERROR(__xludf.DUMMYFUNCTION("IF(REGEXMATCH(Z2602, ""Season""), ""TV Show"", ""Movie"")"),"TV Show")</f>
        <v>TV Show</v>
      </c>
    </row>
    <row r="2603">
      <c r="A2603" s="1" t="s">
        <v>14613</v>
      </c>
      <c r="B2603" s="1" t="s">
        <v>27</v>
      </c>
      <c r="C2603" s="1" t="s">
        <v>14614</v>
      </c>
      <c r="D2603" s="1" t="s">
        <v>133</v>
      </c>
      <c r="E2603" s="1" t="s">
        <v>14615</v>
      </c>
      <c r="F2603" s="1" t="s">
        <v>1992</v>
      </c>
      <c r="G2603" s="1" t="s">
        <v>14595</v>
      </c>
      <c r="H2603" s="1">
        <v>2020.0</v>
      </c>
      <c r="I2603" s="1" t="s">
        <v>97</v>
      </c>
      <c r="J2603" s="1" t="s">
        <v>305</v>
      </c>
      <c r="K2603" s="1" t="s">
        <v>215</v>
      </c>
      <c r="L2603" s="1" t="s">
        <v>14616</v>
      </c>
      <c r="M2603" s="2" t="s">
        <v>12</v>
      </c>
      <c r="N2603" s="4">
        <f t="shared" si="1"/>
        <v>43951</v>
      </c>
      <c r="O2603" s="5" t="str">
        <f>IFERROR(__xludf.DUMMYFUNCTION("IF(REGEXMATCH(TRIM(I2603), ""^\d+\s*min""), ""Unclassified"", IF(I2603 = """", ""NR"", I2603))"),"TV-14")</f>
        <v>TV-14</v>
      </c>
      <c r="R2603" s="5" t="str">
        <f t="shared" si="2"/>
        <v>Rich In Love</v>
      </c>
      <c r="S2603" s="5" t="str">
        <f>IFERROR(__xludf.DUMMYFUNCTION("""COMPUTED_VALUE"""),"Fukrey Boyzzz: Space Mein Fukrapanti")</f>
        <v>Fukrey Boyzzz: Space Mein Fukrapanti</v>
      </c>
      <c r="U2603" s="5" t="str">
        <f>IFERROR(__xludf.DUMMYFUNCTION("""COMPUTED_VALUE"""),"Noël Wells")</f>
        <v>Noël Wells</v>
      </c>
      <c r="V2603" s="5" t="s">
        <v>8044</v>
      </c>
      <c r="W2603" s="5" t="str">
        <f t="shared" si="3"/>
        <v>Marco Pontecorvo</v>
      </c>
      <c r="X2603" s="5">
        <f t="shared" si="4"/>
        <v>1</v>
      </c>
      <c r="Y2603" s="5" t="str">
        <f>IFERROR(__xludf.DUMMYFUNCTION("REGEXEXTRACT(J2603, ""^\d+"")"),"105")</f>
        <v>105</v>
      </c>
      <c r="Z2603" s="5" t="str">
        <f>IFERROR(__xludf.DUMMYFUNCTION("REGEXEXTRACT(J2603, ""[A-Za-z ]+$"")")," min")</f>
        <v> min</v>
      </c>
      <c r="AA2603" s="5" t="str">
        <f>IFERROR(__xludf.DUMMYFUNCTION("IF(REGEXMATCH(Z2603, ""Season""), ""TV Show"", ""Movie"")"),"Movie")</f>
        <v>Movie</v>
      </c>
    </row>
    <row r="2604">
      <c r="A2604" s="1" t="s">
        <v>14617</v>
      </c>
      <c r="B2604" s="1" t="s">
        <v>37</v>
      </c>
      <c r="C2604" s="1" t="s">
        <v>14618</v>
      </c>
      <c r="D2604" s="1" t="s">
        <v>14619</v>
      </c>
      <c r="E2604" s="1" t="s">
        <v>14620</v>
      </c>
      <c r="F2604" s="1" t="s">
        <v>415</v>
      </c>
      <c r="G2604" s="1" t="s">
        <v>14595</v>
      </c>
      <c r="H2604" s="1">
        <v>2020.0</v>
      </c>
      <c r="I2604" s="1" t="s">
        <v>42</v>
      </c>
      <c r="J2604" s="1" t="s">
        <v>51</v>
      </c>
      <c r="K2604" s="1" t="s">
        <v>1362</v>
      </c>
      <c r="L2604" s="1" t="s">
        <v>14621</v>
      </c>
      <c r="M2604" s="2" t="s">
        <v>12</v>
      </c>
      <c r="N2604" s="4">
        <f t="shared" si="1"/>
        <v>43951</v>
      </c>
      <c r="O2604" s="5" t="str">
        <f>IFERROR(__xludf.DUMMYFUNCTION("IF(REGEXMATCH(TRIM(I2604), ""^\d+\s*min""), ""Unclassified"", IF(I2604 = """", ""NR"", I2604))"),"TV-MA")</f>
        <v>TV-MA</v>
      </c>
      <c r="R2604" s="5" t="str">
        <f t="shared" si="2"/>
        <v>The Forest Of Love: Deep Cut</v>
      </c>
      <c r="S2604" s="5" t="str">
        <f>IFERROR(__xludf.DUMMYFUNCTION("""COMPUTED_VALUE"""),"Full Count")</f>
        <v>Full Count</v>
      </c>
      <c r="U2604" s="5" t="str">
        <f>IFERROR(__xludf.DUMMYFUNCTION("""COMPUTED_VALUE"""),"Patrick Brice")</f>
        <v>Patrick Brice</v>
      </c>
      <c r="V2604" s="5" t="s">
        <v>14622</v>
      </c>
      <c r="W2604" s="5" t="str">
        <f t="shared" si="3"/>
        <v>Marco Risi</v>
      </c>
      <c r="X2604" s="5">
        <f t="shared" si="4"/>
        <v>1</v>
      </c>
      <c r="Y2604" s="5" t="str">
        <f>IFERROR(__xludf.DUMMYFUNCTION("REGEXEXTRACT(J2604, ""^\d+"")"),"1")</f>
        <v>1</v>
      </c>
      <c r="Z2604" s="5" t="str">
        <f>IFERROR(__xludf.DUMMYFUNCTION("REGEXEXTRACT(J2604, ""[A-Za-z ]+$"")")," Season")</f>
        <v> Season</v>
      </c>
      <c r="AA2604" s="5" t="str">
        <f>IFERROR(__xludf.DUMMYFUNCTION("IF(REGEXMATCH(Z2604, ""Season""), ""TV Show"", ""Movie"")"),"TV Show")</f>
        <v>TV Show</v>
      </c>
    </row>
    <row r="2605">
      <c r="A2605" s="1" t="s">
        <v>14623</v>
      </c>
      <c r="B2605" s="1" t="s">
        <v>37</v>
      </c>
      <c r="C2605" s="1" t="s">
        <v>14624</v>
      </c>
      <c r="D2605" s="1" t="s">
        <v>14625</v>
      </c>
      <c r="E2605" s="1" t="s">
        <v>14626</v>
      </c>
      <c r="F2605" s="1" t="s">
        <v>2059</v>
      </c>
      <c r="G2605" s="1" t="s">
        <v>14595</v>
      </c>
      <c r="H2605" s="1">
        <v>2020.0</v>
      </c>
      <c r="I2605" s="1" t="s">
        <v>42</v>
      </c>
      <c r="J2605" s="1" t="s">
        <v>51</v>
      </c>
      <c r="K2605" s="1" t="s">
        <v>1362</v>
      </c>
      <c r="L2605" s="1" t="s">
        <v>14627</v>
      </c>
      <c r="M2605" s="2" t="s">
        <v>12</v>
      </c>
      <c r="N2605" s="4">
        <f t="shared" si="1"/>
        <v>43951</v>
      </c>
      <c r="O2605" s="5" t="str">
        <f>IFERROR(__xludf.DUMMYFUNCTION("IF(REGEXMATCH(TRIM(I2605), ""^\d+\s*min""), ""Unclassified"", IF(I2605 = """", ""NR"", I2605))"),"TV-MA")</f>
        <v>TV-MA</v>
      </c>
      <c r="R2605" s="5" t="str">
        <f t="shared" si="2"/>
        <v>The Victims' Game</v>
      </c>
      <c r="S2605" s="5" t="str">
        <f>IFERROR(__xludf.DUMMYFUNCTION("""COMPUTED_VALUE"""),"Full Out")</f>
        <v>Full Out</v>
      </c>
      <c r="U2605" s="5" t="str">
        <f>IFERROR(__xludf.DUMMYFUNCTION("""COMPUTED_VALUE"""),"Daniel Kontur")</f>
        <v>Daniel Kontur</v>
      </c>
      <c r="V2605" s="5" t="s">
        <v>14628</v>
      </c>
      <c r="W2605" s="5" t="str">
        <f t="shared" si="3"/>
        <v>Marco Schnabel</v>
      </c>
      <c r="X2605" s="5">
        <f t="shared" si="4"/>
        <v>1</v>
      </c>
      <c r="Y2605" s="5" t="str">
        <f>IFERROR(__xludf.DUMMYFUNCTION("REGEXEXTRACT(J2605, ""^\d+"")"),"1")</f>
        <v>1</v>
      </c>
      <c r="Z2605" s="5" t="str">
        <f>IFERROR(__xludf.DUMMYFUNCTION("REGEXEXTRACT(J2605, ""[A-Za-z ]+$"")")," Season")</f>
        <v> Season</v>
      </c>
      <c r="AA2605" s="5" t="str">
        <f>IFERROR(__xludf.DUMMYFUNCTION("IF(REGEXMATCH(Z2605, ""Season""), ""TV Show"", ""Movie"")"),"TV Show")</f>
        <v>TV Show</v>
      </c>
    </row>
    <row r="2606">
      <c r="A2606" s="1" t="s">
        <v>14629</v>
      </c>
      <c r="B2606" s="1" t="s">
        <v>27</v>
      </c>
      <c r="C2606" s="1" t="s">
        <v>14630</v>
      </c>
      <c r="D2606" s="1" t="s">
        <v>4660</v>
      </c>
      <c r="F2606" s="1" t="s">
        <v>30</v>
      </c>
      <c r="G2606" s="1" t="s">
        <v>14631</v>
      </c>
      <c r="H2606" s="1">
        <v>2020.0</v>
      </c>
      <c r="I2606" s="1" t="s">
        <v>97</v>
      </c>
      <c r="J2606" s="1" t="s">
        <v>490</v>
      </c>
      <c r="K2606" s="1" t="s">
        <v>1212</v>
      </c>
      <c r="L2606" s="1" t="s">
        <v>14632</v>
      </c>
      <c r="M2606" s="2" t="s">
        <v>12</v>
      </c>
      <c r="N2606" s="4">
        <f t="shared" si="1"/>
        <v>43950</v>
      </c>
      <c r="O2606" s="5" t="str">
        <f>IFERROR(__xludf.DUMMYFUNCTION("IF(REGEXMATCH(TRIM(I2606), ""^\d+\s*min""), ""Unclassified"", IF(I2606 = """", ""NR"", I2606))"),"TV-14")</f>
        <v>TV-14</v>
      </c>
      <c r="R2606" s="5" t="str">
        <f t="shared" si="2"/>
        <v>A Secret Love</v>
      </c>
      <c r="S2606" s="5" t="str">
        <f>IFERROR(__xludf.DUMMYFUNCTION("""COMPUTED_VALUE"""),"Full Out 2: You Got This!")</f>
        <v>Full Out 2: You Got This!</v>
      </c>
      <c r="U2606" s="5" t="str">
        <f>IFERROR(__xludf.DUMMYFUNCTION("""COMPUTED_VALUE"""),"Diego Kaplan")</f>
        <v>Diego Kaplan</v>
      </c>
      <c r="V2606" s="5" t="s">
        <v>2558</v>
      </c>
      <c r="W2606" s="5" t="str">
        <f t="shared" si="3"/>
        <v>Marcos Bucay</v>
      </c>
      <c r="X2606" s="5">
        <f t="shared" si="4"/>
        <v>2</v>
      </c>
      <c r="Y2606" s="5" t="str">
        <f>IFERROR(__xludf.DUMMYFUNCTION("REGEXEXTRACT(J2606, ""^\d+"")"),"83")</f>
        <v>83</v>
      </c>
      <c r="Z2606" s="5" t="str">
        <f>IFERROR(__xludf.DUMMYFUNCTION("REGEXEXTRACT(J2606, ""[A-Za-z ]+$"")")," min")</f>
        <v> min</v>
      </c>
      <c r="AA2606" s="5" t="str">
        <f>IFERROR(__xludf.DUMMYFUNCTION("IF(REGEXMATCH(Z2606, ""Season""), ""TV Show"", ""Movie"")"),"Movie")</f>
        <v>Movie</v>
      </c>
    </row>
    <row r="2607">
      <c r="A2607" s="1" t="s">
        <v>14633</v>
      </c>
      <c r="B2607" s="1" t="s">
        <v>27</v>
      </c>
      <c r="C2607" s="1" t="s">
        <v>14634</v>
      </c>
      <c r="D2607" s="1" t="s">
        <v>5463</v>
      </c>
      <c r="E2607" s="1" t="s">
        <v>14635</v>
      </c>
      <c r="F2607" s="1" t="s">
        <v>188</v>
      </c>
      <c r="G2607" s="1" t="s">
        <v>14631</v>
      </c>
      <c r="H2607" s="1">
        <v>2016.0</v>
      </c>
      <c r="I2607" s="1" t="s">
        <v>136</v>
      </c>
      <c r="J2607" s="1" t="s">
        <v>1065</v>
      </c>
      <c r="K2607" s="1" t="s">
        <v>128</v>
      </c>
      <c r="L2607" s="1" t="s">
        <v>14636</v>
      </c>
      <c r="M2607" s="2" t="s">
        <v>12</v>
      </c>
      <c r="N2607" s="4">
        <f t="shared" si="1"/>
        <v>43950</v>
      </c>
      <c r="O2607" s="5" t="str">
        <f>IFERROR(__xludf.DUMMYFUNCTION("IF(REGEXMATCH(TRIM(I2607), ""^\d+\s*min""), ""Unclassified"", IF(I2607 = """", ""NR"", I2607))"),"TV-PG")</f>
        <v>TV-PG</v>
      </c>
      <c r="R2607" s="5" t="str">
        <f t="shared" si="2"/>
        <v>Ekşi Elmalar</v>
      </c>
      <c r="S2607" s="5" t="str">
        <f>IFERROR(__xludf.DUMMYFUNCTION("""COMPUTED_VALUE"""),"Fuller House")</f>
        <v>Fuller House</v>
      </c>
      <c r="U2607" s="5" t="str">
        <f>IFERROR(__xludf.DUMMYFUNCTION("""COMPUTED_VALUE"""),"Marco Deufemia, Justin G. Dyck")</f>
        <v>Marco Deufemia, Justin G. Dyck</v>
      </c>
      <c r="V2607" s="5" t="s">
        <v>11669</v>
      </c>
      <c r="W2607" s="5" t="str">
        <f t="shared" si="3"/>
        <v>Marcos Carnevale</v>
      </c>
      <c r="X2607" s="5">
        <f t="shared" si="4"/>
        <v>1</v>
      </c>
      <c r="Y2607" s="5" t="str">
        <f>IFERROR(__xludf.DUMMYFUNCTION("REGEXEXTRACT(J2607, ""^\d+"")"),"109")</f>
        <v>109</v>
      </c>
      <c r="Z2607" s="5" t="str">
        <f>IFERROR(__xludf.DUMMYFUNCTION("REGEXEXTRACT(J2607, ""[A-Za-z ]+$"")")," min")</f>
        <v> min</v>
      </c>
      <c r="AA2607" s="5" t="str">
        <f>IFERROR(__xludf.DUMMYFUNCTION("IF(REGEXMATCH(Z2607, ""Season""), ""TV Show"", ""Movie"")"),"Movie")</f>
        <v>Movie</v>
      </c>
    </row>
    <row r="2608">
      <c r="A2608" s="1" t="s">
        <v>14637</v>
      </c>
      <c r="B2608" s="1" t="s">
        <v>37</v>
      </c>
      <c r="C2608" s="1" t="s">
        <v>14638</v>
      </c>
      <c r="E2608" s="1" t="s">
        <v>14639</v>
      </c>
      <c r="F2608" s="1" t="s">
        <v>749</v>
      </c>
      <c r="G2608" s="1" t="s">
        <v>14631</v>
      </c>
      <c r="H2608" s="1">
        <v>2020.0</v>
      </c>
      <c r="I2608" s="1" t="s">
        <v>42</v>
      </c>
      <c r="J2608" s="1" t="s">
        <v>51</v>
      </c>
      <c r="K2608" s="1" t="s">
        <v>6338</v>
      </c>
      <c r="L2608" s="1" t="s">
        <v>14640</v>
      </c>
      <c r="M2608" s="2" t="s">
        <v>12</v>
      </c>
      <c r="N2608" s="4">
        <f t="shared" si="1"/>
        <v>43950</v>
      </c>
      <c r="O2608" s="5" t="str">
        <f>IFERROR(__xludf.DUMMYFUNCTION("IF(REGEXMATCH(TRIM(I2608), ""^\d+\s*min""), ""Unclassified"", IF(I2608 = """", ""NR"", I2608))"),"TV-MA")</f>
        <v>TV-MA</v>
      </c>
      <c r="R2608" s="5" t="str">
        <f t="shared" si="2"/>
        <v>Extracurricular</v>
      </c>
      <c r="S2608" s="5" t="str">
        <f>IFERROR(__xludf.DUMMYFUNCTION("""COMPUTED_VALUE"""),"Fullmetal Alchemist")</f>
        <v>Fullmetal Alchemist</v>
      </c>
      <c r="U2608" s="5" t="str">
        <f>IFERROR(__xludf.DUMMYFUNCTION("""COMPUTED_VALUE"""),"Lydia Tenaglia")</f>
        <v>Lydia Tenaglia</v>
      </c>
      <c r="V2608" s="5" t="s">
        <v>642</v>
      </c>
      <c r="W2608" s="5" t="str">
        <f t="shared" si="3"/>
        <v>Marcus Clarke</v>
      </c>
      <c r="X2608" s="5">
        <f t="shared" si="4"/>
        <v>1</v>
      </c>
      <c r="Y2608" s="5" t="str">
        <f>IFERROR(__xludf.DUMMYFUNCTION("REGEXEXTRACT(J2608, ""^\d+"")"),"1")</f>
        <v>1</v>
      </c>
      <c r="Z2608" s="5" t="str">
        <f>IFERROR(__xludf.DUMMYFUNCTION("REGEXEXTRACT(J2608, ""[A-Za-z ]+$"")")," Season")</f>
        <v> Season</v>
      </c>
      <c r="AA2608" s="5" t="str">
        <f>IFERROR(__xludf.DUMMYFUNCTION("IF(REGEXMATCH(Z2608, ""Season""), ""TV Show"", ""Movie"")"),"TV Show")</f>
        <v>TV Show</v>
      </c>
    </row>
    <row r="2609">
      <c r="A2609" s="1" t="s">
        <v>14641</v>
      </c>
      <c r="B2609" s="1" t="s">
        <v>27</v>
      </c>
      <c r="C2609" s="1" t="s">
        <v>14642</v>
      </c>
      <c r="D2609" s="1" t="s">
        <v>14643</v>
      </c>
      <c r="E2609" s="1" t="s">
        <v>14644</v>
      </c>
      <c r="F2609" s="1" t="s">
        <v>400</v>
      </c>
      <c r="G2609" s="1" t="s">
        <v>14631</v>
      </c>
      <c r="H2609" s="1">
        <v>2019.0</v>
      </c>
      <c r="I2609" s="1" t="s">
        <v>97</v>
      </c>
      <c r="J2609" s="1" t="s">
        <v>264</v>
      </c>
      <c r="K2609" s="1" t="s">
        <v>583</v>
      </c>
      <c r="L2609" s="1" t="s">
        <v>14645</v>
      </c>
      <c r="M2609" s="2" t="s">
        <v>12</v>
      </c>
      <c r="N2609" s="4">
        <f t="shared" si="1"/>
        <v>43950</v>
      </c>
      <c r="O2609" s="5" t="str">
        <f>IFERROR(__xludf.DUMMYFUNCTION("IF(REGEXMATCH(TRIM(I2609), ""^\d+\s*min""), ""Unclassified"", IF(I2609 = """", ""NR"", I2609))"),"TV-14")</f>
        <v>TV-14</v>
      </c>
      <c r="R2609" s="5" t="str">
        <f t="shared" si="2"/>
        <v>Love Is War</v>
      </c>
      <c r="S2609" s="5" t="str">
        <f>IFERROR(__xludf.DUMMYFUNCTION("""COMPUTED_VALUE"""),"Fullmetal Alchemist: Brotherhood")</f>
        <v>Fullmetal Alchemist: Brotherhood</v>
      </c>
      <c r="U2609" s="5" t="str">
        <f>IFERROR(__xludf.DUMMYFUNCTION("""COMPUTED_VALUE"""),"Varun Narvekar")</f>
        <v>Varun Narvekar</v>
      </c>
      <c r="V2609" s="5" t="s">
        <v>14646</v>
      </c>
      <c r="W2609" s="5" t="str">
        <f t="shared" si="3"/>
        <v>Marcus Nispel</v>
      </c>
      <c r="X2609" s="5">
        <f t="shared" si="4"/>
        <v>1</v>
      </c>
      <c r="Y2609" s="5" t="str">
        <f>IFERROR(__xludf.DUMMYFUNCTION("REGEXEXTRACT(J2609, ""^\d+"")"),"111")</f>
        <v>111</v>
      </c>
      <c r="Z2609" s="5" t="str">
        <f>IFERROR(__xludf.DUMMYFUNCTION("REGEXEXTRACT(J2609, ""[A-Za-z ]+$"")")," min")</f>
        <v> min</v>
      </c>
      <c r="AA2609" s="5" t="str">
        <f>IFERROR(__xludf.DUMMYFUNCTION("IF(REGEXMATCH(Z2609, ""Season""), ""TV Show"", ""Movie"")"),"Movie")</f>
        <v>Movie</v>
      </c>
    </row>
    <row r="2610">
      <c r="A2610" s="1" t="s">
        <v>14647</v>
      </c>
      <c r="B2610" s="1" t="s">
        <v>27</v>
      </c>
      <c r="C2610" s="1" t="s">
        <v>14648</v>
      </c>
      <c r="F2610" s="1" t="s">
        <v>30</v>
      </c>
      <c r="G2610" s="1" t="s">
        <v>14631</v>
      </c>
      <c r="H2610" s="1">
        <v>2020.0</v>
      </c>
      <c r="I2610" s="1" t="s">
        <v>42</v>
      </c>
      <c r="J2610" s="1" t="s">
        <v>247</v>
      </c>
      <c r="K2610" s="1" t="s">
        <v>34</v>
      </c>
      <c r="L2610" s="1" t="s">
        <v>14649</v>
      </c>
      <c r="M2610" s="2" t="s">
        <v>12</v>
      </c>
      <c r="N2610" s="4">
        <f t="shared" si="1"/>
        <v>43950</v>
      </c>
      <c r="O2610" s="5" t="str">
        <f>IFERROR(__xludf.DUMMYFUNCTION("IF(REGEXMATCH(TRIM(I2610), ""^\d+\s*min""), ""Unclassified"", IF(I2610 = """", ""NR"", I2610))"),"TV-MA")</f>
        <v>TV-MA</v>
      </c>
      <c r="R2610" s="5" t="str">
        <f t="shared" si="2"/>
        <v>Murder To Mercy: The Cyntoia Brown Story</v>
      </c>
      <c r="S2610" s="5" t="str">
        <f>IFERROR(__xludf.DUMMYFUNCTION("""COMPUTED_VALUE"""),"Fun Mom Dinner")</f>
        <v>Fun Mom Dinner</v>
      </c>
      <c r="U2610" s="5" t="str">
        <f>IFERROR(__xludf.DUMMYFUNCTION("""COMPUTED_VALUE"""),"Seth Henrikson")</f>
        <v>Seth Henrikson</v>
      </c>
      <c r="V2610" s="5" t="s">
        <v>14140</v>
      </c>
      <c r="W2610" s="5" t="str">
        <f t="shared" si="3"/>
        <v>Marcus Raboy</v>
      </c>
      <c r="X2610" s="5">
        <f t="shared" si="4"/>
        <v>16</v>
      </c>
      <c r="Y2610" s="5" t="str">
        <f>IFERROR(__xludf.DUMMYFUNCTION("REGEXEXTRACT(J2610, ""^\d+"")"),"97")</f>
        <v>97</v>
      </c>
      <c r="Z2610" s="5" t="str">
        <f>IFERROR(__xludf.DUMMYFUNCTION("REGEXEXTRACT(J2610, ""[A-Za-z ]+$"")")," min")</f>
        <v> min</v>
      </c>
      <c r="AA2610" s="5" t="str">
        <f>IFERROR(__xludf.DUMMYFUNCTION("IF(REGEXMATCH(Z2610, ""Season""), ""TV Show"", ""Movie"")"),"Movie")</f>
        <v>Movie</v>
      </c>
    </row>
    <row r="2611">
      <c r="A2611" s="1" t="s">
        <v>14650</v>
      </c>
      <c r="B2611" s="1" t="s">
        <v>37</v>
      </c>
      <c r="C2611" s="1" t="s">
        <v>14651</v>
      </c>
      <c r="E2611" s="1" t="s">
        <v>7766</v>
      </c>
      <c r="F2611" s="1" t="s">
        <v>96</v>
      </c>
      <c r="G2611" s="1" t="s">
        <v>14631</v>
      </c>
      <c r="H2611" s="1">
        <v>2020.0</v>
      </c>
      <c r="I2611" s="1" t="s">
        <v>506</v>
      </c>
      <c r="J2611" s="1" t="s">
        <v>51</v>
      </c>
      <c r="K2611" s="1" t="s">
        <v>2382</v>
      </c>
      <c r="L2611" s="1" t="s">
        <v>14652</v>
      </c>
      <c r="M2611" s="2" t="s">
        <v>12</v>
      </c>
      <c r="N2611" s="4">
        <f t="shared" si="1"/>
        <v>43950</v>
      </c>
      <c r="O2611" s="5" t="str">
        <f>IFERROR(__xludf.DUMMYFUNCTION("IF(REGEXMATCH(TRIM(I2611), ""^\d+\s*min""), ""Unclassified"", IF(I2611 = """", ""NR"", I2611))"),"TV-G")</f>
        <v>TV-G</v>
      </c>
      <c r="R2611" s="5" t="str">
        <f t="shared" si="2"/>
        <v>Nadiya’S Time To Eat</v>
      </c>
      <c r="S2611" s="5" t="str">
        <f>IFERROR(__xludf.DUMMYFUNCTION("""COMPUTED_VALUE"""),"Fun With Dick &amp; Jane")</f>
        <v>Fun With Dick &amp; Jane</v>
      </c>
      <c r="U2611" s="5" t="str">
        <f>IFERROR(__xludf.DUMMYFUNCTION("""COMPUTED_VALUE"""),"Benson Lee")</f>
        <v>Benson Lee</v>
      </c>
      <c r="V2611" s="5" t="s">
        <v>14653</v>
      </c>
      <c r="W2611" s="5" t="str">
        <f t="shared" si="3"/>
        <v>Marek Kanievska</v>
      </c>
      <c r="X2611" s="5">
        <f t="shared" si="4"/>
        <v>1</v>
      </c>
      <c r="Y2611" s="5" t="str">
        <f>IFERROR(__xludf.DUMMYFUNCTION("REGEXEXTRACT(J2611, ""^\d+"")"),"1")</f>
        <v>1</v>
      </c>
      <c r="Z2611" s="5" t="str">
        <f>IFERROR(__xludf.DUMMYFUNCTION("REGEXEXTRACT(J2611, ""[A-Za-z ]+$"")")," Season")</f>
        <v> Season</v>
      </c>
      <c r="AA2611" s="5" t="str">
        <f>IFERROR(__xludf.DUMMYFUNCTION("IF(REGEXMATCH(Z2611, ""Season""), ""TV Show"", ""Movie"")"),"TV Show")</f>
        <v>TV Show</v>
      </c>
    </row>
    <row r="2612">
      <c r="A2612" s="1" t="s">
        <v>14654</v>
      </c>
      <c r="B2612" s="1" t="s">
        <v>27</v>
      </c>
      <c r="C2612" s="1" t="s">
        <v>14655</v>
      </c>
      <c r="D2612" s="1" t="s">
        <v>14656</v>
      </c>
      <c r="E2612" s="1" t="s">
        <v>14657</v>
      </c>
      <c r="F2612" s="1" t="s">
        <v>63</v>
      </c>
      <c r="G2612" s="1" t="s">
        <v>14631</v>
      </c>
      <c r="H2612" s="1">
        <v>2019.0</v>
      </c>
      <c r="I2612" s="1" t="s">
        <v>97</v>
      </c>
      <c r="J2612" s="1" t="s">
        <v>2505</v>
      </c>
      <c r="K2612" s="1" t="s">
        <v>617</v>
      </c>
      <c r="L2612" s="1" t="s">
        <v>14658</v>
      </c>
      <c r="M2612" s="2" t="s">
        <v>12</v>
      </c>
      <c r="N2612" s="4">
        <f t="shared" si="1"/>
        <v>43950</v>
      </c>
      <c r="O2612" s="5" t="str">
        <f>IFERROR(__xludf.DUMMYFUNCTION("IF(REGEXMATCH(TRIM(I2612), ""^\d+\s*min""), ""Unclassified"", IF(I2612 = """", ""NR"", I2612))"),"TV-14")</f>
        <v>TV-14</v>
      </c>
      <c r="R2612" s="5" t="str">
        <f t="shared" si="2"/>
        <v>R.K.Nagar</v>
      </c>
      <c r="S2612" s="5" t="str">
        <f>IFERROR(__xludf.DUMMYFUNCTION("""COMPUTED_VALUE"""),"Funan")</f>
        <v>Funan</v>
      </c>
      <c r="U2612" s="5" t="str">
        <f>IFERROR(__xludf.DUMMYFUNCTION("""COMPUTED_VALUE"""),"Umesh Mehra")</f>
        <v>Umesh Mehra</v>
      </c>
      <c r="V2612" s="5" t="s">
        <v>14659</v>
      </c>
      <c r="W2612" s="5" t="str">
        <f t="shared" si="3"/>
        <v>Marek Losey</v>
      </c>
      <c r="X2612" s="5">
        <f t="shared" si="4"/>
        <v>1</v>
      </c>
      <c r="Y2612" s="5" t="str">
        <f>IFERROR(__xludf.DUMMYFUNCTION("REGEXEXTRACT(J2612, ""^\d+"")"),"132")</f>
        <v>132</v>
      </c>
      <c r="Z2612" s="5" t="str">
        <f>IFERROR(__xludf.DUMMYFUNCTION("REGEXEXTRACT(J2612, ""[A-Za-z ]+$"")")," min")</f>
        <v> min</v>
      </c>
      <c r="AA2612" s="5" t="str">
        <f>IFERROR(__xludf.DUMMYFUNCTION("IF(REGEXMATCH(Z2612, ""Season""), ""TV Show"", ""Movie"")"),"Movie")</f>
        <v>Movie</v>
      </c>
    </row>
    <row r="2613">
      <c r="A2613" s="1" t="s">
        <v>14660</v>
      </c>
      <c r="B2613" s="1" t="s">
        <v>37</v>
      </c>
      <c r="C2613" s="1" t="s">
        <v>14661</v>
      </c>
      <c r="E2613" s="1" t="s">
        <v>14662</v>
      </c>
      <c r="F2613" s="1" t="s">
        <v>40</v>
      </c>
      <c r="G2613" s="1" t="s">
        <v>14631</v>
      </c>
      <c r="H2613" s="1">
        <v>2017.0</v>
      </c>
      <c r="I2613" s="1" t="s">
        <v>42</v>
      </c>
      <c r="J2613" s="1" t="s">
        <v>43</v>
      </c>
      <c r="K2613" s="1" t="s">
        <v>402</v>
      </c>
      <c r="L2613" s="1" t="s">
        <v>14663</v>
      </c>
      <c r="M2613" s="2" t="s">
        <v>12</v>
      </c>
      <c r="N2613" s="4">
        <f t="shared" si="1"/>
        <v>43950</v>
      </c>
      <c r="O2613" s="5" t="str">
        <f>IFERROR(__xludf.DUMMYFUNCTION("IF(REGEXMATCH(TRIM(I2613), ""^\d+\s*min""), ""Unclassified"", IF(I2613 = """", ""NR"", I2613))"),"TV-MA")</f>
        <v>TV-MA</v>
      </c>
      <c r="R2613" s="5" t="str">
        <f t="shared" si="2"/>
        <v>Tjovitjo</v>
      </c>
      <c r="S2613" s="5" t="str">
        <f>IFERROR(__xludf.DUMMYFUNCTION("""COMPUTED_VALUE"""),"Functional Fitness")</f>
        <v>Functional Fitness</v>
      </c>
      <c r="U2613" s="5" t="str">
        <f>IFERROR(__xludf.DUMMYFUNCTION("""COMPUTED_VALUE"""),"Drew Heriot")</f>
        <v>Drew Heriot</v>
      </c>
      <c r="V2613" s="5" t="s">
        <v>14664</v>
      </c>
      <c r="W2613" s="5" t="str">
        <f t="shared" si="3"/>
        <v>Marek Piwowski</v>
      </c>
      <c r="X2613" s="5">
        <f t="shared" si="4"/>
        <v>1</v>
      </c>
      <c r="Y2613" s="5" t="str">
        <f>IFERROR(__xludf.DUMMYFUNCTION("REGEXEXTRACT(J2613, ""^\d+"")"),"2")</f>
        <v>2</v>
      </c>
      <c r="Z2613" s="5" t="str">
        <f>IFERROR(__xludf.DUMMYFUNCTION("REGEXEXTRACT(J2613, ""[A-Za-z ]+$"")")," Seasons")</f>
        <v> Seasons</v>
      </c>
      <c r="AA2613" s="5" t="str">
        <f>IFERROR(__xludf.DUMMYFUNCTION("IF(REGEXMATCH(Z2613, ""Season""), ""TV Show"", ""Movie"")"),"TV Show")</f>
        <v>TV Show</v>
      </c>
    </row>
    <row r="2614">
      <c r="A2614" s="1" t="s">
        <v>14665</v>
      </c>
      <c r="B2614" s="1" t="s">
        <v>27</v>
      </c>
      <c r="C2614" s="1" t="s">
        <v>14666</v>
      </c>
      <c r="D2614" s="1" t="s">
        <v>14667</v>
      </c>
      <c r="E2614" s="1" t="s">
        <v>14668</v>
      </c>
      <c r="F2614" s="1" t="s">
        <v>188</v>
      </c>
      <c r="G2614" s="1" t="s">
        <v>14669</v>
      </c>
      <c r="H2614" s="1">
        <v>2006.0</v>
      </c>
      <c r="I2614" s="1" t="s">
        <v>42</v>
      </c>
      <c r="J2614" s="1" t="s">
        <v>447</v>
      </c>
      <c r="K2614" s="1" t="s">
        <v>583</v>
      </c>
      <c r="L2614" s="1" t="s">
        <v>14670</v>
      </c>
      <c r="M2614" s="2" t="s">
        <v>12</v>
      </c>
      <c r="N2614" s="4">
        <f t="shared" si="1"/>
        <v>43949</v>
      </c>
      <c r="O2614" s="5" t="str">
        <f>IFERROR(__xludf.DUMMYFUNCTION("IF(REGEXMATCH(TRIM(I2614), ""^\d+\s*min""), ""Unclassified"", IF(I2614 = """", ""NR"", I2614))"),"TV-MA")</f>
        <v>TV-MA</v>
      </c>
      <c r="R2614" s="5" t="str">
        <f t="shared" si="2"/>
        <v>Beynelmilel</v>
      </c>
      <c r="S2614" s="5" t="str">
        <f>IFERROR(__xludf.DUMMYFUNCTION("""COMPUTED_VALUE"""),"Funny Boy")</f>
        <v>Funny Boy</v>
      </c>
      <c r="U2614" s="5" t="str">
        <f>IFERROR(__xludf.DUMMYFUNCTION("""COMPUTED_VALUE"""),"Joel Crawford")</f>
        <v>Joel Crawford</v>
      </c>
      <c r="V2614" s="5" t="s">
        <v>14671</v>
      </c>
      <c r="W2614" s="5" t="str">
        <f t="shared" si="3"/>
        <v>Maria Burton</v>
      </c>
      <c r="X2614" s="5">
        <f t="shared" si="4"/>
        <v>1</v>
      </c>
      <c r="Y2614" s="5" t="str">
        <f>IFERROR(__xludf.DUMMYFUNCTION("REGEXEXTRACT(J2614, ""^\d+"")"),"102")</f>
        <v>102</v>
      </c>
      <c r="Z2614" s="5" t="str">
        <f>IFERROR(__xludf.DUMMYFUNCTION("REGEXEXTRACT(J2614, ""[A-Za-z ]+$"")")," min")</f>
        <v> min</v>
      </c>
      <c r="AA2614" s="5" t="str">
        <f>IFERROR(__xludf.DUMMYFUNCTION("IF(REGEXMATCH(Z2614, ""Season""), ""TV Show"", ""Movie"")"),"Movie")</f>
        <v>Movie</v>
      </c>
    </row>
    <row r="2615">
      <c r="A2615" s="1" t="s">
        <v>14672</v>
      </c>
      <c r="B2615" s="1" t="s">
        <v>27</v>
      </c>
      <c r="C2615" s="1" t="s">
        <v>14673</v>
      </c>
      <c r="D2615" s="1" t="s">
        <v>14674</v>
      </c>
      <c r="E2615" s="1" t="s">
        <v>14675</v>
      </c>
      <c r="F2615" s="1" t="s">
        <v>14676</v>
      </c>
      <c r="G2615" s="1" t="s">
        <v>14669</v>
      </c>
      <c r="H2615" s="1">
        <v>2016.0</v>
      </c>
      <c r="I2615" s="1" t="s">
        <v>42</v>
      </c>
      <c r="J2615" s="1" t="s">
        <v>1256</v>
      </c>
      <c r="K2615" s="1" t="s">
        <v>1328</v>
      </c>
      <c r="L2615" s="1" t="s">
        <v>14677</v>
      </c>
      <c r="M2615" s="2" t="s">
        <v>12</v>
      </c>
      <c r="N2615" s="4">
        <f t="shared" si="1"/>
        <v>43949</v>
      </c>
      <c r="O2615" s="5" t="str">
        <f>IFERROR(__xludf.DUMMYFUNCTION("IF(REGEXMATCH(TRIM(I2615), ""^\d+\s*min""), ""Unclassified"", IF(I2615 = """", ""NR"", I2615))"),"TV-MA")</f>
        <v>TV-MA</v>
      </c>
      <c r="R2615" s="5" t="str">
        <f t="shared" si="2"/>
        <v>Bir Baba Hindu</v>
      </c>
      <c r="S2615" s="5" t="str">
        <f>IFERROR(__xludf.DUMMYFUNCTION("""COMPUTED_VALUE"""),"Furie")</f>
        <v>Furie</v>
      </c>
      <c r="U2615" s="5" t="str">
        <f>IFERROR(__xludf.DUMMYFUNCTION("""COMPUTED_VALUE"""),"Michael Barrett")</f>
        <v>Michael Barrett</v>
      </c>
      <c r="V2615" s="5" t="s">
        <v>14678</v>
      </c>
      <c r="W2615" s="5" t="str">
        <f t="shared" si="3"/>
        <v>Maria Demeshkina Peek</v>
      </c>
      <c r="X2615" s="5">
        <f t="shared" si="4"/>
        <v>1</v>
      </c>
      <c r="Y2615" s="5" t="str">
        <f>IFERROR(__xludf.DUMMYFUNCTION("REGEXEXTRACT(J2615, ""^\d+"")"),"107")</f>
        <v>107</v>
      </c>
      <c r="Z2615" s="5" t="str">
        <f>IFERROR(__xludf.DUMMYFUNCTION("REGEXEXTRACT(J2615, ""[A-Za-z ]+$"")")," min")</f>
        <v> min</v>
      </c>
      <c r="AA2615" s="5" t="str">
        <f>IFERROR(__xludf.DUMMYFUNCTION("IF(REGEXMATCH(Z2615, ""Season""), ""TV Show"", ""Movie"")"),"Movie")</f>
        <v>Movie</v>
      </c>
    </row>
    <row r="2616">
      <c r="A2616" s="1" t="s">
        <v>14679</v>
      </c>
      <c r="B2616" s="1" t="s">
        <v>27</v>
      </c>
      <c r="C2616" s="1" t="s">
        <v>14680</v>
      </c>
      <c r="D2616" s="1" t="s">
        <v>652</v>
      </c>
      <c r="E2616" s="1" t="s">
        <v>14681</v>
      </c>
      <c r="F2616" s="1" t="s">
        <v>3309</v>
      </c>
      <c r="G2616" s="1" t="s">
        <v>14669</v>
      </c>
      <c r="H2616" s="1">
        <v>2008.0</v>
      </c>
      <c r="I2616" s="1" t="s">
        <v>42</v>
      </c>
      <c r="J2616" s="1" t="s">
        <v>433</v>
      </c>
      <c r="K2616" s="1" t="s">
        <v>199</v>
      </c>
      <c r="L2616" s="1" t="s">
        <v>14682</v>
      </c>
      <c r="M2616" s="2" t="s">
        <v>12</v>
      </c>
      <c r="N2616" s="4">
        <f t="shared" si="1"/>
        <v>43949</v>
      </c>
      <c r="O2616" s="5" t="str">
        <f>IFERROR(__xludf.DUMMYFUNCTION("IF(REGEXMATCH(TRIM(I2616), ""^\d+\s*min""), ""Unclassified"", IF(I2616 = """", ""NR"", I2616))"),"TV-MA")</f>
        <v>TV-MA</v>
      </c>
      <c r="R2616" s="5" t="str">
        <f t="shared" si="2"/>
        <v>Boushkash</v>
      </c>
      <c r="S2616" s="5" t="str">
        <f>IFERROR(__xludf.DUMMYFUNCTION("""COMPUTED_VALUE"""),"Furthest Witness")</f>
        <v>Furthest Witness</v>
      </c>
      <c r="U2616" s="5" t="str">
        <f>IFERROR(__xludf.DUMMYFUNCTION("""COMPUTED_VALUE"""),"Evan Spiridellis, Jeff Gill")</f>
        <v>Evan Spiridellis, Jeff Gill</v>
      </c>
      <c r="V2616" s="5" t="s">
        <v>14683</v>
      </c>
      <c r="W2616" s="5" t="str">
        <f t="shared" si="3"/>
        <v>María Jose Cuevas</v>
      </c>
      <c r="X2616" s="5">
        <f t="shared" si="4"/>
        <v>1</v>
      </c>
      <c r="Y2616" s="5" t="str">
        <f>IFERROR(__xludf.DUMMYFUNCTION("REGEXEXTRACT(J2616, ""^\d+"")"),"100")</f>
        <v>100</v>
      </c>
      <c r="Z2616" s="5" t="str">
        <f>IFERROR(__xludf.DUMMYFUNCTION("REGEXEXTRACT(J2616, ""[A-Za-z ]+$"")")," min")</f>
        <v> min</v>
      </c>
      <c r="AA2616" s="5" t="str">
        <f>IFERROR(__xludf.DUMMYFUNCTION("IF(REGEXMATCH(Z2616, ""Season""), ""TV Show"", ""Movie"")"),"Movie")</f>
        <v>Movie</v>
      </c>
    </row>
    <row r="2617">
      <c r="A2617" s="1" t="s">
        <v>14684</v>
      </c>
      <c r="B2617" s="1" t="s">
        <v>27</v>
      </c>
      <c r="C2617" s="1" t="s">
        <v>14685</v>
      </c>
      <c r="D2617" s="1" t="s">
        <v>8960</v>
      </c>
      <c r="E2617" s="1" t="s">
        <v>14686</v>
      </c>
      <c r="F2617" s="1" t="s">
        <v>188</v>
      </c>
      <c r="G2617" s="1" t="s">
        <v>14669</v>
      </c>
      <c r="H2617" s="1">
        <v>2011.0</v>
      </c>
      <c r="I2617" s="1" t="s">
        <v>97</v>
      </c>
      <c r="J2617" s="1" t="s">
        <v>379</v>
      </c>
      <c r="K2617" s="1" t="s">
        <v>583</v>
      </c>
      <c r="L2617" s="1" t="s">
        <v>14687</v>
      </c>
      <c r="M2617" s="2" t="s">
        <v>12</v>
      </c>
      <c r="N2617" s="4">
        <f t="shared" si="1"/>
        <v>43949</v>
      </c>
      <c r="O2617" s="5" t="str">
        <f>IFERROR(__xludf.DUMMYFUNCTION("IF(REGEXMATCH(TRIM(I2617), ""^\d+\s*min""), ""Unclassified"", IF(I2617 = """", ""NR"", I2617))"),"TV-14")</f>
        <v>TV-14</v>
      </c>
      <c r="R2617" s="5" t="str">
        <f t="shared" si="2"/>
        <v>Cinar Agaci</v>
      </c>
      <c r="S2617" s="9" t="str">
        <f>IFERROR(__xludf.DUMMYFUNCTION("""COMPUTED_VALUE"""),"Futmalls.Com")</f>
        <v>Futmalls.Com</v>
      </c>
      <c r="U2617" s="5" t="str">
        <f>IFERROR(__xludf.DUMMYFUNCTION("""COMPUTED_VALUE"""),"Leopoldo Aguilar")</f>
        <v>Leopoldo Aguilar</v>
      </c>
      <c r="V2617" s="5" t="s">
        <v>5821</v>
      </c>
      <c r="W2617" s="5" t="str">
        <f t="shared" si="3"/>
        <v>Maria Pulera</v>
      </c>
      <c r="X2617" s="5">
        <f t="shared" si="4"/>
        <v>1</v>
      </c>
      <c r="Y2617" s="5" t="str">
        <f>IFERROR(__xludf.DUMMYFUNCTION("REGEXEXTRACT(J2617, ""^\d+"")"),"115")</f>
        <v>115</v>
      </c>
      <c r="Z2617" s="5" t="str">
        <f>IFERROR(__xludf.DUMMYFUNCTION("REGEXEXTRACT(J2617, ""[A-Za-z ]+$"")")," min")</f>
        <v> min</v>
      </c>
      <c r="AA2617" s="5" t="str">
        <f>IFERROR(__xludf.DUMMYFUNCTION("IF(REGEXMATCH(Z2617, ""Season""), ""TV Show"", ""Movie"")"),"Movie")</f>
        <v>Movie</v>
      </c>
    </row>
    <row r="2618">
      <c r="A2618" s="1" t="s">
        <v>14688</v>
      </c>
      <c r="B2618" s="1" t="s">
        <v>27</v>
      </c>
      <c r="C2618" s="1" t="s">
        <v>14689</v>
      </c>
      <c r="D2618" s="1" t="s">
        <v>5902</v>
      </c>
      <c r="E2618" s="1" t="s">
        <v>14690</v>
      </c>
      <c r="F2618" s="1" t="s">
        <v>188</v>
      </c>
      <c r="G2618" s="1" t="s">
        <v>14669</v>
      </c>
      <c r="H2618" s="1">
        <v>2016.0</v>
      </c>
      <c r="I2618" s="1" t="s">
        <v>42</v>
      </c>
      <c r="J2618" s="1" t="s">
        <v>106</v>
      </c>
      <c r="K2618" s="1" t="s">
        <v>230</v>
      </c>
      <c r="L2618" s="1" t="s">
        <v>14691</v>
      </c>
      <c r="M2618" s="2" t="s">
        <v>12</v>
      </c>
      <c r="N2618" s="4">
        <f t="shared" si="1"/>
        <v>43949</v>
      </c>
      <c r="O2618" s="5" t="str">
        <f>IFERROR(__xludf.DUMMYFUNCTION("IF(REGEXMATCH(TRIM(I2618), ""^\d+\s*min""), ""Unclassified"", IF(I2618 = """", ""NR"", I2618))"),"TV-MA")</f>
        <v>TV-MA</v>
      </c>
      <c r="R2618" s="5" t="str">
        <f t="shared" si="2"/>
        <v>Görümce</v>
      </c>
      <c r="S2618" s="5" t="str">
        <f>IFERROR(__xludf.DUMMYFUNCTION("""COMPUTED_VALUE"""),"Fyre: The Greatest Party That Never Happened")</f>
        <v>Fyre: The Greatest Party That Never Happened</v>
      </c>
      <c r="U2618" s="5" t="str">
        <f>IFERROR(__xludf.DUMMYFUNCTION("""COMPUTED_VALUE"""),"Nana Ekvtimishvili, Simon Gross")</f>
        <v>Nana Ekvtimishvili, Simon Gross</v>
      </c>
      <c r="V2618" s="5" t="s">
        <v>14692</v>
      </c>
      <c r="W2618" s="5" t="str">
        <f t="shared" si="3"/>
        <v>Maria Ripoll</v>
      </c>
      <c r="X2618" s="5">
        <f t="shared" si="4"/>
        <v>3</v>
      </c>
      <c r="Y2618" s="5" t="str">
        <f>IFERROR(__xludf.DUMMYFUNCTION("REGEXEXTRACT(J2618, ""^\d+"")"),"104")</f>
        <v>104</v>
      </c>
      <c r="Z2618" s="5" t="str">
        <f>IFERROR(__xludf.DUMMYFUNCTION("REGEXEXTRACT(J2618, ""[A-Za-z ]+$"")")," min")</f>
        <v> min</v>
      </c>
      <c r="AA2618" s="5" t="str">
        <f>IFERROR(__xludf.DUMMYFUNCTION("IF(REGEXMATCH(Z2618, ""Season""), ""TV Show"", ""Movie"")"),"Movie")</f>
        <v>Movie</v>
      </c>
    </row>
    <row r="2619">
      <c r="A2619" s="1" t="s">
        <v>14693</v>
      </c>
      <c r="B2619" s="1" t="s">
        <v>27</v>
      </c>
      <c r="C2619" s="1" t="s">
        <v>14694</v>
      </c>
      <c r="D2619" s="1" t="s">
        <v>7679</v>
      </c>
      <c r="E2619" s="1" t="s">
        <v>14695</v>
      </c>
      <c r="F2619" s="1" t="s">
        <v>14696</v>
      </c>
      <c r="G2619" s="1" t="s">
        <v>14669</v>
      </c>
      <c r="H2619" s="1">
        <v>2017.0</v>
      </c>
      <c r="I2619" s="1" t="s">
        <v>42</v>
      </c>
      <c r="J2619" s="1" t="s">
        <v>297</v>
      </c>
      <c r="K2619" s="1" t="s">
        <v>89</v>
      </c>
      <c r="L2619" s="1" t="s">
        <v>14697</v>
      </c>
      <c r="M2619" s="2" t="s">
        <v>12</v>
      </c>
      <c r="N2619" s="4">
        <f t="shared" si="1"/>
        <v>43949</v>
      </c>
      <c r="O2619" s="5" t="str">
        <f>IFERROR(__xludf.DUMMYFUNCTION("IF(REGEXMATCH(TRIM(I2619), ""^\d+\s*min""), ""Unclassified"", IF(I2619 = """", ""NR"", I2619))"),"TV-MA")</f>
        <v>TV-MA</v>
      </c>
      <c r="R2619" s="5" t="str">
        <f t="shared" si="2"/>
        <v>İstanbul Kırmızısı</v>
      </c>
      <c r="S2619" s="5" t="str">
        <f>IFERROR(__xludf.DUMMYFUNCTION("""COMPUTED_VALUE"""),"G-Force")</f>
        <v>G-Force</v>
      </c>
      <c r="U2619" s="5" t="str">
        <f>IFERROR(__xludf.DUMMYFUNCTION("""COMPUTED_VALUE"""),"Olivier Jean-Marie")</f>
        <v>Olivier Jean-Marie</v>
      </c>
      <c r="V2619" s="5" t="s">
        <v>14698</v>
      </c>
      <c r="W2619" s="5" t="str">
        <f t="shared" si="3"/>
        <v>Maria Sadowska</v>
      </c>
      <c r="X2619" s="5">
        <f t="shared" si="4"/>
        <v>1</v>
      </c>
      <c r="Y2619" s="5" t="str">
        <f>IFERROR(__xludf.DUMMYFUNCTION("REGEXEXTRACT(J2619, ""^\d+"")"),"110")</f>
        <v>110</v>
      </c>
      <c r="Z2619" s="5" t="str">
        <f>IFERROR(__xludf.DUMMYFUNCTION("REGEXEXTRACT(J2619, ""[A-Za-z ]+$"")")," min")</f>
        <v> min</v>
      </c>
      <c r="AA2619" s="5" t="str">
        <f>IFERROR(__xludf.DUMMYFUNCTION("IF(REGEXMATCH(Z2619, ""Season""), ""TV Show"", ""Movie"")"),"Movie")</f>
        <v>Movie</v>
      </c>
    </row>
    <row r="2620">
      <c r="A2620" s="1" t="s">
        <v>14699</v>
      </c>
      <c r="B2620" s="1" t="s">
        <v>27</v>
      </c>
      <c r="C2620" s="1" t="s">
        <v>14700</v>
      </c>
      <c r="D2620" s="1" t="s">
        <v>3102</v>
      </c>
      <c r="E2620" s="1" t="s">
        <v>14701</v>
      </c>
      <c r="F2620" s="1" t="s">
        <v>188</v>
      </c>
      <c r="G2620" s="1" t="s">
        <v>14669</v>
      </c>
      <c r="H2620" s="1">
        <v>2016.0</v>
      </c>
      <c r="I2620" s="1" t="s">
        <v>42</v>
      </c>
      <c r="J2620" s="1" t="s">
        <v>433</v>
      </c>
      <c r="K2620" s="1" t="s">
        <v>199</v>
      </c>
      <c r="L2620" s="1" t="s">
        <v>14702</v>
      </c>
      <c r="M2620" s="2" t="s">
        <v>12</v>
      </c>
      <c r="N2620" s="4">
        <f t="shared" si="1"/>
        <v>43949</v>
      </c>
      <c r="O2620" s="5" t="str">
        <f>IFERROR(__xludf.DUMMYFUNCTION("IF(REGEXMATCH(TRIM(I2620), ""^\d+\s*min""), ""Unclassified"", IF(I2620 = """", ""NR"", I2620))"),"TV-MA")</f>
        <v>TV-MA</v>
      </c>
      <c r="R2620" s="5" t="str">
        <f t="shared" si="2"/>
        <v>Küçük Esnaf</v>
      </c>
      <c r="S2620" s="5" t="str">
        <f>IFERROR(__xludf.DUMMYFUNCTION("""COMPUTED_VALUE"""),"G.O.R.A")</f>
        <v>G.O.R.A</v>
      </c>
      <c r="U2620" s="5" t="str">
        <f>IFERROR(__xludf.DUMMYFUNCTION("""COMPUTED_VALUE"""),"Myles Kane, Josh Koury")</f>
        <v>Myles Kane, Josh Koury</v>
      </c>
      <c r="V2620" s="5" t="s">
        <v>14703</v>
      </c>
      <c r="W2620" s="5" t="str">
        <f t="shared" si="3"/>
        <v>Mariana Tschudi, Héctor Gálvez</v>
      </c>
      <c r="X2620" s="5">
        <f t="shared" si="4"/>
        <v>1</v>
      </c>
      <c r="Y2620" s="5" t="str">
        <f>IFERROR(__xludf.DUMMYFUNCTION("REGEXEXTRACT(J2620, ""^\d+"")"),"100")</f>
        <v>100</v>
      </c>
      <c r="Z2620" s="5" t="str">
        <f>IFERROR(__xludf.DUMMYFUNCTION("REGEXEXTRACT(J2620, ""[A-Za-z ]+$"")")," min")</f>
        <v> min</v>
      </c>
      <c r="AA2620" s="5" t="str">
        <f>IFERROR(__xludf.DUMMYFUNCTION("IF(REGEXMATCH(Z2620, ""Season""), ""TV Show"", ""Movie"")"),"Movie")</f>
        <v>Movie</v>
      </c>
    </row>
    <row r="2621">
      <c r="A2621" s="1" t="s">
        <v>14704</v>
      </c>
      <c r="B2621" s="1" t="s">
        <v>27</v>
      </c>
      <c r="C2621" s="1" t="s">
        <v>14705</v>
      </c>
      <c r="D2621" s="1" t="s">
        <v>2632</v>
      </c>
      <c r="E2621" s="1" t="s">
        <v>14706</v>
      </c>
      <c r="G2621" s="1" t="s">
        <v>14669</v>
      </c>
      <c r="H2621" s="1">
        <v>2010.0</v>
      </c>
      <c r="I2621" s="1" t="s">
        <v>42</v>
      </c>
      <c r="J2621" s="1" t="s">
        <v>264</v>
      </c>
      <c r="K2621" s="1" t="s">
        <v>199</v>
      </c>
      <c r="L2621" s="1" t="s">
        <v>14707</v>
      </c>
      <c r="M2621" s="2" t="s">
        <v>12</v>
      </c>
      <c r="N2621" s="4">
        <f t="shared" si="1"/>
        <v>43949</v>
      </c>
      <c r="O2621" s="5" t="str">
        <f>IFERROR(__xludf.DUMMYFUNCTION("IF(REGEXMATCH(TRIM(I2621), ""^\d+\s*min""), ""Unclassified"", IF(I2621 = """", ""NR"", I2621))"),"TV-MA")</f>
        <v>TV-MA</v>
      </c>
      <c r="R2621" s="5" t="str">
        <f t="shared" si="2"/>
        <v>Lembi 8 Giga</v>
      </c>
      <c r="S2621" s="5" t="str">
        <f>IFERROR(__xludf.DUMMYFUNCTION("""COMPUTED_VALUE"""),"Gabbar Is Back")</f>
        <v>Gabbar Is Back</v>
      </c>
      <c r="U2621" s="5" t="str">
        <f>IFERROR(__xludf.DUMMYFUNCTION("""COMPUTED_VALUE"""),"Shreyas Talpade")</f>
        <v>Shreyas Talpade</v>
      </c>
      <c r="V2621" s="5" t="s">
        <v>14708</v>
      </c>
      <c r="W2621" s="5" t="str">
        <f t="shared" si="3"/>
        <v>Marianna Palka</v>
      </c>
      <c r="X2621" s="5">
        <f t="shared" si="4"/>
        <v>1</v>
      </c>
      <c r="Y2621" s="5" t="str">
        <f>IFERROR(__xludf.DUMMYFUNCTION("REGEXEXTRACT(J2621, ""^\d+"")"),"111")</f>
        <v>111</v>
      </c>
      <c r="Z2621" s="5" t="str">
        <f>IFERROR(__xludf.DUMMYFUNCTION("REGEXEXTRACT(J2621, ""[A-Za-z ]+$"")")," min")</f>
        <v> min</v>
      </c>
      <c r="AA2621" s="5" t="str">
        <f>IFERROR(__xludf.DUMMYFUNCTION("IF(REGEXMATCH(Z2621, ""Season""), ""TV Show"", ""Movie"")"),"Movie")</f>
        <v>Movie</v>
      </c>
    </row>
    <row r="2622">
      <c r="A2622" s="1" t="s">
        <v>14709</v>
      </c>
      <c r="B2622" s="1" t="s">
        <v>27</v>
      </c>
      <c r="C2622" s="1" t="s">
        <v>14710</v>
      </c>
      <c r="D2622" s="1" t="s">
        <v>5463</v>
      </c>
      <c r="E2622" s="1" t="s">
        <v>14711</v>
      </c>
      <c r="F2622" s="1" t="s">
        <v>188</v>
      </c>
      <c r="G2622" s="1" t="s">
        <v>14669</v>
      </c>
      <c r="H2622" s="1">
        <v>2009.0</v>
      </c>
      <c r="I2622" s="1" t="s">
        <v>97</v>
      </c>
      <c r="J2622" s="1" t="s">
        <v>912</v>
      </c>
      <c r="K2622" s="1" t="s">
        <v>199</v>
      </c>
      <c r="L2622" s="1" t="s">
        <v>14712</v>
      </c>
      <c r="M2622" s="2" t="s">
        <v>12</v>
      </c>
      <c r="N2622" s="4">
        <f t="shared" si="1"/>
        <v>43949</v>
      </c>
      <c r="O2622" s="5" t="str">
        <f>IFERROR(__xludf.DUMMYFUNCTION("IF(REGEXMATCH(TRIM(I2622), ""^\d+\s*min""), ""Unclassified"", IF(I2622 = """", ""NR"", I2622))"),"TV-14")</f>
        <v>TV-14</v>
      </c>
      <c r="R2622" s="5" t="str">
        <f t="shared" si="2"/>
        <v>Neseli Hayat</v>
      </c>
      <c r="S2622" s="5" t="str">
        <f>IFERROR(__xludf.DUMMYFUNCTION("""COMPUTED_VALUE"""),"Gabby'S Dollhouse")</f>
        <v>Gabby'S Dollhouse</v>
      </c>
      <c r="U2622" s="5" t="str">
        <f>IFERROR(__xludf.DUMMYFUNCTION("""COMPUTED_VALUE"""),"Jon Alpert")</f>
        <v>Jon Alpert</v>
      </c>
      <c r="V2622" s="5" t="s">
        <v>14713</v>
      </c>
      <c r="W2622" s="5" t="str">
        <f t="shared" si="3"/>
        <v>Mariano Baez</v>
      </c>
      <c r="X2622" s="5">
        <f t="shared" si="4"/>
        <v>1</v>
      </c>
      <c r="Y2622" s="5" t="str">
        <f>IFERROR(__xludf.DUMMYFUNCTION("REGEXEXTRACT(J2622, ""^\d+"")"),"108")</f>
        <v>108</v>
      </c>
      <c r="Z2622" s="5" t="str">
        <f>IFERROR(__xludf.DUMMYFUNCTION("REGEXEXTRACT(J2622, ""[A-Za-z ]+$"")")," min")</f>
        <v> min</v>
      </c>
      <c r="AA2622" s="5" t="str">
        <f>IFERROR(__xludf.DUMMYFUNCTION("IF(REGEXMATCH(Z2622, ""Season""), ""TV Show"", ""Movie"")"),"Movie")</f>
        <v>Movie</v>
      </c>
    </row>
    <row r="2623">
      <c r="A2623" s="1" t="s">
        <v>14714</v>
      </c>
      <c r="B2623" s="1" t="s">
        <v>27</v>
      </c>
      <c r="C2623" s="1" t="s">
        <v>14715</v>
      </c>
      <c r="D2623" s="1" t="s">
        <v>5463</v>
      </c>
      <c r="E2623" s="1" t="s">
        <v>14716</v>
      </c>
      <c r="F2623" s="1" t="s">
        <v>188</v>
      </c>
      <c r="G2623" s="1" t="s">
        <v>14669</v>
      </c>
      <c r="H2623" s="1">
        <v>2005.0</v>
      </c>
      <c r="I2623" s="1" t="s">
        <v>97</v>
      </c>
      <c r="J2623" s="1" t="s">
        <v>106</v>
      </c>
      <c r="K2623" s="1" t="s">
        <v>1328</v>
      </c>
      <c r="L2623" s="1" t="s">
        <v>14717</v>
      </c>
      <c r="M2623" s="2" t="s">
        <v>12</v>
      </c>
      <c r="N2623" s="4">
        <f t="shared" si="1"/>
        <v>43949</v>
      </c>
      <c r="O2623" s="5" t="str">
        <f>IFERROR(__xludf.DUMMYFUNCTION("IF(REGEXMATCH(TRIM(I2623), ""^\d+\s*min""), ""Unclassified"", IF(I2623 = """", ""NR"", I2623))"),"TV-14")</f>
        <v>TV-14</v>
      </c>
      <c r="R2623" s="5" t="str">
        <f t="shared" si="2"/>
        <v>Organize Isler</v>
      </c>
      <c r="S2623" s="5" t="str">
        <f>IFERROR(__xludf.DUMMYFUNCTION("""COMPUTED_VALUE"""),"Gabriel ""Fluffy"" Iglesias: One Show Fits All")</f>
        <v>Gabriel "Fluffy" Iglesias: One Show Fits All</v>
      </c>
      <c r="U2623" s="5" t="str">
        <f>IFERROR(__xludf.DUMMYFUNCTION("""COMPUTED_VALUE"""),"Ibai Abad")</f>
        <v>Ibai Abad</v>
      </c>
      <c r="V2623" s="5" t="s">
        <v>14718</v>
      </c>
      <c r="W2623" s="5" t="str">
        <f t="shared" si="3"/>
        <v>Mariano Barroso</v>
      </c>
      <c r="X2623" s="5">
        <f t="shared" si="4"/>
        <v>1</v>
      </c>
      <c r="Y2623" s="5" t="str">
        <f>IFERROR(__xludf.DUMMYFUNCTION("REGEXEXTRACT(J2623, ""^\d+"")"),"104")</f>
        <v>104</v>
      </c>
      <c r="Z2623" s="5" t="str">
        <f>IFERROR(__xludf.DUMMYFUNCTION("REGEXEXTRACT(J2623, ""[A-Za-z ]+$"")")," min")</f>
        <v> min</v>
      </c>
      <c r="AA2623" s="5" t="str">
        <f>IFERROR(__xludf.DUMMYFUNCTION("IF(REGEXMATCH(Z2623, ""Season""), ""TV Show"", ""Movie"")"),"Movie")</f>
        <v>Movie</v>
      </c>
    </row>
    <row r="2624">
      <c r="A2624" s="1" t="s">
        <v>14719</v>
      </c>
      <c r="B2624" s="1" t="s">
        <v>27</v>
      </c>
      <c r="C2624" s="1" t="s">
        <v>14720</v>
      </c>
      <c r="D2624" s="1" t="s">
        <v>14721</v>
      </c>
      <c r="E2624" s="1" t="s">
        <v>14722</v>
      </c>
      <c r="F2624" s="1" t="s">
        <v>30</v>
      </c>
      <c r="G2624" s="1" t="s">
        <v>14669</v>
      </c>
      <c r="H2624" s="1">
        <v>2019.0</v>
      </c>
      <c r="I2624" s="1" t="s">
        <v>32</v>
      </c>
      <c r="J2624" s="1" t="s">
        <v>349</v>
      </c>
      <c r="K2624" s="1" t="s">
        <v>1198</v>
      </c>
      <c r="L2624" s="1" t="s">
        <v>14723</v>
      </c>
      <c r="M2624" s="2" t="s">
        <v>12</v>
      </c>
      <c r="N2624" s="4">
        <f t="shared" si="1"/>
        <v>43949</v>
      </c>
      <c r="O2624" s="5" t="str">
        <f>IFERROR(__xludf.DUMMYFUNCTION("IF(REGEXMATCH(TRIM(I2624), ""^\d+\s*min""), ""Unclassified"", IF(I2624 = """", ""NR"", I2624))"),"PG-13")</f>
        <v>PG-13</v>
      </c>
      <c r="R2624" s="5" t="str">
        <f t="shared" si="2"/>
        <v>The Reliant</v>
      </c>
      <c r="S2624" s="5" t="str">
        <f>IFERROR(__xludf.DUMMYFUNCTION("""COMPUTED_VALUE"""),"Gabriel And The Mountain")</f>
        <v>Gabriel And The Mountain</v>
      </c>
      <c r="U2624" s="5" t="str">
        <f>IFERROR(__xludf.DUMMYFUNCTION("""COMPUTED_VALUE"""),"Barbra Streisand, Jim Gable")</f>
        <v>Barbra Streisand, Jim Gable</v>
      </c>
      <c r="V2624" s="5" t="s">
        <v>14724</v>
      </c>
      <c r="W2624" s="5" t="str">
        <f t="shared" si="3"/>
        <v>Mariano Cohn, Gastón Duprat</v>
      </c>
      <c r="X2624" s="5">
        <f t="shared" si="4"/>
        <v>1</v>
      </c>
      <c r="Y2624" s="5" t="str">
        <f>IFERROR(__xludf.DUMMYFUNCTION("REGEXEXTRACT(J2624, ""^\d+"")"),"116")</f>
        <v>116</v>
      </c>
      <c r="Z2624" s="5" t="str">
        <f>IFERROR(__xludf.DUMMYFUNCTION("REGEXEXTRACT(J2624, ""[A-Za-z ]+$"")")," min")</f>
        <v> min</v>
      </c>
      <c r="AA2624" s="5" t="str">
        <f>IFERROR(__xludf.DUMMYFUNCTION("IF(REGEXMATCH(Z2624, ""Season""), ""TV Show"", ""Movie"")"),"Movie")</f>
        <v>Movie</v>
      </c>
    </row>
    <row r="2625">
      <c r="A2625" s="1" t="s">
        <v>14725</v>
      </c>
      <c r="B2625" s="1" t="s">
        <v>27</v>
      </c>
      <c r="C2625" s="1" t="s">
        <v>14726</v>
      </c>
      <c r="D2625" s="1" t="s">
        <v>633</v>
      </c>
      <c r="E2625" s="1" t="s">
        <v>14727</v>
      </c>
      <c r="F2625" s="1" t="s">
        <v>3309</v>
      </c>
      <c r="G2625" s="1" t="s">
        <v>14669</v>
      </c>
      <c r="H2625" s="1">
        <v>2012.0</v>
      </c>
      <c r="I2625" s="1" t="s">
        <v>97</v>
      </c>
      <c r="J2625" s="1" t="s">
        <v>256</v>
      </c>
      <c r="K2625" s="1" t="s">
        <v>1328</v>
      </c>
      <c r="L2625" s="1" t="s">
        <v>14728</v>
      </c>
      <c r="M2625" s="2" t="s">
        <v>12</v>
      </c>
      <c r="N2625" s="4">
        <f t="shared" si="1"/>
        <v>43949</v>
      </c>
      <c r="O2625" s="5" t="str">
        <f>IFERROR(__xludf.DUMMYFUNCTION("IF(REGEXMATCH(TRIM(I2625), ""^\d+\s*min""), ""Unclassified"", IF(I2625 = """", ""NR"", I2625))"),"TV-14")</f>
        <v>TV-14</v>
      </c>
      <c r="R2625" s="5" t="str">
        <f t="shared" si="2"/>
        <v>We'Ll Be Right Back After The Break</v>
      </c>
      <c r="S2625" s="5" t="str">
        <f>IFERROR(__xludf.DUMMYFUNCTION("""COMPUTED_VALUE"""),"Gabriel Lglesias: I’M Sorry For What I Said When I Was Hungry")</f>
        <v>Gabriel Lglesias: I’M Sorry For What I Said When I Was Hungry</v>
      </c>
      <c r="U2625" s="5" t="str">
        <f>IFERROR(__xludf.DUMMYFUNCTION("""COMPUTED_VALUE"""),"Josh Wakely")</f>
        <v>Josh Wakely</v>
      </c>
      <c r="V2625" s="5" t="s">
        <v>7299</v>
      </c>
      <c r="W2625" s="5" t="str">
        <f t="shared" si="3"/>
        <v>Maribel Sánchez-Maroto</v>
      </c>
      <c r="X2625" s="5">
        <f t="shared" si="4"/>
        <v>1</v>
      </c>
      <c r="Y2625" s="5" t="str">
        <f>IFERROR(__xludf.DUMMYFUNCTION("REGEXEXTRACT(J2625, ""^\d+"")"),"106")</f>
        <v>106</v>
      </c>
      <c r="Z2625" s="5" t="str">
        <f>IFERROR(__xludf.DUMMYFUNCTION("REGEXEXTRACT(J2625, ""[A-Za-z ]+$"")")," min")</f>
        <v> min</v>
      </c>
      <c r="AA2625" s="5" t="str">
        <f>IFERROR(__xludf.DUMMYFUNCTION("IF(REGEXMATCH(Z2625, ""Season""), ""TV Show"", ""Movie"")"),"Movie")</f>
        <v>Movie</v>
      </c>
    </row>
    <row r="2626">
      <c r="A2626" s="1" t="s">
        <v>14729</v>
      </c>
      <c r="B2626" s="1" t="s">
        <v>27</v>
      </c>
      <c r="C2626" s="1" t="s">
        <v>14730</v>
      </c>
      <c r="D2626" s="1" t="s">
        <v>14731</v>
      </c>
      <c r="E2626" s="1" t="s">
        <v>14732</v>
      </c>
      <c r="F2626" s="1" t="s">
        <v>4041</v>
      </c>
      <c r="G2626" s="1" t="s">
        <v>14733</v>
      </c>
      <c r="H2626" s="1">
        <v>2019.0</v>
      </c>
      <c r="I2626" s="1" t="s">
        <v>97</v>
      </c>
      <c r="J2626" s="1" t="s">
        <v>322</v>
      </c>
      <c r="K2626" s="1" t="s">
        <v>199</v>
      </c>
      <c r="L2626" s="1" t="s">
        <v>14734</v>
      </c>
      <c r="M2626" s="2" t="s">
        <v>12</v>
      </c>
      <c r="N2626" s="4">
        <f t="shared" si="1"/>
        <v>43948</v>
      </c>
      <c r="O2626" s="5" t="str">
        <f>IFERROR(__xludf.DUMMYFUNCTION("IF(REGEXMATCH(TRIM(I2626), ""^\d+\s*min""), ""Unclassified"", IF(I2626 = """", ""NR"", I2626))"),"TV-14")</f>
        <v>TV-14</v>
      </c>
      <c r="R2626" s="5" t="str">
        <f t="shared" si="2"/>
        <v>5Gang</v>
      </c>
      <c r="S2626" s="5" t="str">
        <f>IFERROR(__xludf.DUMMYFUNCTION("""COMPUTED_VALUE"""),"Gabru: Hip Hop Revolution")</f>
        <v>Gabru: Hip Hop Revolution</v>
      </c>
      <c r="U2626" s="5" t="str">
        <f>IFERROR(__xludf.DUMMYFUNCTION("""COMPUTED_VALUE"""),"Jacob Kornbluth")</f>
        <v>Jacob Kornbluth</v>
      </c>
      <c r="V2626" s="5" t="s">
        <v>4301</v>
      </c>
      <c r="W2626" s="5" t="str">
        <f t="shared" si="3"/>
        <v>Marie Clements</v>
      </c>
      <c r="X2626" s="5">
        <f t="shared" si="4"/>
        <v>1</v>
      </c>
      <c r="Y2626" s="5" t="str">
        <f>IFERROR(__xludf.DUMMYFUNCTION("REGEXEXTRACT(J2626, ""^\d+"")"),"96")</f>
        <v>96</v>
      </c>
      <c r="Z2626" s="5" t="str">
        <f>IFERROR(__xludf.DUMMYFUNCTION("REGEXEXTRACT(J2626, ""[A-Za-z ]+$"")")," min")</f>
        <v> min</v>
      </c>
      <c r="AA2626" s="5" t="str">
        <f>IFERROR(__xludf.DUMMYFUNCTION("IF(REGEXMATCH(Z2626, ""Season""), ""TV Show"", ""Movie"")"),"Movie")</f>
        <v>Movie</v>
      </c>
    </row>
    <row r="2627">
      <c r="A2627" s="1" t="s">
        <v>14735</v>
      </c>
      <c r="B2627" s="1" t="s">
        <v>27</v>
      </c>
      <c r="C2627" s="1" t="s">
        <v>14736</v>
      </c>
      <c r="D2627" s="1" t="s">
        <v>9609</v>
      </c>
      <c r="E2627" s="1" t="s">
        <v>14737</v>
      </c>
      <c r="F2627" s="1" t="s">
        <v>63</v>
      </c>
      <c r="G2627" s="1" t="s">
        <v>14733</v>
      </c>
      <c r="H2627" s="1">
        <v>2020.0</v>
      </c>
      <c r="I2627" s="1" t="s">
        <v>42</v>
      </c>
      <c r="J2627" s="1" t="s">
        <v>1704</v>
      </c>
      <c r="K2627" s="1" t="s">
        <v>679</v>
      </c>
      <c r="L2627" s="1" t="s">
        <v>14738</v>
      </c>
      <c r="M2627" s="2" t="s">
        <v>12</v>
      </c>
      <c r="N2627" s="4">
        <f t="shared" si="1"/>
        <v>43948</v>
      </c>
      <c r="O2627" s="5" t="str">
        <f>IFERROR(__xludf.DUMMYFUNCTION("IF(REGEXMATCH(TRIM(I2627), ""^\d+\s*min""), ""Unclassified"", IF(I2627 = """", ""NR"", I2627))"),"TV-MA")</f>
        <v>TV-MA</v>
      </c>
      <c r="R2627" s="5" t="str">
        <f t="shared" si="2"/>
        <v>Love Aaj Kal</v>
      </c>
      <c r="S2627" s="5" t="str">
        <f>IFERROR(__xludf.DUMMYFUNCTION("""COMPUTED_VALUE"""),"Gad Elmaleh: American Dream")</f>
        <v>Gad Elmaleh: American Dream</v>
      </c>
      <c r="U2627" s="5" t="str">
        <f>IFERROR(__xludf.DUMMYFUNCTION("""COMPUTED_VALUE"""),"Alain Desrochers")</f>
        <v>Alain Desrochers</v>
      </c>
      <c r="V2627" s="5" t="s">
        <v>14739</v>
      </c>
      <c r="W2627" s="5" t="str">
        <f t="shared" si="3"/>
        <v>Marie Madinier</v>
      </c>
      <c r="X2627" s="5">
        <f t="shared" si="4"/>
        <v>1</v>
      </c>
      <c r="Y2627" s="5" t="str">
        <f>IFERROR(__xludf.DUMMYFUNCTION("REGEXEXTRACT(J2627, ""^\d+"")"),"140")</f>
        <v>140</v>
      </c>
      <c r="Z2627" s="5" t="str">
        <f>IFERROR(__xludf.DUMMYFUNCTION("REGEXEXTRACT(J2627, ""[A-Za-z ]+$"")")," min")</f>
        <v> min</v>
      </c>
      <c r="AA2627" s="5" t="str">
        <f>IFERROR(__xludf.DUMMYFUNCTION("IF(REGEXMATCH(Z2627, ""Season""), ""TV Show"", ""Movie"")"),"Movie")</f>
        <v>Movie</v>
      </c>
    </row>
    <row r="2628">
      <c r="A2628" s="1" t="s">
        <v>14740</v>
      </c>
      <c r="B2628" s="1" t="s">
        <v>27</v>
      </c>
      <c r="C2628" s="1" t="s">
        <v>14741</v>
      </c>
      <c r="D2628" s="1" t="s">
        <v>11661</v>
      </c>
      <c r="E2628" s="1" t="s">
        <v>14742</v>
      </c>
      <c r="F2628" s="1" t="s">
        <v>63</v>
      </c>
      <c r="G2628" s="1" t="s">
        <v>14733</v>
      </c>
      <c r="H2628" s="1">
        <v>2020.0</v>
      </c>
      <c r="I2628" s="1" t="s">
        <v>42</v>
      </c>
      <c r="J2628" s="1" t="s">
        <v>1256</v>
      </c>
      <c r="K2628" s="1" t="s">
        <v>89</v>
      </c>
      <c r="L2628" s="1" t="s">
        <v>14743</v>
      </c>
      <c r="M2628" s="2" t="s">
        <v>12</v>
      </c>
      <c r="N2628" s="4">
        <f t="shared" si="1"/>
        <v>43948</v>
      </c>
      <c r="O2628" s="5" t="str">
        <f>IFERROR(__xludf.DUMMYFUNCTION("IF(REGEXMATCH(TRIM(I2628), ""^\d+\s*min""), ""Unclassified"", IF(I2628 = """", ""NR"", I2628))"),"TV-MA")</f>
        <v>TV-MA</v>
      </c>
      <c r="R2628" s="5" t="str">
        <f t="shared" si="2"/>
        <v>The Lift Boy</v>
      </c>
      <c r="S2628" s="5" t="str">
        <f>IFERROR(__xludf.DUMMYFUNCTION("""COMPUTED_VALUE"""),"Gad Gone Wild")</f>
        <v>Gad Gone Wild</v>
      </c>
      <c r="U2628" s="5" t="str">
        <f>IFERROR(__xludf.DUMMYFUNCTION("""COMPUTED_VALUE"""),"Go Koga")</f>
        <v>Go Koga</v>
      </c>
      <c r="V2628" s="5" t="s">
        <v>14744</v>
      </c>
      <c r="W2628" s="5" t="str">
        <f t="shared" si="3"/>
        <v>Marina Seresesky</v>
      </c>
      <c r="X2628" s="5">
        <f t="shared" si="4"/>
        <v>1</v>
      </c>
      <c r="Y2628" s="5" t="str">
        <f>IFERROR(__xludf.DUMMYFUNCTION("REGEXEXTRACT(J2628, ""^\d+"")"),"107")</f>
        <v>107</v>
      </c>
      <c r="Z2628" s="5" t="str">
        <f>IFERROR(__xludf.DUMMYFUNCTION("REGEXEXTRACT(J2628, ""[A-Za-z ]+$"")")," min")</f>
        <v> min</v>
      </c>
      <c r="AA2628" s="5" t="str">
        <f>IFERROR(__xludf.DUMMYFUNCTION("IF(REGEXMATCH(Z2628, ""Season""), ""TV Show"", ""Movie"")"),"Movie")</f>
        <v>Movie</v>
      </c>
    </row>
    <row r="2629">
      <c r="A2629" s="1" t="s">
        <v>14745</v>
      </c>
      <c r="B2629" s="1" t="s">
        <v>37</v>
      </c>
      <c r="C2629" s="1" t="s">
        <v>14746</v>
      </c>
      <c r="F2629" s="1" t="s">
        <v>30</v>
      </c>
      <c r="G2629" s="1" t="s">
        <v>14747</v>
      </c>
      <c r="H2629" s="1">
        <v>2020.0</v>
      </c>
      <c r="I2629" s="1" t="s">
        <v>136</v>
      </c>
      <c r="J2629" s="1" t="s">
        <v>51</v>
      </c>
      <c r="K2629" s="1" t="s">
        <v>736</v>
      </c>
      <c r="L2629" s="1" t="s">
        <v>14748</v>
      </c>
      <c r="M2629" s="2" t="s">
        <v>12</v>
      </c>
      <c r="N2629" s="4">
        <f t="shared" si="1"/>
        <v>43947</v>
      </c>
      <c r="O2629" s="5" t="str">
        <f>IFERROR(__xludf.DUMMYFUNCTION("IF(REGEXMATCH(TRIM(I2629), ""^\d+\s*min""), ""Unclassified"", IF(I2629 = """", ""NR"", I2629))"),"TV-PG")</f>
        <v>TV-PG</v>
      </c>
      <c r="R2629" s="5" t="str">
        <f t="shared" si="2"/>
        <v>Coronavirus, Explained</v>
      </c>
      <c r="S2629" s="5" t="str">
        <f>IFERROR(__xludf.DUMMYFUNCTION("""COMPUTED_VALUE"""),"Gaddar: The Traitor")</f>
        <v>Gaddar: The Traitor</v>
      </c>
      <c r="U2629" s="5" t="str">
        <f>IFERROR(__xludf.DUMMYFUNCTION("""COMPUTED_VALUE"""),"Christian Charles")</f>
        <v>Christian Charles</v>
      </c>
      <c r="V2629" s="5" t="s">
        <v>14749</v>
      </c>
      <c r="W2629" s="5" t="str">
        <f t="shared" si="3"/>
        <v>Marina Willer</v>
      </c>
      <c r="X2629" s="5">
        <f t="shared" si="4"/>
        <v>1</v>
      </c>
      <c r="Y2629" s="5" t="str">
        <f>IFERROR(__xludf.DUMMYFUNCTION("REGEXEXTRACT(J2629, ""^\d+"")"),"1")</f>
        <v>1</v>
      </c>
      <c r="Z2629" s="5" t="str">
        <f>IFERROR(__xludf.DUMMYFUNCTION("REGEXEXTRACT(J2629, ""[A-Za-z ]+$"")")," Season")</f>
        <v> Season</v>
      </c>
      <c r="AA2629" s="5" t="str">
        <f>IFERROR(__xludf.DUMMYFUNCTION("IF(REGEXMATCH(Z2629, ""Season""), ""TV Show"", ""Movie"")"),"TV Show")</f>
        <v>TV Show</v>
      </c>
    </row>
    <row r="2630">
      <c r="A2630" s="1" t="s">
        <v>14750</v>
      </c>
      <c r="B2630" s="1" t="s">
        <v>37</v>
      </c>
      <c r="C2630" s="1" t="s">
        <v>14751</v>
      </c>
      <c r="E2630" s="1" t="s">
        <v>14752</v>
      </c>
      <c r="F2630" s="1" t="s">
        <v>96</v>
      </c>
      <c r="G2630" s="1" t="s">
        <v>14747</v>
      </c>
      <c r="H2630" s="1">
        <v>2020.0</v>
      </c>
      <c r="I2630" s="1" t="s">
        <v>42</v>
      </c>
      <c r="J2630" s="1" t="s">
        <v>148</v>
      </c>
      <c r="K2630" s="1" t="s">
        <v>14753</v>
      </c>
      <c r="L2630" s="1" t="s">
        <v>14754</v>
      </c>
      <c r="M2630" s="2" t="s">
        <v>12</v>
      </c>
      <c r="N2630" s="4">
        <f t="shared" si="1"/>
        <v>43947</v>
      </c>
      <c r="O2630" s="5" t="str">
        <f>IFERROR(__xludf.DUMMYFUNCTION("IF(REGEXMATCH(TRIM(I2630), ""^\d+\s*min""), ""Unclassified"", IF(I2630 = """", ""NR"", I2630))"),"TV-MA")</f>
        <v>TV-MA</v>
      </c>
      <c r="R2630" s="5" t="str">
        <f t="shared" si="2"/>
        <v>The Last Kingdom</v>
      </c>
      <c r="S2630" s="5" t="str">
        <f>IFERROR(__xludf.DUMMYFUNCTION("""COMPUTED_VALUE"""),"Gaga: Five Foot Two")</f>
        <v>Gaga: Five Foot Two</v>
      </c>
      <c r="U2630" s="5" t="str">
        <f>IFERROR(__xludf.DUMMYFUNCTION("""COMPUTED_VALUE"""),"Bronwen Hughes")</f>
        <v>Bronwen Hughes</v>
      </c>
      <c r="V2630" s="5" t="s">
        <v>14755</v>
      </c>
      <c r="W2630" s="5" t="str">
        <f t="shared" si="3"/>
        <v>Marina Zenovich</v>
      </c>
      <c r="X2630" s="5">
        <f t="shared" si="4"/>
        <v>1</v>
      </c>
      <c r="Y2630" s="5" t="str">
        <f>IFERROR(__xludf.DUMMYFUNCTION("REGEXEXTRACT(J2630, ""^\d+"")"),"4")</f>
        <v>4</v>
      </c>
      <c r="Z2630" s="5" t="str">
        <f>IFERROR(__xludf.DUMMYFUNCTION("REGEXEXTRACT(J2630, ""[A-Za-z ]+$"")")," Seasons")</f>
        <v> Seasons</v>
      </c>
      <c r="AA2630" s="5" t="str">
        <f>IFERROR(__xludf.DUMMYFUNCTION("IF(REGEXMATCH(Z2630, ""Season""), ""TV Show"", ""Movie"")"),"TV Show")</f>
        <v>TV Show</v>
      </c>
    </row>
    <row r="2631">
      <c r="A2631" s="1" t="s">
        <v>14756</v>
      </c>
      <c r="B2631" s="1" t="s">
        <v>27</v>
      </c>
      <c r="C2631" s="1" t="s">
        <v>14757</v>
      </c>
      <c r="D2631" s="1" t="s">
        <v>14758</v>
      </c>
      <c r="E2631" s="1" t="s">
        <v>14759</v>
      </c>
      <c r="F2631" s="1" t="s">
        <v>63</v>
      </c>
      <c r="G2631" s="1" t="s">
        <v>14760</v>
      </c>
      <c r="H2631" s="1">
        <v>2020.0</v>
      </c>
      <c r="I2631" s="1" t="s">
        <v>97</v>
      </c>
      <c r="J2631" s="1" t="s">
        <v>2414</v>
      </c>
      <c r="K2631" s="1" t="s">
        <v>1328</v>
      </c>
      <c r="L2631" s="1" t="s">
        <v>14761</v>
      </c>
      <c r="M2631" s="2" t="s">
        <v>12</v>
      </c>
      <c r="N2631" s="4">
        <f t="shared" si="1"/>
        <v>43946</v>
      </c>
      <c r="O2631" s="5" t="str">
        <f>IFERROR(__xludf.DUMMYFUNCTION("IF(REGEXMATCH(TRIM(I2631), ""^\d+\s*min""), ""Unclassified"", IF(I2631 = """", ""NR"", I2631))"),"TV-14")</f>
        <v>TV-14</v>
      </c>
      <c r="R2631" s="5" t="str">
        <f t="shared" si="2"/>
        <v>Bheeshma</v>
      </c>
      <c r="S2631" s="5" t="str">
        <f>IFERROR(__xludf.DUMMYFUNCTION("""COMPUTED_VALUE"""),"Gagarin: First In Space")</f>
        <v>Gagarin: First In Space</v>
      </c>
      <c r="U2631" s="5" t="str">
        <f>IFERROR(__xludf.DUMMYFUNCTION("""COMPUTED_VALUE"""),"John Ridley")</f>
        <v>John Ridley</v>
      </c>
      <c r="V2631" s="5" t="s">
        <v>7754</v>
      </c>
      <c r="W2631" s="5" t="str">
        <f t="shared" si="3"/>
        <v>Mario Briongos</v>
      </c>
      <c r="X2631" s="5">
        <f t="shared" si="4"/>
        <v>1</v>
      </c>
      <c r="Y2631" s="5" t="str">
        <f>IFERROR(__xludf.DUMMYFUNCTION("REGEXEXTRACT(J2631, ""^\d+"")"),"138")</f>
        <v>138</v>
      </c>
      <c r="Z2631" s="5" t="str">
        <f>IFERROR(__xludf.DUMMYFUNCTION("REGEXEXTRACT(J2631, ""[A-Za-z ]+$"")")," min")</f>
        <v> min</v>
      </c>
      <c r="AA2631" s="5" t="str">
        <f>IFERROR(__xludf.DUMMYFUNCTION("IF(REGEXMATCH(Z2631, ""Season""), ""TV Show"", ""Movie"")"),"Movie")</f>
        <v>Movie</v>
      </c>
    </row>
    <row r="2632">
      <c r="A2632" s="1" t="s">
        <v>14762</v>
      </c>
      <c r="B2632" s="1" t="s">
        <v>27</v>
      </c>
      <c r="C2632" s="1" t="s">
        <v>14763</v>
      </c>
      <c r="D2632" s="1" t="s">
        <v>12066</v>
      </c>
      <c r="E2632" s="1" t="s">
        <v>14764</v>
      </c>
      <c r="F2632" s="1" t="s">
        <v>3309</v>
      </c>
      <c r="G2632" s="1" t="s">
        <v>14760</v>
      </c>
      <c r="H2632" s="1">
        <v>2010.0</v>
      </c>
      <c r="I2632" s="1" t="s">
        <v>42</v>
      </c>
      <c r="J2632" s="1" t="s">
        <v>2505</v>
      </c>
      <c r="K2632" s="1" t="s">
        <v>583</v>
      </c>
      <c r="L2632" s="1" t="s">
        <v>14765</v>
      </c>
      <c r="M2632" s="2" t="s">
        <v>12</v>
      </c>
      <c r="N2632" s="4">
        <f t="shared" si="1"/>
        <v>43946</v>
      </c>
      <c r="O2632" s="5" t="str">
        <f>IFERROR(__xludf.DUMMYFUNCTION("IF(REGEXMATCH(TRIM(I2632), ""^\d+\s*min""), ""Unclassified"", IF(I2632 = """", ""NR"", I2632))"),"TV-MA")</f>
        <v>TV-MA</v>
      </c>
      <c r="R2632" s="5" t="str">
        <f t="shared" si="2"/>
        <v>Bittersweet</v>
      </c>
      <c r="S2632" s="5" t="str">
        <f>IFERROR(__xludf.DUMMYFUNCTION("""COMPUTED_VALUE"""),"Galavant")</f>
        <v>Galavant</v>
      </c>
      <c r="U2632" s="5" t="str">
        <f>IFERROR(__xludf.DUMMYFUNCTION("""COMPUTED_VALUE"""),"Pali Yahya")</f>
        <v>Pali Yahya</v>
      </c>
      <c r="V2632" s="5" t="s">
        <v>14766</v>
      </c>
      <c r="W2632" s="5" t="str">
        <f t="shared" si="3"/>
        <v>Mario Cambi</v>
      </c>
      <c r="X2632" s="5">
        <f t="shared" si="4"/>
        <v>1</v>
      </c>
      <c r="Y2632" s="5" t="str">
        <f>IFERROR(__xludf.DUMMYFUNCTION("REGEXEXTRACT(J2632, ""^\d+"")"),"132")</f>
        <v>132</v>
      </c>
      <c r="Z2632" s="5" t="str">
        <f>IFERROR(__xludf.DUMMYFUNCTION("REGEXEXTRACT(J2632, ""[A-Za-z ]+$"")")," min")</f>
        <v> min</v>
      </c>
      <c r="AA2632" s="5" t="str">
        <f>IFERROR(__xludf.DUMMYFUNCTION("IF(REGEXMATCH(Z2632, ""Season""), ""TV Show"", ""Movie"")"),"Movie")</f>
        <v>Movie</v>
      </c>
    </row>
    <row r="2633">
      <c r="A2633" s="1" t="s">
        <v>14767</v>
      </c>
      <c r="B2633" s="1" t="s">
        <v>37</v>
      </c>
      <c r="C2633" s="1" t="s">
        <v>14768</v>
      </c>
      <c r="E2633" s="1" t="s">
        <v>14769</v>
      </c>
      <c r="F2633" s="1" t="s">
        <v>749</v>
      </c>
      <c r="G2633" s="1" t="s">
        <v>14760</v>
      </c>
      <c r="H2633" s="1">
        <v>2017.0</v>
      </c>
      <c r="I2633" s="1" t="s">
        <v>97</v>
      </c>
      <c r="J2633" s="1" t="s">
        <v>51</v>
      </c>
      <c r="K2633" s="1" t="s">
        <v>7164</v>
      </c>
      <c r="L2633" s="1" t="s">
        <v>14770</v>
      </c>
      <c r="M2633" s="2" t="s">
        <v>12</v>
      </c>
      <c r="N2633" s="4">
        <f t="shared" si="1"/>
        <v>43946</v>
      </c>
      <c r="O2633" s="5" t="str">
        <f>IFERROR(__xludf.DUMMYFUNCTION("IF(REGEXMATCH(TRIM(I2633), ""^\d+\s*min""), ""Unclassified"", IF(I2633 = """", ""NR"", I2633))"),"TV-14")</f>
        <v>TV-14</v>
      </c>
      <c r="R2633" s="5" t="str">
        <f t="shared" si="2"/>
        <v>My Secret Romance</v>
      </c>
      <c r="S2633" s="5" t="str">
        <f>IFERROR(__xludf.DUMMYFUNCTION("""COMPUTED_VALUE"""),"Galih Dan Ratna")</f>
        <v>Galih Dan Ratna</v>
      </c>
      <c r="U2633" s="5" t="str">
        <f>IFERROR(__xludf.DUMMYFUNCTION("""COMPUTED_VALUE"""),"Alo Sarkar")</f>
        <v>Alo Sarkar</v>
      </c>
      <c r="V2633" s="5" t="s">
        <v>14771</v>
      </c>
      <c r="W2633" s="5" t="str">
        <f t="shared" si="3"/>
        <v>Mario Mattei</v>
      </c>
      <c r="X2633" s="5">
        <f t="shared" si="4"/>
        <v>1</v>
      </c>
      <c r="Y2633" s="5" t="str">
        <f>IFERROR(__xludf.DUMMYFUNCTION("REGEXEXTRACT(J2633, ""^\d+"")"),"1")</f>
        <v>1</v>
      </c>
      <c r="Z2633" s="5" t="str">
        <f>IFERROR(__xludf.DUMMYFUNCTION("REGEXEXTRACT(J2633, ""[A-Za-z ]+$"")")," Season")</f>
        <v> Season</v>
      </c>
      <c r="AA2633" s="5" t="str">
        <f>IFERROR(__xludf.DUMMYFUNCTION("IF(REGEXMATCH(Z2633, ""Season""), ""TV Show"", ""Movie"")"),"TV Show")</f>
        <v>TV Show</v>
      </c>
    </row>
    <row r="2634">
      <c r="A2634" s="1" t="s">
        <v>14772</v>
      </c>
      <c r="B2634" s="1" t="s">
        <v>27</v>
      </c>
      <c r="C2634" s="1" t="s">
        <v>14773</v>
      </c>
      <c r="D2634" s="1" t="s">
        <v>7998</v>
      </c>
      <c r="E2634" s="1" t="s">
        <v>14774</v>
      </c>
      <c r="F2634" s="1" t="s">
        <v>14775</v>
      </c>
      <c r="G2634" s="1" t="s">
        <v>14760</v>
      </c>
      <c r="H2634" s="1">
        <v>2005.0</v>
      </c>
      <c r="I2634" s="1" t="s">
        <v>42</v>
      </c>
      <c r="J2634" s="1" t="s">
        <v>14776</v>
      </c>
      <c r="K2634" s="1" t="s">
        <v>700</v>
      </c>
      <c r="L2634" s="1" t="s">
        <v>14777</v>
      </c>
      <c r="M2634" s="2" t="s">
        <v>12</v>
      </c>
      <c r="N2634" s="4">
        <f t="shared" si="1"/>
        <v>43946</v>
      </c>
      <c r="O2634" s="5" t="str">
        <f>IFERROR(__xludf.DUMMYFUNCTION("IF(REGEXMATCH(TRIM(I2634), ""^\d+\s*min""), ""Unclassified"", IF(I2634 = """", ""NR"", I2634))"),"TV-MA")</f>
        <v>TV-MA</v>
      </c>
      <c r="R2634" s="5" t="str">
        <f t="shared" si="2"/>
        <v>No Direction Home: Bob Dylan</v>
      </c>
      <c r="S2634" s="5" t="str">
        <f>IFERROR(__xludf.DUMMYFUNCTION("""COMPUTED_VALUE"""),"Game")</f>
        <v>Game</v>
      </c>
      <c r="U2634" s="5" t="str">
        <f>IFERROR(__xludf.DUMMYFUNCTION("""COMPUTED_VALUE"""),"Iñaki Dorronsoro")</f>
        <v>Iñaki Dorronsoro</v>
      </c>
      <c r="V2634" s="5" t="s">
        <v>14778</v>
      </c>
      <c r="W2634" s="5" t="str">
        <f t="shared" si="3"/>
        <v>Mario Rouleau</v>
      </c>
      <c r="X2634" s="5">
        <f t="shared" si="4"/>
        <v>1</v>
      </c>
      <c r="Y2634" s="5" t="str">
        <f>IFERROR(__xludf.DUMMYFUNCTION("REGEXEXTRACT(J2634, ""^\d+"")"),"208")</f>
        <v>208</v>
      </c>
      <c r="Z2634" s="5" t="str">
        <f>IFERROR(__xludf.DUMMYFUNCTION("REGEXEXTRACT(J2634, ""[A-Za-z ]+$"")")," min")</f>
        <v> min</v>
      </c>
      <c r="AA2634" s="5" t="str">
        <f>IFERROR(__xludf.DUMMYFUNCTION("IF(REGEXMATCH(Z2634, ""Season""), ""TV Show"", ""Movie"")"),"Movie")</f>
        <v>Movie</v>
      </c>
    </row>
    <row r="2635">
      <c r="A2635" s="1" t="s">
        <v>14779</v>
      </c>
      <c r="B2635" s="1" t="s">
        <v>27</v>
      </c>
      <c r="C2635" s="1" t="s">
        <v>14780</v>
      </c>
      <c r="D2635" s="1" t="s">
        <v>1635</v>
      </c>
      <c r="E2635" s="1" t="s">
        <v>14781</v>
      </c>
      <c r="F2635" s="1" t="s">
        <v>3309</v>
      </c>
      <c r="G2635" s="1" t="s">
        <v>14760</v>
      </c>
      <c r="H2635" s="1">
        <v>2006.0</v>
      </c>
      <c r="I2635" s="1" t="s">
        <v>97</v>
      </c>
      <c r="J2635" s="1" t="s">
        <v>305</v>
      </c>
      <c r="K2635" s="1" t="s">
        <v>199</v>
      </c>
      <c r="L2635" s="1" t="s">
        <v>14782</v>
      </c>
      <c r="M2635" s="2" t="s">
        <v>12</v>
      </c>
      <c r="N2635" s="4">
        <f t="shared" si="1"/>
        <v>43946</v>
      </c>
      <c r="O2635" s="5" t="str">
        <f>IFERROR(__xludf.DUMMYFUNCTION("IF(REGEXMATCH(TRIM(I2635), ""^\d+\s*min""), ""Unclassified"", IF(I2635 = """", ""NR"", I2635))"),"TV-14")</f>
        <v>TV-14</v>
      </c>
      <c r="R2635" s="5" t="str">
        <f t="shared" si="2"/>
        <v>She Made Me A Criminal</v>
      </c>
      <c r="S2635" s="5" t="str">
        <f>IFERROR(__xludf.DUMMYFUNCTION("""COMPUTED_VALUE"""),"Game On: A Comedy Crossover Event")</f>
        <v>Game On: A Comedy Crossover Event</v>
      </c>
      <c r="U2635" s="5" t="str">
        <f>IFERROR(__xludf.DUMMYFUNCTION("""COMPUTED_VALUE"""),"Ali Bin Matar, Ibrahim Bin Mohamed")</f>
        <v>Ali Bin Matar, Ibrahim Bin Mohamed</v>
      </c>
      <c r="V2635" s="5" t="s">
        <v>14783</v>
      </c>
      <c r="W2635" s="5" t="str">
        <f t="shared" si="3"/>
        <v>Mario Van Peebles</v>
      </c>
      <c r="X2635" s="5">
        <f t="shared" si="4"/>
        <v>1</v>
      </c>
      <c r="Y2635" s="5" t="str">
        <f>IFERROR(__xludf.DUMMYFUNCTION("REGEXEXTRACT(J2635, ""^\d+"")"),"105")</f>
        <v>105</v>
      </c>
      <c r="Z2635" s="5" t="str">
        <f>IFERROR(__xludf.DUMMYFUNCTION("REGEXEXTRACT(J2635, ""[A-Za-z ]+$"")")," min")</f>
        <v> min</v>
      </c>
      <c r="AA2635" s="5" t="str">
        <f>IFERROR(__xludf.DUMMYFUNCTION("IF(REGEXMATCH(Z2635, ""Season""), ""TV Show"", ""Movie"")"),"Movie")</f>
        <v>Movie</v>
      </c>
    </row>
    <row r="2636">
      <c r="A2636" s="1" t="s">
        <v>14784</v>
      </c>
      <c r="B2636" s="1" t="s">
        <v>27</v>
      </c>
      <c r="C2636" s="1" t="s">
        <v>14785</v>
      </c>
      <c r="D2636" s="1" t="s">
        <v>14786</v>
      </c>
      <c r="E2636" s="1" t="s">
        <v>14787</v>
      </c>
      <c r="F2636" s="1" t="s">
        <v>14788</v>
      </c>
      <c r="G2636" s="1" t="s">
        <v>14760</v>
      </c>
      <c r="H2636" s="1">
        <v>2011.0</v>
      </c>
      <c r="I2636" s="1" t="s">
        <v>32</v>
      </c>
      <c r="J2636" s="1" t="s">
        <v>1091</v>
      </c>
      <c r="K2636" s="1" t="s">
        <v>836</v>
      </c>
      <c r="L2636" s="1" t="s">
        <v>14789</v>
      </c>
      <c r="M2636" s="2" t="s">
        <v>12</v>
      </c>
      <c r="N2636" s="4">
        <f t="shared" si="1"/>
        <v>43946</v>
      </c>
      <c r="O2636" s="5" t="str">
        <f>IFERROR(__xludf.DUMMYFUNCTION("IF(REGEXMATCH(TRIM(I2636), ""^\d+\s*min""), ""Unclassified"", IF(I2636 = """", ""NR"", I2636))"),"PG-13")</f>
        <v>PG-13</v>
      </c>
      <c r="R2636" s="5" t="str">
        <f t="shared" si="2"/>
        <v>The Artist</v>
      </c>
      <c r="S2636" s="5" t="str">
        <f>IFERROR(__xludf.DUMMYFUNCTION("""COMPUTED_VALUE"""),"Game Over")</f>
        <v>Game Over</v>
      </c>
      <c r="U2636" s="5" t="str">
        <f>IFERROR(__xludf.DUMMYFUNCTION("""COMPUTED_VALUE"""),"Ali Samadi Ahadi")</f>
        <v>Ali Samadi Ahadi</v>
      </c>
      <c r="V2636" s="5" t="s">
        <v>14790</v>
      </c>
      <c r="W2636" s="5" t="str">
        <f t="shared" si="3"/>
        <v>Maris Curran</v>
      </c>
      <c r="X2636" s="5">
        <f t="shared" si="4"/>
        <v>1</v>
      </c>
      <c r="Y2636" s="5" t="str">
        <f>IFERROR(__xludf.DUMMYFUNCTION("REGEXEXTRACT(J2636, ""^\d+"")"),"101")</f>
        <v>101</v>
      </c>
      <c r="Z2636" s="5" t="str">
        <f>IFERROR(__xludf.DUMMYFUNCTION("REGEXEXTRACT(J2636, ""[A-Za-z ]+$"")")," min")</f>
        <v> min</v>
      </c>
      <c r="AA2636" s="5" t="str">
        <f>IFERROR(__xludf.DUMMYFUNCTION("IF(REGEXMATCH(Z2636, ""Season""), ""TV Show"", ""Movie"")"),"Movie")</f>
        <v>Movie</v>
      </c>
    </row>
    <row r="2637">
      <c r="A2637" s="1" t="s">
        <v>14791</v>
      </c>
      <c r="B2637" s="1" t="s">
        <v>27</v>
      </c>
      <c r="C2637" s="1" t="s">
        <v>14792</v>
      </c>
      <c r="D2637" s="1" t="s">
        <v>639</v>
      </c>
      <c r="E2637" s="1" t="s">
        <v>14793</v>
      </c>
      <c r="F2637" s="1" t="s">
        <v>3309</v>
      </c>
      <c r="G2637" s="1" t="s">
        <v>14760</v>
      </c>
      <c r="H2637" s="1">
        <v>2010.0</v>
      </c>
      <c r="I2637" s="1" t="s">
        <v>97</v>
      </c>
      <c r="J2637" s="1" t="s">
        <v>341</v>
      </c>
      <c r="K2637" s="1" t="s">
        <v>1066</v>
      </c>
      <c r="L2637" s="1" t="s">
        <v>14794</v>
      </c>
      <c r="M2637" s="2" t="s">
        <v>12</v>
      </c>
      <c r="N2637" s="4">
        <f t="shared" si="1"/>
        <v>43946</v>
      </c>
      <c r="O2637" s="5" t="str">
        <f>IFERROR(__xludf.DUMMYFUNCTION("IF(REGEXMATCH(TRIM(I2637), ""^\d+\s*min""), ""Unclassified"", IF(I2637 = """", ""NR"", I2637))"),"TV-14")</f>
        <v>TV-14</v>
      </c>
      <c r="R2637" s="5" t="str">
        <f t="shared" si="2"/>
        <v>The Dealer</v>
      </c>
      <c r="S2637" s="5" t="str">
        <f>IFERROR(__xludf.DUMMYFUNCTION("""COMPUTED_VALUE"""),"Game Over (Hindi Version)")</f>
        <v>Game Over (Hindi Version)</v>
      </c>
      <c r="U2637" s="5" t="str">
        <f>IFERROR(__xludf.DUMMYFUNCTION("""COMPUTED_VALUE"""),"D Ho")</f>
        <v>D Ho</v>
      </c>
      <c r="V2637" s="5" t="s">
        <v>14795</v>
      </c>
      <c r="W2637" s="5" t="str">
        <f t="shared" si="3"/>
        <v>Marita Grabiak</v>
      </c>
      <c r="X2637" s="5">
        <f t="shared" si="4"/>
        <v>1</v>
      </c>
      <c r="Y2637" s="5" t="str">
        <f>IFERROR(__xludf.DUMMYFUNCTION("REGEXEXTRACT(J2637, ""^\d+"")"),"124")</f>
        <v>124</v>
      </c>
      <c r="Z2637" s="5" t="str">
        <f>IFERROR(__xludf.DUMMYFUNCTION("REGEXEXTRACT(J2637, ""[A-Za-z ]+$"")")," min")</f>
        <v> min</v>
      </c>
      <c r="AA2637" s="5" t="str">
        <f>IFERROR(__xludf.DUMMYFUNCTION("IF(REGEXMATCH(Z2637, ""Season""), ""TV Show"", ""Movie"")"),"Movie")</f>
        <v>Movie</v>
      </c>
    </row>
    <row r="2638">
      <c r="A2638" s="1" t="s">
        <v>14796</v>
      </c>
      <c r="B2638" s="1" t="s">
        <v>27</v>
      </c>
      <c r="C2638" s="1" t="s">
        <v>14797</v>
      </c>
      <c r="D2638" s="1" t="s">
        <v>625</v>
      </c>
      <c r="E2638" s="1" t="s">
        <v>14798</v>
      </c>
      <c r="F2638" s="1" t="s">
        <v>3309</v>
      </c>
      <c r="G2638" s="1" t="s">
        <v>14760</v>
      </c>
      <c r="H2638" s="1">
        <v>2009.0</v>
      </c>
      <c r="I2638" s="1" t="s">
        <v>97</v>
      </c>
      <c r="J2638" s="1" t="s">
        <v>454</v>
      </c>
      <c r="K2638" s="1" t="s">
        <v>5099</v>
      </c>
      <c r="L2638" s="1" t="s">
        <v>14799</v>
      </c>
      <c r="M2638" s="2" t="s">
        <v>12</v>
      </c>
      <c r="N2638" s="4">
        <f t="shared" si="1"/>
        <v>43946</v>
      </c>
      <c r="O2638" s="5" t="str">
        <f>IFERROR(__xludf.DUMMYFUNCTION("IF(REGEXMATCH(TRIM(I2638), ""^\d+\s*min""), ""Unclassified"", IF(I2638 = """", ""NR"", I2638))"),"TV-14")</f>
        <v>TV-14</v>
      </c>
      <c r="R2638" s="5" t="str">
        <f t="shared" si="2"/>
        <v>The International Player</v>
      </c>
      <c r="S2638" s="5" t="str">
        <f>IFERROR(__xludf.DUMMYFUNCTION("""COMPUTED_VALUE"""),"Game Over (Tamil Version)")</f>
        <v>Game Over (Tamil Version)</v>
      </c>
      <c r="U2638" s="5" t="str">
        <f>IFERROR(__xludf.DUMMYFUNCTION("""COMPUTED_VALUE"""),"Judah Friedlander")</f>
        <v>Judah Friedlander</v>
      </c>
      <c r="V2638" s="5" t="s">
        <v>14800</v>
      </c>
      <c r="W2638" s="5" t="str">
        <f t="shared" si="3"/>
        <v>Marja Lewis Ryan</v>
      </c>
      <c r="X2638" s="5">
        <f t="shared" si="4"/>
        <v>1</v>
      </c>
      <c r="Y2638" s="5" t="str">
        <f>IFERROR(__xludf.DUMMYFUNCTION("REGEXEXTRACT(J2638, ""^\d+"")"),"93")</f>
        <v>93</v>
      </c>
      <c r="Z2638" s="5" t="str">
        <f>IFERROR(__xludf.DUMMYFUNCTION("REGEXEXTRACT(J2638, ""[A-Za-z ]+$"")")," min")</f>
        <v> min</v>
      </c>
      <c r="AA2638" s="5" t="str">
        <f>IFERROR(__xludf.DUMMYFUNCTION("IF(REGEXMATCH(Z2638, ""Season""), ""TV Show"", ""Movie"")"),"Movie")</f>
        <v>Movie</v>
      </c>
    </row>
    <row r="2639">
      <c r="A2639" s="1" t="s">
        <v>14801</v>
      </c>
      <c r="B2639" s="1" t="s">
        <v>27</v>
      </c>
      <c r="C2639" s="1" t="s">
        <v>14802</v>
      </c>
      <c r="D2639" s="1" t="s">
        <v>14803</v>
      </c>
      <c r="E2639" s="1" t="s">
        <v>14804</v>
      </c>
      <c r="F2639" s="1" t="s">
        <v>3309</v>
      </c>
      <c r="G2639" s="1" t="s">
        <v>14760</v>
      </c>
      <c r="H2639" s="1">
        <v>2008.0</v>
      </c>
      <c r="I2639" s="1" t="s">
        <v>97</v>
      </c>
      <c r="J2639" s="1" t="s">
        <v>297</v>
      </c>
      <c r="K2639" s="1" t="s">
        <v>128</v>
      </c>
      <c r="L2639" s="1" t="s">
        <v>14805</v>
      </c>
      <c r="M2639" s="2" t="s">
        <v>12</v>
      </c>
      <c r="N2639" s="4">
        <f t="shared" si="1"/>
        <v>43946</v>
      </c>
      <c r="O2639" s="5" t="str">
        <f>IFERROR(__xludf.DUMMYFUNCTION("IF(REGEXMATCH(TRIM(I2639), ""^\d+\s*min""), ""Unclassified"", IF(I2639 = """", ""NR"", I2639))"),"TV-14")</f>
        <v>TV-14</v>
      </c>
      <c r="R2639" s="5" t="str">
        <f t="shared" si="2"/>
        <v>The Promise</v>
      </c>
      <c r="S2639" s="5" t="str">
        <f>IFERROR(__xludf.DUMMYFUNCTION("""COMPUTED_VALUE"""),"Game Over (Telugu Version)")</f>
        <v>Game Over (Telugu Version)</v>
      </c>
      <c r="U2639" s="5" t="str">
        <f>IFERROR(__xludf.DUMMYFUNCTION("""COMPUTED_VALUE"""),"Errol Morris")</f>
        <v>Errol Morris</v>
      </c>
      <c r="V2639" s="5" t="s">
        <v>14806</v>
      </c>
      <c r="W2639" s="5" t="str">
        <f t="shared" si="3"/>
        <v>Mark A.Z. Dippé</v>
      </c>
      <c r="X2639" s="5">
        <f t="shared" si="4"/>
        <v>1</v>
      </c>
      <c r="Y2639" s="5" t="str">
        <f>IFERROR(__xludf.DUMMYFUNCTION("REGEXEXTRACT(J2639, ""^\d+"")"),"110")</f>
        <v>110</v>
      </c>
      <c r="Z2639" s="5" t="str">
        <f>IFERROR(__xludf.DUMMYFUNCTION("REGEXEXTRACT(J2639, ""[A-Za-z ]+$"")")," min")</f>
        <v> min</v>
      </c>
      <c r="AA2639" s="5" t="str">
        <f>IFERROR(__xludf.DUMMYFUNCTION("IF(REGEXMATCH(Z2639, ""Season""), ""TV Show"", ""Movie"")"),"Movie")</f>
        <v>Movie</v>
      </c>
    </row>
    <row r="2640">
      <c r="A2640" s="1" t="s">
        <v>14807</v>
      </c>
      <c r="B2640" s="1" t="s">
        <v>27</v>
      </c>
      <c r="C2640" s="11" t="s">
        <v>14808</v>
      </c>
      <c r="D2640" s="1" t="s">
        <v>633</v>
      </c>
      <c r="E2640" s="1" t="s">
        <v>14809</v>
      </c>
      <c r="F2640" s="1" t="s">
        <v>3309</v>
      </c>
      <c r="G2640" s="1" t="s">
        <v>14760</v>
      </c>
      <c r="H2640" s="1">
        <v>2009.0</v>
      </c>
      <c r="I2640" s="1" t="s">
        <v>97</v>
      </c>
      <c r="J2640" s="1" t="s">
        <v>379</v>
      </c>
      <c r="K2640" s="1" t="s">
        <v>583</v>
      </c>
      <c r="L2640" s="1" t="s">
        <v>14810</v>
      </c>
      <c r="M2640" s="2" t="s">
        <v>12</v>
      </c>
      <c r="N2640" s="4">
        <f t="shared" si="1"/>
        <v>43946</v>
      </c>
      <c r="O2640" s="5" t="str">
        <f>IFERROR(__xludf.DUMMYFUNCTION("IF(REGEXMATCH(TRIM(I2640), ""^\d+\s*min""), ""Unclassified"", IF(I2640 = """", ""NR"", I2640))"),"TV-14")</f>
        <v>TV-14</v>
      </c>
      <c r="R2640" s="5" t="str">
        <f t="shared" si="2"/>
        <v>الف مبروك</v>
      </c>
      <c r="S2640" s="5" t="str">
        <f>IFERROR(__xludf.DUMMYFUNCTION("""COMPUTED_VALUE"""),"Game Over, Man!")</f>
        <v>Game Over, Man!</v>
      </c>
      <c r="U2640" s="5" t="str">
        <f>IFERROR(__xludf.DUMMYFUNCTION("""COMPUTED_VALUE"""),"Alex Israel")</f>
        <v>Alex Israel</v>
      </c>
      <c r="V2640" s="5" t="s">
        <v>14811</v>
      </c>
      <c r="W2640" s="5" t="str">
        <f t="shared" si="3"/>
        <v>Mark A.Z. Dippé, Eondeok Han</v>
      </c>
      <c r="X2640" s="5">
        <f t="shared" si="4"/>
        <v>1</v>
      </c>
      <c r="Y2640" s="5" t="str">
        <f>IFERROR(__xludf.DUMMYFUNCTION("REGEXEXTRACT(J2640, ""^\d+"")"),"115")</f>
        <v>115</v>
      </c>
      <c r="Z2640" s="5" t="str">
        <f>IFERROR(__xludf.DUMMYFUNCTION("REGEXEXTRACT(J2640, ""[A-Za-z ]+$"")")," min")</f>
        <v> min</v>
      </c>
      <c r="AA2640" s="5" t="str">
        <f>IFERROR(__xludf.DUMMYFUNCTION("IF(REGEXMATCH(Z2640, ""Season""), ""TV Show"", ""Movie"")"),"Movie")</f>
        <v>Movie</v>
      </c>
    </row>
    <row r="2641">
      <c r="A2641" s="1" t="s">
        <v>14812</v>
      </c>
      <c r="B2641" s="1" t="s">
        <v>37</v>
      </c>
      <c r="C2641" s="11" t="s">
        <v>14813</v>
      </c>
      <c r="E2641" s="1" t="s">
        <v>14814</v>
      </c>
      <c r="G2641" s="1" t="s">
        <v>14760</v>
      </c>
      <c r="H2641" s="1">
        <v>2019.0</v>
      </c>
      <c r="I2641" s="1" t="s">
        <v>97</v>
      </c>
      <c r="J2641" s="1" t="s">
        <v>51</v>
      </c>
      <c r="K2641" s="1" t="s">
        <v>402</v>
      </c>
      <c r="L2641" s="1" t="s">
        <v>14815</v>
      </c>
      <c r="M2641" s="2" t="s">
        <v>12</v>
      </c>
      <c r="N2641" s="4">
        <f t="shared" si="1"/>
        <v>43946</v>
      </c>
      <c r="O2641" s="5" t="str">
        <f>IFERROR(__xludf.DUMMYFUNCTION("IF(REGEXMATCH(TRIM(I2641), ""^\d+\s*min""), ""Unclassified"", IF(I2641 = """", ""NR"", I2641))"),"TV-14")</f>
        <v>TV-14</v>
      </c>
      <c r="R2641" s="5" t="str">
        <f t="shared" si="2"/>
        <v>دفعة القاهرة</v>
      </c>
      <c r="S2641" s="5" t="str">
        <f>IFERROR(__xludf.DUMMYFUNCTION("""COMPUTED_VALUE"""),"Game Winning Hit")</f>
        <v>Game Winning Hit</v>
      </c>
      <c r="U2641" s="5" t="str">
        <f>IFERROR(__xludf.DUMMYFUNCTION("""COMPUTED_VALUE"""),"Griffin Dunne")</f>
        <v>Griffin Dunne</v>
      </c>
      <c r="V2641" s="5" t="s">
        <v>14816</v>
      </c>
      <c r="W2641" s="5" t="str">
        <f t="shared" si="3"/>
        <v>Mark A.Z. Dippé, Kyung Ho Lee</v>
      </c>
      <c r="X2641" s="5">
        <f t="shared" si="4"/>
        <v>1</v>
      </c>
      <c r="Y2641" s="5" t="str">
        <f>IFERROR(__xludf.DUMMYFUNCTION("REGEXEXTRACT(J2641, ""^\d+"")"),"1")</f>
        <v>1</v>
      </c>
      <c r="Z2641" s="5" t="str">
        <f>IFERROR(__xludf.DUMMYFUNCTION("REGEXEXTRACT(J2641, ""[A-Za-z ]+$"")")," Season")</f>
        <v> Season</v>
      </c>
      <c r="AA2641" s="5" t="str">
        <f>IFERROR(__xludf.DUMMYFUNCTION("IF(REGEXMATCH(Z2641, ""Season""), ""TV Show"", ""Movie"")"),"TV Show")</f>
        <v>TV Show</v>
      </c>
    </row>
    <row r="2642">
      <c r="A2642" s="1" t="s">
        <v>14817</v>
      </c>
      <c r="B2642" s="1" t="s">
        <v>37</v>
      </c>
      <c r="C2642" s="1" t="s">
        <v>14818</v>
      </c>
      <c r="E2642" s="1" t="s">
        <v>14819</v>
      </c>
      <c r="F2642" s="1" t="s">
        <v>96</v>
      </c>
      <c r="G2642" s="1" t="s">
        <v>14820</v>
      </c>
      <c r="H2642" s="1">
        <v>2020.0</v>
      </c>
      <c r="I2642" s="1" t="s">
        <v>42</v>
      </c>
      <c r="J2642" s="1" t="s">
        <v>43</v>
      </c>
      <c r="K2642" s="1" t="s">
        <v>277</v>
      </c>
      <c r="L2642" s="1" t="s">
        <v>14821</v>
      </c>
      <c r="M2642" s="2" t="s">
        <v>12</v>
      </c>
      <c r="N2642" s="4">
        <f t="shared" si="1"/>
        <v>43945</v>
      </c>
      <c r="O2642" s="5" t="str">
        <f>IFERROR(__xludf.DUMMYFUNCTION("IF(REGEXMATCH(TRIM(I2642), ""^\d+\s*min""), ""Unclassified"", IF(I2642 = """", ""NR"", I2642))"),"TV-MA")</f>
        <v>TV-MA</v>
      </c>
      <c r="R2642" s="5" t="str">
        <f t="shared" si="2"/>
        <v>After Life</v>
      </c>
      <c r="S2642" s="5" t="str">
        <f>IFERROR(__xludf.DUMMYFUNCTION("""COMPUTED_VALUE"""),"Gameboys Level-Up Edition")</f>
        <v>Gameboys Level-Up Edition</v>
      </c>
      <c r="U2642" s="5" t="str">
        <f>IFERROR(__xludf.DUMMYFUNCTION("""COMPUTED_VALUE"""),"Katherine Dieckmann")</f>
        <v>Katherine Dieckmann</v>
      </c>
      <c r="V2642" s="5" t="s">
        <v>14822</v>
      </c>
      <c r="W2642" s="5" t="str">
        <f t="shared" si="3"/>
        <v>Mark Columbus, Lauren Hoekstra, Sarah Kruchowski, Ryan Moody, Simon Savelyev, Vanita Shastry, Shadae Lamar Smith, Jeremy David White</v>
      </c>
      <c r="X2642" s="5">
        <f t="shared" si="4"/>
        <v>1</v>
      </c>
      <c r="Y2642" s="5" t="str">
        <f>IFERROR(__xludf.DUMMYFUNCTION("REGEXEXTRACT(J2642, ""^\d+"")"),"2")</f>
        <v>2</v>
      </c>
      <c r="Z2642" s="5" t="str">
        <f>IFERROR(__xludf.DUMMYFUNCTION("REGEXEXTRACT(J2642, ""[A-Za-z ]+$"")")," Seasons")</f>
        <v> Seasons</v>
      </c>
      <c r="AA2642" s="5" t="str">
        <f>IFERROR(__xludf.DUMMYFUNCTION("IF(REGEXMATCH(Z2642, ""Season""), ""TV Show"", ""Movie"")"),"TV Show")</f>
        <v>TV Show</v>
      </c>
    </row>
    <row r="2643">
      <c r="A2643" s="1" t="s">
        <v>14823</v>
      </c>
      <c r="B2643" s="1" t="s">
        <v>37</v>
      </c>
      <c r="C2643" s="1" t="s">
        <v>14824</v>
      </c>
      <c r="E2643" s="1" t="s">
        <v>14825</v>
      </c>
      <c r="G2643" s="1" t="s">
        <v>14820</v>
      </c>
      <c r="H2643" s="1">
        <v>2011.0</v>
      </c>
      <c r="I2643" s="1" t="s">
        <v>136</v>
      </c>
      <c r="J2643" s="1" t="s">
        <v>51</v>
      </c>
      <c r="K2643" s="1" t="s">
        <v>314</v>
      </c>
      <c r="L2643" s="1" t="s">
        <v>14826</v>
      </c>
      <c r="M2643" s="2" t="s">
        <v>12</v>
      </c>
      <c r="N2643" s="4">
        <f t="shared" si="1"/>
        <v>43945</v>
      </c>
      <c r="O2643" s="5" t="str">
        <f>IFERROR(__xludf.DUMMYFUNCTION("IF(REGEXMATCH(TRIM(I2643), ""^\d+\s*min""), ""Unclassified"", IF(I2643 = """", ""NR"", I2643))"),"TV-PG")</f>
        <v>TV-PG</v>
      </c>
      <c r="R2643" s="5" t="str">
        <f t="shared" si="2"/>
        <v>Dreamworks Spooky Stories: Volume 2</v>
      </c>
      <c r="S2643" s="5" t="str">
        <f>IFERROR(__xludf.DUMMYFUNCTION("""COMPUTED_VALUE"""),"Gang Of The Caribbean")</f>
        <v>Gang Of The Caribbean</v>
      </c>
      <c r="U2643" s="5" t="str">
        <f>IFERROR(__xludf.DUMMYFUNCTION("""COMPUTED_VALUE"""),"Heidi Ewing, Rachel Grady")</f>
        <v>Heidi Ewing, Rachel Grady</v>
      </c>
      <c r="V2643" s="5" t="s">
        <v>14827</v>
      </c>
      <c r="W2643" s="5" t="str">
        <f t="shared" si="3"/>
        <v>Mark Craig</v>
      </c>
      <c r="X2643" s="5">
        <f t="shared" si="4"/>
        <v>1</v>
      </c>
      <c r="Y2643" s="5" t="str">
        <f>IFERROR(__xludf.DUMMYFUNCTION("REGEXEXTRACT(J2643, ""^\d+"")"),"1")</f>
        <v>1</v>
      </c>
      <c r="Z2643" s="5" t="str">
        <f>IFERROR(__xludf.DUMMYFUNCTION("REGEXEXTRACT(J2643, ""[A-Za-z ]+$"")")," Season")</f>
        <v> Season</v>
      </c>
      <c r="AA2643" s="5" t="str">
        <f>IFERROR(__xludf.DUMMYFUNCTION("IF(REGEXMATCH(Z2643, ""Season""), ""TV Show"", ""Movie"")"),"TV Show")</f>
        <v>TV Show</v>
      </c>
    </row>
    <row r="2644">
      <c r="A2644" s="1" t="s">
        <v>14828</v>
      </c>
      <c r="B2644" s="1" t="s">
        <v>27</v>
      </c>
      <c r="C2644" s="1" t="s">
        <v>14829</v>
      </c>
      <c r="D2644" s="1" t="s">
        <v>4349</v>
      </c>
      <c r="E2644" s="1" t="s">
        <v>14830</v>
      </c>
      <c r="F2644" s="1" t="s">
        <v>63</v>
      </c>
      <c r="G2644" s="1" t="s">
        <v>14820</v>
      </c>
      <c r="H2644" s="1">
        <v>2019.0</v>
      </c>
      <c r="I2644" s="1" t="s">
        <v>97</v>
      </c>
      <c r="J2644" s="1" t="s">
        <v>1256</v>
      </c>
      <c r="K2644" s="1" t="s">
        <v>631</v>
      </c>
      <c r="L2644" s="1" t="s">
        <v>14831</v>
      </c>
      <c r="M2644" s="2" t="s">
        <v>12</v>
      </c>
      <c r="N2644" s="4">
        <f t="shared" si="1"/>
        <v>43945</v>
      </c>
      <c r="O2644" s="5" t="str">
        <f>IFERROR(__xludf.DUMMYFUNCTION("IF(REGEXMATCH(TRIM(I2644), ""^\d+\s*min""), ""Unclassified"", IF(I2644 = """", ""NR"", I2644))"),"TV-14")</f>
        <v>TV-14</v>
      </c>
      <c r="R2644" s="5" t="str">
        <f t="shared" si="2"/>
        <v>Kolaiyuthir Kaalam</v>
      </c>
      <c r="S2644" s="5" t="str">
        <f>IFERROR(__xludf.DUMMYFUNCTION("""COMPUTED_VALUE"""),"Gangaajal")</f>
        <v>Gangaajal</v>
      </c>
      <c r="U2644" s="5" t="str">
        <f>IFERROR(__xludf.DUMMYFUNCTION("""COMPUTED_VALUE"""),"Jeremy Rush")</f>
        <v>Jeremy Rush</v>
      </c>
      <c r="V2644" s="5" t="s">
        <v>6189</v>
      </c>
      <c r="W2644" s="5" t="str">
        <f t="shared" si="3"/>
        <v>Mark Dennis, Ben Foster</v>
      </c>
      <c r="X2644" s="5">
        <f t="shared" si="4"/>
        <v>1</v>
      </c>
      <c r="Y2644" s="5" t="str">
        <f>IFERROR(__xludf.DUMMYFUNCTION("REGEXEXTRACT(J2644, ""^\d+"")"),"107")</f>
        <v>107</v>
      </c>
      <c r="Z2644" s="5" t="str">
        <f>IFERROR(__xludf.DUMMYFUNCTION("REGEXEXTRACT(J2644, ""[A-Za-z ]+$"")")," min")</f>
        <v> min</v>
      </c>
      <c r="AA2644" s="5" t="str">
        <f>IFERROR(__xludf.DUMMYFUNCTION("IF(REGEXMATCH(Z2644, ""Season""), ""TV Show"", ""Movie"")"),"Movie")</f>
        <v>Movie</v>
      </c>
    </row>
    <row r="2645">
      <c r="A2645" s="1" t="s">
        <v>14832</v>
      </c>
      <c r="B2645" s="1" t="s">
        <v>37</v>
      </c>
      <c r="C2645" s="1" t="s">
        <v>14833</v>
      </c>
      <c r="E2645" s="1" t="s">
        <v>14834</v>
      </c>
      <c r="F2645" s="1" t="s">
        <v>188</v>
      </c>
      <c r="G2645" s="1" t="s">
        <v>14820</v>
      </c>
      <c r="H2645" s="1">
        <v>2020.0</v>
      </c>
      <c r="I2645" s="1" t="s">
        <v>42</v>
      </c>
      <c r="J2645" s="1" t="s">
        <v>51</v>
      </c>
      <c r="K2645" s="1" t="s">
        <v>1830</v>
      </c>
      <c r="L2645" s="1" t="s">
        <v>14835</v>
      </c>
      <c r="M2645" s="2" t="s">
        <v>12</v>
      </c>
      <c r="N2645" s="4">
        <f t="shared" si="1"/>
        <v>43945</v>
      </c>
      <c r="O2645" s="5" t="str">
        <f>IFERROR(__xludf.DUMMYFUNCTION("IF(REGEXMATCH(TRIM(I2645), ""^\d+\s*min""), ""Unclassified"", IF(I2645 = """", ""NR"", I2645))"),"TV-MA")</f>
        <v>TV-MA</v>
      </c>
      <c r="R2645" s="5" t="str">
        <f t="shared" si="2"/>
        <v>Love 101</v>
      </c>
      <c r="S2645" s="5" t="str">
        <f>IFERROR(__xludf.DUMMYFUNCTION("""COMPUTED_VALUE"""),"Ganglands")</f>
        <v>Ganglands</v>
      </c>
      <c r="U2645" s="5" t="str">
        <f>IFERROR(__xludf.DUMMYFUNCTION("""COMPUTED_VALUE"""),"Reem Kherici")</f>
        <v>Reem Kherici</v>
      </c>
      <c r="V2645" s="5" t="s">
        <v>14836</v>
      </c>
      <c r="W2645" s="5" t="str">
        <f t="shared" si="3"/>
        <v>Mark Dindal</v>
      </c>
      <c r="X2645" s="5">
        <f t="shared" si="4"/>
        <v>1</v>
      </c>
      <c r="Y2645" s="5" t="str">
        <f>IFERROR(__xludf.DUMMYFUNCTION("REGEXEXTRACT(J2645, ""^\d+"")"),"1")</f>
        <v>1</v>
      </c>
      <c r="Z2645" s="5" t="str">
        <f>IFERROR(__xludf.DUMMYFUNCTION("REGEXEXTRACT(J2645, ""[A-Za-z ]+$"")")," Season")</f>
        <v> Season</v>
      </c>
      <c r="AA2645" s="5" t="str">
        <f>IFERROR(__xludf.DUMMYFUNCTION("IF(REGEXMATCH(Z2645, ""Season""), ""TV Show"", ""Movie"")"),"TV Show")</f>
        <v>TV Show</v>
      </c>
    </row>
    <row r="2646">
      <c r="A2646" s="1" t="s">
        <v>14837</v>
      </c>
      <c r="B2646" s="1" t="s">
        <v>27</v>
      </c>
      <c r="C2646" s="1" t="s">
        <v>14838</v>
      </c>
      <c r="D2646" s="1" t="s">
        <v>14839</v>
      </c>
      <c r="E2646" s="1" t="s">
        <v>14840</v>
      </c>
      <c r="F2646" s="1" t="s">
        <v>63</v>
      </c>
      <c r="G2646" s="1" t="s">
        <v>14820</v>
      </c>
      <c r="H2646" s="1">
        <v>2020.0</v>
      </c>
      <c r="I2646" s="1" t="s">
        <v>42</v>
      </c>
      <c r="J2646" s="1" t="s">
        <v>4699</v>
      </c>
      <c r="K2646" s="1" t="s">
        <v>1839</v>
      </c>
      <c r="L2646" s="1" t="s">
        <v>14841</v>
      </c>
      <c r="M2646" s="2" t="s">
        <v>12</v>
      </c>
      <c r="N2646" s="4">
        <f t="shared" si="1"/>
        <v>43945</v>
      </c>
      <c r="O2646" s="5" t="str">
        <f>IFERROR(__xludf.DUMMYFUNCTION("IF(REGEXMATCH(TRIM(I2646), ""^\d+\s*min""), ""Unclassified"", IF(I2646 = """", ""NR"", I2646))"),"TV-MA")</f>
        <v>TV-MA</v>
      </c>
      <c r="R2646" s="5" t="str">
        <f t="shared" si="2"/>
        <v>Yours Sincerely, Kanan Gill</v>
      </c>
      <c r="S2646" s="5" t="str">
        <f>IFERROR(__xludf.DUMMYFUNCTION("""COMPUTED_VALUE"""),"Gangs Of Hassepur")</f>
        <v>Gangs Of Hassepur</v>
      </c>
      <c r="U2646" s="5" t="str">
        <f>IFERROR(__xludf.DUMMYFUNCTION("""COMPUTED_VALUE"""),"Ranjit Tiwari")</f>
        <v>Ranjit Tiwari</v>
      </c>
      <c r="V2646" s="5" t="s">
        <v>14842</v>
      </c>
      <c r="W2646" s="5" t="str">
        <f t="shared" si="3"/>
        <v>Mark Franchetti, Andrew Meier</v>
      </c>
      <c r="X2646" s="5">
        <f t="shared" si="4"/>
        <v>1</v>
      </c>
      <c r="Y2646" s="5" t="str">
        <f>IFERROR(__xludf.DUMMYFUNCTION("REGEXEXTRACT(J2646, ""^\d+"")"),"72")</f>
        <v>72</v>
      </c>
      <c r="Z2646" s="5" t="str">
        <f>IFERROR(__xludf.DUMMYFUNCTION("REGEXEXTRACT(J2646, ""[A-Za-z ]+$"")")," min")</f>
        <v> min</v>
      </c>
      <c r="AA2646" s="5" t="str">
        <f>IFERROR(__xludf.DUMMYFUNCTION("IF(REGEXMATCH(Z2646, ""Season""), ""TV Show"", ""Movie"")"),"Movie")</f>
        <v>Movie</v>
      </c>
    </row>
    <row r="2647">
      <c r="A2647" s="1" t="s">
        <v>14843</v>
      </c>
      <c r="B2647" s="1" t="s">
        <v>37</v>
      </c>
      <c r="C2647" s="1" t="s">
        <v>14844</v>
      </c>
      <c r="E2647" s="1" t="s">
        <v>14845</v>
      </c>
      <c r="F2647" s="1" t="s">
        <v>6651</v>
      </c>
      <c r="G2647" s="1" t="s">
        <v>14846</v>
      </c>
      <c r="H2647" s="1">
        <v>2020.0</v>
      </c>
      <c r="I2647" s="1" t="s">
        <v>97</v>
      </c>
      <c r="J2647" s="1" t="s">
        <v>51</v>
      </c>
      <c r="K2647" s="1" t="s">
        <v>3858</v>
      </c>
      <c r="L2647" s="1" t="s">
        <v>14847</v>
      </c>
      <c r="M2647" s="2" t="s">
        <v>12</v>
      </c>
      <c r="N2647" s="4">
        <f t="shared" si="1"/>
        <v>43944</v>
      </c>
      <c r="O2647" s="5" t="str">
        <f>IFERROR(__xludf.DUMMYFUNCTION("IF(REGEXMATCH(TRIM(I2647), ""^\d+\s*min""), ""Unclassified"", IF(I2647 = """", ""NR"", I2647))"),"TV-14")</f>
        <v>TV-14</v>
      </c>
      <c r="R2647" s="5" t="str">
        <f t="shared" si="2"/>
        <v>Ghost In The Shell: Sac_2045</v>
      </c>
      <c r="S2647" s="5" t="str">
        <f>IFERROR(__xludf.DUMMYFUNCTION("""COMPUTED_VALUE"""),"Gangs Of New York")</f>
        <v>Gangs Of New York</v>
      </c>
      <c r="U2647" s="5" t="str">
        <f>IFERROR(__xludf.DUMMYFUNCTION("""COMPUTED_VALUE"""),"David Stubbs")</f>
        <v>David Stubbs</v>
      </c>
      <c r="V2647" s="5" t="s">
        <v>14848</v>
      </c>
      <c r="W2647" s="5" t="str">
        <f t="shared" si="3"/>
        <v>Mark Harris</v>
      </c>
      <c r="X2647" s="5">
        <f t="shared" si="4"/>
        <v>1</v>
      </c>
      <c r="Y2647" s="5" t="str">
        <f>IFERROR(__xludf.DUMMYFUNCTION("REGEXEXTRACT(J2647, ""^\d+"")"),"1")</f>
        <v>1</v>
      </c>
      <c r="Z2647" s="5" t="str">
        <f>IFERROR(__xludf.DUMMYFUNCTION("REGEXEXTRACT(J2647, ""[A-Za-z ]+$"")")," Season")</f>
        <v> Season</v>
      </c>
      <c r="AA2647" s="5" t="str">
        <f>IFERROR(__xludf.DUMMYFUNCTION("IF(REGEXMATCH(Z2647, ""Season""), ""TV Show"", ""Movie"")"),"TV Show")</f>
        <v>TV Show</v>
      </c>
    </row>
    <row r="2648">
      <c r="A2648" s="1" t="s">
        <v>14849</v>
      </c>
      <c r="B2648" s="1" t="s">
        <v>27</v>
      </c>
      <c r="C2648" s="1" t="s">
        <v>14850</v>
      </c>
      <c r="D2648" s="1" t="s">
        <v>14851</v>
      </c>
      <c r="E2648" s="1" t="s">
        <v>14852</v>
      </c>
      <c r="F2648" s="1" t="s">
        <v>2873</v>
      </c>
      <c r="G2648" s="1" t="s">
        <v>14846</v>
      </c>
      <c r="H2648" s="1">
        <v>2016.0</v>
      </c>
      <c r="I2648" s="1" t="s">
        <v>506</v>
      </c>
      <c r="J2648" s="1" t="s">
        <v>1256</v>
      </c>
      <c r="K2648" s="1" t="s">
        <v>199</v>
      </c>
      <c r="L2648" s="1" t="s">
        <v>14853</v>
      </c>
      <c r="M2648" s="2" t="s">
        <v>12</v>
      </c>
      <c r="N2648" s="4">
        <f t="shared" si="1"/>
        <v>43944</v>
      </c>
      <c r="O2648" s="5" t="str">
        <f>IFERROR(__xludf.DUMMYFUNCTION("IF(REGEXMATCH(TRIM(I2648), ""^\d+\s*min""), ""Unclassified"", IF(I2648 = """", ""NR"", I2648))"),"TV-G")</f>
        <v>TV-G</v>
      </c>
      <c r="R2648" s="5" t="str">
        <f t="shared" si="2"/>
        <v>My Stupid Boss</v>
      </c>
      <c r="S2648" s="5" t="str">
        <f>IFERROR(__xludf.DUMMYFUNCTION("""COMPUTED_VALUE"""),"Gantz:O")</f>
        <v>Gantz:O</v>
      </c>
      <c r="U2648" s="5" t="str">
        <f>IFERROR(__xludf.DUMMYFUNCTION("""COMPUTED_VALUE"""),"Shakti Samanta")</f>
        <v>Shakti Samanta</v>
      </c>
      <c r="V2648" s="5" t="s">
        <v>14854</v>
      </c>
      <c r="W2648" s="5" t="str">
        <f t="shared" si="3"/>
        <v>Mark Helenowski, Kevin Pang</v>
      </c>
      <c r="X2648" s="5">
        <f t="shared" si="4"/>
        <v>1</v>
      </c>
      <c r="Y2648" s="5" t="str">
        <f>IFERROR(__xludf.DUMMYFUNCTION("REGEXEXTRACT(J2648, ""^\d+"")"),"107")</f>
        <v>107</v>
      </c>
      <c r="Z2648" s="5" t="str">
        <f>IFERROR(__xludf.DUMMYFUNCTION("REGEXEXTRACT(J2648, ""[A-Za-z ]+$"")")," min")</f>
        <v> min</v>
      </c>
      <c r="AA2648" s="5" t="str">
        <f>IFERROR(__xludf.DUMMYFUNCTION("IF(REGEXMATCH(Z2648, ""Season""), ""TV Show"", ""Movie"")"),"Movie")</f>
        <v>Movie</v>
      </c>
    </row>
    <row r="2649">
      <c r="A2649" s="1" t="s">
        <v>14855</v>
      </c>
      <c r="B2649" s="1" t="s">
        <v>27</v>
      </c>
      <c r="C2649" s="1" t="s">
        <v>14856</v>
      </c>
      <c r="D2649" s="1" t="s">
        <v>14851</v>
      </c>
      <c r="E2649" s="1" t="s">
        <v>14857</v>
      </c>
      <c r="F2649" s="1" t="s">
        <v>2873</v>
      </c>
      <c r="G2649" s="1" t="s">
        <v>14846</v>
      </c>
      <c r="H2649" s="1">
        <v>2019.0</v>
      </c>
      <c r="I2649" s="1" t="s">
        <v>97</v>
      </c>
      <c r="J2649" s="1" t="s">
        <v>465</v>
      </c>
      <c r="K2649" s="1" t="s">
        <v>199</v>
      </c>
      <c r="L2649" s="1" t="s">
        <v>14858</v>
      </c>
      <c r="M2649" s="2" t="s">
        <v>12</v>
      </c>
      <c r="N2649" s="4">
        <f t="shared" si="1"/>
        <v>43944</v>
      </c>
      <c r="O2649" s="5" t="str">
        <f>IFERROR(__xludf.DUMMYFUNCTION("IF(REGEXMATCH(TRIM(I2649), ""^\d+\s*min""), ""Unclassified"", IF(I2649 = """", ""NR"", I2649))"),"TV-14")</f>
        <v>TV-14</v>
      </c>
      <c r="R2649" s="5" t="str">
        <f t="shared" si="2"/>
        <v>My Stupid Boss 2</v>
      </c>
      <c r="S2649" s="5" t="str">
        <f>IFERROR(__xludf.DUMMYFUNCTION("""COMPUTED_VALUE"""),"Garbage")</f>
        <v>Garbage</v>
      </c>
      <c r="U2649" s="5" t="str">
        <f>IFERROR(__xludf.DUMMYFUNCTION("""COMPUTED_VALUE"""),"Mahmoud Al Massad")</f>
        <v>Mahmoud Al Massad</v>
      </c>
      <c r="V2649" s="5" t="s">
        <v>2197</v>
      </c>
      <c r="W2649" s="5" t="str">
        <f t="shared" si="3"/>
        <v>Mark Helfrich</v>
      </c>
      <c r="X2649" s="5">
        <f t="shared" si="4"/>
        <v>1</v>
      </c>
      <c r="Y2649" s="5" t="str">
        <f>IFERROR(__xludf.DUMMYFUNCTION("REGEXEXTRACT(J2649, ""^\d+"")"),"95")</f>
        <v>95</v>
      </c>
      <c r="Z2649" s="5" t="str">
        <f>IFERROR(__xludf.DUMMYFUNCTION("REGEXEXTRACT(J2649, ""[A-Za-z ]+$"")")," min")</f>
        <v> min</v>
      </c>
      <c r="AA2649" s="5" t="str">
        <f>IFERROR(__xludf.DUMMYFUNCTION("IF(REGEXMATCH(Z2649, ""Season""), ""TV Show"", ""Movie"")"),"Movie")</f>
        <v>Movie</v>
      </c>
    </row>
    <row r="2650">
      <c r="A2650" s="1" t="s">
        <v>14859</v>
      </c>
      <c r="B2650" s="1" t="s">
        <v>37</v>
      </c>
      <c r="C2650" s="1" t="s">
        <v>14860</v>
      </c>
      <c r="E2650" s="1" t="s">
        <v>14861</v>
      </c>
      <c r="F2650" s="1" t="s">
        <v>162</v>
      </c>
      <c r="G2650" s="1" t="s">
        <v>14846</v>
      </c>
      <c r="H2650" s="1">
        <v>2020.0</v>
      </c>
      <c r="I2650" s="1" t="s">
        <v>42</v>
      </c>
      <c r="J2650" s="1" t="s">
        <v>276</v>
      </c>
      <c r="K2650" s="1" t="s">
        <v>1627</v>
      </c>
      <c r="L2650" s="1" t="s">
        <v>14862</v>
      </c>
      <c r="M2650" s="2" t="s">
        <v>12</v>
      </c>
      <c r="N2650" s="4">
        <f t="shared" si="1"/>
        <v>43944</v>
      </c>
      <c r="O2650" s="5" t="str">
        <f>IFERROR(__xludf.DUMMYFUNCTION("IF(REGEXMATCH(TRIM(I2650), ""^\d+\s*min""), ""Unclassified"", IF(I2650 = """", ""NR"", I2650))"),"TV-MA")</f>
        <v>TV-MA</v>
      </c>
      <c r="R2650" s="5" t="str">
        <f t="shared" si="2"/>
        <v>The House Of Flowers</v>
      </c>
      <c r="S2650" s="5" t="str">
        <f>IFERROR(__xludf.DUMMYFUNCTION("""COMPUTED_VALUE"""),"Gardeners Of Eden")</f>
        <v>Gardeners Of Eden</v>
      </c>
      <c r="U2650" s="5" t="str">
        <f>IFERROR(__xludf.DUMMYFUNCTION("""COMPUTED_VALUE"""),"Yesim Ustaoglu")</f>
        <v>Yesim Ustaoglu</v>
      </c>
      <c r="V2650" s="5" t="s">
        <v>14863</v>
      </c>
      <c r="W2650" s="5" t="str">
        <f t="shared" si="3"/>
        <v>Mark Herman</v>
      </c>
      <c r="X2650" s="5">
        <f t="shared" si="4"/>
        <v>1</v>
      </c>
      <c r="Y2650" s="5" t="str">
        <f>IFERROR(__xludf.DUMMYFUNCTION("REGEXEXTRACT(J2650, ""^\d+"")"),"3")</f>
        <v>3</v>
      </c>
      <c r="Z2650" s="5" t="str">
        <f>IFERROR(__xludf.DUMMYFUNCTION("REGEXEXTRACT(J2650, ""[A-Za-z ]+$"")")," Seasons")</f>
        <v> Seasons</v>
      </c>
      <c r="AA2650" s="5" t="str">
        <f>IFERROR(__xludf.DUMMYFUNCTION("IF(REGEXMATCH(Z2650, ""Season""), ""TV Show"", ""Movie"")"),"TV Show")</f>
        <v>TV Show</v>
      </c>
    </row>
    <row r="2651">
      <c r="A2651" s="1" t="s">
        <v>14864</v>
      </c>
      <c r="B2651" s="1" t="s">
        <v>27</v>
      </c>
      <c r="C2651" s="1" t="s">
        <v>14865</v>
      </c>
      <c r="D2651" s="1" t="s">
        <v>8317</v>
      </c>
      <c r="E2651" s="1" t="s">
        <v>14866</v>
      </c>
      <c r="F2651" s="1" t="s">
        <v>2873</v>
      </c>
      <c r="G2651" s="1" t="s">
        <v>14846</v>
      </c>
      <c r="H2651" s="1">
        <v>2019.0</v>
      </c>
      <c r="I2651" s="1" t="s">
        <v>97</v>
      </c>
      <c r="J2651" s="1" t="s">
        <v>14867</v>
      </c>
      <c r="K2651" s="1" t="s">
        <v>128</v>
      </c>
      <c r="L2651" s="1" t="s">
        <v>14868</v>
      </c>
      <c r="M2651" s="2" t="s">
        <v>12</v>
      </c>
      <c r="N2651" s="4">
        <f t="shared" si="1"/>
        <v>43944</v>
      </c>
      <c r="O2651" s="5" t="str">
        <f>IFERROR(__xludf.DUMMYFUNCTION("IF(REGEXMATCH(TRIM(I2651), ""^\d+\s*min""), ""Unclassified"", IF(I2651 = """", ""NR"", I2651))"),"TV-14")</f>
        <v>TV-14</v>
      </c>
      <c r="R2651" s="5" t="str">
        <f t="shared" si="2"/>
        <v>This Earth Of Mankind</v>
      </c>
      <c r="S2651" s="5" t="str">
        <f>IFERROR(__xludf.DUMMYFUNCTION("""COMPUTED_VALUE"""),"Garfield Gets Real")</f>
        <v>Garfield Gets Real</v>
      </c>
      <c r="U2651" s="5" t="str">
        <f>IFERROR(__xludf.DUMMYFUNCTION("""COMPUTED_VALUE"""),"Jan Suter")</f>
        <v>Jan Suter</v>
      </c>
      <c r="V2651" s="5" t="s">
        <v>14869</v>
      </c>
      <c r="W2651" s="5" t="str">
        <f t="shared" si="3"/>
        <v>Mark Landre Gould</v>
      </c>
      <c r="X2651" s="5">
        <f t="shared" si="4"/>
        <v>1</v>
      </c>
      <c r="Y2651" s="5" t="str">
        <f>IFERROR(__xludf.DUMMYFUNCTION("REGEXEXTRACT(J2651, ""^\d+"")"),"180")</f>
        <v>180</v>
      </c>
      <c r="Z2651" s="5" t="str">
        <f>IFERROR(__xludf.DUMMYFUNCTION("REGEXEXTRACT(J2651, ""[A-Za-z ]+$"")")," min")</f>
        <v> min</v>
      </c>
      <c r="AA2651" s="5" t="str">
        <f>IFERROR(__xludf.DUMMYFUNCTION("IF(REGEXMATCH(Z2651, ""Season""), ""TV Show"", ""Movie"")"),"Movie")</f>
        <v>Movie</v>
      </c>
    </row>
    <row r="2652">
      <c r="A2652" s="1" t="s">
        <v>14870</v>
      </c>
      <c r="B2652" s="1" t="s">
        <v>27</v>
      </c>
      <c r="C2652" s="1" t="s">
        <v>14871</v>
      </c>
      <c r="D2652" s="1" t="s">
        <v>14872</v>
      </c>
      <c r="E2652" s="1" t="s">
        <v>14873</v>
      </c>
      <c r="F2652" s="1" t="s">
        <v>749</v>
      </c>
      <c r="G2652" s="1" t="s">
        <v>14846</v>
      </c>
      <c r="H2652" s="1">
        <v>2020.0</v>
      </c>
      <c r="I2652" s="1" t="s">
        <v>42</v>
      </c>
      <c r="J2652" s="1" t="s">
        <v>1369</v>
      </c>
      <c r="K2652" s="1" t="s">
        <v>631</v>
      </c>
      <c r="L2652" s="1" t="s">
        <v>14874</v>
      </c>
      <c r="M2652" s="2" t="s">
        <v>12</v>
      </c>
      <c r="N2652" s="4">
        <f t="shared" si="1"/>
        <v>43944</v>
      </c>
      <c r="O2652" s="5" t="str">
        <f>IFERROR(__xludf.DUMMYFUNCTION("IF(REGEXMATCH(TRIM(I2652), ""^\d+\s*min""), ""Unclassified"", IF(I2652 = """", ""NR"", I2652))"),"TV-MA")</f>
        <v>TV-MA</v>
      </c>
      <c r="R2652" s="5" t="str">
        <f t="shared" si="2"/>
        <v>Time To Hunt</v>
      </c>
      <c r="S2652" s="5" t="str">
        <f>IFERROR(__xludf.DUMMYFUNCTION("""COMPUTED_VALUE"""),"Garfield'S Fun Fest")</f>
        <v>Garfield'S Fun Fest</v>
      </c>
      <c r="U2652" s="5" t="str">
        <f>IFERROR(__xludf.DUMMYFUNCTION("""COMPUTED_VALUE"""),"Lucy Cohen")</f>
        <v>Lucy Cohen</v>
      </c>
      <c r="V2652" s="5" t="s">
        <v>14875</v>
      </c>
      <c r="W2652" s="5" t="str">
        <f t="shared" si="3"/>
        <v>Mark Lewis</v>
      </c>
      <c r="X2652" s="5">
        <f t="shared" si="4"/>
        <v>1</v>
      </c>
      <c r="Y2652" s="5" t="str">
        <f>IFERROR(__xludf.DUMMYFUNCTION("REGEXEXTRACT(J2652, ""^\d+"")"),"135")</f>
        <v>135</v>
      </c>
      <c r="Z2652" s="5" t="str">
        <f>IFERROR(__xludf.DUMMYFUNCTION("REGEXEXTRACT(J2652, ""[A-Za-z ]+$"")")," min")</f>
        <v> min</v>
      </c>
      <c r="AA2652" s="5" t="str">
        <f>IFERROR(__xludf.DUMMYFUNCTION("IF(REGEXMATCH(Z2652, ""Season""), ""TV Show"", ""Movie"")"),"Movie")</f>
        <v>Movie</v>
      </c>
    </row>
    <row r="2653">
      <c r="A2653" s="1" t="s">
        <v>14876</v>
      </c>
      <c r="B2653" s="1" t="s">
        <v>37</v>
      </c>
      <c r="C2653" s="1" t="s">
        <v>14877</v>
      </c>
      <c r="E2653" s="1" t="s">
        <v>14878</v>
      </c>
      <c r="F2653" s="1" t="s">
        <v>30</v>
      </c>
      <c r="G2653" s="1" t="s">
        <v>14879</v>
      </c>
      <c r="H2653" s="1">
        <v>2020.0</v>
      </c>
      <c r="I2653" s="1" t="s">
        <v>136</v>
      </c>
      <c r="J2653" s="1" t="s">
        <v>51</v>
      </c>
      <c r="K2653" s="1" t="s">
        <v>14880</v>
      </c>
      <c r="L2653" s="1" t="s">
        <v>14881</v>
      </c>
      <c r="M2653" s="2" t="s">
        <v>12</v>
      </c>
      <c r="N2653" s="4">
        <f t="shared" si="1"/>
        <v>43943</v>
      </c>
      <c r="O2653" s="5" t="str">
        <f>IFERROR(__xludf.DUMMYFUNCTION("IF(REGEXMATCH(TRIM(I2653), ""^\d+\s*min""), ""Unclassified"", IF(I2653 = """", ""NR"", I2653))"),"TV-PG")</f>
        <v>TV-PG</v>
      </c>
      <c r="R2653" s="5" t="str">
        <f t="shared" si="2"/>
        <v>Absurd Planet</v>
      </c>
      <c r="S2653" s="5" t="str">
        <f>IFERROR(__xludf.DUMMYFUNCTION("""COMPUTED_VALUE"""),"Garfield'S Pet Force")</f>
        <v>Garfield'S Pet Force</v>
      </c>
      <c r="U2653" s="5" t="str">
        <f>IFERROR(__xludf.DUMMYFUNCTION("""COMPUTED_VALUE"""),"Mahmoud Sabbagh")</f>
        <v>Mahmoud Sabbagh</v>
      </c>
      <c r="V2653" s="5" t="s">
        <v>1572</v>
      </c>
      <c r="W2653" s="5" t="str">
        <f t="shared" si="3"/>
        <v>Mark Lo</v>
      </c>
      <c r="X2653" s="5">
        <f t="shared" si="4"/>
        <v>1</v>
      </c>
      <c r="Y2653" s="5" t="str">
        <f>IFERROR(__xludf.DUMMYFUNCTION("REGEXEXTRACT(J2653, ""^\d+"")"),"1")</f>
        <v>1</v>
      </c>
      <c r="Z2653" s="5" t="str">
        <f>IFERROR(__xludf.DUMMYFUNCTION("REGEXEXTRACT(J2653, ""[A-Za-z ]+$"")")," Season")</f>
        <v> Season</v>
      </c>
      <c r="AA2653" s="5" t="str">
        <f>IFERROR(__xludf.DUMMYFUNCTION("IF(REGEXMATCH(Z2653, ""Season""), ""TV Show"", ""Movie"")"),"TV Show")</f>
        <v>TV Show</v>
      </c>
    </row>
    <row r="2654">
      <c r="A2654" s="1" t="s">
        <v>14882</v>
      </c>
      <c r="B2654" s="1" t="s">
        <v>27</v>
      </c>
      <c r="C2654" s="1" t="s">
        <v>14883</v>
      </c>
      <c r="D2654" s="1" t="s">
        <v>14884</v>
      </c>
      <c r="F2654" s="1" t="s">
        <v>30</v>
      </c>
      <c r="G2654" s="1" t="s">
        <v>14879</v>
      </c>
      <c r="H2654" s="1">
        <v>2020.0</v>
      </c>
      <c r="I2654" s="1" t="s">
        <v>42</v>
      </c>
      <c r="J2654" s="1" t="s">
        <v>630</v>
      </c>
      <c r="K2654" s="1" t="s">
        <v>1212</v>
      </c>
      <c r="L2654" s="1" t="s">
        <v>14885</v>
      </c>
      <c r="M2654" s="2" t="s">
        <v>12</v>
      </c>
      <c r="N2654" s="4">
        <f t="shared" si="1"/>
        <v>43943</v>
      </c>
      <c r="O2654" s="5" t="str">
        <f>IFERROR(__xludf.DUMMYFUNCTION("IF(REGEXMATCH(TRIM(I2654), ""^\d+\s*min""), ""Unclassified"", IF(I2654 = """", ""NR"", I2654))"),"TV-MA")</f>
        <v>TV-MA</v>
      </c>
      <c r="R2654" s="5" t="str">
        <f t="shared" si="2"/>
        <v>Circus Of Books</v>
      </c>
      <c r="S2654" s="5" t="str">
        <f>IFERROR(__xludf.DUMMYFUNCTION("""COMPUTED_VALUE"""),"Garfunkel And Oates: Trying To Be Special")</f>
        <v>Garfunkel And Oates: Trying To Be Special</v>
      </c>
      <c r="U2654" s="5" t="str">
        <f>IFERROR(__xludf.DUMMYFUNCTION("""COMPUTED_VALUE"""),"Borja Cobeaga")</f>
        <v>Borja Cobeaga</v>
      </c>
      <c r="V2654" s="5" t="s">
        <v>14886</v>
      </c>
      <c r="W2654" s="5" t="str">
        <f t="shared" si="3"/>
        <v>Mark Mcqueen</v>
      </c>
      <c r="X2654" s="5">
        <f t="shared" si="4"/>
        <v>1</v>
      </c>
      <c r="Y2654" s="5" t="str">
        <f>IFERROR(__xludf.DUMMYFUNCTION("REGEXEXTRACT(J2654, ""^\d+"")"),"87")</f>
        <v>87</v>
      </c>
      <c r="Z2654" s="5" t="str">
        <f>IFERROR(__xludf.DUMMYFUNCTION("REGEXEXTRACT(J2654, ""[A-Za-z ]+$"")")," min")</f>
        <v> min</v>
      </c>
      <c r="AA2654" s="5" t="str">
        <f>IFERROR(__xludf.DUMMYFUNCTION("IF(REGEXMATCH(Z2654, ""Season""), ""TV Show"", ""Movie"")"),"Movie")</f>
        <v>Movie</v>
      </c>
    </row>
    <row r="2655">
      <c r="A2655" s="1" t="s">
        <v>14887</v>
      </c>
      <c r="B2655" s="1" t="s">
        <v>27</v>
      </c>
      <c r="C2655" s="1" t="s">
        <v>14888</v>
      </c>
      <c r="D2655" s="1" t="s">
        <v>14889</v>
      </c>
      <c r="E2655" s="1" t="s">
        <v>14890</v>
      </c>
      <c r="F2655" s="1" t="s">
        <v>2446</v>
      </c>
      <c r="G2655" s="1" t="s">
        <v>14879</v>
      </c>
      <c r="H2655" s="1">
        <v>2018.0</v>
      </c>
      <c r="I2655" s="1" t="s">
        <v>42</v>
      </c>
      <c r="J2655" s="1" t="s">
        <v>170</v>
      </c>
      <c r="K2655" s="1" t="s">
        <v>631</v>
      </c>
      <c r="L2655" s="1" t="s">
        <v>14891</v>
      </c>
      <c r="M2655" s="2" t="s">
        <v>12</v>
      </c>
      <c r="N2655" s="4">
        <f t="shared" si="1"/>
        <v>43943</v>
      </c>
      <c r="O2655" s="5" t="str">
        <f>IFERROR(__xludf.DUMMYFUNCTION("IF(REGEXMATCH(TRIM(I2655), ""^\d+\s*min""), ""Unclassified"", IF(I2655 = """", ""NR"", I2655))"),"TV-MA")</f>
        <v>TV-MA</v>
      </c>
      <c r="R2655" s="5" t="str">
        <f t="shared" si="2"/>
        <v>The Plagues Of Breslau</v>
      </c>
      <c r="S2655" s="5" t="str">
        <f>IFERROR(__xludf.DUMMYFUNCTION("""COMPUTED_VALUE"""),"Gargantia On The Verdurous Planet")</f>
        <v>Gargantia On The Verdurous Planet</v>
      </c>
      <c r="U2655" s="5" t="str">
        <f>IFERROR(__xludf.DUMMYFUNCTION("""COMPUTED_VALUE"""),"David France")</f>
        <v>David France</v>
      </c>
      <c r="V2655" s="5" t="s">
        <v>14892</v>
      </c>
      <c r="W2655" s="5" t="str">
        <f t="shared" si="3"/>
        <v>Mark Murphy</v>
      </c>
      <c r="X2655" s="5">
        <f t="shared" si="4"/>
        <v>1</v>
      </c>
      <c r="Y2655" s="5" t="str">
        <f>IFERROR(__xludf.DUMMYFUNCTION("REGEXEXTRACT(J2655, ""^\d+"")"),"94")</f>
        <v>94</v>
      </c>
      <c r="Z2655" s="5" t="str">
        <f>IFERROR(__xludf.DUMMYFUNCTION("REGEXEXTRACT(J2655, ""[A-Za-z ]+$"")")," min")</f>
        <v> min</v>
      </c>
      <c r="AA2655" s="5" t="str">
        <f>IFERROR(__xludf.DUMMYFUNCTION("IF(REGEXMATCH(Z2655, ""Season""), ""TV Show"", ""Movie"")"),"Movie")</f>
        <v>Movie</v>
      </c>
    </row>
    <row r="2656">
      <c r="A2656" s="1" t="s">
        <v>14893</v>
      </c>
      <c r="B2656" s="1" t="s">
        <v>27</v>
      </c>
      <c r="C2656" s="1" t="s">
        <v>14894</v>
      </c>
      <c r="D2656" s="1" t="s">
        <v>12095</v>
      </c>
      <c r="E2656" s="1" t="s">
        <v>14895</v>
      </c>
      <c r="F2656" s="1" t="s">
        <v>400</v>
      </c>
      <c r="G2656" s="1" t="s">
        <v>14879</v>
      </c>
      <c r="H2656" s="1">
        <v>2019.0</v>
      </c>
      <c r="I2656" s="1" t="s">
        <v>42</v>
      </c>
      <c r="J2656" s="1" t="s">
        <v>305</v>
      </c>
      <c r="K2656" s="1" t="s">
        <v>128</v>
      </c>
      <c r="L2656" s="1" t="s">
        <v>14896</v>
      </c>
      <c r="M2656" s="2" t="s">
        <v>12</v>
      </c>
      <c r="N2656" s="4">
        <f t="shared" si="1"/>
        <v>43943</v>
      </c>
      <c r="O2656" s="5" t="str">
        <f>IFERROR(__xludf.DUMMYFUNCTION("IF(REGEXMATCH(TRIM(I2656), ""^\d+\s*min""), ""Unclassified"", IF(I2656 = """", ""NR"", I2656))"),"TV-MA")</f>
        <v>TV-MA</v>
      </c>
      <c r="R2656" s="5" t="str">
        <f t="shared" si="2"/>
        <v>The Set Up</v>
      </c>
      <c r="S2656" s="5" t="str">
        <f>IFERROR(__xludf.DUMMYFUNCTION("""COMPUTED_VALUE"""),"Garth Brooks: The Road I’M On")</f>
        <v>Garth Brooks: The Road I’M On</v>
      </c>
      <c r="U2656" s="5" t="str">
        <f>IFERROR(__xludf.DUMMYFUNCTION("""COMPUTED_VALUE"""),"Brandon Jones")</f>
        <v>Brandon Jones</v>
      </c>
      <c r="V2656" s="5" t="s">
        <v>14897</v>
      </c>
      <c r="W2656" s="5" t="str">
        <f t="shared" si="3"/>
        <v>Mark Neveldine</v>
      </c>
      <c r="X2656" s="5">
        <f t="shared" si="4"/>
        <v>1</v>
      </c>
      <c r="Y2656" s="5" t="str">
        <f>IFERROR(__xludf.DUMMYFUNCTION("REGEXEXTRACT(J2656, ""^\d+"")"),"105")</f>
        <v>105</v>
      </c>
      <c r="Z2656" s="5" t="str">
        <f>IFERROR(__xludf.DUMMYFUNCTION("REGEXEXTRACT(J2656, ""[A-Za-z ]+$"")")," min")</f>
        <v> min</v>
      </c>
      <c r="AA2656" s="5" t="str">
        <f>IFERROR(__xludf.DUMMYFUNCTION("IF(REGEXMATCH(Z2656, ""Season""), ""TV Show"", ""Movie"")"),"Movie")</f>
        <v>Movie</v>
      </c>
    </row>
    <row r="2657">
      <c r="A2657" s="1" t="s">
        <v>14898</v>
      </c>
      <c r="B2657" s="1" t="s">
        <v>27</v>
      </c>
      <c r="C2657" s="1" t="s">
        <v>14899</v>
      </c>
      <c r="D2657" s="1" t="s">
        <v>14566</v>
      </c>
      <c r="E2657" s="1" t="s">
        <v>14900</v>
      </c>
      <c r="F2657" s="1" t="s">
        <v>784</v>
      </c>
      <c r="G2657" s="1" t="s">
        <v>14879</v>
      </c>
      <c r="H2657" s="1">
        <v>2019.0</v>
      </c>
      <c r="I2657" s="1" t="s">
        <v>42</v>
      </c>
      <c r="J2657" s="1" t="s">
        <v>454</v>
      </c>
      <c r="K2657" s="1" t="s">
        <v>631</v>
      </c>
      <c r="L2657" s="1" t="s">
        <v>14901</v>
      </c>
      <c r="M2657" s="2" t="s">
        <v>12</v>
      </c>
      <c r="N2657" s="4">
        <f t="shared" si="1"/>
        <v>43943</v>
      </c>
      <c r="O2657" s="5" t="str">
        <f>IFERROR(__xludf.DUMMYFUNCTION("IF(REGEXMATCH(TRIM(I2657), ""^\d+\s*min""), ""Unclassified"", IF(I2657 = """", ""NR"", I2657))"),"TV-MA")</f>
        <v>TV-MA</v>
      </c>
      <c r="R2657" s="5" t="str">
        <f t="shared" si="2"/>
        <v>The Silence Of The Marsh</v>
      </c>
      <c r="S2657" s="5" t="str">
        <f>IFERROR(__xludf.DUMMYFUNCTION("""COMPUTED_VALUE"""),"Garuda Di Dadaku")</f>
        <v>Garuda Di Dadaku</v>
      </c>
      <c r="U2657" s="5" t="str">
        <f>IFERROR(__xludf.DUMMYFUNCTION("""COMPUTED_VALUE"""),"Geun-Hyun Cho")</f>
        <v>Geun-Hyun Cho</v>
      </c>
      <c r="V2657" s="5" t="s">
        <v>14902</v>
      </c>
      <c r="W2657" s="5" t="str">
        <f t="shared" si="3"/>
        <v>Mark O'Connor</v>
      </c>
      <c r="X2657" s="5">
        <f t="shared" si="4"/>
        <v>1</v>
      </c>
      <c r="Y2657" s="5" t="str">
        <f>IFERROR(__xludf.DUMMYFUNCTION("REGEXEXTRACT(J2657, ""^\d+"")"),"93")</f>
        <v>93</v>
      </c>
      <c r="Z2657" s="5" t="str">
        <f>IFERROR(__xludf.DUMMYFUNCTION("REGEXEXTRACT(J2657, ""[A-Za-z ]+$"")")," min")</f>
        <v> min</v>
      </c>
      <c r="AA2657" s="5" t="str">
        <f>IFERROR(__xludf.DUMMYFUNCTION("IF(REGEXMATCH(Z2657, ""Season""), ""TV Show"", ""Movie"")"),"Movie")</f>
        <v>Movie</v>
      </c>
    </row>
    <row r="2658">
      <c r="A2658" s="1" t="s">
        <v>14903</v>
      </c>
      <c r="B2658" s="1" t="s">
        <v>27</v>
      </c>
      <c r="C2658" s="1" t="s">
        <v>14904</v>
      </c>
      <c r="D2658" s="1" t="s">
        <v>13134</v>
      </c>
      <c r="E2658" s="1" t="s">
        <v>14905</v>
      </c>
      <c r="F2658" s="1" t="s">
        <v>7585</v>
      </c>
      <c r="G2658" s="1" t="s">
        <v>14879</v>
      </c>
      <c r="H2658" s="1">
        <v>2020.0</v>
      </c>
      <c r="I2658" s="1" t="s">
        <v>78</v>
      </c>
      <c r="J2658" s="1" t="s">
        <v>665</v>
      </c>
      <c r="K2658" s="1" t="s">
        <v>137</v>
      </c>
      <c r="L2658" s="1" t="s">
        <v>14906</v>
      </c>
      <c r="M2658" s="2" t="s">
        <v>12</v>
      </c>
      <c r="N2658" s="4">
        <f t="shared" si="1"/>
        <v>43943</v>
      </c>
      <c r="O2658" s="5" t="str">
        <f>IFERROR(__xludf.DUMMYFUNCTION("IF(REGEXMATCH(TRIM(I2658), ""^\d+\s*min""), ""Unclassified"", IF(I2658 = """", ""NR"", I2658))"),"PG")</f>
        <v>PG</v>
      </c>
      <c r="R2658" s="5" t="str">
        <f t="shared" si="2"/>
        <v>The Willoughbys</v>
      </c>
      <c r="S2658" s="5" t="str">
        <f>IFERROR(__xludf.DUMMYFUNCTION("""COMPUTED_VALUE"""),"Garuda In My Heart 2")</f>
        <v>Garuda In My Heart 2</v>
      </c>
      <c r="U2658" s="5" t="str">
        <f>IFERROR(__xludf.DUMMYFUNCTION("""COMPUTED_VALUE"""),"Carlos Therón")</f>
        <v>Carlos Therón</v>
      </c>
      <c r="V2658" s="5" t="s">
        <v>14907</v>
      </c>
      <c r="W2658" s="5" t="str">
        <f t="shared" si="3"/>
        <v>Mark Osborne</v>
      </c>
      <c r="X2658" s="5">
        <f t="shared" si="4"/>
        <v>1</v>
      </c>
      <c r="Y2658" s="5" t="str">
        <f>IFERROR(__xludf.DUMMYFUNCTION("REGEXEXTRACT(J2658, ""^\d+"")"),"92")</f>
        <v>92</v>
      </c>
      <c r="Z2658" s="5" t="str">
        <f>IFERROR(__xludf.DUMMYFUNCTION("REGEXEXTRACT(J2658, ""[A-Za-z ]+$"")")," min")</f>
        <v> min</v>
      </c>
      <c r="AA2658" s="5" t="str">
        <f>IFERROR(__xludf.DUMMYFUNCTION("IF(REGEXMATCH(Z2658, ""Season""), ""TV Show"", ""Movie"")"),"Movie")</f>
        <v>Movie</v>
      </c>
    </row>
    <row r="2659">
      <c r="A2659" s="1" t="s">
        <v>14908</v>
      </c>
      <c r="B2659" s="1" t="s">
        <v>37</v>
      </c>
      <c r="C2659" s="1" t="s">
        <v>14909</v>
      </c>
      <c r="F2659" s="1" t="s">
        <v>96</v>
      </c>
      <c r="G2659" s="1" t="s">
        <v>14879</v>
      </c>
      <c r="H2659" s="1">
        <v>2020.0</v>
      </c>
      <c r="I2659" s="1" t="s">
        <v>97</v>
      </c>
      <c r="J2659" s="1" t="s">
        <v>51</v>
      </c>
      <c r="K2659" s="1" t="s">
        <v>2382</v>
      </c>
      <c r="L2659" s="1" t="s">
        <v>14910</v>
      </c>
      <c r="M2659" s="2" t="s">
        <v>12</v>
      </c>
      <c r="N2659" s="4">
        <f t="shared" si="1"/>
        <v>43943</v>
      </c>
      <c r="O2659" s="5" t="str">
        <f>IFERROR(__xludf.DUMMYFUNCTION("IF(REGEXMATCH(TRIM(I2659), ""^\d+\s*min""), ""Unclassified"", IF(I2659 = """", ""NR"", I2659))"),"TV-14")</f>
        <v>TV-14</v>
      </c>
      <c r="R2659" s="5" t="str">
        <f t="shared" si="2"/>
        <v>Win The Wilderness</v>
      </c>
      <c r="S2659" s="5" t="str">
        <f>IFERROR(__xludf.DUMMYFUNCTION("""COMPUTED_VALUE"""),"Gatao - The Last Stray")</f>
        <v>Gatao - The Last Stray</v>
      </c>
      <c r="U2659" s="5" t="str">
        <f>IFERROR(__xludf.DUMMYFUNCTION("""COMPUTED_VALUE"""),"Francesco Carrozzini")</f>
        <v>Francesco Carrozzini</v>
      </c>
      <c r="V2659" s="5" t="s">
        <v>14911</v>
      </c>
      <c r="W2659" s="5" t="str">
        <f t="shared" si="3"/>
        <v>Mark Palansky</v>
      </c>
      <c r="X2659" s="5">
        <f t="shared" si="4"/>
        <v>2</v>
      </c>
      <c r="Y2659" s="5" t="str">
        <f>IFERROR(__xludf.DUMMYFUNCTION("REGEXEXTRACT(J2659, ""^\d+"")"),"1")</f>
        <v>1</v>
      </c>
      <c r="Z2659" s="5" t="str">
        <f>IFERROR(__xludf.DUMMYFUNCTION("REGEXEXTRACT(J2659, ""[A-Za-z ]+$"")")," Season")</f>
        <v> Season</v>
      </c>
      <c r="AA2659" s="5" t="str">
        <f>IFERROR(__xludf.DUMMYFUNCTION("IF(REGEXMATCH(Z2659, ""Season""), ""TV Show"", ""Movie"")"),"TV Show")</f>
        <v>TV Show</v>
      </c>
    </row>
    <row r="2660">
      <c r="A2660" s="1" t="s">
        <v>14912</v>
      </c>
      <c r="B2660" s="1" t="s">
        <v>37</v>
      </c>
      <c r="C2660" s="1" t="s">
        <v>14913</v>
      </c>
      <c r="E2660" s="1" t="s">
        <v>14914</v>
      </c>
      <c r="F2660" s="1" t="s">
        <v>415</v>
      </c>
      <c r="G2660" s="1" t="s">
        <v>14915</v>
      </c>
      <c r="H2660" s="1">
        <v>2006.0</v>
      </c>
      <c r="I2660" s="1" t="s">
        <v>97</v>
      </c>
      <c r="J2660" s="1" t="s">
        <v>189</v>
      </c>
      <c r="K2660" s="1" t="s">
        <v>567</v>
      </c>
      <c r="L2660" s="1" t="s">
        <v>14916</v>
      </c>
      <c r="M2660" s="2" t="s">
        <v>12</v>
      </c>
      <c r="N2660" s="4">
        <f t="shared" si="1"/>
        <v>43942</v>
      </c>
      <c r="O2660" s="5" t="str">
        <f>IFERROR(__xludf.DUMMYFUNCTION("IF(REGEXMATCH(TRIM(I2660), ""^\d+\s*min""), ""Unclassified"", IF(I2660 = """", ""NR"", I2660))"),"TV-14")</f>
        <v>TV-14</v>
      </c>
      <c r="R2660" s="5" t="str">
        <f t="shared" si="2"/>
        <v>Bleach</v>
      </c>
      <c r="S2660" s="5" t="str">
        <f>IFERROR(__xludf.DUMMYFUNCTION("""COMPUTED_VALUE"""),"Gatao 2: Rise Of The King")</f>
        <v>Gatao 2: Rise Of The King</v>
      </c>
      <c r="U2660" s="5" t="str">
        <f>IFERROR(__xludf.DUMMYFUNCTION("""COMPUTED_VALUE"""),"Karen J. Lloyd")</f>
        <v>Karen J. Lloyd</v>
      </c>
      <c r="V2660" s="5" t="s">
        <v>4542</v>
      </c>
      <c r="W2660" s="5" t="str">
        <f t="shared" si="3"/>
        <v>Mark Raso</v>
      </c>
      <c r="X2660" s="5">
        <f t="shared" si="4"/>
        <v>3</v>
      </c>
      <c r="Y2660" s="5" t="str">
        <f>IFERROR(__xludf.DUMMYFUNCTION("REGEXEXTRACT(J2660, ""^\d+"")"),"5")</f>
        <v>5</v>
      </c>
      <c r="Z2660" s="5" t="str">
        <f>IFERROR(__xludf.DUMMYFUNCTION("REGEXEXTRACT(J2660, ""[A-Za-z ]+$"")")," Seasons")</f>
        <v> Seasons</v>
      </c>
      <c r="AA2660" s="5" t="str">
        <f>IFERROR(__xludf.DUMMYFUNCTION("IF(REGEXMATCH(Z2660, ""Season""), ""TV Show"", ""Movie"")"),"TV Show")</f>
        <v>TV Show</v>
      </c>
    </row>
    <row r="2661">
      <c r="A2661" s="1" t="s">
        <v>14917</v>
      </c>
      <c r="B2661" s="1" t="s">
        <v>37</v>
      </c>
      <c r="C2661" s="1" t="s">
        <v>14918</v>
      </c>
      <c r="D2661" s="1" t="s">
        <v>14919</v>
      </c>
      <c r="E2661" s="1" t="s">
        <v>14920</v>
      </c>
      <c r="F2661" s="1" t="s">
        <v>30</v>
      </c>
      <c r="G2661" s="1" t="s">
        <v>14915</v>
      </c>
      <c r="H2661" s="1">
        <v>2020.0</v>
      </c>
      <c r="I2661" s="1" t="s">
        <v>42</v>
      </c>
      <c r="J2661" s="1" t="s">
        <v>51</v>
      </c>
      <c r="K2661" s="1" t="s">
        <v>270</v>
      </c>
      <c r="L2661" s="1" t="s">
        <v>14921</v>
      </c>
      <c r="M2661" s="2" t="s">
        <v>12</v>
      </c>
      <c r="N2661" s="4">
        <f t="shared" si="1"/>
        <v>43942</v>
      </c>
      <c r="O2661" s="5" t="str">
        <f>IFERROR(__xludf.DUMMYFUNCTION("IF(REGEXMATCH(TRIM(I2661), ""^\d+\s*min""), ""Unclassified"", IF(I2661 = """", ""NR"", I2661))"),"TV-MA")</f>
        <v>TV-MA</v>
      </c>
      <c r="R2661" s="5" t="str">
        <f t="shared" si="2"/>
        <v>Middleditch &amp; Schwartz</v>
      </c>
      <c r="S2661" s="5" t="str">
        <f>IFERROR(__xludf.DUMMYFUNCTION("""COMPUTED_VALUE"""),"Gbomo Gbomo Express")</f>
        <v>Gbomo Gbomo Express</v>
      </c>
      <c r="U2661" s="5" t="str">
        <f>IFERROR(__xludf.DUMMYFUNCTION("""COMPUTED_VALUE"""),"Vibeke Idsøe")</f>
        <v>Vibeke Idsøe</v>
      </c>
      <c r="V2661" s="5" t="s">
        <v>14922</v>
      </c>
      <c r="W2661" s="5" t="str">
        <f t="shared" si="3"/>
        <v>Mark Risley</v>
      </c>
      <c r="X2661" s="5">
        <f t="shared" si="4"/>
        <v>1</v>
      </c>
      <c r="Y2661" s="5" t="str">
        <f>IFERROR(__xludf.DUMMYFUNCTION("REGEXEXTRACT(J2661, ""^\d+"")"),"1")</f>
        <v>1</v>
      </c>
      <c r="Z2661" s="5" t="str">
        <f>IFERROR(__xludf.DUMMYFUNCTION("REGEXEXTRACT(J2661, ""[A-Za-z ]+$"")")," Season")</f>
        <v> Season</v>
      </c>
      <c r="AA2661" s="5" t="str">
        <f>IFERROR(__xludf.DUMMYFUNCTION("IF(REGEXMATCH(Z2661, ""Season""), ""TV Show"", ""Movie"")"),"TV Show")</f>
        <v>TV Show</v>
      </c>
    </row>
    <row r="2662">
      <c r="A2662" s="1" t="s">
        <v>14923</v>
      </c>
      <c r="B2662" s="1" t="s">
        <v>37</v>
      </c>
      <c r="C2662" s="1" t="s">
        <v>14924</v>
      </c>
      <c r="E2662" s="1" t="s">
        <v>14925</v>
      </c>
      <c r="F2662" s="1" t="s">
        <v>14926</v>
      </c>
      <c r="G2662" s="1" t="s">
        <v>14915</v>
      </c>
      <c r="H2662" s="1">
        <v>2018.0</v>
      </c>
      <c r="I2662" s="1" t="s">
        <v>42</v>
      </c>
      <c r="J2662" s="1" t="s">
        <v>51</v>
      </c>
      <c r="K2662" s="1" t="s">
        <v>785</v>
      </c>
      <c r="L2662" s="1" t="s">
        <v>14927</v>
      </c>
      <c r="M2662" s="2" t="s">
        <v>12</v>
      </c>
      <c r="N2662" s="4">
        <f t="shared" si="1"/>
        <v>43942</v>
      </c>
      <c r="O2662" s="5" t="str">
        <f>IFERROR(__xludf.DUMMYFUNCTION("IF(REGEXMATCH(TRIM(I2662), ""^\d+\s*min""), ""Unclassified"", IF(I2662 = """", ""NR"", I2662))"),"TV-MA")</f>
        <v>TV-MA</v>
      </c>
      <c r="R2662" s="5" t="str">
        <f t="shared" si="2"/>
        <v>Nicky Jam: El Ganador</v>
      </c>
      <c r="S2662" s="5" t="str">
        <f>IFERROR(__xludf.DUMMYFUNCTION("""COMPUTED_VALUE"""),"Geez &amp; Ann")</f>
        <v>Geez &amp; Ann</v>
      </c>
      <c r="U2662" s="5" t="str">
        <f>IFERROR(__xludf.DUMMYFUNCTION("""COMPUTED_VALUE"""),"Carlos Algara, Alejandro Martinez-Beltran")</f>
        <v>Carlos Algara, Alejandro Martinez-Beltran</v>
      </c>
      <c r="V2662" s="5" t="s">
        <v>14928</v>
      </c>
      <c r="W2662" s="5" t="str">
        <f t="shared" si="3"/>
        <v>Mark Ritchie</v>
      </c>
      <c r="X2662" s="5">
        <f t="shared" si="4"/>
        <v>1</v>
      </c>
      <c r="Y2662" s="5" t="str">
        <f>IFERROR(__xludf.DUMMYFUNCTION("REGEXEXTRACT(J2662, ""^\d+"")"),"1")</f>
        <v>1</v>
      </c>
      <c r="Z2662" s="5" t="str">
        <f>IFERROR(__xludf.DUMMYFUNCTION("REGEXEXTRACT(J2662, ""[A-Za-z ]+$"")")," Season")</f>
        <v> Season</v>
      </c>
      <c r="AA2662" s="5" t="str">
        <f>IFERROR(__xludf.DUMMYFUNCTION("IF(REGEXMATCH(Z2662, ""Season""), ""TV Show"", ""Movie"")"),"TV Show")</f>
        <v>TV Show</v>
      </c>
    </row>
    <row r="2663">
      <c r="A2663" s="1" t="s">
        <v>14929</v>
      </c>
      <c r="B2663" s="1" t="s">
        <v>37</v>
      </c>
      <c r="C2663" s="1" t="s">
        <v>14930</v>
      </c>
      <c r="E2663" s="1" t="s">
        <v>14931</v>
      </c>
      <c r="F2663" s="1" t="s">
        <v>30</v>
      </c>
      <c r="G2663" s="1" t="s">
        <v>14932</v>
      </c>
      <c r="H2663" s="1">
        <v>2020.0</v>
      </c>
      <c r="I2663" s="1" t="s">
        <v>42</v>
      </c>
      <c r="J2663" s="1" t="s">
        <v>51</v>
      </c>
      <c r="K2663" s="1" t="s">
        <v>440</v>
      </c>
      <c r="L2663" s="1" t="s">
        <v>14933</v>
      </c>
      <c r="M2663" s="2" t="s">
        <v>12</v>
      </c>
      <c r="N2663" s="4">
        <f t="shared" si="1"/>
        <v>43941</v>
      </c>
      <c r="O2663" s="5" t="str">
        <f>IFERROR(__xludf.DUMMYFUNCTION("IF(REGEXMATCH(TRIM(I2663), ""^\d+\s*min""), ""Unclassified"", IF(I2663 = """", ""NR"", I2663))"),"TV-MA")</f>
        <v>TV-MA</v>
      </c>
      <c r="R2663" s="5" t="str">
        <f t="shared" si="2"/>
        <v>Cooked With Cannabis</v>
      </c>
      <c r="S2663" s="5" t="str">
        <f>IFERROR(__xludf.DUMMYFUNCTION("""COMPUTED_VALUE"""),"Gehenna: Where Death Lives")</f>
        <v>Gehenna: Where Death Lives</v>
      </c>
      <c r="U2663" s="5" t="str">
        <f>IFERROR(__xludf.DUMMYFUNCTION("""COMPUTED_VALUE"""),"Jacob Lamendola")</f>
        <v>Jacob Lamendola</v>
      </c>
      <c r="V2663" s="5" t="s">
        <v>895</v>
      </c>
      <c r="W2663" s="5" t="str">
        <f t="shared" si="3"/>
        <v>Mark Rosman</v>
      </c>
      <c r="X2663" s="5">
        <f t="shared" si="4"/>
        <v>1</v>
      </c>
      <c r="Y2663" s="5" t="str">
        <f>IFERROR(__xludf.DUMMYFUNCTION("REGEXEXTRACT(J2663, ""^\d+"")"),"1")</f>
        <v>1</v>
      </c>
      <c r="Z2663" s="5" t="str">
        <f>IFERROR(__xludf.DUMMYFUNCTION("REGEXEXTRACT(J2663, ""[A-Za-z ]+$"")")," Season")</f>
        <v> Season</v>
      </c>
      <c r="AA2663" s="5" t="str">
        <f>IFERROR(__xludf.DUMMYFUNCTION("IF(REGEXMATCH(Z2663, ""Season""), ""TV Show"", ""Movie"")"),"TV Show")</f>
        <v>TV Show</v>
      </c>
    </row>
    <row r="2664">
      <c r="A2664" s="1" t="s">
        <v>14934</v>
      </c>
      <c r="B2664" s="1" t="s">
        <v>37</v>
      </c>
      <c r="C2664" s="1" t="s">
        <v>14935</v>
      </c>
      <c r="E2664" s="1" t="s">
        <v>14936</v>
      </c>
      <c r="F2664" s="1" t="s">
        <v>30</v>
      </c>
      <c r="G2664" s="1" t="s">
        <v>14932</v>
      </c>
      <c r="H2664" s="1">
        <v>2020.0</v>
      </c>
      <c r="I2664" s="1" t="s">
        <v>42</v>
      </c>
      <c r="J2664" s="1" t="s">
        <v>51</v>
      </c>
      <c r="K2664" s="1" t="s">
        <v>270</v>
      </c>
      <c r="L2664" s="1" t="s">
        <v>14937</v>
      </c>
      <c r="M2664" s="2" t="s">
        <v>12</v>
      </c>
      <c r="N2664" s="4">
        <f t="shared" si="1"/>
        <v>43941</v>
      </c>
      <c r="O2664" s="5" t="str">
        <f>IFERROR(__xludf.DUMMYFUNCTION("IF(REGEXMATCH(TRIM(I2664), ""^\d+\s*min""), ""Unclassified"", IF(I2664 = """", ""NR"", I2664))"),"TV-MA")</f>
        <v>TV-MA</v>
      </c>
      <c r="R2664" s="5" t="str">
        <f t="shared" si="2"/>
        <v>The Midnight Gospel</v>
      </c>
      <c r="S2664" s="5" t="str">
        <f>IFERROR(__xludf.DUMMYFUNCTION("""COMPUTED_VALUE"""),"Gelo")</f>
        <v>Gelo</v>
      </c>
      <c r="U2664" s="5" t="str">
        <f>IFERROR(__xludf.DUMMYFUNCTION("""COMPUTED_VALUE"""),"Ritesh Batra")</f>
        <v>Ritesh Batra</v>
      </c>
      <c r="V2664" s="5" t="s">
        <v>14938</v>
      </c>
      <c r="W2664" s="5" t="str">
        <f t="shared" si="3"/>
        <v>Mark Sloper</v>
      </c>
      <c r="X2664" s="5">
        <f t="shared" si="4"/>
        <v>1</v>
      </c>
      <c r="Y2664" s="5" t="str">
        <f>IFERROR(__xludf.DUMMYFUNCTION("REGEXEXTRACT(J2664, ""^\d+"")"),"1")</f>
        <v>1</v>
      </c>
      <c r="Z2664" s="5" t="str">
        <f>IFERROR(__xludf.DUMMYFUNCTION("REGEXEXTRACT(J2664, ""[A-Za-z ]+$"")")," Season")</f>
        <v> Season</v>
      </c>
      <c r="AA2664" s="5" t="str">
        <f>IFERROR(__xludf.DUMMYFUNCTION("IF(REGEXMATCH(Z2664, ""Season""), ""TV Show"", ""Movie"")"),"TV Show")</f>
        <v>TV Show</v>
      </c>
    </row>
    <row r="2665">
      <c r="A2665" s="1" t="s">
        <v>14939</v>
      </c>
      <c r="B2665" s="1" t="s">
        <v>27</v>
      </c>
      <c r="C2665" s="1" t="s">
        <v>14940</v>
      </c>
      <c r="D2665" s="1" t="s">
        <v>2211</v>
      </c>
      <c r="E2665" s="1" t="s">
        <v>14941</v>
      </c>
      <c r="F2665" s="1" t="s">
        <v>63</v>
      </c>
      <c r="G2665" s="1" t="s">
        <v>14932</v>
      </c>
      <c r="H2665" s="1">
        <v>2020.0</v>
      </c>
      <c r="I2665" s="1" t="s">
        <v>97</v>
      </c>
      <c r="J2665" s="1" t="s">
        <v>14942</v>
      </c>
      <c r="K2665" s="1" t="s">
        <v>583</v>
      </c>
      <c r="L2665" s="1" t="s">
        <v>14943</v>
      </c>
      <c r="M2665" s="2" t="s">
        <v>12</v>
      </c>
      <c r="N2665" s="4">
        <f t="shared" si="1"/>
        <v>43941</v>
      </c>
      <c r="O2665" s="5" t="str">
        <f>IFERROR(__xludf.DUMMYFUNCTION("IF(REGEXMATCH(TRIM(I2665), ""^\d+\s*min""), ""Unclassified"", IF(I2665 = """", ""NR"", I2665))"),"TV-14")</f>
        <v>TV-14</v>
      </c>
      <c r="R2665" s="5" t="str">
        <f t="shared" si="2"/>
        <v>Varane Avashyamund</v>
      </c>
      <c r="S2665" s="5" t="str">
        <f>IFERROR(__xludf.DUMMYFUNCTION("""COMPUTED_VALUE"""),"Gemini")</f>
        <v>Gemini</v>
      </c>
      <c r="U2665" s="5" t="str">
        <f>IFERROR(__xludf.DUMMYFUNCTION("""COMPUTED_VALUE"""),"Dylan Howitt")</f>
        <v>Dylan Howitt</v>
      </c>
      <c r="V2665" s="5" t="s">
        <v>11764</v>
      </c>
      <c r="W2665" s="5" t="str">
        <f t="shared" si="3"/>
        <v>Mark Steven Johnson</v>
      </c>
      <c r="X2665" s="5">
        <f t="shared" si="4"/>
        <v>2</v>
      </c>
      <c r="Y2665" s="5" t="str">
        <f>IFERROR(__xludf.DUMMYFUNCTION("REGEXEXTRACT(J2665, ""^\d+"")"),"144")</f>
        <v>144</v>
      </c>
      <c r="Z2665" s="5" t="str">
        <f>IFERROR(__xludf.DUMMYFUNCTION("REGEXEXTRACT(J2665, ""[A-Za-z ]+$"")")," min")</f>
        <v> min</v>
      </c>
      <c r="AA2665" s="5" t="str">
        <f>IFERROR(__xludf.DUMMYFUNCTION("IF(REGEXMATCH(Z2665, ""Season""), ""TV Show"", ""Movie"")"),"Movie")</f>
        <v>Movie</v>
      </c>
    </row>
    <row r="2666">
      <c r="A2666" s="1" t="s">
        <v>14944</v>
      </c>
      <c r="B2666" s="1" t="s">
        <v>37</v>
      </c>
      <c r="C2666" s="1" t="s">
        <v>14945</v>
      </c>
      <c r="F2666" s="1" t="s">
        <v>63</v>
      </c>
      <c r="G2666" s="1" t="s">
        <v>14946</v>
      </c>
      <c r="H2666" s="1">
        <v>2019.0</v>
      </c>
      <c r="I2666" s="1" t="s">
        <v>206</v>
      </c>
      <c r="J2666" s="1" t="s">
        <v>51</v>
      </c>
      <c r="K2666" s="1" t="s">
        <v>290</v>
      </c>
      <c r="L2666" s="1" t="s">
        <v>14947</v>
      </c>
      <c r="M2666" s="2" t="s">
        <v>12</v>
      </c>
      <c r="N2666" s="4">
        <f t="shared" si="1"/>
        <v>43939</v>
      </c>
      <c r="O2666" s="5" t="str">
        <f>IFERROR(__xludf.DUMMYFUNCTION("IF(REGEXMATCH(TRIM(I2666), ""^\d+\s*min""), ""Unclassified"", IF(I2666 = """", ""NR"", I2666))"),"TV-Y")</f>
        <v>TV-Y</v>
      </c>
      <c r="R2666" s="5" t="str">
        <f t="shared" si="2"/>
        <v>Chuchu Tv Nursery Rhymes &amp; Kids Songs (Hindi)</v>
      </c>
      <c r="S2666" s="5" t="str">
        <f>IFERROR(__xludf.DUMMYFUNCTION("""COMPUTED_VALUE"""),"Gen Hoshino Stadium Tour “Pop Virus”")</f>
        <v>Gen Hoshino Stadium Tour “Pop Virus”</v>
      </c>
      <c r="U2666" s="5" t="str">
        <f>IFERROR(__xludf.DUMMYFUNCTION("""COMPUTED_VALUE"""),"Nabil Ayouch")</f>
        <v>Nabil Ayouch</v>
      </c>
      <c r="V2666" s="5" t="s">
        <v>11914</v>
      </c>
      <c r="W2666" s="5" t="str">
        <f t="shared" si="3"/>
        <v>Mark Thornton, Todd Kauffman</v>
      </c>
      <c r="X2666" s="5">
        <f t="shared" si="4"/>
        <v>1</v>
      </c>
      <c r="Y2666" s="5" t="str">
        <f>IFERROR(__xludf.DUMMYFUNCTION("REGEXEXTRACT(J2666, ""^\d+"")"),"1")</f>
        <v>1</v>
      </c>
      <c r="Z2666" s="5" t="str">
        <f>IFERROR(__xludf.DUMMYFUNCTION("REGEXEXTRACT(J2666, ""[A-Za-z ]+$"")")," Season")</f>
        <v> Season</v>
      </c>
      <c r="AA2666" s="5" t="str">
        <f>IFERROR(__xludf.DUMMYFUNCTION("IF(REGEXMATCH(Z2666, ""Season""), ""TV Show"", ""Movie"")"),"TV Show")</f>
        <v>TV Show</v>
      </c>
    </row>
    <row r="2667">
      <c r="A2667" s="1" t="s">
        <v>14948</v>
      </c>
      <c r="B2667" s="1" t="s">
        <v>37</v>
      </c>
      <c r="C2667" s="1" t="s">
        <v>14949</v>
      </c>
      <c r="E2667" s="1" t="s">
        <v>14950</v>
      </c>
      <c r="F2667" s="1" t="s">
        <v>749</v>
      </c>
      <c r="G2667" s="1" t="s">
        <v>14946</v>
      </c>
      <c r="H2667" s="1">
        <v>2020.0</v>
      </c>
      <c r="I2667" s="1" t="s">
        <v>97</v>
      </c>
      <c r="J2667" s="1" t="s">
        <v>51</v>
      </c>
      <c r="K2667" s="1" t="s">
        <v>6338</v>
      </c>
      <c r="L2667" s="1" t="s">
        <v>14951</v>
      </c>
      <c r="M2667" s="2" t="s">
        <v>12</v>
      </c>
      <c r="N2667" s="4">
        <f t="shared" si="1"/>
        <v>43939</v>
      </c>
      <c r="O2667" s="5" t="str">
        <f>IFERROR(__xludf.DUMMYFUNCTION("IF(REGEXMATCH(TRIM(I2667), ""^\d+\s*min""), ""Unclassified"", IF(I2667 = """", ""NR"", I2667))"),"TV-14")</f>
        <v>TV-14</v>
      </c>
      <c r="R2667" s="5" t="str">
        <f t="shared" si="2"/>
        <v>The King: Eternal Monarch</v>
      </c>
      <c r="S2667" s="5" t="str">
        <f>IFERROR(__xludf.DUMMYFUNCTION("""COMPUTED_VALUE"""),"Gender Revolution: A Journey With Katie Couric")</f>
        <v>Gender Revolution: A Journey With Katie Couric</v>
      </c>
      <c r="U2667" s="5" t="str">
        <f>IFERROR(__xludf.DUMMYFUNCTION("""COMPUTED_VALUE"""),"Louis J. Horvitz")</f>
        <v>Louis J. Horvitz</v>
      </c>
      <c r="V2667" s="5" t="s">
        <v>14952</v>
      </c>
      <c r="W2667" s="5" t="str">
        <f t="shared" si="3"/>
        <v>Mark Tonderai</v>
      </c>
      <c r="X2667" s="5">
        <f t="shared" si="4"/>
        <v>2</v>
      </c>
      <c r="Y2667" s="5" t="str">
        <f>IFERROR(__xludf.DUMMYFUNCTION("REGEXEXTRACT(J2667, ""^\d+"")"),"1")</f>
        <v>1</v>
      </c>
      <c r="Z2667" s="5" t="str">
        <f>IFERROR(__xludf.DUMMYFUNCTION("REGEXEXTRACT(J2667, ""[A-Za-z ]+$"")")," Season")</f>
        <v> Season</v>
      </c>
      <c r="AA2667" s="5" t="str">
        <f>IFERROR(__xludf.DUMMYFUNCTION("IF(REGEXMATCH(Z2667, ""Season""), ""TV Show"", ""Movie"")"),"TV Show")</f>
        <v>TV Show</v>
      </c>
    </row>
    <row r="2668">
      <c r="A2668" s="1" t="s">
        <v>14953</v>
      </c>
      <c r="B2668" s="1" t="s">
        <v>37</v>
      </c>
      <c r="C2668" s="1" t="s">
        <v>14954</v>
      </c>
      <c r="E2668" s="1" t="s">
        <v>14955</v>
      </c>
      <c r="F2668" s="1" t="s">
        <v>30</v>
      </c>
      <c r="G2668" s="1" t="s">
        <v>14956</v>
      </c>
      <c r="H2668" s="1">
        <v>2020.0</v>
      </c>
      <c r="I2668" s="1" t="s">
        <v>42</v>
      </c>
      <c r="J2668" s="1" t="s">
        <v>51</v>
      </c>
      <c r="K2668" s="1" t="s">
        <v>270</v>
      </c>
      <c r="L2668" s="1" t="s">
        <v>14957</v>
      </c>
      <c r="M2668" s="2" t="s">
        <v>12</v>
      </c>
      <c r="N2668" s="4">
        <f t="shared" si="1"/>
        <v>43938</v>
      </c>
      <c r="O2668" s="5" t="str">
        <f>IFERROR(__xludf.DUMMYFUNCTION("IF(REGEXMATCH(TRIM(I2668), ""^\d+\s*min""), ""Unclassified"", IF(I2668 = """", ""NR"", I2668))"),"TV-MA")</f>
        <v>TV-MA</v>
      </c>
      <c r="R2668" s="5" t="str">
        <f t="shared" si="2"/>
        <v>#Blackaf</v>
      </c>
      <c r="S2668" s="5" t="str">
        <f>IFERROR(__xludf.DUMMYFUNCTION("""COMPUTED_VALUE"""),"Generasi 90An: Melankolia")</f>
        <v>Generasi 90An: Melankolia</v>
      </c>
      <c r="U2668" s="5" t="str">
        <f>IFERROR(__xludf.DUMMYFUNCTION("""COMPUTED_VALUE"""),"Warren P. Sonoda")</f>
        <v>Warren P. Sonoda</v>
      </c>
      <c r="V2668" s="5" t="s">
        <v>1350</v>
      </c>
      <c r="W2668" s="5" t="str">
        <f t="shared" si="3"/>
        <v>Mark Waters</v>
      </c>
      <c r="X2668" s="5">
        <f t="shared" si="4"/>
        <v>3</v>
      </c>
      <c r="Y2668" s="5" t="str">
        <f>IFERROR(__xludf.DUMMYFUNCTION("REGEXEXTRACT(J2668, ""^\d+"")"),"1")</f>
        <v>1</v>
      </c>
      <c r="Z2668" s="5" t="str">
        <f>IFERROR(__xludf.DUMMYFUNCTION("REGEXEXTRACT(J2668, ""[A-Za-z ]+$"")")," Season")</f>
        <v> Season</v>
      </c>
      <c r="AA2668" s="5" t="str">
        <f>IFERROR(__xludf.DUMMYFUNCTION("IF(REGEXMATCH(Z2668, ""Season""), ""TV Show"", ""Movie"")"),"TV Show")</f>
        <v>TV Show</v>
      </c>
    </row>
    <row r="2669">
      <c r="A2669" s="1" t="s">
        <v>14958</v>
      </c>
      <c r="B2669" s="1" t="s">
        <v>27</v>
      </c>
      <c r="C2669" s="1" t="s">
        <v>14959</v>
      </c>
      <c r="D2669" s="1" t="s">
        <v>14960</v>
      </c>
      <c r="E2669" s="1" t="s">
        <v>14961</v>
      </c>
      <c r="F2669" s="1" t="s">
        <v>188</v>
      </c>
      <c r="G2669" s="1" t="s">
        <v>14956</v>
      </c>
      <c r="H2669" s="1">
        <v>2018.0</v>
      </c>
      <c r="I2669" s="1" t="s">
        <v>42</v>
      </c>
      <c r="J2669" s="1" t="s">
        <v>1091</v>
      </c>
      <c r="K2669" s="1" t="s">
        <v>199</v>
      </c>
      <c r="L2669" s="1" t="s">
        <v>14962</v>
      </c>
      <c r="M2669" s="2" t="s">
        <v>12</v>
      </c>
      <c r="N2669" s="4">
        <f t="shared" si="1"/>
        <v>43938</v>
      </c>
      <c r="O2669" s="5" t="str">
        <f>IFERROR(__xludf.DUMMYFUNCTION("IF(REGEXMATCH(TRIM(I2669), ""^\d+\s*min""), ""Unclassified"", IF(I2669 = """", ""NR"", I2669))"),"TV-MA")</f>
        <v>TV-MA</v>
      </c>
      <c r="R2669" s="5" t="str">
        <f t="shared" si="2"/>
        <v>Babamın Ceketi</v>
      </c>
      <c r="S2669" s="5" t="str">
        <f>IFERROR(__xludf.DUMMYFUNCTION("""COMPUTED_VALUE"""),"Generation 56K")</f>
        <v>Generation 56K</v>
      </c>
      <c r="U2669" s="5" t="str">
        <f>IFERROR(__xludf.DUMMYFUNCTION("""COMPUTED_VALUE"""),"Álex De La Iglesia")</f>
        <v>Álex De La Iglesia</v>
      </c>
      <c r="V2669" s="5" t="s">
        <v>14963</v>
      </c>
      <c r="W2669" s="5" t="str">
        <f t="shared" si="3"/>
        <v>Mark Williams</v>
      </c>
      <c r="X2669" s="5">
        <f t="shared" si="4"/>
        <v>1</v>
      </c>
      <c r="Y2669" s="5" t="str">
        <f>IFERROR(__xludf.DUMMYFUNCTION("REGEXEXTRACT(J2669, ""^\d+"")"),"101")</f>
        <v>101</v>
      </c>
      <c r="Z2669" s="5" t="str">
        <f>IFERROR(__xludf.DUMMYFUNCTION("REGEXEXTRACT(J2669, ""[A-Za-z ]+$"")")," min")</f>
        <v> min</v>
      </c>
      <c r="AA2669" s="5" t="str">
        <f>IFERROR(__xludf.DUMMYFUNCTION("IF(REGEXMATCH(Z2669, ""Season""), ""TV Show"", ""Movie"")"),"Movie")</f>
        <v>Movie</v>
      </c>
    </row>
    <row r="2670">
      <c r="A2670" s="1" t="s">
        <v>14964</v>
      </c>
      <c r="B2670" s="1" t="s">
        <v>27</v>
      </c>
      <c r="C2670" s="1" t="s">
        <v>14965</v>
      </c>
      <c r="D2670" s="1" t="s">
        <v>49</v>
      </c>
      <c r="E2670" s="1" t="s">
        <v>14966</v>
      </c>
      <c r="F2670" s="1" t="s">
        <v>3217</v>
      </c>
      <c r="G2670" s="1" t="s">
        <v>14956</v>
      </c>
      <c r="H2670" s="1">
        <v>2020.0</v>
      </c>
      <c r="I2670" s="1" t="s">
        <v>42</v>
      </c>
      <c r="J2670" s="1" t="s">
        <v>2452</v>
      </c>
      <c r="K2670" s="1" t="s">
        <v>298</v>
      </c>
      <c r="L2670" s="1" t="s">
        <v>14967</v>
      </c>
      <c r="M2670" s="2" t="s">
        <v>12</v>
      </c>
      <c r="N2670" s="4">
        <f t="shared" si="1"/>
        <v>43938</v>
      </c>
      <c r="O2670" s="5" t="str">
        <f>IFERROR(__xludf.DUMMYFUNCTION("IF(REGEXMATCH(TRIM(I2670), ""^\d+\s*min""), ""Unclassified"", IF(I2670 = """", ""NR"", I2670))"),"TV-MA")</f>
        <v>TV-MA</v>
      </c>
      <c r="R2670" s="5" t="str">
        <f t="shared" si="2"/>
        <v>Earth And Blood</v>
      </c>
      <c r="S2670" s="5" t="str">
        <f>IFERROR(__xludf.DUMMYFUNCTION("""COMPUTED_VALUE"""),"Generation Iron 2")</f>
        <v>Generation Iron 2</v>
      </c>
      <c r="U2670" s="5" t="str">
        <f>IFERROR(__xludf.DUMMYFUNCTION("""COMPUTED_VALUE"""),"Chris Moukarbel")</f>
        <v>Chris Moukarbel</v>
      </c>
      <c r="V2670" s="5" t="s">
        <v>14968</v>
      </c>
      <c r="W2670" s="5" t="str">
        <f t="shared" si="3"/>
        <v>Mark Zwonitzer</v>
      </c>
      <c r="X2670" s="5">
        <f t="shared" si="4"/>
        <v>1</v>
      </c>
      <c r="Y2670" s="5" t="str">
        <f>IFERROR(__xludf.DUMMYFUNCTION("REGEXEXTRACT(J2670, ""^\d+"")"),"81")</f>
        <v>81</v>
      </c>
      <c r="Z2670" s="5" t="str">
        <f>IFERROR(__xludf.DUMMYFUNCTION("REGEXEXTRACT(J2670, ""[A-Za-z ]+$"")")," min")</f>
        <v> min</v>
      </c>
      <c r="AA2670" s="5" t="str">
        <f>IFERROR(__xludf.DUMMYFUNCTION("IF(REGEXMATCH(Z2670, ""Season""), ""TV Show"", ""Movie"")"),"Movie")</f>
        <v>Movie</v>
      </c>
    </row>
    <row r="2671">
      <c r="A2671" s="1" t="s">
        <v>14969</v>
      </c>
      <c r="B2671" s="1" t="s">
        <v>37</v>
      </c>
      <c r="C2671" s="1" t="s">
        <v>14970</v>
      </c>
      <c r="E2671" s="1" t="s">
        <v>14971</v>
      </c>
      <c r="F2671" s="1" t="s">
        <v>162</v>
      </c>
      <c r="G2671" s="1" t="s">
        <v>14956</v>
      </c>
      <c r="H2671" s="1">
        <v>2020.0</v>
      </c>
      <c r="I2671" s="1" t="s">
        <v>42</v>
      </c>
      <c r="J2671" s="1" t="s">
        <v>43</v>
      </c>
      <c r="K2671" s="1" t="s">
        <v>785</v>
      </c>
      <c r="L2671" s="1" t="s">
        <v>14972</v>
      </c>
      <c r="M2671" s="2" t="s">
        <v>12</v>
      </c>
      <c r="N2671" s="4">
        <f t="shared" si="1"/>
        <v>43938</v>
      </c>
      <c r="O2671" s="5" t="str">
        <f>IFERROR(__xludf.DUMMYFUNCTION("IF(REGEXMATCH(TRIM(I2671), ""^\d+\s*min""), ""Unclassified"", IF(I2671 = """", ""NR"", I2671))"),"TV-MA")</f>
        <v>TV-MA</v>
      </c>
      <c r="R2671" s="5" t="str">
        <f t="shared" si="2"/>
        <v>El Dragón: Return Of A Warrior</v>
      </c>
      <c r="S2671" s="5" t="str">
        <f>IFERROR(__xludf.DUMMYFUNCTION("""COMPUTED_VALUE"""),"Generation Iron 3")</f>
        <v>Generation Iron 3</v>
      </c>
      <c r="U2671" s="5" t="str">
        <f>IFERROR(__xludf.DUMMYFUNCTION("""COMPUTED_VALUE"""),"Ana Lily Amirpour")</f>
        <v>Ana Lily Amirpour</v>
      </c>
      <c r="V2671" s="5" t="s">
        <v>9508</v>
      </c>
      <c r="W2671" s="5" t="str">
        <f t="shared" si="3"/>
        <v>Marla M. Ancheta</v>
      </c>
      <c r="X2671" s="5">
        <f t="shared" si="4"/>
        <v>1</v>
      </c>
      <c r="Y2671" s="5" t="str">
        <f>IFERROR(__xludf.DUMMYFUNCTION("REGEXEXTRACT(J2671, ""^\d+"")"),"2")</f>
        <v>2</v>
      </c>
      <c r="Z2671" s="5" t="str">
        <f>IFERROR(__xludf.DUMMYFUNCTION("REGEXEXTRACT(J2671, ""[A-Za-z ]+$"")")," Seasons")</f>
        <v> Seasons</v>
      </c>
      <c r="AA2671" s="5" t="str">
        <f>IFERROR(__xludf.DUMMYFUNCTION("IF(REGEXMATCH(Z2671, ""Season""), ""TV Show"", ""Movie"")"),"TV Show")</f>
        <v>TV Show</v>
      </c>
    </row>
    <row r="2672">
      <c r="A2672" s="1" t="s">
        <v>14973</v>
      </c>
      <c r="B2672" s="1" t="s">
        <v>37</v>
      </c>
      <c r="C2672" s="1" t="s">
        <v>14974</v>
      </c>
      <c r="E2672" s="1" t="s">
        <v>14975</v>
      </c>
      <c r="F2672" s="1" t="s">
        <v>63</v>
      </c>
      <c r="G2672" s="1" t="s">
        <v>14956</v>
      </c>
      <c r="H2672" s="1">
        <v>2020.0</v>
      </c>
      <c r="I2672" s="1" t="s">
        <v>42</v>
      </c>
      <c r="J2672" s="1" t="s">
        <v>51</v>
      </c>
      <c r="K2672" s="1" t="s">
        <v>2493</v>
      </c>
      <c r="L2672" s="1" t="s">
        <v>14976</v>
      </c>
      <c r="M2672" s="2" t="s">
        <v>12</v>
      </c>
      <c r="N2672" s="4">
        <f t="shared" si="1"/>
        <v>43938</v>
      </c>
      <c r="O2672" s="5" t="str">
        <f>IFERROR(__xludf.DUMMYFUNCTION("IF(REGEXMATCH(TRIM(I2672), ""^\d+\s*min""), ""Unclassified"", IF(I2672 = """", ""NR"", I2672))"),"TV-MA")</f>
        <v>TV-MA</v>
      </c>
      <c r="R2672" s="5" t="str">
        <f t="shared" si="2"/>
        <v>Hasmukh</v>
      </c>
      <c r="S2672" s="5" t="str">
        <f>IFERROR(__xludf.DUMMYFUNCTION("""COMPUTED_VALUE"""),"Genius")</f>
        <v>Genius</v>
      </c>
      <c r="U2672" s="5" t="str">
        <f>IFERROR(__xludf.DUMMYFUNCTION("""COMPUTED_VALUE"""),"Michael Bonfiglio")</f>
        <v>Michael Bonfiglio</v>
      </c>
      <c r="V2672" s="5" t="s">
        <v>14977</v>
      </c>
      <c r="W2672" s="5" t="str">
        <f t="shared" si="3"/>
        <v>Marlene Melchior</v>
      </c>
      <c r="X2672" s="5">
        <f t="shared" si="4"/>
        <v>1</v>
      </c>
      <c r="Y2672" s="5" t="str">
        <f>IFERROR(__xludf.DUMMYFUNCTION("REGEXEXTRACT(J2672, ""^\d+"")"),"1")</f>
        <v>1</v>
      </c>
      <c r="Z2672" s="5" t="str">
        <f>IFERROR(__xludf.DUMMYFUNCTION("REGEXEXTRACT(J2672, ""[A-Za-z ]+$"")")," Season")</f>
        <v> Season</v>
      </c>
      <c r="AA2672" s="5" t="str">
        <f>IFERROR(__xludf.DUMMYFUNCTION("IF(REGEXMATCH(Z2672, ""Season""), ""TV Show"", ""Movie"")"),"TV Show")</f>
        <v>TV Show</v>
      </c>
    </row>
    <row r="2673">
      <c r="A2673" s="1" t="s">
        <v>14978</v>
      </c>
      <c r="B2673" s="1" t="s">
        <v>27</v>
      </c>
      <c r="C2673" s="1" t="s">
        <v>14979</v>
      </c>
      <c r="D2673" s="1" t="s">
        <v>5297</v>
      </c>
      <c r="E2673" s="1" t="s">
        <v>14980</v>
      </c>
      <c r="F2673" s="1" t="s">
        <v>2492</v>
      </c>
      <c r="G2673" s="1" t="s">
        <v>14956</v>
      </c>
      <c r="H2673" s="1">
        <v>2020.0</v>
      </c>
      <c r="I2673" s="1" t="s">
        <v>42</v>
      </c>
      <c r="J2673" s="1" t="s">
        <v>465</v>
      </c>
      <c r="K2673" s="1" t="s">
        <v>128</v>
      </c>
      <c r="L2673" s="1" t="s">
        <v>14981</v>
      </c>
      <c r="M2673" s="2" t="s">
        <v>12</v>
      </c>
      <c r="N2673" s="4">
        <f t="shared" si="1"/>
        <v>43938</v>
      </c>
      <c r="O2673" s="5" t="str">
        <f>IFERROR(__xludf.DUMMYFUNCTION("IF(REGEXMATCH(TRIM(I2673), ""^\d+\s*min""), ""Unclassified"", IF(I2673 = """", ""NR"", I2673))"),"TV-MA")</f>
        <v>TV-MA</v>
      </c>
      <c r="R2673" s="5" t="str">
        <f t="shared" si="2"/>
        <v>Rising High</v>
      </c>
      <c r="S2673" s="5" t="str">
        <f>IFERROR(__xludf.DUMMYFUNCTION("""COMPUTED_VALUE"""),"Genius Of The Ancient World")</f>
        <v>Genius Of The Ancient World</v>
      </c>
      <c r="U2673" s="5" t="str">
        <f>IFERROR(__xludf.DUMMYFUNCTION("""COMPUTED_VALUE"""),"Yance Ford")</f>
        <v>Yance Ford</v>
      </c>
      <c r="V2673" s="5" t="s">
        <v>10512</v>
      </c>
      <c r="W2673" s="5" t="str">
        <f t="shared" si="3"/>
        <v>Maroun Baghdadi</v>
      </c>
      <c r="X2673" s="5">
        <f t="shared" si="4"/>
        <v>4</v>
      </c>
      <c r="Y2673" s="5" t="str">
        <f>IFERROR(__xludf.DUMMYFUNCTION("REGEXEXTRACT(J2673, ""^\d+"")"),"95")</f>
        <v>95</v>
      </c>
      <c r="Z2673" s="5" t="str">
        <f>IFERROR(__xludf.DUMMYFUNCTION("REGEXEXTRACT(J2673, ""[A-Za-z ]+$"")")," min")</f>
        <v> min</v>
      </c>
      <c r="AA2673" s="5" t="str">
        <f>IFERROR(__xludf.DUMMYFUNCTION("IF(REGEXMATCH(Z2673, ""Season""), ""TV Show"", ""Movie"")"),"Movie")</f>
        <v>Movie</v>
      </c>
    </row>
    <row r="2674">
      <c r="A2674" s="1" t="s">
        <v>14982</v>
      </c>
      <c r="B2674" s="1" t="s">
        <v>27</v>
      </c>
      <c r="C2674" s="1" t="s">
        <v>14983</v>
      </c>
      <c r="D2674" s="1" t="s">
        <v>8643</v>
      </c>
      <c r="E2674" s="1" t="s">
        <v>14984</v>
      </c>
      <c r="F2674" s="1" t="s">
        <v>30</v>
      </c>
      <c r="G2674" s="1" t="s">
        <v>14956</v>
      </c>
      <c r="H2674" s="1">
        <v>2020.0</v>
      </c>
      <c r="I2674" s="1" t="s">
        <v>378</v>
      </c>
      <c r="J2674" s="1" t="s">
        <v>804</v>
      </c>
      <c r="K2674" s="1" t="s">
        <v>1320</v>
      </c>
      <c r="L2674" s="1" t="s">
        <v>14985</v>
      </c>
      <c r="M2674" s="2" t="s">
        <v>12</v>
      </c>
      <c r="N2674" s="4">
        <f t="shared" si="1"/>
        <v>43938</v>
      </c>
      <c r="O2674" s="5" t="str">
        <f>IFERROR(__xludf.DUMMYFUNCTION("IF(REGEXMATCH(TRIM(I2674), ""^\d+\s*min""), ""Unclassified"", IF(I2674 = """", ""NR"", I2674))"),"R")</f>
        <v>R</v>
      </c>
      <c r="R2674" s="5" t="str">
        <f t="shared" si="2"/>
        <v>Sergio</v>
      </c>
      <c r="S2674" s="5" t="str">
        <f>IFERROR(__xludf.DUMMYFUNCTION("""COMPUTED_VALUE"""),"Genius Of The Modern World")</f>
        <v>Genius Of The Modern World</v>
      </c>
      <c r="U2674" s="5" t="str">
        <f>IFERROR(__xludf.DUMMYFUNCTION("""COMPUTED_VALUE"""),"Fernando Lebrija")</f>
        <v>Fernando Lebrija</v>
      </c>
      <c r="V2674" s="5" t="s">
        <v>14986</v>
      </c>
      <c r="W2674" s="5" t="str">
        <f t="shared" si="3"/>
        <v>Marta Jaenes, Rosa Márquez</v>
      </c>
      <c r="X2674" s="5">
        <f t="shared" si="4"/>
        <v>1</v>
      </c>
      <c r="Y2674" s="5" t="str">
        <f>IFERROR(__xludf.DUMMYFUNCTION("REGEXEXTRACT(J2674, ""^\d+"")"),"119")</f>
        <v>119</v>
      </c>
      <c r="Z2674" s="5" t="str">
        <f>IFERROR(__xludf.DUMMYFUNCTION("REGEXEXTRACT(J2674, ""[A-Za-z ]+$"")")," min")</f>
        <v> min</v>
      </c>
      <c r="AA2674" s="5" t="str">
        <f>IFERROR(__xludf.DUMMYFUNCTION("IF(REGEXMATCH(Z2674, ""Season""), ""TV Show"", ""Movie"")"),"Movie")</f>
        <v>Movie</v>
      </c>
    </row>
    <row r="2675">
      <c r="A2675" s="1" t="s">
        <v>14987</v>
      </c>
      <c r="B2675" s="1" t="s">
        <v>27</v>
      </c>
      <c r="C2675" s="1" t="s">
        <v>14988</v>
      </c>
      <c r="D2675" s="1" t="s">
        <v>7642</v>
      </c>
      <c r="E2675" s="1" t="s">
        <v>14989</v>
      </c>
      <c r="F2675" s="1" t="s">
        <v>12592</v>
      </c>
      <c r="G2675" s="1" t="s">
        <v>14956</v>
      </c>
      <c r="H2675" s="1">
        <v>2019.0</v>
      </c>
      <c r="I2675" s="1" t="s">
        <v>42</v>
      </c>
      <c r="J2675" s="1" t="s">
        <v>941</v>
      </c>
      <c r="K2675" s="1" t="s">
        <v>631</v>
      </c>
      <c r="L2675" s="1" t="s">
        <v>14990</v>
      </c>
      <c r="M2675" s="2" t="s">
        <v>12</v>
      </c>
      <c r="N2675" s="4">
        <f t="shared" si="1"/>
        <v>43938</v>
      </c>
      <c r="O2675" s="5" t="str">
        <f>IFERROR(__xludf.DUMMYFUNCTION("IF(REGEXMATCH(TRIM(I2675), ""^\d+\s*min""), ""Unclassified"", IF(I2675 = """", ""NR"", I2675))"),"TV-MA")</f>
        <v>TV-MA</v>
      </c>
      <c r="R2675" s="5" t="str">
        <f t="shared" si="2"/>
        <v>The Legacy Of The Bones</v>
      </c>
      <c r="S2675" s="5" t="str">
        <f>IFERROR(__xludf.DUMMYFUNCTION("""COMPUTED_VALUE"""),"Gentefied")</f>
        <v>Gentefied</v>
      </c>
      <c r="U2675" s="5" t="str">
        <f>IFERROR(__xludf.DUMMYFUNCTION("""COMPUTED_VALUE"""),"Rodrigo Toro, Francisco Schultz")</f>
        <v>Rodrigo Toro, Francisco Schultz</v>
      </c>
      <c r="V2675" s="5" t="s">
        <v>14991</v>
      </c>
      <c r="W2675" s="5" t="str">
        <f t="shared" si="3"/>
        <v>Martha Coolidge</v>
      </c>
      <c r="X2675" s="5">
        <f t="shared" si="4"/>
        <v>1</v>
      </c>
      <c r="Y2675" s="5" t="str">
        <f>IFERROR(__xludf.DUMMYFUNCTION("REGEXEXTRACT(J2675, ""^\d+"")"),"121")</f>
        <v>121</v>
      </c>
      <c r="Z2675" s="5" t="str">
        <f>IFERROR(__xludf.DUMMYFUNCTION("REGEXEXTRACT(J2675, ""[A-Za-z ]+$"")")," min")</f>
        <v> min</v>
      </c>
      <c r="AA2675" s="5" t="str">
        <f>IFERROR(__xludf.DUMMYFUNCTION("IF(REGEXMATCH(Z2675, ""Season""), ""TV Show"", ""Movie"")"),"Movie")</f>
        <v>Movie</v>
      </c>
    </row>
    <row r="2676">
      <c r="A2676" s="1" t="s">
        <v>14992</v>
      </c>
      <c r="B2676" s="1" t="s">
        <v>27</v>
      </c>
      <c r="C2676" s="1" t="s">
        <v>14993</v>
      </c>
      <c r="D2676" s="1" t="s">
        <v>13698</v>
      </c>
      <c r="E2676" s="1" t="s">
        <v>14994</v>
      </c>
      <c r="F2676" s="1" t="s">
        <v>14995</v>
      </c>
      <c r="G2676" s="1" t="s">
        <v>14996</v>
      </c>
      <c r="H2676" s="1">
        <v>2019.0</v>
      </c>
      <c r="I2676" s="1" t="s">
        <v>42</v>
      </c>
      <c r="J2676" s="1" t="s">
        <v>428</v>
      </c>
      <c r="K2676" s="1" t="s">
        <v>583</v>
      </c>
      <c r="L2676" s="1" t="s">
        <v>14997</v>
      </c>
      <c r="M2676" s="2" t="s">
        <v>12</v>
      </c>
      <c r="N2676" s="4">
        <f t="shared" si="1"/>
        <v>43937</v>
      </c>
      <c r="O2676" s="5" t="str">
        <f>IFERROR(__xludf.DUMMYFUNCTION("IF(REGEXMATCH(TRIM(I2676), ""^\d+\s*min""), ""Unclassified"", IF(I2676 = """", ""NR"", I2676))"),"TV-MA")</f>
        <v>TV-MA</v>
      </c>
      <c r="R2676" s="5" t="str">
        <f t="shared" si="2"/>
        <v>Alelí</v>
      </c>
      <c r="S2676" s="5" t="str">
        <f>IFERROR(__xludf.DUMMYFUNCTION("""COMPUTED_VALUE"""),"Gentlemen And Gangsters")</f>
        <v>Gentlemen And Gangsters</v>
      </c>
      <c r="U2676" s="5" t="str">
        <f>IFERROR(__xludf.DUMMYFUNCTION("""COMPUTED_VALUE"""),"José Miguel Contreras")</f>
        <v>José Miguel Contreras</v>
      </c>
      <c r="V2676" s="5" t="s">
        <v>14998</v>
      </c>
      <c r="W2676" s="5" t="str">
        <f t="shared" si="3"/>
        <v>Marti Noxon</v>
      </c>
      <c r="X2676" s="5">
        <f t="shared" si="4"/>
        <v>1</v>
      </c>
      <c r="Y2676" s="5" t="str">
        <f>IFERROR(__xludf.DUMMYFUNCTION("REGEXEXTRACT(J2676, ""^\d+"")"),"88")</f>
        <v>88</v>
      </c>
      <c r="Z2676" s="5" t="str">
        <f>IFERROR(__xludf.DUMMYFUNCTION("REGEXEXTRACT(J2676, ""[A-Za-z ]+$"")")," min")</f>
        <v> min</v>
      </c>
      <c r="AA2676" s="5" t="str">
        <f>IFERROR(__xludf.DUMMYFUNCTION("IF(REGEXMATCH(Z2676, ""Season""), ""TV Show"", ""Movie"")"),"Movie")</f>
        <v>Movie</v>
      </c>
    </row>
    <row r="2677">
      <c r="A2677" s="1" t="s">
        <v>14999</v>
      </c>
      <c r="B2677" s="1" t="s">
        <v>37</v>
      </c>
      <c r="C2677" s="1" t="s">
        <v>15000</v>
      </c>
      <c r="D2677" s="1" t="s">
        <v>540</v>
      </c>
      <c r="E2677" s="1" t="s">
        <v>15001</v>
      </c>
      <c r="F2677" s="1" t="s">
        <v>664</v>
      </c>
      <c r="G2677" s="1" t="s">
        <v>14996</v>
      </c>
      <c r="H2677" s="1">
        <v>2020.0</v>
      </c>
      <c r="I2677" s="1" t="s">
        <v>42</v>
      </c>
      <c r="J2677" s="1" t="s">
        <v>43</v>
      </c>
      <c r="K2677" s="1" t="s">
        <v>15002</v>
      </c>
      <c r="L2677" s="1" t="s">
        <v>15003</v>
      </c>
      <c r="M2677" s="2" t="s">
        <v>12</v>
      </c>
      <c r="N2677" s="4">
        <f t="shared" si="1"/>
        <v>43937</v>
      </c>
      <c r="O2677" s="5" t="str">
        <f>IFERROR(__xludf.DUMMYFUNCTION("IF(REGEXMATCH(TRIM(I2677), ""^\d+\s*min""), ""Unclassified"", IF(I2677 = """", ""NR"", I2677))"),"TV-MA")</f>
        <v>TV-MA</v>
      </c>
      <c r="R2677" s="5" t="str">
        <f t="shared" si="2"/>
        <v>Fary : Hexagone</v>
      </c>
      <c r="S2677" s="5" t="str">
        <f>IFERROR(__xludf.DUMMYFUNCTION("""COMPUTED_VALUE"""),"George Lopez: We'Ll Do It For Half")</f>
        <v>George Lopez: We'Ll Do It For Half</v>
      </c>
      <c r="U2677" s="5" t="str">
        <f>IFERROR(__xludf.DUMMYFUNCTION("""COMPUTED_VALUE"""),"Toshiyuki Kubooka")</f>
        <v>Toshiyuki Kubooka</v>
      </c>
      <c r="V2677" s="5" t="s">
        <v>3602</v>
      </c>
      <c r="W2677" s="5" t="str">
        <f t="shared" si="3"/>
        <v>Martin Brest</v>
      </c>
      <c r="X2677" s="5">
        <f t="shared" si="4"/>
        <v>1</v>
      </c>
      <c r="Y2677" s="5" t="str">
        <f>IFERROR(__xludf.DUMMYFUNCTION("REGEXEXTRACT(J2677, ""^\d+"")"),"2")</f>
        <v>2</v>
      </c>
      <c r="Z2677" s="5" t="str">
        <f>IFERROR(__xludf.DUMMYFUNCTION("REGEXEXTRACT(J2677, ""[A-Za-z ]+$"")")," Seasons")</f>
        <v> Seasons</v>
      </c>
      <c r="AA2677" s="5" t="str">
        <f>IFERROR(__xludf.DUMMYFUNCTION("IF(REGEXMATCH(Z2677, ""Season""), ""TV Show"", ""Movie"")"),"TV Show")</f>
        <v>TV Show</v>
      </c>
    </row>
    <row r="2678">
      <c r="A2678" s="1" t="s">
        <v>15004</v>
      </c>
      <c r="B2678" s="1" t="s">
        <v>37</v>
      </c>
      <c r="C2678" s="1" t="s">
        <v>15005</v>
      </c>
      <c r="E2678" s="1" t="s">
        <v>15006</v>
      </c>
      <c r="F2678" s="1" t="s">
        <v>3333</v>
      </c>
      <c r="G2678" s="1" t="s">
        <v>14996</v>
      </c>
      <c r="H2678" s="1">
        <v>2020.0</v>
      </c>
      <c r="I2678" s="1" t="s">
        <v>42</v>
      </c>
      <c r="J2678" s="1" t="s">
        <v>276</v>
      </c>
      <c r="K2678" s="1" t="s">
        <v>52</v>
      </c>
      <c r="L2678" s="1" t="s">
        <v>15007</v>
      </c>
      <c r="M2678" s="2" t="s">
        <v>12</v>
      </c>
      <c r="N2678" s="4">
        <f t="shared" si="1"/>
        <v>43937</v>
      </c>
      <c r="O2678" s="5" t="str">
        <f>IFERROR(__xludf.DUMMYFUNCTION("IF(REGEXMATCH(TRIM(I2678), ""^\d+\s*min""), ""Unclassified"", IF(I2678 = """", ""NR"", I2678))"),"TV-MA")</f>
        <v>TV-MA</v>
      </c>
      <c r="R2678" s="5" t="str">
        <f t="shared" si="2"/>
        <v>Fauda</v>
      </c>
      <c r="S2678" s="5" t="str">
        <f>IFERROR(__xludf.DUMMYFUNCTION("""COMPUTED_VALUE"""),"George Of The Jungle 2")</f>
        <v>George Of The Jungle 2</v>
      </c>
      <c r="U2678" s="5" t="str">
        <f>IFERROR(__xludf.DUMMYFUNCTION("""COMPUTED_VALUE"""),"Todd S. Yellin")</f>
        <v>Todd S. Yellin</v>
      </c>
      <c r="V2678" s="5" t="s">
        <v>1012</v>
      </c>
      <c r="W2678" s="5" t="str">
        <f t="shared" si="3"/>
        <v>Martin Campbell</v>
      </c>
      <c r="X2678" s="5">
        <f t="shared" si="4"/>
        <v>5</v>
      </c>
      <c r="Y2678" s="5" t="str">
        <f>IFERROR(__xludf.DUMMYFUNCTION("REGEXEXTRACT(J2678, ""^\d+"")"),"3")</f>
        <v>3</v>
      </c>
      <c r="Z2678" s="5" t="str">
        <f>IFERROR(__xludf.DUMMYFUNCTION("REGEXEXTRACT(J2678, ""[A-Za-z ]+$"")")," Seasons")</f>
        <v> Seasons</v>
      </c>
      <c r="AA2678" s="5" t="str">
        <f>IFERROR(__xludf.DUMMYFUNCTION("IF(REGEXMATCH(Z2678, ""Season""), ""TV Show"", ""Movie"")"),"TV Show")</f>
        <v>TV Show</v>
      </c>
    </row>
    <row r="2679">
      <c r="A2679" s="1" t="s">
        <v>15008</v>
      </c>
      <c r="B2679" s="1" t="s">
        <v>27</v>
      </c>
      <c r="C2679" s="1" t="s">
        <v>15009</v>
      </c>
      <c r="D2679" s="1" t="s">
        <v>7324</v>
      </c>
      <c r="E2679" s="1" t="s">
        <v>15010</v>
      </c>
      <c r="F2679" s="1" t="s">
        <v>15011</v>
      </c>
      <c r="G2679" s="1" t="s">
        <v>14996</v>
      </c>
      <c r="H2679" s="1">
        <v>2016.0</v>
      </c>
      <c r="I2679" s="1" t="s">
        <v>32</v>
      </c>
      <c r="J2679" s="1" t="s">
        <v>256</v>
      </c>
      <c r="K2679" s="1" t="s">
        <v>239</v>
      </c>
      <c r="L2679" s="1" t="s">
        <v>15012</v>
      </c>
      <c r="M2679" s="2" t="s">
        <v>12</v>
      </c>
      <c r="N2679" s="4">
        <f t="shared" si="1"/>
        <v>43937</v>
      </c>
      <c r="O2679" s="5" t="str">
        <f>IFERROR(__xludf.DUMMYFUNCTION("IF(REGEXMATCH(TRIM(I2679), ""^\d+\s*min""), ""Unclassified"", IF(I2679 = """", ""NR"", I2679))"),"PG-13")</f>
        <v>PG-13</v>
      </c>
      <c r="R2679" s="5" t="str">
        <f t="shared" si="2"/>
        <v>Hail, Caesar!</v>
      </c>
      <c r="S2679" s="5" t="str">
        <f>IFERROR(__xludf.DUMMYFUNCTION("""COMPUTED_VALUE"""),"Gerald'S Game")</f>
        <v>Gerald'S Game</v>
      </c>
      <c r="U2679" s="5" t="str">
        <f>IFERROR(__xludf.DUMMYFUNCTION("""COMPUTED_VALUE"""),"Mohammed Hussain")</f>
        <v>Mohammed Hussain</v>
      </c>
      <c r="V2679" s="5" t="s">
        <v>15013</v>
      </c>
      <c r="W2679" s="5" t="str">
        <f t="shared" si="3"/>
        <v>Martin Gorst</v>
      </c>
      <c r="X2679" s="5">
        <f t="shared" si="4"/>
        <v>2</v>
      </c>
      <c r="Y2679" s="5" t="str">
        <f>IFERROR(__xludf.DUMMYFUNCTION("REGEXEXTRACT(J2679, ""^\d+"")"),"106")</f>
        <v>106</v>
      </c>
      <c r="Z2679" s="5" t="str">
        <f>IFERROR(__xludf.DUMMYFUNCTION("REGEXEXTRACT(J2679, ""[A-Za-z ]+$"")")," min")</f>
        <v> min</v>
      </c>
      <c r="AA2679" s="5" t="str">
        <f>IFERROR(__xludf.DUMMYFUNCTION("IF(REGEXMATCH(Z2679, ""Season""), ""TV Show"", ""Movie"")"),"Movie")</f>
        <v>Movie</v>
      </c>
    </row>
    <row r="2680">
      <c r="A2680" s="1" t="s">
        <v>15014</v>
      </c>
      <c r="B2680" s="1" t="s">
        <v>27</v>
      </c>
      <c r="C2680" s="1" t="s">
        <v>15015</v>
      </c>
      <c r="D2680" s="1" t="s">
        <v>11606</v>
      </c>
      <c r="E2680" s="1" t="s">
        <v>15016</v>
      </c>
      <c r="F2680" s="1" t="s">
        <v>30</v>
      </c>
      <c r="G2680" s="1" t="s">
        <v>14996</v>
      </c>
      <c r="H2680" s="1">
        <v>2015.0</v>
      </c>
      <c r="I2680" s="1" t="s">
        <v>78</v>
      </c>
      <c r="J2680" s="1" t="s">
        <v>804</v>
      </c>
      <c r="K2680" s="1" t="s">
        <v>15017</v>
      </c>
      <c r="L2680" s="1" t="s">
        <v>15018</v>
      </c>
      <c r="M2680" s="2" t="s">
        <v>12</v>
      </c>
      <c r="N2680" s="4">
        <f t="shared" si="1"/>
        <v>43937</v>
      </c>
      <c r="O2680" s="5" t="str">
        <f>IFERROR(__xludf.DUMMYFUNCTION("IF(REGEXMATCH(TRIM(I2680), ""^\d+\s*min""), ""Unclassified"", IF(I2680 = """", ""NR"", I2680))"),"PG")</f>
        <v>PG</v>
      </c>
      <c r="R2680" s="5" t="str">
        <f t="shared" si="2"/>
        <v>Jem And The Holograms</v>
      </c>
      <c r="S2680" s="5" t="str">
        <f>IFERROR(__xludf.DUMMYFUNCTION("""COMPUTED_VALUE"""),"Geronimo Stilton")</f>
        <v>Geronimo Stilton</v>
      </c>
      <c r="U2680" s="5" t="str">
        <f>IFERROR(__xludf.DUMMYFUNCTION("""COMPUTED_VALUE"""),"Eli Craig")</f>
        <v>Eli Craig</v>
      </c>
      <c r="V2680" s="5" t="s">
        <v>15019</v>
      </c>
      <c r="W2680" s="5" t="str">
        <f t="shared" si="3"/>
        <v>Martin Hodara</v>
      </c>
      <c r="X2680" s="5">
        <f t="shared" si="4"/>
        <v>1</v>
      </c>
      <c r="Y2680" s="5" t="str">
        <f>IFERROR(__xludf.DUMMYFUNCTION("REGEXEXTRACT(J2680, ""^\d+"")"),"119")</f>
        <v>119</v>
      </c>
      <c r="Z2680" s="5" t="str">
        <f>IFERROR(__xludf.DUMMYFUNCTION("REGEXEXTRACT(J2680, ""[A-Za-z ]+$"")")," min")</f>
        <v> min</v>
      </c>
      <c r="AA2680" s="5" t="str">
        <f>IFERROR(__xludf.DUMMYFUNCTION("IF(REGEXMATCH(Z2680, ""Season""), ""TV Show"", ""Movie"")"),"Movie")</f>
        <v>Movie</v>
      </c>
    </row>
    <row r="2681">
      <c r="A2681" s="1" t="s">
        <v>15020</v>
      </c>
      <c r="B2681" s="1" t="s">
        <v>27</v>
      </c>
      <c r="C2681" s="1" t="s">
        <v>15021</v>
      </c>
      <c r="D2681" s="1" t="s">
        <v>6505</v>
      </c>
      <c r="E2681" s="1" t="s">
        <v>15022</v>
      </c>
      <c r="F2681" s="1" t="s">
        <v>1992</v>
      </c>
      <c r="G2681" s="1" t="s">
        <v>14996</v>
      </c>
      <c r="H2681" s="1">
        <v>2020.0</v>
      </c>
      <c r="I2681" s="1" t="s">
        <v>42</v>
      </c>
      <c r="J2681" s="1" t="s">
        <v>919</v>
      </c>
      <c r="K2681" s="1" t="s">
        <v>1839</v>
      </c>
      <c r="L2681" s="1" t="s">
        <v>15023</v>
      </c>
      <c r="M2681" s="2" t="s">
        <v>12</v>
      </c>
      <c r="N2681" s="4">
        <f t="shared" si="1"/>
        <v>43937</v>
      </c>
      <c r="O2681" s="5" t="str">
        <f>IFERROR(__xludf.DUMMYFUNCTION("IF(REGEXMATCH(TRIM(I2681), ""^\d+\s*min""), ""Unclassified"", IF(I2681 = """", ""NR"", I2681))"),"TV-MA")</f>
        <v>TV-MA</v>
      </c>
      <c r="R2681" s="5" t="str">
        <f t="shared" si="2"/>
        <v>Maurício Meirelles: Generating Chaos</v>
      </c>
      <c r="S2681" s="5" t="str">
        <f>IFERROR(__xludf.DUMMYFUNCTION("""COMPUTED_VALUE"""),"Get Even")</f>
        <v>Get Even</v>
      </c>
      <c r="U2681" s="5" t="str">
        <f>IFERROR(__xludf.DUMMYFUNCTION("""COMPUTED_VALUE"""),"Shammi Kapoor")</f>
        <v>Shammi Kapoor</v>
      </c>
      <c r="V2681" s="5" t="s">
        <v>15024</v>
      </c>
      <c r="W2681" s="5" t="str">
        <f t="shared" si="3"/>
        <v>Martin Lawrence</v>
      </c>
      <c r="X2681" s="5">
        <f t="shared" si="4"/>
        <v>1</v>
      </c>
      <c r="Y2681" s="5" t="str">
        <f>IFERROR(__xludf.DUMMYFUNCTION("REGEXEXTRACT(J2681, ""^\d+"")"),"63")</f>
        <v>63</v>
      </c>
      <c r="Z2681" s="5" t="str">
        <f>IFERROR(__xludf.DUMMYFUNCTION("REGEXEXTRACT(J2681, ""[A-Za-z ]+$"")")," min")</f>
        <v> min</v>
      </c>
      <c r="AA2681" s="5" t="str">
        <f>IFERROR(__xludf.DUMMYFUNCTION("IF(REGEXMATCH(Z2681, ""Season""), ""TV Show"", ""Movie"")"),"Movie")</f>
        <v>Movie</v>
      </c>
    </row>
    <row r="2682">
      <c r="A2682" s="1" t="s">
        <v>15025</v>
      </c>
      <c r="B2682" s="1" t="s">
        <v>27</v>
      </c>
      <c r="C2682" s="1" t="s">
        <v>15026</v>
      </c>
      <c r="D2682" s="1" t="s">
        <v>9522</v>
      </c>
      <c r="E2682" s="1" t="s">
        <v>15027</v>
      </c>
      <c r="F2682" s="1" t="s">
        <v>30</v>
      </c>
      <c r="G2682" s="1" t="s">
        <v>14996</v>
      </c>
      <c r="H2682" s="1">
        <v>2015.0</v>
      </c>
      <c r="I2682" s="1" t="s">
        <v>378</v>
      </c>
      <c r="J2682" s="1" t="s">
        <v>1001</v>
      </c>
      <c r="K2682" s="1" t="s">
        <v>239</v>
      </c>
      <c r="L2682" s="1" t="s">
        <v>15028</v>
      </c>
      <c r="M2682" s="2" t="s">
        <v>12</v>
      </c>
      <c r="N2682" s="4">
        <f t="shared" si="1"/>
        <v>43937</v>
      </c>
      <c r="O2682" s="5" t="str">
        <f>IFERROR(__xludf.DUMMYFUNCTION("IF(REGEXMATCH(TRIM(I2682), ""^\d+\s*min""), ""Unclassified"", IF(I2682 = """", ""NR"", I2682))"),"R")</f>
        <v>R</v>
      </c>
      <c r="R2682" s="5" t="str">
        <f t="shared" si="2"/>
        <v>Puerto Ricans In Paris</v>
      </c>
      <c r="S2682" s="5" t="str">
        <f>IFERROR(__xludf.DUMMYFUNCTION("""COMPUTED_VALUE"""),"Get Him To The Greek")</f>
        <v>Get Him To The Greek</v>
      </c>
      <c r="U2682" s="5" t="str">
        <f>IFERROR(__xludf.DUMMYFUNCTION("""COMPUTED_VALUE"""),"Florian Schnell")</f>
        <v>Florian Schnell</v>
      </c>
      <c r="V2682" s="5" t="s">
        <v>5445</v>
      </c>
      <c r="W2682" s="5" t="str">
        <f t="shared" si="3"/>
        <v>Martin Prakkat</v>
      </c>
      <c r="X2682" s="5">
        <f t="shared" si="4"/>
        <v>1</v>
      </c>
      <c r="Y2682" s="5" t="str">
        <f>IFERROR(__xludf.DUMMYFUNCTION("REGEXEXTRACT(J2682, ""^\d+"")"),"82")</f>
        <v>82</v>
      </c>
      <c r="Z2682" s="5" t="str">
        <f>IFERROR(__xludf.DUMMYFUNCTION("REGEXEXTRACT(J2682, ""[A-Za-z ]+$"")")," min")</f>
        <v> min</v>
      </c>
      <c r="AA2682" s="5" t="str">
        <f>IFERROR(__xludf.DUMMYFUNCTION("IF(REGEXMATCH(Z2682, ""Season""), ""TV Show"", ""Movie"")"),"Movie")</f>
        <v>Movie</v>
      </c>
    </row>
    <row r="2683">
      <c r="A2683" s="1" t="s">
        <v>15029</v>
      </c>
      <c r="B2683" s="1" t="s">
        <v>27</v>
      </c>
      <c r="C2683" s="1" t="s">
        <v>15030</v>
      </c>
      <c r="D2683" s="1" t="s">
        <v>1378</v>
      </c>
      <c r="E2683" s="1" t="s">
        <v>15031</v>
      </c>
      <c r="F2683" s="1" t="s">
        <v>188</v>
      </c>
      <c r="G2683" s="1" t="s">
        <v>14996</v>
      </c>
      <c r="H2683" s="1">
        <v>2019.0</v>
      </c>
      <c r="I2683" s="1" t="s">
        <v>506</v>
      </c>
      <c r="J2683" s="1" t="s">
        <v>465</v>
      </c>
      <c r="K2683" s="1" t="s">
        <v>14327</v>
      </c>
      <c r="L2683" s="1" t="s">
        <v>15032</v>
      </c>
      <c r="M2683" s="2" t="s">
        <v>12</v>
      </c>
      <c r="N2683" s="4">
        <f t="shared" si="1"/>
        <v>43937</v>
      </c>
      <c r="O2683" s="5" t="str">
        <f>IFERROR(__xludf.DUMMYFUNCTION("IF(REGEXMATCH(TRIM(I2683), ""^\d+\s*min""), ""Unclassified"", IF(I2683 = """", ""NR"", I2683))"),"TV-G")</f>
        <v>TV-G</v>
      </c>
      <c r="R2683" s="5" t="str">
        <f t="shared" si="2"/>
        <v>Stunt School</v>
      </c>
      <c r="S2683" s="5" t="str">
        <f>IFERROR(__xludf.DUMMYFUNCTION("""COMPUTED_VALUE"""),"Get In")</f>
        <v>Get In</v>
      </c>
      <c r="U2683" s="5" t="str">
        <f>IFERROR(__xludf.DUMMYFUNCTION("""COMPUTED_VALUE"""),"Josh Izenberg, Wynn Padula")</f>
        <v>Josh Izenberg, Wynn Padula</v>
      </c>
      <c r="V2683" s="5" t="s">
        <v>15033</v>
      </c>
      <c r="W2683" s="5" t="str">
        <f t="shared" si="3"/>
        <v>Martin Rosete</v>
      </c>
      <c r="X2683" s="5">
        <f t="shared" si="4"/>
        <v>1</v>
      </c>
      <c r="Y2683" s="5" t="str">
        <f>IFERROR(__xludf.DUMMYFUNCTION("REGEXEXTRACT(J2683, ""^\d+"")"),"95")</f>
        <v>95</v>
      </c>
      <c r="Z2683" s="5" t="str">
        <f>IFERROR(__xludf.DUMMYFUNCTION("REGEXEXTRACT(J2683, ""[A-Za-z ]+$"")")," min")</f>
        <v> min</v>
      </c>
      <c r="AA2683" s="5" t="str">
        <f>IFERROR(__xludf.DUMMYFUNCTION("IF(REGEXMATCH(Z2683, ""Season""), ""TV Show"", ""Movie"")"),"Movie")</f>
        <v>Movie</v>
      </c>
    </row>
    <row r="2684">
      <c r="A2684" s="1" t="s">
        <v>15034</v>
      </c>
      <c r="B2684" s="1" t="s">
        <v>27</v>
      </c>
      <c r="C2684" s="1" t="s">
        <v>15035</v>
      </c>
      <c r="D2684" s="1" t="s">
        <v>6512</v>
      </c>
      <c r="E2684" s="1" t="s">
        <v>15036</v>
      </c>
      <c r="F2684" s="1" t="s">
        <v>4287</v>
      </c>
      <c r="G2684" s="1" t="s">
        <v>15037</v>
      </c>
      <c r="H2684" s="1">
        <v>2018.0</v>
      </c>
      <c r="I2684" s="1" t="s">
        <v>97</v>
      </c>
      <c r="J2684" s="1" t="s">
        <v>454</v>
      </c>
      <c r="K2684" s="1" t="s">
        <v>679</v>
      </c>
      <c r="L2684" s="1" t="s">
        <v>15038</v>
      </c>
      <c r="M2684" s="2" t="s">
        <v>12</v>
      </c>
      <c r="N2684" s="4">
        <f t="shared" si="1"/>
        <v>43936</v>
      </c>
      <c r="O2684" s="5" t="str">
        <f>IFERROR(__xludf.DUMMYFUNCTION("IF(REGEXMATCH(TRIM(I2684), ""^\d+\s*min""), ""Unclassified"", IF(I2684 = """", ""NR"", I2684))"),"TV-14")</f>
        <v>TV-14</v>
      </c>
      <c r="R2684" s="5" t="str">
        <f t="shared" si="2"/>
        <v>For The Broken Hearted</v>
      </c>
      <c r="S2684" s="5" t="str">
        <f>IFERROR(__xludf.DUMMYFUNCTION("""COMPUTED_VALUE"""),"Get Me Roger Stone")</f>
        <v>Get Me Roger Stone</v>
      </c>
      <c r="U2684" s="5" t="str">
        <f>IFERROR(__xludf.DUMMYFUNCTION("""COMPUTED_VALUE"""),"Gastón Duprat, Mariano Cohn")</f>
        <v>Gastón Duprat, Mariano Cohn</v>
      </c>
      <c r="V2684" s="5" t="s">
        <v>12321</v>
      </c>
      <c r="W2684" s="5" t="str">
        <f t="shared" si="3"/>
        <v>Martín Sastre</v>
      </c>
      <c r="X2684" s="5">
        <f t="shared" si="4"/>
        <v>1</v>
      </c>
      <c r="Y2684" s="5" t="str">
        <f>IFERROR(__xludf.DUMMYFUNCTION("REGEXEXTRACT(J2684, ""^\d+"")"),"93")</f>
        <v>93</v>
      </c>
      <c r="Z2684" s="5" t="str">
        <f>IFERROR(__xludf.DUMMYFUNCTION("REGEXEXTRACT(J2684, ""[A-Za-z ]+$"")")," min")</f>
        <v> min</v>
      </c>
      <c r="AA2684" s="5" t="str">
        <f>IFERROR(__xludf.DUMMYFUNCTION("IF(REGEXMATCH(Z2684, ""Season""), ""TV Show"", ""Movie"")"),"Movie")</f>
        <v>Movie</v>
      </c>
    </row>
    <row r="2685">
      <c r="A2685" s="1" t="s">
        <v>15039</v>
      </c>
      <c r="B2685" s="1" t="s">
        <v>27</v>
      </c>
      <c r="C2685" s="1" t="s">
        <v>15040</v>
      </c>
      <c r="D2685" s="1" t="s">
        <v>7040</v>
      </c>
      <c r="E2685" s="1" t="s">
        <v>15041</v>
      </c>
      <c r="F2685" s="1" t="s">
        <v>63</v>
      </c>
      <c r="G2685" s="1" t="s">
        <v>15037</v>
      </c>
      <c r="H2685" s="1">
        <v>2019.0</v>
      </c>
      <c r="I2685" s="1" t="s">
        <v>136</v>
      </c>
      <c r="J2685" s="1" t="s">
        <v>985</v>
      </c>
      <c r="K2685" s="1" t="s">
        <v>836</v>
      </c>
      <c r="L2685" s="1" t="s">
        <v>15042</v>
      </c>
      <c r="M2685" s="2" t="s">
        <v>12</v>
      </c>
      <c r="N2685" s="4">
        <f t="shared" si="1"/>
        <v>43936</v>
      </c>
      <c r="O2685" s="5" t="str">
        <f>IFERROR(__xludf.DUMMYFUNCTION("IF(REGEXMATCH(TRIM(I2685), ""^\d+\s*min""), ""Unclassified"", IF(I2685 = """", ""NR"", I2685))"),"TV-PG")</f>
        <v>TV-PG</v>
      </c>
      <c r="R2685" s="5" t="str">
        <f t="shared" si="2"/>
        <v>Mischief</v>
      </c>
      <c r="S2685" s="5" t="str">
        <f>IFERROR(__xludf.DUMMYFUNCTION("""COMPUTED_VALUE"""),"Get On Up")</f>
        <v>Get On Up</v>
      </c>
      <c r="U2685" s="5" t="str">
        <f>IFERROR(__xludf.DUMMYFUNCTION("""COMPUTED_VALUE"""),"Gary Wang")</f>
        <v>Gary Wang</v>
      </c>
      <c r="V2685" s="5" t="s">
        <v>7998</v>
      </c>
      <c r="W2685" s="5" t="str">
        <f t="shared" si="3"/>
        <v>Martin Scorsese</v>
      </c>
      <c r="X2685" s="5">
        <f t="shared" si="4"/>
        <v>12</v>
      </c>
      <c r="Y2685" s="5" t="str">
        <f>IFERROR(__xludf.DUMMYFUNCTION("REGEXEXTRACT(J2685, ""^\d+"")"),"120")</f>
        <v>120</v>
      </c>
      <c r="Z2685" s="5" t="str">
        <f>IFERROR(__xludf.DUMMYFUNCTION("REGEXEXTRACT(J2685, ""[A-Za-z ]+$"")")," min")</f>
        <v> min</v>
      </c>
      <c r="AA2685" s="5" t="str">
        <f>IFERROR(__xludf.DUMMYFUNCTION("IF(REGEXMATCH(Z2685, ""Season""), ""TV Show"", ""Movie"")"),"Movie")</f>
        <v>Movie</v>
      </c>
    </row>
    <row r="2686">
      <c r="A2686" s="1" t="s">
        <v>15043</v>
      </c>
      <c r="B2686" s="1" t="s">
        <v>37</v>
      </c>
      <c r="C2686" s="1" t="s">
        <v>15044</v>
      </c>
      <c r="F2686" s="1" t="s">
        <v>30</v>
      </c>
      <c r="G2686" s="1" t="s">
        <v>15037</v>
      </c>
      <c r="H2686" s="1">
        <v>2020.0</v>
      </c>
      <c r="I2686" s="1" t="s">
        <v>42</v>
      </c>
      <c r="J2686" s="1" t="s">
        <v>51</v>
      </c>
      <c r="K2686" s="1" t="s">
        <v>2043</v>
      </c>
      <c r="L2686" s="1" t="s">
        <v>15045</v>
      </c>
      <c r="M2686" s="2" t="s">
        <v>12</v>
      </c>
      <c r="N2686" s="4">
        <f t="shared" si="1"/>
        <v>43936</v>
      </c>
      <c r="O2686" s="5" t="str">
        <f>IFERROR(__xludf.DUMMYFUNCTION("IF(REGEXMATCH(TRIM(I2686), ""^\d+\s*min""), ""Unclassified"", IF(I2686 = """", ""NR"", I2686))"),"TV-MA")</f>
        <v>TV-MA</v>
      </c>
      <c r="R2686" s="5" t="str">
        <f t="shared" si="2"/>
        <v>The Innocence Files</v>
      </c>
      <c r="S2686" s="5" t="str">
        <f>IFERROR(__xludf.DUMMYFUNCTION("""COMPUTED_VALUE"""),"Get Organized With The Home Edit")</f>
        <v>Get Organized With The Home Edit</v>
      </c>
      <c r="U2686" s="5" t="str">
        <f>IFERROR(__xludf.DUMMYFUNCTION("""COMPUTED_VALUE"""),"Raz Degan")</f>
        <v>Raz Degan</v>
      </c>
      <c r="V2686" s="5" t="s">
        <v>10072</v>
      </c>
      <c r="W2686" s="5" t="str">
        <f t="shared" si="3"/>
        <v>Martin Wood</v>
      </c>
      <c r="X2686" s="5">
        <f t="shared" si="4"/>
        <v>1</v>
      </c>
      <c r="Y2686" s="5" t="str">
        <f>IFERROR(__xludf.DUMMYFUNCTION("REGEXEXTRACT(J2686, ""^\d+"")"),"1")</f>
        <v>1</v>
      </c>
      <c r="Z2686" s="5" t="str">
        <f>IFERROR(__xludf.DUMMYFUNCTION("REGEXEXTRACT(J2686, ""[A-Za-z ]+$"")")," Season")</f>
        <v> Season</v>
      </c>
      <c r="AA2686" s="5" t="str">
        <f>IFERROR(__xludf.DUMMYFUNCTION("IF(REGEXMATCH(Z2686, ""Season""), ""TV Show"", ""Movie"")"),"TV Show")</f>
        <v>TV Show</v>
      </c>
    </row>
    <row r="2687">
      <c r="A2687" s="1" t="s">
        <v>15046</v>
      </c>
      <c r="B2687" s="1" t="s">
        <v>27</v>
      </c>
      <c r="C2687" s="1" t="s">
        <v>15047</v>
      </c>
      <c r="D2687" s="1" t="s">
        <v>13119</v>
      </c>
      <c r="E2687" s="1" t="s">
        <v>15048</v>
      </c>
      <c r="F2687" s="1" t="s">
        <v>63</v>
      </c>
      <c r="G2687" s="1" t="s">
        <v>15037</v>
      </c>
      <c r="H2687" s="1">
        <v>2020.0</v>
      </c>
      <c r="I2687" s="1" t="s">
        <v>42</v>
      </c>
      <c r="J2687" s="1" t="s">
        <v>229</v>
      </c>
      <c r="K2687" s="1" t="s">
        <v>679</v>
      </c>
      <c r="L2687" s="1" t="s">
        <v>15049</v>
      </c>
      <c r="M2687" s="2" t="s">
        <v>12</v>
      </c>
      <c r="N2687" s="4">
        <f t="shared" si="1"/>
        <v>43936</v>
      </c>
      <c r="O2687" s="5" t="str">
        <f>IFERROR(__xludf.DUMMYFUNCTION("IF(REGEXMATCH(TRIM(I2687), ""^\d+\s*min""), ""Unclassified"", IF(I2687 = """", ""NR"", I2687))"),"TV-MA")</f>
        <v>TV-MA</v>
      </c>
      <c r="R2687" s="5" t="str">
        <f t="shared" si="2"/>
        <v>World Famous Lover</v>
      </c>
      <c r="S2687" s="5" t="str">
        <f>IFERROR(__xludf.DUMMYFUNCTION("""COMPUTED_VALUE"""),"Get Santa")</f>
        <v>Get Santa</v>
      </c>
      <c r="U2687" s="5" t="str">
        <f>IFERROR(__xludf.DUMMYFUNCTION("""COMPUTED_VALUE"""),"Israel Adrián Caetano")</f>
        <v>Israel Adrián Caetano</v>
      </c>
      <c r="V2687" s="5" t="s">
        <v>15050</v>
      </c>
      <c r="W2687" s="5" t="str">
        <f t="shared" si="3"/>
        <v>Martin Zandvliet</v>
      </c>
      <c r="X2687" s="5">
        <f t="shared" si="4"/>
        <v>1</v>
      </c>
      <c r="Y2687" s="5" t="str">
        <f>IFERROR(__xludf.DUMMYFUNCTION("REGEXEXTRACT(J2687, ""^\d+"")"),"147")</f>
        <v>147</v>
      </c>
      <c r="Z2687" s="5" t="str">
        <f>IFERROR(__xludf.DUMMYFUNCTION("REGEXEXTRACT(J2687, ""[A-Za-z ]+$"")")," min")</f>
        <v> min</v>
      </c>
      <c r="AA2687" s="5" t="str">
        <f>IFERROR(__xludf.DUMMYFUNCTION("IF(REGEXMATCH(Z2687, ""Season""), ""TV Show"", ""Movie"")"),"Movie")</f>
        <v>Movie</v>
      </c>
    </row>
    <row r="2688">
      <c r="A2688" s="1" t="s">
        <v>15051</v>
      </c>
      <c r="B2688" s="1" t="s">
        <v>27</v>
      </c>
      <c r="C2688" s="1" t="s">
        <v>15052</v>
      </c>
      <c r="D2688" s="1" t="s">
        <v>15053</v>
      </c>
      <c r="E2688" s="1" t="s">
        <v>15054</v>
      </c>
      <c r="F2688" s="1" t="s">
        <v>30</v>
      </c>
      <c r="G2688" s="1" t="s">
        <v>15055</v>
      </c>
      <c r="H2688" s="1">
        <v>2020.0</v>
      </c>
      <c r="I2688" s="1" t="s">
        <v>42</v>
      </c>
      <c r="J2688" s="1" t="s">
        <v>6490</v>
      </c>
      <c r="K2688" s="1" t="s">
        <v>1839</v>
      </c>
      <c r="L2688" s="1" t="s">
        <v>15056</v>
      </c>
      <c r="M2688" s="2" t="s">
        <v>12</v>
      </c>
      <c r="N2688" s="4">
        <f t="shared" si="1"/>
        <v>43935</v>
      </c>
      <c r="O2688" s="5" t="str">
        <f>IFERROR(__xludf.DUMMYFUNCTION("IF(REGEXMATCH(TRIM(I2688), ""^\d+\s*min""), ""Unclassified"", IF(I2688 = """", ""NR"", I2688))"),"TV-MA")</f>
        <v>TV-MA</v>
      </c>
      <c r="R2688" s="5" t="str">
        <f t="shared" si="2"/>
        <v>Chris D'Elia: No Pain</v>
      </c>
      <c r="S2688" s="5" t="str">
        <f>IFERROR(__xludf.DUMMYFUNCTION("""COMPUTED_VALUE"""),"Get Shorty")</f>
        <v>Get Shorty</v>
      </c>
      <c r="U2688" s="5" t="str">
        <f>IFERROR(__xludf.DUMMYFUNCTION("""COMPUTED_VALUE"""),"Mariano Cohn, Gastón Duprat")</f>
        <v>Mariano Cohn, Gastón Duprat</v>
      </c>
      <c r="V2688" s="5" t="s">
        <v>15057</v>
      </c>
      <c r="W2688" s="5" t="str">
        <f t="shared" si="3"/>
        <v>Marty Callner</v>
      </c>
      <c r="X2688" s="5">
        <f t="shared" si="4"/>
        <v>1</v>
      </c>
      <c r="Y2688" s="5" t="str">
        <f>IFERROR(__xludf.DUMMYFUNCTION("REGEXEXTRACT(J2688, ""^\d+"")"),"55")</f>
        <v>55</v>
      </c>
      <c r="Z2688" s="5" t="str">
        <f>IFERROR(__xludf.DUMMYFUNCTION("REGEXEXTRACT(J2688, ""[A-Za-z ]+$"")")," min")</f>
        <v> min</v>
      </c>
      <c r="AA2688" s="5" t="str">
        <f>IFERROR(__xludf.DUMMYFUNCTION("IF(REGEXMATCH(Z2688, ""Season""), ""TV Show"", ""Movie"")"),"Movie")</f>
        <v>Movie</v>
      </c>
    </row>
    <row r="2689">
      <c r="A2689" s="1" t="s">
        <v>15058</v>
      </c>
      <c r="B2689" s="1" t="s">
        <v>27</v>
      </c>
      <c r="C2689" s="1" t="s">
        <v>15059</v>
      </c>
      <c r="D2689" s="1" t="s">
        <v>10285</v>
      </c>
      <c r="E2689" s="1" t="s">
        <v>15060</v>
      </c>
      <c r="F2689" s="1" t="s">
        <v>400</v>
      </c>
      <c r="G2689" s="1" t="s">
        <v>15055</v>
      </c>
      <c r="H2689" s="1">
        <v>2018.0</v>
      </c>
      <c r="I2689" s="1" t="s">
        <v>97</v>
      </c>
      <c r="J2689" s="1" t="s">
        <v>1256</v>
      </c>
      <c r="K2689" s="1" t="s">
        <v>128</v>
      </c>
      <c r="L2689" s="1" t="s">
        <v>15061</v>
      </c>
      <c r="M2689" s="2" t="s">
        <v>12</v>
      </c>
      <c r="N2689" s="4">
        <f t="shared" si="1"/>
        <v>43935</v>
      </c>
      <c r="O2689" s="5" t="str">
        <f>IFERROR(__xludf.DUMMYFUNCTION("IF(REGEXMATCH(TRIM(I2689), ""^\d+\s*min""), ""Unclassified"", IF(I2689 = """", ""NR"", I2689))"),"TV-14")</f>
        <v>TV-14</v>
      </c>
      <c r="R2689" s="5" t="str">
        <f t="shared" si="2"/>
        <v>New Money</v>
      </c>
      <c r="S2689" s="5" t="str">
        <f>IFERROR(__xludf.DUMMYFUNCTION("""COMPUTED_VALUE"""),"Get Smart")</f>
        <v>Get Smart</v>
      </c>
      <c r="U2689" s="5" t="str">
        <f>IFERROR(__xludf.DUMMYFUNCTION("""COMPUTED_VALUE"""),"Sarah Adina Smith")</f>
        <v>Sarah Adina Smith</v>
      </c>
      <c r="V2689" s="5" t="s">
        <v>15062</v>
      </c>
      <c r="W2689" s="5" t="str">
        <f t="shared" si="3"/>
        <v>Marty Stalker</v>
      </c>
      <c r="X2689" s="5">
        <f t="shared" si="4"/>
        <v>1</v>
      </c>
      <c r="Y2689" s="5" t="str">
        <f>IFERROR(__xludf.DUMMYFUNCTION("REGEXEXTRACT(J2689, ""^\d+"")"),"107")</f>
        <v>107</v>
      </c>
      <c r="Z2689" s="5" t="str">
        <f>IFERROR(__xludf.DUMMYFUNCTION("REGEXEXTRACT(J2689, ""[A-Za-z ]+$"")")," min")</f>
        <v> min</v>
      </c>
      <c r="AA2689" s="5" t="str">
        <f>IFERROR(__xludf.DUMMYFUNCTION("IF(REGEXMATCH(Z2689, ""Season""), ""TV Show"", ""Movie"")"),"Movie")</f>
        <v>Movie</v>
      </c>
    </row>
    <row r="2690">
      <c r="A2690" s="1" t="s">
        <v>15063</v>
      </c>
      <c r="B2690" s="1" t="s">
        <v>27</v>
      </c>
      <c r="C2690" s="1" t="s">
        <v>15064</v>
      </c>
      <c r="D2690" s="1" t="s">
        <v>14643</v>
      </c>
      <c r="E2690" s="1" t="s">
        <v>15065</v>
      </c>
      <c r="F2690" s="1" t="s">
        <v>400</v>
      </c>
      <c r="G2690" s="1" t="s">
        <v>15066</v>
      </c>
      <c r="H2690" s="1">
        <v>2018.0</v>
      </c>
      <c r="I2690" s="1" t="s">
        <v>97</v>
      </c>
      <c r="J2690" s="1" t="s">
        <v>665</v>
      </c>
      <c r="K2690" s="1" t="s">
        <v>583</v>
      </c>
      <c r="L2690" s="1" t="s">
        <v>15067</v>
      </c>
      <c r="M2690" s="2" t="s">
        <v>12</v>
      </c>
      <c r="N2690" s="4">
        <f t="shared" si="1"/>
        <v>43934</v>
      </c>
      <c r="O2690" s="5" t="str">
        <f>IFERROR(__xludf.DUMMYFUNCTION("IF(REGEXMATCH(TRIM(I2690), ""^\d+\s*min""), ""Unclassified"", IF(I2690 = """", ""NR"", I2690))"),"TV-14")</f>
        <v>TV-14</v>
      </c>
      <c r="R2690" s="5" t="str">
        <f t="shared" si="2"/>
        <v>Moms At War</v>
      </c>
      <c r="S2690" s="5" t="str">
        <f>IFERROR(__xludf.DUMMYFUNCTION("""COMPUTED_VALUE"""),"Get The Goat")</f>
        <v>Get The Goat</v>
      </c>
      <c r="U2690" s="5" t="str">
        <f>IFERROR(__xludf.DUMMYFUNCTION("""COMPUTED_VALUE"""),"Cate Shortland")</f>
        <v>Cate Shortland</v>
      </c>
      <c r="V2690" s="5" t="s">
        <v>11324</v>
      </c>
      <c r="W2690" s="5" t="str">
        <f t="shared" si="3"/>
        <v>Marwan Hamed</v>
      </c>
      <c r="X2690" s="5">
        <f t="shared" si="4"/>
        <v>1</v>
      </c>
      <c r="Y2690" s="5" t="str">
        <f>IFERROR(__xludf.DUMMYFUNCTION("REGEXEXTRACT(J2690, ""^\d+"")"),"92")</f>
        <v>92</v>
      </c>
      <c r="Z2690" s="5" t="str">
        <f>IFERROR(__xludf.DUMMYFUNCTION("REGEXEXTRACT(J2690, ""[A-Za-z ]+$"")")," min")</f>
        <v> min</v>
      </c>
      <c r="AA2690" s="5" t="str">
        <f>IFERROR(__xludf.DUMMYFUNCTION("IF(REGEXMATCH(Z2690, ""Season""), ""TV Show"", ""Movie"")"),"Movie")</f>
        <v>Movie</v>
      </c>
    </row>
    <row r="2691">
      <c r="A2691" s="1" t="s">
        <v>15068</v>
      </c>
      <c r="B2691" s="1" t="s">
        <v>27</v>
      </c>
      <c r="C2691" s="1" t="s">
        <v>15069</v>
      </c>
      <c r="E2691" s="1" t="s">
        <v>15070</v>
      </c>
      <c r="F2691" s="1" t="s">
        <v>30</v>
      </c>
      <c r="G2691" s="1" t="s">
        <v>15066</v>
      </c>
      <c r="H2691" s="1">
        <v>2019.0</v>
      </c>
      <c r="I2691" s="1" t="s">
        <v>97</v>
      </c>
      <c r="J2691" s="1" t="s">
        <v>471</v>
      </c>
      <c r="K2691" s="1" t="s">
        <v>34</v>
      </c>
      <c r="L2691" s="1" t="s">
        <v>15071</v>
      </c>
      <c r="M2691" s="2" t="s">
        <v>12</v>
      </c>
      <c r="N2691" s="4">
        <f t="shared" si="1"/>
        <v>43934</v>
      </c>
      <c r="O2691" s="5" t="str">
        <f>IFERROR(__xludf.DUMMYFUNCTION("IF(REGEXMATCH(TRIM(I2691), ""^\d+\s*min""), ""Unclassified"", IF(I2691 = """", ""NR"", I2691))"),"TV-14")</f>
        <v>TV-14</v>
      </c>
      <c r="R2691" s="5" t="str">
        <f t="shared" si="2"/>
        <v>Surviving R. Kelly: The Impact</v>
      </c>
      <c r="S2691" s="5" t="str">
        <f>IFERROR(__xludf.DUMMYFUNCTION("""COMPUTED_VALUE"""),"Get The Grift")</f>
        <v>Get The Grift</v>
      </c>
      <c r="U2691" s="5" t="str">
        <f>IFERROR(__xludf.DUMMYFUNCTION("""COMPUTED_VALUE"""),"Adam Wingard")</f>
        <v>Adam Wingard</v>
      </c>
      <c r="V2691" s="5" t="s">
        <v>5932</v>
      </c>
      <c r="W2691" s="5" t="str">
        <f t="shared" si="3"/>
        <v>Marwan Nabil</v>
      </c>
      <c r="X2691" s="5">
        <f t="shared" si="4"/>
        <v>1</v>
      </c>
      <c r="Y2691" s="5" t="str">
        <f>IFERROR(__xludf.DUMMYFUNCTION("REGEXEXTRACT(J2691, ""^\d+"")"),"85")</f>
        <v>85</v>
      </c>
      <c r="Z2691" s="5" t="str">
        <f>IFERROR(__xludf.DUMMYFUNCTION("REGEXEXTRACT(J2691, ""[A-Za-z ]+$"")")," min")</f>
        <v> min</v>
      </c>
      <c r="AA2691" s="5" t="str">
        <f>IFERROR(__xludf.DUMMYFUNCTION("IF(REGEXMATCH(Z2691, ""Season""), ""TV Show"", ""Movie"")"),"Movie")</f>
        <v>Movie</v>
      </c>
    </row>
    <row r="2692">
      <c r="A2692" s="1" t="s">
        <v>15072</v>
      </c>
      <c r="B2692" s="1" t="s">
        <v>27</v>
      </c>
      <c r="C2692" s="1" t="s">
        <v>15073</v>
      </c>
      <c r="D2692" s="1" t="s">
        <v>10583</v>
      </c>
      <c r="E2692" s="1" t="s">
        <v>15074</v>
      </c>
      <c r="F2692" s="1" t="s">
        <v>1106</v>
      </c>
      <c r="G2692" s="1" t="s">
        <v>15075</v>
      </c>
      <c r="H2692" s="1">
        <v>2019.0</v>
      </c>
      <c r="I2692" s="1" t="s">
        <v>42</v>
      </c>
      <c r="J2692" s="1" t="s">
        <v>357</v>
      </c>
      <c r="K2692" s="1" t="s">
        <v>15076</v>
      </c>
      <c r="L2692" s="1" t="s">
        <v>15077</v>
      </c>
      <c r="M2692" s="2" t="s">
        <v>12</v>
      </c>
      <c r="N2692" s="4">
        <f t="shared" si="1"/>
        <v>43932</v>
      </c>
      <c r="O2692" s="5" t="str">
        <f>IFERROR(__xludf.DUMMYFUNCTION("IF(REGEXMATCH(TRIM(I2692), ""^\d+\s*min""), ""Unclassified"", IF(I2692 = """", ""NR"", I2692))"),"TV-MA")</f>
        <v>TV-MA</v>
      </c>
      <c r="R2692" s="5" t="str">
        <f t="shared" si="2"/>
        <v>Code 8</v>
      </c>
      <c r="S2692" s="5" t="str">
        <f>IFERROR(__xludf.DUMMYFUNCTION("""COMPUTED_VALUE"""),"Getaway Plan")</f>
        <v>Getaway Plan</v>
      </c>
      <c r="U2692" s="5" t="str">
        <f>IFERROR(__xludf.DUMMYFUNCTION("""COMPUTED_VALUE"""),"Daniel Lindsay, T.J. Martin")</f>
        <v>Daniel Lindsay, T.J. Martin</v>
      </c>
      <c r="V2692" s="5" t="s">
        <v>3827</v>
      </c>
      <c r="W2692" s="5" t="str">
        <f t="shared" si="3"/>
        <v>Mary Harron</v>
      </c>
      <c r="X2692" s="5">
        <f t="shared" si="4"/>
        <v>2</v>
      </c>
      <c r="Y2692" s="5" t="str">
        <f>IFERROR(__xludf.DUMMYFUNCTION("REGEXEXTRACT(J2692, ""^\d+"")"),"98")</f>
        <v>98</v>
      </c>
      <c r="Z2692" s="5" t="str">
        <f>IFERROR(__xludf.DUMMYFUNCTION("REGEXEXTRACT(J2692, ""[A-Za-z ]+$"")")," min")</f>
        <v> min</v>
      </c>
      <c r="AA2692" s="5" t="str">
        <f>IFERROR(__xludf.DUMMYFUNCTION("IF(REGEXMATCH(Z2692, ""Season""), ""TV Show"", ""Movie"")"),"Movie")</f>
        <v>Movie</v>
      </c>
    </row>
    <row r="2693">
      <c r="A2693" s="1" t="s">
        <v>15078</v>
      </c>
      <c r="B2693" s="1" t="s">
        <v>37</v>
      </c>
      <c r="C2693" s="1" t="s">
        <v>15079</v>
      </c>
      <c r="E2693" s="1" t="s">
        <v>15080</v>
      </c>
      <c r="F2693" s="1" t="s">
        <v>30</v>
      </c>
      <c r="G2693" s="1" t="s">
        <v>15081</v>
      </c>
      <c r="H2693" s="1">
        <v>2020.0</v>
      </c>
      <c r="I2693" s="1" t="s">
        <v>42</v>
      </c>
      <c r="J2693" s="1" t="s">
        <v>51</v>
      </c>
      <c r="K2693" s="1" t="s">
        <v>270</v>
      </c>
      <c r="L2693" s="1" t="s">
        <v>15082</v>
      </c>
      <c r="M2693" s="2" t="s">
        <v>12</v>
      </c>
      <c r="N2693" s="4">
        <f t="shared" si="1"/>
        <v>43931</v>
      </c>
      <c r="O2693" s="5" t="str">
        <f>IFERROR(__xludf.DUMMYFUNCTION("IF(REGEXMATCH(TRIM(I2693), ""^\d+\s*min""), ""Unclassified"", IF(I2693 = """", ""NR"", I2693))"),"TV-MA")</f>
        <v>TV-MA</v>
      </c>
      <c r="R2693" s="5" t="str">
        <f t="shared" si="2"/>
        <v>Brews Brothers</v>
      </c>
      <c r="S2693" s="5" t="str">
        <f>IFERROR(__xludf.DUMMYFUNCTION("""COMPUTED_VALUE"""),"Getting Played")</f>
        <v>Getting Played</v>
      </c>
      <c r="U2693" s="5" t="str">
        <f>IFERROR(__xludf.DUMMYFUNCTION("""COMPUTED_VALUE"""),"Tommy Wirkola")</f>
        <v>Tommy Wirkola</v>
      </c>
      <c r="V2693" s="5" t="s">
        <v>3643</v>
      </c>
      <c r="W2693" s="5" t="str">
        <f t="shared" si="3"/>
        <v>Mary Lambert</v>
      </c>
      <c r="X2693" s="5">
        <f t="shared" si="4"/>
        <v>1</v>
      </c>
      <c r="Y2693" s="5" t="str">
        <f>IFERROR(__xludf.DUMMYFUNCTION("REGEXEXTRACT(J2693, ""^\d+"")"),"1")</f>
        <v>1</v>
      </c>
      <c r="Z2693" s="5" t="str">
        <f>IFERROR(__xludf.DUMMYFUNCTION("REGEXEXTRACT(J2693, ""[A-Za-z ]+$"")")," Season")</f>
        <v> Season</v>
      </c>
      <c r="AA2693" s="5" t="str">
        <f>IFERROR(__xludf.DUMMYFUNCTION("IF(REGEXMATCH(Z2693, ""Season""), ""TV Show"", ""Movie"")"),"TV Show")</f>
        <v>TV Show</v>
      </c>
    </row>
    <row r="2694">
      <c r="A2694" s="1" t="s">
        <v>15083</v>
      </c>
      <c r="B2694" s="1" t="s">
        <v>27</v>
      </c>
      <c r="C2694" s="1" t="s">
        <v>15084</v>
      </c>
      <c r="F2694" s="1" t="s">
        <v>15085</v>
      </c>
      <c r="G2694" s="1" t="s">
        <v>15081</v>
      </c>
      <c r="H2694" s="1">
        <v>2020.0</v>
      </c>
      <c r="I2694" s="1" t="s">
        <v>42</v>
      </c>
      <c r="J2694" s="1" t="s">
        <v>665</v>
      </c>
      <c r="K2694" s="1" t="s">
        <v>2892</v>
      </c>
      <c r="L2694" s="1" t="s">
        <v>15086</v>
      </c>
      <c r="M2694" s="2" t="s">
        <v>12</v>
      </c>
      <c r="N2694" s="4">
        <f t="shared" si="1"/>
        <v>43931</v>
      </c>
      <c r="O2694" s="5" t="str">
        <f>IFERROR(__xludf.DUMMYFUNCTION("IF(REGEXMATCH(TRIM(I2694), ""^\d+\s*min""), ""Unclassified"", IF(I2694 = """", ""NR"", I2694))"),"TV-MA")</f>
        <v>TV-MA</v>
      </c>
      <c r="R2694" s="5" t="str">
        <f t="shared" si="2"/>
        <v>La Originals</v>
      </c>
      <c r="S2694" s="5" t="str">
        <f>IFERROR(__xludf.DUMMYFUNCTION("""COMPUTED_VALUE"""),"Ghadi")</f>
        <v>Ghadi</v>
      </c>
      <c r="U2694" s="5" t="str">
        <f>IFERROR(__xludf.DUMMYFUNCTION("""COMPUTED_VALUE"""),"Jean-Claude La Marre")</f>
        <v>Jean-Claude La Marre</v>
      </c>
      <c r="V2694" s="5" t="s">
        <v>15087</v>
      </c>
      <c r="W2694" s="5" t="str">
        <f t="shared" si="3"/>
        <v>Mary Mazzio</v>
      </c>
      <c r="X2694" s="5">
        <f t="shared" si="4"/>
        <v>1</v>
      </c>
      <c r="Y2694" s="5" t="str">
        <f>IFERROR(__xludf.DUMMYFUNCTION("REGEXEXTRACT(J2694, ""^\d+"")"),"92")</f>
        <v>92</v>
      </c>
      <c r="Z2694" s="5" t="str">
        <f>IFERROR(__xludf.DUMMYFUNCTION("REGEXEXTRACT(J2694, ""[A-Za-z ]+$"")")," min")</f>
        <v> min</v>
      </c>
      <c r="AA2694" s="5" t="str">
        <f>IFERROR(__xludf.DUMMYFUNCTION("IF(REGEXMATCH(Z2694, ""Season""), ""TV Show"", ""Movie"")"),"Movie")</f>
        <v>Movie</v>
      </c>
    </row>
    <row r="2695">
      <c r="A2695" s="1" t="s">
        <v>15088</v>
      </c>
      <c r="B2695" s="1" t="s">
        <v>27</v>
      </c>
      <c r="C2695" s="1" t="s">
        <v>15089</v>
      </c>
      <c r="D2695" s="1" t="s">
        <v>6224</v>
      </c>
      <c r="E2695" s="1" t="s">
        <v>15090</v>
      </c>
      <c r="F2695" s="1" t="s">
        <v>15091</v>
      </c>
      <c r="G2695" s="1" t="s">
        <v>15081</v>
      </c>
      <c r="H2695" s="1">
        <v>2020.0</v>
      </c>
      <c r="I2695" s="1" t="s">
        <v>42</v>
      </c>
      <c r="J2695" s="1" t="s">
        <v>1091</v>
      </c>
      <c r="K2695" s="1" t="s">
        <v>215</v>
      </c>
      <c r="L2695" s="1" t="s">
        <v>15092</v>
      </c>
      <c r="M2695" s="2" t="s">
        <v>12</v>
      </c>
      <c r="N2695" s="4">
        <f t="shared" si="1"/>
        <v>43931</v>
      </c>
      <c r="O2695" s="5" t="str">
        <f>IFERROR(__xludf.DUMMYFUNCTION("IF(REGEXMATCH(TRIM(I2695), ""^\d+\s*min""), ""Unclassified"", IF(I2695 = """", ""NR"", I2695))"),"TV-MA")</f>
        <v>TV-MA</v>
      </c>
      <c r="R2695" s="5" t="str">
        <f t="shared" si="2"/>
        <v>Love Wedding Repeat</v>
      </c>
      <c r="S2695" s="5" t="str">
        <f>IFERROR(__xludf.DUMMYFUNCTION("""COMPUTED_VALUE"""),"Ghanchakkar")</f>
        <v>Ghanchakkar</v>
      </c>
      <c r="U2695" s="5" t="str">
        <f>IFERROR(__xludf.DUMMYFUNCTION("""COMPUTED_VALUE"""),"Jorge Hernandez Aldana")</f>
        <v>Jorge Hernandez Aldana</v>
      </c>
      <c r="V2695" s="5" t="s">
        <v>15093</v>
      </c>
      <c r="W2695" s="5" t="str">
        <f t="shared" si="3"/>
        <v>Maryo J. De Los Reyes</v>
      </c>
      <c r="X2695" s="5">
        <f t="shared" si="4"/>
        <v>2</v>
      </c>
      <c r="Y2695" s="5" t="str">
        <f>IFERROR(__xludf.DUMMYFUNCTION("REGEXEXTRACT(J2695, ""^\d+"")"),"101")</f>
        <v>101</v>
      </c>
      <c r="Z2695" s="5" t="str">
        <f>IFERROR(__xludf.DUMMYFUNCTION("REGEXEXTRACT(J2695, ""[A-Za-z ]+$"")")," min")</f>
        <v> min</v>
      </c>
      <c r="AA2695" s="5" t="str">
        <f>IFERROR(__xludf.DUMMYFUNCTION("IF(REGEXMATCH(Z2695, ""Season""), ""TV Show"", ""Movie"")"),"Movie")</f>
        <v>Movie</v>
      </c>
    </row>
    <row r="2696">
      <c r="A2696" s="1" t="s">
        <v>15094</v>
      </c>
      <c r="B2696" s="1" t="s">
        <v>27</v>
      </c>
      <c r="C2696" s="1" t="s">
        <v>15095</v>
      </c>
      <c r="D2696" s="1" t="s">
        <v>8608</v>
      </c>
      <c r="E2696" s="1" t="s">
        <v>15096</v>
      </c>
      <c r="F2696" s="1" t="s">
        <v>664</v>
      </c>
      <c r="G2696" s="1" t="s">
        <v>15081</v>
      </c>
      <c r="H2696" s="1">
        <v>2019.0</v>
      </c>
      <c r="I2696" s="1" t="s">
        <v>42</v>
      </c>
      <c r="J2696" s="1" t="s">
        <v>1243</v>
      </c>
      <c r="K2696" s="1" t="s">
        <v>583</v>
      </c>
      <c r="L2696" s="1" t="s">
        <v>15097</v>
      </c>
      <c r="M2696" s="2" t="s">
        <v>12</v>
      </c>
      <c r="N2696" s="4">
        <f t="shared" si="1"/>
        <v>43931</v>
      </c>
      <c r="O2696" s="5" t="str">
        <f>IFERROR(__xludf.DUMMYFUNCTION("IF(REGEXMATCH(TRIM(I2696), ""^\d+\s*min""), ""Unclassified"", IF(I2696 = """", ""NR"", I2696))"),"TV-MA")</f>
        <v>TV-MA</v>
      </c>
      <c r="R2696" s="5" t="str">
        <f t="shared" si="2"/>
        <v>School Life</v>
      </c>
      <c r="S2696" s="5" t="str">
        <f>IFERROR(__xludf.DUMMYFUNCTION("""COMPUTED_VALUE"""),"Ghayal")</f>
        <v>Ghayal</v>
      </c>
      <c r="U2696" s="5" t="str">
        <f>IFERROR(__xludf.DUMMYFUNCTION("""COMPUTED_VALUE"""),"Will Canon")</f>
        <v>Will Canon</v>
      </c>
      <c r="V2696" s="5" t="s">
        <v>15098</v>
      </c>
      <c r="W2696" s="5" t="str">
        <f t="shared" si="3"/>
        <v>Masaaki Yuasa</v>
      </c>
      <c r="X2696" s="5">
        <f t="shared" si="4"/>
        <v>2</v>
      </c>
      <c r="Y2696" s="5" t="str">
        <f>IFERROR(__xludf.DUMMYFUNCTION("REGEXEXTRACT(J2696, ""^\d+"")"),"112")</f>
        <v>112</v>
      </c>
      <c r="Z2696" s="5" t="str">
        <f>IFERROR(__xludf.DUMMYFUNCTION("REGEXEXTRACT(J2696, ""[A-Za-z ]+$"")")," min")</f>
        <v> min</v>
      </c>
      <c r="AA2696" s="5" t="str">
        <f>IFERROR(__xludf.DUMMYFUNCTION("IF(REGEXMATCH(Z2696, ""Season""), ""TV Show"", ""Movie"")"),"Movie")</f>
        <v>Movie</v>
      </c>
    </row>
    <row r="2697">
      <c r="A2697" s="1" t="s">
        <v>15099</v>
      </c>
      <c r="B2697" s="1" t="s">
        <v>27</v>
      </c>
      <c r="C2697" s="1" t="s">
        <v>15100</v>
      </c>
      <c r="D2697" s="1" t="s">
        <v>10401</v>
      </c>
      <c r="E2697" s="1" t="s">
        <v>15101</v>
      </c>
      <c r="F2697" s="1" t="s">
        <v>30</v>
      </c>
      <c r="G2697" s="1" t="s">
        <v>15081</v>
      </c>
      <c r="H2697" s="1">
        <v>2020.0</v>
      </c>
      <c r="I2697" s="1" t="s">
        <v>506</v>
      </c>
      <c r="J2697" s="1" t="s">
        <v>238</v>
      </c>
      <c r="K2697" s="1" t="s">
        <v>2921</v>
      </c>
      <c r="L2697" s="1" t="s">
        <v>15102</v>
      </c>
      <c r="M2697" s="2" t="s">
        <v>12</v>
      </c>
      <c r="N2697" s="4">
        <f t="shared" si="1"/>
        <v>43931</v>
      </c>
      <c r="O2697" s="5" t="str">
        <f>IFERROR(__xludf.DUMMYFUNCTION("IF(REGEXMATCH(TRIM(I2697), ""^\d+\s*min""), ""Unclassified"", IF(I2697 = """", ""NR"", I2697))"),"TV-G")</f>
        <v>TV-G</v>
      </c>
      <c r="R2697" s="5" t="str">
        <f t="shared" si="2"/>
        <v>The Main Event</v>
      </c>
      <c r="S2697" s="5" t="str">
        <f>IFERROR(__xludf.DUMMYFUNCTION("""COMPUTED_VALUE"""),"Ghost House")</f>
        <v>Ghost House</v>
      </c>
      <c r="U2697" s="5" t="str">
        <f>IFERROR(__xludf.DUMMYFUNCTION("""COMPUTED_VALUE"""),"Rob Silvestri")</f>
        <v>Rob Silvestri</v>
      </c>
      <c r="V2697" s="5" t="s">
        <v>445</v>
      </c>
      <c r="W2697" s="5" t="str">
        <f t="shared" si="3"/>
        <v>Masahiko Murata</v>
      </c>
      <c r="X2697" s="5">
        <f t="shared" si="4"/>
        <v>4</v>
      </c>
      <c r="Y2697" s="5" t="str">
        <f>IFERROR(__xludf.DUMMYFUNCTION("REGEXEXTRACT(J2697, ""^\d+"")"),"103")</f>
        <v>103</v>
      </c>
      <c r="Z2697" s="5" t="str">
        <f>IFERROR(__xludf.DUMMYFUNCTION("REGEXEXTRACT(J2697, ""[A-Za-z ]+$"")")," min")</f>
        <v> min</v>
      </c>
      <c r="AA2697" s="5" t="str">
        <f>IFERROR(__xludf.DUMMYFUNCTION("IF(REGEXMATCH(Z2697, ""Season""), ""TV Show"", ""Movie"")"),"Movie")</f>
        <v>Movie</v>
      </c>
    </row>
    <row r="2698">
      <c r="A2698" s="1" t="s">
        <v>15103</v>
      </c>
      <c r="B2698" s="1" t="s">
        <v>37</v>
      </c>
      <c r="C2698" s="1" t="s">
        <v>15104</v>
      </c>
      <c r="D2698" s="1" t="s">
        <v>15105</v>
      </c>
      <c r="E2698" s="1" t="s">
        <v>15106</v>
      </c>
      <c r="F2698" s="1" t="s">
        <v>1779</v>
      </c>
      <c r="G2698" s="1" t="s">
        <v>15081</v>
      </c>
      <c r="H2698" s="1">
        <v>2019.0</v>
      </c>
      <c r="I2698" s="1" t="s">
        <v>42</v>
      </c>
      <c r="J2698" s="1" t="s">
        <v>51</v>
      </c>
      <c r="K2698" s="1" t="s">
        <v>1362</v>
      </c>
      <c r="L2698" s="1" t="s">
        <v>15107</v>
      </c>
      <c r="M2698" s="2" t="s">
        <v>12</v>
      </c>
      <c r="N2698" s="4">
        <f t="shared" si="1"/>
        <v>43931</v>
      </c>
      <c r="O2698" s="5" t="str">
        <f>IFERROR(__xludf.DUMMYFUNCTION("IF(REGEXMATCH(TRIM(I2698), ""^\d+\s*min""), ""Unclassified"", IF(I2698 = """", ""NR"", I2698))"),"TV-MA")</f>
        <v>TV-MA</v>
      </c>
      <c r="R2698" s="5" t="str">
        <f t="shared" si="2"/>
        <v>The Trial</v>
      </c>
      <c r="S2698" s="5" t="str">
        <f>IFERROR(__xludf.DUMMYFUNCTION("""COMPUTED_VALUE"""),"Ghost In The Shell: Sac_2045")</f>
        <v>Ghost In The Shell: Sac_2045</v>
      </c>
      <c r="U2698" s="5" t="str">
        <f>IFERROR(__xludf.DUMMYFUNCTION("""COMPUTED_VALUE"""),"Matthias Hoene")</f>
        <v>Matthias Hoene</v>
      </c>
      <c r="V2698" s="5" t="s">
        <v>6915</v>
      </c>
      <c r="W2698" s="5" t="str">
        <f t="shared" si="3"/>
        <v>Massimiliano Camaiti</v>
      </c>
      <c r="X2698" s="5">
        <f t="shared" si="4"/>
        <v>1</v>
      </c>
      <c r="Y2698" s="5" t="str">
        <f>IFERROR(__xludf.DUMMYFUNCTION("REGEXEXTRACT(J2698, ""^\d+"")"),"1")</f>
        <v>1</v>
      </c>
      <c r="Z2698" s="5" t="str">
        <f>IFERROR(__xludf.DUMMYFUNCTION("REGEXEXTRACT(J2698, ""[A-Za-z ]+$"")")," Season")</f>
        <v> Season</v>
      </c>
      <c r="AA2698" s="5" t="str">
        <f>IFERROR(__xludf.DUMMYFUNCTION("IF(REGEXMATCH(Z2698, ""Season""), ""TV Show"", ""Movie"")"),"TV Show")</f>
        <v>TV Show</v>
      </c>
    </row>
    <row r="2699">
      <c r="A2699" s="1" t="s">
        <v>15108</v>
      </c>
      <c r="B2699" s="1" t="s">
        <v>27</v>
      </c>
      <c r="C2699" s="1" t="s">
        <v>15109</v>
      </c>
      <c r="D2699" s="1" t="s">
        <v>880</v>
      </c>
      <c r="E2699" s="1" t="s">
        <v>15110</v>
      </c>
      <c r="F2699" s="1" t="s">
        <v>30</v>
      </c>
      <c r="G2699" s="1" t="s">
        <v>15081</v>
      </c>
      <c r="H2699" s="1">
        <v>2020.0</v>
      </c>
      <c r="I2699" s="1" t="s">
        <v>78</v>
      </c>
      <c r="J2699" s="1" t="s">
        <v>79</v>
      </c>
      <c r="K2699" s="1" t="s">
        <v>805</v>
      </c>
      <c r="L2699" s="1" t="s">
        <v>15111</v>
      </c>
      <c r="M2699" s="2" t="s">
        <v>12</v>
      </c>
      <c r="N2699" s="4">
        <f t="shared" si="1"/>
        <v>43931</v>
      </c>
      <c r="O2699" s="5" t="str">
        <f>IFERROR(__xludf.DUMMYFUNCTION("IF(REGEXMATCH(TRIM(I2699), ""^\d+\s*min""), ""Unclassified"", IF(I2699 = """", ""NR"", I2699))"),"PG")</f>
        <v>PG</v>
      </c>
      <c r="R2699" s="5" t="str">
        <f t="shared" si="2"/>
        <v>Tigertail</v>
      </c>
      <c r="S2699" s="5" t="str">
        <f>IFERROR(__xludf.DUMMYFUNCTION("""COMPUTED_VALUE"""),"Ghost Lab")</f>
        <v>Ghost Lab</v>
      </c>
      <c r="U2699" s="5" t="str">
        <f>IFERROR(__xludf.DUMMYFUNCTION("""COMPUTED_VALUE"""),"Bryan Fogel")</f>
        <v>Bryan Fogel</v>
      </c>
      <c r="V2699" s="5" t="s">
        <v>15112</v>
      </c>
      <c r="W2699" s="5" t="str">
        <f t="shared" si="3"/>
        <v>Massy Tadjedin</v>
      </c>
      <c r="X2699" s="5">
        <f t="shared" si="4"/>
        <v>1</v>
      </c>
      <c r="Y2699" s="5" t="str">
        <f>IFERROR(__xludf.DUMMYFUNCTION("REGEXEXTRACT(J2699, ""^\d+"")"),"91")</f>
        <v>91</v>
      </c>
      <c r="Z2699" s="5" t="str">
        <f>IFERROR(__xludf.DUMMYFUNCTION("REGEXEXTRACT(J2699, ""[A-Za-z ]+$"")")," min")</f>
        <v> min</v>
      </c>
      <c r="AA2699" s="5" t="str">
        <f>IFERROR(__xludf.DUMMYFUNCTION("IF(REGEXMATCH(Z2699, ""Season""), ""TV Show"", ""Movie"")"),"Movie")</f>
        <v>Movie</v>
      </c>
    </row>
    <row r="2700">
      <c r="A2700" s="1" t="s">
        <v>15113</v>
      </c>
      <c r="B2700" s="1" t="s">
        <v>37</v>
      </c>
      <c r="C2700" s="1" t="s">
        <v>15114</v>
      </c>
      <c r="E2700" s="1" t="s">
        <v>15115</v>
      </c>
      <c r="F2700" s="1" t="s">
        <v>415</v>
      </c>
      <c r="G2700" s="1" t="s">
        <v>15116</v>
      </c>
      <c r="H2700" s="1">
        <v>2019.0</v>
      </c>
      <c r="I2700" s="1" t="s">
        <v>97</v>
      </c>
      <c r="J2700" s="1" t="s">
        <v>43</v>
      </c>
      <c r="K2700" s="1" t="s">
        <v>1756</v>
      </c>
      <c r="L2700" s="1" t="s">
        <v>15117</v>
      </c>
      <c r="M2700" s="2" t="s">
        <v>12</v>
      </c>
      <c r="N2700" s="4">
        <f t="shared" si="1"/>
        <v>43930</v>
      </c>
      <c r="O2700" s="5" t="str">
        <f>IFERROR(__xludf.DUMMYFUNCTION("IF(REGEXMATCH(TRIM(I2700), ""^\d+\s*min""), ""Unclassified"", IF(I2700 = """", ""NR"", I2700))"),"TV-14")</f>
        <v>TV-14</v>
      </c>
      <c r="R2700" s="5" t="str">
        <f t="shared" si="2"/>
        <v>Hi Score Girl</v>
      </c>
      <c r="S2700" s="5" t="str">
        <f>IFERROR(__xludf.DUMMYFUNCTION("""COMPUTED_VALUE"""),"Ghost Of The Mountains")</f>
        <v>Ghost Of The Mountains</v>
      </c>
      <c r="U2700" s="5" t="str">
        <f>IFERROR(__xludf.DUMMYFUNCTION("""COMPUTED_VALUE"""),"Fabrice Du Welz")</f>
        <v>Fabrice Du Welz</v>
      </c>
      <c r="V2700" s="5" t="s">
        <v>15118</v>
      </c>
      <c r="W2700" s="5" t="str">
        <f t="shared" si="3"/>
        <v>Mastan Alibhai Burmawalla, Abbas Alibhai Burmawalla</v>
      </c>
      <c r="X2700" s="5">
        <f t="shared" si="4"/>
        <v>1</v>
      </c>
      <c r="Y2700" s="5" t="str">
        <f>IFERROR(__xludf.DUMMYFUNCTION("REGEXEXTRACT(J2700, ""^\d+"")"),"2")</f>
        <v>2</v>
      </c>
      <c r="Z2700" s="5" t="str">
        <f>IFERROR(__xludf.DUMMYFUNCTION("REGEXEXTRACT(J2700, ""[A-Za-z ]+$"")")," Seasons")</f>
        <v> Seasons</v>
      </c>
      <c r="AA2700" s="5" t="str">
        <f>IFERROR(__xludf.DUMMYFUNCTION("IF(REGEXMATCH(Z2700, ""Season""), ""TV Show"", ""Movie"")"),"TV Show")</f>
        <v>TV Show</v>
      </c>
    </row>
    <row r="2701">
      <c r="A2701" s="1" t="s">
        <v>15119</v>
      </c>
      <c r="B2701" s="1" t="s">
        <v>37</v>
      </c>
      <c r="C2701" s="1" t="s">
        <v>15120</v>
      </c>
      <c r="G2701" s="1" t="s">
        <v>15116</v>
      </c>
      <c r="H2701" s="1">
        <v>2020.0</v>
      </c>
      <c r="I2701" s="1" t="s">
        <v>42</v>
      </c>
      <c r="J2701" s="1" t="s">
        <v>51</v>
      </c>
      <c r="K2701" s="1" t="s">
        <v>1520</v>
      </c>
      <c r="L2701" s="1" t="s">
        <v>15121</v>
      </c>
      <c r="M2701" s="2" t="s">
        <v>12</v>
      </c>
      <c r="N2701" s="4">
        <f t="shared" si="1"/>
        <v>43930</v>
      </c>
      <c r="O2701" s="5" t="str">
        <f>IFERROR(__xludf.DUMMYFUNCTION("IF(REGEXMATCH(TRIM(I2701), ""^\d+\s*min""), ""Unclassified"", IF(I2701 = """", ""NR"", I2701))"),"TV-MA")</f>
        <v>TV-MA</v>
      </c>
      <c r="R2701" s="5" t="str">
        <f t="shared" si="2"/>
        <v>The Circle France</v>
      </c>
      <c r="S2701" s="5" t="str">
        <f>IFERROR(__xludf.DUMMYFUNCTION("""COMPUTED_VALUE"""),"Ghost Pain")</f>
        <v>Ghost Pain</v>
      </c>
      <c r="U2701" s="5" t="str">
        <f>IFERROR(__xludf.DUMMYFUNCTION("""COMPUTED_VALUE"""),"John Butler")</f>
        <v>John Butler</v>
      </c>
      <c r="V2701" s="5" t="s">
        <v>15122</v>
      </c>
      <c r="W2701" s="5" t="str">
        <f t="shared" si="3"/>
        <v>Mat King</v>
      </c>
      <c r="X2701" s="5">
        <f t="shared" si="4"/>
        <v>1</v>
      </c>
      <c r="Y2701" s="5" t="str">
        <f>IFERROR(__xludf.DUMMYFUNCTION("REGEXEXTRACT(J2701, ""^\d+"")"),"1")</f>
        <v>1</v>
      </c>
      <c r="Z2701" s="5" t="str">
        <f>IFERROR(__xludf.DUMMYFUNCTION("REGEXEXTRACT(J2701, ""[A-Za-z ]+$"")")," Season")</f>
        <v> Season</v>
      </c>
      <c r="AA2701" s="5" t="str">
        <f>IFERROR(__xludf.DUMMYFUNCTION("IF(REGEXMATCH(Z2701, ""Season""), ""TV Show"", ""Movie"")"),"TV Show")</f>
        <v>TV Show</v>
      </c>
    </row>
    <row r="2702">
      <c r="A2702" s="1" t="s">
        <v>15123</v>
      </c>
      <c r="B2702" s="1" t="s">
        <v>27</v>
      </c>
      <c r="C2702" s="1" t="s">
        <v>15124</v>
      </c>
      <c r="D2702" s="1" t="s">
        <v>15125</v>
      </c>
      <c r="E2702" s="1" t="s">
        <v>15126</v>
      </c>
      <c r="F2702" s="1" t="s">
        <v>4287</v>
      </c>
      <c r="G2702" s="1" t="s">
        <v>15127</v>
      </c>
      <c r="H2702" s="1">
        <v>2019.0</v>
      </c>
      <c r="I2702" s="1" t="s">
        <v>42</v>
      </c>
      <c r="J2702" s="1" t="s">
        <v>322</v>
      </c>
      <c r="K2702" s="1" t="s">
        <v>583</v>
      </c>
      <c r="L2702" s="1" t="s">
        <v>15128</v>
      </c>
      <c r="M2702" s="2" t="s">
        <v>12</v>
      </c>
      <c r="N2702" s="4">
        <f t="shared" si="1"/>
        <v>43929</v>
      </c>
      <c r="O2702" s="5" t="str">
        <f>IFERROR(__xludf.DUMMYFUNCTION("IF(REGEXMATCH(TRIM(I2702), ""^\d+\s*min""), ""Unclassified"", IF(I2702 = """", ""NR"", I2702))"),"TV-MA")</f>
        <v>TV-MA</v>
      </c>
      <c r="R2702" s="5" t="str">
        <f t="shared" si="2"/>
        <v>Born Beautiful</v>
      </c>
      <c r="S2702" s="5" t="str">
        <f>IFERROR(__xludf.DUMMYFUNCTION("""COMPUTED_VALUE"""),"Ghost Patrol")</f>
        <v>Ghost Patrol</v>
      </c>
      <c r="U2702" s="5" t="str">
        <f>IFERROR(__xludf.DUMMYFUNCTION("""COMPUTED_VALUE"""),"Ali Scher")</f>
        <v>Ali Scher</v>
      </c>
      <c r="V2702" s="5" t="s">
        <v>15129</v>
      </c>
      <c r="W2702" s="5" t="str">
        <f t="shared" si="3"/>
        <v>Mat Whitecross</v>
      </c>
      <c r="X2702" s="5">
        <f t="shared" si="4"/>
        <v>1</v>
      </c>
      <c r="Y2702" s="5" t="str">
        <f>IFERROR(__xludf.DUMMYFUNCTION("REGEXEXTRACT(J2702, ""^\d+"")"),"96")</f>
        <v>96</v>
      </c>
      <c r="Z2702" s="5" t="str">
        <f>IFERROR(__xludf.DUMMYFUNCTION("REGEXEXTRACT(J2702, ""[A-Za-z ]+$"")")," min")</f>
        <v> min</v>
      </c>
      <c r="AA2702" s="5" t="str">
        <f>IFERROR(__xludf.DUMMYFUNCTION("IF(REGEXMATCH(Z2702, ""Season""), ""TV Show"", ""Movie"")"),"Movie")</f>
        <v>Movie</v>
      </c>
    </row>
    <row r="2703">
      <c r="A2703" s="1" t="s">
        <v>15130</v>
      </c>
      <c r="B2703" s="1" t="s">
        <v>27</v>
      </c>
      <c r="C2703" s="1" t="s">
        <v>15131</v>
      </c>
      <c r="D2703" s="1" t="s">
        <v>14181</v>
      </c>
      <c r="E2703" s="1" t="s">
        <v>15132</v>
      </c>
      <c r="F2703" s="1" t="s">
        <v>30</v>
      </c>
      <c r="G2703" s="1" t="s">
        <v>15127</v>
      </c>
      <c r="H2703" s="1">
        <v>2010.0</v>
      </c>
      <c r="I2703" s="1" t="s">
        <v>78</v>
      </c>
      <c r="J2703" s="1" t="s">
        <v>106</v>
      </c>
      <c r="K2703" s="1" t="s">
        <v>15133</v>
      </c>
      <c r="L2703" s="1" t="s">
        <v>15134</v>
      </c>
      <c r="M2703" s="2" t="s">
        <v>12</v>
      </c>
      <c r="N2703" s="4">
        <f t="shared" si="1"/>
        <v>43929</v>
      </c>
      <c r="O2703" s="5" t="str">
        <f>IFERROR(__xludf.DUMMYFUNCTION("IF(REGEXMATCH(TRIM(I2703), ""^\d+\s*min""), ""Unclassified"", IF(I2703 = """", ""NR"", I2703))"),"PG")</f>
        <v>PG</v>
      </c>
      <c r="R2703" s="5" t="str">
        <f t="shared" si="2"/>
        <v>The Last Airbender</v>
      </c>
      <c r="S2703" s="5" t="str">
        <f>IFERROR(__xludf.DUMMYFUNCTION("""COMPUTED_VALUE"""),"Ghost Rider")</f>
        <v>Ghost Rider</v>
      </c>
      <c r="U2703" s="5" t="str">
        <f>IFERROR(__xludf.DUMMYFUNCTION("""COMPUTED_VALUE"""),"Maz Jobrani")</f>
        <v>Maz Jobrani</v>
      </c>
      <c r="V2703" s="5" t="s">
        <v>14731</v>
      </c>
      <c r="W2703" s="5" t="str">
        <f t="shared" si="3"/>
        <v>Matei Dima</v>
      </c>
      <c r="X2703" s="5">
        <f t="shared" si="4"/>
        <v>1</v>
      </c>
      <c r="Y2703" s="5" t="str">
        <f>IFERROR(__xludf.DUMMYFUNCTION("REGEXEXTRACT(J2703, ""^\d+"")"),"104")</f>
        <v>104</v>
      </c>
      <c r="Z2703" s="5" t="str">
        <f>IFERROR(__xludf.DUMMYFUNCTION("REGEXEXTRACT(J2703, ""[A-Za-z ]+$"")")," min")</f>
        <v> min</v>
      </c>
      <c r="AA2703" s="5" t="str">
        <f>IFERROR(__xludf.DUMMYFUNCTION("IF(REGEXMATCH(Z2703, ""Season""), ""TV Show"", ""Movie"")"),"Movie")</f>
        <v>Movie</v>
      </c>
    </row>
    <row r="2704">
      <c r="A2704" s="1" t="s">
        <v>15135</v>
      </c>
      <c r="B2704" s="1" t="s">
        <v>27</v>
      </c>
      <c r="C2704" s="1" t="s">
        <v>15136</v>
      </c>
      <c r="D2704" s="1" t="s">
        <v>4788</v>
      </c>
      <c r="E2704" s="1" t="s">
        <v>15137</v>
      </c>
      <c r="F2704" s="1" t="s">
        <v>30</v>
      </c>
      <c r="G2704" s="1" t="s">
        <v>15138</v>
      </c>
      <c r="H2704" s="1">
        <v>2017.0</v>
      </c>
      <c r="I2704" s="1" t="s">
        <v>42</v>
      </c>
      <c r="J2704" s="1" t="s">
        <v>2636</v>
      </c>
      <c r="K2704" s="1" t="s">
        <v>1839</v>
      </c>
      <c r="L2704" s="1" t="s">
        <v>15139</v>
      </c>
      <c r="M2704" s="2" t="s">
        <v>12</v>
      </c>
      <c r="N2704" s="4">
        <f t="shared" si="1"/>
        <v>43928</v>
      </c>
      <c r="O2704" s="5" t="str">
        <f>IFERROR(__xludf.DUMMYFUNCTION("IF(REGEXMATCH(TRIM(I2704), ""^\d+\s*min""), ""Unclassified"", IF(I2704 = """", ""NR"", I2704))"),"TV-MA")</f>
        <v>TV-MA</v>
      </c>
      <c r="R2704" s="5" t="str">
        <f t="shared" si="2"/>
        <v>Tiffany Haddish: She Ready! From The Hood To Hollywood!</v>
      </c>
      <c r="S2704" s="5" t="str">
        <f>IFERROR(__xludf.DUMMYFUNCTION("""COMPUTED_VALUE"""),"Ghost Stories")</f>
        <v>Ghost Stories</v>
      </c>
      <c r="U2704" s="5" t="str">
        <f>IFERROR(__xludf.DUMMYFUNCTION("""COMPUTED_VALUE"""),"Isaac Rentz")</f>
        <v>Isaac Rentz</v>
      </c>
      <c r="V2704" s="5" t="s">
        <v>9914</v>
      </c>
      <c r="W2704" s="5" t="str">
        <f t="shared" si="3"/>
        <v>Mateo Gil</v>
      </c>
      <c r="X2704" s="5">
        <f t="shared" si="4"/>
        <v>2</v>
      </c>
      <c r="Y2704" s="5" t="str">
        <f>IFERROR(__xludf.DUMMYFUNCTION("REGEXEXTRACT(J2704, ""^\d+"")"),"66")</f>
        <v>66</v>
      </c>
      <c r="Z2704" s="5" t="str">
        <f>IFERROR(__xludf.DUMMYFUNCTION("REGEXEXTRACT(J2704, ""[A-Za-z ]+$"")")," min")</f>
        <v> min</v>
      </c>
      <c r="AA2704" s="5" t="str">
        <f>IFERROR(__xludf.DUMMYFUNCTION("IF(REGEXMATCH(Z2704, ""Season""), ""TV Show"", ""Movie"")"),"Movie")</f>
        <v>Movie</v>
      </c>
    </row>
    <row r="2705">
      <c r="A2705" s="1" t="s">
        <v>15140</v>
      </c>
      <c r="B2705" s="1" t="s">
        <v>27</v>
      </c>
      <c r="C2705" s="1" t="s">
        <v>15141</v>
      </c>
      <c r="D2705" s="1" t="s">
        <v>6795</v>
      </c>
      <c r="E2705" s="1" t="s">
        <v>15142</v>
      </c>
      <c r="F2705" s="1" t="s">
        <v>30</v>
      </c>
      <c r="G2705" s="1" t="s">
        <v>15143</v>
      </c>
      <c r="H2705" s="1">
        <v>2019.0</v>
      </c>
      <c r="I2705" s="1" t="s">
        <v>42</v>
      </c>
      <c r="J2705" s="1" t="s">
        <v>490</v>
      </c>
      <c r="K2705" s="1" t="s">
        <v>1320</v>
      </c>
      <c r="L2705" s="1" t="s">
        <v>15144</v>
      </c>
      <c r="M2705" s="2" t="s">
        <v>12</v>
      </c>
      <c r="N2705" s="4">
        <f t="shared" si="1"/>
        <v>43927</v>
      </c>
      <c r="O2705" s="5" t="str">
        <f>IFERROR(__xludf.DUMMYFUNCTION("IF(REGEXMATCH(TRIM(I2705), ""^\d+\s*min""), ""Unclassified"", IF(I2705 = """", ""NR"", I2705))"),"TV-MA")</f>
        <v>TV-MA</v>
      </c>
      <c r="R2705" s="5" t="str">
        <f t="shared" si="2"/>
        <v>Mine 9</v>
      </c>
      <c r="S2705" s="5" t="str">
        <f>IFERROR(__xludf.DUMMYFUNCTION("""COMPUTED_VALUE"""),"Ghost Tears")</f>
        <v>Ghost Tears</v>
      </c>
      <c r="U2705" s="5" t="str">
        <f>IFERROR(__xludf.DUMMYFUNCTION("""COMPUTED_VALUE"""),"Christopher Murray")</f>
        <v>Christopher Murray</v>
      </c>
      <c r="V2705" s="5" t="s">
        <v>15145</v>
      </c>
      <c r="W2705" s="5" t="str">
        <f t="shared" si="3"/>
        <v>Matheus Souza</v>
      </c>
      <c r="X2705" s="5">
        <f t="shared" si="4"/>
        <v>1</v>
      </c>
      <c r="Y2705" s="5" t="str">
        <f>IFERROR(__xludf.DUMMYFUNCTION("REGEXEXTRACT(J2705, ""^\d+"")"),"83")</f>
        <v>83</v>
      </c>
      <c r="Z2705" s="5" t="str">
        <f>IFERROR(__xludf.DUMMYFUNCTION("REGEXEXTRACT(J2705, ""[A-Za-z ]+$"")")," min")</f>
        <v> min</v>
      </c>
      <c r="AA2705" s="5" t="str">
        <f>IFERROR(__xludf.DUMMYFUNCTION("IF(REGEXMATCH(Z2705, ""Season""), ""TV Show"", ""Movie"")"),"Movie")</f>
        <v>Movie</v>
      </c>
    </row>
    <row r="2706">
      <c r="A2706" s="1" t="s">
        <v>15146</v>
      </c>
      <c r="B2706" s="1" t="s">
        <v>27</v>
      </c>
      <c r="C2706" s="1" t="s">
        <v>15147</v>
      </c>
      <c r="D2706" s="1" t="s">
        <v>15148</v>
      </c>
      <c r="E2706" s="1" t="s">
        <v>15149</v>
      </c>
      <c r="F2706" s="1" t="s">
        <v>30</v>
      </c>
      <c r="G2706" s="1" t="s">
        <v>15143</v>
      </c>
      <c r="H2706" s="1">
        <v>2017.0</v>
      </c>
      <c r="I2706" s="1" t="s">
        <v>378</v>
      </c>
      <c r="J2706" s="1" t="s">
        <v>264</v>
      </c>
      <c r="K2706" s="1" t="s">
        <v>1320</v>
      </c>
      <c r="L2706" s="1" t="s">
        <v>15150</v>
      </c>
      <c r="M2706" s="2" t="s">
        <v>12</v>
      </c>
      <c r="N2706" s="4">
        <f t="shared" si="1"/>
        <v>43927</v>
      </c>
      <c r="O2706" s="5" t="str">
        <f>IFERROR(__xludf.DUMMYFUNCTION("IF(REGEXMATCH(TRIM(I2706), ""^\d+\s*min""), ""Unclassified"", IF(I2706 = """", ""NR"", I2706))"),"R")</f>
        <v>R</v>
      </c>
      <c r="R2706" s="5" t="str">
        <f t="shared" si="2"/>
        <v>The Florida Project</v>
      </c>
      <c r="S2706" s="5" t="str">
        <f>IFERROR(__xludf.DUMMYFUNCTION("""COMPUTED_VALUE"""),"Ghost Town Gold")</f>
        <v>Ghost Town Gold</v>
      </c>
      <c r="U2706" s="5" t="str">
        <f>IFERROR(__xludf.DUMMYFUNCTION("""COMPUTED_VALUE"""),"Claude Lelouch")</f>
        <v>Claude Lelouch</v>
      </c>
      <c r="V2706" s="5" t="s">
        <v>15151</v>
      </c>
      <c r="W2706" s="5" t="str">
        <f t="shared" si="3"/>
        <v>Mathias Malzieu, Stéphane Berla</v>
      </c>
      <c r="X2706" s="5">
        <f t="shared" si="4"/>
        <v>1</v>
      </c>
      <c r="Y2706" s="5" t="str">
        <f>IFERROR(__xludf.DUMMYFUNCTION("REGEXEXTRACT(J2706, ""^\d+"")"),"111")</f>
        <v>111</v>
      </c>
      <c r="Z2706" s="5" t="str">
        <f>IFERROR(__xludf.DUMMYFUNCTION("REGEXEXTRACT(J2706, ""[A-Za-z ]+$"")")," min")</f>
        <v> min</v>
      </c>
      <c r="AA2706" s="5" t="str">
        <f>IFERROR(__xludf.DUMMYFUNCTION("IF(REGEXMATCH(Z2706, ""Season""), ""TV Show"", ""Movie"")"),"Movie")</f>
        <v>Movie</v>
      </c>
    </row>
    <row r="2707">
      <c r="A2707" s="1" t="s">
        <v>15152</v>
      </c>
      <c r="B2707" s="1" t="s">
        <v>27</v>
      </c>
      <c r="C2707" s="1" t="s">
        <v>15153</v>
      </c>
      <c r="D2707" s="1" t="s">
        <v>15154</v>
      </c>
      <c r="E2707" s="1" t="s">
        <v>15155</v>
      </c>
      <c r="F2707" s="1" t="s">
        <v>30</v>
      </c>
      <c r="G2707" s="1" t="s">
        <v>15156</v>
      </c>
      <c r="H2707" s="1">
        <v>2019.0</v>
      </c>
      <c r="I2707" s="1" t="s">
        <v>42</v>
      </c>
      <c r="J2707" s="1" t="s">
        <v>33</v>
      </c>
      <c r="K2707" s="1" t="s">
        <v>15157</v>
      </c>
      <c r="L2707" s="1" t="s">
        <v>15158</v>
      </c>
      <c r="M2707" s="2" t="s">
        <v>12</v>
      </c>
      <c r="N2707" s="4">
        <f t="shared" si="1"/>
        <v>43926</v>
      </c>
      <c r="O2707" s="5" t="str">
        <f>IFERROR(__xludf.DUMMYFUNCTION("IF(REGEXMATCH(TRIM(I2707), ""^\d+\s*min""), ""Unclassified"", IF(I2707 = """", ""NR"", I2707))"),"TV-MA")</f>
        <v>TV-MA</v>
      </c>
      <c r="R2707" s="5" t="str">
        <f t="shared" si="2"/>
        <v>Dark Light</v>
      </c>
      <c r="S2707" s="5" t="str">
        <f>IFERROR(__xludf.DUMMYFUNCTION("""COMPUTED_VALUE"""),"Ghost Whispers")</f>
        <v>Ghost Whispers</v>
      </c>
      <c r="U2707" s="5" t="str">
        <f>IFERROR(__xludf.DUMMYFUNCTION("""COMPUTED_VALUE"""),"Vanessa Roth")</f>
        <v>Vanessa Roth</v>
      </c>
      <c r="V2707" s="5" t="s">
        <v>15159</v>
      </c>
      <c r="W2707" s="5" t="str">
        <f t="shared" si="3"/>
        <v>Mathieu Auvray</v>
      </c>
      <c r="X2707" s="5">
        <f t="shared" si="4"/>
        <v>1</v>
      </c>
      <c r="Y2707" s="5" t="str">
        <f>IFERROR(__xludf.DUMMYFUNCTION("REGEXEXTRACT(J2707, ""^\d+"")"),"90")</f>
        <v>90</v>
      </c>
      <c r="Z2707" s="5" t="str">
        <f>IFERROR(__xludf.DUMMYFUNCTION("REGEXEXTRACT(J2707, ""[A-Za-z ]+$"")")," min")</f>
        <v> min</v>
      </c>
      <c r="AA2707" s="5" t="str">
        <f>IFERROR(__xludf.DUMMYFUNCTION("IF(REGEXMATCH(Z2707, ""Season""), ""TV Show"", ""Movie"")"),"Movie")</f>
        <v>Movie</v>
      </c>
    </row>
    <row r="2708">
      <c r="A2708" s="1" t="s">
        <v>15160</v>
      </c>
      <c r="B2708" s="1" t="s">
        <v>27</v>
      </c>
      <c r="C2708" s="1" t="s">
        <v>15161</v>
      </c>
      <c r="D2708" s="1" t="s">
        <v>15162</v>
      </c>
      <c r="E2708" s="1" t="s">
        <v>15163</v>
      </c>
      <c r="F2708" s="1" t="s">
        <v>15164</v>
      </c>
      <c r="G2708" s="1" t="s">
        <v>15156</v>
      </c>
      <c r="H2708" s="1">
        <v>2017.0</v>
      </c>
      <c r="I2708" s="1" t="s">
        <v>378</v>
      </c>
      <c r="J2708" s="1" t="s">
        <v>941</v>
      </c>
      <c r="K2708" s="1" t="s">
        <v>2327</v>
      </c>
      <c r="L2708" s="1" t="s">
        <v>15165</v>
      </c>
      <c r="M2708" s="2" t="s">
        <v>12</v>
      </c>
      <c r="N2708" s="4">
        <f t="shared" si="1"/>
        <v>43926</v>
      </c>
      <c r="O2708" s="5" t="str">
        <f>IFERROR(__xludf.DUMMYFUNCTION("IF(REGEXMATCH(TRIM(I2708), ""^\d+\s*min""), ""Unclassified"", IF(I2708 = """", ""NR"", I2708))"),"R")</f>
        <v>R</v>
      </c>
      <c r="R2708" s="5" t="str">
        <f t="shared" si="2"/>
        <v>The Killing Of A Sacred Deer</v>
      </c>
      <c r="S2708" s="5" t="str">
        <f>IFERROR(__xludf.DUMMYFUNCTION("""COMPUTED_VALUE"""),"Ghosts Of Sugar Land")</f>
        <v>Ghosts Of Sugar Land</v>
      </c>
      <c r="U2708" s="5" t="str">
        <f>IFERROR(__xludf.DUMMYFUNCTION("""COMPUTED_VALUE"""),"Jim Strouse")</f>
        <v>Jim Strouse</v>
      </c>
      <c r="V2708" s="5" t="s">
        <v>15166</v>
      </c>
      <c r="W2708" s="5" t="str">
        <f t="shared" si="3"/>
        <v>Mathieu Kassovitz</v>
      </c>
      <c r="X2708" s="5">
        <f t="shared" si="4"/>
        <v>1</v>
      </c>
      <c r="Y2708" s="5" t="str">
        <f>IFERROR(__xludf.DUMMYFUNCTION("REGEXEXTRACT(J2708, ""^\d+"")"),"121")</f>
        <v>121</v>
      </c>
      <c r="Z2708" s="5" t="str">
        <f>IFERROR(__xludf.DUMMYFUNCTION("REGEXEXTRACT(J2708, ""[A-Za-z ]+$"")")," min")</f>
        <v> min</v>
      </c>
      <c r="AA2708" s="5" t="str">
        <f>IFERROR(__xludf.DUMMYFUNCTION("IF(REGEXMATCH(Z2708, ""Season""), ""TV Show"", ""Movie"")"),"Movie")</f>
        <v>Movie</v>
      </c>
    </row>
    <row r="2709">
      <c r="A2709" s="1" t="s">
        <v>15167</v>
      </c>
      <c r="B2709" s="1" t="s">
        <v>27</v>
      </c>
      <c r="C2709" s="1" t="s">
        <v>15168</v>
      </c>
      <c r="D2709" s="1" t="s">
        <v>4818</v>
      </c>
      <c r="E2709" s="1" t="s">
        <v>15169</v>
      </c>
      <c r="F2709" s="1" t="s">
        <v>30</v>
      </c>
      <c r="G2709" s="1" t="s">
        <v>15170</v>
      </c>
      <c r="H2709" s="1">
        <v>2019.0</v>
      </c>
      <c r="I2709" s="1" t="s">
        <v>378</v>
      </c>
      <c r="J2709" s="1" t="s">
        <v>941</v>
      </c>
      <c r="K2709" s="1" t="s">
        <v>380</v>
      </c>
      <c r="L2709" s="1" t="s">
        <v>15171</v>
      </c>
      <c r="M2709" s="2" t="s">
        <v>12</v>
      </c>
      <c r="N2709" s="4">
        <f t="shared" si="1"/>
        <v>43925</v>
      </c>
      <c r="O2709" s="5" t="str">
        <f>IFERROR(__xludf.DUMMYFUNCTION("IF(REGEXMATCH(TRIM(I2709), ""^\d+\s*min""), ""Unclassified"", IF(I2709 = """", ""NR"", I2709))"),"R")</f>
        <v>R</v>
      </c>
      <c r="R2709" s="5" t="str">
        <f t="shared" si="2"/>
        <v>Angel Has Fallen</v>
      </c>
      <c r="S2709" s="5" t="str">
        <f>IFERROR(__xludf.DUMMYFUNCTION("""COMPUTED_VALUE"""),"Ghosts Of War")</f>
        <v>Ghosts Of War</v>
      </c>
      <c r="U2709" s="5" t="str">
        <f>IFERROR(__xludf.DUMMYFUNCTION("""COMPUTED_VALUE"""),"Kasper Collin")</f>
        <v>Kasper Collin</v>
      </c>
      <c r="V2709" s="5" t="s">
        <v>15172</v>
      </c>
      <c r="W2709" s="5" t="str">
        <f t="shared" si="3"/>
        <v>Mati Diop</v>
      </c>
      <c r="X2709" s="5">
        <f t="shared" si="4"/>
        <v>1</v>
      </c>
      <c r="Y2709" s="5" t="str">
        <f>IFERROR(__xludf.DUMMYFUNCTION("REGEXEXTRACT(J2709, ""^\d+"")"),"121")</f>
        <v>121</v>
      </c>
      <c r="Z2709" s="5" t="str">
        <f>IFERROR(__xludf.DUMMYFUNCTION("REGEXEXTRACT(J2709, ""[A-Za-z ]+$"")")," min")</f>
        <v> min</v>
      </c>
      <c r="AA2709" s="5" t="str">
        <f>IFERROR(__xludf.DUMMYFUNCTION("IF(REGEXMATCH(Z2709, ""Season""), ""TV Show"", ""Movie"")"),"Movie")</f>
        <v>Movie</v>
      </c>
    </row>
    <row r="2710">
      <c r="A2710" s="1" t="s">
        <v>15173</v>
      </c>
      <c r="B2710" s="1" t="s">
        <v>37</v>
      </c>
      <c r="C2710" s="1" t="s">
        <v>15174</v>
      </c>
      <c r="E2710" s="1" t="s">
        <v>15175</v>
      </c>
      <c r="F2710" s="1" t="s">
        <v>13294</v>
      </c>
      <c r="G2710" s="1" t="s">
        <v>15170</v>
      </c>
      <c r="H2710" s="1">
        <v>2013.0</v>
      </c>
      <c r="I2710" s="1" t="s">
        <v>42</v>
      </c>
      <c r="J2710" s="1" t="s">
        <v>43</v>
      </c>
      <c r="K2710" s="1" t="s">
        <v>1339</v>
      </c>
      <c r="L2710" s="1" t="s">
        <v>15176</v>
      </c>
      <c r="M2710" s="2" t="s">
        <v>12</v>
      </c>
      <c r="N2710" s="4">
        <f t="shared" si="1"/>
        <v>43925</v>
      </c>
      <c r="O2710" s="5" t="str">
        <f>IFERROR(__xludf.DUMMYFUNCTION("IF(REGEXMATCH(TRIM(I2710), ""^\d+\s*min""), ""Unclassified"", IF(I2710 = """", ""NR"", I2710))"),"TV-MA")</f>
        <v>TV-MA</v>
      </c>
      <c r="R2710" s="5" t="str">
        <f t="shared" si="2"/>
        <v>El Reemplazante</v>
      </c>
      <c r="S2710" s="5" t="str">
        <f>IFERROR(__xludf.DUMMYFUNCTION("""COMPUTED_VALUE"""),"Ghoul")</f>
        <v>Ghoul</v>
      </c>
      <c r="U2710" s="5" t="str">
        <f>IFERROR(__xludf.DUMMYFUNCTION("""COMPUTED_VALUE"""),"Fazila Allana")</f>
        <v>Fazila Allana</v>
      </c>
      <c r="V2710" s="5" t="s">
        <v>15177</v>
      </c>
      <c r="W2710" s="5" t="str">
        <f t="shared" si="3"/>
        <v>Matías Bize</v>
      </c>
      <c r="X2710" s="5">
        <f t="shared" si="4"/>
        <v>1</v>
      </c>
      <c r="Y2710" s="5" t="str">
        <f>IFERROR(__xludf.DUMMYFUNCTION("REGEXEXTRACT(J2710, ""^\d+"")"),"2")</f>
        <v>2</v>
      </c>
      <c r="Z2710" s="5" t="str">
        <f>IFERROR(__xludf.DUMMYFUNCTION("REGEXEXTRACT(J2710, ""[A-Za-z ]+$"")")," Seasons")</f>
        <v> Seasons</v>
      </c>
      <c r="AA2710" s="5" t="str">
        <f>IFERROR(__xludf.DUMMYFUNCTION("IF(REGEXMATCH(Z2710, ""Season""), ""TV Show"", ""Movie"")"),"TV Show")</f>
        <v>TV Show</v>
      </c>
    </row>
    <row r="2711">
      <c r="A2711" s="1" t="s">
        <v>15178</v>
      </c>
      <c r="B2711" s="1" t="s">
        <v>27</v>
      </c>
      <c r="C2711" s="1" t="s">
        <v>15179</v>
      </c>
      <c r="D2711" s="1" t="s">
        <v>15180</v>
      </c>
      <c r="E2711" s="1" t="s">
        <v>15181</v>
      </c>
      <c r="F2711" s="1" t="s">
        <v>30</v>
      </c>
      <c r="G2711" s="1" t="s">
        <v>15182</v>
      </c>
      <c r="H2711" s="1">
        <v>2020.0</v>
      </c>
      <c r="I2711" s="1" t="s">
        <v>42</v>
      </c>
      <c r="J2711" s="1" t="s">
        <v>428</v>
      </c>
      <c r="K2711" s="1" t="s">
        <v>973</v>
      </c>
      <c r="L2711" s="1" t="s">
        <v>15183</v>
      </c>
      <c r="M2711" s="2" t="s">
        <v>12</v>
      </c>
      <c r="N2711" s="4">
        <f t="shared" si="1"/>
        <v>43924</v>
      </c>
      <c r="O2711" s="5" t="str">
        <f>IFERROR(__xludf.DUMMYFUNCTION("IF(REGEXMATCH(TRIM(I2711), ""^\d+\s*min""), ""Unclassified"", IF(I2711 = """", ""NR"", I2711))"),"TV-MA")</f>
        <v>TV-MA</v>
      </c>
      <c r="R2711" s="5" t="str">
        <f t="shared" si="2"/>
        <v>Coffee &amp; Kareem</v>
      </c>
      <c r="S2711" s="5" t="str">
        <f>IFERROR(__xludf.DUMMYFUNCTION("""COMPUTED_VALUE"""),"Ghulam-E-Musthafa")</f>
        <v>Ghulam-E-Musthafa</v>
      </c>
      <c r="U2711" s="5" t="str">
        <f>IFERROR(__xludf.DUMMYFUNCTION("""COMPUTED_VALUE"""),"Eric Abrams")</f>
        <v>Eric Abrams</v>
      </c>
      <c r="V2711" s="5" t="s">
        <v>10371</v>
      </c>
      <c r="W2711" s="5" t="str">
        <f t="shared" si="3"/>
        <v>Matías Gueilburt</v>
      </c>
      <c r="X2711" s="5">
        <f t="shared" si="4"/>
        <v>3</v>
      </c>
      <c r="Y2711" s="5" t="str">
        <f>IFERROR(__xludf.DUMMYFUNCTION("REGEXEXTRACT(J2711, ""^\d+"")"),"88")</f>
        <v>88</v>
      </c>
      <c r="Z2711" s="5" t="str">
        <f>IFERROR(__xludf.DUMMYFUNCTION("REGEXEXTRACT(J2711, ""[A-Za-z ]+$"")")," min")</f>
        <v> min</v>
      </c>
      <c r="AA2711" s="5" t="str">
        <f>IFERROR(__xludf.DUMMYFUNCTION("IF(REGEXMATCH(Z2711, ""Season""), ""TV Show"", ""Movie"")"),"Movie")</f>
        <v>Movie</v>
      </c>
    </row>
    <row r="2712">
      <c r="A2712" s="1" t="s">
        <v>15184</v>
      </c>
      <c r="B2712" s="1" t="s">
        <v>37</v>
      </c>
      <c r="C2712" s="1" t="s">
        <v>15185</v>
      </c>
      <c r="E2712" s="1" t="s">
        <v>15186</v>
      </c>
      <c r="F2712" s="1" t="s">
        <v>30</v>
      </c>
      <c r="G2712" s="1" t="s">
        <v>15182</v>
      </c>
      <c r="H2712" s="1">
        <v>2019.0</v>
      </c>
      <c r="I2712" s="1" t="s">
        <v>97</v>
      </c>
      <c r="J2712" s="1" t="s">
        <v>43</v>
      </c>
      <c r="K2712" s="1" t="s">
        <v>15187</v>
      </c>
      <c r="L2712" s="1" t="s">
        <v>15188</v>
      </c>
      <c r="M2712" s="2" t="s">
        <v>12</v>
      </c>
      <c r="N2712" s="4">
        <f t="shared" si="1"/>
        <v>43924</v>
      </c>
      <c r="O2712" s="5" t="str">
        <f>IFERROR(__xludf.DUMMYFUNCTION("IF(REGEXMATCH(TRIM(I2712), ""^\d+\s*min""), ""Unclassified"", IF(I2712 = """", ""NR"", I2712))"),"TV-14")</f>
        <v>TV-14</v>
      </c>
      <c r="R2712" s="5" t="str">
        <f t="shared" si="2"/>
        <v>Legacies</v>
      </c>
      <c r="S2712" s="5" t="str">
        <f>IFERROR(__xludf.DUMMYFUNCTION("""COMPUTED_VALUE"""),"Gie")</f>
        <v>Gie</v>
      </c>
      <c r="U2712" s="5" t="str">
        <f>IFERROR(__xludf.DUMMYFUNCTION("""COMPUTED_VALUE"""),"Agustí Villaronga")</f>
        <v>Agustí Villaronga</v>
      </c>
      <c r="V2712" s="5" t="s">
        <v>12518</v>
      </c>
      <c r="W2712" s="5" t="str">
        <f t="shared" si="3"/>
        <v>Matias Mariani</v>
      </c>
      <c r="X2712" s="5">
        <f t="shared" si="4"/>
        <v>1</v>
      </c>
      <c r="Y2712" s="5" t="str">
        <f>IFERROR(__xludf.DUMMYFUNCTION("REGEXEXTRACT(J2712, ""^\d+"")"),"2")</f>
        <v>2</v>
      </c>
      <c r="Z2712" s="5" t="str">
        <f>IFERROR(__xludf.DUMMYFUNCTION("REGEXEXTRACT(J2712, ""[A-Za-z ]+$"")")," Seasons")</f>
        <v> Seasons</v>
      </c>
      <c r="AA2712" s="5" t="str">
        <f>IFERROR(__xludf.DUMMYFUNCTION("IF(REGEXMATCH(Z2712, ""Season""), ""TV Show"", ""Movie"")"),"TV Show")</f>
        <v>TV Show</v>
      </c>
    </row>
    <row r="2713">
      <c r="A2713" s="1" t="s">
        <v>15189</v>
      </c>
      <c r="B2713" s="1" t="s">
        <v>27</v>
      </c>
      <c r="C2713" s="1" t="s">
        <v>15190</v>
      </c>
      <c r="D2713" s="1" t="s">
        <v>15191</v>
      </c>
      <c r="F2713" s="1" t="s">
        <v>784</v>
      </c>
      <c r="G2713" s="1" t="s">
        <v>15182</v>
      </c>
      <c r="H2713" s="1">
        <v>2020.0</v>
      </c>
      <c r="I2713" s="1" t="s">
        <v>42</v>
      </c>
      <c r="J2713" s="1" t="s">
        <v>8832</v>
      </c>
      <c r="K2713" s="1" t="s">
        <v>156</v>
      </c>
      <c r="L2713" s="1" t="s">
        <v>15192</v>
      </c>
      <c r="M2713" s="2" t="s">
        <v>12</v>
      </c>
      <c r="N2713" s="4">
        <f t="shared" si="1"/>
        <v>43924</v>
      </c>
      <c r="O2713" s="5" t="str">
        <f>IFERROR(__xludf.DUMMYFUNCTION("IF(REGEXMATCH(TRIM(I2713), ""^\d+\s*min""), ""Unclassified"", IF(I2713 = """", ""NR"", I2713))"),"TV-MA")</f>
        <v>TV-MA</v>
      </c>
      <c r="R2713" s="5" t="str">
        <f t="shared" si="2"/>
        <v>Money Heist: The Phenomenon</v>
      </c>
      <c r="S2713" s="5" t="str">
        <f>IFERROR(__xludf.DUMMYFUNCTION("""COMPUTED_VALUE"""),"Gigantosaurus")</f>
        <v>Gigantosaurus</v>
      </c>
      <c r="U2713" s="5" t="str">
        <f>IFERROR(__xludf.DUMMYFUNCTION("""COMPUTED_VALUE"""),"Harry Chaskin")</f>
        <v>Harry Chaskin</v>
      </c>
      <c r="V2713" s="5" t="s">
        <v>15193</v>
      </c>
      <c r="W2713" s="5" t="str">
        <f t="shared" si="3"/>
        <v>Matt Angel, Suzanne Coote</v>
      </c>
      <c r="X2713" s="5">
        <f t="shared" si="4"/>
        <v>1</v>
      </c>
      <c r="Y2713" s="5" t="str">
        <f>IFERROR(__xludf.DUMMYFUNCTION("REGEXEXTRACT(J2713, ""^\d+"")"),"57")</f>
        <v>57</v>
      </c>
      <c r="Z2713" s="5" t="str">
        <f>IFERROR(__xludf.DUMMYFUNCTION("REGEXEXTRACT(J2713, ""[A-Za-z ]+$"")")," min")</f>
        <v> min</v>
      </c>
      <c r="AA2713" s="5" t="str">
        <f>IFERROR(__xludf.DUMMYFUNCTION("IF(REGEXMATCH(Z2713, ""Season""), ""TV Show"", ""Movie"")"),"Movie")</f>
        <v>Movie</v>
      </c>
    </row>
    <row r="2714">
      <c r="A2714" s="1" t="s">
        <v>15194</v>
      </c>
      <c r="B2714" s="1" t="s">
        <v>27</v>
      </c>
      <c r="C2714" s="1" t="s">
        <v>15195</v>
      </c>
      <c r="D2714" s="1" t="s">
        <v>2534</v>
      </c>
      <c r="E2714" s="1" t="s">
        <v>15196</v>
      </c>
      <c r="F2714" s="1" t="s">
        <v>15197</v>
      </c>
      <c r="G2714" s="1" t="s">
        <v>15182</v>
      </c>
      <c r="H2714" s="1">
        <v>2017.0</v>
      </c>
      <c r="I2714" s="1" t="s">
        <v>378</v>
      </c>
      <c r="J2714" s="1" t="s">
        <v>1256</v>
      </c>
      <c r="K2714" s="1" t="s">
        <v>836</v>
      </c>
      <c r="L2714" s="1" t="s">
        <v>15198</v>
      </c>
      <c r="M2714" s="2" t="s">
        <v>12</v>
      </c>
      <c r="N2714" s="4">
        <f t="shared" si="1"/>
        <v>43924</v>
      </c>
      <c r="O2714" s="5" t="str">
        <f>IFERROR(__xludf.DUMMYFUNCTION("IF(REGEXMATCH(TRIM(I2714), ""^\d+\s*min""), ""Unclassified"", IF(I2714 = """", ""NR"", I2714))"),"R")</f>
        <v>R</v>
      </c>
      <c r="R2714" s="5" t="str">
        <f t="shared" si="2"/>
        <v>The Death Of Stalin</v>
      </c>
      <c r="S2714" s="5" t="str">
        <f>IFERROR(__xludf.DUMMYFUNCTION("""COMPUTED_VALUE"""),"Gigi")</f>
        <v>Gigi</v>
      </c>
      <c r="U2714" s="5" t="str">
        <f>IFERROR(__xludf.DUMMYFUNCTION("""COMPUTED_VALUE"""),"Marti Noxon")</f>
        <v>Marti Noxon</v>
      </c>
      <c r="V2714" s="5" t="s">
        <v>3863</v>
      </c>
      <c r="W2714" s="5" t="str">
        <f t="shared" si="3"/>
        <v>Matt Aselton</v>
      </c>
      <c r="X2714" s="5">
        <f t="shared" si="4"/>
        <v>1</v>
      </c>
      <c r="Y2714" s="5" t="str">
        <f>IFERROR(__xludf.DUMMYFUNCTION("REGEXEXTRACT(J2714, ""^\d+"")"),"107")</f>
        <v>107</v>
      </c>
      <c r="Z2714" s="5" t="str">
        <f>IFERROR(__xludf.DUMMYFUNCTION("REGEXEXTRACT(J2714, ""[A-Za-z ]+$"")")," min")</f>
        <v> min</v>
      </c>
      <c r="AA2714" s="5" t="str">
        <f>IFERROR(__xludf.DUMMYFUNCTION("IF(REGEXMATCH(Z2714, ""Season""), ""TV Show"", ""Movie"")"),"Movie")</f>
        <v>Movie</v>
      </c>
    </row>
    <row r="2715">
      <c r="A2715" s="1" t="s">
        <v>15199</v>
      </c>
      <c r="B2715" s="1" t="s">
        <v>27</v>
      </c>
      <c r="C2715" s="1" t="s">
        <v>15200</v>
      </c>
      <c r="D2715" s="1" t="s">
        <v>780</v>
      </c>
      <c r="F2715" s="1" t="s">
        <v>415</v>
      </c>
      <c r="G2715" s="1" t="s">
        <v>15201</v>
      </c>
      <c r="H2715" s="1">
        <v>2020.0</v>
      </c>
      <c r="I2715" s="1" t="s">
        <v>97</v>
      </c>
      <c r="J2715" s="1" t="s">
        <v>15202</v>
      </c>
      <c r="K2715" s="1" t="s">
        <v>417</v>
      </c>
      <c r="L2715" s="1" t="s">
        <v>15203</v>
      </c>
      <c r="M2715" s="2" t="s">
        <v>12</v>
      </c>
      <c r="N2715" s="4">
        <f t="shared" si="1"/>
        <v>43923</v>
      </c>
      <c r="O2715" s="5" t="str">
        <f>IFERROR(__xludf.DUMMYFUNCTION("IF(REGEXMATCH(TRIM(I2715), ""^\d+\s*min""), ""Unclassified"", IF(I2715 = """", ""NR"", I2715))"),"TV-14")</f>
        <v>TV-14</v>
      </c>
      <c r="R2715" s="5" t="str">
        <f t="shared" si="2"/>
        <v>Sol Levante</v>
      </c>
      <c r="S2715" s="5" t="str">
        <f>IFERROR(__xludf.DUMMYFUNCTION("""COMPUTED_VALUE"""),"Gilmore Girls")</f>
        <v>Gilmore Girls</v>
      </c>
      <c r="U2715" s="5" t="str">
        <f>IFERROR(__xludf.DUMMYFUNCTION("""COMPUTED_VALUE"""),"Stefan Brogren")</f>
        <v>Stefan Brogren</v>
      </c>
      <c r="V2715" s="5" t="s">
        <v>15204</v>
      </c>
      <c r="W2715" s="5" t="str">
        <f t="shared" si="3"/>
        <v>Matt Askem</v>
      </c>
      <c r="X2715" s="5">
        <f t="shared" si="4"/>
        <v>6</v>
      </c>
      <c r="Y2715" s="5" t="str">
        <f>IFERROR(__xludf.DUMMYFUNCTION("REGEXEXTRACT(J2715, ""^\d+"")"),"5")</f>
        <v>5</v>
      </c>
      <c r="Z2715" s="5" t="str">
        <f>IFERROR(__xludf.DUMMYFUNCTION("REGEXEXTRACT(J2715, ""[A-Za-z ]+$"")")," min")</f>
        <v> min</v>
      </c>
      <c r="AA2715" s="5" t="str">
        <f>IFERROR(__xludf.DUMMYFUNCTION("IF(REGEXMATCH(Z2715, ""Season""), ""TV Show"", ""Movie"")"),"Movie")</f>
        <v>Movie</v>
      </c>
    </row>
    <row r="2716">
      <c r="A2716" s="1" t="s">
        <v>15205</v>
      </c>
      <c r="B2716" s="1" t="s">
        <v>27</v>
      </c>
      <c r="C2716" s="1" t="s">
        <v>15206</v>
      </c>
      <c r="D2716" s="1" t="s">
        <v>9108</v>
      </c>
      <c r="E2716" s="1" t="s">
        <v>15207</v>
      </c>
      <c r="F2716" s="1" t="s">
        <v>415</v>
      </c>
      <c r="G2716" s="1" t="s">
        <v>15201</v>
      </c>
      <c r="H2716" s="1">
        <v>2019.0</v>
      </c>
      <c r="I2716" s="1" t="s">
        <v>136</v>
      </c>
      <c r="J2716" s="1" t="s">
        <v>79</v>
      </c>
      <c r="K2716" s="1" t="s">
        <v>15208</v>
      </c>
      <c r="L2716" s="1" t="s">
        <v>15209</v>
      </c>
      <c r="M2716" s="2" t="s">
        <v>12</v>
      </c>
      <c r="N2716" s="4">
        <f t="shared" si="1"/>
        <v>43923</v>
      </c>
      <c r="O2716" s="5" t="str">
        <f>IFERROR(__xludf.DUMMYFUNCTION("IF(REGEXMATCH(TRIM(I2716), ""^\d+\s*min""), ""Unclassified"", IF(I2716 = """", ""NR"", I2716))"),"TV-PG")</f>
        <v>TV-PG</v>
      </c>
      <c r="R2716" s="5" t="str">
        <f t="shared" si="2"/>
        <v>Violet Evergarden: Eternity And The Auto Memory Doll</v>
      </c>
      <c r="S2716" s="5" t="str">
        <f>IFERROR(__xludf.DUMMYFUNCTION("""COMPUTED_VALUE"""),"Gilmore Girls: A Year In The Life")</f>
        <v>Gilmore Girls: A Year In The Life</v>
      </c>
      <c r="U2716" s="5" t="str">
        <f>IFERROR(__xludf.DUMMYFUNCTION("""COMPUTED_VALUE"""),"Pat Healy")</f>
        <v>Pat Healy</v>
      </c>
      <c r="V2716" s="5" t="s">
        <v>15210</v>
      </c>
      <c r="W2716" s="5" t="str">
        <f t="shared" si="3"/>
        <v>Matt Bell</v>
      </c>
      <c r="X2716" s="5">
        <f t="shared" si="4"/>
        <v>1</v>
      </c>
      <c r="Y2716" s="5" t="str">
        <f>IFERROR(__xludf.DUMMYFUNCTION("REGEXEXTRACT(J2716, ""^\d+"")"),"91")</f>
        <v>91</v>
      </c>
      <c r="Z2716" s="5" t="str">
        <f>IFERROR(__xludf.DUMMYFUNCTION("REGEXEXTRACT(J2716, ""[A-Za-z ]+$"")")," min")</f>
        <v> min</v>
      </c>
      <c r="AA2716" s="5" t="str">
        <f>IFERROR(__xludf.DUMMYFUNCTION("IF(REGEXMATCH(Z2716, ""Season""), ""TV Show"", ""Movie"")"),"Movie")</f>
        <v>Movie</v>
      </c>
    </row>
    <row r="2717">
      <c r="A2717" s="1" t="s">
        <v>15211</v>
      </c>
      <c r="B2717" s="1" t="s">
        <v>27</v>
      </c>
      <c r="C2717" s="1" t="s">
        <v>15212</v>
      </c>
      <c r="D2717" s="1" t="s">
        <v>15213</v>
      </c>
      <c r="E2717" s="1" t="s">
        <v>15214</v>
      </c>
      <c r="F2717" s="1" t="s">
        <v>63</v>
      </c>
      <c r="G2717" s="1" t="s">
        <v>15215</v>
      </c>
      <c r="H2717" s="1">
        <v>1990.0</v>
      </c>
      <c r="I2717" s="1" t="s">
        <v>97</v>
      </c>
      <c r="J2717" s="1" t="s">
        <v>15216</v>
      </c>
      <c r="K2717" s="1" t="s">
        <v>128</v>
      </c>
      <c r="L2717" s="1" t="s">
        <v>15217</v>
      </c>
      <c r="M2717" s="2" t="s">
        <v>12</v>
      </c>
      <c r="N2717" s="4">
        <f t="shared" si="1"/>
        <v>43922</v>
      </c>
      <c r="O2717" s="5" t="str">
        <f>IFERROR(__xludf.DUMMYFUNCTION("IF(REGEXMATCH(TRIM(I2717), ""^\d+\s*min""), ""Unclassified"", IF(I2717 = """", ""NR"", I2717))"),"TV-14")</f>
        <v>TV-14</v>
      </c>
      <c r="R2717" s="5" t="str">
        <f t="shared" si="2"/>
        <v>Agneepath</v>
      </c>
      <c r="S2717" s="5" t="str">
        <f>IFERROR(__xludf.DUMMYFUNCTION("""COMPUTED_VALUE"""),"Gimme Shelter")</f>
        <v>Gimme Shelter</v>
      </c>
      <c r="U2717" s="5" t="str">
        <f>IFERROR(__xludf.DUMMYFUNCTION("""COMPUTED_VALUE"""),"Nicolas Brossette")</f>
        <v>Nicolas Brossette</v>
      </c>
      <c r="V2717" s="5" t="s">
        <v>15218</v>
      </c>
      <c r="W2717" s="5" t="str">
        <f t="shared" si="3"/>
        <v>Matt D'Avella</v>
      </c>
      <c r="X2717" s="5">
        <f t="shared" si="4"/>
        <v>1</v>
      </c>
      <c r="Y2717" s="5" t="str">
        <f>IFERROR(__xludf.DUMMYFUNCTION("REGEXEXTRACT(J2717, ""^\d+"")"),"174")</f>
        <v>174</v>
      </c>
      <c r="Z2717" s="5" t="str">
        <f>IFERROR(__xludf.DUMMYFUNCTION("REGEXEXTRACT(J2717, ""[A-Za-z ]+$"")")," min")</f>
        <v> min</v>
      </c>
      <c r="AA2717" s="5" t="str">
        <f>IFERROR(__xludf.DUMMYFUNCTION("IF(REGEXMATCH(Z2717, ""Season""), ""TV Show"", ""Movie"")"),"Movie")</f>
        <v>Movie</v>
      </c>
    </row>
    <row r="2718">
      <c r="A2718" s="1" t="s">
        <v>15219</v>
      </c>
      <c r="B2718" s="1" t="s">
        <v>27</v>
      </c>
      <c r="C2718" s="1" t="s">
        <v>15220</v>
      </c>
      <c r="D2718" s="1" t="s">
        <v>12399</v>
      </c>
      <c r="E2718" s="1" t="s">
        <v>15221</v>
      </c>
      <c r="F2718" s="1" t="s">
        <v>8173</v>
      </c>
      <c r="G2718" s="1" t="s">
        <v>15215</v>
      </c>
      <c r="H2718" s="1">
        <v>2015.0</v>
      </c>
      <c r="I2718" s="1" t="s">
        <v>97</v>
      </c>
      <c r="J2718" s="1" t="s">
        <v>3511</v>
      </c>
      <c r="K2718" s="1" t="s">
        <v>306</v>
      </c>
      <c r="L2718" s="1" t="s">
        <v>15222</v>
      </c>
      <c r="M2718" s="2" t="s">
        <v>12</v>
      </c>
      <c r="N2718" s="4">
        <f t="shared" si="1"/>
        <v>43922</v>
      </c>
      <c r="O2718" s="5" t="str">
        <f>IFERROR(__xludf.DUMMYFUNCTION("IF(REGEXMATCH(TRIM(I2718), ""^\d+\s*min""), ""Unclassified"", IF(I2718 = """", ""NR"", I2718))"),"TV-14")</f>
        <v>TV-14</v>
      </c>
      <c r="R2718" s="5" t="str">
        <f t="shared" si="2"/>
        <v>Brothers</v>
      </c>
      <c r="S2718" s="5" t="str">
        <f>IFERROR(__xludf.DUMMYFUNCTION("""COMPUTED_VALUE"""),"Gims: On The Record")</f>
        <v>Gims: On The Record</v>
      </c>
      <c r="U2718" s="5" t="str">
        <f>IFERROR(__xludf.DUMMYFUNCTION("""COMPUTED_VALUE"""),"Serdar Akar")</f>
        <v>Serdar Akar</v>
      </c>
      <c r="V2718" s="5" t="s">
        <v>15053</v>
      </c>
      <c r="W2718" s="5" t="str">
        <f t="shared" si="3"/>
        <v>Matt D'Elia</v>
      </c>
      <c r="X2718" s="5">
        <f t="shared" si="4"/>
        <v>1</v>
      </c>
      <c r="Y2718" s="5" t="str">
        <f>IFERROR(__xludf.DUMMYFUNCTION("REGEXEXTRACT(J2718, ""^\d+"")"),"155")</f>
        <v>155</v>
      </c>
      <c r="Z2718" s="5" t="str">
        <f>IFERROR(__xludf.DUMMYFUNCTION("REGEXEXTRACT(J2718, ""[A-Za-z ]+$"")")," min")</f>
        <v> min</v>
      </c>
      <c r="AA2718" s="5" t="str">
        <f>IFERROR(__xludf.DUMMYFUNCTION("IF(REGEXMATCH(Z2718, ""Season""), ""TV Show"", ""Movie"")"),"Movie")</f>
        <v>Movie</v>
      </c>
    </row>
    <row r="2719">
      <c r="A2719" s="1" t="s">
        <v>15223</v>
      </c>
      <c r="B2719" s="1" t="s">
        <v>27</v>
      </c>
      <c r="C2719" s="1" t="s">
        <v>15224</v>
      </c>
      <c r="D2719" s="1" t="s">
        <v>2621</v>
      </c>
      <c r="E2719" s="1" t="s">
        <v>15225</v>
      </c>
      <c r="F2719" s="1" t="s">
        <v>63</v>
      </c>
      <c r="G2719" s="1" t="s">
        <v>15215</v>
      </c>
      <c r="H2719" s="1">
        <v>2012.0</v>
      </c>
      <c r="I2719" s="1" t="s">
        <v>289</v>
      </c>
      <c r="J2719" s="1" t="s">
        <v>630</v>
      </c>
      <c r="K2719" s="1" t="s">
        <v>80</v>
      </c>
      <c r="L2719" s="1" t="s">
        <v>15226</v>
      </c>
      <c r="M2719" s="2" t="s">
        <v>12</v>
      </c>
      <c r="N2719" s="4">
        <f t="shared" si="1"/>
        <v>43922</v>
      </c>
      <c r="O2719" s="5" t="str">
        <f>IFERROR(__xludf.DUMMYFUNCTION("IF(REGEXMATCH(TRIM(I2719), ""^\d+\s*min""), ""Unclassified"", IF(I2719 = """", ""NR"", I2719))"),"TV-Y7")</f>
        <v>TV-Y7</v>
      </c>
      <c r="R2719" s="5" t="str">
        <f t="shared" si="2"/>
        <v>Chhota Bheem And The Curse Of Damyaan</v>
      </c>
      <c r="S2719" s="5" t="str">
        <f>IFERROR(__xludf.DUMMYFUNCTION("""COMPUTED_VALUE"""),"Gina Yashere: Laughing To America")</f>
        <v>Gina Yashere: Laughing To America</v>
      </c>
      <c r="U2719" s="5" t="str">
        <f>IFERROR(__xludf.DUMMYFUNCTION("""COMPUTED_VALUE"""),"Lekh Tandon")</f>
        <v>Lekh Tandon</v>
      </c>
      <c r="V2719" s="5" t="s">
        <v>9662</v>
      </c>
      <c r="W2719" s="5" t="str">
        <f t="shared" si="3"/>
        <v>Matt Eskandari</v>
      </c>
      <c r="X2719" s="5">
        <f t="shared" si="4"/>
        <v>1</v>
      </c>
      <c r="Y2719" s="5" t="str">
        <f>IFERROR(__xludf.DUMMYFUNCTION("REGEXEXTRACT(J2719, ""^\d+"")"),"87")</f>
        <v>87</v>
      </c>
      <c r="Z2719" s="5" t="str">
        <f>IFERROR(__xludf.DUMMYFUNCTION("REGEXEXTRACT(J2719, ""[A-Za-z ]+$"")")," min")</f>
        <v> min</v>
      </c>
      <c r="AA2719" s="5" t="str">
        <f>IFERROR(__xludf.DUMMYFUNCTION("IF(REGEXMATCH(Z2719, ""Season""), ""TV Show"", ""Movie"")"),"Movie")</f>
        <v>Movie</v>
      </c>
    </row>
    <row r="2720">
      <c r="A2720" s="1" t="s">
        <v>15227</v>
      </c>
      <c r="B2720" s="1" t="s">
        <v>37</v>
      </c>
      <c r="C2720" s="1" t="s">
        <v>15228</v>
      </c>
      <c r="E2720" s="1" t="s">
        <v>15229</v>
      </c>
      <c r="F2720" s="1" t="s">
        <v>30</v>
      </c>
      <c r="G2720" s="1" t="s">
        <v>15215</v>
      </c>
      <c r="H2720" s="1">
        <v>2015.0</v>
      </c>
      <c r="I2720" s="1" t="s">
        <v>97</v>
      </c>
      <c r="J2720" s="1" t="s">
        <v>439</v>
      </c>
      <c r="K2720" s="1" t="s">
        <v>270</v>
      </c>
      <c r="L2720" s="1" t="s">
        <v>15230</v>
      </c>
      <c r="M2720" s="2" t="s">
        <v>12</v>
      </c>
      <c r="N2720" s="4">
        <f t="shared" si="1"/>
        <v>43922</v>
      </c>
      <c r="O2720" s="5" t="str">
        <f>IFERROR(__xludf.DUMMYFUNCTION("IF(REGEXMATCH(TRIM(I2720), ""^\d+\s*min""), ""Unclassified"", IF(I2720 = """", ""NR"", I2720))"),"TV-14")</f>
        <v>TV-14</v>
      </c>
      <c r="R2720" s="5" t="str">
        <f t="shared" si="2"/>
        <v>Community</v>
      </c>
      <c r="S2720" s="5" t="str">
        <f>IFERROR(__xludf.DUMMYFUNCTION("""COMPUTED_VALUE"""),"Gina Yashere: Skinny B*Tch")</f>
        <v>Gina Yashere: Skinny B*Tch</v>
      </c>
      <c r="U2720" s="5" t="str">
        <f>IFERROR(__xludf.DUMMYFUNCTION("""COMPUTED_VALUE"""),"Doesjka Van Hoogdalem")</f>
        <v>Doesjka Van Hoogdalem</v>
      </c>
      <c r="V2720" s="5" t="s">
        <v>15231</v>
      </c>
      <c r="W2720" s="5" t="str">
        <f t="shared" si="3"/>
        <v>Matt Kay</v>
      </c>
      <c r="X2720" s="5">
        <f t="shared" si="4"/>
        <v>1</v>
      </c>
      <c r="Y2720" s="5" t="str">
        <f>IFERROR(__xludf.DUMMYFUNCTION("REGEXEXTRACT(J2720, ""^\d+"")"),"6")</f>
        <v>6</v>
      </c>
      <c r="Z2720" s="5" t="str">
        <f>IFERROR(__xludf.DUMMYFUNCTION("REGEXEXTRACT(J2720, ""[A-Za-z ]+$"")")," Seasons")</f>
        <v> Seasons</v>
      </c>
      <c r="AA2720" s="5" t="str">
        <f>IFERROR(__xludf.DUMMYFUNCTION("IF(REGEXMATCH(Z2720, ""Season""), ""TV Show"", ""Movie"")"),"TV Show")</f>
        <v>TV Show</v>
      </c>
    </row>
    <row r="2721">
      <c r="A2721" s="1" t="s">
        <v>15232</v>
      </c>
      <c r="B2721" s="1" t="s">
        <v>27</v>
      </c>
      <c r="C2721" s="1" t="s">
        <v>15233</v>
      </c>
      <c r="D2721" s="1" t="s">
        <v>5812</v>
      </c>
      <c r="E2721" s="1" t="s">
        <v>15234</v>
      </c>
      <c r="F2721" s="1" t="s">
        <v>3834</v>
      </c>
      <c r="G2721" s="1" t="s">
        <v>15215</v>
      </c>
      <c r="H2721" s="1">
        <v>2020.0</v>
      </c>
      <c r="I2721" s="1" t="s">
        <v>42</v>
      </c>
      <c r="J2721" s="1" t="s">
        <v>4558</v>
      </c>
      <c r="K2721" s="1" t="s">
        <v>1839</v>
      </c>
      <c r="L2721" s="1" t="s">
        <v>15235</v>
      </c>
      <c r="M2721" s="2" t="s">
        <v>12</v>
      </c>
      <c r="N2721" s="4">
        <f t="shared" si="1"/>
        <v>43922</v>
      </c>
      <c r="O2721" s="5" t="str">
        <f>IFERROR(__xludf.DUMMYFUNCTION("IF(REGEXMATCH(TRIM(I2721), ""^\d+\s*min""), ""Unclassified"", IF(I2721 = """", ""NR"", I2721))"),"TV-MA")</f>
        <v>TV-MA</v>
      </c>
      <c r="R2721" s="5" t="str">
        <f t="shared" si="2"/>
        <v>David Batra: Elefanten I Rummet</v>
      </c>
      <c r="S2721" s="5" t="str">
        <f>IFERROR(__xludf.DUMMYFUNCTION("""COMPUTED_VALUE"""),"Ginger &amp; Rosa")</f>
        <v>Ginger &amp; Rosa</v>
      </c>
      <c r="U2721" s="5" t="str">
        <f>IFERROR(__xludf.DUMMYFUNCTION("""COMPUTED_VALUE"""),"Sushil Majumdar")</f>
        <v>Sushil Majumdar</v>
      </c>
      <c r="V2721" s="5" t="s">
        <v>15236</v>
      </c>
      <c r="W2721" s="5" t="str">
        <f t="shared" si="3"/>
        <v>Matt Kugelman</v>
      </c>
      <c r="X2721" s="5">
        <f t="shared" si="4"/>
        <v>2</v>
      </c>
      <c r="Y2721" s="5" t="str">
        <f>IFERROR(__xludf.DUMMYFUNCTION("REGEXEXTRACT(J2721, ""^\d+"")"),"77")</f>
        <v>77</v>
      </c>
      <c r="Z2721" s="5" t="str">
        <f>IFERROR(__xludf.DUMMYFUNCTION("REGEXEXTRACT(J2721, ""[A-Za-z ]+$"")")," min")</f>
        <v> min</v>
      </c>
      <c r="AA2721" s="5" t="str">
        <f>IFERROR(__xludf.DUMMYFUNCTION("IF(REGEXMATCH(Z2721, ""Season""), ""TV Show"", ""Movie"")"),"Movie")</f>
        <v>Movie</v>
      </c>
    </row>
    <row r="2722">
      <c r="A2722" s="1" t="s">
        <v>15237</v>
      </c>
      <c r="B2722" s="1" t="s">
        <v>27</v>
      </c>
      <c r="C2722" s="1" t="s">
        <v>15238</v>
      </c>
      <c r="D2722" s="1" t="s">
        <v>15239</v>
      </c>
      <c r="E2722" s="1" t="s">
        <v>15240</v>
      </c>
      <c r="F2722" s="1" t="s">
        <v>8173</v>
      </c>
      <c r="G2722" s="1" t="s">
        <v>15215</v>
      </c>
      <c r="H2722" s="1">
        <v>2008.0</v>
      </c>
      <c r="I2722" s="1" t="s">
        <v>97</v>
      </c>
      <c r="J2722" s="1" t="s">
        <v>950</v>
      </c>
      <c r="K2722" s="1" t="s">
        <v>583</v>
      </c>
      <c r="L2722" s="1" t="s">
        <v>15241</v>
      </c>
      <c r="M2722" s="2" t="s">
        <v>12</v>
      </c>
      <c r="N2722" s="4">
        <f t="shared" si="1"/>
        <v>43922</v>
      </c>
      <c r="O2722" s="5" t="str">
        <f>IFERROR(__xludf.DUMMYFUNCTION("IF(REGEXMATCH(TRIM(I2722), ""^\d+\s*min""), ""Unclassified"", IF(I2722 = """", ""NR"", I2722))"),"TV-14")</f>
        <v>TV-14</v>
      </c>
      <c r="R2722" s="5" t="str">
        <f t="shared" si="2"/>
        <v>Dostana</v>
      </c>
      <c r="S2722" s="5" t="str">
        <f>IFERROR(__xludf.DUMMYFUNCTION("""COMPUTED_VALUE"""),"Ginny &amp; Georgia")</f>
        <v>Ginny &amp; Georgia</v>
      </c>
      <c r="U2722" s="5" t="str">
        <f>IFERROR(__xludf.DUMMYFUNCTION("""COMPUTED_VALUE"""),"Geetu Mohandas")</f>
        <v>Geetu Mohandas</v>
      </c>
      <c r="V2722" s="5" t="s">
        <v>3488</v>
      </c>
      <c r="W2722" s="5" t="str">
        <f t="shared" si="3"/>
        <v>Matt Ogens</v>
      </c>
      <c r="X2722" s="5">
        <f t="shared" si="4"/>
        <v>1</v>
      </c>
      <c r="Y2722" s="5" t="str">
        <f>IFERROR(__xludf.DUMMYFUNCTION("REGEXEXTRACT(J2722, ""^\d+"")"),"142")</f>
        <v>142</v>
      </c>
      <c r="Z2722" s="5" t="str">
        <f>IFERROR(__xludf.DUMMYFUNCTION("REGEXEXTRACT(J2722, ""[A-Za-z ]+$"")")," min")</f>
        <v> min</v>
      </c>
      <c r="AA2722" s="5" t="str">
        <f>IFERROR(__xludf.DUMMYFUNCTION("IF(REGEXMATCH(Z2722, ""Season""), ""TV Show"", ""Movie"")"),"Movie")</f>
        <v>Movie</v>
      </c>
    </row>
    <row r="2723">
      <c r="A2723" s="1" t="s">
        <v>15242</v>
      </c>
      <c r="B2723" s="1" t="s">
        <v>27</v>
      </c>
      <c r="C2723" s="1" t="s">
        <v>15243</v>
      </c>
      <c r="D2723" s="1" t="s">
        <v>15244</v>
      </c>
      <c r="E2723" s="1" t="s">
        <v>15245</v>
      </c>
      <c r="F2723" s="1" t="s">
        <v>63</v>
      </c>
      <c r="G2723" s="1" t="s">
        <v>15215</v>
      </c>
      <c r="H2723" s="1">
        <v>1984.0</v>
      </c>
      <c r="I2723" s="1" t="s">
        <v>97</v>
      </c>
      <c r="J2723" s="1" t="s">
        <v>15246</v>
      </c>
      <c r="K2723" s="1" t="s">
        <v>306</v>
      </c>
      <c r="L2723" s="1" t="s">
        <v>15247</v>
      </c>
      <c r="M2723" s="2" t="s">
        <v>12</v>
      </c>
      <c r="N2723" s="4">
        <f t="shared" si="1"/>
        <v>43922</v>
      </c>
      <c r="O2723" s="5" t="str">
        <f>IFERROR(__xludf.DUMMYFUNCTION("IF(REGEXMATCH(TRIM(I2723), ""^\d+\s*min""), ""Unclassified"", IF(I2723 = """", ""NR"", I2723))"),"TV-14")</f>
        <v>TV-14</v>
      </c>
      <c r="R2723" s="5" t="str">
        <f t="shared" si="2"/>
        <v>Duniya</v>
      </c>
      <c r="S2723" s="5" t="str">
        <f>IFERROR(__xludf.DUMMYFUNCTION("""COMPUTED_VALUE"""),"Ginny &amp; Georgia - The Afterparty")</f>
        <v>Ginny &amp; Georgia - The Afterparty</v>
      </c>
      <c r="U2723" s="5" t="str">
        <f>IFERROR(__xludf.DUMMYFUNCTION("""COMPUTED_VALUE"""),"Paulo Oriol")</f>
        <v>Paulo Oriol</v>
      </c>
      <c r="V2723" s="5" t="s">
        <v>15248</v>
      </c>
      <c r="W2723" s="5" t="str">
        <f t="shared" si="3"/>
        <v>Matt Palmer</v>
      </c>
      <c r="X2723" s="5">
        <f t="shared" si="4"/>
        <v>1</v>
      </c>
      <c r="Y2723" s="5" t="str">
        <f>IFERROR(__xludf.DUMMYFUNCTION("REGEXEXTRACT(J2723, ""^\d+"")"),"170")</f>
        <v>170</v>
      </c>
      <c r="Z2723" s="5" t="str">
        <f>IFERROR(__xludf.DUMMYFUNCTION("REGEXEXTRACT(J2723, ""[A-Za-z ]+$"")")," min")</f>
        <v> min</v>
      </c>
      <c r="AA2723" s="5" t="str">
        <f>IFERROR(__xludf.DUMMYFUNCTION("IF(REGEXMATCH(Z2723, ""Season""), ""TV Show"", ""Movie"")"),"Movie")</f>
        <v>Movie</v>
      </c>
    </row>
    <row r="2724">
      <c r="A2724" s="1" t="s">
        <v>15249</v>
      </c>
      <c r="B2724" s="1" t="s">
        <v>27</v>
      </c>
      <c r="C2724" s="1" t="s">
        <v>15250</v>
      </c>
      <c r="D2724" s="1" t="s">
        <v>14275</v>
      </c>
      <c r="E2724" s="1" t="s">
        <v>15251</v>
      </c>
      <c r="F2724" s="1" t="s">
        <v>63</v>
      </c>
      <c r="G2724" s="1" t="s">
        <v>15215</v>
      </c>
      <c r="H2724" s="1">
        <v>1998.0</v>
      </c>
      <c r="I2724" s="1" t="s">
        <v>97</v>
      </c>
      <c r="J2724" s="1" t="s">
        <v>1390</v>
      </c>
      <c r="K2724" s="1" t="s">
        <v>583</v>
      </c>
      <c r="L2724" s="1" t="s">
        <v>15252</v>
      </c>
      <c r="M2724" s="2" t="s">
        <v>12</v>
      </c>
      <c r="N2724" s="4">
        <f t="shared" si="1"/>
        <v>43922</v>
      </c>
      <c r="O2724" s="5" t="str">
        <f>IFERROR(__xludf.DUMMYFUNCTION("IF(REGEXMATCH(TRIM(I2724), ""^\d+\s*min""), ""Unclassified"", IF(I2724 = """", ""NR"", I2724))"),"TV-14")</f>
        <v>TV-14</v>
      </c>
      <c r="R2724" s="5" t="str">
        <f t="shared" si="2"/>
        <v>Duplicate</v>
      </c>
      <c r="S2724" s="5" t="str">
        <f>IFERROR(__xludf.DUMMYFUNCTION("""COMPUTED_VALUE"""),"Ginny Weds Sunny")</f>
        <v>Ginny Weds Sunny</v>
      </c>
      <c r="U2724" s="5" t="str">
        <f>IFERROR(__xludf.DUMMYFUNCTION("""COMPUTED_VALUE"""),"Oskar Santos")</f>
        <v>Oskar Santos</v>
      </c>
      <c r="V2724" s="5" t="s">
        <v>15253</v>
      </c>
      <c r="W2724" s="5" t="str">
        <f t="shared" si="3"/>
        <v>Matt Piedmont</v>
      </c>
      <c r="X2724" s="5">
        <f t="shared" si="4"/>
        <v>1</v>
      </c>
      <c r="Y2724" s="5" t="str">
        <f>IFERROR(__xludf.DUMMYFUNCTION("REGEXEXTRACT(J2724, ""^\d+"")"),"165")</f>
        <v>165</v>
      </c>
      <c r="Z2724" s="5" t="str">
        <f>IFERROR(__xludf.DUMMYFUNCTION("REGEXEXTRACT(J2724, ""[A-Za-z ]+$"")")," min")</f>
        <v> min</v>
      </c>
      <c r="AA2724" s="5" t="str">
        <f>IFERROR(__xludf.DUMMYFUNCTION("IF(REGEXMATCH(Z2724, ""Season""), ""TV Show"", ""Movie"")"),"Movie")</f>
        <v>Movie</v>
      </c>
    </row>
    <row r="2725">
      <c r="A2725" s="1" t="s">
        <v>15254</v>
      </c>
      <c r="B2725" s="1" t="s">
        <v>27</v>
      </c>
      <c r="C2725" s="1" t="s">
        <v>15255</v>
      </c>
      <c r="D2725" s="1" t="s">
        <v>15256</v>
      </c>
      <c r="E2725" s="1" t="s">
        <v>15257</v>
      </c>
      <c r="F2725" s="1" t="s">
        <v>63</v>
      </c>
      <c r="G2725" s="1" t="s">
        <v>15215</v>
      </c>
      <c r="H2725" s="1">
        <v>1980.0</v>
      </c>
      <c r="I2725" s="1" t="s">
        <v>97</v>
      </c>
      <c r="J2725" s="1" t="s">
        <v>198</v>
      </c>
      <c r="K2725" s="1" t="s">
        <v>306</v>
      </c>
      <c r="L2725" s="1" t="s">
        <v>15258</v>
      </c>
      <c r="M2725" s="2" t="s">
        <v>12</v>
      </c>
      <c r="N2725" s="4">
        <f t="shared" si="1"/>
        <v>43922</v>
      </c>
      <c r="O2725" s="5" t="str">
        <f>IFERROR(__xludf.DUMMYFUNCTION("IF(REGEXMATCH(TRIM(I2725), ""^\d+\s*min""), ""Unclassified"", IF(I2725 = """", ""NR"", I2725))"),"TV-14")</f>
        <v>TV-14</v>
      </c>
      <c r="R2725" s="5" t="str">
        <f t="shared" si="2"/>
        <v>Friendship</v>
      </c>
      <c r="S2725" s="5" t="str">
        <f>IFERROR(__xludf.DUMMYFUNCTION("""COMPUTED_VALUE"""),"Giri / Haji")</f>
        <v>Giri / Haji</v>
      </c>
      <c r="U2725" s="5" t="str">
        <f>IFERROR(__xludf.DUMMYFUNCTION("""COMPUTED_VALUE"""),"Bill D'Elia")</f>
        <v>Bill D'Elia</v>
      </c>
      <c r="V2725" s="5" t="s">
        <v>15259</v>
      </c>
      <c r="W2725" s="5" t="str">
        <f t="shared" si="3"/>
        <v>Matt Reeves</v>
      </c>
      <c r="X2725" s="5">
        <f t="shared" si="4"/>
        <v>1</v>
      </c>
      <c r="Y2725" s="5" t="str">
        <f>IFERROR(__xludf.DUMMYFUNCTION("REGEXEXTRACT(J2725, ""^\d+"")"),"161")</f>
        <v>161</v>
      </c>
      <c r="Z2725" s="5" t="str">
        <f>IFERROR(__xludf.DUMMYFUNCTION("REGEXEXTRACT(J2725, ""[A-Za-z ]+$"")")," min")</f>
        <v> min</v>
      </c>
      <c r="AA2725" s="5" t="str">
        <f>IFERROR(__xludf.DUMMYFUNCTION("IF(REGEXMATCH(Z2725, ""Season""), ""TV Show"", ""Movie"")"),"Movie")</f>
        <v>Movie</v>
      </c>
    </row>
    <row r="2726">
      <c r="A2726" s="1" t="s">
        <v>15260</v>
      </c>
      <c r="B2726" s="1" t="s">
        <v>27</v>
      </c>
      <c r="C2726" s="1" t="s">
        <v>15261</v>
      </c>
      <c r="D2726" s="1" t="s">
        <v>15262</v>
      </c>
      <c r="E2726" s="1" t="s">
        <v>15263</v>
      </c>
      <c r="F2726" s="1" t="s">
        <v>63</v>
      </c>
      <c r="G2726" s="1" t="s">
        <v>15215</v>
      </c>
      <c r="H2726" s="1">
        <v>2013.0</v>
      </c>
      <c r="I2726" s="1" t="s">
        <v>97</v>
      </c>
      <c r="J2726" s="1" t="s">
        <v>14942</v>
      </c>
      <c r="K2726" s="1" t="s">
        <v>583</v>
      </c>
      <c r="L2726" s="1" t="s">
        <v>15264</v>
      </c>
      <c r="M2726" s="2" t="s">
        <v>12</v>
      </c>
      <c r="N2726" s="4">
        <f t="shared" si="1"/>
        <v>43922</v>
      </c>
      <c r="O2726" s="5" t="str">
        <f>IFERROR(__xludf.DUMMYFUNCTION("IF(REGEXMATCH(TRIM(I2726), ""^\d+\s*min""), ""Unclassified"", IF(I2726 = """", ""NR"", I2726))"),"TV-14")</f>
        <v>TV-14</v>
      </c>
      <c r="R2726" s="5" t="str">
        <f t="shared" si="2"/>
        <v>Gori Tere Pyaar Mein</v>
      </c>
      <c r="S2726" s="5" t="str">
        <f>IFERROR(__xludf.DUMMYFUNCTION("""COMPUTED_VALUE"""),"Girl")</f>
        <v>Girl</v>
      </c>
      <c r="U2726" s="5" t="str">
        <f>IFERROR(__xludf.DUMMYFUNCTION("""COMPUTED_VALUE"""),"Brian Knappenberger")</f>
        <v>Brian Knappenberger</v>
      </c>
      <c r="V2726" s="5" t="s">
        <v>7444</v>
      </c>
      <c r="W2726" s="5" t="str">
        <f t="shared" si="3"/>
        <v>Matt Ross</v>
      </c>
      <c r="X2726" s="5">
        <f t="shared" si="4"/>
        <v>1</v>
      </c>
      <c r="Y2726" s="5" t="str">
        <f>IFERROR(__xludf.DUMMYFUNCTION("REGEXEXTRACT(J2726, ""^\d+"")"),"144")</f>
        <v>144</v>
      </c>
      <c r="Z2726" s="5" t="str">
        <f>IFERROR(__xludf.DUMMYFUNCTION("REGEXEXTRACT(J2726, ""[A-Za-z ]+$"")")," min")</f>
        <v> min</v>
      </c>
      <c r="AA2726" s="5" t="str">
        <f>IFERROR(__xludf.DUMMYFUNCTION("IF(REGEXMATCH(Z2726, ""Season""), ""TV Show"", ""Movie"")"),"Movie")</f>
        <v>Movie</v>
      </c>
    </row>
    <row r="2727">
      <c r="A2727" s="1" t="s">
        <v>15265</v>
      </c>
      <c r="B2727" s="1" t="s">
        <v>27</v>
      </c>
      <c r="C2727" s="1" t="s">
        <v>15266</v>
      </c>
      <c r="D2727" s="1" t="s">
        <v>14275</v>
      </c>
      <c r="E2727" s="1" t="s">
        <v>15267</v>
      </c>
      <c r="F2727" s="1" t="s">
        <v>63</v>
      </c>
      <c r="G2727" s="1" t="s">
        <v>15215</v>
      </c>
      <c r="H2727" s="1">
        <v>1993.0</v>
      </c>
      <c r="I2727" s="1" t="s">
        <v>97</v>
      </c>
      <c r="J2727" s="1" t="s">
        <v>5833</v>
      </c>
      <c r="K2727" s="1" t="s">
        <v>306</v>
      </c>
      <c r="L2727" s="1" t="s">
        <v>15268</v>
      </c>
      <c r="M2727" s="2" t="s">
        <v>12</v>
      </c>
      <c r="N2727" s="4">
        <f t="shared" si="1"/>
        <v>43922</v>
      </c>
      <c r="O2727" s="5" t="str">
        <f>IFERROR(__xludf.DUMMYFUNCTION("IF(REGEXMATCH(TRIM(I2727), ""^\d+\s*min""), ""Unclassified"", IF(I2727 = """", ""NR"", I2727))"),"TV-14")</f>
        <v>TV-14</v>
      </c>
      <c r="R2727" s="5" t="str">
        <f t="shared" si="2"/>
        <v>Gumrah</v>
      </c>
      <c r="S2727" s="5" t="str">
        <f>IFERROR(__xludf.DUMMYFUNCTION("""COMPUTED_VALUE"""),"Girl From Nowhere")</f>
        <v>Girl From Nowhere</v>
      </c>
      <c r="U2727" s="5" t="str">
        <f>IFERROR(__xludf.DUMMYFUNCTION("""COMPUTED_VALUE"""),"Brent Bonacorso")</f>
        <v>Brent Bonacorso</v>
      </c>
      <c r="V2727" s="5" t="s">
        <v>15269</v>
      </c>
      <c r="W2727" s="5" t="str">
        <f t="shared" si="3"/>
        <v>Matt Shakman</v>
      </c>
      <c r="X2727" s="5">
        <f t="shared" si="4"/>
        <v>1</v>
      </c>
      <c r="Y2727" s="5" t="str">
        <f>IFERROR(__xludf.DUMMYFUNCTION("REGEXEXTRACT(J2727, ""^\d+"")"),"149")</f>
        <v>149</v>
      </c>
      <c r="Z2727" s="5" t="str">
        <f>IFERROR(__xludf.DUMMYFUNCTION("REGEXEXTRACT(J2727, ""[A-Za-z ]+$"")")," min")</f>
        <v> min</v>
      </c>
      <c r="AA2727" s="5" t="str">
        <f>IFERROR(__xludf.DUMMYFUNCTION("IF(REGEXMATCH(Z2727, ""Season""), ""TV Show"", ""Movie"")"),"Movie")</f>
        <v>Movie</v>
      </c>
    </row>
    <row r="2728">
      <c r="A2728" s="1" t="s">
        <v>15270</v>
      </c>
      <c r="B2728" s="1" t="s">
        <v>27</v>
      </c>
      <c r="C2728" s="1" t="s">
        <v>15271</v>
      </c>
      <c r="D2728" s="1" t="s">
        <v>3432</v>
      </c>
      <c r="E2728" s="1" t="s">
        <v>15272</v>
      </c>
      <c r="F2728" s="1" t="s">
        <v>63</v>
      </c>
      <c r="G2728" s="1" t="s">
        <v>15215</v>
      </c>
      <c r="H2728" s="1">
        <v>2014.0</v>
      </c>
      <c r="I2728" s="1" t="s">
        <v>97</v>
      </c>
      <c r="J2728" s="1" t="s">
        <v>1369</v>
      </c>
      <c r="K2728" s="1" t="s">
        <v>583</v>
      </c>
      <c r="L2728" s="1" t="s">
        <v>15273</v>
      </c>
      <c r="M2728" s="2" t="s">
        <v>12</v>
      </c>
      <c r="N2728" s="4">
        <f t="shared" si="1"/>
        <v>43922</v>
      </c>
      <c r="O2728" s="5" t="str">
        <f>IFERROR(__xludf.DUMMYFUNCTION("IF(REGEXMATCH(TRIM(I2728), ""^\d+\s*min""), ""Unclassified"", IF(I2728 = """", ""NR"", I2728))"),"TV-14")</f>
        <v>TV-14</v>
      </c>
      <c r="R2728" s="5" t="str">
        <f t="shared" si="2"/>
        <v>Hasee Toh Phasee</v>
      </c>
      <c r="S2728" s="5" t="str">
        <f>IFERROR(__xludf.DUMMYFUNCTION("""COMPUTED_VALUE"""),"Girl On The Third Floor")</f>
        <v>Girl On The Third Floor</v>
      </c>
      <c r="U2728" s="5" t="str">
        <f>IFERROR(__xludf.DUMMYFUNCTION("""COMPUTED_VALUE"""),"Nitesh Tiwari")</f>
        <v>Nitesh Tiwari</v>
      </c>
      <c r="V2728" s="5" t="s">
        <v>3839</v>
      </c>
      <c r="W2728" s="5" t="str">
        <f t="shared" si="3"/>
        <v>Matt Thompson</v>
      </c>
      <c r="X2728" s="5">
        <f t="shared" si="4"/>
        <v>1</v>
      </c>
      <c r="Y2728" s="5" t="str">
        <f>IFERROR(__xludf.DUMMYFUNCTION("REGEXEXTRACT(J2728, ""^\d+"")"),"135")</f>
        <v>135</v>
      </c>
      <c r="Z2728" s="5" t="str">
        <f>IFERROR(__xludf.DUMMYFUNCTION("REGEXEXTRACT(J2728, ""[A-Za-z ]+$"")")," min")</f>
        <v> min</v>
      </c>
      <c r="AA2728" s="5" t="str">
        <f>IFERROR(__xludf.DUMMYFUNCTION("IF(REGEXMATCH(Z2728, ""Season""), ""TV Show"", ""Movie"")"),"Movie")</f>
        <v>Movie</v>
      </c>
    </row>
    <row r="2729">
      <c r="A2729" s="1" t="s">
        <v>15274</v>
      </c>
      <c r="B2729" s="1" t="s">
        <v>37</v>
      </c>
      <c r="C2729" s="1" t="s">
        <v>15275</v>
      </c>
      <c r="F2729" s="1" t="s">
        <v>30</v>
      </c>
      <c r="G2729" s="1" t="s">
        <v>15215</v>
      </c>
      <c r="H2729" s="1">
        <v>2020.0</v>
      </c>
      <c r="I2729" s="1" t="s">
        <v>42</v>
      </c>
      <c r="J2729" s="1" t="s">
        <v>51</v>
      </c>
      <c r="K2729" s="1" t="s">
        <v>2043</v>
      </c>
      <c r="L2729" s="1" t="s">
        <v>15276</v>
      </c>
      <c r="M2729" s="2" t="s">
        <v>12</v>
      </c>
      <c r="N2729" s="4">
        <f t="shared" si="1"/>
        <v>43922</v>
      </c>
      <c r="O2729" s="5" t="str">
        <f>IFERROR(__xludf.DUMMYFUNCTION("IF(REGEXMATCH(TRIM(I2729), ""^\d+\s*min""), ""Unclassified"", IF(I2729 = """", ""NR"", I2729))"),"TV-MA")</f>
        <v>TV-MA</v>
      </c>
      <c r="R2729" s="5" t="str">
        <f t="shared" si="2"/>
        <v>How To Fix A Drug Scandal</v>
      </c>
      <c r="S2729" s="5" t="str">
        <f>IFERROR(__xludf.DUMMYFUNCTION("""COMPUTED_VALUE"""),"Girl, Boy, Bakla, Tomboy")</f>
        <v>Girl, Boy, Bakla, Tomboy</v>
      </c>
      <c r="U2729" s="5" t="str">
        <f>IFERROR(__xludf.DUMMYFUNCTION("""COMPUTED_VALUE"""),"Roy Burdine, Johnny Castuciano")</f>
        <v>Roy Burdine, Johnny Castuciano</v>
      </c>
      <c r="V2729" s="5" t="s">
        <v>15277</v>
      </c>
      <c r="W2729" s="5" t="str">
        <f t="shared" si="3"/>
        <v>Matt Toronto</v>
      </c>
      <c r="X2729" s="5">
        <f t="shared" si="4"/>
        <v>1</v>
      </c>
      <c r="Y2729" s="5" t="str">
        <f>IFERROR(__xludf.DUMMYFUNCTION("REGEXEXTRACT(J2729, ""^\d+"")"),"1")</f>
        <v>1</v>
      </c>
      <c r="Z2729" s="5" t="str">
        <f>IFERROR(__xludf.DUMMYFUNCTION("REGEXEXTRACT(J2729, ""[A-Za-z ]+$"")")," Season")</f>
        <v> Season</v>
      </c>
      <c r="AA2729" s="5" t="str">
        <f>IFERROR(__xludf.DUMMYFUNCTION("IF(REGEXMATCH(Z2729, ""Season""), ""TV Show"", ""Movie"")"),"TV Show")</f>
        <v>TV Show</v>
      </c>
    </row>
    <row r="2730">
      <c r="A2730" s="1" t="s">
        <v>15278</v>
      </c>
      <c r="B2730" s="1" t="s">
        <v>27</v>
      </c>
      <c r="C2730" s="1" t="s">
        <v>15279</v>
      </c>
      <c r="D2730" s="1" t="s">
        <v>15280</v>
      </c>
      <c r="E2730" s="1" t="s">
        <v>15281</v>
      </c>
      <c r="F2730" s="1" t="s">
        <v>63</v>
      </c>
      <c r="G2730" s="1" t="s">
        <v>15215</v>
      </c>
      <c r="H2730" s="1">
        <v>2014.0</v>
      </c>
      <c r="I2730" s="1" t="s">
        <v>97</v>
      </c>
      <c r="J2730" s="1" t="s">
        <v>2859</v>
      </c>
      <c r="K2730" s="1" t="s">
        <v>215</v>
      </c>
      <c r="L2730" s="1" t="s">
        <v>15282</v>
      </c>
      <c r="M2730" s="2" t="s">
        <v>12</v>
      </c>
      <c r="N2730" s="4">
        <f t="shared" si="1"/>
        <v>43922</v>
      </c>
      <c r="O2730" s="5" t="str">
        <f>IFERROR(__xludf.DUMMYFUNCTION("IF(REGEXMATCH(TRIM(I2730), ""^\d+\s*min""), ""Unclassified"", IF(I2730 = """", ""NR"", I2730))"),"TV-14")</f>
        <v>TV-14</v>
      </c>
      <c r="R2730" s="5" t="str">
        <f t="shared" si="2"/>
        <v>Humpty Sharma Ki Dulhania</v>
      </c>
      <c r="S2730" s="5" t="str">
        <f>IFERROR(__xludf.DUMMYFUNCTION("""COMPUTED_VALUE"""),"Girl'S Revenge")</f>
        <v>Girl'S Revenge</v>
      </c>
      <c r="U2730" s="5" t="str">
        <f>IFERROR(__xludf.DUMMYFUNCTION("""COMPUTED_VALUE"""),"Jay Bulger")</f>
        <v>Jay Bulger</v>
      </c>
      <c r="V2730" s="5" t="s">
        <v>15283</v>
      </c>
      <c r="W2730" s="5" t="str">
        <f t="shared" si="3"/>
        <v>Matt Tyrnauer</v>
      </c>
      <c r="X2730" s="5">
        <f t="shared" si="4"/>
        <v>1</v>
      </c>
      <c r="Y2730" s="5" t="str">
        <f>IFERROR(__xludf.DUMMYFUNCTION("REGEXEXTRACT(J2730, ""^\d+"")"),"131")</f>
        <v>131</v>
      </c>
      <c r="Z2730" s="5" t="str">
        <f>IFERROR(__xludf.DUMMYFUNCTION("REGEXEXTRACT(J2730, ""[A-Za-z ]+$"")")," min")</f>
        <v> min</v>
      </c>
      <c r="AA2730" s="5" t="str">
        <f>IFERROR(__xludf.DUMMYFUNCTION("IF(REGEXMATCH(Z2730, ""Season""), ""TV Show"", ""Movie"")"),"Movie")</f>
        <v>Movie</v>
      </c>
    </row>
    <row r="2731">
      <c r="A2731" s="1" t="s">
        <v>15284</v>
      </c>
      <c r="B2731" s="1" t="s">
        <v>27</v>
      </c>
      <c r="C2731" s="1" t="s">
        <v>15285</v>
      </c>
      <c r="D2731" s="1" t="s">
        <v>15286</v>
      </c>
      <c r="E2731" s="1" t="s">
        <v>15287</v>
      </c>
      <c r="F2731" s="1" t="s">
        <v>63</v>
      </c>
      <c r="G2731" s="1" t="s">
        <v>15215</v>
      </c>
      <c r="H2731" s="1">
        <v>2005.0</v>
      </c>
      <c r="I2731" s="1" t="s">
        <v>97</v>
      </c>
      <c r="J2731" s="1" t="s">
        <v>3458</v>
      </c>
      <c r="K2731" s="1" t="s">
        <v>1592</v>
      </c>
      <c r="L2731" s="1" t="s">
        <v>15288</v>
      </c>
      <c r="M2731" s="2" t="s">
        <v>12</v>
      </c>
      <c r="N2731" s="4">
        <f t="shared" si="1"/>
        <v>43922</v>
      </c>
      <c r="O2731" s="5" t="str">
        <f>IFERROR(__xludf.DUMMYFUNCTION("IF(REGEXMATCH(TRIM(I2731), ""^\d+\s*min""), ""Unclassified"", IF(I2731 = """", ""NR"", I2731))"),"TV-14")</f>
        <v>TV-14</v>
      </c>
      <c r="R2731" s="5" t="str">
        <f t="shared" si="2"/>
        <v>Kaal</v>
      </c>
      <c r="S2731" s="5" t="str">
        <f>IFERROR(__xludf.DUMMYFUNCTION("""COMPUTED_VALUE"""),"Girlboss")</f>
        <v>Girlboss</v>
      </c>
      <c r="U2731" s="5" t="str">
        <f>IFERROR(__xludf.DUMMYFUNCTION("""COMPUTED_VALUE"""),"Kip Andersen, Keegan Kuhn")</f>
        <v>Kip Andersen, Keegan Kuhn</v>
      </c>
      <c r="V2731" s="5" t="s">
        <v>15289</v>
      </c>
      <c r="W2731" s="5" t="str">
        <f t="shared" si="3"/>
        <v>Matt Wechsler</v>
      </c>
      <c r="X2731" s="5">
        <f t="shared" si="4"/>
        <v>1</v>
      </c>
      <c r="Y2731" s="5" t="str">
        <f>IFERROR(__xludf.DUMMYFUNCTION("REGEXEXTRACT(J2731, ""^\d+"")"),"126")</f>
        <v>126</v>
      </c>
      <c r="Z2731" s="5" t="str">
        <f>IFERROR(__xludf.DUMMYFUNCTION("REGEXEXTRACT(J2731, ""[A-Za-z ]+$"")")," min")</f>
        <v> min</v>
      </c>
      <c r="AA2731" s="5" t="str">
        <f>IFERROR(__xludf.DUMMYFUNCTION("IF(REGEXMATCH(Z2731, ""Season""), ""TV Show"", ""Movie"")"),"Movie")</f>
        <v>Movie</v>
      </c>
    </row>
    <row r="2732">
      <c r="A2732" s="1" t="s">
        <v>15290</v>
      </c>
      <c r="B2732" s="1" t="s">
        <v>27</v>
      </c>
      <c r="C2732" s="1" t="s">
        <v>15291</v>
      </c>
      <c r="D2732" s="1" t="s">
        <v>12389</v>
      </c>
      <c r="E2732" s="1" t="s">
        <v>15292</v>
      </c>
      <c r="F2732" s="1" t="s">
        <v>63</v>
      </c>
      <c r="G2732" s="1" t="s">
        <v>15215</v>
      </c>
      <c r="H2732" s="1">
        <v>2006.0</v>
      </c>
      <c r="I2732" s="1" t="s">
        <v>97</v>
      </c>
      <c r="J2732" s="1" t="s">
        <v>15293</v>
      </c>
      <c r="K2732" s="1" t="s">
        <v>679</v>
      </c>
      <c r="L2732" s="1" t="s">
        <v>15294</v>
      </c>
      <c r="M2732" s="2" t="s">
        <v>12</v>
      </c>
      <c r="N2732" s="4">
        <f t="shared" si="1"/>
        <v>43922</v>
      </c>
      <c r="O2732" s="5" t="str">
        <f>IFERROR(__xludf.DUMMYFUNCTION("IF(REGEXMATCH(TRIM(I2732), ""^\d+\s*min""), ""Unclassified"", IF(I2732 = """", ""NR"", I2732))"),"TV-14")</f>
        <v>TV-14</v>
      </c>
      <c r="R2732" s="5" t="str">
        <f t="shared" si="2"/>
        <v>Kabhi Alvida Naa Kehna</v>
      </c>
      <c r="S2732" s="5" t="str">
        <f>IFERROR(__xludf.DUMMYFUNCTION("""COMPUTED_VALUE"""),"Girlfriend'S Day")</f>
        <v>Girlfriend'S Day</v>
      </c>
      <c r="U2732" s="5" t="str">
        <f>IFERROR(__xludf.DUMMYFUNCTION("""COMPUTED_VALUE"""),"Iginio Straffi")</f>
        <v>Iginio Straffi</v>
      </c>
      <c r="V2732" s="5" t="s">
        <v>15295</v>
      </c>
      <c r="W2732" s="5" t="str">
        <f t="shared" si="3"/>
        <v>Matthew Atkinson</v>
      </c>
      <c r="X2732" s="5">
        <f t="shared" si="4"/>
        <v>1</v>
      </c>
      <c r="Y2732" s="5" t="str">
        <f>IFERROR(__xludf.DUMMYFUNCTION("REGEXEXTRACT(J2732, ""^\d+"")"),"192")</f>
        <v>192</v>
      </c>
      <c r="Z2732" s="5" t="str">
        <f>IFERROR(__xludf.DUMMYFUNCTION("REGEXEXTRACT(J2732, ""[A-Za-z ]+$"")")," min")</f>
        <v> min</v>
      </c>
      <c r="AA2732" s="5" t="str">
        <f>IFERROR(__xludf.DUMMYFUNCTION("IF(REGEXMATCH(Z2732, ""Season""), ""TV Show"", ""Movie"")"),"Movie")</f>
        <v>Movie</v>
      </c>
    </row>
    <row r="2733">
      <c r="A2733" s="1" t="s">
        <v>15296</v>
      </c>
      <c r="B2733" s="1" t="s">
        <v>27</v>
      </c>
      <c r="C2733" s="1" t="s">
        <v>15297</v>
      </c>
      <c r="D2733" s="1" t="s">
        <v>12389</v>
      </c>
      <c r="E2733" s="1" t="s">
        <v>15298</v>
      </c>
      <c r="F2733" s="1" t="s">
        <v>63</v>
      </c>
      <c r="G2733" s="1" t="s">
        <v>15215</v>
      </c>
      <c r="H2733" s="1">
        <v>2001.0</v>
      </c>
      <c r="I2733" s="1" t="s">
        <v>97</v>
      </c>
      <c r="J2733" s="1" t="s">
        <v>15299</v>
      </c>
      <c r="K2733" s="1" t="s">
        <v>128</v>
      </c>
      <c r="L2733" s="1" t="s">
        <v>15300</v>
      </c>
      <c r="M2733" s="2" t="s">
        <v>12</v>
      </c>
      <c r="N2733" s="4">
        <f t="shared" si="1"/>
        <v>43922</v>
      </c>
      <c r="O2733" s="5" t="str">
        <f>IFERROR(__xludf.DUMMYFUNCTION("IF(REGEXMATCH(TRIM(I2733), ""^\d+\s*min""), ""Unclassified"", IF(I2733 = """", ""NR"", I2733))"),"TV-14")</f>
        <v>TV-14</v>
      </c>
      <c r="R2733" s="5" t="str">
        <f t="shared" si="2"/>
        <v>Kabhi Khushi Kabhie Gham</v>
      </c>
      <c r="S2733" s="5" t="str">
        <f>IFERROR(__xludf.DUMMYFUNCTION("""COMPUTED_VALUE"""),"Girlfriends")</f>
        <v>Girlfriends</v>
      </c>
      <c r="U2733" s="5" t="str">
        <f>IFERROR(__xludf.DUMMYFUNCTION("""COMPUTED_VALUE"""),"Arun Chidambaram")</f>
        <v>Arun Chidambaram</v>
      </c>
      <c r="V2733" s="5" t="s">
        <v>15301</v>
      </c>
      <c r="W2733" s="5" t="str">
        <f t="shared" si="3"/>
        <v>Matthew Cooke</v>
      </c>
      <c r="X2733" s="5">
        <f t="shared" si="4"/>
        <v>1</v>
      </c>
      <c r="Y2733" s="5" t="str">
        <f>IFERROR(__xludf.DUMMYFUNCTION("REGEXEXTRACT(J2733, ""^\d+"")"),"209")</f>
        <v>209</v>
      </c>
      <c r="Z2733" s="5" t="str">
        <f>IFERROR(__xludf.DUMMYFUNCTION("REGEXEXTRACT(J2733, ""[A-Za-z ]+$"")")," min")</f>
        <v> min</v>
      </c>
      <c r="AA2733" s="5" t="str">
        <f>IFERROR(__xludf.DUMMYFUNCTION("IF(REGEXMATCH(Z2733, ""Season""), ""TV Show"", ""Movie"")"),"Movie")</f>
        <v>Movie</v>
      </c>
    </row>
    <row r="2734">
      <c r="A2734" s="1" t="s">
        <v>15302</v>
      </c>
      <c r="B2734" s="1" t="s">
        <v>27</v>
      </c>
      <c r="C2734" s="1" t="s">
        <v>15303</v>
      </c>
      <c r="D2734" s="1" t="s">
        <v>15304</v>
      </c>
      <c r="E2734" s="1" t="s">
        <v>15305</v>
      </c>
      <c r="F2734" s="1" t="s">
        <v>63</v>
      </c>
      <c r="G2734" s="1" t="s">
        <v>15215</v>
      </c>
      <c r="H2734" s="1">
        <v>2003.0</v>
      </c>
      <c r="I2734" s="1" t="s">
        <v>97</v>
      </c>
      <c r="J2734" s="1" t="s">
        <v>15306</v>
      </c>
      <c r="K2734" s="1" t="s">
        <v>583</v>
      </c>
      <c r="L2734" s="1" t="s">
        <v>15307</v>
      </c>
      <c r="M2734" s="2" t="s">
        <v>12</v>
      </c>
      <c r="N2734" s="4">
        <f t="shared" si="1"/>
        <v>43922</v>
      </c>
      <c r="O2734" s="5" t="str">
        <f>IFERROR(__xludf.DUMMYFUNCTION("IF(REGEXMATCH(TRIM(I2734), ""^\d+\s*min""), ""Unclassified"", IF(I2734 = """", ""NR"", I2734))"),"TV-14")</f>
        <v>TV-14</v>
      </c>
      <c r="R2734" s="5" t="str">
        <f t="shared" si="2"/>
        <v>Kal Ho Naa Ho</v>
      </c>
      <c r="S2734" s="5" t="str">
        <f>IFERROR(__xludf.DUMMYFUNCTION("""COMPUTED_VALUE"""),"Girlfriends' Guide To Divorce")</f>
        <v>Girlfriends' Guide To Divorce</v>
      </c>
      <c r="U2734" s="5" t="str">
        <f>IFERROR(__xludf.DUMMYFUNCTION("""COMPUTED_VALUE"""),"Caio Cobra")</f>
        <v>Caio Cobra</v>
      </c>
      <c r="V2734" s="5" t="s">
        <v>4607</v>
      </c>
      <c r="W2734" s="5" t="str">
        <f t="shared" si="3"/>
        <v>Matthew Heineman</v>
      </c>
      <c r="X2734" s="5">
        <f t="shared" si="4"/>
        <v>1</v>
      </c>
      <c r="Y2734" s="5" t="str">
        <f>IFERROR(__xludf.DUMMYFUNCTION("REGEXEXTRACT(J2734, ""^\d+"")"),"187")</f>
        <v>187</v>
      </c>
      <c r="Z2734" s="5" t="str">
        <f>IFERROR(__xludf.DUMMYFUNCTION("REGEXEXTRACT(J2734, ""[A-Za-z ]+$"")")," min")</f>
        <v> min</v>
      </c>
      <c r="AA2734" s="5" t="str">
        <f>IFERROR(__xludf.DUMMYFUNCTION("IF(REGEXMATCH(Z2734, ""Season""), ""TV Show"", ""Movie"")"),"Movie")</f>
        <v>Movie</v>
      </c>
    </row>
    <row r="2735">
      <c r="A2735" s="1" t="s">
        <v>15308</v>
      </c>
      <c r="B2735" s="1" t="s">
        <v>27</v>
      </c>
      <c r="C2735" s="1" t="s">
        <v>15309</v>
      </c>
      <c r="D2735" s="1" t="s">
        <v>15310</v>
      </c>
      <c r="E2735" s="1" t="s">
        <v>15311</v>
      </c>
      <c r="F2735" s="1" t="s">
        <v>63</v>
      </c>
      <c r="G2735" s="1" t="s">
        <v>15215</v>
      </c>
      <c r="H2735" s="1">
        <v>2016.0</v>
      </c>
      <c r="I2735" s="1" t="s">
        <v>97</v>
      </c>
      <c r="J2735" s="1" t="s">
        <v>2414</v>
      </c>
      <c r="K2735" s="1" t="s">
        <v>583</v>
      </c>
      <c r="L2735" s="1" t="s">
        <v>15312</v>
      </c>
      <c r="M2735" s="2" t="s">
        <v>12</v>
      </c>
      <c r="N2735" s="4">
        <f t="shared" si="1"/>
        <v>43922</v>
      </c>
      <c r="O2735" s="5" t="str">
        <f>IFERROR(__xludf.DUMMYFUNCTION("IF(REGEXMATCH(TRIM(I2735), ""^\d+\s*min""), ""Unclassified"", IF(I2735 = """", ""NR"", I2735))"),"TV-14")</f>
        <v>TV-14</v>
      </c>
      <c r="R2735" s="5" t="str">
        <f t="shared" si="2"/>
        <v>Kapoor &amp; Sons</v>
      </c>
      <c r="S2735" s="5" t="str">
        <f>IFERROR(__xludf.DUMMYFUNCTION("""COMPUTED_VALUE"""),"Girls Hostel")</f>
        <v>Girls Hostel</v>
      </c>
      <c r="U2735" s="5" t="str">
        <f>IFERROR(__xludf.DUMMYFUNCTION("""COMPUTED_VALUE"""),"Cal Seville")</f>
        <v>Cal Seville</v>
      </c>
      <c r="V2735" s="5" t="s">
        <v>15313</v>
      </c>
      <c r="W2735" s="5" t="str">
        <f t="shared" si="3"/>
        <v>Matthew Hope</v>
      </c>
      <c r="X2735" s="5">
        <f t="shared" si="4"/>
        <v>1</v>
      </c>
      <c r="Y2735" s="5" t="str">
        <f>IFERROR(__xludf.DUMMYFUNCTION("REGEXEXTRACT(J2735, ""^\d+"")"),"138")</f>
        <v>138</v>
      </c>
      <c r="Z2735" s="5" t="str">
        <f>IFERROR(__xludf.DUMMYFUNCTION("REGEXEXTRACT(J2735, ""[A-Za-z ]+$"")")," min")</f>
        <v> min</v>
      </c>
      <c r="AA2735" s="5" t="str">
        <f>IFERROR(__xludf.DUMMYFUNCTION("IF(REGEXMATCH(Z2735, ""Season""), ""TV Show"", ""Movie"")"),"Movie")</f>
        <v>Movie</v>
      </c>
    </row>
    <row r="2736">
      <c r="A2736" s="1" t="s">
        <v>15314</v>
      </c>
      <c r="B2736" s="1" t="s">
        <v>27</v>
      </c>
      <c r="C2736" s="1" t="s">
        <v>15315</v>
      </c>
      <c r="D2736" s="1" t="s">
        <v>12389</v>
      </c>
      <c r="E2736" s="1" t="s">
        <v>15316</v>
      </c>
      <c r="F2736" s="1" t="s">
        <v>63</v>
      </c>
      <c r="G2736" s="1" t="s">
        <v>15215</v>
      </c>
      <c r="H2736" s="1">
        <v>1998.0</v>
      </c>
      <c r="I2736" s="1" t="s">
        <v>97</v>
      </c>
      <c r="J2736" s="1" t="s">
        <v>6717</v>
      </c>
      <c r="K2736" s="1" t="s">
        <v>583</v>
      </c>
      <c r="L2736" s="1" t="s">
        <v>15317</v>
      </c>
      <c r="M2736" s="2" t="s">
        <v>12</v>
      </c>
      <c r="N2736" s="4">
        <f t="shared" si="1"/>
        <v>43922</v>
      </c>
      <c r="O2736" s="5" t="str">
        <f>IFERROR(__xludf.DUMMYFUNCTION("IF(REGEXMATCH(TRIM(I2736), ""^\d+\s*min""), ""Unclassified"", IF(I2736 = """", ""NR"", I2736))"),"TV-14")</f>
        <v>TV-14</v>
      </c>
      <c r="R2736" s="5" t="str">
        <f t="shared" si="2"/>
        <v>Kuch Kuch Hota Hai</v>
      </c>
      <c r="S2736" s="5" t="str">
        <f>IFERROR(__xludf.DUMMYFUNCTION("""COMPUTED_VALUE"""),"Girls Incarcerated")</f>
        <v>Girls Incarcerated</v>
      </c>
      <c r="U2736" s="5" t="str">
        <f>IFERROR(__xludf.DUMMYFUNCTION("""COMPUTED_VALUE"""),"Michael John Warren")</f>
        <v>Michael John Warren</v>
      </c>
      <c r="V2736" s="5" t="s">
        <v>9595</v>
      </c>
      <c r="W2736" s="5" t="str">
        <f t="shared" si="3"/>
        <v>Matthew Michael Carnahan</v>
      </c>
      <c r="X2736" s="5">
        <f t="shared" si="4"/>
        <v>1</v>
      </c>
      <c r="Y2736" s="5" t="str">
        <f>IFERROR(__xludf.DUMMYFUNCTION("REGEXEXTRACT(J2736, ""^\d+"")"),"185")</f>
        <v>185</v>
      </c>
      <c r="Z2736" s="5" t="str">
        <f>IFERROR(__xludf.DUMMYFUNCTION("REGEXEXTRACT(J2736, ""[A-Za-z ]+$"")")," min")</f>
        <v> min</v>
      </c>
      <c r="AA2736" s="5" t="str">
        <f>IFERROR(__xludf.DUMMYFUNCTION("IF(REGEXMATCH(Z2736, ""Season""), ""TV Show"", ""Movie"")"),"Movie")</f>
        <v>Movie</v>
      </c>
    </row>
    <row r="2737">
      <c r="A2737" s="1" t="s">
        <v>15318</v>
      </c>
      <c r="B2737" s="1" t="s">
        <v>27</v>
      </c>
      <c r="C2737" s="1" t="s">
        <v>15319</v>
      </c>
      <c r="D2737" s="1" t="s">
        <v>12998</v>
      </c>
      <c r="E2737" s="1" t="s">
        <v>15320</v>
      </c>
      <c r="F2737" s="1" t="s">
        <v>63</v>
      </c>
      <c r="G2737" s="1" t="s">
        <v>15215</v>
      </c>
      <c r="H2737" s="1">
        <v>2015.0</v>
      </c>
      <c r="I2737" s="1" t="s">
        <v>97</v>
      </c>
      <c r="J2737" s="1" t="s">
        <v>820</v>
      </c>
      <c r="K2737" s="1" t="s">
        <v>215</v>
      </c>
      <c r="L2737" s="1" t="s">
        <v>15321</v>
      </c>
      <c r="M2737" s="2" t="s">
        <v>12</v>
      </c>
      <c r="N2737" s="4">
        <f t="shared" si="1"/>
        <v>43922</v>
      </c>
      <c r="O2737" s="5" t="str">
        <f>IFERROR(__xludf.DUMMYFUNCTION("IF(REGEXMATCH(TRIM(I2737), ""^\d+\s*min""), ""Unclassified"", IF(I2737 = """", ""NR"", I2737))"),"TV-14")</f>
        <v>TV-14</v>
      </c>
      <c r="R2737" s="5" t="str">
        <f t="shared" si="2"/>
        <v>Magnificent</v>
      </c>
      <c r="S2737" s="5" t="str">
        <f>IFERROR(__xludf.DUMMYFUNCTION("""COMPUTED_VALUE"""),"Girls Und Panzer")</f>
        <v>Girls Und Panzer</v>
      </c>
      <c r="U2737" s="5" t="str">
        <f>IFERROR(__xludf.DUMMYFUNCTION("""COMPUTED_VALUE"""),"Chang-Min Lee")</f>
        <v>Chang-Min Lee</v>
      </c>
      <c r="V2737" s="5" t="s">
        <v>1169</v>
      </c>
      <c r="W2737" s="5" t="str">
        <f t="shared" si="3"/>
        <v>Matthew O'Callaghan, Todd Wilderman</v>
      </c>
      <c r="X2737" s="5">
        <f t="shared" si="4"/>
        <v>1</v>
      </c>
      <c r="Y2737" s="5" t="str">
        <f>IFERROR(__xludf.DUMMYFUNCTION("REGEXEXTRACT(J2737, ""^\d+"")"),"143")</f>
        <v>143</v>
      </c>
      <c r="Z2737" s="5" t="str">
        <f>IFERROR(__xludf.DUMMYFUNCTION("REGEXEXTRACT(J2737, ""[A-Za-z ]+$"")")," min")</f>
        <v> min</v>
      </c>
      <c r="AA2737" s="5" t="str">
        <f>IFERROR(__xludf.DUMMYFUNCTION("IF(REGEXMATCH(Z2737, ""Season""), ""TV Show"", ""Movie"")"),"Movie")</f>
        <v>Movie</v>
      </c>
    </row>
    <row r="2738">
      <c r="A2738" s="1" t="s">
        <v>15322</v>
      </c>
      <c r="B2738" s="1" t="s">
        <v>37</v>
      </c>
      <c r="C2738" s="1" t="s">
        <v>15323</v>
      </c>
      <c r="F2738" s="1" t="s">
        <v>96</v>
      </c>
      <c r="G2738" s="1" t="s">
        <v>15215</v>
      </c>
      <c r="H2738" s="1">
        <v>2020.0</v>
      </c>
      <c r="I2738" s="1" t="s">
        <v>42</v>
      </c>
      <c r="J2738" s="1" t="s">
        <v>276</v>
      </c>
      <c r="K2738" s="1" t="s">
        <v>277</v>
      </c>
      <c r="L2738" s="1" t="s">
        <v>15324</v>
      </c>
      <c r="M2738" s="2" t="s">
        <v>12</v>
      </c>
      <c r="N2738" s="4">
        <f t="shared" si="1"/>
        <v>43922</v>
      </c>
      <c r="O2738" s="5" t="str">
        <f>IFERROR(__xludf.DUMMYFUNCTION("IF(REGEXMATCH(TRIM(I2738), ""^\d+\s*min""), ""Unclassified"", IF(I2738 = """", ""NR"", I2738))"),"TV-MA")</f>
        <v>TV-MA</v>
      </c>
      <c r="R2738" s="5" t="str">
        <f t="shared" si="2"/>
        <v>Man Like Mobeen</v>
      </c>
      <c r="S2738" s="5" t="str">
        <f>IFERROR(__xludf.DUMMYFUNCTION("""COMPUTED_VALUE"""),"Girls Und Panzer Der Film")</f>
        <v>Girls Und Panzer Der Film</v>
      </c>
      <c r="U2738" s="5" t="str">
        <f>IFERROR(__xludf.DUMMYFUNCTION("""COMPUTED_VALUE"""),"Oren Uziel")</f>
        <v>Oren Uziel</v>
      </c>
      <c r="V2738" s="5" t="s">
        <v>15325</v>
      </c>
      <c r="W2738" s="5" t="str">
        <f t="shared" si="3"/>
        <v>Matthew Ross</v>
      </c>
      <c r="X2738" s="5">
        <f t="shared" si="4"/>
        <v>1</v>
      </c>
      <c r="Y2738" s="5" t="str">
        <f>IFERROR(__xludf.DUMMYFUNCTION("REGEXEXTRACT(J2738, ""^\d+"")"),"3")</f>
        <v>3</v>
      </c>
      <c r="Z2738" s="5" t="str">
        <f>IFERROR(__xludf.DUMMYFUNCTION("REGEXEXTRACT(J2738, ""[A-Za-z ]+$"")")," Seasons")</f>
        <v> Seasons</v>
      </c>
      <c r="AA2738" s="5" t="str">
        <f>IFERROR(__xludf.DUMMYFUNCTION("IF(REGEXMATCH(Z2738, ""Season""), ""TV Show"", ""Movie"")"),"TV Show")</f>
        <v>TV Show</v>
      </c>
    </row>
    <row r="2739">
      <c r="A2739" s="1" t="s">
        <v>15326</v>
      </c>
      <c r="B2739" s="1" t="s">
        <v>27</v>
      </c>
      <c r="C2739" s="1" t="s">
        <v>15327</v>
      </c>
      <c r="D2739" s="1" t="s">
        <v>15328</v>
      </c>
      <c r="F2739" s="1" t="s">
        <v>63</v>
      </c>
      <c r="G2739" s="1" t="s">
        <v>15215</v>
      </c>
      <c r="H2739" s="1">
        <v>2014.0</v>
      </c>
      <c r="I2739" s="1" t="s">
        <v>289</v>
      </c>
      <c r="J2739" s="1" t="s">
        <v>247</v>
      </c>
      <c r="K2739" s="1" t="s">
        <v>2547</v>
      </c>
      <c r="L2739" s="1" t="s">
        <v>15329</v>
      </c>
      <c r="M2739" s="2" t="s">
        <v>12</v>
      </c>
      <c r="N2739" s="4">
        <f t="shared" si="1"/>
        <v>43922</v>
      </c>
      <c r="O2739" s="5" t="str">
        <f>IFERROR(__xludf.DUMMYFUNCTION("IF(REGEXMATCH(TRIM(I2739), ""^\d+\s*min""), ""Unclassified"", IF(I2739 = """", ""NR"", I2739))"),"TV-Y7")</f>
        <v>TV-Y7</v>
      </c>
      <c r="R2739" s="5" t="str">
        <f t="shared" si="2"/>
        <v>Mighty Raju Rio Calling</v>
      </c>
      <c r="S2739" s="5" t="str">
        <f>IFERROR(__xludf.DUMMYFUNCTION("""COMPUTED_VALUE"""),"Girls With Balls")</f>
        <v>Girls With Balls</v>
      </c>
      <c r="U2739" s="5" t="str">
        <f>IFERROR(__xludf.DUMMYFUNCTION("""COMPUTED_VALUE"""),"Manika Sharma")</f>
        <v>Manika Sharma</v>
      </c>
      <c r="V2739" s="5" t="s">
        <v>15330</v>
      </c>
      <c r="W2739" s="5" t="str">
        <f t="shared" si="3"/>
        <v>Matthew Salleh</v>
      </c>
      <c r="X2739" s="5">
        <f t="shared" si="4"/>
        <v>1</v>
      </c>
      <c r="Y2739" s="5" t="str">
        <f>IFERROR(__xludf.DUMMYFUNCTION("REGEXEXTRACT(J2739, ""^\d+"")"),"97")</f>
        <v>97</v>
      </c>
      <c r="Z2739" s="5" t="str">
        <f>IFERROR(__xludf.DUMMYFUNCTION("REGEXEXTRACT(J2739, ""[A-Za-z ]+$"")")," min")</f>
        <v> min</v>
      </c>
      <c r="AA2739" s="5" t="str">
        <f>IFERROR(__xludf.DUMMYFUNCTION("IF(REGEXMATCH(Z2739, ""Season""), ""TV Show"", ""Movie"")"),"Movie")</f>
        <v>Movie</v>
      </c>
    </row>
    <row r="2740">
      <c r="A2740" s="1" t="s">
        <v>15331</v>
      </c>
      <c r="B2740" s="1" t="s">
        <v>27</v>
      </c>
      <c r="C2740" s="1" t="s">
        <v>15332</v>
      </c>
      <c r="D2740" s="1" t="s">
        <v>15333</v>
      </c>
      <c r="E2740" s="1" t="s">
        <v>15334</v>
      </c>
      <c r="F2740" s="1" t="s">
        <v>63</v>
      </c>
      <c r="G2740" s="1" t="s">
        <v>15215</v>
      </c>
      <c r="H2740" s="1">
        <v>1987.0</v>
      </c>
      <c r="I2740" s="1" t="s">
        <v>97</v>
      </c>
      <c r="J2740" s="1" t="s">
        <v>15335</v>
      </c>
      <c r="K2740" s="1" t="s">
        <v>617</v>
      </c>
      <c r="L2740" s="1" t="s">
        <v>15336</v>
      </c>
      <c r="M2740" s="2" t="s">
        <v>12</v>
      </c>
      <c r="N2740" s="4">
        <f t="shared" si="1"/>
        <v>43922</v>
      </c>
      <c r="O2740" s="5" t="str">
        <f>IFERROR(__xludf.DUMMYFUNCTION("IF(REGEXMATCH(TRIM(I2740), ""^\d+\s*min""), ""Unclassified"", IF(I2740 = """", ""NR"", I2740))"),"TV-14")</f>
        <v>TV-14</v>
      </c>
      <c r="R2740" s="5" t="str">
        <f t="shared" si="2"/>
        <v>Muqaddar Ka Faisla</v>
      </c>
      <c r="S2740" s="5" t="str">
        <f>IFERROR(__xludf.DUMMYFUNCTION("""COMPUTED_VALUE"""),"Giving Voice")</f>
        <v>Giving Voice</v>
      </c>
      <c r="U2740" s="5" t="str">
        <f>IFERROR(__xludf.DUMMYFUNCTION("""COMPUTED_VALUE"""),"Timo Tjahjanto, Kimo Stamboel")</f>
        <v>Timo Tjahjanto, Kimo Stamboel</v>
      </c>
      <c r="V2740" s="5" t="s">
        <v>15337</v>
      </c>
      <c r="W2740" s="5" t="str">
        <f t="shared" si="3"/>
        <v>Matthew Shoychet</v>
      </c>
      <c r="X2740" s="5">
        <f t="shared" si="4"/>
        <v>1</v>
      </c>
      <c r="Y2740" s="5" t="str">
        <f>IFERROR(__xludf.DUMMYFUNCTION("REGEXEXTRACT(J2740, ""^\d+"")"),"172")</f>
        <v>172</v>
      </c>
      <c r="Z2740" s="5" t="str">
        <f>IFERROR(__xludf.DUMMYFUNCTION("REGEXEXTRACT(J2740, ""[A-Za-z ]+$"")")," min")</f>
        <v> min</v>
      </c>
      <c r="AA2740" s="5" t="str">
        <f>IFERROR(__xludf.DUMMYFUNCTION("IF(REGEXMATCH(Z2740, ""Season""), ""TV Show"", ""Movie"")"),"Movie")</f>
        <v>Movie</v>
      </c>
    </row>
    <row r="2741">
      <c r="A2741" s="1" t="s">
        <v>15338</v>
      </c>
      <c r="B2741" s="1" t="s">
        <v>37</v>
      </c>
      <c r="C2741" s="1" t="s">
        <v>15339</v>
      </c>
      <c r="E2741" s="1" t="s">
        <v>15340</v>
      </c>
      <c r="G2741" s="1" t="s">
        <v>15215</v>
      </c>
      <c r="H2741" s="1">
        <v>2019.0</v>
      </c>
      <c r="I2741" s="1" t="s">
        <v>289</v>
      </c>
      <c r="J2741" s="1" t="s">
        <v>276</v>
      </c>
      <c r="K2741" s="1" t="s">
        <v>623</v>
      </c>
      <c r="L2741" s="1" t="s">
        <v>15341</v>
      </c>
      <c r="M2741" s="2" t="s">
        <v>12</v>
      </c>
      <c r="N2741" s="4">
        <f t="shared" si="1"/>
        <v>43922</v>
      </c>
      <c r="O2741" s="5" t="str">
        <f>IFERROR(__xludf.DUMMYFUNCTION("IF(REGEXMATCH(TRIM(I2741), ""^\d+\s*min""), ""Unclassified"", IF(I2741 = """", ""NR"", I2741))"),"TV-Y7")</f>
        <v>TV-Y7</v>
      </c>
      <c r="R2741" s="5" t="str">
        <f t="shared" si="2"/>
        <v>Pokémon The Series</v>
      </c>
      <c r="S2741" s="5" t="str">
        <f>IFERROR(__xludf.DUMMYFUNCTION("""COMPUTED_VALUE"""),"Glee")</f>
        <v>Glee</v>
      </c>
      <c r="U2741" s="5" t="str">
        <f>IFERROR(__xludf.DUMMYFUNCTION("""COMPUTED_VALUE"""),"Jun-Seong Kim")</f>
        <v>Jun-Seong Kim</v>
      </c>
      <c r="V2741" s="5" t="s">
        <v>5378</v>
      </c>
      <c r="W2741" s="5" t="str">
        <f t="shared" si="3"/>
        <v>Matthew Vaughn</v>
      </c>
      <c r="X2741" s="5">
        <f t="shared" si="4"/>
        <v>2</v>
      </c>
      <c r="Y2741" s="5" t="str">
        <f>IFERROR(__xludf.DUMMYFUNCTION("REGEXEXTRACT(J2741, ""^\d+"")"),"3")</f>
        <v>3</v>
      </c>
      <c r="Z2741" s="5" t="str">
        <f>IFERROR(__xludf.DUMMYFUNCTION("REGEXEXTRACT(J2741, ""[A-Za-z ]+$"")")," Seasons")</f>
        <v> Seasons</v>
      </c>
      <c r="AA2741" s="5" t="str">
        <f>IFERROR(__xludf.DUMMYFUNCTION("IF(REGEXMATCH(Z2741, ""Season""), ""TV Show"", ""Movie"")"),"TV Show")</f>
        <v>TV Show</v>
      </c>
    </row>
    <row r="2742">
      <c r="A2742" s="1" t="s">
        <v>15342</v>
      </c>
      <c r="B2742" s="1" t="s">
        <v>37</v>
      </c>
      <c r="C2742" s="1" t="s">
        <v>15343</v>
      </c>
      <c r="E2742" s="1" t="s">
        <v>15344</v>
      </c>
      <c r="F2742" s="1" t="s">
        <v>415</v>
      </c>
      <c r="G2742" s="1" t="s">
        <v>15215</v>
      </c>
      <c r="H2742" s="1">
        <v>1986.0</v>
      </c>
      <c r="I2742" s="1" t="s">
        <v>97</v>
      </c>
      <c r="J2742" s="1" t="s">
        <v>439</v>
      </c>
      <c r="K2742" s="1" t="s">
        <v>2439</v>
      </c>
      <c r="L2742" s="1" t="s">
        <v>15345</v>
      </c>
      <c r="M2742" s="2" t="s">
        <v>12</v>
      </c>
      <c r="N2742" s="4">
        <f t="shared" si="1"/>
        <v>43922</v>
      </c>
      <c r="O2742" s="5" t="str">
        <f>IFERROR(__xludf.DUMMYFUNCTION("IF(REGEXMATCH(TRIM(I2742), ""^\d+\s*min""), ""Unclassified"", IF(I2742 = """", ""NR"", I2742))"),"TV-14")</f>
        <v>TV-14</v>
      </c>
      <c r="R2742" s="5" t="str">
        <f t="shared" si="2"/>
        <v>Saint Seiya</v>
      </c>
      <c r="S2742" s="5" t="str">
        <f>IFERROR(__xludf.DUMMYFUNCTION("""COMPUTED_VALUE"""),"Glimpses Of A Future")</f>
        <v>Glimpses Of A Future</v>
      </c>
      <c r="U2742" s="5" t="str">
        <f>IFERROR(__xludf.DUMMYFUNCTION("""COMPUTED_VALUE"""),"Edward Cotterill")</f>
        <v>Edward Cotterill</v>
      </c>
      <c r="V2742" s="5" t="s">
        <v>15346</v>
      </c>
      <c r="W2742" s="5" t="str">
        <f t="shared" si="3"/>
        <v>Matthias Hoene</v>
      </c>
      <c r="X2742" s="5">
        <f t="shared" si="4"/>
        <v>1</v>
      </c>
      <c r="Y2742" s="5" t="str">
        <f>IFERROR(__xludf.DUMMYFUNCTION("REGEXEXTRACT(J2742, ""^\d+"")"),"6")</f>
        <v>6</v>
      </c>
      <c r="Z2742" s="5" t="str">
        <f>IFERROR(__xludf.DUMMYFUNCTION("REGEXEXTRACT(J2742, ""[A-Za-z ]+$"")")," Seasons")</f>
        <v> Seasons</v>
      </c>
      <c r="AA2742" s="5" t="str">
        <f>IFERROR(__xludf.DUMMYFUNCTION("IF(REGEXMATCH(Z2742, ""Season""), ""TV Show"", ""Movie"")"),"TV Show")</f>
        <v>TV Show</v>
      </c>
    </row>
    <row r="2743">
      <c r="A2743" s="1" t="s">
        <v>15347</v>
      </c>
      <c r="B2743" s="1" t="s">
        <v>27</v>
      </c>
      <c r="C2743" s="1" t="s">
        <v>15348</v>
      </c>
      <c r="D2743" s="1" t="s">
        <v>1706</v>
      </c>
      <c r="E2743" s="1" t="s">
        <v>15349</v>
      </c>
      <c r="F2743" s="1" t="s">
        <v>63</v>
      </c>
      <c r="G2743" s="1" t="s">
        <v>15215</v>
      </c>
      <c r="H2743" s="1">
        <v>2020.0</v>
      </c>
      <c r="I2743" s="1" t="s">
        <v>42</v>
      </c>
      <c r="J2743" s="1" t="s">
        <v>238</v>
      </c>
      <c r="K2743" s="1" t="s">
        <v>89</v>
      </c>
      <c r="L2743" s="1" t="s">
        <v>15350</v>
      </c>
      <c r="M2743" s="2" t="s">
        <v>12</v>
      </c>
      <c r="N2743" s="4">
        <f t="shared" si="1"/>
        <v>43922</v>
      </c>
      <c r="O2743" s="5" t="str">
        <f>IFERROR(__xludf.DUMMYFUNCTION("IF(REGEXMATCH(TRIM(I2743), ""^\d+\s*min""), ""Unclassified"", IF(I2743 = """", ""NR"", I2743))"),"TV-MA")</f>
        <v>TV-MA</v>
      </c>
      <c r="R2743" s="5" t="str">
        <f t="shared" si="2"/>
        <v>Sethum Aayiram Pon</v>
      </c>
      <c r="S2743" s="5" t="str">
        <f>IFERROR(__xludf.DUMMYFUNCTION("""COMPUTED_VALUE"""),"Glitch")</f>
        <v>Glitch</v>
      </c>
      <c r="U2743" s="5" t="str">
        <f>IFERROR(__xludf.DUMMYFUNCTION("""COMPUTED_VALUE"""),"Onur Tukel")</f>
        <v>Onur Tukel</v>
      </c>
      <c r="V2743" s="5" t="s">
        <v>1515</v>
      </c>
      <c r="W2743" s="5" t="str">
        <f t="shared" si="3"/>
        <v>Mauricio Dias, Tatiana Villela</v>
      </c>
      <c r="X2743" s="5">
        <f t="shared" si="4"/>
        <v>1</v>
      </c>
      <c r="Y2743" s="5" t="str">
        <f>IFERROR(__xludf.DUMMYFUNCTION("REGEXEXTRACT(J2743, ""^\d+"")"),"103")</f>
        <v>103</v>
      </c>
      <c r="Z2743" s="5" t="str">
        <f>IFERROR(__xludf.DUMMYFUNCTION("REGEXEXTRACT(J2743, ""[A-Za-z ]+$"")")," min")</f>
        <v> min</v>
      </c>
      <c r="AA2743" s="5" t="str">
        <f>IFERROR(__xludf.DUMMYFUNCTION("IF(REGEXMATCH(Z2743, ""Season""), ""TV Show"", ""Movie"")"),"Movie")</f>
        <v>Movie</v>
      </c>
    </row>
    <row r="2744">
      <c r="A2744" s="1" t="s">
        <v>15351</v>
      </c>
      <c r="B2744" s="1" t="s">
        <v>37</v>
      </c>
      <c r="C2744" s="1" t="s">
        <v>15352</v>
      </c>
      <c r="F2744" s="1" t="s">
        <v>96</v>
      </c>
      <c r="G2744" s="1" t="s">
        <v>15215</v>
      </c>
      <c r="H2744" s="1">
        <v>2020.0</v>
      </c>
      <c r="I2744" s="1" t="s">
        <v>42</v>
      </c>
      <c r="J2744" s="1" t="s">
        <v>43</v>
      </c>
      <c r="K2744" s="1" t="s">
        <v>544</v>
      </c>
      <c r="L2744" s="1" t="s">
        <v>15353</v>
      </c>
      <c r="M2744" s="2" t="s">
        <v>12</v>
      </c>
      <c r="N2744" s="4">
        <f t="shared" si="1"/>
        <v>43922</v>
      </c>
      <c r="O2744" s="5" t="str">
        <f>IFERROR(__xludf.DUMMYFUNCTION("IF(REGEXMATCH(TRIM(I2744), ""^\d+\s*min""), ""Unclassified"", IF(I2744 = """", ""NR"", I2744))"),"TV-MA")</f>
        <v>TV-MA</v>
      </c>
      <c r="R2744" s="5" t="str">
        <f t="shared" si="2"/>
        <v>Sunderland 'Til I Die</v>
      </c>
      <c r="S2744" s="5" t="str">
        <f>IFERROR(__xludf.DUMMYFUNCTION("""COMPUTED_VALUE"""),"Glitch Techs")</f>
        <v>Glitch Techs</v>
      </c>
      <c r="U2744" s="5" t="str">
        <f>IFERROR(__xludf.DUMMYFUNCTION("""COMPUTED_VALUE"""),"Jayaprakash Radhakrishnan")</f>
        <v>Jayaprakash Radhakrishnan</v>
      </c>
      <c r="V2744" s="5" t="s">
        <v>15354</v>
      </c>
      <c r="W2744" s="5" t="str">
        <f t="shared" si="3"/>
        <v>Mauro Scandolari</v>
      </c>
      <c r="X2744" s="5">
        <f t="shared" si="4"/>
        <v>1</v>
      </c>
      <c r="Y2744" s="5" t="str">
        <f>IFERROR(__xludf.DUMMYFUNCTION("REGEXEXTRACT(J2744, ""^\d+"")"),"2")</f>
        <v>2</v>
      </c>
      <c r="Z2744" s="5" t="str">
        <f>IFERROR(__xludf.DUMMYFUNCTION("REGEXEXTRACT(J2744, ""[A-Za-z ]+$"")")," Seasons")</f>
        <v> Seasons</v>
      </c>
      <c r="AA2744" s="5" t="str">
        <f>IFERROR(__xludf.DUMMYFUNCTION("IF(REGEXMATCH(Z2744, ""Season""), ""TV Show"", ""Movie"")"),"TV Show")</f>
        <v>TV Show</v>
      </c>
    </row>
    <row r="2745">
      <c r="A2745" s="1" t="s">
        <v>15355</v>
      </c>
      <c r="B2745" s="1" t="s">
        <v>37</v>
      </c>
      <c r="C2745" s="1" t="s">
        <v>15356</v>
      </c>
      <c r="E2745" s="1" t="s">
        <v>15357</v>
      </c>
      <c r="F2745" s="1" t="s">
        <v>30</v>
      </c>
      <c r="G2745" s="1" t="s">
        <v>15215</v>
      </c>
      <c r="H2745" s="1">
        <v>2020.0</v>
      </c>
      <c r="I2745" s="1" t="s">
        <v>42</v>
      </c>
      <c r="J2745" s="1" t="s">
        <v>51</v>
      </c>
      <c r="K2745" s="1" t="s">
        <v>270</v>
      </c>
      <c r="L2745" s="1" t="s">
        <v>15358</v>
      </c>
      <c r="M2745" s="2" t="s">
        <v>12</v>
      </c>
      <c r="N2745" s="4">
        <f t="shared" si="1"/>
        <v>43922</v>
      </c>
      <c r="O2745" s="5" t="str">
        <f>IFERROR(__xludf.DUMMYFUNCTION("IF(REGEXMATCH(TRIM(I2745), ""^\d+\s*min""), ""Unclassified"", IF(I2745 = """", ""NR"", I2745))"),"TV-MA")</f>
        <v>TV-MA</v>
      </c>
      <c r="R2745" s="5" t="str">
        <f t="shared" si="2"/>
        <v>The Iliza Shlesinger Sketch Show</v>
      </c>
      <c r="S2745" s="5" t="str">
        <f>IFERROR(__xludf.DUMMYFUNCTION("""COMPUTED_VALUE"""),"Glitter Force")</f>
        <v>Glitter Force</v>
      </c>
      <c r="U2745" s="5" t="str">
        <f>IFERROR(__xludf.DUMMYFUNCTION("""COMPUTED_VALUE"""),"Rob Meyer")</f>
        <v>Rob Meyer</v>
      </c>
      <c r="V2745" s="5" t="s">
        <v>15359</v>
      </c>
      <c r="W2745" s="5" t="str">
        <f t="shared" si="3"/>
        <v>Max Amini</v>
      </c>
      <c r="X2745" s="5">
        <f t="shared" si="4"/>
        <v>1</v>
      </c>
      <c r="Y2745" s="5" t="str">
        <f>IFERROR(__xludf.DUMMYFUNCTION("REGEXEXTRACT(J2745, ""^\d+"")"),"1")</f>
        <v>1</v>
      </c>
      <c r="Z2745" s="5" t="str">
        <f>IFERROR(__xludf.DUMMYFUNCTION("REGEXEXTRACT(J2745, ""[A-Za-z ]+$"")")," Season")</f>
        <v> Season</v>
      </c>
      <c r="AA2745" s="5" t="str">
        <f>IFERROR(__xludf.DUMMYFUNCTION("IF(REGEXMATCH(Z2745, ""Season""), ""TV Show"", ""Movie"")"),"TV Show")</f>
        <v>TV Show</v>
      </c>
    </row>
    <row r="2746">
      <c r="A2746" s="1" t="s">
        <v>15360</v>
      </c>
      <c r="B2746" s="1" t="s">
        <v>27</v>
      </c>
      <c r="C2746" s="1" t="s">
        <v>15361</v>
      </c>
      <c r="D2746" s="1" t="s">
        <v>15362</v>
      </c>
      <c r="E2746" s="1" t="s">
        <v>15363</v>
      </c>
      <c r="F2746" s="1" t="s">
        <v>15364</v>
      </c>
      <c r="G2746" s="1" t="s">
        <v>15215</v>
      </c>
      <c r="H2746" s="1">
        <v>2017.0</v>
      </c>
      <c r="I2746" s="1" t="s">
        <v>506</v>
      </c>
      <c r="J2746" s="1" t="s">
        <v>490</v>
      </c>
      <c r="K2746" s="1" t="s">
        <v>80</v>
      </c>
      <c r="L2746" s="1" t="s">
        <v>15365</v>
      </c>
      <c r="M2746" s="2" t="s">
        <v>12</v>
      </c>
      <c r="N2746" s="4">
        <f t="shared" si="1"/>
        <v>43922</v>
      </c>
      <c r="O2746" s="5" t="str">
        <f>IFERROR(__xludf.DUMMYFUNCTION("IF(REGEXMATCH(TRIM(I2746), ""^\d+\s*min""), ""Unclassified"", IF(I2746 = """", ""NR"", I2746))"),"TV-G")</f>
        <v>TV-G</v>
      </c>
      <c r="R2746" s="5" t="str">
        <f t="shared" si="2"/>
        <v>The Little Vampire</v>
      </c>
      <c r="S2746" s="5" t="str">
        <f>IFERROR(__xludf.DUMMYFUNCTION("""COMPUTED_VALUE"""),"Glitter Force Doki Doki")</f>
        <v>Glitter Force Doki Doki</v>
      </c>
      <c r="U2746" s="5" t="str">
        <f>IFERROR(__xludf.DUMMYFUNCTION("""COMPUTED_VALUE"""),"Anita Barbosa")</f>
        <v>Anita Barbosa</v>
      </c>
      <c r="V2746" s="5" t="s">
        <v>4324</v>
      </c>
      <c r="W2746" s="5" t="str">
        <f t="shared" si="3"/>
        <v>Max Jabs</v>
      </c>
      <c r="X2746" s="5">
        <f t="shared" si="4"/>
        <v>1</v>
      </c>
      <c r="Y2746" s="5" t="str">
        <f>IFERROR(__xludf.DUMMYFUNCTION("REGEXEXTRACT(J2746, ""^\d+"")"),"83")</f>
        <v>83</v>
      </c>
      <c r="Z2746" s="5" t="str">
        <f>IFERROR(__xludf.DUMMYFUNCTION("REGEXEXTRACT(J2746, ""[A-Za-z ]+$"")")," min")</f>
        <v> min</v>
      </c>
      <c r="AA2746" s="5" t="str">
        <f>IFERROR(__xludf.DUMMYFUNCTION("IF(REGEXMATCH(Z2746, ""Season""), ""TV Show"", ""Movie"")"),"Movie")</f>
        <v>Movie</v>
      </c>
    </row>
    <row r="2747">
      <c r="A2747" s="1" t="s">
        <v>15366</v>
      </c>
      <c r="B2747" s="1" t="s">
        <v>27</v>
      </c>
      <c r="C2747" s="1" t="s">
        <v>15367</v>
      </c>
      <c r="D2747" s="1" t="s">
        <v>7707</v>
      </c>
      <c r="E2747" s="1" t="s">
        <v>15368</v>
      </c>
      <c r="F2747" s="1" t="s">
        <v>30</v>
      </c>
      <c r="G2747" s="1" t="s">
        <v>15215</v>
      </c>
      <c r="H2747" s="1">
        <v>2010.0</v>
      </c>
      <c r="I2747" s="1" t="s">
        <v>378</v>
      </c>
      <c r="J2747" s="1" t="s">
        <v>1256</v>
      </c>
      <c r="K2747" s="1" t="s">
        <v>15369</v>
      </c>
      <c r="L2747" s="1" t="s">
        <v>15370</v>
      </c>
      <c r="M2747" s="2" t="s">
        <v>12</v>
      </c>
      <c r="N2747" s="4">
        <f t="shared" si="1"/>
        <v>43922</v>
      </c>
      <c r="O2747" s="5" t="str">
        <f>IFERROR(__xludf.DUMMYFUNCTION("IF(REGEXMATCH(TRIM(I2747), ""^\d+\s*min""), ""Unclassified"", IF(I2747 = """", ""NR"", I2747))"),"R")</f>
        <v>R</v>
      </c>
      <c r="R2747" s="5" t="str">
        <f t="shared" si="2"/>
        <v>The Runaways</v>
      </c>
      <c r="S2747" s="5" t="str">
        <f>IFERROR(__xludf.DUMMYFUNCTION("""COMPUTED_VALUE"""),"Glow")</f>
        <v>Glow</v>
      </c>
      <c r="U2747" s="5" t="str">
        <f>IFERROR(__xludf.DUMMYFUNCTION("""COMPUTED_VALUE"""),"Ketan Mehta")</f>
        <v>Ketan Mehta</v>
      </c>
      <c r="V2747" s="5" t="s">
        <v>15371</v>
      </c>
      <c r="W2747" s="5" t="str">
        <f t="shared" si="3"/>
        <v>Max Joseph</v>
      </c>
      <c r="X2747" s="5">
        <f t="shared" si="4"/>
        <v>1</v>
      </c>
      <c r="Y2747" s="5" t="str">
        <f>IFERROR(__xludf.DUMMYFUNCTION("REGEXEXTRACT(J2747, ""^\d+"")"),"107")</f>
        <v>107</v>
      </c>
      <c r="Z2747" s="5" t="str">
        <f>IFERROR(__xludf.DUMMYFUNCTION("REGEXEXTRACT(J2747, ""[A-Za-z ]+$"")")," min")</f>
        <v> min</v>
      </c>
      <c r="AA2747" s="5" t="str">
        <f>IFERROR(__xludf.DUMMYFUNCTION("IF(REGEXMATCH(Z2747, ""Season""), ""TV Show"", ""Movie"")"),"Movie")</f>
        <v>Movie</v>
      </c>
    </row>
    <row r="2748">
      <c r="A2748" s="1" t="s">
        <v>15372</v>
      </c>
      <c r="B2748" s="1" t="s">
        <v>37</v>
      </c>
      <c r="C2748" s="1" t="s">
        <v>15373</v>
      </c>
      <c r="E2748" s="1" t="s">
        <v>15374</v>
      </c>
      <c r="F2748" s="1" t="s">
        <v>96</v>
      </c>
      <c r="G2748" s="1" t="s">
        <v>15215</v>
      </c>
      <c r="H2748" s="1">
        <v>2020.0</v>
      </c>
      <c r="I2748" s="1" t="s">
        <v>42</v>
      </c>
      <c r="J2748" s="1" t="s">
        <v>276</v>
      </c>
      <c r="K2748" s="1" t="s">
        <v>277</v>
      </c>
      <c r="L2748" s="1" t="s">
        <v>15375</v>
      </c>
      <c r="M2748" s="2" t="s">
        <v>12</v>
      </c>
      <c r="N2748" s="4">
        <f t="shared" si="1"/>
        <v>43922</v>
      </c>
      <c r="O2748" s="5" t="str">
        <f>IFERROR(__xludf.DUMMYFUNCTION("IF(REGEXMATCH(TRIM(I2748), ""^\d+\s*min""), ""Unclassified"", IF(I2748 = """", ""NR"", I2748))"),"TV-MA")</f>
        <v>TV-MA</v>
      </c>
      <c r="R2748" s="5" t="str">
        <f t="shared" si="2"/>
        <v>The Windsors</v>
      </c>
      <c r="S2748" s="5" t="str">
        <f>IFERROR(__xludf.DUMMYFUNCTION("""COMPUTED_VALUE"""),"Glow Up")</f>
        <v>Glow Up</v>
      </c>
      <c r="U2748" s="5" t="str">
        <f>IFERROR(__xludf.DUMMYFUNCTION("""COMPUTED_VALUE"""),"Daniel Wilner")</f>
        <v>Daniel Wilner</v>
      </c>
      <c r="V2748" s="5" t="s">
        <v>15376</v>
      </c>
      <c r="W2748" s="5" t="str">
        <f t="shared" si="3"/>
        <v>Max Lang, Jani Lachauer</v>
      </c>
      <c r="X2748" s="5">
        <f t="shared" si="4"/>
        <v>1</v>
      </c>
      <c r="Y2748" s="5" t="str">
        <f>IFERROR(__xludf.DUMMYFUNCTION("REGEXEXTRACT(J2748, ""^\d+"")"),"3")</f>
        <v>3</v>
      </c>
      <c r="Z2748" s="5" t="str">
        <f>IFERROR(__xludf.DUMMYFUNCTION("REGEXEXTRACT(J2748, ""[A-Za-z ]+$"")")," Seasons")</f>
        <v> Seasons</v>
      </c>
      <c r="AA2748" s="5" t="str">
        <f>IFERROR(__xludf.DUMMYFUNCTION("IF(REGEXMATCH(Z2748, ""Season""), ""TV Show"", ""Movie"")"),"TV Show")</f>
        <v>TV Show</v>
      </c>
    </row>
    <row r="2749">
      <c r="A2749" s="1" t="s">
        <v>15377</v>
      </c>
      <c r="B2749" s="1" t="s">
        <v>27</v>
      </c>
      <c r="C2749" s="1" t="s">
        <v>15378</v>
      </c>
      <c r="D2749" s="1" t="s">
        <v>15379</v>
      </c>
      <c r="E2749" s="1" t="s">
        <v>15380</v>
      </c>
      <c r="F2749" s="1" t="s">
        <v>63</v>
      </c>
      <c r="G2749" s="1" t="s">
        <v>15215</v>
      </c>
      <c r="H2749" s="1">
        <v>2014.0</v>
      </c>
      <c r="I2749" s="1" t="s">
        <v>97</v>
      </c>
      <c r="J2749" s="1" t="s">
        <v>835</v>
      </c>
      <c r="K2749" s="1" t="s">
        <v>583</v>
      </c>
      <c r="L2749" s="1" t="s">
        <v>15381</v>
      </c>
      <c r="M2749" s="2" t="s">
        <v>12</v>
      </c>
      <c r="N2749" s="4">
        <f t="shared" si="1"/>
        <v>43922</v>
      </c>
      <c r="O2749" s="5" t="str">
        <f>IFERROR(__xludf.DUMMYFUNCTION("IF(REGEXMATCH(TRIM(I2749), ""^\d+\s*min""), ""Unclassified"", IF(I2749 = """", ""NR"", I2749))"),"TV-14")</f>
        <v>TV-14</v>
      </c>
      <c r="R2749" s="5" t="str">
        <f t="shared" si="2"/>
        <v>Ungli</v>
      </c>
      <c r="S2749" s="5" t="str">
        <f>IFERROR(__xludf.DUMMYFUNCTION("""COMPUTED_VALUE"""),"Glow: The Story Of The Gorgeous Ladies Of Wrestling")</f>
        <v>Glow: The Story Of The Gorgeous Ladies Of Wrestling</v>
      </c>
      <c r="U2749" s="5" t="str">
        <f>IFERROR(__xludf.DUMMYFUNCTION("""COMPUTED_VALUE"""),"Alberto Rodríguez")</f>
        <v>Alberto Rodríguez</v>
      </c>
      <c r="V2749" s="5" t="s">
        <v>15382</v>
      </c>
      <c r="W2749" s="5" t="str">
        <f t="shared" si="3"/>
        <v>Max Martini</v>
      </c>
      <c r="X2749" s="5">
        <f t="shared" si="4"/>
        <v>1</v>
      </c>
      <c r="Y2749" s="5" t="str">
        <f>IFERROR(__xludf.DUMMYFUNCTION("REGEXEXTRACT(J2749, ""^\d+"")"),"114")</f>
        <v>114</v>
      </c>
      <c r="Z2749" s="5" t="str">
        <f>IFERROR(__xludf.DUMMYFUNCTION("REGEXEXTRACT(J2749, ""[A-Za-z ]+$"")")," min")</f>
        <v> min</v>
      </c>
      <c r="AA2749" s="5" t="str">
        <f>IFERROR(__xludf.DUMMYFUNCTION("IF(REGEXMATCH(Z2749, ""Season""), ""TV Show"", ""Movie"")"),"Movie")</f>
        <v>Movie</v>
      </c>
    </row>
    <row r="2750">
      <c r="A2750" s="1" t="s">
        <v>15383</v>
      </c>
      <c r="B2750" s="1" t="s">
        <v>37</v>
      </c>
      <c r="C2750" s="1" t="s">
        <v>15384</v>
      </c>
      <c r="E2750" s="1" t="s">
        <v>15385</v>
      </c>
      <c r="F2750" s="1" t="s">
        <v>3892</v>
      </c>
      <c r="G2750" s="1" t="s">
        <v>15215</v>
      </c>
      <c r="H2750" s="1">
        <v>2020.0</v>
      </c>
      <c r="I2750" s="1" t="s">
        <v>97</v>
      </c>
      <c r="J2750" s="1" t="s">
        <v>43</v>
      </c>
      <c r="K2750" s="1" t="s">
        <v>64</v>
      </c>
      <c r="L2750" s="1" t="s">
        <v>15386</v>
      </c>
      <c r="M2750" s="2" t="s">
        <v>12</v>
      </c>
      <c r="N2750" s="4">
        <f t="shared" si="1"/>
        <v>43922</v>
      </c>
      <c r="O2750" s="5" t="str">
        <f>IFERROR(__xludf.DUMMYFUNCTION("IF(REGEXMATCH(TRIM(I2750), ""^\d+\s*min""), ""Unclassified"", IF(I2750 = """", ""NR"", I2750))"),"TV-14")</f>
        <v>TV-14</v>
      </c>
      <c r="R2750" s="5" t="str">
        <f t="shared" si="2"/>
        <v>Well-Intended Love</v>
      </c>
      <c r="S2750" s="5" t="str">
        <f>IFERROR(__xludf.DUMMYFUNCTION("""COMPUTED_VALUE"""),"Glowing Embers")</f>
        <v>Glowing Embers</v>
      </c>
      <c r="U2750" s="5" t="str">
        <f>IFERROR(__xludf.DUMMYFUNCTION("""COMPUTED_VALUE"""),"Joe Piscatella")</f>
        <v>Joe Piscatella</v>
      </c>
      <c r="V2750" s="5" t="s">
        <v>15387</v>
      </c>
      <c r="W2750" s="5" t="str">
        <f t="shared" si="3"/>
        <v>Max Mcgill</v>
      </c>
      <c r="X2750" s="5">
        <f t="shared" si="4"/>
        <v>1</v>
      </c>
      <c r="Y2750" s="5" t="str">
        <f>IFERROR(__xludf.DUMMYFUNCTION("REGEXEXTRACT(J2750, ""^\d+"")"),"2")</f>
        <v>2</v>
      </c>
      <c r="Z2750" s="5" t="str">
        <f>IFERROR(__xludf.DUMMYFUNCTION("REGEXEXTRACT(J2750, ""[A-Za-z ]+$"")")," Seasons")</f>
        <v> Seasons</v>
      </c>
      <c r="AA2750" s="5" t="str">
        <f>IFERROR(__xludf.DUMMYFUNCTION("IF(REGEXMATCH(Z2750, ""Season""), ""TV Show"", ""Movie"")"),"TV Show")</f>
        <v>TV Show</v>
      </c>
    </row>
    <row r="2751">
      <c r="A2751" s="1" t="s">
        <v>15388</v>
      </c>
      <c r="B2751" s="1" t="s">
        <v>27</v>
      </c>
      <c r="C2751" s="1" t="s">
        <v>15389</v>
      </c>
      <c r="D2751" s="1" t="s">
        <v>7977</v>
      </c>
      <c r="E2751" s="1" t="s">
        <v>15390</v>
      </c>
      <c r="F2751" s="1" t="s">
        <v>30</v>
      </c>
      <c r="G2751" s="1" t="s">
        <v>15215</v>
      </c>
      <c r="H2751" s="1">
        <v>2018.0</v>
      </c>
      <c r="I2751" s="1" t="s">
        <v>378</v>
      </c>
      <c r="J2751" s="1" t="s">
        <v>454</v>
      </c>
      <c r="K2751" s="1" t="s">
        <v>15157</v>
      </c>
      <c r="L2751" s="1" t="s">
        <v>15391</v>
      </c>
      <c r="M2751" s="2" t="s">
        <v>12</v>
      </c>
      <c r="N2751" s="4">
        <f t="shared" si="1"/>
        <v>43922</v>
      </c>
      <c r="O2751" s="5" t="str">
        <f>IFERROR(__xludf.DUMMYFUNCTION("IF(REGEXMATCH(TRIM(I2751), ""^\d+\s*min""), ""Unclassified"", IF(I2751 = """", ""NR"", I2751))"),"R")</f>
        <v>R</v>
      </c>
      <c r="R2751" s="5" t="str">
        <f t="shared" si="2"/>
        <v>Wildling</v>
      </c>
      <c r="S2751" s="5" t="str">
        <f>IFERROR(__xludf.DUMMYFUNCTION("""COMPUTED_VALUE"""),"Gnome Alone")</f>
        <v>Gnome Alone</v>
      </c>
      <c r="U2751" s="5" t="str">
        <f>IFERROR(__xludf.DUMMYFUNCTION("""COMPUTED_VALUE"""),"Rahul Dholakia")</f>
        <v>Rahul Dholakia</v>
      </c>
      <c r="V2751" s="5" t="s">
        <v>15392</v>
      </c>
      <c r="W2751" s="5" t="str">
        <f t="shared" si="3"/>
        <v>Maximilian Erlenwein</v>
      </c>
      <c r="X2751" s="5">
        <f t="shared" si="4"/>
        <v>1</v>
      </c>
      <c r="Y2751" s="5" t="str">
        <f>IFERROR(__xludf.DUMMYFUNCTION("REGEXEXTRACT(J2751, ""^\d+"")"),"93")</f>
        <v>93</v>
      </c>
      <c r="Z2751" s="5" t="str">
        <f>IFERROR(__xludf.DUMMYFUNCTION("REGEXEXTRACT(J2751, ""[A-Za-z ]+$"")")," min")</f>
        <v> min</v>
      </c>
      <c r="AA2751" s="5" t="str">
        <f>IFERROR(__xludf.DUMMYFUNCTION("IF(REGEXMATCH(Z2751, ""Season""), ""TV Show"", ""Movie"")"),"Movie")</f>
        <v>Movie</v>
      </c>
    </row>
    <row r="2752">
      <c r="A2752" s="1" t="s">
        <v>15393</v>
      </c>
      <c r="B2752" s="1" t="s">
        <v>27</v>
      </c>
      <c r="C2752" s="1" t="s">
        <v>15394</v>
      </c>
      <c r="D2752" s="1" t="s">
        <v>15395</v>
      </c>
      <c r="E2752" s="1" t="s">
        <v>15396</v>
      </c>
      <c r="F2752" s="1" t="s">
        <v>63</v>
      </c>
      <c r="G2752" s="1" t="s">
        <v>15397</v>
      </c>
      <c r="H2752" s="1">
        <v>2020.0</v>
      </c>
      <c r="I2752" s="1" t="s">
        <v>289</v>
      </c>
      <c r="J2752" s="1" t="s">
        <v>471</v>
      </c>
      <c r="K2752" s="1" t="s">
        <v>80</v>
      </c>
      <c r="L2752" s="1" t="s">
        <v>15398</v>
      </c>
      <c r="M2752" s="2" t="s">
        <v>12</v>
      </c>
      <c r="N2752" s="4">
        <f t="shared" si="1"/>
        <v>43921</v>
      </c>
      <c r="O2752" s="5" t="str">
        <f>IFERROR(__xludf.DUMMYFUNCTION("IF(REGEXMATCH(TRIM(I2752), ""^\d+\s*min""), ""Unclassified"", IF(I2752 = """", ""NR"", I2752))"),"TV-Y7")</f>
        <v>TV-Y7</v>
      </c>
      <c r="R2752" s="5" t="str">
        <f t="shared" si="2"/>
        <v>A Truthful Mother</v>
      </c>
      <c r="S2752" s="5" t="str">
        <f>IFERROR(__xludf.DUMMYFUNCTION("""COMPUTED_VALUE"""),"Go Dog Go")</f>
        <v>Go Dog Go</v>
      </c>
      <c r="U2752" s="5" t="str">
        <f>IFERROR(__xludf.DUMMYFUNCTION("""COMPUTED_VALUE"""),"Jean-Patrick Benes")</f>
        <v>Jean-Patrick Benes</v>
      </c>
      <c r="V2752" s="5" t="s">
        <v>15399</v>
      </c>
      <c r="W2752" s="5" t="str">
        <f t="shared" si="3"/>
        <v>Maxwell Mcguire</v>
      </c>
      <c r="X2752" s="5">
        <f t="shared" si="4"/>
        <v>1</v>
      </c>
      <c r="Y2752" s="5" t="str">
        <f>IFERROR(__xludf.DUMMYFUNCTION("REGEXEXTRACT(J2752, ""^\d+"")"),"85")</f>
        <v>85</v>
      </c>
      <c r="Z2752" s="5" t="str">
        <f>IFERROR(__xludf.DUMMYFUNCTION("REGEXEXTRACT(J2752, ""[A-Za-z ]+$"")")," min")</f>
        <v> min</v>
      </c>
      <c r="AA2752" s="5" t="str">
        <f>IFERROR(__xludf.DUMMYFUNCTION("IF(REGEXMATCH(Z2752, ""Season""), ""TV Show"", ""Movie"")"),"Movie")</f>
        <v>Movie</v>
      </c>
    </row>
    <row r="2753">
      <c r="A2753" s="1" t="s">
        <v>15400</v>
      </c>
      <c r="B2753" s="1" t="s">
        <v>37</v>
      </c>
      <c r="C2753" s="1" t="s">
        <v>15401</v>
      </c>
      <c r="E2753" s="1" t="s">
        <v>15402</v>
      </c>
      <c r="F2753" s="1" t="s">
        <v>63</v>
      </c>
      <c r="G2753" s="1" t="s">
        <v>15397</v>
      </c>
      <c r="H2753" s="1">
        <v>2019.0</v>
      </c>
      <c r="I2753" s="1" t="s">
        <v>506</v>
      </c>
      <c r="J2753" s="1" t="s">
        <v>51</v>
      </c>
      <c r="K2753" s="1" t="s">
        <v>15403</v>
      </c>
      <c r="L2753" s="1" t="s">
        <v>15404</v>
      </c>
      <c r="M2753" s="2" t="s">
        <v>12</v>
      </c>
      <c r="N2753" s="4">
        <f t="shared" si="1"/>
        <v>43921</v>
      </c>
      <c r="O2753" s="5" t="str">
        <f>IFERROR(__xludf.DUMMYFUNCTION("IF(REGEXMATCH(TRIM(I2753), ""^\d+\s*min""), ""Unclassified"", IF(I2753 = """", ""NR"", I2753))"),"TV-G")</f>
        <v>TV-G</v>
      </c>
      <c r="R2753" s="5" t="str">
        <f t="shared" si="2"/>
        <v>Akbar Birbal</v>
      </c>
      <c r="S2753" s="5" t="str">
        <f>IFERROR(__xludf.DUMMYFUNCTION("""COMPUTED_VALUE"""),"Go Karts")</f>
        <v>Go Karts</v>
      </c>
      <c r="U2753" s="5" t="str">
        <f>IFERROR(__xludf.DUMMYFUNCTION("""COMPUTED_VALUE"""),"Hiroyuki Seshita")</f>
        <v>Hiroyuki Seshita</v>
      </c>
      <c r="V2753" s="5" t="s">
        <v>15405</v>
      </c>
      <c r="W2753" s="5" t="str">
        <f t="shared" si="3"/>
        <v>Maya Forbes</v>
      </c>
      <c r="X2753" s="5">
        <f t="shared" si="4"/>
        <v>1</v>
      </c>
      <c r="Y2753" s="5" t="str">
        <f>IFERROR(__xludf.DUMMYFUNCTION("REGEXEXTRACT(J2753, ""^\d+"")"),"1")</f>
        <v>1</v>
      </c>
      <c r="Z2753" s="5" t="str">
        <f>IFERROR(__xludf.DUMMYFUNCTION("REGEXEXTRACT(J2753, ""[A-Za-z ]+$"")")," Season")</f>
        <v> Season</v>
      </c>
      <c r="AA2753" s="5" t="str">
        <f>IFERROR(__xludf.DUMMYFUNCTION("IF(REGEXMATCH(Z2753, ""Season""), ""TV Show"", ""Movie"")"),"TV Show")</f>
        <v>TV Show</v>
      </c>
    </row>
    <row r="2754">
      <c r="A2754" s="1" t="s">
        <v>15406</v>
      </c>
      <c r="B2754" s="1" t="s">
        <v>37</v>
      </c>
      <c r="C2754" s="1" t="s">
        <v>15407</v>
      </c>
      <c r="D2754" s="1" t="s">
        <v>15408</v>
      </c>
      <c r="E2754" s="1" t="s">
        <v>15409</v>
      </c>
      <c r="G2754" s="1" t="s">
        <v>15397</v>
      </c>
      <c r="H2754" s="1">
        <v>2019.0</v>
      </c>
      <c r="I2754" s="1" t="s">
        <v>289</v>
      </c>
      <c r="J2754" s="1" t="s">
        <v>51</v>
      </c>
      <c r="K2754" s="1" t="s">
        <v>290</v>
      </c>
      <c r="L2754" s="1" t="s">
        <v>15410</v>
      </c>
      <c r="M2754" s="2" t="s">
        <v>12</v>
      </c>
      <c r="N2754" s="4">
        <f t="shared" si="1"/>
        <v>43921</v>
      </c>
      <c r="O2754" s="5" t="str">
        <f>IFERROR(__xludf.DUMMYFUNCTION("IF(REGEXMATCH(TRIM(I2754), ""^\d+\s*min""), ""Unclassified"", IF(I2754 = """", ""NR"", I2754))"),"TV-Y7")</f>
        <v>TV-Y7</v>
      </c>
      <c r="R2754" s="5" t="str">
        <f t="shared" si="2"/>
        <v>Bal Ganesh</v>
      </c>
      <c r="S2754" s="5" t="str">
        <f>IFERROR(__xludf.DUMMYFUNCTION("""COMPUTED_VALUE"""),"Go! Go! Cory Carson")</f>
        <v>Go! Go! Cory Carson</v>
      </c>
      <c r="U2754" s="5" t="str">
        <f>IFERROR(__xludf.DUMMYFUNCTION("""COMPUTED_VALUE"""),"Lygia Barbosa Da Silva, Eliane Brum")</f>
        <v>Lygia Barbosa Da Silva, Eliane Brum</v>
      </c>
      <c r="V2754" s="5" t="s">
        <v>15411</v>
      </c>
      <c r="W2754" s="5" t="str">
        <f t="shared" si="3"/>
        <v>Maya Gallus</v>
      </c>
      <c r="X2754" s="5">
        <f t="shared" si="4"/>
        <v>1</v>
      </c>
      <c r="Y2754" s="5" t="str">
        <f>IFERROR(__xludf.DUMMYFUNCTION("REGEXEXTRACT(J2754, ""^\d+"")"),"1")</f>
        <v>1</v>
      </c>
      <c r="Z2754" s="5" t="str">
        <f>IFERROR(__xludf.DUMMYFUNCTION("REGEXEXTRACT(J2754, ""[A-Za-z ]+$"")")," Season")</f>
        <v> Season</v>
      </c>
      <c r="AA2754" s="5" t="str">
        <f>IFERROR(__xludf.DUMMYFUNCTION("IF(REGEXMATCH(Z2754, ""Season""), ""TV Show"", ""Movie"")"),"TV Show")</f>
        <v>TV Show</v>
      </c>
    </row>
    <row r="2755">
      <c r="A2755" s="1" t="s">
        <v>15412</v>
      </c>
      <c r="B2755" s="1" t="s">
        <v>27</v>
      </c>
      <c r="C2755" s="1" t="s">
        <v>15413</v>
      </c>
      <c r="F2755" s="1" t="s">
        <v>30</v>
      </c>
      <c r="G2755" s="1" t="s">
        <v>15397</v>
      </c>
      <c r="H2755" s="1">
        <v>2020.0</v>
      </c>
      <c r="I2755" s="1" t="s">
        <v>42</v>
      </c>
      <c r="J2755" s="1" t="s">
        <v>471</v>
      </c>
      <c r="K2755" s="1" t="s">
        <v>1839</v>
      </c>
      <c r="L2755" s="1" t="s">
        <v>15414</v>
      </c>
      <c r="M2755" s="2" t="s">
        <v>12</v>
      </c>
      <c r="N2755" s="4">
        <f t="shared" si="1"/>
        <v>43921</v>
      </c>
      <c r="O2755" s="5" t="str">
        <f>IFERROR(__xludf.DUMMYFUNCTION("IF(REGEXMATCH(TRIM(I2755), ""^\d+\s*min""), ""Unclassified"", IF(I2755 = """", ""NR"", I2755))"),"TV-MA")</f>
        <v>TV-MA</v>
      </c>
      <c r="R2755" s="5" t="str">
        <f t="shared" si="2"/>
        <v>Dave Chappelle: The Kennedy Center Mark Twain Prize For American Humor</v>
      </c>
      <c r="S2755" s="5" t="str">
        <f>IFERROR(__xludf.DUMMYFUNCTION("""COMPUTED_VALUE"""),"Go! Go! Cory Carson: Chrissy Takes The Wheel")</f>
        <v>Go! Go! Cory Carson: Chrissy Takes The Wheel</v>
      </c>
      <c r="U2755" s="5" t="str">
        <f>IFERROR(__xludf.DUMMYFUNCTION("""COMPUTED_VALUE"""),"Kundan Shah")</f>
        <v>Kundan Shah</v>
      </c>
      <c r="V2755" s="5" t="s">
        <v>15415</v>
      </c>
      <c r="W2755" s="5" t="str">
        <f t="shared" si="3"/>
        <v>Maya Zinshtein</v>
      </c>
      <c r="X2755" s="5">
        <f t="shared" si="4"/>
        <v>1</v>
      </c>
      <c r="Y2755" s="5" t="str">
        <f>IFERROR(__xludf.DUMMYFUNCTION("REGEXEXTRACT(J2755, ""^\d+"")"),"85")</f>
        <v>85</v>
      </c>
      <c r="Z2755" s="5" t="str">
        <f>IFERROR(__xludf.DUMMYFUNCTION("REGEXEXTRACT(J2755, ""[A-Za-z ]+$"")")," min")</f>
        <v> min</v>
      </c>
      <c r="AA2755" s="5" t="str">
        <f>IFERROR(__xludf.DUMMYFUNCTION("IF(REGEXMATCH(Z2755, ""Season""), ""TV Show"", ""Movie"")"),"Movie")</f>
        <v>Movie</v>
      </c>
    </row>
    <row r="2756">
      <c r="A2756" s="1" t="s">
        <v>15416</v>
      </c>
      <c r="B2756" s="1" t="s">
        <v>27</v>
      </c>
      <c r="C2756" s="1" t="s">
        <v>15417</v>
      </c>
      <c r="D2756" s="1" t="s">
        <v>5965</v>
      </c>
      <c r="E2756" s="1" t="s">
        <v>15418</v>
      </c>
      <c r="F2756" s="1" t="s">
        <v>30</v>
      </c>
      <c r="G2756" s="1" t="s">
        <v>15397</v>
      </c>
      <c r="H2756" s="1">
        <v>2016.0</v>
      </c>
      <c r="I2756" s="1" t="s">
        <v>78</v>
      </c>
      <c r="J2756" s="1" t="s">
        <v>2859</v>
      </c>
      <c r="K2756" s="1" t="s">
        <v>8533</v>
      </c>
      <c r="L2756" s="1" t="s">
        <v>15419</v>
      </c>
      <c r="M2756" s="2" t="s">
        <v>12</v>
      </c>
      <c r="N2756" s="4">
        <f t="shared" si="1"/>
        <v>43921</v>
      </c>
      <c r="O2756" s="5" t="str">
        <f>IFERROR(__xludf.DUMMYFUNCTION("IF(REGEXMATCH(TRIM(I2756), ""^\d+\s*min""), ""Unclassified"", IF(I2756 = """", ""NR"", I2756))"),"PG")</f>
        <v>PG</v>
      </c>
      <c r="R2756" s="5" t="str">
        <f t="shared" si="2"/>
        <v>Greater</v>
      </c>
      <c r="S2756" s="5" t="str">
        <f>IFERROR(__xludf.DUMMYFUNCTION("""COMPUTED_VALUE"""),"Go! Go! Cory Carson: The Chrissy")</f>
        <v>Go! Go! Cory Carson: The Chrissy</v>
      </c>
      <c r="U2756" s="5" t="str">
        <f>IFERROR(__xludf.DUMMYFUNCTION("""COMPUTED_VALUE"""),"So Yong Kim")</f>
        <v>So Yong Kim</v>
      </c>
      <c r="V2756" s="5" t="s">
        <v>2902</v>
      </c>
      <c r="W2756" s="5" t="str">
        <f t="shared" si="3"/>
        <v>Mayye Zayed</v>
      </c>
      <c r="X2756" s="5">
        <f t="shared" si="4"/>
        <v>1</v>
      </c>
      <c r="Y2756" s="5" t="str">
        <f>IFERROR(__xludf.DUMMYFUNCTION("REGEXEXTRACT(J2756, ""^\d+"")"),"131")</f>
        <v>131</v>
      </c>
      <c r="Z2756" s="5" t="str">
        <f>IFERROR(__xludf.DUMMYFUNCTION("REGEXEXTRACT(J2756, ""[A-Za-z ]+$"")")," min")</f>
        <v> min</v>
      </c>
      <c r="AA2756" s="5" t="str">
        <f>IFERROR(__xludf.DUMMYFUNCTION("IF(REGEXMATCH(Z2756, ""Season""), ""TV Show"", ""Movie"")"),"Movie")</f>
        <v>Movie</v>
      </c>
    </row>
    <row r="2757">
      <c r="A2757" s="1" t="s">
        <v>15420</v>
      </c>
      <c r="B2757" s="1" t="s">
        <v>27</v>
      </c>
      <c r="C2757" s="1" t="s">
        <v>15421</v>
      </c>
      <c r="D2757" s="1" t="s">
        <v>15422</v>
      </c>
      <c r="E2757" s="1" t="s">
        <v>15423</v>
      </c>
      <c r="F2757" s="1" t="s">
        <v>1106</v>
      </c>
      <c r="G2757" s="1" t="s">
        <v>15397</v>
      </c>
      <c r="H2757" s="1">
        <v>2017.0</v>
      </c>
      <c r="I2757" s="1" t="s">
        <v>42</v>
      </c>
      <c r="J2757" s="1" t="s">
        <v>1091</v>
      </c>
      <c r="K2757" s="1" t="s">
        <v>9047</v>
      </c>
      <c r="L2757" s="1" t="s">
        <v>15424</v>
      </c>
      <c r="M2757" s="2" t="s">
        <v>12</v>
      </c>
      <c r="N2757" s="4">
        <f t="shared" si="1"/>
        <v>43921</v>
      </c>
      <c r="O2757" s="5" t="str">
        <f>IFERROR(__xludf.DUMMYFUNCTION("IF(REGEXMATCH(TRIM(I2757), ""^\d+\s*min""), ""Unclassified"", IF(I2757 = """", ""NR"", I2757))"),"TV-MA")</f>
        <v>TV-MA</v>
      </c>
      <c r="R2757" s="5" t="str">
        <f t="shared" si="2"/>
        <v>Indian Horse</v>
      </c>
      <c r="S2757" s="5" t="str">
        <f>IFERROR(__xludf.DUMMYFUNCTION("""COMPUTED_VALUE"""),"Go! Live Your Way")</f>
        <v>Go! Live Your Way</v>
      </c>
      <c r="U2757" s="5" t="str">
        <f>IFERROR(__xludf.DUMMYFUNCTION("""COMPUTED_VALUE"""),"Alina Teodorescu")</f>
        <v>Alina Teodorescu</v>
      </c>
      <c r="V2757" s="5" t="s">
        <v>15425</v>
      </c>
      <c r="W2757" s="5" t="str">
        <f t="shared" si="3"/>
        <v>Maz Jobrani</v>
      </c>
      <c r="X2757" s="5">
        <f t="shared" si="4"/>
        <v>1</v>
      </c>
      <c r="Y2757" s="5" t="str">
        <f>IFERROR(__xludf.DUMMYFUNCTION("REGEXEXTRACT(J2757, ""^\d+"")"),"101")</f>
        <v>101</v>
      </c>
      <c r="Z2757" s="5" t="str">
        <f>IFERROR(__xludf.DUMMYFUNCTION("REGEXEXTRACT(J2757, ""[A-Za-z ]+$"")")," min")</f>
        <v> min</v>
      </c>
      <c r="AA2757" s="5" t="str">
        <f>IFERROR(__xludf.DUMMYFUNCTION("IF(REGEXMATCH(Z2757, ""Season""), ""TV Show"", ""Movie"")"),"Movie")</f>
        <v>Movie</v>
      </c>
    </row>
    <row r="2758">
      <c r="A2758" s="1" t="s">
        <v>15426</v>
      </c>
      <c r="B2758" s="1" t="s">
        <v>27</v>
      </c>
      <c r="C2758" s="1" t="s">
        <v>15427</v>
      </c>
      <c r="D2758" s="1" t="s">
        <v>15428</v>
      </c>
      <c r="E2758" s="1" t="s">
        <v>15429</v>
      </c>
      <c r="F2758" s="1" t="s">
        <v>63</v>
      </c>
      <c r="G2758" s="1" t="s">
        <v>15397</v>
      </c>
      <c r="H2758" s="1">
        <v>2019.0</v>
      </c>
      <c r="I2758" s="1" t="s">
        <v>42</v>
      </c>
      <c r="J2758" s="1" t="s">
        <v>1256</v>
      </c>
      <c r="K2758" s="1" t="s">
        <v>89</v>
      </c>
      <c r="L2758" s="1" t="s">
        <v>15430</v>
      </c>
      <c r="M2758" s="2" t="s">
        <v>12</v>
      </c>
      <c r="N2758" s="4">
        <f t="shared" si="1"/>
        <v>43921</v>
      </c>
      <c r="O2758" s="5" t="str">
        <f>IFERROR(__xludf.DUMMYFUNCTION("IF(REGEXMATCH(TRIM(I2758), ""^\d+\s*min""), ""Unclassified"", IF(I2758 = """", ""NR"", I2758))"),"TV-MA")</f>
        <v>TV-MA</v>
      </c>
      <c r="R2758" s="5" t="str">
        <f t="shared" si="2"/>
        <v>Paharganj</v>
      </c>
      <c r="S2758" s="5" t="str">
        <f>IFERROR(__xludf.DUMMYFUNCTION("""COMPUTED_VALUE"""),"Go! The Unforgettable Party")</f>
        <v>Go! The Unforgettable Party</v>
      </c>
      <c r="U2758" s="5" t="str">
        <f>IFERROR(__xludf.DUMMYFUNCTION("""COMPUTED_VALUE"""),"Filip Renc")</f>
        <v>Filip Renc</v>
      </c>
      <c r="V2758" s="5" t="s">
        <v>15431</v>
      </c>
      <c r="W2758" s="5" t="str">
        <f t="shared" si="3"/>
        <v>Mcg</v>
      </c>
      <c r="X2758" s="5">
        <f t="shared" si="4"/>
        <v>7</v>
      </c>
      <c r="Y2758" s="5" t="str">
        <f>IFERROR(__xludf.DUMMYFUNCTION("REGEXEXTRACT(J2758, ""^\d+"")"),"107")</f>
        <v>107</v>
      </c>
      <c r="Z2758" s="5" t="str">
        <f>IFERROR(__xludf.DUMMYFUNCTION("REGEXEXTRACT(J2758, ""[A-Za-z ]+$"")")," min")</f>
        <v> min</v>
      </c>
      <c r="AA2758" s="5" t="str">
        <f>IFERROR(__xludf.DUMMYFUNCTION("IF(REGEXMATCH(Z2758, ""Season""), ""TV Show"", ""Movie"")"),"Movie")</f>
        <v>Movie</v>
      </c>
    </row>
    <row r="2759">
      <c r="A2759" s="1" t="s">
        <v>15432</v>
      </c>
      <c r="B2759" s="1" t="s">
        <v>27</v>
      </c>
      <c r="C2759" s="1" t="s">
        <v>15433</v>
      </c>
      <c r="D2759" s="1" t="s">
        <v>15434</v>
      </c>
      <c r="E2759" s="1" t="s">
        <v>15435</v>
      </c>
      <c r="F2759" s="1" t="s">
        <v>30</v>
      </c>
      <c r="G2759" s="1" t="s">
        <v>15397</v>
      </c>
      <c r="H2759" s="1">
        <v>2018.0</v>
      </c>
      <c r="I2759" s="1" t="s">
        <v>97</v>
      </c>
      <c r="J2759" s="1" t="s">
        <v>1608</v>
      </c>
      <c r="K2759" s="1" t="s">
        <v>171</v>
      </c>
      <c r="L2759" s="1" t="s">
        <v>15436</v>
      </c>
      <c r="M2759" s="2" t="s">
        <v>12</v>
      </c>
      <c r="N2759" s="4">
        <f t="shared" si="1"/>
        <v>43921</v>
      </c>
      <c r="O2759" s="5" t="str">
        <f>IFERROR(__xludf.DUMMYFUNCTION("IF(REGEXMATCH(TRIM(I2759), ""^\d+\s*min""), ""Unclassified"", IF(I2759 = """", ""NR"", I2759))"),"TV-14")</f>
        <v>TV-14</v>
      </c>
      <c r="R2759" s="5" t="str">
        <f t="shared" si="2"/>
        <v>Pretty Little Stalker</v>
      </c>
      <c r="S2759" s="5" t="str">
        <f>IFERROR(__xludf.DUMMYFUNCTION("""COMPUTED_VALUE"""),"God Bless The Broken Road")</f>
        <v>God Bless The Broken Road</v>
      </c>
      <c r="U2759" s="5" t="str">
        <f>IFERROR(__xludf.DUMMYFUNCTION("""COMPUTED_VALUE"""),"Dylan Bank, Daniel Dimauro, Morgan Pehme")</f>
        <v>Dylan Bank, Daniel Dimauro, Morgan Pehme</v>
      </c>
      <c r="V2759" s="5" t="s">
        <v>15437</v>
      </c>
      <c r="W2759" s="5" t="str">
        <f t="shared" si="3"/>
        <v>Meenu Gaur, Farjad Nabi</v>
      </c>
      <c r="X2759" s="5">
        <f t="shared" si="4"/>
        <v>1</v>
      </c>
      <c r="Y2759" s="5" t="str">
        <f>IFERROR(__xludf.DUMMYFUNCTION("REGEXEXTRACT(J2759, ""^\d+"")"),"84")</f>
        <v>84</v>
      </c>
      <c r="Z2759" s="5" t="str">
        <f>IFERROR(__xludf.DUMMYFUNCTION("REGEXEXTRACT(J2759, ""[A-Za-z ]+$"")")," min")</f>
        <v> min</v>
      </c>
      <c r="AA2759" s="5" t="str">
        <f>IFERROR(__xludf.DUMMYFUNCTION("IF(REGEXMATCH(Z2759, ""Season""), ""TV Show"", ""Movie"")"),"Movie")</f>
        <v>Movie</v>
      </c>
    </row>
    <row r="2760">
      <c r="A2760" s="1" t="s">
        <v>15438</v>
      </c>
      <c r="B2760" s="1" t="s">
        <v>27</v>
      </c>
      <c r="C2760" s="1" t="s">
        <v>15439</v>
      </c>
      <c r="D2760" s="1" t="s">
        <v>8194</v>
      </c>
      <c r="E2760" s="1" t="s">
        <v>15440</v>
      </c>
      <c r="F2760" s="1" t="s">
        <v>1979</v>
      </c>
      <c r="G2760" s="1" t="s">
        <v>15397</v>
      </c>
      <c r="H2760" s="1">
        <v>2019.0</v>
      </c>
      <c r="I2760" s="1" t="s">
        <v>378</v>
      </c>
      <c r="J2760" s="1" t="s">
        <v>106</v>
      </c>
      <c r="K2760" s="1" t="s">
        <v>645</v>
      </c>
      <c r="L2760" s="1" t="s">
        <v>15441</v>
      </c>
      <c r="M2760" s="2" t="s">
        <v>12</v>
      </c>
      <c r="N2760" s="4">
        <f t="shared" si="1"/>
        <v>43921</v>
      </c>
      <c r="O2760" s="5" t="str">
        <f>IFERROR(__xludf.DUMMYFUNCTION("IF(REGEXMATCH(TRIM(I2760), ""^\d+\s*min""), ""Unclassified"", IF(I2760 = """", ""NR"", I2760))"),"R")</f>
        <v>R</v>
      </c>
      <c r="R2760" s="5" t="str">
        <f t="shared" si="2"/>
        <v>Through My Father'S Eyes: The Ronda Rousey Story</v>
      </c>
      <c r="S2760" s="5" t="str">
        <f>IFERROR(__xludf.DUMMYFUNCTION("""COMPUTED_VALUE"""),"God Calling")</f>
        <v>God Calling</v>
      </c>
      <c r="U2760" s="5" t="str">
        <f>IFERROR(__xludf.DUMMYFUNCTION("""COMPUTED_VALUE"""),"Sean Foley")</f>
        <v>Sean Foley</v>
      </c>
      <c r="V2760" s="5" t="s">
        <v>14105</v>
      </c>
      <c r="W2760" s="5" t="str">
        <f t="shared" si="3"/>
        <v>Megha Ramaswamy</v>
      </c>
      <c r="X2760" s="5">
        <f t="shared" si="4"/>
        <v>1</v>
      </c>
      <c r="Y2760" s="5" t="str">
        <f>IFERROR(__xludf.DUMMYFUNCTION("REGEXEXTRACT(J2760, ""^\d+"")"),"104")</f>
        <v>104</v>
      </c>
      <c r="Z2760" s="5" t="str">
        <f>IFERROR(__xludf.DUMMYFUNCTION("REGEXEXTRACT(J2760, ""[A-Za-z ]+$"")")," min")</f>
        <v> min</v>
      </c>
      <c r="AA2760" s="5" t="str">
        <f>IFERROR(__xludf.DUMMYFUNCTION("IF(REGEXMATCH(Z2760, ""Season""), ""TV Show"", ""Movie"")"),"Movie")</f>
        <v>Movie</v>
      </c>
    </row>
    <row r="2761">
      <c r="A2761" s="1" t="s">
        <v>15442</v>
      </c>
      <c r="B2761" s="1" t="s">
        <v>37</v>
      </c>
      <c r="C2761" s="1" t="s">
        <v>15443</v>
      </c>
      <c r="E2761" s="1" t="s">
        <v>15444</v>
      </c>
      <c r="G2761" s="1" t="s">
        <v>15397</v>
      </c>
      <c r="H2761" s="1">
        <v>2019.0</v>
      </c>
      <c r="I2761" s="1" t="s">
        <v>206</v>
      </c>
      <c r="J2761" s="1" t="s">
        <v>51</v>
      </c>
      <c r="K2761" s="1" t="s">
        <v>290</v>
      </c>
      <c r="L2761" s="1" t="s">
        <v>15445</v>
      </c>
      <c r="M2761" s="2" t="s">
        <v>12</v>
      </c>
      <c r="N2761" s="4">
        <f t="shared" si="1"/>
        <v>43921</v>
      </c>
      <c r="O2761" s="5" t="str">
        <f>IFERROR(__xludf.DUMMYFUNCTION("IF(REGEXMATCH(TRIM(I2761), ""^\d+\s*min""), ""Unclassified"", IF(I2761 = """", ""NR"", I2761))"),"TV-Y")</f>
        <v>TV-Y</v>
      </c>
      <c r="R2761" s="5" t="str">
        <f t="shared" si="2"/>
        <v>Tree House Tales</v>
      </c>
      <c r="S2761" s="5" t="str">
        <f>IFERROR(__xludf.DUMMYFUNCTION("""COMPUTED_VALUE"""),"God Eater")</f>
        <v>God Eater</v>
      </c>
      <c r="U2761" s="5" t="str">
        <f>IFERROR(__xludf.DUMMYFUNCTION("""COMPUTED_VALUE"""),"Pierre Coré")</f>
        <v>Pierre Coré</v>
      </c>
      <c r="V2761" s="5" t="s">
        <v>15446</v>
      </c>
      <c r="W2761" s="5" t="str">
        <f t="shared" si="3"/>
        <v>Meghan O'Hara</v>
      </c>
      <c r="X2761" s="5">
        <f t="shared" si="4"/>
        <v>1</v>
      </c>
      <c r="Y2761" s="5" t="str">
        <f>IFERROR(__xludf.DUMMYFUNCTION("REGEXEXTRACT(J2761, ""^\d+"")"),"1")</f>
        <v>1</v>
      </c>
      <c r="Z2761" s="5" t="str">
        <f>IFERROR(__xludf.DUMMYFUNCTION("REGEXEXTRACT(J2761, ""[A-Za-z ]+$"")")," Season")</f>
        <v> Season</v>
      </c>
      <c r="AA2761" s="5" t="str">
        <f>IFERROR(__xludf.DUMMYFUNCTION("IF(REGEXMATCH(Z2761, ""Season""), ""TV Show"", ""Movie"")"),"TV Show")</f>
        <v>TV Show</v>
      </c>
    </row>
    <row r="2762">
      <c r="A2762" s="1" t="s">
        <v>15447</v>
      </c>
      <c r="B2762" s="1" t="s">
        <v>27</v>
      </c>
      <c r="C2762" s="1" t="s">
        <v>15448</v>
      </c>
      <c r="D2762" s="1" t="s">
        <v>6399</v>
      </c>
      <c r="E2762" s="1" t="s">
        <v>15449</v>
      </c>
      <c r="F2762" s="1" t="s">
        <v>63</v>
      </c>
      <c r="G2762" s="1" t="s">
        <v>15450</v>
      </c>
      <c r="H2762" s="1">
        <v>2020.0</v>
      </c>
      <c r="I2762" s="1" t="s">
        <v>97</v>
      </c>
      <c r="J2762" s="1" t="s">
        <v>14332</v>
      </c>
      <c r="K2762" s="1" t="s">
        <v>583</v>
      </c>
      <c r="L2762" s="1" t="s">
        <v>15451</v>
      </c>
      <c r="M2762" s="2" t="s">
        <v>12</v>
      </c>
      <c r="N2762" s="4">
        <f t="shared" si="1"/>
        <v>43919</v>
      </c>
      <c r="O2762" s="5" t="str">
        <f>IFERROR(__xludf.DUMMYFUNCTION("IF(REGEXMATCH(TRIM(I2762), ""^\d+\s*min""), ""Unclassified"", IF(I2762 = """", ""NR"", I2762))"),"TV-14")</f>
        <v>TV-14</v>
      </c>
      <c r="R2762" s="5" t="str">
        <f t="shared" si="2"/>
        <v>Kannum Kannum Kollaiyadithaal</v>
      </c>
      <c r="S2762" s="5" t="str">
        <f>IFERROR(__xludf.DUMMYFUNCTION("""COMPUTED_VALUE"""),"God Knows Where I Am")</f>
        <v>God Knows Where I Am</v>
      </c>
      <c r="U2762" s="5" t="str">
        <f>IFERROR(__xludf.DUMMYFUNCTION("""COMPUTED_VALUE"""),"Liz Plonka")</f>
        <v>Liz Plonka</v>
      </c>
      <c r="V2762" s="5" t="s">
        <v>15452</v>
      </c>
      <c r="W2762" s="5" t="str">
        <f t="shared" si="3"/>
        <v>Mehmet Ada Öztekin</v>
      </c>
      <c r="X2762" s="5">
        <f t="shared" si="4"/>
        <v>1</v>
      </c>
      <c r="Y2762" s="5" t="str">
        <f>IFERROR(__xludf.DUMMYFUNCTION("REGEXEXTRACT(J2762, ""^\d+"")"),"160")</f>
        <v>160</v>
      </c>
      <c r="Z2762" s="5" t="str">
        <f>IFERROR(__xludf.DUMMYFUNCTION("REGEXEXTRACT(J2762, ""[A-Za-z ]+$"")")," min")</f>
        <v> min</v>
      </c>
      <c r="AA2762" s="5" t="str">
        <f>IFERROR(__xludf.DUMMYFUNCTION("IF(REGEXMATCH(Z2762, ""Season""), ""TV Show"", ""Movie"")"),"Movie")</f>
        <v>Movie</v>
      </c>
    </row>
    <row r="2763">
      <c r="A2763" s="1" t="s">
        <v>15453</v>
      </c>
      <c r="B2763" s="1" t="s">
        <v>37</v>
      </c>
      <c r="C2763" s="1" t="s">
        <v>15454</v>
      </c>
      <c r="E2763" s="1" t="s">
        <v>15455</v>
      </c>
      <c r="F2763" s="1" t="s">
        <v>749</v>
      </c>
      <c r="G2763" s="1" t="s">
        <v>15450</v>
      </c>
      <c r="H2763" s="1">
        <v>2020.0</v>
      </c>
      <c r="I2763" s="1" t="s">
        <v>42</v>
      </c>
      <c r="J2763" s="1" t="s">
        <v>51</v>
      </c>
      <c r="K2763" s="1" t="s">
        <v>6338</v>
      </c>
      <c r="L2763" s="1" t="s">
        <v>15456</v>
      </c>
      <c r="M2763" s="2" t="s">
        <v>12</v>
      </c>
      <c r="N2763" s="4">
        <f t="shared" si="1"/>
        <v>43919</v>
      </c>
      <c r="O2763" s="5" t="str">
        <f>IFERROR(__xludf.DUMMYFUNCTION("IF(REGEXMATCH(TRIM(I2763), ""^\d+\s*min""), ""Unclassified"", IF(I2763 = """", ""NR"", I2763))"),"TV-MA")</f>
        <v>TV-MA</v>
      </c>
      <c r="R2763" s="5" t="str">
        <f t="shared" si="2"/>
        <v>Rugal</v>
      </c>
      <c r="S2763" s="5" t="str">
        <f>IFERROR(__xludf.DUMMYFUNCTION("""COMPUTED_VALUE"""),"God Of War")</f>
        <v>God Of War</v>
      </c>
      <c r="U2763" s="5" t="str">
        <f>IFERROR(__xludf.DUMMYFUNCTION("""COMPUTED_VALUE"""),"Jeff Garlin")</f>
        <v>Jeff Garlin</v>
      </c>
      <c r="V2763" s="5" t="s">
        <v>15457</v>
      </c>
      <c r="W2763" s="5" t="str">
        <f t="shared" si="3"/>
        <v>Mel Smith</v>
      </c>
      <c r="X2763" s="5">
        <f t="shared" si="4"/>
        <v>1</v>
      </c>
      <c r="Y2763" s="5" t="str">
        <f>IFERROR(__xludf.DUMMYFUNCTION("REGEXEXTRACT(J2763, ""^\d+"")"),"1")</f>
        <v>1</v>
      </c>
      <c r="Z2763" s="5" t="str">
        <f>IFERROR(__xludf.DUMMYFUNCTION("REGEXEXTRACT(J2763, ""[A-Za-z ]+$"")")," Season")</f>
        <v> Season</v>
      </c>
      <c r="AA2763" s="5" t="str">
        <f>IFERROR(__xludf.DUMMYFUNCTION("IF(REGEXMATCH(Z2763, ""Season""), ""TV Show"", ""Movie"")"),"TV Show")</f>
        <v>TV Show</v>
      </c>
    </row>
    <row r="2764">
      <c r="A2764" s="1" t="s">
        <v>15458</v>
      </c>
      <c r="B2764" s="1" t="s">
        <v>27</v>
      </c>
      <c r="C2764" s="1" t="s">
        <v>15459</v>
      </c>
      <c r="D2764" s="1" t="s">
        <v>4413</v>
      </c>
      <c r="E2764" s="1" t="s">
        <v>12402</v>
      </c>
      <c r="F2764" s="1" t="s">
        <v>30</v>
      </c>
      <c r="G2764" s="1" t="s">
        <v>15460</v>
      </c>
      <c r="H2764" s="1">
        <v>2019.0</v>
      </c>
      <c r="I2764" s="1" t="s">
        <v>378</v>
      </c>
      <c r="J2764" s="1" t="s">
        <v>238</v>
      </c>
      <c r="K2764" s="1" t="s">
        <v>380</v>
      </c>
      <c r="L2764" s="1" t="s">
        <v>15461</v>
      </c>
      <c r="M2764" s="2" t="s">
        <v>12</v>
      </c>
      <c r="N2764" s="4">
        <f t="shared" si="1"/>
        <v>43918</v>
      </c>
      <c r="O2764" s="5" t="str">
        <f>IFERROR(__xludf.DUMMYFUNCTION("IF(REGEXMATCH(TRIM(I2764), ""^\d+\s*min""), ""Unclassified"", IF(I2764 = """", ""NR"", I2764))"),"R")</f>
        <v>R</v>
      </c>
      <c r="R2764" s="5" t="str">
        <f t="shared" si="2"/>
        <v>Rogue Warfare</v>
      </c>
      <c r="S2764" s="5" t="str">
        <f>IFERROR(__xludf.DUMMYFUNCTION("""COMPUTED_VALUE"""),"God'S Not Dead")</f>
        <v>God'S Not Dead</v>
      </c>
      <c r="U2764" s="5" t="str">
        <f>IFERROR(__xludf.DUMMYFUNCTION("""COMPUTED_VALUE"""),"Jan Suter, Raúl Campos")</f>
        <v>Jan Suter, Raúl Campos</v>
      </c>
      <c r="V2764" s="5" t="s">
        <v>15462</v>
      </c>
      <c r="W2764" s="5" t="str">
        <f t="shared" si="3"/>
        <v>Mel Stuart</v>
      </c>
      <c r="X2764" s="5">
        <f t="shared" si="4"/>
        <v>1</v>
      </c>
      <c r="Y2764" s="5" t="str">
        <f>IFERROR(__xludf.DUMMYFUNCTION("REGEXEXTRACT(J2764, ""^\d+"")"),"103")</f>
        <v>103</v>
      </c>
      <c r="Z2764" s="5" t="str">
        <f>IFERROR(__xludf.DUMMYFUNCTION("REGEXEXTRACT(J2764, ""[A-Za-z ]+$"")")," min")</f>
        <v> min</v>
      </c>
      <c r="AA2764" s="5" t="str">
        <f>IFERROR(__xludf.DUMMYFUNCTION("IF(REGEXMATCH(Z2764, ""Season""), ""TV Show"", ""Movie"")"),"Movie")</f>
        <v>Movie</v>
      </c>
    </row>
    <row r="2765">
      <c r="A2765" s="1" t="s">
        <v>15463</v>
      </c>
      <c r="B2765" s="1" t="s">
        <v>27</v>
      </c>
      <c r="C2765" s="1" t="s">
        <v>15464</v>
      </c>
      <c r="D2765" s="1" t="s">
        <v>15465</v>
      </c>
      <c r="E2765" s="1" t="s">
        <v>15466</v>
      </c>
      <c r="F2765" s="1" t="s">
        <v>30</v>
      </c>
      <c r="G2765" s="1" t="s">
        <v>15467</v>
      </c>
      <c r="H2765" s="1">
        <v>2020.0</v>
      </c>
      <c r="I2765" s="1" t="s">
        <v>206</v>
      </c>
      <c r="J2765" s="1" t="s">
        <v>3060</v>
      </c>
      <c r="K2765" s="1" t="s">
        <v>137</v>
      </c>
      <c r="L2765" s="1" t="s">
        <v>15468</v>
      </c>
      <c r="M2765" s="2" t="s">
        <v>12</v>
      </c>
      <c r="N2765" s="4">
        <f t="shared" si="1"/>
        <v>43917</v>
      </c>
      <c r="O2765" s="5" t="str">
        <f>IFERROR(__xludf.DUMMYFUNCTION("IF(REGEXMATCH(TRIM(I2765), ""^\d+\s*min""), ""Unclassified"", IF(I2765 = """", ""NR"", I2765))"),"TV-Y")</f>
        <v>TV-Y</v>
      </c>
      <c r="R2765" s="5" t="str">
        <f t="shared" si="2"/>
        <v>Dragons: Rescue Riders: Hunt For The Golden Dragon</v>
      </c>
      <c r="S2765" s="5" t="str">
        <f>IFERROR(__xludf.DUMMYFUNCTION("""COMPUTED_VALUE"""),"God'S Not Dead: A Light In Darkness")</f>
        <v>God'S Not Dead: A Light In Darkness</v>
      </c>
      <c r="U2765" s="5" t="str">
        <f>IFERROR(__xludf.DUMMYFUNCTION("""COMPUTED_VALUE"""),"Michael Barnett")</f>
        <v>Michael Barnett</v>
      </c>
      <c r="V2765" s="5" t="s">
        <v>8576</v>
      </c>
      <c r="W2765" s="5" t="str">
        <f t="shared" si="3"/>
        <v>Melanie Mayron</v>
      </c>
      <c r="X2765" s="5">
        <f t="shared" si="4"/>
        <v>1</v>
      </c>
      <c r="Y2765" s="5" t="str">
        <f>IFERROR(__xludf.DUMMYFUNCTION("REGEXEXTRACT(J2765, ""^\d+"")"),"46")</f>
        <v>46</v>
      </c>
      <c r="Z2765" s="5" t="str">
        <f>IFERROR(__xludf.DUMMYFUNCTION("REGEXEXTRACT(J2765, ""[A-Za-z ]+$"")")," min")</f>
        <v> min</v>
      </c>
      <c r="AA2765" s="5" t="str">
        <f>IFERROR(__xludf.DUMMYFUNCTION("IF(REGEXMATCH(Z2765, ""Season""), ""TV Show"", ""Movie"")"),"Movie")</f>
        <v>Movie</v>
      </c>
    </row>
    <row r="2766">
      <c r="A2766" s="1" t="s">
        <v>15469</v>
      </c>
      <c r="B2766" s="1" t="s">
        <v>37</v>
      </c>
      <c r="C2766" s="1" t="s">
        <v>15470</v>
      </c>
      <c r="E2766" s="1" t="s">
        <v>15471</v>
      </c>
      <c r="F2766" s="1" t="s">
        <v>30</v>
      </c>
      <c r="G2766" s="1" t="s">
        <v>15467</v>
      </c>
      <c r="H2766" s="1">
        <v>2019.0</v>
      </c>
      <c r="I2766" s="1" t="s">
        <v>42</v>
      </c>
      <c r="J2766" s="1" t="s">
        <v>43</v>
      </c>
      <c r="K2766" s="1" t="s">
        <v>884</v>
      </c>
      <c r="L2766" s="1" t="s">
        <v>15472</v>
      </c>
      <c r="M2766" s="2" t="s">
        <v>12</v>
      </c>
      <c r="N2766" s="4">
        <f t="shared" si="1"/>
        <v>43917</v>
      </c>
      <c r="O2766" s="5" t="str">
        <f>IFERROR(__xludf.DUMMYFUNCTION("IF(REGEXMATCH(TRIM(I2766), ""^\d+\s*min""), ""Unclassified"", IF(I2766 = """", ""NR"", I2766))"),"TV-MA")</f>
        <v>TV-MA</v>
      </c>
      <c r="R2766" s="5" t="str">
        <f t="shared" si="2"/>
        <v>Happy!</v>
      </c>
      <c r="S2766" s="5" t="str">
        <f>IFERROR(__xludf.DUMMYFUNCTION("""COMPUTED_VALUE"""),"God'S Own Country")</f>
        <v>God'S Own Country</v>
      </c>
      <c r="U2766" s="5" t="str">
        <f>IFERROR(__xludf.DUMMYFUNCTION("""COMPUTED_VALUE"""),"Jessica Yu")</f>
        <v>Jessica Yu</v>
      </c>
      <c r="V2766" s="5" t="s">
        <v>15473</v>
      </c>
      <c r="W2766" s="5" t="str">
        <f t="shared" si="3"/>
        <v>Melinda Janko</v>
      </c>
      <c r="X2766" s="5">
        <f t="shared" si="4"/>
        <v>1</v>
      </c>
      <c r="Y2766" s="5" t="str">
        <f>IFERROR(__xludf.DUMMYFUNCTION("REGEXEXTRACT(J2766, ""^\d+"")"),"2")</f>
        <v>2</v>
      </c>
      <c r="Z2766" s="5" t="str">
        <f>IFERROR(__xludf.DUMMYFUNCTION("REGEXEXTRACT(J2766, ""[A-Za-z ]+$"")")," Seasons")</f>
        <v> Seasons</v>
      </c>
      <c r="AA2766" s="5" t="str">
        <f>IFERROR(__xludf.DUMMYFUNCTION("IF(REGEXMATCH(Z2766, ""Season""), ""TV Show"", ""Movie"")"),"TV Show")</f>
        <v>TV Show</v>
      </c>
    </row>
    <row r="2767">
      <c r="A2767" s="1" t="s">
        <v>15474</v>
      </c>
      <c r="B2767" s="1" t="s">
        <v>37</v>
      </c>
      <c r="C2767" s="1" t="s">
        <v>15475</v>
      </c>
      <c r="E2767" s="1" t="s">
        <v>15476</v>
      </c>
      <c r="F2767" s="1" t="s">
        <v>63</v>
      </c>
      <c r="G2767" s="1" t="s">
        <v>15467</v>
      </c>
      <c r="H2767" s="1">
        <v>2019.0</v>
      </c>
      <c r="I2767" s="1" t="s">
        <v>42</v>
      </c>
      <c r="J2767" s="1" t="s">
        <v>51</v>
      </c>
      <c r="K2767" s="1" t="s">
        <v>15002</v>
      </c>
      <c r="L2767" s="1" t="s">
        <v>15477</v>
      </c>
      <c r="M2767" s="2" t="s">
        <v>12</v>
      </c>
      <c r="N2767" s="4">
        <f t="shared" si="1"/>
        <v>43917</v>
      </c>
      <c r="O2767" s="5" t="str">
        <f>IFERROR(__xludf.DUMMYFUNCTION("IF(REGEXMATCH(TRIM(I2767), ""^\d+\s*min""), ""Unclassified"", IF(I2767 = """", ""NR"", I2767))"),"TV-MA")</f>
        <v>TV-MA</v>
      </c>
      <c r="R2767" s="5" t="str">
        <f t="shared" si="2"/>
        <v>Ladies Up</v>
      </c>
      <c r="S2767" s="5" t="str">
        <f>IFERROR(__xludf.DUMMYFUNCTION("""COMPUTED_VALUE"""),"Godless")</f>
        <v>Godless</v>
      </c>
      <c r="U2767" s="5" t="str">
        <f>IFERROR(__xludf.DUMMYFUNCTION("""COMPUTED_VALUE"""),"K. Rajagopal")</f>
        <v>K. Rajagopal</v>
      </c>
      <c r="V2767" s="5" t="s">
        <v>5857</v>
      </c>
      <c r="W2767" s="5" t="str">
        <f t="shared" si="3"/>
        <v>Meltem Bozoflu</v>
      </c>
      <c r="X2767" s="5">
        <f t="shared" si="4"/>
        <v>2</v>
      </c>
      <c r="Y2767" s="5" t="str">
        <f>IFERROR(__xludf.DUMMYFUNCTION("REGEXEXTRACT(J2767, ""^\d+"")"),"1")</f>
        <v>1</v>
      </c>
      <c r="Z2767" s="5" t="str">
        <f>IFERROR(__xludf.DUMMYFUNCTION("REGEXEXTRACT(J2767, ""[A-Za-z ]+$"")")," Season")</f>
        <v> Season</v>
      </c>
      <c r="AA2767" s="5" t="str">
        <f>IFERROR(__xludf.DUMMYFUNCTION("IF(REGEXMATCH(Z2767, ""Season""), ""TV Show"", ""Movie"")"),"TV Show")</f>
        <v>TV Show</v>
      </c>
    </row>
    <row r="2768">
      <c r="A2768" s="1" t="s">
        <v>15478</v>
      </c>
      <c r="B2768" s="1" t="s">
        <v>27</v>
      </c>
      <c r="C2768" s="1" t="s">
        <v>15479</v>
      </c>
      <c r="D2768" s="1" t="s">
        <v>15480</v>
      </c>
      <c r="E2768" s="1" t="s">
        <v>15481</v>
      </c>
      <c r="F2768" s="1" t="s">
        <v>63</v>
      </c>
      <c r="G2768" s="1" t="s">
        <v>15467</v>
      </c>
      <c r="H2768" s="1">
        <v>2020.0</v>
      </c>
      <c r="I2768" s="1" t="s">
        <v>42</v>
      </c>
      <c r="J2768" s="1" t="s">
        <v>1243</v>
      </c>
      <c r="K2768" s="1" t="s">
        <v>583</v>
      </c>
      <c r="L2768" s="1" t="s">
        <v>15482</v>
      </c>
      <c r="M2768" s="2" t="s">
        <v>12</v>
      </c>
      <c r="N2768" s="4">
        <f t="shared" si="1"/>
        <v>43917</v>
      </c>
      <c r="O2768" s="5" t="str">
        <f>IFERROR(__xludf.DUMMYFUNCTION("IF(REGEXMATCH(TRIM(I2768), ""^\d+\s*min""), ""Unclassified"", IF(I2768 = """", ""NR"", I2768))"),"TV-MA")</f>
        <v>TV-MA</v>
      </c>
      <c r="R2768" s="5" t="str">
        <f t="shared" si="2"/>
        <v>Maska</v>
      </c>
      <c r="S2768" s="5" t="str">
        <f>IFERROR(__xludf.DUMMYFUNCTION("""COMPUTED_VALUE"""),"Godzilla")</f>
        <v>Godzilla</v>
      </c>
      <c r="U2768" s="5" t="str">
        <f>IFERROR(__xludf.DUMMYFUNCTION("""COMPUTED_VALUE"""),"Praveen Nischol")</f>
        <v>Praveen Nischol</v>
      </c>
      <c r="V2768" s="5" t="s">
        <v>15483</v>
      </c>
      <c r="W2768" s="5" t="str">
        <f t="shared" si="3"/>
        <v>Meng Hua Ho</v>
      </c>
      <c r="X2768" s="5">
        <f t="shared" si="4"/>
        <v>1</v>
      </c>
      <c r="Y2768" s="5" t="str">
        <f>IFERROR(__xludf.DUMMYFUNCTION("REGEXEXTRACT(J2768, ""^\d+"")"),"112")</f>
        <v>112</v>
      </c>
      <c r="Z2768" s="5" t="str">
        <f>IFERROR(__xludf.DUMMYFUNCTION("REGEXEXTRACT(J2768, ""[A-Za-z ]+$"")")," min")</f>
        <v> min</v>
      </c>
      <c r="AA2768" s="5" t="str">
        <f>IFERROR(__xludf.DUMMYFUNCTION("IF(REGEXMATCH(Z2768, ""Season""), ""TV Show"", ""Movie"")"),"Movie")</f>
        <v>Movie</v>
      </c>
    </row>
    <row r="2769">
      <c r="A2769" s="1" t="s">
        <v>15484</v>
      </c>
      <c r="B2769" s="1" t="s">
        <v>37</v>
      </c>
      <c r="C2769" s="1" t="s">
        <v>15485</v>
      </c>
      <c r="E2769" s="1" t="s">
        <v>15486</v>
      </c>
      <c r="F2769" s="1" t="s">
        <v>30</v>
      </c>
      <c r="G2769" s="1" t="s">
        <v>15467</v>
      </c>
      <c r="H2769" s="1">
        <v>2020.0</v>
      </c>
      <c r="I2769" s="1" t="s">
        <v>42</v>
      </c>
      <c r="J2769" s="1" t="s">
        <v>276</v>
      </c>
      <c r="K2769" s="1" t="s">
        <v>4173</v>
      </c>
      <c r="L2769" s="1" t="s">
        <v>15487</v>
      </c>
      <c r="M2769" s="2" t="s">
        <v>12</v>
      </c>
      <c r="N2769" s="4">
        <f t="shared" si="1"/>
        <v>43917</v>
      </c>
      <c r="O2769" s="5" t="str">
        <f>IFERROR(__xludf.DUMMYFUNCTION("IF(REGEXMATCH(TRIM(I2769), ""^\d+\s*min""), ""Unclassified"", IF(I2769 = """", ""NR"", I2769))"),"TV-MA")</f>
        <v>TV-MA</v>
      </c>
      <c r="R2769" s="5" t="str">
        <f t="shared" si="2"/>
        <v>Ozark</v>
      </c>
      <c r="S2769" s="5" t="str">
        <f>IFERROR(__xludf.DUMMYFUNCTION("""COMPUTED_VALUE"""),"Godzilla City On The Edge Of Battle")</f>
        <v>Godzilla City On The Edge Of Battle</v>
      </c>
      <c r="U2769" s="5" t="str">
        <f>IFERROR(__xludf.DUMMYFUNCTION("""COMPUTED_VALUE"""),"Lucien Jean-Baptiste")</f>
        <v>Lucien Jean-Baptiste</v>
      </c>
      <c r="V2769" s="5" t="s">
        <v>11411</v>
      </c>
      <c r="W2769" s="5" t="str">
        <f t="shared" si="3"/>
        <v>Merawi Gerima</v>
      </c>
      <c r="X2769" s="5">
        <f t="shared" si="4"/>
        <v>1</v>
      </c>
      <c r="Y2769" s="5" t="str">
        <f>IFERROR(__xludf.DUMMYFUNCTION("REGEXEXTRACT(J2769, ""^\d+"")"),"3")</f>
        <v>3</v>
      </c>
      <c r="Z2769" s="5" t="str">
        <f>IFERROR(__xludf.DUMMYFUNCTION("REGEXEXTRACT(J2769, ""[A-Za-z ]+$"")")," Seasons")</f>
        <v> Seasons</v>
      </c>
      <c r="AA2769" s="5" t="str">
        <f>IFERROR(__xludf.DUMMYFUNCTION("IF(REGEXMATCH(Z2769, ""Season""), ""TV Show"", ""Movie"")"),"TV Show")</f>
        <v>TV Show</v>
      </c>
    </row>
    <row r="2770">
      <c r="A2770" s="1" t="s">
        <v>15488</v>
      </c>
      <c r="B2770" s="1" t="s">
        <v>27</v>
      </c>
      <c r="C2770" s="1" t="s">
        <v>15489</v>
      </c>
      <c r="D2770" s="1" t="s">
        <v>15490</v>
      </c>
      <c r="E2770" s="1" t="s">
        <v>15491</v>
      </c>
      <c r="F2770" s="1" t="s">
        <v>1106</v>
      </c>
      <c r="G2770" s="1" t="s">
        <v>15467</v>
      </c>
      <c r="H2770" s="1">
        <v>2020.0</v>
      </c>
      <c r="I2770" s="1" t="s">
        <v>42</v>
      </c>
      <c r="J2770" s="1" t="s">
        <v>490</v>
      </c>
      <c r="K2770" s="1" t="s">
        <v>1066</v>
      </c>
      <c r="L2770" s="1" t="s">
        <v>15492</v>
      </c>
      <c r="M2770" s="2" t="s">
        <v>12</v>
      </c>
      <c r="N2770" s="4">
        <f t="shared" si="1"/>
        <v>43917</v>
      </c>
      <c r="O2770" s="5" t="str">
        <f>IFERROR(__xludf.DUMMYFUNCTION("IF(REGEXMATCH(TRIM(I2770), ""^\d+\s*min""), ""Unclassified"", IF(I2770 = """", ""NR"", I2770))"),"TV-MA")</f>
        <v>TV-MA</v>
      </c>
      <c r="R2770" s="5" t="str">
        <f t="shared" si="2"/>
        <v>The Decline</v>
      </c>
      <c r="S2770" s="5" t="str">
        <f>IFERROR(__xludf.DUMMYFUNCTION("""COMPUTED_VALUE"""),"Godzilla Singular Point")</f>
        <v>Godzilla Singular Point</v>
      </c>
      <c r="U2770" s="5" t="str">
        <f>IFERROR(__xludf.DUMMYFUNCTION("""COMPUTED_VALUE"""),"Sean Cisterna")</f>
        <v>Sean Cisterna</v>
      </c>
      <c r="V2770" s="5" t="s">
        <v>15493</v>
      </c>
      <c r="W2770" s="5" t="str">
        <f t="shared" si="3"/>
        <v>Mercedes Cordova</v>
      </c>
      <c r="X2770" s="5">
        <f t="shared" si="4"/>
        <v>1</v>
      </c>
      <c r="Y2770" s="5" t="str">
        <f>IFERROR(__xludf.DUMMYFUNCTION("REGEXEXTRACT(J2770, ""^\d+"")"),"83")</f>
        <v>83</v>
      </c>
      <c r="Z2770" s="5" t="str">
        <f>IFERROR(__xludf.DUMMYFUNCTION("REGEXEXTRACT(J2770, ""[A-Za-z ]+$"")")," min")</f>
        <v> min</v>
      </c>
      <c r="AA2770" s="5" t="str">
        <f>IFERROR(__xludf.DUMMYFUNCTION("IF(REGEXMATCH(Z2770, ""Season""), ""TV Show"", ""Movie"")"),"Movie")</f>
        <v>Movie</v>
      </c>
    </row>
    <row r="2771">
      <c r="A2771" s="1" t="s">
        <v>15494</v>
      </c>
      <c r="B2771" s="1" t="s">
        <v>27</v>
      </c>
      <c r="C2771" s="1" t="s">
        <v>15495</v>
      </c>
      <c r="D2771" s="1" t="s">
        <v>6993</v>
      </c>
      <c r="E2771" s="1" t="s">
        <v>15496</v>
      </c>
      <c r="F2771" s="1" t="s">
        <v>1106</v>
      </c>
      <c r="G2771" s="1" t="s">
        <v>15467</v>
      </c>
      <c r="H2771" s="1">
        <v>2019.0</v>
      </c>
      <c r="I2771" s="1" t="s">
        <v>97</v>
      </c>
      <c r="J2771" s="1" t="s">
        <v>4699</v>
      </c>
      <c r="K2771" s="1" t="s">
        <v>156</v>
      </c>
      <c r="L2771" s="1" t="s">
        <v>15497</v>
      </c>
      <c r="M2771" s="2" t="s">
        <v>12</v>
      </c>
      <c r="N2771" s="4">
        <f t="shared" si="1"/>
        <v>43917</v>
      </c>
      <c r="O2771" s="5" t="str">
        <f>IFERROR(__xludf.DUMMYFUNCTION("IF(REGEXMATCH(TRIM(I2771), ""^\d+\s*min""), ""Unclassified"", IF(I2771 = """", ""NR"", I2771))"),"TV-14")</f>
        <v>TV-14</v>
      </c>
      <c r="R2771" s="5" t="str">
        <f t="shared" si="2"/>
        <v>There'S Something In The Water</v>
      </c>
      <c r="S2771" s="5" t="str">
        <f>IFERROR(__xludf.DUMMYFUNCTION("""COMPUTED_VALUE"""),"Godzilla The Planet Eater")</f>
        <v>Godzilla The Planet Eater</v>
      </c>
      <c r="U2771" s="5" t="str">
        <f>IFERROR(__xludf.DUMMYFUNCTION("""COMPUTED_VALUE"""),"Sudhanshu Saria")</f>
        <v>Sudhanshu Saria</v>
      </c>
      <c r="V2771" s="5" t="s">
        <v>15498</v>
      </c>
      <c r="W2771" s="5" t="str">
        <f t="shared" si="3"/>
        <v>Mez Tharatorn</v>
      </c>
      <c r="X2771" s="5">
        <f t="shared" si="4"/>
        <v>2</v>
      </c>
      <c r="Y2771" s="5" t="str">
        <f>IFERROR(__xludf.DUMMYFUNCTION("REGEXEXTRACT(J2771, ""^\d+"")"),"72")</f>
        <v>72</v>
      </c>
      <c r="Z2771" s="5" t="str">
        <f>IFERROR(__xludf.DUMMYFUNCTION("REGEXEXTRACT(J2771, ""[A-Za-z ]+$"")")," min")</f>
        <v> min</v>
      </c>
      <c r="AA2771" s="5" t="str">
        <f>IFERROR(__xludf.DUMMYFUNCTION("IF(REGEXMATCH(Z2771, ""Season""), ""TV Show"", ""Movie"")"),"Movie")</f>
        <v>Movie</v>
      </c>
    </row>
    <row r="2772">
      <c r="A2772" s="1" t="s">
        <v>15499</v>
      </c>
      <c r="B2772" s="1" t="s">
        <v>27</v>
      </c>
      <c r="C2772" s="1" t="s">
        <v>15500</v>
      </c>
      <c r="D2772" s="1" t="s">
        <v>15501</v>
      </c>
      <c r="E2772" s="1" t="s">
        <v>15502</v>
      </c>
      <c r="F2772" s="1" t="s">
        <v>1106</v>
      </c>
      <c r="G2772" s="1" t="s">
        <v>15467</v>
      </c>
      <c r="H2772" s="1">
        <v>2020.0</v>
      </c>
      <c r="I2772" s="1" t="s">
        <v>206</v>
      </c>
      <c r="J2772" s="1" t="s">
        <v>7058</v>
      </c>
      <c r="K2772" s="1" t="s">
        <v>80</v>
      </c>
      <c r="L2772" s="1" t="s">
        <v>15503</v>
      </c>
      <c r="M2772" s="2" t="s">
        <v>12</v>
      </c>
      <c r="N2772" s="4">
        <f t="shared" si="1"/>
        <v>43917</v>
      </c>
      <c r="O2772" s="5" t="str">
        <f>IFERROR(__xludf.DUMMYFUNCTION("IF(REGEXMATCH(TRIM(I2772), ""^\d+\s*min""), ""Unclassified"", IF(I2772 = """", ""NR"", I2772))"),"TV-Y")</f>
        <v>TV-Y</v>
      </c>
      <c r="R2772" s="5" t="str">
        <f t="shared" si="2"/>
        <v>True: Wuzzle Wegg Day</v>
      </c>
      <c r="S2772" s="5" t="str">
        <f>IFERROR(__xludf.DUMMYFUNCTION("""COMPUTED_VALUE"""),"Goedam")</f>
        <v>Goedam</v>
      </c>
      <c r="U2772" s="5" t="str">
        <f>IFERROR(__xludf.DUMMYFUNCTION("""COMPUTED_VALUE"""),"Dilip Mehta")</f>
        <v>Dilip Mehta</v>
      </c>
      <c r="V2772" s="5" t="s">
        <v>12433</v>
      </c>
      <c r="W2772" s="5" t="str">
        <f t="shared" si="3"/>
        <v>Mfanelo Ngoma</v>
      </c>
      <c r="X2772" s="5">
        <f t="shared" si="4"/>
        <v>1</v>
      </c>
      <c r="Y2772" s="5" t="str">
        <f>IFERROR(__xludf.DUMMYFUNCTION("REGEXEXTRACT(J2772, ""^\d+"")"),"24")</f>
        <v>24</v>
      </c>
      <c r="Z2772" s="5" t="str">
        <f>IFERROR(__xludf.DUMMYFUNCTION("REGEXEXTRACT(J2772, ""[A-Za-z ]+$"")")," min")</f>
        <v> min</v>
      </c>
      <c r="AA2772" s="5" t="str">
        <f>IFERROR(__xludf.DUMMYFUNCTION("IF(REGEXMATCH(Z2772, ""Season""), ""TV Show"", ""Movie"")"),"Movie")</f>
        <v>Movie</v>
      </c>
    </row>
    <row r="2773">
      <c r="A2773" s="1" t="s">
        <v>15504</v>
      </c>
      <c r="B2773" s="1" t="s">
        <v>27</v>
      </c>
      <c r="C2773" s="1" t="s">
        <v>15505</v>
      </c>
      <c r="D2773" s="1" t="s">
        <v>15506</v>
      </c>
      <c r="E2773" s="1" t="s">
        <v>15507</v>
      </c>
      <c r="F2773" s="1" t="s">
        <v>30</v>
      </c>
      <c r="G2773" s="1" t="s">
        <v>15467</v>
      </c>
      <c r="H2773" s="1">
        <v>2020.0</v>
      </c>
      <c r="I2773" s="1" t="s">
        <v>42</v>
      </c>
      <c r="J2773" s="1" t="s">
        <v>106</v>
      </c>
      <c r="K2773" s="1" t="s">
        <v>1320</v>
      </c>
      <c r="L2773" s="1" t="s">
        <v>15508</v>
      </c>
      <c r="M2773" s="2" t="s">
        <v>12</v>
      </c>
      <c r="N2773" s="4">
        <f t="shared" si="1"/>
        <v>43917</v>
      </c>
      <c r="O2773" s="5" t="str">
        <f>IFERROR(__xludf.DUMMYFUNCTION("IF(REGEXMATCH(TRIM(I2773), ""^\d+\s*min""), ""Unclassified"", IF(I2773 = """", ""NR"", I2773))"),"TV-MA")</f>
        <v>TV-MA</v>
      </c>
      <c r="R2773" s="5" t="str">
        <f t="shared" si="2"/>
        <v>Uncorked</v>
      </c>
      <c r="S2773" s="5" t="str">
        <f>IFERROR(__xludf.DUMMYFUNCTION("""COMPUTED_VALUE"""),"Going For Gold")</f>
        <v>Going For Gold</v>
      </c>
      <c r="U2773" s="5" t="str">
        <f>IFERROR(__xludf.DUMMYFUNCTION("""COMPUTED_VALUE"""),"Isaki Lacuesta, Isa Campo")</f>
        <v>Isaki Lacuesta, Isa Campo</v>
      </c>
      <c r="V2773" s="5" t="s">
        <v>6763</v>
      </c>
      <c r="W2773" s="5" t="str">
        <f t="shared" si="3"/>
        <v>Mic Rodgers</v>
      </c>
      <c r="X2773" s="5">
        <f t="shared" si="4"/>
        <v>1</v>
      </c>
      <c r="Y2773" s="5" t="str">
        <f>IFERROR(__xludf.DUMMYFUNCTION("REGEXEXTRACT(J2773, ""^\d+"")"),"104")</f>
        <v>104</v>
      </c>
      <c r="Z2773" s="5" t="str">
        <f>IFERROR(__xludf.DUMMYFUNCTION("REGEXEXTRACT(J2773, ""[A-Za-z ]+$"")")," min")</f>
        <v> min</v>
      </c>
      <c r="AA2773" s="5" t="str">
        <f>IFERROR(__xludf.DUMMYFUNCTION("IF(REGEXMATCH(Z2773, ""Season""), ""TV Show"", ""Movie"")"),"Movie")</f>
        <v>Movie</v>
      </c>
    </row>
    <row r="2774">
      <c r="A2774" s="1" t="s">
        <v>15509</v>
      </c>
      <c r="B2774" s="1" t="s">
        <v>37</v>
      </c>
      <c r="C2774" s="1" t="s">
        <v>15510</v>
      </c>
      <c r="E2774" s="1" t="s">
        <v>15511</v>
      </c>
      <c r="G2774" s="1" t="s">
        <v>15467</v>
      </c>
      <c r="H2774" s="1">
        <v>2020.0</v>
      </c>
      <c r="I2774" s="1" t="s">
        <v>42</v>
      </c>
      <c r="J2774" s="1" t="s">
        <v>51</v>
      </c>
      <c r="K2774" s="1" t="s">
        <v>13255</v>
      </c>
      <c r="L2774" s="1" t="s">
        <v>15512</v>
      </c>
      <c r="M2774" s="2" t="s">
        <v>12</v>
      </c>
      <c r="N2774" s="4">
        <f t="shared" si="1"/>
        <v>43917</v>
      </c>
      <c r="O2774" s="5" t="str">
        <f>IFERROR(__xludf.DUMMYFUNCTION("IF(REGEXMATCH(TRIM(I2774), ""^\d+\s*min""), ""Unclassified"", IF(I2774 = """", ""NR"", I2774))"),"TV-MA")</f>
        <v>TV-MA</v>
      </c>
      <c r="R2774" s="5" t="str">
        <f t="shared" si="2"/>
        <v>Wassup Man Go!</v>
      </c>
      <c r="S2774" s="5" t="str">
        <f>IFERROR(__xludf.DUMMYFUNCTION("""COMPUTED_VALUE"""),"Gol Maal")</f>
        <v>Gol Maal</v>
      </c>
      <c r="U2774" s="5" t="str">
        <f>IFERROR(__xludf.DUMMYFUNCTION("""COMPUTED_VALUE"""),"Kitty Green")</f>
        <v>Kitty Green</v>
      </c>
      <c r="V2774" s="5" t="s">
        <v>15513</v>
      </c>
      <c r="W2774" s="5" t="str">
        <f t="shared" si="3"/>
        <v>Micah Bickham, Galley Molina</v>
      </c>
      <c r="X2774" s="5">
        <f t="shared" si="4"/>
        <v>1</v>
      </c>
      <c r="Y2774" s="5" t="str">
        <f>IFERROR(__xludf.DUMMYFUNCTION("REGEXEXTRACT(J2774, ""^\d+"")"),"1")</f>
        <v>1</v>
      </c>
      <c r="Z2774" s="5" t="str">
        <f>IFERROR(__xludf.DUMMYFUNCTION("REGEXEXTRACT(J2774, ""[A-Za-z ]+$"")")," Season")</f>
        <v> Season</v>
      </c>
      <c r="AA2774" s="5" t="str">
        <f>IFERROR(__xludf.DUMMYFUNCTION("IF(REGEXMATCH(Z2774, ""Season""), ""TV Show"", ""Movie"")"),"TV Show")</f>
        <v>TV Show</v>
      </c>
    </row>
    <row r="2775">
      <c r="A2775" s="1" t="s">
        <v>15514</v>
      </c>
      <c r="B2775" s="1" t="s">
        <v>27</v>
      </c>
      <c r="C2775" s="1" t="s">
        <v>15515</v>
      </c>
      <c r="D2775" s="1" t="s">
        <v>15516</v>
      </c>
      <c r="E2775" s="1" t="s">
        <v>15517</v>
      </c>
      <c r="F2775" s="1" t="s">
        <v>15518</v>
      </c>
      <c r="G2775" s="1" t="s">
        <v>15467</v>
      </c>
      <c r="H2775" s="1">
        <v>2019.0</v>
      </c>
      <c r="I2775" s="1" t="s">
        <v>206</v>
      </c>
      <c r="J2775" s="1" t="s">
        <v>4699</v>
      </c>
      <c r="K2775" s="1" t="s">
        <v>80</v>
      </c>
      <c r="L2775" s="1" t="s">
        <v>15519</v>
      </c>
      <c r="M2775" s="2" t="s">
        <v>12</v>
      </c>
      <c r="N2775" s="4">
        <f t="shared" si="1"/>
        <v>43917</v>
      </c>
      <c r="O2775" s="5" t="str">
        <f>IFERROR(__xludf.DUMMYFUNCTION("IF(REGEXMATCH(TRIM(I2775), ""^\d+\s*min""), ""Unclassified"", IF(I2775 = """", ""NR"", I2775))"),"TV-Y")</f>
        <v>TV-Y</v>
      </c>
      <c r="R2775" s="5" t="str">
        <f t="shared" si="2"/>
        <v>Willy And The Guardians Of The Lake: Tales From The Lakeside Winter Adventure</v>
      </c>
      <c r="S2775" s="5" t="str">
        <f>IFERROR(__xludf.DUMMYFUNCTION("""COMPUTED_VALUE"""),"Gold Statue")</f>
        <v>Gold Statue</v>
      </c>
      <c r="U2775" s="5" t="str">
        <f>IFERROR(__xludf.DUMMYFUNCTION("""COMPUTED_VALUE"""),"Evan Katz")</f>
        <v>Evan Katz</v>
      </c>
      <c r="V2775" s="5" t="s">
        <v>15520</v>
      </c>
      <c r="W2775" s="5" t="str">
        <f t="shared" si="3"/>
        <v>Michael A. Nickles</v>
      </c>
      <c r="X2775" s="5">
        <f t="shared" si="4"/>
        <v>1</v>
      </c>
      <c r="Y2775" s="5" t="str">
        <f>IFERROR(__xludf.DUMMYFUNCTION("REGEXEXTRACT(J2775, ""^\d+"")"),"72")</f>
        <v>72</v>
      </c>
      <c r="Z2775" s="5" t="str">
        <f>IFERROR(__xludf.DUMMYFUNCTION("REGEXEXTRACT(J2775, ""[A-Za-z ]+$"")")," min")</f>
        <v> min</v>
      </c>
      <c r="AA2775" s="5" t="str">
        <f>IFERROR(__xludf.DUMMYFUNCTION("IF(REGEXMATCH(Z2775, ""Season""), ""TV Show"", ""Movie"")"),"Movie")</f>
        <v>Movie</v>
      </c>
    </row>
    <row r="2776">
      <c r="A2776" s="1" t="s">
        <v>15521</v>
      </c>
      <c r="B2776" s="1" t="s">
        <v>37</v>
      </c>
      <c r="C2776" s="1" t="s">
        <v>15522</v>
      </c>
      <c r="E2776" s="1" t="s">
        <v>15523</v>
      </c>
      <c r="G2776" s="1" t="s">
        <v>15524</v>
      </c>
      <c r="H2776" s="1">
        <v>2020.0</v>
      </c>
      <c r="I2776" s="1" t="s">
        <v>42</v>
      </c>
      <c r="J2776" s="1" t="s">
        <v>43</v>
      </c>
      <c r="K2776" s="1" t="s">
        <v>567</v>
      </c>
      <c r="L2776" s="1" t="s">
        <v>15525</v>
      </c>
      <c r="M2776" s="2" t="s">
        <v>12</v>
      </c>
      <c r="N2776" s="4">
        <f t="shared" si="1"/>
        <v>43916</v>
      </c>
      <c r="O2776" s="5" t="str">
        <f>IFERROR(__xludf.DUMMYFUNCTION("IF(REGEXMATCH(TRIM(I2776), ""^\d+\s*min""), ""Unclassified"", IF(I2776 = """", ""NR"", I2776))"),"TV-MA")</f>
        <v>TV-MA</v>
      </c>
      <c r="R2776" s="5" t="str">
        <f t="shared" si="2"/>
        <v>7Seeds</v>
      </c>
      <c r="S2776" s="5" t="str">
        <f>IFERROR(__xludf.DUMMYFUNCTION("""COMPUTED_VALUE"""),"Golden Time")</f>
        <v>Golden Time</v>
      </c>
      <c r="U2776" s="5" t="str">
        <f>IFERROR(__xludf.DUMMYFUNCTION("""COMPUTED_VALUE"""),"Gauri Shinde")</f>
        <v>Gauri Shinde</v>
      </c>
      <c r="V2776" s="5" t="s">
        <v>15526</v>
      </c>
      <c r="W2776" s="5" t="str">
        <f t="shared" si="3"/>
        <v>Michael Anderson</v>
      </c>
      <c r="X2776" s="5">
        <f t="shared" si="4"/>
        <v>1</v>
      </c>
      <c r="Y2776" s="5" t="str">
        <f>IFERROR(__xludf.DUMMYFUNCTION("REGEXEXTRACT(J2776, ""^\d+"")"),"2")</f>
        <v>2</v>
      </c>
      <c r="Z2776" s="5" t="str">
        <f>IFERROR(__xludf.DUMMYFUNCTION("REGEXEXTRACT(J2776, ""[A-Za-z ]+$"")")," Seasons")</f>
        <v> Seasons</v>
      </c>
      <c r="AA2776" s="5" t="str">
        <f>IFERROR(__xludf.DUMMYFUNCTION("IF(REGEXMATCH(Z2776, ""Season""), ""TV Show"", ""Movie"")"),"TV Show")</f>
        <v>TV Show</v>
      </c>
    </row>
    <row r="2777">
      <c r="A2777" s="1" t="s">
        <v>15527</v>
      </c>
      <c r="B2777" s="1" t="s">
        <v>27</v>
      </c>
      <c r="C2777" s="1" t="s">
        <v>15528</v>
      </c>
      <c r="D2777" s="1" t="s">
        <v>15529</v>
      </c>
      <c r="E2777" s="1" t="s">
        <v>15530</v>
      </c>
      <c r="F2777" s="1" t="s">
        <v>2796</v>
      </c>
      <c r="G2777" s="1" t="s">
        <v>15524</v>
      </c>
      <c r="H2777" s="1">
        <v>2019.0</v>
      </c>
      <c r="I2777" s="1" t="s">
        <v>42</v>
      </c>
      <c r="J2777" s="1" t="s">
        <v>519</v>
      </c>
      <c r="K2777" s="1" t="s">
        <v>679</v>
      </c>
      <c r="L2777" s="1" t="s">
        <v>15531</v>
      </c>
      <c r="M2777" s="2" t="s">
        <v>12</v>
      </c>
      <c r="N2777" s="4">
        <f t="shared" si="1"/>
        <v>43916</v>
      </c>
      <c r="O2777" s="5" t="str">
        <f>IFERROR(__xludf.DUMMYFUNCTION("IF(REGEXMATCH(TRIM(I2777), ""^\d+\s*min""), ""Unclassified"", IF(I2777 = """", ""NR"", I2777))"),"TV-MA")</f>
        <v>TV-MA</v>
      </c>
      <c r="R2777" s="5" t="str">
        <f t="shared" si="2"/>
        <v>Happy Old Year</v>
      </c>
      <c r="S2777" s="5" t="str">
        <f>IFERROR(__xludf.DUMMYFUNCTION("""COMPUTED_VALUE"""),"Goldeneye")</f>
        <v>Goldeneye</v>
      </c>
      <c r="U2777" s="5" t="str">
        <f>IFERROR(__xludf.DUMMYFUNCTION("""COMPUTED_VALUE"""),"Oliver Schmitz")</f>
        <v>Oliver Schmitz</v>
      </c>
      <c r="V2777" s="5" t="s">
        <v>15532</v>
      </c>
      <c r="W2777" s="5" t="str">
        <f t="shared" si="3"/>
        <v>Michael Apted</v>
      </c>
      <c r="X2777" s="5">
        <f t="shared" si="4"/>
        <v>1</v>
      </c>
      <c r="Y2777" s="5" t="str">
        <f>IFERROR(__xludf.DUMMYFUNCTION("REGEXEXTRACT(J2777, ""^\d+"")"),"113")</f>
        <v>113</v>
      </c>
      <c r="Z2777" s="5" t="str">
        <f>IFERROR(__xludf.DUMMYFUNCTION("REGEXEXTRACT(J2777, ""[A-Za-z ]+$"")")," min")</f>
        <v> min</v>
      </c>
      <c r="AA2777" s="5" t="str">
        <f>IFERROR(__xludf.DUMMYFUNCTION("IF(REGEXMATCH(Z2777, ""Season""), ""TV Show"", ""Movie"")"),"Movie")</f>
        <v>Movie</v>
      </c>
    </row>
    <row r="2778">
      <c r="A2778" s="1" t="s">
        <v>15533</v>
      </c>
      <c r="B2778" s="1" t="s">
        <v>27</v>
      </c>
      <c r="C2778" s="1" t="s">
        <v>15534</v>
      </c>
      <c r="D2778" s="1" t="s">
        <v>14977</v>
      </c>
      <c r="F2778" s="1" t="s">
        <v>2492</v>
      </c>
      <c r="G2778" s="1" t="s">
        <v>15524</v>
      </c>
      <c r="H2778" s="1">
        <v>2020.0</v>
      </c>
      <c r="I2778" s="1" t="s">
        <v>506</v>
      </c>
      <c r="J2778" s="1" t="s">
        <v>6851</v>
      </c>
      <c r="K2778" s="1" t="s">
        <v>156</v>
      </c>
      <c r="L2778" s="1" t="s">
        <v>15535</v>
      </c>
      <c r="M2778" s="2" t="s">
        <v>12</v>
      </c>
      <c r="N2778" s="4">
        <f t="shared" si="1"/>
        <v>43916</v>
      </c>
      <c r="O2778" s="5" t="str">
        <f>IFERROR(__xludf.DUMMYFUNCTION("IF(REGEXMATCH(TRIM(I2778), ""^\d+\s*min""), ""Unclassified"", IF(I2778 = """", ""NR"", I2778))"),"TV-G")</f>
        <v>TV-G</v>
      </c>
      <c r="R2778" s="5" t="str">
        <f t="shared" si="2"/>
        <v>Making Unorthodox</v>
      </c>
      <c r="S2778" s="5" t="str">
        <f>IFERROR(__xludf.DUMMYFUNCTION("""COMPUTED_VALUE"""),"Goldie")</f>
        <v>Goldie</v>
      </c>
      <c r="U2778" s="5" t="str">
        <f>IFERROR(__xludf.DUMMYFUNCTION("""COMPUTED_VALUE"""),"Felix Herngren, Måns Herngren")</f>
        <v>Felix Herngren, Måns Herngren</v>
      </c>
      <c r="V2778" s="5" t="s">
        <v>15536</v>
      </c>
      <c r="W2778" s="5" t="str">
        <f t="shared" si="3"/>
        <v>Michael Barnett</v>
      </c>
      <c r="X2778" s="5">
        <f t="shared" si="4"/>
        <v>1</v>
      </c>
      <c r="Y2778" s="5" t="str">
        <f>IFERROR(__xludf.DUMMYFUNCTION("REGEXEXTRACT(J2778, ""^\d+"")"),"21")</f>
        <v>21</v>
      </c>
      <c r="Z2778" s="5" t="str">
        <f>IFERROR(__xludf.DUMMYFUNCTION("REGEXEXTRACT(J2778, ""[A-Za-z ]+$"")")," min")</f>
        <v> min</v>
      </c>
      <c r="AA2778" s="5" t="str">
        <f>IFERROR(__xludf.DUMMYFUNCTION("IF(REGEXMATCH(Z2778, ""Season""), ""TV Show"", ""Movie"")"),"Movie")</f>
        <v>Movie</v>
      </c>
    </row>
    <row r="2779">
      <c r="A2779" s="1" t="s">
        <v>15537</v>
      </c>
      <c r="B2779" s="1" t="s">
        <v>37</v>
      </c>
      <c r="C2779" s="1" t="s">
        <v>15538</v>
      </c>
      <c r="E2779" s="1" t="s">
        <v>15539</v>
      </c>
      <c r="F2779" s="1" t="s">
        <v>2492</v>
      </c>
      <c r="G2779" s="1" t="s">
        <v>15524</v>
      </c>
      <c r="H2779" s="1">
        <v>2020.0</v>
      </c>
      <c r="I2779" s="1" t="s">
        <v>42</v>
      </c>
      <c r="J2779" s="1" t="s">
        <v>51</v>
      </c>
      <c r="K2779" s="1" t="s">
        <v>402</v>
      </c>
      <c r="L2779" s="1" t="s">
        <v>15540</v>
      </c>
      <c r="M2779" s="2" t="s">
        <v>12</v>
      </c>
      <c r="N2779" s="4">
        <f t="shared" si="1"/>
        <v>43916</v>
      </c>
      <c r="O2779" s="5" t="str">
        <f>IFERROR(__xludf.DUMMYFUNCTION("IF(REGEXMATCH(TRIM(I2779), ""^\d+\s*min""), ""Unclassified"", IF(I2779 = """", ""NR"", I2779))"),"TV-MA")</f>
        <v>TV-MA</v>
      </c>
      <c r="R2779" s="5" t="str">
        <f t="shared" si="2"/>
        <v>Unorthodox</v>
      </c>
      <c r="S2779" s="5" t="str">
        <f>IFERROR(__xludf.DUMMYFUNCTION("""COMPUTED_VALUE"""),"Goldie &amp; Bear")</f>
        <v>Goldie &amp; Bear</v>
      </c>
      <c r="U2779" s="5" t="str">
        <f>IFERROR(__xludf.DUMMYFUNCTION("""COMPUTED_VALUE"""),"Jill Bauer, Ronna Gradus, Rashida Jones")</f>
        <v>Jill Bauer, Ronna Gradus, Rashida Jones</v>
      </c>
      <c r="V2779" s="5" t="s">
        <v>15541</v>
      </c>
      <c r="W2779" s="5" t="str">
        <f t="shared" si="3"/>
        <v>Michael Barrett</v>
      </c>
      <c r="X2779" s="5">
        <f t="shared" si="4"/>
        <v>1</v>
      </c>
      <c r="Y2779" s="5" t="str">
        <f>IFERROR(__xludf.DUMMYFUNCTION("REGEXEXTRACT(J2779, ""^\d+"")"),"1")</f>
        <v>1</v>
      </c>
      <c r="Z2779" s="5" t="str">
        <f>IFERROR(__xludf.DUMMYFUNCTION("REGEXEXTRACT(J2779, ""[A-Za-z ]+$"")")," Season")</f>
        <v> Season</v>
      </c>
      <c r="AA2779" s="5" t="str">
        <f>IFERROR(__xludf.DUMMYFUNCTION("IF(REGEXMATCH(Z2779, ""Season""), ""TV Show"", ""Movie"")"),"TV Show")</f>
        <v>TV Show</v>
      </c>
    </row>
    <row r="2780">
      <c r="A2780" s="1" t="s">
        <v>15542</v>
      </c>
      <c r="B2780" s="1" t="s">
        <v>27</v>
      </c>
      <c r="C2780" s="1" t="s">
        <v>15543</v>
      </c>
      <c r="D2780" s="1" t="s">
        <v>121</v>
      </c>
      <c r="E2780" s="1" t="s">
        <v>15544</v>
      </c>
      <c r="F2780" s="1" t="s">
        <v>30</v>
      </c>
      <c r="G2780" s="1" t="s">
        <v>15545</v>
      </c>
      <c r="H2780" s="1">
        <v>2019.0</v>
      </c>
      <c r="I2780" s="1" t="s">
        <v>78</v>
      </c>
      <c r="J2780" s="1" t="s">
        <v>433</v>
      </c>
      <c r="K2780" s="1" t="s">
        <v>15546</v>
      </c>
      <c r="L2780" s="1" t="s">
        <v>15547</v>
      </c>
      <c r="M2780" s="2" t="s">
        <v>12</v>
      </c>
      <c r="N2780" s="4">
        <f t="shared" si="1"/>
        <v>43915</v>
      </c>
      <c r="O2780" s="5" t="str">
        <f>IFERROR(__xludf.DUMMYFUNCTION("IF(REGEXMATCH(TRIM(I2780), ""^\d+\s*min""), ""Unclassified"", IF(I2780 = """", ""NR"", I2780))"),"PG")</f>
        <v>PG</v>
      </c>
      <c r="R2780" s="5" t="str">
        <f t="shared" si="2"/>
        <v>Bethany Hamilton: Unstoppable</v>
      </c>
      <c r="S2780" s="5" t="str">
        <f>IFERROR(__xludf.DUMMYFUNCTION("""COMPUTED_VALUE"""),"Goldstone")</f>
        <v>Goldstone</v>
      </c>
      <c r="U2780" s="5" t="str">
        <f>IFERROR(__xludf.DUMMYFUNCTION("""COMPUTED_VALUE"""),"Fernando Coimbra")</f>
        <v>Fernando Coimbra</v>
      </c>
      <c r="V2780" s="5" t="s">
        <v>15548</v>
      </c>
      <c r="W2780" s="5" t="str">
        <f t="shared" si="3"/>
        <v>Michael Bay</v>
      </c>
      <c r="X2780" s="5">
        <f t="shared" si="4"/>
        <v>3</v>
      </c>
      <c r="Y2780" s="5" t="str">
        <f>IFERROR(__xludf.DUMMYFUNCTION("REGEXEXTRACT(J2780, ""^\d+"")"),"100")</f>
        <v>100</v>
      </c>
      <c r="Z2780" s="5" t="str">
        <f>IFERROR(__xludf.DUMMYFUNCTION("REGEXEXTRACT(J2780, ""[A-Za-z ]+$"")")," min")</f>
        <v> min</v>
      </c>
      <c r="AA2780" s="5" t="str">
        <f>IFERROR(__xludf.DUMMYFUNCTION("IF(REGEXMATCH(Z2780, ""Season""), ""TV Show"", ""Movie"")"),"Movie")</f>
        <v>Movie</v>
      </c>
    </row>
    <row r="2781">
      <c r="A2781" s="1" t="s">
        <v>15549</v>
      </c>
      <c r="B2781" s="1" t="s">
        <v>27</v>
      </c>
      <c r="C2781" s="1" t="s">
        <v>15550</v>
      </c>
      <c r="F2781" s="1" t="s">
        <v>30</v>
      </c>
      <c r="G2781" s="1" t="s">
        <v>15545</v>
      </c>
      <c r="H2781" s="1">
        <v>2020.0</v>
      </c>
      <c r="I2781" s="1" t="s">
        <v>378</v>
      </c>
      <c r="J2781" s="1" t="s">
        <v>912</v>
      </c>
      <c r="K2781" s="1" t="s">
        <v>34</v>
      </c>
      <c r="L2781" s="1" t="s">
        <v>15551</v>
      </c>
      <c r="M2781" s="2" t="s">
        <v>12</v>
      </c>
      <c r="N2781" s="4">
        <f t="shared" si="1"/>
        <v>43915</v>
      </c>
      <c r="O2781" s="5" t="str">
        <f>IFERROR(__xludf.DUMMYFUNCTION("IF(REGEXMATCH(TRIM(I2781), ""^\d+\s*min""), ""Unclassified"", IF(I2781 = """", ""NR"", I2781))"),"R")</f>
        <v>R</v>
      </c>
      <c r="R2781" s="5" t="str">
        <f t="shared" si="2"/>
        <v>Crip Camp: A Disability Revolution</v>
      </c>
      <c r="S2781" s="5" t="str">
        <f>IFERROR(__xludf.DUMMYFUNCTION("""COMPUTED_VALUE"""),"​Goli Soda 2")</f>
        <v>​Goli Soda 2</v>
      </c>
      <c r="U2781" s="5" t="str">
        <f>IFERROR(__xludf.DUMMYFUNCTION("""COMPUTED_VALUE"""),"Adam Leon")</f>
        <v>Adam Leon</v>
      </c>
      <c r="V2781" s="5" t="s">
        <v>15552</v>
      </c>
      <c r="W2781" s="5" t="str">
        <f t="shared" si="3"/>
        <v>Michael Blieden</v>
      </c>
      <c r="X2781" s="5">
        <f t="shared" si="4"/>
        <v>1</v>
      </c>
      <c r="Y2781" s="5" t="str">
        <f>IFERROR(__xludf.DUMMYFUNCTION("REGEXEXTRACT(J2781, ""^\d+"")"),"108")</f>
        <v>108</v>
      </c>
      <c r="Z2781" s="5" t="str">
        <f>IFERROR(__xludf.DUMMYFUNCTION("REGEXEXTRACT(J2781, ""[A-Za-z ]+$"")")," min")</f>
        <v> min</v>
      </c>
      <c r="AA2781" s="5" t="str">
        <f>IFERROR(__xludf.DUMMYFUNCTION("IF(REGEXMATCH(Z2781, ""Season""), ""TV Show"", ""Movie"")"),"Movie")</f>
        <v>Movie</v>
      </c>
    </row>
    <row r="2782">
      <c r="A2782" s="1" t="s">
        <v>15553</v>
      </c>
      <c r="B2782" s="1" t="s">
        <v>27</v>
      </c>
      <c r="C2782" s="1" t="s">
        <v>15554</v>
      </c>
      <c r="D2782" s="1" t="s">
        <v>15555</v>
      </c>
      <c r="E2782" s="1" t="s">
        <v>15556</v>
      </c>
      <c r="F2782" s="1" t="s">
        <v>15518</v>
      </c>
      <c r="G2782" s="1" t="s">
        <v>15545</v>
      </c>
      <c r="H2782" s="1">
        <v>2018.0</v>
      </c>
      <c r="I2782" s="1" t="s">
        <v>42</v>
      </c>
      <c r="J2782" s="1" t="s">
        <v>416</v>
      </c>
      <c r="K2782" s="1" t="s">
        <v>128</v>
      </c>
      <c r="L2782" s="1" t="s">
        <v>15557</v>
      </c>
      <c r="M2782" s="2" t="s">
        <v>12</v>
      </c>
      <c r="N2782" s="4">
        <f t="shared" si="1"/>
        <v>43915</v>
      </c>
      <c r="O2782" s="5" t="str">
        <f>IFERROR(__xludf.DUMMYFUNCTION("IF(REGEXMATCH(TRIM(I2782), ""^\d+\s*min""), ""Unclassified"", IF(I2782 = """", ""NR"", I2782))"),"TV-MA")</f>
        <v>TV-MA</v>
      </c>
      <c r="R2782" s="5" t="str">
        <f t="shared" si="2"/>
        <v>Curtiz</v>
      </c>
      <c r="S2782" s="5" t="str">
        <f>IFERROR(__xludf.DUMMYFUNCTION("""COMPUTED_VALUE"""),"Gollu Aur Pappu")</f>
        <v>Gollu Aur Pappu</v>
      </c>
      <c r="U2782" s="5" t="str">
        <f>IFERROR(__xludf.DUMMYFUNCTION("""COMPUTED_VALUE"""),"Andrea Molaioli")</f>
        <v>Andrea Molaioli</v>
      </c>
      <c r="V2782" s="5" t="s">
        <v>15558</v>
      </c>
      <c r="W2782" s="5" t="str">
        <f t="shared" si="3"/>
        <v>Michael Bonfiglio</v>
      </c>
      <c r="X2782" s="5">
        <f t="shared" si="4"/>
        <v>1</v>
      </c>
      <c r="Y2782" s="5" t="str">
        <f>IFERROR(__xludf.DUMMYFUNCTION("REGEXEXTRACT(J2782, ""^\d+"")"),"99")</f>
        <v>99</v>
      </c>
      <c r="Z2782" s="5" t="str">
        <f>IFERROR(__xludf.DUMMYFUNCTION("REGEXEXTRACT(J2782, ""[A-Za-z ]+$"")")," min")</f>
        <v> min</v>
      </c>
      <c r="AA2782" s="5" t="str">
        <f>IFERROR(__xludf.DUMMYFUNCTION("IF(REGEXMATCH(Z2782, ""Season""), ""TV Show"", ""Movie"")"),"Movie")</f>
        <v>Movie</v>
      </c>
    </row>
    <row r="2783">
      <c r="A2783" s="1" t="s">
        <v>15559</v>
      </c>
      <c r="B2783" s="1" t="s">
        <v>27</v>
      </c>
      <c r="C2783" s="1" t="s">
        <v>15560</v>
      </c>
      <c r="D2783" s="1" t="s">
        <v>1152</v>
      </c>
      <c r="E2783" s="1" t="s">
        <v>15561</v>
      </c>
      <c r="F2783" s="1" t="s">
        <v>784</v>
      </c>
      <c r="G2783" s="1" t="s">
        <v>15545</v>
      </c>
      <c r="H2783" s="1">
        <v>2020.0</v>
      </c>
      <c r="I2783" s="1" t="s">
        <v>42</v>
      </c>
      <c r="J2783" s="1" t="s">
        <v>106</v>
      </c>
      <c r="K2783" s="1" t="s">
        <v>5380</v>
      </c>
      <c r="L2783" s="1" t="s">
        <v>15562</v>
      </c>
      <c r="M2783" s="2" t="s">
        <v>12</v>
      </c>
      <c r="N2783" s="4">
        <f t="shared" si="1"/>
        <v>43915</v>
      </c>
      <c r="O2783" s="5" t="str">
        <f>IFERROR(__xludf.DUMMYFUNCTION("IF(REGEXMATCH(TRIM(I2783), ""^\d+\s*min""), ""Unclassified"", IF(I2783 = """", ""NR"", I2783))"),"TV-MA")</f>
        <v>TV-MA</v>
      </c>
      <c r="R2783" s="5" t="str">
        <f t="shared" si="2"/>
        <v>The Occupant</v>
      </c>
      <c r="S2783" s="5" t="str">
        <f>IFERROR(__xludf.DUMMYFUNCTION("""COMPUTED_VALUE"""),"Golmaal Returns")</f>
        <v>Golmaal Returns</v>
      </c>
      <c r="U2783" s="5" t="str">
        <f>IFERROR(__xludf.DUMMYFUNCTION("""COMPUTED_VALUE"""),"Marie Madinier")</f>
        <v>Marie Madinier</v>
      </c>
      <c r="V2783" s="5" t="s">
        <v>15563</v>
      </c>
      <c r="W2783" s="5" t="str">
        <f t="shared" si="3"/>
        <v>Michael Buster</v>
      </c>
      <c r="X2783" s="5">
        <f t="shared" si="4"/>
        <v>1</v>
      </c>
      <c r="Y2783" s="5" t="str">
        <f>IFERROR(__xludf.DUMMYFUNCTION("REGEXEXTRACT(J2783, ""^\d+"")"),"104")</f>
        <v>104</v>
      </c>
      <c r="Z2783" s="5" t="str">
        <f>IFERROR(__xludf.DUMMYFUNCTION("REGEXEXTRACT(J2783, ""[A-Za-z ]+$"")")," min")</f>
        <v> min</v>
      </c>
      <c r="AA2783" s="5" t="str">
        <f>IFERROR(__xludf.DUMMYFUNCTION("IF(REGEXMATCH(Z2783, ""Season""), ""TV Show"", ""Movie"")"),"Movie")</f>
        <v>Movie</v>
      </c>
    </row>
    <row r="2784">
      <c r="A2784" s="1" t="s">
        <v>15564</v>
      </c>
      <c r="B2784" s="1" t="s">
        <v>27</v>
      </c>
      <c r="C2784" s="1" t="s">
        <v>15565</v>
      </c>
      <c r="D2784" s="1" t="s">
        <v>15566</v>
      </c>
      <c r="E2784" s="1" t="s">
        <v>15567</v>
      </c>
      <c r="F2784" s="1" t="s">
        <v>30</v>
      </c>
      <c r="G2784" s="1" t="s">
        <v>15568</v>
      </c>
      <c r="H2784" s="1">
        <v>2020.0</v>
      </c>
      <c r="I2784" s="1" t="s">
        <v>42</v>
      </c>
      <c r="J2784" s="1" t="s">
        <v>1583</v>
      </c>
      <c r="K2784" s="1" t="s">
        <v>1839</v>
      </c>
      <c r="L2784" s="1" t="s">
        <v>15569</v>
      </c>
      <c r="M2784" s="2" t="s">
        <v>12</v>
      </c>
      <c r="N2784" s="4">
        <f t="shared" si="1"/>
        <v>43914</v>
      </c>
      <c r="O2784" s="5" t="str">
        <f>IFERROR(__xludf.DUMMYFUNCTION("IF(REGEXMATCH(TRIM(I2784), ""^\d+\s*min""), ""Unclassified"", IF(I2784 = """", ""NR"", I2784))"),"TV-MA")</f>
        <v>TV-MA</v>
      </c>
      <c r="R2784" s="5" t="str">
        <f t="shared" si="2"/>
        <v>Tom Segura: Ball Hog</v>
      </c>
      <c r="S2784" s="5" t="str">
        <f>IFERROR(__xludf.DUMMYFUNCTION("""COMPUTED_VALUE"""),"Golmaal: Fun Unlimited")</f>
        <v>Golmaal: Fun Unlimited</v>
      </c>
      <c r="U2784" s="5" t="str">
        <f>IFERROR(__xludf.DUMMYFUNCTION("""COMPUTED_VALUE"""),"Miguel Ángel Lamata")</f>
        <v>Miguel Ángel Lamata</v>
      </c>
      <c r="V2784" s="5" t="s">
        <v>1196</v>
      </c>
      <c r="W2784" s="5" t="str">
        <f t="shared" si="3"/>
        <v>Michael Carney</v>
      </c>
      <c r="X2784" s="5">
        <f t="shared" si="4"/>
        <v>1</v>
      </c>
      <c r="Y2784" s="5" t="str">
        <f>IFERROR(__xludf.DUMMYFUNCTION("REGEXEXTRACT(J2784, ""^\d+"")"),"70")</f>
        <v>70</v>
      </c>
      <c r="Z2784" s="5" t="str">
        <f>IFERROR(__xludf.DUMMYFUNCTION("REGEXEXTRACT(J2784, ""[A-Za-z ]+$"")")," min")</f>
        <v> min</v>
      </c>
      <c r="AA2784" s="5" t="str">
        <f>IFERROR(__xludf.DUMMYFUNCTION("IF(REGEXMATCH(Z2784, ""Season""), ""TV Show"", ""Movie"")"),"Movie")</f>
        <v>Movie</v>
      </c>
    </row>
    <row r="2785">
      <c r="A2785" s="1" t="s">
        <v>15570</v>
      </c>
      <c r="B2785" s="1" t="s">
        <v>37</v>
      </c>
      <c r="C2785" s="1" t="s">
        <v>15571</v>
      </c>
      <c r="E2785" s="1" t="s">
        <v>15572</v>
      </c>
      <c r="F2785" s="1" t="s">
        <v>15573</v>
      </c>
      <c r="G2785" s="1" t="s">
        <v>15574</v>
      </c>
      <c r="H2785" s="1">
        <v>2020.0</v>
      </c>
      <c r="I2785" s="1" t="s">
        <v>42</v>
      </c>
      <c r="J2785" s="1" t="s">
        <v>51</v>
      </c>
      <c r="K2785" s="1" t="s">
        <v>1362</v>
      </c>
      <c r="L2785" s="1" t="s">
        <v>15575</v>
      </c>
      <c r="M2785" s="2" t="s">
        <v>12</v>
      </c>
      <c r="N2785" s="4">
        <f t="shared" si="1"/>
        <v>43913</v>
      </c>
      <c r="O2785" s="5" t="str">
        <f>IFERROR(__xludf.DUMMYFUNCTION("IF(REGEXMATCH(TRIM(I2785), ""^\d+\s*min""), ""Unclassified"", IF(I2785 = """", ""NR"", I2785))"),"TV-MA")</f>
        <v>TV-MA</v>
      </c>
      <c r="R2785" s="5" t="str">
        <f t="shared" si="2"/>
        <v>Freud</v>
      </c>
      <c r="S2785" s="5" t="str">
        <f>IFERROR(__xludf.DUMMYFUNCTION("""COMPUTED_VALUE"""),"Gomorrah")</f>
        <v>Gomorrah</v>
      </c>
      <c r="U2785" s="5" t="str">
        <f>IFERROR(__xludf.DUMMYFUNCTION("""COMPUTED_VALUE"""),"Steven Brill")</f>
        <v>Steven Brill</v>
      </c>
      <c r="V2785" s="5" t="s">
        <v>6241</v>
      </c>
      <c r="W2785" s="5" t="str">
        <f t="shared" si="3"/>
        <v>Michael Civille</v>
      </c>
      <c r="X2785" s="5">
        <f t="shared" si="4"/>
        <v>1</v>
      </c>
      <c r="Y2785" s="5" t="str">
        <f>IFERROR(__xludf.DUMMYFUNCTION("REGEXEXTRACT(J2785, ""^\d+"")"),"1")</f>
        <v>1</v>
      </c>
      <c r="Z2785" s="5" t="str">
        <f>IFERROR(__xludf.DUMMYFUNCTION("REGEXEXTRACT(J2785, ""[A-Za-z ]+$"")")," Season")</f>
        <v> Season</v>
      </c>
      <c r="AA2785" s="5" t="str">
        <f>IFERROR(__xludf.DUMMYFUNCTION("IF(REGEXMATCH(Z2785, ""Season""), ""TV Show"", ""Movie"")"),"TV Show")</f>
        <v>TV Show</v>
      </c>
    </row>
    <row r="2786">
      <c r="A2786" s="1" t="s">
        <v>15576</v>
      </c>
      <c r="B2786" s="1" t="s">
        <v>37</v>
      </c>
      <c r="C2786" s="1" t="s">
        <v>15577</v>
      </c>
      <c r="E2786" s="1" t="s">
        <v>15578</v>
      </c>
      <c r="F2786" s="1" t="s">
        <v>15579</v>
      </c>
      <c r="G2786" s="1" t="s">
        <v>15580</v>
      </c>
      <c r="H2786" s="1">
        <v>2020.0</v>
      </c>
      <c r="I2786" s="1" t="s">
        <v>97</v>
      </c>
      <c r="J2786" s="1" t="s">
        <v>51</v>
      </c>
      <c r="K2786" s="1" t="s">
        <v>1520</v>
      </c>
      <c r="L2786" s="1" t="s">
        <v>15581</v>
      </c>
      <c r="M2786" s="2" t="s">
        <v>12</v>
      </c>
      <c r="N2786" s="4">
        <f t="shared" si="1"/>
        <v>43912</v>
      </c>
      <c r="O2786" s="5" t="str">
        <f>IFERROR(__xludf.DUMMYFUNCTION("IF(REGEXMATCH(TRIM(I2786), ""^\d+\s*min""), ""Unclassified"", IF(I2786 = """", ""NR"", I2786))"),"TV-14")</f>
        <v>TV-14</v>
      </c>
      <c r="R2786" s="5" t="str">
        <f t="shared" si="2"/>
        <v>J-Style Trip</v>
      </c>
      <c r="S2786" s="5" t="str">
        <f>IFERROR(__xludf.DUMMYFUNCTION("""COMPUTED_VALUE"""),"Gone Are The Days")</f>
        <v>Gone Are The Days</v>
      </c>
      <c r="U2786" s="5" t="str">
        <f>IFERROR(__xludf.DUMMYFUNCTION("""COMPUTED_VALUE"""),"Antonio Serrano")</f>
        <v>Antonio Serrano</v>
      </c>
      <c r="V2786" s="5" t="s">
        <v>13671</v>
      </c>
      <c r="W2786" s="5" t="str">
        <f t="shared" si="3"/>
        <v>Michael Cristofer</v>
      </c>
      <c r="X2786" s="5">
        <f t="shared" si="4"/>
        <v>1</v>
      </c>
      <c r="Y2786" s="5" t="str">
        <f>IFERROR(__xludf.DUMMYFUNCTION("REGEXEXTRACT(J2786, ""^\d+"")"),"1")</f>
        <v>1</v>
      </c>
      <c r="Z2786" s="5" t="str">
        <f>IFERROR(__xludf.DUMMYFUNCTION("REGEXEXTRACT(J2786, ""[A-Za-z ]+$"")")," Season")</f>
        <v> Season</v>
      </c>
      <c r="AA2786" s="5" t="str">
        <f>IFERROR(__xludf.DUMMYFUNCTION("IF(REGEXMATCH(Z2786, ""Season""), ""TV Show"", ""Movie"")"),"TV Show")</f>
        <v>TV Show</v>
      </c>
    </row>
    <row r="2787">
      <c r="A2787" s="1" t="s">
        <v>15582</v>
      </c>
      <c r="B2787" s="1" t="s">
        <v>37</v>
      </c>
      <c r="C2787" s="1" t="s">
        <v>15583</v>
      </c>
      <c r="E2787" s="1" t="s">
        <v>15584</v>
      </c>
      <c r="G2787" s="1" t="s">
        <v>15585</v>
      </c>
      <c r="H2787" s="1">
        <v>2020.0</v>
      </c>
      <c r="I2787" s="1" t="s">
        <v>206</v>
      </c>
      <c r="J2787" s="1" t="s">
        <v>43</v>
      </c>
      <c r="K2787" s="1" t="s">
        <v>290</v>
      </c>
      <c r="L2787" s="1" t="s">
        <v>15586</v>
      </c>
      <c r="M2787" s="2" t="s">
        <v>12</v>
      </c>
      <c r="N2787" s="4">
        <f t="shared" si="1"/>
        <v>43911</v>
      </c>
      <c r="O2787" s="5" t="str">
        <f>IFERROR(__xludf.DUMMYFUNCTION("IF(REGEXMATCH(TRIM(I2787), ""^\d+\s*min""), ""Unclassified"", IF(I2787 = """", ""NR"", I2787))"),"TV-Y")</f>
        <v>TV-Y</v>
      </c>
      <c r="R2787" s="5" t="str">
        <f t="shared" si="2"/>
        <v>Barbie Dreamhouse Adventures: Go Team Roberts</v>
      </c>
      <c r="S2787" s="5" t="str">
        <f>IFERROR(__xludf.DUMMYFUNCTION("""COMPUTED_VALUE"""),"Gone For Good")</f>
        <v>Gone For Good</v>
      </c>
      <c r="U2787" s="5" t="str">
        <f>IFERROR(__xludf.DUMMYFUNCTION("""COMPUTED_VALUE"""),"Grant S. Johnson, Ippsie Jones")</f>
        <v>Grant S. Johnson, Ippsie Jones</v>
      </c>
      <c r="V2787" s="5" t="s">
        <v>15587</v>
      </c>
      <c r="W2787" s="5" t="str">
        <f t="shared" si="3"/>
        <v>Michael Cuesta</v>
      </c>
      <c r="X2787" s="5">
        <f t="shared" si="4"/>
        <v>2</v>
      </c>
      <c r="Y2787" s="5" t="str">
        <f>IFERROR(__xludf.DUMMYFUNCTION("REGEXEXTRACT(J2787, ""^\d+"")"),"2")</f>
        <v>2</v>
      </c>
      <c r="Z2787" s="5" t="str">
        <f>IFERROR(__xludf.DUMMYFUNCTION("REGEXEXTRACT(J2787, ""[A-Za-z ]+$"")")," Seasons")</f>
        <v> Seasons</v>
      </c>
      <c r="AA2787" s="5" t="str">
        <f>IFERROR(__xludf.DUMMYFUNCTION("IF(REGEXMATCH(Z2787, ""Season""), ""TV Show"", ""Movie"")"),"TV Show")</f>
        <v>TV Show</v>
      </c>
    </row>
    <row r="2788">
      <c r="A2788" s="1" t="s">
        <v>15588</v>
      </c>
      <c r="B2788" s="1" t="s">
        <v>27</v>
      </c>
      <c r="C2788" s="1" t="s">
        <v>15589</v>
      </c>
      <c r="D2788" s="1" t="s">
        <v>7813</v>
      </c>
      <c r="F2788" s="1" t="s">
        <v>1815</v>
      </c>
      <c r="G2788" s="1" t="s">
        <v>15590</v>
      </c>
      <c r="H2788" s="1">
        <v>2020.0</v>
      </c>
      <c r="I2788" s="1" t="s">
        <v>97</v>
      </c>
      <c r="J2788" s="1" t="s">
        <v>454</v>
      </c>
      <c r="K2788" s="1" t="s">
        <v>520</v>
      </c>
      <c r="L2788" s="1" t="s">
        <v>15591</v>
      </c>
      <c r="M2788" s="2" t="s">
        <v>12</v>
      </c>
      <c r="N2788" s="4">
        <f t="shared" si="1"/>
        <v>43910</v>
      </c>
      <c r="O2788" s="5" t="str">
        <f>IFERROR(__xludf.DUMMYFUNCTION("IF(REGEXMATCH(TRIM(I2788), ""^\d+\s*min""), ""Unclassified"", IF(I2788 = """", ""NR"", I2788))"),"TV-14")</f>
        <v>TV-14</v>
      </c>
      <c r="R2788" s="5" t="str">
        <f t="shared" si="2"/>
        <v>A Life Of Speed: The Juan Manuel Fangio Story</v>
      </c>
      <c r="S2788" s="5" t="str">
        <f>IFERROR(__xludf.DUMMYFUNCTION("""COMPUTED_VALUE"""),"Gonul")</f>
        <v>Gonul</v>
      </c>
      <c r="U2788" s="5" t="str">
        <f>IFERROR(__xludf.DUMMYFUNCTION("""COMPUTED_VALUE"""),"Joe Swanberg")</f>
        <v>Joe Swanberg</v>
      </c>
      <c r="V2788" s="5" t="s">
        <v>15592</v>
      </c>
      <c r="W2788" s="5" t="str">
        <f t="shared" si="3"/>
        <v>Michael Cumming</v>
      </c>
      <c r="X2788" s="5">
        <f t="shared" si="4"/>
        <v>1</v>
      </c>
      <c r="Y2788" s="5" t="str">
        <f>IFERROR(__xludf.DUMMYFUNCTION("REGEXEXTRACT(J2788, ""^\d+"")"),"93")</f>
        <v>93</v>
      </c>
      <c r="Z2788" s="5" t="str">
        <f>IFERROR(__xludf.DUMMYFUNCTION("REGEXEXTRACT(J2788, ""[A-Za-z ]+$"")")," min")</f>
        <v> min</v>
      </c>
      <c r="AA2788" s="5" t="str">
        <f>IFERROR(__xludf.DUMMYFUNCTION("IF(REGEXMATCH(Z2788, ""Season""), ""TV Show"", ""Movie"")"),"Movie")</f>
        <v>Movie</v>
      </c>
    </row>
    <row r="2789">
      <c r="A2789" s="1" t="s">
        <v>15593</v>
      </c>
      <c r="B2789" s="1" t="s">
        <v>37</v>
      </c>
      <c r="C2789" s="1" t="s">
        <v>15594</v>
      </c>
      <c r="E2789" s="1" t="s">
        <v>15595</v>
      </c>
      <c r="G2789" s="1" t="s">
        <v>15590</v>
      </c>
      <c r="H2789" s="1">
        <v>2020.0</v>
      </c>
      <c r="I2789" s="1" t="s">
        <v>289</v>
      </c>
      <c r="J2789" s="1" t="s">
        <v>43</v>
      </c>
      <c r="K2789" s="1" t="s">
        <v>314</v>
      </c>
      <c r="L2789" s="1" t="s">
        <v>15596</v>
      </c>
      <c r="M2789" s="2" t="s">
        <v>12</v>
      </c>
      <c r="N2789" s="4">
        <f t="shared" si="1"/>
        <v>43910</v>
      </c>
      <c r="O2789" s="5" t="str">
        <f>IFERROR(__xludf.DUMMYFUNCTION("IF(REGEXMATCH(TRIM(I2789), ""^\d+\s*min""), ""Unclassified"", IF(I2789 = """", ""NR"", I2789))"),"TV-Y7")</f>
        <v>TV-Y7</v>
      </c>
      <c r="R2789" s="5" t="str">
        <f t="shared" si="2"/>
        <v>Archibald'S Next Big Thing</v>
      </c>
      <c r="S2789" s="5" t="str">
        <f>IFERROR(__xludf.DUMMYFUNCTION("""COMPUTED_VALUE"""),"Good And Prosperous")</f>
        <v>Good And Prosperous</v>
      </c>
      <c r="U2789" s="5" t="str">
        <f>IFERROR(__xludf.DUMMYFUNCTION("""COMPUTED_VALUE"""),"Louis C.K.")</f>
        <v>Louis C.K.</v>
      </c>
      <c r="V2789" s="5" t="s">
        <v>9875</v>
      </c>
      <c r="W2789" s="5" t="str">
        <f t="shared" si="3"/>
        <v>Michael Curtiz</v>
      </c>
      <c r="X2789" s="5">
        <f t="shared" si="4"/>
        <v>1</v>
      </c>
      <c r="Y2789" s="5" t="str">
        <f>IFERROR(__xludf.DUMMYFUNCTION("REGEXEXTRACT(J2789, ""^\d+"")"),"2")</f>
        <v>2</v>
      </c>
      <c r="Z2789" s="5" t="str">
        <f>IFERROR(__xludf.DUMMYFUNCTION("REGEXEXTRACT(J2789, ""[A-Za-z ]+$"")")," Seasons")</f>
        <v> Seasons</v>
      </c>
      <c r="AA2789" s="5" t="str">
        <f>IFERROR(__xludf.DUMMYFUNCTION("IF(REGEXMATCH(Z2789, ""Season""), ""TV Show"", ""Movie"")"),"TV Show")</f>
        <v>TV Show</v>
      </c>
    </row>
    <row r="2790">
      <c r="A2790" s="1" t="s">
        <v>15597</v>
      </c>
      <c r="B2790" s="1" t="s">
        <v>37</v>
      </c>
      <c r="C2790" s="1" t="s">
        <v>15598</v>
      </c>
      <c r="E2790" s="1" t="s">
        <v>15599</v>
      </c>
      <c r="F2790" s="1" t="s">
        <v>1846</v>
      </c>
      <c r="G2790" s="1" t="s">
        <v>15590</v>
      </c>
      <c r="H2790" s="1">
        <v>2020.0</v>
      </c>
      <c r="I2790" s="1" t="s">
        <v>289</v>
      </c>
      <c r="J2790" s="1" t="s">
        <v>43</v>
      </c>
      <c r="K2790" s="1" t="s">
        <v>623</v>
      </c>
      <c r="L2790" s="1" t="s">
        <v>15600</v>
      </c>
      <c r="M2790" s="2" t="s">
        <v>12</v>
      </c>
      <c r="N2790" s="4">
        <f t="shared" si="1"/>
        <v>43910</v>
      </c>
      <c r="O2790" s="5" t="str">
        <f>IFERROR(__xludf.DUMMYFUNCTION("IF(REGEXMATCH(TRIM(I2790), ""^\d+\s*min""), ""Unclassified"", IF(I2790 = """", ""NR"", I2790))"),"TV-Y7")</f>
        <v>TV-Y7</v>
      </c>
      <c r="R2790" s="5" t="str">
        <f t="shared" si="2"/>
        <v>Dino Girl Gauko</v>
      </c>
      <c r="S2790" s="5" t="str">
        <f>IFERROR(__xludf.DUMMYFUNCTION("""COMPUTED_VALUE"""),"Good Burger")</f>
        <v>Good Burger</v>
      </c>
      <c r="U2790" s="5" t="str">
        <f>IFERROR(__xludf.DUMMYFUNCTION("""COMPUTED_VALUE"""),"Alexandre Reinecke")</f>
        <v>Alexandre Reinecke</v>
      </c>
      <c r="V2790" s="5" t="s">
        <v>15601</v>
      </c>
      <c r="W2790" s="5" t="str">
        <f t="shared" si="3"/>
        <v>Michael D. Black</v>
      </c>
      <c r="X2790" s="5">
        <f t="shared" si="4"/>
        <v>2</v>
      </c>
      <c r="Y2790" s="5" t="str">
        <f>IFERROR(__xludf.DUMMYFUNCTION("REGEXEXTRACT(J2790, ""^\d+"")"),"2")</f>
        <v>2</v>
      </c>
      <c r="Z2790" s="5" t="str">
        <f>IFERROR(__xludf.DUMMYFUNCTION("REGEXEXTRACT(J2790, ""[A-Za-z ]+$"")")," Seasons")</f>
        <v> Seasons</v>
      </c>
      <c r="AA2790" s="5" t="str">
        <f>IFERROR(__xludf.DUMMYFUNCTION("IF(REGEXMATCH(Z2790, ""Season""), ""TV Show"", ""Movie"")"),"TV Show")</f>
        <v>TV Show</v>
      </c>
    </row>
    <row r="2791">
      <c r="A2791" s="1" t="s">
        <v>15602</v>
      </c>
      <c r="B2791" s="1" t="s">
        <v>27</v>
      </c>
      <c r="C2791" s="1" t="s">
        <v>15603</v>
      </c>
      <c r="D2791" s="1" t="s">
        <v>8041</v>
      </c>
      <c r="E2791" s="1" t="s">
        <v>15604</v>
      </c>
      <c r="F2791" s="1" t="s">
        <v>162</v>
      </c>
      <c r="G2791" s="1" t="s">
        <v>15590</v>
      </c>
      <c r="H2791" s="1">
        <v>2017.0</v>
      </c>
      <c r="I2791" s="1" t="s">
        <v>97</v>
      </c>
      <c r="J2791" s="1" t="s">
        <v>465</v>
      </c>
      <c r="K2791" s="1" t="s">
        <v>89</v>
      </c>
      <c r="L2791" s="1" t="s">
        <v>15605</v>
      </c>
      <c r="M2791" s="2" t="s">
        <v>12</v>
      </c>
      <c r="N2791" s="4">
        <f t="shared" si="1"/>
        <v>43910</v>
      </c>
      <c r="O2791" s="5" t="str">
        <f>IFERROR(__xludf.DUMMYFUNCTION("IF(REGEXMATCH(TRIM(I2791), ""^\d+\s*min""), ""Unclassified"", IF(I2791 = """", ""NR"", I2791))"),"TV-14")</f>
        <v>TV-14</v>
      </c>
      <c r="R2791" s="5" t="str">
        <f t="shared" si="2"/>
        <v>El Silencio Es Bienvenido</v>
      </c>
      <c r="S2791" s="5" t="str">
        <f>IFERROR(__xludf.DUMMYFUNCTION("""COMPUTED_VALUE"""),"Good Game: The Beginning")</f>
        <v>Good Game: The Beginning</v>
      </c>
      <c r="U2791" s="5" t="str">
        <f>IFERROR(__xludf.DUMMYFUNCTION("""COMPUTED_VALUE"""),"Jamal Hill")</f>
        <v>Jamal Hill</v>
      </c>
      <c r="V2791" s="5" t="s">
        <v>13878</v>
      </c>
      <c r="W2791" s="5" t="str">
        <f t="shared" si="3"/>
        <v>Michael Damian</v>
      </c>
      <c r="X2791" s="5">
        <f t="shared" si="4"/>
        <v>2</v>
      </c>
      <c r="Y2791" s="5" t="str">
        <f>IFERROR(__xludf.DUMMYFUNCTION("REGEXEXTRACT(J2791, ""^\d+"")"),"95")</f>
        <v>95</v>
      </c>
      <c r="Z2791" s="5" t="str">
        <f>IFERROR(__xludf.DUMMYFUNCTION("REGEXEXTRACT(J2791, ""[A-Za-z ]+$"")")," min")</f>
        <v> min</v>
      </c>
      <c r="AA2791" s="5" t="str">
        <f>IFERROR(__xludf.DUMMYFUNCTION("IF(REGEXMATCH(Z2791, ""Season""), ""TV Show"", ""Movie"")"),"Movie")</f>
        <v>Movie</v>
      </c>
    </row>
    <row r="2792">
      <c r="A2792" s="1" t="s">
        <v>15606</v>
      </c>
      <c r="B2792" s="1" t="s">
        <v>37</v>
      </c>
      <c r="C2792" s="1" t="s">
        <v>15607</v>
      </c>
      <c r="E2792" s="1" t="s">
        <v>15608</v>
      </c>
      <c r="F2792" s="1" t="s">
        <v>30</v>
      </c>
      <c r="G2792" s="1" t="s">
        <v>15590</v>
      </c>
      <c r="H2792" s="1">
        <v>2020.0</v>
      </c>
      <c r="I2792" s="1" t="s">
        <v>136</v>
      </c>
      <c r="J2792" s="1" t="s">
        <v>148</v>
      </c>
      <c r="K2792" s="1" t="s">
        <v>778</v>
      </c>
      <c r="L2792" s="1" t="s">
        <v>15609</v>
      </c>
      <c r="M2792" s="2" t="s">
        <v>12</v>
      </c>
      <c r="N2792" s="4">
        <f t="shared" si="1"/>
        <v>43910</v>
      </c>
      <c r="O2792" s="5" t="str">
        <f>IFERROR(__xludf.DUMMYFUNCTION("IF(REGEXMATCH(TRIM(I2792), ""^\d+\s*min""), ""Unclassified"", IF(I2792 = """", ""NR"", I2792))"),"TV-PG")</f>
        <v>TV-PG</v>
      </c>
      <c r="R2792" s="5" t="str">
        <f t="shared" si="2"/>
        <v>Greenhouse Academy</v>
      </c>
      <c r="S2792" s="5" t="str">
        <f>IFERROR(__xludf.DUMMYFUNCTION("""COMPUTED_VALUE"""),"Good Girls")</f>
        <v>Good Girls</v>
      </c>
      <c r="U2792" s="5" t="str">
        <f>IFERROR(__xludf.DUMMYFUNCTION("""COMPUTED_VALUE"""),"K. Ramanlal")</f>
        <v>K. Ramanlal</v>
      </c>
      <c r="V2792" s="5" t="s">
        <v>15610</v>
      </c>
      <c r="W2792" s="5" t="str">
        <f t="shared" si="3"/>
        <v>Michael Del Monte</v>
      </c>
      <c r="X2792" s="5">
        <f t="shared" si="4"/>
        <v>1</v>
      </c>
      <c r="Y2792" s="5" t="str">
        <f>IFERROR(__xludf.DUMMYFUNCTION("REGEXEXTRACT(J2792, ""^\d+"")"),"4")</f>
        <v>4</v>
      </c>
      <c r="Z2792" s="5" t="str">
        <f>IFERROR(__xludf.DUMMYFUNCTION("REGEXEXTRACT(J2792, ""[A-Za-z ]+$"")")," Seasons")</f>
        <v> Seasons</v>
      </c>
      <c r="AA2792" s="5" t="str">
        <f>IFERROR(__xludf.DUMMYFUNCTION("IF(REGEXMATCH(Z2792, ""Season""), ""TV Show"", ""Movie"")"),"TV Show")</f>
        <v>TV Show</v>
      </c>
    </row>
    <row r="2793">
      <c r="A2793" s="1" t="s">
        <v>15611</v>
      </c>
      <c r="B2793" s="1" t="s">
        <v>37</v>
      </c>
      <c r="C2793" s="1" t="s">
        <v>15612</v>
      </c>
      <c r="E2793" s="1" t="s">
        <v>15613</v>
      </c>
      <c r="F2793" s="1" t="s">
        <v>30</v>
      </c>
      <c r="G2793" s="1" t="s">
        <v>15590</v>
      </c>
      <c r="H2793" s="1">
        <v>2020.0</v>
      </c>
      <c r="I2793" s="1" t="s">
        <v>42</v>
      </c>
      <c r="J2793" s="1" t="s">
        <v>51</v>
      </c>
      <c r="K2793" s="1" t="s">
        <v>2709</v>
      </c>
      <c r="L2793" s="1" t="s">
        <v>15614</v>
      </c>
      <c r="M2793" s="2" t="s">
        <v>12</v>
      </c>
      <c r="N2793" s="4">
        <f t="shared" si="1"/>
        <v>43910</v>
      </c>
      <c r="O2793" s="5" t="str">
        <f>IFERROR(__xludf.DUMMYFUNCTION("IF(REGEXMATCH(TRIM(I2793), ""^\d+\s*min""), ""Unclassified"", IF(I2793 = """", ""NR"", I2793))"),"TV-MA")</f>
        <v>TV-MA</v>
      </c>
      <c r="R2793" s="5" t="str">
        <f t="shared" si="2"/>
        <v>Self Made: Inspired By The Life Of Madam C.J. Walker</v>
      </c>
      <c r="S2793" s="5" t="str">
        <f>IFERROR(__xludf.DUMMYFUNCTION("""COMPUTED_VALUE"""),"Good Hair")</f>
        <v>Good Hair</v>
      </c>
      <c r="U2793" s="5" t="str">
        <f>IFERROR(__xludf.DUMMYFUNCTION("""COMPUTED_VALUE"""),"Maris Curran")</f>
        <v>Maris Curran</v>
      </c>
      <c r="V2793" s="5" t="s">
        <v>15615</v>
      </c>
      <c r="W2793" s="5" t="str">
        <f t="shared" si="3"/>
        <v>Michael Doneger</v>
      </c>
      <c r="X2793" s="5">
        <f t="shared" si="4"/>
        <v>1</v>
      </c>
      <c r="Y2793" s="5" t="str">
        <f>IFERROR(__xludf.DUMMYFUNCTION("REGEXEXTRACT(J2793, ""^\d+"")"),"1")</f>
        <v>1</v>
      </c>
      <c r="Z2793" s="5" t="str">
        <f>IFERROR(__xludf.DUMMYFUNCTION("REGEXEXTRACT(J2793, ""[A-Za-z ]+$"")")," Season")</f>
        <v> Season</v>
      </c>
      <c r="AA2793" s="5" t="str">
        <f>IFERROR(__xludf.DUMMYFUNCTION("IF(REGEXMATCH(Z2793, ""Season""), ""TV Show"", ""Movie"")"),"TV Show")</f>
        <v>TV Show</v>
      </c>
    </row>
    <row r="2794">
      <c r="A2794" s="1" t="s">
        <v>15616</v>
      </c>
      <c r="B2794" s="1" t="s">
        <v>37</v>
      </c>
      <c r="C2794" s="1" t="s">
        <v>15617</v>
      </c>
      <c r="E2794" s="1" t="s">
        <v>15618</v>
      </c>
      <c r="F2794" s="1" t="s">
        <v>63</v>
      </c>
      <c r="G2794" s="1" t="s">
        <v>15590</v>
      </c>
      <c r="H2794" s="1">
        <v>2020.0</v>
      </c>
      <c r="I2794" s="1" t="s">
        <v>42</v>
      </c>
      <c r="J2794" s="1" t="s">
        <v>51</v>
      </c>
      <c r="K2794" s="1" t="s">
        <v>1362</v>
      </c>
      <c r="L2794" s="1" t="s">
        <v>15619</v>
      </c>
      <c r="M2794" s="2" t="s">
        <v>12</v>
      </c>
      <c r="N2794" s="4">
        <f t="shared" si="1"/>
        <v>43910</v>
      </c>
      <c r="O2794" s="5" t="str">
        <f>IFERROR(__xludf.DUMMYFUNCTION("IF(REGEXMATCH(TRIM(I2794), ""^\d+\s*min""), ""Unclassified"", IF(I2794 = """", ""NR"", I2794))"),"TV-MA")</f>
        <v>TV-MA</v>
      </c>
      <c r="R2794" s="5" t="str">
        <f t="shared" si="2"/>
        <v>She</v>
      </c>
      <c r="S2794" s="5" t="str">
        <f>IFERROR(__xludf.DUMMYFUNCTION("""COMPUTED_VALUE"""),"Good Kids")</f>
        <v>Good Kids</v>
      </c>
      <c r="U2794" s="5" t="str">
        <f>IFERROR(__xludf.DUMMYFUNCTION("""COMPUTED_VALUE"""),"Avinash Arun")</f>
        <v>Avinash Arun</v>
      </c>
      <c r="V2794" s="5" t="s">
        <v>15180</v>
      </c>
      <c r="W2794" s="5" t="str">
        <f t="shared" si="3"/>
        <v>Michael Dowse</v>
      </c>
      <c r="X2794" s="5">
        <f t="shared" si="4"/>
        <v>3</v>
      </c>
      <c r="Y2794" s="5" t="str">
        <f>IFERROR(__xludf.DUMMYFUNCTION("REGEXEXTRACT(J2794, ""^\d+"")"),"1")</f>
        <v>1</v>
      </c>
      <c r="Z2794" s="5" t="str">
        <f>IFERROR(__xludf.DUMMYFUNCTION("REGEXEXTRACT(J2794, ""[A-Za-z ]+$"")")," Season")</f>
        <v> Season</v>
      </c>
      <c r="AA2794" s="5" t="str">
        <f>IFERROR(__xludf.DUMMYFUNCTION("IF(REGEXMATCH(Z2794, ""Season""), ""TV Show"", ""Movie"")"),"TV Show")</f>
        <v>TV Show</v>
      </c>
    </row>
    <row r="2795">
      <c r="A2795" s="1" t="s">
        <v>15620</v>
      </c>
      <c r="B2795" s="1" t="s">
        <v>37</v>
      </c>
      <c r="C2795" s="1" t="s">
        <v>15621</v>
      </c>
      <c r="E2795" s="1" t="s">
        <v>15622</v>
      </c>
      <c r="F2795" s="1" t="s">
        <v>96</v>
      </c>
      <c r="G2795" s="1" t="s">
        <v>15590</v>
      </c>
      <c r="H2795" s="1">
        <v>2020.0</v>
      </c>
      <c r="I2795" s="1" t="s">
        <v>97</v>
      </c>
      <c r="J2795" s="1" t="s">
        <v>51</v>
      </c>
      <c r="K2795" s="1" t="s">
        <v>3361</v>
      </c>
      <c r="L2795" s="1" t="s">
        <v>15623</v>
      </c>
      <c r="M2795" s="2" t="s">
        <v>12</v>
      </c>
      <c r="N2795" s="4">
        <f t="shared" si="1"/>
        <v>43910</v>
      </c>
      <c r="O2795" s="5" t="str">
        <f>IFERROR(__xludf.DUMMYFUNCTION("IF(REGEXMATCH(TRIM(I2795), ""^\d+\s*min""), ""Unclassified"", IF(I2795 = """", ""NR"", I2795))"),"TV-14")</f>
        <v>TV-14</v>
      </c>
      <c r="R2795" s="5" t="str">
        <f t="shared" si="2"/>
        <v>The English Game</v>
      </c>
      <c r="S2795" s="5" t="str">
        <f>IFERROR(__xludf.DUMMYFUNCTION("""COMPUTED_VALUE"""),"Good Kill")</f>
        <v>Good Kill</v>
      </c>
      <c r="U2795" s="5" t="str">
        <f>IFERROR(__xludf.DUMMYFUNCTION("""COMPUTED_VALUE"""),"Jason Spingarn-Koff")</f>
        <v>Jason Spingarn-Koff</v>
      </c>
      <c r="V2795" s="5" t="s">
        <v>15624</v>
      </c>
      <c r="W2795" s="5" t="str">
        <f t="shared" si="3"/>
        <v>Michael Drumm</v>
      </c>
      <c r="X2795" s="5">
        <f t="shared" si="4"/>
        <v>2</v>
      </c>
      <c r="Y2795" s="5" t="str">
        <f>IFERROR(__xludf.DUMMYFUNCTION("REGEXEXTRACT(J2795, ""^\d+"")"),"1")</f>
        <v>1</v>
      </c>
      <c r="Z2795" s="5" t="str">
        <f>IFERROR(__xludf.DUMMYFUNCTION("REGEXEXTRACT(J2795, ""[A-Za-z ]+$"")")," Season")</f>
        <v> Season</v>
      </c>
      <c r="AA2795" s="5" t="str">
        <f>IFERROR(__xludf.DUMMYFUNCTION("IF(REGEXMATCH(Z2795, ""Season""), ""TV Show"", ""Movie"")"),"TV Show")</f>
        <v>TV Show</v>
      </c>
    </row>
    <row r="2796">
      <c r="A2796" s="1" t="s">
        <v>15625</v>
      </c>
      <c r="B2796" s="1" t="s">
        <v>37</v>
      </c>
      <c r="C2796" s="1" t="s">
        <v>15626</v>
      </c>
      <c r="E2796" s="1" t="s">
        <v>15627</v>
      </c>
      <c r="F2796" s="1" t="s">
        <v>96</v>
      </c>
      <c r="G2796" s="1" t="s">
        <v>15590</v>
      </c>
      <c r="H2796" s="1">
        <v>2020.0</v>
      </c>
      <c r="I2796" s="1" t="s">
        <v>136</v>
      </c>
      <c r="J2796" s="1" t="s">
        <v>51</v>
      </c>
      <c r="K2796" s="1" t="s">
        <v>14753</v>
      </c>
      <c r="L2796" s="1" t="s">
        <v>15628</v>
      </c>
      <c r="M2796" s="2" t="s">
        <v>12</v>
      </c>
      <c r="N2796" s="4">
        <f t="shared" si="1"/>
        <v>43910</v>
      </c>
      <c r="O2796" s="5" t="str">
        <f>IFERROR(__xludf.DUMMYFUNCTION("IF(REGEXMATCH(TRIM(I2796), ""^\d+\s*min""), ""Unclassified"", IF(I2796 = """", ""NR"", I2796))"),"TV-PG")</f>
        <v>TV-PG</v>
      </c>
      <c r="R2796" s="5" t="str">
        <f t="shared" si="2"/>
        <v>The Letter For The King</v>
      </c>
      <c r="S2796" s="5" t="str">
        <f>IFERROR(__xludf.DUMMYFUNCTION("""COMPUTED_VALUE"""),"Good Kisser")</f>
        <v>Good Kisser</v>
      </c>
      <c r="U2796" s="5" t="str">
        <f>IFERROR(__xludf.DUMMYFUNCTION("""COMPUTED_VALUE"""),"A. Salaam")</f>
        <v>A. Salaam</v>
      </c>
      <c r="V2796" s="5" t="s">
        <v>13141</v>
      </c>
      <c r="W2796" s="5" t="str">
        <f t="shared" si="3"/>
        <v>Michael Duggan</v>
      </c>
      <c r="X2796" s="5">
        <f t="shared" si="4"/>
        <v>1</v>
      </c>
      <c r="Y2796" s="5" t="str">
        <f>IFERROR(__xludf.DUMMYFUNCTION("REGEXEXTRACT(J2796, ""^\d+"")"),"1")</f>
        <v>1</v>
      </c>
      <c r="Z2796" s="5" t="str">
        <f>IFERROR(__xludf.DUMMYFUNCTION("REGEXEXTRACT(J2796, ""[A-Za-z ]+$"")")," Season")</f>
        <v> Season</v>
      </c>
      <c r="AA2796" s="5" t="str">
        <f>IFERROR(__xludf.DUMMYFUNCTION("IF(REGEXMATCH(Z2796, ""Season""), ""TV Show"", ""Movie"")"),"TV Show")</f>
        <v>TV Show</v>
      </c>
    </row>
    <row r="2797">
      <c r="A2797" s="1" t="s">
        <v>15629</v>
      </c>
      <c r="B2797" s="1" t="s">
        <v>37</v>
      </c>
      <c r="C2797" s="1" t="s">
        <v>15630</v>
      </c>
      <c r="D2797" s="1" t="s">
        <v>7172</v>
      </c>
      <c r="F2797" s="1" t="s">
        <v>30</v>
      </c>
      <c r="G2797" s="1" t="s">
        <v>15590</v>
      </c>
      <c r="H2797" s="1">
        <v>2020.0</v>
      </c>
      <c r="I2797" s="1" t="s">
        <v>42</v>
      </c>
      <c r="J2797" s="1" t="s">
        <v>51</v>
      </c>
      <c r="K2797" s="1" t="s">
        <v>2043</v>
      </c>
      <c r="L2797" s="1" t="s">
        <v>15631</v>
      </c>
      <c r="M2797" s="2" t="s">
        <v>12</v>
      </c>
      <c r="N2797" s="4">
        <f t="shared" si="1"/>
        <v>43910</v>
      </c>
      <c r="O2797" s="5" t="str">
        <f>IFERROR(__xludf.DUMMYFUNCTION("IF(REGEXMATCH(TRIM(I2797), ""^\d+\s*min""), ""Unclassified"", IF(I2797 = """", ""NR"", I2797))"),"TV-MA")</f>
        <v>TV-MA</v>
      </c>
      <c r="R2797" s="5" t="str">
        <f t="shared" si="2"/>
        <v>Tiger King: Murder, Mayhem And Madness</v>
      </c>
      <c r="S2797" s="5" t="str">
        <f>IFERROR(__xludf.DUMMYFUNCTION("""COMPUTED_VALUE"""),"Good Luck")</f>
        <v>Good Luck</v>
      </c>
      <c r="U2797" s="5" t="str">
        <f>IFERROR(__xludf.DUMMYFUNCTION("""COMPUTED_VALUE"""),"Eduardo Casanova")</f>
        <v>Eduardo Casanova</v>
      </c>
      <c r="V2797" s="5" t="s">
        <v>15632</v>
      </c>
      <c r="W2797" s="5" t="str">
        <f t="shared" si="3"/>
        <v>Michael Epstein</v>
      </c>
      <c r="X2797" s="5">
        <f t="shared" si="4"/>
        <v>1</v>
      </c>
      <c r="Y2797" s="5" t="str">
        <f>IFERROR(__xludf.DUMMYFUNCTION("REGEXEXTRACT(J2797, ""^\d+"")"),"1")</f>
        <v>1</v>
      </c>
      <c r="Z2797" s="5" t="str">
        <f>IFERROR(__xludf.DUMMYFUNCTION("REGEXEXTRACT(J2797, ""[A-Za-z ]+$"")")," Season")</f>
        <v> Season</v>
      </c>
      <c r="AA2797" s="5" t="str">
        <f>IFERROR(__xludf.DUMMYFUNCTION("IF(REGEXMATCH(Z2797, ""Season""), ""TV Show"", ""Movie"")"),"TV Show")</f>
        <v>TV Show</v>
      </c>
    </row>
    <row r="2798">
      <c r="A2798" s="1" t="s">
        <v>15633</v>
      </c>
      <c r="B2798" s="1" t="s">
        <v>27</v>
      </c>
      <c r="C2798" s="1" t="s">
        <v>15634</v>
      </c>
      <c r="D2798" s="1" t="s">
        <v>7779</v>
      </c>
      <c r="E2798" s="1" t="s">
        <v>15635</v>
      </c>
      <c r="F2798" s="1" t="s">
        <v>1779</v>
      </c>
      <c r="G2798" s="1" t="s">
        <v>15590</v>
      </c>
      <c r="H2798" s="1">
        <v>2020.0</v>
      </c>
      <c r="I2798" s="1" t="s">
        <v>42</v>
      </c>
      <c r="J2798" s="1" t="s">
        <v>1065</v>
      </c>
      <c r="K2798" s="1" t="s">
        <v>5099</v>
      </c>
      <c r="L2798" s="1" t="s">
        <v>15636</v>
      </c>
      <c r="M2798" s="2" t="s">
        <v>12</v>
      </c>
      <c r="N2798" s="4">
        <f t="shared" si="1"/>
        <v>43910</v>
      </c>
      <c r="O2798" s="5" t="str">
        <f>IFERROR(__xludf.DUMMYFUNCTION("IF(REGEXMATCH(TRIM(I2798), ""^\d+\s*min""), ""Unclassified"", IF(I2798 = """", ""NR"", I2798))"),"TV-MA")</f>
        <v>TV-MA</v>
      </c>
      <c r="R2798" s="5" t="str">
        <f t="shared" si="2"/>
        <v>Ultras</v>
      </c>
      <c r="S2798" s="5" t="str">
        <f>IFERROR(__xludf.DUMMYFUNCTION("""COMPUTED_VALUE"""),"Good Luck Chuck")</f>
        <v>Good Luck Chuck</v>
      </c>
      <c r="U2798" s="5" t="str">
        <f>IFERROR(__xludf.DUMMYFUNCTION("""COMPUTED_VALUE"""),"Daniel Burman")</f>
        <v>Daniel Burman</v>
      </c>
      <c r="V2798" s="5" t="s">
        <v>15637</v>
      </c>
      <c r="W2798" s="5" t="str">
        <f t="shared" si="3"/>
        <v>Michael Fahey</v>
      </c>
      <c r="X2798" s="5">
        <f t="shared" si="4"/>
        <v>1</v>
      </c>
      <c r="Y2798" s="5" t="str">
        <f>IFERROR(__xludf.DUMMYFUNCTION("REGEXEXTRACT(J2798, ""^\d+"")"),"109")</f>
        <v>109</v>
      </c>
      <c r="Z2798" s="5" t="str">
        <f>IFERROR(__xludf.DUMMYFUNCTION("REGEXEXTRACT(J2798, ""[A-Za-z ]+$"")")," min")</f>
        <v> min</v>
      </c>
      <c r="AA2798" s="5" t="str">
        <f>IFERROR(__xludf.DUMMYFUNCTION("IF(REGEXMATCH(Z2798, ""Season""), ""TV Show"", ""Movie"")"),"Movie")</f>
        <v>Movie</v>
      </c>
    </row>
    <row r="2799">
      <c r="A2799" s="1" t="s">
        <v>15638</v>
      </c>
      <c r="B2799" s="1" t="s">
        <v>37</v>
      </c>
      <c r="C2799" s="1" t="s">
        <v>15639</v>
      </c>
      <c r="E2799" s="1" t="s">
        <v>15640</v>
      </c>
      <c r="F2799" s="1" t="s">
        <v>664</v>
      </c>
      <c r="G2799" s="1" t="s">
        <v>15590</v>
      </c>
      <c r="H2799" s="1">
        <v>2020.0</v>
      </c>
      <c r="I2799" s="1" t="s">
        <v>42</v>
      </c>
      <c r="J2799" s="1" t="s">
        <v>51</v>
      </c>
      <c r="K2799" s="1" t="s">
        <v>9281</v>
      </c>
      <c r="L2799" s="1" t="s">
        <v>15641</v>
      </c>
      <c r="M2799" s="2" t="s">
        <v>12</v>
      </c>
      <c r="N2799" s="4">
        <f t="shared" si="1"/>
        <v>43910</v>
      </c>
      <c r="O2799" s="5" t="str">
        <f>IFERROR(__xludf.DUMMYFUNCTION("IF(REGEXMATCH(TRIM(I2799), ""^\d+\s*min""), ""Unclassified"", IF(I2799 = """", ""NR"", I2799))"),"TV-MA")</f>
        <v>TV-MA</v>
      </c>
      <c r="R2799" s="5" t="str">
        <f t="shared" si="2"/>
        <v>Vampires</v>
      </c>
      <c r="S2799" s="5" t="str">
        <f>IFERROR(__xludf.DUMMYFUNCTION("""COMPUTED_VALUE"""),"Good Morning Call")</f>
        <v>Good Morning Call</v>
      </c>
      <c r="U2799" s="5" t="str">
        <f>IFERROR(__xludf.DUMMYFUNCTION("""COMPUTED_VALUE"""),"Kike Maíllo")</f>
        <v>Kike Maíllo</v>
      </c>
      <c r="V2799" s="5" t="s">
        <v>15642</v>
      </c>
      <c r="W2799" s="5" t="str">
        <f t="shared" si="3"/>
        <v>Michael Feifer</v>
      </c>
      <c r="X2799" s="5">
        <f t="shared" si="4"/>
        <v>1</v>
      </c>
      <c r="Y2799" s="5" t="str">
        <f>IFERROR(__xludf.DUMMYFUNCTION("REGEXEXTRACT(J2799, ""^\d+"")"),"1")</f>
        <v>1</v>
      </c>
      <c r="Z2799" s="5" t="str">
        <f>IFERROR(__xludf.DUMMYFUNCTION("REGEXEXTRACT(J2799, ""[A-Za-z ]+$"")")," Season")</f>
        <v> Season</v>
      </c>
      <c r="AA2799" s="5" t="str">
        <f>IFERROR(__xludf.DUMMYFUNCTION("IF(REGEXMATCH(Z2799, ""Season""), ""TV Show"", ""Movie"")"),"TV Show")</f>
        <v>TV Show</v>
      </c>
    </row>
    <row r="2800">
      <c r="A2800" s="1" t="s">
        <v>15643</v>
      </c>
      <c r="B2800" s="1" t="s">
        <v>27</v>
      </c>
      <c r="C2800" s="1">
        <v>3022.0</v>
      </c>
      <c r="D2800" s="1" t="s">
        <v>11483</v>
      </c>
      <c r="E2800" s="1" t="s">
        <v>15644</v>
      </c>
      <c r="F2800" s="1" t="s">
        <v>30</v>
      </c>
      <c r="G2800" s="1" t="s">
        <v>15645</v>
      </c>
      <c r="H2800" s="1">
        <v>2019.0</v>
      </c>
      <c r="I2800" s="1" t="s">
        <v>378</v>
      </c>
      <c r="J2800" s="1" t="s">
        <v>79</v>
      </c>
      <c r="K2800" s="1" t="s">
        <v>15646</v>
      </c>
      <c r="L2800" s="1" t="s">
        <v>15647</v>
      </c>
      <c r="M2800" s="2" t="s">
        <v>12</v>
      </c>
      <c r="N2800" s="4">
        <f t="shared" si="1"/>
        <v>43909</v>
      </c>
      <c r="O2800" s="5" t="str">
        <f>IFERROR(__xludf.DUMMYFUNCTION("IF(REGEXMATCH(TRIM(I2800), ""^\d+\s*min""), ""Unclassified"", IF(I2800 = """", ""NR"", I2800))"),"R")</f>
        <v>R</v>
      </c>
      <c r="R2800" s="5" t="str">
        <f t="shared" si="2"/>
        <v>3022</v>
      </c>
      <c r="S2800" s="5" t="str">
        <f>IFERROR(__xludf.DUMMYFUNCTION("""COMPUTED_VALUE"""),"Good Morning, Verônica")</f>
        <v>Good Morning, Verônica</v>
      </c>
      <c r="U2800" s="5" t="str">
        <f>IFERROR(__xludf.DUMMYFUNCTION("""COMPUTED_VALUE"""),"Laurent Bouzereau")</f>
        <v>Laurent Bouzereau</v>
      </c>
      <c r="V2800" s="5" t="s">
        <v>7771</v>
      </c>
      <c r="W2800" s="5" t="str">
        <f t="shared" si="3"/>
        <v>Michael Fimognari</v>
      </c>
      <c r="X2800" s="5">
        <f t="shared" si="4"/>
        <v>2</v>
      </c>
      <c r="Y2800" s="5" t="str">
        <f>IFERROR(__xludf.DUMMYFUNCTION("REGEXEXTRACT(J2800, ""^\d+"")"),"91")</f>
        <v>91</v>
      </c>
      <c r="Z2800" s="5" t="str">
        <f>IFERROR(__xludf.DUMMYFUNCTION("REGEXEXTRACT(J2800, ""[A-Za-z ]+$"")")," min")</f>
        <v> min</v>
      </c>
      <c r="AA2800" s="5" t="str">
        <f>IFERROR(__xludf.DUMMYFUNCTION("IF(REGEXMATCH(Z2800, ""Season""), ""TV Show"", ""Movie"")"),"Movie")</f>
        <v>Movie</v>
      </c>
    </row>
    <row r="2801">
      <c r="A2801" s="1" t="s">
        <v>15648</v>
      </c>
      <c r="B2801" s="1" t="s">
        <v>27</v>
      </c>
      <c r="C2801" s="1" t="s">
        <v>15649</v>
      </c>
      <c r="D2801" s="1" t="s">
        <v>15650</v>
      </c>
      <c r="E2801" s="1" t="s">
        <v>15651</v>
      </c>
      <c r="F2801" s="1" t="s">
        <v>6651</v>
      </c>
      <c r="G2801" s="1" t="s">
        <v>15645</v>
      </c>
      <c r="H2801" s="1">
        <v>2020.0</v>
      </c>
      <c r="I2801" s="1" t="s">
        <v>42</v>
      </c>
      <c r="J2801" s="1" t="s">
        <v>6281</v>
      </c>
      <c r="K2801" s="1" t="s">
        <v>417</v>
      </c>
      <c r="L2801" s="1" t="s">
        <v>15652</v>
      </c>
      <c r="M2801" s="2" t="s">
        <v>12</v>
      </c>
      <c r="N2801" s="4">
        <f t="shared" si="1"/>
        <v>43909</v>
      </c>
      <c r="O2801" s="5" t="str">
        <f>IFERROR(__xludf.DUMMYFUNCTION("IF(REGEXMATCH(TRIM(I2801), ""^\d+\s*min""), ""Unclassified"", IF(I2801 = """", ""NR"", I2801))"),"TV-MA")</f>
        <v>TV-MA</v>
      </c>
      <c r="R2801" s="5" t="str">
        <f t="shared" si="2"/>
        <v>Altered Carbon: Resleeved</v>
      </c>
      <c r="S2801" s="5" t="str">
        <f>IFERROR(__xludf.DUMMYFUNCTION("""COMPUTED_VALUE"""),"Good Night, And Good Luck")</f>
        <v>Good Night, And Good Luck</v>
      </c>
      <c r="U2801" s="5" t="str">
        <f>IFERROR(__xludf.DUMMYFUNCTION("""COMPUTED_VALUE"""),"Gordon Anderson")</f>
        <v>Gordon Anderson</v>
      </c>
      <c r="V2801" s="5" t="s">
        <v>15653</v>
      </c>
      <c r="W2801" s="5" t="str">
        <f t="shared" si="3"/>
        <v>Michael G. Kehoe</v>
      </c>
      <c r="X2801" s="5">
        <f t="shared" si="4"/>
        <v>1</v>
      </c>
      <c r="Y2801" s="5" t="str">
        <f>IFERROR(__xludf.DUMMYFUNCTION("REGEXEXTRACT(J2801, ""^\d+"")"),"75")</f>
        <v>75</v>
      </c>
      <c r="Z2801" s="5" t="str">
        <f>IFERROR(__xludf.DUMMYFUNCTION("REGEXEXTRACT(J2801, ""[A-Za-z ]+$"")")," min")</f>
        <v> min</v>
      </c>
      <c r="AA2801" s="5" t="str">
        <f>IFERROR(__xludf.DUMMYFUNCTION("IF(REGEXMATCH(Z2801, ""Season""), ""TV Show"", ""Movie"")"),"Movie")</f>
        <v>Movie</v>
      </c>
    </row>
    <row r="2802">
      <c r="A2802" s="1" t="s">
        <v>15654</v>
      </c>
      <c r="B2802" s="1" t="s">
        <v>27</v>
      </c>
      <c r="C2802" s="1" t="s">
        <v>15655</v>
      </c>
      <c r="D2802" s="1" t="s">
        <v>3590</v>
      </c>
      <c r="E2802" s="1" t="s">
        <v>15656</v>
      </c>
      <c r="F2802" s="1" t="s">
        <v>2774</v>
      </c>
      <c r="G2802" s="1" t="s">
        <v>15645</v>
      </c>
      <c r="H2802" s="1">
        <v>2020.0</v>
      </c>
      <c r="I2802" s="1" t="s">
        <v>97</v>
      </c>
      <c r="J2802" s="1" t="s">
        <v>433</v>
      </c>
      <c r="K2802" s="1" t="s">
        <v>199</v>
      </c>
      <c r="L2802" s="1" t="s">
        <v>15657</v>
      </c>
      <c r="M2802" s="2" t="s">
        <v>12</v>
      </c>
      <c r="N2802" s="4">
        <f t="shared" si="1"/>
        <v>43909</v>
      </c>
      <c r="O2802" s="5" t="str">
        <f>IFERROR(__xludf.DUMMYFUNCTION("IF(REGEXMATCH(TRIM(I2802), ""^\d+\s*min""), ""Unclassified"", IF(I2802 = """", ""NR"", I2802))"),"TV-14")</f>
        <v>TV-14</v>
      </c>
      <c r="R2802" s="5" t="str">
        <f t="shared" si="2"/>
        <v>Masameer - The Movie</v>
      </c>
      <c r="S2802" s="5" t="str">
        <f>IFERROR(__xludf.DUMMYFUNCTION("""COMPUTED_VALUE"""),"Good On Paper")</f>
        <v>Good On Paper</v>
      </c>
      <c r="U2802" s="5" t="str">
        <f>IFERROR(__xludf.DUMMYFUNCTION("""COMPUTED_VALUE"""),"Charlie Mcdowell")</f>
        <v>Charlie Mcdowell</v>
      </c>
      <c r="V2802" s="5" t="s">
        <v>15658</v>
      </c>
      <c r="W2802" s="5" t="str">
        <f t="shared" si="3"/>
        <v>Michael Gallagher</v>
      </c>
      <c r="X2802" s="5">
        <f t="shared" si="4"/>
        <v>1</v>
      </c>
      <c r="Y2802" s="5" t="str">
        <f>IFERROR(__xludf.DUMMYFUNCTION("REGEXEXTRACT(J2802, ""^\d+"")"),"100")</f>
        <v>100</v>
      </c>
      <c r="Z2802" s="5" t="str">
        <f>IFERROR(__xludf.DUMMYFUNCTION("REGEXEXTRACT(J2802, ""[A-Za-z ]+$"")")," min")</f>
        <v> min</v>
      </c>
      <c r="AA2802" s="5" t="str">
        <f>IFERROR(__xludf.DUMMYFUNCTION("IF(REGEXMATCH(Z2802, ""Season""), ""TV Show"", ""Movie"")"),"Movie")</f>
        <v>Movie</v>
      </c>
    </row>
    <row r="2803">
      <c r="A2803" s="1" t="s">
        <v>15659</v>
      </c>
      <c r="B2803" s="1" t="s">
        <v>27</v>
      </c>
      <c r="C2803" s="1" t="s">
        <v>15660</v>
      </c>
      <c r="D2803" s="1" t="s">
        <v>15661</v>
      </c>
      <c r="E2803" s="1" t="s">
        <v>15662</v>
      </c>
      <c r="F2803" s="1" t="s">
        <v>30</v>
      </c>
      <c r="G2803" s="1" t="s">
        <v>15663</v>
      </c>
      <c r="H2803" s="1">
        <v>2017.0</v>
      </c>
      <c r="I2803" s="1" t="s">
        <v>378</v>
      </c>
      <c r="J2803" s="1" t="s">
        <v>465</v>
      </c>
      <c r="K2803" s="1" t="s">
        <v>828</v>
      </c>
      <c r="L2803" s="1" t="s">
        <v>15664</v>
      </c>
      <c r="M2803" s="2" t="s">
        <v>12</v>
      </c>
      <c r="N2803" s="4">
        <f t="shared" si="1"/>
        <v>43908</v>
      </c>
      <c r="O2803" s="5" t="str">
        <f>IFERROR(__xludf.DUMMYFUNCTION("IF(REGEXMATCH(TRIM(I2803), ""^\d+\s*min""), ""Unclassified"", IF(I2803 = """", ""NR"", I2803))"),"R")</f>
        <v>R</v>
      </c>
      <c r="R2803" s="5" t="str">
        <f t="shared" si="2"/>
        <v>Alli Wish</v>
      </c>
      <c r="S2803" s="5" t="str">
        <f>IFERROR(__xludf.DUMMYFUNCTION("""COMPUTED_VALUE"""),"Good People")</f>
        <v>Good People</v>
      </c>
      <c r="U2803" s="5" t="str">
        <f>IFERROR(__xludf.DUMMYFUNCTION("""COMPUTED_VALUE"""),"Meghan O'Hara")</f>
        <v>Meghan O'Hara</v>
      </c>
      <c r="V2803" s="5" t="s">
        <v>1697</v>
      </c>
      <c r="W2803" s="5" t="str">
        <f t="shared" si="3"/>
        <v>Michael Harte</v>
      </c>
      <c r="X2803" s="5">
        <f t="shared" si="4"/>
        <v>1</v>
      </c>
      <c r="Y2803" s="5" t="str">
        <f>IFERROR(__xludf.DUMMYFUNCTION("REGEXEXTRACT(J2803, ""^\d+"")"),"95")</f>
        <v>95</v>
      </c>
      <c r="Z2803" s="5" t="str">
        <f>IFERROR(__xludf.DUMMYFUNCTION("REGEXEXTRACT(J2803, ""[A-Za-z ]+$"")")," min")</f>
        <v> min</v>
      </c>
      <c r="AA2803" s="5" t="str">
        <f>IFERROR(__xludf.DUMMYFUNCTION("IF(REGEXMATCH(Z2803, ""Season""), ""TV Show"", ""Movie"")"),"Movie")</f>
        <v>Movie</v>
      </c>
    </row>
    <row r="2804">
      <c r="A2804" s="1" t="s">
        <v>15665</v>
      </c>
      <c r="B2804" s="1" t="s">
        <v>37</v>
      </c>
      <c r="C2804" s="1" t="s">
        <v>15666</v>
      </c>
      <c r="E2804" s="1" t="s">
        <v>15667</v>
      </c>
      <c r="F2804" s="1" t="s">
        <v>3834</v>
      </c>
      <c r="G2804" s="1" t="s">
        <v>15663</v>
      </c>
      <c r="H2804" s="1">
        <v>2020.0</v>
      </c>
      <c r="I2804" s="1" t="s">
        <v>42</v>
      </c>
      <c r="J2804" s="1" t="s">
        <v>51</v>
      </c>
      <c r="K2804" s="1" t="s">
        <v>402</v>
      </c>
      <c r="L2804" s="1" t="s">
        <v>15668</v>
      </c>
      <c r="M2804" s="2" t="s">
        <v>12</v>
      </c>
      <c r="N2804" s="4">
        <f t="shared" si="1"/>
        <v>43908</v>
      </c>
      <c r="O2804" s="5" t="str">
        <f>IFERROR(__xludf.DUMMYFUNCTION("IF(REGEXMATCH(TRIM(I2804), ""^\d+\s*min""), ""Unclassified"", IF(I2804 = """", ""NR"", I2804))"),"TV-MA")</f>
        <v>TV-MA</v>
      </c>
      <c r="R2804" s="5" t="str">
        <f t="shared" si="2"/>
        <v>Caliphate</v>
      </c>
      <c r="S2804" s="5" t="str">
        <f>IFERROR(__xludf.DUMMYFUNCTION("""COMPUTED_VALUE"""),"Good Sam")</f>
        <v>Good Sam</v>
      </c>
      <c r="U2804" s="5" t="str">
        <f>IFERROR(__xludf.DUMMYFUNCTION("""COMPUTED_VALUE"""),"Tommy O'Haver")</f>
        <v>Tommy O'Haver</v>
      </c>
      <c r="V2804" s="5" t="s">
        <v>15669</v>
      </c>
      <c r="W2804" s="5" t="str">
        <f t="shared" si="3"/>
        <v>Michael J. Bassett</v>
      </c>
      <c r="X2804" s="5">
        <f t="shared" si="4"/>
        <v>2</v>
      </c>
      <c r="Y2804" s="5" t="str">
        <f>IFERROR(__xludf.DUMMYFUNCTION("REGEXEXTRACT(J2804, ""^\d+"")"),"1")</f>
        <v>1</v>
      </c>
      <c r="Z2804" s="5" t="str">
        <f>IFERROR(__xludf.DUMMYFUNCTION("REGEXEXTRACT(J2804, ""[A-Za-z ]+$"")")," Season")</f>
        <v> Season</v>
      </c>
      <c r="AA2804" s="5" t="str">
        <f>IFERROR(__xludf.DUMMYFUNCTION("IF(REGEXMATCH(Z2804, ""Season""), ""TV Show"", ""Movie"")"),"TV Show")</f>
        <v>TV Show</v>
      </c>
    </row>
    <row r="2805">
      <c r="A2805" s="1" t="s">
        <v>15670</v>
      </c>
      <c r="B2805" s="1" t="s">
        <v>27</v>
      </c>
      <c r="C2805" s="1" t="s">
        <v>15671</v>
      </c>
      <c r="D2805" s="1" t="s">
        <v>15098</v>
      </c>
      <c r="E2805" s="1" t="s">
        <v>15672</v>
      </c>
      <c r="F2805" s="1" t="s">
        <v>415</v>
      </c>
      <c r="G2805" s="1" t="s">
        <v>15663</v>
      </c>
      <c r="H2805" s="1">
        <v>2017.0</v>
      </c>
      <c r="I2805" s="1" t="s">
        <v>78</v>
      </c>
      <c r="J2805" s="1" t="s">
        <v>519</v>
      </c>
      <c r="K2805" s="1" t="s">
        <v>15673</v>
      </c>
      <c r="L2805" s="1" t="s">
        <v>15674</v>
      </c>
      <c r="M2805" s="2" t="s">
        <v>12</v>
      </c>
      <c r="N2805" s="4">
        <f t="shared" si="1"/>
        <v>43908</v>
      </c>
      <c r="O2805" s="5" t="str">
        <f>IFERROR(__xludf.DUMMYFUNCTION("IF(REGEXMATCH(TRIM(I2805), ""^\d+\s*min""), ""Unclassified"", IF(I2805 = """", ""NR"", I2805))"),"PG")</f>
        <v>PG</v>
      </c>
      <c r="R2805" s="5" t="str">
        <f t="shared" si="2"/>
        <v>Lu Over The Wall</v>
      </c>
      <c r="S2805" s="5" t="str">
        <f>IFERROR(__xludf.DUMMYFUNCTION("""COMPUTED_VALUE"""),"Good Time")</f>
        <v>Good Time</v>
      </c>
      <c r="U2805" s="5" t="str">
        <f>IFERROR(__xludf.DUMMYFUNCTION("""COMPUTED_VALUE"""),"Lonny Price")</f>
        <v>Lonny Price</v>
      </c>
      <c r="V2805" s="5" t="s">
        <v>4874</v>
      </c>
      <c r="W2805" s="5" t="str">
        <f t="shared" si="3"/>
        <v>Michael Jai White</v>
      </c>
      <c r="X2805" s="5">
        <f t="shared" si="4"/>
        <v>1</v>
      </c>
      <c r="Y2805" s="5" t="str">
        <f>IFERROR(__xludf.DUMMYFUNCTION("REGEXEXTRACT(J2805, ""^\d+"")"),"113")</f>
        <v>113</v>
      </c>
      <c r="Z2805" s="5" t="str">
        <f>IFERROR(__xludf.DUMMYFUNCTION("REGEXEXTRACT(J2805, ""[A-Za-z ]+$"")")," min")</f>
        <v> min</v>
      </c>
      <c r="AA2805" s="5" t="str">
        <f>IFERROR(__xludf.DUMMYFUNCTION("IF(REGEXMATCH(Z2805, ""Season""), ""TV Show"", ""Movie"")"),"Movie")</f>
        <v>Movie</v>
      </c>
    </row>
    <row r="2806">
      <c r="A2806" s="1" t="s">
        <v>15675</v>
      </c>
      <c r="B2806" s="1" t="s">
        <v>37</v>
      </c>
      <c r="C2806" s="1" t="s">
        <v>15676</v>
      </c>
      <c r="E2806" s="1" t="s">
        <v>15677</v>
      </c>
      <c r="F2806" s="1" t="s">
        <v>4615</v>
      </c>
      <c r="G2806" s="1" t="s">
        <v>15663</v>
      </c>
      <c r="H2806" s="1">
        <v>2019.0</v>
      </c>
      <c r="I2806" s="1" t="s">
        <v>42</v>
      </c>
      <c r="J2806" s="1" t="s">
        <v>51</v>
      </c>
      <c r="K2806" s="1" t="s">
        <v>1362</v>
      </c>
      <c r="L2806" s="1" t="s">
        <v>15678</v>
      </c>
      <c r="M2806" s="2" t="s">
        <v>12</v>
      </c>
      <c r="N2806" s="4">
        <f t="shared" si="1"/>
        <v>43908</v>
      </c>
      <c r="O2806" s="5" t="str">
        <f>IFERROR(__xludf.DUMMYFUNCTION("IF(REGEXMATCH(TRIM(I2806), ""^\d+\s*min""), ""Unclassified"", IF(I2806 = """", ""NR"", I2806))"),"TV-MA")</f>
        <v>TV-MA</v>
      </c>
      <c r="R2806" s="5" t="str">
        <f t="shared" si="2"/>
        <v>Women Of The Night</v>
      </c>
      <c r="S2806" s="5" t="str">
        <f>IFERROR(__xludf.DUMMYFUNCTION("""COMPUTED_VALUE"""),"Good Witch")</f>
        <v>Good Witch</v>
      </c>
      <c r="U2806" s="5" t="str">
        <f>IFERROR(__xludf.DUMMYFUNCTION("""COMPUTED_VALUE"""),"Sydney Freeland")</f>
        <v>Sydney Freeland</v>
      </c>
      <c r="V2806" s="5" t="s">
        <v>15679</v>
      </c>
      <c r="W2806" s="5" t="str">
        <f t="shared" si="3"/>
        <v>Michael James Regan</v>
      </c>
      <c r="X2806" s="5">
        <f t="shared" si="4"/>
        <v>1</v>
      </c>
      <c r="Y2806" s="5" t="str">
        <f>IFERROR(__xludf.DUMMYFUNCTION("REGEXEXTRACT(J2806, ""^\d+"")"),"1")</f>
        <v>1</v>
      </c>
      <c r="Z2806" s="5" t="str">
        <f>IFERROR(__xludf.DUMMYFUNCTION("REGEXEXTRACT(J2806, ""[A-Za-z ]+$"")")," Season")</f>
        <v> Season</v>
      </c>
      <c r="AA2806" s="5" t="str">
        <f>IFERROR(__xludf.DUMMYFUNCTION("IF(REGEXMATCH(Z2806, ""Season""), ""TV Show"", ""Movie"")"),"TV Show")</f>
        <v>TV Show</v>
      </c>
    </row>
    <row r="2807">
      <c r="A2807" s="1" t="s">
        <v>15680</v>
      </c>
      <c r="B2807" s="1" t="s">
        <v>27</v>
      </c>
      <c r="C2807" s="1" t="s">
        <v>15681</v>
      </c>
      <c r="D2807" s="1" t="s">
        <v>15682</v>
      </c>
      <c r="F2807" s="1" t="s">
        <v>96</v>
      </c>
      <c r="G2807" s="1" t="s">
        <v>15663</v>
      </c>
      <c r="H2807" s="1">
        <v>2016.0</v>
      </c>
      <c r="I2807" s="1" t="s">
        <v>97</v>
      </c>
      <c r="J2807" s="1" t="s">
        <v>79</v>
      </c>
      <c r="K2807" s="1" t="s">
        <v>645</v>
      </c>
      <c r="L2807" s="1" t="s">
        <v>15683</v>
      </c>
      <c r="M2807" s="2" t="s">
        <v>12</v>
      </c>
      <c r="N2807" s="4">
        <f t="shared" si="1"/>
        <v>43908</v>
      </c>
      <c r="O2807" s="5" t="str">
        <f>IFERROR(__xludf.DUMMYFUNCTION("IF(REGEXMATCH(TRIM(I2807), ""^\d+\s*min""), ""Unclassified"", IF(I2807 = """", ""NR"", I2807))"),"TV-14")</f>
        <v>TV-14</v>
      </c>
      <c r="R2807" s="5" t="str">
        <f t="shared" si="2"/>
        <v>Xv: Beyond The Tryline</v>
      </c>
      <c r="S2807" s="5" t="str">
        <f>IFERROR(__xludf.DUMMYFUNCTION("""COMPUTED_VALUE"""),"Goodbye My Wife")</f>
        <v>Goodbye My Wife</v>
      </c>
      <c r="U2807" s="5" t="str">
        <f>IFERROR(__xludf.DUMMYFUNCTION("""COMPUTED_VALUE"""),"Jung-Woo Park")</f>
        <v>Jung-Woo Park</v>
      </c>
      <c r="V2807" s="5" t="s">
        <v>15684</v>
      </c>
      <c r="W2807" s="5" t="str">
        <f t="shared" si="3"/>
        <v>Michael John Warren</v>
      </c>
      <c r="X2807" s="5">
        <f t="shared" si="4"/>
        <v>1</v>
      </c>
      <c r="Y2807" s="5" t="str">
        <f>IFERROR(__xludf.DUMMYFUNCTION("REGEXEXTRACT(J2807, ""^\d+"")"),"91")</f>
        <v>91</v>
      </c>
      <c r="Z2807" s="5" t="str">
        <f>IFERROR(__xludf.DUMMYFUNCTION("REGEXEXTRACT(J2807, ""[A-Za-z ]+$"")")," min")</f>
        <v> min</v>
      </c>
      <c r="AA2807" s="5" t="str">
        <f>IFERROR(__xludf.DUMMYFUNCTION("IF(REGEXMATCH(Z2807, ""Season""), ""TV Show"", ""Movie"")"),"Movie")</f>
        <v>Movie</v>
      </c>
    </row>
    <row r="2808">
      <c r="A2808" s="1" t="s">
        <v>15685</v>
      </c>
      <c r="B2808" s="1" t="s">
        <v>27</v>
      </c>
      <c r="C2808" s="1" t="s">
        <v>15686</v>
      </c>
      <c r="D2808" s="1" t="s">
        <v>10623</v>
      </c>
      <c r="E2808" s="1" t="s">
        <v>15687</v>
      </c>
      <c r="F2808" s="1" t="s">
        <v>30</v>
      </c>
      <c r="G2808" s="1" t="s">
        <v>15688</v>
      </c>
      <c r="H2808" s="1">
        <v>2020.0</v>
      </c>
      <c r="I2808" s="1" t="s">
        <v>42</v>
      </c>
      <c r="J2808" s="1" t="s">
        <v>2670</v>
      </c>
      <c r="K2808" s="1" t="s">
        <v>1839</v>
      </c>
      <c r="L2808" s="1" t="s">
        <v>15689</v>
      </c>
      <c r="M2808" s="2" t="s">
        <v>12</v>
      </c>
      <c r="N2808" s="4">
        <f t="shared" si="1"/>
        <v>43907</v>
      </c>
      <c r="O2808" s="5" t="str">
        <f>IFERROR(__xludf.DUMMYFUNCTION("IF(REGEXMATCH(TRIM(I2808), ""^\d+\s*min""), ""Unclassified"", IF(I2808 = """", ""NR"", I2808))"),"TV-MA")</f>
        <v>TV-MA</v>
      </c>
      <c r="R2808" s="5" t="str">
        <f t="shared" si="2"/>
        <v>Bert Kreischer: Hey Big Boy</v>
      </c>
      <c r="S2808" s="5" t="str">
        <f>IFERROR(__xludf.DUMMYFUNCTION("""COMPUTED_VALUE"""),"Goodfellas")</f>
        <v>Goodfellas</v>
      </c>
      <c r="U2808" s="5" t="str">
        <f>IFERROR(__xludf.DUMMYFUNCTION("""COMPUTED_VALUE"""),"James Ivory")</f>
        <v>James Ivory</v>
      </c>
      <c r="V2808" s="5" t="s">
        <v>10140</v>
      </c>
      <c r="W2808" s="5" t="str">
        <f t="shared" si="3"/>
        <v>Michael Kampa</v>
      </c>
      <c r="X2808" s="5">
        <f t="shared" si="4"/>
        <v>1</v>
      </c>
      <c r="Y2808" s="5" t="str">
        <f>IFERROR(__xludf.DUMMYFUNCTION("REGEXEXTRACT(J2808, ""^\d+"")"),"62")</f>
        <v>62</v>
      </c>
      <c r="Z2808" s="5" t="str">
        <f>IFERROR(__xludf.DUMMYFUNCTION("REGEXEXTRACT(J2808, ""[A-Za-z ]+$"")")," min")</f>
        <v> min</v>
      </c>
      <c r="AA2808" s="5" t="str">
        <f>IFERROR(__xludf.DUMMYFUNCTION("IF(REGEXMATCH(Z2808, ""Season""), ""TV Show"", ""Movie"")"),"Movie")</f>
        <v>Movie</v>
      </c>
    </row>
    <row r="2809">
      <c r="A2809" s="1" t="s">
        <v>15690</v>
      </c>
      <c r="B2809" s="1" t="s">
        <v>37</v>
      </c>
      <c r="C2809" s="1" t="s">
        <v>15691</v>
      </c>
      <c r="E2809" s="1" t="s">
        <v>15692</v>
      </c>
      <c r="F2809" s="1" t="s">
        <v>15693</v>
      </c>
      <c r="G2809" s="1" t="s">
        <v>15688</v>
      </c>
      <c r="H2809" s="1">
        <v>2020.0</v>
      </c>
      <c r="I2809" s="1" t="s">
        <v>289</v>
      </c>
      <c r="J2809" s="1" t="s">
        <v>51</v>
      </c>
      <c r="K2809" s="1" t="s">
        <v>8845</v>
      </c>
      <c r="L2809" s="1" t="s">
        <v>15694</v>
      </c>
      <c r="M2809" s="2" t="s">
        <v>12</v>
      </c>
      <c r="N2809" s="4">
        <f t="shared" si="1"/>
        <v>43907</v>
      </c>
      <c r="O2809" s="5" t="str">
        <f>IFERROR(__xludf.DUMMYFUNCTION("IF(REGEXMATCH(TRIM(I2809), ""^\d+\s*min""), ""Unclassified"", IF(I2809 = """", ""NR"", I2809))"),"TV-Y7")</f>
        <v>TV-Y7</v>
      </c>
      <c r="R2809" s="5" t="str">
        <f t="shared" si="2"/>
        <v>Shaun The Sheep: Adventures From Mossy Bottom</v>
      </c>
      <c r="S2809" s="5" t="str">
        <f>IFERROR(__xludf.DUMMYFUNCTION("""COMPUTED_VALUE"""),"Goodnight Dj 1")</f>
        <v>Goodnight Dj 1</v>
      </c>
      <c r="U2809" s="5" t="str">
        <f>IFERROR(__xludf.DUMMYFUNCTION("""COMPUTED_VALUE"""),"Santosh Sivan")</f>
        <v>Santosh Sivan</v>
      </c>
      <c r="V2809" s="5" t="s">
        <v>15695</v>
      </c>
      <c r="W2809" s="5" t="str">
        <f t="shared" si="3"/>
        <v>Michael Kennedy</v>
      </c>
      <c r="X2809" s="5">
        <f t="shared" si="4"/>
        <v>1</v>
      </c>
      <c r="Y2809" s="5" t="str">
        <f>IFERROR(__xludf.DUMMYFUNCTION("REGEXEXTRACT(J2809, ""^\d+"")"),"1")</f>
        <v>1</v>
      </c>
      <c r="Z2809" s="5" t="str">
        <f>IFERROR(__xludf.DUMMYFUNCTION("REGEXEXTRACT(J2809, ""[A-Za-z ]+$"")")," Season")</f>
        <v> Season</v>
      </c>
      <c r="AA2809" s="5" t="str">
        <f>IFERROR(__xludf.DUMMYFUNCTION("IF(REGEXMATCH(Z2809, ""Season""), ""TV Show"", ""Movie"")"),"TV Show")</f>
        <v>TV Show</v>
      </c>
    </row>
    <row r="2810">
      <c r="A2810" s="1" t="s">
        <v>15696</v>
      </c>
      <c r="B2810" s="1" t="s">
        <v>37</v>
      </c>
      <c r="C2810" s="1" t="s">
        <v>15697</v>
      </c>
      <c r="E2810" s="1" t="s">
        <v>15698</v>
      </c>
      <c r="F2810" s="1" t="s">
        <v>30</v>
      </c>
      <c r="G2810" s="1" t="s">
        <v>15688</v>
      </c>
      <c r="H2810" s="1">
        <v>2018.0</v>
      </c>
      <c r="I2810" s="1" t="s">
        <v>42</v>
      </c>
      <c r="J2810" s="1" t="s">
        <v>51</v>
      </c>
      <c r="K2810" s="1" t="s">
        <v>1261</v>
      </c>
      <c r="L2810" s="1" t="s">
        <v>15699</v>
      </c>
      <c r="M2810" s="2" t="s">
        <v>12</v>
      </c>
      <c r="N2810" s="4">
        <f t="shared" si="1"/>
        <v>43907</v>
      </c>
      <c r="O2810" s="5" t="str">
        <f>IFERROR(__xludf.DUMMYFUNCTION("IF(REGEXMATCH(TRIM(I2810), ""^\d+\s*min""), ""Unclassified"", IF(I2810 = """", ""NR"", I2810))"),"TV-MA")</f>
        <v>TV-MA</v>
      </c>
      <c r="R2810" s="5" t="str">
        <f t="shared" si="2"/>
        <v>We Speak Dance</v>
      </c>
      <c r="S2810" s="5" t="str">
        <f>IFERROR(__xludf.DUMMYFUNCTION("""COMPUTED_VALUE"""),"Gook")</f>
        <v>Gook</v>
      </c>
      <c r="U2810" s="5" t="str">
        <f>IFERROR(__xludf.DUMMYFUNCTION("""COMPUTED_VALUE"""),"Erik Canuel")</f>
        <v>Erik Canuel</v>
      </c>
      <c r="V2810" s="5" t="s">
        <v>15700</v>
      </c>
      <c r="W2810" s="5" t="str">
        <f t="shared" si="3"/>
        <v>Michael Larnell</v>
      </c>
      <c r="X2810" s="5">
        <f t="shared" si="4"/>
        <v>1</v>
      </c>
      <c r="Y2810" s="5" t="str">
        <f>IFERROR(__xludf.DUMMYFUNCTION("REGEXEXTRACT(J2810, ""^\d+"")"),"1")</f>
        <v>1</v>
      </c>
      <c r="Z2810" s="5" t="str">
        <f>IFERROR(__xludf.DUMMYFUNCTION("REGEXEXTRACT(J2810, ""[A-Za-z ]+$"")")," Season")</f>
        <v> Season</v>
      </c>
      <c r="AA2810" s="5" t="str">
        <f>IFERROR(__xludf.DUMMYFUNCTION("IF(REGEXMATCH(Z2810, ""Season""), ""TV Show"", ""Movie"")"),"TV Show")</f>
        <v>TV Show</v>
      </c>
    </row>
    <row r="2811">
      <c r="A2811" s="1" t="s">
        <v>15701</v>
      </c>
      <c r="B2811" s="1" t="s">
        <v>27</v>
      </c>
      <c r="C2811" s="1" t="s">
        <v>15702</v>
      </c>
      <c r="D2811" s="1" t="s">
        <v>15703</v>
      </c>
      <c r="E2811" s="1" t="s">
        <v>15704</v>
      </c>
      <c r="F2811" s="1" t="s">
        <v>30</v>
      </c>
      <c r="G2811" s="1" t="s">
        <v>15705</v>
      </c>
      <c r="H2811" s="1">
        <v>2014.0</v>
      </c>
      <c r="I2811" s="1" t="s">
        <v>378</v>
      </c>
      <c r="J2811" s="1" t="s">
        <v>454</v>
      </c>
      <c r="K2811" s="1" t="s">
        <v>239</v>
      </c>
      <c r="L2811" s="1" t="s">
        <v>15706</v>
      </c>
      <c r="M2811" s="2" t="s">
        <v>12</v>
      </c>
      <c r="N2811" s="4">
        <f t="shared" si="1"/>
        <v>43906</v>
      </c>
      <c r="O2811" s="5" t="str">
        <f>IFERROR(__xludf.DUMMYFUNCTION("IF(REGEXMATCH(TRIM(I2811), ""^\d+\s*min""), ""Unclassified"", IF(I2811 = """", ""NR"", I2811))"),"R")</f>
        <v>R</v>
      </c>
      <c r="R2811" s="5" t="str">
        <f t="shared" si="2"/>
        <v>Search Party</v>
      </c>
      <c r="S2811" s="5" t="str">
        <f>IFERROR(__xludf.DUMMYFUNCTION("""COMPUTED_VALUE"""),"Goon")</f>
        <v>Goon</v>
      </c>
      <c r="U2811" s="5" t="str">
        <f>IFERROR(__xludf.DUMMYFUNCTION("""COMPUTED_VALUE"""),"Peter Middleton, James Spinney")</f>
        <v>Peter Middleton, James Spinney</v>
      </c>
      <c r="V2811" s="5" t="s">
        <v>15707</v>
      </c>
      <c r="W2811" s="5" t="str">
        <f t="shared" si="3"/>
        <v>Michael Lennox</v>
      </c>
      <c r="X2811" s="5">
        <f t="shared" si="4"/>
        <v>1</v>
      </c>
      <c r="Y2811" s="5" t="str">
        <f>IFERROR(__xludf.DUMMYFUNCTION("REGEXEXTRACT(J2811, ""^\d+"")"),"93")</f>
        <v>93</v>
      </c>
      <c r="Z2811" s="5" t="str">
        <f>IFERROR(__xludf.DUMMYFUNCTION("REGEXEXTRACT(J2811, ""[A-Za-z ]+$"")")," min")</f>
        <v> min</v>
      </c>
      <c r="AA2811" s="5" t="str">
        <f>IFERROR(__xludf.DUMMYFUNCTION("IF(REGEXMATCH(Z2811, ""Season""), ""TV Show"", ""Movie"")"),"Movie")</f>
        <v>Movie</v>
      </c>
    </row>
    <row r="2812">
      <c r="A2812" s="1" t="s">
        <v>15708</v>
      </c>
      <c r="B2812" s="1" t="s">
        <v>27</v>
      </c>
      <c r="C2812" s="1" t="s">
        <v>15709</v>
      </c>
      <c r="D2812" s="1" t="s">
        <v>15710</v>
      </c>
      <c r="E2812" s="1" t="s">
        <v>15711</v>
      </c>
      <c r="F2812" s="1" t="s">
        <v>63</v>
      </c>
      <c r="G2812" s="1" t="s">
        <v>15712</v>
      </c>
      <c r="H2812" s="1">
        <v>2019.0</v>
      </c>
      <c r="I2812" s="1" t="s">
        <v>97</v>
      </c>
      <c r="J2812" s="1" t="s">
        <v>1369</v>
      </c>
      <c r="K2812" s="1" t="s">
        <v>631</v>
      </c>
      <c r="L2812" s="1" t="s">
        <v>15713</v>
      </c>
      <c r="M2812" s="2" t="s">
        <v>12</v>
      </c>
      <c r="N2812" s="4">
        <f t="shared" si="1"/>
        <v>43905</v>
      </c>
      <c r="O2812" s="5" t="str">
        <f>IFERROR(__xludf.DUMMYFUNCTION("IF(REGEXMATCH(TRIM(I2812), ""^\d+\s*min""), ""Unclassified"", IF(I2812 = """", ""NR"", I2812))"),"TV-14")</f>
        <v>TV-14</v>
      </c>
      <c r="R2812" s="5" t="str">
        <f t="shared" si="2"/>
        <v>Bypass Road</v>
      </c>
      <c r="S2812" s="5" t="str">
        <f>IFERROR(__xludf.DUMMYFUNCTION("""COMPUTED_VALUE"""),"Goon: Last Of The Enforcers")</f>
        <v>Goon: Last Of The Enforcers</v>
      </c>
      <c r="U2812" s="5" t="str">
        <f>IFERROR(__xludf.DUMMYFUNCTION("""COMPUTED_VALUE"""),"Shashilal K. Nair")</f>
        <v>Shashilal K. Nair</v>
      </c>
      <c r="V2812" s="5" t="s">
        <v>4362</v>
      </c>
      <c r="W2812" s="5" t="str">
        <f t="shared" si="3"/>
        <v>Michael Lockshin</v>
      </c>
      <c r="X2812" s="5">
        <f t="shared" si="4"/>
        <v>1</v>
      </c>
      <c r="Y2812" s="5" t="str">
        <f>IFERROR(__xludf.DUMMYFUNCTION("REGEXEXTRACT(J2812, ""^\d+"")"),"135")</f>
        <v>135</v>
      </c>
      <c r="Z2812" s="5" t="str">
        <f>IFERROR(__xludf.DUMMYFUNCTION("REGEXEXTRACT(J2812, ""[A-Za-z ]+$"")")," min")</f>
        <v> min</v>
      </c>
      <c r="AA2812" s="5" t="str">
        <f>IFERROR(__xludf.DUMMYFUNCTION("IF(REGEXMATCH(Z2812, ""Season""), ""TV Show"", ""Movie"")"),"Movie")</f>
        <v>Movie</v>
      </c>
    </row>
    <row r="2813">
      <c r="A2813" s="1" t="s">
        <v>15714</v>
      </c>
      <c r="B2813" s="1" t="s">
        <v>27</v>
      </c>
      <c r="C2813" s="1" t="s">
        <v>15715</v>
      </c>
      <c r="D2813" s="1" t="s">
        <v>11198</v>
      </c>
      <c r="E2813" s="1" t="s">
        <v>15716</v>
      </c>
      <c r="G2813" s="1" t="s">
        <v>15712</v>
      </c>
      <c r="H2813" s="1">
        <v>2019.0</v>
      </c>
      <c r="I2813" s="1" t="s">
        <v>206</v>
      </c>
      <c r="J2813" s="1" t="s">
        <v>370</v>
      </c>
      <c r="K2813" s="1" t="s">
        <v>80</v>
      </c>
      <c r="L2813" s="1" t="s">
        <v>15717</v>
      </c>
      <c r="M2813" s="2" t="s">
        <v>12</v>
      </c>
      <c r="N2813" s="4">
        <f t="shared" si="1"/>
        <v>43905</v>
      </c>
      <c r="O2813" s="5" t="str">
        <f>IFERROR(__xludf.DUMMYFUNCTION("IF(REGEXMATCH(TRIM(I2813), ""^\d+\s*min""), ""Unclassified"", IF(I2813 = """", ""NR"", I2813))"),"TV-Y")</f>
        <v>TV-Y</v>
      </c>
      <c r="R2813" s="5" t="str">
        <f t="shared" si="2"/>
        <v>Digs &amp; Discoveries: All Track'S Lead To Rome</v>
      </c>
      <c r="S2813" s="5" t="str">
        <f>IFERROR(__xludf.DUMMYFUNCTION("""COMPUTED_VALUE"""),"Goosebumps")</f>
        <v>Goosebumps</v>
      </c>
      <c r="U2813" s="5" t="str">
        <f>IFERROR(__xludf.DUMMYFUNCTION("""COMPUTED_VALUE"""),"Marcel Barrena")</f>
        <v>Marcel Barrena</v>
      </c>
      <c r="V2813" s="5" t="s">
        <v>14593</v>
      </c>
      <c r="W2813" s="5" t="str">
        <f t="shared" si="3"/>
        <v>Michael M. Scott</v>
      </c>
      <c r="X2813" s="5">
        <f t="shared" si="4"/>
        <v>1</v>
      </c>
      <c r="Y2813" s="5" t="str">
        <f>IFERROR(__xludf.DUMMYFUNCTION("REGEXEXTRACT(J2813, ""^\d+"")"),"23")</f>
        <v>23</v>
      </c>
      <c r="Z2813" s="5" t="str">
        <f>IFERROR(__xludf.DUMMYFUNCTION("REGEXEXTRACT(J2813, ""[A-Za-z ]+$"")")," min")</f>
        <v> min</v>
      </c>
      <c r="AA2813" s="5" t="str">
        <f>IFERROR(__xludf.DUMMYFUNCTION("IF(REGEXMATCH(Z2813, ""Season""), ""TV Show"", ""Movie"")"),"Movie")</f>
        <v>Movie</v>
      </c>
    </row>
    <row r="2814">
      <c r="A2814" s="1" t="s">
        <v>15718</v>
      </c>
      <c r="B2814" s="1" t="s">
        <v>27</v>
      </c>
      <c r="C2814" s="1" t="s">
        <v>15719</v>
      </c>
      <c r="D2814" s="1" t="s">
        <v>11198</v>
      </c>
      <c r="E2814" s="1" t="s">
        <v>15720</v>
      </c>
      <c r="G2814" s="1" t="s">
        <v>15712</v>
      </c>
      <c r="H2814" s="1">
        <v>2019.0</v>
      </c>
      <c r="I2814" s="1" t="s">
        <v>206</v>
      </c>
      <c r="J2814" s="1" t="s">
        <v>370</v>
      </c>
      <c r="K2814" s="1" t="s">
        <v>80</v>
      </c>
      <c r="L2814" s="1" t="s">
        <v>15721</v>
      </c>
      <c r="M2814" s="2" t="s">
        <v>12</v>
      </c>
      <c r="N2814" s="4">
        <f t="shared" si="1"/>
        <v>43905</v>
      </c>
      <c r="O2814" s="5" t="str">
        <f>IFERROR(__xludf.DUMMYFUNCTION("IF(REGEXMATCH(TRIM(I2814), ""^\d+\s*min""), ""Unclassified"", IF(I2814 = """", ""NR"", I2814))"),"TV-Y")</f>
        <v>TV-Y</v>
      </c>
      <c r="R2814" s="5" t="str">
        <f t="shared" si="2"/>
        <v>Digs &amp; Discoveries: Mines Of Mystery</v>
      </c>
      <c r="S2814" s="5" t="str">
        <f>IFERROR(__xludf.DUMMYFUNCTION("""COMPUTED_VALUE"""),"Goosebumps 2: Haunted Halloween")</f>
        <v>Goosebumps 2: Haunted Halloween</v>
      </c>
      <c r="U2814" s="5" t="str">
        <f>IFERROR(__xludf.DUMMYFUNCTION("""COMPUTED_VALUE"""),"Gerard Mcmurray")</f>
        <v>Gerard Mcmurray</v>
      </c>
      <c r="V2814" s="5" t="s">
        <v>15722</v>
      </c>
      <c r="W2814" s="5" t="str">
        <f t="shared" si="3"/>
        <v>Michael Margolis</v>
      </c>
      <c r="X2814" s="5">
        <f t="shared" si="4"/>
        <v>1</v>
      </c>
      <c r="Y2814" s="5" t="str">
        <f>IFERROR(__xludf.DUMMYFUNCTION("REGEXEXTRACT(J2814, ""^\d+"")"),"23")</f>
        <v>23</v>
      </c>
      <c r="Z2814" s="5" t="str">
        <f>IFERROR(__xludf.DUMMYFUNCTION("REGEXEXTRACT(J2814, ""[A-Za-z ]+$"")")," min")</f>
        <v> min</v>
      </c>
      <c r="AA2814" s="5" t="str">
        <f>IFERROR(__xludf.DUMMYFUNCTION("IF(REGEXMATCH(Z2814, ""Season""), ""TV Show"", ""Movie"")"),"Movie")</f>
        <v>Movie</v>
      </c>
    </row>
    <row r="2815">
      <c r="A2815" s="1" t="s">
        <v>15723</v>
      </c>
      <c r="B2815" s="1" t="s">
        <v>37</v>
      </c>
      <c r="C2815" s="1" t="s">
        <v>15724</v>
      </c>
      <c r="D2815" s="1" t="s">
        <v>14167</v>
      </c>
      <c r="F2815" s="1" t="s">
        <v>30</v>
      </c>
      <c r="G2815" s="1" t="s">
        <v>15712</v>
      </c>
      <c r="H2815" s="1">
        <v>2019.0</v>
      </c>
      <c r="I2815" s="1" t="s">
        <v>42</v>
      </c>
      <c r="J2815" s="1" t="s">
        <v>51</v>
      </c>
      <c r="K2815" s="1" t="s">
        <v>1261</v>
      </c>
      <c r="L2815" s="1" t="s">
        <v>15725</v>
      </c>
      <c r="M2815" s="2" t="s">
        <v>12</v>
      </c>
      <c r="N2815" s="4">
        <f t="shared" si="1"/>
        <v>43905</v>
      </c>
      <c r="O2815" s="5" t="str">
        <f>IFERROR(__xludf.DUMMYFUNCTION("IF(REGEXMATCH(TRIM(I2815), ""^\d+\s*min""), ""Unclassified"", IF(I2815 = """", ""NR"", I2815))"),"TV-MA")</f>
        <v>TV-MA</v>
      </c>
      <c r="R2815" s="5" t="str">
        <f t="shared" si="2"/>
        <v>Ken Burns Presents: College Behind Bars: A Film By Lynn Novick And Produced By Sarah Botstein</v>
      </c>
      <c r="S2815" s="5" t="str">
        <f>IFERROR(__xludf.DUMMYFUNCTION("""COMPUTED_VALUE"""),"Gori Tere Pyaar Mein")</f>
        <v>Gori Tere Pyaar Mein</v>
      </c>
      <c r="U2815" s="5" t="str">
        <f>IFERROR(__xludf.DUMMYFUNCTION("""COMPUTED_VALUE"""),"Selvamani Selvaraj")</f>
        <v>Selvamani Selvaraj</v>
      </c>
      <c r="V2815" s="5" t="s">
        <v>1050</v>
      </c>
      <c r="W2815" s="5" t="str">
        <f t="shared" si="3"/>
        <v>Michael Martin</v>
      </c>
      <c r="X2815" s="5">
        <f t="shared" si="4"/>
        <v>1</v>
      </c>
      <c r="Y2815" s="5" t="str">
        <f>IFERROR(__xludf.DUMMYFUNCTION("REGEXEXTRACT(J2815, ""^\d+"")"),"1")</f>
        <v>1</v>
      </c>
      <c r="Z2815" s="5" t="str">
        <f>IFERROR(__xludf.DUMMYFUNCTION("REGEXEXTRACT(J2815, ""[A-Za-z ]+$"")")," Season")</f>
        <v> Season</v>
      </c>
      <c r="AA2815" s="5" t="str">
        <f>IFERROR(__xludf.DUMMYFUNCTION("IF(REGEXMATCH(Z2815, ""Season""), ""TV Show"", ""Movie"")"),"TV Show")</f>
        <v>TV Show</v>
      </c>
    </row>
    <row r="2816">
      <c r="A2816" s="1" t="s">
        <v>15726</v>
      </c>
      <c r="B2816" s="1" t="s">
        <v>27</v>
      </c>
      <c r="C2816" s="1" t="s">
        <v>15727</v>
      </c>
      <c r="D2816" s="1" t="s">
        <v>11198</v>
      </c>
      <c r="E2816" s="1" t="s">
        <v>15728</v>
      </c>
      <c r="G2816" s="1" t="s">
        <v>15712</v>
      </c>
      <c r="H2816" s="1">
        <v>2019.0</v>
      </c>
      <c r="I2816" s="1" t="s">
        <v>206</v>
      </c>
      <c r="J2816" s="1" t="s">
        <v>370</v>
      </c>
      <c r="K2816" s="1" t="s">
        <v>80</v>
      </c>
      <c r="L2816" s="1" t="s">
        <v>15729</v>
      </c>
      <c r="M2816" s="2" t="s">
        <v>12</v>
      </c>
      <c r="N2816" s="4">
        <f t="shared" si="1"/>
        <v>43905</v>
      </c>
      <c r="O2816" s="5" t="str">
        <f>IFERROR(__xludf.DUMMYFUNCTION("IF(REGEXMATCH(TRIM(I2816), ""^\d+\s*min""), ""Unclassified"", IF(I2816 = """", ""NR"", I2816))"),"TV-Y")</f>
        <v>TV-Y</v>
      </c>
      <c r="R2816" s="5" t="str">
        <f t="shared" si="2"/>
        <v>Steam Team To The Rescue</v>
      </c>
      <c r="S2816" s="5" t="str">
        <f>IFERROR(__xludf.DUMMYFUNCTION("""COMPUTED_VALUE"""),"Gormiti")</f>
        <v>Gormiti</v>
      </c>
      <c r="U2816" s="5" t="str">
        <f>IFERROR(__xludf.DUMMYFUNCTION("""COMPUTED_VALUE"""),"Seth Barrish, Mike Birbiglia")</f>
        <v>Seth Barrish, Mike Birbiglia</v>
      </c>
      <c r="V2816" s="5" t="s">
        <v>15730</v>
      </c>
      <c r="W2816" s="5" t="str">
        <f t="shared" si="3"/>
        <v>Michael Mason</v>
      </c>
      <c r="X2816" s="5">
        <f t="shared" si="4"/>
        <v>1</v>
      </c>
      <c r="Y2816" s="5" t="str">
        <f>IFERROR(__xludf.DUMMYFUNCTION("REGEXEXTRACT(J2816, ""^\d+"")"),"23")</f>
        <v>23</v>
      </c>
      <c r="Z2816" s="5" t="str">
        <f>IFERROR(__xludf.DUMMYFUNCTION("REGEXEXTRACT(J2816, ""[A-Za-z ]+$"")")," min")</f>
        <v> min</v>
      </c>
      <c r="AA2816" s="5" t="str">
        <f>IFERROR(__xludf.DUMMYFUNCTION("IF(REGEXMATCH(Z2816, ""Season""), ""TV Show"", ""Movie"")"),"Movie")</f>
        <v>Movie</v>
      </c>
    </row>
    <row r="2817">
      <c r="A2817" s="1" t="s">
        <v>15731</v>
      </c>
      <c r="B2817" s="1" t="s">
        <v>27</v>
      </c>
      <c r="C2817" s="1" t="s">
        <v>15732</v>
      </c>
      <c r="D2817" s="1" t="s">
        <v>15733</v>
      </c>
      <c r="E2817" s="1" t="s">
        <v>15734</v>
      </c>
      <c r="F2817" s="1" t="s">
        <v>63</v>
      </c>
      <c r="G2817" s="1" t="s">
        <v>15735</v>
      </c>
      <c r="H2817" s="1">
        <v>2020.0</v>
      </c>
      <c r="I2817" s="1" t="s">
        <v>42</v>
      </c>
      <c r="J2817" s="1" t="s">
        <v>1091</v>
      </c>
      <c r="K2817" s="1" t="s">
        <v>215</v>
      </c>
      <c r="L2817" s="1" t="s">
        <v>15736</v>
      </c>
      <c r="M2817" s="2" t="s">
        <v>12</v>
      </c>
      <c r="N2817" s="4">
        <f t="shared" si="1"/>
        <v>43904</v>
      </c>
      <c r="O2817" s="5" t="str">
        <f>IFERROR(__xludf.DUMMYFUNCTION("IF(REGEXMATCH(TRIM(I2817), ""^\d+\s*min""), ""Unclassified"", IF(I2817 = """", ""NR"", I2817))"),"TV-MA")</f>
        <v>TV-MA</v>
      </c>
      <c r="R2817" s="5" t="str">
        <f t="shared" si="2"/>
        <v>Jai Mummy Di</v>
      </c>
      <c r="S2817" s="5" t="str">
        <f>IFERROR(__xludf.DUMMYFUNCTION("""COMPUTED_VALUE"""),"Görümce")</f>
        <v>Görümce</v>
      </c>
      <c r="U2817" s="5" t="str">
        <f>IFERROR(__xludf.DUMMYFUNCTION("""COMPUTED_VALUE"""),"Lô Politi")</f>
        <v>Lô Politi</v>
      </c>
      <c r="V2817" s="5" t="s">
        <v>15737</v>
      </c>
      <c r="W2817" s="5" t="str">
        <f t="shared" si="3"/>
        <v>Michael Mayer</v>
      </c>
      <c r="X2817" s="5">
        <f t="shared" si="4"/>
        <v>1</v>
      </c>
      <c r="Y2817" s="5" t="str">
        <f>IFERROR(__xludf.DUMMYFUNCTION("REGEXEXTRACT(J2817, ""^\d+"")"),"101")</f>
        <v>101</v>
      </c>
      <c r="Z2817" s="5" t="str">
        <f>IFERROR(__xludf.DUMMYFUNCTION("REGEXEXTRACT(J2817, ""[A-Za-z ]+$"")")," min")</f>
        <v> min</v>
      </c>
      <c r="AA2817" s="5" t="str">
        <f>IFERROR(__xludf.DUMMYFUNCTION("IF(REGEXMATCH(Z2817, ""Season""), ""TV Show"", ""Movie"")"),"Movie")</f>
        <v>Movie</v>
      </c>
    </row>
    <row r="2818">
      <c r="A2818" s="1" t="s">
        <v>15738</v>
      </c>
      <c r="B2818" s="1" t="s">
        <v>37</v>
      </c>
      <c r="C2818" s="1" t="s">
        <v>15739</v>
      </c>
      <c r="E2818" s="1" t="s">
        <v>15740</v>
      </c>
      <c r="F2818" s="1" t="s">
        <v>30</v>
      </c>
      <c r="G2818" s="1" t="s">
        <v>15741</v>
      </c>
      <c r="H2818" s="1">
        <v>2020.0</v>
      </c>
      <c r="I2818" s="1" t="s">
        <v>97</v>
      </c>
      <c r="J2818" s="1" t="s">
        <v>51</v>
      </c>
      <c r="K2818" s="1" t="s">
        <v>736</v>
      </c>
      <c r="L2818" s="1" t="s">
        <v>15742</v>
      </c>
      <c r="M2818" s="2" t="s">
        <v>12</v>
      </c>
      <c r="N2818" s="4">
        <f t="shared" si="1"/>
        <v>43903</v>
      </c>
      <c r="O2818" s="5" t="str">
        <f>IFERROR(__xludf.DUMMYFUNCTION("IF(REGEXMATCH(TRIM(I2818), ""^\d+\s*min""), ""Unclassified"", IF(I2818 = """", ""NR"", I2818))"),"TV-14")</f>
        <v>TV-14</v>
      </c>
      <c r="R2818" s="5" t="str">
        <f t="shared" si="2"/>
        <v>100 Humans</v>
      </c>
      <c r="S2818" s="5" t="str">
        <f>IFERROR(__xludf.DUMMYFUNCTION("""COMPUTED_VALUE"""),"Gosford Park")</f>
        <v>Gosford Park</v>
      </c>
      <c r="U2818" s="5" t="str">
        <f>IFERROR(__xludf.DUMMYFUNCTION("""COMPUTED_VALUE"""),"Tomas Portella")</f>
        <v>Tomas Portella</v>
      </c>
      <c r="V2818" s="5" t="s">
        <v>15743</v>
      </c>
      <c r="W2818" s="5" t="str">
        <f t="shared" si="3"/>
        <v>Michael Mazzola</v>
      </c>
      <c r="X2818" s="5">
        <f t="shared" si="4"/>
        <v>1</v>
      </c>
      <c r="Y2818" s="5" t="str">
        <f>IFERROR(__xludf.DUMMYFUNCTION("REGEXEXTRACT(J2818, ""^\d+"")"),"1")</f>
        <v>1</v>
      </c>
      <c r="Z2818" s="5" t="str">
        <f>IFERROR(__xludf.DUMMYFUNCTION("REGEXEXTRACT(J2818, ""[A-Za-z ]+$"")")," Season")</f>
        <v> Season</v>
      </c>
      <c r="AA2818" s="5" t="str">
        <f>IFERROR(__xludf.DUMMYFUNCTION("IF(REGEXMATCH(Z2818, ""Season""), ""TV Show"", ""Movie"")"),"TV Show")</f>
        <v>TV Show</v>
      </c>
    </row>
    <row r="2819">
      <c r="A2819" s="1" t="s">
        <v>15744</v>
      </c>
      <c r="B2819" s="1" t="s">
        <v>27</v>
      </c>
      <c r="C2819" s="1" t="s">
        <v>15745</v>
      </c>
      <c r="D2819" s="1" t="s">
        <v>15746</v>
      </c>
      <c r="E2819" s="1" t="s">
        <v>15747</v>
      </c>
      <c r="F2819" s="1" t="s">
        <v>40</v>
      </c>
      <c r="G2819" s="1" t="s">
        <v>15741</v>
      </c>
      <c r="H2819" s="1">
        <v>2018.0</v>
      </c>
      <c r="I2819" s="1" t="s">
        <v>97</v>
      </c>
      <c r="J2819" s="1" t="s">
        <v>357</v>
      </c>
      <c r="K2819" s="1" t="s">
        <v>583</v>
      </c>
      <c r="L2819" s="1" t="s">
        <v>15748</v>
      </c>
      <c r="M2819" s="2" t="s">
        <v>12</v>
      </c>
      <c r="N2819" s="4">
        <f t="shared" si="1"/>
        <v>43903</v>
      </c>
      <c r="O2819" s="5" t="str">
        <f>IFERROR(__xludf.DUMMYFUNCTION("IF(REGEXMATCH(TRIM(I2819), ""^\d+\s*min""), ""Unclassified"", IF(I2819 = """", ""NR"", I2819))"),"TV-14")</f>
        <v>TV-14</v>
      </c>
      <c r="R2819" s="5" t="str">
        <f t="shared" si="2"/>
        <v>Baby Mamas</v>
      </c>
      <c r="S2819" s="5" t="str">
        <f>IFERROR(__xludf.DUMMYFUNCTION("""COMPUTED_VALUE"""),"Gossip Girl")</f>
        <v>Gossip Girl</v>
      </c>
      <c r="U2819" s="5" t="str">
        <f>IFERROR(__xludf.DUMMYFUNCTION("""COMPUTED_VALUE"""),"Macon Blair")</f>
        <v>Macon Blair</v>
      </c>
      <c r="V2819" s="5" t="s">
        <v>15749</v>
      </c>
      <c r="W2819" s="5" t="str">
        <f t="shared" si="3"/>
        <v>Michael Mckay</v>
      </c>
      <c r="X2819" s="5">
        <f t="shared" si="4"/>
        <v>4</v>
      </c>
      <c r="Y2819" s="5" t="str">
        <f>IFERROR(__xludf.DUMMYFUNCTION("REGEXEXTRACT(J2819, ""^\d+"")"),"98")</f>
        <v>98</v>
      </c>
      <c r="Z2819" s="5" t="str">
        <f>IFERROR(__xludf.DUMMYFUNCTION("REGEXEXTRACT(J2819, ""[A-Za-z ]+$"")")," min")</f>
        <v> min</v>
      </c>
      <c r="AA2819" s="5" t="str">
        <f>IFERROR(__xludf.DUMMYFUNCTION("IF(REGEXMATCH(Z2819, ""Season""), ""TV Show"", ""Movie"")"),"Movie")</f>
        <v>Movie</v>
      </c>
    </row>
    <row r="2820">
      <c r="A2820" s="1" t="s">
        <v>15750</v>
      </c>
      <c r="B2820" s="1" t="s">
        <v>37</v>
      </c>
      <c r="C2820" s="1" t="s">
        <v>15751</v>
      </c>
      <c r="E2820" s="1" t="s">
        <v>15752</v>
      </c>
      <c r="F2820" s="1" t="s">
        <v>8498</v>
      </c>
      <c r="G2820" s="1" t="s">
        <v>15741</v>
      </c>
      <c r="H2820" s="1">
        <v>2020.0</v>
      </c>
      <c r="I2820" s="1" t="s">
        <v>42</v>
      </c>
      <c r="J2820" s="1" t="s">
        <v>51</v>
      </c>
      <c r="K2820" s="1" t="s">
        <v>9484</v>
      </c>
      <c r="L2820" s="1" t="s">
        <v>15753</v>
      </c>
      <c r="M2820" s="2" t="s">
        <v>12</v>
      </c>
      <c r="N2820" s="4">
        <f t="shared" si="1"/>
        <v>43903</v>
      </c>
      <c r="O2820" s="5" t="str">
        <f>IFERROR(__xludf.DUMMYFUNCTION("IF(REGEXMATCH(TRIM(I2820), ""^\d+\s*min""), ""Unclassified"", IF(I2820 = """", ""NR"", I2820))"),"TV-MA")</f>
        <v>TV-MA</v>
      </c>
      <c r="R2820" s="5" t="str">
        <f t="shared" si="2"/>
        <v>Bloodride</v>
      </c>
      <c r="S2820" s="5" t="str">
        <f>IFERROR(__xludf.DUMMYFUNCTION("""COMPUTED_VALUE"""),"Gotham")</f>
        <v>Gotham</v>
      </c>
      <c r="U2820" s="5" t="str">
        <f>IFERROR(__xludf.DUMMYFUNCTION("""COMPUTED_VALUE"""),"Keith Scholey")</f>
        <v>Keith Scholey</v>
      </c>
      <c r="V2820" s="5" t="s">
        <v>15754</v>
      </c>
      <c r="W2820" s="5" t="str">
        <f t="shared" si="3"/>
        <v>Michael Patrick King</v>
      </c>
      <c r="X2820" s="5">
        <f t="shared" si="4"/>
        <v>2</v>
      </c>
      <c r="Y2820" s="5" t="str">
        <f>IFERROR(__xludf.DUMMYFUNCTION("REGEXEXTRACT(J2820, ""^\d+"")"),"1")</f>
        <v>1</v>
      </c>
      <c r="Z2820" s="5" t="str">
        <f>IFERROR(__xludf.DUMMYFUNCTION("REGEXEXTRACT(J2820, ""[A-Za-z ]+$"")")," Season")</f>
        <v> Season</v>
      </c>
      <c r="AA2820" s="5" t="str">
        <f>IFERROR(__xludf.DUMMYFUNCTION("IF(REGEXMATCH(Z2820, ""Season""), ""TV Show"", ""Movie"")"),"TV Show")</f>
        <v>TV Show</v>
      </c>
    </row>
    <row r="2821">
      <c r="A2821" s="1" t="s">
        <v>15755</v>
      </c>
      <c r="B2821" s="1" t="s">
        <v>27</v>
      </c>
      <c r="C2821" s="1" t="s">
        <v>15756</v>
      </c>
      <c r="D2821" s="1" t="s">
        <v>15757</v>
      </c>
      <c r="E2821" s="1" t="s">
        <v>15758</v>
      </c>
      <c r="F2821" s="1" t="s">
        <v>221</v>
      </c>
      <c r="G2821" s="1" t="s">
        <v>15741</v>
      </c>
      <c r="H2821" s="1">
        <v>2020.0</v>
      </c>
      <c r="I2821" s="1" t="s">
        <v>136</v>
      </c>
      <c r="J2821" s="1" t="s">
        <v>238</v>
      </c>
      <c r="K2821" s="1" t="s">
        <v>771</v>
      </c>
      <c r="L2821" s="1" t="s">
        <v>15759</v>
      </c>
      <c r="M2821" s="2" t="s">
        <v>12</v>
      </c>
      <c r="N2821" s="4">
        <f t="shared" si="1"/>
        <v>43903</v>
      </c>
      <c r="O2821" s="5" t="str">
        <f>IFERROR(__xludf.DUMMYFUNCTION("IF(REGEXMATCH(TRIM(I2821), ""^\d+\s*min""), ""Unclassified"", IF(I2821 = """", ""NR"", I2821))"),"TV-PG")</f>
        <v>TV-PG</v>
      </c>
      <c r="R2821" s="5" t="str">
        <f t="shared" si="2"/>
        <v>Go Karts</v>
      </c>
      <c r="S2821" s="5" t="str">
        <f>IFERROR(__xludf.DUMMYFUNCTION("""COMPUTED_VALUE"""),"Gothika")</f>
        <v>Gothika</v>
      </c>
      <c r="U2821" s="5" t="str">
        <f>IFERROR(__xludf.DUMMYFUNCTION("""COMPUTED_VALUE"""),"Juan Pablo Buscarini")</f>
        <v>Juan Pablo Buscarini</v>
      </c>
      <c r="V2821" s="5" t="s">
        <v>15760</v>
      </c>
      <c r="W2821" s="5" t="str">
        <f t="shared" si="3"/>
        <v>Michael Paul Stephenson</v>
      </c>
      <c r="X2821" s="5">
        <f t="shared" si="4"/>
        <v>1</v>
      </c>
      <c r="Y2821" s="5" t="str">
        <f>IFERROR(__xludf.DUMMYFUNCTION("REGEXEXTRACT(J2821, ""^\d+"")"),"103")</f>
        <v>103</v>
      </c>
      <c r="Z2821" s="5" t="str">
        <f>IFERROR(__xludf.DUMMYFUNCTION("REGEXEXTRACT(J2821, ""[A-Za-z ]+$"")")," min")</f>
        <v> min</v>
      </c>
      <c r="AA2821" s="5" t="str">
        <f>IFERROR(__xludf.DUMMYFUNCTION("IF(REGEXMATCH(Z2821, ""Season""), ""TV Show"", ""Movie"")"),"Movie")</f>
        <v>Movie</v>
      </c>
    </row>
    <row r="2822">
      <c r="A2822" s="1" t="s">
        <v>15761</v>
      </c>
      <c r="B2822" s="1" t="s">
        <v>27</v>
      </c>
      <c r="C2822" s="1" t="s">
        <v>15762</v>
      </c>
      <c r="D2822" s="1" t="s">
        <v>15763</v>
      </c>
      <c r="E2822" s="1" t="s">
        <v>15764</v>
      </c>
      <c r="F2822" s="1" t="s">
        <v>30</v>
      </c>
      <c r="G2822" s="1" t="s">
        <v>15741</v>
      </c>
      <c r="H2822" s="1">
        <v>2019.0</v>
      </c>
      <c r="I2822" s="1" t="s">
        <v>42</v>
      </c>
      <c r="J2822" s="1" t="s">
        <v>256</v>
      </c>
      <c r="K2822" s="1" t="s">
        <v>1320</v>
      </c>
      <c r="L2822" s="1" t="s">
        <v>15765</v>
      </c>
      <c r="M2822" s="2" t="s">
        <v>12</v>
      </c>
      <c r="N2822" s="4">
        <f t="shared" si="1"/>
        <v>43903</v>
      </c>
      <c r="O2822" s="5" t="str">
        <f>IFERROR(__xludf.DUMMYFUNCTION("IF(REGEXMATCH(TRIM(I2822), ""^\d+\s*min""), ""Unclassified"", IF(I2822 = """", ""NR"", I2822))"),"TV-MA")</f>
        <v>TV-MA</v>
      </c>
      <c r="R2822" s="5" t="str">
        <f t="shared" si="2"/>
        <v>Justine</v>
      </c>
      <c r="S2822" s="5" t="str">
        <f>IFERROR(__xludf.DUMMYFUNCTION("""COMPUTED_VALUE"""),"Gour Hari Dastaan: The Freedom File")</f>
        <v>Gour Hari Dastaan: The Freedom File</v>
      </c>
      <c r="U2822" s="5" t="str">
        <f>IFERROR(__xludf.DUMMYFUNCTION("""COMPUTED_VALUE"""),"Thomas Stuber")</f>
        <v>Thomas Stuber</v>
      </c>
      <c r="V2822" s="5" t="s">
        <v>15766</v>
      </c>
      <c r="W2822" s="5" t="str">
        <f t="shared" si="3"/>
        <v>Michael Petroni</v>
      </c>
      <c r="X2822" s="5">
        <f t="shared" si="4"/>
        <v>1</v>
      </c>
      <c r="Y2822" s="5" t="str">
        <f>IFERROR(__xludf.DUMMYFUNCTION("REGEXEXTRACT(J2822, ""^\d+"")"),"106")</f>
        <v>106</v>
      </c>
      <c r="Z2822" s="5" t="str">
        <f>IFERROR(__xludf.DUMMYFUNCTION("REGEXEXTRACT(J2822, ""[A-Za-z ]+$"")")," min")</f>
        <v> min</v>
      </c>
      <c r="AA2822" s="5" t="str">
        <f>IFERROR(__xludf.DUMMYFUNCTION("IF(REGEXMATCH(Z2822, ""Season""), ""TV Show"", ""Movie"")"),"Movie")</f>
        <v>Movie</v>
      </c>
    </row>
    <row r="2823">
      <c r="A2823" s="1" t="s">
        <v>15767</v>
      </c>
      <c r="B2823" s="1" t="s">
        <v>37</v>
      </c>
      <c r="C2823" s="1" t="s">
        <v>15768</v>
      </c>
      <c r="D2823" s="1" t="s">
        <v>2576</v>
      </c>
      <c r="E2823" s="1" t="s">
        <v>15769</v>
      </c>
      <c r="F2823" s="1" t="s">
        <v>15770</v>
      </c>
      <c r="G2823" s="1" t="s">
        <v>15741</v>
      </c>
      <c r="H2823" s="1">
        <v>2020.0</v>
      </c>
      <c r="I2823" s="1" t="s">
        <v>42</v>
      </c>
      <c r="J2823" s="1" t="s">
        <v>43</v>
      </c>
      <c r="K2823" s="1" t="s">
        <v>14196</v>
      </c>
      <c r="L2823" s="1" t="s">
        <v>15771</v>
      </c>
      <c r="M2823" s="2" t="s">
        <v>12</v>
      </c>
      <c r="N2823" s="4">
        <f t="shared" si="1"/>
        <v>43903</v>
      </c>
      <c r="O2823" s="5" t="str">
        <f>IFERROR(__xludf.DUMMYFUNCTION("IF(REGEXMATCH(TRIM(I2823), ""^\d+\s*min""), ""Unclassified"", IF(I2823 = """", ""NR"", I2823))"),"TV-MA")</f>
        <v>TV-MA</v>
      </c>
      <c r="R2823" s="5" t="str">
        <f t="shared" si="2"/>
        <v>Kingdom</v>
      </c>
      <c r="S2823" s="5" t="str">
        <f>IFERROR(__xludf.DUMMYFUNCTION("""COMPUTED_VALUE"""),"Goyo: The Boy General")</f>
        <v>Goyo: The Boy General</v>
      </c>
      <c r="U2823" s="5" t="str">
        <f>IFERROR(__xludf.DUMMYFUNCTION("""COMPUTED_VALUE"""),"Sam Dunn, Scot Mcfadyen")</f>
        <v>Sam Dunn, Scot Mcfadyen</v>
      </c>
      <c r="V2823" s="5" t="s">
        <v>15772</v>
      </c>
      <c r="W2823" s="5" t="str">
        <f t="shared" si="3"/>
        <v>Michael Polish</v>
      </c>
      <c r="X2823" s="5">
        <f t="shared" si="4"/>
        <v>1</v>
      </c>
      <c r="Y2823" s="5" t="str">
        <f>IFERROR(__xludf.DUMMYFUNCTION("REGEXEXTRACT(J2823, ""^\d+"")"),"2")</f>
        <v>2</v>
      </c>
      <c r="Z2823" s="5" t="str">
        <f>IFERROR(__xludf.DUMMYFUNCTION("REGEXEXTRACT(J2823, ""[A-Za-z ]+$"")")," Seasons")</f>
        <v> Seasons</v>
      </c>
      <c r="AA2823" s="5" t="str">
        <f>IFERROR(__xludf.DUMMYFUNCTION("IF(REGEXMATCH(Z2823, ""Season""), ""TV Show"", ""Movie"")"),"TV Show")</f>
        <v>TV Show</v>
      </c>
    </row>
    <row r="2824">
      <c r="A2824" s="1" t="s">
        <v>15773</v>
      </c>
      <c r="B2824" s="1" t="s">
        <v>27</v>
      </c>
      <c r="C2824" s="1" t="s">
        <v>15774</v>
      </c>
      <c r="D2824" s="1" t="s">
        <v>13875</v>
      </c>
      <c r="E2824" s="1" t="s">
        <v>15775</v>
      </c>
      <c r="F2824" s="1" t="s">
        <v>30</v>
      </c>
      <c r="G2824" s="1" t="s">
        <v>15741</v>
      </c>
      <c r="H2824" s="1">
        <v>2020.0</v>
      </c>
      <c r="I2824" s="1" t="s">
        <v>378</v>
      </c>
      <c r="J2824" s="1" t="s">
        <v>465</v>
      </c>
      <c r="K2824" s="1" t="s">
        <v>805</v>
      </c>
      <c r="L2824" s="1" t="s">
        <v>15776</v>
      </c>
      <c r="M2824" s="2" t="s">
        <v>12</v>
      </c>
      <c r="N2824" s="4">
        <f t="shared" si="1"/>
        <v>43903</v>
      </c>
      <c r="O2824" s="5" t="str">
        <f>IFERROR(__xludf.DUMMYFUNCTION("IF(REGEXMATCH(TRIM(I2824), ""^\d+\s*min""), ""Unclassified"", IF(I2824 = """", ""NR"", I2824))"),"R")</f>
        <v>R</v>
      </c>
      <c r="R2824" s="5" t="str">
        <f t="shared" si="2"/>
        <v>Lost Girls</v>
      </c>
      <c r="S2824" s="5" t="str">
        <f>IFERROR(__xludf.DUMMYFUNCTION("""COMPUTED_VALUE"""),"Grace And Frankie")</f>
        <v>Grace And Frankie</v>
      </c>
      <c r="U2824" s="5" t="str">
        <f>IFERROR(__xludf.DUMMYFUNCTION("""COMPUTED_VALUE"""),"Raúl Arévalo")</f>
        <v>Raúl Arévalo</v>
      </c>
      <c r="V2824" s="5" t="s">
        <v>15777</v>
      </c>
      <c r="W2824" s="5" t="str">
        <f t="shared" si="3"/>
        <v>Michael Pressman</v>
      </c>
      <c r="X2824" s="5">
        <f t="shared" si="4"/>
        <v>1</v>
      </c>
      <c r="Y2824" s="5" t="str">
        <f>IFERROR(__xludf.DUMMYFUNCTION("REGEXEXTRACT(J2824, ""^\d+"")"),"95")</f>
        <v>95</v>
      </c>
      <c r="Z2824" s="5" t="str">
        <f>IFERROR(__xludf.DUMMYFUNCTION("REGEXEXTRACT(J2824, ""[A-Za-z ]+$"")")," min")</f>
        <v> min</v>
      </c>
      <c r="AA2824" s="5" t="str">
        <f>IFERROR(__xludf.DUMMYFUNCTION("IF(REGEXMATCH(Z2824, ""Season""), ""TV Show"", ""Movie"")"),"Movie")</f>
        <v>Movie</v>
      </c>
    </row>
    <row r="2825">
      <c r="A2825" s="1" t="s">
        <v>15778</v>
      </c>
      <c r="B2825" s="1" t="s">
        <v>27</v>
      </c>
      <c r="C2825" s="1" t="s">
        <v>15779</v>
      </c>
      <c r="D2825" s="1" t="s">
        <v>15452</v>
      </c>
      <c r="E2825" s="1" t="s">
        <v>15780</v>
      </c>
      <c r="F2825" s="1" t="s">
        <v>188</v>
      </c>
      <c r="G2825" s="1" t="s">
        <v>15741</v>
      </c>
      <c r="H2825" s="1">
        <v>2019.0</v>
      </c>
      <c r="I2825" s="1" t="s">
        <v>97</v>
      </c>
      <c r="J2825" s="1" t="s">
        <v>2505</v>
      </c>
      <c r="K2825" s="1" t="s">
        <v>128</v>
      </c>
      <c r="L2825" s="1" t="s">
        <v>15781</v>
      </c>
      <c r="M2825" s="2" t="s">
        <v>12</v>
      </c>
      <c r="N2825" s="4">
        <f t="shared" si="1"/>
        <v>43903</v>
      </c>
      <c r="O2825" s="5" t="str">
        <f>IFERROR(__xludf.DUMMYFUNCTION("IF(REGEXMATCH(TRIM(I2825), ""^\d+\s*min""), ""Unclassified"", IF(I2825 = """", ""NR"", I2825))"),"TV-14")</f>
        <v>TV-14</v>
      </c>
      <c r="R2825" s="5" t="str">
        <f t="shared" si="2"/>
        <v>Miracle In Cell No. 7</v>
      </c>
      <c r="S2825" s="5" t="str">
        <f>IFERROR(__xludf.DUMMYFUNCTION("""COMPUTED_VALUE"""),"Graceful Friends")</f>
        <v>Graceful Friends</v>
      </c>
      <c r="U2825" s="5" t="str">
        <f>IFERROR(__xludf.DUMMYFUNCTION("""COMPUTED_VALUE"""),"Matías Bize")</f>
        <v>Matías Bize</v>
      </c>
      <c r="V2825" s="5" t="s">
        <v>15782</v>
      </c>
      <c r="W2825" s="5" t="str">
        <f t="shared" si="3"/>
        <v>Michael Radford</v>
      </c>
      <c r="X2825" s="5">
        <f t="shared" si="4"/>
        <v>1</v>
      </c>
      <c r="Y2825" s="5" t="str">
        <f>IFERROR(__xludf.DUMMYFUNCTION("REGEXEXTRACT(J2825, ""^\d+"")"),"132")</f>
        <v>132</v>
      </c>
      <c r="Z2825" s="5" t="str">
        <f>IFERROR(__xludf.DUMMYFUNCTION("REGEXEXTRACT(J2825, ""[A-Za-z ]+$"")")," min")</f>
        <v> min</v>
      </c>
      <c r="AA2825" s="5" t="str">
        <f>IFERROR(__xludf.DUMMYFUNCTION("IF(REGEXMATCH(Z2825, ""Season""), ""TV Show"", ""Movie"")"),"Movie")</f>
        <v>Movie</v>
      </c>
    </row>
    <row r="2826">
      <c r="A2826" s="1" t="s">
        <v>15783</v>
      </c>
      <c r="B2826" s="1" t="s">
        <v>37</v>
      </c>
      <c r="C2826" s="1" t="s">
        <v>15784</v>
      </c>
      <c r="E2826" s="1" t="s">
        <v>15785</v>
      </c>
      <c r="F2826" s="1" t="s">
        <v>4292</v>
      </c>
      <c r="G2826" s="1" t="s">
        <v>15741</v>
      </c>
      <c r="H2826" s="1">
        <v>2020.0</v>
      </c>
      <c r="I2826" s="1" t="s">
        <v>42</v>
      </c>
      <c r="J2826" s="1" t="s">
        <v>51</v>
      </c>
      <c r="K2826" s="1" t="s">
        <v>1362</v>
      </c>
      <c r="L2826" s="1" t="s">
        <v>15786</v>
      </c>
      <c r="M2826" s="2" t="s">
        <v>12</v>
      </c>
      <c r="N2826" s="4">
        <f t="shared" si="1"/>
        <v>43903</v>
      </c>
      <c r="O2826" s="5" t="str">
        <f>IFERROR(__xludf.DUMMYFUNCTION("IF(REGEXMATCH(TRIM(I2826), ""^\d+\s*min""), ""Unclassified"", IF(I2826 = """", ""NR"", I2826))"),"TV-MA")</f>
        <v>TV-MA</v>
      </c>
      <c r="R2826" s="5" t="str">
        <f t="shared" si="2"/>
        <v>The Valhalla Murders</v>
      </c>
      <c r="S2826" s="5" t="str">
        <f>IFERROR(__xludf.DUMMYFUNCTION("""COMPUTED_VALUE"""),"Gran Torino")</f>
        <v>Gran Torino</v>
      </c>
      <c r="U2826" s="5" t="str">
        <f>IFERROR(__xludf.DUMMYFUNCTION("""COMPUTED_VALUE"""),"Michael Paul Stephenson")</f>
        <v>Michael Paul Stephenson</v>
      </c>
      <c r="V2826" s="5" t="s">
        <v>1227</v>
      </c>
      <c r="W2826" s="5" t="str">
        <f t="shared" si="3"/>
        <v>Michael Ritchie</v>
      </c>
      <c r="X2826" s="5">
        <f t="shared" si="4"/>
        <v>1</v>
      </c>
      <c r="Y2826" s="5" t="str">
        <f>IFERROR(__xludf.DUMMYFUNCTION("REGEXEXTRACT(J2826, ""^\d+"")"),"1")</f>
        <v>1</v>
      </c>
      <c r="Z2826" s="5" t="str">
        <f>IFERROR(__xludf.DUMMYFUNCTION("REGEXEXTRACT(J2826, ""[A-Za-z ]+$"")")," Season")</f>
        <v> Season</v>
      </c>
      <c r="AA2826" s="5" t="str">
        <f>IFERROR(__xludf.DUMMYFUNCTION("IF(REGEXMATCH(Z2826, ""Season""), ""TV Show"", ""Movie"")"),"TV Show")</f>
        <v>TV Show</v>
      </c>
    </row>
    <row r="2827">
      <c r="A2827" s="1" t="s">
        <v>15787</v>
      </c>
      <c r="B2827" s="1" t="s">
        <v>37</v>
      </c>
      <c r="C2827" s="1" t="s">
        <v>15788</v>
      </c>
      <c r="F2827" s="1" t="s">
        <v>30</v>
      </c>
      <c r="G2827" s="1" t="s">
        <v>15789</v>
      </c>
      <c r="H2827" s="1">
        <v>2020.0</v>
      </c>
      <c r="I2827" s="1" t="s">
        <v>42</v>
      </c>
      <c r="J2827" s="1" t="s">
        <v>43</v>
      </c>
      <c r="K2827" s="1" t="s">
        <v>2043</v>
      </c>
      <c r="L2827" s="1" t="s">
        <v>15790</v>
      </c>
      <c r="M2827" s="2" t="s">
        <v>12</v>
      </c>
      <c r="N2827" s="4">
        <f t="shared" si="1"/>
        <v>43901</v>
      </c>
      <c r="O2827" s="5" t="str">
        <f>IFERROR(__xludf.DUMMYFUNCTION("IF(REGEXMATCH(TRIM(I2827), ""^\d+\s*min""), ""Unclassified"", IF(I2827 = """", ""NR"", I2827))"),"TV-MA")</f>
        <v>TV-MA</v>
      </c>
      <c r="R2827" s="5" t="str">
        <f t="shared" si="2"/>
        <v>Dirty Money</v>
      </c>
      <c r="S2827" s="5" t="str">
        <f>IFERROR(__xludf.DUMMYFUNCTION("""COMPUTED_VALUE"""),"Granblue Fantasy The Animation")</f>
        <v>Granblue Fantasy The Animation</v>
      </c>
      <c r="U2827" s="5" t="str">
        <f>IFERROR(__xludf.DUMMYFUNCTION("""COMPUTED_VALUE"""),"Colin Dench")</f>
        <v>Colin Dench</v>
      </c>
      <c r="V2827" s="5" t="s">
        <v>15791</v>
      </c>
      <c r="W2827" s="5" t="str">
        <f t="shared" si="3"/>
        <v>Michael Roberts</v>
      </c>
      <c r="X2827" s="5">
        <f t="shared" si="4"/>
        <v>1</v>
      </c>
      <c r="Y2827" s="5" t="str">
        <f>IFERROR(__xludf.DUMMYFUNCTION("REGEXEXTRACT(J2827, ""^\d+"")"),"2")</f>
        <v>2</v>
      </c>
      <c r="Z2827" s="5" t="str">
        <f>IFERROR(__xludf.DUMMYFUNCTION("REGEXEXTRACT(J2827, ""[A-Za-z ]+$"")")," Seasons")</f>
        <v> Seasons</v>
      </c>
      <c r="AA2827" s="5" t="str">
        <f>IFERROR(__xludf.DUMMYFUNCTION("IF(REGEXMATCH(Z2827, ""Season""), ""TV Show"", ""Movie"")"),"TV Show")</f>
        <v>TV Show</v>
      </c>
    </row>
    <row r="2828">
      <c r="A2828" s="1" t="s">
        <v>15792</v>
      </c>
      <c r="B2828" s="1" t="s">
        <v>37</v>
      </c>
      <c r="C2828" s="1" t="s">
        <v>15793</v>
      </c>
      <c r="E2828" s="1" t="s">
        <v>15794</v>
      </c>
      <c r="F2828" s="1" t="s">
        <v>30</v>
      </c>
      <c r="G2828" s="1" t="s">
        <v>15789</v>
      </c>
      <c r="H2828" s="1">
        <v>2020.0</v>
      </c>
      <c r="I2828" s="1" t="s">
        <v>97</v>
      </c>
      <c r="J2828" s="1" t="s">
        <v>276</v>
      </c>
      <c r="K2828" s="1" t="s">
        <v>4634</v>
      </c>
      <c r="L2828" s="1" t="s">
        <v>15795</v>
      </c>
      <c r="M2828" s="2" t="s">
        <v>12</v>
      </c>
      <c r="N2828" s="4">
        <f t="shared" si="1"/>
        <v>43901</v>
      </c>
      <c r="O2828" s="5" t="str">
        <f>IFERROR(__xludf.DUMMYFUNCTION("IF(REGEXMATCH(TRIM(I2828), ""^\d+\s*min""), ""Unclassified"", IF(I2828 = """", ""NR"", I2828))"),"TV-14")</f>
        <v>TV-14</v>
      </c>
      <c r="R2828" s="5" t="str">
        <f t="shared" si="2"/>
        <v>On My Block</v>
      </c>
      <c r="S2828" s="5" t="str">
        <f>IFERROR(__xludf.DUMMYFUNCTION("""COMPUTED_VALUE"""),"Grand Army")</f>
        <v>Grand Army</v>
      </c>
      <c r="U2828" s="5" t="str">
        <f>IFERROR(__xludf.DUMMYFUNCTION("""COMPUTED_VALUE"""),"Ricky Gervais")</f>
        <v>Ricky Gervais</v>
      </c>
      <c r="V2828" s="5" t="s">
        <v>1056</v>
      </c>
      <c r="W2828" s="5" t="str">
        <f t="shared" si="3"/>
        <v>Michael Rymer</v>
      </c>
      <c r="X2828" s="5">
        <f t="shared" si="4"/>
        <v>1</v>
      </c>
      <c r="Y2828" s="5" t="str">
        <f>IFERROR(__xludf.DUMMYFUNCTION("REGEXEXTRACT(J2828, ""^\d+"")"),"3")</f>
        <v>3</v>
      </c>
      <c r="Z2828" s="5" t="str">
        <f>IFERROR(__xludf.DUMMYFUNCTION("REGEXEXTRACT(J2828, ""[A-Za-z ]+$"")")," Seasons")</f>
        <v> Seasons</v>
      </c>
      <c r="AA2828" s="5" t="str">
        <f>IFERROR(__xludf.DUMMYFUNCTION("IF(REGEXMATCH(Z2828, ""Season""), ""TV Show"", ""Movie"")"),"TV Show")</f>
        <v>TV Show</v>
      </c>
    </row>
    <row r="2829">
      <c r="A2829" s="1" t="s">
        <v>15796</v>
      </c>
      <c r="B2829" s="1" t="s">
        <v>37</v>
      </c>
      <c r="C2829" s="1" t="s">
        <v>15797</v>
      </c>
      <c r="E2829" s="1" t="s">
        <v>15798</v>
      </c>
      <c r="F2829" s="1" t="s">
        <v>15799</v>
      </c>
      <c r="G2829" s="1" t="s">
        <v>15789</v>
      </c>
      <c r="H2829" s="1">
        <v>2020.0</v>
      </c>
      <c r="I2829" s="1" t="s">
        <v>42</v>
      </c>
      <c r="J2829" s="1" t="s">
        <v>51</v>
      </c>
      <c r="K2829" s="1" t="s">
        <v>1520</v>
      </c>
      <c r="L2829" s="1" t="s">
        <v>15800</v>
      </c>
      <c r="M2829" s="2" t="s">
        <v>12</v>
      </c>
      <c r="N2829" s="4">
        <f t="shared" si="1"/>
        <v>43901</v>
      </c>
      <c r="O2829" s="5" t="str">
        <f>IFERROR(__xludf.DUMMYFUNCTION("IF(REGEXMATCH(TRIM(I2829), ""^\d+\s*min""), ""Unclassified"", IF(I2829 = """", ""NR"", I2829))"),"TV-MA")</f>
        <v>TV-MA</v>
      </c>
      <c r="R2829" s="5" t="str">
        <f t="shared" si="2"/>
        <v>The Circle Brazil</v>
      </c>
      <c r="S2829" s="5" t="str">
        <f>IFERROR(__xludf.DUMMYFUNCTION("""COMPUTED_VALUE"""),"Grand Designs")</f>
        <v>Grand Designs</v>
      </c>
      <c r="U2829" s="5" t="str">
        <f>IFERROR(__xludf.DUMMYFUNCTION("""COMPUTED_VALUE"""),"Joachim Fest, Christian Herrendoerfer")</f>
        <v>Joachim Fest, Christian Herrendoerfer</v>
      </c>
      <c r="V2829" s="5" t="s">
        <v>15801</v>
      </c>
      <c r="W2829" s="5" t="str">
        <f t="shared" si="3"/>
        <v>Michael Samuels</v>
      </c>
      <c r="X2829" s="5">
        <f t="shared" si="4"/>
        <v>1</v>
      </c>
      <c r="Y2829" s="5" t="str">
        <f>IFERROR(__xludf.DUMMYFUNCTION("REGEXEXTRACT(J2829, ""^\d+"")"),"1")</f>
        <v>1</v>
      </c>
      <c r="Z2829" s="5" t="str">
        <f>IFERROR(__xludf.DUMMYFUNCTION("REGEXEXTRACT(J2829, ""[A-Za-z ]+$"")")," Season")</f>
        <v> Season</v>
      </c>
      <c r="AA2829" s="5" t="str">
        <f>IFERROR(__xludf.DUMMYFUNCTION("IF(REGEXMATCH(Z2829, ""Season""), ""TV Show"", ""Movie"")"),"TV Show")</f>
        <v>TV Show</v>
      </c>
    </row>
    <row r="2830">
      <c r="A2830" s="1" t="s">
        <v>15802</v>
      </c>
      <c r="B2830" s="1" t="s">
        <v>27</v>
      </c>
      <c r="C2830" s="1" t="s">
        <v>15803</v>
      </c>
      <c r="D2830" s="1" t="s">
        <v>11799</v>
      </c>
      <c r="E2830" s="1" t="s">
        <v>15804</v>
      </c>
      <c r="F2830" s="1" t="s">
        <v>1979</v>
      </c>
      <c r="G2830" s="1" t="s">
        <v>15805</v>
      </c>
      <c r="H2830" s="1">
        <v>2020.0</v>
      </c>
      <c r="I2830" s="1" t="s">
        <v>289</v>
      </c>
      <c r="J2830" s="1" t="s">
        <v>1001</v>
      </c>
      <c r="K2830" s="1" t="s">
        <v>80</v>
      </c>
      <c r="L2830" s="1" t="s">
        <v>15806</v>
      </c>
      <c r="M2830" s="2" t="s">
        <v>12</v>
      </c>
      <c r="N2830" s="4">
        <f t="shared" si="1"/>
        <v>43900</v>
      </c>
      <c r="O2830" s="5" t="str">
        <f>IFERROR(__xludf.DUMMYFUNCTION("IF(REGEXMATCH(TRIM(I2830), ""^\d+\s*min""), ""Unclassified"", IF(I2830 = """", ""NR"", I2830))"),"TV-Y7")</f>
        <v>TV-Y7</v>
      </c>
      <c r="R2830" s="5" t="str">
        <f t="shared" si="2"/>
        <v>Carmen Sandiego: To Steal Or Not To Steal</v>
      </c>
      <c r="S2830" s="5" t="str">
        <f>IFERROR(__xludf.DUMMYFUNCTION("""COMPUTED_VALUE"""),"Grand Hotel")</f>
        <v>Grand Hotel</v>
      </c>
      <c r="U2830" s="5" t="str">
        <f>IFERROR(__xludf.DUMMYFUNCTION("""COMPUTED_VALUE"""),"Scott Aukerman, Akiva Schaffer")</f>
        <v>Scott Aukerman, Akiva Schaffer</v>
      </c>
      <c r="V2830" s="5" t="s">
        <v>15807</v>
      </c>
      <c r="W2830" s="5" t="str">
        <f t="shared" si="3"/>
        <v>Michael Seater</v>
      </c>
      <c r="X2830" s="5">
        <f t="shared" si="4"/>
        <v>1</v>
      </c>
      <c r="Y2830" s="5" t="str">
        <f>IFERROR(__xludf.DUMMYFUNCTION("REGEXEXTRACT(J2830, ""^\d+"")"),"82")</f>
        <v>82</v>
      </c>
      <c r="Z2830" s="5" t="str">
        <f>IFERROR(__xludf.DUMMYFUNCTION("REGEXEXTRACT(J2830, ""[A-Za-z ]+$"")")," min")</f>
        <v> min</v>
      </c>
      <c r="AA2830" s="5" t="str">
        <f>IFERROR(__xludf.DUMMYFUNCTION("IF(REGEXMATCH(Z2830, ""Season""), ""TV Show"", ""Movie"")"),"Movie")</f>
        <v>Movie</v>
      </c>
    </row>
    <row r="2831">
      <c r="A2831" s="1" t="s">
        <v>15808</v>
      </c>
      <c r="B2831" s="1" t="s">
        <v>27</v>
      </c>
      <c r="C2831" s="1" t="s">
        <v>15809</v>
      </c>
      <c r="D2831" s="1" t="s">
        <v>3701</v>
      </c>
      <c r="E2831" s="1" t="s">
        <v>15810</v>
      </c>
      <c r="F2831" s="1" t="s">
        <v>30</v>
      </c>
      <c r="G2831" s="1" t="s">
        <v>15805</v>
      </c>
      <c r="H2831" s="1">
        <v>2020.0</v>
      </c>
      <c r="I2831" s="1" t="s">
        <v>42</v>
      </c>
      <c r="J2831" s="1" t="s">
        <v>5650</v>
      </c>
      <c r="K2831" s="1" t="s">
        <v>1839</v>
      </c>
      <c r="L2831" s="1" t="s">
        <v>15811</v>
      </c>
      <c r="M2831" s="2" t="s">
        <v>12</v>
      </c>
      <c r="N2831" s="4">
        <f t="shared" si="1"/>
        <v>43900</v>
      </c>
      <c r="O2831" s="5" t="str">
        <f>IFERROR(__xludf.DUMMYFUNCTION("IF(REGEXMATCH(TRIM(I2831), ""^\d+\s*min""), ""Unclassified"", IF(I2831 = """", ""NR"", I2831))"),"TV-MA")</f>
        <v>TV-MA</v>
      </c>
      <c r="R2831" s="5" t="str">
        <f t="shared" si="2"/>
        <v>Marc Maron: End Times Fun</v>
      </c>
      <c r="S2831" s="5" t="str">
        <f>IFERROR(__xludf.DUMMYFUNCTION("""COMPUTED_VALUE"""),"Grand Masti")</f>
        <v>Grand Masti</v>
      </c>
      <c r="U2831" s="5" t="str">
        <f>IFERROR(__xludf.DUMMYFUNCTION("""COMPUTED_VALUE"""),"Malik Vitthal")</f>
        <v>Malik Vitthal</v>
      </c>
      <c r="V2831" s="5" t="s">
        <v>13995</v>
      </c>
      <c r="W2831" s="5" t="str">
        <f t="shared" si="3"/>
        <v>Michael Showalter</v>
      </c>
      <c r="X2831" s="5">
        <f t="shared" si="4"/>
        <v>2</v>
      </c>
      <c r="Y2831" s="5" t="str">
        <f>IFERROR(__xludf.DUMMYFUNCTION("REGEXEXTRACT(J2831, ""^\d+"")"),"71")</f>
        <v>71</v>
      </c>
      <c r="Z2831" s="5" t="str">
        <f>IFERROR(__xludf.DUMMYFUNCTION("REGEXEXTRACT(J2831, ""[A-Za-z ]+$"")")," min")</f>
        <v> min</v>
      </c>
      <c r="AA2831" s="5" t="str">
        <f>IFERROR(__xludf.DUMMYFUNCTION("IF(REGEXMATCH(Z2831, ""Season""), ""TV Show"", ""Movie"")"),"Movie")</f>
        <v>Movie</v>
      </c>
    </row>
    <row r="2832">
      <c r="A2832" s="1" t="s">
        <v>15812</v>
      </c>
      <c r="B2832" s="1" t="s">
        <v>27</v>
      </c>
      <c r="C2832" s="1" t="s">
        <v>15813</v>
      </c>
      <c r="D2832" s="1" t="s">
        <v>15814</v>
      </c>
      <c r="F2832" s="1" t="s">
        <v>15815</v>
      </c>
      <c r="G2832" s="1" t="s">
        <v>15816</v>
      </c>
      <c r="H2832" s="1">
        <v>2020.0</v>
      </c>
      <c r="I2832" s="1" t="s">
        <v>136</v>
      </c>
      <c r="J2832" s="1" t="s">
        <v>15817</v>
      </c>
      <c r="K2832" s="1" t="s">
        <v>771</v>
      </c>
      <c r="L2832" s="1" t="s">
        <v>15818</v>
      </c>
      <c r="M2832" s="2" t="s">
        <v>12</v>
      </c>
      <c r="N2832" s="4">
        <f t="shared" si="1"/>
        <v>43898</v>
      </c>
      <c r="O2832" s="5" t="str">
        <f>IFERROR(__xludf.DUMMYFUNCTION("IF(REGEXMATCH(TRIM(I2832), ""^\d+\s*min""), ""Unclassified"", IF(I2832 = """", ""NR"", I2832))"),"TV-PG")</f>
        <v>TV-PG</v>
      </c>
      <c r="R2832" s="5" t="str">
        <f t="shared" si="2"/>
        <v>Sitara: Let Girls Dream</v>
      </c>
      <c r="S2832" s="5" t="str">
        <f>IFERROR(__xludf.DUMMYFUNCTION("""COMPUTED_VALUE"""),"Grand-Daddy Day Care")</f>
        <v>Grand-Daddy Day Care</v>
      </c>
      <c r="U2832" s="5" t="str">
        <f>IFERROR(__xludf.DUMMYFUNCTION("""COMPUTED_VALUE"""),"Joaquín Mazón")</f>
        <v>Joaquín Mazón</v>
      </c>
      <c r="V2832" s="5" t="s">
        <v>4424</v>
      </c>
      <c r="W2832" s="5" t="str">
        <f t="shared" si="3"/>
        <v>Michael Simon</v>
      </c>
      <c r="X2832" s="5">
        <f t="shared" si="4"/>
        <v>5</v>
      </c>
      <c r="Y2832" s="5" t="str">
        <f>IFERROR(__xludf.DUMMYFUNCTION("REGEXEXTRACT(J2832, ""^\d+"")"),"16")</f>
        <v>16</v>
      </c>
      <c r="Z2832" s="5" t="str">
        <f>IFERROR(__xludf.DUMMYFUNCTION("REGEXEXTRACT(J2832, ""[A-Za-z ]+$"")")," min")</f>
        <v> min</v>
      </c>
      <c r="AA2832" s="5" t="str">
        <f>IFERROR(__xludf.DUMMYFUNCTION("IF(REGEXMATCH(Z2832, ""Season""), ""TV Show"", ""Movie"")"),"Movie")</f>
        <v>Movie</v>
      </c>
    </row>
    <row r="2833">
      <c r="A2833" s="1" t="s">
        <v>15819</v>
      </c>
      <c r="B2833" s="1" t="s">
        <v>27</v>
      </c>
      <c r="C2833" s="1" t="s">
        <v>15820</v>
      </c>
      <c r="D2833" s="1" t="s">
        <v>15821</v>
      </c>
      <c r="E2833" s="1" t="s">
        <v>15822</v>
      </c>
      <c r="G2833" s="1" t="s">
        <v>15823</v>
      </c>
      <c r="H2833" s="1">
        <v>2017.0</v>
      </c>
      <c r="I2833" s="1" t="s">
        <v>42</v>
      </c>
      <c r="J2833" s="1" t="s">
        <v>106</v>
      </c>
      <c r="K2833" s="1" t="s">
        <v>199</v>
      </c>
      <c r="L2833" s="1" t="s">
        <v>15824</v>
      </c>
      <c r="M2833" s="2" t="s">
        <v>12</v>
      </c>
      <c r="N2833" s="4">
        <f t="shared" si="1"/>
        <v>43896</v>
      </c>
      <c r="O2833" s="5" t="str">
        <f>IFERROR(__xludf.DUMMYFUNCTION("IF(REGEXMATCH(TRIM(I2833), ""^\d+\s*min""), ""Unclassified"", IF(I2833 = """", ""NR"", I2833))"),"TV-MA")</f>
        <v>TV-MA</v>
      </c>
      <c r="R2833" s="5" t="str">
        <f t="shared" si="2"/>
        <v>Alakada Reloaded</v>
      </c>
      <c r="S2833" s="5" t="str">
        <f>IFERROR(__xludf.DUMMYFUNCTION("""COMPUTED_VALUE"""),"Grandmaster")</f>
        <v>Grandmaster</v>
      </c>
      <c r="U2833" s="5" t="str">
        <f>IFERROR(__xludf.DUMMYFUNCTION("""COMPUTED_VALUE"""),"Jonás Trueba")</f>
        <v>Jonás Trueba</v>
      </c>
      <c r="V2833" s="5" t="s">
        <v>15825</v>
      </c>
      <c r="W2833" s="5" t="str">
        <f t="shared" si="3"/>
        <v>Michael Simon, Matthew Mcneil</v>
      </c>
      <c r="X2833" s="5">
        <f t="shared" si="4"/>
        <v>1</v>
      </c>
      <c r="Y2833" s="5" t="str">
        <f>IFERROR(__xludf.DUMMYFUNCTION("REGEXEXTRACT(J2833, ""^\d+"")"),"104")</f>
        <v>104</v>
      </c>
      <c r="Z2833" s="5" t="str">
        <f>IFERROR(__xludf.DUMMYFUNCTION("REGEXEXTRACT(J2833, ""[A-Za-z ]+$"")")," min")</f>
        <v> min</v>
      </c>
      <c r="AA2833" s="5" t="str">
        <f>IFERROR(__xludf.DUMMYFUNCTION("IF(REGEXMATCH(Z2833, ""Season""), ""TV Show"", ""Movie"")"),"Movie")</f>
        <v>Movie</v>
      </c>
    </row>
    <row r="2834">
      <c r="A2834" s="1" t="s">
        <v>15826</v>
      </c>
      <c r="B2834" s="1" t="s">
        <v>27</v>
      </c>
      <c r="C2834" s="1" t="s">
        <v>15827</v>
      </c>
      <c r="D2834" s="1" t="s">
        <v>553</v>
      </c>
      <c r="E2834" s="1" t="s">
        <v>15828</v>
      </c>
      <c r="F2834" s="1" t="s">
        <v>40</v>
      </c>
      <c r="G2834" s="1" t="s">
        <v>15823</v>
      </c>
      <c r="H2834" s="1">
        <v>2017.0</v>
      </c>
      <c r="I2834" s="1" t="s">
        <v>42</v>
      </c>
      <c r="J2834" s="1" t="s">
        <v>6391</v>
      </c>
      <c r="K2834" s="1" t="s">
        <v>679</v>
      </c>
      <c r="L2834" s="1" t="s">
        <v>15829</v>
      </c>
      <c r="M2834" s="2" t="s">
        <v>12</v>
      </c>
      <c r="N2834" s="4">
        <f t="shared" si="1"/>
        <v>43896</v>
      </c>
      <c r="O2834" s="5" t="str">
        <f>IFERROR(__xludf.DUMMYFUNCTION("IF(REGEXMATCH(TRIM(I2834), ""^\d+\s*min""), ""Unclassified"", IF(I2834 = """", ""NR"", I2834))"),"TV-MA")</f>
        <v>TV-MA</v>
      </c>
      <c r="R2834" s="5" t="str">
        <f t="shared" si="2"/>
        <v>All About Love</v>
      </c>
      <c r="S2834" s="5" t="str">
        <f>IFERROR(__xludf.DUMMYFUNCTION("""COMPUTED_VALUE"""),"Grandmother'S Farm")</f>
        <v>Grandmother'S Farm</v>
      </c>
      <c r="U2834" s="5" t="str">
        <f>IFERROR(__xludf.DUMMYFUNCTION("""COMPUTED_VALUE"""),"Peter Deluise")</f>
        <v>Peter Deluise</v>
      </c>
      <c r="V2834" s="5" t="s">
        <v>3470</v>
      </c>
      <c r="W2834" s="5" t="str">
        <f t="shared" si="3"/>
        <v>Michael Spierig, Peter Spierig</v>
      </c>
      <c r="X2834" s="5">
        <f t="shared" si="4"/>
        <v>1</v>
      </c>
      <c r="Y2834" s="5" t="str">
        <f>IFERROR(__xludf.DUMMYFUNCTION("REGEXEXTRACT(J2834, ""^\d+"")"),"79")</f>
        <v>79</v>
      </c>
      <c r="Z2834" s="5" t="str">
        <f>IFERROR(__xludf.DUMMYFUNCTION("REGEXEXTRACT(J2834, ""[A-Za-z ]+$"")")," min")</f>
        <v> min</v>
      </c>
      <c r="AA2834" s="5" t="str">
        <f>IFERROR(__xludf.DUMMYFUNCTION("IF(REGEXMATCH(Z2834, ""Season""), ""TV Show"", ""Movie"")"),"Movie")</f>
        <v>Movie</v>
      </c>
    </row>
    <row r="2835">
      <c r="A2835" s="1" t="s">
        <v>15830</v>
      </c>
      <c r="B2835" s="1" t="s">
        <v>27</v>
      </c>
      <c r="C2835" s="1" t="s">
        <v>15831</v>
      </c>
      <c r="D2835" s="1" t="s">
        <v>15832</v>
      </c>
      <c r="E2835" s="1" t="s">
        <v>15833</v>
      </c>
      <c r="F2835" s="1" t="s">
        <v>63</v>
      </c>
      <c r="G2835" s="1" t="s">
        <v>15823</v>
      </c>
      <c r="H2835" s="1">
        <v>2020.0</v>
      </c>
      <c r="I2835" s="1" t="s">
        <v>42</v>
      </c>
      <c r="J2835" s="1" t="s">
        <v>985</v>
      </c>
      <c r="K2835" s="1" t="s">
        <v>128</v>
      </c>
      <c r="L2835" s="1" t="s">
        <v>15834</v>
      </c>
      <c r="M2835" s="2" t="s">
        <v>12</v>
      </c>
      <c r="N2835" s="4">
        <f t="shared" si="1"/>
        <v>43896</v>
      </c>
      <c r="O2835" s="5" t="str">
        <f>IFERROR(__xludf.DUMMYFUNCTION("IF(REGEXMATCH(TRIM(I2835), ""^\d+\s*min""), ""Unclassified"", IF(I2835 = """", ""NR"", I2835))"),"TV-MA")</f>
        <v>TV-MA</v>
      </c>
      <c r="R2835" s="5" t="str">
        <f t="shared" si="2"/>
        <v>Guilty</v>
      </c>
      <c r="S2835" s="5" t="str">
        <f>IFERROR(__xludf.DUMMYFUNCTION("""COMPUTED_VALUE"""),"Grandmother'S Farm Part 2")</f>
        <v>Grandmother'S Farm Part 2</v>
      </c>
      <c r="U2835" s="5" t="str">
        <f>IFERROR(__xludf.DUMMYFUNCTION("""COMPUTED_VALUE"""),"Alejandra Márquez Abella")</f>
        <v>Alejandra Márquez Abella</v>
      </c>
      <c r="V2835" s="5" t="s">
        <v>15835</v>
      </c>
      <c r="W2835" s="5" t="str">
        <f t="shared" si="3"/>
        <v>Michael Steed</v>
      </c>
      <c r="X2835" s="5">
        <f t="shared" si="4"/>
        <v>1</v>
      </c>
      <c r="Y2835" s="5" t="str">
        <f>IFERROR(__xludf.DUMMYFUNCTION("REGEXEXTRACT(J2835, ""^\d+"")"),"120")</f>
        <v>120</v>
      </c>
      <c r="Z2835" s="5" t="str">
        <f>IFERROR(__xludf.DUMMYFUNCTION("REGEXEXTRACT(J2835, ""[A-Za-z ]+$"")")," min")</f>
        <v> min</v>
      </c>
      <c r="AA2835" s="5" t="str">
        <f>IFERROR(__xludf.DUMMYFUNCTION("IF(REGEXMATCH(Z2835, ""Season""), ""TV Show"", ""Movie"")"),"Movie")</f>
        <v>Movie</v>
      </c>
    </row>
    <row r="2836">
      <c r="A2836" s="1" t="s">
        <v>15836</v>
      </c>
      <c r="B2836" s="1" t="s">
        <v>27</v>
      </c>
      <c r="C2836" s="1" t="s">
        <v>15837</v>
      </c>
      <c r="D2836" s="1" t="s">
        <v>4908</v>
      </c>
      <c r="E2836" s="1" t="s">
        <v>15838</v>
      </c>
      <c r="F2836" s="1" t="s">
        <v>664</v>
      </c>
      <c r="G2836" s="1" t="s">
        <v>15823</v>
      </c>
      <c r="H2836" s="1">
        <v>2019.0</v>
      </c>
      <c r="I2836" s="1" t="s">
        <v>42</v>
      </c>
      <c r="J2836" s="1" t="s">
        <v>1001</v>
      </c>
      <c r="K2836" s="1" t="s">
        <v>89</v>
      </c>
      <c r="L2836" s="1" t="s">
        <v>15839</v>
      </c>
      <c r="M2836" s="2" t="s">
        <v>12</v>
      </c>
      <c r="N2836" s="4">
        <f t="shared" si="1"/>
        <v>43896</v>
      </c>
      <c r="O2836" s="5" t="str">
        <f>IFERROR(__xludf.DUMMYFUNCTION("IF(REGEXMATCH(TRIM(I2836), ""^\d+\s*min""), ""Unclassified"", IF(I2836 = """", ""NR"", I2836))"),"TV-MA")</f>
        <v>TV-MA</v>
      </c>
      <c r="R2836" s="5" t="str">
        <f t="shared" si="2"/>
        <v>I Am Jonas</v>
      </c>
      <c r="S2836" s="5" t="str">
        <f>IFERROR(__xludf.DUMMYFUNCTION("""COMPUTED_VALUE"""),"Grass")</f>
        <v>Grass</v>
      </c>
      <c r="U2836" s="5" t="str">
        <f>IFERROR(__xludf.DUMMYFUNCTION("""COMPUTED_VALUE"""),"Sébastien Betbeder")</f>
        <v>Sébastien Betbeder</v>
      </c>
      <c r="V2836" s="5" t="s">
        <v>15840</v>
      </c>
      <c r="W2836" s="5" t="str">
        <f t="shared" si="3"/>
        <v>Michael Steiner</v>
      </c>
      <c r="X2836" s="5">
        <f t="shared" si="4"/>
        <v>1</v>
      </c>
      <c r="Y2836" s="5" t="str">
        <f>IFERROR(__xludf.DUMMYFUNCTION("REGEXEXTRACT(J2836, ""^\d+"")"),"82")</f>
        <v>82</v>
      </c>
      <c r="Z2836" s="5" t="str">
        <f>IFERROR(__xludf.DUMMYFUNCTION("REGEXEXTRACT(J2836, ""[A-Za-z ]+$"")")," min")</f>
        <v> min</v>
      </c>
      <c r="AA2836" s="5" t="str">
        <f>IFERROR(__xludf.DUMMYFUNCTION("IF(REGEXMATCH(Z2836, ""Season""), ""TV Show"", ""Movie"")"),"Movie")</f>
        <v>Movie</v>
      </c>
    </row>
    <row r="2837">
      <c r="A2837" s="1" t="s">
        <v>15841</v>
      </c>
      <c r="B2837" s="1" t="s">
        <v>27</v>
      </c>
      <c r="C2837" s="1" t="s">
        <v>15842</v>
      </c>
      <c r="D2837" s="1" t="s">
        <v>8356</v>
      </c>
      <c r="E2837" s="1" t="s">
        <v>15843</v>
      </c>
      <c r="F2837" s="1" t="s">
        <v>30</v>
      </c>
      <c r="G2837" s="1" t="s">
        <v>15823</v>
      </c>
      <c r="H2837" s="1">
        <v>2019.0</v>
      </c>
      <c r="I2837" s="1" t="s">
        <v>42</v>
      </c>
      <c r="J2837" s="1" t="s">
        <v>379</v>
      </c>
      <c r="K2837" s="1" t="s">
        <v>700</v>
      </c>
      <c r="L2837" s="1" t="s">
        <v>15844</v>
      </c>
      <c r="M2837" s="2" t="s">
        <v>12</v>
      </c>
      <c r="N2837" s="4">
        <f t="shared" si="1"/>
        <v>43896</v>
      </c>
      <c r="O2837" s="5" t="str">
        <f>IFERROR(__xludf.DUMMYFUNCTION("IF(REGEXMATCH(TRIM(I2837), ""^\d+\s*min""), ""Unclassified"", IF(I2837 = """", ""NR"", I2837))"),"TV-MA")</f>
        <v>TV-MA</v>
      </c>
      <c r="R2837" s="5" t="str">
        <f t="shared" si="2"/>
        <v>Miles Davis: Birth Of The Cool</v>
      </c>
      <c r="S2837" s="5" t="str">
        <f>IFERROR(__xludf.DUMMYFUNCTION("""COMPUTED_VALUE"""),"Grass Is Greener")</f>
        <v>Grass Is Greener</v>
      </c>
      <c r="U2837" s="5" t="str">
        <f>IFERROR(__xludf.DUMMYFUNCTION("""COMPUTED_VALUE"""),"Adam Randall")</f>
        <v>Adam Randall</v>
      </c>
      <c r="V2837" s="5" t="s">
        <v>15845</v>
      </c>
      <c r="W2837" s="5" t="str">
        <f t="shared" si="3"/>
        <v>Michael Thelin</v>
      </c>
      <c r="X2837" s="5">
        <f t="shared" si="4"/>
        <v>1</v>
      </c>
      <c r="Y2837" s="5" t="str">
        <f>IFERROR(__xludf.DUMMYFUNCTION("REGEXEXTRACT(J2837, ""^\d+"")"),"115")</f>
        <v>115</v>
      </c>
      <c r="Z2837" s="5" t="str">
        <f>IFERROR(__xludf.DUMMYFUNCTION("REGEXEXTRACT(J2837, ""[A-Za-z ]+$"")")," min")</f>
        <v> min</v>
      </c>
      <c r="AA2837" s="5" t="str">
        <f>IFERROR(__xludf.DUMMYFUNCTION("IF(REGEXMATCH(Z2837, ""Season""), ""TV Show"", ""Movie"")"),"Movie")</f>
        <v>Movie</v>
      </c>
    </row>
    <row r="2838">
      <c r="A2838" s="1" t="s">
        <v>15846</v>
      </c>
      <c r="B2838" s="1" t="s">
        <v>27</v>
      </c>
      <c r="C2838" s="1" t="s">
        <v>15847</v>
      </c>
      <c r="D2838" s="1" t="s">
        <v>10207</v>
      </c>
      <c r="E2838" s="1" t="s">
        <v>15848</v>
      </c>
      <c r="F2838" s="1" t="s">
        <v>30</v>
      </c>
      <c r="G2838" s="1" t="s">
        <v>15823</v>
      </c>
      <c r="H2838" s="1">
        <v>2020.0</v>
      </c>
      <c r="I2838" s="1" t="s">
        <v>378</v>
      </c>
      <c r="J2838" s="1" t="s">
        <v>264</v>
      </c>
      <c r="K2838" s="1" t="s">
        <v>973</v>
      </c>
      <c r="L2838" s="1" t="s">
        <v>15849</v>
      </c>
      <c r="M2838" s="2" t="s">
        <v>12</v>
      </c>
      <c r="N2838" s="4">
        <f t="shared" si="1"/>
        <v>43896</v>
      </c>
      <c r="O2838" s="5" t="str">
        <f>IFERROR(__xludf.DUMMYFUNCTION("IF(REGEXMATCH(TRIM(I2838), ""^\d+\s*min""), ""Unclassified"", IF(I2838 = """", ""NR"", I2838))"),"R")</f>
        <v>R</v>
      </c>
      <c r="R2838" s="5" t="str">
        <f t="shared" si="2"/>
        <v>Spenser Confidential</v>
      </c>
      <c r="S2838" s="5" t="str">
        <f>IFERROR(__xludf.DUMMYFUNCTION("""COMPUTED_VALUE"""),"Grease")</f>
        <v>Grease</v>
      </c>
      <c r="U2838" s="5" t="str">
        <f>IFERROR(__xludf.DUMMYFUNCTION("""COMPUTED_VALUE"""),"Marco Dutra")</f>
        <v>Marco Dutra</v>
      </c>
      <c r="V2838" s="5" t="s">
        <v>4522</v>
      </c>
      <c r="W2838" s="5" t="str">
        <f t="shared" si="3"/>
        <v>Michael Tiddes</v>
      </c>
      <c r="X2838" s="5">
        <f t="shared" si="4"/>
        <v>4</v>
      </c>
      <c r="Y2838" s="5" t="str">
        <f>IFERROR(__xludf.DUMMYFUNCTION("REGEXEXTRACT(J2838, ""^\d+"")"),"111")</f>
        <v>111</v>
      </c>
      <c r="Z2838" s="5" t="str">
        <f>IFERROR(__xludf.DUMMYFUNCTION("REGEXEXTRACT(J2838, ""[A-Za-z ]+$"")")," min")</f>
        <v> min</v>
      </c>
      <c r="AA2838" s="5" t="str">
        <f>IFERROR(__xludf.DUMMYFUNCTION("IF(REGEXMATCH(Z2838, ""Season""), ""TV Show"", ""Movie"")"),"Movie")</f>
        <v>Movie</v>
      </c>
    </row>
    <row r="2839">
      <c r="A2839" s="1" t="s">
        <v>15850</v>
      </c>
      <c r="B2839" s="1" t="s">
        <v>27</v>
      </c>
      <c r="C2839" s="1" t="s">
        <v>15851</v>
      </c>
      <c r="D2839" s="1" t="s">
        <v>5502</v>
      </c>
      <c r="E2839" s="1" t="s">
        <v>15852</v>
      </c>
      <c r="F2839" s="1" t="s">
        <v>784</v>
      </c>
      <c r="G2839" s="1" t="s">
        <v>15823</v>
      </c>
      <c r="H2839" s="1">
        <v>2020.0</v>
      </c>
      <c r="I2839" s="1" t="s">
        <v>42</v>
      </c>
      <c r="J2839" s="1" t="s">
        <v>297</v>
      </c>
      <c r="K2839" s="1" t="s">
        <v>631</v>
      </c>
      <c r="L2839" s="1" t="s">
        <v>15853</v>
      </c>
      <c r="M2839" s="2" t="s">
        <v>12</v>
      </c>
      <c r="N2839" s="4">
        <f t="shared" si="1"/>
        <v>43896</v>
      </c>
      <c r="O2839" s="5" t="str">
        <f>IFERROR(__xludf.DUMMYFUNCTION("IF(REGEXMATCH(TRIM(I2839), ""^\d+\s*min""), ""Unclassified"", IF(I2839 = """", ""NR"", I2839))"),"TV-MA")</f>
        <v>TV-MA</v>
      </c>
      <c r="R2839" s="5" t="str">
        <f t="shared" si="2"/>
        <v>Twin Murders: The Silence Of The White City</v>
      </c>
      <c r="S2839" s="5" t="str">
        <f>IFERROR(__xludf.DUMMYFUNCTION("""COMPUTED_VALUE"""),"Great Interior Design Challenge")</f>
        <v>Great Interior Design Challenge</v>
      </c>
      <c r="U2839" s="5" t="str">
        <f>IFERROR(__xludf.DUMMYFUNCTION("""COMPUTED_VALUE"""),"Mario Rouleau")</f>
        <v>Mario Rouleau</v>
      </c>
      <c r="V2839" s="5" t="s">
        <v>15854</v>
      </c>
      <c r="W2839" s="5" t="str">
        <f t="shared" si="3"/>
        <v>Michael Tolajian</v>
      </c>
      <c r="X2839" s="5">
        <f t="shared" si="4"/>
        <v>1</v>
      </c>
      <c r="Y2839" s="5" t="str">
        <f>IFERROR(__xludf.DUMMYFUNCTION("REGEXEXTRACT(J2839, ""^\d+"")"),"110")</f>
        <v>110</v>
      </c>
      <c r="Z2839" s="5" t="str">
        <f>IFERROR(__xludf.DUMMYFUNCTION("REGEXEXTRACT(J2839, ""[A-Za-z ]+$"")")," min")</f>
        <v> min</v>
      </c>
      <c r="AA2839" s="5" t="str">
        <f>IFERROR(__xludf.DUMMYFUNCTION("IF(REGEXMATCH(Z2839, ""Season""), ""TV Show"", ""Movie"")"),"Movie")</f>
        <v>Movie</v>
      </c>
    </row>
    <row r="2840">
      <c r="A2840" s="1" t="s">
        <v>15855</v>
      </c>
      <c r="B2840" s="1" t="s">
        <v>37</v>
      </c>
      <c r="C2840" s="1" t="s">
        <v>15856</v>
      </c>
      <c r="E2840" s="1" t="s">
        <v>15857</v>
      </c>
      <c r="F2840" s="1" t="s">
        <v>30</v>
      </c>
      <c r="G2840" s="1" t="s">
        <v>15823</v>
      </c>
      <c r="H2840" s="1">
        <v>2020.0</v>
      </c>
      <c r="I2840" s="1" t="s">
        <v>42</v>
      </c>
      <c r="J2840" s="1" t="s">
        <v>43</v>
      </c>
      <c r="K2840" s="1" t="s">
        <v>1261</v>
      </c>
      <c r="L2840" s="1" t="s">
        <v>15858</v>
      </c>
      <c r="M2840" s="2" t="s">
        <v>12</v>
      </c>
      <c r="N2840" s="4">
        <f t="shared" si="1"/>
        <v>43896</v>
      </c>
      <c r="O2840" s="5" t="str">
        <f>IFERROR(__xludf.DUMMYFUNCTION("IF(REGEXMATCH(TRIM(I2840), ""^\d+\s*min""), ""Unclassified"", IF(I2840 = """", ""NR"", I2840))"),"TV-MA")</f>
        <v>TV-MA</v>
      </c>
      <c r="R2840" s="5" t="str">
        <f t="shared" si="2"/>
        <v>Ugly Delicious</v>
      </c>
      <c r="S2840" s="5" t="str">
        <f>IFERROR(__xludf.DUMMYFUNCTION("""COMPUTED_VALUE"""),"Great News")</f>
        <v>Great News</v>
      </c>
      <c r="U2840" s="5" t="str">
        <f>IFERROR(__xludf.DUMMYFUNCTION("""COMPUTED_VALUE"""),"Aniruddha Roy Chowdhury")</f>
        <v>Aniruddha Roy Chowdhury</v>
      </c>
      <c r="V2840" s="5" t="s">
        <v>15859</v>
      </c>
      <c r="W2840" s="5" t="str">
        <f t="shared" si="3"/>
        <v>Michael Whitton</v>
      </c>
      <c r="X2840" s="5">
        <f t="shared" si="4"/>
        <v>1</v>
      </c>
      <c r="Y2840" s="5" t="str">
        <f>IFERROR(__xludf.DUMMYFUNCTION("REGEXEXTRACT(J2840, ""^\d+"")"),"2")</f>
        <v>2</v>
      </c>
      <c r="Z2840" s="5" t="str">
        <f>IFERROR(__xludf.DUMMYFUNCTION("REGEXEXTRACT(J2840, ""[A-Za-z ]+$"")")," Seasons")</f>
        <v> Seasons</v>
      </c>
      <c r="AA2840" s="5" t="str">
        <f>IFERROR(__xludf.DUMMYFUNCTION("IF(REGEXMATCH(Z2840, ""Season""), ""TV Show"", ""Movie"")"),"TV Show")</f>
        <v>TV Show</v>
      </c>
    </row>
    <row r="2841">
      <c r="A2841" s="1" t="s">
        <v>15860</v>
      </c>
      <c r="B2841" s="1" t="s">
        <v>27</v>
      </c>
      <c r="C2841" s="1" t="s">
        <v>15861</v>
      </c>
      <c r="D2841" s="1" t="s">
        <v>5125</v>
      </c>
      <c r="E2841" s="1" t="s">
        <v>15862</v>
      </c>
      <c r="F2841" s="1" t="s">
        <v>400</v>
      </c>
      <c r="G2841" s="1" t="s">
        <v>15863</v>
      </c>
      <c r="H2841" s="1">
        <v>2016.0</v>
      </c>
      <c r="I2841" s="1" t="s">
        <v>136</v>
      </c>
      <c r="J2841" s="1" t="s">
        <v>941</v>
      </c>
      <c r="K2841" s="1" t="s">
        <v>298</v>
      </c>
      <c r="L2841" s="1" t="s">
        <v>15864</v>
      </c>
      <c r="M2841" s="2" t="s">
        <v>12</v>
      </c>
      <c r="N2841" s="4">
        <f t="shared" si="1"/>
        <v>43895</v>
      </c>
      <c r="O2841" s="5" t="str">
        <f>IFERROR(__xludf.DUMMYFUNCTION("IF(REGEXMATCH(TRIM(I2841), ""^\d+\s*min""), ""Unclassified"", IF(I2841 = """", ""NR"", I2841))"),"TV-PG")</f>
        <v>TV-PG</v>
      </c>
      <c r="R2841" s="5" t="str">
        <f t="shared" si="2"/>
        <v>93 Days</v>
      </c>
      <c r="S2841" s="5" t="str">
        <f>IFERROR(__xludf.DUMMYFUNCTION("""COMPUTED_VALUE"""),"Great Pretender")</f>
        <v>Great Pretender</v>
      </c>
      <c r="U2841" s="5" t="str">
        <f>IFERROR(__xludf.DUMMYFUNCTION("""COMPUTED_VALUE"""),"Chester Tam")</f>
        <v>Chester Tam</v>
      </c>
      <c r="V2841" s="5" t="s">
        <v>15865</v>
      </c>
      <c r="W2841" s="5" t="str">
        <f t="shared" si="3"/>
        <v>Michael Winnick</v>
      </c>
      <c r="X2841" s="5">
        <f t="shared" si="4"/>
        <v>1</v>
      </c>
      <c r="Y2841" s="5" t="str">
        <f>IFERROR(__xludf.DUMMYFUNCTION("REGEXEXTRACT(J2841, ""^\d+"")"),"121")</f>
        <v>121</v>
      </c>
      <c r="Z2841" s="5" t="str">
        <f>IFERROR(__xludf.DUMMYFUNCTION("REGEXEXTRACT(J2841, ""[A-Za-z ]+$"")")," min")</f>
        <v> min</v>
      </c>
      <c r="AA2841" s="5" t="str">
        <f>IFERROR(__xludf.DUMMYFUNCTION("IF(REGEXMATCH(Z2841, ""Season""), ""TV Show"", ""Movie"")"),"Movie")</f>
        <v>Movie</v>
      </c>
    </row>
    <row r="2842">
      <c r="A2842" s="1" t="s">
        <v>15866</v>
      </c>
      <c r="B2842" s="1" t="s">
        <v>27</v>
      </c>
      <c r="C2842" s="1" t="s">
        <v>15867</v>
      </c>
      <c r="D2842" s="1" t="s">
        <v>15868</v>
      </c>
      <c r="E2842" s="1" t="s">
        <v>15869</v>
      </c>
      <c r="G2842" s="1" t="s">
        <v>15863</v>
      </c>
      <c r="H2842" s="1">
        <v>2020.0</v>
      </c>
      <c r="I2842" s="1" t="s">
        <v>97</v>
      </c>
      <c r="J2842" s="1" t="s">
        <v>6105</v>
      </c>
      <c r="K2842" s="1" t="s">
        <v>617</v>
      </c>
      <c r="L2842" s="1" t="s">
        <v>15870</v>
      </c>
      <c r="M2842" s="2" t="s">
        <v>12</v>
      </c>
      <c r="N2842" s="4">
        <f t="shared" si="1"/>
        <v>43895</v>
      </c>
      <c r="O2842" s="5" t="str">
        <f>IFERROR(__xludf.DUMMYFUNCTION("IF(REGEXMATCH(TRIM(I2842), ""^\d+\s*min""), ""Unclassified"", IF(I2842 = """", ""NR"", I2842))"),"TV-14")</f>
        <v>TV-14</v>
      </c>
      <c r="R2842" s="5" t="str">
        <f t="shared" si="2"/>
        <v>Angu Vaikuntapurathu (Malayalam)</v>
      </c>
      <c r="S2842" s="5" t="str">
        <f>IFERROR(__xludf.DUMMYFUNCTION("""COMPUTED_VALUE"""),"Great Yellowstone Thaw")</f>
        <v>Great Yellowstone Thaw</v>
      </c>
      <c r="U2842" s="5" t="str">
        <f>IFERROR(__xludf.DUMMYFUNCTION("""COMPUTED_VALUE"""),"Hannes Stöhr")</f>
        <v>Hannes Stöhr</v>
      </c>
      <c r="V2842" s="5" t="s">
        <v>4990</v>
      </c>
      <c r="W2842" s="5" t="str">
        <f t="shared" si="3"/>
        <v>Michael Winterbottom</v>
      </c>
      <c r="X2842" s="5">
        <f t="shared" si="4"/>
        <v>2</v>
      </c>
      <c r="Y2842" s="5" t="str">
        <f>IFERROR(__xludf.DUMMYFUNCTION("REGEXEXTRACT(J2842, ""^\d+"")"),"162")</f>
        <v>162</v>
      </c>
      <c r="Z2842" s="5" t="str">
        <f>IFERROR(__xludf.DUMMYFUNCTION("REGEXEXTRACT(J2842, ""[A-Za-z ]+$"")")," min")</f>
        <v> min</v>
      </c>
      <c r="AA2842" s="5" t="str">
        <f>IFERROR(__xludf.DUMMYFUNCTION("IF(REGEXMATCH(Z2842, ""Season""), ""TV Show"", ""Movie"")"),"Movie")</f>
        <v>Movie</v>
      </c>
    </row>
    <row r="2843">
      <c r="A2843" s="1" t="s">
        <v>15871</v>
      </c>
      <c r="B2843" s="1" t="s">
        <v>37</v>
      </c>
      <c r="C2843" s="1" t="s">
        <v>15872</v>
      </c>
      <c r="E2843" s="1" t="s">
        <v>15873</v>
      </c>
      <c r="F2843" s="1" t="s">
        <v>63</v>
      </c>
      <c r="G2843" s="1" t="s">
        <v>15863</v>
      </c>
      <c r="H2843" s="1">
        <v>2020.0</v>
      </c>
      <c r="I2843" s="1" t="s">
        <v>206</v>
      </c>
      <c r="J2843" s="1" t="s">
        <v>51</v>
      </c>
      <c r="K2843" s="1" t="s">
        <v>314</v>
      </c>
      <c r="L2843" s="1" t="s">
        <v>15874</v>
      </c>
      <c r="M2843" s="2" t="s">
        <v>12</v>
      </c>
      <c r="N2843" s="4">
        <f t="shared" si="1"/>
        <v>43895</v>
      </c>
      <c r="O2843" s="5" t="str">
        <f>IFERROR(__xludf.DUMMYFUNCTION("IF(REGEXMATCH(TRIM(I2843), ""^\d+\s*min""), ""Unclassified"", IF(I2843 = """", ""NR"", I2843))"),"TV-Y")</f>
        <v>TV-Y</v>
      </c>
      <c r="R2843" s="5" t="str">
        <f t="shared" si="2"/>
        <v>Mighty Little Bheem: Festival Of Colors</v>
      </c>
      <c r="S2843" s="5" t="str">
        <f>IFERROR(__xludf.DUMMYFUNCTION("""COMPUTED_VALUE"""),"Greater")</f>
        <v>Greater</v>
      </c>
      <c r="U2843" s="5" t="str">
        <f>IFERROR(__xludf.DUMMYFUNCTION("""COMPUTED_VALUE"""),"Andreas Prochaska")</f>
        <v>Andreas Prochaska</v>
      </c>
      <c r="V2843" s="5" t="s">
        <v>15875</v>
      </c>
      <c r="W2843" s="5" t="str">
        <f t="shared" si="3"/>
        <v>Michał Tylka</v>
      </c>
      <c r="X2843" s="5">
        <f t="shared" si="4"/>
        <v>1</v>
      </c>
      <c r="Y2843" s="5" t="str">
        <f>IFERROR(__xludf.DUMMYFUNCTION("REGEXEXTRACT(J2843, ""^\d+"")"),"1")</f>
        <v>1</v>
      </c>
      <c r="Z2843" s="5" t="str">
        <f>IFERROR(__xludf.DUMMYFUNCTION("REGEXEXTRACT(J2843, ""[A-Za-z ]+$"")")," Season")</f>
        <v> Season</v>
      </c>
      <c r="AA2843" s="5" t="str">
        <f>IFERROR(__xludf.DUMMYFUNCTION("IF(REGEXMATCH(Z2843, ""Season""), ""TV Show"", ""Movie"")"),"TV Show")</f>
        <v>TV Show</v>
      </c>
    </row>
    <row r="2844">
      <c r="A2844" s="1" t="s">
        <v>15876</v>
      </c>
      <c r="B2844" s="1" t="s">
        <v>27</v>
      </c>
      <c r="C2844" s="1" t="s">
        <v>15877</v>
      </c>
      <c r="D2844" s="1" t="s">
        <v>13084</v>
      </c>
      <c r="E2844" s="1" t="s">
        <v>15878</v>
      </c>
      <c r="F2844" s="1" t="s">
        <v>2796</v>
      </c>
      <c r="G2844" s="1" t="s">
        <v>15863</v>
      </c>
      <c r="H2844" s="1">
        <v>2019.0</v>
      </c>
      <c r="I2844" s="1" t="s">
        <v>42</v>
      </c>
      <c r="J2844" s="1" t="s">
        <v>912</v>
      </c>
      <c r="K2844" s="1" t="s">
        <v>8160</v>
      </c>
      <c r="L2844" s="1" t="s">
        <v>15879</v>
      </c>
      <c r="M2844" s="2" t="s">
        <v>12</v>
      </c>
      <c r="N2844" s="4">
        <f t="shared" si="1"/>
        <v>43895</v>
      </c>
      <c r="O2844" s="5" t="str">
        <f>IFERROR(__xludf.DUMMYFUNCTION("IF(REGEXMATCH(TRIM(I2844), ""^\d+\s*min""), ""Unclassified"", IF(I2844 = """", ""NR"", I2844))"),"TV-MA")</f>
        <v>TV-MA</v>
      </c>
      <c r="R2844" s="5" t="str">
        <f t="shared" si="2"/>
        <v>Tootsies &amp; The Fake</v>
      </c>
      <c r="S2844" s="5" t="str">
        <f>IFERROR(__xludf.DUMMYFUNCTION("""COMPUTED_VALUE"""),"Greatest Events Of Wwii In Colour")</f>
        <v>Greatest Events Of Wwii In Colour</v>
      </c>
      <c r="U2844" s="5" t="str">
        <f>IFERROR(__xludf.DUMMYFUNCTION("""COMPUTED_VALUE"""),"Maximilian Erlenwein")</f>
        <v>Maximilian Erlenwein</v>
      </c>
      <c r="V2844" s="5" t="s">
        <v>15880</v>
      </c>
      <c r="W2844" s="5" t="str">
        <f t="shared" si="3"/>
        <v>Michel Gondry</v>
      </c>
      <c r="X2844" s="5">
        <f t="shared" si="4"/>
        <v>1</v>
      </c>
      <c r="Y2844" s="5" t="str">
        <f>IFERROR(__xludf.DUMMYFUNCTION("REGEXEXTRACT(J2844, ""^\d+"")"),"108")</f>
        <v>108</v>
      </c>
      <c r="Z2844" s="5" t="str">
        <f>IFERROR(__xludf.DUMMYFUNCTION("REGEXEXTRACT(J2844, ""[A-Za-z ]+$"")")," min")</f>
        <v> min</v>
      </c>
      <c r="AA2844" s="5" t="str">
        <f>IFERROR(__xludf.DUMMYFUNCTION("IF(REGEXMATCH(Z2844, ""Season""), ""TV Show"", ""Movie"")"),"Movie")</f>
        <v>Movie</v>
      </c>
    </row>
    <row r="2845">
      <c r="A2845" s="1" t="s">
        <v>15881</v>
      </c>
      <c r="B2845" s="1" t="s">
        <v>27</v>
      </c>
      <c r="C2845" s="1" t="s">
        <v>15882</v>
      </c>
      <c r="D2845" s="1" t="s">
        <v>5277</v>
      </c>
      <c r="E2845" s="1" t="s">
        <v>15883</v>
      </c>
      <c r="F2845" s="1" t="s">
        <v>15884</v>
      </c>
      <c r="G2845" s="1" t="s">
        <v>15885</v>
      </c>
      <c r="H2845" s="1">
        <v>2010.0</v>
      </c>
      <c r="I2845" s="1" t="s">
        <v>42</v>
      </c>
      <c r="J2845" s="1" t="s">
        <v>15886</v>
      </c>
      <c r="K2845" s="1" t="s">
        <v>128</v>
      </c>
      <c r="L2845" s="1" t="s">
        <v>15887</v>
      </c>
      <c r="M2845" s="2" t="s">
        <v>12</v>
      </c>
      <c r="N2845" s="4">
        <f t="shared" si="1"/>
        <v>43894</v>
      </c>
      <c r="O2845" s="5" t="str">
        <f>IFERROR(__xludf.DUMMYFUNCTION("IF(REGEXMATCH(TRIM(I2845), ""^\d+\s*min""), ""Unclassified"", IF(I2845 = """", ""NR"", I2845))"),"TV-MA")</f>
        <v>TV-MA</v>
      </c>
      <c r="R2845" s="5" t="str">
        <f t="shared" si="2"/>
        <v>Aurora</v>
      </c>
      <c r="S2845" s="5" t="str">
        <f>IFERROR(__xludf.DUMMYFUNCTION("""COMPUTED_VALUE"""),"Green Door")</f>
        <v>Green Door</v>
      </c>
      <c r="U2845" s="5" t="str">
        <f>IFERROR(__xludf.DUMMYFUNCTION("""COMPUTED_VALUE"""),"Burhan Qurbani")</f>
        <v>Burhan Qurbani</v>
      </c>
      <c r="V2845" s="5" t="s">
        <v>14786</v>
      </c>
      <c r="W2845" s="5" t="str">
        <f t="shared" si="3"/>
        <v>Michel Hazanavicius</v>
      </c>
      <c r="X2845" s="5">
        <f t="shared" si="4"/>
        <v>1</v>
      </c>
      <c r="Y2845" s="5" t="str">
        <f>IFERROR(__xludf.DUMMYFUNCTION("REGEXEXTRACT(J2845, ""^\d+"")"),"186")</f>
        <v>186</v>
      </c>
      <c r="Z2845" s="5" t="str">
        <f>IFERROR(__xludf.DUMMYFUNCTION("REGEXEXTRACT(J2845, ""[A-Za-z ]+$"")")," min")</f>
        <v> min</v>
      </c>
      <c r="AA2845" s="5" t="str">
        <f>IFERROR(__xludf.DUMMYFUNCTION("IF(REGEXMATCH(Z2845, ""Season""), ""TV Show"", ""Movie"")"),"Movie")</f>
        <v>Movie</v>
      </c>
    </row>
    <row r="2846">
      <c r="A2846" s="1" t="s">
        <v>15888</v>
      </c>
      <c r="B2846" s="1" t="s">
        <v>27</v>
      </c>
      <c r="C2846" s="1" t="s">
        <v>15889</v>
      </c>
      <c r="D2846" s="1" t="s">
        <v>15890</v>
      </c>
      <c r="E2846" s="1" t="s">
        <v>15891</v>
      </c>
      <c r="F2846" s="1" t="s">
        <v>30</v>
      </c>
      <c r="G2846" s="1" t="s">
        <v>15885</v>
      </c>
      <c r="H2846" s="1">
        <v>2019.0</v>
      </c>
      <c r="I2846" s="1" t="s">
        <v>42</v>
      </c>
      <c r="J2846" s="1" t="s">
        <v>349</v>
      </c>
      <c r="K2846" s="1" t="s">
        <v>700</v>
      </c>
      <c r="L2846" s="1" t="s">
        <v>15892</v>
      </c>
      <c r="M2846" s="2" t="s">
        <v>12</v>
      </c>
      <c r="N2846" s="4">
        <f t="shared" si="1"/>
        <v>43894</v>
      </c>
      <c r="O2846" s="5" t="str">
        <f>IFERROR(__xludf.DUMMYFUNCTION("IF(REGEXMATCH(TRIM(I2846), ""^\d+\s*min""), ""Unclassified"", IF(I2846 = """", ""NR"", I2846))"),"TV-MA")</f>
        <v>TV-MA</v>
      </c>
      <c r="R2846" s="5" t="str">
        <f t="shared" si="2"/>
        <v>Lil Peep: Everybody’S Everything</v>
      </c>
      <c r="S2846" s="5" t="str">
        <f>IFERROR(__xludf.DUMMYFUNCTION("""COMPUTED_VALUE"""),"Green Eggs And Ham")</f>
        <v>Green Eggs And Ham</v>
      </c>
      <c r="U2846" s="5" t="str">
        <f>IFERROR(__xludf.DUMMYFUNCTION("""COMPUTED_VALUE"""),"Hubert Woroniecki")</f>
        <v>Hubert Woroniecki</v>
      </c>
      <c r="V2846" s="5" t="s">
        <v>15893</v>
      </c>
      <c r="W2846" s="5" t="str">
        <f t="shared" si="3"/>
        <v>Michel Tikhomiroff</v>
      </c>
      <c r="X2846" s="5">
        <f t="shared" si="4"/>
        <v>1</v>
      </c>
      <c r="Y2846" s="5" t="str">
        <f>IFERROR(__xludf.DUMMYFUNCTION("REGEXEXTRACT(J2846, ""^\d+"")"),"116")</f>
        <v>116</v>
      </c>
      <c r="Z2846" s="5" t="str">
        <f>IFERROR(__xludf.DUMMYFUNCTION("REGEXEXTRACT(J2846, ""[A-Za-z ]+$"")")," min")</f>
        <v> min</v>
      </c>
      <c r="AA2846" s="5" t="str">
        <f>IFERROR(__xludf.DUMMYFUNCTION("IF(REGEXMATCH(Z2846, ""Season""), ""TV Show"", ""Movie"")"),"Movie")</f>
        <v>Movie</v>
      </c>
    </row>
    <row r="2847">
      <c r="A2847" s="1" t="s">
        <v>15894</v>
      </c>
      <c r="B2847" s="1" t="s">
        <v>27</v>
      </c>
      <c r="C2847" s="1" t="s">
        <v>15895</v>
      </c>
      <c r="D2847" s="1" t="s">
        <v>5277</v>
      </c>
      <c r="E2847" s="1" t="s">
        <v>15896</v>
      </c>
      <c r="F2847" s="1" t="s">
        <v>4041</v>
      </c>
      <c r="G2847" s="1" t="s">
        <v>15885</v>
      </c>
      <c r="H2847" s="1">
        <v>2005.0</v>
      </c>
      <c r="I2847" s="1" t="s">
        <v>378</v>
      </c>
      <c r="J2847" s="1" t="s">
        <v>965</v>
      </c>
      <c r="K2847" s="1" t="s">
        <v>128</v>
      </c>
      <c r="L2847" s="1" t="s">
        <v>15897</v>
      </c>
      <c r="M2847" s="2" t="s">
        <v>12</v>
      </c>
      <c r="N2847" s="4">
        <f t="shared" si="1"/>
        <v>43894</v>
      </c>
      <c r="O2847" s="5" t="str">
        <f>IFERROR(__xludf.DUMMYFUNCTION("IF(REGEXMATCH(TRIM(I2847), ""^\d+\s*min""), ""Unclassified"", IF(I2847 = """", ""NR"", I2847))"),"R")</f>
        <v>R</v>
      </c>
      <c r="R2847" s="5" t="str">
        <f t="shared" si="2"/>
        <v>The Death Of Mr. Lazarescu</v>
      </c>
      <c r="S2847" s="5" t="str">
        <f>IFERROR(__xludf.DUMMYFUNCTION("""COMPUTED_VALUE"""),"Green Frontier")</f>
        <v>Green Frontier</v>
      </c>
      <c r="U2847" s="5" t="str">
        <f>IFERROR(__xludf.DUMMYFUNCTION("""COMPUTED_VALUE"""),"Alistair Legrand")</f>
        <v>Alistair Legrand</v>
      </c>
      <c r="V2847" s="5" t="s">
        <v>7913</v>
      </c>
      <c r="W2847" s="5" t="str">
        <f t="shared" si="3"/>
        <v>Michèle Ohayon</v>
      </c>
      <c r="X2847" s="5">
        <f t="shared" si="4"/>
        <v>3</v>
      </c>
      <c r="Y2847" s="5" t="str">
        <f>IFERROR(__xludf.DUMMYFUNCTION("REGEXEXTRACT(J2847, ""^\d+"")"),"154")</f>
        <v>154</v>
      </c>
      <c r="Z2847" s="5" t="str">
        <f>IFERROR(__xludf.DUMMYFUNCTION("REGEXEXTRACT(J2847, ""[A-Za-z ]+$"")")," min")</f>
        <v> min</v>
      </c>
      <c r="AA2847" s="5" t="str">
        <f>IFERROR(__xludf.DUMMYFUNCTION("IF(REGEXMATCH(Z2847, ""Season""), ""TV Show"", ""Movie"")"),"Movie")</f>
        <v>Movie</v>
      </c>
    </row>
    <row r="2848">
      <c r="A2848" s="1" t="s">
        <v>15898</v>
      </c>
      <c r="B2848" s="1" t="s">
        <v>37</v>
      </c>
      <c r="C2848" s="1" t="s">
        <v>15899</v>
      </c>
      <c r="D2848" s="1" t="s">
        <v>4180</v>
      </c>
      <c r="E2848" s="1" t="s">
        <v>15900</v>
      </c>
      <c r="F2848" s="1" t="s">
        <v>784</v>
      </c>
      <c r="G2848" s="1" t="s">
        <v>15885</v>
      </c>
      <c r="H2848" s="1">
        <v>2016.0</v>
      </c>
      <c r="I2848" s="1" t="s">
        <v>97</v>
      </c>
      <c r="J2848" s="1" t="s">
        <v>148</v>
      </c>
      <c r="K2848" s="1" t="s">
        <v>1822</v>
      </c>
      <c r="L2848" s="1" t="s">
        <v>15901</v>
      </c>
      <c r="M2848" s="2" t="s">
        <v>12</v>
      </c>
      <c r="N2848" s="4">
        <f t="shared" si="1"/>
        <v>43894</v>
      </c>
      <c r="O2848" s="5" t="str">
        <f>IFERROR(__xludf.DUMMYFUNCTION("IF(REGEXMATCH(TRIM(I2848), ""^\d+\s*min""), ""Unclassified"", IF(I2848 = """", ""NR"", I2848))"),"TV-14")</f>
        <v>TV-14</v>
      </c>
      <c r="R2848" s="5" t="str">
        <f t="shared" si="2"/>
        <v>Velvet</v>
      </c>
      <c r="S2848" s="5" t="str">
        <f>IFERROR(__xludf.DUMMYFUNCTION("""COMPUTED_VALUE"""),"Green Lantern")</f>
        <v>Green Lantern</v>
      </c>
      <c r="U2848" s="5" t="str">
        <f>IFERROR(__xludf.DUMMYFUNCTION("""COMPUTED_VALUE"""),"Mir-Jean Bou Chaaya")</f>
        <v>Mir-Jean Bou Chaaya</v>
      </c>
      <c r="V2848" s="5" t="s">
        <v>2425</v>
      </c>
      <c r="W2848" s="5" t="str">
        <f t="shared" si="3"/>
        <v>Michelle Bello</v>
      </c>
      <c r="X2848" s="5">
        <f t="shared" si="4"/>
        <v>1</v>
      </c>
      <c r="Y2848" s="5" t="str">
        <f>IFERROR(__xludf.DUMMYFUNCTION("REGEXEXTRACT(J2848, ""^\d+"")"),"4")</f>
        <v>4</v>
      </c>
      <c r="Z2848" s="5" t="str">
        <f>IFERROR(__xludf.DUMMYFUNCTION("REGEXEXTRACT(J2848, ""[A-Za-z ]+$"")")," Seasons")</f>
        <v> Seasons</v>
      </c>
      <c r="AA2848" s="5" t="str">
        <f>IFERROR(__xludf.DUMMYFUNCTION("IF(REGEXMATCH(Z2848, ""Season""), ""TV Show"", ""Movie"")"),"TV Show")</f>
        <v>TV Show</v>
      </c>
    </row>
    <row r="2849">
      <c r="A2849" s="1" t="s">
        <v>15902</v>
      </c>
      <c r="B2849" s="1" t="s">
        <v>27</v>
      </c>
      <c r="C2849" s="1" t="s">
        <v>15903</v>
      </c>
      <c r="D2849" s="1" t="s">
        <v>330</v>
      </c>
      <c r="E2849" s="1" t="s">
        <v>15904</v>
      </c>
      <c r="F2849" s="1" t="s">
        <v>897</v>
      </c>
      <c r="G2849" s="1" t="s">
        <v>15905</v>
      </c>
      <c r="H2849" s="1">
        <v>2018.0</v>
      </c>
      <c r="I2849" s="1" t="s">
        <v>378</v>
      </c>
      <c r="J2849" s="1" t="s">
        <v>305</v>
      </c>
      <c r="K2849" s="1" t="s">
        <v>15646</v>
      </c>
      <c r="L2849" s="1" t="s">
        <v>15906</v>
      </c>
      <c r="M2849" s="2" t="s">
        <v>12</v>
      </c>
      <c r="N2849" s="4">
        <f t="shared" si="1"/>
        <v>43893</v>
      </c>
      <c r="O2849" s="5" t="str">
        <f>IFERROR(__xludf.DUMMYFUNCTION("IF(REGEXMATCH(TRIM(I2849), ""^\d+\s*min""), ""Unclassified"", IF(I2849 = """", ""NR"", I2849))"),"R")</f>
        <v>R</v>
      </c>
      <c r="R2849" s="5" t="str">
        <f t="shared" si="2"/>
        <v>Freaks</v>
      </c>
      <c r="S2849" s="5" t="str">
        <f>IFERROR(__xludf.DUMMYFUNCTION("""COMPUTED_VALUE"""),"Green Room")</f>
        <v>Green Room</v>
      </c>
      <c r="U2849" s="5" t="str">
        <f>IFERROR(__xludf.DUMMYFUNCTION("""COMPUTED_VALUE"""),"Jeannie Gaffigan")</f>
        <v>Jeannie Gaffigan</v>
      </c>
      <c r="V2849" s="5" t="s">
        <v>14492</v>
      </c>
      <c r="W2849" s="5" t="str">
        <f t="shared" si="3"/>
        <v>Michelle Esrick</v>
      </c>
      <c r="X2849" s="5">
        <f t="shared" si="4"/>
        <v>1</v>
      </c>
      <c r="Y2849" s="5" t="str">
        <f>IFERROR(__xludf.DUMMYFUNCTION("REGEXEXTRACT(J2849, ""^\d+"")"),"105")</f>
        <v>105</v>
      </c>
      <c r="Z2849" s="5" t="str">
        <f>IFERROR(__xludf.DUMMYFUNCTION("REGEXEXTRACT(J2849, ""[A-Za-z ]+$"")")," min")</f>
        <v> min</v>
      </c>
      <c r="AA2849" s="5" t="str">
        <f>IFERROR(__xludf.DUMMYFUNCTION("IF(REGEXMATCH(Z2849, ""Season""), ""TV Show"", ""Movie"")"),"Movie")</f>
        <v>Movie</v>
      </c>
    </row>
    <row r="2850">
      <c r="A2850" s="1" t="s">
        <v>15907</v>
      </c>
      <c r="B2850" s="1" t="s">
        <v>27</v>
      </c>
      <c r="C2850" s="1" t="s">
        <v>15908</v>
      </c>
      <c r="D2850" s="1" t="s">
        <v>14005</v>
      </c>
      <c r="E2850" s="1" t="s">
        <v>15909</v>
      </c>
      <c r="F2850" s="1" t="s">
        <v>1992</v>
      </c>
      <c r="G2850" s="1" t="s">
        <v>15905</v>
      </c>
      <c r="H2850" s="1">
        <v>2019.0</v>
      </c>
      <c r="I2850" s="1" t="s">
        <v>206</v>
      </c>
      <c r="J2850" s="1" t="s">
        <v>5650</v>
      </c>
      <c r="K2850" s="1" t="s">
        <v>1662</v>
      </c>
      <c r="L2850" s="1" t="s">
        <v>15910</v>
      </c>
      <c r="M2850" s="2" t="s">
        <v>12</v>
      </c>
      <c r="N2850" s="4">
        <f t="shared" si="1"/>
        <v>43893</v>
      </c>
      <c r="O2850" s="5" t="str">
        <f>IFERROR(__xludf.DUMMYFUNCTION("IF(REGEXMATCH(TRIM(I2850), ""^\d+\s*min""), ""Unclassified"", IF(I2850 = """", ""NR"", I2850))"),"TV-Y")</f>
        <v>TV-Y</v>
      </c>
      <c r="R2850" s="5" t="str">
        <f t="shared" si="2"/>
        <v>Luccas Neto In: The End Of Christmas</v>
      </c>
      <c r="S2850" s="5" t="str">
        <f>IFERROR(__xludf.DUMMYFUNCTION("""COMPUTED_VALUE"""),"Green White Green (And All The Beautiful Colours In My Mosaic Of Madness)")</f>
        <v>Green White Green (And All The Beautiful Colours In My Mosaic Of Madness)</v>
      </c>
      <c r="U2850" s="5" t="str">
        <f>IFERROR(__xludf.DUMMYFUNCTION("""COMPUTED_VALUE"""),"Babak Anvari")</f>
        <v>Babak Anvari</v>
      </c>
      <c r="V2850" s="5" t="s">
        <v>15911</v>
      </c>
      <c r="W2850" s="5" t="str">
        <f t="shared" si="3"/>
        <v>Michelle Johnston</v>
      </c>
      <c r="X2850" s="5">
        <f t="shared" si="4"/>
        <v>1</v>
      </c>
      <c r="Y2850" s="5" t="str">
        <f>IFERROR(__xludf.DUMMYFUNCTION("REGEXEXTRACT(J2850, ""^\d+"")"),"71")</f>
        <v>71</v>
      </c>
      <c r="Z2850" s="5" t="str">
        <f>IFERROR(__xludf.DUMMYFUNCTION("REGEXEXTRACT(J2850, ""[A-Za-z ]+$"")")," min")</f>
        <v> min</v>
      </c>
      <c r="AA2850" s="5" t="str">
        <f>IFERROR(__xludf.DUMMYFUNCTION("IF(REGEXMATCH(Z2850, ""Season""), ""TV Show"", ""Movie"")"),"Movie")</f>
        <v>Movie</v>
      </c>
    </row>
    <row r="2851">
      <c r="A2851" s="1" t="s">
        <v>15912</v>
      </c>
      <c r="B2851" s="1" t="s">
        <v>27</v>
      </c>
      <c r="C2851" s="1" t="s">
        <v>15913</v>
      </c>
      <c r="D2851" s="1" t="s">
        <v>14140</v>
      </c>
      <c r="E2851" s="1" t="s">
        <v>15914</v>
      </c>
      <c r="F2851" s="1" t="s">
        <v>30</v>
      </c>
      <c r="G2851" s="1" t="s">
        <v>15905</v>
      </c>
      <c r="H2851" s="1">
        <v>2020.0</v>
      </c>
      <c r="I2851" s="1" t="s">
        <v>42</v>
      </c>
      <c r="J2851" s="1" t="s">
        <v>207</v>
      </c>
      <c r="K2851" s="1" t="s">
        <v>1839</v>
      </c>
      <c r="L2851" s="1" t="s">
        <v>15915</v>
      </c>
      <c r="M2851" s="2" t="s">
        <v>12</v>
      </c>
      <c r="N2851" s="4">
        <f t="shared" si="1"/>
        <v>43893</v>
      </c>
      <c r="O2851" s="5" t="str">
        <f>IFERROR(__xludf.DUMMYFUNCTION("IF(REGEXMATCH(TRIM(I2851), ""^\d+\s*min""), ""Unclassified"", IF(I2851 = """", ""NR"", I2851))"),"TV-MA")</f>
        <v>TV-MA</v>
      </c>
      <c r="R2851" s="5" t="str">
        <f t="shared" si="2"/>
        <v>Taylor Tomlinson: Quarter-Life Crisis</v>
      </c>
      <c r="S2851" s="5" t="str">
        <f>IFERROR(__xludf.DUMMYFUNCTION("""COMPUTED_VALUE"""),"Green Zone")</f>
        <v>Green Zone</v>
      </c>
      <c r="U2851" s="5" t="str">
        <f>IFERROR(__xludf.DUMMYFUNCTION("""COMPUTED_VALUE"""),"Emily Hagins")</f>
        <v>Emily Hagins</v>
      </c>
      <c r="V2851" s="5" t="s">
        <v>15916</v>
      </c>
      <c r="W2851" s="5" t="str">
        <f t="shared" si="3"/>
        <v>Michelle Maclaren</v>
      </c>
      <c r="X2851" s="5">
        <f t="shared" si="4"/>
        <v>1</v>
      </c>
      <c r="Y2851" s="5" t="str">
        <f>IFERROR(__xludf.DUMMYFUNCTION("REGEXEXTRACT(J2851, ""^\d+"")"),"61")</f>
        <v>61</v>
      </c>
      <c r="Z2851" s="5" t="str">
        <f>IFERROR(__xludf.DUMMYFUNCTION("REGEXEXTRACT(J2851, ""[A-Za-z ]+$"")")," min")</f>
        <v> min</v>
      </c>
      <c r="AA2851" s="5" t="str">
        <f>IFERROR(__xludf.DUMMYFUNCTION("IF(REGEXMATCH(Z2851, ""Season""), ""TV Show"", ""Movie"")"),"Movie")</f>
        <v>Movie</v>
      </c>
    </row>
    <row r="2852">
      <c r="A2852" s="1" t="s">
        <v>15917</v>
      </c>
      <c r="B2852" s="1" t="s">
        <v>27</v>
      </c>
      <c r="C2852" s="1" t="s">
        <v>15918</v>
      </c>
      <c r="D2852" s="1" t="s">
        <v>2695</v>
      </c>
      <c r="E2852" s="1" t="s">
        <v>15919</v>
      </c>
      <c r="F2852" s="1" t="s">
        <v>63</v>
      </c>
      <c r="G2852" s="1" t="s">
        <v>15905</v>
      </c>
      <c r="H2852" s="1">
        <v>2019.0</v>
      </c>
      <c r="I2852" s="1" t="s">
        <v>97</v>
      </c>
      <c r="J2852" s="1" t="s">
        <v>1428</v>
      </c>
      <c r="K2852" s="1" t="s">
        <v>89</v>
      </c>
      <c r="L2852" s="1" t="s">
        <v>15920</v>
      </c>
      <c r="M2852" s="2" t="s">
        <v>12</v>
      </c>
      <c r="N2852" s="4">
        <f t="shared" si="1"/>
        <v>43893</v>
      </c>
      <c r="O2852" s="5" t="str">
        <f>IFERROR(__xludf.DUMMYFUNCTION("IF(REGEXMATCH(TRIM(I2852), ""^\d+\s*min""), ""Unclassified"", IF(I2852 = """", ""NR"", I2852))"),"TV-14")</f>
        <v>TV-14</v>
      </c>
      <c r="R2852" s="5" t="str">
        <f t="shared" si="2"/>
        <v>The Last Bomb Of The Second World War</v>
      </c>
      <c r="S2852" s="5" t="str">
        <f>IFERROR(__xludf.DUMMYFUNCTION("""COMPUTED_VALUE"""),"Greenhouse Academy")</f>
        <v>Greenhouse Academy</v>
      </c>
      <c r="U2852" s="5" t="str">
        <f>IFERROR(__xludf.DUMMYFUNCTION("""COMPUTED_VALUE"""),"Greg Richardson")</f>
        <v>Greg Richardson</v>
      </c>
      <c r="V2852" s="5" t="s">
        <v>4200</v>
      </c>
      <c r="W2852" s="5" t="str">
        <f t="shared" si="3"/>
        <v>Michihito Fujii</v>
      </c>
      <c r="X2852" s="5">
        <f t="shared" si="4"/>
        <v>1</v>
      </c>
      <c r="Y2852" s="5" t="str">
        <f>IFERROR(__xludf.DUMMYFUNCTION("REGEXEXTRACT(J2852, ""^\d+"")"),"133")</f>
        <v>133</v>
      </c>
      <c r="Z2852" s="5" t="str">
        <f>IFERROR(__xludf.DUMMYFUNCTION("REGEXEXTRACT(J2852, ""[A-Za-z ]+$"")")," min")</f>
        <v> min</v>
      </c>
      <c r="AA2852" s="5" t="str">
        <f>IFERROR(__xludf.DUMMYFUNCTION("IF(REGEXMATCH(Z2852, ""Season""), ""TV Show"", ""Movie"")"),"Movie")</f>
        <v>Movie</v>
      </c>
    </row>
    <row r="2853">
      <c r="A2853" s="1" t="s">
        <v>15921</v>
      </c>
      <c r="B2853" s="1" t="s">
        <v>27</v>
      </c>
      <c r="C2853" s="1" t="s">
        <v>15922</v>
      </c>
      <c r="D2853" s="1" t="s">
        <v>15923</v>
      </c>
      <c r="E2853" s="1" t="s">
        <v>15924</v>
      </c>
      <c r="F2853" s="1" t="s">
        <v>40</v>
      </c>
      <c r="G2853" s="1" t="s">
        <v>15905</v>
      </c>
      <c r="H2853" s="1">
        <v>2019.0</v>
      </c>
      <c r="I2853" s="1" t="s">
        <v>42</v>
      </c>
      <c r="J2853" s="1" t="s">
        <v>357</v>
      </c>
      <c r="K2853" s="1" t="s">
        <v>128</v>
      </c>
      <c r="L2853" s="1" t="s">
        <v>15925</v>
      </c>
      <c r="M2853" s="2" t="s">
        <v>12</v>
      </c>
      <c r="N2853" s="4">
        <f t="shared" si="1"/>
        <v>43893</v>
      </c>
      <c r="O2853" s="5" t="str">
        <f>IFERROR(__xludf.DUMMYFUNCTION("IF(REGEXMATCH(TRIM(I2853), ""^\d+\s*min""), ""Unclassified"", IF(I2853 = """", ""NR"", I2853))"),"TV-MA")</f>
        <v>TV-MA</v>
      </c>
      <c r="R2853" s="5" t="str">
        <f t="shared" si="2"/>
        <v>Uncovered</v>
      </c>
      <c r="S2853" s="5" t="str">
        <f>IFERROR(__xludf.DUMMYFUNCTION("""COMPUTED_VALUE"""),"Greenleaf")</f>
        <v>Greenleaf</v>
      </c>
      <c r="U2853" s="5" t="str">
        <f>IFERROR(__xludf.DUMMYFUNCTION("""COMPUTED_VALUE"""),"Uwe Boll")</f>
        <v>Uwe Boll</v>
      </c>
      <c r="V2853" s="5" t="s">
        <v>15926</v>
      </c>
      <c r="W2853" s="5" t="str">
        <f t="shared" si="3"/>
        <v>Mick Grogan</v>
      </c>
      <c r="X2853" s="5">
        <f t="shared" si="4"/>
        <v>1</v>
      </c>
      <c r="Y2853" s="5" t="str">
        <f>IFERROR(__xludf.DUMMYFUNCTION("REGEXEXTRACT(J2853, ""^\d+"")"),"98")</f>
        <v>98</v>
      </c>
      <c r="Z2853" s="5" t="str">
        <f>IFERROR(__xludf.DUMMYFUNCTION("REGEXEXTRACT(J2853, ""[A-Za-z ]+$"")")," min")</f>
        <v> min</v>
      </c>
      <c r="AA2853" s="5" t="str">
        <f>IFERROR(__xludf.DUMMYFUNCTION("IF(REGEXMATCH(Z2853, ""Season""), ""TV Show"", ""Movie"")"),"Movie")</f>
        <v>Movie</v>
      </c>
    </row>
    <row r="2854">
      <c r="A2854" s="1" t="s">
        <v>15927</v>
      </c>
      <c r="B2854" s="1" t="s">
        <v>27</v>
      </c>
      <c r="C2854" s="1" t="s">
        <v>15928</v>
      </c>
      <c r="D2854" s="1" t="s">
        <v>14234</v>
      </c>
      <c r="E2854" s="1" t="s">
        <v>15929</v>
      </c>
      <c r="F2854" s="1" t="s">
        <v>96</v>
      </c>
      <c r="G2854" s="1" t="s">
        <v>15905</v>
      </c>
      <c r="H2854" s="1">
        <v>2011.0</v>
      </c>
      <c r="I2854" s="1" t="s">
        <v>378</v>
      </c>
      <c r="J2854" s="1" t="s">
        <v>804</v>
      </c>
      <c r="K2854" s="1" t="s">
        <v>828</v>
      </c>
      <c r="L2854" s="1" t="s">
        <v>15930</v>
      </c>
      <c r="M2854" s="2" t="s">
        <v>12</v>
      </c>
      <c r="N2854" s="4">
        <f t="shared" si="1"/>
        <v>43893</v>
      </c>
      <c r="O2854" s="5" t="str">
        <f>IFERROR(__xludf.DUMMYFUNCTION("IF(REGEXMATCH(TRIM(I2854), ""^\d+\s*min""), ""Unclassified"", IF(I2854 = """", ""NR"", I2854))"),"R")</f>
        <v>R</v>
      </c>
      <c r="R2854" s="5" t="str">
        <f t="shared" si="2"/>
        <v>W.E.</v>
      </c>
      <c r="S2854" s="5" t="str">
        <f>IFERROR(__xludf.DUMMYFUNCTION("""COMPUTED_VALUE"""),"Greg Davies: You Magnificent Beast")</f>
        <v>Greg Davies: You Magnificent Beast</v>
      </c>
      <c r="U2854" s="5" t="str">
        <f>IFERROR(__xludf.DUMMYFUNCTION("""COMPUTED_VALUE"""),"Mitch Schauer")</f>
        <v>Mitch Schauer</v>
      </c>
      <c r="V2854" s="5" t="s">
        <v>12511</v>
      </c>
      <c r="W2854" s="5" t="str">
        <f t="shared" si="3"/>
        <v>Mickey Fonseca</v>
      </c>
      <c r="X2854" s="5">
        <f t="shared" si="4"/>
        <v>1</v>
      </c>
      <c r="Y2854" s="5" t="str">
        <f>IFERROR(__xludf.DUMMYFUNCTION("REGEXEXTRACT(J2854, ""^\d+"")"),"119")</f>
        <v>119</v>
      </c>
      <c r="Z2854" s="5" t="str">
        <f>IFERROR(__xludf.DUMMYFUNCTION("REGEXEXTRACT(J2854, ""[A-Za-z ]+$"")")," min")</f>
        <v> min</v>
      </c>
      <c r="AA2854" s="5" t="str">
        <f>IFERROR(__xludf.DUMMYFUNCTION("IF(REGEXMATCH(Z2854, ""Season""), ""TV Show"", ""Movie"")"),"Movie")</f>
        <v>Movie</v>
      </c>
    </row>
    <row r="2855">
      <c r="A2855" s="1" t="s">
        <v>15931</v>
      </c>
      <c r="B2855" s="1" t="s">
        <v>27</v>
      </c>
      <c r="C2855" s="1" t="s">
        <v>15932</v>
      </c>
      <c r="D2855" s="1" t="s">
        <v>15933</v>
      </c>
      <c r="E2855" s="1" t="s">
        <v>15934</v>
      </c>
      <c r="F2855" s="1" t="s">
        <v>30</v>
      </c>
      <c r="G2855" s="1" t="s">
        <v>15935</v>
      </c>
      <c r="H2855" s="1">
        <v>2020.0</v>
      </c>
      <c r="I2855" s="1" t="s">
        <v>42</v>
      </c>
      <c r="J2855" s="1" t="s">
        <v>207</v>
      </c>
      <c r="K2855" s="1" t="s">
        <v>1839</v>
      </c>
      <c r="L2855" s="1" t="s">
        <v>15936</v>
      </c>
      <c r="M2855" s="2" t="s">
        <v>12</v>
      </c>
      <c r="N2855" s="4">
        <f t="shared" si="1"/>
        <v>43892</v>
      </c>
      <c r="O2855" s="5" t="str">
        <f>IFERROR(__xludf.DUMMYFUNCTION("IF(REGEXMATCH(TRIM(I2855), ""^\d+\s*min""), ""Unclassified"", IF(I2855 = """", ""NR"", I2855))"),"TV-MA")</f>
        <v>TV-MA</v>
      </c>
      <c r="R2855" s="5" t="str">
        <f t="shared" si="2"/>
        <v>Fat Ballerina - David A. Arnold</v>
      </c>
      <c r="S2855" s="5" t="str">
        <f>IFERROR(__xludf.DUMMYFUNCTION("""COMPUTED_VALUE"""),"Grego Rossello: Disculpe Las Molestias")</f>
        <v>Grego Rossello: Disculpe Las Molestias</v>
      </c>
      <c r="U2855" s="5" t="str">
        <f>IFERROR(__xludf.DUMMYFUNCTION("""COMPUTED_VALUE"""),"Rohit Mittal")</f>
        <v>Rohit Mittal</v>
      </c>
      <c r="V2855" s="5" t="s">
        <v>15937</v>
      </c>
      <c r="W2855" s="5" t="str">
        <f t="shared" si="3"/>
        <v>Mickey Liddell</v>
      </c>
      <c r="X2855" s="5">
        <f t="shared" si="4"/>
        <v>1</v>
      </c>
      <c r="Y2855" s="5" t="str">
        <f>IFERROR(__xludf.DUMMYFUNCTION("REGEXEXTRACT(J2855, ""^\d+"")"),"61")</f>
        <v>61</v>
      </c>
      <c r="Z2855" s="5" t="str">
        <f>IFERROR(__xludf.DUMMYFUNCTION("REGEXEXTRACT(J2855, ""[A-Za-z ]+$"")")," min")</f>
        <v> min</v>
      </c>
      <c r="AA2855" s="5" t="str">
        <f>IFERROR(__xludf.DUMMYFUNCTION("IF(REGEXMATCH(Z2855, ""Season""), ""TV Show"", ""Movie"")"),"Movie")</f>
        <v>Movie</v>
      </c>
    </row>
    <row r="2856">
      <c r="A2856" s="1" t="s">
        <v>15938</v>
      </c>
      <c r="B2856" s="1" t="s">
        <v>37</v>
      </c>
      <c r="C2856" s="1" t="s">
        <v>15939</v>
      </c>
      <c r="E2856" s="1" t="s">
        <v>15940</v>
      </c>
      <c r="F2856" s="1" t="s">
        <v>415</v>
      </c>
      <c r="G2856" s="1" t="s">
        <v>15941</v>
      </c>
      <c r="H2856" s="1">
        <v>2014.0</v>
      </c>
      <c r="I2856" s="1" t="s">
        <v>97</v>
      </c>
      <c r="J2856" s="1" t="s">
        <v>51</v>
      </c>
      <c r="K2856" s="1" t="s">
        <v>3858</v>
      </c>
      <c r="L2856" s="1" t="s">
        <v>15942</v>
      </c>
      <c r="M2856" s="2" t="s">
        <v>12</v>
      </c>
      <c r="N2856" s="4">
        <f t="shared" si="1"/>
        <v>43891</v>
      </c>
      <c r="O2856" s="5" t="str">
        <f>IFERROR(__xludf.DUMMYFUNCTION("IF(REGEXMATCH(TRIM(I2856), ""^\d+\s*min""), ""Unclassified"", IF(I2856 = """", ""NR"", I2856))"),"TV-14")</f>
        <v>TV-14</v>
      </c>
      <c r="R2856" s="5" t="str">
        <f t="shared" si="2"/>
        <v>Akame Ga Kill!</v>
      </c>
      <c r="S2856" s="5" t="str">
        <f>IFERROR(__xludf.DUMMYFUNCTION("""COMPUTED_VALUE"""),"Grey'S Anatomy")</f>
        <v>Grey'S Anatomy</v>
      </c>
      <c r="U2856" s="5" t="str">
        <f>IFERROR(__xludf.DUMMYFUNCTION("""COMPUTED_VALUE"""),"Steve Hickner, Simon J. Smith")</f>
        <v>Steve Hickner, Simon J. Smith</v>
      </c>
      <c r="V2856" s="5" t="s">
        <v>15943</v>
      </c>
      <c r="W2856" s="5" t="str">
        <f t="shared" si="3"/>
        <v>Midhun Manuel Thomas</v>
      </c>
      <c r="X2856" s="5">
        <f t="shared" si="4"/>
        <v>1</v>
      </c>
      <c r="Y2856" s="5" t="str">
        <f>IFERROR(__xludf.DUMMYFUNCTION("REGEXEXTRACT(J2856, ""^\d+"")"),"1")</f>
        <v>1</v>
      </c>
      <c r="Z2856" s="5" t="str">
        <f>IFERROR(__xludf.DUMMYFUNCTION("REGEXEXTRACT(J2856, ""[A-Za-z ]+$"")")," Season")</f>
        <v> Season</v>
      </c>
      <c r="AA2856" s="5" t="str">
        <f>IFERROR(__xludf.DUMMYFUNCTION("IF(REGEXMATCH(Z2856, ""Season""), ""TV Show"", ""Movie"")"),"TV Show")</f>
        <v>TV Show</v>
      </c>
    </row>
    <row r="2857">
      <c r="A2857" s="1" t="s">
        <v>15944</v>
      </c>
      <c r="B2857" s="1" t="s">
        <v>37</v>
      </c>
      <c r="C2857" s="1" t="s">
        <v>15945</v>
      </c>
      <c r="E2857" s="1" t="s">
        <v>15946</v>
      </c>
      <c r="F2857" s="1" t="s">
        <v>2492</v>
      </c>
      <c r="G2857" s="1" t="s">
        <v>15941</v>
      </c>
      <c r="H2857" s="1">
        <v>2020.0</v>
      </c>
      <c r="I2857" s="1" t="s">
        <v>42</v>
      </c>
      <c r="J2857" s="1" t="s">
        <v>276</v>
      </c>
      <c r="K2857" s="1" t="s">
        <v>1362</v>
      </c>
      <c r="L2857" s="1" t="s">
        <v>15947</v>
      </c>
      <c r="M2857" s="2" t="s">
        <v>12</v>
      </c>
      <c r="N2857" s="4">
        <f t="shared" si="1"/>
        <v>43891</v>
      </c>
      <c r="O2857" s="5" t="str">
        <f>IFERROR(__xludf.DUMMYFUNCTION("IF(REGEXMATCH(TRIM(I2857), ""^\d+\s*min""), ""Unclassified"", IF(I2857 = """", ""NR"", I2857))"),"TV-MA")</f>
        <v>TV-MA</v>
      </c>
      <c r="R2857" s="5" t="str">
        <f t="shared" si="2"/>
        <v>Babylon Berlin</v>
      </c>
      <c r="S2857" s="5" t="str">
        <f>IFERROR(__xludf.DUMMYFUNCTION("""COMPUTED_VALUE"""),"Gridlocked")</f>
        <v>Gridlocked</v>
      </c>
      <c r="U2857" s="5" t="str">
        <f>IFERROR(__xludf.DUMMYFUNCTION("""COMPUTED_VALUE"""),"Diego Luna")</f>
        <v>Diego Luna</v>
      </c>
      <c r="V2857" s="5" t="s">
        <v>1679</v>
      </c>
      <c r="W2857" s="5" t="str">
        <f t="shared" si="3"/>
        <v>Miguel Alexandre</v>
      </c>
      <c r="X2857" s="5">
        <f t="shared" si="4"/>
        <v>1</v>
      </c>
      <c r="Y2857" s="5" t="str">
        <f>IFERROR(__xludf.DUMMYFUNCTION("REGEXEXTRACT(J2857, ""^\d+"")"),"3")</f>
        <v>3</v>
      </c>
      <c r="Z2857" s="5" t="str">
        <f>IFERROR(__xludf.DUMMYFUNCTION("REGEXEXTRACT(J2857, ""[A-Za-z ]+$"")")," Seasons")</f>
        <v> Seasons</v>
      </c>
      <c r="AA2857" s="5" t="str">
        <f>IFERROR(__xludf.DUMMYFUNCTION("IF(REGEXMATCH(Z2857, ""Season""), ""TV Show"", ""Movie"")"),"TV Show")</f>
        <v>TV Show</v>
      </c>
    </row>
    <row r="2858">
      <c r="A2858" s="1" t="s">
        <v>15948</v>
      </c>
      <c r="B2858" s="1" t="s">
        <v>27</v>
      </c>
      <c r="C2858" s="1" t="s">
        <v>15949</v>
      </c>
      <c r="D2858" s="1" t="s">
        <v>15950</v>
      </c>
      <c r="E2858" s="1" t="s">
        <v>15951</v>
      </c>
      <c r="F2858" s="1" t="s">
        <v>63</v>
      </c>
      <c r="G2858" s="1" t="s">
        <v>15941</v>
      </c>
      <c r="H2858" s="1">
        <v>2019.0</v>
      </c>
      <c r="I2858" s="1" t="s">
        <v>97</v>
      </c>
      <c r="J2858" s="1" t="s">
        <v>2281</v>
      </c>
      <c r="K2858" s="1" t="s">
        <v>583</v>
      </c>
      <c r="L2858" s="1" t="s">
        <v>15952</v>
      </c>
      <c r="M2858" s="2" t="s">
        <v>12</v>
      </c>
      <c r="N2858" s="4">
        <f t="shared" si="1"/>
        <v>43891</v>
      </c>
      <c r="O2858" s="5" t="str">
        <f>IFERROR(__xludf.DUMMYFUNCTION("IF(REGEXMATCH(TRIM(I2858), ""^\d+\s*min""), ""Unclassified"", IF(I2858 = """", ""NR"", I2858))"),"TV-14")</f>
        <v>TV-14</v>
      </c>
      <c r="R2858" s="5" t="str">
        <f t="shared" si="2"/>
        <v>Bhangra Paa Le</v>
      </c>
      <c r="S2858" s="5" t="str">
        <f>IFERROR(__xludf.DUMMYFUNCTION("""COMPUTED_VALUE"""),"Grillo Vs Grillo")</f>
        <v>Grillo Vs Grillo</v>
      </c>
      <c r="U2858" s="5" t="str">
        <f>IFERROR(__xludf.DUMMYFUNCTION("""COMPUTED_VALUE"""),"Jorge Michel Grau")</f>
        <v>Jorge Michel Grau</v>
      </c>
      <c r="V2858" s="5" t="s">
        <v>15953</v>
      </c>
      <c r="W2858" s="5" t="str">
        <f t="shared" si="3"/>
        <v>Miguel Ángel Lamata</v>
      </c>
      <c r="X2858" s="5">
        <f t="shared" si="4"/>
        <v>1</v>
      </c>
      <c r="Y2858" s="5" t="str">
        <f>IFERROR(__xludf.DUMMYFUNCTION("REGEXEXTRACT(J2858, ""^\d+"")"),"130")</f>
        <v>130</v>
      </c>
      <c r="Z2858" s="5" t="str">
        <f>IFERROR(__xludf.DUMMYFUNCTION("REGEXEXTRACT(J2858, ""[A-Za-z ]+$"")")," min")</f>
        <v> min</v>
      </c>
      <c r="AA2858" s="5" t="str">
        <f>IFERROR(__xludf.DUMMYFUNCTION("IF(REGEXMATCH(Z2858, ""Season""), ""TV Show"", ""Movie"")"),"Movie")</f>
        <v>Movie</v>
      </c>
    </row>
    <row r="2859">
      <c r="A2859" s="1" t="s">
        <v>15954</v>
      </c>
      <c r="B2859" s="1" t="s">
        <v>37</v>
      </c>
      <c r="C2859" s="1" t="s">
        <v>15955</v>
      </c>
      <c r="E2859" s="1" t="s">
        <v>15956</v>
      </c>
      <c r="G2859" s="1" t="s">
        <v>15941</v>
      </c>
      <c r="H2859" s="1">
        <v>2020.0</v>
      </c>
      <c r="I2859" s="1" t="s">
        <v>206</v>
      </c>
      <c r="J2859" s="1" t="s">
        <v>51</v>
      </c>
      <c r="K2859" s="1" t="s">
        <v>290</v>
      </c>
      <c r="L2859" s="1" t="s">
        <v>15957</v>
      </c>
      <c r="M2859" s="2" t="s">
        <v>12</v>
      </c>
      <c r="N2859" s="4">
        <f t="shared" si="1"/>
        <v>43891</v>
      </c>
      <c r="O2859" s="5" t="str">
        <f>IFERROR(__xludf.DUMMYFUNCTION("IF(REGEXMATCH(TRIM(I2859), ""^\d+\s*min""), ""Unclassified"", IF(I2859 = """", ""NR"", I2859))"),"TV-Y")</f>
        <v>TV-Y</v>
      </c>
      <c r="R2859" s="5" t="str">
        <f t="shared" si="2"/>
        <v>Calico Critters Mini Episodes Clover</v>
      </c>
      <c r="S2859" s="5" t="str">
        <f>IFERROR(__xludf.DUMMYFUNCTION("""COMPUTED_VALUE"""),"Gringo: The Dangerous Life Of John Mcafee")</f>
        <v>Gringo: The Dangerous Life Of John Mcafee</v>
      </c>
      <c r="U2859" s="5" t="str">
        <f>IFERROR(__xludf.DUMMYFUNCTION("""COMPUTED_VALUE"""),"Riki Lindhome, Jeremy Konner")</f>
        <v>Riki Lindhome, Jeremy Konner</v>
      </c>
      <c r="V2859" s="5" t="s">
        <v>15958</v>
      </c>
      <c r="W2859" s="5" t="str">
        <f t="shared" si="3"/>
        <v>Miguel Ángel Vivas</v>
      </c>
      <c r="X2859" s="5">
        <f t="shared" si="4"/>
        <v>1</v>
      </c>
      <c r="Y2859" s="5" t="str">
        <f>IFERROR(__xludf.DUMMYFUNCTION("REGEXEXTRACT(J2859, ""^\d+"")"),"1")</f>
        <v>1</v>
      </c>
      <c r="Z2859" s="5" t="str">
        <f>IFERROR(__xludf.DUMMYFUNCTION("REGEXEXTRACT(J2859, ""[A-Za-z ]+$"")")," Season")</f>
        <v> Season</v>
      </c>
      <c r="AA2859" s="5" t="str">
        <f>IFERROR(__xludf.DUMMYFUNCTION("IF(REGEXMATCH(Z2859, ""Season""), ""TV Show"", ""Movie"")"),"TV Show")</f>
        <v>TV Show</v>
      </c>
    </row>
    <row r="2860">
      <c r="A2860" s="1" t="s">
        <v>15959</v>
      </c>
      <c r="B2860" s="1" t="s">
        <v>27</v>
      </c>
      <c r="C2860" s="1" t="s">
        <v>15960</v>
      </c>
      <c r="D2860" s="1" t="s">
        <v>15961</v>
      </c>
      <c r="E2860" s="1" t="s">
        <v>15962</v>
      </c>
      <c r="G2860" s="1" t="s">
        <v>15941</v>
      </c>
      <c r="H2860" s="1">
        <v>2019.0</v>
      </c>
      <c r="I2860" s="1" t="s">
        <v>206</v>
      </c>
      <c r="J2860" s="1" t="s">
        <v>15963</v>
      </c>
      <c r="K2860" s="1" t="s">
        <v>80</v>
      </c>
      <c r="L2860" s="1" t="s">
        <v>15964</v>
      </c>
      <c r="M2860" s="2" t="s">
        <v>12</v>
      </c>
      <c r="N2860" s="4">
        <f t="shared" si="1"/>
        <v>43891</v>
      </c>
      <c r="O2860" s="5" t="str">
        <f>IFERROR(__xludf.DUMMYFUNCTION("IF(REGEXMATCH(TRIM(I2860), ""^\d+\s*min""), ""Unclassified"", IF(I2860 = """", ""NR"", I2860))"),"TV-Y")</f>
        <v>TV-Y</v>
      </c>
      <c r="R2860" s="5" t="str">
        <f t="shared" si="2"/>
        <v>Calico Critters: Everyone'S Big Dream Flying In The Sky</v>
      </c>
      <c r="S2860" s="5" t="str">
        <f>IFERROR(__xludf.DUMMYFUNCTION("""COMPUTED_VALUE"""),"Grizzlies")</f>
        <v>Grizzlies</v>
      </c>
      <c r="U2860" s="5" t="str">
        <f>IFERROR(__xludf.DUMMYFUNCTION("""COMPUTED_VALUE"""),"Vikram Gandhi")</f>
        <v>Vikram Gandhi</v>
      </c>
      <c r="V2860" s="5" t="s">
        <v>7207</v>
      </c>
      <c r="W2860" s="5" t="str">
        <f t="shared" si="3"/>
        <v>Miguel Arteta</v>
      </c>
      <c r="X2860" s="5">
        <f t="shared" si="4"/>
        <v>2</v>
      </c>
      <c r="Y2860" s="5" t="str">
        <f>IFERROR(__xludf.DUMMYFUNCTION("REGEXEXTRACT(J2860, ""^\d+"")"),"11")</f>
        <v>11</v>
      </c>
      <c r="Z2860" s="5" t="str">
        <f>IFERROR(__xludf.DUMMYFUNCTION("REGEXEXTRACT(J2860, ""[A-Za-z ]+$"")")," min")</f>
        <v> min</v>
      </c>
      <c r="AA2860" s="5" t="str">
        <f>IFERROR(__xludf.DUMMYFUNCTION("IF(REGEXMATCH(Z2860, ""Season""), ""TV Show"", ""Movie"")"),"Movie")</f>
        <v>Movie</v>
      </c>
    </row>
    <row r="2861">
      <c r="A2861" s="1" t="s">
        <v>15965</v>
      </c>
      <c r="B2861" s="1" t="s">
        <v>27</v>
      </c>
      <c r="C2861" s="1" t="s">
        <v>15966</v>
      </c>
      <c r="D2861" s="1" t="s">
        <v>15325</v>
      </c>
      <c r="E2861" s="1" t="s">
        <v>15967</v>
      </c>
      <c r="F2861" s="1" t="s">
        <v>30</v>
      </c>
      <c r="G2861" s="1" t="s">
        <v>15941</v>
      </c>
      <c r="H2861" s="1">
        <v>2016.0</v>
      </c>
      <c r="I2861" s="1" t="s">
        <v>42</v>
      </c>
      <c r="J2861" s="1" t="s">
        <v>630</v>
      </c>
      <c r="K2861" s="1" t="s">
        <v>394</v>
      </c>
      <c r="L2861" s="1" t="s">
        <v>15968</v>
      </c>
      <c r="M2861" s="2" t="s">
        <v>12</v>
      </c>
      <c r="N2861" s="4">
        <f t="shared" si="1"/>
        <v>43891</v>
      </c>
      <c r="O2861" s="5" t="str">
        <f>IFERROR(__xludf.DUMMYFUNCTION("IF(REGEXMATCH(TRIM(I2861), ""^\d+\s*min""), ""Unclassified"", IF(I2861 = """", ""NR"", I2861))"),"TV-MA")</f>
        <v>TV-MA</v>
      </c>
      <c r="R2861" s="5" t="str">
        <f t="shared" si="2"/>
        <v>Frank &amp; Lola</v>
      </c>
      <c r="S2861" s="5" t="str">
        <f>IFERROR(__xludf.DUMMYFUNCTION("""COMPUTED_VALUE"""),"Grizzy Et Les Lemmings")</f>
        <v>Grizzy Et Les Lemmings</v>
      </c>
      <c r="U2861" s="5" t="str">
        <f>IFERROR(__xludf.DUMMYFUNCTION("""COMPUTED_VALUE"""),"Sean Hanish")</f>
        <v>Sean Hanish</v>
      </c>
      <c r="V2861" s="5" t="s">
        <v>15969</v>
      </c>
      <c r="W2861" s="5" t="str">
        <f t="shared" si="3"/>
        <v>Miguel Cohan, Miguel Cohan</v>
      </c>
      <c r="X2861" s="5">
        <f t="shared" si="4"/>
        <v>1</v>
      </c>
      <c r="Y2861" s="5" t="str">
        <f>IFERROR(__xludf.DUMMYFUNCTION("REGEXEXTRACT(J2861, ""^\d+"")"),"87")</f>
        <v>87</v>
      </c>
      <c r="Z2861" s="5" t="str">
        <f>IFERROR(__xludf.DUMMYFUNCTION("REGEXEXTRACT(J2861, ""[A-Za-z ]+$"")")," min")</f>
        <v> min</v>
      </c>
      <c r="AA2861" s="5" t="str">
        <f>IFERROR(__xludf.DUMMYFUNCTION("IF(REGEXMATCH(Z2861, ""Season""), ""TV Show"", ""Movie"")"),"Movie")</f>
        <v>Movie</v>
      </c>
    </row>
    <row r="2862">
      <c r="A2862" s="1" t="s">
        <v>15970</v>
      </c>
      <c r="B2862" s="1" t="s">
        <v>27</v>
      </c>
      <c r="C2862" s="1" t="s">
        <v>15971</v>
      </c>
      <c r="D2862" s="1" t="s">
        <v>7998</v>
      </c>
      <c r="E2862" s="1" t="s">
        <v>15972</v>
      </c>
      <c r="F2862" s="1" t="s">
        <v>6962</v>
      </c>
      <c r="G2862" s="1" t="s">
        <v>15941</v>
      </c>
      <c r="H2862" s="1">
        <v>2011.0</v>
      </c>
      <c r="I2862" s="1" t="s">
        <v>78</v>
      </c>
      <c r="J2862" s="1" t="s">
        <v>127</v>
      </c>
      <c r="K2862" s="1" t="s">
        <v>771</v>
      </c>
      <c r="L2862" s="1" t="s">
        <v>15973</v>
      </c>
      <c r="M2862" s="2" t="s">
        <v>12</v>
      </c>
      <c r="N2862" s="4">
        <f t="shared" si="1"/>
        <v>43891</v>
      </c>
      <c r="O2862" s="5" t="str">
        <f>IFERROR(__xludf.DUMMYFUNCTION("IF(REGEXMATCH(TRIM(I2862), ""^\d+\s*min""), ""Unclassified"", IF(I2862 = """", ""NR"", I2862))"),"PG")</f>
        <v>PG</v>
      </c>
      <c r="R2862" s="5" t="str">
        <f t="shared" si="2"/>
        <v>Hugo</v>
      </c>
      <c r="S2862" s="5" t="str">
        <f>IFERROR(__xludf.DUMMYFUNCTION("""COMPUTED_VALUE"""),"Growing Up And Other Problems")</f>
        <v>Growing Up And Other Problems</v>
      </c>
      <c r="U2862" s="5" t="str">
        <f>IFERROR(__xludf.DUMMYFUNCTION("""COMPUTED_VALUE"""),"Sinan Akkuş")</f>
        <v>Sinan Akkuş</v>
      </c>
      <c r="V2862" s="5" t="s">
        <v>15974</v>
      </c>
      <c r="W2862" s="5" t="str">
        <f t="shared" si="3"/>
        <v>Miguel Conde</v>
      </c>
      <c r="X2862" s="5">
        <f t="shared" si="4"/>
        <v>1</v>
      </c>
      <c r="Y2862" s="5" t="str">
        <f>IFERROR(__xludf.DUMMYFUNCTION("REGEXEXTRACT(J2862, ""^\d+"")"),"127")</f>
        <v>127</v>
      </c>
      <c r="Z2862" s="5" t="str">
        <f>IFERROR(__xludf.DUMMYFUNCTION("REGEXEXTRACT(J2862, ""[A-Za-z ]+$"")")," min")</f>
        <v> min</v>
      </c>
      <c r="AA2862" s="5" t="str">
        <f>IFERROR(__xludf.DUMMYFUNCTION("IF(REGEXMATCH(Z2862, ""Season""), ""TV Show"", ""Movie"")"),"Movie")</f>
        <v>Movie</v>
      </c>
    </row>
    <row r="2863">
      <c r="A2863" s="1" t="s">
        <v>15975</v>
      </c>
      <c r="B2863" s="1" t="s">
        <v>27</v>
      </c>
      <c r="C2863" s="1" t="s">
        <v>15976</v>
      </c>
      <c r="D2863" s="1" t="s">
        <v>13550</v>
      </c>
      <c r="E2863" s="1" t="s">
        <v>15977</v>
      </c>
      <c r="F2863" s="1" t="s">
        <v>30</v>
      </c>
      <c r="G2863" s="1" t="s">
        <v>15941</v>
      </c>
      <c r="H2863" s="1">
        <v>2016.0</v>
      </c>
      <c r="I2863" s="1" t="s">
        <v>97</v>
      </c>
      <c r="J2863" s="1" t="s">
        <v>630</v>
      </c>
      <c r="K2863" s="1" t="s">
        <v>7340</v>
      </c>
      <c r="L2863" s="1" t="s">
        <v>15978</v>
      </c>
      <c r="M2863" s="2" t="s">
        <v>12</v>
      </c>
      <c r="N2863" s="4">
        <f t="shared" si="1"/>
        <v>43891</v>
      </c>
      <c r="O2863" s="5" t="str">
        <f>IFERROR(__xludf.DUMMYFUNCTION("IF(REGEXMATCH(TRIM(I2863), ""^\d+\s*min""), ""Unclassified"", IF(I2863 = """", ""NR"", I2863))"),"TV-14")</f>
        <v>TV-14</v>
      </c>
      <c r="R2863" s="5" t="str">
        <f t="shared" si="2"/>
        <v>Ordinary World</v>
      </c>
      <c r="S2863" s="5" t="str">
        <f>IFERROR(__xludf.DUMMYFUNCTION("""COMPUTED_VALUE"""),"Growing Up Coy")</f>
        <v>Growing Up Coy</v>
      </c>
      <c r="U2863" s="5" t="str">
        <f>IFERROR(__xludf.DUMMYFUNCTION("""COMPUTED_VALUE"""),"Matt Bell")</f>
        <v>Matt Bell</v>
      </c>
      <c r="V2863" s="5" t="s">
        <v>15979</v>
      </c>
      <c r="W2863" s="5" t="str">
        <f t="shared" si="3"/>
        <v>Mijke De Jong</v>
      </c>
      <c r="X2863" s="5">
        <f t="shared" si="4"/>
        <v>1</v>
      </c>
      <c r="Y2863" s="5" t="str">
        <f>IFERROR(__xludf.DUMMYFUNCTION("REGEXEXTRACT(J2863, ""^\d+"")"),"87")</f>
        <v>87</v>
      </c>
      <c r="Z2863" s="5" t="str">
        <f>IFERROR(__xludf.DUMMYFUNCTION("REGEXEXTRACT(J2863, ""[A-Za-z ]+$"")")," min")</f>
        <v> min</v>
      </c>
      <c r="AA2863" s="5" t="str">
        <f>IFERROR(__xludf.DUMMYFUNCTION("IF(REGEXMATCH(Z2863, ""Season""), ""TV Show"", ""Movie"")"),"Movie")</f>
        <v>Movie</v>
      </c>
    </row>
    <row r="2864">
      <c r="A2864" s="1" t="s">
        <v>15980</v>
      </c>
      <c r="B2864" s="1" t="s">
        <v>27</v>
      </c>
      <c r="C2864" s="1" t="s">
        <v>15981</v>
      </c>
      <c r="D2864" s="1" t="s">
        <v>15982</v>
      </c>
      <c r="E2864" s="1" t="s">
        <v>15983</v>
      </c>
      <c r="F2864" s="1" t="s">
        <v>40</v>
      </c>
      <c r="G2864" s="1" t="s">
        <v>15941</v>
      </c>
      <c r="H2864" s="1">
        <v>2017.0</v>
      </c>
      <c r="I2864" s="1" t="s">
        <v>97</v>
      </c>
      <c r="J2864" s="1" t="s">
        <v>428</v>
      </c>
      <c r="K2864" s="1" t="s">
        <v>679</v>
      </c>
      <c r="L2864" s="1" t="s">
        <v>15984</v>
      </c>
      <c r="M2864" s="2" t="s">
        <v>12</v>
      </c>
      <c r="N2864" s="4">
        <f t="shared" si="1"/>
        <v>43891</v>
      </c>
      <c r="O2864" s="5" t="str">
        <f>IFERROR(__xludf.DUMMYFUNCTION("IF(REGEXMATCH(TRIM(I2864), ""^\d+\s*min""), ""Unclassified"", IF(I2864 = """", ""NR"", I2864))"),"TV-14")</f>
        <v>TV-14</v>
      </c>
      <c r="R2864" s="5" t="str">
        <f t="shared" si="2"/>
        <v>Pop, Lock 'N Roll</v>
      </c>
      <c r="S2864" s="5" t="str">
        <f>IFERROR(__xludf.DUMMYFUNCTION("""COMPUTED_VALUE"""),"Growing Up Wild")</f>
        <v>Growing Up Wild</v>
      </c>
      <c r="U2864" s="5" t="str">
        <f>IFERROR(__xludf.DUMMYFUNCTION("""COMPUTED_VALUE"""),"James Hawes")</f>
        <v>James Hawes</v>
      </c>
      <c r="V2864" s="5" t="s">
        <v>4956</v>
      </c>
      <c r="W2864" s="5" t="str">
        <f t="shared" si="3"/>
        <v>Mika Kaurismäki</v>
      </c>
      <c r="X2864" s="5">
        <f t="shared" si="4"/>
        <v>1</v>
      </c>
      <c r="Y2864" s="5" t="str">
        <f>IFERROR(__xludf.DUMMYFUNCTION("REGEXEXTRACT(J2864, ""^\d+"")"),"88")</f>
        <v>88</v>
      </c>
      <c r="Z2864" s="5" t="str">
        <f>IFERROR(__xludf.DUMMYFUNCTION("REGEXEXTRACT(J2864, ""[A-Za-z ]+$"")")," min")</f>
        <v> min</v>
      </c>
      <c r="AA2864" s="5" t="str">
        <f>IFERROR(__xludf.DUMMYFUNCTION("IF(REGEXMATCH(Z2864, ""Season""), ""TV Show"", ""Movie"")"),"Movie")</f>
        <v>Movie</v>
      </c>
    </row>
    <row r="2865">
      <c r="A2865" s="1" t="s">
        <v>15985</v>
      </c>
      <c r="B2865" s="1" t="s">
        <v>27</v>
      </c>
      <c r="C2865" s="1" t="s">
        <v>15986</v>
      </c>
      <c r="D2865" s="1" t="s">
        <v>2222</v>
      </c>
      <c r="E2865" s="1" t="s">
        <v>15987</v>
      </c>
      <c r="F2865" s="1" t="s">
        <v>30</v>
      </c>
      <c r="G2865" s="1" t="s">
        <v>15941</v>
      </c>
      <c r="H2865" s="1">
        <v>2007.0</v>
      </c>
      <c r="I2865" s="1" t="s">
        <v>378</v>
      </c>
      <c r="J2865" s="1" t="s">
        <v>6611</v>
      </c>
      <c r="K2865" s="1" t="s">
        <v>1320</v>
      </c>
      <c r="L2865" s="1" t="s">
        <v>15988</v>
      </c>
      <c r="M2865" s="2" t="s">
        <v>12</v>
      </c>
      <c r="N2865" s="4">
        <f t="shared" si="1"/>
        <v>43891</v>
      </c>
      <c r="O2865" s="5" t="str">
        <f>IFERROR(__xludf.DUMMYFUNCTION("IF(REGEXMATCH(TRIM(I2865), ""^\d+\s*min""), ""Unclassified"", IF(I2865 = """", ""NR"", I2865))"),"R")</f>
        <v>R</v>
      </c>
      <c r="R2865" s="5" t="str">
        <f t="shared" si="2"/>
        <v>There Will Be Blood</v>
      </c>
      <c r="S2865" s="5" t="str">
        <f>IFERROR(__xludf.DUMMYFUNCTION("""COMPUTED_VALUE"""),"Grown Ups")</f>
        <v>Grown Ups</v>
      </c>
      <c r="U2865" s="5" t="str">
        <f>IFERROR(__xludf.DUMMYFUNCTION("""COMPUTED_VALUE"""),"Elite Zexer")</f>
        <v>Elite Zexer</v>
      </c>
      <c r="V2865" s="5" t="s">
        <v>8269</v>
      </c>
      <c r="W2865" s="5" t="str">
        <f t="shared" si="3"/>
        <v>Mikael Håfström</v>
      </c>
      <c r="X2865" s="5">
        <f t="shared" si="4"/>
        <v>1</v>
      </c>
      <c r="Y2865" s="5" t="str">
        <f>IFERROR(__xludf.DUMMYFUNCTION("REGEXEXTRACT(J2865, ""^\d+"")"),"158")</f>
        <v>158</v>
      </c>
      <c r="Z2865" s="5" t="str">
        <f>IFERROR(__xludf.DUMMYFUNCTION("REGEXEXTRACT(J2865, ""[A-Za-z ]+$"")")," min")</f>
        <v> min</v>
      </c>
      <c r="AA2865" s="5" t="str">
        <f>IFERROR(__xludf.DUMMYFUNCTION("IF(REGEXMATCH(Z2865, ""Season""), ""TV Show"", ""Movie"")"),"Movie")</f>
        <v>Movie</v>
      </c>
    </row>
    <row r="2866">
      <c r="A2866" s="1" t="s">
        <v>15989</v>
      </c>
      <c r="B2866" s="1" t="s">
        <v>27</v>
      </c>
      <c r="C2866" s="1" t="s">
        <v>15990</v>
      </c>
      <c r="D2866" s="1" t="s">
        <v>8835</v>
      </c>
      <c r="E2866" s="1" t="s">
        <v>15991</v>
      </c>
      <c r="G2866" s="1" t="s">
        <v>15941</v>
      </c>
      <c r="H2866" s="1">
        <v>2020.0</v>
      </c>
      <c r="I2866" s="1" t="s">
        <v>97</v>
      </c>
      <c r="J2866" s="1" t="s">
        <v>1001</v>
      </c>
      <c r="K2866" s="1" t="s">
        <v>679</v>
      </c>
      <c r="L2866" s="1" t="s">
        <v>15992</v>
      </c>
      <c r="M2866" s="2" t="s">
        <v>12</v>
      </c>
      <c r="N2866" s="4">
        <f t="shared" si="1"/>
        <v>43891</v>
      </c>
      <c r="O2866" s="5" t="str">
        <f>IFERROR(__xludf.DUMMYFUNCTION("IF(REGEXMATCH(TRIM(I2866), ""^\d+\s*min""), ""Unclassified"", IF(I2866 = """", ""NR"", I2866))"),"TV-14")</f>
        <v>TV-14</v>
      </c>
      <c r="R2866" s="5" t="str">
        <f t="shared" si="2"/>
        <v>Velvet Colección: Grand Finale</v>
      </c>
      <c r="S2866" s="5" t="str">
        <f>IFERROR(__xludf.DUMMYFUNCTION("""COMPUTED_VALUE"""),"Guatemala: Heart Of The Mayan World")</f>
        <v>Guatemala: Heart Of The Mayan World</v>
      </c>
      <c r="U2866" s="5" t="str">
        <f>IFERROR(__xludf.DUMMYFUNCTION("""COMPUTED_VALUE"""),"James Yukich")</f>
        <v>James Yukich</v>
      </c>
      <c r="V2866" s="5" t="s">
        <v>7349</v>
      </c>
      <c r="W2866" s="5" t="str">
        <f t="shared" si="3"/>
        <v>Mike Binder</v>
      </c>
      <c r="X2866" s="5">
        <f t="shared" si="4"/>
        <v>2</v>
      </c>
      <c r="Y2866" s="5" t="str">
        <f>IFERROR(__xludf.DUMMYFUNCTION("REGEXEXTRACT(J2866, ""^\d+"")"),"82")</f>
        <v>82</v>
      </c>
      <c r="Z2866" s="5" t="str">
        <f>IFERROR(__xludf.DUMMYFUNCTION("REGEXEXTRACT(J2866, ""[A-Za-z ]+$"")")," min")</f>
        <v> min</v>
      </c>
      <c r="AA2866" s="5" t="str">
        <f>IFERROR(__xludf.DUMMYFUNCTION("IF(REGEXMATCH(Z2866, ""Season""), ""TV Show"", ""Movie"")"),"Movie")</f>
        <v>Movie</v>
      </c>
    </row>
    <row r="2867">
      <c r="A2867" s="1" t="s">
        <v>15993</v>
      </c>
      <c r="B2867" s="1" t="s">
        <v>27</v>
      </c>
      <c r="C2867" s="1" t="s">
        <v>15994</v>
      </c>
      <c r="D2867" s="1" t="s">
        <v>15995</v>
      </c>
      <c r="E2867" s="1" t="s">
        <v>15996</v>
      </c>
      <c r="F2867" s="1" t="s">
        <v>664</v>
      </c>
      <c r="G2867" s="1" t="s">
        <v>15941</v>
      </c>
      <c r="H2867" s="1">
        <v>2018.0</v>
      </c>
      <c r="I2867" s="1" t="s">
        <v>42</v>
      </c>
      <c r="J2867" s="1" t="s">
        <v>454</v>
      </c>
      <c r="K2867" s="1" t="s">
        <v>156</v>
      </c>
      <c r="L2867" s="1" t="s">
        <v>15997</v>
      </c>
      <c r="M2867" s="2" t="s">
        <v>12</v>
      </c>
      <c r="N2867" s="4">
        <f t="shared" si="1"/>
        <v>43891</v>
      </c>
      <c r="O2867" s="5" t="str">
        <f>IFERROR(__xludf.DUMMYFUNCTION("IF(REGEXMATCH(TRIM(I2867), ""^\d+\s*min""), ""Unclassified"", IF(I2867 = """", ""NR"", I2867))"),"TV-MA")</f>
        <v>TV-MA</v>
      </c>
      <c r="R2867" s="5" t="str">
        <f t="shared" si="2"/>
        <v>Voulez-Vous Rire Avec Moi Ce Soir?</v>
      </c>
      <c r="S2867" s="5" t="str">
        <f>IFERROR(__xludf.DUMMYFUNCTION("""COMPUTED_VALUE"""),"Guest House")</f>
        <v>Guest House</v>
      </c>
      <c r="U2867" s="5" t="str">
        <f>IFERROR(__xludf.DUMMYFUNCTION("""COMPUTED_VALUE"""),"Nic Mathieu")</f>
        <v>Nic Mathieu</v>
      </c>
      <c r="V2867" s="5" t="s">
        <v>14462</v>
      </c>
      <c r="W2867" s="5" t="str">
        <f t="shared" si="3"/>
        <v>Mike Birbiglia</v>
      </c>
      <c r="X2867" s="5">
        <f t="shared" si="4"/>
        <v>1</v>
      </c>
      <c r="Y2867" s="5" t="str">
        <f>IFERROR(__xludf.DUMMYFUNCTION("REGEXEXTRACT(J2867, ""^\d+"")"),"93")</f>
        <v>93</v>
      </c>
      <c r="Z2867" s="5" t="str">
        <f>IFERROR(__xludf.DUMMYFUNCTION("REGEXEXTRACT(J2867, ""[A-Za-z ]+$"")")," min")</f>
        <v> min</v>
      </c>
      <c r="AA2867" s="5" t="str">
        <f>IFERROR(__xludf.DUMMYFUNCTION("IF(REGEXMATCH(Z2867, ""Season""), ""TV Show"", ""Movie"")"),"Movie")</f>
        <v>Movie</v>
      </c>
    </row>
    <row r="2868">
      <c r="A2868" s="1" t="s">
        <v>15998</v>
      </c>
      <c r="B2868" s="1" t="s">
        <v>27</v>
      </c>
      <c r="C2868" s="1" t="s">
        <v>15999</v>
      </c>
      <c r="D2868" s="1" t="s">
        <v>16000</v>
      </c>
      <c r="F2868" s="1" t="s">
        <v>1319</v>
      </c>
      <c r="G2868" s="1" t="s">
        <v>15941</v>
      </c>
      <c r="H2868" s="1">
        <v>2019.0</v>
      </c>
      <c r="I2868" s="1" t="s">
        <v>42</v>
      </c>
      <c r="J2868" s="1" t="s">
        <v>33</v>
      </c>
      <c r="K2868" s="1" t="s">
        <v>700</v>
      </c>
      <c r="L2868" s="1" t="s">
        <v>16001</v>
      </c>
      <c r="M2868" s="2" t="s">
        <v>12</v>
      </c>
      <c r="N2868" s="4">
        <f t="shared" si="1"/>
        <v>43891</v>
      </c>
      <c r="O2868" s="5" t="str">
        <f>IFERROR(__xludf.DUMMYFUNCTION("IF(REGEXMATCH(TRIM(I2868), ""^\d+\s*min""), ""Unclassified"", IF(I2868 = """", ""NR"", I2868))"),"TV-MA")</f>
        <v>TV-MA</v>
      </c>
      <c r="R2868" s="5" t="str">
        <f t="shared" si="2"/>
        <v>Zz Top: That Little Ol' Band From Texas</v>
      </c>
      <c r="S2868" s="5" t="str">
        <f>IFERROR(__xludf.DUMMYFUNCTION("""COMPUTED_VALUE"""),"Guillermo Vilas: Settling The Score")</f>
        <v>Guillermo Vilas: Settling The Score</v>
      </c>
      <c r="U2868" s="5" t="str">
        <f>IFERROR(__xludf.DUMMYFUNCTION("""COMPUTED_VALUE"""),"Chris Kelly")</f>
        <v>Chris Kelly</v>
      </c>
      <c r="V2868" s="5" t="s">
        <v>16002</v>
      </c>
      <c r="W2868" s="5" t="str">
        <f t="shared" si="3"/>
        <v>Mike Clattenburg</v>
      </c>
      <c r="X2868" s="5">
        <f t="shared" si="4"/>
        <v>5</v>
      </c>
      <c r="Y2868" s="5" t="str">
        <f>IFERROR(__xludf.DUMMYFUNCTION("REGEXEXTRACT(J2868, ""^\d+"")"),"90")</f>
        <v>90</v>
      </c>
      <c r="Z2868" s="5" t="str">
        <f>IFERROR(__xludf.DUMMYFUNCTION("REGEXEXTRACT(J2868, ""[A-Za-z ]+$"")")," min")</f>
        <v> min</v>
      </c>
      <c r="AA2868" s="5" t="str">
        <f>IFERROR(__xludf.DUMMYFUNCTION("IF(REGEXMATCH(Z2868, ""Season""), ""TV Show"", ""Movie"")"),"Movie")</f>
        <v>Movie</v>
      </c>
    </row>
    <row r="2869">
      <c r="A2869" s="1" t="s">
        <v>16003</v>
      </c>
      <c r="B2869" s="1" t="s">
        <v>27</v>
      </c>
      <c r="C2869" s="1" t="s">
        <v>16004</v>
      </c>
      <c r="D2869" s="1" t="s">
        <v>3711</v>
      </c>
      <c r="E2869" s="1" t="s">
        <v>16005</v>
      </c>
      <c r="F2869" s="1" t="s">
        <v>30</v>
      </c>
      <c r="G2869" s="1" t="s">
        <v>16006</v>
      </c>
      <c r="H2869" s="1">
        <v>2020.0</v>
      </c>
      <c r="I2869" s="1" t="s">
        <v>42</v>
      </c>
      <c r="J2869" s="1" t="s">
        <v>1065</v>
      </c>
      <c r="K2869" s="1" t="s">
        <v>828</v>
      </c>
      <c r="L2869" s="1" t="s">
        <v>16007</v>
      </c>
      <c r="M2869" s="2" t="s">
        <v>12</v>
      </c>
      <c r="N2869" s="4">
        <f t="shared" si="1"/>
        <v>43889</v>
      </c>
      <c r="O2869" s="5" t="str">
        <f>IFERROR(__xludf.DUMMYFUNCTION("IF(REGEXMATCH(TRIM(I2869), ""^\d+\s*min""), ""Unclassified"", IF(I2869 = """", ""NR"", I2869))"),"TV-MA")</f>
        <v>TV-MA</v>
      </c>
      <c r="R2869" s="5" t="str">
        <f t="shared" si="2"/>
        <v>All The Bright Places</v>
      </c>
      <c r="S2869" s="5" t="str">
        <f>IFERROR(__xludf.DUMMYFUNCTION("""COMPUTED_VALUE"""),"Guilty")</f>
        <v>Guilty</v>
      </c>
      <c r="U2869" s="5" t="str">
        <f>IFERROR(__xludf.DUMMYFUNCTION("""COMPUTED_VALUE"""),"Roman Gackowski")</f>
        <v>Roman Gackowski</v>
      </c>
      <c r="V2869" s="5" t="s">
        <v>16008</v>
      </c>
      <c r="W2869" s="5" t="str">
        <f t="shared" si="3"/>
        <v>Mike Disa</v>
      </c>
      <c r="X2869" s="5">
        <f t="shared" si="4"/>
        <v>1</v>
      </c>
      <c r="Y2869" s="5" t="str">
        <f>IFERROR(__xludf.DUMMYFUNCTION("REGEXEXTRACT(J2869, ""^\d+"")"),"109")</f>
        <v>109</v>
      </c>
      <c r="Z2869" s="5" t="str">
        <f>IFERROR(__xludf.DUMMYFUNCTION("REGEXEXTRACT(J2869, ""[A-Za-z ]+$"")")," min")</f>
        <v> min</v>
      </c>
      <c r="AA2869" s="5" t="str">
        <f>IFERROR(__xludf.DUMMYFUNCTION("IF(REGEXMATCH(Z2869, ""Season""), ""TV Show"", ""Movie"")"),"Movie")</f>
        <v>Movie</v>
      </c>
    </row>
    <row r="2870">
      <c r="A2870" s="1" t="s">
        <v>16009</v>
      </c>
      <c r="B2870" s="1" t="s">
        <v>37</v>
      </c>
      <c r="C2870" s="1" t="s">
        <v>16010</v>
      </c>
      <c r="E2870" s="1" t="s">
        <v>16011</v>
      </c>
      <c r="F2870" s="1" t="s">
        <v>1837</v>
      </c>
      <c r="G2870" s="1" t="s">
        <v>16006</v>
      </c>
      <c r="H2870" s="1">
        <v>2019.0</v>
      </c>
      <c r="I2870" s="1" t="s">
        <v>97</v>
      </c>
      <c r="J2870" s="1" t="s">
        <v>43</v>
      </c>
      <c r="K2870" s="1" t="s">
        <v>1627</v>
      </c>
      <c r="L2870" s="1" t="s">
        <v>16012</v>
      </c>
      <c r="M2870" s="2" t="s">
        <v>12</v>
      </c>
      <c r="N2870" s="4">
        <f t="shared" si="1"/>
        <v>43889</v>
      </c>
      <c r="O2870" s="5" t="str">
        <f>IFERROR(__xludf.DUMMYFUNCTION("IF(REGEXMATCH(TRIM(I2870), ""^\d+\s*min""), ""Unclassified"", IF(I2870 = """", ""NR"", I2870))"),"TV-14")</f>
        <v>TV-14</v>
      </c>
      <c r="R2870" s="5" t="str">
        <f t="shared" si="2"/>
        <v>Always A Witch</v>
      </c>
      <c r="S2870" s="5" t="str">
        <f>IFERROR(__xludf.DUMMYFUNCTION("""COMPUTED_VALUE"""),"Gumrah")</f>
        <v>Gumrah</v>
      </c>
      <c r="U2870" s="5" t="str">
        <f>IFERROR(__xludf.DUMMYFUNCTION("""COMPUTED_VALUE"""),"Benjamin Dickinson")</f>
        <v>Benjamin Dickinson</v>
      </c>
      <c r="V2870" s="5" t="s">
        <v>16013</v>
      </c>
      <c r="W2870" s="5" t="str">
        <f t="shared" si="3"/>
        <v>Mike Diva, Akiva Schaffer</v>
      </c>
      <c r="X2870" s="5">
        <f t="shared" si="4"/>
        <v>1</v>
      </c>
      <c r="Y2870" s="5" t="str">
        <f>IFERROR(__xludf.DUMMYFUNCTION("REGEXEXTRACT(J2870, ""^\d+"")"),"2")</f>
        <v>2</v>
      </c>
      <c r="Z2870" s="5" t="str">
        <f>IFERROR(__xludf.DUMMYFUNCTION("REGEXEXTRACT(J2870, ""[A-Za-z ]+$"")")," Seasons")</f>
        <v> Seasons</v>
      </c>
      <c r="AA2870" s="5" t="str">
        <f>IFERROR(__xludf.DUMMYFUNCTION("IF(REGEXMATCH(Z2870, ""Season""), ""TV Show"", ""Movie"")"),"TV Show")</f>
        <v>TV Show</v>
      </c>
    </row>
    <row r="2871">
      <c r="A2871" s="1" t="s">
        <v>16014</v>
      </c>
      <c r="B2871" s="1" t="s">
        <v>27</v>
      </c>
      <c r="C2871" s="1" t="s">
        <v>16015</v>
      </c>
      <c r="E2871" s="1" t="s">
        <v>16016</v>
      </c>
      <c r="F2871" s="1" t="s">
        <v>63</v>
      </c>
      <c r="G2871" s="1" t="s">
        <v>16006</v>
      </c>
      <c r="H2871" s="1">
        <v>2019.0</v>
      </c>
      <c r="I2871" s="1" t="s">
        <v>97</v>
      </c>
      <c r="J2871" s="1" t="s">
        <v>4699</v>
      </c>
      <c r="K2871" s="1" t="s">
        <v>1839</v>
      </c>
      <c r="L2871" s="1" t="s">
        <v>16017</v>
      </c>
      <c r="M2871" s="2" t="s">
        <v>12</v>
      </c>
      <c r="N2871" s="4">
        <f t="shared" si="1"/>
        <v>43889</v>
      </c>
      <c r="O2871" s="5" t="str">
        <f>IFERROR(__xludf.DUMMYFUNCTION("IF(REGEXMATCH(TRIM(I2871), ""^\d+\s*min""), ""Unclassified"", IF(I2871 = """", ""NR"", I2871))"),"TV-14")</f>
        <v>TV-14</v>
      </c>
      <c r="R2871" s="5" t="str">
        <f t="shared" si="2"/>
        <v>Amit Tandon: Family Tandoncies</v>
      </c>
      <c r="S2871" s="5" t="str">
        <f>IFERROR(__xludf.DUMMYFUNCTION("""COMPUTED_VALUE"""),"Gun City")</f>
        <v>Gun City</v>
      </c>
      <c r="U2871" s="5" t="str">
        <f>IFERROR(__xludf.DUMMYFUNCTION("""COMPUTED_VALUE"""),"Sacha Wolff")</f>
        <v>Sacha Wolff</v>
      </c>
      <c r="V2871" s="5" t="s">
        <v>12374</v>
      </c>
      <c r="W2871" s="5" t="str">
        <f t="shared" si="3"/>
        <v>Mike Doyle</v>
      </c>
      <c r="X2871" s="5">
        <f t="shared" si="4"/>
        <v>1</v>
      </c>
      <c r="Y2871" s="5" t="str">
        <f>IFERROR(__xludf.DUMMYFUNCTION("REGEXEXTRACT(J2871, ""^\d+"")"),"72")</f>
        <v>72</v>
      </c>
      <c r="Z2871" s="5" t="str">
        <f>IFERROR(__xludf.DUMMYFUNCTION("REGEXEXTRACT(J2871, ""[A-Za-z ]+$"")")," min")</f>
        <v> min</v>
      </c>
      <c r="AA2871" s="5" t="str">
        <f>IFERROR(__xludf.DUMMYFUNCTION("IF(REGEXMATCH(Z2871, ""Season""), ""TV Show"", ""Movie"")"),"Movie")</f>
        <v>Movie</v>
      </c>
    </row>
    <row r="2872">
      <c r="A2872" s="1" t="s">
        <v>16018</v>
      </c>
      <c r="B2872" s="1" t="s">
        <v>37</v>
      </c>
      <c r="C2872" s="1" t="s">
        <v>16019</v>
      </c>
      <c r="E2872" s="1" t="s">
        <v>16020</v>
      </c>
      <c r="F2872" s="1" t="s">
        <v>40</v>
      </c>
      <c r="G2872" s="1" t="s">
        <v>16006</v>
      </c>
      <c r="H2872" s="1">
        <v>2020.0</v>
      </c>
      <c r="I2872" s="1" t="s">
        <v>42</v>
      </c>
      <c r="J2872" s="1" t="s">
        <v>51</v>
      </c>
      <c r="K2872" s="1" t="s">
        <v>190</v>
      </c>
      <c r="L2872" s="1" t="s">
        <v>16021</v>
      </c>
      <c r="M2872" s="2" t="s">
        <v>12</v>
      </c>
      <c r="N2872" s="4">
        <f t="shared" si="1"/>
        <v>43889</v>
      </c>
      <c r="O2872" s="5" t="str">
        <f>IFERROR(__xludf.DUMMYFUNCTION("IF(REGEXMATCH(TRIM(I2872), ""^\d+\s*min""), ""Unclassified"", IF(I2872 = """", ""NR"", I2872))"),"TV-MA")</f>
        <v>TV-MA</v>
      </c>
      <c r="R2872" s="5" t="str">
        <f t="shared" si="2"/>
        <v>Queen Sono</v>
      </c>
      <c r="S2872" s="5" t="str">
        <f>IFERROR(__xludf.DUMMYFUNCTION("""COMPUTED_VALUE"""),"Gun Runners")</f>
        <v>Gun Runners</v>
      </c>
      <c r="U2872" s="5" t="str">
        <f>IFERROR(__xludf.DUMMYFUNCTION("""COMPUTED_VALUE"""),"Adam Nimoy")</f>
        <v>Adam Nimoy</v>
      </c>
      <c r="V2872" s="5" t="s">
        <v>10857</v>
      </c>
      <c r="W2872" s="5" t="str">
        <f t="shared" si="3"/>
        <v>Mike Elliott</v>
      </c>
      <c r="X2872" s="5">
        <f t="shared" si="4"/>
        <v>1</v>
      </c>
      <c r="Y2872" s="5" t="str">
        <f>IFERROR(__xludf.DUMMYFUNCTION("REGEXEXTRACT(J2872, ""^\d+"")"),"1")</f>
        <v>1</v>
      </c>
      <c r="Z2872" s="5" t="str">
        <f>IFERROR(__xludf.DUMMYFUNCTION("REGEXEXTRACT(J2872, ""[A-Za-z ]+$"")")," Season")</f>
        <v> Season</v>
      </c>
      <c r="AA2872" s="5" t="str">
        <f>IFERROR(__xludf.DUMMYFUNCTION("IF(REGEXMATCH(Z2872, ""Season""), ""TV Show"", ""Movie"")"),"TV Show")</f>
        <v>TV Show</v>
      </c>
    </row>
    <row r="2873">
      <c r="A2873" s="1" t="s">
        <v>16022</v>
      </c>
      <c r="B2873" s="1" t="s">
        <v>37</v>
      </c>
      <c r="C2873" s="1" t="s">
        <v>16023</v>
      </c>
      <c r="E2873" s="1" t="s">
        <v>16024</v>
      </c>
      <c r="F2873" s="1" t="s">
        <v>784</v>
      </c>
      <c r="G2873" s="1" t="s">
        <v>16006</v>
      </c>
      <c r="H2873" s="1">
        <v>2019.0</v>
      </c>
      <c r="I2873" s="1" t="s">
        <v>42</v>
      </c>
      <c r="J2873" s="1" t="s">
        <v>51</v>
      </c>
      <c r="K2873" s="1" t="s">
        <v>785</v>
      </c>
      <c r="L2873" s="1" t="s">
        <v>16025</v>
      </c>
      <c r="M2873" s="2" t="s">
        <v>12</v>
      </c>
      <c r="N2873" s="4">
        <f t="shared" si="1"/>
        <v>43889</v>
      </c>
      <c r="O2873" s="5" t="str">
        <f>IFERROR(__xludf.DUMMYFUNCTION("IF(REGEXMATCH(TRIM(I2873), ""^\d+\s*min""), ""Unclassified"", IF(I2873 = """", ""NR"", I2873))"),"TV-MA")</f>
        <v>TV-MA</v>
      </c>
      <c r="R2873" s="5" t="str">
        <f t="shared" si="2"/>
        <v>Toy Boy</v>
      </c>
      <c r="S2873" s="5" t="str">
        <f>IFERROR(__xludf.DUMMYFUNCTION("""COMPUTED_VALUE"""),"Guna 369")</f>
        <v>Guna 369</v>
      </c>
      <c r="U2873" s="5" t="str">
        <f>IFERROR(__xludf.DUMMYFUNCTION("""COMPUTED_VALUE"""),"Elizabeth Wood")</f>
        <v>Elizabeth Wood</v>
      </c>
      <c r="V2873" s="5" t="s">
        <v>16026</v>
      </c>
      <c r="W2873" s="5" t="str">
        <f t="shared" si="3"/>
        <v>Mike Ezuruonye</v>
      </c>
      <c r="X2873" s="5">
        <f t="shared" si="4"/>
        <v>1</v>
      </c>
      <c r="Y2873" s="5" t="str">
        <f>IFERROR(__xludf.DUMMYFUNCTION("REGEXEXTRACT(J2873, ""^\d+"")"),"1")</f>
        <v>1</v>
      </c>
      <c r="Z2873" s="5" t="str">
        <f>IFERROR(__xludf.DUMMYFUNCTION("REGEXEXTRACT(J2873, ""[A-Za-z ]+$"")")," Season")</f>
        <v> Season</v>
      </c>
      <c r="AA2873" s="5" t="str">
        <f>IFERROR(__xludf.DUMMYFUNCTION("IF(REGEXMATCH(Z2873, ""Season""), ""TV Show"", ""Movie"")"),"TV Show")</f>
        <v>TV Show</v>
      </c>
    </row>
    <row r="2874">
      <c r="A2874" s="1" t="s">
        <v>16027</v>
      </c>
      <c r="B2874" s="1" t="s">
        <v>37</v>
      </c>
      <c r="C2874" s="1" t="s">
        <v>16028</v>
      </c>
      <c r="E2874" s="1" t="s">
        <v>16029</v>
      </c>
      <c r="F2874" s="1" t="s">
        <v>162</v>
      </c>
      <c r="G2874" s="1" t="s">
        <v>16006</v>
      </c>
      <c r="H2874" s="1">
        <v>2020.0</v>
      </c>
      <c r="I2874" s="1" t="s">
        <v>42</v>
      </c>
      <c r="J2874" s="1" t="s">
        <v>51</v>
      </c>
      <c r="K2874" s="1" t="s">
        <v>1339</v>
      </c>
      <c r="L2874" s="1" t="s">
        <v>16030</v>
      </c>
      <c r="M2874" s="2" t="s">
        <v>12</v>
      </c>
      <c r="N2874" s="4">
        <f t="shared" si="1"/>
        <v>43889</v>
      </c>
      <c r="O2874" s="5" t="str">
        <f>IFERROR(__xludf.DUMMYFUNCTION("IF(REGEXMATCH(TRIM(I2874), ""^\d+\s*min""), ""Unclassified"", IF(I2874 = """", ""NR"", I2874))"),"TV-MA")</f>
        <v>TV-MA</v>
      </c>
      <c r="R2874" s="5" t="str">
        <f t="shared" si="2"/>
        <v>Unstoppable</v>
      </c>
      <c r="S2874" s="5" t="str">
        <f>IFERROR(__xludf.DUMMYFUNCTION("""COMPUTED_VALUE"""),"Gunjan Saxena: The Kargil Girl")</f>
        <v>Gunjan Saxena: The Kargil Girl</v>
      </c>
      <c r="U2874" s="5" t="str">
        <f>IFERROR(__xludf.DUMMYFUNCTION("""COMPUTED_VALUE"""),"Robert Mccullough Jr.")</f>
        <v>Robert Mccullough Jr.</v>
      </c>
      <c r="V2874" s="5" t="s">
        <v>16031</v>
      </c>
      <c r="W2874" s="5" t="str">
        <f t="shared" si="3"/>
        <v>Mike Fetterly, Steve Sacks</v>
      </c>
      <c r="X2874" s="5">
        <f t="shared" si="4"/>
        <v>1</v>
      </c>
      <c r="Y2874" s="5" t="str">
        <f>IFERROR(__xludf.DUMMYFUNCTION("REGEXEXTRACT(J2874, ""^\d+"")"),"1")</f>
        <v>1</v>
      </c>
      <c r="Z2874" s="5" t="str">
        <f>IFERROR(__xludf.DUMMYFUNCTION("REGEXEXTRACT(J2874, ""[A-Za-z ]+$"")")," Season")</f>
        <v> Season</v>
      </c>
      <c r="AA2874" s="5" t="str">
        <f>IFERROR(__xludf.DUMMYFUNCTION("IF(REGEXMATCH(Z2874, ""Season""), ""TV Show"", ""Movie"")"),"TV Show")</f>
        <v>TV Show</v>
      </c>
    </row>
    <row r="2875">
      <c r="A2875" s="1" t="s">
        <v>16032</v>
      </c>
      <c r="B2875" s="1" t="s">
        <v>27</v>
      </c>
      <c r="C2875" s="1" t="s">
        <v>16033</v>
      </c>
      <c r="D2875" s="1" t="s">
        <v>15868</v>
      </c>
      <c r="E2875" s="1" t="s">
        <v>15869</v>
      </c>
      <c r="F2875" s="1" t="s">
        <v>63</v>
      </c>
      <c r="G2875" s="1" t="s">
        <v>16034</v>
      </c>
      <c r="H2875" s="1">
        <v>2020.0</v>
      </c>
      <c r="I2875" s="1" t="s">
        <v>97</v>
      </c>
      <c r="J2875" s="1" t="s">
        <v>6105</v>
      </c>
      <c r="K2875" s="1" t="s">
        <v>617</v>
      </c>
      <c r="L2875" s="1" t="s">
        <v>15870</v>
      </c>
      <c r="M2875" s="2" t="s">
        <v>12</v>
      </c>
      <c r="N2875" s="4">
        <f t="shared" si="1"/>
        <v>43888</v>
      </c>
      <c r="O2875" s="5" t="str">
        <f>IFERROR(__xludf.DUMMYFUNCTION("IF(REGEXMATCH(TRIM(I2875), ""^\d+\s*min""), ""Unclassified"", IF(I2875 = """", ""NR"", I2875))"),"TV-14")</f>
        <v>TV-14</v>
      </c>
      <c r="R2875" s="5" t="str">
        <f t="shared" si="2"/>
        <v>Ala Vaikunthapurramuloo</v>
      </c>
      <c r="S2875" s="5" t="str">
        <f>IFERROR(__xludf.DUMMYFUNCTION("""COMPUTED_VALUE"""),"Gunpowder Milkshake")</f>
        <v>Gunpowder Milkshake</v>
      </c>
      <c r="U2875" s="5" t="str">
        <f>IFERROR(__xludf.DUMMYFUNCTION("""COMPUTED_VALUE"""),"Shrihari Sathe")</f>
        <v>Shrihari Sathe</v>
      </c>
      <c r="V2875" s="5" t="s">
        <v>69</v>
      </c>
      <c r="W2875" s="5" t="str">
        <f t="shared" si="3"/>
        <v>Mike Flanagan</v>
      </c>
      <c r="X2875" s="5">
        <f t="shared" si="4"/>
        <v>4</v>
      </c>
      <c r="Y2875" s="5" t="str">
        <f>IFERROR(__xludf.DUMMYFUNCTION("REGEXEXTRACT(J2875, ""^\d+"")"),"162")</f>
        <v>162</v>
      </c>
      <c r="Z2875" s="5" t="str">
        <f>IFERROR(__xludf.DUMMYFUNCTION("REGEXEXTRACT(J2875, ""[A-Za-z ]+$"")")," min")</f>
        <v> min</v>
      </c>
      <c r="AA2875" s="5" t="str">
        <f>IFERROR(__xludf.DUMMYFUNCTION("IF(REGEXMATCH(Z2875, ""Season""), ""TV Show"", ""Movie"")"),"Movie")</f>
        <v>Movie</v>
      </c>
    </row>
    <row r="2876">
      <c r="A2876" s="1" t="s">
        <v>16035</v>
      </c>
      <c r="B2876" s="1" t="s">
        <v>37</v>
      </c>
      <c r="C2876" s="1" t="s">
        <v>16036</v>
      </c>
      <c r="E2876" s="1" t="s">
        <v>16037</v>
      </c>
      <c r="F2876" s="1" t="s">
        <v>30</v>
      </c>
      <c r="G2876" s="1" t="s">
        <v>16034</v>
      </c>
      <c r="H2876" s="1">
        <v>2020.0</v>
      </c>
      <c r="I2876" s="1" t="s">
        <v>42</v>
      </c>
      <c r="J2876" s="1" t="s">
        <v>43</v>
      </c>
      <c r="K2876" s="1" t="s">
        <v>13666</v>
      </c>
      <c r="L2876" s="1" t="s">
        <v>16038</v>
      </c>
      <c r="M2876" s="2" t="s">
        <v>12</v>
      </c>
      <c r="N2876" s="4">
        <f t="shared" si="1"/>
        <v>43888</v>
      </c>
      <c r="O2876" s="5" t="str">
        <f>IFERROR(__xludf.DUMMYFUNCTION("IF(REGEXMATCH(TRIM(I2876), ""^\d+\s*min""), ""Unclassified"", IF(I2876 = """", ""NR"", I2876))"),"TV-MA")</f>
        <v>TV-MA</v>
      </c>
      <c r="R2876" s="5" t="str">
        <f t="shared" si="2"/>
        <v>Altered Carbon</v>
      </c>
      <c r="S2876" s="5" t="str">
        <f>IFERROR(__xludf.DUMMYFUNCTION("""COMPUTED_VALUE"""),"Gunshot")</f>
        <v>Gunshot</v>
      </c>
      <c r="U2876" s="5" t="str">
        <f>IFERROR(__xludf.DUMMYFUNCTION("""COMPUTED_VALUE"""),"Ralph Macchio")</f>
        <v>Ralph Macchio</v>
      </c>
      <c r="V2876" s="5" t="s">
        <v>16039</v>
      </c>
      <c r="W2876" s="5" t="str">
        <f t="shared" si="3"/>
        <v>Mike Fleiss</v>
      </c>
      <c r="X2876" s="5">
        <f t="shared" si="4"/>
        <v>1</v>
      </c>
      <c r="Y2876" s="5" t="str">
        <f>IFERROR(__xludf.DUMMYFUNCTION("REGEXEXTRACT(J2876, ""^\d+"")"),"2")</f>
        <v>2</v>
      </c>
      <c r="Z2876" s="5" t="str">
        <f>IFERROR(__xludf.DUMMYFUNCTION("REGEXEXTRACT(J2876, ""[A-Za-z ]+$"")")," Seasons")</f>
        <v> Seasons</v>
      </c>
      <c r="AA2876" s="5" t="str">
        <f>IFERROR(__xludf.DUMMYFUNCTION("IF(REGEXMATCH(Z2876, ""Season""), ""TV Show"", ""Movie"")"),"TV Show")</f>
        <v>TV Show</v>
      </c>
    </row>
    <row r="2877">
      <c r="A2877" s="1" t="s">
        <v>16040</v>
      </c>
      <c r="B2877" s="1" t="s">
        <v>37</v>
      </c>
      <c r="C2877" s="1" t="s">
        <v>16041</v>
      </c>
      <c r="E2877" s="1" t="s">
        <v>16042</v>
      </c>
      <c r="F2877" s="1" t="s">
        <v>415</v>
      </c>
      <c r="G2877" s="1" t="s">
        <v>16034</v>
      </c>
      <c r="H2877" s="1">
        <v>2020.0</v>
      </c>
      <c r="I2877" s="1" t="s">
        <v>42</v>
      </c>
      <c r="J2877" s="1" t="s">
        <v>51</v>
      </c>
      <c r="K2877" s="1" t="s">
        <v>402</v>
      </c>
      <c r="L2877" s="1" t="s">
        <v>16043</v>
      </c>
      <c r="M2877" s="2" t="s">
        <v>12</v>
      </c>
      <c r="N2877" s="4">
        <f t="shared" si="1"/>
        <v>43888</v>
      </c>
      <c r="O2877" s="5" t="str">
        <f>IFERROR(__xludf.DUMMYFUNCTION("IF(REGEXMATCH(TRIM(I2877), ""^\d+\s*min""), ""Unclassified"", IF(I2877 = """", ""NR"", I2877))"),"TV-MA")</f>
        <v>TV-MA</v>
      </c>
      <c r="R2877" s="5" t="str">
        <f t="shared" si="2"/>
        <v>Followers</v>
      </c>
      <c r="S2877" s="5" t="str">
        <f>IFERROR(__xludf.DUMMYFUNCTION("""COMPUTED_VALUE"""),"Gunslinger Girl")</f>
        <v>Gunslinger Girl</v>
      </c>
      <c r="U2877" s="5" t="str">
        <f>IFERROR(__xludf.DUMMYFUNCTION("""COMPUTED_VALUE"""),"Ricardo Maldonado")</f>
        <v>Ricardo Maldonado</v>
      </c>
      <c r="V2877" s="5" t="s">
        <v>4413</v>
      </c>
      <c r="W2877" s="5" t="str">
        <f t="shared" si="3"/>
        <v>Mike Gunther</v>
      </c>
      <c r="X2877" s="5">
        <f t="shared" si="4"/>
        <v>4</v>
      </c>
      <c r="Y2877" s="5" t="str">
        <f>IFERROR(__xludf.DUMMYFUNCTION("REGEXEXTRACT(J2877, ""^\d+"")"),"1")</f>
        <v>1</v>
      </c>
      <c r="Z2877" s="5" t="str">
        <f>IFERROR(__xludf.DUMMYFUNCTION("REGEXEXTRACT(J2877, ""[A-Za-z ]+$"")")," Season")</f>
        <v> Season</v>
      </c>
      <c r="AA2877" s="5" t="str">
        <f>IFERROR(__xludf.DUMMYFUNCTION("IF(REGEXMATCH(Z2877, ""Season""), ""TV Show"", ""Movie"")"),"TV Show")</f>
        <v>TV Show</v>
      </c>
    </row>
    <row r="2878">
      <c r="A2878" s="1" t="s">
        <v>16044</v>
      </c>
      <c r="B2878" s="1" t="s">
        <v>27</v>
      </c>
      <c r="C2878" s="1" t="s">
        <v>16045</v>
      </c>
      <c r="D2878" s="1" t="s">
        <v>13230</v>
      </c>
      <c r="E2878" s="1" t="s">
        <v>16046</v>
      </c>
      <c r="F2878" s="1" t="s">
        <v>415</v>
      </c>
      <c r="G2878" s="1" t="s">
        <v>16034</v>
      </c>
      <c r="H2878" s="1">
        <v>2019.0</v>
      </c>
      <c r="I2878" s="1" t="s">
        <v>289</v>
      </c>
      <c r="J2878" s="1" t="s">
        <v>357</v>
      </c>
      <c r="K2878" s="1" t="s">
        <v>13575</v>
      </c>
      <c r="L2878" s="1" t="s">
        <v>16047</v>
      </c>
      <c r="M2878" s="2" t="s">
        <v>12</v>
      </c>
      <c r="N2878" s="4">
        <f t="shared" si="1"/>
        <v>43888</v>
      </c>
      <c r="O2878" s="5" t="str">
        <f>IFERROR(__xludf.DUMMYFUNCTION("IF(REGEXMATCH(TRIM(I2878), ""^\d+\s*min""), ""Unclassified"", IF(I2878 = """", ""NR"", I2878))"),"TV-Y7")</f>
        <v>TV-Y7</v>
      </c>
      <c r="R2878" s="5" t="str">
        <f t="shared" si="2"/>
        <v>Pokémon: Mewtwo Strikes Back - Evolution</v>
      </c>
      <c r="S2878" s="5" t="str">
        <f>IFERROR(__xludf.DUMMYFUNCTION("""COMPUTED_VALUE"""),"Gurgaon")</f>
        <v>Gurgaon</v>
      </c>
      <c r="U2878" s="5" t="str">
        <f>IFERROR(__xludf.DUMMYFUNCTION("""COMPUTED_VALUE"""),"Vetrimaaran")</f>
        <v>Vetrimaaran</v>
      </c>
      <c r="V2878" s="5" t="s">
        <v>6878</v>
      </c>
      <c r="W2878" s="5" t="str">
        <f t="shared" si="3"/>
        <v>Mike Hodges</v>
      </c>
      <c r="X2878" s="5">
        <f t="shared" si="4"/>
        <v>1</v>
      </c>
      <c r="Y2878" s="5" t="str">
        <f>IFERROR(__xludf.DUMMYFUNCTION("REGEXEXTRACT(J2878, ""^\d+"")"),"98")</f>
        <v>98</v>
      </c>
      <c r="Z2878" s="5" t="str">
        <f>IFERROR(__xludf.DUMMYFUNCTION("REGEXEXTRACT(J2878, ""[A-Za-z ]+$"")")," min")</f>
        <v> min</v>
      </c>
      <c r="AA2878" s="5" t="str">
        <f>IFERROR(__xludf.DUMMYFUNCTION("IF(REGEXMATCH(Z2878, ""Season""), ""TV Show"", ""Movie"")"),"Movie")</f>
        <v>Movie</v>
      </c>
    </row>
    <row r="2879">
      <c r="A2879" s="1" t="s">
        <v>16048</v>
      </c>
      <c r="B2879" s="1" t="s">
        <v>37</v>
      </c>
      <c r="C2879" s="1" t="s">
        <v>16049</v>
      </c>
      <c r="D2879" s="1" t="s">
        <v>16050</v>
      </c>
      <c r="E2879" s="1" t="s">
        <v>16051</v>
      </c>
      <c r="F2879" s="1" t="s">
        <v>2774</v>
      </c>
      <c r="G2879" s="1" t="s">
        <v>16034</v>
      </c>
      <c r="H2879" s="1">
        <v>2020.0</v>
      </c>
      <c r="I2879" s="1" t="s">
        <v>97</v>
      </c>
      <c r="J2879" s="1" t="s">
        <v>51</v>
      </c>
      <c r="K2879" s="1" t="s">
        <v>1045</v>
      </c>
      <c r="L2879" s="1" t="s">
        <v>16052</v>
      </c>
      <c r="M2879" s="2" t="s">
        <v>12</v>
      </c>
      <c r="N2879" s="4">
        <f t="shared" si="1"/>
        <v>43888</v>
      </c>
      <c r="O2879" s="5" t="str">
        <f>IFERROR(__xludf.DUMMYFUNCTION("IF(REGEXMATCH(TRIM(I2879), ""^\d+\s*min""), ""Unclassified"", IF(I2879 = """", ""NR"", I2879))"),"TV-14")</f>
        <v>TV-14</v>
      </c>
      <c r="R2879" s="5" t="str">
        <f t="shared" si="2"/>
        <v>Six Windows In The Desert</v>
      </c>
      <c r="S2879" s="5" t="str">
        <f>IFERROR(__xludf.DUMMYFUNCTION("""COMPUTED_VALUE"""),"Gurren Lagann")</f>
        <v>Gurren Lagann</v>
      </c>
      <c r="U2879" s="5" t="str">
        <f>IFERROR(__xludf.DUMMYFUNCTION("""COMPUTED_VALUE"""),"Linas Phillips")</f>
        <v>Linas Phillips</v>
      </c>
      <c r="V2879" s="5" t="s">
        <v>16053</v>
      </c>
      <c r="W2879" s="5" t="str">
        <f t="shared" si="3"/>
        <v>Mike Judge</v>
      </c>
      <c r="X2879" s="5">
        <f t="shared" si="4"/>
        <v>1</v>
      </c>
      <c r="Y2879" s="5" t="str">
        <f>IFERROR(__xludf.DUMMYFUNCTION("REGEXEXTRACT(J2879, ""^\d+"")"),"1")</f>
        <v>1</v>
      </c>
      <c r="Z2879" s="5" t="str">
        <f>IFERROR(__xludf.DUMMYFUNCTION("REGEXEXTRACT(J2879, ""[A-Za-z ]+$"")")," Season")</f>
        <v> Season</v>
      </c>
      <c r="AA2879" s="5" t="str">
        <f>IFERROR(__xludf.DUMMYFUNCTION("IF(REGEXMATCH(Z2879, ""Season""), ""TV Show"", ""Movie"")"),"TV Show")</f>
        <v>TV Show</v>
      </c>
    </row>
    <row r="2880">
      <c r="A2880" s="1" t="s">
        <v>16054</v>
      </c>
      <c r="B2880" s="1" t="s">
        <v>27</v>
      </c>
      <c r="C2880" s="1" t="s">
        <v>16055</v>
      </c>
      <c r="D2880" s="1" t="s">
        <v>16056</v>
      </c>
      <c r="E2880" s="1" t="s">
        <v>16057</v>
      </c>
      <c r="F2880" s="1" t="s">
        <v>400</v>
      </c>
      <c r="G2880" s="1" t="s">
        <v>16058</v>
      </c>
      <c r="H2880" s="1">
        <v>2016.0</v>
      </c>
      <c r="I2880" s="1" t="s">
        <v>97</v>
      </c>
      <c r="J2880" s="1" t="s">
        <v>238</v>
      </c>
      <c r="K2880" s="1" t="s">
        <v>679</v>
      </c>
      <c r="L2880" s="1" t="s">
        <v>16059</v>
      </c>
      <c r="M2880" s="2" t="s">
        <v>12</v>
      </c>
      <c r="N2880" s="4">
        <f t="shared" si="1"/>
        <v>43887</v>
      </c>
      <c r="O2880" s="5" t="str">
        <f>IFERROR(__xludf.DUMMYFUNCTION("IF(REGEXMATCH(TRIM(I2880), ""^\d+\s*min""), ""Unclassified"", IF(I2880 = """", ""NR"", I2880))"),"TV-14")</f>
        <v>TV-14</v>
      </c>
      <c r="R2880" s="5" t="str">
        <f t="shared" si="2"/>
        <v>Couple Of Days</v>
      </c>
      <c r="S2880" s="5" t="str">
        <f>IFERROR(__xludf.DUMMYFUNCTION("""COMPUTED_VALUE"""),"Guru")</f>
        <v>Guru</v>
      </c>
      <c r="U2880" s="5" t="str">
        <f>IFERROR(__xludf.DUMMYFUNCTION("""COMPUTED_VALUE"""),"Jeff Margolis")</f>
        <v>Jeff Margolis</v>
      </c>
      <c r="V2880" s="5" t="s">
        <v>16060</v>
      </c>
      <c r="W2880" s="5" t="str">
        <f t="shared" si="3"/>
        <v>Mike Mccoy, Scott Waugh</v>
      </c>
      <c r="X2880" s="5">
        <f t="shared" si="4"/>
        <v>1</v>
      </c>
      <c r="Y2880" s="5" t="str">
        <f>IFERROR(__xludf.DUMMYFUNCTION("REGEXEXTRACT(J2880, ""^\d+"")"),"103")</f>
        <v>103</v>
      </c>
      <c r="Z2880" s="5" t="str">
        <f>IFERROR(__xludf.DUMMYFUNCTION("REGEXEXTRACT(J2880, ""[A-Za-z ]+$"")")," min")</f>
        <v> min</v>
      </c>
      <c r="AA2880" s="5" t="str">
        <f>IFERROR(__xludf.DUMMYFUNCTION("IF(REGEXMATCH(Z2880, ""Season""), ""TV Show"", ""Movie"")"),"Movie")</f>
        <v>Movie</v>
      </c>
    </row>
    <row r="2881">
      <c r="A2881" s="1" t="s">
        <v>16061</v>
      </c>
      <c r="B2881" s="1" t="s">
        <v>27</v>
      </c>
      <c r="C2881" s="1" t="s">
        <v>16062</v>
      </c>
      <c r="D2881" s="1" t="s">
        <v>7069</v>
      </c>
      <c r="E2881" s="1" t="s">
        <v>16063</v>
      </c>
      <c r="F2881" s="1" t="s">
        <v>400</v>
      </c>
      <c r="G2881" s="1" t="s">
        <v>16058</v>
      </c>
      <c r="H2881" s="1">
        <v>2015.0</v>
      </c>
      <c r="I2881" s="1" t="s">
        <v>42</v>
      </c>
      <c r="J2881" s="1" t="s">
        <v>247</v>
      </c>
      <c r="K2881" s="1" t="s">
        <v>128</v>
      </c>
      <c r="L2881" s="1" t="s">
        <v>16064</v>
      </c>
      <c r="M2881" s="2" t="s">
        <v>12</v>
      </c>
      <c r="N2881" s="4">
        <f t="shared" si="1"/>
        <v>43887</v>
      </c>
      <c r="O2881" s="5" t="str">
        <f>IFERROR(__xludf.DUMMYFUNCTION("IF(REGEXMATCH(TRIM(I2881), ""^\d+\s*min""), ""Unclassified"", IF(I2881 = """", ""NR"", I2881))"),"TV-MA")</f>
        <v>TV-MA</v>
      </c>
      <c r="R2881" s="5" t="str">
        <f t="shared" si="2"/>
        <v>Gbomo Gbomo Express</v>
      </c>
      <c r="S2881" s="5" t="str">
        <f>IFERROR(__xludf.DUMMYFUNCTION("""COMPUTED_VALUE"""),"Guru Aur Bhole")</f>
        <v>Guru Aur Bhole</v>
      </c>
      <c r="U2881" s="5" t="str">
        <f>IFERROR(__xludf.DUMMYFUNCTION("""COMPUTED_VALUE"""),"Bauddhayan Mukherji")</f>
        <v>Bauddhayan Mukherji</v>
      </c>
      <c r="V2881" s="5" t="s">
        <v>16065</v>
      </c>
      <c r="W2881" s="5" t="str">
        <f t="shared" si="3"/>
        <v>Mike Mills</v>
      </c>
      <c r="X2881" s="5">
        <f t="shared" si="4"/>
        <v>1</v>
      </c>
      <c r="Y2881" s="5" t="str">
        <f>IFERROR(__xludf.DUMMYFUNCTION("REGEXEXTRACT(J2881, ""^\d+"")"),"97")</f>
        <v>97</v>
      </c>
      <c r="Z2881" s="5" t="str">
        <f>IFERROR(__xludf.DUMMYFUNCTION("REGEXEXTRACT(J2881, ""[A-Za-z ]+$"")")," min")</f>
        <v> min</v>
      </c>
      <c r="AA2881" s="5" t="str">
        <f>IFERROR(__xludf.DUMMYFUNCTION("IF(REGEXMATCH(Z2881, ""Season""), ""TV Show"", ""Movie"")"),"Movie")</f>
        <v>Movie</v>
      </c>
    </row>
    <row r="2882">
      <c r="A2882" s="1" t="s">
        <v>16066</v>
      </c>
      <c r="B2882" s="1" t="s">
        <v>37</v>
      </c>
      <c r="C2882" s="1" t="s">
        <v>16067</v>
      </c>
      <c r="E2882" s="1" t="s">
        <v>16068</v>
      </c>
      <c r="F2882" s="1" t="s">
        <v>30</v>
      </c>
      <c r="G2882" s="1" t="s">
        <v>16058</v>
      </c>
      <c r="H2882" s="1">
        <v>2020.0</v>
      </c>
      <c r="I2882" s="1" t="s">
        <v>42</v>
      </c>
      <c r="J2882" s="1" t="s">
        <v>51</v>
      </c>
      <c r="K2882" s="1" t="s">
        <v>16069</v>
      </c>
      <c r="L2882" s="1" t="s">
        <v>16070</v>
      </c>
      <c r="M2882" s="2" t="s">
        <v>12</v>
      </c>
      <c r="N2882" s="4">
        <f t="shared" si="1"/>
        <v>43887</v>
      </c>
      <c r="O2882" s="5" t="str">
        <f>IFERROR(__xludf.DUMMYFUNCTION("IF(REGEXMATCH(TRIM(I2882), ""^\d+\s*min""), ""Unclassified"", IF(I2882 = """", ""NR"", I2882))"),"TV-MA")</f>
        <v>TV-MA</v>
      </c>
      <c r="R2882" s="5" t="str">
        <f t="shared" si="2"/>
        <v>I Am Not Okay With This</v>
      </c>
      <c r="S2882" s="5" t="str">
        <f>IFERROR(__xludf.DUMMYFUNCTION("""COMPUTED_VALUE"""),"Guy Martin: Last Flight Of The Vulcan Bomber")</f>
        <v>Guy Martin: Last Flight Of The Vulcan Bomber</v>
      </c>
      <c r="U2882" s="5" t="str">
        <f>IFERROR(__xludf.DUMMYFUNCTION("""COMPUTED_VALUE"""),"María Jose Cuevas")</f>
        <v>María Jose Cuevas</v>
      </c>
      <c r="V2882" s="5" t="s">
        <v>16071</v>
      </c>
      <c r="W2882" s="5" t="str">
        <f t="shared" si="3"/>
        <v>Mike Newell</v>
      </c>
      <c r="X2882" s="5">
        <f t="shared" si="4"/>
        <v>4</v>
      </c>
      <c r="Y2882" s="5" t="str">
        <f>IFERROR(__xludf.DUMMYFUNCTION("REGEXEXTRACT(J2882, ""^\d+"")"),"1")</f>
        <v>1</v>
      </c>
      <c r="Z2882" s="5" t="str">
        <f>IFERROR(__xludf.DUMMYFUNCTION("REGEXEXTRACT(J2882, ""[A-Za-z ]+$"")")," Season")</f>
        <v> Season</v>
      </c>
      <c r="AA2882" s="5" t="str">
        <f>IFERROR(__xludf.DUMMYFUNCTION("IF(REGEXMATCH(Z2882, ""Season""), ""TV Show"", ""Movie"")"),"TV Show")</f>
        <v>TV Show</v>
      </c>
    </row>
    <row r="2883">
      <c r="A2883" s="1" t="s">
        <v>16072</v>
      </c>
      <c r="B2883" s="1" t="s">
        <v>27</v>
      </c>
      <c r="C2883" s="1" t="s">
        <v>16073</v>
      </c>
      <c r="D2883" s="1" t="s">
        <v>5602</v>
      </c>
      <c r="E2883" s="1" t="s">
        <v>16074</v>
      </c>
      <c r="F2883" s="1" t="s">
        <v>400</v>
      </c>
      <c r="G2883" s="1" t="s">
        <v>16058</v>
      </c>
      <c r="H2883" s="1">
        <v>2015.0</v>
      </c>
      <c r="I2883" s="1" t="s">
        <v>42</v>
      </c>
      <c r="J2883" s="1" t="s">
        <v>170</v>
      </c>
      <c r="K2883" s="1" t="s">
        <v>836</v>
      </c>
      <c r="L2883" s="1" t="s">
        <v>16075</v>
      </c>
      <c r="M2883" s="2" t="s">
        <v>12</v>
      </c>
      <c r="N2883" s="4">
        <f t="shared" si="1"/>
        <v>43887</v>
      </c>
      <c r="O2883" s="5" t="str">
        <f>IFERROR(__xludf.DUMMYFUNCTION("IF(REGEXMATCH(TRIM(I2883), ""^\d+\s*min""), ""Unclassified"", IF(I2883 = """", ""NR"", I2883))"),"TV-MA")</f>
        <v>TV-MA</v>
      </c>
      <c r="R2883" s="5" t="str">
        <f t="shared" si="2"/>
        <v>Taxi Driver</v>
      </c>
      <c r="S2883" s="5" t="str">
        <f>IFERROR(__xludf.DUMMYFUNCTION("""COMPUTED_VALUE"""),"Guzaarish")</f>
        <v>Guzaarish</v>
      </c>
      <c r="U2883" s="5" t="str">
        <f>IFERROR(__xludf.DUMMYFUNCTION("""COMPUTED_VALUE"""),"Chris Sparling")</f>
        <v>Chris Sparling</v>
      </c>
      <c r="V2883" s="5" t="s">
        <v>16076</v>
      </c>
      <c r="W2883" s="5" t="str">
        <f t="shared" si="3"/>
        <v>Mike Nicoll</v>
      </c>
      <c r="X2883" s="5">
        <f t="shared" si="4"/>
        <v>1</v>
      </c>
      <c r="Y2883" s="5" t="str">
        <f>IFERROR(__xludf.DUMMYFUNCTION("REGEXEXTRACT(J2883, ""^\d+"")"),"94")</f>
        <v>94</v>
      </c>
      <c r="Z2883" s="5" t="str">
        <f>IFERROR(__xludf.DUMMYFUNCTION("REGEXEXTRACT(J2883, ""[A-Za-z ]+$"")")," min")</f>
        <v> min</v>
      </c>
      <c r="AA2883" s="5" t="str">
        <f>IFERROR(__xludf.DUMMYFUNCTION("IF(REGEXMATCH(Z2883, ""Season""), ""TV Show"", ""Movie"")"),"Movie")</f>
        <v>Movie</v>
      </c>
    </row>
    <row r="2884">
      <c r="A2884" s="1" t="s">
        <v>16077</v>
      </c>
      <c r="B2884" s="1" t="s">
        <v>27</v>
      </c>
      <c r="C2884" s="1" t="s">
        <v>16078</v>
      </c>
      <c r="D2884" s="1" t="s">
        <v>12095</v>
      </c>
      <c r="E2884" s="1" t="s">
        <v>16079</v>
      </c>
      <c r="F2884" s="1" t="s">
        <v>400</v>
      </c>
      <c r="G2884" s="1" t="s">
        <v>16058</v>
      </c>
      <c r="H2884" s="1">
        <v>2016.0</v>
      </c>
      <c r="I2884" s="1" t="s">
        <v>42</v>
      </c>
      <c r="J2884" s="1" t="s">
        <v>1091</v>
      </c>
      <c r="K2884" s="1" t="s">
        <v>128</v>
      </c>
      <c r="L2884" s="1" t="s">
        <v>16080</v>
      </c>
      <c r="M2884" s="2" t="s">
        <v>12</v>
      </c>
      <c r="N2884" s="4">
        <f t="shared" si="1"/>
        <v>43887</v>
      </c>
      <c r="O2884" s="5" t="str">
        <f>IFERROR(__xludf.DUMMYFUNCTION("IF(REGEXMATCH(TRIM(I2884), ""^\d+\s*min""), ""Unclassified"", IF(I2884 = """", ""NR"", I2884))"),"TV-MA")</f>
        <v>TV-MA</v>
      </c>
      <c r="R2884" s="5" t="str">
        <f t="shared" si="2"/>
        <v>The Arbitration</v>
      </c>
      <c r="S2884" s="5" t="str">
        <f>IFERROR(__xludf.DUMMYFUNCTION("""COMPUTED_VALUE"""),"Gypsy")</f>
        <v>Gypsy</v>
      </c>
      <c r="U2884" s="5" t="str">
        <f>IFERROR(__xludf.DUMMYFUNCTION("""COMPUTED_VALUE"""),"Jan Suter, Raúl Campos Delgado")</f>
        <v>Jan Suter, Raúl Campos Delgado</v>
      </c>
      <c r="V2884" s="5" t="s">
        <v>5765</v>
      </c>
      <c r="W2884" s="5" t="str">
        <f t="shared" si="3"/>
        <v>Mike Rianda, Jeff Rowe</v>
      </c>
      <c r="X2884" s="5">
        <f t="shared" si="4"/>
        <v>1</v>
      </c>
      <c r="Y2884" s="5" t="str">
        <f>IFERROR(__xludf.DUMMYFUNCTION("REGEXEXTRACT(J2884, ""^\d+"")"),"101")</f>
        <v>101</v>
      </c>
      <c r="Z2884" s="5" t="str">
        <f>IFERROR(__xludf.DUMMYFUNCTION("REGEXEXTRACT(J2884, ""[A-Za-z ]+$"")")," min")</f>
        <v> min</v>
      </c>
      <c r="AA2884" s="5" t="str">
        <f>IFERROR(__xludf.DUMMYFUNCTION("IF(REGEXMATCH(Z2884, ""Season""), ""TV Show"", ""Movie"")"),"Movie")</f>
        <v>Movie</v>
      </c>
    </row>
    <row r="2885">
      <c r="A2885" s="1" t="s">
        <v>16081</v>
      </c>
      <c r="B2885" s="1" t="s">
        <v>37</v>
      </c>
      <c r="C2885" s="1" t="s">
        <v>16082</v>
      </c>
      <c r="F2885" s="1" t="s">
        <v>30</v>
      </c>
      <c r="G2885" s="1" t="s">
        <v>16058</v>
      </c>
      <c r="H2885" s="1">
        <v>2020.0</v>
      </c>
      <c r="I2885" s="1" t="s">
        <v>42</v>
      </c>
      <c r="J2885" s="1" t="s">
        <v>51</v>
      </c>
      <c r="K2885" s="1" t="s">
        <v>2043</v>
      </c>
      <c r="L2885" s="1" t="s">
        <v>16083</v>
      </c>
      <c r="M2885" s="2" t="s">
        <v>12</v>
      </c>
      <c r="N2885" s="4">
        <f t="shared" si="1"/>
        <v>43887</v>
      </c>
      <c r="O2885" s="5" t="str">
        <f>IFERROR(__xludf.DUMMYFUNCTION("IF(REGEXMATCH(TRIM(I2885), ""^\d+\s*min""), ""Unclassified"", IF(I2885 = """", ""NR"", I2885))"),"TV-MA")</f>
        <v>TV-MA</v>
      </c>
      <c r="R2885" s="5" t="str">
        <f t="shared" si="2"/>
        <v>The Trials Of Gabriel Fernandez</v>
      </c>
      <c r="S2885" s="5" t="str">
        <f>IFERROR(__xludf.DUMMYFUNCTION("""COMPUTED_VALUE"""),"H")</f>
        <v>H</v>
      </c>
      <c r="U2885" s="5" t="str">
        <f>IFERROR(__xludf.DUMMYFUNCTION("""COMPUTED_VALUE"""),"Shannon Hartman, Michelle Caputo")</f>
        <v>Shannon Hartman, Michelle Caputo</v>
      </c>
      <c r="V2885" s="5" t="s">
        <v>9779</v>
      </c>
      <c r="W2885" s="5" t="str">
        <f t="shared" si="3"/>
        <v>Mike Rohl</v>
      </c>
      <c r="X2885" s="5">
        <f t="shared" si="4"/>
        <v>1</v>
      </c>
      <c r="Y2885" s="5" t="str">
        <f>IFERROR(__xludf.DUMMYFUNCTION("REGEXEXTRACT(J2885, ""^\d+"")"),"1")</f>
        <v>1</v>
      </c>
      <c r="Z2885" s="5" t="str">
        <f>IFERROR(__xludf.DUMMYFUNCTION("REGEXEXTRACT(J2885, ""[A-Za-z ]+$"")")," Season")</f>
        <v> Season</v>
      </c>
      <c r="AA2885" s="5" t="str">
        <f>IFERROR(__xludf.DUMMYFUNCTION("IF(REGEXMATCH(Z2885, ""Season""), ""TV Show"", ""Movie"")"),"TV Show")</f>
        <v>TV Show</v>
      </c>
    </row>
    <row r="2886">
      <c r="A2886" s="1" t="s">
        <v>16084</v>
      </c>
      <c r="B2886" s="1" t="s">
        <v>27</v>
      </c>
      <c r="C2886" s="1" t="s">
        <v>16085</v>
      </c>
      <c r="D2886" s="1" t="s">
        <v>16086</v>
      </c>
      <c r="E2886" s="1" t="s">
        <v>16087</v>
      </c>
      <c r="G2886" s="1" t="s">
        <v>16058</v>
      </c>
      <c r="H2886" s="1">
        <v>2015.0</v>
      </c>
      <c r="I2886" s="1" t="s">
        <v>42</v>
      </c>
      <c r="J2886" s="1" t="s">
        <v>2414</v>
      </c>
      <c r="K2886" s="1" t="s">
        <v>89</v>
      </c>
      <c r="L2886" s="1" t="s">
        <v>16088</v>
      </c>
      <c r="M2886" s="2" t="s">
        <v>12</v>
      </c>
      <c r="N2886" s="4">
        <f t="shared" si="1"/>
        <v>43887</v>
      </c>
      <c r="O2886" s="5" t="str">
        <f>IFERROR(__xludf.DUMMYFUNCTION("IF(REGEXMATCH(TRIM(I2886), ""^\d+\s*min""), ""Unclassified"", IF(I2886 = """", ""NR"", I2886))"),"TV-MA")</f>
        <v>TV-MA</v>
      </c>
      <c r="R2886" s="5" t="str">
        <f t="shared" si="2"/>
        <v>The Visit</v>
      </c>
      <c r="S2886" s="5" t="str">
        <f>IFERROR(__xludf.DUMMYFUNCTION("""COMPUTED_VALUE"""),"H2O: Just Add Water")</f>
        <v>H2O: Just Add Water</v>
      </c>
      <c r="U2886" s="5" t="str">
        <f>IFERROR(__xludf.DUMMYFUNCTION("""COMPUTED_VALUE"""),"Houda Benyamina")</f>
        <v>Houda Benyamina</v>
      </c>
      <c r="V2886" s="5" t="s">
        <v>16089</v>
      </c>
      <c r="W2886" s="5" t="str">
        <f t="shared" si="3"/>
        <v>Mike Rossiter</v>
      </c>
      <c r="X2886" s="5">
        <f t="shared" si="4"/>
        <v>1</v>
      </c>
      <c r="Y2886" s="5" t="str">
        <f>IFERROR(__xludf.DUMMYFUNCTION("REGEXEXTRACT(J2886, ""^\d+"")"),"138")</f>
        <v>138</v>
      </c>
      <c r="Z2886" s="5" t="str">
        <f>IFERROR(__xludf.DUMMYFUNCTION("REGEXEXTRACT(J2886, ""[A-Za-z ]+$"")")," min")</f>
        <v> min</v>
      </c>
      <c r="AA2886" s="5" t="str">
        <f>IFERROR(__xludf.DUMMYFUNCTION("IF(REGEXMATCH(Z2886, ""Season""), ""TV Show"", ""Movie"")"),"Movie")</f>
        <v>Movie</v>
      </c>
    </row>
    <row r="2887">
      <c r="A2887" s="1" t="s">
        <v>16090</v>
      </c>
      <c r="B2887" s="1" t="s">
        <v>27</v>
      </c>
      <c r="C2887" s="1" t="s">
        <v>16091</v>
      </c>
      <c r="D2887" s="1" t="s">
        <v>2733</v>
      </c>
      <c r="E2887" s="1" t="s">
        <v>16092</v>
      </c>
      <c r="F2887" s="1" t="s">
        <v>400</v>
      </c>
      <c r="G2887" s="1" t="s">
        <v>16058</v>
      </c>
      <c r="H2887" s="1">
        <v>2014.0</v>
      </c>
      <c r="I2887" s="1" t="s">
        <v>97</v>
      </c>
      <c r="J2887" s="1" t="s">
        <v>1065</v>
      </c>
      <c r="K2887" s="1" t="s">
        <v>3183</v>
      </c>
      <c r="L2887" s="1" t="s">
        <v>16093</v>
      </c>
      <c r="M2887" s="2" t="s">
        <v>12</v>
      </c>
      <c r="N2887" s="4">
        <f t="shared" si="1"/>
        <v>43887</v>
      </c>
      <c r="O2887" s="5" t="str">
        <f>IFERROR(__xludf.DUMMYFUNCTION("IF(REGEXMATCH(TRIM(I2887), ""^\d+\s*min""), ""Unclassified"", IF(I2887 = """", ""NR"", I2887))"),"TV-14")</f>
        <v>TV-14</v>
      </c>
      <c r="R2887" s="5" t="str">
        <f t="shared" si="2"/>
        <v>When Love Happens</v>
      </c>
      <c r="S2887" s="5" t="str">
        <f>IFERROR(__xludf.DUMMYFUNCTION("""COMPUTED_VALUE"""),"H2O: Mermaid Adventures")</f>
        <v>H2O: Mermaid Adventures</v>
      </c>
      <c r="U2887" s="5" t="str">
        <f>IFERROR(__xludf.DUMMYFUNCTION("""COMPUTED_VALUE"""),"Volker Weicker")</f>
        <v>Volker Weicker</v>
      </c>
      <c r="V2887" s="5" t="s">
        <v>16094</v>
      </c>
      <c r="W2887" s="5" t="str">
        <f t="shared" si="3"/>
        <v>Mike Smith, John Paul Tremblay, Robb Wells</v>
      </c>
      <c r="X2887" s="5">
        <f t="shared" si="4"/>
        <v>3</v>
      </c>
      <c r="Y2887" s="5" t="str">
        <f>IFERROR(__xludf.DUMMYFUNCTION("REGEXEXTRACT(J2887, ""^\d+"")"),"109")</f>
        <v>109</v>
      </c>
      <c r="Z2887" s="5" t="str">
        <f>IFERROR(__xludf.DUMMYFUNCTION("REGEXEXTRACT(J2887, ""[A-Za-z ]+$"")")," min")</f>
        <v> min</v>
      </c>
      <c r="AA2887" s="5" t="str">
        <f>IFERROR(__xludf.DUMMYFUNCTION("IF(REGEXMATCH(Z2887, ""Season""), ""TV Show"", ""Movie"")"),"Movie")</f>
        <v>Movie</v>
      </c>
    </row>
    <row r="2888">
      <c r="A2888" s="1" t="s">
        <v>16095</v>
      </c>
      <c r="B2888" s="1" t="s">
        <v>27</v>
      </c>
      <c r="C2888" s="1" t="s">
        <v>16096</v>
      </c>
      <c r="D2888" s="1" t="s">
        <v>10277</v>
      </c>
      <c r="E2888" s="1" t="s">
        <v>16097</v>
      </c>
      <c r="F2888" s="1" t="s">
        <v>30</v>
      </c>
      <c r="G2888" s="1" t="s">
        <v>16098</v>
      </c>
      <c r="H2888" s="1">
        <v>2020.0</v>
      </c>
      <c r="I2888" s="1" t="s">
        <v>42</v>
      </c>
      <c r="J2888" s="1" t="s">
        <v>9034</v>
      </c>
      <c r="K2888" s="1" t="s">
        <v>1839</v>
      </c>
      <c r="L2888" s="1" t="s">
        <v>16099</v>
      </c>
      <c r="M2888" s="2" t="s">
        <v>12</v>
      </c>
      <c r="N2888" s="4">
        <f t="shared" si="1"/>
        <v>43886</v>
      </c>
      <c r="O2888" s="5" t="str">
        <f>IFERROR(__xludf.DUMMYFUNCTION("IF(REGEXMATCH(TRIM(I2888), ""^\d+\s*min""), ""Unclassified"", IF(I2888 = """", ""NR"", I2888))"),"TV-MA")</f>
        <v>TV-MA</v>
      </c>
      <c r="R2888" s="5" t="str">
        <f t="shared" si="2"/>
        <v>Pete Davidson: Alive From New York</v>
      </c>
      <c r="S2888" s="5" t="str">
        <f>IFERROR(__xludf.DUMMYFUNCTION("""COMPUTED_VALUE"""),"Ha Unlimited")</f>
        <v>Ha Unlimited</v>
      </c>
      <c r="U2888" s="5" t="str">
        <f>IFERROR(__xludf.DUMMYFUNCTION("""COMPUTED_VALUE"""),"Manjeet Singh")</f>
        <v>Manjeet Singh</v>
      </c>
      <c r="V2888" s="5" t="s">
        <v>16100</v>
      </c>
      <c r="W2888" s="5" t="str">
        <f t="shared" si="3"/>
        <v>Mike Wiluan</v>
      </c>
      <c r="X2888" s="5">
        <f t="shared" si="4"/>
        <v>1</v>
      </c>
      <c r="Y2888" s="5" t="str">
        <f>IFERROR(__xludf.DUMMYFUNCTION("REGEXEXTRACT(J2888, ""^\d+"")"),"50")</f>
        <v>50</v>
      </c>
      <c r="Z2888" s="5" t="str">
        <f>IFERROR(__xludf.DUMMYFUNCTION("REGEXEXTRACT(J2888, ""[A-Za-z ]+$"")")," min")</f>
        <v> min</v>
      </c>
      <c r="AA2888" s="5" t="str">
        <f>IFERROR(__xludf.DUMMYFUNCTION("IF(REGEXMATCH(Z2888, ""Season""), ""TV Show"", ""Movie"")"),"Movie")</f>
        <v>Movie</v>
      </c>
    </row>
    <row r="2889">
      <c r="A2889" s="1" t="s">
        <v>16101</v>
      </c>
      <c r="B2889" s="1" t="s">
        <v>27</v>
      </c>
      <c r="C2889" s="1" t="s">
        <v>16102</v>
      </c>
      <c r="D2889" s="1" t="s">
        <v>16103</v>
      </c>
      <c r="E2889" s="1" t="s">
        <v>16104</v>
      </c>
      <c r="F2889" s="1" t="s">
        <v>30</v>
      </c>
      <c r="G2889" s="1" t="s">
        <v>16105</v>
      </c>
      <c r="H2889" s="1">
        <v>2019.0</v>
      </c>
      <c r="I2889" s="1" t="s">
        <v>136</v>
      </c>
      <c r="J2889" s="1" t="s">
        <v>297</v>
      </c>
      <c r="K2889" s="1" t="s">
        <v>5064</v>
      </c>
      <c r="L2889" s="1" t="s">
        <v>16106</v>
      </c>
      <c r="M2889" s="2" t="s">
        <v>12</v>
      </c>
      <c r="N2889" s="4">
        <f t="shared" si="1"/>
        <v>43884</v>
      </c>
      <c r="O2889" s="5" t="str">
        <f>IFERROR(__xludf.DUMMYFUNCTION("IF(REGEXMATCH(TRIM(I2889), ""^\d+\s*min""), ""Unclassified"", IF(I2889 = """", ""NR"", I2889))"),"TV-PG")</f>
        <v>TV-PG</v>
      </c>
      <c r="R2889" s="5" t="str">
        <f t="shared" si="2"/>
        <v>Full Count</v>
      </c>
      <c r="S2889" s="5" t="str">
        <f>IFERROR(__xludf.DUMMYFUNCTION("""COMPUTED_VALUE"""),"Haani")</f>
        <v>Haani</v>
      </c>
      <c r="U2889" s="5" t="str">
        <f>IFERROR(__xludf.DUMMYFUNCTION("""COMPUTED_VALUE"""),"Lorene Machado")</f>
        <v>Lorene Machado</v>
      </c>
      <c r="V2889" s="5" t="s">
        <v>16107</v>
      </c>
      <c r="W2889" s="5" t="str">
        <f t="shared" si="3"/>
        <v>Mikhail Red</v>
      </c>
      <c r="X2889" s="5">
        <f t="shared" si="4"/>
        <v>3</v>
      </c>
      <c r="Y2889" s="5" t="str">
        <f>IFERROR(__xludf.DUMMYFUNCTION("REGEXEXTRACT(J2889, ""^\d+"")"),"110")</f>
        <v>110</v>
      </c>
      <c r="Z2889" s="5" t="str">
        <f>IFERROR(__xludf.DUMMYFUNCTION("REGEXEXTRACT(J2889, ""[A-Za-z ]+$"")")," min")</f>
        <v> min</v>
      </c>
      <c r="AA2889" s="5" t="str">
        <f>IFERROR(__xludf.DUMMYFUNCTION("IF(REGEXMATCH(Z2889, ""Season""), ""TV Show"", ""Movie"")"),"Movie")</f>
        <v>Movie</v>
      </c>
    </row>
    <row r="2890">
      <c r="A2890" s="1" t="s">
        <v>16108</v>
      </c>
      <c r="B2890" s="1" t="s">
        <v>37</v>
      </c>
      <c r="C2890" s="1" t="s">
        <v>16109</v>
      </c>
      <c r="E2890" s="1" t="s">
        <v>16110</v>
      </c>
      <c r="F2890" s="1" t="s">
        <v>749</v>
      </c>
      <c r="G2890" s="1" t="s">
        <v>16105</v>
      </c>
      <c r="H2890" s="1">
        <v>2020.0</v>
      </c>
      <c r="I2890" s="1" t="s">
        <v>97</v>
      </c>
      <c r="J2890" s="1" t="s">
        <v>51</v>
      </c>
      <c r="K2890" s="1" t="s">
        <v>7164</v>
      </c>
      <c r="L2890" s="1" t="s">
        <v>16111</v>
      </c>
      <c r="M2890" s="2" t="s">
        <v>12</v>
      </c>
      <c r="N2890" s="4">
        <f t="shared" si="1"/>
        <v>43884</v>
      </c>
      <c r="O2890" s="5" t="str">
        <f>IFERROR(__xludf.DUMMYFUNCTION("IF(REGEXMATCH(TRIM(I2890), ""^\d+\s*min""), ""Unclassified"", IF(I2890 = """", ""NR"", I2890))"),"TV-14")</f>
        <v>TV-14</v>
      </c>
      <c r="R2890" s="5" t="str">
        <f t="shared" si="2"/>
        <v>Hi Bye, Mama!</v>
      </c>
      <c r="S2890" s="5" t="str">
        <f>IFERROR(__xludf.DUMMYFUNCTION("""COMPUTED_VALUE"""),"Haapus")</f>
        <v>Haapus</v>
      </c>
      <c r="U2890" s="5" t="str">
        <f>IFERROR(__xludf.DUMMYFUNCTION("""COMPUTED_VALUE"""),"Kief Davidson, Richard Ladkani")</f>
        <v>Kief Davidson, Richard Ladkani</v>
      </c>
      <c r="V2890" s="5" t="s">
        <v>16112</v>
      </c>
      <c r="W2890" s="5" t="str">
        <f t="shared" si="3"/>
        <v>Mikhil Musale</v>
      </c>
      <c r="X2890" s="5">
        <f t="shared" si="4"/>
        <v>2</v>
      </c>
      <c r="Y2890" s="5" t="str">
        <f>IFERROR(__xludf.DUMMYFUNCTION("REGEXEXTRACT(J2890, ""^\d+"")"),"1")</f>
        <v>1</v>
      </c>
      <c r="Z2890" s="5" t="str">
        <f>IFERROR(__xludf.DUMMYFUNCTION("REGEXEXTRACT(J2890, ""[A-Za-z ]+$"")")," Season")</f>
        <v> Season</v>
      </c>
      <c r="AA2890" s="5" t="str">
        <f>IFERROR(__xludf.DUMMYFUNCTION("IF(REGEXMATCH(Z2890, ""Season""), ""TV Show"", ""Movie"")"),"TV Show")</f>
        <v>TV Show</v>
      </c>
    </row>
    <row r="2891">
      <c r="A2891" s="1" t="s">
        <v>16113</v>
      </c>
      <c r="B2891" s="1" t="s">
        <v>27</v>
      </c>
      <c r="C2891" s="1" t="s">
        <v>16114</v>
      </c>
      <c r="D2891" s="1" t="s">
        <v>16115</v>
      </c>
      <c r="E2891" s="1" t="s">
        <v>16116</v>
      </c>
      <c r="F2891" s="1" t="s">
        <v>30</v>
      </c>
      <c r="G2891" s="1" t="s">
        <v>16117</v>
      </c>
      <c r="H2891" s="1">
        <v>2019.0</v>
      </c>
      <c r="I2891" s="1" t="s">
        <v>42</v>
      </c>
      <c r="J2891" s="1" t="s">
        <v>665</v>
      </c>
      <c r="K2891" s="1" t="s">
        <v>1551</v>
      </c>
      <c r="L2891" s="1" t="s">
        <v>16118</v>
      </c>
      <c r="M2891" s="2" t="s">
        <v>12</v>
      </c>
      <c r="N2891" s="4">
        <f t="shared" si="1"/>
        <v>43883</v>
      </c>
      <c r="O2891" s="5" t="str">
        <f>IFERROR(__xludf.DUMMYFUNCTION("IF(REGEXMATCH(TRIM(I2891), ""^\d+\s*min""), ""Unclassified"", IF(I2891 = """", ""NR"", I2891))"),"TV-MA")</f>
        <v>TV-MA</v>
      </c>
      <c r="R2891" s="5" t="str">
        <f t="shared" si="2"/>
        <v>Girl On The Third Floor</v>
      </c>
      <c r="S2891" s="5" t="str">
        <f>IFERROR(__xludf.DUMMYFUNCTION("""COMPUTED_VALUE"""),"Habibie &amp; Ainun")</f>
        <v>Habibie &amp; Ainun</v>
      </c>
      <c r="U2891" s="5" t="str">
        <f>IFERROR(__xludf.DUMMYFUNCTION("""COMPUTED_VALUE"""),"Richard Mears")</f>
        <v>Richard Mears</v>
      </c>
      <c r="V2891" s="5" t="s">
        <v>16119</v>
      </c>
      <c r="W2891" s="5" t="str">
        <f t="shared" si="3"/>
        <v>Mikiko, Daito Manabe</v>
      </c>
      <c r="X2891" s="5">
        <f t="shared" si="4"/>
        <v>1</v>
      </c>
      <c r="Y2891" s="5" t="str">
        <f>IFERROR(__xludf.DUMMYFUNCTION("REGEXEXTRACT(J2891, ""^\d+"")"),"92")</f>
        <v>92</v>
      </c>
      <c r="Z2891" s="5" t="str">
        <f>IFERROR(__xludf.DUMMYFUNCTION("REGEXEXTRACT(J2891, ""[A-Za-z ]+$"")")," min")</f>
        <v> min</v>
      </c>
      <c r="AA2891" s="5" t="str">
        <f>IFERROR(__xludf.DUMMYFUNCTION("IF(REGEXMATCH(Z2891, ""Season""), ""TV Show"", ""Movie"")"),"Movie")</f>
        <v>Movie</v>
      </c>
    </row>
    <row r="2892">
      <c r="A2892" s="1" t="s">
        <v>16120</v>
      </c>
      <c r="B2892" s="1" t="s">
        <v>37</v>
      </c>
      <c r="C2892" s="1" t="s">
        <v>16121</v>
      </c>
      <c r="D2892" s="1" t="s">
        <v>15926</v>
      </c>
      <c r="E2892" s="1" t="s">
        <v>16122</v>
      </c>
      <c r="F2892" s="1" t="s">
        <v>1106</v>
      </c>
      <c r="G2892" s="1" t="s">
        <v>16117</v>
      </c>
      <c r="H2892" s="1">
        <v>2018.0</v>
      </c>
      <c r="I2892" s="1" t="s">
        <v>42</v>
      </c>
      <c r="J2892" s="1" t="s">
        <v>51</v>
      </c>
      <c r="K2892" s="1" t="s">
        <v>2043</v>
      </c>
      <c r="L2892" s="1" t="s">
        <v>16123</v>
      </c>
      <c r="M2892" s="2" t="s">
        <v>12</v>
      </c>
      <c r="N2892" s="4">
        <f t="shared" si="1"/>
        <v>43883</v>
      </c>
      <c r="O2892" s="5" t="str">
        <f>IFERROR(__xludf.DUMMYFUNCTION("IF(REGEXMATCH(TRIM(I2892), ""^\d+\s*min""), ""Unclassified"", IF(I2892 = """", ""NR"", I2892))"),"TV-MA")</f>
        <v>TV-MA</v>
      </c>
      <c r="R2892" s="5" t="str">
        <f t="shared" si="2"/>
        <v>Unabomber - In His Own Words</v>
      </c>
      <c r="S2892" s="5" t="str">
        <f>IFERROR(__xludf.DUMMYFUNCTION("""COMPUTED_VALUE"""),"Hache")</f>
        <v>Hache</v>
      </c>
      <c r="U2892" s="5" t="str">
        <f>IFERROR(__xludf.DUMMYFUNCTION("""COMPUTED_VALUE"""),"Moto Sakakibara")</f>
        <v>Moto Sakakibara</v>
      </c>
      <c r="V2892" s="5" t="s">
        <v>1426</v>
      </c>
      <c r="W2892" s="5" t="str">
        <f t="shared" si="3"/>
        <v>Milan Luthria</v>
      </c>
      <c r="X2892" s="5">
        <f t="shared" si="4"/>
        <v>6</v>
      </c>
      <c r="Y2892" s="5" t="str">
        <f>IFERROR(__xludf.DUMMYFUNCTION("REGEXEXTRACT(J2892, ""^\d+"")"),"1")</f>
        <v>1</v>
      </c>
      <c r="Z2892" s="5" t="str">
        <f>IFERROR(__xludf.DUMMYFUNCTION("REGEXEXTRACT(J2892, ""[A-Za-z ]+$"")")," Season")</f>
        <v> Season</v>
      </c>
      <c r="AA2892" s="5" t="str">
        <f>IFERROR(__xludf.DUMMYFUNCTION("IF(REGEXMATCH(Z2892, ""Season""), ""TV Show"", ""Movie"")"),"TV Show")</f>
        <v>TV Show</v>
      </c>
    </row>
    <row r="2893">
      <c r="A2893" s="1" t="s">
        <v>16124</v>
      </c>
      <c r="B2893" s="1" t="s">
        <v>37</v>
      </c>
      <c r="C2893" s="1" t="s">
        <v>16125</v>
      </c>
      <c r="E2893" s="1" t="s">
        <v>16126</v>
      </c>
      <c r="F2893" s="1" t="s">
        <v>30</v>
      </c>
      <c r="G2893" s="1" t="s">
        <v>16127</v>
      </c>
      <c r="H2893" s="1">
        <v>2020.0</v>
      </c>
      <c r="I2893" s="1" t="s">
        <v>42</v>
      </c>
      <c r="J2893" s="1" t="s">
        <v>51</v>
      </c>
      <c r="K2893" s="1" t="s">
        <v>149</v>
      </c>
      <c r="L2893" s="1" t="s">
        <v>16128</v>
      </c>
      <c r="M2893" s="2" t="s">
        <v>12</v>
      </c>
      <c r="N2893" s="4">
        <f t="shared" si="1"/>
        <v>43882</v>
      </c>
      <c r="O2893" s="5" t="str">
        <f>IFERROR(__xludf.DUMMYFUNCTION("IF(REGEXMATCH(TRIM(I2893), ""^\d+\s*min""), ""Unclassified"", IF(I2893 = """", ""NR"", I2893))"),"TV-MA")</f>
        <v>TV-MA</v>
      </c>
      <c r="R2893" s="5" t="str">
        <f t="shared" si="2"/>
        <v>Gentefied</v>
      </c>
      <c r="S2893" s="5" t="str">
        <f>IFERROR(__xludf.DUMMYFUNCTION("""COMPUTED_VALUE"""),"Hachi: A Dog'S Tale")</f>
        <v>Hachi: A Dog'S Tale</v>
      </c>
      <c r="U2893" s="5" t="str">
        <f>IFERROR(__xludf.DUMMYFUNCTION("""COMPUTED_VALUE"""),"Emilio Martínez Lázaro")</f>
        <v>Emilio Martínez Lázaro</v>
      </c>
      <c r="V2893" s="5" t="s">
        <v>16129</v>
      </c>
      <c r="W2893" s="5" t="str">
        <f t="shared" si="3"/>
        <v>Milind Dhaimade</v>
      </c>
      <c r="X2893" s="5">
        <f t="shared" si="4"/>
        <v>1</v>
      </c>
      <c r="Y2893" s="5" t="str">
        <f>IFERROR(__xludf.DUMMYFUNCTION("REGEXEXTRACT(J2893, ""^\d+"")"),"1")</f>
        <v>1</v>
      </c>
      <c r="Z2893" s="5" t="str">
        <f>IFERROR(__xludf.DUMMYFUNCTION("REGEXEXTRACT(J2893, ""[A-Za-z ]+$"")")," Season")</f>
        <v> Season</v>
      </c>
      <c r="AA2893" s="5" t="str">
        <f>IFERROR(__xludf.DUMMYFUNCTION("IF(REGEXMATCH(Z2893, ""Season""), ""TV Show"", ""Movie"")"),"TV Show")</f>
        <v>TV Show</v>
      </c>
    </row>
    <row r="2894">
      <c r="A2894" s="1" t="s">
        <v>16130</v>
      </c>
      <c r="B2894" s="1" t="s">
        <v>37</v>
      </c>
      <c r="C2894" s="1" t="s">
        <v>16131</v>
      </c>
      <c r="E2894" s="1" t="s">
        <v>16132</v>
      </c>
      <c r="F2894" s="1" t="s">
        <v>749</v>
      </c>
      <c r="G2894" s="1" t="s">
        <v>16127</v>
      </c>
      <c r="H2894" s="1">
        <v>2020.0</v>
      </c>
      <c r="I2894" s="1" t="s">
        <v>42</v>
      </c>
      <c r="J2894" s="1" t="s">
        <v>51</v>
      </c>
      <c r="K2894" s="1" t="s">
        <v>7164</v>
      </c>
      <c r="L2894" s="1" t="s">
        <v>16133</v>
      </c>
      <c r="M2894" s="2" t="s">
        <v>12</v>
      </c>
      <c r="N2894" s="4">
        <f t="shared" si="1"/>
        <v>43882</v>
      </c>
      <c r="O2894" s="5" t="str">
        <f>IFERROR(__xludf.DUMMYFUNCTION("IF(REGEXMATCH(TRIM(I2894), ""^\d+\s*min""), ""Unclassified"", IF(I2894 = """", ""NR"", I2894))"),"TV-MA")</f>
        <v>TV-MA</v>
      </c>
      <c r="R2894" s="5" t="str">
        <f t="shared" si="2"/>
        <v>Hyena</v>
      </c>
      <c r="S2894" s="5" t="str">
        <f>IFERROR(__xludf.DUMMYFUNCTION("""COMPUTED_VALUE"""),"Hadi İnşallah")</f>
        <v>Hadi İnşallah</v>
      </c>
      <c r="U2894" s="5" t="str">
        <f>IFERROR(__xludf.DUMMYFUNCTION("""COMPUTED_VALUE"""),"Osgood Perkins")</f>
        <v>Osgood Perkins</v>
      </c>
      <c r="V2894" s="5" t="s">
        <v>16134</v>
      </c>
      <c r="W2894" s="5" t="str">
        <f t="shared" si="3"/>
        <v>Milind Rau</v>
      </c>
      <c r="X2894" s="5">
        <f t="shared" si="4"/>
        <v>1</v>
      </c>
      <c r="Y2894" s="5" t="str">
        <f>IFERROR(__xludf.DUMMYFUNCTION("REGEXEXTRACT(J2894, ""^\d+"")"),"1")</f>
        <v>1</v>
      </c>
      <c r="Z2894" s="5" t="str">
        <f>IFERROR(__xludf.DUMMYFUNCTION("REGEXEXTRACT(J2894, ""[A-Za-z ]+$"")")," Season")</f>
        <v> Season</v>
      </c>
      <c r="AA2894" s="5" t="str">
        <f>IFERROR(__xludf.DUMMYFUNCTION("IF(REGEXMATCH(Z2894, ""Season""), ""TV Show"", ""Movie"")"),"TV Show")</f>
        <v>TV Show</v>
      </c>
    </row>
    <row r="2895">
      <c r="A2895" s="1" t="s">
        <v>16135</v>
      </c>
      <c r="B2895" s="1" t="s">
        <v>37</v>
      </c>
      <c r="C2895" s="1" t="s">
        <v>16136</v>
      </c>
      <c r="G2895" s="1" t="s">
        <v>16127</v>
      </c>
      <c r="H2895" s="1">
        <v>2020.0</v>
      </c>
      <c r="I2895" s="1" t="s">
        <v>506</v>
      </c>
      <c r="J2895" s="1" t="s">
        <v>51</v>
      </c>
      <c r="K2895" s="1" t="s">
        <v>1520</v>
      </c>
      <c r="L2895" s="1" t="s">
        <v>16137</v>
      </c>
      <c r="M2895" s="2" t="s">
        <v>12</v>
      </c>
      <c r="N2895" s="4">
        <f t="shared" si="1"/>
        <v>43882</v>
      </c>
      <c r="O2895" s="5" t="str">
        <f>IFERROR(__xludf.DUMMYFUNCTION("IF(REGEXMATCH(TRIM(I2895), ""^\d+\s*min""), ""Unclassified"", IF(I2895 = """", ""NR"", I2895))"),"TV-G")</f>
        <v>TV-G</v>
      </c>
      <c r="R2895" s="5" t="str">
        <f t="shared" si="2"/>
        <v>Passion. Panache. Pep</v>
      </c>
      <c r="S2895" s="5" t="str">
        <f>IFERROR(__xludf.DUMMYFUNCTION("""COMPUTED_VALUE"""),"Haider")</f>
        <v>Haider</v>
      </c>
      <c r="U2895" s="5" t="str">
        <f>IFERROR(__xludf.DUMMYFUNCTION("""COMPUTED_VALUE"""),"Werner Herzog")</f>
        <v>Werner Herzog</v>
      </c>
      <c r="V2895" s="5" t="s">
        <v>16138</v>
      </c>
      <c r="W2895" s="5" t="str">
        <f t="shared" si="3"/>
        <v>Milla Harrison-Hansley, Alicky Sussman</v>
      </c>
      <c r="X2895" s="5">
        <f t="shared" si="4"/>
        <v>1</v>
      </c>
      <c r="Y2895" s="5" t="str">
        <f>IFERROR(__xludf.DUMMYFUNCTION("REGEXEXTRACT(J2895, ""^\d+"")"),"1")</f>
        <v>1</v>
      </c>
      <c r="Z2895" s="5" t="str">
        <f>IFERROR(__xludf.DUMMYFUNCTION("REGEXEXTRACT(J2895, ""[A-Za-z ]+$"")")," Season")</f>
        <v> Season</v>
      </c>
      <c r="AA2895" s="5" t="str">
        <f>IFERROR(__xludf.DUMMYFUNCTION("IF(REGEXMATCH(Z2895, ""Season""), ""TV Show"", ""Movie"")"),"TV Show")</f>
        <v>TV Show</v>
      </c>
    </row>
    <row r="2896">
      <c r="A2896" s="1" t="s">
        <v>16139</v>
      </c>
      <c r="B2896" s="1" t="s">
        <v>37</v>
      </c>
      <c r="C2896" s="1" t="s">
        <v>16140</v>
      </c>
      <c r="E2896" s="1" t="s">
        <v>16141</v>
      </c>
      <c r="F2896" s="1" t="s">
        <v>1815</v>
      </c>
      <c r="G2896" s="1" t="s">
        <v>16127</v>
      </c>
      <c r="H2896" s="1">
        <v>2020.0</v>
      </c>
      <c r="I2896" s="1" t="s">
        <v>42</v>
      </c>
      <c r="J2896" s="1" t="s">
        <v>51</v>
      </c>
      <c r="K2896" s="1" t="s">
        <v>785</v>
      </c>
      <c r="L2896" s="1" t="s">
        <v>16142</v>
      </c>
      <c r="M2896" s="2" t="s">
        <v>12</v>
      </c>
      <c r="N2896" s="4">
        <f t="shared" si="1"/>
        <v>43882</v>
      </c>
      <c r="O2896" s="5" t="str">
        <f>IFERROR(__xludf.DUMMYFUNCTION("IF(REGEXMATCH(TRIM(I2896), ""^\d+\s*min""), ""Unclassified"", IF(I2896 = """", ""NR"", I2896))"),"TV-MA")</f>
        <v>TV-MA</v>
      </c>
      <c r="R2896" s="5" t="str">
        <f t="shared" si="2"/>
        <v>Puerta 7</v>
      </c>
      <c r="S2896" s="5" t="str">
        <f>IFERROR(__xludf.DUMMYFUNCTION("""COMPUTED_VALUE"""),"Haikyu!!")</f>
        <v>Haikyu!!</v>
      </c>
      <c r="U2896" s="5" t="str">
        <f>IFERROR(__xludf.DUMMYFUNCTION("""COMPUTED_VALUE"""),"Julien Rambaldi")</f>
        <v>Julien Rambaldi</v>
      </c>
      <c r="V2896" s="5" t="s">
        <v>15933</v>
      </c>
      <c r="W2896" s="5" t="str">
        <f t="shared" si="3"/>
        <v>Milton Horowitz</v>
      </c>
      <c r="X2896" s="5">
        <f t="shared" si="4"/>
        <v>1</v>
      </c>
      <c r="Y2896" s="5" t="str">
        <f>IFERROR(__xludf.DUMMYFUNCTION("REGEXEXTRACT(J2896, ""^\d+"")"),"1")</f>
        <v>1</v>
      </c>
      <c r="Z2896" s="5" t="str">
        <f>IFERROR(__xludf.DUMMYFUNCTION("REGEXEXTRACT(J2896, ""[A-Za-z ]+$"")")," Season")</f>
        <v> Season</v>
      </c>
      <c r="AA2896" s="5" t="str">
        <f>IFERROR(__xludf.DUMMYFUNCTION("IF(REGEXMATCH(Z2896, ""Season""), ""TV Show"", ""Movie"")"),"TV Show")</f>
        <v>TV Show</v>
      </c>
    </row>
    <row r="2897">
      <c r="A2897" s="1" t="s">
        <v>16143</v>
      </c>
      <c r="B2897" s="1" t="s">
        <v>27</v>
      </c>
      <c r="C2897" s="1" t="s">
        <v>16144</v>
      </c>
      <c r="D2897" s="1" t="s">
        <v>16145</v>
      </c>
      <c r="E2897" s="1" t="s">
        <v>16146</v>
      </c>
      <c r="F2897" s="1" t="s">
        <v>2492</v>
      </c>
      <c r="G2897" s="1" t="s">
        <v>16127</v>
      </c>
      <c r="H2897" s="1">
        <v>2020.0</v>
      </c>
      <c r="I2897" s="1" t="s">
        <v>42</v>
      </c>
      <c r="J2897" s="1" t="s">
        <v>985</v>
      </c>
      <c r="K2897" s="1" t="s">
        <v>89</v>
      </c>
      <c r="L2897" s="1" t="s">
        <v>16147</v>
      </c>
      <c r="M2897" s="2" t="s">
        <v>12</v>
      </c>
      <c r="N2897" s="4">
        <f t="shared" si="1"/>
        <v>43882</v>
      </c>
      <c r="O2897" s="5" t="str">
        <f>IFERROR(__xludf.DUMMYFUNCTION("IF(REGEXMATCH(TRIM(I2897), ""^\d+\s*min""), ""Unclassified"", IF(I2897 = """", ""NR"", I2897))"),"TV-MA")</f>
        <v>TV-MA</v>
      </c>
      <c r="R2897" s="5" t="str">
        <f t="shared" si="2"/>
        <v>System Crasher</v>
      </c>
      <c r="S2897" s="5" t="str">
        <f>IFERROR(__xludf.DUMMYFUNCTION("""COMPUTED_VALUE"""),"Hail, Caesar!")</f>
        <v>Hail, Caesar!</v>
      </c>
      <c r="U2897" s="5" t="str">
        <f>IFERROR(__xludf.DUMMYFUNCTION("""COMPUTED_VALUE"""),"Yvan Attal")</f>
        <v>Yvan Attal</v>
      </c>
      <c r="V2897" s="5" t="s">
        <v>7388</v>
      </c>
      <c r="W2897" s="5" t="str">
        <f t="shared" si="3"/>
        <v>Milton Kremer</v>
      </c>
      <c r="X2897" s="5">
        <f t="shared" si="4"/>
        <v>1</v>
      </c>
      <c r="Y2897" s="5" t="str">
        <f>IFERROR(__xludf.DUMMYFUNCTION("REGEXEXTRACT(J2897, ""^\d+"")"),"120")</f>
        <v>120</v>
      </c>
      <c r="Z2897" s="5" t="str">
        <f>IFERROR(__xludf.DUMMYFUNCTION("REGEXEXTRACT(J2897, ""[A-Za-z ]+$"")")," min")</f>
        <v> min</v>
      </c>
      <c r="AA2897" s="5" t="str">
        <f>IFERROR(__xludf.DUMMYFUNCTION("IF(REGEXMATCH(Z2897, ""Season""), ""TV Show"", ""Movie"")"),"Movie")</f>
        <v>Movie</v>
      </c>
    </row>
    <row r="2898">
      <c r="A2898" s="1" t="s">
        <v>16148</v>
      </c>
      <c r="B2898" s="1" t="s">
        <v>27</v>
      </c>
      <c r="C2898" s="1" t="s">
        <v>16149</v>
      </c>
      <c r="D2898" s="1" t="s">
        <v>10561</v>
      </c>
      <c r="E2898" s="1" t="s">
        <v>16150</v>
      </c>
      <c r="F2898" s="1" t="s">
        <v>63</v>
      </c>
      <c r="G2898" s="1" t="s">
        <v>16127</v>
      </c>
      <c r="H2898" s="1">
        <v>2019.0</v>
      </c>
      <c r="I2898" s="1" t="s">
        <v>97</v>
      </c>
      <c r="J2898" s="1" t="s">
        <v>1091</v>
      </c>
      <c r="K2898" s="1" t="s">
        <v>631</v>
      </c>
      <c r="L2898" s="1" t="s">
        <v>16151</v>
      </c>
      <c r="M2898" s="2" t="s">
        <v>12</v>
      </c>
      <c r="N2898" s="4">
        <f t="shared" si="1"/>
        <v>43882</v>
      </c>
      <c r="O2898" s="5" t="str">
        <f>IFERROR(__xludf.DUMMYFUNCTION("IF(REGEXMATCH(TRIM(I2898), ""^\d+\s*min""), ""Unclassified"", IF(I2898 = """", ""NR"", I2898))"),"TV-14")</f>
        <v>TV-14</v>
      </c>
      <c r="R2898" s="5" t="str">
        <f t="shared" si="2"/>
        <v>The Body</v>
      </c>
      <c r="S2898" s="5" t="str">
        <f>IFERROR(__xludf.DUMMYFUNCTION("""COMPUTED_VALUE"""),"Hairspray")</f>
        <v>Hairspray</v>
      </c>
      <c r="U2898" s="5" t="str">
        <f>IFERROR(__xludf.DUMMYFUNCTION("""COMPUTED_VALUE"""),"Benjamin Weill")</f>
        <v>Benjamin Weill</v>
      </c>
      <c r="V2898" s="5" t="s">
        <v>16152</v>
      </c>
      <c r="W2898" s="5" t="str">
        <f t="shared" si="3"/>
        <v>Mimi Leder</v>
      </c>
      <c r="X2898" s="5">
        <f t="shared" si="4"/>
        <v>1</v>
      </c>
      <c r="Y2898" s="5" t="str">
        <f>IFERROR(__xludf.DUMMYFUNCTION("REGEXEXTRACT(J2898, ""^\d+"")"),"101")</f>
        <v>101</v>
      </c>
      <c r="Z2898" s="5" t="str">
        <f>IFERROR(__xludf.DUMMYFUNCTION("REGEXEXTRACT(J2898, ""[A-Za-z ]+$"")")," min")</f>
        <v> min</v>
      </c>
      <c r="AA2898" s="5" t="str">
        <f>IFERROR(__xludf.DUMMYFUNCTION("IF(REGEXMATCH(Z2898, ""Season""), ""TV Show"", ""Movie"")"),"Movie")</f>
        <v>Movie</v>
      </c>
    </row>
    <row r="2899">
      <c r="A2899" s="1" t="s">
        <v>16153</v>
      </c>
      <c r="B2899" s="1" t="s">
        <v>27</v>
      </c>
      <c r="C2899" s="1" t="s">
        <v>16154</v>
      </c>
      <c r="D2899" s="1" t="s">
        <v>6271</v>
      </c>
      <c r="E2899" s="1" t="s">
        <v>16155</v>
      </c>
      <c r="F2899" s="1" t="s">
        <v>30</v>
      </c>
      <c r="G2899" s="1" t="s">
        <v>16127</v>
      </c>
      <c r="H2899" s="1">
        <v>2020.0</v>
      </c>
      <c r="I2899" s="1" t="s">
        <v>378</v>
      </c>
      <c r="J2899" s="1" t="s">
        <v>349</v>
      </c>
      <c r="K2899" s="1" t="s">
        <v>394</v>
      </c>
      <c r="L2899" s="1" t="s">
        <v>16156</v>
      </c>
      <c r="M2899" s="2" t="s">
        <v>12</v>
      </c>
      <c r="N2899" s="4">
        <f t="shared" si="1"/>
        <v>43882</v>
      </c>
      <c r="O2899" s="5" t="str">
        <f>IFERROR(__xludf.DUMMYFUNCTION("IF(REGEXMATCH(TRIM(I2899), ""^\d+\s*min""), ""Unclassified"", IF(I2899 = """", ""NR"", I2899))"),"R")</f>
        <v>R</v>
      </c>
      <c r="R2899" s="5" t="str">
        <f t="shared" si="2"/>
        <v>The Last Thing He Wanted</v>
      </c>
      <c r="S2899" s="5" t="str">
        <f>IFERROR(__xludf.DUMMYFUNCTION("""COMPUTED_VALUE"""),"Hajwala 2: Mysterious Mission")</f>
        <v>Hajwala 2: Mysterious Mission</v>
      </c>
      <c r="U2899" s="5" t="str">
        <f>IFERROR(__xludf.DUMMYFUNCTION("""COMPUTED_VALUE"""),"Roger Gual")</f>
        <v>Roger Gual</v>
      </c>
      <c r="V2899" s="5" t="s">
        <v>16157</v>
      </c>
      <c r="W2899" s="5" t="str">
        <f t="shared" si="3"/>
        <v>Mina Shum</v>
      </c>
      <c r="X2899" s="5">
        <f t="shared" si="4"/>
        <v>1</v>
      </c>
      <c r="Y2899" s="5" t="str">
        <f>IFERROR(__xludf.DUMMYFUNCTION("REGEXEXTRACT(J2899, ""^\d+"")"),"116")</f>
        <v>116</v>
      </c>
      <c r="Z2899" s="5" t="str">
        <f>IFERROR(__xludf.DUMMYFUNCTION("REGEXEXTRACT(J2899, ""[A-Za-z ]+$"")")," min")</f>
        <v> min</v>
      </c>
      <c r="AA2899" s="5" t="str">
        <f>IFERROR(__xludf.DUMMYFUNCTION("IF(REGEXMATCH(Z2899, ""Season""), ""TV Show"", ""Movie"")"),"Movie")</f>
        <v>Movie</v>
      </c>
    </row>
    <row r="2900">
      <c r="A2900" s="1" t="s">
        <v>16158</v>
      </c>
      <c r="B2900" s="1" t="s">
        <v>27</v>
      </c>
      <c r="C2900" s="1" t="s">
        <v>16159</v>
      </c>
      <c r="D2900" s="1" t="s">
        <v>16160</v>
      </c>
      <c r="E2900" s="1" t="s">
        <v>16161</v>
      </c>
      <c r="F2900" s="1" t="s">
        <v>63</v>
      </c>
      <c r="G2900" s="1" t="s">
        <v>16127</v>
      </c>
      <c r="H2900" s="1">
        <v>2020.0</v>
      </c>
      <c r="I2900" s="1" t="s">
        <v>42</v>
      </c>
      <c r="J2900" s="1" t="s">
        <v>743</v>
      </c>
      <c r="K2900" s="1" t="s">
        <v>128</v>
      </c>
      <c r="L2900" s="1" t="s">
        <v>16162</v>
      </c>
      <c r="M2900" s="2" t="s">
        <v>12</v>
      </c>
      <c r="N2900" s="4">
        <f t="shared" si="1"/>
        <v>43882</v>
      </c>
      <c r="O2900" s="5" t="str">
        <f>IFERROR(__xludf.DUMMYFUNCTION("IF(REGEXMATCH(TRIM(I2900), ""^\d+\s*min""), ""Unclassified"", IF(I2900 = """", ""NR"", I2900))"),"TV-MA")</f>
        <v>TV-MA</v>
      </c>
      <c r="R2900" s="5" t="str">
        <f t="shared" si="2"/>
        <v>Yeh Ballet</v>
      </c>
      <c r="S2900" s="5" t="str">
        <f>IFERROR(__xludf.DUMMYFUNCTION("""COMPUTED_VALUE"""),"Hajwala: The Missing Engine")</f>
        <v>Hajwala: The Missing Engine</v>
      </c>
      <c r="U2900" s="5" t="str">
        <f>IFERROR(__xludf.DUMMYFUNCTION("""COMPUTED_VALUE"""),"Thomas Sorriaux")</f>
        <v>Thomas Sorriaux</v>
      </c>
      <c r="V2900" s="5" t="s">
        <v>16163</v>
      </c>
      <c r="W2900" s="5" t="str">
        <f t="shared" si="3"/>
        <v>Mir-Jean Bou Chaaya</v>
      </c>
      <c r="X2900" s="5">
        <f t="shared" si="4"/>
        <v>1</v>
      </c>
      <c r="Y2900" s="5" t="str">
        <f>IFERROR(__xludf.DUMMYFUNCTION("REGEXEXTRACT(J2900, ""^\d+"")"),"117")</f>
        <v>117</v>
      </c>
      <c r="Z2900" s="5" t="str">
        <f>IFERROR(__xludf.DUMMYFUNCTION("REGEXEXTRACT(J2900, ""[A-Za-z ]+$"")")," min")</f>
        <v> min</v>
      </c>
      <c r="AA2900" s="5" t="str">
        <f>IFERROR(__xludf.DUMMYFUNCTION("IF(REGEXMATCH(Z2900, ""Season""), ""TV Show"", ""Movie"")"),"Movie")</f>
        <v>Movie</v>
      </c>
    </row>
    <row r="2901">
      <c r="A2901" s="1" t="s">
        <v>16164</v>
      </c>
      <c r="B2901" s="1" t="s">
        <v>27</v>
      </c>
      <c r="C2901" s="1" t="s">
        <v>16165</v>
      </c>
      <c r="D2901" s="1" t="s">
        <v>13810</v>
      </c>
      <c r="E2901" s="1" t="s">
        <v>16166</v>
      </c>
      <c r="F2901" s="1" t="s">
        <v>40</v>
      </c>
      <c r="G2901" s="1" t="s">
        <v>16167</v>
      </c>
      <c r="H2901" s="1">
        <v>2012.0</v>
      </c>
      <c r="I2901" s="1" t="s">
        <v>136</v>
      </c>
      <c r="J2901" s="1" t="s">
        <v>465</v>
      </c>
      <c r="K2901" s="1" t="s">
        <v>230</v>
      </c>
      <c r="L2901" s="1" t="s">
        <v>16168</v>
      </c>
      <c r="M2901" s="2" t="s">
        <v>12</v>
      </c>
      <c r="N2901" s="4">
        <f t="shared" si="1"/>
        <v>43881</v>
      </c>
      <c r="O2901" s="5" t="str">
        <f>IFERROR(__xludf.DUMMYFUNCTION("IF(REGEXMATCH(TRIM(I2901), ""^\d+\s*min""), ""Unclassified"", IF(I2901 = """", ""NR"", I2901))"),"TV-PG")</f>
        <v>TV-PG</v>
      </c>
      <c r="R2901" s="5" t="str">
        <f t="shared" si="2"/>
        <v>Pretville</v>
      </c>
      <c r="S2901" s="5" t="str">
        <f>IFERROR(__xludf.DUMMYFUNCTION("""COMPUTED_VALUE"""),"Hakkunde")</f>
        <v>Hakkunde</v>
      </c>
      <c r="U2901" s="5" t="str">
        <f>IFERROR(__xludf.DUMMYFUNCTION("""COMPUTED_VALUE"""),"Clovis Cornillac")</f>
        <v>Clovis Cornillac</v>
      </c>
      <c r="V2901" s="5" t="s">
        <v>16169</v>
      </c>
      <c r="W2901" s="5" t="str">
        <f t="shared" si="3"/>
        <v>Miranda De Pencier</v>
      </c>
      <c r="X2901" s="5">
        <f t="shared" si="4"/>
        <v>1</v>
      </c>
      <c r="Y2901" s="5" t="str">
        <f>IFERROR(__xludf.DUMMYFUNCTION("REGEXEXTRACT(J2901, ""^\d+"")"),"95")</f>
        <v>95</v>
      </c>
      <c r="Z2901" s="5" t="str">
        <f>IFERROR(__xludf.DUMMYFUNCTION("REGEXEXTRACT(J2901, ""[A-Za-z ]+$"")")," min")</f>
        <v> min</v>
      </c>
      <c r="AA2901" s="5" t="str">
        <f>IFERROR(__xludf.DUMMYFUNCTION("IF(REGEXMATCH(Z2901, ""Season""), ""TV Show"", ""Movie"")"),"Movie")</f>
        <v>Movie</v>
      </c>
    </row>
    <row r="2902">
      <c r="A2902" s="1" t="s">
        <v>16170</v>
      </c>
      <c r="B2902" s="1" t="s">
        <v>37</v>
      </c>
      <c r="C2902" s="1" t="s">
        <v>16171</v>
      </c>
      <c r="E2902" s="1" t="s">
        <v>16172</v>
      </c>
      <c r="F2902" s="1" t="s">
        <v>1992</v>
      </c>
      <c r="G2902" s="1" t="s">
        <v>16167</v>
      </c>
      <c r="H2902" s="1">
        <v>2020.0</v>
      </c>
      <c r="I2902" s="1" t="s">
        <v>42</v>
      </c>
      <c r="J2902" s="1" t="s">
        <v>51</v>
      </c>
      <c r="K2902" s="1" t="s">
        <v>9484</v>
      </c>
      <c r="L2902" s="1" t="s">
        <v>16173</v>
      </c>
      <c r="M2902" s="2" t="s">
        <v>12</v>
      </c>
      <c r="N2902" s="4">
        <f t="shared" si="1"/>
        <v>43881</v>
      </c>
      <c r="O2902" s="5" t="str">
        <f>IFERROR(__xludf.DUMMYFUNCTION("IF(REGEXMATCH(TRIM(I2902), ""^\d+\s*min""), ""Unclassified"", IF(I2902 = """", ""NR"", I2902))"),"TV-MA")</f>
        <v>TV-MA</v>
      </c>
      <c r="R2902" s="5" t="str">
        <f t="shared" si="2"/>
        <v>Spectros</v>
      </c>
      <c r="S2902" s="5" t="str">
        <f>IFERROR(__xludf.DUMMYFUNCTION("""COMPUTED_VALUE"""),"Half &amp; Half")</f>
        <v>Half &amp; Half</v>
      </c>
      <c r="U2902" s="5" t="str">
        <f>IFERROR(__xludf.DUMMYFUNCTION("""COMPUTED_VALUE"""),"Jonathan Demme")</f>
        <v>Jonathan Demme</v>
      </c>
      <c r="V2902" s="5" t="s">
        <v>16174</v>
      </c>
      <c r="W2902" s="5" t="str">
        <f t="shared" si="3"/>
        <v>Miriam Chandy Menacherry</v>
      </c>
      <c r="X2902" s="5">
        <f t="shared" si="4"/>
        <v>1</v>
      </c>
      <c r="Y2902" s="5" t="str">
        <f>IFERROR(__xludf.DUMMYFUNCTION("REGEXEXTRACT(J2902, ""^\d+"")"),"1")</f>
        <v>1</v>
      </c>
      <c r="Z2902" s="5" t="str">
        <f>IFERROR(__xludf.DUMMYFUNCTION("REGEXEXTRACT(J2902, ""[A-Za-z ]+$"")")," Season")</f>
        <v> Season</v>
      </c>
      <c r="AA2902" s="5" t="str">
        <f>IFERROR(__xludf.DUMMYFUNCTION("IF(REGEXMATCH(Z2902, ""Season""), ""TV Show"", ""Movie"")"),"TV Show")</f>
        <v>TV Show</v>
      </c>
    </row>
    <row r="2903">
      <c r="A2903" s="1" t="s">
        <v>16175</v>
      </c>
      <c r="B2903" s="1" t="s">
        <v>27</v>
      </c>
      <c r="C2903" s="1" t="s">
        <v>16176</v>
      </c>
      <c r="D2903" s="1" t="s">
        <v>16177</v>
      </c>
      <c r="F2903" s="1" t="s">
        <v>16178</v>
      </c>
      <c r="G2903" s="1" t="s">
        <v>16167</v>
      </c>
      <c r="H2903" s="1">
        <v>2018.0</v>
      </c>
      <c r="I2903" s="1" t="s">
        <v>136</v>
      </c>
      <c r="J2903" s="1" t="s">
        <v>454</v>
      </c>
      <c r="K2903" s="1" t="s">
        <v>4616</v>
      </c>
      <c r="L2903" s="1" t="s">
        <v>16179</v>
      </c>
      <c r="M2903" s="2" t="s">
        <v>12</v>
      </c>
      <c r="N2903" s="4">
        <f t="shared" si="1"/>
        <v>43881</v>
      </c>
      <c r="O2903" s="5" t="str">
        <f>IFERROR(__xludf.DUMMYFUNCTION("IF(REGEXMATCH(TRIM(I2903), ""^\d+\s*min""), ""Unclassified"", IF(I2903 = """", ""NR"", I2903))"),"TV-PG")</f>
        <v>TV-PG</v>
      </c>
      <c r="R2903" s="5" t="str">
        <f t="shared" si="2"/>
        <v>Untamed Romania</v>
      </c>
      <c r="S2903" s="5" t="str">
        <f>IFERROR(__xludf.DUMMYFUNCTION("""COMPUTED_VALUE"""),"Half Girlfriend")</f>
        <v>Half Girlfriend</v>
      </c>
      <c r="U2903" s="5" t="str">
        <f>IFERROR(__xludf.DUMMYFUNCTION("""COMPUTED_VALUE"""),"Dave Higby")</f>
        <v>Dave Higby</v>
      </c>
      <c r="V2903" s="5" t="s">
        <v>16180</v>
      </c>
      <c r="W2903" s="5" t="str">
        <f t="shared" si="3"/>
        <v>Mitch Dickman</v>
      </c>
      <c r="X2903" s="5">
        <f t="shared" si="4"/>
        <v>1</v>
      </c>
      <c r="Y2903" s="5" t="str">
        <f>IFERROR(__xludf.DUMMYFUNCTION("REGEXEXTRACT(J2903, ""^\d+"")"),"93")</f>
        <v>93</v>
      </c>
      <c r="Z2903" s="5" t="str">
        <f>IFERROR(__xludf.DUMMYFUNCTION("REGEXEXTRACT(J2903, ""[A-Za-z ]+$"")")," min")</f>
        <v> min</v>
      </c>
      <c r="AA2903" s="5" t="str">
        <f>IFERROR(__xludf.DUMMYFUNCTION("IF(REGEXMATCH(Z2903, ""Season""), ""TV Show"", ""Movie"")"),"Movie")</f>
        <v>Movie</v>
      </c>
    </row>
    <row r="2904">
      <c r="A2904" s="1" t="s">
        <v>16181</v>
      </c>
      <c r="B2904" s="1" t="s">
        <v>37</v>
      </c>
      <c r="C2904" s="1" t="s">
        <v>16182</v>
      </c>
      <c r="E2904" s="1" t="s">
        <v>16183</v>
      </c>
      <c r="F2904" s="1" t="s">
        <v>30</v>
      </c>
      <c r="G2904" s="1" t="s">
        <v>16184</v>
      </c>
      <c r="H2904" s="1">
        <v>2008.0</v>
      </c>
      <c r="I2904" s="1" t="s">
        <v>136</v>
      </c>
      <c r="J2904" s="1" t="s">
        <v>51</v>
      </c>
      <c r="K2904" s="1" t="s">
        <v>12796</v>
      </c>
      <c r="L2904" s="1" t="s">
        <v>16185</v>
      </c>
      <c r="M2904" s="2" t="s">
        <v>12</v>
      </c>
      <c r="N2904" s="4">
        <f t="shared" si="1"/>
        <v>43878</v>
      </c>
      <c r="O2904" s="5" t="str">
        <f>IFERROR(__xludf.DUMMYFUNCTION("IF(REGEXMATCH(TRIM(I2904), ""^\d+\s*min""), ""Unclassified"", IF(I2904 = """", ""NR"", I2904))"),"TV-PG")</f>
        <v>TV-PG</v>
      </c>
      <c r="R2904" s="5" t="str">
        <f t="shared" si="2"/>
        <v>Dreamworks Shrek'S Swamp Stories</v>
      </c>
      <c r="S2904" s="5" t="str">
        <f>IFERROR(__xludf.DUMMYFUNCTION("""COMPUTED_VALUE"""),"Halkaa")</f>
        <v>Halkaa</v>
      </c>
      <c r="U2904" s="5" t="str">
        <f>IFERROR(__xludf.DUMMYFUNCTION("""COMPUTED_VALUE"""),"Richie Smyth")</f>
        <v>Richie Smyth</v>
      </c>
      <c r="V2904" s="5" t="s">
        <v>16186</v>
      </c>
      <c r="W2904" s="5" t="str">
        <f t="shared" si="3"/>
        <v>Mitch Gould</v>
      </c>
      <c r="X2904" s="5">
        <f t="shared" si="4"/>
        <v>1</v>
      </c>
      <c r="Y2904" s="5" t="str">
        <f>IFERROR(__xludf.DUMMYFUNCTION("REGEXEXTRACT(J2904, ""^\d+"")"),"1")</f>
        <v>1</v>
      </c>
      <c r="Z2904" s="5" t="str">
        <f>IFERROR(__xludf.DUMMYFUNCTION("REGEXEXTRACT(J2904, ""[A-Za-z ]+$"")")," Season")</f>
        <v> Season</v>
      </c>
      <c r="AA2904" s="5" t="str">
        <f>IFERROR(__xludf.DUMMYFUNCTION("IF(REGEXMATCH(Z2904, ""Season""), ""TV Show"", ""Movie"")"),"TV Show")</f>
        <v>TV Show</v>
      </c>
    </row>
    <row r="2905">
      <c r="A2905" s="1" t="s">
        <v>16187</v>
      </c>
      <c r="B2905" s="1" t="s">
        <v>27</v>
      </c>
      <c r="C2905" s="1" t="s">
        <v>16188</v>
      </c>
      <c r="D2905" s="1" t="s">
        <v>2074</v>
      </c>
      <c r="E2905" s="1" t="s">
        <v>16189</v>
      </c>
      <c r="F2905" s="1" t="s">
        <v>16190</v>
      </c>
      <c r="G2905" s="1" t="s">
        <v>16191</v>
      </c>
      <c r="H2905" s="1">
        <v>2015.0</v>
      </c>
      <c r="I2905" s="1" t="s">
        <v>378</v>
      </c>
      <c r="J2905" s="1" t="s">
        <v>393</v>
      </c>
      <c r="K2905" s="1" t="s">
        <v>828</v>
      </c>
      <c r="L2905" s="1" t="s">
        <v>16192</v>
      </c>
      <c r="M2905" s="2" t="s">
        <v>12</v>
      </c>
      <c r="N2905" s="4">
        <f t="shared" si="1"/>
        <v>43877</v>
      </c>
      <c r="O2905" s="5" t="str">
        <f>IFERROR(__xludf.DUMMYFUNCTION("IF(REGEXMATCH(TRIM(I2905), ""^\d+\s*min""), ""Unclassified"", IF(I2905 = """", ""NR"", I2905))"),"R")</f>
        <v>R</v>
      </c>
      <c r="R2905" s="5" t="str">
        <f t="shared" si="2"/>
        <v>By The Sea</v>
      </c>
      <c r="S2905" s="5" t="str">
        <f>IFERROR(__xludf.DUMMYFUNCTION("""COMPUTED_VALUE"""),"Halo Legends")</f>
        <v>Halo Legends</v>
      </c>
      <c r="U2905" s="5" t="str">
        <f>IFERROR(__xludf.DUMMYFUNCTION("""COMPUTED_VALUE"""),"Riccardo Pilizzeri")</f>
        <v>Riccardo Pilizzeri</v>
      </c>
      <c r="V2905" s="5" t="s">
        <v>16193</v>
      </c>
      <c r="W2905" s="5" t="str">
        <f t="shared" si="3"/>
        <v>Mitch Schauer</v>
      </c>
      <c r="X2905" s="5">
        <f t="shared" si="4"/>
        <v>2</v>
      </c>
      <c r="Y2905" s="5" t="str">
        <f>IFERROR(__xludf.DUMMYFUNCTION("REGEXEXTRACT(J2905, ""^\d+"")"),"122")</f>
        <v>122</v>
      </c>
      <c r="Z2905" s="5" t="str">
        <f>IFERROR(__xludf.DUMMYFUNCTION("REGEXEXTRACT(J2905, ""[A-Za-z ]+$"")")," min")</f>
        <v> min</v>
      </c>
      <c r="AA2905" s="5" t="str">
        <f>IFERROR(__xludf.DUMMYFUNCTION("IF(REGEXMATCH(Z2905, ""Season""), ""TV Show"", ""Movie"")"),"Movie")</f>
        <v>Movie</v>
      </c>
    </row>
    <row r="2906">
      <c r="A2906" s="1" t="s">
        <v>16194</v>
      </c>
      <c r="B2906" s="1" t="s">
        <v>27</v>
      </c>
      <c r="C2906" s="1" t="s">
        <v>16195</v>
      </c>
      <c r="D2906" s="1" t="s">
        <v>16196</v>
      </c>
      <c r="E2906" s="1" t="s">
        <v>16197</v>
      </c>
      <c r="F2906" s="1" t="s">
        <v>30</v>
      </c>
      <c r="G2906" s="1" t="s">
        <v>16191</v>
      </c>
      <c r="H2906" s="1">
        <v>2019.0</v>
      </c>
      <c r="I2906" s="1" t="s">
        <v>42</v>
      </c>
      <c r="J2906" s="1" t="s">
        <v>447</v>
      </c>
      <c r="K2906" s="1" t="s">
        <v>1320</v>
      </c>
      <c r="L2906" s="1" t="s">
        <v>16198</v>
      </c>
      <c r="M2906" s="2" t="s">
        <v>12</v>
      </c>
      <c r="N2906" s="4">
        <f t="shared" si="1"/>
        <v>43877</v>
      </c>
      <c r="O2906" s="5" t="str">
        <f>IFERROR(__xludf.DUMMYFUNCTION("IF(REGEXMATCH(TRIM(I2906), ""^\d+\s*min""), ""Unclassified"", IF(I2906 = """", ""NR"", I2906))"),"TV-MA")</f>
        <v>TV-MA</v>
      </c>
      <c r="R2906" s="5" t="str">
        <f t="shared" si="2"/>
        <v>Miss Virginia</v>
      </c>
      <c r="S2906" s="5" t="str">
        <f>IFERROR(__xludf.DUMMYFUNCTION("""COMPUTED_VALUE"""),"Halo: The Fall Of Reach")</f>
        <v>Halo: The Fall Of Reach</v>
      </c>
      <c r="U2906" s="5" t="str">
        <f>IFERROR(__xludf.DUMMYFUNCTION("""COMPUTED_VALUE"""),"Guilherme Fontes")</f>
        <v>Guilherme Fontes</v>
      </c>
      <c r="V2906" s="5" t="s">
        <v>16199</v>
      </c>
      <c r="W2906" s="5" t="str">
        <f t="shared" si="3"/>
        <v>Mitzi Vanessa Arreola, Amir Galvan Cervera</v>
      </c>
      <c r="X2906" s="5">
        <f t="shared" si="4"/>
        <v>1</v>
      </c>
      <c r="Y2906" s="5" t="str">
        <f>IFERROR(__xludf.DUMMYFUNCTION("REGEXEXTRACT(J2906, ""^\d+"")"),"102")</f>
        <v>102</v>
      </c>
      <c r="Z2906" s="5" t="str">
        <f>IFERROR(__xludf.DUMMYFUNCTION("REGEXEXTRACT(J2906, ""[A-Za-z ]+$"")")," min")</f>
        <v> min</v>
      </c>
      <c r="AA2906" s="5" t="str">
        <f>IFERROR(__xludf.DUMMYFUNCTION("IF(REGEXMATCH(Z2906, ""Season""), ""TV Show"", ""Movie"")"),"Movie")</f>
        <v>Movie</v>
      </c>
    </row>
    <row r="2907">
      <c r="A2907" s="1" t="s">
        <v>16200</v>
      </c>
      <c r="B2907" s="1" t="s">
        <v>27</v>
      </c>
      <c r="C2907" s="1" t="s">
        <v>16201</v>
      </c>
      <c r="D2907" s="1" t="s">
        <v>16202</v>
      </c>
      <c r="E2907" s="1" t="s">
        <v>16203</v>
      </c>
      <c r="F2907" s="1" t="s">
        <v>30</v>
      </c>
      <c r="G2907" s="1" t="s">
        <v>16191</v>
      </c>
      <c r="H2907" s="1">
        <v>2015.0</v>
      </c>
      <c r="I2907" s="1" t="s">
        <v>378</v>
      </c>
      <c r="J2907" s="1" t="s">
        <v>322</v>
      </c>
      <c r="K2907" s="1" t="s">
        <v>13997</v>
      </c>
      <c r="L2907" s="1" t="s">
        <v>16204</v>
      </c>
      <c r="M2907" s="2" t="s">
        <v>12</v>
      </c>
      <c r="N2907" s="4">
        <f t="shared" si="1"/>
        <v>43877</v>
      </c>
      <c r="O2907" s="5" t="str">
        <f>IFERROR(__xludf.DUMMYFUNCTION("IF(REGEXMATCH(TRIM(I2907), ""^\d+\s*min""), ""Unclassified"", IF(I2907 = """", ""NR"", I2907))"),"R")</f>
        <v>R</v>
      </c>
      <c r="R2907" s="5" t="str">
        <f t="shared" si="2"/>
        <v>Mr. Right</v>
      </c>
      <c r="S2907" s="5" t="str">
        <f>IFERROR(__xludf.DUMMYFUNCTION("""COMPUTED_VALUE"""),"Halston")</f>
        <v>Halston</v>
      </c>
      <c r="U2907" s="5" t="str">
        <f>IFERROR(__xludf.DUMMYFUNCTION("""COMPUTED_VALUE"""),"Aamir Bashir")</f>
        <v>Aamir Bashir</v>
      </c>
      <c r="V2907" s="5" t="s">
        <v>16205</v>
      </c>
      <c r="W2907" s="5" t="str">
        <f t="shared" si="3"/>
        <v>Moataz El Tony</v>
      </c>
      <c r="X2907" s="5">
        <f t="shared" si="4"/>
        <v>1</v>
      </c>
      <c r="Y2907" s="5" t="str">
        <f>IFERROR(__xludf.DUMMYFUNCTION("REGEXEXTRACT(J2907, ""^\d+"")"),"96")</f>
        <v>96</v>
      </c>
      <c r="Z2907" s="5" t="str">
        <f>IFERROR(__xludf.DUMMYFUNCTION("REGEXEXTRACT(J2907, ""[A-Za-z ]+$"")")," min")</f>
        <v> min</v>
      </c>
      <c r="AA2907" s="5" t="str">
        <f>IFERROR(__xludf.DUMMYFUNCTION("IF(REGEXMATCH(Z2907, ""Season""), ""TV Show"", ""Movie"")"),"Movie")</f>
        <v>Movie</v>
      </c>
    </row>
    <row r="2908">
      <c r="A2908" s="1" t="s">
        <v>16206</v>
      </c>
      <c r="B2908" s="1" t="s">
        <v>37</v>
      </c>
      <c r="C2908" s="1" t="s">
        <v>16207</v>
      </c>
      <c r="D2908" s="1" t="s">
        <v>11506</v>
      </c>
      <c r="E2908" s="1" t="s">
        <v>16208</v>
      </c>
      <c r="F2908" s="1" t="s">
        <v>400</v>
      </c>
      <c r="G2908" s="1" t="s">
        <v>16191</v>
      </c>
      <c r="H2908" s="1">
        <v>2017.0</v>
      </c>
      <c r="I2908" s="1" t="s">
        <v>42</v>
      </c>
      <c r="J2908" s="1" t="s">
        <v>51</v>
      </c>
      <c r="K2908" s="1" t="s">
        <v>402</v>
      </c>
      <c r="L2908" s="1" t="s">
        <v>16209</v>
      </c>
      <c r="M2908" s="2" t="s">
        <v>12</v>
      </c>
      <c r="N2908" s="4">
        <f t="shared" si="1"/>
        <v>43877</v>
      </c>
      <c r="O2908" s="5" t="str">
        <f>IFERROR(__xludf.DUMMYFUNCTION("IF(REGEXMATCH(TRIM(I2908), ""^\d+\s*min""), ""Unclassified"", IF(I2908 = """", ""NR"", I2908))"),"TV-MA")</f>
        <v>TV-MA</v>
      </c>
      <c r="R2908" s="5" t="str">
        <f t="shared" si="2"/>
        <v>On The Real</v>
      </c>
      <c r="S2908" s="5" t="str">
        <f>IFERROR(__xludf.DUMMYFUNCTION("""COMPUTED_VALUE"""),"Halt And Catch Fire")</f>
        <v>Halt And Catch Fire</v>
      </c>
      <c r="U2908" s="5" t="str">
        <f>IFERROR(__xludf.DUMMYFUNCTION("""COMPUTED_VALUE"""),"David Schalko")</f>
        <v>David Schalko</v>
      </c>
      <c r="V2908" s="5" t="s">
        <v>5190</v>
      </c>
      <c r="W2908" s="5" t="str">
        <f t="shared" si="3"/>
        <v>Mohamed Diab</v>
      </c>
      <c r="X2908" s="5">
        <f t="shared" si="4"/>
        <v>2</v>
      </c>
      <c r="Y2908" s="5" t="str">
        <f>IFERROR(__xludf.DUMMYFUNCTION("REGEXEXTRACT(J2908, ""^\d+"")"),"1")</f>
        <v>1</v>
      </c>
      <c r="Z2908" s="5" t="str">
        <f>IFERROR(__xludf.DUMMYFUNCTION("REGEXEXTRACT(J2908, ""[A-Za-z ]+$"")")," Season")</f>
        <v> Season</v>
      </c>
      <c r="AA2908" s="5" t="str">
        <f>IFERROR(__xludf.DUMMYFUNCTION("IF(REGEXMATCH(Z2908, ""Season""), ""TV Show"", ""Movie"")"),"TV Show")</f>
        <v>TV Show</v>
      </c>
    </row>
    <row r="2909">
      <c r="A2909" s="1" t="s">
        <v>16210</v>
      </c>
      <c r="B2909" s="1" t="s">
        <v>27</v>
      </c>
      <c r="C2909" s="1" t="s">
        <v>16211</v>
      </c>
      <c r="D2909" s="1" t="s">
        <v>16212</v>
      </c>
      <c r="E2909" s="1" t="s">
        <v>16213</v>
      </c>
      <c r="F2909" s="1" t="s">
        <v>30</v>
      </c>
      <c r="G2909" s="1" t="s">
        <v>16191</v>
      </c>
      <c r="H2909" s="1">
        <v>2016.0</v>
      </c>
      <c r="I2909" s="1" t="s">
        <v>378</v>
      </c>
      <c r="J2909" s="1" t="s">
        <v>454</v>
      </c>
      <c r="K2909" s="1" t="s">
        <v>394</v>
      </c>
      <c r="L2909" s="1" t="s">
        <v>16214</v>
      </c>
      <c r="M2909" s="2" t="s">
        <v>12</v>
      </c>
      <c r="N2909" s="4">
        <f t="shared" si="1"/>
        <v>43877</v>
      </c>
      <c r="O2909" s="5" t="str">
        <f>IFERROR(__xludf.DUMMYFUNCTION("IF(REGEXMATCH(TRIM(I2909), ""^\d+\s*min""), ""Unclassified"", IF(I2909 = """", ""NR"", I2909))"),"R")</f>
        <v>R</v>
      </c>
      <c r="R2909" s="5" t="str">
        <f t="shared" si="2"/>
        <v>Term Life</v>
      </c>
      <c r="S2909" s="5" t="str">
        <f>IFERROR(__xludf.DUMMYFUNCTION("""COMPUTED_VALUE"""),"Hamara Dil Aapke Paas Hai")</f>
        <v>Hamara Dil Aapke Paas Hai</v>
      </c>
      <c r="U2909" s="5" t="str">
        <f>IFERROR(__xludf.DUMMYFUNCTION("""COMPUTED_VALUE"""),"Pieter Kuijpers")</f>
        <v>Pieter Kuijpers</v>
      </c>
      <c r="V2909" s="5" t="s">
        <v>16215</v>
      </c>
      <c r="W2909" s="5" t="str">
        <f t="shared" si="3"/>
        <v>Mohamed Hamdy</v>
      </c>
      <c r="X2909" s="5">
        <f t="shared" si="4"/>
        <v>3</v>
      </c>
      <c r="Y2909" s="5" t="str">
        <f>IFERROR(__xludf.DUMMYFUNCTION("REGEXEXTRACT(J2909, ""^\d+"")"),"93")</f>
        <v>93</v>
      </c>
      <c r="Z2909" s="5" t="str">
        <f>IFERROR(__xludf.DUMMYFUNCTION("REGEXEXTRACT(J2909, ""[A-Za-z ]+$"")")," min")</f>
        <v> min</v>
      </c>
      <c r="AA2909" s="5" t="str">
        <f>IFERROR(__xludf.DUMMYFUNCTION("IF(REGEXMATCH(Z2909, ""Season""), ""TV Show"", ""Movie"")"),"Movie")</f>
        <v>Movie</v>
      </c>
    </row>
    <row r="2910">
      <c r="A2910" s="1" t="s">
        <v>16216</v>
      </c>
      <c r="B2910" s="1" t="s">
        <v>27</v>
      </c>
      <c r="C2910" s="1" t="s">
        <v>16217</v>
      </c>
      <c r="D2910" s="1" t="s">
        <v>10320</v>
      </c>
      <c r="E2910" s="1" t="s">
        <v>16218</v>
      </c>
      <c r="F2910" s="1" t="s">
        <v>30</v>
      </c>
      <c r="G2910" s="1" t="s">
        <v>16191</v>
      </c>
      <c r="H2910" s="1">
        <v>2016.0</v>
      </c>
      <c r="I2910" s="1" t="s">
        <v>32</v>
      </c>
      <c r="J2910" s="1" t="s">
        <v>454</v>
      </c>
      <c r="K2910" s="1" t="s">
        <v>7235</v>
      </c>
      <c r="L2910" s="1" t="s">
        <v>16219</v>
      </c>
      <c r="M2910" s="2" t="s">
        <v>12</v>
      </c>
      <c r="N2910" s="4">
        <f t="shared" si="1"/>
        <v>43877</v>
      </c>
      <c r="O2910" s="5" t="str">
        <f>IFERROR(__xludf.DUMMYFUNCTION("IF(REGEXMATCH(TRIM(I2910), ""^\d+\s*min""), ""Unclassified"", IF(I2910 = """", ""NR"", I2910))"),"PG-13")</f>
        <v>PG-13</v>
      </c>
      <c r="R2910" s="5" t="str">
        <f t="shared" si="2"/>
        <v>The Forest</v>
      </c>
      <c r="S2910" s="5" t="str">
        <f>IFERROR(__xludf.DUMMYFUNCTION("""COMPUTED_VALUE"""),"Hamburger Hill")</f>
        <v>Hamburger Hill</v>
      </c>
      <c r="U2910" s="5" t="str">
        <f>IFERROR(__xludf.DUMMYFUNCTION("""COMPUTED_VALUE"""),"Prashant Nair")</f>
        <v>Prashant Nair</v>
      </c>
      <c r="V2910" s="5" t="s">
        <v>13682</v>
      </c>
      <c r="W2910" s="5" t="str">
        <f t="shared" si="3"/>
        <v>Mohamed Khan</v>
      </c>
      <c r="X2910" s="5">
        <f t="shared" si="4"/>
        <v>1</v>
      </c>
      <c r="Y2910" s="5" t="str">
        <f>IFERROR(__xludf.DUMMYFUNCTION("REGEXEXTRACT(J2910, ""^\d+"")"),"93")</f>
        <v>93</v>
      </c>
      <c r="Z2910" s="5" t="str">
        <f>IFERROR(__xludf.DUMMYFUNCTION("REGEXEXTRACT(J2910, ""[A-Za-z ]+$"")")," min")</f>
        <v> min</v>
      </c>
      <c r="AA2910" s="5" t="str">
        <f>IFERROR(__xludf.DUMMYFUNCTION("IF(REGEXMATCH(Z2910, ""Season""), ""TV Show"", ""Movie"")"),"Movie")</f>
        <v>Movie</v>
      </c>
    </row>
    <row r="2911">
      <c r="A2911" s="1" t="s">
        <v>16220</v>
      </c>
      <c r="B2911" s="1" t="s">
        <v>27</v>
      </c>
      <c r="C2911" s="1" t="s">
        <v>16221</v>
      </c>
      <c r="D2911" s="1" t="s">
        <v>2791</v>
      </c>
      <c r="E2911" s="1" t="s">
        <v>16222</v>
      </c>
      <c r="G2911" s="1" t="s">
        <v>16223</v>
      </c>
      <c r="H2911" s="1">
        <v>2017.0</v>
      </c>
      <c r="I2911" s="1" t="s">
        <v>206</v>
      </c>
      <c r="J2911" s="1" t="s">
        <v>4699</v>
      </c>
      <c r="K2911" s="1" t="s">
        <v>2032</v>
      </c>
      <c r="L2911" s="1" t="s">
        <v>16224</v>
      </c>
      <c r="M2911" s="2" t="s">
        <v>12</v>
      </c>
      <c r="N2911" s="4">
        <f t="shared" si="1"/>
        <v>43876</v>
      </c>
      <c r="O2911" s="5" t="str">
        <f>IFERROR(__xludf.DUMMYFUNCTION("IF(REGEXMATCH(TRIM(I2911), ""^\d+\s*min""), ""Unclassified"", IF(I2911 = """", ""NR"", I2911))"),"TV-Y")</f>
        <v>TV-Y</v>
      </c>
      <c r="R2911" s="5" t="str">
        <f t="shared" si="2"/>
        <v>Monster High: Electrified</v>
      </c>
      <c r="S2911" s="5" t="str">
        <f>IFERROR(__xludf.DUMMYFUNCTION("""COMPUTED_VALUE"""),"Hamid")</f>
        <v>Hamid</v>
      </c>
      <c r="U2911" s="5" t="str">
        <f>IFERROR(__xludf.DUMMYFUNCTION("""COMPUTED_VALUE"""),"Paul Taublieb, Jon Freeman")</f>
        <v>Paul Taublieb, Jon Freeman</v>
      </c>
      <c r="V2911" s="5" t="s">
        <v>16225</v>
      </c>
      <c r="W2911" s="5" t="str">
        <f t="shared" si="3"/>
        <v>Mohamed Samy</v>
      </c>
      <c r="X2911" s="5">
        <f t="shared" si="4"/>
        <v>3</v>
      </c>
      <c r="Y2911" s="5" t="str">
        <f>IFERROR(__xludf.DUMMYFUNCTION("REGEXEXTRACT(J2911, ""^\d+"")"),"72")</f>
        <v>72</v>
      </c>
      <c r="Z2911" s="5" t="str">
        <f>IFERROR(__xludf.DUMMYFUNCTION("REGEXEXTRACT(J2911, ""[A-Za-z ]+$"")")," min")</f>
        <v> min</v>
      </c>
      <c r="AA2911" s="5" t="str">
        <f>IFERROR(__xludf.DUMMYFUNCTION("IF(REGEXMATCH(Z2911, ""Season""), ""TV Show"", ""Movie"")"),"Movie")</f>
        <v>Movie</v>
      </c>
    </row>
    <row r="2912">
      <c r="A2912" s="1" t="s">
        <v>16226</v>
      </c>
      <c r="B2912" s="1" t="s">
        <v>37</v>
      </c>
      <c r="C2912" s="1" t="s">
        <v>16227</v>
      </c>
      <c r="E2912" s="1" t="s">
        <v>16228</v>
      </c>
      <c r="F2912" s="1" t="s">
        <v>16229</v>
      </c>
      <c r="G2912" s="1" t="s">
        <v>16223</v>
      </c>
      <c r="H2912" s="1">
        <v>2017.0</v>
      </c>
      <c r="I2912" s="1" t="s">
        <v>206</v>
      </c>
      <c r="J2912" s="1" t="s">
        <v>51</v>
      </c>
      <c r="K2912" s="1" t="s">
        <v>314</v>
      </c>
      <c r="L2912" s="1" t="s">
        <v>16230</v>
      </c>
      <c r="M2912" s="2" t="s">
        <v>12</v>
      </c>
      <c r="N2912" s="4">
        <f t="shared" si="1"/>
        <v>43876</v>
      </c>
      <c r="O2912" s="5" t="str">
        <f>IFERROR(__xludf.DUMMYFUNCTION("IF(REGEXMATCH(TRIM(I2912), ""^\d+\s*min""), ""Unclassified"", IF(I2912 = """", ""NR"", I2912))"),"TV-Y")</f>
        <v>TV-Y</v>
      </c>
      <c r="R2912" s="5" t="str">
        <f t="shared" si="2"/>
        <v>Talking Tom And Friends</v>
      </c>
      <c r="S2912" s="5" t="str">
        <f>IFERROR(__xludf.DUMMYFUNCTION("""COMPUTED_VALUE"""),"Hampstead")</f>
        <v>Hampstead</v>
      </c>
      <c r="U2912" s="5" t="str">
        <f>IFERROR(__xludf.DUMMYFUNCTION("""COMPUTED_VALUE"""),"Riccardo Milani")</f>
        <v>Riccardo Milani</v>
      </c>
      <c r="V2912" s="5" t="s">
        <v>14803</v>
      </c>
      <c r="W2912" s="5" t="str">
        <f t="shared" si="3"/>
        <v>Mohamed Yassin</v>
      </c>
      <c r="X2912" s="5">
        <f t="shared" si="4"/>
        <v>1</v>
      </c>
      <c r="Y2912" s="5" t="str">
        <f>IFERROR(__xludf.DUMMYFUNCTION("REGEXEXTRACT(J2912, ""^\d+"")"),"1")</f>
        <v>1</v>
      </c>
      <c r="Z2912" s="5" t="str">
        <f>IFERROR(__xludf.DUMMYFUNCTION("REGEXEXTRACT(J2912, ""[A-Za-z ]+$"")")," Season")</f>
        <v> Season</v>
      </c>
      <c r="AA2912" s="5" t="str">
        <f>IFERROR(__xludf.DUMMYFUNCTION("IF(REGEXMATCH(Z2912, ""Season""), ""TV Show"", ""Movie"")"),"TV Show")</f>
        <v>TV Show</v>
      </c>
    </row>
    <row r="2913">
      <c r="A2913" s="1" t="s">
        <v>16231</v>
      </c>
      <c r="B2913" s="1" t="s">
        <v>27</v>
      </c>
      <c r="C2913" s="1" t="s">
        <v>16232</v>
      </c>
      <c r="D2913" s="1" t="s">
        <v>16233</v>
      </c>
      <c r="E2913" s="1" t="s">
        <v>16234</v>
      </c>
      <c r="F2913" s="1" t="s">
        <v>16235</v>
      </c>
      <c r="G2913" s="1" t="s">
        <v>16236</v>
      </c>
      <c r="H2913" s="1">
        <v>2019.0</v>
      </c>
      <c r="I2913" s="1" t="s">
        <v>770</v>
      </c>
      <c r="J2913" s="1" t="s">
        <v>630</v>
      </c>
      <c r="K2913" s="1" t="s">
        <v>137</v>
      </c>
      <c r="L2913" s="1" t="s">
        <v>16237</v>
      </c>
      <c r="M2913" s="2" t="s">
        <v>12</v>
      </c>
      <c r="N2913" s="4">
        <f t="shared" si="1"/>
        <v>43875</v>
      </c>
      <c r="O2913" s="5" t="str">
        <f>IFERROR(__xludf.DUMMYFUNCTION("IF(REGEXMATCH(TRIM(I2913), ""^\d+\s*min""), ""Unclassified"", IF(I2913 = """", ""NR"", I2913))"),"G")</f>
        <v>G</v>
      </c>
      <c r="R2913" s="5" t="str">
        <f t="shared" si="2"/>
        <v>A Shaun The Sheep Movie: Farmageddon</v>
      </c>
      <c r="S2913" s="5" t="str">
        <f>IFERROR(__xludf.DUMMYFUNCTION("""COMPUTED_VALUE"""),"Hamza'S Suitcase")</f>
        <v>Hamza'S Suitcase</v>
      </c>
      <c r="U2913" s="5" t="str">
        <f>IFERROR(__xludf.DUMMYFUNCTION("""COMPUTED_VALUE"""),"Rod Blackhurst, Brian Mcginn")</f>
        <v>Rod Blackhurst, Brian Mcginn</v>
      </c>
      <c r="V2913" s="5" t="s">
        <v>9678</v>
      </c>
      <c r="W2913" s="5" t="str">
        <f t="shared" si="3"/>
        <v>Mohammad Adel</v>
      </c>
      <c r="X2913" s="5">
        <f t="shared" si="4"/>
        <v>1</v>
      </c>
      <c r="Y2913" s="5" t="str">
        <f>IFERROR(__xludf.DUMMYFUNCTION("REGEXEXTRACT(J2913, ""^\d+"")"),"87")</f>
        <v>87</v>
      </c>
      <c r="Z2913" s="5" t="str">
        <f>IFERROR(__xludf.DUMMYFUNCTION("REGEXEXTRACT(J2913, ""[A-Za-z ]+$"")")," min")</f>
        <v> min</v>
      </c>
      <c r="AA2913" s="5" t="str">
        <f>IFERROR(__xludf.DUMMYFUNCTION("IF(REGEXMATCH(Z2913, ""Season""), ""TV Show"", ""Movie"")"),"Movie")</f>
        <v>Movie</v>
      </c>
    </row>
    <row r="2914">
      <c r="A2914" s="1" t="s">
        <v>16238</v>
      </c>
      <c r="B2914" s="1" t="s">
        <v>27</v>
      </c>
      <c r="C2914" s="1" t="s">
        <v>16239</v>
      </c>
      <c r="D2914" s="1" t="s">
        <v>16240</v>
      </c>
      <c r="E2914" s="1" t="s">
        <v>16241</v>
      </c>
      <c r="F2914" s="1" t="s">
        <v>4287</v>
      </c>
      <c r="G2914" s="1" t="s">
        <v>16236</v>
      </c>
      <c r="H2914" s="1">
        <v>2019.0</v>
      </c>
      <c r="I2914" s="1" t="s">
        <v>42</v>
      </c>
      <c r="J2914" s="1" t="s">
        <v>465</v>
      </c>
      <c r="K2914" s="1" t="s">
        <v>679</v>
      </c>
      <c r="L2914" s="1" t="s">
        <v>16242</v>
      </c>
      <c r="M2914" s="2" t="s">
        <v>12</v>
      </c>
      <c r="N2914" s="4">
        <f t="shared" si="1"/>
        <v>43875</v>
      </c>
      <c r="O2914" s="5" t="str">
        <f>IFERROR(__xludf.DUMMYFUNCTION("IF(REGEXMATCH(TRIM(I2914), ""^\d+\s*min""), ""Unclassified"", IF(I2914 = """", ""NR"", I2914))"),"TV-MA")</f>
        <v>TV-MA</v>
      </c>
      <c r="R2914" s="5" t="str">
        <f t="shared" si="2"/>
        <v>Cuddle Weather</v>
      </c>
      <c r="S2914" s="5" t="str">
        <f>IFERROR(__xludf.DUMMYFUNCTION("""COMPUTED_VALUE"""),"Handsome Devil")</f>
        <v>Handsome Devil</v>
      </c>
      <c r="U2914" s="5" t="str">
        <f>IFERROR(__xludf.DUMMYFUNCTION("""COMPUTED_VALUE"""),"Tony Elliott")</f>
        <v>Tony Elliott</v>
      </c>
      <c r="V2914" s="5" t="s">
        <v>7227</v>
      </c>
      <c r="W2914" s="5" t="str">
        <f t="shared" si="3"/>
        <v>Mohammad Irfan Ramly</v>
      </c>
      <c r="X2914" s="5">
        <f t="shared" si="4"/>
        <v>1</v>
      </c>
      <c r="Y2914" s="5" t="str">
        <f>IFERROR(__xludf.DUMMYFUNCTION("REGEXEXTRACT(J2914, ""^\d+"")"),"95")</f>
        <v>95</v>
      </c>
      <c r="Z2914" s="5" t="str">
        <f>IFERROR(__xludf.DUMMYFUNCTION("REGEXEXTRACT(J2914, ""[A-Za-z ]+$"")")," min")</f>
        <v> min</v>
      </c>
      <c r="AA2914" s="5" t="str">
        <f>IFERROR(__xludf.DUMMYFUNCTION("IF(REGEXMATCH(Z2914, ""Season""), ""TV Show"", ""Movie"")"),"Movie")</f>
        <v>Movie</v>
      </c>
    </row>
    <row r="2915">
      <c r="A2915" s="1" t="s">
        <v>16243</v>
      </c>
      <c r="B2915" s="1" t="s">
        <v>27</v>
      </c>
      <c r="C2915" s="1" t="s">
        <v>16244</v>
      </c>
      <c r="D2915" s="1" t="s">
        <v>15875</v>
      </c>
      <c r="E2915" s="1" t="s">
        <v>16245</v>
      </c>
      <c r="F2915" s="1" t="s">
        <v>2446</v>
      </c>
      <c r="G2915" s="1" t="s">
        <v>16236</v>
      </c>
      <c r="H2915" s="1">
        <v>2017.0</v>
      </c>
      <c r="I2915" s="1" t="s">
        <v>42</v>
      </c>
      <c r="J2915" s="1" t="s">
        <v>5846</v>
      </c>
      <c r="K2915" s="1" t="s">
        <v>836</v>
      </c>
      <c r="L2915" s="1" t="s">
        <v>16246</v>
      </c>
      <c r="M2915" s="2" t="s">
        <v>12</v>
      </c>
      <c r="N2915" s="4">
        <f t="shared" si="1"/>
        <v>43875</v>
      </c>
      <c r="O2915" s="5" t="str">
        <f>IFERROR(__xludf.DUMMYFUNCTION("IF(REGEXMATCH(TRIM(I2915), ""^\d+\s*min""), ""Unclassified"", IF(I2915 = """", ""NR"", I2915))"),"TV-MA")</f>
        <v>TV-MA</v>
      </c>
      <c r="R2915" s="5" t="str">
        <f t="shared" si="2"/>
        <v>Fanatyk</v>
      </c>
      <c r="S2915" s="5" t="str">
        <f>IFERROR(__xludf.DUMMYFUNCTION("""COMPUTED_VALUE"""),"Handsome Siblings")</f>
        <v>Handsome Siblings</v>
      </c>
      <c r="U2915" s="5" t="str">
        <f>IFERROR(__xludf.DUMMYFUNCTION("""COMPUTED_VALUE"""),"Dan Krauss")</f>
        <v>Dan Krauss</v>
      </c>
      <c r="V2915" s="5" t="s">
        <v>14184</v>
      </c>
      <c r="W2915" s="5" t="str">
        <f t="shared" si="3"/>
        <v>Mohammed Alhmly</v>
      </c>
      <c r="X2915" s="5">
        <f t="shared" si="4"/>
        <v>1</v>
      </c>
      <c r="Y2915" s="5" t="str">
        <f>IFERROR(__xludf.DUMMYFUNCTION("REGEXEXTRACT(J2915, ""^\d+"")"),"33")</f>
        <v>33</v>
      </c>
      <c r="Z2915" s="5" t="str">
        <f>IFERROR(__xludf.DUMMYFUNCTION("REGEXEXTRACT(J2915, ""[A-Za-z ]+$"")")," min")</f>
        <v> min</v>
      </c>
      <c r="AA2915" s="5" t="str">
        <f>IFERROR(__xludf.DUMMYFUNCTION("IF(REGEXMATCH(Z2915, ""Season""), ""TV Show"", ""Movie"")"),"Movie")</f>
        <v>Movie</v>
      </c>
    </row>
    <row r="2916">
      <c r="A2916" s="1" t="s">
        <v>16247</v>
      </c>
      <c r="B2916" s="1" t="s">
        <v>27</v>
      </c>
      <c r="C2916" s="1" t="s">
        <v>16248</v>
      </c>
      <c r="D2916" s="1" t="s">
        <v>16249</v>
      </c>
      <c r="E2916" s="1" t="s">
        <v>16250</v>
      </c>
      <c r="F2916" s="1" t="s">
        <v>2492</v>
      </c>
      <c r="G2916" s="1" t="s">
        <v>16236</v>
      </c>
      <c r="H2916" s="1">
        <v>2020.0</v>
      </c>
      <c r="I2916" s="1" t="s">
        <v>42</v>
      </c>
      <c r="J2916" s="1" t="s">
        <v>519</v>
      </c>
      <c r="K2916" s="1" t="s">
        <v>215</v>
      </c>
      <c r="L2916" s="1" t="s">
        <v>16251</v>
      </c>
      <c r="M2916" s="2" t="s">
        <v>12</v>
      </c>
      <c r="N2916" s="4">
        <f t="shared" si="1"/>
        <v>43875</v>
      </c>
      <c r="O2916" s="5" t="str">
        <f>IFERROR(__xludf.DUMMYFUNCTION("IF(REGEXMATCH(TRIM(I2916), ""^\d+\s*min""), ""Unclassified"", IF(I2916 = """", ""NR"", I2916))"),"TV-MA")</f>
        <v>TV-MA</v>
      </c>
      <c r="R2916" s="5" t="str">
        <f t="shared" si="2"/>
        <v>Isi &amp; Ossi</v>
      </c>
      <c r="S2916" s="5" t="str">
        <f>IFERROR(__xludf.DUMMYFUNCTION("""COMPUTED_VALUE"""),"Handsome: A Netflix Mystery Movie")</f>
        <v>Handsome: A Netflix Mystery Movie</v>
      </c>
      <c r="U2916" s="5" t="str">
        <f>IFERROR(__xludf.DUMMYFUNCTION("""COMPUTED_VALUE"""),"Christopher Louie")</f>
        <v>Christopher Louie</v>
      </c>
      <c r="V2916" s="5" t="s">
        <v>16252</v>
      </c>
      <c r="W2916" s="5" t="str">
        <f t="shared" si="3"/>
        <v>Mohammed El-Tahawy, Mohamed Mostafa</v>
      </c>
      <c r="X2916" s="5">
        <f t="shared" si="4"/>
        <v>1</v>
      </c>
      <c r="Y2916" s="5" t="str">
        <f>IFERROR(__xludf.DUMMYFUNCTION("REGEXEXTRACT(J2916, ""^\d+"")"),"113")</f>
        <v>113</v>
      </c>
      <c r="Z2916" s="5" t="str">
        <f>IFERROR(__xludf.DUMMYFUNCTION("REGEXEXTRACT(J2916, ""[A-Za-z ]+$"")")," min")</f>
        <v> min</v>
      </c>
      <c r="AA2916" s="5" t="str">
        <f>IFERROR(__xludf.DUMMYFUNCTION("IF(REGEXMATCH(Z2916, ""Season""), ""TV Show"", ""Movie"")"),"Movie")</f>
        <v>Movie</v>
      </c>
    </row>
    <row r="2917">
      <c r="A2917" s="1" t="s">
        <v>16253</v>
      </c>
      <c r="B2917" s="1" t="s">
        <v>27</v>
      </c>
      <c r="C2917" s="1" t="s">
        <v>16254</v>
      </c>
      <c r="D2917" s="1" t="s">
        <v>3853</v>
      </c>
      <c r="E2917" s="1" t="s">
        <v>16255</v>
      </c>
      <c r="F2917" s="1" t="s">
        <v>40</v>
      </c>
      <c r="G2917" s="1" t="s">
        <v>16236</v>
      </c>
      <c r="H2917" s="1">
        <v>2010.0</v>
      </c>
      <c r="I2917" s="1" t="s">
        <v>136</v>
      </c>
      <c r="J2917" s="1" t="s">
        <v>870</v>
      </c>
      <c r="K2917" s="1" t="s">
        <v>230</v>
      </c>
      <c r="L2917" s="1" t="s">
        <v>16256</v>
      </c>
      <c r="M2917" s="2" t="s">
        <v>12</v>
      </c>
      <c r="N2917" s="4">
        <f t="shared" si="1"/>
        <v>43875</v>
      </c>
      <c r="O2917" s="5" t="str">
        <f>IFERROR(__xludf.DUMMYFUNCTION("IF(REGEXMATCH(TRIM(I2917), ""^\d+\s*min""), ""Unclassified"", IF(I2917 = """", ""NR"", I2917))"),"TV-PG")</f>
        <v>TV-PG</v>
      </c>
      <c r="R2917" s="5" t="str">
        <f t="shared" si="2"/>
        <v>Liefling</v>
      </c>
      <c r="S2917" s="5" t="str">
        <f>IFERROR(__xludf.DUMMYFUNCTION("""COMPUTED_VALUE"""),"Hangar 1: The Ufo Files")</f>
        <v>Hangar 1: The Ufo Files</v>
      </c>
      <c r="U2917" s="5" t="str">
        <f>IFERROR(__xludf.DUMMYFUNCTION("""COMPUTED_VALUE"""),"Justin Krook")</f>
        <v>Justin Krook</v>
      </c>
      <c r="V2917" s="5" t="s">
        <v>16257</v>
      </c>
      <c r="W2917" s="5" t="str">
        <f t="shared" si="3"/>
        <v>Mohammed Hussain</v>
      </c>
      <c r="X2917" s="5">
        <f t="shared" si="4"/>
        <v>1</v>
      </c>
      <c r="Y2917" s="5" t="str">
        <f>IFERROR(__xludf.DUMMYFUNCTION("REGEXEXTRACT(J2917, ""^\d+"")"),"118")</f>
        <v>118</v>
      </c>
      <c r="Z2917" s="5" t="str">
        <f>IFERROR(__xludf.DUMMYFUNCTION("REGEXEXTRACT(J2917, ""[A-Za-z ]+$"")")," min")</f>
        <v> min</v>
      </c>
      <c r="AA2917" s="5" t="str">
        <f>IFERROR(__xludf.DUMMYFUNCTION("IF(REGEXMATCH(Z2917, ""Season""), ""TV Show"", ""Movie"")"),"Movie")</f>
        <v>Movie</v>
      </c>
    </row>
    <row r="2918">
      <c r="A2918" s="1" t="s">
        <v>16258</v>
      </c>
      <c r="B2918" s="1" t="s">
        <v>27</v>
      </c>
      <c r="C2918" s="1" t="s">
        <v>16259</v>
      </c>
      <c r="D2918" s="1" t="s">
        <v>2642</v>
      </c>
      <c r="E2918" s="1" t="s">
        <v>16260</v>
      </c>
      <c r="F2918" s="1" t="s">
        <v>63</v>
      </c>
      <c r="G2918" s="1" t="s">
        <v>16236</v>
      </c>
      <c r="H2918" s="1">
        <v>2019.0</v>
      </c>
      <c r="I2918" s="1" t="s">
        <v>97</v>
      </c>
      <c r="J2918" s="1" t="s">
        <v>9630</v>
      </c>
      <c r="K2918" s="1" t="s">
        <v>679</v>
      </c>
      <c r="L2918" s="1" t="s">
        <v>16261</v>
      </c>
      <c r="M2918" s="2" t="s">
        <v>12</v>
      </c>
      <c r="N2918" s="4">
        <f t="shared" si="1"/>
        <v>43875</v>
      </c>
      <c r="O2918" s="5" t="str">
        <f>IFERROR(__xludf.DUMMYFUNCTION("IF(REGEXMATCH(TRIM(I2918), ""^\d+\s*min""), ""Unclassified"", IF(I2918 = """", ""NR"", I2918))"),"TV-14")</f>
        <v>TV-14</v>
      </c>
      <c r="R2918" s="5" t="str">
        <f t="shared" si="2"/>
        <v>Panipat - The Great Betrayal</v>
      </c>
      <c r="S2918" s="5" t="str">
        <f>IFERROR(__xludf.DUMMYFUNCTION("""COMPUTED_VALUE"""),"Hangman")</f>
        <v>Hangman</v>
      </c>
      <c r="U2918" s="5" t="str">
        <f>IFERROR(__xludf.DUMMYFUNCTION("""COMPUTED_VALUE"""),"Michael Drumm")</f>
        <v>Michael Drumm</v>
      </c>
      <c r="V2918" s="5" t="s">
        <v>16262</v>
      </c>
      <c r="W2918" s="5" t="str">
        <f t="shared" si="3"/>
        <v>Mohd Khairul Azri Bin Md Noor</v>
      </c>
      <c r="X2918" s="5">
        <f t="shared" si="4"/>
        <v>1</v>
      </c>
      <c r="Y2918" s="5" t="str">
        <f>IFERROR(__xludf.DUMMYFUNCTION("REGEXEXTRACT(J2918, ""^\d+"")"),"171")</f>
        <v>171</v>
      </c>
      <c r="Z2918" s="5" t="str">
        <f>IFERROR(__xludf.DUMMYFUNCTION("REGEXEXTRACT(J2918, ""[A-Za-z ]+$"")")," min")</f>
        <v> min</v>
      </c>
      <c r="AA2918" s="5" t="str">
        <f>IFERROR(__xludf.DUMMYFUNCTION("IF(REGEXMATCH(Z2918, ""Season""), ""TV Show"", ""Movie"")"),"Movie")</f>
        <v>Movie</v>
      </c>
    </row>
    <row r="2919">
      <c r="A2919" s="1" t="s">
        <v>16263</v>
      </c>
      <c r="B2919" s="1" t="s">
        <v>37</v>
      </c>
      <c r="C2919" s="1" t="s">
        <v>16264</v>
      </c>
      <c r="E2919" s="1" t="s">
        <v>16265</v>
      </c>
      <c r="F2919" s="1" t="s">
        <v>63</v>
      </c>
      <c r="G2919" s="1" t="s">
        <v>16236</v>
      </c>
      <c r="H2919" s="1">
        <v>2020.0</v>
      </c>
      <c r="I2919" s="1" t="s">
        <v>42</v>
      </c>
      <c r="J2919" s="1" t="s">
        <v>51</v>
      </c>
      <c r="K2919" s="1" t="s">
        <v>64</v>
      </c>
      <c r="L2919" s="1" t="s">
        <v>16266</v>
      </c>
      <c r="M2919" s="2" t="s">
        <v>12</v>
      </c>
      <c r="N2919" s="4">
        <f t="shared" si="1"/>
        <v>43875</v>
      </c>
      <c r="O2919" s="5" t="str">
        <f>IFERROR(__xludf.DUMMYFUNCTION("IF(REGEXMATCH(TRIM(I2919), ""^\d+\s*min""), ""Unclassified"", IF(I2919 = """", ""NR"", I2919))"),"TV-MA")</f>
        <v>TV-MA</v>
      </c>
      <c r="R2919" s="5" t="str">
        <f t="shared" si="2"/>
        <v>Taj Mahal 1989</v>
      </c>
      <c r="S2919" s="5" t="str">
        <f>IFERROR(__xludf.DUMMYFUNCTION("""COMPUTED_VALUE"""),"Hank: Five Years From The Brink")</f>
        <v>Hank: Five Years From The Brink</v>
      </c>
      <c r="U2919" s="5" t="str">
        <f>IFERROR(__xludf.DUMMYFUNCTION("""COMPUTED_VALUE"""),"Alex Coletti")</f>
        <v>Alex Coletti</v>
      </c>
      <c r="V2919" s="5" t="s">
        <v>14278</v>
      </c>
      <c r="W2919" s="5" t="str">
        <f t="shared" si="3"/>
        <v>Mohit Suri</v>
      </c>
      <c r="X2919" s="5">
        <f t="shared" si="4"/>
        <v>2</v>
      </c>
      <c r="Y2919" s="5" t="str">
        <f>IFERROR(__xludf.DUMMYFUNCTION("REGEXEXTRACT(J2919, ""^\d+"")"),"1")</f>
        <v>1</v>
      </c>
      <c r="Z2919" s="5" t="str">
        <f>IFERROR(__xludf.DUMMYFUNCTION("REGEXEXTRACT(J2919, ""[A-Za-z ]+$"")")," Season")</f>
        <v> Season</v>
      </c>
      <c r="AA2919" s="5" t="str">
        <f>IFERROR(__xludf.DUMMYFUNCTION("IF(REGEXMATCH(Z2919, ""Season""), ""TV Show"", ""Movie"")"),"TV Show")</f>
        <v>TV Show</v>
      </c>
    </row>
    <row r="2920">
      <c r="A2920" s="1" t="s">
        <v>16267</v>
      </c>
      <c r="B2920" s="1" t="s">
        <v>27</v>
      </c>
      <c r="C2920" s="1" t="s">
        <v>16268</v>
      </c>
      <c r="D2920" s="1" t="s">
        <v>1858</v>
      </c>
      <c r="E2920" s="1" t="s">
        <v>16269</v>
      </c>
      <c r="F2920" s="1" t="s">
        <v>400</v>
      </c>
      <c r="G2920" s="1" t="s">
        <v>16236</v>
      </c>
      <c r="H2920" s="1">
        <v>2018.0</v>
      </c>
      <c r="I2920" s="1" t="s">
        <v>97</v>
      </c>
      <c r="J2920" s="1" t="s">
        <v>433</v>
      </c>
      <c r="K2920" s="1" t="s">
        <v>199</v>
      </c>
      <c r="L2920" s="1" t="s">
        <v>16270</v>
      </c>
      <c r="M2920" s="2" t="s">
        <v>12</v>
      </c>
      <c r="N2920" s="4">
        <f t="shared" si="1"/>
        <v>43875</v>
      </c>
      <c r="O2920" s="5" t="str">
        <f>IFERROR(__xludf.DUMMYFUNCTION("IF(REGEXMATCH(TRIM(I2920), ""^\d+\s*min""), ""Unclassified"", IF(I2920 = """", ""NR"", I2920))"),"TV-14")</f>
        <v>TV-14</v>
      </c>
      <c r="R2920" s="5" t="str">
        <f t="shared" si="2"/>
        <v>The Ghost And The Tout</v>
      </c>
      <c r="S2920" s="5" t="str">
        <f>IFERROR(__xludf.DUMMYFUNCTION("""COMPUTED_VALUE"""),"Hannah Gadsby: Douglas")</f>
        <v>Hannah Gadsby: Douglas</v>
      </c>
      <c r="U2920" s="5" t="str">
        <f>IFERROR(__xludf.DUMMYFUNCTION("""COMPUTED_VALUE"""),"John Smithson")</f>
        <v>John Smithson</v>
      </c>
      <c r="V2920" s="5" t="s">
        <v>16271</v>
      </c>
      <c r="W2920" s="5" t="str">
        <f t="shared" si="3"/>
        <v>Mohsin Ali</v>
      </c>
      <c r="X2920" s="5">
        <f t="shared" si="4"/>
        <v>1</v>
      </c>
      <c r="Y2920" s="5" t="str">
        <f>IFERROR(__xludf.DUMMYFUNCTION("REGEXEXTRACT(J2920, ""^\d+"")"),"100")</f>
        <v>100</v>
      </c>
      <c r="Z2920" s="5" t="str">
        <f>IFERROR(__xludf.DUMMYFUNCTION("REGEXEXTRACT(J2920, ""[A-Za-z ]+$"")")," min")</f>
        <v> min</v>
      </c>
      <c r="AA2920" s="5" t="str">
        <f>IFERROR(__xludf.DUMMYFUNCTION("IF(REGEXMATCH(Z2920, ""Season""), ""TV Show"", ""Movie"")"),"Movie")</f>
        <v>Movie</v>
      </c>
    </row>
    <row r="2921">
      <c r="A2921" s="1" t="s">
        <v>16272</v>
      </c>
      <c r="B2921" s="1" t="s">
        <v>27</v>
      </c>
      <c r="C2921" s="1" t="s">
        <v>16273</v>
      </c>
      <c r="D2921" s="1" t="s">
        <v>16274</v>
      </c>
      <c r="E2921" s="1" t="s">
        <v>16275</v>
      </c>
      <c r="F2921" s="1" t="s">
        <v>415</v>
      </c>
      <c r="G2921" s="1" t="s">
        <v>16276</v>
      </c>
      <c r="H2921" s="1">
        <v>2019.0</v>
      </c>
      <c r="I2921" s="1" t="s">
        <v>136</v>
      </c>
      <c r="J2921" s="1" t="s">
        <v>238</v>
      </c>
      <c r="K2921" s="1" t="s">
        <v>1848</v>
      </c>
      <c r="L2921" s="1" t="s">
        <v>16277</v>
      </c>
      <c r="M2921" s="2" t="s">
        <v>12</v>
      </c>
      <c r="N2921" s="4">
        <f t="shared" si="1"/>
        <v>43874</v>
      </c>
      <c r="O2921" s="5" t="str">
        <f>IFERROR(__xludf.DUMMYFUNCTION("IF(REGEXMATCH(TRIM(I2921), ""^\d+\s*min""), ""Unclassified"", IF(I2921 = """", ""NR"", I2921))"),"TV-PG")</f>
        <v>TV-PG</v>
      </c>
      <c r="R2921" s="5" t="str">
        <f t="shared" si="2"/>
        <v>Dragon Quest Your Story</v>
      </c>
      <c r="S2921" s="5" t="str">
        <f>IFERROR(__xludf.DUMMYFUNCTION("""COMPUTED_VALUE"""),"Hannah Gadsby: Nanette")</f>
        <v>Hannah Gadsby: Nanette</v>
      </c>
      <c r="U2921" s="5" t="str">
        <f>IFERROR(__xludf.DUMMYFUNCTION("""COMPUTED_VALUE"""),"Christopher Martin")</f>
        <v>Christopher Martin</v>
      </c>
      <c r="V2921" s="5" t="s">
        <v>15961</v>
      </c>
      <c r="W2921" s="5" t="str">
        <f t="shared" si="3"/>
        <v>Momoko Kamiya</v>
      </c>
      <c r="X2921" s="5">
        <f t="shared" si="4"/>
        <v>3</v>
      </c>
      <c r="Y2921" s="5" t="str">
        <f>IFERROR(__xludf.DUMMYFUNCTION("REGEXEXTRACT(J2921, ""^\d+"")"),"103")</f>
        <v>103</v>
      </c>
      <c r="Z2921" s="5" t="str">
        <f>IFERROR(__xludf.DUMMYFUNCTION("REGEXEXTRACT(J2921, ""[A-Za-z ]+$"")")," min")</f>
        <v> min</v>
      </c>
      <c r="AA2921" s="5" t="str">
        <f>IFERROR(__xludf.DUMMYFUNCTION("IF(REGEXMATCH(Z2921, ""Season""), ""TV Show"", ""Movie"")"),"Movie")</f>
        <v>Movie</v>
      </c>
    </row>
    <row r="2922">
      <c r="A2922" s="1" t="s">
        <v>16278</v>
      </c>
      <c r="B2922" s="1" t="s">
        <v>37</v>
      </c>
      <c r="C2922" s="1" t="s">
        <v>16279</v>
      </c>
      <c r="E2922" s="1" t="s">
        <v>16280</v>
      </c>
      <c r="F2922" s="1" t="s">
        <v>30</v>
      </c>
      <c r="G2922" s="1" t="s">
        <v>16276</v>
      </c>
      <c r="H2922" s="1">
        <v>2021.0</v>
      </c>
      <c r="I2922" s="1" t="s">
        <v>42</v>
      </c>
      <c r="J2922" s="1" t="s">
        <v>51</v>
      </c>
      <c r="K2922" s="1" t="s">
        <v>4008</v>
      </c>
      <c r="L2922" s="1" t="s">
        <v>16281</v>
      </c>
      <c r="M2922" s="2" t="s">
        <v>12</v>
      </c>
      <c r="N2922" s="4">
        <f t="shared" si="1"/>
        <v>43874</v>
      </c>
      <c r="O2922" s="5" t="str">
        <f>IFERROR(__xludf.DUMMYFUNCTION("IF(REGEXMATCH(TRIM(I2922), ""^\d+\s*min""), ""Unclassified"", IF(I2922 = """", ""NR"", I2922))"),"TV-MA")</f>
        <v>TV-MA</v>
      </c>
      <c r="R2922" s="5" t="str">
        <f t="shared" si="2"/>
        <v>Love Is Blind</v>
      </c>
      <c r="S2922" s="5" t="str">
        <f>IFERROR(__xludf.DUMMYFUNCTION("""COMPUTED_VALUE"""),"Hannibal")</f>
        <v>Hannibal</v>
      </c>
      <c r="U2922" s="5" t="str">
        <f>IFERROR(__xludf.DUMMYFUNCTION("""COMPUTED_VALUE"""),"Tom Whitter")</f>
        <v>Tom Whitter</v>
      </c>
      <c r="V2922" s="5" t="s">
        <v>663</v>
      </c>
      <c r="W2922" s="5" t="str">
        <f t="shared" si="3"/>
        <v>Mona Achache, Patricia Tourancheau</v>
      </c>
      <c r="X2922" s="5">
        <f t="shared" si="4"/>
        <v>1</v>
      </c>
      <c r="Y2922" s="5" t="str">
        <f>IFERROR(__xludf.DUMMYFUNCTION("REGEXEXTRACT(J2922, ""^\d+"")"),"1")</f>
        <v>1</v>
      </c>
      <c r="Z2922" s="5" t="str">
        <f>IFERROR(__xludf.DUMMYFUNCTION("REGEXEXTRACT(J2922, ""[A-Za-z ]+$"")")," Season")</f>
        <v> Season</v>
      </c>
      <c r="AA2922" s="5" t="str">
        <f>IFERROR(__xludf.DUMMYFUNCTION("IF(REGEXMATCH(Z2922, ""Season""), ""TV Show"", ""Movie"")"),"TV Show")</f>
        <v>TV Show</v>
      </c>
    </row>
    <row r="2923">
      <c r="A2923" s="1" t="s">
        <v>16282</v>
      </c>
      <c r="B2923" s="1" t="s">
        <v>37</v>
      </c>
      <c r="C2923" s="1" t="s">
        <v>16283</v>
      </c>
      <c r="E2923" s="1" t="s">
        <v>16284</v>
      </c>
      <c r="F2923" s="1" t="s">
        <v>5541</v>
      </c>
      <c r="G2923" s="1" t="s">
        <v>16276</v>
      </c>
      <c r="H2923" s="1">
        <v>2020.0</v>
      </c>
      <c r="I2923" s="1" t="s">
        <v>42</v>
      </c>
      <c r="J2923" s="1" t="s">
        <v>43</v>
      </c>
      <c r="K2923" s="1" t="s">
        <v>13666</v>
      </c>
      <c r="L2923" s="1" t="s">
        <v>16285</v>
      </c>
      <c r="M2923" s="2" t="s">
        <v>12</v>
      </c>
      <c r="N2923" s="4">
        <f t="shared" si="1"/>
        <v>43874</v>
      </c>
      <c r="O2923" s="5" t="str">
        <f>IFERROR(__xludf.DUMMYFUNCTION("IF(REGEXMATCH(TRIM(I2923), ""^\d+\s*min""), ""Unclassified"", IF(I2923 = """", ""NR"", I2923))"),"TV-MA")</f>
        <v>TV-MA</v>
      </c>
      <c r="R2923" s="5" t="str">
        <f t="shared" si="2"/>
        <v>Narcos: Mexico</v>
      </c>
      <c r="S2923" s="5" t="str">
        <f>IFERROR(__xludf.DUMMYFUNCTION("""COMPUTED_VALUE"""),"Hannibal Buress: Comedy Camisado")</f>
        <v>Hannibal Buress: Comedy Camisado</v>
      </c>
      <c r="U2923" s="5" t="str">
        <f>IFERROR(__xludf.DUMMYFUNCTION("""COMPUTED_VALUE"""),"Sian Heder")</f>
        <v>Sian Heder</v>
      </c>
      <c r="V2923" s="5" t="s">
        <v>9728</v>
      </c>
      <c r="W2923" s="5" t="str">
        <f t="shared" si="3"/>
        <v>Monica Floyd</v>
      </c>
      <c r="X2923" s="5">
        <f t="shared" si="4"/>
        <v>1</v>
      </c>
      <c r="Y2923" s="5" t="str">
        <f>IFERROR(__xludf.DUMMYFUNCTION("REGEXEXTRACT(J2923, ""^\d+"")"),"2")</f>
        <v>2</v>
      </c>
      <c r="Z2923" s="5" t="str">
        <f>IFERROR(__xludf.DUMMYFUNCTION("REGEXEXTRACT(J2923, ""[A-Za-z ]+$"")")," Seasons")</f>
        <v> Seasons</v>
      </c>
      <c r="AA2923" s="5" t="str">
        <f>IFERROR(__xludf.DUMMYFUNCTION("IF(REGEXMATCH(Z2923, ""Season""), ""TV Show"", ""Movie"")"),"TV Show")</f>
        <v>TV Show</v>
      </c>
    </row>
    <row r="2924">
      <c r="A2924" s="1" t="s">
        <v>16286</v>
      </c>
      <c r="B2924" s="1" t="s">
        <v>37</v>
      </c>
      <c r="C2924" s="1" t="s">
        <v>16287</v>
      </c>
      <c r="E2924" s="1" t="s">
        <v>16288</v>
      </c>
      <c r="G2924" s="1" t="s">
        <v>16276</v>
      </c>
      <c r="H2924" s="1">
        <v>2019.0</v>
      </c>
      <c r="I2924" s="1" t="s">
        <v>97</v>
      </c>
      <c r="J2924" s="1" t="s">
        <v>51</v>
      </c>
      <c r="K2924" s="1" t="s">
        <v>4146</v>
      </c>
      <c r="L2924" s="1" t="s">
        <v>16289</v>
      </c>
      <c r="M2924" s="2" t="s">
        <v>12</v>
      </c>
      <c r="N2924" s="4">
        <f t="shared" si="1"/>
        <v>43874</v>
      </c>
      <c r="O2924" s="5" t="str">
        <f>IFERROR(__xludf.DUMMYFUNCTION("IF(REGEXMATCH(TRIM(I2924), ""^\d+\s*min""), ""Unclassified"", IF(I2924 = """", ""NR"", I2924))"),"TV-14")</f>
        <v>TV-14</v>
      </c>
      <c r="R2924" s="5" t="str">
        <f t="shared" si="2"/>
        <v>Palazuelos Mi Rey</v>
      </c>
      <c r="S2924" s="5" t="str">
        <f>IFERROR(__xludf.DUMMYFUNCTION("""COMPUTED_VALUE"""),"Hans Teeuwen: Real Rancour")</f>
        <v>Hans Teeuwen: Real Rancour</v>
      </c>
      <c r="U2924" s="5" t="str">
        <f>IFERROR(__xludf.DUMMYFUNCTION("""COMPUTED_VALUE"""),"Karl Mueller")</f>
        <v>Karl Mueller</v>
      </c>
      <c r="V2924" s="5" t="s">
        <v>16290</v>
      </c>
      <c r="W2924" s="5" t="str">
        <f t="shared" si="3"/>
        <v>Monika Mitchell</v>
      </c>
      <c r="X2924" s="5">
        <f t="shared" si="4"/>
        <v>1</v>
      </c>
      <c r="Y2924" s="5" t="str">
        <f>IFERROR(__xludf.DUMMYFUNCTION("REGEXEXTRACT(J2924, ""^\d+"")"),"1")</f>
        <v>1</v>
      </c>
      <c r="Z2924" s="5" t="str">
        <f>IFERROR(__xludf.DUMMYFUNCTION("REGEXEXTRACT(J2924, ""[A-Za-z ]+$"")")," Season")</f>
        <v> Season</v>
      </c>
      <c r="AA2924" s="5" t="str">
        <f>IFERROR(__xludf.DUMMYFUNCTION("IF(REGEXMATCH(Z2924, ""Season""), ""TV Show"", ""Movie"")"),"TV Show")</f>
        <v>TV Show</v>
      </c>
    </row>
    <row r="2925">
      <c r="A2925" s="1" t="s">
        <v>16291</v>
      </c>
      <c r="B2925" s="1" t="s">
        <v>37</v>
      </c>
      <c r="C2925" s="1" t="s">
        <v>16292</v>
      </c>
      <c r="D2925" s="1" t="s">
        <v>16293</v>
      </c>
      <c r="E2925" s="1" t="s">
        <v>16294</v>
      </c>
      <c r="F2925" s="1" t="s">
        <v>2796</v>
      </c>
      <c r="G2925" s="1" t="s">
        <v>16276</v>
      </c>
      <c r="H2925" s="1">
        <v>2019.0</v>
      </c>
      <c r="I2925" s="1" t="s">
        <v>42</v>
      </c>
      <c r="J2925" s="1" t="s">
        <v>51</v>
      </c>
      <c r="K2925" s="1" t="s">
        <v>1362</v>
      </c>
      <c r="L2925" s="1" t="s">
        <v>16295</v>
      </c>
      <c r="M2925" s="2" t="s">
        <v>12</v>
      </c>
      <c r="N2925" s="4">
        <f t="shared" si="1"/>
        <v>43874</v>
      </c>
      <c r="O2925" s="5" t="str">
        <f>IFERROR(__xludf.DUMMYFUNCTION("IF(REGEXMATCH(TRIM(I2925), ""^\d+\s*min""), ""Unclassified"", IF(I2925 = """", ""NR"", I2925))"),"TV-MA")</f>
        <v>TV-MA</v>
      </c>
      <c r="R2925" s="5" t="str">
        <f t="shared" si="2"/>
        <v>Sleepless Society: Insomnia</v>
      </c>
      <c r="S2925" s="5" t="str">
        <f>IFERROR(__xludf.DUMMYFUNCTION("""COMPUTED_VALUE"""),"Hans Zimmer: Live In Prague")</f>
        <v>Hans Zimmer: Live In Prague</v>
      </c>
      <c r="U2925" s="5" t="str">
        <f>IFERROR(__xludf.DUMMYFUNCTION("""COMPUTED_VALUE"""),"Allan Ungar")</f>
        <v>Allan Ungar</v>
      </c>
      <c r="V2925" s="5" t="s">
        <v>16296</v>
      </c>
      <c r="W2925" s="5" t="str">
        <f t="shared" si="3"/>
        <v>Monique Gardenberg</v>
      </c>
      <c r="X2925" s="5">
        <f t="shared" si="4"/>
        <v>1</v>
      </c>
      <c r="Y2925" s="5" t="str">
        <f>IFERROR(__xludf.DUMMYFUNCTION("REGEXEXTRACT(J2925, ""^\d+"")"),"1")</f>
        <v>1</v>
      </c>
      <c r="Z2925" s="5" t="str">
        <f>IFERROR(__xludf.DUMMYFUNCTION("REGEXEXTRACT(J2925, ""[A-Za-z ]+$"")")," Season")</f>
        <v> Season</v>
      </c>
      <c r="AA2925" s="5" t="str">
        <f>IFERROR(__xludf.DUMMYFUNCTION("IF(REGEXMATCH(Z2925, ""Season""), ""TV Show"", ""Movie"")"),"TV Show")</f>
        <v>TV Show</v>
      </c>
    </row>
    <row r="2926">
      <c r="A2926" s="1" t="s">
        <v>16297</v>
      </c>
      <c r="B2926" s="1" t="s">
        <v>27</v>
      </c>
      <c r="C2926" s="1" t="s">
        <v>16298</v>
      </c>
      <c r="D2926" s="1" t="s">
        <v>16299</v>
      </c>
      <c r="E2926" s="1" t="s">
        <v>16300</v>
      </c>
      <c r="F2926" s="1" t="s">
        <v>40</v>
      </c>
      <c r="G2926" s="1" t="s">
        <v>16301</v>
      </c>
      <c r="H2926" s="1">
        <v>2015.0</v>
      </c>
      <c r="I2926" s="1" t="s">
        <v>136</v>
      </c>
      <c r="J2926" s="1" t="s">
        <v>1144</v>
      </c>
      <c r="K2926" s="1" t="s">
        <v>215</v>
      </c>
      <c r="L2926" s="1" t="s">
        <v>16302</v>
      </c>
      <c r="M2926" s="2" t="s">
        <v>12</v>
      </c>
      <c r="N2926" s="4">
        <f t="shared" si="1"/>
        <v>43873</v>
      </c>
      <c r="O2926" s="5" t="str">
        <f>IFERROR(__xludf.DUMMYFUNCTION("IF(REGEXMATCH(TRIM(I2926), ""^\d+\s*min""), ""Unclassified"", IF(I2926 = """", ""NR"", I2926))"),"TV-PG")</f>
        <v>TV-PG</v>
      </c>
      <c r="R2926" s="5" t="str">
        <f t="shared" si="2"/>
        <v>French Toast</v>
      </c>
      <c r="S2926" s="5" t="str">
        <f>IFERROR(__xludf.DUMMYFUNCTION("""COMPUTED_VALUE"""),"Hantu Kak Limah")</f>
        <v>Hantu Kak Limah</v>
      </c>
      <c r="U2926" s="5" t="str">
        <f>IFERROR(__xludf.DUMMYFUNCTION("""COMPUTED_VALUE"""),"Hemant Gaba, Pratim D. Gupta, Sudhish Kamath, Nalan Kumarasamy, Anu Menon, Sandeep Mohan, Qaushiq Mukherjee, Rajshree Ojha, Raja Sen, Abhinav Shiv Tiwari, Suparn Verma")</f>
        <v>Hemant Gaba, Pratim D. Gupta, Sudhish Kamath, Nalan Kumarasamy, Anu Menon, Sandeep Mohan, Qaushiq Mukherjee, Rajshree Ojha, Raja Sen, Abhinav Shiv Tiwari, Suparn Verma</v>
      </c>
      <c r="V2926" s="5" t="s">
        <v>7799</v>
      </c>
      <c r="W2926" s="5" t="str">
        <f t="shared" si="3"/>
        <v>Monty Tiwa</v>
      </c>
      <c r="X2926" s="5">
        <f t="shared" si="4"/>
        <v>1</v>
      </c>
      <c r="Y2926" s="5" t="str">
        <f>IFERROR(__xludf.DUMMYFUNCTION("REGEXEXTRACT(J2926, ""^\d+"")"),"86")</f>
        <v>86</v>
      </c>
      <c r="Z2926" s="5" t="str">
        <f>IFERROR(__xludf.DUMMYFUNCTION("REGEXEXTRACT(J2926, ""[A-Za-z ]+$"")")," min")</f>
        <v> min</v>
      </c>
      <c r="AA2926" s="5" t="str">
        <f>IFERROR(__xludf.DUMMYFUNCTION("IF(REGEXMATCH(Z2926, ""Season""), ""TV Show"", ""Movie"")"),"Movie")</f>
        <v>Movie</v>
      </c>
    </row>
    <row r="2927">
      <c r="A2927" s="1" t="s">
        <v>16303</v>
      </c>
      <c r="B2927" s="1" t="s">
        <v>27</v>
      </c>
      <c r="C2927" s="1" t="s">
        <v>16304</v>
      </c>
      <c r="D2927" s="1" t="s">
        <v>7771</v>
      </c>
      <c r="E2927" s="1" t="s">
        <v>16305</v>
      </c>
      <c r="F2927" s="1" t="s">
        <v>30</v>
      </c>
      <c r="G2927" s="1" t="s">
        <v>16301</v>
      </c>
      <c r="H2927" s="1">
        <v>2020.0</v>
      </c>
      <c r="I2927" s="1" t="s">
        <v>97</v>
      </c>
      <c r="J2927" s="1" t="s">
        <v>447</v>
      </c>
      <c r="K2927" s="1" t="s">
        <v>813</v>
      </c>
      <c r="L2927" s="1" t="s">
        <v>16306</v>
      </c>
      <c r="M2927" s="2" t="s">
        <v>12</v>
      </c>
      <c r="N2927" s="4">
        <f t="shared" si="1"/>
        <v>43873</v>
      </c>
      <c r="O2927" s="5" t="str">
        <f>IFERROR(__xludf.DUMMYFUNCTION("IF(REGEXMATCH(TRIM(I2927), ""^\d+\s*min""), ""Unclassified"", IF(I2927 = """", ""NR"", I2927))"),"TV-14")</f>
        <v>TV-14</v>
      </c>
      <c r="R2927" s="5" t="str">
        <f t="shared" si="2"/>
        <v>To All The Boys: P.S. I Still Love You</v>
      </c>
      <c r="S2927" s="5" t="str">
        <f>IFERROR(__xludf.DUMMYFUNCTION("""COMPUTED_VALUE"""),"Hap And Leonard")</f>
        <v>Hap And Leonard</v>
      </c>
      <c r="U2927" s="5" t="str">
        <f>IFERROR(__xludf.DUMMYFUNCTION("""COMPUTED_VALUE"""),"Rob Burnett")</f>
        <v>Rob Burnett</v>
      </c>
      <c r="V2927" s="5" t="s">
        <v>2754</v>
      </c>
      <c r="W2927" s="5" t="str">
        <f t="shared" si="3"/>
        <v>Morgan Ingari</v>
      </c>
      <c r="X2927" s="5">
        <f t="shared" si="4"/>
        <v>1</v>
      </c>
      <c r="Y2927" s="5" t="str">
        <f>IFERROR(__xludf.DUMMYFUNCTION("REGEXEXTRACT(J2927, ""^\d+"")"),"102")</f>
        <v>102</v>
      </c>
      <c r="Z2927" s="5" t="str">
        <f>IFERROR(__xludf.DUMMYFUNCTION("REGEXEXTRACT(J2927, ""[A-Za-z ]+$"")")," min")</f>
        <v> min</v>
      </c>
      <c r="AA2927" s="5" t="str">
        <f>IFERROR(__xludf.DUMMYFUNCTION("IF(REGEXMATCH(Z2927, ""Season""), ""TV Show"", ""Movie"")"),"Movie")</f>
        <v>Movie</v>
      </c>
    </row>
    <row r="2928">
      <c r="A2928" s="1" t="s">
        <v>16307</v>
      </c>
      <c r="B2928" s="1" t="s">
        <v>37</v>
      </c>
      <c r="C2928" s="1" t="s">
        <v>16308</v>
      </c>
      <c r="E2928" s="1" t="s">
        <v>16309</v>
      </c>
      <c r="F2928" s="1" t="s">
        <v>30</v>
      </c>
      <c r="G2928" s="1" t="s">
        <v>16301</v>
      </c>
      <c r="H2928" s="1">
        <v>2018.0</v>
      </c>
      <c r="I2928" s="1" t="s">
        <v>206</v>
      </c>
      <c r="J2928" s="1" t="s">
        <v>43</v>
      </c>
      <c r="K2928" s="1" t="s">
        <v>314</v>
      </c>
      <c r="L2928" s="1" t="s">
        <v>16310</v>
      </c>
      <c r="M2928" s="2" t="s">
        <v>12</v>
      </c>
      <c r="N2928" s="4">
        <f t="shared" si="1"/>
        <v>43873</v>
      </c>
      <c r="O2928" s="5" t="str">
        <f>IFERROR(__xludf.DUMMYFUNCTION("IF(REGEXMATCH(TRIM(I2928), ""^\d+\s*min""), ""Unclassified"", IF(I2928 = """", ""NR"", I2928))"),"TV-Y")</f>
        <v>TV-Y</v>
      </c>
      <c r="R2928" s="5" t="str">
        <f t="shared" si="2"/>
        <v>We Bare Bears</v>
      </c>
      <c r="S2928" s="5" t="str">
        <f>IFERROR(__xludf.DUMMYFUNCTION("""COMPUTED_VALUE"""),"Happy 300 Days")</f>
        <v>Happy 300 Days</v>
      </c>
      <c r="U2928" s="5" t="str">
        <f>IFERROR(__xludf.DUMMYFUNCTION("""COMPUTED_VALUE"""),"Jon Greenhalgh")</f>
        <v>Jon Greenhalgh</v>
      </c>
      <c r="V2928" s="5" t="s">
        <v>16311</v>
      </c>
      <c r="W2928" s="5" t="str">
        <f t="shared" si="3"/>
        <v>Morgan Matthews</v>
      </c>
      <c r="X2928" s="5">
        <f t="shared" si="4"/>
        <v>1</v>
      </c>
      <c r="Y2928" s="5" t="str">
        <f>IFERROR(__xludf.DUMMYFUNCTION("REGEXEXTRACT(J2928, ""^\d+"")"),"2")</f>
        <v>2</v>
      </c>
      <c r="Z2928" s="5" t="str">
        <f>IFERROR(__xludf.DUMMYFUNCTION("REGEXEXTRACT(J2928, ""[A-Za-z ]+$"")")," Seasons")</f>
        <v> Seasons</v>
      </c>
      <c r="AA2928" s="5" t="str">
        <f>IFERROR(__xludf.DUMMYFUNCTION("IF(REGEXMATCH(Z2928, ""Season""), ""TV Show"", ""Movie"")"),"TV Show")</f>
        <v>TV Show</v>
      </c>
    </row>
    <row r="2929">
      <c r="A2929" s="1" t="s">
        <v>16312</v>
      </c>
      <c r="B2929" s="1" t="s">
        <v>27</v>
      </c>
      <c r="C2929" s="1" t="s">
        <v>16313</v>
      </c>
      <c r="E2929" s="1" t="s">
        <v>16314</v>
      </c>
      <c r="F2929" s="1" t="s">
        <v>30</v>
      </c>
      <c r="G2929" s="1" t="s">
        <v>16315</v>
      </c>
      <c r="H2929" s="1">
        <v>2020.0</v>
      </c>
      <c r="I2929" s="1" t="s">
        <v>289</v>
      </c>
      <c r="J2929" s="1" t="s">
        <v>2452</v>
      </c>
      <c r="K2929" s="1" t="s">
        <v>137</v>
      </c>
      <c r="L2929" s="1" t="s">
        <v>16316</v>
      </c>
      <c r="M2929" s="2" t="s">
        <v>12</v>
      </c>
      <c r="N2929" s="4">
        <f t="shared" si="1"/>
        <v>43872</v>
      </c>
      <c r="O2929" s="5" t="str">
        <f>IFERROR(__xludf.DUMMYFUNCTION("IF(REGEXMATCH(TRIM(I2929), ""^\d+\s*min""), ""Unclassified"", IF(I2929 = """", ""NR"", I2929))"),"TV-Y7")</f>
        <v>TV-Y7</v>
      </c>
      <c r="R2929" s="5" t="str">
        <f t="shared" si="2"/>
        <v>Captain Underpants Epic Choice-O-Rama</v>
      </c>
      <c r="S2929" s="5" t="str">
        <f>IFERROR(__xludf.DUMMYFUNCTION("""COMPUTED_VALUE"""),"Happy And")</f>
        <v>Happy And</v>
      </c>
      <c r="U2929" s="5" t="str">
        <f>IFERROR(__xludf.DUMMYFUNCTION("""COMPUTED_VALUE"""),"Felix Van Groeningen, Felix Van Groeningen")</f>
        <v>Felix Van Groeningen, Felix Van Groeningen</v>
      </c>
      <c r="V2929" s="5" t="s">
        <v>16317</v>
      </c>
      <c r="W2929" s="5" t="str">
        <f t="shared" si="3"/>
        <v>Morgan Neville</v>
      </c>
      <c r="X2929" s="5">
        <f t="shared" si="4"/>
        <v>3</v>
      </c>
      <c r="Y2929" s="5" t="str">
        <f>IFERROR(__xludf.DUMMYFUNCTION("REGEXEXTRACT(J2929, ""^\d+"")"),"81")</f>
        <v>81</v>
      </c>
      <c r="Z2929" s="5" t="str">
        <f>IFERROR(__xludf.DUMMYFUNCTION("REGEXEXTRACT(J2929, ""[A-Za-z ]+$"")")," min")</f>
        <v> min</v>
      </c>
      <c r="AA2929" s="5" t="str">
        <f>IFERROR(__xludf.DUMMYFUNCTION("IF(REGEXMATCH(Z2929, ""Season""), ""TV Show"", ""Movie"")"),"Movie")</f>
        <v>Movie</v>
      </c>
    </row>
    <row r="2930">
      <c r="A2930" s="1" t="s">
        <v>16318</v>
      </c>
      <c r="B2930" s="1" t="s">
        <v>27</v>
      </c>
      <c r="C2930" s="1" t="s">
        <v>16319</v>
      </c>
      <c r="D2930" s="1" t="s">
        <v>3270</v>
      </c>
      <c r="E2930" s="1" t="s">
        <v>16320</v>
      </c>
      <c r="F2930" s="1" t="s">
        <v>30</v>
      </c>
      <c r="G2930" s="1" t="s">
        <v>16315</v>
      </c>
      <c r="H2930" s="1">
        <v>2017.0</v>
      </c>
      <c r="I2930" s="1" t="s">
        <v>378</v>
      </c>
      <c r="J2930" s="1" t="s">
        <v>1091</v>
      </c>
      <c r="K2930" s="1" t="s">
        <v>2327</v>
      </c>
      <c r="L2930" s="1" t="s">
        <v>16321</v>
      </c>
      <c r="M2930" s="2" t="s">
        <v>12</v>
      </c>
      <c r="N2930" s="4">
        <f t="shared" si="1"/>
        <v>43872</v>
      </c>
      <c r="O2930" s="5" t="str">
        <f>IFERROR(__xludf.DUMMYFUNCTION("IF(REGEXMATCH(TRIM(I2930), ""^\d+\s*min""), ""Unclassified"", IF(I2930 = """", ""NR"", I2930))"),"R")</f>
        <v>R</v>
      </c>
      <c r="R2930" s="5" t="str">
        <f t="shared" si="2"/>
        <v>Good Time</v>
      </c>
      <c r="S2930" s="5" t="str">
        <f>IFERROR(__xludf.DUMMYFUNCTION("""COMPUTED_VALUE"""),"Happy Anniversary")</f>
        <v>Happy Anniversary</v>
      </c>
      <c r="U2930" s="5" t="str">
        <f>IFERROR(__xludf.DUMMYFUNCTION("""COMPUTED_VALUE"""),"Rodolphe Guenoden")</f>
        <v>Rodolphe Guenoden</v>
      </c>
      <c r="V2930" s="5" t="s">
        <v>16322</v>
      </c>
      <c r="W2930" s="5" t="str">
        <f t="shared" si="3"/>
        <v>Morgan Spurlock</v>
      </c>
      <c r="X2930" s="5">
        <f t="shared" si="4"/>
        <v>2</v>
      </c>
      <c r="Y2930" s="5" t="str">
        <f>IFERROR(__xludf.DUMMYFUNCTION("REGEXEXTRACT(J2930, ""^\d+"")"),"101")</f>
        <v>101</v>
      </c>
      <c r="Z2930" s="5" t="str">
        <f>IFERROR(__xludf.DUMMYFUNCTION("REGEXEXTRACT(J2930, ""[A-Za-z ]+$"")")," min")</f>
        <v> min</v>
      </c>
      <c r="AA2930" s="5" t="str">
        <f>IFERROR(__xludf.DUMMYFUNCTION("IF(REGEXMATCH(Z2930, ""Season""), ""TV Show"", ""Movie"")"),"Movie")</f>
        <v>Movie</v>
      </c>
    </row>
    <row r="2931">
      <c r="A2931" s="1" t="s">
        <v>16323</v>
      </c>
      <c r="B2931" s="1" t="s">
        <v>27</v>
      </c>
      <c r="C2931" s="1" t="s">
        <v>16324</v>
      </c>
      <c r="D2931" s="1" t="s">
        <v>1811</v>
      </c>
      <c r="F2931" s="1" t="s">
        <v>162</v>
      </c>
      <c r="G2931" s="1" t="s">
        <v>16315</v>
      </c>
      <c r="H2931" s="1">
        <v>2020.0</v>
      </c>
      <c r="I2931" s="1" t="s">
        <v>136</v>
      </c>
      <c r="J2931" s="1" t="s">
        <v>5120</v>
      </c>
      <c r="K2931" s="1" t="s">
        <v>156</v>
      </c>
      <c r="L2931" s="1" t="s">
        <v>16325</v>
      </c>
      <c r="M2931" s="2" t="s">
        <v>12</v>
      </c>
      <c r="N2931" s="4">
        <f t="shared" si="1"/>
        <v>43872</v>
      </c>
      <c r="O2931" s="5" t="str">
        <f>IFERROR(__xludf.DUMMYFUNCTION("IF(REGEXMATCH(TRIM(I2931), ""^\d+\s*min""), ""Unclassified"", IF(I2931 = """", ""NR"", I2931))"),"TV-PG")</f>
        <v>TV-PG</v>
      </c>
      <c r="R2931" s="5" t="str">
        <f t="shared" si="2"/>
        <v>Road To Roma</v>
      </c>
      <c r="S2931" s="5" t="str">
        <f>IFERROR(__xludf.DUMMYFUNCTION("""COMPUTED_VALUE"""),"Happy As Lazzaro")</f>
        <v>Happy As Lazzaro</v>
      </c>
      <c r="U2931" s="5" t="str">
        <f>IFERROR(__xludf.DUMMYFUNCTION("""COMPUTED_VALUE"""),"Jason Krawczyk")</f>
        <v>Jason Krawczyk</v>
      </c>
      <c r="V2931" s="5" t="s">
        <v>1772</v>
      </c>
      <c r="W2931" s="5" t="str">
        <f t="shared" si="3"/>
        <v>Moses Inwang</v>
      </c>
      <c r="X2931" s="5">
        <f t="shared" si="4"/>
        <v>4</v>
      </c>
      <c r="Y2931" s="5" t="str">
        <f>IFERROR(__xludf.DUMMYFUNCTION("REGEXEXTRACT(J2931, ""^\d+"")"),"73")</f>
        <v>73</v>
      </c>
      <c r="Z2931" s="5" t="str">
        <f>IFERROR(__xludf.DUMMYFUNCTION("REGEXEXTRACT(J2931, ""[A-Za-z ]+$"")")," min")</f>
        <v> min</v>
      </c>
      <c r="AA2931" s="5" t="str">
        <f>IFERROR(__xludf.DUMMYFUNCTION("IF(REGEXMATCH(Z2931, ""Season""), ""TV Show"", ""Movie"")"),"Movie")</f>
        <v>Movie</v>
      </c>
    </row>
    <row r="2932">
      <c r="A2932" s="1" t="s">
        <v>16326</v>
      </c>
      <c r="B2932" s="1" t="s">
        <v>27</v>
      </c>
      <c r="C2932" s="1" t="s">
        <v>16327</v>
      </c>
      <c r="D2932" s="1" t="s">
        <v>1758</v>
      </c>
      <c r="E2932" s="1" t="s">
        <v>16328</v>
      </c>
      <c r="F2932" s="1" t="s">
        <v>2873</v>
      </c>
      <c r="G2932" s="1" t="s">
        <v>16329</v>
      </c>
      <c r="H2932" s="1">
        <v>2019.0</v>
      </c>
      <c r="I2932" s="1" t="s">
        <v>97</v>
      </c>
      <c r="J2932" s="1" t="s">
        <v>322</v>
      </c>
      <c r="K2932" s="1" t="s">
        <v>679</v>
      </c>
      <c r="L2932" s="1" t="s">
        <v>16330</v>
      </c>
      <c r="M2932" s="2" t="s">
        <v>12</v>
      </c>
      <c r="N2932" s="4">
        <f t="shared" si="1"/>
        <v>43871</v>
      </c>
      <c r="O2932" s="5" t="str">
        <f>IFERROR(__xludf.DUMMYFUNCTION("IF(REGEXMATCH(TRIM(I2932), ""^\d+\s*min""), ""Unclassified"", IF(I2932 = """", ""NR"", I2932))"),"TV-14")</f>
        <v>TV-14</v>
      </c>
      <c r="R2932" s="5" t="str">
        <f t="shared" si="2"/>
        <v>Love For Sale 2</v>
      </c>
      <c r="S2932" s="5" t="str">
        <f>IFERROR(__xludf.DUMMYFUNCTION("""COMPUTED_VALUE"""),"Happy Endings")</f>
        <v>Happy Endings</v>
      </c>
      <c r="U2932" s="5" t="str">
        <f>IFERROR(__xludf.DUMMYFUNCTION("""COMPUTED_VALUE"""),"Sam Wrench")</f>
        <v>Sam Wrench</v>
      </c>
      <c r="V2932" s="5" t="s">
        <v>11056</v>
      </c>
      <c r="W2932" s="5" t="str">
        <f t="shared" si="3"/>
        <v>Mostafa Abu Seif</v>
      </c>
      <c r="X2932" s="5">
        <f t="shared" si="4"/>
        <v>1</v>
      </c>
      <c r="Y2932" s="5" t="str">
        <f>IFERROR(__xludf.DUMMYFUNCTION("REGEXEXTRACT(J2932, ""^\d+"")"),"96")</f>
        <v>96</v>
      </c>
      <c r="Z2932" s="5" t="str">
        <f>IFERROR(__xludf.DUMMYFUNCTION("REGEXEXTRACT(J2932, ""[A-Za-z ]+$"")")," min")</f>
        <v> min</v>
      </c>
      <c r="AA2932" s="5" t="str">
        <f>IFERROR(__xludf.DUMMYFUNCTION("IF(REGEXMATCH(Z2932, ""Season""), ""TV Show"", ""Movie"")"),"Movie")</f>
        <v>Movie</v>
      </c>
    </row>
    <row r="2933">
      <c r="A2933" s="1" t="s">
        <v>16331</v>
      </c>
      <c r="B2933" s="1" t="s">
        <v>37</v>
      </c>
      <c r="C2933" s="1" t="s">
        <v>16332</v>
      </c>
      <c r="E2933" s="1" t="s">
        <v>16333</v>
      </c>
      <c r="F2933" s="1" t="s">
        <v>30</v>
      </c>
      <c r="G2933" s="1" t="s">
        <v>16334</v>
      </c>
      <c r="H2933" s="1">
        <v>2018.0</v>
      </c>
      <c r="I2933" s="1" t="s">
        <v>42</v>
      </c>
      <c r="J2933" s="1" t="s">
        <v>148</v>
      </c>
      <c r="K2933" s="1" t="s">
        <v>605</v>
      </c>
      <c r="L2933" s="1" t="s">
        <v>16335</v>
      </c>
      <c r="M2933" s="2" t="s">
        <v>12</v>
      </c>
      <c r="N2933" s="4">
        <f t="shared" si="1"/>
        <v>43870</v>
      </c>
      <c r="O2933" s="5" t="str">
        <f>IFERROR(__xludf.DUMMYFUNCTION("IF(REGEXMATCH(TRIM(I2933), ""^\d+\s*min""), ""Unclassified"", IF(I2933 = """", ""NR"", I2933))"),"TV-MA")</f>
        <v>TV-MA</v>
      </c>
      <c r="R2933" s="5" t="str">
        <f t="shared" si="2"/>
        <v>Better Call Saul</v>
      </c>
      <c r="S2933" s="5" t="str">
        <f>IFERROR(__xludf.DUMMYFUNCTION("""COMPUTED_VALUE"""),"Happy Go Lucky")</f>
        <v>Happy Go Lucky</v>
      </c>
      <c r="U2933" s="5" t="str">
        <f>IFERROR(__xludf.DUMMYFUNCTION("""COMPUTED_VALUE"""),"Sophie Robinson, Lotje Sodderland")</f>
        <v>Sophie Robinson, Lotje Sodderland</v>
      </c>
      <c r="V2933" s="5" t="s">
        <v>7878</v>
      </c>
      <c r="W2933" s="5" t="str">
        <f t="shared" si="3"/>
        <v>Mostofa Sarwar Farooki</v>
      </c>
      <c r="X2933" s="5">
        <f t="shared" si="4"/>
        <v>1</v>
      </c>
      <c r="Y2933" s="5" t="str">
        <f>IFERROR(__xludf.DUMMYFUNCTION("REGEXEXTRACT(J2933, ""^\d+"")"),"4")</f>
        <v>4</v>
      </c>
      <c r="Z2933" s="5" t="str">
        <f>IFERROR(__xludf.DUMMYFUNCTION("REGEXEXTRACT(J2933, ""[A-Za-z ]+$"")")," Seasons")</f>
        <v> Seasons</v>
      </c>
      <c r="AA2933" s="5" t="str">
        <f>IFERROR(__xludf.DUMMYFUNCTION("IF(REGEXMATCH(Z2933, ""Season""), ""TV Show"", ""Movie"")"),"TV Show")</f>
        <v>TV Show</v>
      </c>
    </row>
    <row r="2934">
      <c r="A2934" s="1" t="s">
        <v>16336</v>
      </c>
      <c r="B2934" s="1" t="s">
        <v>27</v>
      </c>
      <c r="C2934" s="1" t="s">
        <v>16337</v>
      </c>
      <c r="D2934" s="1" t="s">
        <v>1861</v>
      </c>
      <c r="E2934" s="1" t="s">
        <v>16338</v>
      </c>
      <c r="F2934" s="1" t="s">
        <v>30</v>
      </c>
      <c r="G2934" s="1" t="s">
        <v>16334</v>
      </c>
      <c r="H2934" s="1">
        <v>2018.0</v>
      </c>
      <c r="I2934" s="1" t="s">
        <v>42</v>
      </c>
      <c r="J2934" s="1" t="s">
        <v>256</v>
      </c>
      <c r="K2934" s="1" t="s">
        <v>2327</v>
      </c>
      <c r="L2934" s="1" t="s">
        <v>16339</v>
      </c>
      <c r="M2934" s="2" t="s">
        <v>12</v>
      </c>
      <c r="N2934" s="4">
        <f t="shared" si="1"/>
        <v>43870</v>
      </c>
      <c r="O2934" s="5" t="str">
        <f>IFERROR(__xludf.DUMMYFUNCTION("IF(REGEXMATCH(TRIM(I2934), ""^\d+\s*min""), ""Unclassified"", IF(I2934 = """", ""NR"", I2934))"),"TV-MA")</f>
        <v>TV-MA</v>
      </c>
      <c r="R2934" s="5" t="str">
        <f t="shared" si="2"/>
        <v>Fronteras</v>
      </c>
      <c r="S2934" s="5" t="str">
        <f>IFERROR(__xludf.DUMMYFUNCTION("""COMPUTED_VALUE"""),"Happy Hunting")</f>
        <v>Happy Hunting</v>
      </c>
      <c r="U2934" s="5" t="str">
        <f>IFERROR(__xludf.DUMMYFUNCTION("""COMPUTED_VALUE"""),"John Lee")</f>
        <v>John Lee</v>
      </c>
      <c r="V2934" s="5" t="s">
        <v>16340</v>
      </c>
      <c r="W2934" s="5" t="str">
        <f t="shared" si="3"/>
        <v>Moto Sakakibara</v>
      </c>
      <c r="X2934" s="5">
        <f t="shared" si="4"/>
        <v>1</v>
      </c>
      <c r="Y2934" s="5" t="str">
        <f>IFERROR(__xludf.DUMMYFUNCTION("REGEXEXTRACT(J2934, ""^\d+"")"),"106")</f>
        <v>106</v>
      </c>
      <c r="Z2934" s="5" t="str">
        <f>IFERROR(__xludf.DUMMYFUNCTION("REGEXEXTRACT(J2934, ""[A-Za-z ]+$"")")," min")</f>
        <v> min</v>
      </c>
      <c r="AA2934" s="5" t="str">
        <f>IFERROR(__xludf.DUMMYFUNCTION("IF(REGEXMATCH(Z2934, ""Season""), ""TV Show"", ""Movie"")"),"Movie")</f>
        <v>Movie</v>
      </c>
    </row>
    <row r="2935">
      <c r="A2935" s="1" t="s">
        <v>16341</v>
      </c>
      <c r="B2935" s="1" t="s">
        <v>27</v>
      </c>
      <c r="C2935" s="1" t="s">
        <v>16342</v>
      </c>
      <c r="D2935" s="1" t="s">
        <v>13386</v>
      </c>
      <c r="E2935" s="1" t="s">
        <v>16343</v>
      </c>
      <c r="F2935" s="1" t="s">
        <v>16344</v>
      </c>
      <c r="G2935" s="1" t="s">
        <v>16334</v>
      </c>
      <c r="H2935" s="1">
        <v>2019.0</v>
      </c>
      <c r="I2935" s="1" t="s">
        <v>32</v>
      </c>
      <c r="J2935" s="1" t="s">
        <v>428</v>
      </c>
      <c r="K2935" s="1" t="s">
        <v>1551</v>
      </c>
      <c r="L2935" s="1" t="s">
        <v>16345</v>
      </c>
      <c r="M2935" s="2" t="s">
        <v>12</v>
      </c>
      <c r="N2935" s="4">
        <f t="shared" si="1"/>
        <v>43870</v>
      </c>
      <c r="O2935" s="5" t="str">
        <f>IFERROR(__xludf.DUMMYFUNCTION("IF(REGEXMATCH(TRIM(I2935), ""^\d+\s*min""), ""Unclassified"", IF(I2935 = """", ""NR"", I2935))"),"PG-13")</f>
        <v>PG-13</v>
      </c>
      <c r="R2935" s="5" t="str">
        <f t="shared" si="2"/>
        <v>Polaroid</v>
      </c>
      <c r="S2935" s="5" t="str">
        <f>IFERROR(__xludf.DUMMYFUNCTION("""COMPUTED_VALUE"""),"Happy Jail")</f>
        <v>Happy Jail</v>
      </c>
      <c r="U2935" s="5" t="str">
        <f>IFERROR(__xludf.DUMMYFUNCTION("""COMPUTED_VALUE"""),"Yuen Wo-Ping")</f>
        <v>Yuen Wo-Ping</v>
      </c>
      <c r="V2935" s="5" t="s">
        <v>16346</v>
      </c>
      <c r="W2935" s="5" t="str">
        <f t="shared" si="3"/>
        <v>Moyoung Jin, Caroline Sá, Deepti Kakkar, Fahad Mustafa, Hikaru Toda, Chico Pereira, Elaine Mcmillion Sheldon</v>
      </c>
      <c r="X2935" s="5">
        <f t="shared" si="4"/>
        <v>1</v>
      </c>
      <c r="Y2935" s="5" t="str">
        <f>IFERROR(__xludf.DUMMYFUNCTION("REGEXEXTRACT(J2935, ""^\d+"")"),"88")</f>
        <v>88</v>
      </c>
      <c r="Z2935" s="5" t="str">
        <f>IFERROR(__xludf.DUMMYFUNCTION("REGEXEXTRACT(J2935, ""[A-Za-z ]+$"")")," min")</f>
        <v> min</v>
      </c>
      <c r="AA2935" s="5" t="str">
        <f>IFERROR(__xludf.DUMMYFUNCTION("IF(REGEXMATCH(Z2935, ""Season""), ""TV Show"", ""Movie"")"),"Movie")</f>
        <v>Movie</v>
      </c>
    </row>
    <row r="2936">
      <c r="A2936" s="1" t="s">
        <v>16347</v>
      </c>
      <c r="B2936" s="1" t="s">
        <v>27</v>
      </c>
      <c r="C2936" s="1" t="s">
        <v>16348</v>
      </c>
      <c r="D2936" s="1" t="s">
        <v>14123</v>
      </c>
      <c r="E2936" s="1" t="s">
        <v>16349</v>
      </c>
      <c r="F2936" s="1" t="s">
        <v>13591</v>
      </c>
      <c r="G2936" s="1" t="s">
        <v>16350</v>
      </c>
      <c r="H2936" s="1">
        <v>2019.0</v>
      </c>
      <c r="I2936" s="1" t="s">
        <v>42</v>
      </c>
      <c r="J2936" s="1" t="s">
        <v>238</v>
      </c>
      <c r="K2936" s="1" t="s">
        <v>298</v>
      </c>
      <c r="L2936" s="1" t="s">
        <v>16351</v>
      </c>
      <c r="M2936" s="2" t="s">
        <v>12</v>
      </c>
      <c r="N2936" s="4">
        <f t="shared" si="1"/>
        <v>43869</v>
      </c>
      <c r="O2936" s="5" t="str">
        <f>IFERROR(__xludf.DUMMYFUNCTION("IF(REGEXMATCH(TRIM(I2936), ""^\d+\s*min""), ""Unclassified"", IF(I2936 = """", ""NR"", I2936))"),"TV-MA")</f>
        <v>TV-MA</v>
      </c>
      <c r="R2936" s="5" t="str">
        <f t="shared" si="2"/>
        <v>The Coldest Game</v>
      </c>
      <c r="S2936" s="5" t="str">
        <f>IFERROR(__xludf.DUMMYFUNCTION("""COMPUTED_VALUE"""),"Happy New Year")</f>
        <v>Happy New Year</v>
      </c>
      <c r="U2936" s="5" t="str">
        <f>IFERROR(__xludf.DUMMYFUNCTION("""COMPUTED_VALUE"""),"Alik Sakharov")</f>
        <v>Alik Sakharov</v>
      </c>
      <c r="V2936" s="5" t="s">
        <v>16352</v>
      </c>
      <c r="W2936" s="5" t="str">
        <f t="shared" si="3"/>
        <v>Mozez Singh</v>
      </c>
      <c r="X2936" s="5">
        <f t="shared" si="4"/>
        <v>1</v>
      </c>
      <c r="Y2936" s="5" t="str">
        <f>IFERROR(__xludf.DUMMYFUNCTION("REGEXEXTRACT(J2936, ""^\d+"")"),"103")</f>
        <v>103</v>
      </c>
      <c r="Z2936" s="5" t="str">
        <f>IFERROR(__xludf.DUMMYFUNCTION("REGEXEXTRACT(J2936, ""[A-Za-z ]+$"")")," min")</f>
        <v> min</v>
      </c>
      <c r="AA2936" s="5" t="str">
        <f>IFERROR(__xludf.DUMMYFUNCTION("IF(REGEXMATCH(Z2936, ""Season""), ""TV Show"", ""Movie"")"),"Movie")</f>
        <v>Movie</v>
      </c>
    </row>
    <row r="2937">
      <c r="A2937" s="1" t="s">
        <v>16353</v>
      </c>
      <c r="B2937" s="1" t="s">
        <v>27</v>
      </c>
      <c r="C2937" s="1" t="s">
        <v>16354</v>
      </c>
      <c r="D2937" s="1" t="s">
        <v>16355</v>
      </c>
      <c r="E2937" s="1" t="s">
        <v>16356</v>
      </c>
      <c r="F2937" s="1" t="s">
        <v>63</v>
      </c>
      <c r="G2937" s="1" t="s">
        <v>16350</v>
      </c>
      <c r="H2937" s="1">
        <v>2019.0</v>
      </c>
      <c r="I2937" s="1" t="s">
        <v>97</v>
      </c>
      <c r="J2937" s="1" t="s">
        <v>1938</v>
      </c>
      <c r="K2937" s="1" t="s">
        <v>583</v>
      </c>
      <c r="L2937" s="1" t="s">
        <v>16357</v>
      </c>
      <c r="M2937" s="2" t="s">
        <v>12</v>
      </c>
      <c r="N2937" s="4">
        <f t="shared" si="1"/>
        <v>43869</v>
      </c>
      <c r="O2937" s="5" t="str">
        <f>IFERROR(__xludf.DUMMYFUNCTION("IF(REGEXMATCH(TRIM(I2937), ""^\d+\s*min""), ""Unclassified"", IF(I2937 = """", ""NR"", I2937))"),"TV-14")</f>
        <v>TV-14</v>
      </c>
      <c r="R2937" s="5" t="str">
        <f t="shared" si="2"/>
        <v>Thottappan</v>
      </c>
      <c r="S2937" s="5" t="str">
        <f>IFERROR(__xludf.DUMMYFUNCTION("""COMPUTED_VALUE"""),"Happy Old Year")</f>
        <v>Happy Old Year</v>
      </c>
      <c r="U2937" s="5" t="str">
        <f>IFERROR(__xludf.DUMMYFUNCTION("""COMPUTED_VALUE"""),"L. Frazier")</f>
        <v>L. Frazier</v>
      </c>
      <c r="V2937" s="5" t="s">
        <v>16358</v>
      </c>
      <c r="W2937" s="5" t="str">
        <f t="shared" si="3"/>
        <v>Mrighdeep Singh Lamba</v>
      </c>
      <c r="X2937" s="5">
        <f t="shared" si="4"/>
        <v>1</v>
      </c>
      <c r="Y2937" s="5" t="str">
        <f>IFERROR(__xludf.DUMMYFUNCTION("REGEXEXTRACT(J2937, ""^\d+"")"),"139")</f>
        <v>139</v>
      </c>
      <c r="Z2937" s="5" t="str">
        <f>IFERROR(__xludf.DUMMYFUNCTION("REGEXEXTRACT(J2937, ""[A-Za-z ]+$"")")," min")</f>
        <v> min</v>
      </c>
      <c r="AA2937" s="5" t="str">
        <f>IFERROR(__xludf.DUMMYFUNCTION("IF(REGEXMATCH(Z2937, ""Season""), ""TV Show"", ""Movie"")"),"Movie")</f>
        <v>Movie</v>
      </c>
    </row>
    <row r="2938">
      <c r="A2938" s="1" t="s">
        <v>16359</v>
      </c>
      <c r="B2938" s="1" t="s">
        <v>27</v>
      </c>
      <c r="C2938" s="1" t="s">
        <v>16360</v>
      </c>
      <c r="D2938" s="1" t="s">
        <v>13264</v>
      </c>
      <c r="E2938" s="1" t="s">
        <v>16361</v>
      </c>
      <c r="F2938" s="1" t="s">
        <v>13069</v>
      </c>
      <c r="G2938" s="1" t="s">
        <v>16362</v>
      </c>
      <c r="H2938" s="1">
        <v>2018.0</v>
      </c>
      <c r="I2938" s="1" t="s">
        <v>97</v>
      </c>
      <c r="J2938" s="1" t="s">
        <v>1191</v>
      </c>
      <c r="K2938" s="1" t="s">
        <v>128</v>
      </c>
      <c r="L2938" s="1" t="s">
        <v>16363</v>
      </c>
      <c r="M2938" s="2" t="s">
        <v>12</v>
      </c>
      <c r="N2938" s="4">
        <f t="shared" si="1"/>
        <v>43868</v>
      </c>
      <c r="O2938" s="5" t="str">
        <f>IFERROR(__xludf.DUMMYFUNCTION("IF(REGEXMATCH(TRIM(I2938), ""^\d+\s*min""), ""Unclassified"", IF(I2938 = """", ""NR"", I2938))"),"TV-14")</f>
        <v>TV-14</v>
      </c>
      <c r="R2938" s="5" t="str">
        <f t="shared" si="2"/>
        <v>Azali</v>
      </c>
      <c r="S2938" s="5" t="str">
        <f>IFERROR(__xludf.DUMMYFUNCTION("""COMPUTED_VALUE"""),"Happy Times")</f>
        <v>Happy Times</v>
      </c>
      <c r="U2938" s="5" t="str">
        <f>IFERROR(__xludf.DUMMYFUNCTION("""COMPUTED_VALUE"""),"Frank Coraci")</f>
        <v>Frank Coraci</v>
      </c>
      <c r="V2938" s="5" t="s">
        <v>16364</v>
      </c>
      <c r="W2938" s="5" t="str">
        <f t="shared" si="3"/>
        <v>Mu Chu</v>
      </c>
      <c r="X2938" s="5">
        <f t="shared" si="4"/>
        <v>1</v>
      </c>
      <c r="Y2938" s="5" t="str">
        <f>IFERROR(__xludf.DUMMYFUNCTION("REGEXEXTRACT(J2938, ""^\d+"")"),"89")</f>
        <v>89</v>
      </c>
      <c r="Z2938" s="5" t="str">
        <f>IFERROR(__xludf.DUMMYFUNCTION("REGEXEXTRACT(J2938, ""[A-Za-z ]+$"")")," min")</f>
        <v> min</v>
      </c>
      <c r="AA2938" s="5" t="str">
        <f>IFERROR(__xludf.DUMMYFUNCTION("IF(REGEXMATCH(Z2938, ""Season""), ""TV Show"", ""Movie"")"),"Movie")</f>
        <v>Movie</v>
      </c>
    </row>
    <row r="2939">
      <c r="A2939" s="1" t="s">
        <v>16365</v>
      </c>
      <c r="B2939" s="1" t="s">
        <v>37</v>
      </c>
      <c r="C2939" s="1" t="s">
        <v>16366</v>
      </c>
      <c r="E2939" s="1" t="s">
        <v>16367</v>
      </c>
      <c r="F2939" s="1" t="s">
        <v>30</v>
      </c>
      <c r="G2939" s="1" t="s">
        <v>16362</v>
      </c>
      <c r="H2939" s="1">
        <v>2020.0</v>
      </c>
      <c r="I2939" s="1" t="s">
        <v>206</v>
      </c>
      <c r="J2939" s="1" t="s">
        <v>43</v>
      </c>
      <c r="K2939" s="1" t="s">
        <v>314</v>
      </c>
      <c r="L2939" s="1" t="s">
        <v>16368</v>
      </c>
      <c r="M2939" s="2" t="s">
        <v>12</v>
      </c>
      <c r="N2939" s="4">
        <f t="shared" si="1"/>
        <v>43868</v>
      </c>
      <c r="O2939" s="5" t="str">
        <f>IFERROR(__xludf.DUMMYFUNCTION("IF(REGEXMATCH(TRIM(I2939), ""^\d+\s*min""), ""Unclassified"", IF(I2939 = """", ""NR"", I2939))"),"TV-Y")</f>
        <v>TV-Y</v>
      </c>
      <c r="R2939" s="5" t="str">
        <f t="shared" si="2"/>
        <v>Dragons: Rescue Riders</v>
      </c>
      <c r="S2939" s="5" t="str">
        <f>IFERROR(__xludf.DUMMYFUNCTION("""COMPUTED_VALUE"""),"Happy Valley")</f>
        <v>Happy Valley</v>
      </c>
      <c r="U2939" s="5" t="str">
        <f>IFERROR(__xludf.DUMMYFUNCTION("""COMPUTED_VALUE"""),"Gary Howsam, Mike Smith, John Paul Tremblay, Robb Wells")</f>
        <v>Gary Howsam, Mike Smith, John Paul Tremblay, Robb Wells</v>
      </c>
      <c r="V2939" s="5" t="s">
        <v>14960</v>
      </c>
      <c r="W2939" s="5" t="str">
        <f t="shared" si="3"/>
        <v>Müfit Can Saçıntı</v>
      </c>
      <c r="X2939" s="5">
        <f t="shared" si="4"/>
        <v>1</v>
      </c>
      <c r="Y2939" s="5" t="str">
        <f>IFERROR(__xludf.DUMMYFUNCTION("REGEXEXTRACT(J2939, ""^\d+"")"),"2")</f>
        <v>2</v>
      </c>
      <c r="Z2939" s="5" t="str">
        <f>IFERROR(__xludf.DUMMYFUNCTION("REGEXEXTRACT(J2939, ""[A-Za-z ]+$"")")," Seasons")</f>
        <v> Seasons</v>
      </c>
      <c r="AA2939" s="5" t="str">
        <f>IFERROR(__xludf.DUMMYFUNCTION("IF(REGEXMATCH(Z2939, ""Season""), ""TV Show"", ""Movie"")"),"TV Show")</f>
        <v>TV Show</v>
      </c>
    </row>
    <row r="2940">
      <c r="A2940" s="1" t="s">
        <v>16369</v>
      </c>
      <c r="B2940" s="1" t="s">
        <v>37</v>
      </c>
      <c r="C2940" s="1" t="s">
        <v>16370</v>
      </c>
      <c r="E2940" s="1" t="s">
        <v>16371</v>
      </c>
      <c r="F2940" s="1" t="s">
        <v>400</v>
      </c>
      <c r="G2940" s="1" t="s">
        <v>16362</v>
      </c>
      <c r="H2940" s="1">
        <v>2018.0</v>
      </c>
      <c r="I2940" s="1" t="s">
        <v>97</v>
      </c>
      <c r="J2940" s="1" t="s">
        <v>43</v>
      </c>
      <c r="K2940" s="1" t="s">
        <v>1907</v>
      </c>
      <c r="L2940" s="1" t="s">
        <v>16372</v>
      </c>
      <c r="M2940" s="2" t="s">
        <v>12</v>
      </c>
      <c r="N2940" s="4">
        <f t="shared" si="1"/>
        <v>43868</v>
      </c>
      <c r="O2940" s="5" t="str">
        <f>IFERROR(__xludf.DUMMYFUNCTION("IF(REGEXMATCH(TRIM(I2940), ""^\d+\s*min""), ""Unclassified"", IF(I2940 = """", ""NR"", I2940))"),"TV-14")</f>
        <v>TV-14</v>
      </c>
      <c r="R2940" s="5" t="str">
        <f t="shared" si="2"/>
        <v>Fifty: The Series</v>
      </c>
      <c r="S2940" s="5" t="str">
        <f>IFERROR(__xludf.DUMMYFUNCTION("""COMPUTED_VALUE"""),"Happy!")</f>
        <v>Happy!</v>
      </c>
      <c r="U2940" s="5" t="str">
        <f>IFERROR(__xludf.DUMMYFUNCTION("""COMPUTED_VALUE"""),"Kristin Hanggi")</f>
        <v>Kristin Hanggi</v>
      </c>
      <c r="V2940" s="5" t="s">
        <v>16373</v>
      </c>
      <c r="W2940" s="5" t="str">
        <f t="shared" si="3"/>
        <v>Muh Chen</v>
      </c>
      <c r="X2940" s="5">
        <f t="shared" si="4"/>
        <v>1</v>
      </c>
      <c r="Y2940" s="5" t="str">
        <f>IFERROR(__xludf.DUMMYFUNCTION("REGEXEXTRACT(J2940, ""^\d+"")"),"2")</f>
        <v>2</v>
      </c>
      <c r="Z2940" s="5" t="str">
        <f>IFERROR(__xludf.DUMMYFUNCTION("REGEXEXTRACT(J2940, ""[A-Za-z ]+$"")")," Seasons")</f>
        <v> Seasons</v>
      </c>
      <c r="AA2940" s="5" t="str">
        <f>IFERROR(__xludf.DUMMYFUNCTION("IF(REGEXMATCH(Z2940, ""Season""), ""TV Show"", ""Movie"")"),"TV Show")</f>
        <v>TV Show</v>
      </c>
    </row>
    <row r="2941">
      <c r="A2941" s="1" t="s">
        <v>16374</v>
      </c>
      <c r="B2941" s="1" t="s">
        <v>27</v>
      </c>
      <c r="C2941" s="1" t="s">
        <v>16375</v>
      </c>
      <c r="D2941" s="1" t="s">
        <v>10576</v>
      </c>
      <c r="E2941" s="1" t="s">
        <v>16376</v>
      </c>
      <c r="F2941" s="1" t="s">
        <v>30</v>
      </c>
      <c r="G2941" s="1" t="s">
        <v>16362</v>
      </c>
      <c r="H2941" s="1">
        <v>2020.0</v>
      </c>
      <c r="I2941" s="1" t="s">
        <v>378</v>
      </c>
      <c r="J2941" s="1" t="s">
        <v>106</v>
      </c>
      <c r="K2941" s="1" t="s">
        <v>1320</v>
      </c>
      <c r="L2941" s="1" t="s">
        <v>16377</v>
      </c>
      <c r="M2941" s="2" t="s">
        <v>12</v>
      </c>
      <c r="N2941" s="4">
        <f t="shared" si="1"/>
        <v>43868</v>
      </c>
      <c r="O2941" s="5" t="str">
        <f>IFERROR(__xludf.DUMMYFUNCTION("IF(REGEXMATCH(TRIM(I2941), ""^\d+\s*min""), ""Unclassified"", IF(I2941 = """", ""NR"", I2941))"),"R")</f>
        <v>R</v>
      </c>
      <c r="R2941" s="5" t="str">
        <f t="shared" si="2"/>
        <v>Horse Girl</v>
      </c>
      <c r="S2941" s="5" t="str">
        <f>IFERROR(__xludf.DUMMYFUNCTION("""COMPUTED_VALUE"""),"Happyish")</f>
        <v>Happyish</v>
      </c>
      <c r="U2941" s="5" t="str">
        <f>IFERROR(__xludf.DUMMYFUNCTION("""COMPUTED_VALUE"""),"J. Davis")</f>
        <v>J. Davis</v>
      </c>
      <c r="V2941" s="5" t="s">
        <v>8874</v>
      </c>
      <c r="W2941" s="5" t="str">
        <f t="shared" si="3"/>
        <v>Muhammad Ali</v>
      </c>
      <c r="X2941" s="5">
        <f t="shared" si="4"/>
        <v>1</v>
      </c>
      <c r="Y2941" s="5" t="str">
        <f>IFERROR(__xludf.DUMMYFUNCTION("REGEXEXTRACT(J2941, ""^\d+"")"),"104")</f>
        <v>104</v>
      </c>
      <c r="Z2941" s="5" t="str">
        <f>IFERROR(__xludf.DUMMYFUNCTION("REGEXEXTRACT(J2941, ""[A-Za-z ]+$"")")," min")</f>
        <v> min</v>
      </c>
      <c r="AA2941" s="5" t="str">
        <f>IFERROR(__xludf.DUMMYFUNCTION("IF(REGEXMATCH(Z2941, ""Season""), ""TV Show"", ""Movie"")"),"Movie")</f>
        <v>Movie</v>
      </c>
    </row>
    <row r="2942">
      <c r="A2942" s="1" t="s">
        <v>16378</v>
      </c>
      <c r="B2942" s="1" t="s">
        <v>27</v>
      </c>
      <c r="C2942" s="1" t="s">
        <v>16379</v>
      </c>
      <c r="D2942" s="1" t="s">
        <v>13201</v>
      </c>
      <c r="E2942" s="1" t="s">
        <v>16380</v>
      </c>
      <c r="F2942" s="1" t="s">
        <v>63</v>
      </c>
      <c r="G2942" s="1" t="s">
        <v>16362</v>
      </c>
      <c r="H2942" s="1">
        <v>2019.0</v>
      </c>
      <c r="I2942" s="1" t="s">
        <v>97</v>
      </c>
      <c r="J2942" s="1" t="s">
        <v>341</v>
      </c>
      <c r="K2942" s="1" t="s">
        <v>5099</v>
      </c>
      <c r="L2942" s="1" t="s">
        <v>16381</v>
      </c>
      <c r="M2942" s="2" t="s">
        <v>12</v>
      </c>
      <c r="N2942" s="4">
        <f t="shared" si="1"/>
        <v>43868</v>
      </c>
      <c r="O2942" s="5" t="str">
        <f>IFERROR(__xludf.DUMMYFUNCTION("IF(REGEXMATCH(TRIM(I2942), ""^\d+\s*min""), ""Unclassified"", IF(I2942 = """", ""NR"", I2942))"),"TV-14")</f>
        <v>TV-14</v>
      </c>
      <c r="R2942" s="5" t="str">
        <f t="shared" si="2"/>
        <v>Jada</v>
      </c>
      <c r="S2942" s="5" t="str">
        <f>IFERROR(__xludf.DUMMYFUNCTION("""COMPUTED_VALUE"""),"Har Kisse Ke Hisse: Kaamyaab")</f>
        <v>Har Kisse Ke Hisse: Kaamyaab</v>
      </c>
      <c r="U2942" s="5" t="str">
        <f>IFERROR(__xludf.DUMMYFUNCTION("""COMPUTED_VALUE"""),"Chris Buck, Jennifer Lee, Patrick Osborne, Lauren Macmullan, John Kahrs, Nathan Greno, Byron Howard, Stevie Wermers, Dean Wellins, Kevin Deters, Roger Allers, Mike Gabriel, Mark Henn")</f>
        <v>Chris Buck, Jennifer Lee, Patrick Osborne, Lauren Macmullan, John Kahrs, Nathan Greno, Byron Howard, Stevie Wermers, Dean Wellins, Kevin Deters, Roger Allers, Mike Gabriel, Mark Henn</v>
      </c>
      <c r="V2942" s="5" t="s">
        <v>14065</v>
      </c>
      <c r="W2942" s="5" t="str">
        <f t="shared" si="3"/>
        <v>Muhammad Fadl, Hany Motawie</v>
      </c>
      <c r="X2942" s="5">
        <f t="shared" si="4"/>
        <v>1</v>
      </c>
      <c r="Y2942" s="5" t="str">
        <f>IFERROR(__xludf.DUMMYFUNCTION("REGEXEXTRACT(J2942, ""^\d+"")"),"124")</f>
        <v>124</v>
      </c>
      <c r="Z2942" s="5" t="str">
        <f>IFERROR(__xludf.DUMMYFUNCTION("REGEXEXTRACT(J2942, ""[A-Za-z ]+$"")")," min")</f>
        <v> min</v>
      </c>
      <c r="AA2942" s="5" t="str">
        <f>IFERROR(__xludf.DUMMYFUNCTION("IF(REGEXMATCH(Z2942, ""Season""), ""TV Show"", ""Movie"")"),"Movie")</f>
        <v>Movie</v>
      </c>
    </row>
    <row r="2943">
      <c r="A2943" s="1" t="s">
        <v>16382</v>
      </c>
      <c r="B2943" s="1" t="s">
        <v>37</v>
      </c>
      <c r="C2943" s="1" t="s">
        <v>16383</v>
      </c>
      <c r="E2943" s="1" t="s">
        <v>16384</v>
      </c>
      <c r="F2943" s="1" t="s">
        <v>1979</v>
      </c>
      <c r="G2943" s="1" t="s">
        <v>16362</v>
      </c>
      <c r="H2943" s="1">
        <v>2020.0</v>
      </c>
      <c r="I2943" s="1" t="s">
        <v>97</v>
      </c>
      <c r="J2943" s="1" t="s">
        <v>51</v>
      </c>
      <c r="K2943" s="1" t="s">
        <v>1953</v>
      </c>
      <c r="L2943" s="1" t="s">
        <v>16385</v>
      </c>
      <c r="M2943" s="2" t="s">
        <v>12</v>
      </c>
      <c r="N2943" s="4">
        <f t="shared" si="1"/>
        <v>43868</v>
      </c>
      <c r="O2943" s="5" t="str">
        <f>IFERROR(__xludf.DUMMYFUNCTION("IF(REGEXMATCH(TRIM(I2943), ""^\d+\s*min""), ""Unclassified"", IF(I2943 = """", ""NR"", I2943))"),"TV-14")</f>
        <v>TV-14</v>
      </c>
      <c r="R2943" s="5" t="str">
        <f t="shared" si="2"/>
        <v>Locke &amp; Key</v>
      </c>
      <c r="S2943" s="5" t="str">
        <f>IFERROR(__xludf.DUMMYFUNCTION("""COMPUTED_VALUE"""),"Haraamkhor")</f>
        <v>Haraamkhor</v>
      </c>
      <c r="U2943" s="5" t="str">
        <f>IFERROR(__xludf.DUMMYFUNCTION("""COMPUTED_VALUE"""),"Andrew Bujalski")</f>
        <v>Andrew Bujalski</v>
      </c>
      <c r="V2943" s="5" t="s">
        <v>7150</v>
      </c>
      <c r="W2943" s="5" t="str">
        <f t="shared" si="3"/>
        <v>Muharrem Gülmez</v>
      </c>
      <c r="X2943" s="5">
        <f t="shared" si="4"/>
        <v>1</v>
      </c>
      <c r="Y2943" s="5" t="str">
        <f>IFERROR(__xludf.DUMMYFUNCTION("REGEXEXTRACT(J2943, ""^\d+"")"),"1")</f>
        <v>1</v>
      </c>
      <c r="Z2943" s="5" t="str">
        <f>IFERROR(__xludf.DUMMYFUNCTION("REGEXEXTRACT(J2943, ""[A-Za-z ]+$"")")," Season")</f>
        <v> Season</v>
      </c>
      <c r="AA2943" s="5" t="str">
        <f>IFERROR(__xludf.DUMMYFUNCTION("IF(REGEXMATCH(Z2943, ""Season""), ""TV Show"", ""Movie"")"),"TV Show")</f>
        <v>TV Show</v>
      </c>
    </row>
    <row r="2944">
      <c r="A2944" s="1" t="s">
        <v>16386</v>
      </c>
      <c r="B2944" s="1" t="s">
        <v>37</v>
      </c>
      <c r="C2944" s="1" t="s">
        <v>16387</v>
      </c>
      <c r="E2944" s="1" t="s">
        <v>16388</v>
      </c>
      <c r="G2944" s="1" t="s">
        <v>16362</v>
      </c>
      <c r="H2944" s="1">
        <v>2020.0</v>
      </c>
      <c r="I2944" s="1" t="s">
        <v>97</v>
      </c>
      <c r="J2944" s="1" t="s">
        <v>51</v>
      </c>
      <c r="K2944" s="1" t="s">
        <v>7164</v>
      </c>
      <c r="L2944" s="1" t="s">
        <v>16389</v>
      </c>
      <c r="M2944" s="2" t="s">
        <v>12</v>
      </c>
      <c r="N2944" s="4">
        <f t="shared" si="1"/>
        <v>43868</v>
      </c>
      <c r="O2944" s="5" t="str">
        <f>IFERROR(__xludf.DUMMYFUNCTION("IF(REGEXMATCH(TRIM(I2944), ""^\d+\s*min""), ""Unclassified"", IF(I2944 = """", ""NR"", I2944))"),"TV-14")</f>
        <v>TV-14</v>
      </c>
      <c r="R2944" s="5" t="str">
        <f t="shared" si="2"/>
        <v>My Holo Love</v>
      </c>
      <c r="S2944" s="5" t="str">
        <f>IFERROR(__xludf.DUMMYFUNCTION("""COMPUTED_VALUE"""),"Hard Kill")</f>
        <v>Hard Kill</v>
      </c>
      <c r="U2944" s="5" t="str">
        <f>IFERROR(__xludf.DUMMYFUNCTION("""COMPUTED_VALUE"""),"Adam Dubin")</f>
        <v>Adam Dubin</v>
      </c>
      <c r="V2944" s="5" t="s">
        <v>14667</v>
      </c>
      <c r="W2944" s="5" t="str">
        <f t="shared" si="3"/>
        <v>Muharrem Gülmez, Sırrı Süreyya Önder</v>
      </c>
      <c r="X2944" s="5">
        <f t="shared" si="4"/>
        <v>1</v>
      </c>
      <c r="Y2944" s="5" t="str">
        <f>IFERROR(__xludf.DUMMYFUNCTION("REGEXEXTRACT(J2944, ""^\d+"")"),"1")</f>
        <v>1</v>
      </c>
      <c r="Z2944" s="5" t="str">
        <f>IFERROR(__xludf.DUMMYFUNCTION("REGEXEXTRACT(J2944, ""[A-Za-z ]+$"")")," Season")</f>
        <v> Season</v>
      </c>
      <c r="AA2944" s="5" t="str">
        <f>IFERROR(__xludf.DUMMYFUNCTION("IF(REGEXMATCH(Z2944, ""Season""), ""TV Show"", ""Movie"")"),"TV Show")</f>
        <v>TV Show</v>
      </c>
    </row>
    <row r="2945">
      <c r="A2945" s="1" t="s">
        <v>16390</v>
      </c>
      <c r="B2945" s="1" t="s">
        <v>27</v>
      </c>
      <c r="C2945" s="1" t="s">
        <v>16391</v>
      </c>
      <c r="D2945" s="1" t="s">
        <v>10211</v>
      </c>
      <c r="E2945" s="1" t="s">
        <v>16392</v>
      </c>
      <c r="F2945" s="1" t="s">
        <v>30</v>
      </c>
      <c r="G2945" s="1" t="s">
        <v>16362</v>
      </c>
      <c r="H2945" s="1">
        <v>2017.0</v>
      </c>
      <c r="I2945" s="1" t="s">
        <v>378</v>
      </c>
      <c r="J2945" s="1" t="s">
        <v>1243</v>
      </c>
      <c r="K2945" s="1" t="s">
        <v>805</v>
      </c>
      <c r="L2945" s="1" t="s">
        <v>16393</v>
      </c>
      <c r="M2945" s="2" t="s">
        <v>12</v>
      </c>
      <c r="N2945" s="4">
        <f t="shared" si="1"/>
        <v>43868</v>
      </c>
      <c r="O2945" s="5" t="str">
        <f>IFERROR(__xludf.DUMMYFUNCTION("IF(REGEXMATCH(TRIM(I2945), ""^\d+\s*min""), ""Unclassified"", IF(I2945 = """", ""NR"", I2945))"),"R")</f>
        <v>R</v>
      </c>
      <c r="R2945" s="5" t="str">
        <f t="shared" si="2"/>
        <v>The Ballad Of Lefty Brown</v>
      </c>
      <c r="S2945" s="5" t="str">
        <f>IFERROR(__xludf.DUMMYFUNCTION("""COMPUTED_VALUE"""),"Hard Lessons")</f>
        <v>Hard Lessons</v>
      </c>
      <c r="U2945" s="5" t="str">
        <f>IFERROR(__xludf.DUMMYFUNCTION("""COMPUTED_VALUE"""),"Cary Joji Fukunaga")</f>
        <v>Cary Joji Fukunaga</v>
      </c>
      <c r="V2945" s="5" t="s">
        <v>16394</v>
      </c>
      <c r="W2945" s="5" t="str">
        <f t="shared" si="3"/>
        <v>Mukesh Vohra</v>
      </c>
      <c r="X2945" s="5">
        <f t="shared" si="4"/>
        <v>1</v>
      </c>
      <c r="Y2945" s="5" t="str">
        <f>IFERROR(__xludf.DUMMYFUNCTION("REGEXEXTRACT(J2945, ""^\d+"")"),"112")</f>
        <v>112</v>
      </c>
      <c r="Z2945" s="5" t="str">
        <f>IFERROR(__xludf.DUMMYFUNCTION("REGEXEXTRACT(J2945, ""[A-Za-z ]+$"")")," min")</f>
        <v> min</v>
      </c>
      <c r="AA2945" s="5" t="str">
        <f>IFERROR(__xludf.DUMMYFUNCTION("IF(REGEXMATCH(Z2945, ""Season""), ""TV Show"", ""Movie"")"),"Movie")</f>
        <v>Movie</v>
      </c>
    </row>
    <row r="2946">
      <c r="A2946" s="1" t="s">
        <v>16395</v>
      </c>
      <c r="B2946" s="1" t="s">
        <v>37</v>
      </c>
      <c r="C2946" s="1" t="s">
        <v>16396</v>
      </c>
      <c r="F2946" s="1" t="s">
        <v>30</v>
      </c>
      <c r="G2946" s="1" t="s">
        <v>16362</v>
      </c>
      <c r="H2946" s="1">
        <v>2020.0</v>
      </c>
      <c r="I2946" s="1" t="s">
        <v>42</v>
      </c>
      <c r="J2946" s="1" t="s">
        <v>51</v>
      </c>
      <c r="K2946" s="1" t="s">
        <v>2043</v>
      </c>
      <c r="L2946" s="1" t="s">
        <v>16397</v>
      </c>
      <c r="M2946" s="2" t="s">
        <v>12</v>
      </c>
      <c r="N2946" s="4">
        <f t="shared" si="1"/>
        <v>43868</v>
      </c>
      <c r="O2946" s="5" t="str">
        <f>IFERROR(__xludf.DUMMYFUNCTION("IF(REGEXMATCH(TRIM(I2946), ""^\d+\s*min""), ""Unclassified"", IF(I2946 = """", ""NR"", I2946))"),"TV-MA")</f>
        <v>TV-MA</v>
      </c>
      <c r="R2946" s="5" t="str">
        <f t="shared" si="2"/>
        <v>Who Killed Malcolm X?</v>
      </c>
      <c r="S2946" s="5" t="str">
        <f>IFERROR(__xludf.DUMMYFUNCTION("""COMPUTED_VALUE"""),"Hard Tide")</f>
        <v>Hard Tide</v>
      </c>
      <c r="U2946" s="5" t="str">
        <f>IFERROR(__xludf.DUMMYFUNCTION("""COMPUTED_VALUE"""),"Aaron Hann, Mario Miscione")</f>
        <v>Aaron Hann, Mario Miscione</v>
      </c>
      <c r="V2946" s="5" t="s">
        <v>15213</v>
      </c>
      <c r="W2946" s="5" t="str">
        <f t="shared" si="3"/>
        <v>Mukul Anand</v>
      </c>
      <c r="X2946" s="5">
        <f t="shared" si="4"/>
        <v>2</v>
      </c>
      <c r="Y2946" s="5" t="str">
        <f>IFERROR(__xludf.DUMMYFUNCTION("REGEXEXTRACT(J2946, ""^\d+"")"),"1")</f>
        <v>1</v>
      </c>
      <c r="Z2946" s="5" t="str">
        <f>IFERROR(__xludf.DUMMYFUNCTION("REGEXEXTRACT(J2946, ""[A-Za-z ]+$"")")," Season")</f>
        <v> Season</v>
      </c>
      <c r="AA2946" s="5" t="str">
        <f>IFERROR(__xludf.DUMMYFUNCTION("IF(REGEXMATCH(Z2946, ""Season""), ""TV Show"", ""Movie"")"),"TV Show")</f>
        <v>TV Show</v>
      </c>
    </row>
    <row r="2947">
      <c r="A2947" s="1" t="s">
        <v>16398</v>
      </c>
      <c r="B2947" s="1" t="s">
        <v>37</v>
      </c>
      <c r="C2947" s="1" t="s">
        <v>16399</v>
      </c>
      <c r="E2947" s="1" t="s">
        <v>16400</v>
      </c>
      <c r="F2947" s="1" t="s">
        <v>415</v>
      </c>
      <c r="G2947" s="1" t="s">
        <v>16401</v>
      </c>
      <c r="H2947" s="1">
        <v>2020.0</v>
      </c>
      <c r="I2947" s="1" t="s">
        <v>42</v>
      </c>
      <c r="J2947" s="1" t="s">
        <v>51</v>
      </c>
      <c r="K2947" s="1" t="s">
        <v>567</v>
      </c>
      <c r="L2947" s="1" t="s">
        <v>16402</v>
      </c>
      <c r="M2947" s="2" t="s">
        <v>12</v>
      </c>
      <c r="N2947" s="4">
        <f t="shared" si="1"/>
        <v>43867</v>
      </c>
      <c r="O2947" s="5" t="str">
        <f>IFERROR(__xludf.DUMMYFUNCTION("IF(REGEXMATCH(TRIM(I2947), ""^\d+\s*min""), ""Unclassified"", IF(I2947 = """", ""NR"", I2947))"),"TV-MA")</f>
        <v>TV-MA</v>
      </c>
      <c r="R2947" s="5" t="str">
        <f t="shared" si="2"/>
        <v>Cagaster Of An Insect Cage</v>
      </c>
      <c r="S2947" s="5" t="str">
        <f>IFERROR(__xludf.DUMMYFUNCTION("""COMPUTED_VALUE"""),"Hardcore Henry")</f>
        <v>Hardcore Henry</v>
      </c>
      <c r="U2947" s="5" t="str">
        <f>IFERROR(__xludf.DUMMYFUNCTION("""COMPUTED_VALUE"""),"Evgeny Afineevsky")</f>
        <v>Evgeny Afineevsky</v>
      </c>
      <c r="V2947" s="5" t="s">
        <v>16403</v>
      </c>
      <c r="W2947" s="5" t="str">
        <f t="shared" si="3"/>
        <v>Munish Bhardwaj</v>
      </c>
      <c r="X2947" s="5">
        <f t="shared" si="4"/>
        <v>1</v>
      </c>
      <c r="Y2947" s="5" t="str">
        <f>IFERROR(__xludf.DUMMYFUNCTION("REGEXEXTRACT(J2947, ""^\d+"")"),"1")</f>
        <v>1</v>
      </c>
      <c r="Z2947" s="5" t="str">
        <f>IFERROR(__xludf.DUMMYFUNCTION("REGEXEXTRACT(J2947, ""[A-Za-z ]+$"")")," Season")</f>
        <v> Season</v>
      </c>
      <c r="AA2947" s="5" t="str">
        <f>IFERROR(__xludf.DUMMYFUNCTION("IF(REGEXMATCH(Z2947, ""Season""), ""TV Show"", ""Movie"")"),"TV Show")</f>
        <v>TV Show</v>
      </c>
    </row>
    <row r="2948">
      <c r="A2948" s="1" t="s">
        <v>16404</v>
      </c>
      <c r="B2948" s="1" t="s">
        <v>27</v>
      </c>
      <c r="C2948" s="1" t="s">
        <v>16405</v>
      </c>
      <c r="D2948" s="1" t="s">
        <v>2764</v>
      </c>
      <c r="E2948" s="1" t="s">
        <v>16406</v>
      </c>
      <c r="F2948" s="1" t="s">
        <v>16407</v>
      </c>
      <c r="G2948" s="1" t="s">
        <v>16401</v>
      </c>
      <c r="H2948" s="1">
        <v>2014.0</v>
      </c>
      <c r="I2948" s="1" t="s">
        <v>97</v>
      </c>
      <c r="J2948" s="1" t="s">
        <v>1583</v>
      </c>
      <c r="K2948" s="1" t="s">
        <v>34</v>
      </c>
      <c r="L2948" s="1" t="s">
        <v>16408</v>
      </c>
      <c r="M2948" s="2" t="s">
        <v>12</v>
      </c>
      <c r="N2948" s="4">
        <f t="shared" si="1"/>
        <v>43867</v>
      </c>
      <c r="O2948" s="5" t="str">
        <f>IFERROR(__xludf.DUMMYFUNCTION("IF(REGEXMATCH(TRIM(I2948), ""^\d+\s*min""), ""Unclassified"", IF(I2948 = """", ""NR"", I2948))"),"TV-14")</f>
        <v>TV-14</v>
      </c>
      <c r="R2948" s="5" t="str">
        <f t="shared" si="2"/>
        <v>Gardeners Of Eden</v>
      </c>
      <c r="S2948" s="5" t="str">
        <f>IFERROR(__xludf.DUMMYFUNCTION("""COMPUTED_VALUE"""),"Hardy Bucks")</f>
        <v>Hardy Bucks</v>
      </c>
      <c r="U2948" s="5" t="str">
        <f>IFERROR(__xludf.DUMMYFUNCTION("""COMPUTED_VALUE"""),"Kristina Goolsby, Ashley York")</f>
        <v>Kristina Goolsby, Ashley York</v>
      </c>
      <c r="V2948" s="5" t="s">
        <v>16409</v>
      </c>
      <c r="W2948" s="5" t="str">
        <f t="shared" si="3"/>
        <v>Munjal Shroff, Tilak Shetty</v>
      </c>
      <c r="X2948" s="5">
        <f t="shared" si="4"/>
        <v>3</v>
      </c>
      <c r="Y2948" s="5" t="str">
        <f>IFERROR(__xludf.DUMMYFUNCTION("REGEXEXTRACT(J2948, ""^\d+"")"),"70")</f>
        <v>70</v>
      </c>
      <c r="Z2948" s="5" t="str">
        <f>IFERROR(__xludf.DUMMYFUNCTION("REGEXEXTRACT(J2948, ""[A-Za-z ]+$"")")," min")</f>
        <v> min</v>
      </c>
      <c r="AA2948" s="5" t="str">
        <f>IFERROR(__xludf.DUMMYFUNCTION("IF(REGEXMATCH(Z2948, ""Season""), ""TV Show"", ""Movie"")"),"Movie")</f>
        <v>Movie</v>
      </c>
    </row>
    <row r="2949">
      <c r="A2949" s="1" t="s">
        <v>16410</v>
      </c>
      <c r="B2949" s="1" t="s">
        <v>37</v>
      </c>
      <c r="C2949" s="1" t="s">
        <v>16411</v>
      </c>
      <c r="D2949" s="1" t="s">
        <v>9969</v>
      </c>
      <c r="E2949" s="1" t="s">
        <v>16412</v>
      </c>
      <c r="F2949" s="1" t="s">
        <v>30</v>
      </c>
      <c r="G2949" s="1" t="s">
        <v>16413</v>
      </c>
      <c r="H2949" s="1">
        <v>2019.0</v>
      </c>
      <c r="I2949" s="1" t="s">
        <v>97</v>
      </c>
      <c r="J2949" s="1" t="s">
        <v>3285</v>
      </c>
      <c r="K2949" s="1" t="s">
        <v>16414</v>
      </c>
      <c r="L2949" s="1" t="s">
        <v>16415</v>
      </c>
      <c r="M2949" s="2" t="s">
        <v>12</v>
      </c>
      <c r="N2949" s="4">
        <f t="shared" si="1"/>
        <v>43866</v>
      </c>
      <c r="O2949" s="5" t="str">
        <f>IFERROR(__xludf.DUMMYFUNCTION("IF(REGEXMATCH(TRIM(I2949), ""^\d+\s*min""), ""Unclassified"", IF(I2949 = """", ""NR"", I2949))"),"TV-14")</f>
        <v>TV-14</v>
      </c>
      <c r="R2949" s="5" t="str">
        <f t="shared" si="2"/>
        <v>Arrow</v>
      </c>
      <c r="S2949" s="5" t="str">
        <f>IFERROR(__xludf.DUMMYFUNCTION("""COMPUTED_VALUE"""),"Hari Kondabolu: Warn Your Relatives")</f>
        <v>Hari Kondabolu: Warn Your Relatives</v>
      </c>
      <c r="U2949" s="5" t="str">
        <f>IFERROR(__xludf.DUMMYFUNCTION("""COMPUTED_VALUE"""),"Phil Joanou")</f>
        <v>Phil Joanou</v>
      </c>
      <c r="V2949" s="5" t="s">
        <v>13732</v>
      </c>
      <c r="W2949" s="5" t="str">
        <f t="shared" si="3"/>
        <v>Murat Kepez</v>
      </c>
      <c r="X2949" s="5">
        <f t="shared" si="4"/>
        <v>1</v>
      </c>
      <c r="Y2949" s="5" t="str">
        <f>IFERROR(__xludf.DUMMYFUNCTION("REGEXEXTRACT(J2949, ""^\d+"")"),"8")</f>
        <v>8</v>
      </c>
      <c r="Z2949" s="5" t="str">
        <f>IFERROR(__xludf.DUMMYFUNCTION("REGEXEXTRACT(J2949, ""[A-Za-z ]+$"")")," Seasons")</f>
        <v> Seasons</v>
      </c>
      <c r="AA2949" s="5" t="str">
        <f>IFERROR(__xludf.DUMMYFUNCTION("IF(REGEXMATCH(Z2949, ""Season""), ""TV Show"", ""Movie"")"),"TV Show")</f>
        <v>TV Show</v>
      </c>
    </row>
    <row r="2950">
      <c r="A2950" s="1" t="s">
        <v>16416</v>
      </c>
      <c r="B2950" s="1" t="s">
        <v>37</v>
      </c>
      <c r="C2950" s="1" t="s">
        <v>16417</v>
      </c>
      <c r="D2950" s="1" t="s">
        <v>12053</v>
      </c>
      <c r="F2950" s="1" t="s">
        <v>30</v>
      </c>
      <c r="G2950" s="1" t="s">
        <v>16413</v>
      </c>
      <c r="H2950" s="1">
        <v>2020.0</v>
      </c>
      <c r="I2950" s="1" t="s">
        <v>42</v>
      </c>
      <c r="J2950" s="1" t="s">
        <v>51</v>
      </c>
      <c r="K2950" s="1" t="s">
        <v>2043</v>
      </c>
      <c r="L2950" s="1" t="s">
        <v>16418</v>
      </c>
      <c r="M2950" s="2" t="s">
        <v>12</v>
      </c>
      <c r="N2950" s="4">
        <f t="shared" si="1"/>
        <v>43866</v>
      </c>
      <c r="O2950" s="5" t="str">
        <f>IFERROR(__xludf.DUMMYFUNCTION("IF(REGEXMATCH(TRIM(I2950), ""^\d+\s*min""), ""Unclassified"", IF(I2950 = """", ""NR"", I2950))"),"TV-MA")</f>
        <v>TV-MA</v>
      </c>
      <c r="R2950" s="5" t="str">
        <f t="shared" si="2"/>
        <v>The Pharmacist</v>
      </c>
      <c r="S2950" s="5" t="str">
        <f>IFERROR(__xludf.DUMMYFUNCTION("""COMPUTED_VALUE"""),"Harishchandrachi Factory")</f>
        <v>Harishchandrachi Factory</v>
      </c>
      <c r="U2950" s="5" t="str">
        <f>IFERROR(__xludf.DUMMYFUNCTION("""COMPUTED_VALUE"""),"Anthony Pierce")</f>
        <v>Anthony Pierce</v>
      </c>
      <c r="V2950" s="5" t="s">
        <v>13309</v>
      </c>
      <c r="W2950" s="5" t="str">
        <f t="shared" si="3"/>
        <v>Musthafa</v>
      </c>
      <c r="X2950" s="5">
        <f t="shared" si="4"/>
        <v>1</v>
      </c>
      <c r="Y2950" s="5" t="str">
        <f>IFERROR(__xludf.DUMMYFUNCTION("REGEXEXTRACT(J2950, ""^\d+"")"),"1")</f>
        <v>1</v>
      </c>
      <c r="Z2950" s="5" t="str">
        <f>IFERROR(__xludf.DUMMYFUNCTION("REGEXEXTRACT(J2950, ""[A-Za-z ]+$"")")," Season")</f>
        <v> Season</v>
      </c>
      <c r="AA2950" s="5" t="str">
        <f>IFERROR(__xludf.DUMMYFUNCTION("IF(REGEXMATCH(Z2950, ""Season""), ""TV Show"", ""Movie"")"),"TV Show")</f>
        <v>TV Show</v>
      </c>
    </row>
    <row r="2951">
      <c r="A2951" s="1" t="s">
        <v>16419</v>
      </c>
      <c r="B2951" s="1" t="s">
        <v>27</v>
      </c>
      <c r="C2951" s="1" t="s">
        <v>16420</v>
      </c>
      <c r="D2951" s="1" t="s">
        <v>16421</v>
      </c>
      <c r="E2951" s="1" t="s">
        <v>16422</v>
      </c>
      <c r="F2951" s="1" t="s">
        <v>30</v>
      </c>
      <c r="G2951" s="1" t="s">
        <v>16413</v>
      </c>
      <c r="H2951" s="1">
        <v>2020.0</v>
      </c>
      <c r="I2951" s="1" t="s">
        <v>42</v>
      </c>
      <c r="J2951" s="1" t="s">
        <v>256</v>
      </c>
      <c r="K2951" s="1" t="s">
        <v>645</v>
      </c>
      <c r="L2951" s="1" t="s">
        <v>16423</v>
      </c>
      <c r="M2951" s="2" t="s">
        <v>12</v>
      </c>
      <c r="N2951" s="4">
        <f t="shared" si="1"/>
        <v>43866</v>
      </c>
      <c r="O2951" s="5" t="str">
        <f>IFERROR(__xludf.DUMMYFUNCTION("IF(REGEXMATCH(TRIM(I2951), ""^\d+\s*min""), ""Unclassified"", IF(I2951 = """", ""NR"", I2951))"),"TV-MA")</f>
        <v>TV-MA</v>
      </c>
      <c r="R2951" s="5" t="str">
        <f t="shared" si="2"/>
        <v>Uppity: The Willy T. Ribbs Story</v>
      </c>
      <c r="S2951" s="5" t="str">
        <f>IFERROR(__xludf.DUMMYFUNCTION("""COMPUTED_VALUE"""),"Harith Iskander: I Told You So")</f>
        <v>Harith Iskander: I Told You So</v>
      </c>
      <c r="U2951" s="5" t="str">
        <f>IFERROR(__xludf.DUMMYFUNCTION("""COMPUTED_VALUE"""),"Jennifer Phang")</f>
        <v>Jennifer Phang</v>
      </c>
      <c r="V2951" s="5" t="s">
        <v>2552</v>
      </c>
      <c r="W2951" s="5" t="str">
        <f t="shared" si="3"/>
        <v>Muzi Mthembu</v>
      </c>
      <c r="X2951" s="5">
        <f t="shared" si="4"/>
        <v>1</v>
      </c>
      <c r="Y2951" s="5" t="str">
        <f>IFERROR(__xludf.DUMMYFUNCTION("REGEXEXTRACT(J2951, ""^\d+"")"),"106")</f>
        <v>106</v>
      </c>
      <c r="Z2951" s="5" t="str">
        <f>IFERROR(__xludf.DUMMYFUNCTION("REGEXEXTRACT(J2951, ""[A-Za-z ]+$"")")," min")</f>
        <v> min</v>
      </c>
      <c r="AA2951" s="5" t="str">
        <f>IFERROR(__xludf.DUMMYFUNCTION("IF(REGEXMATCH(Z2951, ""Season""), ""TV Show"", ""Movie"")"),"Movie")</f>
        <v>Movie</v>
      </c>
    </row>
    <row r="2952">
      <c r="A2952" s="1" t="s">
        <v>16424</v>
      </c>
      <c r="B2952" s="1" t="s">
        <v>27</v>
      </c>
      <c r="C2952" s="1" t="s">
        <v>16425</v>
      </c>
      <c r="D2952" s="1" t="s">
        <v>9771</v>
      </c>
      <c r="E2952" s="1" t="s">
        <v>16426</v>
      </c>
      <c r="F2952" s="1" t="s">
        <v>30</v>
      </c>
      <c r="G2952" s="1" t="s">
        <v>16427</v>
      </c>
      <c r="H2952" s="1">
        <v>2020.0</v>
      </c>
      <c r="I2952" s="1" t="s">
        <v>32</v>
      </c>
      <c r="J2952" s="1" t="s">
        <v>247</v>
      </c>
      <c r="K2952" s="1" t="s">
        <v>942</v>
      </c>
      <c r="L2952" s="1" t="s">
        <v>16428</v>
      </c>
      <c r="M2952" s="2" t="s">
        <v>12</v>
      </c>
      <c r="N2952" s="4">
        <f t="shared" si="1"/>
        <v>43865</v>
      </c>
      <c r="O2952" s="5" t="str">
        <f>IFERROR(__xludf.DUMMYFUNCTION("IF(REGEXMATCH(TRIM(I2952), ""^\d+\s*min""), ""Unclassified"", IF(I2952 = """", ""NR"", I2952))"),"PG-13")</f>
        <v>PG-13</v>
      </c>
      <c r="R2952" s="5" t="str">
        <f t="shared" si="2"/>
        <v>Dragonheart: Vengeance</v>
      </c>
      <c r="S2952" s="5" t="str">
        <f>IFERROR(__xludf.DUMMYFUNCTION("""COMPUTED_VALUE"""),"Harlem Globetrotters: The Team That Changed The World")</f>
        <v>Harlem Globetrotters: The Team That Changed The World</v>
      </c>
      <c r="U2952" s="5" t="str">
        <f>IFERROR(__xludf.DUMMYFUNCTION("""COMPUTED_VALUE"""),"Jill Bauer, Ronna Gradus")</f>
        <v>Jill Bauer, Ronna Gradus</v>
      </c>
      <c r="V2952" s="5" t="s">
        <v>16429</v>
      </c>
      <c r="W2952" s="5" t="str">
        <f t="shared" si="3"/>
        <v>Myles Kane, Josh Koury</v>
      </c>
      <c r="X2952" s="5">
        <f t="shared" si="4"/>
        <v>1</v>
      </c>
      <c r="Y2952" s="5" t="str">
        <f>IFERROR(__xludf.DUMMYFUNCTION("REGEXEXTRACT(J2952, ""^\d+"")"),"97")</f>
        <v>97</v>
      </c>
      <c r="Z2952" s="5" t="str">
        <f>IFERROR(__xludf.DUMMYFUNCTION("REGEXEXTRACT(J2952, ""[A-Za-z ]+$"")")," min")</f>
        <v> min</v>
      </c>
      <c r="AA2952" s="5" t="str">
        <f>IFERROR(__xludf.DUMMYFUNCTION("IF(REGEXMATCH(Z2952, ""Season""), ""TV Show"", ""Movie"")"),"Movie")</f>
        <v>Movie</v>
      </c>
    </row>
    <row r="2953">
      <c r="A2953" s="1" t="s">
        <v>16430</v>
      </c>
      <c r="B2953" s="1" t="s">
        <v>27</v>
      </c>
      <c r="C2953" s="1" t="s">
        <v>16431</v>
      </c>
      <c r="D2953" s="1" t="s">
        <v>16432</v>
      </c>
      <c r="E2953" s="1" t="s">
        <v>16433</v>
      </c>
      <c r="F2953" s="1" t="s">
        <v>30</v>
      </c>
      <c r="G2953" s="1" t="s">
        <v>16427</v>
      </c>
      <c r="H2953" s="1">
        <v>2019.0</v>
      </c>
      <c r="I2953" s="1" t="s">
        <v>78</v>
      </c>
      <c r="J2953" s="1" t="s">
        <v>256</v>
      </c>
      <c r="K2953" s="1" t="s">
        <v>16434</v>
      </c>
      <c r="L2953" s="1" t="s">
        <v>16435</v>
      </c>
      <c r="M2953" s="2" t="s">
        <v>12</v>
      </c>
      <c r="N2953" s="4">
        <f t="shared" si="1"/>
        <v>43865</v>
      </c>
      <c r="O2953" s="5" t="str">
        <f>IFERROR(__xludf.DUMMYFUNCTION("IF(REGEXMATCH(TRIM(I2953), ""^\d+\s*min""), ""Unclassified"", IF(I2953 = """", ""NR"", I2953))"),"PG")</f>
        <v>PG</v>
      </c>
      <c r="R2953" s="5" t="str">
        <f t="shared" si="2"/>
        <v>Faith, Hope &amp; Love</v>
      </c>
      <c r="S2953" s="5" t="str">
        <f>IFERROR(__xludf.DUMMYFUNCTION("""COMPUTED_VALUE"""),"Harold &amp; Kumar Escape From Guantanamo Bay")</f>
        <v>Harold &amp; Kumar Escape From Guantanamo Bay</v>
      </c>
      <c r="U2953" s="5" t="str">
        <f>IFERROR(__xludf.DUMMYFUNCTION("""COMPUTED_VALUE"""),"Mike Fleiss")</f>
        <v>Mike Fleiss</v>
      </c>
      <c r="V2953" s="5" t="s">
        <v>16436</v>
      </c>
      <c r="W2953" s="5" t="str">
        <f t="shared" si="3"/>
        <v>Myriam Aziza</v>
      </c>
      <c r="X2953" s="5">
        <f t="shared" si="4"/>
        <v>1</v>
      </c>
      <c r="Y2953" s="5" t="str">
        <f>IFERROR(__xludf.DUMMYFUNCTION("REGEXEXTRACT(J2953, ""^\d+"")"),"106")</f>
        <v>106</v>
      </c>
      <c r="Z2953" s="5" t="str">
        <f>IFERROR(__xludf.DUMMYFUNCTION("REGEXEXTRACT(J2953, ""[A-Za-z ]+$"")")," min")</f>
        <v> min</v>
      </c>
      <c r="AA2953" s="5" t="str">
        <f>IFERROR(__xludf.DUMMYFUNCTION("IF(REGEXMATCH(Z2953, ""Season""), ""TV Show"", ""Movie"")"),"Movie")</f>
        <v>Movie</v>
      </c>
    </row>
    <row r="2954">
      <c r="A2954" s="1" t="s">
        <v>16437</v>
      </c>
      <c r="B2954" s="1" t="s">
        <v>27</v>
      </c>
      <c r="C2954" s="1" t="s">
        <v>16438</v>
      </c>
      <c r="D2954" s="1" t="s">
        <v>8726</v>
      </c>
      <c r="E2954" s="1" t="s">
        <v>16439</v>
      </c>
      <c r="F2954" s="1" t="s">
        <v>30</v>
      </c>
      <c r="G2954" s="1" t="s">
        <v>16427</v>
      </c>
      <c r="H2954" s="1">
        <v>2020.0</v>
      </c>
      <c r="I2954" s="1" t="s">
        <v>97</v>
      </c>
      <c r="J2954" s="1" t="s">
        <v>4639</v>
      </c>
      <c r="K2954" s="1" t="s">
        <v>1839</v>
      </c>
      <c r="L2954" s="1" t="s">
        <v>16440</v>
      </c>
      <c r="M2954" s="2" t="s">
        <v>12</v>
      </c>
      <c r="N2954" s="4">
        <f t="shared" si="1"/>
        <v>43865</v>
      </c>
      <c r="O2954" s="5" t="str">
        <f>IFERROR(__xludf.DUMMYFUNCTION("IF(REGEXMATCH(TRIM(I2954), ""^\d+\s*min""), ""Unclassified"", IF(I2954 = """", ""NR"", I2954))"),"TV-14")</f>
        <v>TV-14</v>
      </c>
      <c r="R2954" s="5" t="str">
        <f t="shared" si="2"/>
        <v>Tom Papa: You'Re Doing Great!</v>
      </c>
      <c r="S2954" s="5" t="str">
        <f>IFERROR(__xludf.DUMMYFUNCTION("""COMPUTED_VALUE"""),"Harold &amp; Kumar Go To White Castle")</f>
        <v>Harold &amp; Kumar Go To White Castle</v>
      </c>
      <c r="U2954" s="5" t="str">
        <f>IFERROR(__xludf.DUMMYFUNCTION("""COMPUTED_VALUE"""),"Aziz Ansari")</f>
        <v>Aziz Ansari</v>
      </c>
      <c r="V2954" s="5" t="s">
        <v>4698</v>
      </c>
      <c r="W2954" s="5" t="str">
        <f t="shared" si="3"/>
        <v>Myriam Fares</v>
      </c>
      <c r="X2954" s="5">
        <f t="shared" si="4"/>
        <v>1</v>
      </c>
      <c r="Y2954" s="5" t="str">
        <f>IFERROR(__xludf.DUMMYFUNCTION("REGEXEXTRACT(J2954, ""^\d+"")"),"60")</f>
        <v>60</v>
      </c>
      <c r="Z2954" s="5" t="str">
        <f>IFERROR(__xludf.DUMMYFUNCTION("REGEXEXTRACT(J2954, ""[A-Za-z ]+$"")")," min")</f>
        <v> min</v>
      </c>
      <c r="AA2954" s="5" t="str">
        <f>IFERROR(__xludf.DUMMYFUNCTION("IF(REGEXMATCH(Z2954, ""Season""), ""TV Show"", ""Movie"")"),"Movie")</f>
        <v>Movie</v>
      </c>
    </row>
    <row r="2955">
      <c r="A2955" s="1" t="s">
        <v>16441</v>
      </c>
      <c r="B2955" s="1" t="s">
        <v>37</v>
      </c>
      <c r="C2955" s="1" t="s">
        <v>16442</v>
      </c>
      <c r="E2955" s="1" t="s">
        <v>16443</v>
      </c>
      <c r="F2955" s="1" t="s">
        <v>30</v>
      </c>
      <c r="G2955" s="1" t="s">
        <v>16444</v>
      </c>
      <c r="H2955" s="1">
        <v>2020.0</v>
      </c>
      <c r="I2955" s="1" t="s">
        <v>136</v>
      </c>
      <c r="J2955" s="1" t="s">
        <v>276</v>
      </c>
      <c r="K2955" s="1" t="s">
        <v>314</v>
      </c>
      <c r="L2955" s="1" t="s">
        <v>16445</v>
      </c>
      <c r="M2955" s="2" t="s">
        <v>12</v>
      </c>
      <c r="N2955" s="4">
        <f t="shared" si="1"/>
        <v>43864</v>
      </c>
      <c r="O2955" s="5" t="str">
        <f>IFERROR(__xludf.DUMMYFUNCTION("IF(REGEXMATCH(TRIM(I2955), ""^\d+\s*min""), ""Unclassified"", IF(I2955 = """", ""NR"", I2955))"),"TV-PG")</f>
        <v>TV-PG</v>
      </c>
      <c r="R2955" s="5" t="str">
        <f t="shared" si="2"/>
        <v>Team Kaylie</v>
      </c>
      <c r="S2955" s="5" t="str">
        <f>IFERROR(__xludf.DUMMYFUNCTION("""COMPUTED_VALUE"""),"Harold And Lillian: A Hollywood Love Story")</f>
        <v>Harold And Lillian: A Hollywood Love Story</v>
      </c>
      <c r="U2955" s="5" t="str">
        <f>IFERROR(__xludf.DUMMYFUNCTION("""COMPUTED_VALUE"""),"David Sampliner")</f>
        <v>David Sampliner</v>
      </c>
      <c r="V2955" s="5" t="s">
        <v>14553</v>
      </c>
      <c r="W2955" s="5" t="str">
        <f t="shared" si="3"/>
        <v>Mysskin</v>
      </c>
      <c r="X2955" s="5">
        <f t="shared" si="4"/>
        <v>2</v>
      </c>
      <c r="Y2955" s="5" t="str">
        <f>IFERROR(__xludf.DUMMYFUNCTION("REGEXEXTRACT(J2955, ""^\d+"")"),"3")</f>
        <v>3</v>
      </c>
      <c r="Z2955" s="5" t="str">
        <f>IFERROR(__xludf.DUMMYFUNCTION("REGEXEXTRACT(J2955, ""[A-Za-z ]+$"")")," Seasons")</f>
        <v> Seasons</v>
      </c>
      <c r="AA2955" s="5" t="str">
        <f>IFERROR(__xludf.DUMMYFUNCTION("IF(REGEXMATCH(Z2955, ""Season""), ""TV Show"", ""Movie"")"),"TV Show")</f>
        <v>TV Show</v>
      </c>
    </row>
    <row r="2956">
      <c r="A2956" s="1" t="s">
        <v>16446</v>
      </c>
      <c r="B2956" s="1" t="s">
        <v>27</v>
      </c>
      <c r="C2956" s="1" t="s">
        <v>16447</v>
      </c>
      <c r="D2956" s="1" t="s">
        <v>10561</v>
      </c>
      <c r="E2956" s="1" t="s">
        <v>16448</v>
      </c>
      <c r="F2956" s="1" t="s">
        <v>63</v>
      </c>
      <c r="G2956" s="1" t="s">
        <v>16444</v>
      </c>
      <c r="H2956" s="1">
        <v>2019.0</v>
      </c>
      <c r="I2956" s="1" t="s">
        <v>97</v>
      </c>
      <c r="J2956" s="1" t="s">
        <v>2216</v>
      </c>
      <c r="K2956" s="1" t="s">
        <v>631</v>
      </c>
      <c r="L2956" s="1" t="s">
        <v>16449</v>
      </c>
      <c r="M2956" s="2" t="s">
        <v>12</v>
      </c>
      <c r="N2956" s="4">
        <f t="shared" si="1"/>
        <v>43864</v>
      </c>
      <c r="O2956" s="5" t="str">
        <f>IFERROR(__xludf.DUMMYFUNCTION("IF(REGEXMATCH(TRIM(I2956), ""^\d+\s*min""), ""Unclassified"", IF(I2956 = """", ""NR"", I2956))"),"TV-14")</f>
        <v>TV-14</v>
      </c>
      <c r="R2956" s="5" t="str">
        <f t="shared" si="2"/>
        <v>Thambi</v>
      </c>
      <c r="S2956" s="5" t="str">
        <f>IFERROR(__xludf.DUMMYFUNCTION("""COMPUTED_VALUE"""),"Harold Shipman - Driven To Kill")</f>
        <v>Harold Shipman - Driven To Kill</v>
      </c>
      <c r="U2956" s="5" t="str">
        <f>IFERROR(__xludf.DUMMYFUNCTION("""COMPUTED_VALUE"""),"Katy Chevigny, Ross Kauffman")</f>
        <v>Katy Chevigny, Ross Kauffman</v>
      </c>
      <c r="V2956" s="5" t="s">
        <v>16450</v>
      </c>
      <c r="W2956" s="5" t="str">
        <f t="shared" si="3"/>
        <v>N. Chandra</v>
      </c>
      <c r="X2956" s="5">
        <f t="shared" si="4"/>
        <v>1</v>
      </c>
      <c r="Y2956" s="5" t="str">
        <f>IFERROR(__xludf.DUMMYFUNCTION("REGEXEXTRACT(J2956, ""^\d+"")"),"148")</f>
        <v>148</v>
      </c>
      <c r="Z2956" s="5" t="str">
        <f>IFERROR(__xludf.DUMMYFUNCTION("REGEXEXTRACT(J2956, ""[A-Za-z ]+$"")")," min")</f>
        <v> min</v>
      </c>
      <c r="AA2956" s="5" t="str">
        <f>IFERROR(__xludf.DUMMYFUNCTION("IF(REGEXMATCH(Z2956, ""Season""), ""TV Show"", ""Movie"")"),"Movie")</f>
        <v>Movie</v>
      </c>
    </row>
    <row r="2957">
      <c r="A2957" s="1" t="s">
        <v>16451</v>
      </c>
      <c r="B2957" s="1" t="s">
        <v>27</v>
      </c>
      <c r="C2957" s="1" t="s">
        <v>16452</v>
      </c>
      <c r="D2957" s="1" t="s">
        <v>1296</v>
      </c>
      <c r="E2957" s="1" t="s">
        <v>16453</v>
      </c>
      <c r="F2957" s="1" t="s">
        <v>784</v>
      </c>
      <c r="G2957" s="1" t="s">
        <v>16444</v>
      </c>
      <c r="H2957" s="1">
        <v>2020.0</v>
      </c>
      <c r="I2957" s="1" t="s">
        <v>42</v>
      </c>
      <c r="J2957" s="1" t="s">
        <v>393</v>
      </c>
      <c r="K2957" s="1" t="s">
        <v>298</v>
      </c>
      <c r="L2957" s="1" t="s">
        <v>16454</v>
      </c>
      <c r="M2957" s="2" t="s">
        <v>12</v>
      </c>
      <c r="N2957" s="4">
        <f t="shared" si="1"/>
        <v>43864</v>
      </c>
      <c r="O2957" s="5" t="str">
        <f>IFERROR(__xludf.DUMMYFUNCTION("IF(REGEXMATCH(TRIM(I2957), ""^\d+\s*min""), ""Unclassified"", IF(I2957 = """", ""NR"", I2957))"),"TV-MA")</f>
        <v>TV-MA</v>
      </c>
      <c r="R2957" s="5" t="str">
        <f t="shared" si="2"/>
        <v>The Silent War</v>
      </c>
      <c r="S2957" s="5" t="str">
        <f>IFERROR(__xludf.DUMMYFUNCTION("""COMPUTED_VALUE"""),"Harriet The Spy: Blog Wars")</f>
        <v>Harriet The Spy: Blog Wars</v>
      </c>
      <c r="U2957" s="5" t="str">
        <f>IFERROR(__xludf.DUMMYFUNCTION("""COMPUTED_VALUE"""),"Wyatt Cenac")</f>
        <v>Wyatt Cenac</v>
      </c>
      <c r="V2957" s="5" t="s">
        <v>16455</v>
      </c>
      <c r="W2957" s="5" t="str">
        <f t="shared" si="3"/>
        <v>N. Linguswamy</v>
      </c>
      <c r="X2957" s="5">
        <f t="shared" si="4"/>
        <v>2</v>
      </c>
      <c r="Y2957" s="5" t="str">
        <f>IFERROR(__xludf.DUMMYFUNCTION("REGEXEXTRACT(J2957, ""^\d+"")"),"122")</f>
        <v>122</v>
      </c>
      <c r="Z2957" s="5" t="str">
        <f>IFERROR(__xludf.DUMMYFUNCTION("REGEXEXTRACT(J2957, ""[A-Za-z ]+$"")")," min")</f>
        <v> min</v>
      </c>
      <c r="AA2957" s="5" t="str">
        <f>IFERROR(__xludf.DUMMYFUNCTION("IF(REGEXMATCH(Z2957, ""Season""), ""TV Show"", ""Movie"")"),"Movie")</f>
        <v>Movie</v>
      </c>
    </row>
    <row r="2958">
      <c r="A2958" s="1" t="s">
        <v>16456</v>
      </c>
      <c r="B2958" s="1" t="s">
        <v>27</v>
      </c>
      <c r="C2958" s="1" t="s">
        <v>16457</v>
      </c>
      <c r="D2958" s="1" t="s">
        <v>16458</v>
      </c>
      <c r="E2958" s="1" t="s">
        <v>16459</v>
      </c>
      <c r="F2958" s="1" t="s">
        <v>30</v>
      </c>
      <c r="G2958" s="1" t="s">
        <v>16460</v>
      </c>
      <c r="H2958" s="1">
        <v>2016.0</v>
      </c>
      <c r="I2958" s="1" t="s">
        <v>42</v>
      </c>
      <c r="J2958" s="1" t="s">
        <v>1144</v>
      </c>
      <c r="K2958" s="1" t="s">
        <v>836</v>
      </c>
      <c r="L2958" s="1" t="s">
        <v>16461</v>
      </c>
      <c r="M2958" s="2" t="s">
        <v>12</v>
      </c>
      <c r="N2958" s="4">
        <f t="shared" si="1"/>
        <v>43862</v>
      </c>
      <c r="O2958" s="5" t="str">
        <f>IFERROR(__xludf.DUMMYFUNCTION("IF(REGEXMATCH(TRIM(I2958), ""^\d+\s*min""), ""Unclassified"", IF(I2958 = """", ""NR"", I2958))"),"TV-MA")</f>
        <v>TV-MA</v>
      </c>
      <c r="R2958" s="5" t="str">
        <f t="shared" si="2"/>
        <v>Chronically Metropolitan</v>
      </c>
      <c r="S2958" s="5" t="str">
        <f>IFERROR(__xludf.DUMMYFUNCTION("""COMPUTED_VALUE"""),"Harry &amp; Bunnie")</f>
        <v>Harry &amp; Bunnie</v>
      </c>
      <c r="U2958" s="5" t="str">
        <f>IFERROR(__xludf.DUMMYFUNCTION("""COMPUTED_VALUE"""),"Luis Lopez, Clay Tweel")</f>
        <v>Luis Lopez, Clay Tweel</v>
      </c>
      <c r="V2958" s="5" t="s">
        <v>16462</v>
      </c>
      <c r="W2958" s="5" t="str">
        <f t="shared" si="3"/>
        <v>N.D. Wilson</v>
      </c>
      <c r="X2958" s="5">
        <f t="shared" si="4"/>
        <v>1</v>
      </c>
      <c r="Y2958" s="5" t="str">
        <f>IFERROR(__xludf.DUMMYFUNCTION("REGEXEXTRACT(J2958, ""^\d+"")"),"86")</f>
        <v>86</v>
      </c>
      <c r="Z2958" s="5" t="str">
        <f>IFERROR(__xludf.DUMMYFUNCTION("REGEXEXTRACT(J2958, ""[A-Za-z ]+$"")")," min")</f>
        <v> min</v>
      </c>
      <c r="AA2958" s="5" t="str">
        <f>IFERROR(__xludf.DUMMYFUNCTION("IF(REGEXMATCH(Z2958, ""Season""), ""TV Show"", ""Movie"")"),"Movie")</f>
        <v>Movie</v>
      </c>
    </row>
    <row r="2959">
      <c r="A2959" s="1" t="s">
        <v>16463</v>
      </c>
      <c r="B2959" s="1" t="s">
        <v>27</v>
      </c>
      <c r="C2959" s="1" t="s">
        <v>16464</v>
      </c>
      <c r="D2959" s="1" t="s">
        <v>13267</v>
      </c>
      <c r="E2959" s="1" t="s">
        <v>16465</v>
      </c>
      <c r="F2959" s="1" t="s">
        <v>63</v>
      </c>
      <c r="G2959" s="1" t="s">
        <v>16460</v>
      </c>
      <c r="H2959" s="1">
        <v>1994.0</v>
      </c>
      <c r="I2959" s="1" t="s">
        <v>97</v>
      </c>
      <c r="J2959" s="1" t="s">
        <v>16466</v>
      </c>
      <c r="K2959" s="1" t="s">
        <v>2012</v>
      </c>
      <c r="L2959" s="1" t="s">
        <v>16467</v>
      </c>
      <c r="M2959" s="2" t="s">
        <v>12</v>
      </c>
      <c r="N2959" s="4">
        <f t="shared" si="1"/>
        <v>43862</v>
      </c>
      <c r="O2959" s="5" t="str">
        <f>IFERROR(__xludf.DUMMYFUNCTION("IF(REGEXMATCH(TRIM(I2959), ""^\d+\s*min""), ""Unclassified"", IF(I2959 = """", ""NR"", I2959))"),"TV-14")</f>
        <v>TV-14</v>
      </c>
      <c r="R2959" s="5" t="str">
        <f t="shared" si="2"/>
        <v>Hum Aapke Hain Koun</v>
      </c>
      <c r="S2959" s="5" t="str">
        <f>IFERROR(__xludf.DUMMYFUNCTION("""COMPUTED_VALUE"""),"Harry And Snowman")</f>
        <v>Harry And Snowman</v>
      </c>
      <c r="U2959" s="5" t="str">
        <f>IFERROR(__xludf.DUMMYFUNCTION("""COMPUTED_VALUE"""),"Robert Nixon, Fisher Stevens")</f>
        <v>Robert Nixon, Fisher Stevens</v>
      </c>
      <c r="V2959" s="5" t="s">
        <v>16468</v>
      </c>
      <c r="W2959" s="5" t="str">
        <f t="shared" si="3"/>
        <v>Na Hyeon</v>
      </c>
      <c r="X2959" s="5">
        <f t="shared" si="4"/>
        <v>1</v>
      </c>
      <c r="Y2959" s="5" t="str">
        <f>IFERROR(__xludf.DUMMYFUNCTION("REGEXEXTRACT(J2959, ""^\d+"")"),"193")</f>
        <v>193</v>
      </c>
      <c r="Z2959" s="5" t="str">
        <f>IFERROR(__xludf.DUMMYFUNCTION("REGEXEXTRACT(J2959, ""[A-Za-z ]+$"")")," min")</f>
        <v> min</v>
      </c>
      <c r="AA2959" s="5" t="str">
        <f>IFERROR(__xludf.DUMMYFUNCTION("IF(REGEXMATCH(Z2959, ""Season""), ""TV Show"", ""Movie"")"),"Movie")</f>
        <v>Movie</v>
      </c>
    </row>
    <row r="2960">
      <c r="A2960" s="1" t="s">
        <v>16469</v>
      </c>
      <c r="B2960" s="1" t="s">
        <v>37</v>
      </c>
      <c r="C2960" s="1" t="s">
        <v>16470</v>
      </c>
      <c r="E2960" s="1" t="s">
        <v>16471</v>
      </c>
      <c r="F2960" s="1" t="s">
        <v>415</v>
      </c>
      <c r="G2960" s="1" t="s">
        <v>16460</v>
      </c>
      <c r="H2960" s="1">
        <v>2015.0</v>
      </c>
      <c r="I2960" s="1" t="s">
        <v>42</v>
      </c>
      <c r="J2960" s="1" t="s">
        <v>51</v>
      </c>
      <c r="K2960" s="1" t="s">
        <v>567</v>
      </c>
      <c r="L2960" s="1" t="s">
        <v>16472</v>
      </c>
      <c r="M2960" s="2" t="s">
        <v>12</v>
      </c>
      <c r="N2960" s="4">
        <f t="shared" si="1"/>
        <v>43862</v>
      </c>
      <c r="O2960" s="5" t="str">
        <f>IFERROR(__xludf.DUMMYFUNCTION("IF(REGEXMATCH(TRIM(I2960), ""^\d+\s*min""), ""Unclassified"", IF(I2960 = """", ""NR"", I2960))"),"TV-MA")</f>
        <v>TV-MA</v>
      </c>
      <c r="R2960" s="5" t="str">
        <f t="shared" si="2"/>
        <v>Is It Wrong To Try To Pick Up Girls In A Dungeon?</v>
      </c>
      <c r="S2960" s="5" t="str">
        <f>IFERROR(__xludf.DUMMYFUNCTION("""COMPUTED_VALUE"""),"Harry Benson: Shoot First")</f>
        <v>Harry Benson: Shoot First</v>
      </c>
      <c r="U2960" s="5" t="str">
        <f>IFERROR(__xludf.DUMMYFUNCTION("""COMPUTED_VALUE"""),"Greg Whiteley")</f>
        <v>Greg Whiteley</v>
      </c>
      <c r="V2960" s="5" t="s">
        <v>16473</v>
      </c>
      <c r="W2960" s="5" t="str">
        <f t="shared" si="3"/>
        <v>Nabil Ayouch</v>
      </c>
      <c r="X2960" s="5">
        <f t="shared" si="4"/>
        <v>1</v>
      </c>
      <c r="Y2960" s="5" t="str">
        <f>IFERROR(__xludf.DUMMYFUNCTION("REGEXEXTRACT(J2960, ""^\d+"")"),"1")</f>
        <v>1</v>
      </c>
      <c r="Z2960" s="5" t="str">
        <f>IFERROR(__xludf.DUMMYFUNCTION("REGEXEXTRACT(J2960, ""[A-Za-z ]+$"")")," Season")</f>
        <v> Season</v>
      </c>
      <c r="AA2960" s="5" t="str">
        <f>IFERROR(__xludf.DUMMYFUNCTION("IF(REGEXMATCH(Z2960, ""Season""), ""TV Show"", ""Movie"")"),"TV Show")</f>
        <v>TV Show</v>
      </c>
    </row>
    <row r="2961">
      <c r="A2961" s="1" t="s">
        <v>16474</v>
      </c>
      <c r="B2961" s="1" t="s">
        <v>37</v>
      </c>
      <c r="C2961" s="1" t="s">
        <v>16475</v>
      </c>
      <c r="E2961" s="1" t="s">
        <v>16476</v>
      </c>
      <c r="F2961" s="1" t="s">
        <v>749</v>
      </c>
      <c r="G2961" s="1" t="s">
        <v>16460</v>
      </c>
      <c r="H2961" s="1">
        <v>2020.0</v>
      </c>
      <c r="I2961" s="1" t="s">
        <v>42</v>
      </c>
      <c r="J2961" s="1" t="s">
        <v>51</v>
      </c>
      <c r="K2961" s="1" t="s">
        <v>13832</v>
      </c>
      <c r="L2961" s="1" t="s">
        <v>16477</v>
      </c>
      <c r="M2961" s="2" t="s">
        <v>12</v>
      </c>
      <c r="N2961" s="4">
        <f t="shared" si="1"/>
        <v>43862</v>
      </c>
      <c r="O2961" s="5" t="str">
        <f>IFERROR(__xludf.DUMMYFUNCTION("IF(REGEXMATCH(TRIM(I2961), ""^\d+\s*min""), ""Unclassified"", IF(I2961 = """", ""NR"", I2961))"),"TV-MA")</f>
        <v>TV-MA</v>
      </c>
      <c r="R2961" s="5" t="str">
        <f t="shared" si="2"/>
        <v>Itaewon Class</v>
      </c>
      <c r="S2961" s="5" t="str">
        <f>IFERROR(__xludf.DUMMYFUNCTION("""COMPUTED_VALUE"""),"Hart Of Dixie")</f>
        <v>Hart Of Dixie</v>
      </c>
      <c r="U2961" s="5" t="str">
        <f>IFERROR(__xludf.DUMMYFUNCTION("""COMPUTED_VALUE"""),"Jehane Noujaim")</f>
        <v>Jehane Noujaim</v>
      </c>
      <c r="V2961" s="5" t="s">
        <v>16478</v>
      </c>
      <c r="W2961" s="5" t="str">
        <f t="shared" si="3"/>
        <v>Nacho G. Velilla</v>
      </c>
      <c r="X2961" s="5">
        <f t="shared" si="4"/>
        <v>1</v>
      </c>
      <c r="Y2961" s="5" t="str">
        <f>IFERROR(__xludf.DUMMYFUNCTION("REGEXEXTRACT(J2961, ""^\d+"")"),"1")</f>
        <v>1</v>
      </c>
      <c r="Z2961" s="5" t="str">
        <f>IFERROR(__xludf.DUMMYFUNCTION("REGEXEXTRACT(J2961, ""[A-Za-z ]+$"")")," Season")</f>
        <v> Season</v>
      </c>
      <c r="AA2961" s="5" t="str">
        <f>IFERROR(__xludf.DUMMYFUNCTION("IF(REGEXMATCH(Z2961, ""Season""), ""TV Show"", ""Movie"")"),"TV Show")</f>
        <v>TV Show</v>
      </c>
    </row>
    <row r="2962">
      <c r="A2962" s="1" t="s">
        <v>16479</v>
      </c>
      <c r="B2962" s="1" t="s">
        <v>27</v>
      </c>
      <c r="C2962" s="1" t="s">
        <v>16480</v>
      </c>
      <c r="D2962" s="1" t="s">
        <v>16481</v>
      </c>
      <c r="E2962" s="1" t="s">
        <v>16482</v>
      </c>
      <c r="F2962" s="1" t="s">
        <v>30</v>
      </c>
      <c r="G2962" s="1" t="s">
        <v>16460</v>
      </c>
      <c r="H2962" s="1">
        <v>2017.0</v>
      </c>
      <c r="I2962" s="1" t="s">
        <v>378</v>
      </c>
      <c r="J2962" s="1" t="s">
        <v>665</v>
      </c>
      <c r="K2962" s="1" t="s">
        <v>2032</v>
      </c>
      <c r="L2962" s="1" t="s">
        <v>16483</v>
      </c>
      <c r="M2962" s="2" t="s">
        <v>12</v>
      </c>
      <c r="N2962" s="4">
        <f t="shared" si="1"/>
        <v>43862</v>
      </c>
      <c r="O2962" s="5" t="str">
        <f>IFERROR(__xludf.DUMMYFUNCTION("IF(REGEXMATCH(TRIM(I2962), ""^\d+\s*min""), ""Unclassified"", IF(I2962 = """", ""NR"", I2962))"),"R")</f>
        <v>R</v>
      </c>
      <c r="R2962" s="5" t="str">
        <f t="shared" si="2"/>
        <v>Justice</v>
      </c>
      <c r="S2962" s="5" t="str">
        <f>IFERROR(__xludf.DUMMYFUNCTION("""COMPUTED_VALUE"""),"Harud")</f>
        <v>Harud</v>
      </c>
      <c r="U2962" s="5" t="str">
        <f>IFERROR(__xludf.DUMMYFUNCTION("""COMPUTED_VALUE"""),"Jason Moore")</f>
        <v>Jason Moore</v>
      </c>
      <c r="V2962" s="5" t="s">
        <v>14403</v>
      </c>
      <c r="W2962" s="5" t="str">
        <f t="shared" si="3"/>
        <v>Nadia Hallgren</v>
      </c>
      <c r="X2962" s="5">
        <f t="shared" si="4"/>
        <v>2</v>
      </c>
      <c r="Y2962" s="5" t="str">
        <f>IFERROR(__xludf.DUMMYFUNCTION("REGEXEXTRACT(J2962, ""^\d+"")"),"92")</f>
        <v>92</v>
      </c>
      <c r="Z2962" s="5" t="str">
        <f>IFERROR(__xludf.DUMMYFUNCTION("REGEXEXTRACT(J2962, ""[A-Za-z ]+$"")")," min")</f>
        <v> min</v>
      </c>
      <c r="AA2962" s="5" t="str">
        <f>IFERROR(__xludf.DUMMYFUNCTION("IF(REGEXMATCH(Z2962, ""Season""), ""TV Show"", ""Movie"")"),"Movie")</f>
        <v>Movie</v>
      </c>
    </row>
    <row r="2963">
      <c r="A2963" s="1" t="s">
        <v>16484</v>
      </c>
      <c r="B2963" s="1" t="s">
        <v>27</v>
      </c>
      <c r="C2963" s="1" t="s">
        <v>16485</v>
      </c>
      <c r="D2963" s="1" t="s">
        <v>1284</v>
      </c>
      <c r="E2963" s="1" t="s">
        <v>16486</v>
      </c>
      <c r="F2963" s="1" t="s">
        <v>5342</v>
      </c>
      <c r="G2963" s="1" t="s">
        <v>16460</v>
      </c>
      <c r="H2963" s="1">
        <v>2018.0</v>
      </c>
      <c r="I2963" s="1" t="s">
        <v>32</v>
      </c>
      <c r="J2963" s="1" t="s">
        <v>170</v>
      </c>
      <c r="K2963" s="1" t="s">
        <v>215</v>
      </c>
      <c r="L2963" s="1" t="s">
        <v>16487</v>
      </c>
      <c r="M2963" s="2" t="s">
        <v>12</v>
      </c>
      <c r="N2963" s="4">
        <f t="shared" si="1"/>
        <v>43862</v>
      </c>
      <c r="O2963" s="5" t="str">
        <f>IFERROR(__xludf.DUMMYFUNCTION("IF(REGEXMATCH(TRIM(I2963), ""^\d+\s*min""), ""Unclassified"", IF(I2963 = """", ""NR"", I2963))"),"PG-13")</f>
        <v>PG-13</v>
      </c>
      <c r="R2963" s="5" t="str">
        <f t="shared" si="2"/>
        <v>Love Jacked</v>
      </c>
      <c r="S2963" s="5" t="str">
        <f>IFERROR(__xludf.DUMMYFUNCTION("""COMPUTED_VALUE"""),"Harvey Street Kids")</f>
        <v>Harvey Street Kids</v>
      </c>
      <c r="U2963" s="5" t="str">
        <f>IFERROR(__xludf.DUMMYFUNCTION("""COMPUTED_VALUE"""),"Josh Greenbaum")</f>
        <v>Josh Greenbaum</v>
      </c>
      <c r="V2963" s="5" t="s">
        <v>6850</v>
      </c>
      <c r="W2963" s="5" t="str">
        <f t="shared" si="3"/>
        <v>Nadine Ibrahim</v>
      </c>
      <c r="X2963" s="5">
        <f t="shared" si="4"/>
        <v>1</v>
      </c>
      <c r="Y2963" s="5" t="str">
        <f>IFERROR(__xludf.DUMMYFUNCTION("REGEXEXTRACT(J2963, ""^\d+"")"),"94")</f>
        <v>94</v>
      </c>
      <c r="Z2963" s="5" t="str">
        <f>IFERROR(__xludf.DUMMYFUNCTION("REGEXEXTRACT(J2963, ""[A-Za-z ]+$"")")," min")</f>
        <v> min</v>
      </c>
      <c r="AA2963" s="5" t="str">
        <f>IFERROR(__xludf.DUMMYFUNCTION("IF(REGEXMATCH(Z2963, ""Season""), ""TV Show"", ""Movie"")"),"Movie")</f>
        <v>Movie</v>
      </c>
    </row>
    <row r="2964">
      <c r="A2964" s="1" t="s">
        <v>16488</v>
      </c>
      <c r="B2964" s="1" t="s">
        <v>37</v>
      </c>
      <c r="C2964" s="1" t="s">
        <v>16489</v>
      </c>
      <c r="D2964" s="1" t="s">
        <v>16490</v>
      </c>
      <c r="E2964" s="1" t="s">
        <v>16491</v>
      </c>
      <c r="F2964" s="1" t="s">
        <v>16492</v>
      </c>
      <c r="G2964" s="1" t="s">
        <v>16460</v>
      </c>
      <c r="H2964" s="1">
        <v>2019.0</v>
      </c>
      <c r="I2964" s="1" t="s">
        <v>289</v>
      </c>
      <c r="J2964" s="1" t="s">
        <v>189</v>
      </c>
      <c r="K2964" s="1" t="s">
        <v>16493</v>
      </c>
      <c r="L2964" s="1" t="s">
        <v>16494</v>
      </c>
      <c r="M2964" s="2" t="s">
        <v>12</v>
      </c>
      <c r="N2964" s="4">
        <f t="shared" si="1"/>
        <v>43862</v>
      </c>
      <c r="O2964" s="5" t="str">
        <f>IFERROR(__xludf.DUMMYFUNCTION("IF(REGEXMATCH(TRIM(I2964), ""^\d+\s*min""), ""Unclassified"", IF(I2964 = """", ""NR"", I2964))"),"TV-Y7")</f>
        <v>TV-Y7</v>
      </c>
      <c r="R2964" s="5" t="str">
        <f t="shared" si="2"/>
        <v>Miraculous: Tales Of Ladybug &amp; Cat Noir</v>
      </c>
      <c r="S2964" s="5" t="str">
        <f>IFERROR(__xludf.DUMMYFUNCTION("""COMPUTED_VALUE"""),"Hasan Minhaj: Homecoming King")</f>
        <v>Hasan Minhaj: Homecoming King</v>
      </c>
      <c r="U2964" s="5" t="str">
        <f>IFERROR(__xludf.DUMMYFUNCTION("""COMPUTED_VALUE"""),"Will Lovelace, Dylan Southern")</f>
        <v>Will Lovelace, Dylan Southern</v>
      </c>
      <c r="V2964" s="5" t="s">
        <v>833</v>
      </c>
      <c r="W2964" s="5" t="str">
        <f t="shared" si="3"/>
        <v>Nagesh Kukunoor</v>
      </c>
      <c r="X2964" s="5">
        <f t="shared" si="4"/>
        <v>5</v>
      </c>
      <c r="Y2964" s="5" t="str">
        <f>IFERROR(__xludf.DUMMYFUNCTION("REGEXEXTRACT(J2964, ""^\d+"")"),"5")</f>
        <v>5</v>
      </c>
      <c r="Z2964" s="5" t="str">
        <f>IFERROR(__xludf.DUMMYFUNCTION("REGEXEXTRACT(J2964, ""[A-Za-z ]+$"")")," Seasons")</f>
        <v> Seasons</v>
      </c>
      <c r="AA2964" s="5" t="str">
        <f>IFERROR(__xludf.DUMMYFUNCTION("IF(REGEXMATCH(Z2964, ""Season""), ""TV Show"", ""Movie"")"),"TV Show")</f>
        <v>TV Show</v>
      </c>
    </row>
    <row r="2965">
      <c r="A2965" s="1" t="s">
        <v>16495</v>
      </c>
      <c r="B2965" s="1" t="s">
        <v>27</v>
      </c>
      <c r="C2965" s="1" t="s">
        <v>16496</v>
      </c>
      <c r="D2965" s="1" t="s">
        <v>16497</v>
      </c>
      <c r="E2965" s="1" t="s">
        <v>16498</v>
      </c>
      <c r="F2965" s="1" t="s">
        <v>4615</v>
      </c>
      <c r="G2965" s="1" t="s">
        <v>16460</v>
      </c>
      <c r="H2965" s="1">
        <v>2019.0</v>
      </c>
      <c r="I2965" s="1" t="s">
        <v>506</v>
      </c>
      <c r="J2965" s="1" t="s">
        <v>1001</v>
      </c>
      <c r="K2965" s="1" t="s">
        <v>14327</v>
      </c>
      <c r="L2965" s="1" t="s">
        <v>16499</v>
      </c>
      <c r="M2965" s="2" t="s">
        <v>12</v>
      </c>
      <c r="N2965" s="4">
        <f t="shared" si="1"/>
        <v>43862</v>
      </c>
      <c r="O2965" s="5" t="str">
        <f>IFERROR(__xludf.DUMMYFUNCTION("IF(REGEXMATCH(TRIM(I2965), ""^\d+\s*min""), ""Unclassified"", IF(I2965 = """", ""NR"", I2965))"),"TV-G")</f>
        <v>TV-G</v>
      </c>
      <c r="R2965" s="5" t="str">
        <f t="shared" si="2"/>
        <v>Misfit 2</v>
      </c>
      <c r="S2965" s="5" t="str">
        <f>IFERROR(__xludf.DUMMYFUNCTION("""COMPUTED_VALUE"""),"Hasee Toh Phasee")</f>
        <v>Hasee Toh Phasee</v>
      </c>
      <c r="U2965" s="5" t="str">
        <f>IFERROR(__xludf.DUMMYFUNCTION("""COMPUTED_VALUE"""),"Constance Marks")</f>
        <v>Constance Marks</v>
      </c>
      <c r="V2965" s="5" t="s">
        <v>16500</v>
      </c>
      <c r="W2965" s="5" t="str">
        <f t="shared" si="3"/>
        <v>Nagraj Manjule</v>
      </c>
      <c r="X2965" s="5">
        <f t="shared" si="4"/>
        <v>2</v>
      </c>
      <c r="Y2965" s="5" t="str">
        <f>IFERROR(__xludf.DUMMYFUNCTION("REGEXEXTRACT(J2965, ""^\d+"")"),"82")</f>
        <v>82</v>
      </c>
      <c r="Z2965" s="5" t="str">
        <f>IFERROR(__xludf.DUMMYFUNCTION("REGEXEXTRACT(J2965, ""[A-Za-z ]+$"")")," min")</f>
        <v> min</v>
      </c>
      <c r="AA2965" s="5" t="str">
        <f>IFERROR(__xludf.DUMMYFUNCTION("IF(REGEXMATCH(Z2965, ""Season""), ""TV Show"", ""Movie"")"),"Movie")</f>
        <v>Movie</v>
      </c>
    </row>
    <row r="2966">
      <c r="A2966" s="1" t="s">
        <v>16501</v>
      </c>
      <c r="B2966" s="1" t="s">
        <v>27</v>
      </c>
      <c r="C2966" s="1" t="s">
        <v>16502</v>
      </c>
      <c r="E2966" s="1" t="s">
        <v>16503</v>
      </c>
      <c r="F2966" s="1" t="s">
        <v>96</v>
      </c>
      <c r="G2966" s="1" t="s">
        <v>16460</v>
      </c>
      <c r="H2966" s="1">
        <v>2020.0</v>
      </c>
      <c r="I2966" s="1" t="s">
        <v>136</v>
      </c>
      <c r="J2966" s="1" t="s">
        <v>1847</v>
      </c>
      <c r="K2966" s="1" t="s">
        <v>2032</v>
      </c>
      <c r="L2966" s="1" t="s">
        <v>16504</v>
      </c>
      <c r="M2966" s="2" t="s">
        <v>12</v>
      </c>
      <c r="N2966" s="4">
        <f t="shared" si="1"/>
        <v>43862</v>
      </c>
      <c r="O2966" s="5" t="str">
        <f>IFERROR(__xludf.DUMMYFUNCTION("IF(REGEXMATCH(TRIM(I2966), ""^\d+\s*min""), ""Unclassified"", IF(I2966 = """", ""NR"", I2966))"),"TV-PG")</f>
        <v>TV-PG</v>
      </c>
      <c r="R2966" s="5" t="str">
        <f t="shared" si="2"/>
        <v>Night On Earth: Shot In The Dark</v>
      </c>
      <c r="S2966" s="5" t="str">
        <f>IFERROR(__xludf.DUMMYFUNCTION("""COMPUTED_VALUE"""),"Haseen Dillruba")</f>
        <v>Haseen Dillruba</v>
      </c>
      <c r="U2966" s="5" t="str">
        <f>IFERROR(__xludf.DUMMYFUNCTION("""COMPUTED_VALUE"""),"Larry Elikann")</f>
        <v>Larry Elikann</v>
      </c>
      <c r="V2966" s="5" t="s">
        <v>2375</v>
      </c>
      <c r="W2966" s="5" t="str">
        <f t="shared" si="3"/>
        <v>Najwa Najjar</v>
      </c>
      <c r="X2966" s="5">
        <f t="shared" si="4"/>
        <v>2</v>
      </c>
      <c r="Y2966" s="5" t="str">
        <f>IFERROR(__xludf.DUMMYFUNCTION("REGEXEXTRACT(J2966, ""^\d+"")"),"59")</f>
        <v>59</v>
      </c>
      <c r="Z2966" s="5" t="str">
        <f>IFERROR(__xludf.DUMMYFUNCTION("REGEXEXTRACT(J2966, ""[A-Za-z ]+$"")")," min")</f>
        <v> min</v>
      </c>
      <c r="AA2966" s="5" t="str">
        <f>IFERROR(__xludf.DUMMYFUNCTION("IF(REGEXMATCH(Z2966, ""Season""), ""TV Show"", ""Movie"")"),"Movie")</f>
        <v>Movie</v>
      </c>
    </row>
    <row r="2967">
      <c r="A2967" s="1" t="s">
        <v>16505</v>
      </c>
      <c r="B2967" s="1" t="s">
        <v>37</v>
      </c>
      <c r="C2967" s="1" t="s">
        <v>16506</v>
      </c>
      <c r="E2967" s="1" t="s">
        <v>16507</v>
      </c>
      <c r="F2967" s="1" t="s">
        <v>415</v>
      </c>
      <c r="G2967" s="1" t="s">
        <v>16460</v>
      </c>
      <c r="H2967" s="1">
        <v>2014.0</v>
      </c>
      <c r="I2967" s="1" t="s">
        <v>42</v>
      </c>
      <c r="J2967" s="1" t="s">
        <v>51</v>
      </c>
      <c r="K2967" s="1" t="s">
        <v>567</v>
      </c>
      <c r="L2967" s="1" t="s">
        <v>16508</v>
      </c>
      <c r="M2967" s="2" t="s">
        <v>12</v>
      </c>
      <c r="N2967" s="4">
        <f t="shared" si="1"/>
        <v>43862</v>
      </c>
      <c r="O2967" s="5" t="str">
        <f>IFERROR(__xludf.DUMMYFUNCTION("IF(REGEXMATCH(TRIM(I2967), ""^\d+\s*min""), ""Unclassified"", IF(I2967 = """", ""NR"", I2967))"),"TV-MA")</f>
        <v>TV-MA</v>
      </c>
      <c r="R2967" s="5" t="str">
        <f t="shared" si="2"/>
        <v>No Game No Life</v>
      </c>
      <c r="S2967" s="5" t="str">
        <f>IFERROR(__xludf.DUMMYFUNCTION("""COMPUTED_VALUE"""),"Haseena Maan Jaayegi")</f>
        <v>Haseena Maan Jaayegi</v>
      </c>
      <c r="U2967" s="5" t="str">
        <f>IFERROR(__xludf.DUMMYFUNCTION("""COMPUTED_VALUE"""),"Robert Markowitz")</f>
        <v>Robert Markowitz</v>
      </c>
      <c r="V2967" s="5" t="s">
        <v>16509</v>
      </c>
      <c r="W2967" s="5" t="str">
        <f t="shared" si="3"/>
        <v>Nakul Singh Sawhney</v>
      </c>
      <c r="X2967" s="5">
        <f t="shared" si="4"/>
        <v>1</v>
      </c>
      <c r="Y2967" s="5" t="str">
        <f>IFERROR(__xludf.DUMMYFUNCTION("REGEXEXTRACT(J2967, ""^\d+"")"),"1")</f>
        <v>1</v>
      </c>
      <c r="Z2967" s="5" t="str">
        <f>IFERROR(__xludf.DUMMYFUNCTION("REGEXEXTRACT(J2967, ""[A-Za-z ]+$"")")," Season")</f>
        <v> Season</v>
      </c>
      <c r="AA2967" s="5" t="str">
        <f>IFERROR(__xludf.DUMMYFUNCTION("IF(REGEXMATCH(Z2967, ""Season""), ""TV Show"", ""Movie"")"),"TV Show")</f>
        <v>TV Show</v>
      </c>
    </row>
    <row r="2968">
      <c r="A2968" s="1" t="s">
        <v>16510</v>
      </c>
      <c r="B2968" s="1" t="s">
        <v>37</v>
      </c>
      <c r="C2968" s="1" t="s">
        <v>16511</v>
      </c>
      <c r="F2968" s="1" t="s">
        <v>415</v>
      </c>
      <c r="G2968" s="1" t="s">
        <v>16460</v>
      </c>
      <c r="H2968" s="1">
        <v>2018.0</v>
      </c>
      <c r="I2968" s="1" t="s">
        <v>97</v>
      </c>
      <c r="J2968" s="1" t="s">
        <v>51</v>
      </c>
      <c r="K2968" s="1" t="s">
        <v>567</v>
      </c>
      <c r="L2968" s="1" t="s">
        <v>16512</v>
      </c>
      <c r="M2968" s="2" t="s">
        <v>12</v>
      </c>
      <c r="N2968" s="4">
        <f t="shared" si="1"/>
        <v>43862</v>
      </c>
      <c r="O2968" s="5" t="str">
        <f>IFERROR(__xludf.DUMMYFUNCTION("IF(REGEXMATCH(TRIM(I2968), ""^\d+\s*min""), ""Unclassified"", IF(I2968 = """", ""NR"", I2968))"),"TV-14")</f>
        <v>TV-14</v>
      </c>
      <c r="R2968" s="5" t="str">
        <f t="shared" si="2"/>
        <v>Pop Team Epic</v>
      </c>
      <c r="S2968" s="5" t="str">
        <f>IFERROR(__xludf.DUMMYFUNCTION("""COMPUTED_VALUE"""),"Hashoter Hatov")</f>
        <v>Hashoter Hatov</v>
      </c>
      <c r="U2968" s="5" t="str">
        <f>IFERROR(__xludf.DUMMYFUNCTION("""COMPUTED_VALUE"""),"Eric Laneuville")</f>
        <v>Eric Laneuville</v>
      </c>
      <c r="V2968" s="5" t="s">
        <v>16513</v>
      </c>
      <c r="W2968" s="5" t="str">
        <f t="shared" si="3"/>
        <v>Nam Ron</v>
      </c>
      <c r="X2968" s="5">
        <f t="shared" si="4"/>
        <v>1</v>
      </c>
      <c r="Y2968" s="5" t="str">
        <f>IFERROR(__xludf.DUMMYFUNCTION("REGEXEXTRACT(J2968, ""^\d+"")"),"1")</f>
        <v>1</v>
      </c>
      <c r="Z2968" s="5" t="str">
        <f>IFERROR(__xludf.DUMMYFUNCTION("REGEXEXTRACT(J2968, ""[A-Za-z ]+$"")")," Season")</f>
        <v> Season</v>
      </c>
      <c r="AA2968" s="5" t="str">
        <f>IFERROR(__xludf.DUMMYFUNCTION("IF(REGEXMATCH(Z2968, ""Season""), ""TV Show"", ""Movie"")"),"TV Show")</f>
        <v>TV Show</v>
      </c>
    </row>
    <row r="2969">
      <c r="A2969" s="1" t="s">
        <v>16514</v>
      </c>
      <c r="B2969" s="1" t="s">
        <v>37</v>
      </c>
      <c r="C2969" s="1" t="s">
        <v>16515</v>
      </c>
      <c r="E2969" s="1" t="s">
        <v>16516</v>
      </c>
      <c r="F2969" s="1" t="s">
        <v>30</v>
      </c>
      <c r="G2969" s="1" t="s">
        <v>16460</v>
      </c>
      <c r="H2969" s="1">
        <v>2014.0</v>
      </c>
      <c r="I2969" s="1" t="s">
        <v>206</v>
      </c>
      <c r="J2969" s="1" t="s">
        <v>51</v>
      </c>
      <c r="K2969" s="1" t="s">
        <v>290</v>
      </c>
      <c r="L2969" s="1" t="s">
        <v>16517</v>
      </c>
      <c r="M2969" s="2" t="s">
        <v>12</v>
      </c>
      <c r="N2969" s="4">
        <f t="shared" si="1"/>
        <v>43862</v>
      </c>
      <c r="O2969" s="5" t="str">
        <f>IFERROR(__xludf.DUMMYFUNCTION("IF(REGEXMATCH(TRIM(I2969), ""^\d+\s*min""), ""Unclassified"", IF(I2969 = """", ""NR"", I2969))"),"TV-Y")</f>
        <v>TV-Y</v>
      </c>
      <c r="R2969" s="5" t="str">
        <f t="shared" si="2"/>
        <v>Shopkins</v>
      </c>
      <c r="S2969" s="5" t="str">
        <f>IFERROR(__xludf.DUMMYFUNCTION("""COMPUTED_VALUE"""),"Hasmukh")</f>
        <v>Hasmukh</v>
      </c>
      <c r="U2969" s="5" t="str">
        <f>IFERROR(__xludf.DUMMYFUNCTION("""COMPUTED_VALUE"""),"Joel Oliansky")</f>
        <v>Joel Oliansky</v>
      </c>
      <c r="V2969" s="5" t="s">
        <v>15710</v>
      </c>
      <c r="W2969" s="5" t="str">
        <f t="shared" si="3"/>
        <v>Naman Nitin Mukesh</v>
      </c>
      <c r="X2969" s="5">
        <f t="shared" si="4"/>
        <v>1</v>
      </c>
      <c r="Y2969" s="5" t="str">
        <f>IFERROR(__xludf.DUMMYFUNCTION("REGEXEXTRACT(J2969, ""^\d+"")"),"1")</f>
        <v>1</v>
      </c>
      <c r="Z2969" s="5" t="str">
        <f>IFERROR(__xludf.DUMMYFUNCTION("REGEXEXTRACT(J2969, ""[A-Za-z ]+$"")")," Season")</f>
        <v> Season</v>
      </c>
      <c r="AA2969" s="5" t="str">
        <f>IFERROR(__xludf.DUMMYFUNCTION("IF(REGEXMATCH(Z2969, ""Season""), ""TV Show"", ""Movie"")"),"TV Show")</f>
        <v>TV Show</v>
      </c>
    </row>
    <row r="2970">
      <c r="A2970" s="1" t="s">
        <v>16518</v>
      </c>
      <c r="B2970" s="1" t="s">
        <v>27</v>
      </c>
      <c r="C2970" s="1" t="s">
        <v>16519</v>
      </c>
      <c r="D2970" s="1" t="s">
        <v>8007</v>
      </c>
      <c r="E2970" s="1" t="s">
        <v>16520</v>
      </c>
      <c r="F2970" s="1" t="s">
        <v>30</v>
      </c>
      <c r="G2970" s="1" t="s">
        <v>16460</v>
      </c>
      <c r="H2970" s="1">
        <v>2019.0</v>
      </c>
      <c r="I2970" s="1" t="s">
        <v>42</v>
      </c>
      <c r="J2970" s="1" t="s">
        <v>1191</v>
      </c>
      <c r="K2970" s="1" t="s">
        <v>2167</v>
      </c>
      <c r="L2970" s="1" t="s">
        <v>16521</v>
      </c>
      <c r="M2970" s="2" t="s">
        <v>12</v>
      </c>
      <c r="N2970" s="4">
        <f t="shared" si="1"/>
        <v>43862</v>
      </c>
      <c r="O2970" s="5" t="str">
        <f>IFERROR(__xludf.DUMMYFUNCTION("IF(REGEXMATCH(TRIM(I2970), ""^\d+\s*min""), ""Unclassified"", IF(I2970 = """", ""NR"", I2970))"),"TV-MA")</f>
        <v>TV-MA</v>
      </c>
      <c r="R2970" s="5" t="str">
        <f t="shared" si="2"/>
        <v>The Car: Road To Revenge</v>
      </c>
      <c r="S2970" s="5" t="str">
        <f>IFERROR(__xludf.DUMMYFUNCTION("""COMPUTED_VALUE"""),"Hasta Los Dientes")</f>
        <v>Hasta Los Dientes</v>
      </c>
      <c r="U2970" s="5" t="str">
        <f>IFERROR(__xludf.DUMMYFUNCTION("""COMPUTED_VALUE"""),"Roy Campanella Ii")</f>
        <v>Roy Campanella Ii</v>
      </c>
      <c r="V2970" s="5" t="s">
        <v>16522</v>
      </c>
      <c r="W2970" s="5" t="str">
        <f t="shared" si="3"/>
        <v>Nana Ekvtimishvili, Simon Gross</v>
      </c>
      <c r="X2970" s="5">
        <f t="shared" si="4"/>
        <v>1</v>
      </c>
      <c r="Y2970" s="5" t="str">
        <f>IFERROR(__xludf.DUMMYFUNCTION("REGEXEXTRACT(J2970, ""^\d+"")"),"89")</f>
        <v>89</v>
      </c>
      <c r="Z2970" s="5" t="str">
        <f>IFERROR(__xludf.DUMMYFUNCTION("REGEXEXTRACT(J2970, ""[A-Za-z ]+$"")")," min")</f>
        <v> min</v>
      </c>
      <c r="AA2970" s="5" t="str">
        <f>IFERROR(__xludf.DUMMYFUNCTION("IF(REGEXMATCH(Z2970, ""Season""), ""TV Show"", ""Movie"")"),"Movie")</f>
        <v>Movie</v>
      </c>
    </row>
    <row r="2971">
      <c r="A2971" s="1" t="s">
        <v>16523</v>
      </c>
      <c r="B2971" s="1" t="s">
        <v>27</v>
      </c>
      <c r="C2971" s="1" t="s">
        <v>16524</v>
      </c>
      <c r="D2971" s="1" t="s">
        <v>13267</v>
      </c>
      <c r="E2971" s="1" t="s">
        <v>16525</v>
      </c>
      <c r="F2971" s="1" t="s">
        <v>63</v>
      </c>
      <c r="G2971" s="1" t="s">
        <v>16460</v>
      </c>
      <c r="H2971" s="1">
        <v>1999.0</v>
      </c>
      <c r="I2971" s="1" t="s">
        <v>506</v>
      </c>
      <c r="J2971" s="1" t="s">
        <v>16526</v>
      </c>
      <c r="K2971" s="1" t="s">
        <v>1429</v>
      </c>
      <c r="L2971" s="1" t="s">
        <v>16527</v>
      </c>
      <c r="M2971" s="2" t="s">
        <v>12</v>
      </c>
      <c r="N2971" s="4">
        <f t="shared" si="1"/>
        <v>43862</v>
      </c>
      <c r="O2971" s="5" t="str">
        <f>IFERROR(__xludf.DUMMYFUNCTION("IF(REGEXMATCH(TRIM(I2971), ""^\d+\s*min""), ""Unclassified"", IF(I2971 = """", ""NR"", I2971))"),"TV-G")</f>
        <v>TV-G</v>
      </c>
      <c r="R2971" s="5" t="str">
        <f t="shared" si="2"/>
        <v>Together For Eternity</v>
      </c>
      <c r="S2971" s="5" t="str">
        <f>IFERROR(__xludf.DUMMYFUNCTION("""COMPUTED_VALUE"""),"Hatchimals | Adventures In Hatchtopia")</f>
        <v>Hatchimals | Adventures In Hatchtopia</v>
      </c>
      <c r="U2971" s="5" t="str">
        <f>IFERROR(__xludf.DUMMYFUNCTION("""COMPUTED_VALUE"""),"Arthur Allan Seidelman")</f>
        <v>Arthur Allan Seidelman</v>
      </c>
      <c r="V2971" s="5" t="s">
        <v>16528</v>
      </c>
      <c r="W2971" s="5" t="str">
        <f t="shared" si="3"/>
        <v>Nancy Meyers</v>
      </c>
      <c r="X2971" s="5">
        <f t="shared" si="4"/>
        <v>1</v>
      </c>
      <c r="Y2971" s="5" t="str">
        <f>IFERROR(__xludf.DUMMYFUNCTION("REGEXEXTRACT(J2971, ""^\d+"")"),"176")</f>
        <v>176</v>
      </c>
      <c r="Z2971" s="5" t="str">
        <f>IFERROR(__xludf.DUMMYFUNCTION("REGEXEXTRACT(J2971, ""[A-Za-z ]+$"")")," min")</f>
        <v> min</v>
      </c>
      <c r="AA2971" s="5" t="str">
        <f>IFERROR(__xludf.DUMMYFUNCTION("IF(REGEXMATCH(Z2971, ""Season""), ""TV Show"", ""Movie"")"),"Movie")</f>
        <v>Movie</v>
      </c>
    </row>
    <row r="2972">
      <c r="A2972" s="1" t="s">
        <v>16529</v>
      </c>
      <c r="B2972" s="1" t="s">
        <v>27</v>
      </c>
      <c r="C2972" s="1" t="s">
        <v>16530</v>
      </c>
      <c r="D2972" s="1" t="s">
        <v>9329</v>
      </c>
      <c r="E2972" s="1" t="s">
        <v>16531</v>
      </c>
      <c r="F2972" s="1" t="s">
        <v>415</v>
      </c>
      <c r="G2972" s="1" t="s">
        <v>16532</v>
      </c>
      <c r="H2972" s="1">
        <v>2020.0</v>
      </c>
      <c r="I2972" s="1" t="s">
        <v>42</v>
      </c>
      <c r="J2972" s="1" t="s">
        <v>349</v>
      </c>
      <c r="K2972" s="1" t="s">
        <v>128</v>
      </c>
      <c r="L2972" s="1" t="s">
        <v>16533</v>
      </c>
      <c r="M2972" s="2" t="s">
        <v>12</v>
      </c>
      <c r="N2972" s="4">
        <f t="shared" si="1"/>
        <v>43861</v>
      </c>
      <c r="O2972" s="5" t="str">
        <f>IFERROR(__xludf.DUMMYFUNCTION("IF(REGEXMATCH(TRIM(I2972), ""^\d+\s*min""), ""Unclassified"", IF(I2972 = """", ""NR"", I2972))"),"TV-MA")</f>
        <v>TV-MA</v>
      </c>
      <c r="R2972" s="5" t="str">
        <f t="shared" si="2"/>
        <v>37 Seconds</v>
      </c>
      <c r="S2972" s="5" t="str">
        <f>IFERROR(__xludf.DUMMYFUNCTION("""COMPUTED_VALUE"""),"Hate By Dani Rovira")</f>
        <v>Hate By Dani Rovira</v>
      </c>
      <c r="U2972" s="5" t="str">
        <f>IFERROR(__xludf.DUMMYFUNCTION("""COMPUTED_VALUE"""),"John Herzfeld")</f>
        <v>John Herzfeld</v>
      </c>
      <c r="V2972" s="5" t="s">
        <v>16534</v>
      </c>
      <c r="W2972" s="5" t="str">
        <f t="shared" si="3"/>
        <v>Nancy Schwartzman</v>
      </c>
      <c r="X2972" s="5">
        <f t="shared" si="4"/>
        <v>1</v>
      </c>
      <c r="Y2972" s="5" t="str">
        <f>IFERROR(__xludf.DUMMYFUNCTION("REGEXEXTRACT(J2972, ""^\d+"")"),"116")</f>
        <v>116</v>
      </c>
      <c r="Z2972" s="5" t="str">
        <f>IFERROR(__xludf.DUMMYFUNCTION("REGEXEXTRACT(J2972, ""[A-Za-z ]+$"")")," min")</f>
        <v> min</v>
      </c>
      <c r="AA2972" s="5" t="str">
        <f>IFERROR(__xludf.DUMMYFUNCTION("IF(REGEXMATCH(Z2972, ""Season""), ""TV Show"", ""Movie"")"),"Movie")</f>
        <v>Movie</v>
      </c>
    </row>
    <row r="2973">
      <c r="A2973" s="1" t="s">
        <v>16535</v>
      </c>
      <c r="B2973" s="1" t="s">
        <v>37</v>
      </c>
      <c r="C2973" s="1" t="s">
        <v>16536</v>
      </c>
      <c r="E2973" s="1" t="s">
        <v>16537</v>
      </c>
      <c r="F2973" s="1" t="s">
        <v>162</v>
      </c>
      <c r="G2973" s="1" t="s">
        <v>16532</v>
      </c>
      <c r="H2973" s="1">
        <v>2020.0</v>
      </c>
      <c r="I2973" s="1" t="s">
        <v>42</v>
      </c>
      <c r="J2973" s="1" t="s">
        <v>43</v>
      </c>
      <c r="K2973" s="1" t="s">
        <v>177</v>
      </c>
      <c r="L2973" s="1" t="s">
        <v>16538</v>
      </c>
      <c r="M2973" s="2" t="s">
        <v>12</v>
      </c>
      <c r="N2973" s="4">
        <f t="shared" si="1"/>
        <v>43861</v>
      </c>
      <c r="O2973" s="5" t="str">
        <f>IFERROR(__xludf.DUMMYFUNCTION("IF(REGEXMATCH(TRIM(I2973), ""^\d+\s*min""), ""Unclassified"", IF(I2973 = """", ""NR"", I2973))"),"TV-MA")</f>
        <v>TV-MA</v>
      </c>
      <c r="R2973" s="5" t="str">
        <f t="shared" si="2"/>
        <v>Diablero</v>
      </c>
      <c r="S2973" s="5" t="str">
        <f>IFERROR(__xludf.DUMMYFUNCTION("""COMPUTED_VALUE"""),"Haters Back Off")</f>
        <v>Haters Back Off</v>
      </c>
      <c r="U2973" s="5" t="str">
        <f>IFERROR(__xludf.DUMMYFUNCTION("""COMPUTED_VALUE"""),"Buzz Kulik")</f>
        <v>Buzz Kulik</v>
      </c>
      <c r="V2973" s="5" t="s">
        <v>16539</v>
      </c>
      <c r="W2973" s="5" t="str">
        <f t="shared" si="3"/>
        <v>Nandita Das</v>
      </c>
      <c r="X2973" s="5">
        <f t="shared" si="4"/>
        <v>1</v>
      </c>
      <c r="Y2973" s="5" t="str">
        <f>IFERROR(__xludf.DUMMYFUNCTION("REGEXEXTRACT(J2973, ""^\d+"")"),"2")</f>
        <v>2</v>
      </c>
      <c r="Z2973" s="5" t="str">
        <f>IFERROR(__xludf.DUMMYFUNCTION("REGEXEXTRACT(J2973, ""[A-Za-z ]+$"")")," Seasons")</f>
        <v> Seasons</v>
      </c>
      <c r="AA2973" s="5" t="str">
        <f>IFERROR(__xludf.DUMMYFUNCTION("IF(REGEXMATCH(Z2973, ""Season""), ""TV Show"", ""Movie"")"),"TV Show")</f>
        <v>TV Show</v>
      </c>
    </row>
    <row r="2974">
      <c r="A2974" s="1" t="s">
        <v>16540</v>
      </c>
      <c r="B2974" s="1" t="s">
        <v>27</v>
      </c>
      <c r="C2974" s="1" t="s">
        <v>16541</v>
      </c>
      <c r="D2974" s="1" t="s">
        <v>10479</v>
      </c>
      <c r="E2974" s="1" t="s">
        <v>16542</v>
      </c>
      <c r="F2974" s="1" t="s">
        <v>664</v>
      </c>
      <c r="G2974" s="1" t="s">
        <v>16532</v>
      </c>
      <c r="H2974" s="1">
        <v>2016.0</v>
      </c>
      <c r="I2974" s="1" t="s">
        <v>42</v>
      </c>
      <c r="J2974" s="1" t="s">
        <v>1144</v>
      </c>
      <c r="K2974" s="1" t="s">
        <v>128</v>
      </c>
      <c r="L2974" s="1" t="s">
        <v>16543</v>
      </c>
      <c r="M2974" s="2" t="s">
        <v>12</v>
      </c>
      <c r="N2974" s="4">
        <f t="shared" si="1"/>
        <v>43861</v>
      </c>
      <c r="O2974" s="5" t="str">
        <f>IFERROR(__xludf.DUMMYFUNCTION("IF(REGEXMATCH(TRIM(I2974), ""^\d+\s*min""), ""Unclassified"", IF(I2974 = """", ""NR"", I2974))"),"TV-MA")</f>
        <v>TV-MA</v>
      </c>
      <c r="R2974" s="5" t="str">
        <f t="shared" si="2"/>
        <v>Gang Of The Caribbean</v>
      </c>
      <c r="S2974" s="5" t="str">
        <f>IFERROR(__xludf.DUMMYFUNCTION("""COMPUTED_VALUE"""),"Hati Perempuan")</f>
        <v>Hati Perempuan</v>
      </c>
      <c r="U2974" s="5" t="str">
        <f>IFERROR(__xludf.DUMMYFUNCTION("""COMPUTED_VALUE"""),"Richard Michaels")</f>
        <v>Richard Michaels</v>
      </c>
      <c r="V2974" s="5" t="s">
        <v>16544</v>
      </c>
      <c r="W2974" s="5" t="str">
        <f t="shared" si="3"/>
        <v>Nanette Burstein</v>
      </c>
      <c r="X2974" s="5">
        <f t="shared" si="4"/>
        <v>1</v>
      </c>
      <c r="Y2974" s="5" t="str">
        <f>IFERROR(__xludf.DUMMYFUNCTION("REGEXEXTRACT(J2974, ""^\d+"")"),"86")</f>
        <v>86</v>
      </c>
      <c r="Z2974" s="5" t="str">
        <f>IFERROR(__xludf.DUMMYFUNCTION("REGEXEXTRACT(J2974, ""[A-Za-z ]+$"")")," min")</f>
        <v> min</v>
      </c>
      <c r="AA2974" s="5" t="str">
        <f>IFERROR(__xludf.DUMMYFUNCTION("IF(REGEXMATCH(Z2974, ""Season""), ""TV Show"", ""Movie"")"),"Movie")</f>
        <v>Movie</v>
      </c>
    </row>
    <row r="2975">
      <c r="A2975" s="1" t="s">
        <v>16545</v>
      </c>
      <c r="B2975" s="1" t="s">
        <v>27</v>
      </c>
      <c r="C2975" s="1" t="s">
        <v>16546</v>
      </c>
      <c r="D2975" s="1" t="s">
        <v>13233</v>
      </c>
      <c r="E2975" s="1" t="s">
        <v>16547</v>
      </c>
      <c r="F2975" s="1" t="s">
        <v>400</v>
      </c>
      <c r="G2975" s="1" t="s">
        <v>16532</v>
      </c>
      <c r="H2975" s="1">
        <v>2017.0</v>
      </c>
      <c r="I2975" s="1" t="s">
        <v>97</v>
      </c>
      <c r="J2975" s="1" t="s">
        <v>454</v>
      </c>
      <c r="K2975" s="1" t="s">
        <v>836</v>
      </c>
      <c r="L2975" s="1" t="s">
        <v>16548</v>
      </c>
      <c r="M2975" s="2" t="s">
        <v>12</v>
      </c>
      <c r="N2975" s="4">
        <f t="shared" si="1"/>
        <v>43861</v>
      </c>
      <c r="O2975" s="5" t="str">
        <f>IFERROR(__xludf.DUMMYFUNCTION("IF(REGEXMATCH(TRIM(I2975), ""^\d+\s*min""), ""Unclassified"", IF(I2975 = """", ""NR"", I2975))"),"TV-14")</f>
        <v>TV-14</v>
      </c>
      <c r="R2975" s="5" t="str">
        <f t="shared" si="2"/>
        <v>Hakkunde</v>
      </c>
      <c r="S2975" s="5" t="str">
        <f>IFERROR(__xludf.DUMMYFUNCTION("""COMPUTED_VALUE"""),"Hating Peter Tatchell")</f>
        <v>Hating Peter Tatchell</v>
      </c>
      <c r="U2975" s="5" t="str">
        <f>IFERROR(__xludf.DUMMYFUNCTION("""COMPUTED_VALUE"""),"Linda Otto")</f>
        <v>Linda Otto</v>
      </c>
      <c r="V2975" s="5" t="s">
        <v>16549</v>
      </c>
      <c r="W2975" s="5" t="str">
        <f t="shared" si="3"/>
        <v>Naoko Yamada</v>
      </c>
      <c r="X2975" s="5">
        <f t="shared" si="4"/>
        <v>2</v>
      </c>
      <c r="Y2975" s="5" t="str">
        <f>IFERROR(__xludf.DUMMYFUNCTION("REGEXEXTRACT(J2975, ""^\d+"")"),"93")</f>
        <v>93</v>
      </c>
      <c r="Z2975" s="5" t="str">
        <f>IFERROR(__xludf.DUMMYFUNCTION("REGEXEXTRACT(J2975, ""[A-Za-z ]+$"")")," min")</f>
        <v> min</v>
      </c>
      <c r="AA2975" s="5" t="str">
        <f>IFERROR(__xludf.DUMMYFUNCTION("IF(REGEXMATCH(Z2975, ""Season""), ""TV Show"", ""Movie"")"),"Movie")</f>
        <v>Movie</v>
      </c>
    </row>
    <row r="2976">
      <c r="A2976" s="1" t="s">
        <v>16550</v>
      </c>
      <c r="B2976" s="1" t="s">
        <v>37</v>
      </c>
      <c r="C2976" s="1" t="s">
        <v>16551</v>
      </c>
      <c r="E2976" s="1" t="s">
        <v>16552</v>
      </c>
      <c r="F2976" s="1" t="s">
        <v>1779</v>
      </c>
      <c r="G2976" s="1" t="s">
        <v>16532</v>
      </c>
      <c r="H2976" s="1">
        <v>2020.0</v>
      </c>
      <c r="I2976" s="1" t="s">
        <v>42</v>
      </c>
      <c r="J2976" s="1" t="s">
        <v>51</v>
      </c>
      <c r="K2976" s="1" t="s">
        <v>1907</v>
      </c>
      <c r="L2976" s="1" t="s">
        <v>16553</v>
      </c>
      <c r="M2976" s="2" t="s">
        <v>12</v>
      </c>
      <c r="N2976" s="4">
        <f t="shared" si="1"/>
        <v>43861</v>
      </c>
      <c r="O2976" s="5" t="str">
        <f>IFERROR(__xludf.DUMMYFUNCTION("IF(REGEXMATCH(TRIM(I2976), ""^\d+\s*min""), ""Unclassified"", IF(I2976 = """", ""NR"", I2976))"),"TV-MA")</f>
        <v>TV-MA</v>
      </c>
      <c r="R2976" s="5" t="str">
        <f t="shared" si="2"/>
        <v>Luna Nera</v>
      </c>
      <c r="S2976" s="5" t="str">
        <f>IFERROR(__xludf.DUMMYFUNCTION("""COMPUTED_VALUE"""),"Hattrick")</f>
        <v>Hattrick</v>
      </c>
      <c r="U2976" s="5" t="str">
        <f>IFERROR(__xludf.DUMMYFUNCTION("""COMPUTED_VALUE"""),"Roger Young")</f>
        <v>Roger Young</v>
      </c>
      <c r="V2976" s="5" t="s">
        <v>16554</v>
      </c>
      <c r="W2976" s="5" t="str">
        <f t="shared" si="3"/>
        <v>Naoto Amazutsumi</v>
      </c>
      <c r="X2976" s="5">
        <f t="shared" si="4"/>
        <v>1</v>
      </c>
      <c r="Y2976" s="5" t="str">
        <f>IFERROR(__xludf.DUMMYFUNCTION("REGEXEXTRACT(J2976, ""^\d+"")"),"1")</f>
        <v>1</v>
      </c>
      <c r="Z2976" s="5" t="str">
        <f>IFERROR(__xludf.DUMMYFUNCTION("REGEXEXTRACT(J2976, ""[A-Za-z ]+$"")")," Season")</f>
        <v> Season</v>
      </c>
      <c r="AA2976" s="5" t="str">
        <f>IFERROR(__xludf.DUMMYFUNCTION("IF(REGEXMATCH(Z2976, ""Season""), ""TV Show"", ""Movie"")"),"TV Show")</f>
        <v>TV Show</v>
      </c>
    </row>
    <row r="2977">
      <c r="A2977" s="1" t="s">
        <v>16555</v>
      </c>
      <c r="B2977" s="1" t="s">
        <v>27</v>
      </c>
      <c r="C2977" s="1" t="s">
        <v>16556</v>
      </c>
      <c r="D2977" s="1" t="s">
        <v>13339</v>
      </c>
      <c r="E2977" s="1" t="s">
        <v>16557</v>
      </c>
      <c r="F2977" s="1" t="s">
        <v>30</v>
      </c>
      <c r="G2977" s="1" t="s">
        <v>16532</v>
      </c>
      <c r="H2977" s="1">
        <v>2020.0</v>
      </c>
      <c r="I2977" s="1" t="s">
        <v>42</v>
      </c>
      <c r="J2977" s="1" t="s">
        <v>471</v>
      </c>
      <c r="K2977" s="1" t="s">
        <v>700</v>
      </c>
      <c r="L2977" s="1" t="s">
        <v>16558</v>
      </c>
      <c r="M2977" s="2" t="s">
        <v>12</v>
      </c>
      <c r="N2977" s="4">
        <f t="shared" si="1"/>
        <v>43861</v>
      </c>
      <c r="O2977" s="5" t="str">
        <f>IFERROR(__xludf.DUMMYFUNCTION("IF(REGEXMATCH(TRIM(I2977), ""^\d+\s*min""), ""Unclassified"", IF(I2977 = """", ""NR"", I2977))"),"TV-MA")</f>
        <v>TV-MA</v>
      </c>
      <c r="R2977" s="5" t="str">
        <f t="shared" si="2"/>
        <v>Miss Americana</v>
      </c>
      <c r="S2977" s="5" t="str">
        <f>IFERROR(__xludf.DUMMYFUNCTION("""COMPUTED_VALUE"""),"Haunted")</f>
        <v>Haunted</v>
      </c>
      <c r="U2977" s="5" t="str">
        <f>IFERROR(__xludf.DUMMYFUNCTION("""COMPUTED_VALUE"""),"Rob Laduca, Robert C. Ramirez")</f>
        <v>Rob Laduca, Robert C. Ramirez</v>
      </c>
      <c r="V2977" s="5" t="s">
        <v>10098</v>
      </c>
      <c r="W2977" s="5" t="str">
        <f t="shared" si="3"/>
        <v>Narendra Nath</v>
      </c>
      <c r="X2977" s="5">
        <f t="shared" si="4"/>
        <v>1</v>
      </c>
      <c r="Y2977" s="5" t="str">
        <f>IFERROR(__xludf.DUMMYFUNCTION("REGEXEXTRACT(J2977, ""^\d+"")"),"85")</f>
        <v>85</v>
      </c>
      <c r="Z2977" s="5" t="str">
        <f>IFERROR(__xludf.DUMMYFUNCTION("REGEXEXTRACT(J2977, ""[A-Za-z ]+$"")")," min")</f>
        <v> min</v>
      </c>
      <c r="AA2977" s="5" t="str">
        <f>IFERROR(__xludf.DUMMYFUNCTION("IF(REGEXMATCH(Z2977, ""Season""), ""TV Show"", ""Movie"")"),"Movie")</f>
        <v>Movie</v>
      </c>
    </row>
    <row r="2978">
      <c r="A2978" s="1" t="s">
        <v>16559</v>
      </c>
      <c r="B2978" s="1" t="s">
        <v>37</v>
      </c>
      <c r="C2978" s="1" t="s">
        <v>16560</v>
      </c>
      <c r="E2978" s="1" t="s">
        <v>16561</v>
      </c>
      <c r="F2978" s="1" t="s">
        <v>784</v>
      </c>
      <c r="G2978" s="1" t="s">
        <v>16532</v>
      </c>
      <c r="H2978" s="1">
        <v>2020.0</v>
      </c>
      <c r="I2978" s="1" t="s">
        <v>42</v>
      </c>
      <c r="J2978" s="1" t="s">
        <v>43</v>
      </c>
      <c r="K2978" s="1" t="s">
        <v>785</v>
      </c>
      <c r="L2978" s="1" t="s">
        <v>16562</v>
      </c>
      <c r="M2978" s="2" t="s">
        <v>12</v>
      </c>
      <c r="N2978" s="4">
        <f t="shared" si="1"/>
        <v>43861</v>
      </c>
      <c r="O2978" s="5" t="str">
        <f>IFERROR(__xludf.DUMMYFUNCTION("IF(REGEXMATCH(TRIM(I2978), ""^\d+\s*min""), ""Unclassified"", IF(I2978 = """", ""NR"", I2978))"),"TV-MA")</f>
        <v>TV-MA</v>
      </c>
      <c r="R2978" s="5" t="str">
        <f t="shared" si="2"/>
        <v>Unauthorized Living</v>
      </c>
      <c r="S2978" s="5" t="str">
        <f>IFERROR(__xludf.DUMMYFUNCTION("""COMPUTED_VALUE"""),"Haunted House")</f>
        <v>Haunted House</v>
      </c>
      <c r="U2978" s="5" t="str">
        <f>IFERROR(__xludf.DUMMYFUNCTION("""COMPUTED_VALUE"""),"Icíar Bollaín")</f>
        <v>Icíar Bollaín</v>
      </c>
      <c r="V2978" s="5" t="s">
        <v>3384</v>
      </c>
      <c r="W2978" s="5" t="str">
        <f t="shared" si="3"/>
        <v>Naresh Saigal</v>
      </c>
      <c r="X2978" s="5">
        <f t="shared" si="4"/>
        <v>1</v>
      </c>
      <c r="Y2978" s="5" t="str">
        <f>IFERROR(__xludf.DUMMYFUNCTION("REGEXEXTRACT(J2978, ""^\d+"")"),"2")</f>
        <v>2</v>
      </c>
      <c r="Z2978" s="5" t="str">
        <f>IFERROR(__xludf.DUMMYFUNCTION("REGEXEXTRACT(J2978, ""[A-Za-z ]+$"")")," Seasons")</f>
        <v> Seasons</v>
      </c>
      <c r="AA2978" s="5" t="str">
        <f>IFERROR(__xludf.DUMMYFUNCTION("IF(REGEXMATCH(Z2978, ""Season""), ""TV Show"", ""Movie"")"),"TV Show")</f>
        <v>TV Show</v>
      </c>
    </row>
    <row r="2979">
      <c r="A2979" s="1" t="s">
        <v>16563</v>
      </c>
      <c r="B2979" s="1" t="s">
        <v>37</v>
      </c>
      <c r="C2979" s="1" t="s">
        <v>16564</v>
      </c>
      <c r="E2979" s="1" t="s">
        <v>16565</v>
      </c>
      <c r="F2979" s="1" t="s">
        <v>415</v>
      </c>
      <c r="G2979" s="1" t="s">
        <v>16566</v>
      </c>
      <c r="H2979" s="1">
        <v>2019.0</v>
      </c>
      <c r="I2979" s="1" t="s">
        <v>97</v>
      </c>
      <c r="J2979" s="1" t="s">
        <v>51</v>
      </c>
      <c r="K2979" s="1" t="s">
        <v>530</v>
      </c>
      <c r="L2979" s="1" t="s">
        <v>16567</v>
      </c>
      <c r="M2979" s="2" t="s">
        <v>12</v>
      </c>
      <c r="N2979" s="4">
        <f t="shared" si="1"/>
        <v>43860</v>
      </c>
      <c r="O2979" s="5" t="str">
        <f>IFERROR(__xludf.DUMMYFUNCTION("IF(REGEXMATCH(TRIM(I2979), ""^\d+\s*min""), ""Unclassified"", IF(I2979 = """", ""NR"", I2979))"),"TV-14")</f>
        <v>TV-14</v>
      </c>
      <c r="R2979" s="5" t="str">
        <f t="shared" si="2"/>
        <v>Ainori Love Wagon: African Journey</v>
      </c>
      <c r="S2979" s="5" t="str">
        <f>IFERROR(__xludf.DUMMYFUNCTION("""COMPUTED_VALUE"""),"Haunted: Latin America")</f>
        <v>Haunted: Latin America</v>
      </c>
      <c r="U2979" s="5" t="str">
        <f>IFERROR(__xludf.DUMMYFUNCTION("""COMPUTED_VALUE"""),"Joe Dante")</f>
        <v>Joe Dante</v>
      </c>
      <c r="V2979" s="5" t="s">
        <v>6583</v>
      </c>
      <c r="W2979" s="5" t="str">
        <f t="shared" si="3"/>
        <v>Naseef Yusuf Izuddin</v>
      </c>
      <c r="X2979" s="5">
        <f t="shared" si="4"/>
        <v>1</v>
      </c>
      <c r="Y2979" s="5" t="str">
        <f>IFERROR(__xludf.DUMMYFUNCTION("REGEXEXTRACT(J2979, ""^\d+"")"),"1")</f>
        <v>1</v>
      </c>
      <c r="Z2979" s="5" t="str">
        <f>IFERROR(__xludf.DUMMYFUNCTION("REGEXEXTRACT(J2979, ""[A-Za-z ]+$"")")," Season")</f>
        <v> Season</v>
      </c>
      <c r="AA2979" s="5" t="str">
        <f>IFERROR(__xludf.DUMMYFUNCTION("IF(REGEXMATCH(Z2979, ""Season""), ""TV Show"", ""Movie"")"),"TV Show")</f>
        <v>TV Show</v>
      </c>
    </row>
    <row r="2980">
      <c r="A2980" s="1" t="s">
        <v>16568</v>
      </c>
      <c r="B2980" s="1" t="s">
        <v>27</v>
      </c>
      <c r="C2980" s="1" t="s">
        <v>16569</v>
      </c>
      <c r="D2980" s="1" t="s">
        <v>16570</v>
      </c>
      <c r="E2980" s="1" t="s">
        <v>9807</v>
      </c>
      <c r="F2980" s="1" t="s">
        <v>30</v>
      </c>
      <c r="G2980" s="1" t="s">
        <v>16566</v>
      </c>
      <c r="H2980" s="1">
        <v>2009.0</v>
      </c>
      <c r="I2980" s="1" t="s">
        <v>42</v>
      </c>
      <c r="J2980" s="1" t="s">
        <v>2670</v>
      </c>
      <c r="K2980" s="1" t="s">
        <v>1839</v>
      </c>
      <c r="L2980" s="1" t="s">
        <v>16571</v>
      </c>
      <c r="M2980" s="2" t="s">
        <v>12</v>
      </c>
      <c r="N2980" s="4">
        <f t="shared" si="1"/>
        <v>43860</v>
      </c>
      <c r="O2980" s="5" t="str">
        <f>IFERROR(__xludf.DUMMYFUNCTION("IF(REGEXMATCH(TRIM(I2980), ""^\d+\s*min""), ""Unclassified"", IF(I2980 = """", ""NR"", I2980))"),"TV-MA")</f>
        <v>TV-MA</v>
      </c>
      <c r="R2980" s="5" t="str">
        <f t="shared" si="2"/>
        <v>Kevin Hart: I'M A Grown Little Man</v>
      </c>
      <c r="S2980" s="5" t="str">
        <f>IFERROR(__xludf.DUMMYFUNCTION("""COMPUTED_VALUE"""),"Haunters: The Art Of The Scare")</f>
        <v>Haunters: The Art Of The Scare</v>
      </c>
      <c r="U2980" s="5" t="str">
        <f>IFERROR(__xludf.DUMMYFUNCTION("""COMPUTED_VALUE"""),"Ole Bornedal")</f>
        <v>Ole Bornedal</v>
      </c>
      <c r="V2980" s="5" t="s">
        <v>16572</v>
      </c>
      <c r="W2980" s="5" t="str">
        <f t="shared" si="3"/>
        <v>Natalia Garagiola</v>
      </c>
      <c r="X2980" s="5">
        <f t="shared" si="4"/>
        <v>1</v>
      </c>
      <c r="Y2980" s="5" t="str">
        <f>IFERROR(__xludf.DUMMYFUNCTION("REGEXEXTRACT(J2980, ""^\d+"")"),"62")</f>
        <v>62</v>
      </c>
      <c r="Z2980" s="5" t="str">
        <f>IFERROR(__xludf.DUMMYFUNCTION("REGEXEXTRACT(J2980, ""[A-Za-z ]+$"")")," min")</f>
        <v> min</v>
      </c>
      <c r="AA2980" s="5" t="str">
        <f>IFERROR(__xludf.DUMMYFUNCTION("IF(REGEXMATCH(Z2980, ""Season""), ""TV Show"", ""Movie"")"),"Movie")</f>
        <v>Movie</v>
      </c>
    </row>
    <row r="2981">
      <c r="A2981" s="1" t="s">
        <v>16573</v>
      </c>
      <c r="B2981" s="1" t="s">
        <v>37</v>
      </c>
      <c r="C2981" s="1" t="s">
        <v>16574</v>
      </c>
      <c r="E2981" s="1" t="s">
        <v>16575</v>
      </c>
      <c r="F2981" s="1" t="s">
        <v>96</v>
      </c>
      <c r="G2981" s="1" t="s">
        <v>16566</v>
      </c>
      <c r="H2981" s="1">
        <v>2020.0</v>
      </c>
      <c r="I2981" s="1" t="s">
        <v>42</v>
      </c>
      <c r="J2981" s="1" t="s">
        <v>51</v>
      </c>
      <c r="K2981" s="1" t="s">
        <v>3274</v>
      </c>
      <c r="L2981" s="1" t="s">
        <v>16576</v>
      </c>
      <c r="M2981" s="2" t="s">
        <v>12</v>
      </c>
      <c r="N2981" s="4">
        <f t="shared" si="1"/>
        <v>43860</v>
      </c>
      <c r="O2981" s="5" t="str">
        <f>IFERROR(__xludf.DUMMYFUNCTION("IF(REGEXMATCH(TRIM(I2981), ""^\d+\s*min""), ""Unclassified"", IF(I2981 = """", ""NR"", I2981))"),"TV-MA")</f>
        <v>TV-MA</v>
      </c>
      <c r="R2981" s="5" t="str">
        <f t="shared" si="2"/>
        <v>The Stranger</v>
      </c>
      <c r="S2981" s="5" t="str">
        <f>IFERROR(__xludf.DUMMYFUNCTION("""COMPUTED_VALUE"""),"Haunting On Fraternity Row")</f>
        <v>Haunting On Fraternity Row</v>
      </c>
      <c r="U2981" s="5" t="str">
        <f>IFERROR(__xludf.DUMMYFUNCTION("""COMPUTED_VALUE"""),"Sorin Dan Mihalcescu")</f>
        <v>Sorin Dan Mihalcescu</v>
      </c>
      <c r="V2981" s="5" t="s">
        <v>16577</v>
      </c>
      <c r="W2981" s="5" t="str">
        <f t="shared" si="3"/>
        <v>Natalia Valdebenito</v>
      </c>
      <c r="X2981" s="5">
        <f t="shared" si="4"/>
        <v>1</v>
      </c>
      <c r="Y2981" s="5" t="str">
        <f>IFERROR(__xludf.DUMMYFUNCTION("REGEXEXTRACT(J2981, ""^\d+"")"),"1")</f>
        <v>1</v>
      </c>
      <c r="Z2981" s="5" t="str">
        <f>IFERROR(__xludf.DUMMYFUNCTION("REGEXEXTRACT(J2981, ""[A-Za-z ]+$"")")," Season")</f>
        <v> Season</v>
      </c>
      <c r="AA2981" s="5" t="str">
        <f>IFERROR(__xludf.DUMMYFUNCTION("IF(REGEXMATCH(Z2981, ""Season""), ""TV Show"", ""Movie"")"),"TV Show")</f>
        <v>TV Show</v>
      </c>
    </row>
    <row r="2982">
      <c r="A2982" s="1" t="s">
        <v>16578</v>
      </c>
      <c r="B2982" s="1" t="s">
        <v>37</v>
      </c>
      <c r="C2982" s="1" t="s">
        <v>16579</v>
      </c>
      <c r="E2982" s="1" t="s">
        <v>12389</v>
      </c>
      <c r="F2982" s="1" t="s">
        <v>30</v>
      </c>
      <c r="G2982" s="1" t="s">
        <v>16566</v>
      </c>
      <c r="H2982" s="1">
        <v>2020.0</v>
      </c>
      <c r="I2982" s="1" t="s">
        <v>97</v>
      </c>
      <c r="J2982" s="1" t="s">
        <v>51</v>
      </c>
      <c r="K2982" s="1" t="s">
        <v>530</v>
      </c>
      <c r="L2982" s="1" t="s">
        <v>16580</v>
      </c>
      <c r="M2982" s="2" t="s">
        <v>12</v>
      </c>
      <c r="N2982" s="4">
        <f t="shared" si="1"/>
        <v>43860</v>
      </c>
      <c r="O2982" s="5" t="str">
        <f>IFERROR(__xludf.DUMMYFUNCTION("IF(REGEXMATCH(TRIM(I2982), ""^\d+\s*min""), ""Unclassified"", IF(I2982 = """", ""NR"", I2982))"),"TV-14")</f>
        <v>TV-14</v>
      </c>
      <c r="R2982" s="5" t="str">
        <f t="shared" si="2"/>
        <v>What The Love! With Karan Johar</v>
      </c>
      <c r="S2982" s="5" t="str">
        <f>IFERROR(__xludf.DUMMYFUNCTION("""COMPUTED_VALUE"""),"Have A Good Trip: Adventures In Psychedelics")</f>
        <v>Have A Good Trip: Adventures In Psychedelics</v>
      </c>
      <c r="U2982" s="5" t="str">
        <f>IFERROR(__xludf.DUMMYFUNCTION("""COMPUTED_VALUE"""),"Shane Acker")</f>
        <v>Shane Acker</v>
      </c>
      <c r="V2982" s="5" t="s">
        <v>16581</v>
      </c>
      <c r="W2982" s="5" t="str">
        <f t="shared" si="3"/>
        <v>Natalie Portman</v>
      </c>
      <c r="X2982" s="5">
        <f t="shared" si="4"/>
        <v>1</v>
      </c>
      <c r="Y2982" s="5" t="str">
        <f>IFERROR(__xludf.DUMMYFUNCTION("REGEXEXTRACT(J2982, ""^\d+"")"),"1")</f>
        <v>1</v>
      </c>
      <c r="Z2982" s="5" t="str">
        <f>IFERROR(__xludf.DUMMYFUNCTION("REGEXEXTRACT(J2982, ""[A-Za-z ]+$"")")," Season")</f>
        <v> Season</v>
      </c>
      <c r="AA2982" s="5" t="str">
        <f>IFERROR(__xludf.DUMMYFUNCTION("IF(REGEXMATCH(Z2982, ""Season""), ""TV Show"", ""Movie"")"),"TV Show")</f>
        <v>TV Show</v>
      </c>
    </row>
    <row r="2983">
      <c r="A2983" s="1" t="s">
        <v>16582</v>
      </c>
      <c r="B2983" s="1" t="s">
        <v>27</v>
      </c>
      <c r="C2983" s="1" t="s">
        <v>16583</v>
      </c>
      <c r="D2983" s="1" t="s">
        <v>6080</v>
      </c>
      <c r="E2983" s="1" t="s">
        <v>16584</v>
      </c>
      <c r="F2983" s="1" t="s">
        <v>3217</v>
      </c>
      <c r="G2983" s="1" t="s">
        <v>16585</v>
      </c>
      <c r="H2983" s="1">
        <v>2018.0</v>
      </c>
      <c r="I2983" s="1" t="s">
        <v>42</v>
      </c>
      <c r="J2983" s="1" t="s">
        <v>1243</v>
      </c>
      <c r="K2983" s="1" t="s">
        <v>128</v>
      </c>
      <c r="L2983" s="1" t="s">
        <v>16586</v>
      </c>
      <c r="M2983" s="2" t="s">
        <v>12</v>
      </c>
      <c r="N2983" s="4">
        <f t="shared" si="1"/>
        <v>43859</v>
      </c>
      <c r="O2983" s="5" t="str">
        <f>IFERROR(__xludf.DUMMYFUNCTION("IF(REGEXMATCH(TRIM(I2983), ""^\d+\s*min""), ""Unclassified"", IF(I2983 = """", ""NR"", I2983))"),"TV-MA")</f>
        <v>TV-MA</v>
      </c>
      <c r="R2983" s="5" t="str">
        <f t="shared" si="2"/>
        <v>Close Enemies</v>
      </c>
      <c r="S2983" s="5" t="str">
        <f>IFERROR(__xludf.DUMMYFUNCTION("""COMPUTED_VALUE"""),"Have You Ever Fallen In Love, Miss Jiang?")</f>
        <v>Have You Ever Fallen In Love, Miss Jiang?</v>
      </c>
      <c r="U2983" s="5" t="str">
        <f>IFERROR(__xludf.DUMMYFUNCTION("""COMPUTED_VALUE"""),"Kevin Reynolds")</f>
        <v>Kevin Reynolds</v>
      </c>
      <c r="V2983" s="5" t="s">
        <v>10376</v>
      </c>
      <c r="W2983" s="5" t="str">
        <f t="shared" si="3"/>
        <v>Natasha Lyonne</v>
      </c>
      <c r="X2983" s="5">
        <f t="shared" si="4"/>
        <v>1</v>
      </c>
      <c r="Y2983" s="5" t="str">
        <f>IFERROR(__xludf.DUMMYFUNCTION("REGEXEXTRACT(J2983, ""^\d+"")"),"112")</f>
        <v>112</v>
      </c>
      <c r="Z2983" s="5" t="str">
        <f>IFERROR(__xludf.DUMMYFUNCTION("REGEXEXTRACT(J2983, ""[A-Za-z ]+$"")")," min")</f>
        <v> min</v>
      </c>
      <c r="AA2983" s="5" t="str">
        <f>IFERROR(__xludf.DUMMYFUNCTION("IF(REGEXMATCH(Z2983, ""Season""), ""TV Show"", ""Movie"")"),"Movie")</f>
        <v>Movie</v>
      </c>
    </row>
    <row r="2984">
      <c r="A2984" s="1" t="s">
        <v>16587</v>
      </c>
      <c r="B2984" s="1" t="s">
        <v>37</v>
      </c>
      <c r="C2984" s="1" t="s">
        <v>16588</v>
      </c>
      <c r="G2984" s="1" t="s">
        <v>16585</v>
      </c>
      <c r="H2984" s="1">
        <v>2020.0</v>
      </c>
      <c r="I2984" s="1" t="s">
        <v>97</v>
      </c>
      <c r="J2984" s="1" t="s">
        <v>51</v>
      </c>
      <c r="K2984" s="1" t="s">
        <v>64</v>
      </c>
      <c r="L2984" s="1" t="s">
        <v>16589</v>
      </c>
      <c r="M2984" s="2" t="s">
        <v>12</v>
      </c>
      <c r="N2984" s="4">
        <f t="shared" si="1"/>
        <v>43859</v>
      </c>
      <c r="O2984" s="5" t="str">
        <f>IFERROR(__xludf.DUMMYFUNCTION("IF(REGEXMATCH(TRIM(I2984), ""^\d+\s*min""), ""Unclassified"", IF(I2984 = """", ""NR"", I2984))"),"TV-14")</f>
        <v>TV-14</v>
      </c>
      <c r="R2984" s="5" t="str">
        <f t="shared" si="2"/>
        <v>Find Yourself</v>
      </c>
      <c r="S2984" s="5" t="str">
        <f>IFERROR(__xludf.DUMMYFUNCTION("""COMPUTED_VALUE"""),"Have You Ever Seen Fireflies? - Theatre Play")</f>
        <v>Have You Ever Seen Fireflies? - Theatre Play</v>
      </c>
      <c r="U2984" s="5" t="str">
        <f>IFERROR(__xludf.DUMMYFUNCTION("""COMPUTED_VALUE"""),"Shravan Kumar")</f>
        <v>Shravan Kumar</v>
      </c>
      <c r="V2984" s="5" t="s">
        <v>16421</v>
      </c>
      <c r="W2984" s="5" t="str">
        <f t="shared" si="3"/>
        <v>Nate Adams, Adam Carolla</v>
      </c>
      <c r="X2984" s="5">
        <f t="shared" si="4"/>
        <v>3</v>
      </c>
      <c r="Y2984" s="5" t="str">
        <f>IFERROR(__xludf.DUMMYFUNCTION("REGEXEXTRACT(J2984, ""^\d+"")"),"1")</f>
        <v>1</v>
      </c>
      <c r="Z2984" s="5" t="str">
        <f>IFERROR(__xludf.DUMMYFUNCTION("REGEXEXTRACT(J2984, ""[A-Za-z ]+$"")")," Season")</f>
        <v> Season</v>
      </c>
      <c r="AA2984" s="5" t="str">
        <f>IFERROR(__xludf.DUMMYFUNCTION("IF(REGEXMATCH(Z2984, ""Season""), ""TV Show"", ""Movie"")"),"TV Show")</f>
        <v>TV Show</v>
      </c>
    </row>
    <row r="2985">
      <c r="A2985" s="1" t="s">
        <v>16590</v>
      </c>
      <c r="B2985" s="1" t="s">
        <v>37</v>
      </c>
      <c r="C2985" s="1" t="s">
        <v>16591</v>
      </c>
      <c r="E2985" s="1" t="s">
        <v>16503</v>
      </c>
      <c r="F2985" s="1" t="s">
        <v>96</v>
      </c>
      <c r="G2985" s="1" t="s">
        <v>16585</v>
      </c>
      <c r="H2985" s="1">
        <v>2020.0</v>
      </c>
      <c r="I2985" s="1" t="s">
        <v>136</v>
      </c>
      <c r="J2985" s="1" t="s">
        <v>51</v>
      </c>
      <c r="K2985" s="1" t="s">
        <v>736</v>
      </c>
      <c r="L2985" s="1" t="s">
        <v>16592</v>
      </c>
      <c r="M2985" s="2" t="s">
        <v>12</v>
      </c>
      <c r="N2985" s="4">
        <f t="shared" si="1"/>
        <v>43859</v>
      </c>
      <c r="O2985" s="5" t="str">
        <f>IFERROR(__xludf.DUMMYFUNCTION("IF(REGEXMATCH(TRIM(I2985), ""^\d+\s*min""), ""Unclassified"", IF(I2985 = """", ""NR"", I2985))"),"TV-PG")</f>
        <v>TV-PG</v>
      </c>
      <c r="R2985" s="5" t="str">
        <f t="shared" si="2"/>
        <v>Night On Earth</v>
      </c>
      <c r="S2985" s="5" t="str">
        <f>IFERROR(__xludf.DUMMYFUNCTION("""COMPUTED_VALUE"""),"Have You Seen The Listers?")</f>
        <v>Have You Seen The Listers?</v>
      </c>
      <c r="U2985" s="5" t="str">
        <f>IFERROR(__xludf.DUMMYFUNCTION("""COMPUTED_VALUE"""),"Vijay Milton")</f>
        <v>Vijay Milton</v>
      </c>
      <c r="V2985" s="5" t="s">
        <v>16593</v>
      </c>
      <c r="W2985" s="5" t="str">
        <f t="shared" si="3"/>
        <v>Nathan Landeg</v>
      </c>
      <c r="X2985" s="5">
        <f t="shared" si="4"/>
        <v>1</v>
      </c>
      <c r="Y2985" s="5" t="str">
        <f>IFERROR(__xludf.DUMMYFUNCTION("REGEXEXTRACT(J2985, ""^\d+"")"),"1")</f>
        <v>1</v>
      </c>
      <c r="Z2985" s="5" t="str">
        <f>IFERROR(__xludf.DUMMYFUNCTION("REGEXEXTRACT(J2985, ""[A-Za-z ]+$"")")," Season")</f>
        <v> Season</v>
      </c>
      <c r="AA2985" s="5" t="str">
        <f>IFERROR(__xludf.DUMMYFUNCTION("IF(REGEXMATCH(Z2985, ""Season""), ""TV Show"", ""Movie"")"),"TV Show")</f>
        <v>TV Show</v>
      </c>
    </row>
    <row r="2986">
      <c r="A2986" s="1" t="s">
        <v>16594</v>
      </c>
      <c r="B2986" s="1" t="s">
        <v>37</v>
      </c>
      <c r="C2986" s="1" t="s">
        <v>16595</v>
      </c>
      <c r="E2986" s="1" t="s">
        <v>16596</v>
      </c>
      <c r="F2986" s="1" t="s">
        <v>1992</v>
      </c>
      <c r="G2986" s="1" t="s">
        <v>16585</v>
      </c>
      <c r="H2986" s="1">
        <v>2020.0</v>
      </c>
      <c r="I2986" s="1" t="s">
        <v>42</v>
      </c>
      <c r="J2986" s="1" t="s">
        <v>51</v>
      </c>
      <c r="K2986" s="1" t="s">
        <v>408</v>
      </c>
      <c r="L2986" s="1" t="s">
        <v>16597</v>
      </c>
      <c r="M2986" s="2" t="s">
        <v>12</v>
      </c>
      <c r="N2986" s="4">
        <f t="shared" si="1"/>
        <v>43859</v>
      </c>
      <c r="O2986" s="5" t="str">
        <f>IFERROR(__xludf.DUMMYFUNCTION("IF(REGEXMATCH(TRIM(I2986), ""^\d+\s*min""), ""Unclassified"", IF(I2986 = """", ""NR"", I2986))"),"TV-MA")</f>
        <v>TV-MA</v>
      </c>
      <c r="R2986" s="5" t="str">
        <f t="shared" si="2"/>
        <v>Omniscient</v>
      </c>
      <c r="S2986" s="5" t="str">
        <f>IFERROR(__xludf.DUMMYFUNCTION("""COMPUTED_VALUE"""),"Haven")</f>
        <v>Haven</v>
      </c>
      <c r="U2986" s="5" t="str">
        <f>IFERROR(__xludf.DUMMYFUNCTION("""COMPUTED_VALUE"""),"Santwana Bardoloi")</f>
        <v>Santwana Bardoloi</v>
      </c>
      <c r="V2986" s="5" t="s">
        <v>16598</v>
      </c>
      <c r="W2986" s="5" t="str">
        <f t="shared" si="3"/>
        <v>Nathan Morlando</v>
      </c>
      <c r="X2986" s="5">
        <f t="shared" si="4"/>
        <v>1</v>
      </c>
      <c r="Y2986" s="5" t="str">
        <f>IFERROR(__xludf.DUMMYFUNCTION("REGEXEXTRACT(J2986, ""^\d+"")"),"1")</f>
        <v>1</v>
      </c>
      <c r="Z2986" s="5" t="str">
        <f>IFERROR(__xludf.DUMMYFUNCTION("REGEXEXTRACT(J2986, ""[A-Za-z ]+$"")")," Season")</f>
        <v> Season</v>
      </c>
      <c r="AA2986" s="5" t="str">
        <f>IFERROR(__xludf.DUMMYFUNCTION("IF(REGEXMATCH(Z2986, ""Season""), ""TV Show"", ""Movie"")"),"TV Show")</f>
        <v>TV Show</v>
      </c>
    </row>
    <row r="2987">
      <c r="A2987" s="1" t="s">
        <v>16599</v>
      </c>
      <c r="B2987" s="1" t="s">
        <v>27</v>
      </c>
      <c r="C2987" s="1" t="s">
        <v>16600</v>
      </c>
      <c r="D2987" s="1" t="s">
        <v>16601</v>
      </c>
      <c r="E2987" s="1" t="s">
        <v>16602</v>
      </c>
      <c r="F2987" s="1" t="s">
        <v>63</v>
      </c>
      <c r="G2987" s="1" t="s">
        <v>16603</v>
      </c>
      <c r="H2987" s="1">
        <v>2020.0</v>
      </c>
      <c r="I2987" s="1" t="s">
        <v>97</v>
      </c>
      <c r="J2987" s="1" t="s">
        <v>941</v>
      </c>
      <c r="K2987" s="1" t="s">
        <v>215</v>
      </c>
      <c r="L2987" s="1" t="s">
        <v>16604</v>
      </c>
      <c r="M2987" s="2" t="s">
        <v>12</v>
      </c>
      <c r="N2987" s="4">
        <f t="shared" si="1"/>
        <v>43857</v>
      </c>
      <c r="O2987" s="5" t="str">
        <f>IFERROR(__xludf.DUMMYFUNCTION("IF(REGEXMATCH(TRIM(I2987), ""^\d+\s*min""), ""Unclassified"", IF(I2987 = """", ""NR"", I2987))"),"TV-14")</f>
        <v>TV-14</v>
      </c>
      <c r="R2987" s="5" t="str">
        <f t="shared" si="2"/>
        <v>Shimla Mirchi</v>
      </c>
      <c r="S2987" s="5" t="str">
        <f>IFERROR(__xludf.DUMMYFUNCTION("""COMPUTED_VALUE"""),"Havenhurst")</f>
        <v>Havenhurst</v>
      </c>
      <c r="U2987" s="5" t="str">
        <f>IFERROR(__xludf.DUMMYFUNCTION("""COMPUTED_VALUE"""),"Atanu Ghosh")</f>
        <v>Atanu Ghosh</v>
      </c>
      <c r="V2987" s="5" t="s">
        <v>11987</v>
      </c>
      <c r="W2987" s="5" t="str">
        <f t="shared" si="3"/>
        <v>Nathan Wiley</v>
      </c>
      <c r="X2987" s="5">
        <f t="shared" si="4"/>
        <v>1</v>
      </c>
      <c r="Y2987" s="5" t="str">
        <f>IFERROR(__xludf.DUMMYFUNCTION("REGEXEXTRACT(J2987, ""^\d+"")"),"121")</f>
        <v>121</v>
      </c>
      <c r="Z2987" s="5" t="str">
        <f>IFERROR(__xludf.DUMMYFUNCTION("REGEXEXTRACT(J2987, ""[A-Za-z ]+$"")")," min")</f>
        <v> min</v>
      </c>
      <c r="AA2987" s="5" t="str">
        <f>IFERROR(__xludf.DUMMYFUNCTION("IF(REGEXMATCH(Z2987, ""Season""), ""TV Show"", ""Movie"")"),"Movie")</f>
        <v>Movie</v>
      </c>
    </row>
    <row r="2988">
      <c r="A2988" s="1" t="s">
        <v>16605</v>
      </c>
      <c r="B2988" s="1" t="s">
        <v>27</v>
      </c>
      <c r="C2988" s="1" t="s">
        <v>16606</v>
      </c>
      <c r="D2988" s="1" t="s">
        <v>7277</v>
      </c>
      <c r="E2988" s="1" t="s">
        <v>16607</v>
      </c>
      <c r="F2988" s="1" t="s">
        <v>63</v>
      </c>
      <c r="G2988" s="1" t="s">
        <v>16608</v>
      </c>
      <c r="H2988" s="1">
        <v>2019.0</v>
      </c>
      <c r="I2988" s="1" t="s">
        <v>97</v>
      </c>
      <c r="J2988" s="1" t="s">
        <v>1428</v>
      </c>
      <c r="K2988" s="1" t="s">
        <v>836</v>
      </c>
      <c r="L2988" s="1" t="s">
        <v>16609</v>
      </c>
      <c r="M2988" s="2" t="s">
        <v>12</v>
      </c>
      <c r="N2988" s="4">
        <f t="shared" si="1"/>
        <v>43856</v>
      </c>
      <c r="O2988" s="5" t="str">
        <f>IFERROR(__xludf.DUMMYFUNCTION("IF(REGEXMATCH(TRIM(I2988), ""^\d+\s*min""), ""Unclassified"", IF(I2988 = """", ""NR"", I2988))"),"TV-14")</f>
        <v>TV-14</v>
      </c>
      <c r="R2988" s="5" t="str">
        <f t="shared" si="2"/>
        <v>Sillu Karuppatti</v>
      </c>
      <c r="S2988" s="5" t="str">
        <f>IFERROR(__xludf.DUMMYFUNCTION("""COMPUTED_VALUE"""),"Hawaizaada")</f>
        <v>Hawaizaada</v>
      </c>
      <c r="U2988" s="5" t="str">
        <f>IFERROR(__xludf.DUMMYFUNCTION("""COMPUTED_VALUE"""),"Lyric R. Cabral, David Felix Sutcliffe")</f>
        <v>Lyric R. Cabral, David Felix Sutcliffe</v>
      </c>
      <c r="V2988" s="5" t="s">
        <v>16610</v>
      </c>
      <c r="W2988" s="5" t="str">
        <f t="shared" si="3"/>
        <v>Nathaniel Warsh</v>
      </c>
      <c r="X2988" s="5">
        <f t="shared" si="4"/>
        <v>1</v>
      </c>
      <c r="Y2988" s="5" t="str">
        <f>IFERROR(__xludf.DUMMYFUNCTION("REGEXEXTRACT(J2988, ""^\d+"")"),"133")</f>
        <v>133</v>
      </c>
      <c r="Z2988" s="5" t="str">
        <f>IFERROR(__xludf.DUMMYFUNCTION("REGEXEXTRACT(J2988, ""[A-Za-z ]+$"")")," min")</f>
        <v> min</v>
      </c>
      <c r="AA2988" s="5" t="str">
        <f>IFERROR(__xludf.DUMMYFUNCTION("IF(REGEXMATCH(Z2988, ""Season""), ""TV Show"", ""Movie"")"),"Movie")</f>
        <v>Movie</v>
      </c>
    </row>
    <row r="2989">
      <c r="A2989" s="1" t="s">
        <v>16611</v>
      </c>
      <c r="B2989" s="1" t="s">
        <v>27</v>
      </c>
      <c r="C2989" s="1" t="s">
        <v>16612</v>
      </c>
      <c r="D2989" s="1" t="s">
        <v>16613</v>
      </c>
      <c r="E2989" s="1" t="s">
        <v>9033</v>
      </c>
      <c r="F2989" s="1" t="s">
        <v>63</v>
      </c>
      <c r="G2989" s="1" t="s">
        <v>16608</v>
      </c>
      <c r="H2989" s="1">
        <v>2020.0</v>
      </c>
      <c r="I2989" s="1" t="s">
        <v>42</v>
      </c>
      <c r="J2989" s="1" t="s">
        <v>1171</v>
      </c>
      <c r="K2989" s="1" t="s">
        <v>1839</v>
      </c>
      <c r="L2989" s="1" t="s">
        <v>16614</v>
      </c>
      <c r="M2989" s="2" t="s">
        <v>12</v>
      </c>
      <c r="N2989" s="4">
        <f t="shared" si="1"/>
        <v>43856</v>
      </c>
      <c r="O2989" s="5" t="str">
        <f>IFERROR(__xludf.DUMMYFUNCTION("IF(REGEXMATCH(TRIM(I2989), ""^\d+\s*min""), ""Unclassified"", IF(I2989 = """", ""NR"", I2989))"),"TV-MA")</f>
        <v>TV-MA</v>
      </c>
      <c r="R2989" s="5" t="str">
        <f t="shared" si="2"/>
        <v>Vir Das: For India</v>
      </c>
      <c r="S2989" s="5" t="str">
        <f>IFERROR(__xludf.DUMMYFUNCTION("""COMPUTED_VALUE"""),"Hayat Öpücügü")</f>
        <v>Hayat Öpücügü</v>
      </c>
      <c r="U2989" s="5" t="str">
        <f>IFERROR(__xludf.DUMMYFUNCTION("""COMPUTED_VALUE"""),"Michael Margolis")</f>
        <v>Michael Margolis</v>
      </c>
      <c r="V2989" s="5" t="s">
        <v>16615</v>
      </c>
      <c r="W2989" s="5" t="str">
        <f t="shared" si="3"/>
        <v>Nattawut Poonpiriya</v>
      </c>
      <c r="X2989" s="5">
        <f t="shared" si="4"/>
        <v>1</v>
      </c>
      <c r="Y2989" s="5" t="str">
        <f>IFERROR(__xludf.DUMMYFUNCTION("REGEXEXTRACT(J2989, ""^\d+"")"),"76")</f>
        <v>76</v>
      </c>
      <c r="Z2989" s="5" t="str">
        <f>IFERROR(__xludf.DUMMYFUNCTION("REGEXEXTRACT(J2989, ""[A-Za-z ]+$"")")," min")</f>
        <v> min</v>
      </c>
      <c r="AA2989" s="5" t="str">
        <f>IFERROR(__xludf.DUMMYFUNCTION("IF(REGEXMATCH(Z2989, ""Season""), ""TV Show"", ""Movie"")"),"Movie")</f>
        <v>Movie</v>
      </c>
    </row>
    <row r="2990">
      <c r="A2990" s="1" t="s">
        <v>16616</v>
      </c>
      <c r="B2990" s="1" t="s">
        <v>27</v>
      </c>
      <c r="C2990" s="1" t="s">
        <v>16617</v>
      </c>
      <c r="D2990" s="1" t="s">
        <v>11905</v>
      </c>
      <c r="E2990" s="1" t="s">
        <v>16618</v>
      </c>
      <c r="F2990" s="1" t="s">
        <v>30</v>
      </c>
      <c r="G2990" s="1" t="s">
        <v>16619</v>
      </c>
      <c r="H2990" s="1">
        <v>2017.0</v>
      </c>
      <c r="I2990" s="1" t="s">
        <v>78</v>
      </c>
      <c r="J2990" s="1" t="s">
        <v>1001</v>
      </c>
      <c r="K2990" s="1" t="s">
        <v>1320</v>
      </c>
      <c r="L2990" s="1" t="s">
        <v>16620</v>
      </c>
      <c r="M2990" s="2" t="s">
        <v>12</v>
      </c>
      <c r="N2990" s="4">
        <f t="shared" si="1"/>
        <v>43855</v>
      </c>
      <c r="O2990" s="5" t="str">
        <f>IFERROR(__xludf.DUMMYFUNCTION("IF(REGEXMATCH(TRIM(I2990), ""^\d+\s*min""), ""Unclassified"", IF(I2990 = """", ""NR"", I2990))"),"PG")</f>
        <v>PG</v>
      </c>
      <c r="R2990" s="5" t="str">
        <f t="shared" si="2"/>
        <v>Menashe</v>
      </c>
      <c r="S2990" s="5" t="str">
        <f>IFERROR(__xludf.DUMMYFUNCTION("""COMPUTED_VALUE"""),"Haywire")</f>
        <v>Haywire</v>
      </c>
      <c r="U2990" s="5" t="str">
        <f>IFERROR(__xludf.DUMMYFUNCTION("""COMPUTED_VALUE"""),"Michael Kennedy")</f>
        <v>Michael Kennedy</v>
      </c>
      <c r="V2990" s="5" t="s">
        <v>16621</v>
      </c>
      <c r="W2990" s="5" t="str">
        <f t="shared" si="3"/>
        <v>Navaniat Singh</v>
      </c>
      <c r="X2990" s="5">
        <f t="shared" si="4"/>
        <v>2</v>
      </c>
      <c r="Y2990" s="5" t="str">
        <f>IFERROR(__xludf.DUMMYFUNCTION("REGEXEXTRACT(J2990, ""^\d+"")"),"82")</f>
        <v>82</v>
      </c>
      <c r="Z2990" s="5" t="str">
        <f>IFERROR(__xludf.DUMMYFUNCTION("REGEXEXTRACT(J2990, ""[A-Za-z ]+$"")")," min")</f>
        <v> min</v>
      </c>
      <c r="AA2990" s="5" t="str">
        <f>IFERROR(__xludf.DUMMYFUNCTION("IF(REGEXMATCH(Z2990, ""Season""), ""TV Show"", ""Movie"")"),"Movie")</f>
        <v>Movie</v>
      </c>
    </row>
    <row r="2991">
      <c r="A2991" s="1" t="s">
        <v>16622</v>
      </c>
      <c r="B2991" s="1" t="s">
        <v>27</v>
      </c>
      <c r="C2991" s="1" t="s">
        <v>16623</v>
      </c>
      <c r="D2991" s="1" t="s">
        <v>16624</v>
      </c>
      <c r="E2991" s="1" t="s">
        <v>16625</v>
      </c>
      <c r="F2991" s="1" t="s">
        <v>2059</v>
      </c>
      <c r="G2991" s="1" t="s">
        <v>16626</v>
      </c>
      <c r="H2991" s="1">
        <v>2019.0</v>
      </c>
      <c r="I2991" s="1" t="s">
        <v>42</v>
      </c>
      <c r="J2991" s="1" t="s">
        <v>1235</v>
      </c>
      <c r="K2991" s="1" t="s">
        <v>89</v>
      </c>
      <c r="L2991" s="1" t="s">
        <v>16627</v>
      </c>
      <c r="M2991" s="2" t="s">
        <v>12</v>
      </c>
      <c r="N2991" s="4">
        <f t="shared" si="1"/>
        <v>43854</v>
      </c>
      <c r="O2991" s="5" t="str">
        <f>IFERROR(__xludf.DUMMYFUNCTION("IF(REGEXMATCH(TRIM(I2991), ""^\d+\s*min""), ""Unclassified"", IF(I2991 = """", ""NR"", I2991))"),"TV-MA")</f>
        <v>TV-MA</v>
      </c>
      <c r="R2991" s="5" t="str">
        <f t="shared" si="2"/>
        <v>A Sun</v>
      </c>
      <c r="S2991" s="5" t="str">
        <f>IFERROR(__xludf.DUMMYFUNCTION("""COMPUTED_VALUE"""),"Hazaaron Khwaishein Aisi")</f>
        <v>Hazaaron Khwaishein Aisi</v>
      </c>
      <c r="U2991" s="5" t="str">
        <f>IFERROR(__xludf.DUMMYFUNCTION("""COMPUTED_VALUE"""),"Óskar Thór Axelsson")</f>
        <v>Óskar Thór Axelsson</v>
      </c>
      <c r="V2991" s="5" t="s">
        <v>11190</v>
      </c>
      <c r="W2991" s="5" t="str">
        <f t="shared" si="3"/>
        <v>Navdeep Singh</v>
      </c>
      <c r="X2991" s="5">
        <f t="shared" si="4"/>
        <v>1</v>
      </c>
      <c r="Y2991" s="5" t="str">
        <f>IFERROR(__xludf.DUMMYFUNCTION("REGEXEXTRACT(J2991, ""^\d+"")"),"156")</f>
        <v>156</v>
      </c>
      <c r="Z2991" s="5" t="str">
        <f>IFERROR(__xludf.DUMMYFUNCTION("REGEXEXTRACT(J2991, ""[A-Za-z ]+$"")")," min")</f>
        <v> min</v>
      </c>
      <c r="AA2991" s="5" t="str">
        <f>IFERROR(__xludf.DUMMYFUNCTION("IF(REGEXMATCH(Z2991, ""Season""), ""TV Show"", ""Movie"")"),"Movie")</f>
        <v>Movie</v>
      </c>
    </row>
    <row r="2992">
      <c r="A2992" s="1" t="s">
        <v>16628</v>
      </c>
      <c r="B2992" s="1" t="s">
        <v>27</v>
      </c>
      <c r="C2992" s="1" t="s">
        <v>16629</v>
      </c>
      <c r="D2992" s="1" t="s">
        <v>11522</v>
      </c>
      <c r="E2992" s="1" t="s">
        <v>16630</v>
      </c>
      <c r="F2992" s="1" t="s">
        <v>40</v>
      </c>
      <c r="G2992" s="1" t="s">
        <v>16626</v>
      </c>
      <c r="H2992" s="1">
        <v>2015.0</v>
      </c>
      <c r="I2992" s="1" t="s">
        <v>42</v>
      </c>
      <c r="J2992" s="1" t="s">
        <v>33</v>
      </c>
      <c r="K2992" s="1" t="s">
        <v>631</v>
      </c>
      <c r="L2992" s="1" t="s">
        <v>16631</v>
      </c>
      <c r="M2992" s="2" t="s">
        <v>12</v>
      </c>
      <c r="N2992" s="4">
        <f t="shared" si="1"/>
        <v>43854</v>
      </c>
      <c r="O2992" s="5" t="str">
        <f>IFERROR(__xludf.DUMMYFUNCTION("IF(REGEXMATCH(TRIM(I2992), ""^\d+\s*min""), ""Unclassified"", IF(I2992 = """", ""NR"", I2992))"),"TV-MA")</f>
        <v>TV-MA</v>
      </c>
      <c r="R2992" s="5" t="str">
        <f t="shared" si="2"/>
        <v>Die Ontwaking</v>
      </c>
      <c r="S2992" s="5" t="str">
        <f>IFERROR(__xludf.DUMMYFUNCTION("""COMPUTED_VALUE"""),"Hazel Brugger: Tropical")</f>
        <v>Hazel Brugger: Tropical</v>
      </c>
      <c r="U2992" s="5" t="str">
        <f>IFERROR(__xludf.DUMMYFUNCTION("""COMPUTED_VALUE"""),"Karyn Kusama")</f>
        <v>Karyn Kusama</v>
      </c>
      <c r="V2992" s="5" t="s">
        <v>16632</v>
      </c>
      <c r="W2992" s="5" t="str">
        <f t="shared" si="3"/>
        <v>Navinder Pal Singh</v>
      </c>
      <c r="X2992" s="5">
        <f t="shared" si="4"/>
        <v>1</v>
      </c>
      <c r="Y2992" s="5" t="str">
        <f>IFERROR(__xludf.DUMMYFUNCTION("REGEXEXTRACT(J2992, ""^\d+"")"),"90")</f>
        <v>90</v>
      </c>
      <c r="Z2992" s="5" t="str">
        <f>IFERROR(__xludf.DUMMYFUNCTION("REGEXEXTRACT(J2992, ""[A-Za-z ]+$"")")," min")</f>
        <v> min</v>
      </c>
      <c r="AA2992" s="5" t="str">
        <f>IFERROR(__xludf.DUMMYFUNCTION("IF(REGEXMATCH(Z2992, ""Season""), ""TV Show"", ""Movie"")"),"Movie")</f>
        <v>Movie</v>
      </c>
    </row>
    <row r="2993">
      <c r="A2993" s="1" t="s">
        <v>16633</v>
      </c>
      <c r="B2993" s="1" t="s">
        <v>37</v>
      </c>
      <c r="C2993" s="1" t="s">
        <v>16634</v>
      </c>
      <c r="E2993" s="1" t="s">
        <v>16635</v>
      </c>
      <c r="G2993" s="1" t="s">
        <v>16626</v>
      </c>
      <c r="H2993" s="1">
        <v>2020.0</v>
      </c>
      <c r="I2993" s="1" t="s">
        <v>42</v>
      </c>
      <c r="J2993" s="1" t="s">
        <v>51</v>
      </c>
      <c r="K2993" s="1" t="s">
        <v>1261</v>
      </c>
      <c r="L2993" s="1" t="s">
        <v>16636</v>
      </c>
      <c r="M2993" s="2" t="s">
        <v>12</v>
      </c>
      <c r="N2993" s="4">
        <f t="shared" si="1"/>
        <v>43854</v>
      </c>
      <c r="O2993" s="5" t="str">
        <f>IFERROR(__xludf.DUMMYFUNCTION("IF(REGEXMATCH(TRIM(I2993), ""^\d+\s*min""), ""Unclassified"", IF(I2993 = """", ""NR"", I2993))"),"TV-MA")</f>
        <v>TV-MA</v>
      </c>
      <c r="R2993" s="5" t="str">
        <f t="shared" si="2"/>
        <v>Rise Of Empires: Ottoman</v>
      </c>
      <c r="S2993" s="5" t="str">
        <f>IFERROR(__xludf.DUMMYFUNCTION("""COMPUTED_VALUE"""),"He Even Has Your Eyes")</f>
        <v>He Even Has Your Eyes</v>
      </c>
      <c r="U2993" s="5" t="str">
        <f>IFERROR(__xludf.DUMMYFUNCTION("""COMPUTED_VALUE"""),"Adam Deyoe")</f>
        <v>Adam Deyoe</v>
      </c>
      <c r="V2993" s="5" t="s">
        <v>15733</v>
      </c>
      <c r="W2993" s="5" t="str">
        <f t="shared" si="3"/>
        <v>Navjot Gulati</v>
      </c>
      <c r="X2993" s="5">
        <f t="shared" si="4"/>
        <v>1</v>
      </c>
      <c r="Y2993" s="5" t="str">
        <f>IFERROR(__xludf.DUMMYFUNCTION("REGEXEXTRACT(J2993, ""^\d+"")"),"1")</f>
        <v>1</v>
      </c>
      <c r="Z2993" s="5" t="str">
        <f>IFERROR(__xludf.DUMMYFUNCTION("REGEXEXTRACT(J2993, ""[A-Za-z ]+$"")")," Season")</f>
        <v> Season</v>
      </c>
      <c r="AA2993" s="5" t="str">
        <f>IFERROR(__xludf.DUMMYFUNCTION("IF(REGEXMATCH(Z2993, ""Season""), ""TV Show"", ""Movie"")"),"TV Show")</f>
        <v>TV Show</v>
      </c>
    </row>
    <row r="2994">
      <c r="A2994" s="1" t="s">
        <v>16637</v>
      </c>
      <c r="B2994" s="1" t="s">
        <v>37</v>
      </c>
      <c r="C2994" s="1" t="s">
        <v>16638</v>
      </c>
      <c r="E2994" s="1" t="s">
        <v>16639</v>
      </c>
      <c r="F2994" s="1" t="s">
        <v>400</v>
      </c>
      <c r="G2994" s="1" t="s">
        <v>16626</v>
      </c>
      <c r="H2994" s="1">
        <v>2017.0</v>
      </c>
      <c r="I2994" s="1" t="s">
        <v>97</v>
      </c>
      <c r="J2994" s="1" t="s">
        <v>43</v>
      </c>
      <c r="K2994" s="1" t="s">
        <v>402</v>
      </c>
      <c r="L2994" s="1" t="s">
        <v>16640</v>
      </c>
      <c r="M2994" s="2" t="s">
        <v>12</v>
      </c>
      <c r="N2994" s="4">
        <f t="shared" si="1"/>
        <v>43854</v>
      </c>
      <c r="O2994" s="5" t="str">
        <f>IFERROR(__xludf.DUMMYFUNCTION("IF(REGEXMATCH(TRIM(I2994), ""^\d+\s*min""), ""Unclassified"", IF(I2994 = """", ""NR"", I2994))"),"TV-14")</f>
        <v>TV-14</v>
      </c>
      <c r="R2994" s="5" t="str">
        <f t="shared" si="2"/>
        <v>Sons Of The Caliphate</v>
      </c>
      <c r="S2994" s="5" t="str">
        <f>IFERROR(__xludf.DUMMYFUNCTION("""COMPUTED_VALUE"""),"He Named Me Malala")</f>
        <v>He Named Me Malala</v>
      </c>
      <c r="U2994" s="5" t="str">
        <f>IFERROR(__xludf.DUMMYFUNCTION("""COMPUTED_VALUE"""),"Leif Tilden")</f>
        <v>Leif Tilden</v>
      </c>
      <c r="V2994" s="5" t="s">
        <v>16641</v>
      </c>
      <c r="W2994" s="5" t="str">
        <f t="shared" si="3"/>
        <v>Navneet Behal</v>
      </c>
      <c r="X2994" s="5">
        <f t="shared" si="4"/>
        <v>1</v>
      </c>
      <c r="Y2994" s="5" t="str">
        <f>IFERROR(__xludf.DUMMYFUNCTION("REGEXEXTRACT(J2994, ""^\d+"")"),"2")</f>
        <v>2</v>
      </c>
      <c r="Z2994" s="5" t="str">
        <f>IFERROR(__xludf.DUMMYFUNCTION("REGEXEXTRACT(J2994, ""[A-Za-z ]+$"")")," Seasons")</f>
        <v> Seasons</v>
      </c>
      <c r="AA2994" s="5" t="str">
        <f>IFERROR(__xludf.DUMMYFUNCTION("IF(REGEXMATCH(Z2994, ""Season""), ""TV Show"", ""Movie"")"),"TV Show")</f>
        <v>TV Show</v>
      </c>
    </row>
    <row r="2995">
      <c r="A2995" s="1" t="s">
        <v>16642</v>
      </c>
      <c r="B2995" s="1" t="s">
        <v>37</v>
      </c>
      <c r="C2995" s="1" t="s">
        <v>16643</v>
      </c>
      <c r="E2995" s="1" t="s">
        <v>16644</v>
      </c>
      <c r="F2995" s="1" t="s">
        <v>30</v>
      </c>
      <c r="G2995" s="1" t="s">
        <v>16626</v>
      </c>
      <c r="H2995" s="1">
        <v>2020.0</v>
      </c>
      <c r="I2995" s="1" t="s">
        <v>42</v>
      </c>
      <c r="J2995" s="1" t="s">
        <v>51</v>
      </c>
      <c r="K2995" s="1" t="s">
        <v>440</v>
      </c>
      <c r="L2995" s="1" t="s">
        <v>16645</v>
      </c>
      <c r="M2995" s="2" t="s">
        <v>12</v>
      </c>
      <c r="N2995" s="4">
        <f t="shared" si="1"/>
        <v>43854</v>
      </c>
      <c r="O2995" s="5" t="str">
        <f>IFERROR(__xludf.DUMMYFUNCTION("IF(REGEXMATCH(TRIM(I2995), ""^\d+\s*min""), ""Unclassified"", IF(I2995 = """", ""NR"", I2995))"),"TV-MA")</f>
        <v>TV-MA</v>
      </c>
      <c r="R2995" s="5" t="str">
        <f t="shared" si="2"/>
        <v>The Goop Lab With Gwyneth Paltrow</v>
      </c>
      <c r="S2995" s="5" t="str">
        <f>IFERROR(__xludf.DUMMYFUNCTION("""COMPUTED_VALUE"""),"He Never Died")</f>
        <v>He Never Died</v>
      </c>
      <c r="U2995" s="5" t="str">
        <f>IFERROR(__xludf.DUMMYFUNCTION("""COMPUTED_VALUE"""),"Melinda Janko")</f>
        <v>Melinda Janko</v>
      </c>
      <c r="V2995" s="5" t="s">
        <v>2943</v>
      </c>
      <c r="W2995" s="5" t="str">
        <f t="shared" si="3"/>
        <v>Navot Papushado</v>
      </c>
      <c r="X2995" s="5">
        <f t="shared" si="4"/>
        <v>1</v>
      </c>
      <c r="Y2995" s="5" t="str">
        <f>IFERROR(__xludf.DUMMYFUNCTION("REGEXEXTRACT(J2995, ""^\d+"")"),"1")</f>
        <v>1</v>
      </c>
      <c r="Z2995" s="5" t="str">
        <f>IFERROR(__xludf.DUMMYFUNCTION("REGEXEXTRACT(J2995, ""[A-Za-z ]+$"")")," Season")</f>
        <v> Season</v>
      </c>
      <c r="AA2995" s="5" t="str">
        <f>IFERROR(__xludf.DUMMYFUNCTION("IF(REGEXMATCH(Z2995, ""Season""), ""TV Show"", ""Movie"")"),"TV Show")</f>
        <v>TV Show</v>
      </c>
    </row>
    <row r="2996">
      <c r="A2996" s="1" t="s">
        <v>16646</v>
      </c>
      <c r="B2996" s="1" t="s">
        <v>37</v>
      </c>
      <c r="C2996" s="1" t="s">
        <v>16647</v>
      </c>
      <c r="E2996" s="1" t="s">
        <v>16648</v>
      </c>
      <c r="F2996" s="1" t="s">
        <v>30</v>
      </c>
      <c r="G2996" s="1" t="s">
        <v>16626</v>
      </c>
      <c r="H2996" s="1">
        <v>2020.0</v>
      </c>
      <c r="I2996" s="1" t="s">
        <v>42</v>
      </c>
      <c r="J2996" s="1" t="s">
        <v>3285</v>
      </c>
      <c r="K2996" s="1" t="s">
        <v>149</v>
      </c>
      <c r="L2996" s="1" t="s">
        <v>16649</v>
      </c>
      <c r="M2996" s="2" t="s">
        <v>12</v>
      </c>
      <c r="N2996" s="4">
        <f t="shared" si="1"/>
        <v>43854</v>
      </c>
      <c r="O2996" s="5" t="str">
        <f>IFERROR(__xludf.DUMMYFUNCTION("IF(REGEXMATCH(TRIM(I2996), ""^\d+\s*min""), ""Unclassified"", IF(I2996 = """", ""NR"", I2996))"),"TV-MA")</f>
        <v>TV-MA</v>
      </c>
      <c r="R2996" s="5" t="str">
        <f t="shared" si="2"/>
        <v>The Ranch</v>
      </c>
      <c r="S2996" s="5" t="str">
        <f>IFERROR(__xludf.DUMMYFUNCTION("""COMPUTED_VALUE"""),"He-Man And The Masters Of The Universe")</f>
        <v>He-Man And The Masters Of The Universe</v>
      </c>
      <c r="U2996" s="5" t="str">
        <f>IFERROR(__xludf.DUMMYFUNCTION("""COMPUTED_VALUE"""),"Sam Upton")</f>
        <v>Sam Upton</v>
      </c>
      <c r="V2996" s="5" t="s">
        <v>15529</v>
      </c>
      <c r="W2996" s="5" t="str">
        <f t="shared" si="3"/>
        <v>Nawapol Thamrongrattanarit</v>
      </c>
      <c r="X2996" s="5">
        <f t="shared" si="4"/>
        <v>2</v>
      </c>
      <c r="Y2996" s="5" t="str">
        <f>IFERROR(__xludf.DUMMYFUNCTION("REGEXEXTRACT(J2996, ""^\d+"")"),"8")</f>
        <v>8</v>
      </c>
      <c r="Z2996" s="5" t="str">
        <f>IFERROR(__xludf.DUMMYFUNCTION("REGEXEXTRACT(J2996, ""[A-Za-z ]+$"")")," Seasons")</f>
        <v> Seasons</v>
      </c>
      <c r="AA2996" s="5" t="str">
        <f>IFERROR(__xludf.DUMMYFUNCTION("IF(REGEXMATCH(Z2996, ""Season""), ""TV Show"", ""Movie"")"),"TV Show")</f>
        <v>TV Show</v>
      </c>
    </row>
    <row r="2997">
      <c r="A2997" s="1" t="s">
        <v>16650</v>
      </c>
      <c r="B2997" s="1" t="s">
        <v>27</v>
      </c>
      <c r="C2997" s="1" t="s">
        <v>16651</v>
      </c>
      <c r="D2997" s="1" t="s">
        <v>4310</v>
      </c>
      <c r="E2997" s="1" t="s">
        <v>16652</v>
      </c>
      <c r="F2997" s="1" t="s">
        <v>30</v>
      </c>
      <c r="G2997" s="1" t="s">
        <v>16653</v>
      </c>
      <c r="H2997" s="1">
        <v>2020.0</v>
      </c>
      <c r="I2997" s="1" t="s">
        <v>136</v>
      </c>
      <c r="J2997" s="1" t="s">
        <v>247</v>
      </c>
      <c r="K2997" s="1" t="s">
        <v>215</v>
      </c>
      <c r="L2997" s="1" t="s">
        <v>16654</v>
      </c>
      <c r="M2997" s="2" t="s">
        <v>12</v>
      </c>
      <c r="N2997" s="4">
        <f t="shared" si="1"/>
        <v>43853</v>
      </c>
      <c r="O2997" s="5" t="str">
        <f>IFERROR(__xludf.DUMMYFUNCTION("IF(REGEXMATCH(TRIM(I2997), ""^\d+\s*min""), ""Unclassified"", IF(I2997 = """", ""NR"", I2997))"),"TV-PG")</f>
        <v>TV-PG</v>
      </c>
      <c r="R2997" s="5" t="str">
        <f t="shared" si="2"/>
        <v>Airplane Mode</v>
      </c>
      <c r="S2997" s="5" t="str">
        <f>IFERROR(__xludf.DUMMYFUNCTION("""COMPUTED_VALUE"""),"He'S All That")</f>
        <v>He'S All That</v>
      </c>
      <c r="U2997" s="5" t="str">
        <f>IFERROR(__xludf.DUMMYFUNCTION("""COMPUTED_VALUE"""),"Victor Zarcoff")</f>
        <v>Victor Zarcoff</v>
      </c>
      <c r="V2997" s="5" t="s">
        <v>8948</v>
      </c>
      <c r="W2997" s="5" t="str">
        <f t="shared" si="3"/>
        <v>Naya Anindita</v>
      </c>
      <c r="X2997" s="5">
        <f t="shared" si="4"/>
        <v>1</v>
      </c>
      <c r="Y2997" s="5" t="str">
        <f>IFERROR(__xludf.DUMMYFUNCTION("REGEXEXTRACT(J2997, ""^\d+"")"),"97")</f>
        <v>97</v>
      </c>
      <c r="Z2997" s="5" t="str">
        <f>IFERROR(__xludf.DUMMYFUNCTION("REGEXEXTRACT(J2997, ""[A-Za-z ]+$"")")," min")</f>
        <v> min</v>
      </c>
      <c r="AA2997" s="5" t="str">
        <f>IFERROR(__xludf.DUMMYFUNCTION("IF(REGEXMATCH(Z2997, ""Season""), ""TV Show"", ""Movie"")"),"Movie")</f>
        <v>Movie</v>
      </c>
    </row>
    <row r="2998">
      <c r="A2998" s="1" t="s">
        <v>16655</v>
      </c>
      <c r="B2998" s="1" t="s">
        <v>27</v>
      </c>
      <c r="C2998" s="1" t="s">
        <v>16656</v>
      </c>
      <c r="D2998" s="1" t="s">
        <v>1080</v>
      </c>
      <c r="E2998" s="1" t="s">
        <v>16657</v>
      </c>
      <c r="F2998" s="1" t="s">
        <v>162</v>
      </c>
      <c r="G2998" s="1" t="s">
        <v>16653</v>
      </c>
      <c r="H2998" s="1">
        <v>2020.0</v>
      </c>
      <c r="I2998" s="1" t="s">
        <v>42</v>
      </c>
      <c r="J2998" s="1" t="s">
        <v>7064</v>
      </c>
      <c r="K2998" s="1" t="s">
        <v>1839</v>
      </c>
      <c r="L2998" s="1" t="s">
        <v>16658</v>
      </c>
      <c r="M2998" s="2" t="s">
        <v>12</v>
      </c>
      <c r="N2998" s="4">
        <f t="shared" si="1"/>
        <v>43853</v>
      </c>
      <c r="O2998" s="5" t="str">
        <f>IFERROR(__xludf.DUMMYFUNCTION("IF(REGEXMATCH(TRIM(I2998), ""^\d+\s*min""), ""Unclassified"", IF(I2998 = """", ""NR"", I2998))"),"TV-MA")</f>
        <v>TV-MA</v>
      </c>
      <c r="R2998" s="5" t="str">
        <f t="shared" si="2"/>
        <v>Alex Fernández: The Best Comedian In The World</v>
      </c>
      <c r="S2998" s="5" t="str">
        <f>IFERROR(__xludf.DUMMYFUNCTION("""COMPUTED_VALUE"""),"He'S Out There")</f>
        <v>He'S Out There</v>
      </c>
      <c r="U2998" s="5" t="str">
        <f>IFERROR(__xludf.DUMMYFUNCTION("""COMPUTED_VALUE"""),"Daniel Stamm")</f>
        <v>Daniel Stamm</v>
      </c>
      <c r="V2998" s="5" t="s">
        <v>16659</v>
      </c>
      <c r="W2998" s="5" t="str">
        <f t="shared" si="3"/>
        <v>Neal Brennan</v>
      </c>
      <c r="X2998" s="5">
        <f t="shared" si="4"/>
        <v>3</v>
      </c>
      <c r="Y2998" s="5" t="str">
        <f>IFERROR(__xludf.DUMMYFUNCTION("REGEXEXTRACT(J2998, ""^\d+"")"),"51")</f>
        <v>51</v>
      </c>
      <c r="Z2998" s="5" t="str">
        <f>IFERROR(__xludf.DUMMYFUNCTION("REGEXEXTRACT(J2998, ""[A-Za-z ]+$"")")," min")</f>
        <v> min</v>
      </c>
      <c r="AA2998" s="5" t="str">
        <f>IFERROR(__xludf.DUMMYFUNCTION("IF(REGEXMATCH(Z2998, ""Season""), ""TV Show"", ""Movie"")"),"Movie")</f>
        <v>Movie</v>
      </c>
    </row>
    <row r="2999">
      <c r="A2999" s="1" t="s">
        <v>16660</v>
      </c>
      <c r="B2999" s="1" t="s">
        <v>37</v>
      </c>
      <c r="C2999" s="1" t="s">
        <v>16661</v>
      </c>
      <c r="E2999" s="1" t="s">
        <v>16662</v>
      </c>
      <c r="F2999" s="1" t="s">
        <v>30</v>
      </c>
      <c r="G2999" s="1" t="s">
        <v>16653</v>
      </c>
      <c r="H2999" s="1">
        <v>2020.0</v>
      </c>
      <c r="I2999" s="1" t="s">
        <v>42</v>
      </c>
      <c r="J2999" s="1" t="s">
        <v>51</v>
      </c>
      <c r="K2999" s="1" t="s">
        <v>4276</v>
      </c>
      <c r="L2999" s="1" t="s">
        <v>16663</v>
      </c>
      <c r="M2999" s="2" t="s">
        <v>12</v>
      </c>
      <c r="N2999" s="4">
        <f t="shared" si="1"/>
        <v>43853</v>
      </c>
      <c r="O2999" s="5" t="str">
        <f>IFERROR(__xludf.DUMMYFUNCTION("IF(REGEXMATCH(TRIM(I2999), ""^\d+\s*min""), ""Unclassified"", IF(I2999 = """", ""NR"", I2999))"),"TV-MA")</f>
        <v>TV-MA</v>
      </c>
      <c r="R2999" s="5" t="str">
        <f t="shared" si="2"/>
        <v>October Faction</v>
      </c>
      <c r="S2999" s="5" t="str">
        <f>IFERROR(__xludf.DUMMYFUNCTION("""COMPUTED_VALUE"""),"Head Count")</f>
        <v>Head Count</v>
      </c>
      <c r="U2999" s="5" t="str">
        <f>IFERROR(__xludf.DUMMYFUNCTION("""COMPUTED_VALUE"""),"Daniel Lee")</f>
        <v>Daniel Lee</v>
      </c>
      <c r="V2999" s="5" t="s">
        <v>13009</v>
      </c>
      <c r="W2999" s="5" t="str">
        <f t="shared" si="3"/>
        <v>Neeraj Pandey</v>
      </c>
      <c r="X2999" s="5">
        <f t="shared" si="4"/>
        <v>3</v>
      </c>
      <c r="Y2999" s="5" t="str">
        <f>IFERROR(__xludf.DUMMYFUNCTION("REGEXEXTRACT(J2999, ""^\d+"")"),"1")</f>
        <v>1</v>
      </c>
      <c r="Z2999" s="5" t="str">
        <f>IFERROR(__xludf.DUMMYFUNCTION("REGEXEXTRACT(J2999, ""[A-Za-z ]+$"")")," Season")</f>
        <v> Season</v>
      </c>
      <c r="AA2999" s="5" t="str">
        <f>IFERROR(__xludf.DUMMYFUNCTION("IF(REGEXMATCH(Z2999, ""Season""), ""TV Show"", ""Movie"")"),"TV Show")</f>
        <v>TV Show</v>
      </c>
    </row>
    <row r="3000">
      <c r="A3000" s="1" t="s">
        <v>16664</v>
      </c>
      <c r="B3000" s="1" t="s">
        <v>37</v>
      </c>
      <c r="C3000" s="1" t="s">
        <v>16665</v>
      </c>
      <c r="E3000" s="1" t="s">
        <v>16666</v>
      </c>
      <c r="F3000" s="1" t="s">
        <v>415</v>
      </c>
      <c r="G3000" s="1" t="s">
        <v>16653</v>
      </c>
      <c r="H3000" s="1">
        <v>2020.0</v>
      </c>
      <c r="I3000" s="1" t="s">
        <v>97</v>
      </c>
      <c r="J3000" s="1" t="s">
        <v>43</v>
      </c>
      <c r="K3000" s="1" t="s">
        <v>567</v>
      </c>
      <c r="L3000" s="1" t="s">
        <v>16667</v>
      </c>
      <c r="M3000" s="2" t="s">
        <v>12</v>
      </c>
      <c r="N3000" s="4">
        <f t="shared" si="1"/>
        <v>43853</v>
      </c>
      <c r="O3000" s="5" t="str">
        <f>IFERROR(__xludf.DUMMYFUNCTION("IF(REGEXMATCH(TRIM(I3000), ""^\d+\s*min""), ""Unclassified"", IF(I3000 = """", ""NR"", I3000))"),"TV-14")</f>
        <v>TV-14</v>
      </c>
      <c r="R3000" s="5" t="str">
        <f t="shared" si="2"/>
        <v>​Saint Seiya: Knights Of The Zodiac</v>
      </c>
      <c r="S3000" s="5" t="str">
        <f>IFERROR(__xludf.DUMMYFUNCTION("""COMPUTED_VALUE"""),"Head On")</f>
        <v>Head On</v>
      </c>
      <c r="U3000" s="5" t="str">
        <f>IFERROR(__xludf.DUMMYFUNCTION("""COMPUTED_VALUE"""),"Scott Hussion, Seth Fuller")</f>
        <v>Scott Hussion, Seth Fuller</v>
      </c>
      <c r="V3000" s="5" t="s">
        <v>15480</v>
      </c>
      <c r="W3000" s="5" t="str">
        <f t="shared" si="3"/>
        <v>Neeraj Udhwani</v>
      </c>
      <c r="X3000" s="5">
        <f t="shared" si="4"/>
        <v>1</v>
      </c>
      <c r="Y3000" s="5" t="str">
        <f>IFERROR(__xludf.DUMMYFUNCTION("REGEXEXTRACT(J3000, ""^\d+"")"),"2")</f>
        <v>2</v>
      </c>
      <c r="Z3000" s="5" t="str">
        <f>IFERROR(__xludf.DUMMYFUNCTION("REGEXEXTRACT(J3000, ""[A-Za-z ]+$"")")," Seasons")</f>
        <v> Seasons</v>
      </c>
      <c r="AA3000" s="5" t="str">
        <f>IFERROR(__xludf.DUMMYFUNCTION("IF(REGEXMATCH(Z3000, ""Season""), ""TV Show"", ""Movie"")"),"TV Show")</f>
        <v>TV Show</v>
      </c>
    </row>
    <row r="3001">
      <c r="A3001" s="1" t="s">
        <v>16668</v>
      </c>
      <c r="B3001" s="1" t="s">
        <v>37</v>
      </c>
      <c r="C3001" s="1" t="s">
        <v>16669</v>
      </c>
      <c r="D3001" s="1" t="s">
        <v>16670</v>
      </c>
      <c r="E3001" s="1" t="s">
        <v>16671</v>
      </c>
      <c r="F3001" s="1" t="s">
        <v>16672</v>
      </c>
      <c r="G3001" s="1" t="s">
        <v>16653</v>
      </c>
      <c r="H3001" s="1">
        <v>2020.0</v>
      </c>
      <c r="I3001" s="1" t="s">
        <v>97</v>
      </c>
      <c r="J3001" s="1" t="s">
        <v>51</v>
      </c>
      <c r="K3001" s="1" t="s">
        <v>44</v>
      </c>
      <c r="L3001" s="1" t="s">
        <v>16673</v>
      </c>
      <c r="M3001" s="2" t="s">
        <v>12</v>
      </c>
      <c r="N3001" s="4">
        <f t="shared" si="1"/>
        <v>43853</v>
      </c>
      <c r="O3001" s="5" t="str">
        <f>IFERROR(__xludf.DUMMYFUNCTION("IF(REGEXMATCH(TRIM(I3001), ""^\d+\s*min""), ""Unclassified"", IF(I3001 = """", ""NR"", I3001))"),"TV-14")</f>
        <v>TV-14</v>
      </c>
      <c r="R3001" s="5" t="str">
        <f t="shared" si="2"/>
        <v>The Ghost Bride</v>
      </c>
      <c r="S3001" s="5" t="str">
        <f>IFERROR(__xludf.DUMMYFUNCTION("""COMPUTED_VALUE"""),"Headshot")</f>
        <v>Headshot</v>
      </c>
      <c r="U3001" s="5" t="str">
        <f>IFERROR(__xludf.DUMMYFUNCTION("""COMPUTED_VALUE"""),"Richard Donner")</f>
        <v>Richard Donner</v>
      </c>
      <c r="V3001" s="5" t="s">
        <v>10775</v>
      </c>
      <c r="W3001" s="5" t="str">
        <f t="shared" si="3"/>
        <v>Neeraj Vora</v>
      </c>
      <c r="X3001" s="5">
        <f t="shared" si="4"/>
        <v>1</v>
      </c>
      <c r="Y3001" s="5" t="str">
        <f>IFERROR(__xludf.DUMMYFUNCTION("REGEXEXTRACT(J3001, ""^\d+"")"),"1")</f>
        <v>1</v>
      </c>
      <c r="Z3001" s="5" t="str">
        <f>IFERROR(__xludf.DUMMYFUNCTION("REGEXEXTRACT(J3001, ""[A-Za-z ]+$"")")," Season")</f>
        <v> Season</v>
      </c>
      <c r="AA3001" s="5" t="str">
        <f>IFERROR(__xludf.DUMMYFUNCTION("IF(REGEXMATCH(Z3001, ""Season""), ""TV Show"", ""Movie"")"),"TV Show")</f>
        <v>TV Show</v>
      </c>
    </row>
    <row r="3002">
      <c r="A3002" s="1" t="s">
        <v>16674</v>
      </c>
      <c r="B3002" s="1" t="s">
        <v>37</v>
      </c>
      <c r="C3002" s="1" t="s">
        <v>16675</v>
      </c>
      <c r="F3002" s="1" t="s">
        <v>30</v>
      </c>
      <c r="G3002" s="1" t="s">
        <v>16676</v>
      </c>
      <c r="H3002" s="1">
        <v>2020.0</v>
      </c>
      <c r="I3002" s="1" t="s">
        <v>97</v>
      </c>
      <c r="J3002" s="1" t="s">
        <v>51</v>
      </c>
      <c r="K3002" s="1" t="s">
        <v>736</v>
      </c>
      <c r="L3002" s="1" t="s">
        <v>16677</v>
      </c>
      <c r="M3002" s="2" t="s">
        <v>12</v>
      </c>
      <c r="N3002" s="4">
        <f t="shared" si="1"/>
        <v>43852</v>
      </c>
      <c r="O3002" s="5" t="str">
        <f>IFERROR(__xludf.DUMMYFUNCTION("IF(REGEXMATCH(TRIM(I3002), ""^\d+\s*min""), ""Unclassified"", IF(I3002 = """", ""NR"", I3002))"),"TV-14")</f>
        <v>TV-14</v>
      </c>
      <c r="R3002" s="5" t="str">
        <f t="shared" si="2"/>
        <v>Pandemic: How To Prevent An Outbreak</v>
      </c>
      <c r="S3002" s="5" t="str">
        <f>IFERROR(__xludf.DUMMYFUNCTION("""COMPUTED_VALUE"""),"Headspace Guide To Meditation")</f>
        <v>Headspace Guide To Meditation</v>
      </c>
      <c r="U3002" s="5" t="str">
        <f>IFERROR(__xludf.DUMMYFUNCTION("""COMPUTED_VALUE"""),"Burr Steers")</f>
        <v>Burr Steers</v>
      </c>
      <c r="V3002" s="5" t="s">
        <v>16678</v>
      </c>
      <c r="W3002" s="5" t="str">
        <f t="shared" si="3"/>
        <v>Neil Armfield</v>
      </c>
      <c r="X3002" s="5">
        <f t="shared" si="4"/>
        <v>1</v>
      </c>
      <c r="Y3002" s="5" t="str">
        <f>IFERROR(__xludf.DUMMYFUNCTION("REGEXEXTRACT(J3002, ""^\d+"")"),"1")</f>
        <v>1</v>
      </c>
      <c r="Z3002" s="5" t="str">
        <f>IFERROR(__xludf.DUMMYFUNCTION("REGEXEXTRACT(J3002, ""[A-Za-z ]+$"")")," Season")</f>
        <v> Season</v>
      </c>
      <c r="AA3002" s="5" t="str">
        <f>IFERROR(__xludf.DUMMYFUNCTION("IF(REGEXMATCH(Z3002, ""Season""), ""TV Show"", ""Movie"")"),"TV Show")</f>
        <v>TV Show</v>
      </c>
    </row>
    <row r="3003">
      <c r="A3003" s="1" t="s">
        <v>16679</v>
      </c>
      <c r="B3003" s="1" t="s">
        <v>37</v>
      </c>
      <c r="C3003" s="1" t="s">
        <v>16680</v>
      </c>
      <c r="E3003" s="1" t="s">
        <v>16681</v>
      </c>
      <c r="F3003" s="1" t="s">
        <v>30</v>
      </c>
      <c r="G3003" s="1" t="s">
        <v>16676</v>
      </c>
      <c r="H3003" s="1">
        <v>2019.0</v>
      </c>
      <c r="I3003" s="1" t="s">
        <v>42</v>
      </c>
      <c r="J3003" s="1" t="s">
        <v>51</v>
      </c>
      <c r="K3003" s="1" t="s">
        <v>1822</v>
      </c>
      <c r="L3003" s="1" t="s">
        <v>16682</v>
      </c>
      <c r="M3003" s="2" t="s">
        <v>12</v>
      </c>
      <c r="N3003" s="4">
        <f t="shared" si="1"/>
        <v>43852</v>
      </c>
      <c r="O3003" s="5" t="str">
        <f>IFERROR(__xludf.DUMMYFUNCTION("IF(REGEXMATCH(TRIM(I3003), ""^\d+\s*min""), ""Unclassified"", IF(I3003 = """", ""NR"", I3003))"),"TV-MA")</f>
        <v>TV-MA</v>
      </c>
      <c r="R3003" s="5" t="str">
        <f t="shared" si="2"/>
        <v>Playing With Fire</v>
      </c>
      <c r="S3003" s="5" t="str">
        <f>IFERROR(__xludf.DUMMYFUNCTION("""COMPUTED_VALUE"""),"Headspace Guide To Sleep")</f>
        <v>Headspace Guide To Sleep</v>
      </c>
      <c r="U3003" s="5" t="str">
        <f>IFERROR(__xludf.DUMMYFUNCTION("""COMPUTED_VALUE"""),"David Marmor")</f>
        <v>David Marmor</v>
      </c>
      <c r="V3003" s="5" t="s">
        <v>16683</v>
      </c>
      <c r="W3003" s="5" t="str">
        <f t="shared" si="3"/>
        <v>Neil Jordan</v>
      </c>
      <c r="X3003" s="5">
        <f t="shared" si="4"/>
        <v>2</v>
      </c>
      <c r="Y3003" s="5" t="str">
        <f>IFERROR(__xludf.DUMMYFUNCTION("REGEXEXTRACT(J3003, ""^\d+"")"),"1")</f>
        <v>1</v>
      </c>
      <c r="Z3003" s="5" t="str">
        <f>IFERROR(__xludf.DUMMYFUNCTION("REGEXEXTRACT(J3003, ""[A-Za-z ]+$"")")," Season")</f>
        <v> Season</v>
      </c>
      <c r="AA3003" s="5" t="str">
        <f>IFERROR(__xludf.DUMMYFUNCTION("IF(REGEXMATCH(Z3003, ""Season""), ""TV Show"", ""Movie"")"),"TV Show")</f>
        <v>TV Show</v>
      </c>
    </row>
    <row r="3004">
      <c r="A3004" s="1" t="s">
        <v>16684</v>
      </c>
      <c r="B3004" s="1" t="s">
        <v>27</v>
      </c>
      <c r="C3004" s="1" t="s">
        <v>16685</v>
      </c>
      <c r="D3004" s="1" t="s">
        <v>16686</v>
      </c>
      <c r="E3004" s="1" t="s">
        <v>16687</v>
      </c>
      <c r="F3004" s="1" t="s">
        <v>16688</v>
      </c>
      <c r="G3004" s="1" t="s">
        <v>16676</v>
      </c>
      <c r="H3004" s="1">
        <v>2004.0</v>
      </c>
      <c r="I3004" s="1" t="s">
        <v>42</v>
      </c>
      <c r="J3004" s="1" t="s">
        <v>357</v>
      </c>
      <c r="K3004" s="1" t="s">
        <v>583</v>
      </c>
      <c r="L3004" s="1" t="s">
        <v>16689</v>
      </c>
      <c r="M3004" s="2" t="s">
        <v>12</v>
      </c>
      <c r="N3004" s="4">
        <f t="shared" si="1"/>
        <v>43852</v>
      </c>
      <c r="O3004" s="5" t="str">
        <f>IFERROR(__xludf.DUMMYFUNCTION("IF(REGEXMATCH(TRIM(I3004), ""^\d+\s*min""), ""Unclassified"", IF(I3004 = """", ""NR"", I3004))"),"TV-MA")</f>
        <v>TV-MA</v>
      </c>
      <c r="R3004" s="5" t="str">
        <f t="shared" si="2"/>
        <v>Whisky</v>
      </c>
      <c r="S3004" s="5" t="str">
        <f>IFERROR(__xludf.DUMMYFUNCTION("""COMPUTED_VALUE"""),"Headspace: Unwind Your Mind")</f>
        <v>Headspace: Unwind Your Mind</v>
      </c>
      <c r="U3004" s="5" t="str">
        <f>IFERROR(__xludf.DUMMYFUNCTION("""COMPUTED_VALUE"""),"Raymond Wood")</f>
        <v>Raymond Wood</v>
      </c>
      <c r="V3004" s="5" t="s">
        <v>16690</v>
      </c>
      <c r="W3004" s="5" t="str">
        <f t="shared" si="3"/>
        <v>Neil Labute</v>
      </c>
      <c r="X3004" s="5">
        <f t="shared" si="4"/>
        <v>1</v>
      </c>
      <c r="Y3004" s="5" t="str">
        <f>IFERROR(__xludf.DUMMYFUNCTION("REGEXEXTRACT(J3004, ""^\d+"")"),"98")</f>
        <v>98</v>
      </c>
      <c r="Z3004" s="5" t="str">
        <f>IFERROR(__xludf.DUMMYFUNCTION("REGEXEXTRACT(J3004, ""[A-Za-z ]+$"")")," min")</f>
        <v> min</v>
      </c>
      <c r="AA3004" s="5" t="str">
        <f>IFERROR(__xludf.DUMMYFUNCTION("IF(REGEXMATCH(Z3004, ""Season""), ""TV Show"", ""Movie"")"),"Movie")</f>
        <v>Movie</v>
      </c>
    </row>
    <row r="3005">
      <c r="A3005" s="1" t="s">
        <v>16691</v>
      </c>
      <c r="B3005" s="1" t="s">
        <v>27</v>
      </c>
      <c r="C3005" s="1" t="s">
        <v>16692</v>
      </c>
      <c r="D3005" s="1" t="s">
        <v>13179</v>
      </c>
      <c r="E3005" s="1" t="s">
        <v>16693</v>
      </c>
      <c r="F3005" s="1" t="s">
        <v>30</v>
      </c>
      <c r="G3005" s="1" t="s">
        <v>16694</v>
      </c>
      <c r="H3005" s="1">
        <v>2020.0</v>
      </c>
      <c r="I3005" s="1" t="s">
        <v>42</v>
      </c>
      <c r="J3005" s="1" t="s">
        <v>207</v>
      </c>
      <c r="K3005" s="1" t="s">
        <v>1839</v>
      </c>
      <c r="L3005" s="1" t="s">
        <v>16695</v>
      </c>
      <c r="M3005" s="2" t="s">
        <v>12</v>
      </c>
      <c r="N3005" s="4">
        <f t="shared" si="1"/>
        <v>43851</v>
      </c>
      <c r="O3005" s="5" t="str">
        <f>IFERROR(__xludf.DUMMYFUNCTION("IF(REGEXMATCH(TRIM(I3005), ""^\d+\s*min""), ""Unclassified"", IF(I3005 = """", ""NR"", I3005))"),"TV-MA")</f>
        <v>TV-MA</v>
      </c>
      <c r="R3005" s="5" t="str">
        <f t="shared" si="2"/>
        <v>Fortune Feimster: Sweet &amp; Salty</v>
      </c>
      <c r="S3005" s="5" t="str">
        <f>IFERROR(__xludf.DUMMYFUNCTION("""COMPUTED_VALUE"""),"Headwinds")</f>
        <v>Headwinds</v>
      </c>
      <c r="U3005" s="5" t="str">
        <f>IFERROR(__xludf.DUMMYFUNCTION("""COMPUTED_VALUE"""),"Hasraf Dulull")</f>
        <v>Hasraf Dulull</v>
      </c>
      <c r="V3005" s="5" t="s">
        <v>16696</v>
      </c>
      <c r="W3005" s="5" t="str">
        <f t="shared" si="3"/>
        <v>Neil Rawles</v>
      </c>
      <c r="X3005" s="5">
        <f t="shared" si="4"/>
        <v>1</v>
      </c>
      <c r="Y3005" s="5" t="str">
        <f>IFERROR(__xludf.DUMMYFUNCTION("REGEXEXTRACT(J3005, ""^\d+"")"),"61")</f>
        <v>61</v>
      </c>
      <c r="Z3005" s="5" t="str">
        <f>IFERROR(__xludf.DUMMYFUNCTION("REGEXEXTRACT(J3005, ""[A-Za-z ]+$"")")," min")</f>
        <v> min</v>
      </c>
      <c r="AA3005" s="5" t="str">
        <f>IFERROR(__xludf.DUMMYFUNCTION("IF(REGEXMATCH(Z3005, ""Season""), ""TV Show"", ""Movie"")"),"Movie")</f>
        <v>Movie</v>
      </c>
    </row>
    <row r="3006">
      <c r="A3006" s="1" t="s">
        <v>16697</v>
      </c>
      <c r="B3006" s="1" t="s">
        <v>27</v>
      </c>
      <c r="C3006" s="1" t="s">
        <v>16698</v>
      </c>
      <c r="D3006" s="1" t="s">
        <v>14223</v>
      </c>
      <c r="E3006" s="1" t="s">
        <v>16699</v>
      </c>
      <c r="F3006" s="1" t="s">
        <v>63</v>
      </c>
      <c r="G3006" s="1" t="s">
        <v>16694</v>
      </c>
      <c r="H3006" s="1">
        <v>2019.0</v>
      </c>
      <c r="I3006" s="1" t="s">
        <v>97</v>
      </c>
      <c r="J3006" s="1" t="s">
        <v>349</v>
      </c>
      <c r="K3006" s="1" t="s">
        <v>836</v>
      </c>
      <c r="L3006" s="1" t="s">
        <v>16700</v>
      </c>
      <c r="M3006" s="2" t="s">
        <v>12</v>
      </c>
      <c r="N3006" s="4">
        <f t="shared" si="1"/>
        <v>43851</v>
      </c>
      <c r="O3006" s="5" t="str">
        <f>IFERROR(__xludf.DUMMYFUNCTION("IF(REGEXMATCH(TRIM(I3006), ""^\d+\s*min""), ""Unclassified"", IF(I3006 = """", ""NR"", I3006))"),"TV-14")</f>
        <v>TV-14</v>
      </c>
      <c r="R3006" s="5" t="str">
        <f t="shared" si="2"/>
        <v>Kd (A) Karuppudurai</v>
      </c>
      <c r="S3006" s="5" t="str">
        <f>IFERROR(__xludf.DUMMYFUNCTION("""COMPUTED_VALUE"""),"Heal")</f>
        <v>Heal</v>
      </c>
      <c r="U3006" s="5" t="str">
        <f>IFERROR(__xludf.DUMMYFUNCTION("""COMPUTED_VALUE"""),"Mike Mills")</f>
        <v>Mike Mills</v>
      </c>
      <c r="V3006" s="5" t="s">
        <v>16701</v>
      </c>
      <c r="W3006" s="5" t="str">
        <f t="shared" si="3"/>
        <v>Neil Triffett</v>
      </c>
      <c r="X3006" s="5">
        <f t="shared" si="4"/>
        <v>1</v>
      </c>
      <c r="Y3006" s="5" t="str">
        <f>IFERROR(__xludf.DUMMYFUNCTION("REGEXEXTRACT(J3006, ""^\d+"")"),"116")</f>
        <v>116</v>
      </c>
      <c r="Z3006" s="5" t="str">
        <f>IFERROR(__xludf.DUMMYFUNCTION("REGEXEXTRACT(J3006, ""[A-Za-z ]+$"")")," min")</f>
        <v> min</v>
      </c>
      <c r="AA3006" s="5" t="str">
        <f>IFERROR(__xludf.DUMMYFUNCTION("IF(REGEXMATCH(Z3006, ""Season""), ""TV Show"", ""Movie"")"),"Movie")</f>
        <v>Movie</v>
      </c>
    </row>
    <row r="3007">
      <c r="A3007" s="1" t="s">
        <v>16702</v>
      </c>
      <c r="B3007" s="1" t="s">
        <v>37</v>
      </c>
      <c r="C3007" s="1" t="s">
        <v>16703</v>
      </c>
      <c r="E3007" s="1" t="s">
        <v>16704</v>
      </c>
      <c r="F3007" s="1" t="s">
        <v>30</v>
      </c>
      <c r="G3007" s="1" t="s">
        <v>16705</v>
      </c>
      <c r="H3007" s="1">
        <v>2011.0</v>
      </c>
      <c r="I3007" s="1" t="s">
        <v>136</v>
      </c>
      <c r="J3007" s="1" t="s">
        <v>51</v>
      </c>
      <c r="K3007" s="1" t="s">
        <v>3368</v>
      </c>
      <c r="L3007" s="1" t="s">
        <v>16706</v>
      </c>
      <c r="M3007" s="2" t="s">
        <v>12</v>
      </c>
      <c r="N3007" s="4">
        <f t="shared" si="1"/>
        <v>43850</v>
      </c>
      <c r="O3007" s="5" t="str">
        <f>IFERROR(__xludf.DUMMYFUNCTION("IF(REGEXMATCH(TRIM(I3007), ""^\d+\s*min""), ""Unclassified"", IF(I3007 = """", ""NR"", I3007))"),"TV-PG")</f>
        <v>TV-PG</v>
      </c>
      <c r="R3007" s="5" t="str">
        <f t="shared" si="2"/>
        <v>Dreamworks How To Train Your Dragon Legends</v>
      </c>
      <c r="S3007" s="5" t="str">
        <f>IFERROR(__xludf.DUMMYFUNCTION("""COMPUTED_VALUE"""),"Heart &amp; Soul")</f>
        <v>Heart &amp; Soul</v>
      </c>
      <c r="U3007" s="5" t="str">
        <f>IFERROR(__xludf.DUMMYFUNCTION("""COMPUTED_VALUE"""),"Jon Lucas, Scott Moore")</f>
        <v>Jon Lucas, Scott Moore</v>
      </c>
      <c r="V3007" s="5" t="s">
        <v>938</v>
      </c>
      <c r="W3007" s="5" t="str">
        <f t="shared" si="3"/>
        <v>Neill Blomkamp</v>
      </c>
      <c r="X3007" s="5">
        <f t="shared" si="4"/>
        <v>2</v>
      </c>
      <c r="Y3007" s="5" t="str">
        <f>IFERROR(__xludf.DUMMYFUNCTION("REGEXEXTRACT(J3007, ""^\d+"")"),"1")</f>
        <v>1</v>
      </c>
      <c r="Z3007" s="5" t="str">
        <f>IFERROR(__xludf.DUMMYFUNCTION("REGEXEXTRACT(J3007, ""[A-Za-z ]+$"")")," Season")</f>
        <v> Season</v>
      </c>
      <c r="AA3007" s="5" t="str">
        <f>IFERROR(__xludf.DUMMYFUNCTION("IF(REGEXMATCH(Z3007, ""Season""), ""TV Show"", ""Movie"")"),"TV Show")</f>
        <v>TV Show</v>
      </c>
    </row>
    <row r="3008">
      <c r="A3008" s="1" t="s">
        <v>16707</v>
      </c>
      <c r="B3008" s="1" t="s">
        <v>27</v>
      </c>
      <c r="C3008" s="1" t="s">
        <v>16708</v>
      </c>
      <c r="D3008" s="1" t="s">
        <v>6254</v>
      </c>
      <c r="E3008" s="1" t="s">
        <v>16709</v>
      </c>
      <c r="F3008" s="1" t="s">
        <v>63</v>
      </c>
      <c r="G3008" s="1" t="s">
        <v>16705</v>
      </c>
      <c r="H3008" s="1">
        <v>2019.0</v>
      </c>
      <c r="I3008" s="1" t="s">
        <v>97</v>
      </c>
      <c r="J3008" s="1" t="s">
        <v>2505</v>
      </c>
      <c r="K3008" s="1" t="s">
        <v>583</v>
      </c>
      <c r="L3008" s="1" t="s">
        <v>16710</v>
      </c>
      <c r="M3008" s="2" t="s">
        <v>12</v>
      </c>
      <c r="N3008" s="4">
        <f t="shared" si="1"/>
        <v>43850</v>
      </c>
      <c r="O3008" s="5" t="str">
        <f>IFERROR(__xludf.DUMMYFUNCTION("IF(REGEXMATCH(TRIM(I3008), ""^\d+\s*min""), ""Unclassified"", IF(I3008 = """", ""NR"", I3008))"),"TV-14")</f>
        <v>TV-14</v>
      </c>
      <c r="R3008" s="5" t="str">
        <f t="shared" si="2"/>
        <v>Motichoor Chaknachoor</v>
      </c>
      <c r="S3008" s="5" t="str">
        <f>IFERROR(__xludf.DUMMYFUNCTION("""COMPUTED_VALUE"""),"Heartbreak High")</f>
        <v>Heartbreak High</v>
      </c>
      <c r="U3008" s="5" t="str">
        <f>IFERROR(__xludf.DUMMYFUNCTION("""COMPUTED_VALUE"""),"Joey Curtis")</f>
        <v>Joey Curtis</v>
      </c>
      <c r="V3008" s="5" t="s">
        <v>16711</v>
      </c>
      <c r="W3008" s="5" t="str">
        <f t="shared" si="3"/>
        <v>Nelson Mccormick</v>
      </c>
      <c r="X3008" s="5">
        <f t="shared" si="4"/>
        <v>2</v>
      </c>
      <c r="Y3008" s="5" t="str">
        <f>IFERROR(__xludf.DUMMYFUNCTION("REGEXEXTRACT(J3008, ""^\d+"")"),"132")</f>
        <v>132</v>
      </c>
      <c r="Z3008" s="5" t="str">
        <f>IFERROR(__xludf.DUMMYFUNCTION("REGEXEXTRACT(J3008, ""[A-Za-z ]+$"")")," min")</f>
        <v> min</v>
      </c>
      <c r="AA3008" s="5" t="str">
        <f>IFERROR(__xludf.DUMMYFUNCTION("IF(REGEXMATCH(Z3008, ""Season""), ""TV Show"", ""Movie"")"),"Movie")</f>
        <v>Movie</v>
      </c>
    </row>
    <row r="3009">
      <c r="A3009" s="1" t="s">
        <v>16712</v>
      </c>
      <c r="B3009" s="1" t="s">
        <v>27</v>
      </c>
      <c r="C3009" s="1" t="s">
        <v>16713</v>
      </c>
      <c r="D3009" s="1" t="s">
        <v>6020</v>
      </c>
      <c r="E3009" s="1" t="s">
        <v>6020</v>
      </c>
      <c r="F3009" s="1" t="s">
        <v>30</v>
      </c>
      <c r="G3009" s="1" t="s">
        <v>16705</v>
      </c>
      <c r="H3009" s="1">
        <v>2020.0</v>
      </c>
      <c r="I3009" s="1" t="s">
        <v>97</v>
      </c>
      <c r="J3009" s="1" t="s">
        <v>12062</v>
      </c>
      <c r="K3009" s="1" t="s">
        <v>1320</v>
      </c>
      <c r="L3009" s="1" t="s">
        <v>16714</v>
      </c>
      <c r="M3009" s="2" t="s">
        <v>12</v>
      </c>
      <c r="N3009" s="4">
        <f t="shared" si="1"/>
        <v>43850</v>
      </c>
      <c r="O3009" s="5" t="str">
        <f>IFERROR(__xludf.DUMMYFUNCTION("IF(REGEXMATCH(TRIM(I3009), ""^\d+\s*min""), ""Unclassified"", IF(I3009 = """", ""NR"", I3009))"),"TV-14")</f>
        <v>TV-14</v>
      </c>
      <c r="R3009" s="5" t="str">
        <f t="shared" si="2"/>
        <v>What Did Jack Do?</v>
      </c>
      <c r="S3009" s="5" t="str">
        <f>IFERROR(__xludf.DUMMYFUNCTION("""COMPUTED_VALUE"""),"Heartbreakers")</f>
        <v>Heartbreakers</v>
      </c>
      <c r="U3009" s="5" t="str">
        <f>IFERROR(__xludf.DUMMYFUNCTION("""COMPUTED_VALUE"""),"Brian Smrz")</f>
        <v>Brian Smrz</v>
      </c>
      <c r="V3009" s="5" t="s">
        <v>3439</v>
      </c>
      <c r="W3009" s="5" t="str">
        <f t="shared" si="3"/>
        <v>Neri Parenti</v>
      </c>
      <c r="X3009" s="5">
        <f t="shared" si="4"/>
        <v>1</v>
      </c>
      <c r="Y3009" s="5" t="str">
        <f>IFERROR(__xludf.DUMMYFUNCTION("REGEXEXTRACT(J3009, ""^\d+"")"),"17")</f>
        <v>17</v>
      </c>
      <c r="Z3009" s="5" t="str">
        <f>IFERROR(__xludf.DUMMYFUNCTION("REGEXEXTRACT(J3009, ""[A-Za-z ]+$"")")," min")</f>
        <v> min</v>
      </c>
      <c r="AA3009" s="5" t="str">
        <f>IFERROR(__xludf.DUMMYFUNCTION("IF(REGEXMATCH(Z3009, ""Season""), ""TV Show"", ""Movie"")"),"Movie")</f>
        <v>Movie</v>
      </c>
    </row>
    <row r="3010">
      <c r="A3010" s="1" t="s">
        <v>16715</v>
      </c>
      <c r="B3010" s="1" t="s">
        <v>27</v>
      </c>
      <c r="C3010" s="1" t="s">
        <v>16716</v>
      </c>
      <c r="D3010" s="1" t="s">
        <v>2828</v>
      </c>
      <c r="E3010" s="1" t="s">
        <v>16717</v>
      </c>
      <c r="F3010" s="1" t="s">
        <v>16718</v>
      </c>
      <c r="G3010" s="1" t="s">
        <v>16719</v>
      </c>
      <c r="H3010" s="1">
        <v>2013.0</v>
      </c>
      <c r="I3010" s="1" t="s">
        <v>378</v>
      </c>
      <c r="J3010" s="1" t="s">
        <v>79</v>
      </c>
      <c r="K3010" s="1" t="s">
        <v>1320</v>
      </c>
      <c r="L3010" s="1" t="s">
        <v>16720</v>
      </c>
      <c r="M3010" s="2" t="s">
        <v>12</v>
      </c>
      <c r="N3010" s="4">
        <f t="shared" si="1"/>
        <v>43848</v>
      </c>
      <c r="O3010" s="5" t="str">
        <f>IFERROR(__xludf.DUMMYFUNCTION("IF(REGEXMATCH(TRIM(I3010), ""^\d+\s*min""), ""Unclassified"", IF(I3010 = """", ""NR"", I3010))"),"R")</f>
        <v>R</v>
      </c>
      <c r="R3010" s="5" t="str">
        <f t="shared" si="2"/>
        <v>The Bling Ring</v>
      </c>
      <c r="S3010" s="5" t="str">
        <f>IFERROR(__xludf.DUMMYFUNCTION("""COMPUTED_VALUE"""),"Heartland")</f>
        <v>Heartland</v>
      </c>
      <c r="U3010" s="5" t="str">
        <f>IFERROR(__xludf.DUMMYFUNCTION("""COMPUTED_VALUE"""),"Nicanor Loreti")</f>
        <v>Nicanor Loreti</v>
      </c>
      <c r="V3010" s="5" t="s">
        <v>16721</v>
      </c>
      <c r="W3010" s="5" t="str">
        <f t="shared" si="3"/>
        <v>Neslihan Yesilyurt</v>
      </c>
      <c r="X3010" s="5">
        <f t="shared" si="4"/>
        <v>1</v>
      </c>
      <c r="Y3010" s="5" t="str">
        <f>IFERROR(__xludf.DUMMYFUNCTION("REGEXEXTRACT(J3010, ""^\d+"")"),"91")</f>
        <v>91</v>
      </c>
      <c r="Z3010" s="5" t="str">
        <f>IFERROR(__xludf.DUMMYFUNCTION("REGEXEXTRACT(J3010, ""[A-Za-z ]+$"")")," min")</f>
        <v> min</v>
      </c>
      <c r="AA3010" s="5" t="str">
        <f>IFERROR(__xludf.DUMMYFUNCTION("IF(REGEXMATCH(Z3010, ""Season""), ""TV Show"", ""Movie"")"),"Movie")</f>
        <v>Movie</v>
      </c>
    </row>
    <row r="3011">
      <c r="A3011" s="1" t="s">
        <v>16722</v>
      </c>
      <c r="B3011" s="1" t="s">
        <v>27</v>
      </c>
      <c r="C3011" s="1" t="s">
        <v>16723</v>
      </c>
      <c r="D3011" s="1" t="s">
        <v>16724</v>
      </c>
      <c r="E3011" s="1" t="s">
        <v>16725</v>
      </c>
      <c r="F3011" s="1" t="s">
        <v>30</v>
      </c>
      <c r="G3011" s="1" t="s">
        <v>16726</v>
      </c>
      <c r="H3011" s="1">
        <v>2020.0</v>
      </c>
      <c r="I3011" s="1" t="s">
        <v>42</v>
      </c>
      <c r="J3011" s="1" t="s">
        <v>941</v>
      </c>
      <c r="K3011" s="1" t="s">
        <v>394</v>
      </c>
      <c r="L3011" s="1" t="s">
        <v>16727</v>
      </c>
      <c r="M3011" s="2" t="s">
        <v>12</v>
      </c>
      <c r="N3011" s="4">
        <f t="shared" si="1"/>
        <v>43847</v>
      </c>
      <c r="O3011" s="5" t="str">
        <f>IFERROR(__xludf.DUMMYFUNCTION("IF(REGEXMATCH(TRIM(I3011), ""^\d+\s*min""), ""Unclassified"", IF(I3011 = """", ""NR"", I3011))"),"TV-MA")</f>
        <v>TV-MA</v>
      </c>
      <c r="R3011" s="5" t="str">
        <f t="shared" si="2"/>
        <v>A Fall From Grace</v>
      </c>
      <c r="S3011" s="5" t="str">
        <f>IFERROR(__xludf.DUMMYFUNCTION("""COMPUTED_VALUE"""),"Heartthrob")</f>
        <v>Heartthrob</v>
      </c>
      <c r="U3011" s="5" t="str">
        <f>IFERROR(__xludf.DUMMYFUNCTION("""COMPUTED_VALUE"""),"Simon Napier-Bell")</f>
        <v>Simon Napier-Bell</v>
      </c>
      <c r="V3011" s="5" t="s">
        <v>16728</v>
      </c>
      <c r="W3011" s="5" t="str">
        <f t="shared" si="3"/>
        <v>Néstor Sánchez Sotelo</v>
      </c>
      <c r="X3011" s="5">
        <f t="shared" si="4"/>
        <v>1</v>
      </c>
      <c r="Y3011" s="5" t="str">
        <f>IFERROR(__xludf.DUMMYFUNCTION("REGEXEXTRACT(J3011, ""^\d+"")"),"121")</f>
        <v>121</v>
      </c>
      <c r="Z3011" s="5" t="str">
        <f>IFERROR(__xludf.DUMMYFUNCTION("REGEXEXTRACT(J3011, ""[A-Za-z ]+$"")")," min")</f>
        <v> min</v>
      </c>
      <c r="AA3011" s="5" t="str">
        <f>IFERROR(__xludf.DUMMYFUNCTION("IF(REGEXMATCH(Z3011, ""Season""), ""TV Show"", ""Movie"")"),"Movie")</f>
        <v>Movie</v>
      </c>
    </row>
    <row r="3012">
      <c r="A3012" s="1" t="s">
        <v>16729</v>
      </c>
      <c r="B3012" s="1" t="s">
        <v>37</v>
      </c>
      <c r="C3012" s="1" t="s">
        <v>16730</v>
      </c>
      <c r="E3012" s="1" t="s">
        <v>16731</v>
      </c>
      <c r="F3012" s="1" t="s">
        <v>4615</v>
      </c>
      <c r="G3012" s="1" t="s">
        <v>16726</v>
      </c>
      <c r="H3012" s="1">
        <v>2020.0</v>
      </c>
      <c r="I3012" s="1" t="s">
        <v>42</v>
      </c>
      <c r="J3012" s="1" t="s">
        <v>51</v>
      </c>
      <c r="K3012" s="1" t="s">
        <v>9281</v>
      </c>
      <c r="L3012" s="1" t="s">
        <v>16732</v>
      </c>
      <c r="M3012" s="2" t="s">
        <v>12</v>
      </c>
      <c r="N3012" s="4">
        <f t="shared" si="1"/>
        <v>43847</v>
      </c>
      <c r="O3012" s="5" t="str">
        <f>IFERROR(__xludf.DUMMYFUNCTION("IF(REGEXMATCH(TRIM(I3012), ""^\d+\s*min""), ""Unclassified"", IF(I3012 = """", ""NR"", I3012))"),"TV-MA")</f>
        <v>TV-MA</v>
      </c>
      <c r="R3012" s="5" t="str">
        <f t="shared" si="2"/>
        <v>Ares</v>
      </c>
      <c r="S3012" s="5" t="str">
        <f>IFERROR(__xludf.DUMMYFUNCTION("""COMPUTED_VALUE"""),"Heaven Official'S Blessing")</f>
        <v>Heaven Official'S Blessing</v>
      </c>
      <c r="U3012" s="5" t="str">
        <f>IFERROR(__xludf.DUMMYFUNCTION("""COMPUTED_VALUE"""),"Betty Thomas")</f>
        <v>Betty Thomas</v>
      </c>
      <c r="V3012" s="5" t="s">
        <v>14839</v>
      </c>
      <c r="W3012" s="5" t="str">
        <f t="shared" si="3"/>
        <v>Neville Shah</v>
      </c>
      <c r="X3012" s="5">
        <f t="shared" si="4"/>
        <v>1</v>
      </c>
      <c r="Y3012" s="5" t="str">
        <f>IFERROR(__xludf.DUMMYFUNCTION("REGEXEXTRACT(J3012, ""^\d+"")"),"1")</f>
        <v>1</v>
      </c>
      <c r="Z3012" s="5" t="str">
        <f>IFERROR(__xludf.DUMMYFUNCTION("REGEXEXTRACT(J3012, ""[A-Za-z ]+$"")")," Season")</f>
        <v> Season</v>
      </c>
      <c r="AA3012" s="5" t="str">
        <f>IFERROR(__xludf.DUMMYFUNCTION("IF(REGEXMATCH(Z3012, ""Season""), ""TV Show"", ""Movie"")"),"TV Show")</f>
        <v>TV Show</v>
      </c>
    </row>
    <row r="3013">
      <c r="A3013" s="1" t="s">
        <v>16733</v>
      </c>
      <c r="B3013" s="1" t="s">
        <v>37</v>
      </c>
      <c r="C3013" s="1" t="s">
        <v>16734</v>
      </c>
      <c r="E3013" s="1" t="s">
        <v>16735</v>
      </c>
      <c r="F3013" s="1" t="s">
        <v>1106</v>
      </c>
      <c r="G3013" s="1" t="s">
        <v>16726</v>
      </c>
      <c r="H3013" s="1">
        <v>2020.0</v>
      </c>
      <c r="I3013" s="1" t="s">
        <v>42</v>
      </c>
      <c r="J3013" s="1" t="s">
        <v>148</v>
      </c>
      <c r="K3013" s="1" t="s">
        <v>507</v>
      </c>
      <c r="L3013" s="1" t="s">
        <v>16736</v>
      </c>
      <c r="M3013" s="2" t="s">
        <v>12</v>
      </c>
      <c r="N3013" s="4">
        <f t="shared" si="1"/>
        <v>43847</v>
      </c>
      <c r="O3013" s="5" t="str">
        <f>IFERROR(__xludf.DUMMYFUNCTION("IF(REGEXMATCH(TRIM(I3013), ""^\d+\s*min""), ""Unclassified"", IF(I3013 = """", ""NR"", I3013))"),"TV-MA")</f>
        <v>TV-MA</v>
      </c>
      <c r="R3013" s="5" t="str">
        <f t="shared" si="2"/>
        <v>Hip-Hop Evolution</v>
      </c>
      <c r="S3013" s="5" t="str">
        <f>IFERROR(__xludf.DUMMYFUNCTION("""COMPUTED_VALUE"""),"Heaven Without People")</f>
        <v>Heaven Without People</v>
      </c>
      <c r="U3013" s="5" t="str">
        <f>IFERROR(__xludf.DUMMYFUNCTION("""COMPUTED_VALUE"""),"Gaby Dellal")</f>
        <v>Gaby Dellal</v>
      </c>
      <c r="V3013" s="5" t="s">
        <v>11790</v>
      </c>
      <c r="W3013" s="5" t="str">
        <f t="shared" si="3"/>
        <v>Nguyen Thanh Tung</v>
      </c>
      <c r="X3013" s="5">
        <f t="shared" si="4"/>
        <v>1</v>
      </c>
      <c r="Y3013" s="5" t="str">
        <f>IFERROR(__xludf.DUMMYFUNCTION("REGEXEXTRACT(J3013, ""^\d+"")"),"4")</f>
        <v>4</v>
      </c>
      <c r="Z3013" s="5" t="str">
        <f>IFERROR(__xludf.DUMMYFUNCTION("REGEXEXTRACT(J3013, ""[A-Za-z ]+$"")")," Seasons")</f>
        <v> Seasons</v>
      </c>
      <c r="AA3013" s="5" t="str">
        <f>IFERROR(__xludf.DUMMYFUNCTION("IF(REGEXMATCH(Z3013, ""Season""), ""TV Show"", ""Movie"")"),"TV Show")</f>
        <v>TV Show</v>
      </c>
    </row>
    <row r="3014">
      <c r="A3014" s="1" t="s">
        <v>16737</v>
      </c>
      <c r="B3014" s="1" t="s">
        <v>37</v>
      </c>
      <c r="C3014" s="1" t="s">
        <v>16738</v>
      </c>
      <c r="E3014" s="1" t="s">
        <v>16739</v>
      </c>
      <c r="F3014" s="1" t="s">
        <v>2492</v>
      </c>
      <c r="G3014" s="1" t="s">
        <v>16726</v>
      </c>
      <c r="H3014" s="1">
        <v>2020.0</v>
      </c>
      <c r="I3014" s="1" t="s">
        <v>97</v>
      </c>
      <c r="J3014" s="1" t="s">
        <v>51</v>
      </c>
      <c r="K3014" s="1" t="s">
        <v>1520</v>
      </c>
      <c r="L3014" s="1" t="s">
        <v>16740</v>
      </c>
      <c r="M3014" s="2" t="s">
        <v>12</v>
      </c>
      <c r="N3014" s="4">
        <f t="shared" si="1"/>
        <v>43847</v>
      </c>
      <c r="O3014" s="5" t="str">
        <f>IFERROR(__xludf.DUMMYFUNCTION("IF(REGEXMATCH(TRIM(I3014), ""^\d+\s*min""), ""Unclassified"", IF(I3014 = """", ""NR"", I3014))"),"TV-14")</f>
        <v>TV-14</v>
      </c>
      <c r="R3014" s="5" t="str">
        <f t="shared" si="2"/>
        <v>Nailed It! Germany</v>
      </c>
      <c r="S3014" s="5" t="str">
        <f>IFERROR(__xludf.DUMMYFUNCTION("""COMPUTED_VALUE"""),"Heaven'S Garden")</f>
        <v>Heaven'S Garden</v>
      </c>
      <c r="U3014" s="5" t="str">
        <f>IFERROR(__xludf.DUMMYFUNCTION("""COMPUTED_VALUE"""),"Iman Brotoseno")</f>
        <v>Iman Brotoseno</v>
      </c>
      <c r="V3014" s="5" t="s">
        <v>16741</v>
      </c>
      <c r="W3014" s="5" t="str">
        <f t="shared" si="3"/>
        <v>Nia Dinata</v>
      </c>
      <c r="X3014" s="5">
        <f t="shared" si="4"/>
        <v>2</v>
      </c>
      <c r="Y3014" s="5" t="str">
        <f>IFERROR(__xludf.DUMMYFUNCTION("REGEXEXTRACT(J3014, ""^\d+"")"),"1")</f>
        <v>1</v>
      </c>
      <c r="Z3014" s="5" t="str">
        <f>IFERROR(__xludf.DUMMYFUNCTION("REGEXEXTRACT(J3014, ""[A-Za-z ]+$"")")," Season")</f>
        <v> Season</v>
      </c>
      <c r="AA3014" s="5" t="str">
        <f>IFERROR(__xludf.DUMMYFUNCTION("IF(REGEXMATCH(Z3014, ""Season""), ""TV Show"", ""Movie"")"),"TV Show")</f>
        <v>TV Show</v>
      </c>
    </row>
    <row r="3015">
      <c r="A3015" s="1" t="s">
        <v>16742</v>
      </c>
      <c r="B3015" s="1" t="s">
        <v>37</v>
      </c>
      <c r="C3015" s="1" t="s">
        <v>16743</v>
      </c>
      <c r="F3015" s="1" t="s">
        <v>30</v>
      </c>
      <c r="G3015" s="1" t="s">
        <v>16726</v>
      </c>
      <c r="H3015" s="1">
        <v>2019.0</v>
      </c>
      <c r="I3015" s="1" t="s">
        <v>136</v>
      </c>
      <c r="J3015" s="1" t="s">
        <v>43</v>
      </c>
      <c r="K3015" s="1" t="s">
        <v>440</v>
      </c>
      <c r="L3015" s="1" t="s">
        <v>16744</v>
      </c>
      <c r="M3015" s="2" t="s">
        <v>12</v>
      </c>
      <c r="N3015" s="4">
        <f t="shared" si="1"/>
        <v>43847</v>
      </c>
      <c r="O3015" s="5" t="str">
        <f>IFERROR(__xludf.DUMMYFUNCTION("IF(REGEXMATCH(TRIM(I3015), ""^\d+\s*min""), ""Unclassified"", IF(I3015 = """", ""NR"", I3015))"),"TV-PG")</f>
        <v>TV-PG</v>
      </c>
      <c r="R3015" s="5" t="str">
        <f t="shared" si="2"/>
        <v>Tiny House Nation</v>
      </c>
      <c r="S3015" s="5" t="str">
        <f>IFERROR(__xludf.DUMMYFUNCTION("""COMPUTED_VALUE"""),"Heavy")</f>
        <v>Heavy</v>
      </c>
      <c r="U3015" s="5" t="str">
        <f>IFERROR(__xludf.DUMMYFUNCTION("""COMPUTED_VALUE"""),"Shazia Javed")</f>
        <v>Shazia Javed</v>
      </c>
      <c r="V3015" s="5" t="s">
        <v>13871</v>
      </c>
      <c r="W3015" s="5" t="str">
        <f t="shared" si="3"/>
        <v>Niall Johnson</v>
      </c>
      <c r="X3015" s="5">
        <f t="shared" si="4"/>
        <v>1</v>
      </c>
      <c r="Y3015" s="5" t="str">
        <f>IFERROR(__xludf.DUMMYFUNCTION("REGEXEXTRACT(J3015, ""^\d+"")"),"2")</f>
        <v>2</v>
      </c>
      <c r="Z3015" s="5" t="str">
        <f>IFERROR(__xludf.DUMMYFUNCTION("REGEXEXTRACT(J3015, ""[A-Za-z ]+$"")")," Seasons")</f>
        <v> Seasons</v>
      </c>
      <c r="AA3015" s="5" t="str">
        <f>IFERROR(__xludf.DUMMYFUNCTION("IF(REGEXMATCH(Z3015, ""Season""), ""TV Show"", ""Movie"")"),"TV Show")</f>
        <v>TV Show</v>
      </c>
    </row>
    <row r="3016">
      <c r="A3016" s="1" t="s">
        <v>16745</v>
      </c>
      <c r="B3016" s="1" t="s">
        <v>27</v>
      </c>
      <c r="C3016" s="1" t="s">
        <v>16746</v>
      </c>
      <c r="D3016" s="1" t="s">
        <v>4228</v>
      </c>
      <c r="E3016" s="1" t="s">
        <v>16747</v>
      </c>
      <c r="F3016" s="1" t="s">
        <v>30</v>
      </c>
      <c r="G3016" s="1" t="s">
        <v>16748</v>
      </c>
      <c r="H3016" s="1">
        <v>2019.0</v>
      </c>
      <c r="I3016" s="1" t="s">
        <v>97</v>
      </c>
      <c r="J3016" s="1" t="s">
        <v>1737</v>
      </c>
      <c r="K3016" s="1" t="s">
        <v>1551</v>
      </c>
      <c r="L3016" s="1" t="s">
        <v>16749</v>
      </c>
      <c r="M3016" s="2" t="s">
        <v>12</v>
      </c>
      <c r="N3016" s="4">
        <f t="shared" si="1"/>
        <v>43846</v>
      </c>
      <c r="O3016" s="5" t="str">
        <f>IFERROR(__xludf.DUMMYFUNCTION("IF(REGEXMATCH(TRIM(I3016), ""^\d+\s*min""), ""Unclassified"", IF(I3016 = """", ""NR"", I3016))"),"TV-14")</f>
        <v>TV-14</v>
      </c>
      <c r="R3016" s="5" t="str">
        <f t="shared" si="2"/>
        <v>Deadcon</v>
      </c>
      <c r="S3016" s="5" t="str">
        <f>IFERROR(__xludf.DUMMYFUNCTION("""COMPUTED_VALUE"""),"Heavy Rescue: 401")</f>
        <v>Heavy Rescue: 401</v>
      </c>
      <c r="U3016" s="5" t="str">
        <f>IFERROR(__xludf.DUMMYFUNCTION("""COMPUTED_VALUE"""),"Hani Hamdi")</f>
        <v>Hani Hamdi</v>
      </c>
      <c r="V3016" s="5" t="s">
        <v>3919</v>
      </c>
      <c r="W3016" s="5" t="str">
        <f t="shared" si="3"/>
        <v>Nibal Arakji</v>
      </c>
      <c r="X3016" s="5">
        <f t="shared" si="4"/>
        <v>1</v>
      </c>
      <c r="Y3016" s="5" t="str">
        <f>IFERROR(__xludf.DUMMYFUNCTION("REGEXEXTRACT(J3016, ""^\d+"")"),"78")</f>
        <v>78</v>
      </c>
      <c r="Z3016" s="5" t="str">
        <f>IFERROR(__xludf.DUMMYFUNCTION("REGEXEXTRACT(J3016, ""[A-Za-z ]+$"")")," min")</f>
        <v> min</v>
      </c>
      <c r="AA3016" s="5" t="str">
        <f>IFERROR(__xludf.DUMMYFUNCTION("IF(REGEXMATCH(Z3016, ""Season""), ""TV Show"", ""Movie"")"),"Movie")</f>
        <v>Movie</v>
      </c>
    </row>
    <row r="3017">
      <c r="A3017" s="1" t="s">
        <v>16750</v>
      </c>
      <c r="B3017" s="1" t="s">
        <v>37</v>
      </c>
      <c r="C3017" s="1" t="s">
        <v>16751</v>
      </c>
      <c r="E3017" s="1" t="s">
        <v>16752</v>
      </c>
      <c r="F3017" s="1" t="s">
        <v>3892</v>
      </c>
      <c r="G3017" s="1" t="s">
        <v>16748</v>
      </c>
      <c r="H3017" s="1">
        <v>2020.0</v>
      </c>
      <c r="I3017" s="1" t="s">
        <v>97</v>
      </c>
      <c r="J3017" s="1" t="s">
        <v>51</v>
      </c>
      <c r="K3017" s="1" t="s">
        <v>408</v>
      </c>
      <c r="L3017" s="1" t="s">
        <v>16753</v>
      </c>
      <c r="M3017" s="2" t="s">
        <v>12</v>
      </c>
      <c r="N3017" s="4">
        <f t="shared" si="1"/>
        <v>43846</v>
      </c>
      <c r="O3017" s="5" t="str">
        <f>IFERROR(__xludf.DUMMYFUNCTION("IF(REGEXMATCH(TRIM(I3017), ""^\d+\s*min""), ""Unclassified"", IF(I3017 = """", ""NR"", I3017))"),"TV-14")</f>
        <v>TV-14</v>
      </c>
      <c r="R3017" s="5" t="str">
        <f t="shared" si="2"/>
        <v>Handsome Siblings</v>
      </c>
      <c r="S3017" s="5" t="str">
        <f>IFERROR(__xludf.DUMMYFUNCTION("""COMPUTED_VALUE"""),"Hedgehogs")</f>
        <v>Hedgehogs</v>
      </c>
      <c r="U3017" s="5" t="str">
        <f>IFERROR(__xludf.DUMMYFUNCTION("""COMPUTED_VALUE"""),"Ruben Fleischer")</f>
        <v>Ruben Fleischer</v>
      </c>
      <c r="V3017" s="5" t="s">
        <v>16754</v>
      </c>
      <c r="W3017" s="5" t="str">
        <f t="shared" si="3"/>
        <v>Nic Mathieu</v>
      </c>
      <c r="X3017" s="5">
        <f t="shared" si="4"/>
        <v>1</v>
      </c>
      <c r="Y3017" s="5" t="str">
        <f>IFERROR(__xludf.DUMMYFUNCTION("REGEXEXTRACT(J3017, ""^\d+"")"),"1")</f>
        <v>1</v>
      </c>
      <c r="Z3017" s="5" t="str">
        <f>IFERROR(__xludf.DUMMYFUNCTION("REGEXEXTRACT(J3017, ""[A-Za-z ]+$"")")," Season")</f>
        <v> Season</v>
      </c>
      <c r="AA3017" s="5" t="str">
        <f>IFERROR(__xludf.DUMMYFUNCTION("IF(REGEXMATCH(Z3017, ""Season""), ""TV Show"", ""Movie"")"),"TV Show")</f>
        <v>TV Show</v>
      </c>
    </row>
    <row r="3018">
      <c r="A3018" s="1" t="s">
        <v>16755</v>
      </c>
      <c r="B3018" s="1" t="s">
        <v>27</v>
      </c>
      <c r="C3018" s="1" t="s">
        <v>16756</v>
      </c>
      <c r="D3018" s="1" t="s">
        <v>16757</v>
      </c>
      <c r="E3018" s="1" t="s">
        <v>16758</v>
      </c>
      <c r="F3018" s="1" t="s">
        <v>16759</v>
      </c>
      <c r="G3018" s="1" t="s">
        <v>16748</v>
      </c>
      <c r="H3018" s="1">
        <v>2011.0</v>
      </c>
      <c r="I3018" s="1" t="s">
        <v>78</v>
      </c>
      <c r="J3018" s="1" t="s">
        <v>465</v>
      </c>
      <c r="K3018" s="1" t="s">
        <v>137</v>
      </c>
      <c r="L3018" s="1" t="s">
        <v>16760</v>
      </c>
      <c r="M3018" s="2" t="s">
        <v>12</v>
      </c>
      <c r="N3018" s="4">
        <f t="shared" si="1"/>
        <v>43846</v>
      </c>
      <c r="O3018" s="5" t="str">
        <f>IFERROR(__xludf.DUMMYFUNCTION("IF(REGEXMATCH(TRIM(I3018), ""^\d+\s*min""), ""Unclassified"", IF(I3018 = """", ""NR"", I3018))"),"PG")</f>
        <v>PG</v>
      </c>
      <c r="R3018" s="5" t="str">
        <f t="shared" si="2"/>
        <v>Hop</v>
      </c>
      <c r="S3018" s="5" t="str">
        <f>IFERROR(__xludf.DUMMYFUNCTION("""COMPUTED_VALUE"""),"Heidi")</f>
        <v>Heidi</v>
      </c>
      <c r="U3018" s="5" t="str">
        <f>IFERROR(__xludf.DUMMYFUNCTION("""COMPUTED_VALUE"""),"Maciej Dejczer")</f>
        <v>Maciej Dejczer</v>
      </c>
      <c r="V3018" s="5" t="s">
        <v>16761</v>
      </c>
      <c r="W3018" s="5" t="str">
        <f t="shared" si="3"/>
        <v>Nicanor Loreti</v>
      </c>
      <c r="X3018" s="5">
        <f t="shared" si="4"/>
        <v>1</v>
      </c>
      <c r="Y3018" s="5" t="str">
        <f>IFERROR(__xludf.DUMMYFUNCTION("REGEXEXTRACT(J3018, ""^\d+"")"),"95")</f>
        <v>95</v>
      </c>
      <c r="Z3018" s="5" t="str">
        <f>IFERROR(__xludf.DUMMYFUNCTION("REGEXEXTRACT(J3018, ""[A-Za-z ]+$"")")," min")</f>
        <v> min</v>
      </c>
      <c r="AA3018" s="5" t="str">
        <f>IFERROR(__xludf.DUMMYFUNCTION("IF(REGEXMATCH(Z3018, ""Season""), ""TV Show"", ""Movie"")"),"Movie")</f>
        <v>Movie</v>
      </c>
    </row>
    <row r="3019">
      <c r="A3019" s="1" t="s">
        <v>16762</v>
      </c>
      <c r="B3019" s="1" t="s">
        <v>27</v>
      </c>
      <c r="C3019" s="1" t="s">
        <v>16763</v>
      </c>
      <c r="D3019" s="1" t="s">
        <v>16764</v>
      </c>
      <c r="E3019" s="1" t="s">
        <v>16765</v>
      </c>
      <c r="F3019" s="1" t="s">
        <v>30</v>
      </c>
      <c r="G3019" s="1" t="s">
        <v>16748</v>
      </c>
      <c r="H3019" s="1">
        <v>2019.0</v>
      </c>
      <c r="I3019" s="1" t="s">
        <v>42</v>
      </c>
      <c r="J3019" s="1" t="s">
        <v>1144</v>
      </c>
      <c r="K3019" s="1" t="s">
        <v>1320</v>
      </c>
      <c r="L3019" s="1" t="s">
        <v>16766</v>
      </c>
      <c r="M3019" s="2" t="s">
        <v>12</v>
      </c>
      <c r="N3019" s="4">
        <f t="shared" si="1"/>
        <v>43846</v>
      </c>
      <c r="O3019" s="5" t="str">
        <f>IFERROR(__xludf.DUMMYFUNCTION("IF(REGEXMATCH(TRIM(I3019), ""^\d+\s*min""), ""Unclassified"", IF(I3019 = """", ""NR"", I3019))"),"TV-MA")</f>
        <v>TV-MA</v>
      </c>
      <c r="R3019" s="5" t="str">
        <f t="shared" si="2"/>
        <v>Jezebel</v>
      </c>
      <c r="S3019" s="5" t="str">
        <f>IFERROR(__xludf.DUMMYFUNCTION("""COMPUTED_VALUE"""),"Heidi, Bienvenida A Casa")</f>
        <v>Heidi, Bienvenida A Casa</v>
      </c>
      <c r="U3019" s="5" t="str">
        <f>IFERROR(__xludf.DUMMYFUNCTION("""COMPUTED_VALUE"""),"Jack C. Newell")</f>
        <v>Jack C. Newell</v>
      </c>
      <c r="V3019" s="5" t="s">
        <v>16767</v>
      </c>
      <c r="W3019" s="5" t="str">
        <f t="shared" si="3"/>
        <v>Nicholas Hytner</v>
      </c>
      <c r="X3019" s="5">
        <f t="shared" si="4"/>
        <v>1</v>
      </c>
      <c r="Y3019" s="5" t="str">
        <f>IFERROR(__xludf.DUMMYFUNCTION("REGEXEXTRACT(J3019, ""^\d+"")"),"86")</f>
        <v>86</v>
      </c>
      <c r="Z3019" s="5" t="str">
        <f>IFERROR(__xludf.DUMMYFUNCTION("REGEXEXTRACT(J3019, ""[A-Za-z ]+$"")")," min")</f>
        <v> min</v>
      </c>
      <c r="AA3019" s="5" t="str">
        <f>IFERROR(__xludf.DUMMYFUNCTION("IF(REGEXMATCH(Z3019, ""Season""), ""TV Show"", ""Movie"")"),"Movie")</f>
        <v>Movie</v>
      </c>
    </row>
    <row r="3020">
      <c r="A3020" s="1" t="s">
        <v>16768</v>
      </c>
      <c r="B3020" s="1" t="s">
        <v>27</v>
      </c>
      <c r="C3020" s="1" t="s">
        <v>16769</v>
      </c>
      <c r="D3020" s="1" t="s">
        <v>3770</v>
      </c>
      <c r="E3020" s="1" t="s">
        <v>16770</v>
      </c>
      <c r="F3020" s="1" t="s">
        <v>16771</v>
      </c>
      <c r="G3020" s="1" t="s">
        <v>16748</v>
      </c>
      <c r="H3020" s="1">
        <v>2015.0</v>
      </c>
      <c r="I3020" s="1" t="s">
        <v>378</v>
      </c>
      <c r="J3020" s="1" t="s">
        <v>2505</v>
      </c>
      <c r="K3020" s="1" t="s">
        <v>298</v>
      </c>
      <c r="L3020" s="1" t="s">
        <v>16772</v>
      </c>
      <c r="M3020" s="2" t="s">
        <v>12</v>
      </c>
      <c r="N3020" s="4">
        <f t="shared" si="1"/>
        <v>43846</v>
      </c>
      <c r="O3020" s="5" t="str">
        <f>IFERROR(__xludf.DUMMYFUNCTION("IF(REGEXMATCH(TRIM(I3020), ""^\d+\s*min""), ""Unclassified"", IF(I3020 = """", ""NR"", I3020))"),"R")</f>
        <v>R</v>
      </c>
      <c r="R3020" s="5" t="str">
        <f t="shared" si="2"/>
        <v>Legend</v>
      </c>
      <c r="S3020" s="5" t="str">
        <f>IFERROR(__xludf.DUMMYFUNCTION("""COMPUTED_VALUE"""),"Heist")</f>
        <v>Heist</v>
      </c>
      <c r="U3020" s="5" t="str">
        <f>IFERROR(__xludf.DUMMYFUNCTION("""COMPUTED_VALUE"""),"Andrew Nackman")</f>
        <v>Andrew Nackman</v>
      </c>
      <c r="V3020" s="5" t="s">
        <v>13541</v>
      </c>
      <c r="W3020" s="5" t="str">
        <f t="shared" si="3"/>
        <v>Nicholas Kharkongor</v>
      </c>
      <c r="X3020" s="5">
        <f t="shared" si="4"/>
        <v>2</v>
      </c>
      <c r="Y3020" s="5" t="str">
        <f>IFERROR(__xludf.DUMMYFUNCTION("REGEXEXTRACT(J3020, ""^\d+"")"),"132")</f>
        <v>132</v>
      </c>
      <c r="Z3020" s="5" t="str">
        <f>IFERROR(__xludf.DUMMYFUNCTION("REGEXEXTRACT(J3020, ""[A-Za-z ]+$"")")," min")</f>
        <v> min</v>
      </c>
      <c r="AA3020" s="5" t="str">
        <f>IFERROR(__xludf.DUMMYFUNCTION("IF(REGEXMATCH(Z3020, ""Season""), ""TV Show"", ""Movie"")"),"Movie")</f>
        <v>Movie</v>
      </c>
    </row>
    <row r="3021">
      <c r="A3021" s="1" t="s">
        <v>16773</v>
      </c>
      <c r="B3021" s="1" t="s">
        <v>27</v>
      </c>
      <c r="C3021" s="1" t="s">
        <v>16774</v>
      </c>
      <c r="D3021" s="1" t="s">
        <v>16775</v>
      </c>
      <c r="E3021" s="1" t="s">
        <v>16776</v>
      </c>
      <c r="F3021" s="1" t="s">
        <v>415</v>
      </c>
      <c r="G3021" s="1" t="s">
        <v>16748</v>
      </c>
      <c r="H3021" s="1">
        <v>2019.0</v>
      </c>
      <c r="I3021" s="1" t="s">
        <v>97</v>
      </c>
      <c r="J3021" s="1" t="s">
        <v>1256</v>
      </c>
      <c r="K3021" s="1" t="s">
        <v>1848</v>
      </c>
      <c r="L3021" s="1" t="s">
        <v>16777</v>
      </c>
      <c r="M3021" s="2" t="s">
        <v>12</v>
      </c>
      <c r="N3021" s="4">
        <f t="shared" si="1"/>
        <v>43846</v>
      </c>
      <c r="O3021" s="5" t="str">
        <f>IFERROR(__xludf.DUMMYFUNCTION("IF(REGEXMATCH(TRIM(I3021), ""^\d+\s*min""), ""Unclassified"", IF(I3021 = """", ""NR"", I3021))"),"TV-14")</f>
        <v>TV-14</v>
      </c>
      <c r="R3021" s="5" t="str">
        <f t="shared" si="2"/>
        <v>Ninokuni</v>
      </c>
      <c r="S3021" s="5" t="str">
        <f>IFERROR(__xludf.DUMMYFUNCTION("""COMPUTED_VALUE"""),"Helios")</f>
        <v>Helios</v>
      </c>
      <c r="U3021" s="5" t="str">
        <f>IFERROR(__xludf.DUMMYFUNCTION("""COMPUTED_VALUE"""),"Anggy Umbara")</f>
        <v>Anggy Umbara</v>
      </c>
      <c r="V3021" s="5" t="s">
        <v>16778</v>
      </c>
      <c r="W3021" s="5" t="str">
        <f t="shared" si="3"/>
        <v>Nicholas Ray</v>
      </c>
      <c r="X3021" s="5">
        <f t="shared" si="4"/>
        <v>1</v>
      </c>
      <c r="Y3021" s="5" t="str">
        <f>IFERROR(__xludf.DUMMYFUNCTION("REGEXEXTRACT(J3021, ""^\d+"")"),"107")</f>
        <v>107</v>
      </c>
      <c r="Z3021" s="5" t="str">
        <f>IFERROR(__xludf.DUMMYFUNCTION("REGEXEXTRACT(J3021, ""[A-Za-z ]+$"")")," min")</f>
        <v> min</v>
      </c>
      <c r="AA3021" s="5" t="str">
        <f>IFERROR(__xludf.DUMMYFUNCTION("IF(REGEXMATCH(Z3021, ""Season""), ""TV Show"", ""Movie"")"),"Movie")</f>
        <v>Movie</v>
      </c>
    </row>
    <row r="3022">
      <c r="A3022" s="1" t="s">
        <v>16779</v>
      </c>
      <c r="B3022" s="1" t="s">
        <v>37</v>
      </c>
      <c r="C3022" s="1" t="s">
        <v>16780</v>
      </c>
      <c r="E3022" s="1" t="s">
        <v>16781</v>
      </c>
      <c r="F3022" s="1" t="s">
        <v>415</v>
      </c>
      <c r="G3022" s="1" t="s">
        <v>16748</v>
      </c>
      <c r="H3022" s="1">
        <v>2008.0</v>
      </c>
      <c r="I3022" s="1" t="s">
        <v>97</v>
      </c>
      <c r="J3022" s="1" t="s">
        <v>51</v>
      </c>
      <c r="K3022" s="1" t="s">
        <v>567</v>
      </c>
      <c r="L3022" s="1" t="s">
        <v>16782</v>
      </c>
      <c r="M3022" s="2" t="s">
        <v>12</v>
      </c>
      <c r="N3022" s="4">
        <f t="shared" si="1"/>
        <v>43846</v>
      </c>
      <c r="O3022" s="5" t="str">
        <f>IFERROR(__xludf.DUMMYFUNCTION("IF(REGEXMATCH(TRIM(I3022), ""^\d+\s*min""), ""Unclassified"", IF(I3022 = """", ""NR"", I3022))"),"TV-14")</f>
        <v>TV-14</v>
      </c>
      <c r="R3022" s="5" t="str">
        <f t="shared" si="2"/>
        <v>Soul Eater</v>
      </c>
      <c r="S3022" s="5" t="str">
        <f>IFERROR(__xludf.DUMMYFUNCTION("""COMPUTED_VALUE"""),"Helix")</f>
        <v>Helix</v>
      </c>
      <c r="U3022" s="5" t="str">
        <f>IFERROR(__xludf.DUMMYFUNCTION("""COMPUTED_VALUE"""),"Victor Levin")</f>
        <v>Victor Levin</v>
      </c>
      <c r="V3022" s="5" t="s">
        <v>16783</v>
      </c>
      <c r="W3022" s="5" t="str">
        <f t="shared" si="3"/>
        <v>Nicholas Stoller</v>
      </c>
      <c r="X3022" s="5">
        <f t="shared" si="4"/>
        <v>1</v>
      </c>
      <c r="Y3022" s="5" t="str">
        <f>IFERROR(__xludf.DUMMYFUNCTION("REGEXEXTRACT(J3022, ""^\d+"")"),"1")</f>
        <v>1</v>
      </c>
      <c r="Z3022" s="5" t="str">
        <f>IFERROR(__xludf.DUMMYFUNCTION("REGEXEXTRACT(J3022, ""[A-Za-z ]+$"")")," Season")</f>
        <v> Season</v>
      </c>
      <c r="AA3022" s="5" t="str">
        <f>IFERROR(__xludf.DUMMYFUNCTION("IF(REGEXMATCH(Z3022, ""Season""), ""TV Show"", ""Movie"")"),"TV Show")</f>
        <v>TV Show</v>
      </c>
    </row>
    <row r="3023">
      <c r="A3023" s="1" t="s">
        <v>16784</v>
      </c>
      <c r="B3023" s="1" t="s">
        <v>27</v>
      </c>
      <c r="C3023" s="1" t="s">
        <v>16785</v>
      </c>
      <c r="D3023" s="1" t="s">
        <v>5680</v>
      </c>
      <c r="E3023" s="1" t="s">
        <v>16786</v>
      </c>
      <c r="F3023" s="1" t="s">
        <v>686</v>
      </c>
      <c r="G3023" s="1" t="s">
        <v>16748</v>
      </c>
      <c r="H3023" s="1">
        <v>2015.0</v>
      </c>
      <c r="I3023" s="1" t="s">
        <v>378</v>
      </c>
      <c r="J3023" s="1" t="s">
        <v>393</v>
      </c>
      <c r="K3023" s="1" t="s">
        <v>805</v>
      </c>
      <c r="L3023" s="1" t="s">
        <v>16787</v>
      </c>
      <c r="M3023" s="2" t="s">
        <v>12</v>
      </c>
      <c r="N3023" s="4">
        <f t="shared" si="1"/>
        <v>43846</v>
      </c>
      <c r="O3023" s="5" t="str">
        <f>IFERROR(__xludf.DUMMYFUNCTION("IF(REGEXMATCH(TRIM(I3023), ""^\d+\s*min""), ""Unclassified"", IF(I3023 = """", ""NR"", I3023))"),"R")</f>
        <v>R</v>
      </c>
      <c r="R3023" s="5" t="str">
        <f t="shared" si="2"/>
        <v>Steve Jobs</v>
      </c>
      <c r="S3023" s="5" t="str">
        <f>IFERROR(__xludf.DUMMYFUNCTION("""COMPUTED_VALUE"""),"Hell And Back")</f>
        <v>Hell And Back</v>
      </c>
      <c r="U3023" s="5" t="str">
        <f>IFERROR(__xludf.DUMMYFUNCTION("""COMPUTED_VALUE"""),"Jonathan Levine")</f>
        <v>Jonathan Levine</v>
      </c>
      <c r="V3023" s="5" t="s">
        <v>16788</v>
      </c>
      <c r="W3023" s="5" t="str">
        <f t="shared" si="3"/>
        <v>Nicholas Winter</v>
      </c>
      <c r="X3023" s="5">
        <f t="shared" si="4"/>
        <v>1</v>
      </c>
      <c r="Y3023" s="5" t="str">
        <f>IFERROR(__xludf.DUMMYFUNCTION("REGEXEXTRACT(J3023, ""^\d+"")"),"122")</f>
        <v>122</v>
      </c>
      <c r="Z3023" s="5" t="str">
        <f>IFERROR(__xludf.DUMMYFUNCTION("REGEXEXTRACT(J3023, ""[A-Za-z ]+$"")")," min")</f>
        <v> min</v>
      </c>
      <c r="AA3023" s="5" t="str">
        <f>IFERROR(__xludf.DUMMYFUNCTION("IF(REGEXMATCH(Z3023, ""Season""), ""TV Show"", ""Movie"")"),"Movie")</f>
        <v>Movie</v>
      </c>
    </row>
    <row r="3024">
      <c r="A3024" s="1" t="s">
        <v>16789</v>
      </c>
      <c r="B3024" s="1" t="s">
        <v>27</v>
      </c>
      <c r="C3024" s="1" t="s">
        <v>16790</v>
      </c>
      <c r="D3024" s="1" t="s">
        <v>16791</v>
      </c>
      <c r="E3024" s="1" t="s">
        <v>16792</v>
      </c>
      <c r="F3024" s="1" t="s">
        <v>63</v>
      </c>
      <c r="G3024" s="1" t="s">
        <v>16793</v>
      </c>
      <c r="H3024" s="1">
        <v>2018.0</v>
      </c>
      <c r="I3024" s="1" t="s">
        <v>97</v>
      </c>
      <c r="J3024" s="1" t="s">
        <v>465</v>
      </c>
      <c r="K3024" s="1" t="s">
        <v>89</v>
      </c>
      <c r="L3024" s="1" t="s">
        <v>16794</v>
      </c>
      <c r="M3024" s="2" t="s">
        <v>12</v>
      </c>
      <c r="N3024" s="4">
        <f t="shared" si="1"/>
        <v>43845</v>
      </c>
      <c r="O3024" s="5" t="str">
        <f>IFERROR(__xludf.DUMMYFUNCTION("IF(REGEXMATCH(TRIM(I3024), ""^\d+\s*min""), ""Unclassified"", IF(I3024 = """", ""NR"", I3024))"),"TV-14")</f>
        <v>TV-14</v>
      </c>
      <c r="R3024" s="5" t="str">
        <f t="shared" si="2"/>
        <v>Bulbul Can Sing</v>
      </c>
      <c r="S3024" s="5" t="str">
        <f>IFERROR(__xludf.DUMMYFUNCTION("""COMPUTED_VALUE"""),"Hell Fest")</f>
        <v>Hell Fest</v>
      </c>
      <c r="U3024" s="5" t="str">
        <f>IFERROR(__xludf.DUMMYFUNCTION("""COMPUTED_VALUE"""),"Toa Fraser")</f>
        <v>Toa Fraser</v>
      </c>
      <c r="V3024" s="5" t="s">
        <v>16795</v>
      </c>
      <c r="W3024" s="5" t="str">
        <f t="shared" si="3"/>
        <v>Nicholas Zeig-Owens</v>
      </c>
      <c r="X3024" s="5">
        <f t="shared" si="4"/>
        <v>1</v>
      </c>
      <c r="Y3024" s="5" t="str">
        <f>IFERROR(__xludf.DUMMYFUNCTION("REGEXEXTRACT(J3024, ""^\d+"")"),"95")</f>
        <v>95</v>
      </c>
      <c r="Z3024" s="5" t="str">
        <f>IFERROR(__xludf.DUMMYFUNCTION("REGEXEXTRACT(J3024, ""[A-Za-z ]+$"")")," min")</f>
        <v> min</v>
      </c>
      <c r="AA3024" s="5" t="str">
        <f>IFERROR(__xludf.DUMMYFUNCTION("IF(REGEXMATCH(Z3024, ""Season""), ""TV Show"", ""Movie"")"),"Movie")</f>
        <v>Movie</v>
      </c>
    </row>
    <row r="3025">
      <c r="A3025" s="1" t="s">
        <v>16796</v>
      </c>
      <c r="B3025" s="1" t="s">
        <v>27</v>
      </c>
      <c r="C3025" s="1" t="s">
        <v>16797</v>
      </c>
      <c r="D3025" s="1" t="s">
        <v>16798</v>
      </c>
      <c r="E3025" s="1" t="s">
        <v>16799</v>
      </c>
      <c r="F3025" s="1" t="s">
        <v>16800</v>
      </c>
      <c r="G3025" s="1" t="s">
        <v>16793</v>
      </c>
      <c r="H3025" s="1">
        <v>2019.0</v>
      </c>
      <c r="I3025" s="1" t="s">
        <v>42</v>
      </c>
      <c r="J3025" s="1" t="s">
        <v>912</v>
      </c>
      <c r="K3025" s="1" t="s">
        <v>298</v>
      </c>
      <c r="L3025" s="1" t="s">
        <v>16801</v>
      </c>
      <c r="M3025" s="2" t="s">
        <v>12</v>
      </c>
      <c r="N3025" s="4">
        <f t="shared" si="1"/>
        <v>43845</v>
      </c>
      <c r="O3025" s="5" t="str">
        <f>IFERROR(__xludf.DUMMYFUNCTION("IF(REGEXMATCH(TRIM(I3025), ""^\d+\s*min""), ""Unclassified"", IF(I3025 = """", ""NR"", I3025))"),"TV-MA")</f>
        <v>TV-MA</v>
      </c>
      <c r="R3025" s="5" t="str">
        <f t="shared" si="2"/>
        <v>Eye For An Eye</v>
      </c>
      <c r="S3025" s="5" t="str">
        <f>IFERROR(__xludf.DUMMYFUNCTION("""COMPUTED_VALUE"""),"Hell On Wheels")</f>
        <v>Hell On Wheels</v>
      </c>
      <c r="U3025" s="5" t="str">
        <f>IFERROR(__xludf.DUMMYFUNCTION("""COMPUTED_VALUE"""),"Bharat Jain")</f>
        <v>Bharat Jain</v>
      </c>
      <c r="V3025" s="5" t="s">
        <v>16802</v>
      </c>
      <c r="W3025" s="5" t="str">
        <f t="shared" si="3"/>
        <v>Nicholaus Goossen</v>
      </c>
      <c r="X3025" s="5">
        <f t="shared" si="4"/>
        <v>1</v>
      </c>
      <c r="Y3025" s="5" t="str">
        <f>IFERROR(__xludf.DUMMYFUNCTION("REGEXEXTRACT(J3025, ""^\d+"")"),"108")</f>
        <v>108</v>
      </c>
      <c r="Z3025" s="5" t="str">
        <f>IFERROR(__xludf.DUMMYFUNCTION("REGEXEXTRACT(J3025, ""[A-Za-z ]+$"")")," min")</f>
        <v> min</v>
      </c>
      <c r="AA3025" s="5" t="str">
        <f>IFERROR(__xludf.DUMMYFUNCTION("IF(REGEXMATCH(Z3025, ""Season""), ""TV Show"", ""Movie"")"),"Movie")</f>
        <v>Movie</v>
      </c>
    </row>
    <row r="3026">
      <c r="A3026" s="1" t="s">
        <v>16803</v>
      </c>
      <c r="B3026" s="1" t="s">
        <v>37</v>
      </c>
      <c r="C3026" s="1" t="s">
        <v>16804</v>
      </c>
      <c r="E3026" s="1" t="s">
        <v>16805</v>
      </c>
      <c r="F3026" s="1" t="s">
        <v>30</v>
      </c>
      <c r="G3026" s="1" t="s">
        <v>16793</v>
      </c>
      <c r="H3026" s="1">
        <v>2020.0</v>
      </c>
      <c r="I3026" s="1" t="s">
        <v>42</v>
      </c>
      <c r="J3026" s="1" t="s">
        <v>51</v>
      </c>
      <c r="K3026" s="1" t="s">
        <v>2043</v>
      </c>
      <c r="L3026" s="1" t="s">
        <v>16806</v>
      </c>
      <c r="M3026" s="2" t="s">
        <v>12</v>
      </c>
      <c r="N3026" s="4">
        <f t="shared" si="1"/>
        <v>43845</v>
      </c>
      <c r="O3026" s="5" t="str">
        <f>IFERROR(__xludf.DUMMYFUNCTION("IF(REGEXMATCH(TRIM(I3026), ""^\d+\s*min""), ""Unclassified"", IF(I3026 = """", ""NR"", I3026))"),"TV-MA")</f>
        <v>TV-MA</v>
      </c>
      <c r="R3026" s="5" t="str">
        <f t="shared" si="2"/>
        <v>Killer Inside: The Mind Of Aaron Hernandez</v>
      </c>
      <c r="S3026" s="5" t="str">
        <f>IFERROR(__xludf.DUMMYFUNCTION("""COMPUTED_VALUE"""),"Hell Or High Water")</f>
        <v>Hell Or High Water</v>
      </c>
      <c r="U3026" s="5" t="str">
        <f>IFERROR(__xludf.DUMMYFUNCTION("""COMPUTED_VALUE"""),"Trent Haaga")</f>
        <v>Trent Haaga</v>
      </c>
      <c r="V3026" s="5" t="s">
        <v>16807</v>
      </c>
      <c r="W3026" s="5" t="str">
        <f t="shared" si="3"/>
        <v>Nick Broomfield</v>
      </c>
      <c r="X3026" s="5">
        <f t="shared" si="4"/>
        <v>2</v>
      </c>
      <c r="Y3026" s="5" t="str">
        <f>IFERROR(__xludf.DUMMYFUNCTION("REGEXEXTRACT(J3026, ""^\d+"")"),"1")</f>
        <v>1</v>
      </c>
      <c r="Z3026" s="5" t="str">
        <f>IFERROR(__xludf.DUMMYFUNCTION("REGEXEXTRACT(J3026, ""[A-Za-z ]+$"")")," Season")</f>
        <v> Season</v>
      </c>
      <c r="AA3026" s="5" t="str">
        <f>IFERROR(__xludf.DUMMYFUNCTION("IF(REGEXMATCH(Z3026, ""Season""), ""TV Show"", ""Movie"")"),"TV Show")</f>
        <v>TV Show</v>
      </c>
    </row>
    <row r="3027">
      <c r="A3027" s="1" t="s">
        <v>16808</v>
      </c>
      <c r="B3027" s="1" t="s">
        <v>27</v>
      </c>
      <c r="C3027" s="1" t="s">
        <v>16809</v>
      </c>
      <c r="D3027" s="1" t="s">
        <v>1892</v>
      </c>
      <c r="E3027" s="1" t="s">
        <v>16810</v>
      </c>
      <c r="F3027" s="1" t="s">
        <v>5356</v>
      </c>
      <c r="G3027" s="1" t="s">
        <v>16793</v>
      </c>
      <c r="H3027" s="1">
        <v>2017.0</v>
      </c>
      <c r="I3027" s="1" t="s">
        <v>378</v>
      </c>
      <c r="J3027" s="1" t="s">
        <v>416</v>
      </c>
      <c r="K3027" s="1" t="s">
        <v>14389</v>
      </c>
      <c r="L3027" s="1" t="s">
        <v>16811</v>
      </c>
      <c r="M3027" s="2" t="s">
        <v>12</v>
      </c>
      <c r="N3027" s="4">
        <f t="shared" si="1"/>
        <v>43845</v>
      </c>
      <c r="O3027" s="5" t="str">
        <f>IFERROR(__xludf.DUMMYFUNCTION("IF(REGEXMATCH(TRIM(I3027), ""^\d+\s*min""), ""Unclassified"", IF(I3027 = """", ""NR"", I3027))"),"R")</f>
        <v>R</v>
      </c>
      <c r="R3027" s="5" t="str">
        <f t="shared" si="2"/>
        <v>Mindgamers</v>
      </c>
      <c r="S3027" s="5" t="str">
        <f>IFERROR(__xludf.DUMMYFUNCTION("""COMPUTED_VALUE"""),"Hellboy")</f>
        <v>Hellboy</v>
      </c>
      <c r="U3027" s="5" t="str">
        <f>IFERROR(__xludf.DUMMYFUNCTION("""COMPUTED_VALUE"""),"Nizar Shafi")</f>
        <v>Nizar Shafi</v>
      </c>
      <c r="V3027" s="5" t="s">
        <v>16812</v>
      </c>
      <c r="W3027" s="5" t="str">
        <f t="shared" si="3"/>
        <v>Nick Cassavetes</v>
      </c>
      <c r="X3027" s="5">
        <f t="shared" si="4"/>
        <v>1</v>
      </c>
      <c r="Y3027" s="5" t="str">
        <f>IFERROR(__xludf.DUMMYFUNCTION("REGEXEXTRACT(J3027, ""^\d+"")"),"99")</f>
        <v>99</v>
      </c>
      <c r="Z3027" s="5" t="str">
        <f>IFERROR(__xludf.DUMMYFUNCTION("REGEXEXTRACT(J3027, ""[A-Za-z ]+$"")")," min")</f>
        <v> min</v>
      </c>
      <c r="AA3027" s="5" t="str">
        <f>IFERROR(__xludf.DUMMYFUNCTION("IF(REGEXMATCH(Z3027, ""Season""), ""TV Show"", ""Movie"")"),"Movie")</f>
        <v>Movie</v>
      </c>
    </row>
    <row r="3028">
      <c r="A3028" s="1" t="s">
        <v>16813</v>
      </c>
      <c r="B3028" s="1" t="s">
        <v>27</v>
      </c>
      <c r="C3028" s="1" t="s">
        <v>16814</v>
      </c>
      <c r="D3028" s="1" t="s">
        <v>16815</v>
      </c>
      <c r="E3028" s="1" t="s">
        <v>16816</v>
      </c>
      <c r="F3028" s="1" t="s">
        <v>30</v>
      </c>
      <c r="G3028" s="1" t="s">
        <v>16793</v>
      </c>
      <c r="H3028" s="1">
        <v>2019.0</v>
      </c>
      <c r="I3028" s="1" t="s">
        <v>42</v>
      </c>
      <c r="J3028" s="1" t="s">
        <v>238</v>
      </c>
      <c r="K3028" s="1" t="s">
        <v>16817</v>
      </c>
      <c r="L3028" s="1" t="s">
        <v>16818</v>
      </c>
      <c r="M3028" s="2" t="s">
        <v>12</v>
      </c>
      <c r="N3028" s="4">
        <f t="shared" si="1"/>
        <v>43845</v>
      </c>
      <c r="O3028" s="5" t="str">
        <f>IFERROR(__xludf.DUMMYFUNCTION("IF(REGEXMATCH(TRIM(I3028), ""^\d+\s*min""), ""Unclassified"", IF(I3028 = """", ""NR"", I3028))"),"TV-MA")</f>
        <v>TV-MA</v>
      </c>
      <c r="R3028" s="5" t="str">
        <f t="shared" si="2"/>
        <v>The Brave</v>
      </c>
      <c r="S3028" s="5" t="str">
        <f>IFERROR(__xludf.DUMMYFUNCTION("""COMPUTED_VALUE"""),"Hello Brother")</f>
        <v>Hello Brother</v>
      </c>
      <c r="U3028" s="5" t="str">
        <f>IFERROR(__xludf.DUMMYFUNCTION("""COMPUTED_VALUE"""),"Meenu Gaur, Farjad Nabi")</f>
        <v>Meenu Gaur, Farjad Nabi</v>
      </c>
      <c r="V3028" s="5" t="s">
        <v>2229</v>
      </c>
      <c r="W3028" s="5" t="str">
        <f t="shared" si="3"/>
        <v>Nick Castle</v>
      </c>
      <c r="X3028" s="5">
        <f t="shared" si="4"/>
        <v>2</v>
      </c>
      <c r="Y3028" s="5" t="str">
        <f>IFERROR(__xludf.DUMMYFUNCTION("REGEXEXTRACT(J3028, ""^\d+"")"),"103")</f>
        <v>103</v>
      </c>
      <c r="Z3028" s="5" t="str">
        <f>IFERROR(__xludf.DUMMYFUNCTION("REGEXEXTRACT(J3028, ""[A-Za-z ]+$"")")," min")</f>
        <v> min</v>
      </c>
      <c r="AA3028" s="5" t="str">
        <f>IFERROR(__xludf.DUMMYFUNCTION("IF(REGEXMATCH(Z3028, ""Season""), ""TV Show"", ""Movie"")"),"Movie")</f>
        <v>Movie</v>
      </c>
    </row>
    <row r="3029">
      <c r="A3029" s="1" t="s">
        <v>16819</v>
      </c>
      <c r="B3029" s="1" t="s">
        <v>27</v>
      </c>
      <c r="C3029" s="1" t="s">
        <v>16820</v>
      </c>
      <c r="D3029" s="1" t="s">
        <v>5824</v>
      </c>
      <c r="E3029" s="1" t="s">
        <v>16821</v>
      </c>
      <c r="F3029" s="1" t="s">
        <v>30</v>
      </c>
      <c r="G3029" s="1" t="s">
        <v>16822</v>
      </c>
      <c r="H3029" s="1">
        <v>2020.0</v>
      </c>
      <c r="I3029" s="1" t="s">
        <v>42</v>
      </c>
      <c r="J3029" s="1" t="s">
        <v>2636</v>
      </c>
      <c r="K3029" s="1" t="s">
        <v>1839</v>
      </c>
      <c r="L3029" s="1" t="s">
        <v>16823</v>
      </c>
      <c r="M3029" s="2" t="s">
        <v>12</v>
      </c>
      <c r="N3029" s="4">
        <f t="shared" si="1"/>
        <v>43844</v>
      </c>
      <c r="O3029" s="5" t="str">
        <f>IFERROR(__xludf.DUMMYFUNCTION("IF(REGEXMATCH(TRIM(I3029), ""^\d+\s*min""), ""Unclassified"", IF(I3029 = """", ""NR"", I3029))"),"TV-MA")</f>
        <v>TV-MA</v>
      </c>
      <c r="R3029" s="5" t="str">
        <f t="shared" si="2"/>
        <v>Leslie Jones: Time Machine</v>
      </c>
      <c r="S3029" s="5" t="str">
        <f>IFERROR(__xludf.DUMMYFUNCTION("""COMPUTED_VALUE"""),"Hello Ninja")</f>
        <v>Hello Ninja</v>
      </c>
      <c r="U3029" s="5" t="str">
        <f>IFERROR(__xludf.DUMMYFUNCTION("""COMPUTED_VALUE"""),"Padmakumar Narasimhamurthy")</f>
        <v>Padmakumar Narasimhamurthy</v>
      </c>
      <c r="V3029" s="5" t="s">
        <v>16824</v>
      </c>
      <c r="W3029" s="5" t="str">
        <f t="shared" si="3"/>
        <v>Nick Davis</v>
      </c>
      <c r="X3029" s="5">
        <f t="shared" si="4"/>
        <v>1</v>
      </c>
      <c r="Y3029" s="5" t="str">
        <f>IFERROR(__xludf.DUMMYFUNCTION("REGEXEXTRACT(J3029, ""^\d+"")"),"66")</f>
        <v>66</v>
      </c>
      <c r="Z3029" s="5" t="str">
        <f>IFERROR(__xludf.DUMMYFUNCTION("REGEXEXTRACT(J3029, ""[A-Za-z ]+$"")")," min")</f>
        <v> min</v>
      </c>
      <c r="AA3029" s="5" t="str">
        <f>IFERROR(__xludf.DUMMYFUNCTION("IF(REGEXMATCH(Z3029, ""Season""), ""TV Show"", ""Movie"")"),"Movie")</f>
        <v>Movie</v>
      </c>
    </row>
    <row r="3030">
      <c r="A3030" s="1" t="s">
        <v>16825</v>
      </c>
      <c r="B3030" s="1" t="s">
        <v>37</v>
      </c>
      <c r="C3030" s="1" t="s">
        <v>16826</v>
      </c>
      <c r="E3030" s="1" t="s">
        <v>16827</v>
      </c>
      <c r="F3030" s="1" t="s">
        <v>664</v>
      </c>
      <c r="G3030" s="1" t="s">
        <v>16822</v>
      </c>
      <c r="H3030" s="1">
        <v>2018.0</v>
      </c>
      <c r="I3030" s="1" t="s">
        <v>206</v>
      </c>
      <c r="J3030" s="1" t="s">
        <v>51</v>
      </c>
      <c r="K3030" s="1" t="s">
        <v>290</v>
      </c>
      <c r="L3030" s="1" t="s">
        <v>16828</v>
      </c>
      <c r="M3030" s="2" t="s">
        <v>12</v>
      </c>
      <c r="N3030" s="4">
        <f t="shared" si="1"/>
        <v>43844</v>
      </c>
      <c r="O3030" s="5" t="str">
        <f>IFERROR(__xludf.DUMMYFUNCTION("IF(REGEXMATCH(TRIM(I3030), ""^\d+\s*min""), ""Unclassified"", IF(I3030 = """", ""NR"", I3030))"),"TV-Y")</f>
        <v>TV-Y</v>
      </c>
      <c r="R3030" s="5" t="str">
        <f t="shared" si="2"/>
        <v>The Ollie &amp; Moon Show</v>
      </c>
      <c r="S3030" s="5" t="str">
        <f>IFERROR(__xludf.DUMMYFUNCTION("""COMPUTED_VALUE"""),"Hello, Love, Goodbye")</f>
        <v>Hello, Love, Goodbye</v>
      </c>
      <c r="U3030" s="5" t="str">
        <f>IFERROR(__xludf.DUMMYFUNCTION("""COMPUTED_VALUE"""),"Richard Attenborough")</f>
        <v>Richard Attenborough</v>
      </c>
      <c r="V3030" s="5" t="s">
        <v>16829</v>
      </c>
      <c r="W3030" s="5" t="str">
        <f t="shared" si="3"/>
        <v>Nick Gomez</v>
      </c>
      <c r="X3030" s="5">
        <f t="shared" si="4"/>
        <v>1</v>
      </c>
      <c r="Y3030" s="5" t="str">
        <f>IFERROR(__xludf.DUMMYFUNCTION("REGEXEXTRACT(J3030, ""^\d+"")"),"1")</f>
        <v>1</v>
      </c>
      <c r="Z3030" s="5" t="str">
        <f>IFERROR(__xludf.DUMMYFUNCTION("REGEXEXTRACT(J3030, ""[A-Za-z ]+$"")")," Season")</f>
        <v> Season</v>
      </c>
      <c r="AA3030" s="5" t="str">
        <f>IFERROR(__xludf.DUMMYFUNCTION("IF(REGEXMATCH(Z3030, ""Season""), ""TV Show"", ""Movie"")"),"TV Show")</f>
        <v>TV Show</v>
      </c>
    </row>
    <row r="3031">
      <c r="A3031" s="1" t="s">
        <v>16830</v>
      </c>
      <c r="B3031" s="1" t="s">
        <v>27</v>
      </c>
      <c r="C3031" s="1" t="s">
        <v>16831</v>
      </c>
      <c r="D3031" s="1" t="s">
        <v>14889</v>
      </c>
      <c r="E3031" s="1" t="s">
        <v>16832</v>
      </c>
      <c r="F3031" s="1" t="s">
        <v>2446</v>
      </c>
      <c r="G3031" s="1" t="s">
        <v>16822</v>
      </c>
      <c r="H3031" s="1">
        <v>2019.0</v>
      </c>
      <c r="I3031" s="1" t="s">
        <v>42</v>
      </c>
      <c r="J3031" s="1" t="s">
        <v>2505</v>
      </c>
      <c r="K3031" s="1" t="s">
        <v>306</v>
      </c>
      <c r="L3031" s="1" t="s">
        <v>16833</v>
      </c>
      <c r="M3031" s="2" t="s">
        <v>12</v>
      </c>
      <c r="N3031" s="4">
        <f t="shared" si="1"/>
        <v>43844</v>
      </c>
      <c r="O3031" s="5" t="str">
        <f>IFERROR(__xludf.DUMMYFUNCTION("IF(REGEXMATCH(TRIM(I3031), ""^\d+\s*min""), ""Unclassified"", IF(I3031 = """", ""NR"", I3031))"),"TV-MA")</f>
        <v>TV-MA</v>
      </c>
      <c r="R3031" s="5" t="str">
        <f t="shared" si="2"/>
        <v>Women Of Mafia 2</v>
      </c>
      <c r="S3031" s="5" t="str">
        <f>IFERROR(__xludf.DUMMYFUNCTION("""COMPUTED_VALUE"""),"Hello, Me!")</f>
        <v>Hello, Me!</v>
      </c>
      <c r="U3031" s="5" t="str">
        <f>IFERROR(__xludf.DUMMYFUNCTION("""COMPUTED_VALUE"""),"Stanley Kubrick")</f>
        <v>Stanley Kubrick</v>
      </c>
      <c r="V3031" s="5" t="s">
        <v>16834</v>
      </c>
      <c r="W3031" s="5" t="str">
        <f t="shared" si="3"/>
        <v>Nick Mead</v>
      </c>
      <c r="X3031" s="5">
        <f t="shared" si="4"/>
        <v>1</v>
      </c>
      <c r="Y3031" s="5" t="str">
        <f>IFERROR(__xludf.DUMMYFUNCTION("REGEXEXTRACT(J3031, ""^\d+"")"),"132")</f>
        <v>132</v>
      </c>
      <c r="Z3031" s="5" t="str">
        <f>IFERROR(__xludf.DUMMYFUNCTION("REGEXEXTRACT(J3031, ""[A-Za-z ]+$"")")," min")</f>
        <v> min</v>
      </c>
      <c r="AA3031" s="5" t="str">
        <f>IFERROR(__xludf.DUMMYFUNCTION("IF(REGEXMATCH(Z3031, ""Season""), ""TV Show"", ""Movie"")"),"Movie")</f>
        <v>Movie</v>
      </c>
    </row>
    <row r="3032">
      <c r="A3032" s="1" t="s">
        <v>16835</v>
      </c>
      <c r="B3032" s="1" t="s">
        <v>37</v>
      </c>
      <c r="C3032" s="1" t="s">
        <v>16836</v>
      </c>
      <c r="E3032" s="1" t="s">
        <v>16837</v>
      </c>
      <c r="G3032" s="1" t="s">
        <v>16838</v>
      </c>
      <c r="H3032" s="1">
        <v>2020.0</v>
      </c>
      <c r="I3032" s="1" t="s">
        <v>506</v>
      </c>
      <c r="J3032" s="1" t="s">
        <v>51</v>
      </c>
      <c r="K3032" s="1" t="s">
        <v>15403</v>
      </c>
      <c r="L3032" s="1" t="s">
        <v>16839</v>
      </c>
      <c r="M3032" s="2" t="s">
        <v>12</v>
      </c>
      <c r="N3032" s="4">
        <f t="shared" si="1"/>
        <v>43843</v>
      </c>
      <c r="O3032" s="5" t="str">
        <f>IFERROR(__xludf.DUMMYFUNCTION("IF(REGEXMATCH(TRIM(I3032), ""^\d+\s*min""), ""Unclassified"", IF(I3032 = """", ""NR"", I3032))"),"TV-G")</f>
        <v>TV-G</v>
      </c>
      <c r="R3032" s="5" t="str">
        <f t="shared" si="2"/>
        <v>The Healing Powers Of Dude</v>
      </c>
      <c r="S3032" s="5" t="str">
        <f>IFERROR(__xludf.DUMMYFUNCTION("""COMPUTED_VALUE"""),"Hello, My Twenties!")</f>
        <v>Hello, My Twenties!</v>
      </c>
      <c r="U3032" s="5" t="str">
        <f>IFERROR(__xludf.DUMMYFUNCTION("""COMPUTED_VALUE"""),"Stephen Gyllenhaal")</f>
        <v>Stephen Gyllenhaal</v>
      </c>
      <c r="V3032" s="5" t="s">
        <v>6599</v>
      </c>
      <c r="W3032" s="5" t="str">
        <f t="shared" si="3"/>
        <v>Nick Moore</v>
      </c>
      <c r="X3032" s="5">
        <f t="shared" si="4"/>
        <v>1</v>
      </c>
      <c r="Y3032" s="5" t="str">
        <f>IFERROR(__xludf.DUMMYFUNCTION("REGEXEXTRACT(J3032, ""^\d+"")"),"1")</f>
        <v>1</v>
      </c>
      <c r="Z3032" s="5" t="str">
        <f>IFERROR(__xludf.DUMMYFUNCTION("REGEXEXTRACT(J3032, ""[A-Za-z ]+$"")")," Season")</f>
        <v> Season</v>
      </c>
      <c r="AA3032" s="5" t="str">
        <f>IFERROR(__xludf.DUMMYFUNCTION("IF(REGEXMATCH(Z3032, ""Season""), ""TV Show"", ""Movie"")"),"TV Show")</f>
        <v>TV Show</v>
      </c>
    </row>
    <row r="3033">
      <c r="A3033" s="1" t="s">
        <v>16840</v>
      </c>
      <c r="B3033" s="1" t="s">
        <v>27</v>
      </c>
      <c r="C3033" s="1" t="s">
        <v>16841</v>
      </c>
      <c r="D3033" s="1" t="s">
        <v>16842</v>
      </c>
      <c r="E3033" s="1" t="s">
        <v>16843</v>
      </c>
      <c r="F3033" s="1" t="s">
        <v>30</v>
      </c>
      <c r="G3033" s="1" t="s">
        <v>16844</v>
      </c>
      <c r="H3033" s="1">
        <v>2018.0</v>
      </c>
      <c r="I3033" s="1" t="s">
        <v>97</v>
      </c>
      <c r="J3033" s="1" t="s">
        <v>16845</v>
      </c>
      <c r="K3033" s="1" t="s">
        <v>34</v>
      </c>
      <c r="L3033" s="1" t="s">
        <v>16846</v>
      </c>
      <c r="M3033" s="2" t="s">
        <v>12</v>
      </c>
      <c r="N3033" s="4">
        <f t="shared" si="1"/>
        <v>43842</v>
      </c>
      <c r="O3033" s="5" t="str">
        <f>IFERROR(__xludf.DUMMYFUNCTION("IF(REGEXMATCH(TRIM(I3033), ""^\d+\s*min""), ""Unclassified"", IF(I3033 = """", ""NR"", I3033))"),"TV-14")</f>
        <v>TV-14</v>
      </c>
      <c r="R3033" s="5" t="str">
        <f t="shared" si="2"/>
        <v>Betty White: First Lady Of Television</v>
      </c>
      <c r="S3033" s="5" t="str">
        <f>IFERROR(__xludf.DUMMYFUNCTION("""COMPUTED_VALUE"""),"Hello, Privilege. It'S Me, Chelsea")</f>
        <v>Hello, Privilege. It'S Me, Chelsea</v>
      </c>
      <c r="U3033" s="5" t="str">
        <f>IFERROR(__xludf.DUMMYFUNCTION("""COMPUTED_VALUE"""),"Tom Fassaert")</f>
        <v>Tom Fassaert</v>
      </c>
      <c r="V3033" s="5" t="s">
        <v>8184</v>
      </c>
      <c r="W3033" s="5" t="str">
        <f t="shared" si="3"/>
        <v>Nick Rowland</v>
      </c>
      <c r="X3033" s="5">
        <f t="shared" si="4"/>
        <v>1</v>
      </c>
      <c r="Y3033" s="5" t="str">
        <f>IFERROR(__xludf.DUMMYFUNCTION("REGEXEXTRACT(J3033, ""^\d+"")"),"56")</f>
        <v>56</v>
      </c>
      <c r="Z3033" s="5" t="str">
        <f>IFERROR(__xludf.DUMMYFUNCTION("REGEXEXTRACT(J3033, ""[A-Za-z ]+$"")")," min")</f>
        <v> min</v>
      </c>
      <c r="AA3033" s="5" t="str">
        <f>IFERROR(__xludf.DUMMYFUNCTION("IF(REGEXMATCH(Z3033, ""Season""), ""TV Show"", ""Movie"")"),"Movie")</f>
        <v>Movie</v>
      </c>
    </row>
    <row r="3034">
      <c r="A3034" s="1" t="s">
        <v>16847</v>
      </c>
      <c r="B3034" s="1" t="s">
        <v>27</v>
      </c>
      <c r="C3034" s="1" t="s">
        <v>16848</v>
      </c>
      <c r="D3034" s="1" t="s">
        <v>16112</v>
      </c>
      <c r="E3034" s="1" t="s">
        <v>16849</v>
      </c>
      <c r="F3034" s="1" t="s">
        <v>63</v>
      </c>
      <c r="G3034" s="1" t="s">
        <v>16844</v>
      </c>
      <c r="H3034" s="1">
        <v>2019.0</v>
      </c>
      <c r="I3034" s="1" t="s">
        <v>42</v>
      </c>
      <c r="J3034" s="1" t="s">
        <v>757</v>
      </c>
      <c r="K3034" s="1" t="s">
        <v>583</v>
      </c>
      <c r="L3034" s="1" t="s">
        <v>16850</v>
      </c>
      <c r="M3034" s="2" t="s">
        <v>12</v>
      </c>
      <c r="N3034" s="4">
        <f t="shared" si="1"/>
        <v>43842</v>
      </c>
      <c r="O3034" s="5" t="str">
        <f>IFERROR(__xludf.DUMMYFUNCTION("IF(REGEXMATCH(TRIM(I3034), ""^\d+\s*min""), ""Unclassified"", IF(I3034 = """", ""NR"", I3034))"),"TV-MA")</f>
        <v>TV-MA</v>
      </c>
      <c r="R3034" s="5" t="str">
        <f t="shared" si="2"/>
        <v>Made In China</v>
      </c>
      <c r="S3034" s="5" t="str">
        <f>IFERROR(__xludf.DUMMYFUNCTION("""COMPUTED_VALUE"""),"Hemlock Grove")</f>
        <v>Hemlock Grove</v>
      </c>
      <c r="U3034" s="5" t="str">
        <f>IFERROR(__xludf.DUMMYFUNCTION("""COMPUTED_VALUE"""),"Mark Williams")</f>
        <v>Mark Williams</v>
      </c>
      <c r="V3034" s="5" t="s">
        <v>16851</v>
      </c>
      <c r="W3034" s="5" t="str">
        <f t="shared" si="3"/>
        <v>Nick Simon</v>
      </c>
      <c r="X3034" s="5">
        <f t="shared" si="4"/>
        <v>1</v>
      </c>
      <c r="Y3034" s="5" t="str">
        <f>IFERROR(__xludf.DUMMYFUNCTION("REGEXEXTRACT(J3034, ""^\d+"")"),"128")</f>
        <v>128</v>
      </c>
      <c r="Z3034" s="5" t="str">
        <f>IFERROR(__xludf.DUMMYFUNCTION("REGEXEXTRACT(J3034, ""[A-Za-z ]+$"")")," min")</f>
        <v> min</v>
      </c>
      <c r="AA3034" s="5" t="str">
        <f>IFERROR(__xludf.DUMMYFUNCTION("IF(REGEXMATCH(Z3034, ""Season""), ""TV Show"", ""Movie"")"),"Movie")</f>
        <v>Movie</v>
      </c>
    </row>
    <row r="3035">
      <c r="A3035" s="1" t="s">
        <v>16852</v>
      </c>
      <c r="B3035" s="1" t="s">
        <v>37</v>
      </c>
      <c r="C3035" s="1" t="s">
        <v>16853</v>
      </c>
      <c r="E3035" s="1" t="s">
        <v>16854</v>
      </c>
      <c r="F3035" s="1" t="s">
        <v>30</v>
      </c>
      <c r="G3035" s="1" t="s">
        <v>16855</v>
      </c>
      <c r="H3035" s="1">
        <v>2020.0</v>
      </c>
      <c r="I3035" s="1" t="s">
        <v>97</v>
      </c>
      <c r="J3035" s="1" t="s">
        <v>51</v>
      </c>
      <c r="K3035" s="1" t="s">
        <v>149</v>
      </c>
      <c r="L3035" s="1" t="s">
        <v>16856</v>
      </c>
      <c r="M3035" s="2" t="s">
        <v>12</v>
      </c>
      <c r="N3035" s="4">
        <f t="shared" si="1"/>
        <v>43840</v>
      </c>
      <c r="O3035" s="5" t="str">
        <f>IFERROR(__xludf.DUMMYFUNCTION("IF(REGEXMATCH(TRIM(I3035), ""^\d+\s*min""), ""Unclassified"", IF(I3035 = """", ""NR"", I3035))"),"TV-14")</f>
        <v>TV-14</v>
      </c>
      <c r="R3035" s="5" t="str">
        <f t="shared" si="2"/>
        <v>Aj And The Queen</v>
      </c>
      <c r="S3035" s="5" t="str">
        <f>IFERROR(__xludf.DUMMYFUNCTION("""COMPUTED_VALUE"""),"Heneral Luna")</f>
        <v>Heneral Luna</v>
      </c>
      <c r="U3035" s="5" t="str">
        <f>IFERROR(__xludf.DUMMYFUNCTION("""COMPUTED_VALUE"""),"Roman Coppola")</f>
        <v>Roman Coppola</v>
      </c>
      <c r="V3035" s="5" t="s">
        <v>8178</v>
      </c>
      <c r="W3035" s="5" t="str">
        <f t="shared" si="3"/>
        <v>Nicol Paone</v>
      </c>
      <c r="X3035" s="5">
        <f t="shared" si="4"/>
        <v>1</v>
      </c>
      <c r="Y3035" s="5" t="str">
        <f>IFERROR(__xludf.DUMMYFUNCTION("REGEXEXTRACT(J3035, ""^\d+"")"),"1")</f>
        <v>1</v>
      </c>
      <c r="Z3035" s="5" t="str">
        <f>IFERROR(__xludf.DUMMYFUNCTION("REGEXEXTRACT(J3035, ""[A-Za-z ]+$"")")," Season")</f>
        <v> Season</v>
      </c>
      <c r="AA3035" s="5" t="str">
        <f>IFERROR(__xludf.DUMMYFUNCTION("IF(REGEXMATCH(Z3035, ""Season""), ""TV Show"", ""Movie"")"),"TV Show")</f>
        <v>TV Show</v>
      </c>
    </row>
    <row r="3036">
      <c r="A3036" s="1" t="s">
        <v>16857</v>
      </c>
      <c r="B3036" s="1" t="s">
        <v>37</v>
      </c>
      <c r="C3036" s="1" t="s">
        <v>16858</v>
      </c>
      <c r="E3036" s="1" t="s">
        <v>16859</v>
      </c>
      <c r="F3036" s="1" t="s">
        <v>96</v>
      </c>
      <c r="G3036" s="1" t="s">
        <v>16855</v>
      </c>
      <c r="H3036" s="1">
        <v>2019.0</v>
      </c>
      <c r="I3036" s="1" t="s">
        <v>42</v>
      </c>
      <c r="J3036" s="1" t="s">
        <v>51</v>
      </c>
      <c r="K3036" s="1" t="s">
        <v>3274</v>
      </c>
      <c r="L3036" s="1" t="s">
        <v>16860</v>
      </c>
      <c r="M3036" s="2" t="s">
        <v>12</v>
      </c>
      <c r="N3036" s="4">
        <f t="shared" si="1"/>
        <v>43840</v>
      </c>
      <c r="O3036" s="5" t="str">
        <f>IFERROR(__xludf.DUMMYFUNCTION("IF(REGEXMATCH(TRIM(I3036), ""^\d+\s*min""), ""Unclassified"", IF(I3036 = """", ""NR"", I3036))"),"TV-MA")</f>
        <v>TV-MA</v>
      </c>
      <c r="R3036" s="5" t="str">
        <f t="shared" si="2"/>
        <v>Giri / Haji</v>
      </c>
      <c r="S3036" s="5" t="str">
        <f>IFERROR(__xludf.DUMMYFUNCTION("""COMPUTED_VALUE"""),"Henry Danger")</f>
        <v>Henry Danger</v>
      </c>
      <c r="U3036" s="5" t="str">
        <f>IFERROR(__xludf.DUMMYFUNCTION("""COMPUTED_VALUE"""),"Erik Nelson")</f>
        <v>Erik Nelson</v>
      </c>
      <c r="V3036" s="5" t="s">
        <v>16861</v>
      </c>
      <c r="W3036" s="5" t="str">
        <f t="shared" si="3"/>
        <v>Nicolas Brossette</v>
      </c>
      <c r="X3036" s="5">
        <f t="shared" si="4"/>
        <v>1</v>
      </c>
      <c r="Y3036" s="5" t="str">
        <f>IFERROR(__xludf.DUMMYFUNCTION("REGEXEXTRACT(J3036, ""^\d+"")"),"1")</f>
        <v>1</v>
      </c>
      <c r="Z3036" s="5" t="str">
        <f>IFERROR(__xludf.DUMMYFUNCTION("REGEXEXTRACT(J3036, ""[A-Za-z ]+$"")")," Season")</f>
        <v> Season</v>
      </c>
      <c r="AA3036" s="5" t="str">
        <f>IFERROR(__xludf.DUMMYFUNCTION("IF(REGEXMATCH(Z3036, ""Season""), ""TV Show"", ""Movie"")"),"TV Show")</f>
        <v>TV Show</v>
      </c>
    </row>
    <row r="3037">
      <c r="A3037" s="1" t="s">
        <v>16862</v>
      </c>
      <c r="B3037" s="1" t="s">
        <v>37</v>
      </c>
      <c r="C3037" s="1" t="s">
        <v>16863</v>
      </c>
      <c r="E3037" s="1" t="s">
        <v>16864</v>
      </c>
      <c r="F3037" s="1" t="s">
        <v>30</v>
      </c>
      <c r="G3037" s="1" t="s">
        <v>16855</v>
      </c>
      <c r="H3037" s="1">
        <v>2020.0</v>
      </c>
      <c r="I3037" s="1" t="s">
        <v>289</v>
      </c>
      <c r="J3037" s="1" t="s">
        <v>148</v>
      </c>
      <c r="K3037" s="1" t="s">
        <v>314</v>
      </c>
      <c r="L3037" s="1" t="s">
        <v>16865</v>
      </c>
      <c r="M3037" s="2" t="s">
        <v>12</v>
      </c>
      <c r="N3037" s="4">
        <f t="shared" si="1"/>
        <v>43840</v>
      </c>
      <c r="O3037" s="5" t="str">
        <f>IFERROR(__xludf.DUMMYFUNCTION("IF(REGEXMATCH(TRIM(I3037), ""^\d+\s*min""), ""Unclassified"", IF(I3037 = """", ""NR"", I3037))"),"TV-Y7")</f>
        <v>TV-Y7</v>
      </c>
      <c r="R3037" s="5" t="str">
        <f t="shared" si="2"/>
        <v>Harvey Street Kids</v>
      </c>
      <c r="S3037" s="5" t="str">
        <f>IFERROR(__xludf.DUMMYFUNCTION("""COMPUTED_VALUE"""),"Her")</f>
        <v>Her</v>
      </c>
      <c r="U3037" s="5" t="str">
        <f>IFERROR(__xludf.DUMMYFUNCTION("""COMPUTED_VALUE"""),"Teo Konuralp")</f>
        <v>Teo Konuralp</v>
      </c>
      <c r="V3037" s="5" t="s">
        <v>16866</v>
      </c>
      <c r="W3037" s="5" t="str">
        <f t="shared" si="3"/>
        <v>Nicolás López</v>
      </c>
      <c r="X3037" s="5">
        <f t="shared" si="4"/>
        <v>2</v>
      </c>
      <c r="Y3037" s="5" t="str">
        <f>IFERROR(__xludf.DUMMYFUNCTION("REGEXEXTRACT(J3037, ""^\d+"")"),"4")</f>
        <v>4</v>
      </c>
      <c r="Z3037" s="5" t="str">
        <f>IFERROR(__xludf.DUMMYFUNCTION("REGEXEXTRACT(J3037, ""[A-Za-z ]+$"")")," Seasons")</f>
        <v> Seasons</v>
      </c>
      <c r="AA3037" s="5" t="str">
        <f>IFERROR(__xludf.DUMMYFUNCTION("IF(REGEXMATCH(Z3037, ""Season""), ""TV Show"", ""Movie"")"),"TV Show")</f>
        <v>TV Show</v>
      </c>
    </row>
    <row r="3038">
      <c r="A3038" s="1" t="s">
        <v>16867</v>
      </c>
      <c r="B3038" s="1" t="s">
        <v>37</v>
      </c>
      <c r="C3038" s="1" t="s">
        <v>16868</v>
      </c>
      <c r="D3038" s="1" t="s">
        <v>12902</v>
      </c>
      <c r="E3038" s="1" t="s">
        <v>16869</v>
      </c>
      <c r="F3038" s="1" t="s">
        <v>63</v>
      </c>
      <c r="G3038" s="1" t="s">
        <v>16855</v>
      </c>
      <c r="H3038" s="1">
        <v>2020.0</v>
      </c>
      <c r="I3038" s="1" t="s">
        <v>42</v>
      </c>
      <c r="J3038" s="1" t="s">
        <v>51</v>
      </c>
      <c r="K3038" s="1" t="s">
        <v>1362</v>
      </c>
      <c r="L3038" s="1" t="s">
        <v>16870</v>
      </c>
      <c r="M3038" s="2" t="s">
        <v>12</v>
      </c>
      <c r="N3038" s="4">
        <f t="shared" si="1"/>
        <v>43840</v>
      </c>
      <c r="O3038" s="5" t="str">
        <f>IFERROR(__xludf.DUMMYFUNCTION("IF(REGEXMATCH(TRIM(I3038), ""^\d+\s*min""), ""Unclassified"", IF(I3038 = """", ""NR"", I3038))"),"TV-MA")</f>
        <v>TV-MA</v>
      </c>
      <c r="R3038" s="5" t="str">
        <f t="shared" si="2"/>
        <v>Jamtara - Sabka Number Ayega</v>
      </c>
      <c r="S3038" s="5" t="str">
        <f>IFERROR(__xludf.DUMMYFUNCTION("""COMPUTED_VALUE"""),"Her Mother'S Killer")</f>
        <v>Her Mother'S Killer</v>
      </c>
      <c r="U3038" s="5" t="str">
        <f>IFERROR(__xludf.DUMMYFUNCTION("""COMPUTED_VALUE"""),"Jim Fall")</f>
        <v>Jim Fall</v>
      </c>
      <c r="V3038" s="5" t="s">
        <v>10214</v>
      </c>
      <c r="W3038" s="5" t="str">
        <f t="shared" si="3"/>
        <v>Nicolas Pesce</v>
      </c>
      <c r="X3038" s="5">
        <f t="shared" si="4"/>
        <v>2</v>
      </c>
      <c r="Y3038" s="5" t="str">
        <f>IFERROR(__xludf.DUMMYFUNCTION("REGEXEXTRACT(J3038, ""^\d+"")"),"1")</f>
        <v>1</v>
      </c>
      <c r="Z3038" s="5" t="str">
        <f>IFERROR(__xludf.DUMMYFUNCTION("REGEXEXTRACT(J3038, ""[A-Za-z ]+$"")")," Season")</f>
        <v> Season</v>
      </c>
      <c r="AA3038" s="5" t="str">
        <f>IFERROR(__xludf.DUMMYFUNCTION("IF(REGEXMATCH(Z3038, ""Season""), ""TV Show"", ""Movie"")"),"TV Show")</f>
        <v>TV Show</v>
      </c>
    </row>
    <row r="3039">
      <c r="A3039" s="1" t="s">
        <v>16871</v>
      </c>
      <c r="B3039" s="1" t="s">
        <v>37</v>
      </c>
      <c r="C3039" s="1" t="s">
        <v>16872</v>
      </c>
      <c r="E3039" s="1" t="s">
        <v>16873</v>
      </c>
      <c r="F3039" s="1" t="s">
        <v>30</v>
      </c>
      <c r="G3039" s="1" t="s">
        <v>16855</v>
      </c>
      <c r="H3039" s="1">
        <v>2020.0</v>
      </c>
      <c r="I3039" s="1" t="s">
        <v>42</v>
      </c>
      <c r="J3039" s="1" t="s">
        <v>51</v>
      </c>
      <c r="K3039" s="1" t="s">
        <v>884</v>
      </c>
      <c r="L3039" s="1" t="s">
        <v>16874</v>
      </c>
      <c r="M3039" s="2" t="s">
        <v>12</v>
      </c>
      <c r="N3039" s="4">
        <f t="shared" si="1"/>
        <v>43840</v>
      </c>
      <c r="O3039" s="5" t="str">
        <f>IFERROR(__xludf.DUMMYFUNCTION("IF(REGEXMATCH(TRIM(I3039), ""^\d+\s*min""), ""Unclassified"", IF(I3039 = """", ""NR"", I3039))"),"TV-MA")</f>
        <v>TV-MA</v>
      </c>
      <c r="R3039" s="5" t="str">
        <f t="shared" si="2"/>
        <v>Medical Police</v>
      </c>
      <c r="S3039" s="5" t="str">
        <f>IFERROR(__xludf.DUMMYFUNCTION("""COMPUTED_VALUE"""),"Her Only Choice")</f>
        <v>Her Only Choice</v>
      </c>
      <c r="U3039" s="5" t="str">
        <f>IFERROR(__xludf.DUMMYFUNCTION("""COMPUTED_VALUE"""),"Andy Goddard")</f>
        <v>Andy Goddard</v>
      </c>
      <c r="V3039" s="5" t="s">
        <v>16875</v>
      </c>
      <c r="W3039" s="5" t="str">
        <f t="shared" si="3"/>
        <v>Nicolas Winding Refn</v>
      </c>
      <c r="X3039" s="5">
        <f t="shared" si="4"/>
        <v>1</v>
      </c>
      <c r="Y3039" s="5" t="str">
        <f>IFERROR(__xludf.DUMMYFUNCTION("REGEXEXTRACT(J3039, ""^\d+"")"),"1")</f>
        <v>1</v>
      </c>
      <c r="Z3039" s="5" t="str">
        <f>IFERROR(__xludf.DUMMYFUNCTION("REGEXEXTRACT(J3039, ""[A-Za-z ]+$"")")," Season")</f>
        <v> Season</v>
      </c>
      <c r="AA3039" s="5" t="str">
        <f>IFERROR(__xludf.DUMMYFUNCTION("IF(REGEXMATCH(Z3039, ""Season""), ""TV Show"", ""Movie"")"),"TV Show")</f>
        <v>TV Show</v>
      </c>
    </row>
    <row r="3040">
      <c r="A3040" s="1" t="s">
        <v>16876</v>
      </c>
      <c r="B3040" s="1" t="s">
        <v>27</v>
      </c>
      <c r="C3040" s="1" t="s">
        <v>16877</v>
      </c>
      <c r="D3040" s="1" t="s">
        <v>16878</v>
      </c>
      <c r="E3040" s="1" t="s">
        <v>16879</v>
      </c>
      <c r="F3040" s="1" t="s">
        <v>96</v>
      </c>
      <c r="G3040" s="1" t="s">
        <v>16855</v>
      </c>
      <c r="H3040" s="1">
        <v>2014.0</v>
      </c>
      <c r="I3040" s="1" t="s">
        <v>378</v>
      </c>
      <c r="J3040" s="1" t="s">
        <v>804</v>
      </c>
      <c r="K3040" s="1" t="s">
        <v>8559</v>
      </c>
      <c r="L3040" s="1" t="s">
        <v>16880</v>
      </c>
      <c r="M3040" s="2" t="s">
        <v>12</v>
      </c>
      <c r="N3040" s="4">
        <f t="shared" si="1"/>
        <v>43840</v>
      </c>
      <c r="O3040" s="5" t="str">
        <f>IFERROR(__xludf.DUMMYFUNCTION("IF(REGEXMATCH(TRIM(I3040), ""^\d+\s*min""), ""Unclassified"", IF(I3040 = """", ""NR"", I3040))"),"R")</f>
        <v>R</v>
      </c>
      <c r="R3040" s="5" t="str">
        <f t="shared" si="2"/>
        <v>Monsters: Dark Continent</v>
      </c>
      <c r="S3040" s="5" t="str">
        <f>IFERROR(__xludf.DUMMYFUNCTION("""COMPUTED_VALUE"""),"Her Private Life")</f>
        <v>Her Private Life</v>
      </c>
      <c r="U3040" s="5" t="str">
        <f>IFERROR(__xludf.DUMMYFUNCTION("""COMPUTED_VALUE"""),"Chris Bell")</f>
        <v>Chris Bell</v>
      </c>
      <c r="V3040" s="5" t="s">
        <v>4728</v>
      </c>
      <c r="W3040" s="5" t="str">
        <f t="shared" si="3"/>
        <v>Nicole Conn</v>
      </c>
      <c r="X3040" s="5">
        <f t="shared" si="4"/>
        <v>1</v>
      </c>
      <c r="Y3040" s="5" t="str">
        <f>IFERROR(__xludf.DUMMYFUNCTION("REGEXEXTRACT(J3040, ""^\d+"")"),"119")</f>
        <v>119</v>
      </c>
      <c r="Z3040" s="5" t="str">
        <f>IFERROR(__xludf.DUMMYFUNCTION("REGEXEXTRACT(J3040, ""[A-Za-z ]+$"")")," min")</f>
        <v> min</v>
      </c>
      <c r="AA3040" s="5" t="str">
        <f>IFERROR(__xludf.DUMMYFUNCTION("IF(REGEXMATCH(Z3040, ""Season""), ""TV Show"", ""Movie"")"),"Movie")</f>
        <v>Movie</v>
      </c>
    </row>
    <row r="3041">
      <c r="A3041" s="1" t="s">
        <v>16881</v>
      </c>
      <c r="B3041" s="1" t="s">
        <v>37</v>
      </c>
      <c r="C3041" s="1" t="s">
        <v>16882</v>
      </c>
      <c r="E3041" s="1" t="s">
        <v>16883</v>
      </c>
      <c r="F3041" s="1" t="s">
        <v>221</v>
      </c>
      <c r="G3041" s="1" t="s">
        <v>16855</v>
      </c>
      <c r="H3041" s="1">
        <v>2020.0</v>
      </c>
      <c r="I3041" s="1" t="s">
        <v>206</v>
      </c>
      <c r="J3041" s="1" t="s">
        <v>43</v>
      </c>
      <c r="K3041" s="1" t="s">
        <v>314</v>
      </c>
      <c r="L3041" s="1" t="s">
        <v>16884</v>
      </c>
      <c r="M3041" s="2" t="s">
        <v>12</v>
      </c>
      <c r="N3041" s="4">
        <f t="shared" si="1"/>
        <v>43840</v>
      </c>
      <c r="O3041" s="5" t="str">
        <f>IFERROR(__xludf.DUMMYFUNCTION("IF(REGEXMATCH(TRIM(I3041), ""^\d+\s*min""), ""Unclassified"", IF(I3041 = """", ""NR"", I3041))"),"TV-Y")</f>
        <v>TV-Y</v>
      </c>
      <c r="R3041" s="5" t="str">
        <f t="shared" si="2"/>
        <v>The Inbestigators</v>
      </c>
      <c r="S3041" s="5" t="str">
        <f>IFERROR(__xludf.DUMMYFUNCTION("""COMPUTED_VALUE"""),"Hera Pheri")</f>
        <v>Hera Pheri</v>
      </c>
      <c r="U3041" s="5" t="str">
        <f>IFERROR(__xludf.DUMMYFUNCTION("""COMPUTED_VALUE"""),"Christopher S. Rech, Brandon Kimber")</f>
        <v>Christopher S. Rech, Brandon Kimber</v>
      </c>
      <c r="V3041" s="5" t="s">
        <v>16885</v>
      </c>
      <c r="W3041" s="5" t="str">
        <f t="shared" si="3"/>
        <v>Nicole Holofcener</v>
      </c>
      <c r="X3041" s="5">
        <f t="shared" si="4"/>
        <v>1</v>
      </c>
      <c r="Y3041" s="5" t="str">
        <f>IFERROR(__xludf.DUMMYFUNCTION("REGEXEXTRACT(J3041, ""^\d+"")"),"2")</f>
        <v>2</v>
      </c>
      <c r="Z3041" s="5" t="str">
        <f>IFERROR(__xludf.DUMMYFUNCTION("REGEXEXTRACT(J3041, ""[A-Za-z ]+$"")")," Seasons")</f>
        <v> Seasons</v>
      </c>
      <c r="AA3041" s="5" t="str">
        <f>IFERROR(__xludf.DUMMYFUNCTION("IF(REGEXMATCH(Z3041, ""Season""), ""TV Show"", ""Movie"")"),"TV Show")</f>
        <v>TV Show</v>
      </c>
    </row>
    <row r="3042">
      <c r="A3042" s="1" t="s">
        <v>16886</v>
      </c>
      <c r="B3042" s="1" t="s">
        <v>37</v>
      </c>
      <c r="C3042" s="1" t="s">
        <v>16887</v>
      </c>
      <c r="E3042" s="1" t="s">
        <v>16888</v>
      </c>
      <c r="F3042" s="1" t="s">
        <v>664</v>
      </c>
      <c r="G3042" s="1" t="s">
        <v>16855</v>
      </c>
      <c r="H3042" s="1">
        <v>2020.0</v>
      </c>
      <c r="I3042" s="1" t="s">
        <v>42</v>
      </c>
      <c r="J3042" s="1" t="s">
        <v>51</v>
      </c>
      <c r="K3042" s="1" t="s">
        <v>16889</v>
      </c>
      <c r="L3042" s="1" t="s">
        <v>16890</v>
      </c>
      <c r="M3042" s="2" t="s">
        <v>12</v>
      </c>
      <c r="N3042" s="4">
        <f t="shared" si="1"/>
        <v>43840</v>
      </c>
      <c r="O3042" s="5" t="str">
        <f>IFERROR(__xludf.DUMMYFUNCTION("IF(REGEXMATCH(TRIM(I3042), ""^\d+\s*min""), ""Unclassified"", IF(I3042 = """", ""NR"", I3042))"),"TV-MA")</f>
        <v>TV-MA</v>
      </c>
      <c r="R3042" s="5" t="str">
        <f t="shared" si="2"/>
        <v>Until Dawn</v>
      </c>
      <c r="S3042" s="5" t="str">
        <f>IFERROR(__xludf.DUMMYFUNCTION("""COMPUTED_VALUE"""),"Here Alone")</f>
        <v>Here Alone</v>
      </c>
      <c r="U3042" s="5" t="str">
        <f>IFERROR(__xludf.DUMMYFUNCTION("""COMPUTED_VALUE"""),"Michael Lennox")</f>
        <v>Michael Lennox</v>
      </c>
      <c r="V3042" s="5" t="s">
        <v>16891</v>
      </c>
      <c r="W3042" s="5" t="str">
        <f t="shared" si="3"/>
        <v>Nidhi Sharma</v>
      </c>
      <c r="X3042" s="5">
        <f t="shared" si="4"/>
        <v>1</v>
      </c>
      <c r="Y3042" s="5" t="str">
        <f>IFERROR(__xludf.DUMMYFUNCTION("REGEXEXTRACT(J3042, ""^\d+"")"),"1")</f>
        <v>1</v>
      </c>
      <c r="Z3042" s="5" t="str">
        <f>IFERROR(__xludf.DUMMYFUNCTION("REGEXEXTRACT(J3042, ""[A-Za-z ]+$"")")," Season")</f>
        <v> Season</v>
      </c>
      <c r="AA3042" s="5" t="str">
        <f>IFERROR(__xludf.DUMMYFUNCTION("IF(REGEXMATCH(Z3042, ""Season""), ""TV Show"", ""Movie"")"),"TV Show")</f>
        <v>TV Show</v>
      </c>
    </row>
    <row r="3043">
      <c r="A3043" s="1" t="s">
        <v>16892</v>
      </c>
      <c r="B3043" s="1" t="s">
        <v>27</v>
      </c>
      <c r="C3043" s="1" t="s">
        <v>16893</v>
      </c>
      <c r="D3043" s="1" t="s">
        <v>4791</v>
      </c>
      <c r="E3043" s="1" t="s">
        <v>16894</v>
      </c>
      <c r="F3043" s="1" t="s">
        <v>30</v>
      </c>
      <c r="G3043" s="1" t="s">
        <v>16895</v>
      </c>
      <c r="H3043" s="1">
        <v>2020.0</v>
      </c>
      <c r="I3043" s="1" t="s">
        <v>42</v>
      </c>
      <c r="J3043" s="1" t="s">
        <v>247</v>
      </c>
      <c r="K3043" s="1" t="s">
        <v>973</v>
      </c>
      <c r="L3043" s="1" t="s">
        <v>16896</v>
      </c>
      <c r="M3043" s="2" t="s">
        <v>12</v>
      </c>
      <c r="N3043" s="4">
        <f t="shared" si="1"/>
        <v>43839</v>
      </c>
      <c r="O3043" s="5" t="str">
        <f>IFERROR(__xludf.DUMMYFUNCTION("IF(REGEXMATCH(TRIM(I3043), ""^\d+\s*min""), ""Unclassified"", IF(I3043 = """", ""NR"", I3043))"),"TV-MA")</f>
        <v>TV-MA</v>
      </c>
      <c r="R3043" s="5" t="str">
        <f t="shared" si="2"/>
        <v>Bulletproof 2</v>
      </c>
      <c r="S3043" s="5" t="str">
        <f>IFERROR(__xludf.DUMMYFUNCTION("""COMPUTED_VALUE"""),"Here And There")</f>
        <v>Here And There</v>
      </c>
      <c r="U3043" s="5" t="str">
        <f>IFERROR(__xludf.DUMMYFUNCTION("""COMPUTED_VALUE"""),"Kees Van Oostrum")</f>
        <v>Kees Van Oostrum</v>
      </c>
      <c r="V3043" s="5" t="s">
        <v>5517</v>
      </c>
      <c r="W3043" s="5" t="str">
        <f t="shared" si="3"/>
        <v>Niels Arden Oplev</v>
      </c>
      <c r="X3043" s="5">
        <f t="shared" si="4"/>
        <v>1</v>
      </c>
      <c r="Y3043" s="5" t="str">
        <f>IFERROR(__xludf.DUMMYFUNCTION("REGEXEXTRACT(J3043, ""^\d+"")"),"97")</f>
        <v>97</v>
      </c>
      <c r="Z3043" s="5" t="str">
        <f>IFERROR(__xludf.DUMMYFUNCTION("REGEXEXTRACT(J3043, ""[A-Za-z ]+$"")")," min")</f>
        <v> min</v>
      </c>
      <c r="AA3043" s="5" t="str">
        <f>IFERROR(__xludf.DUMMYFUNCTION("IF(REGEXMATCH(Z3043, ""Season""), ""TV Show"", ""Movie"")"),"Movie")</f>
        <v>Movie</v>
      </c>
    </row>
    <row r="3044">
      <c r="A3044" s="1" t="s">
        <v>16897</v>
      </c>
      <c r="B3044" s="1" t="s">
        <v>37</v>
      </c>
      <c r="C3044" s="1" t="s">
        <v>16898</v>
      </c>
      <c r="F3044" s="1" t="s">
        <v>30</v>
      </c>
      <c r="G3044" s="1" t="s">
        <v>16899</v>
      </c>
      <c r="H3044" s="1">
        <v>2020.0</v>
      </c>
      <c r="I3044" s="1" t="s">
        <v>42</v>
      </c>
      <c r="J3044" s="1" t="s">
        <v>51</v>
      </c>
      <c r="K3044" s="1" t="s">
        <v>16900</v>
      </c>
      <c r="L3044" s="1" t="s">
        <v>16901</v>
      </c>
      <c r="M3044" s="2" t="s">
        <v>12</v>
      </c>
      <c r="N3044" s="4">
        <f t="shared" si="1"/>
        <v>43838</v>
      </c>
      <c r="O3044" s="5" t="str">
        <f>IFERROR(__xludf.DUMMYFUNCTION("IF(REGEXMATCH(TRIM(I3044), ""^\d+\s*min""), ""Unclassified"", IF(I3044 = """", ""NR"", I3044))"),"TV-MA")</f>
        <v>TV-MA</v>
      </c>
      <c r="R3044" s="5" t="str">
        <f t="shared" si="2"/>
        <v>Cheer</v>
      </c>
      <c r="S3044" s="5" t="str">
        <f>IFERROR(__xludf.DUMMYFUNCTION("""COMPUTED_VALUE"""),"Here Comes The Rain")</f>
        <v>Here Comes The Rain</v>
      </c>
      <c r="U3044" s="5" t="str">
        <f>IFERROR(__xludf.DUMMYFUNCTION("""COMPUTED_VALUE"""),"Henry Sarwer-Foner")</f>
        <v>Henry Sarwer-Foner</v>
      </c>
      <c r="V3044" s="5" t="s">
        <v>16902</v>
      </c>
      <c r="W3044" s="5" t="str">
        <f t="shared" si="3"/>
        <v>Nikhil Advani</v>
      </c>
      <c r="X3044" s="5">
        <f t="shared" si="4"/>
        <v>2</v>
      </c>
      <c r="Y3044" s="5" t="str">
        <f>IFERROR(__xludf.DUMMYFUNCTION("REGEXEXTRACT(J3044, ""^\d+"")"),"1")</f>
        <v>1</v>
      </c>
      <c r="Z3044" s="5" t="str">
        <f>IFERROR(__xludf.DUMMYFUNCTION("REGEXEXTRACT(J3044, ""[A-Za-z ]+$"")")," Season")</f>
        <v> Season</v>
      </c>
      <c r="AA3044" s="5" t="str">
        <f>IFERROR(__xludf.DUMMYFUNCTION("IF(REGEXMATCH(Z3044, ""Season""), ""TV Show"", ""Movie"")"),"TV Show")</f>
        <v>TV Show</v>
      </c>
    </row>
    <row r="3045">
      <c r="A3045" s="1" t="s">
        <v>16903</v>
      </c>
      <c r="B3045" s="1" t="s">
        <v>27</v>
      </c>
      <c r="C3045" s="1" t="s">
        <v>16904</v>
      </c>
      <c r="D3045" s="1" t="s">
        <v>6015</v>
      </c>
      <c r="E3045" s="1" t="s">
        <v>16905</v>
      </c>
      <c r="F3045" s="1" t="s">
        <v>30</v>
      </c>
      <c r="G3045" s="1" t="s">
        <v>16906</v>
      </c>
      <c r="H3045" s="1">
        <v>2017.0</v>
      </c>
      <c r="I3045" s="1" t="s">
        <v>378</v>
      </c>
      <c r="J3045" s="1" t="s">
        <v>665</v>
      </c>
      <c r="K3045" s="1" t="s">
        <v>1320</v>
      </c>
      <c r="L3045" s="1" t="s">
        <v>16907</v>
      </c>
      <c r="M3045" s="2" t="s">
        <v>12</v>
      </c>
      <c r="N3045" s="4">
        <f t="shared" si="1"/>
        <v>43837</v>
      </c>
      <c r="O3045" s="5" t="str">
        <f>IFERROR(__xludf.DUMMYFUNCTION("IF(REGEXMATCH(TRIM(I3045), ""^\d+\s*min""), ""Unclassified"", IF(I3045 = """", ""NR"", I3045))"),"R")</f>
        <v>R</v>
      </c>
      <c r="R3045" s="5" t="str">
        <f t="shared" si="2"/>
        <v>A Ghost Story</v>
      </c>
      <c r="S3045" s="5" t="str">
        <f>IFERROR(__xludf.DUMMYFUNCTION("""COMPUTED_VALUE"""),"Here To Heart")</f>
        <v>Here To Heart</v>
      </c>
      <c r="U3045" s="5" t="str">
        <f>IFERROR(__xludf.DUMMYFUNCTION("""COMPUTED_VALUE"""),"Ishaan Trivedi")</f>
        <v>Ishaan Trivedi</v>
      </c>
      <c r="V3045" s="5" t="s">
        <v>16908</v>
      </c>
      <c r="W3045" s="5" t="str">
        <f t="shared" si="3"/>
        <v>Nikhil Nagesh Bhat</v>
      </c>
      <c r="X3045" s="5">
        <f t="shared" si="4"/>
        <v>1</v>
      </c>
      <c r="Y3045" s="5" t="str">
        <f>IFERROR(__xludf.DUMMYFUNCTION("REGEXEXTRACT(J3045, ""^\d+"")"),"92")</f>
        <v>92</v>
      </c>
      <c r="Z3045" s="5" t="str">
        <f>IFERROR(__xludf.DUMMYFUNCTION("REGEXEXTRACT(J3045, ""[A-Za-z ]+$"")")," min")</f>
        <v> min</v>
      </c>
      <c r="AA3045" s="5" t="str">
        <f>IFERROR(__xludf.DUMMYFUNCTION("IF(REGEXMATCH(Z3045, ""Season""), ""TV Show"", ""Movie"")"),"Movie")</f>
        <v>Movie</v>
      </c>
    </row>
    <row r="3046">
      <c r="A3046" s="1" t="s">
        <v>16909</v>
      </c>
      <c r="B3046" s="1" t="s">
        <v>27</v>
      </c>
      <c r="C3046" s="1" t="s">
        <v>16910</v>
      </c>
      <c r="D3046" s="1" t="s">
        <v>14692</v>
      </c>
      <c r="E3046" s="1" t="s">
        <v>16911</v>
      </c>
      <c r="F3046" s="1" t="s">
        <v>784</v>
      </c>
      <c r="G3046" s="1" t="s">
        <v>16906</v>
      </c>
      <c r="H3046" s="1">
        <v>2020.0</v>
      </c>
      <c r="I3046" s="1" t="s">
        <v>42</v>
      </c>
      <c r="J3046" s="1" t="s">
        <v>447</v>
      </c>
      <c r="K3046" s="1" t="s">
        <v>583</v>
      </c>
      <c r="L3046" s="1" t="s">
        <v>16912</v>
      </c>
      <c r="M3046" s="2" t="s">
        <v>12</v>
      </c>
      <c r="N3046" s="4">
        <f t="shared" si="1"/>
        <v>43837</v>
      </c>
      <c r="O3046" s="5" t="str">
        <f>IFERROR(__xludf.DUMMYFUNCTION("IF(REGEXMATCH(TRIM(I3046), ""^\d+\s*min""), ""Unclassified"", IF(I3046 = """", ""NR"", I3046))"),"TV-MA")</f>
        <v>TV-MA</v>
      </c>
      <c r="R3046" s="5" t="str">
        <f t="shared" si="2"/>
        <v>Live Twice, Love Once</v>
      </c>
      <c r="S3046" s="5" t="str">
        <f>IFERROR(__xludf.DUMMYFUNCTION("""COMPUTED_VALUE"""),"Heritages")</f>
        <v>Heritages</v>
      </c>
      <c r="U3046" s="5" t="str">
        <f>IFERROR(__xludf.DUMMYFUNCTION("""COMPUTED_VALUE"""),"Asghar Farhadi")</f>
        <v>Asghar Farhadi</v>
      </c>
      <c r="V3046" s="5" t="s">
        <v>5274</v>
      </c>
      <c r="W3046" s="5" t="str">
        <f t="shared" si="3"/>
        <v>Nikhil Pherwani</v>
      </c>
      <c r="X3046" s="5">
        <f t="shared" si="4"/>
        <v>1</v>
      </c>
      <c r="Y3046" s="5" t="str">
        <f>IFERROR(__xludf.DUMMYFUNCTION("REGEXEXTRACT(J3046, ""^\d+"")"),"102")</f>
        <v>102</v>
      </c>
      <c r="Z3046" s="5" t="str">
        <f>IFERROR(__xludf.DUMMYFUNCTION("REGEXEXTRACT(J3046, ""[A-Za-z ]+$"")")," min")</f>
        <v> min</v>
      </c>
      <c r="AA3046" s="5" t="str">
        <f>IFERROR(__xludf.DUMMYFUNCTION("IF(REGEXMATCH(Z3046, ""Season""), ""TV Show"", ""Movie"")"),"Movie")</f>
        <v>Movie</v>
      </c>
    </row>
    <row r="3047">
      <c r="A3047" s="1" t="s">
        <v>16913</v>
      </c>
      <c r="B3047" s="1" t="s">
        <v>37</v>
      </c>
      <c r="C3047" s="1" t="s">
        <v>16914</v>
      </c>
      <c r="E3047" s="1" t="s">
        <v>16915</v>
      </c>
      <c r="F3047" s="1" t="s">
        <v>96</v>
      </c>
      <c r="G3047" s="1" t="s">
        <v>16916</v>
      </c>
      <c r="H3047" s="1">
        <v>2020.0</v>
      </c>
      <c r="I3047" s="1" t="s">
        <v>97</v>
      </c>
      <c r="J3047" s="1" t="s">
        <v>51</v>
      </c>
      <c r="K3047" s="1" t="s">
        <v>3361</v>
      </c>
      <c r="L3047" s="1" t="s">
        <v>16917</v>
      </c>
      <c r="M3047" s="2" t="s">
        <v>12</v>
      </c>
      <c r="N3047" s="4">
        <f t="shared" si="1"/>
        <v>43834</v>
      </c>
      <c r="O3047" s="5" t="str">
        <f>IFERROR(__xludf.DUMMYFUNCTION("IF(REGEXMATCH(TRIM(I3047), ""^\d+\s*min""), ""Unclassified"", IF(I3047 = """", ""NR"", I3047))"),"TV-14")</f>
        <v>TV-14</v>
      </c>
      <c r="R3047" s="5" t="str">
        <f t="shared" si="2"/>
        <v>Dracula</v>
      </c>
      <c r="S3047" s="5" t="str">
        <f>IFERROR(__xludf.DUMMYFUNCTION("""COMPUTED_VALUE"""),"Hero")</f>
        <v>Hero</v>
      </c>
      <c r="U3047" s="5" t="str">
        <f>IFERROR(__xludf.DUMMYFUNCTION("""COMPUTED_VALUE"""),"Maria Burton")</f>
        <v>Maria Burton</v>
      </c>
      <c r="V3047" s="5" t="s">
        <v>6182</v>
      </c>
      <c r="W3047" s="5" t="str">
        <f t="shared" si="3"/>
        <v>Niki Caro</v>
      </c>
      <c r="X3047" s="5">
        <f t="shared" si="4"/>
        <v>1</v>
      </c>
      <c r="Y3047" s="5" t="str">
        <f>IFERROR(__xludf.DUMMYFUNCTION("REGEXEXTRACT(J3047, ""^\d+"")"),"1")</f>
        <v>1</v>
      </c>
      <c r="Z3047" s="5" t="str">
        <f>IFERROR(__xludf.DUMMYFUNCTION("REGEXEXTRACT(J3047, ""[A-Za-z ]+$"")")," Season")</f>
        <v> Season</v>
      </c>
      <c r="AA3047" s="5" t="str">
        <f>IFERROR(__xludf.DUMMYFUNCTION("IF(REGEXMATCH(Z3047, ""Season""), ""TV Show"", ""Movie"")"),"TV Show")</f>
        <v>TV Show</v>
      </c>
    </row>
    <row r="3048">
      <c r="A3048" s="1" t="s">
        <v>16918</v>
      </c>
      <c r="B3048" s="1" t="s">
        <v>27</v>
      </c>
      <c r="C3048" s="1" t="s">
        <v>16919</v>
      </c>
      <c r="D3048" s="1" t="s">
        <v>16920</v>
      </c>
      <c r="E3048" s="1" t="s">
        <v>16921</v>
      </c>
      <c r="F3048" s="1" t="s">
        <v>162</v>
      </c>
      <c r="G3048" s="1" t="s">
        <v>16922</v>
      </c>
      <c r="H3048" s="1">
        <v>2020.0</v>
      </c>
      <c r="I3048" s="1" t="s">
        <v>97</v>
      </c>
      <c r="J3048" s="1" t="s">
        <v>33</v>
      </c>
      <c r="K3048" s="1" t="s">
        <v>215</v>
      </c>
      <c r="L3048" s="1" t="s">
        <v>16923</v>
      </c>
      <c r="M3048" s="2" t="s">
        <v>12</v>
      </c>
      <c r="N3048" s="4">
        <f t="shared" si="1"/>
        <v>43833</v>
      </c>
      <c r="O3048" s="5" t="str">
        <f>IFERROR(__xludf.DUMMYFUNCTION("IF(REGEXMATCH(TRIM(I3048), ""^\d+\s*min""), ""Unclassified"", IF(I3048 = """", ""NR"", I3048))"),"TV-14")</f>
        <v>TV-14</v>
      </c>
      <c r="R3048" s="5" t="str">
        <f t="shared" si="2"/>
        <v>All The Freckles In The World</v>
      </c>
      <c r="S3048" s="5" t="str">
        <f>IFERROR(__xludf.DUMMYFUNCTION("""COMPUTED_VALUE"""),"Hero Mask")</f>
        <v>Hero Mask</v>
      </c>
      <c r="U3048" s="5" t="str">
        <f>IFERROR(__xludf.DUMMYFUNCTION("""COMPUTED_VALUE"""),"Natalie Portman")</f>
        <v>Natalie Portman</v>
      </c>
      <c r="V3048" s="5" t="s">
        <v>15304</v>
      </c>
      <c r="W3048" s="5" t="str">
        <f t="shared" si="3"/>
        <v>Nikkhil Advani</v>
      </c>
      <c r="X3048" s="5">
        <f t="shared" si="4"/>
        <v>1</v>
      </c>
      <c r="Y3048" s="5" t="str">
        <f>IFERROR(__xludf.DUMMYFUNCTION("REGEXEXTRACT(J3048, ""^\d+"")"),"90")</f>
        <v>90</v>
      </c>
      <c r="Z3048" s="5" t="str">
        <f>IFERROR(__xludf.DUMMYFUNCTION("REGEXEXTRACT(J3048, ""[A-Za-z ]+$"")")," min")</f>
        <v> min</v>
      </c>
      <c r="AA3048" s="5" t="str">
        <f>IFERROR(__xludf.DUMMYFUNCTION("IF(REGEXMATCH(Z3048, ""Season""), ""TV Show"", ""Movie"")"),"Movie")</f>
        <v>Movie</v>
      </c>
    </row>
    <row r="3049">
      <c r="A3049" s="1" t="s">
        <v>16924</v>
      </c>
      <c r="B3049" s="1" t="s">
        <v>37</v>
      </c>
      <c r="C3049" s="1" t="s">
        <v>16925</v>
      </c>
      <c r="E3049" s="1" t="s">
        <v>16926</v>
      </c>
      <c r="F3049" s="1" t="s">
        <v>1106</v>
      </c>
      <c r="G3049" s="1" t="s">
        <v>16922</v>
      </c>
      <c r="H3049" s="1">
        <v>2019.0</v>
      </c>
      <c r="I3049" s="1" t="s">
        <v>136</v>
      </c>
      <c r="J3049" s="1" t="s">
        <v>276</v>
      </c>
      <c r="K3049" s="1" t="s">
        <v>1830</v>
      </c>
      <c r="L3049" s="1" t="s">
        <v>16927</v>
      </c>
      <c r="M3049" s="2" t="s">
        <v>12</v>
      </c>
      <c r="N3049" s="4">
        <f t="shared" si="1"/>
        <v>43833</v>
      </c>
      <c r="O3049" s="5" t="str">
        <f>IFERROR(__xludf.DUMMYFUNCTION("IF(REGEXMATCH(TRIM(I3049), ""^\d+\s*min""), ""Unclassified"", IF(I3049 = """", ""NR"", I3049))"),"TV-PG")</f>
        <v>TV-PG</v>
      </c>
      <c r="R3049" s="5" t="str">
        <f t="shared" si="2"/>
        <v>Anne With An E</v>
      </c>
      <c r="S3049" s="5" t="str">
        <f>IFERROR(__xludf.DUMMYFUNCTION("""COMPUTED_VALUE"""),"Héroes")</f>
        <v>Héroes</v>
      </c>
      <c r="U3049" s="5" t="str">
        <f>IFERROR(__xludf.DUMMYFUNCTION("""COMPUTED_VALUE"""),"Martin Lawrence")</f>
        <v>Martin Lawrence</v>
      </c>
      <c r="V3049" s="5" t="s">
        <v>16928</v>
      </c>
      <c r="W3049" s="5" t="str">
        <f t="shared" si="3"/>
        <v>Nila Madhab Panda</v>
      </c>
      <c r="X3049" s="5">
        <f t="shared" si="4"/>
        <v>3</v>
      </c>
      <c r="Y3049" s="5" t="str">
        <f>IFERROR(__xludf.DUMMYFUNCTION("REGEXEXTRACT(J3049, ""^\d+"")"),"3")</f>
        <v>3</v>
      </c>
      <c r="Z3049" s="5" t="str">
        <f>IFERROR(__xludf.DUMMYFUNCTION("REGEXEXTRACT(J3049, ""[A-Za-z ]+$"")")," Seasons")</f>
        <v> Seasons</v>
      </c>
      <c r="AA3049" s="5" t="str">
        <f>IFERROR(__xludf.DUMMYFUNCTION("IF(REGEXMATCH(Z3049, ""Season""), ""TV Show"", ""Movie"")"),"TV Show")</f>
        <v>TV Show</v>
      </c>
    </row>
    <row r="3050">
      <c r="A3050" s="1" t="s">
        <v>16929</v>
      </c>
      <c r="B3050" s="1" t="s">
        <v>27</v>
      </c>
      <c r="C3050" s="1" t="s">
        <v>16930</v>
      </c>
      <c r="D3050" s="1" t="s">
        <v>14278</v>
      </c>
      <c r="E3050" s="1" t="s">
        <v>16931</v>
      </c>
      <c r="F3050" s="1" t="s">
        <v>63</v>
      </c>
      <c r="G3050" s="1" t="s">
        <v>16932</v>
      </c>
      <c r="H3050" s="1">
        <v>2017.0</v>
      </c>
      <c r="I3050" s="1" t="s">
        <v>97</v>
      </c>
      <c r="J3050" s="1" t="s">
        <v>1273</v>
      </c>
      <c r="K3050" s="1" t="s">
        <v>679</v>
      </c>
      <c r="L3050" s="1" t="s">
        <v>16933</v>
      </c>
      <c r="M3050" s="2" t="s">
        <v>12</v>
      </c>
      <c r="N3050" s="4">
        <f t="shared" si="1"/>
        <v>43832</v>
      </c>
      <c r="O3050" s="5" t="str">
        <f>IFERROR(__xludf.DUMMYFUNCTION("IF(REGEXMATCH(TRIM(I3050), ""^\d+\s*min""), ""Unclassified"", IF(I3050 = """", ""NR"", I3050))"),"TV-14")</f>
        <v>TV-14</v>
      </c>
      <c r="R3050" s="5" t="str">
        <f t="shared" si="2"/>
        <v>Half Girlfriend</v>
      </c>
      <c r="S3050" s="5" t="str">
        <f>IFERROR(__xludf.DUMMYFUNCTION("""COMPUTED_VALUE"""),"Heroes Of Goo Jit Zu")</f>
        <v>Heroes Of Goo Jit Zu</v>
      </c>
      <c r="U3050" s="5" t="str">
        <f>IFERROR(__xludf.DUMMYFUNCTION("""COMPUTED_VALUE"""),"Adam Shankman")</f>
        <v>Adam Shankman</v>
      </c>
      <c r="V3050" s="5" t="s">
        <v>16934</v>
      </c>
      <c r="W3050" s="5" t="str">
        <f t="shared" si="3"/>
        <v>Nils Tavernier</v>
      </c>
      <c r="X3050" s="5">
        <f t="shared" si="4"/>
        <v>1</v>
      </c>
      <c r="Y3050" s="5" t="str">
        <f>IFERROR(__xludf.DUMMYFUNCTION("REGEXEXTRACT(J3050, ""^\d+"")"),"129")</f>
        <v>129</v>
      </c>
      <c r="Z3050" s="5" t="str">
        <f>IFERROR(__xludf.DUMMYFUNCTION("REGEXEXTRACT(J3050, ""[A-Za-z ]+$"")")," min")</f>
        <v> min</v>
      </c>
      <c r="AA3050" s="5" t="str">
        <f>IFERROR(__xludf.DUMMYFUNCTION("IF(REGEXMATCH(Z3050, ""Season""), ""TV Show"", ""Movie"")"),"Movie")</f>
        <v>Movie</v>
      </c>
    </row>
    <row r="3051">
      <c r="A3051" s="1" t="s">
        <v>16935</v>
      </c>
      <c r="B3051" s="1" t="s">
        <v>37</v>
      </c>
      <c r="C3051" s="1" t="s">
        <v>16936</v>
      </c>
      <c r="E3051" s="1" t="s">
        <v>16937</v>
      </c>
      <c r="F3051" s="1" t="s">
        <v>30</v>
      </c>
      <c r="G3051" s="1" t="s">
        <v>16932</v>
      </c>
      <c r="H3051" s="1">
        <v>2020.0</v>
      </c>
      <c r="I3051" s="1" t="s">
        <v>42</v>
      </c>
      <c r="J3051" s="1" t="s">
        <v>51</v>
      </c>
      <c r="K3051" s="1" t="s">
        <v>736</v>
      </c>
      <c r="L3051" s="1" t="s">
        <v>16938</v>
      </c>
      <c r="M3051" s="2" t="s">
        <v>12</v>
      </c>
      <c r="N3051" s="4">
        <f t="shared" si="1"/>
        <v>43832</v>
      </c>
      <c r="O3051" s="5" t="str">
        <f>IFERROR(__xludf.DUMMYFUNCTION("IF(REGEXMATCH(TRIM(I3051), ""^\d+\s*min""), ""Unclassified"", IF(I3051 = """", ""NR"", I3051))"),"TV-MA")</f>
        <v>TV-MA</v>
      </c>
      <c r="R3051" s="5" t="str">
        <f t="shared" si="2"/>
        <v>Sex, Explained</v>
      </c>
      <c r="S3051" s="5" t="str">
        <f>IFERROR(__xludf.DUMMYFUNCTION("""COMPUTED_VALUE"""),"Heroes Wanted")</f>
        <v>Heroes Wanted</v>
      </c>
      <c r="U3051" s="5" t="str">
        <f>IFERROR(__xludf.DUMMYFUNCTION("""COMPUTED_VALUE"""),"Gregory Caruso")</f>
        <v>Gregory Caruso</v>
      </c>
      <c r="V3051" s="5" t="s">
        <v>2999</v>
      </c>
      <c r="W3051" s="5" t="str">
        <f t="shared" si="3"/>
        <v>Nima Nourizadeh</v>
      </c>
      <c r="X3051" s="5">
        <f t="shared" si="4"/>
        <v>1</v>
      </c>
      <c r="Y3051" s="5" t="str">
        <f>IFERROR(__xludf.DUMMYFUNCTION("REGEXEXTRACT(J3051, ""^\d+"")"),"1")</f>
        <v>1</v>
      </c>
      <c r="Z3051" s="5" t="str">
        <f>IFERROR(__xludf.DUMMYFUNCTION("REGEXEXTRACT(J3051, ""[A-Za-z ]+$"")")," Season")</f>
        <v> Season</v>
      </c>
      <c r="AA3051" s="5" t="str">
        <f>IFERROR(__xludf.DUMMYFUNCTION("IF(REGEXMATCH(Z3051, ""Season""), ""TV Show"", ""Movie"")"),"TV Show")</f>
        <v>TV Show</v>
      </c>
    </row>
    <row r="3052">
      <c r="A3052" s="1" t="s">
        <v>16939</v>
      </c>
      <c r="B3052" s="1" t="s">
        <v>37</v>
      </c>
      <c r="C3052" s="1" t="s">
        <v>16940</v>
      </c>
      <c r="E3052" s="1" t="s">
        <v>16941</v>
      </c>
      <c r="F3052" s="1" t="s">
        <v>671</v>
      </c>
      <c r="G3052" s="1" t="s">
        <v>16932</v>
      </c>
      <c r="H3052" s="1">
        <v>2019.0</v>
      </c>
      <c r="I3052" s="1" t="s">
        <v>42</v>
      </c>
      <c r="J3052" s="1" t="s">
        <v>51</v>
      </c>
      <c r="K3052" s="1" t="s">
        <v>190</v>
      </c>
      <c r="L3052" s="1" t="s">
        <v>16942</v>
      </c>
      <c r="M3052" s="2" t="s">
        <v>12</v>
      </c>
      <c r="N3052" s="4">
        <f t="shared" si="1"/>
        <v>43832</v>
      </c>
      <c r="O3052" s="5" t="str">
        <f>IFERROR(__xludf.DUMMYFUNCTION("IF(REGEXMATCH(TRIM(I3052), ""^\d+\s*min""), ""Unclassified"", IF(I3052 = """", ""NR"", I3052))"),"TV-MA")</f>
        <v>TV-MA</v>
      </c>
      <c r="R3052" s="5" t="str">
        <f t="shared" si="2"/>
        <v>Thieves Of The Wood</v>
      </c>
      <c r="S3052" s="5" t="str">
        <f>IFERROR(__xludf.DUMMYFUNCTION("""COMPUTED_VALUE"""),"Heroes: Silence And Rock &amp; Roll")</f>
        <v>Heroes: Silence And Rock &amp; Roll</v>
      </c>
      <c r="U3052" s="5" t="str">
        <f>IFERROR(__xludf.DUMMYFUNCTION("""COMPUTED_VALUE"""),"Rusty Nixon")</f>
        <v>Rusty Nixon</v>
      </c>
      <c r="V3052" s="5" t="s">
        <v>10345</v>
      </c>
      <c r="W3052" s="5" t="str">
        <f t="shared" si="3"/>
        <v>Nimród Antal</v>
      </c>
      <c r="X3052" s="5">
        <f t="shared" si="4"/>
        <v>1</v>
      </c>
      <c r="Y3052" s="5" t="str">
        <f>IFERROR(__xludf.DUMMYFUNCTION("REGEXEXTRACT(J3052, ""^\d+"")"),"1")</f>
        <v>1</v>
      </c>
      <c r="Z3052" s="5" t="str">
        <f>IFERROR(__xludf.DUMMYFUNCTION("REGEXEXTRACT(J3052, ""[A-Za-z ]+$"")")," Season")</f>
        <v> Season</v>
      </c>
      <c r="AA3052" s="5" t="str">
        <f>IFERROR(__xludf.DUMMYFUNCTION("IF(REGEXMATCH(Z3052, ""Season""), ""TV Show"", ""Movie"")"),"TV Show")</f>
        <v>TV Show</v>
      </c>
    </row>
    <row r="3053">
      <c r="A3053" s="1" t="s">
        <v>16943</v>
      </c>
      <c r="B3053" s="1" t="s">
        <v>27</v>
      </c>
      <c r="C3053" s="1" t="s">
        <v>16944</v>
      </c>
      <c r="D3053" s="1" t="s">
        <v>6875</v>
      </c>
      <c r="E3053" s="1" t="s">
        <v>16945</v>
      </c>
      <c r="F3053" s="1" t="s">
        <v>16946</v>
      </c>
      <c r="G3053" s="1" t="s">
        <v>16947</v>
      </c>
      <c r="H3053" s="1">
        <v>2018.0</v>
      </c>
      <c r="I3053" s="1" t="s">
        <v>97</v>
      </c>
      <c r="J3053" s="1" t="s">
        <v>256</v>
      </c>
      <c r="K3053" s="1" t="s">
        <v>128</v>
      </c>
      <c r="L3053" s="1" t="s">
        <v>16948</v>
      </c>
      <c r="M3053" s="2" t="s">
        <v>12</v>
      </c>
      <c r="N3053" s="4">
        <f t="shared" si="1"/>
        <v>43831</v>
      </c>
      <c r="O3053" s="5" t="str">
        <f>IFERROR(__xludf.DUMMYFUNCTION("IF(REGEXMATCH(TRIM(I3053), ""^\d+\s*min""), ""Unclassified"", IF(I3053 = """", ""NR"", I3053))"),"TV-14")</f>
        <v>TV-14</v>
      </c>
      <c r="R3053" s="5" t="str">
        <f t="shared" si="2"/>
        <v>Aruna &amp; Her Palate</v>
      </c>
      <c r="S3053" s="5" t="str">
        <f>IFERROR(__xludf.DUMMYFUNCTION("""COMPUTED_VALUE"""),"Heroin(E)")</f>
        <v>Heroin(E)</v>
      </c>
      <c r="U3053" s="5" t="str">
        <f>IFERROR(__xludf.DUMMYFUNCTION("""COMPUTED_VALUE"""),"Oliver Daly")</f>
        <v>Oliver Daly</v>
      </c>
      <c r="V3053" s="5" t="s">
        <v>16949</v>
      </c>
      <c r="W3053" s="5" t="str">
        <f t="shared" si="3"/>
        <v>Nirpal Bhogal</v>
      </c>
      <c r="X3053" s="5">
        <f t="shared" si="4"/>
        <v>1</v>
      </c>
      <c r="Y3053" s="5" t="str">
        <f>IFERROR(__xludf.DUMMYFUNCTION("REGEXEXTRACT(J3053, ""^\d+"")"),"106")</f>
        <v>106</v>
      </c>
      <c r="Z3053" s="5" t="str">
        <f>IFERROR(__xludf.DUMMYFUNCTION("REGEXEXTRACT(J3053, ""[A-Za-z ]+$"")")," min")</f>
        <v> min</v>
      </c>
      <c r="AA3053" s="5" t="str">
        <f>IFERROR(__xludf.DUMMYFUNCTION("IF(REGEXMATCH(Z3053, ""Season""), ""TV Show"", ""Movie"")"),"Movie")</f>
        <v>Movie</v>
      </c>
    </row>
    <row r="3054">
      <c r="A3054" s="1" t="s">
        <v>16950</v>
      </c>
      <c r="B3054" s="1" t="s">
        <v>37</v>
      </c>
      <c r="C3054" s="1" t="s">
        <v>16951</v>
      </c>
      <c r="E3054" s="1" t="s">
        <v>16952</v>
      </c>
      <c r="F3054" s="1" t="s">
        <v>749</v>
      </c>
      <c r="G3054" s="1" t="s">
        <v>16947</v>
      </c>
      <c r="H3054" s="1">
        <v>2017.0</v>
      </c>
      <c r="I3054" s="1" t="s">
        <v>97</v>
      </c>
      <c r="J3054" s="1" t="s">
        <v>51</v>
      </c>
      <c r="K3054" s="1" t="s">
        <v>7164</v>
      </c>
      <c r="L3054" s="1" t="s">
        <v>16953</v>
      </c>
      <c r="M3054" s="2" t="s">
        <v>12</v>
      </c>
      <c r="N3054" s="4">
        <f t="shared" si="1"/>
        <v>43831</v>
      </c>
      <c r="O3054" s="5" t="str">
        <f>IFERROR(__xludf.DUMMYFUNCTION("IF(REGEXMATCH(TRIM(I3054), ""^\d+\s*min""), ""Unclassified"", IF(I3054 = """", ""NR"", I3054))"),"TV-14")</f>
        <v>TV-14</v>
      </c>
      <c r="R3054" s="5" t="str">
        <f t="shared" si="2"/>
        <v>Because This Is My First Life</v>
      </c>
      <c r="S3054" s="5" t="str">
        <f>IFERROR(__xludf.DUMMYFUNCTION("""COMPUTED_VALUE"""),"Heroine")</f>
        <v>Heroine</v>
      </c>
      <c r="U3054" s="5" t="str">
        <f>IFERROR(__xludf.DUMMYFUNCTION("""COMPUTED_VALUE"""),"Midhun Manuel Thomas")</f>
        <v>Midhun Manuel Thomas</v>
      </c>
      <c r="V3054" s="5" t="s">
        <v>16954</v>
      </c>
      <c r="W3054" s="5" t="str">
        <f t="shared" si="3"/>
        <v>Nishanth Ravindaran, Jathin Sanker Raj</v>
      </c>
      <c r="X3054" s="5">
        <f t="shared" si="4"/>
        <v>1</v>
      </c>
      <c r="Y3054" s="5" t="str">
        <f>IFERROR(__xludf.DUMMYFUNCTION("REGEXEXTRACT(J3054, ""^\d+"")"),"1")</f>
        <v>1</v>
      </c>
      <c r="Z3054" s="5" t="str">
        <f>IFERROR(__xludf.DUMMYFUNCTION("REGEXEXTRACT(J3054, ""[A-Za-z ]+$"")")," Season")</f>
        <v> Season</v>
      </c>
      <c r="AA3054" s="5" t="str">
        <f>IFERROR(__xludf.DUMMYFUNCTION("IF(REGEXMATCH(Z3054, ""Season""), ""TV Show"", ""Movie"")"),"TV Show")</f>
        <v>TV Show</v>
      </c>
    </row>
    <row r="3055">
      <c r="A3055" s="1" t="s">
        <v>16955</v>
      </c>
      <c r="B3055" s="1" t="s">
        <v>37</v>
      </c>
      <c r="C3055" s="1" t="s">
        <v>16956</v>
      </c>
      <c r="F3055" s="1" t="s">
        <v>1106</v>
      </c>
      <c r="G3055" s="1" t="s">
        <v>16947</v>
      </c>
      <c r="H3055" s="1">
        <v>2018.0</v>
      </c>
      <c r="I3055" s="1" t="s">
        <v>97</v>
      </c>
      <c r="J3055" s="1" t="s">
        <v>51</v>
      </c>
      <c r="K3055" s="1" t="s">
        <v>16957</v>
      </c>
      <c r="L3055" s="1" t="s">
        <v>16958</v>
      </c>
      <c r="M3055" s="2" t="s">
        <v>12</v>
      </c>
      <c r="N3055" s="4">
        <f t="shared" si="1"/>
        <v>43831</v>
      </c>
      <c r="O3055" s="5" t="str">
        <f>IFERROR(__xludf.DUMMYFUNCTION("IF(REGEXMATCH(TRIM(I3055), ""^\d+\s*min""), ""Unclassified"", IF(I3055 = """", ""NR"", I3055))"),"TV-14")</f>
        <v>TV-14</v>
      </c>
      <c r="R3055" s="5" t="str">
        <f t="shared" si="2"/>
        <v>Border Security: America'S Front Line</v>
      </c>
      <c r="S3055" s="5" t="str">
        <f>IFERROR(__xludf.DUMMYFUNCTION("""COMPUTED_VALUE"""),"Herrens Veje")</f>
        <v>Herrens Veje</v>
      </c>
      <c r="U3055" s="5" t="str">
        <f>IFERROR(__xludf.DUMMYFUNCTION("""COMPUTED_VALUE"""),"Chandrakant Kulkarni")</f>
        <v>Chandrakant Kulkarni</v>
      </c>
      <c r="V3055" s="5" t="s">
        <v>16959</v>
      </c>
      <c r="W3055" s="5" t="str">
        <f t="shared" si="3"/>
        <v>Nisheeta Keni</v>
      </c>
      <c r="X3055" s="5">
        <f t="shared" si="4"/>
        <v>1</v>
      </c>
      <c r="Y3055" s="5" t="str">
        <f>IFERROR(__xludf.DUMMYFUNCTION("REGEXEXTRACT(J3055, ""^\d+"")"),"1")</f>
        <v>1</v>
      </c>
      <c r="Z3055" s="5" t="str">
        <f>IFERROR(__xludf.DUMMYFUNCTION("REGEXEXTRACT(J3055, ""[A-Za-z ]+$"")")," Season")</f>
        <v> Season</v>
      </c>
      <c r="AA3055" s="5" t="str">
        <f>IFERROR(__xludf.DUMMYFUNCTION("IF(REGEXMATCH(Z3055, ""Season""), ""TV Show"", ""Movie"")"),"TV Show")</f>
        <v>TV Show</v>
      </c>
    </row>
    <row r="3056">
      <c r="A3056" s="1" t="s">
        <v>16960</v>
      </c>
      <c r="B3056" s="1" t="s">
        <v>27</v>
      </c>
      <c r="C3056" s="1" t="s">
        <v>16961</v>
      </c>
      <c r="D3056" s="1" t="s">
        <v>16962</v>
      </c>
      <c r="E3056" s="1" t="s">
        <v>16963</v>
      </c>
      <c r="F3056" s="1" t="s">
        <v>96</v>
      </c>
      <c r="G3056" s="1" t="s">
        <v>16947</v>
      </c>
      <c r="H3056" s="1">
        <v>2014.0</v>
      </c>
      <c r="I3056" s="1" t="s">
        <v>136</v>
      </c>
      <c r="J3056" s="1" t="s">
        <v>305</v>
      </c>
      <c r="K3056" s="1" t="s">
        <v>199</v>
      </c>
      <c r="L3056" s="1" t="s">
        <v>16964</v>
      </c>
      <c r="M3056" s="2" t="s">
        <v>12</v>
      </c>
      <c r="N3056" s="4">
        <f t="shared" si="1"/>
        <v>43831</v>
      </c>
      <c r="O3056" s="5" t="str">
        <f>IFERROR(__xludf.DUMMYFUNCTION("IF(REGEXMATCH(TRIM(I3056), ""^\d+\s*min""), ""Unclassified"", IF(I3056 = """", ""NR"", I3056))"),"TV-PG")</f>
        <v>TV-PG</v>
      </c>
      <c r="R3056" s="5" t="str">
        <f t="shared" si="2"/>
        <v>Breaking The Bank</v>
      </c>
      <c r="S3056" s="5" t="str">
        <f>IFERROR(__xludf.DUMMYFUNCTION("""COMPUTED_VALUE"""),"Hey Arnold! The Jungle Movie")</f>
        <v>Hey Arnold! The Jungle Movie</v>
      </c>
      <c r="U3056" s="5" t="str">
        <f>IFERROR(__xludf.DUMMYFUNCTION("""COMPUTED_VALUE"""),"Uttung Shelar")</f>
        <v>Uttung Shelar</v>
      </c>
      <c r="V3056" s="5" t="s">
        <v>12917</v>
      </c>
      <c r="W3056" s="5" t="str">
        <f t="shared" si="3"/>
        <v>Nishikant Kamat</v>
      </c>
      <c r="X3056" s="5">
        <f t="shared" si="4"/>
        <v>4</v>
      </c>
      <c r="Y3056" s="5" t="str">
        <f>IFERROR(__xludf.DUMMYFUNCTION("REGEXEXTRACT(J3056, ""^\d+"")"),"105")</f>
        <v>105</v>
      </c>
      <c r="Z3056" s="5" t="str">
        <f>IFERROR(__xludf.DUMMYFUNCTION("REGEXEXTRACT(J3056, ""[A-Za-z ]+$"")")," min")</f>
        <v> min</v>
      </c>
      <c r="AA3056" s="5" t="str">
        <f>IFERROR(__xludf.DUMMYFUNCTION("IF(REGEXMATCH(Z3056, ""Season""), ""TV Show"", ""Movie"")"),"Movie")</f>
        <v>Movie</v>
      </c>
    </row>
    <row r="3057">
      <c r="A3057" s="1" t="s">
        <v>16965</v>
      </c>
      <c r="B3057" s="1" t="s">
        <v>37</v>
      </c>
      <c r="C3057" s="1" t="s">
        <v>16966</v>
      </c>
      <c r="E3057" s="1" t="s">
        <v>16967</v>
      </c>
      <c r="F3057" s="1" t="s">
        <v>415</v>
      </c>
      <c r="G3057" s="1" t="s">
        <v>16947</v>
      </c>
      <c r="H3057" s="1">
        <v>2018.0</v>
      </c>
      <c r="I3057" s="1" t="s">
        <v>136</v>
      </c>
      <c r="J3057" s="1" t="s">
        <v>51</v>
      </c>
      <c r="K3057" s="1" t="s">
        <v>16968</v>
      </c>
      <c r="L3057" s="1" t="s">
        <v>16969</v>
      </c>
      <c r="M3057" s="2" t="s">
        <v>12</v>
      </c>
      <c r="N3057" s="4">
        <f t="shared" si="1"/>
        <v>43831</v>
      </c>
      <c r="O3057" s="5" t="str">
        <f>IFERROR(__xludf.DUMMYFUNCTION("IF(REGEXMATCH(TRIM(I3057), ""^\d+\s*min""), ""Unclassified"", IF(I3057 = """", ""NR"", I3057))"),"TV-PG")</f>
        <v>TV-PG</v>
      </c>
      <c r="R3057" s="5" t="str">
        <f t="shared" si="2"/>
        <v>Cells At Work!</v>
      </c>
      <c r="S3057" s="5" t="str">
        <f>IFERROR(__xludf.DUMMYFUNCTION("""COMPUTED_VALUE"""),"Hi Bye, Mama!")</f>
        <v>Hi Bye, Mama!</v>
      </c>
      <c r="U3057" s="5" t="str">
        <f>IFERROR(__xludf.DUMMYFUNCTION("""COMPUTED_VALUE"""),"Jung-Ah Im, Seung-Uk Jo")</f>
        <v>Jung-Ah Im, Seung-Uk Jo</v>
      </c>
      <c r="V3057" s="5" t="s">
        <v>16970</v>
      </c>
      <c r="W3057" s="5" t="str">
        <f t="shared" si="3"/>
        <v>Nishil Sheth</v>
      </c>
      <c r="X3057" s="5">
        <f t="shared" si="4"/>
        <v>1</v>
      </c>
      <c r="Y3057" s="5" t="str">
        <f>IFERROR(__xludf.DUMMYFUNCTION("REGEXEXTRACT(J3057, ""^\d+"")"),"1")</f>
        <v>1</v>
      </c>
      <c r="Z3057" s="5" t="str">
        <f>IFERROR(__xludf.DUMMYFUNCTION("REGEXEXTRACT(J3057, ""[A-Za-z ]+$"")")," Season")</f>
        <v> Season</v>
      </c>
      <c r="AA3057" s="5" t="str">
        <f>IFERROR(__xludf.DUMMYFUNCTION("IF(REGEXMATCH(Z3057, ""Season""), ""TV Show"", ""Movie"")"),"TV Show")</f>
        <v>TV Show</v>
      </c>
    </row>
    <row r="3058">
      <c r="A3058" s="1" t="s">
        <v>16971</v>
      </c>
      <c r="B3058" s="1" t="s">
        <v>37</v>
      </c>
      <c r="C3058" s="1" t="s">
        <v>16972</v>
      </c>
      <c r="E3058" s="1" t="s">
        <v>16973</v>
      </c>
      <c r="G3058" s="1" t="s">
        <v>16947</v>
      </c>
      <c r="H3058" s="1">
        <v>2019.0</v>
      </c>
      <c r="I3058" s="1" t="s">
        <v>289</v>
      </c>
      <c r="J3058" s="1" t="s">
        <v>51</v>
      </c>
      <c r="K3058" s="1" t="s">
        <v>290</v>
      </c>
      <c r="L3058" s="1" t="s">
        <v>16974</v>
      </c>
      <c r="M3058" s="2" t="s">
        <v>12</v>
      </c>
      <c r="N3058" s="4">
        <f t="shared" si="1"/>
        <v>43831</v>
      </c>
      <c r="O3058" s="5" t="str">
        <f>IFERROR(__xludf.DUMMYFUNCTION("IF(REGEXMATCH(TRIM(I3058), ""^\d+\s*min""), ""Unclassified"", IF(I3058 = """", ""NR"", I3058))"),"TV-Y7")</f>
        <v>TV-Y7</v>
      </c>
      <c r="R3058" s="5" t="str">
        <f t="shared" si="2"/>
        <v>Chhota Bheem Kung Fu Dhamaka Series</v>
      </c>
      <c r="S3058" s="5" t="str">
        <f>IFERROR(__xludf.DUMMYFUNCTION("""COMPUTED_VALUE"""),"Hi Score Girl")</f>
        <v>Hi Score Girl</v>
      </c>
      <c r="U3058" s="5" t="str">
        <f>IFERROR(__xludf.DUMMYFUNCTION("""COMPUTED_VALUE"""),"Chad Van De Keere")</f>
        <v>Chad Van De Keere</v>
      </c>
      <c r="V3058" s="5" t="s">
        <v>16975</v>
      </c>
      <c r="W3058" s="5" t="str">
        <f t="shared" si="3"/>
        <v>Nitesh Tiwari</v>
      </c>
      <c r="X3058" s="5">
        <f t="shared" si="4"/>
        <v>1</v>
      </c>
      <c r="Y3058" s="5" t="str">
        <f>IFERROR(__xludf.DUMMYFUNCTION("REGEXEXTRACT(J3058, ""^\d+"")"),"1")</f>
        <v>1</v>
      </c>
      <c r="Z3058" s="5" t="str">
        <f>IFERROR(__xludf.DUMMYFUNCTION("REGEXEXTRACT(J3058, ""[A-Za-z ]+$"")")," Season")</f>
        <v> Season</v>
      </c>
      <c r="AA3058" s="5" t="str">
        <f>IFERROR(__xludf.DUMMYFUNCTION("IF(REGEXMATCH(Z3058, ""Season""), ""TV Show"", ""Movie"")"),"TV Show")</f>
        <v>TV Show</v>
      </c>
    </row>
    <row r="3059">
      <c r="A3059" s="1" t="s">
        <v>16976</v>
      </c>
      <c r="B3059" s="1" t="s">
        <v>27</v>
      </c>
      <c r="C3059" s="1" t="s">
        <v>16977</v>
      </c>
      <c r="D3059" s="1" t="s">
        <v>14816</v>
      </c>
      <c r="E3059" s="1" t="s">
        <v>16978</v>
      </c>
      <c r="F3059" s="1" t="s">
        <v>30</v>
      </c>
      <c r="G3059" s="1" t="s">
        <v>16947</v>
      </c>
      <c r="H3059" s="1">
        <v>2007.0</v>
      </c>
      <c r="I3059" s="1" t="s">
        <v>206</v>
      </c>
      <c r="J3059" s="1" t="s">
        <v>1737</v>
      </c>
      <c r="K3059" s="1" t="s">
        <v>137</v>
      </c>
      <c r="L3059" s="1" t="s">
        <v>16979</v>
      </c>
      <c r="M3059" s="2" t="s">
        <v>12</v>
      </c>
      <c r="N3059" s="4">
        <f t="shared" si="1"/>
        <v>43831</v>
      </c>
      <c r="O3059" s="5" t="str">
        <f>IFERROR(__xludf.DUMMYFUNCTION("IF(REGEXMATCH(TRIM(I3059), ""^\d+\s*min""), ""Unclassified"", IF(I3059 = """", ""NR"", I3059))"),"TV-Y")</f>
        <v>TV-Y</v>
      </c>
      <c r="R3059" s="5" t="str">
        <f t="shared" si="2"/>
        <v>Garfield Gets Real</v>
      </c>
      <c r="S3059" s="5" t="str">
        <f>IFERROR(__xludf.DUMMYFUNCTION("""COMPUTED_VALUE"""),"Hibana: Spark")</f>
        <v>Hibana: Spark</v>
      </c>
      <c r="U3059" s="5" t="str">
        <f>IFERROR(__xludf.DUMMYFUNCTION("""COMPUTED_VALUE"""),"Chris Weitz, Paul Weitz")</f>
        <v>Chris Weitz, Paul Weitz</v>
      </c>
      <c r="V3059" s="5" t="s">
        <v>12095</v>
      </c>
      <c r="W3059" s="5" t="str">
        <f t="shared" si="3"/>
        <v>Niyi Akinmolayan</v>
      </c>
      <c r="X3059" s="5">
        <f t="shared" si="4"/>
        <v>5</v>
      </c>
      <c r="Y3059" s="5" t="str">
        <f>IFERROR(__xludf.DUMMYFUNCTION("REGEXEXTRACT(J3059, ""^\d+"")"),"78")</f>
        <v>78</v>
      </c>
      <c r="Z3059" s="5" t="str">
        <f>IFERROR(__xludf.DUMMYFUNCTION("REGEXEXTRACT(J3059, ""[A-Za-z ]+$"")")," min")</f>
        <v> min</v>
      </c>
      <c r="AA3059" s="5" t="str">
        <f>IFERROR(__xludf.DUMMYFUNCTION("IF(REGEXMATCH(Z3059, ""Season""), ""TV Show"", ""Movie"")"),"Movie")</f>
        <v>Movie</v>
      </c>
    </row>
    <row r="3060">
      <c r="A3060" s="1" t="s">
        <v>16980</v>
      </c>
      <c r="B3060" s="1" t="s">
        <v>27</v>
      </c>
      <c r="C3060" s="1" t="s">
        <v>16981</v>
      </c>
      <c r="D3060" s="1" t="s">
        <v>14811</v>
      </c>
      <c r="E3060" s="1" t="s">
        <v>16982</v>
      </c>
      <c r="F3060" s="1" t="s">
        <v>8283</v>
      </c>
      <c r="G3060" s="1" t="s">
        <v>16947</v>
      </c>
      <c r="H3060" s="1">
        <v>2008.0</v>
      </c>
      <c r="I3060" s="1" t="s">
        <v>289</v>
      </c>
      <c r="J3060" s="1" t="s">
        <v>6391</v>
      </c>
      <c r="K3060" s="1" t="s">
        <v>137</v>
      </c>
      <c r="L3060" s="1" t="s">
        <v>16983</v>
      </c>
      <c r="M3060" s="2" t="s">
        <v>12</v>
      </c>
      <c r="N3060" s="4">
        <f t="shared" si="1"/>
        <v>43831</v>
      </c>
      <c r="O3060" s="5" t="str">
        <f>IFERROR(__xludf.DUMMYFUNCTION("IF(REGEXMATCH(TRIM(I3060), ""^\d+\s*min""), ""Unclassified"", IF(I3060 = """", ""NR"", I3060))"),"TV-Y7")</f>
        <v>TV-Y7</v>
      </c>
      <c r="R3060" s="5" t="str">
        <f t="shared" si="2"/>
        <v>Garfield'S Fun Fest</v>
      </c>
      <c r="S3060" s="5" t="str">
        <f>IFERROR(__xludf.DUMMYFUNCTION("""COMPUTED_VALUE"""),"Hickok")</f>
        <v>Hickok</v>
      </c>
      <c r="U3060" s="5" t="str">
        <f>IFERROR(__xludf.DUMMYFUNCTION("""COMPUTED_VALUE"""),"Daniela Goggi")</f>
        <v>Daniela Goggi</v>
      </c>
      <c r="V3060" s="5" t="s">
        <v>16984</v>
      </c>
      <c r="W3060" s="5" t="str">
        <f t="shared" si="3"/>
        <v>Nizar Shafi</v>
      </c>
      <c r="X3060" s="5">
        <f t="shared" si="4"/>
        <v>1</v>
      </c>
      <c r="Y3060" s="5" t="str">
        <f>IFERROR(__xludf.DUMMYFUNCTION("REGEXEXTRACT(J3060, ""^\d+"")"),"79")</f>
        <v>79</v>
      </c>
      <c r="Z3060" s="5" t="str">
        <f>IFERROR(__xludf.DUMMYFUNCTION("REGEXEXTRACT(J3060, ""[A-Za-z ]+$"")")," min")</f>
        <v> min</v>
      </c>
      <c r="AA3060" s="5" t="str">
        <f>IFERROR(__xludf.DUMMYFUNCTION("IF(REGEXMATCH(Z3060, ""Season""), ""TV Show"", ""Movie"")"),"Movie")</f>
        <v>Movie</v>
      </c>
    </row>
    <row r="3061">
      <c r="A3061" s="1" t="s">
        <v>16985</v>
      </c>
      <c r="B3061" s="1" t="s">
        <v>27</v>
      </c>
      <c r="C3061" s="1" t="s">
        <v>16986</v>
      </c>
      <c r="D3061" s="1" t="s">
        <v>14806</v>
      </c>
      <c r="E3061" s="1" t="s">
        <v>16987</v>
      </c>
      <c r="F3061" s="1" t="s">
        <v>15770</v>
      </c>
      <c r="G3061" s="1" t="s">
        <v>16947</v>
      </c>
      <c r="H3061" s="1">
        <v>2009.0</v>
      </c>
      <c r="I3061" s="1" t="s">
        <v>770</v>
      </c>
      <c r="J3061" s="1" t="s">
        <v>1737</v>
      </c>
      <c r="K3061" s="1" t="s">
        <v>137</v>
      </c>
      <c r="L3061" s="1" t="s">
        <v>16988</v>
      </c>
      <c r="M3061" s="2" t="s">
        <v>12</v>
      </c>
      <c r="N3061" s="4">
        <f t="shared" si="1"/>
        <v>43831</v>
      </c>
      <c r="O3061" s="5" t="str">
        <f>IFERROR(__xludf.DUMMYFUNCTION("IF(REGEXMATCH(TRIM(I3061), ""^\d+\s*min""), ""Unclassified"", IF(I3061 = """", ""NR"", I3061))"),"G")</f>
        <v>G</v>
      </c>
      <c r="R3061" s="5" t="str">
        <f t="shared" si="2"/>
        <v>Garfield'S Pet Force</v>
      </c>
      <c r="S3061" s="5" t="str">
        <f>IFERROR(__xludf.DUMMYFUNCTION("""COMPUTED_VALUE"""),"Hidden In Plain Sight")</f>
        <v>Hidden In Plain Sight</v>
      </c>
      <c r="U3061" s="5" t="str">
        <f>IFERROR(__xludf.DUMMYFUNCTION("""COMPUTED_VALUE"""),"Alfonso Serrano Maturino")</f>
        <v>Alfonso Serrano Maturino</v>
      </c>
      <c r="V3061" s="5" t="s">
        <v>16989</v>
      </c>
      <c r="W3061" s="5" t="str">
        <f t="shared" si="3"/>
        <v>Noah Baumbach</v>
      </c>
      <c r="X3061" s="5">
        <f t="shared" si="4"/>
        <v>6</v>
      </c>
      <c r="Y3061" s="5" t="str">
        <f>IFERROR(__xludf.DUMMYFUNCTION("REGEXEXTRACT(J3061, ""^\d+"")"),"78")</f>
        <v>78</v>
      </c>
      <c r="Z3061" s="5" t="str">
        <f>IFERROR(__xludf.DUMMYFUNCTION("REGEXEXTRACT(J3061, ""[A-Za-z ]+$"")")," min")</f>
        <v> min</v>
      </c>
      <c r="AA3061" s="5" t="str">
        <f>IFERROR(__xludf.DUMMYFUNCTION("IF(REGEXMATCH(Z3061, ""Season""), ""TV Show"", ""Movie"")"),"Movie")</f>
        <v>Movie</v>
      </c>
    </row>
    <row r="3062">
      <c r="A3062" s="1" t="s">
        <v>16990</v>
      </c>
      <c r="B3062" s="1" t="s">
        <v>27</v>
      </c>
      <c r="C3062" s="1" t="s">
        <v>16991</v>
      </c>
      <c r="D3062" s="1" t="s">
        <v>2404</v>
      </c>
      <c r="E3062" s="1" t="s">
        <v>16992</v>
      </c>
      <c r="F3062" s="1" t="s">
        <v>63</v>
      </c>
      <c r="G3062" s="1" t="s">
        <v>16947</v>
      </c>
      <c r="H3062" s="1">
        <v>2020.0</v>
      </c>
      <c r="I3062" s="1" t="s">
        <v>42</v>
      </c>
      <c r="J3062" s="1" t="s">
        <v>582</v>
      </c>
      <c r="K3062" s="1" t="s">
        <v>1592</v>
      </c>
      <c r="L3062" s="1" t="s">
        <v>16993</v>
      </c>
      <c r="M3062" s="2" t="s">
        <v>12</v>
      </c>
      <c r="N3062" s="4">
        <f t="shared" si="1"/>
        <v>43831</v>
      </c>
      <c r="O3062" s="5" t="str">
        <f>IFERROR(__xludf.DUMMYFUNCTION("IF(REGEXMATCH(TRIM(I3062), ""^\d+\s*min""), ""Unclassified"", IF(I3062 = """", ""NR"", I3062))"),"TV-MA")</f>
        <v>TV-MA</v>
      </c>
      <c r="R3062" s="5" t="str">
        <f t="shared" si="2"/>
        <v>Ghost Stories</v>
      </c>
      <c r="S3062" s="5" t="str">
        <f>IFERROR(__xludf.DUMMYFUNCTION("""COMPUTED_VALUE"""),"Hidden Singer")</f>
        <v>Hidden Singer</v>
      </c>
      <c r="U3062" s="5" t="str">
        <f>IFERROR(__xludf.DUMMYFUNCTION("""COMPUTED_VALUE"""),"Julien Christian Lutz")</f>
        <v>Julien Christian Lutz</v>
      </c>
      <c r="V3062" s="5" t="s">
        <v>16994</v>
      </c>
      <c r="W3062" s="5" t="str">
        <f t="shared" si="3"/>
        <v>Noah Baumbach, Jake Paltrow</v>
      </c>
      <c r="X3062" s="5">
        <f t="shared" si="4"/>
        <v>1</v>
      </c>
      <c r="Y3062" s="5" t="str">
        <f>IFERROR(__xludf.DUMMYFUNCTION("REGEXEXTRACT(J3062, ""^\d+"")"),"145")</f>
        <v>145</v>
      </c>
      <c r="Z3062" s="5" t="str">
        <f>IFERROR(__xludf.DUMMYFUNCTION("REGEXEXTRACT(J3062, ""[A-Za-z ]+$"")")," min")</f>
        <v> min</v>
      </c>
      <c r="AA3062" s="5" t="str">
        <f>IFERROR(__xludf.DUMMYFUNCTION("IF(REGEXMATCH(Z3062, ""Season""), ""TV Show"", ""Movie"")"),"Movie")</f>
        <v>Movie</v>
      </c>
    </row>
    <row r="3063">
      <c r="A3063" s="1" t="s">
        <v>16995</v>
      </c>
      <c r="B3063" s="1" t="s">
        <v>27</v>
      </c>
      <c r="C3063" s="1" t="s">
        <v>16996</v>
      </c>
      <c r="D3063" s="1" t="s">
        <v>4424</v>
      </c>
      <c r="E3063" s="1" t="s">
        <v>16997</v>
      </c>
      <c r="F3063" s="1" t="s">
        <v>30</v>
      </c>
      <c r="G3063" s="1" t="s">
        <v>16947</v>
      </c>
      <c r="H3063" s="1">
        <v>2015.0</v>
      </c>
      <c r="I3063" s="1" t="s">
        <v>42</v>
      </c>
      <c r="J3063" s="1" t="s">
        <v>5650</v>
      </c>
      <c r="K3063" s="1" t="s">
        <v>1839</v>
      </c>
      <c r="L3063" s="1" t="s">
        <v>16998</v>
      </c>
      <c r="M3063" s="2" t="s">
        <v>12</v>
      </c>
      <c r="N3063" s="4">
        <f t="shared" si="1"/>
        <v>43831</v>
      </c>
      <c r="O3063" s="5" t="str">
        <f>IFERROR(__xludf.DUMMYFUNCTION("IF(REGEXMATCH(TRIM(I3063), ""^\d+\s*min""), ""Unclassified"", IF(I3063 = """", ""NR"", I3063))"),"TV-MA")</f>
        <v>TV-MA</v>
      </c>
      <c r="R3063" s="5" t="str">
        <f t="shared" si="2"/>
        <v>Jeff Dunham: Unhinged In Hollywood</v>
      </c>
      <c r="S3063" s="5" t="str">
        <f>IFERROR(__xludf.DUMMYFUNCTION("""COMPUTED_VALUE"""),"Hidden Worlds")</f>
        <v>Hidden Worlds</v>
      </c>
      <c r="U3063" s="5" t="str">
        <f>IFERROR(__xludf.DUMMYFUNCTION("""COMPUTED_VALUE"""),"Julie Taymor")</f>
        <v>Julie Taymor</v>
      </c>
      <c r="V3063" s="5" t="s">
        <v>16999</v>
      </c>
      <c r="W3063" s="5" t="str">
        <f t="shared" si="3"/>
        <v>Noah Moskin</v>
      </c>
      <c r="X3063" s="5">
        <f t="shared" si="4"/>
        <v>1</v>
      </c>
      <c r="Y3063" s="5" t="str">
        <f>IFERROR(__xludf.DUMMYFUNCTION("REGEXEXTRACT(J3063, ""^\d+"")"),"71")</f>
        <v>71</v>
      </c>
      <c r="Z3063" s="5" t="str">
        <f>IFERROR(__xludf.DUMMYFUNCTION("REGEXEXTRACT(J3063, ""[A-Za-z ]+$"")")," min")</f>
        <v> min</v>
      </c>
      <c r="AA3063" s="5" t="str">
        <f>IFERROR(__xludf.DUMMYFUNCTION("IF(REGEXMATCH(Z3063, ""Season""), ""TV Show"", ""Movie"")"),"Movie")</f>
        <v>Movie</v>
      </c>
    </row>
    <row r="3064">
      <c r="A3064" s="1" t="s">
        <v>17000</v>
      </c>
      <c r="B3064" s="1" t="s">
        <v>27</v>
      </c>
      <c r="C3064" s="1" t="s">
        <v>17001</v>
      </c>
      <c r="D3064" s="1" t="s">
        <v>11223</v>
      </c>
      <c r="E3064" s="1" t="s">
        <v>17002</v>
      </c>
      <c r="F3064" s="1" t="s">
        <v>17003</v>
      </c>
      <c r="G3064" s="1" t="s">
        <v>16947</v>
      </c>
      <c r="H3064" s="1">
        <v>2001.0</v>
      </c>
      <c r="I3064" s="1" t="s">
        <v>770</v>
      </c>
      <c r="J3064" s="1" t="s">
        <v>490</v>
      </c>
      <c r="K3064" s="1" t="s">
        <v>2155</v>
      </c>
      <c r="L3064" s="1" t="s">
        <v>17004</v>
      </c>
      <c r="M3064" s="2" t="s">
        <v>12</v>
      </c>
      <c r="N3064" s="4">
        <f t="shared" si="1"/>
        <v>43831</v>
      </c>
      <c r="O3064" s="5" t="str">
        <f>IFERROR(__xludf.DUMMYFUNCTION("IF(REGEXMATCH(TRIM(I3064), ""^\d+\s*min""), ""Unclassified"", IF(I3064 = """", ""NR"", I3064))"),"G")</f>
        <v>G</v>
      </c>
      <c r="R3064" s="5" t="str">
        <f t="shared" si="2"/>
        <v>Jimmy Neutron: Boy Genius</v>
      </c>
      <c r="S3064" s="5" t="str">
        <f>IFERROR(__xludf.DUMMYFUNCTION("""COMPUTED_VALUE"""),"Hide &amp; Seek")</f>
        <v>Hide &amp; Seek</v>
      </c>
      <c r="U3064" s="5" t="str">
        <f>IFERROR(__xludf.DUMMYFUNCTION("""COMPUTED_VALUE"""),"Mike Mccoy, Scott Waugh")</f>
        <v>Mike Mccoy, Scott Waugh</v>
      </c>
      <c r="V3064" s="5" t="s">
        <v>17005</v>
      </c>
      <c r="W3064" s="5" t="str">
        <f t="shared" si="3"/>
        <v>Noam Murro</v>
      </c>
      <c r="X3064" s="5">
        <f t="shared" si="4"/>
        <v>2</v>
      </c>
      <c r="Y3064" s="5" t="str">
        <f>IFERROR(__xludf.DUMMYFUNCTION("REGEXEXTRACT(J3064, ""^\d+"")"),"83")</f>
        <v>83</v>
      </c>
      <c r="Z3064" s="5" t="str">
        <f>IFERROR(__xludf.DUMMYFUNCTION("REGEXEXTRACT(J3064, ""[A-Za-z ]+$"")")," min")</f>
        <v> min</v>
      </c>
      <c r="AA3064" s="5" t="str">
        <f>IFERROR(__xludf.DUMMYFUNCTION("IF(REGEXMATCH(Z3064, ""Season""), ""TV Show"", ""Movie"")"),"Movie")</f>
        <v>Movie</v>
      </c>
    </row>
    <row r="3065">
      <c r="A3065" s="1" t="s">
        <v>17006</v>
      </c>
      <c r="B3065" s="1" t="s">
        <v>37</v>
      </c>
      <c r="C3065" s="1" t="s">
        <v>17007</v>
      </c>
      <c r="E3065" s="1" t="s">
        <v>17008</v>
      </c>
      <c r="F3065" s="1" t="s">
        <v>749</v>
      </c>
      <c r="G3065" s="1" t="s">
        <v>16947</v>
      </c>
      <c r="H3065" s="1">
        <v>2017.0</v>
      </c>
      <c r="I3065" s="1" t="s">
        <v>42</v>
      </c>
      <c r="J3065" s="1" t="s">
        <v>51</v>
      </c>
      <c r="K3065" s="1" t="s">
        <v>7164</v>
      </c>
      <c r="L3065" s="1" t="s">
        <v>17009</v>
      </c>
      <c r="M3065" s="2" t="s">
        <v>12</v>
      </c>
      <c r="N3065" s="4">
        <f t="shared" si="1"/>
        <v>43831</v>
      </c>
      <c r="O3065" s="5" t="str">
        <f>IFERROR(__xludf.DUMMYFUNCTION("IF(REGEXMATCH(TRIM(I3065), ""^\d+\s*min""), ""Unclassified"", IF(I3065 = """", ""NR"", I3065))"),"TV-MA")</f>
        <v>TV-MA</v>
      </c>
      <c r="R3065" s="5" t="str">
        <f t="shared" si="2"/>
        <v>Live Up To Your Name</v>
      </c>
      <c r="S3065" s="5" t="str">
        <f>IFERROR(__xludf.DUMMYFUNCTION("""COMPUTED_VALUE"""),"Hide And Seek")</f>
        <v>Hide And Seek</v>
      </c>
      <c r="U3065" s="5" t="str">
        <f>IFERROR(__xludf.DUMMYFUNCTION("""COMPUTED_VALUE"""),"Brett Donowho")</f>
        <v>Brett Donowho</v>
      </c>
      <c r="V3065" s="5" t="s">
        <v>7957</v>
      </c>
      <c r="W3065" s="5" t="str">
        <f t="shared" si="3"/>
        <v>Noé González</v>
      </c>
      <c r="X3065" s="5">
        <f t="shared" si="4"/>
        <v>1</v>
      </c>
      <c r="Y3065" s="5" t="str">
        <f>IFERROR(__xludf.DUMMYFUNCTION("REGEXEXTRACT(J3065, ""^\d+"")"),"1")</f>
        <v>1</v>
      </c>
      <c r="Z3065" s="5" t="str">
        <f>IFERROR(__xludf.DUMMYFUNCTION("REGEXEXTRACT(J3065, ""[A-Za-z ]+$"")")," Season")</f>
        <v> Season</v>
      </c>
      <c r="AA3065" s="5" t="str">
        <f>IFERROR(__xludf.DUMMYFUNCTION("IF(REGEXMATCH(Z3065, ""Season""), ""TV Show"", ""Movie"")"),"TV Show")</f>
        <v>TV Show</v>
      </c>
    </row>
    <row r="3066">
      <c r="A3066" s="1" t="s">
        <v>17010</v>
      </c>
      <c r="B3066" s="1" t="s">
        <v>27</v>
      </c>
      <c r="C3066" s="1" t="s">
        <v>17011</v>
      </c>
      <c r="D3066" s="1" t="s">
        <v>14005</v>
      </c>
      <c r="E3066" s="1" t="s">
        <v>17012</v>
      </c>
      <c r="G3066" s="1" t="s">
        <v>16947</v>
      </c>
      <c r="H3066" s="1">
        <v>2019.0</v>
      </c>
      <c r="I3066" s="1" t="s">
        <v>506</v>
      </c>
      <c r="J3066" s="1" t="s">
        <v>2452</v>
      </c>
      <c r="K3066" s="1" t="s">
        <v>1662</v>
      </c>
      <c r="L3066" s="1" t="s">
        <v>17013</v>
      </c>
      <c r="M3066" s="2" t="s">
        <v>12</v>
      </c>
      <c r="N3066" s="4">
        <f t="shared" si="1"/>
        <v>43831</v>
      </c>
      <c r="O3066" s="5" t="str">
        <f>IFERROR(__xludf.DUMMYFUNCTION("IF(REGEXMATCH(TRIM(I3066), ""^\d+\s*min""), ""Unclassified"", IF(I3066 = """", ""NR"", I3066))"),"TV-G")</f>
        <v>TV-G</v>
      </c>
      <c r="R3066" s="5" t="str">
        <f t="shared" si="2"/>
        <v>Luccas Neto In: Children'S Day</v>
      </c>
      <c r="S3066" s="5" t="str">
        <f>IFERROR(__xludf.DUMMYFUNCTION("""COMPUTED_VALUE"""),"High &amp; Low The Movie")</f>
        <v>High &amp; Low The Movie</v>
      </c>
      <c r="U3066" s="5" t="str">
        <f>IFERROR(__xludf.DUMMYFUNCTION("""COMPUTED_VALUE"""),"Thierry Donard")</f>
        <v>Thierry Donard</v>
      </c>
      <c r="V3066" s="5" t="s">
        <v>17014</v>
      </c>
      <c r="W3066" s="5" t="str">
        <f t="shared" si="3"/>
        <v>Noel Dockstader, Quinn Kanaly</v>
      </c>
      <c r="X3066" s="5">
        <f t="shared" si="4"/>
        <v>1</v>
      </c>
      <c r="Y3066" s="5" t="str">
        <f>IFERROR(__xludf.DUMMYFUNCTION("REGEXEXTRACT(J3066, ""^\d+"")"),"81")</f>
        <v>81</v>
      </c>
      <c r="Z3066" s="5" t="str">
        <f>IFERROR(__xludf.DUMMYFUNCTION("REGEXEXTRACT(J3066, ""[A-Za-z ]+$"")")," min")</f>
        <v> min</v>
      </c>
      <c r="AA3066" s="5" t="str">
        <f>IFERROR(__xludf.DUMMYFUNCTION("IF(REGEXMATCH(Z3066, ""Season""), ""TV Show"", ""Movie"")"),"Movie")</f>
        <v>Movie</v>
      </c>
    </row>
    <row r="3067">
      <c r="A3067" s="1" t="s">
        <v>17015</v>
      </c>
      <c r="B3067" s="1" t="s">
        <v>37</v>
      </c>
      <c r="C3067" s="1" t="s">
        <v>17016</v>
      </c>
      <c r="E3067" s="1" t="s">
        <v>17017</v>
      </c>
      <c r="F3067" s="1" t="s">
        <v>30</v>
      </c>
      <c r="G3067" s="1" t="s">
        <v>16947</v>
      </c>
      <c r="H3067" s="1">
        <v>2020.0</v>
      </c>
      <c r="I3067" s="1" t="s">
        <v>42</v>
      </c>
      <c r="J3067" s="1" t="s">
        <v>51</v>
      </c>
      <c r="K3067" s="1" t="s">
        <v>6314</v>
      </c>
      <c r="L3067" s="1" t="s">
        <v>17018</v>
      </c>
      <c r="M3067" s="2" t="s">
        <v>12</v>
      </c>
      <c r="N3067" s="4">
        <f t="shared" si="1"/>
        <v>43831</v>
      </c>
      <c r="O3067" s="5" t="str">
        <f>IFERROR(__xludf.DUMMYFUNCTION("IF(REGEXMATCH(TRIM(I3067), ""^\d+\s*min""), ""Unclassified"", IF(I3067 = """", ""NR"", I3067))"),"TV-MA")</f>
        <v>TV-MA</v>
      </c>
      <c r="R3067" s="5" t="str">
        <f t="shared" si="2"/>
        <v>Messiah</v>
      </c>
      <c r="S3067" s="5" t="str">
        <f>IFERROR(__xludf.DUMMYFUNCTION("""COMPUTED_VALUE"""),"High &amp; Low The Movie 2 / End Of Sky")</f>
        <v>High &amp; Low The Movie 2 / End Of Sky</v>
      </c>
      <c r="U3067" s="5" t="str">
        <f>IFERROR(__xludf.DUMMYFUNCTION("""COMPUTED_VALUE"""),"Anne Fontaine")</f>
        <v>Anne Fontaine</v>
      </c>
      <c r="V3067" s="5" t="s">
        <v>17019</v>
      </c>
      <c r="W3067" s="5" t="str">
        <f t="shared" si="3"/>
        <v>Noël Wells</v>
      </c>
      <c r="X3067" s="5">
        <f t="shared" si="4"/>
        <v>1</v>
      </c>
      <c r="Y3067" s="5" t="str">
        <f>IFERROR(__xludf.DUMMYFUNCTION("REGEXEXTRACT(J3067, ""^\d+"")"),"1")</f>
        <v>1</v>
      </c>
      <c r="Z3067" s="5" t="str">
        <f>IFERROR(__xludf.DUMMYFUNCTION("REGEXEXTRACT(J3067, ""[A-Za-z ]+$"")")," Season")</f>
        <v> Season</v>
      </c>
      <c r="AA3067" s="5" t="str">
        <f>IFERROR(__xludf.DUMMYFUNCTION("IF(REGEXMATCH(Z3067, ""Season""), ""TV Show"", ""Movie"")"),"TV Show")</f>
        <v>TV Show</v>
      </c>
    </row>
    <row r="3068">
      <c r="A3068" s="1" t="s">
        <v>17020</v>
      </c>
      <c r="B3068" s="1" t="s">
        <v>37</v>
      </c>
      <c r="C3068" s="1" t="s">
        <v>17021</v>
      </c>
      <c r="E3068" s="1" t="s">
        <v>17022</v>
      </c>
      <c r="F3068" s="1" t="s">
        <v>17023</v>
      </c>
      <c r="G3068" s="1" t="s">
        <v>16947</v>
      </c>
      <c r="H3068" s="1">
        <v>2017.0</v>
      </c>
      <c r="I3068" s="1" t="s">
        <v>289</v>
      </c>
      <c r="J3068" s="1" t="s">
        <v>43</v>
      </c>
      <c r="K3068" s="1" t="s">
        <v>290</v>
      </c>
      <c r="L3068" s="1" t="s">
        <v>17024</v>
      </c>
      <c r="M3068" s="2" t="s">
        <v>12</v>
      </c>
      <c r="N3068" s="4">
        <f t="shared" si="1"/>
        <v>43831</v>
      </c>
      <c r="O3068" s="5" t="str">
        <f>IFERROR(__xludf.DUMMYFUNCTION("IF(REGEXMATCH(TRIM(I3068), ""^\d+\s*min""), ""Unclassified"", IF(I3068 = """", ""NR"", I3068))"),"TV-Y7")</f>
        <v>TV-Y7</v>
      </c>
      <c r="R3068" s="5" t="str">
        <f t="shared" si="2"/>
        <v>Mia And Me</v>
      </c>
      <c r="S3068" s="5" t="str">
        <f>IFERROR(__xludf.DUMMYFUNCTION("""COMPUTED_VALUE"""),"High &amp; Low The Movie 3 / Final Mission")</f>
        <v>High &amp; Low The Movie 3 / Final Mission</v>
      </c>
      <c r="U3068" s="5" t="str">
        <f>IFERROR(__xludf.DUMMYFUNCTION("""COMPUTED_VALUE"""),"Sandeep Chatterjee")</f>
        <v>Sandeep Chatterjee</v>
      </c>
      <c r="V3068" s="5" t="s">
        <v>17025</v>
      </c>
      <c r="W3068" s="5" t="str">
        <f t="shared" si="3"/>
        <v>Nonzee Nimibutr</v>
      </c>
      <c r="X3068" s="5">
        <f t="shared" si="4"/>
        <v>1</v>
      </c>
      <c r="Y3068" s="5" t="str">
        <f>IFERROR(__xludf.DUMMYFUNCTION("REGEXEXTRACT(J3068, ""^\d+"")"),"2")</f>
        <v>2</v>
      </c>
      <c r="Z3068" s="5" t="str">
        <f>IFERROR(__xludf.DUMMYFUNCTION("REGEXEXTRACT(J3068, ""[A-Za-z ]+$"")")," Seasons")</f>
        <v> Seasons</v>
      </c>
      <c r="AA3068" s="5" t="str">
        <f>IFERROR(__xludf.DUMMYFUNCTION("IF(REGEXMATCH(Z3068, ""Season""), ""TV Show"", ""Movie"")"),"TV Show")</f>
        <v>TV Show</v>
      </c>
    </row>
    <row r="3069">
      <c r="A3069" s="1" t="s">
        <v>17026</v>
      </c>
      <c r="B3069" s="1" t="s">
        <v>37</v>
      </c>
      <c r="C3069" s="1" t="s">
        <v>17027</v>
      </c>
      <c r="D3069" s="1" t="s">
        <v>12280</v>
      </c>
      <c r="F3069" s="1" t="s">
        <v>17028</v>
      </c>
      <c r="G3069" s="1" t="s">
        <v>16947</v>
      </c>
      <c r="H3069" s="1">
        <v>2020.0</v>
      </c>
      <c r="I3069" s="1" t="s">
        <v>42</v>
      </c>
      <c r="J3069" s="1" t="s">
        <v>51</v>
      </c>
      <c r="K3069" s="1" t="s">
        <v>112</v>
      </c>
      <c r="L3069" s="1" t="s">
        <v>17029</v>
      </c>
      <c r="M3069" s="2" t="s">
        <v>12</v>
      </c>
      <c r="N3069" s="4">
        <f t="shared" si="1"/>
        <v>43831</v>
      </c>
      <c r="O3069" s="5" t="str">
        <f>IFERROR(__xludf.DUMMYFUNCTION("IF(REGEXMATCH(TRIM(I3069), ""^\d+\s*min""), ""Unclassified"", IF(I3069 = """", ""NR"", I3069))"),"TV-MA")</f>
        <v>TV-MA</v>
      </c>
      <c r="R3069" s="5" t="str">
        <f t="shared" si="2"/>
        <v>Nisman: The Prosecutor, The President, And The Spy</v>
      </c>
      <c r="S3069" s="5" t="str">
        <f>IFERROR(__xludf.DUMMYFUNCTION("""COMPUTED_VALUE"""),"High &amp; Low The Red Rain")</f>
        <v>High &amp; Low The Red Rain</v>
      </c>
      <c r="U3069" s="5" t="str">
        <f>IFERROR(__xludf.DUMMYFUNCTION("""COMPUTED_VALUE"""),"Kyle Rideout")</f>
        <v>Kyle Rideout</v>
      </c>
      <c r="V3069" s="5" t="s">
        <v>17030</v>
      </c>
      <c r="W3069" s="5" t="str">
        <f t="shared" si="3"/>
        <v>Noor Imran Mithu</v>
      </c>
      <c r="X3069" s="5">
        <f t="shared" si="4"/>
        <v>1</v>
      </c>
      <c r="Y3069" s="5" t="str">
        <f>IFERROR(__xludf.DUMMYFUNCTION("REGEXEXTRACT(J3069, ""^\d+"")"),"1")</f>
        <v>1</v>
      </c>
      <c r="Z3069" s="5" t="str">
        <f>IFERROR(__xludf.DUMMYFUNCTION("REGEXEXTRACT(J3069, ""[A-Za-z ]+$"")")," Season")</f>
        <v> Season</v>
      </c>
      <c r="AA3069" s="5" t="str">
        <f>IFERROR(__xludf.DUMMYFUNCTION("IF(REGEXMATCH(Z3069, ""Season""), ""TV Show"", ""Movie"")"),"TV Show")</f>
        <v>TV Show</v>
      </c>
    </row>
    <row r="3070">
      <c r="A3070" s="1" t="s">
        <v>17031</v>
      </c>
      <c r="B3070" s="1" t="s">
        <v>27</v>
      </c>
      <c r="C3070" s="1" t="s">
        <v>17032</v>
      </c>
      <c r="D3070" s="1" t="s">
        <v>6133</v>
      </c>
      <c r="E3070" s="1" t="s">
        <v>17033</v>
      </c>
      <c r="F3070" s="1" t="s">
        <v>10325</v>
      </c>
      <c r="G3070" s="1" t="s">
        <v>16947</v>
      </c>
      <c r="H3070" s="1">
        <v>2006.0</v>
      </c>
      <c r="I3070" s="1" t="s">
        <v>378</v>
      </c>
      <c r="J3070" s="1" t="s">
        <v>804</v>
      </c>
      <c r="K3070" s="1" t="s">
        <v>5704</v>
      </c>
      <c r="L3070" s="1" t="s">
        <v>17034</v>
      </c>
      <c r="M3070" s="2" t="s">
        <v>12</v>
      </c>
      <c r="N3070" s="4">
        <f t="shared" si="1"/>
        <v>43831</v>
      </c>
      <c r="O3070" s="5" t="str">
        <f>IFERROR(__xludf.DUMMYFUNCTION("IF(REGEXMATCH(TRIM(I3070), ""^\d+\s*min""), ""Unclassified"", IF(I3070 = """", ""NR"", I3070))"),"R")</f>
        <v>R</v>
      </c>
      <c r="R3070" s="5" t="str">
        <f t="shared" si="2"/>
        <v>Pan'S Labyrinth</v>
      </c>
      <c r="S3070" s="5" t="str">
        <f>IFERROR(__xludf.DUMMYFUNCTION("""COMPUTED_VALUE"""),"High &amp; Low The Worst")</f>
        <v>High &amp; Low The Worst</v>
      </c>
      <c r="U3070" s="5" t="str">
        <f>IFERROR(__xludf.DUMMYFUNCTION("""COMPUTED_VALUE"""),"Bryce Wagoner")</f>
        <v>Bryce Wagoner</v>
      </c>
      <c r="V3070" s="5" t="s">
        <v>12499</v>
      </c>
      <c r="W3070" s="5" t="str">
        <f t="shared" si="3"/>
        <v>Nopparoj Chotmunkongsit</v>
      </c>
      <c r="X3070" s="5">
        <f t="shared" si="4"/>
        <v>1</v>
      </c>
      <c r="Y3070" s="5" t="str">
        <f>IFERROR(__xludf.DUMMYFUNCTION("REGEXEXTRACT(J3070, ""^\d+"")"),"119")</f>
        <v>119</v>
      </c>
      <c r="Z3070" s="5" t="str">
        <f>IFERROR(__xludf.DUMMYFUNCTION("REGEXEXTRACT(J3070, ""[A-Za-z ]+$"")")," min")</f>
        <v> min</v>
      </c>
      <c r="AA3070" s="5" t="str">
        <f>IFERROR(__xludf.DUMMYFUNCTION("IF(REGEXMATCH(Z3070, ""Season""), ""TV Show"", ""Movie"")"),"Movie")</f>
        <v>Movie</v>
      </c>
    </row>
    <row r="3071">
      <c r="A3071" s="1" t="s">
        <v>17035</v>
      </c>
      <c r="B3071" s="1" t="s">
        <v>27</v>
      </c>
      <c r="C3071" s="1" t="s">
        <v>17036</v>
      </c>
      <c r="D3071" s="1" t="s">
        <v>17037</v>
      </c>
      <c r="E3071" s="1" t="s">
        <v>17038</v>
      </c>
      <c r="F3071" s="1" t="s">
        <v>415</v>
      </c>
      <c r="G3071" s="1" t="s">
        <v>16947</v>
      </c>
      <c r="H3071" s="1">
        <v>2018.0</v>
      </c>
      <c r="I3071" s="1" t="s">
        <v>289</v>
      </c>
      <c r="J3071" s="1" t="s">
        <v>357</v>
      </c>
      <c r="K3071" s="1" t="s">
        <v>13575</v>
      </c>
      <c r="L3071" s="1" t="s">
        <v>17039</v>
      </c>
      <c r="M3071" s="2" t="s">
        <v>12</v>
      </c>
      <c r="N3071" s="4">
        <f t="shared" si="1"/>
        <v>43831</v>
      </c>
      <c r="O3071" s="5" t="str">
        <f>IFERROR(__xludf.DUMMYFUNCTION("IF(REGEXMATCH(TRIM(I3071), ""^\d+\s*min""), ""Unclassified"", IF(I3071 = """", ""NR"", I3071))"),"TV-Y7")</f>
        <v>TV-Y7</v>
      </c>
      <c r="R3071" s="5" t="str">
        <f t="shared" si="2"/>
        <v>Pokémon The Movie: Power Of Us</v>
      </c>
      <c r="S3071" s="5" t="str">
        <f>IFERROR(__xludf.DUMMYFUNCTION("""COMPUTED_VALUE"""),"High End Yaariyan")</f>
        <v>High End Yaariyan</v>
      </c>
      <c r="U3071" s="5" t="str">
        <f>IFERROR(__xludf.DUMMYFUNCTION("""COMPUTED_VALUE"""),"Brittany Andrews")</f>
        <v>Brittany Andrews</v>
      </c>
      <c r="V3071" s="5" t="s">
        <v>17040</v>
      </c>
      <c r="W3071" s="5" t="str">
        <f t="shared" si="3"/>
        <v>Nora Ephron</v>
      </c>
      <c r="X3071" s="5">
        <f t="shared" si="4"/>
        <v>1</v>
      </c>
      <c r="Y3071" s="5" t="str">
        <f>IFERROR(__xludf.DUMMYFUNCTION("REGEXEXTRACT(J3071, ""^\d+"")"),"98")</f>
        <v>98</v>
      </c>
      <c r="Z3071" s="5" t="str">
        <f>IFERROR(__xludf.DUMMYFUNCTION("REGEXEXTRACT(J3071, ""[A-Za-z ]+$"")")," min")</f>
        <v> min</v>
      </c>
      <c r="AA3071" s="5" t="str">
        <f>IFERROR(__xludf.DUMMYFUNCTION("IF(REGEXMATCH(Z3071, ""Season""), ""TV Show"", ""Movie"")"),"Movie")</f>
        <v>Movie</v>
      </c>
    </row>
    <row r="3072">
      <c r="A3072" s="1" t="s">
        <v>17041</v>
      </c>
      <c r="B3072" s="1" t="s">
        <v>27</v>
      </c>
      <c r="C3072" s="1" t="s">
        <v>17042</v>
      </c>
      <c r="D3072" s="1" t="s">
        <v>6875</v>
      </c>
      <c r="E3072" s="1" t="s">
        <v>17043</v>
      </c>
      <c r="F3072" s="1" t="s">
        <v>2873</v>
      </c>
      <c r="G3072" s="1" t="s">
        <v>16947</v>
      </c>
      <c r="H3072" s="1">
        <v>2017.0</v>
      </c>
      <c r="I3072" s="1" t="s">
        <v>42</v>
      </c>
      <c r="J3072" s="1" t="s">
        <v>447</v>
      </c>
      <c r="K3072" s="1" t="s">
        <v>679</v>
      </c>
      <c r="L3072" s="1" t="s">
        <v>17044</v>
      </c>
      <c r="M3072" s="2" t="s">
        <v>12</v>
      </c>
      <c r="N3072" s="4">
        <f t="shared" si="1"/>
        <v>43831</v>
      </c>
      <c r="O3072" s="5" t="str">
        <f>IFERROR(__xludf.DUMMYFUNCTION("IF(REGEXMATCH(TRIM(I3072), ""^\d+\s*min""), ""Unclassified"", IF(I3072 = """", ""NR"", I3072))"),"TV-MA")</f>
        <v>TV-MA</v>
      </c>
      <c r="R3072" s="5" t="str">
        <f t="shared" si="2"/>
        <v>Posesif</v>
      </c>
      <c r="S3072" s="5" t="str">
        <f>IFERROR(__xludf.DUMMYFUNCTION("""COMPUTED_VALUE"""),"High Flying Bird")</f>
        <v>High Flying Bird</v>
      </c>
      <c r="U3072" s="5" t="str">
        <f>IFERROR(__xludf.DUMMYFUNCTION("""COMPUTED_VALUE"""),"Nicolás López")</f>
        <v>Nicolás López</v>
      </c>
      <c r="V3072" s="5" t="s">
        <v>16145</v>
      </c>
      <c r="W3072" s="5" t="str">
        <f t="shared" si="3"/>
        <v>Nora Fingscheidt</v>
      </c>
      <c r="X3072" s="5">
        <f t="shared" si="4"/>
        <v>1</v>
      </c>
      <c r="Y3072" s="5" t="str">
        <f>IFERROR(__xludf.DUMMYFUNCTION("REGEXEXTRACT(J3072, ""^\d+"")"),"102")</f>
        <v>102</v>
      </c>
      <c r="Z3072" s="5" t="str">
        <f>IFERROR(__xludf.DUMMYFUNCTION("REGEXEXTRACT(J3072, ""[A-Za-z ]+$"")")," min")</f>
        <v> min</v>
      </c>
      <c r="AA3072" s="5" t="str">
        <f>IFERROR(__xludf.DUMMYFUNCTION("IF(REGEXMATCH(Z3072, ""Season""), ""TV Show"", ""Movie"")"),"Movie")</f>
        <v>Movie</v>
      </c>
    </row>
    <row r="3073">
      <c r="A3073" s="1" t="s">
        <v>17045</v>
      </c>
      <c r="B3073" s="1" t="s">
        <v>37</v>
      </c>
      <c r="C3073" s="1" t="s">
        <v>17046</v>
      </c>
      <c r="E3073" s="1" t="s">
        <v>17047</v>
      </c>
      <c r="F3073" s="1" t="s">
        <v>749</v>
      </c>
      <c r="G3073" s="1" t="s">
        <v>16947</v>
      </c>
      <c r="H3073" s="1">
        <v>2015.0</v>
      </c>
      <c r="I3073" s="1" t="s">
        <v>97</v>
      </c>
      <c r="J3073" s="1" t="s">
        <v>51</v>
      </c>
      <c r="K3073" s="1" t="s">
        <v>7164</v>
      </c>
      <c r="L3073" s="1" t="s">
        <v>17048</v>
      </c>
      <c r="M3073" s="2" t="s">
        <v>12</v>
      </c>
      <c r="N3073" s="4">
        <f t="shared" si="1"/>
        <v>43831</v>
      </c>
      <c r="O3073" s="5" t="str">
        <f>IFERROR(__xludf.DUMMYFUNCTION("IF(REGEXMATCH(TRIM(I3073), ""^\d+\s*min""), ""Unclassified"", IF(I3073 = """", ""NR"", I3073))"),"TV-14")</f>
        <v>TV-14</v>
      </c>
      <c r="R3073" s="5" t="str">
        <f t="shared" si="2"/>
        <v>Reply 1988</v>
      </c>
      <c r="S3073" s="5" t="str">
        <f>IFERROR(__xludf.DUMMYFUNCTION("""COMPUTED_VALUE"""),"High On The Hog: How African American Cuisine Transformed America")</f>
        <v>High On The Hog: How African American Cuisine Transformed America</v>
      </c>
      <c r="U3073" s="5" t="str">
        <f>IFERROR(__xludf.DUMMYFUNCTION("""COMPUTED_VALUE"""),"Terry Loane")</f>
        <v>Terry Loane</v>
      </c>
      <c r="V3073" s="5" t="s">
        <v>17049</v>
      </c>
      <c r="W3073" s="5" t="str">
        <f t="shared" si="3"/>
        <v>Nora Twomey</v>
      </c>
      <c r="X3073" s="5">
        <f t="shared" si="4"/>
        <v>1</v>
      </c>
      <c r="Y3073" s="5" t="str">
        <f>IFERROR(__xludf.DUMMYFUNCTION("REGEXEXTRACT(J3073, ""^\d+"")"),"1")</f>
        <v>1</v>
      </c>
      <c r="Z3073" s="5" t="str">
        <f>IFERROR(__xludf.DUMMYFUNCTION("REGEXEXTRACT(J3073, ""[A-Za-z ]+$"")")," Season")</f>
        <v> Season</v>
      </c>
      <c r="AA3073" s="5" t="str">
        <f>IFERROR(__xludf.DUMMYFUNCTION("IF(REGEXMATCH(Z3073, ""Season""), ""TV Show"", ""Movie"")"),"TV Show")</f>
        <v>TV Show</v>
      </c>
    </row>
    <row r="3074">
      <c r="A3074" s="1" t="s">
        <v>17050</v>
      </c>
      <c r="B3074" s="1" t="s">
        <v>27</v>
      </c>
      <c r="C3074" s="1" t="s">
        <v>17051</v>
      </c>
      <c r="D3074" s="1" t="s">
        <v>11380</v>
      </c>
      <c r="E3074" s="1" t="s">
        <v>17052</v>
      </c>
      <c r="G3074" s="1" t="s">
        <v>16947</v>
      </c>
      <c r="H3074" s="1">
        <v>2015.0</v>
      </c>
      <c r="I3074" s="1" t="s">
        <v>42</v>
      </c>
      <c r="J3074" s="1" t="s">
        <v>428</v>
      </c>
      <c r="K3074" s="1" t="s">
        <v>380</v>
      </c>
      <c r="L3074" s="1" t="s">
        <v>17053</v>
      </c>
      <c r="M3074" s="2" t="s">
        <v>12</v>
      </c>
      <c r="N3074" s="4">
        <f t="shared" si="1"/>
        <v>43831</v>
      </c>
      <c r="O3074" s="5" t="str">
        <f>IFERROR(__xludf.DUMMYFUNCTION("IF(REGEXMATCH(TRIM(I3074), ""^\d+\s*min""), ""Unclassified"", IF(I3074 = """", ""NR"", I3074))"),"TV-MA")</f>
        <v>TV-MA</v>
      </c>
      <c r="R3074" s="5" t="str">
        <f t="shared" si="2"/>
        <v>Riot</v>
      </c>
      <c r="S3074" s="5" t="str">
        <f>IFERROR(__xludf.DUMMYFUNCTION("""COMPUTED_VALUE"""),"High Risk")</f>
        <v>High Risk</v>
      </c>
      <c r="U3074" s="5" t="str">
        <f>IFERROR(__xludf.DUMMYFUNCTION("""COMPUTED_VALUE"""),"Biswajeet Bora")</f>
        <v>Biswajeet Bora</v>
      </c>
      <c r="V3074" s="5" t="s">
        <v>17054</v>
      </c>
      <c r="W3074" s="5" t="str">
        <f t="shared" si="3"/>
        <v>Norberto López Amado</v>
      </c>
      <c r="X3074" s="5">
        <f t="shared" si="4"/>
        <v>1</v>
      </c>
      <c r="Y3074" s="5" t="str">
        <f>IFERROR(__xludf.DUMMYFUNCTION("REGEXEXTRACT(J3074, ""^\d+"")"),"88")</f>
        <v>88</v>
      </c>
      <c r="Z3074" s="5" t="str">
        <f>IFERROR(__xludf.DUMMYFUNCTION("REGEXEXTRACT(J3074, ""[A-Za-z ]+$"")")," min")</f>
        <v> min</v>
      </c>
      <c r="AA3074" s="5" t="str">
        <f>IFERROR(__xludf.DUMMYFUNCTION("IF(REGEXMATCH(Z3074, ""Season""), ""TV Show"", ""Movie"")"),"Movie")</f>
        <v>Movie</v>
      </c>
    </row>
    <row r="3075">
      <c r="A3075" s="1" t="s">
        <v>17055</v>
      </c>
      <c r="B3075" s="1" t="s">
        <v>27</v>
      </c>
      <c r="C3075" s="1" t="s">
        <v>17056</v>
      </c>
      <c r="D3075" s="1" t="s">
        <v>17057</v>
      </c>
      <c r="E3075" s="1" t="s">
        <v>17058</v>
      </c>
      <c r="F3075" s="1" t="s">
        <v>30</v>
      </c>
      <c r="G3075" s="1" t="s">
        <v>16947</v>
      </c>
      <c r="H3075" s="1">
        <v>2009.0</v>
      </c>
      <c r="I3075" s="1" t="s">
        <v>378</v>
      </c>
      <c r="J3075" s="1" t="s">
        <v>247</v>
      </c>
      <c r="K3075" s="1" t="s">
        <v>239</v>
      </c>
      <c r="L3075" s="1" t="s">
        <v>17059</v>
      </c>
      <c r="M3075" s="2" t="s">
        <v>12</v>
      </c>
      <c r="N3075" s="4">
        <f t="shared" si="1"/>
        <v>43831</v>
      </c>
      <c r="O3075" s="5" t="str">
        <f>IFERROR(__xludf.DUMMYFUNCTION("IF(REGEXMATCH(TRIM(I3075), ""^\d+\s*min""), ""Unclassified"", IF(I3075 = """", ""NR"", I3075))"),"R")</f>
        <v>R</v>
      </c>
      <c r="R3075" s="5" t="str">
        <f t="shared" si="2"/>
        <v>Road Trip: Beer Pong</v>
      </c>
      <c r="S3075" s="5" t="str">
        <f>IFERROR(__xludf.DUMMYFUNCTION("""COMPUTED_VALUE"""),"High Score")</f>
        <v>High Score</v>
      </c>
      <c r="U3075" s="5" t="str">
        <f>IFERROR(__xludf.DUMMYFUNCTION("""COMPUTED_VALUE"""),"Castille Landon")</f>
        <v>Castille Landon</v>
      </c>
      <c r="V3075" s="5" t="s">
        <v>11286</v>
      </c>
      <c r="W3075" s="5" t="str">
        <f t="shared" si="3"/>
        <v>Norihisa Hiranuma</v>
      </c>
      <c r="X3075" s="5">
        <f t="shared" si="4"/>
        <v>1</v>
      </c>
      <c r="Y3075" s="5" t="str">
        <f>IFERROR(__xludf.DUMMYFUNCTION("REGEXEXTRACT(J3075, ""^\d+"")"),"97")</f>
        <v>97</v>
      </c>
      <c r="Z3075" s="5" t="str">
        <f>IFERROR(__xludf.DUMMYFUNCTION("REGEXEXTRACT(J3075, ""[A-Za-z ]+$"")")," min")</f>
        <v> min</v>
      </c>
      <c r="AA3075" s="5" t="str">
        <f>IFERROR(__xludf.DUMMYFUNCTION("IF(REGEXMATCH(Z3075, ""Season""), ""TV Show"", ""Movie"")"),"Movie")</f>
        <v>Movie</v>
      </c>
    </row>
    <row r="3076">
      <c r="A3076" s="1" t="s">
        <v>17060</v>
      </c>
      <c r="B3076" s="1" t="s">
        <v>37</v>
      </c>
      <c r="C3076" s="1" t="s">
        <v>17061</v>
      </c>
      <c r="E3076" s="1" t="s">
        <v>17062</v>
      </c>
      <c r="F3076" s="1" t="s">
        <v>749</v>
      </c>
      <c r="G3076" s="1" t="s">
        <v>16947</v>
      </c>
      <c r="H3076" s="1">
        <v>2017.0</v>
      </c>
      <c r="I3076" s="1" t="s">
        <v>42</v>
      </c>
      <c r="J3076" s="1" t="s">
        <v>51</v>
      </c>
      <c r="K3076" s="1" t="s">
        <v>13832</v>
      </c>
      <c r="L3076" s="1" t="s">
        <v>17063</v>
      </c>
      <c r="M3076" s="2" t="s">
        <v>12</v>
      </c>
      <c r="N3076" s="4">
        <f t="shared" si="1"/>
        <v>43831</v>
      </c>
      <c r="O3076" s="5" t="str">
        <f>IFERROR(__xludf.DUMMYFUNCTION("IF(REGEXMATCH(TRIM(I3076), ""^\d+\s*min""), ""Unclassified"", IF(I3076 = """", ""NR"", I3076))"),"TV-MA")</f>
        <v>TV-MA</v>
      </c>
      <c r="R3076" s="5" t="str">
        <f t="shared" si="2"/>
        <v>Save Me</v>
      </c>
      <c r="S3076" s="5" t="str">
        <f>IFERROR(__xludf.DUMMYFUNCTION("""COMPUTED_VALUE"""),"High Seas")</f>
        <v>High Seas</v>
      </c>
      <c r="U3076" s="5" t="str">
        <f>IFERROR(__xludf.DUMMYFUNCTION("""COMPUTED_VALUE"""),"Gervasio Iglesias, Alexis Morante")</f>
        <v>Gervasio Iglesias, Alexis Morante</v>
      </c>
      <c r="V3076" s="5" t="s">
        <v>17064</v>
      </c>
      <c r="W3076" s="5" t="str">
        <f t="shared" si="3"/>
        <v>Noriyuki Abe</v>
      </c>
      <c r="X3076" s="5">
        <f t="shared" si="4"/>
        <v>3</v>
      </c>
      <c r="Y3076" s="5" t="str">
        <f>IFERROR(__xludf.DUMMYFUNCTION("REGEXEXTRACT(J3076, ""^\d+"")"),"1")</f>
        <v>1</v>
      </c>
      <c r="Z3076" s="5" t="str">
        <f>IFERROR(__xludf.DUMMYFUNCTION("REGEXEXTRACT(J3076, ""[A-Za-z ]+$"")")," Season")</f>
        <v> Season</v>
      </c>
      <c r="AA3076" s="5" t="str">
        <f>IFERROR(__xludf.DUMMYFUNCTION("IF(REGEXMATCH(Z3076, ""Season""), ""TV Show"", ""Movie"")"),"TV Show")</f>
        <v>TV Show</v>
      </c>
    </row>
    <row r="3077">
      <c r="A3077" s="1" t="s">
        <v>17065</v>
      </c>
      <c r="B3077" s="1" t="s">
        <v>37</v>
      </c>
      <c r="C3077" s="1" t="s">
        <v>17066</v>
      </c>
      <c r="E3077" s="1" t="s">
        <v>17067</v>
      </c>
      <c r="F3077" s="1" t="s">
        <v>30</v>
      </c>
      <c r="G3077" s="1" t="s">
        <v>16947</v>
      </c>
      <c r="H3077" s="1">
        <v>2020.0</v>
      </c>
      <c r="I3077" s="1" t="s">
        <v>42</v>
      </c>
      <c r="J3077" s="1" t="s">
        <v>51</v>
      </c>
      <c r="K3077" s="1" t="s">
        <v>2709</v>
      </c>
      <c r="L3077" s="1" t="s">
        <v>17068</v>
      </c>
      <c r="M3077" s="2" t="s">
        <v>12</v>
      </c>
      <c r="N3077" s="4">
        <f t="shared" si="1"/>
        <v>43831</v>
      </c>
      <c r="O3077" s="5" t="str">
        <f>IFERROR(__xludf.DUMMYFUNCTION("IF(REGEXMATCH(TRIM(I3077), ""^\d+\s*min""), ""Unclassified"", IF(I3077 = """", ""NR"", I3077))"),"TV-MA")</f>
        <v>TV-MA</v>
      </c>
      <c r="R3077" s="5" t="str">
        <f t="shared" si="2"/>
        <v>Spinning Out</v>
      </c>
      <c r="S3077" s="5" t="str">
        <f>IFERROR(__xludf.DUMMYFUNCTION("""COMPUTED_VALUE"""),"High Society")</f>
        <v>High Society</v>
      </c>
      <c r="U3077" s="5" t="str">
        <f>IFERROR(__xludf.DUMMYFUNCTION("""COMPUTED_VALUE"""),"J. Michael Long")</f>
        <v>J. Michael Long</v>
      </c>
      <c r="V3077" s="5" t="s">
        <v>14002</v>
      </c>
      <c r="W3077" s="5" t="str">
        <f t="shared" si="3"/>
        <v>Norm Hiscock, Gary Howsam, Mike Smith, John Paul Tremblay, Robb Wells</v>
      </c>
      <c r="X3077" s="5">
        <f t="shared" si="4"/>
        <v>1</v>
      </c>
      <c r="Y3077" s="5" t="str">
        <f>IFERROR(__xludf.DUMMYFUNCTION("REGEXEXTRACT(J3077, ""^\d+"")"),"1")</f>
        <v>1</v>
      </c>
      <c r="Z3077" s="5" t="str">
        <f>IFERROR(__xludf.DUMMYFUNCTION("REGEXEXTRACT(J3077, ""[A-Za-z ]+$"")")," Season")</f>
        <v> Season</v>
      </c>
      <c r="AA3077" s="5" t="str">
        <f>IFERROR(__xludf.DUMMYFUNCTION("IF(REGEXMATCH(Z3077, ""Season""), ""TV Show"", ""Movie"")"),"TV Show")</f>
        <v>TV Show</v>
      </c>
    </row>
    <row r="3078">
      <c r="A3078" s="1" t="s">
        <v>17069</v>
      </c>
      <c r="B3078" s="1" t="s">
        <v>37</v>
      </c>
      <c r="C3078" s="1" t="s">
        <v>17070</v>
      </c>
      <c r="E3078" s="1" t="s">
        <v>17071</v>
      </c>
      <c r="F3078" s="1" t="s">
        <v>749</v>
      </c>
      <c r="G3078" s="1" t="s">
        <v>16947</v>
      </c>
      <c r="H3078" s="1">
        <v>2017.0</v>
      </c>
      <c r="I3078" s="1" t="s">
        <v>97</v>
      </c>
      <c r="J3078" s="1" t="s">
        <v>51</v>
      </c>
      <c r="K3078" s="1" t="s">
        <v>7164</v>
      </c>
      <c r="L3078" s="1" t="s">
        <v>17072</v>
      </c>
      <c r="M3078" s="2" t="s">
        <v>12</v>
      </c>
      <c r="N3078" s="4">
        <f t="shared" si="1"/>
        <v>43831</v>
      </c>
      <c r="O3078" s="5" t="str">
        <f>IFERROR(__xludf.DUMMYFUNCTION("IF(REGEXMATCH(TRIM(I3078), ""^\d+\s*min""), ""Unclassified"", IF(I3078 = """", ""NR"", I3078))"),"TV-14")</f>
        <v>TV-14</v>
      </c>
      <c r="R3078" s="5" t="str">
        <f t="shared" si="2"/>
        <v>The Bride Of Habaek</v>
      </c>
      <c r="S3078" s="5" t="str">
        <f>IFERROR(__xludf.DUMMYFUNCTION("""COMPUTED_VALUE"""),"High Strung Free Dance")</f>
        <v>High Strung Free Dance</v>
      </c>
      <c r="U3078" s="5" t="str">
        <f>IFERROR(__xludf.DUMMYFUNCTION("""COMPUTED_VALUE"""),"Susan Glatzer")</f>
        <v>Susan Glatzer</v>
      </c>
      <c r="V3078" s="5" t="s">
        <v>17073</v>
      </c>
      <c r="W3078" s="5" t="str">
        <f t="shared" si="3"/>
        <v>Norman Jewison</v>
      </c>
      <c r="X3078" s="5">
        <f t="shared" si="4"/>
        <v>2</v>
      </c>
      <c r="Y3078" s="5" t="str">
        <f>IFERROR(__xludf.DUMMYFUNCTION("REGEXEXTRACT(J3078, ""^\d+"")"),"1")</f>
        <v>1</v>
      </c>
      <c r="Z3078" s="5" t="str">
        <f>IFERROR(__xludf.DUMMYFUNCTION("REGEXEXTRACT(J3078, ""[A-Za-z ]+$"")")," Season")</f>
        <v> Season</v>
      </c>
      <c r="AA3078" s="5" t="str">
        <f>IFERROR(__xludf.DUMMYFUNCTION("IF(REGEXMATCH(Z3078, ""Season""), ""TV Show"", ""Movie"")"),"TV Show")</f>
        <v>TV Show</v>
      </c>
    </row>
    <row r="3079">
      <c r="A3079" s="1" t="s">
        <v>17074</v>
      </c>
      <c r="B3079" s="1" t="s">
        <v>27</v>
      </c>
      <c r="C3079" s="1" t="s">
        <v>17075</v>
      </c>
      <c r="D3079" s="1" t="s">
        <v>17076</v>
      </c>
      <c r="E3079" s="1" t="s">
        <v>17077</v>
      </c>
      <c r="F3079" s="1" t="s">
        <v>63</v>
      </c>
      <c r="G3079" s="1" t="s">
        <v>17078</v>
      </c>
      <c r="H3079" s="1">
        <v>2019.0</v>
      </c>
      <c r="I3079" s="1" t="s">
        <v>97</v>
      </c>
      <c r="J3079" s="1" t="s">
        <v>297</v>
      </c>
      <c r="K3079" s="1" t="s">
        <v>1592</v>
      </c>
      <c r="L3079" s="1" t="s">
        <v>17079</v>
      </c>
      <c r="M3079" s="2" t="s">
        <v>12</v>
      </c>
      <c r="N3079" s="4">
        <f t="shared" si="1"/>
        <v>43830</v>
      </c>
      <c r="O3079" s="5" t="str">
        <f>IFERROR(__xludf.DUMMYFUNCTION("IF(REGEXMATCH(TRIM(I3079), ""^\d+\s*min""), ""Unclassified"", IF(I3079 = """", ""NR"", I3079))"),"TV-14")</f>
        <v>TV-14</v>
      </c>
      <c r="R3079" s="5" t="str">
        <f t="shared" si="2"/>
        <v>Aaviri</v>
      </c>
      <c r="S3079" s="5" t="str">
        <f>IFERROR(__xludf.DUMMYFUNCTION("""COMPUTED_VALUE"""),"High-Rise Invasion")</f>
        <v>High-Rise Invasion</v>
      </c>
      <c r="U3079" s="5" t="str">
        <f>IFERROR(__xludf.DUMMYFUNCTION("""COMPUTED_VALUE"""),"Eva Vives")</f>
        <v>Eva Vives</v>
      </c>
      <c r="V3079" s="5" t="s">
        <v>17080</v>
      </c>
      <c r="W3079" s="5" t="str">
        <f t="shared" si="3"/>
        <v>Note Chern-Yim</v>
      </c>
      <c r="X3079" s="5">
        <f t="shared" si="4"/>
        <v>3</v>
      </c>
      <c r="Y3079" s="5" t="str">
        <f>IFERROR(__xludf.DUMMYFUNCTION("REGEXEXTRACT(J3079, ""^\d+"")"),"110")</f>
        <v>110</v>
      </c>
      <c r="Z3079" s="5" t="str">
        <f>IFERROR(__xludf.DUMMYFUNCTION("REGEXEXTRACT(J3079, ""[A-Za-z ]+$"")")," min")</f>
        <v> min</v>
      </c>
      <c r="AA3079" s="5" t="str">
        <f>IFERROR(__xludf.DUMMYFUNCTION("IF(REGEXMATCH(Z3079, ""Season""), ""TV Show"", ""Movie"")"),"Movie")</f>
        <v>Movie</v>
      </c>
    </row>
    <row r="3080">
      <c r="A3080" s="1" t="s">
        <v>17081</v>
      </c>
      <c r="B3080" s="1" t="s">
        <v>27</v>
      </c>
      <c r="C3080" s="1" t="s">
        <v>17082</v>
      </c>
      <c r="D3080" s="1" t="s">
        <v>17083</v>
      </c>
      <c r="E3080" s="1" t="s">
        <v>17084</v>
      </c>
      <c r="F3080" s="1" t="s">
        <v>63</v>
      </c>
      <c r="G3080" s="1" t="s">
        <v>17078</v>
      </c>
      <c r="H3080" s="1">
        <v>2019.0</v>
      </c>
      <c r="I3080" s="1" t="s">
        <v>42</v>
      </c>
      <c r="J3080" s="1" t="s">
        <v>471</v>
      </c>
      <c r="K3080" s="1" t="s">
        <v>89</v>
      </c>
      <c r="L3080" s="1" t="s">
        <v>17085</v>
      </c>
      <c r="M3080" s="2" t="s">
        <v>12</v>
      </c>
      <c r="N3080" s="4">
        <f t="shared" si="1"/>
        <v>43830</v>
      </c>
      <c r="O3080" s="5" t="str">
        <f>IFERROR(__xludf.DUMMYFUNCTION("IF(REGEXMATCH(TRIM(I3080), ""^\d+\s*min""), ""Unclassified"", IF(I3080 = """", ""NR"", I3080))"),"TV-MA")</f>
        <v>TV-MA</v>
      </c>
      <c r="R3080" s="5" t="str">
        <f t="shared" si="2"/>
        <v>Albert Pinto Ko Gussa Kyun Aata Hai?</v>
      </c>
      <c r="S3080" s="5" t="str">
        <f>IFERROR(__xludf.DUMMYFUNCTION("""COMPUTED_VALUE"""),"Highland: Thailand'S Marijuana Awakening")</f>
        <v>Highland: Thailand'S Marijuana Awakening</v>
      </c>
      <c r="U3080" s="5" t="str">
        <f>IFERROR(__xludf.DUMMYFUNCTION("""COMPUTED_VALUE"""),"Don Bluth, Gary Goldman, Dan Kuenster")</f>
        <v>Don Bluth, Gary Goldman, Dan Kuenster</v>
      </c>
      <c r="V3080" s="5" t="s">
        <v>17086</v>
      </c>
      <c r="W3080" s="5" t="str">
        <f t="shared" si="3"/>
        <v>Nottapon Boonprakob</v>
      </c>
      <c r="X3080" s="5">
        <f t="shared" si="4"/>
        <v>1</v>
      </c>
      <c r="Y3080" s="5" t="str">
        <f>IFERROR(__xludf.DUMMYFUNCTION("REGEXEXTRACT(J3080, ""^\d+"")"),"85")</f>
        <v>85</v>
      </c>
      <c r="Z3080" s="5" t="str">
        <f>IFERROR(__xludf.DUMMYFUNCTION("REGEXEXTRACT(J3080, ""[A-Za-z ]+$"")")," min")</f>
        <v> min</v>
      </c>
      <c r="AA3080" s="5" t="str">
        <f>IFERROR(__xludf.DUMMYFUNCTION("IF(REGEXMATCH(Z3080, ""Season""), ""TV Show"", ""Movie"")"),"Movie")</f>
        <v>Movie</v>
      </c>
    </row>
    <row r="3081">
      <c r="A3081" s="1" t="s">
        <v>17087</v>
      </c>
      <c r="B3081" s="1" t="s">
        <v>37</v>
      </c>
      <c r="C3081" s="1" t="s">
        <v>17088</v>
      </c>
      <c r="E3081" s="1" t="s">
        <v>17089</v>
      </c>
      <c r="F3081" s="1" t="s">
        <v>415</v>
      </c>
      <c r="G3081" s="1" t="s">
        <v>17078</v>
      </c>
      <c r="H3081" s="1">
        <v>2019.0</v>
      </c>
      <c r="I3081" s="1" t="s">
        <v>136</v>
      </c>
      <c r="J3081" s="1" t="s">
        <v>51</v>
      </c>
      <c r="K3081" s="1" t="s">
        <v>507</v>
      </c>
      <c r="L3081" s="1" t="s">
        <v>17090</v>
      </c>
      <c r="M3081" s="2" t="s">
        <v>12</v>
      </c>
      <c r="N3081" s="4">
        <f t="shared" si="1"/>
        <v>43830</v>
      </c>
      <c r="O3081" s="5" t="str">
        <f>IFERROR(__xludf.DUMMYFUNCTION("IF(REGEXMATCH(TRIM(I3081), ""^\d+\s*min""), ""Unclassified"", IF(I3081 = """", ""NR"", I3081))"),"TV-PG")</f>
        <v>TV-PG</v>
      </c>
      <c r="R3081" s="5" t="str">
        <f t="shared" si="2"/>
        <v>Arashi'S Diary -Voyage-</v>
      </c>
      <c r="S3081" s="5" t="str">
        <f>IFERROR(__xludf.DUMMYFUNCTION("""COMPUTED_VALUE"""),"Highly Strung")</f>
        <v>Highly Strung</v>
      </c>
      <c r="U3081" s="5" t="str">
        <f>IFERROR(__xludf.DUMMYFUNCTION("""COMPUTED_VALUE"""),"Víctor García")</f>
        <v>Víctor García</v>
      </c>
      <c r="V3081" s="5" t="s">
        <v>17091</v>
      </c>
      <c r="W3081" s="5" t="str">
        <f t="shared" si="3"/>
        <v>Noushad</v>
      </c>
      <c r="X3081" s="5">
        <f t="shared" si="4"/>
        <v>1</v>
      </c>
      <c r="Y3081" s="5" t="str">
        <f>IFERROR(__xludf.DUMMYFUNCTION("REGEXEXTRACT(J3081, ""^\d+"")"),"1")</f>
        <v>1</v>
      </c>
      <c r="Z3081" s="5" t="str">
        <f>IFERROR(__xludf.DUMMYFUNCTION("REGEXEXTRACT(J3081, ""[A-Za-z ]+$"")")," Season")</f>
        <v> Season</v>
      </c>
      <c r="AA3081" s="5" t="str">
        <f>IFERROR(__xludf.DUMMYFUNCTION("IF(REGEXMATCH(Z3081, ""Season""), ""TV Show"", ""Movie"")"),"TV Show")</f>
        <v>TV Show</v>
      </c>
    </row>
    <row r="3082">
      <c r="A3082" s="1" t="s">
        <v>17092</v>
      </c>
      <c r="B3082" s="1" t="s">
        <v>27</v>
      </c>
      <c r="C3082" s="1" t="s">
        <v>17093</v>
      </c>
      <c r="D3082" s="1" t="s">
        <v>11623</v>
      </c>
      <c r="E3082" s="1" t="s">
        <v>17094</v>
      </c>
      <c r="F3082" s="1" t="s">
        <v>30</v>
      </c>
      <c r="G3082" s="1" t="s">
        <v>17078</v>
      </c>
      <c r="H3082" s="1">
        <v>2019.0</v>
      </c>
      <c r="I3082" s="1" t="s">
        <v>32</v>
      </c>
      <c r="J3082" s="1" t="s">
        <v>33</v>
      </c>
      <c r="K3082" s="1" t="s">
        <v>10251</v>
      </c>
      <c r="L3082" s="1" t="s">
        <v>17095</v>
      </c>
      <c r="M3082" s="2" t="s">
        <v>12</v>
      </c>
      <c r="N3082" s="4">
        <f t="shared" si="1"/>
        <v>43830</v>
      </c>
      <c r="O3082" s="5" t="str">
        <f>IFERROR(__xludf.DUMMYFUNCTION("IF(REGEXMATCH(TRIM(I3082), ""^\d+\s*min""), ""Unclassified"", IF(I3082 = """", ""NR"", I3082))"),"PG-13")</f>
        <v>PG-13</v>
      </c>
      <c r="R3082" s="5" t="str">
        <f t="shared" si="2"/>
        <v>Benchwarmers 2: Breaking Balls</v>
      </c>
      <c r="S3082" s="5" t="str">
        <f>IFERROR(__xludf.DUMMYFUNCTION("""COMPUTED_VALUE"""),"Highway")</f>
        <v>Highway</v>
      </c>
      <c r="U3082" s="5" t="str">
        <f>IFERROR(__xludf.DUMMYFUNCTION("""COMPUTED_VALUE"""),"Charlie Vaughn")</f>
        <v>Charlie Vaughn</v>
      </c>
      <c r="V3082" s="5" t="s">
        <v>8080</v>
      </c>
      <c r="W3082" s="5" t="str">
        <f t="shared" si="3"/>
        <v>Noviandra Santosa</v>
      </c>
      <c r="X3082" s="5">
        <f t="shared" si="4"/>
        <v>1</v>
      </c>
      <c r="Y3082" s="5" t="str">
        <f>IFERROR(__xludf.DUMMYFUNCTION("REGEXEXTRACT(J3082, ""^\d+"")"),"90")</f>
        <v>90</v>
      </c>
      <c r="Z3082" s="5" t="str">
        <f>IFERROR(__xludf.DUMMYFUNCTION("REGEXEXTRACT(J3082, ""[A-Za-z ]+$"")")," min")</f>
        <v> min</v>
      </c>
      <c r="AA3082" s="5" t="str">
        <f>IFERROR(__xludf.DUMMYFUNCTION("IF(REGEXMATCH(Z3082, ""Season""), ""TV Show"", ""Movie"")"),"Movie")</f>
        <v>Movie</v>
      </c>
    </row>
    <row r="3083">
      <c r="A3083" s="1" t="s">
        <v>17096</v>
      </c>
      <c r="B3083" s="1" t="s">
        <v>27</v>
      </c>
      <c r="C3083" s="1" t="s">
        <v>17097</v>
      </c>
      <c r="D3083" s="1" t="s">
        <v>3906</v>
      </c>
      <c r="E3083" s="1" t="s">
        <v>17098</v>
      </c>
      <c r="F3083" s="1" t="s">
        <v>30</v>
      </c>
      <c r="G3083" s="1" t="s">
        <v>17078</v>
      </c>
      <c r="H3083" s="1">
        <v>2019.0</v>
      </c>
      <c r="I3083" s="1" t="s">
        <v>42</v>
      </c>
      <c r="J3083" s="1" t="s">
        <v>1191</v>
      </c>
      <c r="K3083" s="1" t="s">
        <v>239</v>
      </c>
      <c r="L3083" s="1" t="s">
        <v>17099</v>
      </c>
      <c r="M3083" s="2" t="s">
        <v>12</v>
      </c>
      <c r="N3083" s="4">
        <f t="shared" si="1"/>
        <v>43830</v>
      </c>
      <c r="O3083" s="5" t="str">
        <f>IFERROR(__xludf.DUMMYFUNCTION("IF(REGEXMATCH(TRIM(I3083), ""^\d+\s*min""), ""Unclassified"", IF(I3083 = """", ""NR"", I3083))"),"TV-MA")</f>
        <v>TV-MA</v>
      </c>
      <c r="R3083" s="5" t="str">
        <f t="shared" si="2"/>
        <v>How High 2</v>
      </c>
      <c r="S3083" s="5" t="str">
        <f>IFERROR(__xludf.DUMMYFUNCTION("""COMPUTED_VALUE"""),"Highway Thru Hell")</f>
        <v>Highway Thru Hell</v>
      </c>
      <c r="U3083" s="5" t="str">
        <f>IFERROR(__xludf.DUMMYFUNCTION("""COMPUTED_VALUE"""),"Chris Blake")</f>
        <v>Chris Blake</v>
      </c>
      <c r="V3083" s="5" t="s">
        <v>17100</v>
      </c>
      <c r="W3083" s="5" t="str">
        <f t="shared" si="3"/>
        <v>Nuel Naval</v>
      </c>
      <c r="X3083" s="5">
        <f t="shared" si="4"/>
        <v>1</v>
      </c>
      <c r="Y3083" s="5" t="str">
        <f>IFERROR(__xludf.DUMMYFUNCTION("REGEXEXTRACT(J3083, ""^\d+"")"),"89")</f>
        <v>89</v>
      </c>
      <c r="Z3083" s="5" t="str">
        <f>IFERROR(__xludf.DUMMYFUNCTION("REGEXEXTRACT(J3083, ""[A-Za-z ]+$"")")," min")</f>
        <v> min</v>
      </c>
      <c r="AA3083" s="5" t="str">
        <f>IFERROR(__xludf.DUMMYFUNCTION("IF(REGEXMATCH(Z3083, ""Season""), ""TV Show"", ""Movie"")"),"Movie")</f>
        <v>Movie</v>
      </c>
    </row>
    <row r="3084">
      <c r="A3084" s="1" t="s">
        <v>17101</v>
      </c>
      <c r="B3084" s="1" t="s">
        <v>37</v>
      </c>
      <c r="C3084" s="1" t="s">
        <v>17102</v>
      </c>
      <c r="E3084" s="1" t="s">
        <v>17103</v>
      </c>
      <c r="F3084" s="1" t="s">
        <v>17104</v>
      </c>
      <c r="G3084" s="1" t="s">
        <v>17078</v>
      </c>
      <c r="H3084" s="1">
        <v>2019.0</v>
      </c>
      <c r="I3084" s="1" t="s">
        <v>42</v>
      </c>
      <c r="J3084" s="1" t="s">
        <v>276</v>
      </c>
      <c r="K3084" s="1" t="s">
        <v>283</v>
      </c>
      <c r="L3084" s="1" t="s">
        <v>17105</v>
      </c>
      <c r="M3084" s="2" t="s">
        <v>12</v>
      </c>
      <c r="N3084" s="4">
        <f t="shared" si="1"/>
        <v>43830</v>
      </c>
      <c r="O3084" s="5" t="str">
        <f>IFERROR(__xludf.DUMMYFUNCTION("IF(REGEXMATCH(TRIM(I3084), ""^\d+\s*min""), ""Unclassified"", IF(I3084 = """", ""NR"", I3084))"),"TV-MA")</f>
        <v>TV-MA</v>
      </c>
      <c r="R3084" s="5" t="str">
        <f t="shared" si="2"/>
        <v>Occupied</v>
      </c>
      <c r="S3084" s="5" t="str">
        <f>IFERROR(__xludf.DUMMYFUNCTION("""COMPUTED_VALUE"""),"Highway To Heaven")</f>
        <v>Highway To Heaven</v>
      </c>
      <c r="U3084" s="5" t="str">
        <f>IFERROR(__xludf.DUMMYFUNCTION("""COMPUTED_VALUE"""),"Matthew Hope")</f>
        <v>Matthew Hope</v>
      </c>
      <c r="V3084" s="5" t="s">
        <v>17106</v>
      </c>
      <c r="W3084" s="5" t="str">
        <f t="shared" si="3"/>
        <v>Nuhash Humayun, Syed Ahmed Shawki, Rahat Rahman, Robiul Alam Robi, Golam Kibria Farooki, Mir Mukarram Hossain, Tanvir Ahsan, Mahmudul Islam, Abdullah Al Noor, Krishnendu Chattopadhyay, Syed Saleh Ahmed Sobhan</v>
      </c>
      <c r="X3084" s="5">
        <f t="shared" si="4"/>
        <v>1</v>
      </c>
      <c r="Y3084" s="5" t="str">
        <f>IFERROR(__xludf.DUMMYFUNCTION("REGEXEXTRACT(J3084, ""^\d+"")"),"3")</f>
        <v>3</v>
      </c>
      <c r="Z3084" s="5" t="str">
        <f>IFERROR(__xludf.DUMMYFUNCTION("REGEXEXTRACT(J3084, ""[A-Za-z ]+$"")")," Seasons")</f>
        <v> Seasons</v>
      </c>
      <c r="AA3084" s="5" t="str">
        <f>IFERROR(__xludf.DUMMYFUNCTION("IF(REGEXMATCH(Z3084, ""Season""), ""TV Show"", ""Movie"")"),"TV Show")</f>
        <v>TV Show</v>
      </c>
    </row>
    <row r="3085">
      <c r="A3085" s="1" t="s">
        <v>17107</v>
      </c>
      <c r="B3085" s="1" t="s">
        <v>37</v>
      </c>
      <c r="C3085" s="1" t="s">
        <v>17108</v>
      </c>
      <c r="E3085" s="1" t="s">
        <v>17109</v>
      </c>
      <c r="G3085" s="1" t="s">
        <v>17078</v>
      </c>
      <c r="H3085" s="1">
        <v>2018.0</v>
      </c>
      <c r="I3085" s="1" t="s">
        <v>289</v>
      </c>
      <c r="J3085" s="1" t="s">
        <v>51</v>
      </c>
      <c r="K3085" s="1" t="s">
        <v>637</v>
      </c>
      <c r="L3085" s="1" t="s">
        <v>17110</v>
      </c>
      <c r="M3085" s="2" t="s">
        <v>12</v>
      </c>
      <c r="N3085" s="4">
        <f t="shared" si="1"/>
        <v>43830</v>
      </c>
      <c r="O3085" s="5" t="str">
        <f>IFERROR(__xludf.DUMMYFUNCTION("IF(REGEXMATCH(TRIM(I3085), ""^\d+\s*min""), ""Unclassified"", IF(I3085 = """", ""NR"", I3085))"),"TV-Y7")</f>
        <v>TV-Y7</v>
      </c>
      <c r="R3085" s="5" t="str">
        <f t="shared" si="2"/>
        <v>Pucca: Love Recipe</v>
      </c>
      <c r="S3085" s="5" t="str">
        <f>IFERROR(__xludf.DUMMYFUNCTION("""COMPUTED_VALUE"""),"Hikaru Utada Laughter In The Dark Tour 2018")</f>
        <v>Hikaru Utada Laughter In The Dark Tour 2018</v>
      </c>
      <c r="U3085" s="5" t="str">
        <f>IFERROR(__xludf.DUMMYFUNCTION("""COMPUTED_VALUE"""),"Vincent Perez")</f>
        <v>Vincent Perez</v>
      </c>
      <c r="V3085" s="5" t="s">
        <v>16764</v>
      </c>
      <c r="W3085" s="5" t="str">
        <f t="shared" si="3"/>
        <v>Numa Perrier</v>
      </c>
      <c r="X3085" s="5">
        <f t="shared" si="4"/>
        <v>1</v>
      </c>
      <c r="Y3085" s="5" t="str">
        <f>IFERROR(__xludf.DUMMYFUNCTION("REGEXEXTRACT(J3085, ""^\d+"")"),"1")</f>
        <v>1</v>
      </c>
      <c r="Z3085" s="5" t="str">
        <f>IFERROR(__xludf.DUMMYFUNCTION("REGEXEXTRACT(J3085, ""[A-Za-z ]+$"")")," Season")</f>
        <v> Season</v>
      </c>
      <c r="AA3085" s="5" t="str">
        <f>IFERROR(__xludf.DUMMYFUNCTION("IF(REGEXMATCH(Z3085, ""Season""), ""TV Show"", ""Movie"")"),"TV Show")</f>
        <v>TV Show</v>
      </c>
    </row>
    <row r="3086">
      <c r="A3086" s="1" t="s">
        <v>17111</v>
      </c>
      <c r="B3086" s="1" t="s">
        <v>37</v>
      </c>
      <c r="C3086" s="1" t="s">
        <v>17112</v>
      </c>
      <c r="E3086" s="1" t="s">
        <v>17113</v>
      </c>
      <c r="F3086" s="1" t="s">
        <v>17114</v>
      </c>
      <c r="G3086" s="1" t="s">
        <v>17078</v>
      </c>
      <c r="H3086" s="1">
        <v>2016.0</v>
      </c>
      <c r="I3086" s="1" t="s">
        <v>206</v>
      </c>
      <c r="J3086" s="1" t="s">
        <v>51</v>
      </c>
      <c r="K3086" s="1" t="s">
        <v>290</v>
      </c>
      <c r="L3086" s="1" t="s">
        <v>17115</v>
      </c>
      <c r="M3086" s="2" t="s">
        <v>12</v>
      </c>
      <c r="N3086" s="4">
        <f t="shared" si="1"/>
        <v>43830</v>
      </c>
      <c r="O3086" s="5" t="str">
        <f>IFERROR(__xludf.DUMMYFUNCTION("IF(REGEXMATCH(TRIM(I3086), ""^\d+\s*min""), ""Unclassified"", IF(I3086 = """", ""NR"", I3086))"),"TV-Y")</f>
        <v>TV-Y</v>
      </c>
      <c r="R3086" s="5" t="str">
        <f t="shared" si="2"/>
        <v>Rainbow Ruby</v>
      </c>
      <c r="S3086" s="5" t="str">
        <f>IFERROR(__xludf.DUMMYFUNCTION("""COMPUTED_VALUE"""),"Hilda")</f>
        <v>Hilda</v>
      </c>
      <c r="U3086" s="5" t="str">
        <f>IFERROR(__xludf.DUMMYFUNCTION("""COMPUTED_VALUE"""),"Lee Tamahori")</f>
        <v>Lee Tamahori</v>
      </c>
      <c r="V3086" s="5" t="s">
        <v>17116</v>
      </c>
      <c r="W3086" s="5" t="str">
        <f t="shared" si="3"/>
        <v>Nzingha Stewart</v>
      </c>
      <c r="X3086" s="5">
        <f t="shared" si="4"/>
        <v>1</v>
      </c>
      <c r="Y3086" s="5" t="str">
        <f>IFERROR(__xludf.DUMMYFUNCTION("REGEXEXTRACT(J3086, ""^\d+"")"),"1")</f>
        <v>1</v>
      </c>
      <c r="Z3086" s="5" t="str">
        <f>IFERROR(__xludf.DUMMYFUNCTION("REGEXEXTRACT(J3086, ""[A-Za-z ]+$"")")," Season")</f>
        <v> Season</v>
      </c>
      <c r="AA3086" s="5" t="str">
        <f>IFERROR(__xludf.DUMMYFUNCTION("IF(REGEXMATCH(Z3086, ""Season""), ""TV Show"", ""Movie"")"),"TV Show")</f>
        <v>TV Show</v>
      </c>
    </row>
    <row r="3087">
      <c r="A3087" s="1" t="s">
        <v>17117</v>
      </c>
      <c r="B3087" s="1" t="s">
        <v>37</v>
      </c>
      <c r="C3087" s="1" t="s">
        <v>17118</v>
      </c>
      <c r="E3087" s="1" t="s">
        <v>17119</v>
      </c>
      <c r="F3087" s="1" t="s">
        <v>749</v>
      </c>
      <c r="G3087" s="1" t="s">
        <v>17078</v>
      </c>
      <c r="H3087" s="1">
        <v>2018.0</v>
      </c>
      <c r="I3087" s="1" t="s">
        <v>289</v>
      </c>
      <c r="J3087" s="1" t="s">
        <v>43</v>
      </c>
      <c r="K3087" s="1" t="s">
        <v>637</v>
      </c>
      <c r="L3087" s="1" t="s">
        <v>17120</v>
      </c>
      <c r="M3087" s="2" t="s">
        <v>12</v>
      </c>
      <c r="N3087" s="4">
        <f t="shared" si="1"/>
        <v>43830</v>
      </c>
      <c r="O3087" s="5" t="str">
        <f>IFERROR(__xludf.DUMMYFUNCTION("IF(REGEXMATCH(TRIM(I3087), ""^\d+\s*min""), ""Unclassified"", IF(I3087 = """", ""NR"", I3087))"),"TV-Y7")</f>
        <v>TV-Y7</v>
      </c>
      <c r="R3087" s="5" t="str">
        <f t="shared" si="2"/>
        <v>Robot Trains</v>
      </c>
      <c r="S3087" s="5" t="str">
        <f>IFERROR(__xludf.DUMMYFUNCTION("""COMPUTED_VALUE"""),"Hillbilly Elegy")</f>
        <v>Hillbilly Elegy</v>
      </c>
      <c r="U3087" s="5" t="str">
        <f>IFERROR(__xludf.DUMMYFUNCTION("""COMPUTED_VALUE"""),"Richard Rich")</f>
        <v>Richard Rich</v>
      </c>
      <c r="V3087" s="5" t="s">
        <v>14283</v>
      </c>
      <c r="W3087" s="5" t="str">
        <f t="shared" si="3"/>
        <v>Obaid Alhmoudi</v>
      </c>
      <c r="X3087" s="5">
        <f t="shared" si="4"/>
        <v>1</v>
      </c>
      <c r="Y3087" s="5" t="str">
        <f>IFERROR(__xludf.DUMMYFUNCTION("REGEXEXTRACT(J3087, ""^\d+"")"),"2")</f>
        <v>2</v>
      </c>
      <c r="Z3087" s="5" t="str">
        <f>IFERROR(__xludf.DUMMYFUNCTION("REGEXEXTRACT(J3087, ""[A-Za-z ]+$"")")," Seasons")</f>
        <v> Seasons</v>
      </c>
      <c r="AA3087" s="5" t="str">
        <f>IFERROR(__xludf.DUMMYFUNCTION("IF(REGEXMATCH(Z3087, ""Season""), ""TV Show"", ""Movie"")"),"TV Show")</f>
        <v>TV Show</v>
      </c>
    </row>
    <row r="3088">
      <c r="A3088" s="1" t="s">
        <v>17121</v>
      </c>
      <c r="B3088" s="1" t="s">
        <v>37</v>
      </c>
      <c r="C3088" s="1" t="s">
        <v>17122</v>
      </c>
      <c r="E3088" s="1" t="s">
        <v>17123</v>
      </c>
      <c r="G3088" s="1" t="s">
        <v>17078</v>
      </c>
      <c r="H3088" s="1">
        <v>2019.0</v>
      </c>
      <c r="I3088" s="1" t="s">
        <v>42</v>
      </c>
      <c r="J3088" s="1" t="s">
        <v>43</v>
      </c>
      <c r="K3088" s="1" t="s">
        <v>2512</v>
      </c>
      <c r="L3088" s="1" t="s">
        <v>17124</v>
      </c>
      <c r="M3088" s="2" t="s">
        <v>12</v>
      </c>
      <c r="N3088" s="4">
        <f t="shared" si="1"/>
        <v>43830</v>
      </c>
      <c r="O3088" s="5" t="str">
        <f>IFERROR(__xludf.DUMMYFUNCTION("IF(REGEXMATCH(TRIM(I3088), ""^\d+\s*min""), ""Unclassified"", IF(I3088 = """", ""NR"", I3088))"),"TV-MA")</f>
        <v>TV-MA</v>
      </c>
      <c r="R3088" s="5" t="str">
        <f t="shared" si="2"/>
        <v>The Degenerates</v>
      </c>
      <c r="S3088" s="5" t="str">
        <f>IFERROR(__xludf.DUMMYFUNCTION("""COMPUTED_VALUE"""),"Himmatwala")</f>
        <v>Himmatwala</v>
      </c>
      <c r="U3088" s="5" t="str">
        <f>IFERROR(__xludf.DUMMYFUNCTION("""COMPUTED_VALUE"""),"Greg Kohs")</f>
        <v>Greg Kohs</v>
      </c>
      <c r="V3088" s="5" t="s">
        <v>13182</v>
      </c>
      <c r="W3088" s="5" t="str">
        <f t="shared" si="3"/>
        <v>Obi Emelonye</v>
      </c>
      <c r="X3088" s="5">
        <f t="shared" si="4"/>
        <v>3</v>
      </c>
      <c r="Y3088" s="5" t="str">
        <f>IFERROR(__xludf.DUMMYFUNCTION("REGEXEXTRACT(J3088, ""^\d+"")"),"2")</f>
        <v>2</v>
      </c>
      <c r="Z3088" s="5" t="str">
        <f>IFERROR(__xludf.DUMMYFUNCTION("REGEXEXTRACT(J3088, ""[A-Za-z ]+$"")")," Seasons")</f>
        <v> Seasons</v>
      </c>
      <c r="AA3088" s="5" t="str">
        <f>IFERROR(__xludf.DUMMYFUNCTION("IF(REGEXMATCH(Z3088, ""Season""), ""TV Show"", ""Movie"")"),"TV Show")</f>
        <v>TV Show</v>
      </c>
    </row>
    <row r="3089">
      <c r="A3089" s="1" t="s">
        <v>17125</v>
      </c>
      <c r="B3089" s="1" t="s">
        <v>37</v>
      </c>
      <c r="C3089" s="1" t="s">
        <v>17126</v>
      </c>
      <c r="E3089" s="1" t="s">
        <v>17127</v>
      </c>
      <c r="F3089" s="1" t="s">
        <v>3892</v>
      </c>
      <c r="G3089" s="1" t="s">
        <v>17078</v>
      </c>
      <c r="H3089" s="1">
        <v>2019.0</v>
      </c>
      <c r="I3089" s="1" t="s">
        <v>97</v>
      </c>
      <c r="J3089" s="1" t="s">
        <v>51</v>
      </c>
      <c r="K3089" s="1" t="s">
        <v>402</v>
      </c>
      <c r="L3089" s="1" t="s">
        <v>17128</v>
      </c>
      <c r="M3089" s="2" t="s">
        <v>12</v>
      </c>
      <c r="N3089" s="4">
        <f t="shared" si="1"/>
        <v>43830</v>
      </c>
      <c r="O3089" s="5" t="str">
        <f>IFERROR(__xludf.DUMMYFUNCTION("IF(REGEXMATCH(TRIM(I3089), ""^\d+\s*min""), ""Unclassified"", IF(I3089 = """", ""NR"", I3089))"),"TV-14")</f>
        <v>TV-14</v>
      </c>
      <c r="R3089" s="5" t="str">
        <f t="shared" si="2"/>
        <v>Yanxi Palace: Princess Adventures</v>
      </c>
      <c r="S3089" s="5" t="str">
        <f>IFERROR(__xludf.DUMMYFUNCTION("""COMPUTED_VALUE"""),"Hinterland")</f>
        <v>Hinterland</v>
      </c>
      <c r="U3089" s="5" t="str">
        <f>IFERROR(__xludf.DUMMYFUNCTION("""COMPUTED_VALUE"""),"Trey Haley")</f>
        <v>Trey Haley</v>
      </c>
      <c r="V3089" s="5" t="s">
        <v>17129</v>
      </c>
      <c r="W3089" s="5" t="str">
        <f t="shared" si="3"/>
        <v>Oded Raz</v>
      </c>
      <c r="X3089" s="5">
        <f t="shared" si="4"/>
        <v>1</v>
      </c>
      <c r="Y3089" s="5" t="str">
        <f>IFERROR(__xludf.DUMMYFUNCTION("REGEXEXTRACT(J3089, ""^\d+"")"),"1")</f>
        <v>1</v>
      </c>
      <c r="Z3089" s="5" t="str">
        <f>IFERROR(__xludf.DUMMYFUNCTION("REGEXEXTRACT(J3089, ""[A-Za-z ]+$"")")," Season")</f>
        <v> Season</v>
      </c>
      <c r="AA3089" s="5" t="str">
        <f>IFERROR(__xludf.DUMMYFUNCTION("IF(REGEXMATCH(Z3089, ""Season""), ""TV Show"", ""Movie"")"),"TV Show")</f>
        <v>TV Show</v>
      </c>
    </row>
    <row r="3090">
      <c r="A3090" s="1" t="s">
        <v>17130</v>
      </c>
      <c r="B3090" s="1" t="s">
        <v>37</v>
      </c>
      <c r="C3090" s="1" t="s">
        <v>17131</v>
      </c>
      <c r="E3090" s="1" t="s">
        <v>17132</v>
      </c>
      <c r="F3090" s="1" t="s">
        <v>415</v>
      </c>
      <c r="G3090" s="1" t="s">
        <v>17133</v>
      </c>
      <c r="H3090" s="1">
        <v>2019.0</v>
      </c>
      <c r="I3090" s="1" t="s">
        <v>97</v>
      </c>
      <c r="J3090" s="1" t="s">
        <v>51</v>
      </c>
      <c r="K3090" s="1" t="s">
        <v>567</v>
      </c>
      <c r="L3090" s="1" t="s">
        <v>17134</v>
      </c>
      <c r="M3090" s="2" t="s">
        <v>12</v>
      </c>
      <c r="N3090" s="4">
        <f t="shared" si="1"/>
        <v>43829</v>
      </c>
      <c r="O3090" s="5" t="str">
        <f>IFERROR(__xludf.DUMMYFUNCTION("IF(REGEXMATCH(TRIM(I3090), ""^\d+\s*min""), ""Unclassified"", IF(I3090 = """", ""NR"", I3090))"),"TV-14")</f>
        <v>TV-14</v>
      </c>
      <c r="R3090" s="5" t="str">
        <f t="shared" si="2"/>
        <v>The Disastrous Life Of Saiki K.: Reawakened</v>
      </c>
      <c r="S3090" s="5" t="str">
        <f>IFERROR(__xludf.DUMMYFUNCTION("""COMPUTED_VALUE"""),"Hip-Hop Evolution")</f>
        <v>Hip-Hop Evolution</v>
      </c>
      <c r="U3090" s="5" t="str">
        <f>IFERROR(__xludf.DUMMYFUNCTION("""COMPUTED_VALUE"""),"Atul Malhotra")</f>
        <v>Atul Malhotra</v>
      </c>
      <c r="V3090" s="5" t="s">
        <v>17135</v>
      </c>
      <c r="W3090" s="5" t="str">
        <f t="shared" si="3"/>
        <v>Odunlade Adekola</v>
      </c>
      <c r="X3090" s="5">
        <f t="shared" si="4"/>
        <v>1</v>
      </c>
      <c r="Y3090" s="5" t="str">
        <f>IFERROR(__xludf.DUMMYFUNCTION("REGEXEXTRACT(J3090, ""^\d+"")"),"1")</f>
        <v>1</v>
      </c>
      <c r="Z3090" s="5" t="str">
        <f>IFERROR(__xludf.DUMMYFUNCTION("REGEXEXTRACT(J3090, ""[A-Za-z ]+$"")")," Season")</f>
        <v> Season</v>
      </c>
      <c r="AA3090" s="5" t="str">
        <f>IFERROR(__xludf.DUMMYFUNCTION("IF(REGEXMATCH(Z3090, ""Season""), ""TV Show"", ""Movie"")"),"TV Show")</f>
        <v>TV Show</v>
      </c>
    </row>
    <row r="3091">
      <c r="A3091" s="1" t="s">
        <v>17136</v>
      </c>
      <c r="B3091" s="1" t="s">
        <v>27</v>
      </c>
      <c r="C3091" s="1" t="s">
        <v>17137</v>
      </c>
      <c r="D3091" s="1" t="s">
        <v>17138</v>
      </c>
      <c r="E3091" s="1" t="s">
        <v>17139</v>
      </c>
      <c r="F3091" s="1" t="s">
        <v>415</v>
      </c>
      <c r="G3091" s="1" t="s">
        <v>17140</v>
      </c>
      <c r="H3091" s="1">
        <v>2019.0</v>
      </c>
      <c r="I3091" s="1" t="s">
        <v>42</v>
      </c>
      <c r="J3091" s="1" t="s">
        <v>985</v>
      </c>
      <c r="K3091" s="1" t="s">
        <v>128</v>
      </c>
      <c r="L3091" s="1" t="s">
        <v>17141</v>
      </c>
      <c r="M3091" s="2" t="s">
        <v>12</v>
      </c>
      <c r="N3091" s="4">
        <f t="shared" si="1"/>
        <v>43827</v>
      </c>
      <c r="O3091" s="5" t="str">
        <f>IFERROR(__xludf.DUMMYFUNCTION("IF(REGEXMATCH(TRIM(I3091), ""^\d+\s*min""), ""Unclassified"", IF(I3091 = """", ""NR"", I3091))"),"TV-MA")</f>
        <v>TV-MA</v>
      </c>
      <c r="R3091" s="5" t="str">
        <f t="shared" si="2"/>
        <v>Hot Gimmick: Girl Meets Boy</v>
      </c>
      <c r="S3091" s="5" t="str">
        <f>IFERROR(__xludf.DUMMYFUNCTION("""COMPUTED_VALUE"""),"Hire A Woman")</f>
        <v>Hire A Woman</v>
      </c>
      <c r="U3091" s="5" t="str">
        <f>IFERROR(__xludf.DUMMYFUNCTION("""COMPUTED_VALUE"""),"Manmohan Desai")</f>
        <v>Manmohan Desai</v>
      </c>
      <c r="V3091" s="5" t="s">
        <v>17142</v>
      </c>
      <c r="W3091" s="5" t="str">
        <f t="shared" si="3"/>
        <v>Ofir Raul Graizer</v>
      </c>
      <c r="X3091" s="5">
        <f t="shared" si="4"/>
        <v>1</v>
      </c>
      <c r="Y3091" s="5" t="str">
        <f>IFERROR(__xludf.DUMMYFUNCTION("REGEXEXTRACT(J3091, ""^\d+"")"),"120")</f>
        <v>120</v>
      </c>
      <c r="Z3091" s="5" t="str">
        <f>IFERROR(__xludf.DUMMYFUNCTION("REGEXEXTRACT(J3091, ""[A-Za-z ]+$"")")," min")</f>
        <v> min</v>
      </c>
      <c r="AA3091" s="5" t="str">
        <f>IFERROR(__xludf.DUMMYFUNCTION("IF(REGEXMATCH(Z3091, ""Season""), ""TV Show"", ""Movie"")"),"Movie")</f>
        <v>Movie</v>
      </c>
    </row>
    <row r="3092">
      <c r="A3092" s="1" t="s">
        <v>17143</v>
      </c>
      <c r="B3092" s="1" t="s">
        <v>27</v>
      </c>
      <c r="C3092" s="1" t="s">
        <v>17144</v>
      </c>
      <c r="D3092" s="1" t="s">
        <v>1974</v>
      </c>
      <c r="E3092" s="1" t="s">
        <v>17145</v>
      </c>
      <c r="F3092" s="1" t="s">
        <v>40</v>
      </c>
      <c r="G3092" s="1" t="s">
        <v>17146</v>
      </c>
      <c r="H3092" s="1">
        <v>2013.0</v>
      </c>
      <c r="I3092" s="1" t="s">
        <v>42</v>
      </c>
      <c r="J3092" s="1" t="s">
        <v>447</v>
      </c>
      <c r="K3092" s="1" t="s">
        <v>1328</v>
      </c>
      <c r="L3092" s="1" t="s">
        <v>17147</v>
      </c>
      <c r="M3092" s="2" t="s">
        <v>12</v>
      </c>
      <c r="N3092" s="4">
        <f t="shared" si="1"/>
        <v>43826</v>
      </c>
      <c r="O3092" s="5" t="str">
        <f>IFERROR(__xludf.DUMMYFUNCTION("IF(REGEXMATCH(TRIM(I3092), ""^\d+\s*min""), ""Unclassified"", IF(I3092 = """", ""NR"", I3092))"),"TV-MA")</f>
        <v>TV-MA</v>
      </c>
      <c r="R3092" s="5" t="str">
        <f t="shared" si="2"/>
        <v>Blitz Patrollie</v>
      </c>
      <c r="S3092" s="5" t="str">
        <f>IFERROR(__xludf.DUMMYFUNCTION("""COMPUTED_VALUE"""),"Hiroshima: The Real History")</f>
        <v>Hiroshima: The Real History</v>
      </c>
      <c r="U3092" s="5" t="str">
        <f>IFERROR(__xludf.DUMMYFUNCTION("""COMPUTED_VALUE"""),"Khaled Youssef")</f>
        <v>Khaled Youssef</v>
      </c>
      <c r="V3092" s="5" t="s">
        <v>8122</v>
      </c>
      <c r="W3092" s="5" t="str">
        <f t="shared" si="3"/>
        <v>Okey Oku</v>
      </c>
      <c r="X3092" s="5">
        <f t="shared" si="4"/>
        <v>1</v>
      </c>
      <c r="Y3092" s="5" t="str">
        <f>IFERROR(__xludf.DUMMYFUNCTION("REGEXEXTRACT(J3092, ""^\d+"")"),"102")</f>
        <v>102</v>
      </c>
      <c r="Z3092" s="5" t="str">
        <f>IFERROR(__xludf.DUMMYFUNCTION("REGEXEXTRACT(J3092, ""[A-Za-z ]+$"")")," min")</f>
        <v> min</v>
      </c>
      <c r="AA3092" s="5" t="str">
        <f>IFERROR(__xludf.DUMMYFUNCTION("IF(REGEXMATCH(Z3092, ""Season""), ""TV Show"", ""Movie"")"),"Movie")</f>
        <v>Movie</v>
      </c>
    </row>
    <row r="3093">
      <c r="A3093" s="1" t="s">
        <v>17148</v>
      </c>
      <c r="B3093" s="1" t="s">
        <v>27</v>
      </c>
      <c r="C3093" s="1" t="s">
        <v>17149</v>
      </c>
      <c r="D3093" s="1" t="s">
        <v>7066</v>
      </c>
      <c r="E3093" s="1" t="s">
        <v>17150</v>
      </c>
      <c r="F3093" s="1" t="s">
        <v>17151</v>
      </c>
      <c r="G3093" s="1" t="s">
        <v>17146</v>
      </c>
      <c r="H3093" s="1">
        <v>2018.0</v>
      </c>
      <c r="I3093" s="1" t="s">
        <v>97</v>
      </c>
      <c r="J3093" s="1" t="s">
        <v>5120</v>
      </c>
      <c r="K3093" s="1" t="s">
        <v>156</v>
      </c>
      <c r="L3093" s="1" t="s">
        <v>17152</v>
      </c>
      <c r="M3093" s="2" t="s">
        <v>12</v>
      </c>
      <c r="N3093" s="4">
        <f t="shared" si="1"/>
        <v>43826</v>
      </c>
      <c r="O3093" s="5" t="str">
        <f>IFERROR(__xludf.DUMMYFUNCTION("IF(REGEXMATCH(TRIM(I3093), ""^\d+\s*min""), ""Unclassified"", IF(I3093 = """", ""NR"", I3093))"),"TV-14")</f>
        <v>TV-14</v>
      </c>
      <c r="R3093" s="5" t="str">
        <f t="shared" si="2"/>
        <v>El Pepe, A Supreme Life</v>
      </c>
      <c r="S3093" s="5" t="str">
        <f>IFERROR(__xludf.DUMMYFUNCTION("""COMPUTED_VALUE"""),"His House")</f>
        <v>His House</v>
      </c>
      <c r="U3093" s="5" t="str">
        <f>IFERROR(__xludf.DUMMYFUNCTION("""COMPUTED_VALUE"""),"Charlie Siskel")</f>
        <v>Charlie Siskel</v>
      </c>
      <c r="V3093" s="5" t="s">
        <v>17153</v>
      </c>
      <c r="W3093" s="5" t="str">
        <f t="shared" si="3"/>
        <v>Ola Flyum, David Hebditch</v>
      </c>
      <c r="X3093" s="5">
        <f t="shared" si="4"/>
        <v>1</v>
      </c>
      <c r="Y3093" s="5" t="str">
        <f>IFERROR(__xludf.DUMMYFUNCTION("REGEXEXTRACT(J3093, ""^\d+"")"),"73")</f>
        <v>73</v>
      </c>
      <c r="Z3093" s="5" t="str">
        <f>IFERROR(__xludf.DUMMYFUNCTION("REGEXEXTRACT(J3093, ""[A-Za-z ]+$"")")," min")</f>
        <v> min</v>
      </c>
      <c r="AA3093" s="5" t="str">
        <f>IFERROR(__xludf.DUMMYFUNCTION("IF(REGEXMATCH(Z3093, ""Season""), ""TV Show"", ""Movie"")"),"Movie")</f>
        <v>Movie</v>
      </c>
    </row>
    <row r="3094">
      <c r="A3094" s="1" t="s">
        <v>17154</v>
      </c>
      <c r="B3094" s="1" t="s">
        <v>37</v>
      </c>
      <c r="C3094" s="1" t="s">
        <v>17155</v>
      </c>
      <c r="F3094" s="1" t="s">
        <v>30</v>
      </c>
      <c r="G3094" s="1" t="s">
        <v>17146</v>
      </c>
      <c r="H3094" s="1">
        <v>2019.0</v>
      </c>
      <c r="I3094" s="1" t="s">
        <v>42</v>
      </c>
      <c r="J3094" s="1" t="s">
        <v>51</v>
      </c>
      <c r="K3094" s="1" t="s">
        <v>1261</v>
      </c>
      <c r="L3094" s="1" t="s">
        <v>17156</v>
      </c>
      <c r="M3094" s="2" t="s">
        <v>12</v>
      </c>
      <c r="N3094" s="4">
        <f t="shared" si="1"/>
        <v>43826</v>
      </c>
      <c r="O3094" s="5" t="str">
        <f>IFERROR(__xludf.DUMMYFUNCTION("IF(REGEXMATCH(TRIM(I3094), ""^\d+\s*min""), ""Unclassified"", IF(I3094 = """", ""NR"", I3094))"),"TV-MA")</f>
        <v>TV-MA</v>
      </c>
      <c r="R3094" s="5" t="str">
        <f t="shared" si="2"/>
        <v>Kevin Hart: Don’T F**K This Up</v>
      </c>
      <c r="S3094" s="5" t="str">
        <f>IFERROR(__xludf.DUMMYFUNCTION("""COMPUTED_VALUE"""),"Hisss")</f>
        <v>Hisss</v>
      </c>
      <c r="U3094" s="5" t="str">
        <f>IFERROR(__xludf.DUMMYFUNCTION("""COMPUTED_VALUE"""),"Sam Mendes")</f>
        <v>Sam Mendes</v>
      </c>
      <c r="V3094" s="5" t="s">
        <v>17157</v>
      </c>
      <c r="W3094" s="5" t="str">
        <f t="shared" si="3"/>
        <v>Olaf De Fleur</v>
      </c>
      <c r="X3094" s="5">
        <f t="shared" si="4"/>
        <v>1</v>
      </c>
      <c r="Y3094" s="5" t="str">
        <f>IFERROR(__xludf.DUMMYFUNCTION("REGEXEXTRACT(J3094, ""^\d+"")"),"1")</f>
        <v>1</v>
      </c>
      <c r="Z3094" s="5" t="str">
        <f>IFERROR(__xludf.DUMMYFUNCTION("REGEXEXTRACT(J3094, ""[A-Za-z ]+$"")")," Season")</f>
        <v> Season</v>
      </c>
      <c r="AA3094" s="5" t="str">
        <f>IFERROR(__xludf.DUMMYFUNCTION("IF(REGEXMATCH(Z3094, ""Season""), ""TV Show"", ""Movie"")"),"TV Show")</f>
        <v>TV Show</v>
      </c>
    </row>
    <row r="3095">
      <c r="A3095" s="1" t="s">
        <v>17158</v>
      </c>
      <c r="B3095" s="1" t="s">
        <v>27</v>
      </c>
      <c r="C3095" s="1" t="s">
        <v>17159</v>
      </c>
      <c r="D3095" s="1" t="s">
        <v>17135</v>
      </c>
      <c r="E3095" s="1" t="s">
        <v>17160</v>
      </c>
      <c r="G3095" s="1" t="s">
        <v>17146</v>
      </c>
      <c r="H3095" s="1">
        <v>2018.0</v>
      </c>
      <c r="I3095" s="1" t="s">
        <v>42</v>
      </c>
      <c r="J3095" s="1" t="s">
        <v>238</v>
      </c>
      <c r="K3095" s="1" t="s">
        <v>199</v>
      </c>
      <c r="L3095" s="1" t="s">
        <v>17161</v>
      </c>
      <c r="M3095" s="2" t="s">
        <v>12</v>
      </c>
      <c r="N3095" s="4">
        <f t="shared" si="1"/>
        <v>43826</v>
      </c>
      <c r="O3095" s="5" t="str">
        <f>IFERROR(__xludf.DUMMYFUNCTION("IF(REGEXMATCH(TRIM(I3095), ""^\d+\s*min""), ""Unclassified"", IF(I3095 = """", ""NR"", I3095))"),"TV-MA")</f>
        <v>TV-MA</v>
      </c>
      <c r="R3095" s="5" t="str">
        <f t="shared" si="2"/>
        <v>The Vendor</v>
      </c>
      <c r="S3095" s="5" t="str">
        <f>IFERROR(__xludf.DUMMYFUNCTION("""COMPUTED_VALUE"""),"Historia De Un Clan")</f>
        <v>Historia De Un Clan</v>
      </c>
      <c r="U3095" s="5" t="str">
        <f>IFERROR(__xludf.DUMMYFUNCTION("""COMPUTED_VALUE"""),"Brendon Marotta")</f>
        <v>Brendon Marotta</v>
      </c>
      <c r="V3095" s="5" t="s">
        <v>17162</v>
      </c>
      <c r="W3095" s="5" t="str">
        <f t="shared" si="3"/>
        <v>Ole Bornedal</v>
      </c>
      <c r="X3095" s="5">
        <f t="shared" si="4"/>
        <v>1</v>
      </c>
      <c r="Y3095" s="5" t="str">
        <f>IFERROR(__xludf.DUMMYFUNCTION("REGEXEXTRACT(J3095, ""^\d+"")"),"103")</f>
        <v>103</v>
      </c>
      <c r="Z3095" s="5" t="str">
        <f>IFERROR(__xludf.DUMMYFUNCTION("REGEXEXTRACT(J3095, ""[A-Za-z ]+$"")")," min")</f>
        <v> min</v>
      </c>
      <c r="AA3095" s="5" t="str">
        <f>IFERROR(__xludf.DUMMYFUNCTION("IF(REGEXMATCH(Z3095, ""Season""), ""TV Show"", ""Movie"")"),"Movie")</f>
        <v>Movie</v>
      </c>
    </row>
    <row r="3096">
      <c r="A3096" s="1" t="s">
        <v>17163</v>
      </c>
      <c r="B3096" s="1" t="s">
        <v>27</v>
      </c>
      <c r="C3096" s="1" t="s">
        <v>17164</v>
      </c>
      <c r="D3096" s="1" t="s">
        <v>6939</v>
      </c>
      <c r="E3096" s="1" t="s">
        <v>17165</v>
      </c>
      <c r="F3096" s="1" t="s">
        <v>1779</v>
      </c>
      <c r="G3096" s="1" t="s">
        <v>17166</v>
      </c>
      <c r="H3096" s="1">
        <v>2019.0</v>
      </c>
      <c r="I3096" s="1" t="s">
        <v>42</v>
      </c>
      <c r="J3096" s="1" t="s">
        <v>6391</v>
      </c>
      <c r="K3096" s="1" t="s">
        <v>89</v>
      </c>
      <c r="L3096" s="1" t="s">
        <v>17167</v>
      </c>
      <c r="M3096" s="2" t="s">
        <v>12</v>
      </c>
      <c r="N3096" s="4">
        <f t="shared" si="1"/>
        <v>43825</v>
      </c>
      <c r="O3096" s="5" t="str">
        <f>IFERROR(__xludf.DUMMYFUNCTION("IF(REGEXMATCH(TRIM(I3096), ""^\d+\s*min""), ""Unclassified"", IF(I3096 = """", ""NR"", I3096))"),"TV-MA")</f>
        <v>TV-MA</v>
      </c>
      <c r="R3096" s="5" t="str">
        <f t="shared" si="2"/>
        <v>The App</v>
      </c>
      <c r="S3096" s="5" t="str">
        <f>IFERROR(__xludf.DUMMYFUNCTION("""COMPUTED_VALUE"""),"Historical Roasts")</f>
        <v>Historical Roasts</v>
      </c>
      <c r="U3096" s="5" t="str">
        <f>IFERROR(__xludf.DUMMYFUNCTION("""COMPUTED_VALUE"""),"Barak Goodman")</f>
        <v>Barak Goodman</v>
      </c>
      <c r="V3096" s="5" t="s">
        <v>3149</v>
      </c>
      <c r="W3096" s="5" t="str">
        <f t="shared" si="3"/>
        <v>Oleg Trofim</v>
      </c>
      <c r="X3096" s="5">
        <f t="shared" si="4"/>
        <v>1</v>
      </c>
      <c r="Y3096" s="5" t="str">
        <f>IFERROR(__xludf.DUMMYFUNCTION("REGEXEXTRACT(J3096, ""^\d+"")"),"79")</f>
        <v>79</v>
      </c>
      <c r="Z3096" s="5" t="str">
        <f>IFERROR(__xludf.DUMMYFUNCTION("REGEXEXTRACT(J3096, ""[A-Za-z ]+$"")")," min")</f>
        <v> min</v>
      </c>
      <c r="AA3096" s="5" t="str">
        <f>IFERROR(__xludf.DUMMYFUNCTION("IF(REGEXMATCH(Z3096, ""Season""), ""TV Show"", ""Movie"")"),"Movie")</f>
        <v>Movie</v>
      </c>
    </row>
    <row r="3097">
      <c r="A3097" s="1" t="s">
        <v>17168</v>
      </c>
      <c r="B3097" s="1" t="s">
        <v>37</v>
      </c>
      <c r="C3097" s="1" t="s">
        <v>17169</v>
      </c>
      <c r="E3097" s="1" t="s">
        <v>17170</v>
      </c>
      <c r="F3097" s="1" t="s">
        <v>664</v>
      </c>
      <c r="G3097" s="1" t="s">
        <v>17166</v>
      </c>
      <c r="H3097" s="1">
        <v>2019.0</v>
      </c>
      <c r="I3097" s="1" t="s">
        <v>42</v>
      </c>
      <c r="J3097" s="1" t="s">
        <v>51</v>
      </c>
      <c r="K3097" s="1" t="s">
        <v>402</v>
      </c>
      <c r="L3097" s="1" t="s">
        <v>17171</v>
      </c>
      <c r="M3097" s="2" t="s">
        <v>12</v>
      </c>
      <c r="N3097" s="4">
        <f t="shared" si="1"/>
        <v>43825</v>
      </c>
      <c r="O3097" s="5" t="str">
        <f>IFERROR(__xludf.DUMMYFUNCTION("IF(REGEXMATCH(TRIM(I3097), ""^\d+\s*min""), ""Unclassified"", IF(I3097 = """", ""NR"", I3097))"),"TV-MA")</f>
        <v>TV-MA</v>
      </c>
      <c r="R3097" s="5" t="str">
        <f t="shared" si="2"/>
        <v>The Bonfire Of Destiny</v>
      </c>
      <c r="S3097" s="5" t="str">
        <f>IFERROR(__xludf.DUMMYFUNCTION("""COMPUTED_VALUE"""),"History 101")</f>
        <v>History 101</v>
      </c>
      <c r="U3097" s="5" t="str">
        <f>IFERROR(__xludf.DUMMYFUNCTION("""COMPUTED_VALUE"""),"Sharon Grimberg")</f>
        <v>Sharon Grimberg</v>
      </c>
      <c r="V3097" s="5" t="s">
        <v>17172</v>
      </c>
      <c r="W3097" s="5" t="str">
        <f t="shared" si="3"/>
        <v>Oliver Blackburn</v>
      </c>
      <c r="X3097" s="5">
        <f t="shared" si="4"/>
        <v>1</v>
      </c>
      <c r="Y3097" s="5" t="str">
        <f>IFERROR(__xludf.DUMMYFUNCTION("REGEXEXTRACT(J3097, ""^\d+"")"),"1")</f>
        <v>1</v>
      </c>
      <c r="Z3097" s="5" t="str">
        <f>IFERROR(__xludf.DUMMYFUNCTION("REGEXEXTRACT(J3097, ""[A-Za-z ]+$"")")," Season")</f>
        <v> Season</v>
      </c>
      <c r="AA3097" s="5" t="str">
        <f>IFERROR(__xludf.DUMMYFUNCTION("IF(REGEXMATCH(Z3097, ""Season""), ""TV Show"", ""Movie"")"),"TV Show")</f>
        <v>TV Show</v>
      </c>
    </row>
    <row r="3098">
      <c r="A3098" s="1" t="s">
        <v>17173</v>
      </c>
      <c r="B3098" s="1" t="s">
        <v>37</v>
      </c>
      <c r="C3098" s="1" t="s">
        <v>17174</v>
      </c>
      <c r="D3098" s="1" t="s">
        <v>13571</v>
      </c>
      <c r="E3098" s="1" t="s">
        <v>17175</v>
      </c>
      <c r="F3098" s="1" t="s">
        <v>30</v>
      </c>
      <c r="G3098" s="1" t="s">
        <v>17166</v>
      </c>
      <c r="H3098" s="1">
        <v>2019.0</v>
      </c>
      <c r="I3098" s="1" t="s">
        <v>42</v>
      </c>
      <c r="J3098" s="1" t="s">
        <v>43</v>
      </c>
      <c r="K3098" s="1" t="s">
        <v>17176</v>
      </c>
      <c r="L3098" s="1" t="s">
        <v>17177</v>
      </c>
      <c r="M3098" s="2" t="s">
        <v>12</v>
      </c>
      <c r="N3098" s="4">
        <f t="shared" si="1"/>
        <v>43825</v>
      </c>
      <c r="O3098" s="5" t="str">
        <f>IFERROR(__xludf.DUMMYFUNCTION("IF(REGEXMATCH(TRIM(I3098), ""^\d+\s*min""), ""Unclassified"", IF(I3098 = """", ""NR"", I3098))"),"TV-MA")</f>
        <v>TV-MA</v>
      </c>
      <c r="R3098" s="5" t="str">
        <f t="shared" si="2"/>
        <v>You</v>
      </c>
      <c r="S3098" s="5" t="str">
        <f>IFERROR(__xludf.DUMMYFUNCTION("""COMPUTED_VALUE"""),"History Of Joy")</f>
        <v>History Of Joy</v>
      </c>
      <c r="U3098" s="5" t="str">
        <f>IFERROR(__xludf.DUMMYFUNCTION("""COMPUTED_VALUE"""),"Mark Zwonitzer")</f>
        <v>Mark Zwonitzer</v>
      </c>
      <c r="V3098" s="5" t="s">
        <v>9543</v>
      </c>
      <c r="W3098" s="5" t="str">
        <f t="shared" si="3"/>
        <v>Oliver Bokelberg</v>
      </c>
      <c r="X3098" s="5">
        <f t="shared" si="4"/>
        <v>1</v>
      </c>
      <c r="Y3098" s="5" t="str">
        <f>IFERROR(__xludf.DUMMYFUNCTION("REGEXEXTRACT(J3098, ""^\d+"")"),"2")</f>
        <v>2</v>
      </c>
      <c r="Z3098" s="5" t="str">
        <f>IFERROR(__xludf.DUMMYFUNCTION("REGEXEXTRACT(J3098, ""[A-Za-z ]+$"")")," Seasons")</f>
        <v> Seasons</v>
      </c>
      <c r="AA3098" s="5" t="str">
        <f>IFERROR(__xludf.DUMMYFUNCTION("IF(REGEXMATCH(Z3098, ""Season""), ""TV Show"", ""Movie"")"),"TV Show")</f>
        <v>TV Show</v>
      </c>
    </row>
    <row r="3099">
      <c r="A3099" s="1" t="s">
        <v>17178</v>
      </c>
      <c r="B3099" s="1" t="s">
        <v>27</v>
      </c>
      <c r="C3099" s="1" t="s">
        <v>17179</v>
      </c>
      <c r="D3099" s="1" t="s">
        <v>6695</v>
      </c>
      <c r="E3099" s="1" t="s">
        <v>17180</v>
      </c>
      <c r="F3099" s="1" t="s">
        <v>30</v>
      </c>
      <c r="G3099" s="1" t="s">
        <v>17181</v>
      </c>
      <c r="H3099" s="1">
        <v>2019.0</v>
      </c>
      <c r="I3099" s="1" t="s">
        <v>378</v>
      </c>
      <c r="J3099" s="1" t="s">
        <v>247</v>
      </c>
      <c r="K3099" s="1" t="s">
        <v>2167</v>
      </c>
      <c r="L3099" s="1" t="s">
        <v>17182</v>
      </c>
      <c r="M3099" s="2" t="s">
        <v>12</v>
      </c>
      <c r="N3099" s="4">
        <f t="shared" si="1"/>
        <v>43824</v>
      </c>
      <c r="O3099" s="5" t="str">
        <f>IFERROR(__xludf.DUMMYFUNCTION("IF(REGEXMATCH(TRIM(I3099), ""^\d+\s*min""), ""Unclassified"", IF(I3099 = """", ""NR"", I3099))"),"R")</f>
        <v>R</v>
      </c>
      <c r="R3099" s="5" t="str">
        <f t="shared" si="2"/>
        <v>Doom: Annihilation</v>
      </c>
      <c r="S3099" s="5" t="str">
        <f>IFERROR(__xludf.DUMMYFUNCTION("""COMPUTED_VALUE"""),"History Of Swear Words")</f>
        <v>History Of Swear Words</v>
      </c>
      <c r="U3099" s="5" t="str">
        <f>IFERROR(__xludf.DUMMYFUNCTION("""COMPUTED_VALUE"""),"Wilson Coneybeare")</f>
        <v>Wilson Coneybeare</v>
      </c>
      <c r="V3099" s="5" t="s">
        <v>17183</v>
      </c>
      <c r="W3099" s="5" t="str">
        <f t="shared" si="3"/>
        <v>Oliver Daly</v>
      </c>
      <c r="X3099" s="5">
        <f t="shared" si="4"/>
        <v>1</v>
      </c>
      <c r="Y3099" s="5" t="str">
        <f>IFERROR(__xludf.DUMMYFUNCTION("REGEXEXTRACT(J3099, ""^\d+"")"),"97")</f>
        <v>97</v>
      </c>
      <c r="Z3099" s="5" t="str">
        <f>IFERROR(__xludf.DUMMYFUNCTION("REGEXEXTRACT(J3099, ""[A-Za-z ]+$"")")," min")</f>
        <v> min</v>
      </c>
      <c r="AA3099" s="5" t="str">
        <f>IFERROR(__xludf.DUMMYFUNCTION("IF(REGEXMATCH(Z3099, ""Season""), ""TV Show"", ""Movie"")"),"Movie")</f>
        <v>Movie</v>
      </c>
    </row>
    <row r="3100">
      <c r="A3100" s="1" t="s">
        <v>17184</v>
      </c>
      <c r="B3100" s="1" t="s">
        <v>27</v>
      </c>
      <c r="C3100" s="1" t="s">
        <v>17185</v>
      </c>
      <c r="D3100" s="1" t="s">
        <v>799</v>
      </c>
      <c r="E3100" s="1" t="s">
        <v>17186</v>
      </c>
      <c r="F3100" s="1" t="s">
        <v>415</v>
      </c>
      <c r="G3100" s="1" t="s">
        <v>17181</v>
      </c>
      <c r="H3100" s="1">
        <v>2017.0</v>
      </c>
      <c r="I3100" s="1" t="s">
        <v>136</v>
      </c>
      <c r="J3100" s="1" t="s">
        <v>79</v>
      </c>
      <c r="K3100" s="1" t="s">
        <v>17187</v>
      </c>
      <c r="L3100" s="1" t="s">
        <v>17188</v>
      </c>
      <c r="M3100" s="2" t="s">
        <v>12</v>
      </c>
      <c r="N3100" s="4">
        <f t="shared" si="1"/>
        <v>43824</v>
      </c>
      <c r="O3100" s="5" t="str">
        <f>IFERROR(__xludf.DUMMYFUNCTION("IF(REGEXMATCH(TRIM(I3100), ""^\d+\s*min""), ""Unclassified"", IF(I3100 = """", ""NR"", I3100))"),"TV-PG")</f>
        <v>TV-PG</v>
      </c>
      <c r="R3100" s="5" t="str">
        <f t="shared" si="2"/>
        <v>Fireworks</v>
      </c>
      <c r="S3100" s="5" t="str">
        <f>IFERROR(__xludf.DUMMYFUNCTION("""COMPUTED_VALUE"""),"History'S Greatest Hoaxes")</f>
        <v>History'S Greatest Hoaxes</v>
      </c>
      <c r="U3100" s="5" t="str">
        <f>IFERROR(__xludf.DUMMYFUNCTION("""COMPUTED_VALUE"""),"Sarik Andreasyan")</f>
        <v>Sarik Andreasyan</v>
      </c>
      <c r="V3100" s="5" t="s">
        <v>17189</v>
      </c>
      <c r="W3100" s="5" t="str">
        <f t="shared" si="3"/>
        <v>Oliver Frampton</v>
      </c>
      <c r="X3100" s="5">
        <f t="shared" si="4"/>
        <v>1</v>
      </c>
      <c r="Y3100" s="5" t="str">
        <f>IFERROR(__xludf.DUMMYFUNCTION("REGEXEXTRACT(J3100, ""^\d+"")"),"91")</f>
        <v>91</v>
      </c>
      <c r="Z3100" s="5" t="str">
        <f>IFERROR(__xludf.DUMMYFUNCTION("REGEXEXTRACT(J3100, ""[A-Za-z ]+$"")")," min")</f>
        <v> min</v>
      </c>
      <c r="AA3100" s="5" t="str">
        <f>IFERROR(__xludf.DUMMYFUNCTION("IF(REGEXMATCH(Z3100, ""Season""), ""TV Show"", ""Movie"")"),"Movie")</f>
        <v>Movie</v>
      </c>
    </row>
    <row r="3101">
      <c r="A3101" s="1" t="s">
        <v>17190</v>
      </c>
      <c r="B3101" s="1" t="s">
        <v>27</v>
      </c>
      <c r="C3101" s="1" t="s">
        <v>17191</v>
      </c>
      <c r="D3101" s="1" t="s">
        <v>17192</v>
      </c>
      <c r="E3101" s="1" t="s">
        <v>17193</v>
      </c>
      <c r="F3101" s="1" t="s">
        <v>30</v>
      </c>
      <c r="G3101" s="1" t="s">
        <v>17181</v>
      </c>
      <c r="H3101" s="1">
        <v>2019.0</v>
      </c>
      <c r="I3101" s="1" t="s">
        <v>32</v>
      </c>
      <c r="J3101" s="1" t="s">
        <v>322</v>
      </c>
      <c r="K3101" s="1" t="s">
        <v>137</v>
      </c>
      <c r="L3101" s="1" t="s">
        <v>17194</v>
      </c>
      <c r="M3101" s="2" t="s">
        <v>12</v>
      </c>
      <c r="N3101" s="4">
        <f t="shared" si="1"/>
        <v>43824</v>
      </c>
      <c r="O3101" s="5" t="str">
        <f>IFERROR(__xludf.DUMMYFUNCTION("IF(REGEXMATCH(TRIM(I3101), ""^\d+\s*min""), ""Unclassified"", IF(I3101 = """", ""NR"", I3101))"),"PG-13")</f>
        <v>PG-13</v>
      </c>
      <c r="R3101" s="5" t="str">
        <f t="shared" si="2"/>
        <v>Grand-Daddy Day Care</v>
      </c>
      <c r="S3101" s="5" t="str">
        <f>IFERROR(__xludf.DUMMYFUNCTION("""COMPUTED_VALUE"""),"Hit &amp; Run")</f>
        <v>Hit &amp; Run</v>
      </c>
      <c r="U3101" s="5" t="str">
        <f>IFERROR(__xludf.DUMMYFUNCTION("""COMPUTED_VALUE"""),"Tony Kaye")</f>
        <v>Tony Kaye</v>
      </c>
      <c r="V3101" s="5" t="s">
        <v>16249</v>
      </c>
      <c r="W3101" s="5" t="str">
        <f t="shared" si="3"/>
        <v>Oliver Kienle</v>
      </c>
      <c r="X3101" s="5">
        <f t="shared" si="4"/>
        <v>1</v>
      </c>
      <c r="Y3101" s="5" t="str">
        <f>IFERROR(__xludf.DUMMYFUNCTION("REGEXEXTRACT(J3101, ""^\d+"")"),"96")</f>
        <v>96</v>
      </c>
      <c r="Z3101" s="5" t="str">
        <f>IFERROR(__xludf.DUMMYFUNCTION("REGEXEXTRACT(J3101, ""[A-Za-z ]+$"")")," min")</f>
        <v> min</v>
      </c>
      <c r="AA3101" s="5" t="str">
        <f>IFERROR(__xludf.DUMMYFUNCTION("IF(REGEXMATCH(Z3101, ""Season""), ""TV Show"", ""Movie"")"),"Movie")</f>
        <v>Movie</v>
      </c>
    </row>
    <row r="3102">
      <c r="A3102" s="1" t="s">
        <v>17195</v>
      </c>
      <c r="B3102" s="1" t="s">
        <v>27</v>
      </c>
      <c r="C3102" s="1" t="s">
        <v>17196</v>
      </c>
      <c r="D3102" s="1" t="s">
        <v>4791</v>
      </c>
      <c r="E3102" s="1" t="s">
        <v>17197</v>
      </c>
      <c r="F3102" s="1" t="s">
        <v>1951</v>
      </c>
      <c r="G3102" s="1" t="s">
        <v>17181</v>
      </c>
      <c r="H3102" s="1">
        <v>2019.0</v>
      </c>
      <c r="I3102" s="1" t="s">
        <v>378</v>
      </c>
      <c r="J3102" s="1" t="s">
        <v>238</v>
      </c>
      <c r="K3102" s="1" t="s">
        <v>323</v>
      </c>
      <c r="L3102" s="1" t="s">
        <v>17198</v>
      </c>
      <c r="M3102" s="2" t="s">
        <v>12</v>
      </c>
      <c r="N3102" s="4">
        <f t="shared" si="1"/>
        <v>43824</v>
      </c>
      <c r="O3102" s="5" t="str">
        <f>IFERROR(__xludf.DUMMYFUNCTION("IF(REGEXMATCH(TRIM(I3102), ""^\d+\s*min""), ""Unclassified"", IF(I3102 = """", ""NR"", I3102))"),"R")</f>
        <v>R</v>
      </c>
      <c r="R3102" s="5" t="str">
        <f t="shared" si="2"/>
        <v>Jarhead: Law Of Return</v>
      </c>
      <c r="S3102" s="5" t="str">
        <f>IFERROR(__xludf.DUMMYFUNCTION("""COMPUTED_VALUE"""),"Hitch")</f>
        <v>Hitch</v>
      </c>
      <c r="U3102" s="5" t="str">
        <f>IFERROR(__xludf.DUMMYFUNCTION("""COMPUTED_VALUE"""),"Andrea Arnold")</f>
        <v>Andrea Arnold</v>
      </c>
      <c r="V3102" s="5" t="s">
        <v>17199</v>
      </c>
      <c r="W3102" s="5" t="str">
        <f t="shared" si="3"/>
        <v>Oliver Schmitz</v>
      </c>
      <c r="X3102" s="5">
        <f t="shared" si="4"/>
        <v>1</v>
      </c>
      <c r="Y3102" s="5" t="str">
        <f>IFERROR(__xludf.DUMMYFUNCTION("REGEXEXTRACT(J3102, ""^\d+"")"),"103")</f>
        <v>103</v>
      </c>
      <c r="Z3102" s="5" t="str">
        <f>IFERROR(__xludf.DUMMYFUNCTION("REGEXEXTRACT(J3102, ""[A-Za-z ]+$"")")," min")</f>
        <v> min</v>
      </c>
      <c r="AA3102" s="5" t="str">
        <f>IFERROR(__xludf.DUMMYFUNCTION("IF(REGEXMATCH(Z3102, ""Season""), ""TV Show"", ""Movie"")"),"Movie")</f>
        <v>Movie</v>
      </c>
    </row>
    <row r="3103">
      <c r="A3103" s="1" t="s">
        <v>17200</v>
      </c>
      <c r="B3103" s="1" t="s">
        <v>27</v>
      </c>
      <c r="C3103" s="1" t="s">
        <v>17201</v>
      </c>
      <c r="D3103" s="1" t="s">
        <v>17202</v>
      </c>
      <c r="E3103" s="1" t="s">
        <v>17203</v>
      </c>
      <c r="F3103" s="1" t="s">
        <v>17204</v>
      </c>
      <c r="G3103" s="1" t="s">
        <v>17181</v>
      </c>
      <c r="H3103" s="1">
        <v>2017.0</v>
      </c>
      <c r="I3103" s="1" t="s">
        <v>378</v>
      </c>
      <c r="J3103" s="1" t="s">
        <v>465</v>
      </c>
      <c r="K3103" s="1" t="s">
        <v>1328</v>
      </c>
      <c r="L3103" s="1" t="s">
        <v>17205</v>
      </c>
      <c r="M3103" s="2" t="s">
        <v>12</v>
      </c>
      <c r="N3103" s="4">
        <f t="shared" si="1"/>
        <v>43824</v>
      </c>
      <c r="O3103" s="5" t="str">
        <f>IFERROR(__xludf.DUMMYFUNCTION("IF(REGEXMATCH(TRIM(I3103), ""^\d+\s*min""), ""Unclassified"", IF(I3103 = """", ""NR"", I3103))"),"R")</f>
        <v>R</v>
      </c>
      <c r="R3103" s="5" t="str">
        <f t="shared" si="2"/>
        <v>Mfkz</v>
      </c>
      <c r="S3103" s="5" t="str">
        <f>IFERROR(__xludf.DUMMYFUNCTION("""COMPUTED_VALUE"""),"Hitler - A Career")</f>
        <v>Hitler - A Career</v>
      </c>
      <c r="U3103" s="5" t="str">
        <f>IFERROR(__xludf.DUMMYFUNCTION("""COMPUTED_VALUE"""),"Nick Davis")</f>
        <v>Nick Davis</v>
      </c>
      <c r="V3103" s="5" t="s">
        <v>7098</v>
      </c>
      <c r="W3103" s="5" t="str">
        <f t="shared" si="3"/>
        <v>Oliver Stone</v>
      </c>
      <c r="X3103" s="5">
        <f t="shared" si="4"/>
        <v>5</v>
      </c>
      <c r="Y3103" s="5" t="str">
        <f>IFERROR(__xludf.DUMMYFUNCTION("REGEXEXTRACT(J3103, ""^\d+"")"),"95")</f>
        <v>95</v>
      </c>
      <c r="Z3103" s="5" t="str">
        <f>IFERROR(__xludf.DUMMYFUNCTION("REGEXEXTRACT(J3103, ""[A-Za-z ]+$"")")," min")</f>
        <v> min</v>
      </c>
      <c r="AA3103" s="5" t="str">
        <f>IFERROR(__xludf.DUMMYFUNCTION("IF(REGEXMATCH(Z3103, ""Season""), ""TV Show"", ""Movie"")"),"Movie")</f>
        <v>Movie</v>
      </c>
    </row>
    <row r="3104">
      <c r="A3104" s="1" t="s">
        <v>17206</v>
      </c>
      <c r="B3104" s="1" t="s">
        <v>27</v>
      </c>
      <c r="C3104" s="1" t="s">
        <v>17207</v>
      </c>
      <c r="D3104" s="1" t="s">
        <v>5267</v>
      </c>
      <c r="E3104" s="1" t="s">
        <v>17208</v>
      </c>
      <c r="F3104" s="1" t="s">
        <v>30</v>
      </c>
      <c r="G3104" s="1" t="s">
        <v>17181</v>
      </c>
      <c r="H3104" s="1">
        <v>2019.0</v>
      </c>
      <c r="I3104" s="1" t="s">
        <v>32</v>
      </c>
      <c r="J3104" s="1" t="s">
        <v>490</v>
      </c>
      <c r="K3104" s="1" t="s">
        <v>17209</v>
      </c>
      <c r="L3104" s="1" t="s">
        <v>17210</v>
      </c>
      <c r="M3104" s="2" t="s">
        <v>12</v>
      </c>
      <c r="N3104" s="4">
        <f t="shared" si="1"/>
        <v>43824</v>
      </c>
      <c r="O3104" s="5" t="str">
        <f>IFERROR(__xludf.DUMMYFUNCTION("IF(REGEXMATCH(TRIM(I3104), ""^\d+\s*min""), ""Unclassified"", IF(I3104 = """", ""NR"", I3104))"),"PG-13")</f>
        <v>PG-13</v>
      </c>
      <c r="R3104" s="5" t="str">
        <f t="shared" si="2"/>
        <v>Sweetheart</v>
      </c>
      <c r="S3104" s="5" t="str">
        <f>IFERROR(__xludf.DUMMYFUNCTION("""COMPUTED_VALUE"""),"Hitler'S Circle Of Evil")</f>
        <v>Hitler'S Circle Of Evil</v>
      </c>
      <c r="U3104" s="5" t="str">
        <f>IFERROR(__xludf.DUMMYFUNCTION("""COMPUTED_VALUE"""),"Jerry G. Angelo")</f>
        <v>Jerry G. Angelo</v>
      </c>
      <c r="V3104" s="5" t="s">
        <v>17211</v>
      </c>
      <c r="W3104" s="5" t="str">
        <f t="shared" si="3"/>
        <v>Oliver Twinch</v>
      </c>
      <c r="X3104" s="5">
        <f t="shared" si="4"/>
        <v>2</v>
      </c>
      <c r="Y3104" s="5" t="str">
        <f>IFERROR(__xludf.DUMMYFUNCTION("REGEXEXTRACT(J3104, ""^\d+"")"),"83")</f>
        <v>83</v>
      </c>
      <c r="Z3104" s="5" t="str">
        <f>IFERROR(__xludf.DUMMYFUNCTION("REGEXEXTRACT(J3104, ""[A-Za-z ]+$"")")," min")</f>
        <v> min</v>
      </c>
      <c r="AA3104" s="5" t="str">
        <f>IFERROR(__xludf.DUMMYFUNCTION("IF(REGEXMATCH(Z3104, ""Season""), ""TV Show"", ""Movie"")"),"Movie")</f>
        <v>Movie</v>
      </c>
    </row>
    <row r="3105">
      <c r="A3105" s="1" t="s">
        <v>17212</v>
      </c>
      <c r="B3105" s="1" t="s">
        <v>37</v>
      </c>
      <c r="C3105" s="1" t="s">
        <v>17213</v>
      </c>
      <c r="E3105" s="1" t="s">
        <v>17214</v>
      </c>
      <c r="F3105" s="1" t="s">
        <v>415</v>
      </c>
      <c r="G3105" s="1" t="s">
        <v>17215</v>
      </c>
      <c r="H3105" s="1">
        <v>2019.0</v>
      </c>
      <c r="I3105" s="1" t="s">
        <v>42</v>
      </c>
      <c r="J3105" s="1" t="s">
        <v>43</v>
      </c>
      <c r="K3105" s="1" t="s">
        <v>1084</v>
      </c>
      <c r="L3105" s="1" t="s">
        <v>17216</v>
      </c>
      <c r="M3105" s="2" t="s">
        <v>12</v>
      </c>
      <c r="N3105" s="4">
        <f t="shared" si="1"/>
        <v>43823</v>
      </c>
      <c r="O3105" s="5" t="str">
        <f>IFERROR(__xludf.DUMMYFUNCTION("IF(REGEXMATCH(TRIM(I3105), ""^\d+\s*min""), ""Unclassified"", IF(I3105 = """", ""NR"", I3105))"),"TV-MA")</f>
        <v>TV-MA</v>
      </c>
      <c r="R3105" s="5" t="str">
        <f t="shared" si="2"/>
        <v>Carole &amp; Tuesday</v>
      </c>
      <c r="S3105" s="5" t="str">
        <f>IFERROR(__xludf.DUMMYFUNCTION("""COMPUTED_VALUE"""),"Hitler'S Olympics")</f>
        <v>Hitler'S Olympics</v>
      </c>
      <c r="U3105" s="5" t="str">
        <f>IFERROR(__xludf.DUMMYFUNCTION("""COMPUTED_VALUE"""),"Asif Kapadia")</f>
        <v>Asif Kapadia</v>
      </c>
      <c r="V3105" s="5" t="s">
        <v>17217</v>
      </c>
      <c r="W3105" s="5" t="str">
        <f t="shared" si="3"/>
        <v>Olivia M. Lamasan</v>
      </c>
      <c r="X3105" s="5">
        <f t="shared" si="4"/>
        <v>3</v>
      </c>
      <c r="Y3105" s="5" t="str">
        <f>IFERROR(__xludf.DUMMYFUNCTION("REGEXEXTRACT(J3105, ""^\d+"")"),"2")</f>
        <v>2</v>
      </c>
      <c r="Z3105" s="5" t="str">
        <f>IFERROR(__xludf.DUMMYFUNCTION("REGEXEXTRACT(J3105, ""[A-Za-z ]+$"")")," Seasons")</f>
        <v> Seasons</v>
      </c>
      <c r="AA3105" s="5" t="str">
        <f>IFERROR(__xludf.DUMMYFUNCTION("IF(REGEXMATCH(Z3105, ""Season""), ""TV Show"", ""Movie"")"),"TV Show")</f>
        <v>TV Show</v>
      </c>
    </row>
    <row r="3106">
      <c r="A3106" s="1" t="s">
        <v>17218</v>
      </c>
      <c r="B3106" s="1" t="s">
        <v>27</v>
      </c>
      <c r="C3106" s="1" t="s">
        <v>17219</v>
      </c>
      <c r="D3106" s="1" t="s">
        <v>17220</v>
      </c>
      <c r="E3106" s="1" t="s">
        <v>17221</v>
      </c>
      <c r="F3106" s="1" t="s">
        <v>162</v>
      </c>
      <c r="G3106" s="1" t="s">
        <v>17215</v>
      </c>
      <c r="H3106" s="1">
        <v>2019.0</v>
      </c>
      <c r="I3106" s="1" t="s">
        <v>97</v>
      </c>
      <c r="J3106" s="1" t="s">
        <v>743</v>
      </c>
      <c r="K3106" s="1" t="s">
        <v>230</v>
      </c>
      <c r="L3106" s="1" t="s">
        <v>17222</v>
      </c>
      <c r="M3106" s="2" t="s">
        <v>12</v>
      </c>
      <c r="N3106" s="4">
        <f t="shared" si="1"/>
        <v>43823</v>
      </c>
      <c r="O3106" s="5" t="str">
        <f>IFERROR(__xludf.DUMMYFUNCTION("IF(REGEXMATCH(TRIM(I3106), ""^\d+\s*min""), ""Unclassified"", IF(I3106 = """", ""NR"", I3106))"),"TV-14")</f>
        <v>TV-14</v>
      </c>
      <c r="R3106" s="5" t="str">
        <f t="shared" si="2"/>
        <v>Como Caído Del Cielo</v>
      </c>
      <c r="S3106" s="5" t="str">
        <f>IFERROR(__xludf.DUMMYFUNCTION("""COMPUTED_VALUE"""),"Hitler'S Steel Beast")</f>
        <v>Hitler'S Steel Beast</v>
      </c>
      <c r="U3106" s="5" t="str">
        <f>IFERROR(__xludf.DUMMYFUNCTION("""COMPUTED_VALUE"""),"Karan Bali")</f>
        <v>Karan Bali</v>
      </c>
      <c r="V3106" s="5" t="s">
        <v>17223</v>
      </c>
      <c r="W3106" s="5" t="str">
        <f t="shared" si="3"/>
        <v>Olivia Milch</v>
      </c>
      <c r="X3106" s="5">
        <f t="shared" si="4"/>
        <v>1</v>
      </c>
      <c r="Y3106" s="5" t="str">
        <f>IFERROR(__xludf.DUMMYFUNCTION("REGEXEXTRACT(J3106, ""^\d+"")"),"117")</f>
        <v>117</v>
      </c>
      <c r="Z3106" s="5" t="str">
        <f>IFERROR(__xludf.DUMMYFUNCTION("REGEXEXTRACT(J3106, ""[A-Za-z ]+$"")")," min")</f>
        <v> min</v>
      </c>
      <c r="AA3106" s="5" t="str">
        <f>IFERROR(__xludf.DUMMYFUNCTION("IF(REGEXMATCH(Z3106, ""Season""), ""TV Show"", ""Movie"")"),"Movie")</f>
        <v>Movie</v>
      </c>
    </row>
    <row r="3107">
      <c r="A3107" s="1" t="s">
        <v>17224</v>
      </c>
      <c r="B3107" s="1" t="s">
        <v>27</v>
      </c>
      <c r="C3107" s="1" t="s">
        <v>17225</v>
      </c>
      <c r="D3107" s="1" t="s">
        <v>17226</v>
      </c>
      <c r="E3107" s="1" t="s">
        <v>17227</v>
      </c>
      <c r="F3107" s="1" t="s">
        <v>30</v>
      </c>
      <c r="G3107" s="1" t="s">
        <v>17215</v>
      </c>
      <c r="H3107" s="1">
        <v>2019.0</v>
      </c>
      <c r="I3107" s="1" t="s">
        <v>136</v>
      </c>
      <c r="J3107" s="1" t="s">
        <v>1583</v>
      </c>
      <c r="K3107" s="1" t="s">
        <v>137</v>
      </c>
      <c r="L3107" s="1" t="s">
        <v>17228</v>
      </c>
      <c r="M3107" s="2" t="s">
        <v>12</v>
      </c>
      <c r="N3107" s="4">
        <f t="shared" si="1"/>
        <v>43823</v>
      </c>
      <c r="O3107" s="5" t="str">
        <f>IFERROR(__xludf.DUMMYFUNCTION("IF(REGEXMATCH(TRIM(I3107), ""^\d+\s*min""), ""Unclassified"", IF(I3107 = """", ""NR"", I3107))"),"TV-PG")</f>
        <v>TV-PG</v>
      </c>
      <c r="R3107" s="5" t="str">
        <f t="shared" si="2"/>
        <v>John Mulaney &amp; The Sack Lunch Bunch</v>
      </c>
      <c r="S3107" s="5" t="str">
        <f>IFERROR(__xludf.DUMMYFUNCTION("""COMPUTED_VALUE"""),"Hjørdis")</f>
        <v>Hjørdis</v>
      </c>
      <c r="U3107" s="5" t="str">
        <f>IFERROR(__xludf.DUMMYFUNCTION("""COMPUTED_VALUE"""),"Don Bluth")</f>
        <v>Don Bluth</v>
      </c>
      <c r="V3107" s="5" t="s">
        <v>17229</v>
      </c>
      <c r="W3107" s="5" t="str">
        <f t="shared" si="3"/>
        <v>Olivia Newman</v>
      </c>
      <c r="X3107" s="5">
        <f t="shared" si="4"/>
        <v>1</v>
      </c>
      <c r="Y3107" s="5" t="str">
        <f>IFERROR(__xludf.DUMMYFUNCTION("REGEXEXTRACT(J3107, ""^\d+"")"),"70")</f>
        <v>70</v>
      </c>
      <c r="Z3107" s="5" t="str">
        <f>IFERROR(__xludf.DUMMYFUNCTION("REGEXEXTRACT(J3107, ""[A-Za-z ]+$"")")," min")</f>
        <v> min</v>
      </c>
      <c r="AA3107" s="5" t="str">
        <f>IFERROR(__xludf.DUMMYFUNCTION("IF(REGEXMATCH(Z3107, ""Season""), ""TV Show"", ""Movie"")"),"Movie")</f>
        <v>Movie</v>
      </c>
    </row>
    <row r="3108">
      <c r="A3108" s="1" t="s">
        <v>17230</v>
      </c>
      <c r="B3108" s="1" t="s">
        <v>37</v>
      </c>
      <c r="C3108" s="1" t="s">
        <v>17231</v>
      </c>
      <c r="E3108" s="1" t="s">
        <v>17232</v>
      </c>
      <c r="F3108" s="1" t="s">
        <v>30</v>
      </c>
      <c r="G3108" s="1" t="s">
        <v>17215</v>
      </c>
      <c r="H3108" s="1">
        <v>2019.0</v>
      </c>
      <c r="I3108" s="1" t="s">
        <v>136</v>
      </c>
      <c r="J3108" s="1" t="s">
        <v>43</v>
      </c>
      <c r="K3108" s="1" t="s">
        <v>3223</v>
      </c>
      <c r="L3108" s="1" t="s">
        <v>17233</v>
      </c>
      <c r="M3108" s="2" t="s">
        <v>12</v>
      </c>
      <c r="N3108" s="4">
        <f t="shared" si="1"/>
        <v>43823</v>
      </c>
      <c r="O3108" s="5" t="str">
        <f>IFERROR(__xludf.DUMMYFUNCTION("IF(REGEXMATCH(TRIM(I3108), ""^\d+\s*min""), ""Unclassified"", IF(I3108 = """", ""NR"", I3108))"),"TV-PG")</f>
        <v>TV-PG</v>
      </c>
      <c r="R3108" s="5" t="str">
        <f t="shared" si="2"/>
        <v>Lost In Space</v>
      </c>
      <c r="S3108" s="5" t="str">
        <f>IFERROR(__xludf.DUMMYFUNCTION("""COMPUTED_VALUE"""),"Ho Mann Jahaan")</f>
        <v>Ho Mann Jahaan</v>
      </c>
      <c r="U3108" s="5" t="str">
        <f>IFERROR(__xludf.DUMMYFUNCTION("""COMPUTED_VALUE"""),"Phil Nibbelink, Simon Wells")</f>
        <v>Phil Nibbelink, Simon Wells</v>
      </c>
      <c r="V3108" s="5" t="s">
        <v>14497</v>
      </c>
      <c r="W3108" s="5" t="str">
        <f t="shared" si="3"/>
        <v>Olivier Abbou</v>
      </c>
      <c r="X3108" s="5">
        <f t="shared" si="4"/>
        <v>1</v>
      </c>
      <c r="Y3108" s="5" t="str">
        <f>IFERROR(__xludf.DUMMYFUNCTION("REGEXEXTRACT(J3108, ""^\d+"")"),"2")</f>
        <v>2</v>
      </c>
      <c r="Z3108" s="5" t="str">
        <f>IFERROR(__xludf.DUMMYFUNCTION("REGEXEXTRACT(J3108, ""[A-Za-z ]+$"")")," Seasons")</f>
        <v> Seasons</v>
      </c>
      <c r="AA3108" s="5" t="str">
        <f>IFERROR(__xludf.DUMMYFUNCTION("IF(REGEXMATCH(Z3108, ""Season""), ""TV Show"", ""Movie"")"),"TV Show")</f>
        <v>TV Show</v>
      </c>
    </row>
    <row r="3109">
      <c r="A3109" s="1" t="s">
        <v>17234</v>
      </c>
      <c r="B3109" s="1" t="s">
        <v>27</v>
      </c>
      <c r="C3109" s="1" t="s">
        <v>17235</v>
      </c>
      <c r="D3109" s="1" t="s">
        <v>6025</v>
      </c>
      <c r="E3109" s="1" t="s">
        <v>17236</v>
      </c>
      <c r="F3109" s="1" t="s">
        <v>30</v>
      </c>
      <c r="G3109" s="1" t="s">
        <v>17237</v>
      </c>
      <c r="H3109" s="1">
        <v>2019.0</v>
      </c>
      <c r="I3109" s="1" t="s">
        <v>378</v>
      </c>
      <c r="J3109" s="1" t="s">
        <v>33</v>
      </c>
      <c r="K3109" s="1" t="s">
        <v>171</v>
      </c>
      <c r="L3109" s="1" t="s">
        <v>17238</v>
      </c>
      <c r="M3109" s="2" t="s">
        <v>12</v>
      </c>
      <c r="N3109" s="4">
        <f t="shared" si="1"/>
        <v>43821</v>
      </c>
      <c r="O3109" s="5" t="str">
        <f>IFERROR(__xludf.DUMMYFUNCTION("IF(REGEXMATCH(TRIM(I3109), ""^\d+\s*min""), ""Unclassified"", IF(I3109 = """", ""NR"", I3109))"),"R")</f>
        <v>R</v>
      </c>
      <c r="R3109" s="5" t="str">
        <f t="shared" si="2"/>
        <v>Jacob'S Ladder</v>
      </c>
      <c r="S3109" s="5" t="str">
        <f>IFERROR(__xludf.DUMMYFUNCTION("""COMPUTED_VALUE"""),"Hoarders")</f>
        <v>Hoarders</v>
      </c>
      <c r="U3109" s="5" t="str">
        <f>IFERROR(__xludf.DUMMYFUNCTION("""COMPUTED_VALUE"""),"Larry Latham")</f>
        <v>Larry Latham</v>
      </c>
      <c r="V3109" s="5" t="s">
        <v>17239</v>
      </c>
      <c r="W3109" s="5" t="str">
        <f t="shared" si="3"/>
        <v>Olivier Afonso</v>
      </c>
      <c r="X3109" s="5">
        <f t="shared" si="4"/>
        <v>1</v>
      </c>
      <c r="Y3109" s="5" t="str">
        <f>IFERROR(__xludf.DUMMYFUNCTION("REGEXEXTRACT(J3109, ""^\d+"")"),"90")</f>
        <v>90</v>
      </c>
      <c r="Z3109" s="5" t="str">
        <f>IFERROR(__xludf.DUMMYFUNCTION("REGEXEXTRACT(J3109, ""[A-Za-z ]+$"")")," min")</f>
        <v> min</v>
      </c>
      <c r="AA3109" s="5" t="str">
        <f>IFERROR(__xludf.DUMMYFUNCTION("IF(REGEXMATCH(Z3109, ""Season""), ""TV Show"", ""Movie"")"),"Movie")</f>
        <v>Movie</v>
      </c>
    </row>
    <row r="3110">
      <c r="A3110" s="1" t="s">
        <v>17240</v>
      </c>
      <c r="B3110" s="1" t="s">
        <v>37</v>
      </c>
      <c r="C3110" s="1" t="s">
        <v>17241</v>
      </c>
      <c r="E3110" s="1" t="s">
        <v>17242</v>
      </c>
      <c r="F3110" s="1" t="s">
        <v>30</v>
      </c>
      <c r="G3110" s="1" t="s">
        <v>17237</v>
      </c>
      <c r="H3110" s="1">
        <v>2012.0</v>
      </c>
      <c r="I3110" s="1" t="s">
        <v>97</v>
      </c>
      <c r="J3110" s="1" t="s">
        <v>439</v>
      </c>
      <c r="K3110" s="1" t="s">
        <v>149</v>
      </c>
      <c r="L3110" s="1" t="s">
        <v>17243</v>
      </c>
      <c r="M3110" s="2" t="s">
        <v>12</v>
      </c>
      <c r="N3110" s="4">
        <f t="shared" si="1"/>
        <v>43821</v>
      </c>
      <c r="O3110" s="5" t="str">
        <f>IFERROR(__xludf.DUMMYFUNCTION("IF(REGEXMATCH(TRIM(I3110), ""^\d+\s*min""), ""Unclassified"", IF(I3110 = """", ""NR"", I3110))"),"TV-14")</f>
        <v>TV-14</v>
      </c>
      <c r="R3110" s="5" t="str">
        <f t="shared" si="2"/>
        <v>Private Practice</v>
      </c>
      <c r="S3110" s="5" t="str">
        <f>IFERROR(__xludf.DUMMYFUNCTION("""COMPUTED_VALUE"""),"Hoff The Record")</f>
        <v>Hoff The Record</v>
      </c>
      <c r="U3110" s="5" t="str">
        <f>IFERROR(__xludf.DUMMYFUNCTION("""COMPUTED_VALUE"""),"Perry Lang")</f>
        <v>Perry Lang</v>
      </c>
      <c r="V3110" s="5" t="s">
        <v>13389</v>
      </c>
      <c r="W3110" s="5" t="str">
        <f t="shared" si="3"/>
        <v>Olivier Assayas</v>
      </c>
      <c r="X3110" s="5">
        <f t="shared" si="4"/>
        <v>3</v>
      </c>
      <c r="Y3110" s="5" t="str">
        <f>IFERROR(__xludf.DUMMYFUNCTION("REGEXEXTRACT(J3110, ""^\d+"")"),"6")</f>
        <v>6</v>
      </c>
      <c r="Z3110" s="5" t="str">
        <f>IFERROR(__xludf.DUMMYFUNCTION("REGEXEXTRACT(J3110, ""[A-Za-z ]+$"")")," Seasons")</f>
        <v> Seasons</v>
      </c>
      <c r="AA3110" s="5" t="str">
        <f>IFERROR(__xludf.DUMMYFUNCTION("IF(REGEXMATCH(Z3110, ""Season""), ""TV Show"", ""Movie"")"),"TV Show")</f>
        <v>TV Show</v>
      </c>
    </row>
    <row r="3111">
      <c r="A3111" s="1" t="s">
        <v>17244</v>
      </c>
      <c r="B3111" s="1" t="s">
        <v>27</v>
      </c>
      <c r="C3111" s="1" t="s">
        <v>17245</v>
      </c>
      <c r="D3111" s="1" t="s">
        <v>13968</v>
      </c>
      <c r="E3111" s="1" t="s">
        <v>17246</v>
      </c>
      <c r="F3111" s="1" t="s">
        <v>221</v>
      </c>
      <c r="G3111" s="1" t="s">
        <v>17247</v>
      </c>
      <c r="H3111" s="1">
        <v>2019.0</v>
      </c>
      <c r="I3111" s="1" t="s">
        <v>206</v>
      </c>
      <c r="J3111" s="1" t="s">
        <v>1144</v>
      </c>
      <c r="K3111" s="1" t="s">
        <v>2547</v>
      </c>
      <c r="L3111" s="1" t="s">
        <v>17248</v>
      </c>
      <c r="M3111" s="2" t="s">
        <v>12</v>
      </c>
      <c r="N3111" s="4">
        <f t="shared" si="1"/>
        <v>43820</v>
      </c>
      <c r="O3111" s="5" t="str">
        <f>IFERROR(__xludf.DUMMYFUNCTION("IF(REGEXMATCH(TRIM(I3111), ""^\d+\s*min""), ""Unclassified"", IF(I3111 = """", ""NR"", I3111))"),"TV-Y")</f>
        <v>TV-Y</v>
      </c>
      <c r="R3111" s="5" t="str">
        <f t="shared" si="2"/>
        <v>Back Of The Net</v>
      </c>
      <c r="S3111" s="5" t="str">
        <f>IFERROR(__xludf.DUMMYFUNCTION("""COMPUTED_VALUE"""),"Hogie The Globehopper")</f>
        <v>Hogie The Globehopper</v>
      </c>
      <c r="U3111" s="5" t="str">
        <f>IFERROR(__xludf.DUMMYFUNCTION("""COMPUTED_VALUE"""),"Ismail Farouk, Hazem Fouda")</f>
        <v>Ismail Farouk, Hazem Fouda</v>
      </c>
      <c r="V3111" s="5" t="s">
        <v>17249</v>
      </c>
      <c r="W3111" s="5" t="str">
        <f t="shared" si="3"/>
        <v>Olivier Jean-Marie</v>
      </c>
      <c r="X3111" s="5">
        <f t="shared" si="4"/>
        <v>1</v>
      </c>
      <c r="Y3111" s="5" t="str">
        <f>IFERROR(__xludf.DUMMYFUNCTION("REGEXEXTRACT(J3111, ""^\d+"")"),"86")</f>
        <v>86</v>
      </c>
      <c r="Z3111" s="5" t="str">
        <f>IFERROR(__xludf.DUMMYFUNCTION("REGEXEXTRACT(J3111, ""[A-Za-z ]+$"")")," min")</f>
        <v> min</v>
      </c>
      <c r="AA3111" s="5" t="str">
        <f>IFERROR(__xludf.DUMMYFUNCTION("IF(REGEXMATCH(Z3111, ""Season""), ""TV Show"", ""Movie"")"),"Movie")</f>
        <v>Movie</v>
      </c>
    </row>
    <row r="3112">
      <c r="A3112" s="1" t="s">
        <v>17250</v>
      </c>
      <c r="B3112" s="1" t="s">
        <v>27</v>
      </c>
      <c r="C3112" s="1" t="s">
        <v>17251</v>
      </c>
      <c r="D3112" s="1" t="s">
        <v>17252</v>
      </c>
      <c r="E3112" s="1" t="s">
        <v>17253</v>
      </c>
      <c r="F3112" s="1" t="s">
        <v>400</v>
      </c>
      <c r="G3112" s="1" t="s">
        <v>17247</v>
      </c>
      <c r="H3112" s="1">
        <v>2017.0</v>
      </c>
      <c r="I3112" s="1" t="s">
        <v>136</v>
      </c>
      <c r="J3112" s="1" t="s">
        <v>1144</v>
      </c>
      <c r="K3112" s="1" t="s">
        <v>199</v>
      </c>
      <c r="L3112" s="1" t="s">
        <v>17254</v>
      </c>
      <c r="M3112" s="2" t="s">
        <v>12</v>
      </c>
      <c r="N3112" s="4">
        <f t="shared" si="1"/>
        <v>43820</v>
      </c>
      <c r="O3112" s="5" t="str">
        <f>IFERROR(__xludf.DUMMYFUNCTION("IF(REGEXMATCH(TRIM(I3112), ""^\d+\s*min""), ""Unclassified"", IF(I3112 = """", ""NR"", I3112))"),"TV-PG")</f>
        <v>TV-PG</v>
      </c>
      <c r="R3112" s="5" t="str">
        <f t="shared" si="2"/>
        <v>Lost In London</v>
      </c>
      <c r="S3112" s="5" t="str">
        <f>IFERROR(__xludf.DUMMYFUNCTION("""COMPUTED_VALUE"""),"Hokkabaz")</f>
        <v>Hokkabaz</v>
      </c>
      <c r="U3112" s="5" t="str">
        <f>IFERROR(__xludf.DUMMYFUNCTION("""COMPUTED_VALUE"""),"Avinash Das")</f>
        <v>Avinash Das</v>
      </c>
      <c r="V3112" s="5" t="s">
        <v>17255</v>
      </c>
      <c r="W3112" s="5" t="str">
        <f t="shared" si="3"/>
        <v>Olivier Loustau</v>
      </c>
      <c r="X3112" s="5">
        <f t="shared" si="4"/>
        <v>1</v>
      </c>
      <c r="Y3112" s="5" t="str">
        <f>IFERROR(__xludf.DUMMYFUNCTION("REGEXEXTRACT(J3112, ""^\d+"")"),"86")</f>
        <v>86</v>
      </c>
      <c r="Z3112" s="5" t="str">
        <f>IFERROR(__xludf.DUMMYFUNCTION("REGEXEXTRACT(J3112, ""[A-Za-z ]+$"")")," min")</f>
        <v> min</v>
      </c>
      <c r="AA3112" s="5" t="str">
        <f>IFERROR(__xludf.DUMMYFUNCTION("IF(REGEXMATCH(Z3112, ""Season""), ""TV Show"", ""Movie"")"),"Movie")</f>
        <v>Movie</v>
      </c>
    </row>
    <row r="3113">
      <c r="A3113" s="1" t="s">
        <v>17256</v>
      </c>
      <c r="B3113" s="1" t="s">
        <v>37</v>
      </c>
      <c r="C3113" s="1" t="s">
        <v>17257</v>
      </c>
      <c r="E3113" s="1" t="s">
        <v>17258</v>
      </c>
      <c r="F3113" s="1" t="s">
        <v>17259</v>
      </c>
      <c r="G3113" s="1" t="s">
        <v>17260</v>
      </c>
      <c r="H3113" s="1">
        <v>2019.0</v>
      </c>
      <c r="I3113" s="1" t="s">
        <v>42</v>
      </c>
      <c r="J3113" s="1" t="s">
        <v>51</v>
      </c>
      <c r="K3113" s="1" t="s">
        <v>402</v>
      </c>
      <c r="L3113" s="1" t="s">
        <v>17261</v>
      </c>
      <c r="M3113" s="2" t="s">
        <v>12</v>
      </c>
      <c r="N3113" s="4">
        <f t="shared" si="1"/>
        <v>43819</v>
      </c>
      <c r="O3113" s="5" t="str">
        <f>IFERROR(__xludf.DUMMYFUNCTION("IF(REGEXMATCH(TRIM(I3113), ""^\d+\s*min""), ""Unclassified"", IF(I3113 = """", ""NR"", I3113))"),"TV-MA")</f>
        <v>TV-MA</v>
      </c>
      <c r="R3113" s="5" t="str">
        <f t="shared" si="2"/>
        <v>Agent</v>
      </c>
      <c r="S3113" s="5" t="str">
        <f>IFERROR(__xludf.DUMMYFUNCTION("""COMPUTED_VALUE"""),"Hold The Dark")</f>
        <v>Hold The Dark</v>
      </c>
      <c r="U3113" s="5" t="str">
        <f>IFERROR(__xludf.DUMMYFUNCTION("""COMPUTED_VALUE"""),"Carlos Marques-Marcet")</f>
        <v>Carlos Marques-Marcet</v>
      </c>
      <c r="V3113" s="5" t="s">
        <v>10307</v>
      </c>
      <c r="W3113" s="5" t="str">
        <f t="shared" si="3"/>
        <v>Olivier Marchal</v>
      </c>
      <c r="X3113" s="5">
        <f t="shared" si="4"/>
        <v>2</v>
      </c>
      <c r="Y3113" s="5" t="str">
        <f>IFERROR(__xludf.DUMMYFUNCTION("REGEXEXTRACT(J3113, ""^\d+"")"),"1")</f>
        <v>1</v>
      </c>
      <c r="Z3113" s="5" t="str">
        <f>IFERROR(__xludf.DUMMYFUNCTION("REGEXEXTRACT(J3113, ""[A-Za-z ]+$"")")," Season")</f>
        <v> Season</v>
      </c>
      <c r="AA3113" s="5" t="str">
        <f>IFERROR(__xludf.DUMMYFUNCTION("IF(REGEXMATCH(Z3113, ""Season""), ""TV Show"", ""Movie"")"),"TV Show")</f>
        <v>TV Show</v>
      </c>
    </row>
    <row r="3114">
      <c r="A3114" s="1" t="s">
        <v>17262</v>
      </c>
      <c r="B3114" s="1" t="s">
        <v>27</v>
      </c>
      <c r="C3114" s="1" t="s">
        <v>17263</v>
      </c>
      <c r="D3114" s="1" t="s">
        <v>14643</v>
      </c>
      <c r="E3114" s="1" t="s">
        <v>17264</v>
      </c>
      <c r="F3114" s="1" t="s">
        <v>400</v>
      </c>
      <c r="G3114" s="1" t="s">
        <v>17260</v>
      </c>
      <c r="H3114" s="1">
        <v>2014.0</v>
      </c>
      <c r="I3114" s="1" t="s">
        <v>97</v>
      </c>
      <c r="J3114" s="1" t="s">
        <v>519</v>
      </c>
      <c r="K3114" s="1" t="s">
        <v>679</v>
      </c>
      <c r="L3114" s="1" t="s">
        <v>17265</v>
      </c>
      <c r="M3114" s="2" t="s">
        <v>12</v>
      </c>
      <c r="N3114" s="4">
        <f t="shared" si="1"/>
        <v>43819</v>
      </c>
      <c r="O3114" s="5" t="str">
        <f>IFERROR(__xludf.DUMMYFUNCTION("IF(REGEXMATCH(TRIM(I3114), ""^\d+\s*min""), ""Unclassified"", IF(I3114 = """", ""NR"", I3114))"),"TV-14")</f>
        <v>TV-14</v>
      </c>
      <c r="R3114" s="5" t="str">
        <f t="shared" si="2"/>
        <v>Being Mrs Elliot</v>
      </c>
      <c r="S3114" s="5" t="str">
        <f>IFERROR(__xludf.DUMMYFUNCTION("""COMPUTED_VALUE"""),"Holding The Man")</f>
        <v>Holding The Man</v>
      </c>
      <c r="U3114" s="5" t="str">
        <f>IFERROR(__xludf.DUMMYFUNCTION("""COMPUTED_VALUE"""),"Tim Blake Nelson")</f>
        <v>Tim Blake Nelson</v>
      </c>
      <c r="V3114" s="5" t="s">
        <v>182</v>
      </c>
      <c r="W3114" s="5" t="str">
        <f t="shared" si="3"/>
        <v>Olivier Megaton</v>
      </c>
      <c r="X3114" s="5">
        <f t="shared" si="4"/>
        <v>2</v>
      </c>
      <c r="Y3114" s="5" t="str">
        <f>IFERROR(__xludf.DUMMYFUNCTION("REGEXEXTRACT(J3114, ""^\d+"")"),"113")</f>
        <v>113</v>
      </c>
      <c r="Z3114" s="5" t="str">
        <f>IFERROR(__xludf.DUMMYFUNCTION("REGEXEXTRACT(J3114, ""[A-Za-z ]+$"")")," min")</f>
        <v> min</v>
      </c>
      <c r="AA3114" s="5" t="str">
        <f>IFERROR(__xludf.DUMMYFUNCTION("IF(REGEXMATCH(Z3114, ""Season""), ""TV Show"", ""Movie"")"),"Movie")</f>
        <v>Movie</v>
      </c>
    </row>
    <row r="3115">
      <c r="A3115" s="1" t="s">
        <v>17266</v>
      </c>
      <c r="B3115" s="1" t="s">
        <v>27</v>
      </c>
      <c r="C3115" s="1" t="s">
        <v>17267</v>
      </c>
      <c r="D3115" s="1" t="s">
        <v>7459</v>
      </c>
      <c r="E3115" s="1" t="s">
        <v>17268</v>
      </c>
      <c r="G3115" s="1" t="s">
        <v>17260</v>
      </c>
      <c r="H3115" s="1">
        <v>2018.0</v>
      </c>
      <c r="I3115" s="1" t="s">
        <v>42</v>
      </c>
      <c r="J3115" s="1" t="s">
        <v>1001</v>
      </c>
      <c r="K3115" s="1" t="s">
        <v>1939</v>
      </c>
      <c r="L3115" s="1" t="s">
        <v>17269</v>
      </c>
      <c r="M3115" s="2" t="s">
        <v>12</v>
      </c>
      <c r="N3115" s="4">
        <f t="shared" si="1"/>
        <v>43819</v>
      </c>
      <c r="O3115" s="5" t="str">
        <f>IFERROR(__xludf.DUMMYFUNCTION("IF(REGEXMATCH(TRIM(I3115), ""^\d+\s*min""), ""Unclassified"", IF(I3115 = """", ""NR"", I3115))"),"TV-MA")</f>
        <v>TV-MA</v>
      </c>
      <c r="R3115" s="5" t="str">
        <f t="shared" si="2"/>
        <v>Falz Experience</v>
      </c>
      <c r="S3115" s="5" t="str">
        <f>IFERROR(__xludf.DUMMYFUNCTION("""COMPUTED_VALUE"""),"Hole In The Wall")</f>
        <v>Hole In The Wall</v>
      </c>
      <c r="U3115" s="5" t="str">
        <f>IFERROR(__xludf.DUMMYFUNCTION("""COMPUTED_VALUE"""),"Luis Mandoki")</f>
        <v>Luis Mandoki</v>
      </c>
      <c r="V3115" s="5" t="s">
        <v>8362</v>
      </c>
      <c r="W3115" s="5" t="str">
        <f t="shared" si="3"/>
        <v>Olivier Nakache, Éric Toledano</v>
      </c>
      <c r="X3115" s="5">
        <f t="shared" si="4"/>
        <v>1</v>
      </c>
      <c r="Y3115" s="5" t="str">
        <f>IFERROR(__xludf.DUMMYFUNCTION("REGEXEXTRACT(J3115, ""^\d+"")"),"82")</f>
        <v>82</v>
      </c>
      <c r="Z3115" s="5" t="str">
        <f>IFERROR(__xludf.DUMMYFUNCTION("REGEXEXTRACT(J3115, ""[A-Za-z ]+$"")")," min")</f>
        <v> min</v>
      </c>
      <c r="AA3115" s="5" t="str">
        <f>IFERROR(__xludf.DUMMYFUNCTION("IF(REGEXMATCH(Z3115, ""Season""), ""TV Show"", ""Movie"")"),"Movie")</f>
        <v>Movie</v>
      </c>
    </row>
    <row r="3116">
      <c r="A3116" s="1" t="s">
        <v>17270</v>
      </c>
      <c r="B3116" s="1" t="s">
        <v>27</v>
      </c>
      <c r="C3116" s="1" t="s">
        <v>17271</v>
      </c>
      <c r="D3116" s="1" t="s">
        <v>7892</v>
      </c>
      <c r="E3116" s="1" t="s">
        <v>17272</v>
      </c>
      <c r="F3116" s="1" t="s">
        <v>400</v>
      </c>
      <c r="G3116" s="1" t="s">
        <v>17260</v>
      </c>
      <c r="H3116" s="1">
        <v>2015.0</v>
      </c>
      <c r="I3116" s="1" t="s">
        <v>136</v>
      </c>
      <c r="J3116" s="1" t="s">
        <v>2274</v>
      </c>
      <c r="K3116" s="1" t="s">
        <v>679</v>
      </c>
      <c r="L3116" s="1" t="s">
        <v>17273</v>
      </c>
      <c r="M3116" s="2" t="s">
        <v>12</v>
      </c>
      <c r="N3116" s="4">
        <f t="shared" si="1"/>
        <v>43819</v>
      </c>
      <c r="O3116" s="5" t="str">
        <f>IFERROR(__xludf.DUMMYFUNCTION("IF(REGEXMATCH(TRIM(I3116), ""^\d+\s*min""), ""Unclassified"", IF(I3116 = """", ""NR"", I3116))"),"TV-PG")</f>
        <v>TV-PG</v>
      </c>
      <c r="R3116" s="5" t="str">
        <f t="shared" si="2"/>
        <v>Iyore</v>
      </c>
      <c r="S3116" s="5" t="str">
        <f>IFERROR(__xludf.DUMMYFUNCTION("""COMPUTED_VALUE"""),"Holidate")</f>
        <v>Holidate</v>
      </c>
      <c r="U3116" s="5" t="str">
        <f>IFERROR(__xludf.DUMMYFUNCTION("""COMPUTED_VALUE"""),"Pan Nalin")</f>
        <v>Pan Nalin</v>
      </c>
      <c r="V3116" s="5" t="s">
        <v>13233</v>
      </c>
      <c r="W3116" s="5" t="str">
        <f t="shared" si="3"/>
        <v>Oluseyi Asurf</v>
      </c>
      <c r="X3116" s="5">
        <f t="shared" si="4"/>
        <v>2</v>
      </c>
      <c r="Y3116" s="5" t="str">
        <f>IFERROR(__xludf.DUMMYFUNCTION("REGEXEXTRACT(J3116, ""^\d+"")"),"141")</f>
        <v>141</v>
      </c>
      <c r="Z3116" s="5" t="str">
        <f>IFERROR(__xludf.DUMMYFUNCTION("REGEXEXTRACT(J3116, ""[A-Za-z ]+$"")")," min")</f>
        <v> min</v>
      </c>
      <c r="AA3116" s="5" t="str">
        <f>IFERROR(__xludf.DUMMYFUNCTION("IF(REGEXMATCH(Z3116, ""Season""), ""TV Show"", ""Movie"")"),"Movie")</f>
        <v>Movie</v>
      </c>
    </row>
    <row r="3117">
      <c r="A3117" s="1" t="s">
        <v>17274</v>
      </c>
      <c r="B3117" s="1" t="s">
        <v>27</v>
      </c>
      <c r="C3117" s="1" t="s">
        <v>17275</v>
      </c>
      <c r="D3117" s="1" t="s">
        <v>14643</v>
      </c>
      <c r="E3117" s="1" t="s">
        <v>17276</v>
      </c>
      <c r="G3117" s="1" t="s">
        <v>17260</v>
      </c>
      <c r="H3117" s="1">
        <v>2015.0</v>
      </c>
      <c r="I3117" s="1" t="s">
        <v>42</v>
      </c>
      <c r="J3117" s="1" t="s">
        <v>1256</v>
      </c>
      <c r="K3117" s="1" t="s">
        <v>128</v>
      </c>
      <c r="L3117" s="1" t="s">
        <v>17277</v>
      </c>
      <c r="M3117" s="2" t="s">
        <v>12</v>
      </c>
      <c r="N3117" s="4">
        <f t="shared" si="1"/>
        <v>43819</v>
      </c>
      <c r="O3117" s="5" t="str">
        <f>IFERROR(__xludf.DUMMYFUNCTION("IF(REGEXMATCH(TRIM(I3117), ""^\d+\s*min""), ""Unclassified"", IF(I3117 = """", ""NR"", I3117))"),"TV-MA")</f>
        <v>TV-MA</v>
      </c>
      <c r="R3117" s="5" t="str">
        <f t="shared" si="2"/>
        <v>The First Lady</v>
      </c>
      <c r="S3117" s="5" t="str">
        <f>IFERROR(__xludf.DUMMYFUNCTION("""COMPUTED_VALUE"""),"Holiday Home Makeover With Mr. Christmas")</f>
        <v>Holiday Home Makeover With Mr. Christmas</v>
      </c>
      <c r="U3117" s="5" t="str">
        <f>IFERROR(__xludf.DUMMYFUNCTION("""COMPUTED_VALUE"""),"Sohail Tatari")</f>
        <v>Sohail Tatari</v>
      </c>
      <c r="V3117" s="5" t="s">
        <v>5881</v>
      </c>
      <c r="W3117" s="5" t="str">
        <f t="shared" si="3"/>
        <v>Ömer Faruk Sorak</v>
      </c>
      <c r="X3117" s="5">
        <f t="shared" si="4"/>
        <v>2</v>
      </c>
      <c r="Y3117" s="5" t="str">
        <f>IFERROR(__xludf.DUMMYFUNCTION("REGEXEXTRACT(J3117, ""^\d+"")"),"107")</f>
        <v>107</v>
      </c>
      <c r="Z3117" s="5" t="str">
        <f>IFERROR(__xludf.DUMMYFUNCTION("REGEXEXTRACT(J3117, ""[A-Za-z ]+$"")")," min")</f>
        <v> min</v>
      </c>
      <c r="AA3117" s="5" t="str">
        <f>IFERROR(__xludf.DUMMYFUNCTION("IF(REGEXMATCH(Z3117, ""Season""), ""TV Show"", ""Movie"")"),"Movie")</f>
        <v>Movie</v>
      </c>
    </row>
    <row r="3118">
      <c r="A3118" s="1" t="s">
        <v>17278</v>
      </c>
      <c r="B3118" s="1" t="s">
        <v>27</v>
      </c>
      <c r="C3118" s="1" t="s">
        <v>17279</v>
      </c>
      <c r="D3118" s="1" t="s">
        <v>7654</v>
      </c>
      <c r="E3118" s="1" t="s">
        <v>17280</v>
      </c>
      <c r="F3118" s="1" t="s">
        <v>15091</v>
      </c>
      <c r="G3118" s="1" t="s">
        <v>17260</v>
      </c>
      <c r="H3118" s="1">
        <v>2019.0</v>
      </c>
      <c r="I3118" s="1" t="s">
        <v>32</v>
      </c>
      <c r="J3118" s="1" t="s">
        <v>3458</v>
      </c>
      <c r="K3118" s="1" t="s">
        <v>805</v>
      </c>
      <c r="L3118" s="1" t="s">
        <v>17281</v>
      </c>
      <c r="M3118" s="2" t="s">
        <v>12</v>
      </c>
      <c r="N3118" s="4">
        <f t="shared" si="1"/>
        <v>43819</v>
      </c>
      <c r="O3118" s="5" t="str">
        <f>IFERROR(__xludf.DUMMYFUNCTION("IF(REGEXMATCH(TRIM(I3118), ""^\d+\s*min""), ""Unclassified"", IF(I3118 = """", ""NR"", I3118))"),"PG-13")</f>
        <v>PG-13</v>
      </c>
      <c r="R3118" s="5" t="str">
        <f t="shared" si="2"/>
        <v>The Two Popes</v>
      </c>
      <c r="S3118" s="5" t="str">
        <f>IFERROR(__xludf.DUMMYFUNCTION("""COMPUTED_VALUE"""),"Holiday In The Wild")</f>
        <v>Holiday In The Wild</v>
      </c>
      <c r="U3118" s="5" t="str">
        <f>IFERROR(__xludf.DUMMYFUNCTION("""COMPUTED_VALUE"""),"Paul Serafini")</f>
        <v>Paul Serafini</v>
      </c>
      <c r="V3118" s="5" t="s">
        <v>14643</v>
      </c>
      <c r="W3118" s="5" t="str">
        <f t="shared" si="3"/>
        <v>Omoni Oboli</v>
      </c>
      <c r="X3118" s="5">
        <f t="shared" si="4"/>
        <v>7</v>
      </c>
      <c r="Y3118" s="5" t="str">
        <f>IFERROR(__xludf.DUMMYFUNCTION("REGEXEXTRACT(J3118, ""^\d+"")"),"126")</f>
        <v>126</v>
      </c>
      <c r="Z3118" s="5" t="str">
        <f>IFERROR(__xludf.DUMMYFUNCTION("REGEXEXTRACT(J3118, ""[A-Za-z ]+$"")")," min")</f>
        <v> min</v>
      </c>
      <c r="AA3118" s="5" t="str">
        <f>IFERROR(__xludf.DUMMYFUNCTION("IF(REGEXMATCH(Z3118, ""Season""), ""TV Show"", ""Movie"")"),"Movie")</f>
        <v>Movie</v>
      </c>
    </row>
    <row r="3119">
      <c r="A3119" s="1" t="s">
        <v>17282</v>
      </c>
      <c r="B3119" s="1" t="s">
        <v>37</v>
      </c>
      <c r="C3119" s="1" t="s">
        <v>17283</v>
      </c>
      <c r="E3119" s="1" t="s">
        <v>17284</v>
      </c>
      <c r="F3119" s="1" t="s">
        <v>17285</v>
      </c>
      <c r="G3119" s="1" t="s">
        <v>17260</v>
      </c>
      <c r="H3119" s="1">
        <v>2019.0</v>
      </c>
      <c r="I3119" s="1" t="s">
        <v>42</v>
      </c>
      <c r="J3119" s="1" t="s">
        <v>51</v>
      </c>
      <c r="K3119" s="1" t="s">
        <v>190</v>
      </c>
      <c r="L3119" s="1" t="s">
        <v>17286</v>
      </c>
      <c r="M3119" s="2" t="s">
        <v>12</v>
      </c>
      <c r="N3119" s="4">
        <f t="shared" si="1"/>
        <v>43819</v>
      </c>
      <c r="O3119" s="5" t="str">
        <f>IFERROR(__xludf.DUMMYFUNCTION("IF(REGEXMATCH(TRIM(I3119), ""^\d+\s*min""), ""Unclassified"", IF(I3119 = """", ""NR"", I3119))"),"TV-MA")</f>
        <v>TV-MA</v>
      </c>
      <c r="R3119" s="5" t="str">
        <f t="shared" si="2"/>
        <v>The Witcher</v>
      </c>
      <c r="S3119" s="5" t="str">
        <f>IFERROR(__xludf.DUMMYFUNCTION("""COMPUTED_VALUE"""),"Holiday On Mars")</f>
        <v>Holiday On Mars</v>
      </c>
      <c r="U3119" s="5" t="str">
        <f>IFERROR(__xludf.DUMMYFUNCTION("""COMPUTED_VALUE"""),"Juan Zapata")</f>
        <v>Juan Zapata</v>
      </c>
      <c r="V3119" s="5" t="s">
        <v>12949</v>
      </c>
      <c r="W3119" s="5" t="str">
        <f t="shared" si="3"/>
        <v>Omung Kumar</v>
      </c>
      <c r="X3119" s="5">
        <f t="shared" si="4"/>
        <v>1</v>
      </c>
      <c r="Y3119" s="5" t="str">
        <f>IFERROR(__xludf.DUMMYFUNCTION("REGEXEXTRACT(J3119, ""^\d+"")"),"1")</f>
        <v>1</v>
      </c>
      <c r="Z3119" s="5" t="str">
        <f>IFERROR(__xludf.DUMMYFUNCTION("REGEXEXTRACT(J3119, ""[A-Za-z ]+$"")")," Season")</f>
        <v> Season</v>
      </c>
      <c r="AA3119" s="5" t="str">
        <f>IFERROR(__xludf.DUMMYFUNCTION("IF(REGEXMATCH(Z3119, ""Season""), ""TV Show"", ""Movie"")"),"TV Show")</f>
        <v>TV Show</v>
      </c>
    </row>
    <row r="3120">
      <c r="A3120" s="1" t="s">
        <v>17287</v>
      </c>
      <c r="B3120" s="1" t="s">
        <v>27</v>
      </c>
      <c r="C3120" s="1" t="s">
        <v>17288</v>
      </c>
      <c r="D3120" s="1" t="s">
        <v>17289</v>
      </c>
      <c r="F3120" s="1" t="s">
        <v>949</v>
      </c>
      <c r="G3120" s="1" t="s">
        <v>17290</v>
      </c>
      <c r="H3120" s="1">
        <v>2019.0</v>
      </c>
      <c r="I3120" s="1" t="s">
        <v>136</v>
      </c>
      <c r="J3120" s="1" t="s">
        <v>4935</v>
      </c>
      <c r="K3120" s="1" t="s">
        <v>156</v>
      </c>
      <c r="L3120" s="1" t="s">
        <v>17291</v>
      </c>
      <c r="M3120" s="2" t="s">
        <v>12</v>
      </c>
      <c r="N3120" s="4">
        <f t="shared" si="1"/>
        <v>43818</v>
      </c>
      <c r="O3120" s="5" t="str">
        <f>IFERROR(__xludf.DUMMYFUNCTION("IF(REGEXMATCH(TRIM(I3120), ""^\d+\s*min""), ""Unclassified"", IF(I3120 = """", ""NR"", I3120))"),"TV-PG")</f>
        <v>TV-PG</v>
      </c>
      <c r="R3120" s="5" t="str">
        <f t="shared" si="2"/>
        <v>After The Raid</v>
      </c>
      <c r="S3120" s="5" t="str">
        <f>IFERROR(__xludf.DUMMYFUNCTION("""COMPUTED_VALUE"""),"Holiday Rush")</f>
        <v>Holiday Rush</v>
      </c>
      <c r="U3120" s="5" t="str">
        <f>IFERROR(__xludf.DUMMYFUNCTION("""COMPUTED_VALUE"""),"Sherif Ismail")</f>
        <v>Sherif Ismail</v>
      </c>
      <c r="V3120" s="5" t="s">
        <v>6279</v>
      </c>
      <c r="W3120" s="5" t="str">
        <f t="shared" si="3"/>
        <v>One9</v>
      </c>
      <c r="X3120" s="5">
        <f t="shared" si="4"/>
        <v>1</v>
      </c>
      <c r="Y3120" s="5" t="str">
        <f>IFERROR(__xludf.DUMMYFUNCTION("REGEXEXTRACT(J3120, ""^\d+"")"),"25")</f>
        <v>25</v>
      </c>
      <c r="Z3120" s="5" t="str">
        <f>IFERROR(__xludf.DUMMYFUNCTION("REGEXEXTRACT(J3120, ""[A-Za-z ]+$"")")," min")</f>
        <v> min</v>
      </c>
      <c r="AA3120" s="5" t="str">
        <f>IFERROR(__xludf.DUMMYFUNCTION("IF(REGEXMATCH(Z3120, ""Season""), ""TV Show"", ""Movie"")"),"Movie")</f>
        <v>Movie</v>
      </c>
    </row>
    <row r="3121">
      <c r="A3121" s="1" t="s">
        <v>17292</v>
      </c>
      <c r="B3121" s="1" t="s">
        <v>37</v>
      </c>
      <c r="C3121" s="1" t="s">
        <v>17293</v>
      </c>
      <c r="E3121" s="1" t="s">
        <v>17294</v>
      </c>
      <c r="F3121" s="1" t="s">
        <v>664</v>
      </c>
      <c r="G3121" s="1" t="s">
        <v>17290</v>
      </c>
      <c r="H3121" s="1">
        <v>2019.0</v>
      </c>
      <c r="I3121" s="1" t="s">
        <v>42</v>
      </c>
      <c r="J3121" s="1" t="s">
        <v>51</v>
      </c>
      <c r="K3121" s="1" t="s">
        <v>1907</v>
      </c>
      <c r="L3121" s="1" t="s">
        <v>17295</v>
      </c>
      <c r="M3121" s="2" t="s">
        <v>12</v>
      </c>
      <c r="N3121" s="4">
        <f t="shared" si="1"/>
        <v>43818</v>
      </c>
      <c r="O3121" s="5" t="str">
        <f>IFERROR(__xludf.DUMMYFUNCTION("IF(REGEXMATCH(TRIM(I3121), ""^\d+\s*min""), ""Unclassified"", IF(I3121 = """", ""NR"", I3121))"),"TV-MA")</f>
        <v>TV-MA</v>
      </c>
      <c r="R3121" s="5" t="str">
        <f t="shared" si="2"/>
        <v>Twice Upon A Time</v>
      </c>
      <c r="S3121" s="5" t="str">
        <f>IFERROR(__xludf.DUMMYFUNCTION("""COMPUTED_VALUE"""),"Holiday Secrets")</f>
        <v>Holiday Secrets</v>
      </c>
      <c r="U3121" s="5" t="str">
        <f>IFERROR(__xludf.DUMMYFUNCTION("""COMPUTED_VALUE"""),"Anirban Majumder")</f>
        <v>Anirban Majumder</v>
      </c>
      <c r="V3121" s="5" t="s">
        <v>17296</v>
      </c>
      <c r="W3121" s="5" t="str">
        <f t="shared" si="3"/>
        <v>Onir</v>
      </c>
      <c r="X3121" s="5">
        <f t="shared" si="4"/>
        <v>3</v>
      </c>
      <c r="Y3121" s="5" t="str">
        <f>IFERROR(__xludf.DUMMYFUNCTION("REGEXEXTRACT(J3121, ""^\d+"")"),"1")</f>
        <v>1</v>
      </c>
      <c r="Z3121" s="5" t="str">
        <f>IFERROR(__xludf.DUMMYFUNCTION("REGEXEXTRACT(J3121, ""[A-Za-z ]+$"")")," Season")</f>
        <v> Season</v>
      </c>
      <c r="AA3121" s="5" t="str">
        <f>IFERROR(__xludf.DUMMYFUNCTION("IF(REGEXMATCH(Z3121, ""Season""), ""TV Show"", ""Movie"")"),"TV Show")</f>
        <v>TV Show</v>
      </c>
    </row>
    <row r="3122">
      <c r="A3122" s="1" t="s">
        <v>17297</v>
      </c>
      <c r="B3122" s="1" t="s">
        <v>37</v>
      </c>
      <c r="C3122" s="1" t="s">
        <v>17298</v>
      </c>
      <c r="E3122" s="1" t="s">
        <v>17299</v>
      </c>
      <c r="F3122" s="1" t="s">
        <v>2446</v>
      </c>
      <c r="G3122" s="1" t="s">
        <v>17290</v>
      </c>
      <c r="H3122" s="1">
        <v>2019.0</v>
      </c>
      <c r="I3122" s="1" t="s">
        <v>42</v>
      </c>
      <c r="J3122" s="1" t="s">
        <v>43</v>
      </c>
      <c r="K3122" s="1" t="s">
        <v>1362</v>
      </c>
      <c r="L3122" s="1" t="s">
        <v>17300</v>
      </c>
      <c r="M3122" s="2" t="s">
        <v>12</v>
      </c>
      <c r="N3122" s="4">
        <f t="shared" si="1"/>
        <v>43818</v>
      </c>
      <c r="O3122" s="5" t="str">
        <f>IFERROR(__xludf.DUMMYFUNCTION("IF(REGEXMATCH(TRIM(I3122), ""^\d+\s*min""), ""Unclassified"", IF(I3122 = """", ""NR"", I3122))"),"TV-MA")</f>
        <v>TV-MA</v>
      </c>
      <c r="R3122" s="5" t="str">
        <f t="shared" si="2"/>
        <v>Ultraviolet</v>
      </c>
      <c r="S3122" s="5" t="str">
        <f>IFERROR(__xludf.DUMMYFUNCTION("""COMPUTED_VALUE"""),"Holidays")</f>
        <v>Holidays</v>
      </c>
      <c r="U3122" s="5" t="str">
        <f>IFERROR(__xludf.DUMMYFUNCTION("""COMPUTED_VALUE"""),"Ken Barbet")</f>
        <v>Ken Barbet</v>
      </c>
      <c r="V3122" s="5" t="s">
        <v>17301</v>
      </c>
      <c r="W3122" s="5" t="str">
        <f t="shared" si="3"/>
        <v>Onur Bilgetay</v>
      </c>
      <c r="X3122" s="5">
        <f t="shared" si="4"/>
        <v>1</v>
      </c>
      <c r="Y3122" s="5" t="str">
        <f>IFERROR(__xludf.DUMMYFUNCTION("REGEXEXTRACT(J3122, ""^\d+"")"),"2")</f>
        <v>2</v>
      </c>
      <c r="Z3122" s="5" t="str">
        <f>IFERROR(__xludf.DUMMYFUNCTION("REGEXEXTRACT(J3122, ""[A-Za-z ]+$"")")," Seasons")</f>
        <v> Seasons</v>
      </c>
      <c r="AA3122" s="5" t="str">
        <f>IFERROR(__xludf.DUMMYFUNCTION("IF(REGEXMATCH(Z3122, ""Season""), ""TV Show"", ""Movie"")"),"TV Show")</f>
        <v>TV Show</v>
      </c>
    </row>
    <row r="3123">
      <c r="A3123" s="1" t="s">
        <v>17302</v>
      </c>
      <c r="B3123" s="1" t="s">
        <v>37</v>
      </c>
      <c r="C3123" s="1" t="s">
        <v>17303</v>
      </c>
      <c r="D3123" s="1" t="s">
        <v>14875</v>
      </c>
      <c r="F3123" s="1" t="s">
        <v>686</v>
      </c>
      <c r="G3123" s="1" t="s">
        <v>17304</v>
      </c>
      <c r="H3123" s="1">
        <v>2019.0</v>
      </c>
      <c r="I3123" s="1" t="s">
        <v>42</v>
      </c>
      <c r="J3123" s="1" t="s">
        <v>51</v>
      </c>
      <c r="K3123" s="1" t="s">
        <v>2043</v>
      </c>
      <c r="L3123" s="1" t="s">
        <v>17305</v>
      </c>
      <c r="M3123" s="2" t="s">
        <v>12</v>
      </c>
      <c r="N3123" s="4">
        <f t="shared" si="1"/>
        <v>43817</v>
      </c>
      <c r="O3123" s="5" t="str">
        <f>IFERROR(__xludf.DUMMYFUNCTION("IF(REGEXMATCH(TRIM(I3123), ""^\d+\s*min""), ""Unclassified"", IF(I3123 = """", ""NR"", I3123))"),"TV-MA")</f>
        <v>TV-MA</v>
      </c>
      <c r="R3123" s="5" t="str">
        <f t="shared" si="2"/>
        <v>Don'T F**K With Cats: Hunting An Internet Killer</v>
      </c>
      <c r="S3123" s="5" t="str">
        <f>IFERROR(__xludf.DUMMYFUNCTION("""COMPUTED_VALUE"""),"Holly Star")</f>
        <v>Holly Star</v>
      </c>
      <c r="U3123" s="5" t="str">
        <f>IFERROR(__xludf.DUMMYFUNCTION("""COMPUTED_VALUE"""),"Manish Jha")</f>
        <v>Manish Jha</v>
      </c>
      <c r="V3123" s="5" t="s">
        <v>17306</v>
      </c>
      <c r="W3123" s="5" t="str">
        <f t="shared" si="3"/>
        <v>Onur Tukel</v>
      </c>
      <c r="X3123" s="5">
        <f t="shared" si="4"/>
        <v>1</v>
      </c>
      <c r="Y3123" s="5" t="str">
        <f>IFERROR(__xludf.DUMMYFUNCTION("REGEXEXTRACT(J3123, ""^\d+"")"),"1")</f>
        <v>1</v>
      </c>
      <c r="Z3123" s="5" t="str">
        <f>IFERROR(__xludf.DUMMYFUNCTION("REGEXEXTRACT(J3123, ""[A-Za-z ]+$"")")," Season")</f>
        <v> Season</v>
      </c>
      <c r="AA3123" s="5" t="str">
        <f>IFERROR(__xludf.DUMMYFUNCTION("IF(REGEXMATCH(Z3123, ""Season""), ""TV Show"", ""Movie"")"),"TV Show")</f>
        <v>TV Show</v>
      </c>
    </row>
    <row r="3124">
      <c r="A3124" s="1" t="s">
        <v>17307</v>
      </c>
      <c r="B3124" s="1" t="s">
        <v>37</v>
      </c>
      <c r="C3124" s="1" t="s">
        <v>17308</v>
      </c>
      <c r="E3124" s="1" t="s">
        <v>17309</v>
      </c>
      <c r="F3124" s="1" t="s">
        <v>30</v>
      </c>
      <c r="G3124" s="1" t="s">
        <v>17304</v>
      </c>
      <c r="H3124" s="1">
        <v>2019.0</v>
      </c>
      <c r="I3124" s="1" t="s">
        <v>42</v>
      </c>
      <c r="J3124" s="1" t="s">
        <v>51</v>
      </c>
      <c r="K3124" s="1" t="s">
        <v>3083</v>
      </c>
      <c r="L3124" s="1" t="s">
        <v>17310</v>
      </c>
      <c r="M3124" s="2" t="s">
        <v>12</v>
      </c>
      <c r="N3124" s="4">
        <f t="shared" si="1"/>
        <v>43817</v>
      </c>
      <c r="O3124" s="5" t="str">
        <f>IFERROR(__xludf.DUMMYFUNCTION("IF(REGEXMATCH(TRIM(I3124), ""^\d+\s*min""), ""Unclassified"", IF(I3124 = """", ""NR"", I3124))"),"TV-MA")</f>
        <v>TV-MA</v>
      </c>
      <c r="R3124" s="5" t="str">
        <f t="shared" si="2"/>
        <v>Soundtrack</v>
      </c>
      <c r="S3124" s="5" t="str">
        <f>IFERROR(__xludf.DUMMYFUNCTION("""COMPUTED_VALUE"""),"Hollywood")</f>
        <v>Hollywood</v>
      </c>
      <c r="U3124" s="5" t="str">
        <f>IFERROR(__xludf.DUMMYFUNCTION("""COMPUTED_VALUE"""),"David Salzberg, Christian Tureaud")</f>
        <v>David Salzberg, Christian Tureaud</v>
      </c>
      <c r="V3124" s="5" t="s">
        <v>17311</v>
      </c>
      <c r="W3124" s="5" t="str">
        <f t="shared" si="3"/>
        <v>Onur Ünlü</v>
      </c>
      <c r="X3124" s="5">
        <f t="shared" si="4"/>
        <v>1</v>
      </c>
      <c r="Y3124" s="5" t="str">
        <f>IFERROR(__xludf.DUMMYFUNCTION("REGEXEXTRACT(J3124, ""^\d+"")"),"1")</f>
        <v>1</v>
      </c>
      <c r="Z3124" s="5" t="str">
        <f>IFERROR(__xludf.DUMMYFUNCTION("REGEXEXTRACT(J3124, ""[A-Za-z ]+$"")")," Season")</f>
        <v> Season</v>
      </c>
      <c r="AA3124" s="5" t="str">
        <f>IFERROR(__xludf.DUMMYFUNCTION("IF(REGEXMATCH(Z3124, ""Season""), ""TV Show"", ""Movie"")"),"TV Show")</f>
        <v>TV Show</v>
      </c>
    </row>
    <row r="3125">
      <c r="A3125" s="1" t="s">
        <v>17312</v>
      </c>
      <c r="B3125" s="1" t="s">
        <v>27</v>
      </c>
      <c r="C3125" s="1" t="s">
        <v>17313</v>
      </c>
      <c r="D3125" s="1" t="s">
        <v>17314</v>
      </c>
      <c r="E3125" s="1" t="s">
        <v>17315</v>
      </c>
      <c r="F3125" s="1" t="s">
        <v>30</v>
      </c>
      <c r="G3125" s="1" t="s">
        <v>17316</v>
      </c>
      <c r="H3125" s="1">
        <v>2019.0</v>
      </c>
      <c r="I3125" s="1" t="s">
        <v>42</v>
      </c>
      <c r="J3125" s="1" t="s">
        <v>919</v>
      </c>
      <c r="K3125" s="1" t="s">
        <v>1839</v>
      </c>
      <c r="L3125" s="1" t="s">
        <v>17317</v>
      </c>
      <c r="M3125" s="2" t="s">
        <v>12</v>
      </c>
      <c r="N3125" s="4">
        <f t="shared" si="1"/>
        <v>43816</v>
      </c>
      <c r="O3125" s="5" t="str">
        <f>IFERROR(__xludf.DUMMYFUNCTION("IF(REGEXMATCH(TRIM(I3125), ""^\d+\s*min""), ""Unclassified"", IF(I3125 = """", ""NR"", I3125))"),"TV-MA")</f>
        <v>TV-MA</v>
      </c>
      <c r="R3125" s="5" t="str">
        <f t="shared" si="2"/>
        <v>Ronny Chieng: Asian Comedian Destroys America!</v>
      </c>
      <c r="S3125" s="5" t="str">
        <f>IFERROR(__xludf.DUMMYFUNCTION("""COMPUTED_VALUE"""),"Holy Camp!")</f>
        <v>Holy Camp!</v>
      </c>
      <c r="U3125" s="5" t="str">
        <f>IFERROR(__xludf.DUMMYFUNCTION("""COMPUTED_VALUE"""),"J.F. Musial, Josh Vietze")</f>
        <v>J.F. Musial, Josh Vietze</v>
      </c>
      <c r="V3125" s="5" t="s">
        <v>17318</v>
      </c>
      <c r="W3125" s="5" t="str">
        <f t="shared" si="3"/>
        <v>Oren Peli</v>
      </c>
      <c r="X3125" s="5">
        <f t="shared" si="4"/>
        <v>1</v>
      </c>
      <c r="Y3125" s="5" t="str">
        <f>IFERROR(__xludf.DUMMYFUNCTION("REGEXEXTRACT(J3125, ""^\d+"")"),"63")</f>
        <v>63</v>
      </c>
      <c r="Z3125" s="5" t="str">
        <f>IFERROR(__xludf.DUMMYFUNCTION("REGEXEXTRACT(J3125, ""[A-Za-z ]+$"")")," min")</f>
        <v> min</v>
      </c>
      <c r="AA3125" s="5" t="str">
        <f>IFERROR(__xludf.DUMMYFUNCTION("IF(REGEXMATCH(Z3125, ""Season""), ""TV Show"", ""Movie"")"),"Movie")</f>
        <v>Movie</v>
      </c>
    </row>
    <row r="3126">
      <c r="A3126" s="1" t="s">
        <v>17319</v>
      </c>
      <c r="B3126" s="1" t="s">
        <v>27</v>
      </c>
      <c r="C3126" s="1" t="s">
        <v>17320</v>
      </c>
      <c r="D3126" s="1" t="s">
        <v>17106</v>
      </c>
      <c r="E3126" s="1" t="s">
        <v>17321</v>
      </c>
      <c r="F3126" s="1" t="s">
        <v>7880</v>
      </c>
      <c r="G3126" s="1" t="s">
        <v>17322</v>
      </c>
      <c r="H3126" s="1">
        <v>2018.0</v>
      </c>
      <c r="I3126" s="1" t="s">
        <v>42</v>
      </c>
      <c r="J3126" s="1" t="s">
        <v>1383</v>
      </c>
      <c r="K3126" s="1" t="s">
        <v>836</v>
      </c>
      <c r="L3126" s="1" t="s">
        <v>17323</v>
      </c>
      <c r="M3126" s="2" t="s">
        <v>12</v>
      </c>
      <c r="N3126" s="4">
        <f t="shared" si="1"/>
        <v>43815</v>
      </c>
      <c r="O3126" s="5" t="str">
        <f>IFERROR(__xludf.DUMMYFUNCTION("IF(REGEXMATCH(TRIM(I3126), ""^\d+\s*min""), ""Unclassified"", IF(I3126 = """", ""NR"", I3126))"),"TV-MA")</f>
        <v>TV-MA</v>
      </c>
      <c r="R3126" s="5" t="str">
        <f t="shared" si="2"/>
        <v>Sincerely Yours, Dhaka</v>
      </c>
      <c r="S3126" s="5" t="str">
        <f>IFERROR(__xludf.DUMMYFUNCTION("""COMPUTED_VALUE"""),"Holy Expectations")</f>
        <v>Holy Expectations</v>
      </c>
      <c r="U3126" s="5" t="str">
        <f>IFERROR(__xludf.DUMMYFUNCTION("""COMPUTED_VALUE"""),"Christian Desmares, Franck Ekinci")</f>
        <v>Christian Desmares, Franck Ekinci</v>
      </c>
      <c r="V3126" s="5" t="s">
        <v>17324</v>
      </c>
      <c r="W3126" s="5" t="str">
        <f t="shared" si="3"/>
        <v>Oren Uziel</v>
      </c>
      <c r="X3126" s="5">
        <f t="shared" si="4"/>
        <v>1</v>
      </c>
      <c r="Y3126" s="5" t="str">
        <f>IFERROR(__xludf.DUMMYFUNCTION("REGEXEXTRACT(J3126, ""^\d+"")"),"136")</f>
        <v>136</v>
      </c>
      <c r="Z3126" s="5" t="str">
        <f>IFERROR(__xludf.DUMMYFUNCTION("REGEXEXTRACT(J3126, ""[A-Za-z ]+$"")")," min")</f>
        <v> min</v>
      </c>
      <c r="AA3126" s="5" t="str">
        <f>IFERROR(__xludf.DUMMYFUNCTION("IF(REGEXMATCH(Z3126, ""Season""), ""TV Show"", ""Movie"")"),"Movie")</f>
        <v>Movie</v>
      </c>
    </row>
    <row r="3127">
      <c r="A3127" s="1" t="s">
        <v>17325</v>
      </c>
      <c r="B3127" s="1" t="s">
        <v>27</v>
      </c>
      <c r="C3127" s="1" t="s">
        <v>17326</v>
      </c>
      <c r="D3127" s="1" t="s">
        <v>12116</v>
      </c>
      <c r="E3127" s="1" t="s">
        <v>17327</v>
      </c>
      <c r="F3127" s="1" t="s">
        <v>17328</v>
      </c>
      <c r="G3127" s="1" t="s">
        <v>17322</v>
      </c>
      <c r="H3127" s="1">
        <v>2015.0</v>
      </c>
      <c r="I3127" s="1" t="s">
        <v>378</v>
      </c>
      <c r="J3127" s="1" t="s">
        <v>985</v>
      </c>
      <c r="K3127" s="1" t="s">
        <v>89</v>
      </c>
      <c r="L3127" s="1" t="s">
        <v>17329</v>
      </c>
      <c r="M3127" s="2" t="s">
        <v>12</v>
      </c>
      <c r="N3127" s="4">
        <f t="shared" si="1"/>
        <v>43815</v>
      </c>
      <c r="O3127" s="5" t="str">
        <f>IFERROR(__xludf.DUMMYFUNCTION("IF(REGEXMATCH(TRIM(I3127), ""^\d+\s*min""), ""Unclassified"", IF(I3127 = """", ""NR"", I3127))"),"R")</f>
        <v>R</v>
      </c>
      <c r="R3127" s="5" t="str">
        <f t="shared" si="2"/>
        <v>The Danish Girl</v>
      </c>
      <c r="S3127" s="5" t="str">
        <f>IFERROR(__xludf.DUMMYFUNCTION("""COMPUTED_VALUE"""),"Holy Goalie")</f>
        <v>Holy Goalie</v>
      </c>
      <c r="U3127" s="5" t="str">
        <f>IFERROR(__xludf.DUMMYFUNCTION("""COMPUTED_VALUE"""),"Christopher Chambers")</f>
        <v>Christopher Chambers</v>
      </c>
      <c r="V3127" s="5" t="s">
        <v>5759</v>
      </c>
      <c r="W3127" s="5" t="str">
        <f t="shared" si="3"/>
        <v>Oriol Paulo</v>
      </c>
      <c r="X3127" s="5">
        <f t="shared" si="4"/>
        <v>2</v>
      </c>
      <c r="Y3127" s="5" t="str">
        <f>IFERROR(__xludf.DUMMYFUNCTION("REGEXEXTRACT(J3127, ""^\d+"")"),"120")</f>
        <v>120</v>
      </c>
      <c r="Z3127" s="5" t="str">
        <f>IFERROR(__xludf.DUMMYFUNCTION("REGEXEXTRACT(J3127, ""[A-Za-z ]+$"")")," min")</f>
        <v> min</v>
      </c>
      <c r="AA3127" s="5" t="str">
        <f>IFERROR(__xludf.DUMMYFUNCTION("IF(REGEXMATCH(Z3127, ""Season""), ""TV Show"", ""Movie"")"),"Movie")</f>
        <v>Movie</v>
      </c>
    </row>
    <row r="3128">
      <c r="A3128" s="1" t="s">
        <v>17330</v>
      </c>
      <c r="B3128" s="1" t="s">
        <v>27</v>
      </c>
      <c r="C3128" s="1" t="s">
        <v>17331</v>
      </c>
      <c r="D3128" s="1" t="s">
        <v>12378</v>
      </c>
      <c r="E3128" s="1" t="s">
        <v>17332</v>
      </c>
      <c r="F3128" s="1" t="s">
        <v>63</v>
      </c>
      <c r="G3128" s="1" t="s">
        <v>17333</v>
      </c>
      <c r="H3128" s="1">
        <v>2015.0</v>
      </c>
      <c r="I3128" s="1" t="s">
        <v>97</v>
      </c>
      <c r="J3128" s="1" t="s">
        <v>7413</v>
      </c>
      <c r="K3128" s="1" t="s">
        <v>583</v>
      </c>
      <c r="L3128" s="1" t="s">
        <v>17334</v>
      </c>
      <c r="M3128" s="2" t="s">
        <v>12</v>
      </c>
      <c r="N3128" s="4">
        <f t="shared" si="1"/>
        <v>43814</v>
      </c>
      <c r="O3128" s="5" t="str">
        <f>IFERROR(__xludf.DUMMYFUNCTION("IF(REGEXMATCH(TRIM(I3128), ""^\d+\s*min""), ""Unclassified"", IF(I3128 = """", ""NR"", I3128))"),"TV-14")</f>
        <v>TV-14</v>
      </c>
      <c r="R3128" s="5" t="str">
        <f t="shared" si="2"/>
        <v>Bangistan</v>
      </c>
      <c r="S3128" s="5" t="str">
        <f>IFERROR(__xludf.DUMMYFUNCTION("""COMPUTED_VALUE"""),"Holy Hell")</f>
        <v>Holy Hell</v>
      </c>
      <c r="U3128" s="5" t="str">
        <f>IFERROR(__xludf.DUMMYFUNCTION("""COMPUTED_VALUE"""),"Khaled El Halafawy")</f>
        <v>Khaled El Halafawy</v>
      </c>
      <c r="V3128" s="5" t="s">
        <v>17335</v>
      </c>
      <c r="W3128" s="5" t="str">
        <f t="shared" si="3"/>
        <v>Orlando Von Einsiedel</v>
      </c>
      <c r="X3128" s="5">
        <f t="shared" si="4"/>
        <v>3</v>
      </c>
      <c r="Y3128" s="5" t="str">
        <f>IFERROR(__xludf.DUMMYFUNCTION("REGEXEXTRACT(J3128, ""^\d+"")"),"134")</f>
        <v>134</v>
      </c>
      <c r="Z3128" s="5" t="str">
        <f>IFERROR(__xludf.DUMMYFUNCTION("REGEXEXTRACT(J3128, ""[A-Za-z ]+$"")")," min")</f>
        <v> min</v>
      </c>
      <c r="AA3128" s="5" t="str">
        <f>IFERROR(__xludf.DUMMYFUNCTION("IF(REGEXMATCH(Z3128, ""Season""), ""TV Show"", ""Movie"")"),"Movie")</f>
        <v>Movie</v>
      </c>
    </row>
    <row r="3129">
      <c r="A3129" s="1" t="s">
        <v>17336</v>
      </c>
      <c r="B3129" s="1" t="s">
        <v>37</v>
      </c>
      <c r="C3129" s="1" t="s">
        <v>17337</v>
      </c>
      <c r="E3129" s="1" t="s">
        <v>17338</v>
      </c>
      <c r="F3129" s="1" t="s">
        <v>749</v>
      </c>
      <c r="G3129" s="1" t="s">
        <v>17333</v>
      </c>
      <c r="H3129" s="1">
        <v>2016.0</v>
      </c>
      <c r="I3129" s="1" t="s">
        <v>136</v>
      </c>
      <c r="J3129" s="1" t="s">
        <v>51</v>
      </c>
      <c r="K3129" s="1" t="s">
        <v>7164</v>
      </c>
      <c r="L3129" s="1" t="s">
        <v>17339</v>
      </c>
      <c r="M3129" s="2" t="s">
        <v>12</v>
      </c>
      <c r="N3129" s="4">
        <f t="shared" si="1"/>
        <v>43814</v>
      </c>
      <c r="O3129" s="5" t="str">
        <f>IFERROR(__xludf.DUMMYFUNCTION("IF(REGEXMATCH(TRIM(I3129), ""^\d+\s*min""), ""Unclassified"", IF(I3129 = """", ""NR"", I3129))"),"TV-PG")</f>
        <v>TV-PG</v>
      </c>
      <c r="R3129" s="5" t="str">
        <f t="shared" si="2"/>
        <v>Cinderella And The Four Knights</v>
      </c>
      <c r="S3129" s="5" t="str">
        <f>IFERROR(__xludf.DUMMYFUNCTION("""COMPUTED_VALUE"""),"Holy Man 2")</f>
        <v>Holy Man 2</v>
      </c>
      <c r="U3129" s="5" t="str">
        <f>IFERROR(__xludf.DUMMYFUNCTION("""COMPUTED_VALUE"""),"Nia Dinata")</f>
        <v>Nia Dinata</v>
      </c>
      <c r="V3129" s="5" t="s">
        <v>17340</v>
      </c>
      <c r="W3129" s="5" t="str">
        <f t="shared" si="3"/>
        <v>Orson Welles</v>
      </c>
      <c r="X3129" s="5">
        <f t="shared" si="4"/>
        <v>1</v>
      </c>
      <c r="Y3129" s="5" t="str">
        <f>IFERROR(__xludf.DUMMYFUNCTION("REGEXEXTRACT(J3129, ""^\d+"")"),"1")</f>
        <v>1</v>
      </c>
      <c r="Z3129" s="5" t="str">
        <f>IFERROR(__xludf.DUMMYFUNCTION("REGEXEXTRACT(J3129, ""[A-Za-z ]+$"")")," Season")</f>
        <v> Season</v>
      </c>
      <c r="AA3129" s="5" t="str">
        <f>IFERROR(__xludf.DUMMYFUNCTION("IF(REGEXMATCH(Z3129, ""Season""), ""TV Show"", ""Movie"")"),"TV Show")</f>
        <v>TV Show</v>
      </c>
    </row>
    <row r="3130">
      <c r="A3130" s="1" t="s">
        <v>17341</v>
      </c>
      <c r="B3130" s="1" t="s">
        <v>37</v>
      </c>
      <c r="C3130" s="1" t="s">
        <v>17342</v>
      </c>
      <c r="E3130" s="1" t="s">
        <v>17343</v>
      </c>
      <c r="F3130" s="1" t="s">
        <v>30</v>
      </c>
      <c r="G3130" s="1" t="s">
        <v>17333</v>
      </c>
      <c r="H3130" s="1">
        <v>2015.0</v>
      </c>
      <c r="I3130" s="1" t="s">
        <v>206</v>
      </c>
      <c r="J3130" s="1" t="s">
        <v>43</v>
      </c>
      <c r="K3130" s="1" t="s">
        <v>637</v>
      </c>
      <c r="L3130" s="1" t="s">
        <v>17344</v>
      </c>
      <c r="M3130" s="2" t="s">
        <v>12</v>
      </c>
      <c r="N3130" s="4">
        <f t="shared" si="1"/>
        <v>43814</v>
      </c>
      <c r="O3130" s="5" t="str">
        <f>IFERROR(__xludf.DUMMYFUNCTION("IF(REGEXMATCH(TRIM(I3130), ""^\d+\s*min""), ""Unclassified"", IF(I3130 = """", ""NR"", I3130))"),"TV-Y")</f>
        <v>TV-Y</v>
      </c>
      <c r="R3130" s="5" t="str">
        <f t="shared" si="2"/>
        <v>Cocomong</v>
      </c>
      <c r="S3130" s="5" t="str">
        <f>IFERROR(__xludf.DUMMYFUNCTION("""COMPUTED_VALUE"""),"Holy Man 3")</f>
        <v>Holy Man 3</v>
      </c>
      <c r="U3130" s="5" t="str">
        <f>IFERROR(__xludf.DUMMYFUNCTION("""COMPUTED_VALUE"""),"Jason Winer")</f>
        <v>Jason Winer</v>
      </c>
      <c r="V3130" s="5" t="s">
        <v>17345</v>
      </c>
      <c r="W3130" s="5" t="str">
        <f t="shared" si="3"/>
        <v>Oscar Micheaux, Spencer Williams, Richard E. Norman, Richard Maurice</v>
      </c>
      <c r="X3130" s="5">
        <f t="shared" si="4"/>
        <v>1</v>
      </c>
      <c r="Y3130" s="5" t="str">
        <f>IFERROR(__xludf.DUMMYFUNCTION("REGEXEXTRACT(J3130, ""^\d+"")"),"2")</f>
        <v>2</v>
      </c>
      <c r="Z3130" s="5" t="str">
        <f>IFERROR(__xludf.DUMMYFUNCTION("REGEXEXTRACT(J3130, ""[A-Za-z ]+$"")")," Seasons")</f>
        <v> Seasons</v>
      </c>
      <c r="AA3130" s="5" t="str">
        <f>IFERROR(__xludf.DUMMYFUNCTION("IF(REGEXMATCH(Z3130, ""Season""), ""TV Show"", ""Movie"")"),"TV Show")</f>
        <v>TV Show</v>
      </c>
    </row>
    <row r="3131">
      <c r="A3131" s="1" t="s">
        <v>17346</v>
      </c>
      <c r="B3131" s="1" t="s">
        <v>37</v>
      </c>
      <c r="C3131" s="1" t="s">
        <v>17347</v>
      </c>
      <c r="E3131" s="1" t="s">
        <v>17348</v>
      </c>
      <c r="F3131" s="1" t="s">
        <v>749</v>
      </c>
      <c r="G3131" s="1" t="s">
        <v>17333</v>
      </c>
      <c r="H3131" s="1">
        <v>2019.0</v>
      </c>
      <c r="I3131" s="1" t="s">
        <v>97</v>
      </c>
      <c r="J3131" s="1" t="s">
        <v>51</v>
      </c>
      <c r="K3131" s="1" t="s">
        <v>7164</v>
      </c>
      <c r="L3131" s="1" t="s">
        <v>17349</v>
      </c>
      <c r="M3131" s="2" t="s">
        <v>12</v>
      </c>
      <c r="N3131" s="4">
        <f t="shared" si="1"/>
        <v>43814</v>
      </c>
      <c r="O3131" s="5" t="str">
        <f>IFERROR(__xludf.DUMMYFUNCTION("IF(REGEXMATCH(TRIM(I3131), ""^\d+\s*min""), ""Unclassified"", IF(I3131 = """", ""NR"", I3131))"),"TV-14")</f>
        <v>TV-14</v>
      </c>
      <c r="R3131" s="5" t="str">
        <f t="shared" si="2"/>
        <v>Crash Landing On You</v>
      </c>
      <c r="S3131" s="5" t="str">
        <f>IFERROR(__xludf.DUMMYFUNCTION("""COMPUTED_VALUE"""),"Hombanna")</f>
        <v>Hombanna</v>
      </c>
      <c r="U3131" s="5" t="str">
        <f>IFERROR(__xludf.DUMMYFUNCTION("""COMPUTED_VALUE"""),"Sarah Smith")</f>
        <v>Sarah Smith</v>
      </c>
      <c r="V3131" s="5" t="s">
        <v>17350</v>
      </c>
      <c r="W3131" s="5" t="str">
        <f t="shared" si="3"/>
        <v>Osgood Perkins</v>
      </c>
      <c r="X3131" s="5">
        <f t="shared" si="4"/>
        <v>2</v>
      </c>
      <c r="Y3131" s="5" t="str">
        <f>IFERROR(__xludf.DUMMYFUNCTION("REGEXEXTRACT(J3131, ""^\d+"")"),"1")</f>
        <v>1</v>
      </c>
      <c r="Z3131" s="5" t="str">
        <f>IFERROR(__xludf.DUMMYFUNCTION("REGEXEXTRACT(J3131, ""[A-Za-z ]+$"")")," Season")</f>
        <v> Season</v>
      </c>
      <c r="AA3131" s="5" t="str">
        <f>IFERROR(__xludf.DUMMYFUNCTION("IF(REGEXMATCH(Z3131, ""Season""), ""TV Show"", ""Movie"")"),"TV Show")</f>
        <v>TV Show</v>
      </c>
    </row>
    <row r="3132">
      <c r="A3132" s="1" t="s">
        <v>17351</v>
      </c>
      <c r="B3132" s="1" t="s">
        <v>37</v>
      </c>
      <c r="C3132" s="1" t="s">
        <v>17352</v>
      </c>
      <c r="D3132" s="1" t="s">
        <v>13182</v>
      </c>
      <c r="E3132" s="1" t="s">
        <v>17353</v>
      </c>
      <c r="F3132" s="1" t="s">
        <v>400</v>
      </c>
      <c r="G3132" s="1" t="s">
        <v>17333</v>
      </c>
      <c r="H3132" s="1">
        <v>2018.0</v>
      </c>
      <c r="I3132" s="1" t="s">
        <v>42</v>
      </c>
      <c r="J3132" s="1" t="s">
        <v>51</v>
      </c>
      <c r="K3132" s="1" t="s">
        <v>402</v>
      </c>
      <c r="L3132" s="1" t="s">
        <v>17354</v>
      </c>
      <c r="M3132" s="2" t="s">
        <v>12</v>
      </c>
      <c r="N3132" s="4">
        <f t="shared" si="1"/>
        <v>43814</v>
      </c>
      <c r="O3132" s="5" t="str">
        <f>IFERROR(__xludf.DUMMYFUNCTION("IF(REGEXMATCH(TRIM(I3132), ""^\d+\s*min""), ""Unclassified"", IF(I3132 = """", ""NR"", I3132))"),"TV-MA")</f>
        <v>TV-MA</v>
      </c>
      <c r="R3132" s="5" t="str">
        <f t="shared" si="2"/>
        <v>Crazy, Lovely, Cool</v>
      </c>
      <c r="S3132" s="5" t="str">
        <f>IFERROR(__xludf.DUMMYFUNCTION("""COMPUTED_VALUE"""),"Home")</f>
        <v>Home</v>
      </c>
      <c r="U3132" s="5" t="str">
        <f>IFERROR(__xludf.DUMMYFUNCTION("""COMPUTED_VALUE"""),"James L. Brooks")</f>
        <v>James L. Brooks</v>
      </c>
      <c r="V3132" s="5" t="s">
        <v>17355</v>
      </c>
      <c r="W3132" s="5" t="str">
        <f t="shared" si="3"/>
        <v>Oskar Santos</v>
      </c>
      <c r="X3132" s="5">
        <f t="shared" si="4"/>
        <v>1</v>
      </c>
      <c r="Y3132" s="5" t="str">
        <f>IFERROR(__xludf.DUMMYFUNCTION("REGEXEXTRACT(J3132, ""^\d+"")"),"1")</f>
        <v>1</v>
      </c>
      <c r="Z3132" s="5" t="str">
        <f>IFERROR(__xludf.DUMMYFUNCTION("REGEXEXTRACT(J3132, ""[A-Za-z ]+$"")")," Season")</f>
        <v> Season</v>
      </c>
      <c r="AA3132" s="5" t="str">
        <f>IFERROR(__xludf.DUMMYFUNCTION("IF(REGEXMATCH(Z3132, ""Season""), ""TV Show"", ""Movie"")"),"TV Show")</f>
        <v>TV Show</v>
      </c>
    </row>
    <row r="3133">
      <c r="A3133" s="1" t="s">
        <v>17356</v>
      </c>
      <c r="B3133" s="1" t="s">
        <v>27</v>
      </c>
      <c r="C3133" s="1" t="s">
        <v>17357</v>
      </c>
      <c r="D3133" s="1" t="s">
        <v>7500</v>
      </c>
      <c r="E3133" s="1" t="s">
        <v>17358</v>
      </c>
      <c r="F3133" s="1" t="s">
        <v>63</v>
      </c>
      <c r="G3133" s="1" t="s">
        <v>17333</v>
      </c>
      <c r="H3133" s="1">
        <v>2001.0</v>
      </c>
      <c r="I3133" s="1" t="s">
        <v>97</v>
      </c>
      <c r="J3133" s="1" t="s">
        <v>6717</v>
      </c>
      <c r="K3133" s="1" t="s">
        <v>583</v>
      </c>
      <c r="L3133" s="1" t="s">
        <v>17359</v>
      </c>
      <c r="M3133" s="2" t="s">
        <v>12</v>
      </c>
      <c r="N3133" s="4">
        <f t="shared" si="1"/>
        <v>43814</v>
      </c>
      <c r="O3133" s="5" t="str">
        <f>IFERROR(__xludf.DUMMYFUNCTION("IF(REGEXMATCH(TRIM(I3133), ""^\d+\s*min""), ""Unclassified"", IF(I3133 = """", ""NR"", I3133))"),"TV-14")</f>
        <v>TV-14</v>
      </c>
      <c r="R3133" s="5" t="str">
        <f t="shared" si="2"/>
        <v>Dil Chahta Hai</v>
      </c>
      <c r="S3133" s="5" t="str">
        <f>IFERROR(__xludf.DUMMYFUNCTION("""COMPUTED_VALUE"""),"Home Again")</f>
        <v>Home Again</v>
      </c>
      <c r="U3133" s="5" t="str">
        <f>IFERROR(__xludf.DUMMYFUNCTION("""COMPUTED_VALUE"""),"John Murlowski")</f>
        <v>John Murlowski</v>
      </c>
      <c r="V3133" s="5" t="s">
        <v>17360</v>
      </c>
      <c r="W3133" s="5" t="str">
        <f t="shared" si="3"/>
        <v>Óskar Thór Axelsson</v>
      </c>
      <c r="X3133" s="5">
        <f t="shared" si="4"/>
        <v>1</v>
      </c>
      <c r="Y3133" s="5" t="str">
        <f>IFERROR(__xludf.DUMMYFUNCTION("REGEXEXTRACT(J3133, ""^\d+"")"),"185")</f>
        <v>185</v>
      </c>
      <c r="Z3133" s="5" t="str">
        <f>IFERROR(__xludf.DUMMYFUNCTION("REGEXEXTRACT(J3133, ""[A-Za-z ]+$"")")," min")</f>
        <v> min</v>
      </c>
      <c r="AA3133" s="5" t="str">
        <f>IFERROR(__xludf.DUMMYFUNCTION("IF(REGEXMATCH(Z3133, ""Season""), ""TV Show"", ""Movie"")"),"Movie")</f>
        <v>Movie</v>
      </c>
    </row>
    <row r="3134">
      <c r="A3134" s="1" t="s">
        <v>17361</v>
      </c>
      <c r="B3134" s="1" t="s">
        <v>27</v>
      </c>
      <c r="C3134" s="1" t="s">
        <v>17362</v>
      </c>
      <c r="D3134" s="1" t="s">
        <v>17363</v>
      </c>
      <c r="E3134" s="1" t="s">
        <v>17364</v>
      </c>
      <c r="F3134" s="1" t="s">
        <v>63</v>
      </c>
      <c r="G3134" s="1" t="s">
        <v>17333</v>
      </c>
      <c r="H3134" s="1">
        <v>2015.0</v>
      </c>
      <c r="I3134" s="1" t="s">
        <v>42</v>
      </c>
      <c r="J3134" s="1" t="s">
        <v>15216</v>
      </c>
      <c r="K3134" s="1" t="s">
        <v>583</v>
      </c>
      <c r="L3134" s="1" t="s">
        <v>17365</v>
      </c>
      <c r="M3134" s="2" t="s">
        <v>12</v>
      </c>
      <c r="N3134" s="4">
        <f t="shared" si="1"/>
        <v>43814</v>
      </c>
      <c r="O3134" s="5" t="str">
        <f>IFERROR(__xludf.DUMMYFUNCTION("IF(REGEXMATCH(TRIM(I3134), ""^\d+\s*min""), ""Unclassified"", IF(I3134 = """", ""NR"", I3134))"),"TV-MA")</f>
        <v>TV-MA</v>
      </c>
      <c r="R3134" s="5" t="str">
        <f t="shared" si="2"/>
        <v>Dil Dhadakne Do</v>
      </c>
      <c r="S3134" s="5" t="str">
        <f>IFERROR(__xludf.DUMMYFUNCTION("""COMPUTED_VALUE"""),"Home For Christmas")</f>
        <v>Home For Christmas</v>
      </c>
      <c r="U3134" s="5" t="str">
        <f>IFERROR(__xludf.DUMMYFUNCTION("""COMPUTED_VALUE"""),"Sung-Soo Kim")</f>
        <v>Sung-Soo Kim</v>
      </c>
      <c r="V3134" s="5" t="s">
        <v>17366</v>
      </c>
      <c r="W3134" s="5" t="str">
        <f t="shared" si="3"/>
        <v>Osman Ali</v>
      </c>
      <c r="X3134" s="5">
        <f t="shared" si="4"/>
        <v>1</v>
      </c>
      <c r="Y3134" s="5" t="str">
        <f>IFERROR(__xludf.DUMMYFUNCTION("REGEXEXTRACT(J3134, ""^\d+"")"),"174")</f>
        <v>174</v>
      </c>
      <c r="Z3134" s="5" t="str">
        <f>IFERROR(__xludf.DUMMYFUNCTION("REGEXEXTRACT(J3134, ""[A-Za-z ]+$"")")," min")</f>
        <v> min</v>
      </c>
      <c r="AA3134" s="5" t="str">
        <f>IFERROR(__xludf.DUMMYFUNCTION("IF(REGEXMATCH(Z3134, ""Season""), ""TV Show"", ""Movie"")"),"Movie")</f>
        <v>Movie</v>
      </c>
    </row>
    <row r="3135">
      <c r="A3135" s="1" t="s">
        <v>17367</v>
      </c>
      <c r="B3135" s="1" t="s">
        <v>27</v>
      </c>
      <c r="C3135" s="1" t="s">
        <v>17368</v>
      </c>
      <c r="D3135" s="1" t="s">
        <v>7500</v>
      </c>
      <c r="E3135" s="1" t="s">
        <v>17369</v>
      </c>
      <c r="F3135" s="1" t="s">
        <v>63</v>
      </c>
      <c r="G3135" s="1" t="s">
        <v>17333</v>
      </c>
      <c r="H3135" s="1">
        <v>2006.0</v>
      </c>
      <c r="I3135" s="1" t="s">
        <v>97</v>
      </c>
      <c r="J3135" s="1" t="s">
        <v>17370</v>
      </c>
      <c r="K3135" s="1" t="s">
        <v>1066</v>
      </c>
      <c r="L3135" s="1" t="s">
        <v>17371</v>
      </c>
      <c r="M3135" s="2" t="s">
        <v>12</v>
      </c>
      <c r="N3135" s="4">
        <f t="shared" si="1"/>
        <v>43814</v>
      </c>
      <c r="O3135" s="5" t="str">
        <f>IFERROR(__xludf.DUMMYFUNCTION("IF(REGEXMATCH(TRIM(I3135), ""^\d+\s*min""), ""Unclassified"", IF(I3135 = """", ""NR"", I3135))"),"TV-14")</f>
        <v>TV-14</v>
      </c>
      <c r="R3135" s="5" t="str">
        <f t="shared" si="2"/>
        <v>Don</v>
      </c>
      <c r="S3135" s="5" t="str">
        <f>IFERROR(__xludf.DUMMYFUNCTION("""COMPUTED_VALUE"""),"Home Game")</f>
        <v>Home Game</v>
      </c>
      <c r="U3135" s="5" t="str">
        <f>IFERROR(__xludf.DUMMYFUNCTION("""COMPUTED_VALUE"""),"Mike Nicoll")</f>
        <v>Mike Nicoll</v>
      </c>
      <c r="V3135" s="5" t="s">
        <v>17372</v>
      </c>
      <c r="W3135" s="5" t="str">
        <f t="shared" si="3"/>
        <v>Ossama Abu El Atta, Tarek Al Eryan</v>
      </c>
      <c r="X3135" s="5">
        <f t="shared" si="4"/>
        <v>1</v>
      </c>
      <c r="Y3135" s="5" t="str">
        <f>IFERROR(__xludf.DUMMYFUNCTION("REGEXEXTRACT(J3135, ""^\d+"")"),"169")</f>
        <v>169</v>
      </c>
      <c r="Z3135" s="5" t="str">
        <f>IFERROR(__xludf.DUMMYFUNCTION("REGEXEXTRACT(J3135, ""[A-Za-z ]+$"")")," min")</f>
        <v> min</v>
      </c>
      <c r="AA3135" s="5" t="str">
        <f>IFERROR(__xludf.DUMMYFUNCTION("IF(REGEXMATCH(Z3135, ""Season""), ""TV Show"", ""Movie"")"),"Movie")</f>
        <v>Movie</v>
      </c>
    </row>
    <row r="3136">
      <c r="A3136" s="1" t="s">
        <v>17373</v>
      </c>
      <c r="B3136" s="1" t="s">
        <v>27</v>
      </c>
      <c r="C3136" s="1" t="s">
        <v>17374</v>
      </c>
      <c r="D3136" s="1" t="s">
        <v>7500</v>
      </c>
      <c r="E3136" s="1" t="s">
        <v>17375</v>
      </c>
      <c r="F3136" s="1" t="s">
        <v>17376</v>
      </c>
      <c r="G3136" s="1" t="s">
        <v>17333</v>
      </c>
      <c r="H3136" s="1">
        <v>2011.0</v>
      </c>
      <c r="I3136" s="1" t="s">
        <v>97</v>
      </c>
      <c r="J3136" s="1" t="s">
        <v>2216</v>
      </c>
      <c r="K3136" s="1" t="s">
        <v>1421</v>
      </c>
      <c r="L3136" s="1" t="s">
        <v>17377</v>
      </c>
      <c r="M3136" s="2" t="s">
        <v>12</v>
      </c>
      <c r="N3136" s="4">
        <f t="shared" si="1"/>
        <v>43814</v>
      </c>
      <c r="O3136" s="5" t="str">
        <f>IFERROR(__xludf.DUMMYFUNCTION("IF(REGEXMATCH(TRIM(I3136), ""^\d+\s*min""), ""Unclassified"", IF(I3136 = """", ""NR"", I3136))"),"TV-14")</f>
        <v>TV-14</v>
      </c>
      <c r="R3136" s="5" t="str">
        <f t="shared" si="2"/>
        <v>Don 2</v>
      </c>
      <c r="S3136" s="5" t="str">
        <f>IFERROR(__xludf.DUMMYFUNCTION("""COMPUTED_VALUE"""),"Home Is Where The Killer Is")</f>
        <v>Home Is Where The Killer Is</v>
      </c>
      <c r="U3136" s="5" t="str">
        <f>IFERROR(__xludf.DUMMYFUNCTION("""COMPUTED_VALUE"""),"Jason Stone")</f>
        <v>Jason Stone</v>
      </c>
      <c r="V3136" s="5" t="s">
        <v>17378</v>
      </c>
      <c r="W3136" s="5" t="str">
        <f t="shared" si="3"/>
        <v>Otilia Portillo Padua</v>
      </c>
      <c r="X3136" s="5">
        <f t="shared" si="4"/>
        <v>1</v>
      </c>
      <c r="Y3136" s="5" t="str">
        <f>IFERROR(__xludf.DUMMYFUNCTION("REGEXEXTRACT(J3136, ""^\d+"")"),"148")</f>
        <v>148</v>
      </c>
      <c r="Z3136" s="5" t="str">
        <f>IFERROR(__xludf.DUMMYFUNCTION("REGEXEXTRACT(J3136, ""[A-Za-z ]+$"")")," min")</f>
        <v> min</v>
      </c>
      <c r="AA3136" s="5" t="str">
        <f>IFERROR(__xludf.DUMMYFUNCTION("IF(REGEXMATCH(Z3136, ""Season""), ""TV Show"", ""Movie"")"),"Movie")</f>
        <v>Movie</v>
      </c>
    </row>
    <row r="3137">
      <c r="A3137" s="1" t="s">
        <v>17379</v>
      </c>
      <c r="B3137" s="1" t="s">
        <v>27</v>
      </c>
      <c r="C3137" s="1" t="s">
        <v>17380</v>
      </c>
      <c r="D3137" s="1" t="s">
        <v>16358</v>
      </c>
      <c r="E3137" s="1" t="s">
        <v>17381</v>
      </c>
      <c r="F3137" s="1" t="s">
        <v>63</v>
      </c>
      <c r="G3137" s="1" t="s">
        <v>17333</v>
      </c>
      <c r="H3137" s="1">
        <v>2013.0</v>
      </c>
      <c r="I3137" s="1" t="s">
        <v>97</v>
      </c>
      <c r="J3137" s="1" t="s">
        <v>1369</v>
      </c>
      <c r="K3137" s="1" t="s">
        <v>617</v>
      </c>
      <c r="L3137" s="1" t="s">
        <v>17382</v>
      </c>
      <c r="M3137" s="2" t="s">
        <v>12</v>
      </c>
      <c r="N3137" s="4">
        <f t="shared" si="1"/>
        <v>43814</v>
      </c>
      <c r="O3137" s="5" t="str">
        <f>IFERROR(__xludf.DUMMYFUNCTION("IF(REGEXMATCH(TRIM(I3137), ""^\d+\s*min""), ""Unclassified"", IF(I3137 = """", ""NR"", I3137))"),"TV-14")</f>
        <v>TV-14</v>
      </c>
      <c r="R3137" s="5" t="str">
        <f t="shared" si="2"/>
        <v>Fukrey</v>
      </c>
      <c r="S3137" s="5" t="str">
        <f>IFERROR(__xludf.DUMMYFUNCTION("""COMPUTED_VALUE"""),"Home: Adventures With Tip &amp; Oh")</f>
        <v>Home: Adventures With Tip &amp; Oh</v>
      </c>
      <c r="U3137" s="5" t="str">
        <f>IFERROR(__xludf.DUMMYFUNCTION("""COMPUTED_VALUE"""),"Mez Tharatorn")</f>
        <v>Mez Tharatorn</v>
      </c>
      <c r="V3137" s="5" t="s">
        <v>10045</v>
      </c>
      <c r="W3137" s="5" t="str">
        <f t="shared" si="3"/>
        <v>Otoja Abit</v>
      </c>
      <c r="X3137" s="5">
        <f t="shared" si="4"/>
        <v>1</v>
      </c>
      <c r="Y3137" s="5" t="str">
        <f>IFERROR(__xludf.DUMMYFUNCTION("REGEXEXTRACT(J3137, ""^\d+"")"),"135")</f>
        <v>135</v>
      </c>
      <c r="Z3137" s="5" t="str">
        <f>IFERROR(__xludf.DUMMYFUNCTION("REGEXEXTRACT(J3137, ""[A-Za-z ]+$"")")," min")</f>
        <v> min</v>
      </c>
      <c r="AA3137" s="5" t="str">
        <f>IFERROR(__xludf.DUMMYFUNCTION("IF(REGEXMATCH(Z3137, ""Season""), ""TV Show"", ""Movie"")"),"Movie")</f>
        <v>Movie</v>
      </c>
    </row>
    <row r="3138">
      <c r="A3138" s="1" t="s">
        <v>17383</v>
      </c>
      <c r="B3138" s="1" t="s">
        <v>27</v>
      </c>
      <c r="C3138" s="1" t="s">
        <v>17384</v>
      </c>
      <c r="D3138" s="1" t="s">
        <v>258</v>
      </c>
      <c r="E3138" s="1" t="s">
        <v>17385</v>
      </c>
      <c r="F3138" s="1" t="s">
        <v>63</v>
      </c>
      <c r="G3138" s="1" t="s">
        <v>17333</v>
      </c>
      <c r="H3138" s="1">
        <v>2011.0</v>
      </c>
      <c r="I3138" s="1" t="s">
        <v>97</v>
      </c>
      <c r="J3138" s="1" t="s">
        <v>1369</v>
      </c>
      <c r="K3138" s="1" t="s">
        <v>631</v>
      </c>
      <c r="L3138" s="1" t="s">
        <v>17386</v>
      </c>
      <c r="M3138" s="2" t="s">
        <v>12</v>
      </c>
      <c r="N3138" s="4">
        <f t="shared" si="1"/>
        <v>43814</v>
      </c>
      <c r="O3138" s="5" t="str">
        <f>IFERROR(__xludf.DUMMYFUNCTION("IF(REGEXMATCH(TRIM(I3138), ""^\d+\s*min""), ""Unclassified"", IF(I3138 = """", ""NR"", I3138))"),"TV-14")</f>
        <v>TV-14</v>
      </c>
      <c r="R3138" s="5" t="str">
        <f t="shared" si="2"/>
        <v>Game</v>
      </c>
      <c r="S3138" s="5" t="str">
        <f>IFERROR(__xludf.DUMMYFUNCTION("""COMPUTED_VALUE"""),"Homecoming: A Film By Beyoncé")</f>
        <v>Homecoming: A Film By Beyoncé</v>
      </c>
      <c r="U3138" s="5" t="str">
        <f>IFERROR(__xludf.DUMMYFUNCTION("""COMPUTED_VALUE"""),"David Morris, Jacqui Morris")</f>
        <v>David Morris, Jacqui Morris</v>
      </c>
      <c r="V3138" s="5" t="s">
        <v>17387</v>
      </c>
      <c r="W3138" s="5" t="str">
        <f t="shared" si="3"/>
        <v>Owen Egerton</v>
      </c>
      <c r="X3138" s="5">
        <f t="shared" si="4"/>
        <v>1</v>
      </c>
      <c r="Y3138" s="5" t="str">
        <f>IFERROR(__xludf.DUMMYFUNCTION("REGEXEXTRACT(J3138, ""^\d+"")"),"135")</f>
        <v>135</v>
      </c>
      <c r="Z3138" s="5" t="str">
        <f>IFERROR(__xludf.DUMMYFUNCTION("REGEXEXTRACT(J3138, ""[A-Za-z ]+$"")")," min")</f>
        <v> min</v>
      </c>
      <c r="AA3138" s="5" t="str">
        <f>IFERROR(__xludf.DUMMYFUNCTION("IF(REGEXMATCH(Z3138, ""Season""), ""TV Show"", ""Movie"")"),"Movie")</f>
        <v>Movie</v>
      </c>
    </row>
    <row r="3139">
      <c r="A3139" s="1" t="s">
        <v>17388</v>
      </c>
      <c r="B3139" s="1" t="s">
        <v>37</v>
      </c>
      <c r="C3139" s="1" t="s">
        <v>17389</v>
      </c>
      <c r="D3139" s="1" t="s">
        <v>17390</v>
      </c>
      <c r="E3139" s="1" t="s">
        <v>17391</v>
      </c>
      <c r="F3139" s="1" t="s">
        <v>415</v>
      </c>
      <c r="G3139" s="1" t="s">
        <v>17333</v>
      </c>
      <c r="H3139" s="1">
        <v>2012.0</v>
      </c>
      <c r="I3139" s="1" t="s">
        <v>136</v>
      </c>
      <c r="J3139" s="1" t="s">
        <v>51</v>
      </c>
      <c r="K3139" s="1" t="s">
        <v>567</v>
      </c>
      <c r="L3139" s="1" t="s">
        <v>17392</v>
      </c>
      <c r="M3139" s="2" t="s">
        <v>12</v>
      </c>
      <c r="N3139" s="4">
        <f t="shared" si="1"/>
        <v>43814</v>
      </c>
      <c r="O3139" s="5" t="str">
        <f>IFERROR(__xludf.DUMMYFUNCTION("IF(REGEXMATCH(TRIM(I3139), ""^\d+\s*min""), ""Unclassified"", IF(I3139 = """", ""NR"", I3139))"),"TV-PG")</f>
        <v>TV-PG</v>
      </c>
      <c r="R3139" s="5" t="str">
        <f t="shared" si="2"/>
        <v>Girls Und Panzer</v>
      </c>
      <c r="S3139" s="5" t="str">
        <f>IFERROR(__xludf.DUMMYFUNCTION("""COMPUTED_VALUE"""),"Homefront")</f>
        <v>Homefront</v>
      </c>
      <c r="U3139" s="5" t="str">
        <f>IFERROR(__xludf.DUMMYFUNCTION("""COMPUTED_VALUE"""),"Fabrizio Copano, Augusto Matte")</f>
        <v>Fabrizio Copano, Augusto Matte</v>
      </c>
      <c r="V3139" s="5" t="s">
        <v>15757</v>
      </c>
      <c r="W3139" s="5" t="str">
        <f t="shared" si="3"/>
        <v>Owen Trevor</v>
      </c>
      <c r="X3139" s="5">
        <f t="shared" si="4"/>
        <v>1</v>
      </c>
      <c r="Y3139" s="5" t="str">
        <f>IFERROR(__xludf.DUMMYFUNCTION("REGEXEXTRACT(J3139, ""^\d+"")"),"1")</f>
        <v>1</v>
      </c>
      <c r="Z3139" s="5" t="str">
        <f>IFERROR(__xludf.DUMMYFUNCTION("REGEXEXTRACT(J3139, ""[A-Za-z ]+$"")")," Season")</f>
        <v> Season</v>
      </c>
      <c r="AA3139" s="5" t="str">
        <f>IFERROR(__xludf.DUMMYFUNCTION("IF(REGEXMATCH(Z3139, ""Season""), ""TV Show"", ""Movie"")"),"TV Show")</f>
        <v>TV Show</v>
      </c>
    </row>
    <row r="3140">
      <c r="A3140" s="1" t="s">
        <v>17393</v>
      </c>
      <c r="B3140" s="1" t="s">
        <v>27</v>
      </c>
      <c r="C3140" s="1" t="s">
        <v>17394</v>
      </c>
      <c r="D3140" s="1" t="s">
        <v>6899</v>
      </c>
      <c r="E3140" s="1" t="s">
        <v>17395</v>
      </c>
      <c r="G3140" s="1" t="s">
        <v>17333</v>
      </c>
      <c r="H3140" s="1">
        <v>2019.0</v>
      </c>
      <c r="I3140" s="1" t="s">
        <v>97</v>
      </c>
      <c r="J3140" s="1" t="s">
        <v>1191</v>
      </c>
      <c r="K3140" s="1" t="s">
        <v>14327</v>
      </c>
      <c r="L3140" s="1" t="s">
        <v>17396</v>
      </c>
      <c r="M3140" s="2" t="s">
        <v>12</v>
      </c>
      <c r="N3140" s="4">
        <f t="shared" si="1"/>
        <v>43814</v>
      </c>
      <c r="O3140" s="5" t="str">
        <f>IFERROR(__xludf.DUMMYFUNCTION("IF(REGEXMATCH(TRIM(I3140), ""^\d+\s*min""), ""Unclassified"", IF(I3140 = """", ""NR"", I3140))"),"TV-14")</f>
        <v>TV-14</v>
      </c>
      <c r="R3140" s="5" t="str">
        <f t="shared" si="2"/>
        <v>Holy Expectations</v>
      </c>
      <c r="S3140" s="5" t="str">
        <f>IFERROR(__xludf.DUMMYFUNCTION("""COMPUTED_VALUE"""),"Homeland")</f>
        <v>Homeland</v>
      </c>
      <c r="U3140" s="5" t="str">
        <f>IFERROR(__xludf.DUMMYFUNCTION("""COMPUTED_VALUE"""),"Mike Rossiter")</f>
        <v>Mike Rossiter</v>
      </c>
      <c r="V3140" s="5" t="s">
        <v>16086</v>
      </c>
      <c r="W3140" s="5" t="str">
        <f t="shared" si="3"/>
        <v>Oyefunke Fayoyin</v>
      </c>
      <c r="X3140" s="5">
        <f t="shared" si="4"/>
        <v>1</v>
      </c>
      <c r="Y3140" s="5" t="str">
        <f>IFERROR(__xludf.DUMMYFUNCTION("REGEXEXTRACT(J3140, ""^\d+"")"),"89")</f>
        <v>89</v>
      </c>
      <c r="Z3140" s="5" t="str">
        <f>IFERROR(__xludf.DUMMYFUNCTION("REGEXEXTRACT(J3140, ""[A-Za-z ]+$"")")," min")</f>
        <v> min</v>
      </c>
      <c r="AA3140" s="5" t="str">
        <f>IFERROR(__xludf.DUMMYFUNCTION("IF(REGEXMATCH(Z3140, ""Season""), ""TV Show"", ""Movie"")"),"Movie")</f>
        <v>Movie</v>
      </c>
    </row>
    <row r="3141">
      <c r="A3141" s="1" t="s">
        <v>17397</v>
      </c>
      <c r="B3141" s="1" t="s">
        <v>27</v>
      </c>
      <c r="C3141" s="1" t="s">
        <v>17398</v>
      </c>
      <c r="D3141" s="1" t="s">
        <v>17399</v>
      </c>
      <c r="E3141" s="1" t="s">
        <v>17400</v>
      </c>
      <c r="F3141" s="1" t="s">
        <v>63</v>
      </c>
      <c r="G3141" s="1" t="s">
        <v>17333</v>
      </c>
      <c r="H3141" s="1">
        <v>2007.0</v>
      </c>
      <c r="I3141" s="1" t="s">
        <v>97</v>
      </c>
      <c r="J3141" s="1" t="s">
        <v>804</v>
      </c>
      <c r="K3141" s="1" t="s">
        <v>583</v>
      </c>
      <c r="L3141" s="1" t="s">
        <v>17401</v>
      </c>
      <c r="M3141" s="2" t="s">
        <v>12</v>
      </c>
      <c r="N3141" s="4">
        <f t="shared" si="1"/>
        <v>43814</v>
      </c>
      <c r="O3141" s="5" t="str">
        <f>IFERROR(__xludf.DUMMYFUNCTION("IF(REGEXMATCH(TRIM(I3141), ""^\d+\s*min""), ""Unclassified"", IF(I3141 = """", ""NR"", I3141))"),"TV-14")</f>
        <v>TV-14</v>
      </c>
      <c r="R3141" s="5" t="str">
        <f t="shared" si="2"/>
        <v>Honeymoon Travels Pvt. Ltd.</v>
      </c>
      <c r="S3141" s="5" t="str">
        <f>IFERROR(__xludf.DUMMYFUNCTION("""COMPUTED_VALUE"""),"Homemade")</f>
        <v>Homemade</v>
      </c>
      <c r="U3141" s="5" t="str">
        <f>IFERROR(__xludf.DUMMYFUNCTION("""COMPUTED_VALUE"""),"Gabe Ibáñez")</f>
        <v>Gabe Ibáñez</v>
      </c>
      <c r="V3141" s="5" t="s">
        <v>10957</v>
      </c>
      <c r="W3141" s="5" t="str">
        <f t="shared" si="3"/>
        <v>Oz Rodriguez</v>
      </c>
      <c r="X3141" s="5">
        <f t="shared" si="4"/>
        <v>2</v>
      </c>
      <c r="Y3141" s="5" t="str">
        <f>IFERROR(__xludf.DUMMYFUNCTION("REGEXEXTRACT(J3141, ""^\d+"")"),"119")</f>
        <v>119</v>
      </c>
      <c r="Z3141" s="5" t="str">
        <f>IFERROR(__xludf.DUMMYFUNCTION("REGEXEXTRACT(J3141, ""[A-Za-z ]+$"")")," min")</f>
        <v> min</v>
      </c>
      <c r="AA3141" s="5" t="str">
        <f>IFERROR(__xludf.DUMMYFUNCTION("IF(REGEXMATCH(Z3141, ""Season""), ""TV Show"", ""Movie"")"),"Movie")</f>
        <v>Movie</v>
      </c>
    </row>
    <row r="3142">
      <c r="A3142" s="1" t="s">
        <v>17402</v>
      </c>
      <c r="B3142" s="1" t="s">
        <v>27</v>
      </c>
      <c r="C3142" s="1" t="s">
        <v>17403</v>
      </c>
      <c r="D3142" s="1" t="s">
        <v>9911</v>
      </c>
      <c r="E3142" s="1" t="s">
        <v>17404</v>
      </c>
      <c r="F3142" s="1" t="s">
        <v>400</v>
      </c>
      <c r="G3142" s="1" t="s">
        <v>17333</v>
      </c>
      <c r="H3142" s="1">
        <v>2017.0</v>
      </c>
      <c r="I3142" s="1" t="s">
        <v>97</v>
      </c>
      <c r="J3142" s="1" t="s">
        <v>357</v>
      </c>
      <c r="K3142" s="1" t="s">
        <v>215</v>
      </c>
      <c r="L3142" s="1" t="s">
        <v>17405</v>
      </c>
      <c r="M3142" s="2" t="s">
        <v>12</v>
      </c>
      <c r="N3142" s="4">
        <f t="shared" si="1"/>
        <v>43814</v>
      </c>
      <c r="O3142" s="5" t="str">
        <f>IFERROR(__xludf.DUMMYFUNCTION("IF(REGEXMATCH(TRIM(I3142), ""^\d+\s*min""), ""Unclassified"", IF(I3142 = """", ""NR"", I3142))"),"TV-14")</f>
        <v>TV-14</v>
      </c>
      <c r="R3142" s="5" t="str">
        <f t="shared" si="2"/>
        <v>Isoken</v>
      </c>
      <c r="S3142" s="5" t="str">
        <f>IFERROR(__xludf.DUMMYFUNCTION("""COMPUTED_VALUE"""),"Hometown Cha-Cha-Cha")</f>
        <v>Hometown Cha-Cha-Cha</v>
      </c>
      <c r="U3142" s="5" t="str">
        <f>IFERROR(__xludf.DUMMYFUNCTION("""COMPUTED_VALUE"""),"Anthony Russo, Joe Russo")</f>
        <v>Anthony Russo, Joe Russo</v>
      </c>
      <c r="V3142" s="5" t="s">
        <v>5851</v>
      </c>
      <c r="W3142" s="5" t="str">
        <f t="shared" si="3"/>
        <v>Ozan Açıktan</v>
      </c>
      <c r="X3142" s="5">
        <f t="shared" si="4"/>
        <v>7</v>
      </c>
      <c r="Y3142" s="5" t="str">
        <f>IFERROR(__xludf.DUMMYFUNCTION("REGEXEXTRACT(J3142, ""^\d+"")"),"98")</f>
        <v>98</v>
      </c>
      <c r="Z3142" s="5" t="str">
        <f>IFERROR(__xludf.DUMMYFUNCTION("REGEXEXTRACT(J3142, ""[A-Za-z ]+$"")")," min")</f>
        <v> min</v>
      </c>
      <c r="AA3142" s="5" t="str">
        <f>IFERROR(__xludf.DUMMYFUNCTION("IF(REGEXMATCH(Z3142, ""Season""), ""TV Show"", ""Movie"")"),"Movie")</f>
        <v>Movie</v>
      </c>
    </row>
    <row r="3143">
      <c r="A3143" s="1" t="s">
        <v>17406</v>
      </c>
      <c r="B3143" s="1" t="s">
        <v>27</v>
      </c>
      <c r="C3143" s="1" t="s">
        <v>17407</v>
      </c>
      <c r="D3143" s="1" t="s">
        <v>17408</v>
      </c>
      <c r="E3143" s="1" t="s">
        <v>17409</v>
      </c>
      <c r="F3143" s="1" t="s">
        <v>63</v>
      </c>
      <c r="G3143" s="1" t="s">
        <v>17333</v>
      </c>
      <c r="H3143" s="1">
        <v>2010.0</v>
      </c>
      <c r="I3143" s="1" t="s">
        <v>97</v>
      </c>
      <c r="J3143" s="1" t="s">
        <v>1369</v>
      </c>
      <c r="K3143" s="1" t="s">
        <v>298</v>
      </c>
      <c r="L3143" s="1" t="s">
        <v>17410</v>
      </c>
      <c r="M3143" s="2" t="s">
        <v>12</v>
      </c>
      <c r="N3143" s="4">
        <f t="shared" si="1"/>
        <v>43814</v>
      </c>
      <c r="O3143" s="5" t="str">
        <f>IFERROR(__xludf.DUMMYFUNCTION("IF(REGEXMATCH(TRIM(I3143), ""^\d+\s*min""), ""Unclassified"", IF(I3143 = """", ""NR"", I3143))"),"TV-14")</f>
        <v>TV-14</v>
      </c>
      <c r="R3143" s="5" t="str">
        <f t="shared" si="2"/>
        <v>Karthik Calling Karthik</v>
      </c>
      <c r="S3143" s="5" t="str">
        <f>IFERROR(__xludf.DUMMYFUNCTION("""COMPUTED_VALUE"""),"Hometown Holiday")</f>
        <v>Hometown Holiday</v>
      </c>
      <c r="U3143" s="5" t="str">
        <f>IFERROR(__xludf.DUMMYFUNCTION("""COMPUTED_VALUE"""),"Levan Tsikurishvili")</f>
        <v>Levan Tsikurishvili</v>
      </c>
      <c r="V3143" s="5" t="s">
        <v>17411</v>
      </c>
      <c r="W3143" s="5" t="str">
        <f t="shared" si="3"/>
        <v>P.K. Baaburaaj</v>
      </c>
      <c r="X3143" s="5">
        <f t="shared" si="4"/>
        <v>1</v>
      </c>
      <c r="Y3143" s="5" t="str">
        <f>IFERROR(__xludf.DUMMYFUNCTION("REGEXEXTRACT(J3143, ""^\d+"")"),"135")</f>
        <v>135</v>
      </c>
      <c r="Z3143" s="5" t="str">
        <f>IFERROR(__xludf.DUMMYFUNCTION("REGEXEXTRACT(J3143, ""[A-Za-z ]+$"")")," min")</f>
        <v> min</v>
      </c>
      <c r="AA3143" s="5" t="str">
        <f>IFERROR(__xludf.DUMMYFUNCTION("IF(REGEXMATCH(Z3143, ""Season""), ""TV Show"", ""Movie"")"),"Movie")</f>
        <v>Movie</v>
      </c>
    </row>
    <row r="3144">
      <c r="A3144" s="1" t="s">
        <v>17412</v>
      </c>
      <c r="B3144" s="1" t="s">
        <v>27</v>
      </c>
      <c r="C3144" s="1" t="s">
        <v>17413</v>
      </c>
      <c r="D3144" s="1" t="s">
        <v>7500</v>
      </c>
      <c r="E3144" s="1" t="s">
        <v>17414</v>
      </c>
      <c r="F3144" s="1" t="s">
        <v>63</v>
      </c>
      <c r="G3144" s="1" t="s">
        <v>17333</v>
      </c>
      <c r="H3144" s="1">
        <v>2004.0</v>
      </c>
      <c r="I3144" s="1" t="s">
        <v>136</v>
      </c>
      <c r="J3144" s="1" t="s">
        <v>6717</v>
      </c>
      <c r="K3144" s="1" t="s">
        <v>306</v>
      </c>
      <c r="L3144" s="1" t="s">
        <v>17415</v>
      </c>
      <c r="M3144" s="2" t="s">
        <v>12</v>
      </c>
      <c r="N3144" s="4">
        <f t="shared" si="1"/>
        <v>43814</v>
      </c>
      <c r="O3144" s="5" t="str">
        <f>IFERROR(__xludf.DUMMYFUNCTION("IF(REGEXMATCH(TRIM(I3144), ""^\d+\s*min""), ""Unclassified"", IF(I3144 = """", ""NR"", I3144))"),"TV-PG")</f>
        <v>TV-PG</v>
      </c>
      <c r="R3144" s="5" t="str">
        <f t="shared" si="2"/>
        <v>Lakshya</v>
      </c>
      <c r="S3144" s="5" t="str">
        <f>IFERROR(__xludf.DUMMYFUNCTION("""COMPUTED_VALUE"""),"Homunculus")</f>
        <v>Homunculus</v>
      </c>
      <c r="U3144" s="5" t="str">
        <f>IFERROR(__xludf.DUMMYFUNCTION("""COMPUTED_VALUE"""),"Ajay Bahl")</f>
        <v>Ajay Bahl</v>
      </c>
      <c r="V3144" s="5" t="s">
        <v>17416</v>
      </c>
      <c r="W3144" s="5" t="str">
        <f t="shared" si="3"/>
        <v>P.T. Kunju Muhammad</v>
      </c>
      <c r="X3144" s="5">
        <f t="shared" si="4"/>
        <v>1</v>
      </c>
      <c r="Y3144" s="5" t="str">
        <f>IFERROR(__xludf.DUMMYFUNCTION("REGEXEXTRACT(J3144, ""^\d+"")"),"185")</f>
        <v>185</v>
      </c>
      <c r="Z3144" s="5" t="str">
        <f>IFERROR(__xludf.DUMMYFUNCTION("REGEXEXTRACT(J3144, ""[A-Za-z ]+$"")")," min")</f>
        <v> min</v>
      </c>
      <c r="AA3144" s="5" t="str">
        <f>IFERROR(__xludf.DUMMYFUNCTION("IF(REGEXMATCH(Z3144, ""Season""), ""TV Show"", ""Movie"")"),"Movie")</f>
        <v>Movie</v>
      </c>
    </row>
    <row r="3145">
      <c r="A3145" s="1" t="s">
        <v>17417</v>
      </c>
      <c r="B3145" s="1" t="s">
        <v>27</v>
      </c>
      <c r="C3145" s="1" t="s">
        <v>17418</v>
      </c>
      <c r="D3145" s="1" t="s">
        <v>17363</v>
      </c>
      <c r="E3145" s="1" t="s">
        <v>17419</v>
      </c>
      <c r="F3145" s="1" t="s">
        <v>63</v>
      </c>
      <c r="G3145" s="1" t="s">
        <v>17333</v>
      </c>
      <c r="H3145" s="1">
        <v>2009.0</v>
      </c>
      <c r="I3145" s="1" t="s">
        <v>97</v>
      </c>
      <c r="J3145" s="1" t="s">
        <v>1235</v>
      </c>
      <c r="K3145" s="1" t="s">
        <v>679</v>
      </c>
      <c r="L3145" s="1" t="s">
        <v>17420</v>
      </c>
      <c r="M3145" s="2" t="s">
        <v>12</v>
      </c>
      <c r="N3145" s="4">
        <f t="shared" si="1"/>
        <v>43814</v>
      </c>
      <c r="O3145" s="5" t="str">
        <f>IFERROR(__xludf.DUMMYFUNCTION("IF(REGEXMATCH(TRIM(I3145), ""^\d+\s*min""), ""Unclassified"", IF(I3145 = """", ""NR"", I3145))"),"TV-14")</f>
        <v>TV-14</v>
      </c>
      <c r="R3145" s="5" t="str">
        <f t="shared" si="2"/>
        <v>Luck By Chance</v>
      </c>
      <c r="S3145" s="5" t="str">
        <f>IFERROR(__xludf.DUMMYFUNCTION("""COMPUTED_VALUE"""),"Honey 2")</f>
        <v>Honey 2</v>
      </c>
      <c r="U3145" s="5" t="str">
        <f>IFERROR(__xludf.DUMMYFUNCTION("""COMPUTED_VALUE"""),"Çagan Irmak")</f>
        <v>Çagan Irmak</v>
      </c>
      <c r="V3145" s="5" t="s">
        <v>17421</v>
      </c>
      <c r="W3145" s="5" t="str">
        <f t="shared" si="3"/>
        <v>Pa. Ranjith</v>
      </c>
      <c r="X3145" s="5">
        <f t="shared" si="4"/>
        <v>1</v>
      </c>
      <c r="Y3145" s="5" t="str">
        <f>IFERROR(__xludf.DUMMYFUNCTION("REGEXEXTRACT(J3145, ""^\d+"")"),"156")</f>
        <v>156</v>
      </c>
      <c r="Z3145" s="5" t="str">
        <f>IFERROR(__xludf.DUMMYFUNCTION("REGEXEXTRACT(J3145, ""[A-Za-z ]+$"")")," min")</f>
        <v> min</v>
      </c>
      <c r="AA3145" s="5" t="str">
        <f>IFERROR(__xludf.DUMMYFUNCTION("IF(REGEXMATCH(Z3145, ""Season""), ""TV Show"", ""Movie"")"),"Movie")</f>
        <v>Movie</v>
      </c>
    </row>
    <row r="3146">
      <c r="A3146" s="1" t="s">
        <v>17422</v>
      </c>
      <c r="B3146" s="1" t="s">
        <v>27</v>
      </c>
      <c r="C3146" s="1" t="s">
        <v>17423</v>
      </c>
      <c r="D3146" s="1" t="s">
        <v>13067</v>
      </c>
      <c r="E3146" s="1" t="s">
        <v>17424</v>
      </c>
      <c r="F3146" s="1" t="s">
        <v>13069</v>
      </c>
      <c r="G3146" s="1" t="s">
        <v>17333</v>
      </c>
      <c r="H3146" s="1">
        <v>2017.0</v>
      </c>
      <c r="I3146" s="1" t="s">
        <v>42</v>
      </c>
      <c r="J3146" s="1" t="s">
        <v>106</v>
      </c>
      <c r="K3146" s="1" t="s">
        <v>583</v>
      </c>
      <c r="L3146" s="1" t="s">
        <v>17425</v>
      </c>
      <c r="M3146" s="2" t="s">
        <v>12</v>
      </c>
      <c r="N3146" s="4">
        <f t="shared" si="1"/>
        <v>43814</v>
      </c>
      <c r="O3146" s="5" t="str">
        <f>IFERROR(__xludf.DUMMYFUNCTION("IF(REGEXMATCH(TRIM(I3146), ""^\d+\s*min""), ""Unclassified"", IF(I3146 = """", ""NR"", I3146))"),"TV-MA")</f>
        <v>TV-MA</v>
      </c>
      <c r="R3146" s="5" t="str">
        <f t="shared" si="2"/>
        <v>Potato Potahto</v>
      </c>
      <c r="S3146" s="5" t="str">
        <f>IFERROR(__xludf.DUMMYFUNCTION("""COMPUTED_VALUE"""),"Honey: Rise Up And Dance")</f>
        <v>Honey: Rise Up And Dance</v>
      </c>
      <c r="U3146" s="5" t="str">
        <f>IFERROR(__xludf.DUMMYFUNCTION("""COMPUTED_VALUE"""),"Alejandro G. Iñárritu")</f>
        <v>Alejandro G. Iñárritu</v>
      </c>
      <c r="V3146" s="5" t="s">
        <v>1719</v>
      </c>
      <c r="W3146" s="5" t="str">
        <f t="shared" si="3"/>
        <v>Paakhi Tyrewala</v>
      </c>
      <c r="X3146" s="5">
        <f t="shared" si="4"/>
        <v>1</v>
      </c>
      <c r="Y3146" s="5" t="str">
        <f>IFERROR(__xludf.DUMMYFUNCTION("REGEXEXTRACT(J3146, ""^\d+"")"),"104")</f>
        <v>104</v>
      </c>
      <c r="Z3146" s="5" t="str">
        <f>IFERROR(__xludf.DUMMYFUNCTION("REGEXEXTRACT(J3146, ""[A-Za-z ]+$"")")," min")</f>
        <v> min</v>
      </c>
      <c r="AA3146" s="5" t="str">
        <f>IFERROR(__xludf.DUMMYFUNCTION("IF(REGEXMATCH(Z3146, ""Season""), ""TV Show"", ""Movie"")"),"Movie")</f>
        <v>Movie</v>
      </c>
    </row>
    <row r="3147">
      <c r="A3147" s="1" t="s">
        <v>17426</v>
      </c>
      <c r="B3147" s="1" t="s">
        <v>27</v>
      </c>
      <c r="C3147" s="1" t="s">
        <v>17427</v>
      </c>
      <c r="D3147" s="1" t="s">
        <v>272</v>
      </c>
      <c r="E3147" s="1" t="s">
        <v>17428</v>
      </c>
      <c r="F3147" s="1" t="s">
        <v>63</v>
      </c>
      <c r="G3147" s="1" t="s">
        <v>17333</v>
      </c>
      <c r="H3147" s="1">
        <v>2008.0</v>
      </c>
      <c r="I3147" s="1" t="s">
        <v>97</v>
      </c>
      <c r="J3147" s="1" t="s">
        <v>1938</v>
      </c>
      <c r="K3147" s="1" t="s">
        <v>1429</v>
      </c>
      <c r="L3147" s="1" t="s">
        <v>17429</v>
      </c>
      <c r="M3147" s="2" t="s">
        <v>12</v>
      </c>
      <c r="N3147" s="4">
        <f t="shared" si="1"/>
        <v>43814</v>
      </c>
      <c r="O3147" s="5" t="str">
        <f>IFERROR(__xludf.DUMMYFUNCTION("IF(REGEXMATCH(TRIM(I3147), ""^\d+\s*min""), ""Unclassified"", IF(I3147 = """", ""NR"", I3147))"),"TV-14")</f>
        <v>TV-14</v>
      </c>
      <c r="R3147" s="5" t="str">
        <f t="shared" si="2"/>
        <v>Rock On!!</v>
      </c>
      <c r="S3147" s="5" t="str">
        <f>IFERROR(__xludf.DUMMYFUNCTION("""COMPUTED_VALUE"""),"Honeymoon Travels Pvt. Ltd.")</f>
        <v>Honeymoon Travels Pvt. Ltd.</v>
      </c>
      <c r="U3147" s="5" t="str">
        <f>IFERROR(__xludf.DUMMYFUNCTION("""COMPUTED_VALUE"""),"Shikha Makan")</f>
        <v>Shikha Makan</v>
      </c>
      <c r="V3147" s="5" t="s">
        <v>7219</v>
      </c>
      <c r="W3147" s="5" t="str">
        <f t="shared" si="3"/>
        <v>Pablo Agüero</v>
      </c>
      <c r="X3147" s="5">
        <f t="shared" si="4"/>
        <v>1</v>
      </c>
      <c r="Y3147" s="5" t="str">
        <f>IFERROR(__xludf.DUMMYFUNCTION("REGEXEXTRACT(J3147, ""^\d+"")"),"139")</f>
        <v>139</v>
      </c>
      <c r="Z3147" s="5" t="str">
        <f>IFERROR(__xludf.DUMMYFUNCTION("REGEXEXTRACT(J3147, ""[A-Za-z ]+$"")")," min")</f>
        <v> min</v>
      </c>
      <c r="AA3147" s="5" t="str">
        <f>IFERROR(__xludf.DUMMYFUNCTION("IF(REGEXMATCH(Z3147, ""Season""), ""TV Show"", ""Movie"")"),"Movie")</f>
        <v>Movie</v>
      </c>
    </row>
    <row r="3148">
      <c r="A3148" s="1" t="s">
        <v>17430</v>
      </c>
      <c r="B3148" s="1" t="s">
        <v>37</v>
      </c>
      <c r="C3148" s="1" t="s">
        <v>17431</v>
      </c>
      <c r="E3148" s="1" t="s">
        <v>17432</v>
      </c>
      <c r="F3148" s="1" t="s">
        <v>30</v>
      </c>
      <c r="G3148" s="1" t="s">
        <v>17333</v>
      </c>
      <c r="H3148" s="1">
        <v>2012.0</v>
      </c>
      <c r="I3148" s="1" t="s">
        <v>289</v>
      </c>
      <c r="J3148" s="1" t="s">
        <v>43</v>
      </c>
      <c r="K3148" s="1" t="s">
        <v>314</v>
      </c>
      <c r="L3148" s="1" t="s">
        <v>17433</v>
      </c>
      <c r="M3148" s="2" t="s">
        <v>12</v>
      </c>
      <c r="N3148" s="4">
        <f t="shared" si="1"/>
        <v>43814</v>
      </c>
      <c r="O3148" s="5" t="str">
        <f>IFERROR(__xludf.DUMMYFUNCTION("IF(REGEXMATCH(TRIM(I3148), ""^\d+\s*min""), ""Unclassified"", IF(I3148 = """", ""NR"", I3148))"),"TV-Y7")</f>
        <v>TV-Y7</v>
      </c>
      <c r="R3148" s="5" t="str">
        <f t="shared" si="2"/>
        <v>Scooby-Doo!: Mystery Incorporated</v>
      </c>
      <c r="S3148" s="5" t="str">
        <f>IFERROR(__xludf.DUMMYFUNCTION("""COMPUTED_VALUE"""),"Honeytrap")</f>
        <v>Honeytrap</v>
      </c>
      <c r="U3148" s="5" t="str">
        <f>IFERROR(__xludf.DUMMYFUNCTION("""COMPUTED_VALUE"""),"José Eduardo Belmonte")</f>
        <v>José Eduardo Belmonte</v>
      </c>
      <c r="V3148" s="5" t="s">
        <v>13425</v>
      </c>
      <c r="W3148" s="5" t="str">
        <f t="shared" si="3"/>
        <v>Pablo Aulita</v>
      </c>
      <c r="X3148" s="5">
        <f t="shared" si="4"/>
        <v>1</v>
      </c>
      <c r="Y3148" s="5" t="str">
        <f>IFERROR(__xludf.DUMMYFUNCTION("REGEXEXTRACT(J3148, ""^\d+"")"),"2")</f>
        <v>2</v>
      </c>
      <c r="Z3148" s="5" t="str">
        <f>IFERROR(__xludf.DUMMYFUNCTION("REGEXEXTRACT(J3148, ""[A-Za-z ]+$"")")," Seasons")</f>
        <v> Seasons</v>
      </c>
      <c r="AA3148" s="5" t="str">
        <f>IFERROR(__xludf.DUMMYFUNCTION("IF(REGEXMATCH(Z3148, ""Season""), ""TV Show"", ""Movie"")"),"TV Show")</f>
        <v>TV Show</v>
      </c>
    </row>
    <row r="3149">
      <c r="A3149" s="1" t="s">
        <v>17434</v>
      </c>
      <c r="B3149" s="1" t="s">
        <v>27</v>
      </c>
      <c r="C3149" s="1" t="s">
        <v>17435</v>
      </c>
      <c r="D3149" s="1" t="s">
        <v>17399</v>
      </c>
      <c r="E3149" s="1" t="s">
        <v>17436</v>
      </c>
      <c r="F3149" s="1" t="s">
        <v>63</v>
      </c>
      <c r="G3149" s="1" t="s">
        <v>17333</v>
      </c>
      <c r="H3149" s="1">
        <v>2012.0</v>
      </c>
      <c r="I3149" s="1" t="s">
        <v>97</v>
      </c>
      <c r="J3149" s="1" t="s">
        <v>1704</v>
      </c>
      <c r="K3149" s="1" t="s">
        <v>298</v>
      </c>
      <c r="L3149" s="1" t="s">
        <v>17437</v>
      </c>
      <c r="M3149" s="2" t="s">
        <v>12</v>
      </c>
      <c r="N3149" s="4">
        <f t="shared" si="1"/>
        <v>43814</v>
      </c>
      <c r="O3149" s="5" t="str">
        <f>IFERROR(__xludf.DUMMYFUNCTION("IF(REGEXMATCH(TRIM(I3149), ""^\d+\s*min""), ""Unclassified"", IF(I3149 = """", ""NR"", I3149))"),"TV-14")</f>
        <v>TV-14</v>
      </c>
      <c r="R3149" s="5" t="str">
        <f t="shared" si="2"/>
        <v>Talaash</v>
      </c>
      <c r="S3149" s="5" t="str">
        <f>IFERROR(__xludf.DUMMYFUNCTION("""COMPUTED_VALUE"""),"Hong Kong West Side Stories")</f>
        <v>Hong Kong West Side Stories</v>
      </c>
      <c r="U3149" s="5" t="str">
        <f>IFERROR(__xludf.DUMMYFUNCTION("""COMPUTED_VALUE"""),"Adam Macdonald")</f>
        <v>Adam Macdonald</v>
      </c>
      <c r="V3149" s="5" t="s">
        <v>17438</v>
      </c>
      <c r="W3149" s="5" t="str">
        <f t="shared" si="3"/>
        <v>Pablo D'Alo Abba</v>
      </c>
      <c r="X3149" s="5">
        <f t="shared" si="4"/>
        <v>1</v>
      </c>
      <c r="Y3149" s="5" t="str">
        <f>IFERROR(__xludf.DUMMYFUNCTION("REGEXEXTRACT(J3149, ""^\d+"")"),"140")</f>
        <v>140</v>
      </c>
      <c r="Z3149" s="5" t="str">
        <f>IFERROR(__xludf.DUMMYFUNCTION("REGEXEXTRACT(J3149, ""[A-Za-z ]+$"")")," min")</f>
        <v> min</v>
      </c>
      <c r="AA3149" s="5" t="str">
        <f>IFERROR(__xludf.DUMMYFUNCTION("IF(REGEXMATCH(Z3149, ""Season""), ""TV Show"", ""Movie"")"),"Movie")</f>
        <v>Movie</v>
      </c>
    </row>
    <row r="3150">
      <c r="A3150" s="1" t="s">
        <v>17439</v>
      </c>
      <c r="B3150" s="1" t="s">
        <v>37</v>
      </c>
      <c r="C3150" s="1" t="s">
        <v>17440</v>
      </c>
      <c r="E3150" s="1" t="s">
        <v>17441</v>
      </c>
      <c r="F3150" s="1" t="s">
        <v>30</v>
      </c>
      <c r="G3150" s="1" t="s">
        <v>17333</v>
      </c>
      <c r="H3150" s="1">
        <v>2005.0</v>
      </c>
      <c r="I3150" s="1" t="s">
        <v>289</v>
      </c>
      <c r="J3150" s="1" t="s">
        <v>276</v>
      </c>
      <c r="K3150" s="1" t="s">
        <v>314</v>
      </c>
      <c r="L3150" s="1" t="s">
        <v>17442</v>
      </c>
      <c r="M3150" s="2" t="s">
        <v>12</v>
      </c>
      <c r="N3150" s="4">
        <f t="shared" si="1"/>
        <v>43814</v>
      </c>
      <c r="O3150" s="5" t="str">
        <f>IFERROR(__xludf.DUMMYFUNCTION("IF(REGEXMATCH(TRIM(I3150), ""^\d+\s*min""), ""Unclassified"", IF(I3150 = """", ""NR"", I3150))"),"TV-Y7")</f>
        <v>TV-Y7</v>
      </c>
      <c r="R3150" s="5" t="str">
        <f t="shared" si="2"/>
        <v>What'S New Scooby-Doo?</v>
      </c>
      <c r="S3150" s="5" t="str">
        <f>IFERROR(__xludf.DUMMYFUNCTION("""COMPUTED_VALUE"""),"Hoodwinked Too! Hood Vs. Evil")</f>
        <v>Hoodwinked Too! Hood Vs. Evil</v>
      </c>
      <c r="U3150" s="5" t="str">
        <f>IFERROR(__xludf.DUMMYFUNCTION("""COMPUTED_VALUE"""),"Dave Patten")</f>
        <v>Dave Patten</v>
      </c>
      <c r="V3150" s="5" t="s">
        <v>5086</v>
      </c>
      <c r="W3150" s="5" t="str">
        <f t="shared" si="3"/>
        <v>Pablo Faro</v>
      </c>
      <c r="X3150" s="5">
        <f t="shared" si="4"/>
        <v>1</v>
      </c>
      <c r="Y3150" s="5" t="str">
        <f>IFERROR(__xludf.DUMMYFUNCTION("REGEXEXTRACT(J3150, ""^\d+"")"),"3")</f>
        <v>3</v>
      </c>
      <c r="Z3150" s="5" t="str">
        <f>IFERROR(__xludf.DUMMYFUNCTION("REGEXEXTRACT(J3150, ""[A-Za-z ]+$"")")," Seasons")</f>
        <v> Seasons</v>
      </c>
      <c r="AA3150" s="5" t="str">
        <f>IFERROR(__xludf.DUMMYFUNCTION("IF(REGEXMATCH(Z3150, ""Season""), ""TV Show"", ""Movie"")"),"TV Show")</f>
        <v>TV Show</v>
      </c>
    </row>
    <row r="3151">
      <c r="A3151" s="1" t="s">
        <v>17443</v>
      </c>
      <c r="B3151" s="1" t="s">
        <v>27</v>
      </c>
      <c r="C3151" s="1" t="s">
        <v>17444</v>
      </c>
      <c r="D3151" s="1" t="s">
        <v>17363</v>
      </c>
      <c r="E3151" s="1" t="s">
        <v>17445</v>
      </c>
      <c r="F3151" s="1" t="s">
        <v>63</v>
      </c>
      <c r="G3151" s="1" t="s">
        <v>17333</v>
      </c>
      <c r="H3151" s="1">
        <v>2011.0</v>
      </c>
      <c r="I3151" s="1" t="s">
        <v>97</v>
      </c>
      <c r="J3151" s="1" t="s">
        <v>965</v>
      </c>
      <c r="K3151" s="1" t="s">
        <v>583</v>
      </c>
      <c r="L3151" s="1" t="s">
        <v>17446</v>
      </c>
      <c r="M3151" s="2" t="s">
        <v>12</v>
      </c>
      <c r="N3151" s="4">
        <f t="shared" si="1"/>
        <v>43814</v>
      </c>
      <c r="O3151" s="5" t="str">
        <f>IFERROR(__xludf.DUMMYFUNCTION("IF(REGEXMATCH(TRIM(I3151), ""^\d+\s*min""), ""Unclassified"", IF(I3151 = """", ""NR"", I3151))"),"TV-14")</f>
        <v>TV-14</v>
      </c>
      <c r="R3151" s="5" t="str">
        <f t="shared" si="2"/>
        <v>Zindagi Na Milegi Dobara</v>
      </c>
      <c r="S3151" s="5" t="str">
        <f>IFERROR(__xludf.DUMMYFUNCTION("""COMPUTED_VALUE"""),"Hook")</f>
        <v>Hook</v>
      </c>
      <c r="U3151" s="5" t="str">
        <f>IFERROR(__xludf.DUMMYFUNCTION("""COMPUTED_VALUE"""),"Michael Petroni")</f>
        <v>Michael Petroni</v>
      </c>
      <c r="V3151" s="5" t="s">
        <v>17447</v>
      </c>
      <c r="W3151" s="5" t="str">
        <f t="shared" si="3"/>
        <v>Pablo Giorgelli</v>
      </c>
      <c r="X3151" s="5">
        <f t="shared" si="4"/>
        <v>1</v>
      </c>
      <c r="Y3151" s="5" t="str">
        <f>IFERROR(__xludf.DUMMYFUNCTION("REGEXEXTRACT(J3151, ""^\d+"")"),"154")</f>
        <v>154</v>
      </c>
      <c r="Z3151" s="5" t="str">
        <f>IFERROR(__xludf.DUMMYFUNCTION("REGEXEXTRACT(J3151, ""[A-Za-z ]+$"")")," min")</f>
        <v> min</v>
      </c>
      <c r="AA3151" s="5" t="str">
        <f>IFERROR(__xludf.DUMMYFUNCTION("IF(REGEXMATCH(Z3151, ""Season""), ""TV Show"", ""Movie"")"),"Movie")</f>
        <v>Movie</v>
      </c>
    </row>
    <row r="3152">
      <c r="A3152" s="1" t="s">
        <v>17448</v>
      </c>
      <c r="B3152" s="1" t="s">
        <v>27</v>
      </c>
      <c r="C3152" s="1" t="s">
        <v>17449</v>
      </c>
      <c r="D3152" s="1" t="s">
        <v>15548</v>
      </c>
      <c r="E3152" s="1" t="s">
        <v>17450</v>
      </c>
      <c r="F3152" s="1" t="s">
        <v>30</v>
      </c>
      <c r="G3152" s="1" t="s">
        <v>17451</v>
      </c>
      <c r="H3152" s="1">
        <v>2019.0</v>
      </c>
      <c r="I3152" s="1" t="s">
        <v>378</v>
      </c>
      <c r="J3152" s="1" t="s">
        <v>1273</v>
      </c>
      <c r="K3152" s="1" t="s">
        <v>323</v>
      </c>
      <c r="L3152" s="1" t="s">
        <v>17452</v>
      </c>
      <c r="M3152" s="2" t="s">
        <v>12</v>
      </c>
      <c r="N3152" s="4">
        <f t="shared" si="1"/>
        <v>43812</v>
      </c>
      <c r="O3152" s="5" t="str">
        <f>IFERROR(__xludf.DUMMYFUNCTION("IF(REGEXMATCH(TRIM(I3152), ""^\d+\s*min""), ""Unclassified"", IF(I3152 = """", ""NR"", I3152))"),"R")</f>
        <v>R</v>
      </c>
      <c r="R3152" s="5" t="str">
        <f t="shared" si="2"/>
        <v>6 Underground</v>
      </c>
      <c r="S3152" s="5" t="str">
        <f>IFERROR(__xludf.DUMMYFUNCTION("""COMPUTED_VALUE"""),"Hoops")</f>
        <v>Hoops</v>
      </c>
      <c r="U3152" s="5" t="str">
        <f>IFERROR(__xludf.DUMMYFUNCTION("""COMPUTED_VALUE"""),"David Chirchirillo")</f>
        <v>David Chirchirillo</v>
      </c>
      <c r="V3152" s="5" t="s">
        <v>7455</v>
      </c>
      <c r="W3152" s="5" t="str">
        <f t="shared" si="3"/>
        <v>Pablo Larraín</v>
      </c>
      <c r="X3152" s="5">
        <f t="shared" si="4"/>
        <v>3</v>
      </c>
      <c r="Y3152" s="5" t="str">
        <f>IFERROR(__xludf.DUMMYFUNCTION("REGEXEXTRACT(J3152, ""^\d+"")"),"129")</f>
        <v>129</v>
      </c>
      <c r="Z3152" s="5" t="str">
        <f>IFERROR(__xludf.DUMMYFUNCTION("REGEXEXTRACT(J3152, ""[A-Za-z ]+$"")")," min")</f>
        <v> min</v>
      </c>
      <c r="AA3152" s="5" t="str">
        <f>IFERROR(__xludf.DUMMYFUNCTION("IF(REGEXMATCH(Z3152, ""Season""), ""TV Show"", ""Movie"")"),"Movie")</f>
        <v>Movie</v>
      </c>
    </row>
    <row r="3153">
      <c r="A3153" s="1" t="s">
        <v>17453</v>
      </c>
      <c r="B3153" s="1" t="s">
        <v>27</v>
      </c>
      <c r="C3153" s="1" t="s">
        <v>17454</v>
      </c>
      <c r="D3153" s="1" t="s">
        <v>3807</v>
      </c>
      <c r="E3153" s="1" t="s">
        <v>17455</v>
      </c>
      <c r="F3153" s="1" t="s">
        <v>400</v>
      </c>
      <c r="G3153" s="1" t="s">
        <v>17451</v>
      </c>
      <c r="H3153" s="1">
        <v>2016.0</v>
      </c>
      <c r="I3153" s="1" t="s">
        <v>42</v>
      </c>
      <c r="J3153" s="1" t="s">
        <v>416</v>
      </c>
      <c r="K3153" s="1" t="s">
        <v>199</v>
      </c>
      <c r="L3153" s="1" t="s">
        <v>17456</v>
      </c>
      <c r="M3153" s="2" t="s">
        <v>12</v>
      </c>
      <c r="N3153" s="4">
        <f t="shared" si="1"/>
        <v>43812</v>
      </c>
      <c r="O3153" s="5" t="str">
        <f>IFERROR(__xludf.DUMMYFUNCTION("IF(REGEXMATCH(TRIM(I3153), ""^\d+\s*min""), ""Unclassified"", IF(I3153 = """", ""NR"", I3153))"),"TV-MA")</f>
        <v>TV-MA</v>
      </c>
      <c r="R3153" s="5" t="str">
        <f t="shared" si="2"/>
        <v>A Trip To Jamaica</v>
      </c>
      <c r="S3153" s="5" t="str">
        <f>IFERROR(__xludf.DUMMYFUNCTION("""COMPUTED_VALUE"""),"Hop")</f>
        <v>Hop</v>
      </c>
      <c r="U3153" s="5" t="str">
        <f>IFERROR(__xludf.DUMMYFUNCTION("""COMPUTED_VALUE"""),"Salima Koroma")</f>
        <v>Salima Koroma</v>
      </c>
      <c r="V3153" s="5" t="s">
        <v>15191</v>
      </c>
      <c r="W3153" s="5" t="str">
        <f t="shared" si="3"/>
        <v>Pablo Lejarreta, Luis Alfaro</v>
      </c>
      <c r="X3153" s="5">
        <f t="shared" si="4"/>
        <v>1</v>
      </c>
      <c r="Y3153" s="5" t="str">
        <f>IFERROR(__xludf.DUMMYFUNCTION("REGEXEXTRACT(J3153, ""^\d+"")"),"99")</f>
        <v>99</v>
      </c>
      <c r="Z3153" s="5" t="str">
        <f>IFERROR(__xludf.DUMMYFUNCTION("REGEXEXTRACT(J3153, ""[A-Za-z ]+$"")")," min")</f>
        <v> min</v>
      </c>
      <c r="AA3153" s="5" t="str">
        <f>IFERROR(__xludf.DUMMYFUNCTION("IF(REGEXMATCH(Z3153, ""Season""), ""TV Show"", ""Movie"")"),"Movie")</f>
        <v>Movie</v>
      </c>
    </row>
    <row r="3154">
      <c r="A3154" s="1" t="s">
        <v>17457</v>
      </c>
      <c r="B3154" s="1" t="s">
        <v>27</v>
      </c>
      <c r="C3154" s="1" t="s">
        <v>17458</v>
      </c>
      <c r="D3154" s="1" t="s">
        <v>385</v>
      </c>
      <c r="E3154" s="1" t="s">
        <v>17459</v>
      </c>
      <c r="F3154" s="1" t="s">
        <v>40</v>
      </c>
      <c r="G3154" s="1" t="s">
        <v>17451</v>
      </c>
      <c r="H3154" s="1">
        <v>2017.0</v>
      </c>
      <c r="I3154" s="1" t="s">
        <v>42</v>
      </c>
      <c r="J3154" s="1" t="s">
        <v>433</v>
      </c>
      <c r="K3154" s="1" t="s">
        <v>215</v>
      </c>
      <c r="L3154" s="1" t="s">
        <v>17460</v>
      </c>
      <c r="M3154" s="2" t="s">
        <v>12</v>
      </c>
      <c r="N3154" s="4">
        <f t="shared" si="1"/>
        <v>43812</v>
      </c>
      <c r="O3154" s="5" t="str">
        <f>IFERROR(__xludf.DUMMYFUNCTION("IF(REGEXMATCH(TRIM(I3154), ""^\d+\s*min""), ""Unclassified"", IF(I3154 = """", ""NR"", I3154))"),"TV-MA")</f>
        <v>TV-MA</v>
      </c>
      <c r="R3154" s="5" t="str">
        <f t="shared" si="2"/>
        <v>My Wife And I</v>
      </c>
      <c r="S3154" s="5" t="str">
        <f>IFERROR(__xludf.DUMMYFUNCTION("""COMPUTED_VALUE"""),"Hope Aur Hum")</f>
        <v>Hope Aur Hum</v>
      </c>
      <c r="U3154" s="5" t="str">
        <f>IFERROR(__xludf.DUMMYFUNCTION("""COMPUTED_VALUE"""),"Sumitra Bhave, Sunil Sukthankar")</f>
        <v>Sumitra Bhave, Sunil Sukthankar</v>
      </c>
      <c r="V3154" s="5" t="s">
        <v>17461</v>
      </c>
      <c r="W3154" s="5" t="str">
        <f t="shared" si="3"/>
        <v>Pablo Parés</v>
      </c>
      <c r="X3154" s="5">
        <f t="shared" si="4"/>
        <v>1</v>
      </c>
      <c r="Y3154" s="5" t="str">
        <f>IFERROR(__xludf.DUMMYFUNCTION("REGEXEXTRACT(J3154, ""^\d+"")"),"100")</f>
        <v>100</v>
      </c>
      <c r="Z3154" s="5" t="str">
        <f>IFERROR(__xludf.DUMMYFUNCTION("REGEXEXTRACT(J3154, ""[A-Za-z ]+$"")")," min")</f>
        <v> min</v>
      </c>
      <c r="AA3154" s="5" t="str">
        <f>IFERROR(__xludf.DUMMYFUNCTION("IF(REGEXMATCH(Z3154, ""Season""), ""TV Show"", ""Movie"")"),"Movie")</f>
        <v>Movie</v>
      </c>
    </row>
    <row r="3155">
      <c r="A3155" s="1" t="s">
        <v>17462</v>
      </c>
      <c r="B3155" s="1" t="s">
        <v>27</v>
      </c>
      <c r="C3155" s="1" t="s">
        <v>17463</v>
      </c>
      <c r="D3155" s="1" t="s">
        <v>14643</v>
      </c>
      <c r="F3155" s="1" t="s">
        <v>400</v>
      </c>
      <c r="G3155" s="1" t="s">
        <v>17451</v>
      </c>
      <c r="H3155" s="1">
        <v>2016.0</v>
      </c>
      <c r="I3155" s="1" t="s">
        <v>97</v>
      </c>
      <c r="J3155" s="1" t="s">
        <v>297</v>
      </c>
      <c r="K3155" s="1" t="s">
        <v>215</v>
      </c>
      <c r="L3155" s="1" t="s">
        <v>17464</v>
      </c>
      <c r="M3155" s="2" t="s">
        <v>12</v>
      </c>
      <c r="N3155" s="4">
        <f t="shared" si="1"/>
        <v>43812</v>
      </c>
      <c r="O3155" s="5" t="str">
        <f>IFERROR(__xludf.DUMMYFUNCTION("IF(REGEXMATCH(TRIM(I3155), ""^\d+\s*min""), ""Unclassified"", IF(I3155 = """", ""NR"", I3155))"),"TV-14")</f>
        <v>TV-14</v>
      </c>
      <c r="R3155" s="5" t="str">
        <f t="shared" si="2"/>
        <v>Okafor'S Law</v>
      </c>
      <c r="S3155" s="5" t="str">
        <f>IFERROR(__xludf.DUMMYFUNCTION("""COMPUTED_VALUE"""),"Hope Frozen: A Quest To Live Twice")</f>
        <v>Hope Frozen: A Quest To Live Twice</v>
      </c>
      <c r="U3155" s="5" t="str">
        <f>IFERROR(__xludf.DUMMYFUNCTION("""COMPUTED_VALUE"""),"Justin Lee")</f>
        <v>Justin Lee</v>
      </c>
      <c r="V3155" s="5" t="s">
        <v>16686</v>
      </c>
      <c r="W3155" s="5" t="str">
        <f t="shared" si="3"/>
        <v>Pablo Stoll, Juan Pablo Rebella</v>
      </c>
      <c r="X3155" s="5">
        <f t="shared" si="4"/>
        <v>1</v>
      </c>
      <c r="Y3155" s="5" t="str">
        <f>IFERROR(__xludf.DUMMYFUNCTION("REGEXEXTRACT(J3155, ""^\d+"")"),"110")</f>
        <v>110</v>
      </c>
      <c r="Z3155" s="5" t="str">
        <f>IFERROR(__xludf.DUMMYFUNCTION("REGEXEXTRACT(J3155, ""[A-Za-z ]+$"")")," min")</f>
        <v> min</v>
      </c>
      <c r="AA3155" s="5" t="str">
        <f>IFERROR(__xludf.DUMMYFUNCTION("IF(REGEXMATCH(Z3155, ""Season""), ""TV Show"", ""Movie"")"),"Movie")</f>
        <v>Movie</v>
      </c>
    </row>
    <row r="3156">
      <c r="A3156" s="1" t="s">
        <v>17465</v>
      </c>
      <c r="B3156" s="1" t="s">
        <v>27</v>
      </c>
      <c r="C3156" s="1" t="s">
        <v>17466</v>
      </c>
      <c r="D3156" s="1" t="s">
        <v>3467</v>
      </c>
      <c r="E3156" s="1" t="s">
        <v>17467</v>
      </c>
      <c r="G3156" s="1" t="s">
        <v>17451</v>
      </c>
      <c r="H3156" s="1">
        <v>2018.0</v>
      </c>
      <c r="I3156" s="1" t="s">
        <v>97</v>
      </c>
      <c r="J3156" s="1" t="s">
        <v>1256</v>
      </c>
      <c r="K3156" s="1" t="s">
        <v>679</v>
      </c>
      <c r="L3156" s="1" t="s">
        <v>17468</v>
      </c>
      <c r="M3156" s="2" t="s">
        <v>12</v>
      </c>
      <c r="N3156" s="4">
        <f t="shared" si="1"/>
        <v>43812</v>
      </c>
      <c r="O3156" s="5" t="str">
        <f>IFERROR(__xludf.DUMMYFUNCTION("IF(REGEXMATCH(TRIM(I3156), ""^\d+\s*min""), ""Unclassified"", IF(I3156 = """", ""NR"", I3156))"),"TV-14")</f>
        <v>TV-14</v>
      </c>
      <c r="R3156" s="5" t="str">
        <f t="shared" si="2"/>
        <v>Seven And A Half Dates</v>
      </c>
      <c r="S3156" s="5" t="str">
        <f>IFERROR(__xludf.DUMMYFUNCTION("""COMPUTED_VALUE"""),"Hope Springs Eternal")</f>
        <v>Hope Springs Eternal</v>
      </c>
      <c r="U3156" s="5" t="str">
        <f>IFERROR(__xludf.DUMMYFUNCTION("""COMPUTED_VALUE"""),"Simon Wells")</f>
        <v>Simon Wells</v>
      </c>
      <c r="V3156" s="5" t="s">
        <v>13479</v>
      </c>
      <c r="W3156" s="5" t="str">
        <f t="shared" si="3"/>
        <v>Paco Aguilar</v>
      </c>
      <c r="X3156" s="5">
        <f t="shared" si="4"/>
        <v>1</v>
      </c>
      <c r="Y3156" s="5" t="str">
        <f>IFERROR(__xludf.DUMMYFUNCTION("REGEXEXTRACT(J3156, ""^\d+"")"),"107")</f>
        <v>107</v>
      </c>
      <c r="Z3156" s="5" t="str">
        <f>IFERROR(__xludf.DUMMYFUNCTION("REGEXEXTRACT(J3156, ""[A-Za-z ]+$"")")," min")</f>
        <v> min</v>
      </c>
      <c r="AA3156" s="5" t="str">
        <f>IFERROR(__xludf.DUMMYFUNCTION("IF(REGEXMATCH(Z3156, ""Season""), ""TV Show"", ""Movie"")"),"Movie")</f>
        <v>Movie</v>
      </c>
    </row>
    <row r="3157">
      <c r="A3157" s="1" t="s">
        <v>17469</v>
      </c>
      <c r="B3157" s="1" t="s">
        <v>27</v>
      </c>
      <c r="C3157" s="1" t="s">
        <v>17470</v>
      </c>
      <c r="D3157" s="1" t="s">
        <v>6544</v>
      </c>
      <c r="E3157" s="1" t="s">
        <v>17471</v>
      </c>
      <c r="F3157" s="1" t="s">
        <v>2059</v>
      </c>
      <c r="G3157" s="1" t="s">
        <v>17451</v>
      </c>
      <c r="H3157" s="1">
        <v>2019.0</v>
      </c>
      <c r="I3157" s="1" t="s">
        <v>42</v>
      </c>
      <c r="J3157" s="1" t="s">
        <v>465</v>
      </c>
      <c r="K3157" s="1" t="s">
        <v>631</v>
      </c>
      <c r="L3157" s="1" t="s">
        <v>17472</v>
      </c>
      <c r="M3157" s="2" t="s">
        <v>12</v>
      </c>
      <c r="N3157" s="4">
        <f t="shared" si="1"/>
        <v>43812</v>
      </c>
      <c r="O3157" s="5" t="str">
        <f>IFERROR(__xludf.DUMMYFUNCTION("IF(REGEXMATCH(TRIM(I3157), ""^\d+\s*min""), ""Unclassified"", IF(I3157 = """", ""NR"", I3157))"),"TV-MA")</f>
        <v>TV-MA</v>
      </c>
      <c r="R3157" s="5" t="str">
        <f t="shared" si="2"/>
        <v>The 9Th Precinct</v>
      </c>
      <c r="S3157" s="5" t="str">
        <f>IFERROR(__xludf.DUMMYFUNCTION("""COMPUTED_VALUE"""),"Hope: One In A Billion")</f>
        <v>Hope: One In A Billion</v>
      </c>
      <c r="U3157" s="5" t="str">
        <f>IFERROR(__xludf.DUMMYFUNCTION("""COMPUTED_VALUE"""),"Phil Weinstein")</f>
        <v>Phil Weinstein</v>
      </c>
      <c r="V3157" s="5" t="s">
        <v>17473</v>
      </c>
      <c r="W3157" s="5" t="str">
        <f t="shared" si="3"/>
        <v>Paco Arango</v>
      </c>
      <c r="X3157" s="5">
        <f t="shared" si="4"/>
        <v>1</v>
      </c>
      <c r="Y3157" s="5" t="str">
        <f>IFERROR(__xludf.DUMMYFUNCTION("REGEXEXTRACT(J3157, ""^\d+"")"),"95")</f>
        <v>95</v>
      </c>
      <c r="Z3157" s="5" t="str">
        <f>IFERROR(__xludf.DUMMYFUNCTION("REGEXEXTRACT(J3157, ""[A-Za-z ]+$"")")," min")</f>
        <v> min</v>
      </c>
      <c r="AA3157" s="5" t="str">
        <f>IFERROR(__xludf.DUMMYFUNCTION("IF(REGEXMATCH(Z3157, ""Season""), ""TV Show"", ""Movie"")"),"Movie")</f>
        <v>Movie</v>
      </c>
    </row>
    <row r="3158">
      <c r="A3158" s="1" t="s">
        <v>17474</v>
      </c>
      <c r="B3158" s="1" t="s">
        <v>27</v>
      </c>
      <c r="C3158" s="1" t="s">
        <v>17475</v>
      </c>
      <c r="D3158" s="1" t="s">
        <v>3807</v>
      </c>
      <c r="E3158" s="1" t="s">
        <v>17476</v>
      </c>
      <c r="G3158" s="1" t="s">
        <v>17451</v>
      </c>
      <c r="H3158" s="1">
        <v>2018.0</v>
      </c>
      <c r="I3158" s="1" t="s">
        <v>42</v>
      </c>
      <c r="J3158" s="1" t="s">
        <v>1191</v>
      </c>
      <c r="K3158" s="1" t="s">
        <v>631</v>
      </c>
      <c r="L3158" s="1" t="s">
        <v>17477</v>
      </c>
      <c r="M3158" s="2" t="s">
        <v>12</v>
      </c>
      <c r="N3158" s="4">
        <f t="shared" si="1"/>
        <v>43812</v>
      </c>
      <c r="O3158" s="5" t="str">
        <f>IFERROR(__xludf.DUMMYFUNCTION("IF(REGEXMATCH(TRIM(I3158), ""^\d+\s*min""), ""Unclassified"", IF(I3158 = """", ""NR"", I3158))"),"TV-MA")</f>
        <v>TV-MA</v>
      </c>
      <c r="R3158" s="5" t="str">
        <f t="shared" si="2"/>
        <v>Zero Hour</v>
      </c>
      <c r="S3158" s="5" t="str">
        <f>IFERROR(__xludf.DUMMYFUNCTION("""COMPUTED_VALUE"""),"Hormones")</f>
        <v>Hormones</v>
      </c>
      <c r="U3158" s="5" t="str">
        <f>IFERROR(__xludf.DUMMYFUNCTION("""COMPUTED_VALUE"""),"Haissam Hussain")</f>
        <v>Haissam Hussain</v>
      </c>
      <c r="V3158" s="5" t="s">
        <v>16202</v>
      </c>
      <c r="W3158" s="5" t="str">
        <f t="shared" si="3"/>
        <v>Paco Cabezas</v>
      </c>
      <c r="X3158" s="5">
        <f t="shared" si="4"/>
        <v>1</v>
      </c>
      <c r="Y3158" s="5" t="str">
        <f>IFERROR(__xludf.DUMMYFUNCTION("REGEXEXTRACT(J3158, ""^\d+"")"),"89")</f>
        <v>89</v>
      </c>
      <c r="Z3158" s="5" t="str">
        <f>IFERROR(__xludf.DUMMYFUNCTION("REGEXEXTRACT(J3158, ""[A-Za-z ]+$"")")," min")</f>
        <v> min</v>
      </c>
      <c r="AA3158" s="5" t="str">
        <f>IFERROR(__xludf.DUMMYFUNCTION("IF(REGEXMATCH(Z3158, ""Season""), ""TV Show"", ""Movie"")"),"Movie")</f>
        <v>Movie</v>
      </c>
    </row>
    <row r="3159">
      <c r="A3159" s="1" t="s">
        <v>17478</v>
      </c>
      <c r="B3159" s="1" t="s">
        <v>27</v>
      </c>
      <c r="C3159" s="1" t="s">
        <v>17479</v>
      </c>
      <c r="D3159" s="1" t="s">
        <v>17480</v>
      </c>
      <c r="E3159" s="1" t="s">
        <v>17481</v>
      </c>
      <c r="F3159" s="1" t="s">
        <v>96</v>
      </c>
      <c r="G3159" s="1" t="s">
        <v>17482</v>
      </c>
      <c r="H3159" s="1">
        <v>2019.0</v>
      </c>
      <c r="I3159" s="1" t="s">
        <v>42</v>
      </c>
      <c r="J3159" s="1" t="s">
        <v>2616</v>
      </c>
      <c r="K3159" s="1" t="s">
        <v>1839</v>
      </c>
      <c r="L3159" s="1" t="s">
        <v>17483</v>
      </c>
      <c r="M3159" s="2" t="s">
        <v>12</v>
      </c>
      <c r="N3159" s="4">
        <f t="shared" si="1"/>
        <v>43811</v>
      </c>
      <c r="O3159" s="5" t="str">
        <f>IFERROR(__xludf.DUMMYFUNCTION("IF(REGEXMATCH(TRIM(I3159), ""^\d+\s*min""), ""Unclassified"", IF(I3159 = """", ""NR"", I3159))"),"TV-MA")</f>
        <v>TV-MA</v>
      </c>
      <c r="R3159" s="5" t="str">
        <f t="shared" si="2"/>
        <v>Jack Whitehall: Christmas With My Father</v>
      </c>
      <c r="S3159" s="5" t="str">
        <f>IFERROR(__xludf.DUMMYFUNCTION("""COMPUTED_VALUE"""),"Horns")</f>
        <v>Horns</v>
      </c>
      <c r="U3159" s="5" t="str">
        <f>IFERROR(__xludf.DUMMYFUNCTION("""COMPUTED_VALUE"""),"Zoe Lister-Jones")</f>
        <v>Zoe Lister-Jones</v>
      </c>
      <c r="V3159" s="5" t="s">
        <v>16798</v>
      </c>
      <c r="W3159" s="5" t="str">
        <f t="shared" si="3"/>
        <v>Paco Plaza</v>
      </c>
      <c r="X3159" s="5">
        <f t="shared" si="4"/>
        <v>2</v>
      </c>
      <c r="Y3159" s="5" t="str">
        <f>IFERROR(__xludf.DUMMYFUNCTION("REGEXEXTRACT(J3159, ""^\d+"")"),"65")</f>
        <v>65</v>
      </c>
      <c r="Z3159" s="5" t="str">
        <f>IFERROR(__xludf.DUMMYFUNCTION("REGEXEXTRACT(J3159, ""[A-Za-z ]+$"")")," min")</f>
        <v> min</v>
      </c>
      <c r="AA3159" s="5" t="str">
        <f>IFERROR(__xludf.DUMMYFUNCTION("IF(REGEXMATCH(Z3159, ""Season""), ""TV Show"", ""Movie"")"),"Movie")</f>
        <v>Movie</v>
      </c>
    </row>
    <row r="3160">
      <c r="A3160" s="1" t="s">
        <v>17484</v>
      </c>
      <c r="B3160" s="1" t="s">
        <v>27</v>
      </c>
      <c r="C3160" s="1" t="s">
        <v>17485</v>
      </c>
      <c r="D3160" s="1" t="s">
        <v>17486</v>
      </c>
      <c r="E3160" s="1" t="s">
        <v>17487</v>
      </c>
      <c r="F3160" s="1" t="s">
        <v>17488</v>
      </c>
      <c r="G3160" s="1" t="s">
        <v>17489</v>
      </c>
      <c r="H3160" s="1">
        <v>2019.0</v>
      </c>
      <c r="I3160" s="1" t="s">
        <v>42</v>
      </c>
      <c r="J3160" s="1" t="s">
        <v>820</v>
      </c>
      <c r="K3160" s="1" t="s">
        <v>128</v>
      </c>
      <c r="L3160" s="1" t="s">
        <v>17490</v>
      </c>
      <c r="M3160" s="2" t="s">
        <v>12</v>
      </c>
      <c r="N3160" s="4">
        <f t="shared" si="1"/>
        <v>43810</v>
      </c>
      <c r="O3160" s="5" t="str">
        <f>IFERROR(__xludf.DUMMYFUNCTION("IF(REGEXMATCH(TRIM(I3160), ""^\d+\s*min""), ""Unclassified"", IF(I3160 = """", ""NR"", I3160))"),"TV-MA")</f>
        <v>TV-MA</v>
      </c>
      <c r="R3160" s="5" t="str">
        <f t="shared" si="2"/>
        <v>The Sky Is Pink</v>
      </c>
      <c r="S3160" s="5" t="str">
        <f>IFERROR(__xludf.DUMMYFUNCTION("""COMPUTED_VALUE"""),"Horrid Henry")</f>
        <v>Horrid Henry</v>
      </c>
      <c r="U3160" s="5" t="str">
        <f>IFERROR(__xludf.DUMMYFUNCTION("""COMPUTED_VALUE"""),"Aaron Nee, Adam Nee")</f>
        <v>Aaron Nee, Adam Nee</v>
      </c>
      <c r="V3160" s="5" t="s">
        <v>17491</v>
      </c>
      <c r="W3160" s="5" t="str">
        <f t="shared" si="3"/>
        <v>Padmakumar Narasimhamurthy</v>
      </c>
      <c r="X3160" s="5">
        <f t="shared" si="4"/>
        <v>1</v>
      </c>
      <c r="Y3160" s="5" t="str">
        <f>IFERROR(__xludf.DUMMYFUNCTION("REGEXEXTRACT(J3160, ""^\d+"")"),"143")</f>
        <v>143</v>
      </c>
      <c r="Z3160" s="5" t="str">
        <f>IFERROR(__xludf.DUMMYFUNCTION("REGEXEXTRACT(J3160, ""[A-Za-z ]+$"")")," min")</f>
        <v> min</v>
      </c>
      <c r="AA3160" s="5" t="str">
        <f>IFERROR(__xludf.DUMMYFUNCTION("IF(REGEXMATCH(Z3160, ""Season""), ""TV Show"", ""Movie"")"),"Movie")</f>
        <v>Movie</v>
      </c>
    </row>
    <row r="3161">
      <c r="A3161" s="1" t="s">
        <v>17492</v>
      </c>
      <c r="B3161" s="1" t="s">
        <v>27</v>
      </c>
      <c r="C3161" s="1" t="s">
        <v>17493</v>
      </c>
      <c r="D3161" s="1" t="s">
        <v>13776</v>
      </c>
      <c r="E3161" s="1" t="s">
        <v>17494</v>
      </c>
      <c r="F3161" s="1" t="s">
        <v>3309</v>
      </c>
      <c r="G3161" s="1" t="s">
        <v>17495</v>
      </c>
      <c r="H3161" s="1">
        <v>2017.0</v>
      </c>
      <c r="I3161" s="1" t="s">
        <v>97</v>
      </c>
      <c r="J3161" s="1" t="s">
        <v>1091</v>
      </c>
      <c r="K3161" s="1" t="s">
        <v>199</v>
      </c>
      <c r="L3161" s="1" t="s">
        <v>17496</v>
      </c>
      <c r="M3161" s="2" t="s">
        <v>12</v>
      </c>
      <c r="N3161" s="4">
        <f t="shared" si="1"/>
        <v>43809</v>
      </c>
      <c r="O3161" s="5" t="str">
        <f>IFERROR(__xludf.DUMMYFUNCTION("IF(REGEXMATCH(TRIM(I3161), ""^\d+\s*min""), ""Unclassified"", IF(I3161 = """", ""NR"", I3161))"),"TV-14")</f>
        <v>TV-14</v>
      </c>
      <c r="R3161" s="5" t="str">
        <f t="shared" si="2"/>
        <v>Good And Prosperous</v>
      </c>
      <c r="S3161" s="5" t="str">
        <f>IFERROR(__xludf.DUMMYFUNCTION("""COMPUTED_VALUE"""),"Horrid Henry'S Gross Day Out")</f>
        <v>Horrid Henry'S Gross Day Out</v>
      </c>
      <c r="U3161" s="5" t="str">
        <f>IFERROR(__xludf.DUMMYFUNCTION("""COMPUTED_VALUE"""),"Tanit Jitnukul")</f>
        <v>Tanit Jitnukul</v>
      </c>
      <c r="V3161" s="5" t="s">
        <v>17497</v>
      </c>
      <c r="W3161" s="5" t="str">
        <f t="shared" si="3"/>
        <v>Padraic Mckinley</v>
      </c>
      <c r="X3161" s="5">
        <f t="shared" si="4"/>
        <v>1</v>
      </c>
      <c r="Y3161" s="5" t="str">
        <f>IFERROR(__xludf.DUMMYFUNCTION("REGEXEXTRACT(J3161, ""^\d+"")"),"101")</f>
        <v>101</v>
      </c>
      <c r="Z3161" s="5" t="str">
        <f>IFERROR(__xludf.DUMMYFUNCTION("REGEXEXTRACT(J3161, ""[A-Za-z ]+$"")")," min")</f>
        <v> min</v>
      </c>
      <c r="AA3161" s="5" t="str">
        <f>IFERROR(__xludf.DUMMYFUNCTION("IF(REGEXMATCH(Z3161, ""Season""), ""TV Show"", ""Movie"")"),"Movie")</f>
        <v>Movie</v>
      </c>
    </row>
    <row r="3162">
      <c r="A3162" s="1" t="s">
        <v>17498</v>
      </c>
      <c r="B3162" s="1" t="s">
        <v>27</v>
      </c>
      <c r="C3162" s="1" t="s">
        <v>17499</v>
      </c>
      <c r="D3162" s="1" t="s">
        <v>13344</v>
      </c>
      <c r="E3162" s="1" t="s">
        <v>17500</v>
      </c>
      <c r="F3162" s="1" t="s">
        <v>30</v>
      </c>
      <c r="G3162" s="1" t="s">
        <v>17495</v>
      </c>
      <c r="H3162" s="1">
        <v>2019.0</v>
      </c>
      <c r="I3162" s="1" t="s">
        <v>42</v>
      </c>
      <c r="J3162" s="1" t="s">
        <v>4639</v>
      </c>
      <c r="K3162" s="1" t="s">
        <v>1839</v>
      </c>
      <c r="L3162" s="1" t="s">
        <v>17501</v>
      </c>
      <c r="M3162" s="2" t="s">
        <v>12</v>
      </c>
      <c r="N3162" s="4">
        <f t="shared" si="1"/>
        <v>43809</v>
      </c>
      <c r="O3162" s="5" t="str">
        <f>IFERROR(__xludf.DUMMYFUNCTION("IF(REGEXMATCH(TRIM(I3162), ""^\d+\s*min""), ""Unclassified"", IF(I3162 = """", ""NR"", I3162))"),"TV-MA")</f>
        <v>TV-MA</v>
      </c>
      <c r="R3162" s="5" t="str">
        <f t="shared" si="2"/>
        <v>Michelle Wolf: Joke Show</v>
      </c>
      <c r="S3162" s="5" t="str">
        <f>IFERROR(__xludf.DUMMYFUNCTION("""COMPUTED_VALUE"""),"Horror Homes")</f>
        <v>Horror Homes</v>
      </c>
      <c r="U3162" s="5" t="str">
        <f>IFERROR(__xludf.DUMMYFUNCTION("""COMPUTED_VALUE"""),"Manop Janjarasskul")</f>
        <v>Manop Janjarasskul</v>
      </c>
      <c r="V3162" s="5" t="s">
        <v>15154</v>
      </c>
      <c r="W3162" s="5" t="str">
        <f t="shared" si="3"/>
        <v>Padraig Reynolds</v>
      </c>
      <c r="X3162" s="5">
        <f t="shared" si="4"/>
        <v>1</v>
      </c>
      <c r="Y3162" s="5" t="str">
        <f>IFERROR(__xludf.DUMMYFUNCTION("REGEXEXTRACT(J3162, ""^\d+"")"),"60")</f>
        <v>60</v>
      </c>
      <c r="Z3162" s="5" t="str">
        <f>IFERROR(__xludf.DUMMYFUNCTION("REGEXEXTRACT(J3162, ""[A-Za-z ]+$"")")," min")</f>
        <v> min</v>
      </c>
      <c r="AA3162" s="5" t="str">
        <f>IFERROR(__xludf.DUMMYFUNCTION("IF(REGEXMATCH(Z3162, ""Season""), ""TV Show"", ""Movie"")"),"Movie")</f>
        <v>Movie</v>
      </c>
    </row>
    <row r="3163">
      <c r="A3163" s="1" t="s">
        <v>17502</v>
      </c>
      <c r="B3163" s="1" t="s">
        <v>27</v>
      </c>
      <c r="C3163" s="1" t="s">
        <v>17503</v>
      </c>
      <c r="D3163" s="1" t="s">
        <v>17504</v>
      </c>
      <c r="E3163" s="1" t="s">
        <v>17505</v>
      </c>
      <c r="F3163" s="1" t="s">
        <v>30</v>
      </c>
      <c r="G3163" s="1" t="s">
        <v>17506</v>
      </c>
      <c r="H3163" s="1">
        <v>2019.0</v>
      </c>
      <c r="I3163" s="1" t="s">
        <v>136</v>
      </c>
      <c r="J3163" s="1" t="s">
        <v>5170</v>
      </c>
      <c r="K3163" s="1" t="s">
        <v>137</v>
      </c>
      <c r="L3163" s="1" t="s">
        <v>17507</v>
      </c>
      <c r="M3163" s="2" t="s">
        <v>12</v>
      </c>
      <c r="N3163" s="4">
        <f t="shared" si="1"/>
        <v>43808</v>
      </c>
      <c r="O3163" s="5" t="str">
        <f>IFERROR(__xludf.DUMMYFUNCTION("IF(REGEXMATCH(TRIM(I3163), ""^\d+\s*min""), ""Unclassified"", IF(I3163 = """", ""NR"", I3163))"),"TV-PG")</f>
        <v>TV-PG</v>
      </c>
      <c r="R3163" s="5" t="str">
        <f t="shared" si="2"/>
        <v>A Family Reunion Christmas</v>
      </c>
      <c r="S3163" s="5" t="str">
        <f>IFERROR(__xludf.DUMMYFUNCTION("""COMPUTED_VALUE"""),"Horror Story")</f>
        <v>Horror Story</v>
      </c>
      <c r="U3163" s="5" t="str">
        <f>IFERROR(__xludf.DUMMYFUNCTION("""COMPUTED_VALUE"""),"Adisorn Tresirikasem")</f>
        <v>Adisorn Tresirikasem</v>
      </c>
      <c r="V3163" s="5" t="s">
        <v>11140</v>
      </c>
      <c r="W3163" s="5" t="str">
        <f t="shared" si="3"/>
        <v>Page Hurwitz</v>
      </c>
      <c r="X3163" s="5">
        <f t="shared" si="4"/>
        <v>1</v>
      </c>
      <c r="Y3163" s="5" t="str">
        <f>IFERROR(__xludf.DUMMYFUNCTION("REGEXEXTRACT(J3163, ""^\d+"")"),"29")</f>
        <v>29</v>
      </c>
      <c r="Z3163" s="5" t="str">
        <f>IFERROR(__xludf.DUMMYFUNCTION("REGEXEXTRACT(J3163, ""[A-Za-z ]+$"")")," min")</f>
        <v> min</v>
      </c>
      <c r="AA3163" s="5" t="str">
        <f>IFERROR(__xludf.DUMMYFUNCTION("IF(REGEXMATCH(Z3163, ""Season""), ""TV Show"", ""Movie"")"),"Movie")</f>
        <v>Movie</v>
      </c>
    </row>
    <row r="3164">
      <c r="A3164" s="1" t="s">
        <v>17508</v>
      </c>
      <c r="B3164" s="1" t="s">
        <v>27</v>
      </c>
      <c r="C3164" s="1" t="s">
        <v>17509</v>
      </c>
      <c r="D3164" s="1" t="s">
        <v>17510</v>
      </c>
      <c r="E3164" s="1" t="s">
        <v>17511</v>
      </c>
      <c r="F3164" s="1" t="s">
        <v>30</v>
      </c>
      <c r="G3164" s="1" t="s">
        <v>17506</v>
      </c>
      <c r="H3164" s="1">
        <v>2017.0</v>
      </c>
      <c r="I3164" s="1" t="s">
        <v>378</v>
      </c>
      <c r="J3164" s="1" t="s">
        <v>665</v>
      </c>
      <c r="K3164" s="1" t="s">
        <v>7235</v>
      </c>
      <c r="L3164" s="1" t="s">
        <v>17512</v>
      </c>
      <c r="M3164" s="2" t="s">
        <v>12</v>
      </c>
      <c r="N3164" s="4">
        <f t="shared" si="1"/>
        <v>43808</v>
      </c>
      <c r="O3164" s="5" t="str">
        <f>IFERROR(__xludf.DUMMYFUNCTION("IF(REGEXMATCH(TRIM(I3164), ""^\d+\s*min""), ""Unclassified"", IF(I3164 = """", ""NR"", I3164))"),"R")</f>
        <v>R</v>
      </c>
      <c r="R3164" s="5" t="str">
        <f t="shared" si="2"/>
        <v>It Comes At Night</v>
      </c>
      <c r="S3164" s="5" t="str">
        <f>IFERROR(__xludf.DUMMYFUNCTION("""COMPUTED_VALUE"""),"Horse Girl")</f>
        <v>Horse Girl</v>
      </c>
      <c r="U3164" s="5" t="str">
        <f>IFERROR(__xludf.DUMMYFUNCTION("""COMPUTED_VALUE"""),"Jordi Llompart")</f>
        <v>Jordi Llompart</v>
      </c>
      <c r="V3164" s="5" t="s">
        <v>11475</v>
      </c>
      <c r="W3164" s="5" t="str">
        <f t="shared" si="3"/>
        <v>Pailin Wedel</v>
      </c>
      <c r="X3164" s="5">
        <f t="shared" si="4"/>
        <v>1</v>
      </c>
      <c r="Y3164" s="5" t="str">
        <f>IFERROR(__xludf.DUMMYFUNCTION("REGEXEXTRACT(J3164, ""^\d+"")"),"92")</f>
        <v>92</v>
      </c>
      <c r="Z3164" s="5" t="str">
        <f>IFERROR(__xludf.DUMMYFUNCTION("REGEXEXTRACT(J3164, ""[A-Za-z ]+$"")")," min")</f>
        <v> min</v>
      </c>
      <c r="AA3164" s="5" t="str">
        <f>IFERROR(__xludf.DUMMYFUNCTION("IF(REGEXMATCH(Z3164, ""Season""), ""TV Show"", ""Movie"")"),"Movie")</f>
        <v>Movie</v>
      </c>
    </row>
    <row r="3165">
      <c r="A3165" s="1" t="s">
        <v>17513</v>
      </c>
      <c r="B3165" s="1" t="s">
        <v>27</v>
      </c>
      <c r="C3165" s="1" t="s">
        <v>17514</v>
      </c>
      <c r="D3165" s="1" t="s">
        <v>17515</v>
      </c>
      <c r="E3165" s="1" t="s">
        <v>17516</v>
      </c>
      <c r="F3165" s="1" t="s">
        <v>63</v>
      </c>
      <c r="G3165" s="1" t="s">
        <v>17517</v>
      </c>
      <c r="H3165" s="1">
        <v>2019.0</v>
      </c>
      <c r="I3165" s="1" t="s">
        <v>97</v>
      </c>
      <c r="J3165" s="1" t="s">
        <v>15335</v>
      </c>
      <c r="K3165" s="1" t="s">
        <v>1066</v>
      </c>
      <c r="L3165" s="1" t="s">
        <v>17518</v>
      </c>
      <c r="M3165" s="2" t="s">
        <v>12</v>
      </c>
      <c r="N3165" s="4">
        <f t="shared" si="1"/>
        <v>43807</v>
      </c>
      <c r="O3165" s="5" t="str">
        <f>IFERROR(__xludf.DUMMYFUNCTION("IF(REGEXMATCH(TRIM(I3165), ""^\d+\s*min""), ""Unclassified"", IF(I3165 = """", ""NR"", I3165))"),"TV-14")</f>
        <v>TV-14</v>
      </c>
      <c r="R3165" s="5" t="str">
        <f t="shared" si="2"/>
        <v>Saaho</v>
      </c>
      <c r="S3165" s="5" t="str">
        <f>IFERROR(__xludf.DUMMYFUNCTION("""COMPUTED_VALUE"""),"Hospital")</f>
        <v>Hospital</v>
      </c>
      <c r="U3165" s="5" t="str">
        <f>IFERROR(__xludf.DUMMYFUNCTION("""COMPUTED_VALUE"""),"Raja Menon")</f>
        <v>Raja Menon</v>
      </c>
      <c r="V3165" s="5" t="s">
        <v>17519</v>
      </c>
      <c r="W3165" s="5" t="str">
        <f t="shared" si="3"/>
        <v>Pali Yahya</v>
      </c>
      <c r="X3165" s="5">
        <f t="shared" si="4"/>
        <v>1</v>
      </c>
      <c r="Y3165" s="5" t="str">
        <f>IFERROR(__xludf.DUMMYFUNCTION("REGEXEXTRACT(J3165, ""^\d+"")"),"172")</f>
        <v>172</v>
      </c>
      <c r="Z3165" s="5" t="str">
        <f>IFERROR(__xludf.DUMMYFUNCTION("REGEXEXTRACT(J3165, ""[A-Za-z ]+$"")")," min")</f>
        <v> min</v>
      </c>
      <c r="AA3165" s="5" t="str">
        <f>IFERROR(__xludf.DUMMYFUNCTION("IF(REGEXMATCH(Z3165, ""Season""), ""TV Show"", ""Movie"")"),"Movie")</f>
        <v>Movie</v>
      </c>
    </row>
    <row r="3166">
      <c r="A3166" s="1" t="s">
        <v>17520</v>
      </c>
      <c r="B3166" s="1" t="s">
        <v>27</v>
      </c>
      <c r="C3166" s="1" t="s">
        <v>17521</v>
      </c>
      <c r="D3166" s="1" t="s">
        <v>1238</v>
      </c>
      <c r="E3166" s="1" t="s">
        <v>17522</v>
      </c>
      <c r="F3166" s="1" t="s">
        <v>1992</v>
      </c>
      <c r="G3166" s="1" t="s">
        <v>17523</v>
      </c>
      <c r="H3166" s="1">
        <v>2019.0</v>
      </c>
      <c r="I3166" s="1" t="s">
        <v>32</v>
      </c>
      <c r="J3166" s="1" t="s">
        <v>247</v>
      </c>
      <c r="K3166" s="1" t="s">
        <v>3585</v>
      </c>
      <c r="L3166" s="1" t="s">
        <v>17524</v>
      </c>
      <c r="M3166" s="2" t="s">
        <v>12</v>
      </c>
      <c r="N3166" s="4">
        <f t="shared" si="1"/>
        <v>43806</v>
      </c>
      <c r="O3166" s="5" t="str">
        <f>IFERROR(__xludf.DUMMYFUNCTION("IF(REGEXMATCH(TRIM(I3166), ""^\d+\s*min""), ""Unclassified"", IF(I3166 = """", ""NR"", I3166))"),"PG-13")</f>
        <v>PG-13</v>
      </c>
      <c r="R3166" s="5" t="str">
        <f t="shared" si="2"/>
        <v>Nothing To Lose 2</v>
      </c>
      <c r="S3166" s="5" t="str">
        <f>IFERROR(__xludf.DUMMYFUNCTION("""COMPUTED_VALUE"""),"Hospital Playlist")</f>
        <v>Hospital Playlist</v>
      </c>
      <c r="U3166" s="5" t="str">
        <f>IFERROR(__xludf.DUMMYFUNCTION("""COMPUTED_VALUE"""),"Matthew Salleh")</f>
        <v>Matthew Salleh</v>
      </c>
      <c r="V3166" s="5" t="s">
        <v>17525</v>
      </c>
      <c r="W3166" s="5" t="str">
        <f t="shared" si="3"/>
        <v>Pamela Romanowsky</v>
      </c>
      <c r="X3166" s="5">
        <f t="shared" si="4"/>
        <v>1</v>
      </c>
      <c r="Y3166" s="5" t="str">
        <f>IFERROR(__xludf.DUMMYFUNCTION("REGEXEXTRACT(J3166, ""^\d+"")"),"97")</f>
        <v>97</v>
      </c>
      <c r="Z3166" s="5" t="str">
        <f>IFERROR(__xludf.DUMMYFUNCTION("REGEXEXTRACT(J3166, ""[A-Za-z ]+$"")")," min")</f>
        <v> min</v>
      </c>
      <c r="AA3166" s="5" t="str">
        <f>IFERROR(__xludf.DUMMYFUNCTION("IF(REGEXMATCH(Z3166, ""Season""), ""TV Show"", ""Movie"")"),"Movie")</f>
        <v>Movie</v>
      </c>
    </row>
    <row r="3167">
      <c r="A3167" s="1" t="s">
        <v>17526</v>
      </c>
      <c r="B3167" s="1" t="s">
        <v>37</v>
      </c>
      <c r="C3167" s="1" t="s">
        <v>17527</v>
      </c>
      <c r="E3167" s="1" t="s">
        <v>17528</v>
      </c>
      <c r="F3167" s="1" t="s">
        <v>30</v>
      </c>
      <c r="G3167" s="1" t="s">
        <v>17529</v>
      </c>
      <c r="H3167" s="1">
        <v>2019.0</v>
      </c>
      <c r="I3167" s="1" t="s">
        <v>42</v>
      </c>
      <c r="J3167" s="1" t="s">
        <v>51</v>
      </c>
      <c r="K3167" s="1" t="s">
        <v>270</v>
      </c>
      <c r="L3167" s="1" t="s">
        <v>17530</v>
      </c>
      <c r="M3167" s="2" t="s">
        <v>12</v>
      </c>
      <c r="N3167" s="4">
        <f t="shared" si="1"/>
        <v>43805</v>
      </c>
      <c r="O3167" s="5" t="str">
        <f>IFERROR(__xludf.DUMMYFUNCTION("IF(REGEXMATCH(TRIM(I3167), ""^\d+\s*min""), ""Unclassified"", IF(I3167 = """", ""NR"", I3167))"),"TV-MA")</f>
        <v>TV-MA</v>
      </c>
      <c r="R3167" s="5" t="str">
        <f t="shared" si="2"/>
        <v>Astronomy Club: The Sketch Show</v>
      </c>
      <c r="S3167" s="5" t="str">
        <f>IFERROR(__xludf.DUMMYFUNCTION("""COMPUTED_VALUE"""),"Hostage House")</f>
        <v>Hostage House</v>
      </c>
      <c r="U3167" s="5" t="str">
        <f>IFERROR(__xludf.DUMMYFUNCTION("""COMPUTED_VALUE"""),"Adam Wood")</f>
        <v>Adam Wood</v>
      </c>
      <c r="V3167" s="5" t="s">
        <v>17531</v>
      </c>
      <c r="W3167" s="5" t="str">
        <f t="shared" si="3"/>
        <v>Pan Nalin</v>
      </c>
      <c r="X3167" s="5">
        <f t="shared" si="4"/>
        <v>1</v>
      </c>
      <c r="Y3167" s="5" t="str">
        <f>IFERROR(__xludf.DUMMYFUNCTION("REGEXEXTRACT(J3167, ""^\d+"")"),"1")</f>
        <v>1</v>
      </c>
      <c r="Z3167" s="5" t="str">
        <f>IFERROR(__xludf.DUMMYFUNCTION("REGEXEXTRACT(J3167, ""[A-Za-z ]+$"")")," Season")</f>
        <v> Season</v>
      </c>
      <c r="AA3167" s="5" t="str">
        <f>IFERROR(__xludf.DUMMYFUNCTION("IF(REGEXMATCH(Z3167, ""Season""), ""TV Show"", ""Movie"")"),"TV Show")</f>
        <v>TV Show</v>
      </c>
    </row>
    <row r="3168">
      <c r="A3168" s="1" t="s">
        <v>17532</v>
      </c>
      <c r="B3168" s="1" t="s">
        <v>27</v>
      </c>
      <c r="C3168" s="1" t="s">
        <v>17533</v>
      </c>
      <c r="D3168" s="1" t="s">
        <v>6577</v>
      </c>
      <c r="E3168" s="1" t="s">
        <v>17534</v>
      </c>
      <c r="F3168" s="1" t="s">
        <v>400</v>
      </c>
      <c r="G3168" s="1" t="s">
        <v>17529</v>
      </c>
      <c r="H3168" s="1">
        <v>2017.0</v>
      </c>
      <c r="I3168" s="1" t="s">
        <v>97</v>
      </c>
      <c r="J3168" s="1" t="s">
        <v>912</v>
      </c>
      <c r="K3168" s="1" t="s">
        <v>199</v>
      </c>
      <c r="L3168" s="1" t="s">
        <v>17535</v>
      </c>
      <c r="M3168" s="2" t="s">
        <v>12</v>
      </c>
      <c r="N3168" s="4">
        <f t="shared" si="1"/>
        <v>43805</v>
      </c>
      <c r="O3168" s="5" t="str">
        <f>IFERROR(__xludf.DUMMYFUNCTION("IF(REGEXMATCH(TRIM(I3168), ""^\d+\s*min""), ""Unclassified"", IF(I3168 = """", ""NR"", I3168))"),"TV-14")</f>
        <v>TV-14</v>
      </c>
      <c r="R3168" s="5" t="str">
        <f t="shared" si="2"/>
        <v>Banana Island Ghost</v>
      </c>
      <c r="S3168" s="5" t="str">
        <f>IFERROR(__xludf.DUMMYFUNCTION("""COMPUTED_VALUE"""),"Hostage To The Devil")</f>
        <v>Hostage To The Devil</v>
      </c>
      <c r="U3168" s="5" t="str">
        <f>IFERROR(__xludf.DUMMYFUNCTION("""COMPUTED_VALUE"""),"Zeke Norton")</f>
        <v>Zeke Norton</v>
      </c>
      <c r="V3168" s="5" t="s">
        <v>17536</v>
      </c>
      <c r="W3168" s="5" t="str">
        <f t="shared" si="3"/>
        <v>Pang Ho-Cheung</v>
      </c>
      <c r="X3168" s="5">
        <f t="shared" si="4"/>
        <v>3</v>
      </c>
      <c r="Y3168" s="5" t="str">
        <f>IFERROR(__xludf.DUMMYFUNCTION("REGEXEXTRACT(J3168, ""^\d+"")"),"108")</f>
        <v>108</v>
      </c>
      <c r="Z3168" s="5" t="str">
        <f>IFERROR(__xludf.DUMMYFUNCTION("REGEXEXTRACT(J3168, ""[A-Za-z ]+$"")")," min")</f>
        <v> min</v>
      </c>
      <c r="AA3168" s="5" t="str">
        <f>IFERROR(__xludf.DUMMYFUNCTION("IF(REGEXMATCH(Z3168, ""Season""), ""TV Show"", ""Movie"")"),"Movie")</f>
        <v>Movie</v>
      </c>
    </row>
    <row r="3169">
      <c r="A3169" s="1" t="s">
        <v>17537</v>
      </c>
      <c r="B3169" s="1" t="s">
        <v>27</v>
      </c>
      <c r="C3169" s="1" t="s">
        <v>17538</v>
      </c>
      <c r="D3169" s="1" t="s">
        <v>12338</v>
      </c>
      <c r="E3169" s="1" t="s">
        <v>17539</v>
      </c>
      <c r="G3169" s="1" t="s">
        <v>17529</v>
      </c>
      <c r="H3169" s="1">
        <v>2017.0</v>
      </c>
      <c r="I3169" s="1" t="s">
        <v>97</v>
      </c>
      <c r="J3169" s="1" t="s">
        <v>1256</v>
      </c>
      <c r="K3169" s="1" t="s">
        <v>128</v>
      </c>
      <c r="L3169" s="1" t="s">
        <v>17540</v>
      </c>
      <c r="M3169" s="2" t="s">
        <v>12</v>
      </c>
      <c r="N3169" s="4">
        <f t="shared" si="1"/>
        <v>43805</v>
      </c>
      <c r="O3169" s="5" t="str">
        <f>IFERROR(__xludf.DUMMYFUNCTION("IF(REGEXMATCH(TRIM(I3169), ""^\d+\s*min""), ""Unclassified"", IF(I3169 = """", ""NR"", I3169))"),"TV-14")</f>
        <v>TV-14</v>
      </c>
      <c r="R3169" s="5" t="str">
        <f t="shared" si="2"/>
        <v>Celebrity Marriage</v>
      </c>
      <c r="S3169" s="5" t="str">
        <f>IFERROR(__xludf.DUMMYFUNCTION("""COMPUTED_VALUE"""),"Hostages")</f>
        <v>Hostages</v>
      </c>
      <c r="U3169" s="5" t="str">
        <f>IFERROR(__xludf.DUMMYFUNCTION("""COMPUTED_VALUE"""),"Andrew Tan, Michael Goguen")</f>
        <v>Andrew Tan, Michael Goguen</v>
      </c>
      <c r="V3169" s="5" t="s">
        <v>17541</v>
      </c>
      <c r="W3169" s="5" t="str">
        <f t="shared" si="3"/>
        <v>Pankaj Batra</v>
      </c>
      <c r="X3169" s="5">
        <f t="shared" si="4"/>
        <v>3</v>
      </c>
      <c r="Y3169" s="5" t="str">
        <f>IFERROR(__xludf.DUMMYFUNCTION("REGEXEXTRACT(J3169, ""^\d+"")"),"107")</f>
        <v>107</v>
      </c>
      <c r="Z3169" s="5" t="str">
        <f>IFERROR(__xludf.DUMMYFUNCTION("REGEXEXTRACT(J3169, ""[A-Za-z ]+$"")")," min")</f>
        <v> min</v>
      </c>
      <c r="AA3169" s="5" t="str">
        <f>IFERROR(__xludf.DUMMYFUNCTION("IF(REGEXMATCH(Z3169, ""Season""), ""TV Show"", ""Movie"")"),"Movie")</f>
        <v>Movie</v>
      </c>
    </row>
    <row r="3170">
      <c r="A3170" s="1" t="s">
        <v>17542</v>
      </c>
      <c r="B3170" s="1" t="s">
        <v>37</v>
      </c>
      <c r="C3170" s="1" t="s">
        <v>17543</v>
      </c>
      <c r="E3170" s="1" t="s">
        <v>17544</v>
      </c>
      <c r="F3170" s="1" t="s">
        <v>30</v>
      </c>
      <c r="G3170" s="1" t="s">
        <v>17529</v>
      </c>
      <c r="H3170" s="1">
        <v>2020.0</v>
      </c>
      <c r="I3170" s="1" t="s">
        <v>136</v>
      </c>
      <c r="J3170" s="1" t="s">
        <v>189</v>
      </c>
      <c r="K3170" s="1" t="s">
        <v>270</v>
      </c>
      <c r="L3170" s="1" t="s">
        <v>17545</v>
      </c>
      <c r="M3170" s="2" t="s">
        <v>12</v>
      </c>
      <c r="N3170" s="4">
        <f t="shared" si="1"/>
        <v>43805</v>
      </c>
      <c r="O3170" s="5" t="str">
        <f>IFERROR(__xludf.DUMMYFUNCTION("IF(REGEXMATCH(TRIM(I3170), ""^\d+\s*min""), ""Unclassified"", IF(I3170 = """", ""NR"", I3170))"),"TV-PG")</f>
        <v>TV-PG</v>
      </c>
      <c r="R3170" s="5" t="str">
        <f t="shared" si="2"/>
        <v>Fuller House</v>
      </c>
      <c r="S3170" s="5" t="str">
        <f>IFERROR(__xludf.DUMMYFUNCTION("""COMPUTED_VALUE"""),"Hostel: Part Iii")</f>
        <v>Hostel: Part Iii</v>
      </c>
      <c r="U3170" s="5" t="str">
        <f>IFERROR(__xludf.DUMMYFUNCTION("""COMPUTED_VALUE"""),"William Lau")</f>
        <v>William Lau</v>
      </c>
      <c r="V3170" s="5" t="s">
        <v>16293</v>
      </c>
      <c r="W3170" s="5" t="str">
        <f t="shared" si="3"/>
        <v>Pantham Thongsang, Cheewatan Pusitsuksa</v>
      </c>
      <c r="X3170" s="5">
        <f t="shared" si="4"/>
        <v>1</v>
      </c>
      <c r="Y3170" s="5" t="str">
        <f>IFERROR(__xludf.DUMMYFUNCTION("REGEXEXTRACT(J3170, ""^\d+"")"),"5")</f>
        <v>5</v>
      </c>
      <c r="Z3170" s="5" t="str">
        <f>IFERROR(__xludf.DUMMYFUNCTION("REGEXEXTRACT(J3170, ""[A-Za-z ]+$"")")," Seasons")</f>
        <v> Seasons</v>
      </c>
      <c r="AA3170" s="5" t="str">
        <f>IFERROR(__xludf.DUMMYFUNCTION("IF(REGEXMATCH(Z3170, ""Season""), ""TV Show"", ""Movie"")"),"TV Show")</f>
        <v>TV Show</v>
      </c>
    </row>
    <row r="3171">
      <c r="A3171" s="1" t="s">
        <v>17546</v>
      </c>
      <c r="B3171" s="1" t="s">
        <v>27</v>
      </c>
      <c r="C3171" s="1" t="s">
        <v>17547</v>
      </c>
      <c r="D3171" s="1" t="s">
        <v>16989</v>
      </c>
      <c r="E3171" s="1" t="s">
        <v>17548</v>
      </c>
      <c r="F3171" s="1" t="s">
        <v>686</v>
      </c>
      <c r="G3171" s="1" t="s">
        <v>17529</v>
      </c>
      <c r="H3171" s="1">
        <v>2019.0</v>
      </c>
      <c r="I3171" s="1" t="s">
        <v>378</v>
      </c>
      <c r="J3171" s="1" t="s">
        <v>4242</v>
      </c>
      <c r="K3171" s="1" t="s">
        <v>805</v>
      </c>
      <c r="L3171" s="1" t="s">
        <v>17549</v>
      </c>
      <c r="M3171" s="2" t="s">
        <v>12</v>
      </c>
      <c r="N3171" s="4">
        <f t="shared" si="1"/>
        <v>43805</v>
      </c>
      <c r="O3171" s="5" t="str">
        <f>IFERROR(__xludf.DUMMYFUNCTION("IF(REGEXMATCH(TRIM(I3171), ""^\d+\s*min""), ""Unclassified"", IF(I3171 = """", ""NR"", I3171))"),"R")</f>
        <v>R</v>
      </c>
      <c r="R3171" s="5" t="str">
        <f t="shared" si="2"/>
        <v>Marriage Story</v>
      </c>
      <c r="S3171" s="5" t="str">
        <f>IFERROR(__xludf.DUMMYFUNCTION("""COMPUTED_VALUE"""),"Hostiles")</f>
        <v>Hostiles</v>
      </c>
      <c r="U3171" s="5" t="str">
        <f>IFERROR(__xludf.DUMMYFUNCTION("""COMPUTED_VALUE"""),"Ezekiel Norton")</f>
        <v>Ezekiel Norton</v>
      </c>
      <c r="V3171" s="5" t="s">
        <v>17550</v>
      </c>
      <c r="W3171" s="5" t="str">
        <f t="shared" si="3"/>
        <v>Param Gill</v>
      </c>
      <c r="X3171" s="5">
        <f t="shared" si="4"/>
        <v>1</v>
      </c>
      <c r="Y3171" s="5" t="str">
        <f>IFERROR(__xludf.DUMMYFUNCTION("REGEXEXTRACT(J3171, ""^\d+"")"),"137")</f>
        <v>137</v>
      </c>
      <c r="Z3171" s="5" t="str">
        <f>IFERROR(__xludf.DUMMYFUNCTION("REGEXEXTRACT(J3171, ""[A-Za-z ]+$"")")," min")</f>
        <v> min</v>
      </c>
      <c r="AA3171" s="5" t="str">
        <f>IFERROR(__xludf.DUMMYFUNCTION("IF(REGEXMATCH(Z3171, ""Season""), ""TV Show"", ""Movie"")"),"Movie")</f>
        <v>Movie</v>
      </c>
    </row>
    <row r="3172">
      <c r="A3172" s="1" t="s">
        <v>17551</v>
      </c>
      <c r="B3172" s="1" t="s">
        <v>27</v>
      </c>
      <c r="C3172" s="1" t="s">
        <v>17552</v>
      </c>
      <c r="D3172" s="1" t="s">
        <v>2717</v>
      </c>
      <c r="E3172" s="1" t="s">
        <v>17553</v>
      </c>
      <c r="F3172" s="1" t="s">
        <v>415</v>
      </c>
      <c r="G3172" s="1" t="s">
        <v>17529</v>
      </c>
      <c r="H3172" s="1">
        <v>2017.0</v>
      </c>
      <c r="I3172" s="1" t="s">
        <v>42</v>
      </c>
      <c r="J3172" s="1" t="s">
        <v>256</v>
      </c>
      <c r="K3172" s="1" t="s">
        <v>417</v>
      </c>
      <c r="L3172" s="1" t="s">
        <v>17554</v>
      </c>
      <c r="M3172" s="2" t="s">
        <v>12</v>
      </c>
      <c r="N3172" s="4">
        <f t="shared" si="1"/>
        <v>43805</v>
      </c>
      <c r="O3172" s="5" t="str">
        <f>IFERROR(__xludf.DUMMYFUNCTION("IF(REGEXMATCH(TRIM(I3172), ""^\d+\s*min""), ""Unclassified"", IF(I3172 = """", ""NR"", I3172))"),"TV-MA")</f>
        <v>TV-MA</v>
      </c>
      <c r="R3172" s="5" t="str">
        <f t="shared" si="2"/>
        <v>No Game No Life: Zero</v>
      </c>
      <c r="S3172" s="5" t="str">
        <f>IFERROR(__xludf.DUMMYFUNCTION("""COMPUTED_VALUE"""),"Hot Bot")</f>
        <v>Hot Bot</v>
      </c>
      <c r="U3172" s="5" t="str">
        <f>IFERROR(__xludf.DUMMYFUNCTION("""COMPUTED_VALUE"""),"Conrad Helten, Ezekiel Norton, Michael Goguen")</f>
        <v>Conrad Helten, Ezekiel Norton, Michael Goguen</v>
      </c>
      <c r="V3172" s="5" t="s">
        <v>17555</v>
      </c>
      <c r="W3172" s="5" t="str">
        <f t="shared" si="3"/>
        <v>Parambrata Chatterjee</v>
      </c>
      <c r="X3172" s="5">
        <f t="shared" si="4"/>
        <v>2</v>
      </c>
      <c r="Y3172" s="5" t="str">
        <f>IFERROR(__xludf.DUMMYFUNCTION("REGEXEXTRACT(J3172, ""^\d+"")"),"106")</f>
        <v>106</v>
      </c>
      <c r="Z3172" s="5" t="str">
        <f>IFERROR(__xludf.DUMMYFUNCTION("REGEXEXTRACT(J3172, ""[A-Za-z ]+$"")")," min")</f>
        <v> min</v>
      </c>
      <c r="AA3172" s="5" t="str">
        <f>IFERROR(__xludf.DUMMYFUNCTION("IF(REGEXMATCH(Z3172, ""Season""), ""TV Show"", ""Movie"")"),"Movie")</f>
        <v>Movie</v>
      </c>
    </row>
    <row r="3173">
      <c r="A3173" s="1" t="s">
        <v>17556</v>
      </c>
      <c r="B3173" s="1" t="s">
        <v>27</v>
      </c>
      <c r="C3173" s="1" t="s">
        <v>17557</v>
      </c>
      <c r="D3173" s="1" t="s">
        <v>7123</v>
      </c>
      <c r="E3173" s="1" t="s">
        <v>17558</v>
      </c>
      <c r="F3173" s="1" t="s">
        <v>400</v>
      </c>
      <c r="G3173" s="1" t="s">
        <v>17529</v>
      </c>
      <c r="H3173" s="1">
        <v>2017.0</v>
      </c>
      <c r="I3173" s="1" t="s">
        <v>42</v>
      </c>
      <c r="J3173" s="1" t="s">
        <v>379</v>
      </c>
      <c r="K3173" s="1" t="s">
        <v>128</v>
      </c>
      <c r="L3173" s="1" t="s">
        <v>17559</v>
      </c>
      <c r="M3173" s="2" t="s">
        <v>12</v>
      </c>
      <c r="N3173" s="4">
        <f t="shared" si="1"/>
        <v>43805</v>
      </c>
      <c r="O3173" s="5" t="str">
        <f>IFERROR(__xludf.DUMMYFUNCTION("IF(REGEXMATCH(TRIM(I3173), ""^\d+\s*min""), ""Unclassified"", IF(I3173 = """", ""NR"", I3173))"),"TV-MA")</f>
        <v>TV-MA</v>
      </c>
      <c r="R3173" s="5" t="str">
        <f t="shared" si="2"/>
        <v>Slow Country</v>
      </c>
      <c r="S3173" s="5" t="str">
        <f>IFERROR(__xludf.DUMMYFUNCTION("""COMPUTED_VALUE"""),"Hot Date")</f>
        <v>Hot Date</v>
      </c>
      <c r="U3173" s="5" t="str">
        <f>IFERROR(__xludf.DUMMYFUNCTION("""COMPUTED_VALUE"""),"Kyle Newman")</f>
        <v>Kyle Newman</v>
      </c>
      <c r="V3173" s="5" t="s">
        <v>17560</v>
      </c>
      <c r="W3173" s="5" t="str">
        <f t="shared" si="3"/>
        <v>Paresh Mokashi</v>
      </c>
      <c r="X3173" s="5">
        <f t="shared" si="4"/>
        <v>1</v>
      </c>
      <c r="Y3173" s="5" t="str">
        <f>IFERROR(__xludf.DUMMYFUNCTION("REGEXEXTRACT(J3173, ""^\d+"")"),"115")</f>
        <v>115</v>
      </c>
      <c r="Z3173" s="5" t="str">
        <f>IFERROR(__xludf.DUMMYFUNCTION("REGEXEXTRACT(J3173, ""[A-Za-z ]+$"")")," min")</f>
        <v> min</v>
      </c>
      <c r="AA3173" s="5" t="str">
        <f>IFERROR(__xludf.DUMMYFUNCTION("IF(REGEXMATCH(Z3173, ""Season""), ""TV Show"", ""Movie"")"),"Movie")</f>
        <v>Movie</v>
      </c>
    </row>
    <row r="3174">
      <c r="A3174" s="1" t="s">
        <v>17561</v>
      </c>
      <c r="B3174" s="1" t="s">
        <v>27</v>
      </c>
      <c r="C3174" s="1" t="s">
        <v>17562</v>
      </c>
      <c r="E3174" s="1" t="s">
        <v>17563</v>
      </c>
      <c r="F3174" s="1" t="s">
        <v>30</v>
      </c>
      <c r="G3174" s="1" t="s">
        <v>17529</v>
      </c>
      <c r="H3174" s="1">
        <v>2019.0</v>
      </c>
      <c r="I3174" s="1" t="s">
        <v>289</v>
      </c>
      <c r="J3174" s="1" t="s">
        <v>3060</v>
      </c>
      <c r="K3174" s="1" t="s">
        <v>80</v>
      </c>
      <c r="L3174" s="1" t="s">
        <v>17564</v>
      </c>
      <c r="M3174" s="2" t="s">
        <v>12</v>
      </c>
      <c r="N3174" s="4">
        <f t="shared" si="1"/>
        <v>43805</v>
      </c>
      <c r="O3174" s="5" t="str">
        <f>IFERROR(__xludf.DUMMYFUNCTION("IF(REGEXMATCH(TRIM(I3174), ""^\d+\s*min""), ""Unclassified"", IF(I3174 = """", ""NR"", I3174))"),"TV-Y7")</f>
        <v>TV-Y7</v>
      </c>
      <c r="R3174" s="5" t="str">
        <f t="shared" si="2"/>
        <v>Spirit Riding Free: Spirit Of Christmas</v>
      </c>
      <c r="S3174" s="5" t="str">
        <f>IFERROR(__xludf.DUMMYFUNCTION("""COMPUTED_VALUE"""),"Hot Gimmick: Girl Meets Boy")</f>
        <v>Hot Gimmick: Girl Meets Boy</v>
      </c>
      <c r="U3174" s="5" t="str">
        <f>IFERROR(__xludf.DUMMYFUNCTION("""COMPUTED_VALUE"""),"Esteban Vidal")</f>
        <v>Esteban Vidal</v>
      </c>
      <c r="V3174" s="5" t="s">
        <v>17565</v>
      </c>
      <c r="W3174" s="5" t="str">
        <f t="shared" si="3"/>
        <v>Paritosh Painter</v>
      </c>
      <c r="X3174" s="5">
        <f t="shared" si="4"/>
        <v>1</v>
      </c>
      <c r="Y3174" s="5" t="str">
        <f>IFERROR(__xludf.DUMMYFUNCTION("REGEXEXTRACT(J3174, ""^\d+"")"),"46")</f>
        <v>46</v>
      </c>
      <c r="Z3174" s="5" t="str">
        <f>IFERROR(__xludf.DUMMYFUNCTION("REGEXEXTRACT(J3174, ""[A-Za-z ]+$"")")," min")</f>
        <v> min</v>
      </c>
      <c r="AA3174" s="5" t="str">
        <f>IFERROR(__xludf.DUMMYFUNCTION("IF(REGEXMATCH(Z3174, ""Season""), ""TV Show"", ""Movie"")"),"Movie")</f>
        <v>Movie</v>
      </c>
    </row>
    <row r="3175">
      <c r="A3175" s="1" t="s">
        <v>17566</v>
      </c>
      <c r="B3175" s="1" t="s">
        <v>37</v>
      </c>
      <c r="C3175" s="1" t="s">
        <v>17567</v>
      </c>
      <c r="E3175" s="1" t="s">
        <v>17568</v>
      </c>
      <c r="F3175" s="1" t="s">
        <v>415</v>
      </c>
      <c r="G3175" s="1" t="s">
        <v>17529</v>
      </c>
      <c r="H3175" s="1">
        <v>2019.0</v>
      </c>
      <c r="I3175" s="1" t="s">
        <v>136</v>
      </c>
      <c r="J3175" s="1" t="s">
        <v>51</v>
      </c>
      <c r="K3175" s="1" t="s">
        <v>1756</v>
      </c>
      <c r="L3175" s="1" t="s">
        <v>17569</v>
      </c>
      <c r="M3175" s="2" t="s">
        <v>12</v>
      </c>
      <c r="N3175" s="4">
        <f t="shared" si="1"/>
        <v>43805</v>
      </c>
      <c r="O3175" s="5" t="str">
        <f>IFERROR(__xludf.DUMMYFUNCTION("IF(REGEXMATCH(TRIM(I3175), ""^\d+\s*min""), ""Unclassified"", IF(I3175 = """", ""NR"", I3175))"),"TV-PG")</f>
        <v>TV-PG</v>
      </c>
      <c r="R3175" s="5" t="str">
        <f t="shared" si="2"/>
        <v>Teasing Master Takagi-San</v>
      </c>
      <c r="S3175" s="5" t="str">
        <f>IFERROR(__xludf.DUMMYFUNCTION("""COMPUTED_VALUE"""),"Hot Girls Wanted")</f>
        <v>Hot Girls Wanted</v>
      </c>
      <c r="U3175" s="5" t="str">
        <f>IFERROR(__xludf.DUMMYFUNCTION("""COMPUTED_VALUE"""),"Dava Whisenant")</f>
        <v>Dava Whisenant</v>
      </c>
      <c r="V3175" s="5" t="s">
        <v>17570</v>
      </c>
      <c r="W3175" s="5" t="str">
        <f t="shared" si="3"/>
        <v>Park Hoon-Jung</v>
      </c>
      <c r="X3175" s="5">
        <f t="shared" si="4"/>
        <v>2</v>
      </c>
      <c r="Y3175" s="5" t="str">
        <f>IFERROR(__xludf.DUMMYFUNCTION("REGEXEXTRACT(J3175, ""^\d+"")"),"1")</f>
        <v>1</v>
      </c>
      <c r="Z3175" s="5" t="str">
        <f>IFERROR(__xludf.DUMMYFUNCTION("REGEXEXTRACT(J3175, ""[A-Za-z ]+$"")")," Season")</f>
        <v> Season</v>
      </c>
      <c r="AA3175" s="5" t="str">
        <f>IFERROR(__xludf.DUMMYFUNCTION("IF(REGEXMATCH(Z3175, ""Season""), ""TV Show"", ""Movie"")"),"TV Show")</f>
        <v>TV Show</v>
      </c>
    </row>
    <row r="3176">
      <c r="A3176" s="1" t="s">
        <v>17571</v>
      </c>
      <c r="B3176" s="1" t="s">
        <v>37</v>
      </c>
      <c r="C3176" s="1" t="s">
        <v>17572</v>
      </c>
      <c r="D3176" s="1" t="s">
        <v>15893</v>
      </c>
      <c r="E3176" s="1" t="s">
        <v>17573</v>
      </c>
      <c r="F3176" s="1" t="s">
        <v>1992</v>
      </c>
      <c r="G3176" s="1" t="s">
        <v>17529</v>
      </c>
      <c r="H3176" s="1">
        <v>2019.0</v>
      </c>
      <c r="I3176" s="1" t="s">
        <v>42</v>
      </c>
      <c r="J3176" s="1" t="s">
        <v>43</v>
      </c>
      <c r="K3176" s="1" t="s">
        <v>44</v>
      </c>
      <c r="L3176" s="1" t="s">
        <v>17574</v>
      </c>
      <c r="M3176" s="2" t="s">
        <v>12</v>
      </c>
      <c r="N3176" s="4">
        <f t="shared" si="1"/>
        <v>43805</v>
      </c>
      <c r="O3176" s="5" t="str">
        <f>IFERROR(__xludf.DUMMYFUNCTION("IF(REGEXMATCH(TRIM(I3176), ""^\d+\s*min""), ""Unclassified"", IF(I3176 = """", ""NR"", I3176))"),"TV-MA")</f>
        <v>TV-MA</v>
      </c>
      <c r="R3176" s="5" t="str">
        <f t="shared" si="2"/>
        <v>The Chosen One</v>
      </c>
      <c r="S3176" s="5" t="str">
        <f>IFERROR(__xludf.DUMMYFUNCTION("""COMPUTED_VALUE"""),"Hot Girls Wanted: Turned On")</f>
        <v>Hot Girls Wanted: Turned On</v>
      </c>
      <c r="U3176" s="5" t="str">
        <f>IFERROR(__xludf.DUMMYFUNCTION("""COMPUTED_VALUE"""),"Hrishikesh Mukherjee")</f>
        <v>Hrishikesh Mukherjee</v>
      </c>
      <c r="V3176" s="5" t="s">
        <v>17575</v>
      </c>
      <c r="W3176" s="5" t="str">
        <f t="shared" si="3"/>
        <v>Park In-Je</v>
      </c>
      <c r="X3176" s="5">
        <f t="shared" si="4"/>
        <v>1</v>
      </c>
      <c r="Y3176" s="5" t="str">
        <f>IFERROR(__xludf.DUMMYFUNCTION("REGEXEXTRACT(J3176, ""^\d+"")"),"2")</f>
        <v>2</v>
      </c>
      <c r="Z3176" s="5" t="str">
        <f>IFERROR(__xludf.DUMMYFUNCTION("REGEXEXTRACT(J3176, ""[A-Za-z ]+$"")")," Seasons")</f>
        <v> Seasons</v>
      </c>
      <c r="AA3176" s="5" t="str">
        <f>IFERROR(__xludf.DUMMYFUNCTION("IF(REGEXMATCH(Z3176, ""Season""), ""TV Show"", ""Movie"")"),"TV Show")</f>
        <v>TV Show</v>
      </c>
    </row>
    <row r="3177">
      <c r="A3177" s="1" t="s">
        <v>17576</v>
      </c>
      <c r="B3177" s="1" t="s">
        <v>37</v>
      </c>
      <c r="C3177" s="1" t="s">
        <v>17577</v>
      </c>
      <c r="D3177" s="1" t="s">
        <v>17578</v>
      </c>
      <c r="F3177" s="1" t="s">
        <v>30</v>
      </c>
      <c r="G3177" s="1" t="s">
        <v>17529</v>
      </c>
      <c r="H3177" s="1">
        <v>2019.0</v>
      </c>
      <c r="I3177" s="1" t="s">
        <v>97</v>
      </c>
      <c r="J3177" s="1" t="s">
        <v>51</v>
      </c>
      <c r="K3177" s="1" t="s">
        <v>2043</v>
      </c>
      <c r="L3177" s="1" t="s">
        <v>17579</v>
      </c>
      <c r="M3177" s="2" t="s">
        <v>12</v>
      </c>
      <c r="N3177" s="4">
        <f t="shared" si="1"/>
        <v>43805</v>
      </c>
      <c r="O3177" s="5" t="str">
        <f>IFERROR(__xludf.DUMMYFUNCTION("IF(REGEXMATCH(TRIM(I3177), ""^\d+\s*min""), ""Unclassified"", IF(I3177 = """", ""NR"", I3177))"),"TV-14")</f>
        <v>TV-14</v>
      </c>
      <c r="R3177" s="5" t="str">
        <f t="shared" si="2"/>
        <v>The Confession Killer</v>
      </c>
      <c r="S3177" s="5" t="str">
        <f>IFERROR(__xludf.DUMMYFUNCTION("""COMPUTED_VALUE"""),"Hot Property")</f>
        <v>Hot Property</v>
      </c>
      <c r="U3177" s="5" t="str">
        <f>IFERROR(__xludf.DUMMYFUNCTION("""COMPUTED_VALUE"""),"Sagar Sarhadi")</f>
        <v>Sagar Sarhadi</v>
      </c>
      <c r="V3177" s="5" t="s">
        <v>17580</v>
      </c>
      <c r="W3177" s="5" t="str">
        <f t="shared" si="3"/>
        <v>Park Joon-Hwa</v>
      </c>
      <c r="X3177" s="5">
        <f t="shared" si="4"/>
        <v>1</v>
      </c>
      <c r="Y3177" s="5" t="str">
        <f>IFERROR(__xludf.DUMMYFUNCTION("REGEXEXTRACT(J3177, ""^\d+"")"),"1")</f>
        <v>1</v>
      </c>
      <c r="Z3177" s="5" t="str">
        <f>IFERROR(__xludf.DUMMYFUNCTION("REGEXEXTRACT(J3177, ""[A-Za-z ]+$"")")," Season")</f>
        <v> Season</v>
      </c>
      <c r="AA3177" s="5" t="str">
        <f>IFERROR(__xludf.DUMMYFUNCTION("IF(REGEXMATCH(Z3177, ""Season""), ""TV Show"", ""Movie"")"),"TV Show")</f>
        <v>TV Show</v>
      </c>
    </row>
    <row r="3178">
      <c r="A3178" s="1" t="s">
        <v>17581</v>
      </c>
      <c r="B3178" s="1" t="s">
        <v>37</v>
      </c>
      <c r="C3178" s="1" t="s">
        <v>17582</v>
      </c>
      <c r="E3178" s="1" t="s">
        <v>17583</v>
      </c>
      <c r="F3178" s="1" t="s">
        <v>784</v>
      </c>
      <c r="G3178" s="1" t="s">
        <v>17529</v>
      </c>
      <c r="H3178" s="1">
        <v>2019.0</v>
      </c>
      <c r="I3178" s="1" t="s">
        <v>42</v>
      </c>
      <c r="J3178" s="1" t="s">
        <v>51</v>
      </c>
      <c r="K3178" s="1" t="s">
        <v>1339</v>
      </c>
      <c r="L3178" s="1" t="s">
        <v>17584</v>
      </c>
      <c r="M3178" s="2" t="s">
        <v>12</v>
      </c>
      <c r="N3178" s="4">
        <f t="shared" si="1"/>
        <v>43805</v>
      </c>
      <c r="O3178" s="5" t="str">
        <f>IFERROR(__xludf.DUMMYFUNCTION("IF(REGEXMATCH(TRIM(I3178), ""^\d+\s*min""), ""Unclassified"", IF(I3178 = """", ""NR"", I3178))"),"TV-MA")</f>
        <v>TV-MA</v>
      </c>
      <c r="R3178" s="5" t="str">
        <f t="shared" si="2"/>
        <v>Three Days Of Christmas</v>
      </c>
      <c r="S3178" s="5" t="str">
        <f>IFERROR(__xludf.DUMMYFUNCTION("""COMPUTED_VALUE"""),"Hot Rod")</f>
        <v>Hot Rod</v>
      </c>
      <c r="U3178" s="5" t="str">
        <f>IFERROR(__xludf.DUMMYFUNCTION("""COMPUTED_VALUE"""),"Lilibet Foster")</f>
        <v>Lilibet Foster</v>
      </c>
      <c r="V3178" s="5" t="s">
        <v>17585</v>
      </c>
      <c r="W3178" s="5" t="str">
        <f t="shared" si="3"/>
        <v>Partha Chakraborty</v>
      </c>
      <c r="X3178" s="5">
        <f t="shared" si="4"/>
        <v>1</v>
      </c>
      <c r="Y3178" s="5" t="str">
        <f>IFERROR(__xludf.DUMMYFUNCTION("REGEXEXTRACT(J3178, ""^\d+"")"),"1")</f>
        <v>1</v>
      </c>
      <c r="Z3178" s="5" t="str">
        <f>IFERROR(__xludf.DUMMYFUNCTION("REGEXEXTRACT(J3178, ""[A-Za-z ]+$"")")," Season")</f>
        <v> Season</v>
      </c>
      <c r="AA3178" s="5" t="str">
        <f>IFERROR(__xludf.DUMMYFUNCTION("IF(REGEXMATCH(Z3178, ""Season""), ""TV Show"", ""Movie"")"),"TV Show")</f>
        <v>TV Show</v>
      </c>
    </row>
    <row r="3179">
      <c r="A3179" s="1" t="s">
        <v>17586</v>
      </c>
      <c r="B3179" s="1" t="s">
        <v>37</v>
      </c>
      <c r="C3179" s="1" t="s">
        <v>17587</v>
      </c>
      <c r="E3179" s="1" t="s">
        <v>17588</v>
      </c>
      <c r="G3179" s="1" t="s">
        <v>17529</v>
      </c>
      <c r="H3179" s="1">
        <v>2019.0</v>
      </c>
      <c r="I3179" s="1" t="s">
        <v>42</v>
      </c>
      <c r="J3179" s="1" t="s">
        <v>51</v>
      </c>
      <c r="K3179" s="1" t="s">
        <v>2768</v>
      </c>
      <c r="L3179" s="1" t="s">
        <v>17589</v>
      </c>
      <c r="M3179" s="2" t="s">
        <v>12</v>
      </c>
      <c r="N3179" s="4">
        <f t="shared" si="1"/>
        <v>43805</v>
      </c>
      <c r="O3179" s="5" t="str">
        <f>IFERROR(__xludf.DUMMYFUNCTION("IF(REGEXMATCH(TRIM(I3179), ""^\d+\s*min""), ""Unclassified"", IF(I3179 = """", ""NR"", I3179))"),"TV-MA")</f>
        <v>TV-MA</v>
      </c>
      <c r="R3179" s="5" t="str">
        <f t="shared" si="2"/>
        <v>Triad Princess</v>
      </c>
      <c r="S3179" s="5" t="str">
        <f>IFERROR(__xludf.DUMMYFUNCTION("""COMPUTED_VALUE"""),"Hot Sweet Sour")</f>
        <v>Hot Sweet Sour</v>
      </c>
      <c r="U3179" s="5" t="str">
        <f>IFERROR(__xludf.DUMMYFUNCTION("""COMPUTED_VALUE"""),"Joshua Caldwell")</f>
        <v>Joshua Caldwell</v>
      </c>
      <c r="V3179" s="5" t="s">
        <v>17590</v>
      </c>
      <c r="W3179" s="5" t="str">
        <f t="shared" si="3"/>
        <v>Parthiban</v>
      </c>
      <c r="X3179" s="5">
        <f t="shared" si="4"/>
        <v>1</v>
      </c>
      <c r="Y3179" s="5" t="str">
        <f>IFERROR(__xludf.DUMMYFUNCTION("REGEXEXTRACT(J3179, ""^\d+"")"),"1")</f>
        <v>1</v>
      </c>
      <c r="Z3179" s="5" t="str">
        <f>IFERROR(__xludf.DUMMYFUNCTION("REGEXEXTRACT(J3179, ""[A-Za-z ]+$"")")," Season")</f>
        <v> Season</v>
      </c>
      <c r="AA3179" s="5" t="str">
        <f>IFERROR(__xludf.DUMMYFUNCTION("IF(REGEXMATCH(Z3179, ""Season""), ""TV Show"", ""Movie"")"),"TV Show")</f>
        <v>TV Show</v>
      </c>
    </row>
    <row r="3180">
      <c r="A3180" s="1" t="s">
        <v>17591</v>
      </c>
      <c r="B3180" s="1" t="s">
        <v>27</v>
      </c>
      <c r="C3180" s="1" t="s">
        <v>17592</v>
      </c>
      <c r="D3180" s="1" t="s">
        <v>14643</v>
      </c>
      <c r="E3180" s="1" t="s">
        <v>17593</v>
      </c>
      <c r="F3180" s="1" t="s">
        <v>400</v>
      </c>
      <c r="G3180" s="1" t="s">
        <v>17529</v>
      </c>
      <c r="H3180" s="1">
        <v>2016.0</v>
      </c>
      <c r="I3180" s="1" t="s">
        <v>97</v>
      </c>
      <c r="J3180" s="1" t="s">
        <v>665</v>
      </c>
      <c r="K3180" s="1" t="s">
        <v>583</v>
      </c>
      <c r="L3180" s="1" t="s">
        <v>17594</v>
      </c>
      <c r="M3180" s="2" t="s">
        <v>12</v>
      </c>
      <c r="N3180" s="4">
        <f t="shared" si="1"/>
        <v>43805</v>
      </c>
      <c r="O3180" s="5" t="str">
        <f>IFERROR(__xludf.DUMMYFUNCTION("IF(REGEXMATCH(TRIM(I3180), ""^\d+\s*min""), ""Unclassified"", IF(I3180 = """", ""NR"", I3180))"),"TV-14")</f>
        <v>TV-14</v>
      </c>
      <c r="R3180" s="5" t="str">
        <f t="shared" si="2"/>
        <v>Wives On Strike</v>
      </c>
      <c r="S3180" s="5" t="str">
        <f>IFERROR(__xludf.DUMMYFUNCTION("""COMPUTED_VALUE"""),"Hotel Beau Séjour")</f>
        <v>Hotel Beau Séjour</v>
      </c>
      <c r="U3180" s="5" t="str">
        <f>IFERROR(__xludf.DUMMYFUNCTION("""COMPUTED_VALUE"""),"Volker Arzt, Angelika Sigl")</f>
        <v>Volker Arzt, Angelika Sigl</v>
      </c>
      <c r="V3180" s="5" t="s">
        <v>17595</v>
      </c>
      <c r="W3180" s="5" t="str">
        <f t="shared" si="3"/>
        <v>Partho Ghosh</v>
      </c>
      <c r="X3180" s="5">
        <f t="shared" si="4"/>
        <v>1</v>
      </c>
      <c r="Y3180" s="5" t="str">
        <f>IFERROR(__xludf.DUMMYFUNCTION("REGEXEXTRACT(J3180, ""^\d+"")"),"92")</f>
        <v>92</v>
      </c>
      <c r="Z3180" s="5" t="str">
        <f>IFERROR(__xludf.DUMMYFUNCTION("REGEXEXTRACT(J3180, ""[A-Za-z ]+$"")")," min")</f>
        <v> min</v>
      </c>
      <c r="AA3180" s="5" t="str">
        <f>IFERROR(__xludf.DUMMYFUNCTION("IF(REGEXMATCH(Z3180, ""Season""), ""TV Show"", ""Movie"")"),"Movie")</f>
        <v>Movie</v>
      </c>
    </row>
    <row r="3181">
      <c r="A3181" s="1" t="s">
        <v>17596</v>
      </c>
      <c r="B3181" s="1" t="s">
        <v>27</v>
      </c>
      <c r="C3181" s="1" t="s">
        <v>17597</v>
      </c>
      <c r="D3181" s="1" t="s">
        <v>14643</v>
      </c>
      <c r="E3181" s="1" t="s">
        <v>17598</v>
      </c>
      <c r="F3181" s="1" t="s">
        <v>13184</v>
      </c>
      <c r="G3181" s="1" t="s">
        <v>17529</v>
      </c>
      <c r="H3181" s="1">
        <v>2017.0</v>
      </c>
      <c r="I3181" s="1" t="s">
        <v>136</v>
      </c>
      <c r="J3181" s="1" t="s">
        <v>454</v>
      </c>
      <c r="K3181" s="1" t="s">
        <v>583</v>
      </c>
      <c r="L3181" s="1" t="s">
        <v>17599</v>
      </c>
      <c r="M3181" s="2" t="s">
        <v>12</v>
      </c>
      <c r="N3181" s="4">
        <f t="shared" si="1"/>
        <v>43805</v>
      </c>
      <c r="O3181" s="5" t="str">
        <f>IFERROR(__xludf.DUMMYFUNCTION("IF(REGEXMATCH(TRIM(I3181), ""^\d+\s*min""), ""Unclassified"", IF(I3181 = """", ""NR"", I3181))"),"TV-PG")</f>
        <v>TV-PG</v>
      </c>
      <c r="R3181" s="5" t="str">
        <f t="shared" si="2"/>
        <v>Wives On Strike: The Revolution</v>
      </c>
      <c r="S3181" s="5" t="str">
        <f>IFERROR(__xludf.DUMMYFUNCTION("""COMPUTED_VALUE"""),"Hotel Del Luna")</f>
        <v>Hotel Del Luna</v>
      </c>
      <c r="U3181" s="5" t="str">
        <f>IFERROR(__xludf.DUMMYFUNCTION("""COMPUTED_VALUE"""),"Mel Smith")</f>
        <v>Mel Smith</v>
      </c>
      <c r="V3181" s="5" t="s">
        <v>1367</v>
      </c>
      <c r="W3181" s="5" t="str">
        <f t="shared" si="3"/>
        <v>Partho Mitra</v>
      </c>
      <c r="X3181" s="5">
        <f t="shared" si="4"/>
        <v>1</v>
      </c>
      <c r="Y3181" s="5" t="str">
        <f>IFERROR(__xludf.DUMMYFUNCTION("REGEXEXTRACT(J3181, ""^\d+"")"),"93")</f>
        <v>93</v>
      </c>
      <c r="Z3181" s="5" t="str">
        <f>IFERROR(__xludf.DUMMYFUNCTION("REGEXEXTRACT(J3181, ""[A-Za-z ]+$"")")," min")</f>
        <v> min</v>
      </c>
      <c r="AA3181" s="5" t="str">
        <f>IFERROR(__xludf.DUMMYFUNCTION("IF(REGEXMATCH(Z3181, ""Season""), ""TV Show"", ""Movie"")"),"Movie")</f>
        <v>Movie</v>
      </c>
    </row>
    <row r="3182">
      <c r="A3182" s="1" t="s">
        <v>17600</v>
      </c>
      <c r="B3182" s="1" t="s">
        <v>27</v>
      </c>
      <c r="C3182" s="1" t="s">
        <v>17601</v>
      </c>
      <c r="D3182" s="1" t="s">
        <v>11450</v>
      </c>
      <c r="E3182" s="1" t="s">
        <v>17602</v>
      </c>
      <c r="F3182" s="1" t="s">
        <v>30</v>
      </c>
      <c r="G3182" s="1" t="s">
        <v>17603</v>
      </c>
      <c r="H3182" s="1">
        <v>2019.0</v>
      </c>
      <c r="I3182" s="1" t="s">
        <v>136</v>
      </c>
      <c r="J3182" s="1" t="s">
        <v>471</v>
      </c>
      <c r="K3182" s="1" t="s">
        <v>14468</v>
      </c>
      <c r="L3182" s="1" t="s">
        <v>17604</v>
      </c>
      <c r="M3182" s="2" t="s">
        <v>12</v>
      </c>
      <c r="N3182" s="4">
        <f t="shared" si="1"/>
        <v>43804</v>
      </c>
      <c r="O3182" s="5" t="str">
        <f>IFERROR(__xludf.DUMMYFUNCTION("IF(REGEXMATCH(TRIM(I3182), ""^\d+\s*min""), ""Unclassified"", IF(I3182 = """", ""NR"", I3182))"),"TV-PG")</f>
        <v>TV-PG</v>
      </c>
      <c r="R3182" s="5" t="str">
        <f t="shared" si="2"/>
        <v>A Christmas Prince: The Royal Baby</v>
      </c>
      <c r="S3182" s="5" t="str">
        <f>IFERROR(__xludf.DUMMYFUNCTION("""COMPUTED_VALUE"""),"Hotel For Dogs")</f>
        <v>Hotel For Dogs</v>
      </c>
      <c r="U3182" s="5" t="str">
        <f>IFERROR(__xludf.DUMMYFUNCTION("""COMPUTED_VALUE"""),"Mike Judge")</f>
        <v>Mike Judge</v>
      </c>
      <c r="V3182" s="5" t="s">
        <v>17605</v>
      </c>
      <c r="W3182" s="5" t="str">
        <f t="shared" si="3"/>
        <v>Partho Sen-Gupta</v>
      </c>
      <c r="X3182" s="5">
        <f t="shared" si="4"/>
        <v>1</v>
      </c>
      <c r="Y3182" s="5" t="str">
        <f>IFERROR(__xludf.DUMMYFUNCTION("REGEXEXTRACT(J3182, ""^\d+"")"),"85")</f>
        <v>85</v>
      </c>
      <c r="Z3182" s="5" t="str">
        <f>IFERROR(__xludf.DUMMYFUNCTION("REGEXEXTRACT(J3182, ""[A-Za-z ]+$"")")," min")</f>
        <v> min</v>
      </c>
      <c r="AA3182" s="5" t="str">
        <f>IFERROR(__xludf.DUMMYFUNCTION("IF(REGEXMATCH(Z3182, ""Season""), ""TV Show"", ""Movie"")"),"Movie")</f>
        <v>Movie</v>
      </c>
    </row>
    <row r="3183">
      <c r="A3183" s="1" t="s">
        <v>17606</v>
      </c>
      <c r="B3183" s="1" t="s">
        <v>27</v>
      </c>
      <c r="C3183" s="1" t="s">
        <v>17607</v>
      </c>
      <c r="E3183" s="1" t="s">
        <v>17608</v>
      </c>
      <c r="F3183" s="1" t="s">
        <v>30</v>
      </c>
      <c r="G3183" s="1" t="s">
        <v>17603</v>
      </c>
      <c r="H3183" s="1">
        <v>2019.0</v>
      </c>
      <c r="I3183" s="1" t="s">
        <v>42</v>
      </c>
      <c r="J3183" s="1" t="s">
        <v>7058</v>
      </c>
      <c r="K3183" s="1" t="s">
        <v>34</v>
      </c>
      <c r="L3183" s="1" t="s">
        <v>17609</v>
      </c>
      <c r="M3183" s="2" t="s">
        <v>12</v>
      </c>
      <c r="N3183" s="4">
        <f t="shared" si="1"/>
        <v>43804</v>
      </c>
      <c r="O3183" s="5" t="str">
        <f>IFERROR(__xludf.DUMMYFUNCTION("IF(REGEXMATCH(TRIM(I3183), ""^\d+\s*min""), ""Unclassified"", IF(I3183 = """", ""NR"", I3183))"),"TV-MA")</f>
        <v>TV-MA</v>
      </c>
      <c r="R3183" s="5" t="str">
        <f t="shared" si="2"/>
        <v>The Irishman: In Conversation</v>
      </c>
      <c r="S3183" s="5" t="str">
        <f>IFERROR(__xludf.DUMMYFUNCTION("""COMPUTED_VALUE"""),"Hotel Pacific")</f>
        <v>Hotel Pacific</v>
      </c>
      <c r="U3183" s="5" t="str">
        <f>IFERROR(__xludf.DUMMYFUNCTION("""COMPUTED_VALUE"""),"Bruce W. Smith")</f>
        <v>Bruce W. Smith</v>
      </c>
      <c r="V3183" s="5" t="s">
        <v>17610</v>
      </c>
      <c r="W3183" s="5" t="str">
        <f t="shared" si="3"/>
        <v>Parveen Kumar</v>
      </c>
      <c r="X3183" s="5">
        <f t="shared" si="4"/>
        <v>1</v>
      </c>
      <c r="Y3183" s="5" t="str">
        <f>IFERROR(__xludf.DUMMYFUNCTION("REGEXEXTRACT(J3183, ""^\d+"")"),"24")</f>
        <v>24</v>
      </c>
      <c r="Z3183" s="5" t="str">
        <f>IFERROR(__xludf.DUMMYFUNCTION("REGEXEXTRACT(J3183, ""[A-Za-z ]+$"")")," min")</f>
        <v> min</v>
      </c>
      <c r="AA3183" s="5" t="str">
        <f>IFERROR(__xludf.DUMMYFUNCTION("IF(REGEXMATCH(Z3183, ""Season""), ""TV Show"", ""Movie"")"),"Movie")</f>
        <v>Movie</v>
      </c>
    </row>
    <row r="3184">
      <c r="A3184" s="1" t="s">
        <v>17611</v>
      </c>
      <c r="B3184" s="1" t="s">
        <v>37</v>
      </c>
      <c r="C3184" s="1" t="s">
        <v>17612</v>
      </c>
      <c r="E3184" s="1" t="s">
        <v>17613</v>
      </c>
      <c r="F3184" s="1" t="s">
        <v>30</v>
      </c>
      <c r="G3184" s="1" t="s">
        <v>17603</v>
      </c>
      <c r="H3184" s="1">
        <v>2019.0</v>
      </c>
      <c r="I3184" s="1" t="s">
        <v>42</v>
      </c>
      <c r="J3184" s="1" t="s">
        <v>51</v>
      </c>
      <c r="K3184" s="1" t="s">
        <v>4276</v>
      </c>
      <c r="L3184" s="1" t="s">
        <v>17614</v>
      </c>
      <c r="M3184" s="2" t="s">
        <v>12</v>
      </c>
      <c r="N3184" s="4">
        <f t="shared" si="1"/>
        <v>43804</v>
      </c>
      <c r="O3184" s="5" t="str">
        <f>IFERROR(__xludf.DUMMYFUNCTION("IF(REGEXMATCH(TRIM(I3184), ""^\d+\s*min""), ""Unclassified"", IF(I3184 = """", ""NR"", I3184))"),"TV-MA")</f>
        <v>TV-MA</v>
      </c>
      <c r="R3184" s="5" t="str">
        <f t="shared" si="2"/>
        <v>V Wars</v>
      </c>
      <c r="S3184" s="5" t="str">
        <f>IFERROR(__xludf.DUMMYFUNCTION("""COMPUTED_VALUE"""),"Hotel Transylvania")</f>
        <v>Hotel Transylvania</v>
      </c>
      <c r="U3184" s="5" t="str">
        <f>IFERROR(__xludf.DUMMYFUNCTION("""COMPUTED_VALUE"""),"Agasyah Karim, Khalid Kashogi")</f>
        <v>Agasyah Karim, Khalid Kashogi</v>
      </c>
      <c r="V3184" s="5" t="s">
        <v>12338</v>
      </c>
      <c r="W3184" s="5" t="str">
        <f t="shared" si="3"/>
        <v>Pascal Amanfo</v>
      </c>
      <c r="X3184" s="5">
        <f t="shared" si="4"/>
        <v>2</v>
      </c>
      <c r="Y3184" s="5" t="str">
        <f>IFERROR(__xludf.DUMMYFUNCTION("REGEXEXTRACT(J3184, ""^\d+"")"),"1")</f>
        <v>1</v>
      </c>
      <c r="Z3184" s="5" t="str">
        <f>IFERROR(__xludf.DUMMYFUNCTION("REGEXEXTRACT(J3184, ""[A-Za-z ]+$"")")," Season")</f>
        <v> Season</v>
      </c>
      <c r="AA3184" s="5" t="str">
        <f>IFERROR(__xludf.DUMMYFUNCTION("IF(REGEXMATCH(Z3184, ""Season""), ""TV Show"", ""Movie"")"),"TV Show")</f>
        <v>TV Show</v>
      </c>
    </row>
    <row r="3185">
      <c r="A3185" s="1" t="s">
        <v>17615</v>
      </c>
      <c r="B3185" s="1" t="s">
        <v>37</v>
      </c>
      <c r="C3185" s="1" t="s">
        <v>17616</v>
      </c>
      <c r="E3185" s="1" t="s">
        <v>17617</v>
      </c>
      <c r="F3185" s="1" t="s">
        <v>30</v>
      </c>
      <c r="G3185" s="1" t="s">
        <v>17618</v>
      </c>
      <c r="H3185" s="1">
        <v>2019.0</v>
      </c>
      <c r="I3185" s="1" t="s">
        <v>42</v>
      </c>
      <c r="J3185" s="1" t="s">
        <v>43</v>
      </c>
      <c r="K3185" s="1" t="s">
        <v>270</v>
      </c>
      <c r="L3185" s="1" t="s">
        <v>17619</v>
      </c>
      <c r="M3185" s="2" t="s">
        <v>12</v>
      </c>
      <c r="N3185" s="4">
        <f t="shared" si="1"/>
        <v>43803</v>
      </c>
      <c r="O3185" s="5" t="str">
        <f>IFERROR(__xludf.DUMMYFUNCTION("IF(REGEXMATCH(TRIM(I3185), ""^\d+\s*min""), ""Unclassified"", IF(I3185 = """", ""NR"", I3185))"),"TV-MA")</f>
        <v>TV-MA</v>
      </c>
      <c r="R3185" s="5" t="str">
        <f t="shared" si="2"/>
        <v>The Last O.G.</v>
      </c>
      <c r="S3185" s="5" t="str">
        <f>IFERROR(__xludf.DUMMYFUNCTION("""COMPUTED_VALUE"""),"Hotel Transylvania 3: Summer Vacation")</f>
        <v>Hotel Transylvania 3: Summer Vacation</v>
      </c>
      <c r="U3185" s="5" t="str">
        <f>IFERROR(__xludf.DUMMYFUNCTION("""COMPUTED_VALUE"""),"Julian Jarrold")</f>
        <v>Julian Jarrold</v>
      </c>
      <c r="V3185" s="5" t="s">
        <v>3139</v>
      </c>
      <c r="W3185" s="5" t="str">
        <f t="shared" si="3"/>
        <v>Pascal Atuma</v>
      </c>
      <c r="X3185" s="5">
        <f t="shared" si="4"/>
        <v>1</v>
      </c>
      <c r="Y3185" s="5" t="str">
        <f>IFERROR(__xludf.DUMMYFUNCTION("REGEXEXTRACT(J3185, ""^\d+"")"),"2")</f>
        <v>2</v>
      </c>
      <c r="Z3185" s="5" t="str">
        <f>IFERROR(__xludf.DUMMYFUNCTION("REGEXEXTRACT(J3185, ""[A-Za-z ]+$"")")," Seasons")</f>
        <v> Seasons</v>
      </c>
      <c r="AA3185" s="5" t="str">
        <f>IFERROR(__xludf.DUMMYFUNCTION("IF(REGEXMATCH(Z3185, ""Season""), ""TV Show"", ""Movie"")"),"TV Show")</f>
        <v>TV Show</v>
      </c>
    </row>
    <row r="3186">
      <c r="A3186" s="1" t="s">
        <v>17620</v>
      </c>
      <c r="B3186" s="1" t="s">
        <v>37</v>
      </c>
      <c r="C3186" s="1" t="s">
        <v>17621</v>
      </c>
      <c r="E3186" s="1" t="s">
        <v>17622</v>
      </c>
      <c r="F3186" s="1" t="s">
        <v>3892</v>
      </c>
      <c r="G3186" s="1" t="s">
        <v>17618</v>
      </c>
      <c r="H3186" s="1">
        <v>2019.0</v>
      </c>
      <c r="I3186" s="1" t="s">
        <v>136</v>
      </c>
      <c r="J3186" s="1" t="s">
        <v>51</v>
      </c>
      <c r="K3186" s="1" t="s">
        <v>1830</v>
      </c>
      <c r="L3186" s="1" t="s">
        <v>17623</v>
      </c>
      <c r="M3186" s="2" t="s">
        <v>12</v>
      </c>
      <c r="N3186" s="4">
        <f t="shared" si="1"/>
        <v>43803</v>
      </c>
      <c r="O3186" s="5" t="str">
        <f>IFERROR(__xludf.DUMMYFUNCTION("IF(REGEXMATCH(TRIM(I3186), ""^\d+\s*min""), ""Unclassified"", IF(I3186 = """", ""NR"", I3186))"),"TV-PG")</f>
        <v>TV-PG</v>
      </c>
      <c r="R3186" s="5" t="str">
        <f t="shared" si="2"/>
        <v>The Prince Of Tennis ~ Match! Tennis Juniors ~</v>
      </c>
      <c r="S3186" s="5" t="str">
        <f>IFERROR(__xludf.DUMMYFUNCTION("""COMPUTED_VALUE"""),"House Arrest")</f>
        <v>House Arrest</v>
      </c>
      <c r="U3186" s="5" t="str">
        <f>IFERROR(__xludf.DUMMYFUNCTION("""COMPUTED_VALUE"""),"Fisher Stevens")</f>
        <v>Fisher Stevens</v>
      </c>
      <c r="V3186" s="5" t="s">
        <v>17624</v>
      </c>
      <c r="W3186" s="5" t="str">
        <f t="shared" si="3"/>
        <v>Pascal Blanchard, Sonia Dauger, David Dietz</v>
      </c>
      <c r="X3186" s="5">
        <f t="shared" si="4"/>
        <v>1</v>
      </c>
      <c r="Y3186" s="5" t="str">
        <f>IFERROR(__xludf.DUMMYFUNCTION("REGEXEXTRACT(J3186, ""^\d+"")"),"1")</f>
        <v>1</v>
      </c>
      <c r="Z3186" s="5" t="str">
        <f>IFERROR(__xludf.DUMMYFUNCTION("REGEXEXTRACT(J3186, ""[A-Za-z ]+$"")")," Season")</f>
        <v> Season</v>
      </c>
      <c r="AA3186" s="5" t="str">
        <f>IFERROR(__xludf.DUMMYFUNCTION("IF(REGEXMATCH(Z3186, ""Season""), ""TV Show"", ""Movie"")"),"TV Show")</f>
        <v>TV Show</v>
      </c>
    </row>
    <row r="3187">
      <c r="A3187" s="1" t="s">
        <v>17625</v>
      </c>
      <c r="B3187" s="1" t="s">
        <v>37</v>
      </c>
      <c r="C3187" s="1" t="s">
        <v>17626</v>
      </c>
      <c r="E3187" s="1" t="s">
        <v>17627</v>
      </c>
      <c r="F3187" s="1" t="s">
        <v>1837</v>
      </c>
      <c r="G3187" s="1" t="s">
        <v>17618</v>
      </c>
      <c r="H3187" s="1">
        <v>2019.0</v>
      </c>
      <c r="I3187" s="1" t="s">
        <v>97</v>
      </c>
      <c r="J3187" s="1" t="s">
        <v>51</v>
      </c>
      <c r="K3187" s="1" t="s">
        <v>1822</v>
      </c>
      <c r="L3187" s="1" t="s">
        <v>17628</v>
      </c>
      <c r="M3187" s="2" t="s">
        <v>12</v>
      </c>
      <c r="N3187" s="4">
        <f t="shared" si="1"/>
        <v>43803</v>
      </c>
      <c r="O3187" s="5" t="str">
        <f>IFERROR(__xludf.DUMMYFUNCTION("IF(REGEXMATCH(TRIM(I3187), ""^\d+\s*min""), ""Unclassified"", IF(I3187 = """", ""NR"", I3187))"),"TV-14")</f>
        <v>TV-14</v>
      </c>
      <c r="R3187" s="5" t="str">
        <f t="shared" si="2"/>
        <v>The Road To Love</v>
      </c>
      <c r="S3187" s="5" t="str">
        <f>IFERROR(__xludf.DUMMYFUNCTION("""COMPUTED_VALUE"""),"House At The End Of The Street")</f>
        <v>House At The End Of The Street</v>
      </c>
      <c r="U3187" s="5" t="str">
        <f>IFERROR(__xludf.DUMMYFUNCTION("""COMPUTED_VALUE"""),"Keiko Yagi")</f>
        <v>Keiko Yagi</v>
      </c>
      <c r="V3187" s="5" t="s">
        <v>17629</v>
      </c>
      <c r="W3187" s="5" t="str">
        <f t="shared" si="3"/>
        <v>Pascale Lamche</v>
      </c>
      <c r="X3187" s="5">
        <f t="shared" si="4"/>
        <v>1</v>
      </c>
      <c r="Y3187" s="5" t="str">
        <f>IFERROR(__xludf.DUMMYFUNCTION("REGEXEXTRACT(J3187, ""^\d+"")"),"1")</f>
        <v>1</v>
      </c>
      <c r="Z3187" s="5" t="str">
        <f>IFERROR(__xludf.DUMMYFUNCTION("REGEXEXTRACT(J3187, ""[A-Za-z ]+$"")")," Season")</f>
        <v> Season</v>
      </c>
      <c r="AA3187" s="5" t="str">
        <f>IFERROR(__xludf.DUMMYFUNCTION("IF(REGEXMATCH(Z3187, ""Season""), ""TV Show"", ""Movie"")"),"TV Show")</f>
        <v>TV Show</v>
      </c>
    </row>
    <row r="3188">
      <c r="A3188" s="1" t="s">
        <v>17630</v>
      </c>
      <c r="B3188" s="1" t="s">
        <v>27</v>
      </c>
      <c r="C3188" s="1" t="s">
        <v>17631</v>
      </c>
      <c r="D3188" s="1" t="s">
        <v>13815</v>
      </c>
      <c r="E3188" s="1" t="s">
        <v>15137</v>
      </c>
      <c r="F3188" s="1" t="s">
        <v>30</v>
      </c>
      <c r="G3188" s="1" t="s">
        <v>17632</v>
      </c>
      <c r="H3188" s="1">
        <v>2019.0</v>
      </c>
      <c r="I3188" s="1" t="s">
        <v>42</v>
      </c>
      <c r="J3188" s="1" t="s">
        <v>16845</v>
      </c>
      <c r="K3188" s="1" t="s">
        <v>1839</v>
      </c>
      <c r="L3188" s="1" t="s">
        <v>17633</v>
      </c>
      <c r="M3188" s="2" t="s">
        <v>12</v>
      </c>
      <c r="N3188" s="4">
        <f t="shared" si="1"/>
        <v>43802</v>
      </c>
      <c r="O3188" s="5" t="str">
        <f>IFERROR(__xludf.DUMMYFUNCTION("IF(REGEXMATCH(TRIM(I3188), ""^\d+\s*min""), ""Unclassified"", IF(I3188 = """", ""NR"", I3188))"),"TV-MA")</f>
        <v>TV-MA</v>
      </c>
      <c r="R3188" s="5" t="str">
        <f t="shared" si="2"/>
        <v>Tiffany Haddish: Black Mitzvah</v>
      </c>
      <c r="S3188" s="5" t="str">
        <f>IFERROR(__xludf.DUMMYFUNCTION("""COMPUTED_VALUE"""),"House Of Cards")</f>
        <v>House Of Cards</v>
      </c>
      <c r="U3188" s="5" t="str">
        <f>IFERROR(__xludf.DUMMYFUNCTION("""COMPUTED_VALUE"""),"Katherine Fairfax Wright")</f>
        <v>Katherine Fairfax Wright</v>
      </c>
      <c r="V3188" s="5" t="s">
        <v>6355</v>
      </c>
      <c r="W3188" s="5" t="str">
        <f t="shared" si="3"/>
        <v>Pass Patthanakumjon</v>
      </c>
      <c r="X3188" s="5">
        <f t="shared" si="4"/>
        <v>1</v>
      </c>
      <c r="Y3188" s="5" t="str">
        <f>IFERROR(__xludf.DUMMYFUNCTION("REGEXEXTRACT(J3188, ""^\d+"")"),"56")</f>
        <v>56</v>
      </c>
      <c r="Z3188" s="5" t="str">
        <f>IFERROR(__xludf.DUMMYFUNCTION("REGEXEXTRACT(J3188, ""[A-Za-z ]+$"")")," min")</f>
        <v> min</v>
      </c>
      <c r="AA3188" s="5" t="str">
        <f>IFERROR(__xludf.DUMMYFUNCTION("IF(REGEXMATCH(Z3188, ""Season""), ""TV Show"", ""Movie"")"),"Movie")</f>
        <v>Movie</v>
      </c>
    </row>
    <row r="3189">
      <c r="A3189" s="1" t="s">
        <v>17634</v>
      </c>
      <c r="B3189" s="1" t="s">
        <v>37</v>
      </c>
      <c r="C3189" s="1" t="s">
        <v>17635</v>
      </c>
      <c r="E3189" s="1" t="s">
        <v>17636</v>
      </c>
      <c r="F3189" s="1" t="s">
        <v>30</v>
      </c>
      <c r="G3189" s="1" t="s">
        <v>17637</v>
      </c>
      <c r="H3189" s="1">
        <v>2018.0</v>
      </c>
      <c r="I3189" s="1" t="s">
        <v>42</v>
      </c>
      <c r="J3189" s="1" t="s">
        <v>51</v>
      </c>
      <c r="K3189" s="1" t="s">
        <v>8657</v>
      </c>
      <c r="L3189" s="1" t="s">
        <v>17638</v>
      </c>
      <c r="M3189" s="2" t="s">
        <v>12</v>
      </c>
      <c r="N3189" s="4">
        <f t="shared" si="1"/>
        <v>43801</v>
      </c>
      <c r="O3189" s="5" t="str">
        <f>IFERROR(__xludf.DUMMYFUNCTION("IF(REGEXMATCH(TRIM(I3189), ""^\d+\s*min""), ""Unclassified"", IF(I3189 = """", ""NR"", I3189))"),"TV-MA")</f>
        <v>TV-MA</v>
      </c>
      <c r="R3189" s="5" t="str">
        <f t="shared" si="2"/>
        <v>Nightflyers</v>
      </c>
      <c r="S3189" s="5" t="str">
        <f>IFERROR(__xludf.DUMMYFUNCTION("""COMPUTED_VALUE"""),"House Of The Witch")</f>
        <v>House Of The Witch</v>
      </c>
      <c r="U3189" s="5" t="str">
        <f>IFERROR(__xludf.DUMMYFUNCTION("""COMPUTED_VALUE"""),"Rajeev Chaudhari")</f>
        <v>Rajeev Chaudhari</v>
      </c>
      <c r="V3189" s="5" t="s">
        <v>17639</v>
      </c>
      <c r="W3189" s="5" t="str">
        <f t="shared" si="3"/>
        <v>Pat Healy</v>
      </c>
      <c r="X3189" s="5">
        <f t="shared" si="4"/>
        <v>1</v>
      </c>
      <c r="Y3189" s="5" t="str">
        <f>IFERROR(__xludf.DUMMYFUNCTION("REGEXEXTRACT(J3189, ""^\d+"")"),"1")</f>
        <v>1</v>
      </c>
      <c r="Z3189" s="5" t="str">
        <f>IFERROR(__xludf.DUMMYFUNCTION("REGEXEXTRACT(J3189, ""[A-Za-z ]+$"")")," Season")</f>
        <v> Season</v>
      </c>
      <c r="AA3189" s="5" t="str">
        <f>IFERROR(__xludf.DUMMYFUNCTION("IF(REGEXMATCH(Z3189, ""Season""), ""TV Show"", ""Movie"")"),"TV Show")</f>
        <v>TV Show</v>
      </c>
    </row>
    <row r="3190">
      <c r="A3190" s="1" t="s">
        <v>17640</v>
      </c>
      <c r="B3190" s="1" t="s">
        <v>27</v>
      </c>
      <c r="C3190" s="1" t="s">
        <v>17641</v>
      </c>
      <c r="D3190" s="1" t="s">
        <v>15911</v>
      </c>
      <c r="E3190" s="1" t="s">
        <v>17642</v>
      </c>
      <c r="F3190" s="1" t="s">
        <v>30</v>
      </c>
      <c r="G3190" s="1" t="s">
        <v>17643</v>
      </c>
      <c r="H3190" s="1">
        <v>2019.0</v>
      </c>
      <c r="I3190" s="1" t="s">
        <v>78</v>
      </c>
      <c r="J3190" s="1" t="s">
        <v>1144</v>
      </c>
      <c r="K3190" s="1" t="s">
        <v>1662</v>
      </c>
      <c r="L3190" s="1" t="s">
        <v>17644</v>
      </c>
      <c r="M3190" s="2" t="s">
        <v>12</v>
      </c>
      <c r="N3190" s="4">
        <f t="shared" si="1"/>
        <v>43800</v>
      </c>
      <c r="O3190" s="5" t="str">
        <f>IFERROR(__xludf.DUMMYFUNCTION("IF(REGEXMATCH(TRIM(I3190), ""^\d+\s*min""), ""Unclassified"", IF(I3190 = """", ""NR"", I3190))"),"PG")</f>
        <v>PG</v>
      </c>
      <c r="R3190" s="5" t="str">
        <f t="shared" si="2"/>
        <v>A Cinderella Story: Christmas Wish</v>
      </c>
      <c r="S3190" s="5" t="str">
        <f>IFERROR(__xludf.DUMMYFUNCTION("""COMPUTED_VALUE"""),"House Of Z")</f>
        <v>House Of Z</v>
      </c>
      <c r="U3190" s="5" t="str">
        <f>IFERROR(__xludf.DUMMYFUNCTION("""COMPUTED_VALUE"""),"Anthony Wonke")</f>
        <v>Anthony Wonke</v>
      </c>
      <c r="V3190" s="5" t="s">
        <v>15490</v>
      </c>
      <c r="W3190" s="5" t="str">
        <f t="shared" si="3"/>
        <v>Patrice Laliberté</v>
      </c>
      <c r="X3190" s="5">
        <f t="shared" si="4"/>
        <v>1</v>
      </c>
      <c r="Y3190" s="5" t="str">
        <f>IFERROR(__xludf.DUMMYFUNCTION("REGEXEXTRACT(J3190, ""^\d+"")"),"86")</f>
        <v>86</v>
      </c>
      <c r="Z3190" s="5" t="str">
        <f>IFERROR(__xludf.DUMMYFUNCTION("REGEXEXTRACT(J3190, ""[A-Za-z ]+$"")")," min")</f>
        <v> min</v>
      </c>
      <c r="AA3190" s="5" t="str">
        <f>IFERROR(__xludf.DUMMYFUNCTION("IF(REGEXMATCH(Z3190, ""Season""), ""TV Show"", ""Movie"")"),"Movie")</f>
        <v>Movie</v>
      </c>
    </row>
    <row r="3191">
      <c r="A3191" s="1" t="s">
        <v>17645</v>
      </c>
      <c r="B3191" s="1" t="s">
        <v>27</v>
      </c>
      <c r="C3191" s="1" t="s">
        <v>17646</v>
      </c>
      <c r="D3191" s="1" t="s">
        <v>17647</v>
      </c>
      <c r="E3191" s="1" t="s">
        <v>17648</v>
      </c>
      <c r="F3191" s="1" t="s">
        <v>63</v>
      </c>
      <c r="G3191" s="1" t="s">
        <v>17643</v>
      </c>
      <c r="H3191" s="1">
        <v>2019.0</v>
      </c>
      <c r="I3191" s="1" t="s">
        <v>136</v>
      </c>
      <c r="J3191" s="1" t="s">
        <v>127</v>
      </c>
      <c r="K3191" s="1" t="s">
        <v>215</v>
      </c>
      <c r="L3191" s="1" t="s">
        <v>17649</v>
      </c>
      <c r="M3191" s="2" t="s">
        <v>12</v>
      </c>
      <c r="N3191" s="4">
        <f t="shared" si="1"/>
        <v>43800</v>
      </c>
      <c r="O3191" s="5" t="str">
        <f>IFERROR(__xludf.DUMMYFUNCTION("IF(REGEXMATCH(TRIM(I3191), ""^\d+\s*min""), ""Unclassified"", IF(I3191 = """", ""NR"", I3191))"),"TV-PG")</f>
        <v>TV-PG</v>
      </c>
      <c r="R3191" s="5" t="str">
        <f t="shared" si="2"/>
        <v>Baby Dolls</v>
      </c>
      <c r="S3191" s="5" t="str">
        <f>IFERROR(__xludf.DUMMYFUNCTION("""COMPUTED_VALUE"""),"House Party")</f>
        <v>House Party</v>
      </c>
      <c r="U3191" s="5" t="str">
        <f>IFERROR(__xludf.DUMMYFUNCTION("""COMPUTED_VALUE"""),"April Mullen")</f>
        <v>April Mullen</v>
      </c>
      <c r="V3191" s="5" t="s">
        <v>17650</v>
      </c>
      <c r="W3191" s="5" t="str">
        <f t="shared" si="3"/>
        <v>Patricia Ferreira</v>
      </c>
      <c r="X3191" s="5">
        <f t="shared" si="4"/>
        <v>1</v>
      </c>
      <c r="Y3191" s="5" t="str">
        <f>IFERROR(__xludf.DUMMYFUNCTION("REGEXEXTRACT(J3191, ""^\d+"")"),"127")</f>
        <v>127</v>
      </c>
      <c r="Z3191" s="5" t="str">
        <f>IFERROR(__xludf.DUMMYFUNCTION("REGEXEXTRACT(J3191, ""[A-Za-z ]+$"")")," min")</f>
        <v> min</v>
      </c>
      <c r="AA3191" s="5" t="str">
        <f>IFERROR(__xludf.DUMMYFUNCTION("IF(REGEXMATCH(Z3191, ""Season""), ""TV Show"", ""Movie"")"),"Movie")</f>
        <v>Movie</v>
      </c>
    </row>
    <row r="3192">
      <c r="A3192" s="1" t="s">
        <v>17651</v>
      </c>
      <c r="B3192" s="1" t="s">
        <v>27</v>
      </c>
      <c r="C3192" s="1" t="s">
        <v>17652</v>
      </c>
      <c r="D3192" s="1" t="s">
        <v>15269</v>
      </c>
      <c r="E3192" s="1" t="s">
        <v>17653</v>
      </c>
      <c r="F3192" s="1" t="s">
        <v>30</v>
      </c>
      <c r="G3192" s="1" t="s">
        <v>17643</v>
      </c>
      <c r="H3192" s="1">
        <v>2014.0</v>
      </c>
      <c r="I3192" s="1" t="s">
        <v>378</v>
      </c>
      <c r="J3192" s="1" t="s">
        <v>454</v>
      </c>
      <c r="K3192" s="1" t="s">
        <v>394</v>
      </c>
      <c r="L3192" s="1" t="s">
        <v>17654</v>
      </c>
      <c r="M3192" s="2" t="s">
        <v>12</v>
      </c>
      <c r="N3192" s="4">
        <f t="shared" si="1"/>
        <v>43800</v>
      </c>
      <c r="O3192" s="5" t="str">
        <f>IFERROR(__xludf.DUMMYFUNCTION("IF(REGEXMATCH(TRIM(I3192), ""^\d+\s*min""), ""Unclassified"", IF(I3192 = """", ""NR"", I3192))"),"R")</f>
        <v>R</v>
      </c>
      <c r="R3192" s="5" t="str">
        <f t="shared" si="2"/>
        <v>Cut Bank</v>
      </c>
      <c r="S3192" s="5" t="str">
        <f>IFERROR(__xludf.DUMMYFUNCTION("""COMPUTED_VALUE"""),"House Party 2")</f>
        <v>House Party 2</v>
      </c>
      <c r="U3192" s="5" t="str">
        <f>IFERROR(__xludf.DUMMYFUNCTION("""COMPUTED_VALUE"""),"Adam Marino")</f>
        <v>Adam Marino</v>
      </c>
      <c r="V3192" s="5" t="s">
        <v>17655</v>
      </c>
      <c r="W3192" s="5" t="str">
        <f t="shared" si="3"/>
        <v>Patricia Font</v>
      </c>
      <c r="X3192" s="5">
        <f t="shared" si="4"/>
        <v>1</v>
      </c>
      <c r="Y3192" s="5" t="str">
        <f>IFERROR(__xludf.DUMMYFUNCTION("REGEXEXTRACT(J3192, ""^\d+"")"),"93")</f>
        <v>93</v>
      </c>
      <c r="Z3192" s="5" t="str">
        <f>IFERROR(__xludf.DUMMYFUNCTION("REGEXEXTRACT(J3192, ""[A-Za-z ]+$"")")," min")</f>
        <v> min</v>
      </c>
      <c r="AA3192" s="5" t="str">
        <f>IFERROR(__xludf.DUMMYFUNCTION("IF(REGEXMATCH(Z3192, ""Season""), ""TV Show"", ""Movie"")"),"Movie")</f>
        <v>Movie</v>
      </c>
    </row>
    <row r="3193">
      <c r="A3193" s="1" t="s">
        <v>17656</v>
      </c>
      <c r="B3193" s="1" t="s">
        <v>27</v>
      </c>
      <c r="C3193" s="1" t="s">
        <v>17657</v>
      </c>
      <c r="D3193" s="1" t="s">
        <v>16107</v>
      </c>
      <c r="E3193" s="1" t="s">
        <v>17658</v>
      </c>
      <c r="F3193" s="1" t="s">
        <v>17659</v>
      </c>
      <c r="G3193" s="1" t="s">
        <v>17643</v>
      </c>
      <c r="H3193" s="1">
        <v>2019.0</v>
      </c>
      <c r="I3193" s="1" t="s">
        <v>42</v>
      </c>
      <c r="J3193" s="1" t="s">
        <v>170</v>
      </c>
      <c r="K3193" s="1" t="s">
        <v>298</v>
      </c>
      <c r="L3193" s="1" t="s">
        <v>17660</v>
      </c>
      <c r="M3193" s="2" t="s">
        <v>12</v>
      </c>
      <c r="N3193" s="4">
        <f t="shared" si="1"/>
        <v>43800</v>
      </c>
      <c r="O3193" s="5" t="str">
        <f>IFERROR(__xludf.DUMMYFUNCTION("IF(REGEXMATCH(TRIM(I3193), ""^\d+\s*min""), ""Unclassified"", IF(I3193 = """", ""NR"", I3193))"),"TV-MA")</f>
        <v>TV-MA</v>
      </c>
      <c r="R3193" s="5" t="str">
        <f t="shared" si="2"/>
        <v>Dead Kids</v>
      </c>
      <c r="S3193" s="5" t="str">
        <f>IFERROR(__xludf.DUMMYFUNCTION("""COMPUTED_VALUE"""),"House Party 3")</f>
        <v>House Party 3</v>
      </c>
      <c r="U3193" s="5" t="str">
        <f>IFERROR(__xludf.DUMMYFUNCTION("""COMPUTED_VALUE"""),"Joe Camp")</f>
        <v>Joe Camp</v>
      </c>
      <c r="V3193" s="5" t="s">
        <v>17661</v>
      </c>
      <c r="W3193" s="5" t="str">
        <f t="shared" si="3"/>
        <v>Patricia Rozema</v>
      </c>
      <c r="X3193" s="5">
        <f t="shared" si="4"/>
        <v>2</v>
      </c>
      <c r="Y3193" s="5" t="str">
        <f>IFERROR(__xludf.DUMMYFUNCTION("REGEXEXTRACT(J3193, ""^\d+"")"),"94")</f>
        <v>94</v>
      </c>
      <c r="Z3193" s="5" t="str">
        <f>IFERROR(__xludf.DUMMYFUNCTION("REGEXEXTRACT(J3193, ""[A-Za-z ]+$"")")," min")</f>
        <v> min</v>
      </c>
      <c r="AA3193" s="5" t="str">
        <f>IFERROR(__xludf.DUMMYFUNCTION("IF(REGEXMATCH(Z3193, ""Season""), ""TV Show"", ""Movie"")"),"Movie")</f>
        <v>Movie</v>
      </c>
    </row>
    <row r="3194">
      <c r="A3194" s="1" t="s">
        <v>17662</v>
      </c>
      <c r="B3194" s="1" t="s">
        <v>37</v>
      </c>
      <c r="C3194" s="1" t="s">
        <v>17663</v>
      </c>
      <c r="E3194" s="1" t="s">
        <v>17664</v>
      </c>
      <c r="F3194" s="1" t="s">
        <v>30</v>
      </c>
      <c r="G3194" s="1" t="s">
        <v>17643</v>
      </c>
      <c r="H3194" s="1">
        <v>2018.0</v>
      </c>
      <c r="I3194" s="1" t="s">
        <v>42</v>
      </c>
      <c r="J3194" s="1" t="s">
        <v>148</v>
      </c>
      <c r="K3194" s="1" t="s">
        <v>149</v>
      </c>
      <c r="L3194" s="1" t="s">
        <v>17665</v>
      </c>
      <c r="M3194" s="2" t="s">
        <v>12</v>
      </c>
      <c r="N3194" s="4">
        <f t="shared" si="1"/>
        <v>43800</v>
      </c>
      <c r="O3194" s="5" t="str">
        <f>IFERROR(__xludf.DUMMYFUNCTION("IF(REGEXMATCH(TRIM(I3194), ""^\d+\s*min""), ""Unclassified"", IF(I3194 = """", ""NR"", I3194))"),"TV-MA")</f>
        <v>TV-MA</v>
      </c>
      <c r="R3194" s="5" t="str">
        <f t="shared" si="2"/>
        <v>Eastsiders</v>
      </c>
      <c r="S3194" s="5" t="str">
        <f>IFERROR(__xludf.DUMMYFUNCTION("""COMPUTED_VALUE"""),"Houston, We Have A Problem!")</f>
        <v>Houston, We Have A Problem!</v>
      </c>
      <c r="U3194" s="5" t="str">
        <f>IFERROR(__xludf.DUMMYFUNCTION("""COMPUTED_VALUE"""),"Tamer Bassiouni")</f>
        <v>Tamer Bassiouni</v>
      </c>
      <c r="V3194" s="5" t="s">
        <v>17666</v>
      </c>
      <c r="W3194" s="5" t="str">
        <f t="shared" si="3"/>
        <v>Patrick Brice</v>
      </c>
      <c r="X3194" s="5">
        <f t="shared" si="4"/>
        <v>2</v>
      </c>
      <c r="Y3194" s="5" t="str">
        <f>IFERROR(__xludf.DUMMYFUNCTION("REGEXEXTRACT(J3194, ""^\d+"")"),"4")</f>
        <v>4</v>
      </c>
      <c r="Z3194" s="5" t="str">
        <f>IFERROR(__xludf.DUMMYFUNCTION("REGEXEXTRACT(J3194, ""[A-Za-z ]+$"")")," Seasons")</f>
        <v> Seasons</v>
      </c>
      <c r="AA3194" s="5" t="str">
        <f>IFERROR(__xludf.DUMMYFUNCTION("IF(REGEXMATCH(Z3194, ""Season""), ""TV Show"", ""Movie"")"),"TV Show")</f>
        <v>TV Show</v>
      </c>
    </row>
    <row r="3195">
      <c r="A3195" s="1" t="s">
        <v>17667</v>
      </c>
      <c r="B3195" s="1" t="s">
        <v>27</v>
      </c>
      <c r="C3195" s="1" t="s">
        <v>17668</v>
      </c>
      <c r="D3195" s="1" t="s">
        <v>17541</v>
      </c>
      <c r="E3195" s="1" t="s">
        <v>17669</v>
      </c>
      <c r="F3195" s="1" t="s">
        <v>63</v>
      </c>
      <c r="G3195" s="1" t="s">
        <v>17643</v>
      </c>
      <c r="H3195" s="1">
        <v>2019.0</v>
      </c>
      <c r="I3195" s="1" t="s">
        <v>97</v>
      </c>
      <c r="J3195" s="1" t="s">
        <v>985</v>
      </c>
      <c r="K3195" s="1" t="s">
        <v>215</v>
      </c>
      <c r="L3195" s="1" t="s">
        <v>17670</v>
      </c>
      <c r="M3195" s="2" t="s">
        <v>12</v>
      </c>
      <c r="N3195" s="4">
        <f t="shared" si="1"/>
        <v>43800</v>
      </c>
      <c r="O3195" s="5" t="str">
        <f>IFERROR(__xludf.DUMMYFUNCTION("IF(REGEXMATCH(TRIM(I3195), ""^\d+\s*min""), ""Unclassified"", IF(I3195 = """", ""NR"", I3195))"),"TV-14")</f>
        <v>TV-14</v>
      </c>
      <c r="R3195" s="5" t="str">
        <f t="shared" si="2"/>
        <v>High End Yaariyan</v>
      </c>
      <c r="S3195" s="5" t="str">
        <f>IFERROR(__xludf.DUMMYFUNCTION("""COMPUTED_VALUE"""),"How High 2")</f>
        <v>How High 2</v>
      </c>
      <c r="U3195" s="5" t="str">
        <f>IFERROR(__xludf.DUMMYFUNCTION("""COMPUTED_VALUE"""),"Ted Braun")</f>
        <v>Ted Braun</v>
      </c>
      <c r="V3195" s="5" t="s">
        <v>6571</v>
      </c>
      <c r="W3195" s="5" t="str">
        <f t="shared" si="3"/>
        <v>Patrick Durham, Paul G. Volk</v>
      </c>
      <c r="X3195" s="5">
        <f t="shared" si="4"/>
        <v>1</v>
      </c>
      <c r="Y3195" s="5" t="str">
        <f>IFERROR(__xludf.DUMMYFUNCTION("REGEXEXTRACT(J3195, ""^\d+"")"),"120")</f>
        <v>120</v>
      </c>
      <c r="Z3195" s="5" t="str">
        <f>IFERROR(__xludf.DUMMYFUNCTION("REGEXEXTRACT(J3195, ""[A-Za-z ]+$"")")," min")</f>
        <v> min</v>
      </c>
      <c r="AA3195" s="5" t="str">
        <f>IFERROR(__xludf.DUMMYFUNCTION("IF(REGEXMATCH(Z3195, ""Season""), ""TV Show"", ""Movie"")"),"Movie")</f>
        <v>Movie</v>
      </c>
    </row>
    <row r="3196">
      <c r="A3196" s="1" t="s">
        <v>17671</v>
      </c>
      <c r="B3196" s="1" t="s">
        <v>27</v>
      </c>
      <c r="C3196" s="1" t="s">
        <v>17672</v>
      </c>
      <c r="D3196" s="1" t="s">
        <v>17673</v>
      </c>
      <c r="F3196" s="1" t="s">
        <v>221</v>
      </c>
      <c r="G3196" s="1" t="s">
        <v>17643</v>
      </c>
      <c r="H3196" s="1">
        <v>2019.0</v>
      </c>
      <c r="I3196" s="1" t="s">
        <v>42</v>
      </c>
      <c r="J3196" s="1" t="s">
        <v>912</v>
      </c>
      <c r="K3196" s="1" t="s">
        <v>156</v>
      </c>
      <c r="L3196" s="1" t="s">
        <v>17674</v>
      </c>
      <c r="M3196" s="2" t="s">
        <v>12</v>
      </c>
      <c r="N3196" s="4">
        <f t="shared" si="1"/>
        <v>43800</v>
      </c>
      <c r="O3196" s="5" t="str">
        <f>IFERROR(__xludf.DUMMYFUNCTION("IF(REGEXMATCH(TRIM(I3196), ""^\d+\s*min""), ""Unclassified"", IF(I3196 = """", ""NR"", I3196))"),"TV-MA")</f>
        <v>TV-MA</v>
      </c>
      <c r="R3196" s="5" t="str">
        <f t="shared" si="2"/>
        <v>Iron Fists And Kung-Fu Kicks</v>
      </c>
      <c r="S3196" s="5" t="str">
        <f>IFERROR(__xludf.DUMMYFUNCTION("""COMPUTED_VALUE"""),"How I Became A Superhero")</f>
        <v>How I Became A Superhero</v>
      </c>
      <c r="U3196" s="5" t="str">
        <f>IFERROR(__xludf.DUMMYFUNCTION("""COMPUTED_VALUE"""),"Dharmesh Darshan")</f>
        <v>Dharmesh Darshan</v>
      </c>
      <c r="V3196" s="5" t="s">
        <v>17675</v>
      </c>
      <c r="W3196" s="5" t="str">
        <f t="shared" si="3"/>
        <v>Patrick Graham</v>
      </c>
      <c r="X3196" s="5">
        <f t="shared" si="4"/>
        <v>1</v>
      </c>
      <c r="Y3196" s="5" t="str">
        <f>IFERROR(__xludf.DUMMYFUNCTION("REGEXEXTRACT(J3196, ""^\d+"")"),"108")</f>
        <v>108</v>
      </c>
      <c r="Z3196" s="5" t="str">
        <f>IFERROR(__xludf.DUMMYFUNCTION("REGEXEXTRACT(J3196, ""[A-Za-z ]+$"")")," min")</f>
        <v> min</v>
      </c>
      <c r="AA3196" s="5" t="str">
        <f>IFERROR(__xludf.DUMMYFUNCTION("IF(REGEXMATCH(Z3196, ""Season""), ""TV Show"", ""Movie"")"),"Movie")</f>
        <v>Movie</v>
      </c>
    </row>
    <row r="3197">
      <c r="A3197" s="1" t="s">
        <v>17676</v>
      </c>
      <c r="B3197" s="1" t="s">
        <v>27</v>
      </c>
      <c r="C3197" s="1" t="s">
        <v>17677</v>
      </c>
      <c r="D3197" s="1" t="s">
        <v>16621</v>
      </c>
      <c r="E3197" s="1" t="s">
        <v>17678</v>
      </c>
      <c r="F3197" s="1" t="s">
        <v>63</v>
      </c>
      <c r="G3197" s="1" t="s">
        <v>17643</v>
      </c>
      <c r="H3197" s="1">
        <v>2017.0</v>
      </c>
      <c r="I3197" s="1" t="s">
        <v>97</v>
      </c>
      <c r="J3197" s="1" t="s">
        <v>1369</v>
      </c>
      <c r="K3197" s="1" t="s">
        <v>679</v>
      </c>
      <c r="L3197" s="1" t="s">
        <v>17679</v>
      </c>
      <c r="M3197" s="2" t="s">
        <v>12</v>
      </c>
      <c r="N3197" s="4">
        <f t="shared" si="1"/>
        <v>43800</v>
      </c>
      <c r="O3197" s="5" t="str">
        <f>IFERROR(__xludf.DUMMYFUNCTION("IF(REGEXMATCH(TRIM(I3197), ""^\d+\s*min""), ""Unclassified"", IF(I3197 = """", ""NR"", I3197))"),"TV-14")</f>
        <v>TV-14</v>
      </c>
      <c r="R3197" s="5" t="str">
        <f t="shared" si="2"/>
        <v>Jindua</v>
      </c>
      <c r="S3197" s="5" t="str">
        <f>IFERROR(__xludf.DUMMYFUNCTION("""COMPUTED_VALUE"""),"How It Ends")</f>
        <v>How It Ends</v>
      </c>
      <c r="U3197" s="5" t="str">
        <f>IFERROR(__xludf.DUMMYFUNCTION("""COMPUTED_VALUE"""),"Sushrut Jain")</f>
        <v>Sushrut Jain</v>
      </c>
      <c r="V3197" s="5" t="s">
        <v>3800</v>
      </c>
      <c r="W3197" s="5" t="str">
        <f t="shared" si="3"/>
        <v>Patrick Tatopoulos</v>
      </c>
      <c r="X3197" s="5">
        <f t="shared" si="4"/>
        <v>1</v>
      </c>
      <c r="Y3197" s="5" t="str">
        <f>IFERROR(__xludf.DUMMYFUNCTION("REGEXEXTRACT(J3197, ""^\d+"")"),"135")</f>
        <v>135</v>
      </c>
      <c r="Z3197" s="5" t="str">
        <f>IFERROR(__xludf.DUMMYFUNCTION("REGEXEXTRACT(J3197, ""[A-Za-z ]+$"")")," min")</f>
        <v> min</v>
      </c>
      <c r="AA3197" s="5" t="str">
        <f>IFERROR(__xludf.DUMMYFUNCTION("IF(REGEXMATCH(Z3197, ""Season""), ""TV Show"", ""Movie"")"),"Movie")</f>
        <v>Movie</v>
      </c>
    </row>
    <row r="3198">
      <c r="A3198" s="1" t="s">
        <v>17680</v>
      </c>
      <c r="B3198" s="1" t="s">
        <v>27</v>
      </c>
      <c r="C3198" s="1" t="s">
        <v>17681</v>
      </c>
      <c r="E3198" s="1" t="s">
        <v>17682</v>
      </c>
      <c r="F3198" s="1" t="s">
        <v>63</v>
      </c>
      <c r="G3198" s="1" t="s">
        <v>17643</v>
      </c>
      <c r="H3198" s="1">
        <v>2016.0</v>
      </c>
      <c r="I3198" s="1" t="s">
        <v>136</v>
      </c>
      <c r="J3198" s="1" t="s">
        <v>264</v>
      </c>
      <c r="K3198" s="1" t="s">
        <v>679</v>
      </c>
      <c r="L3198" s="1" t="s">
        <v>17683</v>
      </c>
      <c r="M3198" s="2" t="s">
        <v>12</v>
      </c>
      <c r="N3198" s="4">
        <f t="shared" si="1"/>
        <v>43800</v>
      </c>
      <c r="O3198" s="5" t="str">
        <f>IFERROR(__xludf.DUMMYFUNCTION("IF(REGEXMATCH(TRIM(I3198), ""^\d+\s*min""), ""Unclassified"", IF(I3198 = """", ""NR"", I3198))"),"TV-PG")</f>
        <v>TV-PG</v>
      </c>
      <c r="R3198" s="5" t="str">
        <f t="shared" si="2"/>
        <v>Lakeeran</v>
      </c>
      <c r="S3198" s="5" t="str">
        <f>IFERROR(__xludf.DUMMYFUNCTION("""COMPUTED_VALUE"""),"How The Beatles Changed The World")</f>
        <v>How The Beatles Changed The World</v>
      </c>
      <c r="U3198" s="5" t="str">
        <f>IFERROR(__xludf.DUMMYFUNCTION("""COMPUTED_VALUE"""),"Majid Majidi")</f>
        <v>Majid Majidi</v>
      </c>
      <c r="V3198" s="5" t="s">
        <v>17684</v>
      </c>
      <c r="W3198" s="5" t="str">
        <f t="shared" si="3"/>
        <v>Patrik Syversen</v>
      </c>
      <c r="X3198" s="5">
        <f t="shared" si="4"/>
        <v>1</v>
      </c>
      <c r="Y3198" s="5" t="str">
        <f>IFERROR(__xludf.DUMMYFUNCTION("REGEXEXTRACT(J3198, ""^\d+"")"),"111")</f>
        <v>111</v>
      </c>
      <c r="Z3198" s="5" t="str">
        <f>IFERROR(__xludf.DUMMYFUNCTION("REGEXEXTRACT(J3198, ""[A-Za-z ]+$"")")," min")</f>
        <v> min</v>
      </c>
      <c r="AA3198" s="5" t="str">
        <f>IFERROR(__xludf.DUMMYFUNCTION("IF(REGEXMATCH(Z3198, ""Season""), ""TV Show"", ""Movie"")"),"Movie")</f>
        <v>Movie</v>
      </c>
    </row>
    <row r="3199">
      <c r="A3199" s="1" t="s">
        <v>17685</v>
      </c>
      <c r="B3199" s="1" t="s">
        <v>27</v>
      </c>
      <c r="C3199" s="1" t="s">
        <v>17686</v>
      </c>
      <c r="D3199" s="1" t="s">
        <v>8239</v>
      </c>
      <c r="E3199" s="1" t="s">
        <v>17687</v>
      </c>
      <c r="F3199" s="1" t="s">
        <v>96</v>
      </c>
      <c r="G3199" s="1" t="s">
        <v>17643</v>
      </c>
      <c r="H3199" s="1">
        <v>2017.0</v>
      </c>
      <c r="I3199" s="1" t="s">
        <v>97</v>
      </c>
      <c r="J3199" s="1" t="s">
        <v>7413</v>
      </c>
      <c r="K3199" s="1" t="s">
        <v>583</v>
      </c>
      <c r="L3199" s="1" t="s">
        <v>17688</v>
      </c>
      <c r="M3199" s="2" t="s">
        <v>12</v>
      </c>
      <c r="N3199" s="4">
        <f t="shared" si="1"/>
        <v>43800</v>
      </c>
      <c r="O3199" s="5" t="str">
        <f>IFERROR(__xludf.DUMMYFUNCTION("IF(REGEXMATCH(TRIM(I3199), ""^\d+\s*min""), ""Unclassified"", IF(I3199 = """", ""NR"", I3199))"),"TV-14")</f>
        <v>TV-14</v>
      </c>
      <c r="R3199" s="5" t="str">
        <f t="shared" si="2"/>
        <v>Mahi Nri</v>
      </c>
      <c r="S3199" s="5" t="str">
        <f>IFERROR(__xludf.DUMMYFUNCTION("""COMPUTED_VALUE"""),"How The Grinch Stole Christmas")</f>
        <v>How The Grinch Stole Christmas</v>
      </c>
      <c r="U3199" s="5" t="str">
        <f>IFERROR(__xludf.DUMMYFUNCTION("""COMPUTED_VALUE"""),"Jasbir Bijendra Bhati")</f>
        <v>Jasbir Bijendra Bhati</v>
      </c>
      <c r="V3199" s="5" t="s">
        <v>14889</v>
      </c>
      <c r="W3199" s="5" t="str">
        <f t="shared" si="3"/>
        <v>Patryk Vega</v>
      </c>
      <c r="X3199" s="5">
        <f t="shared" si="4"/>
        <v>2</v>
      </c>
      <c r="Y3199" s="5" t="str">
        <f>IFERROR(__xludf.DUMMYFUNCTION("REGEXEXTRACT(J3199, ""^\d+"")"),"134")</f>
        <v>134</v>
      </c>
      <c r="Z3199" s="5" t="str">
        <f>IFERROR(__xludf.DUMMYFUNCTION("REGEXEXTRACT(J3199, ""[A-Za-z ]+$"")")," min")</f>
        <v> min</v>
      </c>
      <c r="AA3199" s="5" t="str">
        <f>IFERROR(__xludf.DUMMYFUNCTION("IF(REGEXMATCH(Z3199, ""Season""), ""TV Show"", ""Movie"")"),"Movie")</f>
        <v>Movie</v>
      </c>
    </row>
    <row r="3200">
      <c r="A3200" s="1" t="s">
        <v>17689</v>
      </c>
      <c r="B3200" s="1" t="s">
        <v>27</v>
      </c>
      <c r="C3200" s="1" t="s">
        <v>17690</v>
      </c>
      <c r="D3200" s="1" t="s">
        <v>9917</v>
      </c>
      <c r="E3200" s="1" t="s">
        <v>17691</v>
      </c>
      <c r="F3200" s="1" t="s">
        <v>63</v>
      </c>
      <c r="G3200" s="1" t="s">
        <v>17643</v>
      </c>
      <c r="H3200" s="1">
        <v>2018.0</v>
      </c>
      <c r="I3200" s="1" t="s">
        <v>136</v>
      </c>
      <c r="J3200" s="1" t="s">
        <v>4242</v>
      </c>
      <c r="K3200" s="1" t="s">
        <v>679</v>
      </c>
      <c r="L3200" s="1" t="s">
        <v>17692</v>
      </c>
      <c r="M3200" s="2" t="s">
        <v>12</v>
      </c>
      <c r="N3200" s="4">
        <f t="shared" si="1"/>
        <v>43800</v>
      </c>
      <c r="O3200" s="5" t="str">
        <f>IFERROR(__xludf.DUMMYFUNCTION("IF(REGEXMATCH(TRIM(I3200), ""^\d+\s*min""), ""Unclassified"", IF(I3200 = """", ""NR"", I3200))"),"TV-PG")</f>
        <v>TV-PG</v>
      </c>
      <c r="R3200" s="5" t="str">
        <f t="shared" si="2"/>
        <v>Qismat</v>
      </c>
      <c r="S3200" s="5" t="str">
        <f>IFERROR(__xludf.DUMMYFUNCTION("""COMPUTED_VALUE"""),"How To Be A Cowboy")</f>
        <v>How To Be A Cowboy</v>
      </c>
      <c r="U3200" s="5" t="str">
        <f>IFERROR(__xludf.DUMMYFUNCTION("""COMPUTED_VALUE"""),"Joey Kern")</f>
        <v>Joey Kern</v>
      </c>
      <c r="V3200" s="5" t="s">
        <v>17693</v>
      </c>
      <c r="W3200" s="5" t="str">
        <f t="shared" si="3"/>
        <v>Paul Andrew Williams</v>
      </c>
      <c r="X3200" s="5">
        <f t="shared" si="4"/>
        <v>2</v>
      </c>
      <c r="Y3200" s="5" t="str">
        <f>IFERROR(__xludf.DUMMYFUNCTION("REGEXEXTRACT(J3200, ""^\d+"")"),"137")</f>
        <v>137</v>
      </c>
      <c r="Z3200" s="5" t="str">
        <f>IFERROR(__xludf.DUMMYFUNCTION("REGEXEXTRACT(J3200, ""[A-Za-z ]+$"")")," min")</f>
        <v> min</v>
      </c>
      <c r="AA3200" s="5" t="str">
        <f>IFERROR(__xludf.DUMMYFUNCTION("IF(REGEXMATCH(Z3200, ""Season""), ""TV Show"", ""Movie"")"),"Movie")</f>
        <v>Movie</v>
      </c>
    </row>
    <row r="3201">
      <c r="A3201" s="1" t="s">
        <v>17694</v>
      </c>
      <c r="B3201" s="1" t="s">
        <v>37</v>
      </c>
      <c r="C3201" s="1" t="s">
        <v>17695</v>
      </c>
      <c r="E3201" s="1" t="s">
        <v>17696</v>
      </c>
      <c r="G3201" s="1" t="s">
        <v>17643</v>
      </c>
      <c r="H3201" s="1">
        <v>2016.0</v>
      </c>
      <c r="I3201" s="1" t="s">
        <v>206</v>
      </c>
      <c r="J3201" s="1" t="s">
        <v>43</v>
      </c>
      <c r="K3201" s="1" t="s">
        <v>3268</v>
      </c>
      <c r="L3201" s="1" t="s">
        <v>17697</v>
      </c>
      <c r="M3201" s="2" t="s">
        <v>12</v>
      </c>
      <c r="N3201" s="4">
        <f t="shared" si="1"/>
        <v>43800</v>
      </c>
      <c r="O3201" s="5" t="str">
        <f>IFERROR(__xludf.DUMMYFUNCTION("IF(REGEXMATCH(TRIM(I3201), ""^\d+\s*min""), ""Unclassified"", IF(I3201 = """", ""NR"", I3201))"),"TV-Y")</f>
        <v>TV-Y</v>
      </c>
      <c r="R3201" s="5" t="str">
        <f t="shared" si="2"/>
        <v>Space Jungle</v>
      </c>
      <c r="S3201" s="5" t="str">
        <f>IFERROR(__xludf.DUMMYFUNCTION("""COMPUTED_VALUE"""),"How To Be A Latin Lover")</f>
        <v>How To Be A Latin Lover</v>
      </c>
      <c r="U3201" s="5" t="str">
        <f>IFERROR(__xludf.DUMMYFUNCTION("""COMPUTED_VALUE"""),"Scott Martin")</f>
        <v>Scott Martin</v>
      </c>
      <c r="V3201" s="5" t="s">
        <v>17698</v>
      </c>
      <c r="W3201" s="5" t="str">
        <f t="shared" si="3"/>
        <v>Paul Berczeller, Mark Radice</v>
      </c>
      <c r="X3201" s="5">
        <f t="shared" si="4"/>
        <v>1</v>
      </c>
      <c r="Y3201" s="5" t="str">
        <f>IFERROR(__xludf.DUMMYFUNCTION("REGEXEXTRACT(J3201, ""^\d+"")"),"2")</f>
        <v>2</v>
      </c>
      <c r="Z3201" s="5" t="str">
        <f>IFERROR(__xludf.DUMMYFUNCTION("REGEXEXTRACT(J3201, ""[A-Za-z ]+$"")")," Seasons")</f>
        <v> Seasons</v>
      </c>
      <c r="AA3201" s="5" t="str">
        <f>IFERROR(__xludf.DUMMYFUNCTION("IF(REGEXMATCH(Z3201, ""Season""), ""TV Show"", ""Movie"")"),"TV Show")</f>
        <v>TV Show</v>
      </c>
    </row>
    <row r="3202">
      <c r="A3202" s="1" t="s">
        <v>17699</v>
      </c>
      <c r="B3202" s="1" t="s">
        <v>27</v>
      </c>
      <c r="C3202" s="1" t="s">
        <v>17700</v>
      </c>
      <c r="D3202" s="1" t="s">
        <v>17701</v>
      </c>
      <c r="E3202" s="1" t="s">
        <v>17702</v>
      </c>
      <c r="F3202" s="1" t="s">
        <v>2796</v>
      </c>
      <c r="G3202" s="1" t="s">
        <v>17643</v>
      </c>
      <c r="H3202" s="1">
        <v>2019.0</v>
      </c>
      <c r="I3202" s="1" t="s">
        <v>97</v>
      </c>
      <c r="J3202" s="1" t="s">
        <v>238</v>
      </c>
      <c r="K3202" s="1" t="s">
        <v>2983</v>
      </c>
      <c r="L3202" s="1" t="s">
        <v>17703</v>
      </c>
      <c r="M3202" s="2" t="s">
        <v>12</v>
      </c>
      <c r="N3202" s="4">
        <f t="shared" si="1"/>
        <v>43800</v>
      </c>
      <c r="O3202" s="5" t="str">
        <f>IFERROR(__xludf.DUMMYFUNCTION("IF(REGEXMATCH(TRIM(I3202), ""^\d+\s*min""), ""Unclassified"", IF(I3202 = """", ""NR"", I3202))"),"TV-14")</f>
        <v>TV-14</v>
      </c>
      <c r="R3202" s="5" t="str">
        <f t="shared" si="2"/>
        <v>Tee Shot: Ariya Jutanugarn</v>
      </c>
      <c r="S3202" s="5" t="str">
        <f>IFERROR(__xludf.DUMMYFUNCTION("""COMPUTED_VALUE"""),"How To Be A Player")</f>
        <v>How To Be A Player</v>
      </c>
      <c r="U3202" s="5" t="str">
        <f>IFERROR(__xludf.DUMMYFUNCTION("""COMPUTED_VALUE"""),"Kaspar Astrup Schröder")</f>
        <v>Kaspar Astrup Schröder</v>
      </c>
      <c r="V3202" s="5" t="s">
        <v>17704</v>
      </c>
      <c r="W3202" s="5" t="str">
        <f t="shared" si="3"/>
        <v>Paul Dano</v>
      </c>
      <c r="X3202" s="5">
        <f t="shared" si="4"/>
        <v>1</v>
      </c>
      <c r="Y3202" s="5" t="str">
        <f>IFERROR(__xludf.DUMMYFUNCTION("REGEXEXTRACT(J3202, ""^\d+"")"),"103")</f>
        <v>103</v>
      </c>
      <c r="Z3202" s="5" t="str">
        <f>IFERROR(__xludf.DUMMYFUNCTION("REGEXEXTRACT(J3202, ""[A-Za-z ]+$"")")," min")</f>
        <v> min</v>
      </c>
      <c r="AA3202" s="5" t="str">
        <f>IFERROR(__xludf.DUMMYFUNCTION("IF(REGEXMATCH(Z3202, ""Season""), ""TV Show"", ""Movie"")"),"Movie")</f>
        <v>Movie</v>
      </c>
    </row>
    <row r="3203">
      <c r="A3203" s="1" t="s">
        <v>17705</v>
      </c>
      <c r="B3203" s="1" t="s">
        <v>27</v>
      </c>
      <c r="C3203" s="1" t="s">
        <v>17706</v>
      </c>
      <c r="D3203" s="1" t="s">
        <v>16394</v>
      </c>
      <c r="E3203" s="1" t="s">
        <v>17707</v>
      </c>
      <c r="F3203" s="1" t="s">
        <v>63</v>
      </c>
      <c r="G3203" s="1" t="s">
        <v>17643</v>
      </c>
      <c r="H3203" s="1">
        <v>2017.0</v>
      </c>
      <c r="I3203" s="1" t="s">
        <v>97</v>
      </c>
      <c r="J3203" s="1" t="s">
        <v>1428</v>
      </c>
      <c r="K3203" s="1" t="s">
        <v>583</v>
      </c>
      <c r="L3203" s="1" t="s">
        <v>17708</v>
      </c>
      <c r="M3203" s="2" t="s">
        <v>12</v>
      </c>
      <c r="N3203" s="4">
        <f t="shared" si="1"/>
        <v>43800</v>
      </c>
      <c r="O3203" s="5" t="str">
        <f>IFERROR(__xludf.DUMMYFUNCTION("IF(REGEXMATCH(TRIM(I3203), ""^\d+\s*min""), ""Unclassified"", IF(I3203 = """", ""NR"", I3203))"),"TV-14")</f>
        <v>TV-14</v>
      </c>
      <c r="R3203" s="5" t="str">
        <f t="shared" si="2"/>
        <v>Thug Life</v>
      </c>
      <c r="S3203" s="5" t="str">
        <f>IFERROR(__xludf.DUMMYFUNCTION("""COMPUTED_VALUE"""),"How To Be Really Bad")</f>
        <v>How To Be Really Bad</v>
      </c>
      <c r="U3203" s="5" t="str">
        <f>IFERROR(__xludf.DUMMYFUNCTION("""COMPUTED_VALUE"""),"Nick Broomfield")</f>
        <v>Nick Broomfield</v>
      </c>
      <c r="V3203" s="5" t="s">
        <v>8862</v>
      </c>
      <c r="W3203" s="5" t="str">
        <f t="shared" si="3"/>
        <v>Paul Dugdale</v>
      </c>
      <c r="X3203" s="5">
        <f t="shared" si="4"/>
        <v>4</v>
      </c>
      <c r="Y3203" s="5" t="str">
        <f>IFERROR(__xludf.DUMMYFUNCTION("REGEXEXTRACT(J3203, ""^\d+"")"),"133")</f>
        <v>133</v>
      </c>
      <c r="Z3203" s="5" t="str">
        <f>IFERROR(__xludf.DUMMYFUNCTION("REGEXEXTRACT(J3203, ""[A-Za-z ]+$"")")," min")</f>
        <v> min</v>
      </c>
      <c r="AA3203" s="5" t="str">
        <f>IFERROR(__xludf.DUMMYFUNCTION("IF(REGEXMATCH(Z3203, ""Season""), ""TV Show"", ""Movie"")"),"Movie")</f>
        <v>Movie</v>
      </c>
    </row>
    <row r="3204">
      <c r="A3204" s="1" t="s">
        <v>17709</v>
      </c>
      <c r="B3204" s="1" t="s">
        <v>27</v>
      </c>
      <c r="C3204" s="1" t="s">
        <v>17710</v>
      </c>
      <c r="D3204" s="1" t="s">
        <v>17711</v>
      </c>
      <c r="E3204" s="1" t="s">
        <v>17712</v>
      </c>
      <c r="F3204" s="1" t="s">
        <v>664</v>
      </c>
      <c r="G3204" s="1" t="s">
        <v>17643</v>
      </c>
      <c r="H3204" s="1">
        <v>2019.0</v>
      </c>
      <c r="I3204" s="1" t="s">
        <v>42</v>
      </c>
      <c r="J3204" s="1" t="s">
        <v>465</v>
      </c>
      <c r="K3204" s="1" t="s">
        <v>2892</v>
      </c>
      <c r="L3204" s="1" t="s">
        <v>17713</v>
      </c>
      <c r="M3204" s="2" t="s">
        <v>12</v>
      </c>
      <c r="N3204" s="4">
        <f t="shared" si="1"/>
        <v>43800</v>
      </c>
      <c r="O3204" s="5" t="str">
        <f>IFERROR(__xludf.DUMMYFUNCTION("IF(REGEXMATCH(TRIM(I3204), ""^\d+\s*min""), ""Unclassified"", IF(I3204 = """", ""NR"", I3204))"),"TV-MA")</f>
        <v>TV-MA</v>
      </c>
      <c r="R3204" s="5" t="str">
        <f t="shared" si="2"/>
        <v>Wandering Stars</v>
      </c>
      <c r="S3204" s="5" t="str">
        <f>IFERROR(__xludf.DUMMYFUNCTION("""COMPUTED_VALUE"""),"How To Become A Tyrant")</f>
        <v>How To Become A Tyrant</v>
      </c>
      <c r="U3204" s="5" t="str">
        <f>IFERROR(__xludf.DUMMYFUNCTION("""COMPUTED_VALUE"""),"Stephen Daldry")</f>
        <v>Stephen Daldry</v>
      </c>
      <c r="V3204" s="5" t="s">
        <v>17714</v>
      </c>
      <c r="W3204" s="5" t="str">
        <f t="shared" si="3"/>
        <v>Paul Feig</v>
      </c>
      <c r="X3204" s="5">
        <f t="shared" si="4"/>
        <v>1</v>
      </c>
      <c r="Y3204" s="5" t="str">
        <f>IFERROR(__xludf.DUMMYFUNCTION("REGEXEXTRACT(J3204, ""^\d+"")"),"95")</f>
        <v>95</v>
      </c>
      <c r="Z3204" s="5" t="str">
        <f>IFERROR(__xludf.DUMMYFUNCTION("REGEXEXTRACT(J3204, ""[A-Za-z ]+$"")")," min")</f>
        <v> min</v>
      </c>
      <c r="AA3204" s="5" t="str">
        <f>IFERROR(__xludf.DUMMYFUNCTION("IF(REGEXMATCH(Z3204, ""Season""), ""TV Show"", ""Movie"")"),"Movie")</f>
        <v>Movie</v>
      </c>
    </row>
    <row r="3205">
      <c r="A3205" s="1" t="s">
        <v>17715</v>
      </c>
      <c r="B3205" s="1" t="s">
        <v>27</v>
      </c>
      <c r="C3205" s="1" t="s">
        <v>17716</v>
      </c>
      <c r="D3205" s="1" t="s">
        <v>17717</v>
      </c>
      <c r="E3205" s="1" t="s">
        <v>17718</v>
      </c>
      <c r="F3205" s="1" t="s">
        <v>17719</v>
      </c>
      <c r="G3205" s="1" t="s">
        <v>17643</v>
      </c>
      <c r="H3205" s="1">
        <v>2015.0</v>
      </c>
      <c r="I3205" s="1" t="s">
        <v>42</v>
      </c>
      <c r="J3205" s="1" t="s">
        <v>3458</v>
      </c>
      <c r="K3205" s="1" t="s">
        <v>298</v>
      </c>
      <c r="L3205" s="1" t="s">
        <v>17720</v>
      </c>
      <c r="M3205" s="2" t="s">
        <v>12</v>
      </c>
      <c r="N3205" s="4">
        <f t="shared" si="1"/>
        <v>43800</v>
      </c>
      <c r="O3205" s="5" t="str">
        <f>IFERROR(__xludf.DUMMYFUNCTION("IF(REGEXMATCH(TRIM(I3205), ""^\d+\s*min""), ""Unclassified"", IF(I3205 = """", ""NR"", I3205))"),"TV-MA")</f>
        <v>TV-MA</v>
      </c>
      <c r="R3205" s="5" t="str">
        <f t="shared" si="2"/>
        <v>Why Me?</v>
      </c>
      <c r="S3205" s="5" t="str">
        <f>IFERROR(__xludf.DUMMYFUNCTION("""COMPUTED_VALUE"""),"How To Change The World")</f>
        <v>How To Change The World</v>
      </c>
      <c r="U3205" s="5" t="str">
        <f>IFERROR(__xludf.DUMMYFUNCTION("""COMPUTED_VALUE"""),"Vonda Harrell, Daniel Camenisch")</f>
        <v>Vonda Harrell, Daniel Camenisch</v>
      </c>
      <c r="V3205" s="5" t="s">
        <v>5605</v>
      </c>
      <c r="W3205" s="5" t="str">
        <f t="shared" si="3"/>
        <v>Paul Greengrass</v>
      </c>
      <c r="X3205" s="5">
        <f t="shared" si="4"/>
        <v>3</v>
      </c>
      <c r="Y3205" s="5" t="str">
        <f>IFERROR(__xludf.DUMMYFUNCTION("REGEXEXTRACT(J3205, ""^\d+"")"),"126")</f>
        <v>126</v>
      </c>
      <c r="Z3205" s="5" t="str">
        <f>IFERROR(__xludf.DUMMYFUNCTION("REGEXEXTRACT(J3205, ""[A-Za-z ]+$"")")," min")</f>
        <v> min</v>
      </c>
      <c r="AA3205" s="5" t="str">
        <f>IFERROR(__xludf.DUMMYFUNCTION("IF(REGEXMATCH(Z3205, ""Season""), ""TV Show"", ""Movie"")"),"Movie")</f>
        <v>Movie</v>
      </c>
    </row>
    <row r="3206">
      <c r="A3206" s="1" t="s">
        <v>17721</v>
      </c>
      <c r="B3206" s="1" t="s">
        <v>37</v>
      </c>
      <c r="C3206" s="1" t="s">
        <v>17722</v>
      </c>
      <c r="E3206" s="1" t="s">
        <v>17723</v>
      </c>
      <c r="F3206" s="1" t="s">
        <v>749</v>
      </c>
      <c r="G3206" s="1" t="s">
        <v>17724</v>
      </c>
      <c r="H3206" s="1">
        <v>2019.0</v>
      </c>
      <c r="I3206" s="1" t="s">
        <v>97</v>
      </c>
      <c r="J3206" s="1" t="s">
        <v>51</v>
      </c>
      <c r="K3206" s="1" t="s">
        <v>7164</v>
      </c>
      <c r="L3206" s="1" t="s">
        <v>17725</v>
      </c>
      <c r="M3206" s="2" t="s">
        <v>12</v>
      </c>
      <c r="N3206" s="4">
        <f t="shared" si="1"/>
        <v>43799</v>
      </c>
      <c r="O3206" s="5" t="str">
        <f>IFERROR(__xludf.DUMMYFUNCTION("IF(REGEXMATCH(TRIM(I3206), ""^\d+\s*min""), ""Unclassified"", IF(I3206 = """", ""NR"", I3206))"),"TV-14")</f>
        <v>TV-14</v>
      </c>
      <c r="R3206" s="5" t="str">
        <f t="shared" si="2"/>
        <v>Chocolate</v>
      </c>
      <c r="S3206" s="5" t="str">
        <f>IFERROR(__xludf.DUMMYFUNCTION("""COMPUTED_VALUE"""),"How To Fix A Drug Scandal")</f>
        <v>How To Fix A Drug Scandal</v>
      </c>
      <c r="U3206" s="5" t="str">
        <f>IFERROR(__xludf.DUMMYFUNCTION("""COMPUTED_VALUE"""),"Indrasis Acharya")</f>
        <v>Indrasis Acharya</v>
      </c>
      <c r="V3206" s="5" t="s">
        <v>8165</v>
      </c>
      <c r="W3206" s="5" t="str">
        <f t="shared" si="3"/>
        <v>Paul Haggis</v>
      </c>
      <c r="X3206" s="5">
        <f t="shared" si="4"/>
        <v>2</v>
      </c>
      <c r="Y3206" s="5" t="str">
        <f>IFERROR(__xludf.DUMMYFUNCTION("REGEXEXTRACT(J3206, ""^\d+"")"),"1")</f>
        <v>1</v>
      </c>
      <c r="Z3206" s="5" t="str">
        <f>IFERROR(__xludf.DUMMYFUNCTION("REGEXEXTRACT(J3206, ""[A-Za-z ]+$"")")," Season")</f>
        <v> Season</v>
      </c>
      <c r="AA3206" s="5" t="str">
        <f>IFERROR(__xludf.DUMMYFUNCTION("IF(REGEXMATCH(Z3206, ""Season""), ""TV Show"", ""Movie"")"),"TV Show")</f>
        <v>TV Show</v>
      </c>
    </row>
    <row r="3207">
      <c r="A3207" s="1" t="s">
        <v>17726</v>
      </c>
      <c r="B3207" s="1" t="s">
        <v>27</v>
      </c>
      <c r="C3207" s="1" t="s">
        <v>17727</v>
      </c>
      <c r="D3207" s="1" t="s">
        <v>14073</v>
      </c>
      <c r="E3207" s="1" t="s">
        <v>17728</v>
      </c>
      <c r="F3207" s="1" t="s">
        <v>17729</v>
      </c>
      <c r="G3207" s="1" t="s">
        <v>17724</v>
      </c>
      <c r="H3207" s="1">
        <v>2019.0</v>
      </c>
      <c r="I3207" s="1" t="s">
        <v>506</v>
      </c>
      <c r="J3207" s="1" t="s">
        <v>155</v>
      </c>
      <c r="K3207" s="1" t="s">
        <v>156</v>
      </c>
      <c r="L3207" s="1" t="s">
        <v>17730</v>
      </c>
      <c r="M3207" s="2" t="s">
        <v>12</v>
      </c>
      <c r="N3207" s="4">
        <f t="shared" si="1"/>
        <v>43799</v>
      </c>
      <c r="O3207" s="5" t="str">
        <f>IFERROR(__xludf.DUMMYFUNCTION("IF(REGEXMATCH(TRIM(I3207), ""^\d+\s*min""), ""Unclassified"", IF(I3207 = """", ""NR"", I3207))"),"TV-G")</f>
        <v>TV-G</v>
      </c>
      <c r="R3207" s="5" t="str">
        <f t="shared" si="2"/>
        <v>Guatemala: Heart Of The Mayan World</v>
      </c>
      <c r="S3207" s="5" t="str">
        <f>IFERROR(__xludf.DUMMYFUNCTION("""COMPUTED_VALUE"""),"How To Get Away With Murder")</f>
        <v>How To Get Away With Murder</v>
      </c>
      <c r="U3207" s="5" t="str">
        <f>IFERROR(__xludf.DUMMYFUNCTION("""COMPUTED_VALUE"""),"Gajendra Ahire, Viju Mane, Girish Mohite, Ravi Jadhav")</f>
        <v>Gajendra Ahire, Viju Mane, Girish Mohite, Ravi Jadhav</v>
      </c>
      <c r="V3207" s="5" t="s">
        <v>17731</v>
      </c>
      <c r="W3207" s="5" t="str">
        <f t="shared" si="3"/>
        <v>Paul Katis</v>
      </c>
      <c r="X3207" s="5">
        <f t="shared" si="4"/>
        <v>1</v>
      </c>
      <c r="Y3207" s="5" t="str">
        <f>IFERROR(__xludf.DUMMYFUNCTION("REGEXEXTRACT(J3207, ""^\d+"")"),"67")</f>
        <v>67</v>
      </c>
      <c r="Z3207" s="5" t="str">
        <f>IFERROR(__xludf.DUMMYFUNCTION("REGEXEXTRACT(J3207, ""[A-Za-z ]+$"")")," min")</f>
        <v> min</v>
      </c>
      <c r="AA3207" s="5" t="str">
        <f>IFERROR(__xludf.DUMMYFUNCTION("IF(REGEXMATCH(Z3207, ""Season""), ""TV Show"", ""Movie"")"),"Movie")</f>
        <v>Movie</v>
      </c>
    </row>
    <row r="3208">
      <c r="A3208" s="1" t="s">
        <v>17732</v>
      </c>
      <c r="B3208" s="1" t="s">
        <v>27</v>
      </c>
      <c r="C3208" s="1" t="s">
        <v>17733</v>
      </c>
      <c r="D3208" s="1" t="s">
        <v>285</v>
      </c>
      <c r="E3208" s="1" t="s">
        <v>17734</v>
      </c>
      <c r="F3208" s="1" t="s">
        <v>63</v>
      </c>
      <c r="G3208" s="1" t="s">
        <v>17724</v>
      </c>
      <c r="H3208" s="1">
        <v>2019.0</v>
      </c>
      <c r="I3208" s="1" t="s">
        <v>97</v>
      </c>
      <c r="J3208" s="1" t="s">
        <v>1369</v>
      </c>
      <c r="K3208" s="1" t="s">
        <v>583</v>
      </c>
      <c r="L3208" s="1" t="s">
        <v>17735</v>
      </c>
      <c r="M3208" s="2" t="s">
        <v>12</v>
      </c>
      <c r="N3208" s="4">
        <f t="shared" si="1"/>
        <v>43799</v>
      </c>
      <c r="O3208" s="5" t="str">
        <f>IFERROR(__xludf.DUMMYFUNCTION("IF(REGEXMATCH(TRIM(I3208), ""^\d+\s*min""), ""Unclassified"", IF(I3208 = """", ""NR"", I3208))"),"TV-14")</f>
        <v>TV-14</v>
      </c>
      <c r="R3208" s="5" t="str">
        <f t="shared" si="2"/>
        <v>The Zoya Factor</v>
      </c>
      <c r="S3208" s="5" t="str">
        <f>IFERROR(__xludf.DUMMYFUNCTION("""COMPUTED_VALUE"""),"How To Get Over A Breakup")</f>
        <v>How To Get Over A Breakup</v>
      </c>
      <c r="U3208" s="5" t="str">
        <f>IFERROR(__xludf.DUMMYFUNCTION("""COMPUTED_VALUE"""),"Emanuel Hoss-Desmarais")</f>
        <v>Emanuel Hoss-Desmarais</v>
      </c>
      <c r="V3208" s="5" t="s">
        <v>16299</v>
      </c>
      <c r="W3208" s="5" t="str">
        <f t="shared" si="3"/>
        <v>Paul Krüger, Anél Stolp</v>
      </c>
      <c r="X3208" s="5">
        <f t="shared" si="4"/>
        <v>1</v>
      </c>
      <c r="Y3208" s="5" t="str">
        <f>IFERROR(__xludf.DUMMYFUNCTION("REGEXEXTRACT(J3208, ""^\d+"")"),"135")</f>
        <v>135</v>
      </c>
      <c r="Z3208" s="5" t="str">
        <f>IFERROR(__xludf.DUMMYFUNCTION("REGEXEXTRACT(J3208, ""[A-Za-z ]+$"")")," min")</f>
        <v> min</v>
      </c>
      <c r="AA3208" s="5" t="str">
        <f>IFERROR(__xludf.DUMMYFUNCTION("IF(REGEXMATCH(Z3208, ""Season""), ""TV Show"", ""Movie"")"),"Movie")</f>
        <v>Movie</v>
      </c>
    </row>
    <row r="3209">
      <c r="A3209" s="1" t="s">
        <v>17736</v>
      </c>
      <c r="B3209" s="1" t="s">
        <v>27</v>
      </c>
      <c r="C3209" s="1" t="s">
        <v>17737</v>
      </c>
      <c r="D3209" s="1" t="s">
        <v>15172</v>
      </c>
      <c r="E3209" s="1" t="s">
        <v>17738</v>
      </c>
      <c r="F3209" s="1" t="s">
        <v>17739</v>
      </c>
      <c r="G3209" s="1" t="s">
        <v>17740</v>
      </c>
      <c r="H3209" s="1">
        <v>2019.0</v>
      </c>
      <c r="I3209" s="1" t="s">
        <v>97</v>
      </c>
      <c r="J3209" s="1" t="s">
        <v>256</v>
      </c>
      <c r="K3209" s="1" t="s">
        <v>89</v>
      </c>
      <c r="L3209" s="1" t="s">
        <v>17741</v>
      </c>
      <c r="M3209" s="2" t="s">
        <v>12</v>
      </c>
      <c r="N3209" s="4">
        <f t="shared" si="1"/>
        <v>43798</v>
      </c>
      <c r="O3209" s="5" t="str">
        <f>IFERROR(__xludf.DUMMYFUNCTION("IF(REGEXMATCH(TRIM(I3209), ""^\d+\s*min""), ""Unclassified"", IF(I3209 = """", ""NR"", I3209))"),"TV-14")</f>
        <v>TV-14</v>
      </c>
      <c r="R3209" s="5" t="str">
        <f t="shared" si="2"/>
        <v>Atlantics</v>
      </c>
      <c r="S3209" s="5" t="str">
        <f>IFERROR(__xludf.DUMMYFUNCTION("""COMPUTED_VALUE"""),"How To Live Mortgage Free With Sarah Beeny")</f>
        <v>How To Live Mortgage Free With Sarah Beeny</v>
      </c>
      <c r="U3209" s="5" t="str">
        <f>IFERROR(__xludf.DUMMYFUNCTION("""COMPUTED_VALUE"""),"Marianna Palka")</f>
        <v>Marianna Palka</v>
      </c>
      <c r="V3209" s="5" t="s">
        <v>17742</v>
      </c>
      <c r="W3209" s="5" t="str">
        <f t="shared" si="3"/>
        <v>Paul M. Green</v>
      </c>
      <c r="X3209" s="5">
        <f t="shared" si="4"/>
        <v>1</v>
      </c>
      <c r="Y3209" s="5" t="str">
        <f>IFERROR(__xludf.DUMMYFUNCTION("REGEXEXTRACT(J3209, ""^\d+"")"),"106")</f>
        <v>106</v>
      </c>
      <c r="Z3209" s="5" t="str">
        <f>IFERROR(__xludf.DUMMYFUNCTION("REGEXEXTRACT(J3209, ""[A-Za-z ]+$"")")," min")</f>
        <v> min</v>
      </c>
      <c r="AA3209" s="5" t="str">
        <f>IFERROR(__xludf.DUMMYFUNCTION("IF(REGEXMATCH(Z3209, ""Season""), ""TV Show"", ""Movie"")"),"Movie")</f>
        <v>Movie</v>
      </c>
    </row>
    <row r="3210">
      <c r="A3210" s="1" t="s">
        <v>17743</v>
      </c>
      <c r="B3210" s="1" t="s">
        <v>37</v>
      </c>
      <c r="C3210" s="1" t="s">
        <v>17744</v>
      </c>
      <c r="E3210" s="1" t="s">
        <v>17745</v>
      </c>
      <c r="F3210" s="1" t="s">
        <v>17746</v>
      </c>
      <c r="G3210" s="1" t="s">
        <v>17740</v>
      </c>
      <c r="H3210" s="1">
        <v>2019.0</v>
      </c>
      <c r="I3210" s="1" t="s">
        <v>206</v>
      </c>
      <c r="J3210" s="1" t="s">
        <v>43</v>
      </c>
      <c r="K3210" s="1" t="s">
        <v>290</v>
      </c>
      <c r="L3210" s="1" t="s">
        <v>17747</v>
      </c>
      <c r="M3210" s="2" t="s">
        <v>12</v>
      </c>
      <c r="N3210" s="4">
        <f t="shared" si="1"/>
        <v>43798</v>
      </c>
      <c r="O3210" s="5" t="str">
        <f>IFERROR(__xludf.DUMMYFUNCTION("IF(REGEXMATCH(TRIM(I3210), ""^\d+\s*min""), ""Unclassified"", IF(I3210 = """", ""NR"", I3210))"),"TV-Y")</f>
        <v>TV-Y</v>
      </c>
      <c r="R3210" s="5" t="str">
        <f t="shared" si="2"/>
        <v>Chip And Potato</v>
      </c>
      <c r="S3210" s="5" t="str">
        <f>IFERROR(__xludf.DUMMYFUNCTION("""COMPUTED_VALUE"""),"How To Make An American Quilt")</f>
        <v>How To Make An American Quilt</v>
      </c>
      <c r="U3210" s="5" t="str">
        <f>IFERROR(__xludf.DUMMYFUNCTION("""COMPUTED_VALUE"""),"Ham Tran")</f>
        <v>Ham Tran</v>
      </c>
      <c r="V3210" s="5" t="s">
        <v>17748</v>
      </c>
      <c r="W3210" s="5" t="str">
        <f t="shared" si="3"/>
        <v>Paul Miller</v>
      </c>
      <c r="X3210" s="5">
        <f t="shared" si="4"/>
        <v>1</v>
      </c>
      <c r="Y3210" s="5" t="str">
        <f>IFERROR(__xludf.DUMMYFUNCTION("REGEXEXTRACT(J3210, ""^\d+"")"),"2")</f>
        <v>2</v>
      </c>
      <c r="Z3210" s="5" t="str">
        <f>IFERROR(__xludf.DUMMYFUNCTION("REGEXEXTRACT(J3210, ""[A-Za-z ]+$"")")," Seasons")</f>
        <v> Seasons</v>
      </c>
      <c r="AA3210" s="5" t="str">
        <f>IFERROR(__xludf.DUMMYFUNCTION("IF(REGEXMATCH(Z3210, ""Season""), ""TV Show"", ""Movie"")"),"TV Show")</f>
        <v>TV Show</v>
      </c>
    </row>
    <row r="3211">
      <c r="A3211" s="1" t="s">
        <v>17749</v>
      </c>
      <c r="B3211" s="1" t="s">
        <v>27</v>
      </c>
      <c r="C3211" s="1" t="s">
        <v>17750</v>
      </c>
      <c r="D3211" s="1" t="s">
        <v>1772</v>
      </c>
      <c r="E3211" s="1" t="s">
        <v>17751</v>
      </c>
      <c r="F3211" s="1" t="s">
        <v>400</v>
      </c>
      <c r="G3211" s="1" t="s">
        <v>17740</v>
      </c>
      <c r="H3211" s="1">
        <v>2018.0</v>
      </c>
      <c r="I3211" s="1" t="s">
        <v>42</v>
      </c>
      <c r="J3211" s="1" t="s">
        <v>1256</v>
      </c>
      <c r="K3211" s="1" t="s">
        <v>9309</v>
      </c>
      <c r="L3211" s="1" t="s">
        <v>17752</v>
      </c>
      <c r="M3211" s="2" t="s">
        <v>12</v>
      </c>
      <c r="N3211" s="4">
        <f t="shared" si="1"/>
        <v>43798</v>
      </c>
      <c r="O3211" s="5" t="str">
        <f>IFERROR(__xludf.DUMMYFUNCTION("IF(REGEXMATCH(TRIM(I3211), ""^\d+\s*min""), ""Unclassified"", IF(I3211 = """", ""NR"", I3211))"),"TV-MA")</f>
        <v>TV-MA</v>
      </c>
      <c r="R3211" s="5" t="str">
        <f t="shared" si="2"/>
        <v>Crazy People</v>
      </c>
      <c r="S3211" s="5" t="str">
        <f>IFERROR(__xludf.DUMMYFUNCTION("""COMPUTED_VALUE"""),"How To Ruin Christmas")</f>
        <v>How To Ruin Christmas</v>
      </c>
      <c r="U3211" s="5" t="str">
        <f>IFERROR(__xludf.DUMMYFUNCTION("""COMPUTED_VALUE"""),"Miguel Conde")</f>
        <v>Miguel Conde</v>
      </c>
      <c r="V3211" s="5" t="s">
        <v>14721</v>
      </c>
      <c r="W3211" s="5" t="str">
        <f t="shared" si="3"/>
        <v>Paul Munger</v>
      </c>
      <c r="X3211" s="5">
        <f t="shared" si="4"/>
        <v>1</v>
      </c>
      <c r="Y3211" s="5" t="str">
        <f>IFERROR(__xludf.DUMMYFUNCTION("REGEXEXTRACT(J3211, ""^\d+"")"),"107")</f>
        <v>107</v>
      </c>
      <c r="Z3211" s="5" t="str">
        <f>IFERROR(__xludf.DUMMYFUNCTION("REGEXEXTRACT(J3211, ""[A-Za-z ]+$"")")," min")</f>
        <v> min</v>
      </c>
      <c r="AA3211" s="5" t="str">
        <f>IFERROR(__xludf.DUMMYFUNCTION("IF(REGEXMATCH(Z3211, ""Season""), ""TV Show"", ""Movie"")"),"Movie")</f>
        <v>Movie</v>
      </c>
    </row>
    <row r="3212">
      <c r="A3212" s="1" t="s">
        <v>17753</v>
      </c>
      <c r="B3212" s="1" t="s">
        <v>27</v>
      </c>
      <c r="C3212" s="1" t="s">
        <v>17754</v>
      </c>
      <c r="D3212" s="1" t="s">
        <v>10804</v>
      </c>
      <c r="E3212" s="1" t="s">
        <v>17755</v>
      </c>
      <c r="F3212" s="1" t="s">
        <v>664</v>
      </c>
      <c r="G3212" s="1" t="s">
        <v>17740</v>
      </c>
      <c r="H3212" s="1">
        <v>2019.0</v>
      </c>
      <c r="I3212" s="1" t="s">
        <v>42</v>
      </c>
      <c r="J3212" s="1" t="s">
        <v>2452</v>
      </c>
      <c r="K3212" s="1" t="s">
        <v>89</v>
      </c>
      <c r="L3212" s="1" t="s">
        <v>17756</v>
      </c>
      <c r="M3212" s="2" t="s">
        <v>12</v>
      </c>
      <c r="N3212" s="4">
        <f t="shared" si="1"/>
        <v>43798</v>
      </c>
      <c r="O3212" s="5" t="str">
        <f>IFERROR(__xludf.DUMMYFUNCTION("IF(REGEXMATCH(TRIM(I3212), ""^\d+\s*min""), ""Unclassified"", IF(I3212 = """", ""NR"", I3212))"),"TV-MA")</f>
        <v>TV-MA</v>
      </c>
      <c r="R3212" s="5" t="str">
        <f t="shared" si="2"/>
        <v>I Lost My Body</v>
      </c>
      <c r="S3212" s="5" t="str">
        <f>IFERROR(__xludf.DUMMYFUNCTION("""COMPUTED_VALUE"""),"How To Sell Drugs Online (Fast)")</f>
        <v>How To Sell Drugs Online (Fast)</v>
      </c>
      <c r="U3212" s="5" t="str">
        <f>IFERROR(__xludf.DUMMYFUNCTION("""COMPUTED_VALUE"""),"Supavitra Babul")</f>
        <v>Supavitra Babul</v>
      </c>
      <c r="V3212" s="5" t="s">
        <v>17757</v>
      </c>
      <c r="W3212" s="5" t="str">
        <f t="shared" si="3"/>
        <v>Paul Raschid</v>
      </c>
      <c r="X3212" s="5">
        <f t="shared" si="4"/>
        <v>1</v>
      </c>
      <c r="Y3212" s="5" t="str">
        <f>IFERROR(__xludf.DUMMYFUNCTION("REGEXEXTRACT(J3212, ""^\d+"")"),"81")</f>
        <v>81</v>
      </c>
      <c r="Z3212" s="5" t="str">
        <f>IFERROR(__xludf.DUMMYFUNCTION("REGEXEXTRACT(J3212, ""[A-Za-z ]+$"")")," min")</f>
        <v> min</v>
      </c>
      <c r="AA3212" s="5" t="str">
        <f>IFERROR(__xludf.DUMMYFUNCTION("IF(REGEXMATCH(Z3212, ""Season""), ""TV Show"", ""Movie"")"),"Movie")</f>
        <v>Movie</v>
      </c>
    </row>
    <row r="3213">
      <c r="A3213" s="1" t="s">
        <v>17758</v>
      </c>
      <c r="B3213" s="1" t="s">
        <v>27</v>
      </c>
      <c r="C3213" s="1" t="s">
        <v>17759</v>
      </c>
      <c r="D3213" s="1" t="s">
        <v>14417</v>
      </c>
      <c r="E3213" s="1" t="s">
        <v>17760</v>
      </c>
      <c r="F3213" s="1" t="s">
        <v>40</v>
      </c>
      <c r="G3213" s="1" t="s">
        <v>17740</v>
      </c>
      <c r="H3213" s="1">
        <v>2016.0</v>
      </c>
      <c r="I3213" s="1" t="s">
        <v>42</v>
      </c>
      <c r="J3213" s="1" t="s">
        <v>1256</v>
      </c>
      <c r="K3213" s="1" t="s">
        <v>128</v>
      </c>
      <c r="L3213" s="1" t="s">
        <v>17761</v>
      </c>
      <c r="M3213" s="2" t="s">
        <v>12</v>
      </c>
      <c r="N3213" s="4">
        <f t="shared" si="1"/>
        <v>43798</v>
      </c>
      <c r="O3213" s="5" t="str">
        <f>IFERROR(__xludf.DUMMYFUNCTION("IF(REGEXMATCH(TRIM(I3213), ""^\d+\s*min""), ""Unclassified"", IF(I3213 = """", ""NR"", I3213))"),"TV-MA")</f>
        <v>TV-MA</v>
      </c>
      <c r="R3213" s="5" t="str">
        <f t="shared" si="2"/>
        <v>Kalushi: The Story Of Solomon Mahlangu</v>
      </c>
      <c r="S3213" s="5" t="str">
        <f>IFERROR(__xludf.DUMMYFUNCTION("""COMPUTED_VALUE"""),"How To Stage A Coup")</f>
        <v>How To Stage A Coup</v>
      </c>
      <c r="U3213" s="5" t="str">
        <f>IFERROR(__xludf.DUMMYFUNCTION("""COMPUTED_VALUE"""),"Mark Harris")</f>
        <v>Mark Harris</v>
      </c>
      <c r="V3213" s="5" t="s">
        <v>17762</v>
      </c>
      <c r="W3213" s="5" t="str">
        <f t="shared" si="3"/>
        <v>Paul Reubens, Wayne Orr</v>
      </c>
      <c r="X3213" s="5">
        <f t="shared" si="4"/>
        <v>1</v>
      </c>
      <c r="Y3213" s="5" t="str">
        <f>IFERROR(__xludf.DUMMYFUNCTION("REGEXEXTRACT(J3213, ""^\d+"")"),"107")</f>
        <v>107</v>
      </c>
      <c r="Z3213" s="5" t="str">
        <f>IFERROR(__xludf.DUMMYFUNCTION("REGEXEXTRACT(J3213, ""[A-Za-z ]+$"")")," min")</f>
        <v> min</v>
      </c>
      <c r="AA3213" s="5" t="str">
        <f>IFERROR(__xludf.DUMMYFUNCTION("IF(REGEXMATCH(Z3213, ""Season""), ""TV Show"", ""Movie"")"),"Movie")</f>
        <v>Movie</v>
      </c>
    </row>
    <row r="3214">
      <c r="A3214" s="1" t="s">
        <v>17763</v>
      </c>
      <c r="B3214" s="1" t="s">
        <v>37</v>
      </c>
      <c r="C3214" s="1" t="s">
        <v>17764</v>
      </c>
      <c r="E3214" s="1" t="s">
        <v>17765</v>
      </c>
      <c r="F3214" s="1" t="s">
        <v>17766</v>
      </c>
      <c r="G3214" s="1" t="s">
        <v>17740</v>
      </c>
      <c r="H3214" s="1">
        <v>2019.0</v>
      </c>
      <c r="I3214" s="1" t="s">
        <v>42</v>
      </c>
      <c r="J3214" s="1" t="s">
        <v>43</v>
      </c>
      <c r="K3214" s="1" t="s">
        <v>785</v>
      </c>
      <c r="L3214" s="1" t="s">
        <v>17767</v>
      </c>
      <c r="M3214" s="2" t="s">
        <v>12</v>
      </c>
      <c r="N3214" s="4">
        <f t="shared" si="1"/>
        <v>43798</v>
      </c>
      <c r="O3214" s="5" t="str">
        <f>IFERROR(__xludf.DUMMYFUNCTION("IF(REGEXMATCH(TRIM(I3214), ""^\d+\s*min""), ""Unclassified"", IF(I3214 = """", ""NR"", I3214))"),"TV-MA")</f>
        <v>TV-MA</v>
      </c>
      <c r="R3214" s="5" t="str">
        <f t="shared" si="2"/>
        <v>La Reina Del Sur</v>
      </c>
      <c r="S3214" s="5" t="str">
        <f>IFERROR(__xludf.DUMMYFUNCTION("""COMPUTED_VALUE"""),"How To Train Your Dragon 2")</f>
        <v>How To Train Your Dragon 2</v>
      </c>
      <c r="U3214" s="5" t="str">
        <f>IFERROR(__xludf.DUMMYFUNCTION("""COMPUTED_VALUE"""),"Jesse Gustafson")</f>
        <v>Jesse Gustafson</v>
      </c>
      <c r="V3214" s="5" t="s">
        <v>17768</v>
      </c>
      <c r="W3214" s="5" t="str">
        <f t="shared" si="3"/>
        <v>Paul Schrader</v>
      </c>
      <c r="X3214" s="5">
        <f t="shared" si="4"/>
        <v>1</v>
      </c>
      <c r="Y3214" s="5" t="str">
        <f>IFERROR(__xludf.DUMMYFUNCTION("REGEXEXTRACT(J3214, ""^\d+"")"),"2")</f>
        <v>2</v>
      </c>
      <c r="Z3214" s="5" t="str">
        <f>IFERROR(__xludf.DUMMYFUNCTION("REGEXEXTRACT(J3214, ""[A-Za-z ]+$"")")," Seasons")</f>
        <v> Seasons</v>
      </c>
      <c r="AA3214" s="5" t="str">
        <f>IFERROR(__xludf.DUMMYFUNCTION("IF(REGEXMATCH(Z3214, ""Season""), ""TV Show"", ""Movie"")"),"TV Show")</f>
        <v>TV Show</v>
      </c>
    </row>
    <row r="3215">
      <c r="A3215" s="1" t="s">
        <v>17769</v>
      </c>
      <c r="B3215" s="1" t="s">
        <v>27</v>
      </c>
      <c r="C3215" s="1" t="s">
        <v>17770</v>
      </c>
      <c r="D3215" s="1" t="s">
        <v>16026</v>
      </c>
      <c r="E3215" s="1" t="s">
        <v>17771</v>
      </c>
      <c r="G3215" s="1" t="s">
        <v>17740</v>
      </c>
      <c r="H3215" s="1">
        <v>2018.0</v>
      </c>
      <c r="I3215" s="1" t="s">
        <v>42</v>
      </c>
      <c r="J3215" s="1" t="s">
        <v>870</v>
      </c>
      <c r="K3215" s="1" t="s">
        <v>199</v>
      </c>
      <c r="L3215" s="1" t="s">
        <v>17772</v>
      </c>
      <c r="M3215" s="2" t="s">
        <v>12</v>
      </c>
      <c r="N3215" s="4">
        <f t="shared" si="1"/>
        <v>43798</v>
      </c>
      <c r="O3215" s="5" t="str">
        <f>IFERROR(__xludf.DUMMYFUNCTION("IF(REGEXMATCH(TRIM(I3215), ""^\d+\s*min""), ""Unclassified"", IF(I3215 = """", ""NR"", I3215))"),"TV-MA")</f>
        <v>TV-MA</v>
      </c>
      <c r="R3215" s="5" t="str">
        <f t="shared" si="2"/>
        <v>Lagos Real Fake Life</v>
      </c>
      <c r="S3215" s="5" t="str">
        <f>IFERROR(__xludf.DUMMYFUNCTION("""COMPUTED_VALUE"""),"How To Win The Us Presidency")</f>
        <v>How To Win The Us Presidency</v>
      </c>
      <c r="U3215" s="5" t="str">
        <f>IFERROR(__xludf.DUMMYFUNCTION("""COMPUTED_VALUE"""),"Martin Hodara")</f>
        <v>Martin Hodara</v>
      </c>
      <c r="V3215" s="5" t="s">
        <v>17773</v>
      </c>
      <c r="W3215" s="5" t="str">
        <f t="shared" si="3"/>
        <v>Paul Serafini</v>
      </c>
      <c r="X3215" s="5">
        <f t="shared" si="4"/>
        <v>1</v>
      </c>
      <c r="Y3215" s="5" t="str">
        <f>IFERROR(__xludf.DUMMYFUNCTION("REGEXEXTRACT(J3215, ""^\d+"")"),"118")</f>
        <v>118</v>
      </c>
      <c r="Z3215" s="5" t="str">
        <f>IFERROR(__xludf.DUMMYFUNCTION("REGEXEXTRACT(J3215, ""[A-Za-z ]+$"")")," min")</f>
        <v> min</v>
      </c>
      <c r="AA3215" s="5" t="str">
        <f>IFERROR(__xludf.DUMMYFUNCTION("IF(REGEXMATCH(Z3215, ""Season""), ""TV Show"", ""Movie"")"),"Movie")</f>
        <v>Movie</v>
      </c>
    </row>
    <row r="3216">
      <c r="A3216" s="1" t="s">
        <v>17774</v>
      </c>
      <c r="B3216" s="1" t="s">
        <v>27</v>
      </c>
      <c r="C3216" s="1" t="s">
        <v>17775</v>
      </c>
      <c r="D3216" s="1" t="s">
        <v>4552</v>
      </c>
      <c r="E3216" s="1" t="s">
        <v>17776</v>
      </c>
      <c r="F3216" s="1" t="s">
        <v>400</v>
      </c>
      <c r="G3216" s="1" t="s">
        <v>17740</v>
      </c>
      <c r="H3216" s="1">
        <v>2018.0</v>
      </c>
      <c r="I3216" s="1" t="s">
        <v>42</v>
      </c>
      <c r="J3216" s="1" t="s">
        <v>297</v>
      </c>
      <c r="K3216" s="1" t="s">
        <v>5295</v>
      </c>
      <c r="L3216" s="1" t="s">
        <v>17777</v>
      </c>
      <c r="M3216" s="2" t="s">
        <v>12</v>
      </c>
      <c r="N3216" s="4">
        <f t="shared" si="1"/>
        <v>43798</v>
      </c>
      <c r="O3216" s="5" t="str">
        <f>IFERROR(__xludf.DUMMYFUNCTION("IF(REGEXMATCH(TRIM(I3216), ""^\d+\s*min""), ""Unclassified"", IF(I3216 = """", ""NR"", I3216))"),"TV-MA")</f>
        <v>TV-MA</v>
      </c>
      <c r="R3216" s="5" t="str">
        <f t="shared" si="2"/>
        <v>Payday</v>
      </c>
      <c r="S3216" s="5" t="str">
        <f>IFERROR(__xludf.DUMMYFUNCTION("""COMPUTED_VALUE"""),"Howards End")</f>
        <v>Howards End</v>
      </c>
      <c r="U3216" s="5" t="str">
        <f>IFERROR(__xludf.DUMMYFUNCTION("""COMPUTED_VALUE"""),"Gabriela Cowperthwaite")</f>
        <v>Gabriela Cowperthwaite</v>
      </c>
      <c r="V3216" s="5" t="s">
        <v>17778</v>
      </c>
      <c r="W3216" s="5" t="str">
        <f t="shared" si="3"/>
        <v>Paul Shoulberg</v>
      </c>
      <c r="X3216" s="5">
        <f t="shared" si="4"/>
        <v>1</v>
      </c>
      <c r="Y3216" s="5" t="str">
        <f>IFERROR(__xludf.DUMMYFUNCTION("REGEXEXTRACT(J3216, ""^\d+"")"),"110")</f>
        <v>110</v>
      </c>
      <c r="Z3216" s="5" t="str">
        <f>IFERROR(__xludf.DUMMYFUNCTION("REGEXEXTRACT(J3216, ""[A-Za-z ]+$"")")," min")</f>
        <v> min</v>
      </c>
      <c r="AA3216" s="5" t="str">
        <f>IFERROR(__xludf.DUMMYFUNCTION("IF(REGEXMATCH(Z3216, ""Season""), ""TV Show"", ""Movie"")"),"Movie")</f>
        <v>Movie</v>
      </c>
    </row>
    <row r="3217">
      <c r="A3217" s="1" t="s">
        <v>17779</v>
      </c>
      <c r="B3217" s="1" t="s">
        <v>27</v>
      </c>
      <c r="C3217" s="1" t="s">
        <v>17780</v>
      </c>
      <c r="D3217" s="1" t="s">
        <v>17781</v>
      </c>
      <c r="E3217" s="1" t="s">
        <v>17782</v>
      </c>
      <c r="F3217" s="1" t="s">
        <v>400</v>
      </c>
      <c r="G3217" s="1" t="s">
        <v>17740</v>
      </c>
      <c r="H3217" s="1">
        <v>2017.0</v>
      </c>
      <c r="I3217" s="1" t="s">
        <v>42</v>
      </c>
      <c r="J3217" s="1" t="s">
        <v>106</v>
      </c>
      <c r="K3217" s="1" t="s">
        <v>1328</v>
      </c>
      <c r="L3217" s="1" t="s">
        <v>17783</v>
      </c>
      <c r="M3217" s="2" t="s">
        <v>12</v>
      </c>
      <c r="N3217" s="4">
        <f t="shared" si="1"/>
        <v>43798</v>
      </c>
      <c r="O3217" s="5" t="str">
        <f>IFERROR(__xludf.DUMMYFUNCTION("IF(REGEXMATCH(TRIM(I3217), ""^\d+\s*min""), ""Unclassified"", IF(I3217 = """", ""NR"", I3217))"),"TV-MA")</f>
        <v>TV-MA</v>
      </c>
      <c r="R3217" s="5" t="str">
        <f t="shared" si="2"/>
        <v>The Accidental Spy</v>
      </c>
      <c r="S3217" s="5" t="str">
        <f>IFERROR(__xludf.DUMMYFUNCTION("""COMPUTED_VALUE"""),"Hq Barbers")</f>
        <v>Hq Barbers</v>
      </c>
      <c r="U3217" s="5" t="str">
        <f>IFERROR(__xludf.DUMMYFUNCTION("""COMPUTED_VALUE"""),"Daniel Alfredson")</f>
        <v>Daniel Alfredson</v>
      </c>
      <c r="V3217" s="5" t="s">
        <v>12536</v>
      </c>
      <c r="W3217" s="5" t="str">
        <f t="shared" si="3"/>
        <v>Paul Solet</v>
      </c>
      <c r="X3217" s="5">
        <f t="shared" si="4"/>
        <v>1</v>
      </c>
      <c r="Y3217" s="5" t="str">
        <f>IFERROR(__xludf.DUMMYFUNCTION("REGEXEXTRACT(J3217, ""^\d+"")"),"104")</f>
        <v>104</v>
      </c>
      <c r="Z3217" s="5" t="str">
        <f>IFERROR(__xludf.DUMMYFUNCTION("REGEXEXTRACT(J3217, ""[A-Za-z ]+$"")")," min")</f>
        <v> min</v>
      </c>
      <c r="AA3217" s="5" t="str">
        <f>IFERROR(__xludf.DUMMYFUNCTION("IF(REGEXMATCH(Z3217, ""Season""), ""TV Show"", ""Movie"")"),"Movie")</f>
        <v>Movie</v>
      </c>
    </row>
    <row r="3218">
      <c r="A3218" s="1" t="s">
        <v>17784</v>
      </c>
      <c r="B3218" s="1" t="s">
        <v>37</v>
      </c>
      <c r="C3218" s="1" t="s">
        <v>17785</v>
      </c>
      <c r="E3218" s="1" t="s">
        <v>17786</v>
      </c>
      <c r="G3218" s="1" t="s">
        <v>17740</v>
      </c>
      <c r="H3218" s="1">
        <v>2019.0</v>
      </c>
      <c r="I3218" s="1" t="s">
        <v>97</v>
      </c>
      <c r="J3218" s="1" t="s">
        <v>51</v>
      </c>
      <c r="K3218" s="1" t="s">
        <v>64</v>
      </c>
      <c r="L3218" s="1" t="s">
        <v>17787</v>
      </c>
      <c r="M3218" s="2" t="s">
        <v>12</v>
      </c>
      <c r="N3218" s="4">
        <f t="shared" si="1"/>
        <v>43798</v>
      </c>
      <c r="O3218" s="5" t="str">
        <f>IFERROR(__xludf.DUMMYFUNCTION("IF(REGEXMATCH(TRIM(I3218), ""^\d+\s*min""), ""Unclassified"", IF(I3218 = """", ""NR"", I3218))"),"TV-14")</f>
        <v>TV-14</v>
      </c>
      <c r="R3218" s="5" t="str">
        <f t="shared" si="2"/>
        <v>The Charming Stepmom</v>
      </c>
      <c r="S3218" s="5" t="str">
        <f>IFERROR(__xludf.DUMMYFUNCTION("""COMPUTED_VALUE"""),"Hridaynath")</f>
        <v>Hridaynath</v>
      </c>
      <c r="U3218" s="5" t="str">
        <f>IFERROR(__xludf.DUMMYFUNCTION("""COMPUTED_VALUE"""),"Ethan Hawke")</f>
        <v>Ethan Hawke</v>
      </c>
      <c r="V3218" s="5" t="s">
        <v>17788</v>
      </c>
      <c r="W3218" s="5" t="str">
        <f t="shared" si="3"/>
        <v>Paul Solet, Rick Benattar</v>
      </c>
      <c r="X3218" s="5">
        <f t="shared" si="4"/>
        <v>1</v>
      </c>
      <c r="Y3218" s="5" t="str">
        <f>IFERROR(__xludf.DUMMYFUNCTION("REGEXEXTRACT(J3218, ""^\d+"")"),"1")</f>
        <v>1</v>
      </c>
      <c r="Z3218" s="5" t="str">
        <f>IFERROR(__xludf.DUMMYFUNCTION("REGEXEXTRACT(J3218, ""[A-Za-z ]+$"")")," Season")</f>
        <v> Season</v>
      </c>
      <c r="AA3218" s="5" t="str">
        <f>IFERROR(__xludf.DUMMYFUNCTION("IF(REGEXMATCH(Z3218, ""Season""), ""TV Show"", ""Movie"")"),"TV Show")</f>
        <v>TV Show</v>
      </c>
    </row>
    <row r="3219">
      <c r="A3219" s="1" t="s">
        <v>17789</v>
      </c>
      <c r="B3219" s="1" t="s">
        <v>27</v>
      </c>
      <c r="C3219" s="1" t="s">
        <v>17790</v>
      </c>
      <c r="D3219" s="1" t="s">
        <v>17791</v>
      </c>
      <c r="E3219" s="1" t="s">
        <v>17792</v>
      </c>
      <c r="F3219" s="1" t="s">
        <v>400</v>
      </c>
      <c r="G3219" s="1" t="s">
        <v>17740</v>
      </c>
      <c r="H3219" s="1">
        <v>2018.0</v>
      </c>
      <c r="I3219" s="1" t="s">
        <v>97</v>
      </c>
      <c r="J3219" s="1" t="s">
        <v>454</v>
      </c>
      <c r="K3219" s="1" t="s">
        <v>298</v>
      </c>
      <c r="L3219" s="1" t="s">
        <v>17793</v>
      </c>
      <c r="M3219" s="2" t="s">
        <v>12</v>
      </c>
      <c r="N3219" s="4">
        <f t="shared" si="1"/>
        <v>43798</v>
      </c>
      <c r="O3219" s="5" t="str">
        <f>IFERROR(__xludf.DUMMYFUNCTION("IF(REGEXMATCH(TRIM(I3219), ""^\d+\s*min""), ""Unclassified"", IF(I3219 = """", ""NR"", I3219))"),"TV-14")</f>
        <v>TV-14</v>
      </c>
      <c r="R3219" s="5" t="str">
        <f t="shared" si="2"/>
        <v>The Island</v>
      </c>
      <c r="S3219" s="5" t="str">
        <f>IFERROR(__xludf.DUMMYFUNCTION("""COMPUTED_VALUE"""),"Hubie Halloween")</f>
        <v>Hubie Halloween</v>
      </c>
      <c r="U3219" s="5" t="str">
        <f>IFERROR(__xludf.DUMMYFUNCTION("""COMPUTED_VALUE"""),"Ben Younger")</f>
        <v>Ben Younger</v>
      </c>
      <c r="V3219" s="5" t="s">
        <v>9931</v>
      </c>
      <c r="W3219" s="5" t="str">
        <f t="shared" si="3"/>
        <v>Paul Soriano</v>
      </c>
      <c r="X3219" s="5">
        <f t="shared" si="4"/>
        <v>2</v>
      </c>
      <c r="Y3219" s="5" t="str">
        <f>IFERROR(__xludf.DUMMYFUNCTION("REGEXEXTRACT(J3219, ""^\d+"")"),"93")</f>
        <v>93</v>
      </c>
      <c r="Z3219" s="5" t="str">
        <f>IFERROR(__xludf.DUMMYFUNCTION("REGEXEXTRACT(J3219, ""[A-Za-z ]+$"")")," min")</f>
        <v> min</v>
      </c>
      <c r="AA3219" s="5" t="str">
        <f>IFERROR(__xludf.DUMMYFUNCTION("IF(REGEXMATCH(Z3219, ""Season""), ""TV Show"", ""Movie"")"),"Movie")</f>
        <v>Movie</v>
      </c>
    </row>
    <row r="3220">
      <c r="A3220" s="1" t="s">
        <v>17794</v>
      </c>
      <c r="B3220" s="1" t="s">
        <v>27</v>
      </c>
      <c r="C3220" s="1" t="s">
        <v>17795</v>
      </c>
      <c r="D3220" s="1" t="s">
        <v>9806</v>
      </c>
      <c r="E3220" s="1" t="s">
        <v>17796</v>
      </c>
      <c r="F3220" s="1" t="s">
        <v>30</v>
      </c>
      <c r="G3220" s="1" t="s">
        <v>17797</v>
      </c>
      <c r="H3220" s="1">
        <v>2019.0</v>
      </c>
      <c r="I3220" s="1" t="s">
        <v>136</v>
      </c>
      <c r="J3220" s="1" t="s">
        <v>170</v>
      </c>
      <c r="K3220" s="1" t="s">
        <v>771</v>
      </c>
      <c r="L3220" s="1" t="s">
        <v>17798</v>
      </c>
      <c r="M3220" s="2" t="s">
        <v>12</v>
      </c>
      <c r="N3220" s="4">
        <f t="shared" si="1"/>
        <v>43797</v>
      </c>
      <c r="O3220" s="5" t="str">
        <f>IFERROR(__xludf.DUMMYFUNCTION("IF(REGEXMATCH(TRIM(I3220), ""^\d+\s*min""), ""Unclassified"", IF(I3220 = """", ""NR"", I3220))"),"TV-PG")</f>
        <v>TV-PG</v>
      </c>
      <c r="R3220" s="5" t="str">
        <f t="shared" si="2"/>
        <v>Holiday Rush</v>
      </c>
      <c r="S3220" s="5" t="str">
        <f>IFERROR(__xludf.DUMMYFUNCTION("""COMPUTED_VALUE"""),"Huge In France")</f>
        <v>Huge In France</v>
      </c>
      <c r="U3220" s="5" t="str">
        <f>IFERROR(__xludf.DUMMYFUNCTION("""COMPUTED_VALUE"""),"Deane Taylor")</f>
        <v>Deane Taylor</v>
      </c>
      <c r="V3220" s="5" t="s">
        <v>17799</v>
      </c>
      <c r="W3220" s="5" t="str">
        <f t="shared" si="3"/>
        <v>Paul Spurrier</v>
      </c>
      <c r="X3220" s="5">
        <f t="shared" si="4"/>
        <v>1</v>
      </c>
      <c r="Y3220" s="5" t="str">
        <f>IFERROR(__xludf.DUMMYFUNCTION("REGEXEXTRACT(J3220, ""^\d+"")"),"94")</f>
        <v>94</v>
      </c>
      <c r="Z3220" s="5" t="str">
        <f>IFERROR(__xludf.DUMMYFUNCTION("REGEXEXTRACT(J3220, ""[A-Za-z ]+$"")")," min")</f>
        <v> min</v>
      </c>
      <c r="AA3220" s="5" t="str">
        <f>IFERROR(__xludf.DUMMYFUNCTION("IF(REGEXMATCH(Z3220, ""Season""), ""TV Show"", ""Movie"")"),"Movie")</f>
        <v>Movie</v>
      </c>
    </row>
    <row r="3221">
      <c r="A3221" s="1" t="s">
        <v>17800</v>
      </c>
      <c r="B3221" s="1" t="s">
        <v>37</v>
      </c>
      <c r="C3221" s="1" t="s">
        <v>17801</v>
      </c>
      <c r="E3221" s="1" t="s">
        <v>17802</v>
      </c>
      <c r="F3221" s="1" t="s">
        <v>415</v>
      </c>
      <c r="G3221" s="1" t="s">
        <v>17797</v>
      </c>
      <c r="H3221" s="1">
        <v>2019.0</v>
      </c>
      <c r="I3221" s="1" t="s">
        <v>97</v>
      </c>
      <c r="J3221" s="1" t="s">
        <v>51</v>
      </c>
      <c r="K3221" s="1" t="s">
        <v>567</v>
      </c>
      <c r="L3221" s="1" t="s">
        <v>17803</v>
      </c>
      <c r="M3221" s="2" t="s">
        <v>12</v>
      </c>
      <c r="N3221" s="4">
        <f t="shared" si="1"/>
        <v>43797</v>
      </c>
      <c r="O3221" s="5" t="str">
        <f>IFERROR(__xludf.DUMMYFUNCTION("IF(REGEXMATCH(TRIM(I3221), ""^\d+\s*min""), ""Unclassified"", IF(I3221 = """", ""NR"", I3221))"),"TV-14")</f>
        <v>TV-14</v>
      </c>
      <c r="R3221" s="5" t="str">
        <f t="shared" si="2"/>
        <v>Levius</v>
      </c>
      <c r="S3221" s="5" t="str">
        <f>IFERROR(__xludf.DUMMYFUNCTION("""COMPUTED_VALUE"""),"Hugo")</f>
        <v>Hugo</v>
      </c>
      <c r="U3221" s="5" t="str">
        <f>IFERROR(__xludf.DUMMYFUNCTION("""COMPUTED_VALUE"""),"July Hygreck")</f>
        <v>July Hygreck</v>
      </c>
      <c r="V3221" s="5" t="s">
        <v>17804</v>
      </c>
      <c r="W3221" s="5" t="str">
        <f t="shared" si="3"/>
        <v>Paul Tanter</v>
      </c>
      <c r="X3221" s="5">
        <f t="shared" si="4"/>
        <v>1</v>
      </c>
      <c r="Y3221" s="5" t="str">
        <f>IFERROR(__xludf.DUMMYFUNCTION("REGEXEXTRACT(J3221, ""^\d+"")"),"1")</f>
        <v>1</v>
      </c>
      <c r="Z3221" s="5" t="str">
        <f>IFERROR(__xludf.DUMMYFUNCTION("REGEXEXTRACT(J3221, ""[A-Za-z ]+$"")")," Season")</f>
        <v> Season</v>
      </c>
      <c r="AA3221" s="5" t="str">
        <f>IFERROR(__xludf.DUMMYFUNCTION("IF(REGEXMATCH(Z3221, ""Season""), ""TV Show"", ""Movie"")"),"TV Show")</f>
        <v>TV Show</v>
      </c>
    </row>
    <row r="3222">
      <c r="A3222" s="1" t="s">
        <v>17805</v>
      </c>
      <c r="B3222" s="1" t="s">
        <v>37</v>
      </c>
      <c r="C3222" s="1" t="s">
        <v>17806</v>
      </c>
      <c r="F3222" s="1" t="s">
        <v>1992</v>
      </c>
      <c r="G3222" s="1" t="s">
        <v>17797</v>
      </c>
      <c r="H3222" s="1">
        <v>2019.0</v>
      </c>
      <c r="I3222" s="1" t="s">
        <v>42</v>
      </c>
      <c r="J3222" s="1" t="s">
        <v>51</v>
      </c>
      <c r="K3222" s="1" t="s">
        <v>15002</v>
      </c>
      <c r="L3222" s="1" t="s">
        <v>17807</v>
      </c>
      <c r="M3222" s="2" t="s">
        <v>12</v>
      </c>
      <c r="N3222" s="4">
        <f t="shared" si="1"/>
        <v>43797</v>
      </c>
      <c r="O3222" s="5" t="str">
        <f>IFERROR(__xludf.DUMMYFUNCTION("IF(REGEXMATCH(TRIM(I3222), ""^\d+\s*min""), ""Unclassified"", IF(I3222 = """", ""NR"", I3222))"),"TV-MA")</f>
        <v>TV-MA</v>
      </c>
      <c r="R3222" s="5" t="str">
        <f t="shared" si="2"/>
        <v>Lugar De Mulher</v>
      </c>
      <c r="S3222" s="5" t="str">
        <f>IFERROR(__xludf.DUMMYFUNCTION("""COMPUTED_VALUE"""),"Hükümet Kadin")</f>
        <v>Hükümet Kadin</v>
      </c>
      <c r="U3222" s="5" t="str">
        <f>IFERROR(__xludf.DUMMYFUNCTION("""COMPUTED_VALUE"""),"Jean-François Richet")</f>
        <v>Jean-François Richet</v>
      </c>
      <c r="V3222" s="5" t="s">
        <v>17808</v>
      </c>
      <c r="W3222" s="5" t="str">
        <f t="shared" si="3"/>
        <v>Paul Taublieb, Jon Freeman</v>
      </c>
      <c r="X3222" s="5">
        <f t="shared" si="4"/>
        <v>1</v>
      </c>
      <c r="Y3222" s="5" t="str">
        <f>IFERROR(__xludf.DUMMYFUNCTION("REGEXEXTRACT(J3222, ""^\d+"")"),"1")</f>
        <v>1</v>
      </c>
      <c r="Z3222" s="5" t="str">
        <f>IFERROR(__xludf.DUMMYFUNCTION("REGEXEXTRACT(J3222, ""[A-Za-z ]+$"")")," Season")</f>
        <v> Season</v>
      </c>
      <c r="AA3222" s="5" t="str">
        <f>IFERROR(__xludf.DUMMYFUNCTION("IF(REGEXMATCH(Z3222, ""Season""), ""TV Show"", ""Movie"")"),"TV Show")</f>
        <v>TV Show</v>
      </c>
    </row>
    <row r="3223">
      <c r="A3223" s="1" t="s">
        <v>17809</v>
      </c>
      <c r="B3223" s="1" t="s">
        <v>37</v>
      </c>
      <c r="C3223" s="1" t="s">
        <v>17810</v>
      </c>
      <c r="E3223" s="1" t="s">
        <v>17811</v>
      </c>
      <c r="F3223" s="1" t="s">
        <v>30</v>
      </c>
      <c r="G3223" s="1" t="s">
        <v>17797</v>
      </c>
      <c r="H3223" s="1">
        <v>2019.0</v>
      </c>
      <c r="I3223" s="1" t="s">
        <v>136</v>
      </c>
      <c r="J3223" s="1" t="s">
        <v>51</v>
      </c>
      <c r="K3223" s="1" t="s">
        <v>270</v>
      </c>
      <c r="L3223" s="1" t="s">
        <v>17812</v>
      </c>
      <c r="M3223" s="2" t="s">
        <v>12</v>
      </c>
      <c r="N3223" s="4">
        <f t="shared" si="1"/>
        <v>43797</v>
      </c>
      <c r="O3223" s="5" t="str">
        <f>IFERROR(__xludf.DUMMYFUNCTION("IF(REGEXMATCH(TRIM(I3223), ""^\d+\s*min""), ""Unclassified"", IF(I3223 = """", ""NR"", I3223))"),"TV-PG")</f>
        <v>TV-PG</v>
      </c>
      <c r="R3223" s="5" t="str">
        <f t="shared" si="2"/>
        <v>Merry Happy Whatever</v>
      </c>
      <c r="S3223" s="5" t="str">
        <f>IFERROR(__xludf.DUMMYFUNCTION("""COMPUTED_VALUE"""),"Hükümet Kadin 2")</f>
        <v>Hükümet Kadin 2</v>
      </c>
      <c r="U3223" s="5" t="str">
        <f>IFERROR(__xludf.DUMMYFUNCTION("""COMPUTED_VALUE"""),"Ted Demme")</f>
        <v>Ted Demme</v>
      </c>
      <c r="V3223" s="5" t="s">
        <v>2222</v>
      </c>
      <c r="W3223" s="5" t="str">
        <f t="shared" si="3"/>
        <v>Paul Thomas Anderson</v>
      </c>
      <c r="X3223" s="5">
        <f t="shared" si="4"/>
        <v>5</v>
      </c>
      <c r="Y3223" s="5" t="str">
        <f>IFERROR(__xludf.DUMMYFUNCTION("REGEXEXTRACT(J3223, ""^\d+"")"),"1")</f>
        <v>1</v>
      </c>
      <c r="Z3223" s="5" t="str">
        <f>IFERROR(__xludf.DUMMYFUNCTION("REGEXEXTRACT(J3223, ""[A-Za-z ]+$"")")," Season")</f>
        <v> Season</v>
      </c>
      <c r="AA3223" s="5" t="str">
        <f>IFERROR(__xludf.DUMMYFUNCTION("IF(REGEXMATCH(Z3223, ""Season""), ""TV Show"", ""Movie"")"),"TV Show")</f>
        <v>TV Show</v>
      </c>
    </row>
    <row r="3224">
      <c r="A3224" s="1" t="s">
        <v>17813</v>
      </c>
      <c r="B3224" s="1" t="s">
        <v>37</v>
      </c>
      <c r="C3224" s="1" t="s">
        <v>17814</v>
      </c>
      <c r="E3224" s="1" t="s">
        <v>17815</v>
      </c>
      <c r="F3224" s="1" t="s">
        <v>664</v>
      </c>
      <c r="G3224" s="1" t="s">
        <v>17797</v>
      </c>
      <c r="H3224" s="1">
        <v>2019.0</v>
      </c>
      <c r="I3224" s="1" t="s">
        <v>42</v>
      </c>
      <c r="J3224" s="1" t="s">
        <v>51</v>
      </c>
      <c r="K3224" s="1" t="s">
        <v>1531</v>
      </c>
      <c r="L3224" s="1" t="s">
        <v>17816</v>
      </c>
      <c r="M3224" s="2" t="s">
        <v>12</v>
      </c>
      <c r="N3224" s="4">
        <f t="shared" si="1"/>
        <v>43797</v>
      </c>
      <c r="O3224" s="5" t="str">
        <f>IFERROR(__xludf.DUMMYFUNCTION("IF(REGEXMATCH(TRIM(I3224), ""^\d+\s*min""), ""Unclassified"", IF(I3224 = """", ""NR"", I3224))"),"TV-MA")</f>
        <v>TV-MA</v>
      </c>
      <c r="R3224" s="5" t="str">
        <f t="shared" si="2"/>
        <v>Mythomaniac</v>
      </c>
      <c r="S3224" s="5" t="str">
        <f>IFERROR(__xludf.DUMMYFUNCTION("""COMPUTED_VALUE"""),"Hulk Vs.")</f>
        <v>Hulk Vs.</v>
      </c>
      <c r="U3224" s="5" t="str">
        <f>IFERROR(__xludf.DUMMYFUNCTION("""COMPUTED_VALUE"""),"Abdellatif Kechiche")</f>
        <v>Abdellatif Kechiche</v>
      </c>
      <c r="V3224" s="5" t="s">
        <v>17817</v>
      </c>
      <c r="W3224" s="5" t="str">
        <f t="shared" si="3"/>
        <v>Paul Urkijo Alijo</v>
      </c>
      <c r="X3224" s="5">
        <f t="shared" si="4"/>
        <v>1</v>
      </c>
      <c r="Y3224" s="5" t="str">
        <f>IFERROR(__xludf.DUMMYFUNCTION("REGEXEXTRACT(J3224, ""^\d+"")"),"1")</f>
        <v>1</v>
      </c>
      <c r="Z3224" s="5" t="str">
        <f>IFERROR(__xludf.DUMMYFUNCTION("REGEXEXTRACT(J3224, ""[A-Za-z ]+$"")")," Season")</f>
        <v> Season</v>
      </c>
      <c r="AA3224" s="5" t="str">
        <f>IFERROR(__xludf.DUMMYFUNCTION("IF(REGEXMATCH(Z3224, ""Season""), ""TV Show"", ""Movie"")"),"TV Show")</f>
        <v>TV Show</v>
      </c>
    </row>
    <row r="3225">
      <c r="A3225" s="1" t="s">
        <v>17818</v>
      </c>
      <c r="B3225" s="1" t="s">
        <v>27</v>
      </c>
      <c r="C3225" s="1" t="s">
        <v>17819</v>
      </c>
      <c r="D3225" s="1" t="s">
        <v>6869</v>
      </c>
      <c r="E3225" s="1" t="s">
        <v>17820</v>
      </c>
      <c r="F3225" s="1" t="s">
        <v>30</v>
      </c>
      <c r="G3225" s="1" t="s">
        <v>17821</v>
      </c>
      <c r="H3225" s="1">
        <v>2008.0</v>
      </c>
      <c r="I3225" s="1" t="s">
        <v>378</v>
      </c>
      <c r="J3225" s="1" t="s">
        <v>4242</v>
      </c>
      <c r="K3225" s="1" t="s">
        <v>323</v>
      </c>
      <c r="L3225" s="1" t="s">
        <v>17822</v>
      </c>
      <c r="M3225" s="2" t="s">
        <v>12</v>
      </c>
      <c r="N3225" s="4">
        <f t="shared" si="1"/>
        <v>43796</v>
      </c>
      <c r="O3225" s="5" t="str">
        <f>IFERROR(__xludf.DUMMYFUNCTION("IF(REGEXMATCH(TRIM(I3225), ""^\d+\s*min""), ""Unclassified"", IF(I3225 = """", ""NR"", I3225))"),"R")</f>
        <v>R</v>
      </c>
      <c r="R3225" s="5" t="str">
        <f t="shared" si="2"/>
        <v>Defiance</v>
      </c>
      <c r="S3225" s="5" t="str">
        <f>IFERROR(__xludf.DUMMYFUNCTION("""COMPUTED_VALUE"""),"Hum Aapke Hain Koun")</f>
        <v>Hum Aapke Hain Koun</v>
      </c>
      <c r="U3225" s="5" t="str">
        <f>IFERROR(__xludf.DUMMYFUNCTION("""COMPUTED_VALUE"""),"Woody Allen")</f>
        <v>Woody Allen</v>
      </c>
      <c r="V3225" s="5" t="s">
        <v>13152</v>
      </c>
      <c r="W3225" s="5" t="str">
        <f t="shared" si="3"/>
        <v>Paul Verhoeven</v>
      </c>
      <c r="X3225" s="5">
        <f t="shared" si="4"/>
        <v>2</v>
      </c>
      <c r="Y3225" s="5" t="str">
        <f>IFERROR(__xludf.DUMMYFUNCTION("REGEXEXTRACT(J3225, ""^\d+"")"),"137")</f>
        <v>137</v>
      </c>
      <c r="Z3225" s="5" t="str">
        <f>IFERROR(__xludf.DUMMYFUNCTION("REGEXEXTRACT(J3225, ""[A-Za-z ]+$"")")," min")</f>
        <v> min</v>
      </c>
      <c r="AA3225" s="5" t="str">
        <f>IFERROR(__xludf.DUMMYFUNCTION("IF(REGEXMATCH(Z3225, ""Season""), ""TV Show"", ""Movie"")"),"Movie")</f>
        <v>Movie</v>
      </c>
    </row>
    <row r="3226">
      <c r="A3226" s="1" t="s">
        <v>17823</v>
      </c>
      <c r="B3226" s="1" t="s">
        <v>27</v>
      </c>
      <c r="C3226" s="1" t="s">
        <v>17824</v>
      </c>
      <c r="D3226" s="1" t="s">
        <v>3050</v>
      </c>
      <c r="E3226" s="1" t="s">
        <v>17825</v>
      </c>
      <c r="F3226" s="1" t="s">
        <v>63</v>
      </c>
      <c r="G3226" s="1" t="s">
        <v>17821</v>
      </c>
      <c r="H3226" s="1">
        <v>2019.0</v>
      </c>
      <c r="I3226" s="1" t="s">
        <v>97</v>
      </c>
      <c r="J3226" s="1" t="s">
        <v>7413</v>
      </c>
      <c r="K3226" s="1" t="s">
        <v>215</v>
      </c>
      <c r="L3226" s="1" t="s">
        <v>17826</v>
      </c>
      <c r="M3226" s="2" t="s">
        <v>12</v>
      </c>
      <c r="N3226" s="4">
        <f t="shared" si="1"/>
        <v>43796</v>
      </c>
      <c r="O3226" s="5" t="str">
        <f>IFERROR(__xludf.DUMMYFUNCTION("IF(REGEXMATCH(TRIM(I3226), ""^\d+\s*min""), ""Unclassified"", IF(I3226 = """", ""NR"", I3226))"),"TV-14")</f>
        <v>TV-14</v>
      </c>
      <c r="R3226" s="5" t="str">
        <f t="shared" si="2"/>
        <v>Evvarikee Cheppoddu</v>
      </c>
      <c r="S3226" s="5" t="str">
        <f>IFERROR(__xludf.DUMMYFUNCTION("""COMPUTED_VALUE"""),"Hum Saath-Saath Hain")</f>
        <v>Hum Saath-Saath Hain</v>
      </c>
      <c r="U3226" s="5" t="str">
        <f>IFERROR(__xludf.DUMMYFUNCTION("""COMPUTED_VALUE"""),"Lev L. Spiro")</f>
        <v>Lev L. Spiro</v>
      </c>
      <c r="V3226" s="5" t="s">
        <v>3614</v>
      </c>
      <c r="W3226" s="5" t="str">
        <f t="shared" si="3"/>
        <v>Paul W.S. Anderson</v>
      </c>
      <c r="X3226" s="5">
        <f t="shared" si="4"/>
        <v>3</v>
      </c>
      <c r="Y3226" s="5" t="str">
        <f>IFERROR(__xludf.DUMMYFUNCTION("REGEXEXTRACT(J3226, ""^\d+"")"),"134")</f>
        <v>134</v>
      </c>
      <c r="Z3226" s="5" t="str">
        <f>IFERROR(__xludf.DUMMYFUNCTION("REGEXEXTRACT(J3226, ""[A-Za-z ]+$"")")," min")</f>
        <v> min</v>
      </c>
      <c r="AA3226" s="5" t="str">
        <f>IFERROR(__xludf.DUMMYFUNCTION("IF(REGEXMATCH(Z3226, ""Season""), ""TV Show"", ""Movie"")"),"Movie")</f>
        <v>Movie</v>
      </c>
    </row>
    <row r="3227">
      <c r="A3227" s="1" t="s">
        <v>17827</v>
      </c>
      <c r="B3227" s="1" t="s">
        <v>27</v>
      </c>
      <c r="C3227" s="1" t="s">
        <v>17828</v>
      </c>
      <c r="D3227" s="1" t="s">
        <v>572</v>
      </c>
      <c r="E3227" s="1" t="s">
        <v>17829</v>
      </c>
      <c r="G3227" s="1" t="s">
        <v>17821</v>
      </c>
      <c r="H3227" s="1">
        <v>2019.0</v>
      </c>
      <c r="I3227" s="1" t="s">
        <v>289</v>
      </c>
      <c r="J3227" s="1" t="s">
        <v>1993</v>
      </c>
      <c r="K3227" s="1" t="s">
        <v>137</v>
      </c>
      <c r="L3227" s="1" t="s">
        <v>17830</v>
      </c>
      <c r="M3227" s="2" t="s">
        <v>12</v>
      </c>
      <c r="N3227" s="4">
        <f t="shared" si="1"/>
        <v>43796</v>
      </c>
      <c r="O3227" s="5" t="str">
        <f>IFERROR(__xludf.DUMMYFUNCTION("IF(REGEXMATCH(TRIM(I3227), ""^\d+\s*min""), ""Unclassified"", IF(I3227 = """", ""NR"", I3227))"),"TV-Y7")</f>
        <v>TV-Y7</v>
      </c>
      <c r="R3227" s="5" t="str">
        <f t="shared" si="2"/>
        <v>Little Singham: Mahabali</v>
      </c>
      <c r="S3227" s="5" t="str">
        <f>IFERROR(__xludf.DUMMYFUNCTION("""COMPUTED_VALUE"""),"Human Nature")</f>
        <v>Human Nature</v>
      </c>
      <c r="U3227" s="5" t="str">
        <f>IFERROR(__xludf.DUMMYFUNCTION("""COMPUTED_VALUE"""),"Derek Cianfrance")</f>
        <v>Derek Cianfrance</v>
      </c>
      <c r="V3227" s="5" t="s">
        <v>4212</v>
      </c>
      <c r="W3227" s="5" t="str">
        <f t="shared" si="3"/>
        <v>Paul Weitz</v>
      </c>
      <c r="X3227" s="5">
        <f t="shared" si="4"/>
        <v>2</v>
      </c>
      <c r="Y3227" s="5" t="str">
        <f>IFERROR(__xludf.DUMMYFUNCTION("REGEXEXTRACT(J3227, ""^\d+"")"),"69")</f>
        <v>69</v>
      </c>
      <c r="Z3227" s="5" t="str">
        <f>IFERROR(__xludf.DUMMYFUNCTION("REGEXEXTRACT(J3227, ""[A-Za-z ]+$"")")," min")</f>
        <v> min</v>
      </c>
      <c r="AA3227" s="5" t="str">
        <f>IFERROR(__xludf.DUMMYFUNCTION("IF(REGEXMATCH(Z3227, ""Season""), ""TV Show"", ""Movie"")"),"Movie")</f>
        <v>Movie</v>
      </c>
    </row>
    <row r="3228">
      <c r="A3228" s="1" t="s">
        <v>17831</v>
      </c>
      <c r="B3228" s="1" t="s">
        <v>27</v>
      </c>
      <c r="C3228" s="1" t="s">
        <v>17832</v>
      </c>
      <c r="D3228" s="1" t="s">
        <v>6982</v>
      </c>
      <c r="E3228" s="1" t="s">
        <v>17833</v>
      </c>
      <c r="F3228" s="1" t="s">
        <v>17834</v>
      </c>
      <c r="G3228" s="1" t="s">
        <v>17821</v>
      </c>
      <c r="H3228" s="1">
        <v>2019.0</v>
      </c>
      <c r="I3228" s="1" t="s">
        <v>42</v>
      </c>
      <c r="J3228" s="1" t="s">
        <v>256</v>
      </c>
      <c r="K3228" s="1" t="s">
        <v>1320</v>
      </c>
      <c r="L3228" s="1" t="s">
        <v>17835</v>
      </c>
      <c r="M3228" s="2" t="s">
        <v>12</v>
      </c>
      <c r="N3228" s="4">
        <f t="shared" si="1"/>
        <v>43796</v>
      </c>
      <c r="O3228" s="5" t="str">
        <f>IFERROR(__xludf.DUMMYFUNCTION("IF(REGEXMATCH(TRIM(I3228), ""^\d+\s*min""), ""Unclassified"", IF(I3228 = """", ""NR"", I3228))"),"TV-MA")</f>
        <v>TV-MA</v>
      </c>
      <c r="R3228" s="5" t="str">
        <f t="shared" si="2"/>
        <v>The Body Remembers When The World Broke Open</v>
      </c>
      <c r="S3228" s="5" t="str">
        <f>IFERROR(__xludf.DUMMYFUNCTION("""COMPUTED_VALUE"""),"Human: The World Within")</f>
        <v>Human: The World Within</v>
      </c>
      <c r="U3228" s="5" t="str">
        <f>IFERROR(__xludf.DUMMYFUNCTION("""COMPUTED_VALUE"""),"Jeremy Kenyon Lockyer Corbell")</f>
        <v>Jeremy Kenyon Lockyer Corbell</v>
      </c>
      <c r="V3228" s="5" t="s">
        <v>17836</v>
      </c>
      <c r="W3228" s="5" t="str">
        <f t="shared" si="3"/>
        <v>Paula Apsell, Kirk Wolfinger</v>
      </c>
      <c r="X3228" s="5">
        <f t="shared" si="4"/>
        <v>1</v>
      </c>
      <c r="Y3228" s="5" t="str">
        <f>IFERROR(__xludf.DUMMYFUNCTION("REGEXEXTRACT(J3228, ""^\d+"")"),"106")</f>
        <v>106</v>
      </c>
      <c r="Z3228" s="5" t="str">
        <f>IFERROR(__xludf.DUMMYFUNCTION("REGEXEXTRACT(J3228, ""[A-Za-z ]+$"")")," min")</f>
        <v> min</v>
      </c>
      <c r="AA3228" s="5" t="str">
        <f>IFERROR(__xludf.DUMMYFUNCTION("IF(REGEXMATCH(Z3228, ""Season""), ""TV Show"", ""Movie"")"),"Movie")</f>
        <v>Movie</v>
      </c>
    </row>
    <row r="3229">
      <c r="A3229" s="1" t="s">
        <v>17837</v>
      </c>
      <c r="B3229" s="1" t="s">
        <v>27</v>
      </c>
      <c r="C3229" s="1" t="s">
        <v>17838</v>
      </c>
      <c r="D3229" s="1" t="s">
        <v>7998</v>
      </c>
      <c r="E3229" s="1" t="s">
        <v>17839</v>
      </c>
      <c r="F3229" s="1" t="s">
        <v>30</v>
      </c>
      <c r="G3229" s="1" t="s">
        <v>17821</v>
      </c>
      <c r="H3229" s="1">
        <v>2019.0</v>
      </c>
      <c r="I3229" s="1" t="s">
        <v>378</v>
      </c>
      <c r="J3229" s="1" t="s">
        <v>15299</v>
      </c>
      <c r="K3229" s="1" t="s">
        <v>805</v>
      </c>
      <c r="L3229" s="1" t="s">
        <v>17840</v>
      </c>
      <c r="M3229" s="2" t="s">
        <v>12</v>
      </c>
      <c r="N3229" s="4">
        <f t="shared" si="1"/>
        <v>43796</v>
      </c>
      <c r="O3229" s="5" t="str">
        <f>IFERROR(__xludf.DUMMYFUNCTION("IF(REGEXMATCH(TRIM(I3229), ""^\d+\s*min""), ""Unclassified"", IF(I3229 = """", ""NR"", I3229))"),"R")</f>
        <v>R</v>
      </c>
      <c r="R3229" s="5" t="str">
        <f t="shared" si="2"/>
        <v>The Irishman</v>
      </c>
      <c r="S3229" s="5" t="str">
        <f>IFERROR(__xludf.DUMMYFUNCTION("""COMPUTED_VALUE"""),"Humko Deewana Kar Gaye")</f>
        <v>Humko Deewana Kar Gaye</v>
      </c>
      <c r="U3229" s="5" t="str">
        <f>IFERROR(__xludf.DUMMYFUNCTION("""COMPUTED_VALUE"""),"Jay Surridge")</f>
        <v>Jay Surridge</v>
      </c>
      <c r="V3229" s="5" t="s">
        <v>17841</v>
      </c>
      <c r="W3229" s="5" t="str">
        <f t="shared" si="3"/>
        <v>Paulo Oriol</v>
      </c>
      <c r="X3229" s="5">
        <f t="shared" si="4"/>
        <v>1</v>
      </c>
      <c r="Y3229" s="5" t="str">
        <f>IFERROR(__xludf.DUMMYFUNCTION("REGEXEXTRACT(J3229, ""^\d+"")"),"209")</f>
        <v>209</v>
      </c>
      <c r="Z3229" s="5" t="str">
        <f>IFERROR(__xludf.DUMMYFUNCTION("REGEXEXTRACT(J3229, ""[A-Za-z ]+$"")")," min")</f>
        <v> min</v>
      </c>
      <c r="AA3229" s="5" t="str">
        <f>IFERROR(__xludf.DUMMYFUNCTION("IF(REGEXMATCH(Z3229, ""Season""), ""TV Show"", ""Movie"")"),"Movie")</f>
        <v>Movie</v>
      </c>
    </row>
    <row r="3230">
      <c r="A3230" s="1" t="s">
        <v>17842</v>
      </c>
      <c r="B3230" s="1" t="s">
        <v>27</v>
      </c>
      <c r="C3230" s="1" t="s">
        <v>17843</v>
      </c>
      <c r="D3230" s="1" t="s">
        <v>14461</v>
      </c>
      <c r="E3230" s="1" t="s">
        <v>14462</v>
      </c>
      <c r="F3230" s="1" t="s">
        <v>30</v>
      </c>
      <c r="G3230" s="1" t="s">
        <v>17844</v>
      </c>
      <c r="H3230" s="1">
        <v>2019.0</v>
      </c>
      <c r="I3230" s="1" t="s">
        <v>42</v>
      </c>
      <c r="J3230" s="1" t="s">
        <v>1144</v>
      </c>
      <c r="K3230" s="1" t="s">
        <v>1839</v>
      </c>
      <c r="L3230" s="1" t="s">
        <v>17845</v>
      </c>
      <c r="M3230" s="2" t="s">
        <v>12</v>
      </c>
      <c r="N3230" s="4">
        <f t="shared" si="1"/>
        <v>43795</v>
      </c>
      <c r="O3230" s="5" t="str">
        <f>IFERROR(__xludf.DUMMYFUNCTION("IF(REGEXMATCH(TRIM(I3230), ""^\d+\s*min""), ""Unclassified"", IF(I3230 = """", ""NR"", I3230))"),"TV-MA")</f>
        <v>TV-MA</v>
      </c>
      <c r="R3230" s="5" t="str">
        <f t="shared" si="2"/>
        <v>Mike Birbiglia: The New One</v>
      </c>
      <c r="S3230" s="5" t="str">
        <f>IFERROR(__xludf.DUMMYFUNCTION("""COMPUTED_VALUE"""),"Humpty Sharma Ki Dulhania")</f>
        <v>Humpty Sharma Ki Dulhania</v>
      </c>
      <c r="U3230" s="5" t="str">
        <f>IFERROR(__xludf.DUMMYFUNCTION("""COMPUTED_VALUE"""),"Elvira Lind")</f>
        <v>Elvira Lind</v>
      </c>
      <c r="V3230" s="5" t="s">
        <v>10851</v>
      </c>
      <c r="W3230" s="5" t="str">
        <f t="shared" si="3"/>
        <v>Pavel Kostomarov</v>
      </c>
      <c r="X3230" s="5">
        <f t="shared" si="4"/>
        <v>1</v>
      </c>
      <c r="Y3230" s="5" t="str">
        <f>IFERROR(__xludf.DUMMYFUNCTION("REGEXEXTRACT(J3230, ""^\d+"")"),"86")</f>
        <v>86</v>
      </c>
      <c r="Z3230" s="5" t="str">
        <f>IFERROR(__xludf.DUMMYFUNCTION("REGEXEXTRACT(J3230, ""[A-Za-z ]+$"")")," min")</f>
        <v> min</v>
      </c>
      <c r="AA3230" s="5" t="str">
        <f>IFERROR(__xludf.DUMMYFUNCTION("IF(REGEXMATCH(Z3230, ""Season""), ""TV Show"", ""Movie"")"),"Movie")</f>
        <v>Movie</v>
      </c>
    </row>
    <row r="3231">
      <c r="A3231" s="1" t="s">
        <v>17846</v>
      </c>
      <c r="B3231" s="1" t="s">
        <v>27</v>
      </c>
      <c r="C3231" s="1" t="s">
        <v>17847</v>
      </c>
      <c r="D3231" s="1" t="s">
        <v>4933</v>
      </c>
      <c r="E3231" s="1" t="s">
        <v>17848</v>
      </c>
      <c r="F3231" s="1" t="s">
        <v>30</v>
      </c>
      <c r="G3231" s="1" t="s">
        <v>17844</v>
      </c>
      <c r="H3231" s="1">
        <v>2019.0</v>
      </c>
      <c r="I3231" s="1" t="s">
        <v>206</v>
      </c>
      <c r="J3231" s="1" t="s">
        <v>7058</v>
      </c>
      <c r="K3231" s="1" t="s">
        <v>80</v>
      </c>
      <c r="L3231" s="1" t="s">
        <v>17849</v>
      </c>
      <c r="M3231" s="2" t="s">
        <v>12</v>
      </c>
      <c r="N3231" s="4">
        <f t="shared" si="1"/>
        <v>43795</v>
      </c>
      <c r="O3231" s="5" t="str">
        <f>IFERROR(__xludf.DUMMYFUNCTION("IF(REGEXMATCH(TRIM(I3231), ""^\d+\s*min""), ""Unclassified"", IF(I3231 = """", ""NR"", I3231))"),"TV-Y")</f>
        <v>TV-Y</v>
      </c>
      <c r="R3231" s="5" t="str">
        <f t="shared" si="2"/>
        <v>Super Monsters Save Christmas</v>
      </c>
      <c r="S3231" s="5" t="str">
        <f>IFERROR(__xludf.DUMMYFUNCTION("""COMPUTED_VALUE"""),"Humsafar")</f>
        <v>Humsafar</v>
      </c>
      <c r="U3231" s="5" t="str">
        <f>IFERROR(__xludf.DUMMYFUNCTION("""COMPUTED_VALUE"""),"Raj Kapoor")</f>
        <v>Raj Kapoor</v>
      </c>
      <c r="V3231" s="5" t="s">
        <v>17850</v>
      </c>
      <c r="W3231" s="5" t="str">
        <f t="shared" si="3"/>
        <v>Pavel Parkhomenko</v>
      </c>
      <c r="X3231" s="5">
        <f t="shared" si="4"/>
        <v>1</v>
      </c>
      <c r="Y3231" s="5" t="str">
        <f>IFERROR(__xludf.DUMMYFUNCTION("REGEXEXTRACT(J3231, ""^\d+"")"),"24")</f>
        <v>24</v>
      </c>
      <c r="Z3231" s="5" t="str">
        <f>IFERROR(__xludf.DUMMYFUNCTION("REGEXEXTRACT(J3231, ""[A-Za-z ]+$"")")," min")</f>
        <v> min</v>
      </c>
      <c r="AA3231" s="5" t="str">
        <f>IFERROR(__xludf.DUMMYFUNCTION("IF(REGEXMATCH(Z3231, ""Season""), ""TV Show"", ""Movie"")"),"Movie")</f>
        <v>Movie</v>
      </c>
    </row>
    <row r="3232">
      <c r="A3232" s="1" t="s">
        <v>17851</v>
      </c>
      <c r="B3232" s="1" t="s">
        <v>37</v>
      </c>
      <c r="C3232" s="1" t="s">
        <v>17852</v>
      </c>
      <c r="E3232" s="1" t="s">
        <v>17853</v>
      </c>
      <c r="F3232" s="1" t="s">
        <v>2446</v>
      </c>
      <c r="G3232" s="1" t="s">
        <v>17844</v>
      </c>
      <c r="H3232" s="1">
        <v>2015.0</v>
      </c>
      <c r="I3232" s="1" t="s">
        <v>42</v>
      </c>
      <c r="J3232" s="1" t="s">
        <v>43</v>
      </c>
      <c r="K3232" s="1" t="s">
        <v>1362</v>
      </c>
      <c r="L3232" s="1" t="s">
        <v>17854</v>
      </c>
      <c r="M3232" s="2" t="s">
        <v>12</v>
      </c>
      <c r="N3232" s="4">
        <f t="shared" si="1"/>
        <v>43795</v>
      </c>
      <c r="O3232" s="5" t="str">
        <f>IFERROR(__xludf.DUMMYFUNCTION("IF(REGEXMATCH(TRIM(I3232), ""^\d+\s*min""), ""Unclassified"", IF(I3232 = """", ""NR"", I3232))"),"TV-MA")</f>
        <v>TV-MA</v>
      </c>
      <c r="R3232" s="5" t="str">
        <f t="shared" si="2"/>
        <v>The Crime</v>
      </c>
      <c r="S3232" s="5" t="str">
        <f>IFERROR(__xludf.DUMMYFUNCTION("""COMPUTED_VALUE"""),"Hungerford")</f>
        <v>Hungerford</v>
      </c>
      <c r="U3232" s="5" t="str">
        <f>IFERROR(__xludf.DUMMYFUNCTION("""COMPUTED_VALUE"""),"Gabriel Clarke, Torquil Jones")</f>
        <v>Gabriel Clarke, Torquil Jones</v>
      </c>
      <c r="V3232" s="5" t="s">
        <v>10712</v>
      </c>
      <c r="W3232" s="5" t="str">
        <f t="shared" si="3"/>
        <v>Pavitra Chalam, Akshay Shankar</v>
      </c>
      <c r="X3232" s="5">
        <f t="shared" si="4"/>
        <v>1</v>
      </c>
      <c r="Y3232" s="5" t="str">
        <f>IFERROR(__xludf.DUMMYFUNCTION("REGEXEXTRACT(J3232, ""^\d+"")"),"2")</f>
        <v>2</v>
      </c>
      <c r="Z3232" s="5" t="str">
        <f>IFERROR(__xludf.DUMMYFUNCTION("REGEXEXTRACT(J3232, ""[A-Za-z ]+$"")")," Seasons")</f>
        <v> Seasons</v>
      </c>
      <c r="AA3232" s="5" t="str">
        <f>IFERROR(__xludf.DUMMYFUNCTION("IF(REGEXMATCH(Z3232, ""Season""), ""TV Show"", ""Movie"")"),"TV Show")</f>
        <v>TV Show</v>
      </c>
    </row>
    <row r="3233">
      <c r="A3233" s="1" t="s">
        <v>17855</v>
      </c>
      <c r="B3233" s="1" t="s">
        <v>27</v>
      </c>
      <c r="C3233" s="1" t="s">
        <v>17856</v>
      </c>
      <c r="E3233" s="1" t="s">
        <v>11915</v>
      </c>
      <c r="G3233" s="1" t="s">
        <v>17844</v>
      </c>
      <c r="H3233" s="1">
        <v>2019.0</v>
      </c>
      <c r="I3233" s="1" t="s">
        <v>206</v>
      </c>
      <c r="J3233" s="1" t="s">
        <v>3060</v>
      </c>
      <c r="K3233" s="1" t="s">
        <v>80</v>
      </c>
      <c r="L3233" s="1" t="s">
        <v>17857</v>
      </c>
      <c r="M3233" s="2" t="s">
        <v>12</v>
      </c>
      <c r="N3233" s="4">
        <f t="shared" si="1"/>
        <v>43795</v>
      </c>
      <c r="O3233" s="5" t="str">
        <f>IFERROR(__xludf.DUMMYFUNCTION("IF(REGEXMATCH(TRIM(I3233), ""^\d+\s*min""), ""Unclassified"", IF(I3233 = """", ""NR"", I3233))"),"TV-Y")</f>
        <v>TV-Y</v>
      </c>
      <c r="R3233" s="5" t="str">
        <f t="shared" si="2"/>
        <v>True: Winter Wishes</v>
      </c>
      <c r="S3233" s="5" t="str">
        <f>IFERROR(__xludf.DUMMYFUNCTION("""COMPUTED_VALUE"""),"Hunt For The Wilderpeople")</f>
        <v>Hunt For The Wilderpeople</v>
      </c>
      <c r="U3233" s="5" t="str">
        <f>IFERROR(__xludf.DUMMYFUNCTION("""COMPUTED_VALUE"""),"Brendan Byrne")</f>
        <v>Brendan Byrne</v>
      </c>
      <c r="V3233" s="5" t="s">
        <v>17858</v>
      </c>
      <c r="W3233" s="5" t="str">
        <f t="shared" si="3"/>
        <v>Pawan K Shrivastava</v>
      </c>
      <c r="X3233" s="5">
        <f t="shared" si="4"/>
        <v>1</v>
      </c>
      <c r="Y3233" s="5" t="str">
        <f>IFERROR(__xludf.DUMMYFUNCTION("REGEXEXTRACT(J3233, ""^\d+"")"),"46")</f>
        <v>46</v>
      </c>
      <c r="Z3233" s="5" t="str">
        <f>IFERROR(__xludf.DUMMYFUNCTION("REGEXEXTRACT(J3233, ""[A-Za-z ]+$"")")," min")</f>
        <v> min</v>
      </c>
      <c r="AA3233" s="5" t="str">
        <f>IFERROR(__xludf.DUMMYFUNCTION("IF(REGEXMATCH(Z3233, ""Season""), ""TV Show"", ""Movie"")"),"Movie")</f>
        <v>Movie</v>
      </c>
    </row>
    <row r="3234">
      <c r="A3234" s="1" t="s">
        <v>17859</v>
      </c>
      <c r="B3234" s="1" t="s">
        <v>37</v>
      </c>
      <c r="C3234" s="1" t="s">
        <v>17860</v>
      </c>
      <c r="E3234" s="1" t="s">
        <v>17861</v>
      </c>
      <c r="F3234" s="1" t="s">
        <v>162</v>
      </c>
      <c r="G3234" s="1" t="s">
        <v>17844</v>
      </c>
      <c r="H3234" s="1">
        <v>2019.0</v>
      </c>
      <c r="I3234" s="1" t="s">
        <v>42</v>
      </c>
      <c r="J3234" s="1" t="s">
        <v>51</v>
      </c>
      <c r="K3234" s="1" t="s">
        <v>4550</v>
      </c>
      <c r="L3234" s="1" t="s">
        <v>17862</v>
      </c>
      <c r="M3234" s="2" t="s">
        <v>12</v>
      </c>
      <c r="N3234" s="4">
        <f t="shared" si="1"/>
        <v>43795</v>
      </c>
      <c r="O3234" s="5" t="str">
        <f>IFERROR(__xludf.DUMMYFUNCTION("IF(REGEXMATCH(TRIM(I3234), ""^\d+\s*min""), ""Unclassified"", IF(I3234 = """", ""NR"", I3234))"),"TV-MA")</f>
        <v>TV-MA</v>
      </c>
      <c r="R3234" s="5" t="str">
        <f t="shared" si="2"/>
        <v>Zona Rosa</v>
      </c>
      <c r="S3234" s="5" t="str">
        <f>IFERROR(__xludf.DUMMYFUNCTION("""COMPUTED_VALUE"""),"Hunt To Kill")</f>
        <v>Hunt To Kill</v>
      </c>
      <c r="U3234" s="5" t="str">
        <f>IFERROR(__xludf.DUMMYFUNCTION("""COMPUTED_VALUE"""),"Geoffrey Orthwein, Andrew Sullivan")</f>
        <v>Geoffrey Orthwein, Andrew Sullivan</v>
      </c>
      <c r="V3234" s="5" t="s">
        <v>1439</v>
      </c>
      <c r="W3234" s="5" t="str">
        <f t="shared" si="3"/>
        <v>Pawan Kripalani</v>
      </c>
      <c r="X3234" s="5">
        <f t="shared" si="4"/>
        <v>1</v>
      </c>
      <c r="Y3234" s="5" t="str">
        <f>IFERROR(__xludf.DUMMYFUNCTION("REGEXEXTRACT(J3234, ""^\d+"")"),"1")</f>
        <v>1</v>
      </c>
      <c r="Z3234" s="5" t="str">
        <f>IFERROR(__xludf.DUMMYFUNCTION("REGEXEXTRACT(J3234, ""[A-Za-z ]+$"")")," Season")</f>
        <v> Season</v>
      </c>
      <c r="AA3234" s="5" t="str">
        <f>IFERROR(__xludf.DUMMYFUNCTION("IF(REGEXMATCH(Z3234, ""Season""), ""TV Show"", ""Movie"")"),"TV Show")</f>
        <v>TV Show</v>
      </c>
    </row>
    <row r="3235">
      <c r="A3235" s="1" t="s">
        <v>17863</v>
      </c>
      <c r="B3235" s="1" t="s">
        <v>27</v>
      </c>
      <c r="C3235" s="1" t="s">
        <v>17864</v>
      </c>
      <c r="D3235" s="1" t="s">
        <v>17865</v>
      </c>
      <c r="E3235" s="1" t="s">
        <v>17866</v>
      </c>
      <c r="F3235" s="1" t="s">
        <v>63</v>
      </c>
      <c r="G3235" s="1" t="s">
        <v>17867</v>
      </c>
      <c r="H3235" s="1">
        <v>2019.0</v>
      </c>
      <c r="I3235" s="1" t="s">
        <v>97</v>
      </c>
      <c r="J3235" s="1" t="s">
        <v>743</v>
      </c>
      <c r="K3235" s="1" t="s">
        <v>306</v>
      </c>
      <c r="L3235" s="1" t="s">
        <v>17868</v>
      </c>
      <c r="M3235" s="2" t="s">
        <v>12</v>
      </c>
      <c r="N3235" s="4">
        <f t="shared" si="1"/>
        <v>43794</v>
      </c>
      <c r="O3235" s="5" t="str">
        <f>IFERROR(__xludf.DUMMYFUNCTION("IF(REGEXMATCH(TRIM(I3235), ""^\d+\s*min""), ""Unclassified"", IF(I3235 = """", ""NR"", I3235))"),"TV-14")</f>
        <v>TV-14</v>
      </c>
      <c r="R3235" s="5" t="str">
        <f t="shared" si="2"/>
        <v>Pranaam</v>
      </c>
      <c r="S3235" s="5" t="str">
        <f>IFERROR(__xludf.DUMMYFUNCTION("""COMPUTED_VALUE"""),"Hunter In The Blue Side Of Manchester")</f>
        <v>Hunter In The Blue Side Of Manchester</v>
      </c>
      <c r="U3235" s="5" t="str">
        <f>IFERROR(__xludf.DUMMYFUNCTION("""COMPUTED_VALUE"""),"Byron Howard, Chris Williams")</f>
        <v>Byron Howard, Chris Williams</v>
      </c>
      <c r="V3235" s="5" t="s">
        <v>17869</v>
      </c>
      <c r="W3235" s="5" t="str">
        <f t="shared" si="3"/>
        <v>Pawan Kumar</v>
      </c>
      <c r="X3235" s="5">
        <f t="shared" si="4"/>
        <v>1</v>
      </c>
      <c r="Y3235" s="5" t="str">
        <f>IFERROR(__xludf.DUMMYFUNCTION("REGEXEXTRACT(J3235, ""^\d+"")"),"117")</f>
        <v>117</v>
      </c>
      <c r="Z3235" s="5" t="str">
        <f>IFERROR(__xludf.DUMMYFUNCTION("REGEXEXTRACT(J3235, ""[A-Za-z ]+$"")")," min")</f>
        <v> min</v>
      </c>
      <c r="AA3235" s="5" t="str">
        <f>IFERROR(__xludf.DUMMYFUNCTION("IF(REGEXMATCH(Z3235, ""Season""), ""TV Show"", ""Movie"")"),"Movie")</f>
        <v>Movie</v>
      </c>
    </row>
    <row r="3236">
      <c r="A3236" s="1" t="s">
        <v>17870</v>
      </c>
      <c r="B3236" s="1" t="s">
        <v>27</v>
      </c>
      <c r="C3236" s="1" t="s">
        <v>17871</v>
      </c>
      <c r="D3236" s="1" t="s">
        <v>14986</v>
      </c>
      <c r="F3236" s="1" t="s">
        <v>784</v>
      </c>
      <c r="G3236" s="1" t="s">
        <v>17867</v>
      </c>
      <c r="H3236" s="1">
        <v>2019.0</v>
      </c>
      <c r="I3236" s="1" t="s">
        <v>42</v>
      </c>
      <c r="J3236" s="1" t="s">
        <v>630</v>
      </c>
      <c r="K3236" s="1" t="s">
        <v>156</v>
      </c>
      <c r="L3236" s="1" t="s">
        <v>17872</v>
      </c>
      <c r="M3236" s="2" t="s">
        <v>12</v>
      </c>
      <c r="N3236" s="4">
        <f t="shared" si="1"/>
        <v>43794</v>
      </c>
      <c r="O3236" s="5" t="str">
        <f>IFERROR(__xludf.DUMMYFUNCTION("IF(REGEXMATCH(TRIM(I3236), ""^\d+\s*min""), ""Unclassified"", IF(I3236 = """", ""NR"", I3236))"),"TV-MA")</f>
        <v>TV-MA</v>
      </c>
      <c r="R3236" s="5" t="str">
        <f t="shared" si="2"/>
        <v>What The F* Is Going On?</v>
      </c>
      <c r="S3236" s="5" t="str">
        <f>IFERROR(__xludf.DUMMYFUNCTION("""COMPUTED_VALUE"""),"Hunter X Hunter (2011)")</f>
        <v>Hunter X Hunter (2011)</v>
      </c>
      <c r="U3236" s="5" t="str">
        <f>IFERROR(__xludf.DUMMYFUNCTION("""COMPUTED_VALUE"""),"Alexandra Dean")</f>
        <v>Alexandra Dean</v>
      </c>
      <c r="V3236" s="5" t="s">
        <v>5074</v>
      </c>
      <c r="W3236" s="5" t="str">
        <f t="shared" si="3"/>
        <v>Paween Purijitpanya</v>
      </c>
      <c r="X3236" s="5">
        <f t="shared" si="4"/>
        <v>1</v>
      </c>
      <c r="Y3236" s="5" t="str">
        <f>IFERROR(__xludf.DUMMYFUNCTION("REGEXEXTRACT(J3236, ""^\d+"")"),"87")</f>
        <v>87</v>
      </c>
      <c r="Z3236" s="5" t="str">
        <f>IFERROR(__xludf.DUMMYFUNCTION("REGEXEXTRACT(J3236, ""[A-Za-z ]+$"")")," min")</f>
        <v> min</v>
      </c>
      <c r="AA3236" s="5" t="str">
        <f>IFERROR(__xludf.DUMMYFUNCTION("IF(REGEXMATCH(Z3236, ""Season""), ""TV Show"", ""Movie"")"),"Movie")</f>
        <v>Movie</v>
      </c>
    </row>
    <row r="3237">
      <c r="A3237" s="1" t="s">
        <v>17873</v>
      </c>
      <c r="B3237" s="1" t="s">
        <v>27</v>
      </c>
      <c r="C3237" s="1" t="s">
        <v>17874</v>
      </c>
      <c r="D3237" s="1" t="s">
        <v>4818</v>
      </c>
      <c r="E3237" s="1" t="s">
        <v>17875</v>
      </c>
      <c r="F3237" s="1" t="s">
        <v>30</v>
      </c>
      <c r="G3237" s="1" t="s">
        <v>17876</v>
      </c>
      <c r="H3237" s="1">
        <v>2017.0</v>
      </c>
      <c r="I3237" s="1" t="s">
        <v>378</v>
      </c>
      <c r="J3237" s="1" t="s">
        <v>941</v>
      </c>
      <c r="K3237" s="1" t="s">
        <v>394</v>
      </c>
      <c r="L3237" s="1" t="s">
        <v>17877</v>
      </c>
      <c r="M3237" s="2" t="s">
        <v>12</v>
      </c>
      <c r="N3237" s="4">
        <f t="shared" si="1"/>
        <v>43793</v>
      </c>
      <c r="O3237" s="5" t="str">
        <f>IFERROR(__xludf.DUMMYFUNCTION("IF(REGEXMATCH(TRIM(I3237), ""^\d+\s*min""), ""Unclassified"", IF(I3237 = """", ""NR"", I3237))"),"R")</f>
        <v>R</v>
      </c>
      <c r="R3237" s="5" t="str">
        <f t="shared" si="2"/>
        <v>Shot Caller</v>
      </c>
      <c r="S3237" s="5" t="str">
        <f>IFERROR(__xludf.DUMMYFUNCTION("""COMPUTED_VALUE"""),"Hunter'S Prayer")</f>
        <v>Hunter'S Prayer</v>
      </c>
      <c r="U3237" s="5" t="str">
        <f>IFERROR(__xludf.DUMMYFUNCTION("""COMPUTED_VALUE"""),"Jelle De Jonge")</f>
        <v>Jelle De Jonge</v>
      </c>
      <c r="V3237" s="5" t="s">
        <v>17878</v>
      </c>
      <c r="W3237" s="5" t="str">
        <f t="shared" si="3"/>
        <v>Pedring A. Lopez</v>
      </c>
      <c r="X3237" s="5">
        <f t="shared" si="4"/>
        <v>1</v>
      </c>
      <c r="Y3237" s="5" t="str">
        <f>IFERROR(__xludf.DUMMYFUNCTION("REGEXEXTRACT(J3237, ""^\d+"")"),"121")</f>
        <v>121</v>
      </c>
      <c r="Z3237" s="5" t="str">
        <f>IFERROR(__xludf.DUMMYFUNCTION("REGEXEXTRACT(J3237, ""[A-Za-z ]+$"")")," min")</f>
        <v> min</v>
      </c>
      <c r="AA3237" s="5" t="str">
        <f>IFERROR(__xludf.DUMMYFUNCTION("IF(REGEXMATCH(Z3237, ""Season""), ""TV Show"", ""Movie"")"),"Movie")</f>
        <v>Movie</v>
      </c>
    </row>
    <row r="3238">
      <c r="A3238" s="1" t="s">
        <v>17879</v>
      </c>
      <c r="B3238" s="1" t="s">
        <v>37</v>
      </c>
      <c r="C3238" s="1" t="s">
        <v>17880</v>
      </c>
      <c r="E3238" s="1" t="s">
        <v>17881</v>
      </c>
      <c r="F3238" s="1" t="s">
        <v>3892</v>
      </c>
      <c r="G3238" s="1" t="s">
        <v>17882</v>
      </c>
      <c r="H3238" s="1">
        <v>2019.0</v>
      </c>
      <c r="I3238" s="1" t="s">
        <v>97</v>
      </c>
      <c r="J3238" s="1" t="s">
        <v>51</v>
      </c>
      <c r="K3238" s="1" t="s">
        <v>17883</v>
      </c>
      <c r="L3238" s="1" t="s">
        <v>17884</v>
      </c>
      <c r="M3238" s="2" t="s">
        <v>12</v>
      </c>
      <c r="N3238" s="4">
        <f t="shared" si="1"/>
        <v>43792</v>
      </c>
      <c r="O3238" s="5" t="str">
        <f>IFERROR(__xludf.DUMMYFUNCTION("IF(REGEXMATCH(TRIM(I3238), ""^\d+\s*min""), ""Unclassified"", IF(I3238 = """", ""NR"", I3238))"),"TV-14")</f>
        <v>TV-14</v>
      </c>
      <c r="R3238" s="5" t="str">
        <f t="shared" si="2"/>
        <v>Once Upon A Time In Lingjian Mountain</v>
      </c>
      <c r="S3238" s="5" t="str">
        <f>IFERROR(__xludf.DUMMYFUNCTION("""COMPUTED_VALUE"""),"Hunterrr")</f>
        <v>Hunterrr</v>
      </c>
      <c r="U3238" s="5" t="str">
        <f>IFERROR(__xludf.DUMMYFUNCTION("""COMPUTED_VALUE"""),"Arthur Penn")</f>
        <v>Arthur Penn</v>
      </c>
      <c r="V3238" s="5" t="s">
        <v>5793</v>
      </c>
      <c r="W3238" s="5" t="str">
        <f t="shared" si="3"/>
        <v>Pedro Antonio</v>
      </c>
      <c r="X3238" s="5">
        <f t="shared" si="4"/>
        <v>1</v>
      </c>
      <c r="Y3238" s="5" t="str">
        <f>IFERROR(__xludf.DUMMYFUNCTION("REGEXEXTRACT(J3238, ""^\d+"")"),"1")</f>
        <v>1</v>
      </c>
      <c r="Z3238" s="5" t="str">
        <f>IFERROR(__xludf.DUMMYFUNCTION("REGEXEXTRACT(J3238, ""[A-Za-z ]+$"")")," Season")</f>
        <v> Season</v>
      </c>
      <c r="AA3238" s="5" t="str">
        <f>IFERROR(__xludf.DUMMYFUNCTION("IF(REGEXMATCH(Z3238, ""Season""), ""TV Show"", ""Movie"")"),"TV Show")</f>
        <v>TV Show</v>
      </c>
    </row>
    <row r="3239">
      <c r="A3239" s="1" t="s">
        <v>17885</v>
      </c>
      <c r="B3239" s="1" t="s">
        <v>27</v>
      </c>
      <c r="C3239" s="1" t="s">
        <v>17886</v>
      </c>
      <c r="D3239" s="1" t="s">
        <v>12092</v>
      </c>
      <c r="E3239" s="1" t="s">
        <v>17887</v>
      </c>
      <c r="F3239" s="1" t="s">
        <v>664</v>
      </c>
      <c r="G3239" s="1" t="s">
        <v>17888</v>
      </c>
      <c r="H3239" s="1">
        <v>2019.0</v>
      </c>
      <c r="I3239" s="1" t="s">
        <v>42</v>
      </c>
      <c r="J3239" s="1" t="s">
        <v>247</v>
      </c>
      <c r="K3239" s="1" t="s">
        <v>89</v>
      </c>
      <c r="L3239" s="1" t="s">
        <v>17889</v>
      </c>
      <c r="M3239" s="2" t="s">
        <v>12</v>
      </c>
      <c r="N3239" s="4">
        <f t="shared" si="1"/>
        <v>43791</v>
      </c>
      <c r="O3239" s="5" t="str">
        <f>IFERROR(__xludf.DUMMYFUNCTION("IF(REGEXMATCH(TRIM(I3239), ""^\d+\s*min""), ""Unclassified"", IF(I3239 = """", ""NR"", I3239))"),"TV-MA")</f>
        <v>TV-MA</v>
      </c>
      <c r="R3239" s="5" t="str">
        <f t="shared" si="2"/>
        <v>Brother</v>
      </c>
      <c r="S3239" s="5" t="str">
        <f>IFERROR(__xludf.DUMMYFUNCTION("""COMPUTED_VALUE"""),"Hunters Of The South Seas")</f>
        <v>Hunters Of The South Seas</v>
      </c>
      <c r="U3239" s="5" t="str">
        <f>IFERROR(__xludf.DUMMYFUNCTION("""COMPUTED_VALUE"""),"Kaizad Gustad")</f>
        <v>Kaizad Gustad</v>
      </c>
      <c r="V3239" s="5" t="s">
        <v>17890</v>
      </c>
      <c r="W3239" s="5" t="str">
        <f t="shared" si="3"/>
        <v>Pedro Coutinho</v>
      </c>
      <c r="X3239" s="5">
        <f t="shared" si="4"/>
        <v>1</v>
      </c>
      <c r="Y3239" s="5" t="str">
        <f>IFERROR(__xludf.DUMMYFUNCTION("REGEXEXTRACT(J3239, ""^\d+"")"),"97")</f>
        <v>97</v>
      </c>
      <c r="Z3239" s="5" t="str">
        <f>IFERROR(__xludf.DUMMYFUNCTION("REGEXEXTRACT(J3239, ""[A-Za-z ]+$"")")," min")</f>
        <v> min</v>
      </c>
      <c r="AA3239" s="5" t="str">
        <f>IFERROR(__xludf.DUMMYFUNCTION("IF(REGEXMATCH(Z3239, ""Season""), ""TV Show"", ""Movie"")"),"Movie")</f>
        <v>Movie</v>
      </c>
    </row>
    <row r="3240">
      <c r="A3240" s="1" t="s">
        <v>17891</v>
      </c>
      <c r="B3240" s="1" t="s">
        <v>37</v>
      </c>
      <c r="C3240" s="1" t="s">
        <v>17892</v>
      </c>
      <c r="E3240" s="1" t="s">
        <v>17893</v>
      </c>
      <c r="F3240" s="1" t="s">
        <v>30</v>
      </c>
      <c r="G3240" s="1" t="s">
        <v>17888</v>
      </c>
      <c r="H3240" s="1">
        <v>2019.0</v>
      </c>
      <c r="I3240" s="1" t="s">
        <v>97</v>
      </c>
      <c r="J3240" s="1" t="s">
        <v>51</v>
      </c>
      <c r="K3240" s="1" t="s">
        <v>2709</v>
      </c>
      <c r="L3240" s="1" t="s">
        <v>17894</v>
      </c>
      <c r="M3240" s="2" t="s">
        <v>12</v>
      </c>
      <c r="N3240" s="4">
        <f t="shared" si="1"/>
        <v>43791</v>
      </c>
      <c r="O3240" s="5" t="str">
        <f>IFERROR(__xludf.DUMMYFUNCTION("IF(REGEXMATCH(TRIM(I3240), ""^\d+\s*min""), ""Unclassified"", IF(I3240 = """", ""NR"", I3240))"),"TV-14")</f>
        <v>TV-14</v>
      </c>
      <c r="R3240" s="5" t="str">
        <f t="shared" si="2"/>
        <v>Dolly Parton'S Heartstrings</v>
      </c>
      <c r="S3240" s="5" t="str">
        <f>IFERROR(__xludf.DUMMYFUNCTION("""COMPUTED_VALUE"""),"Huntik: Secrets And Seekers")</f>
        <v>Huntik: Secrets And Seekers</v>
      </c>
      <c r="U3240" s="5" t="str">
        <f>IFERROR(__xludf.DUMMYFUNCTION("""COMPUTED_VALUE"""),"Gary Cohen, Ross Hockrow")</f>
        <v>Gary Cohen, Ross Hockrow</v>
      </c>
      <c r="V3240" s="5" t="s">
        <v>17895</v>
      </c>
      <c r="W3240" s="5" t="str">
        <f t="shared" si="3"/>
        <v>Pedro De Echave García, Pablo Azorín Williams</v>
      </c>
      <c r="X3240" s="5">
        <f t="shared" si="4"/>
        <v>1</v>
      </c>
      <c r="Y3240" s="5" t="str">
        <f>IFERROR(__xludf.DUMMYFUNCTION("REGEXEXTRACT(J3240, ""^\d+"")"),"1")</f>
        <v>1</v>
      </c>
      <c r="Z3240" s="5" t="str">
        <f>IFERROR(__xludf.DUMMYFUNCTION("REGEXEXTRACT(J3240, ""[A-Za-z ]+$"")")," Season")</f>
        <v> Season</v>
      </c>
      <c r="AA3240" s="5" t="str">
        <f>IFERROR(__xludf.DUMMYFUNCTION("IF(REGEXMATCH(Z3240, ""Season""), ""TV Show"", ""Movie"")"),"TV Show")</f>
        <v>TV Show</v>
      </c>
    </row>
    <row r="3241">
      <c r="A3241" s="1" t="s">
        <v>17896</v>
      </c>
      <c r="B3241" s="1" t="s">
        <v>27</v>
      </c>
      <c r="C3241" s="1" t="s">
        <v>17897</v>
      </c>
      <c r="D3241" s="1" t="s">
        <v>17390</v>
      </c>
      <c r="E3241" s="1" t="s">
        <v>17898</v>
      </c>
      <c r="F3241" s="1" t="s">
        <v>415</v>
      </c>
      <c r="G3241" s="1" t="s">
        <v>17888</v>
      </c>
      <c r="H3241" s="1">
        <v>2015.0</v>
      </c>
      <c r="I3241" s="1" t="s">
        <v>42</v>
      </c>
      <c r="J3241" s="1" t="s">
        <v>941</v>
      </c>
      <c r="K3241" s="1" t="s">
        <v>417</v>
      </c>
      <c r="L3241" s="1" t="s">
        <v>17899</v>
      </c>
      <c r="M3241" s="2" t="s">
        <v>12</v>
      </c>
      <c r="N3241" s="4">
        <f t="shared" si="1"/>
        <v>43791</v>
      </c>
      <c r="O3241" s="5" t="str">
        <f>IFERROR(__xludf.DUMMYFUNCTION("IF(REGEXMATCH(TRIM(I3241), ""^\d+\s*min""), ""Unclassified"", IF(I3241 = """", ""NR"", I3241))"),"TV-MA")</f>
        <v>TV-MA</v>
      </c>
      <c r="R3241" s="5" t="str">
        <f t="shared" si="2"/>
        <v>Girls Und Panzer Der Film</v>
      </c>
      <c r="S3241" s="5" t="str">
        <f>IFERROR(__xludf.DUMMYFUNCTION("""COMPUTED_VALUE"""),"Hurricane Bianca")</f>
        <v>Hurricane Bianca</v>
      </c>
      <c r="U3241" s="5" t="str">
        <f>IFERROR(__xludf.DUMMYFUNCTION("""COMPUTED_VALUE"""),"Gayane Petrosyan")</f>
        <v>Gayane Petrosyan</v>
      </c>
      <c r="V3241" s="5" t="s">
        <v>14409</v>
      </c>
      <c r="W3241" s="5" t="str">
        <f t="shared" si="3"/>
        <v>Pedro Flores Maldonado</v>
      </c>
      <c r="X3241" s="5">
        <f t="shared" si="4"/>
        <v>1</v>
      </c>
      <c r="Y3241" s="5" t="str">
        <f>IFERROR(__xludf.DUMMYFUNCTION("REGEXEXTRACT(J3241, ""^\d+"")"),"121")</f>
        <v>121</v>
      </c>
      <c r="Z3241" s="5" t="str">
        <f>IFERROR(__xludf.DUMMYFUNCTION("REGEXEXTRACT(J3241, ""[A-Za-z ]+$"")")," min")</f>
        <v> min</v>
      </c>
      <c r="AA3241" s="5" t="str">
        <f>IFERROR(__xludf.DUMMYFUNCTION("IF(REGEXMATCH(Z3241, ""Season""), ""TV Show"", ""Movie"")"),"Movie")</f>
        <v>Movie</v>
      </c>
    </row>
    <row r="3242">
      <c r="A3242" s="1" t="s">
        <v>17900</v>
      </c>
      <c r="B3242" s="1" t="s">
        <v>27</v>
      </c>
      <c r="C3242" s="1" t="s">
        <v>17901</v>
      </c>
      <c r="E3242" s="1" t="s">
        <v>14462</v>
      </c>
      <c r="F3242" s="1" t="s">
        <v>30</v>
      </c>
      <c r="G3242" s="1" t="s">
        <v>17888</v>
      </c>
      <c r="H3242" s="1">
        <v>2008.0</v>
      </c>
      <c r="I3242" s="1" t="s">
        <v>42</v>
      </c>
      <c r="J3242" s="1" t="s">
        <v>16845</v>
      </c>
      <c r="K3242" s="1" t="s">
        <v>1839</v>
      </c>
      <c r="L3242" s="1" t="s">
        <v>17902</v>
      </c>
      <c r="M3242" s="2" t="s">
        <v>12</v>
      </c>
      <c r="N3242" s="4">
        <f t="shared" si="1"/>
        <v>43791</v>
      </c>
      <c r="O3242" s="5" t="str">
        <f>IFERROR(__xludf.DUMMYFUNCTION("IF(REGEXMATCH(TRIM(I3242), ""^\d+\s*min""), ""Unclassified"", IF(I3242 = """", ""NR"", I3242))"),"TV-MA")</f>
        <v>TV-MA</v>
      </c>
      <c r="R3242" s="5" t="str">
        <f t="shared" si="2"/>
        <v>Mike Birbiglia: What I Should Have Said Was Nothing: Tales From My Secret Public Journal</v>
      </c>
      <c r="S3242" s="5" t="str">
        <f>IFERROR(__xludf.DUMMYFUNCTION("""COMPUTED_VALUE"""),"Hurricane Bianca: From Russia With Hate")</f>
        <v>Hurricane Bianca: From Russia With Hate</v>
      </c>
      <c r="U3242" s="5" t="str">
        <f>IFERROR(__xludf.DUMMYFUNCTION("""COMPUTED_VALUE"""),"Richard Sears")</f>
        <v>Richard Sears</v>
      </c>
      <c r="V3242" s="5" t="s">
        <v>17903</v>
      </c>
      <c r="W3242" s="5" t="str">
        <f t="shared" si="3"/>
        <v>Peggy Holmes</v>
      </c>
      <c r="X3242" s="5">
        <f t="shared" si="4"/>
        <v>1</v>
      </c>
      <c r="Y3242" s="5" t="str">
        <f>IFERROR(__xludf.DUMMYFUNCTION("REGEXEXTRACT(J3242, ""^\d+"")"),"56")</f>
        <v>56</v>
      </c>
      <c r="Z3242" s="5" t="str">
        <f>IFERROR(__xludf.DUMMYFUNCTION("REGEXEXTRACT(J3242, ""[A-Za-z ]+$"")")," min")</f>
        <v> min</v>
      </c>
      <c r="AA3242" s="5" t="str">
        <f>IFERROR(__xludf.DUMMYFUNCTION("IF(REGEXMATCH(Z3242, ""Season""), ""TV Show"", ""Movie"")"),"Movie")</f>
        <v>Movie</v>
      </c>
    </row>
    <row r="3243">
      <c r="A3243" s="1" t="s">
        <v>17904</v>
      </c>
      <c r="B3243" s="1" t="s">
        <v>37</v>
      </c>
      <c r="C3243" s="1" t="s">
        <v>17905</v>
      </c>
      <c r="E3243" s="1" t="s">
        <v>438</v>
      </c>
      <c r="F3243" s="1" t="s">
        <v>30</v>
      </c>
      <c r="G3243" s="1" t="s">
        <v>17888</v>
      </c>
      <c r="H3243" s="1">
        <v>2019.0</v>
      </c>
      <c r="I3243" s="1" t="s">
        <v>136</v>
      </c>
      <c r="J3243" s="1" t="s">
        <v>43</v>
      </c>
      <c r="K3243" s="1" t="s">
        <v>440</v>
      </c>
      <c r="L3243" s="1" t="s">
        <v>17906</v>
      </c>
      <c r="M3243" s="2" t="s">
        <v>12</v>
      </c>
      <c r="N3243" s="4">
        <f t="shared" si="1"/>
        <v>43791</v>
      </c>
      <c r="O3243" s="5" t="str">
        <f>IFERROR(__xludf.DUMMYFUNCTION("IF(REGEXMATCH(TRIM(I3243), ""^\d+\s*min""), ""Unclassified"", IF(I3243 = """", ""NR"", I3243))"),"TV-PG")</f>
        <v>TV-PG</v>
      </c>
      <c r="R3243" s="5" t="str">
        <f t="shared" si="2"/>
        <v>Nailed It! Holiday!</v>
      </c>
      <c r="S3243" s="5" t="str">
        <f>IFERROR(__xludf.DUMMYFUNCTION("""COMPUTED_VALUE"""),"Husbands In Goa")</f>
        <v>Husbands In Goa</v>
      </c>
      <c r="U3243" s="5" t="str">
        <f>IFERROR(__xludf.DUMMYFUNCTION("""COMPUTED_VALUE"""),"Alê Abreu")</f>
        <v>Alê Abreu</v>
      </c>
      <c r="V3243" s="5" t="s">
        <v>17220</v>
      </c>
      <c r="W3243" s="5" t="str">
        <f t="shared" si="3"/>
        <v>Pepe Bojórquez</v>
      </c>
      <c r="X3243" s="5">
        <f t="shared" si="4"/>
        <v>1</v>
      </c>
      <c r="Y3243" s="5" t="str">
        <f>IFERROR(__xludf.DUMMYFUNCTION("REGEXEXTRACT(J3243, ""^\d+"")"),"2")</f>
        <v>2</v>
      </c>
      <c r="Z3243" s="5" t="str">
        <f>IFERROR(__xludf.DUMMYFUNCTION("REGEXEXTRACT(J3243, ""[A-Za-z ]+$"")")," Seasons")</f>
        <v> Seasons</v>
      </c>
      <c r="AA3243" s="5" t="str">
        <f>IFERROR(__xludf.DUMMYFUNCTION("IF(REGEXMATCH(Z3243, ""Season""), ""TV Show"", ""Movie"")"),"TV Show")</f>
        <v>TV Show</v>
      </c>
    </row>
    <row r="3244">
      <c r="A3244" s="1" t="s">
        <v>17907</v>
      </c>
      <c r="B3244" s="1" t="s">
        <v>37</v>
      </c>
      <c r="C3244" s="1" t="s">
        <v>17908</v>
      </c>
      <c r="F3244" s="1" t="s">
        <v>30</v>
      </c>
      <c r="G3244" s="1" t="s">
        <v>17888</v>
      </c>
      <c r="H3244" s="1">
        <v>2019.0</v>
      </c>
      <c r="I3244" s="1" t="s">
        <v>42</v>
      </c>
      <c r="J3244" s="1" t="s">
        <v>51</v>
      </c>
      <c r="K3244" s="1" t="s">
        <v>2043</v>
      </c>
      <c r="L3244" s="1" t="s">
        <v>17909</v>
      </c>
      <c r="M3244" s="2" t="s">
        <v>12</v>
      </c>
      <c r="N3244" s="4">
        <f t="shared" si="1"/>
        <v>43791</v>
      </c>
      <c r="O3244" s="5" t="str">
        <f>IFERROR(__xludf.DUMMYFUNCTION("IF(REGEXMATCH(TRIM(I3244), ""^\d+\s*min""), ""Unclassified"", IF(I3244 = """", ""NR"", I3244))"),"TV-MA")</f>
        <v>TV-MA</v>
      </c>
      <c r="R3244" s="5" t="str">
        <f t="shared" si="2"/>
        <v>Narcoworld: Dope Stories</v>
      </c>
      <c r="S3244" s="5" t="str">
        <f>IFERROR(__xludf.DUMMYFUNCTION("""COMPUTED_VALUE"""),"Hush")</f>
        <v>Hush</v>
      </c>
      <c r="U3244" s="5" t="str">
        <f>IFERROR(__xludf.DUMMYFUNCTION("""COMPUTED_VALUE"""),"Chris Stokes")</f>
        <v>Chris Stokes</v>
      </c>
      <c r="V3244" s="5" t="s">
        <v>11664</v>
      </c>
      <c r="W3244" s="5" t="str">
        <f t="shared" si="3"/>
        <v>Pepe Mora</v>
      </c>
      <c r="X3244" s="5">
        <f t="shared" si="4"/>
        <v>1</v>
      </c>
      <c r="Y3244" s="5" t="str">
        <f>IFERROR(__xludf.DUMMYFUNCTION("REGEXEXTRACT(J3244, ""^\d+"")"),"1")</f>
        <v>1</v>
      </c>
      <c r="Z3244" s="5" t="str">
        <f>IFERROR(__xludf.DUMMYFUNCTION("REGEXEXTRACT(J3244, ""[A-Za-z ]+$"")")," Season")</f>
        <v> Season</v>
      </c>
      <c r="AA3244" s="5" t="str">
        <f>IFERROR(__xludf.DUMMYFUNCTION("IF(REGEXMATCH(Z3244, ""Season""), ""TV Show"", ""Movie"")"),"TV Show")</f>
        <v>TV Show</v>
      </c>
    </row>
    <row r="3245">
      <c r="A3245" s="1" t="s">
        <v>17910</v>
      </c>
      <c r="B3245" s="1" t="s">
        <v>37</v>
      </c>
      <c r="C3245" s="1" t="s">
        <v>17911</v>
      </c>
      <c r="E3245" s="1" t="s">
        <v>17912</v>
      </c>
      <c r="F3245" s="1" t="s">
        <v>1992</v>
      </c>
      <c r="G3245" s="1" t="s">
        <v>17888</v>
      </c>
      <c r="H3245" s="1">
        <v>2019.0</v>
      </c>
      <c r="I3245" s="1" t="s">
        <v>42</v>
      </c>
      <c r="J3245" s="1" t="s">
        <v>51</v>
      </c>
      <c r="K3245" s="1" t="s">
        <v>1531</v>
      </c>
      <c r="L3245" s="1" t="s">
        <v>17913</v>
      </c>
      <c r="M3245" s="2" t="s">
        <v>12</v>
      </c>
      <c r="N3245" s="4">
        <f t="shared" si="1"/>
        <v>43791</v>
      </c>
      <c r="O3245" s="5" t="str">
        <f>IFERROR(__xludf.DUMMYFUNCTION("IF(REGEXMATCH(TRIM(I3245), ""^\d+\s*min""), ""Unclassified"", IF(I3245 = """", ""NR"", I3245))"),"TV-MA")</f>
        <v>TV-MA</v>
      </c>
      <c r="R3245" s="5" t="str">
        <f t="shared" si="2"/>
        <v>Nobody'S Looking</v>
      </c>
      <c r="S3245" s="5" t="str">
        <f>IFERROR(__xludf.DUMMYFUNCTION("""COMPUTED_VALUE"""),"Hustle &amp; Flow")</f>
        <v>Hustle &amp; Flow</v>
      </c>
      <c r="U3245" s="5" t="str">
        <f>IFERROR(__xludf.DUMMYFUNCTION("""COMPUTED_VALUE"""),"Michael Doneger")</f>
        <v>Michael Doneger</v>
      </c>
      <c r="V3245" s="5" t="s">
        <v>15125</v>
      </c>
      <c r="W3245" s="5" t="str">
        <f t="shared" si="3"/>
        <v>Perci Intalan</v>
      </c>
      <c r="X3245" s="5">
        <f t="shared" si="4"/>
        <v>1</v>
      </c>
      <c r="Y3245" s="5" t="str">
        <f>IFERROR(__xludf.DUMMYFUNCTION("REGEXEXTRACT(J3245, ""^\d+"")"),"1")</f>
        <v>1</v>
      </c>
      <c r="Z3245" s="5" t="str">
        <f>IFERROR(__xludf.DUMMYFUNCTION("REGEXEXTRACT(J3245, ""[A-Za-z ]+$"")")," Season")</f>
        <v> Season</v>
      </c>
      <c r="AA3245" s="5" t="str">
        <f>IFERROR(__xludf.DUMMYFUNCTION("IF(REGEXMATCH(Z3245, ""Season""), ""TV Show"", ""Movie"")"),"TV Show")</f>
        <v>TV Show</v>
      </c>
    </row>
    <row r="3246">
      <c r="A3246" s="1" t="s">
        <v>17914</v>
      </c>
      <c r="B3246" s="1" t="s">
        <v>27</v>
      </c>
      <c r="C3246" s="1" t="s">
        <v>17915</v>
      </c>
      <c r="D3246" s="1" t="s">
        <v>16421</v>
      </c>
      <c r="E3246" s="1" t="s">
        <v>17916</v>
      </c>
      <c r="F3246" s="1" t="s">
        <v>30</v>
      </c>
      <c r="G3246" s="1" t="s">
        <v>17888</v>
      </c>
      <c r="H3246" s="1">
        <v>2019.0</v>
      </c>
      <c r="I3246" s="1" t="s">
        <v>42</v>
      </c>
      <c r="J3246" s="1" t="s">
        <v>804</v>
      </c>
      <c r="K3246" s="1" t="s">
        <v>645</v>
      </c>
      <c r="L3246" s="1" t="s">
        <v>17917</v>
      </c>
      <c r="M3246" s="2" t="s">
        <v>12</v>
      </c>
      <c r="N3246" s="4">
        <f t="shared" si="1"/>
        <v>43791</v>
      </c>
      <c r="O3246" s="5" t="str">
        <f>IFERROR(__xludf.DUMMYFUNCTION("IF(REGEXMATCH(TRIM(I3246), ""^\d+\s*min""), ""Unclassified"", IF(I3246 = """", ""NR"", I3246))"),"TV-MA")</f>
        <v>TV-MA</v>
      </c>
      <c r="R3246" s="5" t="str">
        <f t="shared" si="2"/>
        <v>Shelby American</v>
      </c>
      <c r="S3246" s="5" t="str">
        <f>IFERROR(__xludf.DUMMYFUNCTION("""COMPUTED_VALUE"""),"Hyena")</f>
        <v>Hyena</v>
      </c>
      <c r="U3246" s="5" t="str">
        <f>IFERROR(__xludf.DUMMYFUNCTION("""COMPUTED_VALUE"""),"Cecilia Peck")</f>
        <v>Cecilia Peck</v>
      </c>
      <c r="V3246" s="5" t="s">
        <v>17918</v>
      </c>
      <c r="W3246" s="5" t="str">
        <f t="shared" si="3"/>
        <v>Perry Lang</v>
      </c>
      <c r="X3246" s="5">
        <f t="shared" si="4"/>
        <v>1</v>
      </c>
      <c r="Y3246" s="5" t="str">
        <f>IFERROR(__xludf.DUMMYFUNCTION("REGEXEXTRACT(J3246, ""^\d+"")"),"119")</f>
        <v>119</v>
      </c>
      <c r="Z3246" s="5" t="str">
        <f>IFERROR(__xludf.DUMMYFUNCTION("REGEXEXTRACT(J3246, ""[A-Za-z ]+$"")")," min")</f>
        <v> min</v>
      </c>
      <c r="AA3246" s="5" t="str">
        <f>IFERROR(__xludf.DUMMYFUNCTION("IF(REGEXMATCH(Z3246, ""Season""), ""TV Show"", ""Movie"")"),"Movie")</f>
        <v>Movie</v>
      </c>
    </row>
    <row r="3247">
      <c r="A3247" s="1" t="s">
        <v>17919</v>
      </c>
      <c r="B3247" s="1" t="s">
        <v>37</v>
      </c>
      <c r="C3247" s="1" t="s">
        <v>17920</v>
      </c>
      <c r="E3247" s="1" t="s">
        <v>17921</v>
      </c>
      <c r="F3247" s="1" t="s">
        <v>17922</v>
      </c>
      <c r="G3247" s="1" t="s">
        <v>17888</v>
      </c>
      <c r="H3247" s="1">
        <v>2019.0</v>
      </c>
      <c r="I3247" s="1" t="s">
        <v>42</v>
      </c>
      <c r="J3247" s="1" t="s">
        <v>51</v>
      </c>
      <c r="K3247" s="1" t="s">
        <v>1520</v>
      </c>
      <c r="L3247" s="1" t="s">
        <v>17923</v>
      </c>
      <c r="M3247" s="2" t="s">
        <v>12</v>
      </c>
      <c r="N3247" s="4">
        <f t="shared" si="1"/>
        <v>43791</v>
      </c>
      <c r="O3247" s="5" t="str">
        <f>IFERROR(__xludf.DUMMYFUNCTION("IF(REGEXMATCH(TRIM(I3247), ""^\d+\s*min""), ""Unclassified"", IF(I3247 = """", ""NR"", I3247))"),"TV-MA")</f>
        <v>TV-MA</v>
      </c>
      <c r="R3247" s="5" t="str">
        <f t="shared" si="2"/>
        <v>Singapore Social</v>
      </c>
      <c r="S3247" s="5" t="str">
        <f>IFERROR(__xludf.DUMMYFUNCTION("""COMPUTED_VALUE"""),"Hymn Of Death")</f>
        <v>Hymn Of Death</v>
      </c>
      <c r="U3247" s="5" t="str">
        <f>IFERROR(__xludf.DUMMYFUNCTION("""COMPUTED_VALUE"""),"Jody Lambert")</f>
        <v>Jody Lambert</v>
      </c>
      <c r="V3247" s="5" t="s">
        <v>17924</v>
      </c>
      <c r="W3247" s="5" t="str">
        <f t="shared" si="3"/>
        <v>Pete Travis</v>
      </c>
      <c r="X3247" s="5">
        <f t="shared" si="4"/>
        <v>2</v>
      </c>
      <c r="Y3247" s="5" t="str">
        <f>IFERROR(__xludf.DUMMYFUNCTION("REGEXEXTRACT(J3247, ""^\d+"")"),"1")</f>
        <v>1</v>
      </c>
      <c r="Z3247" s="5" t="str">
        <f>IFERROR(__xludf.DUMMYFUNCTION("REGEXEXTRACT(J3247, ""[A-Za-z ]+$"")")," Season")</f>
        <v> Season</v>
      </c>
      <c r="AA3247" s="5" t="str">
        <f>IFERROR(__xludf.DUMMYFUNCTION("IF(REGEXMATCH(Z3247, ""Season""), ""TV Show"", ""Movie"")"),"TV Show")</f>
        <v>TV Show</v>
      </c>
    </row>
    <row r="3248">
      <c r="A3248" s="1" t="s">
        <v>17925</v>
      </c>
      <c r="B3248" s="1" t="s">
        <v>37</v>
      </c>
      <c r="C3248" s="1" t="s">
        <v>17926</v>
      </c>
      <c r="E3248" s="1" t="s">
        <v>17927</v>
      </c>
      <c r="F3248" s="1" t="s">
        <v>897</v>
      </c>
      <c r="G3248" s="1" t="s">
        <v>17888</v>
      </c>
      <c r="H3248" s="1">
        <v>2019.0</v>
      </c>
      <c r="I3248" s="1" t="s">
        <v>289</v>
      </c>
      <c r="J3248" s="1" t="s">
        <v>276</v>
      </c>
      <c r="K3248" s="1" t="s">
        <v>3368</v>
      </c>
      <c r="L3248" s="1" t="s">
        <v>17928</v>
      </c>
      <c r="M3248" s="2" t="s">
        <v>12</v>
      </c>
      <c r="N3248" s="4">
        <f t="shared" si="1"/>
        <v>43791</v>
      </c>
      <c r="O3248" s="5" t="str">
        <f>IFERROR(__xludf.DUMMYFUNCTION("IF(REGEXMATCH(TRIM(I3248), ""^\d+\s*min""), ""Unclassified"", IF(I3248 = """", ""NR"", I3248))"),"TV-Y7")</f>
        <v>TV-Y7</v>
      </c>
      <c r="R3248" s="5" t="str">
        <f t="shared" si="2"/>
        <v>The Dragon Prince</v>
      </c>
      <c r="S3248" s="5" t="str">
        <f>IFERROR(__xludf.DUMMYFUNCTION("""COMPUTED_VALUE"""),"Hyori'S Bed &amp; Breakfast")</f>
        <v>Hyori'S Bed &amp; Breakfast</v>
      </c>
      <c r="U3248" s="5" t="str">
        <f>IFERROR(__xludf.DUMMYFUNCTION("""COMPUTED_VALUE"""),"Simon Baker")</f>
        <v>Simon Baker</v>
      </c>
      <c r="V3248" s="5" t="s">
        <v>10207</v>
      </c>
      <c r="W3248" s="5" t="str">
        <f t="shared" si="3"/>
        <v>Peter Berg</v>
      </c>
      <c r="X3248" s="5">
        <f t="shared" si="4"/>
        <v>2</v>
      </c>
      <c r="Y3248" s="5" t="str">
        <f>IFERROR(__xludf.DUMMYFUNCTION("REGEXEXTRACT(J3248, ""^\d+"")"),"3")</f>
        <v>3</v>
      </c>
      <c r="Z3248" s="5" t="str">
        <f>IFERROR(__xludf.DUMMYFUNCTION("REGEXEXTRACT(J3248, ""[A-Za-z ]+$"")")," Seasons")</f>
        <v> Seasons</v>
      </c>
      <c r="AA3248" s="5" t="str">
        <f>IFERROR(__xludf.DUMMYFUNCTION("IF(REGEXMATCH(Z3248, ""Season""), ""TV Show"", ""Movie"")"),"TV Show")</f>
        <v>TV Show</v>
      </c>
    </row>
    <row r="3249">
      <c r="A3249" s="1" t="s">
        <v>17929</v>
      </c>
      <c r="B3249" s="1" t="s">
        <v>37</v>
      </c>
      <c r="C3249" s="1" t="s">
        <v>17930</v>
      </c>
      <c r="E3249" s="1" t="s">
        <v>17931</v>
      </c>
      <c r="F3249" s="1" t="s">
        <v>30</v>
      </c>
      <c r="G3249" s="1" t="s">
        <v>17888</v>
      </c>
      <c r="H3249" s="1">
        <v>2019.0</v>
      </c>
      <c r="I3249" s="1" t="s">
        <v>289</v>
      </c>
      <c r="J3249" s="1" t="s">
        <v>3285</v>
      </c>
      <c r="K3249" s="1" t="s">
        <v>314</v>
      </c>
      <c r="L3249" s="1" t="s">
        <v>17932</v>
      </c>
      <c r="M3249" s="2" t="s">
        <v>12</v>
      </c>
      <c r="N3249" s="4">
        <f t="shared" si="1"/>
        <v>43791</v>
      </c>
      <c r="O3249" s="5" t="str">
        <f>IFERROR(__xludf.DUMMYFUNCTION("IF(REGEXMATCH(TRIM(I3249), ""^\d+\s*min""), ""Unclassified"", IF(I3249 = """", ""NR"", I3249))"),"TV-Y7")</f>
        <v>TV-Y7</v>
      </c>
      <c r="R3249" s="5" t="str">
        <f t="shared" si="2"/>
        <v>Trolls: The Beat Goes On!</v>
      </c>
      <c r="S3249" s="5" t="str">
        <f>IFERROR(__xludf.DUMMYFUNCTION("""COMPUTED_VALUE"""),"Hyper Hardboiled Gourmet Report")</f>
        <v>Hyper Hardboiled Gourmet Report</v>
      </c>
      <c r="U3249" s="5" t="str">
        <f>IFERROR(__xludf.DUMMYFUNCTION("""COMPUTED_VALUE"""),"Rian Johnson")</f>
        <v>Rian Johnson</v>
      </c>
      <c r="V3249" s="5" t="s">
        <v>16212</v>
      </c>
      <c r="W3249" s="5" t="str">
        <f t="shared" si="3"/>
        <v>Peter Billingsley</v>
      </c>
      <c r="X3249" s="5">
        <f t="shared" si="4"/>
        <v>1</v>
      </c>
      <c r="Y3249" s="5" t="str">
        <f>IFERROR(__xludf.DUMMYFUNCTION("REGEXEXTRACT(J3249, ""^\d+"")"),"8")</f>
        <v>8</v>
      </c>
      <c r="Z3249" s="5" t="str">
        <f>IFERROR(__xludf.DUMMYFUNCTION("REGEXEXTRACT(J3249, ""[A-Za-z ]+$"")")," Seasons")</f>
        <v> Seasons</v>
      </c>
      <c r="AA3249" s="5" t="str">
        <f>IFERROR(__xludf.DUMMYFUNCTION("IF(REGEXMATCH(Z3249, ""Season""), ""TV Show"", ""Movie"")"),"TV Show")</f>
        <v>TV Show</v>
      </c>
    </row>
    <row r="3250">
      <c r="A3250" s="1" t="s">
        <v>17933</v>
      </c>
      <c r="B3250" s="1" t="s">
        <v>27</v>
      </c>
      <c r="C3250" s="1" t="s">
        <v>17934</v>
      </c>
      <c r="D3250" s="1" t="s">
        <v>16290</v>
      </c>
      <c r="E3250" s="1" t="s">
        <v>17935</v>
      </c>
      <c r="F3250" s="1" t="s">
        <v>30</v>
      </c>
      <c r="G3250" s="1" t="s">
        <v>17936</v>
      </c>
      <c r="H3250" s="1">
        <v>2019.0</v>
      </c>
      <c r="I3250" s="1" t="s">
        <v>97</v>
      </c>
      <c r="J3250" s="1" t="s">
        <v>454</v>
      </c>
      <c r="K3250" s="1" t="s">
        <v>10074</v>
      </c>
      <c r="L3250" s="1" t="s">
        <v>17937</v>
      </c>
      <c r="M3250" s="2" t="s">
        <v>12</v>
      </c>
      <c r="N3250" s="4">
        <f t="shared" si="1"/>
        <v>43790</v>
      </c>
      <c r="O3250" s="5" t="str">
        <f>IFERROR(__xludf.DUMMYFUNCTION("IF(REGEXMATCH(TRIM(I3250), ""^\d+\s*min""), ""Unclassified"", IF(I3250 = """", ""NR"", I3250))"),"TV-14")</f>
        <v>TV-14</v>
      </c>
      <c r="R3250" s="5" t="str">
        <f t="shared" si="2"/>
        <v>The Knight Before Christmas</v>
      </c>
      <c r="S3250" s="5" t="str">
        <f>IFERROR(__xludf.DUMMYFUNCTION("""COMPUTED_VALUE"""),"Hyperdrive")</f>
        <v>Hyperdrive</v>
      </c>
      <c r="U3250" s="5" t="str">
        <f>IFERROR(__xludf.DUMMYFUNCTION("""COMPUTED_VALUE"""),"Robert Adetuyi")</f>
        <v>Robert Adetuyi</v>
      </c>
      <c r="V3250" s="5" t="s">
        <v>4356</v>
      </c>
      <c r="W3250" s="5" t="str">
        <f t="shared" si="3"/>
        <v>Peter Chelsom</v>
      </c>
      <c r="X3250" s="5">
        <f t="shared" si="4"/>
        <v>2</v>
      </c>
      <c r="Y3250" s="5" t="str">
        <f>IFERROR(__xludf.DUMMYFUNCTION("REGEXEXTRACT(J3250, ""^\d+"")"),"93")</f>
        <v>93</v>
      </c>
      <c r="Z3250" s="5" t="str">
        <f>IFERROR(__xludf.DUMMYFUNCTION("REGEXEXTRACT(J3250, ""[A-Za-z ]+$"")")," min")</f>
        <v> min</v>
      </c>
      <c r="AA3250" s="5" t="str">
        <f>IFERROR(__xludf.DUMMYFUNCTION("IF(REGEXMATCH(Z3250, ""Season""), ""TV Show"", ""Movie"")"),"Movie")</f>
        <v>Movie</v>
      </c>
    </row>
    <row r="3251">
      <c r="A3251" s="1" t="s">
        <v>17938</v>
      </c>
      <c r="B3251" s="1" t="s">
        <v>37</v>
      </c>
      <c r="C3251" s="1" t="s">
        <v>17939</v>
      </c>
      <c r="E3251" s="1" t="s">
        <v>17940</v>
      </c>
      <c r="F3251" s="1" t="s">
        <v>2796</v>
      </c>
      <c r="G3251" s="1" t="s">
        <v>17941</v>
      </c>
      <c r="H3251" s="1">
        <v>2019.0</v>
      </c>
      <c r="I3251" s="1" t="s">
        <v>42</v>
      </c>
      <c r="J3251" s="1" t="s">
        <v>51</v>
      </c>
      <c r="K3251" s="1" t="s">
        <v>1531</v>
      </c>
      <c r="L3251" s="1" t="s">
        <v>17942</v>
      </c>
      <c r="M3251" s="2" t="s">
        <v>12</v>
      </c>
      <c r="N3251" s="4">
        <f t="shared" si="1"/>
        <v>43789</v>
      </c>
      <c r="O3251" s="5" t="str">
        <f>IFERROR(__xludf.DUMMYFUNCTION("IF(REGEXMATCH(TRIM(I3251), ""^\d+\s*min""), ""Unclassified"", IF(I3251 = """", ""NR"", I3251))"),"TV-MA")</f>
        <v>TV-MA</v>
      </c>
      <c r="R3251" s="5" t="str">
        <f t="shared" si="2"/>
        <v>Bangkok Buddies</v>
      </c>
      <c r="S3251" s="5" t="str">
        <f>IFERROR(__xludf.DUMMYFUNCTION("""COMPUTED_VALUE"""),"Hypersomnia")</f>
        <v>Hypersomnia</v>
      </c>
      <c r="U3251" s="5" t="str">
        <f>IFERROR(__xludf.DUMMYFUNCTION("""COMPUTED_VALUE"""),"Lu Yang")</f>
        <v>Lu Yang</v>
      </c>
      <c r="V3251" s="5" t="s">
        <v>17943</v>
      </c>
      <c r="W3251" s="5" t="str">
        <f t="shared" si="3"/>
        <v>Peter Deluise</v>
      </c>
      <c r="X3251" s="5">
        <f t="shared" si="4"/>
        <v>1</v>
      </c>
      <c r="Y3251" s="5" t="str">
        <f>IFERROR(__xludf.DUMMYFUNCTION("REGEXEXTRACT(J3251, ""^\d+"")"),"1")</f>
        <v>1</v>
      </c>
      <c r="Z3251" s="5" t="str">
        <f>IFERROR(__xludf.DUMMYFUNCTION("REGEXEXTRACT(J3251, ""[A-Za-z ]+$"")")," Season")</f>
        <v> Season</v>
      </c>
      <c r="AA3251" s="5" t="str">
        <f>IFERROR(__xludf.DUMMYFUNCTION("IF(REGEXMATCH(Z3251, ""Season""), ""TV Show"", ""Movie"")"),"TV Show")</f>
        <v>TV Show</v>
      </c>
    </row>
    <row r="3252">
      <c r="A3252" s="1" t="s">
        <v>17944</v>
      </c>
      <c r="B3252" s="1" t="s">
        <v>27</v>
      </c>
      <c r="C3252" s="1" t="s">
        <v>17945</v>
      </c>
      <c r="D3252" s="1" t="s">
        <v>7346</v>
      </c>
      <c r="E3252" s="1" t="s">
        <v>17946</v>
      </c>
      <c r="F3252" s="1" t="s">
        <v>30</v>
      </c>
      <c r="G3252" s="1" t="s">
        <v>17941</v>
      </c>
      <c r="H3252" s="1">
        <v>2019.0</v>
      </c>
      <c r="I3252" s="1" t="s">
        <v>42</v>
      </c>
      <c r="J3252" s="1" t="s">
        <v>1144</v>
      </c>
      <c r="K3252" s="1" t="s">
        <v>34</v>
      </c>
      <c r="L3252" s="1" t="s">
        <v>17947</v>
      </c>
      <c r="M3252" s="2" t="s">
        <v>12</v>
      </c>
      <c r="N3252" s="4">
        <f t="shared" si="1"/>
        <v>43789</v>
      </c>
      <c r="O3252" s="5" t="str">
        <f>IFERROR(__xludf.DUMMYFUNCTION("IF(REGEXMATCH(TRIM(I3252), ""^\d+\s*min""), ""Unclassified"", IF(I3252 = """", ""NR"", I3252))"),"TV-MA")</f>
        <v>TV-MA</v>
      </c>
      <c r="R3252" s="5" t="str">
        <f t="shared" si="2"/>
        <v>Bikram: Yogi, Guru, Predator</v>
      </c>
      <c r="S3252" s="5" t="str">
        <f>IFERROR(__xludf.DUMMYFUNCTION("""COMPUTED_VALUE"""),"I Am")</f>
        <v>I Am</v>
      </c>
      <c r="U3252" s="5" t="str">
        <f>IFERROR(__xludf.DUMMYFUNCTION("""COMPUTED_VALUE"""),"Vivieno Caldinelli")</f>
        <v>Vivieno Caldinelli</v>
      </c>
      <c r="V3252" s="5" t="s">
        <v>8293</v>
      </c>
      <c r="W3252" s="5" t="str">
        <f t="shared" si="3"/>
        <v>Peter Facinelli</v>
      </c>
      <c r="X3252" s="5">
        <f t="shared" si="4"/>
        <v>1</v>
      </c>
      <c r="Y3252" s="5" t="str">
        <f>IFERROR(__xludf.DUMMYFUNCTION("REGEXEXTRACT(J3252, ""^\d+"")"),"86")</f>
        <v>86</v>
      </c>
      <c r="Z3252" s="5" t="str">
        <f>IFERROR(__xludf.DUMMYFUNCTION("REGEXEXTRACT(J3252, ""[A-Za-z ]+$"")")," min")</f>
        <v> min</v>
      </c>
      <c r="AA3252" s="5" t="str">
        <f>IFERROR(__xludf.DUMMYFUNCTION("IF(REGEXMATCH(Z3252, ""Season""), ""TV Show"", ""Movie"")"),"Movie")</f>
        <v>Movie</v>
      </c>
    </row>
    <row r="3253">
      <c r="A3253" s="1" t="s">
        <v>17948</v>
      </c>
      <c r="B3253" s="1" t="s">
        <v>27</v>
      </c>
      <c r="C3253" s="1" t="s">
        <v>17949</v>
      </c>
      <c r="D3253" s="1" t="s">
        <v>17950</v>
      </c>
      <c r="E3253" s="1" t="s">
        <v>17951</v>
      </c>
      <c r="F3253" s="1" t="s">
        <v>63</v>
      </c>
      <c r="G3253" s="1" t="s">
        <v>17941</v>
      </c>
      <c r="H3253" s="1">
        <v>2019.0</v>
      </c>
      <c r="I3253" s="1" t="s">
        <v>97</v>
      </c>
      <c r="J3253" s="1" t="s">
        <v>7413</v>
      </c>
      <c r="K3253" s="1" t="s">
        <v>679</v>
      </c>
      <c r="L3253" s="1" t="s">
        <v>17952</v>
      </c>
      <c r="M3253" s="2" t="s">
        <v>12</v>
      </c>
      <c r="N3253" s="4">
        <f t="shared" si="1"/>
        <v>43789</v>
      </c>
      <c r="O3253" s="5" t="str">
        <f>IFERROR(__xludf.DUMMYFUNCTION("IF(REGEXMATCH(TRIM(I3253), ""^\d+\s*min""), ""Unclassified"", IF(I3253 = """", ""NR"", I3253))"),"TV-14")</f>
        <v>TV-14</v>
      </c>
      <c r="R3253" s="5" t="str">
        <f t="shared" si="2"/>
        <v>Dorasaani</v>
      </c>
      <c r="S3253" s="5" t="str">
        <f>IFERROR(__xludf.DUMMYFUNCTION("""COMPUTED_VALUE"""),"I Am A Killer")</f>
        <v>I Am A Killer</v>
      </c>
      <c r="U3253" s="5" t="str">
        <f>IFERROR(__xludf.DUMMYFUNCTION("""COMPUTED_VALUE"""),"Mike Wiluan")</f>
        <v>Mike Wiluan</v>
      </c>
      <c r="V3253" s="5" t="s">
        <v>17953</v>
      </c>
      <c r="W3253" s="5" t="str">
        <f t="shared" si="3"/>
        <v>Peter Farrelly, Bobby Farrelly</v>
      </c>
      <c r="X3253" s="5">
        <f t="shared" si="4"/>
        <v>1</v>
      </c>
      <c r="Y3253" s="5" t="str">
        <f>IFERROR(__xludf.DUMMYFUNCTION("REGEXEXTRACT(J3253, ""^\d+"")"),"134")</f>
        <v>134</v>
      </c>
      <c r="Z3253" s="5" t="str">
        <f>IFERROR(__xludf.DUMMYFUNCTION("REGEXEXTRACT(J3253, ""[A-Za-z ]+$"")")," min")</f>
        <v> min</v>
      </c>
      <c r="AA3253" s="5" t="str">
        <f>IFERROR(__xludf.DUMMYFUNCTION("IF(REGEXMATCH(Z3253, ""Season""), ""TV Show"", ""Movie"")"),"Movie")</f>
        <v>Movie</v>
      </c>
    </row>
    <row r="3254">
      <c r="A3254" s="1" t="s">
        <v>17954</v>
      </c>
      <c r="B3254" s="1" t="s">
        <v>37</v>
      </c>
      <c r="C3254" s="1" t="s">
        <v>17955</v>
      </c>
      <c r="E3254" s="1" t="s">
        <v>17956</v>
      </c>
      <c r="F3254" s="1" t="s">
        <v>2492</v>
      </c>
      <c r="G3254" s="1" t="s">
        <v>17941</v>
      </c>
      <c r="H3254" s="1">
        <v>2019.0</v>
      </c>
      <c r="I3254" s="1" t="s">
        <v>42</v>
      </c>
      <c r="J3254" s="1" t="s">
        <v>51</v>
      </c>
      <c r="K3254" s="1" t="s">
        <v>402</v>
      </c>
      <c r="L3254" s="1" t="s">
        <v>17957</v>
      </c>
      <c r="M3254" s="2" t="s">
        <v>12</v>
      </c>
      <c r="N3254" s="4">
        <f t="shared" si="1"/>
        <v>43789</v>
      </c>
      <c r="O3254" s="5" t="str">
        <f>IFERROR(__xludf.DUMMYFUNCTION("IF(REGEXMATCH(TRIM(I3254), ""^\d+\s*min""), ""Unclassified"", IF(I3254 = """", ""NR"", I3254))"),"TV-MA")</f>
        <v>TV-MA</v>
      </c>
      <c r="R3254" s="5" t="str">
        <f t="shared" si="2"/>
        <v>Holiday Secrets</v>
      </c>
      <c r="S3254" s="5" t="str">
        <f>IFERROR(__xludf.DUMMYFUNCTION("""COMPUTED_VALUE"""),"I Am A Killer: Released")</f>
        <v>I Am A Killer: Released</v>
      </c>
      <c r="U3254" s="5" t="str">
        <f>IFERROR(__xludf.DUMMYFUNCTION("""COMPUTED_VALUE"""),"Andreas Johnsen")</f>
        <v>Andreas Johnsen</v>
      </c>
      <c r="V3254" s="5" t="s">
        <v>17958</v>
      </c>
      <c r="W3254" s="5" t="str">
        <f t="shared" si="3"/>
        <v>Peter Farrelly, Will Graham, Steve Carr, Griffin Dunne, Steve Brill, James Duffy, Jonathan Van Tulleken, Elizabeth Banks, Patrik Forsberg, Brett Ratner, Rusty Cundieff, James Gunn</v>
      </c>
      <c r="X3254" s="5">
        <f t="shared" si="4"/>
        <v>1</v>
      </c>
      <c r="Y3254" s="5" t="str">
        <f>IFERROR(__xludf.DUMMYFUNCTION("REGEXEXTRACT(J3254, ""^\d+"")"),"1")</f>
        <v>1</v>
      </c>
      <c r="Z3254" s="5" t="str">
        <f>IFERROR(__xludf.DUMMYFUNCTION("REGEXEXTRACT(J3254, ""[A-Za-z ]+$"")")," Season")</f>
        <v> Season</v>
      </c>
      <c r="AA3254" s="5" t="str">
        <f>IFERROR(__xludf.DUMMYFUNCTION("IF(REGEXMATCH(Z3254, ""Season""), ""TV Show"", ""Movie"")"),"TV Show")</f>
        <v>TV Show</v>
      </c>
    </row>
    <row r="3255">
      <c r="A3255" s="1" t="s">
        <v>17959</v>
      </c>
      <c r="B3255" s="1" t="s">
        <v>27</v>
      </c>
      <c r="C3255" s="1" t="s">
        <v>17960</v>
      </c>
      <c r="D3255" s="1" t="s">
        <v>11990</v>
      </c>
      <c r="E3255" s="1" t="s">
        <v>17961</v>
      </c>
      <c r="F3255" s="1" t="s">
        <v>162</v>
      </c>
      <c r="G3255" s="1" t="s">
        <v>17941</v>
      </c>
      <c r="H3255" s="1">
        <v>2019.0</v>
      </c>
      <c r="I3255" s="1" t="s">
        <v>506</v>
      </c>
      <c r="J3255" s="1" t="s">
        <v>8852</v>
      </c>
      <c r="K3255" s="1" t="s">
        <v>520</v>
      </c>
      <c r="L3255" s="1" t="s">
        <v>17962</v>
      </c>
      <c r="M3255" s="2" t="s">
        <v>12</v>
      </c>
      <c r="N3255" s="4">
        <f t="shared" si="1"/>
        <v>43789</v>
      </c>
      <c r="O3255" s="5" t="str">
        <f>IFERROR(__xludf.DUMMYFUNCTION("IF(REGEXMATCH(TRIM(I3255), ""^\d+\s*min""), ""Unclassified"", IF(I3255 = """", ""NR"", I3255))"),"TV-G")</f>
        <v>TV-G</v>
      </c>
      <c r="R3255" s="5" t="str">
        <f t="shared" si="2"/>
        <v>Lorena, Light-Footed Woman</v>
      </c>
      <c r="S3255" s="5" t="str">
        <f>IFERROR(__xludf.DUMMYFUNCTION("""COMPUTED_VALUE"""),"I Am All Girls")</f>
        <v>I Am All Girls</v>
      </c>
      <c r="U3255" s="5" t="str">
        <f>IFERROR(__xludf.DUMMYFUNCTION("""COMPUTED_VALUE"""),"David Mccracken")</f>
        <v>David Mccracken</v>
      </c>
      <c r="V3255" s="5" t="s">
        <v>17963</v>
      </c>
      <c r="W3255" s="5" t="str">
        <f t="shared" si="3"/>
        <v>Peter Fison</v>
      </c>
      <c r="X3255" s="5">
        <f t="shared" si="4"/>
        <v>1</v>
      </c>
      <c r="Y3255" s="5" t="str">
        <f>IFERROR(__xludf.DUMMYFUNCTION("REGEXEXTRACT(J3255, ""^\d+"")"),"28")</f>
        <v>28</v>
      </c>
      <c r="Z3255" s="5" t="str">
        <f>IFERROR(__xludf.DUMMYFUNCTION("REGEXEXTRACT(J3255, ""[A-Za-z ]+$"")")," min")</f>
        <v> min</v>
      </c>
      <c r="AA3255" s="5" t="str">
        <f>IFERROR(__xludf.DUMMYFUNCTION("IF(REGEXMATCH(Z3255, ""Season""), ""TV Show"", ""Movie"")"),"Movie")</f>
        <v>Movie</v>
      </c>
    </row>
    <row r="3256">
      <c r="A3256" s="1" t="s">
        <v>17964</v>
      </c>
      <c r="B3256" s="1" t="s">
        <v>27</v>
      </c>
      <c r="C3256" s="1" t="s">
        <v>17965</v>
      </c>
      <c r="D3256" s="1" t="s">
        <v>17966</v>
      </c>
      <c r="E3256" s="1" t="s">
        <v>17967</v>
      </c>
      <c r="F3256" s="1" t="s">
        <v>63</v>
      </c>
      <c r="G3256" s="1" t="s">
        <v>17941</v>
      </c>
      <c r="H3256" s="1">
        <v>2019.0</v>
      </c>
      <c r="I3256" s="1" t="s">
        <v>97</v>
      </c>
      <c r="J3256" s="1" t="s">
        <v>2859</v>
      </c>
      <c r="K3256" s="1" t="s">
        <v>89</v>
      </c>
      <c r="L3256" s="1" t="s">
        <v>17968</v>
      </c>
      <c r="M3256" s="2" t="s">
        <v>12</v>
      </c>
      <c r="N3256" s="4">
        <f t="shared" si="1"/>
        <v>43789</v>
      </c>
      <c r="O3256" s="5" t="str">
        <f>IFERROR(__xludf.DUMMYFUNCTION("IF(REGEXMATCH(TRIM(I3256), ""^\d+\s*min""), ""Unclassified"", IF(I3256 = """", ""NR"", I3256))"),"TV-14")</f>
        <v>TV-14</v>
      </c>
      <c r="R3256" s="5" t="str">
        <f t="shared" si="2"/>
        <v>Mallesham</v>
      </c>
      <c r="S3256" s="5" t="str">
        <f>IFERROR(__xludf.DUMMYFUNCTION("""COMPUTED_VALUE"""),"I Am Bolt")</f>
        <v>I Am Bolt</v>
      </c>
      <c r="U3256" s="5" t="str">
        <f>IFERROR(__xludf.DUMMYFUNCTION("""COMPUTED_VALUE"""),"Steve Antin")</f>
        <v>Steve Antin</v>
      </c>
      <c r="V3256" s="5" t="s">
        <v>17969</v>
      </c>
      <c r="W3256" s="5" t="str">
        <f t="shared" si="3"/>
        <v>Peter Foott</v>
      </c>
      <c r="X3256" s="5">
        <f t="shared" si="4"/>
        <v>1</v>
      </c>
      <c r="Y3256" s="5" t="str">
        <f>IFERROR(__xludf.DUMMYFUNCTION("REGEXEXTRACT(J3256, ""^\d+"")"),"131")</f>
        <v>131</v>
      </c>
      <c r="Z3256" s="5" t="str">
        <f>IFERROR(__xludf.DUMMYFUNCTION("REGEXEXTRACT(J3256, ""[A-Za-z ]+$"")")," min")</f>
        <v> min</v>
      </c>
      <c r="AA3256" s="5" t="str">
        <f>IFERROR(__xludf.DUMMYFUNCTION("IF(REGEXMATCH(Z3256, ""Season""), ""TV Show"", ""Movie"")"),"Movie")</f>
        <v>Movie</v>
      </c>
    </row>
    <row r="3257">
      <c r="A3257" s="1" t="s">
        <v>17970</v>
      </c>
      <c r="B3257" s="1" t="s">
        <v>37</v>
      </c>
      <c r="C3257" s="1" t="s">
        <v>17971</v>
      </c>
      <c r="F3257" s="1" t="s">
        <v>664</v>
      </c>
      <c r="G3257" s="1" t="s">
        <v>17941</v>
      </c>
      <c r="H3257" s="1">
        <v>2019.0</v>
      </c>
      <c r="I3257" s="1" t="s">
        <v>42</v>
      </c>
      <c r="J3257" s="1" t="s">
        <v>51</v>
      </c>
      <c r="K3257" s="1" t="s">
        <v>112</v>
      </c>
      <c r="L3257" s="1" t="s">
        <v>17972</v>
      </c>
      <c r="M3257" s="2" t="s">
        <v>12</v>
      </c>
      <c r="N3257" s="4">
        <f t="shared" si="1"/>
        <v>43789</v>
      </c>
      <c r="O3257" s="5" t="str">
        <f>IFERROR(__xludf.DUMMYFUNCTION("IF(REGEXMATCH(TRIM(I3257), ""^\d+\s*min""), ""Unclassified"", IF(I3257 = """", ""NR"", I3257))"),"TV-MA")</f>
        <v>TV-MA</v>
      </c>
      <c r="R3257" s="5" t="str">
        <f t="shared" si="2"/>
        <v>Who Killed Little Gregory?</v>
      </c>
      <c r="S3257" s="5" t="str">
        <f>IFERROR(__xludf.DUMMYFUNCTION("""COMPUTED_VALUE"""),"I Am Divine")</f>
        <v>I Am Divine</v>
      </c>
      <c r="U3257" s="5" t="str">
        <f>IFERROR(__xludf.DUMMYFUNCTION("""COMPUTED_VALUE"""),"Jon Manning")</f>
        <v>Jon Manning</v>
      </c>
      <c r="V3257" s="5" t="s">
        <v>4764</v>
      </c>
      <c r="W3257" s="5" t="str">
        <f t="shared" si="3"/>
        <v>Peter Galison</v>
      </c>
      <c r="X3257" s="5">
        <f t="shared" si="4"/>
        <v>1</v>
      </c>
      <c r="Y3257" s="5" t="str">
        <f>IFERROR(__xludf.DUMMYFUNCTION("REGEXEXTRACT(J3257, ""^\d+"")"),"1")</f>
        <v>1</v>
      </c>
      <c r="Z3257" s="5" t="str">
        <f>IFERROR(__xludf.DUMMYFUNCTION("REGEXEXTRACT(J3257, ""[A-Za-z ]+$"")")," Season")</f>
        <v> Season</v>
      </c>
      <c r="AA3257" s="5" t="str">
        <f>IFERROR(__xludf.DUMMYFUNCTION("IF(REGEXMATCH(Z3257, ""Season""), ""TV Show"", ""Movie"")"),"TV Show")</f>
        <v>TV Show</v>
      </c>
    </row>
    <row r="3258">
      <c r="A3258" s="1" t="s">
        <v>17973</v>
      </c>
      <c r="B3258" s="1" t="s">
        <v>27</v>
      </c>
      <c r="C3258" s="1" t="s">
        <v>17974</v>
      </c>
      <c r="D3258" s="1" t="s">
        <v>17975</v>
      </c>
      <c r="E3258" s="1" t="s">
        <v>17976</v>
      </c>
      <c r="F3258" s="1" t="s">
        <v>30</v>
      </c>
      <c r="G3258" s="1" t="s">
        <v>17977</v>
      </c>
      <c r="H3258" s="1">
        <v>2019.0</v>
      </c>
      <c r="I3258" s="1" t="s">
        <v>42</v>
      </c>
      <c r="J3258" s="1" t="s">
        <v>1737</v>
      </c>
      <c r="K3258" s="1" t="s">
        <v>1839</v>
      </c>
      <c r="L3258" s="1" t="s">
        <v>17978</v>
      </c>
      <c r="M3258" s="2" t="s">
        <v>12</v>
      </c>
      <c r="N3258" s="4">
        <f t="shared" si="1"/>
        <v>43788</v>
      </c>
      <c r="O3258" s="5" t="str">
        <f>IFERROR(__xludf.DUMMYFUNCTION("IF(REGEXMATCH(TRIM(I3258), ""^\d+\s*min""), ""Unclassified"", IF(I3258 = """", ""NR"", I3258))"),"TV-MA")</f>
        <v>TV-MA</v>
      </c>
      <c r="R3258" s="5" t="str">
        <f t="shared" si="2"/>
        <v>Iliza Shlesinger: Unveiled</v>
      </c>
      <c r="S3258" s="5" t="str">
        <f>IFERROR(__xludf.DUMMYFUNCTION("""COMPUTED_VALUE"""),"I Am Jane Doe")</f>
        <v>I Am Jane Doe</v>
      </c>
      <c r="U3258" s="5" t="str">
        <f>IFERROR(__xludf.DUMMYFUNCTION("""COMPUTED_VALUE"""),"Lee Chang-Dong")</f>
        <v>Lee Chang-Dong</v>
      </c>
      <c r="V3258" s="5" t="s">
        <v>17979</v>
      </c>
      <c r="W3258" s="5" t="str">
        <f t="shared" si="3"/>
        <v>Peter Hewitt</v>
      </c>
      <c r="X3258" s="5">
        <f t="shared" si="4"/>
        <v>1</v>
      </c>
      <c r="Y3258" s="5" t="str">
        <f>IFERROR(__xludf.DUMMYFUNCTION("REGEXEXTRACT(J3258, ""^\d+"")"),"78")</f>
        <v>78</v>
      </c>
      <c r="Z3258" s="5" t="str">
        <f>IFERROR(__xludf.DUMMYFUNCTION("REGEXEXTRACT(J3258, ""[A-Za-z ]+$"")")," min")</f>
        <v> min</v>
      </c>
      <c r="AA3258" s="5" t="str">
        <f>IFERROR(__xludf.DUMMYFUNCTION("IF(REGEXMATCH(Z3258, ""Season""), ""TV Show"", ""Movie"")"),"Movie")</f>
        <v>Movie</v>
      </c>
    </row>
    <row r="3259">
      <c r="A3259" s="1" t="s">
        <v>17980</v>
      </c>
      <c r="B3259" s="1" t="s">
        <v>37</v>
      </c>
      <c r="C3259" s="1" t="s">
        <v>17981</v>
      </c>
      <c r="E3259" s="1" t="s">
        <v>17982</v>
      </c>
      <c r="G3259" s="1" t="s">
        <v>17977</v>
      </c>
      <c r="H3259" s="1">
        <v>2019.0</v>
      </c>
      <c r="I3259" s="1" t="s">
        <v>97</v>
      </c>
      <c r="J3259" s="1" t="s">
        <v>51</v>
      </c>
      <c r="K3259" s="1" t="s">
        <v>64</v>
      </c>
      <c r="L3259" s="1" t="s">
        <v>17983</v>
      </c>
      <c r="M3259" s="2" t="s">
        <v>12</v>
      </c>
      <c r="N3259" s="4">
        <f t="shared" si="1"/>
        <v>43788</v>
      </c>
      <c r="O3259" s="5" t="str">
        <f>IFERROR(__xludf.DUMMYFUNCTION("IF(REGEXMATCH(TRIM(I3259), ""^\d+\s*min""), ""Unclassified"", IF(I3259 = """", ""NR"", I3259))"),"TV-14")</f>
        <v>TV-14</v>
      </c>
      <c r="R3259" s="5" t="str">
        <f t="shared" si="2"/>
        <v>Miss Culinary</v>
      </c>
      <c r="S3259" s="5" t="str">
        <f>IFERROR(__xludf.DUMMYFUNCTION("""COMPUTED_VALUE"""),"I Am Jonas")</f>
        <v>I Am Jonas</v>
      </c>
      <c r="U3259" s="5" t="str">
        <f>IFERROR(__xludf.DUMMYFUNCTION("""COMPUTED_VALUE"""),"Cary Murnion, Jonathan Milott")</f>
        <v>Cary Murnion, Jonathan Milott</v>
      </c>
      <c r="V3259" s="5" t="s">
        <v>17984</v>
      </c>
      <c r="W3259" s="5" t="str">
        <f t="shared" si="3"/>
        <v>Peter Ho</v>
      </c>
      <c r="X3259" s="5">
        <f t="shared" si="4"/>
        <v>1</v>
      </c>
      <c r="Y3259" s="5" t="str">
        <f>IFERROR(__xludf.DUMMYFUNCTION("REGEXEXTRACT(J3259, ""^\d+"")"),"1")</f>
        <v>1</v>
      </c>
      <c r="Z3259" s="5" t="str">
        <f>IFERROR(__xludf.DUMMYFUNCTION("REGEXEXTRACT(J3259, ""[A-Za-z ]+$"")")," Season")</f>
        <v> Season</v>
      </c>
      <c r="AA3259" s="5" t="str">
        <f>IFERROR(__xludf.DUMMYFUNCTION("IF(REGEXMATCH(Z3259, ""Season""), ""TV Show"", ""Movie"")"),"TV Show")</f>
        <v>TV Show</v>
      </c>
    </row>
    <row r="3260">
      <c r="A3260" s="1" t="s">
        <v>17985</v>
      </c>
      <c r="B3260" s="1" t="s">
        <v>37</v>
      </c>
      <c r="C3260" s="1" t="s">
        <v>17986</v>
      </c>
      <c r="E3260" s="1" t="s">
        <v>17987</v>
      </c>
      <c r="F3260" s="1" t="s">
        <v>2059</v>
      </c>
      <c r="G3260" s="1" t="s">
        <v>17988</v>
      </c>
      <c r="H3260" s="1">
        <v>2019.0</v>
      </c>
      <c r="I3260" s="1" t="s">
        <v>42</v>
      </c>
      <c r="J3260" s="1" t="s">
        <v>51</v>
      </c>
      <c r="K3260" s="1" t="s">
        <v>1830</v>
      </c>
      <c r="L3260" s="1" t="s">
        <v>17989</v>
      </c>
      <c r="M3260" s="2" t="s">
        <v>12</v>
      </c>
      <c r="N3260" s="4">
        <f t="shared" si="1"/>
        <v>43786</v>
      </c>
      <c r="O3260" s="5" t="str">
        <f>IFERROR(__xludf.DUMMYFUNCTION("IF(REGEXMATCH(TRIM(I3260), ""^\d+\s*min""), ""Unclassified"", IF(I3260 = """", ""NR"", I3260))"),"TV-MA")</f>
        <v>TV-MA</v>
      </c>
      <c r="R3260" s="5" t="str">
        <f t="shared" si="2"/>
        <v>Candy Online</v>
      </c>
      <c r="S3260" s="5" t="str">
        <f>IFERROR(__xludf.DUMMYFUNCTION("""COMPUTED_VALUE"""),"I Am Kalam")</f>
        <v>I Am Kalam</v>
      </c>
      <c r="U3260" s="5" t="str">
        <f>IFERROR(__xludf.DUMMYFUNCTION("""COMPUTED_VALUE"""),"Daniel Mann")</f>
        <v>Daniel Mann</v>
      </c>
      <c r="V3260" s="5" t="s">
        <v>17990</v>
      </c>
      <c r="W3260" s="5" t="str">
        <f t="shared" si="3"/>
        <v>Peter Howitt</v>
      </c>
      <c r="X3260" s="5">
        <f t="shared" si="4"/>
        <v>1</v>
      </c>
      <c r="Y3260" s="5" t="str">
        <f>IFERROR(__xludf.DUMMYFUNCTION("REGEXEXTRACT(J3260, ""^\d+"")"),"1")</f>
        <v>1</v>
      </c>
      <c r="Z3260" s="5" t="str">
        <f>IFERROR(__xludf.DUMMYFUNCTION("REGEXEXTRACT(J3260, ""[A-Za-z ]+$"")")," Season")</f>
        <v> Season</v>
      </c>
      <c r="AA3260" s="5" t="str">
        <f>IFERROR(__xludf.DUMMYFUNCTION("IF(REGEXMATCH(Z3260, ""Season""), ""TV Show"", ""Movie"")"),"TV Show")</f>
        <v>TV Show</v>
      </c>
    </row>
    <row r="3261">
      <c r="A3261" s="1" t="s">
        <v>17991</v>
      </c>
      <c r="B3261" s="1" t="s">
        <v>27</v>
      </c>
      <c r="C3261" s="1" t="s">
        <v>17992</v>
      </c>
      <c r="D3261" s="1" t="s">
        <v>17993</v>
      </c>
      <c r="F3261" s="1" t="s">
        <v>17994</v>
      </c>
      <c r="G3261" s="1" t="s">
        <v>17995</v>
      </c>
      <c r="H3261" s="1">
        <v>2019.0</v>
      </c>
      <c r="I3261" s="1" t="s">
        <v>42</v>
      </c>
      <c r="J3261" s="1" t="s">
        <v>454</v>
      </c>
      <c r="K3261" s="1" t="s">
        <v>1328</v>
      </c>
      <c r="L3261" s="1" t="s">
        <v>17996</v>
      </c>
      <c r="M3261" s="2" t="s">
        <v>12</v>
      </c>
      <c r="N3261" s="4">
        <f t="shared" si="1"/>
        <v>43785</v>
      </c>
      <c r="O3261" s="5" t="str">
        <f>IFERROR(__xludf.DUMMYFUNCTION("IF(REGEXMATCH(TRIM(I3261), ""^\d+\s*min""), ""Unclassified"", IF(I3261 = """", ""NR"", I3261))"),"TV-MA")</f>
        <v>TV-MA</v>
      </c>
      <c r="R3261" s="5" t="str">
        <f t="shared" si="2"/>
        <v>Iron Sky: The Coming Race</v>
      </c>
      <c r="S3261" s="5" t="str">
        <f>IFERROR(__xludf.DUMMYFUNCTION("""COMPUTED_VALUE"""),"I Am Maris")</f>
        <v>I Am Maris</v>
      </c>
      <c r="U3261" s="5" t="str">
        <f>IFERROR(__xludf.DUMMYFUNCTION("""COMPUTED_VALUE"""),"Daniele Thompson")</f>
        <v>Daniele Thompson</v>
      </c>
      <c r="V3261" s="5" t="s">
        <v>5003</v>
      </c>
      <c r="W3261" s="5" t="str">
        <f t="shared" si="3"/>
        <v>Peter Hutchings</v>
      </c>
      <c r="X3261" s="5">
        <f t="shared" si="4"/>
        <v>2</v>
      </c>
      <c r="Y3261" s="5" t="str">
        <f>IFERROR(__xludf.DUMMYFUNCTION("REGEXEXTRACT(J3261, ""^\d+"")"),"93")</f>
        <v>93</v>
      </c>
      <c r="Z3261" s="5" t="str">
        <f>IFERROR(__xludf.DUMMYFUNCTION("REGEXEXTRACT(J3261, ""[A-Za-z ]+$"")")," min")</f>
        <v> min</v>
      </c>
      <c r="AA3261" s="5" t="str">
        <f>IFERROR(__xludf.DUMMYFUNCTION("IF(REGEXMATCH(Z3261, ""Season""), ""TV Show"", ""Movie"")"),"Movie")</f>
        <v>Movie</v>
      </c>
    </row>
    <row r="3262">
      <c r="A3262" s="1" t="s">
        <v>17997</v>
      </c>
      <c r="B3262" s="1" t="s">
        <v>27</v>
      </c>
      <c r="C3262" s="1" t="s">
        <v>17998</v>
      </c>
      <c r="D3262" s="1" t="s">
        <v>17999</v>
      </c>
      <c r="E3262" s="1" t="s">
        <v>16997</v>
      </c>
      <c r="F3262" s="1" t="s">
        <v>30</v>
      </c>
      <c r="G3262" s="1" t="s">
        <v>17995</v>
      </c>
      <c r="H3262" s="1">
        <v>2014.0</v>
      </c>
      <c r="I3262" s="1" t="s">
        <v>42</v>
      </c>
      <c r="J3262" s="1" t="s">
        <v>1608</v>
      </c>
      <c r="K3262" s="1" t="s">
        <v>1839</v>
      </c>
      <c r="L3262" s="1" t="s">
        <v>18000</v>
      </c>
      <c r="M3262" s="2" t="s">
        <v>12</v>
      </c>
      <c r="N3262" s="4">
        <f t="shared" si="1"/>
        <v>43785</v>
      </c>
      <c r="O3262" s="5" t="str">
        <f>IFERROR(__xludf.DUMMYFUNCTION("IF(REGEXMATCH(TRIM(I3262), ""^\d+\s*min""), ""Unclassified"", IF(I3262 = """", ""NR"", I3262))"),"TV-MA")</f>
        <v>TV-MA</v>
      </c>
      <c r="R3262" s="5" t="str">
        <f t="shared" si="2"/>
        <v>Jeff Dunham: All Over The Map</v>
      </c>
      <c r="S3262" s="5" t="str">
        <f>IFERROR(__xludf.DUMMYFUNCTION("""COMPUTED_VALUE"""),"I Am Me!")</f>
        <v>I Am Me!</v>
      </c>
      <c r="U3262" s="5" t="str">
        <f>IFERROR(__xludf.DUMMYFUNCTION("""COMPUTED_VALUE"""),"Travis Zariwny")</f>
        <v>Travis Zariwny</v>
      </c>
      <c r="V3262" s="5" t="s">
        <v>5701</v>
      </c>
      <c r="W3262" s="5" t="str">
        <f t="shared" si="3"/>
        <v>Peter Jackson</v>
      </c>
      <c r="X3262" s="5">
        <f t="shared" si="4"/>
        <v>3</v>
      </c>
      <c r="Y3262" s="5" t="str">
        <f>IFERROR(__xludf.DUMMYFUNCTION("REGEXEXTRACT(J3262, ""^\d+"")"),"84")</f>
        <v>84</v>
      </c>
      <c r="Z3262" s="5" t="str">
        <f>IFERROR(__xludf.DUMMYFUNCTION("REGEXEXTRACT(J3262, ""[A-Za-z ]+$"")")," min")</f>
        <v> min</v>
      </c>
      <c r="AA3262" s="5" t="str">
        <f>IFERROR(__xludf.DUMMYFUNCTION("IF(REGEXMATCH(Z3262, ""Season""), ""TV Show"", ""Movie"")"),"Movie")</f>
        <v>Movie</v>
      </c>
    </row>
    <row r="3263">
      <c r="A3263" s="1" t="s">
        <v>18001</v>
      </c>
      <c r="B3263" s="1" t="s">
        <v>27</v>
      </c>
      <c r="C3263" s="1" t="s">
        <v>18002</v>
      </c>
      <c r="D3263" s="1" t="s">
        <v>7992</v>
      </c>
      <c r="E3263" s="1" t="s">
        <v>18003</v>
      </c>
      <c r="F3263" s="1" t="s">
        <v>18004</v>
      </c>
      <c r="G3263" s="1" t="s">
        <v>17995</v>
      </c>
      <c r="H3263" s="1">
        <v>2015.0</v>
      </c>
      <c r="I3263" s="1" t="s">
        <v>32</v>
      </c>
      <c r="J3263" s="1" t="s">
        <v>1256</v>
      </c>
      <c r="K3263" s="1" t="s">
        <v>128</v>
      </c>
      <c r="L3263" s="1" t="s">
        <v>18005</v>
      </c>
      <c r="M3263" s="2" t="s">
        <v>12</v>
      </c>
      <c r="N3263" s="4">
        <f t="shared" si="1"/>
        <v>43785</v>
      </c>
      <c r="O3263" s="5" t="str">
        <f>IFERROR(__xludf.DUMMYFUNCTION("IF(REGEXMATCH(TRIM(I3263), ""^\d+\s*min""), ""Unclassified"", IF(I3263 = """", ""NR"", I3263))"),"PG-13")</f>
        <v>PG-13</v>
      </c>
      <c r="R3263" s="5" t="str">
        <f t="shared" si="2"/>
        <v>Suffragette</v>
      </c>
      <c r="S3263" s="5" t="str">
        <f>IFERROR(__xludf.DUMMYFUNCTION("""COMPUTED_VALUE"""),"I Am Michael")</f>
        <v>I Am Michael</v>
      </c>
      <c r="U3263" s="5" t="str">
        <f>IFERROR(__xludf.DUMMYFUNCTION("""COMPUTED_VALUE"""),"Néstor Sánchez Sotelo")</f>
        <v>Néstor Sánchez Sotelo</v>
      </c>
      <c r="V3263" s="5" t="s">
        <v>13461</v>
      </c>
      <c r="W3263" s="5" t="str">
        <f t="shared" si="3"/>
        <v>Peter Lepeniotis</v>
      </c>
      <c r="X3263" s="5">
        <f t="shared" si="4"/>
        <v>2</v>
      </c>
      <c r="Y3263" s="5" t="str">
        <f>IFERROR(__xludf.DUMMYFUNCTION("REGEXEXTRACT(J3263, ""^\d+"")"),"107")</f>
        <v>107</v>
      </c>
      <c r="Z3263" s="5" t="str">
        <f>IFERROR(__xludf.DUMMYFUNCTION("REGEXEXTRACT(J3263, ""[A-Za-z ]+$"")")," min")</f>
        <v> min</v>
      </c>
      <c r="AA3263" s="5" t="str">
        <f>IFERROR(__xludf.DUMMYFUNCTION("IF(REGEXMATCH(Z3263, ""Season""), ""TV Show"", ""Movie"")"),"Movie")</f>
        <v>Movie</v>
      </c>
    </row>
    <row r="3264">
      <c r="A3264" s="1" t="s">
        <v>18006</v>
      </c>
      <c r="B3264" s="1" t="s">
        <v>27</v>
      </c>
      <c r="C3264" s="1" t="s">
        <v>18007</v>
      </c>
      <c r="D3264" s="1" t="s">
        <v>6928</v>
      </c>
      <c r="E3264" s="1" t="s">
        <v>18008</v>
      </c>
      <c r="F3264" s="1" t="s">
        <v>18009</v>
      </c>
      <c r="G3264" s="1" t="s">
        <v>17995</v>
      </c>
      <c r="H3264" s="1">
        <v>2013.0</v>
      </c>
      <c r="I3264" s="1" t="s">
        <v>378</v>
      </c>
      <c r="J3264" s="1" t="s">
        <v>1091</v>
      </c>
      <c r="K3264" s="1" t="s">
        <v>7235</v>
      </c>
      <c r="L3264" s="1" t="s">
        <v>18010</v>
      </c>
      <c r="M3264" s="2" t="s">
        <v>12</v>
      </c>
      <c r="N3264" s="4">
        <f t="shared" si="1"/>
        <v>43785</v>
      </c>
      <c r="O3264" s="5" t="str">
        <f>IFERROR(__xludf.DUMMYFUNCTION("IF(REGEXMATCH(TRIM(I3264), ""^\d+\s*min""), ""Unclassified"", IF(I3264 = """", ""NR"", I3264))"),"R")</f>
        <v>R</v>
      </c>
      <c r="R3264" s="5" t="str">
        <f t="shared" si="2"/>
        <v>The Green Inferno</v>
      </c>
      <c r="S3264" s="5" t="str">
        <f>IFERROR(__xludf.DUMMYFUNCTION("""COMPUTED_VALUE"""),"I Am Mother")</f>
        <v>I Am Mother</v>
      </c>
      <c r="U3264" s="5" t="str">
        <f>IFERROR(__xludf.DUMMYFUNCTION("""COMPUTED_VALUE"""),"Asim Abbasi")</f>
        <v>Asim Abbasi</v>
      </c>
      <c r="V3264" s="5" t="s">
        <v>18011</v>
      </c>
      <c r="W3264" s="5" t="str">
        <f t="shared" si="3"/>
        <v>Peter Lord, Jeff Newitt</v>
      </c>
      <c r="X3264" s="5">
        <f t="shared" si="4"/>
        <v>1</v>
      </c>
      <c r="Y3264" s="5" t="str">
        <f>IFERROR(__xludf.DUMMYFUNCTION("REGEXEXTRACT(J3264, ""^\d+"")"),"101")</f>
        <v>101</v>
      </c>
      <c r="Z3264" s="5" t="str">
        <f>IFERROR(__xludf.DUMMYFUNCTION("REGEXEXTRACT(J3264, ""[A-Za-z ]+$"")")," min")</f>
        <v> min</v>
      </c>
      <c r="AA3264" s="5" t="str">
        <f>IFERROR(__xludf.DUMMYFUNCTION("IF(REGEXMATCH(Z3264, ""Season""), ""TV Show"", ""Movie"")"),"Movie")</f>
        <v>Movie</v>
      </c>
    </row>
    <row r="3265">
      <c r="A3265" s="1" t="s">
        <v>18012</v>
      </c>
      <c r="B3265" s="1" t="s">
        <v>37</v>
      </c>
      <c r="C3265" s="1" t="s">
        <v>18013</v>
      </c>
      <c r="E3265" s="1" t="s">
        <v>18014</v>
      </c>
      <c r="F3265" s="1" t="s">
        <v>2059</v>
      </c>
      <c r="G3265" s="1" t="s">
        <v>18015</v>
      </c>
      <c r="H3265" s="1">
        <v>2003.0</v>
      </c>
      <c r="I3265" s="1" t="s">
        <v>97</v>
      </c>
      <c r="J3265" s="1" t="s">
        <v>51</v>
      </c>
      <c r="K3265" s="1" t="s">
        <v>18016</v>
      </c>
      <c r="L3265" s="1" t="s">
        <v>18017</v>
      </c>
      <c r="M3265" s="2" t="s">
        <v>12</v>
      </c>
      <c r="N3265" s="4">
        <f t="shared" si="1"/>
        <v>43784</v>
      </c>
      <c r="O3265" s="5" t="str">
        <f>IFERROR(__xludf.DUMMYFUNCTION("IF(REGEXMATCH(TRIM(I3265), ""^\d+\s*min""), ""Unclassified"", IF(I3265 = """", ""NR"", I3265))"),"TV-14")</f>
        <v>TV-14</v>
      </c>
      <c r="R3265" s="5" t="str">
        <f t="shared" si="2"/>
        <v>At The Dolphin Bay</v>
      </c>
      <c r="S3265" s="5" t="str">
        <f>IFERROR(__xludf.DUMMYFUNCTION("""COMPUTED_VALUE"""),"I Am Not An Easy Man")</f>
        <v>I Am Not An Easy Man</v>
      </c>
      <c r="U3265" s="5" t="str">
        <f>IFERROR(__xludf.DUMMYFUNCTION("""COMPUTED_VALUE"""),"Carlos Bolado")</f>
        <v>Carlos Bolado</v>
      </c>
      <c r="V3265" s="5" t="s">
        <v>18018</v>
      </c>
      <c r="W3265" s="5" t="str">
        <f t="shared" si="3"/>
        <v>Peter Mcdonnell</v>
      </c>
      <c r="X3265" s="5">
        <f t="shared" si="4"/>
        <v>1</v>
      </c>
      <c r="Y3265" s="5" t="str">
        <f>IFERROR(__xludf.DUMMYFUNCTION("REGEXEXTRACT(J3265, ""^\d+"")"),"1")</f>
        <v>1</v>
      </c>
      <c r="Z3265" s="5" t="str">
        <f>IFERROR(__xludf.DUMMYFUNCTION("REGEXEXTRACT(J3265, ""[A-Za-z ]+$"")")," Season")</f>
        <v> Season</v>
      </c>
      <c r="AA3265" s="5" t="str">
        <f>IFERROR(__xludf.DUMMYFUNCTION("IF(REGEXMATCH(Z3265, ""Season""), ""TV Show"", ""Movie"")"),"TV Show")</f>
        <v>TV Show</v>
      </c>
    </row>
    <row r="3266">
      <c r="A3266" s="1" t="s">
        <v>18019</v>
      </c>
      <c r="B3266" s="1" t="s">
        <v>27</v>
      </c>
      <c r="C3266" s="1" t="s">
        <v>18020</v>
      </c>
      <c r="D3266" s="1" t="s">
        <v>18021</v>
      </c>
      <c r="E3266" s="1" t="s">
        <v>18022</v>
      </c>
      <c r="F3266" s="1" t="s">
        <v>18023</v>
      </c>
      <c r="G3266" s="1" t="s">
        <v>18015</v>
      </c>
      <c r="H3266" s="1">
        <v>2019.0</v>
      </c>
      <c r="I3266" s="1" t="s">
        <v>378</v>
      </c>
      <c r="J3266" s="1" t="s">
        <v>1256</v>
      </c>
      <c r="K3266" s="1" t="s">
        <v>828</v>
      </c>
      <c r="L3266" s="1" t="s">
        <v>18024</v>
      </c>
      <c r="M3266" s="2" t="s">
        <v>12</v>
      </c>
      <c r="N3266" s="4">
        <f t="shared" si="1"/>
        <v>43784</v>
      </c>
      <c r="O3266" s="5" t="str">
        <f>IFERROR(__xludf.DUMMYFUNCTION("IF(REGEXMATCH(TRIM(I3266), ""^\d+\s*min""), ""Unclassified"", IF(I3266 = """", ""NR"", I3266))"),"R")</f>
        <v>R</v>
      </c>
      <c r="R3266" s="5" t="str">
        <f t="shared" si="2"/>
        <v>Earthquake Bird</v>
      </c>
      <c r="S3266" s="5" t="str">
        <f>IFERROR(__xludf.DUMMYFUNCTION("""COMPUTED_VALUE"""),"I Am Not Madame Bovary")</f>
        <v>I Am Not Madame Bovary</v>
      </c>
      <c r="U3266" s="5" t="str">
        <f>IFERROR(__xludf.DUMMYFUNCTION("""COMPUTED_VALUE"""),"Scott Marshall Smith")</f>
        <v>Scott Marshall Smith</v>
      </c>
      <c r="V3266" s="5" t="s">
        <v>18025</v>
      </c>
      <c r="W3266" s="5" t="str">
        <f t="shared" si="3"/>
        <v>Peter Middleton, James Spinney</v>
      </c>
      <c r="X3266" s="5">
        <f t="shared" si="4"/>
        <v>1</v>
      </c>
      <c r="Y3266" s="5" t="str">
        <f>IFERROR(__xludf.DUMMYFUNCTION("REGEXEXTRACT(J3266, ""^\d+"")"),"107")</f>
        <v>107</v>
      </c>
      <c r="Z3266" s="5" t="str">
        <f>IFERROR(__xludf.DUMMYFUNCTION("REGEXEXTRACT(J3266, ""[A-Za-z ]+$"")")," min")</f>
        <v> min</v>
      </c>
      <c r="AA3266" s="5" t="str">
        <f>IFERROR(__xludf.DUMMYFUNCTION("IF(REGEXMATCH(Z3266, ""Season""), ""TV Show"", ""Movie"")"),"Movie")</f>
        <v>Movie</v>
      </c>
    </row>
    <row r="3267">
      <c r="A3267" s="1" t="s">
        <v>18026</v>
      </c>
      <c r="B3267" s="1" t="s">
        <v>27</v>
      </c>
      <c r="C3267" s="1" t="s">
        <v>18027</v>
      </c>
      <c r="D3267" s="1" t="s">
        <v>1036</v>
      </c>
      <c r="E3267" s="1" t="s">
        <v>18028</v>
      </c>
      <c r="F3267" s="1" t="s">
        <v>1837</v>
      </c>
      <c r="G3267" s="1" t="s">
        <v>18015</v>
      </c>
      <c r="H3267" s="1">
        <v>2019.0</v>
      </c>
      <c r="I3267" s="1" t="s">
        <v>97</v>
      </c>
      <c r="J3267" s="1" t="s">
        <v>2699</v>
      </c>
      <c r="K3267" s="1" t="s">
        <v>156</v>
      </c>
      <c r="L3267" s="1" t="s">
        <v>18029</v>
      </c>
      <c r="M3267" s="2" t="s">
        <v>12</v>
      </c>
      <c r="N3267" s="4">
        <f t="shared" si="1"/>
        <v>43784</v>
      </c>
      <c r="O3267" s="5" t="str">
        <f>IFERROR(__xludf.DUMMYFUNCTION("IF(REGEXMATCH(TRIM(I3267), ""^\d+\s*min""), ""Unclassified"", IF(I3267 = """", ""NR"", I3267))"),"TV-14")</f>
        <v>TV-14</v>
      </c>
      <c r="R3267" s="5" t="str">
        <f t="shared" si="2"/>
        <v>El Sendero De La Anaconda</v>
      </c>
      <c r="S3267" s="5" t="str">
        <f>IFERROR(__xludf.DUMMYFUNCTION("""COMPUTED_VALUE"""),"I Am Not Okay With This")</f>
        <v>I Am Not Okay With This</v>
      </c>
      <c r="U3267" s="5" t="str">
        <f>IFERROR(__xludf.DUMMYFUNCTION("""COMPUTED_VALUE"""),"Lisa Arnold")</f>
        <v>Lisa Arnold</v>
      </c>
      <c r="V3267" s="5" t="s">
        <v>10675</v>
      </c>
      <c r="W3267" s="5" t="str">
        <f t="shared" si="3"/>
        <v>Peter Mimi</v>
      </c>
      <c r="X3267" s="5">
        <f t="shared" si="4"/>
        <v>1</v>
      </c>
      <c r="Y3267" s="5" t="str">
        <f>IFERROR(__xludf.DUMMYFUNCTION("REGEXEXTRACT(J3267, ""^\d+"")"),"74")</f>
        <v>74</v>
      </c>
      <c r="Z3267" s="5" t="str">
        <f>IFERROR(__xludf.DUMMYFUNCTION("REGEXEXTRACT(J3267, ""[A-Za-z ]+$"")")," min")</f>
        <v> min</v>
      </c>
      <c r="AA3267" s="5" t="str">
        <f>IFERROR(__xludf.DUMMYFUNCTION("IF(REGEXMATCH(Z3267, ""Season""), ""TV Show"", ""Movie"")"),"Movie")</f>
        <v>Movie</v>
      </c>
    </row>
    <row r="3268">
      <c r="A3268" s="1" t="s">
        <v>18030</v>
      </c>
      <c r="B3268" s="1" t="s">
        <v>27</v>
      </c>
      <c r="C3268" s="1" t="s">
        <v>18031</v>
      </c>
      <c r="D3268" s="1" t="s">
        <v>15354</v>
      </c>
      <c r="E3268" s="1" t="s">
        <v>18032</v>
      </c>
      <c r="F3268" s="1" t="s">
        <v>1815</v>
      </c>
      <c r="G3268" s="1" t="s">
        <v>18015</v>
      </c>
      <c r="H3268" s="1">
        <v>2019.0</v>
      </c>
      <c r="I3268" s="1" t="s">
        <v>136</v>
      </c>
      <c r="J3268" s="1" t="s">
        <v>4639</v>
      </c>
      <c r="K3268" s="1" t="s">
        <v>920</v>
      </c>
      <c r="L3268" s="1" t="s">
        <v>18033</v>
      </c>
      <c r="M3268" s="2" t="s">
        <v>12</v>
      </c>
      <c r="N3268" s="4">
        <f t="shared" si="1"/>
        <v>43784</v>
      </c>
      <c r="O3268" s="5" t="str">
        <f>IFERROR(__xludf.DUMMYFUNCTION("IF(REGEXMATCH(TRIM(I3268), ""^\d+\s*min""), ""Unclassified"", IF(I3268 = """", ""NR"", I3268))"),"TV-PG")</f>
        <v>TV-PG</v>
      </c>
      <c r="R3268" s="5" t="str">
        <f t="shared" si="2"/>
        <v>Go! The Unforgettable Party</v>
      </c>
      <c r="S3268" s="5" t="str">
        <f>IFERROR(__xludf.DUMMYFUNCTION("""COMPUTED_VALUE"""),"I Am Not Your Negro")</f>
        <v>I Am Not Your Negro</v>
      </c>
      <c r="U3268" s="5" t="str">
        <f>IFERROR(__xludf.DUMMYFUNCTION("""COMPUTED_VALUE"""),"Peter Sattler")</f>
        <v>Peter Sattler</v>
      </c>
      <c r="V3268" s="5" t="s">
        <v>18034</v>
      </c>
      <c r="W3268" s="5" t="str">
        <f t="shared" si="3"/>
        <v>Peter Mortimer, Josh Lowell</v>
      </c>
      <c r="X3268" s="5">
        <f t="shared" si="4"/>
        <v>1</v>
      </c>
      <c r="Y3268" s="5" t="str">
        <f>IFERROR(__xludf.DUMMYFUNCTION("REGEXEXTRACT(J3268, ""^\d+"")"),"60")</f>
        <v>60</v>
      </c>
      <c r="Z3268" s="5" t="str">
        <f>IFERROR(__xludf.DUMMYFUNCTION("REGEXEXTRACT(J3268, ""[A-Za-z ]+$"")")," min")</f>
        <v> min</v>
      </c>
      <c r="AA3268" s="5" t="str">
        <f>IFERROR(__xludf.DUMMYFUNCTION("IF(REGEXMATCH(Z3268, ""Season""), ""TV Show"", ""Movie"")"),"Movie")</f>
        <v>Movie</v>
      </c>
    </row>
    <row r="3269">
      <c r="A3269" s="1" t="s">
        <v>18035</v>
      </c>
      <c r="B3269" s="1" t="s">
        <v>27</v>
      </c>
      <c r="C3269" s="1" t="s">
        <v>18036</v>
      </c>
      <c r="D3269" s="1" t="s">
        <v>2529</v>
      </c>
      <c r="E3269" s="1" t="s">
        <v>18037</v>
      </c>
      <c r="F3269" s="1" t="s">
        <v>63</v>
      </c>
      <c r="G3269" s="1" t="s">
        <v>18015</v>
      </c>
      <c r="H3269" s="1">
        <v>2019.0</v>
      </c>
      <c r="I3269" s="1" t="s">
        <v>42</v>
      </c>
      <c r="J3269" s="1" t="s">
        <v>820</v>
      </c>
      <c r="K3269" s="1" t="s">
        <v>306</v>
      </c>
      <c r="L3269" s="1" t="s">
        <v>18038</v>
      </c>
      <c r="M3269" s="2" t="s">
        <v>12</v>
      </c>
      <c r="N3269" s="4">
        <f t="shared" si="1"/>
        <v>43784</v>
      </c>
      <c r="O3269" s="5" t="str">
        <f>IFERROR(__xludf.DUMMYFUNCTION("IF(REGEXMATCH(TRIM(I3269), ""^\d+\s*min""), ""Unclassified"", IF(I3269 = """", ""NR"", I3269))"),"TV-MA")</f>
        <v>TV-MA</v>
      </c>
      <c r="R3269" s="5" t="str">
        <f t="shared" si="2"/>
        <v>Guna 369</v>
      </c>
      <c r="S3269" s="5" t="str">
        <f>IFERROR(__xludf.DUMMYFUNCTION("""COMPUTED_VALUE"""),"I Am Sam")</f>
        <v>I Am Sam</v>
      </c>
      <c r="U3269" s="5" t="str">
        <f>IFERROR(__xludf.DUMMYFUNCTION("""COMPUTED_VALUE"""),"Harry Elfont, Deborah Kaplan")</f>
        <v>Harry Elfont, Deborah Kaplan</v>
      </c>
      <c r="V3269" s="5" t="s">
        <v>18039</v>
      </c>
      <c r="W3269" s="5" t="str">
        <f t="shared" si="3"/>
        <v>Peter Nicks</v>
      </c>
      <c r="X3269" s="5">
        <f t="shared" si="4"/>
        <v>1</v>
      </c>
      <c r="Y3269" s="5" t="str">
        <f>IFERROR(__xludf.DUMMYFUNCTION("REGEXEXTRACT(J3269, ""^\d+"")"),"143")</f>
        <v>143</v>
      </c>
      <c r="Z3269" s="5" t="str">
        <f>IFERROR(__xludf.DUMMYFUNCTION("REGEXEXTRACT(J3269, ""[A-Za-z ]+$"")")," min")</f>
        <v> min</v>
      </c>
      <c r="AA3269" s="5" t="str">
        <f>IFERROR(__xludf.DUMMYFUNCTION("IF(REGEXMATCH(Z3269, ""Season""), ""TV Show"", ""Movie"")"),"Movie")</f>
        <v>Movie</v>
      </c>
    </row>
    <row r="3270">
      <c r="A3270" s="1" t="s">
        <v>18040</v>
      </c>
      <c r="B3270" s="1" t="s">
        <v>27</v>
      </c>
      <c r="C3270" s="1" t="s">
        <v>18041</v>
      </c>
      <c r="D3270" s="1" t="s">
        <v>18042</v>
      </c>
      <c r="E3270" s="1" t="s">
        <v>18043</v>
      </c>
      <c r="F3270" s="1" t="s">
        <v>63</v>
      </c>
      <c r="G3270" s="1" t="s">
        <v>18015</v>
      </c>
      <c r="H3270" s="1">
        <v>2019.0</v>
      </c>
      <c r="I3270" s="1" t="s">
        <v>97</v>
      </c>
      <c r="J3270" s="1" t="s">
        <v>305</v>
      </c>
      <c r="K3270" s="1" t="s">
        <v>5295</v>
      </c>
      <c r="L3270" s="1" t="s">
        <v>18044</v>
      </c>
      <c r="M3270" s="2" t="s">
        <v>12</v>
      </c>
      <c r="N3270" s="4">
        <f t="shared" si="1"/>
        <v>43784</v>
      </c>
      <c r="O3270" s="5" t="str">
        <f>IFERROR(__xludf.DUMMYFUNCTION("IF(REGEXMATCH(TRIM(I3270), ""^\d+\s*min""), ""Unclassified"", IF(I3270 = """", ""NR"", I3270))"),"TV-14")</f>
        <v>TV-14</v>
      </c>
      <c r="R3270" s="5" t="str">
        <f t="shared" si="2"/>
        <v>House Arrest</v>
      </c>
      <c r="S3270" s="5" t="str">
        <f>IFERROR(__xludf.DUMMYFUNCTION("""COMPUTED_VALUE"""),"I Am Sun Mu")</f>
        <v>I Am Sun Mu</v>
      </c>
      <c r="U3270" s="5" t="str">
        <f>IFERROR(__xludf.DUMMYFUNCTION("""COMPUTED_VALUE"""),"Bernard Rose")</f>
        <v>Bernard Rose</v>
      </c>
      <c r="V3270" s="5" t="s">
        <v>18045</v>
      </c>
      <c r="W3270" s="5" t="str">
        <f t="shared" si="3"/>
        <v>Peter Orton</v>
      </c>
      <c r="X3270" s="5">
        <f t="shared" si="4"/>
        <v>2</v>
      </c>
      <c r="Y3270" s="5" t="str">
        <f>IFERROR(__xludf.DUMMYFUNCTION("REGEXEXTRACT(J3270, ""^\d+"")"),"105")</f>
        <v>105</v>
      </c>
      <c r="Z3270" s="5" t="str">
        <f>IFERROR(__xludf.DUMMYFUNCTION("REGEXEXTRACT(J3270, ""[A-Za-z ]+$"")")," min")</f>
        <v> min</v>
      </c>
      <c r="AA3270" s="5" t="str">
        <f>IFERROR(__xludf.DUMMYFUNCTION("IF(REGEXMATCH(Z3270, ""Season""), ""TV Show"", ""Movie"")"),"Movie")</f>
        <v>Movie</v>
      </c>
    </row>
    <row r="3271">
      <c r="A3271" s="1" t="s">
        <v>18046</v>
      </c>
      <c r="B3271" s="1" t="s">
        <v>37</v>
      </c>
      <c r="C3271" s="1" t="s">
        <v>18047</v>
      </c>
      <c r="E3271" s="1" t="s">
        <v>18048</v>
      </c>
      <c r="F3271" s="1" t="s">
        <v>30</v>
      </c>
      <c r="G3271" s="1" t="s">
        <v>18015</v>
      </c>
      <c r="H3271" s="1">
        <v>2019.0</v>
      </c>
      <c r="I3271" s="1" t="s">
        <v>42</v>
      </c>
      <c r="J3271" s="1" t="s">
        <v>51</v>
      </c>
      <c r="K3271" s="1" t="s">
        <v>440</v>
      </c>
      <c r="L3271" s="1" t="s">
        <v>18049</v>
      </c>
      <c r="M3271" s="2" t="s">
        <v>12</v>
      </c>
      <c r="N3271" s="4">
        <f t="shared" si="1"/>
        <v>43784</v>
      </c>
      <c r="O3271" s="5" t="str">
        <f>IFERROR(__xludf.DUMMYFUNCTION("IF(REGEXMATCH(TRIM(I3271), ""^\d+\s*min""), ""Unclassified"", IF(I3271 = """", ""NR"", I3271))"),"TV-MA")</f>
        <v>TV-MA</v>
      </c>
      <c r="R3271" s="5" t="str">
        <f t="shared" si="2"/>
        <v>I'M With The Band: Nasty Cherry</v>
      </c>
      <c r="S3271" s="5" t="str">
        <f>IFERROR(__xludf.DUMMYFUNCTION("""COMPUTED_VALUE"""),"I Am The Pretty Thing That Lives In The House")</f>
        <v>I Am The Pretty Thing That Lives In The House</v>
      </c>
      <c r="U3271" s="5" t="str">
        <f>IFERROR(__xludf.DUMMYFUNCTION("""COMPUTED_VALUE"""),"Justin Pemberton")</f>
        <v>Justin Pemberton</v>
      </c>
      <c r="V3271" s="5" t="s">
        <v>18050</v>
      </c>
      <c r="W3271" s="5" t="str">
        <f t="shared" si="3"/>
        <v>Peter Pardini</v>
      </c>
      <c r="X3271" s="5">
        <f t="shared" si="4"/>
        <v>1</v>
      </c>
      <c r="Y3271" s="5" t="str">
        <f>IFERROR(__xludf.DUMMYFUNCTION("REGEXEXTRACT(J3271, ""^\d+"")"),"1")</f>
        <v>1</v>
      </c>
      <c r="Z3271" s="5" t="str">
        <f>IFERROR(__xludf.DUMMYFUNCTION("REGEXEXTRACT(J3271, ""[A-Za-z ]+$"")")," Season")</f>
        <v> Season</v>
      </c>
      <c r="AA3271" s="5" t="str">
        <f>IFERROR(__xludf.DUMMYFUNCTION("IF(REGEXMATCH(Z3271, ""Season""), ""TV Show"", ""Movie"")"),"TV Show")</f>
        <v>TV Show</v>
      </c>
    </row>
    <row r="3272">
      <c r="A3272" s="1" t="s">
        <v>18051</v>
      </c>
      <c r="B3272" s="1" t="s">
        <v>37</v>
      </c>
      <c r="C3272" s="1" t="s">
        <v>18052</v>
      </c>
      <c r="E3272" s="1" t="s">
        <v>18053</v>
      </c>
      <c r="F3272" s="1" t="s">
        <v>749</v>
      </c>
      <c r="G3272" s="1" t="s">
        <v>18015</v>
      </c>
      <c r="H3272" s="1">
        <v>2013.0</v>
      </c>
      <c r="I3272" s="1" t="s">
        <v>97</v>
      </c>
      <c r="J3272" s="1" t="s">
        <v>51</v>
      </c>
      <c r="K3272" s="1" t="s">
        <v>7164</v>
      </c>
      <c r="L3272" s="1" t="s">
        <v>18054</v>
      </c>
      <c r="M3272" s="2" t="s">
        <v>12</v>
      </c>
      <c r="N3272" s="4">
        <f t="shared" si="1"/>
        <v>43784</v>
      </c>
      <c r="O3272" s="5" t="str">
        <f>IFERROR(__xludf.DUMMYFUNCTION("IF(REGEXMATCH(TRIM(I3272), ""^\d+\s*min""), ""Unclassified"", IF(I3272 = """", ""NR"", I3272))"),"TV-14")</f>
        <v>TV-14</v>
      </c>
      <c r="R3272" s="5" t="str">
        <f t="shared" si="2"/>
        <v>Inheritors</v>
      </c>
      <c r="S3272" s="5" t="str">
        <f>IFERROR(__xludf.DUMMYFUNCTION("""COMPUTED_VALUE"""),"I Am Vengeance")</f>
        <v>I Am Vengeance</v>
      </c>
      <c r="U3272" s="5" t="str">
        <f>IFERROR(__xludf.DUMMYFUNCTION("""COMPUTED_VALUE"""),"Noushad")</f>
        <v>Noushad</v>
      </c>
      <c r="V3272" s="5" t="s">
        <v>18055</v>
      </c>
      <c r="W3272" s="5" t="str">
        <f t="shared" si="3"/>
        <v>Peter Ramsey, Rodney Rothman, Bob Persichetti</v>
      </c>
      <c r="X3272" s="5">
        <f t="shared" si="4"/>
        <v>1</v>
      </c>
      <c r="Y3272" s="5" t="str">
        <f>IFERROR(__xludf.DUMMYFUNCTION("REGEXEXTRACT(J3272, ""^\d+"")"),"1")</f>
        <v>1</v>
      </c>
      <c r="Z3272" s="5" t="str">
        <f>IFERROR(__xludf.DUMMYFUNCTION("REGEXEXTRACT(J3272, ""[A-Za-z ]+$"")")," Season")</f>
        <v> Season</v>
      </c>
      <c r="AA3272" s="5" t="str">
        <f>IFERROR(__xludf.DUMMYFUNCTION("IF(REGEXMATCH(Z3272, ""Season""), ""TV Show"", ""Movie"")"),"TV Show")</f>
        <v>TV Show</v>
      </c>
    </row>
    <row r="3273">
      <c r="A3273" s="1" t="s">
        <v>18056</v>
      </c>
      <c r="B3273" s="1" t="s">
        <v>37</v>
      </c>
      <c r="C3273" s="1" t="s">
        <v>18057</v>
      </c>
      <c r="E3273" s="1" t="s">
        <v>18058</v>
      </c>
      <c r="F3273" s="1" t="s">
        <v>415</v>
      </c>
      <c r="G3273" s="1" t="s">
        <v>18015</v>
      </c>
      <c r="H3273" s="1">
        <v>2010.0</v>
      </c>
      <c r="I3273" s="1" t="s">
        <v>136</v>
      </c>
      <c r="J3273" s="1" t="s">
        <v>43</v>
      </c>
      <c r="K3273" s="1" t="s">
        <v>16968</v>
      </c>
      <c r="L3273" s="1" t="s">
        <v>18059</v>
      </c>
      <c r="M3273" s="2" t="s">
        <v>12</v>
      </c>
      <c r="N3273" s="4">
        <f t="shared" si="1"/>
        <v>43784</v>
      </c>
      <c r="O3273" s="5" t="str">
        <f>IFERROR(__xludf.DUMMYFUNCTION("IF(REGEXMATCH(TRIM(I3273), ""^\d+\s*min""), ""Unclassified"", IF(I3273 = """", ""NR"", I3273))"),"TV-PG")</f>
        <v>TV-PG</v>
      </c>
      <c r="R3273" s="5" t="str">
        <f t="shared" si="2"/>
        <v>K-On!</v>
      </c>
      <c r="S3273" s="5" t="str">
        <f>IFERROR(__xludf.DUMMYFUNCTION("""COMPUTED_VALUE"""),"I Am Vengeance: Retaliation")</f>
        <v>I Am Vengeance: Retaliation</v>
      </c>
      <c r="U3273" s="5" t="str">
        <f>IFERROR(__xludf.DUMMYFUNCTION("""COMPUTED_VALUE"""),"Mark O'Connor")</f>
        <v>Mark O'Connor</v>
      </c>
      <c r="V3273" s="5" t="s">
        <v>18060</v>
      </c>
      <c r="W3273" s="5" t="str">
        <f t="shared" si="3"/>
        <v>Peter Sattler</v>
      </c>
      <c r="X3273" s="5">
        <f t="shared" si="4"/>
        <v>1</v>
      </c>
      <c r="Y3273" s="5" t="str">
        <f>IFERROR(__xludf.DUMMYFUNCTION("REGEXEXTRACT(J3273, ""^\d+"")"),"2")</f>
        <v>2</v>
      </c>
      <c r="Z3273" s="5" t="str">
        <f>IFERROR(__xludf.DUMMYFUNCTION("REGEXEXTRACT(J3273, ""[A-Za-z ]+$"")")," Seasons")</f>
        <v> Seasons</v>
      </c>
      <c r="AA3273" s="5" t="str">
        <f>IFERROR(__xludf.DUMMYFUNCTION("IF(REGEXMATCH(Z3273, ""Season""), ""TV Show"", ""Movie"")"),"TV Show")</f>
        <v>TV Show</v>
      </c>
    </row>
    <row r="3274">
      <c r="A3274" s="1" t="s">
        <v>18061</v>
      </c>
      <c r="B3274" s="1" t="s">
        <v>27</v>
      </c>
      <c r="C3274" s="1" t="s">
        <v>18062</v>
      </c>
      <c r="D3274" s="1" t="s">
        <v>16549</v>
      </c>
      <c r="E3274" s="1" t="s">
        <v>18063</v>
      </c>
      <c r="F3274" s="1" t="s">
        <v>415</v>
      </c>
      <c r="G3274" s="1" t="s">
        <v>18015</v>
      </c>
      <c r="H3274" s="1">
        <v>2011.0</v>
      </c>
      <c r="I3274" s="1" t="s">
        <v>136</v>
      </c>
      <c r="J3274" s="1" t="s">
        <v>297</v>
      </c>
      <c r="K3274" s="1" t="s">
        <v>18064</v>
      </c>
      <c r="L3274" s="1" t="s">
        <v>18065</v>
      </c>
      <c r="M3274" s="2" t="s">
        <v>12</v>
      </c>
      <c r="N3274" s="4">
        <f t="shared" si="1"/>
        <v>43784</v>
      </c>
      <c r="O3274" s="5" t="str">
        <f>IFERROR(__xludf.DUMMYFUNCTION("IF(REGEXMATCH(TRIM(I3274), ""^\d+\s*min""), ""Unclassified"", IF(I3274 = """", ""NR"", I3274))"),"TV-PG")</f>
        <v>TV-PG</v>
      </c>
      <c r="R3274" s="5" t="str">
        <f t="shared" si="2"/>
        <v>K-On! The Movie</v>
      </c>
      <c r="S3274" s="5" t="str">
        <f>IFERROR(__xludf.DUMMYFUNCTION("""COMPUTED_VALUE"""),"I Am Woman")</f>
        <v>I Am Woman</v>
      </c>
      <c r="U3274" s="5" t="str">
        <f>IFERROR(__xludf.DUMMYFUNCTION("""COMPUTED_VALUE"""),"Chito S. Roño")</f>
        <v>Chito S. Roño</v>
      </c>
      <c r="V3274" s="5" t="s">
        <v>1254</v>
      </c>
      <c r="W3274" s="5" t="str">
        <f t="shared" si="3"/>
        <v>Peter Segal</v>
      </c>
      <c r="X3274" s="5">
        <f t="shared" si="4"/>
        <v>4</v>
      </c>
      <c r="Y3274" s="5" t="str">
        <f>IFERROR(__xludf.DUMMYFUNCTION("REGEXEXTRACT(J3274, ""^\d+"")"),"110")</f>
        <v>110</v>
      </c>
      <c r="Z3274" s="5" t="str">
        <f>IFERROR(__xludf.DUMMYFUNCTION("REGEXEXTRACT(J3274, ""[A-Za-z ]+$"")")," min")</f>
        <v> min</v>
      </c>
      <c r="AA3274" s="5" t="str">
        <f>IFERROR(__xludf.DUMMYFUNCTION("IF(REGEXMATCH(Z3274, ""Season""), ""TV Show"", ""Movie"")"),"Movie")</f>
        <v>Movie</v>
      </c>
    </row>
    <row r="3275">
      <c r="A3275" s="1" t="s">
        <v>18066</v>
      </c>
      <c r="B3275" s="1" t="s">
        <v>27</v>
      </c>
      <c r="C3275" s="1" t="s">
        <v>18067</v>
      </c>
      <c r="D3275" s="1" t="s">
        <v>18068</v>
      </c>
      <c r="E3275" s="1" t="s">
        <v>18069</v>
      </c>
      <c r="F3275" s="1" t="s">
        <v>18070</v>
      </c>
      <c r="G3275" s="1" t="s">
        <v>18015</v>
      </c>
      <c r="H3275" s="1">
        <v>2019.0</v>
      </c>
      <c r="I3275" s="1" t="s">
        <v>78</v>
      </c>
      <c r="J3275" s="1" t="s">
        <v>357</v>
      </c>
      <c r="K3275" s="1" t="s">
        <v>137</v>
      </c>
      <c r="L3275" s="1" t="s">
        <v>18071</v>
      </c>
      <c r="M3275" s="2" t="s">
        <v>12</v>
      </c>
      <c r="N3275" s="4">
        <f t="shared" si="1"/>
        <v>43784</v>
      </c>
      <c r="O3275" s="5" t="str">
        <f>IFERROR(__xludf.DUMMYFUNCTION("IF(REGEXMATCH(TRIM(I3275), ""^\d+\s*min""), ""Unclassified"", IF(I3275 = """", ""NR"", I3275))"),"PG")</f>
        <v>PG</v>
      </c>
      <c r="R3275" s="5" t="str">
        <f t="shared" si="2"/>
        <v>Klaus</v>
      </c>
      <c r="S3275" s="5" t="str">
        <f>IFERROR(__xludf.DUMMYFUNCTION("""COMPUTED_VALUE"""),"I Am Wrath")</f>
        <v>I Am Wrath</v>
      </c>
      <c r="U3275" s="5" t="str">
        <f>IFERROR(__xludf.DUMMYFUNCTION("""COMPUTED_VALUE"""),"Todd Haynes")</f>
        <v>Todd Haynes</v>
      </c>
      <c r="V3275" s="5" t="s">
        <v>11486</v>
      </c>
      <c r="W3275" s="5" t="str">
        <f t="shared" si="3"/>
        <v>Peter Sollett</v>
      </c>
      <c r="X3275" s="5">
        <f t="shared" si="4"/>
        <v>1</v>
      </c>
      <c r="Y3275" s="5" t="str">
        <f>IFERROR(__xludf.DUMMYFUNCTION("REGEXEXTRACT(J3275, ""^\d+"")"),"98")</f>
        <v>98</v>
      </c>
      <c r="Z3275" s="5" t="str">
        <f>IFERROR(__xludf.DUMMYFUNCTION("REGEXEXTRACT(J3275, ""[A-Za-z ]+$"")")," min")</f>
        <v> min</v>
      </c>
      <c r="AA3275" s="5" t="str">
        <f>IFERROR(__xludf.DUMMYFUNCTION("IF(REGEXMATCH(Z3275, ""Season""), ""TV Show"", ""Movie"")"),"Movie")</f>
        <v>Movie</v>
      </c>
    </row>
    <row r="3276">
      <c r="A3276" s="1" t="s">
        <v>18072</v>
      </c>
      <c r="B3276" s="1" t="s">
        <v>37</v>
      </c>
      <c r="C3276" s="1" t="s">
        <v>18073</v>
      </c>
      <c r="E3276" s="1" t="s">
        <v>18074</v>
      </c>
      <c r="F3276" s="1" t="s">
        <v>2059</v>
      </c>
      <c r="G3276" s="1" t="s">
        <v>18015</v>
      </c>
      <c r="H3276" s="1">
        <v>2004.0</v>
      </c>
      <c r="I3276" s="1" t="s">
        <v>42</v>
      </c>
      <c r="J3276" s="1" t="s">
        <v>51</v>
      </c>
      <c r="K3276" s="1" t="s">
        <v>18016</v>
      </c>
      <c r="L3276" s="1" t="s">
        <v>18075</v>
      </c>
      <c r="M3276" s="2" t="s">
        <v>12</v>
      </c>
      <c r="N3276" s="4">
        <f t="shared" si="1"/>
        <v>43784</v>
      </c>
      <c r="O3276" s="5" t="str">
        <f>IFERROR(__xludf.DUMMYFUNCTION("IF(REGEXMATCH(TRIM(I3276), ""^\d+\s*min""), ""Unclassified"", IF(I3276 = """", ""NR"", I3276))"),"TV-MA")</f>
        <v>TV-MA</v>
      </c>
      <c r="R3276" s="5" t="str">
        <f t="shared" si="2"/>
        <v>La Robe De Mariee Des Cieux</v>
      </c>
      <c r="S3276" s="5" t="str">
        <f>IFERROR(__xludf.DUMMYFUNCTION("""COMPUTED_VALUE"""),"I Called Him Morgan")</f>
        <v>I Called Him Morgan</v>
      </c>
      <c r="U3276" s="5" t="str">
        <f>IFERROR(__xludf.DUMMYFUNCTION("""COMPUTED_VALUE"""),"Brian De Palma")</f>
        <v>Brian De Palma</v>
      </c>
      <c r="V3276" s="5" t="s">
        <v>1189</v>
      </c>
      <c r="W3276" s="5" t="str">
        <f t="shared" si="3"/>
        <v>Peter Spirer</v>
      </c>
      <c r="X3276" s="5">
        <f t="shared" si="4"/>
        <v>3</v>
      </c>
      <c r="Y3276" s="5" t="str">
        <f>IFERROR(__xludf.DUMMYFUNCTION("REGEXEXTRACT(J3276, ""^\d+"")"),"1")</f>
        <v>1</v>
      </c>
      <c r="Z3276" s="5" t="str">
        <f>IFERROR(__xludf.DUMMYFUNCTION("REGEXEXTRACT(J3276, ""[A-Za-z ]+$"")")," Season")</f>
        <v> Season</v>
      </c>
      <c r="AA3276" s="5" t="str">
        <f>IFERROR(__xludf.DUMMYFUNCTION("IF(REGEXMATCH(Z3276, ""Season""), ""TV Show"", ""Movie"")"),"TV Show")</f>
        <v>TV Show</v>
      </c>
    </row>
    <row r="3277">
      <c r="A3277" s="1" t="s">
        <v>18076</v>
      </c>
      <c r="B3277" s="1" t="s">
        <v>37</v>
      </c>
      <c r="C3277" s="1" t="s">
        <v>18077</v>
      </c>
      <c r="E3277" s="1" t="s">
        <v>18078</v>
      </c>
      <c r="F3277" s="1" t="s">
        <v>30</v>
      </c>
      <c r="G3277" s="1" t="s">
        <v>18015</v>
      </c>
      <c r="H3277" s="1">
        <v>2019.0</v>
      </c>
      <c r="I3277" s="1" t="s">
        <v>206</v>
      </c>
      <c r="J3277" s="1" t="s">
        <v>43</v>
      </c>
      <c r="K3277" s="1" t="s">
        <v>290</v>
      </c>
      <c r="L3277" s="1" t="s">
        <v>18079</v>
      </c>
      <c r="M3277" s="2" t="s">
        <v>12</v>
      </c>
      <c r="N3277" s="4">
        <f t="shared" si="1"/>
        <v>43784</v>
      </c>
      <c r="O3277" s="5" t="str">
        <f>IFERROR(__xludf.DUMMYFUNCTION("IF(REGEXMATCH(TRIM(I3277), ""^\d+\s*min""), ""Unclassified"", IF(I3277 = """", ""NR"", I3277))"),"TV-Y")</f>
        <v>TV-Y</v>
      </c>
      <c r="R3277" s="5" t="str">
        <f t="shared" si="2"/>
        <v>Llama Llama</v>
      </c>
      <c r="S3277" s="5" t="str">
        <f>IFERROR(__xludf.DUMMYFUNCTION("""COMPUTED_VALUE"""),"I Care A Lot")</f>
        <v>I Care A Lot</v>
      </c>
      <c r="U3277" s="5" t="str">
        <f>IFERROR(__xludf.DUMMYFUNCTION("""COMPUTED_VALUE"""),"Matt Piedmont")</f>
        <v>Matt Piedmont</v>
      </c>
      <c r="V3277" s="5" t="s">
        <v>12709</v>
      </c>
      <c r="W3277" s="5" t="str">
        <f t="shared" si="3"/>
        <v>Peter Sullivan</v>
      </c>
      <c r="X3277" s="5">
        <f t="shared" si="4"/>
        <v>2</v>
      </c>
      <c r="Y3277" s="5" t="str">
        <f>IFERROR(__xludf.DUMMYFUNCTION("REGEXEXTRACT(J3277, ""^\d+"")"),"2")</f>
        <v>2</v>
      </c>
      <c r="Z3277" s="5" t="str">
        <f>IFERROR(__xludf.DUMMYFUNCTION("REGEXEXTRACT(J3277, ""[A-Za-z ]+$"")")," Seasons")</f>
        <v> Seasons</v>
      </c>
      <c r="AA3277" s="5" t="str">
        <f>IFERROR(__xludf.DUMMYFUNCTION("IF(REGEXMATCH(Z3277, ""Season""), ""TV Show"", ""Movie"")"),"TV Show")</f>
        <v>TV Show</v>
      </c>
    </row>
    <row r="3278">
      <c r="A3278" s="1" t="s">
        <v>18080</v>
      </c>
      <c r="B3278" s="1" t="s">
        <v>37</v>
      </c>
      <c r="C3278" s="1" t="s">
        <v>18081</v>
      </c>
      <c r="E3278" s="1" t="s">
        <v>18082</v>
      </c>
      <c r="F3278" s="1" t="s">
        <v>2059</v>
      </c>
      <c r="G3278" s="1" t="s">
        <v>18015</v>
      </c>
      <c r="H3278" s="1">
        <v>2002.0</v>
      </c>
      <c r="I3278" s="1" t="s">
        <v>136</v>
      </c>
      <c r="J3278" s="1" t="s">
        <v>51</v>
      </c>
      <c r="K3278" s="1" t="s">
        <v>1907</v>
      </c>
      <c r="L3278" s="1" t="s">
        <v>18083</v>
      </c>
      <c r="M3278" s="2" t="s">
        <v>12</v>
      </c>
      <c r="N3278" s="4">
        <f t="shared" si="1"/>
        <v>43784</v>
      </c>
      <c r="O3278" s="5" t="str">
        <f>IFERROR(__xludf.DUMMYFUNCTION("IF(REGEXMATCH(TRIM(I3278), ""^\d+\s*min""), ""Unclassified"", IF(I3278 = """", ""NR"", I3278))"),"TV-PG")</f>
        <v>TV-PG</v>
      </c>
      <c r="R3278" s="5" t="str">
        <f t="shared" si="2"/>
        <v>My Mvp Valentine</v>
      </c>
      <c r="S3278" s="5" t="str">
        <f>IFERROR(__xludf.DUMMYFUNCTION("""COMPUTED_VALUE"""),"I Don'T Feel At Home In This World Anymore")</f>
        <v>I Don'T Feel At Home In This World Anymore</v>
      </c>
      <c r="U3278" s="5" t="str">
        <f>IFERROR(__xludf.DUMMYFUNCTION("""COMPUTED_VALUE"""),"Wong Jing")</f>
        <v>Wong Jing</v>
      </c>
      <c r="V3278" s="5" t="s">
        <v>18084</v>
      </c>
      <c r="W3278" s="5" t="str">
        <f t="shared" si="3"/>
        <v>Peter Svatek</v>
      </c>
      <c r="X3278" s="5">
        <f t="shared" si="4"/>
        <v>1</v>
      </c>
      <c r="Y3278" s="5" t="str">
        <f>IFERROR(__xludf.DUMMYFUNCTION("REGEXEXTRACT(J3278, ""^\d+"")"),"1")</f>
        <v>1</v>
      </c>
      <c r="Z3278" s="5" t="str">
        <f>IFERROR(__xludf.DUMMYFUNCTION("REGEXEXTRACT(J3278, ""[A-Za-z ]+$"")")," Season")</f>
        <v> Season</v>
      </c>
      <c r="AA3278" s="5" t="str">
        <f>IFERROR(__xludf.DUMMYFUNCTION("IF(REGEXMATCH(Z3278, ""Season""), ""TV Show"", ""Movie"")"),"TV Show")</f>
        <v>TV Show</v>
      </c>
    </row>
    <row r="3279">
      <c r="A3279" s="1" t="s">
        <v>18085</v>
      </c>
      <c r="B3279" s="1" t="s">
        <v>37</v>
      </c>
      <c r="C3279" s="1" t="s">
        <v>18086</v>
      </c>
      <c r="E3279" s="1" t="s">
        <v>18087</v>
      </c>
      <c r="F3279" s="1" t="s">
        <v>749</v>
      </c>
      <c r="G3279" s="1" t="s">
        <v>18015</v>
      </c>
      <c r="H3279" s="1">
        <v>2017.0</v>
      </c>
      <c r="I3279" s="1" t="s">
        <v>97</v>
      </c>
      <c r="J3279" s="1" t="s">
        <v>51</v>
      </c>
      <c r="K3279" s="1" t="s">
        <v>7164</v>
      </c>
      <c r="L3279" s="1" t="s">
        <v>18088</v>
      </c>
      <c r="M3279" s="2" t="s">
        <v>12</v>
      </c>
      <c r="N3279" s="4">
        <f t="shared" si="1"/>
        <v>43784</v>
      </c>
      <c r="O3279" s="5" t="str">
        <f>IFERROR(__xludf.DUMMYFUNCTION("IF(REGEXMATCH(TRIM(I3279), ""^\d+\s*min""), ""Unclassified"", IF(I3279 = """", ""NR"", I3279))"),"TV-14")</f>
        <v>TV-14</v>
      </c>
      <c r="R3279" s="5" t="str">
        <f t="shared" si="2"/>
        <v>My Sassy Girl</v>
      </c>
      <c r="S3279" s="5" t="str">
        <f>IFERROR(__xludf.DUMMYFUNCTION("""COMPUTED_VALUE"""),"I Don'T Know How She Does It")</f>
        <v>I Don'T Know How She Does It</v>
      </c>
      <c r="U3279" s="5" t="str">
        <f>IFERROR(__xludf.DUMMYFUNCTION("""COMPUTED_VALUE"""),"Richard Brooks")</f>
        <v>Richard Brooks</v>
      </c>
      <c r="V3279" s="5" t="s">
        <v>2564</v>
      </c>
      <c r="W3279" s="5" t="str">
        <f t="shared" si="3"/>
        <v>Peter Thorwarth</v>
      </c>
      <c r="X3279" s="5">
        <f t="shared" si="4"/>
        <v>1</v>
      </c>
      <c r="Y3279" s="5" t="str">
        <f>IFERROR(__xludf.DUMMYFUNCTION("REGEXEXTRACT(J3279, ""^\d+"")"),"1")</f>
        <v>1</v>
      </c>
      <c r="Z3279" s="5" t="str">
        <f>IFERROR(__xludf.DUMMYFUNCTION("REGEXEXTRACT(J3279, ""[A-Za-z ]+$"")")," Season")</f>
        <v> Season</v>
      </c>
      <c r="AA3279" s="5" t="str">
        <f>IFERROR(__xludf.DUMMYFUNCTION("IF(REGEXMATCH(Z3279, ""Season""), ""TV Show"", ""Movie"")"),"TV Show")</f>
        <v>TV Show</v>
      </c>
    </row>
    <row r="3280">
      <c r="A3280" s="1" t="s">
        <v>18089</v>
      </c>
      <c r="B3280" s="1" t="s">
        <v>27</v>
      </c>
      <c r="C3280" s="1" t="s">
        <v>18090</v>
      </c>
      <c r="D3280" s="1" t="s">
        <v>18091</v>
      </c>
      <c r="E3280" s="1" t="s">
        <v>18092</v>
      </c>
      <c r="F3280" s="1" t="s">
        <v>8173</v>
      </c>
      <c r="G3280" s="1" t="s">
        <v>18015</v>
      </c>
      <c r="H3280" s="1">
        <v>2018.0</v>
      </c>
      <c r="I3280" s="1" t="s">
        <v>97</v>
      </c>
      <c r="J3280" s="1" t="s">
        <v>2699</v>
      </c>
      <c r="K3280" s="1" t="s">
        <v>156</v>
      </c>
      <c r="L3280" s="1" t="s">
        <v>18093</v>
      </c>
      <c r="M3280" s="2" t="s">
        <v>12</v>
      </c>
      <c r="N3280" s="4">
        <f t="shared" si="1"/>
        <v>43784</v>
      </c>
      <c r="O3280" s="5" t="str">
        <f>IFERROR(__xludf.DUMMYFUNCTION("IF(REGEXMATCH(TRIM(I3280), ""^\d+\s*min""), ""Unclassified"", IF(I3280 = """", ""NR"", I3280))"),"TV-14")</f>
        <v>TV-14</v>
      </c>
      <c r="R3280" s="5" t="str">
        <f t="shared" si="2"/>
        <v>Sunganges</v>
      </c>
      <c r="S3280" s="5" t="str">
        <f>IFERROR(__xludf.DUMMYFUNCTION("""COMPUTED_VALUE"""),"I Dream Of Dance")</f>
        <v>I Dream Of Dance</v>
      </c>
      <c r="U3280" s="5" t="str">
        <f>IFERROR(__xludf.DUMMYFUNCTION("""COMPUTED_VALUE"""),"Aaron Hancox, Michael Mcnamara")</f>
        <v>Aaron Hancox, Michael Mcnamara</v>
      </c>
      <c r="V3280" s="5" t="s">
        <v>18094</v>
      </c>
      <c r="W3280" s="5" t="str">
        <f t="shared" si="3"/>
        <v>Peter Webber</v>
      </c>
      <c r="X3280" s="5">
        <f t="shared" si="4"/>
        <v>1</v>
      </c>
      <c r="Y3280" s="5" t="str">
        <f>IFERROR(__xludf.DUMMYFUNCTION("REGEXEXTRACT(J3280, ""^\d+"")"),"74")</f>
        <v>74</v>
      </c>
      <c r="Z3280" s="5" t="str">
        <f>IFERROR(__xludf.DUMMYFUNCTION("REGEXEXTRACT(J3280, ""[A-Za-z ]+$"")")," min")</f>
        <v> min</v>
      </c>
      <c r="AA3280" s="5" t="str">
        <f>IFERROR(__xludf.DUMMYFUNCTION("IF(REGEXMATCH(Z3280, ""Season""), ""TV Show"", ""Movie"")"),"Movie")</f>
        <v>Movie</v>
      </c>
    </row>
    <row r="3281">
      <c r="A3281" s="1" t="s">
        <v>18095</v>
      </c>
      <c r="B3281" s="1" t="s">
        <v>37</v>
      </c>
      <c r="C3281" s="1" t="s">
        <v>18096</v>
      </c>
      <c r="E3281" s="1" t="s">
        <v>18097</v>
      </c>
      <c r="F3281" s="1" t="s">
        <v>162</v>
      </c>
      <c r="G3281" s="1" t="s">
        <v>18015</v>
      </c>
      <c r="H3281" s="1">
        <v>2019.0</v>
      </c>
      <c r="I3281" s="1" t="s">
        <v>42</v>
      </c>
      <c r="J3281" s="1" t="s">
        <v>51</v>
      </c>
      <c r="K3281" s="1" t="s">
        <v>785</v>
      </c>
      <c r="L3281" s="1" t="s">
        <v>18098</v>
      </c>
      <c r="M3281" s="2" t="s">
        <v>12</v>
      </c>
      <c r="N3281" s="4">
        <f t="shared" si="1"/>
        <v>43784</v>
      </c>
      <c r="O3281" s="5" t="str">
        <f>IFERROR(__xludf.DUMMYFUNCTION("IF(REGEXMATCH(TRIM(I3281), ""^\d+\s*min""), ""Unclassified"", IF(I3281 = """", ""NR"", I3281))"),"TV-MA")</f>
        <v>TV-MA</v>
      </c>
      <c r="R3281" s="5" t="str">
        <f t="shared" si="2"/>
        <v>The Club</v>
      </c>
      <c r="S3281" s="5" t="str">
        <f>IFERROR(__xludf.DUMMYFUNCTION("""COMPUTED_VALUE"""),"I Fine... Thank You... Love You")</f>
        <v>I Fine... Thank You... Love You</v>
      </c>
      <c r="U3281" s="5" t="str">
        <f>IFERROR(__xludf.DUMMYFUNCTION("""COMPUTED_VALUE"""),"Henrik Martin Dahlsbakken")</f>
        <v>Henrik Martin Dahlsbakken</v>
      </c>
      <c r="V3281" s="5" t="s">
        <v>2024</v>
      </c>
      <c r="W3281" s="5" t="str">
        <f t="shared" si="3"/>
        <v>Peter Winther</v>
      </c>
      <c r="X3281" s="5">
        <f t="shared" si="4"/>
        <v>1</v>
      </c>
      <c r="Y3281" s="5" t="str">
        <f>IFERROR(__xludf.DUMMYFUNCTION("REGEXEXTRACT(J3281, ""^\d+"")"),"1")</f>
        <v>1</v>
      </c>
      <c r="Z3281" s="5" t="str">
        <f>IFERROR(__xludf.DUMMYFUNCTION("REGEXEXTRACT(J3281, ""[A-Za-z ]+$"")")," Season")</f>
        <v> Season</v>
      </c>
      <c r="AA3281" s="5" t="str">
        <f>IFERROR(__xludf.DUMMYFUNCTION("IF(REGEXMATCH(Z3281, ""Season""), ""TV Show"", ""Movie"")"),"TV Show")</f>
        <v>TV Show</v>
      </c>
    </row>
    <row r="3282">
      <c r="A3282" s="1" t="s">
        <v>18099</v>
      </c>
      <c r="B3282" s="1" t="s">
        <v>27</v>
      </c>
      <c r="C3282" s="1" t="s">
        <v>18100</v>
      </c>
      <c r="D3282" s="1" t="s">
        <v>14348</v>
      </c>
      <c r="E3282" s="1" t="s">
        <v>18101</v>
      </c>
      <c r="F3282" s="1" t="s">
        <v>415</v>
      </c>
      <c r="G3282" s="1" t="s">
        <v>18015</v>
      </c>
      <c r="H3282" s="1">
        <v>2013.0</v>
      </c>
      <c r="I3282" s="1" t="s">
        <v>97</v>
      </c>
      <c r="J3282" s="1" t="s">
        <v>3060</v>
      </c>
      <c r="K3282" s="1" t="s">
        <v>18102</v>
      </c>
      <c r="L3282" s="1" t="s">
        <v>18103</v>
      </c>
      <c r="M3282" s="2" t="s">
        <v>12</v>
      </c>
      <c r="N3282" s="4">
        <f t="shared" si="1"/>
        <v>43784</v>
      </c>
      <c r="O3282" s="5" t="str">
        <f>IFERROR(__xludf.DUMMYFUNCTION("IF(REGEXMATCH(TRIM(I3282), ""^\d+\s*min""), ""Unclassified"", IF(I3282 = """", ""NR"", I3282))"),"TV-14")</f>
        <v>TV-14</v>
      </c>
      <c r="R3282" s="5" t="str">
        <f t="shared" si="2"/>
        <v>The Garden Of Words</v>
      </c>
      <c r="S3282" s="5" t="str">
        <f>IFERROR(__xludf.DUMMYFUNCTION("""COMPUTED_VALUE"""),"I Got The Hook Up")</f>
        <v>I Got The Hook Up</v>
      </c>
      <c r="U3282" s="5" t="str">
        <f>IFERROR(__xludf.DUMMYFUNCTION("""COMPUTED_VALUE"""),"Shivendra Singh Dungarpur")</f>
        <v>Shivendra Singh Dungarpur</v>
      </c>
      <c r="V3282" s="5" t="s">
        <v>18104</v>
      </c>
      <c r="W3282" s="5" t="str">
        <f t="shared" si="3"/>
        <v>Peter Yost</v>
      </c>
      <c r="X3282" s="5">
        <f t="shared" si="4"/>
        <v>1</v>
      </c>
      <c r="Y3282" s="5" t="str">
        <f>IFERROR(__xludf.DUMMYFUNCTION("REGEXEXTRACT(J3282, ""^\d+"")"),"46")</f>
        <v>46</v>
      </c>
      <c r="Z3282" s="5" t="str">
        <f>IFERROR(__xludf.DUMMYFUNCTION("REGEXEXTRACT(J3282, ""[A-Za-z ]+$"")")," min")</f>
        <v> min</v>
      </c>
      <c r="AA3282" s="5" t="str">
        <f>IFERROR(__xludf.DUMMYFUNCTION("IF(REGEXMATCH(Z3282, ""Season""), ""TV Show"", ""Movie"")"),"Movie")</f>
        <v>Movie</v>
      </c>
    </row>
    <row r="3283">
      <c r="A3283" s="1" t="s">
        <v>18105</v>
      </c>
      <c r="B3283" s="1" t="s">
        <v>37</v>
      </c>
      <c r="C3283" s="1" t="s">
        <v>18106</v>
      </c>
      <c r="E3283" s="1" t="s">
        <v>18107</v>
      </c>
      <c r="F3283" s="1" t="s">
        <v>2796</v>
      </c>
      <c r="G3283" s="1" t="s">
        <v>18015</v>
      </c>
      <c r="H3283" s="1">
        <v>2019.0</v>
      </c>
      <c r="I3283" s="1" t="s">
        <v>42</v>
      </c>
      <c r="J3283" s="1" t="s">
        <v>51</v>
      </c>
      <c r="K3283" s="1" t="s">
        <v>190</v>
      </c>
      <c r="L3283" s="1" t="s">
        <v>18108</v>
      </c>
      <c r="M3283" s="2" t="s">
        <v>12</v>
      </c>
      <c r="N3283" s="4">
        <f t="shared" si="1"/>
        <v>43784</v>
      </c>
      <c r="O3283" s="5" t="str">
        <f>IFERROR(__xludf.DUMMYFUNCTION("IF(REGEXMATCH(TRIM(I3283), ""^\d+\s*min""), ""Unclassified"", IF(I3283 = """", ""NR"", I3283))"),"TV-MA")</f>
        <v>TV-MA</v>
      </c>
      <c r="R3283" s="5" t="str">
        <f t="shared" si="2"/>
        <v>The Stranded</v>
      </c>
      <c r="S3283" s="5" t="str">
        <f>IFERROR(__xludf.DUMMYFUNCTION("""COMPUTED_VALUE"""),"I Hate Luv Storys")</f>
        <v>I Hate Luv Storys</v>
      </c>
      <c r="U3283" s="5" t="str">
        <f>IFERROR(__xludf.DUMMYFUNCTION("""COMPUTED_VALUE"""),"Nicholas Hytner")</f>
        <v>Nicholas Hytner</v>
      </c>
      <c r="V3283" s="5" t="s">
        <v>18109</v>
      </c>
      <c r="W3283" s="5" t="str">
        <f t="shared" si="3"/>
        <v>Petra Costa</v>
      </c>
      <c r="X3283" s="5">
        <f t="shared" si="4"/>
        <v>2</v>
      </c>
      <c r="Y3283" s="5" t="str">
        <f>IFERROR(__xludf.DUMMYFUNCTION("REGEXEXTRACT(J3283, ""^\d+"")"),"1")</f>
        <v>1</v>
      </c>
      <c r="Z3283" s="5" t="str">
        <f>IFERROR(__xludf.DUMMYFUNCTION("REGEXEXTRACT(J3283, ""[A-Za-z ]+$"")")," Season")</f>
        <v> Season</v>
      </c>
      <c r="AA3283" s="5" t="str">
        <f>IFERROR(__xludf.DUMMYFUNCTION("IF(REGEXMATCH(Z3283, ""Season""), ""TV Show"", ""Movie"")"),"TV Show")</f>
        <v>TV Show</v>
      </c>
    </row>
    <row r="3284">
      <c r="A3284" s="1" t="s">
        <v>18110</v>
      </c>
      <c r="B3284" s="1" t="s">
        <v>37</v>
      </c>
      <c r="C3284" s="1" t="s">
        <v>18111</v>
      </c>
      <c r="F3284" s="1" t="s">
        <v>30</v>
      </c>
      <c r="G3284" s="1" t="s">
        <v>18015</v>
      </c>
      <c r="H3284" s="1">
        <v>2019.0</v>
      </c>
      <c r="I3284" s="1" t="s">
        <v>97</v>
      </c>
      <c r="J3284" s="1" t="s">
        <v>276</v>
      </c>
      <c r="K3284" s="1" t="s">
        <v>57</v>
      </c>
      <c r="L3284" s="1" t="s">
        <v>18112</v>
      </c>
      <c r="M3284" s="2" t="s">
        <v>12</v>
      </c>
      <c r="N3284" s="4">
        <f t="shared" si="1"/>
        <v>43784</v>
      </c>
      <c r="O3284" s="5" t="str">
        <f>IFERROR(__xludf.DUMMYFUNCTION("IF(REGEXMATCH(TRIM(I3284), ""^\d+\s*min""), ""Unclassified"", IF(I3284 = """", ""NR"", I3284))"),"TV-14")</f>
        <v>TV-14</v>
      </c>
      <c r="R3284" s="5" t="str">
        <f t="shared" si="2"/>
        <v>The Toys That Made Us</v>
      </c>
      <c r="S3284" s="5" t="str">
        <f>IFERROR(__xludf.DUMMYFUNCTION("""COMPUTED_VALUE"""),"I Have A Script")</f>
        <v>I Have A Script</v>
      </c>
      <c r="U3284" s="5" t="str">
        <f>IFERROR(__xludf.DUMMYFUNCTION("""COMPUTED_VALUE"""),"Harry Baweja")</f>
        <v>Harry Baweja</v>
      </c>
      <c r="V3284" s="5" t="s">
        <v>18113</v>
      </c>
      <c r="W3284" s="5" t="str">
        <f t="shared" si="3"/>
        <v>Petra Costa, Lea Glob</v>
      </c>
      <c r="X3284" s="5">
        <f t="shared" si="4"/>
        <v>1</v>
      </c>
      <c r="Y3284" s="5" t="str">
        <f>IFERROR(__xludf.DUMMYFUNCTION("REGEXEXTRACT(J3284, ""^\d+"")"),"3")</f>
        <v>3</v>
      </c>
      <c r="Z3284" s="5" t="str">
        <f>IFERROR(__xludf.DUMMYFUNCTION("REGEXEXTRACT(J3284, ""[A-Za-z ]+$"")")," Seasons")</f>
        <v> Seasons</v>
      </c>
      <c r="AA3284" s="5" t="str">
        <f>IFERROR(__xludf.DUMMYFUNCTION("IF(REGEXMATCH(Z3284, ""Season""), ""TV Show"", ""Movie"")"),"TV Show")</f>
        <v>TV Show</v>
      </c>
    </row>
    <row r="3285">
      <c r="A3285" s="1" t="s">
        <v>18114</v>
      </c>
      <c r="B3285" s="1" t="s">
        <v>37</v>
      </c>
      <c r="C3285" s="1" t="s">
        <v>18115</v>
      </c>
      <c r="E3285" s="1" t="s">
        <v>18116</v>
      </c>
      <c r="F3285" s="1" t="s">
        <v>188</v>
      </c>
      <c r="G3285" s="1" t="s">
        <v>18015</v>
      </c>
      <c r="H3285" s="1">
        <v>2019.0</v>
      </c>
      <c r="I3285" s="1" t="s">
        <v>42</v>
      </c>
      <c r="J3285" s="1" t="s">
        <v>43</v>
      </c>
      <c r="K3285" s="1" t="s">
        <v>1362</v>
      </c>
      <c r="L3285" s="1" t="s">
        <v>18117</v>
      </c>
      <c r="M3285" s="2" t="s">
        <v>12</v>
      </c>
      <c r="N3285" s="4">
        <f t="shared" si="1"/>
        <v>43784</v>
      </c>
      <c r="O3285" s="5" t="str">
        <f>IFERROR(__xludf.DUMMYFUNCTION("IF(REGEXMATCH(TRIM(I3285), ""^\d+\s*min""), ""Unclassified"", IF(I3285 = """", ""NR"", I3285))"),"TV-MA")</f>
        <v>TV-MA</v>
      </c>
      <c r="R3285" s="5" t="str">
        <f t="shared" si="2"/>
        <v>The Yard</v>
      </c>
      <c r="S3285" s="5" t="str">
        <f>IFERROR(__xludf.DUMMYFUNCTION("""COMPUTED_VALUE"""),"I Hear You")</f>
        <v>I Hear You</v>
      </c>
      <c r="U3285" s="5" t="str">
        <f>IFERROR(__xludf.DUMMYFUNCTION("""COMPUTED_VALUE"""),"Aatmaram Dharne")</f>
        <v>Aatmaram Dharne</v>
      </c>
      <c r="V3285" s="5" t="s">
        <v>6784</v>
      </c>
      <c r="W3285" s="5" t="str">
        <f t="shared" si="3"/>
        <v>Peyton Reed</v>
      </c>
      <c r="X3285" s="5">
        <f t="shared" si="4"/>
        <v>3</v>
      </c>
      <c r="Y3285" s="5" t="str">
        <f>IFERROR(__xludf.DUMMYFUNCTION("REGEXEXTRACT(J3285, ""^\d+"")"),"2")</f>
        <v>2</v>
      </c>
      <c r="Z3285" s="5" t="str">
        <f>IFERROR(__xludf.DUMMYFUNCTION("REGEXEXTRACT(J3285, ""[A-Za-z ]+$"")")," Seasons")</f>
        <v> Seasons</v>
      </c>
      <c r="AA3285" s="5" t="str">
        <f>IFERROR(__xludf.DUMMYFUNCTION("IF(REGEXMATCH(Z3285, ""Season""), ""TV Show"", ""Movie"")"),"TV Show")</f>
        <v>TV Show</v>
      </c>
    </row>
    <row r="3286">
      <c r="A3286" s="1" t="s">
        <v>18118</v>
      </c>
      <c r="B3286" s="1" t="s">
        <v>37</v>
      </c>
      <c r="C3286" s="1" t="s">
        <v>18119</v>
      </c>
      <c r="E3286" s="1" t="s">
        <v>18120</v>
      </c>
      <c r="G3286" s="1" t="s">
        <v>18015</v>
      </c>
      <c r="H3286" s="1">
        <v>2003.0</v>
      </c>
      <c r="I3286" s="1" t="s">
        <v>97</v>
      </c>
      <c r="J3286" s="1" t="s">
        <v>51</v>
      </c>
      <c r="K3286" s="1" t="s">
        <v>12823</v>
      </c>
      <c r="L3286" s="1" t="s">
        <v>18121</v>
      </c>
      <c r="M3286" s="2" t="s">
        <v>12</v>
      </c>
      <c r="N3286" s="4">
        <f t="shared" si="1"/>
        <v>43784</v>
      </c>
      <c r="O3286" s="5" t="str">
        <f>IFERROR(__xludf.DUMMYFUNCTION("IF(REGEXMATCH(TRIM(I3286), ""^\d+\s*min""), ""Unclassified"", IF(I3286 = """", ""NR"", I3286))"),"TV-14")</f>
        <v>TV-14</v>
      </c>
      <c r="R3286" s="5" t="str">
        <f t="shared" si="2"/>
        <v>Westside Story</v>
      </c>
      <c r="S3286" s="5" t="str">
        <f>IFERROR(__xludf.DUMMYFUNCTION("""COMPUTED_VALUE"""),"I Heart Arlo")</f>
        <v>I Heart Arlo</v>
      </c>
      <c r="U3286" s="5" t="str">
        <f>IFERROR(__xludf.DUMMYFUNCTION("""COMPUTED_VALUE"""),"Umer Adil")</f>
        <v>Umer Adil</v>
      </c>
      <c r="V3286" s="5" t="s">
        <v>18122</v>
      </c>
      <c r="W3286" s="5" t="str">
        <f t="shared" si="3"/>
        <v>Phanindra Narsetti</v>
      </c>
      <c r="X3286" s="5">
        <f t="shared" si="4"/>
        <v>1</v>
      </c>
      <c r="Y3286" s="5" t="str">
        <f>IFERROR(__xludf.DUMMYFUNCTION("REGEXEXTRACT(J3286, ""^\d+"")"),"1")</f>
        <v>1</v>
      </c>
      <c r="Z3286" s="5" t="str">
        <f>IFERROR(__xludf.DUMMYFUNCTION("REGEXEXTRACT(J3286, ""[A-Za-z ]+$"")")," Season")</f>
        <v> Season</v>
      </c>
      <c r="AA3286" s="5" t="str">
        <f>IFERROR(__xludf.DUMMYFUNCTION("IF(REGEXMATCH(Z3286, ""Season""), ""TV Show"", ""Movie"")"),"TV Show")</f>
        <v>TV Show</v>
      </c>
    </row>
    <row r="3287">
      <c r="A3287" s="1" t="s">
        <v>18123</v>
      </c>
      <c r="B3287" s="1" t="s">
        <v>27</v>
      </c>
      <c r="C3287" s="1" t="s">
        <v>18124</v>
      </c>
      <c r="D3287" s="1" t="s">
        <v>8261</v>
      </c>
      <c r="E3287" s="1" t="s">
        <v>18125</v>
      </c>
      <c r="F3287" s="1" t="s">
        <v>664</v>
      </c>
      <c r="G3287" s="1" t="s">
        <v>18126</v>
      </c>
      <c r="H3287" s="1">
        <v>2019.0</v>
      </c>
      <c r="I3287" s="1" t="s">
        <v>42</v>
      </c>
      <c r="J3287" s="1" t="s">
        <v>5941</v>
      </c>
      <c r="K3287" s="1" t="s">
        <v>1839</v>
      </c>
      <c r="L3287" s="1" t="s">
        <v>18127</v>
      </c>
      <c r="M3287" s="2" t="s">
        <v>12</v>
      </c>
      <c r="N3287" s="4">
        <f t="shared" si="1"/>
        <v>43783</v>
      </c>
      <c r="O3287" s="5" t="str">
        <f>IFERROR(__xludf.DUMMYFUNCTION("IF(REGEXMATCH(TRIM(I3287), ""^\d+\s*min""), ""Unclassified"", IF(I3287 = """", ""NR"", I3287))"),"TV-MA")</f>
        <v>TV-MA</v>
      </c>
      <c r="R3287" s="5" t="str">
        <f t="shared" si="2"/>
        <v>Fadily Camara : La Plus Drôle De Tes Copines</v>
      </c>
      <c r="S3287" s="5" t="str">
        <f>IFERROR(__xludf.DUMMYFUNCTION("""COMPUTED_VALUE"""),"I Lost My Body")</f>
        <v>I Lost My Body</v>
      </c>
      <c r="U3287" s="5" t="str">
        <f>IFERROR(__xludf.DUMMYFUNCTION("""COMPUTED_VALUE"""),"Arne Birkenstock")</f>
        <v>Arne Birkenstock</v>
      </c>
      <c r="V3287" s="5" t="s">
        <v>3773</v>
      </c>
      <c r="W3287" s="5" t="str">
        <f t="shared" si="3"/>
        <v>Phil Alden Robinson</v>
      </c>
      <c r="X3287" s="5">
        <f t="shared" si="4"/>
        <v>1</v>
      </c>
      <c r="Y3287" s="5" t="str">
        <f>IFERROR(__xludf.DUMMYFUNCTION("REGEXEXTRACT(J3287, ""^\d+"")"),"54")</f>
        <v>54</v>
      </c>
      <c r="Z3287" s="5" t="str">
        <f>IFERROR(__xludf.DUMMYFUNCTION("REGEXEXTRACT(J3287, ""[A-Za-z ]+$"")")," min")</f>
        <v> min</v>
      </c>
      <c r="AA3287" s="5" t="str">
        <f>IFERROR(__xludf.DUMMYFUNCTION("IF(REGEXMATCH(Z3287, ""Season""), ""TV Show"", ""Movie"")"),"Movie")</f>
        <v>Movie</v>
      </c>
    </row>
    <row r="3288">
      <c r="A3288" s="1" t="s">
        <v>18128</v>
      </c>
      <c r="B3288" s="1" t="s">
        <v>37</v>
      </c>
      <c r="C3288" s="1" t="s">
        <v>18129</v>
      </c>
      <c r="E3288" s="1" t="s">
        <v>18130</v>
      </c>
      <c r="F3288" s="1" t="s">
        <v>2796</v>
      </c>
      <c r="G3288" s="1" t="s">
        <v>18126</v>
      </c>
      <c r="H3288" s="1">
        <v>2019.0</v>
      </c>
      <c r="I3288" s="1" t="s">
        <v>97</v>
      </c>
      <c r="J3288" s="1" t="s">
        <v>51</v>
      </c>
      <c r="K3288" s="1" t="s">
        <v>64</v>
      </c>
      <c r="L3288" s="1" t="s">
        <v>18131</v>
      </c>
      <c r="M3288" s="2" t="s">
        <v>12</v>
      </c>
      <c r="N3288" s="4">
        <f t="shared" si="1"/>
        <v>43783</v>
      </c>
      <c r="O3288" s="5" t="str">
        <f>IFERROR(__xludf.DUMMYFUNCTION("IF(REGEXMATCH(TRIM(I3288), ""^\d+\s*min""), ""Unclassified"", IF(I3288 = """", ""NR"", I3288))"),"TV-14")</f>
        <v>TV-14</v>
      </c>
      <c r="R3288" s="5" t="str">
        <f t="shared" si="2"/>
        <v>My Dear Warrior</v>
      </c>
      <c r="S3288" s="5" t="str">
        <f>IFERROR(__xludf.DUMMYFUNCTION("""COMPUTED_VALUE"""),"I Love You, Stupid")</f>
        <v>I Love You, Stupid</v>
      </c>
      <c r="U3288" s="5" t="str">
        <f>IFERROR(__xludf.DUMMYFUNCTION("""COMPUTED_VALUE"""),"Dianne Dreyer")</f>
        <v>Dianne Dreyer</v>
      </c>
      <c r="V3288" s="5" t="s">
        <v>9438</v>
      </c>
      <c r="W3288" s="5" t="str">
        <f t="shared" si="3"/>
        <v>Phil Burgers</v>
      </c>
      <c r="X3288" s="5">
        <f t="shared" si="4"/>
        <v>1</v>
      </c>
      <c r="Y3288" s="5" t="str">
        <f>IFERROR(__xludf.DUMMYFUNCTION("REGEXEXTRACT(J3288, ""^\d+"")"),"1")</f>
        <v>1</v>
      </c>
      <c r="Z3288" s="5" t="str">
        <f>IFERROR(__xludf.DUMMYFUNCTION("REGEXEXTRACT(J3288, ""[A-Za-z ]+$"")")," Season")</f>
        <v> Season</v>
      </c>
      <c r="AA3288" s="5" t="str">
        <f>IFERROR(__xludf.DUMMYFUNCTION("IF(REGEXMATCH(Z3288, ""Season""), ""TV Show"", ""Movie"")"),"TV Show")</f>
        <v>TV Show</v>
      </c>
    </row>
    <row r="3289">
      <c r="A3289" s="1" t="s">
        <v>18132</v>
      </c>
      <c r="B3289" s="1" t="s">
        <v>37</v>
      </c>
      <c r="C3289" s="1" t="s">
        <v>18133</v>
      </c>
      <c r="E3289" s="1" t="s">
        <v>18134</v>
      </c>
      <c r="F3289" s="1" t="s">
        <v>18135</v>
      </c>
      <c r="G3289" s="1" t="s">
        <v>18136</v>
      </c>
      <c r="H3289" s="1">
        <v>2020.0</v>
      </c>
      <c r="I3289" s="1" t="s">
        <v>42</v>
      </c>
      <c r="J3289" s="1" t="s">
        <v>51</v>
      </c>
      <c r="K3289" s="1" t="s">
        <v>8990</v>
      </c>
      <c r="L3289" s="1" t="s">
        <v>18137</v>
      </c>
      <c r="M3289" s="2" t="s">
        <v>12</v>
      </c>
      <c r="N3289" s="4">
        <f t="shared" si="1"/>
        <v>43782</v>
      </c>
      <c r="O3289" s="5" t="str">
        <f>IFERROR(__xludf.DUMMYFUNCTION("IF(REGEXMATCH(TRIM(I3289), ""^\d+\s*min""), ""Unclassified"", IF(I3289 = """", ""NR"", I3289))"),"TV-MA")</f>
        <v>TV-MA</v>
      </c>
      <c r="R3289" s="5" t="str">
        <f t="shared" si="2"/>
        <v>Maradona In Mexico</v>
      </c>
      <c r="S3289" s="5" t="str">
        <f>IFERROR(__xludf.DUMMYFUNCTION("""COMPUTED_VALUE"""),"I Missed You: Director'S Cut")</f>
        <v>I Missed You: Director'S Cut</v>
      </c>
      <c r="U3289" s="5" t="str">
        <f>IFERROR(__xludf.DUMMYFUNCTION("""COMPUTED_VALUE"""),"Garin Nugroho")</f>
        <v>Garin Nugroho</v>
      </c>
      <c r="V3289" s="5" t="s">
        <v>18138</v>
      </c>
      <c r="W3289" s="5" t="str">
        <f t="shared" si="3"/>
        <v>Phil Joanou</v>
      </c>
      <c r="X3289" s="5">
        <f t="shared" si="4"/>
        <v>1</v>
      </c>
      <c r="Y3289" s="5" t="str">
        <f>IFERROR(__xludf.DUMMYFUNCTION("REGEXEXTRACT(J3289, ""^\d+"")"),"1")</f>
        <v>1</v>
      </c>
      <c r="Z3289" s="5" t="str">
        <f>IFERROR(__xludf.DUMMYFUNCTION("REGEXEXTRACT(J3289, ""[A-Za-z ]+$"")")," Season")</f>
        <v> Season</v>
      </c>
      <c r="AA3289" s="5" t="str">
        <f>IFERROR(__xludf.DUMMYFUNCTION("IF(REGEXMATCH(Z3289, ""Season""), ""TV Show"", ""Movie"")"),"TV Show")</f>
        <v>TV Show</v>
      </c>
    </row>
    <row r="3290">
      <c r="A3290" s="1" t="s">
        <v>18139</v>
      </c>
      <c r="B3290" s="1" t="s">
        <v>37</v>
      </c>
      <c r="C3290" s="1" t="s">
        <v>18140</v>
      </c>
      <c r="E3290" s="1" t="s">
        <v>18141</v>
      </c>
      <c r="F3290" s="1" t="s">
        <v>749</v>
      </c>
      <c r="G3290" s="1" t="s">
        <v>18142</v>
      </c>
      <c r="H3290" s="1">
        <v>2019.0</v>
      </c>
      <c r="I3290" s="1" t="s">
        <v>97</v>
      </c>
      <c r="J3290" s="1" t="s">
        <v>43</v>
      </c>
      <c r="K3290" s="1" t="s">
        <v>13832</v>
      </c>
      <c r="L3290" s="1" t="s">
        <v>18143</v>
      </c>
      <c r="M3290" s="2" t="s">
        <v>12</v>
      </c>
      <c r="N3290" s="4">
        <f t="shared" si="1"/>
        <v>43781</v>
      </c>
      <c r="O3290" s="5" t="str">
        <f>IFERROR(__xludf.DUMMYFUNCTION("IF(REGEXMATCH(TRIM(I3290), ""^\d+\s*min""), ""Unclassified"", IF(I3290 = """", ""NR"", I3290))"),"TV-14")</f>
        <v>TV-14</v>
      </c>
      <c r="R3290" s="5" t="str">
        <f t="shared" si="2"/>
        <v>Chief Of Staff</v>
      </c>
      <c r="S3290" s="5" t="str">
        <f>IFERROR(__xludf.DUMMYFUNCTION("""COMPUTED_VALUE"""),"I Need Romance")</f>
        <v>I Need Romance</v>
      </c>
      <c r="U3290" s="5" t="str">
        <f>IFERROR(__xludf.DUMMYFUNCTION("""COMPUTED_VALUE"""),"John Curran")</f>
        <v>John Curran</v>
      </c>
      <c r="V3290" s="5" t="s">
        <v>18144</v>
      </c>
      <c r="W3290" s="5" t="str">
        <f t="shared" si="3"/>
        <v>Phil Johnston, Rich Moore</v>
      </c>
      <c r="X3290" s="5">
        <f t="shared" si="4"/>
        <v>1</v>
      </c>
      <c r="Y3290" s="5" t="str">
        <f>IFERROR(__xludf.DUMMYFUNCTION("REGEXEXTRACT(J3290, ""^\d+"")"),"2")</f>
        <v>2</v>
      </c>
      <c r="Z3290" s="5" t="str">
        <f>IFERROR(__xludf.DUMMYFUNCTION("REGEXEXTRACT(J3290, ""[A-Za-z ]+$"")")," Seasons")</f>
        <v> Seasons</v>
      </c>
      <c r="AA3290" s="5" t="str">
        <f>IFERROR(__xludf.DUMMYFUNCTION("IF(REGEXMATCH(Z3290, ""Season""), ""TV Show"", ""Movie"")"),"TV Show")</f>
        <v>TV Show</v>
      </c>
    </row>
    <row r="3291">
      <c r="A3291" s="1" t="s">
        <v>18145</v>
      </c>
      <c r="B3291" s="1" t="s">
        <v>27</v>
      </c>
      <c r="C3291" s="1" t="s">
        <v>18146</v>
      </c>
      <c r="D3291" s="1" t="s">
        <v>4994</v>
      </c>
      <c r="E3291" s="1" t="s">
        <v>10593</v>
      </c>
      <c r="F3291" s="1" t="s">
        <v>30</v>
      </c>
      <c r="G3291" s="1" t="s">
        <v>18142</v>
      </c>
      <c r="H3291" s="1">
        <v>2019.0</v>
      </c>
      <c r="I3291" s="1" t="s">
        <v>42</v>
      </c>
      <c r="J3291" s="1" t="s">
        <v>1847</v>
      </c>
      <c r="K3291" s="1" t="s">
        <v>1839</v>
      </c>
      <c r="L3291" s="1" t="s">
        <v>18147</v>
      </c>
      <c r="M3291" s="2" t="s">
        <v>12</v>
      </c>
      <c r="N3291" s="4">
        <f t="shared" si="1"/>
        <v>43781</v>
      </c>
      <c r="O3291" s="5" t="str">
        <f>IFERROR(__xludf.DUMMYFUNCTION("IF(REGEXMATCH(TRIM(I3291), ""^\d+\s*min""), ""Unclassified"", IF(I3291 = """", ""NR"", I3291))"),"TV-MA")</f>
        <v>TV-MA</v>
      </c>
      <c r="R3291" s="5" t="str">
        <f t="shared" si="2"/>
        <v>Jeff Garlin: Our Man In Chicago</v>
      </c>
      <c r="S3291" s="5" t="str">
        <f>IFERROR(__xludf.DUMMYFUNCTION("""COMPUTED_VALUE"""),"I Think You Should Leave With Tim Robinson")</f>
        <v>I Think You Should Leave With Tim Robinson</v>
      </c>
      <c r="U3291" s="5" t="str">
        <f>IFERROR(__xludf.DUMMYFUNCTION("""COMPUTED_VALUE"""),"Charles A. Nichols, Iwao Takamoto")</f>
        <v>Charles A. Nichols, Iwao Takamoto</v>
      </c>
      <c r="V3291" s="5" t="s">
        <v>2153</v>
      </c>
      <c r="W3291" s="5" t="str">
        <f t="shared" si="3"/>
        <v>Phil Lord, Christopher Miller</v>
      </c>
      <c r="X3291" s="5">
        <f t="shared" si="4"/>
        <v>1</v>
      </c>
      <c r="Y3291" s="5" t="str">
        <f>IFERROR(__xludf.DUMMYFUNCTION("REGEXEXTRACT(J3291, ""^\d+"")"),"59")</f>
        <v>59</v>
      </c>
      <c r="Z3291" s="5" t="str">
        <f>IFERROR(__xludf.DUMMYFUNCTION("REGEXEXTRACT(J3291, ""[A-Za-z ]+$"")")," min")</f>
        <v> min</v>
      </c>
      <c r="AA3291" s="5" t="str">
        <f>IFERROR(__xludf.DUMMYFUNCTION("IF(REGEXMATCH(Z3291, ""Season""), ""TV Show"", ""Movie"")"),"Movie")</f>
        <v>Movie</v>
      </c>
    </row>
    <row r="3292">
      <c r="A3292" s="1" t="s">
        <v>18148</v>
      </c>
      <c r="B3292" s="1" t="s">
        <v>27</v>
      </c>
      <c r="C3292" s="1" t="s">
        <v>18149</v>
      </c>
      <c r="D3292" s="1" t="s">
        <v>9024</v>
      </c>
      <c r="E3292" s="1" t="s">
        <v>18150</v>
      </c>
      <c r="F3292" s="1" t="s">
        <v>30</v>
      </c>
      <c r="G3292" s="1" t="s">
        <v>18151</v>
      </c>
      <c r="H3292" s="1">
        <v>2009.0</v>
      </c>
      <c r="I3292" s="1" t="s">
        <v>378</v>
      </c>
      <c r="J3292" s="1" t="s">
        <v>433</v>
      </c>
      <c r="K3292" s="1" t="s">
        <v>4730</v>
      </c>
      <c r="L3292" s="1" t="s">
        <v>18152</v>
      </c>
      <c r="M3292" s="2" t="s">
        <v>12</v>
      </c>
      <c r="N3292" s="4">
        <f t="shared" si="1"/>
        <v>43780</v>
      </c>
      <c r="O3292" s="5" t="str">
        <f>IFERROR(__xludf.DUMMYFUNCTION("IF(REGEXMATCH(TRIM(I3292), ""^\d+\s*min""), ""Unclassified"", IF(I3292 = """", ""NR"", I3292))"),"R")</f>
        <v>R</v>
      </c>
      <c r="R3292" s="5" t="str">
        <f t="shared" si="2"/>
        <v>A Single Man</v>
      </c>
      <c r="S3292" s="5" t="str">
        <f>IFERROR(__xludf.DUMMYFUNCTION("""COMPUTED_VALUE"""),"I Will Follow")</f>
        <v>I Will Follow</v>
      </c>
      <c r="U3292" s="5" t="str">
        <f>IFERROR(__xludf.DUMMYFUNCTION("""COMPUTED_VALUE"""),"Wong Jing, Jason Kwan")</f>
        <v>Wong Jing, Jason Kwan</v>
      </c>
      <c r="V3292" s="5" t="s">
        <v>18153</v>
      </c>
      <c r="W3292" s="5" t="str">
        <f t="shared" si="3"/>
        <v>Phil Morrison</v>
      </c>
      <c r="X3292" s="5">
        <f t="shared" si="4"/>
        <v>1</v>
      </c>
      <c r="Y3292" s="5" t="str">
        <f>IFERROR(__xludf.DUMMYFUNCTION("REGEXEXTRACT(J3292, ""^\d+"")"),"100")</f>
        <v>100</v>
      </c>
      <c r="Z3292" s="5" t="str">
        <f>IFERROR(__xludf.DUMMYFUNCTION("REGEXEXTRACT(J3292, ""[A-Za-z ]+$"")")," min")</f>
        <v> min</v>
      </c>
      <c r="AA3292" s="5" t="str">
        <f>IFERROR(__xludf.DUMMYFUNCTION("IF(REGEXMATCH(Z3292, ""Season""), ""TV Show"", ""Movie"")"),"Movie")</f>
        <v>Movie</v>
      </c>
    </row>
    <row r="3293">
      <c r="A3293" s="1" t="s">
        <v>18154</v>
      </c>
      <c r="B3293" s="1" t="s">
        <v>37</v>
      </c>
      <c r="C3293" s="1" t="s">
        <v>18155</v>
      </c>
      <c r="E3293" s="1" t="s">
        <v>18156</v>
      </c>
      <c r="F3293" s="1" t="s">
        <v>3892</v>
      </c>
      <c r="G3293" s="1" t="s">
        <v>18151</v>
      </c>
      <c r="H3293" s="1">
        <v>2019.0</v>
      </c>
      <c r="I3293" s="1" t="s">
        <v>97</v>
      </c>
      <c r="J3293" s="1" t="s">
        <v>51</v>
      </c>
      <c r="K3293" s="1" t="s">
        <v>18157</v>
      </c>
      <c r="L3293" s="1" t="s">
        <v>18158</v>
      </c>
      <c r="M3293" s="2" t="s">
        <v>12</v>
      </c>
      <c r="N3293" s="4">
        <f t="shared" si="1"/>
        <v>43780</v>
      </c>
      <c r="O3293" s="5" t="str">
        <f>IFERROR(__xludf.DUMMYFUNCTION("IF(REGEXMATCH(TRIM(I3293), ""^\d+\s*min""), ""Unclassified"", IF(I3293 = """", ""NR"", I3293))"),"TV-14")</f>
        <v>TV-14</v>
      </c>
      <c r="R3293" s="5" t="str">
        <f t="shared" si="2"/>
        <v>Put Your Head On My Shoulder</v>
      </c>
      <c r="S3293" s="5" t="str">
        <f>IFERROR(__xludf.DUMMYFUNCTION("""COMPUTED_VALUE"""),"I, Daniel Blake")</f>
        <v>I, Daniel Blake</v>
      </c>
      <c r="U3293" s="5" t="str">
        <f>IFERROR(__xludf.DUMMYFUNCTION("""COMPUTED_VALUE"""),"John Scheinfeld")</f>
        <v>John Scheinfeld</v>
      </c>
      <c r="V3293" s="5" t="s">
        <v>18159</v>
      </c>
      <c r="W3293" s="5" t="str">
        <f t="shared" si="3"/>
        <v>Phil Nibbelink, Simon Wells</v>
      </c>
      <c r="X3293" s="5">
        <f t="shared" si="4"/>
        <v>1</v>
      </c>
      <c r="Y3293" s="5" t="str">
        <f>IFERROR(__xludf.DUMMYFUNCTION("REGEXEXTRACT(J3293, ""^\d+"")"),"1")</f>
        <v>1</v>
      </c>
      <c r="Z3293" s="5" t="str">
        <f>IFERROR(__xludf.DUMMYFUNCTION("REGEXEXTRACT(J3293, ""[A-Za-z ]+$"")")," Season")</f>
        <v> Season</v>
      </c>
      <c r="AA3293" s="5" t="str">
        <f>IFERROR(__xludf.DUMMYFUNCTION("IF(REGEXMATCH(Z3293, ""Season""), ""TV Show"", ""Movie"")"),"TV Show")</f>
        <v>TV Show</v>
      </c>
    </row>
    <row r="3294">
      <c r="A3294" s="1" t="s">
        <v>18160</v>
      </c>
      <c r="B3294" s="1" t="s">
        <v>27</v>
      </c>
      <c r="C3294" s="1" t="s">
        <v>18161</v>
      </c>
      <c r="D3294" s="1" t="s">
        <v>11868</v>
      </c>
      <c r="F3294" s="1" t="s">
        <v>30</v>
      </c>
      <c r="G3294" s="1" t="s">
        <v>18151</v>
      </c>
      <c r="H3294" s="1">
        <v>2019.0</v>
      </c>
      <c r="I3294" s="1" t="s">
        <v>42</v>
      </c>
      <c r="J3294" s="1" t="s">
        <v>428</v>
      </c>
      <c r="K3294" s="1" t="s">
        <v>34</v>
      </c>
      <c r="L3294" s="1" t="s">
        <v>18162</v>
      </c>
      <c r="M3294" s="2" t="s">
        <v>12</v>
      </c>
      <c r="N3294" s="4">
        <f t="shared" si="1"/>
        <v>43780</v>
      </c>
      <c r="O3294" s="5" t="str">
        <f>IFERROR(__xludf.DUMMYFUNCTION("IF(REGEXMATCH(TRIM(I3294), ""^\d+\s*min""), ""Unclassified"", IF(I3294 = """", ""NR"", I3294))"),"TV-MA")</f>
        <v>TV-MA</v>
      </c>
      <c r="R3294" s="5" t="str">
        <f t="shared" si="2"/>
        <v>To Be Of Service</v>
      </c>
      <c r="S3294" s="5" t="str">
        <f>IFERROR(__xludf.DUMMYFUNCTION("""COMPUTED_VALUE"""),"I'Ll See You In My Dreams")</f>
        <v>I'Ll See You In My Dreams</v>
      </c>
      <c r="U3294" s="5" t="str">
        <f>IFERROR(__xludf.DUMMYFUNCTION("""COMPUTED_VALUE"""),"Gurvinder Singh")</f>
        <v>Gurvinder Singh</v>
      </c>
      <c r="V3294" s="5" t="s">
        <v>18163</v>
      </c>
      <c r="W3294" s="5" t="str">
        <f t="shared" si="3"/>
        <v>Phil Roman</v>
      </c>
      <c r="X3294" s="5">
        <f t="shared" si="4"/>
        <v>1</v>
      </c>
      <c r="Y3294" s="5" t="str">
        <f>IFERROR(__xludf.DUMMYFUNCTION("REGEXEXTRACT(J3294, ""^\d+"")"),"88")</f>
        <v>88</v>
      </c>
      <c r="Z3294" s="5" t="str">
        <f>IFERROR(__xludf.DUMMYFUNCTION("REGEXEXTRACT(J3294, ""[A-Za-z ]+$"")")," min")</f>
        <v> min</v>
      </c>
      <c r="AA3294" s="5" t="str">
        <f>IFERROR(__xludf.DUMMYFUNCTION("IF(REGEXMATCH(Z3294, ""Season""), ""TV Show"", ""Movie"")"),"Movie")</f>
        <v>Movie</v>
      </c>
    </row>
    <row r="3295">
      <c r="A3295" s="1" t="s">
        <v>18164</v>
      </c>
      <c r="B3295" s="1" t="s">
        <v>37</v>
      </c>
      <c r="C3295" s="1" t="s">
        <v>18165</v>
      </c>
      <c r="E3295" s="1" t="s">
        <v>18166</v>
      </c>
      <c r="F3295" s="1" t="s">
        <v>63</v>
      </c>
      <c r="G3295" s="1" t="s">
        <v>18167</v>
      </c>
      <c r="H3295" s="1">
        <v>2019.0</v>
      </c>
      <c r="I3295" s="1" t="s">
        <v>42</v>
      </c>
      <c r="J3295" s="1" t="s">
        <v>276</v>
      </c>
      <c r="K3295" s="1" t="s">
        <v>64</v>
      </c>
      <c r="L3295" s="1" t="s">
        <v>18168</v>
      </c>
      <c r="M3295" s="2" t="s">
        <v>12</v>
      </c>
      <c r="N3295" s="4">
        <f t="shared" si="1"/>
        <v>43778</v>
      </c>
      <c r="O3295" s="5" t="str">
        <f>IFERROR(__xludf.DUMMYFUNCTION("IF(REGEXMATCH(TRIM(I3295), ""^\d+\s*min""), ""Unclassified"", IF(I3295 = """", ""NR"", I3295))"),"TV-MA")</f>
        <v>TV-MA</v>
      </c>
      <c r="R3295" s="5" t="str">
        <f t="shared" si="2"/>
        <v>Little Things</v>
      </c>
      <c r="S3295" s="5" t="str">
        <f>IFERROR(__xludf.DUMMYFUNCTION("""COMPUTED_VALUE"""),"I'Ll Sleep When I'M Dead")</f>
        <v>I'Ll Sleep When I'M Dead</v>
      </c>
      <c r="U3295" s="5" t="str">
        <f>IFERROR(__xludf.DUMMYFUNCTION("""COMPUTED_VALUE"""),"Sidheswar Shukla, Asit Mohapatra")</f>
        <v>Sidheswar Shukla, Asit Mohapatra</v>
      </c>
      <c r="V3295" s="5" t="s">
        <v>13705</v>
      </c>
      <c r="W3295" s="5" t="str">
        <f t="shared" si="3"/>
        <v>Phil Sgriccia</v>
      </c>
      <c r="X3295" s="5">
        <f t="shared" si="4"/>
        <v>1</v>
      </c>
      <c r="Y3295" s="5" t="str">
        <f>IFERROR(__xludf.DUMMYFUNCTION("REGEXEXTRACT(J3295, ""^\d+"")"),"3")</f>
        <v>3</v>
      </c>
      <c r="Z3295" s="5" t="str">
        <f>IFERROR(__xludf.DUMMYFUNCTION("REGEXEXTRACT(J3295, ""[A-Za-z ]+$"")")," Seasons")</f>
        <v> Seasons</v>
      </c>
      <c r="AA3295" s="5" t="str">
        <f>IFERROR(__xludf.DUMMYFUNCTION("IF(REGEXMATCH(Z3295, ""Season""), ""TV Show"", ""Movie"")"),"TV Show")</f>
        <v>TV Show</v>
      </c>
    </row>
    <row r="3296">
      <c r="A3296" s="1" t="s">
        <v>18169</v>
      </c>
      <c r="B3296" s="1" t="s">
        <v>37</v>
      </c>
      <c r="C3296" s="1" t="s">
        <v>18170</v>
      </c>
      <c r="F3296" s="1" t="s">
        <v>96</v>
      </c>
      <c r="G3296" s="1" t="s">
        <v>18171</v>
      </c>
      <c r="H3296" s="1">
        <v>2019.0</v>
      </c>
      <c r="I3296" s="1" t="s">
        <v>97</v>
      </c>
      <c r="J3296" s="1" t="s">
        <v>51</v>
      </c>
      <c r="K3296" s="1" t="s">
        <v>544</v>
      </c>
      <c r="L3296" s="1" t="s">
        <v>18172</v>
      </c>
      <c r="M3296" s="2" t="s">
        <v>12</v>
      </c>
      <c r="N3296" s="4">
        <f t="shared" si="1"/>
        <v>43777</v>
      </c>
      <c r="O3296" s="5" t="str">
        <f>IFERROR(__xludf.DUMMYFUNCTION("IF(REGEXMATCH(TRIM(I3296), ""^\d+\s*min""), ""Unclassified"", IF(I3296 = """", ""NR"", I3296))"),"TV-14")</f>
        <v>TV-14</v>
      </c>
      <c r="R3296" s="5" t="str">
        <f t="shared" si="2"/>
        <v>Greatest Events Of Wwii In Colour</v>
      </c>
      <c r="S3296" s="5" t="str">
        <f>IFERROR(__xludf.DUMMYFUNCTION("""COMPUTED_VALUE"""),"I'M Brent Morin")</f>
        <v>I'M Brent Morin</v>
      </c>
      <c r="U3296" s="5" t="str">
        <f>IFERROR(__xludf.DUMMYFUNCTION("""COMPUTED_VALUE"""),"Asit Mohapatra, Shyamal Chaulia")</f>
        <v>Asit Mohapatra, Shyamal Chaulia</v>
      </c>
      <c r="V3296" s="5" t="s">
        <v>18173</v>
      </c>
      <c r="W3296" s="5" t="str">
        <f t="shared" si="3"/>
        <v>Phil Weinstein</v>
      </c>
      <c r="X3296" s="5">
        <f t="shared" si="4"/>
        <v>2</v>
      </c>
      <c r="Y3296" s="5" t="str">
        <f>IFERROR(__xludf.DUMMYFUNCTION("REGEXEXTRACT(J3296, ""^\d+"")"),"1")</f>
        <v>1</v>
      </c>
      <c r="Z3296" s="5" t="str">
        <f>IFERROR(__xludf.DUMMYFUNCTION("REGEXEXTRACT(J3296, ""[A-Za-z ]+$"")")," Season")</f>
        <v> Season</v>
      </c>
      <c r="AA3296" s="5" t="str">
        <f>IFERROR(__xludf.DUMMYFUNCTION("IF(REGEXMATCH(Z3296, ""Season""), ""TV Show"", ""Movie"")"),"TV Show")</f>
        <v>TV Show</v>
      </c>
    </row>
    <row r="3297">
      <c r="A3297" s="1" t="s">
        <v>18174</v>
      </c>
      <c r="B3297" s="1" t="s">
        <v>37</v>
      </c>
      <c r="C3297" s="1" t="s">
        <v>18175</v>
      </c>
      <c r="E3297" s="1" t="s">
        <v>18176</v>
      </c>
      <c r="F3297" s="1" t="s">
        <v>1319</v>
      </c>
      <c r="G3297" s="1" t="s">
        <v>18171</v>
      </c>
      <c r="H3297" s="1">
        <v>2019.0</v>
      </c>
      <c r="I3297" s="1" t="s">
        <v>289</v>
      </c>
      <c r="J3297" s="1" t="s">
        <v>51</v>
      </c>
      <c r="K3297" s="1" t="s">
        <v>12796</v>
      </c>
      <c r="L3297" s="1" t="s">
        <v>18177</v>
      </c>
      <c r="M3297" s="2" t="s">
        <v>12</v>
      </c>
      <c r="N3297" s="4">
        <f t="shared" si="1"/>
        <v>43777</v>
      </c>
      <c r="O3297" s="5" t="str">
        <f>IFERROR(__xludf.DUMMYFUNCTION("IF(REGEXMATCH(TRIM(I3297), ""^\d+\s*min""), ""Unclassified"", IF(I3297 = """", ""NR"", I3297))"),"TV-Y7")</f>
        <v>TV-Y7</v>
      </c>
      <c r="R3297" s="5" t="str">
        <f t="shared" si="2"/>
        <v>Green Eggs And Ham</v>
      </c>
      <c r="S3297" s="5" t="str">
        <f>IFERROR(__xludf.DUMMYFUNCTION("""COMPUTED_VALUE"""),"I'M Glad I Did")</f>
        <v>I'M Glad I Did</v>
      </c>
      <c r="U3297" s="5" t="str">
        <f>IFERROR(__xludf.DUMMYFUNCTION("""COMPUTED_VALUE"""),"Shyamal Chaulia, Asit Mohapatra")</f>
        <v>Shyamal Chaulia, Asit Mohapatra</v>
      </c>
      <c r="V3297" s="5" t="s">
        <v>11716</v>
      </c>
      <c r="W3297" s="5" t="str">
        <f t="shared" si="3"/>
        <v>Philip Barantini</v>
      </c>
      <c r="X3297" s="5">
        <f t="shared" si="4"/>
        <v>1</v>
      </c>
      <c r="Y3297" s="5" t="str">
        <f>IFERROR(__xludf.DUMMYFUNCTION("REGEXEXTRACT(J3297, ""^\d+"")"),"1")</f>
        <v>1</v>
      </c>
      <c r="Z3297" s="5" t="str">
        <f>IFERROR(__xludf.DUMMYFUNCTION("REGEXEXTRACT(J3297, ""[A-Za-z ]+$"")")," Season")</f>
        <v> Season</v>
      </c>
      <c r="AA3297" s="5" t="str">
        <f>IFERROR(__xludf.DUMMYFUNCTION("IF(REGEXMATCH(Z3297, ""Season""), ""TV Show"", ""Movie"")"),"TV Show")</f>
        <v>TV Show</v>
      </c>
    </row>
    <row r="3298">
      <c r="A3298" s="1" t="s">
        <v>18178</v>
      </c>
      <c r="B3298" s="1" t="s">
        <v>27</v>
      </c>
      <c r="C3298" s="1" t="s">
        <v>18179</v>
      </c>
      <c r="D3298" s="1" t="s">
        <v>14137</v>
      </c>
      <c r="E3298" s="1" t="s">
        <v>18180</v>
      </c>
      <c r="F3298" s="1" t="s">
        <v>30</v>
      </c>
      <c r="G3298" s="1" t="s">
        <v>18171</v>
      </c>
      <c r="H3298" s="1">
        <v>2019.0</v>
      </c>
      <c r="I3298" s="1" t="s">
        <v>32</v>
      </c>
      <c r="J3298" s="1" t="s">
        <v>454</v>
      </c>
      <c r="K3298" s="1" t="s">
        <v>14564</v>
      </c>
      <c r="L3298" s="1" t="s">
        <v>18181</v>
      </c>
      <c r="M3298" s="2" t="s">
        <v>12</v>
      </c>
      <c r="N3298" s="4">
        <f t="shared" si="1"/>
        <v>43777</v>
      </c>
      <c r="O3298" s="5" t="str">
        <f>IFERROR(__xludf.DUMMYFUNCTION("IF(REGEXMATCH(TRIM(I3298), ""^\d+\s*min""), ""Unclassified"", IF(I3298 = """", ""NR"", I3298))"),"PG-13")</f>
        <v>PG-13</v>
      </c>
      <c r="R3298" s="5" t="str">
        <f t="shared" si="2"/>
        <v>Let It Snow</v>
      </c>
      <c r="S3298" s="5" t="str">
        <f>IFERROR(__xludf.DUMMYFUNCTION("""COMPUTED_VALUE"""),"I'M In Love With A Church Girl")</f>
        <v>I'M In Love With A Church Girl</v>
      </c>
      <c r="U3298" s="5" t="str">
        <f>IFERROR(__xludf.DUMMYFUNCTION("""COMPUTED_VALUE"""),"Rajiv Chilaka, Binayak Das")</f>
        <v>Rajiv Chilaka, Binayak Das</v>
      </c>
      <c r="V3298" s="5" t="s">
        <v>18182</v>
      </c>
      <c r="W3298" s="5" t="str">
        <f t="shared" si="3"/>
        <v>Philip Einstein Lipski, Jørgen Lerdam, Amalie Næsby Fick</v>
      </c>
      <c r="X3298" s="5">
        <f t="shared" si="4"/>
        <v>1</v>
      </c>
      <c r="Y3298" s="5" t="str">
        <f>IFERROR(__xludf.DUMMYFUNCTION("REGEXEXTRACT(J3298, ""^\d+"")"),"93")</f>
        <v>93</v>
      </c>
      <c r="Z3298" s="5" t="str">
        <f>IFERROR(__xludf.DUMMYFUNCTION("REGEXEXTRACT(J3298, ""[A-Za-z ]+$"")")," min")</f>
        <v> min</v>
      </c>
      <c r="AA3298" s="5" t="str">
        <f>IFERROR(__xludf.DUMMYFUNCTION("IF(REGEXMATCH(Z3298, ""Season""), ""TV Show"", ""Movie"")"),"Movie")</f>
        <v>Movie</v>
      </c>
    </row>
    <row r="3299">
      <c r="A3299" s="1" t="s">
        <v>18183</v>
      </c>
      <c r="B3299" s="1" t="s">
        <v>27</v>
      </c>
      <c r="C3299" s="1" t="s">
        <v>18184</v>
      </c>
      <c r="D3299" s="1" t="s">
        <v>18185</v>
      </c>
      <c r="E3299" s="1" t="s">
        <v>18186</v>
      </c>
      <c r="F3299" s="1" t="s">
        <v>664</v>
      </c>
      <c r="G3299" s="1" t="s">
        <v>18171</v>
      </c>
      <c r="H3299" s="1">
        <v>2019.0</v>
      </c>
      <c r="I3299" s="1" t="s">
        <v>42</v>
      </c>
      <c r="J3299" s="1" t="s">
        <v>170</v>
      </c>
      <c r="K3299" s="1" t="s">
        <v>306</v>
      </c>
      <c r="L3299" s="1" t="s">
        <v>18187</v>
      </c>
      <c r="M3299" s="2" t="s">
        <v>12</v>
      </c>
      <c r="N3299" s="4">
        <f t="shared" si="1"/>
        <v>43777</v>
      </c>
      <c r="O3299" s="5" t="str">
        <f>IFERROR(__xludf.DUMMYFUNCTION("IF(REGEXMATCH(TRIM(I3299), ""^\d+\s*min""), ""Unclassified"", IF(I3299 = """", ""NR"", I3299))"),"TV-MA")</f>
        <v>TV-MA</v>
      </c>
      <c r="R3299" s="5" t="str">
        <f t="shared" si="2"/>
        <v>Paradise Beach</v>
      </c>
      <c r="S3299" s="5" t="str">
        <f>IFERROR(__xludf.DUMMYFUNCTION("""COMPUTED_VALUE"""),"I'M Leaving Now")</f>
        <v>I'M Leaving Now</v>
      </c>
      <c r="U3299" s="5" t="str">
        <f>IFERROR(__xludf.DUMMYFUNCTION("""COMPUTED_VALUE"""),"Anuranjan Premji")</f>
        <v>Anuranjan Premji</v>
      </c>
      <c r="V3299" s="5" t="s">
        <v>18188</v>
      </c>
      <c r="W3299" s="5" t="str">
        <f t="shared" si="3"/>
        <v>Philip G. Atwell</v>
      </c>
      <c r="X3299" s="5">
        <f t="shared" si="4"/>
        <v>1</v>
      </c>
      <c r="Y3299" s="5" t="str">
        <f>IFERROR(__xludf.DUMMYFUNCTION("REGEXEXTRACT(J3299, ""^\d+"")"),"94")</f>
        <v>94</v>
      </c>
      <c r="Z3299" s="5" t="str">
        <f>IFERROR(__xludf.DUMMYFUNCTION("REGEXEXTRACT(J3299, ""[A-Za-z ]+$"")")," min")</f>
        <v> min</v>
      </c>
      <c r="AA3299" s="5" t="str">
        <f>IFERROR(__xludf.DUMMYFUNCTION("IF(REGEXMATCH(Z3299, ""Season""), ""TV Show"", ""Movie"")"),"Movie")</f>
        <v>Movie</v>
      </c>
    </row>
    <row r="3300">
      <c r="A3300" s="1" t="s">
        <v>18189</v>
      </c>
      <c r="B3300" s="1" t="s">
        <v>37</v>
      </c>
      <c r="C3300" s="1" t="s">
        <v>18190</v>
      </c>
      <c r="E3300" s="1" t="s">
        <v>18191</v>
      </c>
      <c r="F3300" s="1" t="s">
        <v>1837</v>
      </c>
      <c r="G3300" s="1" t="s">
        <v>18171</v>
      </c>
      <c r="H3300" s="1">
        <v>2019.0</v>
      </c>
      <c r="I3300" s="1" t="s">
        <v>42</v>
      </c>
      <c r="J3300" s="1" t="s">
        <v>43</v>
      </c>
      <c r="K3300" s="1" t="s">
        <v>785</v>
      </c>
      <c r="L3300" s="1" t="s">
        <v>18192</v>
      </c>
      <c r="M3300" s="2" t="s">
        <v>12</v>
      </c>
      <c r="N3300" s="4">
        <f t="shared" si="1"/>
        <v>43777</v>
      </c>
      <c r="O3300" s="5" t="str">
        <f>IFERROR(__xludf.DUMMYFUNCTION("IF(REGEXMATCH(TRIM(I3300), ""^\d+\s*min""), ""Unclassified"", IF(I3300 = """", ""NR"", I3300))"),"TV-MA")</f>
        <v>TV-MA</v>
      </c>
      <c r="R3300" s="5" t="str">
        <f t="shared" si="2"/>
        <v>Wild District</v>
      </c>
      <c r="S3300" s="5" t="str">
        <f>IFERROR(__xludf.DUMMYFUNCTION("""COMPUTED_VALUE"""),"I'M No Longer Here")</f>
        <v>I'M No Longer Here</v>
      </c>
      <c r="U3300" s="5" t="str">
        <f>IFERROR(__xludf.DUMMYFUNCTION("""COMPUTED_VALUE"""),"Mark Dindal")</f>
        <v>Mark Dindal</v>
      </c>
      <c r="V3300" s="5" t="s">
        <v>18193</v>
      </c>
      <c r="W3300" s="5" t="str">
        <f t="shared" si="3"/>
        <v>Philip Marlatt</v>
      </c>
      <c r="X3300" s="5">
        <f t="shared" si="4"/>
        <v>1</v>
      </c>
      <c r="Y3300" s="5" t="str">
        <f>IFERROR(__xludf.DUMMYFUNCTION("REGEXEXTRACT(J3300, ""^\d+"")"),"2")</f>
        <v>2</v>
      </c>
      <c r="Z3300" s="5" t="str">
        <f>IFERROR(__xludf.DUMMYFUNCTION("REGEXEXTRACT(J3300, ""[A-Za-z ]+$"")")," Seasons")</f>
        <v> Seasons</v>
      </c>
      <c r="AA3300" s="5" t="str">
        <f>IFERROR(__xludf.DUMMYFUNCTION("IF(REGEXMATCH(Z3300, ""Season""), ""TV Show"", ""Movie"")"),"TV Show")</f>
        <v>TV Show</v>
      </c>
    </row>
    <row r="3301">
      <c r="A3301" s="1" t="s">
        <v>18194</v>
      </c>
      <c r="B3301" s="1" t="s">
        <v>27</v>
      </c>
      <c r="C3301" s="1" t="s">
        <v>18195</v>
      </c>
      <c r="D3301" s="1" t="s">
        <v>17869</v>
      </c>
      <c r="E3301" s="1" t="s">
        <v>18196</v>
      </c>
      <c r="F3301" s="1" t="s">
        <v>63</v>
      </c>
      <c r="G3301" s="1" t="s">
        <v>18197</v>
      </c>
      <c r="H3301" s="1">
        <v>2016.0</v>
      </c>
      <c r="I3301" s="1" t="s">
        <v>97</v>
      </c>
      <c r="J3301" s="1" t="s">
        <v>941</v>
      </c>
      <c r="K3301" s="1" t="s">
        <v>631</v>
      </c>
      <c r="L3301" s="1" t="s">
        <v>18198</v>
      </c>
      <c r="M3301" s="2" t="s">
        <v>12</v>
      </c>
      <c r="N3301" s="4">
        <f t="shared" si="1"/>
        <v>43776</v>
      </c>
      <c r="O3301" s="5" t="str">
        <f>IFERROR(__xludf.DUMMYFUNCTION("IF(REGEXMATCH(TRIM(I3301), ""^\d+\s*min""), ""Unclassified"", IF(I3301 = """", ""NR"", I3301))"),"TV-14")</f>
        <v>TV-14</v>
      </c>
      <c r="R3301" s="5" t="str">
        <f t="shared" si="2"/>
        <v>U Turn</v>
      </c>
      <c r="S3301" s="5" t="str">
        <f>IFERROR(__xludf.DUMMYFUNCTION("""COMPUTED_VALUE"""),"I'M Sorry")</f>
        <v>I'M Sorry</v>
      </c>
      <c r="U3301" s="5" t="str">
        <f>IFERROR(__xludf.DUMMYFUNCTION("""COMPUTED_VALUE"""),"Tom Holland")</f>
        <v>Tom Holland</v>
      </c>
      <c r="V3301" s="5" t="s">
        <v>18199</v>
      </c>
      <c r="W3301" s="5" t="str">
        <f t="shared" si="3"/>
        <v>Philip Yung</v>
      </c>
      <c r="X3301" s="5">
        <f t="shared" si="4"/>
        <v>1</v>
      </c>
      <c r="Y3301" s="5" t="str">
        <f>IFERROR(__xludf.DUMMYFUNCTION("REGEXEXTRACT(J3301, ""^\d+"")"),"121")</f>
        <v>121</v>
      </c>
      <c r="Z3301" s="5" t="str">
        <f>IFERROR(__xludf.DUMMYFUNCTION("REGEXEXTRACT(J3301, ""[A-Za-z ]+$"")")," min")</f>
        <v> min</v>
      </c>
      <c r="AA3301" s="5" t="str">
        <f>IFERROR(__xludf.DUMMYFUNCTION("IF(REGEXMATCH(Z3301, ""Season""), ""TV Show"", ""Movie"")"),"Movie")</f>
        <v>Movie</v>
      </c>
    </row>
    <row r="3302">
      <c r="A3302" s="1" t="s">
        <v>18200</v>
      </c>
      <c r="B3302" s="1" t="s">
        <v>27</v>
      </c>
      <c r="C3302" s="1" t="s">
        <v>18201</v>
      </c>
      <c r="D3302" s="1" t="s">
        <v>18202</v>
      </c>
      <c r="E3302" s="1" t="s">
        <v>18203</v>
      </c>
      <c r="F3302" s="1" t="s">
        <v>30</v>
      </c>
      <c r="G3302" s="1" t="s">
        <v>18204</v>
      </c>
      <c r="H3302" s="1">
        <v>2019.0</v>
      </c>
      <c r="I3302" s="1" t="s">
        <v>42</v>
      </c>
      <c r="J3302" s="1" t="s">
        <v>1737</v>
      </c>
      <c r="K3302" s="1" t="s">
        <v>805</v>
      </c>
      <c r="L3302" s="1" t="s">
        <v>18205</v>
      </c>
      <c r="M3302" s="2" t="s">
        <v>12</v>
      </c>
      <c r="N3302" s="4">
        <f t="shared" si="1"/>
        <v>43775</v>
      </c>
      <c r="O3302" s="5" t="str">
        <f>IFERROR(__xludf.DUMMYFUNCTION("IF(REGEXMATCH(TRIM(I3302), ""^\d+\s*min""), ""Unclassified"", IF(I3302 = """", ""NR"", I3302))"),"TV-MA")</f>
        <v>TV-MA</v>
      </c>
      <c r="R3302" s="5" t="str">
        <f t="shared" si="2"/>
        <v>Burning Cane</v>
      </c>
      <c r="S3302" s="5" t="str">
        <f>IFERROR(__xludf.DUMMYFUNCTION("""COMPUTED_VALUE"""),"I'M Thinking Of Ending Things")</f>
        <v>I'M Thinking Of Ending Things</v>
      </c>
      <c r="U3302" s="5" t="str">
        <f>IFERROR(__xludf.DUMMYFUNCTION("""COMPUTED_VALUE"""),"Tan Bing")</f>
        <v>Tan Bing</v>
      </c>
      <c r="V3302" s="5" t="s">
        <v>18206</v>
      </c>
      <c r="W3302" s="5" t="str">
        <f t="shared" si="3"/>
        <v>Philipp Eichholtz</v>
      </c>
      <c r="X3302" s="5">
        <f t="shared" si="4"/>
        <v>1</v>
      </c>
      <c r="Y3302" s="5" t="str">
        <f>IFERROR(__xludf.DUMMYFUNCTION("REGEXEXTRACT(J3302, ""^\d+"")"),"78")</f>
        <v>78</v>
      </c>
      <c r="Z3302" s="5" t="str">
        <f>IFERROR(__xludf.DUMMYFUNCTION("REGEXEXTRACT(J3302, ""[A-Za-z ]+$"")")," min")</f>
        <v> min</v>
      </c>
      <c r="AA3302" s="5" t="str">
        <f>IFERROR(__xludf.DUMMYFUNCTION("IF(REGEXMATCH(Z3302, ""Season""), ""TV Show"", ""Movie"")"),"Movie")</f>
        <v>Movie</v>
      </c>
    </row>
    <row r="3303">
      <c r="A3303" s="1" t="s">
        <v>18207</v>
      </c>
      <c r="B3303" s="1" t="s">
        <v>37</v>
      </c>
      <c r="C3303" s="1" t="s">
        <v>18208</v>
      </c>
      <c r="E3303" s="1" t="s">
        <v>18209</v>
      </c>
      <c r="F3303" s="1" t="s">
        <v>415</v>
      </c>
      <c r="G3303" s="1" t="s">
        <v>18204</v>
      </c>
      <c r="H3303" s="1">
        <v>2019.0</v>
      </c>
      <c r="I3303" s="1" t="s">
        <v>97</v>
      </c>
      <c r="J3303" s="1" t="s">
        <v>51</v>
      </c>
      <c r="K3303" s="1" t="s">
        <v>1362</v>
      </c>
      <c r="L3303" s="1" t="s">
        <v>18210</v>
      </c>
      <c r="M3303" s="2" t="s">
        <v>12</v>
      </c>
      <c r="N3303" s="4">
        <f t="shared" si="1"/>
        <v>43775</v>
      </c>
      <c r="O3303" s="5" t="str">
        <f>IFERROR(__xludf.DUMMYFUNCTION("IF(REGEXMATCH(TRIM(I3303), ""^\d+\s*min""), ""Unclassified"", IF(I3303 = """", ""NR"", I3303))"),"TV-14")</f>
        <v>TV-14</v>
      </c>
      <c r="R3303" s="5" t="str">
        <f t="shared" si="2"/>
        <v>Scams</v>
      </c>
      <c r="S3303" s="5" t="str">
        <f>IFERROR(__xludf.DUMMYFUNCTION("""COMPUTED_VALUE"""),"I'M With The Band: Nasty Cherry")</f>
        <v>I'M With The Band: Nasty Cherry</v>
      </c>
      <c r="U3303" s="5" t="str">
        <f>IFERROR(__xludf.DUMMYFUNCTION("""COMPUTED_VALUE"""),"Luis Lopez")</f>
        <v>Luis Lopez</v>
      </c>
      <c r="V3303" s="5" t="s">
        <v>18211</v>
      </c>
      <c r="W3303" s="5" t="str">
        <f t="shared" si="3"/>
        <v>Philipp Stölzl</v>
      </c>
      <c r="X3303" s="5">
        <f t="shared" si="4"/>
        <v>2</v>
      </c>
      <c r="Y3303" s="5" t="str">
        <f>IFERROR(__xludf.DUMMYFUNCTION("REGEXEXTRACT(J3303, ""^\d+"")"),"1")</f>
        <v>1</v>
      </c>
      <c r="Z3303" s="5" t="str">
        <f>IFERROR(__xludf.DUMMYFUNCTION("REGEXEXTRACT(J3303, ""[A-Za-z ]+$"")")," Season")</f>
        <v> Season</v>
      </c>
      <c r="AA3303" s="5" t="str">
        <f>IFERROR(__xludf.DUMMYFUNCTION("IF(REGEXMATCH(Z3303, ""Season""), ""TV Show"", ""Movie"")"),"TV Show")</f>
        <v>TV Show</v>
      </c>
    </row>
    <row r="3304">
      <c r="A3304" s="1" t="s">
        <v>18212</v>
      </c>
      <c r="B3304" s="1" t="s">
        <v>27</v>
      </c>
      <c r="C3304" s="1" t="s">
        <v>18213</v>
      </c>
      <c r="D3304" s="1" t="s">
        <v>18214</v>
      </c>
      <c r="E3304" s="1" t="s">
        <v>18215</v>
      </c>
      <c r="F3304" s="1" t="s">
        <v>1064</v>
      </c>
      <c r="G3304" s="1" t="s">
        <v>18204</v>
      </c>
      <c r="H3304" s="1">
        <v>2018.0</v>
      </c>
      <c r="I3304" s="1" t="s">
        <v>97</v>
      </c>
      <c r="J3304" s="1" t="s">
        <v>349</v>
      </c>
      <c r="K3304" s="1" t="s">
        <v>306</v>
      </c>
      <c r="L3304" s="1" t="s">
        <v>18216</v>
      </c>
      <c r="M3304" s="2" t="s">
        <v>12</v>
      </c>
      <c r="N3304" s="4">
        <f t="shared" si="1"/>
        <v>43775</v>
      </c>
      <c r="O3304" s="5" t="str">
        <f>IFERROR(__xludf.DUMMYFUNCTION("IF(REGEXMATCH(TRIM(I3304), ""^\d+\s*min""), ""Unclassified"", IF(I3304 = """", ""NR"", I3304))"),"TV-14")</f>
        <v>TV-14</v>
      </c>
      <c r="R3304" s="5" t="str">
        <f t="shared" si="2"/>
        <v>Shadow</v>
      </c>
      <c r="S3304" s="5" t="str">
        <f>IFERROR(__xludf.DUMMYFUNCTION("""COMPUTED_VALUE"""),"Ibiza")</f>
        <v>Ibiza</v>
      </c>
      <c r="U3304" s="5" t="str">
        <f>IFERROR(__xludf.DUMMYFUNCTION("""COMPUTED_VALUE"""),"Bedabrata Pain")</f>
        <v>Bedabrata Pain</v>
      </c>
      <c r="V3304" s="5" t="s">
        <v>11468</v>
      </c>
      <c r="W3304" s="5" t="str">
        <f t="shared" si="3"/>
        <v>Philippa Lowthorpe</v>
      </c>
      <c r="X3304" s="5">
        <f t="shared" si="4"/>
        <v>1</v>
      </c>
      <c r="Y3304" s="5" t="str">
        <f>IFERROR(__xludf.DUMMYFUNCTION("REGEXEXTRACT(J3304, ""^\d+"")"),"116")</f>
        <v>116</v>
      </c>
      <c r="Z3304" s="5" t="str">
        <f>IFERROR(__xludf.DUMMYFUNCTION("REGEXEXTRACT(J3304, ""[A-Za-z ]+$"")")," min")</f>
        <v> min</v>
      </c>
      <c r="AA3304" s="5" t="str">
        <f>IFERROR(__xludf.DUMMYFUNCTION("IF(REGEXMATCH(Z3304, ""Season""), ""TV Show"", ""Movie"")"),"Movie")</f>
        <v>Movie</v>
      </c>
    </row>
    <row r="3305">
      <c r="A3305" s="1" t="s">
        <v>18217</v>
      </c>
      <c r="B3305" s="1" t="s">
        <v>27</v>
      </c>
      <c r="C3305" s="1" t="s">
        <v>18218</v>
      </c>
      <c r="D3305" s="1" t="s">
        <v>14005</v>
      </c>
      <c r="E3305" s="1" t="s">
        <v>18219</v>
      </c>
      <c r="F3305" s="1" t="s">
        <v>1992</v>
      </c>
      <c r="G3305" s="1" t="s">
        <v>18220</v>
      </c>
      <c r="H3305" s="1">
        <v>2019.0</v>
      </c>
      <c r="I3305" s="1" t="s">
        <v>506</v>
      </c>
      <c r="J3305" s="1" t="s">
        <v>630</v>
      </c>
      <c r="K3305" s="1" t="s">
        <v>1662</v>
      </c>
      <c r="L3305" s="1" t="s">
        <v>18221</v>
      </c>
      <c r="M3305" s="2" t="s">
        <v>12</v>
      </c>
      <c r="N3305" s="4">
        <f t="shared" si="1"/>
        <v>43774</v>
      </c>
      <c r="O3305" s="5" t="str">
        <f>IFERROR(__xludf.DUMMYFUNCTION("IF(REGEXMATCH(TRIM(I3305), ""^\d+\s*min""), ""Unclassified"", IF(I3305 = """", ""NR"", I3305))"),"TV-G")</f>
        <v>TV-G</v>
      </c>
      <c r="R3305" s="5" t="str">
        <f t="shared" si="2"/>
        <v>Luccas Neto In: Summer Camp</v>
      </c>
      <c r="S3305" s="5" t="str">
        <f>IFERROR(__xludf.DUMMYFUNCTION("""COMPUTED_VALUE"""),"Iboy")</f>
        <v>Iboy</v>
      </c>
      <c r="U3305" s="5" t="str">
        <f>IFERROR(__xludf.DUMMYFUNCTION("""COMPUTED_VALUE"""),"Ken Hughes")</f>
        <v>Ken Hughes</v>
      </c>
      <c r="V3305" s="5" t="s">
        <v>10519</v>
      </c>
      <c r="W3305" s="5" t="str">
        <f t="shared" si="3"/>
        <v>Philippe Aractingi</v>
      </c>
      <c r="X3305" s="5">
        <f t="shared" si="4"/>
        <v>4</v>
      </c>
      <c r="Y3305" s="5" t="str">
        <f>IFERROR(__xludf.DUMMYFUNCTION("REGEXEXTRACT(J3305, ""^\d+"")"),"87")</f>
        <v>87</v>
      </c>
      <c r="Z3305" s="5" t="str">
        <f>IFERROR(__xludf.DUMMYFUNCTION("REGEXEXTRACT(J3305, ""[A-Za-z ]+$"")")," min")</f>
        <v> min</v>
      </c>
      <c r="AA3305" s="5" t="str">
        <f>IFERROR(__xludf.DUMMYFUNCTION("IF(REGEXMATCH(Z3305, ""Season""), ""TV Show"", ""Movie"")"),"Movie")</f>
        <v>Movie</v>
      </c>
    </row>
    <row r="3306">
      <c r="A3306" s="1" t="s">
        <v>18222</v>
      </c>
      <c r="B3306" s="1" t="s">
        <v>37</v>
      </c>
      <c r="C3306" s="1" t="s">
        <v>18223</v>
      </c>
      <c r="E3306" s="1" t="s">
        <v>18224</v>
      </c>
      <c r="F3306" s="1" t="s">
        <v>30</v>
      </c>
      <c r="G3306" s="1" t="s">
        <v>18220</v>
      </c>
      <c r="H3306" s="1">
        <v>2014.0</v>
      </c>
      <c r="I3306" s="1" t="s">
        <v>136</v>
      </c>
      <c r="J3306" s="1" t="s">
        <v>43</v>
      </c>
      <c r="K3306" s="1" t="s">
        <v>314</v>
      </c>
      <c r="L3306" s="1" t="s">
        <v>18225</v>
      </c>
      <c r="M3306" s="2" t="s">
        <v>12</v>
      </c>
      <c r="N3306" s="4">
        <f t="shared" si="1"/>
        <v>43774</v>
      </c>
      <c r="O3306" s="5" t="str">
        <f>IFERROR(__xludf.DUMMYFUNCTION("IF(REGEXMATCH(TRIM(I3306), ""^\d+\s*min""), ""Unclassified"", IF(I3306 = """", ""NR"", I3306))"),"TV-PG")</f>
        <v>TV-PG</v>
      </c>
      <c r="R3306" s="5" t="str">
        <f t="shared" si="2"/>
        <v>Sam &amp; Cat</v>
      </c>
      <c r="S3306" s="5" t="str">
        <f>IFERROR(__xludf.DUMMYFUNCTION("""COMPUTED_VALUE"""),"Ibrahim A Fate To Define")</f>
        <v>Ibrahim A Fate To Define</v>
      </c>
      <c r="U3306" s="5" t="str">
        <f>IFERROR(__xludf.DUMMYFUNCTION("""COMPUTED_VALUE"""),"Atom Egoyan")</f>
        <v>Atom Egoyan</v>
      </c>
      <c r="V3306" s="5" t="s">
        <v>18226</v>
      </c>
      <c r="W3306" s="5" t="str">
        <f t="shared" si="3"/>
        <v>Philippe Falardeau</v>
      </c>
      <c r="X3306" s="5">
        <f t="shared" si="4"/>
        <v>1</v>
      </c>
      <c r="Y3306" s="5" t="str">
        <f>IFERROR(__xludf.DUMMYFUNCTION("REGEXEXTRACT(J3306, ""^\d+"")"),"2")</f>
        <v>2</v>
      </c>
      <c r="Z3306" s="5" t="str">
        <f>IFERROR(__xludf.DUMMYFUNCTION("REGEXEXTRACT(J3306, ""[A-Za-z ]+$"")")," Seasons")</f>
        <v> Seasons</v>
      </c>
      <c r="AA3306" s="5" t="str">
        <f>IFERROR(__xludf.DUMMYFUNCTION("IF(REGEXMATCH(Z3306, ""Season""), ""TV Show"", ""Movie"")"),"TV Show")</f>
        <v>TV Show</v>
      </c>
    </row>
    <row r="3307">
      <c r="A3307" s="1" t="s">
        <v>18227</v>
      </c>
      <c r="B3307" s="1" t="s">
        <v>27</v>
      </c>
      <c r="C3307" s="1" t="s">
        <v>18228</v>
      </c>
      <c r="D3307" s="1" t="s">
        <v>16659</v>
      </c>
      <c r="E3307" s="1" t="s">
        <v>18229</v>
      </c>
      <c r="F3307" s="1" t="s">
        <v>30</v>
      </c>
      <c r="G3307" s="1" t="s">
        <v>18220</v>
      </c>
      <c r="H3307" s="1">
        <v>2019.0</v>
      </c>
      <c r="I3307" s="1" t="s">
        <v>42</v>
      </c>
      <c r="J3307" s="1" t="s">
        <v>207</v>
      </c>
      <c r="K3307" s="1" t="s">
        <v>1839</v>
      </c>
      <c r="L3307" s="1" t="s">
        <v>18230</v>
      </c>
      <c r="M3307" s="2" t="s">
        <v>12</v>
      </c>
      <c r="N3307" s="4">
        <f t="shared" si="1"/>
        <v>43774</v>
      </c>
      <c r="O3307" s="5" t="str">
        <f>IFERROR(__xludf.DUMMYFUNCTION("IF(REGEXMATCH(TRIM(I3307), ""^\d+\s*min""), ""Unclassified"", IF(I3307 = """", ""NR"", I3307))"),"TV-MA")</f>
        <v>TV-MA</v>
      </c>
      <c r="R3307" s="5" t="str">
        <f t="shared" si="2"/>
        <v>Seth Meyers: Lobby Baby</v>
      </c>
      <c r="S3307" s="5" t="str">
        <f>IFERROR(__xludf.DUMMYFUNCTION("""COMPUTED_VALUE"""),"Icarly")</f>
        <v>Icarly</v>
      </c>
      <c r="U3307" s="5" t="str">
        <f>IFERROR(__xludf.DUMMYFUNCTION("""COMPUTED_VALUE"""),"Andrew Sandler")</f>
        <v>Andrew Sandler</v>
      </c>
      <c r="V3307" s="5" t="s">
        <v>947</v>
      </c>
      <c r="W3307" s="5" t="str">
        <f t="shared" si="3"/>
        <v>Phillip Noyce</v>
      </c>
      <c r="X3307" s="5">
        <f t="shared" si="4"/>
        <v>3</v>
      </c>
      <c r="Y3307" s="5" t="str">
        <f>IFERROR(__xludf.DUMMYFUNCTION("REGEXEXTRACT(J3307, ""^\d+"")"),"61")</f>
        <v>61</v>
      </c>
      <c r="Z3307" s="5" t="str">
        <f>IFERROR(__xludf.DUMMYFUNCTION("REGEXEXTRACT(J3307, ""[A-Za-z ]+$"")")," min")</f>
        <v> min</v>
      </c>
      <c r="AA3307" s="5" t="str">
        <f>IFERROR(__xludf.DUMMYFUNCTION("IF(REGEXMATCH(Z3307, ""Season""), ""TV Show"", ""Movie"")"),"Movie")</f>
        <v>Movie</v>
      </c>
    </row>
    <row r="3308">
      <c r="A3308" s="1" t="s">
        <v>18231</v>
      </c>
      <c r="B3308" s="1" t="s">
        <v>37</v>
      </c>
      <c r="C3308" s="1" t="s">
        <v>18232</v>
      </c>
      <c r="E3308" s="1" t="s">
        <v>18233</v>
      </c>
      <c r="F3308" s="1" t="s">
        <v>96</v>
      </c>
      <c r="G3308" s="1" t="s">
        <v>18220</v>
      </c>
      <c r="H3308" s="1">
        <v>2019.0</v>
      </c>
      <c r="I3308" s="1" t="s">
        <v>42</v>
      </c>
      <c r="J3308" s="1" t="s">
        <v>43</v>
      </c>
      <c r="K3308" s="1" t="s">
        <v>277</v>
      </c>
      <c r="L3308" s="1" t="s">
        <v>18234</v>
      </c>
      <c r="M3308" s="2" t="s">
        <v>12</v>
      </c>
      <c r="N3308" s="4">
        <f t="shared" si="1"/>
        <v>43774</v>
      </c>
      <c r="O3308" s="5" t="str">
        <f>IFERROR(__xludf.DUMMYFUNCTION("IF(REGEXMATCH(TRIM(I3308), ""^\d+\s*min""), ""Unclassified"", IF(I3308 = """", ""NR"", I3308))"),"TV-MA")</f>
        <v>TV-MA</v>
      </c>
      <c r="R3308" s="5" t="str">
        <f t="shared" si="2"/>
        <v>The End Of The F***Ing World</v>
      </c>
      <c r="S3308" s="5" t="str">
        <f>IFERROR(__xludf.DUMMYFUNCTION("""COMPUTED_VALUE"""),"Icarus")</f>
        <v>Icarus</v>
      </c>
      <c r="U3308" s="5" t="str">
        <f>IFERROR(__xludf.DUMMYFUNCTION("""COMPUTED_VALUE"""),"Corbin Bernsen")</f>
        <v>Corbin Bernsen</v>
      </c>
      <c r="V3308" s="5" t="s">
        <v>18202</v>
      </c>
      <c r="W3308" s="5" t="str">
        <f t="shared" si="3"/>
        <v>Phillip Youmans</v>
      </c>
      <c r="X3308" s="5">
        <f t="shared" si="4"/>
        <v>1</v>
      </c>
      <c r="Y3308" s="5" t="str">
        <f>IFERROR(__xludf.DUMMYFUNCTION("REGEXEXTRACT(J3308, ""^\d+"")"),"2")</f>
        <v>2</v>
      </c>
      <c r="Z3308" s="5" t="str">
        <f>IFERROR(__xludf.DUMMYFUNCTION("REGEXEXTRACT(J3308, ""[A-Za-z ]+$"")")," Seasons")</f>
        <v> Seasons</v>
      </c>
      <c r="AA3308" s="5" t="str">
        <f>IFERROR(__xludf.DUMMYFUNCTION("IF(REGEXMATCH(Z3308, ""Season""), ""TV Show"", ""Movie"")"),"TV Show")</f>
        <v>TV Show</v>
      </c>
    </row>
    <row r="3309">
      <c r="A3309" s="1" t="s">
        <v>18235</v>
      </c>
      <c r="B3309" s="1" t="s">
        <v>27</v>
      </c>
      <c r="C3309" s="1" t="s">
        <v>18236</v>
      </c>
      <c r="D3309" s="1" t="s">
        <v>2861</v>
      </c>
      <c r="E3309" s="1" t="s">
        <v>18237</v>
      </c>
      <c r="F3309" s="1" t="s">
        <v>30</v>
      </c>
      <c r="G3309" s="1" t="s">
        <v>18220</v>
      </c>
      <c r="H3309" s="1">
        <v>2017.0</v>
      </c>
      <c r="I3309" s="1" t="s">
        <v>378</v>
      </c>
      <c r="J3309" s="1" t="s">
        <v>357</v>
      </c>
      <c r="K3309" s="1" t="s">
        <v>836</v>
      </c>
      <c r="L3309" s="1" t="s">
        <v>18238</v>
      </c>
      <c r="M3309" s="2" t="s">
        <v>12</v>
      </c>
      <c r="N3309" s="4">
        <f t="shared" si="1"/>
        <v>43774</v>
      </c>
      <c r="O3309" s="5" t="str">
        <f>IFERROR(__xludf.DUMMYFUNCTION("IF(REGEXMATCH(TRIM(I3309), ""^\d+\s*min""), ""Unclassified"", IF(I3309 = """", ""NR"", I3309))"),"R")</f>
        <v>R</v>
      </c>
      <c r="R3309" s="5" t="str">
        <f t="shared" si="2"/>
        <v>The Lovers</v>
      </c>
      <c r="S3309" s="5" t="str">
        <f>IFERROR(__xludf.DUMMYFUNCTION("""COMPUTED_VALUE"""),"Ice Fantasy")</f>
        <v>Ice Fantasy</v>
      </c>
      <c r="U3309" s="5" t="str">
        <f>IFERROR(__xludf.DUMMYFUNCTION("""COMPUTED_VALUE"""),"Marita Grabiak")</f>
        <v>Marita Grabiak</v>
      </c>
      <c r="V3309" s="5" t="s">
        <v>18239</v>
      </c>
      <c r="W3309" s="5" t="str">
        <f t="shared" si="3"/>
        <v>Phyllida Lloyd</v>
      </c>
      <c r="X3309" s="5">
        <f t="shared" si="4"/>
        <v>1</v>
      </c>
      <c r="Y3309" s="5" t="str">
        <f>IFERROR(__xludf.DUMMYFUNCTION("REGEXEXTRACT(J3309, ""^\d+"")"),"98")</f>
        <v>98</v>
      </c>
      <c r="Z3309" s="5" t="str">
        <f>IFERROR(__xludf.DUMMYFUNCTION("REGEXEXTRACT(J3309, ""[A-Za-z ]+$"")")," min")</f>
        <v> min</v>
      </c>
      <c r="AA3309" s="5" t="str">
        <f>IFERROR(__xludf.DUMMYFUNCTION("IF(REGEXMATCH(Z3309, ""Season""), ""TV Show"", ""Movie"")"),"Movie")</f>
        <v>Movie</v>
      </c>
    </row>
    <row r="3310">
      <c r="A3310" s="1" t="s">
        <v>18240</v>
      </c>
      <c r="B3310" s="1" t="s">
        <v>27</v>
      </c>
      <c r="C3310" s="1" t="s">
        <v>18241</v>
      </c>
      <c r="D3310" s="1" t="s">
        <v>18242</v>
      </c>
      <c r="E3310" s="1" t="s">
        <v>18243</v>
      </c>
      <c r="F3310" s="1" t="s">
        <v>749</v>
      </c>
      <c r="G3310" s="1" t="s">
        <v>18220</v>
      </c>
      <c r="H3310" s="1">
        <v>2019.0</v>
      </c>
      <c r="I3310" s="1" t="s">
        <v>42</v>
      </c>
      <c r="J3310" s="1" t="s">
        <v>2566</v>
      </c>
      <c r="K3310" s="1" t="s">
        <v>679</v>
      </c>
      <c r="L3310" s="1" t="s">
        <v>18244</v>
      </c>
      <c r="M3310" s="2" t="s">
        <v>12</v>
      </c>
      <c r="N3310" s="4">
        <f t="shared" si="1"/>
        <v>43774</v>
      </c>
      <c r="O3310" s="5" t="str">
        <f>IFERROR(__xludf.DUMMYFUNCTION("IF(REGEXMATCH(TRIM(I3310), ""^\d+\s*min""), ""Unclassified"", IF(I3310 = """", ""NR"", I3310))"),"TV-MA")</f>
        <v>TV-MA</v>
      </c>
      <c r="R3310" s="5" t="str">
        <f t="shared" si="2"/>
        <v>Tune In For Love</v>
      </c>
      <c r="S3310" s="5" t="str">
        <f>IFERROR(__xludf.DUMMYFUNCTION("""COMPUTED_VALUE"""),"Ice Guardians")</f>
        <v>Ice Guardians</v>
      </c>
      <c r="U3310" s="5" t="str">
        <f>IFERROR(__xludf.DUMMYFUNCTION("""COMPUTED_VALUE"""),"Gary Wheeler")</f>
        <v>Gary Wheeler</v>
      </c>
      <c r="V3310" s="5" t="s">
        <v>18245</v>
      </c>
      <c r="W3310" s="5" t="str">
        <f t="shared" si="3"/>
        <v>Pia Sukanya</v>
      </c>
      <c r="X3310" s="5">
        <f t="shared" si="4"/>
        <v>1</v>
      </c>
      <c r="Y3310" s="5" t="str">
        <f>IFERROR(__xludf.DUMMYFUNCTION("REGEXEXTRACT(J3310, ""^\d+"")"),"123")</f>
        <v>123</v>
      </c>
      <c r="Z3310" s="5" t="str">
        <f>IFERROR(__xludf.DUMMYFUNCTION("REGEXEXTRACT(J3310, ""[A-Za-z ]+$"")")," min")</f>
        <v> min</v>
      </c>
      <c r="AA3310" s="5" t="str">
        <f>IFERROR(__xludf.DUMMYFUNCTION("IF(REGEXMATCH(Z3310, ""Season""), ""TV Show"", ""Movie"")"),"Movie")</f>
        <v>Movie</v>
      </c>
    </row>
    <row r="3311">
      <c r="A3311" s="1" t="s">
        <v>18246</v>
      </c>
      <c r="B3311" s="1" t="s">
        <v>27</v>
      </c>
      <c r="C3311" s="1" t="s">
        <v>18247</v>
      </c>
      <c r="D3311" s="1" t="s">
        <v>9806</v>
      </c>
      <c r="E3311" s="1" t="s">
        <v>18248</v>
      </c>
      <c r="F3311" s="1" t="s">
        <v>30</v>
      </c>
      <c r="G3311" s="1" t="s">
        <v>18220</v>
      </c>
      <c r="H3311" s="1">
        <v>2019.0</v>
      </c>
      <c r="I3311" s="1" t="s">
        <v>378</v>
      </c>
      <c r="J3311" s="1" t="s">
        <v>471</v>
      </c>
      <c r="K3311" s="1" t="s">
        <v>239</v>
      </c>
      <c r="L3311" s="1" t="s">
        <v>18249</v>
      </c>
      <c r="M3311" s="2" t="s">
        <v>12</v>
      </c>
      <c r="N3311" s="4">
        <f t="shared" si="1"/>
        <v>43774</v>
      </c>
      <c r="O3311" s="5" t="str">
        <f>IFERROR(__xludf.DUMMYFUNCTION("IF(REGEXMATCH(TRIM(I3311), ""^\d+\s*min""), ""Unclassified"", IF(I3311 = """", ""NR"", I3311))"),"R")</f>
        <v>R</v>
      </c>
      <c r="R3311" s="5" t="str">
        <f t="shared" si="2"/>
        <v>Undercover Brother 2</v>
      </c>
      <c r="S3311" s="5" t="str">
        <f>IFERROR(__xludf.DUMMYFUNCTION("""COMPUTED_VALUE"""),"Iceman")</f>
        <v>Iceman</v>
      </c>
      <c r="U3311" s="5" t="str">
        <f>IFERROR(__xludf.DUMMYFUNCTION("""COMPUTED_VALUE"""),"Marc Forster")</f>
        <v>Marc Forster</v>
      </c>
      <c r="V3311" s="5" t="s">
        <v>8989</v>
      </c>
      <c r="W3311" s="5" t="str">
        <f t="shared" si="3"/>
        <v>Picky Talarico</v>
      </c>
      <c r="X3311" s="5">
        <f t="shared" si="4"/>
        <v>1</v>
      </c>
      <c r="Y3311" s="5" t="str">
        <f>IFERROR(__xludf.DUMMYFUNCTION("REGEXEXTRACT(J3311, ""^\d+"")"),"85")</f>
        <v>85</v>
      </c>
      <c r="Z3311" s="5" t="str">
        <f>IFERROR(__xludf.DUMMYFUNCTION("REGEXEXTRACT(J3311, ""[A-Za-z ]+$"")")," min")</f>
        <v> min</v>
      </c>
      <c r="AA3311" s="5" t="str">
        <f>IFERROR(__xludf.DUMMYFUNCTION("IF(REGEXMATCH(Z3311, ""Season""), ""TV Show"", ""Movie"")"),"Movie")</f>
        <v>Movie</v>
      </c>
    </row>
    <row r="3312">
      <c r="A3312" s="1" t="s">
        <v>18250</v>
      </c>
      <c r="B3312" s="1" t="s">
        <v>37</v>
      </c>
      <c r="C3312" s="1" t="s">
        <v>18251</v>
      </c>
      <c r="E3312" s="1" t="s">
        <v>18252</v>
      </c>
      <c r="F3312" s="1" t="s">
        <v>96</v>
      </c>
      <c r="G3312" s="1" t="s">
        <v>18253</v>
      </c>
      <c r="H3312" s="1">
        <v>2016.0</v>
      </c>
      <c r="I3312" s="1" t="s">
        <v>136</v>
      </c>
      <c r="J3312" s="1" t="s">
        <v>276</v>
      </c>
      <c r="K3312" s="1" t="s">
        <v>277</v>
      </c>
      <c r="L3312" s="1" t="s">
        <v>18254</v>
      </c>
      <c r="M3312" s="2" t="s">
        <v>12</v>
      </c>
      <c r="N3312" s="4">
        <f t="shared" si="1"/>
        <v>43773</v>
      </c>
      <c r="O3312" s="5" t="str">
        <f>IFERROR(__xludf.DUMMYFUNCTION("IF(REGEXMATCH(TRIM(I3312), ""^\d+\s*min""), ""Unclassified"", IF(I3312 = """", ""NR"", I3312))"),"TV-PG")</f>
        <v>TV-PG</v>
      </c>
      <c r="R3312" s="5" t="str">
        <f t="shared" si="2"/>
        <v>Meet The Adebanjos</v>
      </c>
      <c r="S3312" s="5" t="str">
        <f>IFERROR(__xludf.DUMMYFUNCTION("""COMPUTED_VALUE"""),"Id-0")</f>
        <v>Id-0</v>
      </c>
      <c r="U3312" s="5" t="str">
        <f>IFERROR(__xludf.DUMMYFUNCTION("""COMPUTED_VALUE"""),"Mohsin Ali")</f>
        <v>Mohsin Ali</v>
      </c>
      <c r="V3312" s="5" t="s">
        <v>18255</v>
      </c>
      <c r="W3312" s="5" t="str">
        <f t="shared" si="3"/>
        <v>Pierfrancesco Diliberto</v>
      </c>
      <c r="X3312" s="5">
        <f t="shared" si="4"/>
        <v>1</v>
      </c>
      <c r="Y3312" s="5" t="str">
        <f>IFERROR(__xludf.DUMMYFUNCTION("REGEXEXTRACT(J3312, ""^\d+"")"),"3")</f>
        <v>3</v>
      </c>
      <c r="Z3312" s="5" t="str">
        <f>IFERROR(__xludf.DUMMYFUNCTION("REGEXEXTRACT(J3312, ""[A-Za-z ]+$"")")," Seasons")</f>
        <v> Seasons</v>
      </c>
      <c r="AA3312" s="5" t="str">
        <f>IFERROR(__xludf.DUMMYFUNCTION("IF(REGEXMATCH(Z3312, ""Season""), ""TV Show"", ""Movie"")"),"TV Show")</f>
        <v>TV Show</v>
      </c>
    </row>
    <row r="3313">
      <c r="A3313" s="1" t="s">
        <v>18256</v>
      </c>
      <c r="B3313" s="1" t="s">
        <v>27</v>
      </c>
      <c r="C3313" s="1" t="s">
        <v>18257</v>
      </c>
      <c r="D3313" s="1" t="s">
        <v>15218</v>
      </c>
      <c r="E3313" s="1" t="s">
        <v>18258</v>
      </c>
      <c r="F3313" s="1" t="s">
        <v>30</v>
      </c>
      <c r="G3313" s="1" t="s">
        <v>18253</v>
      </c>
      <c r="H3313" s="1">
        <v>2016.0</v>
      </c>
      <c r="I3313" s="1" t="s">
        <v>97</v>
      </c>
      <c r="J3313" s="1" t="s">
        <v>1737</v>
      </c>
      <c r="K3313" s="1" t="s">
        <v>34</v>
      </c>
      <c r="L3313" s="1" t="s">
        <v>18259</v>
      </c>
      <c r="M3313" s="2" t="s">
        <v>12</v>
      </c>
      <c r="N3313" s="4">
        <f t="shared" si="1"/>
        <v>43773</v>
      </c>
      <c r="O3313" s="5" t="str">
        <f>IFERROR(__xludf.DUMMYFUNCTION("IF(REGEXMATCH(TRIM(I3313), ""^\d+\s*min""), ""Unclassified"", IF(I3313 = """", ""NR"", I3313))"),"TV-14")</f>
        <v>TV-14</v>
      </c>
      <c r="R3313" s="5" t="str">
        <f t="shared" si="2"/>
        <v>Minimalism: A Documentary About The Important Things</v>
      </c>
      <c r="S3313" s="5" t="str">
        <f>IFERROR(__xludf.DUMMYFUNCTION("""COMPUTED_VALUE"""),"Ideachi Kalpana")</f>
        <v>Ideachi Kalpana</v>
      </c>
      <c r="U3313" s="5" t="str">
        <f>IFERROR(__xludf.DUMMYFUNCTION("""COMPUTED_VALUE"""),"Fernando Meirelles, Katia Lund")</f>
        <v>Fernando Meirelles, Katia Lund</v>
      </c>
      <c r="V3313" s="5" t="s">
        <v>18260</v>
      </c>
      <c r="W3313" s="5" t="str">
        <f t="shared" si="3"/>
        <v>Pierre Coré</v>
      </c>
      <c r="X3313" s="5">
        <f t="shared" si="4"/>
        <v>1</v>
      </c>
      <c r="Y3313" s="5" t="str">
        <f>IFERROR(__xludf.DUMMYFUNCTION("REGEXEXTRACT(J3313, ""^\d+"")"),"78")</f>
        <v>78</v>
      </c>
      <c r="Z3313" s="5" t="str">
        <f>IFERROR(__xludf.DUMMYFUNCTION("REGEXEXTRACT(J3313, ""[A-Za-z ]+$"")")," min")</f>
        <v> min</v>
      </c>
      <c r="AA3313" s="5" t="str">
        <f>IFERROR(__xludf.DUMMYFUNCTION("IF(REGEXMATCH(Z3313, ""Season""), ""TV Show"", ""Movie"")"),"Movie")</f>
        <v>Movie</v>
      </c>
    </row>
    <row r="3314">
      <c r="A3314" s="1" t="s">
        <v>18261</v>
      </c>
      <c r="B3314" s="1" t="s">
        <v>27</v>
      </c>
      <c r="C3314" s="1" t="s">
        <v>18262</v>
      </c>
      <c r="D3314" s="1" t="s">
        <v>17590</v>
      </c>
      <c r="E3314" s="1" t="s">
        <v>17590</v>
      </c>
      <c r="F3314" s="1" t="s">
        <v>63</v>
      </c>
      <c r="G3314" s="1" t="s">
        <v>18253</v>
      </c>
      <c r="H3314" s="1">
        <v>2019.0</v>
      </c>
      <c r="I3314" s="1" t="s">
        <v>42</v>
      </c>
      <c r="J3314" s="1" t="s">
        <v>238</v>
      </c>
      <c r="K3314" s="1" t="s">
        <v>298</v>
      </c>
      <c r="L3314" s="1" t="s">
        <v>18263</v>
      </c>
      <c r="M3314" s="2" t="s">
        <v>12</v>
      </c>
      <c r="N3314" s="4">
        <f t="shared" si="1"/>
        <v>43773</v>
      </c>
      <c r="O3314" s="5" t="str">
        <f>IFERROR(__xludf.DUMMYFUNCTION("IF(REGEXMATCH(TRIM(I3314), ""^\d+\s*min""), ""Unclassified"", IF(I3314 = """", ""NR"", I3314))"),"TV-MA")</f>
        <v>TV-MA</v>
      </c>
      <c r="R3314" s="5" t="str">
        <f t="shared" si="2"/>
        <v>Oththa Seruppu Size 7</v>
      </c>
      <c r="S3314" s="5" t="str">
        <f>IFERROR(__xludf.DUMMYFUNCTION("""COMPUTED_VALUE"""),"Idiotest")</f>
        <v>Idiotest</v>
      </c>
      <c r="U3314" s="5" t="str">
        <f>IFERROR(__xludf.DUMMYFUNCTION("""COMPUTED_VALUE"""),"Pete Travis")</f>
        <v>Pete Travis</v>
      </c>
      <c r="V3314" s="5" t="s">
        <v>15682</v>
      </c>
      <c r="W3314" s="5" t="str">
        <f t="shared" si="3"/>
        <v>Pierre Deschamps</v>
      </c>
      <c r="X3314" s="5">
        <f t="shared" si="4"/>
        <v>1</v>
      </c>
      <c r="Y3314" s="5" t="str">
        <f>IFERROR(__xludf.DUMMYFUNCTION("REGEXEXTRACT(J3314, ""^\d+"")"),"103")</f>
        <v>103</v>
      </c>
      <c r="Z3314" s="5" t="str">
        <f>IFERROR(__xludf.DUMMYFUNCTION("REGEXEXTRACT(J3314, ""[A-Za-z ]+$"")")," min")</f>
        <v> min</v>
      </c>
      <c r="AA3314" s="5" t="str">
        <f>IFERROR(__xludf.DUMMYFUNCTION("IF(REGEXMATCH(Z3314, ""Season""), ""TV Show"", ""Movie"")"),"Movie")</f>
        <v>Movie</v>
      </c>
    </row>
    <row r="3315">
      <c r="A3315" s="1" t="s">
        <v>18264</v>
      </c>
      <c r="B3315" s="1" t="s">
        <v>37</v>
      </c>
      <c r="C3315" s="1" t="s">
        <v>18265</v>
      </c>
      <c r="F3315" s="1" t="s">
        <v>30</v>
      </c>
      <c r="G3315" s="1" t="s">
        <v>18253</v>
      </c>
      <c r="H3315" s="1">
        <v>2019.0</v>
      </c>
      <c r="I3315" s="1" t="s">
        <v>42</v>
      </c>
      <c r="J3315" s="1" t="s">
        <v>51</v>
      </c>
      <c r="K3315" s="1" t="s">
        <v>2043</v>
      </c>
      <c r="L3315" s="1" t="s">
        <v>18266</v>
      </c>
      <c r="M3315" s="2" t="s">
        <v>12</v>
      </c>
      <c r="N3315" s="4">
        <f t="shared" si="1"/>
        <v>43773</v>
      </c>
      <c r="O3315" s="5" t="str">
        <f>IFERROR(__xludf.DUMMYFUNCTION("IF(REGEXMATCH(TRIM(I3315), ""^\d+\s*min""), ""Unclassified"", IF(I3315 = """", ""NR"", I3315))"),"TV-MA")</f>
        <v>TV-MA</v>
      </c>
      <c r="R3315" s="5" t="str">
        <f t="shared" si="2"/>
        <v>The Devil Next Door</v>
      </c>
      <c r="S3315" s="5" t="str">
        <f>IFERROR(__xludf.DUMMYFUNCTION("""COMPUTED_VALUE"""),"If Anything Happens I Love You")</f>
        <v>If Anything Happens I Love You</v>
      </c>
      <c r="U3315" s="5" t="str">
        <f>IFERROR(__xludf.DUMMYFUNCTION("""COMPUTED_VALUE"""),"Nick Mead")</f>
        <v>Nick Mead</v>
      </c>
      <c r="V3315" s="5" t="s">
        <v>5726</v>
      </c>
      <c r="W3315" s="5" t="str">
        <f t="shared" si="3"/>
        <v>Pierre Greco, Nancy Florence Savard</v>
      </c>
      <c r="X3315" s="5">
        <f t="shared" si="4"/>
        <v>1</v>
      </c>
      <c r="Y3315" s="5" t="str">
        <f>IFERROR(__xludf.DUMMYFUNCTION("REGEXEXTRACT(J3315, ""^\d+"")"),"1")</f>
        <v>1</v>
      </c>
      <c r="Z3315" s="5" t="str">
        <f>IFERROR(__xludf.DUMMYFUNCTION("REGEXEXTRACT(J3315, ""[A-Za-z ]+$"")")," Season")</f>
        <v> Season</v>
      </c>
      <c r="AA3315" s="5" t="str">
        <f>IFERROR(__xludf.DUMMYFUNCTION("IF(REGEXMATCH(Z3315, ""Season""), ""TV Show"", ""Movie"")"),"TV Show")</f>
        <v>TV Show</v>
      </c>
    </row>
    <row r="3316">
      <c r="A3316" s="1" t="s">
        <v>18267</v>
      </c>
      <c r="B3316" s="1" t="s">
        <v>27</v>
      </c>
      <c r="C3316" s="1" t="s">
        <v>18268</v>
      </c>
      <c r="E3316" s="1" t="s">
        <v>18269</v>
      </c>
      <c r="F3316" s="1" t="s">
        <v>30</v>
      </c>
      <c r="G3316" s="1" t="s">
        <v>18270</v>
      </c>
      <c r="H3316" s="1">
        <v>2014.0</v>
      </c>
      <c r="I3316" s="1" t="s">
        <v>206</v>
      </c>
      <c r="J3316" s="1" t="s">
        <v>10890</v>
      </c>
      <c r="K3316" s="1" t="s">
        <v>2032</v>
      </c>
      <c r="L3316" s="1" t="s">
        <v>18271</v>
      </c>
      <c r="M3316" s="2" t="s">
        <v>12</v>
      </c>
      <c r="N3316" s="4">
        <f t="shared" si="1"/>
        <v>43771</v>
      </c>
      <c r="O3316" s="5" t="str">
        <f>IFERROR(__xludf.DUMMYFUNCTION("IF(REGEXMATCH(TRIM(I3316), ""^\d+\s*min""), ""Unclassified"", IF(I3316 = """", ""NR"", I3316))"),"TV-Y")</f>
        <v>TV-Y</v>
      </c>
      <c r="R3316" s="5" t="str">
        <f t="shared" si="2"/>
        <v>100 Things To Do Before High School</v>
      </c>
      <c r="S3316" s="5" t="str">
        <f>IFERROR(__xludf.DUMMYFUNCTION("""COMPUTED_VALUE"""),"If I Hadn'T Met You")</f>
        <v>If I Hadn'T Met You</v>
      </c>
      <c r="U3316" s="5" t="str">
        <f>IFERROR(__xludf.DUMMYFUNCTION("""COMPUTED_VALUE"""),"Louis Leterrier")</f>
        <v>Louis Leterrier</v>
      </c>
      <c r="V3316" s="5" t="s">
        <v>9455</v>
      </c>
      <c r="W3316" s="5" t="str">
        <f t="shared" si="3"/>
        <v>Pierre Morel</v>
      </c>
      <c r="X3316" s="5">
        <f t="shared" si="4"/>
        <v>2</v>
      </c>
      <c r="Y3316" s="5" t="str">
        <f>IFERROR(__xludf.DUMMYFUNCTION("REGEXEXTRACT(J3316, ""^\d+"")"),"44")</f>
        <v>44</v>
      </c>
      <c r="Z3316" s="5" t="str">
        <f>IFERROR(__xludf.DUMMYFUNCTION("REGEXEXTRACT(J3316, ""[A-Za-z ]+$"")")," min")</f>
        <v> min</v>
      </c>
      <c r="AA3316" s="5" t="str">
        <f>IFERROR(__xludf.DUMMYFUNCTION("IF(REGEXMATCH(Z3316, ""Season""), ""TV Show"", ""Movie"")"),"Movie")</f>
        <v>Movie</v>
      </c>
    </row>
    <row r="3317">
      <c r="A3317" s="1" t="s">
        <v>18272</v>
      </c>
      <c r="B3317" s="1" t="s">
        <v>27</v>
      </c>
      <c r="C3317" s="1" t="s">
        <v>18273</v>
      </c>
      <c r="D3317" s="1" t="s">
        <v>12353</v>
      </c>
      <c r="E3317" s="1" t="s">
        <v>18274</v>
      </c>
      <c r="F3317" s="1" t="s">
        <v>30</v>
      </c>
      <c r="G3317" s="1" t="s">
        <v>18270</v>
      </c>
      <c r="H3317" s="1">
        <v>2014.0</v>
      </c>
      <c r="I3317" s="1" t="s">
        <v>289</v>
      </c>
      <c r="J3317" s="1" t="s">
        <v>2626</v>
      </c>
      <c r="K3317" s="1" t="s">
        <v>137</v>
      </c>
      <c r="L3317" s="1" t="s">
        <v>18275</v>
      </c>
      <c r="M3317" s="2" t="s">
        <v>12</v>
      </c>
      <c r="N3317" s="4">
        <f t="shared" si="1"/>
        <v>43771</v>
      </c>
      <c r="O3317" s="5" t="str">
        <f>IFERROR(__xludf.DUMMYFUNCTION("IF(REGEXMATCH(TRIM(I3317), ""^\d+\s*min""), ""Unclassified"", IF(I3317 = """", ""NR"", I3317))"),"TV-Y7")</f>
        <v>TV-Y7</v>
      </c>
      <c r="R3317" s="5" t="str">
        <f t="shared" si="2"/>
        <v>A Fairly Odd Summer</v>
      </c>
      <c r="S3317" s="5" t="str">
        <f>IFERROR(__xludf.DUMMYFUNCTION("""COMPUTED_VALUE"""),"If I Leave Here Tomorrow: A Film About Lynyrd Skynyrd")</f>
        <v>If I Leave Here Tomorrow: A Film About Lynyrd Skynyrd</v>
      </c>
      <c r="U3317" s="5" t="str">
        <f>IFERROR(__xludf.DUMMYFUNCTION("""COMPUTED_VALUE"""),"Gregory Hoblit")</f>
        <v>Gregory Hoblit</v>
      </c>
      <c r="V3317" s="5" t="s">
        <v>18276</v>
      </c>
      <c r="W3317" s="5" t="str">
        <f t="shared" si="3"/>
        <v>Pieter Kuijpers</v>
      </c>
      <c r="X3317" s="5">
        <f t="shared" si="4"/>
        <v>1</v>
      </c>
      <c r="Y3317" s="5" t="str">
        <f>IFERROR(__xludf.DUMMYFUNCTION("REGEXEXTRACT(J3317, ""^\d+"")"),"68")</f>
        <v>68</v>
      </c>
      <c r="Z3317" s="5" t="str">
        <f>IFERROR(__xludf.DUMMYFUNCTION("REGEXEXTRACT(J3317, ""[A-Za-z ]+$"")")," min")</f>
        <v> min</v>
      </c>
      <c r="AA3317" s="5" t="str">
        <f>IFERROR(__xludf.DUMMYFUNCTION("IF(REGEXMATCH(Z3317, ""Season""), ""TV Show"", ""Movie"")"),"Movie")</f>
        <v>Movie</v>
      </c>
    </row>
    <row r="3318">
      <c r="A3318" s="1" t="s">
        <v>18277</v>
      </c>
      <c r="B3318" s="1" t="s">
        <v>37</v>
      </c>
      <c r="C3318" s="1" t="s">
        <v>18278</v>
      </c>
      <c r="E3318" s="1" t="s">
        <v>18279</v>
      </c>
      <c r="F3318" s="1" t="s">
        <v>30</v>
      </c>
      <c r="G3318" s="1" t="s">
        <v>18270</v>
      </c>
      <c r="H3318" s="1">
        <v>2015.0</v>
      </c>
      <c r="I3318" s="1" t="s">
        <v>506</v>
      </c>
      <c r="J3318" s="1" t="s">
        <v>51</v>
      </c>
      <c r="K3318" s="1" t="s">
        <v>314</v>
      </c>
      <c r="L3318" s="1" t="s">
        <v>18280</v>
      </c>
      <c r="M3318" s="2" t="s">
        <v>12</v>
      </c>
      <c r="N3318" s="4">
        <f t="shared" si="1"/>
        <v>43771</v>
      </c>
      <c r="O3318" s="5" t="str">
        <f>IFERROR(__xludf.DUMMYFUNCTION("IF(REGEXMATCH(TRIM(I3318), ""^\d+\s*min""), ""Unclassified"", IF(I3318 = """", ""NR"", I3318))"),"TV-G")</f>
        <v>TV-G</v>
      </c>
      <c r="R3318" s="5" t="str">
        <f t="shared" si="2"/>
        <v>Bella And The Bulldogs</v>
      </c>
      <c r="S3318" s="5" t="str">
        <f>IFERROR(__xludf.DUMMYFUNCTION("""COMPUTED_VALUE"""),"If I Were An Animal")</f>
        <v>If I Were An Animal</v>
      </c>
      <c r="U3318" s="5" t="str">
        <f>IFERROR(__xludf.DUMMYFUNCTION("""COMPUTED_VALUE"""),"Eric Stoltz")</f>
        <v>Eric Stoltz</v>
      </c>
      <c r="V3318" s="5" t="s">
        <v>18281</v>
      </c>
      <c r="W3318" s="5" t="str">
        <f t="shared" si="3"/>
        <v>Pieter-Jan De Pue</v>
      </c>
      <c r="X3318" s="5">
        <f t="shared" si="4"/>
        <v>1</v>
      </c>
      <c r="Y3318" s="5" t="str">
        <f>IFERROR(__xludf.DUMMYFUNCTION("REGEXEXTRACT(J3318, ""^\d+"")"),"1")</f>
        <v>1</v>
      </c>
      <c r="Z3318" s="5" t="str">
        <f>IFERROR(__xludf.DUMMYFUNCTION("REGEXEXTRACT(J3318, ""[A-Za-z ]+$"")")," Season")</f>
        <v> Season</v>
      </c>
      <c r="AA3318" s="5" t="str">
        <f>IFERROR(__xludf.DUMMYFUNCTION("IF(REGEXMATCH(Z3318, ""Season""), ""TV Show"", ""Movie"")"),"TV Show")</f>
        <v>TV Show</v>
      </c>
    </row>
    <row r="3319">
      <c r="A3319" s="1" t="s">
        <v>18282</v>
      </c>
      <c r="B3319" s="1" t="s">
        <v>27</v>
      </c>
      <c r="C3319" s="1" t="s">
        <v>18283</v>
      </c>
      <c r="D3319" s="1" t="s">
        <v>12353</v>
      </c>
      <c r="E3319" s="1" t="s">
        <v>18284</v>
      </c>
      <c r="F3319" s="1" t="s">
        <v>897</v>
      </c>
      <c r="G3319" s="1" t="s">
        <v>18270</v>
      </c>
      <c r="H3319" s="1">
        <v>2012.0</v>
      </c>
      <c r="I3319" s="1" t="s">
        <v>136</v>
      </c>
      <c r="J3319" s="1" t="s">
        <v>2626</v>
      </c>
      <c r="K3319" s="1" t="s">
        <v>1662</v>
      </c>
      <c r="L3319" s="1" t="s">
        <v>18285</v>
      </c>
      <c r="M3319" s="2" t="s">
        <v>12</v>
      </c>
      <c r="N3319" s="4">
        <f t="shared" si="1"/>
        <v>43771</v>
      </c>
      <c r="O3319" s="5" t="str">
        <f>IFERROR(__xludf.DUMMYFUNCTION("IF(REGEXMATCH(TRIM(I3319), ""^\d+\s*min""), ""Unclassified"", IF(I3319 = """", ""NR"", I3319))"),"TV-PG")</f>
        <v>TV-PG</v>
      </c>
      <c r="R3319" s="5" t="str">
        <f t="shared" si="2"/>
        <v>Big Time Movie</v>
      </c>
      <c r="S3319" s="5" t="str">
        <f>IFERROR(__xludf.DUMMYFUNCTION("""COMPUTED_VALUE"""),"Igor")</f>
        <v>Igor</v>
      </c>
      <c r="U3319" s="5" t="str">
        <f>IFERROR(__xludf.DUMMYFUNCTION("""COMPUTED_VALUE"""),"Jack Starrett")</f>
        <v>Jack Starrett</v>
      </c>
      <c r="V3319" s="5" t="s">
        <v>11690</v>
      </c>
      <c r="W3319" s="5" t="str">
        <f t="shared" si="3"/>
        <v>Pippa Ehrlich, James Reed</v>
      </c>
      <c r="X3319" s="5">
        <f t="shared" si="4"/>
        <v>1</v>
      </c>
      <c r="Y3319" s="5" t="str">
        <f>IFERROR(__xludf.DUMMYFUNCTION("REGEXEXTRACT(J3319, ""^\d+"")"),"68")</f>
        <v>68</v>
      </c>
      <c r="Z3319" s="5" t="str">
        <f>IFERROR(__xludf.DUMMYFUNCTION("REGEXEXTRACT(J3319, ""[A-Za-z ]+$"")")," min")</f>
        <v> min</v>
      </c>
      <c r="AA3319" s="5" t="str">
        <f>IFERROR(__xludf.DUMMYFUNCTION("IF(REGEXMATCH(Z3319, ""Season""), ""TV Show"", ""Movie"")"),"Movie")</f>
        <v>Movie</v>
      </c>
    </row>
    <row r="3320">
      <c r="A3320" s="1" t="s">
        <v>18286</v>
      </c>
      <c r="B3320" s="1" t="s">
        <v>27</v>
      </c>
      <c r="C3320" s="1" t="s">
        <v>18287</v>
      </c>
      <c r="D3320" s="1" t="s">
        <v>18288</v>
      </c>
      <c r="E3320" s="1" t="s">
        <v>18289</v>
      </c>
      <c r="F3320" s="1" t="s">
        <v>30</v>
      </c>
      <c r="G3320" s="1" t="s">
        <v>18270</v>
      </c>
      <c r="H3320" s="1">
        <v>2017.0</v>
      </c>
      <c r="I3320" s="1" t="s">
        <v>206</v>
      </c>
      <c r="J3320" s="1" t="s">
        <v>1993</v>
      </c>
      <c r="K3320" s="1" t="s">
        <v>80</v>
      </c>
      <c r="L3320" s="1" t="s">
        <v>18290</v>
      </c>
      <c r="M3320" s="2" t="s">
        <v>12</v>
      </c>
      <c r="N3320" s="4">
        <f t="shared" si="1"/>
        <v>43771</v>
      </c>
      <c r="O3320" s="5" t="str">
        <f>IFERROR(__xludf.DUMMYFUNCTION("IF(REGEXMATCH(TRIM(I3320), ""^\d+\s*min""), ""Unclassified"", IF(I3320 = """", ""NR"", I3320))"),"TV-Y")</f>
        <v>TV-Y</v>
      </c>
      <c r="R3320" s="5" t="str">
        <f t="shared" si="2"/>
        <v>Escape From Mr. Lemoncello’S Library</v>
      </c>
      <c r="S3320" s="5" t="str">
        <f>IFERROR(__xludf.DUMMYFUNCTION("""COMPUTED_VALUE"""),"Iii Smoking Barrels")</f>
        <v>Iii Smoking Barrels</v>
      </c>
      <c r="U3320" s="5" t="str">
        <f>IFERROR(__xludf.DUMMYFUNCTION("""COMPUTED_VALUE"""),"Chris Perkel")</f>
        <v>Chris Perkel</v>
      </c>
      <c r="V3320" s="5" t="s">
        <v>18291</v>
      </c>
      <c r="W3320" s="5" t="str">
        <f t="shared" si="3"/>
        <v>Piti Jaturaphat</v>
      </c>
      <c r="X3320" s="5">
        <f t="shared" si="4"/>
        <v>1</v>
      </c>
      <c r="Y3320" s="5" t="str">
        <f>IFERROR(__xludf.DUMMYFUNCTION("REGEXEXTRACT(J3320, ""^\d+"")"),"69")</f>
        <v>69</v>
      </c>
      <c r="Z3320" s="5" t="str">
        <f>IFERROR(__xludf.DUMMYFUNCTION("REGEXEXTRACT(J3320, ""[A-Za-z ]+$"")")," min")</f>
        <v> min</v>
      </c>
      <c r="AA3320" s="5" t="str">
        <f>IFERROR(__xludf.DUMMYFUNCTION("IF(REGEXMATCH(Z3320, ""Season""), ""TV Show"", ""Movie"")"),"Movie")</f>
        <v>Movie</v>
      </c>
    </row>
    <row r="3321">
      <c r="A3321" s="1" t="s">
        <v>18292</v>
      </c>
      <c r="B3321" s="1" t="s">
        <v>27</v>
      </c>
      <c r="C3321" s="1" t="s">
        <v>18293</v>
      </c>
      <c r="D3321" s="1" t="s">
        <v>18294</v>
      </c>
      <c r="E3321" s="1" t="s">
        <v>18295</v>
      </c>
      <c r="F3321" s="1" t="s">
        <v>18296</v>
      </c>
      <c r="G3321" s="1" t="s">
        <v>18270</v>
      </c>
      <c r="H3321" s="1">
        <v>2017.0</v>
      </c>
      <c r="I3321" s="1" t="s">
        <v>136</v>
      </c>
      <c r="J3321" s="1" t="s">
        <v>2452</v>
      </c>
      <c r="K3321" s="1" t="s">
        <v>137</v>
      </c>
      <c r="L3321" s="1" t="s">
        <v>18297</v>
      </c>
      <c r="M3321" s="2" t="s">
        <v>12</v>
      </c>
      <c r="N3321" s="4">
        <f t="shared" si="1"/>
        <v>43771</v>
      </c>
      <c r="O3321" s="5" t="str">
        <f>IFERROR(__xludf.DUMMYFUNCTION("IF(REGEXMATCH(TRIM(I3321), ""^\d+\s*min""), ""Unclassified"", IF(I3321 = """", ""NR"", I3321))"),"TV-PG")</f>
        <v>TV-PG</v>
      </c>
      <c r="R3321" s="5" t="str">
        <f t="shared" si="2"/>
        <v>Hey Arnold! The Jungle Movie</v>
      </c>
      <c r="S3321" s="5" t="str">
        <f>IFERROR(__xludf.DUMMYFUNCTION("""COMPUTED_VALUE"""),"Ije: The Journey")</f>
        <v>Ije: The Journey</v>
      </c>
      <c r="U3321" s="5" t="str">
        <f>IFERROR(__xludf.DUMMYFUNCTION("""COMPUTED_VALUE"""),"John Crowley")</f>
        <v>John Crowley</v>
      </c>
      <c r="V3321" s="5" t="s">
        <v>18298</v>
      </c>
      <c r="W3321" s="5" t="str">
        <f t="shared" si="3"/>
        <v>Poj Arnon</v>
      </c>
      <c r="X3321" s="5">
        <f t="shared" si="4"/>
        <v>4</v>
      </c>
      <c r="Y3321" s="5" t="str">
        <f>IFERROR(__xludf.DUMMYFUNCTION("REGEXEXTRACT(J3321, ""^\d+"")"),"81")</f>
        <v>81</v>
      </c>
      <c r="Z3321" s="5" t="str">
        <f>IFERROR(__xludf.DUMMYFUNCTION("REGEXEXTRACT(J3321, ""[A-Za-z ]+$"")")," min")</f>
        <v> min</v>
      </c>
      <c r="AA3321" s="5" t="str">
        <f>IFERROR(__xludf.DUMMYFUNCTION("IF(REGEXMATCH(Z3321, ""Season""), ""TV Show"", ""Movie"")"),"Movie")</f>
        <v>Movie</v>
      </c>
    </row>
    <row r="3322">
      <c r="A3322" s="1" t="s">
        <v>18299</v>
      </c>
      <c r="B3322" s="1" t="s">
        <v>27</v>
      </c>
      <c r="C3322" s="1" t="s">
        <v>18300</v>
      </c>
      <c r="D3322" s="1" t="s">
        <v>810</v>
      </c>
      <c r="E3322" s="1" t="s">
        <v>18301</v>
      </c>
      <c r="F3322" s="1" t="s">
        <v>897</v>
      </c>
      <c r="G3322" s="1" t="s">
        <v>18270</v>
      </c>
      <c r="H3322" s="1">
        <v>2013.0</v>
      </c>
      <c r="I3322" s="1" t="s">
        <v>206</v>
      </c>
      <c r="J3322" s="1" t="s">
        <v>1993</v>
      </c>
      <c r="K3322" s="1" t="s">
        <v>137</v>
      </c>
      <c r="L3322" s="1" t="s">
        <v>18302</v>
      </c>
      <c r="M3322" s="2" t="s">
        <v>12</v>
      </c>
      <c r="N3322" s="4">
        <f t="shared" si="1"/>
        <v>43771</v>
      </c>
      <c r="O3322" s="5" t="str">
        <f>IFERROR(__xludf.DUMMYFUNCTION("IF(REGEXMATCH(TRIM(I3322), ""^\d+\s*min""), ""Unclassified"", IF(I3322 = """", ""NR"", I3322))"),"TV-Y")</f>
        <v>TV-Y</v>
      </c>
      <c r="R3322" s="5" t="str">
        <f t="shared" si="2"/>
        <v>Jinxed</v>
      </c>
      <c r="S3322" s="5" t="str">
        <f>IFERROR(__xludf.DUMMYFUNCTION("""COMPUTED_VALUE"""),"Iliza Shlesinger: Confirmed Kills")</f>
        <v>Iliza Shlesinger: Confirmed Kills</v>
      </c>
      <c r="U3322" s="5" t="str">
        <f>IFERROR(__xludf.DUMMYFUNCTION("""COMPUTED_VALUE"""),"Lilly Wachowski, Lana Wachowski, Tom Tykwer")</f>
        <v>Lilly Wachowski, Lana Wachowski, Tom Tykwer</v>
      </c>
      <c r="V3322" s="5" t="s">
        <v>18303</v>
      </c>
      <c r="W3322" s="5" t="str">
        <f t="shared" si="3"/>
        <v>Pooja Bhatt</v>
      </c>
      <c r="X3322" s="5">
        <f t="shared" si="4"/>
        <v>1</v>
      </c>
      <c r="Y3322" s="5" t="str">
        <f>IFERROR(__xludf.DUMMYFUNCTION("REGEXEXTRACT(J3322, ""^\d+"")"),"69")</f>
        <v>69</v>
      </c>
      <c r="Z3322" s="5" t="str">
        <f>IFERROR(__xludf.DUMMYFUNCTION("REGEXEXTRACT(J3322, ""[A-Za-z ]+$"")")," min")</f>
        <v> min</v>
      </c>
      <c r="AA3322" s="5" t="str">
        <f>IFERROR(__xludf.DUMMYFUNCTION("IF(REGEXMATCH(Z3322, ""Season""), ""TV Show"", ""Movie"")"),"Movie")</f>
        <v>Movie</v>
      </c>
    </row>
    <row r="3323">
      <c r="A3323" s="1" t="s">
        <v>18304</v>
      </c>
      <c r="B3323" s="1" t="s">
        <v>27</v>
      </c>
      <c r="C3323" s="1" t="s">
        <v>18305</v>
      </c>
      <c r="D3323" s="1" t="s">
        <v>11101</v>
      </c>
      <c r="E3323" s="1" t="s">
        <v>18306</v>
      </c>
      <c r="F3323" s="1" t="s">
        <v>30</v>
      </c>
      <c r="G3323" s="1" t="s">
        <v>18270</v>
      </c>
      <c r="H3323" s="1">
        <v>2016.0</v>
      </c>
      <c r="I3323" s="1" t="s">
        <v>136</v>
      </c>
      <c r="J3323" s="1" t="s">
        <v>2626</v>
      </c>
      <c r="K3323" s="1" t="s">
        <v>80</v>
      </c>
      <c r="L3323" s="1" t="s">
        <v>18307</v>
      </c>
      <c r="M3323" s="2" t="s">
        <v>12</v>
      </c>
      <c r="N3323" s="4">
        <f t="shared" si="1"/>
        <v>43771</v>
      </c>
      <c r="O3323" s="5" t="str">
        <f>IFERROR(__xludf.DUMMYFUNCTION("IF(REGEXMATCH(TRIM(I3323), ""^\d+\s*min""), ""Unclassified"", IF(I3323 = """", ""NR"", I3323))"),"TV-PG")</f>
        <v>TV-PG</v>
      </c>
      <c r="R3323" s="5" t="str">
        <f t="shared" si="2"/>
        <v>Legends Of The Hidden Temple</v>
      </c>
      <c r="S3323" s="5" t="str">
        <f>IFERROR(__xludf.DUMMYFUNCTION("""COMPUTED_VALUE"""),"Iliza Shlesinger: Elder Millennial")</f>
        <v>Iliza Shlesinger: Elder Millennial</v>
      </c>
      <c r="U3323" s="5" t="str">
        <f>IFERROR(__xludf.DUMMYFUNCTION("""COMPUTED_VALUE"""),"Matt Reeves")</f>
        <v>Matt Reeves</v>
      </c>
      <c r="V3323" s="5" t="s">
        <v>4489</v>
      </c>
      <c r="W3323" s="5" t="str">
        <f t="shared" si="3"/>
        <v>Prabhakaran</v>
      </c>
      <c r="X3323" s="5">
        <f t="shared" si="4"/>
        <v>1</v>
      </c>
      <c r="Y3323" s="5" t="str">
        <f>IFERROR(__xludf.DUMMYFUNCTION("REGEXEXTRACT(J3323, ""^\d+"")"),"68")</f>
        <v>68</v>
      </c>
      <c r="Z3323" s="5" t="str">
        <f>IFERROR(__xludf.DUMMYFUNCTION("REGEXEXTRACT(J3323, ""[A-Za-z ]+$"")")," min")</f>
        <v> min</v>
      </c>
      <c r="AA3323" s="5" t="str">
        <f>IFERROR(__xludf.DUMMYFUNCTION("IF(REGEXMATCH(Z3323, ""Season""), ""TV Show"", ""Movie"")"),"Movie")</f>
        <v>Movie</v>
      </c>
    </row>
    <row r="3324">
      <c r="A3324" s="1" t="s">
        <v>18308</v>
      </c>
      <c r="B3324" s="1" t="s">
        <v>27</v>
      </c>
      <c r="C3324" s="1" t="s">
        <v>18309</v>
      </c>
      <c r="D3324" s="1" t="s">
        <v>1876</v>
      </c>
      <c r="E3324" s="1" t="s">
        <v>18310</v>
      </c>
      <c r="F3324" s="1" t="s">
        <v>30</v>
      </c>
      <c r="G3324" s="1" t="s">
        <v>18270</v>
      </c>
      <c r="H3324" s="1">
        <v>2015.0</v>
      </c>
      <c r="I3324" s="1" t="s">
        <v>136</v>
      </c>
      <c r="J3324" s="1" t="s">
        <v>2626</v>
      </c>
      <c r="K3324" s="1" t="s">
        <v>137</v>
      </c>
      <c r="L3324" s="1" t="s">
        <v>18311</v>
      </c>
      <c r="M3324" s="2" t="s">
        <v>12</v>
      </c>
      <c r="N3324" s="4">
        <f t="shared" si="1"/>
        <v>43771</v>
      </c>
      <c r="O3324" s="5" t="str">
        <f>IFERROR(__xludf.DUMMYFUNCTION("IF(REGEXMATCH(TRIM(I3324), ""^\d+\s*min""), ""Unclassified"", IF(I3324 = """", ""NR"", I3324))"),"TV-PG")</f>
        <v>TV-PG</v>
      </c>
      <c r="R3324" s="5" t="str">
        <f t="shared" si="2"/>
        <v>Liar, Liar, Vampire</v>
      </c>
      <c r="S3324" s="5" t="str">
        <f>IFERROR(__xludf.DUMMYFUNCTION("""COMPUTED_VALUE"""),"Iliza Shlesinger: Freezing Hot")</f>
        <v>Iliza Shlesinger: Freezing Hot</v>
      </c>
      <c r="U3324" s="5" t="str">
        <f>IFERROR(__xludf.DUMMYFUNCTION("""COMPUTED_VALUE"""),"Thomas Carter")</f>
        <v>Thomas Carter</v>
      </c>
      <c r="V3324" s="5" t="s">
        <v>18312</v>
      </c>
      <c r="W3324" s="5" t="str">
        <f t="shared" si="3"/>
        <v>Prabhu Deva</v>
      </c>
      <c r="X3324" s="5">
        <f t="shared" si="4"/>
        <v>1</v>
      </c>
      <c r="Y3324" s="5" t="str">
        <f>IFERROR(__xludf.DUMMYFUNCTION("REGEXEXTRACT(J3324, ""^\d+"")"),"68")</f>
        <v>68</v>
      </c>
      <c r="Z3324" s="5" t="str">
        <f>IFERROR(__xludf.DUMMYFUNCTION("REGEXEXTRACT(J3324, ""[A-Za-z ]+$"")")," min")</f>
        <v> min</v>
      </c>
      <c r="AA3324" s="5" t="str">
        <f>IFERROR(__xludf.DUMMYFUNCTION("IF(REGEXMATCH(Z3324, ""Season""), ""TV Show"", ""Movie"")"),"Movie")</f>
        <v>Movie</v>
      </c>
    </row>
    <row r="3325">
      <c r="A3325" s="1" t="s">
        <v>18313</v>
      </c>
      <c r="B3325" s="1" t="s">
        <v>27</v>
      </c>
      <c r="C3325" s="1" t="s">
        <v>18314</v>
      </c>
      <c r="D3325" s="1" t="s">
        <v>7134</v>
      </c>
      <c r="E3325" s="1" t="s">
        <v>18315</v>
      </c>
      <c r="F3325" s="1" t="s">
        <v>897</v>
      </c>
      <c r="G3325" s="1" t="s">
        <v>18270</v>
      </c>
      <c r="H3325" s="1">
        <v>2010.0</v>
      </c>
      <c r="I3325" s="1" t="s">
        <v>206</v>
      </c>
      <c r="J3325" s="1" t="s">
        <v>1144</v>
      </c>
      <c r="K3325" s="1" t="s">
        <v>137</v>
      </c>
      <c r="L3325" s="1" t="s">
        <v>18316</v>
      </c>
      <c r="M3325" s="2" t="s">
        <v>12</v>
      </c>
      <c r="N3325" s="4">
        <f t="shared" si="1"/>
        <v>43771</v>
      </c>
      <c r="O3325" s="5" t="str">
        <f>IFERROR(__xludf.DUMMYFUNCTION("IF(REGEXMATCH(TRIM(I3325), ""^\d+\s*min""), ""Unclassified"", IF(I3325 = """", ""NR"", I3325))"),"TV-Y")</f>
        <v>TV-Y</v>
      </c>
      <c r="R3325" s="5" t="str">
        <f t="shared" si="2"/>
        <v>The Boy Who Cried Werewolf</v>
      </c>
      <c r="S3325" s="5" t="str">
        <f>IFERROR(__xludf.DUMMYFUNCTION("""COMPUTED_VALUE"""),"Iliza Shlesinger: Unveiled")</f>
        <v>Iliza Shlesinger: Unveiled</v>
      </c>
      <c r="U3325" s="5" t="str">
        <f>IFERROR(__xludf.DUMMYFUNCTION("""COMPUTED_VALUE"""),"Vishal Mishra")</f>
        <v>Vishal Mishra</v>
      </c>
      <c r="V3325" s="5" t="s">
        <v>18317</v>
      </c>
      <c r="W3325" s="5" t="str">
        <f t="shared" si="3"/>
        <v>Prabhuraj</v>
      </c>
      <c r="X3325" s="5">
        <f t="shared" si="4"/>
        <v>1</v>
      </c>
      <c r="Y3325" s="5" t="str">
        <f>IFERROR(__xludf.DUMMYFUNCTION("REGEXEXTRACT(J3325, ""^\d+"")"),"86")</f>
        <v>86</v>
      </c>
      <c r="Z3325" s="5" t="str">
        <f>IFERROR(__xludf.DUMMYFUNCTION("REGEXEXTRACT(J3325, ""[A-Za-z ]+$"")")," min")</f>
        <v> min</v>
      </c>
      <c r="AA3325" s="5" t="str">
        <f>IFERROR(__xludf.DUMMYFUNCTION("IF(REGEXMATCH(Z3325, ""Season""), ""TV Show"", ""Movie"")"),"Movie")</f>
        <v>Movie</v>
      </c>
    </row>
    <row r="3326">
      <c r="A3326" s="1" t="s">
        <v>18318</v>
      </c>
      <c r="B3326" s="1" t="s">
        <v>27</v>
      </c>
      <c r="C3326" s="1" t="s">
        <v>18319</v>
      </c>
      <c r="D3326" s="1" t="s">
        <v>18320</v>
      </c>
      <c r="E3326" s="1" t="s">
        <v>18321</v>
      </c>
      <c r="F3326" s="1" t="s">
        <v>30</v>
      </c>
      <c r="G3326" s="1" t="s">
        <v>18270</v>
      </c>
      <c r="H3326" s="1">
        <v>2015.0</v>
      </c>
      <c r="I3326" s="1" t="s">
        <v>206</v>
      </c>
      <c r="J3326" s="1" t="s">
        <v>18322</v>
      </c>
      <c r="K3326" s="1" t="s">
        <v>137</v>
      </c>
      <c r="L3326" s="1" t="s">
        <v>18323</v>
      </c>
      <c r="M3326" s="2" t="s">
        <v>12</v>
      </c>
      <c r="N3326" s="4">
        <f t="shared" si="1"/>
        <v>43771</v>
      </c>
      <c r="O3326" s="5" t="str">
        <f>IFERROR(__xludf.DUMMYFUNCTION("IF(REGEXMATCH(TRIM(I3326), ""^\d+\s*min""), ""Unclassified"", IF(I3326 = """", ""NR"", I3326))"),"TV-Y")</f>
        <v>TV-Y</v>
      </c>
      <c r="R3326" s="5" t="str">
        <f t="shared" si="2"/>
        <v>The Massively Mixed-Up Middle School Mystery</v>
      </c>
      <c r="S3326" s="5" t="str">
        <f>IFERROR(__xludf.DUMMYFUNCTION("""COMPUTED_VALUE"""),"Iliza Shlesinger: War Paint")</f>
        <v>Iliza Shlesinger: War Paint</v>
      </c>
      <c r="U3326" s="5" t="str">
        <f>IFERROR(__xludf.DUMMYFUNCTION("""COMPUTED_VALUE"""),"Saurav Palodhi")</f>
        <v>Saurav Palodhi</v>
      </c>
      <c r="V3326" s="5" t="s">
        <v>18324</v>
      </c>
      <c r="W3326" s="5" t="str">
        <f t="shared" si="3"/>
        <v>Pradeep Verma</v>
      </c>
      <c r="X3326" s="5">
        <f t="shared" si="4"/>
        <v>1</v>
      </c>
      <c r="Y3326" s="5" t="str">
        <f>IFERROR(__xludf.DUMMYFUNCTION("REGEXEXTRACT(J3326, ""^\d+"")"),"40")</f>
        <v>40</v>
      </c>
      <c r="Z3326" s="5" t="str">
        <f>IFERROR(__xludf.DUMMYFUNCTION("REGEXEXTRACT(J3326, ""[A-Za-z ]+$"")")," min")</f>
        <v> min</v>
      </c>
      <c r="AA3326" s="5" t="str">
        <f>IFERROR(__xludf.DUMMYFUNCTION("IF(REGEXMATCH(Z3326, ""Season""), ""TV Show"", ""Movie"")"),"Movie")</f>
        <v>Movie</v>
      </c>
    </row>
    <row r="3327">
      <c r="A3327" s="1" t="s">
        <v>18325</v>
      </c>
      <c r="B3327" s="1" t="s">
        <v>37</v>
      </c>
      <c r="C3327" s="1" t="s">
        <v>18326</v>
      </c>
      <c r="E3327" s="1" t="s">
        <v>18327</v>
      </c>
      <c r="F3327" s="1" t="s">
        <v>30</v>
      </c>
      <c r="G3327" s="1" t="s">
        <v>18270</v>
      </c>
      <c r="H3327" s="1">
        <v>2013.0</v>
      </c>
      <c r="I3327" s="1" t="s">
        <v>506</v>
      </c>
      <c r="J3327" s="1" t="s">
        <v>276</v>
      </c>
      <c r="K3327" s="1" t="s">
        <v>314</v>
      </c>
      <c r="L3327" s="1" t="s">
        <v>18328</v>
      </c>
      <c r="M3327" s="2" t="s">
        <v>12</v>
      </c>
      <c r="N3327" s="4">
        <f t="shared" si="1"/>
        <v>43771</v>
      </c>
      <c r="O3327" s="5" t="str">
        <f>IFERROR(__xludf.DUMMYFUNCTION("IF(REGEXMATCH(TRIM(I3327), ""^\d+\s*min""), ""Unclassified"", IF(I3327 = """", ""NR"", I3327))"),"TV-G")</f>
        <v>TV-G</v>
      </c>
      <c r="R3327" s="5" t="str">
        <f t="shared" si="2"/>
        <v>Victorious</v>
      </c>
      <c r="S3327" s="5" t="str">
        <f>IFERROR(__xludf.DUMMYFUNCTION("""COMPUTED_VALUE"""),"Illang: The Wolf Brigade")</f>
        <v>Illang: The Wolf Brigade</v>
      </c>
      <c r="U3327" s="5" t="str">
        <f>IFERROR(__xludf.DUMMYFUNCTION("""COMPUTED_VALUE"""),"Florian Gallenberger")</f>
        <v>Florian Gallenberger</v>
      </c>
      <c r="V3327" s="5" t="s">
        <v>18329</v>
      </c>
      <c r="W3327" s="5" t="str">
        <f t="shared" si="3"/>
        <v>Pradip Kurbah</v>
      </c>
      <c r="X3327" s="5">
        <f t="shared" si="4"/>
        <v>1</v>
      </c>
      <c r="Y3327" s="5" t="str">
        <f>IFERROR(__xludf.DUMMYFUNCTION("REGEXEXTRACT(J3327, ""^\d+"")"),"3")</f>
        <v>3</v>
      </c>
      <c r="Z3327" s="5" t="str">
        <f>IFERROR(__xludf.DUMMYFUNCTION("REGEXEXTRACT(J3327, ""[A-Za-z ]+$"")")," Seasons")</f>
        <v> Seasons</v>
      </c>
      <c r="AA3327" s="5" t="str">
        <f>IFERROR(__xludf.DUMMYFUNCTION("IF(REGEXMATCH(Z3327, ""Season""), ""TV Show"", ""Movie"")"),"TV Show")</f>
        <v>TV Show</v>
      </c>
    </row>
    <row r="3328">
      <c r="A3328" s="1" t="s">
        <v>18330</v>
      </c>
      <c r="B3328" s="1" t="s">
        <v>27</v>
      </c>
      <c r="C3328" s="1" t="s">
        <v>18331</v>
      </c>
      <c r="D3328" s="1" t="s">
        <v>14744</v>
      </c>
      <c r="E3328" s="1" t="s">
        <v>18332</v>
      </c>
      <c r="F3328" s="1" t="s">
        <v>784</v>
      </c>
      <c r="G3328" s="1" t="s">
        <v>18333</v>
      </c>
      <c r="H3328" s="1">
        <v>2019.0</v>
      </c>
      <c r="I3328" s="1" t="s">
        <v>42</v>
      </c>
      <c r="J3328" s="1" t="s">
        <v>170</v>
      </c>
      <c r="K3328" s="1" t="s">
        <v>199</v>
      </c>
      <c r="L3328" s="1" t="s">
        <v>18334</v>
      </c>
      <c r="M3328" s="2" t="s">
        <v>12</v>
      </c>
      <c r="N3328" s="4">
        <f t="shared" si="1"/>
        <v>43770</v>
      </c>
      <c r="O3328" s="5" t="str">
        <f>IFERROR(__xludf.DUMMYFUNCTION("IF(REGEXMATCH(TRIM(I3328), ""^\d+\s*min""), ""Unclassified"", IF(I3328 = """", ""NR"", I3328))"),"TV-MA")</f>
        <v>TV-MA</v>
      </c>
      <c r="R3328" s="5" t="str">
        <f t="shared" si="2"/>
        <v>A Remarkable Tale</v>
      </c>
      <c r="S3328" s="5" t="str">
        <f>IFERROR(__xludf.DUMMYFUNCTION("""COMPUTED_VALUE"""),"Illegal Woman")</f>
        <v>Illegal Woman</v>
      </c>
      <c r="U3328" s="5" t="str">
        <f>IFERROR(__xludf.DUMMYFUNCTION("""COMPUTED_VALUE"""),"Zack Whedon")</f>
        <v>Zack Whedon</v>
      </c>
      <c r="V3328" s="5" t="s">
        <v>18335</v>
      </c>
      <c r="W3328" s="5" t="str">
        <f t="shared" si="3"/>
        <v>Prakash Balwant Saini</v>
      </c>
      <c r="X3328" s="5">
        <f t="shared" si="4"/>
        <v>1</v>
      </c>
      <c r="Y3328" s="5" t="str">
        <f>IFERROR(__xludf.DUMMYFUNCTION("REGEXEXTRACT(J3328, ""^\d+"")"),"94")</f>
        <v>94</v>
      </c>
      <c r="Z3328" s="5" t="str">
        <f>IFERROR(__xludf.DUMMYFUNCTION("REGEXEXTRACT(J3328, ""[A-Za-z ]+$"")")," min")</f>
        <v> min</v>
      </c>
      <c r="AA3328" s="5" t="str">
        <f>IFERROR(__xludf.DUMMYFUNCTION("IF(REGEXMATCH(Z3328, ""Season""), ""TV Show"", ""Movie"")"),"Movie")</f>
        <v>Movie</v>
      </c>
    </row>
    <row r="3329">
      <c r="A3329" s="1" t="s">
        <v>18336</v>
      </c>
      <c r="B3329" s="1" t="s">
        <v>37</v>
      </c>
      <c r="C3329" s="1" t="s">
        <v>18337</v>
      </c>
      <c r="E3329" s="1" t="s">
        <v>18338</v>
      </c>
      <c r="F3329" s="1" t="s">
        <v>30</v>
      </c>
      <c r="G3329" s="1" t="s">
        <v>18333</v>
      </c>
      <c r="H3329" s="1">
        <v>2015.0</v>
      </c>
      <c r="I3329" s="1" t="s">
        <v>136</v>
      </c>
      <c r="J3329" s="1" t="s">
        <v>51</v>
      </c>
      <c r="K3329" s="1" t="s">
        <v>3350</v>
      </c>
      <c r="L3329" s="1" t="s">
        <v>18339</v>
      </c>
      <c r="M3329" s="2" t="s">
        <v>12</v>
      </c>
      <c r="N3329" s="4">
        <f t="shared" si="1"/>
        <v>43770</v>
      </c>
      <c r="O3329" s="5" t="str">
        <f>IFERROR(__xludf.DUMMYFUNCTION("IF(REGEXMATCH(TRIM(I3329), ""^\d+\s*min""), ""Unclassified"", IF(I3329 = """", ""NR"", I3329))"),"TV-PG")</f>
        <v>TV-PG</v>
      </c>
      <c r="R3329" s="5" t="str">
        <f t="shared" si="2"/>
        <v>A Year In Space</v>
      </c>
      <c r="S3329" s="5" t="str">
        <f>IFERROR(__xludf.DUMMYFUNCTION("""COMPUTED_VALUE"""),"Imagine That")</f>
        <v>Imagine That</v>
      </c>
      <c r="U3329" s="5" t="str">
        <f>IFERROR(__xludf.DUMMYFUNCTION("""COMPUTED_VALUE"""),"Robert Kenner")</f>
        <v>Robert Kenner</v>
      </c>
      <c r="V3329" s="5" t="s">
        <v>8367</v>
      </c>
      <c r="W3329" s="5" t="str">
        <f t="shared" si="3"/>
        <v>Prakash Jha</v>
      </c>
      <c r="X3329" s="5">
        <f t="shared" si="4"/>
        <v>5</v>
      </c>
      <c r="Y3329" s="5" t="str">
        <f>IFERROR(__xludf.DUMMYFUNCTION("REGEXEXTRACT(J3329, ""^\d+"")"),"1")</f>
        <v>1</v>
      </c>
      <c r="Z3329" s="5" t="str">
        <f>IFERROR(__xludf.DUMMYFUNCTION("REGEXEXTRACT(J3329, ""[A-Za-z ]+$"")")," Season")</f>
        <v> Season</v>
      </c>
      <c r="AA3329" s="5" t="str">
        <f>IFERROR(__xludf.DUMMYFUNCTION("IF(REGEXMATCH(Z3329, ""Season""), ""TV Show"", ""Movie"")"),"TV Show")</f>
        <v>TV Show</v>
      </c>
    </row>
    <row r="3330">
      <c r="A3330" s="1" t="s">
        <v>18340</v>
      </c>
      <c r="B3330" s="1" t="s">
        <v>37</v>
      </c>
      <c r="C3330" s="1" t="s">
        <v>18341</v>
      </c>
      <c r="E3330" s="1" t="s">
        <v>18342</v>
      </c>
      <c r="F3330" s="1" t="s">
        <v>664</v>
      </c>
      <c r="G3330" s="1" t="s">
        <v>18333</v>
      </c>
      <c r="H3330" s="1">
        <v>2018.0</v>
      </c>
      <c r="I3330" s="1" t="s">
        <v>42</v>
      </c>
      <c r="J3330" s="1" t="s">
        <v>51</v>
      </c>
      <c r="K3330" s="1" t="s">
        <v>1362</v>
      </c>
      <c r="L3330" s="1" t="s">
        <v>18343</v>
      </c>
      <c r="M3330" s="2" t="s">
        <v>12</v>
      </c>
      <c r="N3330" s="4">
        <f t="shared" si="1"/>
        <v>43770</v>
      </c>
      <c r="O3330" s="5" t="str">
        <f>IFERROR(__xludf.DUMMYFUNCTION("IF(REGEXMATCH(TRIM(I3330), ""^\d+\s*min""), ""Unclassified"", IF(I3330 = """", ""NR"", I3330))"),"TV-MA")</f>
        <v>TV-MA</v>
      </c>
      <c r="R3330" s="5" t="str">
        <f t="shared" si="2"/>
        <v>Ad Vitam</v>
      </c>
      <c r="S3330" s="5" t="str">
        <f>IFERROR(__xludf.DUMMYFUNCTION("""COMPUTED_VALUE"""),"Imago")</f>
        <v>Imago</v>
      </c>
      <c r="U3330" s="5" t="str">
        <f>IFERROR(__xludf.DUMMYFUNCTION("""COMPUTED_VALUE"""),"Craig Goodwill")</f>
        <v>Craig Goodwill</v>
      </c>
      <c r="V3330" s="5" t="s">
        <v>11587</v>
      </c>
      <c r="W3330" s="5" t="str">
        <f t="shared" si="3"/>
        <v>Prakash Kunte</v>
      </c>
      <c r="X3330" s="5">
        <f t="shared" si="4"/>
        <v>1</v>
      </c>
      <c r="Y3330" s="5" t="str">
        <f>IFERROR(__xludf.DUMMYFUNCTION("REGEXEXTRACT(J3330, ""^\d+"")"),"1")</f>
        <v>1</v>
      </c>
      <c r="Z3330" s="5" t="str">
        <f>IFERROR(__xludf.DUMMYFUNCTION("REGEXEXTRACT(J3330, ""[A-Za-z ]+$"")")," Season")</f>
        <v> Season</v>
      </c>
      <c r="AA3330" s="5" t="str">
        <f>IFERROR(__xludf.DUMMYFUNCTION("IF(REGEXMATCH(Z3330, ""Season""), ""TV Show"", ""Movie"")"),"TV Show")</f>
        <v>TV Show</v>
      </c>
    </row>
    <row r="3331">
      <c r="A3331" s="1" t="s">
        <v>18344</v>
      </c>
      <c r="B3331" s="1" t="s">
        <v>27</v>
      </c>
      <c r="C3331" s="1" t="s">
        <v>18345</v>
      </c>
      <c r="D3331" s="1" t="s">
        <v>12753</v>
      </c>
      <c r="E3331" s="1" t="s">
        <v>18346</v>
      </c>
      <c r="F3331" s="1" t="s">
        <v>30</v>
      </c>
      <c r="G3331" s="1" t="s">
        <v>18333</v>
      </c>
      <c r="H3331" s="1">
        <v>2019.0</v>
      </c>
      <c r="I3331" s="1" t="s">
        <v>42</v>
      </c>
      <c r="J3331" s="1" t="s">
        <v>33</v>
      </c>
      <c r="K3331" s="1" t="s">
        <v>805</v>
      </c>
      <c r="L3331" s="1" t="s">
        <v>18347</v>
      </c>
      <c r="M3331" s="2" t="s">
        <v>12</v>
      </c>
      <c r="N3331" s="4">
        <f t="shared" si="1"/>
        <v>43770</v>
      </c>
      <c r="O3331" s="5" t="str">
        <f>IFERROR(__xludf.DUMMYFUNCTION("IF(REGEXMATCH(TRIM(I3331), ""^\d+\s*min""), ""Unclassified"", IF(I3331 = """", ""NR"", I3331))"),"TV-MA")</f>
        <v>TV-MA</v>
      </c>
      <c r="R3331" s="5" t="str">
        <f t="shared" si="2"/>
        <v>American Son</v>
      </c>
      <c r="S3331" s="5" t="str">
        <f>IFERROR(__xludf.DUMMYFUNCTION("""COMPUTED_VALUE"""),"Immigration Nation")</f>
        <v>Immigration Nation</v>
      </c>
      <c r="U3331" s="5" t="str">
        <f>IFERROR(__xludf.DUMMYFUNCTION("""COMPUTED_VALUE"""),"Jesse Adang, Syrine Boulanouar")</f>
        <v>Jesse Adang, Syrine Boulanouar</v>
      </c>
      <c r="V3331" s="5" t="s">
        <v>15333</v>
      </c>
      <c r="W3331" s="5" t="str">
        <f t="shared" si="3"/>
        <v>Prakash Mehra</v>
      </c>
      <c r="X3331" s="5">
        <f t="shared" si="4"/>
        <v>3</v>
      </c>
      <c r="Y3331" s="5" t="str">
        <f>IFERROR(__xludf.DUMMYFUNCTION("REGEXEXTRACT(J3331, ""^\d+"")"),"90")</f>
        <v>90</v>
      </c>
      <c r="Z3331" s="5" t="str">
        <f>IFERROR(__xludf.DUMMYFUNCTION("REGEXEXTRACT(J3331, ""[A-Za-z ]+$"")")," min")</f>
        <v> min</v>
      </c>
      <c r="AA3331" s="5" t="str">
        <f>IFERROR(__xludf.DUMMYFUNCTION("IF(REGEXMATCH(Z3331, ""Season""), ""TV Show"", ""Movie"")"),"Movie")</f>
        <v>Movie</v>
      </c>
    </row>
    <row r="3332">
      <c r="A3332" s="1" t="s">
        <v>18348</v>
      </c>
      <c r="B3332" s="1" t="s">
        <v>37</v>
      </c>
      <c r="C3332" s="1" t="s">
        <v>18349</v>
      </c>
      <c r="E3332" s="1" t="s">
        <v>18350</v>
      </c>
      <c r="F3332" s="1" t="s">
        <v>30</v>
      </c>
      <c r="G3332" s="1" t="s">
        <v>18333</v>
      </c>
      <c r="H3332" s="1">
        <v>2016.0</v>
      </c>
      <c r="I3332" s="1" t="s">
        <v>97</v>
      </c>
      <c r="J3332" s="1" t="s">
        <v>148</v>
      </c>
      <c r="K3332" s="1" t="s">
        <v>16889</v>
      </c>
      <c r="L3332" s="1" t="s">
        <v>18351</v>
      </c>
      <c r="M3332" s="2" t="s">
        <v>12</v>
      </c>
      <c r="N3332" s="4">
        <f t="shared" si="1"/>
        <v>43770</v>
      </c>
      <c r="O3332" s="5" t="str">
        <f>IFERROR(__xludf.DUMMYFUNCTION("IF(REGEXMATCH(TRIM(I3332), ""^\d+\s*min""), ""Unclassified"", IF(I3332 = """", ""NR"", I3332))"),"TV-14")</f>
        <v>TV-14</v>
      </c>
      <c r="R3332" s="5" t="str">
        <f t="shared" si="2"/>
        <v>Billy On The Street</v>
      </c>
      <c r="S3332" s="5" t="str">
        <f>IFERROR(__xludf.DUMMYFUNCTION("""COMPUTED_VALUE"""),"Immoral Tales")</f>
        <v>Immoral Tales</v>
      </c>
      <c r="U3332" s="5" t="str">
        <f>IFERROR(__xludf.DUMMYFUNCTION("""COMPUTED_VALUE"""),"Van M. Pham")</f>
        <v>Van M. Pham</v>
      </c>
      <c r="V3332" s="5" t="s">
        <v>572</v>
      </c>
      <c r="W3332" s="5" t="str">
        <f t="shared" si="3"/>
        <v>Prakash Satam</v>
      </c>
      <c r="X3332" s="5">
        <f t="shared" si="4"/>
        <v>7</v>
      </c>
      <c r="Y3332" s="5" t="str">
        <f>IFERROR(__xludf.DUMMYFUNCTION("REGEXEXTRACT(J3332, ""^\d+"")"),"4")</f>
        <v>4</v>
      </c>
      <c r="Z3332" s="5" t="str">
        <f>IFERROR(__xludf.DUMMYFUNCTION("REGEXEXTRACT(J3332, ""[A-Za-z ]+$"")")," Seasons")</f>
        <v> Seasons</v>
      </c>
      <c r="AA3332" s="5" t="str">
        <f>IFERROR(__xludf.DUMMYFUNCTION("IF(REGEXMATCH(Z3332, ""Season""), ""TV Show"", ""Movie"")"),"TV Show")</f>
        <v>TV Show</v>
      </c>
    </row>
    <row r="3333">
      <c r="A3333" s="1" t="s">
        <v>18352</v>
      </c>
      <c r="B3333" s="1" t="s">
        <v>27</v>
      </c>
      <c r="C3333" s="1" t="s">
        <v>18353</v>
      </c>
      <c r="D3333" s="1" t="s">
        <v>9126</v>
      </c>
      <c r="E3333" s="1" t="s">
        <v>18354</v>
      </c>
      <c r="F3333" s="1" t="s">
        <v>30</v>
      </c>
      <c r="G3333" s="1" t="s">
        <v>18333</v>
      </c>
      <c r="H3333" s="1">
        <v>2017.0</v>
      </c>
      <c r="I3333" s="1" t="s">
        <v>136</v>
      </c>
      <c r="J3333" s="1" t="s">
        <v>1243</v>
      </c>
      <c r="K3333" s="1" t="s">
        <v>805</v>
      </c>
      <c r="L3333" s="1" t="s">
        <v>18355</v>
      </c>
      <c r="M3333" s="2" t="s">
        <v>12</v>
      </c>
      <c r="N3333" s="4">
        <f t="shared" si="1"/>
        <v>43770</v>
      </c>
      <c r="O3333" s="5" t="str">
        <f>IFERROR(__xludf.DUMMYFUNCTION("IF(REGEXMATCH(TRIM(I3333), ""^\d+\s*min""), ""Unclassified"", IF(I3333 = """", ""NR"", I3333))"),"TV-PG")</f>
        <v>TV-PG</v>
      </c>
      <c r="R3333" s="5" t="str">
        <f t="shared" si="2"/>
        <v>Christmas In The Heartland</v>
      </c>
      <c r="S3333" s="5" t="str">
        <f>IFERROR(__xludf.DUMMYFUNCTION("""COMPUTED_VALUE"""),"Immortal Classic")</f>
        <v>Immortal Classic</v>
      </c>
      <c r="U3333" s="5" t="str">
        <f>IFERROR(__xludf.DUMMYFUNCTION("""COMPUTED_VALUE"""),"Gavin Fitzgerald")</f>
        <v>Gavin Fitzgerald</v>
      </c>
      <c r="V3333" s="5" t="s">
        <v>3378</v>
      </c>
      <c r="W3333" s="5" t="str">
        <f t="shared" si="3"/>
        <v>Pramod Pawar</v>
      </c>
      <c r="X3333" s="5">
        <f t="shared" si="4"/>
        <v>1</v>
      </c>
      <c r="Y3333" s="5" t="str">
        <f>IFERROR(__xludf.DUMMYFUNCTION("REGEXEXTRACT(J3333, ""^\d+"")"),"112")</f>
        <v>112</v>
      </c>
      <c r="Z3333" s="5" t="str">
        <f>IFERROR(__xludf.DUMMYFUNCTION("REGEXEXTRACT(J3333, ""[A-Za-z ]+$"")")," min")</f>
        <v> min</v>
      </c>
      <c r="AA3333" s="5" t="str">
        <f>IFERROR(__xludf.DUMMYFUNCTION("IF(REGEXMATCH(Z3333, ""Season""), ""TV Show"", ""Movie"")"),"Movie")</f>
        <v>Movie</v>
      </c>
    </row>
    <row r="3334">
      <c r="A3334" s="1" t="s">
        <v>18356</v>
      </c>
      <c r="B3334" s="1" t="s">
        <v>27</v>
      </c>
      <c r="C3334" s="1" t="s">
        <v>18357</v>
      </c>
      <c r="D3334" s="1" t="s">
        <v>9995</v>
      </c>
      <c r="E3334" s="1" t="s">
        <v>18358</v>
      </c>
      <c r="F3334" s="1" t="s">
        <v>96</v>
      </c>
      <c r="G3334" s="1" t="s">
        <v>18333</v>
      </c>
      <c r="H3334" s="1">
        <v>2018.0</v>
      </c>
      <c r="I3334" s="1" t="s">
        <v>42</v>
      </c>
      <c r="J3334" s="1" t="s">
        <v>1091</v>
      </c>
      <c r="K3334" s="1" t="s">
        <v>239</v>
      </c>
      <c r="L3334" s="1" t="s">
        <v>18359</v>
      </c>
      <c r="M3334" s="2" t="s">
        <v>12</v>
      </c>
      <c r="N3334" s="4">
        <f t="shared" si="1"/>
        <v>43770</v>
      </c>
      <c r="O3334" s="5" t="str">
        <f>IFERROR(__xludf.DUMMYFUNCTION("IF(REGEXMATCH(TRIM(I3334), ""^\d+\s*min""), ""Unclassified"", IF(I3334 = """", ""NR"", I3334))"),"TV-MA")</f>
        <v>TV-MA</v>
      </c>
      <c r="R3334" s="5" t="str">
        <f t="shared" si="2"/>
        <v>Christmas Survival</v>
      </c>
      <c r="S3334" s="5" t="str">
        <f>IFERROR(__xludf.DUMMYFUNCTION("""COMPUTED_VALUE"""),"Immortals")</f>
        <v>Immortals</v>
      </c>
      <c r="U3334" s="5" t="str">
        <f>IFERROR(__xludf.DUMMYFUNCTION("""COMPUTED_VALUE"""),"Abdul Aziz Hashad")</f>
        <v>Abdul Aziz Hashad</v>
      </c>
      <c r="V3334" s="5" t="s">
        <v>18360</v>
      </c>
      <c r="W3334" s="5" t="str">
        <f t="shared" si="3"/>
        <v>Prasanth Varma</v>
      </c>
      <c r="X3334" s="5">
        <f t="shared" si="4"/>
        <v>1</v>
      </c>
      <c r="Y3334" s="5" t="str">
        <f>IFERROR(__xludf.DUMMYFUNCTION("REGEXEXTRACT(J3334, ""^\d+"")"),"101")</f>
        <v>101</v>
      </c>
      <c r="Z3334" s="5" t="str">
        <f>IFERROR(__xludf.DUMMYFUNCTION("REGEXEXTRACT(J3334, ""[A-Za-z ]+$"")")," min")</f>
        <v> min</v>
      </c>
      <c r="AA3334" s="5" t="str">
        <f>IFERROR(__xludf.DUMMYFUNCTION("IF(REGEXMATCH(Z3334, ""Season""), ""TV Show"", ""Movie"")"),"Movie")</f>
        <v>Movie</v>
      </c>
    </row>
    <row r="3335">
      <c r="A3335" s="1" t="s">
        <v>18361</v>
      </c>
      <c r="B3335" s="1" t="s">
        <v>37</v>
      </c>
      <c r="C3335" s="1" t="s">
        <v>18362</v>
      </c>
      <c r="E3335" s="1" t="s">
        <v>18363</v>
      </c>
      <c r="F3335" s="1" t="s">
        <v>415</v>
      </c>
      <c r="G3335" s="1" t="s">
        <v>18333</v>
      </c>
      <c r="H3335" s="1">
        <v>2008.0</v>
      </c>
      <c r="I3335" s="1" t="s">
        <v>136</v>
      </c>
      <c r="J3335" s="1" t="s">
        <v>43</v>
      </c>
      <c r="K3335" s="1" t="s">
        <v>16968</v>
      </c>
      <c r="L3335" s="1" t="s">
        <v>18364</v>
      </c>
      <c r="M3335" s="2" t="s">
        <v>12</v>
      </c>
      <c r="N3335" s="4">
        <f t="shared" si="1"/>
        <v>43770</v>
      </c>
      <c r="O3335" s="5" t="str">
        <f>IFERROR(__xludf.DUMMYFUNCTION("IF(REGEXMATCH(TRIM(I3335), ""^\d+\s*min""), ""Unclassified"", IF(I3335 = """", ""NR"", I3335))"),"TV-PG")</f>
        <v>TV-PG</v>
      </c>
      <c r="R3335" s="5" t="str">
        <f t="shared" si="2"/>
        <v>Clannad</v>
      </c>
      <c r="S3335" s="5" t="str">
        <f>IFERROR(__xludf.DUMMYFUNCTION("""COMPUTED_VALUE"""),"Imperfect")</f>
        <v>Imperfect</v>
      </c>
      <c r="U3335" s="5" t="str">
        <f>IFERROR(__xludf.DUMMYFUNCTION("""COMPUTED_VALUE"""),"Stuart Rosenberg")</f>
        <v>Stuart Rosenberg</v>
      </c>
      <c r="V3335" s="5" t="s">
        <v>18365</v>
      </c>
      <c r="W3335" s="5" t="str">
        <f t="shared" si="3"/>
        <v>Prashant Nair</v>
      </c>
      <c r="X3335" s="5">
        <f t="shared" si="4"/>
        <v>1</v>
      </c>
      <c r="Y3335" s="5" t="str">
        <f>IFERROR(__xludf.DUMMYFUNCTION("REGEXEXTRACT(J3335, ""^\d+"")"),"2")</f>
        <v>2</v>
      </c>
      <c r="Z3335" s="5" t="str">
        <f>IFERROR(__xludf.DUMMYFUNCTION("REGEXEXTRACT(J3335, ""[A-Za-z ]+$"")")," Seasons")</f>
        <v> Seasons</v>
      </c>
      <c r="AA3335" s="5" t="str">
        <f>IFERROR(__xludf.DUMMYFUNCTION("IF(REGEXMATCH(Z3335, ""Season""), ""TV Show"", ""Movie"")"),"TV Show")</f>
        <v>TV Show</v>
      </c>
    </row>
    <row r="3336">
      <c r="A3336" s="1" t="s">
        <v>18366</v>
      </c>
      <c r="B3336" s="1" t="s">
        <v>27</v>
      </c>
      <c r="C3336" s="1" t="s">
        <v>18367</v>
      </c>
      <c r="D3336" s="1" t="s">
        <v>15239</v>
      </c>
      <c r="E3336" s="1" t="s">
        <v>18368</v>
      </c>
      <c r="F3336" s="1" t="s">
        <v>63</v>
      </c>
      <c r="G3336" s="1" t="s">
        <v>18333</v>
      </c>
      <c r="H3336" s="1">
        <v>2019.0</v>
      </c>
      <c r="I3336" s="1" t="s">
        <v>97</v>
      </c>
      <c r="J3336" s="1" t="s">
        <v>804</v>
      </c>
      <c r="K3336" s="1" t="s">
        <v>1066</v>
      </c>
      <c r="L3336" s="1" t="s">
        <v>18369</v>
      </c>
      <c r="M3336" s="2" t="s">
        <v>12</v>
      </c>
      <c r="N3336" s="4">
        <f t="shared" si="1"/>
        <v>43770</v>
      </c>
      <c r="O3336" s="5" t="str">
        <f>IFERROR(__xludf.DUMMYFUNCTION("IF(REGEXMATCH(TRIM(I3336), ""^\d+\s*min""), ""Unclassified"", IF(I3336 = """", ""NR"", I3336))"),"TV-14")</f>
        <v>TV-14</v>
      </c>
      <c r="R3336" s="5" t="str">
        <f t="shared" si="2"/>
        <v>Drive</v>
      </c>
      <c r="S3336" s="5" t="str">
        <f>IFERROR(__xludf.DUMMYFUNCTION("""COMPUTED_VALUE"""),"Imperial Dreams")</f>
        <v>Imperial Dreams</v>
      </c>
      <c r="U3336" s="5" t="str">
        <f>IFERROR(__xludf.DUMMYFUNCTION("""COMPUTED_VALUE"""),"Ben Steele")</f>
        <v>Ben Steele</v>
      </c>
      <c r="V3336" s="5" t="s">
        <v>18370</v>
      </c>
      <c r="W3336" s="5" t="str">
        <f t="shared" si="3"/>
        <v>Prasobh Vijayan</v>
      </c>
      <c r="X3336" s="5">
        <f t="shared" si="4"/>
        <v>1</v>
      </c>
      <c r="Y3336" s="5" t="str">
        <f>IFERROR(__xludf.DUMMYFUNCTION("REGEXEXTRACT(J3336, ""^\d+"")"),"119")</f>
        <v>119</v>
      </c>
      <c r="Z3336" s="5" t="str">
        <f>IFERROR(__xludf.DUMMYFUNCTION("REGEXEXTRACT(J3336, ""[A-Za-z ]+$"")")," min")</f>
        <v> min</v>
      </c>
      <c r="AA3336" s="5" t="str">
        <f>IFERROR(__xludf.DUMMYFUNCTION("IF(REGEXMATCH(Z3336, ""Season""), ""TV Show"", ""Movie"")"),"Movie")</f>
        <v>Movie</v>
      </c>
    </row>
    <row r="3337">
      <c r="A3337" s="1" t="s">
        <v>18371</v>
      </c>
      <c r="B3337" s="1" t="s">
        <v>27</v>
      </c>
      <c r="C3337" s="1" t="s">
        <v>18372</v>
      </c>
      <c r="D3337" s="1" t="s">
        <v>6678</v>
      </c>
      <c r="F3337" s="1" t="s">
        <v>30</v>
      </c>
      <c r="G3337" s="1" t="s">
        <v>18333</v>
      </c>
      <c r="H3337" s="1">
        <v>2019.0</v>
      </c>
      <c r="I3337" s="1" t="s">
        <v>42</v>
      </c>
      <c r="J3337" s="1" t="s">
        <v>18322</v>
      </c>
      <c r="K3337" s="1" t="s">
        <v>34</v>
      </c>
      <c r="L3337" s="1" t="s">
        <v>18373</v>
      </c>
      <c r="M3337" s="2" t="s">
        <v>12</v>
      </c>
      <c r="N3337" s="4">
        <f t="shared" si="1"/>
        <v>43770</v>
      </c>
      <c r="O3337" s="5" t="str">
        <f>IFERROR(__xludf.DUMMYFUNCTION("IF(REGEXMATCH(TRIM(I3337), ""^\d+\s*min""), ""Unclassified"", IF(I3337 = """", ""NR"", I3337))"),"TV-MA")</f>
        <v>TV-MA</v>
      </c>
      <c r="R3337" s="5" t="str">
        <f t="shared" si="2"/>
        <v>Fire In Paradise</v>
      </c>
      <c r="S3337" s="5" t="str">
        <f>IFERROR(__xludf.DUMMYFUNCTION("""COMPUTED_VALUE"""),"Imposters")</f>
        <v>Imposters</v>
      </c>
      <c r="U3337" s="5" t="str">
        <f>IFERROR(__xludf.DUMMYFUNCTION("""COMPUTED_VALUE"""),"Henry Selick")</f>
        <v>Henry Selick</v>
      </c>
      <c r="V3337" s="5" t="s">
        <v>7645</v>
      </c>
      <c r="W3337" s="5" t="str">
        <f t="shared" si="3"/>
        <v>Prateek Vats</v>
      </c>
      <c r="X3337" s="5">
        <f t="shared" si="4"/>
        <v>1</v>
      </c>
      <c r="Y3337" s="5" t="str">
        <f>IFERROR(__xludf.DUMMYFUNCTION("REGEXEXTRACT(J3337, ""^\d+"")"),"40")</f>
        <v>40</v>
      </c>
      <c r="Z3337" s="5" t="str">
        <f>IFERROR(__xludf.DUMMYFUNCTION("REGEXEXTRACT(J3337, ""[A-Za-z ]+$"")")," min")</f>
        <v> min</v>
      </c>
      <c r="AA3337" s="5" t="str">
        <f>IFERROR(__xludf.DUMMYFUNCTION("IF(REGEXMATCH(Z3337, ""Season""), ""TV Show"", ""Movie"")"),"Movie")</f>
        <v>Movie</v>
      </c>
    </row>
    <row r="3338">
      <c r="A3338" s="1" t="s">
        <v>18374</v>
      </c>
      <c r="B3338" s="1" t="s">
        <v>37</v>
      </c>
      <c r="C3338" s="1" t="s">
        <v>18375</v>
      </c>
      <c r="E3338" s="1" t="s">
        <v>18376</v>
      </c>
      <c r="F3338" s="1" t="s">
        <v>415</v>
      </c>
      <c r="G3338" s="1" t="s">
        <v>18333</v>
      </c>
      <c r="H3338" s="1">
        <v>2015.0</v>
      </c>
      <c r="I3338" s="1" t="s">
        <v>97</v>
      </c>
      <c r="J3338" s="1" t="s">
        <v>43</v>
      </c>
      <c r="K3338" s="1" t="s">
        <v>1084</v>
      </c>
      <c r="L3338" s="1" t="s">
        <v>18377</v>
      </c>
      <c r="M3338" s="2" t="s">
        <v>12</v>
      </c>
      <c r="N3338" s="4">
        <f t="shared" si="1"/>
        <v>43770</v>
      </c>
      <c r="O3338" s="5" t="str">
        <f>IFERROR(__xludf.DUMMYFUNCTION("IF(REGEXMATCH(TRIM(I3338), ""^\d+\s*min""), ""Unclassified"", IF(I3338 = """", ""NR"", I3338))"),"TV-14")</f>
        <v>TV-14</v>
      </c>
      <c r="R3338" s="5" t="str">
        <f t="shared" si="2"/>
        <v>Haikyu!!</v>
      </c>
      <c r="S3338" s="5" t="str">
        <f>IFERROR(__xludf.DUMMYFUNCTION("""COMPUTED_VALUE"""),"In A Valley Of Violence")</f>
        <v>In A Valley Of Violence</v>
      </c>
      <c r="U3338" s="5" t="str">
        <f>IFERROR(__xludf.DUMMYFUNCTION("""COMPUTED_VALUE"""),"Jason Bourque")</f>
        <v>Jason Bourque</v>
      </c>
      <c r="V3338" s="5" t="s">
        <v>18378</v>
      </c>
      <c r="W3338" s="5" t="str">
        <f t="shared" si="3"/>
        <v>Pratim D. Gupta</v>
      </c>
      <c r="X3338" s="5">
        <f t="shared" si="4"/>
        <v>2</v>
      </c>
      <c r="Y3338" s="5" t="str">
        <f>IFERROR(__xludf.DUMMYFUNCTION("REGEXEXTRACT(J3338, ""^\d+"")"),"2")</f>
        <v>2</v>
      </c>
      <c r="Z3338" s="5" t="str">
        <f>IFERROR(__xludf.DUMMYFUNCTION("REGEXEXTRACT(J3338, ""[A-Za-z ]+$"")")," Seasons")</f>
        <v> Seasons</v>
      </c>
      <c r="AA3338" s="5" t="str">
        <f>IFERROR(__xludf.DUMMYFUNCTION("IF(REGEXMATCH(Z3338, ""Season""), ""TV Show"", ""Movie"")"),"TV Show")</f>
        <v>TV Show</v>
      </c>
    </row>
    <row r="3339">
      <c r="A3339" s="1" t="s">
        <v>18379</v>
      </c>
      <c r="B3339" s="1" t="s">
        <v>27</v>
      </c>
      <c r="C3339" s="1" t="s">
        <v>18380</v>
      </c>
      <c r="D3339" s="1" t="s">
        <v>3476</v>
      </c>
      <c r="E3339" s="1" t="s">
        <v>18381</v>
      </c>
      <c r="F3339" s="1" t="s">
        <v>30</v>
      </c>
      <c r="G3339" s="1" t="s">
        <v>18333</v>
      </c>
      <c r="H3339" s="1">
        <v>2019.0</v>
      </c>
      <c r="I3339" s="1" t="s">
        <v>136</v>
      </c>
      <c r="J3339" s="1" t="s">
        <v>1144</v>
      </c>
      <c r="K3339" s="1" t="s">
        <v>14468</v>
      </c>
      <c r="L3339" s="1" t="s">
        <v>18382</v>
      </c>
      <c r="M3339" s="2" t="s">
        <v>12</v>
      </c>
      <c r="N3339" s="4">
        <f t="shared" si="1"/>
        <v>43770</v>
      </c>
      <c r="O3339" s="5" t="str">
        <f>IFERROR(__xludf.DUMMYFUNCTION("IF(REGEXMATCH(TRIM(I3339), ""^\d+\s*min""), ""Unclassified"", IF(I3339 = """", ""NR"", I3339))"),"TV-PG")</f>
        <v>TV-PG</v>
      </c>
      <c r="R3339" s="5" t="str">
        <f t="shared" si="2"/>
        <v>Holiday In The Wild</v>
      </c>
      <c r="S3339" s="5" t="str">
        <f>IFERROR(__xludf.DUMMYFUNCTION("""COMPUTED_VALUE"""),"In Between")</f>
        <v>In Between</v>
      </c>
      <c r="U3339" s="5" t="str">
        <f>IFERROR(__xludf.DUMMYFUNCTION("""COMPUTED_VALUE"""),"Micah Bickham, Galley Molina")</f>
        <v>Micah Bickham, Galley Molina</v>
      </c>
      <c r="V3339" s="5" t="s">
        <v>5293</v>
      </c>
      <c r="W3339" s="5" t="str">
        <f t="shared" si="3"/>
        <v>Praveen Kandregula</v>
      </c>
      <c r="X3339" s="5">
        <f t="shared" si="4"/>
        <v>1</v>
      </c>
      <c r="Y3339" s="5" t="str">
        <f>IFERROR(__xludf.DUMMYFUNCTION("REGEXEXTRACT(J3339, ""^\d+"")"),"86")</f>
        <v>86</v>
      </c>
      <c r="Z3339" s="5" t="str">
        <f>IFERROR(__xludf.DUMMYFUNCTION("REGEXEXTRACT(J3339, ""[A-Za-z ]+$"")")," min")</f>
        <v> min</v>
      </c>
      <c r="AA3339" s="5" t="str">
        <f>IFERROR(__xludf.DUMMYFUNCTION("IF(REGEXMATCH(Z3339, ""Season""), ""TV Show"", ""Movie"")"),"Movie")</f>
        <v>Movie</v>
      </c>
    </row>
    <row r="3340">
      <c r="A3340" s="1" t="s">
        <v>18383</v>
      </c>
      <c r="B3340" s="1" t="s">
        <v>27</v>
      </c>
      <c r="C3340" s="1" t="s">
        <v>18384</v>
      </c>
      <c r="D3340" s="1" t="s">
        <v>15520</v>
      </c>
      <c r="E3340" s="1" t="s">
        <v>18385</v>
      </c>
      <c r="F3340" s="1" t="s">
        <v>30</v>
      </c>
      <c r="G3340" s="1" t="s">
        <v>18333</v>
      </c>
      <c r="H3340" s="1">
        <v>2018.0</v>
      </c>
      <c r="I3340" s="1" t="s">
        <v>78</v>
      </c>
      <c r="J3340" s="1" t="s">
        <v>665</v>
      </c>
      <c r="K3340" s="1" t="s">
        <v>10074</v>
      </c>
      <c r="L3340" s="1" t="s">
        <v>18386</v>
      </c>
      <c r="M3340" s="2" t="s">
        <v>12</v>
      </c>
      <c r="N3340" s="4">
        <f t="shared" si="1"/>
        <v>43770</v>
      </c>
      <c r="O3340" s="5" t="str">
        <f>IFERROR(__xludf.DUMMYFUNCTION("IF(REGEXMATCH(TRIM(I3340), ""^\d+\s*min""), ""Unclassified"", IF(I3340 = """", ""NR"", I3340))"),"PG")</f>
        <v>PG</v>
      </c>
      <c r="R3340" s="5" t="str">
        <f t="shared" si="2"/>
        <v>Holly Star</v>
      </c>
      <c r="S3340" s="5" t="str">
        <f>IFERROR(__xludf.DUMMYFUNCTION("""COMPUTED_VALUE"""),"In Darkness")</f>
        <v>In Darkness</v>
      </c>
      <c r="U3340" s="5" t="str">
        <f>IFERROR(__xludf.DUMMYFUNCTION("""COMPUTED_VALUE"""),"Kranti Kanade")</f>
        <v>Kranti Kanade</v>
      </c>
      <c r="V3340" s="5" t="s">
        <v>18387</v>
      </c>
      <c r="W3340" s="5" t="str">
        <f t="shared" si="3"/>
        <v>Praveen Nischol</v>
      </c>
      <c r="X3340" s="5">
        <f t="shared" si="4"/>
        <v>1</v>
      </c>
      <c r="Y3340" s="5" t="str">
        <f>IFERROR(__xludf.DUMMYFUNCTION("REGEXEXTRACT(J3340, ""^\d+"")"),"92")</f>
        <v>92</v>
      </c>
      <c r="Z3340" s="5" t="str">
        <f>IFERROR(__xludf.DUMMYFUNCTION("REGEXEXTRACT(J3340, ""[A-Za-z ]+$"")")," min")</f>
        <v> min</v>
      </c>
      <c r="AA3340" s="5" t="str">
        <f>IFERROR(__xludf.DUMMYFUNCTION("IF(REGEXMATCH(Z3340, ""Season""), ""TV Show"", ""Movie"")"),"Movie")</f>
        <v>Movie</v>
      </c>
    </row>
    <row r="3341">
      <c r="A3341" s="1" t="s">
        <v>18388</v>
      </c>
      <c r="B3341" s="1" t="s">
        <v>37</v>
      </c>
      <c r="C3341" s="1" t="s">
        <v>18389</v>
      </c>
      <c r="E3341" s="1" t="s">
        <v>18390</v>
      </c>
      <c r="F3341" s="1" t="s">
        <v>415</v>
      </c>
      <c r="G3341" s="1" t="s">
        <v>18333</v>
      </c>
      <c r="H3341" s="1">
        <v>2014.0</v>
      </c>
      <c r="I3341" s="1" t="s">
        <v>136</v>
      </c>
      <c r="J3341" s="1" t="s">
        <v>43</v>
      </c>
      <c r="K3341" s="1" t="s">
        <v>4890</v>
      </c>
      <c r="L3341" s="1" t="s">
        <v>18391</v>
      </c>
      <c r="M3341" s="2" t="s">
        <v>12</v>
      </c>
      <c r="N3341" s="4">
        <f t="shared" si="1"/>
        <v>43770</v>
      </c>
      <c r="O3341" s="5" t="str">
        <f>IFERROR(__xludf.DUMMYFUNCTION("IF(REGEXMATCH(TRIM(I3341), ""^\d+\s*min""), ""Unclassified"", IF(I3341 = """", ""NR"", I3341))"),"TV-PG")</f>
        <v>TV-PG</v>
      </c>
      <c r="R3341" s="5" t="str">
        <f t="shared" si="2"/>
        <v>Love, Chunibyo &amp; Other Delusions!</v>
      </c>
      <c r="S3341" s="5" t="str">
        <f>IFERROR(__xludf.DUMMYFUNCTION("""COMPUTED_VALUE"""),"In Defense Of A Married Man")</f>
        <v>In Defense Of A Married Man</v>
      </c>
      <c r="U3341" s="5" t="str">
        <f>IFERROR(__xludf.DUMMYFUNCTION("""COMPUTED_VALUE"""),"Ang Lee")</f>
        <v>Ang Lee</v>
      </c>
      <c r="V3341" s="5" t="s">
        <v>18392</v>
      </c>
      <c r="W3341" s="5" t="str">
        <f t="shared" si="3"/>
        <v>Prawal Raman</v>
      </c>
      <c r="X3341" s="5">
        <f t="shared" si="4"/>
        <v>1</v>
      </c>
      <c r="Y3341" s="5" t="str">
        <f>IFERROR(__xludf.DUMMYFUNCTION("REGEXEXTRACT(J3341, ""^\d+"")"),"2")</f>
        <v>2</v>
      </c>
      <c r="Z3341" s="5" t="str">
        <f>IFERROR(__xludf.DUMMYFUNCTION("REGEXEXTRACT(J3341, ""[A-Za-z ]+$"")")," Seasons")</f>
        <v> Seasons</v>
      </c>
      <c r="AA3341" s="5" t="str">
        <f>IFERROR(__xludf.DUMMYFUNCTION("IF(REGEXMATCH(Z3341, ""Season""), ""TV Show"", ""Movie"")"),"TV Show")</f>
        <v>TV Show</v>
      </c>
    </row>
    <row r="3342">
      <c r="A3342" s="1" t="s">
        <v>18393</v>
      </c>
      <c r="B3342" s="1" t="s">
        <v>37</v>
      </c>
      <c r="C3342" s="1" t="s">
        <v>18394</v>
      </c>
      <c r="E3342" s="1" t="s">
        <v>18395</v>
      </c>
      <c r="F3342" s="1" t="s">
        <v>415</v>
      </c>
      <c r="G3342" s="1" t="s">
        <v>18333</v>
      </c>
      <c r="H3342" s="1">
        <v>2010.0</v>
      </c>
      <c r="I3342" s="1" t="s">
        <v>97</v>
      </c>
      <c r="J3342" s="1" t="s">
        <v>51</v>
      </c>
      <c r="K3342" s="1" t="s">
        <v>14538</v>
      </c>
      <c r="L3342" s="1" t="s">
        <v>18396</v>
      </c>
      <c r="M3342" s="2" t="s">
        <v>12</v>
      </c>
      <c r="N3342" s="4">
        <f t="shared" si="1"/>
        <v>43770</v>
      </c>
      <c r="O3342" s="5" t="str">
        <f>IFERROR(__xludf.DUMMYFUNCTION("IF(REGEXMATCH(TRIM(I3342), ""^\d+\s*min""), ""Unclassified"", IF(I3342 = """", ""NR"", I3342))"),"TV-14")</f>
        <v>TV-14</v>
      </c>
      <c r="R3342" s="5" t="str">
        <f t="shared" si="2"/>
        <v>Maid-Sama!</v>
      </c>
      <c r="S3342" s="5" t="str">
        <f>IFERROR(__xludf.DUMMYFUNCTION("""COMPUTED_VALUE"""),"In Family I Trust")</f>
        <v>In Family I Trust</v>
      </c>
      <c r="U3342" s="5" t="str">
        <f>IFERROR(__xludf.DUMMYFUNCTION("""COMPUTED_VALUE"""),"Don Mancini")</f>
        <v>Don Mancini</v>
      </c>
      <c r="V3342" s="5" t="s">
        <v>18397</v>
      </c>
      <c r="W3342" s="5" t="str">
        <f t="shared" si="3"/>
        <v>Prem Soni</v>
      </c>
      <c r="X3342" s="5">
        <f t="shared" si="4"/>
        <v>1</v>
      </c>
      <c r="Y3342" s="5" t="str">
        <f>IFERROR(__xludf.DUMMYFUNCTION("REGEXEXTRACT(J3342, ""^\d+"")"),"1")</f>
        <v>1</v>
      </c>
      <c r="Z3342" s="5" t="str">
        <f>IFERROR(__xludf.DUMMYFUNCTION("REGEXEXTRACT(J3342, ""[A-Za-z ]+$"")")," Season")</f>
        <v> Season</v>
      </c>
      <c r="AA3342" s="5" t="str">
        <f>IFERROR(__xludf.DUMMYFUNCTION("IF(REGEXMATCH(Z3342, ""Season""), ""TV Show"", ""Movie"")"),"TV Show")</f>
        <v>TV Show</v>
      </c>
    </row>
    <row r="3343">
      <c r="A3343" s="1" t="s">
        <v>18398</v>
      </c>
      <c r="B3343" s="1" t="s">
        <v>37</v>
      </c>
      <c r="C3343" s="1" t="s">
        <v>18399</v>
      </c>
      <c r="E3343" s="1" t="s">
        <v>18400</v>
      </c>
      <c r="F3343" s="1" t="s">
        <v>415</v>
      </c>
      <c r="G3343" s="1" t="s">
        <v>18333</v>
      </c>
      <c r="H3343" s="1">
        <v>2016.0</v>
      </c>
      <c r="I3343" s="1" t="s">
        <v>97</v>
      </c>
      <c r="J3343" s="1" t="s">
        <v>43</v>
      </c>
      <c r="K3343" s="1" t="s">
        <v>567</v>
      </c>
      <c r="L3343" s="1" t="s">
        <v>18401</v>
      </c>
      <c r="M3343" s="2" t="s">
        <v>12</v>
      </c>
      <c r="N3343" s="4">
        <f t="shared" si="1"/>
        <v>43770</v>
      </c>
      <c r="O3343" s="5" t="str">
        <f>IFERROR(__xludf.DUMMYFUNCTION("IF(REGEXMATCH(TRIM(I3343), ""^\d+\s*min""), ""Unclassified"", IF(I3343 = """", ""NR"", I3343))"),"TV-14")</f>
        <v>TV-14</v>
      </c>
      <c r="R3343" s="5" t="str">
        <f t="shared" si="2"/>
        <v>Mobile Suit Gundam: Iron-Blooded Orphans</v>
      </c>
      <c r="S3343" s="5" t="str">
        <f>IFERROR(__xludf.DUMMYFUNCTION("""COMPUTED_VALUE"""),"In Family We Trust")</f>
        <v>In Family We Trust</v>
      </c>
      <c r="U3343" s="5" t="str">
        <f>IFERROR(__xludf.DUMMYFUNCTION("""COMPUTED_VALUE"""),"Zachary Heinzerling")</f>
        <v>Zachary Heinzerling</v>
      </c>
      <c r="V3343" s="5" t="s">
        <v>15506</v>
      </c>
      <c r="W3343" s="5" t="str">
        <f t="shared" si="3"/>
        <v>Prentice Penny</v>
      </c>
      <c r="X3343" s="5">
        <f t="shared" si="4"/>
        <v>1</v>
      </c>
      <c r="Y3343" s="5" t="str">
        <f>IFERROR(__xludf.DUMMYFUNCTION("REGEXEXTRACT(J3343, ""^\d+"")"),"2")</f>
        <v>2</v>
      </c>
      <c r="Z3343" s="5" t="str">
        <f>IFERROR(__xludf.DUMMYFUNCTION("REGEXEXTRACT(J3343, ""[A-Za-z ]+$"")")," Seasons")</f>
        <v> Seasons</v>
      </c>
      <c r="AA3343" s="5" t="str">
        <f>IFERROR(__xludf.DUMMYFUNCTION("IF(REGEXMATCH(Z3343, ""Season""), ""TV Show"", ""Movie"")"),"TV Show")</f>
        <v>TV Show</v>
      </c>
    </row>
    <row r="3344">
      <c r="A3344" s="1" t="s">
        <v>18402</v>
      </c>
      <c r="B3344" s="1" t="s">
        <v>37</v>
      </c>
      <c r="C3344" s="1" t="s">
        <v>18403</v>
      </c>
      <c r="E3344" s="1" t="s">
        <v>18404</v>
      </c>
      <c r="F3344" s="1" t="s">
        <v>1846</v>
      </c>
      <c r="G3344" s="1" t="s">
        <v>18333</v>
      </c>
      <c r="H3344" s="1">
        <v>2019.0</v>
      </c>
      <c r="I3344" s="1" t="s">
        <v>97</v>
      </c>
      <c r="J3344" s="1" t="s">
        <v>51</v>
      </c>
      <c r="K3344" s="1" t="s">
        <v>1520</v>
      </c>
      <c r="L3344" s="1" t="s">
        <v>18405</v>
      </c>
      <c r="M3344" s="2" t="s">
        <v>12</v>
      </c>
      <c r="N3344" s="4">
        <f t="shared" si="1"/>
        <v>43770</v>
      </c>
      <c r="O3344" s="5" t="str">
        <f>IFERROR(__xludf.DUMMYFUNCTION("IF(REGEXMATCH(TRIM(I3344), ""^\d+\s*min""), ""Unclassified"", IF(I3344 = """", ""NR"", I3344))"),"TV-14")</f>
        <v>TV-14</v>
      </c>
      <c r="R3344" s="5" t="str">
        <f t="shared" si="2"/>
        <v>Queer Eye: We'Re In Japan!</v>
      </c>
      <c r="S3344" s="5" t="str">
        <f>IFERROR(__xludf.DUMMYFUNCTION("""COMPUTED_VALUE"""),"In Laws")</f>
        <v>In Laws</v>
      </c>
      <c r="U3344" s="5" t="str">
        <f>IFERROR(__xludf.DUMMYFUNCTION("""COMPUTED_VALUE"""),"Chandrakant Kanse")</f>
        <v>Chandrakant Kanse</v>
      </c>
      <c r="V3344" s="5" t="s">
        <v>18406</v>
      </c>
      <c r="W3344" s="5" t="str">
        <f t="shared" si="3"/>
        <v>Preston A. Whitmore Ii</v>
      </c>
      <c r="X3344" s="5">
        <f t="shared" si="4"/>
        <v>1</v>
      </c>
      <c r="Y3344" s="5" t="str">
        <f>IFERROR(__xludf.DUMMYFUNCTION("REGEXEXTRACT(J3344, ""^\d+"")"),"1")</f>
        <v>1</v>
      </c>
      <c r="Z3344" s="5" t="str">
        <f>IFERROR(__xludf.DUMMYFUNCTION("REGEXEXTRACT(J3344, ""[A-Za-z ]+$"")")," Season")</f>
        <v> Season</v>
      </c>
      <c r="AA3344" s="5" t="str">
        <f>IFERROR(__xludf.DUMMYFUNCTION("IF(REGEXMATCH(Z3344, ""Season""), ""TV Show"", ""Movie"")"),"TV Show")</f>
        <v>TV Show</v>
      </c>
    </row>
    <row r="3345">
      <c r="A3345" s="1" t="s">
        <v>18407</v>
      </c>
      <c r="B3345" s="1" t="s">
        <v>27</v>
      </c>
      <c r="C3345" s="1" t="s">
        <v>18408</v>
      </c>
      <c r="D3345" s="1" t="s">
        <v>3501</v>
      </c>
      <c r="E3345" s="1" t="s">
        <v>18409</v>
      </c>
      <c r="F3345" s="1" t="s">
        <v>30</v>
      </c>
      <c r="G3345" s="1" t="s">
        <v>18333</v>
      </c>
      <c r="H3345" s="1">
        <v>2019.0</v>
      </c>
      <c r="I3345" s="1" t="s">
        <v>136</v>
      </c>
      <c r="J3345" s="1" t="s">
        <v>79</v>
      </c>
      <c r="K3345" s="1" t="s">
        <v>10074</v>
      </c>
      <c r="L3345" s="1" t="s">
        <v>18410</v>
      </c>
      <c r="M3345" s="2" t="s">
        <v>12</v>
      </c>
      <c r="N3345" s="4">
        <f t="shared" si="1"/>
        <v>43770</v>
      </c>
      <c r="O3345" s="5" t="str">
        <f>IFERROR(__xludf.DUMMYFUNCTION("IF(REGEXMATCH(TRIM(I3345), ""^\d+\s*min""), ""Unclassified"", IF(I3345 = """", ""NR"", I3345))"),"TV-PG")</f>
        <v>TV-PG</v>
      </c>
      <c r="R3345" s="5" t="str">
        <f t="shared" si="2"/>
        <v>Santa Girl</v>
      </c>
      <c r="S3345" s="5" t="str">
        <f>IFERROR(__xludf.DUMMYFUNCTION("""COMPUTED_VALUE"""),"In Line")</f>
        <v>In Line</v>
      </c>
      <c r="U3345" s="5" t="str">
        <f>IFERROR(__xludf.DUMMYFUNCTION("""COMPUTED_VALUE"""),"Gary David Goldberg")</f>
        <v>Gary David Goldberg</v>
      </c>
      <c r="V3345" s="5" t="s">
        <v>8768</v>
      </c>
      <c r="W3345" s="5" t="str">
        <f t="shared" si="3"/>
        <v>Prime Cruz</v>
      </c>
      <c r="X3345" s="5">
        <f t="shared" si="4"/>
        <v>1</v>
      </c>
      <c r="Y3345" s="5" t="str">
        <f>IFERROR(__xludf.DUMMYFUNCTION("REGEXEXTRACT(J3345, ""^\d+"")"),"91")</f>
        <v>91</v>
      </c>
      <c r="Z3345" s="5" t="str">
        <f>IFERROR(__xludf.DUMMYFUNCTION("REGEXEXTRACT(J3345, ""[A-Za-z ]+$"")")," min")</f>
        <v> min</v>
      </c>
      <c r="AA3345" s="5" t="str">
        <f>IFERROR(__xludf.DUMMYFUNCTION("IF(REGEXMATCH(Z3345, ""Season""), ""TV Show"", ""Movie"")"),"Movie")</f>
        <v>Movie</v>
      </c>
    </row>
    <row r="3346">
      <c r="A3346" s="1" t="s">
        <v>18411</v>
      </c>
      <c r="B3346" s="1" t="s">
        <v>37</v>
      </c>
      <c r="C3346" s="1" t="s">
        <v>18412</v>
      </c>
      <c r="E3346" s="1" t="s">
        <v>18413</v>
      </c>
      <c r="F3346" s="1" t="s">
        <v>30</v>
      </c>
      <c r="G3346" s="1" t="s">
        <v>18333</v>
      </c>
      <c r="H3346" s="1">
        <v>2019.0</v>
      </c>
      <c r="I3346" s="1" t="s">
        <v>42</v>
      </c>
      <c r="J3346" s="1" t="s">
        <v>43</v>
      </c>
      <c r="K3346" s="1" t="s">
        <v>440</v>
      </c>
      <c r="L3346" s="1" t="s">
        <v>18414</v>
      </c>
      <c r="M3346" s="2" t="s">
        <v>12</v>
      </c>
      <c r="N3346" s="4">
        <f t="shared" si="1"/>
        <v>43770</v>
      </c>
      <c r="O3346" s="5" t="str">
        <f>IFERROR(__xludf.DUMMYFUNCTION("IF(REGEXMATCH(TRIM(I3346), ""^\d+\s*min""), ""Unclassified"", IF(I3346 = """", ""NR"", I3346))"),"TV-MA")</f>
        <v>TV-MA</v>
      </c>
      <c r="R3346" s="5" t="str">
        <f t="shared" si="2"/>
        <v>The Boulet Brothers Dragula</v>
      </c>
      <c r="S3346" s="5" t="str">
        <f>IFERROR(__xludf.DUMMYFUNCTION("""COMPUTED_VALUE"""),"In My Country")</f>
        <v>In My Country</v>
      </c>
      <c r="U3346" s="5" t="str">
        <f>IFERROR(__xludf.DUMMYFUNCTION("""COMPUTED_VALUE"""),"Steve Carr")</f>
        <v>Steve Carr</v>
      </c>
      <c r="V3346" s="5" t="s">
        <v>18415</v>
      </c>
      <c r="W3346" s="5" t="str">
        <f t="shared" si="3"/>
        <v>Priyadarshan</v>
      </c>
      <c r="X3346" s="5">
        <f t="shared" si="4"/>
        <v>5</v>
      </c>
      <c r="Y3346" s="5" t="str">
        <f>IFERROR(__xludf.DUMMYFUNCTION("REGEXEXTRACT(J3346, ""^\d+"")"),"2")</f>
        <v>2</v>
      </c>
      <c r="Z3346" s="5" t="str">
        <f>IFERROR(__xludf.DUMMYFUNCTION("REGEXEXTRACT(J3346, ""[A-Za-z ]+$"")")," Seasons")</f>
        <v> Seasons</v>
      </c>
      <c r="AA3346" s="5" t="str">
        <f>IFERROR(__xludf.DUMMYFUNCTION("IF(REGEXMATCH(Z3346, ""Season""), ""TV Show"", ""Movie"")"),"TV Show")</f>
        <v>TV Show</v>
      </c>
    </row>
    <row r="3347">
      <c r="A3347" s="1" t="s">
        <v>18416</v>
      </c>
      <c r="B3347" s="1" t="s">
        <v>37</v>
      </c>
      <c r="C3347" s="1" t="s">
        <v>18417</v>
      </c>
      <c r="E3347" s="1" t="s">
        <v>18418</v>
      </c>
      <c r="F3347" s="1" t="s">
        <v>18419</v>
      </c>
      <c r="G3347" s="1" t="s">
        <v>18333</v>
      </c>
      <c r="H3347" s="1">
        <v>2019.0</v>
      </c>
      <c r="I3347" s="1" t="s">
        <v>289</v>
      </c>
      <c r="J3347" s="1" t="s">
        <v>276</v>
      </c>
      <c r="K3347" s="1" t="s">
        <v>290</v>
      </c>
      <c r="L3347" s="1" t="s">
        <v>18420</v>
      </c>
      <c r="M3347" s="2" t="s">
        <v>12</v>
      </c>
      <c r="N3347" s="4">
        <f t="shared" si="1"/>
        <v>43770</v>
      </c>
      <c r="O3347" s="5" t="str">
        <f>IFERROR(__xludf.DUMMYFUNCTION("IF(REGEXMATCH(TRIM(I3347), ""^\d+\s*min""), ""Unclassified"", IF(I3347 = """", ""NR"", I3347))"),"TV-Y7")</f>
        <v>TV-Y7</v>
      </c>
      <c r="R3347" s="5" t="str">
        <f t="shared" si="2"/>
        <v>The Deep</v>
      </c>
      <c r="S3347" s="5" t="str">
        <f>IFERROR(__xludf.DUMMYFUNCTION("""COMPUTED_VALUE"""),"In Our Mothers' Gardens")</f>
        <v>In Our Mothers' Gardens</v>
      </c>
      <c r="U3347" s="5" t="str">
        <f>IFERROR(__xludf.DUMMYFUNCTION("""COMPUTED_VALUE"""),"Amara Cash")</f>
        <v>Amara Cash</v>
      </c>
      <c r="V3347" s="5" t="s">
        <v>18421</v>
      </c>
      <c r="W3347" s="5" t="str">
        <f t="shared" si="3"/>
        <v>Priyadarshan, Kookie V. Gulati</v>
      </c>
      <c r="X3347" s="5">
        <f t="shared" si="4"/>
        <v>1</v>
      </c>
      <c r="Y3347" s="5" t="str">
        <f>IFERROR(__xludf.DUMMYFUNCTION("REGEXEXTRACT(J3347, ""^\d+"")"),"3")</f>
        <v>3</v>
      </c>
      <c r="Z3347" s="5" t="str">
        <f>IFERROR(__xludf.DUMMYFUNCTION("REGEXEXTRACT(J3347, ""[A-Za-z ]+$"")")," Seasons")</f>
        <v> Seasons</v>
      </c>
      <c r="AA3347" s="5" t="str">
        <f>IFERROR(__xludf.DUMMYFUNCTION("IF(REGEXMATCH(Z3347, ""Season""), ""TV Show"", ""Movie"")"),"TV Show")</f>
        <v>TV Show</v>
      </c>
    </row>
    <row r="3348">
      <c r="A3348" s="1" t="s">
        <v>18422</v>
      </c>
      <c r="B3348" s="1" t="s">
        <v>27</v>
      </c>
      <c r="C3348" s="1" t="s">
        <v>18423</v>
      </c>
      <c r="D3348" s="1" t="s">
        <v>3996</v>
      </c>
      <c r="E3348" s="1" t="s">
        <v>18424</v>
      </c>
      <c r="G3348" s="1" t="s">
        <v>18333</v>
      </c>
      <c r="H3348" s="1">
        <v>2019.0</v>
      </c>
      <c r="I3348" s="1" t="s">
        <v>42</v>
      </c>
      <c r="J3348" s="1" t="s">
        <v>4458</v>
      </c>
      <c r="K3348" s="1" t="s">
        <v>2032</v>
      </c>
      <c r="L3348" s="1" t="s">
        <v>18425</v>
      </c>
      <c r="M3348" s="2" t="s">
        <v>12</v>
      </c>
      <c r="N3348" s="4">
        <f t="shared" si="1"/>
        <v>43770</v>
      </c>
      <c r="O3348" s="5" t="str">
        <f>IFERROR(__xludf.DUMMYFUNCTION("IF(REGEXMATCH(TRIM(I3348), ""^\d+\s*min""), ""Unclassified"", IF(I3348 = """", ""NR"", I3348))"),"TV-MA")</f>
        <v>TV-MA</v>
      </c>
      <c r="R3348" s="5" t="str">
        <f t="shared" si="2"/>
        <v>The House Of Flowers Presents: The Funeral</v>
      </c>
      <c r="S3348" s="5" t="str">
        <f>IFERROR(__xludf.DUMMYFUNCTION("""COMPUTED_VALUE"""),"In Paradox")</f>
        <v>In Paradox</v>
      </c>
      <c r="U3348" s="5" t="str">
        <f>IFERROR(__xludf.DUMMYFUNCTION("""COMPUTED_VALUE"""),"Pablo Parés")</f>
        <v>Pablo Parés</v>
      </c>
      <c r="V3348" s="5" t="s">
        <v>18426</v>
      </c>
      <c r="W3348" s="5" t="str">
        <f t="shared" si="3"/>
        <v>Pulkit</v>
      </c>
      <c r="X3348" s="5">
        <f t="shared" si="4"/>
        <v>1</v>
      </c>
      <c r="Y3348" s="5" t="str">
        <f>IFERROR(__xludf.DUMMYFUNCTION("REGEXEXTRACT(J3348, ""^\d+"")"),"36")</f>
        <v>36</v>
      </c>
      <c r="Z3348" s="5" t="str">
        <f>IFERROR(__xludf.DUMMYFUNCTION("REGEXEXTRACT(J3348, ""[A-Za-z ]+$"")")," min")</f>
        <v> min</v>
      </c>
      <c r="AA3348" s="5" t="str">
        <f>IFERROR(__xludf.DUMMYFUNCTION("IF(REGEXMATCH(Z3348, ""Season""), ""TV Show"", ""Movie"")"),"Movie")</f>
        <v>Movie</v>
      </c>
    </row>
    <row r="3349">
      <c r="A3349" s="1" t="s">
        <v>18427</v>
      </c>
      <c r="B3349" s="1" t="s">
        <v>27</v>
      </c>
      <c r="C3349" s="1" t="s">
        <v>18428</v>
      </c>
      <c r="D3349" s="1" t="s">
        <v>6045</v>
      </c>
      <c r="E3349" s="1" t="s">
        <v>18429</v>
      </c>
      <c r="F3349" s="1" t="s">
        <v>18430</v>
      </c>
      <c r="G3349" s="1" t="s">
        <v>18333</v>
      </c>
      <c r="H3349" s="1">
        <v>2019.0</v>
      </c>
      <c r="I3349" s="1" t="s">
        <v>378</v>
      </c>
      <c r="J3349" s="1" t="s">
        <v>2274</v>
      </c>
      <c r="K3349" s="1" t="s">
        <v>805</v>
      </c>
      <c r="L3349" s="1" t="s">
        <v>18431</v>
      </c>
      <c r="M3349" s="2" t="s">
        <v>12</v>
      </c>
      <c r="N3349" s="4">
        <f t="shared" si="1"/>
        <v>43770</v>
      </c>
      <c r="O3349" s="5" t="str">
        <f>IFERROR(__xludf.DUMMYFUNCTION("IF(REGEXMATCH(TRIM(I3349), ""^\d+\s*min""), ""Unclassified"", IF(I3349 = """", ""NR"", I3349))"),"R")</f>
        <v>R</v>
      </c>
      <c r="R3349" s="5" t="str">
        <f t="shared" si="2"/>
        <v>The King</v>
      </c>
      <c r="S3349" s="5" t="str">
        <f>IFERROR(__xludf.DUMMYFUNCTION("""COMPUTED_VALUE"""),"In Search Of Fellini")</f>
        <v>In Search Of Fellini</v>
      </c>
      <c r="U3349" s="5" t="str">
        <f>IFERROR(__xludf.DUMMYFUNCTION("""COMPUTED_VALUE"""),"Johnson Esthappan")</f>
        <v>Johnson Esthappan</v>
      </c>
      <c r="V3349" s="5" t="s">
        <v>10796</v>
      </c>
      <c r="W3349" s="5" t="str">
        <f t="shared" si="3"/>
        <v>Puneet Khanna</v>
      </c>
      <c r="X3349" s="5">
        <f t="shared" si="4"/>
        <v>1</v>
      </c>
      <c r="Y3349" s="5" t="str">
        <f>IFERROR(__xludf.DUMMYFUNCTION("REGEXEXTRACT(J3349, ""^\d+"")"),"141")</f>
        <v>141</v>
      </c>
      <c r="Z3349" s="5" t="str">
        <f>IFERROR(__xludf.DUMMYFUNCTION("REGEXEXTRACT(J3349, ""[A-Za-z ]+$"")")," min")</f>
        <v> min</v>
      </c>
      <c r="AA3349" s="5" t="str">
        <f>IFERROR(__xludf.DUMMYFUNCTION("IF(REGEXMATCH(Z3349, ""Season""), ""TV Show"", ""Movie"")"),"Movie")</f>
        <v>Movie</v>
      </c>
    </row>
    <row r="3350">
      <c r="A3350" s="1" t="s">
        <v>18432</v>
      </c>
      <c r="B3350" s="1" t="s">
        <v>27</v>
      </c>
      <c r="C3350" s="1" t="s">
        <v>18433</v>
      </c>
      <c r="D3350" s="1" t="s">
        <v>14597</v>
      </c>
      <c r="E3350" s="1" t="s">
        <v>18434</v>
      </c>
      <c r="F3350" s="1" t="s">
        <v>18435</v>
      </c>
      <c r="G3350" s="1" t="s">
        <v>18333</v>
      </c>
      <c r="H3350" s="1">
        <v>2019.0</v>
      </c>
      <c r="I3350" s="1" t="s">
        <v>42</v>
      </c>
      <c r="J3350" s="1" t="s">
        <v>1256</v>
      </c>
      <c r="K3350" s="1" t="s">
        <v>128</v>
      </c>
      <c r="L3350" s="1" t="s">
        <v>18436</v>
      </c>
      <c r="M3350" s="2" t="s">
        <v>12</v>
      </c>
      <c r="N3350" s="4">
        <f t="shared" si="1"/>
        <v>43770</v>
      </c>
      <c r="O3350" s="5" t="str">
        <f>IFERROR(__xludf.DUMMYFUNCTION("IF(REGEXMATCH(TRIM(I3350), ""^\d+\s*min""), ""Unclassified"", IF(I3350 = """", ""NR"", I3350))"),"TV-MA")</f>
        <v>TV-MA</v>
      </c>
      <c r="R3350" s="5" t="str">
        <f t="shared" si="2"/>
        <v>The Man Without Gravity</v>
      </c>
      <c r="S3350" s="5" t="str">
        <f>IFERROR(__xludf.DUMMYFUNCTION("""COMPUTED_VALUE"""),"In The Bosom Of A Thorn")</f>
        <v>In The Bosom Of A Thorn</v>
      </c>
      <c r="U3350" s="5" t="str">
        <f>IFERROR(__xludf.DUMMYFUNCTION("""COMPUTED_VALUE"""),"Raj Amit Kumar")</f>
        <v>Raj Amit Kumar</v>
      </c>
      <c r="V3350" s="5" t="s">
        <v>18437</v>
      </c>
      <c r="W3350" s="5" t="str">
        <f t="shared" si="3"/>
        <v>Puneet Sira</v>
      </c>
      <c r="X3350" s="5">
        <f t="shared" si="4"/>
        <v>1</v>
      </c>
      <c r="Y3350" s="5" t="str">
        <f>IFERROR(__xludf.DUMMYFUNCTION("REGEXEXTRACT(J3350, ""^\d+"")"),"107")</f>
        <v>107</v>
      </c>
      <c r="Z3350" s="5" t="str">
        <f>IFERROR(__xludf.DUMMYFUNCTION("REGEXEXTRACT(J3350, ""[A-Za-z ]+$"")")," min")</f>
        <v> min</v>
      </c>
      <c r="AA3350" s="5" t="str">
        <f>IFERROR(__xludf.DUMMYFUNCTION("IF(REGEXMATCH(Z3350, ""Season""), ""TV Show"", ""Movie"")"),"Movie")</f>
        <v>Movie</v>
      </c>
    </row>
    <row r="3351">
      <c r="A3351" s="1" t="s">
        <v>18438</v>
      </c>
      <c r="B3351" s="1" t="s">
        <v>27</v>
      </c>
      <c r="C3351" s="1" t="s">
        <v>18439</v>
      </c>
      <c r="D3351" s="1" t="s">
        <v>7379</v>
      </c>
      <c r="F3351" s="1" t="s">
        <v>162</v>
      </c>
      <c r="G3351" s="1" t="s">
        <v>18333</v>
      </c>
      <c r="H3351" s="1">
        <v>2007.0</v>
      </c>
      <c r="I3351" s="1" t="s">
        <v>42</v>
      </c>
      <c r="J3351" s="1" t="s">
        <v>247</v>
      </c>
      <c r="K3351" s="1" t="s">
        <v>156</v>
      </c>
      <c r="L3351" s="1" t="s">
        <v>18440</v>
      </c>
      <c r="M3351" s="2" t="s">
        <v>12</v>
      </c>
      <c r="N3351" s="4">
        <f t="shared" si="1"/>
        <v>43770</v>
      </c>
      <c r="O3351" s="5" t="str">
        <f>IFERROR(__xludf.DUMMYFUNCTION("IF(REGEXMATCH(TRIM(I3351), ""^\d+\s*min""), ""Unclassified"", IF(I3351 = """", ""NR"", I3351))"),"TV-MA")</f>
        <v>TV-MA</v>
      </c>
      <c r="R3351" s="5" t="str">
        <f t="shared" si="2"/>
        <v>The Old Thieves: The Legend Of Artegios</v>
      </c>
      <c r="S3351" s="5" t="str">
        <f>IFERROR(__xludf.DUMMYFUNCTION("""COMPUTED_VALUE"""),"In The Cut")</f>
        <v>In The Cut</v>
      </c>
      <c r="U3351" s="5" t="str">
        <f>IFERROR(__xludf.DUMMYFUNCTION("""COMPUTED_VALUE"""),"Jean-Marc Vallée")</f>
        <v>Jean-Marc Vallée</v>
      </c>
      <c r="V3351" s="5" t="s">
        <v>15262</v>
      </c>
      <c r="W3351" s="5" t="str">
        <f t="shared" si="3"/>
        <v>Punit Malhotra</v>
      </c>
      <c r="X3351" s="5">
        <f t="shared" si="4"/>
        <v>2</v>
      </c>
      <c r="Y3351" s="5" t="str">
        <f>IFERROR(__xludf.DUMMYFUNCTION("REGEXEXTRACT(J3351, ""^\d+"")"),"97")</f>
        <v>97</v>
      </c>
      <c r="Z3351" s="5" t="str">
        <f>IFERROR(__xludf.DUMMYFUNCTION("REGEXEXTRACT(J3351, ""[A-Za-z ]+$"")")," min")</f>
        <v> min</v>
      </c>
      <c r="AA3351" s="5" t="str">
        <f>IFERROR(__xludf.DUMMYFUNCTION("IF(REGEXMATCH(Z3351, ""Season""), ""TV Show"", ""Movie"")"),"Movie")</f>
        <v>Movie</v>
      </c>
    </row>
    <row r="3352">
      <c r="A3352" s="1" t="s">
        <v>18441</v>
      </c>
      <c r="B3352" s="1" t="s">
        <v>27</v>
      </c>
      <c r="C3352" s="1" t="s">
        <v>18442</v>
      </c>
      <c r="E3352" s="1" t="s">
        <v>11915</v>
      </c>
      <c r="F3352" s="1" t="s">
        <v>1106</v>
      </c>
      <c r="G3352" s="1" t="s">
        <v>18333</v>
      </c>
      <c r="H3352" s="1">
        <v>2019.0</v>
      </c>
      <c r="I3352" s="1" t="s">
        <v>206</v>
      </c>
      <c r="J3352" s="1" t="s">
        <v>7058</v>
      </c>
      <c r="K3352" s="1" t="s">
        <v>80</v>
      </c>
      <c r="L3352" s="1" t="s">
        <v>18443</v>
      </c>
      <c r="M3352" s="2" t="s">
        <v>12</v>
      </c>
      <c r="N3352" s="4">
        <f t="shared" si="1"/>
        <v>43770</v>
      </c>
      <c r="O3352" s="5" t="str">
        <f>IFERROR(__xludf.DUMMYFUNCTION("IF(REGEXMATCH(TRIM(I3352), ""^\d+\s*min""), ""Unclassified"", IF(I3352 = """", ""NR"", I3352))"),"TV-Y")</f>
        <v>TV-Y</v>
      </c>
      <c r="R3352" s="5" t="str">
        <f t="shared" si="2"/>
        <v>True: Grabbleapple Harvest</v>
      </c>
      <c r="S3352" s="5" t="str">
        <f>IFERROR(__xludf.DUMMYFUNCTION("""COMPUTED_VALUE"""),"In The Dark")</f>
        <v>In The Dark</v>
      </c>
      <c r="U3352" s="5" t="str">
        <f>IFERROR(__xludf.DUMMYFUNCTION("""COMPUTED_VALUE"""),"Philipp Eichholtz")</f>
        <v>Philipp Eichholtz</v>
      </c>
      <c r="V3352" s="5" t="s">
        <v>12881</v>
      </c>
      <c r="W3352" s="5" t="str">
        <f t="shared" si="3"/>
        <v>Puri Jagannadh</v>
      </c>
      <c r="X3352" s="5">
        <f t="shared" si="4"/>
        <v>1</v>
      </c>
      <c r="Y3352" s="5" t="str">
        <f>IFERROR(__xludf.DUMMYFUNCTION("REGEXEXTRACT(J3352, ""^\d+"")"),"24")</f>
        <v>24</v>
      </c>
      <c r="Z3352" s="5" t="str">
        <f>IFERROR(__xludf.DUMMYFUNCTION("REGEXEXTRACT(J3352, ""[A-Za-z ]+$"")")," min")</f>
        <v> min</v>
      </c>
      <c r="AA3352" s="5" t="str">
        <f>IFERROR(__xludf.DUMMYFUNCTION("IF(REGEXMATCH(Z3352, ""Season""), ""TV Show"", ""Movie"")"),"Movie")</f>
        <v>Movie</v>
      </c>
    </row>
    <row r="3353">
      <c r="A3353" s="1" t="s">
        <v>18444</v>
      </c>
      <c r="B3353" s="1" t="s">
        <v>37</v>
      </c>
      <c r="C3353" s="1" t="s">
        <v>18445</v>
      </c>
      <c r="E3353" s="1" t="s">
        <v>18446</v>
      </c>
      <c r="F3353" s="1" t="s">
        <v>2011</v>
      </c>
      <c r="G3353" s="1" t="s">
        <v>18333</v>
      </c>
      <c r="H3353" s="1">
        <v>2006.0</v>
      </c>
      <c r="I3353" s="1" t="s">
        <v>42</v>
      </c>
      <c r="J3353" s="1" t="s">
        <v>51</v>
      </c>
      <c r="K3353" s="1" t="s">
        <v>1339</v>
      </c>
      <c r="L3353" s="1" t="s">
        <v>18447</v>
      </c>
      <c r="M3353" s="2" t="s">
        <v>12</v>
      </c>
      <c r="N3353" s="4">
        <f t="shared" si="1"/>
        <v>43770</v>
      </c>
      <c r="O3353" s="5" t="str">
        <f>IFERROR(__xludf.DUMMYFUNCTION("IF(REGEXMATCH(TRIM(I3353), ""^\d+\s*min""), ""Unclassified"", IF(I3353 = """", ""NR"", I3353))"),"TV-MA")</f>
        <v>TV-MA</v>
      </c>
      <c r="R3353" s="5" t="str">
        <f t="shared" si="2"/>
        <v>Vientos De Agua</v>
      </c>
      <c r="S3353" s="5" t="str">
        <f>IFERROR(__xludf.DUMMYFUNCTION("""COMPUTED_VALUE"""),"In The Deep")</f>
        <v>In The Deep</v>
      </c>
      <c r="U3353" s="5" t="str">
        <f>IFERROR(__xludf.DUMMYFUNCTION("""COMPUTED_VALUE"""),"Brendan Toller")</f>
        <v>Brendan Toller</v>
      </c>
      <c r="V3353" s="5" t="s">
        <v>18448</v>
      </c>
      <c r="W3353" s="5" t="str">
        <f t="shared" si="3"/>
        <v>Qaushiq Mukherjee</v>
      </c>
      <c r="X3353" s="5">
        <f t="shared" si="4"/>
        <v>3</v>
      </c>
      <c r="Y3353" s="5" t="str">
        <f>IFERROR(__xludf.DUMMYFUNCTION("REGEXEXTRACT(J3353, ""^\d+"")"),"1")</f>
        <v>1</v>
      </c>
      <c r="Z3353" s="5" t="str">
        <f>IFERROR(__xludf.DUMMYFUNCTION("REGEXEXTRACT(J3353, ""[A-Za-z ]+$"")")," Season")</f>
        <v> Season</v>
      </c>
      <c r="AA3353" s="5" t="str">
        <f>IFERROR(__xludf.DUMMYFUNCTION("IF(REGEXMATCH(Z3353, ""Season""), ""TV Show"", ""Movie"")"),"TV Show")</f>
        <v>TV Show</v>
      </c>
    </row>
    <row r="3354">
      <c r="A3354" s="1" t="s">
        <v>18449</v>
      </c>
      <c r="B3354" s="1" t="s">
        <v>37</v>
      </c>
      <c r="C3354" s="1" t="s">
        <v>18450</v>
      </c>
      <c r="E3354" s="1" t="s">
        <v>18451</v>
      </c>
      <c r="F3354" s="1" t="s">
        <v>2492</v>
      </c>
      <c r="G3354" s="1" t="s">
        <v>18333</v>
      </c>
      <c r="H3354" s="1">
        <v>2019.0</v>
      </c>
      <c r="I3354" s="1" t="s">
        <v>42</v>
      </c>
      <c r="J3354" s="1" t="s">
        <v>51</v>
      </c>
      <c r="K3354" s="1" t="s">
        <v>44</v>
      </c>
      <c r="L3354" s="1" t="s">
        <v>18452</v>
      </c>
      <c r="M3354" s="2" t="s">
        <v>12</v>
      </c>
      <c r="N3354" s="4">
        <f t="shared" si="1"/>
        <v>43770</v>
      </c>
      <c r="O3354" s="5" t="str">
        <f>IFERROR(__xludf.DUMMYFUNCTION("IF(REGEXMATCH(TRIM(I3354), ""^\d+\s*min""), ""Unclassified"", IF(I3354 = """", ""NR"", I3354))"),"TV-MA")</f>
        <v>TV-MA</v>
      </c>
      <c r="R3354" s="5" t="str">
        <f t="shared" si="2"/>
        <v>We Are The Wave</v>
      </c>
      <c r="S3354" s="5" t="str">
        <f>IFERROR(__xludf.DUMMYFUNCTION("""COMPUTED_VALUE"""),"In The Line Of Fire")</f>
        <v>In The Line Of Fire</v>
      </c>
      <c r="U3354" s="5" t="str">
        <f>IFERROR(__xludf.DUMMYFUNCTION("""COMPUTED_VALUE"""),"Agnidev Chatterjee")</f>
        <v>Agnidev Chatterjee</v>
      </c>
      <c r="V3354" s="5" t="s">
        <v>18453</v>
      </c>
      <c r="W3354" s="5" t="str">
        <f t="shared" si="3"/>
        <v>Qlf</v>
      </c>
      <c r="X3354" s="5">
        <f t="shared" si="4"/>
        <v>1</v>
      </c>
      <c r="Y3354" s="5" t="str">
        <f>IFERROR(__xludf.DUMMYFUNCTION("REGEXEXTRACT(J3354, ""^\d+"")"),"1")</f>
        <v>1</v>
      </c>
      <c r="Z3354" s="5" t="str">
        <f>IFERROR(__xludf.DUMMYFUNCTION("REGEXEXTRACT(J3354, ""[A-Za-z ]+$"")")," Season")</f>
        <v> Season</v>
      </c>
      <c r="AA3354" s="5" t="str">
        <f>IFERROR(__xludf.DUMMYFUNCTION("IF(REGEXMATCH(Z3354, ""Season""), ""TV Show"", ""Movie"")"),"TV Show")</f>
        <v>TV Show</v>
      </c>
    </row>
    <row r="3355">
      <c r="A3355" s="1" t="s">
        <v>18454</v>
      </c>
      <c r="B3355" s="1" t="s">
        <v>27</v>
      </c>
      <c r="C3355" s="1" t="s">
        <v>18455</v>
      </c>
      <c r="D3355" s="1" t="s">
        <v>18456</v>
      </c>
      <c r="E3355" s="1" t="s">
        <v>18457</v>
      </c>
      <c r="F3355" s="1" t="s">
        <v>162</v>
      </c>
      <c r="G3355" s="1" t="s">
        <v>18333</v>
      </c>
      <c r="H3355" s="1">
        <v>2016.0</v>
      </c>
      <c r="I3355" s="1" t="s">
        <v>42</v>
      </c>
      <c r="J3355" s="1" t="s">
        <v>1191</v>
      </c>
      <c r="K3355" s="1" t="s">
        <v>2892</v>
      </c>
      <c r="L3355" s="1" t="s">
        <v>18458</v>
      </c>
      <c r="M3355" s="2" t="s">
        <v>12</v>
      </c>
      <c r="N3355" s="4">
        <f t="shared" si="1"/>
        <v>43770</v>
      </c>
      <c r="O3355" s="5" t="str">
        <f>IFERROR(__xludf.DUMMYFUNCTION("IF(REGEXMATCH(TRIM(I3355), ""^\d+\s*min""), ""Unclassified"", IF(I3355 = """", ""NR"", I3355))"),"TV-MA")</f>
        <v>TV-MA</v>
      </c>
      <c r="R3355" s="5" t="str">
        <f t="shared" si="2"/>
        <v>Zoé: Panoramas</v>
      </c>
      <c r="S3355" s="5" t="str">
        <f>IFERROR(__xludf.DUMMYFUNCTION("""COMPUTED_VALUE"""),"In The Shadow Of Iris")</f>
        <v>In The Shadow Of Iris</v>
      </c>
      <c r="U3355" s="5" t="str">
        <f>IFERROR(__xludf.DUMMYFUNCTION("""COMPUTED_VALUE"""),"Alexandros Avranas")</f>
        <v>Alexandros Avranas</v>
      </c>
      <c r="V3355" s="5" t="s">
        <v>18459</v>
      </c>
      <c r="W3355" s="5" t="str">
        <f t="shared" si="3"/>
        <v>Quek Shio-Chuan</v>
      </c>
      <c r="X3355" s="5">
        <f t="shared" si="4"/>
        <v>1</v>
      </c>
      <c r="Y3355" s="5" t="str">
        <f>IFERROR(__xludf.DUMMYFUNCTION("REGEXEXTRACT(J3355, ""^\d+"")"),"89")</f>
        <v>89</v>
      </c>
      <c r="Z3355" s="5" t="str">
        <f>IFERROR(__xludf.DUMMYFUNCTION("REGEXEXTRACT(J3355, ""[A-Za-z ]+$"")")," min")</f>
        <v> min</v>
      </c>
      <c r="AA3355" s="5" t="str">
        <f>IFERROR(__xludf.DUMMYFUNCTION("IF(REGEXMATCH(Z3355, ""Season""), ""TV Show"", ""Movie"")"),"Movie")</f>
        <v>Movie</v>
      </c>
    </row>
    <row r="3356">
      <c r="A3356" s="1" t="s">
        <v>18460</v>
      </c>
      <c r="B3356" s="1" t="s">
        <v>27</v>
      </c>
      <c r="C3356" s="1" t="s">
        <v>18461</v>
      </c>
      <c r="D3356" s="1" t="s">
        <v>12016</v>
      </c>
      <c r="E3356" s="1" t="s">
        <v>18462</v>
      </c>
      <c r="F3356" s="1" t="s">
        <v>1815</v>
      </c>
      <c r="G3356" s="1" t="s">
        <v>18463</v>
      </c>
      <c r="H3356" s="1">
        <v>2019.0</v>
      </c>
      <c r="I3356" s="1" t="s">
        <v>42</v>
      </c>
      <c r="J3356" s="1" t="s">
        <v>2616</v>
      </c>
      <c r="K3356" s="1" t="s">
        <v>1839</v>
      </c>
      <c r="L3356" s="1" t="s">
        <v>18464</v>
      </c>
      <c r="M3356" s="2" t="s">
        <v>12</v>
      </c>
      <c r="N3356" s="4">
        <f t="shared" si="1"/>
        <v>43769</v>
      </c>
      <c r="O3356" s="5" t="str">
        <f>IFERROR(__xludf.DUMMYFUNCTION("IF(REGEXMATCH(TRIM(I3356), ""^\d+\s*min""), ""Unclassified"", IF(I3356 = """", ""NR"", I3356))"),"TV-MA")</f>
        <v>TV-MA</v>
      </c>
      <c r="R3356" s="5" t="str">
        <f t="shared" si="2"/>
        <v>Grego Rossello: Disculpe Las Molestias</v>
      </c>
      <c r="S3356" s="5" t="str">
        <f>IFERROR(__xludf.DUMMYFUNCTION("""COMPUTED_VALUE"""),"In The Shadow Of The Moon")</f>
        <v>In The Shadow Of The Moon</v>
      </c>
      <c r="U3356" s="5" t="str">
        <f>IFERROR(__xludf.DUMMYFUNCTION("""COMPUTED_VALUE"""),"Prawal Raman")</f>
        <v>Prawal Raman</v>
      </c>
      <c r="V3356" s="5" t="s">
        <v>2537</v>
      </c>
      <c r="W3356" s="5" t="str">
        <f t="shared" si="3"/>
        <v>Quentin Tarantino</v>
      </c>
      <c r="X3356" s="5">
        <f t="shared" si="4"/>
        <v>8</v>
      </c>
      <c r="Y3356" s="5" t="str">
        <f>IFERROR(__xludf.DUMMYFUNCTION("REGEXEXTRACT(J3356, ""^\d+"")"),"65")</f>
        <v>65</v>
      </c>
      <c r="Z3356" s="5" t="str">
        <f>IFERROR(__xludf.DUMMYFUNCTION("REGEXEXTRACT(J3356, ""[A-Za-z ]+$"")")," min")</f>
        <v> min</v>
      </c>
      <c r="AA3356" s="5" t="str">
        <f>IFERROR(__xludf.DUMMYFUNCTION("IF(REGEXMATCH(Z3356, ""Season""), ""TV Show"", ""Movie"")"),"Movie")</f>
        <v>Movie</v>
      </c>
    </row>
    <row r="3357">
      <c r="A3357" s="1" t="s">
        <v>18465</v>
      </c>
      <c r="B3357" s="1" t="s">
        <v>37</v>
      </c>
      <c r="C3357" s="1" t="s">
        <v>18466</v>
      </c>
      <c r="E3357" s="1" t="s">
        <v>18467</v>
      </c>
      <c r="F3357" s="1" t="s">
        <v>1846</v>
      </c>
      <c r="G3357" s="1" t="s">
        <v>18463</v>
      </c>
      <c r="H3357" s="1">
        <v>2019.0</v>
      </c>
      <c r="I3357" s="1" t="s">
        <v>42</v>
      </c>
      <c r="J3357" s="1" t="s">
        <v>43</v>
      </c>
      <c r="K3357" s="1" t="s">
        <v>567</v>
      </c>
      <c r="L3357" s="1" t="s">
        <v>18468</v>
      </c>
      <c r="M3357" s="2" t="s">
        <v>12</v>
      </c>
      <c r="N3357" s="4">
        <f t="shared" si="1"/>
        <v>43769</v>
      </c>
      <c r="O3357" s="5" t="str">
        <f>IFERROR(__xludf.DUMMYFUNCTION("IF(REGEXMATCH(TRIM(I3357), ""^\d+\s*min""), ""Unclassified"", IF(I3357 = """", ""NR"", I3357))"),"TV-MA")</f>
        <v>TV-MA</v>
      </c>
      <c r="R3357" s="5" t="str">
        <f t="shared" si="2"/>
        <v>Kengan Ashura</v>
      </c>
      <c r="S3357" s="5" t="str">
        <f>IFERROR(__xludf.DUMMYFUNCTION("""COMPUTED_VALUE"""),"In The Tall Grass")</f>
        <v>In The Tall Grass</v>
      </c>
      <c r="U3357" s="5" t="str">
        <f>IFERROR(__xludf.DUMMYFUNCTION("""COMPUTED_VALUE"""),"Parveen Kumar")</f>
        <v>Parveen Kumar</v>
      </c>
      <c r="V3357" s="5" t="s">
        <v>18469</v>
      </c>
      <c r="W3357" s="5" t="str">
        <f t="shared" si="3"/>
        <v>Quinn Lasher</v>
      </c>
      <c r="X3357" s="5">
        <f t="shared" si="4"/>
        <v>1</v>
      </c>
      <c r="Y3357" s="5" t="str">
        <f>IFERROR(__xludf.DUMMYFUNCTION("REGEXEXTRACT(J3357, ""^\d+"")"),"2")</f>
        <v>2</v>
      </c>
      <c r="Z3357" s="5" t="str">
        <f>IFERROR(__xludf.DUMMYFUNCTION("REGEXEXTRACT(J3357, ""[A-Za-z ]+$"")")," Seasons")</f>
        <v> Seasons</v>
      </c>
      <c r="AA3357" s="5" t="str">
        <f>IFERROR(__xludf.DUMMYFUNCTION("IF(REGEXMATCH(Z3357, ""Season""), ""TV Show"", ""Movie"")"),"TV Show")</f>
        <v>TV Show</v>
      </c>
    </row>
    <row r="3358">
      <c r="A3358" s="1" t="s">
        <v>18470</v>
      </c>
      <c r="B3358" s="1" t="s">
        <v>37</v>
      </c>
      <c r="C3358" s="1" t="s">
        <v>18471</v>
      </c>
      <c r="D3358" s="1" t="s">
        <v>18472</v>
      </c>
      <c r="E3358" s="1" t="s">
        <v>18473</v>
      </c>
      <c r="F3358" s="1" t="s">
        <v>2059</v>
      </c>
      <c r="G3358" s="1" t="s">
        <v>18463</v>
      </c>
      <c r="H3358" s="1">
        <v>2019.0</v>
      </c>
      <c r="I3358" s="1" t="s">
        <v>42</v>
      </c>
      <c r="J3358" s="1" t="s">
        <v>51</v>
      </c>
      <c r="K3358" s="1" t="s">
        <v>52</v>
      </c>
      <c r="L3358" s="1" t="s">
        <v>18474</v>
      </c>
      <c r="M3358" s="2" t="s">
        <v>12</v>
      </c>
      <c r="N3358" s="4">
        <f t="shared" si="1"/>
        <v>43769</v>
      </c>
      <c r="O3358" s="5" t="str">
        <f>IFERROR(__xludf.DUMMYFUNCTION("IF(REGEXMATCH(TRIM(I3358), ""^\d+\s*min""), ""Unclassified"", IF(I3358 = """", ""NR"", I3358))"),"TV-MA")</f>
        <v>TV-MA</v>
      </c>
      <c r="R3358" s="5" t="str">
        <f t="shared" si="2"/>
        <v>Nowhere Man</v>
      </c>
      <c r="S3358" s="5" t="str">
        <f>IFERROR(__xludf.DUMMYFUNCTION("""COMPUTED_VALUE"""),"In This Corner Of The World")</f>
        <v>In This Corner Of The World</v>
      </c>
      <c r="U3358" s="5" t="str">
        <f>IFERROR(__xludf.DUMMYFUNCTION("""COMPUTED_VALUE"""),"Julie Dash")</f>
        <v>Julie Dash</v>
      </c>
      <c r="V3358" s="5" t="s">
        <v>1944</v>
      </c>
      <c r="W3358" s="5" t="str">
        <f t="shared" si="3"/>
        <v>Quoc Bao Tran</v>
      </c>
      <c r="X3358" s="5">
        <f t="shared" si="4"/>
        <v>1</v>
      </c>
      <c r="Y3358" s="5" t="str">
        <f>IFERROR(__xludf.DUMMYFUNCTION("REGEXEXTRACT(J3358, ""^\d+"")"),"1")</f>
        <v>1</v>
      </c>
      <c r="Z3358" s="5" t="str">
        <f>IFERROR(__xludf.DUMMYFUNCTION("REGEXEXTRACT(J3358, ""[A-Za-z ]+$"")")," Season")</f>
        <v> Season</v>
      </c>
      <c r="AA3358" s="5" t="str">
        <f>IFERROR(__xludf.DUMMYFUNCTION("IF(REGEXMATCH(Z3358, ""Season""), ""TV Show"", ""Movie"")"),"TV Show")</f>
        <v>TV Show</v>
      </c>
    </row>
    <row r="3359">
      <c r="A3359" s="1" t="s">
        <v>18475</v>
      </c>
      <c r="B3359" s="1" t="s">
        <v>37</v>
      </c>
      <c r="C3359" s="1" t="s">
        <v>18476</v>
      </c>
      <c r="E3359" s="1" t="s">
        <v>18477</v>
      </c>
      <c r="G3359" s="1" t="s">
        <v>18463</v>
      </c>
      <c r="H3359" s="1">
        <v>2019.0</v>
      </c>
      <c r="I3359" s="1" t="s">
        <v>42</v>
      </c>
      <c r="J3359" s="1" t="s">
        <v>51</v>
      </c>
      <c r="K3359" s="1" t="s">
        <v>1362</v>
      </c>
      <c r="L3359" s="1" t="s">
        <v>18478</v>
      </c>
      <c r="M3359" s="2" t="s">
        <v>12</v>
      </c>
      <c r="N3359" s="4">
        <f t="shared" si="1"/>
        <v>43769</v>
      </c>
      <c r="O3359" s="5" t="str">
        <f>IFERROR(__xludf.DUMMYFUNCTION("IF(REGEXMATCH(TRIM(I3359), ""^\d+\s*min""), ""Unclassified"", IF(I3359 = """", ""NR"", I3359))"),"TV-MA")</f>
        <v>TV-MA</v>
      </c>
      <c r="R3359" s="5" t="str">
        <f t="shared" si="2"/>
        <v>Sleepless Society: Bedtime Wishes</v>
      </c>
      <c r="S3359" s="5" t="str">
        <f>IFERROR(__xludf.DUMMYFUNCTION("""COMPUTED_VALUE"""),"In Too Deep")</f>
        <v>In Too Deep</v>
      </c>
      <c r="U3359" s="5" t="str">
        <f>IFERROR(__xludf.DUMMYFUNCTION("""COMPUTED_VALUE"""),"Amman Abbasi")</f>
        <v>Amman Abbasi</v>
      </c>
      <c r="V3359" s="5" t="s">
        <v>18479</v>
      </c>
      <c r="W3359" s="5" t="str">
        <f t="shared" si="3"/>
        <v>R. Balki</v>
      </c>
      <c r="X3359" s="5">
        <f t="shared" si="4"/>
        <v>1</v>
      </c>
      <c r="Y3359" s="5" t="str">
        <f>IFERROR(__xludf.DUMMYFUNCTION("REGEXEXTRACT(J3359, ""^\d+"")"),"1")</f>
        <v>1</v>
      </c>
      <c r="Z3359" s="5" t="str">
        <f>IFERROR(__xludf.DUMMYFUNCTION("REGEXEXTRACT(J3359, ""[A-Za-z ]+$"")")," Season")</f>
        <v> Season</v>
      </c>
      <c r="AA3359" s="5" t="str">
        <f>IFERROR(__xludf.DUMMYFUNCTION("IF(REGEXMATCH(Z3359, ""Season""), ""TV Show"", ""Movie"")"),"TV Show")</f>
        <v>TV Show</v>
      </c>
    </row>
    <row r="3360">
      <c r="A3360" s="1" t="s">
        <v>18480</v>
      </c>
      <c r="B3360" s="1" t="s">
        <v>37</v>
      </c>
      <c r="C3360" s="1" t="s">
        <v>18481</v>
      </c>
      <c r="D3360" s="1" t="s">
        <v>18482</v>
      </c>
      <c r="E3360" s="1" t="s">
        <v>18483</v>
      </c>
      <c r="F3360" s="1" t="s">
        <v>749</v>
      </c>
      <c r="G3360" s="1" t="s">
        <v>18484</v>
      </c>
      <c r="H3360" s="1">
        <v>2016.0</v>
      </c>
      <c r="I3360" s="1" t="s">
        <v>97</v>
      </c>
      <c r="J3360" s="1" t="s">
        <v>51</v>
      </c>
      <c r="K3360" s="1" t="s">
        <v>7164</v>
      </c>
      <c r="L3360" s="1" t="s">
        <v>18485</v>
      </c>
      <c r="M3360" s="2" t="s">
        <v>12</v>
      </c>
      <c r="N3360" s="4">
        <f t="shared" si="1"/>
        <v>43768</v>
      </c>
      <c r="O3360" s="5" t="str">
        <f>IFERROR(__xludf.DUMMYFUNCTION("IF(REGEXMATCH(TRIM(I3360), ""^\d+\s*min""), ""Unclassified"", IF(I3360 = """", ""NR"", I3360))"),"TV-14")</f>
        <v>TV-14</v>
      </c>
      <c r="R3360" s="5" t="str">
        <f t="shared" si="2"/>
        <v>Bring It On, Ghost</v>
      </c>
      <c r="S3360" s="5" t="str">
        <f>IFERROR(__xludf.DUMMYFUNCTION("""COMPUTED_VALUE"""),"Inborn Pair")</f>
        <v>Inborn Pair</v>
      </c>
      <c r="U3360" s="5" t="str">
        <f>IFERROR(__xludf.DUMMYFUNCTION("""COMPUTED_VALUE"""),"Dylan Haegens, Bas Van Teylingen")</f>
        <v>Dylan Haegens, Bas Van Teylingen</v>
      </c>
      <c r="V3360" s="5" t="s">
        <v>18486</v>
      </c>
      <c r="W3360" s="5" t="str">
        <f t="shared" si="3"/>
        <v>R. Ellis Frazier</v>
      </c>
      <c r="X3360" s="5">
        <f t="shared" si="4"/>
        <v>2</v>
      </c>
      <c r="Y3360" s="5" t="str">
        <f>IFERROR(__xludf.DUMMYFUNCTION("REGEXEXTRACT(J3360, ""^\d+"")"),"1")</f>
        <v>1</v>
      </c>
      <c r="Z3360" s="5" t="str">
        <f>IFERROR(__xludf.DUMMYFUNCTION("REGEXEXTRACT(J3360, ""[A-Za-z ]+$"")")," Season")</f>
        <v> Season</v>
      </c>
      <c r="AA3360" s="5" t="str">
        <f>IFERROR(__xludf.DUMMYFUNCTION("IF(REGEXMATCH(Z3360, ""Season""), ""TV Show"", ""Movie"")"),"TV Show")</f>
        <v>TV Show</v>
      </c>
    </row>
    <row r="3361">
      <c r="A3361" s="1" t="s">
        <v>18487</v>
      </c>
      <c r="B3361" s="1" t="s">
        <v>27</v>
      </c>
      <c r="C3361" s="1" t="s">
        <v>18488</v>
      </c>
      <c r="D3361" s="1" t="s">
        <v>18489</v>
      </c>
      <c r="E3361" s="1" t="s">
        <v>18490</v>
      </c>
      <c r="F3361" s="1" t="s">
        <v>63</v>
      </c>
      <c r="G3361" s="1" t="s">
        <v>18484</v>
      </c>
      <c r="H3361" s="1">
        <v>2019.0</v>
      </c>
      <c r="I3361" s="1" t="s">
        <v>42</v>
      </c>
      <c r="J3361" s="1" t="s">
        <v>3458</v>
      </c>
      <c r="K3361" s="1" t="s">
        <v>679</v>
      </c>
      <c r="L3361" s="1" t="s">
        <v>18491</v>
      </c>
      <c r="M3361" s="2" t="s">
        <v>12</v>
      </c>
      <c r="N3361" s="4">
        <f t="shared" si="1"/>
        <v>43768</v>
      </c>
      <c r="O3361" s="5" t="str">
        <f>IFERROR(__xludf.DUMMYFUNCTION("IF(REGEXMATCH(TRIM(I3361), ""^\d+\s*min""), ""Unclassified"", IF(I3361 = """", ""NR"", I3361))"),"TV-MA")</f>
        <v>TV-MA</v>
      </c>
      <c r="R3361" s="5" t="str">
        <f t="shared" si="2"/>
        <v>Mehandi Circus</v>
      </c>
      <c r="S3361" s="5" t="str">
        <f>IFERROR(__xludf.DUMMYFUNCTION("""COMPUTED_VALUE"""),"Incarnate")</f>
        <v>Incarnate</v>
      </c>
      <c r="U3361" s="5" t="str">
        <f>IFERROR(__xludf.DUMMYFUNCTION("""COMPUTED_VALUE"""),"Noah Baumbach, Jake Paltrow")</f>
        <v>Noah Baumbach, Jake Paltrow</v>
      </c>
      <c r="V3361" s="5" t="s">
        <v>18492</v>
      </c>
      <c r="W3361" s="5" t="str">
        <f t="shared" si="3"/>
        <v>R. Kannan</v>
      </c>
      <c r="X3361" s="5">
        <f t="shared" si="4"/>
        <v>1</v>
      </c>
      <c r="Y3361" s="5" t="str">
        <f>IFERROR(__xludf.DUMMYFUNCTION("REGEXEXTRACT(J3361, ""^\d+"")"),"126")</f>
        <v>126</v>
      </c>
      <c r="Z3361" s="5" t="str">
        <f>IFERROR(__xludf.DUMMYFUNCTION("REGEXEXTRACT(J3361, ""[A-Za-z ]+$"")")," min")</f>
        <v> min</v>
      </c>
      <c r="AA3361" s="5" t="str">
        <f>IFERROR(__xludf.DUMMYFUNCTION("IF(REGEXMATCH(Z3361, ""Season""), ""TV Show"", ""Movie"")"),"Movie")</f>
        <v>Movie</v>
      </c>
    </row>
    <row r="3362">
      <c r="A3362" s="1" t="s">
        <v>18493</v>
      </c>
      <c r="B3362" s="1" t="s">
        <v>37</v>
      </c>
      <c r="C3362" s="1" t="s">
        <v>18494</v>
      </c>
      <c r="E3362" s="1" t="s">
        <v>18495</v>
      </c>
      <c r="F3362" s="1" t="s">
        <v>749</v>
      </c>
      <c r="G3362" s="1" t="s">
        <v>18484</v>
      </c>
      <c r="H3362" s="1">
        <v>2017.0</v>
      </c>
      <c r="I3362" s="1" t="s">
        <v>97</v>
      </c>
      <c r="J3362" s="1" t="s">
        <v>51</v>
      </c>
      <c r="K3362" s="1" t="s">
        <v>7164</v>
      </c>
      <c r="L3362" s="1" t="s">
        <v>18496</v>
      </c>
      <c r="M3362" s="2" t="s">
        <v>12</v>
      </c>
      <c r="N3362" s="4">
        <f t="shared" si="1"/>
        <v>43768</v>
      </c>
      <c r="O3362" s="5" t="str">
        <f>IFERROR(__xludf.DUMMYFUNCTION("IF(REGEXMATCH(TRIM(I3362), ""^\d+\s*min""), ""Unclassified"", IF(I3362 = """", ""NR"", I3362))"),"TV-14")</f>
        <v>TV-14</v>
      </c>
      <c r="R3362" s="5" t="str">
        <f t="shared" si="2"/>
        <v>Tomorrow With You</v>
      </c>
      <c r="S3362" s="5" t="str">
        <f>IFERROR(__xludf.DUMMYFUNCTION("""COMPUTED_VALUE"""),"Inception")</f>
        <v>Inception</v>
      </c>
      <c r="U3362" s="5" t="str">
        <f>IFERROR(__xludf.DUMMYFUNCTION("""COMPUTED_VALUE"""),"Tom Edmunds")</f>
        <v>Tom Edmunds</v>
      </c>
      <c r="V3362" s="5" t="s">
        <v>16196</v>
      </c>
      <c r="W3362" s="5" t="str">
        <f t="shared" si="3"/>
        <v>R.J. Daniel Hanna</v>
      </c>
      <c r="X3362" s="5">
        <f t="shared" si="4"/>
        <v>1</v>
      </c>
      <c r="Y3362" s="5" t="str">
        <f>IFERROR(__xludf.DUMMYFUNCTION("REGEXEXTRACT(J3362, ""^\d+"")"),"1")</f>
        <v>1</v>
      </c>
      <c r="Z3362" s="5" t="str">
        <f>IFERROR(__xludf.DUMMYFUNCTION("REGEXEXTRACT(J3362, ""[A-Za-z ]+$"")")," Season")</f>
        <v> Season</v>
      </c>
      <c r="AA3362" s="5" t="str">
        <f>IFERROR(__xludf.DUMMYFUNCTION("IF(REGEXMATCH(Z3362, ""Season""), ""TV Show"", ""Movie"")"),"TV Show")</f>
        <v>TV Show</v>
      </c>
    </row>
    <row r="3363">
      <c r="A3363" s="1" t="s">
        <v>18497</v>
      </c>
      <c r="B3363" s="1" t="s">
        <v>37</v>
      </c>
      <c r="C3363" s="1" t="s">
        <v>18498</v>
      </c>
      <c r="E3363" s="1" t="s">
        <v>18499</v>
      </c>
      <c r="G3363" s="1" t="s">
        <v>18484</v>
      </c>
      <c r="H3363" s="1">
        <v>2019.0</v>
      </c>
      <c r="I3363" s="1" t="s">
        <v>97</v>
      </c>
      <c r="J3363" s="1" t="s">
        <v>51</v>
      </c>
      <c r="K3363" s="1" t="s">
        <v>1362</v>
      </c>
      <c r="L3363" s="1" t="s">
        <v>18500</v>
      </c>
      <c r="M3363" s="2" t="s">
        <v>12</v>
      </c>
      <c r="N3363" s="4">
        <f t="shared" si="1"/>
        <v>43768</v>
      </c>
      <c r="O3363" s="5" t="str">
        <f>IFERROR(__xludf.DUMMYFUNCTION("IF(REGEXMATCH(TRIM(I3363), ""^\d+\s*min""), ""Unclassified"", IF(I3363 = """", ""NR"", I3363))"),"TV-14")</f>
        <v>TV-14</v>
      </c>
      <c r="R3363" s="5" t="str">
        <f t="shared" si="2"/>
        <v>Tunnel</v>
      </c>
      <c r="S3363" s="5" t="str">
        <f>IFERROR(__xludf.DUMMYFUNCTION("""COMPUTED_VALUE"""),"Incir Receli 2")</f>
        <v>Incir Receli 2</v>
      </c>
      <c r="U3363" s="5" t="str">
        <f>IFERROR(__xludf.DUMMYFUNCTION("""COMPUTED_VALUE"""),"Tanveer Khan")</f>
        <v>Tanveer Khan</v>
      </c>
      <c r="V3363" s="5" t="s">
        <v>18501</v>
      </c>
      <c r="W3363" s="5" t="str">
        <f t="shared" si="3"/>
        <v>Raaghav Dar</v>
      </c>
      <c r="X3363" s="5">
        <f t="shared" si="4"/>
        <v>1</v>
      </c>
      <c r="Y3363" s="5" t="str">
        <f>IFERROR(__xludf.DUMMYFUNCTION("REGEXEXTRACT(J3363, ""^\d+"")"),"1")</f>
        <v>1</v>
      </c>
      <c r="Z3363" s="5" t="str">
        <f>IFERROR(__xludf.DUMMYFUNCTION("REGEXEXTRACT(J3363, ""[A-Za-z ]+$"")")," Season")</f>
        <v> Season</v>
      </c>
      <c r="AA3363" s="5" t="str">
        <f>IFERROR(__xludf.DUMMYFUNCTION("IF(REGEXMATCH(Z3363, ""Season""), ""TV Show"", ""Movie"")"),"TV Show")</f>
        <v>TV Show</v>
      </c>
    </row>
    <row r="3364">
      <c r="A3364" s="1" t="s">
        <v>18502</v>
      </c>
      <c r="B3364" s="1" t="s">
        <v>27</v>
      </c>
      <c r="C3364" s="1" t="s">
        <v>18503</v>
      </c>
      <c r="D3364" s="1" t="s">
        <v>3849</v>
      </c>
      <c r="E3364" s="1" t="s">
        <v>18504</v>
      </c>
      <c r="F3364" s="1" t="s">
        <v>30</v>
      </c>
      <c r="G3364" s="1" t="s">
        <v>18505</v>
      </c>
      <c r="H3364" s="1">
        <v>2019.0</v>
      </c>
      <c r="I3364" s="1" t="s">
        <v>42</v>
      </c>
      <c r="J3364" s="1" t="s">
        <v>919</v>
      </c>
      <c r="K3364" s="1" t="s">
        <v>1839</v>
      </c>
      <c r="L3364" s="1" t="s">
        <v>18506</v>
      </c>
      <c r="M3364" s="2" t="s">
        <v>12</v>
      </c>
      <c r="N3364" s="4">
        <f t="shared" si="1"/>
        <v>43767</v>
      </c>
      <c r="O3364" s="5" t="str">
        <f>IFERROR(__xludf.DUMMYFUNCTION("IF(REGEXMATCH(TRIM(I3364), ""^\d+\s*min""), ""Unclassified"", IF(I3364 = """", ""NR"", I3364))"),"TV-MA")</f>
        <v>TV-MA</v>
      </c>
      <c r="R3364" s="5" t="str">
        <f t="shared" si="2"/>
        <v>Arsenio Hall: Smart &amp; Classy</v>
      </c>
      <c r="S3364" s="5" t="str">
        <f>IFERROR(__xludf.DUMMYFUNCTION("""COMPUTED_VALUE"""),"Incoming")</f>
        <v>Incoming</v>
      </c>
      <c r="U3364" s="5" t="str">
        <f>IFERROR(__xludf.DUMMYFUNCTION("""COMPUTED_VALUE"""),"Danny J. Boyle")</f>
        <v>Danny J. Boyle</v>
      </c>
      <c r="V3364" s="5" t="s">
        <v>18507</v>
      </c>
      <c r="W3364" s="5" t="str">
        <f t="shared" si="3"/>
        <v>Raam Reddy</v>
      </c>
      <c r="X3364" s="5">
        <f t="shared" si="4"/>
        <v>1</v>
      </c>
      <c r="Y3364" s="5" t="str">
        <f>IFERROR(__xludf.DUMMYFUNCTION("REGEXEXTRACT(J3364, ""^\d+"")"),"63")</f>
        <v>63</v>
      </c>
      <c r="Z3364" s="5" t="str">
        <f>IFERROR(__xludf.DUMMYFUNCTION("REGEXEXTRACT(J3364, ""[A-Za-z ]+$"")")," min")</f>
        <v> min</v>
      </c>
      <c r="AA3364" s="5" t="str">
        <f>IFERROR(__xludf.DUMMYFUNCTION("IF(REGEXMATCH(Z3364, ""Season""), ""TV Show"", ""Movie"")"),"Movie")</f>
        <v>Movie</v>
      </c>
    </row>
    <row r="3365">
      <c r="A3365" s="1" t="s">
        <v>18508</v>
      </c>
      <c r="B3365" s="1" t="s">
        <v>37</v>
      </c>
      <c r="C3365" s="1" t="s">
        <v>18509</v>
      </c>
      <c r="E3365" s="1" t="s">
        <v>18510</v>
      </c>
      <c r="F3365" s="1" t="s">
        <v>30</v>
      </c>
      <c r="G3365" s="1" t="s">
        <v>18505</v>
      </c>
      <c r="H3365" s="1">
        <v>2018.0</v>
      </c>
      <c r="I3365" s="1" t="s">
        <v>42</v>
      </c>
      <c r="J3365" s="1" t="s">
        <v>51</v>
      </c>
      <c r="K3365" s="1" t="s">
        <v>18511</v>
      </c>
      <c r="L3365" s="1" t="s">
        <v>18512</v>
      </c>
      <c r="M3365" s="2" t="s">
        <v>12</v>
      </c>
      <c r="N3365" s="4">
        <f t="shared" si="1"/>
        <v>43767</v>
      </c>
      <c r="O3365" s="5" t="str">
        <f>IFERROR(__xludf.DUMMYFUNCTION("IF(REGEXMATCH(TRIM(I3365), ""^\d+\s*min""), ""Unclassified"", IF(I3365 = """", ""NR"", I3365))"),"TV-MA")</f>
        <v>TV-MA</v>
      </c>
      <c r="R3365" s="5" t="str">
        <f t="shared" si="2"/>
        <v>Shine On With Reese</v>
      </c>
      <c r="S3365" s="5" t="str">
        <f>IFERROR(__xludf.DUMMYFUNCTION("""COMPUTED_VALUE"""),"Incomplete")</f>
        <v>Incomplete</v>
      </c>
      <c r="U3365" s="5" t="str">
        <f>IFERROR(__xludf.DUMMYFUNCTION("""COMPUTED_VALUE"""),"Demetri Martin")</f>
        <v>Demetri Martin</v>
      </c>
      <c r="V3365" s="5" t="s">
        <v>18513</v>
      </c>
      <c r="W3365" s="5" t="str">
        <f t="shared" si="3"/>
        <v>Rachel Bell</v>
      </c>
      <c r="X3365" s="5">
        <f t="shared" si="4"/>
        <v>1</v>
      </c>
      <c r="Y3365" s="5" t="str">
        <f>IFERROR(__xludf.DUMMYFUNCTION("REGEXEXTRACT(J3365, ""^\d+"")"),"1")</f>
        <v>1</v>
      </c>
      <c r="Z3365" s="5" t="str">
        <f>IFERROR(__xludf.DUMMYFUNCTION("REGEXEXTRACT(J3365, ""[A-Za-z ]+$"")")," Season")</f>
        <v> Season</v>
      </c>
      <c r="AA3365" s="5" t="str">
        <f>IFERROR(__xludf.DUMMYFUNCTION("IF(REGEXMATCH(Z3365, ""Season""), ""TV Show"", ""Movie"")"),"TV Show")</f>
        <v>TV Show</v>
      </c>
    </row>
    <row r="3366">
      <c r="A3366" s="1" t="s">
        <v>18514</v>
      </c>
      <c r="B3366" s="1" t="s">
        <v>27</v>
      </c>
      <c r="C3366" s="1" t="s">
        <v>18515</v>
      </c>
      <c r="F3366" s="1" t="s">
        <v>30</v>
      </c>
      <c r="G3366" s="1" t="s">
        <v>18505</v>
      </c>
      <c r="H3366" s="1">
        <v>2019.0</v>
      </c>
      <c r="I3366" s="1" t="s">
        <v>97</v>
      </c>
      <c r="J3366" s="1" t="s">
        <v>8386</v>
      </c>
      <c r="K3366" s="1" t="s">
        <v>156</v>
      </c>
      <c r="L3366" s="1" t="s">
        <v>18516</v>
      </c>
      <c r="M3366" s="2" t="s">
        <v>12</v>
      </c>
      <c r="N3366" s="4">
        <f t="shared" si="1"/>
        <v>43767</v>
      </c>
      <c r="O3366" s="5" t="str">
        <f>IFERROR(__xludf.DUMMYFUNCTION("IF(REGEXMATCH(TRIM(I3366), ""^\d+\s*min""), ""Unclassified"", IF(I3366 = """", ""NR"", I3366))"),"TV-14")</f>
        <v>TV-14</v>
      </c>
      <c r="R3366" s="5" t="str">
        <f t="shared" si="2"/>
        <v>The Road To El Camino: Behind The Scenes Of El Camino: A Breaking Bad Movie</v>
      </c>
      <c r="S3366" s="5" t="str">
        <f>IFERROR(__xludf.DUMMYFUNCTION("""COMPUTED_VALUE"""),"Inconceivable")</f>
        <v>Inconceivable</v>
      </c>
      <c r="U3366" s="5" t="str">
        <f>IFERROR(__xludf.DUMMYFUNCTION("""COMPUTED_VALUE"""),"Tanuj Bhramar")</f>
        <v>Tanuj Bhramar</v>
      </c>
      <c r="V3366" s="5" t="s">
        <v>13210</v>
      </c>
      <c r="W3366" s="5" t="str">
        <f t="shared" si="3"/>
        <v>Rachel Griffiths</v>
      </c>
      <c r="X3366" s="5">
        <f t="shared" si="4"/>
        <v>1</v>
      </c>
      <c r="Y3366" s="5" t="str">
        <f>IFERROR(__xludf.DUMMYFUNCTION("REGEXEXTRACT(J3366, ""^\d+"")"),"14")</f>
        <v>14</v>
      </c>
      <c r="Z3366" s="5" t="str">
        <f>IFERROR(__xludf.DUMMYFUNCTION("REGEXEXTRACT(J3366, ""[A-Za-z ]+$"")")," min")</f>
        <v> min</v>
      </c>
      <c r="AA3366" s="5" t="str">
        <f>IFERROR(__xludf.DUMMYFUNCTION("IF(REGEXMATCH(Z3366, ""Season""), ""TV Show"", ""Movie"")"),"Movie")</f>
        <v>Movie</v>
      </c>
    </row>
    <row r="3367">
      <c r="A3367" s="1" t="s">
        <v>18517</v>
      </c>
      <c r="B3367" s="1" t="s">
        <v>27</v>
      </c>
      <c r="C3367" s="1" t="s">
        <v>18518</v>
      </c>
      <c r="D3367" s="1" t="s">
        <v>7379</v>
      </c>
      <c r="F3367" s="1" t="s">
        <v>5541</v>
      </c>
      <c r="G3367" s="1" t="s">
        <v>18519</v>
      </c>
      <c r="H3367" s="1">
        <v>2019.0</v>
      </c>
      <c r="I3367" s="1" t="s">
        <v>136</v>
      </c>
      <c r="J3367" s="1" t="s">
        <v>8852</v>
      </c>
      <c r="K3367" s="1" t="s">
        <v>156</v>
      </c>
      <c r="L3367" s="1" t="s">
        <v>18520</v>
      </c>
      <c r="M3367" s="2" t="s">
        <v>12</v>
      </c>
      <c r="N3367" s="4">
        <f t="shared" si="1"/>
        <v>43766</v>
      </c>
      <c r="O3367" s="5" t="str">
        <f>IFERROR(__xludf.DUMMYFUNCTION("IF(REGEXMATCH(TRIM(I3367), ""^\d+\s*min""), ""Unclassified"", IF(I3367 = """", ""NR"", I3367))"),"TV-PG")</f>
        <v>TV-PG</v>
      </c>
      <c r="R3367" s="5" t="str">
        <f t="shared" si="2"/>
        <v>A 3 Minute Hug</v>
      </c>
      <c r="S3367" s="5" t="str">
        <f>IFERROR(__xludf.DUMMYFUNCTION("""COMPUTED_VALUE"""),"Incorruptible")</f>
        <v>Incorruptible</v>
      </c>
      <c r="U3367" s="5" t="str">
        <f>IFERROR(__xludf.DUMMYFUNCTION("""COMPUTED_VALUE"""),"Jason Priestley")</f>
        <v>Jason Priestley</v>
      </c>
      <c r="V3367" s="5" t="s">
        <v>18521</v>
      </c>
      <c r="W3367" s="5" t="str">
        <f t="shared" si="3"/>
        <v>Rachel Lears</v>
      </c>
      <c r="X3367" s="5">
        <f t="shared" si="4"/>
        <v>1</v>
      </c>
      <c r="Y3367" s="5" t="str">
        <f>IFERROR(__xludf.DUMMYFUNCTION("REGEXEXTRACT(J3367, ""^\d+"")"),"28")</f>
        <v>28</v>
      </c>
      <c r="Z3367" s="5" t="str">
        <f>IFERROR(__xludf.DUMMYFUNCTION("REGEXEXTRACT(J3367, ""[A-Za-z ]+$"")")," min")</f>
        <v> min</v>
      </c>
      <c r="AA3367" s="5" t="str">
        <f>IFERROR(__xludf.DUMMYFUNCTION("IF(REGEXMATCH(Z3367, ""Season""), ""TV Show"", ""Movie"")"),"Movie")</f>
        <v>Movie</v>
      </c>
    </row>
    <row r="3368">
      <c r="A3368" s="1" t="s">
        <v>18522</v>
      </c>
      <c r="B3368" s="1" t="s">
        <v>27</v>
      </c>
      <c r="C3368" s="1" t="s">
        <v>18523</v>
      </c>
      <c r="D3368" s="1" t="s">
        <v>15231</v>
      </c>
      <c r="E3368" s="1" t="s">
        <v>18524</v>
      </c>
      <c r="F3368" s="1" t="s">
        <v>96</v>
      </c>
      <c r="G3368" s="1" t="s">
        <v>18519</v>
      </c>
      <c r="H3368" s="1">
        <v>2018.0</v>
      </c>
      <c r="I3368" s="1" t="s">
        <v>506</v>
      </c>
      <c r="J3368" s="1" t="s">
        <v>11281</v>
      </c>
      <c r="K3368" s="1" t="s">
        <v>520</v>
      </c>
      <c r="L3368" s="1" t="s">
        <v>18525</v>
      </c>
      <c r="M3368" s="2" t="s">
        <v>12</v>
      </c>
      <c r="N3368" s="4">
        <f t="shared" si="1"/>
        <v>43766</v>
      </c>
      <c r="O3368" s="5" t="str">
        <f>IFERROR(__xludf.DUMMYFUNCTION("IF(REGEXMATCH(TRIM(I3368), ""^\d+\s*min""), ""Unclassified"", IF(I3368 = """", ""NR"", I3368))"),"TV-G")</f>
        <v>TV-G</v>
      </c>
      <c r="R3368" s="5" t="str">
        <f t="shared" si="2"/>
        <v>Little Miss Sumo</v>
      </c>
      <c r="S3368" s="5" t="str">
        <f>IFERROR(__xludf.DUMMYFUNCTION("""COMPUTED_VALUE"""),"Incredibles 2 (Spanish Version)")</f>
        <v>Incredibles 2 (Spanish Version)</v>
      </c>
      <c r="U3368" s="5" t="str">
        <f>IFERROR(__xludf.DUMMYFUNCTION("""COMPUTED_VALUE"""),"Neil Labute")</f>
        <v>Neil Labute</v>
      </c>
      <c r="V3368" s="5" t="s">
        <v>14884</v>
      </c>
      <c r="W3368" s="5" t="str">
        <f t="shared" si="3"/>
        <v>Rachel Mason</v>
      </c>
      <c r="X3368" s="5">
        <f t="shared" si="4"/>
        <v>1</v>
      </c>
      <c r="Y3368" s="5" t="str">
        <f>IFERROR(__xludf.DUMMYFUNCTION("REGEXEXTRACT(J3368, ""^\d+"")"),"20")</f>
        <v>20</v>
      </c>
      <c r="Z3368" s="5" t="str">
        <f>IFERROR(__xludf.DUMMYFUNCTION("REGEXEXTRACT(J3368, ""[A-Za-z ]+$"")")," min")</f>
        <v> min</v>
      </c>
      <c r="AA3368" s="5" t="str">
        <f>IFERROR(__xludf.DUMMYFUNCTION("IF(REGEXMATCH(Z3368, ""Season""), ""TV Show"", ""Movie"")"),"Movie")</f>
        <v>Movie</v>
      </c>
    </row>
    <row r="3369">
      <c r="A3369" s="1" t="s">
        <v>18526</v>
      </c>
      <c r="B3369" s="1" t="s">
        <v>37</v>
      </c>
      <c r="C3369" s="1" t="s">
        <v>18527</v>
      </c>
      <c r="E3369" s="1" t="s">
        <v>18528</v>
      </c>
      <c r="F3369" s="1" t="s">
        <v>3892</v>
      </c>
      <c r="G3369" s="1" t="s">
        <v>18529</v>
      </c>
      <c r="H3369" s="1">
        <v>2019.0</v>
      </c>
      <c r="I3369" s="1" t="s">
        <v>136</v>
      </c>
      <c r="J3369" s="1" t="s">
        <v>51</v>
      </c>
      <c r="K3369" s="1" t="s">
        <v>18157</v>
      </c>
      <c r="L3369" s="1" t="s">
        <v>18530</v>
      </c>
      <c r="M3369" s="2" t="s">
        <v>12</v>
      </c>
      <c r="N3369" s="4">
        <f t="shared" si="1"/>
        <v>43765</v>
      </c>
      <c r="O3369" s="5" t="str">
        <f>IFERROR(__xludf.DUMMYFUNCTION("IF(REGEXMATCH(TRIM(I3369), ""^\d+\s*min""), ""Unclassified"", IF(I3369 = """", ""NR"", I3369))"),"TV-PG")</f>
        <v>TV-PG</v>
      </c>
      <c r="R3369" s="5" t="str">
        <f t="shared" si="2"/>
        <v>Wait, My Youth</v>
      </c>
      <c r="S3369" s="5" t="str">
        <f>IFERROR(__xludf.DUMMYFUNCTION("""COMPUTED_VALUE"""),"India")</f>
        <v>India</v>
      </c>
      <c r="U3369" s="5" t="str">
        <f>IFERROR(__xludf.DUMMYFUNCTION("""COMPUTED_VALUE"""),"Harrison Smith")</f>
        <v>Harrison Smith</v>
      </c>
      <c r="V3369" s="5" t="s">
        <v>10662</v>
      </c>
      <c r="W3369" s="5" t="str">
        <f t="shared" si="3"/>
        <v>Rachel Talalay</v>
      </c>
      <c r="X3369" s="5">
        <f t="shared" si="4"/>
        <v>1</v>
      </c>
      <c r="Y3369" s="5" t="str">
        <f>IFERROR(__xludf.DUMMYFUNCTION("REGEXEXTRACT(J3369, ""^\d+"")"),"1")</f>
        <v>1</v>
      </c>
      <c r="Z3369" s="5" t="str">
        <f>IFERROR(__xludf.DUMMYFUNCTION("REGEXEXTRACT(J3369, ""[A-Za-z ]+$"")")," Season")</f>
        <v> Season</v>
      </c>
      <c r="AA3369" s="5" t="str">
        <f>IFERROR(__xludf.DUMMYFUNCTION("IF(REGEXMATCH(Z3369, ""Season""), ""TV Show"", ""Movie"")"),"TV Show")</f>
        <v>TV Show</v>
      </c>
    </row>
    <row r="3370">
      <c r="A3370" s="1" t="s">
        <v>18531</v>
      </c>
      <c r="B3370" s="1" t="s">
        <v>37</v>
      </c>
      <c r="C3370" s="1" t="s">
        <v>18532</v>
      </c>
      <c r="E3370" s="1" t="s">
        <v>18533</v>
      </c>
      <c r="F3370" s="1" t="s">
        <v>3892</v>
      </c>
      <c r="G3370" s="1" t="s">
        <v>18534</v>
      </c>
      <c r="H3370" s="1">
        <v>2019.0</v>
      </c>
      <c r="I3370" s="1" t="s">
        <v>506</v>
      </c>
      <c r="J3370" s="1" t="s">
        <v>51</v>
      </c>
      <c r="K3370" s="1" t="s">
        <v>18157</v>
      </c>
      <c r="L3370" s="1" t="s">
        <v>18535</v>
      </c>
      <c r="M3370" s="2" t="s">
        <v>12</v>
      </c>
      <c r="N3370" s="4">
        <f t="shared" si="1"/>
        <v>43764</v>
      </c>
      <c r="O3370" s="5" t="str">
        <f>IFERROR(__xludf.DUMMYFUNCTION("IF(REGEXMATCH(TRIM(I3370), ""^\d+\s*min""), ""Unclassified"", IF(I3370 = """", ""NR"", I3370))"),"TV-G")</f>
        <v>TV-G</v>
      </c>
      <c r="R3370" s="5" t="str">
        <f t="shared" si="2"/>
        <v>A Little Thing Called First Love</v>
      </c>
      <c r="S3370" s="5" t="str">
        <f>IFERROR(__xludf.DUMMYFUNCTION("""COMPUTED_VALUE"""),"India: Nature'S Wonderland")</f>
        <v>India: Nature'S Wonderland</v>
      </c>
      <c r="U3370" s="5" t="str">
        <f>IFERROR(__xludf.DUMMYFUNCTION("""COMPUTED_VALUE"""),"Clay Porter")</f>
        <v>Clay Porter</v>
      </c>
      <c r="V3370" s="5" t="s">
        <v>12933</v>
      </c>
      <c r="W3370" s="5" t="str">
        <f t="shared" si="3"/>
        <v>Rachit Kusonkoonsiri</v>
      </c>
      <c r="X3370" s="5">
        <f t="shared" si="4"/>
        <v>1</v>
      </c>
      <c r="Y3370" s="5" t="str">
        <f>IFERROR(__xludf.DUMMYFUNCTION("REGEXEXTRACT(J3370, ""^\d+"")"),"1")</f>
        <v>1</v>
      </c>
      <c r="Z3370" s="5" t="str">
        <f>IFERROR(__xludf.DUMMYFUNCTION("REGEXEXTRACT(J3370, ""[A-Za-z ]+$"")")," Season")</f>
        <v> Season</v>
      </c>
      <c r="AA3370" s="5" t="str">
        <f>IFERROR(__xludf.DUMMYFUNCTION("IF(REGEXMATCH(Z3370, ""Season""), ""TV Show"", ""Movie"")"),"TV Show")</f>
        <v>TV Show</v>
      </c>
    </row>
    <row r="3371">
      <c r="A3371" s="1" t="s">
        <v>18536</v>
      </c>
      <c r="B3371" s="1" t="s">
        <v>37</v>
      </c>
      <c r="C3371" s="1" t="s">
        <v>18537</v>
      </c>
      <c r="E3371" s="1" t="s">
        <v>18538</v>
      </c>
      <c r="F3371" s="1" t="s">
        <v>30</v>
      </c>
      <c r="G3371" s="1" t="s">
        <v>18539</v>
      </c>
      <c r="H3371" s="1">
        <v>2020.0</v>
      </c>
      <c r="I3371" s="1" t="s">
        <v>42</v>
      </c>
      <c r="J3371" s="1" t="s">
        <v>439</v>
      </c>
      <c r="K3371" s="1" t="s">
        <v>270</v>
      </c>
      <c r="L3371" s="1" t="s">
        <v>18540</v>
      </c>
      <c r="M3371" s="2" t="s">
        <v>12</v>
      </c>
      <c r="N3371" s="4">
        <f t="shared" si="1"/>
        <v>43763</v>
      </c>
      <c r="O3371" s="5" t="str">
        <f>IFERROR(__xludf.DUMMYFUNCTION("IF(REGEXMATCH(TRIM(I3371), ""^\d+\s*min""), ""Unclassified"", IF(I3371 = """", ""NR"", I3371))"),"TV-MA")</f>
        <v>TV-MA</v>
      </c>
      <c r="R3371" s="5" t="str">
        <f t="shared" si="2"/>
        <v>Bojack Horseman</v>
      </c>
      <c r="S3371" s="5" t="str">
        <f>IFERROR(__xludf.DUMMYFUNCTION("""COMPUTED_VALUE"""),"Indian Horse")</f>
        <v>Indian Horse</v>
      </c>
      <c r="U3371" s="5" t="str">
        <f>IFERROR(__xludf.DUMMYFUNCTION("""COMPUTED_VALUE"""),"Ken Burns, Artemis Joukowsky")</f>
        <v>Ken Burns, Artemis Joukowsky</v>
      </c>
      <c r="V3371" s="5" t="s">
        <v>10811</v>
      </c>
      <c r="W3371" s="5" t="str">
        <f t="shared" si="3"/>
        <v>Radha Blank</v>
      </c>
      <c r="X3371" s="5">
        <f t="shared" si="4"/>
        <v>1</v>
      </c>
      <c r="Y3371" s="5" t="str">
        <f>IFERROR(__xludf.DUMMYFUNCTION("REGEXEXTRACT(J3371, ""^\d+"")"),"6")</f>
        <v>6</v>
      </c>
      <c r="Z3371" s="5" t="str">
        <f>IFERROR(__xludf.DUMMYFUNCTION("REGEXEXTRACT(J3371, ""[A-Za-z ]+$"")")," Seasons")</f>
        <v> Seasons</v>
      </c>
      <c r="AA3371" s="5" t="str">
        <f>IFERROR(__xludf.DUMMYFUNCTION("IF(REGEXMATCH(Z3371, ""Season""), ""TV Show"", ""Movie"")"),"TV Show")</f>
        <v>TV Show</v>
      </c>
    </row>
    <row r="3372">
      <c r="A3372" s="1" t="s">
        <v>18541</v>
      </c>
      <c r="B3372" s="1" t="s">
        <v>37</v>
      </c>
      <c r="C3372" s="1" t="s">
        <v>18542</v>
      </c>
      <c r="E3372" s="1" t="s">
        <v>18543</v>
      </c>
      <c r="F3372" s="1" t="s">
        <v>1992</v>
      </c>
      <c r="G3372" s="1" t="s">
        <v>18539</v>
      </c>
      <c r="H3372" s="1">
        <v>2019.0</v>
      </c>
      <c r="I3372" s="1" t="s">
        <v>42</v>
      </c>
      <c r="J3372" s="1" t="s">
        <v>51</v>
      </c>
      <c r="K3372" s="1" t="s">
        <v>1362</v>
      </c>
      <c r="L3372" s="1" t="s">
        <v>18544</v>
      </c>
      <c r="M3372" s="2" t="s">
        <v>12</v>
      </c>
      <c r="N3372" s="4">
        <f t="shared" si="1"/>
        <v>43763</v>
      </c>
      <c r="O3372" s="5" t="str">
        <f>IFERROR(__xludf.DUMMYFUNCTION("IF(REGEXMATCH(TRIM(I3372), ""^\d+\s*min""), ""Unclassified"", IF(I3372 = """", ""NR"", I3372))"),"TV-MA")</f>
        <v>TV-MA</v>
      </c>
      <c r="R3372" s="5" t="str">
        <f t="shared" si="2"/>
        <v>Brotherhood</v>
      </c>
      <c r="S3372" s="5" t="str">
        <f>IFERROR(__xludf.DUMMYFUNCTION("""COMPUTED_VALUE"""),"Indian Matchmaking")</f>
        <v>Indian Matchmaking</v>
      </c>
      <c r="U3372" s="5" t="str">
        <f>IFERROR(__xludf.DUMMYFUNCTION("""COMPUTED_VALUE"""),"Dennis Iliadis")</f>
        <v>Dennis Iliadis</v>
      </c>
      <c r="V3372" s="5" t="s">
        <v>18545</v>
      </c>
      <c r="W3372" s="5" t="str">
        <f t="shared" si="3"/>
        <v>Radhika Rao, Vinay Sapru</v>
      </c>
      <c r="X3372" s="5">
        <f t="shared" si="4"/>
        <v>1</v>
      </c>
      <c r="Y3372" s="5" t="str">
        <f>IFERROR(__xludf.DUMMYFUNCTION("REGEXEXTRACT(J3372, ""^\d+"")"),"1")</f>
        <v>1</v>
      </c>
      <c r="Z3372" s="5" t="str">
        <f>IFERROR(__xludf.DUMMYFUNCTION("REGEXEXTRACT(J3372, ""[A-Za-z ]+$"")")," Season")</f>
        <v> Season</v>
      </c>
      <c r="AA3372" s="5" t="str">
        <f>IFERROR(__xludf.DUMMYFUNCTION("IF(REGEXMATCH(Z3372, ""Season""), ""TV Show"", ""Movie"")"),"TV Show")</f>
        <v>TV Show</v>
      </c>
    </row>
    <row r="3373">
      <c r="A3373" s="1" t="s">
        <v>18546</v>
      </c>
      <c r="B3373" s="1" t="s">
        <v>27</v>
      </c>
      <c r="C3373" s="1" t="s">
        <v>18547</v>
      </c>
      <c r="D3373" s="1" t="s">
        <v>5851</v>
      </c>
      <c r="E3373" s="1" t="s">
        <v>18548</v>
      </c>
      <c r="F3373" s="1" t="s">
        <v>188</v>
      </c>
      <c r="G3373" s="1" t="s">
        <v>18539</v>
      </c>
      <c r="H3373" s="1">
        <v>2014.0</v>
      </c>
      <c r="I3373" s="1" t="s">
        <v>42</v>
      </c>
      <c r="J3373" s="1" t="s">
        <v>256</v>
      </c>
      <c r="K3373" s="1" t="s">
        <v>298</v>
      </c>
      <c r="L3373" s="1" t="s">
        <v>18549</v>
      </c>
      <c r="M3373" s="2" t="s">
        <v>12</v>
      </c>
      <c r="N3373" s="4">
        <f t="shared" si="1"/>
        <v>43763</v>
      </c>
      <c r="O3373" s="5" t="str">
        <f>IFERROR(__xludf.DUMMYFUNCTION("IF(REGEXMATCH(TRIM(I3373), ""^\d+\s*min""), ""Unclassified"", IF(I3373 = """", ""NR"", I3373))"),"TV-MA")</f>
        <v>TV-MA</v>
      </c>
      <c r="R3373" s="5" t="str">
        <f t="shared" si="2"/>
        <v>Consequences</v>
      </c>
      <c r="S3373" s="5" t="str">
        <f>IFERROR(__xludf.DUMMYFUNCTION("""COMPUTED_VALUE"""),"Indiana Jones And The Kingdom Of The Crystal Skull")</f>
        <v>Indiana Jones And The Kingdom Of The Crystal Skull</v>
      </c>
      <c r="U3373" s="5" t="str">
        <f>IFERROR(__xludf.DUMMYFUNCTION("""COMPUTED_VALUE"""),"Camilla Nielsson")</f>
        <v>Camilla Nielsson</v>
      </c>
      <c r="V3373" s="5" t="s">
        <v>18550</v>
      </c>
      <c r="W3373" s="5" t="str">
        <f t="shared" si="3"/>
        <v>Radhu Karmakar</v>
      </c>
      <c r="X3373" s="5">
        <f t="shared" si="4"/>
        <v>1</v>
      </c>
      <c r="Y3373" s="5" t="str">
        <f>IFERROR(__xludf.DUMMYFUNCTION("REGEXEXTRACT(J3373, ""^\d+"")"),"106")</f>
        <v>106</v>
      </c>
      <c r="Z3373" s="5" t="str">
        <f>IFERROR(__xludf.DUMMYFUNCTION("REGEXEXTRACT(J3373, ""[A-Za-z ]+$"")")," min")</f>
        <v> min</v>
      </c>
      <c r="AA3373" s="5" t="str">
        <f>IFERROR(__xludf.DUMMYFUNCTION("IF(REGEXMATCH(Z3373, ""Season""), ""TV Show"", ""Movie"")"),"Movie")</f>
        <v>Movie</v>
      </c>
    </row>
    <row r="3374">
      <c r="A3374" s="1" t="s">
        <v>18551</v>
      </c>
      <c r="B3374" s="1" t="s">
        <v>27</v>
      </c>
      <c r="C3374" s="1" t="s">
        <v>18552</v>
      </c>
      <c r="D3374" s="1" t="s">
        <v>5231</v>
      </c>
      <c r="E3374" s="1" t="s">
        <v>18553</v>
      </c>
      <c r="F3374" s="1" t="s">
        <v>30</v>
      </c>
      <c r="G3374" s="1" t="s">
        <v>18539</v>
      </c>
      <c r="H3374" s="1">
        <v>2019.0</v>
      </c>
      <c r="I3374" s="1" t="s">
        <v>378</v>
      </c>
      <c r="J3374" s="1" t="s">
        <v>870</v>
      </c>
      <c r="K3374" s="1" t="s">
        <v>107</v>
      </c>
      <c r="L3374" s="1" t="s">
        <v>18554</v>
      </c>
      <c r="M3374" s="2" t="s">
        <v>12</v>
      </c>
      <c r="N3374" s="4">
        <f t="shared" si="1"/>
        <v>43763</v>
      </c>
      <c r="O3374" s="5" t="str">
        <f>IFERROR(__xludf.DUMMYFUNCTION("IF(REGEXMATCH(TRIM(I3374), ""^\d+\s*min""), ""Unclassified"", IF(I3374 = """", ""NR"", I3374))"),"R")</f>
        <v>R</v>
      </c>
      <c r="R3374" s="5" t="str">
        <f t="shared" si="2"/>
        <v>Dolemite Is My Name</v>
      </c>
      <c r="S3374" s="5" t="str">
        <f>IFERROR(__xludf.DUMMYFUNCTION("""COMPUTED_VALUE"""),"Indiana Jones And The Last Crusade")</f>
        <v>Indiana Jones And The Last Crusade</v>
      </c>
      <c r="U3374" s="5" t="str">
        <f>IFERROR(__xludf.DUMMYFUNCTION("""COMPUTED_VALUE"""),"Christian Gudegast")</f>
        <v>Christian Gudegast</v>
      </c>
      <c r="V3374" s="5" t="s">
        <v>18555</v>
      </c>
      <c r="W3374" s="5" t="str">
        <f t="shared" si="3"/>
        <v>Raditya Dika</v>
      </c>
      <c r="X3374" s="5">
        <f t="shared" si="4"/>
        <v>2</v>
      </c>
      <c r="Y3374" s="5" t="str">
        <f>IFERROR(__xludf.DUMMYFUNCTION("REGEXEXTRACT(J3374, ""^\d+"")"),"118")</f>
        <v>118</v>
      </c>
      <c r="Z3374" s="5" t="str">
        <f>IFERROR(__xludf.DUMMYFUNCTION("REGEXEXTRACT(J3374, ""[A-Za-z ]+$"")")," min")</f>
        <v> min</v>
      </c>
      <c r="AA3374" s="5" t="str">
        <f>IFERROR(__xludf.DUMMYFUNCTION("IF(REGEXMATCH(Z3374, ""Season""), ""TV Show"", ""Movie"")"),"Movie")</f>
        <v>Movie</v>
      </c>
    </row>
    <row r="3375">
      <c r="A3375" s="1" t="s">
        <v>18556</v>
      </c>
      <c r="B3375" s="1" t="s">
        <v>37</v>
      </c>
      <c r="C3375" s="1" t="s">
        <v>18557</v>
      </c>
      <c r="E3375" s="1" t="s">
        <v>18558</v>
      </c>
      <c r="F3375" s="1" t="s">
        <v>784</v>
      </c>
      <c r="G3375" s="1" t="s">
        <v>18539</v>
      </c>
      <c r="H3375" s="1">
        <v>2019.0</v>
      </c>
      <c r="I3375" s="1" t="s">
        <v>42</v>
      </c>
      <c r="J3375" s="1" t="s">
        <v>51</v>
      </c>
      <c r="K3375" s="1" t="s">
        <v>785</v>
      </c>
      <c r="L3375" s="1" t="s">
        <v>18559</v>
      </c>
      <c r="M3375" s="2" t="s">
        <v>12</v>
      </c>
      <c r="N3375" s="4">
        <f t="shared" si="1"/>
        <v>43763</v>
      </c>
      <c r="O3375" s="5" t="str">
        <f>IFERROR(__xludf.DUMMYFUNCTION("IF(REGEXMATCH(TRIM(I3375), ""^\d+\s*min""), ""Unclassified"", IF(I3375 = """", ""NR"", I3375))"),"TV-MA")</f>
        <v>TV-MA</v>
      </c>
      <c r="R3375" s="5" t="str">
        <f t="shared" si="2"/>
        <v>Drug Squad: Costa Del Sol</v>
      </c>
      <c r="S3375" s="5" t="str">
        <f>IFERROR(__xludf.DUMMYFUNCTION("""COMPUTED_VALUE"""),"Indiana Jones And The Raiders Of The Lost Ark")</f>
        <v>Indiana Jones And The Raiders Of The Lost Ark</v>
      </c>
      <c r="U3375" s="5" t="str">
        <f>IFERROR(__xludf.DUMMYFUNCTION("""COMPUTED_VALUE"""),"Frederick Cipoletti")</f>
        <v>Frederick Cipoletti</v>
      </c>
      <c r="V3375" s="5" t="s">
        <v>4714</v>
      </c>
      <c r="W3375" s="5" t="str">
        <f t="shared" si="3"/>
        <v>Rae Red</v>
      </c>
      <c r="X3375" s="5">
        <f t="shared" si="4"/>
        <v>1</v>
      </c>
      <c r="Y3375" s="5" t="str">
        <f>IFERROR(__xludf.DUMMYFUNCTION("REGEXEXTRACT(J3375, ""^\d+"")"),"1")</f>
        <v>1</v>
      </c>
      <c r="Z3375" s="5" t="str">
        <f>IFERROR(__xludf.DUMMYFUNCTION("REGEXEXTRACT(J3375, ""[A-Za-z ]+$"")")," Season")</f>
        <v> Season</v>
      </c>
      <c r="AA3375" s="5" t="str">
        <f>IFERROR(__xludf.DUMMYFUNCTION("IF(REGEXMATCH(Z3375, ""Season""), ""TV Show"", ""Movie"")"),"TV Show")</f>
        <v>TV Show</v>
      </c>
    </row>
    <row r="3376">
      <c r="A3376" s="1" t="s">
        <v>18560</v>
      </c>
      <c r="B3376" s="1" t="s">
        <v>27</v>
      </c>
      <c r="C3376" s="1" t="s">
        <v>18561</v>
      </c>
      <c r="D3376" s="1" t="s">
        <v>3436</v>
      </c>
      <c r="F3376" s="1" t="s">
        <v>18562</v>
      </c>
      <c r="G3376" s="1" t="s">
        <v>18539</v>
      </c>
      <c r="H3376" s="1">
        <v>2019.0</v>
      </c>
      <c r="I3376" s="1" t="s">
        <v>42</v>
      </c>
      <c r="J3376" s="1" t="s">
        <v>127</v>
      </c>
      <c r="K3376" s="1" t="s">
        <v>34</v>
      </c>
      <c r="L3376" s="1" t="s">
        <v>18563</v>
      </c>
      <c r="M3376" s="2" t="s">
        <v>12</v>
      </c>
      <c r="N3376" s="4">
        <f t="shared" si="1"/>
        <v>43763</v>
      </c>
      <c r="O3376" s="5" t="str">
        <f>IFERROR(__xludf.DUMMYFUNCTION("IF(REGEXMATCH(TRIM(I3376), ""^\d+\s*min""), ""Unclassified"", IF(I3376 = """", ""NR"", I3376))"),"TV-MA")</f>
        <v>TV-MA</v>
      </c>
      <c r="R3376" s="5" t="str">
        <f t="shared" si="2"/>
        <v>It Takes A Lunatic</v>
      </c>
      <c r="S3376" s="5" t="str">
        <f>IFERROR(__xludf.DUMMYFUNCTION("""COMPUTED_VALUE"""),"Indiana Jones And The Temple Of Doom")</f>
        <v>Indiana Jones And The Temple Of Doom</v>
      </c>
      <c r="U3376" s="5" t="str">
        <f>IFERROR(__xludf.DUMMYFUNCTION("""COMPUTED_VALUE"""),"Sam Patton")</f>
        <v>Sam Patton</v>
      </c>
      <c r="V3376" s="5" t="s">
        <v>18564</v>
      </c>
      <c r="W3376" s="5" t="str">
        <f t="shared" si="3"/>
        <v>Rahat Kazmi</v>
      </c>
      <c r="X3376" s="5">
        <f t="shared" si="4"/>
        <v>1</v>
      </c>
      <c r="Y3376" s="5" t="str">
        <f>IFERROR(__xludf.DUMMYFUNCTION("REGEXEXTRACT(J3376, ""^\d+"")"),"127")</f>
        <v>127</v>
      </c>
      <c r="Z3376" s="5" t="str">
        <f>IFERROR(__xludf.DUMMYFUNCTION("REGEXEXTRACT(J3376, ""[A-Za-z ]+$"")")," min")</f>
        <v> min</v>
      </c>
      <c r="AA3376" s="5" t="str">
        <f>IFERROR(__xludf.DUMMYFUNCTION("IF(REGEXMATCH(Z3376, ""Season""), ""TV Show"", ""Movie"")"),"Movie")</f>
        <v>Movie</v>
      </c>
    </row>
    <row r="3377">
      <c r="A3377" s="1" t="s">
        <v>18565</v>
      </c>
      <c r="B3377" s="1" t="s">
        <v>37</v>
      </c>
      <c r="C3377" s="1" t="s">
        <v>18566</v>
      </c>
      <c r="E3377" s="1" t="s">
        <v>18567</v>
      </c>
      <c r="F3377" s="1" t="s">
        <v>1815</v>
      </c>
      <c r="G3377" s="1" t="s">
        <v>18539</v>
      </c>
      <c r="H3377" s="1">
        <v>2018.0</v>
      </c>
      <c r="I3377" s="1" t="s">
        <v>42</v>
      </c>
      <c r="J3377" s="1" t="s">
        <v>51</v>
      </c>
      <c r="K3377" s="1" t="s">
        <v>785</v>
      </c>
      <c r="L3377" s="1" t="s">
        <v>18568</v>
      </c>
      <c r="M3377" s="2" t="s">
        <v>12</v>
      </c>
      <c r="N3377" s="4">
        <f t="shared" si="1"/>
        <v>43763</v>
      </c>
      <c r="O3377" s="5" t="str">
        <f>IFERROR(__xludf.DUMMYFUNCTION("IF(REGEXMATCH(TRIM(I3377), ""^\d+\s*min""), ""Unclassified"", IF(I3377 = """", ""NR"", I3377))"),"TV-MA")</f>
        <v>TV-MA</v>
      </c>
      <c r="R3377" s="5" t="str">
        <f t="shared" si="2"/>
        <v>Monzón: A Knockout Blow</v>
      </c>
      <c r="S3377" s="5" t="str">
        <f>IFERROR(__xludf.DUMMYFUNCTION("""COMPUTED_VALUE"""),"Indiscretion")</f>
        <v>Indiscretion</v>
      </c>
      <c r="U3377" s="5" t="str">
        <f>IFERROR(__xludf.DUMMYFUNCTION("""COMPUTED_VALUE"""),"Mohamed Samy")</f>
        <v>Mohamed Samy</v>
      </c>
      <c r="V3377" s="5" t="s">
        <v>18569</v>
      </c>
      <c r="W3377" s="5" t="str">
        <f t="shared" si="3"/>
        <v>Rahul Dholakia</v>
      </c>
      <c r="X3377" s="5">
        <f t="shared" si="4"/>
        <v>1</v>
      </c>
      <c r="Y3377" s="5" t="str">
        <f>IFERROR(__xludf.DUMMYFUNCTION("REGEXEXTRACT(J3377, ""^\d+"")"),"1")</f>
        <v>1</v>
      </c>
      <c r="Z3377" s="5" t="str">
        <f>IFERROR(__xludf.DUMMYFUNCTION("REGEXEXTRACT(J3377, ""[A-Za-z ]+$"")")," Season")</f>
        <v> Season</v>
      </c>
      <c r="AA3377" s="5" t="str">
        <f>IFERROR(__xludf.DUMMYFUNCTION("IF(REGEXMATCH(Z3377, ""Season""), ""TV Show"", ""Movie"")"),"TV Show")</f>
        <v>TV Show</v>
      </c>
    </row>
    <row r="3378">
      <c r="A3378" s="1" t="s">
        <v>18570</v>
      </c>
      <c r="B3378" s="1" t="s">
        <v>27</v>
      </c>
      <c r="C3378" s="1" t="s">
        <v>18571</v>
      </c>
      <c r="D3378" s="1" t="s">
        <v>15835</v>
      </c>
      <c r="E3378" s="1" t="s">
        <v>18572</v>
      </c>
      <c r="G3378" s="1" t="s">
        <v>18539</v>
      </c>
      <c r="H3378" s="1">
        <v>2019.0</v>
      </c>
      <c r="I3378" s="1" t="s">
        <v>136</v>
      </c>
      <c r="J3378" s="1" t="s">
        <v>207</v>
      </c>
      <c r="K3378" s="1" t="s">
        <v>10341</v>
      </c>
      <c r="L3378" s="1" t="s">
        <v>18573</v>
      </c>
      <c r="M3378" s="2" t="s">
        <v>12</v>
      </c>
      <c r="N3378" s="4">
        <f t="shared" si="1"/>
        <v>43763</v>
      </c>
      <c r="O3378" s="5" t="str">
        <f>IFERROR(__xludf.DUMMYFUNCTION("IF(REGEXMATCH(TRIM(I3378), ""^\d+\s*min""), ""Unclassified"", IF(I3378 = """", ""NR"", I3378))"),"TV-PG")</f>
        <v>TV-PG</v>
      </c>
      <c r="R3378" s="5" t="str">
        <f t="shared" si="2"/>
        <v>My Next Guest With David Letterman And Shah Rukh Khan</v>
      </c>
      <c r="S3378" s="5" t="str">
        <f>IFERROR(__xludf.DUMMYFUNCTION("""COMPUTED_VALUE"""),"Indoo Ki Jawani")</f>
        <v>Indoo Ki Jawani</v>
      </c>
      <c r="U3378" s="5" t="str">
        <f>IFERROR(__xludf.DUMMYFUNCTION("""COMPUTED_VALUE"""),"Christopher Smith")</f>
        <v>Christopher Smith</v>
      </c>
      <c r="V3378" s="5" t="s">
        <v>18574</v>
      </c>
      <c r="W3378" s="5" t="str">
        <f t="shared" si="3"/>
        <v>Rahul Ravindran</v>
      </c>
      <c r="X3378" s="5">
        <f t="shared" si="4"/>
        <v>1</v>
      </c>
      <c r="Y3378" s="5" t="str">
        <f>IFERROR(__xludf.DUMMYFUNCTION("REGEXEXTRACT(J3378, ""^\d+"")"),"61")</f>
        <v>61</v>
      </c>
      <c r="Z3378" s="5" t="str">
        <f>IFERROR(__xludf.DUMMYFUNCTION("REGEXEXTRACT(J3378, ""[A-Za-z ]+$"")")," min")</f>
        <v> min</v>
      </c>
      <c r="AA3378" s="5" t="str">
        <f>IFERROR(__xludf.DUMMYFUNCTION("IF(REGEXMATCH(Z3378, ""Season""), ""TV Show"", ""Movie"")"),"Movie")</f>
        <v>Movie</v>
      </c>
    </row>
    <row r="3379">
      <c r="A3379" s="1" t="s">
        <v>18575</v>
      </c>
      <c r="B3379" s="1" t="s">
        <v>37</v>
      </c>
      <c r="C3379" s="1" t="s">
        <v>18576</v>
      </c>
      <c r="E3379" s="1" t="s">
        <v>18577</v>
      </c>
      <c r="F3379" s="1" t="s">
        <v>664</v>
      </c>
      <c r="G3379" s="1" t="s">
        <v>18539</v>
      </c>
      <c r="H3379" s="1">
        <v>2019.0</v>
      </c>
      <c r="I3379" s="1" t="s">
        <v>97</v>
      </c>
      <c r="J3379" s="1" t="s">
        <v>51</v>
      </c>
      <c r="K3379" s="1" t="s">
        <v>1520</v>
      </c>
      <c r="L3379" s="1" t="s">
        <v>18578</v>
      </c>
      <c r="M3379" s="2" t="s">
        <v>12</v>
      </c>
      <c r="N3379" s="4">
        <f t="shared" si="1"/>
        <v>43763</v>
      </c>
      <c r="O3379" s="5" t="str">
        <f>IFERROR(__xludf.DUMMYFUNCTION("IF(REGEXMATCH(TRIM(I3379), ""^\d+\s*min""), ""Unclassified"", IF(I3379 = """", ""NR"", I3379))"),"TV-14")</f>
        <v>TV-14</v>
      </c>
      <c r="R3379" s="5" t="str">
        <f t="shared" si="2"/>
        <v>Nailed It! France</v>
      </c>
      <c r="S3379" s="5" t="str">
        <f>IFERROR(__xludf.DUMMYFUNCTION("""COMPUTED_VALUE"""),"Inequality For All")</f>
        <v>Inequality For All</v>
      </c>
      <c r="U3379" s="5" t="str">
        <f>IFERROR(__xludf.DUMMYFUNCTION("""COMPUTED_VALUE"""),"Michael Feifer")</f>
        <v>Michael Feifer</v>
      </c>
      <c r="V3379" s="5" t="s">
        <v>818</v>
      </c>
      <c r="W3379" s="5" t="str">
        <f t="shared" si="3"/>
        <v>Rahul Rawail</v>
      </c>
      <c r="X3379" s="5">
        <f t="shared" si="4"/>
        <v>1</v>
      </c>
      <c r="Y3379" s="5" t="str">
        <f>IFERROR(__xludf.DUMMYFUNCTION("REGEXEXTRACT(J3379, ""^\d+"")"),"1")</f>
        <v>1</v>
      </c>
      <c r="Z3379" s="5" t="str">
        <f>IFERROR(__xludf.DUMMYFUNCTION("REGEXEXTRACT(J3379, ""[A-Za-z ]+$"")")," Season")</f>
        <v> Season</v>
      </c>
      <c r="AA3379" s="5" t="str">
        <f>IFERROR(__xludf.DUMMYFUNCTION("IF(REGEXMATCH(Z3379, ""Season""), ""TV Show"", ""Movie"")"),"TV Show")</f>
        <v>TV Show</v>
      </c>
    </row>
    <row r="3380">
      <c r="A3380" s="1" t="s">
        <v>18579</v>
      </c>
      <c r="B3380" s="1" t="s">
        <v>37</v>
      </c>
      <c r="C3380" s="1" t="s">
        <v>18580</v>
      </c>
      <c r="E3380" s="1" t="s">
        <v>18581</v>
      </c>
      <c r="F3380" s="1" t="s">
        <v>784</v>
      </c>
      <c r="G3380" s="1" t="s">
        <v>18539</v>
      </c>
      <c r="H3380" s="1">
        <v>2019.0</v>
      </c>
      <c r="I3380" s="1" t="s">
        <v>136</v>
      </c>
      <c r="J3380" s="1" t="s">
        <v>51</v>
      </c>
      <c r="K3380" s="1" t="s">
        <v>4146</v>
      </c>
      <c r="L3380" s="1" t="s">
        <v>18582</v>
      </c>
      <c r="M3380" s="2" t="s">
        <v>12</v>
      </c>
      <c r="N3380" s="4">
        <f t="shared" si="1"/>
        <v>43763</v>
      </c>
      <c r="O3380" s="5" t="str">
        <f>IFERROR(__xludf.DUMMYFUNCTION("IF(REGEXMATCH(TRIM(I3380), ""^\d+\s*min""), ""Unclassified"", IF(I3380 = """", ""NR"", I3380))"),"TV-PG")</f>
        <v>TV-PG</v>
      </c>
      <c r="R3380" s="5" t="str">
        <f t="shared" si="2"/>
        <v>Nailed It! Spain</v>
      </c>
      <c r="S3380" s="5" t="str">
        <f>IFERROR(__xludf.DUMMYFUNCTION("""COMPUTED_VALUE"""),"Influx")</f>
        <v>Influx</v>
      </c>
      <c r="U3380" s="5" t="str">
        <f>IFERROR(__xludf.DUMMYFUNCTION("""COMPUTED_VALUE"""),"Saara Cantell")</f>
        <v>Saara Cantell</v>
      </c>
      <c r="V3380" s="5" t="s">
        <v>18583</v>
      </c>
      <c r="W3380" s="5" t="str">
        <f t="shared" si="3"/>
        <v>Rai Yuvraj Bains</v>
      </c>
      <c r="X3380" s="5">
        <f t="shared" si="4"/>
        <v>1</v>
      </c>
      <c r="Y3380" s="5" t="str">
        <f>IFERROR(__xludf.DUMMYFUNCTION("REGEXEXTRACT(J3380, ""^\d+"")"),"1")</f>
        <v>1</v>
      </c>
      <c r="Z3380" s="5" t="str">
        <f>IFERROR(__xludf.DUMMYFUNCTION("REGEXEXTRACT(J3380, ""[A-Za-z ]+$"")")," Season")</f>
        <v> Season</v>
      </c>
      <c r="AA3380" s="5" t="str">
        <f>IFERROR(__xludf.DUMMYFUNCTION("IF(REGEXMATCH(Z3380, ""Season""), ""TV Show"", ""Movie"")"),"TV Show")</f>
        <v>TV Show</v>
      </c>
    </row>
    <row r="3381">
      <c r="A3381" s="1" t="s">
        <v>18584</v>
      </c>
      <c r="B3381" s="1" t="s">
        <v>27</v>
      </c>
      <c r="C3381" s="1" t="s">
        <v>18585</v>
      </c>
      <c r="D3381" s="1" t="s">
        <v>18586</v>
      </c>
      <c r="E3381" s="1" t="s">
        <v>18587</v>
      </c>
      <c r="F3381" s="1" t="s">
        <v>30</v>
      </c>
      <c r="G3381" s="1" t="s">
        <v>18539</v>
      </c>
      <c r="H3381" s="1">
        <v>2019.0</v>
      </c>
      <c r="I3381" s="1" t="s">
        <v>42</v>
      </c>
      <c r="J3381" s="1" t="s">
        <v>1144</v>
      </c>
      <c r="K3381" s="1" t="s">
        <v>18588</v>
      </c>
      <c r="L3381" s="1" t="s">
        <v>18589</v>
      </c>
      <c r="M3381" s="2" t="s">
        <v>12</v>
      </c>
      <c r="N3381" s="4">
        <f t="shared" si="1"/>
        <v>43763</v>
      </c>
      <c r="O3381" s="5" t="str">
        <f>IFERROR(__xludf.DUMMYFUNCTION("IF(REGEXMATCH(TRIM(I3381), ""^\d+\s*min""), ""Unclassified"", IF(I3381 = """", ""NR"", I3381))"),"TV-MA")</f>
        <v>TV-MA</v>
      </c>
      <c r="R3381" s="5" t="str">
        <f t="shared" si="2"/>
        <v>Rattlesnake</v>
      </c>
      <c r="S3381" s="5" t="str">
        <f>IFERROR(__xludf.DUMMYFUNCTION("""COMPUTED_VALUE"""),"Inglourious Basterds")</f>
        <v>Inglourious Basterds</v>
      </c>
      <c r="U3381" s="5" t="str">
        <f>IFERROR(__xludf.DUMMYFUNCTION("""COMPUTED_VALUE"""),"Clay Staub")</f>
        <v>Clay Staub</v>
      </c>
      <c r="V3381" s="5" t="s">
        <v>18590</v>
      </c>
      <c r="W3381" s="5" t="str">
        <f t="shared" si="3"/>
        <v>Raj Amit Kumar</v>
      </c>
      <c r="X3381" s="5">
        <f t="shared" si="4"/>
        <v>1</v>
      </c>
      <c r="Y3381" s="5" t="str">
        <f>IFERROR(__xludf.DUMMYFUNCTION("REGEXEXTRACT(J3381, ""^\d+"")"),"86")</f>
        <v>86</v>
      </c>
      <c r="Z3381" s="5" t="str">
        <f>IFERROR(__xludf.DUMMYFUNCTION("REGEXEXTRACT(J3381, ""[A-Za-z ]+$"")")," min")</f>
        <v> min</v>
      </c>
      <c r="AA3381" s="5" t="str">
        <f>IFERROR(__xludf.DUMMYFUNCTION("IF(REGEXMATCH(Z3381, ""Season""), ""TV Show"", ""Movie"")"),"Movie")</f>
        <v>Movie</v>
      </c>
    </row>
    <row r="3382">
      <c r="A3382" s="1" t="s">
        <v>18591</v>
      </c>
      <c r="B3382" s="1" t="s">
        <v>27</v>
      </c>
      <c r="C3382" s="1" t="s">
        <v>18592</v>
      </c>
      <c r="D3382" s="1" t="s">
        <v>15840</v>
      </c>
      <c r="E3382" s="1" t="s">
        <v>18593</v>
      </c>
      <c r="F3382" s="1" t="s">
        <v>18594</v>
      </c>
      <c r="G3382" s="1" t="s">
        <v>18539</v>
      </c>
      <c r="H3382" s="1">
        <v>2018.0</v>
      </c>
      <c r="I3382" s="1" t="s">
        <v>42</v>
      </c>
      <c r="J3382" s="1" t="s">
        <v>170</v>
      </c>
      <c r="K3382" s="1" t="s">
        <v>583</v>
      </c>
      <c r="L3382" s="1" t="s">
        <v>18595</v>
      </c>
      <c r="M3382" s="2" t="s">
        <v>12</v>
      </c>
      <c r="N3382" s="4">
        <f t="shared" si="1"/>
        <v>43763</v>
      </c>
      <c r="O3382" s="5" t="str">
        <f>IFERROR(__xludf.DUMMYFUNCTION("IF(REGEXMATCH(TRIM(I3382), ""^\d+\s*min""), ""Unclassified"", IF(I3382 = """", ""NR"", I3382))"),"TV-MA")</f>
        <v>TV-MA</v>
      </c>
      <c r="R3382" s="5" t="str">
        <f t="shared" si="2"/>
        <v>The Awakening Of Motti Wolkenbruch</v>
      </c>
      <c r="S3382" s="5" t="str">
        <f>IFERROR(__xludf.DUMMYFUNCTION("""COMPUTED_VALUE"""),"Ingobernable")</f>
        <v>Ingobernable</v>
      </c>
      <c r="U3382" s="5" t="str">
        <f>IFERROR(__xludf.DUMMYFUNCTION("""COMPUTED_VALUE"""),"Hark Tsui")</f>
        <v>Hark Tsui</v>
      </c>
      <c r="V3382" s="5" t="s">
        <v>18596</v>
      </c>
      <c r="W3382" s="5" t="str">
        <f t="shared" si="3"/>
        <v>Raj B. Shetty</v>
      </c>
      <c r="X3382" s="5">
        <f t="shared" si="4"/>
        <v>1</v>
      </c>
      <c r="Y3382" s="5" t="str">
        <f>IFERROR(__xludf.DUMMYFUNCTION("REGEXEXTRACT(J3382, ""^\d+"")"),"94")</f>
        <v>94</v>
      </c>
      <c r="Z3382" s="5" t="str">
        <f>IFERROR(__xludf.DUMMYFUNCTION("REGEXEXTRACT(J3382, ""[A-Za-z ]+$"")")," min")</f>
        <v> min</v>
      </c>
      <c r="AA3382" s="5" t="str">
        <f>IFERROR(__xludf.DUMMYFUNCTION("IF(REGEXMATCH(Z3382, ""Season""), ""TV Show"", ""Movie"")"),"Movie")</f>
        <v>Movie</v>
      </c>
    </row>
    <row r="3383">
      <c r="A3383" s="1" t="s">
        <v>18597</v>
      </c>
      <c r="B3383" s="1" t="s">
        <v>37</v>
      </c>
      <c r="C3383" s="1" t="s">
        <v>18598</v>
      </c>
      <c r="E3383" s="1" t="s">
        <v>18599</v>
      </c>
      <c r="F3383" s="1" t="s">
        <v>3892</v>
      </c>
      <c r="G3383" s="1" t="s">
        <v>18539</v>
      </c>
      <c r="H3383" s="1">
        <v>2019.0</v>
      </c>
      <c r="I3383" s="1" t="s">
        <v>97</v>
      </c>
      <c r="J3383" s="1" t="s">
        <v>51</v>
      </c>
      <c r="K3383" s="1" t="s">
        <v>9148</v>
      </c>
      <c r="L3383" s="1" t="s">
        <v>18600</v>
      </c>
      <c r="M3383" s="2" t="s">
        <v>12</v>
      </c>
      <c r="N3383" s="4">
        <f t="shared" si="1"/>
        <v>43763</v>
      </c>
      <c r="O3383" s="5" t="str">
        <f>IFERROR(__xludf.DUMMYFUNCTION("IF(REGEXMATCH(TRIM(I3383), ""^\d+\s*min""), ""Unclassified"", IF(I3383 = """", ""NR"", I3383))"),"TV-14")</f>
        <v>TV-14</v>
      </c>
      <c r="R3383" s="5" t="str">
        <f t="shared" si="2"/>
        <v>The Untamed</v>
      </c>
      <c r="S3383" s="5" t="str">
        <f>IFERROR(__xludf.DUMMYFUNCTION("""COMPUTED_VALUE"""),"Ingress: The Animation")</f>
        <v>Ingress: The Animation</v>
      </c>
      <c r="U3383" s="5" t="str">
        <f>IFERROR(__xludf.DUMMYFUNCTION("""COMPUTED_VALUE"""),"Ben Ryder")</f>
        <v>Ben Ryder</v>
      </c>
      <c r="V3383" s="5" t="s">
        <v>18601</v>
      </c>
      <c r="W3383" s="5" t="str">
        <f t="shared" si="3"/>
        <v>Raj Babu</v>
      </c>
      <c r="X3383" s="5">
        <f t="shared" si="4"/>
        <v>1</v>
      </c>
      <c r="Y3383" s="5" t="str">
        <f>IFERROR(__xludf.DUMMYFUNCTION("REGEXEXTRACT(J3383, ""^\d+"")"),"1")</f>
        <v>1</v>
      </c>
      <c r="Z3383" s="5" t="str">
        <f>IFERROR(__xludf.DUMMYFUNCTION("REGEXEXTRACT(J3383, ""[A-Za-z ]+$"")")," Season")</f>
        <v> Season</v>
      </c>
      <c r="AA3383" s="5" t="str">
        <f>IFERROR(__xludf.DUMMYFUNCTION("IF(REGEXMATCH(Z3383, ""Season""), ""TV Show"", ""Movie"")"),"TV Show")</f>
        <v>TV Show</v>
      </c>
    </row>
    <row r="3384">
      <c r="A3384" s="1" t="s">
        <v>18602</v>
      </c>
      <c r="B3384" s="1" t="s">
        <v>37</v>
      </c>
      <c r="C3384" s="1" t="s">
        <v>18603</v>
      </c>
      <c r="E3384" s="1" t="s">
        <v>18604</v>
      </c>
      <c r="F3384" s="1" t="s">
        <v>30</v>
      </c>
      <c r="G3384" s="1" t="s">
        <v>18605</v>
      </c>
      <c r="H3384" s="1">
        <v>2019.0</v>
      </c>
      <c r="I3384" s="1" t="s">
        <v>42</v>
      </c>
      <c r="J3384" s="1" t="s">
        <v>51</v>
      </c>
      <c r="K3384" s="1" t="s">
        <v>18606</v>
      </c>
      <c r="L3384" s="1" t="s">
        <v>18607</v>
      </c>
      <c r="M3384" s="2" t="s">
        <v>12</v>
      </c>
      <c r="N3384" s="4">
        <f t="shared" si="1"/>
        <v>43762</v>
      </c>
      <c r="O3384" s="5" t="str">
        <f>IFERROR(__xludf.DUMMYFUNCTION("IF(REGEXMATCH(TRIM(I3384), ""^\d+\s*min""), ""Unclassified"", IF(I3384 = """", ""NR"", I3384))"),"TV-MA")</f>
        <v>TV-MA</v>
      </c>
      <c r="R3384" s="5" t="str">
        <f t="shared" si="2"/>
        <v>Daybreak</v>
      </c>
      <c r="S3384" s="5" t="str">
        <f>IFERROR(__xludf.DUMMYFUNCTION("""COMPUTED_VALUE"""),"Inheritors")</f>
        <v>Inheritors</v>
      </c>
      <c r="U3384" s="5" t="str">
        <f>IFERROR(__xludf.DUMMYFUNCTION("""COMPUTED_VALUE"""),"Benoît Jacquot")</f>
        <v>Benoît Jacquot</v>
      </c>
      <c r="V3384" s="5" t="s">
        <v>18608</v>
      </c>
      <c r="W3384" s="5" t="str">
        <f t="shared" si="3"/>
        <v>Raj Kanwar</v>
      </c>
      <c r="X3384" s="5">
        <f t="shared" si="4"/>
        <v>1</v>
      </c>
      <c r="Y3384" s="5" t="str">
        <f>IFERROR(__xludf.DUMMYFUNCTION("REGEXEXTRACT(J3384, ""^\d+"")"),"1")</f>
        <v>1</v>
      </c>
      <c r="Z3384" s="5" t="str">
        <f>IFERROR(__xludf.DUMMYFUNCTION("REGEXEXTRACT(J3384, ""[A-Za-z ]+$"")")," Season")</f>
        <v> Season</v>
      </c>
      <c r="AA3384" s="5" t="str">
        <f>IFERROR(__xludf.DUMMYFUNCTION("IF(REGEXMATCH(Z3384, ""Season""), ""TV Show"", ""Movie"")"),"TV Show")</f>
        <v>TV Show</v>
      </c>
    </row>
    <row r="3385">
      <c r="A3385" s="1" t="s">
        <v>18609</v>
      </c>
      <c r="B3385" s="1" t="s">
        <v>27</v>
      </c>
      <c r="C3385" s="1" t="s">
        <v>18610</v>
      </c>
      <c r="D3385" s="1" t="s">
        <v>1947</v>
      </c>
      <c r="E3385" s="1" t="s">
        <v>18611</v>
      </c>
      <c r="F3385" s="1" t="s">
        <v>30</v>
      </c>
      <c r="G3385" s="1" t="s">
        <v>18605</v>
      </c>
      <c r="H3385" s="1">
        <v>2019.0</v>
      </c>
      <c r="I3385" s="1" t="s">
        <v>32</v>
      </c>
      <c r="J3385" s="1" t="s">
        <v>1001</v>
      </c>
      <c r="K3385" s="1" t="s">
        <v>700</v>
      </c>
      <c r="L3385" s="1" t="s">
        <v>18612</v>
      </c>
      <c r="M3385" s="2" t="s">
        <v>12</v>
      </c>
      <c r="N3385" s="4">
        <f t="shared" si="1"/>
        <v>43762</v>
      </c>
      <c r="O3385" s="5" t="str">
        <f>IFERROR(__xludf.DUMMYFUNCTION("IF(REGEXMATCH(TRIM(I3385), ""^\d+\s*min""), ""Unclassified"", IF(I3385 = """", ""NR"", I3385))"),"PG-13")</f>
        <v>PG-13</v>
      </c>
      <c r="R3385" s="5" t="str">
        <f t="shared" si="2"/>
        <v>Echo In The Canyon</v>
      </c>
      <c r="S3385" s="5" t="str">
        <f>IFERROR(__xludf.DUMMYFUNCTION("""COMPUTED_VALUE"""),"Inhuman Kiss")</f>
        <v>Inhuman Kiss</v>
      </c>
      <c r="U3385" s="5" t="str">
        <f>IFERROR(__xludf.DUMMYFUNCTION("""COMPUTED_VALUE"""),"Chia-Liang Liu")</f>
        <v>Chia-Liang Liu</v>
      </c>
      <c r="V3385" s="5" t="s">
        <v>18613</v>
      </c>
      <c r="W3385" s="5" t="str">
        <f t="shared" si="3"/>
        <v>Raj Kapoor</v>
      </c>
      <c r="X3385" s="5">
        <f t="shared" si="4"/>
        <v>3</v>
      </c>
      <c r="Y3385" s="5" t="str">
        <f>IFERROR(__xludf.DUMMYFUNCTION("REGEXEXTRACT(J3385, ""^\d+"")"),"82")</f>
        <v>82</v>
      </c>
      <c r="Z3385" s="5" t="str">
        <f>IFERROR(__xludf.DUMMYFUNCTION("REGEXEXTRACT(J3385, ""[A-Za-z ]+$"")")," min")</f>
        <v> min</v>
      </c>
      <c r="AA3385" s="5" t="str">
        <f>IFERROR(__xludf.DUMMYFUNCTION("IF(REGEXMATCH(Z3385, ""Season""), ""TV Show"", ""Movie"")"),"Movie")</f>
        <v>Movie</v>
      </c>
    </row>
    <row r="3386">
      <c r="A3386" s="1" t="s">
        <v>18614</v>
      </c>
      <c r="B3386" s="1" t="s">
        <v>27</v>
      </c>
      <c r="C3386" s="1" t="s">
        <v>18615</v>
      </c>
      <c r="D3386" s="1" t="s">
        <v>8522</v>
      </c>
      <c r="E3386" s="1" t="s">
        <v>18616</v>
      </c>
      <c r="F3386" s="1" t="s">
        <v>18617</v>
      </c>
      <c r="G3386" s="1" t="s">
        <v>18605</v>
      </c>
      <c r="H3386" s="1">
        <v>2019.0</v>
      </c>
      <c r="I3386" s="1" t="s">
        <v>97</v>
      </c>
      <c r="J3386" s="1" t="s">
        <v>665</v>
      </c>
      <c r="K3386" s="1" t="s">
        <v>1441</v>
      </c>
      <c r="L3386" s="1" t="s">
        <v>18618</v>
      </c>
      <c r="M3386" s="2" t="s">
        <v>12</v>
      </c>
      <c r="N3386" s="4">
        <f t="shared" si="1"/>
        <v>43762</v>
      </c>
      <c r="O3386" s="5" t="str">
        <f>IFERROR(__xludf.DUMMYFUNCTION("IF(REGEXMATCH(TRIM(I3386), ""^\d+\s*min""), ""Unclassified"", IF(I3386 = """", ""NR"", I3386))"),"TV-14")</f>
        <v>TV-14</v>
      </c>
      <c r="R3386" s="5" t="str">
        <f t="shared" si="2"/>
        <v>Revenge Of The Pontianak</v>
      </c>
      <c r="S3386" s="5" t="str">
        <f>IFERROR(__xludf.DUMMYFUNCTION("""COMPUTED_VALUE"""),"Inhuman Resources")</f>
        <v>Inhuman Resources</v>
      </c>
      <c r="U3386" s="5" t="str">
        <f>IFERROR(__xludf.DUMMYFUNCTION("""COMPUTED_VALUE"""),"Todd Standing")</f>
        <v>Todd Standing</v>
      </c>
      <c r="V3386" s="5" t="s">
        <v>18619</v>
      </c>
      <c r="W3386" s="5" t="str">
        <f t="shared" si="3"/>
        <v>Raj Kaushal</v>
      </c>
      <c r="X3386" s="5">
        <f t="shared" si="4"/>
        <v>1</v>
      </c>
      <c r="Y3386" s="5" t="str">
        <f>IFERROR(__xludf.DUMMYFUNCTION("REGEXEXTRACT(J3386, ""^\d+"")"),"92")</f>
        <v>92</v>
      </c>
      <c r="Z3386" s="5" t="str">
        <f>IFERROR(__xludf.DUMMYFUNCTION("REGEXEXTRACT(J3386, ""[A-Za-z ]+$"")")," min")</f>
        <v> min</v>
      </c>
      <c r="AA3386" s="5" t="str">
        <f>IFERROR(__xludf.DUMMYFUNCTION("IF(REGEXMATCH(Z3386, ""Season""), ""TV Show"", ""Movie"")"),"Movie")</f>
        <v>Movie</v>
      </c>
    </row>
    <row r="3387">
      <c r="A3387" s="1" t="s">
        <v>18620</v>
      </c>
      <c r="B3387" s="1" t="s">
        <v>37</v>
      </c>
      <c r="C3387" s="1" t="s">
        <v>18621</v>
      </c>
      <c r="E3387" s="1" t="s">
        <v>18622</v>
      </c>
      <c r="F3387" s="1" t="s">
        <v>30</v>
      </c>
      <c r="G3387" s="1" t="s">
        <v>18623</v>
      </c>
      <c r="H3387" s="1">
        <v>2019.0</v>
      </c>
      <c r="I3387" s="1" t="s">
        <v>42</v>
      </c>
      <c r="J3387" s="1" t="s">
        <v>51</v>
      </c>
      <c r="K3387" s="1" t="s">
        <v>1261</v>
      </c>
      <c r="L3387" s="1" t="s">
        <v>18624</v>
      </c>
      <c r="M3387" s="2" t="s">
        <v>12</v>
      </c>
      <c r="N3387" s="4">
        <f t="shared" si="1"/>
        <v>43761</v>
      </c>
      <c r="O3387" s="5" t="str">
        <f>IFERROR(__xludf.DUMMYFUNCTION("IF(REGEXMATCH(TRIM(I3387), ""^\d+\s*min""), ""Unclassified"", IF(I3387 = """", ""NR"", I3387))"),"TV-MA")</f>
        <v>TV-MA</v>
      </c>
      <c r="R3387" s="5" t="str">
        <f t="shared" si="2"/>
        <v>Breakfast, Lunch &amp; Dinner</v>
      </c>
      <c r="S3387" s="5" t="str">
        <f>IFERROR(__xludf.DUMMYFUNCTION("""COMPUTED_VALUE"""),"Initial D")</f>
        <v>Initial D</v>
      </c>
      <c r="U3387" s="5" t="str">
        <f>IFERROR(__xludf.DUMMYFUNCTION("""COMPUTED_VALUE"""),"Benjamin Arfmann")</f>
        <v>Benjamin Arfmann</v>
      </c>
      <c r="V3387" s="5" t="s">
        <v>15256</v>
      </c>
      <c r="W3387" s="5" t="str">
        <f t="shared" si="3"/>
        <v>Raj Khosla</v>
      </c>
      <c r="X3387" s="5">
        <f t="shared" si="4"/>
        <v>1</v>
      </c>
      <c r="Y3387" s="5" t="str">
        <f>IFERROR(__xludf.DUMMYFUNCTION("REGEXEXTRACT(J3387, ""^\d+"")"),"1")</f>
        <v>1</v>
      </c>
      <c r="Z3387" s="5" t="str">
        <f>IFERROR(__xludf.DUMMYFUNCTION("REGEXEXTRACT(J3387, ""[A-Za-z ]+$"")")," Season")</f>
        <v> Season</v>
      </c>
      <c r="AA3387" s="5" t="str">
        <f>IFERROR(__xludf.DUMMYFUNCTION("IF(REGEXMATCH(Z3387, ""Season""), ""TV Show"", ""Movie"")"),"TV Show")</f>
        <v>TV Show</v>
      </c>
    </row>
    <row r="3388">
      <c r="A3388" s="1" t="s">
        <v>18625</v>
      </c>
      <c r="B3388" s="1" t="s">
        <v>27</v>
      </c>
      <c r="C3388" s="1" t="s">
        <v>18626</v>
      </c>
      <c r="D3388" s="1" t="s">
        <v>9496</v>
      </c>
      <c r="E3388" s="1" t="s">
        <v>18627</v>
      </c>
      <c r="F3388" s="1" t="s">
        <v>30</v>
      </c>
      <c r="G3388" s="1" t="s">
        <v>18623</v>
      </c>
      <c r="H3388" s="1">
        <v>2019.0</v>
      </c>
      <c r="I3388" s="1" t="s">
        <v>136</v>
      </c>
      <c r="J3388" s="1" t="s">
        <v>8095</v>
      </c>
      <c r="K3388" s="1" t="s">
        <v>34</v>
      </c>
      <c r="L3388" s="1" t="s">
        <v>18628</v>
      </c>
      <c r="M3388" s="2" t="s">
        <v>12</v>
      </c>
      <c r="N3388" s="4">
        <f t="shared" si="1"/>
        <v>43761</v>
      </c>
      <c r="O3388" s="5" t="str">
        <f>IFERROR(__xludf.DUMMYFUNCTION("IF(REGEXMATCH(TRIM(I3388), ""^\d+\s*min""), ""Unclassified"", IF(I3388 = """", ""NR"", I3388))"),"TV-PG")</f>
        <v>TV-PG</v>
      </c>
      <c r="R3388" s="5" t="str">
        <f t="shared" si="2"/>
        <v>Dancing With The Birds</v>
      </c>
      <c r="S3388" s="5" t="str">
        <f>IFERROR(__xludf.DUMMYFUNCTION("""COMPUTED_VALUE"""),"Ink Master")</f>
        <v>Ink Master</v>
      </c>
      <c r="U3388" s="5" t="str">
        <f>IFERROR(__xludf.DUMMYFUNCTION("""COMPUTED_VALUE"""),"David Lean")</f>
        <v>David Lean</v>
      </c>
      <c r="V3388" s="5" t="s">
        <v>18629</v>
      </c>
      <c r="W3388" s="5" t="str">
        <f t="shared" si="3"/>
        <v>Raj Kumar Gupta</v>
      </c>
      <c r="X3388" s="5">
        <f t="shared" si="4"/>
        <v>3</v>
      </c>
      <c r="Y3388" s="5" t="str">
        <f>IFERROR(__xludf.DUMMYFUNCTION("REGEXEXTRACT(J3388, ""^\d+"")"),"52")</f>
        <v>52</v>
      </c>
      <c r="Z3388" s="5" t="str">
        <f>IFERROR(__xludf.DUMMYFUNCTION("REGEXEXTRACT(J3388, ""[A-Za-z ]+$"")")," min")</f>
        <v> min</v>
      </c>
      <c r="AA3388" s="5" t="str">
        <f>IFERROR(__xludf.DUMMYFUNCTION("IF(REGEXMATCH(Z3388, ""Season""), ""TV Show"", ""Movie"")"),"Movie")</f>
        <v>Movie</v>
      </c>
    </row>
    <row r="3389">
      <c r="A3389" s="1" t="s">
        <v>18630</v>
      </c>
      <c r="B3389" s="1" t="s">
        <v>27</v>
      </c>
      <c r="C3389" s="1" t="s">
        <v>18631</v>
      </c>
      <c r="D3389" s="1" t="s">
        <v>18632</v>
      </c>
      <c r="E3389" s="1" t="s">
        <v>18633</v>
      </c>
      <c r="F3389" s="1" t="s">
        <v>12646</v>
      </c>
      <c r="G3389" s="1" t="s">
        <v>18623</v>
      </c>
      <c r="H3389" s="1">
        <v>2018.0</v>
      </c>
      <c r="I3389" s="1" t="s">
        <v>97</v>
      </c>
      <c r="J3389" s="1" t="s">
        <v>912</v>
      </c>
      <c r="K3389" s="1" t="s">
        <v>1066</v>
      </c>
      <c r="L3389" s="1" t="s">
        <v>18634</v>
      </c>
      <c r="M3389" s="2" t="s">
        <v>12</v>
      </c>
      <c r="N3389" s="4">
        <f t="shared" si="1"/>
        <v>43761</v>
      </c>
      <c r="O3389" s="5" t="str">
        <f>IFERROR(__xludf.DUMMYFUNCTION("IF(REGEXMATCH(TRIM(I3389), ""^\d+\s*min""), ""Unclassified"", IF(I3389 = """", ""NR"", I3389))"),"TV-14")</f>
        <v>TV-14</v>
      </c>
      <c r="R3389" s="5" t="str">
        <f t="shared" si="2"/>
        <v>Master Z: The Ip Man Legacy</v>
      </c>
      <c r="S3389" s="5" t="str">
        <f>IFERROR(__xludf.DUMMYFUNCTION("""COMPUTED_VALUE"""),"Inkaar")</f>
        <v>Inkaar</v>
      </c>
      <c r="U3389" s="5" t="str">
        <f>IFERROR(__xludf.DUMMYFUNCTION("""COMPUTED_VALUE"""),"Paul Schrader")</f>
        <v>Paul Schrader</v>
      </c>
      <c r="V3389" s="5" t="s">
        <v>18635</v>
      </c>
      <c r="W3389" s="5" t="str">
        <f t="shared" si="3"/>
        <v>Raj N. Sippy</v>
      </c>
      <c r="X3389" s="5">
        <f t="shared" si="4"/>
        <v>1</v>
      </c>
      <c r="Y3389" s="5" t="str">
        <f>IFERROR(__xludf.DUMMYFUNCTION("REGEXEXTRACT(J3389, ""^\d+"")"),"108")</f>
        <v>108</v>
      </c>
      <c r="Z3389" s="5" t="str">
        <f>IFERROR(__xludf.DUMMYFUNCTION("REGEXEXTRACT(J3389, ""[A-Za-z ]+$"")")," min")</f>
        <v> min</v>
      </c>
      <c r="AA3389" s="5" t="str">
        <f>IFERROR(__xludf.DUMMYFUNCTION("IF(REGEXMATCH(Z3389, ""Season""), ""TV Show"", ""Movie"")"),"Movie")</f>
        <v>Movie</v>
      </c>
    </row>
    <row r="3390">
      <c r="A3390" s="1" t="s">
        <v>18636</v>
      </c>
      <c r="B3390" s="1" t="s">
        <v>27</v>
      </c>
      <c r="C3390" s="1" t="s">
        <v>18637</v>
      </c>
      <c r="D3390" s="1" t="s">
        <v>8482</v>
      </c>
      <c r="E3390" s="1" t="s">
        <v>18638</v>
      </c>
      <c r="F3390" s="1" t="s">
        <v>30</v>
      </c>
      <c r="G3390" s="1" t="s">
        <v>18639</v>
      </c>
      <c r="H3390" s="1">
        <v>2019.0</v>
      </c>
      <c r="I3390" s="1" t="s">
        <v>42</v>
      </c>
      <c r="J3390" s="1" t="s">
        <v>155</v>
      </c>
      <c r="K3390" s="1" t="s">
        <v>18640</v>
      </c>
      <c r="L3390" s="1" t="s">
        <v>18641</v>
      </c>
      <c r="M3390" s="2" t="s">
        <v>12</v>
      </c>
      <c r="N3390" s="4">
        <f t="shared" si="1"/>
        <v>43760</v>
      </c>
      <c r="O3390" s="5" t="str">
        <f>IFERROR(__xludf.DUMMYFUNCTION("IF(REGEXMATCH(TRIM(I3390), ""^\d+\s*min""), ""Unclassified"", IF(I3390 = """", ""NR"", I3390))"),"TV-MA")</f>
        <v>TV-MA</v>
      </c>
      <c r="R3390" s="5" t="str">
        <f t="shared" si="2"/>
        <v>Jenny Slate: Stage Fright</v>
      </c>
      <c r="S3390" s="5" t="str">
        <f>IFERROR(__xludf.DUMMYFUNCTION("""COMPUTED_VALUE"""),"Inkheart")</f>
        <v>Inkheart</v>
      </c>
      <c r="U3390" s="5" t="str">
        <f>IFERROR(__xludf.DUMMYFUNCTION("""COMPUTED_VALUE"""),"Philip Marlatt")</f>
        <v>Philip Marlatt</v>
      </c>
      <c r="V3390" s="5" t="s">
        <v>1474</v>
      </c>
      <c r="W3390" s="5" t="str">
        <f t="shared" si="3"/>
        <v>Raj Nidimoru, Krishna D.K.</v>
      </c>
      <c r="X3390" s="5">
        <f t="shared" si="4"/>
        <v>1</v>
      </c>
      <c r="Y3390" s="5" t="str">
        <f>IFERROR(__xludf.DUMMYFUNCTION("REGEXEXTRACT(J3390, ""^\d+"")"),"67")</f>
        <v>67</v>
      </c>
      <c r="Z3390" s="5" t="str">
        <f>IFERROR(__xludf.DUMMYFUNCTION("REGEXEXTRACT(J3390, ""[A-Za-z ]+$"")")," min")</f>
        <v> min</v>
      </c>
      <c r="AA3390" s="5" t="str">
        <f>IFERROR(__xludf.DUMMYFUNCTION("IF(REGEXMATCH(Z3390, ""Season""), ""TV Show"", ""Movie"")"),"Movie")</f>
        <v>Movie</v>
      </c>
    </row>
    <row r="3391">
      <c r="A3391" s="1" t="s">
        <v>18642</v>
      </c>
      <c r="B3391" s="1" t="s">
        <v>27</v>
      </c>
      <c r="C3391" s="1" t="s">
        <v>18643</v>
      </c>
      <c r="D3391" s="1" t="s">
        <v>3199</v>
      </c>
      <c r="E3391" s="1" t="s">
        <v>18644</v>
      </c>
      <c r="F3391" s="1" t="s">
        <v>96</v>
      </c>
      <c r="G3391" s="1" t="s">
        <v>18645</v>
      </c>
      <c r="H3391" s="1">
        <v>2016.0</v>
      </c>
      <c r="I3391" s="1" t="s">
        <v>378</v>
      </c>
      <c r="J3391" s="1" t="s">
        <v>79</v>
      </c>
      <c r="K3391" s="1" t="s">
        <v>8798</v>
      </c>
      <c r="L3391" s="1" t="s">
        <v>18646</v>
      </c>
      <c r="M3391" s="2" t="s">
        <v>12</v>
      </c>
      <c r="N3391" s="4">
        <f t="shared" si="1"/>
        <v>43759</v>
      </c>
      <c r="O3391" s="5" t="str">
        <f>IFERROR(__xludf.DUMMYFUNCTION("IF(REGEXMATCH(TRIM(I3391), ""^\d+\s*min""), ""Unclassified"", IF(I3391 = """", ""NR"", I3391))"),"R")</f>
        <v>R</v>
      </c>
      <c r="R3391" s="5" t="str">
        <f t="shared" si="2"/>
        <v>Free Fire</v>
      </c>
      <c r="S3391" s="5" t="str">
        <f>IFERROR(__xludf.DUMMYFUNCTION("""COMPUTED_VALUE"""),"Inmates")</f>
        <v>Inmates</v>
      </c>
      <c r="U3391" s="5" t="str">
        <f>IFERROR(__xludf.DUMMYFUNCTION("""COMPUTED_VALUE"""),"Charles Martin Smith")</f>
        <v>Charles Martin Smith</v>
      </c>
      <c r="V3391" s="5" t="s">
        <v>17966</v>
      </c>
      <c r="W3391" s="5" t="str">
        <f t="shared" si="3"/>
        <v>Raj R</v>
      </c>
      <c r="X3391" s="5">
        <f t="shared" si="4"/>
        <v>1</v>
      </c>
      <c r="Y3391" s="5" t="str">
        <f>IFERROR(__xludf.DUMMYFUNCTION("REGEXEXTRACT(J3391, ""^\d+"")"),"91")</f>
        <v>91</v>
      </c>
      <c r="Z3391" s="5" t="str">
        <f>IFERROR(__xludf.DUMMYFUNCTION("REGEXEXTRACT(J3391, ""[A-Za-z ]+$"")")," min")</f>
        <v> min</v>
      </c>
      <c r="AA3391" s="5" t="str">
        <f>IFERROR(__xludf.DUMMYFUNCTION("IF(REGEXMATCH(Z3391, ""Season""), ""TV Show"", ""Movie"")"),"Movie")</f>
        <v>Movie</v>
      </c>
    </row>
    <row r="3392">
      <c r="A3392" s="1" t="s">
        <v>18647</v>
      </c>
      <c r="B3392" s="1" t="s">
        <v>27</v>
      </c>
      <c r="C3392" s="1" t="s">
        <v>18648</v>
      </c>
      <c r="D3392" s="1" t="s">
        <v>572</v>
      </c>
      <c r="G3392" s="1" t="s">
        <v>18649</v>
      </c>
      <c r="H3392" s="1">
        <v>2019.0</v>
      </c>
      <c r="I3392" s="1" t="s">
        <v>289</v>
      </c>
      <c r="J3392" s="1" t="s">
        <v>2636</v>
      </c>
      <c r="K3392" s="1" t="s">
        <v>137</v>
      </c>
      <c r="L3392" s="1" t="s">
        <v>18650</v>
      </c>
      <c r="M3392" s="2" t="s">
        <v>12</v>
      </c>
      <c r="N3392" s="4">
        <f t="shared" si="1"/>
        <v>43757</v>
      </c>
      <c r="O3392" s="5" t="str">
        <f>IFERROR(__xludf.DUMMYFUNCTION("IF(REGEXMATCH(TRIM(I3392), ""^\d+\s*min""), ""Unclassified"", IF(I3392 = """", ""NR"", I3392))"),"TV-Y7")</f>
        <v>TV-Y7</v>
      </c>
      <c r="R3392" s="5" t="str">
        <f t="shared" si="2"/>
        <v>Little Singham: Kaal Ki Tabaahi</v>
      </c>
      <c r="S3392" s="5" t="str">
        <f>IFERROR(__xludf.DUMMYFUNCTION("""COMPUTED_VALUE"""),"Innocent")</f>
        <v>Innocent</v>
      </c>
      <c r="U3392" s="5" t="str">
        <f>IFERROR(__xludf.DUMMYFUNCTION("""COMPUTED_VALUE"""),"Mahin Ibrahim, Austin Kolodney, Will Lowell, David Beier, Dave Dorsey, Xu Zhang, Alana Waksman, Jon Yonkondy, Drue Metz, Brandon Somerhalder")</f>
        <v>Mahin Ibrahim, Austin Kolodney, Will Lowell, David Beier, Dave Dorsey, Xu Zhang, Alana Waksman, Jon Yonkondy, Drue Metz, Brandon Somerhalder</v>
      </c>
      <c r="V3392" s="5" t="s">
        <v>11336</v>
      </c>
      <c r="W3392" s="5" t="str">
        <f t="shared" si="3"/>
        <v>Raja Chanda</v>
      </c>
      <c r="X3392" s="5">
        <f t="shared" si="4"/>
        <v>1</v>
      </c>
      <c r="Y3392" s="5" t="str">
        <f>IFERROR(__xludf.DUMMYFUNCTION("REGEXEXTRACT(J3392, ""^\d+"")"),"66")</f>
        <v>66</v>
      </c>
      <c r="Z3392" s="5" t="str">
        <f>IFERROR(__xludf.DUMMYFUNCTION("REGEXEXTRACT(J3392, ""[A-Za-z ]+$"")")," min")</f>
        <v> min</v>
      </c>
      <c r="AA3392" s="5" t="str">
        <f>IFERROR(__xludf.DUMMYFUNCTION("IF(REGEXMATCH(Z3392, ""Season""), ""TV Show"", ""Movie"")"),"Movie")</f>
        <v>Movie</v>
      </c>
    </row>
    <row r="3393">
      <c r="A3393" s="1" t="s">
        <v>18651</v>
      </c>
      <c r="B3393" s="1" t="s">
        <v>27</v>
      </c>
      <c r="C3393" s="1" t="s">
        <v>18652</v>
      </c>
      <c r="D3393" s="1" t="s">
        <v>18653</v>
      </c>
      <c r="E3393" s="1" t="s">
        <v>18654</v>
      </c>
      <c r="F3393" s="1" t="s">
        <v>18655</v>
      </c>
      <c r="G3393" s="1" t="s">
        <v>18649</v>
      </c>
      <c r="H3393" s="1">
        <v>2018.0</v>
      </c>
      <c r="I3393" s="1" t="s">
        <v>32</v>
      </c>
      <c r="J3393" s="1" t="s">
        <v>870</v>
      </c>
      <c r="K3393" s="1" t="s">
        <v>298</v>
      </c>
      <c r="L3393" s="1" t="s">
        <v>18656</v>
      </c>
      <c r="M3393" s="2" t="s">
        <v>12</v>
      </c>
      <c r="N3393" s="4">
        <f t="shared" si="1"/>
        <v>43757</v>
      </c>
      <c r="O3393" s="5" t="str">
        <f>IFERROR(__xludf.DUMMYFUNCTION("IF(REGEXMATCH(TRIM(I3393), ""^\d+\s*min""), ""Unclassified"", IF(I3393 = """", ""NR"", I3393))"),"PG-13")</f>
        <v>PG-13</v>
      </c>
      <c r="R3393" s="5" t="str">
        <f t="shared" si="2"/>
        <v>The Command</v>
      </c>
      <c r="S3393" s="5" t="str">
        <f>IFERROR(__xludf.DUMMYFUNCTION("""COMPUTED_VALUE"""),"Insan")</f>
        <v>Insan</v>
      </c>
      <c r="U3393" s="5" t="str">
        <f>IFERROR(__xludf.DUMMYFUNCTION("""COMPUTED_VALUE"""),"Jared Hess")</f>
        <v>Jared Hess</v>
      </c>
      <c r="V3393" s="5" t="s">
        <v>684</v>
      </c>
      <c r="W3393" s="5" t="str">
        <f t="shared" si="3"/>
        <v>Raja Gosnell</v>
      </c>
      <c r="X3393" s="5">
        <f t="shared" si="4"/>
        <v>4</v>
      </c>
      <c r="Y3393" s="5" t="str">
        <f>IFERROR(__xludf.DUMMYFUNCTION("REGEXEXTRACT(J3393, ""^\d+"")"),"118")</f>
        <v>118</v>
      </c>
      <c r="Z3393" s="5" t="str">
        <f>IFERROR(__xludf.DUMMYFUNCTION("REGEXEXTRACT(J3393, ""[A-Za-z ]+$"")")," min")</f>
        <v> min</v>
      </c>
      <c r="AA3393" s="5" t="str">
        <f>IFERROR(__xludf.DUMMYFUNCTION("IF(REGEXMATCH(Z3393, ""Season""), ""TV Show"", ""Movie"")"),"Movie")</f>
        <v>Movie</v>
      </c>
    </row>
    <row r="3394">
      <c r="A3394" s="1" t="s">
        <v>18657</v>
      </c>
      <c r="B3394" s="1" t="s">
        <v>27</v>
      </c>
      <c r="C3394" s="1" t="s">
        <v>18658</v>
      </c>
      <c r="D3394" s="1" t="s">
        <v>553</v>
      </c>
      <c r="E3394" s="1" t="s">
        <v>18659</v>
      </c>
      <c r="F3394" s="1" t="s">
        <v>18660</v>
      </c>
      <c r="G3394" s="1" t="s">
        <v>18661</v>
      </c>
      <c r="H3394" s="1">
        <v>2017.0</v>
      </c>
      <c r="I3394" s="1" t="s">
        <v>97</v>
      </c>
      <c r="J3394" s="1" t="s">
        <v>630</v>
      </c>
      <c r="K3394" s="1" t="s">
        <v>215</v>
      </c>
      <c r="L3394" s="1" t="s">
        <v>18662</v>
      </c>
      <c r="M3394" s="2" t="s">
        <v>12</v>
      </c>
      <c r="N3394" s="4">
        <f t="shared" si="1"/>
        <v>43756</v>
      </c>
      <c r="O3394" s="5" t="str">
        <f>IFERROR(__xludf.DUMMYFUNCTION("IF(REGEXMATCH(TRIM(I3394), ""^\d+\s*min""), ""Unclassified"", IF(I3394 = """", ""NR"", I3394))"),"TV-14")</f>
        <v>TV-14</v>
      </c>
      <c r="R3394" s="5" t="str">
        <f t="shared" si="2"/>
        <v>10 Days In Sun City</v>
      </c>
      <c r="S3394" s="5" t="str">
        <f>IFERROR(__xludf.DUMMYFUNCTION("""COMPUTED_VALUE"""),"Insatiable")</f>
        <v>Insatiable</v>
      </c>
      <c r="U3394" s="5" t="str">
        <f>IFERROR(__xludf.DUMMYFUNCTION("""COMPUTED_VALUE"""),"Troy Nixey")</f>
        <v>Troy Nixey</v>
      </c>
      <c r="V3394" s="5" t="s">
        <v>18663</v>
      </c>
      <c r="W3394" s="5" t="str">
        <f t="shared" si="3"/>
        <v>Raja Menon</v>
      </c>
      <c r="X3394" s="5">
        <f t="shared" si="4"/>
        <v>1</v>
      </c>
      <c r="Y3394" s="5" t="str">
        <f>IFERROR(__xludf.DUMMYFUNCTION("REGEXEXTRACT(J3394, ""^\d+"")"),"87")</f>
        <v>87</v>
      </c>
      <c r="Z3394" s="5" t="str">
        <f>IFERROR(__xludf.DUMMYFUNCTION("REGEXEXTRACT(J3394, ""[A-Za-z ]+$"")")," min")</f>
        <v> min</v>
      </c>
      <c r="AA3394" s="5" t="str">
        <f>IFERROR(__xludf.DUMMYFUNCTION("IF(REGEXMATCH(Z3394, ""Season""), ""TV Show"", ""Movie"")"),"Movie")</f>
        <v>Movie</v>
      </c>
    </row>
    <row r="3395">
      <c r="A3395" s="1" t="s">
        <v>18664</v>
      </c>
      <c r="B3395" s="1" t="s">
        <v>37</v>
      </c>
      <c r="C3395" s="1" t="s">
        <v>18665</v>
      </c>
      <c r="G3395" s="1" t="s">
        <v>18661</v>
      </c>
      <c r="H3395" s="1">
        <v>2019.0</v>
      </c>
      <c r="I3395" s="1" t="s">
        <v>206</v>
      </c>
      <c r="J3395" s="1" t="s">
        <v>51</v>
      </c>
      <c r="K3395" s="1" t="s">
        <v>290</v>
      </c>
      <c r="L3395" s="1" t="s">
        <v>14947</v>
      </c>
      <c r="M3395" s="2" t="s">
        <v>12</v>
      </c>
      <c r="N3395" s="4">
        <f t="shared" si="1"/>
        <v>43756</v>
      </c>
      <c r="O3395" s="5" t="str">
        <f>IFERROR(__xludf.DUMMYFUNCTION("IF(REGEXMATCH(TRIM(I3395), ""^\d+\s*min""), ""Unclassified"", IF(I3395 = """", ""NR"", I3395))"),"TV-Y")</f>
        <v>TV-Y</v>
      </c>
      <c r="R3395" s="5" t="str">
        <f t="shared" si="2"/>
        <v>Chuchu Tv Kids Songs, Learning Videos &amp; Bedtime Stories</v>
      </c>
      <c r="S3395" s="5" t="str">
        <f>IFERROR(__xludf.DUMMYFUNCTION("""COMPUTED_VALUE"""),"Inside Bill'S Brain: Decoding Bill Gates")</f>
        <v>Inside Bill'S Brain: Decoding Bill Gates</v>
      </c>
      <c r="U3395" s="5" t="str">
        <f>IFERROR(__xludf.DUMMYFUNCTION("""COMPUTED_VALUE"""),"Caradog W. James")</f>
        <v>Caradog W. James</v>
      </c>
      <c r="V3395" s="5" t="s">
        <v>18666</v>
      </c>
      <c r="W3395" s="5" t="str">
        <f t="shared" si="3"/>
        <v>Rajan Madhav</v>
      </c>
      <c r="X3395" s="5">
        <f t="shared" si="4"/>
        <v>1</v>
      </c>
      <c r="Y3395" s="5" t="str">
        <f>IFERROR(__xludf.DUMMYFUNCTION("REGEXEXTRACT(J3395, ""^\d+"")"),"1")</f>
        <v>1</v>
      </c>
      <c r="Z3395" s="5" t="str">
        <f>IFERROR(__xludf.DUMMYFUNCTION("REGEXEXTRACT(J3395, ""[A-Za-z ]+$"")")," Season")</f>
        <v> Season</v>
      </c>
      <c r="AA3395" s="5" t="str">
        <f>IFERROR(__xludf.DUMMYFUNCTION("IF(REGEXMATCH(Z3395, ""Season""), ""TV Show"", ""Movie"")"),"TV Show")</f>
        <v>TV Show</v>
      </c>
    </row>
    <row r="3396">
      <c r="A3396" s="1" t="s">
        <v>18667</v>
      </c>
      <c r="B3396" s="1" t="s">
        <v>27</v>
      </c>
      <c r="C3396" s="1" t="s">
        <v>18668</v>
      </c>
      <c r="G3396" s="1" t="s">
        <v>18661</v>
      </c>
      <c r="H3396" s="1">
        <v>2019.0</v>
      </c>
      <c r="I3396" s="1" t="s">
        <v>206</v>
      </c>
      <c r="J3396" s="1" t="s">
        <v>5207</v>
      </c>
      <c r="K3396" s="1" t="s">
        <v>80</v>
      </c>
      <c r="L3396" s="1" t="s">
        <v>18669</v>
      </c>
      <c r="M3396" s="2" t="s">
        <v>12</v>
      </c>
      <c r="N3396" s="4">
        <f t="shared" si="1"/>
        <v>43756</v>
      </c>
      <c r="O3396" s="5" t="str">
        <f>IFERROR(__xludf.DUMMYFUNCTION("IF(REGEXMATCH(TRIM(I3396), ""^\d+\s*min""), ""Unclassified"", IF(I3396 = """", ""NR"", I3396))"),"TV-Y")</f>
        <v>TV-Y</v>
      </c>
      <c r="R3396" s="5" t="str">
        <f t="shared" si="2"/>
        <v>Chuchutv Bedtime Stories &amp; Moral Stories For Kids (English)</v>
      </c>
      <c r="S3396" s="5" t="str">
        <f>IFERROR(__xludf.DUMMYFUNCTION("""COMPUTED_VALUE"""),"Inside Man: Most Wanted")</f>
        <v>Inside Man: Most Wanted</v>
      </c>
      <c r="U3396" s="5" t="str">
        <f>IFERROR(__xludf.DUMMYFUNCTION("""COMPUTED_VALUE"""),"Daniel Gordon")</f>
        <v>Daniel Gordon</v>
      </c>
      <c r="V3396" s="5" t="s">
        <v>11155</v>
      </c>
      <c r="W3396" s="5" t="str">
        <f t="shared" si="3"/>
        <v>Rajat Kapoor</v>
      </c>
      <c r="X3396" s="5">
        <f t="shared" si="4"/>
        <v>2</v>
      </c>
      <c r="Y3396" s="5" t="str">
        <f>IFERROR(__xludf.DUMMYFUNCTION("REGEXEXTRACT(J3396, ""^\d+"")"),"47")</f>
        <v>47</v>
      </c>
      <c r="Z3396" s="5" t="str">
        <f>IFERROR(__xludf.DUMMYFUNCTION("REGEXEXTRACT(J3396, ""[A-Za-z ]+$"")")," min")</f>
        <v> min</v>
      </c>
      <c r="AA3396" s="5" t="str">
        <f>IFERROR(__xludf.DUMMYFUNCTION("IF(REGEXMATCH(Z3396, ""Season""), ""TV Show"", ""Movie"")"),"Movie")</f>
        <v>Movie</v>
      </c>
    </row>
    <row r="3397">
      <c r="A3397" s="1" t="s">
        <v>18670</v>
      </c>
      <c r="B3397" s="1" t="s">
        <v>27</v>
      </c>
      <c r="C3397" s="1" t="s">
        <v>18671</v>
      </c>
      <c r="G3397" s="1" t="s">
        <v>18661</v>
      </c>
      <c r="H3397" s="1">
        <v>2019.0</v>
      </c>
      <c r="I3397" s="1" t="s">
        <v>206</v>
      </c>
      <c r="J3397" s="1" t="s">
        <v>16845</v>
      </c>
      <c r="K3397" s="1" t="s">
        <v>80</v>
      </c>
      <c r="L3397" s="1" t="s">
        <v>18672</v>
      </c>
      <c r="M3397" s="2" t="s">
        <v>12</v>
      </c>
      <c r="N3397" s="4">
        <f t="shared" si="1"/>
        <v>43756</v>
      </c>
      <c r="O3397" s="5" t="str">
        <f>IFERROR(__xludf.DUMMYFUNCTION("IF(REGEXMATCH(TRIM(I3397), ""^\d+\s*min""), ""Unclassified"", IF(I3397 = """", ""NR"", I3397))"),"TV-Y")</f>
        <v>TV-Y</v>
      </c>
      <c r="R3397" s="5" t="str">
        <f t="shared" si="2"/>
        <v>Chuchutv Bedtime Stories &amp; Moral Stories For Kids (Hindi)</v>
      </c>
      <c r="S3397" s="5" t="str">
        <f>IFERROR(__xludf.DUMMYFUNCTION("""COMPUTED_VALUE"""),"Inside The Criminal Mind")</f>
        <v>Inside The Criminal Mind</v>
      </c>
      <c r="U3397" s="5" t="str">
        <f>IFERROR(__xludf.DUMMYFUNCTION("""COMPUTED_VALUE"""),"Mike Birbiglia")</f>
        <v>Mike Birbiglia</v>
      </c>
      <c r="V3397" s="5" t="s">
        <v>18673</v>
      </c>
      <c r="W3397" s="5" t="str">
        <f t="shared" si="3"/>
        <v>Rajeev Chaudhari</v>
      </c>
      <c r="X3397" s="5">
        <f t="shared" si="4"/>
        <v>1</v>
      </c>
      <c r="Y3397" s="5" t="str">
        <f>IFERROR(__xludf.DUMMYFUNCTION("REGEXEXTRACT(J3397, ""^\d+"")"),"56")</f>
        <v>56</v>
      </c>
      <c r="Z3397" s="5" t="str">
        <f>IFERROR(__xludf.DUMMYFUNCTION("REGEXEXTRACT(J3397, ""[A-Za-z ]+$"")")," min")</f>
        <v> min</v>
      </c>
      <c r="AA3397" s="5" t="str">
        <f>IFERROR(__xludf.DUMMYFUNCTION("IF(REGEXMATCH(Z3397, ""Season""), ""TV Show"", ""Movie"")"),"Movie")</f>
        <v>Movie</v>
      </c>
    </row>
    <row r="3398">
      <c r="A3398" s="1" t="s">
        <v>18674</v>
      </c>
      <c r="B3398" s="1" t="s">
        <v>27</v>
      </c>
      <c r="C3398" s="1" t="s">
        <v>18675</v>
      </c>
      <c r="G3398" s="1" t="s">
        <v>18661</v>
      </c>
      <c r="H3398" s="1">
        <v>2019.0</v>
      </c>
      <c r="I3398" s="1" t="s">
        <v>206</v>
      </c>
      <c r="J3398" s="1" t="s">
        <v>207</v>
      </c>
      <c r="K3398" s="1" t="s">
        <v>80</v>
      </c>
      <c r="L3398" s="1" t="s">
        <v>18676</v>
      </c>
      <c r="M3398" s="2" t="s">
        <v>12</v>
      </c>
      <c r="N3398" s="4">
        <f t="shared" si="1"/>
        <v>43756</v>
      </c>
      <c r="O3398" s="5" t="str">
        <f>IFERROR(__xludf.DUMMYFUNCTION("IF(REGEXMATCH(TRIM(I3398), ""^\d+\s*min""), ""Unclassified"", IF(I3398 = """", ""NR"", I3398))"),"TV-Y")</f>
        <v>TV-Y</v>
      </c>
      <c r="R3398" s="5" t="str">
        <f t="shared" si="2"/>
        <v>Chuchutv Surprise Eggs Learning Videos (English)</v>
      </c>
      <c r="S3398" s="5" t="str">
        <f>IFERROR(__xludf.DUMMYFUNCTION("""COMPUTED_VALUE"""),"Inside The Freemasons")</f>
        <v>Inside The Freemasons</v>
      </c>
      <c r="U3398" s="5" t="str">
        <f>IFERROR(__xludf.DUMMYFUNCTION("""COMPUTED_VALUE"""),"John Patrick Shanley")</f>
        <v>John Patrick Shanley</v>
      </c>
      <c r="V3398" s="5" t="s">
        <v>18677</v>
      </c>
      <c r="W3398" s="5" t="str">
        <f t="shared" si="3"/>
        <v>Rajeev Patil</v>
      </c>
      <c r="X3398" s="5">
        <f t="shared" si="4"/>
        <v>1</v>
      </c>
      <c r="Y3398" s="5" t="str">
        <f>IFERROR(__xludf.DUMMYFUNCTION("REGEXEXTRACT(J3398, ""^\d+"")"),"61")</f>
        <v>61</v>
      </c>
      <c r="Z3398" s="5" t="str">
        <f>IFERROR(__xludf.DUMMYFUNCTION("REGEXEXTRACT(J3398, ""[A-Za-z ]+$"")")," min")</f>
        <v> min</v>
      </c>
      <c r="AA3398" s="5" t="str">
        <f>IFERROR(__xludf.DUMMYFUNCTION("IF(REGEXMATCH(Z3398, ""Season""), ""TV Show"", ""Movie"")"),"Movie")</f>
        <v>Movie</v>
      </c>
    </row>
    <row r="3399">
      <c r="A3399" s="1" t="s">
        <v>18678</v>
      </c>
      <c r="B3399" s="1" t="s">
        <v>27</v>
      </c>
      <c r="C3399" s="1" t="s">
        <v>18679</v>
      </c>
      <c r="G3399" s="1" t="s">
        <v>18661</v>
      </c>
      <c r="H3399" s="1">
        <v>2019.0</v>
      </c>
      <c r="I3399" s="1" t="s">
        <v>206</v>
      </c>
      <c r="J3399" s="1" t="s">
        <v>4463</v>
      </c>
      <c r="K3399" s="1" t="s">
        <v>80</v>
      </c>
      <c r="L3399" s="1" t="s">
        <v>18680</v>
      </c>
      <c r="M3399" s="2" t="s">
        <v>12</v>
      </c>
      <c r="N3399" s="4">
        <f t="shared" si="1"/>
        <v>43756</v>
      </c>
      <c r="O3399" s="5" t="str">
        <f>IFERROR(__xludf.DUMMYFUNCTION("IF(REGEXMATCH(TRIM(I3399), ""^\d+\s*min""), ""Unclassified"", IF(I3399 = """", ""NR"", I3399))"),"TV-Y")</f>
        <v>TV-Y</v>
      </c>
      <c r="R3399" s="5" t="str">
        <f t="shared" si="2"/>
        <v>Chuchutv Surprise Eggs Learning Videos (Hindi)</v>
      </c>
      <c r="S3399" s="5" t="str">
        <f>IFERROR(__xludf.DUMMYFUNCTION("""COMPUTED_VALUE"""),"Inside The Mind Of A Serial Killer")</f>
        <v>Inside The Mind Of A Serial Killer</v>
      </c>
      <c r="U3399" s="5" t="str">
        <f>IFERROR(__xludf.DUMMYFUNCTION("""COMPUTED_VALUE"""),"M.J. Isakson")</f>
        <v>M.J. Isakson</v>
      </c>
      <c r="V3399" s="5" t="s">
        <v>11357</v>
      </c>
      <c r="W3399" s="5" t="str">
        <f t="shared" si="3"/>
        <v>Rajesh Ganguly</v>
      </c>
      <c r="X3399" s="5">
        <f t="shared" si="4"/>
        <v>1</v>
      </c>
      <c r="Y3399" s="5" t="str">
        <f>IFERROR(__xludf.DUMMYFUNCTION("REGEXEXTRACT(J3399, ""^\d+"")"),"34")</f>
        <v>34</v>
      </c>
      <c r="Z3399" s="5" t="str">
        <f>IFERROR(__xludf.DUMMYFUNCTION("REGEXEXTRACT(J3399, ""[A-Za-z ]+$"")")," min")</f>
        <v> min</v>
      </c>
      <c r="AA3399" s="5" t="str">
        <f>IFERROR(__xludf.DUMMYFUNCTION("IF(REGEXMATCH(Z3399, ""Season""), ""TV Show"", ""Movie"")"),"Movie")</f>
        <v>Movie</v>
      </c>
    </row>
    <row r="3400">
      <c r="A3400" s="1" t="s">
        <v>18681</v>
      </c>
      <c r="B3400" s="1" t="s">
        <v>27</v>
      </c>
      <c r="C3400" s="1" t="s">
        <v>18682</v>
      </c>
      <c r="D3400" s="1" t="s">
        <v>5017</v>
      </c>
      <c r="E3400" s="1" t="s">
        <v>18683</v>
      </c>
      <c r="F3400" s="1" t="s">
        <v>30</v>
      </c>
      <c r="G3400" s="1" t="s">
        <v>18661</v>
      </c>
      <c r="H3400" s="1">
        <v>2019.0</v>
      </c>
      <c r="I3400" s="1" t="s">
        <v>42</v>
      </c>
      <c r="J3400" s="1" t="s">
        <v>357</v>
      </c>
      <c r="K3400" s="1" t="s">
        <v>1551</v>
      </c>
      <c r="L3400" s="1" t="s">
        <v>18684</v>
      </c>
      <c r="M3400" s="2" t="s">
        <v>12</v>
      </c>
      <c r="N3400" s="4">
        <f t="shared" si="1"/>
        <v>43756</v>
      </c>
      <c r="O3400" s="5" t="str">
        <f>IFERROR(__xludf.DUMMYFUNCTION("IF(REGEXMATCH(TRIM(I3400), ""^\d+\s*min""), ""Unclassified"", IF(I3400 = """", ""NR"", I3400))"),"TV-MA")</f>
        <v>TV-MA</v>
      </c>
      <c r="R3400" s="5" t="str">
        <f t="shared" si="2"/>
        <v>Eli</v>
      </c>
      <c r="S3400" s="5" t="str">
        <f>IFERROR(__xludf.DUMMYFUNCTION("""COMPUTED_VALUE"""),"Inside The Mossad")</f>
        <v>Inside The Mossad</v>
      </c>
      <c r="U3400" s="5" t="str">
        <f>IFERROR(__xludf.DUMMYFUNCTION("""COMPUTED_VALUE"""),"Bo Welch")</f>
        <v>Bo Welch</v>
      </c>
      <c r="V3400" s="5" t="s">
        <v>6622</v>
      </c>
      <c r="W3400" s="5" t="str">
        <f t="shared" si="3"/>
        <v>Rajesh Mapuskar</v>
      </c>
      <c r="X3400" s="5">
        <f t="shared" si="4"/>
        <v>1</v>
      </c>
      <c r="Y3400" s="5" t="str">
        <f>IFERROR(__xludf.DUMMYFUNCTION("REGEXEXTRACT(J3400, ""^\d+"")"),"98")</f>
        <v>98</v>
      </c>
      <c r="Z3400" s="5" t="str">
        <f>IFERROR(__xludf.DUMMYFUNCTION("REGEXEXTRACT(J3400, ""[A-Za-z ]+$"")")," min")</f>
        <v> min</v>
      </c>
      <c r="AA3400" s="5" t="str">
        <f>IFERROR(__xludf.DUMMYFUNCTION("IF(REGEXMATCH(Z3400, ""Season""), ""TV Show"", ""Movie"")"),"Movie")</f>
        <v>Movie</v>
      </c>
    </row>
    <row r="3401">
      <c r="A3401" s="1" t="s">
        <v>18685</v>
      </c>
      <c r="B3401" s="1" t="s">
        <v>27</v>
      </c>
      <c r="C3401" s="1" t="s">
        <v>18686</v>
      </c>
      <c r="D3401" s="1" t="s">
        <v>7892</v>
      </c>
      <c r="E3401" s="1" t="s">
        <v>18687</v>
      </c>
      <c r="G3401" s="1" t="s">
        <v>18661</v>
      </c>
      <c r="H3401" s="1">
        <v>2018.0</v>
      </c>
      <c r="I3401" s="1" t="s">
        <v>42</v>
      </c>
      <c r="J3401" s="1" t="s">
        <v>416</v>
      </c>
      <c r="K3401" s="1" t="s">
        <v>128</v>
      </c>
      <c r="L3401" s="1" t="s">
        <v>18688</v>
      </c>
      <c r="M3401" s="2" t="s">
        <v>12</v>
      </c>
      <c r="N3401" s="4">
        <f t="shared" si="1"/>
        <v>43756</v>
      </c>
      <c r="O3401" s="5" t="str">
        <f>IFERROR(__xludf.DUMMYFUNCTION("IF(REGEXMATCH(TRIM(I3401), ""^\d+\s*min""), ""Unclassified"", IF(I3401 = """", ""NR"", I3401))"),"TV-MA")</f>
        <v>TV-MA</v>
      </c>
      <c r="R3401" s="5" t="str">
        <f t="shared" si="2"/>
        <v>In My Country</v>
      </c>
      <c r="S3401" s="5" t="str">
        <f>IFERROR(__xludf.DUMMYFUNCTION("""COMPUTED_VALUE"""),"Inside The Real Narcos")</f>
        <v>Inside The Real Narcos</v>
      </c>
      <c r="U3401" s="5" t="str">
        <f>IFERROR(__xludf.DUMMYFUNCTION("""COMPUTED_VALUE"""),"Scott Mosier, Yarrow Cheney")</f>
        <v>Scott Mosier, Yarrow Cheney</v>
      </c>
      <c r="V3401" s="5" t="s">
        <v>18689</v>
      </c>
      <c r="W3401" s="5" t="str">
        <f t="shared" si="3"/>
        <v>Rajesh Touchriver</v>
      </c>
      <c r="X3401" s="5">
        <f t="shared" si="4"/>
        <v>1</v>
      </c>
      <c r="Y3401" s="5" t="str">
        <f>IFERROR(__xludf.DUMMYFUNCTION("REGEXEXTRACT(J3401, ""^\d+"")"),"99")</f>
        <v>99</v>
      </c>
      <c r="Z3401" s="5" t="str">
        <f>IFERROR(__xludf.DUMMYFUNCTION("REGEXEXTRACT(J3401, ""[A-Za-z ]+$"")")," min")</f>
        <v> min</v>
      </c>
      <c r="AA3401" s="5" t="str">
        <f>IFERROR(__xludf.DUMMYFUNCTION("IF(REGEXMATCH(Z3401, ""Season""), ""TV Show"", ""Movie"")"),"Movie")</f>
        <v>Movie</v>
      </c>
    </row>
    <row r="3402">
      <c r="A3402" s="1" t="s">
        <v>18690</v>
      </c>
      <c r="B3402" s="1" t="s">
        <v>37</v>
      </c>
      <c r="C3402" s="1" t="s">
        <v>18691</v>
      </c>
      <c r="F3402" s="1" t="s">
        <v>96</v>
      </c>
      <c r="G3402" s="1" t="s">
        <v>18661</v>
      </c>
      <c r="H3402" s="1">
        <v>2019.0</v>
      </c>
      <c r="I3402" s="1" t="s">
        <v>136</v>
      </c>
      <c r="J3402" s="1" t="s">
        <v>51</v>
      </c>
      <c r="K3402" s="1" t="s">
        <v>2382</v>
      </c>
      <c r="L3402" s="1" t="s">
        <v>18692</v>
      </c>
      <c r="M3402" s="2" t="s">
        <v>12</v>
      </c>
      <c r="N3402" s="4">
        <f t="shared" si="1"/>
        <v>43756</v>
      </c>
      <c r="O3402" s="5" t="str">
        <f>IFERROR(__xludf.DUMMYFUNCTION("IF(REGEXMATCH(TRIM(I3402), ""^\d+\s*min""), ""Unclassified"", IF(I3402 = """", ""NR"", I3402))"),"TV-PG")</f>
        <v>TV-PG</v>
      </c>
      <c r="R3402" s="5" t="str">
        <f t="shared" si="2"/>
        <v>Interior Design Masters</v>
      </c>
      <c r="S3402" s="5" t="str">
        <f>IFERROR(__xludf.DUMMYFUNCTION("""COMPUTED_VALUE"""),"Inside The World’S Toughest Prisons")</f>
        <v>Inside The World’S Toughest Prisons</v>
      </c>
      <c r="U3402" s="5" t="str">
        <f>IFERROR(__xludf.DUMMYFUNCTION("""COMPUTED_VALUE"""),"Rob Cohen")</f>
        <v>Rob Cohen</v>
      </c>
      <c r="V3402" s="5" t="s">
        <v>2621</v>
      </c>
      <c r="W3402" s="5" t="str">
        <f t="shared" si="3"/>
        <v>Rajiv Chilaka</v>
      </c>
      <c r="X3402" s="5">
        <f t="shared" si="4"/>
        <v>19</v>
      </c>
      <c r="Y3402" s="5" t="str">
        <f>IFERROR(__xludf.DUMMYFUNCTION("REGEXEXTRACT(J3402, ""^\d+"")"),"1")</f>
        <v>1</v>
      </c>
      <c r="Z3402" s="5" t="str">
        <f>IFERROR(__xludf.DUMMYFUNCTION("REGEXEXTRACT(J3402, ""[A-Za-z ]+$"")")," Season")</f>
        <v> Season</v>
      </c>
      <c r="AA3402" s="5" t="str">
        <f>IFERROR(__xludf.DUMMYFUNCTION("IF(REGEXMATCH(Z3402, ""Season""), ""TV Show"", ""Movie"")"),"TV Show")</f>
        <v>TV Show</v>
      </c>
    </row>
    <row r="3403">
      <c r="A3403" s="1" t="s">
        <v>18693</v>
      </c>
      <c r="B3403" s="1" t="s">
        <v>37</v>
      </c>
      <c r="C3403" s="1" t="s">
        <v>18694</v>
      </c>
      <c r="E3403" s="1" t="s">
        <v>18695</v>
      </c>
      <c r="F3403" s="1" t="s">
        <v>96</v>
      </c>
      <c r="G3403" s="1" t="s">
        <v>18661</v>
      </c>
      <c r="H3403" s="1">
        <v>2019.0</v>
      </c>
      <c r="I3403" s="1" t="s">
        <v>206</v>
      </c>
      <c r="J3403" s="1" t="s">
        <v>43</v>
      </c>
      <c r="K3403" s="1" t="s">
        <v>712</v>
      </c>
      <c r="L3403" s="1" t="s">
        <v>18696</v>
      </c>
      <c r="M3403" s="2" t="s">
        <v>12</v>
      </c>
      <c r="N3403" s="4">
        <f t="shared" si="1"/>
        <v>43756</v>
      </c>
      <c r="O3403" s="5" t="str">
        <f>IFERROR(__xludf.DUMMYFUNCTION("IF(REGEXMATCH(TRIM(I3403), ""^\d+\s*min""), ""Unclassified"", IF(I3403 = """", ""NR"", I3403))"),"TV-Y")</f>
        <v>TV-Y</v>
      </c>
      <c r="R3403" s="5" t="str">
        <f t="shared" si="2"/>
        <v>Little Baby Bum: Nursery Rhyme Friends</v>
      </c>
      <c r="S3403" s="5" t="str">
        <f>IFERROR(__xludf.DUMMYFUNCTION("""COMPUTED_VALUE"""),"Insidious")</f>
        <v>Insidious</v>
      </c>
      <c r="U3403" s="5" t="str">
        <f>IFERROR(__xludf.DUMMYFUNCTION("""COMPUTED_VALUE"""),"Colin Teague")</f>
        <v>Colin Teague</v>
      </c>
      <c r="V3403" s="5" t="s">
        <v>15328</v>
      </c>
      <c r="W3403" s="5" t="str">
        <f t="shared" si="3"/>
        <v>Rajiv Chilaka, Anirban Majumder, Alka Amarkant Dubey</v>
      </c>
      <c r="X3403" s="5">
        <f t="shared" si="4"/>
        <v>1</v>
      </c>
      <c r="Y3403" s="5" t="str">
        <f>IFERROR(__xludf.DUMMYFUNCTION("REGEXEXTRACT(J3403, ""^\d+"")"),"2")</f>
        <v>2</v>
      </c>
      <c r="Z3403" s="5" t="str">
        <f>IFERROR(__xludf.DUMMYFUNCTION("REGEXEXTRACT(J3403, ""[A-Za-z ]+$"")")," Seasons")</f>
        <v> Seasons</v>
      </c>
      <c r="AA3403" s="5" t="str">
        <f>IFERROR(__xludf.DUMMYFUNCTION("IF(REGEXMATCH(Z3403, ""Season""), ""TV Show"", ""Movie"")"),"TV Show")</f>
        <v>TV Show</v>
      </c>
    </row>
    <row r="3404">
      <c r="A3404" s="1" t="s">
        <v>18697</v>
      </c>
      <c r="B3404" s="1" t="s">
        <v>27</v>
      </c>
      <c r="C3404" s="1" t="s">
        <v>18698</v>
      </c>
      <c r="D3404" s="1" t="s">
        <v>5463</v>
      </c>
      <c r="E3404" s="1" t="s">
        <v>18699</v>
      </c>
      <c r="F3404" s="1" t="s">
        <v>188</v>
      </c>
      <c r="G3404" s="1" t="s">
        <v>18661</v>
      </c>
      <c r="H3404" s="1">
        <v>2017.0</v>
      </c>
      <c r="I3404" s="1" t="s">
        <v>97</v>
      </c>
      <c r="J3404" s="1" t="s">
        <v>465</v>
      </c>
      <c r="K3404" s="1" t="s">
        <v>215</v>
      </c>
      <c r="L3404" s="1" t="s">
        <v>18700</v>
      </c>
      <c r="M3404" s="2" t="s">
        <v>12</v>
      </c>
      <c r="N3404" s="4">
        <f t="shared" si="1"/>
        <v>43756</v>
      </c>
      <c r="O3404" s="5" t="str">
        <f>IFERROR(__xludf.DUMMYFUNCTION("IF(REGEXMATCH(TRIM(I3404), ""^\d+\s*min""), ""Unclassified"", IF(I3404 = """", ""NR"", I3404))"),"TV-14")</f>
        <v>TV-14</v>
      </c>
      <c r="R3404" s="5" t="str">
        <f t="shared" si="2"/>
        <v>Love, Surreal And Odd</v>
      </c>
      <c r="S3404" s="5" t="str">
        <f>IFERROR(__xludf.DUMMYFUNCTION("""COMPUTED_VALUE"""),"Inspector Gadget")</f>
        <v>Inspector Gadget</v>
      </c>
      <c r="U3404" s="5" t="str">
        <f>IFERROR(__xludf.DUMMYFUNCTION("""COMPUTED_VALUE"""),"Doug Lefler")</f>
        <v>Doug Lefler</v>
      </c>
      <c r="V3404" s="5" t="s">
        <v>18701</v>
      </c>
      <c r="W3404" s="5" t="str">
        <f t="shared" si="3"/>
        <v>Rajiv Chilaka, Binayak Das</v>
      </c>
      <c r="X3404" s="5">
        <f t="shared" si="4"/>
        <v>1</v>
      </c>
      <c r="Y3404" s="5" t="str">
        <f>IFERROR(__xludf.DUMMYFUNCTION("REGEXEXTRACT(J3404, ""^\d+"")"),"95")</f>
        <v>95</v>
      </c>
      <c r="Z3404" s="5" t="str">
        <f>IFERROR(__xludf.DUMMYFUNCTION("REGEXEXTRACT(J3404, ""[A-Za-z ]+$"")")," min")</f>
        <v> min</v>
      </c>
      <c r="AA3404" s="5" t="str">
        <f>IFERROR(__xludf.DUMMYFUNCTION("IF(REGEXMATCH(Z3404, ""Season""), ""TV Show"", ""Movie"")"),"Movie")</f>
        <v>Movie</v>
      </c>
    </row>
    <row r="3405">
      <c r="A3405" s="1" t="s">
        <v>18702</v>
      </c>
      <c r="B3405" s="1" t="s">
        <v>37</v>
      </c>
      <c r="C3405" s="1" t="s">
        <v>18703</v>
      </c>
      <c r="E3405" s="1" t="s">
        <v>18704</v>
      </c>
      <c r="F3405" s="1" t="s">
        <v>63</v>
      </c>
      <c r="G3405" s="1" t="s">
        <v>18661</v>
      </c>
      <c r="H3405" s="1">
        <v>2019.0</v>
      </c>
      <c r="I3405" s="1" t="s">
        <v>206</v>
      </c>
      <c r="J3405" s="1" t="s">
        <v>51</v>
      </c>
      <c r="K3405" s="1" t="s">
        <v>314</v>
      </c>
      <c r="L3405" s="1" t="s">
        <v>18705</v>
      </c>
      <c r="M3405" s="2" t="s">
        <v>12</v>
      </c>
      <c r="N3405" s="4">
        <f t="shared" si="1"/>
        <v>43756</v>
      </c>
      <c r="O3405" s="5" t="str">
        <f>IFERROR(__xludf.DUMMYFUNCTION("IF(REGEXMATCH(TRIM(I3405), ""^\d+\s*min""), ""Unclassified"", IF(I3405 = """", ""NR"", I3405))"),"TV-Y")</f>
        <v>TV-Y</v>
      </c>
      <c r="R3405" s="5" t="str">
        <f t="shared" si="2"/>
        <v>Mighty Little Bheem: Diwali</v>
      </c>
      <c r="S3405" s="5" t="str">
        <f>IFERROR(__xludf.DUMMYFUNCTION("""COMPUTED_VALUE"""),"Inst@Famous")</f>
        <v>Inst@Famous</v>
      </c>
      <c r="U3405" s="5" t="str">
        <f>IFERROR(__xludf.DUMMYFUNCTION("""COMPUTED_VALUE"""),"Patrik Syversen")</f>
        <v>Patrik Syversen</v>
      </c>
      <c r="V3405" s="5" t="s">
        <v>2688</v>
      </c>
      <c r="W3405" s="5" t="str">
        <f t="shared" si="3"/>
        <v>Rajiv Chilaka, Owll Mina</v>
      </c>
      <c r="X3405" s="5">
        <f t="shared" si="4"/>
        <v>1</v>
      </c>
      <c r="Y3405" s="5" t="str">
        <f>IFERROR(__xludf.DUMMYFUNCTION("REGEXEXTRACT(J3405, ""^\d+"")"),"1")</f>
        <v>1</v>
      </c>
      <c r="Z3405" s="5" t="str">
        <f>IFERROR(__xludf.DUMMYFUNCTION("REGEXEXTRACT(J3405, ""[A-Za-z ]+$"")")," Season")</f>
        <v> Season</v>
      </c>
      <c r="AA3405" s="5" t="str">
        <f>IFERROR(__xludf.DUMMYFUNCTION("IF(REGEXMATCH(Z3405, ""Season""), ""TV Show"", ""Movie"")"),"TV Show")</f>
        <v>TV Show</v>
      </c>
    </row>
    <row r="3406">
      <c r="A3406" s="1" t="s">
        <v>18706</v>
      </c>
      <c r="B3406" s="1" t="s">
        <v>37</v>
      </c>
      <c r="C3406" s="1" t="s">
        <v>18707</v>
      </c>
      <c r="E3406" s="1" t="s">
        <v>18708</v>
      </c>
      <c r="G3406" s="1" t="s">
        <v>18661</v>
      </c>
      <c r="H3406" s="1">
        <v>2017.0</v>
      </c>
      <c r="I3406" s="1" t="s">
        <v>289</v>
      </c>
      <c r="J3406" s="1" t="s">
        <v>51</v>
      </c>
      <c r="K3406" s="1" t="s">
        <v>637</v>
      </c>
      <c r="L3406" s="1" t="s">
        <v>18709</v>
      </c>
      <c r="M3406" s="2" t="s">
        <v>12</v>
      </c>
      <c r="N3406" s="4">
        <f t="shared" si="1"/>
        <v>43756</v>
      </c>
      <c r="O3406" s="5" t="str">
        <f>IFERROR(__xludf.DUMMYFUNCTION("IF(REGEXMATCH(TRIM(I3406), ""^\d+\s*min""), ""Unclassified"", IF(I3406 = """", ""NR"", I3406))"),"TV-Y7")</f>
        <v>TV-Y7</v>
      </c>
      <c r="R3406" s="5" t="str">
        <f t="shared" si="2"/>
        <v>Monkart</v>
      </c>
      <c r="S3406" s="5" t="str">
        <f>IFERROR(__xludf.DUMMYFUNCTION("""COMPUTED_VALUE"""),"Instant Hotel")</f>
        <v>Instant Hotel</v>
      </c>
      <c r="U3406" s="5" t="str">
        <f>IFERROR(__xludf.DUMMYFUNCTION("""COMPUTED_VALUE"""),"Greg Macgillivray")</f>
        <v>Greg Macgillivray</v>
      </c>
      <c r="V3406" s="5" t="s">
        <v>18710</v>
      </c>
      <c r="W3406" s="5" t="str">
        <f t="shared" si="3"/>
        <v>Rajiv Mehra</v>
      </c>
      <c r="X3406" s="5">
        <f t="shared" si="4"/>
        <v>5</v>
      </c>
      <c r="Y3406" s="5" t="str">
        <f>IFERROR(__xludf.DUMMYFUNCTION("REGEXEXTRACT(J3406, ""^\d+"")"),"1")</f>
        <v>1</v>
      </c>
      <c r="Z3406" s="5" t="str">
        <f>IFERROR(__xludf.DUMMYFUNCTION("REGEXEXTRACT(J3406, ""[A-Za-z ]+$"")")," Season")</f>
        <v> Season</v>
      </c>
      <c r="AA3406" s="5" t="str">
        <f>IFERROR(__xludf.DUMMYFUNCTION("IF(REGEXMATCH(Z3406, ""Season""), ""TV Show"", ""Movie"")"),"TV Show")</f>
        <v>TV Show</v>
      </c>
    </row>
    <row r="3407">
      <c r="A3407" s="1" t="s">
        <v>18711</v>
      </c>
      <c r="B3407" s="1" t="s">
        <v>27</v>
      </c>
      <c r="C3407" s="1" t="s">
        <v>18712</v>
      </c>
      <c r="D3407" s="1" t="s">
        <v>5624</v>
      </c>
      <c r="E3407" s="1" t="s">
        <v>18713</v>
      </c>
      <c r="F3407" s="1" t="s">
        <v>784</v>
      </c>
      <c r="G3407" s="1" t="s">
        <v>18661</v>
      </c>
      <c r="H3407" s="1">
        <v>2019.0</v>
      </c>
      <c r="I3407" s="1" t="s">
        <v>42</v>
      </c>
      <c r="J3407" s="1" t="s">
        <v>433</v>
      </c>
      <c r="K3407" s="1" t="s">
        <v>583</v>
      </c>
      <c r="L3407" s="1" t="s">
        <v>18714</v>
      </c>
      <c r="M3407" s="2" t="s">
        <v>12</v>
      </c>
      <c r="N3407" s="4">
        <f t="shared" si="1"/>
        <v>43756</v>
      </c>
      <c r="O3407" s="5" t="str">
        <f>IFERROR(__xludf.DUMMYFUNCTION("IF(REGEXMATCH(TRIM(I3407), ""^\d+\s*min""), ""Unclassified"", IF(I3407 = """", ""NR"", I3407))"),"TV-MA")</f>
        <v>TV-MA</v>
      </c>
      <c r="R3407" s="5" t="str">
        <f t="shared" si="2"/>
        <v>Seventeen</v>
      </c>
      <c r="S3407" s="5" t="str">
        <f>IFERROR(__xludf.DUMMYFUNCTION("""COMPUTED_VALUE"""),"Instructions Not Included")</f>
        <v>Instructions Not Included</v>
      </c>
      <c r="U3407" s="5" t="str">
        <f>IFERROR(__xludf.DUMMYFUNCTION("""COMPUTED_VALUE"""),"Tristan Ferland Milewski")</f>
        <v>Tristan Ferland Milewski</v>
      </c>
      <c r="V3407" s="5" t="s">
        <v>227</v>
      </c>
      <c r="W3407" s="5" t="str">
        <f t="shared" si="3"/>
        <v>Rajiv Menon</v>
      </c>
      <c r="X3407" s="5">
        <f t="shared" si="4"/>
        <v>3</v>
      </c>
      <c r="Y3407" s="5" t="str">
        <f>IFERROR(__xludf.DUMMYFUNCTION("REGEXEXTRACT(J3407, ""^\d+"")"),"100")</f>
        <v>100</v>
      </c>
      <c r="Z3407" s="5" t="str">
        <f>IFERROR(__xludf.DUMMYFUNCTION("REGEXEXTRACT(J3407, ""[A-Za-z ]+$"")")," min")</f>
        <v> min</v>
      </c>
      <c r="AA3407" s="5" t="str">
        <f>IFERROR(__xludf.DUMMYFUNCTION("IF(REGEXMATCH(Z3407, ""Season""), ""TV Show"", ""Movie"")"),"Movie")</f>
        <v>Movie</v>
      </c>
    </row>
    <row r="3408">
      <c r="A3408" s="1" t="s">
        <v>18715</v>
      </c>
      <c r="B3408" s="1" t="s">
        <v>37</v>
      </c>
      <c r="C3408" s="1" t="s">
        <v>18716</v>
      </c>
      <c r="E3408" s="1" t="s">
        <v>18717</v>
      </c>
      <c r="F3408" s="1" t="s">
        <v>30</v>
      </c>
      <c r="G3408" s="1" t="s">
        <v>18661</v>
      </c>
      <c r="H3408" s="1">
        <v>2019.0</v>
      </c>
      <c r="I3408" s="1" t="s">
        <v>289</v>
      </c>
      <c r="J3408" s="1" t="s">
        <v>43</v>
      </c>
      <c r="K3408" s="1" t="s">
        <v>290</v>
      </c>
      <c r="L3408" s="1" t="s">
        <v>18718</v>
      </c>
      <c r="M3408" s="2" t="s">
        <v>12</v>
      </c>
      <c r="N3408" s="4">
        <f t="shared" si="1"/>
        <v>43756</v>
      </c>
      <c r="O3408" s="5" t="str">
        <f>IFERROR(__xludf.DUMMYFUNCTION("IF(REGEXMATCH(TRIM(I3408), ""^\d+\s*min""), ""Unclassified"", IF(I3408 = """", ""NR"", I3408))"),"TV-Y7")</f>
        <v>TV-Y7</v>
      </c>
      <c r="R3408" s="5" t="str">
        <f t="shared" si="2"/>
        <v>Spirit Riding Free: Pony Tales</v>
      </c>
      <c r="S3408" s="5" t="str">
        <f>IFERROR(__xludf.DUMMYFUNCTION("""COMPUTED_VALUE"""),"Intelligence")</f>
        <v>Intelligence</v>
      </c>
      <c r="U3408" s="5" t="str">
        <f>IFERROR(__xludf.DUMMYFUNCTION("""COMPUTED_VALUE"""),"Reiner Holzemer")</f>
        <v>Reiner Holzemer</v>
      </c>
      <c r="V3408" s="5" t="s">
        <v>6615</v>
      </c>
      <c r="W3408" s="5" t="str">
        <f t="shared" si="3"/>
        <v>Rajkumar Hirani</v>
      </c>
      <c r="X3408" s="5">
        <f t="shared" si="4"/>
        <v>3</v>
      </c>
      <c r="Y3408" s="5" t="str">
        <f>IFERROR(__xludf.DUMMYFUNCTION("REGEXEXTRACT(J3408, ""^\d+"")"),"2")</f>
        <v>2</v>
      </c>
      <c r="Z3408" s="5" t="str">
        <f>IFERROR(__xludf.DUMMYFUNCTION("REGEXEXTRACT(J3408, ""[A-Za-z ]+$"")")," Seasons")</f>
        <v> Seasons</v>
      </c>
      <c r="AA3408" s="5" t="str">
        <f>IFERROR(__xludf.DUMMYFUNCTION("IF(REGEXMATCH(Z3408, ""Season""), ""TV Show"", ""Movie"")"),"TV Show")</f>
        <v>TV Show</v>
      </c>
    </row>
    <row r="3409">
      <c r="A3409" s="1" t="s">
        <v>18719</v>
      </c>
      <c r="B3409" s="1" t="s">
        <v>27</v>
      </c>
      <c r="C3409" s="1" t="s">
        <v>18720</v>
      </c>
      <c r="D3409" s="1" t="s">
        <v>6619</v>
      </c>
      <c r="E3409" s="1" t="s">
        <v>18721</v>
      </c>
      <c r="F3409" s="1" t="s">
        <v>400</v>
      </c>
      <c r="G3409" s="1" t="s">
        <v>18661</v>
      </c>
      <c r="H3409" s="1">
        <v>2017.0</v>
      </c>
      <c r="I3409" s="1" t="s">
        <v>42</v>
      </c>
      <c r="J3409" s="1" t="s">
        <v>1091</v>
      </c>
      <c r="K3409" s="1" t="s">
        <v>306</v>
      </c>
      <c r="L3409" s="1" t="s">
        <v>18722</v>
      </c>
      <c r="M3409" s="2" t="s">
        <v>12</v>
      </c>
      <c r="N3409" s="4">
        <f t="shared" si="1"/>
        <v>43756</v>
      </c>
      <c r="O3409" s="5" t="str">
        <f>IFERROR(__xludf.DUMMYFUNCTION("IF(REGEXMATCH(TRIM(I3409), ""^\d+\s*min""), ""Unclassified"", IF(I3409 = """", ""NR"", I3409))"),"TV-MA")</f>
        <v>TV-MA</v>
      </c>
      <c r="R3409" s="5" t="str">
        <f t="shared" si="2"/>
        <v>Tatu</v>
      </c>
      <c r="S3409" s="5" t="str">
        <f>IFERROR(__xludf.DUMMYFUNCTION("""COMPUTED_VALUE"""),"Interior Design Masters")</f>
        <v>Interior Design Masters</v>
      </c>
      <c r="U3409" s="5" t="str">
        <f>IFERROR(__xludf.DUMMYFUNCTION("""COMPUTED_VALUE"""),"Afia Nathaniel")</f>
        <v>Afia Nathaniel</v>
      </c>
      <c r="V3409" s="5" t="s">
        <v>10390</v>
      </c>
      <c r="W3409" s="5" t="str">
        <f t="shared" si="3"/>
        <v>Rajkumar Santoshi</v>
      </c>
      <c r="X3409" s="5">
        <f t="shared" si="4"/>
        <v>6</v>
      </c>
      <c r="Y3409" s="5" t="str">
        <f>IFERROR(__xludf.DUMMYFUNCTION("REGEXEXTRACT(J3409, ""^\d+"")"),"101")</f>
        <v>101</v>
      </c>
      <c r="Z3409" s="5" t="str">
        <f>IFERROR(__xludf.DUMMYFUNCTION("REGEXEXTRACT(J3409, ""[A-Za-z ]+$"")")," min")</f>
        <v> min</v>
      </c>
      <c r="AA3409" s="5" t="str">
        <f>IFERROR(__xludf.DUMMYFUNCTION("IF(REGEXMATCH(Z3409, ""Season""), ""TV Show"", ""Movie"")"),"Movie")</f>
        <v>Movie</v>
      </c>
    </row>
    <row r="3410">
      <c r="A3410" s="1" t="s">
        <v>18723</v>
      </c>
      <c r="B3410" s="1" t="s">
        <v>27</v>
      </c>
      <c r="C3410" s="1" t="s">
        <v>18724</v>
      </c>
      <c r="D3410" s="1" t="s">
        <v>6781</v>
      </c>
      <c r="F3410" s="1" t="s">
        <v>96</v>
      </c>
      <c r="G3410" s="1" t="s">
        <v>18661</v>
      </c>
      <c r="H3410" s="1">
        <v>2019.0</v>
      </c>
      <c r="I3410" s="1" t="s">
        <v>42</v>
      </c>
      <c r="J3410" s="1" t="s">
        <v>1144</v>
      </c>
      <c r="K3410" s="1" t="s">
        <v>34</v>
      </c>
      <c r="L3410" s="1" t="s">
        <v>18725</v>
      </c>
      <c r="M3410" s="2" t="s">
        <v>12</v>
      </c>
      <c r="N3410" s="4">
        <f t="shared" si="1"/>
        <v>43756</v>
      </c>
      <c r="O3410" s="5" t="str">
        <f>IFERROR(__xludf.DUMMYFUNCTION("IF(REGEXMATCH(TRIM(I3410), ""^\d+\s*min""), ""Unclassified"", IF(I3410 = """", ""NR"", I3410))"),"TV-MA")</f>
        <v>TV-MA</v>
      </c>
      <c r="R3410" s="5" t="str">
        <f t="shared" si="2"/>
        <v>Tell Me Who I Am</v>
      </c>
      <c r="S3410" s="5" t="str">
        <f>IFERROR(__xludf.DUMMYFUNCTION("""COMPUTED_VALUE"""),"Internet Famous")</f>
        <v>Internet Famous</v>
      </c>
      <c r="U3410" s="5" t="str">
        <f>IFERROR(__xludf.DUMMYFUNCTION("""COMPUTED_VALUE"""),"Eeshwar Nivas")</f>
        <v>Eeshwar Nivas</v>
      </c>
      <c r="V3410" s="5" t="s">
        <v>3301</v>
      </c>
      <c r="W3410" s="5" t="str">
        <f t="shared" si="3"/>
        <v>Rajveer Singh Maan, Harpeet Singh</v>
      </c>
      <c r="X3410" s="5">
        <f t="shared" si="4"/>
        <v>1</v>
      </c>
      <c r="Y3410" s="5" t="str">
        <f>IFERROR(__xludf.DUMMYFUNCTION("REGEXEXTRACT(J3410, ""^\d+"")"),"86")</f>
        <v>86</v>
      </c>
      <c r="Z3410" s="5" t="str">
        <f>IFERROR(__xludf.DUMMYFUNCTION("REGEXEXTRACT(J3410, ""[A-Za-z ]+$"")")," min")</f>
        <v> min</v>
      </c>
      <c r="AA3410" s="5" t="str">
        <f>IFERROR(__xludf.DUMMYFUNCTION("IF(REGEXMATCH(Z3410, ""Season""), ""TV Show"", ""Movie"")"),"Movie")</f>
        <v>Movie</v>
      </c>
    </row>
    <row r="3411">
      <c r="A3411" s="1" t="s">
        <v>18726</v>
      </c>
      <c r="B3411" s="1" t="s">
        <v>27</v>
      </c>
      <c r="C3411" s="1" t="s">
        <v>18727</v>
      </c>
      <c r="D3411" s="1" t="s">
        <v>18728</v>
      </c>
      <c r="E3411" s="1" t="s">
        <v>18729</v>
      </c>
      <c r="F3411" s="1" t="s">
        <v>30</v>
      </c>
      <c r="G3411" s="1" t="s">
        <v>18661</v>
      </c>
      <c r="H3411" s="1">
        <v>2019.0</v>
      </c>
      <c r="I3411" s="1" t="s">
        <v>378</v>
      </c>
      <c r="J3411" s="1" t="s">
        <v>322</v>
      </c>
      <c r="K3411" s="1" t="s">
        <v>107</v>
      </c>
      <c r="L3411" s="1" t="s">
        <v>18730</v>
      </c>
      <c r="M3411" s="2" t="s">
        <v>12</v>
      </c>
      <c r="N3411" s="4">
        <f t="shared" si="1"/>
        <v>43756</v>
      </c>
      <c r="O3411" s="5" t="str">
        <f>IFERROR(__xludf.DUMMYFUNCTION("IF(REGEXMATCH(TRIM(I3411), ""^\d+\s*min""), ""Unclassified"", IF(I3411 = """", ""NR"", I3411))"),"R")</f>
        <v>R</v>
      </c>
      <c r="R3411" s="5" t="str">
        <f t="shared" si="2"/>
        <v>The Laundromat</v>
      </c>
      <c r="S3411" s="5" t="str">
        <f>IFERROR(__xludf.DUMMYFUNCTION("""COMPUTED_VALUE"""),"Interrogation")</f>
        <v>Interrogation</v>
      </c>
      <c r="U3411" s="5" t="str">
        <f>IFERROR(__xludf.DUMMYFUNCTION("""COMPUTED_VALUE"""),"Emma Hatherley")</f>
        <v>Emma Hatherley</v>
      </c>
      <c r="V3411" s="5" t="s">
        <v>18731</v>
      </c>
      <c r="W3411" s="5" t="str">
        <f t="shared" si="3"/>
        <v>Rakesh Mehta</v>
      </c>
      <c r="X3411" s="5">
        <f t="shared" si="4"/>
        <v>1</v>
      </c>
      <c r="Y3411" s="5" t="str">
        <f>IFERROR(__xludf.DUMMYFUNCTION("REGEXEXTRACT(J3411, ""^\d+"")"),"96")</f>
        <v>96</v>
      </c>
      <c r="Z3411" s="5" t="str">
        <f>IFERROR(__xludf.DUMMYFUNCTION("REGEXEXTRACT(J3411, ""[A-Za-z ]+$"")")," min")</f>
        <v> min</v>
      </c>
      <c r="AA3411" s="5" t="str">
        <f>IFERROR(__xludf.DUMMYFUNCTION("IF(REGEXMATCH(Z3411, ""Season""), ""TV Show"", ""Movie"")"),"Movie")</f>
        <v>Movie</v>
      </c>
    </row>
    <row r="3412">
      <c r="A3412" s="1" t="s">
        <v>18732</v>
      </c>
      <c r="B3412" s="1" t="s">
        <v>37</v>
      </c>
      <c r="C3412" s="1" t="s">
        <v>18733</v>
      </c>
      <c r="E3412" s="1" t="s">
        <v>18734</v>
      </c>
      <c r="F3412" s="1" t="s">
        <v>4615</v>
      </c>
      <c r="G3412" s="1" t="s">
        <v>18661</v>
      </c>
      <c r="H3412" s="1">
        <v>2017.0</v>
      </c>
      <c r="I3412" s="1" t="s">
        <v>42</v>
      </c>
      <c r="J3412" s="1" t="s">
        <v>43</v>
      </c>
      <c r="K3412" s="1" t="s">
        <v>1294</v>
      </c>
      <c r="L3412" s="1" t="s">
        <v>18735</v>
      </c>
      <c r="M3412" s="2" t="s">
        <v>12</v>
      </c>
      <c r="N3412" s="4">
        <f t="shared" si="1"/>
        <v>43756</v>
      </c>
      <c r="O3412" s="5" t="str">
        <f>IFERROR(__xludf.DUMMYFUNCTION("IF(REGEXMATCH(TRIM(I3412), ""^\d+\s*min""), ""Unclassified"", IF(I3412 = """", ""NR"", I3412))"),"TV-MA")</f>
        <v>TV-MA</v>
      </c>
      <c r="R3412" s="5" t="str">
        <f t="shared" si="2"/>
        <v>Toon</v>
      </c>
      <c r="S3412" s="5" t="str">
        <f>IFERROR(__xludf.DUMMYFUNCTION("""COMPUTED_VALUE"""),"Intersection")</f>
        <v>Intersection</v>
      </c>
      <c r="U3412" s="5" t="str">
        <f>IFERROR(__xludf.DUMMYFUNCTION("""COMPUTED_VALUE"""),"Dave Green")</f>
        <v>Dave Green</v>
      </c>
      <c r="V3412" s="5" t="s">
        <v>15428</v>
      </c>
      <c r="W3412" s="5" t="str">
        <f t="shared" si="3"/>
        <v>Rakesh Ranjan Kumar</v>
      </c>
      <c r="X3412" s="5">
        <f t="shared" si="4"/>
        <v>1</v>
      </c>
      <c r="Y3412" s="5" t="str">
        <f>IFERROR(__xludf.DUMMYFUNCTION("REGEXEXTRACT(J3412, ""^\d+"")"),"2")</f>
        <v>2</v>
      </c>
      <c r="Z3412" s="5" t="str">
        <f>IFERROR(__xludf.DUMMYFUNCTION("REGEXEXTRACT(J3412, ""[A-Za-z ]+$"")")," Seasons")</f>
        <v> Seasons</v>
      </c>
      <c r="AA3412" s="5" t="str">
        <f>IFERROR(__xludf.DUMMYFUNCTION("IF(REGEXMATCH(Z3412, ""Season""), ""TV Show"", ""Movie"")"),"TV Show")</f>
        <v>TV Show</v>
      </c>
    </row>
    <row r="3413">
      <c r="A3413" s="1" t="s">
        <v>18736</v>
      </c>
      <c r="B3413" s="1" t="s">
        <v>27</v>
      </c>
      <c r="C3413" s="1" t="s">
        <v>18737</v>
      </c>
      <c r="D3413" s="1" t="s">
        <v>10285</v>
      </c>
      <c r="E3413" s="1" t="s">
        <v>18738</v>
      </c>
      <c r="F3413" s="1" t="s">
        <v>400</v>
      </c>
      <c r="G3413" s="1" t="s">
        <v>18661</v>
      </c>
      <c r="H3413" s="1">
        <v>2018.0</v>
      </c>
      <c r="I3413" s="1" t="s">
        <v>97</v>
      </c>
      <c r="J3413" s="1" t="s">
        <v>416</v>
      </c>
      <c r="K3413" s="1" t="s">
        <v>128</v>
      </c>
      <c r="L3413" s="1" t="s">
        <v>18739</v>
      </c>
      <c r="M3413" s="2" t="s">
        <v>12</v>
      </c>
      <c r="N3413" s="4">
        <f t="shared" si="1"/>
        <v>43756</v>
      </c>
      <c r="O3413" s="5" t="str">
        <f>IFERROR(__xludf.DUMMYFUNCTION("IF(REGEXMATCH(TRIM(I3413), ""^\d+\s*min""), ""Unclassified"", IF(I3413 = """", ""NR"", I3413))"),"TV-14")</f>
        <v>TV-14</v>
      </c>
      <c r="R3413" s="5" t="str">
        <f t="shared" si="2"/>
        <v>Up North</v>
      </c>
      <c r="S3413" s="5" t="str">
        <f>IFERROR(__xludf.DUMMYFUNCTION("""COMPUTED_VALUE"""),"Interview With A Serial Killer")</f>
        <v>Interview With A Serial Killer</v>
      </c>
      <c r="U3413" s="5" t="str">
        <f>IFERROR(__xludf.DUMMYFUNCTION("""COMPUTED_VALUE"""),"Anthony Lucero")</f>
        <v>Anthony Lucero</v>
      </c>
      <c r="V3413" s="5" t="s">
        <v>18740</v>
      </c>
      <c r="W3413" s="5" t="str">
        <f t="shared" si="3"/>
        <v>Rakeysh Omprakash Mehra</v>
      </c>
      <c r="X3413" s="5">
        <f t="shared" si="4"/>
        <v>4</v>
      </c>
      <c r="Y3413" s="5" t="str">
        <f>IFERROR(__xludf.DUMMYFUNCTION("REGEXEXTRACT(J3413, ""^\d+"")"),"99")</f>
        <v>99</v>
      </c>
      <c r="Z3413" s="5" t="str">
        <f>IFERROR(__xludf.DUMMYFUNCTION("REGEXEXTRACT(J3413, ""[A-Za-z ]+$"")")," min")</f>
        <v> min</v>
      </c>
      <c r="AA3413" s="5" t="str">
        <f>IFERROR(__xludf.DUMMYFUNCTION("IF(REGEXMATCH(Z3413, ""Season""), ""TV Show"", ""Movie"")"),"Movie")</f>
        <v>Movie</v>
      </c>
    </row>
    <row r="3414">
      <c r="A3414" s="1" t="s">
        <v>18741</v>
      </c>
      <c r="B3414" s="1" t="s">
        <v>27</v>
      </c>
      <c r="C3414" s="1" t="s">
        <v>18742</v>
      </c>
      <c r="D3414" s="1" t="s">
        <v>18743</v>
      </c>
      <c r="E3414" s="1" t="s">
        <v>18744</v>
      </c>
      <c r="F3414" s="1" t="s">
        <v>63</v>
      </c>
      <c r="G3414" s="1" t="s">
        <v>18661</v>
      </c>
      <c r="H3414" s="1">
        <v>2019.0</v>
      </c>
      <c r="I3414" s="1" t="s">
        <v>97</v>
      </c>
      <c r="J3414" s="1" t="s">
        <v>1243</v>
      </c>
      <c r="K3414" s="1" t="s">
        <v>583</v>
      </c>
      <c r="L3414" s="1" t="s">
        <v>18745</v>
      </c>
      <c r="M3414" s="2" t="s">
        <v>12</v>
      </c>
      <c r="N3414" s="4">
        <f t="shared" si="1"/>
        <v>43756</v>
      </c>
      <c r="O3414" s="5" t="str">
        <f>IFERROR(__xludf.DUMMYFUNCTION("IF(REGEXMATCH(TRIM(I3414), ""^\d+\s*min""), ""Unclassified"", IF(I3414 = """", ""NR"", I3414))"),"TV-14")</f>
        <v>TV-14</v>
      </c>
      <c r="R3414" s="5" t="str">
        <f t="shared" si="2"/>
        <v>Upstarts</v>
      </c>
      <c r="S3414" s="5" t="str">
        <f>IFERROR(__xludf.DUMMYFUNCTION("""COMPUTED_VALUE"""),"Into The Badlands")</f>
        <v>Into The Badlands</v>
      </c>
      <c r="U3414" s="5" t="str">
        <f>IFERROR(__xludf.DUMMYFUNCTION("""COMPUTED_VALUE"""),"Will Gluck")</f>
        <v>Will Gluck</v>
      </c>
      <c r="V3414" s="5" t="s">
        <v>13039</v>
      </c>
      <c r="W3414" s="5" t="str">
        <f t="shared" si="3"/>
        <v>Rako Prijanto</v>
      </c>
      <c r="X3414" s="5">
        <f t="shared" si="4"/>
        <v>3</v>
      </c>
      <c r="Y3414" s="5" t="str">
        <f>IFERROR(__xludf.DUMMYFUNCTION("REGEXEXTRACT(J3414, ""^\d+"")"),"112")</f>
        <v>112</v>
      </c>
      <c r="Z3414" s="5" t="str">
        <f>IFERROR(__xludf.DUMMYFUNCTION("REGEXEXTRACT(J3414, ""[A-Za-z ]+$"")")," min")</f>
        <v> min</v>
      </c>
      <c r="AA3414" s="5" t="str">
        <f>IFERROR(__xludf.DUMMYFUNCTION("IF(REGEXMATCH(Z3414, ""Season""), ""TV Show"", ""Movie"")"),"Movie")</f>
        <v>Movie</v>
      </c>
    </row>
    <row r="3415">
      <c r="A3415" s="1" t="s">
        <v>18746</v>
      </c>
      <c r="B3415" s="1" t="s">
        <v>27</v>
      </c>
      <c r="C3415" s="1" t="s">
        <v>18747</v>
      </c>
      <c r="D3415" s="1" t="s">
        <v>8788</v>
      </c>
      <c r="E3415" s="1" t="s">
        <v>18748</v>
      </c>
      <c r="F3415" s="1" t="s">
        <v>2873</v>
      </c>
      <c r="G3415" s="1" t="s">
        <v>18661</v>
      </c>
      <c r="H3415" s="1">
        <v>2017.0</v>
      </c>
      <c r="I3415" s="1" t="s">
        <v>97</v>
      </c>
      <c r="J3415" s="1" t="s">
        <v>127</v>
      </c>
      <c r="K3415" s="1" t="s">
        <v>3585</v>
      </c>
      <c r="L3415" s="1" t="s">
        <v>18749</v>
      </c>
      <c r="M3415" s="2" t="s">
        <v>12</v>
      </c>
      <c r="N3415" s="4">
        <f t="shared" si="1"/>
        <v>43756</v>
      </c>
      <c r="O3415" s="5" t="str">
        <f>IFERROR(__xludf.DUMMYFUNCTION("IF(REGEXMATCH(TRIM(I3415), ""^\d+\s*min""), ""Unclassified"", IF(I3415 = """", ""NR"", I3415))"),"TV-14")</f>
        <v>TV-14</v>
      </c>
      <c r="R3415" s="5" t="str">
        <f t="shared" si="2"/>
        <v>Verses Of Love 2</v>
      </c>
      <c r="S3415" s="5" t="str">
        <f>IFERROR(__xludf.DUMMYFUNCTION("""COMPUTED_VALUE"""),"Into The Beat")</f>
        <v>Into The Beat</v>
      </c>
      <c r="U3415" s="5" t="str">
        <f>IFERROR(__xludf.DUMMYFUNCTION("""COMPUTED_VALUE"""),"Bruce Gowers")</f>
        <v>Bruce Gowers</v>
      </c>
      <c r="V3415" s="5" t="s">
        <v>18750</v>
      </c>
      <c r="W3415" s="5" t="str">
        <f t="shared" si="3"/>
        <v>Rakshith Thirthahalli</v>
      </c>
      <c r="X3415" s="5">
        <f t="shared" si="4"/>
        <v>1</v>
      </c>
      <c r="Y3415" s="5" t="str">
        <f>IFERROR(__xludf.DUMMYFUNCTION("REGEXEXTRACT(J3415, ""^\d+"")"),"127")</f>
        <v>127</v>
      </c>
      <c r="Z3415" s="5" t="str">
        <f>IFERROR(__xludf.DUMMYFUNCTION("REGEXEXTRACT(J3415, ""[A-Za-z ]+$"")")," min")</f>
        <v> min</v>
      </c>
      <c r="AA3415" s="5" t="str">
        <f>IFERROR(__xludf.DUMMYFUNCTION("IF(REGEXMATCH(Z3415, ""Season""), ""TV Show"", ""Movie"")"),"Movie")</f>
        <v>Movie</v>
      </c>
    </row>
    <row r="3416">
      <c r="A3416" s="1" t="s">
        <v>18751</v>
      </c>
      <c r="B3416" s="1" t="s">
        <v>37</v>
      </c>
      <c r="C3416" s="1" t="s">
        <v>18752</v>
      </c>
      <c r="E3416" s="1" t="s">
        <v>18753</v>
      </c>
      <c r="F3416" s="1" t="s">
        <v>3892</v>
      </c>
      <c r="G3416" s="1" t="s">
        <v>18754</v>
      </c>
      <c r="H3416" s="1">
        <v>2019.0</v>
      </c>
      <c r="I3416" s="1" t="s">
        <v>97</v>
      </c>
      <c r="J3416" s="1" t="s">
        <v>43</v>
      </c>
      <c r="K3416" s="1" t="s">
        <v>52</v>
      </c>
      <c r="L3416" s="1" t="s">
        <v>18755</v>
      </c>
      <c r="M3416" s="2" t="s">
        <v>12</v>
      </c>
      <c r="N3416" s="4">
        <f t="shared" si="1"/>
        <v>43755</v>
      </c>
      <c r="O3416" s="5" t="str">
        <f>IFERROR(__xludf.DUMMYFUNCTION("IF(REGEXMATCH(TRIM(I3416), ""^\d+\s*min""), ""Unclassified"", IF(I3416 = """", ""NR"", I3416))"),"TV-14")</f>
        <v>TV-14</v>
      </c>
      <c r="R3416" s="5" t="str">
        <f t="shared" si="2"/>
        <v>Chosen</v>
      </c>
      <c r="S3416" s="5" t="str">
        <f>IFERROR(__xludf.DUMMYFUNCTION("""COMPUTED_VALUE"""),"Into The Forest")</f>
        <v>Into The Forest</v>
      </c>
      <c r="U3416" s="5" t="str">
        <f>IFERROR(__xludf.DUMMYFUNCTION("""COMPUTED_VALUE"""),"Ajithkumar")</f>
        <v>Ajithkumar</v>
      </c>
      <c r="V3416" s="5" t="s">
        <v>18756</v>
      </c>
      <c r="W3416" s="5" t="str">
        <f t="shared" si="3"/>
        <v>Ralph Macchio</v>
      </c>
      <c r="X3416" s="5">
        <f t="shared" si="4"/>
        <v>1</v>
      </c>
      <c r="Y3416" s="5" t="str">
        <f>IFERROR(__xludf.DUMMYFUNCTION("REGEXEXTRACT(J3416, ""^\d+"")"),"2")</f>
        <v>2</v>
      </c>
      <c r="Z3416" s="5" t="str">
        <f>IFERROR(__xludf.DUMMYFUNCTION("REGEXEXTRACT(J3416, ""[A-Za-z ]+$"")")," Seasons")</f>
        <v> Seasons</v>
      </c>
      <c r="AA3416" s="5" t="str">
        <f>IFERROR(__xludf.DUMMYFUNCTION("IF(REGEXMATCH(Z3416, ""Season""), ""TV Show"", ""Movie"")"),"TV Show")</f>
        <v>TV Show</v>
      </c>
    </row>
    <row r="3417">
      <c r="A3417" s="1" t="s">
        <v>18757</v>
      </c>
      <c r="B3417" s="1" t="s">
        <v>37</v>
      </c>
      <c r="C3417" s="1" t="s">
        <v>18758</v>
      </c>
      <c r="E3417" s="1" t="s">
        <v>18759</v>
      </c>
      <c r="F3417" s="1" t="s">
        <v>221</v>
      </c>
      <c r="G3417" s="1" t="s">
        <v>18754</v>
      </c>
      <c r="H3417" s="1">
        <v>2019.0</v>
      </c>
      <c r="I3417" s="1" t="s">
        <v>136</v>
      </c>
      <c r="J3417" s="1" t="s">
        <v>51</v>
      </c>
      <c r="K3417" s="1" t="s">
        <v>8248</v>
      </c>
      <c r="L3417" s="1" t="s">
        <v>18760</v>
      </c>
      <c r="M3417" s="2" t="s">
        <v>12</v>
      </c>
      <c r="N3417" s="4">
        <f t="shared" si="1"/>
        <v>43755</v>
      </c>
      <c r="O3417" s="5" t="str">
        <f>IFERROR(__xludf.DUMMYFUNCTION("IF(REGEXMATCH(TRIM(I3417), ""^\d+\s*min""), ""Unclassified"", IF(I3417 = """", ""NR"", I3417))"),"TV-PG")</f>
        <v>TV-PG</v>
      </c>
      <c r="R3417" s="5" t="str">
        <f t="shared" si="2"/>
        <v>The Unlisted</v>
      </c>
      <c r="S3417" s="5" t="str">
        <f>IFERROR(__xludf.DUMMYFUNCTION("""COMPUTED_VALUE"""),"Into The Grizzly Maze")</f>
        <v>Into The Grizzly Maze</v>
      </c>
      <c r="U3417" s="5" t="str">
        <f>IFERROR(__xludf.DUMMYFUNCTION("""COMPUTED_VALUE"""),"Harjit Singh")</f>
        <v>Harjit Singh</v>
      </c>
      <c r="V3417" s="5" t="s">
        <v>18761</v>
      </c>
      <c r="W3417" s="5" t="str">
        <f t="shared" si="3"/>
        <v>Ram</v>
      </c>
      <c r="X3417" s="5">
        <f t="shared" si="4"/>
        <v>1</v>
      </c>
      <c r="Y3417" s="5" t="str">
        <f>IFERROR(__xludf.DUMMYFUNCTION("REGEXEXTRACT(J3417, ""^\d+"")"),"1")</f>
        <v>1</v>
      </c>
      <c r="Z3417" s="5" t="str">
        <f>IFERROR(__xludf.DUMMYFUNCTION("REGEXEXTRACT(J3417, ""[A-Za-z ]+$"")")," Season")</f>
        <v> Season</v>
      </c>
      <c r="AA3417" s="5" t="str">
        <f>IFERROR(__xludf.DUMMYFUNCTION("IF(REGEXMATCH(Z3417, ""Season""), ""TV Show"", ""Movie"")"),"TV Show")</f>
        <v>TV Show</v>
      </c>
    </row>
    <row r="3418">
      <c r="A3418" s="1" t="s">
        <v>18762</v>
      </c>
      <c r="B3418" s="1" t="s">
        <v>37</v>
      </c>
      <c r="C3418" s="1" t="s">
        <v>18763</v>
      </c>
      <c r="E3418" s="1" t="s">
        <v>18764</v>
      </c>
      <c r="F3418" s="1" t="s">
        <v>749</v>
      </c>
      <c r="G3418" s="1" t="s">
        <v>18765</v>
      </c>
      <c r="H3418" s="1">
        <v>2016.0</v>
      </c>
      <c r="I3418" s="1" t="s">
        <v>42</v>
      </c>
      <c r="J3418" s="1" t="s">
        <v>51</v>
      </c>
      <c r="K3418" s="1" t="s">
        <v>7164</v>
      </c>
      <c r="L3418" s="1" t="s">
        <v>18766</v>
      </c>
      <c r="M3418" s="2" t="s">
        <v>12</v>
      </c>
      <c r="N3418" s="4">
        <f t="shared" si="1"/>
        <v>43754</v>
      </c>
      <c r="O3418" s="5" t="str">
        <f>IFERROR(__xludf.DUMMYFUNCTION("IF(REGEXMATCH(TRIM(I3418), ""^\d+\s*min""), ""Unclassified"", IF(I3418 = """", ""NR"", I3418))"),"TV-MA")</f>
        <v>TV-MA</v>
      </c>
      <c r="R3418" s="5" t="str">
        <f t="shared" si="2"/>
        <v>Another Miss Oh</v>
      </c>
      <c r="S3418" s="5" t="str">
        <f>IFERROR(__xludf.DUMMYFUNCTION("""COMPUTED_VALUE"""),"Into The Inferno")</f>
        <v>Into The Inferno</v>
      </c>
      <c r="U3418" s="5" t="str">
        <f>IFERROR(__xludf.DUMMYFUNCTION("""COMPUTED_VALUE"""),"Philipp Stölzl")</f>
        <v>Philipp Stölzl</v>
      </c>
      <c r="V3418" s="5" t="s">
        <v>2479</v>
      </c>
      <c r="W3418" s="5" t="str">
        <f t="shared" si="3"/>
        <v>Ram Gopal Varma</v>
      </c>
      <c r="X3418" s="5">
        <f t="shared" si="4"/>
        <v>7</v>
      </c>
      <c r="Y3418" s="5" t="str">
        <f>IFERROR(__xludf.DUMMYFUNCTION("REGEXEXTRACT(J3418, ""^\d+"")"),"1")</f>
        <v>1</v>
      </c>
      <c r="Z3418" s="5" t="str">
        <f>IFERROR(__xludf.DUMMYFUNCTION("REGEXEXTRACT(J3418, ""[A-Za-z ]+$"")")," Season")</f>
        <v> Season</v>
      </c>
      <c r="AA3418" s="5" t="str">
        <f>IFERROR(__xludf.DUMMYFUNCTION("IF(REGEXMATCH(Z3418, ""Season""), ""TV Show"", ""Movie"")"),"TV Show")</f>
        <v>TV Show</v>
      </c>
    </row>
    <row r="3419">
      <c r="A3419" s="1" t="s">
        <v>18767</v>
      </c>
      <c r="B3419" s="1" t="s">
        <v>27</v>
      </c>
      <c r="C3419" s="1" t="s">
        <v>18768</v>
      </c>
      <c r="D3419" s="1" t="s">
        <v>3067</v>
      </c>
      <c r="F3419" s="1" t="s">
        <v>30</v>
      </c>
      <c r="G3419" s="1" t="s">
        <v>18765</v>
      </c>
      <c r="H3419" s="1">
        <v>2019.0</v>
      </c>
      <c r="I3419" s="1" t="s">
        <v>42</v>
      </c>
      <c r="J3419" s="1" t="s">
        <v>7407</v>
      </c>
      <c r="K3419" s="1" t="s">
        <v>34</v>
      </c>
      <c r="L3419" s="1" t="s">
        <v>18769</v>
      </c>
      <c r="M3419" s="2" t="s">
        <v>12</v>
      </c>
      <c r="N3419" s="4">
        <f t="shared" si="1"/>
        <v>43754</v>
      </c>
      <c r="O3419" s="5" t="str">
        <f>IFERROR(__xludf.DUMMYFUNCTION("IF(REGEXMATCH(TRIM(I3419), ""^\d+\s*min""), ""Unclassified"", IF(I3419 = """", ""NR"", I3419))"),"TV-MA")</f>
        <v>TV-MA</v>
      </c>
      <c r="R3419" s="5" t="str">
        <f t="shared" si="2"/>
        <v>Ghosts Of Sugar Land</v>
      </c>
      <c r="S3419" s="5" t="str">
        <f>IFERROR(__xludf.DUMMYFUNCTION("""COMPUTED_VALUE"""),"Into The Night")</f>
        <v>Into The Night</v>
      </c>
      <c r="U3419" s="5" t="str">
        <f>IFERROR(__xludf.DUMMYFUNCTION("""COMPUTED_VALUE"""),"Federico Lemos")</f>
        <v>Federico Lemos</v>
      </c>
      <c r="V3419" s="5" t="s">
        <v>18770</v>
      </c>
      <c r="W3419" s="5" t="str">
        <f t="shared" si="3"/>
        <v>Raman Kumar</v>
      </c>
      <c r="X3419" s="5">
        <f t="shared" si="4"/>
        <v>1</v>
      </c>
      <c r="Y3419" s="5" t="str">
        <f>IFERROR(__xludf.DUMMYFUNCTION("REGEXEXTRACT(J3419, ""^\d+"")"),"22")</f>
        <v>22</v>
      </c>
      <c r="Z3419" s="5" t="str">
        <f>IFERROR(__xludf.DUMMYFUNCTION("REGEXEXTRACT(J3419, ""[A-Za-z ]+$"")")," min")</f>
        <v> min</v>
      </c>
      <c r="AA3419" s="5" t="str">
        <f>IFERROR(__xludf.DUMMYFUNCTION("IF(REGEXMATCH(Z3419, ""Season""), ""TV Show"", ""Movie"")"),"Movie")</f>
        <v>Movie</v>
      </c>
    </row>
    <row r="3420">
      <c r="A3420" s="1" t="s">
        <v>18771</v>
      </c>
      <c r="B3420" s="1" t="s">
        <v>27</v>
      </c>
      <c r="C3420" s="1" t="s">
        <v>18772</v>
      </c>
      <c r="D3420" s="1" t="s">
        <v>13668</v>
      </c>
      <c r="F3420" s="1" t="s">
        <v>30</v>
      </c>
      <c r="G3420" s="1" t="s">
        <v>18765</v>
      </c>
      <c r="H3420" s="1">
        <v>2019.0</v>
      </c>
      <c r="I3420" s="1" t="s">
        <v>42</v>
      </c>
      <c r="J3420" s="1" t="s">
        <v>1737</v>
      </c>
      <c r="K3420" s="1" t="s">
        <v>34</v>
      </c>
      <c r="L3420" s="1" t="s">
        <v>18773</v>
      </c>
      <c r="M3420" s="2" t="s">
        <v>12</v>
      </c>
      <c r="N3420" s="4">
        <f t="shared" si="1"/>
        <v>43754</v>
      </c>
      <c r="O3420" s="5" t="str">
        <f>IFERROR(__xludf.DUMMYFUNCTION("IF(REGEXMATCH(TRIM(I3420), ""^\d+\s*min""), ""Unclassified"", IF(I3420 = """", ""NR"", I3420))"),"TV-MA")</f>
        <v>TV-MA</v>
      </c>
      <c r="R3420" s="5" t="str">
        <f t="shared" si="2"/>
        <v>League Of Legends Origins</v>
      </c>
      <c r="S3420" s="5" t="str">
        <f>IFERROR(__xludf.DUMMYFUNCTION("""COMPUTED_VALUE"""),"Into The Wild")</f>
        <v>Into The Wild</v>
      </c>
      <c r="U3420" s="5" t="str">
        <f>IFERROR(__xludf.DUMMYFUNCTION("""COMPUTED_VALUE"""),"Bassam Kurdali")</f>
        <v>Bassam Kurdali</v>
      </c>
      <c r="V3420" s="5" t="s">
        <v>16601</v>
      </c>
      <c r="W3420" s="5" t="str">
        <f t="shared" si="3"/>
        <v>Ramesh Sippy</v>
      </c>
      <c r="X3420" s="5">
        <f t="shared" si="4"/>
        <v>1</v>
      </c>
      <c r="Y3420" s="5" t="str">
        <f>IFERROR(__xludf.DUMMYFUNCTION("REGEXEXTRACT(J3420, ""^\d+"")"),"78")</f>
        <v>78</v>
      </c>
      <c r="Z3420" s="5" t="str">
        <f>IFERROR(__xludf.DUMMYFUNCTION("REGEXEXTRACT(J3420, ""[A-Za-z ]+$"")")," min")</f>
        <v> min</v>
      </c>
      <c r="AA3420" s="5" t="str">
        <f>IFERROR(__xludf.DUMMYFUNCTION("IF(REGEXMATCH(Z3420, ""Season""), ""TV Show"", ""Movie"")"),"Movie")</f>
        <v>Movie</v>
      </c>
    </row>
    <row r="3421">
      <c r="A3421" s="1" t="s">
        <v>18774</v>
      </c>
      <c r="B3421" s="1" t="s">
        <v>27</v>
      </c>
      <c r="C3421" s="1" t="s">
        <v>18775</v>
      </c>
      <c r="D3421" s="1" t="s">
        <v>3058</v>
      </c>
      <c r="E3421" s="1" t="s">
        <v>18776</v>
      </c>
      <c r="F3421" s="1" t="s">
        <v>749</v>
      </c>
      <c r="G3421" s="1" t="s">
        <v>18765</v>
      </c>
      <c r="H3421" s="1">
        <v>2019.0</v>
      </c>
      <c r="I3421" s="1" t="s">
        <v>42</v>
      </c>
      <c r="J3421" s="1" t="s">
        <v>919</v>
      </c>
      <c r="K3421" s="1" t="s">
        <v>1839</v>
      </c>
      <c r="L3421" s="1" t="s">
        <v>18777</v>
      </c>
      <c r="M3421" s="2" t="s">
        <v>12</v>
      </c>
      <c r="N3421" s="4">
        <f t="shared" si="1"/>
        <v>43754</v>
      </c>
      <c r="O3421" s="5" t="str">
        <f>IFERROR(__xludf.DUMMYFUNCTION("IF(REGEXMATCH(TRIM(I3421), ""^\d+\s*min""), ""Unclassified"", IF(I3421 = """", ""NR"", I3421))"),"TV-MA")</f>
        <v>TV-MA</v>
      </c>
      <c r="R3421" s="5" t="str">
        <f t="shared" si="2"/>
        <v>Park Na-Rae: Glamour Warning</v>
      </c>
      <c r="S3421" s="5" t="str">
        <f>IFERROR(__xludf.DUMMYFUNCTION("""COMPUTED_VALUE"""),"Into The Wind")</f>
        <v>Into The Wind</v>
      </c>
      <c r="U3421" s="5" t="str">
        <f>IFERROR(__xludf.DUMMYFUNCTION("""COMPUTED_VALUE"""),"John Bridcut")</f>
        <v>John Bridcut</v>
      </c>
      <c r="V3421" s="5" t="s">
        <v>15244</v>
      </c>
      <c r="W3421" s="5" t="str">
        <f t="shared" si="3"/>
        <v>Ramesh Talwar</v>
      </c>
      <c r="X3421" s="5">
        <f t="shared" si="4"/>
        <v>1</v>
      </c>
      <c r="Y3421" s="5" t="str">
        <f>IFERROR(__xludf.DUMMYFUNCTION("REGEXEXTRACT(J3421, ""^\d+"")"),"63")</f>
        <v>63</v>
      </c>
      <c r="Z3421" s="5" t="str">
        <f>IFERROR(__xludf.DUMMYFUNCTION("REGEXEXTRACT(J3421, ""[A-Za-z ]+$"")")," min")</f>
        <v> min</v>
      </c>
      <c r="AA3421" s="5" t="str">
        <f>IFERROR(__xludf.DUMMYFUNCTION("IF(REGEXMATCH(Z3421, ""Season""), ""TV Show"", ""Movie"")"),"Movie")</f>
        <v>Movie</v>
      </c>
    </row>
    <row r="3422">
      <c r="A3422" s="1" t="s">
        <v>18778</v>
      </c>
      <c r="B3422" s="1" t="s">
        <v>37</v>
      </c>
      <c r="C3422" s="1" t="s">
        <v>18779</v>
      </c>
      <c r="E3422" s="1" t="s">
        <v>18780</v>
      </c>
      <c r="F3422" s="1" t="s">
        <v>749</v>
      </c>
      <c r="G3422" s="1" t="s">
        <v>18765</v>
      </c>
      <c r="H3422" s="1">
        <v>2015.0</v>
      </c>
      <c r="I3422" s="1" t="s">
        <v>97</v>
      </c>
      <c r="J3422" s="1" t="s">
        <v>51</v>
      </c>
      <c r="K3422" s="1" t="s">
        <v>7164</v>
      </c>
      <c r="L3422" s="1" t="s">
        <v>18781</v>
      </c>
      <c r="M3422" s="2" t="s">
        <v>12</v>
      </c>
      <c r="N3422" s="4">
        <f t="shared" si="1"/>
        <v>43754</v>
      </c>
      <c r="O3422" s="5" t="str">
        <f>IFERROR(__xludf.DUMMYFUNCTION("IF(REGEXMATCH(TRIM(I3422), ""^\d+\s*min""), ""Unclassified"", IF(I3422 = """", ""NR"", I3422))"),"TV-14")</f>
        <v>TV-14</v>
      </c>
      <c r="R3422" s="5" t="str">
        <f t="shared" si="2"/>
        <v>Second 20S</v>
      </c>
      <c r="S3422" s="5" t="str">
        <f>IFERROR(__xludf.DUMMYFUNCTION("""COMPUTED_VALUE"""),"Intrusion")</f>
        <v>Intrusion</v>
      </c>
      <c r="U3422" s="5" t="str">
        <f>IFERROR(__xludf.DUMMYFUNCTION("""COMPUTED_VALUE"""),"Sebastian Gutierrez")</f>
        <v>Sebastian Gutierrez</v>
      </c>
      <c r="V3422" s="5" t="s">
        <v>15566</v>
      </c>
      <c r="W3422" s="5" t="str">
        <f t="shared" si="3"/>
        <v>Rami Hachache</v>
      </c>
      <c r="X3422" s="5">
        <f t="shared" si="4"/>
        <v>1</v>
      </c>
      <c r="Y3422" s="5" t="str">
        <f>IFERROR(__xludf.DUMMYFUNCTION("REGEXEXTRACT(J3422, ""^\d+"")"),"1")</f>
        <v>1</v>
      </c>
      <c r="Z3422" s="5" t="str">
        <f>IFERROR(__xludf.DUMMYFUNCTION("REGEXEXTRACT(J3422, ""[A-Za-z ]+$"")")," Season")</f>
        <v> Season</v>
      </c>
      <c r="AA3422" s="5" t="str">
        <f>IFERROR(__xludf.DUMMYFUNCTION("IF(REGEXMATCH(Z3422, ""Season""), ""TV Show"", ""Movie"")"),"TV Show")</f>
        <v>TV Show</v>
      </c>
    </row>
    <row r="3423">
      <c r="A3423" s="1" t="s">
        <v>18782</v>
      </c>
      <c r="B3423" s="1" t="s">
        <v>27</v>
      </c>
      <c r="C3423" s="1" t="s">
        <v>18783</v>
      </c>
      <c r="D3423" s="1" t="s">
        <v>5017</v>
      </c>
      <c r="E3423" s="1" t="s">
        <v>18784</v>
      </c>
      <c r="F3423" s="1" t="s">
        <v>692</v>
      </c>
      <c r="G3423" s="1" t="s">
        <v>18765</v>
      </c>
      <c r="H3423" s="1">
        <v>2015.0</v>
      </c>
      <c r="I3423" s="1" t="s">
        <v>378</v>
      </c>
      <c r="J3423" s="1" t="s">
        <v>247</v>
      </c>
      <c r="K3423" s="1" t="s">
        <v>1551</v>
      </c>
      <c r="L3423" s="1" t="s">
        <v>18785</v>
      </c>
      <c r="M3423" s="2" t="s">
        <v>12</v>
      </c>
      <c r="N3423" s="4">
        <f t="shared" si="1"/>
        <v>43754</v>
      </c>
      <c r="O3423" s="5" t="str">
        <f>IFERROR(__xludf.DUMMYFUNCTION("IF(REGEXMATCH(TRIM(I3423), ""^\d+\s*min""), ""Unclassified"", IF(I3423 = """", ""NR"", I3423))"),"R")</f>
        <v>R</v>
      </c>
      <c r="R3423" s="5" t="str">
        <f t="shared" si="2"/>
        <v>Sinister 2</v>
      </c>
      <c r="S3423" s="5" t="str">
        <f>IFERROR(__xludf.DUMMYFUNCTION("""COMPUTED_VALUE"""),"Intuition")</f>
        <v>Intuition</v>
      </c>
      <c r="U3423" s="5" t="str">
        <f>IFERROR(__xludf.DUMMYFUNCTION("""COMPUTED_VALUE"""),"Fabien Beziat, Hugues Nancy")</f>
        <v>Fabien Beziat, Hugues Nancy</v>
      </c>
      <c r="V3423" s="5" t="s">
        <v>8171</v>
      </c>
      <c r="W3423" s="5" t="str">
        <f t="shared" si="3"/>
        <v>Ramin Bahrani</v>
      </c>
      <c r="X3423" s="5">
        <f t="shared" si="4"/>
        <v>1</v>
      </c>
      <c r="Y3423" s="5" t="str">
        <f>IFERROR(__xludf.DUMMYFUNCTION("REGEXEXTRACT(J3423, ""^\d+"")"),"97")</f>
        <v>97</v>
      </c>
      <c r="Z3423" s="5" t="str">
        <f>IFERROR(__xludf.DUMMYFUNCTION("REGEXEXTRACT(J3423, ""[A-Za-z ]+$"")")," min")</f>
        <v> min</v>
      </c>
      <c r="AA3423" s="5" t="str">
        <f>IFERROR(__xludf.DUMMYFUNCTION("IF(REGEXMATCH(Z3423, ""Season""), ""TV Show"", ""Movie"")"),"Movie")</f>
        <v>Movie</v>
      </c>
    </row>
    <row r="3424">
      <c r="A3424" s="1" t="s">
        <v>18786</v>
      </c>
      <c r="B3424" s="1" t="s">
        <v>27</v>
      </c>
      <c r="C3424" s="1" t="s">
        <v>18787</v>
      </c>
      <c r="D3424" s="1" t="s">
        <v>13942</v>
      </c>
      <c r="E3424" s="1" t="s">
        <v>18788</v>
      </c>
      <c r="F3424" s="1" t="s">
        <v>30</v>
      </c>
      <c r="G3424" s="1" t="s">
        <v>18765</v>
      </c>
      <c r="H3424" s="1">
        <v>2018.0</v>
      </c>
      <c r="I3424" s="1" t="s">
        <v>42</v>
      </c>
      <c r="J3424" s="1" t="s">
        <v>1144</v>
      </c>
      <c r="K3424" s="1" t="s">
        <v>645</v>
      </c>
      <c r="L3424" s="1" t="s">
        <v>18789</v>
      </c>
      <c r="M3424" s="2" t="s">
        <v>12</v>
      </c>
      <c r="N3424" s="4">
        <f t="shared" si="1"/>
        <v>43754</v>
      </c>
      <c r="O3424" s="5" t="str">
        <f>IFERROR(__xludf.DUMMYFUNCTION("IF(REGEXMATCH(TRIM(I3424), ""^\d+\s*min""), ""Unclassified"", IF(I3424 = """", ""NR"", I3424))"),"TV-MA")</f>
        <v>TV-MA</v>
      </c>
      <c r="R3424" s="5" t="str">
        <f t="shared" si="2"/>
        <v>The Game Changers</v>
      </c>
      <c r="S3424" s="5" t="str">
        <f>IFERROR(__xludf.DUMMYFUNCTION("""COMPUTED_VALUE"""),"Inuyasha")</f>
        <v>Inuyasha</v>
      </c>
      <c r="U3424" s="5" t="str">
        <f>IFERROR(__xludf.DUMMYFUNCTION("""COMPUTED_VALUE"""),"Hugues Nancy, Fabien Beziat")</f>
        <v>Hugues Nancy, Fabien Beziat</v>
      </c>
      <c r="V3424" s="5" t="s">
        <v>18790</v>
      </c>
      <c r="W3424" s="5" t="str">
        <f t="shared" si="3"/>
        <v>Ramón Salazar</v>
      </c>
      <c r="X3424" s="5">
        <f t="shared" si="4"/>
        <v>1</v>
      </c>
      <c r="Y3424" s="5" t="str">
        <f>IFERROR(__xludf.DUMMYFUNCTION("REGEXEXTRACT(J3424, ""^\d+"")"),"86")</f>
        <v>86</v>
      </c>
      <c r="Z3424" s="5" t="str">
        <f>IFERROR(__xludf.DUMMYFUNCTION("REGEXEXTRACT(J3424, ""[A-Za-z ]+$"")")," min")</f>
        <v> min</v>
      </c>
      <c r="AA3424" s="5" t="str">
        <f>IFERROR(__xludf.DUMMYFUNCTION("IF(REGEXMATCH(Z3424, ""Season""), ""TV Show"", ""Movie"")"),"Movie")</f>
        <v>Movie</v>
      </c>
    </row>
    <row r="3425">
      <c r="A3425" s="1" t="s">
        <v>18791</v>
      </c>
      <c r="B3425" s="1" t="s">
        <v>37</v>
      </c>
      <c r="C3425" s="1" t="s">
        <v>18792</v>
      </c>
      <c r="D3425" s="1" t="s">
        <v>674</v>
      </c>
      <c r="E3425" s="1" t="s">
        <v>18793</v>
      </c>
      <c r="F3425" s="1" t="s">
        <v>188</v>
      </c>
      <c r="G3425" s="1" t="s">
        <v>18794</v>
      </c>
      <c r="H3425" s="1">
        <v>2014.0</v>
      </c>
      <c r="I3425" s="1" t="s">
        <v>42</v>
      </c>
      <c r="J3425" s="1" t="s">
        <v>51</v>
      </c>
      <c r="K3425" s="1" t="s">
        <v>1362</v>
      </c>
      <c r="L3425" s="1" t="s">
        <v>18795</v>
      </c>
      <c r="M3425" s="2" t="s">
        <v>12</v>
      </c>
      <c r="N3425" s="4">
        <f t="shared" si="1"/>
        <v>43753</v>
      </c>
      <c r="O3425" s="5" t="str">
        <f>IFERROR(__xludf.DUMMYFUNCTION("IF(REGEXMATCH(TRIM(I3425), ""^\d+\s*min""), ""Unclassified"", IF(I3425 = """", ""NR"", I3425))"),"TV-MA")</f>
        <v>TV-MA</v>
      </c>
      <c r="R3425" s="5" t="str">
        <f t="shared" si="2"/>
        <v>Black Money Love</v>
      </c>
      <c r="S3425" s="5" t="str">
        <f>IFERROR(__xludf.DUMMYFUNCTION("""COMPUTED_VALUE"""),"Inuyasha The Movie - L'Isola Del Fuoco Scarlatto")</f>
        <v>Inuyasha The Movie - L'Isola Del Fuoco Scarlatto</v>
      </c>
      <c r="U3425" s="5" t="str">
        <f>IFERROR(__xludf.DUMMYFUNCTION("""COMPUTED_VALUE"""),"Nils Tavernier")</f>
        <v>Nils Tavernier</v>
      </c>
      <c r="V3425" s="5" t="s">
        <v>5423</v>
      </c>
      <c r="W3425" s="5" t="str">
        <f t="shared" si="3"/>
        <v>Ramon Térmens</v>
      </c>
      <c r="X3425" s="5">
        <f t="shared" si="4"/>
        <v>1</v>
      </c>
      <c r="Y3425" s="5" t="str">
        <f>IFERROR(__xludf.DUMMYFUNCTION("REGEXEXTRACT(J3425, ""^\d+"")"),"1")</f>
        <v>1</v>
      </c>
      <c r="Z3425" s="5" t="str">
        <f>IFERROR(__xludf.DUMMYFUNCTION("REGEXEXTRACT(J3425, ""[A-Za-z ]+$"")")," Season")</f>
        <v> Season</v>
      </c>
      <c r="AA3425" s="5" t="str">
        <f>IFERROR(__xludf.DUMMYFUNCTION("IF(REGEXMATCH(Z3425, ""Season""), ""TV Show"", ""Movie"")"),"TV Show")</f>
        <v>TV Show</v>
      </c>
    </row>
    <row r="3426">
      <c r="A3426" s="1" t="s">
        <v>18796</v>
      </c>
      <c r="B3426" s="1" t="s">
        <v>27</v>
      </c>
      <c r="C3426" s="1" t="s">
        <v>18797</v>
      </c>
      <c r="D3426" s="1" t="s">
        <v>10493</v>
      </c>
      <c r="E3426" s="1" t="s">
        <v>18798</v>
      </c>
      <c r="F3426" s="1" t="s">
        <v>1106</v>
      </c>
      <c r="G3426" s="1" t="s">
        <v>18799</v>
      </c>
      <c r="H3426" s="1">
        <v>2019.0</v>
      </c>
      <c r="I3426" s="1" t="s">
        <v>97</v>
      </c>
      <c r="J3426" s="1" t="s">
        <v>2670</v>
      </c>
      <c r="K3426" s="1" t="s">
        <v>1839</v>
      </c>
      <c r="L3426" s="1" t="s">
        <v>18800</v>
      </c>
      <c r="M3426" s="2" t="s">
        <v>12</v>
      </c>
      <c r="N3426" s="4">
        <f t="shared" si="1"/>
        <v>43752</v>
      </c>
      <c r="O3426" s="5" t="str">
        <f>IFERROR(__xludf.DUMMYFUNCTION("IF(REGEXMATCH(TRIM(I3426), ""^\d+\s*min""), ""Unclassified"", IF(I3426 = """", ""NR"", I3426))"),"TV-14")</f>
        <v>TV-14</v>
      </c>
      <c r="R3426" s="5" t="str">
        <f t="shared" si="2"/>
        <v>Martin Matte: La Vie, La Mort...Eh La La..!</v>
      </c>
      <c r="S3426" s="5" t="str">
        <f>IFERROR(__xludf.DUMMYFUNCTION("""COMPUTED_VALUE"""),"Inuyasha The Movie - La Spada Del Dominatore Del Mondo")</f>
        <v>Inuyasha The Movie - La Spada Del Dominatore Del Mondo</v>
      </c>
      <c r="U3426" s="5" t="str">
        <f>IFERROR(__xludf.DUMMYFUNCTION("""COMPUTED_VALUE"""),"Jon Spira")</f>
        <v>Jon Spira</v>
      </c>
      <c r="V3426" s="5" t="s">
        <v>3450</v>
      </c>
      <c r="W3426" s="5" t="str">
        <f t="shared" si="3"/>
        <v>Ramsey Nouah</v>
      </c>
      <c r="X3426" s="5">
        <f t="shared" si="4"/>
        <v>2</v>
      </c>
      <c r="Y3426" s="5" t="str">
        <f>IFERROR(__xludf.DUMMYFUNCTION("REGEXEXTRACT(J3426, ""^\d+"")"),"62")</f>
        <v>62</v>
      </c>
      <c r="Z3426" s="5" t="str">
        <f>IFERROR(__xludf.DUMMYFUNCTION("REGEXEXTRACT(J3426, ""[A-Za-z ]+$"")")," min")</f>
        <v> min</v>
      </c>
      <c r="AA3426" s="5" t="str">
        <f>IFERROR(__xludf.DUMMYFUNCTION("IF(REGEXMATCH(Z3426, ""Season""), ""TV Show"", ""Movie"")"),"Movie")</f>
        <v>Movie</v>
      </c>
    </row>
    <row r="3427">
      <c r="A3427" s="1" t="s">
        <v>18801</v>
      </c>
      <c r="B3427" s="1" t="s">
        <v>27</v>
      </c>
      <c r="C3427" s="1" t="s">
        <v>18802</v>
      </c>
      <c r="D3427" s="1" t="s">
        <v>13599</v>
      </c>
      <c r="E3427" s="1" t="s">
        <v>18803</v>
      </c>
      <c r="F3427" s="1" t="s">
        <v>664</v>
      </c>
      <c r="G3427" s="1" t="s">
        <v>18804</v>
      </c>
      <c r="H3427" s="1">
        <v>2019.0</v>
      </c>
      <c r="I3427" s="1" t="s">
        <v>42</v>
      </c>
      <c r="J3427" s="1" t="s">
        <v>322</v>
      </c>
      <c r="K3427" s="1" t="s">
        <v>128</v>
      </c>
      <c r="L3427" s="1" t="s">
        <v>18805</v>
      </c>
      <c r="M3427" s="2" t="s">
        <v>12</v>
      </c>
      <c r="N3427" s="4">
        <f t="shared" si="1"/>
        <v>43751</v>
      </c>
      <c r="O3427" s="5" t="str">
        <f>IFERROR(__xludf.DUMMYFUNCTION("IF(REGEXMATCH(TRIM(I3427), ""^\d+\s*min""), ""Unclassified"", IF(I3427 = """", ""NR"", I3427))"),"TV-MA")</f>
        <v>TV-MA</v>
      </c>
      <c r="R3427" s="5" t="str">
        <f t="shared" si="2"/>
        <v>Street Flow</v>
      </c>
      <c r="S3427" s="5" t="str">
        <f>IFERROR(__xludf.DUMMYFUNCTION("""COMPUTED_VALUE"""),"Inuyasha The Movie 2: The Castle Beyond The Looking Glass")</f>
        <v>Inuyasha The Movie 2: The Castle Beyond The Looking Glass</v>
      </c>
      <c r="U3427" s="5" t="str">
        <f>IFERROR(__xludf.DUMMYFUNCTION("""COMPUTED_VALUE"""),"Michael Thelin")</f>
        <v>Michael Thelin</v>
      </c>
      <c r="V3427" s="5" t="s">
        <v>1299</v>
      </c>
      <c r="W3427" s="5" t="str">
        <f t="shared" si="3"/>
        <v>Ramzy Bedia, Éric Judor</v>
      </c>
      <c r="X3427" s="5">
        <f t="shared" si="4"/>
        <v>1</v>
      </c>
      <c r="Y3427" s="5" t="str">
        <f>IFERROR(__xludf.DUMMYFUNCTION("REGEXEXTRACT(J3427, ""^\d+"")"),"96")</f>
        <v>96</v>
      </c>
      <c r="Z3427" s="5" t="str">
        <f>IFERROR(__xludf.DUMMYFUNCTION("REGEXEXTRACT(J3427, ""[A-Za-z ]+$"")")," min")</f>
        <v> min</v>
      </c>
      <c r="AA3427" s="5" t="str">
        <f>IFERROR(__xludf.DUMMYFUNCTION("IF(REGEXMATCH(Z3427, ""Season""), ""TV Show"", ""Movie"")"),"Movie")</f>
        <v>Movie</v>
      </c>
    </row>
    <row r="3428">
      <c r="A3428" s="1" t="s">
        <v>18806</v>
      </c>
      <c r="B3428" s="1" t="s">
        <v>37</v>
      </c>
      <c r="C3428" s="1" t="s">
        <v>18807</v>
      </c>
      <c r="E3428" s="1" t="s">
        <v>18808</v>
      </c>
      <c r="F3428" s="1" t="s">
        <v>749</v>
      </c>
      <c r="G3428" s="1" t="s">
        <v>18804</v>
      </c>
      <c r="H3428" s="1">
        <v>2019.0</v>
      </c>
      <c r="I3428" s="1" t="s">
        <v>97</v>
      </c>
      <c r="J3428" s="1" t="s">
        <v>51</v>
      </c>
      <c r="K3428" s="1" t="s">
        <v>6338</v>
      </c>
      <c r="L3428" s="1" t="s">
        <v>18809</v>
      </c>
      <c r="M3428" s="2" t="s">
        <v>12</v>
      </c>
      <c r="N3428" s="4">
        <f t="shared" si="1"/>
        <v>43751</v>
      </c>
      <c r="O3428" s="5" t="str">
        <f>IFERROR(__xludf.DUMMYFUNCTION("IF(REGEXMATCH(TRIM(I3428), ""^\d+\s*min""), ""Unclassified"", IF(I3428 = """", ""NR"", I3428))"),"TV-14")</f>
        <v>TV-14</v>
      </c>
      <c r="R3428" s="5" t="str">
        <f t="shared" si="2"/>
        <v>The Lies Within</v>
      </c>
      <c r="S3428" s="5" t="str">
        <f>IFERROR(__xludf.DUMMYFUNCTION("""COMPUTED_VALUE"""),"Inuyasha The Movie 3: Swords Of An Honorable Ruler")</f>
        <v>Inuyasha The Movie 3: Swords Of An Honorable Ruler</v>
      </c>
      <c r="U3428" s="5" t="str">
        <f>IFERROR(__xludf.DUMMYFUNCTION("""COMPUTED_VALUE"""),"Riri Riza")</f>
        <v>Riri Riza</v>
      </c>
      <c r="V3428" s="5" t="s">
        <v>10546</v>
      </c>
      <c r="W3428" s="5" t="str">
        <f t="shared" si="3"/>
        <v>Rana Eid</v>
      </c>
      <c r="X3428" s="5">
        <f t="shared" si="4"/>
        <v>1</v>
      </c>
      <c r="Y3428" s="5" t="str">
        <f>IFERROR(__xludf.DUMMYFUNCTION("REGEXEXTRACT(J3428, ""^\d+"")"),"1")</f>
        <v>1</v>
      </c>
      <c r="Z3428" s="5" t="str">
        <f>IFERROR(__xludf.DUMMYFUNCTION("REGEXEXTRACT(J3428, ""[A-Za-z ]+$"")")," Season")</f>
        <v> Season</v>
      </c>
      <c r="AA3428" s="5" t="str">
        <f>IFERROR(__xludf.DUMMYFUNCTION("IF(REGEXMATCH(Z3428, ""Season""), ""TV Show"", ""Movie"")"),"TV Show")</f>
        <v>TV Show</v>
      </c>
    </row>
    <row r="3429">
      <c r="A3429" s="1" t="s">
        <v>18810</v>
      </c>
      <c r="B3429" s="1" t="s">
        <v>27</v>
      </c>
      <c r="C3429" s="1" t="s">
        <v>18811</v>
      </c>
      <c r="D3429" s="1" t="s">
        <v>5863</v>
      </c>
      <c r="E3429" s="1" t="s">
        <v>18812</v>
      </c>
      <c r="F3429" s="1" t="s">
        <v>188</v>
      </c>
      <c r="G3429" s="1" t="s">
        <v>18813</v>
      </c>
      <c r="H3429" s="1">
        <v>2017.0</v>
      </c>
      <c r="I3429" s="1" t="s">
        <v>42</v>
      </c>
      <c r="J3429" s="1" t="s">
        <v>106</v>
      </c>
      <c r="K3429" s="1" t="s">
        <v>215</v>
      </c>
      <c r="L3429" s="1" t="s">
        <v>18814</v>
      </c>
      <c r="M3429" s="2" t="s">
        <v>12</v>
      </c>
      <c r="N3429" s="4">
        <f t="shared" si="1"/>
        <v>43749</v>
      </c>
      <c r="O3429" s="5" t="str">
        <f>IFERROR(__xludf.DUMMYFUNCTION("IF(REGEXMATCH(TRIM(I3429), ""^\d+\s*min""), ""Unclassified"", IF(I3429 = """", ""NR"", I3429))"),"TV-MA")</f>
        <v>TV-MA</v>
      </c>
      <c r="R3429" s="5" t="str">
        <f t="shared" si="2"/>
        <v>Bygones Be Bygones</v>
      </c>
      <c r="S3429" s="5" t="str">
        <f>IFERROR(__xludf.DUMMYFUNCTION("""COMPUTED_VALUE"""),"Inuyasha The Movie 4: Fire On The Mystic Island")</f>
        <v>Inuyasha The Movie 4: Fire On The Mystic Island</v>
      </c>
      <c r="U3429" s="5" t="str">
        <f>IFERROR(__xludf.DUMMYFUNCTION("""COMPUTED_VALUE"""),"Neil Triffett")</f>
        <v>Neil Triffett</v>
      </c>
      <c r="V3429" s="5" t="s">
        <v>18815</v>
      </c>
      <c r="W3429" s="5" t="str">
        <f t="shared" si="3"/>
        <v>Rana Ranbir</v>
      </c>
      <c r="X3429" s="5">
        <f t="shared" si="4"/>
        <v>1</v>
      </c>
      <c r="Y3429" s="5" t="str">
        <f>IFERROR(__xludf.DUMMYFUNCTION("REGEXEXTRACT(J3429, ""^\d+"")"),"104")</f>
        <v>104</v>
      </c>
      <c r="Z3429" s="5" t="str">
        <f>IFERROR(__xludf.DUMMYFUNCTION("REGEXEXTRACT(J3429, ""[A-Za-z ]+$"")")," min")</f>
        <v> min</v>
      </c>
      <c r="AA3429" s="5" t="str">
        <f>IFERROR(__xludf.DUMMYFUNCTION("IF(REGEXMATCH(Z3429, ""Season""), ""TV Show"", ""Movie"")"),"Movie")</f>
        <v>Movie</v>
      </c>
    </row>
    <row r="3430">
      <c r="A3430" s="1" t="s">
        <v>18816</v>
      </c>
      <c r="B3430" s="1" t="s">
        <v>27</v>
      </c>
      <c r="C3430" s="1" t="s">
        <v>18817</v>
      </c>
      <c r="D3430" s="1" t="s">
        <v>18818</v>
      </c>
      <c r="E3430" s="1" t="s">
        <v>18819</v>
      </c>
      <c r="F3430" s="1" t="s">
        <v>30</v>
      </c>
      <c r="G3430" s="1" t="s">
        <v>18813</v>
      </c>
      <c r="H3430" s="1">
        <v>2019.0</v>
      </c>
      <c r="I3430" s="1" t="s">
        <v>42</v>
      </c>
      <c r="J3430" s="1" t="s">
        <v>2566</v>
      </c>
      <c r="K3430" s="1" t="s">
        <v>394</v>
      </c>
      <c r="L3430" s="1" t="s">
        <v>18820</v>
      </c>
      <c r="M3430" s="2" t="s">
        <v>12</v>
      </c>
      <c r="N3430" s="4">
        <f t="shared" si="1"/>
        <v>43749</v>
      </c>
      <c r="O3430" s="5" t="str">
        <f>IFERROR(__xludf.DUMMYFUNCTION("IF(REGEXMATCH(TRIM(I3430), ""^\d+\s*min""), ""Unclassified"", IF(I3430 = """", ""NR"", I3430))"),"TV-MA")</f>
        <v>TV-MA</v>
      </c>
      <c r="R3430" s="5" t="str">
        <f t="shared" si="2"/>
        <v>El Camino: A Breaking Bad Movie</v>
      </c>
      <c r="S3430" s="5" t="str">
        <f>IFERROR(__xludf.DUMMYFUNCTION("""COMPUTED_VALUE"""),"Inuyasha The Movie: Affections Touching Across Time")</f>
        <v>Inuyasha The Movie: Affections Touching Across Time</v>
      </c>
      <c r="U3430" s="5" t="str">
        <f>IFERROR(__xludf.DUMMYFUNCTION("""COMPUTED_VALUE"""),"Greg Coolidge")</f>
        <v>Greg Coolidge</v>
      </c>
      <c r="V3430" s="5" t="s">
        <v>10557</v>
      </c>
      <c r="W3430" s="5" t="str">
        <f t="shared" si="3"/>
        <v>Randa Chahal Sabbag</v>
      </c>
      <c r="X3430" s="5">
        <f t="shared" si="4"/>
        <v>1</v>
      </c>
      <c r="Y3430" s="5" t="str">
        <f>IFERROR(__xludf.DUMMYFUNCTION("REGEXEXTRACT(J3430, ""^\d+"")"),"123")</f>
        <v>123</v>
      </c>
      <c r="Z3430" s="5" t="str">
        <f>IFERROR(__xludf.DUMMYFUNCTION("REGEXEXTRACT(J3430, ""[A-Za-z ]+$"")")," min")</f>
        <v> min</v>
      </c>
      <c r="AA3430" s="5" t="str">
        <f>IFERROR(__xludf.DUMMYFUNCTION("IF(REGEXMATCH(Z3430, ""Season""), ""TV Show"", ""Movie"")"),"Movie")</f>
        <v>Movie</v>
      </c>
    </row>
    <row r="3431">
      <c r="A3431" s="1" t="s">
        <v>18821</v>
      </c>
      <c r="B3431" s="1" t="s">
        <v>27</v>
      </c>
      <c r="C3431" s="1" t="s">
        <v>18822</v>
      </c>
      <c r="D3431" s="1" t="s">
        <v>1508</v>
      </c>
      <c r="E3431" s="1" t="s">
        <v>18823</v>
      </c>
      <c r="F3431" s="1" t="s">
        <v>30</v>
      </c>
      <c r="G3431" s="1" t="s">
        <v>18813</v>
      </c>
      <c r="H3431" s="1">
        <v>2019.0</v>
      </c>
      <c r="I3431" s="1" t="s">
        <v>42</v>
      </c>
      <c r="J3431" s="1" t="s">
        <v>433</v>
      </c>
      <c r="K3431" s="1" t="s">
        <v>171</v>
      </c>
      <c r="L3431" s="1" t="s">
        <v>18824</v>
      </c>
      <c r="M3431" s="2" t="s">
        <v>12</v>
      </c>
      <c r="N3431" s="4">
        <f t="shared" si="1"/>
        <v>43749</v>
      </c>
      <c r="O3431" s="5" t="str">
        <f>IFERROR(__xludf.DUMMYFUNCTION("IF(REGEXMATCH(TRIM(I3431), ""^\d+\s*min""), ""Unclassified"", IF(I3431 = """", ""NR"", I3431))"),"TV-MA")</f>
        <v>TV-MA</v>
      </c>
      <c r="R3431" s="5" t="str">
        <f t="shared" si="2"/>
        <v>Fractured</v>
      </c>
      <c r="S3431" s="5" t="str">
        <f>IFERROR(__xludf.DUMMYFUNCTION("""COMPUTED_VALUE"""),"Inuyasha: The Movie 2: The Castle Beyond The Looking Glass")</f>
        <v>Inuyasha: The Movie 2: The Castle Beyond The Looking Glass</v>
      </c>
      <c r="U3431" s="5" t="str">
        <f>IFERROR(__xludf.DUMMYFUNCTION("""COMPUTED_VALUE"""),"Ajay Phansekar")</f>
        <v>Ajay Phansekar</v>
      </c>
      <c r="V3431" s="5" t="s">
        <v>1221</v>
      </c>
      <c r="W3431" s="5" t="str">
        <f t="shared" si="3"/>
        <v>Randal Kleiser</v>
      </c>
      <c r="X3431" s="5">
        <f t="shared" si="4"/>
        <v>2</v>
      </c>
      <c r="Y3431" s="5" t="str">
        <f>IFERROR(__xludf.DUMMYFUNCTION("REGEXEXTRACT(J3431, ""^\d+"")"),"100")</f>
        <v>100</v>
      </c>
      <c r="Z3431" s="5" t="str">
        <f>IFERROR(__xludf.DUMMYFUNCTION("REGEXEXTRACT(J3431, ""[A-Za-z ]+$"")")," min")</f>
        <v> min</v>
      </c>
      <c r="AA3431" s="5" t="str">
        <f>IFERROR(__xludf.DUMMYFUNCTION("IF(REGEXMATCH(Z3431, ""Season""), ""TV Show"", ""Movie"")"),"Movie")</f>
        <v>Movie</v>
      </c>
    </row>
    <row r="3432">
      <c r="A3432" s="1" t="s">
        <v>18825</v>
      </c>
      <c r="B3432" s="1" t="s">
        <v>37</v>
      </c>
      <c r="C3432" s="1" t="s">
        <v>18826</v>
      </c>
      <c r="E3432" s="1" t="s">
        <v>18827</v>
      </c>
      <c r="F3432" s="1" t="s">
        <v>30</v>
      </c>
      <c r="G3432" s="1" t="s">
        <v>18813</v>
      </c>
      <c r="H3432" s="1">
        <v>2019.0</v>
      </c>
      <c r="I3432" s="1" t="s">
        <v>42</v>
      </c>
      <c r="J3432" s="1" t="s">
        <v>43</v>
      </c>
      <c r="K3432" s="1" t="s">
        <v>2915</v>
      </c>
      <c r="L3432" s="1" t="s">
        <v>18828</v>
      </c>
      <c r="M3432" s="2" t="s">
        <v>12</v>
      </c>
      <c r="N3432" s="4">
        <f t="shared" si="1"/>
        <v>43749</v>
      </c>
      <c r="O3432" s="5" t="str">
        <f>IFERROR(__xludf.DUMMYFUNCTION("IF(REGEXMATCH(TRIM(I3432), ""^\d+\s*min""), ""Unclassified"", IF(I3432 = """", ""NR"", I3432))"),"TV-MA")</f>
        <v>TV-MA</v>
      </c>
      <c r="R3432" s="5" t="str">
        <f t="shared" si="2"/>
        <v>Insatiable</v>
      </c>
      <c r="S3432" s="5" t="str">
        <f>IFERROR(__xludf.DUMMYFUNCTION("""COMPUTED_VALUE"""),"Invader Zim: Enter The Florpus")</f>
        <v>Invader Zim: Enter The Florpus</v>
      </c>
      <c r="U3432" s="5" t="str">
        <f>IFERROR(__xludf.DUMMYFUNCTION("""COMPUTED_VALUE"""),"Denis Villeneuve")</f>
        <v>Denis Villeneuve</v>
      </c>
      <c r="V3432" s="5" t="s">
        <v>18829</v>
      </c>
      <c r="W3432" s="5" t="str">
        <f t="shared" si="3"/>
        <v>Randall Lobb</v>
      </c>
      <c r="X3432" s="5">
        <f t="shared" si="4"/>
        <v>1</v>
      </c>
      <c r="Y3432" s="5" t="str">
        <f>IFERROR(__xludf.DUMMYFUNCTION("REGEXEXTRACT(J3432, ""^\d+"")"),"2")</f>
        <v>2</v>
      </c>
      <c r="Z3432" s="5" t="str">
        <f>IFERROR(__xludf.DUMMYFUNCTION("REGEXEXTRACT(J3432, ""[A-Za-z ]+$"")")," Seasons")</f>
        <v> Seasons</v>
      </c>
      <c r="AA3432" s="5" t="str">
        <f>IFERROR(__xludf.DUMMYFUNCTION("IF(REGEXMATCH(Z3432, ""Season""), ""TV Show"", ""Movie"")"),"TV Show")</f>
        <v>TV Show</v>
      </c>
    </row>
    <row r="3433">
      <c r="A3433" s="1" t="s">
        <v>18830</v>
      </c>
      <c r="B3433" s="1" t="s">
        <v>27</v>
      </c>
      <c r="C3433" s="1" t="s">
        <v>18831</v>
      </c>
      <c r="D3433" s="1" t="s">
        <v>3568</v>
      </c>
      <c r="E3433" s="1" t="s">
        <v>18832</v>
      </c>
      <c r="F3433" s="1" t="s">
        <v>400</v>
      </c>
      <c r="G3433" s="1" t="s">
        <v>18813</v>
      </c>
      <c r="H3433" s="1">
        <v>2019.0</v>
      </c>
      <c r="I3433" s="1" t="s">
        <v>97</v>
      </c>
      <c r="J3433" s="1" t="s">
        <v>416</v>
      </c>
      <c r="K3433" s="1" t="s">
        <v>128</v>
      </c>
      <c r="L3433" s="1" t="s">
        <v>18833</v>
      </c>
      <c r="M3433" s="2" t="s">
        <v>12</v>
      </c>
      <c r="N3433" s="4">
        <f t="shared" si="1"/>
        <v>43749</v>
      </c>
      <c r="O3433" s="5" t="str">
        <f>IFERROR(__xludf.DUMMYFUNCTION("IF(REGEXMATCH(TRIM(I3433), ""^\d+\s*min""), ""Unclassified"", IF(I3433 = """", ""NR"", I3433))"),"TV-14")</f>
        <v>TV-14</v>
      </c>
      <c r="R3433" s="5" t="str">
        <f t="shared" si="2"/>
        <v>The Bling Lagosians</v>
      </c>
      <c r="S3433" s="5" t="str">
        <f>IFERROR(__xludf.DUMMYFUNCTION("""COMPUTED_VALUE"""),"Invictus")</f>
        <v>Invictus</v>
      </c>
      <c r="U3433" s="5" t="str">
        <f>IFERROR(__xludf.DUMMYFUNCTION("""COMPUTED_VALUE"""),"Jenny Carchman")</f>
        <v>Jenny Carchman</v>
      </c>
      <c r="V3433" s="5" t="s">
        <v>18834</v>
      </c>
      <c r="W3433" s="5" t="str">
        <f t="shared" si="3"/>
        <v>Randall Lobb, Robert Mccallum</v>
      </c>
      <c r="X3433" s="5">
        <f t="shared" si="4"/>
        <v>1</v>
      </c>
      <c r="Y3433" s="5" t="str">
        <f>IFERROR(__xludf.DUMMYFUNCTION("REGEXEXTRACT(J3433, ""^\d+"")"),"99")</f>
        <v>99</v>
      </c>
      <c r="Z3433" s="5" t="str">
        <f>IFERROR(__xludf.DUMMYFUNCTION("REGEXEXTRACT(J3433, ""[A-Za-z ]+$"")")," min")</f>
        <v> min</v>
      </c>
      <c r="AA3433" s="5" t="str">
        <f>IFERROR(__xludf.DUMMYFUNCTION("IF(REGEXMATCH(Z3433, ""Season""), ""TV Show"", ""Movie"")"),"Movie")</f>
        <v>Movie</v>
      </c>
    </row>
    <row r="3434">
      <c r="A3434" s="1" t="s">
        <v>18835</v>
      </c>
      <c r="B3434" s="1" t="s">
        <v>27</v>
      </c>
      <c r="C3434" s="1" t="s">
        <v>18836</v>
      </c>
      <c r="D3434" s="1" t="s">
        <v>14619</v>
      </c>
      <c r="E3434" s="1" t="s">
        <v>14620</v>
      </c>
      <c r="F3434" s="1" t="s">
        <v>415</v>
      </c>
      <c r="G3434" s="1" t="s">
        <v>18813</v>
      </c>
      <c r="H3434" s="1">
        <v>2019.0</v>
      </c>
      <c r="I3434" s="1" t="s">
        <v>42</v>
      </c>
      <c r="J3434" s="1" t="s">
        <v>7280</v>
      </c>
      <c r="K3434" s="1" t="s">
        <v>298</v>
      </c>
      <c r="L3434" s="1" t="s">
        <v>18837</v>
      </c>
      <c r="M3434" s="2" t="s">
        <v>12</v>
      </c>
      <c r="N3434" s="4">
        <f t="shared" si="1"/>
        <v>43749</v>
      </c>
      <c r="O3434" s="5" t="str">
        <f>IFERROR(__xludf.DUMMYFUNCTION("IF(REGEXMATCH(TRIM(I3434), ""^\d+\s*min""), ""Unclassified"", IF(I3434 = """", ""NR"", I3434))"),"TV-MA")</f>
        <v>TV-MA</v>
      </c>
      <c r="R3434" s="5" t="str">
        <f t="shared" si="2"/>
        <v>The Forest Of Love</v>
      </c>
      <c r="S3434" s="5" t="str">
        <f>IFERROR(__xludf.DUMMYFUNCTION("""COMPUTED_VALUE"""),"Invisible")</f>
        <v>Invisible</v>
      </c>
      <c r="U3434" s="5" t="str">
        <f>IFERROR(__xludf.DUMMYFUNCTION("""COMPUTED_VALUE"""),"Jason James")</f>
        <v>Jason James</v>
      </c>
      <c r="V3434" s="5" t="s">
        <v>18838</v>
      </c>
      <c r="W3434" s="5" t="str">
        <f t="shared" si="3"/>
        <v>Ranjit Jeyakodi</v>
      </c>
      <c r="X3434" s="5">
        <f t="shared" si="4"/>
        <v>1</v>
      </c>
      <c r="Y3434" s="5" t="str">
        <f>IFERROR(__xludf.DUMMYFUNCTION("REGEXEXTRACT(J3434, ""^\d+"")"),"151")</f>
        <v>151</v>
      </c>
      <c r="Z3434" s="5" t="str">
        <f>IFERROR(__xludf.DUMMYFUNCTION("REGEXEXTRACT(J3434, ""[A-Za-z ]+$"")")," min")</f>
        <v> min</v>
      </c>
      <c r="AA3434" s="5" t="str">
        <f>IFERROR(__xludf.DUMMYFUNCTION("IF(REGEXMATCH(Z3434, ""Season""), ""TV Show"", ""Movie"")"),"Movie")</f>
        <v>Movie</v>
      </c>
    </row>
    <row r="3435">
      <c r="A3435" s="1" t="s">
        <v>18839</v>
      </c>
      <c r="B3435" s="1" t="s">
        <v>37</v>
      </c>
      <c r="C3435" s="1" t="s">
        <v>18840</v>
      </c>
      <c r="E3435" s="1" t="s">
        <v>18841</v>
      </c>
      <c r="F3435" s="1" t="s">
        <v>664</v>
      </c>
      <c r="G3435" s="1" t="s">
        <v>18813</v>
      </c>
      <c r="H3435" s="1">
        <v>2020.0</v>
      </c>
      <c r="I3435" s="1" t="s">
        <v>42</v>
      </c>
      <c r="J3435" s="1" t="s">
        <v>43</v>
      </c>
      <c r="K3435" s="1" t="s">
        <v>64</v>
      </c>
      <c r="L3435" s="1" t="s">
        <v>18842</v>
      </c>
      <c r="M3435" s="2" t="s">
        <v>12</v>
      </c>
      <c r="N3435" s="4">
        <f t="shared" si="1"/>
        <v>43749</v>
      </c>
      <c r="O3435" s="5" t="str">
        <f>IFERROR(__xludf.DUMMYFUNCTION("IF(REGEXMATCH(TRIM(I3435), ""^\d+\s*min""), ""Unclassified"", IF(I3435 = """", ""NR"", I3435))"),"TV-MA")</f>
        <v>TV-MA</v>
      </c>
      <c r="R3435" s="5" t="str">
        <f t="shared" si="2"/>
        <v>The Hook Up Plan</v>
      </c>
      <c r="S3435" s="5" t="str">
        <f>IFERROR(__xludf.DUMMYFUNCTION("""COMPUTED_VALUE"""),"Invisible City")</f>
        <v>Invisible City</v>
      </c>
      <c r="U3435" s="5" t="str">
        <f>IFERROR(__xludf.DUMMYFUNCTION("""COMPUTED_VALUE"""),"Robert Clouse")</f>
        <v>Robert Clouse</v>
      </c>
      <c r="V3435" s="5" t="s">
        <v>18843</v>
      </c>
      <c r="W3435" s="5" t="str">
        <f t="shared" si="3"/>
        <v>Ranjit Tiwari</v>
      </c>
      <c r="X3435" s="5">
        <f t="shared" si="4"/>
        <v>1</v>
      </c>
      <c r="Y3435" s="5" t="str">
        <f>IFERROR(__xludf.DUMMYFUNCTION("REGEXEXTRACT(J3435, ""^\d+"")"),"2")</f>
        <v>2</v>
      </c>
      <c r="Z3435" s="5" t="str">
        <f>IFERROR(__xludf.DUMMYFUNCTION("REGEXEXTRACT(J3435, ""[A-Za-z ]+$"")")," Seasons")</f>
        <v> Seasons</v>
      </c>
      <c r="AA3435" s="5" t="str">
        <f>IFERROR(__xludf.DUMMYFUNCTION("IF(REGEXMATCH(Z3435, ""Season""), ""TV Show"", ""Movie"")"),"TV Show")</f>
        <v>TV Show</v>
      </c>
    </row>
    <row r="3436">
      <c r="A3436" s="1" t="s">
        <v>18844</v>
      </c>
      <c r="B3436" s="1" t="s">
        <v>27</v>
      </c>
      <c r="C3436" s="1" t="s">
        <v>18845</v>
      </c>
      <c r="D3436" s="1" t="s">
        <v>18846</v>
      </c>
      <c r="E3436" s="1" t="s">
        <v>18847</v>
      </c>
      <c r="F3436" s="1" t="s">
        <v>18848</v>
      </c>
      <c r="G3436" s="1" t="s">
        <v>18813</v>
      </c>
      <c r="H3436" s="1">
        <v>2019.0</v>
      </c>
      <c r="I3436" s="1" t="s">
        <v>42</v>
      </c>
      <c r="J3436" s="1" t="s">
        <v>447</v>
      </c>
      <c r="K3436" s="1" t="s">
        <v>1441</v>
      </c>
      <c r="L3436" s="1" t="s">
        <v>18849</v>
      </c>
      <c r="M3436" s="2" t="s">
        <v>12</v>
      </c>
      <c r="N3436" s="4">
        <f t="shared" si="1"/>
        <v>43749</v>
      </c>
      <c r="O3436" s="5" t="str">
        <f>IFERROR(__xludf.DUMMYFUNCTION("IF(REGEXMATCH(TRIM(I3436), ""^\d+\s*min""), ""Unclassified"", IF(I3436 = """", ""NR"", I3436))"),"TV-MA")</f>
        <v>TV-MA</v>
      </c>
      <c r="R3436" s="5" t="str">
        <f t="shared" si="2"/>
        <v>The Influence</v>
      </c>
      <c r="S3436" s="5" t="str">
        <f>IFERROR(__xludf.DUMMYFUNCTION("""COMPUTED_VALUE"""),"Invisible Essence: The Little Prince")</f>
        <v>Invisible Essence: The Little Prince</v>
      </c>
      <c r="U3436" s="5" t="str">
        <f>IFERROR(__xludf.DUMMYFUNCTION("""COMPUTED_VALUE"""),"Kurt Wimmer")</f>
        <v>Kurt Wimmer</v>
      </c>
      <c r="V3436" s="5" t="s">
        <v>3338</v>
      </c>
      <c r="W3436" s="5" t="str">
        <f t="shared" si="3"/>
        <v>Rano Karno</v>
      </c>
      <c r="X3436" s="5">
        <f t="shared" si="4"/>
        <v>3</v>
      </c>
      <c r="Y3436" s="5" t="str">
        <f>IFERROR(__xludf.DUMMYFUNCTION("REGEXEXTRACT(J3436, ""^\d+"")"),"102")</f>
        <v>102</v>
      </c>
      <c r="Z3436" s="5" t="str">
        <f>IFERROR(__xludf.DUMMYFUNCTION("REGEXEXTRACT(J3436, ""[A-Za-z ]+$"")")," min")</f>
        <v> min</v>
      </c>
      <c r="AA3436" s="5" t="str">
        <f>IFERROR(__xludf.DUMMYFUNCTION("IF(REGEXMATCH(Z3436, ""Season""), ""TV Show"", ""Movie"")"),"Movie")</f>
        <v>Movie</v>
      </c>
    </row>
    <row r="3437">
      <c r="A3437" s="1" t="s">
        <v>18850</v>
      </c>
      <c r="B3437" s="1" t="s">
        <v>37</v>
      </c>
      <c r="C3437" s="1" t="s">
        <v>18851</v>
      </c>
      <c r="E3437" s="1" t="s">
        <v>18852</v>
      </c>
      <c r="G3437" s="1" t="s">
        <v>18853</v>
      </c>
      <c r="H3437" s="1">
        <v>2018.0</v>
      </c>
      <c r="I3437" s="1" t="s">
        <v>289</v>
      </c>
      <c r="J3437" s="1" t="s">
        <v>51</v>
      </c>
      <c r="K3437" s="1" t="s">
        <v>623</v>
      </c>
      <c r="L3437" s="1" t="s">
        <v>18854</v>
      </c>
      <c r="M3437" s="2" t="s">
        <v>12</v>
      </c>
      <c r="N3437" s="4">
        <f t="shared" si="1"/>
        <v>43748</v>
      </c>
      <c r="O3437" s="5" t="str">
        <f>IFERROR(__xludf.DUMMYFUNCTION("IF(REGEXMATCH(TRIM(I3437), ""^\d+\s*min""), ""Unclassified"", IF(I3437 = """", ""NR"", I3437))"),"TV-Y7")</f>
        <v>TV-Y7</v>
      </c>
      <c r="R3437" s="5" t="str">
        <f t="shared" si="2"/>
        <v>Beyblade Burst Turbo</v>
      </c>
      <c r="S3437" s="5" t="str">
        <f>IFERROR(__xludf.DUMMYFUNCTION("""COMPUTED_VALUE"""),"Inxeba")</f>
        <v>Inxeba</v>
      </c>
      <c r="U3437" s="5" t="str">
        <f>IFERROR(__xludf.DUMMYFUNCTION("""COMPUTED_VALUE"""),"Wojciech Marczewski")</f>
        <v>Wojciech Marczewski</v>
      </c>
      <c r="V3437" s="5" t="s">
        <v>13046</v>
      </c>
      <c r="W3437" s="5" t="str">
        <f t="shared" si="3"/>
        <v>Raoul Peck</v>
      </c>
      <c r="X3437" s="5">
        <f t="shared" si="4"/>
        <v>1</v>
      </c>
      <c r="Y3437" s="5" t="str">
        <f>IFERROR(__xludf.DUMMYFUNCTION("REGEXEXTRACT(J3437, ""^\d+"")"),"1")</f>
        <v>1</v>
      </c>
      <c r="Z3437" s="5" t="str">
        <f>IFERROR(__xludf.DUMMYFUNCTION("REGEXEXTRACT(J3437, ""[A-Za-z ]+$"")")," Season")</f>
        <v> Season</v>
      </c>
      <c r="AA3437" s="5" t="str">
        <f>IFERROR(__xludf.DUMMYFUNCTION("IF(REGEXMATCH(Z3437, ""Season""), ""TV Show"", ""Movie"")"),"TV Show")</f>
        <v>TV Show</v>
      </c>
    </row>
    <row r="3438">
      <c r="A3438" s="1" t="s">
        <v>18855</v>
      </c>
      <c r="B3438" s="1" t="s">
        <v>27</v>
      </c>
      <c r="C3438" s="1" t="s">
        <v>18856</v>
      </c>
      <c r="D3438" s="1" t="s">
        <v>16554</v>
      </c>
      <c r="E3438" s="1" t="s">
        <v>18857</v>
      </c>
      <c r="G3438" s="1" t="s">
        <v>18853</v>
      </c>
      <c r="H3438" s="1">
        <v>2019.0</v>
      </c>
      <c r="I3438" s="1" t="s">
        <v>97</v>
      </c>
      <c r="J3438" s="1" t="s">
        <v>965</v>
      </c>
      <c r="K3438" s="1" t="s">
        <v>1939</v>
      </c>
      <c r="L3438" s="1" t="s">
        <v>18858</v>
      </c>
      <c r="M3438" s="2" t="s">
        <v>12</v>
      </c>
      <c r="N3438" s="4">
        <f t="shared" si="1"/>
        <v>43748</v>
      </c>
      <c r="O3438" s="5" t="str">
        <f>IFERROR(__xludf.DUMMYFUNCTION("IF(REGEXMATCH(TRIM(I3438), ""^\d+\s*min""), ""Unclassified"", IF(I3438 = """", ""NR"", I3438))"),"TV-14")</f>
        <v>TV-14</v>
      </c>
      <c r="R3438" s="5" t="str">
        <f t="shared" si="2"/>
        <v>Gen Hoshino Stadium Tour “Pop Virus”</v>
      </c>
      <c r="S3438" s="5" t="str">
        <f>IFERROR(__xludf.DUMMYFUNCTION("""COMPUTED_VALUE"""),"Io")</f>
        <v>Io</v>
      </c>
      <c r="U3438" s="5" t="str">
        <f>IFERROR(__xludf.DUMMYFUNCTION("""COMPUTED_VALUE"""),"Marcelo González")</f>
        <v>Marcelo González</v>
      </c>
      <c r="V3438" s="5" t="s">
        <v>18859</v>
      </c>
      <c r="W3438" s="5" t="str">
        <f t="shared" si="3"/>
        <v>Raphael Erichsen</v>
      </c>
      <c r="X3438" s="5">
        <f t="shared" si="4"/>
        <v>1</v>
      </c>
      <c r="Y3438" s="5" t="str">
        <f>IFERROR(__xludf.DUMMYFUNCTION("REGEXEXTRACT(J3438, ""^\d+"")"),"154")</f>
        <v>154</v>
      </c>
      <c r="Z3438" s="5" t="str">
        <f>IFERROR(__xludf.DUMMYFUNCTION("REGEXEXTRACT(J3438, ""[A-Za-z ]+$"")")," min")</f>
        <v> min</v>
      </c>
      <c r="AA3438" s="5" t="str">
        <f>IFERROR(__xludf.DUMMYFUNCTION("IF(REGEXMATCH(Z3438, ""Season""), ""TV Show"", ""Movie"")"),"Movie")</f>
        <v>Movie</v>
      </c>
    </row>
    <row r="3439">
      <c r="A3439" s="1" t="s">
        <v>18860</v>
      </c>
      <c r="B3439" s="1" t="s">
        <v>37</v>
      </c>
      <c r="C3439" s="1" t="s">
        <v>18861</v>
      </c>
      <c r="E3439" s="1" t="s">
        <v>18862</v>
      </c>
      <c r="F3439" s="1" t="s">
        <v>415</v>
      </c>
      <c r="G3439" s="1" t="s">
        <v>18853</v>
      </c>
      <c r="H3439" s="1">
        <v>2019.0</v>
      </c>
      <c r="I3439" s="1" t="s">
        <v>97</v>
      </c>
      <c r="J3439" s="1" t="s">
        <v>51</v>
      </c>
      <c r="K3439" s="1" t="s">
        <v>567</v>
      </c>
      <c r="L3439" s="1" t="s">
        <v>18863</v>
      </c>
      <c r="M3439" s="2" t="s">
        <v>12</v>
      </c>
      <c r="N3439" s="4">
        <f t="shared" si="1"/>
        <v>43748</v>
      </c>
      <c r="O3439" s="5" t="str">
        <f>IFERROR(__xludf.DUMMYFUNCTION("IF(REGEXMATCH(TRIM(I3439), ""^\d+\s*min""), ""Unclassified"", IF(I3439 = """", ""NR"", I3439))"),"TV-14")</f>
        <v>TV-14</v>
      </c>
      <c r="R3439" s="5" t="str">
        <f t="shared" si="2"/>
        <v>Ultramarine Magmell</v>
      </c>
      <c r="S3439" s="5" t="str">
        <f>IFERROR(__xludf.DUMMYFUNCTION("""COMPUTED_VALUE"""),"Ip Man")</f>
        <v>Ip Man</v>
      </c>
      <c r="U3439" s="5" t="str">
        <f>IFERROR(__xludf.DUMMYFUNCTION("""COMPUTED_VALUE"""),"Valeria Golino")</f>
        <v>Valeria Golino</v>
      </c>
      <c r="V3439" s="5" t="s">
        <v>18864</v>
      </c>
      <c r="W3439" s="5" t="str">
        <f t="shared" si="3"/>
        <v>Rarecho</v>
      </c>
      <c r="X3439" s="5">
        <f t="shared" si="4"/>
        <v>1</v>
      </c>
      <c r="Y3439" s="5" t="str">
        <f>IFERROR(__xludf.DUMMYFUNCTION("REGEXEXTRACT(J3439, ""^\d+"")"),"1")</f>
        <v>1</v>
      </c>
      <c r="Z3439" s="5" t="str">
        <f>IFERROR(__xludf.DUMMYFUNCTION("REGEXEXTRACT(J3439, ""[A-Za-z ]+$"")")," Season")</f>
        <v> Season</v>
      </c>
      <c r="AA3439" s="5" t="str">
        <f>IFERROR(__xludf.DUMMYFUNCTION("IF(REGEXMATCH(Z3439, ""Season""), ""TV Show"", ""Movie"")"),"TV Show")</f>
        <v>TV Show</v>
      </c>
    </row>
    <row r="3440">
      <c r="A3440" s="1" t="s">
        <v>18865</v>
      </c>
      <c r="B3440" s="1" t="s">
        <v>27</v>
      </c>
      <c r="C3440" s="1" t="s">
        <v>18866</v>
      </c>
      <c r="D3440" s="1" t="s">
        <v>10772</v>
      </c>
      <c r="E3440" s="1" t="s">
        <v>18867</v>
      </c>
      <c r="F3440" s="1" t="s">
        <v>30</v>
      </c>
      <c r="G3440" s="1" t="s">
        <v>18868</v>
      </c>
      <c r="H3440" s="1">
        <v>2019.0</v>
      </c>
      <c r="I3440" s="1" t="s">
        <v>32</v>
      </c>
      <c r="J3440" s="1" t="s">
        <v>256</v>
      </c>
      <c r="K3440" s="1" t="s">
        <v>828</v>
      </c>
      <c r="L3440" s="1" t="s">
        <v>18869</v>
      </c>
      <c r="M3440" s="2" t="s">
        <v>12</v>
      </c>
      <c r="N3440" s="4">
        <f t="shared" si="1"/>
        <v>43747</v>
      </c>
      <c r="O3440" s="5" t="str">
        <f>IFERROR(__xludf.DUMMYFUNCTION("IF(REGEXMATCH(TRIM(I3440), ""^\d+\s*min""), ""Unclassified"", IF(I3440 = """", ""NR"", I3440))"),"PG-13")</f>
        <v>PG-13</v>
      </c>
      <c r="R3440" s="5" t="str">
        <f t="shared" si="2"/>
        <v>After</v>
      </c>
      <c r="S3440" s="5" t="str">
        <f>IFERROR(__xludf.DUMMYFUNCTION("""COMPUTED_VALUE"""),"Ip Man 2")</f>
        <v>Ip Man 2</v>
      </c>
      <c r="U3440" s="5" t="str">
        <f>IFERROR(__xludf.DUMMYFUNCTION("""COMPUTED_VALUE"""),"Robi Michael")</f>
        <v>Robi Michael</v>
      </c>
      <c r="V3440" s="5" t="s">
        <v>18870</v>
      </c>
      <c r="W3440" s="5" t="str">
        <f t="shared" si="3"/>
        <v>Rashida Jones, Alan Hicks</v>
      </c>
      <c r="X3440" s="5">
        <f t="shared" si="4"/>
        <v>1</v>
      </c>
      <c r="Y3440" s="5" t="str">
        <f>IFERROR(__xludf.DUMMYFUNCTION("REGEXEXTRACT(J3440, ""^\d+"")"),"106")</f>
        <v>106</v>
      </c>
      <c r="Z3440" s="5" t="str">
        <f>IFERROR(__xludf.DUMMYFUNCTION("REGEXEXTRACT(J3440, ""[A-Za-z ]+$"")")," min")</f>
        <v> min</v>
      </c>
      <c r="AA3440" s="5" t="str">
        <f>IFERROR(__xludf.DUMMYFUNCTION("IF(REGEXMATCH(Z3440, ""Season""), ""TV Show"", ""Movie"")"),"Movie")</f>
        <v>Movie</v>
      </c>
    </row>
    <row r="3441">
      <c r="A3441" s="1" t="s">
        <v>18871</v>
      </c>
      <c r="B3441" s="1" t="s">
        <v>27</v>
      </c>
      <c r="C3441" s="1" t="s">
        <v>18872</v>
      </c>
      <c r="D3441" s="1" t="s">
        <v>12344</v>
      </c>
      <c r="E3441" s="1" t="s">
        <v>18873</v>
      </c>
      <c r="F3441" s="1" t="s">
        <v>30</v>
      </c>
      <c r="G3441" s="1" t="s">
        <v>18868</v>
      </c>
      <c r="H3441" s="1">
        <v>2019.0</v>
      </c>
      <c r="I3441" s="1" t="s">
        <v>97</v>
      </c>
      <c r="J3441" s="1" t="s">
        <v>630</v>
      </c>
      <c r="K3441" s="1" t="s">
        <v>394</v>
      </c>
      <c r="L3441" s="1" t="s">
        <v>18874</v>
      </c>
      <c r="M3441" s="2" t="s">
        <v>12</v>
      </c>
      <c r="N3441" s="4">
        <f t="shared" si="1"/>
        <v>43747</v>
      </c>
      <c r="O3441" s="5" t="str">
        <f>IFERROR(__xludf.DUMMYFUNCTION("IF(REGEXMATCH(TRIM(I3441), ""^\d+\s*min""), ""Unclassified"", IF(I3441 = """", ""NR"", I3441))"),"TV-14")</f>
        <v>TV-14</v>
      </c>
      <c r="R3441" s="5" t="str">
        <f t="shared" si="2"/>
        <v>Home Is Where The Killer Is</v>
      </c>
      <c r="S3441" s="5" t="str">
        <f>IFERROR(__xludf.DUMMYFUNCTION("""COMPUTED_VALUE"""),"Ip Man 3")</f>
        <v>Ip Man 3</v>
      </c>
      <c r="U3441" s="5" t="str">
        <f>IFERROR(__xludf.DUMMYFUNCTION("""COMPUTED_VALUE"""),"Alex Garland")</f>
        <v>Alex Garland</v>
      </c>
      <c r="V3441" s="5" t="s">
        <v>1589</v>
      </c>
      <c r="W3441" s="5" t="str">
        <f t="shared" si="3"/>
        <v>Rathindran R Prasad</v>
      </c>
      <c r="X3441" s="5">
        <f t="shared" si="4"/>
        <v>4</v>
      </c>
      <c r="Y3441" s="5" t="str">
        <f>IFERROR(__xludf.DUMMYFUNCTION("REGEXEXTRACT(J3441, ""^\d+"")"),"87")</f>
        <v>87</v>
      </c>
      <c r="Z3441" s="5" t="str">
        <f>IFERROR(__xludf.DUMMYFUNCTION("REGEXEXTRACT(J3441, ""[A-Za-z ]+$"")")," min")</f>
        <v> min</v>
      </c>
      <c r="AA3441" s="5" t="str">
        <f>IFERROR(__xludf.DUMMYFUNCTION("IF(REGEXMATCH(Z3441, ""Season""), ""TV Show"", ""Movie"")"),"Movie")</f>
        <v>Movie</v>
      </c>
    </row>
    <row r="3442">
      <c r="A3442" s="1" t="s">
        <v>18875</v>
      </c>
      <c r="B3442" s="1" t="s">
        <v>37</v>
      </c>
      <c r="C3442" s="1" t="s">
        <v>18876</v>
      </c>
      <c r="E3442" s="1" t="s">
        <v>18877</v>
      </c>
      <c r="F3442" s="1" t="s">
        <v>30</v>
      </c>
      <c r="G3442" s="1" t="s">
        <v>18868</v>
      </c>
      <c r="H3442" s="1">
        <v>2019.0</v>
      </c>
      <c r="I3442" s="1" t="s">
        <v>42</v>
      </c>
      <c r="J3442" s="1" t="s">
        <v>51</v>
      </c>
      <c r="K3442" s="1" t="s">
        <v>440</v>
      </c>
      <c r="L3442" s="1" t="s">
        <v>18878</v>
      </c>
      <c r="M3442" s="2" t="s">
        <v>12</v>
      </c>
      <c r="N3442" s="4">
        <f t="shared" si="1"/>
        <v>43747</v>
      </c>
      <c r="O3442" s="5" t="str">
        <f>IFERROR(__xludf.DUMMYFUNCTION("IF(REGEXMATCH(TRIM(I3442), ""^\d+\s*min""), ""Unclassified"", IF(I3442 = """", ""NR"", I3442))"),"TV-MA")</f>
        <v>TV-MA</v>
      </c>
      <c r="R3442" s="5" t="str">
        <f t="shared" si="2"/>
        <v>Rhythm + Flow</v>
      </c>
      <c r="S3442" s="5" t="str">
        <f>IFERROR(__xludf.DUMMYFUNCTION("""COMPUTED_VALUE"""),"Ip Man 4: The Finale")</f>
        <v>Ip Man 4: The Finale</v>
      </c>
      <c r="U3442" s="5" t="str">
        <f>IFERROR(__xludf.DUMMYFUNCTION("""COMPUTED_VALUE"""),"James Lee")</f>
        <v>James Lee</v>
      </c>
      <c r="V3442" s="5" t="s">
        <v>18879</v>
      </c>
      <c r="W3442" s="5" t="str">
        <f t="shared" si="3"/>
        <v>Raúl Arévalo</v>
      </c>
      <c r="X3442" s="5">
        <f t="shared" si="4"/>
        <v>1</v>
      </c>
      <c r="Y3442" s="5" t="str">
        <f>IFERROR(__xludf.DUMMYFUNCTION("REGEXEXTRACT(J3442, ""^\d+"")"),"1")</f>
        <v>1</v>
      </c>
      <c r="Z3442" s="5" t="str">
        <f>IFERROR(__xludf.DUMMYFUNCTION("REGEXEXTRACT(J3442, ""[A-Za-z ]+$"")")," Season")</f>
        <v> Season</v>
      </c>
      <c r="AA3442" s="5" t="str">
        <f>IFERROR(__xludf.DUMMYFUNCTION("IF(REGEXMATCH(Z3442, ""Season""), ""TV Show"", ""Movie"")"),"TV Show")</f>
        <v>TV Show</v>
      </c>
    </row>
    <row r="3443">
      <c r="A3443" s="1" t="s">
        <v>18880</v>
      </c>
      <c r="B3443" s="1" t="s">
        <v>27</v>
      </c>
      <c r="C3443" s="1" t="s">
        <v>18881</v>
      </c>
      <c r="D3443" s="1" t="s">
        <v>14919</v>
      </c>
      <c r="E3443" s="1" t="s">
        <v>18882</v>
      </c>
      <c r="F3443" s="1" t="s">
        <v>30</v>
      </c>
      <c r="G3443" s="1" t="s">
        <v>18883</v>
      </c>
      <c r="H3443" s="1">
        <v>2019.0</v>
      </c>
      <c r="I3443" s="1" t="s">
        <v>42</v>
      </c>
      <c r="J3443" s="1" t="s">
        <v>1583</v>
      </c>
      <c r="K3443" s="1" t="s">
        <v>1839</v>
      </c>
      <c r="L3443" s="1" t="s">
        <v>18884</v>
      </c>
      <c r="M3443" s="2" t="s">
        <v>12</v>
      </c>
      <c r="N3443" s="4">
        <f t="shared" si="1"/>
        <v>43746</v>
      </c>
      <c r="O3443" s="5" t="str">
        <f>IFERROR(__xludf.DUMMYFUNCTION("IF(REGEXMATCH(TRIM(I3443), ""^\d+\s*min""), ""Unclassified"", IF(I3443 = """", ""NR"", I3443))"),"TV-MA")</f>
        <v>TV-MA</v>
      </c>
      <c r="R3443" s="5" t="str">
        <f t="shared" si="2"/>
        <v>Deon Cole: Cole Hearted</v>
      </c>
      <c r="S3443" s="5" t="str">
        <f>IFERROR(__xludf.DUMMYFUNCTION("""COMPUTED_VALUE"""),"Iqbal")</f>
        <v>Iqbal</v>
      </c>
      <c r="U3443" s="5" t="str">
        <f>IFERROR(__xludf.DUMMYFUNCTION("""COMPUTED_VALUE"""),"Stuart Baird")</f>
        <v>Stuart Baird</v>
      </c>
      <c r="V3443" s="5" t="s">
        <v>18885</v>
      </c>
      <c r="W3443" s="5" t="str">
        <f t="shared" si="3"/>
        <v>Raúl Campos, Jan Suter</v>
      </c>
      <c r="X3443" s="5">
        <f t="shared" si="4"/>
        <v>18</v>
      </c>
      <c r="Y3443" s="5" t="str">
        <f>IFERROR(__xludf.DUMMYFUNCTION("REGEXEXTRACT(J3443, ""^\d+"")"),"70")</f>
        <v>70</v>
      </c>
      <c r="Z3443" s="5" t="str">
        <f>IFERROR(__xludf.DUMMYFUNCTION("REGEXEXTRACT(J3443, ""[A-Za-z ]+$"")")," min")</f>
        <v> min</v>
      </c>
      <c r="AA3443" s="5" t="str">
        <f>IFERROR(__xludf.DUMMYFUNCTION("IF(REGEXMATCH(Z3443, ""Season""), ""TV Show"", ""Movie"")"),"Movie")</f>
        <v>Movie</v>
      </c>
    </row>
    <row r="3444">
      <c r="A3444" s="1" t="s">
        <v>18886</v>
      </c>
      <c r="B3444" s="1" t="s">
        <v>27</v>
      </c>
      <c r="C3444" s="1" t="s">
        <v>18887</v>
      </c>
      <c r="E3444" s="1" t="s">
        <v>18888</v>
      </c>
      <c r="F3444" s="1" t="s">
        <v>30</v>
      </c>
      <c r="G3444" s="1" t="s">
        <v>18883</v>
      </c>
      <c r="H3444" s="1">
        <v>2019.0</v>
      </c>
      <c r="I3444" s="1" t="s">
        <v>289</v>
      </c>
      <c r="J3444" s="1" t="s">
        <v>3060</v>
      </c>
      <c r="K3444" s="1" t="s">
        <v>137</v>
      </c>
      <c r="L3444" s="1" t="s">
        <v>18889</v>
      </c>
      <c r="M3444" s="2" t="s">
        <v>12</v>
      </c>
      <c r="N3444" s="4">
        <f t="shared" si="1"/>
        <v>43746</v>
      </c>
      <c r="O3444" s="5" t="str">
        <f>IFERROR(__xludf.DUMMYFUNCTION("IF(REGEXMATCH(TRIM(I3444), ""^\d+\s*min""), ""Unclassified"", IF(I3444 = """", ""NR"", I3444))"),"TV-Y7")</f>
        <v>TV-Y7</v>
      </c>
      <c r="R3444" s="5" t="str">
        <f t="shared" si="2"/>
        <v>The Spooky Tale Of Captain Underpants Hack-A-Ween</v>
      </c>
      <c r="S3444" s="5" t="str">
        <f>IFERROR(__xludf.DUMMYFUNCTION("""COMPUTED_VALUE"""),"Irada Pakka")</f>
        <v>Irada Pakka</v>
      </c>
      <c r="U3444" s="5" t="str">
        <f>IFERROR(__xludf.DUMMYFUNCTION("""COMPUTED_VALUE"""),"Anders Sømme Hammer, Marius Arnesen, Klaus Erik Okstad, Olav Njaastad")</f>
        <v>Anders Sømme Hammer, Marius Arnesen, Klaus Erik Okstad, Olav Njaastad</v>
      </c>
      <c r="V3444" s="5" t="s">
        <v>17076</v>
      </c>
      <c r="W3444" s="5" t="str">
        <f t="shared" si="3"/>
        <v>Ravi Babu</v>
      </c>
      <c r="X3444" s="5">
        <f t="shared" si="4"/>
        <v>1</v>
      </c>
      <c r="Y3444" s="5" t="str">
        <f>IFERROR(__xludf.DUMMYFUNCTION("REGEXEXTRACT(J3444, ""^\d+"")"),"46")</f>
        <v>46</v>
      </c>
      <c r="Z3444" s="5" t="str">
        <f>IFERROR(__xludf.DUMMYFUNCTION("REGEXEXTRACT(J3444, ""[A-Za-z ]+$"")")," min")</f>
        <v> min</v>
      </c>
      <c r="AA3444" s="5" t="str">
        <f>IFERROR(__xludf.DUMMYFUNCTION("IF(REGEXMATCH(Z3444, ""Season""), ""TV Show"", ""Movie"")"),"Movie")</f>
        <v>Movie</v>
      </c>
    </row>
    <row r="3445">
      <c r="A3445" s="1" t="s">
        <v>18890</v>
      </c>
      <c r="B3445" s="1" t="s">
        <v>27</v>
      </c>
      <c r="C3445" s="1" t="s">
        <v>18891</v>
      </c>
      <c r="D3445" s="1" t="s">
        <v>1758</v>
      </c>
      <c r="E3445" s="1" t="s">
        <v>18892</v>
      </c>
      <c r="F3445" s="1" t="s">
        <v>2873</v>
      </c>
      <c r="G3445" s="1" t="s">
        <v>18893</v>
      </c>
      <c r="H3445" s="1">
        <v>2018.0</v>
      </c>
      <c r="I3445" s="1" t="s">
        <v>97</v>
      </c>
      <c r="J3445" s="1" t="s">
        <v>1091</v>
      </c>
      <c r="K3445" s="1" t="s">
        <v>679</v>
      </c>
      <c r="L3445" s="1" t="s">
        <v>18894</v>
      </c>
      <c r="M3445" s="2" t="s">
        <v>12</v>
      </c>
      <c r="N3445" s="4">
        <f t="shared" si="1"/>
        <v>43744</v>
      </c>
      <c r="O3445" s="5" t="str">
        <f>IFERROR(__xludf.DUMMYFUNCTION("IF(REGEXMATCH(TRIM(I3445), ""^\d+\s*min""), ""Unclassified"", IF(I3445 = """", ""NR"", I3445))"),"TV-14")</f>
        <v>TV-14</v>
      </c>
      <c r="R3445" s="5" t="str">
        <f t="shared" si="2"/>
        <v>Love For Sale</v>
      </c>
      <c r="S3445" s="5" t="str">
        <f>IFERROR(__xludf.DUMMYFUNCTION("""COMPUTED_VALUE"""),"Iris")</f>
        <v>Iris</v>
      </c>
      <c r="U3445" s="5" t="str">
        <f>IFERROR(__xludf.DUMMYFUNCTION("""COMPUTED_VALUE"""),"Michael Whitton")</f>
        <v>Michael Whitton</v>
      </c>
      <c r="V3445" s="5" t="s">
        <v>18895</v>
      </c>
      <c r="W3445" s="5" t="str">
        <f t="shared" si="3"/>
        <v>Ravi Udyawar</v>
      </c>
      <c r="X3445" s="5">
        <f t="shared" si="4"/>
        <v>1</v>
      </c>
      <c r="Y3445" s="5" t="str">
        <f>IFERROR(__xludf.DUMMYFUNCTION("REGEXEXTRACT(J3445, ""^\d+"")"),"101")</f>
        <v>101</v>
      </c>
      <c r="Z3445" s="5" t="str">
        <f>IFERROR(__xludf.DUMMYFUNCTION("REGEXEXTRACT(J3445, ""[A-Za-z ]+$"")")," min")</f>
        <v> min</v>
      </c>
      <c r="AA3445" s="5" t="str">
        <f>IFERROR(__xludf.DUMMYFUNCTION("IF(REGEXMATCH(Z3445, ""Season""), ""TV Show"", ""Movie"")"),"Movie")</f>
        <v>Movie</v>
      </c>
    </row>
    <row r="3446">
      <c r="A3446" s="1" t="s">
        <v>18896</v>
      </c>
      <c r="B3446" s="1" t="s">
        <v>37</v>
      </c>
      <c r="C3446" s="1" t="s">
        <v>18897</v>
      </c>
      <c r="E3446" s="1" t="s">
        <v>18898</v>
      </c>
      <c r="F3446" s="1" t="s">
        <v>162</v>
      </c>
      <c r="G3446" s="1" t="s">
        <v>18899</v>
      </c>
      <c r="H3446" s="1">
        <v>2019.0</v>
      </c>
      <c r="I3446" s="1" t="s">
        <v>289</v>
      </c>
      <c r="J3446" s="1" t="s">
        <v>51</v>
      </c>
      <c r="K3446" s="1" t="s">
        <v>18900</v>
      </c>
      <c r="L3446" s="1" t="s">
        <v>18901</v>
      </c>
      <c r="M3446" s="2" t="s">
        <v>12</v>
      </c>
      <c r="N3446" s="4">
        <f t="shared" si="1"/>
        <v>43743</v>
      </c>
      <c r="O3446" s="5" t="str">
        <f>IFERROR(__xludf.DUMMYFUNCTION("IF(REGEXMATCH(TRIM(I3446), ""^\d+\s*min""), ""Unclassified"", IF(I3446 = """", ""NR"", I3446))"),"TV-Y7")</f>
        <v>TV-Y7</v>
      </c>
      <c r="R3446" s="5" t="str">
        <f t="shared" si="2"/>
        <v>Legend Quest: Masters Of Myth</v>
      </c>
      <c r="S3446" s="5" t="str">
        <f>IFERROR(__xludf.DUMMYFUNCTION("""COMPUTED_VALUE"""),"Iron Cowboy: The Story Of The 50.50.50")</f>
        <v>Iron Cowboy: The Story Of The 50.50.50</v>
      </c>
      <c r="U3446" s="5" t="str">
        <f>IFERROR(__xludf.DUMMYFUNCTION("""COMPUTED_VALUE"""),"Joseph Mbah")</f>
        <v>Joseph Mbah</v>
      </c>
      <c r="V3446" s="5" t="s">
        <v>13260</v>
      </c>
      <c r="W3446" s="5" t="str">
        <f t="shared" si="3"/>
        <v>Ravikanth Perepu</v>
      </c>
      <c r="X3446" s="5">
        <f t="shared" si="4"/>
        <v>1</v>
      </c>
      <c r="Y3446" s="5" t="str">
        <f>IFERROR(__xludf.DUMMYFUNCTION("REGEXEXTRACT(J3446, ""^\d+"")"),"1")</f>
        <v>1</v>
      </c>
      <c r="Z3446" s="5" t="str">
        <f>IFERROR(__xludf.DUMMYFUNCTION("REGEXEXTRACT(J3446, ""[A-Za-z ]+$"")")," Season")</f>
        <v> Season</v>
      </c>
      <c r="AA3446" s="5" t="str">
        <f>IFERROR(__xludf.DUMMYFUNCTION("IF(REGEXMATCH(Z3446, ""Season""), ""TV Show"", ""Movie"")"),"TV Show")</f>
        <v>TV Show</v>
      </c>
    </row>
    <row r="3447">
      <c r="A3447" s="1" t="s">
        <v>18902</v>
      </c>
      <c r="B3447" s="1" t="s">
        <v>37</v>
      </c>
      <c r="C3447" s="1" t="s">
        <v>18903</v>
      </c>
      <c r="E3447" s="1" t="s">
        <v>18904</v>
      </c>
      <c r="F3447" s="1" t="s">
        <v>749</v>
      </c>
      <c r="G3447" s="1" t="s">
        <v>18899</v>
      </c>
      <c r="H3447" s="1">
        <v>2019.0</v>
      </c>
      <c r="I3447" s="1" t="s">
        <v>97</v>
      </c>
      <c r="J3447" s="1" t="s">
        <v>51</v>
      </c>
      <c r="K3447" s="1" t="s">
        <v>14196</v>
      </c>
      <c r="L3447" s="1" t="s">
        <v>18905</v>
      </c>
      <c r="M3447" s="2" t="s">
        <v>12</v>
      </c>
      <c r="N3447" s="4">
        <f t="shared" si="1"/>
        <v>43743</v>
      </c>
      <c r="O3447" s="5" t="str">
        <f>IFERROR(__xludf.DUMMYFUNCTION("IF(REGEXMATCH(TRIM(I3447), ""^\d+\s*min""), ""Unclassified"", IF(I3447 = """", ""NR"", I3447))"),"TV-14")</f>
        <v>TV-14</v>
      </c>
      <c r="R3447" s="5" t="str">
        <f t="shared" si="2"/>
        <v>My Country: The New Age</v>
      </c>
      <c r="S3447" s="5" t="str">
        <f>IFERROR(__xludf.DUMMYFUNCTION("""COMPUTED_VALUE"""),"Iron Fists And Kung-Fu Kicks")</f>
        <v>Iron Fists And Kung-Fu Kicks</v>
      </c>
      <c r="U3447" s="5" t="str">
        <f>IFERROR(__xludf.DUMMYFUNCTION("""COMPUTED_VALUE"""),"Benny Fine")</f>
        <v>Benny Fine</v>
      </c>
      <c r="V3447" s="5" t="s">
        <v>15395</v>
      </c>
      <c r="W3447" s="5" t="str">
        <f t="shared" si="3"/>
        <v>Ravishankar Venkateswaran</v>
      </c>
      <c r="X3447" s="5">
        <f t="shared" si="4"/>
        <v>1</v>
      </c>
      <c r="Y3447" s="5" t="str">
        <f>IFERROR(__xludf.DUMMYFUNCTION("REGEXEXTRACT(J3447, ""^\d+"")"),"1")</f>
        <v>1</v>
      </c>
      <c r="Z3447" s="5" t="str">
        <f>IFERROR(__xludf.DUMMYFUNCTION("REGEXEXTRACT(J3447, ""[A-Za-z ]+$"")")," Season")</f>
        <v> Season</v>
      </c>
      <c r="AA3447" s="5" t="str">
        <f>IFERROR(__xludf.DUMMYFUNCTION("IF(REGEXMATCH(Z3447, ""Season""), ""TV Show"", ""Movie"")"),"TV Show")</f>
        <v>TV Show</v>
      </c>
    </row>
    <row r="3448">
      <c r="A3448" s="1" t="s">
        <v>18906</v>
      </c>
      <c r="B3448" s="1" t="s">
        <v>27</v>
      </c>
      <c r="C3448" s="1" t="s">
        <v>18907</v>
      </c>
      <c r="D3448" s="1" t="s">
        <v>18908</v>
      </c>
      <c r="E3448" s="1" t="s">
        <v>18909</v>
      </c>
      <c r="F3448" s="1" t="s">
        <v>63</v>
      </c>
      <c r="G3448" s="1" t="s">
        <v>18899</v>
      </c>
      <c r="H3448" s="1">
        <v>2019.0</v>
      </c>
      <c r="I3448" s="1" t="s">
        <v>42</v>
      </c>
      <c r="J3448" s="1" t="s">
        <v>1065</v>
      </c>
      <c r="K3448" s="1" t="s">
        <v>89</v>
      </c>
      <c r="L3448" s="1" t="s">
        <v>18910</v>
      </c>
      <c r="M3448" s="2" t="s">
        <v>12</v>
      </c>
      <c r="N3448" s="4">
        <f t="shared" si="1"/>
        <v>43743</v>
      </c>
      <c r="O3448" s="5" t="str">
        <f>IFERROR(__xludf.DUMMYFUNCTION("IF(REGEXMATCH(TRIM(I3448), ""^\d+\s*min""), ""Unclassified"", IF(I3448 = """", ""NR"", I3448))"),"TV-MA")</f>
        <v>TV-MA</v>
      </c>
      <c r="R3448" s="5" t="str">
        <f t="shared" si="2"/>
        <v>Noblemen</v>
      </c>
      <c r="S3448" s="5" t="str">
        <f>IFERROR(__xludf.DUMMYFUNCTION("""COMPUTED_VALUE"""),"Iron Ladies")</f>
        <v>Iron Ladies</v>
      </c>
      <c r="U3448" s="5" t="str">
        <f>IFERROR(__xludf.DUMMYFUNCTION("""COMPUTED_VALUE"""),"Matt Toronto")</f>
        <v>Matt Toronto</v>
      </c>
      <c r="V3448" s="5" t="s">
        <v>5104</v>
      </c>
      <c r="W3448" s="5" t="str">
        <f t="shared" si="3"/>
        <v>Ray Jiang</v>
      </c>
      <c r="X3448" s="5">
        <f t="shared" si="4"/>
        <v>1</v>
      </c>
      <c r="Y3448" s="5" t="str">
        <f>IFERROR(__xludf.DUMMYFUNCTION("REGEXEXTRACT(J3448, ""^\d+"")"),"109")</f>
        <v>109</v>
      </c>
      <c r="Z3448" s="5" t="str">
        <f>IFERROR(__xludf.DUMMYFUNCTION("REGEXEXTRACT(J3448, ""[A-Za-z ]+$"")")," min")</f>
        <v> min</v>
      </c>
      <c r="AA3448" s="5" t="str">
        <f>IFERROR(__xludf.DUMMYFUNCTION("IF(REGEXMATCH(Z3448, ""Season""), ""TV Show"", ""Movie"")"),"Movie")</f>
        <v>Movie</v>
      </c>
    </row>
    <row r="3449">
      <c r="A3449" s="1" t="s">
        <v>18911</v>
      </c>
      <c r="B3449" s="1" t="s">
        <v>27</v>
      </c>
      <c r="C3449" s="1" t="s">
        <v>18912</v>
      </c>
      <c r="E3449" s="1" t="s">
        <v>18913</v>
      </c>
      <c r="F3449" s="1" t="s">
        <v>18914</v>
      </c>
      <c r="G3449" s="1" t="s">
        <v>18915</v>
      </c>
      <c r="H3449" s="1">
        <v>2016.0</v>
      </c>
      <c r="I3449" s="1" t="s">
        <v>97</v>
      </c>
      <c r="J3449" s="1" t="s">
        <v>433</v>
      </c>
      <c r="K3449" s="1" t="s">
        <v>34</v>
      </c>
      <c r="L3449" s="1" t="s">
        <v>18916</v>
      </c>
      <c r="M3449" s="2" t="s">
        <v>12</v>
      </c>
      <c r="N3449" s="4">
        <f t="shared" si="1"/>
        <v>43742</v>
      </c>
      <c r="O3449" s="5" t="str">
        <f>IFERROR(__xludf.DUMMYFUNCTION("IF(REGEXMATCH(TRIM(I3449), ""^\d+\s*min""), ""Unclassified"", IF(I3449 = """", ""NR"", I3449))"),"TV-14")</f>
        <v>TV-14</v>
      </c>
      <c r="R3449" s="5" t="str">
        <f t="shared" si="2"/>
        <v>A Plastic Ocean</v>
      </c>
      <c r="S3449" s="5" t="str">
        <f>IFERROR(__xludf.DUMMYFUNCTION("""COMPUTED_VALUE"""),"Iron Man &amp; Captain America: Heroes United")</f>
        <v>Iron Man &amp; Captain America: Heroes United</v>
      </c>
      <c r="U3449" s="5" t="str">
        <f>IFERROR(__xludf.DUMMYFUNCTION("""COMPUTED_VALUE"""),"Sedat Kirtan, Kubilay Sarikaya")</f>
        <v>Sedat Kirtan, Kubilay Sarikaya</v>
      </c>
      <c r="V3449" s="5" t="s">
        <v>18917</v>
      </c>
      <c r="W3449" s="5" t="str">
        <f t="shared" si="3"/>
        <v>Rayka Zehtabchi</v>
      </c>
      <c r="X3449" s="5">
        <f t="shared" si="4"/>
        <v>1</v>
      </c>
      <c r="Y3449" s="5" t="str">
        <f>IFERROR(__xludf.DUMMYFUNCTION("REGEXEXTRACT(J3449, ""^\d+"")"),"100")</f>
        <v>100</v>
      </c>
      <c r="Z3449" s="5" t="str">
        <f>IFERROR(__xludf.DUMMYFUNCTION("REGEXEXTRACT(J3449, ""[A-Za-z ]+$"")")," min")</f>
        <v> min</v>
      </c>
      <c r="AA3449" s="5" t="str">
        <f>IFERROR(__xludf.DUMMYFUNCTION("IF(REGEXMATCH(Z3449, ""Season""), ""TV Show"", ""Movie"")"),"Movie")</f>
        <v>Movie</v>
      </c>
    </row>
    <row r="3450">
      <c r="A3450" s="1" t="s">
        <v>18918</v>
      </c>
      <c r="B3450" s="1" t="s">
        <v>27</v>
      </c>
      <c r="C3450" s="1" t="s">
        <v>18919</v>
      </c>
      <c r="D3450" s="1" t="s">
        <v>17301</v>
      </c>
      <c r="E3450" s="1" t="s">
        <v>18920</v>
      </c>
      <c r="F3450" s="1" t="s">
        <v>188</v>
      </c>
      <c r="G3450" s="1" t="s">
        <v>18915</v>
      </c>
      <c r="H3450" s="1">
        <v>2019.0</v>
      </c>
      <c r="I3450" s="1" t="s">
        <v>42</v>
      </c>
      <c r="J3450" s="1" t="s">
        <v>297</v>
      </c>
      <c r="K3450" s="1" t="s">
        <v>215</v>
      </c>
      <c r="L3450" s="1" t="s">
        <v>18921</v>
      </c>
      <c r="M3450" s="2" t="s">
        <v>12</v>
      </c>
      <c r="N3450" s="4">
        <f t="shared" si="1"/>
        <v>43742</v>
      </c>
      <c r="O3450" s="5" t="str">
        <f>IFERROR(__xludf.DUMMYFUNCTION("IF(REGEXMATCH(TRIM(I3450), ""^\d+\s*min""), ""Unclassified"", IF(I3450 = """", ""NR"", I3450))"),"TV-MA")</f>
        <v>TV-MA</v>
      </c>
      <c r="R3450" s="5" t="str">
        <f t="shared" si="2"/>
        <v>Brother In Love</v>
      </c>
      <c r="S3450" s="5" t="str">
        <f>IFERROR(__xludf.DUMMYFUNCTION("""COMPUTED_VALUE"""),"Iron Man: Armored Adventures")</f>
        <v>Iron Man: Armored Adventures</v>
      </c>
      <c r="U3450" s="5" t="str">
        <f>IFERROR(__xludf.DUMMYFUNCTION("""COMPUTED_VALUE"""),"Keith L. Smith")</f>
        <v>Keith L. Smith</v>
      </c>
      <c r="V3450" s="5" t="s">
        <v>18294</v>
      </c>
      <c r="W3450" s="5" t="str">
        <f t="shared" si="3"/>
        <v>Raymie Muzquiz, Stu Livingston</v>
      </c>
      <c r="X3450" s="5">
        <f t="shared" si="4"/>
        <v>1</v>
      </c>
      <c r="Y3450" s="5" t="str">
        <f>IFERROR(__xludf.DUMMYFUNCTION("REGEXEXTRACT(J3450, ""^\d+"")"),"110")</f>
        <v>110</v>
      </c>
      <c r="Z3450" s="5" t="str">
        <f>IFERROR(__xludf.DUMMYFUNCTION("REGEXEXTRACT(J3450, ""[A-Za-z ]+$"")")," min")</f>
        <v> min</v>
      </c>
      <c r="AA3450" s="5" t="str">
        <f>IFERROR(__xludf.DUMMYFUNCTION("IF(REGEXMATCH(Z3450, ""Season""), ""TV Show"", ""Movie"")"),"Movie")</f>
        <v>Movie</v>
      </c>
    </row>
    <row r="3451">
      <c r="A3451" s="1" t="s">
        <v>18922</v>
      </c>
      <c r="B3451" s="1" t="s">
        <v>37</v>
      </c>
      <c r="C3451" s="1" t="s">
        <v>18923</v>
      </c>
      <c r="E3451" s="1" t="s">
        <v>18924</v>
      </c>
      <c r="F3451" s="1" t="s">
        <v>17746</v>
      </c>
      <c r="G3451" s="1" t="s">
        <v>18915</v>
      </c>
      <c r="H3451" s="1">
        <v>2019.0</v>
      </c>
      <c r="I3451" s="1" t="s">
        <v>136</v>
      </c>
      <c r="J3451" s="1" t="s">
        <v>43</v>
      </c>
      <c r="K3451" s="1" t="s">
        <v>18925</v>
      </c>
      <c r="L3451" s="1" t="s">
        <v>18926</v>
      </c>
      <c r="M3451" s="2" t="s">
        <v>12</v>
      </c>
      <c r="N3451" s="4">
        <f t="shared" si="1"/>
        <v>43742</v>
      </c>
      <c r="O3451" s="5" t="str">
        <f>IFERROR(__xludf.DUMMYFUNCTION("IF(REGEXMATCH(TRIM(I3451), ""^\d+\s*min""), ""Unclassified"", IF(I3451 = """", ""NR"", I3451))"),"TV-PG")</f>
        <v>TV-PG</v>
      </c>
      <c r="R3451" s="5" t="str">
        <f t="shared" si="2"/>
        <v>Creeped Out</v>
      </c>
      <c r="S3451" s="5" t="str">
        <f>IFERROR(__xludf.DUMMYFUNCTION("""COMPUTED_VALUE"""),"Iron Sky: The Coming Race")</f>
        <v>Iron Sky: The Coming Race</v>
      </c>
      <c r="U3451" s="5" t="str">
        <f>IFERROR(__xludf.DUMMYFUNCTION("""COMPUTED_VALUE"""),"Nagraj Manjule")</f>
        <v>Nagraj Manjule</v>
      </c>
      <c r="V3451" s="5" t="s">
        <v>18927</v>
      </c>
      <c r="W3451" s="5" t="str">
        <f t="shared" si="3"/>
        <v>Raymond Mcgrath</v>
      </c>
      <c r="X3451" s="5">
        <f t="shared" si="4"/>
        <v>1</v>
      </c>
      <c r="Y3451" s="5" t="str">
        <f>IFERROR(__xludf.DUMMYFUNCTION("REGEXEXTRACT(J3451, ""^\d+"")"),"2")</f>
        <v>2</v>
      </c>
      <c r="Z3451" s="5" t="str">
        <f>IFERROR(__xludf.DUMMYFUNCTION("REGEXEXTRACT(J3451, ""[A-Za-z ]+$"")")," Seasons")</f>
        <v> Seasons</v>
      </c>
      <c r="AA3451" s="5" t="str">
        <f>IFERROR(__xludf.DUMMYFUNCTION("IF(REGEXMATCH(Z3451, ""Season""), ""TV Show"", ""Movie"")"),"TV Show")</f>
        <v>TV Show</v>
      </c>
    </row>
    <row r="3452">
      <c r="A3452" s="1" t="s">
        <v>18928</v>
      </c>
      <c r="B3452" s="1" t="s">
        <v>27</v>
      </c>
      <c r="C3452" s="1" t="s">
        <v>18929</v>
      </c>
      <c r="D3452" s="1" t="s">
        <v>18930</v>
      </c>
      <c r="E3452" s="1" t="s">
        <v>18931</v>
      </c>
      <c r="F3452" s="1" t="s">
        <v>1979</v>
      </c>
      <c r="G3452" s="1" t="s">
        <v>18915</v>
      </c>
      <c r="H3452" s="1">
        <v>2019.0</v>
      </c>
      <c r="I3452" s="1" t="s">
        <v>42</v>
      </c>
      <c r="J3452" s="1" t="s">
        <v>447</v>
      </c>
      <c r="K3452" s="1" t="s">
        <v>3768</v>
      </c>
      <c r="L3452" s="1" t="s">
        <v>18932</v>
      </c>
      <c r="M3452" s="2" t="s">
        <v>12</v>
      </c>
      <c r="N3452" s="4">
        <f t="shared" si="1"/>
        <v>43742</v>
      </c>
      <c r="O3452" s="5" t="str">
        <f>IFERROR(__xludf.DUMMYFUNCTION("IF(REGEXMATCH(TRIM(I3452), ""^\d+\s*min""), ""Unclassified"", IF(I3452 = """", ""NR"", I3452))"),"TV-MA")</f>
        <v>TV-MA</v>
      </c>
      <c r="R3452" s="5" t="str">
        <f t="shared" si="2"/>
        <v>In The Tall Grass</v>
      </c>
      <c r="S3452" s="5" t="str">
        <f>IFERROR(__xludf.DUMMYFUNCTION("""COMPUTED_VALUE"""),"Irreplaceable You")</f>
        <v>Irreplaceable You</v>
      </c>
      <c r="U3452" s="5" t="str">
        <f>IFERROR(__xludf.DUMMYFUNCTION("""COMPUTED_VALUE"""),"Shadi Ali")</f>
        <v>Shadi Ali</v>
      </c>
      <c r="V3452" s="5" t="s">
        <v>18933</v>
      </c>
      <c r="W3452" s="5" t="str">
        <f t="shared" si="3"/>
        <v>Raymond Wood</v>
      </c>
      <c r="X3452" s="5">
        <f t="shared" si="4"/>
        <v>1</v>
      </c>
      <c r="Y3452" s="5" t="str">
        <f>IFERROR(__xludf.DUMMYFUNCTION("REGEXEXTRACT(J3452, ""^\d+"")"),"102")</f>
        <v>102</v>
      </c>
      <c r="Z3452" s="5" t="str">
        <f>IFERROR(__xludf.DUMMYFUNCTION("REGEXEXTRACT(J3452, ""[A-Za-z ]+$"")")," min")</f>
        <v> min</v>
      </c>
      <c r="AA3452" s="5" t="str">
        <f>IFERROR(__xludf.DUMMYFUNCTION("IF(REGEXMATCH(Z3452, ""Season""), ""TV Show"", ""Movie"")"),"Movie")</f>
        <v>Movie</v>
      </c>
    </row>
    <row r="3453">
      <c r="A3453" s="1" t="s">
        <v>18934</v>
      </c>
      <c r="B3453" s="1" t="s">
        <v>27</v>
      </c>
      <c r="C3453" s="1" t="s">
        <v>18935</v>
      </c>
      <c r="D3453" s="1" t="s">
        <v>18936</v>
      </c>
      <c r="E3453" s="1" t="s">
        <v>18937</v>
      </c>
      <c r="F3453" s="1" t="s">
        <v>188</v>
      </c>
      <c r="G3453" s="1" t="s">
        <v>18915</v>
      </c>
      <c r="H3453" s="1">
        <v>2019.0</v>
      </c>
      <c r="I3453" s="1" t="s">
        <v>136</v>
      </c>
      <c r="J3453" s="1" t="s">
        <v>447</v>
      </c>
      <c r="K3453" s="1" t="s">
        <v>137</v>
      </c>
      <c r="L3453" s="1" t="s">
        <v>18938</v>
      </c>
      <c r="M3453" s="2" t="s">
        <v>12</v>
      </c>
      <c r="N3453" s="4">
        <f t="shared" si="1"/>
        <v>43742</v>
      </c>
      <c r="O3453" s="5" t="str">
        <f>IFERROR(__xludf.DUMMYFUNCTION("IF(REGEXMATCH(TRIM(I3453), ""^\d+\s*min""), ""Unclassified"", IF(I3453 = """", ""NR"", I3453))"),"TV-PG")</f>
        <v>TV-PG</v>
      </c>
      <c r="R3453" s="5" t="str">
        <f t="shared" si="2"/>
        <v>Kids On The Block</v>
      </c>
      <c r="S3453" s="5" t="str">
        <f>IFERROR(__xludf.DUMMYFUNCTION("""COMPUTED_VALUE"""),"Irul")</f>
        <v>Irul</v>
      </c>
      <c r="U3453" s="5" t="str">
        <f>IFERROR(__xludf.DUMMYFUNCTION("""COMPUTED_VALUE"""),"Ian Barber")</f>
        <v>Ian Barber</v>
      </c>
      <c r="V3453" s="5" t="s">
        <v>18939</v>
      </c>
      <c r="W3453" s="5" t="str">
        <f t="shared" si="3"/>
        <v>Raz Degan</v>
      </c>
      <c r="X3453" s="5">
        <f t="shared" si="4"/>
        <v>1</v>
      </c>
      <c r="Y3453" s="5" t="str">
        <f>IFERROR(__xludf.DUMMYFUNCTION("REGEXEXTRACT(J3453, ""^\d+"")"),"102")</f>
        <v>102</v>
      </c>
      <c r="Z3453" s="5" t="str">
        <f>IFERROR(__xludf.DUMMYFUNCTION("REGEXEXTRACT(J3453, ""[A-Za-z ]+$"")")," min")</f>
        <v> min</v>
      </c>
      <c r="AA3453" s="5" t="str">
        <f>IFERROR(__xludf.DUMMYFUNCTION("IF(REGEXMATCH(Z3453, ""Season""), ""TV Show"", ""Movie"")"),"Movie")</f>
        <v>Movie</v>
      </c>
    </row>
    <row r="3454">
      <c r="A3454" s="1" t="s">
        <v>18940</v>
      </c>
      <c r="B3454" s="1" t="s">
        <v>37</v>
      </c>
      <c r="C3454" s="1" t="s">
        <v>18941</v>
      </c>
      <c r="E3454" s="1" t="s">
        <v>18942</v>
      </c>
      <c r="F3454" s="1" t="s">
        <v>96</v>
      </c>
      <c r="G3454" s="1" t="s">
        <v>18915</v>
      </c>
      <c r="H3454" s="1">
        <v>2019.0</v>
      </c>
      <c r="I3454" s="1" t="s">
        <v>42</v>
      </c>
      <c r="J3454" s="1" t="s">
        <v>189</v>
      </c>
      <c r="K3454" s="1" t="s">
        <v>3274</v>
      </c>
      <c r="L3454" s="1" t="s">
        <v>18943</v>
      </c>
      <c r="M3454" s="2" t="s">
        <v>12</v>
      </c>
      <c r="N3454" s="4">
        <f t="shared" si="1"/>
        <v>43742</v>
      </c>
      <c r="O3454" s="5" t="str">
        <f>IFERROR(__xludf.DUMMYFUNCTION("IF(REGEXMATCH(TRIM(I3454), ""^\d+\s*min""), ""Unclassified"", IF(I3454 = """", ""NR"", I3454))"),"TV-MA")</f>
        <v>TV-MA</v>
      </c>
      <c r="R3454" s="5" t="str">
        <f t="shared" si="2"/>
        <v>Peaky Blinders</v>
      </c>
      <c r="S3454" s="5" t="str">
        <f>IFERROR(__xludf.DUMMYFUNCTION("""COMPUTED_VALUE"""),"Is It Wrong To Try To Pick Up Girls In A Dungeon?")</f>
        <v>Is It Wrong To Try To Pick Up Girls In A Dungeon?</v>
      </c>
      <c r="U3454" s="5" t="str">
        <f>IFERROR(__xludf.DUMMYFUNCTION("""COMPUTED_VALUE"""),"Terry Gilliam")</f>
        <v>Terry Gilliam</v>
      </c>
      <c r="V3454" s="5" t="s">
        <v>18944</v>
      </c>
      <c r="W3454" s="5" t="str">
        <f t="shared" si="3"/>
        <v>Rebecca Addelman</v>
      </c>
      <c r="X3454" s="5">
        <f t="shared" si="4"/>
        <v>1</v>
      </c>
      <c r="Y3454" s="5" t="str">
        <f>IFERROR(__xludf.DUMMYFUNCTION("REGEXEXTRACT(J3454, ""^\d+"")"),"5")</f>
        <v>5</v>
      </c>
      <c r="Z3454" s="5" t="str">
        <f>IFERROR(__xludf.DUMMYFUNCTION("REGEXEXTRACT(J3454, ""[A-Za-z ]+$"")")," Seasons")</f>
        <v> Seasons</v>
      </c>
      <c r="AA3454" s="5" t="str">
        <f>IFERROR(__xludf.DUMMYFUNCTION("IF(REGEXMATCH(Z3454, ""Season""), ""TV Show"", ""Movie"")"),"TV Show")</f>
        <v>TV Show</v>
      </c>
    </row>
    <row r="3455">
      <c r="A3455" s="1" t="s">
        <v>18945</v>
      </c>
      <c r="B3455" s="1" t="s">
        <v>37</v>
      </c>
      <c r="C3455" s="1" t="s">
        <v>18946</v>
      </c>
      <c r="E3455" s="1" t="s">
        <v>18947</v>
      </c>
      <c r="F3455" s="1" t="s">
        <v>30</v>
      </c>
      <c r="G3455" s="1" t="s">
        <v>18915</v>
      </c>
      <c r="H3455" s="1">
        <v>2019.0</v>
      </c>
      <c r="I3455" s="1" t="s">
        <v>136</v>
      </c>
      <c r="J3455" s="1" t="s">
        <v>51</v>
      </c>
      <c r="K3455" s="1" t="s">
        <v>18948</v>
      </c>
      <c r="L3455" s="1" t="s">
        <v>18949</v>
      </c>
      <c r="M3455" s="2" t="s">
        <v>12</v>
      </c>
      <c r="N3455" s="4">
        <f t="shared" si="1"/>
        <v>43742</v>
      </c>
      <c r="O3455" s="5" t="str">
        <f>IFERROR(__xludf.DUMMYFUNCTION("IF(REGEXMATCH(TRIM(I3455), ""^\d+\s*min""), ""Unclassified"", IF(I3455 = """", ""NR"", I3455))"),"TV-PG")</f>
        <v>TV-PG</v>
      </c>
      <c r="R3455" s="5" t="str">
        <f t="shared" si="2"/>
        <v>Raising Dion</v>
      </c>
      <c r="S3455" s="5" t="str">
        <f>IFERROR(__xludf.DUMMYFUNCTION("""COMPUTED_VALUE"""),"Is Love Enough? Sir")</f>
        <v>Is Love Enough? Sir</v>
      </c>
      <c r="U3455" s="5" t="str">
        <f>IFERROR(__xludf.DUMMYFUNCTION("""COMPUTED_VALUE"""),"Norman Jewison")</f>
        <v>Norman Jewison</v>
      </c>
      <c r="V3455" s="5" t="s">
        <v>18950</v>
      </c>
      <c r="W3455" s="5" t="str">
        <f t="shared" si="3"/>
        <v>Rebecca Harrison</v>
      </c>
      <c r="X3455" s="5">
        <f t="shared" si="4"/>
        <v>1</v>
      </c>
      <c r="Y3455" s="5" t="str">
        <f>IFERROR(__xludf.DUMMYFUNCTION("REGEXEXTRACT(J3455, ""^\d+"")"),"1")</f>
        <v>1</v>
      </c>
      <c r="Z3455" s="5" t="str">
        <f>IFERROR(__xludf.DUMMYFUNCTION("REGEXEXTRACT(J3455, ""[A-Za-z ]+$"")")," Season")</f>
        <v> Season</v>
      </c>
      <c r="AA3455" s="5" t="str">
        <f>IFERROR(__xludf.DUMMYFUNCTION("IF(REGEXMATCH(Z3455, ""Season""), ""TV Show"", ""Movie"")"),"TV Show")</f>
        <v>TV Show</v>
      </c>
    </row>
    <row r="3456">
      <c r="A3456" s="1" t="s">
        <v>18951</v>
      </c>
      <c r="B3456" s="1" t="s">
        <v>37</v>
      </c>
      <c r="C3456" s="1" t="s">
        <v>18952</v>
      </c>
      <c r="F3456" s="1" t="s">
        <v>30</v>
      </c>
      <c r="G3456" s="1" t="s">
        <v>18915</v>
      </c>
      <c r="H3456" s="1">
        <v>2019.0</v>
      </c>
      <c r="I3456" s="1" t="s">
        <v>42</v>
      </c>
      <c r="J3456" s="1" t="s">
        <v>43</v>
      </c>
      <c r="K3456" s="1" t="s">
        <v>736</v>
      </c>
      <c r="L3456" s="1" t="s">
        <v>18953</v>
      </c>
      <c r="M3456" s="2" t="s">
        <v>12</v>
      </c>
      <c r="N3456" s="4">
        <f t="shared" si="1"/>
        <v>43742</v>
      </c>
      <c r="O3456" s="5" t="str">
        <f>IFERROR(__xludf.DUMMYFUNCTION("IF(REGEXMATCH(TRIM(I3456), ""^\d+\s*min""), ""Unclassified"", IF(I3456 = """", ""NR"", I3456))"),"TV-MA")</f>
        <v>TV-MA</v>
      </c>
      <c r="R3456" s="5" t="str">
        <f t="shared" si="2"/>
        <v>Rotten</v>
      </c>
      <c r="S3456" s="5" t="str">
        <f>IFERROR(__xludf.DUMMYFUNCTION("""COMPUTED_VALUE"""),"Isa Pa With Feelings")</f>
        <v>Isa Pa With Feelings</v>
      </c>
      <c r="U3456" s="5" t="str">
        <f>IFERROR(__xludf.DUMMYFUNCTION("""COMPUTED_VALUE"""),"Biyi Bandele")</f>
        <v>Biyi Bandele</v>
      </c>
      <c r="V3456" s="5" t="s">
        <v>14084</v>
      </c>
      <c r="W3456" s="5" t="str">
        <f t="shared" si="3"/>
        <v>Rebecca Johnson</v>
      </c>
      <c r="X3456" s="5">
        <f t="shared" si="4"/>
        <v>1</v>
      </c>
      <c r="Y3456" s="5" t="str">
        <f>IFERROR(__xludf.DUMMYFUNCTION("REGEXEXTRACT(J3456, ""^\d+"")"),"2")</f>
        <v>2</v>
      </c>
      <c r="Z3456" s="5" t="str">
        <f>IFERROR(__xludf.DUMMYFUNCTION("REGEXEXTRACT(J3456, ""[A-Za-z ]+$"")")," Seasons")</f>
        <v> Seasons</v>
      </c>
      <c r="AA3456" s="5" t="str">
        <f>IFERROR(__xludf.DUMMYFUNCTION("IF(REGEXMATCH(Z3456, ""Season""), ""TV Show"", ""Movie"")"),"TV Show")</f>
        <v>TV Show</v>
      </c>
    </row>
    <row r="3457">
      <c r="A3457" s="1" t="s">
        <v>18954</v>
      </c>
      <c r="B3457" s="1" t="s">
        <v>37</v>
      </c>
      <c r="C3457" s="1" t="s">
        <v>18955</v>
      </c>
      <c r="E3457" s="1" t="s">
        <v>18956</v>
      </c>
      <c r="G3457" s="1" t="s">
        <v>18915</v>
      </c>
      <c r="H3457" s="1">
        <v>2019.0</v>
      </c>
      <c r="I3457" s="1" t="s">
        <v>206</v>
      </c>
      <c r="J3457" s="1" t="s">
        <v>276</v>
      </c>
      <c r="K3457" s="1" t="s">
        <v>290</v>
      </c>
      <c r="L3457" s="1" t="s">
        <v>18957</v>
      </c>
      <c r="M3457" s="2" t="s">
        <v>12</v>
      </c>
      <c r="N3457" s="4">
        <f t="shared" si="1"/>
        <v>43742</v>
      </c>
      <c r="O3457" s="5" t="str">
        <f>IFERROR(__xludf.DUMMYFUNCTION("IF(REGEXMATCH(TRIM(I3457), ""^\d+\s*min""), ""Unclassified"", IF(I3457 = """", ""NR"", I3457))"),"TV-Y")</f>
        <v>TV-Y</v>
      </c>
      <c r="R3457" s="5" t="str">
        <f t="shared" si="2"/>
        <v>Super Monsters</v>
      </c>
      <c r="S3457" s="5" t="str">
        <f>IFERROR(__xludf.DUMMYFUNCTION("""COMPUTED_VALUE"""),"Ishq Vishk")</f>
        <v>Ishq Vishk</v>
      </c>
      <c r="U3457" s="5" t="str">
        <f>IFERROR(__xludf.DUMMYFUNCTION("""COMPUTED_VALUE"""),"Luke Jurevicius")</f>
        <v>Luke Jurevicius</v>
      </c>
      <c r="V3457" s="5" t="s">
        <v>12203</v>
      </c>
      <c r="W3457" s="5" t="str">
        <f t="shared" si="3"/>
        <v>Rebecca Zlotowski</v>
      </c>
      <c r="X3457" s="5">
        <f t="shared" si="4"/>
        <v>2</v>
      </c>
      <c r="Y3457" s="5" t="str">
        <f>IFERROR(__xludf.DUMMYFUNCTION("REGEXEXTRACT(J3457, ""^\d+"")"),"3")</f>
        <v>3</v>
      </c>
      <c r="Z3457" s="5" t="str">
        <f>IFERROR(__xludf.DUMMYFUNCTION("REGEXEXTRACT(J3457, ""[A-Za-z ]+$"")")," Seasons")</f>
        <v> Seasons</v>
      </c>
      <c r="AA3457" s="5" t="str">
        <f>IFERROR(__xludf.DUMMYFUNCTION("IF(REGEXMATCH(Z3457, ""Season""), ""TV Show"", ""Movie"")"),"TV Show")</f>
        <v>TV Show</v>
      </c>
    </row>
    <row r="3458">
      <c r="A3458" s="1" t="s">
        <v>18958</v>
      </c>
      <c r="B3458" s="1" t="s">
        <v>27</v>
      </c>
      <c r="C3458" s="1" t="s">
        <v>18959</v>
      </c>
      <c r="D3458" s="1" t="s">
        <v>9885</v>
      </c>
      <c r="E3458" s="1" t="s">
        <v>18960</v>
      </c>
      <c r="F3458" s="1" t="s">
        <v>30</v>
      </c>
      <c r="G3458" s="1" t="s">
        <v>18915</v>
      </c>
      <c r="H3458" s="1">
        <v>2019.0</v>
      </c>
      <c r="I3458" s="1" t="s">
        <v>206</v>
      </c>
      <c r="J3458" s="1" t="s">
        <v>7058</v>
      </c>
      <c r="K3458" s="1" t="s">
        <v>80</v>
      </c>
      <c r="L3458" s="1" t="s">
        <v>18961</v>
      </c>
      <c r="M3458" s="2" t="s">
        <v>12</v>
      </c>
      <c r="N3458" s="4">
        <f t="shared" si="1"/>
        <v>43742</v>
      </c>
      <c r="O3458" s="5" t="str">
        <f>IFERROR(__xludf.DUMMYFUNCTION("IF(REGEXMATCH(TRIM(I3458), ""^\d+\s*min""), ""Unclassified"", IF(I3458 = """", ""NR"", I3458))"),"TV-Y")</f>
        <v>TV-Y</v>
      </c>
      <c r="R3458" s="5" t="str">
        <f t="shared" si="2"/>
        <v>Super Monsters: Vida'S First Halloween</v>
      </c>
      <c r="S3458" s="5" t="str">
        <f>IFERROR(__xludf.DUMMYFUNCTION("""COMPUTED_VALUE"""),"Ishqedarriyaan")</f>
        <v>Ishqedarriyaan</v>
      </c>
      <c r="U3458" s="5" t="str">
        <f>IFERROR(__xludf.DUMMYFUNCTION("""COMPUTED_VALUE"""),"Ari Levinson")</f>
        <v>Ari Levinson</v>
      </c>
      <c r="V3458" s="5" t="s">
        <v>18962</v>
      </c>
      <c r="W3458" s="5" t="str">
        <f t="shared" si="3"/>
        <v>Reem Kherici</v>
      </c>
      <c r="X3458" s="5">
        <f t="shared" si="4"/>
        <v>1</v>
      </c>
      <c r="Y3458" s="5" t="str">
        <f>IFERROR(__xludf.DUMMYFUNCTION("REGEXEXTRACT(J3458, ""^\d+"")"),"24")</f>
        <v>24</v>
      </c>
      <c r="Z3458" s="5" t="str">
        <f>IFERROR(__xludf.DUMMYFUNCTION("REGEXEXTRACT(J3458, ""[A-Za-z ]+$"")")," min")</f>
        <v> min</v>
      </c>
      <c r="AA3458" s="5" t="str">
        <f>IFERROR(__xludf.DUMMYFUNCTION("IF(REGEXMATCH(Z3458, ""Season""), ""TV Show"", ""Movie"")"),"Movie")</f>
        <v>Movie</v>
      </c>
    </row>
    <row r="3459">
      <c r="A3459" s="1" t="s">
        <v>18963</v>
      </c>
      <c r="B3459" s="1" t="s">
        <v>37</v>
      </c>
      <c r="C3459" s="1" t="s">
        <v>18964</v>
      </c>
      <c r="E3459" s="1" t="s">
        <v>18965</v>
      </c>
      <c r="F3459" s="1" t="s">
        <v>30</v>
      </c>
      <c r="G3459" s="1" t="s">
        <v>18966</v>
      </c>
      <c r="H3459" s="1">
        <v>2019.0</v>
      </c>
      <c r="I3459" s="1" t="s">
        <v>42</v>
      </c>
      <c r="J3459" s="1" t="s">
        <v>51</v>
      </c>
      <c r="K3459" s="1" t="s">
        <v>18967</v>
      </c>
      <c r="L3459" s="1" t="s">
        <v>18968</v>
      </c>
      <c r="M3459" s="2" t="s">
        <v>12</v>
      </c>
      <c r="N3459" s="4">
        <f t="shared" si="1"/>
        <v>43741</v>
      </c>
      <c r="O3459" s="5" t="str">
        <f>IFERROR(__xludf.DUMMYFUNCTION("IF(REGEXMATCH(TRIM(I3459), ""^\d+\s*min""), ""Unclassified"", IF(I3459 = """", ""NR"", I3459))"),"TV-MA")</f>
        <v>TV-MA</v>
      </c>
      <c r="R3459" s="5" t="str">
        <f t="shared" si="2"/>
        <v>Seis Manos</v>
      </c>
      <c r="S3459" s="5" t="str">
        <f>IFERROR(__xludf.DUMMYFUNCTION("""COMPUTED_VALUE"""),"Ishqiya")</f>
        <v>Ishqiya</v>
      </c>
      <c r="U3459" s="5" t="str">
        <f>IFERROR(__xludf.DUMMYFUNCTION("""COMPUTED_VALUE"""),"Tony Zierra")</f>
        <v>Tony Zierra</v>
      </c>
      <c r="V3459" s="5" t="s">
        <v>17399</v>
      </c>
      <c r="W3459" s="5" t="str">
        <f t="shared" si="3"/>
        <v>Reema Kagti</v>
      </c>
      <c r="X3459" s="5">
        <f t="shared" si="4"/>
        <v>2</v>
      </c>
      <c r="Y3459" s="5" t="str">
        <f>IFERROR(__xludf.DUMMYFUNCTION("REGEXEXTRACT(J3459, ""^\d+"")"),"1")</f>
        <v>1</v>
      </c>
      <c r="Z3459" s="5" t="str">
        <f>IFERROR(__xludf.DUMMYFUNCTION("REGEXEXTRACT(J3459, ""[A-Za-z ]+$"")")," Season")</f>
        <v> Season</v>
      </c>
      <c r="AA3459" s="5" t="str">
        <f>IFERROR(__xludf.DUMMYFUNCTION("IF(REGEXMATCH(Z3459, ""Season""), ""TV Show"", ""Movie"")"),"TV Show")</f>
        <v>TV Show</v>
      </c>
    </row>
    <row r="3460">
      <c r="A3460" s="1" t="s">
        <v>18969</v>
      </c>
      <c r="B3460" s="1" t="s">
        <v>37</v>
      </c>
      <c r="C3460" s="1" t="s">
        <v>18970</v>
      </c>
      <c r="F3460" s="1" t="s">
        <v>30</v>
      </c>
      <c r="G3460" s="1" t="s">
        <v>18971</v>
      </c>
      <c r="H3460" s="1">
        <v>2019.0</v>
      </c>
      <c r="I3460" s="1" t="s">
        <v>42</v>
      </c>
      <c r="J3460" s="1" t="s">
        <v>51</v>
      </c>
      <c r="K3460" s="1" t="s">
        <v>1261</v>
      </c>
      <c r="L3460" s="1" t="s">
        <v>18972</v>
      </c>
      <c r="M3460" s="2" t="s">
        <v>12</v>
      </c>
      <c r="N3460" s="4">
        <f t="shared" si="1"/>
        <v>43740</v>
      </c>
      <c r="O3460" s="5" t="str">
        <f>IFERROR(__xludf.DUMMYFUNCTION("IF(REGEXMATCH(TRIM(I3460), ""^\d+\s*min""), ""Unclassified"", IF(I3460 = """", ""NR"", I3460))"),"TV-MA")</f>
        <v>TV-MA</v>
      </c>
      <c r="R3460" s="5" t="str">
        <f t="shared" si="2"/>
        <v>Living Undocumented</v>
      </c>
      <c r="S3460" s="5" t="str">
        <f>IFERROR(__xludf.DUMMYFUNCTION("""COMPUTED_VALUE"""),"Isi &amp; Ossi")</f>
        <v>Isi &amp; Ossi</v>
      </c>
      <c r="U3460" s="5" t="str">
        <f>IFERROR(__xludf.DUMMYFUNCTION("""COMPUTED_VALUE"""),"James Wong")</f>
        <v>James Wong</v>
      </c>
      <c r="V3460" s="5" t="s">
        <v>12450</v>
      </c>
      <c r="W3460" s="5" t="str">
        <f t="shared" si="3"/>
        <v>Regina Welker, Nina Wels</v>
      </c>
      <c r="X3460" s="5">
        <f t="shared" si="4"/>
        <v>1</v>
      </c>
      <c r="Y3460" s="5" t="str">
        <f>IFERROR(__xludf.DUMMYFUNCTION("REGEXEXTRACT(J3460, ""^\d+"")"),"1")</f>
        <v>1</v>
      </c>
      <c r="Z3460" s="5" t="str">
        <f>IFERROR(__xludf.DUMMYFUNCTION("REGEXEXTRACT(J3460, ""[A-Za-z ]+$"")")," Season")</f>
        <v> Season</v>
      </c>
      <c r="AA3460" s="5" t="str">
        <f>IFERROR(__xludf.DUMMYFUNCTION("IF(REGEXMATCH(Z3460, ""Season""), ""TV Show"", ""Movie"")"),"TV Show")</f>
        <v>TV Show</v>
      </c>
    </row>
    <row r="3461">
      <c r="A3461" s="1" t="s">
        <v>18973</v>
      </c>
      <c r="B3461" s="1" t="s">
        <v>27</v>
      </c>
      <c r="C3461" s="1" t="s">
        <v>18974</v>
      </c>
      <c r="D3461" s="1" t="s">
        <v>14081</v>
      </c>
      <c r="E3461" s="1" t="s">
        <v>18975</v>
      </c>
      <c r="F3461" s="1" t="s">
        <v>162</v>
      </c>
      <c r="G3461" s="1" t="s">
        <v>18971</v>
      </c>
      <c r="H3461" s="1">
        <v>2019.0</v>
      </c>
      <c r="I3461" s="1" t="s">
        <v>42</v>
      </c>
      <c r="J3461" s="1" t="s">
        <v>357</v>
      </c>
      <c r="K3461" s="1" t="s">
        <v>215</v>
      </c>
      <c r="L3461" s="1" t="s">
        <v>18976</v>
      </c>
      <c r="M3461" s="2" t="s">
        <v>12</v>
      </c>
      <c r="N3461" s="4">
        <f t="shared" si="1"/>
        <v>43740</v>
      </c>
      <c r="O3461" s="5" t="str">
        <f>IFERROR(__xludf.DUMMYFUNCTION("IF(REGEXMATCH(TRIM(I3461), ""^\d+\s*min""), ""Unclassified"", IF(I3461 = """", ""NR"", I3461))"),"TV-MA")</f>
        <v>TV-MA</v>
      </c>
      <c r="R3461" s="5" t="str">
        <f t="shared" si="2"/>
        <v>Ready To Mingle</v>
      </c>
      <c r="S3461" s="5" t="str">
        <f>IFERROR(__xludf.DUMMYFUNCTION("""COMPUTED_VALUE"""),"Islands Of Faith")</f>
        <v>Islands Of Faith</v>
      </c>
      <c r="U3461" s="5" t="str">
        <f>IFERROR(__xludf.DUMMYFUNCTION("""COMPUTED_VALUE"""),"David R. Ellis")</f>
        <v>David R. Ellis</v>
      </c>
      <c r="V3461" s="5" t="s">
        <v>1018</v>
      </c>
      <c r="W3461" s="5" t="str">
        <f t="shared" si="3"/>
        <v>Reginald Hudlin</v>
      </c>
      <c r="X3461" s="5">
        <f t="shared" si="4"/>
        <v>3</v>
      </c>
      <c r="Y3461" s="5" t="str">
        <f>IFERROR(__xludf.DUMMYFUNCTION("REGEXEXTRACT(J3461, ""^\d+"")"),"98")</f>
        <v>98</v>
      </c>
      <c r="Z3461" s="5" t="str">
        <f>IFERROR(__xludf.DUMMYFUNCTION("REGEXEXTRACT(J3461, ""[A-Za-z ]+$"")")," min")</f>
        <v> min</v>
      </c>
      <c r="AA3461" s="5" t="str">
        <f>IFERROR(__xludf.DUMMYFUNCTION("IF(REGEXMATCH(Z3461, ""Season""), ""TV Show"", ""Movie"")"),"Movie")</f>
        <v>Movie</v>
      </c>
    </row>
    <row r="3462">
      <c r="A3462" s="1" t="s">
        <v>18977</v>
      </c>
      <c r="B3462" s="1" t="s">
        <v>27</v>
      </c>
      <c r="C3462" s="1" t="s">
        <v>18978</v>
      </c>
      <c r="D3462" s="1" t="s">
        <v>1699</v>
      </c>
      <c r="F3462" s="1" t="s">
        <v>30</v>
      </c>
      <c r="G3462" s="1" t="s">
        <v>18971</v>
      </c>
      <c r="H3462" s="1">
        <v>2018.0</v>
      </c>
      <c r="I3462" s="1" t="s">
        <v>136</v>
      </c>
      <c r="J3462" s="1" t="s">
        <v>1171</v>
      </c>
      <c r="K3462" s="1" t="s">
        <v>34</v>
      </c>
      <c r="L3462" s="1" t="s">
        <v>18979</v>
      </c>
      <c r="M3462" s="2" t="s">
        <v>12</v>
      </c>
      <c r="N3462" s="4">
        <f t="shared" si="1"/>
        <v>43740</v>
      </c>
      <c r="O3462" s="5" t="str">
        <f>IFERROR(__xludf.DUMMYFUNCTION("IF(REGEXMATCH(TRIM(I3462), ""^\d+\s*min""), ""Unclassified"", IF(I3462 = """", ""NR"", I3462))"),"TV-PG")</f>
        <v>TV-PG</v>
      </c>
      <c r="R3462" s="5" t="str">
        <f t="shared" si="2"/>
        <v>Salam - The First ****** Nobel Laureate</v>
      </c>
      <c r="S3462" s="5" t="str">
        <f>IFERROR(__xludf.DUMMYFUNCTION("""COMPUTED_VALUE"""),"Islands Of The Future")</f>
        <v>Islands Of The Future</v>
      </c>
      <c r="U3462" s="5" t="str">
        <f>IFERROR(__xludf.DUMMYFUNCTION("""COMPUTED_VALUE"""),"Gianfranco Rosi")</f>
        <v>Gianfranco Rosi</v>
      </c>
      <c r="V3462" s="5" t="s">
        <v>18980</v>
      </c>
      <c r="W3462" s="5" t="str">
        <f t="shared" si="3"/>
        <v>Reiner Holzemer</v>
      </c>
      <c r="X3462" s="5">
        <f t="shared" si="4"/>
        <v>1</v>
      </c>
      <c r="Y3462" s="5" t="str">
        <f>IFERROR(__xludf.DUMMYFUNCTION("REGEXEXTRACT(J3462, ""^\d+"")"),"76")</f>
        <v>76</v>
      </c>
      <c r="Z3462" s="5" t="str">
        <f>IFERROR(__xludf.DUMMYFUNCTION("REGEXEXTRACT(J3462, ""[A-Za-z ]+$"")")," min")</f>
        <v> min</v>
      </c>
      <c r="AA3462" s="5" t="str">
        <f>IFERROR(__xludf.DUMMYFUNCTION("IF(REGEXMATCH(Z3462, ""Season""), ""TV Show"", ""Movie"")"),"Movie")</f>
        <v>Movie</v>
      </c>
    </row>
    <row r="3463">
      <c r="A3463" s="1" t="s">
        <v>18981</v>
      </c>
      <c r="B3463" s="1" t="s">
        <v>37</v>
      </c>
      <c r="C3463" s="1" t="s">
        <v>18982</v>
      </c>
      <c r="D3463" s="1" t="s">
        <v>18983</v>
      </c>
      <c r="E3463" s="1" t="s">
        <v>18984</v>
      </c>
      <c r="F3463" s="1" t="s">
        <v>749</v>
      </c>
      <c r="G3463" s="1" t="s">
        <v>18985</v>
      </c>
      <c r="H3463" s="1">
        <v>2016.0</v>
      </c>
      <c r="I3463" s="1" t="s">
        <v>97</v>
      </c>
      <c r="J3463" s="1" t="s">
        <v>51</v>
      </c>
      <c r="K3463" s="1" t="s">
        <v>7164</v>
      </c>
      <c r="L3463" s="1" t="s">
        <v>18986</v>
      </c>
      <c r="M3463" s="2" t="s">
        <v>12</v>
      </c>
      <c r="N3463" s="4">
        <f t="shared" si="1"/>
        <v>43739</v>
      </c>
      <c r="O3463" s="5" t="str">
        <f>IFERROR(__xludf.DUMMYFUNCTION("IF(REGEXMATCH(TRIM(I3463), ""^\d+\s*min""), ""Unclassified"", IF(I3463 = """", ""NR"", I3463))"),"TV-14")</f>
        <v>TV-14</v>
      </c>
      <c r="R3463" s="5" t="str">
        <f t="shared" si="2"/>
        <v>Cheese In The Trap</v>
      </c>
      <c r="S3463" s="5" t="str">
        <f>IFERROR(__xludf.DUMMYFUNCTION("""COMPUTED_VALUE"""),"Isoken")</f>
        <v>Isoken</v>
      </c>
      <c r="U3463" s="5" t="str">
        <f>IFERROR(__xludf.DUMMYFUNCTION("""COMPUTED_VALUE"""),"Sabal Singh Shekawat")</f>
        <v>Sabal Singh Shekawat</v>
      </c>
      <c r="V3463" s="5" t="s">
        <v>11541</v>
      </c>
      <c r="W3463" s="5" t="str">
        <f t="shared" si="3"/>
        <v>Reinhard Klooss</v>
      </c>
      <c r="X3463" s="5">
        <f t="shared" si="4"/>
        <v>1</v>
      </c>
      <c r="Y3463" s="5" t="str">
        <f>IFERROR(__xludf.DUMMYFUNCTION("REGEXEXTRACT(J3463, ""^\d+"")"),"1")</f>
        <v>1</v>
      </c>
      <c r="Z3463" s="5" t="str">
        <f>IFERROR(__xludf.DUMMYFUNCTION("REGEXEXTRACT(J3463, ""[A-Za-z ]+$"")")," Season")</f>
        <v> Season</v>
      </c>
      <c r="AA3463" s="5" t="str">
        <f>IFERROR(__xludf.DUMMYFUNCTION("IF(REGEXMATCH(Z3463, ""Season""), ""TV Show"", ""Movie"")"),"TV Show")</f>
        <v>TV Show</v>
      </c>
    </row>
    <row r="3464">
      <c r="A3464" s="1" t="s">
        <v>18987</v>
      </c>
      <c r="B3464" s="1" t="s">
        <v>37</v>
      </c>
      <c r="C3464" s="1" t="s">
        <v>18988</v>
      </c>
      <c r="E3464" s="1" t="s">
        <v>18989</v>
      </c>
      <c r="F3464" s="1" t="s">
        <v>749</v>
      </c>
      <c r="G3464" s="1" t="s">
        <v>18985</v>
      </c>
      <c r="H3464" s="1">
        <v>2017.0</v>
      </c>
      <c r="I3464" s="1" t="s">
        <v>97</v>
      </c>
      <c r="J3464" s="1" t="s">
        <v>51</v>
      </c>
      <c r="K3464" s="1" t="s">
        <v>7164</v>
      </c>
      <c r="L3464" s="1" t="s">
        <v>18990</v>
      </c>
      <c r="M3464" s="2" t="s">
        <v>12</v>
      </c>
      <c r="N3464" s="4">
        <f t="shared" si="1"/>
        <v>43739</v>
      </c>
      <c r="O3464" s="5" t="str">
        <f>IFERROR(__xludf.DUMMYFUNCTION("IF(REGEXMATCH(TRIM(I3464), ""^\d+\s*min""), ""Unclassified"", IF(I3464 = """", ""NR"", I3464))"),"TV-14")</f>
        <v>TV-14</v>
      </c>
      <c r="R3464" s="5" t="str">
        <f t="shared" si="2"/>
        <v>Chicago Typewriter</v>
      </c>
      <c r="S3464" s="5" t="str">
        <f>IFERROR(__xludf.DUMMYFUNCTION("""COMPUTED_VALUE"""),"Issaq")</f>
        <v>Issaq</v>
      </c>
      <c r="U3464" s="5" t="str">
        <f>IFERROR(__xludf.DUMMYFUNCTION("""COMPUTED_VALUE"""),"Arthur Muhammad")</f>
        <v>Arthur Muhammad</v>
      </c>
      <c r="V3464" s="5" t="s">
        <v>10280</v>
      </c>
      <c r="W3464" s="5" t="str">
        <f t="shared" si="3"/>
        <v>Remi Weekes</v>
      </c>
      <c r="X3464" s="5">
        <f t="shared" si="4"/>
        <v>1</v>
      </c>
      <c r="Y3464" s="5" t="str">
        <f>IFERROR(__xludf.DUMMYFUNCTION("REGEXEXTRACT(J3464, ""^\d+"")"),"1")</f>
        <v>1</v>
      </c>
      <c r="Z3464" s="5" t="str">
        <f>IFERROR(__xludf.DUMMYFUNCTION("REGEXEXTRACT(J3464, ""[A-Za-z ]+$"")")," Season")</f>
        <v> Season</v>
      </c>
      <c r="AA3464" s="5" t="str">
        <f>IFERROR(__xludf.DUMMYFUNCTION("IF(REGEXMATCH(Z3464, ""Season""), ""TV Show"", ""Movie"")"),"TV Show")</f>
        <v>TV Show</v>
      </c>
    </row>
    <row r="3465">
      <c r="A3465" s="1" t="s">
        <v>18991</v>
      </c>
      <c r="B3465" s="1" t="s">
        <v>37</v>
      </c>
      <c r="C3465" s="1" t="s">
        <v>18992</v>
      </c>
      <c r="E3465" s="1" t="s">
        <v>18993</v>
      </c>
      <c r="F3465" s="1" t="s">
        <v>63</v>
      </c>
      <c r="G3465" s="1" t="s">
        <v>18985</v>
      </c>
      <c r="H3465" s="1">
        <v>2018.0</v>
      </c>
      <c r="I3465" s="1" t="s">
        <v>42</v>
      </c>
      <c r="J3465" s="1" t="s">
        <v>51</v>
      </c>
      <c r="K3465" s="1" t="s">
        <v>64</v>
      </c>
      <c r="L3465" s="1" t="s">
        <v>18994</v>
      </c>
      <c r="M3465" s="2" t="s">
        <v>12</v>
      </c>
      <c r="N3465" s="4">
        <f t="shared" si="1"/>
        <v>43739</v>
      </c>
      <c r="O3465" s="5" t="str">
        <f>IFERROR(__xludf.DUMMYFUNCTION("IF(REGEXMATCH(TRIM(I3465), ""^\d+\s*min""), ""Unclassified"", IF(I3465 = """", ""NR"", I3465))"),"TV-MA")</f>
        <v>TV-MA</v>
      </c>
      <c r="R3465" s="5" t="str">
        <f t="shared" si="2"/>
        <v>College Romance</v>
      </c>
      <c r="S3465" s="5" t="str">
        <f>IFERROR(__xludf.DUMMYFUNCTION("""COMPUTED_VALUE"""),"İstanbul Kırmızısı")</f>
        <v>İstanbul Kırmızısı</v>
      </c>
      <c r="U3465" s="5" t="str">
        <f>IFERROR(__xludf.DUMMYFUNCTION("""COMPUTED_VALUE"""),"Nirpal Bhogal")</f>
        <v>Nirpal Bhogal</v>
      </c>
      <c r="V3465" s="5" t="s">
        <v>18995</v>
      </c>
      <c r="W3465" s="5" t="str">
        <f t="shared" si="3"/>
        <v>Remo D'Souza</v>
      </c>
      <c r="X3465" s="5">
        <f t="shared" si="4"/>
        <v>3</v>
      </c>
      <c r="Y3465" s="5" t="str">
        <f>IFERROR(__xludf.DUMMYFUNCTION("REGEXEXTRACT(J3465, ""^\d+"")"),"1")</f>
        <v>1</v>
      </c>
      <c r="Z3465" s="5" t="str">
        <f>IFERROR(__xludf.DUMMYFUNCTION("REGEXEXTRACT(J3465, ""[A-Za-z ]+$"")")," Season")</f>
        <v> Season</v>
      </c>
      <c r="AA3465" s="5" t="str">
        <f>IFERROR(__xludf.DUMMYFUNCTION("IF(REGEXMATCH(Z3465, ""Season""), ""TV Show"", ""Movie"")"),"TV Show")</f>
        <v>TV Show</v>
      </c>
    </row>
    <row r="3466">
      <c r="A3466" s="1" t="s">
        <v>18996</v>
      </c>
      <c r="B3466" s="1" t="s">
        <v>37</v>
      </c>
      <c r="C3466" s="1" t="s">
        <v>18997</v>
      </c>
      <c r="E3466" s="1" t="s">
        <v>18998</v>
      </c>
      <c r="F3466" s="1" t="s">
        <v>63</v>
      </c>
      <c r="G3466" s="1" t="s">
        <v>18985</v>
      </c>
      <c r="H3466" s="1">
        <v>2018.0</v>
      </c>
      <c r="I3466" s="1" t="s">
        <v>42</v>
      </c>
      <c r="J3466" s="1" t="s">
        <v>51</v>
      </c>
      <c r="K3466" s="1" t="s">
        <v>1294</v>
      </c>
      <c r="L3466" s="1" t="s">
        <v>18999</v>
      </c>
      <c r="M3466" s="2" t="s">
        <v>12</v>
      </c>
      <c r="N3466" s="4">
        <f t="shared" si="1"/>
        <v>43739</v>
      </c>
      <c r="O3466" s="5" t="str">
        <f>IFERROR(__xludf.DUMMYFUNCTION("IF(REGEXMATCH(TRIM(I3466), ""^\d+\s*min""), ""Unclassified"", IF(I3466 = """", ""NR"", I3466))"),"TV-MA")</f>
        <v>TV-MA</v>
      </c>
      <c r="R3466" s="5" t="str">
        <f t="shared" si="2"/>
        <v>Engineering Girls</v>
      </c>
      <c r="S3466" s="5" t="str">
        <f>IFERROR(__xludf.DUMMYFUNCTION("""COMPUTED_VALUE"""),"It Comes At Night")</f>
        <v>It Comes At Night</v>
      </c>
      <c r="U3466" s="5" t="str">
        <f>IFERROR(__xludf.DUMMYFUNCTION("""COMPUTED_VALUE"""),"Keith Malloy")</f>
        <v>Keith Malloy</v>
      </c>
      <c r="V3466" s="5" t="s">
        <v>19000</v>
      </c>
      <c r="W3466" s="5" t="str">
        <f t="shared" si="3"/>
        <v>Rémy Four, Julien War</v>
      </c>
      <c r="X3466" s="5">
        <f t="shared" si="4"/>
        <v>1</v>
      </c>
      <c r="Y3466" s="5" t="str">
        <f>IFERROR(__xludf.DUMMYFUNCTION("REGEXEXTRACT(J3466, ""^\d+"")"),"1")</f>
        <v>1</v>
      </c>
      <c r="Z3466" s="5" t="str">
        <f>IFERROR(__xludf.DUMMYFUNCTION("REGEXEXTRACT(J3466, ""[A-Za-z ]+$"")")," Season")</f>
        <v> Season</v>
      </c>
      <c r="AA3466" s="5" t="str">
        <f>IFERROR(__xludf.DUMMYFUNCTION("IF(REGEXMATCH(Z3466, ""Season""), ""TV Show"", ""Movie"")"),"TV Show")</f>
        <v>TV Show</v>
      </c>
    </row>
    <row r="3467">
      <c r="A3467" s="1" t="s">
        <v>19001</v>
      </c>
      <c r="B3467" s="1" t="s">
        <v>27</v>
      </c>
      <c r="C3467" s="1" t="s">
        <v>19002</v>
      </c>
      <c r="D3467" s="1" t="s">
        <v>19003</v>
      </c>
      <c r="E3467" s="1" t="s">
        <v>19004</v>
      </c>
      <c r="F3467" s="1" t="s">
        <v>4615</v>
      </c>
      <c r="G3467" s="1" t="s">
        <v>18985</v>
      </c>
      <c r="H3467" s="1">
        <v>2018.0</v>
      </c>
      <c r="I3467" s="1" t="s">
        <v>97</v>
      </c>
      <c r="J3467" s="1" t="s">
        <v>33</v>
      </c>
      <c r="K3467" s="1" t="s">
        <v>679</v>
      </c>
      <c r="L3467" s="1" t="s">
        <v>19005</v>
      </c>
      <c r="M3467" s="2" t="s">
        <v>12</v>
      </c>
      <c r="N3467" s="4">
        <f t="shared" si="1"/>
        <v>43739</v>
      </c>
      <c r="O3467" s="5" t="str">
        <f>IFERROR(__xludf.DUMMYFUNCTION("IF(REGEXMATCH(TRIM(I3467), ""^\d+\s*min""), ""Unclassified"", IF(I3467 = """", ""NR"", I3467))"),"TV-14")</f>
        <v>TV-14</v>
      </c>
      <c r="R3467" s="5" t="str">
        <f t="shared" si="2"/>
        <v>First Kiss</v>
      </c>
      <c r="S3467" s="5" t="str">
        <f>IFERROR(__xludf.DUMMYFUNCTION("""COMPUTED_VALUE"""),"It Takes A Lunatic")</f>
        <v>It Takes A Lunatic</v>
      </c>
      <c r="U3467" s="5" t="str">
        <f>IFERROR(__xludf.DUMMYFUNCTION("""COMPUTED_VALUE"""),"Andrew Renzi")</f>
        <v>Andrew Renzi</v>
      </c>
      <c r="V3467" s="5" t="s">
        <v>19006</v>
      </c>
      <c r="W3467" s="5" t="str">
        <f t="shared" si="3"/>
        <v>Remy Kohli</v>
      </c>
      <c r="X3467" s="5">
        <f t="shared" si="4"/>
        <v>1</v>
      </c>
      <c r="Y3467" s="5" t="str">
        <f>IFERROR(__xludf.DUMMYFUNCTION("REGEXEXTRACT(J3467, ""^\d+"")"),"90")</f>
        <v>90</v>
      </c>
      <c r="Z3467" s="5" t="str">
        <f>IFERROR(__xludf.DUMMYFUNCTION("REGEXEXTRACT(J3467, ""[A-Za-z ]+$"")")," min")</f>
        <v> min</v>
      </c>
      <c r="AA3467" s="5" t="str">
        <f>IFERROR(__xludf.DUMMYFUNCTION("IF(REGEXMATCH(Z3467, ""Season""), ""TV Show"", ""Movie"")"),"Movie")</f>
        <v>Movie</v>
      </c>
    </row>
    <row r="3468">
      <c r="A3468" s="1" t="s">
        <v>19007</v>
      </c>
      <c r="B3468" s="1" t="s">
        <v>37</v>
      </c>
      <c r="C3468" s="1" t="s">
        <v>19008</v>
      </c>
      <c r="E3468" s="1" t="s">
        <v>19009</v>
      </c>
      <c r="F3468" s="1" t="s">
        <v>63</v>
      </c>
      <c r="G3468" s="1" t="s">
        <v>18985</v>
      </c>
      <c r="H3468" s="1">
        <v>2018.0</v>
      </c>
      <c r="I3468" s="1" t="s">
        <v>42</v>
      </c>
      <c r="J3468" s="1" t="s">
        <v>51</v>
      </c>
      <c r="K3468" s="1" t="s">
        <v>1531</v>
      </c>
      <c r="L3468" s="1" t="s">
        <v>19010</v>
      </c>
      <c r="M3468" s="2" t="s">
        <v>12</v>
      </c>
      <c r="N3468" s="4">
        <f t="shared" si="1"/>
        <v>43739</v>
      </c>
      <c r="O3468" s="5" t="str">
        <f>IFERROR(__xludf.DUMMYFUNCTION("IF(REGEXMATCH(TRIM(I3468), ""^\d+\s*min""), ""Unclassified"", IF(I3468 = """", ""NR"", I3468))"),"TV-MA")</f>
        <v>TV-MA</v>
      </c>
      <c r="R3468" s="5" t="str">
        <f t="shared" si="2"/>
        <v>Girls Hostel</v>
      </c>
      <c r="S3468" s="5" t="str">
        <f>IFERROR(__xludf.DUMMYFUNCTION("""COMPUTED_VALUE"""),"It Takes A Man And A Woman")</f>
        <v>It Takes A Man And A Woman</v>
      </c>
      <c r="U3468" s="5" t="str">
        <f>IFERROR(__xludf.DUMMYFUNCTION("""COMPUTED_VALUE"""),"Gerry Blaksley")</f>
        <v>Gerry Blaksley</v>
      </c>
      <c r="V3468" s="5" t="s">
        <v>9904</v>
      </c>
      <c r="W3468" s="5" t="str">
        <f t="shared" si="3"/>
        <v>Renata Terra</v>
      </c>
      <c r="X3468" s="5">
        <f t="shared" si="4"/>
        <v>1</v>
      </c>
      <c r="Y3468" s="5" t="str">
        <f>IFERROR(__xludf.DUMMYFUNCTION("REGEXEXTRACT(J3468, ""^\d+"")"),"1")</f>
        <v>1</v>
      </c>
      <c r="Z3468" s="5" t="str">
        <f>IFERROR(__xludf.DUMMYFUNCTION("REGEXEXTRACT(J3468, ""[A-Za-z ]+$"")")," Season")</f>
        <v> Season</v>
      </c>
      <c r="AA3468" s="5" t="str">
        <f>IFERROR(__xludf.DUMMYFUNCTION("IF(REGEXMATCH(Z3468, ""Season""), ""TV Show"", ""Movie"")"),"TV Show")</f>
        <v>TV Show</v>
      </c>
    </row>
    <row r="3469">
      <c r="A3469" s="1" t="s">
        <v>19011</v>
      </c>
      <c r="B3469" s="1" t="s">
        <v>37</v>
      </c>
      <c r="C3469" s="1" t="s">
        <v>19012</v>
      </c>
      <c r="E3469" s="1" t="s">
        <v>19013</v>
      </c>
      <c r="F3469" s="1" t="s">
        <v>63</v>
      </c>
      <c r="G3469" s="1" t="s">
        <v>18985</v>
      </c>
      <c r="H3469" s="1">
        <v>2017.0</v>
      </c>
      <c r="I3469" s="1" t="s">
        <v>42</v>
      </c>
      <c r="J3469" s="1" t="s">
        <v>51</v>
      </c>
      <c r="K3469" s="1" t="s">
        <v>1294</v>
      </c>
      <c r="L3469" s="1" t="s">
        <v>19014</v>
      </c>
      <c r="M3469" s="2" t="s">
        <v>12</v>
      </c>
      <c r="N3469" s="4">
        <f t="shared" si="1"/>
        <v>43739</v>
      </c>
      <c r="O3469" s="5" t="str">
        <f>IFERROR(__xludf.DUMMYFUNCTION("IF(REGEXMATCH(TRIM(I3469), ""^\d+\s*min""), ""Unclassified"", IF(I3469 = """", ""NR"", I3469))"),"TV-MA")</f>
        <v>TV-MA</v>
      </c>
      <c r="R3469" s="5" t="str">
        <f t="shared" si="2"/>
        <v>Inmates</v>
      </c>
      <c r="S3469" s="5" t="str">
        <f>IFERROR(__xludf.DUMMYFUNCTION("""COMPUTED_VALUE"""),"It Takes Two")</f>
        <v>It Takes Two</v>
      </c>
      <c r="U3469" s="5" t="str">
        <f>IFERROR(__xludf.DUMMYFUNCTION("""COMPUTED_VALUE"""),"Cheh Chang")</f>
        <v>Cheh Chang</v>
      </c>
      <c r="V3469" s="5" t="s">
        <v>19015</v>
      </c>
      <c r="W3469" s="5" t="str">
        <f t="shared" si="3"/>
        <v>Renato De Maria</v>
      </c>
      <c r="X3469" s="5">
        <f t="shared" si="4"/>
        <v>1</v>
      </c>
      <c r="Y3469" s="5" t="str">
        <f>IFERROR(__xludf.DUMMYFUNCTION("REGEXEXTRACT(J3469, ""^\d+"")"),"1")</f>
        <v>1</v>
      </c>
      <c r="Z3469" s="5" t="str">
        <f>IFERROR(__xludf.DUMMYFUNCTION("REGEXEXTRACT(J3469, ""[A-Za-z ]+$"")")," Season")</f>
        <v> Season</v>
      </c>
      <c r="AA3469" s="5" t="str">
        <f>IFERROR(__xludf.DUMMYFUNCTION("IF(REGEXMATCH(Z3469, ""Season""), ""TV Show"", ""Movie"")"),"TV Show")</f>
        <v>TV Show</v>
      </c>
    </row>
    <row r="3470">
      <c r="A3470" s="1" t="s">
        <v>19016</v>
      </c>
      <c r="B3470" s="1" t="s">
        <v>27</v>
      </c>
      <c r="C3470" s="1" t="s">
        <v>19017</v>
      </c>
      <c r="D3470" s="1" t="s">
        <v>19018</v>
      </c>
      <c r="F3470" s="1" t="s">
        <v>63</v>
      </c>
      <c r="G3470" s="1" t="s">
        <v>18985</v>
      </c>
      <c r="H3470" s="1">
        <v>2017.0</v>
      </c>
      <c r="I3470" s="1" t="s">
        <v>136</v>
      </c>
      <c r="J3470" s="1" t="s">
        <v>1847</v>
      </c>
      <c r="K3470" s="1" t="s">
        <v>520</v>
      </c>
      <c r="L3470" s="1" t="s">
        <v>19019</v>
      </c>
      <c r="M3470" s="2" t="s">
        <v>12</v>
      </c>
      <c r="N3470" s="4">
        <f t="shared" si="1"/>
        <v>43739</v>
      </c>
      <c r="O3470" s="5" t="str">
        <f>IFERROR(__xludf.DUMMYFUNCTION("IF(REGEXMATCH(TRIM(I3470), ""^\d+\s*min""), ""Unclassified"", IF(I3470 = """", ""NR"", I3470))"),"TV-PG")</f>
        <v>TV-PG</v>
      </c>
      <c r="R3470" s="5" t="str">
        <f t="shared" si="2"/>
        <v>Limitless</v>
      </c>
      <c r="S3470" s="5" t="str">
        <f>IFERROR(__xludf.DUMMYFUNCTION("""COMPUTED_VALUE"""),"It'S Bruno!")</f>
        <v>It'S Bruno!</v>
      </c>
      <c r="U3470" s="5" t="str">
        <f>IFERROR(__xludf.DUMMYFUNCTION("""COMPUTED_VALUE"""),"Marc Abraham")</f>
        <v>Marc Abraham</v>
      </c>
      <c r="V3470" s="5" t="s">
        <v>19020</v>
      </c>
      <c r="W3470" s="5" t="str">
        <f t="shared" si="3"/>
        <v>Rene Bueno</v>
      </c>
      <c r="X3470" s="5">
        <f t="shared" si="4"/>
        <v>1</v>
      </c>
      <c r="Y3470" s="5" t="str">
        <f>IFERROR(__xludf.DUMMYFUNCTION("REGEXEXTRACT(J3470, ""^\d+"")"),"59")</f>
        <v>59</v>
      </c>
      <c r="Z3470" s="5" t="str">
        <f>IFERROR(__xludf.DUMMYFUNCTION("REGEXEXTRACT(J3470, ""[A-Za-z ]+$"")")," min")</f>
        <v> min</v>
      </c>
      <c r="AA3470" s="5" t="str">
        <f>IFERROR(__xludf.DUMMYFUNCTION("IF(REGEXMATCH(Z3470, ""Season""), ""TV Show"", ""Movie"")"),"Movie")</f>
        <v>Movie</v>
      </c>
    </row>
    <row r="3471">
      <c r="A3471" s="1" t="s">
        <v>19021</v>
      </c>
      <c r="B3471" s="1" t="s">
        <v>27</v>
      </c>
      <c r="C3471" s="1" t="s">
        <v>19022</v>
      </c>
      <c r="G3471" s="1" t="s">
        <v>18985</v>
      </c>
      <c r="H3471" s="1">
        <v>2019.0</v>
      </c>
      <c r="I3471" s="1" t="s">
        <v>206</v>
      </c>
      <c r="J3471" s="1" t="s">
        <v>4693</v>
      </c>
      <c r="K3471" s="1" t="s">
        <v>80</v>
      </c>
      <c r="L3471" s="1" t="s">
        <v>19023</v>
      </c>
      <c r="M3471" s="2" t="s">
        <v>12</v>
      </c>
      <c r="N3471" s="4">
        <f t="shared" si="1"/>
        <v>43739</v>
      </c>
      <c r="O3471" s="5" t="str">
        <f>IFERROR(__xludf.DUMMYFUNCTION("IF(REGEXMATCH(TRIM(I3471), ""^\d+\s*min""), ""Unclassified"", IF(I3471 = """", ""NR"", I3471))"),"TV-Y")</f>
        <v>TV-Y</v>
      </c>
      <c r="R3471" s="5" t="str">
        <f t="shared" si="2"/>
        <v>Little Baby Bum: Go Buster</v>
      </c>
      <c r="S3471" s="5" t="str">
        <f>IFERROR(__xludf.DUMMYFUNCTION("""COMPUTED_VALUE"""),"It'S Fine")</f>
        <v>It'S Fine</v>
      </c>
      <c r="U3471" s="5" t="str">
        <f>IFERROR(__xludf.DUMMYFUNCTION("""COMPUTED_VALUE"""),"Kang Cheng, Shan Hua")</f>
        <v>Kang Cheng, Shan Hua</v>
      </c>
      <c r="V3471" s="5" t="s">
        <v>19024</v>
      </c>
      <c r="W3471" s="5" t="str">
        <f t="shared" si="3"/>
        <v>Rene Liu</v>
      </c>
      <c r="X3471" s="5">
        <f t="shared" si="4"/>
        <v>1</v>
      </c>
      <c r="Y3471" s="5" t="str">
        <f>IFERROR(__xludf.DUMMYFUNCTION("REGEXEXTRACT(J3471, ""^\d+"")"),"58")</f>
        <v>58</v>
      </c>
      <c r="Z3471" s="5" t="str">
        <f>IFERROR(__xludf.DUMMYFUNCTION("REGEXEXTRACT(J3471, ""[A-Za-z ]+$"")")," min")</f>
        <v> min</v>
      </c>
      <c r="AA3471" s="5" t="str">
        <f>IFERROR(__xludf.DUMMYFUNCTION("IF(REGEXMATCH(Z3471, ""Season""), ""TV Show"", ""Movie"")"),"Movie")</f>
        <v>Movie</v>
      </c>
    </row>
    <row r="3472">
      <c r="A3472" s="1" t="s">
        <v>19025</v>
      </c>
      <c r="B3472" s="1" t="s">
        <v>37</v>
      </c>
      <c r="C3472" s="1" t="s">
        <v>19026</v>
      </c>
      <c r="F3472" s="1" t="s">
        <v>749</v>
      </c>
      <c r="G3472" s="1" t="s">
        <v>18985</v>
      </c>
      <c r="H3472" s="1">
        <v>2018.0</v>
      </c>
      <c r="I3472" s="1" t="s">
        <v>289</v>
      </c>
      <c r="J3472" s="1" t="s">
        <v>51</v>
      </c>
      <c r="K3472" s="1" t="s">
        <v>637</v>
      </c>
      <c r="L3472" s="1" t="s">
        <v>19027</v>
      </c>
      <c r="M3472" s="2" t="s">
        <v>12</v>
      </c>
      <c r="N3472" s="4">
        <f t="shared" si="1"/>
        <v>43739</v>
      </c>
      <c r="O3472" s="5" t="str">
        <f>IFERROR(__xludf.DUMMYFUNCTION("IF(REGEXMATCH(TRIM(I3472), ""^\d+\s*min""), ""Unclassified"", IF(I3472 = """", ""NR"", I3472))"),"TV-Y7")</f>
        <v>TV-Y7</v>
      </c>
      <c r="R3472" s="5" t="str">
        <f t="shared" si="2"/>
        <v>Miniforce X</v>
      </c>
      <c r="S3472" s="5" t="str">
        <f>IFERROR(__xludf.DUMMYFUNCTION("""COMPUTED_VALUE"""),"It'S Her Day")</f>
        <v>It'S Her Day</v>
      </c>
      <c r="U3472" s="5" t="str">
        <f>IFERROR(__xludf.DUMMYFUNCTION("""COMPUTED_VALUE"""),"Asri Bendacha")</f>
        <v>Asri Bendacha</v>
      </c>
      <c r="V3472" s="5" t="s">
        <v>19028</v>
      </c>
      <c r="W3472" s="5" t="str">
        <f t="shared" si="3"/>
        <v>René Pérez Joglar</v>
      </c>
      <c r="X3472" s="5">
        <f t="shared" si="4"/>
        <v>1</v>
      </c>
      <c r="Y3472" s="5" t="str">
        <f>IFERROR(__xludf.DUMMYFUNCTION("REGEXEXTRACT(J3472, ""^\d+"")"),"1")</f>
        <v>1</v>
      </c>
      <c r="Z3472" s="5" t="str">
        <f>IFERROR(__xludf.DUMMYFUNCTION("REGEXEXTRACT(J3472, ""[A-Za-z ]+$"")")," Season")</f>
        <v> Season</v>
      </c>
      <c r="AA3472" s="5" t="str">
        <f>IFERROR(__xludf.DUMMYFUNCTION("IF(REGEXMATCH(Z3472, ""Season""), ""TV Show"", ""Movie"")"),"TV Show")</f>
        <v>TV Show</v>
      </c>
    </row>
    <row r="3473">
      <c r="A3473" s="1" t="s">
        <v>19029</v>
      </c>
      <c r="B3473" s="1" t="s">
        <v>27</v>
      </c>
      <c r="C3473" s="1" t="s">
        <v>19030</v>
      </c>
      <c r="D3473" s="1" t="s">
        <v>16802</v>
      </c>
      <c r="E3473" s="1" t="s">
        <v>19031</v>
      </c>
      <c r="F3473" s="1" t="s">
        <v>30</v>
      </c>
      <c r="G3473" s="1" t="s">
        <v>18985</v>
      </c>
      <c r="H3473" s="1">
        <v>2019.0</v>
      </c>
      <c r="I3473" s="1" t="s">
        <v>42</v>
      </c>
      <c r="J3473" s="1" t="s">
        <v>1838</v>
      </c>
      <c r="K3473" s="1" t="s">
        <v>1839</v>
      </c>
      <c r="L3473" s="1" t="s">
        <v>19032</v>
      </c>
      <c r="M3473" s="2" t="s">
        <v>12</v>
      </c>
      <c r="N3473" s="4">
        <f t="shared" si="1"/>
        <v>43739</v>
      </c>
      <c r="O3473" s="5" t="str">
        <f>IFERROR(__xludf.DUMMYFUNCTION("IF(REGEXMATCH(TRIM(I3473), ""^\d+\s*min""), ""Unclassified"", IF(I3473 = """", ""NR"", I3473))"),"TV-MA")</f>
        <v>TV-MA</v>
      </c>
      <c r="R3473" s="5" t="str">
        <f t="shared" si="2"/>
        <v>Nikki Glaser: Bangin’</v>
      </c>
      <c r="S3473" s="5" t="str">
        <f>IFERROR(__xludf.DUMMYFUNCTION("""COMPUTED_VALUE"""),"It'S Now Or Never")</f>
        <v>It'S Now Or Never</v>
      </c>
      <c r="U3473" s="5" t="str">
        <f>IFERROR(__xludf.DUMMYFUNCTION("""COMPUTED_VALUE"""),"Juan Manuel Cotelo")</f>
        <v>Juan Manuel Cotelo</v>
      </c>
      <c r="V3473" s="5" t="s">
        <v>955</v>
      </c>
      <c r="W3473" s="5" t="str">
        <f t="shared" si="3"/>
        <v>Renny Harlin</v>
      </c>
      <c r="X3473" s="5">
        <f t="shared" si="4"/>
        <v>3</v>
      </c>
      <c r="Y3473" s="5" t="str">
        <f>IFERROR(__xludf.DUMMYFUNCTION("REGEXEXTRACT(J3473, ""^\d+"")"),"64")</f>
        <v>64</v>
      </c>
      <c r="Z3473" s="5" t="str">
        <f>IFERROR(__xludf.DUMMYFUNCTION("REGEXEXTRACT(J3473, ""[A-Za-z ]+$"")")," min")</f>
        <v> min</v>
      </c>
      <c r="AA3473" s="5" t="str">
        <f>IFERROR(__xludf.DUMMYFUNCTION("IF(REGEXMATCH(Z3473, ""Season""), ""TV Show"", ""Movie"")"),"Movie")</f>
        <v>Movie</v>
      </c>
    </row>
    <row r="3474">
      <c r="A3474" s="1" t="s">
        <v>19033</v>
      </c>
      <c r="B3474" s="1" t="s">
        <v>27</v>
      </c>
      <c r="C3474" s="1" t="s">
        <v>19034</v>
      </c>
      <c r="D3474" s="1" t="s">
        <v>19035</v>
      </c>
      <c r="E3474" s="1" t="s">
        <v>19036</v>
      </c>
      <c r="F3474" s="1" t="s">
        <v>911</v>
      </c>
      <c r="G3474" s="1" t="s">
        <v>18985</v>
      </c>
      <c r="H3474" s="1">
        <v>2000.0</v>
      </c>
      <c r="I3474" s="1" t="s">
        <v>770</v>
      </c>
      <c r="J3474" s="1" t="s">
        <v>6391</v>
      </c>
      <c r="K3474" s="1" t="s">
        <v>137</v>
      </c>
      <c r="L3474" s="1" t="s">
        <v>19037</v>
      </c>
      <c r="M3474" s="2" t="s">
        <v>12</v>
      </c>
      <c r="N3474" s="4">
        <f t="shared" si="1"/>
        <v>43739</v>
      </c>
      <c r="O3474" s="5" t="str">
        <f>IFERROR(__xludf.DUMMYFUNCTION("IF(REGEXMATCH(TRIM(I3474), ""^\d+\s*min""), ""Unclassified"", IF(I3474 = """", ""NR"", I3474))"),"G")</f>
        <v>G</v>
      </c>
      <c r="R3474" s="5" t="str">
        <f t="shared" si="2"/>
        <v>Rugrats In Paris: The Movie</v>
      </c>
      <c r="S3474" s="5" t="str">
        <f>IFERROR(__xludf.DUMMYFUNCTION("""COMPUTED_VALUE"""),"It'S Okay To Not Be Okay")</f>
        <v>It'S Okay To Not Be Okay</v>
      </c>
      <c r="U3474" s="5" t="str">
        <f>IFERROR(__xludf.DUMMYFUNCTION("""COMPUTED_VALUE"""),"Mark Helenowski, Kevin Pang")</f>
        <v>Mark Helenowski, Kevin Pang</v>
      </c>
      <c r="V3474" s="5" t="s">
        <v>8299</v>
      </c>
      <c r="W3474" s="5" t="str">
        <f t="shared" si="3"/>
        <v>Renuka Shahane</v>
      </c>
      <c r="X3474" s="5">
        <f t="shared" si="4"/>
        <v>1</v>
      </c>
      <c r="Y3474" s="5" t="str">
        <f>IFERROR(__xludf.DUMMYFUNCTION("REGEXEXTRACT(J3474, ""^\d+"")"),"79")</f>
        <v>79</v>
      </c>
      <c r="Z3474" s="5" t="str">
        <f>IFERROR(__xludf.DUMMYFUNCTION("REGEXEXTRACT(J3474, ""[A-Za-z ]+$"")")," min")</f>
        <v> min</v>
      </c>
      <c r="AA3474" s="5" t="str">
        <f>IFERROR(__xludf.DUMMYFUNCTION("IF(REGEXMATCH(Z3474, ""Season""), ""TV Show"", ""Movie"")"),"Movie")</f>
        <v>Movie</v>
      </c>
    </row>
    <row r="3475">
      <c r="A3475" s="1" t="s">
        <v>19038</v>
      </c>
      <c r="B3475" s="1" t="s">
        <v>37</v>
      </c>
      <c r="C3475" s="1" t="s">
        <v>19039</v>
      </c>
      <c r="E3475" s="1" t="s">
        <v>19040</v>
      </c>
      <c r="F3475" s="1" t="s">
        <v>749</v>
      </c>
      <c r="G3475" s="1" t="s">
        <v>18985</v>
      </c>
      <c r="H3475" s="1">
        <v>2016.0</v>
      </c>
      <c r="I3475" s="1" t="s">
        <v>97</v>
      </c>
      <c r="J3475" s="1" t="s">
        <v>51</v>
      </c>
      <c r="K3475" s="1" t="s">
        <v>7164</v>
      </c>
      <c r="L3475" s="1" t="s">
        <v>19041</v>
      </c>
      <c r="M3475" s="2" t="s">
        <v>12</v>
      </c>
      <c r="N3475" s="4">
        <f t="shared" si="1"/>
        <v>43739</v>
      </c>
      <c r="O3475" s="5" t="str">
        <f>IFERROR(__xludf.DUMMYFUNCTION("IF(REGEXMATCH(TRIM(I3475), ""^\d+\s*min""), ""Unclassified"", IF(I3475 = """", ""NR"", I3475))"),"TV-14")</f>
        <v>TV-14</v>
      </c>
      <c r="R3475" s="5" t="str">
        <f t="shared" si="2"/>
        <v>The K2</v>
      </c>
      <c r="S3475" s="5" t="str">
        <f>IFERROR(__xludf.DUMMYFUNCTION("""COMPUTED_VALUE"""),"It'S Okay, Buddy")</f>
        <v>It'S Okay, Buddy</v>
      </c>
      <c r="U3475" s="5" t="str">
        <f>IFERROR(__xludf.DUMMYFUNCTION("""COMPUTED_VALUE"""),"Dean Wright")</f>
        <v>Dean Wright</v>
      </c>
      <c r="V3475" s="5" t="s">
        <v>15379</v>
      </c>
      <c r="W3475" s="5" t="str">
        <f t="shared" si="3"/>
        <v>Renzil D'Silva</v>
      </c>
      <c r="X3475" s="5">
        <f t="shared" si="4"/>
        <v>2</v>
      </c>
      <c r="Y3475" s="5" t="str">
        <f>IFERROR(__xludf.DUMMYFUNCTION("REGEXEXTRACT(J3475, ""^\d+"")"),"1")</f>
        <v>1</v>
      </c>
      <c r="Z3475" s="5" t="str">
        <f>IFERROR(__xludf.DUMMYFUNCTION("REGEXEXTRACT(J3475, ""[A-Za-z ]+$"")")," Season")</f>
        <v> Season</v>
      </c>
      <c r="AA3475" s="5" t="str">
        <f>IFERROR(__xludf.DUMMYFUNCTION("IF(REGEXMATCH(Z3475, ""Season""), ""TV Show"", ""Movie"")"),"TV Show")</f>
        <v>TV Show</v>
      </c>
    </row>
    <row r="3476">
      <c r="A3476" s="1" t="s">
        <v>19042</v>
      </c>
      <c r="B3476" s="1" t="s">
        <v>37</v>
      </c>
      <c r="C3476" s="1" t="s">
        <v>19043</v>
      </c>
      <c r="E3476" s="1" t="s">
        <v>19044</v>
      </c>
      <c r="F3476" s="1" t="s">
        <v>749</v>
      </c>
      <c r="G3476" s="1" t="s">
        <v>18985</v>
      </c>
      <c r="H3476" s="1">
        <v>2017.0</v>
      </c>
      <c r="I3476" s="1" t="s">
        <v>136</v>
      </c>
      <c r="J3476" s="1" t="s">
        <v>51</v>
      </c>
      <c r="K3476" s="1" t="s">
        <v>7164</v>
      </c>
      <c r="L3476" s="1" t="s">
        <v>19045</v>
      </c>
      <c r="M3476" s="2" t="s">
        <v>12</v>
      </c>
      <c r="N3476" s="4">
        <f t="shared" si="1"/>
        <v>43739</v>
      </c>
      <c r="O3476" s="5" t="str">
        <f>IFERROR(__xludf.DUMMYFUNCTION("IF(REGEXMATCH(TRIM(I3476), ""^\d+\s*min""), ""Unclassified"", IF(I3476 = """", ""NR"", I3476))"),"TV-PG")</f>
        <v>TV-PG</v>
      </c>
      <c r="R3476" s="5" t="str">
        <f t="shared" si="2"/>
        <v>The Liar And His Lover</v>
      </c>
      <c r="S3476" s="5" t="str">
        <f>IFERROR(__xludf.DUMMYFUNCTION("""COMPUTED_VALUE"""),"Itaewon Class")</f>
        <v>Itaewon Class</v>
      </c>
      <c r="U3476" s="5" t="str">
        <f>IFERROR(__xludf.DUMMYFUNCTION("""COMPUTED_VALUE"""),"Mark Murphy")</f>
        <v>Mark Murphy</v>
      </c>
      <c r="V3476" s="5" t="s">
        <v>19046</v>
      </c>
      <c r="W3476" s="5" t="str">
        <f t="shared" si="3"/>
        <v>Rhiannon Bannenberg</v>
      </c>
      <c r="X3476" s="5">
        <f t="shared" si="4"/>
        <v>1</v>
      </c>
      <c r="Y3476" s="5" t="str">
        <f>IFERROR(__xludf.DUMMYFUNCTION("REGEXEXTRACT(J3476, ""^\d+"")"),"1")</f>
        <v>1</v>
      </c>
      <c r="Z3476" s="5" t="str">
        <f>IFERROR(__xludf.DUMMYFUNCTION("REGEXEXTRACT(J3476, ""[A-Za-z ]+$"")")," Season")</f>
        <v> Season</v>
      </c>
      <c r="AA3476" s="5" t="str">
        <f>IFERROR(__xludf.DUMMYFUNCTION("IF(REGEXMATCH(Z3476, ""Season""), ""TV Show"", ""Movie"")"),"TV Show")</f>
        <v>TV Show</v>
      </c>
    </row>
    <row r="3477">
      <c r="A3477" s="1" t="s">
        <v>19047</v>
      </c>
      <c r="B3477" s="1" t="s">
        <v>27</v>
      </c>
      <c r="C3477" s="1" t="s">
        <v>19048</v>
      </c>
      <c r="D3477" s="1" t="s">
        <v>9587</v>
      </c>
      <c r="E3477" s="1" t="s">
        <v>19049</v>
      </c>
      <c r="F3477" s="1" t="s">
        <v>30</v>
      </c>
      <c r="G3477" s="1" t="s">
        <v>18985</v>
      </c>
      <c r="H3477" s="1">
        <v>1998.0</v>
      </c>
      <c r="I3477" s="1" t="s">
        <v>770</v>
      </c>
      <c r="J3477" s="1" t="s">
        <v>2452</v>
      </c>
      <c r="K3477" s="1" t="s">
        <v>137</v>
      </c>
      <c r="L3477" s="1" t="s">
        <v>19050</v>
      </c>
      <c r="M3477" s="2" t="s">
        <v>12</v>
      </c>
      <c r="N3477" s="4">
        <f t="shared" si="1"/>
        <v>43739</v>
      </c>
      <c r="O3477" s="5" t="str">
        <f>IFERROR(__xludf.DUMMYFUNCTION("IF(REGEXMATCH(TRIM(I3477), ""^\d+\s*min""), ""Unclassified"", IF(I3477 = """", ""NR"", I3477))"),"G")</f>
        <v>G</v>
      </c>
      <c r="R3477" s="5" t="str">
        <f t="shared" si="2"/>
        <v>The Rugrats Movie</v>
      </c>
      <c r="S3477" s="5" t="str">
        <f>IFERROR(__xludf.DUMMYFUNCTION("""COMPUTED_VALUE"""),"Ittefaq")</f>
        <v>Ittefaq</v>
      </c>
      <c r="U3477" s="5" t="str">
        <f>IFERROR(__xludf.DUMMYFUNCTION("""COMPUTED_VALUE"""),"Richard Miron")</f>
        <v>Richard Miron</v>
      </c>
      <c r="V3477" s="5" t="s">
        <v>17226</v>
      </c>
      <c r="W3477" s="5" t="str">
        <f t="shared" si="3"/>
        <v>Rhys Thomas</v>
      </c>
      <c r="X3477" s="5">
        <f t="shared" si="4"/>
        <v>2</v>
      </c>
      <c r="Y3477" s="5" t="str">
        <f>IFERROR(__xludf.DUMMYFUNCTION("REGEXEXTRACT(J3477, ""^\d+"")"),"81")</f>
        <v>81</v>
      </c>
      <c r="Z3477" s="5" t="str">
        <f>IFERROR(__xludf.DUMMYFUNCTION("REGEXEXTRACT(J3477, ""[A-Za-z ]+$"")")," min")</f>
        <v> min</v>
      </c>
      <c r="AA3477" s="5" t="str">
        <f>IFERROR(__xludf.DUMMYFUNCTION("IF(REGEXMATCH(Z3477, ""Season""), ""TV Show"", ""Movie"")"),"Movie")</f>
        <v>Movie</v>
      </c>
    </row>
    <row r="3478">
      <c r="A3478" s="1" t="s">
        <v>19051</v>
      </c>
      <c r="B3478" s="1" t="s">
        <v>27</v>
      </c>
      <c r="C3478" s="1" t="s">
        <v>19052</v>
      </c>
      <c r="D3478" s="1" t="s">
        <v>16989</v>
      </c>
      <c r="E3478" s="1" t="s">
        <v>19053</v>
      </c>
      <c r="F3478" s="1" t="s">
        <v>30</v>
      </c>
      <c r="G3478" s="1" t="s">
        <v>18985</v>
      </c>
      <c r="H3478" s="1">
        <v>2005.0</v>
      </c>
      <c r="I3478" s="1" t="s">
        <v>378</v>
      </c>
      <c r="J3478" s="1" t="s">
        <v>2452</v>
      </c>
      <c r="K3478" s="1" t="s">
        <v>836</v>
      </c>
      <c r="L3478" s="1" t="s">
        <v>19054</v>
      </c>
      <c r="M3478" s="2" t="s">
        <v>12</v>
      </c>
      <c r="N3478" s="4">
        <f t="shared" si="1"/>
        <v>43739</v>
      </c>
      <c r="O3478" s="5" t="str">
        <f>IFERROR(__xludf.DUMMYFUNCTION("IF(REGEXMATCH(TRIM(I3478), ""^\d+\s*min""), ""Unclassified"", IF(I3478 = """", ""NR"", I3478))"),"R")</f>
        <v>R</v>
      </c>
      <c r="R3478" s="5" t="str">
        <f t="shared" si="2"/>
        <v>The Squid And The Whale</v>
      </c>
      <c r="S3478" s="5" t="str">
        <f>IFERROR(__xludf.DUMMYFUNCTION("""COMPUTED_VALUE"""),"Iverson")</f>
        <v>Iverson</v>
      </c>
      <c r="U3478" s="5" t="str">
        <f>IFERROR(__xludf.DUMMYFUNCTION("""COMPUTED_VALUE"""),"Jon Carey, Adam Darke")</f>
        <v>Jon Carey, Adam Darke</v>
      </c>
      <c r="V3478" s="5" t="s">
        <v>19055</v>
      </c>
      <c r="W3478" s="5" t="str">
        <f t="shared" si="3"/>
        <v>Rian Johnson</v>
      </c>
      <c r="X3478" s="5">
        <f t="shared" si="4"/>
        <v>2</v>
      </c>
      <c r="Y3478" s="5" t="str">
        <f>IFERROR(__xludf.DUMMYFUNCTION("REGEXEXTRACT(J3478, ""^\d+"")"),"81")</f>
        <v>81</v>
      </c>
      <c r="Z3478" s="5" t="str">
        <f>IFERROR(__xludf.DUMMYFUNCTION("REGEXEXTRACT(J3478, ""[A-Za-z ]+$"")")," min")</f>
        <v> min</v>
      </c>
      <c r="AA3478" s="5" t="str">
        <f>IFERROR(__xludf.DUMMYFUNCTION("IF(REGEXMATCH(Z3478, ""Season""), ""TV Show"", ""Movie"")"),"Movie")</f>
        <v>Movie</v>
      </c>
    </row>
    <row r="3479">
      <c r="A3479" s="1" t="s">
        <v>19056</v>
      </c>
      <c r="B3479" s="1" t="s">
        <v>37</v>
      </c>
      <c r="C3479" s="1" t="s">
        <v>19057</v>
      </c>
      <c r="D3479" s="1" t="s">
        <v>5687</v>
      </c>
      <c r="E3479" s="1" t="s">
        <v>19058</v>
      </c>
      <c r="F3479" s="1" t="s">
        <v>30</v>
      </c>
      <c r="G3479" s="1" t="s">
        <v>19059</v>
      </c>
      <c r="H3479" s="1">
        <v>2019.0</v>
      </c>
      <c r="I3479" s="1" t="s">
        <v>42</v>
      </c>
      <c r="J3479" s="1" t="s">
        <v>189</v>
      </c>
      <c r="K3479" s="1" t="s">
        <v>13666</v>
      </c>
      <c r="L3479" s="1" t="s">
        <v>19060</v>
      </c>
      <c r="M3479" s="2" t="s">
        <v>12</v>
      </c>
      <c r="N3479" s="4">
        <f t="shared" si="1"/>
        <v>43738</v>
      </c>
      <c r="O3479" s="5" t="str">
        <f>IFERROR(__xludf.DUMMYFUNCTION("IF(REGEXMATCH(TRIM(I3479), ""^\d+\s*min""), ""Unclassified"", IF(I3479 = """", ""NR"", I3479))"),"TV-MA")</f>
        <v>TV-MA</v>
      </c>
      <c r="R3479" s="5" t="str">
        <f t="shared" si="2"/>
        <v>Gotham</v>
      </c>
      <c r="S3479" s="5" t="str">
        <f>IFERROR(__xludf.DUMMYFUNCTION("""COMPUTED_VALUE"""),"Iyore")</f>
        <v>Iyore</v>
      </c>
      <c r="U3479" s="5" t="str">
        <f>IFERROR(__xludf.DUMMYFUNCTION("""COMPUTED_VALUE"""),"Fred M. Wilcox")</f>
        <v>Fred M. Wilcox</v>
      </c>
      <c r="V3479" s="5" t="s">
        <v>7480</v>
      </c>
      <c r="W3479" s="5" t="str">
        <f t="shared" si="3"/>
        <v>Ribhu Dasgupta</v>
      </c>
      <c r="X3479" s="5">
        <f t="shared" si="4"/>
        <v>3</v>
      </c>
      <c r="Y3479" s="5" t="str">
        <f>IFERROR(__xludf.DUMMYFUNCTION("REGEXEXTRACT(J3479, ""^\d+"")"),"5")</f>
        <v>5</v>
      </c>
      <c r="Z3479" s="5" t="str">
        <f>IFERROR(__xludf.DUMMYFUNCTION("REGEXEXTRACT(J3479, ""[A-Za-z ]+$"")")," Seasons")</f>
        <v> Seasons</v>
      </c>
      <c r="AA3479" s="5" t="str">
        <f>IFERROR(__xludf.DUMMYFUNCTION("IF(REGEXMATCH(Z3479, ""Season""), ""TV Show"", ""Movie"")"),"TV Show")</f>
        <v>TV Show</v>
      </c>
    </row>
    <row r="3480">
      <c r="A3480" s="1" t="s">
        <v>19061</v>
      </c>
      <c r="B3480" s="1" t="s">
        <v>27</v>
      </c>
      <c r="C3480" s="1" t="s">
        <v>19062</v>
      </c>
      <c r="D3480" s="1" t="s">
        <v>4717</v>
      </c>
      <c r="E3480" s="1" t="s">
        <v>19063</v>
      </c>
      <c r="F3480" s="1" t="s">
        <v>96</v>
      </c>
      <c r="G3480" s="1" t="s">
        <v>19059</v>
      </c>
      <c r="H3480" s="1">
        <v>2019.0</v>
      </c>
      <c r="I3480" s="1" t="s">
        <v>42</v>
      </c>
      <c r="J3480" s="1" t="s">
        <v>1838</v>
      </c>
      <c r="K3480" s="1" t="s">
        <v>1839</v>
      </c>
      <c r="L3480" s="1" t="s">
        <v>19064</v>
      </c>
      <c r="M3480" s="2" t="s">
        <v>12</v>
      </c>
      <c r="N3480" s="4">
        <f t="shared" si="1"/>
        <v>43738</v>
      </c>
      <c r="O3480" s="5" t="str">
        <f>IFERROR(__xludf.DUMMYFUNCTION("IF(REGEXMATCH(TRIM(I3480), ""^\d+\s*min""), ""Unclassified"", IF(I3480 = """", ""NR"", I3480))"),"TV-MA")</f>
        <v>TV-MA</v>
      </c>
      <c r="R3480" s="5" t="str">
        <f t="shared" si="2"/>
        <v>Mo Gilligan: Momentum</v>
      </c>
      <c r="S3480" s="5" t="str">
        <f>IFERROR(__xludf.DUMMYFUNCTION("""COMPUTED_VALUE"""),"Izombie")</f>
        <v>Izombie</v>
      </c>
      <c r="U3480" s="5" t="str">
        <f>IFERROR(__xludf.DUMMYFUNCTION("""COMPUTED_VALUE"""),"Maya Zinshtein")</f>
        <v>Maya Zinshtein</v>
      </c>
      <c r="V3480" s="5" t="s">
        <v>4818</v>
      </c>
      <c r="W3480" s="5" t="str">
        <f t="shared" si="3"/>
        <v>Ric Roman Waugh</v>
      </c>
      <c r="X3480" s="5">
        <f t="shared" si="4"/>
        <v>3</v>
      </c>
      <c r="Y3480" s="5" t="str">
        <f>IFERROR(__xludf.DUMMYFUNCTION("REGEXEXTRACT(J3480, ""^\d+"")"),"64")</f>
        <v>64</v>
      </c>
      <c r="Z3480" s="5" t="str">
        <f>IFERROR(__xludf.DUMMYFUNCTION("REGEXEXTRACT(J3480, ""[A-Za-z ]+$"")")," min")</f>
        <v> min</v>
      </c>
      <c r="AA3480" s="5" t="str">
        <f>IFERROR(__xludf.DUMMYFUNCTION("IF(REGEXMATCH(Z3480, ""Season""), ""TV Show"", ""Movie"")"),"Movie")</f>
        <v>Movie</v>
      </c>
    </row>
    <row r="3481">
      <c r="A3481" s="1" t="s">
        <v>19065</v>
      </c>
      <c r="B3481" s="1" t="s">
        <v>27</v>
      </c>
      <c r="C3481" s="1" t="s">
        <v>19066</v>
      </c>
      <c r="D3481" s="1" t="s">
        <v>14384</v>
      </c>
      <c r="G3481" s="1" t="s">
        <v>19067</v>
      </c>
      <c r="H3481" s="1">
        <v>2019.0</v>
      </c>
      <c r="I3481" s="1" t="s">
        <v>136</v>
      </c>
      <c r="J3481" s="1" t="s">
        <v>9520</v>
      </c>
      <c r="K3481" s="1" t="s">
        <v>156</v>
      </c>
      <c r="L3481" s="1" t="s">
        <v>19068</v>
      </c>
      <c r="M3481" s="2" t="s">
        <v>12</v>
      </c>
      <c r="N3481" s="4">
        <f t="shared" si="1"/>
        <v>43736</v>
      </c>
      <c r="O3481" s="5" t="str">
        <f>IFERROR(__xludf.DUMMYFUNCTION("IF(REGEXMATCH(TRIM(I3481), ""^\d+\s*min""), ""Unclassified"", IF(I3481 = """", ""NR"", I3481))"),"TV-PG")</f>
        <v>TV-PG</v>
      </c>
      <c r="R3481" s="5" t="str">
        <f t="shared" si="2"/>
        <v>Cultivating The Seas: History And Future Of The Full-Cycle Cultured Kindai Tuna</v>
      </c>
      <c r="S3481" s="5" t="str">
        <f>IFERROR(__xludf.DUMMYFUNCTION("""COMPUTED_VALUE"""),"Izzy'S Koala World")</f>
        <v>Izzy'S Koala World</v>
      </c>
      <c r="U3481" s="5" t="str">
        <f>IFERROR(__xludf.DUMMYFUNCTION("""COMPUTED_VALUE"""),"Lee Fulkerson")</f>
        <v>Lee Fulkerson</v>
      </c>
      <c r="V3481" s="5" t="s">
        <v>19069</v>
      </c>
      <c r="W3481" s="5" t="str">
        <f t="shared" si="3"/>
        <v>Ricardo De Montreuil</v>
      </c>
      <c r="X3481" s="5">
        <f t="shared" si="4"/>
        <v>1</v>
      </c>
      <c r="Y3481" s="5" t="str">
        <f>IFERROR(__xludf.DUMMYFUNCTION("REGEXEXTRACT(J3481, ""^\d+"")"),"45")</f>
        <v>45</v>
      </c>
      <c r="Z3481" s="5" t="str">
        <f>IFERROR(__xludf.DUMMYFUNCTION("REGEXEXTRACT(J3481, ""[A-Za-z ]+$"")")," min")</f>
        <v> min</v>
      </c>
      <c r="AA3481" s="5" t="str">
        <f>IFERROR(__xludf.DUMMYFUNCTION("IF(REGEXMATCH(Z3481, ""Season""), ""TV Show"", ""Movie"")"),"Movie")</f>
        <v>Movie</v>
      </c>
    </row>
    <row r="3482">
      <c r="A3482" s="1" t="s">
        <v>19070</v>
      </c>
      <c r="B3482" s="1" t="s">
        <v>27</v>
      </c>
      <c r="C3482" s="1" t="s">
        <v>19071</v>
      </c>
      <c r="D3482" s="1" t="s">
        <v>14384</v>
      </c>
      <c r="E3482" s="1" t="s">
        <v>19072</v>
      </c>
      <c r="F3482" s="1" t="s">
        <v>415</v>
      </c>
      <c r="G3482" s="1" t="s">
        <v>19067</v>
      </c>
      <c r="H3482" s="1">
        <v>2019.0</v>
      </c>
      <c r="I3482" s="1" t="s">
        <v>136</v>
      </c>
      <c r="J3482" s="1" t="s">
        <v>33</v>
      </c>
      <c r="K3482" s="1" t="s">
        <v>128</v>
      </c>
      <c r="L3482" s="1" t="s">
        <v>19073</v>
      </c>
      <c r="M3482" s="2" t="s">
        <v>12</v>
      </c>
      <c r="N3482" s="4">
        <f t="shared" si="1"/>
        <v>43736</v>
      </c>
      <c r="O3482" s="5" t="str">
        <f>IFERROR(__xludf.DUMMYFUNCTION("IF(REGEXMATCH(TRIM(I3482), ""^\d+\s*min""), ""Unclassified"", IF(I3482 = """", ""NR"", I3482))"),"TV-PG")</f>
        <v>TV-PG</v>
      </c>
      <c r="R3482" s="5" t="str">
        <f t="shared" si="2"/>
        <v>Tuna Girl</v>
      </c>
      <c r="S3482" s="5" t="str">
        <f>IFERROR(__xludf.DUMMYFUNCTION("""COMPUTED_VALUE"""),"J-Style Trip")</f>
        <v>J-Style Trip</v>
      </c>
      <c r="U3482" s="5" t="str">
        <f>IFERROR(__xludf.DUMMYFUNCTION("""COMPUTED_VALUE"""),"Seth Gordon")</f>
        <v>Seth Gordon</v>
      </c>
      <c r="V3482" s="5" t="s">
        <v>19074</v>
      </c>
      <c r="W3482" s="5" t="str">
        <f t="shared" si="3"/>
        <v>Ricardo Maldonado</v>
      </c>
      <c r="X3482" s="5">
        <f t="shared" si="4"/>
        <v>1</v>
      </c>
      <c r="Y3482" s="5" t="str">
        <f>IFERROR(__xludf.DUMMYFUNCTION("REGEXEXTRACT(J3482, ""^\d+"")"),"90")</f>
        <v>90</v>
      </c>
      <c r="Z3482" s="5" t="str">
        <f>IFERROR(__xludf.DUMMYFUNCTION("REGEXEXTRACT(J3482, ""[A-Za-z ]+$"")")," min")</f>
        <v> min</v>
      </c>
      <c r="AA3482" s="5" t="str">
        <f>IFERROR(__xludf.DUMMYFUNCTION("IF(REGEXMATCH(Z3482, ""Season""), ""TV Show"", ""Movie"")"),"Movie")</f>
        <v>Movie</v>
      </c>
    </row>
    <row r="3483">
      <c r="A3483" s="1" t="s">
        <v>19075</v>
      </c>
      <c r="B3483" s="1" t="s">
        <v>37</v>
      </c>
      <c r="C3483" s="1" t="s">
        <v>19076</v>
      </c>
      <c r="E3483" s="1" t="s">
        <v>19077</v>
      </c>
      <c r="F3483" s="1" t="s">
        <v>63</v>
      </c>
      <c r="G3483" s="1" t="s">
        <v>19078</v>
      </c>
      <c r="H3483" s="1">
        <v>2019.0</v>
      </c>
      <c r="I3483" s="1" t="s">
        <v>42</v>
      </c>
      <c r="J3483" s="1" t="s">
        <v>51</v>
      </c>
      <c r="K3483" s="1" t="s">
        <v>190</v>
      </c>
      <c r="L3483" s="1" t="s">
        <v>19079</v>
      </c>
      <c r="M3483" s="2" t="s">
        <v>12</v>
      </c>
      <c r="N3483" s="4">
        <f t="shared" si="1"/>
        <v>43735</v>
      </c>
      <c r="O3483" s="5" t="str">
        <f>IFERROR(__xludf.DUMMYFUNCTION("IF(REGEXMATCH(TRIM(I3483), ""^\d+\s*min""), ""Unclassified"", IF(I3483 = """", ""NR"", I3483))"),"TV-MA")</f>
        <v>TV-MA</v>
      </c>
      <c r="R3483" s="5" t="str">
        <f t="shared" si="2"/>
        <v>Bard Of Blood</v>
      </c>
      <c r="S3483" s="5" t="str">
        <f>IFERROR(__xludf.DUMMYFUNCTION("""COMPUTED_VALUE"""),"Jaal")</f>
        <v>Jaal</v>
      </c>
      <c r="U3483" s="5" t="str">
        <f>IFERROR(__xludf.DUMMYFUNCTION("""COMPUTED_VALUE"""),"Trudie Styler")</f>
        <v>Trudie Styler</v>
      </c>
      <c r="V3483" s="5" t="s">
        <v>2963</v>
      </c>
      <c r="W3483" s="5" t="str">
        <f t="shared" si="3"/>
        <v>Ricardo Trogi</v>
      </c>
      <c r="X3483" s="5">
        <f t="shared" si="4"/>
        <v>1</v>
      </c>
      <c r="Y3483" s="5" t="str">
        <f>IFERROR(__xludf.DUMMYFUNCTION("REGEXEXTRACT(J3483, ""^\d+"")"),"1")</f>
        <v>1</v>
      </c>
      <c r="Z3483" s="5" t="str">
        <f>IFERROR(__xludf.DUMMYFUNCTION("REGEXEXTRACT(J3483, ""[A-Za-z ]+$"")")," Season")</f>
        <v> Season</v>
      </c>
      <c r="AA3483" s="5" t="str">
        <f>IFERROR(__xludf.DUMMYFUNCTION("IF(REGEXMATCH(Z3483, ""Season""), ""TV Show"", ""Movie"")"),"TV Show")</f>
        <v>TV Show</v>
      </c>
    </row>
    <row r="3484">
      <c r="A3484" s="1" t="s">
        <v>19080</v>
      </c>
      <c r="B3484" s="1" t="s">
        <v>27</v>
      </c>
      <c r="C3484" s="1" t="s">
        <v>19081</v>
      </c>
      <c r="D3484" s="1" t="s">
        <v>8800</v>
      </c>
      <c r="E3484" s="1" t="s">
        <v>19082</v>
      </c>
      <c r="F3484" s="1" t="s">
        <v>188</v>
      </c>
      <c r="G3484" s="1" t="s">
        <v>19078</v>
      </c>
      <c r="H3484" s="1">
        <v>2018.0</v>
      </c>
      <c r="I3484" s="1" t="s">
        <v>136</v>
      </c>
      <c r="J3484" s="1" t="s">
        <v>447</v>
      </c>
      <c r="K3484" s="1" t="s">
        <v>199</v>
      </c>
      <c r="L3484" s="1" t="s">
        <v>19083</v>
      </c>
      <c r="M3484" s="2" t="s">
        <v>12</v>
      </c>
      <c r="N3484" s="4">
        <f t="shared" si="1"/>
        <v>43735</v>
      </c>
      <c r="O3484" s="5" t="str">
        <f>IFERROR(__xludf.DUMMYFUNCTION("IF(REGEXMATCH(TRIM(I3484), ""^\d+\s*min""), ""Unclassified"", IF(I3484 = """", ""NR"", I3484))"),"TV-PG")</f>
        <v>TV-PG</v>
      </c>
      <c r="R3484" s="5" t="str">
        <f t="shared" si="2"/>
        <v>Deliha 2</v>
      </c>
      <c r="S3484" s="5" t="str">
        <f>IFERROR(__xludf.DUMMYFUNCTION("""COMPUTED_VALUE"""),"Jaan-E-Mann: Let'S Fall In Love... Again")</f>
        <v>Jaan-E-Mann: Let'S Fall In Love... Again</v>
      </c>
      <c r="U3484" s="5" t="str">
        <f>IFERROR(__xludf.DUMMYFUNCTION("""COMPUTED_VALUE"""),"Marc Levin")</f>
        <v>Marc Levin</v>
      </c>
      <c r="V3484" s="5" t="s">
        <v>19084</v>
      </c>
      <c r="W3484" s="5" t="str">
        <f t="shared" si="3"/>
        <v>Riccardo Milani</v>
      </c>
      <c r="X3484" s="5">
        <f t="shared" si="4"/>
        <v>1</v>
      </c>
      <c r="Y3484" s="5" t="str">
        <f>IFERROR(__xludf.DUMMYFUNCTION("REGEXEXTRACT(J3484, ""^\d+"")"),"102")</f>
        <v>102</v>
      </c>
      <c r="Z3484" s="5" t="str">
        <f>IFERROR(__xludf.DUMMYFUNCTION("REGEXEXTRACT(J3484, ""[A-Za-z ]+$"")")," min")</f>
        <v> min</v>
      </c>
      <c r="AA3484" s="5" t="str">
        <f>IFERROR(__xludf.DUMMYFUNCTION("IF(REGEXMATCH(Z3484, ""Season""), ""TV Show"", ""Movie"")"),"Movie")</f>
        <v>Movie</v>
      </c>
    </row>
    <row r="3485">
      <c r="A3485" s="1" t="s">
        <v>19085</v>
      </c>
      <c r="B3485" s="1" t="s">
        <v>37</v>
      </c>
      <c r="C3485" s="1" t="s">
        <v>19086</v>
      </c>
      <c r="E3485" s="1" t="s">
        <v>19087</v>
      </c>
      <c r="F3485" s="1" t="s">
        <v>1815</v>
      </c>
      <c r="G3485" s="1" t="s">
        <v>19078</v>
      </c>
      <c r="H3485" s="1">
        <v>2019.0</v>
      </c>
      <c r="I3485" s="1" t="s">
        <v>42</v>
      </c>
      <c r="J3485" s="1" t="s">
        <v>276</v>
      </c>
      <c r="K3485" s="1" t="s">
        <v>785</v>
      </c>
      <c r="L3485" s="1" t="s">
        <v>19088</v>
      </c>
      <c r="M3485" s="2" t="s">
        <v>12</v>
      </c>
      <c r="N3485" s="4">
        <f t="shared" si="1"/>
        <v>43735</v>
      </c>
      <c r="O3485" s="5" t="str">
        <f>IFERROR(__xludf.DUMMYFUNCTION("IF(REGEXMATCH(TRIM(I3485), ""^\d+\s*min""), ""Unclassified"", IF(I3485 = """", ""NR"", I3485))"),"TV-MA")</f>
        <v>TV-MA</v>
      </c>
      <c r="R3485" s="5" t="str">
        <f t="shared" si="2"/>
        <v>El Marginal</v>
      </c>
      <c r="S3485" s="5" t="str">
        <f>IFERROR(__xludf.DUMMYFUNCTION("""COMPUTED_VALUE"""),"Jaane Tu... Ya Jaane Na")</f>
        <v>Jaane Tu... Ya Jaane Na</v>
      </c>
      <c r="U3485" s="5" t="str">
        <f>IFERROR(__xludf.DUMMYFUNCTION("""COMPUTED_VALUE"""),"Wade Allain-Marcus, Jesse Allain-Marcus")</f>
        <v>Wade Allain-Marcus, Jesse Allain-Marcus</v>
      </c>
      <c r="V3485" s="5" t="s">
        <v>19089</v>
      </c>
      <c r="W3485" s="5" t="str">
        <f t="shared" si="3"/>
        <v>Riccardo Pilizzeri</v>
      </c>
      <c r="X3485" s="5">
        <f t="shared" si="4"/>
        <v>1</v>
      </c>
      <c r="Y3485" s="5" t="str">
        <f>IFERROR(__xludf.DUMMYFUNCTION("REGEXEXTRACT(J3485, ""^\d+"")"),"3")</f>
        <v>3</v>
      </c>
      <c r="Z3485" s="5" t="str">
        <f>IFERROR(__xludf.DUMMYFUNCTION("REGEXEXTRACT(J3485, ""[A-Za-z ]+$"")")," Seasons")</f>
        <v> Seasons</v>
      </c>
      <c r="AA3485" s="5" t="str">
        <f>IFERROR(__xludf.DUMMYFUNCTION("IF(REGEXMATCH(Z3485, ""Season""), ""TV Show"", ""Movie"")"),"TV Show")</f>
        <v>TV Show</v>
      </c>
    </row>
    <row r="3486">
      <c r="A3486" s="1" t="s">
        <v>19090</v>
      </c>
      <c r="B3486" s="1" t="s">
        <v>27</v>
      </c>
      <c r="C3486" s="1" t="s">
        <v>19091</v>
      </c>
      <c r="D3486" s="1" t="s">
        <v>10971</v>
      </c>
      <c r="E3486" s="1" t="s">
        <v>19092</v>
      </c>
      <c r="F3486" s="1" t="s">
        <v>897</v>
      </c>
      <c r="G3486" s="1" t="s">
        <v>19078</v>
      </c>
      <c r="H3486" s="1">
        <v>2019.0</v>
      </c>
      <c r="I3486" s="1" t="s">
        <v>42</v>
      </c>
      <c r="J3486" s="1" t="s">
        <v>349</v>
      </c>
      <c r="K3486" s="1" t="s">
        <v>19093</v>
      </c>
      <c r="L3486" s="1" t="s">
        <v>19094</v>
      </c>
      <c r="M3486" s="2" t="s">
        <v>12</v>
      </c>
      <c r="N3486" s="4">
        <f t="shared" si="1"/>
        <v>43735</v>
      </c>
      <c r="O3486" s="5" t="str">
        <f>IFERROR(__xludf.DUMMYFUNCTION("IF(REGEXMATCH(TRIM(I3486), ""^\d+\s*min""), ""Unclassified"", IF(I3486 = """", ""NR"", I3486))"),"TV-MA")</f>
        <v>TV-MA</v>
      </c>
      <c r="R3486" s="5" t="str">
        <f t="shared" si="2"/>
        <v>In The Shadow Of The Moon</v>
      </c>
      <c r="S3486" s="5" t="str">
        <f>IFERROR(__xludf.DUMMYFUNCTION("""COMPUTED_VALUE"""),"Jab Harry Met Sejal")</f>
        <v>Jab Harry Met Sejal</v>
      </c>
      <c r="U3486" s="5" t="str">
        <f>IFERROR(__xludf.DUMMYFUNCTION("""COMPUTED_VALUE"""),"Jude Okwudiafor Johnson")</f>
        <v>Jude Okwudiafor Johnson</v>
      </c>
      <c r="V3486" s="5" t="s">
        <v>19095</v>
      </c>
      <c r="W3486" s="5" t="str">
        <f t="shared" si="3"/>
        <v>Rich Ragsdale</v>
      </c>
      <c r="X3486" s="5">
        <f t="shared" si="4"/>
        <v>1</v>
      </c>
      <c r="Y3486" s="5" t="str">
        <f>IFERROR(__xludf.DUMMYFUNCTION("REGEXEXTRACT(J3486, ""^\d+"")"),"116")</f>
        <v>116</v>
      </c>
      <c r="Z3486" s="5" t="str">
        <f>IFERROR(__xludf.DUMMYFUNCTION("REGEXEXTRACT(J3486, ""[A-Za-z ]+$"")")," min")</f>
        <v> min</v>
      </c>
      <c r="AA3486" s="5" t="str">
        <f>IFERROR(__xludf.DUMMYFUNCTION("IF(REGEXMATCH(Z3486, ""Season""), ""TV Show"", ""Movie"")"),"Movie")</f>
        <v>Movie</v>
      </c>
    </row>
    <row r="3487">
      <c r="A3487" s="1" t="s">
        <v>19096</v>
      </c>
      <c r="B3487" s="1" t="s">
        <v>27</v>
      </c>
      <c r="C3487" s="1" t="s">
        <v>19097</v>
      </c>
      <c r="D3487" s="1" t="s">
        <v>12166</v>
      </c>
      <c r="F3487" s="1" t="s">
        <v>30</v>
      </c>
      <c r="G3487" s="1" t="s">
        <v>19078</v>
      </c>
      <c r="H3487" s="1">
        <v>2019.0</v>
      </c>
      <c r="I3487" s="1" t="s">
        <v>42</v>
      </c>
      <c r="J3487" s="1" t="s">
        <v>7390</v>
      </c>
      <c r="K3487" s="1" t="s">
        <v>15673</v>
      </c>
      <c r="L3487" s="1" t="s">
        <v>19098</v>
      </c>
      <c r="M3487" s="2" t="s">
        <v>12</v>
      </c>
      <c r="N3487" s="4">
        <f t="shared" si="1"/>
        <v>43735</v>
      </c>
      <c r="O3487" s="5" t="str">
        <f>IFERROR(__xludf.DUMMYFUNCTION("IF(REGEXMATCH(TRIM(I3487), ""^\d+\s*min""), ""Unclassified"", IF(I3487 = """", ""NR"", I3487))"),"TV-MA")</f>
        <v>TV-MA</v>
      </c>
      <c r="R3487" s="5" t="str">
        <f t="shared" si="2"/>
        <v>Sturgill Simpson Presents Sound &amp; Fury</v>
      </c>
      <c r="S3487" s="5" t="str">
        <f>IFERROR(__xludf.DUMMYFUNCTION("""COMPUTED_VALUE"""),"Jab We Met")</f>
        <v>Jab We Met</v>
      </c>
      <c r="U3487" s="5" t="str">
        <f>IFERROR(__xludf.DUMMYFUNCTION("""COMPUTED_VALUE"""),"Marcus Nispel")</f>
        <v>Marcus Nispel</v>
      </c>
      <c r="V3487" s="5" t="s">
        <v>8010</v>
      </c>
      <c r="W3487" s="5" t="str">
        <f t="shared" si="3"/>
        <v>Richard Arellano</v>
      </c>
      <c r="X3487" s="5">
        <f t="shared" si="4"/>
        <v>1</v>
      </c>
      <c r="Y3487" s="5" t="str">
        <f>IFERROR(__xludf.DUMMYFUNCTION("REGEXEXTRACT(J3487, ""^\d+"")"),"42")</f>
        <v>42</v>
      </c>
      <c r="Z3487" s="5" t="str">
        <f>IFERROR(__xludf.DUMMYFUNCTION("REGEXEXTRACT(J3487, ""[A-Za-z ]+$"")")," min")</f>
        <v> min</v>
      </c>
      <c r="AA3487" s="5" t="str">
        <f>IFERROR(__xludf.DUMMYFUNCTION("IF(REGEXMATCH(Z3487, ""Season""), ""TV Show"", ""Movie"")"),"Movie")</f>
        <v>Movie</v>
      </c>
    </row>
    <row r="3488">
      <c r="A3488" s="1" t="s">
        <v>19099</v>
      </c>
      <c r="B3488" s="1" t="s">
        <v>27</v>
      </c>
      <c r="C3488" s="1" t="s">
        <v>19100</v>
      </c>
      <c r="D3488" s="1" t="s">
        <v>14423</v>
      </c>
      <c r="E3488" s="1" t="s">
        <v>19101</v>
      </c>
      <c r="F3488" s="1" t="s">
        <v>63</v>
      </c>
      <c r="G3488" s="1" t="s">
        <v>19102</v>
      </c>
      <c r="H3488" s="1">
        <v>2019.0</v>
      </c>
      <c r="I3488" s="1" t="s">
        <v>97</v>
      </c>
      <c r="J3488" s="1" t="s">
        <v>1428</v>
      </c>
      <c r="K3488" s="1" t="s">
        <v>679</v>
      </c>
      <c r="L3488" s="1" t="s">
        <v>19103</v>
      </c>
      <c r="M3488" s="2" t="s">
        <v>12</v>
      </c>
      <c r="N3488" s="4">
        <f t="shared" si="1"/>
        <v>43734</v>
      </c>
      <c r="O3488" s="5" t="str">
        <f>IFERROR(__xludf.DUMMYFUNCTION("IF(REGEXMATCH(TRIM(I3488), ""^\d+\s*min""), ""Unclassified"", IF(I3488 = """", ""NR"", I3488))"),"TV-14")</f>
        <v>TV-14</v>
      </c>
      <c r="R3488" s="5" t="str">
        <f t="shared" si="2"/>
        <v>Malaal</v>
      </c>
      <c r="S3488" s="5" t="str">
        <f>IFERROR(__xludf.DUMMYFUNCTION("""COMPUTED_VALUE"""),"Jack And The Cuckoo-Clock Heart")</f>
        <v>Jack And The Cuckoo-Clock Heart</v>
      </c>
      <c r="U3488" s="5" t="str">
        <f>IFERROR(__xludf.DUMMYFUNCTION("""COMPUTED_VALUE"""),"Simon Verhoeven")</f>
        <v>Simon Verhoeven</v>
      </c>
      <c r="V3488" s="5" t="s">
        <v>19104</v>
      </c>
      <c r="W3488" s="5" t="str">
        <f t="shared" si="3"/>
        <v>Richard Attenborough</v>
      </c>
      <c r="X3488" s="5">
        <f t="shared" si="4"/>
        <v>1</v>
      </c>
      <c r="Y3488" s="5" t="str">
        <f>IFERROR(__xludf.DUMMYFUNCTION("REGEXEXTRACT(J3488, ""^\d+"")"),"133")</f>
        <v>133</v>
      </c>
      <c r="Z3488" s="5" t="str">
        <f>IFERROR(__xludf.DUMMYFUNCTION("REGEXEXTRACT(J3488, ""[A-Za-z ]+$"")")," min")</f>
        <v> min</v>
      </c>
      <c r="AA3488" s="5" t="str">
        <f>IFERROR(__xludf.DUMMYFUNCTION("IF(REGEXMATCH(Z3488, ""Season""), ""TV Show"", ""Movie"")"),"Movie")</f>
        <v>Movie</v>
      </c>
    </row>
    <row r="3489">
      <c r="A3489" s="1" t="s">
        <v>19105</v>
      </c>
      <c r="B3489" s="1" t="s">
        <v>27</v>
      </c>
      <c r="C3489" s="1" t="s">
        <v>19106</v>
      </c>
      <c r="D3489" s="1" t="s">
        <v>19107</v>
      </c>
      <c r="E3489" s="1" t="s">
        <v>19108</v>
      </c>
      <c r="F3489" s="1" t="s">
        <v>12646</v>
      </c>
      <c r="G3489" s="1" t="s">
        <v>19102</v>
      </c>
      <c r="H3489" s="1">
        <v>2013.0</v>
      </c>
      <c r="I3489" s="1" t="s">
        <v>32</v>
      </c>
      <c r="J3489" s="1" t="s">
        <v>912</v>
      </c>
      <c r="K3489" s="1" t="s">
        <v>306</v>
      </c>
      <c r="L3489" s="1" t="s">
        <v>19109</v>
      </c>
      <c r="M3489" s="2" t="s">
        <v>12</v>
      </c>
      <c r="N3489" s="4">
        <f t="shared" si="1"/>
        <v>43734</v>
      </c>
      <c r="O3489" s="5" t="str">
        <f>IFERROR(__xludf.DUMMYFUNCTION("IF(REGEXMATCH(TRIM(I3489), ""^\d+\s*min""), ""Unclassified"", IF(I3489 = """", ""NR"", I3489))"),"PG-13")</f>
        <v>PG-13</v>
      </c>
      <c r="R3489" s="5" t="str">
        <f t="shared" si="2"/>
        <v>The Grandmaster</v>
      </c>
      <c r="S3489" s="5" t="str">
        <f>IFERROR(__xludf.DUMMYFUNCTION("""COMPUTED_VALUE"""),"Jack Of All Trades")</f>
        <v>Jack Of All Trades</v>
      </c>
      <c r="U3489" s="5" t="str">
        <f>IFERROR(__xludf.DUMMYFUNCTION("""COMPUTED_VALUE"""),"Heber Cannon")</f>
        <v>Heber Cannon</v>
      </c>
      <c r="V3489" s="5" t="s">
        <v>19110</v>
      </c>
      <c r="W3489" s="5" t="str">
        <f t="shared" si="3"/>
        <v>Richard Bailey</v>
      </c>
      <c r="X3489" s="5">
        <f t="shared" si="4"/>
        <v>1</v>
      </c>
      <c r="Y3489" s="5" t="str">
        <f>IFERROR(__xludf.DUMMYFUNCTION("REGEXEXTRACT(J3489, ""^\d+"")"),"108")</f>
        <v>108</v>
      </c>
      <c r="Z3489" s="5" t="str">
        <f>IFERROR(__xludf.DUMMYFUNCTION("REGEXEXTRACT(J3489, ""[A-Za-z ]+$"")")," min")</f>
        <v> min</v>
      </c>
      <c r="AA3489" s="5" t="str">
        <f>IFERROR(__xludf.DUMMYFUNCTION("IF(REGEXMATCH(Z3489, ""Season""), ""TV Show"", ""Movie"")"),"Movie")</f>
        <v>Movie</v>
      </c>
    </row>
    <row r="3490">
      <c r="A3490" s="1" t="s">
        <v>19111</v>
      </c>
      <c r="B3490" s="1" t="s">
        <v>37</v>
      </c>
      <c r="C3490" s="1" t="s">
        <v>19112</v>
      </c>
      <c r="E3490" s="1" t="s">
        <v>19113</v>
      </c>
      <c r="F3490" s="1" t="s">
        <v>162</v>
      </c>
      <c r="G3490" s="1" t="s">
        <v>19102</v>
      </c>
      <c r="H3490" s="1">
        <v>2018.0</v>
      </c>
      <c r="I3490" s="1" t="s">
        <v>42</v>
      </c>
      <c r="J3490" s="1" t="s">
        <v>51</v>
      </c>
      <c r="K3490" s="1" t="s">
        <v>785</v>
      </c>
      <c r="L3490" s="1" t="s">
        <v>19114</v>
      </c>
      <c r="M3490" s="2" t="s">
        <v>12</v>
      </c>
      <c r="N3490" s="4">
        <f t="shared" si="1"/>
        <v>43734</v>
      </c>
      <c r="O3490" s="5" t="str">
        <f>IFERROR(__xludf.DUMMYFUNCTION("IF(REGEXMATCH(TRIM(I3490), ""^\d+\s*min""), ""Unclassified"", IF(I3490 = """", ""NR"", I3490))"),"TV-MA")</f>
        <v>TV-MA</v>
      </c>
      <c r="R3490" s="5" t="str">
        <f t="shared" si="2"/>
        <v>The Inmate</v>
      </c>
      <c r="S3490" s="5" t="str">
        <f>IFERROR(__xludf.DUMMYFUNCTION("""COMPUTED_VALUE"""),"Jack Taylor")</f>
        <v>Jack Taylor</v>
      </c>
      <c r="U3490" s="5" t="str">
        <f>IFERROR(__xludf.DUMMYFUNCTION("""COMPUTED_VALUE"""),"Alastair Fothergill")</f>
        <v>Alastair Fothergill</v>
      </c>
      <c r="V3490" s="5" t="s">
        <v>19115</v>
      </c>
      <c r="W3490" s="5" t="str">
        <f t="shared" si="3"/>
        <v>Richard Bates Jr.</v>
      </c>
      <c r="X3490" s="5">
        <f t="shared" si="4"/>
        <v>1</v>
      </c>
      <c r="Y3490" s="5" t="str">
        <f>IFERROR(__xludf.DUMMYFUNCTION("REGEXEXTRACT(J3490, ""^\d+"")"),"1")</f>
        <v>1</v>
      </c>
      <c r="Z3490" s="5" t="str">
        <f>IFERROR(__xludf.DUMMYFUNCTION("REGEXEXTRACT(J3490, ""[A-Za-z ]+$"")")," Season")</f>
        <v> Season</v>
      </c>
      <c r="AA3490" s="5" t="str">
        <f>IFERROR(__xludf.DUMMYFUNCTION("IF(REGEXMATCH(Z3490, ""Season""), ""TV Show"", ""Movie"")"),"TV Show")</f>
        <v>TV Show</v>
      </c>
    </row>
    <row r="3491">
      <c r="A3491" s="1" t="s">
        <v>19116</v>
      </c>
      <c r="B3491" s="1" t="s">
        <v>37</v>
      </c>
      <c r="C3491" s="1" t="s">
        <v>19117</v>
      </c>
      <c r="E3491" s="1" t="s">
        <v>19118</v>
      </c>
      <c r="F3491" s="1" t="s">
        <v>30</v>
      </c>
      <c r="G3491" s="1" t="s">
        <v>19119</v>
      </c>
      <c r="H3491" s="1">
        <v>2019.0</v>
      </c>
      <c r="I3491" s="1" t="s">
        <v>97</v>
      </c>
      <c r="J3491" s="1" t="s">
        <v>43</v>
      </c>
      <c r="K3491" s="1" t="s">
        <v>1261</v>
      </c>
      <c r="L3491" s="1" t="s">
        <v>19120</v>
      </c>
      <c r="M3491" s="2" t="s">
        <v>12</v>
      </c>
      <c r="N3491" s="4">
        <f t="shared" si="1"/>
        <v>43733</v>
      </c>
      <c r="O3491" s="5" t="str">
        <f>IFERROR(__xludf.DUMMYFUNCTION("IF(REGEXMATCH(TRIM(I3491), ""^\d+\s*min""), ""Unclassified"", IF(I3491 = """", ""NR"", I3491))"),"TV-14")</f>
        <v>TV-14</v>
      </c>
      <c r="R3491" s="5" t="str">
        <f t="shared" si="2"/>
        <v>Abstract: The Art Of Design</v>
      </c>
      <c r="S3491" s="5" t="str">
        <f>IFERROR(__xludf.DUMMYFUNCTION("""COMPUTED_VALUE"""),"Jack Whitehall: At Large")</f>
        <v>Jack Whitehall: At Large</v>
      </c>
      <c r="U3491" s="5" t="str">
        <f>IFERROR(__xludf.DUMMYFUNCTION("""COMPUTED_VALUE"""),"Bob Rose")</f>
        <v>Bob Rose</v>
      </c>
      <c r="V3491" s="5" t="s">
        <v>19121</v>
      </c>
      <c r="W3491" s="5" t="str">
        <f t="shared" si="3"/>
        <v>Richard Brooks</v>
      </c>
      <c r="X3491" s="5">
        <f t="shared" si="4"/>
        <v>1</v>
      </c>
      <c r="Y3491" s="5" t="str">
        <f>IFERROR(__xludf.DUMMYFUNCTION("REGEXEXTRACT(J3491, ""^\d+"")"),"2")</f>
        <v>2</v>
      </c>
      <c r="Z3491" s="5" t="str">
        <f>IFERROR(__xludf.DUMMYFUNCTION("REGEXEXTRACT(J3491, ""[A-Za-z ]+$"")")," Seasons")</f>
        <v> Seasons</v>
      </c>
      <c r="AA3491" s="5" t="str">
        <f>IFERROR(__xludf.DUMMYFUNCTION("IF(REGEXMATCH(Z3491, ""Season""), ""TV Show"", ""Movie"")"),"TV Show")</f>
        <v>TV Show</v>
      </c>
    </row>
    <row r="3492">
      <c r="A3492" s="1" t="s">
        <v>19122</v>
      </c>
      <c r="B3492" s="1" t="s">
        <v>27</v>
      </c>
      <c r="C3492" s="1" t="s">
        <v>19123</v>
      </c>
      <c r="D3492" s="1" t="s">
        <v>17378</v>
      </c>
      <c r="F3492" s="1" t="s">
        <v>949</v>
      </c>
      <c r="G3492" s="1" t="s">
        <v>19119</v>
      </c>
      <c r="H3492" s="1">
        <v>2019.0</v>
      </c>
      <c r="I3492" s="1" t="s">
        <v>506</v>
      </c>
      <c r="J3492" s="1" t="s">
        <v>3123</v>
      </c>
      <c r="K3492" s="1" t="s">
        <v>156</v>
      </c>
      <c r="L3492" s="1" t="s">
        <v>19124</v>
      </c>
      <c r="M3492" s="2" t="s">
        <v>12</v>
      </c>
      <c r="N3492" s="4">
        <f t="shared" si="1"/>
        <v>43733</v>
      </c>
      <c r="O3492" s="5" t="str">
        <f>IFERROR(__xludf.DUMMYFUNCTION("IF(REGEXMATCH(TRIM(I3492), ""^\d+\s*min""), ""Unclassified"", IF(I3492 = """", ""NR"", I3492))"),"TV-G")</f>
        <v>TV-G</v>
      </c>
      <c r="R3492" s="5" t="str">
        <f t="shared" si="2"/>
        <v>Birders</v>
      </c>
      <c r="S3492" s="5" t="str">
        <f>IFERROR(__xludf.DUMMYFUNCTION("""COMPUTED_VALUE"""),"Jack Whitehall: Christmas With My Father")</f>
        <v>Jack Whitehall: Christmas With My Father</v>
      </c>
      <c r="U3492" s="5" t="str">
        <f>IFERROR(__xludf.DUMMYFUNCTION("""COMPUTED_VALUE"""),"Le Van Kiet")</f>
        <v>Le Van Kiet</v>
      </c>
      <c r="V3492" s="5" t="s">
        <v>15362</v>
      </c>
      <c r="W3492" s="5" t="str">
        <f t="shared" si="3"/>
        <v>Richard Claus, Karsten Kiilerich</v>
      </c>
      <c r="X3492" s="5">
        <f t="shared" si="4"/>
        <v>1</v>
      </c>
      <c r="Y3492" s="5" t="str">
        <f>IFERROR(__xludf.DUMMYFUNCTION("REGEXEXTRACT(J3492, ""^\d+"")"),"38")</f>
        <v>38</v>
      </c>
      <c r="Z3492" s="5" t="str">
        <f>IFERROR(__xludf.DUMMYFUNCTION("REGEXEXTRACT(J3492, ""[A-Za-z ]+$"")")," min")</f>
        <v> min</v>
      </c>
      <c r="AA3492" s="5" t="str">
        <f>IFERROR(__xludf.DUMMYFUNCTION("IF(REGEXMATCH(Z3492, ""Season""), ""TV Show"", ""Movie"")"),"Movie")</f>
        <v>Movie</v>
      </c>
    </row>
    <row r="3493">
      <c r="A3493" s="1" t="s">
        <v>19125</v>
      </c>
      <c r="B3493" s="1" t="s">
        <v>37</v>
      </c>
      <c r="C3493" s="1" t="s">
        <v>19126</v>
      </c>
      <c r="E3493" s="1" t="s">
        <v>19127</v>
      </c>
      <c r="F3493" s="1" t="s">
        <v>221</v>
      </c>
      <c r="G3493" s="1" t="s">
        <v>19119</v>
      </c>
      <c r="H3493" s="1">
        <v>2019.0</v>
      </c>
      <c r="I3493" s="1" t="s">
        <v>42</v>
      </c>
      <c r="J3493" s="1" t="s">
        <v>276</v>
      </c>
      <c r="K3493" s="1" t="s">
        <v>9281</v>
      </c>
      <c r="L3493" s="1" t="s">
        <v>19128</v>
      </c>
      <c r="M3493" s="2" t="s">
        <v>12</v>
      </c>
      <c r="N3493" s="4">
        <f t="shared" si="1"/>
        <v>43733</v>
      </c>
      <c r="O3493" s="5" t="str">
        <f>IFERROR(__xludf.DUMMYFUNCTION("IF(REGEXMATCH(TRIM(I3493), ""^\d+\s*min""), ""Unclassified"", IF(I3493 = """", ""NR"", I3493))"),"TV-MA")</f>
        <v>TV-MA</v>
      </c>
      <c r="R3493" s="5" t="str">
        <f t="shared" si="2"/>
        <v>Glitch</v>
      </c>
      <c r="S3493" s="5" t="str">
        <f>IFERROR(__xludf.DUMMYFUNCTION("""COMPUTED_VALUE"""),"Jack Whitehall: I'M Only Joking")</f>
        <v>Jack Whitehall: I'M Only Joking</v>
      </c>
      <c r="U3493" s="5" t="str">
        <f>IFERROR(__xludf.DUMMYFUNCTION("""COMPUTED_VALUE"""),"Adam Del Giudice")</f>
        <v>Adam Del Giudice</v>
      </c>
      <c r="V3493" s="5" t="s">
        <v>19129</v>
      </c>
      <c r="W3493" s="5" t="str">
        <f t="shared" si="3"/>
        <v>Richard Correll</v>
      </c>
      <c r="X3493" s="5">
        <f t="shared" si="4"/>
        <v>1</v>
      </c>
      <c r="Y3493" s="5" t="str">
        <f>IFERROR(__xludf.DUMMYFUNCTION("REGEXEXTRACT(J3493, ""^\d+"")"),"3")</f>
        <v>3</v>
      </c>
      <c r="Z3493" s="5" t="str">
        <f>IFERROR(__xludf.DUMMYFUNCTION("REGEXEXTRACT(J3493, ""[A-Za-z ]+$"")")," Seasons")</f>
        <v> Seasons</v>
      </c>
      <c r="AA3493" s="5" t="str">
        <f>IFERROR(__xludf.DUMMYFUNCTION("IF(REGEXMATCH(Z3493, ""Season""), ""TV Show"", ""Movie"")"),"TV Show")</f>
        <v>TV Show</v>
      </c>
    </row>
    <row r="3494">
      <c r="A3494" s="1" t="s">
        <v>19130</v>
      </c>
      <c r="B3494" s="1" t="s">
        <v>27</v>
      </c>
      <c r="C3494" s="1" t="s">
        <v>19131</v>
      </c>
      <c r="D3494" s="1" t="s">
        <v>2905</v>
      </c>
      <c r="E3494" s="1" t="s">
        <v>19132</v>
      </c>
      <c r="G3494" s="1" t="s">
        <v>19119</v>
      </c>
      <c r="H3494" s="1">
        <v>2019.0</v>
      </c>
      <c r="I3494" s="1" t="s">
        <v>97</v>
      </c>
      <c r="J3494" s="1" t="s">
        <v>11162</v>
      </c>
      <c r="K3494" s="1" t="s">
        <v>230</v>
      </c>
      <c r="L3494" s="1" t="s">
        <v>19133</v>
      </c>
      <c r="M3494" s="2" t="s">
        <v>12</v>
      </c>
      <c r="N3494" s="4">
        <f t="shared" si="1"/>
        <v>43733</v>
      </c>
      <c r="O3494" s="5" t="str">
        <f>IFERROR(__xludf.DUMMYFUNCTION("IF(REGEXMATCH(TRIM(I3494), ""^\d+\s*min""), ""Unclassified"", IF(I3494 = """", ""NR"", I3494))"),"TV-14")</f>
        <v>TV-14</v>
      </c>
      <c r="R3494" s="5" t="str">
        <f t="shared" si="2"/>
        <v>Oh! Baby (Malayalam)</v>
      </c>
      <c r="S3494" s="5" t="str">
        <f>IFERROR(__xludf.DUMMYFUNCTION("""COMPUTED_VALUE"""),"Jack Whitehall: Travels With My Father")</f>
        <v>Jack Whitehall: Travels With My Father</v>
      </c>
      <c r="U3494" s="5" t="str">
        <f>IFERROR(__xludf.DUMMYFUNCTION("""COMPUTED_VALUE"""),"Hoyt Yeatman")</f>
        <v>Hoyt Yeatman</v>
      </c>
      <c r="V3494" s="5" t="s">
        <v>19134</v>
      </c>
      <c r="W3494" s="5" t="str">
        <f t="shared" si="3"/>
        <v>Richard Curtis</v>
      </c>
      <c r="X3494" s="5">
        <f t="shared" si="4"/>
        <v>1</v>
      </c>
      <c r="Y3494" s="5" t="str">
        <f>IFERROR(__xludf.DUMMYFUNCTION("REGEXEXTRACT(J3494, ""^\d+"")"),"146")</f>
        <v>146</v>
      </c>
      <c r="Z3494" s="5" t="str">
        <f>IFERROR(__xludf.DUMMYFUNCTION("REGEXEXTRACT(J3494, ""[A-Za-z ]+$"")")," min")</f>
        <v> min</v>
      </c>
      <c r="AA3494" s="5" t="str">
        <f>IFERROR(__xludf.DUMMYFUNCTION("IF(REGEXMATCH(Z3494, ""Season""), ""TV Show"", ""Movie"")"),"Movie")</f>
        <v>Movie</v>
      </c>
    </row>
    <row r="3495">
      <c r="A3495" s="1" t="s">
        <v>19135</v>
      </c>
      <c r="B3495" s="1" t="s">
        <v>27</v>
      </c>
      <c r="C3495" s="1" t="s">
        <v>19136</v>
      </c>
      <c r="D3495" s="1" t="s">
        <v>2905</v>
      </c>
      <c r="E3495" s="1" t="s">
        <v>19132</v>
      </c>
      <c r="G3495" s="1" t="s">
        <v>19119</v>
      </c>
      <c r="H3495" s="1">
        <v>2019.0</v>
      </c>
      <c r="I3495" s="1" t="s">
        <v>97</v>
      </c>
      <c r="J3495" s="1" t="s">
        <v>11162</v>
      </c>
      <c r="K3495" s="1" t="s">
        <v>230</v>
      </c>
      <c r="L3495" s="1" t="s">
        <v>19133</v>
      </c>
      <c r="M3495" s="2" t="s">
        <v>12</v>
      </c>
      <c r="N3495" s="4">
        <f t="shared" si="1"/>
        <v>43733</v>
      </c>
      <c r="O3495" s="5" t="str">
        <f>IFERROR(__xludf.DUMMYFUNCTION("IF(REGEXMATCH(TRIM(I3495), ""^\d+\s*min""), ""Unclassified"", IF(I3495 = """", ""NR"", I3495))"),"TV-14")</f>
        <v>TV-14</v>
      </c>
      <c r="R3495" s="5" t="str">
        <f t="shared" si="2"/>
        <v>Oh! Baby (Tamil)</v>
      </c>
      <c r="S3495" s="5" t="str">
        <f>IFERROR(__xludf.DUMMYFUNCTION("""COMPUTED_VALUE"""),"Jackie Brown")</f>
        <v>Jackie Brown</v>
      </c>
      <c r="U3495" s="5" t="str">
        <f>IFERROR(__xludf.DUMMYFUNCTION("""COMPUTED_VALUE"""),"Fellipe Barbosa")</f>
        <v>Fellipe Barbosa</v>
      </c>
      <c r="V3495" s="5" t="s">
        <v>19137</v>
      </c>
      <c r="W3495" s="5" t="str">
        <f t="shared" si="3"/>
        <v>Richard Donner</v>
      </c>
      <c r="X3495" s="5">
        <f t="shared" si="4"/>
        <v>1</v>
      </c>
      <c r="Y3495" s="5" t="str">
        <f>IFERROR(__xludf.DUMMYFUNCTION("REGEXEXTRACT(J3495, ""^\d+"")"),"146")</f>
        <v>146</v>
      </c>
      <c r="Z3495" s="5" t="str">
        <f>IFERROR(__xludf.DUMMYFUNCTION("REGEXEXTRACT(J3495, ""[A-Za-z ]+$"")")," min")</f>
        <v> min</v>
      </c>
      <c r="AA3495" s="5" t="str">
        <f>IFERROR(__xludf.DUMMYFUNCTION("IF(REGEXMATCH(Z3495, ""Season""), ""TV Show"", ""Movie"")"),"Movie")</f>
        <v>Movie</v>
      </c>
    </row>
    <row r="3496">
      <c r="A3496" s="1" t="s">
        <v>19138</v>
      </c>
      <c r="B3496" s="1" t="s">
        <v>27</v>
      </c>
      <c r="C3496" s="1" t="s">
        <v>19139</v>
      </c>
      <c r="D3496" s="1" t="s">
        <v>15669</v>
      </c>
      <c r="E3496" s="1" t="s">
        <v>19140</v>
      </c>
      <c r="F3496" s="1" t="s">
        <v>30</v>
      </c>
      <c r="G3496" s="1" t="s">
        <v>19141</v>
      </c>
      <c r="H3496" s="1">
        <v>2019.0</v>
      </c>
      <c r="I3496" s="1" t="s">
        <v>378</v>
      </c>
      <c r="J3496" s="1" t="s">
        <v>256</v>
      </c>
      <c r="K3496" s="1" t="s">
        <v>380</v>
      </c>
      <c r="L3496" s="1" t="s">
        <v>19142</v>
      </c>
      <c r="M3496" s="2" t="s">
        <v>12</v>
      </c>
      <c r="N3496" s="4">
        <f t="shared" si="1"/>
        <v>43732</v>
      </c>
      <c r="O3496" s="5" t="str">
        <f>IFERROR(__xludf.DUMMYFUNCTION("IF(REGEXMATCH(TRIM(I3496), ""^\d+\s*min""), ""Unclassified"", IF(I3496 = """", ""NR"", I3496))"),"R")</f>
        <v>R</v>
      </c>
      <c r="R3496" s="5" t="str">
        <f t="shared" si="2"/>
        <v>Inside Man: Most Wanted</v>
      </c>
      <c r="S3496" s="5" t="str">
        <f>IFERROR(__xludf.DUMMYFUNCTION("""COMPUTED_VALUE"""),"Jackie: A Tale Of Two Sisters")</f>
        <v>Jackie: A Tale Of Two Sisters</v>
      </c>
      <c r="U3496" s="5" t="str">
        <f>IFERROR(__xludf.DUMMYFUNCTION("""COMPUTED_VALUE"""),"Pavel Parkhomenko")</f>
        <v>Pavel Parkhomenko</v>
      </c>
      <c r="V3496" s="5" t="s">
        <v>19143</v>
      </c>
      <c r="W3496" s="5" t="str">
        <f t="shared" si="3"/>
        <v>Richard Finn, Tim Maltby</v>
      </c>
      <c r="X3496" s="5">
        <f t="shared" si="4"/>
        <v>1</v>
      </c>
      <c r="Y3496" s="5" t="str">
        <f>IFERROR(__xludf.DUMMYFUNCTION("REGEXEXTRACT(J3496, ""^\d+"")"),"106")</f>
        <v>106</v>
      </c>
      <c r="Z3496" s="5" t="str">
        <f>IFERROR(__xludf.DUMMYFUNCTION("REGEXEXTRACT(J3496, ""[A-Za-z ]+$"")")," min")</f>
        <v> min</v>
      </c>
      <c r="AA3496" s="5" t="str">
        <f>IFERROR(__xludf.DUMMYFUNCTION("IF(REGEXMATCH(Z3496, ""Season""), ""TV Show"", ""Movie"")"),"Movie")</f>
        <v>Movie</v>
      </c>
    </row>
    <row r="3497">
      <c r="A3497" s="1" t="s">
        <v>19144</v>
      </c>
      <c r="B3497" s="1" t="s">
        <v>27</v>
      </c>
      <c r="C3497" s="1" t="s">
        <v>19145</v>
      </c>
      <c r="D3497" s="1" t="s">
        <v>7037</v>
      </c>
      <c r="E3497" s="1" t="s">
        <v>16997</v>
      </c>
      <c r="F3497" s="1" t="s">
        <v>30</v>
      </c>
      <c r="G3497" s="1" t="s">
        <v>19141</v>
      </c>
      <c r="H3497" s="1">
        <v>2019.0</v>
      </c>
      <c r="I3497" s="1" t="s">
        <v>42</v>
      </c>
      <c r="J3497" s="1" t="s">
        <v>4693</v>
      </c>
      <c r="K3497" s="1" t="s">
        <v>1839</v>
      </c>
      <c r="L3497" s="1" t="s">
        <v>19146</v>
      </c>
      <c r="M3497" s="2" t="s">
        <v>12</v>
      </c>
      <c r="N3497" s="4">
        <f t="shared" si="1"/>
        <v>43732</v>
      </c>
      <c r="O3497" s="5" t="str">
        <f>IFERROR(__xludf.DUMMYFUNCTION("IF(REGEXMATCH(TRIM(I3497), ""^\d+\s*min""), ""Unclassified"", IF(I3497 = """", ""NR"", I3497))"),"TV-MA")</f>
        <v>TV-MA</v>
      </c>
      <c r="R3497" s="5" t="str">
        <f t="shared" si="2"/>
        <v>Jeff Dunham: Beside Himself</v>
      </c>
      <c r="S3497" s="5" t="str">
        <f>IFERROR(__xludf.DUMMYFUNCTION("""COMPUTED_VALUE"""),"Jackpot")</f>
        <v>Jackpot</v>
      </c>
      <c r="U3497" s="5" t="str">
        <f>IFERROR(__xludf.DUMMYFUNCTION("""COMPUTED_VALUE"""),"Ifa Isfansyah")</f>
        <v>Ifa Isfansyah</v>
      </c>
      <c r="V3497" s="5" t="s">
        <v>16481</v>
      </c>
      <c r="W3497" s="5" t="str">
        <f t="shared" si="3"/>
        <v>Richard Gabai</v>
      </c>
      <c r="X3497" s="5">
        <f t="shared" si="4"/>
        <v>1</v>
      </c>
      <c r="Y3497" s="5" t="str">
        <f>IFERROR(__xludf.DUMMYFUNCTION("REGEXEXTRACT(J3497, ""^\d+"")"),"58")</f>
        <v>58</v>
      </c>
      <c r="Z3497" s="5" t="str">
        <f>IFERROR(__xludf.DUMMYFUNCTION("REGEXEXTRACT(J3497, ""[A-Za-z ]+$"")")," min")</f>
        <v> min</v>
      </c>
      <c r="AA3497" s="5" t="str">
        <f>IFERROR(__xludf.DUMMYFUNCTION("IF(REGEXMATCH(Z3497, ""Season""), ""TV Show"", ""Movie"")"),"Movie")</f>
        <v>Movie</v>
      </c>
    </row>
    <row r="3498">
      <c r="A3498" s="1" t="s">
        <v>19147</v>
      </c>
      <c r="B3498" s="1" t="s">
        <v>27</v>
      </c>
      <c r="C3498" s="1" t="s">
        <v>19148</v>
      </c>
      <c r="D3498" s="1" t="s">
        <v>18574</v>
      </c>
      <c r="E3498" s="1" t="s">
        <v>19149</v>
      </c>
      <c r="F3498" s="1" t="s">
        <v>63</v>
      </c>
      <c r="G3498" s="1" t="s">
        <v>19150</v>
      </c>
      <c r="H3498" s="1">
        <v>2019.0</v>
      </c>
      <c r="I3498" s="1" t="s">
        <v>42</v>
      </c>
      <c r="J3498" s="1" t="s">
        <v>14290</v>
      </c>
      <c r="K3498" s="1" t="s">
        <v>583</v>
      </c>
      <c r="L3498" s="1" t="s">
        <v>19151</v>
      </c>
      <c r="M3498" s="2" t="s">
        <v>12</v>
      </c>
      <c r="N3498" s="4">
        <f t="shared" si="1"/>
        <v>43731</v>
      </c>
      <c r="O3498" s="5" t="str">
        <f>IFERROR(__xludf.DUMMYFUNCTION("IF(REGEXMATCH(TRIM(I3498), ""^\d+\s*min""), ""Unclassified"", IF(I3498 = """", ""NR"", I3498))"),"TV-MA")</f>
        <v>TV-MA</v>
      </c>
      <c r="R3498" s="5" t="str">
        <f t="shared" si="2"/>
        <v>Manmadhudu 2</v>
      </c>
      <c r="S3498" s="5" t="str">
        <f>IFERROR(__xludf.DUMMYFUNCTION("""COMPUTED_VALUE"""),"Jacob'S Ladder")</f>
        <v>Jacob'S Ladder</v>
      </c>
      <c r="U3498" s="5" t="str">
        <f>IFERROR(__xludf.DUMMYFUNCTION("""COMPUTED_VALUE"""),"Rudy Soedjarwo")</f>
        <v>Rudy Soedjarwo</v>
      </c>
      <c r="V3498" s="5" t="s">
        <v>10202</v>
      </c>
      <c r="W3498" s="5" t="str">
        <f t="shared" si="3"/>
        <v>Richard Greenberg</v>
      </c>
      <c r="X3498" s="5">
        <f t="shared" si="4"/>
        <v>1</v>
      </c>
      <c r="Y3498" s="5" t="str">
        <f>IFERROR(__xludf.DUMMYFUNCTION("REGEXEXTRACT(J3498, ""^\d+"")"),"152")</f>
        <v>152</v>
      </c>
      <c r="Z3498" s="5" t="str">
        <f>IFERROR(__xludf.DUMMYFUNCTION("REGEXEXTRACT(J3498, ""[A-Za-z ]+$"")")," min")</f>
        <v> min</v>
      </c>
      <c r="AA3498" s="5" t="str">
        <f>IFERROR(__xludf.DUMMYFUNCTION("IF(REGEXMATCH(Z3498, ""Season""), ""TV Show"", ""Movie"")"),"Movie")</f>
        <v>Movie</v>
      </c>
    </row>
    <row r="3499">
      <c r="A3499" s="1" t="s">
        <v>19152</v>
      </c>
      <c r="B3499" s="1" t="s">
        <v>27</v>
      </c>
      <c r="C3499" s="1" t="s">
        <v>19153</v>
      </c>
      <c r="D3499" s="1" t="s">
        <v>2476</v>
      </c>
      <c r="E3499" s="1" t="s">
        <v>19154</v>
      </c>
      <c r="F3499" s="1" t="s">
        <v>30</v>
      </c>
      <c r="G3499" s="1" t="s">
        <v>19150</v>
      </c>
      <c r="H3499" s="1">
        <v>2018.0</v>
      </c>
      <c r="I3499" s="1" t="s">
        <v>42</v>
      </c>
      <c r="J3499" s="1" t="s">
        <v>630</v>
      </c>
      <c r="K3499" s="1" t="s">
        <v>5295</v>
      </c>
      <c r="L3499" s="1" t="s">
        <v>19155</v>
      </c>
      <c r="M3499" s="2" t="s">
        <v>12</v>
      </c>
      <c r="N3499" s="4">
        <f t="shared" si="1"/>
        <v>43731</v>
      </c>
      <c r="O3499" s="5" t="str">
        <f>IFERROR(__xludf.DUMMYFUNCTION("IF(REGEXMATCH(TRIM(I3499), ""^\d+\s*min""), ""Unclassified"", IF(I3499 = """", ""NR"", I3499))"),"TV-MA")</f>
        <v>TV-MA</v>
      </c>
      <c r="R3499" s="5" t="str">
        <f t="shared" si="2"/>
        <v>Under The Eiffel Tower</v>
      </c>
      <c r="S3499" s="5" t="str">
        <f>IFERROR(__xludf.DUMMYFUNCTION("""COMPUTED_VALUE"""),"Jada")</f>
        <v>Jada</v>
      </c>
      <c r="U3499" s="5" t="str">
        <f>IFERROR(__xludf.DUMMYFUNCTION("""COMPUTED_VALUE"""),"Hiroshi Katagiri")</f>
        <v>Hiroshi Katagiri</v>
      </c>
      <c r="V3499" s="5" t="s">
        <v>19156</v>
      </c>
      <c r="W3499" s="5" t="str">
        <f t="shared" si="3"/>
        <v>Richard Kelly</v>
      </c>
      <c r="X3499" s="5">
        <f t="shared" si="4"/>
        <v>1</v>
      </c>
      <c r="Y3499" s="5" t="str">
        <f>IFERROR(__xludf.DUMMYFUNCTION("REGEXEXTRACT(J3499, ""^\d+"")"),"87")</f>
        <v>87</v>
      </c>
      <c r="Z3499" s="5" t="str">
        <f>IFERROR(__xludf.DUMMYFUNCTION("REGEXEXTRACT(J3499, ""[A-Za-z ]+$"")")," min")</f>
        <v> min</v>
      </c>
      <c r="AA3499" s="5" t="str">
        <f>IFERROR(__xludf.DUMMYFUNCTION("IF(REGEXMATCH(Z3499, ""Season""), ""TV Show"", ""Movie"")"),"Movie")</f>
        <v>Movie</v>
      </c>
    </row>
    <row r="3500">
      <c r="A3500" s="1" t="s">
        <v>19157</v>
      </c>
      <c r="B3500" s="1" t="s">
        <v>27</v>
      </c>
      <c r="C3500" s="1" t="s">
        <v>19158</v>
      </c>
      <c r="D3500" s="1" t="s">
        <v>6295</v>
      </c>
      <c r="E3500" s="1" t="s">
        <v>19159</v>
      </c>
      <c r="F3500" s="1" t="s">
        <v>63</v>
      </c>
      <c r="G3500" s="1" t="s">
        <v>19160</v>
      </c>
      <c r="H3500" s="1">
        <v>2009.0</v>
      </c>
      <c r="I3500" s="1" t="s">
        <v>42</v>
      </c>
      <c r="J3500" s="1" t="s">
        <v>941</v>
      </c>
      <c r="K3500" s="1" t="s">
        <v>89</v>
      </c>
      <c r="L3500" s="1" t="s">
        <v>19161</v>
      </c>
      <c r="M3500" s="2" t="s">
        <v>12</v>
      </c>
      <c r="N3500" s="4">
        <f t="shared" si="1"/>
        <v>43730</v>
      </c>
      <c r="O3500" s="5" t="str">
        <f>IFERROR(__xludf.DUMMYFUNCTION("IF(REGEXMATCH(TRIM(I3500), ""^\d+\s*min""), ""Unclassified"", IF(I3500 = """", ""NR"", I3500))"),"TV-MA")</f>
        <v>TV-MA</v>
      </c>
      <c r="R3500" s="5" t="str">
        <f t="shared" si="2"/>
        <v>Do Paise Ki Dhoop Chaar Aane Ki Baarish</v>
      </c>
      <c r="S3500" s="5" t="str">
        <f>IFERROR(__xludf.DUMMYFUNCTION("""COMPUTED_VALUE"""),"Jag Älskar Dig: En Skilsmässokomedi")</f>
        <v>Jag Älskar Dig: En Skilsmässokomedi</v>
      </c>
      <c r="U3500" s="5" t="str">
        <f>IFERROR(__xludf.DUMMYFUNCTION("""COMPUTED_VALUE"""),"Manbhavan Singh")</f>
        <v>Manbhavan Singh</v>
      </c>
      <c r="V3500" s="5" t="s">
        <v>19162</v>
      </c>
      <c r="W3500" s="5" t="str">
        <f t="shared" si="3"/>
        <v>Richard Lagravenese</v>
      </c>
      <c r="X3500" s="5">
        <f t="shared" si="4"/>
        <v>2</v>
      </c>
      <c r="Y3500" s="5" t="str">
        <f>IFERROR(__xludf.DUMMYFUNCTION("REGEXEXTRACT(J3500, ""^\d+"")"),"121")</f>
        <v>121</v>
      </c>
      <c r="Z3500" s="5" t="str">
        <f>IFERROR(__xludf.DUMMYFUNCTION("REGEXEXTRACT(J3500, ""[A-Za-z ]+$"")")," min")</f>
        <v> min</v>
      </c>
      <c r="AA3500" s="5" t="str">
        <f>IFERROR(__xludf.DUMMYFUNCTION("IF(REGEXMATCH(Z3500, ""Season""), ""TV Show"", ""Movie"")"),"Movie")</f>
        <v>Movie</v>
      </c>
    </row>
    <row r="3501">
      <c r="A3501" s="1" t="s">
        <v>19163</v>
      </c>
      <c r="B3501" s="1" t="s">
        <v>37</v>
      </c>
      <c r="C3501" s="1" t="s">
        <v>19164</v>
      </c>
      <c r="E3501" s="1" t="s">
        <v>19165</v>
      </c>
      <c r="F3501" s="1" t="s">
        <v>749</v>
      </c>
      <c r="G3501" s="1" t="s">
        <v>19166</v>
      </c>
      <c r="H3501" s="1">
        <v>2019.0</v>
      </c>
      <c r="I3501" s="1" t="s">
        <v>42</v>
      </c>
      <c r="J3501" s="1" t="s">
        <v>51</v>
      </c>
      <c r="K3501" s="1" t="s">
        <v>14196</v>
      </c>
      <c r="L3501" s="1" t="s">
        <v>19167</v>
      </c>
      <c r="M3501" s="2" t="s">
        <v>12</v>
      </c>
      <c r="N3501" s="4">
        <f t="shared" si="1"/>
        <v>43729</v>
      </c>
      <c r="O3501" s="5" t="str">
        <f>IFERROR(__xludf.DUMMYFUNCTION("IF(REGEXMATCH(TRIM(I3501), ""^\d+\s*min""), ""Unclassified"", IF(I3501 = """", ""NR"", I3501))"),"TV-MA")</f>
        <v>TV-MA</v>
      </c>
      <c r="R3501" s="5" t="str">
        <f t="shared" si="2"/>
        <v>Vagabond</v>
      </c>
      <c r="S3501" s="5" t="str">
        <f>IFERROR(__xludf.DUMMYFUNCTION("""COMPUTED_VALUE"""),"Jagame Thandhiram")</f>
        <v>Jagame Thandhiram</v>
      </c>
      <c r="U3501" s="5" t="str">
        <f>IFERROR(__xludf.DUMMYFUNCTION("""COMPUTED_VALUE"""),"P.K. Baaburaaj")</f>
        <v>P.K. Baaburaaj</v>
      </c>
      <c r="V3501" s="5" t="s">
        <v>9416</v>
      </c>
      <c r="W3501" s="5" t="str">
        <f t="shared" si="3"/>
        <v>Richard Laxton</v>
      </c>
      <c r="X3501" s="5">
        <f t="shared" si="4"/>
        <v>1</v>
      </c>
      <c r="Y3501" s="5" t="str">
        <f>IFERROR(__xludf.DUMMYFUNCTION("REGEXEXTRACT(J3501, ""^\d+"")"),"1")</f>
        <v>1</v>
      </c>
      <c r="Z3501" s="5" t="str">
        <f>IFERROR(__xludf.DUMMYFUNCTION("REGEXEXTRACT(J3501, ""[A-Za-z ]+$"")")," Season")</f>
        <v> Season</v>
      </c>
      <c r="AA3501" s="5" t="str">
        <f>IFERROR(__xludf.DUMMYFUNCTION("IF(REGEXMATCH(Z3501, ""Season""), ""TV Show"", ""Movie"")"),"TV Show")</f>
        <v>TV Show</v>
      </c>
    </row>
    <row r="3502">
      <c r="A3502" s="1" t="s">
        <v>19168</v>
      </c>
      <c r="B3502" s="1" t="s">
        <v>27</v>
      </c>
      <c r="C3502" s="1" t="s">
        <v>19169</v>
      </c>
      <c r="D3502" s="1" t="s">
        <v>19170</v>
      </c>
      <c r="E3502" s="1" t="s">
        <v>19171</v>
      </c>
      <c r="F3502" s="1" t="s">
        <v>30</v>
      </c>
      <c r="G3502" s="1" t="s">
        <v>19172</v>
      </c>
      <c r="H3502" s="1">
        <v>2019.0</v>
      </c>
      <c r="I3502" s="1" t="s">
        <v>42</v>
      </c>
      <c r="J3502" s="1" t="s">
        <v>490</v>
      </c>
      <c r="K3502" s="1" t="s">
        <v>239</v>
      </c>
      <c r="L3502" s="1" t="s">
        <v>19173</v>
      </c>
      <c r="M3502" s="2" t="s">
        <v>12</v>
      </c>
      <c r="N3502" s="4">
        <f t="shared" si="1"/>
        <v>43728</v>
      </c>
      <c r="O3502" s="5" t="str">
        <f>IFERROR(__xludf.DUMMYFUNCTION("IF(REGEXMATCH(TRIM(I3502), ""^\d+\s*min""), ""Unclassified"", IF(I3502 = """", ""NR"", I3502))"),"TV-MA")</f>
        <v>TV-MA</v>
      </c>
      <c r="R3502" s="5" t="str">
        <f t="shared" si="2"/>
        <v>Between Two Ferns: The Movie</v>
      </c>
      <c r="S3502" s="5" t="str">
        <f>IFERROR(__xludf.DUMMYFUNCTION("""COMPUTED_VALUE"""),"Jagat")</f>
        <v>Jagat</v>
      </c>
      <c r="U3502" s="5" t="str">
        <f>IFERROR(__xludf.DUMMYFUNCTION("""COMPUTED_VALUE"""),"David Grossman")</f>
        <v>David Grossman</v>
      </c>
      <c r="V3502" s="5" t="s">
        <v>1203</v>
      </c>
      <c r="W3502" s="5" t="str">
        <f t="shared" si="3"/>
        <v>Richard Linklater</v>
      </c>
      <c r="X3502" s="5">
        <f t="shared" si="4"/>
        <v>1</v>
      </c>
      <c r="Y3502" s="5" t="str">
        <f>IFERROR(__xludf.DUMMYFUNCTION("REGEXEXTRACT(J3502, ""^\d+"")"),"83")</f>
        <v>83</v>
      </c>
      <c r="Z3502" s="5" t="str">
        <f>IFERROR(__xludf.DUMMYFUNCTION("REGEXEXTRACT(J3502, ""[A-Za-z ]+$"")")," min")</f>
        <v> min</v>
      </c>
      <c r="AA3502" s="5" t="str">
        <f>IFERROR(__xludf.DUMMYFUNCTION("IF(REGEXMATCH(Z3502, ""Season""), ""TV Show"", ""Movie"")"),"Movie")</f>
        <v>Movie</v>
      </c>
    </row>
    <row r="3503">
      <c r="A3503" s="1" t="s">
        <v>19174</v>
      </c>
      <c r="B3503" s="1" t="s">
        <v>37</v>
      </c>
      <c r="C3503" s="1" t="s">
        <v>19175</v>
      </c>
      <c r="E3503" s="1" t="s">
        <v>19176</v>
      </c>
      <c r="G3503" s="1" t="s">
        <v>19172</v>
      </c>
      <c r="H3503" s="1">
        <v>2019.0</v>
      </c>
      <c r="I3503" s="1" t="s">
        <v>42</v>
      </c>
      <c r="J3503" s="1" t="s">
        <v>51</v>
      </c>
      <c r="K3503" s="1" t="s">
        <v>1362</v>
      </c>
      <c r="L3503" s="1" t="s">
        <v>19177</v>
      </c>
      <c r="M3503" s="2" t="s">
        <v>12</v>
      </c>
      <c r="N3503" s="4">
        <f t="shared" si="1"/>
        <v>43728</v>
      </c>
      <c r="O3503" s="5" t="str">
        <f>IFERROR(__xludf.DUMMYFUNCTION("IF(REGEXMATCH(TRIM(I3503), ""^\d+\s*min""), ""Unclassified"", IF(I3503 = """", ""NR"", I3503))"),"TV-MA")</f>
        <v>TV-MA</v>
      </c>
      <c r="R3503" s="5" t="str">
        <f t="shared" si="2"/>
        <v>Criminal: France</v>
      </c>
      <c r="S3503" s="5" t="str">
        <f>IFERROR(__xludf.DUMMYFUNCTION("""COMPUTED_VALUE"""),"Jagga Jasoos")</f>
        <v>Jagga Jasoos</v>
      </c>
      <c r="U3503" s="5" t="str">
        <f>IFERROR(__xludf.DUMMYFUNCTION("""COMPUTED_VALUE"""),"Guy Vasilovich")</f>
        <v>Guy Vasilovich</v>
      </c>
      <c r="V3503" s="5" t="s">
        <v>19178</v>
      </c>
      <c r="W3503" s="5" t="str">
        <f t="shared" si="3"/>
        <v>Richard Loncraine</v>
      </c>
      <c r="X3503" s="5">
        <f t="shared" si="4"/>
        <v>1</v>
      </c>
      <c r="Y3503" s="5" t="str">
        <f>IFERROR(__xludf.DUMMYFUNCTION("REGEXEXTRACT(J3503, ""^\d+"")"),"1")</f>
        <v>1</v>
      </c>
      <c r="Z3503" s="5" t="str">
        <f>IFERROR(__xludf.DUMMYFUNCTION("REGEXEXTRACT(J3503, ""[A-Za-z ]+$"")")," Season")</f>
        <v> Season</v>
      </c>
      <c r="AA3503" s="5" t="str">
        <f>IFERROR(__xludf.DUMMYFUNCTION("IF(REGEXMATCH(Z3503, ""Season""), ""TV Show"", ""Movie"")"),"TV Show")</f>
        <v>TV Show</v>
      </c>
    </row>
    <row r="3504">
      <c r="A3504" s="1" t="s">
        <v>19179</v>
      </c>
      <c r="B3504" s="1" t="s">
        <v>37</v>
      </c>
      <c r="C3504" s="1" t="s">
        <v>19180</v>
      </c>
      <c r="E3504" s="1" t="s">
        <v>19181</v>
      </c>
      <c r="F3504" s="1" t="s">
        <v>2492</v>
      </c>
      <c r="G3504" s="1" t="s">
        <v>19172</v>
      </c>
      <c r="H3504" s="1">
        <v>2019.0</v>
      </c>
      <c r="I3504" s="1" t="s">
        <v>42</v>
      </c>
      <c r="J3504" s="1" t="s">
        <v>51</v>
      </c>
      <c r="K3504" s="1" t="s">
        <v>3274</v>
      </c>
      <c r="L3504" s="1" t="s">
        <v>19182</v>
      </c>
      <c r="M3504" s="2" t="s">
        <v>12</v>
      </c>
      <c r="N3504" s="4">
        <f t="shared" si="1"/>
        <v>43728</v>
      </c>
      <c r="O3504" s="5" t="str">
        <f>IFERROR(__xludf.DUMMYFUNCTION("IF(REGEXMATCH(TRIM(I3504), ""^\d+\s*min""), ""Unclassified"", IF(I3504 = """", ""NR"", I3504))"),"TV-MA")</f>
        <v>TV-MA</v>
      </c>
      <c r="R3504" s="5" t="str">
        <f t="shared" si="2"/>
        <v>Criminal: Germany</v>
      </c>
      <c r="S3504" s="5" t="str">
        <f>IFERROR(__xludf.DUMMYFUNCTION("""COMPUTED_VALUE"""),"Jaguar")</f>
        <v>Jaguar</v>
      </c>
      <c r="U3504" s="5" t="str">
        <f>IFERROR(__xludf.DUMMYFUNCTION("""COMPUTED_VALUE"""),"Nicholas Stoller")</f>
        <v>Nicholas Stoller</v>
      </c>
      <c r="V3504" s="5" t="s">
        <v>19183</v>
      </c>
      <c r="W3504" s="5" t="str">
        <f t="shared" si="3"/>
        <v>Richard Mears</v>
      </c>
      <c r="X3504" s="5">
        <f t="shared" si="4"/>
        <v>1</v>
      </c>
      <c r="Y3504" s="5" t="str">
        <f>IFERROR(__xludf.DUMMYFUNCTION("REGEXEXTRACT(J3504, ""^\d+"")"),"1")</f>
        <v>1</v>
      </c>
      <c r="Z3504" s="5" t="str">
        <f>IFERROR(__xludf.DUMMYFUNCTION("REGEXEXTRACT(J3504, ""[A-Za-z ]+$"")")," Season")</f>
        <v> Season</v>
      </c>
      <c r="AA3504" s="5" t="str">
        <f>IFERROR(__xludf.DUMMYFUNCTION("IF(REGEXMATCH(Z3504, ""Season""), ""TV Show"", ""Movie"")"),"TV Show")</f>
        <v>TV Show</v>
      </c>
    </row>
    <row r="3505">
      <c r="A3505" s="1" t="s">
        <v>19184</v>
      </c>
      <c r="B3505" s="1" t="s">
        <v>37</v>
      </c>
      <c r="C3505" s="1" t="s">
        <v>19185</v>
      </c>
      <c r="D3505" s="1" t="s">
        <v>14718</v>
      </c>
      <c r="E3505" s="1" t="s">
        <v>19186</v>
      </c>
      <c r="F3505" s="1" t="s">
        <v>784</v>
      </c>
      <c r="G3505" s="1" t="s">
        <v>19172</v>
      </c>
      <c r="H3505" s="1">
        <v>2019.0</v>
      </c>
      <c r="I3505" s="1" t="s">
        <v>42</v>
      </c>
      <c r="J3505" s="1" t="s">
        <v>51</v>
      </c>
      <c r="K3505" s="1" t="s">
        <v>3274</v>
      </c>
      <c r="L3505" s="1" t="s">
        <v>19187</v>
      </c>
      <c r="M3505" s="2" t="s">
        <v>12</v>
      </c>
      <c r="N3505" s="4">
        <f t="shared" si="1"/>
        <v>43728</v>
      </c>
      <c r="O3505" s="5" t="str">
        <f>IFERROR(__xludf.DUMMYFUNCTION("IF(REGEXMATCH(TRIM(I3505), ""^\d+\s*min""), ""Unclassified"", IF(I3505 = """", ""NR"", I3505))"),"TV-MA")</f>
        <v>TV-MA</v>
      </c>
      <c r="R3505" s="5" t="str">
        <f t="shared" si="2"/>
        <v>Criminal: Spain</v>
      </c>
      <c r="S3505" s="5" t="str">
        <f>IFERROR(__xludf.DUMMYFUNCTION("""COMPUTED_VALUE"""),"Jai Mummy Di")</f>
        <v>Jai Mummy Di</v>
      </c>
      <c r="U3505" s="5" t="str">
        <f>IFERROR(__xludf.DUMMYFUNCTION("""COMPUTED_VALUE"""),"David Silberg")</f>
        <v>David Silberg</v>
      </c>
      <c r="V3505" s="5" t="s">
        <v>19188</v>
      </c>
      <c r="W3505" s="5" t="str">
        <f t="shared" si="3"/>
        <v>Richard Michaels</v>
      </c>
      <c r="X3505" s="5">
        <f t="shared" si="4"/>
        <v>1</v>
      </c>
      <c r="Y3505" s="5" t="str">
        <f>IFERROR(__xludf.DUMMYFUNCTION("REGEXEXTRACT(J3505, ""^\d+"")"),"1")</f>
        <v>1</v>
      </c>
      <c r="Z3505" s="5" t="str">
        <f>IFERROR(__xludf.DUMMYFUNCTION("REGEXEXTRACT(J3505, ""[A-Za-z ]+$"")")," Season")</f>
        <v> Season</v>
      </c>
      <c r="AA3505" s="5" t="str">
        <f>IFERROR(__xludf.DUMMYFUNCTION("IF(REGEXMATCH(Z3505, ""Season""), ""TV Show"", ""Movie"")"),"TV Show")</f>
        <v>TV Show</v>
      </c>
    </row>
    <row r="3506">
      <c r="A3506" s="1" t="s">
        <v>19189</v>
      </c>
      <c r="B3506" s="1" t="s">
        <v>37</v>
      </c>
      <c r="C3506" s="1" t="s">
        <v>19190</v>
      </c>
      <c r="F3506" s="1" t="s">
        <v>30</v>
      </c>
      <c r="G3506" s="1" t="s">
        <v>19172</v>
      </c>
      <c r="H3506" s="1">
        <v>2019.0</v>
      </c>
      <c r="I3506" s="1" t="s">
        <v>42</v>
      </c>
      <c r="J3506" s="1" t="s">
        <v>43</v>
      </c>
      <c r="K3506" s="1" t="s">
        <v>440</v>
      </c>
      <c r="L3506" s="1" t="s">
        <v>19191</v>
      </c>
      <c r="M3506" s="2" t="s">
        <v>12</v>
      </c>
      <c r="N3506" s="4">
        <f t="shared" si="1"/>
        <v>43728</v>
      </c>
      <c r="O3506" s="5" t="str">
        <f>IFERROR(__xludf.DUMMYFUNCTION("IF(REGEXMATCH(TRIM(I3506), ""^\d+\s*min""), ""Unclassified"", IF(I3506 = """", ""NR"", I3506))"),"TV-MA")</f>
        <v>TV-MA</v>
      </c>
      <c r="R3506" s="5" t="str">
        <f t="shared" si="2"/>
        <v>Fastest Car</v>
      </c>
      <c r="S3506" s="5" t="str">
        <f>IFERROR(__xludf.DUMMYFUNCTION("""COMPUTED_VALUE"""),"Jail")</f>
        <v>Jail</v>
      </c>
      <c r="U3506" s="5" t="str">
        <f>IFERROR(__xludf.DUMMYFUNCTION("""COMPUTED_VALUE"""),"Rich Ragsdale")</f>
        <v>Rich Ragsdale</v>
      </c>
      <c r="V3506" s="5" t="s">
        <v>19192</v>
      </c>
      <c r="W3506" s="5" t="str">
        <f t="shared" si="3"/>
        <v>Richard Miron</v>
      </c>
      <c r="X3506" s="5">
        <f t="shared" si="4"/>
        <v>1</v>
      </c>
      <c r="Y3506" s="5" t="str">
        <f>IFERROR(__xludf.DUMMYFUNCTION("REGEXEXTRACT(J3506, ""^\d+"")"),"2")</f>
        <v>2</v>
      </c>
      <c r="Z3506" s="5" t="str">
        <f>IFERROR(__xludf.DUMMYFUNCTION("REGEXEXTRACT(J3506, ""[A-Za-z ]+$"")")," Seasons")</f>
        <v> Seasons</v>
      </c>
      <c r="AA3506" s="5" t="str">
        <f>IFERROR(__xludf.DUMMYFUNCTION("IF(REGEXMATCH(Z3506, ""Season""), ""TV Show"", ""Movie"")"),"TV Show")</f>
        <v>TV Show</v>
      </c>
    </row>
    <row r="3507">
      <c r="A3507" s="1" t="s">
        <v>19193</v>
      </c>
      <c r="B3507" s="1" t="s">
        <v>37</v>
      </c>
      <c r="C3507" s="1" t="s">
        <v>19194</v>
      </c>
      <c r="E3507" s="1" t="s">
        <v>19195</v>
      </c>
      <c r="F3507" s="1" t="s">
        <v>30</v>
      </c>
      <c r="G3507" s="1" t="s">
        <v>19172</v>
      </c>
      <c r="H3507" s="1">
        <v>2019.0</v>
      </c>
      <c r="I3507" s="1" t="s">
        <v>97</v>
      </c>
      <c r="J3507" s="1" t="s">
        <v>51</v>
      </c>
      <c r="K3507" s="1" t="s">
        <v>736</v>
      </c>
      <c r="L3507" s="1" t="s">
        <v>19196</v>
      </c>
      <c r="M3507" s="2" t="s">
        <v>12</v>
      </c>
      <c r="N3507" s="4">
        <f t="shared" si="1"/>
        <v>43728</v>
      </c>
      <c r="O3507" s="5" t="str">
        <f>IFERROR(__xludf.DUMMYFUNCTION("IF(REGEXMATCH(TRIM(I3507), ""^\d+\s*min""), ""Unclassified"", IF(I3507 = """", ""NR"", I3507))"),"TV-14")</f>
        <v>TV-14</v>
      </c>
      <c r="R3507" s="5" t="str">
        <f t="shared" si="2"/>
        <v>Inside Bill'S Brain: Decoding Bill Gates</v>
      </c>
      <c r="S3507" s="5" t="str">
        <f>IFERROR(__xludf.DUMMYFUNCTION("""COMPUTED_VALUE"""),"Jailbirds")</f>
        <v>Jailbirds</v>
      </c>
      <c r="U3507" s="5" t="str">
        <f>IFERROR(__xludf.DUMMYFUNCTION("""COMPUTED_VALUE"""),"Kazuchika Kise, Masahiko Murata")</f>
        <v>Kazuchika Kise, Masahiko Murata</v>
      </c>
      <c r="V3507" s="5" t="s">
        <v>16233</v>
      </c>
      <c r="W3507" s="5" t="str">
        <f t="shared" si="3"/>
        <v>Richard Phelan, Will Becher</v>
      </c>
      <c r="X3507" s="5">
        <f t="shared" si="4"/>
        <v>1</v>
      </c>
      <c r="Y3507" s="5" t="str">
        <f>IFERROR(__xludf.DUMMYFUNCTION("REGEXEXTRACT(J3507, ""^\d+"")"),"1")</f>
        <v>1</v>
      </c>
      <c r="Z3507" s="5" t="str">
        <f>IFERROR(__xludf.DUMMYFUNCTION("REGEXEXTRACT(J3507, ""[A-Za-z ]+$"")")," Season")</f>
        <v> Season</v>
      </c>
      <c r="AA3507" s="5" t="str">
        <f>IFERROR(__xludf.DUMMYFUNCTION("IF(REGEXMATCH(Z3507, ""Season""), ""TV Show"", ""Movie"")"),"TV Show")</f>
        <v>TV Show</v>
      </c>
    </row>
    <row r="3508">
      <c r="A3508" s="1" t="s">
        <v>19197</v>
      </c>
      <c r="B3508" s="1" t="s">
        <v>37</v>
      </c>
      <c r="C3508" s="1" t="s">
        <v>19198</v>
      </c>
      <c r="D3508" s="1" t="s">
        <v>12962</v>
      </c>
      <c r="E3508" s="1" t="s">
        <v>19199</v>
      </c>
      <c r="F3508" s="1" t="s">
        <v>784</v>
      </c>
      <c r="G3508" s="1" t="s">
        <v>19172</v>
      </c>
      <c r="H3508" s="1">
        <v>2019.0</v>
      </c>
      <c r="I3508" s="1" t="s">
        <v>42</v>
      </c>
      <c r="J3508" s="1" t="s">
        <v>51</v>
      </c>
      <c r="K3508" s="1" t="s">
        <v>1531</v>
      </c>
      <c r="L3508" s="1" t="s">
        <v>19200</v>
      </c>
      <c r="M3508" s="2" t="s">
        <v>12</v>
      </c>
      <c r="N3508" s="4">
        <f t="shared" si="1"/>
        <v>43728</v>
      </c>
      <c r="O3508" s="5" t="str">
        <f>IFERROR(__xludf.DUMMYFUNCTION("IF(REGEXMATCH(TRIM(I3508), ""^\d+\s*min""), ""Unclassified"", IF(I3508 = """", ""NR"", I3508))"),"TV-MA")</f>
        <v>TV-MA</v>
      </c>
      <c r="R3508" s="5" t="str">
        <f t="shared" si="2"/>
        <v>The Hockey Girls</v>
      </c>
      <c r="S3508" s="5" t="str">
        <f>IFERROR(__xludf.DUMMYFUNCTION("""COMPUTED_VALUE"""),"Jailbirds New Orleans")</f>
        <v>Jailbirds New Orleans</v>
      </c>
      <c r="U3508" s="5" t="str">
        <f>IFERROR(__xludf.DUMMYFUNCTION("""COMPUTED_VALUE"""),"Kazuchika Kise")</f>
        <v>Kazuchika Kise</v>
      </c>
      <c r="V3508" s="5" t="s">
        <v>19201</v>
      </c>
      <c r="W3508" s="5" t="str">
        <f t="shared" si="3"/>
        <v>Richard Rich</v>
      </c>
      <c r="X3508" s="5">
        <f t="shared" si="4"/>
        <v>2</v>
      </c>
      <c r="Y3508" s="5" t="str">
        <f>IFERROR(__xludf.DUMMYFUNCTION("REGEXEXTRACT(J3508, ""^\d+"")"),"1")</f>
        <v>1</v>
      </c>
      <c r="Z3508" s="5" t="str">
        <f>IFERROR(__xludf.DUMMYFUNCTION("REGEXEXTRACT(J3508, ""[A-Za-z ]+$"")")," Season")</f>
        <v> Season</v>
      </c>
      <c r="AA3508" s="5" t="str">
        <f>IFERROR(__xludf.DUMMYFUNCTION("IF(REGEXMATCH(Z3508, ""Season""), ""TV Show"", ""Movie"")"),"TV Show")</f>
        <v>TV Show</v>
      </c>
    </row>
    <row r="3509">
      <c r="A3509" s="1" t="s">
        <v>19202</v>
      </c>
      <c r="B3509" s="1" t="s">
        <v>27</v>
      </c>
      <c r="C3509" s="1" t="s">
        <v>19203</v>
      </c>
      <c r="D3509" s="1" t="s">
        <v>3102</v>
      </c>
      <c r="E3509" s="1" t="s">
        <v>19204</v>
      </c>
      <c r="F3509" s="1" t="s">
        <v>188</v>
      </c>
      <c r="G3509" s="1" t="s">
        <v>19172</v>
      </c>
      <c r="H3509" s="1">
        <v>2018.0</v>
      </c>
      <c r="I3509" s="1" t="s">
        <v>42</v>
      </c>
      <c r="J3509" s="1" t="s">
        <v>264</v>
      </c>
      <c r="K3509" s="1" t="s">
        <v>199</v>
      </c>
      <c r="L3509" s="1" t="s">
        <v>19205</v>
      </c>
      <c r="M3509" s="2" t="s">
        <v>12</v>
      </c>
      <c r="N3509" s="4">
        <f t="shared" si="1"/>
        <v>43728</v>
      </c>
      <c r="O3509" s="5" t="str">
        <f>IFERROR(__xludf.DUMMYFUNCTION("IF(REGEXMATCH(TRIM(I3509), ""^\d+\s*min""), ""Unclassified"", IF(I3509 = """", ""NR"", I3509))"),"TV-MA")</f>
        <v>TV-MA</v>
      </c>
      <c r="R3509" s="5" t="str">
        <f t="shared" si="2"/>
        <v>Travel Mates 2</v>
      </c>
      <c r="S3509" s="5" t="str">
        <f>IFERROR(__xludf.DUMMYFUNCTION("""COMPUTED_VALUE"""),"Jailbreak")</f>
        <v>Jailbreak</v>
      </c>
      <c r="U3509" s="5" t="str">
        <f>IFERROR(__xludf.DUMMYFUNCTION("""COMPUTED_VALUE"""),"Partho Ghosh")</f>
        <v>Partho Ghosh</v>
      </c>
      <c r="V3509" s="5" t="s">
        <v>19206</v>
      </c>
      <c r="W3509" s="5" t="str">
        <f t="shared" si="3"/>
        <v>Richard Sears</v>
      </c>
      <c r="X3509" s="5">
        <f t="shared" si="4"/>
        <v>1</v>
      </c>
      <c r="Y3509" s="5" t="str">
        <f>IFERROR(__xludf.DUMMYFUNCTION("REGEXEXTRACT(J3509, ""^\d+"")"),"111")</f>
        <v>111</v>
      </c>
      <c r="Z3509" s="5" t="str">
        <f>IFERROR(__xludf.DUMMYFUNCTION("REGEXEXTRACT(J3509, ""[A-Za-z ]+$"")")," min")</f>
        <v> min</v>
      </c>
      <c r="AA3509" s="5" t="str">
        <f>IFERROR(__xludf.DUMMYFUNCTION("IF(REGEXMATCH(Z3509, ""Season""), ""TV Show"", ""Movie"")"),"Movie")</f>
        <v>Movie</v>
      </c>
    </row>
    <row r="3510">
      <c r="A3510" s="1" t="s">
        <v>19207</v>
      </c>
      <c r="B3510" s="1" t="s">
        <v>27</v>
      </c>
      <c r="C3510" s="1" t="s">
        <v>19208</v>
      </c>
      <c r="E3510" s="1" t="s">
        <v>11915</v>
      </c>
      <c r="F3510" s="1" t="s">
        <v>1106</v>
      </c>
      <c r="G3510" s="1" t="s">
        <v>19172</v>
      </c>
      <c r="H3510" s="1">
        <v>2019.0</v>
      </c>
      <c r="I3510" s="1" t="s">
        <v>206</v>
      </c>
      <c r="J3510" s="1" t="s">
        <v>7058</v>
      </c>
      <c r="K3510" s="1" t="s">
        <v>80</v>
      </c>
      <c r="L3510" s="1" t="s">
        <v>19209</v>
      </c>
      <c r="M3510" s="2" t="s">
        <v>12</v>
      </c>
      <c r="N3510" s="4">
        <f t="shared" si="1"/>
        <v>43728</v>
      </c>
      <c r="O3510" s="5" t="str">
        <f>IFERROR(__xludf.DUMMYFUNCTION("IF(REGEXMATCH(TRIM(I3510), ""^\d+\s*min""), ""Unclassified"", IF(I3510 = """", ""NR"", I3510))"),"TV-Y")</f>
        <v>TV-Y</v>
      </c>
      <c r="R3510" s="5" t="str">
        <f t="shared" si="2"/>
        <v>True: Tricky Treat Day</v>
      </c>
      <c r="S3510" s="5" t="str">
        <f>IFERROR(__xludf.DUMMYFUNCTION("""COMPUTED_VALUE"""),"Jake'S Buccaneer Blast")</f>
        <v>Jake'S Buccaneer Blast</v>
      </c>
      <c r="U3510" s="5" t="str">
        <f>IFERROR(__xludf.DUMMYFUNCTION("""COMPUTED_VALUE"""),"Vincente Minnelli, Charles Walters")</f>
        <v>Vincente Minnelli, Charles Walters</v>
      </c>
      <c r="V3510" s="5" t="s">
        <v>19210</v>
      </c>
      <c r="W3510" s="5" t="str">
        <f t="shared" si="3"/>
        <v>Richard Shepard</v>
      </c>
      <c r="X3510" s="5">
        <f t="shared" si="4"/>
        <v>1</v>
      </c>
      <c r="Y3510" s="5" t="str">
        <f>IFERROR(__xludf.DUMMYFUNCTION("REGEXEXTRACT(J3510, ""^\d+"")"),"24")</f>
        <v>24</v>
      </c>
      <c r="Z3510" s="5" t="str">
        <f>IFERROR(__xludf.DUMMYFUNCTION("REGEXEXTRACT(J3510, ""[A-Za-z ]+$"")")," min")</f>
        <v> min</v>
      </c>
      <c r="AA3510" s="5" t="str">
        <f>IFERROR(__xludf.DUMMYFUNCTION("IF(REGEXMATCH(Z3510, ""Season""), ""TV Show"", ""Movie"")"),"Movie")</f>
        <v>Movie</v>
      </c>
    </row>
    <row r="3511">
      <c r="A3511" s="1" t="s">
        <v>19211</v>
      </c>
      <c r="B3511" s="1" t="s">
        <v>27</v>
      </c>
      <c r="C3511" s="1" t="s">
        <v>19212</v>
      </c>
      <c r="D3511" s="1" t="s">
        <v>19213</v>
      </c>
      <c r="E3511" s="1" t="s">
        <v>19214</v>
      </c>
      <c r="F3511" s="1" t="s">
        <v>63</v>
      </c>
      <c r="G3511" s="1" t="s">
        <v>19215</v>
      </c>
      <c r="H3511" s="1">
        <v>2019.0</v>
      </c>
      <c r="I3511" s="1" t="s">
        <v>42</v>
      </c>
      <c r="J3511" s="1" t="s">
        <v>9630</v>
      </c>
      <c r="K3511" s="1" t="s">
        <v>679</v>
      </c>
      <c r="L3511" s="1" t="s">
        <v>19216</v>
      </c>
      <c r="M3511" s="2" t="s">
        <v>12</v>
      </c>
      <c r="N3511" s="4">
        <f t="shared" si="1"/>
        <v>43727</v>
      </c>
      <c r="O3511" s="5" t="str">
        <f>IFERROR(__xludf.DUMMYFUNCTION("IF(REGEXMATCH(TRIM(I3511), ""^\d+\s*min""), ""Unclassified"", IF(I3511 = """", ""NR"", I3511))"),"TV-MA")</f>
        <v>TV-MA</v>
      </c>
      <c r="R3511" s="5" t="str">
        <f t="shared" si="2"/>
        <v>Kabir Singh</v>
      </c>
      <c r="S3511" s="5" t="str">
        <f>IFERROR(__xludf.DUMMYFUNCTION("""COMPUTED_VALUE"""),"Jal")</f>
        <v>Jal</v>
      </c>
      <c r="U3511" s="5" t="str">
        <f>IFERROR(__xludf.DUMMYFUNCTION("""COMPUTED_VALUE"""),"Sally Potter")</f>
        <v>Sally Potter</v>
      </c>
      <c r="V3511" s="5" t="s">
        <v>19217</v>
      </c>
      <c r="W3511" s="5" t="str">
        <f t="shared" si="3"/>
        <v>Richard Van'T Riet</v>
      </c>
      <c r="X3511" s="5">
        <f t="shared" si="4"/>
        <v>1</v>
      </c>
      <c r="Y3511" s="5" t="str">
        <f>IFERROR(__xludf.DUMMYFUNCTION("REGEXEXTRACT(J3511, ""^\d+"")"),"171")</f>
        <v>171</v>
      </c>
      <c r="Z3511" s="5" t="str">
        <f>IFERROR(__xludf.DUMMYFUNCTION("REGEXEXTRACT(J3511, ""[A-Za-z ]+$"")")," min")</f>
        <v> min</v>
      </c>
      <c r="AA3511" s="5" t="str">
        <f>IFERROR(__xludf.DUMMYFUNCTION("IF(REGEXMATCH(Z3511, ""Season""), ""TV Show"", ""Movie"")"),"Movie")</f>
        <v>Movie</v>
      </c>
    </row>
    <row r="3512">
      <c r="A3512" s="1" t="s">
        <v>19218</v>
      </c>
      <c r="B3512" s="1" t="s">
        <v>37</v>
      </c>
      <c r="C3512" s="1" t="s">
        <v>19219</v>
      </c>
      <c r="E3512" s="1" t="s">
        <v>19220</v>
      </c>
      <c r="F3512" s="1" t="s">
        <v>749</v>
      </c>
      <c r="G3512" s="1" t="s">
        <v>19221</v>
      </c>
      <c r="H3512" s="1">
        <v>2019.0</v>
      </c>
      <c r="I3512" s="1" t="s">
        <v>97</v>
      </c>
      <c r="J3512" s="1" t="s">
        <v>51</v>
      </c>
      <c r="K3512" s="1" t="s">
        <v>7164</v>
      </c>
      <c r="L3512" s="1" t="s">
        <v>19222</v>
      </c>
      <c r="M3512" s="2" t="s">
        <v>12</v>
      </c>
      <c r="N3512" s="4">
        <f t="shared" si="1"/>
        <v>43726</v>
      </c>
      <c r="O3512" s="5" t="str">
        <f>IFERROR(__xludf.DUMMYFUNCTION("IF(REGEXMATCH(TRIM(I3512), ""^\d+\s*min""), ""Unclassified"", IF(I3512 = """", ""NR"", I3512))"),"TV-14")</f>
        <v>TV-14</v>
      </c>
      <c r="R3512" s="5" t="str">
        <f t="shared" si="2"/>
        <v>When The Camellia Blooms</v>
      </c>
      <c r="S3512" s="5" t="str">
        <f>IFERROR(__xludf.DUMMYFUNCTION("""COMPUTED_VALUE"""),"Jalpari: The Desert Mermaid")</f>
        <v>Jalpari: The Desert Mermaid</v>
      </c>
      <c r="U3512" s="5" t="str">
        <f>IFERROR(__xludf.DUMMYFUNCTION("""COMPUTED_VALUE"""),"Brett Whitcomb")</f>
        <v>Brett Whitcomb</v>
      </c>
      <c r="V3512" s="5" t="s">
        <v>8750</v>
      </c>
      <c r="W3512" s="5" t="str">
        <f t="shared" si="3"/>
        <v>Richard Weston</v>
      </c>
      <c r="X3512" s="5">
        <f t="shared" si="4"/>
        <v>3</v>
      </c>
      <c r="Y3512" s="5" t="str">
        <f>IFERROR(__xludf.DUMMYFUNCTION("REGEXEXTRACT(J3512, ""^\d+"")"),"1")</f>
        <v>1</v>
      </c>
      <c r="Z3512" s="5" t="str">
        <f>IFERROR(__xludf.DUMMYFUNCTION("REGEXEXTRACT(J3512, ""[A-Za-z ]+$"")")," Season")</f>
        <v> Season</v>
      </c>
      <c r="AA3512" s="5" t="str">
        <f>IFERROR(__xludf.DUMMYFUNCTION("IF(REGEXMATCH(Z3512, ""Season""), ""TV Show"", ""Movie"")"),"TV Show")</f>
        <v>TV Show</v>
      </c>
    </row>
    <row r="3513">
      <c r="A3513" s="1" t="s">
        <v>19223</v>
      </c>
      <c r="B3513" s="1" t="s">
        <v>27</v>
      </c>
      <c r="C3513" s="1" t="s">
        <v>19224</v>
      </c>
      <c r="D3513" s="1" t="s">
        <v>10892</v>
      </c>
      <c r="E3513" s="1" t="s">
        <v>19225</v>
      </c>
      <c r="F3513" s="1" t="s">
        <v>96</v>
      </c>
      <c r="G3513" s="1" t="s">
        <v>19226</v>
      </c>
      <c r="H3513" s="1">
        <v>2019.0</v>
      </c>
      <c r="I3513" s="1" t="s">
        <v>42</v>
      </c>
      <c r="J3513" s="1" t="s">
        <v>428</v>
      </c>
      <c r="K3513" s="1" t="s">
        <v>380</v>
      </c>
      <c r="L3513" s="1" t="s">
        <v>19227</v>
      </c>
      <c r="M3513" s="2" t="s">
        <v>12</v>
      </c>
      <c r="N3513" s="4">
        <f t="shared" si="1"/>
        <v>43725</v>
      </c>
      <c r="O3513" s="5" t="str">
        <f>IFERROR(__xludf.DUMMYFUNCTION("IF(REGEXMATCH(TRIM(I3513), ""^\d+\s*min""), ""Unclassified"", IF(I3513 = """", ""NR"", I3513))"),"TV-MA")</f>
        <v>TV-MA</v>
      </c>
      <c r="R3513" s="5" t="str">
        <f t="shared" si="2"/>
        <v>Avengement</v>
      </c>
      <c r="S3513" s="5" t="str">
        <f>IFERROR(__xludf.DUMMYFUNCTION("""COMPUTED_VALUE"""),"James Acaster: Repertoire")</f>
        <v>James Acaster: Repertoire</v>
      </c>
      <c r="U3513" s="5" t="str">
        <f>IFERROR(__xludf.DUMMYFUNCTION("""COMPUTED_VALUE"""),"Harold Cronk")</f>
        <v>Harold Cronk</v>
      </c>
      <c r="V3513" s="5" t="s">
        <v>19228</v>
      </c>
      <c r="W3513" s="5" t="str">
        <f t="shared" si="3"/>
        <v>Richie Smyth</v>
      </c>
      <c r="X3513" s="5">
        <f t="shared" si="4"/>
        <v>1</v>
      </c>
      <c r="Y3513" s="5" t="str">
        <f>IFERROR(__xludf.DUMMYFUNCTION("REGEXEXTRACT(J3513, ""^\d+"")"),"88")</f>
        <v>88</v>
      </c>
      <c r="Z3513" s="5" t="str">
        <f>IFERROR(__xludf.DUMMYFUNCTION("REGEXEXTRACT(J3513, ""[A-Za-z ]+$"")")," min")</f>
        <v> min</v>
      </c>
      <c r="AA3513" s="5" t="str">
        <f>IFERROR(__xludf.DUMMYFUNCTION("IF(REGEXMATCH(Z3513, ""Season""), ""TV Show"", ""Movie"")"),"Movie")</f>
        <v>Movie</v>
      </c>
    </row>
    <row r="3514">
      <c r="A3514" s="1" t="s">
        <v>19229</v>
      </c>
      <c r="B3514" s="1" t="s">
        <v>27</v>
      </c>
      <c r="C3514" s="1" t="s">
        <v>19230</v>
      </c>
      <c r="D3514" s="1" t="s">
        <v>14480</v>
      </c>
      <c r="E3514" s="1" t="s">
        <v>19231</v>
      </c>
      <c r="F3514" s="1" t="s">
        <v>30</v>
      </c>
      <c r="G3514" s="1" t="s">
        <v>19226</v>
      </c>
      <c r="H3514" s="1">
        <v>2012.0</v>
      </c>
      <c r="I3514" s="1" t="s">
        <v>42</v>
      </c>
      <c r="J3514" s="1" t="s">
        <v>1171</v>
      </c>
      <c r="K3514" s="1" t="s">
        <v>1839</v>
      </c>
      <c r="L3514" s="1" t="s">
        <v>19232</v>
      </c>
      <c r="M3514" s="2" t="s">
        <v>12</v>
      </c>
      <c r="N3514" s="4">
        <f t="shared" si="1"/>
        <v>43725</v>
      </c>
      <c r="O3514" s="5" t="str">
        <f>IFERROR(__xludf.DUMMYFUNCTION("IF(REGEXMATCH(TRIM(I3514), ""^\d+\s*min""), ""Unclassified"", IF(I3514 = """", ""NR"", I3514))"),"TV-MA")</f>
        <v>TV-MA</v>
      </c>
      <c r="R3514" s="5" t="str">
        <f t="shared" si="2"/>
        <v>Sebastian Maniscalco: What'S Wrong With People?</v>
      </c>
      <c r="S3514" s="5" t="str">
        <f>IFERROR(__xludf.DUMMYFUNCTION("""COMPUTED_VALUE"""),"Jamtara - Sabka Number Ayega")</f>
        <v>Jamtara - Sabka Number Ayega</v>
      </c>
      <c r="U3514" s="5" t="str">
        <f>IFERROR(__xludf.DUMMYFUNCTION("""COMPUTED_VALUE"""),"Jedd Wider, Todd Wider")</f>
        <v>Jedd Wider, Todd Wider</v>
      </c>
      <c r="V3514" s="5" t="s">
        <v>19233</v>
      </c>
      <c r="W3514" s="5" t="str">
        <f t="shared" si="3"/>
        <v>Rick Morales</v>
      </c>
      <c r="X3514" s="5">
        <f t="shared" si="4"/>
        <v>1</v>
      </c>
      <c r="Y3514" s="5" t="str">
        <f>IFERROR(__xludf.DUMMYFUNCTION("REGEXEXTRACT(J3514, ""^\d+"")"),"76")</f>
        <v>76</v>
      </c>
      <c r="Z3514" s="5" t="str">
        <f>IFERROR(__xludf.DUMMYFUNCTION("REGEXEXTRACT(J3514, ""[A-Za-z ]+$"")")," min")</f>
        <v> min</v>
      </c>
      <c r="AA3514" s="5" t="str">
        <f>IFERROR(__xludf.DUMMYFUNCTION("IF(REGEXMATCH(Z3514, ""Season""), ""TV Show"", ""Movie"")"),"Movie")</f>
        <v>Movie</v>
      </c>
    </row>
    <row r="3515">
      <c r="A3515" s="1" t="s">
        <v>19234</v>
      </c>
      <c r="B3515" s="1" t="s">
        <v>27</v>
      </c>
      <c r="C3515" s="1" t="s">
        <v>19235</v>
      </c>
      <c r="D3515" s="1" t="s">
        <v>2931</v>
      </c>
      <c r="E3515" s="1" t="s">
        <v>19236</v>
      </c>
      <c r="F3515" s="1" t="s">
        <v>30</v>
      </c>
      <c r="G3515" s="1" t="s">
        <v>19237</v>
      </c>
      <c r="H3515" s="1">
        <v>2019.0</v>
      </c>
      <c r="I3515" s="1" t="s">
        <v>136</v>
      </c>
      <c r="J3515" s="1" t="s">
        <v>1838</v>
      </c>
      <c r="K3515" s="1" t="s">
        <v>2892</v>
      </c>
      <c r="L3515" s="1" t="s">
        <v>19238</v>
      </c>
      <c r="M3515" s="2" t="s">
        <v>12</v>
      </c>
      <c r="N3515" s="4">
        <f t="shared" si="1"/>
        <v>43723</v>
      </c>
      <c r="O3515" s="5" t="str">
        <f>IFERROR(__xludf.DUMMYFUNCTION("IF(REGEXMATCH(TRIM(I3515), ""^\d+\s*min""), ""Unclassified"", IF(I3515 = """", ""NR"", I3515))"),"TV-PG")</f>
        <v>TV-PG</v>
      </c>
      <c r="R3515" s="5" t="str">
        <f t="shared" si="2"/>
        <v>Los Tigres Del Norte At Folsom Prison</v>
      </c>
      <c r="S3515" s="5" t="str">
        <f>IFERROR(__xludf.DUMMYFUNCTION("""COMPUTED_VALUE"""),"Janaan")</f>
        <v>Janaan</v>
      </c>
      <c r="U3515" s="5" t="str">
        <f>IFERROR(__xludf.DUMMYFUNCTION("""COMPUTED_VALUE"""),"Gordon Chan")</f>
        <v>Gordon Chan</v>
      </c>
      <c r="V3515" s="5" t="s">
        <v>19239</v>
      </c>
      <c r="W3515" s="5" t="str">
        <f t="shared" si="3"/>
        <v>Ricky Gervais</v>
      </c>
      <c r="X3515" s="5">
        <f t="shared" si="4"/>
        <v>2</v>
      </c>
      <c r="Y3515" s="5" t="str">
        <f>IFERROR(__xludf.DUMMYFUNCTION("REGEXEXTRACT(J3515, ""^\d+"")"),"64")</f>
        <v>64</v>
      </c>
      <c r="Z3515" s="5" t="str">
        <f>IFERROR(__xludf.DUMMYFUNCTION("REGEXEXTRACT(J3515, ""[A-Za-z ]+$"")")," min")</f>
        <v> min</v>
      </c>
      <c r="AA3515" s="5" t="str">
        <f>IFERROR(__xludf.DUMMYFUNCTION("IF(REGEXMATCH(Z3515, ""Season""), ""TV Show"", ""Movie"")"),"Movie")</f>
        <v>Movie</v>
      </c>
    </row>
    <row r="3516">
      <c r="A3516" s="1" t="s">
        <v>19240</v>
      </c>
      <c r="B3516" s="1" t="s">
        <v>27</v>
      </c>
      <c r="C3516" s="1" t="s">
        <v>19241</v>
      </c>
      <c r="D3516" s="1" t="s">
        <v>7913</v>
      </c>
      <c r="E3516" s="1" t="s">
        <v>19242</v>
      </c>
      <c r="F3516" s="1" t="s">
        <v>30</v>
      </c>
      <c r="G3516" s="1" t="s">
        <v>19237</v>
      </c>
      <c r="H3516" s="1">
        <v>2006.0</v>
      </c>
      <c r="I3516" s="1" t="s">
        <v>97</v>
      </c>
      <c r="J3516" s="1" t="s">
        <v>170</v>
      </c>
      <c r="K3516" s="1" t="s">
        <v>34</v>
      </c>
      <c r="L3516" s="1" t="s">
        <v>19243</v>
      </c>
      <c r="M3516" s="2" t="s">
        <v>12</v>
      </c>
      <c r="N3516" s="4">
        <f t="shared" si="1"/>
        <v>43723</v>
      </c>
      <c r="O3516" s="5" t="str">
        <f>IFERROR(__xludf.DUMMYFUNCTION("IF(REGEXMATCH(TRIM(I3516), ""^\d+\s*min""), ""Unclassified"", IF(I3516 = """", ""NR"", I3516))"),"TV-14")</f>
        <v>TV-14</v>
      </c>
      <c r="R3516" s="5" t="str">
        <f t="shared" si="2"/>
        <v>Steal A Pencil For Me</v>
      </c>
      <c r="S3516" s="5" t="str">
        <f>IFERROR(__xludf.DUMMYFUNCTION("""COMPUTED_VALUE"""),"Jandino: Whatever It Takes")</f>
        <v>Jandino: Whatever It Takes</v>
      </c>
      <c r="U3516" s="5" t="str">
        <f>IFERROR(__xludf.DUMMYFUNCTION("""COMPUTED_VALUE"""),"Michael Mason")</f>
        <v>Michael Mason</v>
      </c>
      <c r="V3516" s="5" t="s">
        <v>19244</v>
      </c>
      <c r="W3516" s="5" t="str">
        <f t="shared" si="3"/>
        <v>Ricky Gervais, Matthew Robinson</v>
      </c>
      <c r="X3516" s="5">
        <f t="shared" si="4"/>
        <v>1</v>
      </c>
      <c r="Y3516" s="5" t="str">
        <f>IFERROR(__xludf.DUMMYFUNCTION("REGEXEXTRACT(J3516, ""^\d+"")"),"94")</f>
        <v>94</v>
      </c>
      <c r="Z3516" s="5" t="str">
        <f>IFERROR(__xludf.DUMMYFUNCTION("REGEXEXTRACT(J3516, ""[A-Za-z ]+$"")")," min")</f>
        <v> min</v>
      </c>
      <c r="AA3516" s="5" t="str">
        <f>IFERROR(__xludf.DUMMYFUNCTION("IF(REGEXMATCH(Z3516, ""Season""), ""TV Show"", ""Movie"")"),"Movie")</f>
        <v>Movie</v>
      </c>
    </row>
    <row r="3517">
      <c r="A3517" s="1" t="s">
        <v>19245</v>
      </c>
      <c r="B3517" s="1" t="s">
        <v>37</v>
      </c>
      <c r="C3517" s="1" t="s">
        <v>19246</v>
      </c>
      <c r="E3517" s="1" t="s">
        <v>15070</v>
      </c>
      <c r="F3517" s="1" t="s">
        <v>30</v>
      </c>
      <c r="G3517" s="1" t="s">
        <v>19237</v>
      </c>
      <c r="H3517" s="1">
        <v>2019.0</v>
      </c>
      <c r="I3517" s="1" t="s">
        <v>42</v>
      </c>
      <c r="J3517" s="1" t="s">
        <v>51</v>
      </c>
      <c r="K3517" s="1" t="s">
        <v>2043</v>
      </c>
      <c r="L3517" s="1" t="s">
        <v>19247</v>
      </c>
      <c r="M3517" s="2" t="s">
        <v>12</v>
      </c>
      <c r="N3517" s="4">
        <f t="shared" si="1"/>
        <v>43723</v>
      </c>
      <c r="O3517" s="5" t="str">
        <f>IFERROR(__xludf.DUMMYFUNCTION("IF(REGEXMATCH(TRIM(I3517), ""^\d+\s*min""), ""Unclassified"", IF(I3517 = """", ""NR"", I3517))"),"TV-MA")</f>
        <v>TV-MA</v>
      </c>
      <c r="R3517" s="5" t="str">
        <f t="shared" si="2"/>
        <v>Surviving R. Kelly</v>
      </c>
      <c r="S3517" s="5" t="str">
        <f>IFERROR(__xludf.DUMMYFUNCTION("""COMPUTED_VALUE"""),"Jane The Virgin")</f>
        <v>Jane The Virgin</v>
      </c>
      <c r="U3517" s="5" t="str">
        <f>IFERROR(__xludf.DUMMYFUNCTION("""COMPUTED_VALUE"""),"Francis Lee")</f>
        <v>Francis Lee</v>
      </c>
      <c r="V3517" s="5" t="s">
        <v>6565</v>
      </c>
      <c r="W3517" s="5" t="str">
        <f t="shared" si="3"/>
        <v>Ricky Staub</v>
      </c>
      <c r="X3517" s="5">
        <f t="shared" si="4"/>
        <v>1</v>
      </c>
      <c r="Y3517" s="5" t="str">
        <f>IFERROR(__xludf.DUMMYFUNCTION("REGEXEXTRACT(J3517, ""^\d+"")"),"1")</f>
        <v>1</v>
      </c>
      <c r="Z3517" s="5" t="str">
        <f>IFERROR(__xludf.DUMMYFUNCTION("REGEXEXTRACT(J3517, ""[A-Za-z ]+$"")")," Season")</f>
        <v> Season</v>
      </c>
      <c r="AA3517" s="5" t="str">
        <f>IFERROR(__xludf.DUMMYFUNCTION("IF(REGEXMATCH(Z3517, ""Season""), ""TV Show"", ""Movie"")"),"TV Show")</f>
        <v>TV Show</v>
      </c>
    </row>
    <row r="3518">
      <c r="A3518" s="1" t="s">
        <v>19248</v>
      </c>
      <c r="B3518" s="1" t="s">
        <v>27</v>
      </c>
      <c r="C3518" s="1" t="s">
        <v>19249</v>
      </c>
      <c r="D3518" s="1" t="s">
        <v>2905</v>
      </c>
      <c r="E3518" s="1" t="s">
        <v>19132</v>
      </c>
      <c r="F3518" s="1" t="s">
        <v>63</v>
      </c>
      <c r="G3518" s="1" t="s">
        <v>19250</v>
      </c>
      <c r="H3518" s="1">
        <v>2019.0</v>
      </c>
      <c r="I3518" s="1" t="s">
        <v>97</v>
      </c>
      <c r="J3518" s="1" t="s">
        <v>11571</v>
      </c>
      <c r="K3518" s="1" t="s">
        <v>230</v>
      </c>
      <c r="L3518" s="1" t="s">
        <v>19133</v>
      </c>
      <c r="M3518" s="2" t="s">
        <v>12</v>
      </c>
      <c r="N3518" s="4">
        <f t="shared" si="1"/>
        <v>43722</v>
      </c>
      <c r="O3518" s="5" t="str">
        <f>IFERROR(__xludf.DUMMYFUNCTION("IF(REGEXMATCH(TRIM(I3518), ""^\d+\s*min""), ""Unclassified"", IF(I3518 = """", ""NR"", I3518))"),"TV-14")</f>
        <v>TV-14</v>
      </c>
      <c r="R3518" s="5" t="str">
        <f t="shared" si="2"/>
        <v>Oh! Baby</v>
      </c>
      <c r="S3518" s="5" t="str">
        <f>IFERROR(__xludf.DUMMYFUNCTION("""COMPUTED_VALUE"""),"Jani Dueñas: Grandes Fracasos De Ayer Y Hoy")</f>
        <v>Jani Dueñas: Grandes Fracasos De Ayer Y Hoy</v>
      </c>
      <c r="U3518" s="5" t="str">
        <f>IFERROR(__xludf.DUMMYFUNCTION("""COMPUTED_VALUE"""),"Takuya Inaba")</f>
        <v>Takuya Inaba</v>
      </c>
      <c r="V3518" s="5" t="s">
        <v>925</v>
      </c>
      <c r="W3518" s="5" t="str">
        <f t="shared" si="3"/>
        <v>Ridley Scott</v>
      </c>
      <c r="X3518" s="5">
        <f t="shared" si="4"/>
        <v>2</v>
      </c>
      <c r="Y3518" s="5" t="str">
        <f>IFERROR(__xludf.DUMMYFUNCTION("REGEXEXTRACT(J3518, ""^\d+"")"),"157")</f>
        <v>157</v>
      </c>
      <c r="Z3518" s="5" t="str">
        <f>IFERROR(__xludf.DUMMYFUNCTION("REGEXEXTRACT(J3518, ""[A-Za-z ]+$"")")," min")</f>
        <v> min</v>
      </c>
      <c r="AA3518" s="5" t="str">
        <f>IFERROR(__xludf.DUMMYFUNCTION("IF(REGEXMATCH(Z3518, ""Season""), ""TV Show"", ""Movie"")"),"Movie")</f>
        <v>Movie</v>
      </c>
    </row>
    <row r="3519">
      <c r="A3519" s="1" t="s">
        <v>19251</v>
      </c>
      <c r="B3519" s="1" t="s">
        <v>27</v>
      </c>
      <c r="C3519" s="1" t="s">
        <v>19252</v>
      </c>
      <c r="D3519" s="1" t="s">
        <v>18829</v>
      </c>
      <c r="E3519" s="1" t="s">
        <v>19253</v>
      </c>
      <c r="F3519" s="1" t="s">
        <v>30</v>
      </c>
      <c r="G3519" s="1" t="s">
        <v>19250</v>
      </c>
      <c r="H3519" s="1">
        <v>2019.0</v>
      </c>
      <c r="I3519" s="1" t="s">
        <v>136</v>
      </c>
      <c r="J3519" s="1" t="s">
        <v>490</v>
      </c>
      <c r="K3519" s="1" t="s">
        <v>156</v>
      </c>
      <c r="L3519" s="1" t="s">
        <v>19254</v>
      </c>
      <c r="M3519" s="2" t="s">
        <v>12</v>
      </c>
      <c r="N3519" s="4">
        <f t="shared" si="1"/>
        <v>43722</v>
      </c>
      <c r="O3519" s="5" t="str">
        <f>IFERROR(__xludf.DUMMYFUNCTION("IF(REGEXMATCH(TRIM(I3519), ""^\d+\s*min""), ""Unclassified"", IF(I3519 = """", ""NR"", I3519))"),"TV-PG")</f>
        <v>TV-PG</v>
      </c>
      <c r="R3519" s="5" t="str">
        <f t="shared" si="2"/>
        <v>The Crystal Calls Making The Dark Crystal: Age Of Resistance</v>
      </c>
      <c r="S3519" s="5" t="str">
        <f>IFERROR(__xludf.DUMMYFUNCTION("""COMPUTED_VALUE"""),"Janoskians: Untold And Untrue")</f>
        <v>Janoskians: Untold And Untrue</v>
      </c>
      <c r="U3519" s="5" t="str">
        <f>IFERROR(__xludf.DUMMYFUNCTION("""COMPUTED_VALUE"""),"Sam De Jong")</f>
        <v>Sam De Jong</v>
      </c>
      <c r="V3519" s="5" t="s">
        <v>19255</v>
      </c>
      <c r="W3519" s="5" t="str">
        <f t="shared" si="3"/>
        <v>Rik Reinholdtsen</v>
      </c>
      <c r="X3519" s="5">
        <f t="shared" si="4"/>
        <v>1</v>
      </c>
      <c r="Y3519" s="5" t="str">
        <f>IFERROR(__xludf.DUMMYFUNCTION("REGEXEXTRACT(J3519, ""^\d+"")"),"83")</f>
        <v>83</v>
      </c>
      <c r="Z3519" s="5" t="str">
        <f>IFERROR(__xludf.DUMMYFUNCTION("REGEXEXTRACT(J3519, ""[A-Za-z ]+$"")")," min")</f>
        <v> min</v>
      </c>
      <c r="AA3519" s="5" t="str">
        <f>IFERROR(__xludf.DUMMYFUNCTION("IF(REGEXMATCH(Z3519, ""Season""), ""TV Show"", ""Movie"")"),"Movie")</f>
        <v>Movie</v>
      </c>
    </row>
    <row r="3520">
      <c r="A3520" s="1" t="s">
        <v>19256</v>
      </c>
      <c r="B3520" s="1" t="s">
        <v>27</v>
      </c>
      <c r="C3520" s="1" t="s">
        <v>19257</v>
      </c>
      <c r="D3520" s="1" t="s">
        <v>1186</v>
      </c>
      <c r="E3520" s="1" t="s">
        <v>19258</v>
      </c>
      <c r="F3520" s="1" t="s">
        <v>30</v>
      </c>
      <c r="G3520" s="1" t="s">
        <v>19259</v>
      </c>
      <c r="H3520" s="1">
        <v>2019.0</v>
      </c>
      <c r="I3520" s="1" t="s">
        <v>42</v>
      </c>
      <c r="J3520" s="1" t="s">
        <v>2616</v>
      </c>
      <c r="K3520" s="1" t="s">
        <v>34</v>
      </c>
      <c r="L3520" s="1" t="s">
        <v>19260</v>
      </c>
      <c r="M3520" s="2" t="s">
        <v>12</v>
      </c>
      <c r="N3520" s="4">
        <f t="shared" si="1"/>
        <v>43721</v>
      </c>
      <c r="O3520" s="5" t="str">
        <f>IFERROR(__xludf.DUMMYFUNCTION("IF(REGEXMATCH(TRIM(I3520), ""^\d+\s*min""), ""Unclassified"", IF(I3520 = """", ""NR"", I3520))"),"TV-MA")</f>
        <v>TV-MA</v>
      </c>
      <c r="R3520" s="5" t="str">
        <f t="shared" si="2"/>
        <v>Hello, Privilege. It'S Me, Chelsea</v>
      </c>
      <c r="S3520" s="5" t="str">
        <f>IFERROR(__xludf.DUMMYFUNCTION("""COMPUTED_VALUE"""),"Jaoon Kahan Bata Ae Dil")</f>
        <v>Jaoon Kahan Bata Ae Dil</v>
      </c>
      <c r="U3520" s="5" t="str">
        <f>IFERROR(__xludf.DUMMYFUNCTION("""COMPUTED_VALUE"""),"Ivan Sen")</f>
        <v>Ivan Sen</v>
      </c>
      <c r="V3520" s="5" t="s">
        <v>11216</v>
      </c>
      <c r="W3520" s="5" t="str">
        <f t="shared" si="3"/>
        <v>Rikhil Bahadur</v>
      </c>
      <c r="X3520" s="5">
        <f t="shared" si="4"/>
        <v>1</v>
      </c>
      <c r="Y3520" s="5" t="str">
        <f>IFERROR(__xludf.DUMMYFUNCTION("REGEXEXTRACT(J3520, ""^\d+"")"),"65")</f>
        <v>65</v>
      </c>
      <c r="Z3520" s="5" t="str">
        <f>IFERROR(__xludf.DUMMYFUNCTION("REGEXEXTRACT(J3520, ""[A-Za-z ]+$"")")," min")</f>
        <v> min</v>
      </c>
      <c r="AA3520" s="5" t="str">
        <f>IFERROR(__xludf.DUMMYFUNCTION("IF(REGEXMATCH(Z3520, ""Season""), ""TV Show"", ""Movie"")"),"Movie")</f>
        <v>Movie</v>
      </c>
    </row>
    <row r="3521">
      <c r="A3521" s="1" t="s">
        <v>19261</v>
      </c>
      <c r="B3521" s="1" t="s">
        <v>37</v>
      </c>
      <c r="C3521" s="1" t="s">
        <v>19262</v>
      </c>
      <c r="E3521" s="1" t="s">
        <v>19263</v>
      </c>
      <c r="F3521" s="1" t="s">
        <v>415</v>
      </c>
      <c r="G3521" s="1" t="s">
        <v>19259</v>
      </c>
      <c r="H3521" s="1">
        <v>2019.0</v>
      </c>
      <c r="I3521" s="1" t="s">
        <v>42</v>
      </c>
      <c r="J3521" s="1" t="s">
        <v>51</v>
      </c>
      <c r="K3521" s="1" t="s">
        <v>14232</v>
      </c>
      <c r="L3521" s="1" t="s">
        <v>19264</v>
      </c>
      <c r="M3521" s="2" t="s">
        <v>12</v>
      </c>
      <c r="N3521" s="4">
        <f t="shared" si="1"/>
        <v>43721</v>
      </c>
      <c r="O3521" s="5" t="str">
        <f>IFERROR(__xludf.DUMMYFUNCTION("IF(REGEXMATCH(TRIM(I3521), ""^\d+\s*min""), ""Unclassified"", IF(I3521 = """", ""NR"", I3521))"),"TV-MA")</f>
        <v>TV-MA</v>
      </c>
      <c r="R3521" s="5" t="str">
        <f t="shared" si="2"/>
        <v>Kabaneri Of The Iron Fortress: The Battle Of Unato</v>
      </c>
      <c r="S3521" s="5" t="str">
        <f>IFERROR(__xludf.DUMMYFUNCTION("""COMPUTED_VALUE"""),"Japan Sinks: 2020")</f>
        <v>Japan Sinks: 2020</v>
      </c>
      <c r="U3521" s="5" t="str">
        <f>IFERROR(__xludf.DUMMYFUNCTION("""COMPUTED_VALUE"""),"Mark Landre Gould")</f>
        <v>Mark Landre Gould</v>
      </c>
      <c r="V3521" s="5" t="s">
        <v>19265</v>
      </c>
      <c r="W3521" s="5" t="str">
        <f t="shared" si="3"/>
        <v>Riki Lindhome, Jeremy Konner</v>
      </c>
      <c r="X3521" s="5">
        <f t="shared" si="4"/>
        <v>1</v>
      </c>
      <c r="Y3521" s="5" t="str">
        <f>IFERROR(__xludf.DUMMYFUNCTION("REGEXEXTRACT(J3521, ""^\d+"")"),"1")</f>
        <v>1</v>
      </c>
      <c r="Z3521" s="5" t="str">
        <f>IFERROR(__xludf.DUMMYFUNCTION("REGEXEXTRACT(J3521, ""[A-Za-z ]+$"")")," Season")</f>
        <v> Season</v>
      </c>
      <c r="AA3521" s="5" t="str">
        <f>IFERROR(__xludf.DUMMYFUNCTION("IF(REGEXMATCH(Z3521, ""Season""), ""TV Show"", ""Movie"")"),"TV Show")</f>
        <v>TV Show</v>
      </c>
    </row>
    <row r="3522">
      <c r="A3522" s="1" t="s">
        <v>19266</v>
      </c>
      <c r="B3522" s="1" t="s">
        <v>27</v>
      </c>
      <c r="C3522" s="1" t="s">
        <v>19267</v>
      </c>
      <c r="D3522" s="1" t="s">
        <v>5902</v>
      </c>
      <c r="E3522" s="1" t="s">
        <v>19268</v>
      </c>
      <c r="F3522" s="1" t="s">
        <v>188</v>
      </c>
      <c r="G3522" s="1" t="s">
        <v>19259</v>
      </c>
      <c r="H3522" s="1">
        <v>2018.0</v>
      </c>
      <c r="I3522" s="1" t="s">
        <v>97</v>
      </c>
      <c r="J3522" s="1" t="s">
        <v>305</v>
      </c>
      <c r="K3522" s="1" t="s">
        <v>199</v>
      </c>
      <c r="L3522" s="1" t="s">
        <v>19269</v>
      </c>
      <c r="M3522" s="2" t="s">
        <v>12</v>
      </c>
      <c r="N3522" s="4">
        <f t="shared" si="1"/>
        <v>43721</v>
      </c>
      <c r="O3522" s="5" t="str">
        <f>IFERROR(__xludf.DUMMYFUNCTION("IF(REGEXMATCH(TRIM(I3522), ""^\d+\s*min""), ""Unclassified"", IF(I3522 = """", ""NR"", I3522))"),"TV-14")</f>
        <v>TV-14</v>
      </c>
      <c r="R3522" s="5" t="str">
        <f t="shared" si="2"/>
        <v>Locked On You</v>
      </c>
      <c r="S3522" s="5" t="str">
        <f>IFERROR(__xludf.DUMMYFUNCTION("""COMPUTED_VALUE"""),"Japanese Style Originator")</f>
        <v>Japanese Style Originator</v>
      </c>
      <c r="U3522" s="5" t="str">
        <f>IFERROR(__xludf.DUMMYFUNCTION("""COMPUTED_VALUE"""),"Neslihan Yesilyurt")</f>
        <v>Neslihan Yesilyurt</v>
      </c>
      <c r="V3522" s="5" t="s">
        <v>16791</v>
      </c>
      <c r="W3522" s="5" t="str">
        <f t="shared" si="3"/>
        <v>Rima Das</v>
      </c>
      <c r="X3522" s="5">
        <f t="shared" si="4"/>
        <v>1</v>
      </c>
      <c r="Y3522" s="5" t="str">
        <f>IFERROR(__xludf.DUMMYFUNCTION("REGEXEXTRACT(J3522, ""^\d+"")"),"105")</f>
        <v>105</v>
      </c>
      <c r="Z3522" s="5" t="str">
        <f>IFERROR(__xludf.DUMMYFUNCTION("REGEXEXTRACT(J3522, ""[A-Za-z ]+$"")")," min")</f>
        <v> min</v>
      </c>
      <c r="AA3522" s="5" t="str">
        <f>IFERROR(__xludf.DUMMYFUNCTION("IF(REGEXMATCH(Z3522, ""Season""), ""TV Show"", ""Movie"")"),"Movie")</f>
        <v>Movie</v>
      </c>
    </row>
    <row r="3523">
      <c r="A3523" s="1" t="s">
        <v>19270</v>
      </c>
      <c r="B3523" s="1" t="s">
        <v>37</v>
      </c>
      <c r="C3523" s="1" t="s">
        <v>19271</v>
      </c>
      <c r="E3523" s="1" t="s">
        <v>19272</v>
      </c>
      <c r="F3523" s="1" t="s">
        <v>664</v>
      </c>
      <c r="G3523" s="1" t="s">
        <v>19259</v>
      </c>
      <c r="H3523" s="1">
        <v>2019.0</v>
      </c>
      <c r="I3523" s="1" t="s">
        <v>42</v>
      </c>
      <c r="J3523" s="1" t="s">
        <v>51</v>
      </c>
      <c r="K3523" s="1" t="s">
        <v>9281</v>
      </c>
      <c r="L3523" s="1" t="s">
        <v>19273</v>
      </c>
      <c r="M3523" s="2" t="s">
        <v>12</v>
      </c>
      <c r="N3523" s="4">
        <f t="shared" si="1"/>
        <v>43721</v>
      </c>
      <c r="O3523" s="5" t="str">
        <f>IFERROR(__xludf.DUMMYFUNCTION("IF(REGEXMATCH(TRIM(I3523), ""^\d+\s*min""), ""Unclassified"", IF(I3523 = """", ""NR"", I3523))"),"TV-MA")</f>
        <v>TV-MA</v>
      </c>
      <c r="R3523" s="5" t="str">
        <f t="shared" si="2"/>
        <v>Marianne</v>
      </c>
      <c r="S3523" s="5" t="str">
        <f>IFERROR(__xludf.DUMMYFUNCTION("""COMPUTED_VALUE"""),"Jarhead: Law Of Return")</f>
        <v>Jarhead: Law Of Return</v>
      </c>
      <c r="U3523" s="5" t="str">
        <f>IFERROR(__xludf.DUMMYFUNCTION("""COMPUTED_VALUE"""),"Chris Mccoy")</f>
        <v>Chris Mccoy</v>
      </c>
      <c r="V3523" s="5" t="s">
        <v>5912</v>
      </c>
      <c r="W3523" s="5" t="str">
        <f t="shared" si="3"/>
        <v>Rindala Kodeih</v>
      </c>
      <c r="X3523" s="5">
        <f t="shared" si="4"/>
        <v>1</v>
      </c>
      <c r="Y3523" s="5" t="str">
        <f>IFERROR(__xludf.DUMMYFUNCTION("REGEXEXTRACT(J3523, ""^\d+"")"),"1")</f>
        <v>1</v>
      </c>
      <c r="Z3523" s="5" t="str">
        <f>IFERROR(__xludf.DUMMYFUNCTION("REGEXEXTRACT(J3523, ""[A-Za-z ]+$"")")," Season")</f>
        <v> Season</v>
      </c>
      <c r="AA3523" s="5" t="str">
        <f>IFERROR(__xludf.DUMMYFUNCTION("IF(REGEXMATCH(Z3523, ""Season""), ""TV Show"", ""Movie"")"),"TV Show")</f>
        <v>TV Show</v>
      </c>
    </row>
    <row r="3524">
      <c r="A3524" s="1" t="s">
        <v>19274</v>
      </c>
      <c r="B3524" s="1" t="s">
        <v>27</v>
      </c>
      <c r="C3524" s="1" t="s">
        <v>19275</v>
      </c>
      <c r="D3524" s="1" t="s">
        <v>19276</v>
      </c>
      <c r="E3524" s="1" t="s">
        <v>19277</v>
      </c>
      <c r="F3524" s="1" t="s">
        <v>3892</v>
      </c>
      <c r="G3524" s="1" t="s">
        <v>19259</v>
      </c>
      <c r="H3524" s="1">
        <v>2019.0</v>
      </c>
      <c r="I3524" s="1" t="s">
        <v>97</v>
      </c>
      <c r="J3524" s="1" t="s">
        <v>1256</v>
      </c>
      <c r="K3524" s="1" t="s">
        <v>679</v>
      </c>
      <c r="L3524" s="1" t="s">
        <v>19278</v>
      </c>
      <c r="M3524" s="2" t="s">
        <v>12</v>
      </c>
      <c r="N3524" s="4">
        <f t="shared" si="1"/>
        <v>43721</v>
      </c>
      <c r="O3524" s="5" t="str">
        <f>IFERROR(__xludf.DUMMYFUNCTION("IF(REGEXMATCH(TRIM(I3524), ""^\d+\s*min""), ""Unclassified"", IF(I3524 = """", ""NR"", I3524))"),"TV-14")</f>
        <v>TV-14</v>
      </c>
      <c r="R3524" s="5" t="str">
        <f t="shared" si="2"/>
        <v>Shanghai Fortress</v>
      </c>
      <c r="S3524" s="5" t="str">
        <f>IFERROR(__xludf.DUMMYFUNCTION("""COMPUTED_VALUE"""),"Jatt James Bond")</f>
        <v>Jatt James Bond</v>
      </c>
      <c r="U3524" s="5" t="str">
        <f>IFERROR(__xludf.DUMMYFUNCTION("""COMPUTED_VALUE"""),"Wendy Jo Carlton")</f>
        <v>Wendy Jo Carlton</v>
      </c>
      <c r="V3524" s="5" t="s">
        <v>6671</v>
      </c>
      <c r="W3524" s="5" t="str">
        <f t="shared" si="3"/>
        <v>Ringo Lam</v>
      </c>
      <c r="X3524" s="5">
        <f t="shared" si="4"/>
        <v>2</v>
      </c>
      <c r="Y3524" s="5" t="str">
        <f>IFERROR(__xludf.DUMMYFUNCTION("REGEXEXTRACT(J3524, ""^\d+"")"),"107")</f>
        <v>107</v>
      </c>
      <c r="Z3524" s="5" t="str">
        <f>IFERROR(__xludf.DUMMYFUNCTION("REGEXEXTRACT(J3524, ""[A-Za-z ]+$"")")," min")</f>
        <v> min</v>
      </c>
      <c r="AA3524" s="5" t="str">
        <f>IFERROR(__xludf.DUMMYFUNCTION("IF(REGEXMATCH(Z3524, ""Season""), ""TV Show"", ""Movie"")"),"Movie")</f>
        <v>Movie</v>
      </c>
    </row>
    <row r="3525">
      <c r="A3525" s="1" t="s">
        <v>19279</v>
      </c>
      <c r="B3525" s="1" t="s">
        <v>27</v>
      </c>
      <c r="C3525" s="1" t="s">
        <v>19280</v>
      </c>
      <c r="D3525" s="1" t="s">
        <v>17116</v>
      </c>
      <c r="E3525" s="1" t="s">
        <v>19281</v>
      </c>
      <c r="F3525" s="1" t="s">
        <v>30</v>
      </c>
      <c r="G3525" s="1" t="s">
        <v>19259</v>
      </c>
      <c r="H3525" s="1">
        <v>2019.0</v>
      </c>
      <c r="I3525" s="1" t="s">
        <v>136</v>
      </c>
      <c r="J3525" s="1" t="s">
        <v>238</v>
      </c>
      <c r="K3525" s="1" t="s">
        <v>10074</v>
      </c>
      <c r="L3525" s="1" t="s">
        <v>19282</v>
      </c>
      <c r="M3525" s="2" t="s">
        <v>12</v>
      </c>
      <c r="N3525" s="4">
        <f t="shared" si="1"/>
        <v>43721</v>
      </c>
      <c r="O3525" s="5" t="str">
        <f>IFERROR(__xludf.DUMMYFUNCTION("IF(REGEXMATCH(TRIM(I3525), ""^\d+\s*min""), ""Unclassified"", IF(I3525 = """", ""NR"", I3525))"),"TV-PG")</f>
        <v>TV-PG</v>
      </c>
      <c r="R3525" s="5" t="str">
        <f t="shared" si="2"/>
        <v>Tall Girl</v>
      </c>
      <c r="S3525" s="5" t="str">
        <f>IFERROR(__xludf.DUMMYFUNCTION("""COMPUTED_VALUE"""),"Jatts In Golmaal")</f>
        <v>Jatts In Golmaal</v>
      </c>
      <c r="U3525" s="5" t="str">
        <f>IFERROR(__xludf.DUMMYFUNCTION("""COMPUTED_VALUE"""),"Tarek Abdel Moaty")</f>
        <v>Tarek Abdel Moaty</v>
      </c>
      <c r="V3525" s="5" t="s">
        <v>19283</v>
      </c>
      <c r="W3525" s="5" t="str">
        <f t="shared" si="3"/>
        <v>Riri Riza</v>
      </c>
      <c r="X3525" s="5">
        <f t="shared" si="4"/>
        <v>5</v>
      </c>
      <c r="Y3525" s="5" t="str">
        <f>IFERROR(__xludf.DUMMYFUNCTION("REGEXEXTRACT(J3525, ""^\d+"")"),"103")</f>
        <v>103</v>
      </c>
      <c r="Z3525" s="5" t="str">
        <f>IFERROR(__xludf.DUMMYFUNCTION("REGEXEXTRACT(J3525, ""[A-Za-z ]+$"")")," min")</f>
        <v> min</v>
      </c>
      <c r="AA3525" s="5" t="str">
        <f>IFERROR(__xludf.DUMMYFUNCTION("IF(REGEXMATCH(Z3525, ""Season""), ""TV Show"", ""Movie"")"),"Movie")</f>
        <v>Movie</v>
      </c>
    </row>
    <row r="3526">
      <c r="A3526" s="1" t="s">
        <v>19284</v>
      </c>
      <c r="B3526" s="1" t="s">
        <v>37</v>
      </c>
      <c r="C3526" s="1" t="s">
        <v>19285</v>
      </c>
      <c r="E3526" s="1" t="s">
        <v>19286</v>
      </c>
      <c r="G3526" s="1" t="s">
        <v>19259</v>
      </c>
      <c r="H3526" s="1">
        <v>2019.0</v>
      </c>
      <c r="I3526" s="1" t="s">
        <v>42</v>
      </c>
      <c r="J3526" s="1" t="s">
        <v>51</v>
      </c>
      <c r="K3526" s="1" t="s">
        <v>3274</v>
      </c>
      <c r="L3526" s="1" t="s">
        <v>19287</v>
      </c>
      <c r="M3526" s="2" t="s">
        <v>12</v>
      </c>
      <c r="N3526" s="4">
        <f t="shared" si="1"/>
        <v>43721</v>
      </c>
      <c r="O3526" s="5" t="str">
        <f>IFERROR(__xludf.DUMMYFUNCTION("IF(REGEXMATCH(TRIM(I3526), ""^\d+\s*min""), ""Unclassified"", IF(I3526 = """", ""NR"", I3526))"),"TV-MA")</f>
        <v>TV-MA</v>
      </c>
      <c r="R3526" s="5" t="str">
        <f t="shared" si="2"/>
        <v>Top Boy</v>
      </c>
      <c r="S3526" s="5" t="str">
        <f>IFERROR(__xludf.DUMMYFUNCTION("""COMPUTED_VALUE"""),"Jaws")</f>
        <v>Jaws</v>
      </c>
      <c r="U3526" s="5" t="str">
        <f>IFERROR(__xludf.DUMMYFUNCTION("""COMPUTED_VALUE"""),"Henrik Ruben Genz")</f>
        <v>Henrik Ruben Genz</v>
      </c>
      <c r="V3526" s="5" t="s">
        <v>19288</v>
      </c>
      <c r="W3526" s="5" t="str">
        <f t="shared" si="3"/>
        <v>Ritesh Batra</v>
      </c>
      <c r="X3526" s="5">
        <f t="shared" si="4"/>
        <v>1</v>
      </c>
      <c r="Y3526" s="5" t="str">
        <f>IFERROR(__xludf.DUMMYFUNCTION("REGEXEXTRACT(J3526, ""^\d+"")"),"1")</f>
        <v>1</v>
      </c>
      <c r="Z3526" s="5" t="str">
        <f>IFERROR(__xludf.DUMMYFUNCTION("REGEXEXTRACT(J3526, ""[A-Za-z ]+$"")")," Season")</f>
        <v> Season</v>
      </c>
      <c r="AA3526" s="5" t="str">
        <f>IFERROR(__xludf.DUMMYFUNCTION("IF(REGEXMATCH(Z3526, ""Season""), ""TV Show"", ""Movie"")"),"TV Show")</f>
        <v>TV Show</v>
      </c>
    </row>
    <row r="3527">
      <c r="A3527" s="1" t="s">
        <v>19289</v>
      </c>
      <c r="B3527" s="1" t="s">
        <v>37</v>
      </c>
      <c r="C3527" s="1" t="s">
        <v>19290</v>
      </c>
      <c r="E3527" s="1" t="s">
        <v>19291</v>
      </c>
      <c r="F3527" s="1" t="s">
        <v>30</v>
      </c>
      <c r="G3527" s="1" t="s">
        <v>19259</v>
      </c>
      <c r="H3527" s="1">
        <v>2019.0</v>
      </c>
      <c r="I3527" s="1" t="s">
        <v>42</v>
      </c>
      <c r="J3527" s="1" t="s">
        <v>51</v>
      </c>
      <c r="K3527" s="1" t="s">
        <v>4118</v>
      </c>
      <c r="L3527" s="1" t="s">
        <v>19292</v>
      </c>
      <c r="M3527" s="2" t="s">
        <v>12</v>
      </c>
      <c r="N3527" s="4">
        <f t="shared" si="1"/>
        <v>43721</v>
      </c>
      <c r="O3527" s="5" t="str">
        <f>IFERROR(__xludf.DUMMYFUNCTION("IF(REGEXMATCH(TRIM(I3527), ""^\d+\s*min""), ""Unclassified"", IF(I3527 = """", ""NR"", I3527))"),"TV-MA")</f>
        <v>TV-MA</v>
      </c>
      <c r="R3527" s="5" t="str">
        <f t="shared" si="2"/>
        <v>Unbelievable</v>
      </c>
      <c r="S3527" s="5" t="str">
        <f>IFERROR(__xludf.DUMMYFUNCTION("""COMPUTED_VALUE"""),"Jaws 2")</f>
        <v>Jaws 2</v>
      </c>
      <c r="U3527" s="5" t="str">
        <f>IFERROR(__xludf.DUMMYFUNCTION("""COMPUTED_VALUE"""),"Justin Chon")</f>
        <v>Justin Chon</v>
      </c>
      <c r="V3527" s="5" t="s">
        <v>19293</v>
      </c>
      <c r="W3527" s="5" t="str">
        <f t="shared" si="3"/>
        <v>Ritu Sarin, Tenzing Sonam</v>
      </c>
      <c r="X3527" s="5">
        <f t="shared" si="4"/>
        <v>1</v>
      </c>
      <c r="Y3527" s="5" t="str">
        <f>IFERROR(__xludf.DUMMYFUNCTION("REGEXEXTRACT(J3527, ""^\d+"")"),"1")</f>
        <v>1</v>
      </c>
      <c r="Z3527" s="5" t="str">
        <f>IFERROR(__xludf.DUMMYFUNCTION("REGEXEXTRACT(J3527, ""[A-Za-z ]+$"")")," Season")</f>
        <v> Season</v>
      </c>
      <c r="AA3527" s="5" t="str">
        <f>IFERROR(__xludf.DUMMYFUNCTION("IF(REGEXMATCH(Z3527, ""Season""), ""TV Show"", ""Movie"")"),"TV Show")</f>
        <v>TV Show</v>
      </c>
    </row>
    <row r="3528">
      <c r="A3528" s="1" t="s">
        <v>19294</v>
      </c>
      <c r="B3528" s="1" t="s">
        <v>37</v>
      </c>
      <c r="C3528" s="1" t="s">
        <v>19295</v>
      </c>
      <c r="E3528" s="1" t="s">
        <v>19296</v>
      </c>
      <c r="F3528" s="1" t="s">
        <v>30</v>
      </c>
      <c r="G3528" s="1" t="s">
        <v>19297</v>
      </c>
      <c r="H3528" s="1">
        <v>2019.0</v>
      </c>
      <c r="I3528" s="1" t="s">
        <v>42</v>
      </c>
      <c r="J3528" s="1" t="s">
        <v>51</v>
      </c>
      <c r="K3528" s="1" t="s">
        <v>3223</v>
      </c>
      <c r="L3528" s="1" t="s">
        <v>19298</v>
      </c>
      <c r="M3528" s="2" t="s">
        <v>12</v>
      </c>
      <c r="N3528" s="4">
        <f t="shared" si="1"/>
        <v>43720</v>
      </c>
      <c r="O3528" s="5" t="str">
        <f>IFERROR(__xludf.DUMMYFUNCTION("IF(REGEXMATCH(TRIM(I3528), ""^\d+\s*min""), ""Unclassified"", IF(I3528 = """", ""NR"", I3528))"),"TV-MA")</f>
        <v>TV-MA</v>
      </c>
      <c r="R3528" s="5" t="str">
        <f t="shared" si="2"/>
        <v>The I-Land</v>
      </c>
      <c r="S3528" s="5" t="str">
        <f>IFERROR(__xludf.DUMMYFUNCTION("""COMPUTED_VALUE"""),"Jaws 3")</f>
        <v>Jaws 3</v>
      </c>
      <c r="U3528" s="5" t="str">
        <f>IFERROR(__xludf.DUMMYFUNCTION("""COMPUTED_VALUE"""),"Robert Altman")</f>
        <v>Robert Altman</v>
      </c>
      <c r="V3528" s="5" t="s">
        <v>19299</v>
      </c>
      <c r="W3528" s="5" t="str">
        <f t="shared" si="3"/>
        <v>Rizal Mantovani</v>
      </c>
      <c r="X3528" s="5">
        <f t="shared" si="4"/>
        <v>2</v>
      </c>
      <c r="Y3528" s="5" t="str">
        <f>IFERROR(__xludf.DUMMYFUNCTION("REGEXEXTRACT(J3528, ""^\d+"")"),"1")</f>
        <v>1</v>
      </c>
      <c r="Z3528" s="5" t="str">
        <f>IFERROR(__xludf.DUMMYFUNCTION("REGEXEXTRACT(J3528, ""[A-Za-z ]+$"")")," Season")</f>
        <v> Season</v>
      </c>
      <c r="AA3528" s="5" t="str">
        <f>IFERROR(__xludf.DUMMYFUNCTION("IF(REGEXMATCH(Z3528, ""Season""), ""TV Show"", ""Movie"")"),"TV Show")</f>
        <v>TV Show</v>
      </c>
    </row>
    <row r="3529">
      <c r="A3529" s="1" t="s">
        <v>19300</v>
      </c>
      <c r="B3529" s="1" t="s">
        <v>37</v>
      </c>
      <c r="C3529" s="1" t="s">
        <v>19301</v>
      </c>
      <c r="E3529" s="1" t="s">
        <v>19302</v>
      </c>
      <c r="F3529" s="1" t="s">
        <v>30</v>
      </c>
      <c r="G3529" s="1" t="s">
        <v>19297</v>
      </c>
      <c r="H3529" s="1">
        <v>2019.0</v>
      </c>
      <c r="I3529" s="1" t="s">
        <v>97</v>
      </c>
      <c r="J3529" s="1" t="s">
        <v>51</v>
      </c>
      <c r="K3529" s="1" t="s">
        <v>736</v>
      </c>
      <c r="L3529" s="1" t="s">
        <v>19303</v>
      </c>
      <c r="M3529" s="2" t="s">
        <v>12</v>
      </c>
      <c r="N3529" s="4">
        <f t="shared" si="1"/>
        <v>43720</v>
      </c>
      <c r="O3529" s="5" t="str">
        <f>IFERROR(__xludf.DUMMYFUNCTION("IF(REGEXMATCH(TRIM(I3529), ""^\d+\s*min""), ""Unclassified"", IF(I3529 = """", ""NR"", I3529))"),"TV-14")</f>
        <v>TV-14</v>
      </c>
      <c r="R3529" s="5" t="str">
        <f t="shared" si="2"/>
        <v>The Mind, Explained</v>
      </c>
      <c r="S3529" s="5" t="str">
        <f>IFERROR(__xludf.DUMMYFUNCTION("""COMPUTED_VALUE"""),"Jaws: The Revenge")</f>
        <v>Jaws: The Revenge</v>
      </c>
      <c r="U3529" s="5" t="str">
        <f>IFERROR(__xludf.DUMMYFUNCTION("""COMPUTED_VALUE"""),"Mathieu Kassovitz")</f>
        <v>Mathieu Kassovitz</v>
      </c>
      <c r="V3529" s="5" t="s">
        <v>7503</v>
      </c>
      <c r="W3529" s="5" t="str">
        <f t="shared" si="3"/>
        <v>Rizki Balki</v>
      </c>
      <c r="X3529" s="5">
        <f t="shared" si="4"/>
        <v>1</v>
      </c>
      <c r="Y3529" s="5" t="str">
        <f>IFERROR(__xludf.DUMMYFUNCTION("REGEXEXTRACT(J3529, ""^\d+"")"),"1")</f>
        <v>1</v>
      </c>
      <c r="Z3529" s="5" t="str">
        <f>IFERROR(__xludf.DUMMYFUNCTION("REGEXEXTRACT(J3529, ""[A-Za-z ]+$"")")," Season")</f>
        <v> Season</v>
      </c>
      <c r="AA3529" s="5" t="str">
        <f>IFERROR(__xludf.DUMMYFUNCTION("IF(REGEXMATCH(Z3529, ""Season""), ""TV Show"", ""Movie"")"),"TV Show")</f>
        <v>TV Show</v>
      </c>
    </row>
    <row r="3530">
      <c r="A3530" s="1" t="s">
        <v>19304</v>
      </c>
      <c r="B3530" s="1" t="s">
        <v>27</v>
      </c>
      <c r="C3530" s="1" t="s">
        <v>19305</v>
      </c>
      <c r="D3530" s="1" t="s">
        <v>7349</v>
      </c>
      <c r="E3530" s="1" t="s">
        <v>19306</v>
      </c>
      <c r="F3530" s="1" t="s">
        <v>692</v>
      </c>
      <c r="G3530" s="1" t="s">
        <v>19307</v>
      </c>
      <c r="H3530" s="1">
        <v>2019.0</v>
      </c>
      <c r="I3530" s="1" t="s">
        <v>42</v>
      </c>
      <c r="J3530" s="1" t="s">
        <v>155</v>
      </c>
      <c r="K3530" s="1" t="s">
        <v>1839</v>
      </c>
      <c r="L3530" s="1" t="s">
        <v>19308</v>
      </c>
      <c r="M3530" s="2" t="s">
        <v>12</v>
      </c>
      <c r="N3530" s="4">
        <f t="shared" si="1"/>
        <v>43718</v>
      </c>
      <c r="O3530" s="5" t="str">
        <f>IFERROR(__xludf.DUMMYFUNCTION("IF(REGEXMATCH(TRIM(I3530), ""^\d+\s*min""), ""Unclassified"", IF(I3530 = """", ""NR"", I3530))"),"TV-MA")</f>
        <v>TV-MA</v>
      </c>
      <c r="R3530" s="5" t="str">
        <f t="shared" si="2"/>
        <v>Bill Burr: Paper Tiger</v>
      </c>
      <c r="S3530" s="5" t="str">
        <f>IFERROR(__xludf.DUMMYFUNCTION("""COMPUTED_VALUE"""),"Jay And Silent Bob Strike Back")</f>
        <v>Jay And Silent Bob Strike Back</v>
      </c>
      <c r="U3530" s="5" t="str">
        <f>IFERROR(__xludf.DUMMYFUNCTION("""COMPUTED_VALUE"""),"Ananth Narayan Mahadevan")</f>
        <v>Ananth Narayan Mahadevan</v>
      </c>
      <c r="V3530" s="5" t="s">
        <v>19309</v>
      </c>
      <c r="W3530" s="5" t="str">
        <f t="shared" si="3"/>
        <v>Rob Burnett</v>
      </c>
      <c r="X3530" s="5">
        <f t="shared" si="4"/>
        <v>1</v>
      </c>
      <c r="Y3530" s="5" t="str">
        <f>IFERROR(__xludf.DUMMYFUNCTION("REGEXEXTRACT(J3530, ""^\d+"")"),"67")</f>
        <v>67</v>
      </c>
      <c r="Z3530" s="5" t="str">
        <f>IFERROR(__xludf.DUMMYFUNCTION("REGEXEXTRACT(J3530, ""[A-Za-z ]+$"")")," min")</f>
        <v> min</v>
      </c>
      <c r="AA3530" s="5" t="str">
        <f>IFERROR(__xludf.DUMMYFUNCTION("IF(REGEXMATCH(Z3530, ""Season""), ""TV Show"", ""Movie"")"),"Movie")</f>
        <v>Movie</v>
      </c>
    </row>
    <row r="3531">
      <c r="A3531" s="1" t="s">
        <v>19310</v>
      </c>
      <c r="B3531" s="1" t="s">
        <v>27</v>
      </c>
      <c r="C3531" s="1" t="s">
        <v>19311</v>
      </c>
      <c r="D3531" s="1" t="s">
        <v>19312</v>
      </c>
      <c r="F3531" s="1" t="s">
        <v>96</v>
      </c>
      <c r="G3531" s="1" t="s">
        <v>19307</v>
      </c>
      <c r="H3531" s="1">
        <v>2019.0</v>
      </c>
      <c r="I3531" s="1" t="s">
        <v>42</v>
      </c>
      <c r="J3531" s="1" t="s">
        <v>322</v>
      </c>
      <c r="K3531" s="1" t="s">
        <v>156</v>
      </c>
      <c r="L3531" s="1" t="s">
        <v>19313</v>
      </c>
      <c r="M3531" s="2" t="s">
        <v>12</v>
      </c>
      <c r="N3531" s="4">
        <f t="shared" si="1"/>
        <v>43718</v>
      </c>
      <c r="O3531" s="5" t="str">
        <f>IFERROR(__xludf.DUMMYFUNCTION("IF(REGEXMATCH(TRIM(I3531), ""^\d+\s*min""), ""Unclassified"", IF(I3531 = """", ""NR"", I3531))"),"TV-MA")</f>
        <v>TV-MA</v>
      </c>
      <c r="R3531" s="5" t="str">
        <f t="shared" si="2"/>
        <v>Evelyn</v>
      </c>
      <c r="S3531" s="5" t="str">
        <f>IFERROR(__xludf.DUMMYFUNCTION("""COMPUTED_VALUE"""),"Je Suis Karl")</f>
        <v>Je Suis Karl</v>
      </c>
      <c r="U3531" s="5" t="str">
        <f>IFERROR(__xludf.DUMMYFUNCTION("""COMPUTED_VALUE"""),"Tanuj Chopra")</f>
        <v>Tanuj Chopra</v>
      </c>
      <c r="V3531" s="5" t="s">
        <v>19314</v>
      </c>
      <c r="W3531" s="5" t="str">
        <f t="shared" si="3"/>
        <v>Rob Cohen</v>
      </c>
      <c r="X3531" s="5">
        <f t="shared" si="4"/>
        <v>3</v>
      </c>
      <c r="Y3531" s="5" t="str">
        <f>IFERROR(__xludf.DUMMYFUNCTION("REGEXEXTRACT(J3531, ""^\d+"")"),"96")</f>
        <v>96</v>
      </c>
      <c r="Z3531" s="5" t="str">
        <f>IFERROR(__xludf.DUMMYFUNCTION("REGEXEXTRACT(J3531, ""[A-Za-z ]+$"")")," min")</f>
        <v> min</v>
      </c>
      <c r="AA3531" s="5" t="str">
        <f>IFERROR(__xludf.DUMMYFUNCTION("IF(REGEXMATCH(Z3531, ""Season""), ""TV Show"", ""Movie"")"),"Movie")</f>
        <v>Movie</v>
      </c>
    </row>
    <row r="3532">
      <c r="A3532" s="1" t="s">
        <v>19315</v>
      </c>
      <c r="B3532" s="1" t="s">
        <v>27</v>
      </c>
      <c r="C3532" s="1" t="s">
        <v>19316</v>
      </c>
      <c r="D3532" s="1" t="s">
        <v>2390</v>
      </c>
      <c r="E3532" s="1" t="s">
        <v>19317</v>
      </c>
      <c r="F3532" s="1" t="s">
        <v>63</v>
      </c>
      <c r="G3532" s="1" t="s">
        <v>19318</v>
      </c>
      <c r="H3532" s="1">
        <v>2019.0</v>
      </c>
      <c r="I3532" s="1" t="s">
        <v>42</v>
      </c>
      <c r="J3532" s="1" t="s">
        <v>88</v>
      </c>
      <c r="K3532" s="1" t="s">
        <v>298</v>
      </c>
      <c r="L3532" s="1" t="s">
        <v>19319</v>
      </c>
      <c r="M3532" s="2" t="s">
        <v>12</v>
      </c>
      <c r="N3532" s="4">
        <f t="shared" si="1"/>
        <v>43714</v>
      </c>
      <c r="O3532" s="5" t="str">
        <f>IFERROR(__xludf.DUMMYFUNCTION("IF(REGEXMATCH(TRIM(I3532), ""^\d+\s*min""), ""Unclassified"", IF(I3532 = """", ""NR"", I3532))"),"TV-MA")</f>
        <v>TV-MA</v>
      </c>
      <c r="R3532" s="5" t="str">
        <f t="shared" si="2"/>
        <v>Article 15</v>
      </c>
      <c r="S3532" s="5" t="str">
        <f>IFERROR(__xludf.DUMMYFUNCTION("""COMPUTED_VALUE"""),"Jealousy And Medicine")</f>
        <v>Jealousy And Medicine</v>
      </c>
      <c r="U3532" s="5" t="str">
        <f>IFERROR(__xludf.DUMMYFUNCTION("""COMPUTED_VALUE"""),"Nanette Burstein")</f>
        <v>Nanette Burstein</v>
      </c>
      <c r="V3532" s="5" t="s">
        <v>19320</v>
      </c>
      <c r="W3532" s="5" t="str">
        <f t="shared" si="3"/>
        <v>Rob Epstein, Jeffrey Friedman</v>
      </c>
      <c r="X3532" s="5">
        <f t="shared" si="4"/>
        <v>1</v>
      </c>
      <c r="Y3532" s="5" t="str">
        <f>IFERROR(__xludf.DUMMYFUNCTION("REGEXEXTRACT(J3532, ""^\d+"")"),"125")</f>
        <v>125</v>
      </c>
      <c r="Z3532" s="5" t="str">
        <f>IFERROR(__xludf.DUMMYFUNCTION("REGEXEXTRACT(J3532, ""[A-Za-z ]+$"")")," min")</f>
        <v> min</v>
      </c>
      <c r="AA3532" s="5" t="str">
        <f>IFERROR(__xludf.DUMMYFUNCTION("IF(REGEXMATCH(Z3532, ""Season""), ""TV Show"", ""Movie"")"),"Movie")</f>
        <v>Movie</v>
      </c>
    </row>
    <row r="3533">
      <c r="A3533" s="1" t="s">
        <v>19321</v>
      </c>
      <c r="B3533" s="1" t="s">
        <v>27</v>
      </c>
      <c r="C3533" s="1" t="s">
        <v>19322</v>
      </c>
      <c r="D3533" s="1" t="s">
        <v>14269</v>
      </c>
      <c r="E3533" s="1" t="s">
        <v>19323</v>
      </c>
      <c r="F3533" s="1" t="s">
        <v>63</v>
      </c>
      <c r="G3533" s="1" t="s">
        <v>19318</v>
      </c>
      <c r="H3533" s="1">
        <v>2018.0</v>
      </c>
      <c r="I3533" s="1" t="s">
        <v>42</v>
      </c>
      <c r="J3533" s="1" t="s">
        <v>950</v>
      </c>
      <c r="K3533" s="1" t="s">
        <v>836</v>
      </c>
      <c r="L3533" s="1" t="s">
        <v>19324</v>
      </c>
      <c r="M3533" s="2" t="s">
        <v>12</v>
      </c>
      <c r="N3533" s="4">
        <f t="shared" si="1"/>
        <v>43714</v>
      </c>
      <c r="O3533" s="5" t="str">
        <f>IFERROR(__xludf.DUMMYFUNCTION("IF(REGEXMATCH(TRIM(I3533), ""^\d+\s*min""), ""Unclassified"", IF(I3533 = """", ""NR"", I3533))"),"TV-MA")</f>
        <v>TV-MA</v>
      </c>
      <c r="R3533" s="5" t="str">
        <f t="shared" si="2"/>
        <v>Care Of Kancharapalem</v>
      </c>
      <c r="S3533" s="5" t="str">
        <f>IFERROR(__xludf.DUMMYFUNCTION("""COMPUTED_VALUE"""),"Jeans")</f>
        <v>Jeans</v>
      </c>
      <c r="U3533" s="5" t="str">
        <f>IFERROR(__xludf.DUMMYFUNCTION("""COMPUTED_VALUE"""),"Eric Juhola")</f>
        <v>Eric Juhola</v>
      </c>
      <c r="V3533" s="5" t="s">
        <v>19325</v>
      </c>
      <c r="W3533" s="5" t="str">
        <f t="shared" si="3"/>
        <v>Rob Laduca, Robert C. Ramirez</v>
      </c>
      <c r="X3533" s="5">
        <f t="shared" si="4"/>
        <v>1</v>
      </c>
      <c r="Y3533" s="5" t="str">
        <f>IFERROR(__xludf.DUMMYFUNCTION("REGEXEXTRACT(J3533, ""^\d+"")"),"142")</f>
        <v>142</v>
      </c>
      <c r="Z3533" s="5" t="str">
        <f>IFERROR(__xludf.DUMMYFUNCTION("REGEXEXTRACT(J3533, ""[A-Za-z ]+$"")")," min")</f>
        <v> min</v>
      </c>
      <c r="AA3533" s="5" t="str">
        <f>IFERROR(__xludf.DUMMYFUNCTION("IF(REGEXMATCH(Z3533, ""Season""), ""TV Show"", ""Movie"")"),"Movie")</f>
        <v>Movie</v>
      </c>
    </row>
    <row r="3534">
      <c r="A3534" s="1" t="s">
        <v>19326</v>
      </c>
      <c r="B3534" s="1" t="s">
        <v>27</v>
      </c>
      <c r="C3534" s="1" t="s">
        <v>19327</v>
      </c>
      <c r="D3534" s="1" t="s">
        <v>19328</v>
      </c>
      <c r="E3534" s="1" t="s">
        <v>19329</v>
      </c>
      <c r="F3534" s="1" t="s">
        <v>63</v>
      </c>
      <c r="G3534" s="1" t="s">
        <v>19318</v>
      </c>
      <c r="H3534" s="1">
        <v>2018.0</v>
      </c>
      <c r="I3534" s="1" t="s">
        <v>97</v>
      </c>
      <c r="J3534" s="1" t="s">
        <v>1428</v>
      </c>
      <c r="K3534" s="1" t="s">
        <v>5295</v>
      </c>
      <c r="L3534" s="1" t="s">
        <v>19330</v>
      </c>
      <c r="M3534" s="2" t="s">
        <v>12</v>
      </c>
      <c r="N3534" s="4">
        <f t="shared" si="1"/>
        <v>43714</v>
      </c>
      <c r="O3534" s="5" t="str">
        <f>IFERROR(__xludf.DUMMYFUNCTION("IF(REGEXMATCH(TRIM(I3534), ""^\d+\s*min""), ""Unclassified"", IF(I3534 = """", ""NR"", I3534))"),"TV-14")</f>
        <v>TV-14</v>
      </c>
      <c r="R3534" s="5" t="str">
        <f t="shared" si="2"/>
        <v>Ee Nagaraniki Emaindi</v>
      </c>
      <c r="S3534" s="5" t="str">
        <f>IFERROR(__xludf.DUMMYFUNCTION("""COMPUTED_VALUE"""),"Jefe")</f>
        <v>Jefe</v>
      </c>
      <c r="U3534" s="5" t="str">
        <f>IFERROR(__xludf.DUMMYFUNCTION("""COMPUTED_VALUE"""),"Anjali Nayar")</f>
        <v>Anjali Nayar</v>
      </c>
      <c r="V3534" s="5" t="s">
        <v>3595</v>
      </c>
      <c r="W3534" s="5" t="str">
        <f t="shared" si="3"/>
        <v>Rob Marshall</v>
      </c>
      <c r="X3534" s="5">
        <f t="shared" si="4"/>
        <v>2</v>
      </c>
      <c r="Y3534" s="5" t="str">
        <f>IFERROR(__xludf.DUMMYFUNCTION("REGEXEXTRACT(J3534, ""^\d+"")"),"133")</f>
        <v>133</v>
      </c>
      <c r="Z3534" s="5" t="str">
        <f>IFERROR(__xludf.DUMMYFUNCTION("REGEXEXTRACT(J3534, ""[A-Za-z ]+$"")")," min")</f>
        <v> min</v>
      </c>
      <c r="AA3534" s="5" t="str">
        <f>IFERROR(__xludf.DUMMYFUNCTION("IF(REGEXMATCH(Z3534, ""Season""), ""TV Show"", ""Movie"")"),"Movie")</f>
        <v>Movie</v>
      </c>
    </row>
    <row r="3535">
      <c r="A3535" s="1" t="s">
        <v>19331</v>
      </c>
      <c r="B3535" s="1" t="s">
        <v>27</v>
      </c>
      <c r="C3535" s="1" t="s">
        <v>19332</v>
      </c>
      <c r="D3535" s="1" t="s">
        <v>5886</v>
      </c>
      <c r="E3535" s="1" t="s">
        <v>19333</v>
      </c>
      <c r="F3535" s="1" t="s">
        <v>188</v>
      </c>
      <c r="G3535" s="1" t="s">
        <v>19318</v>
      </c>
      <c r="H3535" s="1">
        <v>2019.0</v>
      </c>
      <c r="I3535" s="1" t="s">
        <v>97</v>
      </c>
      <c r="J3535" s="1" t="s">
        <v>433</v>
      </c>
      <c r="K3535" s="1" t="s">
        <v>215</v>
      </c>
      <c r="L3535" s="1" t="s">
        <v>19334</v>
      </c>
      <c r="M3535" s="2" t="s">
        <v>12</v>
      </c>
      <c r="N3535" s="4">
        <f t="shared" si="1"/>
        <v>43714</v>
      </c>
      <c r="O3535" s="5" t="str">
        <f>IFERROR(__xludf.DUMMYFUNCTION("IF(REGEXMATCH(TRIM(I3535), ""^\d+\s*min""), ""Unclassified"", IF(I3535 = """", ""NR"", I3535))"),"TV-14")</f>
        <v>TV-14</v>
      </c>
      <c r="R3535" s="5" t="str">
        <f t="shared" si="2"/>
        <v>Kill Me If You Dare</v>
      </c>
      <c r="S3535" s="5" t="str">
        <f>IFERROR(__xludf.DUMMYFUNCTION("""COMPUTED_VALUE"""),"Jeff Dunham: All Over The Map")</f>
        <v>Jeff Dunham: All Over The Map</v>
      </c>
      <c r="U3535" s="5" t="str">
        <f>IFERROR(__xludf.DUMMYFUNCTION("""COMPUTED_VALUE"""),"James Woodroffe")</f>
        <v>James Woodroffe</v>
      </c>
      <c r="V3535" s="5" t="s">
        <v>19335</v>
      </c>
      <c r="W3535" s="5" t="str">
        <f t="shared" si="3"/>
        <v>Rob Mckittrick</v>
      </c>
      <c r="X3535" s="5">
        <f t="shared" si="4"/>
        <v>1</v>
      </c>
      <c r="Y3535" s="5" t="str">
        <f>IFERROR(__xludf.DUMMYFUNCTION("REGEXEXTRACT(J3535, ""^\d+"")"),"100")</f>
        <v>100</v>
      </c>
      <c r="Z3535" s="5" t="str">
        <f>IFERROR(__xludf.DUMMYFUNCTION("REGEXEXTRACT(J3535, ""[A-Za-z ]+$"")")," min")</f>
        <v> min</v>
      </c>
      <c r="AA3535" s="5" t="str">
        <f>IFERROR(__xludf.DUMMYFUNCTION("IF(REGEXMATCH(Z3535, ""Season""), ""TV Show"", ""Movie"")"),"Movie")</f>
        <v>Movie</v>
      </c>
    </row>
    <row r="3536">
      <c r="A3536" s="1" t="s">
        <v>19336</v>
      </c>
      <c r="B3536" s="1" t="s">
        <v>37</v>
      </c>
      <c r="C3536" s="1" t="s">
        <v>19337</v>
      </c>
      <c r="E3536" s="1" t="s">
        <v>19338</v>
      </c>
      <c r="F3536" s="1" t="s">
        <v>664</v>
      </c>
      <c r="G3536" s="1" t="s">
        <v>19318</v>
      </c>
      <c r="H3536" s="1">
        <v>2019.0</v>
      </c>
      <c r="I3536" s="1" t="s">
        <v>42</v>
      </c>
      <c r="J3536" s="1" t="s">
        <v>51</v>
      </c>
      <c r="K3536" s="1" t="s">
        <v>283</v>
      </c>
      <c r="L3536" s="1" t="s">
        <v>19339</v>
      </c>
      <c r="M3536" s="2" t="s">
        <v>12</v>
      </c>
      <c r="N3536" s="4">
        <f t="shared" si="1"/>
        <v>43714</v>
      </c>
      <c r="O3536" s="5" t="str">
        <f>IFERROR(__xludf.DUMMYFUNCTION("IF(REGEXMATCH(TRIM(I3536), ""^\d+\s*min""), ""Unclassified"", IF(I3536 = """", ""NR"", I3536))"),"TV-MA")</f>
        <v>TV-MA</v>
      </c>
      <c r="R3536" s="5" t="str">
        <f t="shared" si="2"/>
        <v>The Spy</v>
      </c>
      <c r="S3536" s="5" t="str">
        <f>IFERROR(__xludf.DUMMYFUNCTION("""COMPUTED_VALUE"""),"Jeff Dunham: Arguing With Myself")</f>
        <v>Jeff Dunham: Arguing With Myself</v>
      </c>
      <c r="U3536" s="5" t="str">
        <f>IFERROR(__xludf.DUMMYFUNCTION("""COMPUTED_VALUE"""),"Ali Taner Baltacı")</f>
        <v>Ali Taner Baltacı</v>
      </c>
      <c r="V3536" s="5" t="s">
        <v>19340</v>
      </c>
      <c r="W3536" s="5" t="str">
        <f t="shared" si="3"/>
        <v>Rob Meyer</v>
      </c>
      <c r="X3536" s="5">
        <f t="shared" si="4"/>
        <v>1</v>
      </c>
      <c r="Y3536" s="5" t="str">
        <f>IFERROR(__xludf.DUMMYFUNCTION("REGEXEXTRACT(J3536, ""^\d+"")"),"1")</f>
        <v>1</v>
      </c>
      <c r="Z3536" s="5" t="str">
        <f>IFERROR(__xludf.DUMMYFUNCTION("REGEXEXTRACT(J3536, ""[A-Za-z ]+$"")")," Season")</f>
        <v> Season</v>
      </c>
      <c r="AA3536" s="5" t="str">
        <f>IFERROR(__xludf.DUMMYFUNCTION("IF(REGEXMATCH(Z3536, ""Season""), ""TV Show"", ""Movie"")"),"TV Show")</f>
        <v>TV Show</v>
      </c>
    </row>
    <row r="3537">
      <c r="A3537" s="1" t="s">
        <v>19341</v>
      </c>
      <c r="B3537" s="1" t="s">
        <v>27</v>
      </c>
      <c r="C3537" s="1" t="s">
        <v>19342</v>
      </c>
      <c r="E3537" s="1" t="s">
        <v>19343</v>
      </c>
      <c r="F3537" s="1" t="s">
        <v>30</v>
      </c>
      <c r="G3537" s="1" t="s">
        <v>19344</v>
      </c>
      <c r="H3537" s="1">
        <v>2019.0</v>
      </c>
      <c r="I3537" s="1" t="s">
        <v>506</v>
      </c>
      <c r="J3537" s="1" t="s">
        <v>19345</v>
      </c>
      <c r="K3537" s="1" t="s">
        <v>34</v>
      </c>
      <c r="L3537" s="1" t="s">
        <v>19346</v>
      </c>
      <c r="M3537" s="2" t="s">
        <v>12</v>
      </c>
      <c r="N3537" s="4">
        <f t="shared" si="1"/>
        <v>43713</v>
      </c>
      <c r="O3537" s="5" t="str">
        <f>IFERROR(__xludf.DUMMYFUNCTION("IF(REGEXMATCH(TRIM(I3537), ""^\d+\s*min""), ""Unclassified"", IF(I3537 = """", ""NR"", I3537))"),"TV-G")</f>
        <v>TV-G</v>
      </c>
      <c r="R3537" s="5" t="str">
        <f t="shared" si="2"/>
        <v>American Factory: A Conversation With The Obamas</v>
      </c>
      <c r="S3537" s="5" t="str">
        <f>IFERROR(__xludf.DUMMYFUNCTION("""COMPUTED_VALUE"""),"Jeff Dunham: Beside Himself")</f>
        <v>Jeff Dunham: Beside Himself</v>
      </c>
      <c r="U3537" s="5" t="str">
        <f>IFERROR(__xludf.DUMMYFUNCTION("""COMPUTED_VALUE"""),"Shinji Aramaki, Mamoru Oshii, Hideki Futamura, Toshiyuki Kanno, Tomoki Kyoda, Koichi Mashimo, Yasushi Muraki, Daisuke Nishio, Frank O'Connor, Koji Sawai, Joseph Chou, Hiroshi Yamazaki")</f>
        <v>Shinji Aramaki, Mamoru Oshii, Hideki Futamura, Toshiyuki Kanno, Tomoki Kyoda, Koichi Mashimo, Yasushi Muraki, Daisuke Nishio, Frank O'Connor, Koji Sawai, Joseph Chou, Hiroshi Yamazaki</v>
      </c>
      <c r="V3537" s="5" t="s">
        <v>3695</v>
      </c>
      <c r="W3537" s="5" t="str">
        <f t="shared" si="3"/>
        <v>Rob Minkoff</v>
      </c>
      <c r="X3537" s="5">
        <f t="shared" si="4"/>
        <v>4</v>
      </c>
      <c r="Y3537" s="5" t="str">
        <f>IFERROR(__xludf.DUMMYFUNCTION("REGEXEXTRACT(J3537, ""^\d+"")"),"10")</f>
        <v>10</v>
      </c>
      <c r="Z3537" s="5" t="str">
        <f>IFERROR(__xludf.DUMMYFUNCTION("REGEXEXTRACT(J3537, ""[A-Za-z ]+$"")")," min")</f>
        <v> min</v>
      </c>
      <c r="AA3537" s="5" t="str">
        <f>IFERROR(__xludf.DUMMYFUNCTION("IF(REGEXMATCH(Z3537, ""Season""), ""TV Show"", ""Movie"")"),"Movie")</f>
        <v>Movie</v>
      </c>
    </row>
    <row r="3538">
      <c r="A3538" s="1" t="s">
        <v>19347</v>
      </c>
      <c r="B3538" s="1" t="s">
        <v>27</v>
      </c>
      <c r="C3538" s="1" t="s">
        <v>19348</v>
      </c>
      <c r="D3538" s="1" t="s">
        <v>7506</v>
      </c>
      <c r="E3538" s="1" t="s">
        <v>19349</v>
      </c>
      <c r="F3538" s="1" t="s">
        <v>19350</v>
      </c>
      <c r="G3538" s="1" t="s">
        <v>19351</v>
      </c>
      <c r="H3538" s="1">
        <v>2016.0</v>
      </c>
      <c r="I3538" s="1" t="s">
        <v>97</v>
      </c>
      <c r="J3538" s="1" t="s">
        <v>757</v>
      </c>
      <c r="K3538" s="1" t="s">
        <v>89</v>
      </c>
      <c r="L3538" s="1" t="s">
        <v>19352</v>
      </c>
      <c r="M3538" s="2" t="s">
        <v>12</v>
      </c>
      <c r="N3538" s="4">
        <f t="shared" si="1"/>
        <v>43712</v>
      </c>
      <c r="O3538" s="5" t="str">
        <f>IFERROR(__xludf.DUMMYFUNCTION("IF(REGEXMATCH(TRIM(I3538), ""^\d+\s*min""), ""Unclassified"", IF(I3538 = """", ""NR"", I3538))"),"TV-14")</f>
        <v>TV-14</v>
      </c>
      <c r="R3538" s="5" t="str">
        <f t="shared" si="2"/>
        <v>Saawan</v>
      </c>
      <c r="S3538" s="5" t="str">
        <f>IFERROR(__xludf.DUMMYFUNCTION("""COMPUTED_VALUE"""),"Jeff Dunham: Controlled Chaos")</f>
        <v>Jeff Dunham: Controlled Chaos</v>
      </c>
      <c r="U3538" s="5" t="str">
        <f>IFERROR(__xludf.DUMMYFUNCTION("""COMPUTED_VALUE"""),"Ian Kirby")</f>
        <v>Ian Kirby</v>
      </c>
      <c r="V3538" s="5" t="s">
        <v>4824</v>
      </c>
      <c r="W3538" s="5" t="str">
        <f t="shared" si="3"/>
        <v>Rob Reiner</v>
      </c>
      <c r="X3538" s="5">
        <f t="shared" si="4"/>
        <v>4</v>
      </c>
      <c r="Y3538" s="5" t="str">
        <f>IFERROR(__xludf.DUMMYFUNCTION("REGEXEXTRACT(J3538, ""^\d+"")"),"128")</f>
        <v>128</v>
      </c>
      <c r="Z3538" s="5" t="str">
        <f>IFERROR(__xludf.DUMMYFUNCTION("REGEXEXTRACT(J3538, ""[A-Za-z ]+$"")")," min")</f>
        <v> min</v>
      </c>
      <c r="AA3538" s="5" t="str">
        <f>IFERROR(__xludf.DUMMYFUNCTION("IF(REGEXMATCH(Z3538, ""Season""), ""TV Show"", ""Movie"")"),"Movie")</f>
        <v>Movie</v>
      </c>
    </row>
    <row r="3539">
      <c r="A3539" s="1" t="s">
        <v>19353</v>
      </c>
      <c r="B3539" s="1" t="s">
        <v>27</v>
      </c>
      <c r="C3539" s="1" t="s">
        <v>19354</v>
      </c>
      <c r="D3539" s="1" t="s">
        <v>19355</v>
      </c>
      <c r="E3539" s="1" t="s">
        <v>19356</v>
      </c>
      <c r="F3539" s="1" t="s">
        <v>63</v>
      </c>
      <c r="G3539" s="1" t="s">
        <v>19351</v>
      </c>
      <c r="H3539" s="1">
        <v>2019.0</v>
      </c>
      <c r="I3539" s="1" t="s">
        <v>97</v>
      </c>
      <c r="J3539" s="1" t="s">
        <v>454</v>
      </c>
      <c r="K3539" s="1" t="s">
        <v>583</v>
      </c>
      <c r="L3539" s="1" t="s">
        <v>19357</v>
      </c>
      <c r="M3539" s="2" t="s">
        <v>12</v>
      </c>
      <c r="N3539" s="4">
        <f t="shared" si="1"/>
        <v>43712</v>
      </c>
      <c r="O3539" s="5" t="str">
        <f>IFERROR(__xludf.DUMMYFUNCTION("IF(REGEXMATCH(TRIM(I3539), ""^\d+\s*min""), ""Unclassified"", IF(I3539 = """", ""NR"", I3539))"),"TV-14")</f>
        <v>TV-14</v>
      </c>
      <c r="R3539" s="5" t="str">
        <f t="shared" si="2"/>
        <v>Watchman</v>
      </c>
      <c r="S3539" s="5" t="str">
        <f>IFERROR(__xludf.DUMMYFUNCTION("""COMPUTED_VALUE"""),"Jeff Dunham: Minding The Monsters")</f>
        <v>Jeff Dunham: Minding The Monsters</v>
      </c>
      <c r="U3539" s="5" t="str">
        <f>IFERROR(__xludf.DUMMYFUNCTION("""COMPUTED_VALUE"""),"Satish Kaushik")</f>
        <v>Satish Kaushik</v>
      </c>
      <c r="V3539" s="5" t="s">
        <v>4161</v>
      </c>
      <c r="W3539" s="5" t="str">
        <f t="shared" si="3"/>
        <v>Rob Seidenglanz</v>
      </c>
      <c r="X3539" s="5">
        <f t="shared" si="4"/>
        <v>2</v>
      </c>
      <c r="Y3539" s="5" t="str">
        <f>IFERROR(__xludf.DUMMYFUNCTION("REGEXEXTRACT(J3539, ""^\d+"")"),"93")</f>
        <v>93</v>
      </c>
      <c r="Z3539" s="5" t="str">
        <f>IFERROR(__xludf.DUMMYFUNCTION("REGEXEXTRACT(J3539, ""[A-Za-z ]+$"")")," min")</f>
        <v> min</v>
      </c>
      <c r="AA3539" s="5" t="str">
        <f>IFERROR(__xludf.DUMMYFUNCTION("IF(REGEXMATCH(Z3539, ""Season""), ""TV Show"", ""Movie"")"),"Movie")</f>
        <v>Movie</v>
      </c>
    </row>
    <row r="3540">
      <c r="A3540" s="1" t="s">
        <v>19358</v>
      </c>
      <c r="B3540" s="1" t="s">
        <v>27</v>
      </c>
      <c r="C3540" s="1" t="s">
        <v>19359</v>
      </c>
      <c r="D3540" s="1" t="s">
        <v>18109</v>
      </c>
      <c r="F3540" s="1" t="s">
        <v>19360</v>
      </c>
      <c r="G3540" s="1" t="s">
        <v>19361</v>
      </c>
      <c r="H3540" s="1">
        <v>2012.0</v>
      </c>
      <c r="I3540" s="1" t="s">
        <v>42</v>
      </c>
      <c r="J3540" s="1" t="s">
        <v>2452</v>
      </c>
      <c r="K3540" s="1" t="s">
        <v>156</v>
      </c>
      <c r="L3540" s="1" t="s">
        <v>19362</v>
      </c>
      <c r="M3540" s="2" t="s">
        <v>12</v>
      </c>
      <c r="N3540" s="4">
        <f t="shared" si="1"/>
        <v>43709</v>
      </c>
      <c r="O3540" s="5" t="str">
        <f>IFERROR(__xludf.DUMMYFUNCTION("IF(REGEXMATCH(TRIM(I3540), ""^\d+\s*min""), ""Unclassified"", IF(I3540 = """", ""NR"", I3540))"),"TV-MA")</f>
        <v>TV-MA</v>
      </c>
      <c r="R3540" s="5" t="str">
        <f t="shared" si="2"/>
        <v>Elena</v>
      </c>
      <c r="S3540" s="5" t="str">
        <f>IFERROR(__xludf.DUMMYFUNCTION("""COMPUTED_VALUE"""),"Jeff Dunham: Relative Disaster")</f>
        <v>Jeff Dunham: Relative Disaster</v>
      </c>
      <c r="U3540" s="5" t="str">
        <f>IFERROR(__xludf.DUMMYFUNCTION("""COMPUTED_VALUE"""),"John Irvin")</f>
        <v>John Irvin</v>
      </c>
      <c r="V3540" s="5" t="s">
        <v>19363</v>
      </c>
      <c r="W3540" s="5" t="str">
        <f t="shared" si="3"/>
        <v>Rob Silvestri</v>
      </c>
      <c r="X3540" s="5">
        <f t="shared" si="4"/>
        <v>1</v>
      </c>
      <c r="Y3540" s="5" t="str">
        <f>IFERROR(__xludf.DUMMYFUNCTION("REGEXEXTRACT(J3540, ""^\d+"")"),"81")</f>
        <v>81</v>
      </c>
      <c r="Z3540" s="5" t="str">
        <f>IFERROR(__xludf.DUMMYFUNCTION("REGEXEXTRACT(J3540, ""[A-Za-z ]+$"")")," min")</f>
        <v> min</v>
      </c>
      <c r="AA3540" s="5" t="str">
        <f>IFERROR(__xludf.DUMMYFUNCTION("IF(REGEXMATCH(Z3540, ""Season""), ""TV Show"", ""Movie"")"),"Movie")</f>
        <v>Movie</v>
      </c>
    </row>
    <row r="3541">
      <c r="A3541" s="1" t="s">
        <v>19364</v>
      </c>
      <c r="B3541" s="1" t="s">
        <v>37</v>
      </c>
      <c r="C3541" s="1" t="s">
        <v>19365</v>
      </c>
      <c r="G3541" s="1" t="s">
        <v>19361</v>
      </c>
      <c r="H3541" s="1">
        <v>2016.0</v>
      </c>
      <c r="I3541" s="1" t="s">
        <v>206</v>
      </c>
      <c r="J3541" s="1" t="s">
        <v>51</v>
      </c>
      <c r="K3541" s="1" t="s">
        <v>290</v>
      </c>
      <c r="L3541" s="1" t="s">
        <v>19366</v>
      </c>
      <c r="M3541" s="2" t="s">
        <v>12</v>
      </c>
      <c r="N3541" s="4">
        <f t="shared" si="1"/>
        <v>43709</v>
      </c>
      <c r="O3541" s="5" t="str">
        <f>IFERROR(__xludf.DUMMYFUNCTION("IF(REGEXMATCH(TRIM(I3541), ""^\d+\s*min""), ""Unclassified"", IF(I3541 = """", ""NR"", I3541))"),"TV-Y")</f>
        <v>TV-Y</v>
      </c>
      <c r="R3541" s="5" t="str">
        <f t="shared" si="2"/>
        <v>Loo Loo Kids: Johny &amp; Friends Musical Adventures</v>
      </c>
      <c r="S3541" s="5" t="str">
        <f>IFERROR(__xludf.DUMMYFUNCTION("""COMPUTED_VALUE"""),"Jeff Dunham: Unhinged In Hollywood")</f>
        <v>Jeff Dunham: Unhinged In Hollywood</v>
      </c>
      <c r="U3541" s="5" t="str">
        <f>IFERROR(__xludf.DUMMYFUNCTION("""COMPUTED_VALUE"""),"Akram Farouk")</f>
        <v>Akram Farouk</v>
      </c>
      <c r="V3541" s="5" t="s">
        <v>19367</v>
      </c>
      <c r="W3541" s="5" t="str">
        <f t="shared" si="3"/>
        <v>Rob Smat</v>
      </c>
      <c r="X3541" s="5">
        <f t="shared" si="4"/>
        <v>1</v>
      </c>
      <c r="Y3541" s="5" t="str">
        <f>IFERROR(__xludf.DUMMYFUNCTION("REGEXEXTRACT(J3541, ""^\d+"")"),"1")</f>
        <v>1</v>
      </c>
      <c r="Z3541" s="5" t="str">
        <f>IFERROR(__xludf.DUMMYFUNCTION("REGEXEXTRACT(J3541, ""[A-Za-z ]+$"")")," Season")</f>
        <v> Season</v>
      </c>
      <c r="AA3541" s="5" t="str">
        <f>IFERROR(__xludf.DUMMYFUNCTION("IF(REGEXMATCH(Z3541, ""Season""), ""TV Show"", ""Movie"")"),"TV Show")</f>
        <v>TV Show</v>
      </c>
    </row>
    <row r="3542">
      <c r="A3542" s="1" t="s">
        <v>19368</v>
      </c>
      <c r="B3542" s="1" t="s">
        <v>37</v>
      </c>
      <c r="C3542" s="1" t="s">
        <v>19369</v>
      </c>
      <c r="F3542" s="1" t="s">
        <v>30</v>
      </c>
      <c r="G3542" s="1" t="s">
        <v>19361</v>
      </c>
      <c r="H3542" s="1">
        <v>2018.0</v>
      </c>
      <c r="I3542" s="1" t="s">
        <v>506</v>
      </c>
      <c r="J3542" s="1" t="s">
        <v>276</v>
      </c>
      <c r="K3542" s="1" t="s">
        <v>736</v>
      </c>
      <c r="L3542" s="1" t="s">
        <v>19370</v>
      </c>
      <c r="M3542" s="2" t="s">
        <v>12</v>
      </c>
      <c r="N3542" s="4">
        <f t="shared" si="1"/>
        <v>43709</v>
      </c>
      <c r="O3542" s="5" t="str">
        <f>IFERROR(__xludf.DUMMYFUNCTION("IF(REGEXMATCH(TRIM(I3542), ""^\d+\s*min""), ""Unclassified"", IF(I3542 = """", ""NR"", I3542))"),"TV-G")</f>
        <v>TV-G</v>
      </c>
      <c r="R3542" s="5" t="str">
        <f t="shared" si="2"/>
        <v>Moving Art</v>
      </c>
      <c r="S3542" s="5" t="str">
        <f>IFERROR(__xludf.DUMMYFUNCTION("""COMPUTED_VALUE"""),"Jeff Dunham'S Very Special Christmas Special")</f>
        <v>Jeff Dunham'S Very Special Christmas Special</v>
      </c>
      <c r="U3542" s="5" t="str">
        <f>IFERROR(__xludf.DUMMYFUNCTION("""COMPUTED_VALUE"""),"Johnny Martin")</f>
        <v>Johnny Martin</v>
      </c>
      <c r="V3542" s="5" t="s">
        <v>19371</v>
      </c>
      <c r="W3542" s="5" t="str">
        <f t="shared" si="3"/>
        <v>Rob W. King</v>
      </c>
      <c r="X3542" s="5">
        <f t="shared" si="4"/>
        <v>1</v>
      </c>
      <c r="Y3542" s="5" t="str">
        <f>IFERROR(__xludf.DUMMYFUNCTION("REGEXEXTRACT(J3542, ""^\d+"")"),"3")</f>
        <v>3</v>
      </c>
      <c r="Z3542" s="5" t="str">
        <f>IFERROR(__xludf.DUMMYFUNCTION("REGEXEXTRACT(J3542, ""[A-Za-z ]+$"")")," Seasons")</f>
        <v> Seasons</v>
      </c>
      <c r="AA3542" s="5" t="str">
        <f>IFERROR(__xludf.DUMMYFUNCTION("IF(REGEXMATCH(Z3542, ""Season""), ""TV Show"", ""Movie"")"),"TV Show")</f>
        <v>TV Show</v>
      </c>
    </row>
    <row r="3543">
      <c r="A3543" s="1" t="s">
        <v>19372</v>
      </c>
      <c r="B3543" s="1" t="s">
        <v>37</v>
      </c>
      <c r="C3543" s="1" t="s">
        <v>19373</v>
      </c>
      <c r="D3543" s="1" t="s">
        <v>9172</v>
      </c>
      <c r="E3543" s="1" t="s">
        <v>19374</v>
      </c>
      <c r="F3543" s="1" t="s">
        <v>415</v>
      </c>
      <c r="G3543" s="1" t="s">
        <v>19361</v>
      </c>
      <c r="H3543" s="1">
        <v>2006.0</v>
      </c>
      <c r="I3543" s="1" t="s">
        <v>97</v>
      </c>
      <c r="J3543" s="1" t="s">
        <v>98</v>
      </c>
      <c r="K3543" s="1" t="s">
        <v>567</v>
      </c>
      <c r="L3543" s="1" t="s">
        <v>19375</v>
      </c>
      <c r="M3543" s="2" t="s">
        <v>12</v>
      </c>
      <c r="N3543" s="4">
        <f t="shared" si="1"/>
        <v>43709</v>
      </c>
      <c r="O3543" s="5" t="str">
        <f>IFERROR(__xludf.DUMMYFUNCTION("IF(REGEXMATCH(TRIM(I3543), ""^\d+\s*min""), ""Unclassified"", IF(I3543 = """", ""NR"", I3543))"),"TV-14")</f>
        <v>TV-14</v>
      </c>
      <c r="R3543" s="5" t="str">
        <f t="shared" si="2"/>
        <v>Naruto</v>
      </c>
      <c r="S3543" s="5" t="str">
        <f>IFERROR(__xludf.DUMMYFUNCTION("""COMPUTED_VALUE"""),"Jeff Foxworthy And Larry The Cable Guy: We’Ve Been Thinking...")</f>
        <v>Jeff Foxworthy And Larry The Cable Guy: We’Ve Been Thinking...</v>
      </c>
      <c r="U3543" s="5" t="str">
        <f>IFERROR(__xludf.DUMMYFUNCTION("""COMPUTED_VALUE"""),"Tim Van Someren")</f>
        <v>Tim Van Someren</v>
      </c>
      <c r="V3543" s="5" t="s">
        <v>19376</v>
      </c>
      <c r="W3543" s="5" t="str">
        <f t="shared" si="3"/>
        <v>Rob Zombie</v>
      </c>
      <c r="X3543" s="5">
        <f t="shared" si="4"/>
        <v>1</v>
      </c>
      <c r="Y3543" s="5" t="str">
        <f>IFERROR(__xludf.DUMMYFUNCTION("REGEXEXTRACT(J3543, ""^\d+"")"),"9")</f>
        <v>9</v>
      </c>
      <c r="Z3543" s="5" t="str">
        <f>IFERROR(__xludf.DUMMYFUNCTION("REGEXEXTRACT(J3543, ""[A-Za-z ]+$"")")," Seasons")</f>
        <v> Seasons</v>
      </c>
      <c r="AA3543" s="5" t="str">
        <f>IFERROR(__xludf.DUMMYFUNCTION("IF(REGEXMATCH(Z3543, ""Season""), ""TV Show"", ""Movie"")"),"TV Show")</f>
        <v>TV Show</v>
      </c>
    </row>
    <row r="3544">
      <c r="A3544" s="1" t="s">
        <v>19377</v>
      </c>
      <c r="B3544" s="1" t="s">
        <v>27</v>
      </c>
      <c r="C3544" s="1" t="s">
        <v>19378</v>
      </c>
      <c r="D3544" s="1" t="s">
        <v>18113</v>
      </c>
      <c r="E3544" s="1" t="s">
        <v>19379</v>
      </c>
      <c r="F3544" s="1" t="s">
        <v>19380</v>
      </c>
      <c r="G3544" s="1" t="s">
        <v>19361</v>
      </c>
      <c r="H3544" s="1">
        <v>2014.0</v>
      </c>
      <c r="I3544" s="1" t="s">
        <v>42</v>
      </c>
      <c r="J3544" s="1" t="s">
        <v>1001</v>
      </c>
      <c r="K3544" s="1" t="s">
        <v>89</v>
      </c>
      <c r="L3544" s="1" t="s">
        <v>19381</v>
      </c>
      <c r="M3544" s="2" t="s">
        <v>12</v>
      </c>
      <c r="N3544" s="4">
        <f t="shared" si="1"/>
        <v>43709</v>
      </c>
      <c r="O3544" s="5" t="str">
        <f>IFERROR(__xludf.DUMMYFUNCTION("IF(REGEXMATCH(TRIM(I3544), ""^\d+\s*min""), ""Unclassified"", IF(I3544 = """", ""NR"", I3544))"),"TV-MA")</f>
        <v>TV-MA</v>
      </c>
      <c r="R3544" s="5" t="str">
        <f t="shared" si="2"/>
        <v>Olmo &amp; The Seagull</v>
      </c>
      <c r="S3544" s="5" t="str">
        <f>IFERROR(__xludf.DUMMYFUNCTION("""COMPUTED_VALUE"""),"Jeff Garlin: Our Man In Chicago")</f>
        <v>Jeff Garlin: Our Man In Chicago</v>
      </c>
      <c r="U3544" s="5" t="str">
        <f>IFERROR(__xludf.DUMMYFUNCTION("""COMPUTED_VALUE"""),"Joe Dietsch, Louie Gibson")</f>
        <v>Joe Dietsch, Louie Gibson</v>
      </c>
      <c r="V3544" s="5" t="s">
        <v>17999</v>
      </c>
      <c r="W3544" s="5" t="str">
        <f t="shared" si="3"/>
        <v>Robb Dipple</v>
      </c>
      <c r="X3544" s="5">
        <f t="shared" si="4"/>
        <v>1</v>
      </c>
      <c r="Y3544" s="5" t="str">
        <f>IFERROR(__xludf.DUMMYFUNCTION("REGEXEXTRACT(J3544, ""^\d+"")"),"82")</f>
        <v>82</v>
      </c>
      <c r="Z3544" s="5" t="str">
        <f>IFERROR(__xludf.DUMMYFUNCTION("REGEXEXTRACT(J3544, ""[A-Za-z ]+$"")")," min")</f>
        <v> min</v>
      </c>
      <c r="AA3544" s="5" t="str">
        <f>IFERROR(__xludf.DUMMYFUNCTION("IF(REGEXMATCH(Z3544, ""Season""), ""TV Show"", ""Movie"")"),"Movie")</f>
        <v>Movie</v>
      </c>
    </row>
    <row r="3545">
      <c r="A3545" s="1" t="s">
        <v>19382</v>
      </c>
      <c r="B3545" s="1" t="s">
        <v>37</v>
      </c>
      <c r="C3545" s="1" t="s">
        <v>19383</v>
      </c>
      <c r="E3545" s="1" t="s">
        <v>12661</v>
      </c>
      <c r="F3545" s="1" t="s">
        <v>96</v>
      </c>
      <c r="G3545" s="1" t="s">
        <v>19361</v>
      </c>
      <c r="H3545" s="1">
        <v>2018.0</v>
      </c>
      <c r="I3545" s="1" t="s">
        <v>97</v>
      </c>
      <c r="J3545" s="1" t="s">
        <v>51</v>
      </c>
      <c r="K3545" s="1" t="s">
        <v>142</v>
      </c>
      <c r="L3545" s="1" t="s">
        <v>19384</v>
      </c>
      <c r="M3545" s="2" t="s">
        <v>12</v>
      </c>
      <c r="N3545" s="4">
        <f t="shared" si="1"/>
        <v>43709</v>
      </c>
      <c r="O3545" s="5" t="str">
        <f>IFERROR(__xludf.DUMMYFUNCTION("IF(REGEXMATCH(TRIM(I3545), ""^\d+\s*min""), ""Unclassified"", IF(I3545 = """", ""NR"", I3545))"),"TV-14")</f>
        <v>TV-14</v>
      </c>
      <c r="R3545" s="5" t="str">
        <f t="shared" si="2"/>
        <v>Serial Killer With Piers Morgan</v>
      </c>
      <c r="S3545" s="5" t="str">
        <f>IFERROR(__xludf.DUMMYFUNCTION("""COMPUTED_VALUE"""),"Jeffrey Epstein: Filthy Rich")</f>
        <v>Jeffrey Epstein: Filthy Rich</v>
      </c>
      <c r="U3545" s="5" t="str">
        <f>IFERROR(__xludf.DUMMYFUNCTION("""COMPUTED_VALUE"""),"Luis Javier M. Henaine")</f>
        <v>Luis Javier M. Henaine</v>
      </c>
      <c r="V3545" s="5" t="s">
        <v>17504</v>
      </c>
      <c r="W3545" s="5" t="str">
        <f t="shared" si="3"/>
        <v>Robbie Countryman</v>
      </c>
      <c r="X3545" s="5">
        <f t="shared" si="4"/>
        <v>1</v>
      </c>
      <c r="Y3545" s="5" t="str">
        <f>IFERROR(__xludf.DUMMYFUNCTION("REGEXEXTRACT(J3545, ""^\d+"")"),"1")</f>
        <v>1</v>
      </c>
      <c r="Z3545" s="5" t="str">
        <f>IFERROR(__xludf.DUMMYFUNCTION("REGEXEXTRACT(J3545, ""[A-Za-z ]+$"")")," Season")</f>
        <v> Season</v>
      </c>
      <c r="AA3545" s="5" t="str">
        <f>IFERROR(__xludf.DUMMYFUNCTION("IF(REGEXMATCH(Z3545, ""Season""), ""TV Show"", ""Movie"")"),"TV Show")</f>
        <v>TV Show</v>
      </c>
    </row>
    <row r="3546">
      <c r="A3546" s="1" t="s">
        <v>19385</v>
      </c>
      <c r="B3546" s="1" t="s">
        <v>27</v>
      </c>
      <c r="C3546" s="1" t="s">
        <v>19386</v>
      </c>
      <c r="D3546" s="1" t="s">
        <v>3304</v>
      </c>
      <c r="E3546" s="1" t="s">
        <v>19387</v>
      </c>
      <c r="F3546" s="1" t="s">
        <v>30</v>
      </c>
      <c r="G3546" s="1" t="s">
        <v>19361</v>
      </c>
      <c r="H3546" s="1">
        <v>2004.0</v>
      </c>
      <c r="I3546" s="1" t="s">
        <v>770</v>
      </c>
      <c r="J3546" s="1" t="s">
        <v>5207</v>
      </c>
      <c r="K3546" s="1" t="s">
        <v>80</v>
      </c>
      <c r="L3546" s="1" t="s">
        <v>19388</v>
      </c>
      <c r="M3546" s="2" t="s">
        <v>12</v>
      </c>
      <c r="N3546" s="4">
        <f t="shared" si="1"/>
        <v>43709</v>
      </c>
      <c r="O3546" s="5" t="str">
        <f>IFERROR(__xludf.DUMMYFUNCTION("IF(REGEXMATCH(TRIM(I3546), ""^\d+\s*min""), ""Unclassified"", IF(I3546 = """", ""NR"", I3546))"),"G")</f>
        <v>G</v>
      </c>
      <c r="R3546" s="5" t="str">
        <f t="shared" si="2"/>
        <v>Spookley The Square Pumpkin</v>
      </c>
      <c r="S3546" s="5" t="str">
        <f>IFERROR(__xludf.DUMMYFUNCTION("""COMPUTED_VALUE"""),"Jem And The Holograms")</f>
        <v>Jem And The Holograms</v>
      </c>
      <c r="U3546" s="5" t="str">
        <f>IFERROR(__xludf.DUMMYFUNCTION("""COMPUTED_VALUE"""),"Robert Osman, Nathanael Wiseman")</f>
        <v>Robert Osman, Nathanael Wiseman</v>
      </c>
      <c r="V3546" s="5" t="s">
        <v>19389</v>
      </c>
      <c r="W3546" s="5" t="str">
        <f t="shared" si="3"/>
        <v>Robbie Grewal</v>
      </c>
      <c r="X3546" s="5">
        <f t="shared" si="4"/>
        <v>1</v>
      </c>
      <c r="Y3546" s="5" t="str">
        <f>IFERROR(__xludf.DUMMYFUNCTION("REGEXEXTRACT(J3546, ""^\d+"")"),"47")</f>
        <v>47</v>
      </c>
      <c r="Z3546" s="5" t="str">
        <f>IFERROR(__xludf.DUMMYFUNCTION("REGEXEXTRACT(J3546, ""[A-Za-z ]+$"")")," min")</f>
        <v> min</v>
      </c>
      <c r="AA3546" s="5" t="str">
        <f>IFERROR(__xludf.DUMMYFUNCTION("IF(REGEXMATCH(Z3546, ""Season""), ""TV Show"", ""Movie"")"),"Movie")</f>
        <v>Movie</v>
      </c>
    </row>
    <row r="3547">
      <c r="A3547" s="1" t="s">
        <v>19390</v>
      </c>
      <c r="B3547" s="1" t="s">
        <v>27</v>
      </c>
      <c r="C3547" s="1" t="s">
        <v>19391</v>
      </c>
      <c r="D3547" s="1" t="s">
        <v>660</v>
      </c>
      <c r="E3547" s="1" t="s">
        <v>19392</v>
      </c>
      <c r="F3547" s="1" t="s">
        <v>4557</v>
      </c>
      <c r="G3547" s="1" t="s">
        <v>19361</v>
      </c>
      <c r="H3547" s="1">
        <v>2019.0</v>
      </c>
      <c r="I3547" s="1" t="s">
        <v>97</v>
      </c>
      <c r="J3547" s="1" t="s">
        <v>465</v>
      </c>
      <c r="K3547" s="1" t="s">
        <v>199</v>
      </c>
      <c r="L3547" s="1" t="s">
        <v>19393</v>
      </c>
      <c r="M3547" s="2" t="s">
        <v>12</v>
      </c>
      <c r="N3547" s="4">
        <f t="shared" si="1"/>
        <v>43709</v>
      </c>
      <c r="O3547" s="5" t="str">
        <f>IFERROR(__xludf.DUMMYFUNCTION("IF(REGEXMATCH(TRIM(I3547), ""^\d+\s*min""), ""Unclassified"", IF(I3547 = """", ""NR"", I3547))"),"TV-14")</f>
        <v>TV-14</v>
      </c>
      <c r="R3547" s="5" t="str">
        <f t="shared" si="2"/>
        <v>Uncle Naji In Uae</v>
      </c>
      <c r="S3547" s="5" t="str">
        <f>IFERROR(__xludf.DUMMYFUNCTION("""COMPUTED_VALUE"""),"Jen Kirkman: I'M Gonna Die Alone (And I Feel Fine)")</f>
        <v>Jen Kirkman: I'M Gonna Die Alone (And I Feel Fine)</v>
      </c>
      <c r="U3547" s="5" t="str">
        <f>IFERROR(__xludf.DUMMYFUNCTION("""COMPUTED_VALUE"""),"Ilya Naishuller")</f>
        <v>Ilya Naishuller</v>
      </c>
      <c r="V3547" s="5" t="s">
        <v>19394</v>
      </c>
      <c r="W3547" s="5" t="str">
        <f t="shared" si="3"/>
        <v>Robert Adetuyi</v>
      </c>
      <c r="X3547" s="5">
        <f t="shared" si="4"/>
        <v>1</v>
      </c>
      <c r="Y3547" s="5" t="str">
        <f>IFERROR(__xludf.DUMMYFUNCTION("REGEXEXTRACT(J3547, ""^\d+"")"),"95")</f>
        <v>95</v>
      </c>
      <c r="Z3547" s="5" t="str">
        <f>IFERROR(__xludf.DUMMYFUNCTION("REGEXEXTRACT(J3547, ""[A-Za-z ]+$"")")," min")</f>
        <v> min</v>
      </c>
      <c r="AA3547" s="5" t="str">
        <f>IFERROR(__xludf.DUMMYFUNCTION("IF(REGEXMATCH(Z3547, ""Season""), ""TV Show"", ""Movie"")"),"Movie")</f>
        <v>Movie</v>
      </c>
    </row>
    <row r="3548">
      <c r="A3548" s="1" t="s">
        <v>19395</v>
      </c>
      <c r="B3548" s="1" t="s">
        <v>37</v>
      </c>
      <c r="C3548" s="1" t="s">
        <v>19396</v>
      </c>
      <c r="E3548" s="1" t="s">
        <v>19397</v>
      </c>
      <c r="F3548" s="1" t="s">
        <v>6258</v>
      </c>
      <c r="G3548" s="1" t="s">
        <v>19398</v>
      </c>
      <c r="H3548" s="1">
        <v>2018.0</v>
      </c>
      <c r="I3548" s="1" t="s">
        <v>206</v>
      </c>
      <c r="J3548" s="1" t="s">
        <v>51</v>
      </c>
      <c r="K3548" s="1" t="s">
        <v>712</v>
      </c>
      <c r="L3548" s="1" t="s">
        <v>19399</v>
      </c>
      <c r="M3548" s="2" t="s">
        <v>12</v>
      </c>
      <c r="N3548" s="4">
        <f t="shared" si="1"/>
        <v>43708</v>
      </c>
      <c r="O3548" s="5" t="str">
        <f>IFERROR(__xludf.DUMMYFUNCTION("IF(REGEXMATCH(TRIM(I3548), ""^\d+\s*min""), ""Unclassified"", IF(I3548 = """", ""NR"", I3548))"),"TV-Y")</f>
        <v>TV-Y</v>
      </c>
      <c r="R3548" s="5" t="str">
        <f t="shared" si="2"/>
        <v>Luo Bao Bei</v>
      </c>
      <c r="S3548" s="5" t="str">
        <f>IFERROR(__xludf.DUMMYFUNCTION("""COMPUTED_VALUE"""),"Jen Kirkman: Just Keep Livin’?")</f>
        <v>Jen Kirkman: Just Keep Livin’?</v>
      </c>
      <c r="U3548" s="5" t="str">
        <f>IFERROR(__xludf.DUMMYFUNCTION("""COMPUTED_VALUE"""),"Jon Hurwitz, Hayden Schlossberg")</f>
        <v>Jon Hurwitz, Hayden Schlossberg</v>
      </c>
      <c r="V3548" s="5" t="s">
        <v>19400</v>
      </c>
      <c r="W3548" s="5" t="str">
        <f t="shared" si="3"/>
        <v>Robert Aldrich</v>
      </c>
      <c r="X3548" s="5">
        <f t="shared" si="4"/>
        <v>1</v>
      </c>
      <c r="Y3548" s="5" t="str">
        <f>IFERROR(__xludf.DUMMYFUNCTION("REGEXEXTRACT(J3548, ""^\d+"")"),"1")</f>
        <v>1</v>
      </c>
      <c r="Z3548" s="5" t="str">
        <f>IFERROR(__xludf.DUMMYFUNCTION("REGEXEXTRACT(J3548, ""[A-Za-z ]+$"")")," Season")</f>
        <v> Season</v>
      </c>
      <c r="AA3548" s="5" t="str">
        <f>IFERROR(__xludf.DUMMYFUNCTION("IF(REGEXMATCH(Z3548, ""Season""), ""TV Show"", ""Movie"")"),"TV Show")</f>
        <v>TV Show</v>
      </c>
    </row>
    <row r="3549">
      <c r="A3549" s="1" t="s">
        <v>19401</v>
      </c>
      <c r="B3549" s="1" t="s">
        <v>27</v>
      </c>
      <c r="C3549" s="1" t="s">
        <v>19402</v>
      </c>
      <c r="D3549" s="1" t="s">
        <v>19000</v>
      </c>
      <c r="E3549" s="1" t="s">
        <v>19403</v>
      </c>
      <c r="G3549" s="1" t="s">
        <v>19404</v>
      </c>
      <c r="H3549" s="1">
        <v>2019.0</v>
      </c>
      <c r="I3549" s="1" t="s">
        <v>42</v>
      </c>
      <c r="J3549" s="1" t="s">
        <v>1608</v>
      </c>
      <c r="K3549" s="1" t="s">
        <v>199</v>
      </c>
      <c r="L3549" s="1" t="s">
        <v>19405</v>
      </c>
      <c r="M3549" s="2" t="s">
        <v>12</v>
      </c>
      <c r="N3549" s="4">
        <f t="shared" si="1"/>
        <v>43707</v>
      </c>
      <c r="O3549" s="5" t="str">
        <f>IFERROR(__xludf.DUMMYFUNCTION("IF(REGEXMATCH(TRIM(I3549), ""^\d+\s*min""), ""Unclassified"", IF(I3549 = """", ""NR"", I3549))"),"TV-MA")</f>
        <v>TV-MA</v>
      </c>
      <c r="R3549" s="5" t="str">
        <f t="shared" si="2"/>
        <v>Back To School</v>
      </c>
      <c r="S3549" s="5" t="str">
        <f>IFERROR(__xludf.DUMMYFUNCTION("""COMPUTED_VALUE"""),"Jenni Rivera: Mariposa De Barrio")</f>
        <v>Jenni Rivera: Mariposa De Barrio</v>
      </c>
      <c r="U3549" s="5" t="str">
        <f>IFERROR(__xludf.DUMMYFUNCTION("""COMPUTED_VALUE"""),"Danny Leiner")</f>
        <v>Danny Leiner</v>
      </c>
      <c r="V3549" s="5" t="s">
        <v>19406</v>
      </c>
      <c r="W3549" s="5" t="str">
        <f t="shared" si="3"/>
        <v>Robert Altman</v>
      </c>
      <c r="X3549" s="5">
        <f t="shared" si="4"/>
        <v>2</v>
      </c>
      <c r="Y3549" s="5" t="str">
        <f>IFERROR(__xludf.DUMMYFUNCTION("REGEXEXTRACT(J3549, ""^\d+"")"),"84")</f>
        <v>84</v>
      </c>
      <c r="Z3549" s="5" t="str">
        <f>IFERROR(__xludf.DUMMYFUNCTION("REGEXEXTRACT(J3549, ""[A-Za-z ]+$"")")," min")</f>
        <v> min</v>
      </c>
      <c r="AA3549" s="5" t="str">
        <f>IFERROR(__xludf.DUMMYFUNCTION("IF(REGEXMATCH(Z3549, ""Season""), ""TV Show"", ""Movie"")"),"Movie")</f>
        <v>Movie</v>
      </c>
    </row>
    <row r="3550">
      <c r="A3550" s="1" t="s">
        <v>19407</v>
      </c>
      <c r="B3550" s="1" t="s">
        <v>27</v>
      </c>
      <c r="C3550" s="1" t="s">
        <v>19408</v>
      </c>
      <c r="D3550" s="1" t="s">
        <v>6899</v>
      </c>
      <c r="E3550" s="1" t="s">
        <v>19409</v>
      </c>
      <c r="F3550" s="1" t="s">
        <v>1837</v>
      </c>
      <c r="G3550" s="1" t="s">
        <v>19404</v>
      </c>
      <c r="H3550" s="1">
        <v>2018.0</v>
      </c>
      <c r="I3550" s="1" t="s">
        <v>42</v>
      </c>
      <c r="J3550" s="1" t="s">
        <v>79</v>
      </c>
      <c r="K3550" s="1" t="s">
        <v>199</v>
      </c>
      <c r="L3550" s="1" t="s">
        <v>19410</v>
      </c>
      <c r="M3550" s="2" t="s">
        <v>12</v>
      </c>
      <c r="N3550" s="4">
        <f t="shared" si="1"/>
        <v>43707</v>
      </c>
      <c r="O3550" s="5" t="str">
        <f>IFERROR(__xludf.DUMMYFUNCTION("IF(REGEXMATCH(TRIM(I3550), ""^\d+\s*min""), ""Unclassified"", IF(I3550 = """", ""NR"", I3550))"),"TV-MA")</f>
        <v>TV-MA</v>
      </c>
      <c r="R3550" s="5" t="str">
        <f t="shared" si="2"/>
        <v>Feo Pero Sabroso</v>
      </c>
      <c r="S3550" s="5" t="str">
        <f>IFERROR(__xludf.DUMMYFUNCTION("""COMPUTED_VALUE"""),"Jenny Slate: Stage Fright")</f>
        <v>Jenny Slate: Stage Fright</v>
      </c>
      <c r="U3550" s="5" t="str">
        <f>IFERROR(__xludf.DUMMYFUNCTION("""COMPUTED_VALUE"""),"Daniel Raim")</f>
        <v>Daniel Raim</v>
      </c>
      <c r="V3550" s="5" t="s">
        <v>19411</v>
      </c>
      <c r="W3550" s="5" t="str">
        <f t="shared" si="3"/>
        <v>Robert Berlinger</v>
      </c>
      <c r="X3550" s="5">
        <f t="shared" si="4"/>
        <v>1</v>
      </c>
      <c r="Y3550" s="5" t="str">
        <f>IFERROR(__xludf.DUMMYFUNCTION("REGEXEXTRACT(J3550, ""^\d+"")"),"91")</f>
        <v>91</v>
      </c>
      <c r="Z3550" s="5" t="str">
        <f>IFERROR(__xludf.DUMMYFUNCTION("REGEXEXTRACT(J3550, ""[A-Za-z ]+$"")")," min")</f>
        <v> min</v>
      </c>
      <c r="AA3550" s="5" t="str">
        <f>IFERROR(__xludf.DUMMYFUNCTION("IF(REGEXMATCH(Z3550, ""Season""), ""TV Show"", ""Movie"")"),"Movie")</f>
        <v>Movie</v>
      </c>
    </row>
    <row r="3551">
      <c r="A3551" s="1" t="s">
        <v>19412</v>
      </c>
      <c r="B3551" s="1" t="s">
        <v>27</v>
      </c>
      <c r="C3551" s="1" t="s">
        <v>19413</v>
      </c>
      <c r="D3551" s="1" t="s">
        <v>975</v>
      </c>
      <c r="E3551" s="1" t="s">
        <v>19414</v>
      </c>
      <c r="F3551" s="1" t="s">
        <v>13294</v>
      </c>
      <c r="G3551" s="1" t="s">
        <v>19404</v>
      </c>
      <c r="H3551" s="1">
        <v>2019.0</v>
      </c>
      <c r="I3551" s="1" t="s">
        <v>136</v>
      </c>
      <c r="J3551" s="1" t="s">
        <v>447</v>
      </c>
      <c r="K3551" s="1" t="s">
        <v>2242</v>
      </c>
      <c r="L3551" s="1" t="s">
        <v>19415</v>
      </c>
      <c r="M3551" s="2" t="s">
        <v>12</v>
      </c>
      <c r="N3551" s="4">
        <f t="shared" si="1"/>
        <v>43707</v>
      </c>
      <c r="O3551" s="5" t="str">
        <f>IFERROR(__xludf.DUMMYFUNCTION("IF(REGEXMATCH(TRIM(I3551), ""^\d+\s*min""), ""Unclassified"", IF(I3551 = """", ""NR"", I3551))"),"TV-PG")</f>
        <v>TV-PG</v>
      </c>
      <c r="R3551" s="5" t="str">
        <f t="shared" si="2"/>
        <v>Mi Amigo Alexis</v>
      </c>
      <c r="S3551" s="5" t="str">
        <f>IFERROR(__xludf.DUMMYFUNCTION("""COMPUTED_VALUE"""),"Jeopardy!")</f>
        <v>Jeopardy!</v>
      </c>
      <c r="U3551" s="5" t="str">
        <f>IFERROR(__xludf.DUMMYFUNCTION("""COMPUTED_VALUE"""),"Ah Loong")</f>
        <v>Ah Loong</v>
      </c>
      <c r="V3551" s="5" t="s">
        <v>19416</v>
      </c>
      <c r="W3551" s="5" t="str">
        <f t="shared" si="3"/>
        <v>Robert Cannan, Ross Adam</v>
      </c>
      <c r="X3551" s="5">
        <f t="shared" si="4"/>
        <v>1</v>
      </c>
      <c r="Y3551" s="5" t="str">
        <f>IFERROR(__xludf.DUMMYFUNCTION("REGEXEXTRACT(J3551, ""^\d+"")"),"102")</f>
        <v>102</v>
      </c>
      <c r="Z3551" s="5" t="str">
        <f>IFERROR(__xludf.DUMMYFUNCTION("REGEXEXTRACT(J3551, ""[A-Za-z ]+$"")")," min")</f>
        <v> min</v>
      </c>
      <c r="AA3551" s="5" t="str">
        <f>IFERROR(__xludf.DUMMYFUNCTION("IF(REGEXMATCH(Z3551, ""Season""), ""TV Show"", ""Movie"")"),"Movie")</f>
        <v>Movie</v>
      </c>
    </row>
    <row r="3552">
      <c r="A3552" s="1" t="s">
        <v>19417</v>
      </c>
      <c r="B3552" s="1" t="s">
        <v>37</v>
      </c>
      <c r="C3552" s="1" t="s">
        <v>19418</v>
      </c>
      <c r="E3552" s="1" t="s">
        <v>19419</v>
      </c>
      <c r="G3552" s="1" t="s">
        <v>19404</v>
      </c>
      <c r="H3552" s="1">
        <v>2019.0</v>
      </c>
      <c r="I3552" s="1" t="s">
        <v>97</v>
      </c>
      <c r="J3552" s="1" t="s">
        <v>51</v>
      </c>
      <c r="K3552" s="1" t="s">
        <v>440</v>
      </c>
      <c r="L3552" s="1" t="s">
        <v>19420</v>
      </c>
      <c r="M3552" s="2" t="s">
        <v>12</v>
      </c>
      <c r="N3552" s="4">
        <f t="shared" si="1"/>
        <v>43707</v>
      </c>
      <c r="O3552" s="5" t="str">
        <f>IFERROR(__xludf.DUMMYFUNCTION("IF(REGEXMATCH(TRIM(I3552), ""^\d+\s*min""), ""Unclassified"", IF(I3552 = """", ""NR"", I3552))"),"TV-14")</f>
        <v>TV-14</v>
      </c>
      <c r="R3552" s="5" t="str">
        <f t="shared" si="2"/>
        <v>Styling Hollywood</v>
      </c>
      <c r="S3552" s="5" t="str">
        <f>IFERROR(__xludf.DUMMYFUNCTION("""COMPUTED_VALUE"""),"Jeremiah Tower: The Last Magnificent")</f>
        <v>Jeremiah Tower: The Last Magnificent</v>
      </c>
      <c r="U3552" s="5" t="str">
        <f>IFERROR(__xludf.DUMMYFUNCTION("""COMPUTED_VALUE"""),"Ron Davis")</f>
        <v>Ron Davis</v>
      </c>
      <c r="V3552" s="5" t="s">
        <v>19421</v>
      </c>
      <c r="W3552" s="5" t="str">
        <f t="shared" si="3"/>
        <v>Robert Clouse</v>
      </c>
      <c r="X3552" s="5">
        <f t="shared" si="4"/>
        <v>1</v>
      </c>
      <c r="Y3552" s="5" t="str">
        <f>IFERROR(__xludf.DUMMYFUNCTION("REGEXEXTRACT(J3552, ""^\d+"")"),"1")</f>
        <v>1</v>
      </c>
      <c r="Z3552" s="5" t="str">
        <f>IFERROR(__xludf.DUMMYFUNCTION("REGEXEXTRACT(J3552, ""[A-Za-z ]+$"")")," Season")</f>
        <v> Season</v>
      </c>
      <c r="AA3552" s="5" t="str">
        <f>IFERROR(__xludf.DUMMYFUNCTION("IF(REGEXMATCH(Z3552, ""Season""), ""TV Show"", ""Movie"")"),"TV Show")</f>
        <v>TV Show</v>
      </c>
    </row>
    <row r="3553">
      <c r="A3553" s="1" t="s">
        <v>19422</v>
      </c>
      <c r="B3553" s="1" t="s">
        <v>37</v>
      </c>
      <c r="C3553" s="1" t="s">
        <v>19423</v>
      </c>
      <c r="E3553" s="1" t="s">
        <v>19424</v>
      </c>
      <c r="F3553" s="1" t="s">
        <v>686</v>
      </c>
      <c r="G3553" s="1" t="s">
        <v>19404</v>
      </c>
      <c r="H3553" s="1">
        <v>2019.0</v>
      </c>
      <c r="I3553" s="1" t="s">
        <v>136</v>
      </c>
      <c r="J3553" s="1" t="s">
        <v>51</v>
      </c>
      <c r="K3553" s="1" t="s">
        <v>3223</v>
      </c>
      <c r="L3553" s="1" t="s">
        <v>19425</v>
      </c>
      <c r="M3553" s="2" t="s">
        <v>12</v>
      </c>
      <c r="N3553" s="4">
        <f t="shared" si="1"/>
        <v>43707</v>
      </c>
      <c r="O3553" s="5" t="str">
        <f>IFERROR(__xludf.DUMMYFUNCTION("IF(REGEXMATCH(TRIM(I3553), ""^\d+\s*min""), ""Unclassified"", IF(I3553 = """", ""NR"", I3553))"),"TV-PG")</f>
        <v>TV-PG</v>
      </c>
      <c r="R3553" s="5" t="str">
        <f t="shared" si="2"/>
        <v>The Dark Crystal: Age Of Resistance</v>
      </c>
      <c r="S3553" s="5" t="str">
        <f>IFERROR(__xludf.DUMMYFUNCTION("""COMPUTED_VALUE"""),"Jeremy Scott: The People'S Designer")</f>
        <v>Jeremy Scott: The People'S Designer</v>
      </c>
      <c r="U3553" s="5" t="str">
        <f>IFERROR(__xludf.DUMMYFUNCTION("""COMPUTED_VALUE"""),"Justin Bare, Matthew Miele")</f>
        <v>Justin Bare, Matthew Miele</v>
      </c>
      <c r="V3553" s="5" t="s">
        <v>76</v>
      </c>
      <c r="W3553" s="5" t="str">
        <f t="shared" si="3"/>
        <v>Robert Cullen, José Luis Ucha</v>
      </c>
      <c r="X3553" s="5">
        <f t="shared" si="4"/>
        <v>1</v>
      </c>
      <c r="Y3553" s="5" t="str">
        <f>IFERROR(__xludf.DUMMYFUNCTION("REGEXEXTRACT(J3553, ""^\d+"")"),"1")</f>
        <v>1</v>
      </c>
      <c r="Z3553" s="5" t="str">
        <f>IFERROR(__xludf.DUMMYFUNCTION("REGEXEXTRACT(J3553, ""[A-Za-z ]+$"")")," Season")</f>
        <v> Season</v>
      </c>
      <c r="AA3553" s="5" t="str">
        <f>IFERROR(__xludf.DUMMYFUNCTION("IF(REGEXMATCH(Z3553, ""Season""), ""TV Show"", ""Movie"")"),"TV Show")</f>
        <v>TV Show</v>
      </c>
    </row>
    <row r="3554">
      <c r="A3554" s="1" t="s">
        <v>19426</v>
      </c>
      <c r="B3554" s="1" t="s">
        <v>37</v>
      </c>
      <c r="C3554" s="1" t="s">
        <v>19427</v>
      </c>
      <c r="E3554" s="1" t="s">
        <v>19428</v>
      </c>
      <c r="F3554" s="1" t="s">
        <v>1837</v>
      </c>
      <c r="G3554" s="1" t="s">
        <v>19404</v>
      </c>
      <c r="H3554" s="1">
        <v>2018.0</v>
      </c>
      <c r="I3554" s="1" t="s">
        <v>42</v>
      </c>
      <c r="J3554" s="1" t="s">
        <v>51</v>
      </c>
      <c r="K3554" s="1" t="s">
        <v>785</v>
      </c>
      <c r="L3554" s="1" t="s">
        <v>19429</v>
      </c>
      <c r="M3554" s="2" t="s">
        <v>12</v>
      </c>
      <c r="N3554" s="4">
        <f t="shared" si="1"/>
        <v>43707</v>
      </c>
      <c r="O3554" s="5" t="str">
        <f>IFERROR(__xludf.DUMMYFUNCTION("IF(REGEXMATCH(TRIM(I3554), ""^\d+\s*min""), ""Unclassified"", IF(I3554 = """", ""NR"", I3554))"),"TV-MA")</f>
        <v>TV-MA</v>
      </c>
      <c r="R3554" s="5" t="str">
        <f t="shared" si="2"/>
        <v>The Good Bandit</v>
      </c>
      <c r="S3554" s="5" t="str">
        <f>IFERROR(__xludf.DUMMYFUNCTION("""COMPUTED_VALUE"""),"Jericho")</f>
        <v>Jericho</v>
      </c>
      <c r="U3554" s="5" t="str">
        <f>IFERROR(__xludf.DUMMYFUNCTION("""COMPUTED_VALUE"""),"Jon Schnitzer")</f>
        <v>Jon Schnitzer</v>
      </c>
      <c r="V3554" s="5" t="s">
        <v>16103</v>
      </c>
      <c r="W3554" s="5" t="str">
        <f t="shared" si="3"/>
        <v>Robert Eagar</v>
      </c>
      <c r="X3554" s="5">
        <f t="shared" si="4"/>
        <v>1</v>
      </c>
      <c r="Y3554" s="5" t="str">
        <f>IFERROR(__xludf.DUMMYFUNCTION("REGEXEXTRACT(J3554, ""^\d+"")"),"1")</f>
        <v>1</v>
      </c>
      <c r="Z3554" s="5" t="str">
        <f>IFERROR(__xludf.DUMMYFUNCTION("REGEXEXTRACT(J3554, ""[A-Za-z ]+$"")")," Season")</f>
        <v> Season</v>
      </c>
      <c r="AA3554" s="5" t="str">
        <f>IFERROR(__xludf.DUMMYFUNCTION("IF(REGEXMATCH(Z3554, ""Season""), ""TV Show"", ""Movie"")"),"TV Show")</f>
        <v>TV Show</v>
      </c>
    </row>
    <row r="3555">
      <c r="A3555" s="1" t="s">
        <v>19430</v>
      </c>
      <c r="B3555" s="1" t="s">
        <v>37</v>
      </c>
      <c r="C3555" s="1" t="s">
        <v>19431</v>
      </c>
      <c r="E3555" s="1" t="s">
        <v>19432</v>
      </c>
      <c r="F3555" s="1" t="s">
        <v>897</v>
      </c>
      <c r="G3555" s="1" t="s">
        <v>19404</v>
      </c>
      <c r="H3555" s="1">
        <v>2019.0</v>
      </c>
      <c r="I3555" s="1" t="s">
        <v>206</v>
      </c>
      <c r="J3555" s="1" t="s">
        <v>276</v>
      </c>
      <c r="K3555" s="1" t="s">
        <v>290</v>
      </c>
      <c r="L3555" s="1" t="s">
        <v>19433</v>
      </c>
      <c r="M3555" s="2" t="s">
        <v>12</v>
      </c>
      <c r="N3555" s="4">
        <f t="shared" si="1"/>
        <v>43707</v>
      </c>
      <c r="O3555" s="5" t="str">
        <f>IFERROR(__xludf.DUMMYFUNCTION("IF(REGEXMATCH(TRIM(I3555), ""^\d+\s*min""), ""Unclassified"", IF(I3555 = """", ""NR"", I3555))"),"TV-Y")</f>
        <v>TV-Y</v>
      </c>
      <c r="R3555" s="5" t="str">
        <f t="shared" si="2"/>
        <v>True And The Rainbow Kingdom</v>
      </c>
      <c r="S3555" s="5" t="str">
        <f>IFERROR(__xludf.DUMMYFUNCTION("""COMPUTED_VALUE"""),"Jerry Before Seinfeld")</f>
        <v>Jerry Before Seinfeld</v>
      </c>
      <c r="U3555" s="5" t="str">
        <f>IFERROR(__xludf.DUMMYFUNCTION("""COMPUTED_VALUE"""),"Brant Sersen")</f>
        <v>Brant Sersen</v>
      </c>
      <c r="V3555" s="5" t="s">
        <v>19434</v>
      </c>
      <c r="W3555" s="5" t="str">
        <f t="shared" si="3"/>
        <v>Robert Eggers</v>
      </c>
      <c r="X3555" s="5">
        <f t="shared" si="4"/>
        <v>1</v>
      </c>
      <c r="Y3555" s="5" t="str">
        <f>IFERROR(__xludf.DUMMYFUNCTION("REGEXEXTRACT(J3555, ""^\d+"")"),"3")</f>
        <v>3</v>
      </c>
      <c r="Z3555" s="5" t="str">
        <f>IFERROR(__xludf.DUMMYFUNCTION("REGEXEXTRACT(J3555, ""[A-Za-z ]+$"")")," Seasons")</f>
        <v> Seasons</v>
      </c>
      <c r="AA3555" s="5" t="str">
        <f>IFERROR(__xludf.DUMMYFUNCTION("IF(REGEXMATCH(Z3555, ""Season""), ""TV Show"", ""Movie"")"),"TV Show")</f>
        <v>TV Show</v>
      </c>
    </row>
    <row r="3556">
      <c r="A3556" s="1" t="s">
        <v>19435</v>
      </c>
      <c r="B3556" s="1" t="s">
        <v>27</v>
      </c>
      <c r="C3556" s="1" t="s">
        <v>19436</v>
      </c>
      <c r="D3556" s="1" t="s">
        <v>11947</v>
      </c>
      <c r="E3556" s="1" t="s">
        <v>19437</v>
      </c>
      <c r="F3556" s="1" t="s">
        <v>784</v>
      </c>
      <c r="G3556" s="1" t="s">
        <v>19404</v>
      </c>
      <c r="H3556" s="1">
        <v>2018.0</v>
      </c>
      <c r="I3556" s="1" t="s">
        <v>42</v>
      </c>
      <c r="J3556" s="1" t="s">
        <v>433</v>
      </c>
      <c r="K3556" s="1" t="s">
        <v>631</v>
      </c>
      <c r="L3556" s="1" t="s">
        <v>19438</v>
      </c>
      <c r="M3556" s="2" t="s">
        <v>12</v>
      </c>
      <c r="N3556" s="4">
        <f t="shared" si="1"/>
        <v>43707</v>
      </c>
      <c r="O3556" s="5" t="str">
        <f>IFERROR(__xludf.DUMMYFUNCTION("IF(REGEXMATCH(TRIM(I3556), ""^\d+\s*min""), ""Unclassified"", IF(I3556 = """", ""NR"", I3556))"),"TV-MA")</f>
        <v>TV-MA</v>
      </c>
      <c r="R3556" s="5" t="str">
        <f t="shared" si="2"/>
        <v>Unbridled</v>
      </c>
      <c r="S3556" s="5" t="str">
        <f>IFERROR(__xludf.DUMMYFUNCTION("""COMPUTED_VALUE"""),"Jerry Seinfeld: 23 Hours To Kill")</f>
        <v>Jerry Seinfeld: 23 Hours To Kill</v>
      </c>
      <c r="U3556" s="5" t="str">
        <f>IFERROR(__xludf.DUMMYFUNCTION("""COMPUTED_VALUE"""),"Eddie Martin")</f>
        <v>Eddie Martin</v>
      </c>
      <c r="V3556" s="5" t="s">
        <v>19439</v>
      </c>
      <c r="W3556" s="5" t="str">
        <f t="shared" si="3"/>
        <v>Robert Kenner</v>
      </c>
      <c r="X3556" s="5">
        <f t="shared" si="4"/>
        <v>1</v>
      </c>
      <c r="Y3556" s="5" t="str">
        <f>IFERROR(__xludf.DUMMYFUNCTION("REGEXEXTRACT(J3556, ""^\d+"")"),"100")</f>
        <v>100</v>
      </c>
      <c r="Z3556" s="5" t="str">
        <f>IFERROR(__xludf.DUMMYFUNCTION("REGEXEXTRACT(J3556, ""[A-Za-z ]+$"")")," min")</f>
        <v> min</v>
      </c>
      <c r="AA3556" s="5" t="str">
        <f>IFERROR(__xludf.DUMMYFUNCTION("IF(REGEXMATCH(Z3556, ""Season""), ""TV Show"", ""Movie"")"),"Movie")</f>
        <v>Movie</v>
      </c>
    </row>
    <row r="3557">
      <c r="A3557" s="1" t="s">
        <v>19440</v>
      </c>
      <c r="B3557" s="1" t="s">
        <v>27</v>
      </c>
      <c r="C3557" s="1" t="s">
        <v>19441</v>
      </c>
      <c r="D3557" s="1" t="s">
        <v>5709</v>
      </c>
      <c r="E3557" s="1" t="s">
        <v>19442</v>
      </c>
      <c r="F3557" s="1" t="s">
        <v>30</v>
      </c>
      <c r="G3557" s="1" t="s">
        <v>19443</v>
      </c>
      <c r="H3557" s="1">
        <v>2019.0</v>
      </c>
      <c r="I3557" s="1" t="s">
        <v>136</v>
      </c>
      <c r="J3557" s="1" t="s">
        <v>357</v>
      </c>
      <c r="K3557" s="1" t="s">
        <v>813</v>
      </c>
      <c r="L3557" s="1" t="s">
        <v>19444</v>
      </c>
      <c r="M3557" s="2" t="s">
        <v>12</v>
      </c>
      <c r="N3557" s="4">
        <f t="shared" si="1"/>
        <v>43706</v>
      </c>
      <c r="O3557" s="5" t="str">
        <f>IFERROR(__xludf.DUMMYFUNCTION("IF(REGEXMATCH(TRIM(I3557), ""^\d+\s*min""), ""Unclassified"", IF(I3557 = """", ""NR"", I3557))"),"TV-PG")</f>
        <v>TV-PG</v>
      </c>
      <c r="R3557" s="5" t="str">
        <f t="shared" si="2"/>
        <v>Falling Inn Love</v>
      </c>
      <c r="S3557" s="5" t="str">
        <f>IFERROR(__xludf.DUMMYFUNCTION("""COMPUTED_VALUE"""),"Jerry Seinfeld: Comedian")</f>
        <v>Jerry Seinfeld: Comedian</v>
      </c>
      <c r="U3557" s="5" t="str">
        <f>IFERROR(__xludf.DUMMYFUNCTION("""COMPUTED_VALUE"""),"Andrew C. Erin")</f>
        <v>Andrew C. Erin</v>
      </c>
      <c r="V3557" s="5" t="s">
        <v>17578</v>
      </c>
      <c r="W3557" s="5" t="str">
        <f t="shared" si="3"/>
        <v>Robert Kenner, Taki Oldham</v>
      </c>
      <c r="X3557" s="5">
        <f t="shared" si="4"/>
        <v>1</v>
      </c>
      <c r="Y3557" s="5" t="str">
        <f>IFERROR(__xludf.DUMMYFUNCTION("REGEXEXTRACT(J3557, ""^\d+"")"),"98")</f>
        <v>98</v>
      </c>
      <c r="Z3557" s="5" t="str">
        <f>IFERROR(__xludf.DUMMYFUNCTION("REGEXEXTRACT(J3557, ""[A-Za-z ]+$"")")," min")</f>
        <v> min</v>
      </c>
      <c r="AA3557" s="5" t="str">
        <f>IFERROR(__xludf.DUMMYFUNCTION("IF(REGEXMATCH(Z3557, ""Season""), ""TV Show"", ""Movie"")"),"Movie")</f>
        <v>Movie</v>
      </c>
    </row>
    <row r="3558">
      <c r="A3558" s="1" t="s">
        <v>19445</v>
      </c>
      <c r="B3558" s="1" t="s">
        <v>27</v>
      </c>
      <c r="C3558" s="1" t="s">
        <v>19446</v>
      </c>
      <c r="D3558" s="1" t="s">
        <v>19447</v>
      </c>
      <c r="E3558" s="1" t="s">
        <v>19448</v>
      </c>
      <c r="F3558" s="1" t="s">
        <v>1992</v>
      </c>
      <c r="G3558" s="1" t="s">
        <v>19443</v>
      </c>
      <c r="H3558" s="1">
        <v>2019.0</v>
      </c>
      <c r="I3558" s="1" t="s">
        <v>97</v>
      </c>
      <c r="J3558" s="1" t="s">
        <v>297</v>
      </c>
      <c r="K3558" s="1" t="s">
        <v>3585</v>
      </c>
      <c r="L3558" s="1" t="s">
        <v>19449</v>
      </c>
      <c r="M3558" s="2" t="s">
        <v>12</v>
      </c>
      <c r="N3558" s="4">
        <f t="shared" si="1"/>
        <v>43706</v>
      </c>
      <c r="O3558" s="5" t="str">
        <f>IFERROR(__xludf.DUMMYFUNCTION("IF(REGEXMATCH(TRIM(I3558), ""^\d+\s*min""), ""Unclassified"", IF(I3558 = """", ""NR"", I3558))"),"TV-14")</f>
        <v>TV-14</v>
      </c>
      <c r="R3558" s="5" t="str">
        <f t="shared" si="2"/>
        <v>Kardec</v>
      </c>
      <c r="S3558" s="5" t="str">
        <f>IFERROR(__xludf.DUMMYFUNCTION("""COMPUTED_VALUE"""),"Jerry Seinfeld: I'M Telling You For The Last Time")</f>
        <v>Jerry Seinfeld: I'M Telling You For The Last Time</v>
      </c>
      <c r="U3558" s="5" t="str">
        <f>IFERROR(__xludf.DUMMYFUNCTION("""COMPUTED_VALUE"""),"Quinn Lasher")</f>
        <v>Quinn Lasher</v>
      </c>
      <c r="V3558" s="5" t="s">
        <v>19450</v>
      </c>
      <c r="W3558" s="5" t="str">
        <f t="shared" si="3"/>
        <v>Robert Kouba</v>
      </c>
      <c r="X3558" s="5">
        <f t="shared" si="4"/>
        <v>1</v>
      </c>
      <c r="Y3558" s="5" t="str">
        <f>IFERROR(__xludf.DUMMYFUNCTION("REGEXEXTRACT(J3558, ""^\d+"")"),"110")</f>
        <v>110</v>
      </c>
      <c r="Z3558" s="5" t="str">
        <f>IFERROR(__xludf.DUMMYFUNCTION("REGEXEXTRACT(J3558, ""[A-Za-z ]+$"")")," min")</f>
        <v> min</v>
      </c>
      <c r="AA3558" s="5" t="str">
        <f>IFERROR(__xludf.DUMMYFUNCTION("IF(REGEXMATCH(Z3558, ""Season""), ""TV Show"", ""Movie"")"),"Movie")</f>
        <v>Movie</v>
      </c>
    </row>
    <row r="3559">
      <c r="A3559" s="1" t="s">
        <v>19451</v>
      </c>
      <c r="B3559" s="1" t="s">
        <v>27</v>
      </c>
      <c r="C3559" s="1" t="s">
        <v>19452</v>
      </c>
      <c r="D3559" s="1" t="s">
        <v>19453</v>
      </c>
      <c r="E3559" s="1" t="s">
        <v>19454</v>
      </c>
      <c r="F3559" s="1" t="s">
        <v>30</v>
      </c>
      <c r="G3559" s="1" t="s">
        <v>19455</v>
      </c>
      <c r="H3559" s="1">
        <v>2019.0</v>
      </c>
      <c r="I3559" s="1" t="s">
        <v>42</v>
      </c>
      <c r="J3559" s="1" t="s">
        <v>471</v>
      </c>
      <c r="K3559" s="1" t="s">
        <v>700</v>
      </c>
      <c r="L3559" s="1" t="s">
        <v>19456</v>
      </c>
      <c r="M3559" s="2" t="s">
        <v>12</v>
      </c>
      <c r="N3559" s="4">
        <f t="shared" si="1"/>
        <v>43705</v>
      </c>
      <c r="O3559" s="5" t="str">
        <f>IFERROR(__xludf.DUMMYFUNCTION("IF(REGEXMATCH(TRIM(I3559), ""^\d+\s*min""), ""Unclassified"", IF(I3559 = """", ""NR"", I3559))"),"TV-MA")</f>
        <v>TV-MA</v>
      </c>
      <c r="R3559" s="5" t="str">
        <f t="shared" si="2"/>
        <v>Travis Scott: Look Mom I Can Fly</v>
      </c>
      <c r="S3559" s="5" t="str">
        <f>IFERROR(__xludf.DUMMYFUNCTION("""COMPUTED_VALUE"""),"Jersey Boys")</f>
        <v>Jersey Boys</v>
      </c>
      <c r="U3559" s="5" t="str">
        <f>IFERROR(__xludf.DUMMYFUNCTION("""COMPUTED_VALUE"""),"Elle Callahan")</f>
        <v>Elle Callahan</v>
      </c>
      <c r="V3559" s="5" t="s">
        <v>16432</v>
      </c>
      <c r="W3559" s="5" t="str">
        <f t="shared" si="3"/>
        <v>Robert Krantz</v>
      </c>
      <c r="X3559" s="5">
        <f t="shared" si="4"/>
        <v>1</v>
      </c>
      <c r="Y3559" s="5" t="str">
        <f>IFERROR(__xludf.DUMMYFUNCTION("REGEXEXTRACT(J3559, ""^\d+"")"),"85")</f>
        <v>85</v>
      </c>
      <c r="Z3559" s="5" t="str">
        <f>IFERROR(__xludf.DUMMYFUNCTION("REGEXEXTRACT(J3559, ""[A-Za-z ]+$"")")," min")</f>
        <v> min</v>
      </c>
      <c r="AA3559" s="5" t="str">
        <f>IFERROR(__xludf.DUMMYFUNCTION("IF(REGEXMATCH(Z3559, ""Season""), ""TV Show"", ""Movie"")"),"Movie")</f>
        <v>Movie</v>
      </c>
    </row>
    <row r="3560">
      <c r="A3560" s="1" t="s">
        <v>19457</v>
      </c>
      <c r="B3560" s="1" t="s">
        <v>37</v>
      </c>
      <c r="C3560" s="1" t="s">
        <v>19458</v>
      </c>
      <c r="F3560" s="1" t="s">
        <v>96</v>
      </c>
      <c r="G3560" s="1" t="s">
        <v>19459</v>
      </c>
      <c r="H3560" s="1">
        <v>2019.0</v>
      </c>
      <c r="I3560" s="1" t="s">
        <v>42</v>
      </c>
      <c r="J3560" s="1" t="s">
        <v>43</v>
      </c>
      <c r="K3560" s="1" t="s">
        <v>2382</v>
      </c>
      <c r="L3560" s="1" t="s">
        <v>19460</v>
      </c>
      <c r="M3560" s="2" t="s">
        <v>12</v>
      </c>
      <c r="N3560" s="4">
        <f t="shared" si="1"/>
        <v>43704</v>
      </c>
      <c r="O3560" s="5" t="str">
        <f>IFERROR(__xludf.DUMMYFUNCTION("IF(REGEXMATCH(TRIM(I3560), ""^\d+\s*min""), ""Unclassified"", IF(I3560 = """", ""NR"", I3560))"),"TV-MA")</f>
        <v>TV-MA</v>
      </c>
      <c r="R3560" s="5" t="str">
        <f t="shared" si="2"/>
        <v>Million Pound Menu</v>
      </c>
      <c r="S3560" s="5" t="str">
        <f>IFERROR(__xludf.DUMMYFUNCTION("""COMPUTED_VALUE"""),"Jessica Darling'S It List")</f>
        <v>Jessica Darling'S It List</v>
      </c>
      <c r="U3560" s="5" t="str">
        <f>IFERROR(__xludf.DUMMYFUNCTION("""COMPUTED_VALUE"""),"Ana Kokkinos")</f>
        <v>Ana Kokkinos</v>
      </c>
      <c r="V3560" s="5" t="s">
        <v>253</v>
      </c>
      <c r="W3560" s="5" t="str">
        <f t="shared" si="3"/>
        <v>Robert Luketic</v>
      </c>
      <c r="X3560" s="5">
        <f t="shared" si="4"/>
        <v>6</v>
      </c>
      <c r="Y3560" s="5" t="str">
        <f>IFERROR(__xludf.DUMMYFUNCTION("REGEXEXTRACT(J3560, ""^\d+"")"),"2")</f>
        <v>2</v>
      </c>
      <c r="Z3560" s="5" t="str">
        <f>IFERROR(__xludf.DUMMYFUNCTION("REGEXEXTRACT(J3560, ""[A-Za-z ]+$"")")," Seasons")</f>
        <v> Seasons</v>
      </c>
      <c r="AA3560" s="5" t="str">
        <f>IFERROR(__xludf.DUMMYFUNCTION("IF(REGEXMATCH(Z3560, ""Season""), ""TV Show"", ""Movie"")"),"TV Show")</f>
        <v>TV Show</v>
      </c>
    </row>
    <row r="3561">
      <c r="A3561" s="1" t="s">
        <v>19461</v>
      </c>
      <c r="B3561" s="1" t="s">
        <v>27</v>
      </c>
      <c r="C3561" s="1" t="s">
        <v>19462</v>
      </c>
      <c r="D3561" s="1" t="s">
        <v>19463</v>
      </c>
      <c r="E3561" s="1" t="s">
        <v>7749</v>
      </c>
      <c r="F3561" s="1" t="s">
        <v>30</v>
      </c>
      <c r="G3561" s="1" t="s">
        <v>19464</v>
      </c>
      <c r="H3561" s="1">
        <v>2019.0</v>
      </c>
      <c r="I3561" s="1" t="s">
        <v>42</v>
      </c>
      <c r="J3561" s="1" t="s">
        <v>2636</v>
      </c>
      <c r="K3561" s="1" t="s">
        <v>1839</v>
      </c>
      <c r="L3561" s="1" t="s">
        <v>19465</v>
      </c>
      <c r="M3561" s="2" t="s">
        <v>12</v>
      </c>
      <c r="N3561" s="4">
        <f t="shared" si="1"/>
        <v>43703</v>
      </c>
      <c r="O3561" s="5" t="str">
        <f>IFERROR(__xludf.DUMMYFUNCTION("IF(REGEXMATCH(TRIM(I3561), ""^\d+\s*min""), ""Unclassified"", IF(I3561 = """", ""NR"", I3561))"),"TV-MA")</f>
        <v>TV-MA</v>
      </c>
      <c r="R3561" s="5" t="str">
        <f t="shared" si="2"/>
        <v>Dave Chappelle: Sticks &amp; Stones</v>
      </c>
      <c r="S3561" s="5" t="str">
        <f>IFERROR(__xludf.DUMMYFUNCTION("""COMPUTED_VALUE"""),"Jesus: Countdown To Calvary")</f>
        <v>Jesus: Countdown To Calvary</v>
      </c>
      <c r="U3561" s="5" t="str">
        <f>IFERROR(__xludf.DUMMYFUNCTION("""COMPUTED_VALUE"""),"Kelly Noonan")</f>
        <v>Kelly Noonan</v>
      </c>
      <c r="V3561" s="5" t="s">
        <v>19466</v>
      </c>
      <c r="W3561" s="5" t="str">
        <f t="shared" si="3"/>
        <v>Robert Markowitz</v>
      </c>
      <c r="X3561" s="5">
        <f t="shared" si="4"/>
        <v>1</v>
      </c>
      <c r="Y3561" s="5" t="str">
        <f>IFERROR(__xludf.DUMMYFUNCTION("REGEXEXTRACT(J3561, ""^\d+"")"),"66")</f>
        <v>66</v>
      </c>
      <c r="Z3561" s="5" t="str">
        <f>IFERROR(__xludf.DUMMYFUNCTION("REGEXEXTRACT(J3561, ""[A-Za-z ]+$"")")," min")</f>
        <v> min</v>
      </c>
      <c r="AA3561" s="5" t="str">
        <f>IFERROR(__xludf.DUMMYFUNCTION("IF(REGEXMATCH(Z3561, ""Season""), ""TV Show"", ""Movie"")"),"Movie")</f>
        <v>Movie</v>
      </c>
    </row>
    <row r="3562">
      <c r="A3562" s="1" t="s">
        <v>19467</v>
      </c>
      <c r="B3562" s="1" t="s">
        <v>27</v>
      </c>
      <c r="C3562" s="1" t="s">
        <v>19468</v>
      </c>
      <c r="D3562" s="1" t="s">
        <v>19469</v>
      </c>
      <c r="E3562" s="1" t="s">
        <v>19470</v>
      </c>
      <c r="F3562" s="1" t="s">
        <v>1119</v>
      </c>
      <c r="G3562" s="1" t="s">
        <v>19471</v>
      </c>
      <c r="H3562" s="1">
        <v>2016.0</v>
      </c>
      <c r="I3562" s="1" t="s">
        <v>42</v>
      </c>
      <c r="J3562" s="1" t="s">
        <v>665</v>
      </c>
      <c r="K3562" s="1" t="s">
        <v>199</v>
      </c>
      <c r="L3562" s="1" t="s">
        <v>19472</v>
      </c>
      <c r="M3562" s="2" t="s">
        <v>12</v>
      </c>
      <c r="N3562" s="4">
        <f t="shared" si="1"/>
        <v>43701</v>
      </c>
      <c r="O3562" s="5" t="str">
        <f>IFERROR(__xludf.DUMMYFUNCTION("IF(REGEXMATCH(TRIM(I3562), ""^\d+\s*min""), ""Unclassified"", IF(I3562 = """", ""NR"", I3562))"),"TV-MA")</f>
        <v>TV-MA</v>
      </c>
      <c r="R3562" s="5" t="str">
        <f t="shared" si="2"/>
        <v>Drink Drank Drunk</v>
      </c>
      <c r="S3562" s="5" t="str">
        <f>IFERROR(__xludf.DUMMYFUNCTION("""COMPUTED_VALUE"""),"Jewel'S Catch One")</f>
        <v>Jewel'S Catch One</v>
      </c>
      <c r="U3562" s="5" t="str">
        <f>IFERROR(__xludf.DUMMYFUNCTION("""COMPUTED_VALUE"""),"David Mirkin")</f>
        <v>David Mirkin</v>
      </c>
      <c r="V3562" s="5" t="s">
        <v>19473</v>
      </c>
      <c r="W3562" s="5" t="str">
        <f t="shared" si="3"/>
        <v>Robert Mccullough Jr.</v>
      </c>
      <c r="X3562" s="5">
        <f t="shared" si="4"/>
        <v>1</v>
      </c>
      <c r="Y3562" s="5" t="str">
        <f>IFERROR(__xludf.DUMMYFUNCTION("REGEXEXTRACT(J3562, ""^\d+"")"),"92")</f>
        <v>92</v>
      </c>
      <c r="Z3562" s="5" t="str">
        <f>IFERROR(__xludf.DUMMYFUNCTION("REGEXEXTRACT(J3562, ""[A-Za-z ]+$"")")," min")</f>
        <v> min</v>
      </c>
      <c r="AA3562" s="5" t="str">
        <f>IFERROR(__xludf.DUMMYFUNCTION("IF(REGEXMATCH(Z3562, ""Season""), ""TV Show"", ""Movie"")"),"Movie")</f>
        <v>Movie</v>
      </c>
    </row>
    <row r="3563">
      <c r="A3563" s="1" t="s">
        <v>19474</v>
      </c>
      <c r="B3563" s="1" t="s">
        <v>37</v>
      </c>
      <c r="C3563" s="1" t="s">
        <v>19475</v>
      </c>
      <c r="E3563" s="1" t="s">
        <v>19476</v>
      </c>
      <c r="F3563" s="1" t="s">
        <v>30</v>
      </c>
      <c r="G3563" s="1" t="s">
        <v>19477</v>
      </c>
      <c r="H3563" s="1">
        <v>2019.0</v>
      </c>
      <c r="I3563" s="1" t="s">
        <v>42</v>
      </c>
      <c r="J3563" s="1" t="s">
        <v>276</v>
      </c>
      <c r="K3563" s="1" t="s">
        <v>2043</v>
      </c>
      <c r="L3563" s="1" t="s">
        <v>19478</v>
      </c>
      <c r="M3563" s="2" t="s">
        <v>12</v>
      </c>
      <c r="N3563" s="4">
        <f t="shared" si="1"/>
        <v>43700</v>
      </c>
      <c r="O3563" s="5" t="str">
        <f>IFERROR(__xludf.DUMMYFUNCTION("IF(REGEXMATCH(TRIM(I3563), ""^\d+\s*min""), ""Unclassified"", IF(I3563 = """", ""NR"", I3563))"),"TV-MA")</f>
        <v>TV-MA</v>
      </c>
      <c r="R3563" s="5" t="str">
        <f t="shared" si="2"/>
        <v>13 Reasons Why: Beyond The Reasons</v>
      </c>
      <c r="S3563" s="5" t="str">
        <f>IFERROR(__xludf.DUMMYFUNCTION("""COMPUTED_VALUE"""),"Jezebel")</f>
        <v>Jezebel</v>
      </c>
      <c r="U3563" s="5" t="str">
        <f>IFERROR(__xludf.DUMMYFUNCTION("""COMPUTED_VALUE"""),"Huang Jianming")</f>
        <v>Huang Jianming</v>
      </c>
      <c r="V3563" s="5" t="s">
        <v>19479</v>
      </c>
      <c r="W3563" s="5" t="str">
        <f t="shared" si="3"/>
        <v>Robert Moresco</v>
      </c>
      <c r="X3563" s="5">
        <f t="shared" si="4"/>
        <v>1</v>
      </c>
      <c r="Y3563" s="5" t="str">
        <f>IFERROR(__xludf.DUMMYFUNCTION("REGEXEXTRACT(J3563, ""^\d+"")"),"3")</f>
        <v>3</v>
      </c>
      <c r="Z3563" s="5" t="str">
        <f>IFERROR(__xludf.DUMMYFUNCTION("REGEXEXTRACT(J3563, ""[A-Za-z ]+$"")")," Seasons")</f>
        <v> Seasons</v>
      </c>
      <c r="AA3563" s="5" t="str">
        <f>IFERROR(__xludf.DUMMYFUNCTION("IF(REGEXMATCH(Z3563, ""Season""), ""TV Show"", ""Movie"")"),"TV Show")</f>
        <v>TV Show</v>
      </c>
    </row>
    <row r="3564">
      <c r="A3564" s="1" t="s">
        <v>19480</v>
      </c>
      <c r="B3564" s="1" t="s">
        <v>37</v>
      </c>
      <c r="C3564" s="1" t="s">
        <v>19481</v>
      </c>
      <c r="E3564" s="1" t="s">
        <v>19482</v>
      </c>
      <c r="G3564" s="1" t="s">
        <v>19477</v>
      </c>
      <c r="H3564" s="1">
        <v>2019.0</v>
      </c>
      <c r="I3564" s="1" t="s">
        <v>97</v>
      </c>
      <c r="J3564" s="1" t="s">
        <v>43</v>
      </c>
      <c r="K3564" s="1" t="s">
        <v>3858</v>
      </c>
      <c r="L3564" s="1" t="s">
        <v>19483</v>
      </c>
      <c r="M3564" s="2" t="s">
        <v>12</v>
      </c>
      <c r="N3564" s="4">
        <f t="shared" si="1"/>
        <v>43700</v>
      </c>
      <c r="O3564" s="5" t="str">
        <f>IFERROR(__xludf.DUMMYFUNCTION("IF(REGEXMATCH(TRIM(I3564), ""^\d+\s*min""), ""Unclassified"", IF(I3564 = """", ""NR"", I3564))"),"TV-14")</f>
        <v>TV-14</v>
      </c>
      <c r="R3564" s="5" t="str">
        <f t="shared" si="2"/>
        <v>Hero Mask</v>
      </c>
      <c r="S3564" s="5" t="str">
        <f>IFERROR(__xludf.DUMMYFUNCTION("""COMPUTED_VALUE"""),"Jfk: The Making Of A President")</f>
        <v>Jfk: The Making Of A President</v>
      </c>
      <c r="U3564" s="5" t="str">
        <f>IFERROR(__xludf.DUMMYFUNCTION("""COMPUTED_VALUE"""),"Tom Gianas, Ross R. Shuman")</f>
        <v>Tom Gianas, Ross R. Shuman</v>
      </c>
      <c r="V3564" s="5" t="s">
        <v>19484</v>
      </c>
      <c r="W3564" s="5" t="str">
        <f t="shared" si="3"/>
        <v>Robert Nixon, Fisher Stevens</v>
      </c>
      <c r="X3564" s="5">
        <f t="shared" si="4"/>
        <v>1</v>
      </c>
      <c r="Y3564" s="5" t="str">
        <f>IFERROR(__xludf.DUMMYFUNCTION("REGEXEXTRACT(J3564, ""^\d+"")"),"2")</f>
        <v>2</v>
      </c>
      <c r="Z3564" s="5" t="str">
        <f>IFERROR(__xludf.DUMMYFUNCTION("REGEXEXTRACT(J3564, ""[A-Za-z ]+$"")")," Seasons")</f>
        <v> Seasons</v>
      </c>
      <c r="AA3564" s="5" t="str">
        <f>IFERROR(__xludf.DUMMYFUNCTION("IF(REGEXMATCH(Z3564, ""Season""), ""TV Show"", ""Movie"")"),"TV Show")</f>
        <v>TV Show</v>
      </c>
    </row>
    <row r="3565">
      <c r="A3565" s="1" t="s">
        <v>19485</v>
      </c>
      <c r="B3565" s="1" t="s">
        <v>27</v>
      </c>
      <c r="C3565" s="1" t="s">
        <v>19486</v>
      </c>
      <c r="D3565" s="1" t="s">
        <v>18583</v>
      </c>
      <c r="E3565" s="1" t="s">
        <v>19487</v>
      </c>
      <c r="F3565" s="1" t="s">
        <v>63</v>
      </c>
      <c r="G3565" s="1" t="s">
        <v>19477</v>
      </c>
      <c r="H3565" s="1">
        <v>2019.0</v>
      </c>
      <c r="I3565" s="1" t="s">
        <v>136</v>
      </c>
      <c r="J3565" s="1" t="s">
        <v>1428</v>
      </c>
      <c r="K3565" s="1" t="s">
        <v>583</v>
      </c>
      <c r="L3565" s="1" t="s">
        <v>19488</v>
      </c>
      <c r="M3565" s="2" t="s">
        <v>12</v>
      </c>
      <c r="N3565" s="4">
        <f t="shared" si="1"/>
        <v>43700</v>
      </c>
      <c r="O3565" s="5" t="str">
        <f>IFERROR(__xludf.DUMMYFUNCTION("IF(REGEXMATCH(TRIM(I3565), ""^\d+\s*min""), ""Unclassified"", IF(I3565 = """", ""NR"", I3565))"),"TV-PG")</f>
        <v>TV-PG</v>
      </c>
      <c r="R3565" s="5" t="str">
        <f t="shared" si="2"/>
        <v>Kaake Da Viyah</v>
      </c>
      <c r="S3565" s="5" t="str">
        <f>IFERROR(__xludf.DUMMYFUNCTION("""COMPUTED_VALUE"""),"Jhankaar Beats")</f>
        <v>Jhankaar Beats</v>
      </c>
      <c r="U3565" s="5" t="str">
        <f>IFERROR(__xludf.DUMMYFUNCTION("""COMPUTED_VALUE"""),"Christel Gibson")</f>
        <v>Christel Gibson</v>
      </c>
      <c r="V3565" s="5" t="s">
        <v>3807</v>
      </c>
      <c r="W3565" s="5" t="str">
        <f t="shared" si="3"/>
        <v>Robert O. Peters</v>
      </c>
      <c r="X3565" s="5">
        <f t="shared" si="4"/>
        <v>3</v>
      </c>
      <c r="Y3565" s="5" t="str">
        <f>IFERROR(__xludf.DUMMYFUNCTION("REGEXEXTRACT(J3565, ""^\d+"")"),"133")</f>
        <v>133</v>
      </c>
      <c r="Z3565" s="5" t="str">
        <f>IFERROR(__xludf.DUMMYFUNCTION("REGEXEXTRACT(J3565, ""[A-Za-z ]+$"")")," min")</f>
        <v> min</v>
      </c>
      <c r="AA3565" s="5" t="str">
        <f>IFERROR(__xludf.DUMMYFUNCTION("IF(REGEXMATCH(Z3565, ""Season""), ""TV Show"", ""Movie"")"),"Movie")</f>
        <v>Movie</v>
      </c>
    </row>
    <row r="3566">
      <c r="A3566" s="1" t="s">
        <v>19489</v>
      </c>
      <c r="B3566" s="1" t="s">
        <v>27</v>
      </c>
      <c r="C3566" s="1" t="s">
        <v>19490</v>
      </c>
      <c r="D3566" s="1" t="s">
        <v>19491</v>
      </c>
      <c r="E3566" s="1" t="s">
        <v>19492</v>
      </c>
      <c r="F3566" s="1" t="s">
        <v>63</v>
      </c>
      <c r="G3566" s="1" t="s">
        <v>19477</v>
      </c>
      <c r="H3566" s="1">
        <v>2018.0</v>
      </c>
      <c r="I3566" s="1" t="s">
        <v>97</v>
      </c>
      <c r="J3566" s="1" t="s">
        <v>1369</v>
      </c>
      <c r="K3566" s="1" t="s">
        <v>199</v>
      </c>
      <c r="L3566" s="1" t="s">
        <v>19493</v>
      </c>
      <c r="M3566" s="2" t="s">
        <v>12</v>
      </c>
      <c r="N3566" s="4">
        <f t="shared" si="1"/>
        <v>43700</v>
      </c>
      <c r="O3566" s="5" t="str">
        <f>IFERROR(__xludf.DUMMYFUNCTION("IF(REGEXMATCH(TRIM(I3566), ""^\d+\s*min""), ""Unclassified"", IF(I3566 = """", ""NR"", I3566))"),"TV-14")</f>
        <v>TV-14</v>
      </c>
      <c r="R3566" s="5" t="str">
        <f t="shared" si="2"/>
        <v>Marriage Palace</v>
      </c>
      <c r="S3566" s="5" t="str">
        <f>IFERROR(__xludf.DUMMYFUNCTION("""COMPUTED_VALUE"""),"Jhansi Ki Rani")</f>
        <v>Jhansi Ki Rani</v>
      </c>
      <c r="U3566" s="5" t="str">
        <f>IFERROR(__xludf.DUMMYFUNCTION("""COMPUTED_VALUE"""),"Rod Blackhurst")</f>
        <v>Rod Blackhurst</v>
      </c>
      <c r="V3566" s="5" t="s">
        <v>19494</v>
      </c>
      <c r="W3566" s="5" t="str">
        <f t="shared" si="3"/>
        <v>Robert Osman, Nathanael Wiseman</v>
      </c>
      <c r="X3566" s="5">
        <f t="shared" si="4"/>
        <v>1</v>
      </c>
      <c r="Y3566" s="5" t="str">
        <f>IFERROR(__xludf.DUMMYFUNCTION("REGEXEXTRACT(J3566, ""^\d+"")"),"135")</f>
        <v>135</v>
      </c>
      <c r="Z3566" s="5" t="str">
        <f>IFERROR(__xludf.DUMMYFUNCTION("REGEXEXTRACT(J3566, ""[A-Za-z ]+$"")")," min")</f>
        <v> min</v>
      </c>
      <c r="AA3566" s="5" t="str">
        <f>IFERROR(__xludf.DUMMYFUNCTION("IF(REGEXMATCH(Z3566, ""Season""), ""TV Show"", ""Movie"")"),"Movie")</f>
        <v>Movie</v>
      </c>
    </row>
    <row r="3567">
      <c r="A3567" s="1" t="s">
        <v>19495</v>
      </c>
      <c r="B3567" s="1" t="s">
        <v>27</v>
      </c>
      <c r="C3567" s="1" t="s">
        <v>19496</v>
      </c>
      <c r="D3567" s="1" t="s">
        <v>16373</v>
      </c>
      <c r="E3567" s="1" t="s">
        <v>19497</v>
      </c>
      <c r="F3567" s="1" t="s">
        <v>6350</v>
      </c>
      <c r="G3567" s="1" t="s">
        <v>19477</v>
      </c>
      <c r="H3567" s="1">
        <v>2019.0</v>
      </c>
      <c r="I3567" s="1" t="s">
        <v>136</v>
      </c>
      <c r="J3567" s="1" t="s">
        <v>985</v>
      </c>
      <c r="K3567" s="1" t="s">
        <v>1939</v>
      </c>
      <c r="L3567" s="1" t="s">
        <v>19498</v>
      </c>
      <c r="M3567" s="2" t="s">
        <v>12</v>
      </c>
      <c r="N3567" s="4">
        <f t="shared" si="1"/>
        <v>43700</v>
      </c>
      <c r="O3567" s="5" t="str">
        <f>IFERROR(__xludf.DUMMYFUNCTION("IF(REGEXMATCH(TRIM(I3567), ""^\d+\s*min""), ""Unclassified"", IF(I3567 = """", ""NR"", I3567))"),"TV-PG")</f>
        <v>TV-PG</v>
      </c>
      <c r="R3567" s="5" t="str">
        <f t="shared" si="2"/>
        <v>Mayday Life</v>
      </c>
      <c r="S3567" s="5" t="str">
        <f>IFERROR(__xludf.DUMMYFUNCTION("""COMPUTED_VALUE"""),"Jim &amp; Andy: The Great Beyond - Featuring A Very Special, Contractually Obligated Mention Of Tony Clifton")</f>
        <v>Jim &amp; Andy: The Great Beyond - Featuring A Very Special, Contractually Obligated Mention Of Tony Clifton</v>
      </c>
      <c r="U3567" s="5" t="str">
        <f>IFERROR(__xludf.DUMMYFUNCTION("""COMPUTED_VALUE"""),"Corey Yuen")</f>
        <v>Corey Yuen</v>
      </c>
      <c r="V3567" s="5" t="s">
        <v>4621</v>
      </c>
      <c r="W3567" s="5" t="str">
        <f t="shared" si="3"/>
        <v>Robert Peters</v>
      </c>
      <c r="X3567" s="5">
        <f t="shared" si="4"/>
        <v>1</v>
      </c>
      <c r="Y3567" s="5" t="str">
        <f>IFERROR(__xludf.DUMMYFUNCTION("REGEXEXTRACT(J3567, ""^\d+"")"),"120")</f>
        <v>120</v>
      </c>
      <c r="Z3567" s="5" t="str">
        <f>IFERROR(__xludf.DUMMYFUNCTION("REGEXEXTRACT(J3567, ""[A-Za-z ]+$"")")," min")</f>
        <v> min</v>
      </c>
      <c r="AA3567" s="5" t="str">
        <f>IFERROR(__xludf.DUMMYFUNCTION("IF(REGEXMATCH(Z3567, ""Season""), ""TV Show"", ""Movie"")"),"Movie")</f>
        <v>Movie</v>
      </c>
    </row>
    <row r="3568">
      <c r="A3568" s="1" t="s">
        <v>19499</v>
      </c>
      <c r="B3568" s="1" t="s">
        <v>27</v>
      </c>
      <c r="C3568" s="1" t="s">
        <v>19500</v>
      </c>
      <c r="D3568" s="1" t="s">
        <v>19501</v>
      </c>
      <c r="E3568" s="1" t="s">
        <v>19502</v>
      </c>
      <c r="F3568" s="1" t="s">
        <v>63</v>
      </c>
      <c r="G3568" s="1" t="s">
        <v>19477</v>
      </c>
      <c r="H3568" s="1">
        <v>2019.0</v>
      </c>
      <c r="I3568" s="1" t="s">
        <v>97</v>
      </c>
      <c r="J3568" s="1" t="s">
        <v>870</v>
      </c>
      <c r="K3568" s="1" t="s">
        <v>89</v>
      </c>
      <c r="L3568" s="1" t="s">
        <v>19503</v>
      </c>
      <c r="M3568" s="2" t="s">
        <v>12</v>
      </c>
      <c r="N3568" s="4">
        <f t="shared" si="1"/>
        <v>43700</v>
      </c>
      <c r="O3568" s="5" t="str">
        <f>IFERROR(__xludf.DUMMYFUNCTION("IF(REGEXMATCH(TRIM(I3568), ""^\d+\s*min""), ""Unclassified"", IF(I3568 = """", ""NR"", I3568))"),"TV-14")</f>
        <v>TV-14</v>
      </c>
      <c r="R3568" s="5" t="str">
        <f t="shared" si="2"/>
        <v>Saavat</v>
      </c>
      <c r="S3568" s="5" t="str">
        <f>IFERROR(__xludf.DUMMYFUNCTION("""COMPUTED_VALUE"""),"Jim Gaffigan: Beyond The Pale")</f>
        <v>Jim Gaffigan: Beyond The Pale</v>
      </c>
      <c r="U3568" s="5" t="str">
        <f>IFERROR(__xludf.DUMMYFUNCTION("""COMPUTED_VALUE"""),"Timothy Woodward Jr.")</f>
        <v>Timothy Woodward Jr.</v>
      </c>
      <c r="V3568" s="5" t="s">
        <v>5781</v>
      </c>
      <c r="W3568" s="5" t="str">
        <f t="shared" si="3"/>
        <v>Robert Pulcini, Shari Springer Berman</v>
      </c>
      <c r="X3568" s="5">
        <f t="shared" si="4"/>
        <v>1</v>
      </c>
      <c r="Y3568" s="5" t="str">
        <f>IFERROR(__xludf.DUMMYFUNCTION("REGEXEXTRACT(J3568, ""^\d+"")"),"118")</f>
        <v>118</v>
      </c>
      <c r="Z3568" s="5" t="str">
        <f>IFERROR(__xludf.DUMMYFUNCTION("REGEXEXTRACT(J3568, ""[A-Za-z ]+$"")")," min")</f>
        <v> min</v>
      </c>
      <c r="AA3568" s="5" t="str">
        <f>IFERROR(__xludf.DUMMYFUNCTION("IF(REGEXMATCH(Z3568, ""Season""), ""TV Show"", ""Movie"")"),"Movie")</f>
        <v>Movie</v>
      </c>
    </row>
    <row r="3569">
      <c r="A3569" s="1" t="s">
        <v>19504</v>
      </c>
      <c r="B3569" s="1" t="s">
        <v>27</v>
      </c>
      <c r="C3569" s="1" t="s">
        <v>19505</v>
      </c>
      <c r="D3569" s="1" t="s">
        <v>9992</v>
      </c>
      <c r="F3569" s="1" t="s">
        <v>30</v>
      </c>
      <c r="G3569" s="1" t="s">
        <v>19506</v>
      </c>
      <c r="H3569" s="1">
        <v>2019.0</v>
      </c>
      <c r="I3569" s="1" t="s">
        <v>97</v>
      </c>
      <c r="J3569" s="1" t="s">
        <v>297</v>
      </c>
      <c r="K3569" s="1" t="s">
        <v>34</v>
      </c>
      <c r="L3569" s="1" t="s">
        <v>19507</v>
      </c>
      <c r="M3569" s="2" t="s">
        <v>12</v>
      </c>
      <c r="N3569" s="4">
        <f t="shared" si="1"/>
        <v>43698</v>
      </c>
      <c r="O3569" s="5" t="str">
        <f>IFERROR(__xludf.DUMMYFUNCTION("IF(REGEXMATCH(TRIM(I3569), ""^\d+\s*min""), ""Unclassified"", IF(I3569 = """", ""NR"", I3569))"),"TV-14")</f>
        <v>TV-14</v>
      </c>
      <c r="R3569" s="5" t="str">
        <f t="shared" si="2"/>
        <v>American Factory</v>
      </c>
      <c r="S3569" s="5" t="str">
        <f>IFERROR(__xludf.DUMMYFUNCTION("""COMPUTED_VALUE"""),"Jim Gaffigan: Cinco")</f>
        <v>Jim Gaffigan: Cinco</v>
      </c>
      <c r="U3569" s="5" t="str">
        <f>IFERROR(__xludf.DUMMYFUNCTION("""COMPUTED_VALUE"""),"Shawn Arranha")</f>
        <v>Shawn Arranha</v>
      </c>
      <c r="V3569" s="5" t="s">
        <v>5582</v>
      </c>
      <c r="W3569" s="5" t="str">
        <f t="shared" si="3"/>
        <v>Robert Radler</v>
      </c>
      <c r="X3569" s="5">
        <f t="shared" si="4"/>
        <v>1</v>
      </c>
      <c r="Y3569" s="5" t="str">
        <f>IFERROR(__xludf.DUMMYFUNCTION("REGEXEXTRACT(J3569, ""^\d+"")"),"110")</f>
        <v>110</v>
      </c>
      <c r="Z3569" s="5" t="str">
        <f>IFERROR(__xludf.DUMMYFUNCTION("REGEXEXTRACT(J3569, ""[A-Za-z ]+$"")")," min")</f>
        <v> min</v>
      </c>
      <c r="AA3569" s="5" t="str">
        <f>IFERROR(__xludf.DUMMYFUNCTION("IF(REGEXMATCH(Z3569, ""Season""), ""TV Show"", ""Movie"")"),"Movie")</f>
        <v>Movie</v>
      </c>
    </row>
    <row r="3570">
      <c r="A3570" s="1" t="s">
        <v>19508</v>
      </c>
      <c r="B3570" s="1" t="s">
        <v>27</v>
      </c>
      <c r="C3570" s="1" t="s">
        <v>19509</v>
      </c>
      <c r="D3570" s="1" t="s">
        <v>2646</v>
      </c>
      <c r="E3570" s="1" t="s">
        <v>19510</v>
      </c>
      <c r="G3570" s="1" t="s">
        <v>19506</v>
      </c>
      <c r="H3570" s="1">
        <v>2019.0</v>
      </c>
      <c r="I3570" s="1" t="s">
        <v>42</v>
      </c>
      <c r="J3570" s="1" t="s">
        <v>357</v>
      </c>
      <c r="K3570" s="1" t="s">
        <v>1592</v>
      </c>
      <c r="L3570" s="1" t="s">
        <v>19511</v>
      </c>
      <c r="M3570" s="2" t="s">
        <v>12</v>
      </c>
      <c r="N3570" s="4">
        <f t="shared" si="1"/>
        <v>43698</v>
      </c>
      <c r="O3570" s="5" t="str">
        <f>IFERROR(__xludf.DUMMYFUNCTION("IF(REGEXMATCH(TRIM(I3570), ""^\d+\s*min""), ""Unclassified"", IF(I3570 = """", ""NR"", I3570))"),"TV-MA")</f>
        <v>TV-MA</v>
      </c>
      <c r="R3570" s="5" t="str">
        <f t="shared" si="2"/>
        <v>Game Over (Hindi Version)</v>
      </c>
      <c r="S3570" s="5" t="str">
        <f>IFERROR(__xludf.DUMMYFUNCTION("""COMPUTED_VALUE"""),"Jim Gaffigan: King Baby")</f>
        <v>Jim Gaffigan: King Baby</v>
      </c>
      <c r="U3570" s="5" t="str">
        <f>IFERROR(__xludf.DUMMYFUNCTION("""COMPUTED_VALUE"""),"Liu Jie")</f>
        <v>Liu Jie</v>
      </c>
      <c r="V3570" s="5" t="s">
        <v>5217</v>
      </c>
      <c r="W3570" s="5" t="str">
        <f t="shared" si="3"/>
        <v>Robert Rodriguez</v>
      </c>
      <c r="X3570" s="5">
        <f t="shared" si="4"/>
        <v>8</v>
      </c>
      <c r="Y3570" s="5" t="str">
        <f>IFERROR(__xludf.DUMMYFUNCTION("REGEXEXTRACT(J3570, ""^\d+"")"),"98")</f>
        <v>98</v>
      </c>
      <c r="Z3570" s="5" t="str">
        <f>IFERROR(__xludf.DUMMYFUNCTION("REGEXEXTRACT(J3570, ""[A-Za-z ]+$"")")," min")</f>
        <v> min</v>
      </c>
      <c r="AA3570" s="5" t="str">
        <f>IFERROR(__xludf.DUMMYFUNCTION("IF(REGEXMATCH(Z3570, ""Season""), ""TV Show"", ""Movie"")"),"Movie")</f>
        <v>Movie</v>
      </c>
    </row>
    <row r="3571">
      <c r="A3571" s="1" t="s">
        <v>19512</v>
      </c>
      <c r="B3571" s="1" t="s">
        <v>27</v>
      </c>
      <c r="C3571" s="1" t="s">
        <v>19513</v>
      </c>
      <c r="D3571" s="1" t="s">
        <v>2646</v>
      </c>
      <c r="E3571" s="1" t="s">
        <v>19510</v>
      </c>
      <c r="F3571" s="1" t="s">
        <v>19514</v>
      </c>
      <c r="G3571" s="1" t="s">
        <v>19506</v>
      </c>
      <c r="H3571" s="1">
        <v>2019.0</v>
      </c>
      <c r="I3571" s="1" t="s">
        <v>42</v>
      </c>
      <c r="J3571" s="1" t="s">
        <v>357</v>
      </c>
      <c r="K3571" s="1" t="s">
        <v>1592</v>
      </c>
      <c r="L3571" s="1" t="s">
        <v>19511</v>
      </c>
      <c r="M3571" s="2" t="s">
        <v>12</v>
      </c>
      <c r="N3571" s="4">
        <f t="shared" si="1"/>
        <v>43698</v>
      </c>
      <c r="O3571" s="5" t="str">
        <f>IFERROR(__xludf.DUMMYFUNCTION("IF(REGEXMATCH(TRIM(I3571), ""^\d+\s*min""), ""Unclassified"", IF(I3571 = """", ""NR"", I3571))"),"TV-MA")</f>
        <v>TV-MA</v>
      </c>
      <c r="R3571" s="5" t="str">
        <f t="shared" si="2"/>
        <v>Game Over (Tamil Version)</v>
      </c>
      <c r="S3571" s="5" t="str">
        <f>IFERROR(__xludf.DUMMYFUNCTION("""COMPUTED_VALUE"""),"Jim Gaffigan: Mr. Universe")</f>
        <v>Jim Gaffigan: Mr. Universe</v>
      </c>
      <c r="U3571" s="5" t="str">
        <f>IFERROR(__xludf.DUMMYFUNCTION("""COMPUTED_VALUE"""),"Scott Hicks")</f>
        <v>Scott Hicks</v>
      </c>
      <c r="V3571" s="5" t="s">
        <v>19515</v>
      </c>
      <c r="W3571" s="5" t="str">
        <f t="shared" si="3"/>
        <v>Robert Schwentke</v>
      </c>
      <c r="X3571" s="5">
        <f t="shared" si="4"/>
        <v>1</v>
      </c>
      <c r="Y3571" s="5" t="str">
        <f>IFERROR(__xludf.DUMMYFUNCTION("REGEXEXTRACT(J3571, ""^\d+"")"),"98")</f>
        <v>98</v>
      </c>
      <c r="Z3571" s="5" t="str">
        <f>IFERROR(__xludf.DUMMYFUNCTION("REGEXEXTRACT(J3571, ""[A-Za-z ]+$"")")," min")</f>
        <v> min</v>
      </c>
      <c r="AA3571" s="5" t="str">
        <f>IFERROR(__xludf.DUMMYFUNCTION("IF(REGEXMATCH(Z3571, ""Season""), ""TV Show"", ""Movie"")"),"Movie")</f>
        <v>Movie</v>
      </c>
    </row>
    <row r="3572">
      <c r="A3572" s="1" t="s">
        <v>19516</v>
      </c>
      <c r="B3572" s="1" t="s">
        <v>27</v>
      </c>
      <c r="C3572" s="1" t="s">
        <v>19517</v>
      </c>
      <c r="D3572" s="1" t="s">
        <v>2646</v>
      </c>
      <c r="E3572" s="1" t="s">
        <v>19510</v>
      </c>
      <c r="G3572" s="1" t="s">
        <v>19506</v>
      </c>
      <c r="H3572" s="1">
        <v>2019.0</v>
      </c>
      <c r="I3572" s="1" t="s">
        <v>42</v>
      </c>
      <c r="J3572" s="1" t="s">
        <v>357</v>
      </c>
      <c r="K3572" s="1" t="s">
        <v>1592</v>
      </c>
      <c r="L3572" s="1" t="s">
        <v>19518</v>
      </c>
      <c r="M3572" s="2" t="s">
        <v>12</v>
      </c>
      <c r="N3572" s="4">
        <f t="shared" si="1"/>
        <v>43698</v>
      </c>
      <c r="O3572" s="5" t="str">
        <f>IFERROR(__xludf.DUMMYFUNCTION("IF(REGEXMATCH(TRIM(I3572), ""^\d+\s*min""), ""Unclassified"", IF(I3572 = """", ""NR"", I3572))"),"TV-MA")</f>
        <v>TV-MA</v>
      </c>
      <c r="R3572" s="5" t="str">
        <f t="shared" si="2"/>
        <v>Game Over (Telugu Version)</v>
      </c>
      <c r="S3572" s="5" t="str">
        <f>IFERROR(__xludf.DUMMYFUNCTION("""COMPUTED_VALUE"""),"Jim Gaffigan: Obsessed")</f>
        <v>Jim Gaffigan: Obsessed</v>
      </c>
      <c r="U3572" s="5" t="str">
        <f>IFERROR(__xludf.DUMMYFUNCTION("""COMPUTED_VALUE"""),"Lucy Van Beek")</f>
        <v>Lucy Van Beek</v>
      </c>
      <c r="V3572" s="5" t="s">
        <v>19519</v>
      </c>
      <c r="W3572" s="5" t="str">
        <f t="shared" si="3"/>
        <v>Robert Smigel</v>
      </c>
      <c r="X3572" s="5">
        <f t="shared" si="4"/>
        <v>1</v>
      </c>
      <c r="Y3572" s="5" t="str">
        <f>IFERROR(__xludf.DUMMYFUNCTION("REGEXEXTRACT(J3572, ""^\d+"")"),"98")</f>
        <v>98</v>
      </c>
      <c r="Z3572" s="5" t="str">
        <f>IFERROR(__xludf.DUMMYFUNCTION("REGEXEXTRACT(J3572, ""[A-Za-z ]+$"")")," min")</f>
        <v> min</v>
      </c>
      <c r="AA3572" s="5" t="str">
        <f>IFERROR(__xludf.DUMMYFUNCTION("IF(REGEXMATCH(Z3572, ""Season""), ""TV Show"", ""Movie"")"),"Movie")</f>
        <v>Movie</v>
      </c>
    </row>
    <row r="3573">
      <c r="A3573" s="1" t="s">
        <v>19520</v>
      </c>
      <c r="B3573" s="1" t="s">
        <v>37</v>
      </c>
      <c r="C3573" s="1" t="s">
        <v>19521</v>
      </c>
      <c r="E3573" s="1" t="s">
        <v>19522</v>
      </c>
      <c r="F3573" s="1" t="s">
        <v>30</v>
      </c>
      <c r="G3573" s="1" t="s">
        <v>19506</v>
      </c>
      <c r="H3573" s="1">
        <v>2019.0</v>
      </c>
      <c r="I3573" s="1" t="s">
        <v>136</v>
      </c>
      <c r="J3573" s="1" t="s">
        <v>51</v>
      </c>
      <c r="K3573" s="1" t="s">
        <v>440</v>
      </c>
      <c r="L3573" s="1" t="s">
        <v>19523</v>
      </c>
      <c r="M3573" s="2" t="s">
        <v>12</v>
      </c>
      <c r="N3573" s="4">
        <f t="shared" si="1"/>
        <v>43698</v>
      </c>
      <c r="O3573" s="5" t="str">
        <f>IFERROR(__xludf.DUMMYFUNCTION("IF(REGEXMATCH(TRIM(I3573), ""^\d+\s*min""), ""Unclassified"", IF(I3573 = """", ""NR"", I3573))"),"TV-PG")</f>
        <v>TV-PG</v>
      </c>
      <c r="R3573" s="5" t="str">
        <f t="shared" si="2"/>
        <v>Hyperdrive</v>
      </c>
      <c r="S3573" s="5" t="str">
        <f>IFERROR(__xludf.DUMMYFUNCTION("""COMPUTED_VALUE"""),"Jim Jefferies : Bare")</f>
        <v>Jim Jefferies : Bare</v>
      </c>
      <c r="U3573" s="5" t="str">
        <f>IFERROR(__xludf.DUMMYFUNCTION("""COMPUTED_VALUE"""),"Jennifer Lynch")</f>
        <v>Jennifer Lynch</v>
      </c>
      <c r="V3573" s="5" t="s">
        <v>19524</v>
      </c>
      <c r="W3573" s="5" t="str">
        <f t="shared" si="3"/>
        <v>Robert Tate</v>
      </c>
      <c r="X3573" s="5">
        <f t="shared" si="4"/>
        <v>1</v>
      </c>
      <c r="Y3573" s="5" t="str">
        <f>IFERROR(__xludf.DUMMYFUNCTION("REGEXEXTRACT(J3573, ""^\d+"")"),"1")</f>
        <v>1</v>
      </c>
      <c r="Z3573" s="5" t="str">
        <f>IFERROR(__xludf.DUMMYFUNCTION("REGEXEXTRACT(J3573, ""[A-Za-z ]+$"")")," Season")</f>
        <v> Season</v>
      </c>
      <c r="AA3573" s="5" t="str">
        <f>IFERROR(__xludf.DUMMYFUNCTION("IF(REGEXMATCH(Z3573, ""Season""), ""TV Show"", ""Movie"")"),"TV Show")</f>
        <v>TV Show</v>
      </c>
    </row>
    <row r="3574">
      <c r="A3574" s="1" t="s">
        <v>19525</v>
      </c>
      <c r="B3574" s="1" t="s">
        <v>27</v>
      </c>
      <c r="C3574" s="1" t="s">
        <v>19526</v>
      </c>
      <c r="D3574" s="1" t="s">
        <v>8995</v>
      </c>
      <c r="E3574" s="1" t="s">
        <v>19527</v>
      </c>
      <c r="F3574" s="1" t="s">
        <v>4287</v>
      </c>
      <c r="G3574" s="1" t="s">
        <v>19506</v>
      </c>
      <c r="H3574" s="1">
        <v>2018.0</v>
      </c>
      <c r="I3574" s="1" t="s">
        <v>42</v>
      </c>
      <c r="J3574" s="1" t="s">
        <v>106</v>
      </c>
      <c r="K3574" s="1" t="s">
        <v>3183</v>
      </c>
      <c r="L3574" s="1" t="s">
        <v>19528</v>
      </c>
      <c r="M3574" s="2" t="s">
        <v>12</v>
      </c>
      <c r="N3574" s="4">
        <f t="shared" si="1"/>
        <v>43698</v>
      </c>
      <c r="O3574" s="5" t="str">
        <f>IFERROR(__xludf.DUMMYFUNCTION("IF(REGEXMATCH(TRIM(I3574), ""^\d+\s*min""), ""Unclassified"", IF(I3574 = """", ""NR"", I3574))"),"TV-MA")</f>
        <v>TV-MA</v>
      </c>
      <c r="R3574" s="5" t="str">
        <f t="shared" si="2"/>
        <v>The Girl Allergic To Wi-Fi</v>
      </c>
      <c r="S3574" s="5" t="str">
        <f>IFERROR(__xludf.DUMMYFUNCTION("""COMPUTED_VALUE"""),"Jim Jefferies: Freedumb")</f>
        <v>Jim Jefferies: Freedumb</v>
      </c>
      <c r="U3574" s="5" t="str">
        <f>IFERROR(__xludf.DUMMYFUNCTION("""COMPUTED_VALUE"""),"Vishnu Govindhan")</f>
        <v>Vishnu Govindhan</v>
      </c>
      <c r="V3574" s="5" t="s">
        <v>8525</v>
      </c>
      <c r="W3574" s="5" t="str">
        <f t="shared" si="3"/>
        <v>Robert Townsend</v>
      </c>
      <c r="X3574" s="5">
        <f t="shared" si="4"/>
        <v>1</v>
      </c>
      <c r="Y3574" s="5" t="str">
        <f>IFERROR(__xludf.DUMMYFUNCTION("REGEXEXTRACT(J3574, ""^\d+"")"),"104")</f>
        <v>104</v>
      </c>
      <c r="Z3574" s="5" t="str">
        <f>IFERROR(__xludf.DUMMYFUNCTION("REGEXEXTRACT(J3574, ""[A-Za-z ]+$"")")," min")</f>
        <v> min</v>
      </c>
      <c r="AA3574" s="5" t="str">
        <f>IFERROR(__xludf.DUMMYFUNCTION("IF(REGEXMATCH(Z3574, ""Season""), ""TV Show"", ""Movie"")"),"Movie")</f>
        <v>Movie</v>
      </c>
    </row>
    <row r="3575">
      <c r="A3575" s="1" t="s">
        <v>19529</v>
      </c>
      <c r="B3575" s="1" t="s">
        <v>27</v>
      </c>
      <c r="C3575" s="1" t="s">
        <v>19530</v>
      </c>
      <c r="E3575" s="1" t="s">
        <v>5968</v>
      </c>
      <c r="F3575" s="1" t="s">
        <v>96</v>
      </c>
      <c r="G3575" s="1" t="s">
        <v>19531</v>
      </c>
      <c r="H3575" s="1">
        <v>2019.0</v>
      </c>
      <c r="I3575" s="1" t="s">
        <v>506</v>
      </c>
      <c r="J3575" s="1" t="s">
        <v>919</v>
      </c>
      <c r="K3575" s="1" t="s">
        <v>34</v>
      </c>
      <c r="L3575" s="1" t="s">
        <v>19532</v>
      </c>
      <c r="M3575" s="2" t="s">
        <v>12</v>
      </c>
      <c r="N3575" s="4">
        <f t="shared" si="1"/>
        <v>43697</v>
      </c>
      <c r="O3575" s="5" t="str">
        <f>IFERROR(__xludf.DUMMYFUNCTION("IF(REGEXMATCH(TRIM(I3575), ""^\d+\s*min""), ""Unclassified"", IF(I3575 = """", ""NR"", I3575))"),"TV-G")</f>
        <v>TV-G</v>
      </c>
      <c r="R3575" s="5" t="str">
        <f t="shared" si="2"/>
        <v>Our Planet - Behind The Scenes</v>
      </c>
      <c r="S3575" s="5" t="str">
        <f>IFERROR(__xludf.DUMMYFUNCTION("""COMPUTED_VALUE"""),"Jim Jefferies: Intolerant")</f>
        <v>Jim Jefferies: Intolerant</v>
      </c>
      <c r="U3575" s="5" t="str">
        <f>IFERROR(__xludf.DUMMYFUNCTION("""COMPUTED_VALUE"""),"Daniel Ablin")</f>
        <v>Daniel Ablin</v>
      </c>
      <c r="V3575" s="5" t="s">
        <v>19533</v>
      </c>
      <c r="W3575" s="5" t="str">
        <f t="shared" si="3"/>
        <v>Robert Vince</v>
      </c>
      <c r="X3575" s="5">
        <f t="shared" si="4"/>
        <v>6</v>
      </c>
      <c r="Y3575" s="5" t="str">
        <f>IFERROR(__xludf.DUMMYFUNCTION("REGEXEXTRACT(J3575, ""^\d+"")"),"63")</f>
        <v>63</v>
      </c>
      <c r="Z3575" s="5" t="str">
        <f>IFERROR(__xludf.DUMMYFUNCTION("REGEXEXTRACT(J3575, ""[A-Za-z ]+$"")")," min")</f>
        <v> min</v>
      </c>
      <c r="AA3575" s="5" t="str">
        <f>IFERROR(__xludf.DUMMYFUNCTION("IF(REGEXMATCH(Z3575, ""Season""), ""TV Show"", ""Movie"")"),"Movie")</f>
        <v>Movie</v>
      </c>
    </row>
    <row r="3576">
      <c r="A3576" s="1" t="s">
        <v>19534</v>
      </c>
      <c r="B3576" s="1" t="s">
        <v>27</v>
      </c>
      <c r="C3576" s="1" t="s">
        <v>19535</v>
      </c>
      <c r="D3576" s="1" t="s">
        <v>12042</v>
      </c>
      <c r="E3576" s="1" t="s">
        <v>19536</v>
      </c>
      <c r="F3576" s="1" t="s">
        <v>96</v>
      </c>
      <c r="G3576" s="1" t="s">
        <v>19531</v>
      </c>
      <c r="H3576" s="1">
        <v>2019.0</v>
      </c>
      <c r="I3576" s="1" t="s">
        <v>42</v>
      </c>
      <c r="J3576" s="1" t="s">
        <v>8095</v>
      </c>
      <c r="K3576" s="1" t="s">
        <v>1839</v>
      </c>
      <c r="L3576" s="1" t="s">
        <v>19537</v>
      </c>
      <c r="M3576" s="2" t="s">
        <v>12</v>
      </c>
      <c r="N3576" s="4">
        <f t="shared" si="1"/>
        <v>43697</v>
      </c>
      <c r="O3576" s="5" t="str">
        <f>IFERROR(__xludf.DUMMYFUNCTION("IF(REGEXMATCH(TRIM(I3576), ""^\d+\s*min""), ""Unclassified"", IF(I3576 = """", ""NR"", I3576))"),"TV-MA")</f>
        <v>TV-MA</v>
      </c>
      <c r="R3576" s="5" t="str">
        <f t="shared" si="2"/>
        <v>Simon Amstell: Set Free</v>
      </c>
      <c r="S3576" s="5" t="str">
        <f>IFERROR(__xludf.DUMMYFUNCTION("""COMPUTED_VALUE"""),"Jim Jefferies: This Is Me Now")</f>
        <v>Jim Jefferies: This Is Me Now</v>
      </c>
      <c r="U3576" s="5" t="str">
        <f>IFERROR(__xludf.DUMMYFUNCTION("""COMPUTED_VALUE"""),"Asim Raza")</f>
        <v>Asim Raza</v>
      </c>
      <c r="V3576" s="5" t="s">
        <v>2135</v>
      </c>
      <c r="W3576" s="5" t="str">
        <f t="shared" si="3"/>
        <v>Robert Zemeckis</v>
      </c>
      <c r="X3576" s="5">
        <f t="shared" si="4"/>
        <v>3</v>
      </c>
      <c r="Y3576" s="5" t="str">
        <f>IFERROR(__xludf.DUMMYFUNCTION("REGEXEXTRACT(J3576, ""^\d+"")"),"52")</f>
        <v>52</v>
      </c>
      <c r="Z3576" s="5" t="str">
        <f>IFERROR(__xludf.DUMMYFUNCTION("REGEXEXTRACT(J3576, ""[A-Za-z ]+$"")")," min")</f>
        <v> min</v>
      </c>
      <c r="AA3576" s="5" t="str">
        <f>IFERROR(__xludf.DUMMYFUNCTION("IF(REGEXMATCH(Z3576, ""Season""), ""TV Show"", ""Movie"")"),"Movie")</f>
        <v>Movie</v>
      </c>
    </row>
    <row r="3577">
      <c r="A3577" s="1" t="s">
        <v>19538</v>
      </c>
      <c r="B3577" s="1" t="s">
        <v>37</v>
      </c>
      <c r="C3577" s="1" t="s">
        <v>19539</v>
      </c>
      <c r="E3577" s="1" t="s">
        <v>19540</v>
      </c>
      <c r="F3577" s="1" t="s">
        <v>784</v>
      </c>
      <c r="G3577" s="1" t="s">
        <v>19541</v>
      </c>
      <c r="H3577" s="1">
        <v>2019.0</v>
      </c>
      <c r="I3577" s="1" t="s">
        <v>42</v>
      </c>
      <c r="J3577" s="1" t="s">
        <v>51</v>
      </c>
      <c r="K3577" s="1" t="s">
        <v>1822</v>
      </c>
      <c r="L3577" s="1" t="s">
        <v>19542</v>
      </c>
      <c r="M3577" s="2" t="s">
        <v>12</v>
      </c>
      <c r="N3577" s="4">
        <f t="shared" si="1"/>
        <v>43693</v>
      </c>
      <c r="O3577" s="5" t="str">
        <f>IFERROR(__xludf.DUMMYFUNCTION("IF(REGEXMATCH(TRIM(I3577), ""^\d+\s*min""), ""Unclassified"", IF(I3577 = """", ""NR"", I3577))"),"TV-MA")</f>
        <v>TV-MA</v>
      </c>
      <c r="R3577" s="5" t="str">
        <f t="shared" si="2"/>
        <v>45 Rpm</v>
      </c>
      <c r="S3577" s="5" t="str">
        <f>IFERROR(__xludf.DUMMYFUNCTION("""COMPUTED_VALUE"""),"Jim Norton: Mouthful Of Shame")</f>
        <v>Jim Norton: Mouthful Of Shame</v>
      </c>
      <c r="U3577" s="5" t="str">
        <f>IFERROR(__xludf.DUMMYFUNCTION("""COMPUTED_VALUE"""),"Ali Taner Baltacı, Cem Yılmaz")</f>
        <v>Ali Taner Baltacı, Cem Yılmaz</v>
      </c>
      <c r="V3577" s="5" t="s">
        <v>19543</v>
      </c>
      <c r="W3577" s="5" t="str">
        <f t="shared" si="3"/>
        <v>Roberta Grossman, Sophie Sartain</v>
      </c>
      <c r="X3577" s="5">
        <f t="shared" si="4"/>
        <v>1</v>
      </c>
      <c r="Y3577" s="5" t="str">
        <f>IFERROR(__xludf.DUMMYFUNCTION("REGEXEXTRACT(J3577, ""^\d+"")"),"1")</f>
        <v>1</v>
      </c>
      <c r="Z3577" s="5" t="str">
        <f>IFERROR(__xludf.DUMMYFUNCTION("REGEXEXTRACT(J3577, ""[A-Za-z ]+$"")")," Season")</f>
        <v> Season</v>
      </c>
      <c r="AA3577" s="5" t="str">
        <f>IFERROR(__xludf.DUMMYFUNCTION("IF(REGEXMATCH(Z3577, ""Season""), ""TV Show"", ""Movie"")"),"TV Show")</f>
        <v>TV Show</v>
      </c>
    </row>
    <row r="3578">
      <c r="A3578" s="1" t="s">
        <v>19544</v>
      </c>
      <c r="B3578" s="1" t="s">
        <v>37</v>
      </c>
      <c r="C3578" s="1" t="s">
        <v>19545</v>
      </c>
      <c r="E3578" s="1" t="s">
        <v>19546</v>
      </c>
      <c r="F3578" s="1" t="s">
        <v>1815</v>
      </c>
      <c r="G3578" s="1" t="s">
        <v>19541</v>
      </c>
      <c r="H3578" s="1">
        <v>2019.0</v>
      </c>
      <c r="I3578" s="1" t="s">
        <v>42</v>
      </c>
      <c r="J3578" s="1" t="s">
        <v>51</v>
      </c>
      <c r="K3578" s="1" t="s">
        <v>785</v>
      </c>
      <c r="L3578" s="1" t="s">
        <v>19547</v>
      </c>
      <c r="M3578" s="2" t="s">
        <v>12</v>
      </c>
      <c r="N3578" s="4">
        <f t="shared" si="1"/>
        <v>43693</v>
      </c>
      <c r="O3578" s="5" t="str">
        <f>IFERROR(__xludf.DUMMYFUNCTION("IF(REGEXMATCH(TRIM(I3578), ""^\d+\s*min""), ""Unclassified"", IF(I3578 = """", ""NR"", I3578))"),"TV-MA")</f>
        <v>TV-MA</v>
      </c>
      <c r="R3578" s="5" t="str">
        <f t="shared" si="2"/>
        <v>Apache: The Life Of Carlos Tevez</v>
      </c>
      <c r="S3578" s="5" t="str">
        <f>IFERROR(__xludf.DUMMYFUNCTION("""COMPUTED_VALUE"""),"Jimi Hendrix")</f>
        <v>Jimi Hendrix</v>
      </c>
      <c r="U3578" s="5" t="str">
        <f>IFERROR(__xludf.DUMMYFUNCTION("""COMPUTED_VALUE"""),"Neil Armfield")</f>
        <v>Neil Armfield</v>
      </c>
      <c r="V3578" s="5" t="s">
        <v>2936</v>
      </c>
      <c r="W3578" s="5" t="str">
        <f t="shared" si="3"/>
        <v>Roberto De Feo, Paolo Strippoli</v>
      </c>
      <c r="X3578" s="5">
        <f t="shared" si="4"/>
        <v>1</v>
      </c>
      <c r="Y3578" s="5" t="str">
        <f>IFERROR(__xludf.DUMMYFUNCTION("REGEXEXTRACT(J3578, ""^\d+"")"),"1")</f>
        <v>1</v>
      </c>
      <c r="Z3578" s="5" t="str">
        <f>IFERROR(__xludf.DUMMYFUNCTION("REGEXEXTRACT(J3578, ""[A-Za-z ]+$"")")," Season")</f>
        <v> Season</v>
      </c>
      <c r="AA3578" s="5" t="str">
        <f>IFERROR(__xludf.DUMMYFUNCTION("IF(REGEXMATCH(Z3578, ""Season""), ""TV Show"", ""Movie"")"),"TV Show")</f>
        <v>TV Show</v>
      </c>
    </row>
    <row r="3579">
      <c r="A3579" s="1" t="s">
        <v>19548</v>
      </c>
      <c r="B3579" s="1" t="s">
        <v>37</v>
      </c>
      <c r="C3579" s="1" t="s">
        <v>19549</v>
      </c>
      <c r="E3579" s="1" t="s">
        <v>19550</v>
      </c>
      <c r="F3579" s="1" t="s">
        <v>1078</v>
      </c>
      <c r="G3579" s="1" t="s">
        <v>19541</v>
      </c>
      <c r="H3579" s="1">
        <v>2019.0</v>
      </c>
      <c r="I3579" s="1" t="s">
        <v>42</v>
      </c>
      <c r="J3579" s="1" t="s">
        <v>51</v>
      </c>
      <c r="K3579" s="1" t="s">
        <v>1362</v>
      </c>
      <c r="L3579" s="1" t="s">
        <v>19551</v>
      </c>
      <c r="M3579" s="2" t="s">
        <v>12</v>
      </c>
      <c r="N3579" s="4">
        <f t="shared" si="1"/>
        <v>43693</v>
      </c>
      <c r="O3579" s="5" t="str">
        <f>IFERROR(__xludf.DUMMYFUNCTION("IF(REGEXMATCH(TRIM(I3579), ""^\d+\s*min""), ""Unclassified"", IF(I3579 = """", ""NR"", I3579))"),"TV-MA")</f>
        <v>TV-MA</v>
      </c>
      <c r="R3579" s="5" t="str">
        <f t="shared" si="2"/>
        <v>Better Than Us</v>
      </c>
      <c r="S3579" s="5" t="str">
        <f>IFERROR(__xludf.DUMMYFUNCTION("""COMPUTED_VALUE"""),"Jimmy Carr: Funny Business")</f>
        <v>Jimmy Carr: Funny Business</v>
      </c>
      <c r="U3579" s="5" t="str">
        <f>IFERROR(__xludf.DUMMYFUNCTION("""COMPUTED_VALUE"""),"Anthony Scott Burns, Nicholas Mccarthy, Adam Egypt Mortimer, Gary Shore, Kevin Smith, Sarah Adina Smith, Scott Stewart, Kevin Kolsch, Dennis Widmyer")</f>
        <v>Anthony Scott Burns, Nicholas Mccarthy, Adam Egypt Mortimer, Gary Shore, Kevin Smith, Sarah Adina Smith, Scott Stewart, Kevin Kolsch, Dennis Widmyer</v>
      </c>
      <c r="V3579" s="5" t="s">
        <v>19552</v>
      </c>
      <c r="W3579" s="5" t="str">
        <f t="shared" si="3"/>
        <v>Roberto Girault Facha</v>
      </c>
      <c r="X3579" s="5">
        <f t="shared" si="4"/>
        <v>1</v>
      </c>
      <c r="Y3579" s="5" t="str">
        <f>IFERROR(__xludf.DUMMYFUNCTION("REGEXEXTRACT(J3579, ""^\d+"")"),"1")</f>
        <v>1</v>
      </c>
      <c r="Z3579" s="5" t="str">
        <f>IFERROR(__xludf.DUMMYFUNCTION("REGEXEXTRACT(J3579, ""[A-Za-z ]+$"")")," Season")</f>
        <v> Season</v>
      </c>
      <c r="AA3579" s="5" t="str">
        <f>IFERROR(__xludf.DUMMYFUNCTION("IF(REGEXMATCH(Z3579, ""Season""), ""TV Show"", ""Movie"")"),"TV Show")</f>
        <v>TV Show</v>
      </c>
    </row>
    <row r="3580">
      <c r="A3580" s="1" t="s">
        <v>19553</v>
      </c>
      <c r="B3580" s="1" t="s">
        <v>37</v>
      </c>
      <c r="C3580" s="1" t="s">
        <v>19554</v>
      </c>
      <c r="E3580" s="1" t="s">
        <v>19555</v>
      </c>
      <c r="F3580" s="1" t="s">
        <v>30</v>
      </c>
      <c r="G3580" s="1" t="s">
        <v>19541</v>
      </c>
      <c r="H3580" s="1">
        <v>2019.0</v>
      </c>
      <c r="I3580" s="1" t="s">
        <v>97</v>
      </c>
      <c r="J3580" s="1" t="s">
        <v>51</v>
      </c>
      <c r="K3580" s="1" t="s">
        <v>736</v>
      </c>
      <c r="L3580" s="1" t="s">
        <v>19556</v>
      </c>
      <c r="M3580" s="2" t="s">
        <v>12</v>
      </c>
      <c r="N3580" s="4">
        <f t="shared" si="1"/>
        <v>43693</v>
      </c>
      <c r="O3580" s="5" t="str">
        <f>IFERROR(__xludf.DUMMYFUNCTION("IF(REGEXMATCH(TRIM(I3580), ""^\d+\s*min""), ""Unclassified"", IF(I3580 = """", ""NR"", I3580))"),"TV-14")</f>
        <v>TV-14</v>
      </c>
      <c r="R3580" s="5" t="str">
        <f t="shared" si="2"/>
        <v>Diagnosis</v>
      </c>
      <c r="S3580" s="5" t="str">
        <f>IFERROR(__xludf.DUMMYFUNCTION("""COMPUTED_VALUE"""),"Jimmy Carr: The Best Of Ultimate Gold Greatest Hits")</f>
        <v>Jimmy Carr: The Best Of Ultimate Gold Greatest Hits</v>
      </c>
      <c r="U3580" s="5" t="str">
        <f>IFERROR(__xludf.DUMMYFUNCTION("""COMPUTED_VALUE"""),"Will Allen")</f>
        <v>Will Allen</v>
      </c>
      <c r="V3580" s="5" t="s">
        <v>9355</v>
      </c>
      <c r="W3580" s="5" t="str">
        <f t="shared" si="3"/>
        <v>Roberto Santucci</v>
      </c>
      <c r="X3580" s="5">
        <f t="shared" si="4"/>
        <v>1</v>
      </c>
      <c r="Y3580" s="5" t="str">
        <f>IFERROR(__xludf.DUMMYFUNCTION("REGEXEXTRACT(J3580, ""^\d+"")"),"1")</f>
        <v>1</v>
      </c>
      <c r="Z3580" s="5" t="str">
        <f>IFERROR(__xludf.DUMMYFUNCTION("REGEXEXTRACT(J3580, ""[A-Za-z ]+$"")")," Season")</f>
        <v> Season</v>
      </c>
      <c r="AA3580" s="5" t="str">
        <f>IFERROR(__xludf.DUMMYFUNCTION("IF(REGEXMATCH(Z3580, ""Season""), ""TV Show"", ""Movie"")"),"TV Show")</f>
        <v>TV Show</v>
      </c>
    </row>
    <row r="3581">
      <c r="A3581" s="1" t="s">
        <v>19557</v>
      </c>
      <c r="B3581" s="1" t="s">
        <v>37</v>
      </c>
      <c r="C3581" s="1" t="s">
        <v>19558</v>
      </c>
      <c r="E3581" s="1" t="s">
        <v>19559</v>
      </c>
      <c r="F3581" s="1" t="s">
        <v>1837</v>
      </c>
      <c r="G3581" s="1" t="s">
        <v>19541</v>
      </c>
      <c r="H3581" s="1">
        <v>2019.0</v>
      </c>
      <c r="I3581" s="1" t="s">
        <v>42</v>
      </c>
      <c r="J3581" s="1" t="s">
        <v>51</v>
      </c>
      <c r="K3581" s="1" t="s">
        <v>785</v>
      </c>
      <c r="L3581" s="1" t="s">
        <v>19560</v>
      </c>
      <c r="M3581" s="2" t="s">
        <v>12</v>
      </c>
      <c r="N3581" s="4">
        <f t="shared" si="1"/>
        <v>43693</v>
      </c>
      <c r="O3581" s="5" t="str">
        <f>IFERROR(__xludf.DUMMYFUNCTION("IF(REGEXMATCH(TRIM(I3581), ""^\d+\s*min""), ""Unclassified"", IF(I3581 = """", ""NR"", I3581))"),"TV-MA")</f>
        <v>TV-MA</v>
      </c>
      <c r="R3581" s="5" t="str">
        <f t="shared" si="2"/>
        <v>Green Frontier</v>
      </c>
      <c r="S3581" s="5" t="str">
        <f>IFERROR(__xludf.DUMMYFUNCTION("""COMPUTED_VALUE"""),"Jimmy Neutron: Boy Genius")</f>
        <v>Jimmy Neutron: Boy Genius</v>
      </c>
      <c r="U3581" s="5" t="str">
        <f>IFERROR(__xludf.DUMMYFUNCTION("""COMPUTED_VALUE"""),"Note Chern-Yim")</f>
        <v>Note Chern-Yim</v>
      </c>
      <c r="V3581" s="5" t="s">
        <v>19561</v>
      </c>
      <c r="W3581" s="5" t="str">
        <f t="shared" si="3"/>
        <v>Robi Michael</v>
      </c>
      <c r="X3581" s="5">
        <f t="shared" si="4"/>
        <v>1</v>
      </c>
      <c r="Y3581" s="5" t="str">
        <f>IFERROR(__xludf.DUMMYFUNCTION("REGEXEXTRACT(J3581, ""^\d+"")"),"1")</f>
        <v>1</v>
      </c>
      <c r="Z3581" s="5" t="str">
        <f>IFERROR(__xludf.DUMMYFUNCTION("REGEXEXTRACT(J3581, ""[A-Za-z ]+$"")")," Season")</f>
        <v> Season</v>
      </c>
      <c r="AA3581" s="5" t="str">
        <f>IFERROR(__xludf.DUMMYFUNCTION("IF(REGEXMATCH(Z3581, ""Season""), ""TV Show"", ""Movie"")"),"TV Show")</f>
        <v>TV Show</v>
      </c>
    </row>
    <row r="3582">
      <c r="A3582" s="1" t="s">
        <v>19562</v>
      </c>
      <c r="B3582" s="1" t="s">
        <v>27</v>
      </c>
      <c r="C3582" s="1" t="s">
        <v>19563</v>
      </c>
      <c r="E3582" s="1" t="s">
        <v>19564</v>
      </c>
      <c r="F3582" s="1" t="s">
        <v>15770</v>
      </c>
      <c r="G3582" s="1" t="s">
        <v>19541</v>
      </c>
      <c r="H3582" s="1">
        <v>2019.0</v>
      </c>
      <c r="I3582" s="1" t="s">
        <v>289</v>
      </c>
      <c r="J3582" s="1" t="s">
        <v>4699</v>
      </c>
      <c r="K3582" s="1" t="s">
        <v>2155</v>
      </c>
      <c r="L3582" s="1" t="s">
        <v>19565</v>
      </c>
      <c r="M3582" s="2" t="s">
        <v>12</v>
      </c>
      <c r="N3582" s="4">
        <f t="shared" si="1"/>
        <v>43693</v>
      </c>
      <c r="O3582" s="5" t="str">
        <f>IFERROR(__xludf.DUMMYFUNCTION("IF(REGEXMATCH(TRIM(I3582), ""^\d+\s*min""), ""Unclassified"", IF(I3582 = """", ""NR"", I3582))"),"TV-Y7")</f>
        <v>TV-Y7</v>
      </c>
      <c r="R3582" s="5" t="str">
        <f t="shared" si="2"/>
        <v>Invader Zim: Enter The Florpus</v>
      </c>
      <c r="S3582" s="5" t="str">
        <f>IFERROR(__xludf.DUMMYFUNCTION("""COMPUTED_VALUE"""),"Jimmy: The True Story Of A True Idiot")</f>
        <v>Jimmy: The True Story Of A True Idiot</v>
      </c>
      <c r="U3582" s="5" t="str">
        <f>IFERROR(__xludf.DUMMYFUNCTION("""COMPUTED_VALUE"""),"Rakshith Thirthahalli")</f>
        <v>Rakshith Thirthahalli</v>
      </c>
      <c r="V3582" s="5" t="s">
        <v>19566</v>
      </c>
      <c r="W3582" s="5" t="str">
        <f t="shared" si="3"/>
        <v>Robin Aubert</v>
      </c>
      <c r="X3582" s="5">
        <f t="shared" si="4"/>
        <v>1</v>
      </c>
      <c r="Y3582" s="5" t="str">
        <f>IFERROR(__xludf.DUMMYFUNCTION("REGEXEXTRACT(J3582, ""^\d+"")"),"72")</f>
        <v>72</v>
      </c>
      <c r="Z3582" s="5" t="str">
        <f>IFERROR(__xludf.DUMMYFUNCTION("REGEXEXTRACT(J3582, ""[A-Za-z ]+$"")")," min")</f>
        <v> min</v>
      </c>
      <c r="AA3582" s="5" t="str">
        <f>IFERROR(__xludf.DUMMYFUNCTION("IF(REGEXMATCH(Z3582, ""Season""), ""TV Show"", ""Movie"")"),"Movie")</f>
        <v>Movie</v>
      </c>
    </row>
    <row r="3583">
      <c r="A3583" s="1" t="s">
        <v>19567</v>
      </c>
      <c r="B3583" s="1" t="s">
        <v>37</v>
      </c>
      <c r="C3583" s="1" t="s">
        <v>19568</v>
      </c>
      <c r="E3583" s="1" t="s">
        <v>19569</v>
      </c>
      <c r="F3583" s="1" t="s">
        <v>30</v>
      </c>
      <c r="G3583" s="1" t="s">
        <v>19541</v>
      </c>
      <c r="H3583" s="1">
        <v>2019.0</v>
      </c>
      <c r="I3583" s="1" t="s">
        <v>42</v>
      </c>
      <c r="J3583" s="1" t="s">
        <v>43</v>
      </c>
      <c r="K3583" s="1" t="s">
        <v>1510</v>
      </c>
      <c r="L3583" s="1" t="s">
        <v>19570</v>
      </c>
      <c r="M3583" s="2" t="s">
        <v>12</v>
      </c>
      <c r="N3583" s="4">
        <f t="shared" si="1"/>
        <v>43693</v>
      </c>
      <c r="O3583" s="5" t="str">
        <f>IFERROR(__xludf.DUMMYFUNCTION("IF(REGEXMATCH(TRIM(I3583), ""^\d+\s*min""), ""Unclassified"", IF(I3583 = """", ""NR"", I3583))"),"TV-MA")</f>
        <v>TV-MA</v>
      </c>
      <c r="R3583" s="5" t="str">
        <f t="shared" si="2"/>
        <v>Mindhunter</v>
      </c>
      <c r="S3583" s="5" t="str">
        <f>IFERROR(__xludf.DUMMYFUNCTION("""COMPUTED_VALUE"""),"Jindua")</f>
        <v>Jindua</v>
      </c>
      <c r="U3583" s="5" t="str">
        <f>IFERROR(__xludf.DUMMYFUNCTION("""COMPUTED_VALUE"""),"Anindya Chatterjee")</f>
        <v>Anindya Chatterjee</v>
      </c>
      <c r="V3583" s="5" t="s">
        <v>3719</v>
      </c>
      <c r="W3583" s="5" t="str">
        <f t="shared" si="3"/>
        <v>Robin Bissell</v>
      </c>
      <c r="X3583" s="5">
        <f t="shared" si="4"/>
        <v>1</v>
      </c>
      <c r="Y3583" s="5" t="str">
        <f>IFERROR(__xludf.DUMMYFUNCTION("REGEXEXTRACT(J3583, ""^\d+"")"),"2")</f>
        <v>2</v>
      </c>
      <c r="Z3583" s="5" t="str">
        <f>IFERROR(__xludf.DUMMYFUNCTION("REGEXEXTRACT(J3583, ""[A-Za-z ]+$"")")," Seasons")</f>
        <v> Seasons</v>
      </c>
      <c r="AA3583" s="5" t="str">
        <f>IFERROR(__xludf.DUMMYFUNCTION("IF(REGEXMATCH(Z3583, ""Season""), ""TV Show"", ""Movie"")"),"TV Show")</f>
        <v>TV Show</v>
      </c>
    </row>
    <row r="3584">
      <c r="A3584" s="1" t="s">
        <v>19571</v>
      </c>
      <c r="B3584" s="1" t="s">
        <v>27</v>
      </c>
      <c r="C3584" s="1" t="s">
        <v>19572</v>
      </c>
      <c r="D3584" s="1" t="s">
        <v>19573</v>
      </c>
      <c r="E3584" s="1" t="s">
        <v>19574</v>
      </c>
      <c r="F3584" s="1" t="s">
        <v>30</v>
      </c>
      <c r="G3584" s="1" t="s">
        <v>19541</v>
      </c>
      <c r="H3584" s="1">
        <v>2015.0</v>
      </c>
      <c r="I3584" s="1" t="s">
        <v>32</v>
      </c>
      <c r="J3584" s="1" t="s">
        <v>743</v>
      </c>
      <c r="K3584" s="1" t="s">
        <v>658</v>
      </c>
      <c r="L3584" s="1" t="s">
        <v>19575</v>
      </c>
      <c r="M3584" s="2" t="s">
        <v>12</v>
      </c>
      <c r="N3584" s="4">
        <f t="shared" si="1"/>
        <v>43693</v>
      </c>
      <c r="O3584" s="5" t="str">
        <f>IFERROR(__xludf.DUMMYFUNCTION("IF(REGEXMATCH(TRIM(I3584), ""^\d+\s*min""), ""Unclassified"", IF(I3584 = """", ""NR"", I3584))"),"PG-13")</f>
        <v>PG-13</v>
      </c>
      <c r="R3584" s="5" t="str">
        <f t="shared" si="2"/>
        <v>Selfless</v>
      </c>
      <c r="S3584" s="5" t="str">
        <f>IFERROR(__xludf.DUMMYFUNCTION("""COMPUTED_VALUE"""),"Jingle Jangle: A Christmas Journey")</f>
        <v>Jingle Jangle: A Christmas Journey</v>
      </c>
      <c r="U3584" s="5" t="str">
        <f>IFERROR(__xludf.DUMMYFUNCTION("""COMPUTED_VALUE"""),"Bille Woodruff")</f>
        <v>Bille Woodruff</v>
      </c>
      <c r="V3584" s="5" t="s">
        <v>19576</v>
      </c>
      <c r="W3584" s="5" t="str">
        <f t="shared" si="3"/>
        <v>Robin Swicord</v>
      </c>
      <c r="X3584" s="5">
        <f t="shared" si="4"/>
        <v>2</v>
      </c>
      <c r="Y3584" s="5" t="str">
        <f>IFERROR(__xludf.DUMMYFUNCTION("REGEXEXTRACT(J3584, ""^\d+"")"),"117")</f>
        <v>117</v>
      </c>
      <c r="Z3584" s="5" t="str">
        <f>IFERROR(__xludf.DUMMYFUNCTION("REGEXEXTRACT(J3584, ""[A-Za-z ]+$"")")," min")</f>
        <v> min</v>
      </c>
      <c r="AA3584" s="5" t="str">
        <f>IFERROR(__xludf.DUMMYFUNCTION("IF(REGEXMATCH(Z3584, ""Season""), ""TV Show"", ""Movie"")"),"Movie")</f>
        <v>Movie</v>
      </c>
    </row>
    <row r="3585">
      <c r="A3585" s="1" t="s">
        <v>19577</v>
      </c>
      <c r="B3585" s="1" t="s">
        <v>27</v>
      </c>
      <c r="C3585" s="1" t="s">
        <v>19578</v>
      </c>
      <c r="D3585" s="1" t="s">
        <v>4522</v>
      </c>
      <c r="E3585" s="1" t="s">
        <v>19579</v>
      </c>
      <c r="F3585" s="1" t="s">
        <v>30</v>
      </c>
      <c r="G3585" s="1" t="s">
        <v>19541</v>
      </c>
      <c r="H3585" s="1">
        <v>2019.0</v>
      </c>
      <c r="I3585" s="1" t="s">
        <v>97</v>
      </c>
      <c r="J3585" s="1" t="s">
        <v>433</v>
      </c>
      <c r="K3585" s="1" t="s">
        <v>239</v>
      </c>
      <c r="L3585" s="1" t="s">
        <v>19580</v>
      </c>
      <c r="M3585" s="2" t="s">
        <v>12</v>
      </c>
      <c r="N3585" s="4">
        <f t="shared" si="1"/>
        <v>43693</v>
      </c>
      <c r="O3585" s="5" t="str">
        <f>IFERROR(__xludf.DUMMYFUNCTION("IF(REGEXMATCH(TRIM(I3585), ""^\d+\s*min""), ""Unclassified"", IF(I3585 = """", ""NR"", I3585))"),"TV-14")</f>
        <v>TV-14</v>
      </c>
      <c r="R3585" s="5" t="str">
        <f t="shared" si="2"/>
        <v>Sextuplets</v>
      </c>
      <c r="S3585" s="5" t="str">
        <f>IFERROR(__xludf.DUMMYFUNCTION("""COMPUTED_VALUE"""),"Jinglekids")</f>
        <v>Jinglekids</v>
      </c>
      <c r="U3585" s="5" t="str">
        <f>IFERROR(__xludf.DUMMYFUNCTION("""COMPUTED_VALUE"""),"Mike Disa")</f>
        <v>Mike Disa</v>
      </c>
      <c r="V3585" s="5" t="s">
        <v>19581</v>
      </c>
      <c r="W3585" s="5" t="str">
        <f t="shared" si="3"/>
        <v>Robyn Butler</v>
      </c>
      <c r="X3585" s="5">
        <f t="shared" si="4"/>
        <v>1</v>
      </c>
      <c r="Y3585" s="5" t="str">
        <f>IFERROR(__xludf.DUMMYFUNCTION("REGEXEXTRACT(J3585, ""^\d+"")"),"100")</f>
        <v>100</v>
      </c>
      <c r="Z3585" s="5" t="str">
        <f>IFERROR(__xludf.DUMMYFUNCTION("REGEXEXTRACT(J3585, ""[A-Za-z ]+$"")")," min")</f>
        <v> min</v>
      </c>
      <c r="AA3585" s="5" t="str">
        <f>IFERROR(__xludf.DUMMYFUNCTION("IF(REGEXMATCH(Z3585, ""Season""), ""TV Show"", ""Movie"")"),"Movie")</f>
        <v>Movie</v>
      </c>
    </row>
    <row r="3586">
      <c r="A3586" s="1" t="s">
        <v>19582</v>
      </c>
      <c r="B3586" s="1" t="s">
        <v>27</v>
      </c>
      <c r="C3586" s="1" t="s">
        <v>19583</v>
      </c>
      <c r="E3586" s="1" t="s">
        <v>19584</v>
      </c>
      <c r="F3586" s="1" t="s">
        <v>1106</v>
      </c>
      <c r="G3586" s="1" t="s">
        <v>19541</v>
      </c>
      <c r="H3586" s="1">
        <v>2019.0</v>
      </c>
      <c r="I3586" s="1" t="s">
        <v>206</v>
      </c>
      <c r="J3586" s="1" t="s">
        <v>7058</v>
      </c>
      <c r="K3586" s="1" t="s">
        <v>80</v>
      </c>
      <c r="L3586" s="1" t="s">
        <v>19585</v>
      </c>
      <c r="M3586" s="2" t="s">
        <v>12</v>
      </c>
      <c r="N3586" s="4">
        <f t="shared" si="1"/>
        <v>43693</v>
      </c>
      <c r="O3586" s="5" t="str">
        <f>IFERROR(__xludf.DUMMYFUNCTION("IF(REGEXMATCH(TRIM(I3586), ""^\d+\s*min""), ""Unclassified"", IF(I3586 = """", ""NR"", I3586))"),"TV-Y")</f>
        <v>TV-Y</v>
      </c>
      <c r="R3586" s="5" t="str">
        <f t="shared" si="2"/>
        <v>Super Monsters Back To School</v>
      </c>
      <c r="S3586" s="5" t="str">
        <f>IFERROR(__xludf.DUMMYFUNCTION("""COMPUTED_VALUE"""),"Jinn")</f>
        <v>Jinn</v>
      </c>
      <c r="U3586" s="5" t="str">
        <f>IFERROR(__xludf.DUMMYFUNCTION("""COMPUTED_VALUE"""),"Sudip Bandyopadhyay")</f>
        <v>Sudip Bandyopadhyay</v>
      </c>
      <c r="V3586" s="5" t="s">
        <v>7918</v>
      </c>
      <c r="W3586" s="5" t="str">
        <f t="shared" si="3"/>
        <v>Rocco Ricciardulli</v>
      </c>
      <c r="X3586" s="5">
        <f t="shared" si="4"/>
        <v>1</v>
      </c>
      <c r="Y3586" s="5" t="str">
        <f>IFERROR(__xludf.DUMMYFUNCTION("REGEXEXTRACT(J3586, ""^\d+"")"),"24")</f>
        <v>24</v>
      </c>
      <c r="Z3586" s="5" t="str">
        <f>IFERROR(__xludf.DUMMYFUNCTION("REGEXEXTRACT(J3586, ""[A-Za-z ]+$"")")," min")</f>
        <v> min</v>
      </c>
      <c r="AA3586" s="5" t="str">
        <f>IFERROR(__xludf.DUMMYFUNCTION("IF(REGEXMATCH(Z3586, ""Season""), ""TV Show"", ""Movie"")"),"Movie")</f>
        <v>Movie</v>
      </c>
    </row>
    <row r="3587">
      <c r="A3587" s="1" t="s">
        <v>19586</v>
      </c>
      <c r="B3587" s="1" t="s">
        <v>37</v>
      </c>
      <c r="C3587" s="1" t="s">
        <v>19587</v>
      </c>
      <c r="E3587" s="1" t="s">
        <v>19588</v>
      </c>
      <c r="F3587" s="1" t="s">
        <v>3892</v>
      </c>
      <c r="G3587" s="1" t="s">
        <v>19541</v>
      </c>
      <c r="H3587" s="1">
        <v>2019.0</v>
      </c>
      <c r="I3587" s="1" t="s">
        <v>42</v>
      </c>
      <c r="J3587" s="1" t="s">
        <v>51</v>
      </c>
      <c r="K3587" s="1" t="s">
        <v>190</v>
      </c>
      <c r="L3587" s="1" t="s">
        <v>19589</v>
      </c>
      <c r="M3587" s="2" t="s">
        <v>12</v>
      </c>
      <c r="N3587" s="4">
        <f t="shared" si="1"/>
        <v>43693</v>
      </c>
      <c r="O3587" s="5" t="str">
        <f>IFERROR(__xludf.DUMMYFUNCTION("IF(REGEXMATCH(TRIM(I3587), ""^\d+\s*min""), ""Unclassified"", IF(I3587 = """", ""NR"", I3587))"),"TV-MA")</f>
        <v>TV-MA</v>
      </c>
      <c r="R3587" s="5" t="str">
        <f t="shared" si="2"/>
        <v>The King'S Avatar</v>
      </c>
      <c r="S3587" s="5" t="str">
        <f>IFERROR(__xludf.DUMMYFUNCTION("""COMPUTED_VALUE"""),"Jinxed")</f>
        <v>Jinxed</v>
      </c>
      <c r="U3587" s="5" t="str">
        <f>IFERROR(__xludf.DUMMYFUNCTION("""COMPUTED_VALUE"""),"Brodje Wemboendja")</f>
        <v>Brodje Wemboendja</v>
      </c>
      <c r="V3587" s="5" t="s">
        <v>19590</v>
      </c>
      <c r="W3587" s="5" t="str">
        <f t="shared" si="3"/>
        <v>Rocky Soraya</v>
      </c>
      <c r="X3587" s="5">
        <f t="shared" si="4"/>
        <v>5</v>
      </c>
      <c r="Y3587" s="5" t="str">
        <f>IFERROR(__xludf.DUMMYFUNCTION("REGEXEXTRACT(J3587, ""^\d+"")"),"1")</f>
        <v>1</v>
      </c>
      <c r="Z3587" s="5" t="str">
        <f>IFERROR(__xludf.DUMMYFUNCTION("REGEXEXTRACT(J3587, ""[A-Za-z ]+$"")")," Season")</f>
        <v> Season</v>
      </c>
      <c r="AA3587" s="5" t="str">
        <f>IFERROR(__xludf.DUMMYFUNCTION("IF(REGEXMATCH(Z3587, ""Season""), ""TV Show"", ""Movie"")"),"TV Show")</f>
        <v>TV Show</v>
      </c>
    </row>
    <row r="3588">
      <c r="A3588" s="1" t="s">
        <v>19591</v>
      </c>
      <c r="B3588" s="1" t="s">
        <v>27</v>
      </c>
      <c r="C3588" s="1" t="s">
        <v>19592</v>
      </c>
      <c r="D3588" s="1" t="s">
        <v>12778</v>
      </c>
      <c r="E3588" s="1" t="s">
        <v>19593</v>
      </c>
      <c r="F3588" s="1" t="s">
        <v>784</v>
      </c>
      <c r="G3588" s="1" t="s">
        <v>19541</v>
      </c>
      <c r="H3588" s="1">
        <v>2019.0</v>
      </c>
      <c r="I3588" s="1" t="s">
        <v>42</v>
      </c>
      <c r="J3588" s="1" t="s">
        <v>1144</v>
      </c>
      <c r="K3588" s="1" t="s">
        <v>199</v>
      </c>
      <c r="L3588" s="1" t="s">
        <v>19594</v>
      </c>
      <c r="M3588" s="2" t="s">
        <v>12</v>
      </c>
      <c r="N3588" s="4">
        <f t="shared" si="1"/>
        <v>43693</v>
      </c>
      <c r="O3588" s="5" t="str">
        <f>IFERROR(__xludf.DUMMYFUNCTION("IF(REGEXMATCH(TRIM(I3588), ""^\d+\s*min""), ""Unclassified"", IF(I3588 = """", ""NR"", I3588))"),"TV-MA")</f>
        <v>TV-MA</v>
      </c>
      <c r="R3588" s="5" t="str">
        <f t="shared" si="2"/>
        <v>The Little Switzerland</v>
      </c>
      <c r="S3588" s="5" t="str">
        <f>IFERROR(__xludf.DUMMYFUNCTION("""COMPUTED_VALUE"""),"Jiro Dreams Of Sushi")</f>
        <v>Jiro Dreams Of Sushi</v>
      </c>
      <c r="U3588" s="5" t="str">
        <f>IFERROR(__xludf.DUMMYFUNCTION("""COMPUTED_VALUE"""),"Ayush Raina")</f>
        <v>Ayush Raina</v>
      </c>
      <c r="V3588" s="5" t="s">
        <v>19595</v>
      </c>
      <c r="W3588" s="5" t="str">
        <f t="shared" si="3"/>
        <v>Rocky Soraya, Anggy Umbara</v>
      </c>
      <c r="X3588" s="5">
        <f t="shared" si="4"/>
        <v>1</v>
      </c>
      <c r="Y3588" s="5" t="str">
        <f>IFERROR(__xludf.DUMMYFUNCTION("REGEXEXTRACT(J3588, ""^\d+"")"),"86")</f>
        <v>86</v>
      </c>
      <c r="Z3588" s="5" t="str">
        <f>IFERROR(__xludf.DUMMYFUNCTION("REGEXEXTRACT(J3588, ""[A-Za-z ]+$"")")," min")</f>
        <v> min</v>
      </c>
      <c r="AA3588" s="5" t="str">
        <f>IFERROR(__xludf.DUMMYFUNCTION("IF(REGEXMATCH(Z3588, ""Season""), ""TV Show"", ""Movie"")"),"Movie")</f>
        <v>Movie</v>
      </c>
    </row>
    <row r="3589">
      <c r="A3589" s="1" t="s">
        <v>19596</v>
      </c>
      <c r="B3589" s="1" t="s">
        <v>37</v>
      </c>
      <c r="C3589" s="1" t="s">
        <v>19597</v>
      </c>
      <c r="E3589" s="1" t="s">
        <v>19598</v>
      </c>
      <c r="F3589" s="1" t="s">
        <v>784</v>
      </c>
      <c r="G3589" s="1" t="s">
        <v>19541</v>
      </c>
      <c r="H3589" s="1">
        <v>2018.0</v>
      </c>
      <c r="I3589" s="1" t="s">
        <v>42</v>
      </c>
      <c r="J3589" s="1" t="s">
        <v>51</v>
      </c>
      <c r="K3589" s="1" t="s">
        <v>177</v>
      </c>
      <c r="L3589" s="1" t="s">
        <v>19599</v>
      </c>
      <c r="M3589" s="2" t="s">
        <v>12</v>
      </c>
      <c r="N3589" s="4">
        <f t="shared" si="1"/>
        <v>43693</v>
      </c>
      <c r="O3589" s="5" t="str">
        <f>IFERROR(__xludf.DUMMYFUNCTION("IF(REGEXMATCH(TRIM(I3589), ""^\d+\s*min""), ""Unclassified"", IF(I3589 = """", ""NR"", I3589))"),"TV-MA")</f>
        <v>TV-MA</v>
      </c>
      <c r="R3589" s="5" t="str">
        <f t="shared" si="2"/>
        <v>Victim Number 8</v>
      </c>
      <c r="S3589" s="5" t="str">
        <f>IFERROR(__xludf.DUMMYFUNCTION("""COMPUTED_VALUE"""),"Jis Desh Men Ganga Behti Hai")</f>
        <v>Jis Desh Men Ganga Behti Hai</v>
      </c>
      <c r="U3589" s="5" t="str">
        <f>IFERROR(__xludf.DUMMYFUNCTION("""COMPUTED_VALUE"""),"Marty Stalker")</f>
        <v>Marty Stalker</v>
      </c>
      <c r="V3589" s="5" t="s">
        <v>19600</v>
      </c>
      <c r="W3589" s="5" t="str">
        <f t="shared" si="3"/>
        <v>Rod Blackhurst</v>
      </c>
      <c r="X3589" s="5">
        <f t="shared" si="4"/>
        <v>1</v>
      </c>
      <c r="Y3589" s="5" t="str">
        <f>IFERROR(__xludf.DUMMYFUNCTION("REGEXEXTRACT(J3589, ""^\d+"")"),"1")</f>
        <v>1</v>
      </c>
      <c r="Z3589" s="5" t="str">
        <f>IFERROR(__xludf.DUMMYFUNCTION("REGEXEXTRACT(J3589, ""[A-Za-z ]+$"")")," Season")</f>
        <v> Season</v>
      </c>
      <c r="AA3589" s="5" t="str">
        <f>IFERROR(__xludf.DUMMYFUNCTION("IF(REGEXMATCH(Z3589, ""Season""), ""TV Show"", ""Movie"")"),"TV Show")</f>
        <v>TV Show</v>
      </c>
    </row>
    <row r="3590">
      <c r="A3590" s="1" t="s">
        <v>19601</v>
      </c>
      <c r="B3590" s="1" t="s">
        <v>37</v>
      </c>
      <c r="C3590" s="1" t="s">
        <v>19602</v>
      </c>
      <c r="E3590" s="1" t="s">
        <v>19603</v>
      </c>
      <c r="F3590" s="1" t="s">
        <v>1846</v>
      </c>
      <c r="G3590" s="1" t="s">
        <v>19604</v>
      </c>
      <c r="H3590" s="1">
        <v>2019.0</v>
      </c>
      <c r="I3590" s="1" t="s">
        <v>42</v>
      </c>
      <c r="J3590" s="1" t="s">
        <v>51</v>
      </c>
      <c r="K3590" s="1" t="s">
        <v>567</v>
      </c>
      <c r="L3590" s="1" t="s">
        <v>19605</v>
      </c>
      <c r="M3590" s="2" t="s">
        <v>12</v>
      </c>
      <c r="N3590" s="4">
        <f t="shared" si="1"/>
        <v>43692</v>
      </c>
      <c r="O3590" s="5" t="str">
        <f>IFERROR(__xludf.DUMMYFUNCTION("IF(REGEXMATCH(TRIM(I3590), ""^\d+\s*min""), ""Unclassified"", IF(I3590 = """", ""NR"", I3590))"),"TV-MA")</f>
        <v>TV-MA</v>
      </c>
      <c r="R3590" s="5" t="str">
        <f t="shared" si="2"/>
        <v>Cannon Busters</v>
      </c>
      <c r="S3590" s="5" t="str">
        <f>IFERROR(__xludf.DUMMYFUNCTION("""COMPUTED_VALUE"""),"Jiu Jitsu")</f>
        <v>Jiu Jitsu</v>
      </c>
      <c r="U3590" s="5" t="str">
        <f>IFERROR(__xludf.DUMMYFUNCTION("""COMPUTED_VALUE"""),"Scott Cooper")</f>
        <v>Scott Cooper</v>
      </c>
      <c r="V3590" s="5" t="s">
        <v>19606</v>
      </c>
      <c r="W3590" s="5" t="str">
        <f t="shared" si="3"/>
        <v>Rod Blackhurst, Brian Mcginn</v>
      </c>
      <c r="X3590" s="5">
        <f t="shared" si="4"/>
        <v>1</v>
      </c>
      <c r="Y3590" s="5" t="str">
        <f>IFERROR(__xludf.DUMMYFUNCTION("REGEXEXTRACT(J3590, ""^\d+"")"),"1")</f>
        <v>1</v>
      </c>
      <c r="Z3590" s="5" t="str">
        <f>IFERROR(__xludf.DUMMYFUNCTION("REGEXEXTRACT(J3590, ""[A-Za-z ]+$"")")," Season")</f>
        <v> Season</v>
      </c>
      <c r="AA3590" s="5" t="str">
        <f>IFERROR(__xludf.DUMMYFUNCTION("IF(REGEXMATCH(Z3590, ""Season""), ""TV Show"", ""Movie"")"),"TV Show")</f>
        <v>TV Show</v>
      </c>
    </row>
    <row r="3591">
      <c r="A3591" s="1" t="s">
        <v>19607</v>
      </c>
      <c r="B3591" s="1" t="s">
        <v>37</v>
      </c>
      <c r="C3591" s="1" t="s">
        <v>19608</v>
      </c>
      <c r="D3591" s="1" t="s">
        <v>19609</v>
      </c>
      <c r="E3591" s="1" t="s">
        <v>19610</v>
      </c>
      <c r="F3591" s="1" t="s">
        <v>8173</v>
      </c>
      <c r="G3591" s="1" t="s">
        <v>19604</v>
      </c>
      <c r="H3591" s="1">
        <v>2019.0</v>
      </c>
      <c r="I3591" s="1" t="s">
        <v>42</v>
      </c>
      <c r="J3591" s="1" t="s">
        <v>43</v>
      </c>
      <c r="K3591" s="1" t="s">
        <v>1362</v>
      </c>
      <c r="L3591" s="1" t="s">
        <v>19611</v>
      </c>
      <c r="M3591" s="2" t="s">
        <v>12</v>
      </c>
      <c r="N3591" s="4">
        <f t="shared" si="1"/>
        <v>43692</v>
      </c>
      <c r="O3591" s="5" t="str">
        <f>IFERROR(__xludf.DUMMYFUNCTION("IF(REGEXMATCH(TRIM(I3591), ""^\d+\s*min""), ""Unclassified"", IF(I3591 = """", ""NR"", I3591))"),"TV-MA")</f>
        <v>TV-MA</v>
      </c>
      <c r="R3591" s="5" t="str">
        <f t="shared" si="2"/>
        <v>Sacred Games</v>
      </c>
      <c r="S3591" s="5" t="str">
        <f>IFERROR(__xludf.DUMMYFUNCTION("""COMPUTED_VALUE"""),"Jiva!")</f>
        <v>Jiva!</v>
      </c>
      <c r="U3591" s="5" t="str">
        <f>IFERROR(__xludf.DUMMYFUNCTION("""COMPUTED_VALUE"""),"Michael Polish")</f>
        <v>Michael Polish</v>
      </c>
      <c r="V3591" s="5" t="s">
        <v>16240</v>
      </c>
      <c r="W3591" s="5" t="str">
        <f t="shared" si="3"/>
        <v>Rod Cabatana Marmol</v>
      </c>
      <c r="X3591" s="5">
        <f t="shared" si="4"/>
        <v>1</v>
      </c>
      <c r="Y3591" s="5" t="str">
        <f>IFERROR(__xludf.DUMMYFUNCTION("REGEXEXTRACT(J3591, ""^\d+"")"),"2")</f>
        <v>2</v>
      </c>
      <c r="Z3591" s="5" t="str">
        <f>IFERROR(__xludf.DUMMYFUNCTION("REGEXEXTRACT(J3591, ""[A-Za-z ]+$"")")," Seasons")</f>
        <v> Seasons</v>
      </c>
      <c r="AA3591" s="5" t="str">
        <f>IFERROR(__xludf.DUMMYFUNCTION("IF(REGEXMATCH(Z3591, ""Season""), ""TV Show"", ""Movie"")"),"TV Show")</f>
        <v>TV Show</v>
      </c>
    </row>
    <row r="3592">
      <c r="A3592" s="1" t="s">
        <v>19612</v>
      </c>
      <c r="B3592" s="1" t="s">
        <v>37</v>
      </c>
      <c r="C3592" s="1" t="s">
        <v>19613</v>
      </c>
      <c r="D3592" s="1" t="s">
        <v>19614</v>
      </c>
      <c r="E3592" s="1" t="s">
        <v>19615</v>
      </c>
      <c r="F3592" s="1" t="s">
        <v>2059</v>
      </c>
      <c r="G3592" s="1" t="s">
        <v>19604</v>
      </c>
      <c r="H3592" s="1">
        <v>2019.0</v>
      </c>
      <c r="I3592" s="1" t="s">
        <v>42</v>
      </c>
      <c r="J3592" s="1" t="s">
        <v>51</v>
      </c>
      <c r="K3592" s="1" t="s">
        <v>283</v>
      </c>
      <c r="L3592" s="1" t="s">
        <v>19616</v>
      </c>
      <c r="M3592" s="2" t="s">
        <v>12</v>
      </c>
      <c r="N3592" s="4">
        <f t="shared" si="1"/>
        <v>43692</v>
      </c>
      <c r="O3592" s="5" t="str">
        <f>IFERROR(__xludf.DUMMYFUNCTION("IF(REGEXMATCH(TRIM(I3592), ""^\d+\s*min""), ""Unclassified"", IF(I3592 = """", ""NR"", I3592))"),"TV-MA")</f>
        <v>TV-MA</v>
      </c>
      <c r="R3592" s="5" t="str">
        <f t="shared" si="2"/>
        <v>Til Death Do Us Part</v>
      </c>
      <c r="S3592" s="5" t="str">
        <f>IFERROR(__xludf.DUMMYFUNCTION("""COMPUTED_VALUE"""),"Jj+E")</f>
        <v>Jj+E</v>
      </c>
      <c r="U3592" s="5" t="str">
        <f>IFERROR(__xludf.DUMMYFUNCTION("""COMPUTED_VALUE"""),"Max Mcgill")</f>
        <v>Max Mcgill</v>
      </c>
      <c r="V3592" s="5" t="s">
        <v>2129</v>
      </c>
      <c r="W3592" s="5" t="str">
        <f t="shared" si="3"/>
        <v>Rod Daniel</v>
      </c>
      <c r="X3592" s="5">
        <f t="shared" si="4"/>
        <v>1</v>
      </c>
      <c r="Y3592" s="5" t="str">
        <f>IFERROR(__xludf.DUMMYFUNCTION("REGEXEXTRACT(J3592, ""^\d+"")"),"1")</f>
        <v>1</v>
      </c>
      <c r="Z3592" s="5" t="str">
        <f>IFERROR(__xludf.DUMMYFUNCTION("REGEXEXTRACT(J3592, ""[A-Za-z ]+$"")")," Season")</f>
        <v> Season</v>
      </c>
      <c r="AA3592" s="5" t="str">
        <f>IFERROR(__xludf.DUMMYFUNCTION("IF(REGEXMATCH(Z3592, ""Season""), ""TV Show"", ""Movie"")"),"TV Show")</f>
        <v>TV Show</v>
      </c>
    </row>
    <row r="3593">
      <c r="A3593" s="1" t="s">
        <v>19617</v>
      </c>
      <c r="B3593" s="1" t="s">
        <v>27</v>
      </c>
      <c r="C3593" s="1" t="s">
        <v>19618</v>
      </c>
      <c r="D3593" s="1" t="s">
        <v>6505</v>
      </c>
      <c r="E3593" s="1" t="s">
        <v>19619</v>
      </c>
      <c r="F3593" s="1" t="s">
        <v>1992</v>
      </c>
      <c r="G3593" s="1" t="s">
        <v>19604</v>
      </c>
      <c r="H3593" s="1">
        <v>2019.0</v>
      </c>
      <c r="I3593" s="1" t="s">
        <v>42</v>
      </c>
      <c r="J3593" s="1" t="s">
        <v>1993</v>
      </c>
      <c r="K3593" s="1" t="s">
        <v>1839</v>
      </c>
      <c r="L3593" s="1" t="s">
        <v>19620</v>
      </c>
      <c r="M3593" s="2" t="s">
        <v>12</v>
      </c>
      <c r="N3593" s="4">
        <f t="shared" si="1"/>
        <v>43692</v>
      </c>
      <c r="O3593" s="5" t="str">
        <f>IFERROR(__xludf.DUMMYFUNCTION("IF(REGEXMATCH(TRIM(I3593), ""^\d+\s*min""), ""Unclassified"", IF(I3593 = """", ""NR"", I3593))"),"TV-MA")</f>
        <v>TV-MA</v>
      </c>
      <c r="R3593" s="5" t="str">
        <f t="shared" si="2"/>
        <v>Whindersson Nunes: Adult</v>
      </c>
      <c r="S3593" s="5" t="str">
        <f>IFERROR(__xludf.DUMMYFUNCTION("""COMPUTED_VALUE"""),"Jo Koy: Comin' In Hot")</f>
        <v>Jo Koy: Comin' In Hot</v>
      </c>
      <c r="U3593" s="5" t="str">
        <f>IFERROR(__xludf.DUMMYFUNCTION("""COMPUTED_VALUE"""),"Akiva Schaffer")</f>
        <v>Akiva Schaffer</v>
      </c>
      <c r="V3593" s="5" t="s">
        <v>11066</v>
      </c>
      <c r="W3593" s="5" t="str">
        <f t="shared" si="3"/>
        <v>Rod Lurie</v>
      </c>
      <c r="X3593" s="5">
        <f t="shared" si="4"/>
        <v>1</v>
      </c>
      <c r="Y3593" s="5" t="str">
        <f>IFERROR(__xludf.DUMMYFUNCTION("REGEXEXTRACT(J3593, ""^\d+"")"),"69")</f>
        <v>69</v>
      </c>
      <c r="Z3593" s="5" t="str">
        <f>IFERROR(__xludf.DUMMYFUNCTION("REGEXEXTRACT(J3593, ""[A-Za-z ]+$"")")," min")</f>
        <v> min</v>
      </c>
      <c r="AA3593" s="5" t="str">
        <f>IFERROR(__xludf.DUMMYFUNCTION("IF(REGEXMATCH(Z3593, ""Season""), ""TV Show"", ""Movie"")"),"Movie")</f>
        <v>Movie</v>
      </c>
    </row>
    <row r="3594">
      <c r="A3594" s="1" t="s">
        <v>19621</v>
      </c>
      <c r="B3594" s="1" t="s">
        <v>37</v>
      </c>
      <c r="C3594" s="1" t="s">
        <v>19622</v>
      </c>
      <c r="G3594" s="1" t="s">
        <v>19623</v>
      </c>
      <c r="H3594" s="1">
        <v>2019.0</v>
      </c>
      <c r="I3594" s="1" t="s">
        <v>42</v>
      </c>
      <c r="J3594" s="1" t="s">
        <v>51</v>
      </c>
      <c r="K3594" s="1" t="s">
        <v>2043</v>
      </c>
      <c r="L3594" s="1" t="s">
        <v>19624</v>
      </c>
      <c r="M3594" s="2" t="s">
        <v>12</v>
      </c>
      <c r="N3594" s="4">
        <f t="shared" si="1"/>
        <v>43691</v>
      </c>
      <c r="O3594" s="5" t="str">
        <f>IFERROR(__xludf.DUMMYFUNCTION("IF(REGEXMATCH(TRIM(I3594), ""^\d+\s*min""), ""Unclassified"", IF(I3594 = """", ""NR"", I3594))"),"TV-MA")</f>
        <v>TV-MA</v>
      </c>
      <c r="R3594" s="5" t="str">
        <f t="shared" si="2"/>
        <v>Happy Jail</v>
      </c>
      <c r="S3594" s="5" t="str">
        <f>IFERROR(__xludf.DUMMYFUNCTION("""COMPUTED_VALUE"""),"Jo Koy: In His Elements")</f>
        <v>Jo Koy: In His Elements</v>
      </c>
      <c r="U3594" s="5" t="str">
        <f>IFERROR(__xludf.DUMMYFUNCTION("""COMPUTED_VALUE"""),"Janusz Majewski")</f>
        <v>Janusz Majewski</v>
      </c>
      <c r="V3594" s="5" t="s">
        <v>19625</v>
      </c>
      <c r="W3594" s="5" t="str">
        <f t="shared" si="3"/>
        <v>Rodolphe Guenoden</v>
      </c>
      <c r="X3594" s="5">
        <f t="shared" si="4"/>
        <v>1</v>
      </c>
      <c r="Y3594" s="5" t="str">
        <f>IFERROR(__xludf.DUMMYFUNCTION("REGEXEXTRACT(J3594, ""^\d+"")"),"1")</f>
        <v>1</v>
      </c>
      <c r="Z3594" s="5" t="str">
        <f>IFERROR(__xludf.DUMMYFUNCTION("REGEXEXTRACT(J3594, ""[A-Za-z ]+$"")")," Season")</f>
        <v> Season</v>
      </c>
      <c r="AA3594" s="5" t="str">
        <f>IFERROR(__xludf.DUMMYFUNCTION("IF(REGEXMATCH(Z3594, ""Season""), ""TV Show"", ""Movie"")"),"TV Show")</f>
        <v>TV Show</v>
      </c>
    </row>
    <row r="3595">
      <c r="A3595" s="1" t="s">
        <v>19626</v>
      </c>
      <c r="B3595" s="1" t="s">
        <v>27</v>
      </c>
      <c r="C3595" s="1" t="s">
        <v>19627</v>
      </c>
      <c r="D3595" s="1" t="s">
        <v>14513</v>
      </c>
      <c r="E3595" s="1" t="s">
        <v>19628</v>
      </c>
      <c r="F3595" s="1" t="s">
        <v>63</v>
      </c>
      <c r="G3595" s="1" t="s">
        <v>19623</v>
      </c>
      <c r="H3595" s="1">
        <v>2019.0</v>
      </c>
      <c r="I3595" s="1" t="s">
        <v>97</v>
      </c>
      <c r="J3595" s="1" t="s">
        <v>804</v>
      </c>
      <c r="K3595" s="1" t="s">
        <v>128</v>
      </c>
      <c r="L3595" s="1" t="s">
        <v>19629</v>
      </c>
      <c r="M3595" s="2" t="s">
        <v>12</v>
      </c>
      <c r="N3595" s="4">
        <f t="shared" si="1"/>
        <v>43691</v>
      </c>
      <c r="O3595" s="5" t="str">
        <f>IFERROR(__xludf.DUMMYFUNCTION("IF(REGEXMATCH(TRIM(I3595), ""^\d+\s*min""), ""Unclassified"", IF(I3595 = """", ""NR"", I3595))"),"TV-14")</f>
        <v>TV-14</v>
      </c>
      <c r="R3595" s="5" t="str">
        <f t="shared" si="2"/>
        <v>Uyare</v>
      </c>
      <c r="S3595" s="5" t="str">
        <f>IFERROR(__xludf.DUMMYFUNCTION("""COMPUTED_VALUE"""),"Jo Koy: Live From Seattle")</f>
        <v>Jo Koy: Live From Seattle</v>
      </c>
      <c r="U3595" s="5" t="str">
        <f>IFERROR(__xludf.DUMMYFUNCTION("""COMPUTED_VALUE"""),"Genndy Tartakovsky")</f>
        <v>Genndy Tartakovsky</v>
      </c>
      <c r="V3595" s="5" t="s">
        <v>18456</v>
      </c>
      <c r="W3595" s="5" t="str">
        <f t="shared" si="3"/>
        <v>Rodrigo Guardiola, Gabriel Cruz Rivas</v>
      </c>
      <c r="X3595" s="5">
        <f t="shared" si="4"/>
        <v>1</v>
      </c>
      <c r="Y3595" s="5" t="str">
        <f>IFERROR(__xludf.DUMMYFUNCTION("REGEXEXTRACT(J3595, ""^\d+"")"),"119")</f>
        <v>119</v>
      </c>
      <c r="Z3595" s="5" t="str">
        <f>IFERROR(__xludf.DUMMYFUNCTION("REGEXEXTRACT(J3595, ""[A-Za-z ]+$"")")," min")</f>
        <v> min</v>
      </c>
      <c r="AA3595" s="5" t="str">
        <f>IFERROR(__xludf.DUMMYFUNCTION("IF(REGEXMATCH(Z3595, ""Season""), ""TV Show"", ""Movie"")"),"Movie")</f>
        <v>Movie</v>
      </c>
    </row>
    <row r="3596">
      <c r="A3596" s="1" t="s">
        <v>19630</v>
      </c>
      <c r="B3596" s="1" t="s">
        <v>27</v>
      </c>
      <c r="C3596" s="1" t="s">
        <v>19631</v>
      </c>
      <c r="D3596" s="1" t="s">
        <v>2150</v>
      </c>
      <c r="E3596" s="1" t="s">
        <v>19632</v>
      </c>
      <c r="F3596" s="1" t="s">
        <v>63</v>
      </c>
      <c r="G3596" s="1" t="s">
        <v>19633</v>
      </c>
      <c r="H3596" s="1">
        <v>2019.0</v>
      </c>
      <c r="I3596" s="1" t="s">
        <v>42</v>
      </c>
      <c r="J3596" s="1" t="s">
        <v>2566</v>
      </c>
      <c r="K3596" s="1" t="s">
        <v>230</v>
      </c>
      <c r="L3596" s="1" t="s">
        <v>19634</v>
      </c>
      <c r="M3596" s="2" t="s">
        <v>12</v>
      </c>
      <c r="N3596" s="4">
        <f t="shared" si="1"/>
        <v>43690</v>
      </c>
      <c r="O3596" s="5" t="str">
        <f>IFERROR(__xludf.DUMMYFUNCTION("IF(REGEXMATCH(TRIM(I3596), ""^\d+\s*min""), ""Unclassified"", IF(I3596 = """", ""NR"", I3596))"),"TV-MA")</f>
        <v>TV-MA</v>
      </c>
      <c r="R3596" s="5" t="str">
        <f t="shared" si="2"/>
        <v>90 Ml</v>
      </c>
      <c r="S3596" s="5" t="str">
        <f>IFERROR(__xludf.DUMMYFUNCTION("""COMPUTED_VALUE"""),"Jo Pil-Ho: The Dawning Rage")</f>
        <v>Jo Pil-Ho: The Dawning Rage</v>
      </c>
      <c r="U3596" s="5" t="str">
        <f>IFERROR(__xludf.DUMMYFUNCTION("""COMPUTED_VALUE"""),"Mark Tonderai")</f>
        <v>Mark Tonderai</v>
      </c>
      <c r="V3596" s="5" t="s">
        <v>17289</v>
      </c>
      <c r="W3596" s="5" t="str">
        <f t="shared" si="3"/>
        <v>Rodrigo Reyes</v>
      </c>
      <c r="X3596" s="5">
        <f t="shared" si="4"/>
        <v>1</v>
      </c>
      <c r="Y3596" s="5" t="str">
        <f>IFERROR(__xludf.DUMMYFUNCTION("REGEXEXTRACT(J3596, ""^\d+"")"),"123")</f>
        <v>123</v>
      </c>
      <c r="Z3596" s="5" t="str">
        <f>IFERROR(__xludf.DUMMYFUNCTION("REGEXEXTRACT(J3596, ""[A-Za-z ]+$"")")," min")</f>
        <v> min</v>
      </c>
      <c r="AA3596" s="5" t="str">
        <f>IFERROR(__xludf.DUMMYFUNCTION("IF(REGEXMATCH(Z3596, ""Season""), ""TV Show"", ""Movie"")"),"Movie")</f>
        <v>Movie</v>
      </c>
    </row>
    <row r="3597">
      <c r="A3597" s="1" t="s">
        <v>19635</v>
      </c>
      <c r="B3597" s="1" t="s">
        <v>27</v>
      </c>
      <c r="C3597" s="1" t="s">
        <v>19636</v>
      </c>
      <c r="D3597" s="1" t="s">
        <v>19637</v>
      </c>
      <c r="E3597" s="1" t="s">
        <v>19638</v>
      </c>
      <c r="F3597" s="1" t="s">
        <v>30</v>
      </c>
      <c r="G3597" s="1" t="s">
        <v>19633</v>
      </c>
      <c r="H3597" s="1">
        <v>2019.0</v>
      </c>
      <c r="I3597" s="1" t="s">
        <v>42</v>
      </c>
      <c r="J3597" s="1" t="s">
        <v>454</v>
      </c>
      <c r="K3597" s="1" t="s">
        <v>645</v>
      </c>
      <c r="L3597" s="1" t="s">
        <v>19639</v>
      </c>
      <c r="M3597" s="2" t="s">
        <v>12</v>
      </c>
      <c r="N3597" s="4">
        <f t="shared" si="1"/>
        <v>43690</v>
      </c>
      <c r="O3597" s="5" t="str">
        <f>IFERROR(__xludf.DUMMYFUNCTION("IF(REGEXMATCH(TRIM(I3597), ""^\d+\s*min""), ""Unclassified"", IF(I3597 = """", ""NR"", I3597))"),"TV-MA")</f>
        <v>TV-MA</v>
      </c>
      <c r="R3597" s="5" t="str">
        <f t="shared" si="2"/>
        <v>Calum Von Moger: Unbroken</v>
      </c>
      <c r="S3597" s="5" t="str">
        <f>IFERROR(__xludf.DUMMYFUNCTION("""COMPUTED_VALUE"""),"Joan Didion: The Center Will Not Hold")</f>
        <v>Joan Didion: The Center Will Not Hold</v>
      </c>
      <c r="U3597" s="5" t="str">
        <f>IFERROR(__xludf.DUMMYFUNCTION("""COMPUTED_VALUE"""),"Sandy Chronopoulos")</f>
        <v>Sandy Chronopoulos</v>
      </c>
      <c r="V3597" s="5" t="s">
        <v>19640</v>
      </c>
      <c r="W3597" s="5" t="str">
        <f t="shared" si="3"/>
        <v>Rodrigo Salomón, Pietro Scappini</v>
      </c>
      <c r="X3597" s="5">
        <f t="shared" si="4"/>
        <v>1</v>
      </c>
      <c r="Y3597" s="5" t="str">
        <f>IFERROR(__xludf.DUMMYFUNCTION("REGEXEXTRACT(J3597, ""^\d+"")"),"93")</f>
        <v>93</v>
      </c>
      <c r="Z3597" s="5" t="str">
        <f>IFERROR(__xludf.DUMMYFUNCTION("REGEXEXTRACT(J3597, ""[A-Za-z ]+$"")")," min")</f>
        <v> min</v>
      </c>
      <c r="AA3597" s="5" t="str">
        <f>IFERROR(__xludf.DUMMYFUNCTION("IF(REGEXMATCH(Z3597, ""Season""), ""TV Show"", ""Movie"")"),"Movie")</f>
        <v>Movie</v>
      </c>
    </row>
    <row r="3598">
      <c r="A3598" s="1" t="s">
        <v>19641</v>
      </c>
      <c r="B3598" s="1" t="s">
        <v>27</v>
      </c>
      <c r="C3598" s="1" t="s">
        <v>19642</v>
      </c>
      <c r="D3598" s="1" t="s">
        <v>922</v>
      </c>
      <c r="F3598" s="1" t="s">
        <v>162</v>
      </c>
      <c r="G3598" s="1" t="s">
        <v>19633</v>
      </c>
      <c r="H3598" s="1">
        <v>2018.0</v>
      </c>
      <c r="I3598" s="1" t="s">
        <v>42</v>
      </c>
      <c r="J3598" s="1" t="s">
        <v>1065</v>
      </c>
      <c r="K3598" s="1" t="s">
        <v>156</v>
      </c>
      <c r="L3598" s="1" t="s">
        <v>19643</v>
      </c>
      <c r="M3598" s="2" t="s">
        <v>12</v>
      </c>
      <c r="N3598" s="4">
        <f t="shared" si="1"/>
        <v>43690</v>
      </c>
      <c r="O3598" s="5" t="str">
        <f>IFERROR(__xludf.DUMMYFUNCTION("IF(REGEXMATCH(TRIM(I3598), ""^\d+\s*min""), ""Unclassified"", IF(I3598 = """", ""NR"", I3598))"),"TV-MA")</f>
        <v>TV-MA</v>
      </c>
      <c r="R3598" s="5" t="str">
        <f t="shared" si="2"/>
        <v>Hasta Los Dientes</v>
      </c>
      <c r="S3598" s="5" t="str">
        <f>IFERROR(__xludf.DUMMYFUNCTION("""COMPUTED_VALUE"""),"Joan Rivers: Don'T Start With Me")</f>
        <v>Joan Rivers: Don'T Start With Me</v>
      </c>
      <c r="U3598" s="5" t="str">
        <f>IFERROR(__xludf.DUMMYFUNCTION("""COMPUTED_VALUE"""),"Ziga Virc")</f>
        <v>Ziga Virc</v>
      </c>
      <c r="V3598" s="5" t="s">
        <v>19644</v>
      </c>
      <c r="W3598" s="5" t="str">
        <f t="shared" si="3"/>
        <v>Rodrigo Toro, Francisco Schultz</v>
      </c>
      <c r="X3598" s="5">
        <f t="shared" si="4"/>
        <v>1</v>
      </c>
      <c r="Y3598" s="5" t="str">
        <f>IFERROR(__xludf.DUMMYFUNCTION("REGEXEXTRACT(J3598, ""^\d+"")"),"109")</f>
        <v>109</v>
      </c>
      <c r="Z3598" s="5" t="str">
        <f>IFERROR(__xludf.DUMMYFUNCTION("REGEXEXTRACT(J3598, ""[A-Za-z ]+$"")")," min")</f>
        <v> min</v>
      </c>
      <c r="AA3598" s="5" t="str">
        <f>IFERROR(__xludf.DUMMYFUNCTION("IF(REGEXMATCH(Z3598, ""Season""), ""TV Show"", ""Movie"")"),"Movie")</f>
        <v>Movie</v>
      </c>
    </row>
    <row r="3599">
      <c r="A3599" s="1" t="s">
        <v>19645</v>
      </c>
      <c r="B3599" s="1" t="s">
        <v>37</v>
      </c>
      <c r="C3599" s="1" t="s">
        <v>19646</v>
      </c>
      <c r="E3599" s="1" t="s">
        <v>19647</v>
      </c>
      <c r="F3599" s="1" t="s">
        <v>30</v>
      </c>
      <c r="G3599" s="1" t="s">
        <v>19633</v>
      </c>
      <c r="H3599" s="1">
        <v>2019.0</v>
      </c>
      <c r="I3599" s="1" t="s">
        <v>42</v>
      </c>
      <c r="J3599" s="1" t="s">
        <v>43</v>
      </c>
      <c r="K3599" s="1" t="s">
        <v>2709</v>
      </c>
      <c r="L3599" s="1" t="s">
        <v>19648</v>
      </c>
      <c r="M3599" s="2" t="s">
        <v>12</v>
      </c>
      <c r="N3599" s="4">
        <f t="shared" si="1"/>
        <v>43690</v>
      </c>
      <c r="O3599" s="5" t="str">
        <f>IFERROR(__xludf.DUMMYFUNCTION("IF(REGEXMATCH(TRIM(I3599), ""^\d+\s*min""), ""Unclassified"", IF(I3599 = """", ""NR"", I3599))"),"TV-MA")</f>
        <v>TV-MA</v>
      </c>
      <c r="R3599" s="5" t="str">
        <f t="shared" si="2"/>
        <v>Knightfall</v>
      </c>
      <c r="S3599" s="5" t="str">
        <f>IFERROR(__xludf.DUMMYFUNCTION("""COMPUTED_VALUE"""),"Joaquín Reyes: Una Y No Más")</f>
        <v>Joaquín Reyes: Una Y No Más</v>
      </c>
      <c r="U3599" s="5" t="str">
        <f>IFERROR(__xludf.DUMMYFUNCTION("""COMPUTED_VALUE"""),"Tom O'Dell")</f>
        <v>Tom O'Dell</v>
      </c>
      <c r="V3599" s="5" t="s">
        <v>19649</v>
      </c>
      <c r="W3599" s="5" t="str">
        <f t="shared" si="3"/>
        <v>Rodrigo Triana</v>
      </c>
      <c r="X3599" s="5">
        <f t="shared" si="4"/>
        <v>1</v>
      </c>
      <c r="Y3599" s="5" t="str">
        <f>IFERROR(__xludf.DUMMYFUNCTION("REGEXEXTRACT(J3599, ""^\d+"")"),"2")</f>
        <v>2</v>
      </c>
      <c r="Z3599" s="5" t="str">
        <f>IFERROR(__xludf.DUMMYFUNCTION("REGEXEXTRACT(J3599, ""[A-Za-z ]+$"")")," Seasons")</f>
        <v> Seasons</v>
      </c>
      <c r="AA3599" s="5" t="str">
        <f>IFERROR(__xludf.DUMMYFUNCTION("IF(REGEXMATCH(Z3599, ""Season""), ""TV Show"", ""Movie"")"),"TV Show")</f>
        <v>TV Show</v>
      </c>
    </row>
    <row r="3600">
      <c r="A3600" s="1" t="s">
        <v>19650</v>
      </c>
      <c r="B3600" s="1" t="s">
        <v>37</v>
      </c>
      <c r="C3600" s="1" t="s">
        <v>19651</v>
      </c>
      <c r="E3600" s="1" t="s">
        <v>19652</v>
      </c>
      <c r="F3600" s="1" t="s">
        <v>30</v>
      </c>
      <c r="G3600" s="1" t="s">
        <v>19653</v>
      </c>
      <c r="H3600" s="1">
        <v>2019.0</v>
      </c>
      <c r="I3600" s="1" t="s">
        <v>289</v>
      </c>
      <c r="J3600" s="1" t="s">
        <v>51</v>
      </c>
      <c r="K3600" s="1" t="s">
        <v>290</v>
      </c>
      <c r="L3600" s="1" t="s">
        <v>19654</v>
      </c>
      <c r="M3600" s="2" t="s">
        <v>12</v>
      </c>
      <c r="N3600" s="4">
        <f t="shared" si="1"/>
        <v>43689</v>
      </c>
      <c r="O3600" s="5" t="str">
        <f>IFERROR(__xludf.DUMMYFUNCTION("IF(REGEXMATCH(TRIM(I3600), ""^\d+\s*min""), ""Unclassified"", IF(I3600 = """", ""NR"", I3600))"),"TV-Y7")</f>
        <v>TV-Y7</v>
      </c>
      <c r="R3600" s="5" t="str">
        <f t="shared" si="2"/>
        <v>Dc Super Hero Girls</v>
      </c>
      <c r="S3600" s="5" t="str">
        <f>IFERROR(__xludf.DUMMYFUNCTION("""COMPUTED_VALUE"""),"Jodhaa Akbar")</f>
        <v>Jodhaa Akbar</v>
      </c>
      <c r="U3600" s="5" t="str">
        <f>IFERROR(__xludf.DUMMYFUNCTION("""COMPUTED_VALUE"""),"Ken Marino")</f>
        <v>Ken Marino</v>
      </c>
      <c r="V3600" s="5" t="s">
        <v>19655</v>
      </c>
      <c r="W3600" s="5" t="str">
        <f t="shared" si="3"/>
        <v>Rodrigo Van Der Put</v>
      </c>
      <c r="X3600" s="5">
        <f t="shared" si="4"/>
        <v>2</v>
      </c>
      <c r="Y3600" s="5" t="str">
        <f>IFERROR(__xludf.DUMMYFUNCTION("REGEXEXTRACT(J3600, ""^\d+"")"),"1")</f>
        <v>1</v>
      </c>
      <c r="Z3600" s="5" t="str">
        <f>IFERROR(__xludf.DUMMYFUNCTION("REGEXEXTRACT(J3600, ""[A-Za-z ]+$"")")," Season")</f>
        <v> Season</v>
      </c>
      <c r="AA3600" s="5" t="str">
        <f>IFERROR(__xludf.DUMMYFUNCTION("IF(REGEXMATCH(Z3600, ""Season""), ""TV Show"", ""Movie"")"),"TV Show")</f>
        <v>TV Show</v>
      </c>
    </row>
    <row r="3601">
      <c r="A3601" s="1" t="s">
        <v>19656</v>
      </c>
      <c r="B3601" s="1" t="s">
        <v>27</v>
      </c>
      <c r="C3601" s="1" t="s">
        <v>19657</v>
      </c>
      <c r="D3601" s="1" t="s">
        <v>19479</v>
      </c>
      <c r="E3601" s="1" t="s">
        <v>19658</v>
      </c>
      <c r="G3601" s="1" t="s">
        <v>19659</v>
      </c>
      <c r="H3601" s="1">
        <v>2019.0</v>
      </c>
      <c r="I3601" s="1" t="s">
        <v>97</v>
      </c>
      <c r="J3601" s="1" t="s">
        <v>2636</v>
      </c>
      <c r="K3601" s="1" t="s">
        <v>1839</v>
      </c>
      <c r="L3601" s="1" t="s">
        <v>19660</v>
      </c>
      <c r="M3601" s="2" t="s">
        <v>12</v>
      </c>
      <c r="N3601" s="4">
        <f t="shared" si="1"/>
        <v>43686</v>
      </c>
      <c r="O3601" s="5" t="str">
        <f>IFERROR(__xludf.DUMMYFUNCTION("IF(REGEXMATCH(TRIM(I3601), ""^\d+\s*min""), ""Unclassified"", IF(I3601 = """", ""NR"", I3601))"),"TV-14")</f>
        <v>TV-14</v>
      </c>
      <c r="R3601" s="5" t="str">
        <f t="shared" si="2"/>
        <v>Colin Quinn: Red State Blue State</v>
      </c>
      <c r="S3601" s="5" t="str">
        <f>IFERROR(__xludf.DUMMYFUNCTION("""COMPUTED_VALUE"""),"Joe Cocker: Mad Dog With Soul")</f>
        <v>Joe Cocker: Mad Dog With Soul</v>
      </c>
      <c r="U3601" s="5" t="str">
        <f>IFERROR(__xludf.DUMMYFUNCTION("""COMPUTED_VALUE"""),"Lionel C. Martin")</f>
        <v>Lionel C. Martin</v>
      </c>
      <c r="V3601" s="5" t="s">
        <v>5588</v>
      </c>
      <c r="W3601" s="5" t="str">
        <f t="shared" si="3"/>
        <v>Roel Reiné</v>
      </c>
      <c r="X3601" s="5">
        <f t="shared" si="4"/>
        <v>1</v>
      </c>
      <c r="Y3601" s="5" t="str">
        <f>IFERROR(__xludf.DUMMYFUNCTION("REGEXEXTRACT(J3601, ""^\d+"")"),"66")</f>
        <v>66</v>
      </c>
      <c r="Z3601" s="5" t="str">
        <f>IFERROR(__xludf.DUMMYFUNCTION("REGEXEXTRACT(J3601, ""[A-Za-z ]+$"")")," min")</f>
        <v> min</v>
      </c>
      <c r="AA3601" s="5" t="str">
        <f>IFERROR(__xludf.DUMMYFUNCTION("IF(REGEXMATCH(Z3601, ""Season""), ""TV Show"", ""Movie"")"),"Movie")</f>
        <v>Movie</v>
      </c>
    </row>
    <row r="3602">
      <c r="A3602" s="1" t="s">
        <v>19661</v>
      </c>
      <c r="B3602" s="1" t="s">
        <v>37</v>
      </c>
      <c r="C3602" s="1" t="s">
        <v>19662</v>
      </c>
      <c r="E3602" s="1" t="s">
        <v>19663</v>
      </c>
      <c r="F3602" s="1" t="s">
        <v>30</v>
      </c>
      <c r="G3602" s="1" t="s">
        <v>19659</v>
      </c>
      <c r="H3602" s="1">
        <v>2019.0</v>
      </c>
      <c r="I3602" s="1" t="s">
        <v>42</v>
      </c>
      <c r="J3602" s="1" t="s">
        <v>276</v>
      </c>
      <c r="K3602" s="1" t="s">
        <v>149</v>
      </c>
      <c r="L3602" s="1" t="s">
        <v>19664</v>
      </c>
      <c r="M3602" s="2" t="s">
        <v>12</v>
      </c>
      <c r="N3602" s="4">
        <f t="shared" si="1"/>
        <v>43686</v>
      </c>
      <c r="O3602" s="5" t="str">
        <f>IFERROR(__xludf.DUMMYFUNCTION("IF(REGEXMATCH(TRIM(I3602), ""^\d+\s*min""), ""Unclassified"", IF(I3602 = """", ""NR"", I3602))"),"TV-MA")</f>
        <v>TV-MA</v>
      </c>
      <c r="R3602" s="5" t="str">
        <f t="shared" si="2"/>
        <v>Glow</v>
      </c>
      <c r="S3602" s="5" t="str">
        <f>IFERROR(__xludf.DUMMYFUNCTION("""COMPUTED_VALUE"""),"Joe Mande’S Award-Winning Comedy Special")</f>
        <v>Joe Mande’S Award-Winning Comedy Special</v>
      </c>
      <c r="U3602" s="5" t="str">
        <f>IFERROR(__xludf.DUMMYFUNCTION("""COMPUTED_VALUE"""),"Jocelyn Moorhouse")</f>
        <v>Jocelyn Moorhouse</v>
      </c>
      <c r="V3602" s="5" t="s">
        <v>19665</v>
      </c>
      <c r="W3602" s="5" t="str">
        <f t="shared" si="3"/>
        <v>Roger Allers, Gaëtan Brizzi, Paul Brizzi, Joan C. Gratz, Mohammed Saeed Harib, Tomm Moore, Nina Paley, Bill Plympton, Joann Sfar, Michael Socha</v>
      </c>
      <c r="X3602" s="5">
        <f t="shared" si="4"/>
        <v>1</v>
      </c>
      <c r="Y3602" s="5" t="str">
        <f>IFERROR(__xludf.DUMMYFUNCTION("REGEXEXTRACT(J3602, ""^\d+"")"),"3")</f>
        <v>3</v>
      </c>
      <c r="Z3602" s="5" t="str">
        <f>IFERROR(__xludf.DUMMYFUNCTION("REGEXEXTRACT(J3602, ""[A-Za-z ]+$"")")," Seasons")</f>
        <v> Seasons</v>
      </c>
      <c r="AA3602" s="5" t="str">
        <f>IFERROR(__xludf.DUMMYFUNCTION("IF(REGEXMATCH(Z3602, ""Season""), ""TV Show"", ""Movie"")"),"TV Show")</f>
        <v>TV Show</v>
      </c>
    </row>
    <row r="3603">
      <c r="A3603" s="1" t="s">
        <v>19666</v>
      </c>
      <c r="B3603" s="1" t="s">
        <v>37</v>
      </c>
      <c r="C3603" s="1" t="s">
        <v>19667</v>
      </c>
      <c r="E3603" s="1" t="s">
        <v>19668</v>
      </c>
      <c r="F3603" s="1" t="s">
        <v>30</v>
      </c>
      <c r="G3603" s="1" t="s">
        <v>19659</v>
      </c>
      <c r="H3603" s="1">
        <v>2019.0</v>
      </c>
      <c r="I3603" s="1" t="s">
        <v>42</v>
      </c>
      <c r="J3603" s="1" t="s">
        <v>189</v>
      </c>
      <c r="K3603" s="1" t="s">
        <v>19669</v>
      </c>
      <c r="L3603" s="1" t="s">
        <v>19670</v>
      </c>
      <c r="M3603" s="2" t="s">
        <v>12</v>
      </c>
      <c r="N3603" s="4">
        <f t="shared" si="1"/>
        <v>43686</v>
      </c>
      <c r="O3603" s="5" t="str">
        <f>IFERROR(__xludf.DUMMYFUNCTION("IF(REGEXMATCH(TRIM(I3603), ""^\d+\s*min""), ""Unclassified"", IF(I3603 = """", ""NR"", I3603))"),"TV-MA")</f>
        <v>TV-MA</v>
      </c>
      <c r="R3603" s="5" t="str">
        <f t="shared" si="2"/>
        <v>Izombie</v>
      </c>
      <c r="S3603" s="5" t="str">
        <f>IFERROR(__xludf.DUMMYFUNCTION("""COMPUTED_VALUE"""),"Joe Rogan: Strange Times")</f>
        <v>Joe Rogan: Strange Times</v>
      </c>
      <c r="U3603" s="5" t="str">
        <f>IFERROR(__xludf.DUMMYFUNCTION("""COMPUTED_VALUE"""),"Cal Saville")</f>
        <v>Cal Saville</v>
      </c>
      <c r="V3603" s="5" t="s">
        <v>19671</v>
      </c>
      <c r="W3603" s="5" t="str">
        <f t="shared" si="3"/>
        <v>Roger Allers, Jill Culton</v>
      </c>
      <c r="X3603" s="5">
        <f t="shared" si="4"/>
        <v>1</v>
      </c>
      <c r="Y3603" s="5" t="str">
        <f>IFERROR(__xludf.DUMMYFUNCTION("REGEXEXTRACT(J3603, ""^\d+"")"),"5")</f>
        <v>5</v>
      </c>
      <c r="Z3603" s="5" t="str">
        <f>IFERROR(__xludf.DUMMYFUNCTION("REGEXEXTRACT(J3603, ""[A-Za-z ]+$"")")," Seasons")</f>
        <v> Seasons</v>
      </c>
      <c r="AA3603" s="5" t="str">
        <f>IFERROR(__xludf.DUMMYFUNCTION("IF(REGEXMATCH(Z3603, ""Season""), ""TV Show"", ""Movie"")"),"TV Show")</f>
        <v>TV Show</v>
      </c>
    </row>
    <row r="3604">
      <c r="A3604" s="1" t="s">
        <v>19672</v>
      </c>
      <c r="B3604" s="1" t="s">
        <v>27</v>
      </c>
      <c r="C3604" s="1" t="s">
        <v>19673</v>
      </c>
      <c r="D3604" s="1" t="s">
        <v>66</v>
      </c>
      <c r="E3604" s="1" t="s">
        <v>19674</v>
      </c>
      <c r="F3604" s="1" t="s">
        <v>63</v>
      </c>
      <c r="G3604" s="1" t="s">
        <v>19659</v>
      </c>
      <c r="H3604" s="1">
        <v>2018.0</v>
      </c>
      <c r="I3604" s="1" t="s">
        <v>42</v>
      </c>
      <c r="J3604" s="1" t="s">
        <v>1256</v>
      </c>
      <c r="K3604" s="1" t="s">
        <v>89</v>
      </c>
      <c r="L3604" s="1" t="s">
        <v>19675</v>
      </c>
      <c r="M3604" s="2" t="s">
        <v>12</v>
      </c>
      <c r="N3604" s="4">
        <f t="shared" si="1"/>
        <v>43686</v>
      </c>
      <c r="O3604" s="5" t="str">
        <f>IFERROR(__xludf.DUMMYFUNCTION("IF(REGEXMATCH(TRIM(I3604), ""^\d+\s*min""), ""Unclassified"", IF(I3604 = """", ""NR"", I3604))"),"TV-MA")</f>
        <v>TV-MA</v>
      </c>
      <c r="R3604" s="5" t="str">
        <f t="shared" si="2"/>
        <v>Jaoon Kahan Bata Ae Dil</v>
      </c>
      <c r="S3604" s="5" t="str">
        <f>IFERROR(__xludf.DUMMYFUNCTION("""COMPUTED_VALUE"""),"Joe Rogan: Triggered")</f>
        <v>Joe Rogan: Triggered</v>
      </c>
      <c r="U3604" s="5" t="str">
        <f>IFERROR(__xludf.DUMMYFUNCTION("""COMPUTED_VALUE"""),"Amar Gupte")</f>
        <v>Amar Gupte</v>
      </c>
      <c r="V3604" s="5" t="s">
        <v>4752</v>
      </c>
      <c r="W3604" s="5" t="str">
        <f t="shared" si="3"/>
        <v>Roger Christian</v>
      </c>
      <c r="X3604" s="5">
        <f t="shared" si="4"/>
        <v>1</v>
      </c>
      <c r="Y3604" s="5" t="str">
        <f>IFERROR(__xludf.DUMMYFUNCTION("REGEXEXTRACT(J3604, ""^\d+"")"),"107")</f>
        <v>107</v>
      </c>
      <c r="Z3604" s="5" t="str">
        <f>IFERROR(__xludf.DUMMYFUNCTION("REGEXEXTRACT(J3604, ""[A-Za-z ]+$"")")," min")</f>
        <v> min</v>
      </c>
      <c r="AA3604" s="5" t="str">
        <f>IFERROR(__xludf.DUMMYFUNCTION("IF(REGEXMATCH(Z3604, ""Season""), ""TV Show"", ""Movie"")"),"Movie")</f>
        <v>Movie</v>
      </c>
    </row>
    <row r="3605">
      <c r="A3605" s="1" t="s">
        <v>19676</v>
      </c>
      <c r="B3605" s="1" t="s">
        <v>27</v>
      </c>
      <c r="C3605" s="1" t="s">
        <v>19677</v>
      </c>
      <c r="D3605" s="1" t="s">
        <v>11111</v>
      </c>
      <c r="E3605" s="1" t="s">
        <v>19678</v>
      </c>
      <c r="F3605" s="1" t="s">
        <v>30</v>
      </c>
      <c r="G3605" s="1" t="s">
        <v>19659</v>
      </c>
      <c r="H3605" s="1">
        <v>2019.0</v>
      </c>
      <c r="I3605" s="1" t="s">
        <v>289</v>
      </c>
      <c r="J3605" s="1" t="s">
        <v>3060</v>
      </c>
      <c r="K3605" s="1" t="s">
        <v>19679</v>
      </c>
      <c r="L3605" s="1" t="s">
        <v>19680</v>
      </c>
      <c r="M3605" s="2" t="s">
        <v>12</v>
      </c>
      <c r="N3605" s="4">
        <f t="shared" si="1"/>
        <v>43686</v>
      </c>
      <c r="O3605" s="5" t="str">
        <f>IFERROR(__xludf.DUMMYFUNCTION("IF(REGEXMATCH(TRIM(I3605), ""^\d+\s*min""), ""Unclassified"", IF(I3605 = """", ""NR"", I3605))"),"TV-Y7")</f>
        <v>TV-Y7</v>
      </c>
      <c r="R3605" s="5" t="str">
        <f t="shared" si="2"/>
        <v>Rocko'S Modern Life: Static Cling</v>
      </c>
      <c r="S3605" s="5" t="str">
        <f>IFERROR(__xludf.DUMMYFUNCTION("""COMPUTED_VALUE"""),"John &amp; Jane")</f>
        <v>John &amp; Jane</v>
      </c>
      <c r="U3605" s="5" t="str">
        <f>IFERROR(__xludf.DUMMYFUNCTION("""COMPUTED_VALUE"""),"Sam Liu, Frank Paur")</f>
        <v>Sam Liu, Frank Paur</v>
      </c>
      <c r="V3605" s="5" t="s">
        <v>1543</v>
      </c>
      <c r="W3605" s="5" t="str">
        <f t="shared" si="3"/>
        <v>Roger Donaldson</v>
      </c>
      <c r="X3605" s="5">
        <f t="shared" si="4"/>
        <v>3</v>
      </c>
      <c r="Y3605" s="5" t="str">
        <f>IFERROR(__xludf.DUMMYFUNCTION("REGEXEXTRACT(J3605, ""^\d+"")"),"46")</f>
        <v>46</v>
      </c>
      <c r="Z3605" s="5" t="str">
        <f>IFERROR(__xludf.DUMMYFUNCTION("REGEXEXTRACT(J3605, ""[A-Za-z ]+$"")")," min")</f>
        <v> min</v>
      </c>
      <c r="AA3605" s="5" t="str">
        <f>IFERROR(__xludf.DUMMYFUNCTION("IF(REGEXMATCH(Z3605, ""Season""), ""TV Show"", ""Movie"")"),"Movie")</f>
        <v>Movie</v>
      </c>
    </row>
    <row r="3606">
      <c r="A3606" s="1" t="s">
        <v>19681</v>
      </c>
      <c r="B3606" s="1" t="s">
        <v>37</v>
      </c>
      <c r="C3606" s="1" t="s">
        <v>19682</v>
      </c>
      <c r="E3606" s="1" t="s">
        <v>19683</v>
      </c>
      <c r="F3606" s="1" t="s">
        <v>1992</v>
      </c>
      <c r="G3606" s="1" t="s">
        <v>19659</v>
      </c>
      <c r="H3606" s="1">
        <v>2019.0</v>
      </c>
      <c r="I3606" s="1" t="s">
        <v>42</v>
      </c>
      <c r="J3606" s="1" t="s">
        <v>51</v>
      </c>
      <c r="K3606" s="1" t="s">
        <v>1362</v>
      </c>
      <c r="L3606" s="1" t="s">
        <v>19684</v>
      </c>
      <c r="M3606" s="2" t="s">
        <v>12</v>
      </c>
      <c r="N3606" s="4">
        <f t="shared" si="1"/>
        <v>43686</v>
      </c>
      <c r="O3606" s="5" t="str">
        <f>IFERROR(__xludf.DUMMYFUNCTION("IF(REGEXMATCH(TRIM(I3606), ""^\d+\s*min""), ""Unclassified"", IF(I3606 = """", ""NR"", I3606))"),"TV-MA")</f>
        <v>TV-MA</v>
      </c>
      <c r="R3606" s="5" t="str">
        <f t="shared" si="2"/>
        <v>Sintonia</v>
      </c>
      <c r="S3606" s="5" t="str">
        <f>IFERROR(__xludf.DUMMYFUNCTION("""COMPUTED_VALUE"""),"John &amp; Yoko: Above Us Only Sky")</f>
        <v>John &amp; Yoko: Above Us Only Sky</v>
      </c>
      <c r="U3606" s="5" t="str">
        <f>IFERROR(__xludf.DUMMYFUNCTION("""COMPUTED_VALUE"""),"Raj Kanwar")</f>
        <v>Raj Kanwar</v>
      </c>
      <c r="V3606" s="5" t="s">
        <v>19685</v>
      </c>
      <c r="W3606" s="5" t="str">
        <f t="shared" si="3"/>
        <v>Roger Graef, James Rogan</v>
      </c>
      <c r="X3606" s="5">
        <f t="shared" si="4"/>
        <v>1</v>
      </c>
      <c r="Y3606" s="5" t="str">
        <f>IFERROR(__xludf.DUMMYFUNCTION("REGEXEXTRACT(J3606, ""^\d+"")"),"1")</f>
        <v>1</v>
      </c>
      <c r="Z3606" s="5" t="str">
        <f>IFERROR(__xludf.DUMMYFUNCTION("REGEXEXTRACT(J3606, ""[A-Za-z ]+$"")")," Season")</f>
        <v> Season</v>
      </c>
      <c r="AA3606" s="5" t="str">
        <f>IFERROR(__xludf.DUMMYFUNCTION("IF(REGEXMATCH(Z3606, ""Season""), ""TV Show"", ""Movie"")"),"TV Show")</f>
        <v>TV Show</v>
      </c>
    </row>
    <row r="3607">
      <c r="A3607" s="1" t="s">
        <v>19686</v>
      </c>
      <c r="B3607" s="1" t="s">
        <v>37</v>
      </c>
      <c r="C3607" s="1" t="s">
        <v>19687</v>
      </c>
      <c r="D3607" s="1" t="s">
        <v>10881</v>
      </c>
      <c r="E3607" s="1" t="s">
        <v>19688</v>
      </c>
      <c r="F3607" s="1" t="s">
        <v>30</v>
      </c>
      <c r="G3607" s="1" t="s">
        <v>19659</v>
      </c>
      <c r="H3607" s="1">
        <v>2019.0</v>
      </c>
      <c r="I3607" s="1" t="s">
        <v>97</v>
      </c>
      <c r="J3607" s="1" t="s">
        <v>51</v>
      </c>
      <c r="K3607" s="1" t="s">
        <v>1261</v>
      </c>
      <c r="L3607" s="1" t="s">
        <v>19689</v>
      </c>
      <c r="M3607" s="2" t="s">
        <v>12</v>
      </c>
      <c r="N3607" s="4">
        <f t="shared" si="1"/>
        <v>43686</v>
      </c>
      <c r="O3607" s="5" t="str">
        <f>IFERROR(__xludf.DUMMYFUNCTION("IF(REGEXMATCH(TRIM(I3607), ""^\d+\s*min""), ""Unclassified"", IF(I3607 = """", ""NR"", I3607))"),"TV-14")</f>
        <v>TV-14</v>
      </c>
      <c r="R3607" s="5" t="str">
        <f t="shared" si="2"/>
        <v>The Family</v>
      </c>
      <c r="S3607" s="5" t="str">
        <f>IFERROR(__xludf.DUMMYFUNCTION("""COMPUTED_VALUE"""),"John Carter")</f>
        <v>John Carter</v>
      </c>
      <c r="U3607" s="5" t="str">
        <f>IFERROR(__xludf.DUMMYFUNCTION("""COMPUTED_VALUE"""),"Drew Casson")</f>
        <v>Drew Casson</v>
      </c>
      <c r="V3607" s="5" t="s">
        <v>19690</v>
      </c>
      <c r="W3607" s="5" t="str">
        <f t="shared" si="3"/>
        <v>Roger Gual</v>
      </c>
      <c r="X3607" s="5">
        <f t="shared" si="4"/>
        <v>1</v>
      </c>
      <c r="Y3607" s="5" t="str">
        <f>IFERROR(__xludf.DUMMYFUNCTION("REGEXEXTRACT(J3607, ""^\d+"")"),"1")</f>
        <v>1</v>
      </c>
      <c r="Z3607" s="5" t="str">
        <f>IFERROR(__xludf.DUMMYFUNCTION("REGEXEXTRACT(J3607, ""[A-Za-z ]+$"")")," Season")</f>
        <v> Season</v>
      </c>
      <c r="AA3607" s="5" t="str">
        <f>IFERROR(__xludf.DUMMYFUNCTION("IF(REGEXMATCH(Z3607, ""Season""), ""TV Show"", ""Movie"")"),"TV Show")</f>
        <v>TV Show</v>
      </c>
    </row>
    <row r="3608">
      <c r="A3608" s="1" t="s">
        <v>19691</v>
      </c>
      <c r="B3608" s="1" t="s">
        <v>37</v>
      </c>
      <c r="C3608" s="1" t="s">
        <v>19692</v>
      </c>
      <c r="E3608" s="1" t="s">
        <v>19693</v>
      </c>
      <c r="F3608" s="1" t="s">
        <v>749</v>
      </c>
      <c r="G3608" s="1" t="s">
        <v>19694</v>
      </c>
      <c r="H3608" s="1">
        <v>2014.0</v>
      </c>
      <c r="I3608" s="1" t="s">
        <v>42</v>
      </c>
      <c r="J3608" s="1" t="s">
        <v>51</v>
      </c>
      <c r="K3608" s="1" t="s">
        <v>6338</v>
      </c>
      <c r="L3608" s="1" t="s">
        <v>19695</v>
      </c>
      <c r="M3608" s="2" t="s">
        <v>12</v>
      </c>
      <c r="N3608" s="4">
        <f t="shared" si="1"/>
        <v>43685</v>
      </c>
      <c r="O3608" s="5" t="str">
        <f>IFERROR(__xludf.DUMMYFUNCTION("IF(REGEXMATCH(TRIM(I3608), ""^\d+\s*min""), ""Unclassified"", IF(I3608 = """", ""NR"", I3608))"),"TV-MA")</f>
        <v>TV-MA</v>
      </c>
      <c r="R3608" s="5" t="str">
        <f t="shared" si="2"/>
        <v>Bad Guys</v>
      </c>
      <c r="S3608" s="5" t="str">
        <f>IFERROR(__xludf.DUMMYFUNCTION("""COMPUTED_VALUE"""),"John Day")</f>
        <v>John Day</v>
      </c>
      <c r="U3608" s="5" t="str">
        <f>IFERROR(__xludf.DUMMYFUNCTION("""COMPUTED_VALUE"""),"Jonathan Mostow")</f>
        <v>Jonathan Mostow</v>
      </c>
      <c r="V3608" s="5" t="s">
        <v>5709</v>
      </c>
      <c r="W3608" s="5" t="str">
        <f t="shared" si="3"/>
        <v>Roger Kumble</v>
      </c>
      <c r="X3608" s="5">
        <f t="shared" si="4"/>
        <v>4</v>
      </c>
      <c r="Y3608" s="5" t="str">
        <f>IFERROR(__xludf.DUMMYFUNCTION("REGEXEXTRACT(J3608, ""^\d+"")"),"1")</f>
        <v>1</v>
      </c>
      <c r="Z3608" s="5" t="str">
        <f>IFERROR(__xludf.DUMMYFUNCTION("REGEXEXTRACT(J3608, ""[A-Za-z ]+$"")")," Season")</f>
        <v> Season</v>
      </c>
      <c r="AA3608" s="5" t="str">
        <f>IFERROR(__xludf.DUMMYFUNCTION("IF(REGEXMATCH(Z3608, ""Season""), ""TV Show"", ""Movie"")"),"TV Show")</f>
        <v>TV Show</v>
      </c>
    </row>
    <row r="3609">
      <c r="A3609" s="1" t="s">
        <v>19696</v>
      </c>
      <c r="B3609" s="1" t="s">
        <v>37</v>
      </c>
      <c r="C3609" s="1" t="s">
        <v>19697</v>
      </c>
      <c r="E3609" s="1" t="s">
        <v>19698</v>
      </c>
      <c r="F3609" s="1" t="s">
        <v>3938</v>
      </c>
      <c r="G3609" s="1" t="s">
        <v>19694</v>
      </c>
      <c r="H3609" s="1">
        <v>2019.0</v>
      </c>
      <c r="I3609" s="1" t="s">
        <v>42</v>
      </c>
      <c r="J3609" s="1" t="s">
        <v>51</v>
      </c>
      <c r="K3609" s="1" t="s">
        <v>402</v>
      </c>
      <c r="L3609" s="1" t="s">
        <v>19699</v>
      </c>
      <c r="M3609" s="2" t="s">
        <v>12</v>
      </c>
      <c r="N3609" s="4">
        <f t="shared" si="1"/>
        <v>43685</v>
      </c>
      <c r="O3609" s="5" t="str">
        <f>IFERROR(__xludf.DUMMYFUNCTION("IF(REGEXMATCH(TRIM(I3609), ""^\d+\s*min""), ""Unclassified"", IF(I3609 = """", ""NR"", I3609))"),"TV-MA")</f>
        <v>TV-MA</v>
      </c>
      <c r="R3609" s="5" t="str">
        <f t="shared" si="2"/>
        <v>Dollar</v>
      </c>
      <c r="S3609" s="5" t="str">
        <f>IFERROR(__xludf.DUMMYFUNCTION("""COMPUTED_VALUE"""),"John Henry")</f>
        <v>John Henry</v>
      </c>
      <c r="U3609" s="5" t="str">
        <f>IFERROR(__xludf.DUMMYFUNCTION("""COMPUTED_VALUE"""),"Matt Kugelman")</f>
        <v>Matt Kugelman</v>
      </c>
      <c r="V3609" s="5" t="s">
        <v>17781</v>
      </c>
      <c r="W3609" s="5" t="str">
        <f t="shared" si="3"/>
        <v>Roger Russell</v>
      </c>
      <c r="X3609" s="5">
        <f t="shared" si="4"/>
        <v>1</v>
      </c>
      <c r="Y3609" s="5" t="str">
        <f>IFERROR(__xludf.DUMMYFUNCTION("REGEXEXTRACT(J3609, ""^\d+"")"),"1")</f>
        <v>1</v>
      </c>
      <c r="Z3609" s="5" t="str">
        <f>IFERROR(__xludf.DUMMYFUNCTION("REGEXEXTRACT(J3609, ""[A-Za-z ]+$"")")," Season")</f>
        <v> Season</v>
      </c>
      <c r="AA3609" s="5" t="str">
        <f>IFERROR(__xludf.DUMMYFUNCTION("IF(REGEXMATCH(Z3609, ""Season""), ""TV Show"", ""Movie"")"),"TV Show")</f>
        <v>TV Show</v>
      </c>
    </row>
    <row r="3610">
      <c r="A3610" s="1" t="s">
        <v>19700</v>
      </c>
      <c r="B3610" s="1" t="s">
        <v>37</v>
      </c>
      <c r="C3610" s="1" t="s">
        <v>19701</v>
      </c>
      <c r="E3610" s="1" t="s">
        <v>19702</v>
      </c>
      <c r="F3610" s="1" t="s">
        <v>30</v>
      </c>
      <c r="G3610" s="1" t="s">
        <v>19694</v>
      </c>
      <c r="H3610" s="1">
        <v>2019.0</v>
      </c>
      <c r="I3610" s="1" t="s">
        <v>97</v>
      </c>
      <c r="J3610" s="1" t="s">
        <v>189</v>
      </c>
      <c r="K3610" s="1" t="s">
        <v>4634</v>
      </c>
      <c r="L3610" s="1" t="s">
        <v>19703</v>
      </c>
      <c r="M3610" s="2" t="s">
        <v>12</v>
      </c>
      <c r="N3610" s="4">
        <f t="shared" si="1"/>
        <v>43685</v>
      </c>
      <c r="O3610" s="5" t="str">
        <f>IFERROR(__xludf.DUMMYFUNCTION("IF(REGEXMATCH(TRIM(I3610), ""^\d+\s*min""), ""Unclassified"", IF(I3610 = """", ""NR"", I3610))"),"TV-14")</f>
        <v>TV-14</v>
      </c>
      <c r="R3610" s="5" t="str">
        <f t="shared" si="2"/>
        <v>Jane The Virgin</v>
      </c>
      <c r="S3610" s="5" t="str">
        <f>IFERROR(__xludf.DUMMYFUNCTION("""COMPUTED_VALUE"""),"John Leguizamo'S Latin History For Morons")</f>
        <v>John Leguizamo'S Latin History For Morons</v>
      </c>
      <c r="U3610" s="5" t="str">
        <f>IFERROR(__xludf.DUMMYFUNCTION("""COMPUTED_VALUE"""),"Gabriel Grieco")</f>
        <v>Gabriel Grieco</v>
      </c>
      <c r="V3610" s="5" t="s">
        <v>19704</v>
      </c>
      <c r="W3610" s="5" t="str">
        <f t="shared" si="3"/>
        <v>Roger Spottiswoode</v>
      </c>
      <c r="X3610" s="5">
        <f t="shared" si="4"/>
        <v>1</v>
      </c>
      <c r="Y3610" s="5" t="str">
        <f>IFERROR(__xludf.DUMMYFUNCTION("REGEXEXTRACT(J3610, ""^\d+"")"),"5")</f>
        <v>5</v>
      </c>
      <c r="Z3610" s="5" t="str">
        <f>IFERROR(__xludf.DUMMYFUNCTION("REGEXEXTRACT(J3610, ""[A-Za-z ]+$"")")," Seasons")</f>
        <v> Seasons</v>
      </c>
      <c r="AA3610" s="5" t="str">
        <f>IFERROR(__xludf.DUMMYFUNCTION("IF(REGEXMATCH(Z3610, ""Season""), ""TV Show"", ""Movie"")"),"TV Show")</f>
        <v>TV Show</v>
      </c>
    </row>
    <row r="3611">
      <c r="A3611" s="1" t="s">
        <v>19705</v>
      </c>
      <c r="B3611" s="1" t="s">
        <v>37</v>
      </c>
      <c r="C3611" s="1" t="s">
        <v>19706</v>
      </c>
      <c r="E3611" s="1" t="s">
        <v>19707</v>
      </c>
      <c r="F3611" s="1" t="s">
        <v>19708</v>
      </c>
      <c r="G3611" s="1" t="s">
        <v>19694</v>
      </c>
      <c r="H3611" s="1">
        <v>2015.0</v>
      </c>
      <c r="I3611" s="1" t="s">
        <v>42</v>
      </c>
      <c r="J3611" s="1" t="s">
        <v>51</v>
      </c>
      <c r="K3611" s="1" t="s">
        <v>7164</v>
      </c>
      <c r="L3611" s="1" t="s">
        <v>19709</v>
      </c>
      <c r="M3611" s="2" t="s">
        <v>12</v>
      </c>
      <c r="N3611" s="4">
        <f t="shared" si="1"/>
        <v>43685</v>
      </c>
      <c r="O3611" s="5" t="str">
        <f>IFERROR(__xludf.DUMMYFUNCTION("IF(REGEXMATCH(TRIM(I3611), ""^\d+\s*min""), ""Unclassified"", IF(I3611 = """", ""NR"", I3611))"),"TV-MA")</f>
        <v>TV-MA</v>
      </c>
      <c r="R3611" s="5" t="str">
        <f t="shared" si="2"/>
        <v>Let'S Eat 2</v>
      </c>
      <c r="S3611" s="5" t="str">
        <f>IFERROR(__xludf.DUMMYFUNCTION("""COMPUTED_VALUE"""),"John Mellencamp: Plain Spoken")</f>
        <v>John Mellencamp: Plain Spoken</v>
      </c>
      <c r="U3611" s="5" t="str">
        <f>IFERROR(__xludf.DUMMYFUNCTION("""COMPUTED_VALUE"""),"Benjamin Turner, Gabe Turner")</f>
        <v>Benjamin Turner, Gabe Turner</v>
      </c>
      <c r="V3611" s="5" t="s">
        <v>19710</v>
      </c>
      <c r="W3611" s="5" t="str">
        <f t="shared" si="3"/>
        <v>Roger Young</v>
      </c>
      <c r="X3611" s="5">
        <f t="shared" si="4"/>
        <v>1</v>
      </c>
      <c r="Y3611" s="5" t="str">
        <f>IFERROR(__xludf.DUMMYFUNCTION("REGEXEXTRACT(J3611, ""^\d+"")"),"1")</f>
        <v>1</v>
      </c>
      <c r="Z3611" s="5" t="str">
        <f>IFERROR(__xludf.DUMMYFUNCTION("REGEXEXTRACT(J3611, ""[A-Za-z ]+$"")")," Season")</f>
        <v> Season</v>
      </c>
      <c r="AA3611" s="5" t="str">
        <f>IFERROR(__xludf.DUMMYFUNCTION("IF(REGEXMATCH(Z3611, ""Season""), ""TV Show"", ""Movie"")"),"TV Show")</f>
        <v>TV Show</v>
      </c>
    </row>
    <row r="3612">
      <c r="A3612" s="1" t="s">
        <v>19711</v>
      </c>
      <c r="B3612" s="1" t="s">
        <v>37</v>
      </c>
      <c r="C3612" s="1" t="s">
        <v>19712</v>
      </c>
      <c r="E3612" s="1" t="s">
        <v>19713</v>
      </c>
      <c r="F3612" s="1" t="s">
        <v>749</v>
      </c>
      <c r="G3612" s="1" t="s">
        <v>19694</v>
      </c>
      <c r="H3612" s="1">
        <v>2013.0</v>
      </c>
      <c r="I3612" s="1" t="s">
        <v>136</v>
      </c>
      <c r="J3612" s="1" t="s">
        <v>51</v>
      </c>
      <c r="K3612" s="1" t="s">
        <v>7164</v>
      </c>
      <c r="L3612" s="1" t="s">
        <v>19714</v>
      </c>
      <c r="M3612" s="2" t="s">
        <v>12</v>
      </c>
      <c r="N3612" s="4">
        <f t="shared" si="1"/>
        <v>43685</v>
      </c>
      <c r="O3612" s="5" t="str">
        <f>IFERROR(__xludf.DUMMYFUNCTION("IF(REGEXMATCH(TRIM(I3612), ""^\d+\s*min""), ""Unclassified"", IF(I3612 = """", ""NR"", I3612))"),"TV-PG")</f>
        <v>TV-PG</v>
      </c>
      <c r="R3612" s="5" t="str">
        <f t="shared" si="2"/>
        <v>Let’S Eat</v>
      </c>
      <c r="S3612" s="5" t="str">
        <f>IFERROR(__xludf.DUMMYFUNCTION("""COMPUTED_VALUE"""),"John Mulaney &amp; The Sack Lunch Bunch")</f>
        <v>John Mulaney &amp; The Sack Lunch Bunch</v>
      </c>
      <c r="U3612" s="5" t="str">
        <f>IFERROR(__xludf.DUMMYFUNCTION("""COMPUTED_VALUE"""),"Mary Mazzio")</f>
        <v>Mary Mazzio</v>
      </c>
      <c r="V3612" s="5" t="s">
        <v>8373</v>
      </c>
      <c r="W3612" s="5" t="str">
        <f t="shared" si="3"/>
        <v>Rohan Sippy</v>
      </c>
      <c r="X3612" s="5">
        <f t="shared" si="4"/>
        <v>1</v>
      </c>
      <c r="Y3612" s="5" t="str">
        <f>IFERROR(__xludf.DUMMYFUNCTION("REGEXEXTRACT(J3612, ""^\d+"")"),"1")</f>
        <v>1</v>
      </c>
      <c r="Z3612" s="5" t="str">
        <f>IFERROR(__xludf.DUMMYFUNCTION("REGEXEXTRACT(J3612, ""[A-Za-z ]+$"")")," Season")</f>
        <v> Season</v>
      </c>
      <c r="AA3612" s="5" t="str">
        <f>IFERROR(__xludf.DUMMYFUNCTION("IF(REGEXMATCH(Z3612, ""Season""), ""TV Show"", ""Movie"")"),"TV Show")</f>
        <v>TV Show</v>
      </c>
    </row>
    <row r="3613">
      <c r="A3613" s="1" t="s">
        <v>19715</v>
      </c>
      <c r="B3613" s="1" t="s">
        <v>37</v>
      </c>
      <c r="C3613" s="1" t="s">
        <v>19716</v>
      </c>
      <c r="E3613" s="1" t="s">
        <v>19717</v>
      </c>
      <c r="F3613" s="1" t="s">
        <v>749</v>
      </c>
      <c r="G3613" s="1" t="s">
        <v>19694</v>
      </c>
      <c r="H3613" s="1">
        <v>2014.0</v>
      </c>
      <c r="I3613" s="1" t="s">
        <v>42</v>
      </c>
      <c r="J3613" s="1" t="s">
        <v>51</v>
      </c>
      <c r="K3613" s="1" t="s">
        <v>13832</v>
      </c>
      <c r="L3613" s="1" t="s">
        <v>19718</v>
      </c>
      <c r="M3613" s="2" t="s">
        <v>12</v>
      </c>
      <c r="N3613" s="4">
        <f t="shared" si="1"/>
        <v>43685</v>
      </c>
      <c r="O3613" s="5" t="str">
        <f>IFERROR(__xludf.DUMMYFUNCTION("IF(REGEXMATCH(TRIM(I3613), ""^\d+\s*min""), ""Unclassified"", IF(I3613 = """", ""NR"", I3613))"),"TV-MA")</f>
        <v>TV-MA</v>
      </c>
      <c r="R3613" s="5" t="str">
        <f t="shared" si="2"/>
        <v>Misaeng</v>
      </c>
      <c r="S3613" s="5" t="str">
        <f>IFERROR(__xludf.DUMMYFUNCTION("""COMPUTED_VALUE"""),"John Mulaney: Kid Gorgeous At Radio City")</f>
        <v>John Mulaney: Kid Gorgeous At Radio City</v>
      </c>
      <c r="U3613" s="5" t="str">
        <f>IFERROR(__xludf.DUMMYFUNCTION("""COMPUTED_VALUE"""),"Laura Vanzee Taylor")</f>
        <v>Laura Vanzee Taylor</v>
      </c>
      <c r="V3613" s="5" t="s">
        <v>8400</v>
      </c>
      <c r="W3613" s="5" t="str">
        <f t="shared" si="3"/>
        <v>Rohena Gera</v>
      </c>
      <c r="X3613" s="5">
        <f t="shared" si="4"/>
        <v>1</v>
      </c>
      <c r="Y3613" s="5" t="str">
        <f>IFERROR(__xludf.DUMMYFUNCTION("REGEXEXTRACT(J3613, ""^\d+"")"),"1")</f>
        <v>1</v>
      </c>
      <c r="Z3613" s="5" t="str">
        <f>IFERROR(__xludf.DUMMYFUNCTION("REGEXEXTRACT(J3613, ""[A-Za-z ]+$"")")," Season")</f>
        <v> Season</v>
      </c>
      <c r="AA3613" s="5" t="str">
        <f>IFERROR(__xludf.DUMMYFUNCTION("IF(REGEXMATCH(Z3613, ""Season""), ""TV Show"", ""Movie"")"),"TV Show")</f>
        <v>TV Show</v>
      </c>
    </row>
    <row r="3614">
      <c r="A3614" s="1" t="s">
        <v>19719</v>
      </c>
      <c r="B3614" s="1" t="s">
        <v>37</v>
      </c>
      <c r="C3614" s="1" t="s">
        <v>19720</v>
      </c>
      <c r="E3614" s="1" t="s">
        <v>19721</v>
      </c>
      <c r="F3614" s="1" t="s">
        <v>749</v>
      </c>
      <c r="G3614" s="1" t="s">
        <v>19694</v>
      </c>
      <c r="H3614" s="1">
        <v>2015.0</v>
      </c>
      <c r="I3614" s="1" t="s">
        <v>42</v>
      </c>
      <c r="J3614" s="1" t="s">
        <v>51</v>
      </c>
      <c r="K3614" s="1" t="s">
        <v>7164</v>
      </c>
      <c r="L3614" s="1" t="s">
        <v>19722</v>
      </c>
      <c r="M3614" s="2" t="s">
        <v>12</v>
      </c>
      <c r="N3614" s="4">
        <f t="shared" si="1"/>
        <v>43685</v>
      </c>
      <c r="O3614" s="5" t="str">
        <f>IFERROR(__xludf.DUMMYFUNCTION("IF(REGEXMATCH(TRIM(I3614), ""^\d+\s*min""), ""Unclassified"", IF(I3614 = """", ""NR"", I3614))"),"TV-MA")</f>
        <v>TV-MA</v>
      </c>
      <c r="R3614" s="5" t="str">
        <f t="shared" si="2"/>
        <v>Oh My Ghost</v>
      </c>
      <c r="S3614" s="5" t="str">
        <f>IFERROR(__xludf.DUMMYFUNCTION("""COMPUTED_VALUE"""),"John Mulaney: New In Town")</f>
        <v>John Mulaney: New In Town</v>
      </c>
      <c r="U3614" s="5" t="str">
        <f>IFERROR(__xludf.DUMMYFUNCTION("""COMPUTED_VALUE"""),"Feng Xiaogang")</f>
        <v>Feng Xiaogang</v>
      </c>
      <c r="V3614" s="5" t="s">
        <v>19723</v>
      </c>
      <c r="W3614" s="5" t="str">
        <f t="shared" si="3"/>
        <v>Rohit Jugraj</v>
      </c>
      <c r="X3614" s="5">
        <f t="shared" si="4"/>
        <v>4</v>
      </c>
      <c r="Y3614" s="5" t="str">
        <f>IFERROR(__xludf.DUMMYFUNCTION("REGEXEXTRACT(J3614, ""^\d+"")"),"1")</f>
        <v>1</v>
      </c>
      <c r="Z3614" s="5" t="str">
        <f>IFERROR(__xludf.DUMMYFUNCTION("REGEXEXTRACT(J3614, ""[A-Za-z ]+$"")")," Season")</f>
        <v> Season</v>
      </c>
      <c r="AA3614" s="5" t="str">
        <f>IFERROR(__xludf.DUMMYFUNCTION("IF(REGEXMATCH(Z3614, ""Season""), ""TV Show"", ""Movie"")"),"TV Show")</f>
        <v>TV Show</v>
      </c>
    </row>
    <row r="3615">
      <c r="A3615" s="1" t="s">
        <v>19724</v>
      </c>
      <c r="B3615" s="1" t="s">
        <v>37</v>
      </c>
      <c r="C3615" s="1" t="s">
        <v>19725</v>
      </c>
      <c r="D3615" s="1" t="s">
        <v>19726</v>
      </c>
      <c r="E3615" s="1" t="s">
        <v>19727</v>
      </c>
      <c r="F3615" s="1" t="s">
        <v>749</v>
      </c>
      <c r="G3615" s="1" t="s">
        <v>19694</v>
      </c>
      <c r="H3615" s="1">
        <v>2014.0</v>
      </c>
      <c r="I3615" s="1" t="s">
        <v>42</v>
      </c>
      <c r="J3615" s="1" t="s">
        <v>51</v>
      </c>
      <c r="K3615" s="1" t="s">
        <v>7164</v>
      </c>
      <c r="L3615" s="1" t="s">
        <v>19728</v>
      </c>
      <c r="M3615" s="2" t="s">
        <v>12</v>
      </c>
      <c r="N3615" s="4">
        <f t="shared" si="1"/>
        <v>43685</v>
      </c>
      <c r="O3615" s="5" t="str">
        <f>IFERROR(__xludf.DUMMYFUNCTION("IF(REGEXMATCH(TRIM(I3615), ""^\d+\s*min""), ""Unclassified"", IF(I3615 = """", ""NR"", I3615))"),"TV-MA")</f>
        <v>TV-MA</v>
      </c>
      <c r="R3615" s="5" t="str">
        <f t="shared" si="2"/>
        <v>Reply 1994</v>
      </c>
      <c r="S3615" s="5" t="str">
        <f>IFERROR(__xludf.DUMMYFUNCTION("""COMPUTED_VALUE"""),"John Mulaney: The Comeback Kid")</f>
        <v>John Mulaney: The Comeback Kid</v>
      </c>
      <c r="U3615" s="5" t="str">
        <f>IFERROR(__xludf.DUMMYFUNCTION("""COMPUTED_VALUE"""),"Adam Sjöberg")</f>
        <v>Adam Sjöberg</v>
      </c>
      <c r="V3615" s="5" t="s">
        <v>19729</v>
      </c>
      <c r="W3615" s="5" t="str">
        <f t="shared" si="3"/>
        <v>Rohit Mittal</v>
      </c>
      <c r="X3615" s="5">
        <f t="shared" si="4"/>
        <v>1</v>
      </c>
      <c r="Y3615" s="5" t="str">
        <f>IFERROR(__xludf.DUMMYFUNCTION("REGEXEXTRACT(J3615, ""^\d+"")"),"1")</f>
        <v>1</v>
      </c>
      <c r="Z3615" s="5" t="str">
        <f>IFERROR(__xludf.DUMMYFUNCTION("REGEXEXTRACT(J3615, ""[A-Za-z ]+$"")")," Season")</f>
        <v> Season</v>
      </c>
      <c r="AA3615" s="5" t="str">
        <f>IFERROR(__xludf.DUMMYFUNCTION("IF(REGEXMATCH(Z3615, ""Season""), ""TV Show"", ""Movie"")"),"TV Show")</f>
        <v>TV Show</v>
      </c>
    </row>
    <row r="3616">
      <c r="A3616" s="1" t="s">
        <v>19730</v>
      </c>
      <c r="B3616" s="1" t="s">
        <v>37</v>
      </c>
      <c r="C3616" s="1" t="s">
        <v>19731</v>
      </c>
      <c r="D3616" s="1" t="s">
        <v>19726</v>
      </c>
      <c r="E3616" s="1" t="s">
        <v>19732</v>
      </c>
      <c r="F3616" s="1" t="s">
        <v>749</v>
      </c>
      <c r="G3616" s="1" t="s">
        <v>19694</v>
      </c>
      <c r="H3616" s="1">
        <v>2012.0</v>
      </c>
      <c r="I3616" s="1" t="s">
        <v>42</v>
      </c>
      <c r="J3616" s="1" t="s">
        <v>51</v>
      </c>
      <c r="K3616" s="1" t="s">
        <v>7164</v>
      </c>
      <c r="L3616" s="1" t="s">
        <v>19733</v>
      </c>
      <c r="M3616" s="2" t="s">
        <v>12</v>
      </c>
      <c r="N3616" s="4">
        <f t="shared" si="1"/>
        <v>43685</v>
      </c>
      <c r="O3616" s="5" t="str">
        <f>IFERROR(__xludf.DUMMYFUNCTION("IF(REGEXMATCH(TRIM(I3616), ""^\d+\s*min""), ""Unclassified"", IF(I3616 = """", ""NR"", I3616))"),"TV-MA")</f>
        <v>TV-MA</v>
      </c>
      <c r="R3616" s="5" t="str">
        <f t="shared" si="2"/>
        <v>Reply 1997</v>
      </c>
      <c r="S3616" s="5" t="str">
        <f>IFERROR(__xludf.DUMMYFUNCTION("""COMPUTED_VALUE"""),"John Of God: The Crimes Of A Spiritual Healer")</f>
        <v>John Of God: The Crimes Of A Spiritual Healer</v>
      </c>
      <c r="U3616" s="5" t="str">
        <f>IFERROR(__xludf.DUMMYFUNCTION("""COMPUTED_VALUE"""),"Chuck Russell")</f>
        <v>Chuck Russell</v>
      </c>
      <c r="V3616" s="5" t="s">
        <v>1984</v>
      </c>
      <c r="W3616" s="5" t="str">
        <f t="shared" si="3"/>
        <v>Rohit Shetty</v>
      </c>
      <c r="X3616" s="5">
        <f t="shared" si="4"/>
        <v>5</v>
      </c>
      <c r="Y3616" s="5" t="str">
        <f>IFERROR(__xludf.DUMMYFUNCTION("REGEXEXTRACT(J3616, ""^\d+"")"),"1")</f>
        <v>1</v>
      </c>
      <c r="Z3616" s="5" t="str">
        <f>IFERROR(__xludf.DUMMYFUNCTION("REGEXEXTRACT(J3616, ""[A-Za-z ]+$"")")," Season")</f>
        <v> Season</v>
      </c>
      <c r="AA3616" s="5" t="str">
        <f>IFERROR(__xludf.DUMMYFUNCTION("IF(REGEXMATCH(Z3616, ""Season""), ""TV Show"", ""Movie"")"),"TV Show")</f>
        <v>TV Show</v>
      </c>
    </row>
    <row r="3617">
      <c r="A3617" s="1" t="s">
        <v>19734</v>
      </c>
      <c r="B3617" s="1" t="s">
        <v>37</v>
      </c>
      <c r="C3617" s="1" t="s">
        <v>19735</v>
      </c>
      <c r="E3617" s="1" t="s">
        <v>19736</v>
      </c>
      <c r="F3617" s="1" t="s">
        <v>30</v>
      </c>
      <c r="G3617" s="1" t="s">
        <v>19694</v>
      </c>
      <c r="H3617" s="1">
        <v>2019.0</v>
      </c>
      <c r="I3617" s="1" t="s">
        <v>42</v>
      </c>
      <c r="J3617" s="1" t="s">
        <v>51</v>
      </c>
      <c r="K3617" s="1" t="s">
        <v>2583</v>
      </c>
      <c r="L3617" s="1" t="s">
        <v>19737</v>
      </c>
      <c r="M3617" s="2" t="s">
        <v>12</v>
      </c>
      <c r="N3617" s="4">
        <f t="shared" si="1"/>
        <v>43685</v>
      </c>
      <c r="O3617" s="5" t="str">
        <f>IFERROR(__xludf.DUMMYFUNCTION("IF(REGEXMATCH(TRIM(I3617), ""^\d+\s*min""), ""Unclassified"", IF(I3617 = """", ""NR"", I3617))"),"TV-MA")</f>
        <v>TV-MA</v>
      </c>
      <c r="R3617" s="5" t="str">
        <f t="shared" si="2"/>
        <v>Wu Assassins</v>
      </c>
      <c r="S3617" s="5" t="str">
        <f>IFERROR(__xludf.DUMMYFUNCTION("""COMPUTED_VALUE"""),"John Was Trying To Contact Aliens")</f>
        <v>John Was Trying To Contact Aliens</v>
      </c>
      <c r="U3617" s="5" t="str">
        <f>IFERROR(__xludf.DUMMYFUNCTION("""COMPUTED_VALUE"""),"Douglas Mcgrath")</f>
        <v>Douglas Mcgrath</v>
      </c>
      <c r="V3617" s="5" t="s">
        <v>5677</v>
      </c>
      <c r="W3617" s="5" t="str">
        <f t="shared" si="3"/>
        <v>Roland Emmerich</v>
      </c>
      <c r="X3617" s="5">
        <f t="shared" si="4"/>
        <v>3</v>
      </c>
      <c r="Y3617" s="5" t="str">
        <f>IFERROR(__xludf.DUMMYFUNCTION("REGEXEXTRACT(J3617, ""^\d+"")"),"1")</f>
        <v>1</v>
      </c>
      <c r="Z3617" s="5" t="str">
        <f>IFERROR(__xludf.DUMMYFUNCTION("REGEXEXTRACT(J3617, ""[A-Za-z ]+$"")")," Season")</f>
        <v> Season</v>
      </c>
      <c r="AA3617" s="5" t="str">
        <f>IFERROR(__xludf.DUMMYFUNCTION("IF(REGEXMATCH(Z3617, ""Season""), ""TV Show"", ""Movie"")"),"TV Show")</f>
        <v>TV Show</v>
      </c>
    </row>
    <row r="3618">
      <c r="A3618" s="1" t="s">
        <v>19738</v>
      </c>
      <c r="B3618" s="1" t="s">
        <v>27</v>
      </c>
      <c r="C3618" s="1" t="s">
        <v>19739</v>
      </c>
      <c r="D3618" s="1" t="s">
        <v>19740</v>
      </c>
      <c r="E3618" s="1" t="s">
        <v>19741</v>
      </c>
      <c r="F3618" s="1" t="s">
        <v>63</v>
      </c>
      <c r="G3618" s="1" t="s">
        <v>19742</v>
      </c>
      <c r="H3618" s="1">
        <v>2019.0</v>
      </c>
      <c r="I3618" s="1" t="s">
        <v>97</v>
      </c>
      <c r="J3618" s="1" t="s">
        <v>743</v>
      </c>
      <c r="K3618" s="1" t="s">
        <v>631</v>
      </c>
      <c r="L3618" s="1" t="s">
        <v>19743</v>
      </c>
      <c r="M3618" s="2" t="s">
        <v>12</v>
      </c>
      <c r="N3618" s="4">
        <f t="shared" si="1"/>
        <v>43684</v>
      </c>
      <c r="O3618" s="5" t="str">
        <f>IFERROR(__xludf.DUMMYFUNCTION("IF(REGEXMATCH(TRIM(I3618), ""^\d+\s*min""), ""Unclassified"", IF(I3618 = """", ""NR"", I3618))"),"TV-14")</f>
        <v>TV-14</v>
      </c>
      <c r="R3618" s="5" t="str">
        <f t="shared" si="2"/>
        <v>Badla</v>
      </c>
      <c r="S3618" s="5" t="str">
        <f>IFERROR(__xludf.DUMMYFUNCTION("""COMPUTED_VALUE"""),"Johnny Test")</f>
        <v>Johnny Test</v>
      </c>
      <c r="U3618" s="5" t="str">
        <f>IFERROR(__xludf.DUMMYFUNCTION("""COMPUTED_VALUE"""),"Maria Demeshkina Peek")</f>
        <v>Maria Demeshkina Peek</v>
      </c>
      <c r="V3618" s="5" t="s">
        <v>19744</v>
      </c>
      <c r="W3618" s="5" t="str">
        <f t="shared" si="3"/>
        <v>Rolfe Kanefsky</v>
      </c>
      <c r="X3618" s="5">
        <f t="shared" si="4"/>
        <v>1</v>
      </c>
      <c r="Y3618" s="5" t="str">
        <f>IFERROR(__xludf.DUMMYFUNCTION("REGEXEXTRACT(J3618, ""^\d+"")"),"117")</f>
        <v>117</v>
      </c>
      <c r="Z3618" s="5" t="str">
        <f>IFERROR(__xludf.DUMMYFUNCTION("REGEXEXTRACT(J3618, ""[A-Za-z ]+$"")")," min")</f>
        <v> min</v>
      </c>
      <c r="AA3618" s="5" t="str">
        <f>IFERROR(__xludf.DUMMYFUNCTION("IF(REGEXMATCH(Z3618, ""Season""), ""TV Show"", ""Movie"")"),"Movie")</f>
        <v>Movie</v>
      </c>
    </row>
    <row r="3619">
      <c r="A3619" s="1" t="s">
        <v>19745</v>
      </c>
      <c r="B3619" s="1" t="s">
        <v>27</v>
      </c>
      <c r="C3619" s="1" t="s">
        <v>19746</v>
      </c>
      <c r="D3619" s="1" t="s">
        <v>11227</v>
      </c>
      <c r="E3619" s="1" t="s">
        <v>19747</v>
      </c>
      <c r="F3619" s="1" t="s">
        <v>30</v>
      </c>
      <c r="G3619" s="1" t="s">
        <v>19742</v>
      </c>
      <c r="H3619" s="1">
        <v>2016.0</v>
      </c>
      <c r="I3619" s="1" t="s">
        <v>42</v>
      </c>
      <c r="J3619" s="1" t="s">
        <v>155</v>
      </c>
      <c r="K3619" s="1" t="s">
        <v>1839</v>
      </c>
      <c r="L3619" s="1" t="s">
        <v>19748</v>
      </c>
      <c r="M3619" s="2" t="s">
        <v>12</v>
      </c>
      <c r="N3619" s="4">
        <f t="shared" si="1"/>
        <v>43684</v>
      </c>
      <c r="O3619" s="5" t="str">
        <f>IFERROR(__xludf.DUMMYFUNCTION("IF(REGEXMATCH(TRIM(I3619), ""^\d+\s*min""), ""Unclassified"", IF(I3619 = """", ""NR"", I3619))"),"TV-MA")</f>
        <v>TV-MA</v>
      </c>
      <c r="R3619" s="5" t="str">
        <f t="shared" si="2"/>
        <v>Theo Von: No Offense</v>
      </c>
      <c r="S3619" s="5" t="str">
        <f>IFERROR(__xludf.DUMMYFUNCTION("""COMPUTED_VALUE"""),"Jojo'S Bizarre Adventure")</f>
        <v>Jojo'S Bizarre Adventure</v>
      </c>
      <c r="U3619" s="5" t="str">
        <f>IFERROR(__xludf.DUMMYFUNCTION("""COMPUTED_VALUE"""),"Ken Loach")</f>
        <v>Ken Loach</v>
      </c>
      <c r="V3619" s="5" t="s">
        <v>19749</v>
      </c>
      <c r="W3619" s="5" t="str">
        <f t="shared" si="3"/>
        <v>Romain Gavras</v>
      </c>
      <c r="X3619" s="5">
        <f t="shared" si="4"/>
        <v>1</v>
      </c>
      <c r="Y3619" s="5" t="str">
        <f>IFERROR(__xludf.DUMMYFUNCTION("REGEXEXTRACT(J3619, ""^\d+"")"),"67")</f>
        <v>67</v>
      </c>
      <c r="Z3619" s="5" t="str">
        <f>IFERROR(__xludf.DUMMYFUNCTION("REGEXEXTRACT(J3619, ""[A-Za-z ]+$"")")," min")</f>
        <v> min</v>
      </c>
      <c r="AA3619" s="5" t="str">
        <f>IFERROR(__xludf.DUMMYFUNCTION("IF(REGEXMATCH(Z3619, ""Season""), ""TV Show"", ""Movie"")"),"Movie")</f>
        <v>Movie</v>
      </c>
    </row>
    <row r="3620">
      <c r="A3620" s="1" t="s">
        <v>19750</v>
      </c>
      <c r="B3620" s="1" t="s">
        <v>27</v>
      </c>
      <c r="C3620" s="1" t="s">
        <v>19751</v>
      </c>
      <c r="D3620" s="1" t="s">
        <v>5285</v>
      </c>
      <c r="E3620" s="1" t="s">
        <v>19752</v>
      </c>
      <c r="F3620" s="1" t="s">
        <v>4287</v>
      </c>
      <c r="G3620" s="1" t="s">
        <v>19753</v>
      </c>
      <c r="H3620" s="1">
        <v>2015.0</v>
      </c>
      <c r="I3620" s="1" t="s">
        <v>97</v>
      </c>
      <c r="J3620" s="1" t="s">
        <v>835</v>
      </c>
      <c r="K3620" s="1" t="s">
        <v>583</v>
      </c>
      <c r="L3620" s="1" t="s">
        <v>19754</v>
      </c>
      <c r="M3620" s="2" t="s">
        <v>12</v>
      </c>
      <c r="N3620" s="4">
        <f t="shared" si="1"/>
        <v>43683</v>
      </c>
      <c r="O3620" s="5" t="str">
        <f>IFERROR(__xludf.DUMMYFUNCTION("IF(REGEXMATCH(TRIM(I3620), ""^\d+\s*min""), ""Unclassified"", IF(I3620 = """", ""NR"", I3620))"),"TV-14")</f>
        <v>TV-14</v>
      </c>
      <c r="R3620" s="5" t="str">
        <f t="shared" si="2"/>
        <v>Crazy Beautiful You</v>
      </c>
      <c r="S3620" s="5" t="str">
        <f>IFERROR(__xludf.DUMMYFUNCTION("""COMPUTED_VALUE"""),"Jojo'S World")</f>
        <v>Jojo'S World</v>
      </c>
      <c r="U3620" s="5" t="str">
        <f>IFERROR(__xludf.DUMMYFUNCTION("""COMPUTED_VALUE"""),"Steve Race")</f>
        <v>Steve Race</v>
      </c>
      <c r="V3620" s="5" t="s">
        <v>19755</v>
      </c>
      <c r="W3620" s="5" t="str">
        <f t="shared" si="3"/>
        <v>Roman Atwood, Ben Pluimer</v>
      </c>
      <c r="X3620" s="5">
        <f t="shared" si="4"/>
        <v>1</v>
      </c>
      <c r="Y3620" s="5" t="str">
        <f>IFERROR(__xludf.DUMMYFUNCTION("REGEXEXTRACT(J3620, ""^\d+"")"),"114")</f>
        <v>114</v>
      </c>
      <c r="Z3620" s="5" t="str">
        <f>IFERROR(__xludf.DUMMYFUNCTION("REGEXEXTRACT(J3620, ""[A-Za-z ]+$"")")," min")</f>
        <v> min</v>
      </c>
      <c r="AA3620" s="5" t="str">
        <f>IFERROR(__xludf.DUMMYFUNCTION("IF(REGEXMATCH(Z3620, ""Season""), ""TV Show"", ""Movie"")"),"Movie")</f>
        <v>Movie</v>
      </c>
    </row>
    <row r="3621">
      <c r="A3621" s="1" t="s">
        <v>19756</v>
      </c>
      <c r="B3621" s="1" t="s">
        <v>27</v>
      </c>
      <c r="C3621" s="1" t="s">
        <v>19757</v>
      </c>
      <c r="D3621" s="1" t="s">
        <v>13344</v>
      </c>
      <c r="E3621" s="1" t="s">
        <v>19758</v>
      </c>
      <c r="F3621" s="1" t="s">
        <v>30</v>
      </c>
      <c r="G3621" s="1" t="s">
        <v>19753</v>
      </c>
      <c r="H3621" s="1">
        <v>2015.0</v>
      </c>
      <c r="I3621" s="1" t="s">
        <v>42</v>
      </c>
      <c r="J3621" s="1" t="s">
        <v>155</v>
      </c>
      <c r="K3621" s="1" t="s">
        <v>1839</v>
      </c>
      <c r="L3621" s="1" t="s">
        <v>19759</v>
      </c>
      <c r="M3621" s="2" t="s">
        <v>12</v>
      </c>
      <c r="N3621" s="4">
        <f t="shared" si="1"/>
        <v>43683</v>
      </c>
      <c r="O3621" s="5" t="str">
        <f>IFERROR(__xludf.DUMMYFUNCTION("IF(REGEXMATCH(TRIM(I3621), ""^\d+\s*min""), ""Unclassified"", IF(I3621 = """", ""NR"", I3621))"),"TV-MA")</f>
        <v>TV-MA</v>
      </c>
      <c r="R3621" s="5" t="str">
        <f t="shared" si="2"/>
        <v>I'M Brent Morin</v>
      </c>
      <c r="S3621" s="5" t="str">
        <f>IFERROR(__xludf.DUMMYFUNCTION("""COMPUTED_VALUE"""),"Joker")</f>
        <v>Joker</v>
      </c>
      <c r="U3621" s="5" t="str">
        <f>IFERROR(__xludf.DUMMYFUNCTION("""COMPUTED_VALUE"""),"Brett Harvey")</f>
        <v>Brett Harvey</v>
      </c>
      <c r="V3621" s="5" t="s">
        <v>19760</v>
      </c>
      <c r="W3621" s="5" t="str">
        <f t="shared" si="3"/>
        <v>Roman Coppola</v>
      </c>
      <c r="X3621" s="5">
        <f t="shared" si="4"/>
        <v>1</v>
      </c>
      <c r="Y3621" s="5" t="str">
        <f>IFERROR(__xludf.DUMMYFUNCTION("REGEXEXTRACT(J3621, ""^\d+"")"),"67")</f>
        <v>67</v>
      </c>
      <c r="Z3621" s="5" t="str">
        <f>IFERROR(__xludf.DUMMYFUNCTION("REGEXEXTRACT(J3621, ""[A-Za-z ]+$"")")," min")</f>
        <v> min</v>
      </c>
      <c r="AA3621" s="5" t="str">
        <f>IFERROR(__xludf.DUMMYFUNCTION("IF(REGEXMATCH(Z3621, ""Season""), ""TV Show"", ""Movie"")"),"Movie")</f>
        <v>Movie</v>
      </c>
    </row>
    <row r="3622">
      <c r="A3622" s="1" t="s">
        <v>19761</v>
      </c>
      <c r="B3622" s="1" t="s">
        <v>27</v>
      </c>
      <c r="C3622" s="1" t="s">
        <v>19762</v>
      </c>
      <c r="D3622" s="1" t="s">
        <v>16570</v>
      </c>
      <c r="E3622" s="1" t="s">
        <v>12858</v>
      </c>
      <c r="F3622" s="1" t="s">
        <v>30</v>
      </c>
      <c r="G3622" s="1" t="s">
        <v>19753</v>
      </c>
      <c r="H3622" s="1">
        <v>2014.0</v>
      </c>
      <c r="I3622" s="1" t="s">
        <v>42</v>
      </c>
      <c r="J3622" s="1" t="s">
        <v>4558</v>
      </c>
      <c r="K3622" s="1" t="s">
        <v>1839</v>
      </c>
      <c r="L3622" s="1" t="s">
        <v>19763</v>
      </c>
      <c r="M3622" s="2" t="s">
        <v>12</v>
      </c>
      <c r="N3622" s="4">
        <f t="shared" si="1"/>
        <v>43683</v>
      </c>
      <c r="O3622" s="5" t="str">
        <f>IFERROR(__xludf.DUMMYFUNCTION("IF(REGEXMATCH(TRIM(I3622), ""^\d+\s*min""), ""Unclassified"", IF(I3622 = """", ""NR"", I3622))"),"TV-MA")</f>
        <v>TV-MA</v>
      </c>
      <c r="R3622" s="5" t="str">
        <f t="shared" si="2"/>
        <v>Jim Jefferies : Bare</v>
      </c>
      <c r="S3622" s="5" t="str">
        <f>IFERROR(__xludf.DUMMYFUNCTION("""COMPUTED_VALUE"""),"Jonaki")</f>
        <v>Jonaki</v>
      </c>
      <c r="U3622" s="5" t="str">
        <f>IFERROR(__xludf.DUMMYFUNCTION("""COMPUTED_VALUE"""),"Law Wing-Cheong")</f>
        <v>Law Wing-Cheong</v>
      </c>
      <c r="V3622" s="5" t="s">
        <v>19764</v>
      </c>
      <c r="W3622" s="5" t="str">
        <f t="shared" si="3"/>
        <v>Roman Gackowski</v>
      </c>
      <c r="X3622" s="5">
        <f t="shared" si="4"/>
        <v>1</v>
      </c>
      <c r="Y3622" s="5" t="str">
        <f>IFERROR(__xludf.DUMMYFUNCTION("REGEXEXTRACT(J3622, ""^\d+"")"),"77")</f>
        <v>77</v>
      </c>
      <c r="Z3622" s="5" t="str">
        <f>IFERROR(__xludf.DUMMYFUNCTION("REGEXEXTRACT(J3622, ""[A-Za-z ]+$"")")," min")</f>
        <v> min</v>
      </c>
      <c r="AA3622" s="5" t="str">
        <f>IFERROR(__xludf.DUMMYFUNCTION("IF(REGEXMATCH(Z3622, ""Season""), ""TV Show"", ""Movie"")"),"Movie")</f>
        <v>Movie</v>
      </c>
    </row>
    <row r="3623">
      <c r="A3623" s="1" t="s">
        <v>19765</v>
      </c>
      <c r="B3623" s="1" t="s">
        <v>27</v>
      </c>
      <c r="C3623" s="1" t="s">
        <v>19766</v>
      </c>
      <c r="D3623" s="1" t="s">
        <v>2042</v>
      </c>
      <c r="F3623" s="1" t="s">
        <v>30</v>
      </c>
      <c r="G3623" s="1" t="s">
        <v>19753</v>
      </c>
      <c r="H3623" s="1">
        <v>2018.0</v>
      </c>
      <c r="I3623" s="1" t="s">
        <v>42</v>
      </c>
      <c r="J3623" s="1" t="s">
        <v>305</v>
      </c>
      <c r="K3623" s="1" t="s">
        <v>645</v>
      </c>
      <c r="L3623" s="1" t="s">
        <v>19767</v>
      </c>
      <c r="M3623" s="2" t="s">
        <v>12</v>
      </c>
      <c r="N3623" s="4">
        <f t="shared" si="1"/>
        <v>43683</v>
      </c>
      <c r="O3623" s="5" t="str">
        <f>IFERROR(__xludf.DUMMYFUNCTION("IF(REGEXMATCH(TRIM(I3623), ""^\d+\s*min""), ""Unclassified"", IF(I3623 = """", ""NR"", I3623))"),"TV-MA")</f>
        <v>TV-MA</v>
      </c>
      <c r="R3623" s="5" t="str">
        <f t="shared" si="2"/>
        <v>Screwball</v>
      </c>
      <c r="S3623" s="5" t="str">
        <f>IFERROR(__xludf.DUMMYFUNCTION("""COMPUTED_VALUE"""),"Jonas")</f>
        <v>Jonas</v>
      </c>
      <c r="U3623" s="5" t="str">
        <f>IFERROR(__xludf.DUMMYFUNCTION("""COMPUTED_VALUE"""),"Sachin")</f>
        <v>Sachin</v>
      </c>
      <c r="V3623" s="5" t="s">
        <v>19768</v>
      </c>
      <c r="W3623" s="5" t="str">
        <f t="shared" si="3"/>
        <v>Roman Polanski</v>
      </c>
      <c r="X3623" s="5">
        <f t="shared" si="4"/>
        <v>1</v>
      </c>
      <c r="Y3623" s="5" t="str">
        <f>IFERROR(__xludf.DUMMYFUNCTION("REGEXEXTRACT(J3623, ""^\d+"")"),"105")</f>
        <v>105</v>
      </c>
      <c r="Z3623" s="5" t="str">
        <f>IFERROR(__xludf.DUMMYFUNCTION("REGEXEXTRACT(J3623, ""[A-Za-z ]+$"")")," min")</f>
        <v> min</v>
      </c>
      <c r="AA3623" s="5" t="str">
        <f>IFERROR(__xludf.DUMMYFUNCTION("IF(REGEXMATCH(Z3623, ""Season""), ""TV Show"", ""Movie"")"),"Movie")</f>
        <v>Movie</v>
      </c>
    </row>
    <row r="3624">
      <c r="A3624" s="1" t="s">
        <v>19769</v>
      </c>
      <c r="B3624" s="1" t="s">
        <v>27</v>
      </c>
      <c r="C3624" s="1" t="s">
        <v>19770</v>
      </c>
      <c r="D3624" s="1" t="s">
        <v>14415</v>
      </c>
      <c r="E3624" s="1" t="s">
        <v>19231</v>
      </c>
      <c r="F3624" s="1" t="s">
        <v>30</v>
      </c>
      <c r="G3624" s="1" t="s">
        <v>19753</v>
      </c>
      <c r="H3624" s="1">
        <v>2016.0</v>
      </c>
      <c r="I3624" s="1" t="s">
        <v>42</v>
      </c>
      <c r="J3624" s="1" t="s">
        <v>919</v>
      </c>
      <c r="K3624" s="1" t="s">
        <v>1839</v>
      </c>
      <c r="L3624" s="1" t="s">
        <v>19771</v>
      </c>
      <c r="M3624" s="2" t="s">
        <v>12</v>
      </c>
      <c r="N3624" s="4">
        <f t="shared" si="1"/>
        <v>43683</v>
      </c>
      <c r="O3624" s="5" t="str">
        <f>IFERROR(__xludf.DUMMYFUNCTION("IF(REGEXMATCH(TRIM(I3624), ""^\d+\s*min""), ""Unclassified"", IF(I3624 = """", ""NR"", I3624))"),"TV-MA")</f>
        <v>TV-MA</v>
      </c>
      <c r="R3624" s="5" t="str">
        <f t="shared" si="2"/>
        <v>Sebastian Maniscalco: Why Would You Do That</v>
      </c>
      <c r="S3624" s="5" t="str">
        <f>IFERROR(__xludf.DUMMYFUNCTION("""COMPUTED_VALUE"""),"Jonathan")</f>
        <v>Jonathan</v>
      </c>
      <c r="U3624" s="5" t="str">
        <f>IFERROR(__xludf.DUMMYFUNCTION("""COMPUTED_VALUE"""),"Tony Leondis")</f>
        <v>Tony Leondis</v>
      </c>
      <c r="V3624" s="5" t="s">
        <v>6750</v>
      </c>
      <c r="W3624" s="5" t="str">
        <f t="shared" si="3"/>
        <v>Roman Polański</v>
      </c>
      <c r="X3624" s="5">
        <f t="shared" si="4"/>
        <v>1</v>
      </c>
      <c r="Y3624" s="5" t="str">
        <f>IFERROR(__xludf.DUMMYFUNCTION("REGEXEXTRACT(J3624, ""^\d+"")"),"63")</f>
        <v>63</v>
      </c>
      <c r="Z3624" s="5" t="str">
        <f>IFERROR(__xludf.DUMMYFUNCTION("REGEXEXTRACT(J3624, ""[A-Za-z ]+$"")")," min")</f>
        <v> min</v>
      </c>
      <c r="AA3624" s="5" t="str">
        <f>IFERROR(__xludf.DUMMYFUNCTION("IF(REGEXMATCH(Z3624, ""Season""), ""TV Show"", ""Movie"")"),"Movie")</f>
        <v>Movie</v>
      </c>
    </row>
    <row r="3625">
      <c r="A3625" s="1" t="s">
        <v>19772</v>
      </c>
      <c r="B3625" s="1" t="s">
        <v>27</v>
      </c>
      <c r="C3625" s="1" t="s">
        <v>19773</v>
      </c>
      <c r="D3625" s="1" t="s">
        <v>1059</v>
      </c>
      <c r="E3625" s="1" t="s">
        <v>19774</v>
      </c>
      <c r="F3625" s="1" t="s">
        <v>1846</v>
      </c>
      <c r="G3625" s="1" t="s">
        <v>19775</v>
      </c>
      <c r="H3625" s="1">
        <v>2019.0</v>
      </c>
      <c r="I3625" s="1" t="s">
        <v>42</v>
      </c>
      <c r="J3625" s="1" t="s">
        <v>1847</v>
      </c>
      <c r="K3625" s="1" t="s">
        <v>156</v>
      </c>
      <c r="L3625" s="1" t="s">
        <v>19776</v>
      </c>
      <c r="M3625" s="2" t="s">
        <v>12</v>
      </c>
      <c r="N3625" s="4">
        <f t="shared" si="1"/>
        <v>43682</v>
      </c>
      <c r="O3625" s="5" t="str">
        <f>IFERROR(__xludf.DUMMYFUNCTION("IF(REGEXMATCH(TRIM(I3625), ""^\d+\s*min""), ""Unclassified"", IF(I3625 = """", ""NR"", I3625))"),"TV-MA")</f>
        <v>TV-MA</v>
      </c>
      <c r="R3625" s="5" t="str">
        <f t="shared" si="2"/>
        <v>Enter The Anime</v>
      </c>
      <c r="S3625" s="5" t="str">
        <f>IFERROR(__xludf.DUMMYFUNCTION("""COMPUTED_VALUE"""),"Jonathan Strange &amp; Mr Norrell")</f>
        <v>Jonathan Strange &amp; Mr Norrell</v>
      </c>
      <c r="U3625" s="5" t="str">
        <f>IFERROR(__xludf.DUMMYFUNCTION("""COMPUTED_VALUE"""),"Karey Kirkpatrick")</f>
        <v>Karey Kirkpatrick</v>
      </c>
      <c r="V3625" s="5" t="s">
        <v>6855</v>
      </c>
      <c r="W3625" s="5" t="str">
        <f t="shared" si="3"/>
        <v>Roman White</v>
      </c>
      <c r="X3625" s="5">
        <f t="shared" si="4"/>
        <v>1</v>
      </c>
      <c r="Y3625" s="5" t="str">
        <f>IFERROR(__xludf.DUMMYFUNCTION("REGEXEXTRACT(J3625, ""^\d+"")"),"59")</f>
        <v>59</v>
      </c>
      <c r="Z3625" s="5" t="str">
        <f>IFERROR(__xludf.DUMMYFUNCTION("REGEXEXTRACT(J3625, ""[A-Za-z ]+$"")")," min")</f>
        <v> min</v>
      </c>
      <c r="AA3625" s="5" t="str">
        <f>IFERROR(__xludf.DUMMYFUNCTION("IF(REGEXMATCH(Z3625, ""Season""), ""TV Show"", ""Movie"")"),"Movie")</f>
        <v>Movie</v>
      </c>
    </row>
    <row r="3626">
      <c r="A3626" s="1" t="s">
        <v>19777</v>
      </c>
      <c r="B3626" s="1" t="s">
        <v>37</v>
      </c>
      <c r="C3626" s="1" t="s">
        <v>19778</v>
      </c>
      <c r="E3626" s="1" t="s">
        <v>19779</v>
      </c>
      <c r="F3626" s="1" t="s">
        <v>30</v>
      </c>
      <c r="G3626" s="1" t="s">
        <v>19775</v>
      </c>
      <c r="H3626" s="1">
        <v>2019.0</v>
      </c>
      <c r="I3626" s="1" t="s">
        <v>136</v>
      </c>
      <c r="J3626" s="1" t="s">
        <v>43</v>
      </c>
      <c r="K3626" s="1" t="s">
        <v>15403</v>
      </c>
      <c r="L3626" s="1" t="s">
        <v>19780</v>
      </c>
      <c r="M3626" s="2" t="s">
        <v>12</v>
      </c>
      <c r="N3626" s="4">
        <f t="shared" si="1"/>
        <v>43682</v>
      </c>
      <c r="O3626" s="5" t="str">
        <f>IFERROR(__xludf.DUMMYFUNCTION("IF(REGEXMATCH(TRIM(I3626), ""^\d+\s*min""), ""Unclassified"", IF(I3626 = """", ""NR"", I3626))"),"TV-PG")</f>
        <v>TV-PG</v>
      </c>
      <c r="R3626" s="5" t="str">
        <f t="shared" si="2"/>
        <v>No Good Nick</v>
      </c>
      <c r="S3626" s="5" t="str">
        <f>IFERROR(__xludf.DUMMYFUNCTION("""COMPUTED_VALUE"""),"Jora 10 Numbaria")</f>
        <v>Jora 10 Numbaria</v>
      </c>
      <c r="U3626" s="5" t="str">
        <f>IFERROR(__xludf.DUMMYFUNCTION("""COMPUTED_VALUE"""),"Walerian Borowczyk")</f>
        <v>Walerian Borowczyk</v>
      </c>
      <c r="V3626" s="5" t="s">
        <v>19781</v>
      </c>
      <c r="W3626" s="5" t="str">
        <f t="shared" si="3"/>
        <v>Ron Clements, John Musker</v>
      </c>
      <c r="X3626" s="5">
        <f t="shared" si="4"/>
        <v>1</v>
      </c>
      <c r="Y3626" s="5" t="str">
        <f>IFERROR(__xludf.DUMMYFUNCTION("REGEXEXTRACT(J3626, ""^\d+"")"),"2")</f>
        <v>2</v>
      </c>
      <c r="Z3626" s="5" t="str">
        <f>IFERROR(__xludf.DUMMYFUNCTION("REGEXEXTRACT(J3626, ""[A-Za-z ]+$"")")," Seasons")</f>
        <v> Seasons</v>
      </c>
      <c r="AA3626" s="5" t="str">
        <f>IFERROR(__xludf.DUMMYFUNCTION("IF(REGEXMATCH(Z3626, ""Season""), ""TV Show"", ""Movie"")"),"TV Show")</f>
        <v>TV Show</v>
      </c>
    </row>
    <row r="3627">
      <c r="A3627" s="1" t="s">
        <v>19782</v>
      </c>
      <c r="B3627" s="1" t="s">
        <v>27</v>
      </c>
      <c r="C3627" s="1" t="s">
        <v>19783</v>
      </c>
      <c r="D3627" s="1" t="s">
        <v>10922</v>
      </c>
      <c r="E3627" s="1" t="s">
        <v>19784</v>
      </c>
      <c r="F3627" s="1" t="s">
        <v>162</v>
      </c>
      <c r="G3627" s="1" t="s">
        <v>19775</v>
      </c>
      <c r="H3627" s="1">
        <v>2017.0</v>
      </c>
      <c r="I3627" s="1" t="s">
        <v>42</v>
      </c>
      <c r="J3627" s="1" t="s">
        <v>447</v>
      </c>
      <c r="K3627" s="1" t="s">
        <v>128</v>
      </c>
      <c r="L3627" s="1" t="s">
        <v>19785</v>
      </c>
      <c r="M3627" s="2" t="s">
        <v>12</v>
      </c>
      <c r="N3627" s="4">
        <f t="shared" si="1"/>
        <v>43682</v>
      </c>
      <c r="O3627" s="5" t="str">
        <f>IFERROR(__xludf.DUMMYFUNCTION("IF(REGEXMATCH(TRIM(I3627), ""^\d+\s*min""), ""Unclassified"", IF(I3627 = """", ""NR"", I3627))"),"TV-MA")</f>
        <v>TV-MA</v>
      </c>
      <c r="R3627" s="5" t="str">
        <f t="shared" si="2"/>
        <v>No One Will Ever Know</v>
      </c>
      <c r="S3627" s="5" t="str">
        <f>IFERROR(__xludf.DUMMYFUNCTION("""COMPUTED_VALUE"""),"Joseph: King Of Dreams")</f>
        <v>Joseph: King Of Dreams</v>
      </c>
      <c r="U3627" s="5" t="str">
        <f>IFERROR(__xludf.DUMMYFUNCTION("""COMPUTED_VALUE"""),"Taron Lexton")</f>
        <v>Taron Lexton</v>
      </c>
      <c r="V3627" s="5" t="s">
        <v>19786</v>
      </c>
      <c r="W3627" s="5" t="str">
        <f t="shared" si="3"/>
        <v>Ron Davis</v>
      </c>
      <c r="X3627" s="5">
        <f t="shared" si="4"/>
        <v>2</v>
      </c>
      <c r="Y3627" s="5" t="str">
        <f>IFERROR(__xludf.DUMMYFUNCTION("REGEXEXTRACT(J3627, ""^\d+"")"),"102")</f>
        <v>102</v>
      </c>
      <c r="Z3627" s="5" t="str">
        <f>IFERROR(__xludf.DUMMYFUNCTION("REGEXEXTRACT(J3627, ""[A-Za-z ]+$"")")," min")</f>
        <v> min</v>
      </c>
      <c r="AA3627" s="5" t="str">
        <f>IFERROR(__xludf.DUMMYFUNCTION("IF(REGEXMATCH(Z3627, ""Season""), ""TV Show"", ""Movie"")"),"Movie")</f>
        <v>Movie</v>
      </c>
    </row>
    <row r="3628">
      <c r="A3628" s="1" t="s">
        <v>19787</v>
      </c>
      <c r="B3628" s="1" t="s">
        <v>27</v>
      </c>
      <c r="C3628" s="1" t="s">
        <v>19788</v>
      </c>
      <c r="D3628" s="1" t="s">
        <v>16497</v>
      </c>
      <c r="E3628" s="1" t="s">
        <v>19789</v>
      </c>
      <c r="F3628" s="1" t="s">
        <v>4615</v>
      </c>
      <c r="G3628" s="1" t="s">
        <v>19790</v>
      </c>
      <c r="H3628" s="1">
        <v>2017.0</v>
      </c>
      <c r="I3628" s="1" t="s">
        <v>97</v>
      </c>
      <c r="J3628" s="1" t="s">
        <v>2452</v>
      </c>
      <c r="K3628" s="1" t="s">
        <v>14327</v>
      </c>
      <c r="L3628" s="1" t="s">
        <v>19791</v>
      </c>
      <c r="M3628" s="2" t="s">
        <v>12</v>
      </c>
      <c r="N3628" s="4">
        <f t="shared" si="1"/>
        <v>43680</v>
      </c>
      <c r="O3628" s="5" t="str">
        <f>IFERROR(__xludf.DUMMYFUNCTION("IF(REGEXMATCH(TRIM(I3628), ""^\d+\s*min""), ""Unclassified"", IF(I3628 = """", ""NR"", I3628))"),"TV-14")</f>
        <v>TV-14</v>
      </c>
      <c r="R3628" s="5" t="str">
        <f t="shared" si="2"/>
        <v>Misfit</v>
      </c>
      <c r="S3628" s="5" t="str">
        <f>IFERROR(__xludf.DUMMYFUNCTION("""COMPUTED_VALUE"""),"Joshua: Teenager Vs. Superpower")</f>
        <v>Joshua: Teenager Vs. Superpower</v>
      </c>
      <c r="U3628" s="5" t="str">
        <f>IFERROR(__xludf.DUMMYFUNCTION("""COMPUTED_VALUE"""),"Aytaç Ağırlar")</f>
        <v>Aytaç Ağırlar</v>
      </c>
      <c r="V3628" s="5" t="s">
        <v>6169</v>
      </c>
      <c r="W3628" s="5" t="str">
        <f t="shared" si="3"/>
        <v>Ron Howard</v>
      </c>
      <c r="X3628" s="5">
        <f t="shared" si="4"/>
        <v>7</v>
      </c>
      <c r="Y3628" s="5" t="str">
        <f>IFERROR(__xludf.DUMMYFUNCTION("REGEXEXTRACT(J3628, ""^\d+"")"),"81")</f>
        <v>81</v>
      </c>
      <c r="Z3628" s="5" t="str">
        <f>IFERROR(__xludf.DUMMYFUNCTION("REGEXEXTRACT(J3628, ""[A-Za-z ]+$"")")," min")</f>
        <v> min</v>
      </c>
      <c r="AA3628" s="5" t="str">
        <f>IFERROR(__xludf.DUMMYFUNCTION("IF(REGEXMATCH(Z3628, ""Season""), ""TV Show"", ""Movie"")"),"Movie")</f>
        <v>Movie</v>
      </c>
    </row>
    <row r="3629">
      <c r="A3629" s="1" t="s">
        <v>19792</v>
      </c>
      <c r="B3629" s="1" t="s">
        <v>37</v>
      </c>
      <c r="C3629" s="1" t="s">
        <v>19793</v>
      </c>
      <c r="F3629" s="1" t="s">
        <v>30</v>
      </c>
      <c r="G3629" s="1" t="s">
        <v>19794</v>
      </c>
      <c r="H3629" s="1">
        <v>2019.0</v>
      </c>
      <c r="I3629" s="1" t="s">
        <v>136</v>
      </c>
      <c r="J3629" s="1" t="s">
        <v>51</v>
      </c>
      <c r="K3629" s="1" t="s">
        <v>57</v>
      </c>
      <c r="L3629" s="1" t="s">
        <v>19795</v>
      </c>
      <c r="M3629" s="2" t="s">
        <v>12</v>
      </c>
      <c r="N3629" s="4">
        <f t="shared" si="1"/>
        <v>43679</v>
      </c>
      <c r="O3629" s="5" t="str">
        <f>IFERROR(__xludf.DUMMYFUNCTION("IF(REGEXMATCH(TRIM(I3629), ""^\d+\s*min""), ""Unclassified"", IF(I3629 = """", ""NR"", I3629))"),"TV-PG")</f>
        <v>TV-PG</v>
      </c>
      <c r="R3629" s="5" t="str">
        <f t="shared" si="2"/>
        <v>Basketball Or Nothing</v>
      </c>
      <c r="S3629" s="5" t="str">
        <f>IFERROR(__xludf.DUMMYFUNCTION("""COMPUTED_VALUE"""),"Journey Of An African Colony")</f>
        <v>Journey Of An African Colony</v>
      </c>
      <c r="U3629" s="5" t="str">
        <f>IFERROR(__xludf.DUMMYFUNCTION("""COMPUTED_VALUE"""),"Eric Zaragosa")</f>
        <v>Eric Zaragosa</v>
      </c>
      <c r="V3629" s="5" t="s">
        <v>8537</v>
      </c>
      <c r="W3629" s="5" t="str">
        <f t="shared" si="3"/>
        <v>Ron Krauss</v>
      </c>
      <c r="X3629" s="5">
        <f t="shared" si="4"/>
        <v>1</v>
      </c>
      <c r="Y3629" s="5" t="str">
        <f>IFERROR(__xludf.DUMMYFUNCTION("REGEXEXTRACT(J3629, ""^\d+"")"),"1")</f>
        <v>1</v>
      </c>
      <c r="Z3629" s="5" t="str">
        <f>IFERROR(__xludf.DUMMYFUNCTION("REGEXEXTRACT(J3629, ""[A-Za-z ]+$"")")," Season")</f>
        <v> Season</v>
      </c>
      <c r="AA3629" s="5" t="str">
        <f>IFERROR(__xludf.DUMMYFUNCTION("IF(REGEXMATCH(Z3629, ""Season""), ""TV Show"", ""Movie"")"),"TV Show")</f>
        <v>TV Show</v>
      </c>
    </row>
    <row r="3630">
      <c r="A3630" s="1" t="s">
        <v>19796</v>
      </c>
      <c r="B3630" s="1" t="s">
        <v>27</v>
      </c>
      <c r="C3630" s="1" t="s">
        <v>19797</v>
      </c>
      <c r="D3630" s="1" t="s">
        <v>4109</v>
      </c>
      <c r="E3630" s="1" t="s">
        <v>19798</v>
      </c>
      <c r="G3630" s="1" t="s">
        <v>19794</v>
      </c>
      <c r="H3630" s="1">
        <v>2019.0</v>
      </c>
      <c r="I3630" s="1" t="s">
        <v>42</v>
      </c>
      <c r="J3630" s="1" t="s">
        <v>1608</v>
      </c>
      <c r="K3630" s="1" t="s">
        <v>34</v>
      </c>
      <c r="L3630" s="1" t="s">
        <v>19799</v>
      </c>
      <c r="M3630" s="2" t="s">
        <v>12</v>
      </c>
      <c r="N3630" s="4">
        <f t="shared" si="1"/>
        <v>43679</v>
      </c>
      <c r="O3630" s="5" t="str">
        <f>IFERROR(__xludf.DUMMYFUNCTION("IF(REGEXMATCH(TRIM(I3630), ""^\d+\s*min""), ""Unclassified"", IF(I3630 = """", ""NR"", I3630))"),"TV-MA")</f>
        <v>TV-MA</v>
      </c>
      <c r="R3630" s="5" t="str">
        <f t="shared" si="2"/>
        <v>Léa &amp; I</v>
      </c>
      <c r="S3630" s="5" t="str">
        <f>IFERROR(__xludf.DUMMYFUNCTION("""COMPUTED_VALUE"""),"Journey To Greenland")</f>
        <v>Journey To Greenland</v>
      </c>
      <c r="U3630" s="5" t="str">
        <f>IFERROR(__xludf.DUMMYFUNCTION("""COMPUTED_VALUE"""),"Suman Mukhopadhyay")</f>
        <v>Suman Mukhopadhyay</v>
      </c>
      <c r="V3630" s="5" t="s">
        <v>19800</v>
      </c>
      <c r="W3630" s="5" t="str">
        <f t="shared" si="3"/>
        <v>Ron Myrick</v>
      </c>
      <c r="X3630" s="5">
        <f t="shared" si="4"/>
        <v>3</v>
      </c>
      <c r="Y3630" s="5" t="str">
        <f>IFERROR(__xludf.DUMMYFUNCTION("REGEXEXTRACT(J3630, ""^\d+"")"),"84")</f>
        <v>84</v>
      </c>
      <c r="Z3630" s="5" t="str">
        <f>IFERROR(__xludf.DUMMYFUNCTION("REGEXEXTRACT(J3630, ""[A-Za-z ]+$"")")," min")</f>
        <v> min</v>
      </c>
      <c r="AA3630" s="5" t="str">
        <f>IFERROR(__xludf.DUMMYFUNCTION("IF(REGEXMATCH(Z3630, ""Season""), ""TV Show"", ""Movie"")"),"Movie")</f>
        <v>Movie</v>
      </c>
    </row>
    <row r="3631">
      <c r="A3631" s="1" t="s">
        <v>19801</v>
      </c>
      <c r="B3631" s="1" t="s">
        <v>27</v>
      </c>
      <c r="C3631" s="1" t="s">
        <v>19802</v>
      </c>
      <c r="F3631" s="1" t="s">
        <v>686</v>
      </c>
      <c r="G3631" s="1" t="s">
        <v>19794</v>
      </c>
      <c r="H3631" s="1">
        <v>2019.0</v>
      </c>
      <c r="I3631" s="1" t="s">
        <v>378</v>
      </c>
      <c r="J3631" s="1" t="s">
        <v>1091</v>
      </c>
      <c r="K3631" s="1" t="s">
        <v>239</v>
      </c>
      <c r="L3631" s="1" t="s">
        <v>19803</v>
      </c>
      <c r="M3631" s="2" t="s">
        <v>12</v>
      </c>
      <c r="N3631" s="4">
        <f t="shared" si="1"/>
        <v>43679</v>
      </c>
      <c r="O3631" s="5" t="str">
        <f>IFERROR(__xludf.DUMMYFUNCTION("IF(REGEXMATCH(TRIM(I3631), ""^\d+\s*min""), ""Unclassified"", IF(I3631 = """", ""NR"", I3631))"),"R")</f>
        <v>R</v>
      </c>
      <c r="R3631" s="5" t="str">
        <f t="shared" si="2"/>
        <v>Otherhood</v>
      </c>
      <c r="S3631" s="5" t="str">
        <f>IFERROR(__xludf.DUMMYFUNCTION("""COMPUTED_VALUE"""),"Joy")</f>
        <v>Joy</v>
      </c>
      <c r="U3631" s="5" t="str">
        <f>IFERROR(__xludf.DUMMYFUNCTION("""COMPUTED_VALUE"""),"Jonathan Baker")</f>
        <v>Jonathan Baker</v>
      </c>
      <c r="V3631" s="5" t="s">
        <v>17192</v>
      </c>
      <c r="W3631" s="5" t="str">
        <f t="shared" si="3"/>
        <v>Ron Oliver</v>
      </c>
      <c r="X3631" s="5">
        <f t="shared" si="4"/>
        <v>3</v>
      </c>
      <c r="Y3631" s="5" t="str">
        <f>IFERROR(__xludf.DUMMYFUNCTION("REGEXEXTRACT(J3631, ""^\d+"")"),"101")</f>
        <v>101</v>
      </c>
      <c r="Z3631" s="5" t="str">
        <f>IFERROR(__xludf.DUMMYFUNCTION("REGEXEXTRACT(J3631, ""[A-Za-z ]+$"")")," min")</f>
        <v> min</v>
      </c>
      <c r="AA3631" s="5" t="str">
        <f>IFERROR(__xludf.DUMMYFUNCTION("IF(REGEXMATCH(Z3631, ""Season""), ""TV Show"", ""Movie"")"),"Movie")</f>
        <v>Movie</v>
      </c>
    </row>
    <row r="3632">
      <c r="A3632" s="1" t="s">
        <v>19804</v>
      </c>
      <c r="B3632" s="1" t="s">
        <v>27</v>
      </c>
      <c r="C3632" s="1" t="s">
        <v>19805</v>
      </c>
      <c r="D3632" s="1" t="s">
        <v>19806</v>
      </c>
      <c r="E3632" s="1" t="s">
        <v>19807</v>
      </c>
      <c r="F3632" s="1" t="s">
        <v>63</v>
      </c>
      <c r="G3632" s="1" t="s">
        <v>19794</v>
      </c>
      <c r="H3632" s="1">
        <v>2019.0</v>
      </c>
      <c r="I3632" s="1" t="s">
        <v>97</v>
      </c>
      <c r="J3632" s="1" t="s">
        <v>349</v>
      </c>
      <c r="K3632" s="1" t="s">
        <v>128</v>
      </c>
      <c r="L3632" s="1" t="s">
        <v>19808</v>
      </c>
      <c r="M3632" s="2" t="s">
        <v>12</v>
      </c>
      <c r="N3632" s="4">
        <f t="shared" si="1"/>
        <v>43679</v>
      </c>
      <c r="O3632" s="5" t="str">
        <f>IFERROR(__xludf.DUMMYFUNCTION("IF(REGEXMATCH(TRIM(I3632), ""^\d+\s*min""), ""Unclassified"", IF(I3632 = """", ""NR"", I3632))"),"TV-14")</f>
        <v>TV-14</v>
      </c>
      <c r="R3632" s="5" t="str">
        <f t="shared" si="2"/>
        <v>Uriyadi 2</v>
      </c>
      <c r="S3632" s="5" t="str">
        <f>IFERROR(__xludf.DUMMYFUNCTION("""COMPUTED_VALUE"""),"Jt Leroy")</f>
        <v>Jt Leroy</v>
      </c>
      <c r="U3632" s="5" t="str">
        <f>IFERROR(__xludf.DUMMYFUNCTION("""COMPUTED_VALUE"""),"Elizabeth Chai Vasarhelyi")</f>
        <v>Elizabeth Chai Vasarhelyi</v>
      </c>
      <c r="V3632" s="5" t="s">
        <v>19809</v>
      </c>
      <c r="W3632" s="5" t="str">
        <f t="shared" si="3"/>
        <v>Ron Underwood</v>
      </c>
      <c r="X3632" s="5">
        <f t="shared" si="4"/>
        <v>1</v>
      </c>
      <c r="Y3632" s="5" t="str">
        <f>IFERROR(__xludf.DUMMYFUNCTION("REGEXEXTRACT(J3632, ""^\d+"")"),"116")</f>
        <v>116</v>
      </c>
      <c r="Z3632" s="5" t="str">
        <f>IFERROR(__xludf.DUMMYFUNCTION("REGEXEXTRACT(J3632, ""[A-Za-z ]+$"")")," min")</f>
        <v> min</v>
      </c>
      <c r="AA3632" s="5" t="str">
        <f>IFERROR(__xludf.DUMMYFUNCTION("IF(REGEXMATCH(Z3632, ""Season""), ""TV Show"", ""Movie"")"),"Movie")</f>
        <v>Movie</v>
      </c>
    </row>
    <row r="3633">
      <c r="A3633" s="1" t="s">
        <v>19810</v>
      </c>
      <c r="B3633" s="1" t="s">
        <v>27</v>
      </c>
      <c r="C3633" s="1" t="s">
        <v>19811</v>
      </c>
      <c r="D3633" s="1" t="s">
        <v>18122</v>
      </c>
      <c r="E3633" s="1" t="s">
        <v>19812</v>
      </c>
      <c r="F3633" s="1" t="s">
        <v>63</v>
      </c>
      <c r="G3633" s="1" t="s">
        <v>19813</v>
      </c>
      <c r="H3633" s="1">
        <v>2018.0</v>
      </c>
      <c r="I3633" s="1" t="s">
        <v>97</v>
      </c>
      <c r="J3633" s="1" t="s">
        <v>7419</v>
      </c>
      <c r="K3633" s="1" t="s">
        <v>89</v>
      </c>
      <c r="L3633" s="1" t="s">
        <v>19814</v>
      </c>
      <c r="M3633" s="2" t="s">
        <v>12</v>
      </c>
      <c r="N3633" s="4">
        <f t="shared" si="1"/>
        <v>43678</v>
      </c>
      <c r="O3633" s="5" t="str">
        <f>IFERROR(__xludf.DUMMYFUNCTION("IF(REGEXMATCH(TRIM(I3633), ""^\d+\s*min""), ""Unclassified"", IF(I3633 = """", ""NR"", I3633))"),"TV-14")</f>
        <v>TV-14</v>
      </c>
      <c r="R3633" s="5" t="str">
        <f t="shared" si="2"/>
        <v>Manu</v>
      </c>
      <c r="S3633" s="5" t="str">
        <f>IFERROR(__xludf.DUMMYFUNCTION("""COMPUTED_VALUE"""),"Ju-On: Origins")</f>
        <v>Ju-On: Origins</v>
      </c>
      <c r="U3633" s="5" t="str">
        <f>IFERROR(__xludf.DUMMYFUNCTION("""COMPUTED_VALUE"""),"Brad Bird")</f>
        <v>Brad Bird</v>
      </c>
      <c r="V3633" s="5" t="s">
        <v>10614</v>
      </c>
      <c r="W3633" s="5" t="str">
        <f t="shared" si="3"/>
        <v>Ross Boyask</v>
      </c>
      <c r="X3633" s="5">
        <f t="shared" si="4"/>
        <v>2</v>
      </c>
      <c r="Y3633" s="5" t="str">
        <f>IFERROR(__xludf.DUMMYFUNCTION("REGEXEXTRACT(J3633, ""^\d+"")"),"177")</f>
        <v>177</v>
      </c>
      <c r="Z3633" s="5" t="str">
        <f>IFERROR(__xludf.DUMMYFUNCTION("REGEXEXTRACT(J3633, ""[A-Za-z ]+$"")")," min")</f>
        <v> min</v>
      </c>
      <c r="AA3633" s="5" t="str">
        <f>IFERROR(__xludf.DUMMYFUNCTION("IF(REGEXMATCH(Z3633, ""Season""), ""TV Show"", ""Movie"")"),"Movie")</f>
        <v>Movie</v>
      </c>
    </row>
    <row r="3634">
      <c r="A3634" s="1" t="s">
        <v>19815</v>
      </c>
      <c r="B3634" s="1" t="s">
        <v>37</v>
      </c>
      <c r="C3634" s="1" t="s">
        <v>19816</v>
      </c>
      <c r="E3634" s="1" t="s">
        <v>19817</v>
      </c>
      <c r="F3634" s="1" t="s">
        <v>2796</v>
      </c>
      <c r="G3634" s="1" t="s">
        <v>19813</v>
      </c>
      <c r="H3634" s="1">
        <v>2019.0</v>
      </c>
      <c r="I3634" s="1" t="s">
        <v>42</v>
      </c>
      <c r="J3634" s="1" t="s">
        <v>51</v>
      </c>
      <c r="K3634" s="1" t="s">
        <v>8687</v>
      </c>
      <c r="L3634" s="1" t="s">
        <v>19818</v>
      </c>
      <c r="M3634" s="2" t="s">
        <v>12</v>
      </c>
      <c r="N3634" s="4">
        <f t="shared" si="1"/>
        <v>43678</v>
      </c>
      <c r="O3634" s="5" t="str">
        <f>IFERROR(__xludf.DUMMYFUNCTION("IF(REGEXMATCH(TRIM(I3634), ""^\d+\s*min""), ""Unclassified"", IF(I3634 = """", ""NR"", I3634))"),"TV-MA")</f>
        <v>TV-MA</v>
      </c>
      <c r="R3634" s="5" t="str">
        <f t="shared" si="2"/>
        <v>Sleepless Society: Nyctophobia</v>
      </c>
      <c r="S3634" s="5" t="str">
        <f>IFERROR(__xludf.DUMMYFUNCTION("""COMPUTED_VALUE"""),"Juana Brava")</f>
        <v>Juana Brava</v>
      </c>
      <c r="U3634" s="5" t="str">
        <f>IFERROR(__xludf.DUMMYFUNCTION("""COMPUTED_VALUE"""),"Sanjeev Gupta")</f>
        <v>Sanjeev Gupta</v>
      </c>
      <c r="V3634" s="5" t="s">
        <v>8305</v>
      </c>
      <c r="W3634" s="5" t="str">
        <f t="shared" si="3"/>
        <v>Ross Kauffman</v>
      </c>
      <c r="X3634" s="5">
        <f t="shared" si="4"/>
        <v>1</v>
      </c>
      <c r="Y3634" s="5" t="str">
        <f>IFERROR(__xludf.DUMMYFUNCTION("REGEXEXTRACT(J3634, ""^\d+"")"),"1")</f>
        <v>1</v>
      </c>
      <c r="Z3634" s="5" t="str">
        <f>IFERROR(__xludf.DUMMYFUNCTION("REGEXEXTRACT(J3634, ""[A-Za-z ]+$"")")," Season")</f>
        <v> Season</v>
      </c>
      <c r="AA3634" s="5" t="str">
        <f>IFERROR(__xludf.DUMMYFUNCTION("IF(REGEXMATCH(Z3634, ""Season""), ""TV Show"", ""Movie"")"),"TV Show")</f>
        <v>TV Show</v>
      </c>
    </row>
    <row r="3635">
      <c r="A3635" s="1" t="s">
        <v>19819</v>
      </c>
      <c r="B3635" s="1" t="s">
        <v>37</v>
      </c>
      <c r="C3635" s="1" t="s">
        <v>19820</v>
      </c>
      <c r="E3635" s="1" t="s">
        <v>19821</v>
      </c>
      <c r="F3635" s="1" t="s">
        <v>221</v>
      </c>
      <c r="G3635" s="1" t="s">
        <v>19822</v>
      </c>
      <c r="H3635" s="1">
        <v>2019.0</v>
      </c>
      <c r="I3635" s="1" t="s">
        <v>42</v>
      </c>
      <c r="J3635" s="1" t="s">
        <v>43</v>
      </c>
      <c r="K3635" s="1" t="s">
        <v>1531</v>
      </c>
      <c r="L3635" s="1" t="s">
        <v>19823</v>
      </c>
      <c r="M3635" s="2" t="s">
        <v>12</v>
      </c>
      <c r="N3635" s="4">
        <f t="shared" si="1"/>
        <v>43677</v>
      </c>
      <c r="O3635" s="5" t="str">
        <f>IFERROR(__xludf.DUMMYFUNCTION("IF(REGEXMATCH(TRIM(I3635), ""^\d+\s*min""), ""Unclassified"", IF(I3635 = """", ""NR"", I3635))"),"TV-MA")</f>
        <v>TV-MA</v>
      </c>
      <c r="R3635" s="5" t="str">
        <f t="shared" si="2"/>
        <v>The Letdown</v>
      </c>
      <c r="S3635" s="5" t="str">
        <f>IFERROR(__xludf.DUMMYFUNCTION("""COMPUTED_VALUE"""),"Juana Inés")</f>
        <v>Juana Inés</v>
      </c>
      <c r="U3635" s="5" t="str">
        <f>IFERROR(__xludf.DUMMYFUNCTION("""COMPUTED_VALUE"""),"John Stewart Muller")</f>
        <v>John Stewart Muller</v>
      </c>
      <c r="V3635" s="5" t="s">
        <v>8379</v>
      </c>
      <c r="W3635" s="5" t="str">
        <f t="shared" si="3"/>
        <v>Ross Venokur</v>
      </c>
      <c r="X3635" s="5">
        <f t="shared" si="4"/>
        <v>1</v>
      </c>
      <c r="Y3635" s="5" t="str">
        <f>IFERROR(__xludf.DUMMYFUNCTION("REGEXEXTRACT(J3635, ""^\d+"")"),"2")</f>
        <v>2</v>
      </c>
      <c r="Z3635" s="5" t="str">
        <f>IFERROR(__xludf.DUMMYFUNCTION("REGEXEXTRACT(J3635, ""[A-Za-z ]+$"")")," Seasons")</f>
        <v> Seasons</v>
      </c>
      <c r="AA3635" s="5" t="str">
        <f>IFERROR(__xludf.DUMMYFUNCTION("IF(REGEXMATCH(Z3635, ""Season""), ""TV Show"", ""Movie"")"),"TV Show")</f>
        <v>TV Show</v>
      </c>
    </row>
    <row r="3636">
      <c r="A3636" s="1" t="s">
        <v>19824</v>
      </c>
      <c r="B3636" s="1" t="s">
        <v>27</v>
      </c>
      <c r="C3636" s="1" t="s">
        <v>19825</v>
      </c>
      <c r="D3636" s="1" t="s">
        <v>8451</v>
      </c>
      <c r="E3636" s="1" t="s">
        <v>19826</v>
      </c>
      <c r="F3636" s="1" t="s">
        <v>1106</v>
      </c>
      <c r="G3636" s="1" t="s">
        <v>19822</v>
      </c>
      <c r="H3636" s="1">
        <v>2019.0</v>
      </c>
      <c r="I3636" s="1" t="s">
        <v>42</v>
      </c>
      <c r="J3636" s="1" t="s">
        <v>2281</v>
      </c>
      <c r="K3636" s="1" t="s">
        <v>394</v>
      </c>
      <c r="L3636" s="1" t="s">
        <v>19827</v>
      </c>
      <c r="M3636" s="2" t="s">
        <v>12</v>
      </c>
      <c r="N3636" s="4">
        <f t="shared" si="1"/>
        <v>43677</v>
      </c>
      <c r="O3636" s="5" t="str">
        <f>IFERROR(__xludf.DUMMYFUNCTION("IF(REGEXMATCH(TRIM(I3636), ""^\d+\s*min""), ""Unclassified"", IF(I3636 = """", ""NR"", I3636))"),"TV-MA")</f>
        <v>TV-MA</v>
      </c>
      <c r="R3636" s="5" t="str">
        <f t="shared" si="2"/>
        <v>The Red Sea Diving Resort</v>
      </c>
      <c r="S3636" s="5" t="str">
        <f>IFERROR(__xludf.DUMMYFUNCTION("""COMPUTED_VALUE"""),"Juanita")</f>
        <v>Juanita</v>
      </c>
      <c r="U3636" s="5" t="str">
        <f>IFERROR(__xludf.DUMMYFUNCTION("""COMPUTED_VALUE"""),"Luca Vullo")</f>
        <v>Luca Vullo</v>
      </c>
      <c r="V3636" s="5" t="s">
        <v>19828</v>
      </c>
      <c r="W3636" s="5" t="str">
        <f t="shared" si="3"/>
        <v>Rowan Athale</v>
      </c>
      <c r="X3636" s="5">
        <f t="shared" si="4"/>
        <v>1</v>
      </c>
      <c r="Y3636" s="5" t="str">
        <f>IFERROR(__xludf.DUMMYFUNCTION("REGEXEXTRACT(J3636, ""^\d+"")"),"130")</f>
        <v>130</v>
      </c>
      <c r="Z3636" s="5" t="str">
        <f>IFERROR(__xludf.DUMMYFUNCTION("REGEXEXTRACT(J3636, ""[A-Za-z ]+$"")")," min")</f>
        <v> min</v>
      </c>
      <c r="AA3636" s="5" t="str">
        <f>IFERROR(__xludf.DUMMYFUNCTION("IF(REGEXMATCH(Z3636, ""Season""), ""TV Show"", ""Movie"")"),"Movie")</f>
        <v>Movie</v>
      </c>
    </row>
    <row r="3637">
      <c r="A3637" s="1" t="s">
        <v>19829</v>
      </c>
      <c r="B3637" s="1" t="s">
        <v>27</v>
      </c>
      <c r="C3637" s="1" t="s">
        <v>19830</v>
      </c>
      <c r="D3637" s="1" t="s">
        <v>14140</v>
      </c>
      <c r="E3637" s="1" t="s">
        <v>19831</v>
      </c>
      <c r="G3637" s="1" t="s">
        <v>19832</v>
      </c>
      <c r="H3637" s="1">
        <v>2019.0</v>
      </c>
      <c r="I3637" s="1" t="s">
        <v>42</v>
      </c>
      <c r="J3637" s="1" t="s">
        <v>1847</v>
      </c>
      <c r="K3637" s="1" t="s">
        <v>1839</v>
      </c>
      <c r="L3637" s="1" t="s">
        <v>19833</v>
      </c>
      <c r="M3637" s="2" t="s">
        <v>12</v>
      </c>
      <c r="N3637" s="4">
        <f t="shared" si="1"/>
        <v>43676</v>
      </c>
      <c r="O3637" s="5" t="str">
        <f>IFERROR(__xludf.DUMMYFUNCTION("IF(REGEXMATCH(TRIM(I3637), ""^\d+\s*min""), ""Unclassified"", IF(I3637 = """", ""NR"", I3637))"),"TV-MA")</f>
        <v>TV-MA</v>
      </c>
      <c r="R3637" s="5" t="str">
        <f t="shared" si="2"/>
        <v>Whitney Cummings: Can I Touch It?</v>
      </c>
      <c r="S3637" s="5" t="str">
        <f>IFERROR(__xludf.DUMMYFUNCTION("""COMPUTED_VALUE"""),"Judah Friedlander: America Is The Greatest Country In The United States")</f>
        <v>Judah Friedlander: America Is The Greatest Country In The United States</v>
      </c>
      <c r="U3637" s="5" t="str">
        <f>IFERROR(__xludf.DUMMYFUNCTION("""COMPUTED_VALUE"""),"Iain Softley")</f>
        <v>Iain Softley</v>
      </c>
      <c r="V3637" s="5" t="s">
        <v>19834</v>
      </c>
      <c r="W3637" s="5" t="str">
        <f t="shared" si="3"/>
        <v>Roy Allen Smith</v>
      </c>
      <c r="X3637" s="5">
        <f t="shared" si="4"/>
        <v>1</v>
      </c>
      <c r="Y3637" s="5" t="str">
        <f>IFERROR(__xludf.DUMMYFUNCTION("REGEXEXTRACT(J3637, ""^\d+"")"),"59")</f>
        <v>59</v>
      </c>
      <c r="Z3637" s="5" t="str">
        <f>IFERROR(__xludf.DUMMYFUNCTION("REGEXEXTRACT(J3637, ""[A-Za-z ]+$"")")," min")</f>
        <v> min</v>
      </c>
      <c r="AA3637" s="5" t="str">
        <f>IFERROR(__xludf.DUMMYFUNCTION("IF(REGEXMATCH(Z3637, ""Season""), ""TV Show"", ""Movie"")"),"Movie")</f>
        <v>Movie</v>
      </c>
    </row>
    <row r="3638">
      <c r="A3638" s="1" t="s">
        <v>19835</v>
      </c>
      <c r="B3638" s="1" t="s">
        <v>37</v>
      </c>
      <c r="C3638" s="1" t="s">
        <v>19836</v>
      </c>
      <c r="E3638" s="1" t="s">
        <v>19837</v>
      </c>
      <c r="F3638" s="1" t="s">
        <v>30</v>
      </c>
      <c r="G3638" s="1" t="s">
        <v>19838</v>
      </c>
      <c r="H3638" s="1">
        <v>2019.0</v>
      </c>
      <c r="I3638" s="1" t="s">
        <v>136</v>
      </c>
      <c r="J3638" s="1" t="s">
        <v>51</v>
      </c>
      <c r="K3638" s="1" t="s">
        <v>290</v>
      </c>
      <c r="L3638" s="1" t="s">
        <v>19839</v>
      </c>
      <c r="M3638" s="2" t="s">
        <v>12</v>
      </c>
      <c r="N3638" s="4">
        <f t="shared" si="1"/>
        <v>43675</v>
      </c>
      <c r="O3638" s="5" t="str">
        <f>IFERROR(__xludf.DUMMYFUNCTION("IF(REGEXMATCH(TRIM(I3638), ""^\d+\s*min""), ""Unclassified"", IF(I3638 = """", ""NR"", I3638))"),"TV-PG")</f>
        <v>TV-PG</v>
      </c>
      <c r="R3638" s="5" t="str">
        <f t="shared" si="2"/>
        <v>Twelve Forever</v>
      </c>
      <c r="S3638" s="5" t="str">
        <f>IFERROR(__xludf.DUMMYFUNCTION("""COMPUTED_VALUE"""),"Judd Apatow: The Return")</f>
        <v>Judd Apatow: The Return</v>
      </c>
      <c r="U3638" s="5" t="str">
        <f>IFERROR(__xludf.DUMMYFUNCTION("""COMPUTED_VALUE"""),"K. Subhash")</f>
        <v>K. Subhash</v>
      </c>
      <c r="V3638" s="5" t="s">
        <v>19840</v>
      </c>
      <c r="W3638" s="5" t="str">
        <f t="shared" si="3"/>
        <v>Roy Burdine, Johnny Castuciano</v>
      </c>
      <c r="X3638" s="5">
        <f t="shared" si="4"/>
        <v>1</v>
      </c>
      <c r="Y3638" s="5" t="str">
        <f>IFERROR(__xludf.DUMMYFUNCTION("REGEXEXTRACT(J3638, ""^\d+"")"),"1")</f>
        <v>1</v>
      </c>
      <c r="Z3638" s="5" t="str">
        <f>IFERROR(__xludf.DUMMYFUNCTION("REGEXEXTRACT(J3638, ""[A-Za-z ]+$"")")," Season")</f>
        <v> Season</v>
      </c>
      <c r="AA3638" s="5" t="str">
        <f>IFERROR(__xludf.DUMMYFUNCTION("IF(REGEXMATCH(Z3638, ""Season""), ""TV Show"", ""Movie"")"),"TV Show")</f>
        <v>TV Show</v>
      </c>
    </row>
    <row r="3639">
      <c r="A3639" s="1" t="s">
        <v>19841</v>
      </c>
      <c r="B3639" s="1" t="s">
        <v>27</v>
      </c>
      <c r="C3639" s="1" t="s">
        <v>19842</v>
      </c>
      <c r="D3639" s="1" t="s">
        <v>11787</v>
      </c>
      <c r="E3639" s="1" t="s">
        <v>19843</v>
      </c>
      <c r="F3639" s="1" t="s">
        <v>784</v>
      </c>
      <c r="G3639" s="1" t="s">
        <v>19844</v>
      </c>
      <c r="H3639" s="1">
        <v>2018.0</v>
      </c>
      <c r="I3639" s="1" t="s">
        <v>42</v>
      </c>
      <c r="J3639" s="1" t="s">
        <v>264</v>
      </c>
      <c r="K3639" s="1" t="s">
        <v>89</v>
      </c>
      <c r="L3639" s="1" t="s">
        <v>19845</v>
      </c>
      <c r="M3639" s="2" t="s">
        <v>12</v>
      </c>
      <c r="N3639" s="4">
        <f t="shared" si="1"/>
        <v>43672</v>
      </c>
      <c r="O3639" s="5" t="str">
        <f>IFERROR(__xludf.DUMMYFUNCTION("IF(REGEXMATCH(TRIM(I3639), ""^\d+\s*min""), ""Unclassified"", IF(I3639 = """", ""NR"", I3639))"),"TV-MA")</f>
        <v>TV-MA</v>
      </c>
      <c r="R3639" s="5" t="str">
        <f t="shared" si="2"/>
        <v>Boi</v>
      </c>
      <c r="S3639" s="5" t="str">
        <f>IFERROR(__xludf.DUMMYFUNCTION("""COMPUTED_VALUE"""),"Judge Singh Llb")</f>
        <v>Judge Singh Llb</v>
      </c>
      <c r="U3639" s="5" t="str">
        <f>IFERROR(__xludf.DUMMYFUNCTION("""COMPUTED_VALUE"""),"Eugenio Derbez")</f>
        <v>Eugenio Derbez</v>
      </c>
      <c r="V3639" s="5" t="s">
        <v>19846</v>
      </c>
      <c r="W3639" s="5" t="str">
        <f t="shared" si="3"/>
        <v>Roy Campanella Ii</v>
      </c>
      <c r="X3639" s="5">
        <f t="shared" si="4"/>
        <v>1</v>
      </c>
      <c r="Y3639" s="5" t="str">
        <f>IFERROR(__xludf.DUMMYFUNCTION("REGEXEXTRACT(J3639, ""^\d+"")"),"111")</f>
        <v>111</v>
      </c>
      <c r="Z3639" s="5" t="str">
        <f>IFERROR(__xludf.DUMMYFUNCTION("REGEXEXTRACT(J3639, ""[A-Za-z ]+$"")")," min")</f>
        <v> min</v>
      </c>
      <c r="AA3639" s="5" t="str">
        <f>IFERROR(__xludf.DUMMYFUNCTION("IF(REGEXMATCH(Z3639, ""Season""), ""TV Show"", ""Movie"")"),"Movie")</f>
        <v>Movie</v>
      </c>
    </row>
    <row r="3640">
      <c r="A3640" s="1" t="s">
        <v>19847</v>
      </c>
      <c r="B3640" s="1" t="s">
        <v>27</v>
      </c>
      <c r="C3640" s="1" t="s">
        <v>19848</v>
      </c>
      <c r="D3640" s="1" t="s">
        <v>16107</v>
      </c>
      <c r="E3640" s="1" t="s">
        <v>19849</v>
      </c>
      <c r="F3640" s="1" t="s">
        <v>19850</v>
      </c>
      <c r="G3640" s="1" t="s">
        <v>19844</v>
      </c>
      <c r="H3640" s="1">
        <v>2019.0</v>
      </c>
      <c r="I3640" s="1" t="s">
        <v>97</v>
      </c>
      <c r="J3640" s="1" t="s">
        <v>433</v>
      </c>
      <c r="K3640" s="1" t="s">
        <v>1441</v>
      </c>
      <c r="L3640" s="1" t="s">
        <v>19851</v>
      </c>
      <c r="M3640" s="2" t="s">
        <v>12</v>
      </c>
      <c r="N3640" s="4">
        <f t="shared" si="1"/>
        <v>43672</v>
      </c>
      <c r="O3640" s="5" t="str">
        <f>IFERROR(__xludf.DUMMYFUNCTION("IF(REGEXMATCH(TRIM(I3640), ""^\d+\s*min""), ""Unclassified"", IF(I3640 = """", ""NR"", I3640))"),"TV-14")</f>
        <v>TV-14</v>
      </c>
      <c r="R3640" s="5" t="str">
        <f t="shared" si="2"/>
        <v>Eerie</v>
      </c>
      <c r="S3640" s="5" t="str">
        <f>IFERROR(__xludf.DUMMYFUNCTION("""COMPUTED_VALUE"""),"Judwaa")</f>
        <v>Judwaa</v>
      </c>
      <c r="U3640" s="5" t="str">
        <f>IFERROR(__xludf.DUMMYFUNCTION("""COMPUTED_VALUE"""),"Michael Gallagher")</f>
        <v>Michael Gallagher</v>
      </c>
      <c r="V3640" s="5" t="s">
        <v>19003</v>
      </c>
      <c r="W3640" s="5" t="str">
        <f t="shared" si="3"/>
        <v>Roy Poortmans</v>
      </c>
      <c r="X3640" s="5">
        <f t="shared" si="4"/>
        <v>1</v>
      </c>
      <c r="Y3640" s="5" t="str">
        <f>IFERROR(__xludf.DUMMYFUNCTION("REGEXEXTRACT(J3640, ""^\d+"")"),"100")</f>
        <v>100</v>
      </c>
      <c r="Z3640" s="5" t="str">
        <f>IFERROR(__xludf.DUMMYFUNCTION("REGEXEXTRACT(J3640, ""[A-Za-z ]+$"")")," min")</f>
        <v> min</v>
      </c>
      <c r="AA3640" s="5" t="str">
        <f>IFERROR(__xludf.DUMMYFUNCTION("IF(REGEXMATCH(Z3640, ""Season""), ""TV Show"", ""Movie"")"),"Movie")</f>
        <v>Movie</v>
      </c>
    </row>
    <row r="3641">
      <c r="A3641" s="1" t="s">
        <v>19852</v>
      </c>
      <c r="B3641" s="1" t="s">
        <v>27</v>
      </c>
      <c r="C3641" s="1" t="s">
        <v>19853</v>
      </c>
      <c r="D3641" s="1" t="s">
        <v>17239</v>
      </c>
      <c r="E3641" s="1" t="s">
        <v>19854</v>
      </c>
      <c r="F3641" s="1" t="s">
        <v>3217</v>
      </c>
      <c r="G3641" s="1" t="s">
        <v>19844</v>
      </c>
      <c r="H3641" s="1">
        <v>2019.0</v>
      </c>
      <c r="I3641" s="1" t="s">
        <v>42</v>
      </c>
      <c r="J3641" s="1" t="s">
        <v>4558</v>
      </c>
      <c r="K3641" s="1" t="s">
        <v>6462</v>
      </c>
      <c r="L3641" s="1" t="s">
        <v>19855</v>
      </c>
      <c r="M3641" s="2" t="s">
        <v>12</v>
      </c>
      <c r="N3641" s="4">
        <f t="shared" si="1"/>
        <v>43672</v>
      </c>
      <c r="O3641" s="5" t="str">
        <f>IFERROR(__xludf.DUMMYFUNCTION("IF(REGEXMATCH(TRIM(I3641), ""^\d+\s*min""), ""Unclassified"", IF(I3641 = """", ""NR"", I3641))"),"TV-MA")</f>
        <v>TV-MA</v>
      </c>
      <c r="R3641" s="5" t="str">
        <f t="shared" si="2"/>
        <v>Girls With Balls</v>
      </c>
      <c r="S3641" s="5" t="str">
        <f>IFERROR(__xludf.DUMMYFUNCTION("""COMPUTED_VALUE"""),"Judwaa 2")</f>
        <v>Judwaa 2</v>
      </c>
      <c r="U3641" s="5" t="str">
        <f>IFERROR(__xludf.DUMMYFUNCTION("""COMPUTED_VALUE"""),"Patricia Rozema")</f>
        <v>Patricia Rozema</v>
      </c>
      <c r="V3641" s="5" t="s">
        <v>2510</v>
      </c>
      <c r="W3641" s="5" t="str">
        <f t="shared" si="3"/>
        <v>Royale Watkins, Rich Schlansker</v>
      </c>
      <c r="X3641" s="5">
        <f t="shared" si="4"/>
        <v>1</v>
      </c>
      <c r="Y3641" s="5" t="str">
        <f>IFERROR(__xludf.DUMMYFUNCTION("REGEXEXTRACT(J3641, ""^\d+"")"),"77")</f>
        <v>77</v>
      </c>
      <c r="Z3641" s="5" t="str">
        <f>IFERROR(__xludf.DUMMYFUNCTION("REGEXEXTRACT(J3641, ""[A-Za-z ]+$"")")," min")</f>
        <v> min</v>
      </c>
      <c r="AA3641" s="5" t="str">
        <f>IFERROR(__xludf.DUMMYFUNCTION("IF(REGEXMATCH(Z3641, ""Season""), ""TV Show"", ""Movie"")"),"Movie")</f>
        <v>Movie</v>
      </c>
    </row>
    <row r="3642">
      <c r="A3642" s="1" t="s">
        <v>19856</v>
      </c>
      <c r="B3642" s="1" t="s">
        <v>37</v>
      </c>
      <c r="C3642" s="1" t="s">
        <v>19857</v>
      </c>
      <c r="E3642" s="1" t="s">
        <v>19858</v>
      </c>
      <c r="F3642" s="1" t="s">
        <v>749</v>
      </c>
      <c r="G3642" s="1" t="s">
        <v>19844</v>
      </c>
      <c r="H3642" s="1">
        <v>2019.0</v>
      </c>
      <c r="I3642" s="1" t="s">
        <v>97</v>
      </c>
      <c r="J3642" s="1" t="s">
        <v>43</v>
      </c>
      <c r="K3642" s="1" t="s">
        <v>7164</v>
      </c>
      <c r="L3642" s="1" t="s">
        <v>19859</v>
      </c>
      <c r="M3642" s="2" t="s">
        <v>12</v>
      </c>
      <c r="N3642" s="4">
        <f t="shared" si="1"/>
        <v>43672</v>
      </c>
      <c r="O3642" s="5" t="str">
        <f>IFERROR(__xludf.DUMMYFUNCTION("IF(REGEXMATCH(TRIM(I3642), ""^\d+\s*min""), ""Unclassified"", IF(I3642 = """", ""NR"", I3642))"),"TV-14")</f>
        <v>TV-14</v>
      </c>
      <c r="R3642" s="5" t="str">
        <f t="shared" si="2"/>
        <v>My First First Love</v>
      </c>
      <c r="S3642" s="5" t="str">
        <f>IFERROR(__xludf.DUMMYFUNCTION("""COMPUTED_VALUE"""),"Judy Moody And The Not Bummer Summer")</f>
        <v>Judy Moody And The Not Bummer Summer</v>
      </c>
      <c r="U3642" s="5" t="str">
        <f>IFERROR(__xludf.DUMMYFUNCTION("""COMPUTED_VALUE"""),"Charles Officer")</f>
        <v>Charles Officer</v>
      </c>
      <c r="V3642" s="5" t="s">
        <v>19860</v>
      </c>
      <c r="W3642" s="5" t="str">
        <f t="shared" si="3"/>
        <v>Ruben Fleischer</v>
      </c>
      <c r="X3642" s="5">
        <f t="shared" si="4"/>
        <v>2</v>
      </c>
      <c r="Y3642" s="5" t="str">
        <f>IFERROR(__xludf.DUMMYFUNCTION("REGEXEXTRACT(J3642, ""^\d+"")"),"2")</f>
        <v>2</v>
      </c>
      <c r="Z3642" s="5" t="str">
        <f>IFERROR(__xludf.DUMMYFUNCTION("REGEXEXTRACT(J3642, ""[A-Za-z ]+$"")")," Seasons")</f>
        <v> Seasons</v>
      </c>
      <c r="AA3642" s="5" t="str">
        <f>IFERROR(__xludf.DUMMYFUNCTION("IF(REGEXMATCH(Z3642, ""Season""), ""TV Show"", ""Movie"")"),"TV Show")</f>
        <v>TV Show</v>
      </c>
    </row>
    <row r="3643">
      <c r="A3643" s="1" t="s">
        <v>19861</v>
      </c>
      <c r="B3643" s="1" t="s">
        <v>27</v>
      </c>
      <c r="C3643" s="1" t="s">
        <v>19862</v>
      </c>
      <c r="D3643" s="1" t="s">
        <v>991</v>
      </c>
      <c r="E3643" s="1" t="s">
        <v>19863</v>
      </c>
      <c r="F3643" s="1" t="s">
        <v>1815</v>
      </c>
      <c r="G3643" s="1" t="s">
        <v>19844</v>
      </c>
      <c r="H3643" s="1">
        <v>2019.0</v>
      </c>
      <c r="I3643" s="1" t="s">
        <v>42</v>
      </c>
      <c r="J3643" s="1" t="s">
        <v>454</v>
      </c>
      <c r="K3643" s="1" t="s">
        <v>89</v>
      </c>
      <c r="L3643" s="1" t="s">
        <v>19864</v>
      </c>
      <c r="M3643" s="2" t="s">
        <v>12</v>
      </c>
      <c r="N3643" s="4">
        <f t="shared" si="1"/>
        <v>43672</v>
      </c>
      <c r="O3643" s="5" t="str">
        <f>IFERROR(__xludf.DUMMYFUNCTION("IF(REGEXMATCH(TRIM(I3643), ""^\d+\s*min""), ""Unclassified"", IF(I3643 = """", ""NR"", I3643))"),"TV-MA")</f>
        <v>TV-MA</v>
      </c>
      <c r="R3643" s="5" t="str">
        <f t="shared" si="2"/>
        <v>The Son</v>
      </c>
      <c r="S3643" s="5" t="str">
        <f>IFERROR(__xludf.DUMMYFUNCTION("""COMPUTED_VALUE"""),"Jugaad")</f>
        <v>Jugaad</v>
      </c>
      <c r="U3643" s="5" t="str">
        <f>IFERROR(__xludf.DUMMYFUNCTION("""COMPUTED_VALUE"""),"John Trengove")</f>
        <v>John Trengove</v>
      </c>
      <c r="V3643" s="5" t="s">
        <v>19865</v>
      </c>
      <c r="W3643" s="5" t="str">
        <f t="shared" si="3"/>
        <v>Rucha Humnabadkar</v>
      </c>
      <c r="X3643" s="5">
        <f t="shared" si="4"/>
        <v>1</v>
      </c>
      <c r="Y3643" s="5" t="str">
        <f>IFERROR(__xludf.DUMMYFUNCTION("REGEXEXTRACT(J3643, ""^\d+"")"),"93")</f>
        <v>93</v>
      </c>
      <c r="Z3643" s="5" t="str">
        <f>IFERROR(__xludf.DUMMYFUNCTION("REGEXEXTRACT(J3643, ""[A-Za-z ]+$"")")," min")</f>
        <v> min</v>
      </c>
      <c r="AA3643" s="5" t="str">
        <f>IFERROR(__xludf.DUMMYFUNCTION("IF(REGEXMATCH(Z3643, ""Season""), ""TV Show"", ""Movie"")"),"Movie")</f>
        <v>Movie</v>
      </c>
    </row>
    <row r="3644">
      <c r="A3644" s="1" t="s">
        <v>19866</v>
      </c>
      <c r="B3644" s="1" t="s">
        <v>37</v>
      </c>
      <c r="C3644" s="1" t="s">
        <v>19867</v>
      </c>
      <c r="E3644" s="1" t="s">
        <v>19868</v>
      </c>
      <c r="F3644" s="1" t="s">
        <v>30</v>
      </c>
      <c r="G3644" s="1" t="s">
        <v>19869</v>
      </c>
      <c r="H3644" s="1">
        <v>2019.0</v>
      </c>
      <c r="I3644" s="1" t="s">
        <v>42</v>
      </c>
      <c r="J3644" s="1" t="s">
        <v>51</v>
      </c>
      <c r="K3644" s="1" t="s">
        <v>14753</v>
      </c>
      <c r="L3644" s="1" t="s">
        <v>19870</v>
      </c>
      <c r="M3644" s="2" t="s">
        <v>12</v>
      </c>
      <c r="N3644" s="4">
        <f t="shared" si="1"/>
        <v>43671</v>
      </c>
      <c r="O3644" s="5" t="str">
        <f>IFERROR(__xludf.DUMMYFUNCTION("IF(REGEXMATCH(TRIM(I3644), ""^\d+\s*min""), ""Unclassified"", IF(I3644 = """", ""NR"", I3644))"),"TV-MA")</f>
        <v>TV-MA</v>
      </c>
      <c r="R3644" s="5" t="str">
        <f t="shared" si="2"/>
        <v>Another Life</v>
      </c>
      <c r="S3644" s="5" t="str">
        <f>IFERROR(__xludf.DUMMYFUNCTION("""COMPUTED_VALUE"""),"Julie &amp; Julia")</f>
        <v>Julie &amp; Julia</v>
      </c>
      <c r="U3644" s="5" t="str">
        <f>IFERROR(__xludf.DUMMYFUNCTION("""COMPUTED_VALUE"""),"Kedar Shinde")</f>
        <v>Kedar Shinde</v>
      </c>
      <c r="V3644" s="5" t="s">
        <v>15832</v>
      </c>
      <c r="W3644" s="5" t="str">
        <f t="shared" si="3"/>
        <v>Ruchi Narain</v>
      </c>
      <c r="X3644" s="5">
        <f t="shared" si="4"/>
        <v>1</v>
      </c>
      <c r="Y3644" s="5" t="str">
        <f>IFERROR(__xludf.DUMMYFUNCTION("REGEXEXTRACT(J3644, ""^\d+"")"),"1")</f>
        <v>1</v>
      </c>
      <c r="Z3644" s="5" t="str">
        <f>IFERROR(__xludf.DUMMYFUNCTION("REGEXEXTRACT(J3644, ""[A-Za-z ]+$"")")," Season")</f>
        <v> Season</v>
      </c>
      <c r="AA3644" s="5" t="str">
        <f>IFERROR(__xludf.DUMMYFUNCTION("IF(REGEXMATCH(Z3644, ""Season""), ""TV Show"", ""Movie"")"),"TV Show")</f>
        <v>TV Show</v>
      </c>
    </row>
    <row r="3645">
      <c r="A3645" s="1" t="s">
        <v>19871</v>
      </c>
      <c r="B3645" s="1" t="s">
        <v>27</v>
      </c>
      <c r="C3645" s="1" t="s">
        <v>19872</v>
      </c>
      <c r="D3645" s="1" t="s">
        <v>12430</v>
      </c>
      <c r="F3645" s="1" t="s">
        <v>30</v>
      </c>
      <c r="G3645" s="1" t="s">
        <v>19873</v>
      </c>
      <c r="H3645" s="1">
        <v>2019.0</v>
      </c>
      <c r="I3645" s="1" t="s">
        <v>42</v>
      </c>
      <c r="J3645" s="1" t="s">
        <v>835</v>
      </c>
      <c r="K3645" s="1" t="s">
        <v>34</v>
      </c>
      <c r="L3645" s="1" t="s">
        <v>19874</v>
      </c>
      <c r="M3645" s="2" t="s">
        <v>12</v>
      </c>
      <c r="N3645" s="4">
        <f t="shared" si="1"/>
        <v>43670</v>
      </c>
      <c r="O3645" s="5" t="str">
        <f>IFERROR(__xludf.DUMMYFUNCTION("IF(REGEXMATCH(TRIM(I3645), ""^\d+\s*min""), ""Unclassified"", IF(I3645 = """", ""NR"", I3645))"),"TV-MA")</f>
        <v>TV-MA</v>
      </c>
      <c r="R3645" s="5" t="str">
        <f t="shared" si="2"/>
        <v>The Great Hack</v>
      </c>
      <c r="S3645" s="5" t="str">
        <f>IFERROR(__xludf.DUMMYFUNCTION("""COMPUTED_VALUE"""),"Julie And The Phantoms")</f>
        <v>Julie And The Phantoms</v>
      </c>
      <c r="U3645" s="5" t="str">
        <f>IFERROR(__xludf.DUMMYFUNCTION("""COMPUTED_VALUE"""),"Jacob Schwab")</f>
        <v>Jacob Schwab</v>
      </c>
      <c r="V3645" s="5" t="s">
        <v>19875</v>
      </c>
      <c r="W3645" s="5" t="str">
        <f t="shared" si="3"/>
        <v>Rudradeep Bhattacharjee</v>
      </c>
      <c r="X3645" s="5">
        <f t="shared" si="4"/>
        <v>1</v>
      </c>
      <c r="Y3645" s="5" t="str">
        <f>IFERROR(__xludf.DUMMYFUNCTION("REGEXEXTRACT(J3645, ""^\d+"")"),"114")</f>
        <v>114</v>
      </c>
      <c r="Z3645" s="5" t="str">
        <f>IFERROR(__xludf.DUMMYFUNCTION("REGEXEXTRACT(J3645, ""[A-Za-z ]+$"")")," min")</f>
        <v> min</v>
      </c>
      <c r="AA3645" s="5" t="str">
        <f>IFERROR(__xludf.DUMMYFUNCTION("IF(REGEXMATCH(Z3645, ""Season""), ""TV Show"", ""Movie"")"),"Movie")</f>
        <v>Movie</v>
      </c>
    </row>
    <row r="3646">
      <c r="A3646" s="1" t="s">
        <v>19876</v>
      </c>
      <c r="B3646" s="1" t="s">
        <v>37</v>
      </c>
      <c r="C3646" s="1" t="s">
        <v>19877</v>
      </c>
      <c r="E3646" s="1" t="s">
        <v>19878</v>
      </c>
      <c r="F3646" s="1" t="s">
        <v>19879</v>
      </c>
      <c r="G3646" s="1" t="s">
        <v>19880</v>
      </c>
      <c r="H3646" s="1">
        <v>2018.0</v>
      </c>
      <c r="I3646" s="1" t="s">
        <v>206</v>
      </c>
      <c r="J3646" s="1" t="s">
        <v>276</v>
      </c>
      <c r="K3646" s="1" t="s">
        <v>290</v>
      </c>
      <c r="L3646" s="1" t="s">
        <v>19881</v>
      </c>
      <c r="M3646" s="2" t="s">
        <v>12</v>
      </c>
      <c r="N3646" s="4">
        <f t="shared" si="1"/>
        <v>43667</v>
      </c>
      <c r="O3646" s="5" t="str">
        <f>IFERROR(__xludf.DUMMYFUNCTION("IF(REGEXMATCH(TRIM(I3646), ""^\d+\s*min""), ""Unclassified"", IF(I3646 = """", ""NR"", I3646))"),"TV-Y")</f>
        <v>TV-Y</v>
      </c>
      <c r="R3646" s="5" t="str">
        <f t="shared" si="2"/>
        <v>Beat Bugs</v>
      </c>
      <c r="S3646" s="5" t="str">
        <f>IFERROR(__xludf.DUMMYFUNCTION("""COMPUTED_VALUE"""),"Julie'S Greenroom")</f>
        <v>Julie'S Greenroom</v>
      </c>
      <c r="U3646" s="5" t="str">
        <f>IFERROR(__xludf.DUMMYFUNCTION("""COMPUTED_VALUE"""),"Leo Riley")</f>
        <v>Leo Riley</v>
      </c>
      <c r="V3646" s="5" t="s">
        <v>19882</v>
      </c>
      <c r="W3646" s="5" t="str">
        <f t="shared" si="3"/>
        <v>Rudy Soedjarwo</v>
      </c>
      <c r="X3646" s="5">
        <f t="shared" si="4"/>
        <v>1</v>
      </c>
      <c r="Y3646" s="5" t="str">
        <f>IFERROR(__xludf.DUMMYFUNCTION("REGEXEXTRACT(J3646, ""^\d+"")"),"3")</f>
        <v>3</v>
      </c>
      <c r="Z3646" s="5" t="str">
        <f>IFERROR(__xludf.DUMMYFUNCTION("REGEXEXTRACT(J3646, ""[A-Za-z ]+$"")")," Seasons")</f>
        <v> Seasons</v>
      </c>
      <c r="AA3646" s="5" t="str">
        <f>IFERROR(__xludf.DUMMYFUNCTION("IF(REGEXMATCH(Z3646, ""Season""), ""TV Show"", ""Movie"")"),"TV Show")</f>
        <v>TV Show</v>
      </c>
    </row>
    <row r="3647">
      <c r="A3647" s="1" t="s">
        <v>19883</v>
      </c>
      <c r="B3647" s="1" t="s">
        <v>27</v>
      </c>
      <c r="C3647" s="1" t="s">
        <v>19884</v>
      </c>
      <c r="D3647" s="1" t="s">
        <v>10379</v>
      </c>
      <c r="E3647" s="1" t="s">
        <v>19885</v>
      </c>
      <c r="F3647" s="1" t="s">
        <v>30</v>
      </c>
      <c r="G3647" s="1" t="s">
        <v>19880</v>
      </c>
      <c r="H3647" s="1">
        <v>2018.0</v>
      </c>
      <c r="I3647" s="1" t="s">
        <v>42</v>
      </c>
      <c r="J3647" s="1" t="s">
        <v>4693</v>
      </c>
      <c r="K3647" s="1" t="s">
        <v>1839</v>
      </c>
      <c r="L3647" s="1" t="s">
        <v>19886</v>
      </c>
      <c r="M3647" s="2" t="s">
        <v>12</v>
      </c>
      <c r="N3647" s="4">
        <f t="shared" si="1"/>
        <v>43667</v>
      </c>
      <c r="O3647" s="5" t="str">
        <f>IFERROR(__xludf.DUMMYFUNCTION("IF(REGEXMATCH(TRIM(I3647), ""^\d+\s*min""), ""Unclassified"", IF(I3647 = """", ""NR"", I3647))"),"TV-MA")</f>
        <v>TV-MA</v>
      </c>
      <c r="R3647" s="5" t="str">
        <f t="shared" si="2"/>
        <v>D.L. Hughley: Contrarian</v>
      </c>
      <c r="S3647" s="5" t="str">
        <f>IFERROR(__xludf.DUMMYFUNCTION("""COMPUTED_VALUE"""),"Julius Jr.")</f>
        <v>Julius Jr.</v>
      </c>
      <c r="U3647" s="5" t="str">
        <f>IFERROR(__xludf.DUMMYFUNCTION("""COMPUTED_VALUE"""),"V. K. Prakash")</f>
        <v>V. K. Prakash</v>
      </c>
      <c r="V3647" s="5" t="s">
        <v>19887</v>
      </c>
      <c r="W3647" s="5" t="str">
        <f t="shared" si="3"/>
        <v>Rudy Soedjarwo, Riri Riza</v>
      </c>
      <c r="X3647" s="5">
        <f t="shared" si="4"/>
        <v>1</v>
      </c>
      <c r="Y3647" s="5" t="str">
        <f>IFERROR(__xludf.DUMMYFUNCTION("REGEXEXTRACT(J3647, ""^\d+"")"),"58")</f>
        <v>58</v>
      </c>
      <c r="Z3647" s="5" t="str">
        <f>IFERROR(__xludf.DUMMYFUNCTION("REGEXEXTRACT(J3647, ""[A-Za-z ]+$"")")," min")</f>
        <v> min</v>
      </c>
      <c r="AA3647" s="5" t="str">
        <f>IFERROR(__xludf.DUMMYFUNCTION("IF(REGEXMATCH(Z3647, ""Season""), ""TV Show"", ""Movie"")"),"Movie")</f>
        <v>Movie</v>
      </c>
    </row>
    <row r="3648">
      <c r="A3648" s="1" t="s">
        <v>19888</v>
      </c>
      <c r="B3648" s="1" t="s">
        <v>27</v>
      </c>
      <c r="C3648" s="1" t="s">
        <v>19889</v>
      </c>
      <c r="D3648" s="1" t="s">
        <v>10407</v>
      </c>
      <c r="E3648" s="1" t="s">
        <v>6310</v>
      </c>
      <c r="F3648" s="1" t="s">
        <v>30</v>
      </c>
      <c r="G3648" s="1" t="s">
        <v>19880</v>
      </c>
      <c r="H3648" s="1">
        <v>2018.0</v>
      </c>
      <c r="I3648" s="1" t="s">
        <v>42</v>
      </c>
      <c r="J3648" s="1" t="s">
        <v>16845</v>
      </c>
      <c r="K3648" s="1" t="s">
        <v>1839</v>
      </c>
      <c r="L3648" s="1" t="s">
        <v>19890</v>
      </c>
      <c r="M3648" s="2" t="s">
        <v>12</v>
      </c>
      <c r="N3648" s="4">
        <f t="shared" si="1"/>
        <v>43667</v>
      </c>
      <c r="O3648" s="5" t="str">
        <f>IFERROR(__xludf.DUMMYFUNCTION("IF(REGEXMATCH(TRIM(I3648), ""^\d+\s*min""), ""Unclassified"", IF(I3648 = """", ""NR"", I3648))"),"TV-MA")</f>
        <v>TV-MA</v>
      </c>
      <c r="R3648" s="5" t="str">
        <f t="shared" si="2"/>
        <v>Demetri Martin: The Overthinker</v>
      </c>
      <c r="S3648" s="5" t="str">
        <f>IFERROR(__xludf.DUMMYFUNCTION("""COMPUTED_VALUE"""),"Juman")</f>
        <v>Juman</v>
      </c>
      <c r="U3648" s="5" t="str">
        <f>IFERROR(__xludf.DUMMYFUNCTION("""COMPUTED_VALUE"""),"Manish Tiwary")</f>
        <v>Manish Tiwary</v>
      </c>
      <c r="V3648" s="5" t="s">
        <v>10067</v>
      </c>
      <c r="W3648" s="5" t="str">
        <f t="shared" si="3"/>
        <v>Ruel S. Bayani</v>
      </c>
      <c r="X3648" s="5">
        <f t="shared" si="4"/>
        <v>2</v>
      </c>
      <c r="Y3648" s="5" t="str">
        <f>IFERROR(__xludf.DUMMYFUNCTION("REGEXEXTRACT(J3648, ""^\d+"")"),"56")</f>
        <v>56</v>
      </c>
      <c r="Z3648" s="5" t="str">
        <f>IFERROR(__xludf.DUMMYFUNCTION("REGEXEXTRACT(J3648, ""[A-Za-z ]+$"")")," min")</f>
        <v> min</v>
      </c>
      <c r="AA3648" s="5" t="str">
        <f>IFERROR(__xludf.DUMMYFUNCTION("IF(REGEXMATCH(Z3648, ""Season""), ""TV Show"", ""Movie"")"),"Movie")</f>
        <v>Movie</v>
      </c>
    </row>
    <row r="3649">
      <c r="A3649" s="1" t="s">
        <v>19891</v>
      </c>
      <c r="B3649" s="1" t="s">
        <v>27</v>
      </c>
      <c r="C3649" s="1" t="s">
        <v>19892</v>
      </c>
      <c r="D3649" s="1" t="s">
        <v>5706</v>
      </c>
      <c r="E3649" s="1" t="s">
        <v>19893</v>
      </c>
      <c r="F3649" s="1" t="s">
        <v>1119</v>
      </c>
      <c r="G3649" s="1" t="s">
        <v>19880</v>
      </c>
      <c r="H3649" s="1">
        <v>2008.0</v>
      </c>
      <c r="I3649" s="1" t="s">
        <v>97</v>
      </c>
      <c r="J3649" s="1" t="s">
        <v>297</v>
      </c>
      <c r="K3649" s="1" t="s">
        <v>3459</v>
      </c>
      <c r="L3649" s="1" t="s">
        <v>19894</v>
      </c>
      <c r="M3649" s="2" t="s">
        <v>12</v>
      </c>
      <c r="N3649" s="4">
        <f t="shared" si="1"/>
        <v>43667</v>
      </c>
      <c r="O3649" s="5" t="str">
        <f>IFERROR(__xludf.DUMMYFUNCTION("IF(REGEXMATCH(TRIM(I3649), ""^\d+\s*min""), ""Unclassified"", IF(I3649 = """", ""NR"", I3649))"),"TV-14")</f>
        <v>TV-14</v>
      </c>
      <c r="R3649" s="5" t="str">
        <f t="shared" si="2"/>
        <v>The Beast Stalker</v>
      </c>
      <c r="S3649" s="5" t="str">
        <f>IFERROR(__xludf.DUMMYFUNCTION("""COMPUTED_VALUE"""),"Jumping Girl")</f>
        <v>Jumping Girl</v>
      </c>
      <c r="U3649" s="5" t="str">
        <f>IFERROR(__xludf.DUMMYFUNCTION("""COMPUTED_VALUE"""),"Ismail Farouk")</f>
        <v>Ismail Farouk</v>
      </c>
      <c r="V3649" s="5" t="s">
        <v>19895</v>
      </c>
      <c r="W3649" s="5" t="str">
        <f t="shared" si="3"/>
        <v>Rupert Jones</v>
      </c>
      <c r="X3649" s="5">
        <f t="shared" si="4"/>
        <v>1</v>
      </c>
      <c r="Y3649" s="5" t="str">
        <f>IFERROR(__xludf.DUMMYFUNCTION("REGEXEXTRACT(J3649, ""^\d+"")"),"110")</f>
        <v>110</v>
      </c>
      <c r="Z3649" s="5" t="str">
        <f>IFERROR(__xludf.DUMMYFUNCTION("REGEXEXTRACT(J3649, ""[A-Za-z ]+$"")")," min")</f>
        <v> min</v>
      </c>
      <c r="AA3649" s="5" t="str">
        <f>IFERROR(__xludf.DUMMYFUNCTION("IF(REGEXMATCH(Z3649, ""Season""), ""TV Show"", ""Movie"")"),"Movie")</f>
        <v>Movie</v>
      </c>
    </row>
    <row r="3650">
      <c r="A3650" s="1" t="s">
        <v>19896</v>
      </c>
      <c r="B3650" s="1" t="s">
        <v>27</v>
      </c>
      <c r="C3650" s="1" t="s">
        <v>19897</v>
      </c>
      <c r="D3650" s="1" t="s">
        <v>4566</v>
      </c>
      <c r="E3650" s="1" t="s">
        <v>19898</v>
      </c>
      <c r="F3650" s="1" t="s">
        <v>1119</v>
      </c>
      <c r="G3650" s="1" t="s">
        <v>19880</v>
      </c>
      <c r="H3650" s="1">
        <v>2013.0</v>
      </c>
      <c r="I3650" s="1" t="s">
        <v>97</v>
      </c>
      <c r="J3650" s="1" t="s">
        <v>357</v>
      </c>
      <c r="K3650" s="1" t="s">
        <v>199</v>
      </c>
      <c r="L3650" s="1" t="s">
        <v>19899</v>
      </c>
      <c r="M3650" s="2" t="s">
        <v>12</v>
      </c>
      <c r="N3650" s="4">
        <f t="shared" si="1"/>
        <v>43667</v>
      </c>
      <c r="O3650" s="5" t="str">
        <f>IFERROR(__xludf.DUMMYFUNCTION("IF(REGEXMATCH(TRIM(I3650), ""^\d+\s*min""), ""Unclassified"", IF(I3650 = """", ""NR"", I3650))"),"TV-14")</f>
        <v>TV-14</v>
      </c>
      <c r="R3650" s="5" t="str">
        <f t="shared" si="2"/>
        <v>The Midas Touch</v>
      </c>
      <c r="S3650" s="5" t="str">
        <f>IFERROR(__xludf.DUMMYFUNCTION("""COMPUTED_VALUE"""),"Jumping The Broom")</f>
        <v>Jumping The Broom</v>
      </c>
      <c r="U3650" s="5" t="str">
        <f>IFERROR(__xludf.DUMMYFUNCTION("""COMPUTED_VALUE"""),"Zatella Beatty")</f>
        <v>Zatella Beatty</v>
      </c>
      <c r="V3650" s="5" t="s">
        <v>1556</v>
      </c>
      <c r="W3650" s="5" t="str">
        <f t="shared" si="3"/>
        <v>Rush Sturges</v>
      </c>
      <c r="X3650" s="5">
        <f t="shared" si="4"/>
        <v>1</v>
      </c>
      <c r="Y3650" s="5" t="str">
        <f>IFERROR(__xludf.DUMMYFUNCTION("REGEXEXTRACT(J3650, ""^\d+"")"),"98")</f>
        <v>98</v>
      </c>
      <c r="Z3650" s="5" t="str">
        <f>IFERROR(__xludf.DUMMYFUNCTION("REGEXEXTRACT(J3650, ""[A-Za-z ]+$"")")," min")</f>
        <v> min</v>
      </c>
      <c r="AA3650" s="5" t="str">
        <f>IFERROR(__xludf.DUMMYFUNCTION("IF(REGEXMATCH(Z3650, ""Season""), ""TV Show"", ""Movie"")"),"Movie")</f>
        <v>Movie</v>
      </c>
    </row>
    <row r="3651">
      <c r="A3651" s="1" t="s">
        <v>19900</v>
      </c>
      <c r="B3651" s="1" t="s">
        <v>27</v>
      </c>
      <c r="C3651" s="1" t="s">
        <v>19901</v>
      </c>
      <c r="D3651" s="1" t="s">
        <v>5198</v>
      </c>
      <c r="E3651" s="1" t="s">
        <v>19902</v>
      </c>
      <c r="F3651" s="1" t="s">
        <v>12646</v>
      </c>
      <c r="G3651" s="1" t="s">
        <v>19880</v>
      </c>
      <c r="H3651" s="1">
        <v>2004.0</v>
      </c>
      <c r="I3651" s="1" t="s">
        <v>97</v>
      </c>
      <c r="J3651" s="1" t="s">
        <v>256</v>
      </c>
      <c r="K3651" s="1" t="s">
        <v>1328</v>
      </c>
      <c r="L3651" s="1" t="s">
        <v>19903</v>
      </c>
      <c r="M3651" s="2" t="s">
        <v>12</v>
      </c>
      <c r="N3651" s="4">
        <f t="shared" si="1"/>
        <v>43667</v>
      </c>
      <c r="O3651" s="5" t="str">
        <f>IFERROR(__xludf.DUMMYFUNCTION("IF(REGEXMATCH(TRIM(I3651), ""^\d+\s*min""), ""Unclassified"", IF(I3651 = """", ""NR"", I3651))"),"TV-14")</f>
        <v>TV-14</v>
      </c>
      <c r="R3651" s="5" t="str">
        <f t="shared" si="2"/>
        <v>The Twins Effect Ii</v>
      </c>
      <c r="S3651" s="5" t="str">
        <f>IFERROR(__xludf.DUMMYFUNCTION("""COMPUTED_VALUE"""),"June &amp; Kopi")</f>
        <v>June &amp; Kopi</v>
      </c>
      <c r="U3651" s="5" t="str">
        <f>IFERROR(__xludf.DUMMYFUNCTION("""COMPUTED_VALUE"""),"Young Jun Lee")</f>
        <v>Young Jun Lee</v>
      </c>
      <c r="V3651" s="5" t="s">
        <v>19904</v>
      </c>
      <c r="W3651" s="5" t="str">
        <f t="shared" si="3"/>
        <v>Rushmore Denooyer</v>
      </c>
      <c r="X3651" s="5">
        <f t="shared" si="4"/>
        <v>1</v>
      </c>
      <c r="Y3651" s="5" t="str">
        <f>IFERROR(__xludf.DUMMYFUNCTION("REGEXEXTRACT(J3651, ""^\d+"")"),"106")</f>
        <v>106</v>
      </c>
      <c r="Z3651" s="5" t="str">
        <f>IFERROR(__xludf.DUMMYFUNCTION("REGEXEXTRACT(J3651, ""[A-Za-z ]+$"")")," min")</f>
        <v> min</v>
      </c>
      <c r="AA3651" s="5" t="str">
        <f>IFERROR(__xludf.DUMMYFUNCTION("IF(REGEXMATCH(Z3651, ""Season""), ""TV Show"", ""Movie"")"),"Movie")</f>
        <v>Movie</v>
      </c>
    </row>
    <row r="3652">
      <c r="A3652" s="1" t="s">
        <v>19905</v>
      </c>
      <c r="B3652" s="1" t="s">
        <v>27</v>
      </c>
      <c r="C3652" s="1" t="s">
        <v>19906</v>
      </c>
      <c r="D3652" s="1" t="s">
        <v>19907</v>
      </c>
      <c r="E3652" s="1" t="s">
        <v>19908</v>
      </c>
      <c r="F3652" s="1" t="s">
        <v>12646</v>
      </c>
      <c r="G3652" s="1" t="s">
        <v>19880</v>
      </c>
      <c r="H3652" s="1">
        <v>2007.0</v>
      </c>
      <c r="I3652" s="1" t="s">
        <v>42</v>
      </c>
      <c r="J3652" s="1" t="s">
        <v>447</v>
      </c>
      <c r="K3652" s="1" t="s">
        <v>1066</v>
      </c>
      <c r="L3652" s="1" t="s">
        <v>19909</v>
      </c>
      <c r="M3652" s="2" t="s">
        <v>12</v>
      </c>
      <c r="N3652" s="4">
        <f t="shared" si="1"/>
        <v>43667</v>
      </c>
      <c r="O3652" s="5" t="str">
        <f>IFERROR(__xludf.DUMMYFUNCTION("IF(REGEXMATCH(TRIM(I3652), ""^\d+\s*min""), ""Unclassified"", IF(I3652 = """", ""NR"", I3652))"),"TV-MA")</f>
        <v>TV-MA</v>
      </c>
      <c r="R3652" s="5" t="str">
        <f t="shared" si="2"/>
        <v>Twins Mission</v>
      </c>
      <c r="S3652" s="5" t="str">
        <f>IFERROR(__xludf.DUMMYFUNCTION("""COMPUTED_VALUE"""),"Junebug")</f>
        <v>Junebug</v>
      </c>
      <c r="U3652" s="5" t="str">
        <f>IFERROR(__xludf.DUMMYFUNCTION("""COMPUTED_VALUE"""),"Mathias Malzieu, Stéphane Berla")</f>
        <v>Mathias Malzieu, Stéphane Berla</v>
      </c>
      <c r="V3652" s="5" t="s">
        <v>19910</v>
      </c>
      <c r="W3652" s="5" t="str">
        <f t="shared" si="3"/>
        <v>Russell Crowe</v>
      </c>
      <c r="X3652" s="5">
        <f t="shared" si="4"/>
        <v>1</v>
      </c>
      <c r="Y3652" s="5" t="str">
        <f>IFERROR(__xludf.DUMMYFUNCTION("REGEXEXTRACT(J3652, ""^\d+"")"),"102")</f>
        <v>102</v>
      </c>
      <c r="Z3652" s="5" t="str">
        <f>IFERROR(__xludf.DUMMYFUNCTION("REGEXEXTRACT(J3652, ""[A-Za-z ]+$"")")," min")</f>
        <v> min</v>
      </c>
      <c r="AA3652" s="5" t="str">
        <f>IFERROR(__xludf.DUMMYFUNCTION("IF(REGEXMATCH(Z3652, ""Season""), ""TV Show"", ""Movie"")"),"Movie")</f>
        <v>Movie</v>
      </c>
    </row>
    <row r="3653">
      <c r="A3653" s="1" t="s">
        <v>19911</v>
      </c>
      <c r="B3653" s="1" t="s">
        <v>37</v>
      </c>
      <c r="C3653" s="1" t="s">
        <v>19912</v>
      </c>
      <c r="E3653" s="1" t="s">
        <v>19913</v>
      </c>
      <c r="F3653" s="1" t="s">
        <v>1119</v>
      </c>
      <c r="G3653" s="1" t="s">
        <v>19914</v>
      </c>
      <c r="H3653" s="1">
        <v>2019.0</v>
      </c>
      <c r="I3653" s="1" t="s">
        <v>42</v>
      </c>
      <c r="J3653" s="1" t="s">
        <v>51</v>
      </c>
      <c r="K3653" s="1" t="s">
        <v>1907</v>
      </c>
      <c r="L3653" s="1" t="s">
        <v>19915</v>
      </c>
      <c r="M3653" s="2" t="s">
        <v>12</v>
      </c>
      <c r="N3653" s="4">
        <f t="shared" si="1"/>
        <v>43666</v>
      </c>
      <c r="O3653" s="5" t="str">
        <f>IFERROR(__xludf.DUMMYFUNCTION("IF(REGEXMATCH(TRIM(I3653), ""^\d+\s*min""), ""Unclassified"", IF(I3653 = """", ""NR"", I3653))"),"TV-MA")</f>
        <v>TV-MA</v>
      </c>
      <c r="R3653" s="5" t="str">
        <f t="shared" si="2"/>
        <v>Sexy Central</v>
      </c>
      <c r="S3653" s="5" t="str">
        <f>IFERROR(__xludf.DUMMYFUNCTION("""COMPUTED_VALUE"""),"Jungle Beat: The Movie")</f>
        <v>Jungle Beat: The Movie</v>
      </c>
      <c r="U3653" s="5" t="str">
        <f>IFERROR(__xludf.DUMMYFUNCTION("""COMPUTED_VALUE"""),"Harvey Glazer, Stuart Stone")</f>
        <v>Harvey Glazer, Stuart Stone</v>
      </c>
      <c r="V3653" s="5" t="s">
        <v>19916</v>
      </c>
      <c r="W3653" s="5" t="str">
        <f t="shared" si="3"/>
        <v>Rusty Cundieff, Darin Scott</v>
      </c>
      <c r="X3653" s="5">
        <f t="shared" si="4"/>
        <v>1</v>
      </c>
      <c r="Y3653" s="5" t="str">
        <f>IFERROR(__xludf.DUMMYFUNCTION("REGEXEXTRACT(J3653, ""^\d+"")"),"1")</f>
        <v>1</v>
      </c>
      <c r="Z3653" s="5" t="str">
        <f>IFERROR(__xludf.DUMMYFUNCTION("REGEXEXTRACT(J3653, ""[A-Za-z ]+$"")")," Season")</f>
        <v> Season</v>
      </c>
      <c r="AA3653" s="5" t="str">
        <f>IFERROR(__xludf.DUMMYFUNCTION("IF(REGEXMATCH(Z3653, ""Season""), ""TV Show"", ""Movie"")"),"TV Show")</f>
        <v>TV Show</v>
      </c>
    </row>
    <row r="3654">
      <c r="A3654" s="1" t="s">
        <v>19917</v>
      </c>
      <c r="B3654" s="1" t="s">
        <v>27</v>
      </c>
      <c r="C3654" s="1" t="s">
        <v>19918</v>
      </c>
      <c r="D3654" s="1" t="s">
        <v>7835</v>
      </c>
      <c r="E3654" s="1" t="s">
        <v>19919</v>
      </c>
      <c r="F3654" s="1" t="s">
        <v>784</v>
      </c>
      <c r="G3654" s="1" t="s">
        <v>19920</v>
      </c>
      <c r="H3654" s="1">
        <v>2019.0</v>
      </c>
      <c r="I3654" s="1" t="s">
        <v>42</v>
      </c>
      <c r="J3654" s="1" t="s">
        <v>2452</v>
      </c>
      <c r="K3654" s="1" t="s">
        <v>199</v>
      </c>
      <c r="L3654" s="1" t="s">
        <v>19921</v>
      </c>
      <c r="M3654" s="2" t="s">
        <v>12</v>
      </c>
      <c r="N3654" s="4">
        <f t="shared" si="1"/>
        <v>43665</v>
      </c>
      <c r="O3654" s="5" t="str">
        <f>IFERROR(__xludf.DUMMYFUNCTION("IF(REGEXMATCH(TRIM(I3654), ""^\d+\s*min""), ""Unclassified"", IF(I3654 = """", ""NR"", I3654))"),"TV-MA")</f>
        <v>TV-MA</v>
      </c>
      <c r="R3654" s="5" t="str">
        <f t="shared" si="2"/>
        <v>¡Ay, Mi Madre!</v>
      </c>
      <c r="S3654" s="5" t="str">
        <f>IFERROR(__xludf.DUMMYFUNCTION("""COMPUTED_VALUE"""),"Jupiter Ascending")</f>
        <v>Jupiter Ascending</v>
      </c>
      <c r="U3654" s="5" t="str">
        <f>IFERROR(__xludf.DUMMYFUNCTION("""COMPUTED_VALUE"""),"Stuart Orme")</f>
        <v>Stuart Orme</v>
      </c>
      <c r="V3654" s="5" t="s">
        <v>19922</v>
      </c>
      <c r="W3654" s="5" t="str">
        <f t="shared" si="3"/>
        <v>Rusty Nixon</v>
      </c>
      <c r="X3654" s="5">
        <f t="shared" si="4"/>
        <v>1</v>
      </c>
      <c r="Y3654" s="5" t="str">
        <f>IFERROR(__xludf.DUMMYFUNCTION("REGEXEXTRACT(J3654, ""^\d+"")"),"81")</f>
        <v>81</v>
      </c>
      <c r="Z3654" s="5" t="str">
        <f>IFERROR(__xludf.DUMMYFUNCTION("REGEXEXTRACT(J3654, ""[A-Za-z ]+$"")")," min")</f>
        <v> min</v>
      </c>
      <c r="AA3654" s="5" t="str">
        <f>IFERROR(__xludf.DUMMYFUNCTION("IF(REGEXMATCH(Z3654, ""Season""), ""TV Show"", ""Movie"")"),"Movie")</f>
        <v>Movie</v>
      </c>
    </row>
    <row r="3655">
      <c r="A3655" s="1" t="s">
        <v>19923</v>
      </c>
      <c r="B3655" s="1" t="s">
        <v>37</v>
      </c>
      <c r="C3655" s="1" t="s">
        <v>19924</v>
      </c>
      <c r="D3655" s="1" t="s">
        <v>10861</v>
      </c>
      <c r="E3655" s="1" t="s">
        <v>10861</v>
      </c>
      <c r="F3655" s="1" t="s">
        <v>30</v>
      </c>
      <c r="G3655" s="1" t="s">
        <v>19920</v>
      </c>
      <c r="H3655" s="1">
        <v>2019.0</v>
      </c>
      <c r="I3655" s="1" t="s">
        <v>97</v>
      </c>
      <c r="J3655" s="1" t="s">
        <v>439</v>
      </c>
      <c r="K3655" s="1" t="s">
        <v>2512</v>
      </c>
      <c r="L3655" s="1" t="s">
        <v>19925</v>
      </c>
      <c r="M3655" s="2" t="s">
        <v>12</v>
      </c>
      <c r="N3655" s="4">
        <f t="shared" si="1"/>
        <v>43665</v>
      </c>
      <c r="O3655" s="5" t="str">
        <f>IFERROR(__xludf.DUMMYFUNCTION("IF(REGEXMATCH(TRIM(I3655), ""^\d+\s*min""), ""Unclassified"", IF(I3655 = """", ""NR"", I3655))"),"TV-14")</f>
        <v>TV-14</v>
      </c>
      <c r="R3655" s="5" t="str">
        <f t="shared" si="2"/>
        <v>Comedians In Cars Getting Coffee</v>
      </c>
      <c r="S3655" s="5" t="str">
        <f>IFERROR(__xludf.DUMMYFUNCTION("""COMPUTED_VALUE"""),"Jupiter'S Legacy")</f>
        <v>Jupiter'S Legacy</v>
      </c>
      <c r="U3655" s="5" t="str">
        <f>IFERROR(__xludf.DUMMYFUNCTION("""COMPUTED_VALUE"""),"Dustin Nguyen")</f>
        <v>Dustin Nguyen</v>
      </c>
      <c r="V3655" s="5" t="s">
        <v>13641</v>
      </c>
      <c r="W3655" s="5" t="str">
        <f t="shared" si="3"/>
        <v>Ry Russo-Young</v>
      </c>
      <c r="X3655" s="5">
        <f t="shared" si="4"/>
        <v>1</v>
      </c>
      <c r="Y3655" s="5" t="str">
        <f>IFERROR(__xludf.DUMMYFUNCTION("REGEXEXTRACT(J3655, ""^\d+"")"),"6")</f>
        <v>6</v>
      </c>
      <c r="Z3655" s="5" t="str">
        <f>IFERROR(__xludf.DUMMYFUNCTION("REGEXEXTRACT(J3655, ""[A-Za-z ]+$"")")," Seasons")</f>
        <v> Seasons</v>
      </c>
      <c r="AA3655" s="5" t="str">
        <f>IFERROR(__xludf.DUMMYFUNCTION("IF(REGEXMATCH(Z3655, ""Season""), ""TV Show"", ""Movie"")"),"TV Show")</f>
        <v>TV Show</v>
      </c>
    </row>
    <row r="3656">
      <c r="A3656" s="1" t="s">
        <v>19926</v>
      </c>
      <c r="B3656" s="1" t="s">
        <v>37</v>
      </c>
      <c r="C3656" s="1" t="s">
        <v>19927</v>
      </c>
      <c r="E3656" s="1" t="s">
        <v>19928</v>
      </c>
      <c r="F3656" s="1" t="s">
        <v>30</v>
      </c>
      <c r="G3656" s="1" t="s">
        <v>19920</v>
      </c>
      <c r="H3656" s="1">
        <v>2019.0</v>
      </c>
      <c r="I3656" s="1" t="s">
        <v>289</v>
      </c>
      <c r="J3656" s="1" t="s">
        <v>276</v>
      </c>
      <c r="K3656" s="1" t="s">
        <v>314</v>
      </c>
      <c r="L3656" s="1" t="s">
        <v>19929</v>
      </c>
      <c r="M3656" s="2" t="s">
        <v>12</v>
      </c>
      <c r="N3656" s="4">
        <f t="shared" si="1"/>
        <v>43665</v>
      </c>
      <c r="O3656" s="5" t="str">
        <f>IFERROR(__xludf.DUMMYFUNCTION("IF(REGEXMATCH(TRIM(I3656), ""^\d+\s*min""), ""Unclassified"", IF(I3656 = """", ""NR"", I3656))"),"TV-Y7")</f>
        <v>TV-Y7</v>
      </c>
      <c r="R3656" s="5" t="str">
        <f t="shared" si="2"/>
        <v>The Epic Tales Of Captain Underpants</v>
      </c>
      <c r="S3656" s="5" t="str">
        <f>IFERROR(__xludf.DUMMYFUNCTION("""COMPUTED_VALUE"""),"Jurassic World Camp Cretaceous")</f>
        <v>Jurassic World Camp Cretaceous</v>
      </c>
      <c r="U3656" s="5" t="str">
        <f>IFERROR(__xludf.DUMMYFUNCTION("""COMPUTED_VALUE"""),"Azfar Jafri")</f>
        <v>Azfar Jafri</v>
      </c>
      <c r="V3656" s="5" t="s">
        <v>9937</v>
      </c>
      <c r="W3656" s="5" t="str">
        <f t="shared" si="3"/>
        <v>Ryan Coogler</v>
      </c>
      <c r="X3656" s="5">
        <f t="shared" si="4"/>
        <v>2</v>
      </c>
      <c r="Y3656" s="5" t="str">
        <f>IFERROR(__xludf.DUMMYFUNCTION("REGEXEXTRACT(J3656, ""^\d+"")"),"3")</f>
        <v>3</v>
      </c>
      <c r="Z3656" s="5" t="str">
        <f>IFERROR(__xludf.DUMMYFUNCTION("REGEXEXTRACT(J3656, ""[A-Za-z ]+$"")")," Seasons")</f>
        <v> Seasons</v>
      </c>
      <c r="AA3656" s="5" t="str">
        <f>IFERROR(__xludf.DUMMYFUNCTION("IF(REGEXMATCH(Z3656, ""Season""), ""TV Show"", ""Movie"")"),"TV Show")</f>
        <v>TV Show</v>
      </c>
    </row>
    <row r="3657">
      <c r="A3657" s="1" t="s">
        <v>19930</v>
      </c>
      <c r="B3657" s="1" t="s">
        <v>37</v>
      </c>
      <c r="C3657" s="1" t="s">
        <v>19931</v>
      </c>
      <c r="E3657" s="1" t="s">
        <v>19932</v>
      </c>
      <c r="F3657" s="1" t="s">
        <v>63</v>
      </c>
      <c r="G3657" s="1" t="s">
        <v>19920</v>
      </c>
      <c r="H3657" s="1">
        <v>2019.0</v>
      </c>
      <c r="I3657" s="1" t="s">
        <v>42</v>
      </c>
      <c r="J3657" s="1" t="s">
        <v>51</v>
      </c>
      <c r="K3657" s="1" t="s">
        <v>9484</v>
      </c>
      <c r="L3657" s="1" t="s">
        <v>19933</v>
      </c>
      <c r="M3657" s="2" t="s">
        <v>12</v>
      </c>
      <c r="N3657" s="4">
        <f t="shared" si="1"/>
        <v>43665</v>
      </c>
      <c r="O3657" s="5" t="str">
        <f>IFERROR(__xludf.DUMMYFUNCTION("IF(REGEXMATCH(TRIM(I3657), ""^\d+\s*min""), ""Unclassified"", IF(I3657 = """", ""NR"", I3657))"),"TV-MA")</f>
        <v>TV-MA</v>
      </c>
      <c r="R3657" s="5" t="str">
        <f t="shared" si="2"/>
        <v>Typewriter</v>
      </c>
      <c r="S3657" s="5" t="str">
        <f>IFERROR(__xludf.DUMMYFUNCTION("""COMPUTED_VALUE"""),"Just Another Christmas")</f>
        <v>Just Another Christmas</v>
      </c>
      <c r="U3657" s="5" t="str">
        <f>IFERROR(__xludf.DUMMYFUNCTION("""COMPUTED_VALUE"""),"Gerry Hoban")</f>
        <v>Gerry Hoban</v>
      </c>
      <c r="V3657" s="5" t="s">
        <v>6117</v>
      </c>
      <c r="W3657" s="5" t="str">
        <f t="shared" si="3"/>
        <v>Ryan Crego</v>
      </c>
      <c r="X3657" s="5">
        <f t="shared" si="4"/>
        <v>1</v>
      </c>
      <c r="Y3657" s="5" t="str">
        <f>IFERROR(__xludf.DUMMYFUNCTION("REGEXEXTRACT(J3657, ""^\d+"")"),"1")</f>
        <v>1</v>
      </c>
      <c r="Z3657" s="5" t="str">
        <f>IFERROR(__xludf.DUMMYFUNCTION("REGEXEXTRACT(J3657, ""[A-Za-z ]+$"")")," Season")</f>
        <v> Season</v>
      </c>
      <c r="AA3657" s="5" t="str">
        <f>IFERROR(__xludf.DUMMYFUNCTION("IF(REGEXMATCH(Z3657, ""Season""), ""TV Show"", ""Movie"")"),"TV Show")</f>
        <v>TV Show</v>
      </c>
    </row>
    <row r="3658">
      <c r="A3658" s="1" t="s">
        <v>19934</v>
      </c>
      <c r="B3658" s="1" t="s">
        <v>37</v>
      </c>
      <c r="C3658" s="1" t="s">
        <v>19935</v>
      </c>
      <c r="E3658" s="1" t="s">
        <v>19936</v>
      </c>
      <c r="F3658" s="1" t="s">
        <v>749</v>
      </c>
      <c r="G3658" s="1" t="s">
        <v>19937</v>
      </c>
      <c r="H3658" s="1">
        <v>2019.0</v>
      </c>
      <c r="I3658" s="1" t="s">
        <v>97</v>
      </c>
      <c r="J3658" s="1" t="s">
        <v>51</v>
      </c>
      <c r="K3658" s="1" t="s">
        <v>7164</v>
      </c>
      <c r="L3658" s="1" t="s">
        <v>19938</v>
      </c>
      <c r="M3658" s="2" t="s">
        <v>12</v>
      </c>
      <c r="N3658" s="4">
        <f t="shared" si="1"/>
        <v>43664</v>
      </c>
      <c r="O3658" s="5" t="str">
        <f>IFERROR(__xludf.DUMMYFUNCTION("IF(REGEXMATCH(TRIM(I3658), ""^\d+\s*min""), ""Unclassified"", IF(I3658 = """", ""NR"", I3658))"),"TV-14")</f>
        <v>TV-14</v>
      </c>
      <c r="R3658" s="5" t="str">
        <f t="shared" si="2"/>
        <v>Rookie Historian Goo Hae-Ryung</v>
      </c>
      <c r="S3658" s="5" t="str">
        <f>IFERROR(__xludf.DUMMYFUNCTION("""COMPUTED_VALUE"""),"Just Another Love Story")</f>
        <v>Just Another Love Story</v>
      </c>
      <c r="U3658" s="5" t="str">
        <f>IFERROR(__xludf.DUMMYFUNCTION("""COMPUTED_VALUE"""),"C. Fitz")</f>
        <v>C. Fitz</v>
      </c>
      <c r="V3658" s="5" t="s">
        <v>19939</v>
      </c>
      <c r="W3658" s="5" t="str">
        <f t="shared" si="3"/>
        <v>Ryan Koo</v>
      </c>
      <c r="X3658" s="5">
        <f t="shared" si="4"/>
        <v>1</v>
      </c>
      <c r="Y3658" s="5" t="str">
        <f>IFERROR(__xludf.DUMMYFUNCTION("REGEXEXTRACT(J3658, ""^\d+"")"),"1")</f>
        <v>1</v>
      </c>
      <c r="Z3658" s="5" t="str">
        <f>IFERROR(__xludf.DUMMYFUNCTION("REGEXEXTRACT(J3658, ""[A-Za-z ]+$"")")," Season")</f>
        <v> Season</v>
      </c>
      <c r="AA3658" s="5" t="str">
        <f>IFERROR(__xludf.DUMMYFUNCTION("IF(REGEXMATCH(Z3658, ""Season""), ""TV Show"", ""Movie"")"),"TV Show")</f>
        <v>TV Show</v>
      </c>
    </row>
    <row r="3659">
      <c r="A3659" s="1" t="s">
        <v>19940</v>
      </c>
      <c r="B3659" s="1" t="s">
        <v>27</v>
      </c>
      <c r="C3659" s="1" t="s">
        <v>19941</v>
      </c>
      <c r="D3659" s="1" t="s">
        <v>12709</v>
      </c>
      <c r="E3659" s="1" t="s">
        <v>19942</v>
      </c>
      <c r="F3659" s="1" t="s">
        <v>30</v>
      </c>
      <c r="G3659" s="1" t="s">
        <v>19937</v>
      </c>
      <c r="H3659" s="1">
        <v>2019.0</v>
      </c>
      <c r="I3659" s="1" t="s">
        <v>97</v>
      </c>
      <c r="J3659" s="1" t="s">
        <v>357</v>
      </c>
      <c r="K3659" s="1" t="s">
        <v>171</v>
      </c>
      <c r="L3659" s="1" t="s">
        <v>19943</v>
      </c>
      <c r="M3659" s="2" t="s">
        <v>12</v>
      </c>
      <c r="N3659" s="4">
        <f t="shared" si="1"/>
        <v>43664</v>
      </c>
      <c r="O3659" s="5" t="str">
        <f>IFERROR(__xludf.DUMMYFUNCTION("IF(REGEXMATCH(TRIM(I3659), ""^\d+\s*min""), ""Unclassified"", IF(I3659 = """", ""NR"", I3659))"),"TV-14")</f>
        <v>TV-14</v>
      </c>
      <c r="R3659" s="5" t="str">
        <f t="shared" si="2"/>
        <v>Secret Obsession</v>
      </c>
      <c r="S3659" s="5" t="str">
        <f>IFERROR(__xludf.DUMMYFUNCTION("""COMPUTED_VALUE"""),"Just Friends")</f>
        <v>Just Friends</v>
      </c>
      <c r="U3659" s="5" t="str">
        <f>IFERROR(__xludf.DUMMYFUNCTION("""COMPUTED_VALUE"""),"Joe Boyd")</f>
        <v>Joe Boyd</v>
      </c>
      <c r="V3659" s="5" t="s">
        <v>9134</v>
      </c>
      <c r="W3659" s="5" t="str">
        <f t="shared" si="3"/>
        <v>Ryan Murphy</v>
      </c>
      <c r="X3659" s="5">
        <f t="shared" si="4"/>
        <v>2</v>
      </c>
      <c r="Y3659" s="5" t="str">
        <f>IFERROR(__xludf.DUMMYFUNCTION("REGEXEXTRACT(J3659, ""^\d+"")"),"98")</f>
        <v>98</v>
      </c>
      <c r="Z3659" s="5" t="str">
        <f>IFERROR(__xludf.DUMMYFUNCTION("REGEXEXTRACT(J3659, ""[A-Za-z ]+$"")")," min")</f>
        <v> min</v>
      </c>
      <c r="AA3659" s="5" t="str">
        <f>IFERROR(__xludf.DUMMYFUNCTION("IF(REGEXMATCH(Z3659, ""Season""), ""TV Show"", ""Movie"")"),"Movie")</f>
        <v>Movie</v>
      </c>
    </row>
    <row r="3660">
      <c r="A3660" s="1" t="s">
        <v>19944</v>
      </c>
      <c r="B3660" s="1" t="s">
        <v>27</v>
      </c>
      <c r="C3660" s="1" t="s">
        <v>19945</v>
      </c>
      <c r="D3660" s="1" t="s">
        <v>498</v>
      </c>
      <c r="E3660" s="1" t="s">
        <v>19946</v>
      </c>
      <c r="F3660" s="1" t="s">
        <v>63</v>
      </c>
      <c r="G3660" s="1" t="s">
        <v>19947</v>
      </c>
      <c r="H3660" s="1">
        <v>2018.0</v>
      </c>
      <c r="I3660" s="1" t="s">
        <v>97</v>
      </c>
      <c r="J3660" s="1" t="s">
        <v>1383</v>
      </c>
      <c r="K3660" s="1" t="s">
        <v>306</v>
      </c>
      <c r="L3660" s="1" t="s">
        <v>19948</v>
      </c>
      <c r="M3660" s="2" t="s">
        <v>12</v>
      </c>
      <c r="N3660" s="4">
        <f t="shared" si="1"/>
        <v>43663</v>
      </c>
      <c r="O3660" s="5" t="str">
        <f>IFERROR(__xludf.DUMMYFUNCTION("IF(REGEXMATCH(TRIM(I3660), ""^\d+\s*min""), ""Unclassified"", IF(I3660 = """", ""NR"", I3660))"),"TV-14")</f>
        <v>TV-14</v>
      </c>
      <c r="R3660" s="5" t="str">
        <f t="shared" si="2"/>
        <v>Mauli</v>
      </c>
      <c r="S3660" s="5" t="str">
        <f>IFERROR(__xludf.DUMMYFUNCTION("""COMPUTED_VALUE"""),"Just In Time")</f>
        <v>Just In Time</v>
      </c>
      <c r="U3660" s="5" t="str">
        <f>IFERROR(__xludf.DUMMYFUNCTION("""COMPUTED_VALUE"""),"David Gelb")</f>
        <v>David Gelb</v>
      </c>
      <c r="V3660" s="5" t="s">
        <v>14919</v>
      </c>
      <c r="W3660" s="5" t="str">
        <f t="shared" si="3"/>
        <v>Ryan Polito</v>
      </c>
      <c r="X3660" s="5">
        <f t="shared" si="4"/>
        <v>8</v>
      </c>
      <c r="Y3660" s="5" t="str">
        <f>IFERROR(__xludf.DUMMYFUNCTION("REGEXEXTRACT(J3660, ""^\d+"")"),"136")</f>
        <v>136</v>
      </c>
      <c r="Z3660" s="5" t="str">
        <f>IFERROR(__xludf.DUMMYFUNCTION("REGEXEXTRACT(J3660, ""[A-Za-z ]+$"")")," min")</f>
        <v> min</v>
      </c>
      <c r="AA3660" s="5" t="str">
        <f>IFERROR(__xludf.DUMMYFUNCTION("IF(REGEXMATCH(Z3660, ""Season""), ""TV Show"", ""Movie"")"),"Movie")</f>
        <v>Movie</v>
      </c>
    </row>
    <row r="3661">
      <c r="A3661" s="1" t="s">
        <v>19949</v>
      </c>
      <c r="B3661" s="1" t="s">
        <v>37</v>
      </c>
      <c r="C3661" s="1" t="s">
        <v>19950</v>
      </c>
      <c r="E3661" s="1" t="s">
        <v>19951</v>
      </c>
      <c r="F3661" s="1" t="s">
        <v>30</v>
      </c>
      <c r="G3661" s="1" t="s">
        <v>19947</v>
      </c>
      <c r="H3661" s="1">
        <v>2019.0</v>
      </c>
      <c r="I3661" s="1" t="s">
        <v>289</v>
      </c>
      <c r="J3661" s="1" t="s">
        <v>276</v>
      </c>
      <c r="K3661" s="1" t="s">
        <v>314</v>
      </c>
      <c r="L3661" s="1" t="s">
        <v>19952</v>
      </c>
      <c r="M3661" s="2" t="s">
        <v>12</v>
      </c>
      <c r="N3661" s="4">
        <f t="shared" si="1"/>
        <v>43663</v>
      </c>
      <c r="O3661" s="5" t="str">
        <f>IFERROR(__xludf.DUMMYFUNCTION("IF(REGEXMATCH(TRIM(I3661), ""^\d+\s*min""), ""Unclassified"", IF(I3661 = """", ""NR"", I3661))"),"TV-Y7")</f>
        <v>TV-Y7</v>
      </c>
      <c r="R3661" s="5" t="str">
        <f t="shared" si="2"/>
        <v>Pinky Malinky</v>
      </c>
      <c r="S3661" s="5" t="str">
        <f>IFERROR(__xludf.DUMMYFUNCTION("""COMPUTED_VALUE"""),"Just Love")</f>
        <v>Just Love</v>
      </c>
      <c r="U3661" s="5" t="str">
        <f>IFERROR(__xludf.DUMMYFUNCTION("""COMPUTED_VALUE"""),"Radhu Karmakar")</f>
        <v>Radhu Karmakar</v>
      </c>
      <c r="V3661" s="5" t="s">
        <v>19953</v>
      </c>
      <c r="W3661" s="5" t="str">
        <f t="shared" si="3"/>
        <v>Ryu Jung-Woo</v>
      </c>
      <c r="X3661" s="5">
        <f t="shared" si="4"/>
        <v>1</v>
      </c>
      <c r="Y3661" s="5" t="str">
        <f>IFERROR(__xludf.DUMMYFUNCTION("REGEXEXTRACT(J3661, ""^\d+"")"),"3")</f>
        <v>3</v>
      </c>
      <c r="Z3661" s="5" t="str">
        <f>IFERROR(__xludf.DUMMYFUNCTION("REGEXEXTRACT(J3661, ""[A-Za-z ]+$"")")," Seasons")</f>
        <v> Seasons</v>
      </c>
      <c r="AA3661" s="5" t="str">
        <f>IFERROR(__xludf.DUMMYFUNCTION("IF(REGEXMATCH(Z3661, ""Season""), ""TV Show"", ""Movie"")"),"TV Show")</f>
        <v>TV Show</v>
      </c>
    </row>
    <row r="3662">
      <c r="A3662" s="1" t="s">
        <v>19954</v>
      </c>
      <c r="B3662" s="1" t="s">
        <v>37</v>
      </c>
      <c r="C3662" s="1" t="s">
        <v>19955</v>
      </c>
      <c r="E3662" s="1" t="s">
        <v>19956</v>
      </c>
      <c r="F3662" s="1" t="s">
        <v>3892</v>
      </c>
      <c r="G3662" s="1" t="s">
        <v>19947</v>
      </c>
      <c r="H3662" s="1">
        <v>2019.0</v>
      </c>
      <c r="I3662" s="1" t="s">
        <v>97</v>
      </c>
      <c r="J3662" s="1" t="s">
        <v>51</v>
      </c>
      <c r="K3662" s="1" t="s">
        <v>1907</v>
      </c>
      <c r="L3662" s="1" t="s">
        <v>19957</v>
      </c>
      <c r="M3662" s="2" t="s">
        <v>12</v>
      </c>
      <c r="N3662" s="4">
        <f t="shared" si="1"/>
        <v>43663</v>
      </c>
      <c r="O3662" s="5" t="str">
        <f>IFERROR(__xludf.DUMMYFUNCTION("IF(REGEXMATCH(TRIM(I3662), ""^\d+\s*min""), ""Unclassified"", IF(I3662 = """", ""NR"", I3662))"),"TV-14")</f>
        <v>TV-14</v>
      </c>
      <c r="R3662" s="5" t="str">
        <f t="shared" si="2"/>
        <v>Unrequited Love</v>
      </c>
      <c r="S3662" s="5" t="str">
        <f>IFERROR(__xludf.DUMMYFUNCTION("""COMPUTED_VALUE"""),"Just Say Yes")</f>
        <v>Just Say Yes</v>
      </c>
      <c r="U3662" s="5" t="str">
        <f>IFERROR(__xludf.DUMMYFUNCTION("""COMPUTED_VALUE"""),"John Edginton")</f>
        <v>John Edginton</v>
      </c>
      <c r="V3662" s="5" t="s">
        <v>6263</v>
      </c>
      <c r="W3662" s="5" t="str">
        <f t="shared" si="3"/>
        <v>Ryuichi Hiroki</v>
      </c>
      <c r="X3662" s="5">
        <f t="shared" si="4"/>
        <v>1</v>
      </c>
      <c r="Y3662" s="5" t="str">
        <f>IFERROR(__xludf.DUMMYFUNCTION("REGEXEXTRACT(J3662, ""^\d+"")"),"1")</f>
        <v>1</v>
      </c>
      <c r="Z3662" s="5" t="str">
        <f>IFERROR(__xludf.DUMMYFUNCTION("REGEXEXTRACT(J3662, ""[A-Za-z ]+$"")")," Season")</f>
        <v> Season</v>
      </c>
      <c r="AA3662" s="5" t="str">
        <f>IFERROR(__xludf.DUMMYFUNCTION("IF(REGEXMATCH(Z3662, ""Season""), ""TV Show"", ""Movie"")"),"TV Show")</f>
        <v>TV Show</v>
      </c>
    </row>
    <row r="3663">
      <c r="A3663" s="1" t="s">
        <v>19958</v>
      </c>
      <c r="B3663" s="1" t="s">
        <v>27</v>
      </c>
      <c r="C3663" s="1" t="s">
        <v>19959</v>
      </c>
      <c r="D3663" s="1" t="s">
        <v>16959</v>
      </c>
      <c r="E3663" s="1" t="s">
        <v>19960</v>
      </c>
      <c r="F3663" s="1" t="s">
        <v>63</v>
      </c>
      <c r="G3663" s="1" t="s">
        <v>19961</v>
      </c>
      <c r="H3663" s="1">
        <v>2018.0</v>
      </c>
      <c r="I3663" s="1" t="s">
        <v>136</v>
      </c>
      <c r="J3663" s="1" t="s">
        <v>198</v>
      </c>
      <c r="K3663" s="1" t="s">
        <v>128</v>
      </c>
      <c r="L3663" s="1" t="s">
        <v>19962</v>
      </c>
      <c r="M3663" s="2" t="s">
        <v>12</v>
      </c>
      <c r="N3663" s="4">
        <f t="shared" si="1"/>
        <v>43662</v>
      </c>
      <c r="O3663" s="5" t="str">
        <f>IFERROR(__xludf.DUMMYFUNCTION("IF(REGEXMATCH(TRIM(I3663), ""^\d+\s*min""), ""Unclassified"", IF(I3663 = """", ""NR"", I3663))"),"TV-PG")</f>
        <v>TV-PG</v>
      </c>
      <c r="R3663" s="5" t="str">
        <f t="shared" si="2"/>
        <v>Bogda</v>
      </c>
      <c r="S3663" s="5" t="str">
        <f>IFERROR(__xludf.DUMMYFUNCTION("""COMPUTED_VALUE"""),"Just The Way You Are")</f>
        <v>Just The Way You Are</v>
      </c>
      <c r="U3663" s="5" t="str">
        <f>IFERROR(__xludf.DUMMYFUNCTION("""COMPUTED_VALUE"""),"Ashim Ahluwalia")</f>
        <v>Ashim Ahluwalia</v>
      </c>
      <c r="V3663" s="5" t="s">
        <v>19963</v>
      </c>
      <c r="W3663" s="5" t="str">
        <f t="shared" si="3"/>
        <v>Rza</v>
      </c>
      <c r="X3663" s="5">
        <f t="shared" si="4"/>
        <v>2</v>
      </c>
      <c r="Y3663" s="5" t="str">
        <f>IFERROR(__xludf.DUMMYFUNCTION("REGEXEXTRACT(J3663, ""^\d+"")"),"161")</f>
        <v>161</v>
      </c>
      <c r="Z3663" s="5" t="str">
        <f>IFERROR(__xludf.DUMMYFUNCTION("REGEXEXTRACT(J3663, ""[A-Za-z ]+$"")")," min")</f>
        <v> min</v>
      </c>
      <c r="AA3663" s="5" t="str">
        <f>IFERROR(__xludf.DUMMYFUNCTION("IF(REGEXMATCH(Z3663, ""Season""), ""TV Show"", ""Movie"")"),"Movie")</f>
        <v>Movie</v>
      </c>
    </row>
    <row r="3664">
      <c r="A3664" s="1" t="s">
        <v>19964</v>
      </c>
      <c r="B3664" s="1" t="s">
        <v>27</v>
      </c>
      <c r="C3664" s="1" t="s">
        <v>19965</v>
      </c>
      <c r="D3664" s="1" t="s">
        <v>5532</v>
      </c>
      <c r="E3664" s="1" t="s">
        <v>19966</v>
      </c>
      <c r="F3664" s="1" t="s">
        <v>30</v>
      </c>
      <c r="G3664" s="1" t="s">
        <v>19961</v>
      </c>
      <c r="H3664" s="1">
        <v>2019.0</v>
      </c>
      <c r="I3664" s="1" t="s">
        <v>97</v>
      </c>
      <c r="J3664" s="1" t="s">
        <v>5362</v>
      </c>
      <c r="K3664" s="1" t="s">
        <v>239</v>
      </c>
      <c r="L3664" s="1" t="s">
        <v>19967</v>
      </c>
      <c r="M3664" s="2" t="s">
        <v>12</v>
      </c>
      <c r="N3664" s="4">
        <f t="shared" si="1"/>
        <v>43662</v>
      </c>
      <c r="O3664" s="5" t="str">
        <f>IFERROR(__xludf.DUMMYFUNCTION("IF(REGEXMATCH(TRIM(I3664), ""^\d+\s*min""), ""Unclassified"", IF(I3664 = """", ""NR"", I3664))"),"TV-14")</f>
        <v>TV-14</v>
      </c>
      <c r="R3664" s="5" t="str">
        <f t="shared" si="2"/>
        <v>Frankenstein’S Monster’S Monster, Frankenstein</v>
      </c>
      <c r="S3664" s="5" t="str">
        <f>IFERROR(__xludf.DUMMYFUNCTION("""COMPUTED_VALUE"""),"Just You")</f>
        <v>Just You</v>
      </c>
      <c r="U3664" s="5" t="str">
        <f>IFERROR(__xludf.DUMMYFUNCTION("""COMPUTED_VALUE"""),"Andrew Stanton")</f>
        <v>Andrew Stanton</v>
      </c>
      <c r="V3664" s="5" t="s">
        <v>212</v>
      </c>
      <c r="W3664" s="5" t="str">
        <f t="shared" si="3"/>
        <v>S. Shankar</v>
      </c>
      <c r="X3664" s="5">
        <f t="shared" si="4"/>
        <v>1</v>
      </c>
      <c r="Y3664" s="5" t="str">
        <f>IFERROR(__xludf.DUMMYFUNCTION("REGEXEXTRACT(J3664, ""^\d+"")"),"32")</f>
        <v>32</v>
      </c>
      <c r="Z3664" s="5" t="str">
        <f>IFERROR(__xludf.DUMMYFUNCTION("REGEXEXTRACT(J3664, ""[A-Za-z ]+$"")")," min")</f>
        <v> min</v>
      </c>
      <c r="AA3664" s="5" t="str">
        <f>IFERROR(__xludf.DUMMYFUNCTION("IF(REGEXMATCH(Z3664, ""Season""), ""TV Show"", ""Movie"")"),"Movie")</f>
        <v>Movie</v>
      </c>
    </row>
    <row r="3665">
      <c r="A3665" s="1" t="s">
        <v>19968</v>
      </c>
      <c r="B3665" s="1" t="s">
        <v>37</v>
      </c>
      <c r="C3665" s="1" t="s">
        <v>19969</v>
      </c>
      <c r="E3665" s="1" t="s">
        <v>19970</v>
      </c>
      <c r="F3665" s="1" t="s">
        <v>415</v>
      </c>
      <c r="G3665" s="1" t="s">
        <v>19971</v>
      </c>
      <c r="H3665" s="1">
        <v>2010.0</v>
      </c>
      <c r="I3665" s="1" t="s">
        <v>136</v>
      </c>
      <c r="J3665" s="1" t="s">
        <v>51</v>
      </c>
      <c r="K3665" s="1" t="s">
        <v>567</v>
      </c>
      <c r="L3665" s="1" t="s">
        <v>19972</v>
      </c>
      <c r="M3665" s="2" t="s">
        <v>12</v>
      </c>
      <c r="N3665" s="4">
        <f t="shared" si="1"/>
        <v>43661</v>
      </c>
      <c r="O3665" s="5" t="str">
        <f>IFERROR(__xludf.DUMMYFUNCTION("IF(REGEXMATCH(TRIM(I3665), ""^\d+\s*min""), ""Unclassified"", IF(I3665 = """", ""NR"", I3665))"),"TV-PG")</f>
        <v>TV-PG</v>
      </c>
      <c r="R3665" s="5" t="str">
        <f t="shared" si="2"/>
        <v>Angel Beats!</v>
      </c>
      <c r="S3665" s="5" t="str">
        <f>IFERROR(__xludf.DUMMYFUNCTION("""COMPUTED_VALUE"""),"Justice")</f>
        <v>Justice</v>
      </c>
      <c r="U3665" s="5" t="str">
        <f>IFERROR(__xludf.DUMMYFUNCTION("""COMPUTED_VALUE"""),"Bill Oliver")</f>
        <v>Bill Oliver</v>
      </c>
      <c r="V3665" s="5" t="s">
        <v>14380</v>
      </c>
      <c r="W3665" s="5" t="str">
        <f t="shared" si="3"/>
        <v>S.A. Zaidi</v>
      </c>
      <c r="X3665" s="5">
        <f t="shared" si="4"/>
        <v>1</v>
      </c>
      <c r="Y3665" s="5" t="str">
        <f>IFERROR(__xludf.DUMMYFUNCTION("REGEXEXTRACT(J3665, ""^\d+"")"),"1")</f>
        <v>1</v>
      </c>
      <c r="Z3665" s="5" t="str">
        <f>IFERROR(__xludf.DUMMYFUNCTION("REGEXEXTRACT(J3665, ""[A-Za-z ]+$"")")," Season")</f>
        <v> Season</v>
      </c>
      <c r="AA3665" s="5" t="str">
        <f>IFERROR(__xludf.DUMMYFUNCTION("IF(REGEXMATCH(Z3665, ""Season""), ""TV Show"", ""Movie"")"),"TV Show")</f>
        <v>TV Show</v>
      </c>
    </row>
    <row r="3666">
      <c r="A3666" s="1" t="s">
        <v>19973</v>
      </c>
      <c r="B3666" s="1" t="s">
        <v>37</v>
      </c>
      <c r="C3666" s="1" t="s">
        <v>19974</v>
      </c>
      <c r="E3666" s="1" t="s">
        <v>19975</v>
      </c>
      <c r="F3666" s="1" t="s">
        <v>415</v>
      </c>
      <c r="G3666" s="1" t="s">
        <v>19971</v>
      </c>
      <c r="H3666" s="1">
        <v>2011.0</v>
      </c>
      <c r="I3666" s="1" t="s">
        <v>97</v>
      </c>
      <c r="J3666" s="1" t="s">
        <v>51</v>
      </c>
      <c r="K3666" s="1" t="s">
        <v>1084</v>
      </c>
      <c r="L3666" s="1" t="s">
        <v>19976</v>
      </c>
      <c r="M3666" s="2" t="s">
        <v>12</v>
      </c>
      <c r="N3666" s="4">
        <f t="shared" si="1"/>
        <v>43661</v>
      </c>
      <c r="O3666" s="5" t="str">
        <f>IFERROR(__xludf.DUMMYFUNCTION("IF(REGEXMATCH(TRIM(I3666), ""^\d+\s*min""), ""Unclassified"", IF(I3666 = """", ""NR"", I3666))"),"TV-14")</f>
        <v>TV-14</v>
      </c>
      <c r="R3666" s="5" t="str">
        <f t="shared" si="2"/>
        <v>Anohana: The Flower We Saw That Day</v>
      </c>
      <c r="S3666" s="5" t="str">
        <f>IFERROR(__xludf.DUMMYFUNCTION("""COMPUTED_VALUE"""),"Justice In The City")</f>
        <v>Justice In The City</v>
      </c>
      <c r="U3666" s="5" t="str">
        <f>IFERROR(__xludf.DUMMYFUNCTION("""COMPUTED_VALUE"""),"Toby Haynes")</f>
        <v>Toby Haynes</v>
      </c>
      <c r="V3666" s="5" t="s">
        <v>19977</v>
      </c>
      <c r="W3666" s="5" t="str">
        <f t="shared" si="3"/>
        <v>S.S. Rajamouli</v>
      </c>
      <c r="X3666" s="5">
        <f t="shared" si="4"/>
        <v>7</v>
      </c>
      <c r="Y3666" s="5" t="str">
        <f>IFERROR(__xludf.DUMMYFUNCTION("REGEXEXTRACT(J3666, ""^\d+"")"),"1")</f>
        <v>1</v>
      </c>
      <c r="Z3666" s="5" t="str">
        <f>IFERROR(__xludf.DUMMYFUNCTION("REGEXEXTRACT(J3666, ""[A-Za-z ]+$"")")," Season")</f>
        <v> Season</v>
      </c>
      <c r="AA3666" s="5" t="str">
        <f>IFERROR(__xludf.DUMMYFUNCTION("IF(REGEXMATCH(Z3666, ""Season""), ""TV Show"", ""Movie"")"),"TV Show")</f>
        <v>TV Show</v>
      </c>
    </row>
    <row r="3667">
      <c r="A3667" s="1" t="s">
        <v>19978</v>
      </c>
      <c r="B3667" s="1" t="s">
        <v>37</v>
      </c>
      <c r="C3667" s="1" t="s">
        <v>19979</v>
      </c>
      <c r="E3667" s="1" t="s">
        <v>19980</v>
      </c>
      <c r="F3667" s="1" t="s">
        <v>415</v>
      </c>
      <c r="G3667" s="1" t="s">
        <v>19971</v>
      </c>
      <c r="H3667" s="1">
        <v>2015.0</v>
      </c>
      <c r="I3667" s="1" t="s">
        <v>97</v>
      </c>
      <c r="J3667" s="1" t="s">
        <v>51</v>
      </c>
      <c r="K3667" s="1" t="s">
        <v>567</v>
      </c>
      <c r="L3667" s="1" t="s">
        <v>19981</v>
      </c>
      <c r="M3667" s="2" t="s">
        <v>12</v>
      </c>
      <c r="N3667" s="4">
        <f t="shared" si="1"/>
        <v>43661</v>
      </c>
      <c r="O3667" s="5" t="str">
        <f>IFERROR(__xludf.DUMMYFUNCTION("IF(REGEXMATCH(TRIM(I3667), ""^\d+\s*min""), ""Unclassified"", IF(I3667 = """", ""NR"", I3667))"),"TV-14")</f>
        <v>TV-14</v>
      </c>
      <c r="R3667" s="5" t="str">
        <f t="shared" si="2"/>
        <v>God Eater</v>
      </c>
      <c r="S3667" s="5" t="str">
        <f>IFERROR(__xludf.DUMMYFUNCTION("""COMPUTED_VALUE"""),"Justice, My Foot!")</f>
        <v>Justice, My Foot!</v>
      </c>
      <c r="U3667" s="5" t="str">
        <f>IFERROR(__xludf.DUMMYFUNCTION("""COMPUTED_VALUE"""),"Amardeep Singh Gill")</f>
        <v>Amardeep Singh Gill</v>
      </c>
      <c r="V3667" s="5" t="s">
        <v>19982</v>
      </c>
      <c r="W3667" s="5" t="str">
        <f t="shared" si="3"/>
        <v>S.S. Wilson</v>
      </c>
      <c r="X3667" s="5">
        <f t="shared" si="4"/>
        <v>2</v>
      </c>
      <c r="Y3667" s="5" t="str">
        <f>IFERROR(__xludf.DUMMYFUNCTION("REGEXEXTRACT(J3667, ""^\d+"")"),"1")</f>
        <v>1</v>
      </c>
      <c r="Z3667" s="5" t="str">
        <f>IFERROR(__xludf.DUMMYFUNCTION("REGEXEXTRACT(J3667, ""[A-Za-z ]+$"")")," Season")</f>
        <v> Season</v>
      </c>
      <c r="AA3667" s="5" t="str">
        <f>IFERROR(__xludf.DUMMYFUNCTION("IF(REGEXMATCH(Z3667, ""Season""), ""TV Show"", ""Movie"")"),"TV Show")</f>
        <v>TV Show</v>
      </c>
    </row>
    <row r="3668">
      <c r="A3668" s="1" t="s">
        <v>19983</v>
      </c>
      <c r="B3668" s="1" t="s">
        <v>37</v>
      </c>
      <c r="C3668" s="1" t="s">
        <v>19984</v>
      </c>
      <c r="E3668" s="1" t="s">
        <v>19985</v>
      </c>
      <c r="F3668" s="1" t="s">
        <v>415</v>
      </c>
      <c r="G3668" s="1" t="s">
        <v>19971</v>
      </c>
      <c r="H3668" s="1">
        <v>2017.0</v>
      </c>
      <c r="I3668" s="1" t="s">
        <v>136</v>
      </c>
      <c r="J3668" s="1" t="s">
        <v>51</v>
      </c>
      <c r="K3668" s="1" t="s">
        <v>567</v>
      </c>
      <c r="L3668" s="1" t="s">
        <v>19986</v>
      </c>
      <c r="M3668" s="2" t="s">
        <v>12</v>
      </c>
      <c r="N3668" s="4">
        <f t="shared" si="1"/>
        <v>43661</v>
      </c>
      <c r="O3668" s="5" t="str">
        <f>IFERROR(__xludf.DUMMYFUNCTION("IF(REGEXMATCH(TRIM(I3668), ""^\d+\s*min""), ""Unclassified"", IF(I3668 = """", ""NR"", I3668))"),"TV-PG")</f>
        <v>TV-PG</v>
      </c>
      <c r="R3668" s="5" t="str">
        <f t="shared" si="2"/>
        <v>Granblue Fantasy The Animation</v>
      </c>
      <c r="S3668" s="5" t="str">
        <f>IFERROR(__xludf.DUMMYFUNCTION("""COMPUTED_VALUE"""),"Justin Bieber: Never Say Never")</f>
        <v>Justin Bieber: Never Say Never</v>
      </c>
      <c r="U3668" s="5" t="str">
        <f>IFERROR(__xludf.DUMMYFUNCTION("""COMPUTED_VALUE"""),"Susannah Heath-Eves")</f>
        <v>Susannah Heath-Eves</v>
      </c>
      <c r="V3668" s="5" t="s">
        <v>19987</v>
      </c>
      <c r="W3668" s="5" t="str">
        <f t="shared" si="3"/>
        <v>Saandeep Patel</v>
      </c>
      <c r="X3668" s="5">
        <f t="shared" si="4"/>
        <v>1</v>
      </c>
      <c r="Y3668" s="5" t="str">
        <f>IFERROR(__xludf.DUMMYFUNCTION("REGEXEXTRACT(J3668, ""^\d+"")"),"1")</f>
        <v>1</v>
      </c>
      <c r="Z3668" s="5" t="str">
        <f>IFERROR(__xludf.DUMMYFUNCTION("REGEXEXTRACT(J3668, ""[A-Za-z ]+$"")")," Season")</f>
        <v> Season</v>
      </c>
      <c r="AA3668" s="5" t="str">
        <f>IFERROR(__xludf.DUMMYFUNCTION("IF(REGEXMATCH(Z3668, ""Season""), ""TV Show"", ""Movie"")"),"TV Show")</f>
        <v>TV Show</v>
      </c>
    </row>
    <row r="3669">
      <c r="A3669" s="1" t="s">
        <v>19988</v>
      </c>
      <c r="B3669" s="1" t="s">
        <v>37</v>
      </c>
      <c r="C3669" s="1" t="s">
        <v>19989</v>
      </c>
      <c r="E3669" s="1" t="s">
        <v>19990</v>
      </c>
      <c r="F3669" s="1" t="s">
        <v>30</v>
      </c>
      <c r="G3669" s="1" t="s">
        <v>19991</v>
      </c>
      <c r="H3669" s="1">
        <v>2019.0</v>
      </c>
      <c r="I3669" s="1" t="s">
        <v>289</v>
      </c>
      <c r="J3669" s="1" t="s">
        <v>43</v>
      </c>
      <c r="K3669" s="1" t="s">
        <v>3368</v>
      </c>
      <c r="L3669" s="1" t="s">
        <v>19992</v>
      </c>
      <c r="M3669" s="2" t="s">
        <v>12</v>
      </c>
      <c r="N3669" s="4">
        <f t="shared" si="1"/>
        <v>43658</v>
      </c>
      <c r="O3669" s="5" t="str">
        <f>IFERROR(__xludf.DUMMYFUNCTION("IF(REGEXMATCH(TRIM(I3669), ""^\d+\s*min""), ""Unclassified"", IF(I3669 = """", ""NR"", I3669))"),"TV-Y7")</f>
        <v>TV-Y7</v>
      </c>
      <c r="R3669" s="5" t="str">
        <f t="shared" si="2"/>
        <v>3Below: Tales Of Arcadia</v>
      </c>
      <c r="S3669" s="5" t="str">
        <f>IFERROR(__xludf.DUMMYFUNCTION("""COMPUTED_VALUE"""),"Justin Timberlake + The Tennessee Kids")</f>
        <v>Justin Timberlake + The Tennessee Kids</v>
      </c>
      <c r="U3669" s="5" t="str">
        <f>IFERROR(__xludf.DUMMYFUNCTION("""COMPUTED_VALUE"""),"Nora Ephron")</f>
        <v>Nora Ephron</v>
      </c>
      <c r="V3669" s="5" t="s">
        <v>19993</v>
      </c>
      <c r="W3669" s="5" t="str">
        <f t="shared" si="3"/>
        <v>Saara Cantell</v>
      </c>
      <c r="X3669" s="5">
        <f t="shared" si="4"/>
        <v>1</v>
      </c>
      <c r="Y3669" s="5" t="str">
        <f>IFERROR(__xludf.DUMMYFUNCTION("REGEXEXTRACT(J3669, ""^\d+"")"),"2")</f>
        <v>2</v>
      </c>
      <c r="Z3669" s="5" t="str">
        <f>IFERROR(__xludf.DUMMYFUNCTION("REGEXEXTRACT(J3669, ""[A-Za-z ]+$"")")," Seasons")</f>
        <v> Seasons</v>
      </c>
      <c r="AA3669" s="5" t="str">
        <f>IFERROR(__xludf.DUMMYFUNCTION("IF(REGEXMATCH(Z3669, ""Season""), ""TV Show"", ""Movie"")"),"TV Show")</f>
        <v>TV Show</v>
      </c>
    </row>
    <row r="3670">
      <c r="A3670" s="1" t="s">
        <v>19994</v>
      </c>
      <c r="B3670" s="1" t="s">
        <v>27</v>
      </c>
      <c r="C3670" s="1" t="s">
        <v>19995</v>
      </c>
      <c r="D3670" s="1" t="s">
        <v>8404</v>
      </c>
      <c r="E3670" s="1" t="s">
        <v>19996</v>
      </c>
      <c r="F3670" s="1" t="s">
        <v>784</v>
      </c>
      <c r="G3670" s="1" t="s">
        <v>19991</v>
      </c>
      <c r="H3670" s="1">
        <v>2019.0</v>
      </c>
      <c r="I3670" s="1" t="s">
        <v>42</v>
      </c>
      <c r="J3670" s="1" t="s">
        <v>305</v>
      </c>
      <c r="K3670" s="1" t="s">
        <v>836</v>
      </c>
      <c r="L3670" s="1" t="s">
        <v>19997</v>
      </c>
      <c r="M3670" s="2" t="s">
        <v>12</v>
      </c>
      <c r="N3670" s="4">
        <f t="shared" si="1"/>
        <v>43658</v>
      </c>
      <c r="O3670" s="5" t="str">
        <f>IFERROR(__xludf.DUMMYFUNCTION("IF(REGEXMATCH(TRIM(I3670), ""^\d+\s*min""), ""Unclassified"", IF(I3670 = """", ""NR"", I3670))"),"TV-MA")</f>
        <v>TV-MA</v>
      </c>
      <c r="R3670" s="5" t="str">
        <f t="shared" si="2"/>
        <v>4L</v>
      </c>
      <c r="S3670" s="5" t="str">
        <f>IFERROR(__xludf.DUMMYFUNCTION("""COMPUTED_VALUE"""),"Justin Time")</f>
        <v>Justin Time</v>
      </c>
      <c r="U3670" s="5" t="str">
        <f>IFERROR(__xludf.DUMMYFUNCTION("""COMPUTED_VALUE"""),"Salim Akil")</f>
        <v>Salim Akil</v>
      </c>
      <c r="V3670" s="5" t="s">
        <v>9827</v>
      </c>
      <c r="W3670" s="5" t="str">
        <f t="shared" si="3"/>
        <v>Sabaah Folayan, Damon Davis</v>
      </c>
      <c r="X3670" s="5">
        <f t="shared" si="4"/>
        <v>1</v>
      </c>
      <c r="Y3670" s="5" t="str">
        <f>IFERROR(__xludf.DUMMYFUNCTION("REGEXEXTRACT(J3670, ""^\d+"")"),"105")</f>
        <v>105</v>
      </c>
      <c r="Z3670" s="5" t="str">
        <f>IFERROR(__xludf.DUMMYFUNCTION("REGEXEXTRACT(J3670, ""[A-Za-z ]+$"")")," min")</f>
        <v> min</v>
      </c>
      <c r="AA3670" s="5" t="str">
        <f>IFERROR(__xludf.DUMMYFUNCTION("IF(REGEXMATCH(Z3670, ""Season""), ""TV Show"", ""Movie"")"),"Movie")</f>
        <v>Movie</v>
      </c>
    </row>
    <row r="3671">
      <c r="A3671" s="1" t="s">
        <v>19998</v>
      </c>
      <c r="B3671" s="1" t="s">
        <v>37</v>
      </c>
      <c r="C3671" s="1" t="s">
        <v>19999</v>
      </c>
      <c r="E3671" s="1" t="s">
        <v>20000</v>
      </c>
      <c r="F3671" s="1" t="s">
        <v>3834</v>
      </c>
      <c r="G3671" s="1" t="s">
        <v>19991</v>
      </c>
      <c r="H3671" s="1">
        <v>2019.0</v>
      </c>
      <c r="I3671" s="1" t="s">
        <v>42</v>
      </c>
      <c r="J3671" s="1" t="s">
        <v>276</v>
      </c>
      <c r="K3671" s="1" t="s">
        <v>402</v>
      </c>
      <c r="L3671" s="1" t="s">
        <v>20001</v>
      </c>
      <c r="M3671" s="2" t="s">
        <v>12</v>
      </c>
      <c r="N3671" s="4">
        <f t="shared" si="1"/>
        <v>43658</v>
      </c>
      <c r="O3671" s="5" t="str">
        <f>IFERROR(__xludf.DUMMYFUNCTION("IF(REGEXMATCH(TRIM(I3671), ""^\d+\s*min""), ""Unclassified"", IF(I3671 = """", ""NR"", I3671))"),"TV-MA")</f>
        <v>TV-MA</v>
      </c>
      <c r="R3671" s="5" t="str">
        <f t="shared" si="2"/>
        <v>Bonus Family</v>
      </c>
      <c r="S3671" s="5" t="str">
        <f>IFERROR(__xludf.DUMMYFUNCTION("""COMPUTED_VALUE"""),"Justin Time Go!")</f>
        <v>Justin Time Go!</v>
      </c>
      <c r="U3671" s="5" t="str">
        <f>IFERROR(__xludf.DUMMYFUNCTION("""COMPUTED_VALUE"""),"Phil Morrison")</f>
        <v>Phil Morrison</v>
      </c>
      <c r="V3671" s="5" t="s">
        <v>20002</v>
      </c>
      <c r="W3671" s="5" t="str">
        <f t="shared" si="3"/>
        <v>Sabal Singh Shekawat</v>
      </c>
      <c r="X3671" s="5">
        <f t="shared" si="4"/>
        <v>1</v>
      </c>
      <c r="Y3671" s="5" t="str">
        <f>IFERROR(__xludf.DUMMYFUNCTION("REGEXEXTRACT(J3671, ""^\d+"")"),"3")</f>
        <v>3</v>
      </c>
      <c r="Z3671" s="5" t="str">
        <f>IFERROR(__xludf.DUMMYFUNCTION("REGEXEXTRACT(J3671, ""[A-Za-z ]+$"")")," Seasons")</f>
        <v> Seasons</v>
      </c>
      <c r="AA3671" s="5" t="str">
        <f>IFERROR(__xludf.DUMMYFUNCTION("IF(REGEXMATCH(Z3671, ""Season""), ""TV Show"", ""Movie"")"),"TV Show")</f>
        <v>TV Show</v>
      </c>
    </row>
    <row r="3672">
      <c r="A3672" s="1" t="s">
        <v>20003</v>
      </c>
      <c r="B3672" s="1" t="s">
        <v>27</v>
      </c>
      <c r="C3672" s="1" t="s">
        <v>20004</v>
      </c>
      <c r="D3672" s="1" t="s">
        <v>20005</v>
      </c>
      <c r="E3672" s="1" t="s">
        <v>20006</v>
      </c>
      <c r="F3672" s="1" t="s">
        <v>20007</v>
      </c>
      <c r="G3672" s="1" t="s">
        <v>19991</v>
      </c>
      <c r="H3672" s="1">
        <v>2018.0</v>
      </c>
      <c r="I3672" s="1" t="s">
        <v>42</v>
      </c>
      <c r="J3672" s="1" t="s">
        <v>256</v>
      </c>
      <c r="K3672" s="1" t="s">
        <v>89</v>
      </c>
      <c r="L3672" s="1" t="s">
        <v>20008</v>
      </c>
      <c r="M3672" s="2" t="s">
        <v>12</v>
      </c>
      <c r="N3672" s="4">
        <f t="shared" si="1"/>
        <v>43658</v>
      </c>
      <c r="O3672" s="5" t="str">
        <f>IFERROR(__xludf.DUMMYFUNCTION("IF(REGEXMATCH(TRIM(I3672), ""^\d+\s*min""), ""Unclassified"", IF(I3672 = """", ""NR"", I3672))"),"TV-MA")</f>
        <v>TV-MA</v>
      </c>
      <c r="R3672" s="5" t="str">
        <f t="shared" si="2"/>
        <v>Cities Of Last Things</v>
      </c>
      <c r="S3672" s="5" t="str">
        <f>IFERROR(__xludf.DUMMYFUNCTION("""COMPUTED_VALUE"""),"Justine")</f>
        <v>Justine</v>
      </c>
      <c r="U3672" s="5" t="str">
        <f>IFERROR(__xludf.DUMMYFUNCTION("""COMPUTED_VALUE"""),"Lana Wachowski, Lilly Wachowski")</f>
        <v>Lana Wachowski, Lilly Wachowski</v>
      </c>
      <c r="V3672" s="5" t="s">
        <v>13087</v>
      </c>
      <c r="W3672" s="5" t="str">
        <f t="shared" si="3"/>
        <v>Sabina Fedeli, Anna Migotto</v>
      </c>
      <c r="X3672" s="5">
        <f t="shared" si="4"/>
        <v>1</v>
      </c>
      <c r="Y3672" s="5" t="str">
        <f>IFERROR(__xludf.DUMMYFUNCTION("REGEXEXTRACT(J3672, ""^\d+"")"),"106")</f>
        <v>106</v>
      </c>
      <c r="Z3672" s="5" t="str">
        <f>IFERROR(__xludf.DUMMYFUNCTION("REGEXEXTRACT(J3672, ""[A-Za-z ]+$"")")," min")</f>
        <v> min</v>
      </c>
      <c r="AA3672" s="5" t="str">
        <f>IFERROR(__xludf.DUMMYFUNCTION("IF(REGEXMATCH(Z3672, ""Season""), ""TV Show"", ""Movie"")"),"Movie")</f>
        <v>Movie</v>
      </c>
    </row>
    <row r="3673">
      <c r="A3673" s="1" t="s">
        <v>20009</v>
      </c>
      <c r="B3673" s="1" t="s">
        <v>37</v>
      </c>
      <c r="C3673" s="1" t="s">
        <v>20010</v>
      </c>
      <c r="E3673" s="1" t="s">
        <v>20011</v>
      </c>
      <c r="G3673" s="1" t="s">
        <v>19991</v>
      </c>
      <c r="H3673" s="1">
        <v>2019.0</v>
      </c>
      <c r="I3673" s="1" t="s">
        <v>42</v>
      </c>
      <c r="J3673" s="1" t="s">
        <v>51</v>
      </c>
      <c r="K3673" s="1" t="s">
        <v>1520</v>
      </c>
      <c r="L3673" s="1" t="s">
        <v>20012</v>
      </c>
      <c r="M3673" s="2" t="s">
        <v>12</v>
      </c>
      <c r="N3673" s="4">
        <f t="shared" si="1"/>
        <v>43658</v>
      </c>
      <c r="O3673" s="5" t="str">
        <f>IFERROR(__xludf.DUMMYFUNCTION("IF(REGEXMATCH(TRIM(I3673), ""^\d+\s*min""), ""Unclassified"", IF(I3673 = """", ""NR"", I3673))"),"TV-MA")</f>
        <v>TV-MA</v>
      </c>
      <c r="R3673" s="5" t="str">
        <f t="shared" si="2"/>
        <v>Extreme Engagement</v>
      </c>
      <c r="S3673" s="5" t="str">
        <f>IFERROR(__xludf.DUMMYFUNCTION("""COMPUTED_VALUE"""),"K")</f>
        <v>K</v>
      </c>
      <c r="U3673" s="5" t="str">
        <f>IFERROR(__xludf.DUMMYFUNCTION("""COMPUTED_VALUE"""),"Kathryn Bigelow")</f>
        <v>Kathryn Bigelow</v>
      </c>
      <c r="V3673" s="5" t="s">
        <v>20013</v>
      </c>
      <c r="W3673" s="5" t="str">
        <f t="shared" si="3"/>
        <v>Sabir Khan</v>
      </c>
      <c r="X3673" s="5">
        <f t="shared" si="4"/>
        <v>1</v>
      </c>
      <c r="Y3673" s="5" t="str">
        <f>IFERROR(__xludf.DUMMYFUNCTION("REGEXEXTRACT(J3673, ""^\d+"")"),"1")</f>
        <v>1</v>
      </c>
      <c r="Z3673" s="5" t="str">
        <f>IFERROR(__xludf.DUMMYFUNCTION("REGEXEXTRACT(J3673, ""[A-Za-z ]+$"")")," Season")</f>
        <v> Season</v>
      </c>
      <c r="AA3673" s="5" t="str">
        <f>IFERROR(__xludf.DUMMYFUNCTION("IF(REGEXMATCH(Z3673, ""Season""), ""TV Show"", ""Movie"")"),"TV Show")</f>
        <v>TV Show</v>
      </c>
    </row>
    <row r="3674">
      <c r="A3674" s="1" t="s">
        <v>20014</v>
      </c>
      <c r="B3674" s="1" t="s">
        <v>27</v>
      </c>
      <c r="C3674" s="1" t="s">
        <v>20015</v>
      </c>
      <c r="D3674" s="1" t="s">
        <v>628</v>
      </c>
      <c r="E3674" s="1" t="s">
        <v>20016</v>
      </c>
      <c r="F3674" s="1" t="s">
        <v>2492</v>
      </c>
      <c r="G3674" s="1" t="s">
        <v>19991</v>
      </c>
      <c r="H3674" s="1">
        <v>2019.0</v>
      </c>
      <c r="I3674" s="1" t="s">
        <v>42</v>
      </c>
      <c r="J3674" s="1" t="s">
        <v>33</v>
      </c>
      <c r="K3674" s="1" t="s">
        <v>298</v>
      </c>
      <c r="L3674" s="1" t="s">
        <v>20017</v>
      </c>
      <c r="M3674" s="2" t="s">
        <v>12</v>
      </c>
      <c r="N3674" s="4">
        <f t="shared" si="1"/>
        <v>43658</v>
      </c>
      <c r="O3674" s="5" t="str">
        <f>IFERROR(__xludf.DUMMYFUNCTION("IF(REGEXMATCH(TRIM(I3674), ""^\d+\s*min""), ""Unclassified"", IF(I3674 = """", ""NR"", I3674))"),"TV-MA")</f>
        <v>TV-MA</v>
      </c>
      <c r="R3674" s="5" t="str">
        <f t="shared" si="2"/>
        <v>Kidnapping Stella</v>
      </c>
      <c r="S3674" s="5" t="str">
        <f>IFERROR(__xludf.DUMMYFUNCTION("""COMPUTED_VALUE"""),"K-19: The Widowmaker")</f>
        <v>K-19: The Widowmaker</v>
      </c>
      <c r="U3674" s="5" t="str">
        <f>IFERROR(__xludf.DUMMYFUNCTION("""COMPUTED_VALUE"""),"Sanjay Gupta")</f>
        <v>Sanjay Gupta</v>
      </c>
      <c r="V3674" s="5" t="s">
        <v>8668</v>
      </c>
      <c r="W3674" s="5" t="str">
        <f t="shared" si="3"/>
        <v>Sabrina Rochelle Kalangie</v>
      </c>
      <c r="X3674" s="5">
        <f t="shared" si="4"/>
        <v>1</v>
      </c>
      <c r="Y3674" s="5" t="str">
        <f>IFERROR(__xludf.DUMMYFUNCTION("REGEXEXTRACT(J3674, ""^\d+"")"),"90")</f>
        <v>90</v>
      </c>
      <c r="Z3674" s="5" t="str">
        <f>IFERROR(__xludf.DUMMYFUNCTION("REGEXEXTRACT(J3674, ""[A-Za-z ]+$"")")," min")</f>
        <v> min</v>
      </c>
      <c r="AA3674" s="5" t="str">
        <f>IFERROR(__xludf.DUMMYFUNCTION("IF(REGEXMATCH(Z3674, ""Season""), ""TV Show"", ""Movie"")"),"Movie")</f>
        <v>Movie</v>
      </c>
    </row>
    <row r="3675">
      <c r="A3675" s="1" t="s">
        <v>20018</v>
      </c>
      <c r="B3675" s="1" t="s">
        <v>37</v>
      </c>
      <c r="C3675" s="1" t="s">
        <v>20019</v>
      </c>
      <c r="E3675" s="1" t="s">
        <v>20020</v>
      </c>
      <c r="F3675" s="1" t="s">
        <v>749</v>
      </c>
      <c r="G3675" s="1" t="s">
        <v>19991</v>
      </c>
      <c r="H3675" s="1">
        <v>2019.0</v>
      </c>
      <c r="I3675" s="1" t="s">
        <v>97</v>
      </c>
      <c r="J3675" s="1" t="s">
        <v>51</v>
      </c>
      <c r="K3675" s="1" t="s">
        <v>7164</v>
      </c>
      <c r="L3675" s="1" t="s">
        <v>20021</v>
      </c>
      <c r="M3675" s="2" t="s">
        <v>12</v>
      </c>
      <c r="N3675" s="4">
        <f t="shared" si="1"/>
        <v>43658</v>
      </c>
      <c r="O3675" s="5" t="str">
        <f>IFERROR(__xludf.DUMMYFUNCTION("IF(REGEXMATCH(TRIM(I3675), ""^\d+\s*min""), ""Unclassified"", IF(I3675 = """", ""NR"", I3675))"),"TV-14")</f>
        <v>TV-14</v>
      </c>
      <c r="R3675" s="5" t="str">
        <f t="shared" si="2"/>
        <v>One Spring Night</v>
      </c>
      <c r="S3675" s="5" t="str">
        <f>IFERROR(__xludf.DUMMYFUNCTION("""COMPUTED_VALUE"""),"K-On!")</f>
        <v>K-On!</v>
      </c>
      <c r="U3675" s="5" t="str">
        <f>IFERROR(__xludf.DUMMYFUNCTION("""COMPUTED_VALUE"""),"Kranti Redkar")</f>
        <v>Kranti Redkar</v>
      </c>
      <c r="V3675" s="5" t="s">
        <v>20022</v>
      </c>
      <c r="W3675" s="5" t="str">
        <f t="shared" si="3"/>
        <v>Sabu Varghese</v>
      </c>
      <c r="X3675" s="5">
        <f t="shared" si="4"/>
        <v>1</v>
      </c>
      <c r="Y3675" s="5" t="str">
        <f>IFERROR(__xludf.DUMMYFUNCTION("REGEXEXTRACT(J3675, ""^\d+"")"),"1")</f>
        <v>1</v>
      </c>
      <c r="Z3675" s="5" t="str">
        <f>IFERROR(__xludf.DUMMYFUNCTION("REGEXEXTRACT(J3675, ""[A-Za-z ]+$"")")," Season")</f>
        <v> Season</v>
      </c>
      <c r="AA3675" s="5" t="str">
        <f>IFERROR(__xludf.DUMMYFUNCTION("IF(REGEXMATCH(Z3675, ""Season""), ""TV Show"", ""Movie"")"),"TV Show")</f>
        <v>TV Show</v>
      </c>
    </row>
    <row r="3676">
      <c r="A3676" s="1" t="s">
        <v>20023</v>
      </c>
      <c r="B3676" s="1" t="s">
        <v>37</v>
      </c>
      <c r="C3676" s="1" t="s">
        <v>20024</v>
      </c>
      <c r="E3676" s="1" t="s">
        <v>20025</v>
      </c>
      <c r="G3676" s="1" t="s">
        <v>19991</v>
      </c>
      <c r="H3676" s="1">
        <v>2019.0</v>
      </c>
      <c r="I3676" s="1" t="s">
        <v>97</v>
      </c>
      <c r="J3676" s="1" t="s">
        <v>51</v>
      </c>
      <c r="K3676" s="1" t="s">
        <v>20026</v>
      </c>
      <c r="L3676" s="1" t="s">
        <v>20027</v>
      </c>
      <c r="M3676" s="2" t="s">
        <v>12</v>
      </c>
      <c r="N3676" s="4">
        <f t="shared" si="1"/>
        <v>43658</v>
      </c>
      <c r="O3676" s="5" t="str">
        <f>IFERROR(__xludf.DUMMYFUNCTION("IF(REGEXMATCH(TRIM(I3676), ""^\d+\s*min""), ""Unclassified"", IF(I3676 = """", ""NR"", I3676))"),"TV-14")</f>
        <v>TV-14</v>
      </c>
      <c r="R3676" s="5" t="str">
        <f t="shared" si="2"/>
        <v>Pili Fantasy: War Of Dragons</v>
      </c>
      <c r="S3676" s="5" t="str">
        <f>IFERROR(__xludf.DUMMYFUNCTION("""COMPUTED_VALUE"""),"K-On! The Movie")</f>
        <v>K-On! The Movie</v>
      </c>
      <c r="U3676" s="5" t="str">
        <f>IFERROR(__xludf.DUMMYFUNCTION("""COMPUTED_VALUE"""),"Tinnu Anand")</f>
        <v>Tinnu Anand</v>
      </c>
      <c r="V3676" s="5" t="s">
        <v>20028</v>
      </c>
      <c r="W3676" s="5" t="str">
        <f t="shared" si="3"/>
        <v>Sacha Gervasi</v>
      </c>
      <c r="X3676" s="5">
        <f t="shared" si="4"/>
        <v>1</v>
      </c>
      <c r="Y3676" s="5" t="str">
        <f>IFERROR(__xludf.DUMMYFUNCTION("REGEXEXTRACT(J3676, ""^\d+"")"),"1")</f>
        <v>1</v>
      </c>
      <c r="Z3676" s="5" t="str">
        <f>IFERROR(__xludf.DUMMYFUNCTION("REGEXEXTRACT(J3676, ""[A-Za-z ]+$"")")," Season")</f>
        <v> Season</v>
      </c>
      <c r="AA3676" s="5" t="str">
        <f>IFERROR(__xludf.DUMMYFUNCTION("IF(REGEXMATCH(Z3676, ""Season""), ""TV Show"", ""Movie"")"),"TV Show")</f>
        <v>TV Show</v>
      </c>
    </row>
    <row r="3677">
      <c r="A3677" s="1" t="s">
        <v>20029</v>
      </c>
      <c r="B3677" s="1" t="s">
        <v>27</v>
      </c>
      <c r="C3677" s="1" t="s">
        <v>20030</v>
      </c>
      <c r="D3677" s="1" t="s">
        <v>11090</v>
      </c>
      <c r="E3677" s="1" t="s">
        <v>20031</v>
      </c>
      <c r="F3677" s="1" t="s">
        <v>718</v>
      </c>
      <c r="G3677" s="1" t="s">
        <v>19991</v>
      </c>
      <c r="H3677" s="1">
        <v>2019.0</v>
      </c>
      <c r="I3677" s="1" t="s">
        <v>42</v>
      </c>
      <c r="J3677" s="1" t="s">
        <v>630</v>
      </c>
      <c r="K3677" s="1" t="s">
        <v>380</v>
      </c>
      <c r="L3677" s="1" t="s">
        <v>20032</v>
      </c>
      <c r="M3677" s="2" t="s">
        <v>12</v>
      </c>
      <c r="N3677" s="4">
        <f t="shared" si="1"/>
        <v>43658</v>
      </c>
      <c r="O3677" s="5" t="str">
        <f>IFERROR(__xludf.DUMMYFUNCTION("IF(REGEXMATCH(TRIM(I3677), ""^\d+\s*min""), ""Unclassified"", IF(I3677 = """", ""NR"", I3677))"),"TV-MA")</f>
        <v>TV-MA</v>
      </c>
      <c r="R3677" s="5" t="str">
        <f t="shared" si="2"/>
        <v>Point Blank</v>
      </c>
      <c r="S3677" s="5" t="str">
        <f>IFERROR(__xludf.DUMMYFUNCTION("""COMPUTED_VALUE"""),"K-Pop Extreme Survival")</f>
        <v>K-Pop Extreme Survival</v>
      </c>
      <c r="U3677" s="5" t="str">
        <f>IFERROR(__xludf.DUMMYFUNCTION("""COMPUTED_VALUE"""),"Jijo Pancode")</f>
        <v>Jijo Pancode</v>
      </c>
      <c r="V3677" s="5" t="s">
        <v>20033</v>
      </c>
      <c r="W3677" s="5" t="str">
        <f t="shared" si="3"/>
        <v>Sacha Wolff</v>
      </c>
      <c r="X3677" s="5">
        <f t="shared" si="4"/>
        <v>1</v>
      </c>
      <c r="Y3677" s="5" t="str">
        <f>IFERROR(__xludf.DUMMYFUNCTION("REGEXEXTRACT(J3677, ""^\d+"")"),"87")</f>
        <v>87</v>
      </c>
      <c r="Z3677" s="5" t="str">
        <f>IFERROR(__xludf.DUMMYFUNCTION("REGEXEXTRACT(J3677, ""[A-Za-z ]+$"")")," min")</f>
        <v> min</v>
      </c>
      <c r="AA3677" s="5" t="str">
        <f>IFERROR(__xludf.DUMMYFUNCTION("IF(REGEXMATCH(Z3677, ""Season""), ""TV Show"", ""Movie"")"),"Movie")</f>
        <v>Movie</v>
      </c>
    </row>
    <row r="3678">
      <c r="A3678" s="1" t="s">
        <v>20034</v>
      </c>
      <c r="B3678" s="1" t="s">
        <v>27</v>
      </c>
      <c r="C3678" s="1" t="s">
        <v>20035</v>
      </c>
      <c r="D3678" s="1" t="s">
        <v>1799</v>
      </c>
      <c r="F3678" s="1" t="s">
        <v>20036</v>
      </c>
      <c r="G3678" s="1" t="s">
        <v>19991</v>
      </c>
      <c r="H3678" s="1">
        <v>2017.0</v>
      </c>
      <c r="I3678" s="1" t="s">
        <v>97</v>
      </c>
      <c r="J3678" s="1" t="s">
        <v>79</v>
      </c>
      <c r="K3678" s="1" t="s">
        <v>156</v>
      </c>
      <c r="L3678" s="1" t="s">
        <v>20037</v>
      </c>
      <c r="M3678" s="2" t="s">
        <v>12</v>
      </c>
      <c r="N3678" s="4">
        <f t="shared" si="1"/>
        <v>43658</v>
      </c>
      <c r="O3678" s="5" t="str">
        <f>IFERROR(__xludf.DUMMYFUNCTION("IF(REGEXMATCH(TRIM(I3678), ""^\d+\s*min""), ""Unclassified"", IF(I3678 = """", ""NR"", I3678))"),"TV-14")</f>
        <v>TV-14</v>
      </c>
      <c r="R3678" s="5" t="str">
        <f t="shared" si="2"/>
        <v>The Milk System</v>
      </c>
      <c r="S3678" s="5" t="str">
        <f>IFERROR(__xludf.DUMMYFUNCTION("""COMPUTED_VALUE"""),"K.O. One Re-Act")</f>
        <v>K.O. One Re-Act</v>
      </c>
      <c r="U3678" s="5" t="str">
        <f>IFERROR(__xludf.DUMMYFUNCTION("""COMPUTED_VALUE"""),"Pa. Ranjith")</f>
        <v>Pa. Ranjith</v>
      </c>
      <c r="V3678" s="5" t="s">
        <v>20038</v>
      </c>
      <c r="W3678" s="5" t="str">
        <f t="shared" si="3"/>
        <v>Sachin</v>
      </c>
      <c r="X3678" s="5">
        <f t="shared" si="4"/>
        <v>2</v>
      </c>
      <c r="Y3678" s="5" t="str">
        <f>IFERROR(__xludf.DUMMYFUNCTION("REGEXEXTRACT(J3678, ""^\d+"")"),"91")</f>
        <v>91</v>
      </c>
      <c r="Z3678" s="5" t="str">
        <f>IFERROR(__xludf.DUMMYFUNCTION("REGEXEXTRACT(J3678, ""[A-Za-z ]+$"")")," min")</f>
        <v> min</v>
      </c>
      <c r="AA3678" s="5" t="str">
        <f>IFERROR(__xludf.DUMMYFUNCTION("IF(REGEXMATCH(Z3678, ""Season""), ""TV Show"", ""Movie"")"),"Movie")</f>
        <v>Movie</v>
      </c>
    </row>
    <row r="3679">
      <c r="A3679" s="1" t="s">
        <v>20039</v>
      </c>
      <c r="B3679" s="1" t="s">
        <v>37</v>
      </c>
      <c r="C3679" s="1" t="s">
        <v>20040</v>
      </c>
      <c r="E3679" s="1" t="s">
        <v>15502</v>
      </c>
      <c r="G3679" s="1" t="s">
        <v>19991</v>
      </c>
      <c r="H3679" s="1">
        <v>2019.0</v>
      </c>
      <c r="I3679" s="1" t="s">
        <v>206</v>
      </c>
      <c r="J3679" s="1" t="s">
        <v>51</v>
      </c>
      <c r="K3679" s="1" t="s">
        <v>290</v>
      </c>
      <c r="L3679" s="1" t="s">
        <v>20041</v>
      </c>
      <c r="M3679" s="2" t="s">
        <v>12</v>
      </c>
      <c r="N3679" s="4">
        <f t="shared" si="1"/>
        <v>43658</v>
      </c>
      <c r="O3679" s="5" t="str">
        <f>IFERROR(__xludf.DUMMYFUNCTION("IF(REGEXMATCH(TRIM(I3679), ""^\d+\s*min""), ""Unclassified"", IF(I3679 = """", ""NR"", I3679))"),"TV-Y")</f>
        <v>TV-Y</v>
      </c>
      <c r="R3679" s="5" t="str">
        <f t="shared" si="2"/>
        <v>True Tunes</v>
      </c>
      <c r="S3679" s="5" t="str">
        <f>IFERROR(__xludf.DUMMYFUNCTION("""COMPUTED_VALUE"""),"K.O.3An Guo")</f>
        <v>K.O.3An Guo</v>
      </c>
      <c r="U3679" s="5" t="str">
        <f>IFERROR(__xludf.DUMMYFUNCTION("""COMPUTED_VALUE"""),"Buta Singh")</f>
        <v>Buta Singh</v>
      </c>
      <c r="V3679" s="5" t="s">
        <v>20042</v>
      </c>
      <c r="W3679" s="5" t="str">
        <f t="shared" si="3"/>
        <v>Sachin Kamlakar Khot</v>
      </c>
      <c r="X3679" s="5">
        <f t="shared" si="4"/>
        <v>1</v>
      </c>
      <c r="Y3679" s="5" t="str">
        <f>IFERROR(__xludf.DUMMYFUNCTION("REGEXEXTRACT(J3679, ""^\d+"")"),"1")</f>
        <v>1</v>
      </c>
      <c r="Z3679" s="5" t="str">
        <f>IFERROR(__xludf.DUMMYFUNCTION("REGEXEXTRACT(J3679, ""[A-Za-z ]+$"")")," Season")</f>
        <v> Season</v>
      </c>
      <c r="AA3679" s="5" t="str">
        <f>IFERROR(__xludf.DUMMYFUNCTION("IF(REGEXMATCH(Z3679, ""Season""), ""TV Show"", ""Movie"")"),"TV Show")</f>
        <v>TV Show</v>
      </c>
    </row>
    <row r="3680">
      <c r="A3680" s="1" t="s">
        <v>20043</v>
      </c>
      <c r="B3680" s="1" t="s">
        <v>27</v>
      </c>
      <c r="C3680" s="1" t="s">
        <v>20044</v>
      </c>
      <c r="D3680" s="1" t="s">
        <v>5487</v>
      </c>
      <c r="F3680" s="1" t="s">
        <v>784</v>
      </c>
      <c r="G3680" s="1" t="s">
        <v>20045</v>
      </c>
      <c r="H3680" s="1">
        <v>2019.0</v>
      </c>
      <c r="I3680" s="1" t="s">
        <v>97</v>
      </c>
      <c r="J3680" s="1" t="s">
        <v>256</v>
      </c>
      <c r="K3680" s="1" t="s">
        <v>2892</v>
      </c>
      <c r="L3680" s="1" t="s">
        <v>20046</v>
      </c>
      <c r="M3680" s="2" t="s">
        <v>12</v>
      </c>
      <c r="N3680" s="4">
        <f t="shared" si="1"/>
        <v>43657</v>
      </c>
      <c r="O3680" s="5" t="str">
        <f>IFERROR(__xludf.DUMMYFUNCTION("IF(REGEXMATCH(TRIM(I3680), ""^\d+\s*min""), ""Unclassified"", IF(I3680 = """", ""NR"", I3680))"),"TV-14")</f>
        <v>TV-14</v>
      </c>
      <c r="R3680" s="5" t="str">
        <f t="shared" si="2"/>
        <v>Parchís: The Documentary</v>
      </c>
      <c r="S3680" s="5" t="str">
        <f>IFERROR(__xludf.DUMMYFUNCTION("""COMPUTED_VALUE"""),"Kaabil")</f>
        <v>Kaabil</v>
      </c>
      <c r="U3680" s="5" t="str">
        <f>IFERROR(__xludf.DUMMYFUNCTION("""COMPUTED_VALUE"""),"Roger Allers, Gaëtan Brizzi, Paul Brizzi, Joan C. Gratz, Mohammed Saeed Harib, Tomm Moore, Nina Paley, Bill Plympton, Joann Sfar, Michael Socha")</f>
        <v>Roger Allers, Gaëtan Brizzi, Paul Brizzi, Joan C. Gratz, Mohammed Saeed Harib, Tomm Moore, Nina Paley, Bill Plympton, Joann Sfar, Michael Socha</v>
      </c>
      <c r="V3680" s="5" t="s">
        <v>12875</v>
      </c>
      <c r="W3680" s="5" t="str">
        <f t="shared" si="3"/>
        <v>Sachin Kundalkar</v>
      </c>
      <c r="X3680" s="5">
        <f t="shared" si="4"/>
        <v>1</v>
      </c>
      <c r="Y3680" s="5" t="str">
        <f>IFERROR(__xludf.DUMMYFUNCTION("REGEXEXTRACT(J3680, ""^\d+"")"),"106")</f>
        <v>106</v>
      </c>
      <c r="Z3680" s="5" t="str">
        <f>IFERROR(__xludf.DUMMYFUNCTION("REGEXEXTRACT(J3680, ""[A-Za-z ]+$"")")," min")</f>
        <v> min</v>
      </c>
      <c r="AA3680" s="5" t="str">
        <f>IFERROR(__xludf.DUMMYFUNCTION("IF(REGEXMATCH(Z3680, ""Season""), ""TV Show"", ""Movie"")"),"Movie")</f>
        <v>Movie</v>
      </c>
    </row>
    <row r="3681">
      <c r="A3681" s="1" t="s">
        <v>20047</v>
      </c>
      <c r="B3681" s="1" t="s">
        <v>27</v>
      </c>
      <c r="C3681" s="1" t="s">
        <v>20048</v>
      </c>
      <c r="D3681" s="1" t="s">
        <v>20049</v>
      </c>
      <c r="E3681" s="1" t="s">
        <v>2876</v>
      </c>
      <c r="F3681" s="1" t="s">
        <v>30</v>
      </c>
      <c r="G3681" s="1" t="s">
        <v>20050</v>
      </c>
      <c r="H3681" s="1">
        <v>2019.0</v>
      </c>
      <c r="I3681" s="1" t="s">
        <v>42</v>
      </c>
      <c r="J3681" s="1" t="s">
        <v>2616</v>
      </c>
      <c r="K3681" s="1" t="s">
        <v>1839</v>
      </c>
      <c r="L3681" s="1" t="s">
        <v>20051</v>
      </c>
      <c r="M3681" s="2" t="s">
        <v>12</v>
      </c>
      <c r="N3681" s="4">
        <f t="shared" si="1"/>
        <v>43655</v>
      </c>
      <c r="O3681" s="5" t="str">
        <f>IFERROR(__xludf.DUMMYFUNCTION("IF(REGEXMATCH(TRIM(I3681), ""^\d+\s*min""), ""Unclassified"", IF(I3681 = """", ""NR"", I3681))"),"TV-MA")</f>
        <v>TV-MA</v>
      </c>
      <c r="R3681" s="5" t="str">
        <f t="shared" si="2"/>
        <v>Aziz Ansari: Right Now</v>
      </c>
      <c r="S3681" s="5" t="str">
        <f>IFERROR(__xludf.DUMMYFUNCTION("""COMPUTED_VALUE"""),"Kaagar")</f>
        <v>Kaagar</v>
      </c>
      <c r="U3681" s="5" t="str">
        <f>IFERROR(__xludf.DUMMYFUNCTION("""COMPUTED_VALUE"""),"Pooja Bhatt")</f>
        <v>Pooja Bhatt</v>
      </c>
      <c r="V3681" s="5" t="s">
        <v>1325</v>
      </c>
      <c r="W3681" s="5" t="str">
        <f t="shared" si="3"/>
        <v>Sachin Yardi</v>
      </c>
      <c r="X3681" s="5">
        <f t="shared" si="4"/>
        <v>3</v>
      </c>
      <c r="Y3681" s="5" t="str">
        <f>IFERROR(__xludf.DUMMYFUNCTION("REGEXEXTRACT(J3681, ""^\d+"")"),"65")</f>
        <v>65</v>
      </c>
      <c r="Z3681" s="5" t="str">
        <f>IFERROR(__xludf.DUMMYFUNCTION("REGEXEXTRACT(J3681, ""[A-Za-z ]+$"")")," min")</f>
        <v> min</v>
      </c>
      <c r="AA3681" s="5" t="str">
        <f>IFERROR(__xludf.DUMMYFUNCTION("IF(REGEXMATCH(Z3681, ""Season""), ""TV Show"", ""Movie"")"),"Movie")</f>
        <v>Movie</v>
      </c>
    </row>
    <row r="3682">
      <c r="A3682" s="1" t="s">
        <v>20052</v>
      </c>
      <c r="B3682" s="1" t="s">
        <v>37</v>
      </c>
      <c r="C3682" s="1" t="s">
        <v>20053</v>
      </c>
      <c r="E3682" s="1" t="s">
        <v>20054</v>
      </c>
      <c r="F3682" s="1" t="s">
        <v>30</v>
      </c>
      <c r="G3682" s="1" t="s">
        <v>20055</v>
      </c>
      <c r="H3682" s="1">
        <v>2019.0</v>
      </c>
      <c r="I3682" s="1" t="s">
        <v>506</v>
      </c>
      <c r="J3682" s="1" t="s">
        <v>276</v>
      </c>
      <c r="K3682" s="1" t="s">
        <v>7138</v>
      </c>
      <c r="L3682" s="1" t="s">
        <v>20056</v>
      </c>
      <c r="M3682" s="2" t="s">
        <v>12</v>
      </c>
      <c r="N3682" s="4">
        <f t="shared" si="1"/>
        <v>43652</v>
      </c>
      <c r="O3682" s="5" t="str">
        <f>IFERROR(__xludf.DUMMYFUNCTION("IF(REGEXMATCH(TRIM(I3682), ""^\d+\s*min""), ""Unclassified"", IF(I3682 = """", ""NR"", I3682))"),"TV-G")</f>
        <v>TV-G</v>
      </c>
      <c r="R3682" s="5" t="str">
        <f t="shared" si="2"/>
        <v>Free Rein</v>
      </c>
      <c r="S3682" s="5" t="str">
        <f>IFERROR(__xludf.DUMMYFUNCTION("""COMPUTED_VALUE"""),"Kaakan")</f>
        <v>Kaakan</v>
      </c>
      <c r="U3682" s="5" t="str">
        <f>IFERROR(__xludf.DUMMYFUNCTION("""COMPUTED_VALUE"""),"Rupert Jones")</f>
        <v>Rupert Jones</v>
      </c>
      <c r="V3682" s="5" t="s">
        <v>14299</v>
      </c>
      <c r="W3682" s="5" t="str">
        <f t="shared" si="3"/>
        <v>Sadeq Behbehani</v>
      </c>
      <c r="X3682" s="5">
        <f t="shared" si="4"/>
        <v>1</v>
      </c>
      <c r="Y3682" s="5" t="str">
        <f>IFERROR(__xludf.DUMMYFUNCTION("REGEXEXTRACT(J3682, ""^\d+"")"),"3")</f>
        <v>3</v>
      </c>
      <c r="Z3682" s="5" t="str">
        <f>IFERROR(__xludf.DUMMYFUNCTION("REGEXEXTRACT(J3682, ""[A-Za-z ]+$"")")," Seasons")</f>
        <v> Seasons</v>
      </c>
      <c r="AA3682" s="5" t="str">
        <f>IFERROR(__xludf.DUMMYFUNCTION("IF(REGEXMATCH(Z3682, ""Season""), ""TV Show"", ""Movie"")"),"TV Show")</f>
        <v>TV Show</v>
      </c>
    </row>
    <row r="3683">
      <c r="A3683" s="1" t="s">
        <v>20057</v>
      </c>
      <c r="B3683" s="1" t="s">
        <v>27</v>
      </c>
      <c r="C3683" s="1" t="s">
        <v>20058</v>
      </c>
      <c r="D3683" s="1" t="s">
        <v>14576</v>
      </c>
      <c r="F3683" s="1" t="s">
        <v>1815</v>
      </c>
      <c r="G3683" s="1" t="s">
        <v>20059</v>
      </c>
      <c r="H3683" s="1">
        <v>2019.0</v>
      </c>
      <c r="I3683" s="1" t="s">
        <v>506</v>
      </c>
      <c r="J3683" s="1" t="s">
        <v>305</v>
      </c>
      <c r="K3683" s="1" t="s">
        <v>520</v>
      </c>
      <c r="L3683" s="1" t="s">
        <v>20060</v>
      </c>
      <c r="M3683" s="2" t="s">
        <v>12</v>
      </c>
      <c r="N3683" s="4">
        <f t="shared" si="1"/>
        <v>43651</v>
      </c>
      <c r="O3683" s="5" t="str">
        <f>IFERROR(__xludf.DUMMYFUNCTION("IF(REGEXMATCH(TRIM(I3683), ""^\d+\s*min""), ""Unclassified"", IF(I3683 = """", ""NR"", I3683))"),"TV-G")</f>
        <v>TV-G</v>
      </c>
      <c r="R3683" s="5" t="str">
        <f t="shared" si="2"/>
        <v>River, El Más Grande Siempre</v>
      </c>
      <c r="S3683" s="5" t="str">
        <f>IFERROR(__xludf.DUMMYFUNCTION("""COMPUTED_VALUE"""),"Kaake Da Viyah")</f>
        <v>Kaake Da Viyah</v>
      </c>
      <c r="U3683" s="5" t="str">
        <f>IFERROR(__xludf.DUMMYFUNCTION("""COMPUTED_VALUE"""),"Dhilip Kumar")</f>
        <v>Dhilip Kumar</v>
      </c>
      <c r="V3683" s="5" t="s">
        <v>14111</v>
      </c>
      <c r="W3683" s="5" t="str">
        <f t="shared" si="3"/>
        <v>Saeed Hamed</v>
      </c>
      <c r="X3683" s="5">
        <f t="shared" si="4"/>
        <v>1</v>
      </c>
      <c r="Y3683" s="5" t="str">
        <f>IFERROR(__xludf.DUMMYFUNCTION("REGEXEXTRACT(J3683, ""^\d+"")"),"105")</f>
        <v>105</v>
      </c>
      <c r="Z3683" s="5" t="str">
        <f>IFERROR(__xludf.DUMMYFUNCTION("REGEXEXTRACT(J3683, ""[A-Za-z ]+$"")")," min")</f>
        <v> min</v>
      </c>
      <c r="AA3683" s="5" t="str">
        <f>IFERROR(__xludf.DUMMYFUNCTION("IF(REGEXMATCH(Z3683, ""Season""), ""TV Show"", ""Movie"")"),"Movie")</f>
        <v>Movie</v>
      </c>
    </row>
    <row r="3684">
      <c r="A3684" s="1" t="s">
        <v>20061</v>
      </c>
      <c r="B3684" s="1" t="s">
        <v>37</v>
      </c>
      <c r="C3684" s="1" t="s">
        <v>20062</v>
      </c>
      <c r="E3684" s="1" t="s">
        <v>20063</v>
      </c>
      <c r="F3684" s="1" t="s">
        <v>3892</v>
      </c>
      <c r="G3684" s="1" t="s">
        <v>20059</v>
      </c>
      <c r="H3684" s="1">
        <v>2019.0</v>
      </c>
      <c r="I3684" s="1" t="s">
        <v>97</v>
      </c>
      <c r="J3684" s="1" t="s">
        <v>51</v>
      </c>
      <c r="K3684" s="1" t="s">
        <v>1907</v>
      </c>
      <c r="L3684" s="1" t="s">
        <v>20064</v>
      </c>
      <c r="M3684" s="2" t="s">
        <v>12</v>
      </c>
      <c r="N3684" s="4">
        <f t="shared" si="1"/>
        <v>43651</v>
      </c>
      <c r="O3684" s="5" t="str">
        <f>IFERROR(__xludf.DUMMYFUNCTION("IF(REGEXMATCH(TRIM(I3684), ""^\d+\s*min""), ""Unclassified"", IF(I3684 = """", ""NR"", I3684))"),"TV-14")</f>
        <v>TV-14</v>
      </c>
      <c r="R3684" s="5" t="str">
        <f t="shared" si="2"/>
        <v>The Legend Of White Snake</v>
      </c>
      <c r="S3684" s="5" t="str">
        <f>IFERROR(__xludf.DUMMYFUNCTION("""COMPUTED_VALUE"""),"Kaal")</f>
        <v>Kaal</v>
      </c>
      <c r="U3684" s="5" t="str">
        <f>IFERROR(__xludf.DUMMYFUNCTION("""COMPUTED_VALUE"""),"Sai Paranjape")</f>
        <v>Sai Paranjape</v>
      </c>
      <c r="V3684" s="5" t="s">
        <v>13818</v>
      </c>
      <c r="W3684" s="5" t="str">
        <f t="shared" si="3"/>
        <v>Safdar Rahman</v>
      </c>
      <c r="X3684" s="5">
        <f t="shared" si="4"/>
        <v>1</v>
      </c>
      <c r="Y3684" s="5" t="str">
        <f>IFERROR(__xludf.DUMMYFUNCTION("REGEXEXTRACT(J3684, ""^\d+"")"),"1")</f>
        <v>1</v>
      </c>
      <c r="Z3684" s="5" t="str">
        <f>IFERROR(__xludf.DUMMYFUNCTION("REGEXEXTRACT(J3684, ""[A-Za-z ]+$"")")," Season")</f>
        <v> Season</v>
      </c>
      <c r="AA3684" s="5" t="str">
        <f>IFERROR(__xludf.DUMMYFUNCTION("IF(REGEXMATCH(Z3684, ""Season""), ""TV Show"", ""Movie"")"),"TV Show")</f>
        <v>TV Show</v>
      </c>
    </row>
    <row r="3685">
      <c r="A3685" s="1" t="s">
        <v>20065</v>
      </c>
      <c r="B3685" s="1" t="s">
        <v>27</v>
      </c>
      <c r="C3685" s="1" t="s">
        <v>20066</v>
      </c>
      <c r="D3685" s="1" t="s">
        <v>7913</v>
      </c>
      <c r="F3685" s="1" t="s">
        <v>30</v>
      </c>
      <c r="G3685" s="1" t="s">
        <v>20067</v>
      </c>
      <c r="H3685" s="1">
        <v>2016.0</v>
      </c>
      <c r="I3685" s="1" t="s">
        <v>97</v>
      </c>
      <c r="J3685" s="1" t="s">
        <v>18322</v>
      </c>
      <c r="K3685" s="1" t="s">
        <v>34</v>
      </c>
      <c r="L3685" s="1" t="s">
        <v>20068</v>
      </c>
      <c r="M3685" s="2" t="s">
        <v>12</v>
      </c>
      <c r="N3685" s="4">
        <f t="shared" si="1"/>
        <v>43650</v>
      </c>
      <c r="O3685" s="5" t="str">
        <f>IFERROR(__xludf.DUMMYFUNCTION("IF(REGEXMATCH(TRIM(I3685), ""^\d+\s*min""), ""Unclassified"", IF(I3685 = """", ""NR"", I3685))"),"TV-14")</f>
        <v>TV-14</v>
      </c>
      <c r="R3685" s="5" t="str">
        <f t="shared" si="2"/>
        <v>Cristina</v>
      </c>
      <c r="S3685" s="5" t="str">
        <f>IFERROR(__xludf.DUMMYFUNCTION("""COMPUTED_VALUE"""),"Kaali Khuhi")</f>
        <v>Kaali Khuhi</v>
      </c>
      <c r="U3685" s="5" t="str">
        <f>IFERROR(__xludf.DUMMYFUNCTION("""COMPUTED_VALUE"""),"Alphonso J. Wesson")</f>
        <v>Alphonso J. Wesson</v>
      </c>
      <c r="V3685" s="5" t="s">
        <v>20069</v>
      </c>
      <c r="W3685" s="5" t="str">
        <f t="shared" si="3"/>
        <v>Sagar Sarhadi</v>
      </c>
      <c r="X3685" s="5">
        <f t="shared" si="4"/>
        <v>1</v>
      </c>
      <c r="Y3685" s="5" t="str">
        <f>IFERROR(__xludf.DUMMYFUNCTION("REGEXEXTRACT(J3685, ""^\d+"")"),"40")</f>
        <v>40</v>
      </c>
      <c r="Z3685" s="5" t="str">
        <f>IFERROR(__xludf.DUMMYFUNCTION("REGEXEXTRACT(J3685, ""[A-Za-z ]+$"")")," min")</f>
        <v> min</v>
      </c>
      <c r="AA3685" s="5" t="str">
        <f>IFERROR(__xludf.DUMMYFUNCTION("IF(REGEXMATCH(Z3685, ""Season""), ""TV Show"", ""Movie"")"),"Movie")</f>
        <v>Movie</v>
      </c>
    </row>
    <row r="3686">
      <c r="A3686" s="1" t="s">
        <v>20070</v>
      </c>
      <c r="B3686" s="1" t="s">
        <v>37</v>
      </c>
      <c r="C3686" s="1" t="s">
        <v>20071</v>
      </c>
      <c r="E3686" s="1" t="s">
        <v>20072</v>
      </c>
      <c r="G3686" s="1" t="s">
        <v>20067</v>
      </c>
      <c r="H3686" s="1">
        <v>2019.0</v>
      </c>
      <c r="I3686" s="1" t="s">
        <v>42</v>
      </c>
      <c r="J3686" s="1" t="s">
        <v>43</v>
      </c>
      <c r="K3686" s="1" t="s">
        <v>283</v>
      </c>
      <c r="L3686" s="1" t="s">
        <v>20073</v>
      </c>
      <c r="M3686" s="2" t="s">
        <v>12</v>
      </c>
      <c r="N3686" s="4">
        <f t="shared" si="1"/>
        <v>43650</v>
      </c>
      <c r="O3686" s="5" t="str">
        <f>IFERROR(__xludf.DUMMYFUNCTION("IF(REGEXMATCH(TRIM(I3686), ""^\d+\s*min""), ""Unclassified"", IF(I3686 = """", ""NR"", I3686))"),"TV-MA")</f>
        <v>TV-MA</v>
      </c>
      <c r="R3686" s="5" t="str">
        <f t="shared" si="2"/>
        <v>Kakegurui</v>
      </c>
      <c r="S3686" s="5" t="str">
        <f>IFERROR(__xludf.DUMMYFUNCTION("""COMPUTED_VALUE"""),"Kaalia")</f>
        <v>Kaalia</v>
      </c>
      <c r="U3686" s="5" t="str">
        <f>IFERROR(__xludf.DUMMYFUNCTION("""COMPUTED_VALUE"""),"Vineeth Anil")</f>
        <v>Vineeth Anil</v>
      </c>
      <c r="V3686" s="5" t="s">
        <v>20074</v>
      </c>
      <c r="W3686" s="5" t="str">
        <f t="shared" si="3"/>
        <v>Saheed Arafath</v>
      </c>
      <c r="X3686" s="5">
        <f t="shared" si="4"/>
        <v>1</v>
      </c>
      <c r="Y3686" s="5" t="str">
        <f>IFERROR(__xludf.DUMMYFUNCTION("REGEXEXTRACT(J3686, ""^\d+"")"),"2")</f>
        <v>2</v>
      </c>
      <c r="Z3686" s="5" t="str">
        <f>IFERROR(__xludf.DUMMYFUNCTION("REGEXEXTRACT(J3686, ""[A-Za-z ]+$"")")," Seasons")</f>
        <v> Seasons</v>
      </c>
      <c r="AA3686" s="5" t="str">
        <f>IFERROR(__xludf.DUMMYFUNCTION("IF(REGEXMATCH(Z3686, ""Season""), ""TV Show"", ""Movie"")"),"TV Show")</f>
        <v>TV Show</v>
      </c>
    </row>
    <row r="3687">
      <c r="A3687" s="1" t="s">
        <v>20075</v>
      </c>
      <c r="B3687" s="1" t="s">
        <v>37</v>
      </c>
      <c r="C3687" s="1" t="s">
        <v>20076</v>
      </c>
      <c r="E3687" s="1" t="s">
        <v>20077</v>
      </c>
      <c r="F3687" s="1" t="s">
        <v>30</v>
      </c>
      <c r="G3687" s="1" t="s">
        <v>20067</v>
      </c>
      <c r="H3687" s="1">
        <v>2019.0</v>
      </c>
      <c r="I3687" s="1" t="s">
        <v>97</v>
      </c>
      <c r="J3687" s="1" t="s">
        <v>276</v>
      </c>
      <c r="K3687" s="1" t="s">
        <v>8657</v>
      </c>
      <c r="L3687" s="1" t="s">
        <v>20078</v>
      </c>
      <c r="M3687" s="2" t="s">
        <v>12</v>
      </c>
      <c r="N3687" s="4">
        <f t="shared" si="1"/>
        <v>43650</v>
      </c>
      <c r="O3687" s="5" t="str">
        <f>IFERROR(__xludf.DUMMYFUNCTION("IF(REGEXMATCH(TRIM(I3687), ""^\d+\s*min""), ""Unclassified"", IF(I3687 = """", ""NR"", I3687))"),"TV-14")</f>
        <v>TV-14</v>
      </c>
      <c r="R3687" s="5" t="str">
        <f t="shared" si="2"/>
        <v>Stranger Things</v>
      </c>
      <c r="S3687" s="5" t="str">
        <f>IFERROR(__xludf.DUMMYFUNCTION("""COMPUTED_VALUE"""),"Kaaliyan")</f>
        <v>Kaaliyan</v>
      </c>
      <c r="U3687" s="5" t="str">
        <f>IFERROR(__xludf.DUMMYFUNCTION("""COMPUTED_VALUE"""),"Ken Burns")</f>
        <v>Ken Burns</v>
      </c>
      <c r="V3687" s="5" t="s">
        <v>20079</v>
      </c>
      <c r="W3687" s="5" t="str">
        <f t="shared" si="3"/>
        <v>Sai Paranjape</v>
      </c>
      <c r="X3687" s="5">
        <f t="shared" si="4"/>
        <v>1</v>
      </c>
      <c r="Y3687" s="5" t="str">
        <f>IFERROR(__xludf.DUMMYFUNCTION("REGEXEXTRACT(J3687, ""^\d+"")"),"3")</f>
        <v>3</v>
      </c>
      <c r="Z3687" s="5" t="str">
        <f>IFERROR(__xludf.DUMMYFUNCTION("REGEXEXTRACT(J3687, ""[A-Za-z ]+$"")")," Seasons")</f>
        <v> Seasons</v>
      </c>
      <c r="AA3687" s="5" t="str">
        <f>IFERROR(__xludf.DUMMYFUNCTION("IF(REGEXMATCH(Z3687, ""Season""), ""TV Show"", ""Movie"")"),"TV Show")</f>
        <v>TV Show</v>
      </c>
    </row>
    <row r="3688">
      <c r="A3688" s="1" t="s">
        <v>20080</v>
      </c>
      <c r="B3688" s="1" t="s">
        <v>37</v>
      </c>
      <c r="C3688" s="1" t="s">
        <v>20081</v>
      </c>
      <c r="E3688" s="1" t="s">
        <v>20082</v>
      </c>
      <c r="F3688" s="1" t="s">
        <v>30</v>
      </c>
      <c r="G3688" s="1" t="s">
        <v>20083</v>
      </c>
      <c r="H3688" s="1">
        <v>2019.0</v>
      </c>
      <c r="I3688" s="1" t="s">
        <v>42</v>
      </c>
      <c r="J3688" s="1" t="s">
        <v>51</v>
      </c>
      <c r="K3688" s="1" t="s">
        <v>20084</v>
      </c>
      <c r="L3688" s="1" t="s">
        <v>20085</v>
      </c>
      <c r="M3688" s="2" t="s">
        <v>12</v>
      </c>
      <c r="N3688" s="4">
        <f t="shared" si="1"/>
        <v>43649</v>
      </c>
      <c r="O3688" s="5" t="str">
        <f>IFERROR(__xludf.DUMMYFUNCTION("IF(REGEXMATCH(TRIM(I3688), ""^\d+\s*min""), ""Unclassified"", IF(I3688 = """", ""NR"", I3688))"),"TV-MA")</f>
        <v>TV-MA</v>
      </c>
      <c r="R3688" s="5" t="str">
        <f t="shared" si="2"/>
        <v>The Last Czars</v>
      </c>
      <c r="S3688" s="5" t="str">
        <f>IFERROR(__xludf.DUMMYFUNCTION("""COMPUTED_VALUE"""),"Kabali (Hindi Version)")</f>
        <v>Kabali (Hindi Version)</v>
      </c>
      <c r="U3688" s="5" t="str">
        <f>IFERROR(__xludf.DUMMYFUNCTION("""COMPUTED_VALUE"""),"Leslie Small, Tim Story")</f>
        <v>Leslie Small, Tim Story</v>
      </c>
      <c r="V3688" s="5" t="s">
        <v>20086</v>
      </c>
      <c r="W3688" s="5" t="str">
        <f t="shared" si="3"/>
        <v>Saji Surendran</v>
      </c>
      <c r="X3688" s="5">
        <f t="shared" si="4"/>
        <v>1</v>
      </c>
      <c r="Y3688" s="5" t="str">
        <f>IFERROR(__xludf.DUMMYFUNCTION("REGEXEXTRACT(J3688, ""^\d+"")"),"1")</f>
        <v>1</v>
      </c>
      <c r="Z3688" s="5" t="str">
        <f>IFERROR(__xludf.DUMMYFUNCTION("REGEXEXTRACT(J3688, ""[A-Za-z ]+$"")")," Season")</f>
        <v> Season</v>
      </c>
      <c r="AA3688" s="5" t="str">
        <f>IFERROR(__xludf.DUMMYFUNCTION("IF(REGEXMATCH(Z3688, ""Season""), ""TV Show"", ""Movie"")"),"TV Show")</f>
        <v>TV Show</v>
      </c>
    </row>
    <row r="3689">
      <c r="A3689" s="1" t="s">
        <v>20087</v>
      </c>
      <c r="B3689" s="1" t="s">
        <v>37</v>
      </c>
      <c r="C3689" s="1" t="s">
        <v>20088</v>
      </c>
      <c r="E3689" s="1" t="s">
        <v>20089</v>
      </c>
      <c r="F3689" s="1" t="s">
        <v>221</v>
      </c>
      <c r="G3689" s="1" t="s">
        <v>20083</v>
      </c>
      <c r="H3689" s="1">
        <v>2019.0</v>
      </c>
      <c r="I3689" s="1" t="s">
        <v>42</v>
      </c>
      <c r="J3689" s="1" t="s">
        <v>43</v>
      </c>
      <c r="K3689" s="1" t="s">
        <v>1520</v>
      </c>
      <c r="L3689" s="1" t="s">
        <v>20090</v>
      </c>
      <c r="M3689" s="2" t="s">
        <v>12</v>
      </c>
      <c r="N3689" s="4">
        <f t="shared" si="1"/>
        <v>43649</v>
      </c>
      <c r="O3689" s="5" t="str">
        <f>IFERROR(__xludf.DUMMYFUNCTION("IF(REGEXMATCH(TRIM(I3689), ""^\d+\s*min""), ""Unclassified"", IF(I3689 = """", ""NR"", I3689))"),"TV-MA")</f>
        <v>TV-MA</v>
      </c>
      <c r="R3689" s="5" t="str">
        <f t="shared" si="2"/>
        <v>Yummy Mummies</v>
      </c>
      <c r="S3689" s="5" t="str">
        <f>IFERROR(__xludf.DUMMYFUNCTION("""COMPUTED_VALUE"""),"Kabaneri Of The Iron Fortress: The Battle Of Unato")</f>
        <v>Kabaneri Of The Iron Fortress: The Battle Of Unato</v>
      </c>
      <c r="U3689" s="5" t="str">
        <f>IFERROR(__xludf.DUMMYFUNCTION("""COMPUTED_VALUE"""),"Lori Kaye")</f>
        <v>Lori Kaye</v>
      </c>
      <c r="V3689" s="5" t="s">
        <v>20091</v>
      </c>
      <c r="W3689" s="5" t="str">
        <f t="shared" si="3"/>
        <v>Sajid Khan</v>
      </c>
      <c r="X3689" s="5">
        <f t="shared" si="4"/>
        <v>1</v>
      </c>
      <c r="Y3689" s="5" t="str">
        <f>IFERROR(__xludf.DUMMYFUNCTION("REGEXEXTRACT(J3689, ""^\d+"")"),"2")</f>
        <v>2</v>
      </c>
      <c r="Z3689" s="5" t="str">
        <f>IFERROR(__xludf.DUMMYFUNCTION("REGEXEXTRACT(J3689, ""[A-Za-z ]+$"")")," Seasons")</f>
        <v> Seasons</v>
      </c>
      <c r="AA3689" s="5" t="str">
        <f>IFERROR(__xludf.DUMMYFUNCTION("IF(REGEXMATCH(Z3689, ""Season""), ""TV Show"", ""Movie"")"),"TV Show")</f>
        <v>TV Show</v>
      </c>
    </row>
    <row r="3690">
      <c r="A3690" s="1" t="s">
        <v>20092</v>
      </c>
      <c r="B3690" s="1" t="s">
        <v>37</v>
      </c>
      <c r="C3690" s="1" t="s">
        <v>20093</v>
      </c>
      <c r="E3690" s="1" t="s">
        <v>20094</v>
      </c>
      <c r="F3690" s="1" t="s">
        <v>2796</v>
      </c>
      <c r="G3690" s="1" t="s">
        <v>20095</v>
      </c>
      <c r="H3690" s="1">
        <v>2019.0</v>
      </c>
      <c r="I3690" s="1" t="s">
        <v>97</v>
      </c>
      <c r="J3690" s="1" t="s">
        <v>51</v>
      </c>
      <c r="K3690" s="1" t="s">
        <v>1907</v>
      </c>
      <c r="L3690" s="1" t="s">
        <v>20096</v>
      </c>
      <c r="M3690" s="2" t="s">
        <v>12</v>
      </c>
      <c r="N3690" s="4">
        <f t="shared" si="1"/>
        <v>43648</v>
      </c>
      <c r="O3690" s="5" t="str">
        <f>IFERROR(__xludf.DUMMYFUNCTION("IF(REGEXMATCH(TRIM(I3690), ""^\d+\s*min""), ""Unclassified"", IF(I3690 = """", ""NR"", I3690))"),"TV-14")</f>
        <v>TV-14</v>
      </c>
      <c r="R3690" s="5" t="str">
        <f t="shared" si="2"/>
        <v>Bangkok Love Stories: Objects Of Affection</v>
      </c>
      <c r="S3690" s="5" t="str">
        <f>IFERROR(__xludf.DUMMYFUNCTION("""COMPUTED_VALUE"""),"Kabhi Alvida Naa Kehna")</f>
        <v>Kabhi Alvida Naa Kehna</v>
      </c>
      <c r="U3690" s="5" t="str">
        <f>IFERROR(__xludf.DUMMYFUNCTION("""COMPUTED_VALUE"""),"Subhash Ghai")</f>
        <v>Subhash Ghai</v>
      </c>
      <c r="V3690" s="5" t="s">
        <v>20097</v>
      </c>
      <c r="W3690" s="5" t="str">
        <f t="shared" si="3"/>
        <v>Saket Behl</v>
      </c>
      <c r="X3690" s="5">
        <f t="shared" si="4"/>
        <v>1</v>
      </c>
      <c r="Y3690" s="5" t="str">
        <f>IFERROR(__xludf.DUMMYFUNCTION("REGEXEXTRACT(J3690, ""^\d+"")"),"1")</f>
        <v>1</v>
      </c>
      <c r="Z3690" s="5" t="str">
        <f>IFERROR(__xludf.DUMMYFUNCTION("REGEXEXTRACT(J3690, ""[A-Za-z ]+$"")")," Season")</f>
        <v> Season</v>
      </c>
      <c r="AA3690" s="5" t="str">
        <f>IFERROR(__xludf.DUMMYFUNCTION("IF(REGEXMATCH(Z3690, ""Season""), ""TV Show"", ""Movie"")"),"TV Show")</f>
        <v>TV Show</v>
      </c>
    </row>
    <row r="3691">
      <c r="A3691" s="1" t="s">
        <v>20098</v>
      </c>
      <c r="B3691" s="1" t="s">
        <v>37</v>
      </c>
      <c r="C3691" s="1" t="s">
        <v>20099</v>
      </c>
      <c r="E3691" s="1" t="s">
        <v>20100</v>
      </c>
      <c r="F3691" s="1" t="s">
        <v>2796</v>
      </c>
      <c r="G3691" s="1" t="s">
        <v>20095</v>
      </c>
      <c r="H3691" s="1">
        <v>2019.0</v>
      </c>
      <c r="I3691" s="1" t="s">
        <v>97</v>
      </c>
      <c r="J3691" s="1" t="s">
        <v>51</v>
      </c>
      <c r="K3691" s="1" t="s">
        <v>1907</v>
      </c>
      <c r="L3691" s="1" t="s">
        <v>20101</v>
      </c>
      <c r="M3691" s="2" t="s">
        <v>12</v>
      </c>
      <c r="N3691" s="4">
        <f t="shared" si="1"/>
        <v>43648</v>
      </c>
      <c r="O3691" s="5" t="str">
        <f>IFERROR(__xludf.DUMMYFUNCTION("IF(REGEXMATCH(TRIM(I3691), ""^\d+\s*min""), ""Unclassified"", IF(I3691 = """", ""NR"", I3691))"),"TV-14")</f>
        <v>TV-14</v>
      </c>
      <c r="R3691" s="5" t="str">
        <f t="shared" si="2"/>
        <v>Bangkok Love Stories: Plead</v>
      </c>
      <c r="S3691" s="5" t="str">
        <f>IFERROR(__xludf.DUMMYFUNCTION("""COMPUTED_VALUE"""),"Kabhi Haan Kabhi Naa")</f>
        <v>Kabhi Haan Kabhi Naa</v>
      </c>
      <c r="U3691" s="5" t="str">
        <f>IFERROR(__xludf.DUMMYFUNCTION("""COMPUTED_VALUE"""),"Surya S.J., Sunil Kumar Agrawal")</f>
        <v>Surya S.J., Sunil Kumar Agrawal</v>
      </c>
      <c r="V3691" s="5" t="s">
        <v>20102</v>
      </c>
      <c r="W3691" s="5" t="str">
        <f t="shared" si="3"/>
        <v>Saket Chaudhary</v>
      </c>
      <c r="X3691" s="5">
        <f t="shared" si="4"/>
        <v>1</v>
      </c>
      <c r="Y3691" s="5" t="str">
        <f>IFERROR(__xludf.DUMMYFUNCTION("REGEXEXTRACT(J3691, ""^\d+"")"),"1")</f>
        <v>1</v>
      </c>
      <c r="Z3691" s="5" t="str">
        <f>IFERROR(__xludf.DUMMYFUNCTION("REGEXEXTRACT(J3691, ""[A-Za-z ]+$"")")," Season")</f>
        <v> Season</v>
      </c>
      <c r="AA3691" s="5" t="str">
        <f>IFERROR(__xludf.DUMMYFUNCTION("IF(REGEXMATCH(Z3691, ""Season""), ""TV Show"", ""Movie"")"),"TV Show")</f>
        <v>TV Show</v>
      </c>
    </row>
    <row r="3692">
      <c r="A3692" s="1" t="s">
        <v>20103</v>
      </c>
      <c r="B3692" s="1" t="s">
        <v>37</v>
      </c>
      <c r="C3692" s="1" t="s">
        <v>20104</v>
      </c>
      <c r="E3692" s="1" t="s">
        <v>20105</v>
      </c>
      <c r="F3692" s="1" t="s">
        <v>749</v>
      </c>
      <c r="G3692" s="1" t="s">
        <v>20095</v>
      </c>
      <c r="H3692" s="1">
        <v>2019.0</v>
      </c>
      <c r="I3692" s="1" t="s">
        <v>97</v>
      </c>
      <c r="J3692" s="1" t="s">
        <v>51</v>
      </c>
      <c r="K3692" s="1" t="s">
        <v>13832</v>
      </c>
      <c r="L3692" s="1" t="s">
        <v>20106</v>
      </c>
      <c r="M3692" s="2" t="s">
        <v>12</v>
      </c>
      <c r="N3692" s="4">
        <f t="shared" si="1"/>
        <v>43648</v>
      </c>
      <c r="O3692" s="5" t="str">
        <f>IFERROR(__xludf.DUMMYFUNCTION("IF(REGEXMATCH(TRIM(I3692), ""^\d+\s*min""), ""Unclassified"", IF(I3692 = """", ""NR"", I3692))"),"TV-14")</f>
        <v>TV-14</v>
      </c>
      <c r="R3692" s="5" t="str">
        <f t="shared" si="2"/>
        <v>Designated Survivor: 60 Days</v>
      </c>
      <c r="S3692" s="5" t="str">
        <f>IFERROR(__xludf.DUMMYFUNCTION("""COMPUTED_VALUE"""),"Kabhi Khushi Kabhie Gham")</f>
        <v>Kabhi Khushi Kabhie Gham</v>
      </c>
      <c r="U3692" s="5" t="str">
        <f>IFERROR(__xludf.DUMMYFUNCTION("""COMPUTED_VALUE"""),"Sudipto Roy")</f>
        <v>Sudipto Roy</v>
      </c>
      <c r="V3692" s="5" t="s">
        <v>1895</v>
      </c>
      <c r="W3692" s="5" t="str">
        <f t="shared" si="3"/>
        <v>Sakon Tiacharoen</v>
      </c>
      <c r="X3692" s="5">
        <f t="shared" si="4"/>
        <v>1</v>
      </c>
      <c r="Y3692" s="5" t="str">
        <f>IFERROR(__xludf.DUMMYFUNCTION("REGEXEXTRACT(J3692, ""^\d+"")"),"1")</f>
        <v>1</v>
      </c>
      <c r="Z3692" s="5" t="str">
        <f>IFERROR(__xludf.DUMMYFUNCTION("REGEXEXTRACT(J3692, ""[A-Za-z ]+$"")")," Season")</f>
        <v> Season</v>
      </c>
      <c r="AA3692" s="5" t="str">
        <f>IFERROR(__xludf.DUMMYFUNCTION("IF(REGEXMATCH(Z3692, ""Season""), ""TV Show"", ""Movie"")"),"TV Show")</f>
        <v>TV Show</v>
      </c>
    </row>
    <row r="3693">
      <c r="A3693" s="1" t="s">
        <v>20107</v>
      </c>
      <c r="B3693" s="1" t="s">
        <v>37</v>
      </c>
      <c r="C3693" s="1" t="s">
        <v>20108</v>
      </c>
      <c r="E3693" s="1" t="s">
        <v>20109</v>
      </c>
      <c r="F3693" s="1" t="s">
        <v>30</v>
      </c>
      <c r="G3693" s="1" t="s">
        <v>20110</v>
      </c>
      <c r="H3693" s="1">
        <v>2008.0</v>
      </c>
      <c r="I3693" s="1" t="s">
        <v>136</v>
      </c>
      <c r="J3693" s="1" t="s">
        <v>51</v>
      </c>
      <c r="K3693" s="1" t="s">
        <v>12796</v>
      </c>
      <c r="L3693" s="1" t="s">
        <v>20111</v>
      </c>
      <c r="M3693" s="2" t="s">
        <v>12</v>
      </c>
      <c r="N3693" s="4">
        <f t="shared" si="1"/>
        <v>43647</v>
      </c>
      <c r="O3693" s="5" t="str">
        <f>IFERROR(__xludf.DUMMYFUNCTION("IF(REGEXMATCH(TRIM(I3693), ""^\d+\s*min""), ""Unclassified"", IF(I3693 = """", ""NR"", I3693))"),"TV-PG")</f>
        <v>TV-PG</v>
      </c>
      <c r="R3693" s="5" t="str">
        <f t="shared" si="2"/>
        <v>Dreamworks Kung Fu Panda Awesome Secrets</v>
      </c>
      <c r="S3693" s="5" t="str">
        <f>IFERROR(__xludf.DUMMYFUNCTION("""COMPUTED_VALUE"""),"Kabir Singh")</f>
        <v>Kabir Singh</v>
      </c>
      <c r="U3693" s="5" t="str">
        <f>IFERROR(__xludf.DUMMYFUNCTION("""COMPUTED_VALUE"""),"John Stockwell")</f>
        <v>John Stockwell</v>
      </c>
      <c r="V3693" s="5" t="s">
        <v>20112</v>
      </c>
      <c r="W3693" s="5" t="str">
        <f t="shared" si="3"/>
        <v>Salim Akil</v>
      </c>
      <c r="X3693" s="5">
        <f t="shared" si="4"/>
        <v>1</v>
      </c>
      <c r="Y3693" s="5" t="str">
        <f>IFERROR(__xludf.DUMMYFUNCTION("REGEXEXTRACT(J3693, ""^\d+"")"),"1")</f>
        <v>1</v>
      </c>
      <c r="Z3693" s="5" t="str">
        <f>IFERROR(__xludf.DUMMYFUNCTION("REGEXEXTRACT(J3693, ""[A-Za-z ]+$"")")," Season")</f>
        <v> Season</v>
      </c>
      <c r="AA3693" s="5" t="str">
        <f>IFERROR(__xludf.DUMMYFUNCTION("IF(REGEXMATCH(Z3693, ""Season""), ""TV Show"", ""Movie"")"),"TV Show")</f>
        <v>TV Show</v>
      </c>
    </row>
    <row r="3694">
      <c r="A3694" s="1" t="s">
        <v>20113</v>
      </c>
      <c r="B3694" s="1" t="s">
        <v>37</v>
      </c>
      <c r="C3694" s="1" t="s">
        <v>20114</v>
      </c>
      <c r="E3694" s="1" t="s">
        <v>20115</v>
      </c>
      <c r="F3694" s="1" t="s">
        <v>30</v>
      </c>
      <c r="G3694" s="1" t="s">
        <v>20110</v>
      </c>
      <c r="H3694" s="1">
        <v>2018.0</v>
      </c>
      <c r="I3694" s="1" t="s">
        <v>206</v>
      </c>
      <c r="J3694" s="1" t="s">
        <v>43</v>
      </c>
      <c r="K3694" s="1" t="s">
        <v>290</v>
      </c>
      <c r="L3694" s="1" t="s">
        <v>20116</v>
      </c>
      <c r="M3694" s="2" t="s">
        <v>12</v>
      </c>
      <c r="N3694" s="4">
        <f t="shared" si="1"/>
        <v>43647</v>
      </c>
      <c r="O3694" s="5" t="str">
        <f>IFERROR(__xludf.DUMMYFUNCTION("IF(REGEXMATCH(TRIM(I3694), ""^\d+\s*min""), ""Unclassified"", IF(I3694 = """", ""NR"", I3694))"),"TV-Y")</f>
        <v>TV-Y</v>
      </c>
      <c r="R3694" s="5" t="str">
        <f t="shared" si="2"/>
        <v>Hatchimals | Adventures In Hatchtopia</v>
      </c>
      <c r="S3694" s="5" t="str">
        <f>IFERROR(__xludf.DUMMYFUNCTION("""COMPUTED_VALUE"""),"Kaçak")</f>
        <v>Kaçak</v>
      </c>
      <c r="U3694" s="5" t="str">
        <f>IFERROR(__xludf.DUMMYFUNCTION("""COMPUTED_VALUE"""),"Steven Gomez")</f>
        <v>Steven Gomez</v>
      </c>
      <c r="V3694" s="5" t="s">
        <v>20117</v>
      </c>
      <c r="W3694" s="5" t="str">
        <f t="shared" si="3"/>
        <v>Salima Koroma</v>
      </c>
      <c r="X3694" s="5">
        <f t="shared" si="4"/>
        <v>1</v>
      </c>
      <c r="Y3694" s="5" t="str">
        <f>IFERROR(__xludf.DUMMYFUNCTION("REGEXEXTRACT(J3694, ""^\d+"")"),"2")</f>
        <v>2</v>
      </c>
      <c r="Z3694" s="5" t="str">
        <f>IFERROR(__xludf.DUMMYFUNCTION("REGEXEXTRACT(J3694, ""[A-Za-z ]+$"")")," Seasons")</f>
        <v> Seasons</v>
      </c>
      <c r="AA3694" s="5" t="str">
        <f>IFERROR(__xludf.DUMMYFUNCTION("IF(REGEXMATCH(Z3694, ""Season""), ""TV Show"", ""Movie"")"),"TV Show")</f>
        <v>TV Show</v>
      </c>
    </row>
    <row r="3695">
      <c r="A3695" s="1" t="s">
        <v>20118</v>
      </c>
      <c r="B3695" s="1" t="s">
        <v>27</v>
      </c>
      <c r="C3695" s="1" t="s">
        <v>20119</v>
      </c>
      <c r="D3695" s="1" t="s">
        <v>13815</v>
      </c>
      <c r="E3695" s="1" t="s">
        <v>20120</v>
      </c>
      <c r="F3695" s="1" t="s">
        <v>30</v>
      </c>
      <c r="G3695" s="1" t="s">
        <v>20110</v>
      </c>
      <c r="H3695" s="1">
        <v>2019.0</v>
      </c>
      <c r="I3695" s="1" t="s">
        <v>42</v>
      </c>
      <c r="J3695" s="1" t="s">
        <v>2636</v>
      </c>
      <c r="K3695" s="1" t="s">
        <v>1839</v>
      </c>
      <c r="L3695" s="1" t="s">
        <v>20121</v>
      </c>
      <c r="M3695" s="2" t="s">
        <v>12</v>
      </c>
      <c r="N3695" s="4">
        <f t="shared" si="1"/>
        <v>43647</v>
      </c>
      <c r="O3695" s="5" t="str">
        <f>IFERROR(__xludf.DUMMYFUNCTION("IF(REGEXMATCH(TRIM(I3695), ""^\d+\s*min""), ""Unclassified"", IF(I3695 = """", ""NR"", I3695))"),"TV-MA")</f>
        <v>TV-MA</v>
      </c>
      <c r="R3695" s="5" t="str">
        <f t="shared" si="2"/>
        <v>Katherine Ryan: Glitter Room</v>
      </c>
      <c r="S3695" s="5" t="str">
        <f>IFERROR(__xludf.DUMMYFUNCTION("""COMPUTED_VALUE"""),"Kacche Dhaagey")</f>
        <v>Kacche Dhaagey</v>
      </c>
      <c r="U3695" s="5" t="str">
        <f>IFERROR(__xludf.DUMMYFUNCTION("""COMPUTED_VALUE"""),"Frédéric Tonolli")</f>
        <v>Frédéric Tonolli</v>
      </c>
      <c r="V3695" s="5" t="s">
        <v>20122</v>
      </c>
      <c r="W3695" s="5" t="str">
        <f t="shared" si="3"/>
        <v>Sally Potter</v>
      </c>
      <c r="X3695" s="5">
        <f t="shared" si="4"/>
        <v>1</v>
      </c>
      <c r="Y3695" s="5" t="str">
        <f>IFERROR(__xludf.DUMMYFUNCTION("REGEXEXTRACT(J3695, ""^\d+"")"),"66")</f>
        <v>66</v>
      </c>
      <c r="Z3695" s="5" t="str">
        <f>IFERROR(__xludf.DUMMYFUNCTION("REGEXEXTRACT(J3695, ""[A-Za-z ]+$"")")," min")</f>
        <v> min</v>
      </c>
      <c r="AA3695" s="5" t="str">
        <f>IFERROR(__xludf.DUMMYFUNCTION("IF(REGEXMATCH(Z3695, ""Season""), ""TV Show"", ""Movie"")"),"Movie")</f>
        <v>Movie</v>
      </c>
    </row>
    <row r="3696">
      <c r="A3696" s="1" t="s">
        <v>20123</v>
      </c>
      <c r="B3696" s="1" t="s">
        <v>37</v>
      </c>
      <c r="C3696" s="1" t="s">
        <v>20124</v>
      </c>
      <c r="E3696" s="1" t="s">
        <v>20125</v>
      </c>
      <c r="F3696" s="1" t="s">
        <v>664</v>
      </c>
      <c r="G3696" s="1" t="s">
        <v>20110</v>
      </c>
      <c r="H3696" s="1">
        <v>2015.0</v>
      </c>
      <c r="I3696" s="1" t="s">
        <v>206</v>
      </c>
      <c r="J3696" s="1" t="s">
        <v>51</v>
      </c>
      <c r="K3696" s="1" t="s">
        <v>290</v>
      </c>
      <c r="L3696" s="1" t="s">
        <v>20126</v>
      </c>
      <c r="M3696" s="2" t="s">
        <v>12</v>
      </c>
      <c r="N3696" s="4">
        <f t="shared" si="1"/>
        <v>43647</v>
      </c>
      <c r="O3696" s="5" t="str">
        <f>IFERROR(__xludf.DUMMYFUNCTION("IF(REGEXMATCH(TRIM(I3696), ""^\d+\s*min""), ""Unclassified"", IF(I3696 = """", ""NR"", I3696))"),"TV-Y")</f>
        <v>TV-Y</v>
      </c>
      <c r="R3696" s="5" t="str">
        <f t="shared" si="2"/>
        <v>Molang</v>
      </c>
      <c r="S3696" s="5" t="str">
        <f>IFERROR(__xludf.DUMMYFUNCTION("""COMPUTED_VALUE"""),"Kahaani")</f>
        <v>Kahaani</v>
      </c>
      <c r="U3696" s="5" t="str">
        <f>IFERROR(__xludf.DUMMYFUNCTION("""COMPUTED_VALUE"""),"Paul Tanter")</f>
        <v>Paul Tanter</v>
      </c>
      <c r="V3696" s="5" t="s">
        <v>20127</v>
      </c>
      <c r="W3696" s="5" t="str">
        <f t="shared" si="3"/>
        <v>Salmeen Almurry Amer</v>
      </c>
      <c r="X3696" s="5">
        <f t="shared" si="4"/>
        <v>1</v>
      </c>
      <c r="Y3696" s="5" t="str">
        <f>IFERROR(__xludf.DUMMYFUNCTION("REGEXEXTRACT(J3696, ""^\d+"")"),"1")</f>
        <v>1</v>
      </c>
      <c r="Z3696" s="5" t="str">
        <f>IFERROR(__xludf.DUMMYFUNCTION("REGEXEXTRACT(J3696, ""[A-Za-z ]+$"")")," Season")</f>
        <v> Season</v>
      </c>
      <c r="AA3696" s="5" t="str">
        <f>IFERROR(__xludf.DUMMYFUNCTION("IF(REGEXMATCH(Z3696, ""Season""), ""TV Show"", ""Movie"")"),"TV Show")</f>
        <v>TV Show</v>
      </c>
    </row>
    <row r="3697">
      <c r="A3697" s="1" t="s">
        <v>20128</v>
      </c>
      <c r="B3697" s="1" t="s">
        <v>37</v>
      </c>
      <c r="C3697" s="1" t="s">
        <v>20129</v>
      </c>
      <c r="E3697" s="1" t="s">
        <v>20130</v>
      </c>
      <c r="F3697" s="1" t="s">
        <v>664</v>
      </c>
      <c r="G3697" s="1" t="s">
        <v>20110</v>
      </c>
      <c r="H3697" s="1">
        <v>2018.0</v>
      </c>
      <c r="I3697" s="1" t="s">
        <v>289</v>
      </c>
      <c r="J3697" s="1" t="s">
        <v>51</v>
      </c>
      <c r="K3697" s="1" t="s">
        <v>314</v>
      </c>
      <c r="L3697" s="1" t="s">
        <v>20131</v>
      </c>
      <c r="M3697" s="2" t="s">
        <v>12</v>
      </c>
      <c r="N3697" s="4">
        <f t="shared" si="1"/>
        <v>43647</v>
      </c>
      <c r="O3697" s="5" t="str">
        <f>IFERROR(__xludf.DUMMYFUNCTION("IF(REGEXMATCH(TRIM(I3697), ""^\d+\s*min""), ""Unclassified"", IF(I3697 = """", ""NR"", I3697))"),"TV-Y7")</f>
        <v>TV-Y7</v>
      </c>
      <c r="R3697" s="5" t="str">
        <f t="shared" si="2"/>
        <v>Rabbids Invasion</v>
      </c>
      <c r="S3697" s="5" t="str">
        <f>IFERROR(__xludf.DUMMYFUNCTION("""COMPUTED_VALUE"""),"Kahlil Gibran'S The Prophet")</f>
        <v>Kahlil Gibran'S The Prophet</v>
      </c>
      <c r="U3697" s="5" t="str">
        <f>IFERROR(__xludf.DUMMYFUNCTION("""COMPUTED_VALUE"""),"Attila Till")</f>
        <v>Attila Till</v>
      </c>
      <c r="V3697" s="5" t="s">
        <v>13108</v>
      </c>
      <c r="W3697" s="5" t="str">
        <f t="shared" si="3"/>
        <v>Salvador Calvo</v>
      </c>
      <c r="X3697" s="5">
        <f t="shared" si="4"/>
        <v>2</v>
      </c>
      <c r="Y3697" s="5" t="str">
        <f>IFERROR(__xludf.DUMMYFUNCTION("REGEXEXTRACT(J3697, ""^\d+"")"),"1")</f>
        <v>1</v>
      </c>
      <c r="Z3697" s="5" t="str">
        <f>IFERROR(__xludf.DUMMYFUNCTION("REGEXEXTRACT(J3697, ""[A-Za-z ]+$"")")," Season")</f>
        <v> Season</v>
      </c>
      <c r="AA3697" s="5" t="str">
        <f>IFERROR(__xludf.DUMMYFUNCTION("IF(REGEXMATCH(Z3697, ""Season""), ""TV Show"", ""Movie"")"),"TV Show")</f>
        <v>TV Show</v>
      </c>
    </row>
    <row r="3698">
      <c r="A3698" s="1" t="s">
        <v>20132</v>
      </c>
      <c r="B3698" s="1" t="s">
        <v>37</v>
      </c>
      <c r="C3698" s="1" t="s">
        <v>20133</v>
      </c>
      <c r="E3698" s="1" t="s">
        <v>20134</v>
      </c>
      <c r="F3698" s="1" t="s">
        <v>415</v>
      </c>
      <c r="G3698" s="1" t="s">
        <v>20110</v>
      </c>
      <c r="H3698" s="1">
        <v>2018.0</v>
      </c>
      <c r="I3698" s="1" t="s">
        <v>42</v>
      </c>
      <c r="J3698" s="1" t="s">
        <v>51</v>
      </c>
      <c r="K3698" s="1" t="s">
        <v>567</v>
      </c>
      <c r="L3698" s="1" t="s">
        <v>20135</v>
      </c>
      <c r="M3698" s="2" t="s">
        <v>12</v>
      </c>
      <c r="N3698" s="4">
        <f t="shared" si="1"/>
        <v>43647</v>
      </c>
      <c r="O3698" s="5" t="str">
        <f>IFERROR(__xludf.DUMMYFUNCTION("IF(REGEXMATCH(TRIM(I3698), ""^\d+\s*min""), ""Unclassified"", IF(I3698 = """", ""NR"", I3698))"),"TV-MA")</f>
        <v>TV-MA</v>
      </c>
      <c r="R3698" s="5" t="str">
        <f t="shared" si="2"/>
        <v>Record Of Grancrest War</v>
      </c>
      <c r="S3698" s="5" t="str">
        <f>IFERROR(__xludf.DUMMYFUNCTION("""COMPUTED_VALUE"""),"Kai Po Che!")</f>
        <v>Kai Po Che!</v>
      </c>
      <c r="U3698" s="5" t="str">
        <f>IFERROR(__xludf.DUMMYFUNCTION("""COMPUTED_VALUE"""),"Paul Katis")</f>
        <v>Paul Katis</v>
      </c>
      <c r="V3698" s="5" t="s">
        <v>10962</v>
      </c>
      <c r="W3698" s="5" t="str">
        <f t="shared" si="3"/>
        <v>Salvador Espinosa</v>
      </c>
      <c r="X3698" s="5">
        <f t="shared" si="4"/>
        <v>1</v>
      </c>
      <c r="Y3698" s="5" t="str">
        <f>IFERROR(__xludf.DUMMYFUNCTION("REGEXEXTRACT(J3698, ""^\d+"")"),"1")</f>
        <v>1</v>
      </c>
      <c r="Z3698" s="5" t="str">
        <f>IFERROR(__xludf.DUMMYFUNCTION("REGEXEXTRACT(J3698, ""[A-Za-z ]+$"")")," Season")</f>
        <v> Season</v>
      </c>
      <c r="AA3698" s="5" t="str">
        <f>IFERROR(__xludf.DUMMYFUNCTION("IF(REGEXMATCH(Z3698, ""Season""), ""TV Show"", ""Movie"")"),"TV Show")</f>
        <v>TV Show</v>
      </c>
    </row>
    <row r="3699">
      <c r="A3699" s="1" t="s">
        <v>20136</v>
      </c>
      <c r="B3699" s="1" t="s">
        <v>27</v>
      </c>
      <c r="C3699" s="1" t="s">
        <v>20137</v>
      </c>
      <c r="D3699" s="1" t="s">
        <v>9300</v>
      </c>
      <c r="F3699" s="1" t="s">
        <v>17003</v>
      </c>
      <c r="G3699" s="1" t="s">
        <v>20110</v>
      </c>
      <c r="H3699" s="1">
        <v>2013.0</v>
      </c>
      <c r="I3699" s="1" t="s">
        <v>42</v>
      </c>
      <c r="J3699" s="1" t="s">
        <v>207</v>
      </c>
      <c r="K3699" s="1" t="s">
        <v>156</v>
      </c>
      <c r="L3699" s="1" t="s">
        <v>20138</v>
      </c>
      <c r="M3699" s="2" t="s">
        <v>12</v>
      </c>
      <c r="N3699" s="4">
        <f t="shared" si="1"/>
        <v>43647</v>
      </c>
      <c r="O3699" s="5" t="str">
        <f>IFERROR(__xludf.DUMMYFUNCTION("IF(REGEXMATCH(TRIM(I3699), ""^\d+\s*min""), ""Unclassified"", IF(I3699 = """", ""NR"", I3699))"),"TV-MA")</f>
        <v>TV-MA</v>
      </c>
      <c r="R3699" s="5" t="str">
        <f t="shared" si="2"/>
        <v>War Against Women</v>
      </c>
      <c r="S3699" s="5" t="str">
        <f>IFERROR(__xludf.DUMMYFUNCTION("""COMPUTED_VALUE"""),"Kajraare")</f>
        <v>Kajraare</v>
      </c>
      <c r="U3699" s="5" t="str">
        <f>IFERROR(__xludf.DUMMYFUNCTION("""COMPUTED_VALUE"""),"Felix Thompson")</f>
        <v>Felix Thompson</v>
      </c>
      <c r="V3699" s="5" t="s">
        <v>20139</v>
      </c>
      <c r="W3699" s="5" t="str">
        <f t="shared" si="3"/>
        <v>Sam "Blitz" Bazawule</v>
      </c>
      <c r="X3699" s="5">
        <f t="shared" si="4"/>
        <v>1</v>
      </c>
      <c r="Y3699" s="5" t="str">
        <f>IFERROR(__xludf.DUMMYFUNCTION("REGEXEXTRACT(J3699, ""^\d+"")"),"61")</f>
        <v>61</v>
      </c>
      <c r="Z3699" s="5" t="str">
        <f>IFERROR(__xludf.DUMMYFUNCTION("REGEXEXTRACT(J3699, ""[A-Za-z ]+$"")")," min")</f>
        <v> min</v>
      </c>
      <c r="AA3699" s="5" t="str">
        <f>IFERROR(__xludf.DUMMYFUNCTION("IF(REGEXMATCH(Z3699, ""Season""), ""TV Show"", ""Movie"")"),"Movie")</f>
        <v>Movie</v>
      </c>
    </row>
    <row r="3700">
      <c r="A3700" s="1" t="s">
        <v>20140</v>
      </c>
      <c r="B3700" s="1" t="s">
        <v>27</v>
      </c>
      <c r="C3700" s="1" t="s">
        <v>20141</v>
      </c>
      <c r="D3700" s="1" t="s">
        <v>20142</v>
      </c>
      <c r="E3700" s="1" t="s">
        <v>20143</v>
      </c>
      <c r="F3700" s="1" t="s">
        <v>2796</v>
      </c>
      <c r="G3700" s="1" t="s">
        <v>20144</v>
      </c>
      <c r="H3700" s="1">
        <v>2019.0</v>
      </c>
      <c r="I3700" s="1" t="s">
        <v>42</v>
      </c>
      <c r="J3700" s="1" t="s">
        <v>393</v>
      </c>
      <c r="K3700" s="1" t="s">
        <v>20145</v>
      </c>
      <c r="L3700" s="1" t="s">
        <v>20146</v>
      </c>
      <c r="M3700" s="2" t="s">
        <v>12</v>
      </c>
      <c r="N3700" s="4">
        <f t="shared" si="1"/>
        <v>43646</v>
      </c>
      <c r="O3700" s="5" t="str">
        <f>IFERROR(__xludf.DUMMYFUNCTION("IF(REGEXMATCH(TRIM(I3700), ""^\d+\s*min""), ""Unclassified"", IF(I3700 = """", ""NR"", I3700))"),"TV-MA")</f>
        <v>TV-MA</v>
      </c>
      <c r="R3700" s="5" t="str">
        <f t="shared" si="2"/>
        <v>Inhuman Kiss</v>
      </c>
      <c r="S3700" s="5" t="str">
        <f>IFERROR(__xludf.DUMMYFUNCTION("""COMPUTED_VALUE"""),"Kakegurui")</f>
        <v>Kakegurui</v>
      </c>
      <c r="U3700" s="5" t="str">
        <f>IFERROR(__xludf.DUMMYFUNCTION("""COMPUTED_VALUE"""),"Jeffrey W. Byrd")</f>
        <v>Jeffrey W. Byrd</v>
      </c>
      <c r="V3700" s="5" t="s">
        <v>20147</v>
      </c>
      <c r="W3700" s="5" t="str">
        <f t="shared" si="3"/>
        <v>Sam Cullman</v>
      </c>
      <c r="X3700" s="5">
        <f t="shared" si="4"/>
        <v>1</v>
      </c>
      <c r="Y3700" s="5" t="str">
        <f>IFERROR(__xludf.DUMMYFUNCTION("REGEXEXTRACT(J3700, ""^\d+"")"),"122")</f>
        <v>122</v>
      </c>
      <c r="Z3700" s="5" t="str">
        <f>IFERROR(__xludf.DUMMYFUNCTION("REGEXEXTRACT(J3700, ""[A-Za-z ]+$"")")," min")</f>
        <v> min</v>
      </c>
      <c r="AA3700" s="5" t="str">
        <f>IFERROR(__xludf.DUMMYFUNCTION("IF(REGEXMATCH(Z3700, ""Season""), ""TV Show"", ""Movie"")"),"Movie")</f>
        <v>Movie</v>
      </c>
    </row>
    <row r="3701">
      <c r="A3701" s="1" t="s">
        <v>20148</v>
      </c>
      <c r="B3701" s="1" t="s">
        <v>27</v>
      </c>
      <c r="C3701" s="1" t="s">
        <v>20149</v>
      </c>
      <c r="D3701" s="1" t="s">
        <v>19389</v>
      </c>
      <c r="E3701" s="1" t="s">
        <v>20150</v>
      </c>
      <c r="F3701" s="1" t="s">
        <v>63</v>
      </c>
      <c r="G3701" s="1" t="s">
        <v>20144</v>
      </c>
      <c r="H3701" s="1">
        <v>2019.0</v>
      </c>
      <c r="I3701" s="1" t="s">
        <v>97</v>
      </c>
      <c r="J3701" s="1" t="s">
        <v>2274</v>
      </c>
      <c r="K3701" s="1" t="s">
        <v>298</v>
      </c>
      <c r="L3701" s="1" t="s">
        <v>20151</v>
      </c>
      <c r="M3701" s="2" t="s">
        <v>12</v>
      </c>
      <c r="N3701" s="4">
        <f t="shared" si="1"/>
        <v>43646</v>
      </c>
      <c r="O3701" s="5" t="str">
        <f>IFERROR(__xludf.DUMMYFUNCTION("IF(REGEXMATCH(TRIM(I3701), ""^\d+\s*min""), ""Unclassified"", IF(I3701 = """", ""NR"", I3701))"),"TV-14")</f>
        <v>TV-14</v>
      </c>
      <c r="R3701" s="5" t="str">
        <f t="shared" si="2"/>
        <v>Romeo Akbar Walter</v>
      </c>
      <c r="S3701" s="5" t="str">
        <f>IFERROR(__xludf.DUMMYFUNCTION("""COMPUTED_VALUE"""),"Kal Ho Naa Ho")</f>
        <v>Kal Ho Naa Ho</v>
      </c>
      <c r="U3701" s="5" t="str">
        <f>IFERROR(__xludf.DUMMYFUNCTION("""COMPUTED_VALUE"""),"Steve Greenwood")</f>
        <v>Steve Greenwood</v>
      </c>
      <c r="V3701" s="5" t="s">
        <v>20152</v>
      </c>
      <c r="W3701" s="5" t="str">
        <f t="shared" si="3"/>
        <v>Sam De Jong</v>
      </c>
      <c r="X3701" s="5">
        <f t="shared" si="4"/>
        <v>1</v>
      </c>
      <c r="Y3701" s="5" t="str">
        <f>IFERROR(__xludf.DUMMYFUNCTION("REGEXEXTRACT(J3701, ""^\d+"")"),"141")</f>
        <v>141</v>
      </c>
      <c r="Z3701" s="5" t="str">
        <f>IFERROR(__xludf.DUMMYFUNCTION("REGEXEXTRACT(J3701, ""[A-Za-z ]+$"")")," min")</f>
        <v> min</v>
      </c>
      <c r="AA3701" s="5" t="str">
        <f>IFERROR(__xludf.DUMMYFUNCTION("IF(REGEXMATCH(Z3701, ""Season""), ""TV Show"", ""Movie"")"),"Movie")</f>
        <v>Movie</v>
      </c>
    </row>
    <row r="3702">
      <c r="A3702" s="1" t="s">
        <v>20153</v>
      </c>
      <c r="B3702" s="1" t="s">
        <v>37</v>
      </c>
      <c r="C3702" s="1" t="s">
        <v>20154</v>
      </c>
      <c r="E3702" s="1" t="s">
        <v>20155</v>
      </c>
      <c r="F3702" s="1" t="s">
        <v>30</v>
      </c>
      <c r="G3702" s="1" t="s">
        <v>20144</v>
      </c>
      <c r="H3702" s="1">
        <v>2011.0</v>
      </c>
      <c r="I3702" s="1" t="s">
        <v>42</v>
      </c>
      <c r="J3702" s="1" t="s">
        <v>43</v>
      </c>
      <c r="K3702" s="1" t="s">
        <v>6690</v>
      </c>
      <c r="L3702" s="1" t="s">
        <v>20156</v>
      </c>
      <c r="M3702" s="2" t="s">
        <v>12</v>
      </c>
      <c r="N3702" s="4">
        <f t="shared" si="1"/>
        <v>43646</v>
      </c>
      <c r="O3702" s="5" t="str">
        <f>IFERROR(__xludf.DUMMYFUNCTION("IF(REGEXMATCH(TRIM(I3702), ""^\d+\s*min""), ""Unclassified"", IF(I3702 = """", ""NR"", I3702))"),"TV-MA")</f>
        <v>TV-MA</v>
      </c>
      <c r="R3702" s="5" t="str">
        <f t="shared" si="2"/>
        <v>Scare Tactics</v>
      </c>
      <c r="S3702" s="5" t="str">
        <f>IFERROR(__xludf.DUMMYFUNCTION("""COMPUTED_VALUE"""),"Kalakalappu")</f>
        <v>Kalakalappu</v>
      </c>
      <c r="U3702" s="5" t="str">
        <f>IFERROR(__xludf.DUMMYFUNCTION("""COMPUTED_VALUE"""),"Peter Farrelly, Bobby Farrelly")</f>
        <v>Peter Farrelly, Bobby Farrelly</v>
      </c>
      <c r="V3702" s="5" t="s">
        <v>16000</v>
      </c>
      <c r="W3702" s="5" t="str">
        <f t="shared" si="3"/>
        <v>Sam Dunn</v>
      </c>
      <c r="X3702" s="5">
        <f t="shared" si="4"/>
        <v>1</v>
      </c>
      <c r="Y3702" s="5" t="str">
        <f>IFERROR(__xludf.DUMMYFUNCTION("REGEXEXTRACT(J3702, ""^\d+"")"),"2")</f>
        <v>2</v>
      </c>
      <c r="Z3702" s="5" t="str">
        <f>IFERROR(__xludf.DUMMYFUNCTION("REGEXEXTRACT(J3702, ""[A-Za-z ]+$"")")," Seasons")</f>
        <v> Seasons</v>
      </c>
      <c r="AA3702" s="5" t="str">
        <f>IFERROR(__xludf.DUMMYFUNCTION("IF(REGEXMATCH(Z3702, ""Season""), ""TV Show"", ""Movie"")"),"TV Show")</f>
        <v>TV Show</v>
      </c>
    </row>
    <row r="3703">
      <c r="A3703" s="1" t="s">
        <v>20157</v>
      </c>
      <c r="B3703" s="1" t="s">
        <v>27</v>
      </c>
      <c r="C3703" s="1" t="s">
        <v>20158</v>
      </c>
      <c r="D3703" s="1" t="s">
        <v>20159</v>
      </c>
      <c r="E3703" s="1" t="s">
        <v>20160</v>
      </c>
      <c r="F3703" s="1" t="s">
        <v>63</v>
      </c>
      <c r="G3703" s="1" t="s">
        <v>20161</v>
      </c>
      <c r="H3703" s="1">
        <v>2019.0</v>
      </c>
      <c r="I3703" s="1" t="s">
        <v>42</v>
      </c>
      <c r="J3703" s="1" t="s">
        <v>16526</v>
      </c>
      <c r="K3703" s="1" t="s">
        <v>583</v>
      </c>
      <c r="L3703" s="1" t="s">
        <v>20162</v>
      </c>
      <c r="M3703" s="2" t="s">
        <v>12</v>
      </c>
      <c r="N3703" s="4">
        <f t="shared" si="1"/>
        <v>43645</v>
      </c>
      <c r="O3703" s="5" t="str">
        <f>IFERROR(__xludf.DUMMYFUNCTION("IF(REGEXMATCH(TRIM(I3703), ""^\d+\s*min""), ""Unclassified"", IF(I3703 = """", ""NR"", I3703))"),"TV-MA")</f>
        <v>TV-MA</v>
      </c>
      <c r="R3703" s="5" t="str">
        <f t="shared" si="2"/>
        <v>Super Deluxe</v>
      </c>
      <c r="S3703" s="5" t="str">
        <f>IFERROR(__xludf.DUMMYFUNCTION("""COMPUTED_VALUE"""),"Kaleidoscope")</f>
        <v>Kaleidoscope</v>
      </c>
      <c r="U3703" s="5" t="str">
        <f>IFERROR(__xludf.DUMMYFUNCTION("""COMPUTED_VALUE"""),"Deniz Gamze Ergüven")</f>
        <v>Deniz Gamze Ergüven</v>
      </c>
      <c r="V3703" s="5" t="s">
        <v>20163</v>
      </c>
      <c r="W3703" s="5" t="str">
        <f t="shared" si="3"/>
        <v>Sam Dunn, Scot Mcfadyen</v>
      </c>
      <c r="X3703" s="5">
        <f t="shared" si="4"/>
        <v>1</v>
      </c>
      <c r="Y3703" s="5" t="str">
        <f>IFERROR(__xludf.DUMMYFUNCTION("REGEXEXTRACT(J3703, ""^\d+"")"),"176")</f>
        <v>176</v>
      </c>
      <c r="Z3703" s="5" t="str">
        <f>IFERROR(__xludf.DUMMYFUNCTION("REGEXEXTRACT(J3703, ""[A-Za-z ]+$"")")," min")</f>
        <v> min</v>
      </c>
      <c r="AA3703" s="5" t="str">
        <f>IFERROR(__xludf.DUMMYFUNCTION("IF(REGEXMATCH(Z3703, ""Season""), ""TV Show"", ""Movie"")"),"Movie")</f>
        <v>Movie</v>
      </c>
    </row>
    <row r="3704">
      <c r="A3704" s="1" t="s">
        <v>20164</v>
      </c>
      <c r="B3704" s="1" t="s">
        <v>37</v>
      </c>
      <c r="C3704" s="1" t="s">
        <v>20165</v>
      </c>
      <c r="F3704" s="1" t="s">
        <v>30</v>
      </c>
      <c r="G3704" s="1" t="s">
        <v>20166</v>
      </c>
      <c r="H3704" s="1">
        <v>2019.0</v>
      </c>
      <c r="I3704" s="1" t="s">
        <v>42</v>
      </c>
      <c r="J3704" s="1" t="s">
        <v>276</v>
      </c>
      <c r="K3704" s="1" t="s">
        <v>2043</v>
      </c>
      <c r="L3704" s="1" t="s">
        <v>20167</v>
      </c>
      <c r="M3704" s="2" t="s">
        <v>12</v>
      </c>
      <c r="N3704" s="4">
        <f t="shared" si="1"/>
        <v>43644</v>
      </c>
      <c r="O3704" s="5" t="str">
        <f>IFERROR(__xludf.DUMMYFUNCTION("IF(REGEXMATCH(TRIM(I3704), ""^\d+\s*min""), ""Unclassified"", IF(I3704 = """", ""NR"", I3704))"),"TV-MA")</f>
        <v>TV-MA</v>
      </c>
      <c r="R3704" s="5" t="str">
        <f t="shared" si="2"/>
        <v>Dope</v>
      </c>
      <c r="S3704" s="5" t="str">
        <f>IFERROR(__xludf.DUMMYFUNCTION("""COMPUTED_VALUE"""),"Kalek Shanab")</f>
        <v>Kalek Shanab</v>
      </c>
      <c r="U3704" s="5" t="str">
        <f>IFERROR(__xludf.DUMMYFUNCTION("""COMPUTED_VALUE"""),"Woo Ming Jin")</f>
        <v>Woo Ming Jin</v>
      </c>
      <c r="V3704" s="5" t="s">
        <v>10603</v>
      </c>
      <c r="W3704" s="5" t="str">
        <f t="shared" si="3"/>
        <v>Sam Fell, Chris Butler</v>
      </c>
      <c r="X3704" s="5">
        <f t="shared" si="4"/>
        <v>1</v>
      </c>
      <c r="Y3704" s="5" t="str">
        <f>IFERROR(__xludf.DUMMYFUNCTION("REGEXEXTRACT(J3704, ""^\d+"")"),"3")</f>
        <v>3</v>
      </c>
      <c r="Z3704" s="5" t="str">
        <f>IFERROR(__xludf.DUMMYFUNCTION("REGEXEXTRACT(J3704, ""[A-Za-z ]+$"")")," Seasons")</f>
        <v> Seasons</v>
      </c>
      <c r="AA3704" s="5" t="str">
        <f>IFERROR(__xludf.DUMMYFUNCTION("IF(REGEXMATCH(Z3704, ""Season""), ""TV Show"", ""Movie"")"),"TV Show")</f>
        <v>TV Show</v>
      </c>
    </row>
    <row r="3705">
      <c r="A3705" s="1" t="s">
        <v>20168</v>
      </c>
      <c r="B3705" s="1" t="s">
        <v>27</v>
      </c>
      <c r="C3705" s="1" t="s">
        <v>20169</v>
      </c>
      <c r="D3705" s="1" t="s">
        <v>12496</v>
      </c>
      <c r="E3705" s="1" t="s">
        <v>20170</v>
      </c>
      <c r="F3705" s="1" t="s">
        <v>20171</v>
      </c>
      <c r="G3705" s="1" t="s">
        <v>20166</v>
      </c>
      <c r="H3705" s="1">
        <v>2018.0</v>
      </c>
      <c r="I3705" s="1" t="s">
        <v>97</v>
      </c>
      <c r="J3705" s="1" t="s">
        <v>5120</v>
      </c>
      <c r="K3705" s="1" t="s">
        <v>156</v>
      </c>
      <c r="L3705" s="1" t="s">
        <v>20172</v>
      </c>
      <c r="M3705" s="2" t="s">
        <v>12</v>
      </c>
      <c r="N3705" s="4">
        <f t="shared" si="1"/>
        <v>43644</v>
      </c>
      <c r="O3705" s="5" t="str">
        <f>IFERROR(__xludf.DUMMYFUNCTION("IF(REGEXMATCH(TRIM(I3705), ""^\d+\s*min""), ""Unclassified"", IF(I3705 = """", ""NR"", I3705))"),"TV-14")</f>
        <v>TV-14</v>
      </c>
      <c r="R3705" s="5" t="str">
        <f t="shared" si="2"/>
        <v>El Testigo</v>
      </c>
      <c r="S3705" s="5" t="str">
        <f>IFERROR(__xludf.DUMMYFUNCTION("""COMPUTED_VALUE"""),"Kalel, 15")</f>
        <v>Kalel, 15</v>
      </c>
      <c r="U3705" s="5" t="str">
        <f>IFERROR(__xludf.DUMMYFUNCTION("""COMPUTED_VALUE"""),"Frank Capra, Joris Ivens")</f>
        <v>Frank Capra, Joris Ivens</v>
      </c>
      <c r="V3705" s="5" t="s">
        <v>1870</v>
      </c>
      <c r="W3705" s="5" t="str">
        <f t="shared" si="3"/>
        <v>Sam Hobkinson</v>
      </c>
      <c r="X3705" s="5">
        <f t="shared" si="4"/>
        <v>2</v>
      </c>
      <c r="Y3705" s="5" t="str">
        <f>IFERROR(__xludf.DUMMYFUNCTION("REGEXEXTRACT(J3705, ""^\d+"")"),"73")</f>
        <v>73</v>
      </c>
      <c r="Z3705" s="5" t="str">
        <f>IFERROR(__xludf.DUMMYFUNCTION("REGEXEXTRACT(J3705, ""[A-Za-z ]+$"")")," min")</f>
        <v> min</v>
      </c>
      <c r="AA3705" s="5" t="str">
        <f>IFERROR(__xludf.DUMMYFUNCTION("IF(REGEXMATCH(Z3705, ""Season""), ""TV Show"", ""Movie"")"),"Movie")</f>
        <v>Movie</v>
      </c>
    </row>
    <row r="3706">
      <c r="A3706" s="1" t="s">
        <v>20173</v>
      </c>
      <c r="B3706" s="1" t="s">
        <v>37</v>
      </c>
      <c r="C3706" s="1" t="s">
        <v>20174</v>
      </c>
      <c r="F3706" s="1" t="s">
        <v>30</v>
      </c>
      <c r="G3706" s="1" t="s">
        <v>20166</v>
      </c>
      <c r="H3706" s="1">
        <v>2019.0</v>
      </c>
      <c r="I3706" s="1" t="s">
        <v>42</v>
      </c>
      <c r="J3706" s="1" t="s">
        <v>51</v>
      </c>
      <c r="K3706" s="1" t="s">
        <v>20175</v>
      </c>
      <c r="L3706" s="1" t="s">
        <v>20176</v>
      </c>
      <c r="M3706" s="2" t="s">
        <v>12</v>
      </c>
      <c r="N3706" s="4">
        <f t="shared" si="1"/>
        <v>43644</v>
      </c>
      <c r="O3706" s="5" t="str">
        <f>IFERROR(__xludf.DUMMYFUNCTION("IF(REGEXMATCH(TRIM(I3706), ""^\d+\s*min""), ""Unclassified"", IF(I3706 = """", ""NR"", I3706))"),"TV-MA")</f>
        <v>TV-MA</v>
      </c>
      <c r="R3706" s="5" t="str">
        <f t="shared" si="2"/>
        <v>Exhibit A</v>
      </c>
      <c r="S3706" s="5" t="str">
        <f>IFERROR(__xludf.DUMMYFUNCTION("""COMPUTED_VALUE"""),"Kalki")</f>
        <v>Kalki</v>
      </c>
      <c r="U3706" s="5" t="str">
        <f>IFERROR(__xludf.DUMMYFUNCTION("""COMPUTED_VALUE"""),"Alex Proyas")</f>
        <v>Alex Proyas</v>
      </c>
      <c r="V3706" s="5" t="s">
        <v>15434</v>
      </c>
      <c r="W3706" s="5" t="str">
        <f t="shared" si="3"/>
        <v>Sam Irvin</v>
      </c>
      <c r="X3706" s="5">
        <f t="shared" si="4"/>
        <v>1</v>
      </c>
      <c r="Y3706" s="5" t="str">
        <f>IFERROR(__xludf.DUMMYFUNCTION("REGEXEXTRACT(J3706, ""^\d+"")"),"1")</f>
        <v>1</v>
      </c>
      <c r="Z3706" s="5" t="str">
        <f>IFERROR(__xludf.DUMMYFUNCTION("REGEXEXTRACT(J3706, ""[A-Za-z ]+$"")")," Season")</f>
        <v> Season</v>
      </c>
      <c r="AA3706" s="5" t="str">
        <f>IFERROR(__xludf.DUMMYFUNCTION("IF(REGEXMATCH(Z3706, ""Season""), ""TV Show"", ""Movie"")"),"TV Show")</f>
        <v>TV Show</v>
      </c>
    </row>
    <row r="3707">
      <c r="A3707" s="1" t="s">
        <v>20177</v>
      </c>
      <c r="B3707" s="1" t="s">
        <v>37</v>
      </c>
      <c r="C3707" s="1" t="s">
        <v>20178</v>
      </c>
      <c r="E3707" s="1" t="s">
        <v>20179</v>
      </c>
      <c r="F3707" s="1" t="s">
        <v>221</v>
      </c>
      <c r="G3707" s="1" t="s">
        <v>20166</v>
      </c>
      <c r="H3707" s="1">
        <v>2019.0</v>
      </c>
      <c r="I3707" s="1" t="s">
        <v>42</v>
      </c>
      <c r="J3707" s="1" t="s">
        <v>43</v>
      </c>
      <c r="K3707" s="1" t="s">
        <v>1520</v>
      </c>
      <c r="L3707" s="1" t="s">
        <v>20180</v>
      </c>
      <c r="M3707" s="2" t="s">
        <v>12</v>
      </c>
      <c r="N3707" s="4">
        <f t="shared" si="1"/>
        <v>43644</v>
      </c>
      <c r="O3707" s="5" t="str">
        <f>IFERROR(__xludf.DUMMYFUNCTION("IF(REGEXMATCH(TRIM(I3707), ""^\d+\s*min""), ""Unclassified"", IF(I3707 = """", ""NR"", I3707))"),"TV-MA")</f>
        <v>TV-MA</v>
      </c>
      <c r="R3707" s="5" t="str">
        <f t="shared" si="2"/>
        <v>Instant Hotel</v>
      </c>
      <c r="S3707" s="5" t="str">
        <f>IFERROR(__xludf.DUMMYFUNCTION("""COMPUTED_VALUE"""),"Kalushi: The Story Of Solomon Mahlangu")</f>
        <v>Kalushi: The Story Of Solomon Mahlangu</v>
      </c>
      <c r="U3707" s="5" t="str">
        <f>IFERROR(__xludf.DUMMYFUNCTION("""COMPUTED_VALUE"""),"Jonathan Taylor")</f>
        <v>Jonathan Taylor</v>
      </c>
      <c r="V3707" s="5" t="s">
        <v>7901</v>
      </c>
      <c r="W3707" s="5" t="str">
        <f t="shared" si="3"/>
        <v>Sam Levinson</v>
      </c>
      <c r="X3707" s="5">
        <f t="shared" si="4"/>
        <v>1</v>
      </c>
      <c r="Y3707" s="5" t="str">
        <f>IFERROR(__xludf.DUMMYFUNCTION("REGEXEXTRACT(J3707, ""^\d+"")"),"2")</f>
        <v>2</v>
      </c>
      <c r="Z3707" s="5" t="str">
        <f>IFERROR(__xludf.DUMMYFUNCTION("REGEXEXTRACT(J3707, ""[A-Za-z ]+$"")")," Seasons")</f>
        <v> Seasons</v>
      </c>
      <c r="AA3707" s="5" t="str">
        <f>IFERROR(__xludf.DUMMYFUNCTION("IF(REGEXMATCH(Z3707, ""Season""), ""TV Show"", ""Movie"")"),"TV Show")</f>
        <v>TV Show</v>
      </c>
    </row>
    <row r="3708">
      <c r="A3708" s="1" t="s">
        <v>20181</v>
      </c>
      <c r="B3708" s="1" t="s">
        <v>27</v>
      </c>
      <c r="C3708" s="1" t="s">
        <v>20182</v>
      </c>
      <c r="D3708" s="1" t="s">
        <v>19552</v>
      </c>
      <c r="E3708" s="1" t="s">
        <v>20183</v>
      </c>
      <c r="F3708" s="1" t="s">
        <v>162</v>
      </c>
      <c r="G3708" s="1" t="s">
        <v>20166</v>
      </c>
      <c r="H3708" s="1">
        <v>2017.0</v>
      </c>
      <c r="I3708" s="1" t="s">
        <v>42</v>
      </c>
      <c r="J3708" s="1" t="s">
        <v>630</v>
      </c>
      <c r="K3708" s="1" t="s">
        <v>13636</v>
      </c>
      <c r="L3708" s="1" t="s">
        <v>20184</v>
      </c>
      <c r="M3708" s="2" t="s">
        <v>12</v>
      </c>
      <c r="N3708" s="4">
        <f t="shared" si="1"/>
        <v>43644</v>
      </c>
      <c r="O3708" s="5" t="str">
        <f>IFERROR(__xludf.DUMMYFUNCTION("IF(REGEXMATCH(TRIM(I3708), ""^\d+\s*min""), ""Unclassified"", IF(I3708 = """", ""NR"", I3708))"),"TV-MA")</f>
        <v>TV-MA</v>
      </c>
      <c r="R3708" s="5" t="str">
        <f t="shared" si="2"/>
        <v>La Leyenda Del Diamante</v>
      </c>
      <c r="S3708" s="5" t="str">
        <f>IFERROR(__xludf.DUMMYFUNCTION("""COMPUTED_VALUE"""),"Kambili: The Whole 30 Yards")</f>
        <v>Kambili: The Whole 30 Yards</v>
      </c>
      <c r="U3708" s="5" t="str">
        <f>IFERROR(__xludf.DUMMYFUNCTION("""COMPUTED_VALUE"""),"Joachim Rønning, Espen Sandberg")</f>
        <v>Joachim Rønning, Espen Sandberg</v>
      </c>
      <c r="V3708" s="5" t="s">
        <v>10669</v>
      </c>
      <c r="W3708" s="5" t="str">
        <f t="shared" si="3"/>
        <v>Sam Liu</v>
      </c>
      <c r="X3708" s="5">
        <f t="shared" si="4"/>
        <v>3</v>
      </c>
      <c r="Y3708" s="5" t="str">
        <f>IFERROR(__xludf.DUMMYFUNCTION("REGEXEXTRACT(J3708, ""^\d+"")"),"87")</f>
        <v>87</v>
      </c>
      <c r="Z3708" s="5" t="str">
        <f>IFERROR(__xludf.DUMMYFUNCTION("REGEXEXTRACT(J3708, ""[A-Za-z ]+$"")")," min")</f>
        <v> min</v>
      </c>
      <c r="AA3708" s="5" t="str">
        <f>IFERROR(__xludf.DUMMYFUNCTION("IF(REGEXMATCH(Z3708, ""Season""), ""TV Show"", ""Movie"")"),"Movie")</f>
        <v>Movie</v>
      </c>
    </row>
    <row r="3709">
      <c r="A3709" s="1" t="s">
        <v>20185</v>
      </c>
      <c r="B3709" s="1" t="s">
        <v>37</v>
      </c>
      <c r="C3709" s="1" t="s">
        <v>20186</v>
      </c>
      <c r="F3709" s="1" t="s">
        <v>972</v>
      </c>
      <c r="G3709" s="1" t="s">
        <v>20166</v>
      </c>
      <c r="H3709" s="1">
        <v>2019.0</v>
      </c>
      <c r="I3709" s="1" t="s">
        <v>206</v>
      </c>
      <c r="J3709" s="1" t="s">
        <v>43</v>
      </c>
      <c r="K3709" s="1" t="s">
        <v>334</v>
      </c>
      <c r="L3709" s="1" t="s">
        <v>20187</v>
      </c>
      <c r="M3709" s="2" t="s">
        <v>12</v>
      </c>
      <c r="N3709" s="4">
        <f t="shared" si="1"/>
        <v>43644</v>
      </c>
      <c r="O3709" s="5" t="str">
        <f>IFERROR(__xludf.DUMMYFUNCTION("IF(REGEXMATCH(TRIM(I3709), ""^\d+\s*min""), ""Unclassified"", IF(I3709 = """", ""NR"", I3709))"),"TV-Y")</f>
        <v>TV-Y</v>
      </c>
      <c r="R3709" s="5" t="str">
        <f t="shared" si="2"/>
        <v>Motown Magic</v>
      </c>
      <c r="S3709" s="5" t="str">
        <f>IFERROR(__xludf.DUMMYFUNCTION("""COMPUTED_VALUE"""),"Kaminey")</f>
        <v>Kaminey</v>
      </c>
      <c r="U3709" s="5" t="str">
        <f>IFERROR(__xludf.DUMMYFUNCTION("""COMPUTED_VALUE"""),"Gulzar")</f>
        <v>Gulzar</v>
      </c>
      <c r="V3709" s="5" t="s">
        <v>20188</v>
      </c>
      <c r="W3709" s="5" t="str">
        <f t="shared" si="3"/>
        <v>Sam Liu, Frank Paur</v>
      </c>
      <c r="X3709" s="5">
        <f t="shared" si="4"/>
        <v>1</v>
      </c>
      <c r="Y3709" s="5" t="str">
        <f>IFERROR(__xludf.DUMMYFUNCTION("REGEXEXTRACT(J3709, ""^\d+"")"),"2")</f>
        <v>2</v>
      </c>
      <c r="Z3709" s="5" t="str">
        <f>IFERROR(__xludf.DUMMYFUNCTION("REGEXEXTRACT(J3709, ""[A-Za-z ]+$"")")," Seasons")</f>
        <v> Seasons</v>
      </c>
      <c r="AA3709" s="5" t="str">
        <f>IFERROR(__xludf.DUMMYFUNCTION("IF(REGEXMATCH(Z3709, ""Season""), ""TV Show"", ""Movie"")"),"TV Show")</f>
        <v>TV Show</v>
      </c>
    </row>
    <row r="3710">
      <c r="A3710" s="1" t="s">
        <v>20189</v>
      </c>
      <c r="B3710" s="1" t="s">
        <v>37</v>
      </c>
      <c r="C3710" s="1" t="s">
        <v>20190</v>
      </c>
      <c r="E3710" s="1" t="s">
        <v>20191</v>
      </c>
      <c r="F3710" s="1" t="s">
        <v>784</v>
      </c>
      <c r="G3710" s="1" t="s">
        <v>20166</v>
      </c>
      <c r="H3710" s="1">
        <v>2018.0</v>
      </c>
      <c r="I3710" s="1" t="s">
        <v>42</v>
      </c>
      <c r="J3710" s="1" t="s">
        <v>276</v>
      </c>
      <c r="K3710" s="1" t="s">
        <v>1627</v>
      </c>
      <c r="L3710" s="1" t="s">
        <v>20192</v>
      </c>
      <c r="M3710" s="2" t="s">
        <v>12</v>
      </c>
      <c r="N3710" s="4">
        <f t="shared" si="1"/>
        <v>43644</v>
      </c>
      <c r="O3710" s="5" t="str">
        <f>IFERROR(__xludf.DUMMYFUNCTION("IF(REGEXMATCH(TRIM(I3710), ""^\d+\s*min""), ""Unclassified"", IF(I3710 = """", ""NR"", I3710))"),"TV-MA")</f>
        <v>TV-MA</v>
      </c>
      <c r="R3710" s="5" t="str">
        <f t="shared" si="2"/>
        <v>Paquita Salas</v>
      </c>
      <c r="S3710" s="5" t="str">
        <f>IFERROR(__xludf.DUMMYFUNCTION("""COMPUTED_VALUE"""),"Kanavu Variyam")</f>
        <v>Kanavu Variyam</v>
      </c>
      <c r="U3710" s="5" t="str">
        <f>IFERROR(__xludf.DUMMYFUNCTION("""COMPUTED_VALUE"""),"Hans Petter Moland")</f>
        <v>Hans Petter Moland</v>
      </c>
      <c r="V3710" s="5" t="s">
        <v>20193</v>
      </c>
      <c r="W3710" s="5" t="str">
        <f t="shared" si="3"/>
        <v>Sam Loh</v>
      </c>
      <c r="X3710" s="5">
        <f t="shared" si="4"/>
        <v>1</v>
      </c>
      <c r="Y3710" s="5" t="str">
        <f>IFERROR(__xludf.DUMMYFUNCTION("REGEXEXTRACT(J3710, ""^\d+"")"),"3")</f>
        <v>3</v>
      </c>
      <c r="Z3710" s="5" t="str">
        <f>IFERROR(__xludf.DUMMYFUNCTION("REGEXEXTRACT(J3710, ""[A-Za-z ]+$"")")," Seasons")</f>
        <v> Seasons</v>
      </c>
      <c r="AA3710" s="5" t="str">
        <f>IFERROR(__xludf.DUMMYFUNCTION("IF(REGEXMATCH(Z3710, ""Season""), ""TV Show"", ""Movie"")"),"TV Show")</f>
        <v>TV Show</v>
      </c>
    </row>
    <row r="3711">
      <c r="A3711" s="1" t="s">
        <v>20194</v>
      </c>
      <c r="B3711" s="1" t="s">
        <v>27</v>
      </c>
      <c r="C3711" s="1" t="s">
        <v>20195</v>
      </c>
      <c r="D3711" s="1" t="s">
        <v>2222</v>
      </c>
      <c r="E3711" s="1" t="s">
        <v>20196</v>
      </c>
      <c r="F3711" s="1" t="s">
        <v>96</v>
      </c>
      <c r="G3711" s="1" t="s">
        <v>20197</v>
      </c>
      <c r="H3711" s="1">
        <v>2019.0</v>
      </c>
      <c r="I3711" s="1" t="s">
        <v>136</v>
      </c>
      <c r="J3711" s="1" t="s">
        <v>5934</v>
      </c>
      <c r="K3711" s="1" t="s">
        <v>15369</v>
      </c>
      <c r="L3711" s="1" t="s">
        <v>20198</v>
      </c>
      <c r="M3711" s="2" t="s">
        <v>12</v>
      </c>
      <c r="N3711" s="4">
        <f t="shared" si="1"/>
        <v>43643</v>
      </c>
      <c r="O3711" s="5" t="str">
        <f>IFERROR(__xludf.DUMMYFUNCTION("IF(REGEXMATCH(TRIM(I3711), ""^\d+\s*min""), ""Unclassified"", IF(I3711 = """", ""NR"", I3711))"),"TV-PG")</f>
        <v>TV-PG</v>
      </c>
      <c r="R3711" s="5" t="str">
        <f t="shared" si="2"/>
        <v>Anima</v>
      </c>
      <c r="S3711" s="5" t="str">
        <f>IFERROR(__xludf.DUMMYFUNCTION("""COMPUTED_VALUE"""),"Kandasamys: The Wedding")</f>
        <v>Kandasamys: The Wedding</v>
      </c>
      <c r="U3711" s="5" t="str">
        <f>IFERROR(__xludf.DUMMYFUNCTION("""COMPUTED_VALUE"""),"Munjal Shroff, Tilak Shetty")</f>
        <v>Munjal Shroff, Tilak Shetty</v>
      </c>
      <c r="V3711" s="5" t="s">
        <v>8897</v>
      </c>
      <c r="W3711" s="5" t="str">
        <f t="shared" si="3"/>
        <v>Sam Macaroni</v>
      </c>
      <c r="X3711" s="5">
        <f t="shared" si="4"/>
        <v>1</v>
      </c>
      <c r="Y3711" s="5" t="str">
        <f>IFERROR(__xludf.DUMMYFUNCTION("REGEXEXTRACT(J3711, ""^\d+"")"),"15")</f>
        <v>15</v>
      </c>
      <c r="Z3711" s="5" t="str">
        <f>IFERROR(__xludf.DUMMYFUNCTION("REGEXEXTRACT(J3711, ""[A-Za-z ]+$"")")," min")</f>
        <v> min</v>
      </c>
      <c r="AA3711" s="5" t="str">
        <f>IFERROR(__xludf.DUMMYFUNCTION("IF(REGEXMATCH(Z3711, ""Season""), ""TV Show"", ""Movie"")"),"Movie")</f>
        <v>Movie</v>
      </c>
    </row>
    <row r="3712">
      <c r="A3712" s="1" t="s">
        <v>20199</v>
      </c>
      <c r="B3712" s="1" t="s">
        <v>37</v>
      </c>
      <c r="C3712" s="1" t="s">
        <v>20200</v>
      </c>
      <c r="E3712" s="1" t="s">
        <v>20201</v>
      </c>
      <c r="G3712" s="1" t="s">
        <v>20197</v>
      </c>
      <c r="H3712" s="1">
        <v>2019.0</v>
      </c>
      <c r="I3712" s="1" t="s">
        <v>42</v>
      </c>
      <c r="J3712" s="1" t="s">
        <v>51</v>
      </c>
      <c r="K3712" s="1" t="s">
        <v>2493</v>
      </c>
      <c r="L3712" s="1" t="s">
        <v>20202</v>
      </c>
      <c r="M3712" s="2" t="s">
        <v>12</v>
      </c>
      <c r="N3712" s="4">
        <f t="shared" si="1"/>
        <v>43643</v>
      </c>
      <c r="O3712" s="5" t="str">
        <f>IFERROR(__xludf.DUMMYFUNCTION("IF(REGEXMATCH(TRIM(I3712), ""^\d+\s*min""), ""Unclassified"", IF(I3712 = """", ""NR"", I3712))"),"TV-MA")</f>
        <v>TV-MA</v>
      </c>
      <c r="R3712" s="5" t="str">
        <f t="shared" si="2"/>
        <v>Answer For Heaven</v>
      </c>
      <c r="S3712" s="5" t="str">
        <f>IFERROR(__xludf.DUMMYFUNCTION("""COMPUTED_VALUE"""),"Kanika")</f>
        <v>Kanika</v>
      </c>
      <c r="U3712" s="5" t="str">
        <f>IFERROR(__xludf.DUMMYFUNCTION("""COMPUTED_VALUE"""),"Tilak Shetty")</f>
        <v>Tilak Shetty</v>
      </c>
      <c r="V3712" s="5" t="s">
        <v>20203</v>
      </c>
      <c r="W3712" s="5" t="str">
        <f t="shared" si="3"/>
        <v>Sam Mendes</v>
      </c>
      <c r="X3712" s="5">
        <f t="shared" si="4"/>
        <v>2</v>
      </c>
      <c r="Y3712" s="5" t="str">
        <f>IFERROR(__xludf.DUMMYFUNCTION("REGEXEXTRACT(J3712, ""^\d+"")"),"1")</f>
        <v>1</v>
      </c>
      <c r="Z3712" s="5" t="str">
        <f>IFERROR(__xludf.DUMMYFUNCTION("REGEXEXTRACT(J3712, ""[A-Za-z ]+$"")")," Season")</f>
        <v> Season</v>
      </c>
      <c r="AA3712" s="5" t="str">
        <f>IFERROR(__xludf.DUMMYFUNCTION("IF(REGEXMATCH(Z3712, ""Season""), ""TV Show"", ""Movie"")"),"TV Show")</f>
        <v>TV Show</v>
      </c>
    </row>
    <row r="3713">
      <c r="A3713" s="1" t="s">
        <v>20204</v>
      </c>
      <c r="B3713" s="1" t="s">
        <v>27</v>
      </c>
      <c r="C3713" s="1" t="s">
        <v>20205</v>
      </c>
      <c r="D3713" s="1" t="s">
        <v>1086</v>
      </c>
      <c r="E3713" s="1" t="s">
        <v>20206</v>
      </c>
      <c r="F3713" s="1" t="s">
        <v>162</v>
      </c>
      <c r="G3713" s="1" t="s">
        <v>20197</v>
      </c>
      <c r="H3713" s="1">
        <v>2019.0</v>
      </c>
      <c r="I3713" s="1" t="s">
        <v>42</v>
      </c>
      <c r="J3713" s="1" t="s">
        <v>6490</v>
      </c>
      <c r="K3713" s="1" t="s">
        <v>1839</v>
      </c>
      <c r="L3713" s="1" t="s">
        <v>20207</v>
      </c>
      <c r="M3713" s="2" t="s">
        <v>12</v>
      </c>
      <c r="N3713" s="4">
        <f t="shared" si="1"/>
        <v>43643</v>
      </c>
      <c r="O3713" s="5" t="str">
        <f>IFERROR(__xludf.DUMMYFUNCTION("IF(REGEXMATCH(TRIM(I3713), ""^\d+\s*min""), ""Unclassified"", IF(I3713 = """", ""NR"", I3713))"),"TV-MA")</f>
        <v>TV-MA</v>
      </c>
      <c r="R3713" s="5" t="str">
        <f t="shared" si="2"/>
        <v>Daniel Sosa: Maleducado</v>
      </c>
      <c r="S3713" s="5" t="str">
        <f>IFERROR(__xludf.DUMMYFUNCTION("""COMPUTED_VALUE"""),"Kannum Kannum Kollaiyadithaal")</f>
        <v>Kannum Kannum Kollaiyadithaal</v>
      </c>
      <c r="U3713" s="5" t="str">
        <f>IFERROR(__xludf.DUMMYFUNCTION("""COMPUTED_VALUE"""),"Oliver Blackburn")</f>
        <v>Oliver Blackburn</v>
      </c>
      <c r="V3713" s="5" t="s">
        <v>20208</v>
      </c>
      <c r="W3713" s="5" t="str">
        <f t="shared" si="3"/>
        <v>Sam O'Steen</v>
      </c>
      <c r="X3713" s="5">
        <f t="shared" si="4"/>
        <v>1</v>
      </c>
      <c r="Y3713" s="5" t="str">
        <f>IFERROR(__xludf.DUMMYFUNCTION("REGEXEXTRACT(J3713, ""^\d+"")"),"55")</f>
        <v>55</v>
      </c>
      <c r="Z3713" s="5" t="str">
        <f>IFERROR(__xludf.DUMMYFUNCTION("REGEXEXTRACT(J3713, ""[A-Za-z ]+$"")")," min")</f>
        <v> min</v>
      </c>
      <c r="AA3713" s="5" t="str">
        <f>IFERROR(__xludf.DUMMYFUNCTION("IF(REGEXMATCH(Z3713, ""Season""), ""TV Show"", ""Movie"")"),"Movie")</f>
        <v>Movie</v>
      </c>
    </row>
    <row r="3714">
      <c r="A3714" s="1" t="s">
        <v>20209</v>
      </c>
      <c r="B3714" s="1" t="s">
        <v>27</v>
      </c>
      <c r="C3714" s="1" t="s">
        <v>20210</v>
      </c>
      <c r="E3714" s="1" t="s">
        <v>20211</v>
      </c>
      <c r="F3714" s="1" t="s">
        <v>415</v>
      </c>
      <c r="G3714" s="1" t="s">
        <v>20212</v>
      </c>
      <c r="H3714" s="1">
        <v>2018.0</v>
      </c>
      <c r="I3714" s="1" t="s">
        <v>136</v>
      </c>
      <c r="J3714" s="1" t="s">
        <v>2274</v>
      </c>
      <c r="K3714" s="1" t="s">
        <v>1939</v>
      </c>
      <c r="L3714" s="1" t="s">
        <v>20213</v>
      </c>
      <c r="M3714" s="2" t="s">
        <v>12</v>
      </c>
      <c r="N3714" s="4">
        <f t="shared" si="1"/>
        <v>43642</v>
      </c>
      <c r="O3714" s="5" t="str">
        <f>IFERROR(__xludf.DUMMYFUNCTION("IF(REGEXMATCH(TRIM(I3714), ""^\d+\s*min""), ""Unclassified"", IF(I3714 = """", ""NR"", I3714))"),"TV-PG")</f>
        <v>TV-PG</v>
      </c>
      <c r="R3714" s="5" t="str">
        <f t="shared" si="2"/>
        <v>Hikaru Utada Laughter In The Dark Tour 2018</v>
      </c>
      <c r="S3714" s="5" t="str">
        <f>IFERROR(__xludf.DUMMYFUNCTION("""COMPUTED_VALUE"""),"Kantaro: The Sweet Tooth Salaryman")</f>
        <v>Kantaro: The Sweet Tooth Salaryman</v>
      </c>
      <c r="U3714" s="5" t="str">
        <f>IFERROR(__xludf.DUMMYFUNCTION("""COMPUTED_VALUE"""),"William H. Macy")</f>
        <v>William H. Macy</v>
      </c>
      <c r="V3714" s="5" t="s">
        <v>20214</v>
      </c>
      <c r="W3714" s="5" t="str">
        <f t="shared" si="3"/>
        <v>Sam Patton</v>
      </c>
      <c r="X3714" s="5">
        <f t="shared" si="4"/>
        <v>1</v>
      </c>
      <c r="Y3714" s="5" t="str">
        <f>IFERROR(__xludf.DUMMYFUNCTION("REGEXEXTRACT(J3714, ""^\d+"")"),"141")</f>
        <v>141</v>
      </c>
      <c r="Z3714" s="5" t="str">
        <f>IFERROR(__xludf.DUMMYFUNCTION("REGEXEXTRACT(J3714, ""[A-Za-z ]+$"")")," min")</f>
        <v> min</v>
      </c>
      <c r="AA3714" s="5" t="str">
        <f>IFERROR(__xludf.DUMMYFUNCTION("IF(REGEXMATCH(Z3714, ""Season""), ""TV Show"", ""Movie"")"),"Movie")</f>
        <v>Movie</v>
      </c>
    </row>
    <row r="3715">
      <c r="A3715" s="1" t="s">
        <v>20215</v>
      </c>
      <c r="B3715" s="1" t="s">
        <v>27</v>
      </c>
      <c r="C3715" s="1" t="s">
        <v>20216</v>
      </c>
      <c r="D3715" s="1" t="s">
        <v>19740</v>
      </c>
      <c r="E3715" s="1" t="s">
        <v>20217</v>
      </c>
      <c r="F3715" s="1" t="s">
        <v>63</v>
      </c>
      <c r="G3715" s="1" t="s">
        <v>20212</v>
      </c>
      <c r="H3715" s="1">
        <v>2012.0</v>
      </c>
      <c r="I3715" s="1" t="s">
        <v>97</v>
      </c>
      <c r="J3715" s="1" t="s">
        <v>393</v>
      </c>
      <c r="K3715" s="1" t="s">
        <v>20218</v>
      </c>
      <c r="L3715" s="1" t="s">
        <v>20219</v>
      </c>
      <c r="M3715" s="2" t="s">
        <v>12</v>
      </c>
      <c r="N3715" s="4">
        <f t="shared" si="1"/>
        <v>43642</v>
      </c>
      <c r="O3715" s="5" t="str">
        <f>IFERROR(__xludf.DUMMYFUNCTION("IF(REGEXMATCH(TRIM(I3715), ""^\d+\s*min""), ""Unclassified"", IF(I3715 = """", ""NR"", I3715))"),"TV-14")</f>
        <v>TV-14</v>
      </c>
      <c r="R3715" s="5" t="str">
        <f t="shared" si="2"/>
        <v>Kahaani</v>
      </c>
      <c r="S3715" s="5" t="str">
        <f>IFERROR(__xludf.DUMMYFUNCTION("""COMPUTED_VALUE"""),"Kapoor &amp; Sons")</f>
        <v>Kapoor &amp; Sons</v>
      </c>
      <c r="U3715" s="5" t="str">
        <f>IFERROR(__xludf.DUMMYFUNCTION("""COMPUTED_VALUE"""),"Remy Kohli")</f>
        <v>Remy Kohli</v>
      </c>
      <c r="V3715" s="5" t="s">
        <v>20220</v>
      </c>
      <c r="W3715" s="5" t="str">
        <f t="shared" si="3"/>
        <v>Sam Raimi</v>
      </c>
      <c r="X3715" s="5">
        <f t="shared" si="4"/>
        <v>2</v>
      </c>
      <c r="Y3715" s="5" t="str">
        <f>IFERROR(__xludf.DUMMYFUNCTION("REGEXEXTRACT(J3715, ""^\d+"")"),"122")</f>
        <v>122</v>
      </c>
      <c r="Z3715" s="5" t="str">
        <f>IFERROR(__xludf.DUMMYFUNCTION("REGEXEXTRACT(J3715, ""[A-Za-z ]+$"")")," min")</f>
        <v> min</v>
      </c>
      <c r="AA3715" s="5" t="str">
        <f>IFERROR(__xludf.DUMMYFUNCTION("IF(REGEXMATCH(Z3715, ""Season""), ""TV Show"", ""Movie"")"),"Movie")</f>
        <v>Movie</v>
      </c>
    </row>
    <row r="3716">
      <c r="A3716" s="1" t="s">
        <v>20221</v>
      </c>
      <c r="B3716" s="1" t="s">
        <v>27</v>
      </c>
      <c r="C3716" s="1" t="s">
        <v>20222</v>
      </c>
      <c r="D3716" s="1" t="s">
        <v>20223</v>
      </c>
      <c r="F3716" s="1" t="s">
        <v>63</v>
      </c>
      <c r="G3716" s="1" t="s">
        <v>20212</v>
      </c>
      <c r="H3716" s="1">
        <v>2019.0</v>
      </c>
      <c r="I3716" s="1" t="s">
        <v>97</v>
      </c>
      <c r="J3716" s="1" t="s">
        <v>1065</v>
      </c>
      <c r="K3716" s="1" t="s">
        <v>156</v>
      </c>
      <c r="L3716" s="1" t="s">
        <v>20224</v>
      </c>
      <c r="M3716" s="2" t="s">
        <v>12</v>
      </c>
      <c r="N3716" s="4">
        <f t="shared" si="1"/>
        <v>43642</v>
      </c>
      <c r="O3716" s="5" t="str">
        <f>IFERROR(__xludf.DUMMYFUNCTION("IF(REGEXMATCH(TRIM(I3716), ""^\d+\s*min""), ""Unclassified"", IF(I3716 = """", ""NR"", I3716))"),"TV-14")</f>
        <v>TV-14</v>
      </c>
      <c r="R3716" s="5" t="str">
        <f t="shared" si="2"/>
        <v>Unbroken</v>
      </c>
      <c r="S3716" s="5" t="str">
        <f>IFERROR(__xludf.DUMMYFUNCTION("""COMPUTED_VALUE"""),"Kappela")</f>
        <v>Kappela</v>
      </c>
      <c r="U3716" s="5" t="str">
        <f>IFERROR(__xludf.DUMMYFUNCTION("""COMPUTED_VALUE"""),"Stephen Chow")</f>
        <v>Stephen Chow</v>
      </c>
      <c r="V3716" s="5" t="s">
        <v>13749</v>
      </c>
      <c r="W3716" s="5" t="str">
        <f t="shared" si="3"/>
        <v>Sam Rega</v>
      </c>
      <c r="X3716" s="5">
        <f t="shared" si="4"/>
        <v>1</v>
      </c>
      <c r="Y3716" s="5" t="str">
        <f>IFERROR(__xludf.DUMMYFUNCTION("REGEXEXTRACT(J3716, ""^\d+"")"),"109")</f>
        <v>109</v>
      </c>
      <c r="Z3716" s="5" t="str">
        <f>IFERROR(__xludf.DUMMYFUNCTION("REGEXEXTRACT(J3716, ""[A-Za-z ]+$"")")," min")</f>
        <v> min</v>
      </c>
      <c r="AA3716" s="5" t="str">
        <f>IFERROR(__xludf.DUMMYFUNCTION("IF(REGEXMATCH(Z3716, ""Season""), ""TV Show"", ""Movie"")"),"Movie")</f>
        <v>Movie</v>
      </c>
    </row>
    <row r="3717">
      <c r="A3717" s="1" t="s">
        <v>20225</v>
      </c>
      <c r="B3717" s="1" t="s">
        <v>27</v>
      </c>
      <c r="C3717" s="1" t="s">
        <v>20226</v>
      </c>
      <c r="D3717" s="1" t="s">
        <v>12803</v>
      </c>
      <c r="E3717" s="1" t="s">
        <v>20227</v>
      </c>
      <c r="F3717" s="1" t="s">
        <v>30</v>
      </c>
      <c r="G3717" s="1" t="s">
        <v>20228</v>
      </c>
      <c r="H3717" s="1">
        <v>2019.0</v>
      </c>
      <c r="I3717" s="1" t="s">
        <v>42</v>
      </c>
      <c r="J3717" s="1" t="s">
        <v>919</v>
      </c>
      <c r="K3717" s="1" t="s">
        <v>1839</v>
      </c>
      <c r="L3717" s="1" t="s">
        <v>20229</v>
      </c>
      <c r="M3717" s="2" t="s">
        <v>12</v>
      </c>
      <c r="N3717" s="4">
        <f t="shared" si="1"/>
        <v>43641</v>
      </c>
      <c r="O3717" s="5" t="str">
        <f>IFERROR(__xludf.DUMMYFUNCTION("IF(REGEXMATCH(TRIM(I3717), ""^\d+\s*min""), ""Unclassified"", IF(I3717 = """", ""NR"", I3717))"),"TV-MA")</f>
        <v>TV-MA</v>
      </c>
      <c r="R3717" s="5" t="str">
        <f t="shared" si="2"/>
        <v>Mike Epps: Only One Mike</v>
      </c>
      <c r="S3717" s="5" t="str">
        <f>IFERROR(__xludf.DUMMYFUNCTION("""COMPUTED_VALUE"""),"Kara Bela")</f>
        <v>Kara Bela</v>
      </c>
      <c r="U3717" s="5" t="str">
        <f>IFERROR(__xludf.DUMMYFUNCTION("""COMPUTED_VALUE"""),"Andrés Couturier")</f>
        <v>Andrés Couturier</v>
      </c>
      <c r="V3717" s="5" t="s">
        <v>20230</v>
      </c>
      <c r="W3717" s="5" t="str">
        <f t="shared" si="3"/>
        <v>Sam Taplin</v>
      </c>
      <c r="X3717" s="5">
        <f t="shared" si="4"/>
        <v>2</v>
      </c>
      <c r="Y3717" s="5" t="str">
        <f>IFERROR(__xludf.DUMMYFUNCTION("REGEXEXTRACT(J3717, ""^\d+"")"),"63")</f>
        <v>63</v>
      </c>
      <c r="Z3717" s="5" t="str">
        <f>IFERROR(__xludf.DUMMYFUNCTION("REGEXEXTRACT(J3717, ""[A-Za-z ]+$"")")," min")</f>
        <v> min</v>
      </c>
      <c r="AA3717" s="5" t="str">
        <f>IFERROR(__xludf.DUMMYFUNCTION("IF(REGEXMATCH(Z3717, ""Season""), ""TV Show"", ""Movie"")"),"Movie")</f>
        <v>Movie</v>
      </c>
    </row>
    <row r="3718">
      <c r="A3718" s="1" t="s">
        <v>20231</v>
      </c>
      <c r="B3718" s="1" t="s">
        <v>37</v>
      </c>
      <c r="C3718" s="1" t="s">
        <v>20232</v>
      </c>
      <c r="E3718" s="1" t="s">
        <v>20233</v>
      </c>
      <c r="F3718" s="1" t="s">
        <v>415</v>
      </c>
      <c r="G3718" s="1" t="s">
        <v>20234</v>
      </c>
      <c r="H3718" s="1">
        <v>2019.0</v>
      </c>
      <c r="I3718" s="1" t="s">
        <v>97</v>
      </c>
      <c r="J3718" s="1" t="s">
        <v>43</v>
      </c>
      <c r="K3718" s="1" t="s">
        <v>567</v>
      </c>
      <c r="L3718" s="1" t="s">
        <v>20235</v>
      </c>
      <c r="M3718" s="2" t="s">
        <v>12</v>
      </c>
      <c r="N3718" s="4">
        <f t="shared" si="1"/>
        <v>43640</v>
      </c>
      <c r="O3718" s="5" t="str">
        <f>IFERROR(__xludf.DUMMYFUNCTION("IF(REGEXMATCH(TRIM(I3718), ""^\d+\s*min""), ""Unclassified"", IF(I3718 = """", ""NR"", I3718))"),"TV-14")</f>
        <v>TV-14</v>
      </c>
      <c r="R3718" s="5" t="str">
        <f t="shared" si="2"/>
        <v>Forest Of Piano</v>
      </c>
      <c r="S3718" s="5" t="str">
        <f>IFERROR(__xludf.DUMMYFUNCTION("""COMPUTED_VALUE"""),"Kardec")</f>
        <v>Kardec</v>
      </c>
      <c r="U3718" s="5" t="str">
        <f>IFERROR(__xludf.DUMMYFUNCTION("""COMPUTED_VALUE"""),"Stanley Tong")</f>
        <v>Stanley Tong</v>
      </c>
      <c r="V3718" s="5" t="s">
        <v>20236</v>
      </c>
      <c r="W3718" s="5" t="str">
        <f t="shared" si="3"/>
        <v>Sam Taylor-Johnson</v>
      </c>
      <c r="X3718" s="5">
        <f t="shared" si="4"/>
        <v>1</v>
      </c>
      <c r="Y3718" s="5" t="str">
        <f>IFERROR(__xludf.DUMMYFUNCTION("REGEXEXTRACT(J3718, ""^\d+"")"),"2")</f>
        <v>2</v>
      </c>
      <c r="Z3718" s="5" t="str">
        <f>IFERROR(__xludf.DUMMYFUNCTION("REGEXEXTRACT(J3718, ""[A-Za-z ]+$"")")," Seasons")</f>
        <v> Seasons</v>
      </c>
      <c r="AA3718" s="5" t="str">
        <f>IFERROR(__xludf.DUMMYFUNCTION("IF(REGEXMATCH(Z3718, ""Season""), ""TV Show"", ""Movie"")"),"TV Show")</f>
        <v>TV Show</v>
      </c>
    </row>
    <row r="3719">
      <c r="A3719" s="1" t="s">
        <v>20237</v>
      </c>
      <c r="B3719" s="1" t="s">
        <v>27</v>
      </c>
      <c r="C3719" s="1" t="s">
        <v>20238</v>
      </c>
      <c r="D3719" s="1" t="s">
        <v>10898</v>
      </c>
      <c r="E3719" s="1" t="s">
        <v>20239</v>
      </c>
      <c r="F3719" s="1" t="s">
        <v>20240</v>
      </c>
      <c r="G3719" s="1" t="s">
        <v>20241</v>
      </c>
      <c r="H3719" s="1">
        <v>2019.0</v>
      </c>
      <c r="I3719" s="1" t="s">
        <v>378</v>
      </c>
      <c r="J3719" s="1" t="s">
        <v>322</v>
      </c>
      <c r="K3719" s="1" t="s">
        <v>1066</v>
      </c>
      <c r="L3719" s="1" t="s">
        <v>20242</v>
      </c>
      <c r="M3719" s="2" t="s">
        <v>12</v>
      </c>
      <c r="N3719" s="4">
        <f t="shared" si="1"/>
        <v>43638</v>
      </c>
      <c r="O3719" s="5" t="str">
        <f>IFERROR(__xludf.DUMMYFUNCTION("IF(REGEXMATCH(TRIM(I3719), ""^\d+\s*min""), ""Unclassified"", IF(I3719 = """", ""NR"", I3719))"),"R")</f>
        <v>R</v>
      </c>
      <c r="R3719" s="5" t="str">
        <f t="shared" si="2"/>
        <v>Triple Threat</v>
      </c>
      <c r="S3719" s="5" t="str">
        <f>IFERROR(__xludf.DUMMYFUNCTION("""COMPUTED_VALUE"""),"Karkar")</f>
        <v>Karkar</v>
      </c>
      <c r="U3719" s="5" t="str">
        <f>IFERROR(__xludf.DUMMYFUNCTION("""COMPUTED_VALUE"""),"Suresh Pillai")</f>
        <v>Suresh Pillai</v>
      </c>
      <c r="V3719" s="5" t="s">
        <v>20243</v>
      </c>
      <c r="W3719" s="5" t="str">
        <f t="shared" si="3"/>
        <v>Sam Upton</v>
      </c>
      <c r="X3719" s="5">
        <f t="shared" si="4"/>
        <v>1</v>
      </c>
      <c r="Y3719" s="5" t="str">
        <f>IFERROR(__xludf.DUMMYFUNCTION("REGEXEXTRACT(J3719, ""^\d+"")"),"96")</f>
        <v>96</v>
      </c>
      <c r="Z3719" s="5" t="str">
        <f>IFERROR(__xludf.DUMMYFUNCTION("REGEXEXTRACT(J3719, ""[A-Za-z ]+$"")")," min")</f>
        <v> min</v>
      </c>
      <c r="AA3719" s="5" t="str">
        <f>IFERROR(__xludf.DUMMYFUNCTION("IF(REGEXMATCH(Z3719, ""Season""), ""TV Show"", ""Movie"")"),"Movie")</f>
        <v>Movie</v>
      </c>
    </row>
    <row r="3720">
      <c r="A3720" s="1" t="s">
        <v>20244</v>
      </c>
      <c r="B3720" s="1" t="s">
        <v>27</v>
      </c>
      <c r="C3720" s="1" t="s">
        <v>20245</v>
      </c>
      <c r="D3720" s="1" t="s">
        <v>15969</v>
      </c>
      <c r="E3720" s="1" t="s">
        <v>20246</v>
      </c>
      <c r="F3720" s="1" t="s">
        <v>20247</v>
      </c>
      <c r="G3720" s="1" t="s">
        <v>20248</v>
      </c>
      <c r="H3720" s="1">
        <v>2019.0</v>
      </c>
      <c r="I3720" s="1" t="s">
        <v>42</v>
      </c>
      <c r="J3720" s="1" t="s">
        <v>519</v>
      </c>
      <c r="K3720" s="1" t="s">
        <v>89</v>
      </c>
      <c r="L3720" s="1" t="s">
        <v>20249</v>
      </c>
      <c r="M3720" s="2" t="s">
        <v>12</v>
      </c>
      <c r="N3720" s="4">
        <f t="shared" si="1"/>
        <v>43637</v>
      </c>
      <c r="O3720" s="5" t="str">
        <f>IFERROR(__xludf.DUMMYFUNCTION("IF(REGEXMATCH(TRIM(I3720), ""^\d+\s*min""), ""Unclassified"", IF(I3720 = """", ""NR"", I3720))"),"TV-MA")</f>
        <v>TV-MA</v>
      </c>
      <c r="R3720" s="5" t="str">
        <f t="shared" si="2"/>
        <v>Blood Will Tell</v>
      </c>
      <c r="S3720" s="5" t="str">
        <f>IFERROR(__xludf.DUMMYFUNCTION("""COMPUTED_VALUE"""),"Karol Modzelewski, Łukasz „Lotek” Lodkowski No Offense")</f>
        <v>Karol Modzelewski, Łukasz „Lotek” Lodkowski No Offense</v>
      </c>
      <c r="U3720" s="5" t="str">
        <f>IFERROR(__xludf.DUMMYFUNCTION("""COMPUTED_VALUE"""),"Yusuf Pirhasan")</f>
        <v>Yusuf Pirhasan</v>
      </c>
      <c r="V3720" s="5" t="s">
        <v>20250</v>
      </c>
      <c r="W3720" s="5" t="str">
        <f t="shared" si="3"/>
        <v>Sam Voutas</v>
      </c>
      <c r="X3720" s="5">
        <f t="shared" si="4"/>
        <v>1</v>
      </c>
      <c r="Y3720" s="5" t="str">
        <f>IFERROR(__xludf.DUMMYFUNCTION("REGEXEXTRACT(J3720, ""^\d+"")"),"113")</f>
        <v>113</v>
      </c>
      <c r="Z3720" s="5" t="str">
        <f>IFERROR(__xludf.DUMMYFUNCTION("REGEXEXTRACT(J3720, ""[A-Za-z ]+$"")")," min")</f>
        <v> min</v>
      </c>
      <c r="AA3720" s="5" t="str">
        <f>IFERROR(__xludf.DUMMYFUNCTION("IF(REGEXMATCH(Z3720, ""Season""), ""TV Show"", ""Movie"")"),"Movie")</f>
        <v>Movie</v>
      </c>
    </row>
    <row r="3721">
      <c r="A3721" s="1" t="s">
        <v>20251</v>
      </c>
      <c r="B3721" s="1" t="s">
        <v>37</v>
      </c>
      <c r="C3721" s="1" t="s">
        <v>20252</v>
      </c>
      <c r="D3721" s="1" t="s">
        <v>14051</v>
      </c>
      <c r="E3721" s="1" t="s">
        <v>20253</v>
      </c>
      <c r="F3721" s="1" t="s">
        <v>1837</v>
      </c>
      <c r="G3721" s="1" t="s">
        <v>20248</v>
      </c>
      <c r="H3721" s="1">
        <v>2019.0</v>
      </c>
      <c r="I3721" s="1" t="s">
        <v>42</v>
      </c>
      <c r="J3721" s="1" t="s">
        <v>51</v>
      </c>
      <c r="K3721" s="1" t="s">
        <v>1822</v>
      </c>
      <c r="L3721" s="1" t="s">
        <v>20254</v>
      </c>
      <c r="M3721" s="2" t="s">
        <v>12</v>
      </c>
      <c r="N3721" s="4">
        <f t="shared" si="1"/>
        <v>43637</v>
      </c>
      <c r="O3721" s="5" t="str">
        <f>IFERROR(__xludf.DUMMYFUNCTION("IF(REGEXMATCH(TRIM(I3721), ""^\d+\s*min""), ""Unclassified"", IF(I3721 = """", ""NR"", I3721))"),"TV-MA")</f>
        <v>TV-MA</v>
      </c>
      <c r="R3721" s="5" t="str">
        <f t="shared" si="2"/>
        <v>Bolívar</v>
      </c>
      <c r="S3721" s="5" t="str">
        <f>IFERROR(__xludf.DUMMYFUNCTION("""COMPUTED_VALUE"""),"Karthik Calling Karthik")</f>
        <v>Karthik Calling Karthik</v>
      </c>
      <c r="U3721" s="5" t="str">
        <f>IFERROR(__xludf.DUMMYFUNCTION("""COMPUTED_VALUE"""),"Devin Chanda")</f>
        <v>Devin Chanda</v>
      </c>
      <c r="V3721" s="5" t="s">
        <v>20255</v>
      </c>
      <c r="W3721" s="5" t="str">
        <f t="shared" si="3"/>
        <v>Sam Wrench</v>
      </c>
      <c r="X3721" s="5">
        <f t="shared" si="4"/>
        <v>1</v>
      </c>
      <c r="Y3721" s="5" t="str">
        <f>IFERROR(__xludf.DUMMYFUNCTION("REGEXEXTRACT(J3721, ""^\d+"")"),"1")</f>
        <v>1</v>
      </c>
      <c r="Z3721" s="5" t="str">
        <f>IFERROR(__xludf.DUMMYFUNCTION("REGEXEXTRACT(J3721, ""[A-Za-z ]+$"")")," Season")</f>
        <v> Season</v>
      </c>
      <c r="AA3721" s="5" t="str">
        <f>IFERROR(__xludf.DUMMYFUNCTION("IF(REGEXMATCH(Z3721, ""Season""), ""TV Show"", ""Movie"")"),"TV Show")</f>
        <v>TV Show</v>
      </c>
    </row>
    <row r="3722">
      <c r="A3722" s="1" t="s">
        <v>20256</v>
      </c>
      <c r="B3722" s="1" t="s">
        <v>27</v>
      </c>
      <c r="C3722" s="1" t="s">
        <v>20257</v>
      </c>
      <c r="D3722" s="1" t="s">
        <v>9305</v>
      </c>
      <c r="E3722" s="1" t="s">
        <v>20258</v>
      </c>
      <c r="F3722" s="1" t="s">
        <v>415</v>
      </c>
      <c r="G3722" s="1" t="s">
        <v>20248</v>
      </c>
      <c r="H3722" s="1">
        <v>1998.0</v>
      </c>
      <c r="I3722" s="1" t="s">
        <v>42</v>
      </c>
      <c r="J3722" s="1" t="s">
        <v>1993</v>
      </c>
      <c r="K3722" s="1" t="s">
        <v>417</v>
      </c>
      <c r="L3722" s="1" t="s">
        <v>20259</v>
      </c>
      <c r="M3722" s="2" t="s">
        <v>12</v>
      </c>
      <c r="N3722" s="4">
        <f t="shared" si="1"/>
        <v>43637</v>
      </c>
      <c r="O3722" s="5" t="str">
        <f>IFERROR(__xludf.DUMMYFUNCTION("IF(REGEXMATCH(TRIM(I3722), ""^\d+\s*min""), ""Unclassified"", IF(I3722 = """", ""NR"", I3722))"),"TV-MA")</f>
        <v>TV-MA</v>
      </c>
      <c r="R3722" s="5" t="str">
        <f t="shared" si="2"/>
        <v>Evangelion: Death (True)²</v>
      </c>
      <c r="S3722" s="5" t="str">
        <f>IFERROR(__xludf.DUMMYFUNCTION("""COMPUTED_VALUE"""),"Kartini: Princess Of Java")</f>
        <v>Kartini: Princess Of Java</v>
      </c>
      <c r="U3722" s="5" t="str">
        <f>IFERROR(__xludf.DUMMYFUNCTION("""COMPUTED_VALUE"""),"Samir Karnik")</f>
        <v>Samir Karnik</v>
      </c>
      <c r="V3722" s="5" t="s">
        <v>20260</v>
      </c>
      <c r="W3722" s="5" t="str">
        <f t="shared" si="3"/>
        <v>Samar Khan</v>
      </c>
      <c r="X3722" s="5">
        <f t="shared" si="4"/>
        <v>1</v>
      </c>
      <c r="Y3722" s="5" t="str">
        <f>IFERROR(__xludf.DUMMYFUNCTION("REGEXEXTRACT(J3722, ""^\d+"")"),"69")</f>
        <v>69</v>
      </c>
      <c r="Z3722" s="5" t="str">
        <f>IFERROR(__xludf.DUMMYFUNCTION("REGEXEXTRACT(J3722, ""[A-Za-z ]+$"")")," min")</f>
        <v> min</v>
      </c>
      <c r="AA3722" s="5" t="str">
        <f>IFERROR(__xludf.DUMMYFUNCTION("IF(REGEXMATCH(Z3722, ""Season""), ""TV Show"", ""Movie"")"),"Movie")</f>
        <v>Movie</v>
      </c>
    </row>
    <row r="3723">
      <c r="A3723" s="1" t="s">
        <v>20261</v>
      </c>
      <c r="B3723" s="1" t="s">
        <v>37</v>
      </c>
      <c r="C3723" s="1" t="s">
        <v>20262</v>
      </c>
      <c r="F3723" s="1" t="s">
        <v>30</v>
      </c>
      <c r="G3723" s="1" t="s">
        <v>20248</v>
      </c>
      <c r="H3723" s="1">
        <v>2019.0</v>
      </c>
      <c r="I3723" s="1" t="s">
        <v>42</v>
      </c>
      <c r="J3723" s="1" t="s">
        <v>43</v>
      </c>
      <c r="K3723" s="1" t="s">
        <v>57</v>
      </c>
      <c r="L3723" s="1" t="s">
        <v>20263</v>
      </c>
      <c r="M3723" s="2" t="s">
        <v>12</v>
      </c>
      <c r="N3723" s="4">
        <f t="shared" si="1"/>
        <v>43637</v>
      </c>
      <c r="O3723" s="5" t="str">
        <f>IFERROR(__xludf.DUMMYFUNCTION("IF(REGEXMATCH(TRIM(I3723), ""^\d+\s*min""), ""Unclassified"", IF(I3723 = """", ""NR"", I3723))"),"TV-MA")</f>
        <v>TV-MA</v>
      </c>
      <c r="R3723" s="5" t="str">
        <f t="shared" si="2"/>
        <v>Girls Incarcerated</v>
      </c>
      <c r="S3723" s="5" t="str">
        <f>IFERROR(__xludf.DUMMYFUNCTION("""COMPUTED_VALUE"""),"Karzzzz")</f>
        <v>Karzzzz</v>
      </c>
      <c r="U3723" s="5" t="str">
        <f>IFERROR(__xludf.DUMMYFUNCTION("""COMPUTED_VALUE"""),"Leandro Mark, Nicolás Silbert")</f>
        <v>Leandro Mark, Nicolás Silbert</v>
      </c>
      <c r="V3723" s="5" t="s">
        <v>8650</v>
      </c>
      <c r="W3723" s="5" t="str">
        <f t="shared" si="3"/>
        <v>Samar Shaikh</v>
      </c>
      <c r="X3723" s="5">
        <f t="shared" si="4"/>
        <v>1</v>
      </c>
      <c r="Y3723" s="5" t="str">
        <f>IFERROR(__xludf.DUMMYFUNCTION("REGEXEXTRACT(J3723, ""^\d+"")"),"2")</f>
        <v>2</v>
      </c>
      <c r="Z3723" s="5" t="str">
        <f>IFERROR(__xludf.DUMMYFUNCTION("REGEXEXTRACT(J3723, ""[A-Za-z ]+$"")")," Seasons")</f>
        <v> Seasons</v>
      </c>
      <c r="AA3723" s="5" t="str">
        <f>IFERROR(__xludf.DUMMYFUNCTION("IF(REGEXMATCH(Z3723, ""Season""), ""TV Show"", ""Movie"")"),"TV Show")</f>
        <v>TV Show</v>
      </c>
    </row>
    <row r="3724">
      <c r="A3724" s="1" t="s">
        <v>20264</v>
      </c>
      <c r="B3724" s="1" t="s">
        <v>37</v>
      </c>
      <c r="C3724" s="1" t="s">
        <v>20265</v>
      </c>
      <c r="E3724" s="1" t="s">
        <v>20266</v>
      </c>
      <c r="F3724" s="1" t="s">
        <v>1815</v>
      </c>
      <c r="G3724" s="1" t="s">
        <v>20248</v>
      </c>
      <c r="H3724" s="1">
        <v>2019.0</v>
      </c>
      <c r="I3724" s="1" t="s">
        <v>136</v>
      </c>
      <c r="J3724" s="1" t="s">
        <v>43</v>
      </c>
      <c r="K3724" s="1" t="s">
        <v>20267</v>
      </c>
      <c r="L3724" s="1" t="s">
        <v>20268</v>
      </c>
      <c r="M3724" s="2" t="s">
        <v>12</v>
      </c>
      <c r="N3724" s="4">
        <f t="shared" si="1"/>
        <v>43637</v>
      </c>
      <c r="O3724" s="5" t="str">
        <f>IFERROR(__xludf.DUMMYFUNCTION("IF(REGEXMATCH(TRIM(I3724), ""^\d+\s*min""), ""Unclassified"", IF(I3724 = """", ""NR"", I3724))"),"TV-PG")</f>
        <v>TV-PG</v>
      </c>
      <c r="R3724" s="5" t="str">
        <f t="shared" si="2"/>
        <v>Go! Live Your Way</v>
      </c>
      <c r="S3724" s="5" t="str">
        <f>IFERROR(__xludf.DUMMYFUNCTION("""COMPUTED_VALUE"""),"Kasanova")</f>
        <v>Kasanova</v>
      </c>
      <c r="U3724" s="5" t="str">
        <f>IFERROR(__xludf.DUMMYFUNCTION("""COMPUTED_VALUE"""),"Giulio Base")</f>
        <v>Giulio Base</v>
      </c>
      <c r="V3724" s="5" t="s">
        <v>11626</v>
      </c>
      <c r="W3724" s="5" t="str">
        <f t="shared" si="3"/>
        <v>Sameer Patil</v>
      </c>
      <c r="X3724" s="5">
        <f t="shared" si="4"/>
        <v>1</v>
      </c>
      <c r="Y3724" s="5" t="str">
        <f>IFERROR(__xludf.DUMMYFUNCTION("REGEXEXTRACT(J3724, ""^\d+"")"),"2")</f>
        <v>2</v>
      </c>
      <c r="Z3724" s="5" t="str">
        <f>IFERROR(__xludf.DUMMYFUNCTION("REGEXEXTRACT(J3724, ""[A-Za-z ]+$"")")," Seasons")</f>
        <v> Seasons</v>
      </c>
      <c r="AA3724" s="5" t="str">
        <f>IFERROR(__xludf.DUMMYFUNCTION("IF(REGEXMATCH(Z3724, ""Season""), ""TV Show"", ""Movie"")"),"TV Show")</f>
        <v>TV Show</v>
      </c>
    </row>
    <row r="3725">
      <c r="A3725" s="1" t="s">
        <v>20269</v>
      </c>
      <c r="B3725" s="1" t="s">
        <v>37</v>
      </c>
      <c r="C3725" s="1" t="s">
        <v>20270</v>
      </c>
      <c r="E3725" s="1" t="s">
        <v>20271</v>
      </c>
      <c r="F3725" s="1" t="s">
        <v>415</v>
      </c>
      <c r="G3725" s="1" t="s">
        <v>20248</v>
      </c>
      <c r="H3725" s="1">
        <v>2013.0</v>
      </c>
      <c r="I3725" s="1" t="s">
        <v>42</v>
      </c>
      <c r="J3725" s="1" t="s">
        <v>43</v>
      </c>
      <c r="K3725" s="1" t="s">
        <v>567</v>
      </c>
      <c r="L3725" s="1" t="s">
        <v>20272</v>
      </c>
      <c r="M3725" s="2" t="s">
        <v>12</v>
      </c>
      <c r="N3725" s="4">
        <f t="shared" si="1"/>
        <v>43637</v>
      </c>
      <c r="O3725" s="5" t="str">
        <f>IFERROR(__xludf.DUMMYFUNCTION("IF(REGEXMATCH(TRIM(I3725), ""^\d+\s*min""), ""Unclassified"", IF(I3725 = """", ""NR"", I3725))"),"TV-MA")</f>
        <v>TV-MA</v>
      </c>
      <c r="R3725" s="5" t="str">
        <f t="shared" si="2"/>
        <v>Magi: The Labyrinth Of Magic</v>
      </c>
      <c r="S3725" s="5" t="str">
        <f>IFERROR(__xludf.DUMMYFUNCTION("""COMPUTED_VALUE"""),"Katarzyna Piasecka, Rafał Pacześ Seriously Funny")</f>
        <v>Katarzyna Piasecka, Rafał Pacześ Seriously Funny</v>
      </c>
      <c r="U3725" s="5" t="str">
        <f>IFERROR(__xludf.DUMMYFUNCTION("""COMPUTED_VALUE"""),"Alejandro Lozano")</f>
        <v>Alejandro Lozano</v>
      </c>
      <c r="V3725" s="5" t="s">
        <v>20273</v>
      </c>
      <c r="W3725" s="5" t="str">
        <f t="shared" si="3"/>
        <v>Sameer Sharma</v>
      </c>
      <c r="X3725" s="5">
        <f t="shared" si="4"/>
        <v>1</v>
      </c>
      <c r="Y3725" s="5" t="str">
        <f>IFERROR(__xludf.DUMMYFUNCTION("REGEXEXTRACT(J3725, ""^\d+"")"),"2")</f>
        <v>2</v>
      </c>
      <c r="Z3725" s="5" t="str">
        <f>IFERROR(__xludf.DUMMYFUNCTION("REGEXEXTRACT(J3725, ""[A-Za-z ]+$"")")," Seasons")</f>
        <v> Seasons</v>
      </c>
      <c r="AA3725" s="5" t="str">
        <f>IFERROR(__xludf.DUMMYFUNCTION("IF(REGEXMATCH(Z3725, ""Season""), ""TV Show"", ""Movie"")"),"TV Show")</f>
        <v>TV Show</v>
      </c>
    </row>
    <row r="3726">
      <c r="A3726" s="1" t="s">
        <v>20274</v>
      </c>
      <c r="B3726" s="1" t="s">
        <v>37</v>
      </c>
      <c r="C3726" s="1" t="s">
        <v>20275</v>
      </c>
      <c r="E3726" s="1" t="s">
        <v>20276</v>
      </c>
      <c r="F3726" s="1" t="s">
        <v>415</v>
      </c>
      <c r="G3726" s="1" t="s">
        <v>20248</v>
      </c>
      <c r="H3726" s="1">
        <v>1995.0</v>
      </c>
      <c r="I3726" s="1" t="s">
        <v>42</v>
      </c>
      <c r="J3726" s="1" t="s">
        <v>51</v>
      </c>
      <c r="K3726" s="1" t="s">
        <v>567</v>
      </c>
      <c r="L3726" s="1" t="s">
        <v>20277</v>
      </c>
      <c r="M3726" s="2" t="s">
        <v>12</v>
      </c>
      <c r="N3726" s="4">
        <f t="shared" si="1"/>
        <v>43637</v>
      </c>
      <c r="O3726" s="5" t="str">
        <f>IFERROR(__xludf.DUMMYFUNCTION("IF(REGEXMATCH(TRIM(I3726), ""^\d+\s*min""), ""Unclassified"", IF(I3726 = """", ""NR"", I3726))"),"TV-MA")</f>
        <v>TV-MA</v>
      </c>
      <c r="R3726" s="5" t="str">
        <f t="shared" si="2"/>
        <v>Neon Genesis Evangelion</v>
      </c>
      <c r="S3726" s="5" t="str">
        <f>IFERROR(__xludf.DUMMYFUNCTION("""COMPUTED_VALUE"""),"Kate")</f>
        <v>Kate</v>
      </c>
      <c r="U3726" s="5" t="str">
        <f>IFERROR(__xludf.DUMMYFUNCTION("""COMPUTED_VALUE"""),"Syed Ahmad Afzal")</f>
        <v>Syed Ahmad Afzal</v>
      </c>
      <c r="V3726" s="5" t="s">
        <v>20278</v>
      </c>
      <c r="W3726" s="5" t="str">
        <f t="shared" si="3"/>
        <v>Sameer Vidwans</v>
      </c>
      <c r="X3726" s="5">
        <f t="shared" si="4"/>
        <v>2</v>
      </c>
      <c r="Y3726" s="5" t="str">
        <f>IFERROR(__xludf.DUMMYFUNCTION("REGEXEXTRACT(J3726, ""^\d+"")"),"1")</f>
        <v>1</v>
      </c>
      <c r="Z3726" s="5" t="str">
        <f>IFERROR(__xludf.DUMMYFUNCTION("REGEXEXTRACT(J3726, ""[A-Za-z ]+$"")")," Season")</f>
        <v> Season</v>
      </c>
      <c r="AA3726" s="5" t="str">
        <f>IFERROR(__xludf.DUMMYFUNCTION("IF(REGEXMATCH(Z3726, ""Season""), ""TV Show"", ""Movie"")"),"TV Show")</f>
        <v>TV Show</v>
      </c>
    </row>
    <row r="3727">
      <c r="A3727" s="1" t="s">
        <v>20279</v>
      </c>
      <c r="B3727" s="1" t="s">
        <v>37</v>
      </c>
      <c r="C3727" s="1" t="s">
        <v>20280</v>
      </c>
      <c r="E3727" s="1" t="s">
        <v>20281</v>
      </c>
      <c r="F3727" s="1" t="s">
        <v>30</v>
      </c>
      <c r="G3727" s="1" t="s">
        <v>20248</v>
      </c>
      <c r="H3727" s="1">
        <v>2018.0</v>
      </c>
      <c r="I3727" s="1" t="s">
        <v>97</v>
      </c>
      <c r="J3727" s="1" t="s">
        <v>276</v>
      </c>
      <c r="K3727" s="1" t="s">
        <v>13666</v>
      </c>
      <c r="L3727" s="1" t="s">
        <v>20282</v>
      </c>
      <c r="M3727" s="2" t="s">
        <v>12</v>
      </c>
      <c r="N3727" s="4">
        <f t="shared" si="1"/>
        <v>43637</v>
      </c>
      <c r="O3727" s="5" t="str">
        <f>IFERROR(__xludf.DUMMYFUNCTION("IF(REGEXMATCH(TRIM(I3727), ""^\d+\s*min""), ""Unclassified"", IF(I3727 = """", ""NR"", I3727))"),"TV-14")</f>
        <v>TV-14</v>
      </c>
      <c r="R3727" s="5" t="str">
        <f t="shared" si="2"/>
        <v>Shooter</v>
      </c>
      <c r="S3727" s="5" t="str">
        <f>IFERROR(__xludf.DUMMYFUNCTION("""COMPUTED_VALUE"""),"Kate &amp; Leopold")</f>
        <v>Kate &amp; Leopold</v>
      </c>
      <c r="U3727" s="5" t="str">
        <f>IFERROR(__xludf.DUMMYFUNCTION("""COMPUTED_VALUE"""),"Sopon Sukdapisit")</f>
        <v>Sopon Sukdapisit</v>
      </c>
      <c r="V3727" s="5" t="s">
        <v>13776</v>
      </c>
      <c r="W3727" s="5" t="str">
        <f t="shared" si="3"/>
        <v>Sameh Abdulaziz</v>
      </c>
      <c r="X3727" s="5">
        <f t="shared" si="4"/>
        <v>6</v>
      </c>
      <c r="Y3727" s="5" t="str">
        <f>IFERROR(__xludf.DUMMYFUNCTION("REGEXEXTRACT(J3727, ""^\d+"")"),"3")</f>
        <v>3</v>
      </c>
      <c r="Z3727" s="5" t="str">
        <f>IFERROR(__xludf.DUMMYFUNCTION("REGEXEXTRACT(J3727, ""[A-Za-z ]+$"")")," Seasons")</f>
        <v> Seasons</v>
      </c>
      <c r="AA3727" s="5" t="str">
        <f>IFERROR(__xludf.DUMMYFUNCTION("IF(REGEXMATCH(Z3727, ""Season""), ""TV Show"", ""Movie"")"),"TV Show")</f>
        <v>TV Show</v>
      </c>
    </row>
    <row r="3728">
      <c r="A3728" s="1" t="s">
        <v>20283</v>
      </c>
      <c r="B3728" s="1" t="s">
        <v>37</v>
      </c>
      <c r="C3728" s="1" t="s">
        <v>20284</v>
      </c>
      <c r="F3728" s="1" t="s">
        <v>2715</v>
      </c>
      <c r="G3728" s="1" t="s">
        <v>20248</v>
      </c>
      <c r="H3728" s="1">
        <v>2019.0</v>
      </c>
      <c r="I3728" s="1" t="s">
        <v>97</v>
      </c>
      <c r="J3728" s="1" t="s">
        <v>43</v>
      </c>
      <c r="K3728" s="1" t="s">
        <v>1520</v>
      </c>
      <c r="L3728" s="1" t="s">
        <v>20285</v>
      </c>
      <c r="M3728" s="2" t="s">
        <v>12</v>
      </c>
      <c r="N3728" s="4">
        <f t="shared" si="1"/>
        <v>43637</v>
      </c>
      <c r="O3728" s="5" t="str">
        <f>IFERROR(__xludf.DUMMYFUNCTION("IF(REGEXMATCH(TRIM(I3728), ""^\d+\s*min""), ""Unclassified"", IF(I3728 = """", ""NR"", I3728))"),"TV-14")</f>
        <v>TV-14</v>
      </c>
      <c r="R3728" s="5" t="str">
        <f t="shared" si="2"/>
        <v>The Casketeers</v>
      </c>
      <c r="S3728" s="5" t="str">
        <f>IFERROR(__xludf.DUMMYFUNCTION("""COMPUTED_VALUE"""),"Kath &amp; Kimderella")</f>
        <v>Kath &amp; Kimderella</v>
      </c>
      <c r="U3728" s="5" t="str">
        <f>IFERROR(__xludf.DUMMYFUNCTION("""COMPUTED_VALUE"""),"Chris Nahon")</f>
        <v>Chris Nahon</v>
      </c>
      <c r="V3728" s="5" t="s">
        <v>14037</v>
      </c>
      <c r="W3728" s="5" t="str">
        <f t="shared" si="3"/>
        <v>Samir Al Asfory</v>
      </c>
      <c r="X3728" s="5">
        <f t="shared" si="4"/>
        <v>1</v>
      </c>
      <c r="Y3728" s="5" t="str">
        <f>IFERROR(__xludf.DUMMYFUNCTION("REGEXEXTRACT(J3728, ""^\d+"")"),"2")</f>
        <v>2</v>
      </c>
      <c r="Z3728" s="5" t="str">
        <f>IFERROR(__xludf.DUMMYFUNCTION("REGEXEXTRACT(J3728, ""[A-Za-z ]+$"")")," Seasons")</f>
        <v> Seasons</v>
      </c>
      <c r="AA3728" s="5" t="str">
        <f>IFERROR(__xludf.DUMMYFUNCTION("IF(REGEXMATCH(Z3728, ""Season""), ""TV Show"", ""Movie"")"),"TV Show")</f>
        <v>TV Show</v>
      </c>
    </row>
    <row r="3729">
      <c r="A3729" s="1" t="s">
        <v>20286</v>
      </c>
      <c r="B3729" s="1" t="s">
        <v>37</v>
      </c>
      <c r="C3729" s="1" t="s">
        <v>20287</v>
      </c>
      <c r="F3729" s="1" t="s">
        <v>30</v>
      </c>
      <c r="G3729" s="1" t="s">
        <v>20248</v>
      </c>
      <c r="H3729" s="1">
        <v>2019.0</v>
      </c>
      <c r="I3729" s="1" t="s">
        <v>42</v>
      </c>
      <c r="J3729" s="1" t="s">
        <v>43</v>
      </c>
      <c r="K3729" s="1" t="s">
        <v>2043</v>
      </c>
      <c r="L3729" s="1" t="s">
        <v>20288</v>
      </c>
      <c r="M3729" s="2" t="s">
        <v>12</v>
      </c>
      <c r="N3729" s="4">
        <f t="shared" si="1"/>
        <v>43637</v>
      </c>
      <c r="O3729" s="5" t="str">
        <f>IFERROR(__xludf.DUMMYFUNCTION("IF(REGEXMATCH(TRIM(I3729), ""^\d+\s*min""), ""Unclassified"", IF(I3729 = """", ""NR"", I3729))"),"TV-MA")</f>
        <v>TV-MA</v>
      </c>
      <c r="R3729" s="5" t="str">
        <f t="shared" si="2"/>
        <v>The Confession Tapes</v>
      </c>
      <c r="S3729" s="5" t="str">
        <f>IFERROR(__xludf.DUMMYFUNCTION("""COMPUTED_VALUE"""),"Kath And Kim")</f>
        <v>Kath And Kim</v>
      </c>
      <c r="U3729" s="5" t="str">
        <f>IFERROR(__xludf.DUMMYFUNCTION("""COMPUTED_VALUE"""),"R. Ellis Frazier")</f>
        <v>R. Ellis Frazier</v>
      </c>
      <c r="V3729" s="5" t="s">
        <v>20289</v>
      </c>
      <c r="W3729" s="5" t="str">
        <f t="shared" si="3"/>
        <v>Samir Karnik</v>
      </c>
      <c r="X3729" s="5">
        <f t="shared" si="4"/>
        <v>1</v>
      </c>
      <c r="Y3729" s="5" t="str">
        <f>IFERROR(__xludf.DUMMYFUNCTION("REGEXEXTRACT(J3729, ""^\d+"")"),"2")</f>
        <v>2</v>
      </c>
      <c r="Z3729" s="5" t="str">
        <f>IFERROR(__xludf.DUMMYFUNCTION("REGEXEXTRACT(J3729, ""[A-Za-z ]+$"")")," Seasons")</f>
        <v> Seasons</v>
      </c>
      <c r="AA3729" s="5" t="str">
        <f>IFERROR(__xludf.DUMMYFUNCTION("IF(REGEXMATCH(Z3729, ""Season""), ""TV Show"", ""Movie"")"),"TV Show")</f>
        <v>TV Show</v>
      </c>
    </row>
    <row r="3730">
      <c r="A3730" s="1" t="s">
        <v>20290</v>
      </c>
      <c r="B3730" s="1" t="s">
        <v>27</v>
      </c>
      <c r="C3730" s="1" t="s">
        <v>20291</v>
      </c>
      <c r="D3730" s="1" t="s">
        <v>9311</v>
      </c>
      <c r="E3730" s="1" t="s">
        <v>20292</v>
      </c>
      <c r="F3730" s="1" t="s">
        <v>415</v>
      </c>
      <c r="G3730" s="1" t="s">
        <v>20248</v>
      </c>
      <c r="H3730" s="1">
        <v>1997.0</v>
      </c>
      <c r="I3730" s="1" t="s">
        <v>42</v>
      </c>
      <c r="J3730" s="1" t="s">
        <v>630</v>
      </c>
      <c r="K3730" s="1" t="s">
        <v>417</v>
      </c>
      <c r="L3730" s="1" t="s">
        <v>20293</v>
      </c>
      <c r="M3730" s="2" t="s">
        <v>12</v>
      </c>
      <c r="N3730" s="4">
        <f t="shared" si="1"/>
        <v>43637</v>
      </c>
      <c r="O3730" s="5" t="str">
        <f>IFERROR(__xludf.DUMMYFUNCTION("IF(REGEXMATCH(TRIM(I3730), ""^\d+\s*min""), ""Unclassified"", IF(I3730 = """", ""NR"", I3730))"),"TV-MA")</f>
        <v>TV-MA</v>
      </c>
      <c r="R3730" s="5" t="str">
        <f t="shared" si="2"/>
        <v>The End Of Evangelion</v>
      </c>
      <c r="S3730" s="5" t="str">
        <f>IFERROR(__xludf.DUMMYFUNCTION("""COMPUTED_VALUE"""),"Katha")</f>
        <v>Katha</v>
      </c>
      <c r="U3730" s="5" t="str">
        <f>IFERROR(__xludf.DUMMYFUNCTION("""COMPUTED_VALUE"""),"Jaki Bradley")</f>
        <v>Jaki Bradley</v>
      </c>
      <c r="V3730" s="5" t="s">
        <v>20294</v>
      </c>
      <c r="W3730" s="5" t="str">
        <f t="shared" si="3"/>
        <v>Samir Soni</v>
      </c>
      <c r="X3730" s="5">
        <f t="shared" si="4"/>
        <v>1</v>
      </c>
      <c r="Y3730" s="5" t="str">
        <f>IFERROR(__xludf.DUMMYFUNCTION("REGEXEXTRACT(J3730, ""^\d+"")"),"87")</f>
        <v>87</v>
      </c>
      <c r="Z3730" s="5" t="str">
        <f>IFERROR(__xludf.DUMMYFUNCTION("REGEXEXTRACT(J3730, ""[A-Za-z ]+$"")")," min")</f>
        <v> min</v>
      </c>
      <c r="AA3730" s="5" t="str">
        <f>IFERROR(__xludf.DUMMYFUNCTION("IF(REGEXMATCH(Z3730, ""Season""), ""TV Show"", ""Movie"")"),"Movie")</f>
        <v>Movie</v>
      </c>
    </row>
    <row r="3731">
      <c r="A3731" s="1" t="s">
        <v>20295</v>
      </c>
      <c r="B3731" s="1" t="s">
        <v>27</v>
      </c>
      <c r="C3731" s="1" t="s">
        <v>20296</v>
      </c>
      <c r="D3731" s="1" t="s">
        <v>241</v>
      </c>
      <c r="E3731" s="1" t="s">
        <v>20297</v>
      </c>
      <c r="F3731" s="1" t="s">
        <v>63</v>
      </c>
      <c r="G3731" s="1" t="s">
        <v>20298</v>
      </c>
      <c r="H3731" s="1">
        <v>2019.0</v>
      </c>
      <c r="I3731" s="1" t="s">
        <v>42</v>
      </c>
      <c r="J3731" s="1" t="s">
        <v>349</v>
      </c>
      <c r="K3731" s="1" t="s">
        <v>1972</v>
      </c>
      <c r="L3731" s="1" t="s">
        <v>20299</v>
      </c>
      <c r="M3731" s="2" t="s">
        <v>12</v>
      </c>
      <c r="N3731" s="4">
        <f t="shared" si="1"/>
        <v>43636</v>
      </c>
      <c r="O3731" s="5" t="str">
        <f>IFERROR(__xludf.DUMMYFUNCTION("IF(REGEXMATCH(TRIM(I3731), ""^\d+\s*min""), ""Unclassified"", IF(I3731 = """", ""NR"", I3731))"),"TV-MA")</f>
        <v>TV-MA</v>
      </c>
      <c r="R3731" s="5" t="str">
        <f t="shared" si="2"/>
        <v>Rakkhosh</v>
      </c>
      <c r="S3731" s="5" t="str">
        <f>IFERROR(__xludf.DUMMYFUNCTION("""COMPUTED_VALUE"""),"Katherine Ryan: Glitter Room")</f>
        <v>Katherine Ryan: Glitter Room</v>
      </c>
      <c r="U3731" s="5" t="str">
        <f>IFERROR(__xludf.DUMMYFUNCTION("""COMPUTED_VALUE"""),"Kazuaki Kiriya")</f>
        <v>Kazuaki Kiriya</v>
      </c>
      <c r="V3731" s="5" t="s">
        <v>20300</v>
      </c>
      <c r="W3731" s="5" t="str">
        <f t="shared" si="3"/>
        <v>Samit Kakkad</v>
      </c>
      <c r="X3731" s="5">
        <f t="shared" si="4"/>
        <v>1</v>
      </c>
      <c r="Y3731" s="5" t="str">
        <f>IFERROR(__xludf.DUMMYFUNCTION("REGEXEXTRACT(J3731, ""^\d+"")"),"116")</f>
        <v>116</v>
      </c>
      <c r="Z3731" s="5" t="str">
        <f>IFERROR(__xludf.DUMMYFUNCTION("REGEXEXTRACT(J3731, ""[A-Za-z ]+$"")")," min")</f>
        <v> min</v>
      </c>
      <c r="AA3731" s="5" t="str">
        <f>IFERROR(__xludf.DUMMYFUNCTION("IF(REGEXMATCH(Z3731, ""Season""), ""TV Show"", ""Movie"")"),"Movie")</f>
        <v>Movie</v>
      </c>
    </row>
    <row r="3732">
      <c r="A3732" s="1" t="s">
        <v>20301</v>
      </c>
      <c r="B3732" s="1" t="s">
        <v>27</v>
      </c>
      <c r="C3732" s="1" t="s">
        <v>20302</v>
      </c>
      <c r="D3732" s="1" t="s">
        <v>2346</v>
      </c>
      <c r="E3732" s="1" t="s">
        <v>20303</v>
      </c>
      <c r="F3732" s="1" t="s">
        <v>664</v>
      </c>
      <c r="G3732" s="1" t="s">
        <v>20298</v>
      </c>
      <c r="H3732" s="1">
        <v>2019.0</v>
      </c>
      <c r="I3732" s="1" t="s">
        <v>97</v>
      </c>
      <c r="J3732" s="1" t="s">
        <v>349</v>
      </c>
      <c r="K3732" s="1" t="s">
        <v>298</v>
      </c>
      <c r="L3732" s="1" t="s">
        <v>20304</v>
      </c>
      <c r="M3732" s="2" t="s">
        <v>12</v>
      </c>
      <c r="N3732" s="4">
        <f t="shared" si="1"/>
        <v>43636</v>
      </c>
      <c r="O3732" s="5" t="str">
        <f>IFERROR(__xludf.DUMMYFUNCTION("IF(REGEXMATCH(TRIM(I3732), ""^\d+\s*min""), ""Unclassified"", IF(I3732 = """", ""NR"", I3732))"),"TV-14")</f>
        <v>TV-14</v>
      </c>
      <c r="R3732" s="5" t="str">
        <f t="shared" si="2"/>
        <v>The Wolf'S Call</v>
      </c>
      <c r="S3732" s="5" t="str">
        <f>IFERROR(__xludf.DUMMYFUNCTION("""COMPUTED_VALUE"""),"Katherine Ryan: In Trouble")</f>
        <v>Katherine Ryan: In Trouble</v>
      </c>
      <c r="U3732" s="5" t="str">
        <f>IFERROR(__xludf.DUMMYFUNCTION("""COMPUTED_VALUE"""),"Massy Tadjedin")</f>
        <v>Massy Tadjedin</v>
      </c>
      <c r="V3732" s="5" t="s">
        <v>12101</v>
      </c>
      <c r="W3732" s="5" t="str">
        <f t="shared" si="3"/>
        <v>Sammaria Sari Simanjuntak</v>
      </c>
      <c r="X3732" s="5">
        <f t="shared" si="4"/>
        <v>1</v>
      </c>
      <c r="Y3732" s="5" t="str">
        <f>IFERROR(__xludf.DUMMYFUNCTION("REGEXEXTRACT(J3732, ""^\d+"")"),"116")</f>
        <v>116</v>
      </c>
      <c r="Z3732" s="5" t="str">
        <f>IFERROR(__xludf.DUMMYFUNCTION("REGEXEXTRACT(J3732, ""[A-Za-z ]+$"")")," min")</f>
        <v> min</v>
      </c>
      <c r="AA3732" s="5" t="str">
        <f>IFERROR(__xludf.DUMMYFUNCTION("IF(REGEXMATCH(Z3732, ""Season""), ""TV Show"", ""Movie"")"),"Movie")</f>
        <v>Movie</v>
      </c>
    </row>
    <row r="3733">
      <c r="A3733" s="1" t="s">
        <v>20305</v>
      </c>
      <c r="B3733" s="1" t="s">
        <v>27</v>
      </c>
      <c r="C3733" s="1" t="s">
        <v>20306</v>
      </c>
      <c r="D3733" s="1" t="s">
        <v>4788</v>
      </c>
      <c r="E3733" s="1" t="s">
        <v>20307</v>
      </c>
      <c r="F3733" s="1" t="s">
        <v>30</v>
      </c>
      <c r="G3733" s="1" t="s">
        <v>20308</v>
      </c>
      <c r="H3733" s="1">
        <v>2019.0</v>
      </c>
      <c r="I3733" s="1" t="s">
        <v>42</v>
      </c>
      <c r="J3733" s="1" t="s">
        <v>297</v>
      </c>
      <c r="K3733" s="1" t="s">
        <v>15369</v>
      </c>
      <c r="L3733" s="1" t="s">
        <v>20309</v>
      </c>
      <c r="M3733" s="2" t="s">
        <v>12</v>
      </c>
      <c r="N3733" s="4">
        <f t="shared" si="1"/>
        <v>43635</v>
      </c>
      <c r="O3733" s="5" t="str">
        <f>IFERROR(__xludf.DUMMYFUNCTION("IF(REGEXMATCH(TRIM(I3733), ""^\d+\s*min""), ""Unclassified"", IF(I3733 = """", ""NR"", I3733))"),"TV-MA")</f>
        <v>TV-MA</v>
      </c>
      <c r="R3733" s="5" t="str">
        <f t="shared" si="2"/>
        <v>Beats</v>
      </c>
      <c r="S3733" s="5" t="str">
        <f>IFERROR(__xludf.DUMMYFUNCTION("""COMPUTED_VALUE"""),"Kathleen Madigan: Bothering Jesus")</f>
        <v>Kathleen Madigan: Bothering Jesus</v>
      </c>
      <c r="U3733" s="5" t="str">
        <f>IFERROR(__xludf.DUMMYFUNCTION("""COMPUTED_VALUE"""),"Damien Piscarel, Florent Bodin")</f>
        <v>Damien Piscarel, Florent Bodin</v>
      </c>
      <c r="V3733" s="5" t="s">
        <v>20310</v>
      </c>
      <c r="W3733" s="5" t="str">
        <f t="shared" si="3"/>
        <v>Samu Fuentes</v>
      </c>
      <c r="X3733" s="5">
        <f t="shared" si="4"/>
        <v>1</v>
      </c>
      <c r="Y3733" s="5" t="str">
        <f>IFERROR(__xludf.DUMMYFUNCTION("REGEXEXTRACT(J3733, ""^\d+"")"),"110")</f>
        <v>110</v>
      </c>
      <c r="Z3733" s="5" t="str">
        <f>IFERROR(__xludf.DUMMYFUNCTION("REGEXEXTRACT(J3733, ""[A-Za-z ]+$"")")," min")</f>
        <v> min</v>
      </c>
      <c r="AA3733" s="5" t="str">
        <f>IFERROR(__xludf.DUMMYFUNCTION("IF(REGEXMATCH(Z3733, ""Season""), ""TV Show"", ""Movie"")"),"Movie")</f>
        <v>Movie</v>
      </c>
    </row>
    <row r="3734">
      <c r="A3734" s="1" t="s">
        <v>20311</v>
      </c>
      <c r="B3734" s="1" t="s">
        <v>27</v>
      </c>
      <c r="C3734" s="1" t="s">
        <v>20312</v>
      </c>
      <c r="D3734" s="1" t="s">
        <v>18109</v>
      </c>
      <c r="F3734" s="1" t="s">
        <v>1992</v>
      </c>
      <c r="G3734" s="1" t="s">
        <v>20308</v>
      </c>
      <c r="H3734" s="1">
        <v>2019.0</v>
      </c>
      <c r="I3734" s="1" t="s">
        <v>97</v>
      </c>
      <c r="J3734" s="1" t="s">
        <v>393</v>
      </c>
      <c r="K3734" s="1" t="s">
        <v>156</v>
      </c>
      <c r="L3734" s="1" t="s">
        <v>20313</v>
      </c>
      <c r="M3734" s="2" t="s">
        <v>12</v>
      </c>
      <c r="N3734" s="4">
        <f t="shared" si="1"/>
        <v>43635</v>
      </c>
      <c r="O3734" s="5" t="str">
        <f>IFERROR(__xludf.DUMMYFUNCTION("IF(REGEXMATCH(TRIM(I3734), ""^\d+\s*min""), ""Unclassified"", IF(I3734 = """", ""NR"", I3734))"),"TV-14")</f>
        <v>TV-14</v>
      </c>
      <c r="R3734" s="5" t="str">
        <f t="shared" si="2"/>
        <v>The Edge Of Democracy</v>
      </c>
      <c r="S3734" s="5" t="str">
        <f>IFERROR(__xludf.DUMMYFUNCTION("""COMPUTED_VALUE"""),"Katla")</f>
        <v>Katla</v>
      </c>
      <c r="U3734" s="5" t="str">
        <f>IFERROR(__xludf.DUMMYFUNCTION("""COMPUTED_VALUE"""),"Emmanuel Amara")</f>
        <v>Emmanuel Amara</v>
      </c>
      <c r="V3734" s="5" t="s">
        <v>20314</v>
      </c>
      <c r="W3734" s="5" t="str">
        <f t="shared" si="3"/>
        <v>Samuel D. Pollard</v>
      </c>
      <c r="X3734" s="5">
        <f t="shared" si="4"/>
        <v>1</v>
      </c>
      <c r="Y3734" s="5" t="str">
        <f>IFERROR(__xludf.DUMMYFUNCTION("REGEXEXTRACT(J3734, ""^\d+"")"),"122")</f>
        <v>122</v>
      </c>
      <c r="Z3734" s="5" t="str">
        <f>IFERROR(__xludf.DUMMYFUNCTION("REGEXEXTRACT(J3734, ""[A-Za-z ]+$"")")," min")</f>
        <v> min</v>
      </c>
      <c r="AA3734" s="5" t="str">
        <f>IFERROR(__xludf.DUMMYFUNCTION("IF(REGEXMATCH(Z3734, ""Season""), ""TV Show"", ""Movie"")"),"Movie")</f>
        <v>Movie</v>
      </c>
    </row>
    <row r="3735">
      <c r="A3735" s="1" t="s">
        <v>20315</v>
      </c>
      <c r="B3735" s="1" t="s">
        <v>27</v>
      </c>
      <c r="C3735" s="1" t="s">
        <v>20316</v>
      </c>
      <c r="D3735" s="1" t="s">
        <v>10401</v>
      </c>
      <c r="E3735" s="1" t="s">
        <v>20317</v>
      </c>
      <c r="F3735" s="1" t="s">
        <v>30</v>
      </c>
      <c r="G3735" s="1" t="s">
        <v>20318</v>
      </c>
      <c r="H3735" s="1">
        <v>2019.0</v>
      </c>
      <c r="I3735" s="1" t="s">
        <v>42</v>
      </c>
      <c r="J3735" s="1" t="s">
        <v>1847</v>
      </c>
      <c r="K3735" s="1" t="s">
        <v>1839</v>
      </c>
      <c r="L3735" s="1" t="s">
        <v>20319</v>
      </c>
      <c r="M3735" s="2" t="s">
        <v>12</v>
      </c>
      <c r="N3735" s="4">
        <f t="shared" si="1"/>
        <v>43634</v>
      </c>
      <c r="O3735" s="5" t="str">
        <f>IFERROR(__xludf.DUMMYFUNCTION("IF(REGEXMATCH(TRIM(I3735), ""^\d+\s*min""), ""Unclassified"", IF(I3735 = """", ""NR"", I3735))"),"TV-MA")</f>
        <v>TV-MA</v>
      </c>
      <c r="R3735" s="5" t="str">
        <f t="shared" si="2"/>
        <v>Adam Devine: Best Time Of Our Lives</v>
      </c>
      <c r="S3735" s="5" t="str">
        <f>IFERROR(__xludf.DUMMYFUNCTION("""COMPUTED_VALUE"""),"Katt Williams: American Hustle (The Movie)")</f>
        <v>Katt Williams: American Hustle (The Movie)</v>
      </c>
      <c r="U3735" s="5" t="str">
        <f>IFERROR(__xludf.DUMMYFUNCTION("""COMPUTED_VALUE"""),"Anand Tucker")</f>
        <v>Anand Tucker</v>
      </c>
      <c r="V3735" s="5" t="s">
        <v>20320</v>
      </c>
      <c r="W3735" s="5" t="str">
        <f t="shared" si="3"/>
        <v>Samuel Jouy</v>
      </c>
      <c r="X3735" s="5">
        <f t="shared" si="4"/>
        <v>1</v>
      </c>
      <c r="Y3735" s="5" t="str">
        <f>IFERROR(__xludf.DUMMYFUNCTION("REGEXEXTRACT(J3735, ""^\d+"")"),"59")</f>
        <v>59</v>
      </c>
      <c r="Z3735" s="5" t="str">
        <f>IFERROR(__xludf.DUMMYFUNCTION("REGEXEXTRACT(J3735, ""[A-Za-z ]+$"")")," min")</f>
        <v> min</v>
      </c>
      <c r="AA3735" s="5" t="str">
        <f>IFERROR(__xludf.DUMMYFUNCTION("IF(REGEXMATCH(Z3735, ""Season""), ""TV Show"", ""Movie"")"),"Movie")</f>
        <v>Movie</v>
      </c>
    </row>
    <row r="3736">
      <c r="A3736" s="1" t="s">
        <v>20321</v>
      </c>
      <c r="B3736" s="1" t="s">
        <v>27</v>
      </c>
      <c r="C3736" s="1" t="s">
        <v>20322</v>
      </c>
      <c r="D3736" s="1" t="s">
        <v>11645</v>
      </c>
      <c r="E3736" s="1" t="s">
        <v>20323</v>
      </c>
      <c r="F3736" s="1" t="s">
        <v>30</v>
      </c>
      <c r="G3736" s="1" t="s">
        <v>20324</v>
      </c>
      <c r="H3736" s="1">
        <v>2015.0</v>
      </c>
      <c r="I3736" s="1" t="s">
        <v>378</v>
      </c>
      <c r="J3736" s="1" t="s">
        <v>428</v>
      </c>
      <c r="K3736" s="1" t="s">
        <v>171</v>
      </c>
      <c r="L3736" s="1" t="s">
        <v>20325</v>
      </c>
      <c r="M3736" s="2" t="s">
        <v>12</v>
      </c>
      <c r="N3736" s="4">
        <f t="shared" si="1"/>
        <v>43632</v>
      </c>
      <c r="O3736" s="5" t="str">
        <f>IFERROR(__xludf.DUMMYFUNCTION("IF(REGEXMATCH(TRIM(I3736), ""^\d+\s*min""), ""Unclassified"", IF(I3736 = """", ""NR"", I3736))"),"R")</f>
        <v>R</v>
      </c>
      <c r="R3736" s="5" t="str">
        <f t="shared" si="2"/>
        <v>Cop Car</v>
      </c>
      <c r="S3736" s="5" t="str">
        <f>IFERROR(__xludf.DUMMYFUNCTION("""COMPUTED_VALUE"""),"Katt Williams: Great America")</f>
        <v>Katt Williams: Great America</v>
      </c>
      <c r="U3736" s="5" t="str">
        <f>IFERROR(__xludf.DUMMYFUNCTION("""COMPUTED_VALUE"""),"Roy Allen Smith")</f>
        <v>Roy Allen Smith</v>
      </c>
      <c r="V3736" s="5" t="s">
        <v>5417</v>
      </c>
      <c r="W3736" s="5" t="str">
        <f t="shared" si="3"/>
        <v>Samuel Olatunji</v>
      </c>
      <c r="X3736" s="5">
        <f t="shared" si="4"/>
        <v>1</v>
      </c>
      <c r="Y3736" s="5" t="str">
        <f>IFERROR(__xludf.DUMMYFUNCTION("REGEXEXTRACT(J3736, ""^\d+"")"),"88")</f>
        <v>88</v>
      </c>
      <c r="Z3736" s="5" t="str">
        <f>IFERROR(__xludf.DUMMYFUNCTION("REGEXEXTRACT(J3736, ""[A-Za-z ]+$"")")," min")</f>
        <v> min</v>
      </c>
      <c r="AA3736" s="5" t="str">
        <f>IFERROR(__xludf.DUMMYFUNCTION("IF(REGEXMATCH(Z3736, ""Season""), ""TV Show"", ""Movie"")"),"Movie")</f>
        <v>Movie</v>
      </c>
    </row>
    <row r="3737">
      <c r="A3737" s="1" t="s">
        <v>20326</v>
      </c>
      <c r="B3737" s="1" t="s">
        <v>27</v>
      </c>
      <c r="C3737" s="1" t="s">
        <v>20327</v>
      </c>
      <c r="D3737" s="1" t="s">
        <v>9940</v>
      </c>
      <c r="E3737" s="1" t="s">
        <v>20328</v>
      </c>
      <c r="F3737" s="1" t="s">
        <v>2492</v>
      </c>
      <c r="G3737" s="1" t="s">
        <v>20324</v>
      </c>
      <c r="H3737" s="1">
        <v>2018.0</v>
      </c>
      <c r="I3737" s="1" t="s">
        <v>42</v>
      </c>
      <c r="J3737" s="1" t="s">
        <v>79</v>
      </c>
      <c r="K3737" s="1" t="s">
        <v>836</v>
      </c>
      <c r="L3737" s="1" t="s">
        <v>20329</v>
      </c>
      <c r="M3737" s="2" t="s">
        <v>12</v>
      </c>
      <c r="N3737" s="4">
        <f t="shared" si="1"/>
        <v>43632</v>
      </c>
      <c r="O3737" s="5" t="str">
        <f>IFERROR(__xludf.DUMMYFUNCTION("IF(REGEXMATCH(TRIM(I3737), ""^\d+\s*min""), ""Unclassified"", IF(I3737 = """", ""NR"", I3737))"),"TV-MA")</f>
        <v>TV-MA</v>
      </c>
      <c r="R3737" s="5" t="str">
        <f t="shared" si="2"/>
        <v>Right Here Right Now</v>
      </c>
      <c r="S3737" s="5" t="str">
        <f>IFERROR(__xludf.DUMMYFUNCTION("""COMPUTED_VALUE"""),"Katt Williams: Kattpacalypse")</f>
        <v>Katt Williams: Kattpacalypse</v>
      </c>
      <c r="U3737" s="5" t="str">
        <f>IFERROR(__xludf.DUMMYFUNCTION("""COMPUTED_VALUE"""),"Ron Myrick")</f>
        <v>Ron Myrick</v>
      </c>
      <c r="V3737" s="5" t="s">
        <v>20330</v>
      </c>
      <c r="W3737" s="5" t="str">
        <f t="shared" si="3"/>
        <v>Sandeep Chatterjee</v>
      </c>
      <c r="X3737" s="5">
        <f t="shared" si="4"/>
        <v>1</v>
      </c>
      <c r="Y3737" s="5" t="str">
        <f>IFERROR(__xludf.DUMMYFUNCTION("REGEXEXTRACT(J3737, ""^\d+"")"),"91")</f>
        <v>91</v>
      </c>
      <c r="Z3737" s="5" t="str">
        <f>IFERROR(__xludf.DUMMYFUNCTION("REGEXEXTRACT(J3737, ""[A-Za-z ]+$"")")," min")</f>
        <v> min</v>
      </c>
      <c r="AA3737" s="5" t="str">
        <f>IFERROR(__xludf.DUMMYFUNCTION("IF(REGEXMATCH(Z3737, ""Season""), ""TV Show"", ""Movie"")"),"Movie")</f>
        <v>Movie</v>
      </c>
    </row>
    <row r="3738">
      <c r="A3738" s="1" t="s">
        <v>20331</v>
      </c>
      <c r="B3738" s="1" t="s">
        <v>37</v>
      </c>
      <c r="C3738" s="1" t="s">
        <v>20332</v>
      </c>
      <c r="E3738" s="1" t="s">
        <v>20333</v>
      </c>
      <c r="F3738" s="1" t="s">
        <v>415</v>
      </c>
      <c r="G3738" s="1" t="s">
        <v>20334</v>
      </c>
      <c r="H3738" s="1">
        <v>2012.0</v>
      </c>
      <c r="I3738" s="1" t="s">
        <v>42</v>
      </c>
      <c r="J3738" s="1" t="s">
        <v>43</v>
      </c>
      <c r="K3738" s="1" t="s">
        <v>567</v>
      </c>
      <c r="L3738" s="1" t="s">
        <v>20335</v>
      </c>
      <c r="M3738" s="2" t="s">
        <v>12</v>
      </c>
      <c r="N3738" s="4">
        <f t="shared" si="1"/>
        <v>43631</v>
      </c>
      <c r="O3738" s="5" t="str">
        <f>IFERROR(__xludf.DUMMYFUNCTION("IF(REGEXMATCH(TRIM(I3738), ""^\d+\s*min""), ""Unclassified"", IF(I3738 = """", ""NR"", I3738))"),"TV-MA")</f>
        <v>TV-MA</v>
      </c>
      <c r="R3738" s="5" t="str">
        <f t="shared" si="2"/>
        <v>Fate/Zero</v>
      </c>
      <c r="S3738" s="5" t="str">
        <f>IFERROR(__xludf.DUMMYFUNCTION("""COMPUTED_VALUE"""),"Katt Williams: Live")</f>
        <v>Katt Williams: Live</v>
      </c>
      <c r="U3738" s="5" t="str">
        <f>IFERROR(__xludf.DUMMYFUNCTION("""COMPUTED_VALUE"""),"B.N. Shajeer Sha")</f>
        <v>B.N. Shajeer Sha</v>
      </c>
      <c r="V3738" s="5" t="s">
        <v>19213</v>
      </c>
      <c r="W3738" s="5" t="str">
        <f t="shared" si="3"/>
        <v>Sandeep Reddy Vanga</v>
      </c>
      <c r="X3738" s="5">
        <f t="shared" si="4"/>
        <v>1</v>
      </c>
      <c r="Y3738" s="5" t="str">
        <f>IFERROR(__xludf.DUMMYFUNCTION("REGEXEXTRACT(J3738, ""^\d+"")"),"2")</f>
        <v>2</v>
      </c>
      <c r="Z3738" s="5" t="str">
        <f>IFERROR(__xludf.DUMMYFUNCTION("REGEXEXTRACT(J3738, ""[A-Za-z ]+$"")")," Seasons")</f>
        <v> Seasons</v>
      </c>
      <c r="AA3738" s="5" t="str">
        <f>IFERROR(__xludf.DUMMYFUNCTION("IF(REGEXMATCH(Z3738, ""Season""), ""TV Show"", ""Movie"")"),"TV Show")</f>
        <v>TV Show</v>
      </c>
    </row>
    <row r="3739">
      <c r="A3739" s="1" t="s">
        <v>20336</v>
      </c>
      <c r="B3739" s="1" t="s">
        <v>37</v>
      </c>
      <c r="C3739" s="1" t="s">
        <v>20337</v>
      </c>
      <c r="E3739" s="1" t="s">
        <v>20338</v>
      </c>
      <c r="F3739" s="1" t="s">
        <v>415</v>
      </c>
      <c r="G3739" s="1" t="s">
        <v>20334</v>
      </c>
      <c r="H3739" s="1">
        <v>2014.0</v>
      </c>
      <c r="I3739" s="1" t="s">
        <v>42</v>
      </c>
      <c r="J3739" s="1" t="s">
        <v>51</v>
      </c>
      <c r="K3739" s="1" t="s">
        <v>567</v>
      </c>
      <c r="L3739" s="1" t="s">
        <v>20339</v>
      </c>
      <c r="M3739" s="2" t="s">
        <v>12</v>
      </c>
      <c r="N3739" s="4">
        <f t="shared" si="1"/>
        <v>43631</v>
      </c>
      <c r="O3739" s="5" t="str">
        <f>IFERROR(__xludf.DUMMYFUNCTION("IF(REGEXMATCH(TRIM(I3739), ""^\d+\s*min""), ""Unclassified"", IF(I3739 = """", ""NR"", I3739))"),"TV-MA")</f>
        <v>TV-MA</v>
      </c>
      <c r="R3739" s="5" t="str">
        <f t="shared" si="2"/>
        <v>Kill La Kill</v>
      </c>
      <c r="S3739" s="5" t="str">
        <f>IFERROR(__xludf.DUMMYFUNCTION("""COMPUTED_VALUE"""),"Katt Williams: The Pimp Chronicles: Pt. 1")</f>
        <v>Katt Williams: The Pimp Chronicles: Pt. 1</v>
      </c>
      <c r="U3739" s="5" t="str">
        <f>IFERROR(__xludf.DUMMYFUNCTION("""COMPUTED_VALUE"""),"Vic Armstrong")</f>
        <v>Vic Armstrong</v>
      </c>
      <c r="V3739" s="5" t="s">
        <v>20340</v>
      </c>
      <c r="W3739" s="5" t="str">
        <f t="shared" si="3"/>
        <v>Sandi Tan</v>
      </c>
      <c r="X3739" s="5">
        <f t="shared" si="4"/>
        <v>1</v>
      </c>
      <c r="Y3739" s="5" t="str">
        <f>IFERROR(__xludf.DUMMYFUNCTION("REGEXEXTRACT(J3739, ""^\d+"")"),"1")</f>
        <v>1</v>
      </c>
      <c r="Z3739" s="5" t="str">
        <f>IFERROR(__xludf.DUMMYFUNCTION("REGEXEXTRACT(J3739, ""[A-Za-z ]+$"")")," Season")</f>
        <v> Season</v>
      </c>
      <c r="AA3739" s="5" t="str">
        <f>IFERROR(__xludf.DUMMYFUNCTION("IF(REGEXMATCH(Z3739, ""Season""), ""TV Show"", ""Movie"")"),"TV Show")</f>
        <v>TV Show</v>
      </c>
    </row>
    <row r="3740">
      <c r="A3740" s="1" t="s">
        <v>20341</v>
      </c>
      <c r="B3740" s="1" t="s">
        <v>27</v>
      </c>
      <c r="C3740" s="1" t="s">
        <v>20342</v>
      </c>
      <c r="D3740" s="1" t="s">
        <v>11321</v>
      </c>
      <c r="F3740" s="1" t="s">
        <v>20343</v>
      </c>
      <c r="G3740" s="1" t="s">
        <v>20334</v>
      </c>
      <c r="H3740" s="1">
        <v>2019.0</v>
      </c>
      <c r="I3740" s="1" t="s">
        <v>136</v>
      </c>
      <c r="J3740" s="1" t="s">
        <v>18322</v>
      </c>
      <c r="K3740" s="1" t="s">
        <v>34</v>
      </c>
      <c r="L3740" s="1" t="s">
        <v>20344</v>
      </c>
      <c r="M3740" s="2" t="s">
        <v>12</v>
      </c>
      <c r="N3740" s="4">
        <f t="shared" si="1"/>
        <v>43631</v>
      </c>
      <c r="O3740" s="5" t="str">
        <f>IFERROR(__xludf.DUMMYFUNCTION("IF(REGEXMATCH(TRIM(I3740), ""^\d+\s*min""), ""Unclassified"", IF(I3740 = """", ""NR"", I3740))"),"TV-PG")</f>
        <v>TV-PG</v>
      </c>
      <c r="R3740" s="5" t="str">
        <f t="shared" si="2"/>
        <v>Life Overtakes Me</v>
      </c>
      <c r="S3740" s="5" t="str">
        <f>IFERROR(__xludf.DUMMYFUNCTION("""COMPUTED_VALUE"""),"Katti Batti")</f>
        <v>Katti Batti</v>
      </c>
      <c r="U3740" s="5" t="str">
        <f>IFERROR(__xludf.DUMMYFUNCTION("""COMPUTED_VALUE"""),"Yang Lei")</f>
        <v>Yang Lei</v>
      </c>
      <c r="V3740" s="5" t="s">
        <v>20345</v>
      </c>
      <c r="W3740" s="5" t="str">
        <f t="shared" si="3"/>
        <v>Sandra Restrepo</v>
      </c>
      <c r="X3740" s="5">
        <f t="shared" si="4"/>
        <v>1</v>
      </c>
      <c r="Y3740" s="5" t="str">
        <f>IFERROR(__xludf.DUMMYFUNCTION("REGEXEXTRACT(J3740, ""^\d+"")"),"40")</f>
        <v>40</v>
      </c>
      <c r="Z3740" s="5" t="str">
        <f>IFERROR(__xludf.DUMMYFUNCTION("REGEXEXTRACT(J3740, ""[A-Za-z ]+$"")")," min")</f>
        <v> min</v>
      </c>
      <c r="AA3740" s="5" t="str">
        <f>IFERROR(__xludf.DUMMYFUNCTION("IF(REGEXMATCH(Z3740, ""Season""), ""TV Show"", ""Movie"")"),"Movie")</f>
        <v>Movie</v>
      </c>
    </row>
    <row r="3741">
      <c r="A3741" s="1" t="s">
        <v>20346</v>
      </c>
      <c r="B3741" s="1" t="s">
        <v>27</v>
      </c>
      <c r="C3741" s="1" t="s">
        <v>20347</v>
      </c>
      <c r="D3741" s="1" t="s">
        <v>20348</v>
      </c>
      <c r="E3741" s="1" t="s">
        <v>20349</v>
      </c>
      <c r="F3741" s="1" t="s">
        <v>63</v>
      </c>
      <c r="G3741" s="1" t="s">
        <v>20334</v>
      </c>
      <c r="H3741" s="1">
        <v>2019.0</v>
      </c>
      <c r="I3741" s="1" t="s">
        <v>97</v>
      </c>
      <c r="J3741" s="1" t="s">
        <v>519</v>
      </c>
      <c r="K3741" s="1" t="s">
        <v>215</v>
      </c>
      <c r="L3741" s="1" t="s">
        <v>20350</v>
      </c>
      <c r="M3741" s="2" t="s">
        <v>12</v>
      </c>
      <c r="N3741" s="4">
        <f t="shared" si="1"/>
        <v>43631</v>
      </c>
      <c r="O3741" s="5" t="str">
        <f>IFERROR(__xludf.DUMMYFUNCTION("IF(REGEXMATCH(TRIM(I3741), ""^\d+\s*min""), ""Unclassified"", IF(I3741 = """", ""NR"", I3741))"),"TV-14")</f>
        <v>TV-14</v>
      </c>
      <c r="R3741" s="5" t="str">
        <f t="shared" si="2"/>
        <v>Luckee</v>
      </c>
      <c r="S3741" s="5" t="str">
        <f>IFERROR(__xludf.DUMMYFUNCTION("""COMPUTED_VALUE"""),"Kavin Jay: Everybody Calm Down!")</f>
        <v>Kavin Jay: Everybody Calm Down!</v>
      </c>
      <c r="U3741" s="5" t="str">
        <f>IFERROR(__xludf.DUMMYFUNCTION("""COMPUTED_VALUE"""),"Andrew Tan, Stephen Murray")</f>
        <v>Andrew Tan, Stephen Murray</v>
      </c>
      <c r="V3741" s="5" t="s">
        <v>20351</v>
      </c>
      <c r="W3741" s="5" t="str">
        <f t="shared" si="3"/>
        <v>Sandy Chronopoulos</v>
      </c>
      <c r="X3741" s="5">
        <f t="shared" si="4"/>
        <v>1</v>
      </c>
      <c r="Y3741" s="5" t="str">
        <f>IFERROR(__xludf.DUMMYFUNCTION("REGEXEXTRACT(J3741, ""^\d+"")"),"113")</f>
        <v>113</v>
      </c>
      <c r="Z3741" s="5" t="str">
        <f>IFERROR(__xludf.DUMMYFUNCTION("REGEXEXTRACT(J3741, ""[A-Za-z ]+$"")")," min")</f>
        <v> min</v>
      </c>
      <c r="AA3741" s="5" t="str">
        <f>IFERROR(__xludf.DUMMYFUNCTION("IF(REGEXMATCH(Z3741, ""Season""), ""TV Show"", ""Movie"")"),"Movie")</f>
        <v>Movie</v>
      </c>
    </row>
    <row r="3742">
      <c r="A3742" s="1" t="s">
        <v>20352</v>
      </c>
      <c r="B3742" s="1" t="s">
        <v>27</v>
      </c>
      <c r="C3742" s="1" t="s">
        <v>20353</v>
      </c>
      <c r="D3742" s="1" t="s">
        <v>20354</v>
      </c>
      <c r="E3742" s="1" t="s">
        <v>20355</v>
      </c>
      <c r="F3742" s="1" t="s">
        <v>63</v>
      </c>
      <c r="G3742" s="1" t="s">
        <v>20334</v>
      </c>
      <c r="H3742" s="1">
        <v>2018.0</v>
      </c>
      <c r="I3742" s="1" t="s">
        <v>97</v>
      </c>
      <c r="J3742" s="1" t="s">
        <v>33</v>
      </c>
      <c r="K3742" s="1" t="s">
        <v>89</v>
      </c>
      <c r="L3742" s="1" t="s">
        <v>20356</v>
      </c>
      <c r="M3742" s="2" t="s">
        <v>12</v>
      </c>
      <c r="N3742" s="4">
        <f t="shared" si="1"/>
        <v>43631</v>
      </c>
      <c r="O3742" s="5" t="str">
        <f>IFERROR(__xludf.DUMMYFUNCTION("IF(REGEXMATCH(TRIM(I3742), ""^\d+\s*min""), ""Unclassified"", IF(I3742 = """", ""NR"", I3742))"),"TV-14")</f>
        <v>TV-14</v>
      </c>
      <c r="R3742" s="5" t="str">
        <f t="shared" si="2"/>
        <v>Pihu</v>
      </c>
      <c r="S3742" s="5" t="str">
        <f>IFERROR(__xludf.DUMMYFUNCTION("""COMPUTED_VALUE"""),"Kaviyude Osyath")</f>
        <v>Kaviyude Osyath</v>
      </c>
      <c r="U3742" s="5" t="str">
        <f>IFERROR(__xludf.DUMMYFUNCTION("""COMPUTED_VALUE"""),"Anders Falck, Stinus Morell Vithner")</f>
        <v>Anders Falck, Stinus Morell Vithner</v>
      </c>
      <c r="V3742" s="5" t="s">
        <v>20357</v>
      </c>
      <c r="W3742" s="5" t="str">
        <f t="shared" si="3"/>
        <v>Sang-Ho Yeon</v>
      </c>
      <c r="X3742" s="5">
        <f t="shared" si="4"/>
        <v>2</v>
      </c>
      <c r="Y3742" s="5" t="str">
        <f>IFERROR(__xludf.DUMMYFUNCTION("REGEXEXTRACT(J3742, ""^\d+"")"),"90")</f>
        <v>90</v>
      </c>
      <c r="Z3742" s="5" t="str">
        <f>IFERROR(__xludf.DUMMYFUNCTION("REGEXEXTRACT(J3742, ""[A-Za-z ]+$"")")," min")</f>
        <v> min</v>
      </c>
      <c r="AA3742" s="5" t="str">
        <f>IFERROR(__xludf.DUMMYFUNCTION("IF(REGEXMATCH(Z3742, ""Season""), ""TV Show"", ""Movie"")"),"Movie")</f>
        <v>Movie</v>
      </c>
    </row>
    <row r="3743">
      <c r="A3743" s="1" t="s">
        <v>20358</v>
      </c>
      <c r="B3743" s="1" t="s">
        <v>37</v>
      </c>
      <c r="C3743" s="1" t="s">
        <v>20359</v>
      </c>
      <c r="E3743" s="1" t="s">
        <v>20360</v>
      </c>
      <c r="F3743" s="1" t="s">
        <v>415</v>
      </c>
      <c r="G3743" s="1" t="s">
        <v>20334</v>
      </c>
      <c r="H3743" s="1">
        <v>2011.0</v>
      </c>
      <c r="I3743" s="1" t="s">
        <v>97</v>
      </c>
      <c r="J3743" s="1" t="s">
        <v>51</v>
      </c>
      <c r="K3743" s="1" t="s">
        <v>567</v>
      </c>
      <c r="L3743" s="1" t="s">
        <v>20361</v>
      </c>
      <c r="M3743" s="2" t="s">
        <v>12</v>
      </c>
      <c r="N3743" s="4">
        <f t="shared" si="1"/>
        <v>43631</v>
      </c>
      <c r="O3743" s="5" t="str">
        <f>IFERROR(__xludf.DUMMYFUNCTION("IF(REGEXMATCH(TRIM(I3743), ""^\d+\s*min""), ""Unclassified"", IF(I3743 = """", ""NR"", I3743))"),"TV-14")</f>
        <v>TV-14</v>
      </c>
      <c r="R3743" s="5" t="str">
        <f t="shared" si="2"/>
        <v>Puella Magi Madoka Magica</v>
      </c>
      <c r="S3743" s="5" t="str">
        <f>IFERROR(__xludf.DUMMYFUNCTION("""COMPUTED_VALUE"""),"Kay Dyache Bola")</f>
        <v>Kay Dyache Bola</v>
      </c>
      <c r="U3743" s="5" t="str">
        <f>IFERROR(__xludf.DUMMYFUNCTION("""COMPUTED_VALUE"""),"Mario Cambi")</f>
        <v>Mario Cambi</v>
      </c>
      <c r="V3743" s="5" t="s">
        <v>1388</v>
      </c>
      <c r="W3743" s="5" t="str">
        <f t="shared" si="3"/>
        <v>Sangeeth Sivan</v>
      </c>
      <c r="X3743" s="5">
        <f t="shared" si="4"/>
        <v>2</v>
      </c>
      <c r="Y3743" s="5" t="str">
        <f>IFERROR(__xludf.DUMMYFUNCTION("REGEXEXTRACT(J3743, ""^\d+"")"),"1")</f>
        <v>1</v>
      </c>
      <c r="Z3743" s="5" t="str">
        <f>IFERROR(__xludf.DUMMYFUNCTION("REGEXEXTRACT(J3743, ""[A-Za-z ]+$"")")," Season")</f>
        <v> Season</v>
      </c>
      <c r="AA3743" s="5" t="str">
        <f>IFERROR(__xludf.DUMMYFUNCTION("IF(REGEXMATCH(Z3743, ""Season""), ""TV Show"", ""Movie"")"),"TV Show")</f>
        <v>TV Show</v>
      </c>
    </row>
    <row r="3744">
      <c r="A3744" s="1" t="s">
        <v>20362</v>
      </c>
      <c r="B3744" s="1" t="s">
        <v>37</v>
      </c>
      <c r="C3744" s="1" t="s">
        <v>20363</v>
      </c>
      <c r="E3744" s="1" t="s">
        <v>20364</v>
      </c>
      <c r="F3744" s="1" t="s">
        <v>3892</v>
      </c>
      <c r="G3744" s="1" t="s">
        <v>20334</v>
      </c>
      <c r="H3744" s="1">
        <v>2019.0</v>
      </c>
      <c r="I3744" s="1" t="s">
        <v>42</v>
      </c>
      <c r="J3744" s="1" t="s">
        <v>51</v>
      </c>
      <c r="K3744" s="1" t="s">
        <v>64</v>
      </c>
      <c r="L3744" s="1" t="s">
        <v>20365</v>
      </c>
      <c r="M3744" s="2" t="s">
        <v>12</v>
      </c>
      <c r="N3744" s="4">
        <f t="shared" si="1"/>
        <v>43631</v>
      </c>
      <c r="O3744" s="5" t="str">
        <f>IFERROR(__xludf.DUMMYFUNCTION("IF(REGEXMATCH(TRIM(I3744), ""^\d+\s*min""), ""Unclassified"", IF(I3744 = """", ""NR"", I3744))"),"TV-MA")</f>
        <v>TV-MA</v>
      </c>
      <c r="R3744" s="5" t="str">
        <f t="shared" si="2"/>
        <v>Somewhere Only We Know</v>
      </c>
      <c r="S3744" s="5" t="str">
        <f>IFERROR(__xludf.DUMMYFUNCTION("""COMPUTED_VALUE"""),"Kazoops!")</f>
        <v>Kazoops!</v>
      </c>
      <c r="U3744" s="5" t="str">
        <f>IFERROR(__xludf.DUMMYFUNCTION("""COMPUTED_VALUE"""),"Pascal Blanchard, Sonia Dauger, David Dietz")</f>
        <v>Pascal Blanchard, Sonia Dauger, David Dietz</v>
      </c>
      <c r="V3744" s="5" t="s">
        <v>20366</v>
      </c>
      <c r="W3744" s="5" t="str">
        <f t="shared" si="3"/>
        <v>Sanjay Dayma</v>
      </c>
      <c r="X3744" s="5">
        <f t="shared" si="4"/>
        <v>1</v>
      </c>
      <c r="Y3744" s="5" t="str">
        <f>IFERROR(__xludf.DUMMYFUNCTION("REGEXEXTRACT(J3744, ""^\d+"")"),"1")</f>
        <v>1</v>
      </c>
      <c r="Z3744" s="5" t="str">
        <f>IFERROR(__xludf.DUMMYFUNCTION("REGEXEXTRACT(J3744, ""[A-Za-z ]+$"")")," Season")</f>
        <v> Season</v>
      </c>
      <c r="AA3744" s="5" t="str">
        <f>IFERROR(__xludf.DUMMYFUNCTION("IF(REGEXMATCH(Z3744, ""Season""), ""TV Show"", ""Movie"")"),"TV Show")</f>
        <v>TV Show</v>
      </c>
    </row>
    <row r="3745">
      <c r="A3745" s="1" t="s">
        <v>20367</v>
      </c>
      <c r="B3745" s="1" t="s">
        <v>37</v>
      </c>
      <c r="C3745" s="1" t="s">
        <v>20368</v>
      </c>
      <c r="D3745" s="1" t="s">
        <v>6934</v>
      </c>
      <c r="F3745" s="1" t="s">
        <v>784</v>
      </c>
      <c r="G3745" s="1" t="s">
        <v>20334</v>
      </c>
      <c r="H3745" s="1">
        <v>2019.0</v>
      </c>
      <c r="I3745" s="1" t="s">
        <v>42</v>
      </c>
      <c r="J3745" s="1" t="s">
        <v>51</v>
      </c>
      <c r="K3745" s="1" t="s">
        <v>112</v>
      </c>
      <c r="L3745" s="1" t="s">
        <v>20369</v>
      </c>
      <c r="M3745" s="2" t="s">
        <v>12</v>
      </c>
      <c r="N3745" s="4">
        <f t="shared" si="1"/>
        <v>43631</v>
      </c>
      <c r="O3745" s="5" t="str">
        <f>IFERROR(__xludf.DUMMYFUNCTION("IF(REGEXMATCH(TRIM(I3745), ""^\d+\s*min""), ""Unclassified"", IF(I3745 = """", ""NR"", I3745))"),"TV-MA")</f>
        <v>TV-MA</v>
      </c>
      <c r="R3745" s="5" t="str">
        <f t="shared" si="2"/>
        <v>The Alcàsser Murders</v>
      </c>
      <c r="S3745" s="5" t="str">
        <f>IFERROR(__xludf.DUMMYFUNCTION("""COMPUTED_VALUE"""),"Kd (A) Karuppudurai")</f>
        <v>Kd (A) Karuppudurai</v>
      </c>
      <c r="U3745" s="5" t="str">
        <f>IFERROR(__xludf.DUMMYFUNCTION("""COMPUTED_VALUE"""),"John Huston")</f>
        <v>John Huston</v>
      </c>
      <c r="V3745" s="5" t="s">
        <v>20370</v>
      </c>
      <c r="W3745" s="5" t="str">
        <f t="shared" si="3"/>
        <v>Sanjay Gupta</v>
      </c>
      <c r="X3745" s="5">
        <f t="shared" si="4"/>
        <v>1</v>
      </c>
      <c r="Y3745" s="5" t="str">
        <f>IFERROR(__xludf.DUMMYFUNCTION("REGEXEXTRACT(J3745, ""^\d+"")"),"1")</f>
        <v>1</v>
      </c>
      <c r="Z3745" s="5" t="str">
        <f>IFERROR(__xludf.DUMMYFUNCTION("REGEXEXTRACT(J3745, ""[A-Za-z ]+$"")")," Season")</f>
        <v> Season</v>
      </c>
      <c r="AA3745" s="5" t="str">
        <f>IFERROR(__xludf.DUMMYFUNCTION("IF(REGEXMATCH(Z3745, ""Season""), ""TV Show"", ""Movie"")"),"TV Show")</f>
        <v>TV Show</v>
      </c>
    </row>
    <row r="3746">
      <c r="A3746" s="1" t="s">
        <v>20371</v>
      </c>
      <c r="B3746" s="1" t="s">
        <v>37</v>
      </c>
      <c r="C3746" s="1" t="s">
        <v>20372</v>
      </c>
      <c r="E3746" s="1" t="s">
        <v>20373</v>
      </c>
      <c r="F3746" s="1" t="s">
        <v>671</v>
      </c>
      <c r="G3746" s="1" t="s">
        <v>20334</v>
      </c>
      <c r="H3746" s="1">
        <v>2017.0</v>
      </c>
      <c r="I3746" s="1" t="s">
        <v>42</v>
      </c>
      <c r="J3746" s="1" t="s">
        <v>51</v>
      </c>
      <c r="K3746" s="1" t="s">
        <v>1362</v>
      </c>
      <c r="L3746" s="1" t="s">
        <v>20374</v>
      </c>
      <c r="M3746" s="2" t="s">
        <v>12</v>
      </c>
      <c r="N3746" s="4">
        <f t="shared" si="1"/>
        <v>43631</v>
      </c>
      <c r="O3746" s="5" t="str">
        <f>IFERROR(__xludf.DUMMYFUNCTION("IF(REGEXMATCH(TRIM(I3746), ""^\d+\s*min""), ""Unclassified"", IF(I3746 = """", ""NR"", I3746))"),"TV-MA")</f>
        <v>TV-MA</v>
      </c>
      <c r="R3746" s="5" t="str">
        <f t="shared" si="2"/>
        <v>Unit 42</v>
      </c>
      <c r="S3746" s="5" t="str">
        <f>IFERROR(__xludf.DUMMYFUNCTION("""COMPUTED_VALUE"""),"Keeping The Bees")</f>
        <v>Keeping The Bees</v>
      </c>
      <c r="U3746" s="5" t="str">
        <f>IFERROR(__xludf.DUMMYFUNCTION("""COMPUTED_VALUE"""),"Onur Ünlü")</f>
        <v>Onur Ünlü</v>
      </c>
      <c r="V3746" s="5" t="s">
        <v>20348</v>
      </c>
      <c r="W3746" s="5" t="str">
        <f t="shared" si="3"/>
        <v>Sanjay Jadhav</v>
      </c>
      <c r="X3746" s="5">
        <f t="shared" si="4"/>
        <v>2</v>
      </c>
      <c r="Y3746" s="5" t="str">
        <f>IFERROR(__xludf.DUMMYFUNCTION("REGEXEXTRACT(J3746, ""^\d+"")"),"1")</f>
        <v>1</v>
      </c>
      <c r="Z3746" s="5" t="str">
        <f>IFERROR(__xludf.DUMMYFUNCTION("REGEXEXTRACT(J3746, ""[A-Za-z ]+$"")")," Season")</f>
        <v> Season</v>
      </c>
      <c r="AA3746" s="5" t="str">
        <f>IFERROR(__xludf.DUMMYFUNCTION("IF(REGEXMATCH(Z3746, ""Season""), ""TV Show"", ""Movie"")"),"TV Show")</f>
        <v>TV Show</v>
      </c>
    </row>
    <row r="3747">
      <c r="A3747" s="1" t="s">
        <v>20375</v>
      </c>
      <c r="B3747" s="1" t="s">
        <v>37</v>
      </c>
      <c r="C3747" s="1" t="s">
        <v>20376</v>
      </c>
      <c r="E3747" s="1" t="s">
        <v>20377</v>
      </c>
      <c r="F3747" s="1" t="s">
        <v>30</v>
      </c>
      <c r="G3747" s="1" t="s">
        <v>20378</v>
      </c>
      <c r="H3747" s="1">
        <v>2019.0</v>
      </c>
      <c r="I3747" s="1" t="s">
        <v>136</v>
      </c>
      <c r="J3747" s="1" t="s">
        <v>51</v>
      </c>
      <c r="K3747" s="1" t="s">
        <v>440</v>
      </c>
      <c r="L3747" s="1" t="s">
        <v>20379</v>
      </c>
      <c r="M3747" s="2" t="s">
        <v>12</v>
      </c>
      <c r="N3747" s="4">
        <f t="shared" si="1"/>
        <v>43630</v>
      </c>
      <c r="O3747" s="5" t="str">
        <f>IFERROR(__xludf.DUMMYFUNCTION("IF(REGEXMATCH(TRIM(I3747), ""^\d+\s*min""), ""Unclassified"", IF(I3747 = """", ""NR"", I3747))"),"TV-PG")</f>
        <v>TV-PG</v>
      </c>
      <c r="R3747" s="5" t="str">
        <f t="shared" si="2"/>
        <v>Awake: The Million Dollar Game</v>
      </c>
      <c r="S3747" s="5" t="str">
        <f>IFERROR(__xludf.DUMMYFUNCTION("""COMPUTED_VALUE"""),"Keith Richards: Under The Influence")</f>
        <v>Keith Richards: Under The Influence</v>
      </c>
      <c r="U3747" s="5" t="str">
        <f>IFERROR(__xludf.DUMMYFUNCTION("""COMPUTED_VALUE"""),"Jenna Laurenzo")</f>
        <v>Jenna Laurenzo</v>
      </c>
      <c r="V3747" s="5" t="s">
        <v>20380</v>
      </c>
      <c r="W3747" s="5" t="str">
        <f t="shared" si="3"/>
        <v>Sanjay Leela Bhansali</v>
      </c>
      <c r="X3747" s="5">
        <f t="shared" si="4"/>
        <v>1</v>
      </c>
      <c r="Y3747" s="5" t="str">
        <f>IFERROR(__xludf.DUMMYFUNCTION("REGEXEXTRACT(J3747, ""^\d+"")"),"1")</f>
        <v>1</v>
      </c>
      <c r="Z3747" s="5" t="str">
        <f>IFERROR(__xludf.DUMMYFUNCTION("REGEXEXTRACT(J3747, ""[A-Za-z ]+$"")")," Season")</f>
        <v> Season</v>
      </c>
      <c r="AA3747" s="5" t="str">
        <f>IFERROR(__xludf.DUMMYFUNCTION("IF(REGEXMATCH(Z3747, ""Season""), ""TV Show"", ""Movie"")"),"TV Show")</f>
        <v>TV Show</v>
      </c>
    </row>
    <row r="3748">
      <c r="A3748" s="1" t="s">
        <v>20381</v>
      </c>
      <c r="B3748" s="1" t="s">
        <v>37</v>
      </c>
      <c r="C3748" s="1" t="s">
        <v>20382</v>
      </c>
      <c r="E3748" s="1" t="s">
        <v>20383</v>
      </c>
      <c r="F3748" s="1" t="s">
        <v>3217</v>
      </c>
      <c r="G3748" s="1" t="s">
        <v>20378</v>
      </c>
      <c r="H3748" s="1">
        <v>2019.0</v>
      </c>
      <c r="I3748" s="1" t="s">
        <v>42</v>
      </c>
      <c r="J3748" s="1" t="s">
        <v>43</v>
      </c>
      <c r="K3748" s="1" t="s">
        <v>1362</v>
      </c>
      <c r="L3748" s="1" t="s">
        <v>20384</v>
      </c>
      <c r="M3748" s="2" t="s">
        <v>12</v>
      </c>
      <c r="N3748" s="4">
        <f t="shared" si="1"/>
        <v>43630</v>
      </c>
      <c r="O3748" s="5" t="str">
        <f>IFERROR(__xludf.DUMMYFUNCTION("IF(REGEXMATCH(TRIM(I3748), ""^\d+\s*min""), ""Unclassified"", IF(I3748 = """", ""NR"", I3748))"),"TV-MA")</f>
        <v>TV-MA</v>
      </c>
      <c r="R3748" s="5" t="str">
        <f t="shared" si="2"/>
        <v>Black Spot</v>
      </c>
      <c r="S3748" s="5" t="str">
        <f>IFERROR(__xludf.DUMMYFUNCTION("""COMPUTED_VALUE"""),"Ken Burns Presents: College Behind Bars: A Film By Lynn Novick And Produced By Sarah Botstein")</f>
        <v>Ken Burns Presents: College Behind Bars: A Film By Lynn Novick And Produced By Sarah Botstein</v>
      </c>
      <c r="U3748" s="5" t="str">
        <f>IFERROR(__xludf.DUMMYFUNCTION("""COMPUTED_VALUE"""),"Justin Mcconnell")</f>
        <v>Justin Mcconnell</v>
      </c>
      <c r="V3748" s="5" t="s">
        <v>20385</v>
      </c>
      <c r="W3748" s="5" t="str">
        <f t="shared" si="3"/>
        <v>Sanjay Patel</v>
      </c>
      <c r="X3748" s="5">
        <f t="shared" si="4"/>
        <v>1</v>
      </c>
      <c r="Y3748" s="5" t="str">
        <f>IFERROR(__xludf.DUMMYFUNCTION("REGEXEXTRACT(J3748, ""^\d+"")"),"2")</f>
        <v>2</v>
      </c>
      <c r="Z3748" s="5" t="str">
        <f>IFERROR(__xludf.DUMMYFUNCTION("REGEXEXTRACT(J3748, ""[A-Za-z ]+$"")")," Seasons")</f>
        <v> Seasons</v>
      </c>
      <c r="AA3748" s="5" t="str">
        <f>IFERROR(__xludf.DUMMYFUNCTION("IF(REGEXMATCH(Z3748, ""Season""), ""TV Show"", ""Movie"")"),"TV Show")</f>
        <v>TV Show</v>
      </c>
    </row>
    <row r="3749">
      <c r="A3749" s="1" t="s">
        <v>20386</v>
      </c>
      <c r="B3749" s="1" t="s">
        <v>27</v>
      </c>
      <c r="C3749" s="1" t="s">
        <v>20387</v>
      </c>
      <c r="D3749" s="1" t="s">
        <v>133</v>
      </c>
      <c r="E3749" s="1" t="s">
        <v>20388</v>
      </c>
      <c r="F3749" s="1" t="s">
        <v>1992</v>
      </c>
      <c r="G3749" s="1" t="s">
        <v>20378</v>
      </c>
      <c r="H3749" s="1">
        <v>2019.0</v>
      </c>
      <c r="I3749" s="1" t="s">
        <v>136</v>
      </c>
      <c r="J3749" s="1" t="s">
        <v>465</v>
      </c>
      <c r="K3749" s="1" t="s">
        <v>137</v>
      </c>
      <c r="L3749" s="1" t="s">
        <v>20389</v>
      </c>
      <c r="M3749" s="2" t="s">
        <v>12</v>
      </c>
      <c r="N3749" s="4">
        <f t="shared" si="1"/>
        <v>43630</v>
      </c>
      <c r="O3749" s="5" t="str">
        <f>IFERROR(__xludf.DUMMYFUNCTION("IF(REGEXMATCH(TRIM(I3749), ""^\d+\s*min""), ""Unclassified"", IF(I3749 = """", ""NR"", I3749))"),"TV-PG")</f>
        <v>TV-PG</v>
      </c>
      <c r="R3749" s="5" t="str">
        <f t="shared" si="2"/>
        <v>Dj Cinderella</v>
      </c>
      <c r="S3749" s="5" t="str">
        <f>IFERROR(__xludf.DUMMYFUNCTION("""COMPUTED_VALUE"""),"Ken Burns: The Civil War")</f>
        <v>Ken Burns: The Civil War</v>
      </c>
      <c r="U3749" s="5" t="str">
        <f>IFERROR(__xludf.DUMMYFUNCTION("""COMPUTED_VALUE"""),"Kevin Peeples")</f>
        <v>Kevin Peeples</v>
      </c>
      <c r="V3749" s="5" t="s">
        <v>20390</v>
      </c>
      <c r="W3749" s="5" t="str">
        <f t="shared" si="3"/>
        <v>Sanjay Soorkar</v>
      </c>
      <c r="X3749" s="5">
        <f t="shared" si="4"/>
        <v>1</v>
      </c>
      <c r="Y3749" s="5" t="str">
        <f>IFERROR(__xludf.DUMMYFUNCTION("REGEXEXTRACT(J3749, ""^\d+"")"),"95")</f>
        <v>95</v>
      </c>
      <c r="Z3749" s="5" t="str">
        <f>IFERROR(__xludf.DUMMYFUNCTION("REGEXEXTRACT(J3749, ""[A-Za-z ]+$"")")," min")</f>
        <v> min</v>
      </c>
      <c r="AA3749" s="5" t="str">
        <f>IFERROR(__xludf.DUMMYFUNCTION("IF(REGEXMATCH(Z3749, ""Season""), ""TV Show"", ""Movie"")"),"Movie")</f>
        <v>Movie</v>
      </c>
    </row>
    <row r="3750">
      <c r="A3750" s="1" t="s">
        <v>20391</v>
      </c>
      <c r="B3750" s="1" t="s">
        <v>37</v>
      </c>
      <c r="C3750" s="1" t="s">
        <v>20392</v>
      </c>
      <c r="E3750" s="1" t="s">
        <v>20393</v>
      </c>
      <c r="G3750" s="1" t="s">
        <v>20378</v>
      </c>
      <c r="H3750" s="1">
        <v>2019.0</v>
      </c>
      <c r="I3750" s="1" t="s">
        <v>42</v>
      </c>
      <c r="J3750" s="1" t="s">
        <v>43</v>
      </c>
      <c r="K3750" s="1" t="s">
        <v>785</v>
      </c>
      <c r="L3750" s="1" t="s">
        <v>20394</v>
      </c>
      <c r="M3750" s="2" t="s">
        <v>12</v>
      </c>
      <c r="N3750" s="4">
        <f t="shared" si="1"/>
        <v>43630</v>
      </c>
      <c r="O3750" s="5" t="str">
        <f>IFERROR(__xludf.DUMMYFUNCTION("IF(REGEXMATCH(TRIM(I3750), ""^\d+\s*min""), ""Unclassified"", IF(I3750 = """", ""NR"", I3750))"),"TV-MA")</f>
        <v>TV-MA</v>
      </c>
      <c r="R3750" s="5" t="str">
        <f t="shared" si="2"/>
        <v>El Desconocido</v>
      </c>
      <c r="S3750" s="5" t="str">
        <f>IFERROR(__xludf.DUMMYFUNCTION("""COMPUTED_VALUE"""),"Ken Burns: The Roosevelts: An Intimate History")</f>
        <v>Ken Burns: The Roosevelts: An Intimate History</v>
      </c>
      <c r="U3750" s="5" t="str">
        <f>IFERROR(__xludf.DUMMYFUNCTION("""COMPUTED_VALUE"""),"Alfonso Arau")</f>
        <v>Alfonso Arau</v>
      </c>
      <c r="V3750" s="5" t="s">
        <v>20395</v>
      </c>
      <c r="W3750" s="5" t="str">
        <f t="shared" si="3"/>
        <v>Sanjeev Gupta</v>
      </c>
      <c r="X3750" s="5">
        <f t="shared" si="4"/>
        <v>1</v>
      </c>
      <c r="Y3750" s="5" t="str">
        <f>IFERROR(__xludf.DUMMYFUNCTION("REGEXEXTRACT(J3750, ""^\d+"")"),"2")</f>
        <v>2</v>
      </c>
      <c r="Z3750" s="5" t="str">
        <f>IFERROR(__xludf.DUMMYFUNCTION("REGEXEXTRACT(J3750, ""[A-Za-z ]+$"")")," Seasons")</f>
        <v> Seasons</v>
      </c>
      <c r="AA3750" s="5" t="str">
        <f>IFERROR(__xludf.DUMMYFUNCTION("IF(REGEXMATCH(Z3750, ""Season""), ""TV Show"", ""Movie"")"),"TV Show")</f>
        <v>TV Show</v>
      </c>
    </row>
    <row r="3751">
      <c r="A3751" s="1" t="s">
        <v>20396</v>
      </c>
      <c r="B3751" s="1" t="s">
        <v>37</v>
      </c>
      <c r="C3751" s="1" t="s">
        <v>20397</v>
      </c>
      <c r="E3751" s="1" t="s">
        <v>20398</v>
      </c>
      <c r="F3751" s="1" t="s">
        <v>30</v>
      </c>
      <c r="G3751" s="1" t="s">
        <v>20378</v>
      </c>
      <c r="H3751" s="1">
        <v>2019.0</v>
      </c>
      <c r="I3751" s="1" t="s">
        <v>42</v>
      </c>
      <c r="J3751" s="1" t="s">
        <v>189</v>
      </c>
      <c r="K3751" s="1" t="s">
        <v>149</v>
      </c>
      <c r="L3751" s="1" t="s">
        <v>20399</v>
      </c>
      <c r="M3751" s="2" t="s">
        <v>12</v>
      </c>
      <c r="N3751" s="4">
        <f t="shared" si="1"/>
        <v>43630</v>
      </c>
      <c r="O3751" s="5" t="str">
        <f>IFERROR(__xludf.DUMMYFUNCTION("IF(REGEXMATCH(TRIM(I3751), ""^\d+\s*min""), ""Unclassified"", IF(I3751 = """", ""NR"", I3751))"),"TV-MA")</f>
        <v>TV-MA</v>
      </c>
      <c r="R3751" s="5" t="str">
        <f t="shared" si="2"/>
        <v>Girlfriends' Guide To Divorce</v>
      </c>
      <c r="S3751" s="5" t="str">
        <f>IFERROR(__xludf.DUMMYFUNCTION("""COMPUTED_VALUE"""),"Ken Burns: The West")</f>
        <v>Ken Burns: The West</v>
      </c>
      <c r="U3751" s="5" t="str">
        <f>IFERROR(__xludf.DUMMYFUNCTION("""COMPUTED_VALUE"""),"Karim El Sobky")</f>
        <v>Karim El Sobky</v>
      </c>
      <c r="V3751" s="5" t="s">
        <v>20400</v>
      </c>
      <c r="W3751" s="5" t="str">
        <f t="shared" si="3"/>
        <v>Sanjib Dey</v>
      </c>
      <c r="X3751" s="5">
        <f t="shared" si="4"/>
        <v>1</v>
      </c>
      <c r="Y3751" s="5" t="str">
        <f>IFERROR(__xludf.DUMMYFUNCTION("REGEXEXTRACT(J3751, ""^\d+"")"),"5")</f>
        <v>5</v>
      </c>
      <c r="Z3751" s="5" t="str">
        <f>IFERROR(__xludf.DUMMYFUNCTION("REGEXEXTRACT(J3751, ""[A-Za-z ]+$"")")," Seasons")</f>
        <v> Seasons</v>
      </c>
      <c r="AA3751" s="5" t="str">
        <f>IFERROR(__xludf.DUMMYFUNCTION("IF(REGEXMATCH(Z3751, ""Season""), ""TV Show"", ""Movie"")"),"TV Show")</f>
        <v>TV Show</v>
      </c>
    </row>
    <row r="3752">
      <c r="A3752" s="1" t="s">
        <v>20401</v>
      </c>
      <c r="B3752" s="1" t="s">
        <v>37</v>
      </c>
      <c r="C3752" s="1" t="s">
        <v>20402</v>
      </c>
      <c r="E3752" s="1" t="s">
        <v>20403</v>
      </c>
      <c r="F3752" s="1" t="s">
        <v>63</v>
      </c>
      <c r="G3752" s="1" t="s">
        <v>20378</v>
      </c>
      <c r="H3752" s="1">
        <v>2019.0</v>
      </c>
      <c r="I3752" s="1" t="s">
        <v>42</v>
      </c>
      <c r="J3752" s="1" t="s">
        <v>51</v>
      </c>
      <c r="K3752" s="1" t="s">
        <v>3361</v>
      </c>
      <c r="L3752" s="1" t="s">
        <v>20404</v>
      </c>
      <c r="M3752" s="2" t="s">
        <v>12</v>
      </c>
      <c r="N3752" s="4">
        <f t="shared" si="1"/>
        <v>43630</v>
      </c>
      <c r="O3752" s="5" t="str">
        <f>IFERROR(__xludf.DUMMYFUNCTION("IF(REGEXMATCH(TRIM(I3752), ""^\d+\s*min""), ""Unclassified"", IF(I3752 = """", ""NR"", I3752))"),"TV-MA")</f>
        <v>TV-MA</v>
      </c>
      <c r="R3752" s="5" t="str">
        <f t="shared" si="2"/>
        <v>Leila</v>
      </c>
      <c r="S3752" s="5" t="str">
        <f>IFERROR(__xludf.DUMMYFUNCTION("""COMPUTED_VALUE"""),"Ken Jeong: You Complete Me, Ho")</f>
        <v>Ken Jeong: You Complete Me, Ho</v>
      </c>
      <c r="U3752" s="5" t="str">
        <f>IFERROR(__xludf.DUMMYFUNCTION("""COMPUTED_VALUE"""),"Ellen Weissbrod")</f>
        <v>Ellen Weissbrod</v>
      </c>
      <c r="V3752" s="5" t="s">
        <v>17865</v>
      </c>
      <c r="W3752" s="5" t="str">
        <f t="shared" si="3"/>
        <v>Sanjiv Jaiswal</v>
      </c>
      <c r="X3752" s="5">
        <f t="shared" si="4"/>
        <v>1</v>
      </c>
      <c r="Y3752" s="5" t="str">
        <f>IFERROR(__xludf.DUMMYFUNCTION("REGEXEXTRACT(J3752, ""^\d+"")"),"1")</f>
        <v>1</v>
      </c>
      <c r="Z3752" s="5" t="str">
        <f>IFERROR(__xludf.DUMMYFUNCTION("REGEXEXTRACT(J3752, ""[A-Za-z ]+$"")")," Season")</f>
        <v> Season</v>
      </c>
      <c r="AA3752" s="5" t="str">
        <f>IFERROR(__xludf.DUMMYFUNCTION("IF(REGEXMATCH(Z3752, ""Season""), ""TV Show"", ""Movie"")"),"TV Show")</f>
        <v>TV Show</v>
      </c>
    </row>
    <row r="3753">
      <c r="A3753" s="1" t="s">
        <v>20405</v>
      </c>
      <c r="B3753" s="1" t="s">
        <v>37</v>
      </c>
      <c r="C3753" s="1" t="s">
        <v>20406</v>
      </c>
      <c r="E3753" s="1" t="s">
        <v>20407</v>
      </c>
      <c r="F3753" s="1" t="s">
        <v>30</v>
      </c>
      <c r="G3753" s="1" t="s">
        <v>20378</v>
      </c>
      <c r="H3753" s="1">
        <v>2018.0</v>
      </c>
      <c r="I3753" s="1" t="s">
        <v>97</v>
      </c>
      <c r="J3753" s="1" t="s">
        <v>43</v>
      </c>
      <c r="K3753" s="1" t="s">
        <v>270</v>
      </c>
      <c r="L3753" s="1" t="s">
        <v>20408</v>
      </c>
      <c r="M3753" s="2" t="s">
        <v>12</v>
      </c>
      <c r="N3753" s="4">
        <f t="shared" si="1"/>
        <v>43630</v>
      </c>
      <c r="O3753" s="5" t="str">
        <f>IFERROR(__xludf.DUMMYFUNCTION("IF(REGEXMATCH(TRIM(I3753), ""^\d+\s*min""), ""Unclassified"", IF(I3753 = """", ""NR"", I3753))"),"TV-14")</f>
        <v>TV-14</v>
      </c>
      <c r="R3753" s="5" t="str">
        <f t="shared" si="2"/>
        <v>Marlon</v>
      </c>
      <c r="S3753" s="5" t="str">
        <f>IFERROR(__xludf.DUMMYFUNCTION("""COMPUTED_VALUE"""),"Kengan Ashura")</f>
        <v>Kengan Ashura</v>
      </c>
      <c r="U3753" s="5" t="str">
        <f>IFERROR(__xludf.DUMMYFUNCTION("""COMPUTED_VALUE"""),"Hua Shan")</f>
        <v>Hua Shan</v>
      </c>
      <c r="V3753" s="5" t="s">
        <v>5831</v>
      </c>
      <c r="W3753" s="5" t="str">
        <f t="shared" si="3"/>
        <v>Santhosh Viswanath</v>
      </c>
      <c r="X3753" s="5">
        <f t="shared" si="4"/>
        <v>1</v>
      </c>
      <c r="Y3753" s="5" t="str">
        <f>IFERROR(__xludf.DUMMYFUNCTION("REGEXEXTRACT(J3753, ""^\d+"")"),"2")</f>
        <v>2</v>
      </c>
      <c r="Z3753" s="5" t="str">
        <f>IFERROR(__xludf.DUMMYFUNCTION("REGEXEXTRACT(J3753, ""[A-Za-z ]+$"")")," Seasons")</f>
        <v> Seasons</v>
      </c>
      <c r="AA3753" s="5" t="str">
        <f>IFERROR(__xludf.DUMMYFUNCTION("IF(REGEXMATCH(Z3753, ""Season""), ""TV Show"", ""Movie"")"),"TV Show")</f>
        <v>TV Show</v>
      </c>
    </row>
    <row r="3754">
      <c r="A3754" s="1" t="s">
        <v>20409</v>
      </c>
      <c r="B3754" s="1" t="s">
        <v>37</v>
      </c>
      <c r="C3754" s="1" t="s">
        <v>20410</v>
      </c>
      <c r="E3754" s="1" t="s">
        <v>20411</v>
      </c>
      <c r="F3754" s="1" t="s">
        <v>30</v>
      </c>
      <c r="G3754" s="1" t="s">
        <v>20378</v>
      </c>
      <c r="H3754" s="1">
        <v>2019.0</v>
      </c>
      <c r="I3754" s="1" t="s">
        <v>42</v>
      </c>
      <c r="J3754" s="1" t="s">
        <v>276</v>
      </c>
      <c r="K3754" s="1" t="s">
        <v>13666</v>
      </c>
      <c r="L3754" s="1" t="s">
        <v>20412</v>
      </c>
      <c r="M3754" s="2" t="s">
        <v>12</v>
      </c>
      <c r="N3754" s="4">
        <f t="shared" si="1"/>
        <v>43630</v>
      </c>
      <c r="O3754" s="5" t="str">
        <f>IFERROR(__xludf.DUMMYFUNCTION("IF(REGEXMATCH(TRIM(I3754), ""^\d+\s*min""), ""Unclassified"", IF(I3754 = """", ""NR"", I3754))"),"TV-MA")</f>
        <v>TV-MA</v>
      </c>
      <c r="R3754" s="5" t="str">
        <f t="shared" si="2"/>
        <v>Marvel'S Jessica Jones</v>
      </c>
      <c r="S3754" s="5" t="str">
        <f>IFERROR(__xludf.DUMMYFUNCTION("""COMPUTED_VALUE"""),"Kenny Sebastian: The Most Interesting Person In The Room")</f>
        <v>Kenny Sebastian: The Most Interesting Person In The Room</v>
      </c>
      <c r="U3754" s="5" t="str">
        <f>IFERROR(__xludf.DUMMYFUNCTION("""COMPUTED_VALUE"""),"Tim Bartley")</f>
        <v>Tim Bartley</v>
      </c>
      <c r="V3754" s="5" t="s">
        <v>10323</v>
      </c>
      <c r="W3754" s="5" t="str">
        <f t="shared" si="3"/>
        <v>Santiago Alvarado Ilarri</v>
      </c>
      <c r="X3754" s="5">
        <f t="shared" si="4"/>
        <v>1</v>
      </c>
      <c r="Y3754" s="5" t="str">
        <f>IFERROR(__xludf.DUMMYFUNCTION("REGEXEXTRACT(J3754, ""^\d+"")"),"3")</f>
        <v>3</v>
      </c>
      <c r="Z3754" s="5" t="str">
        <f>IFERROR(__xludf.DUMMYFUNCTION("REGEXEXTRACT(J3754, ""[A-Za-z ]+$"")")," Seasons")</f>
        <v> Seasons</v>
      </c>
      <c r="AA3754" s="5" t="str">
        <f>IFERROR(__xludf.DUMMYFUNCTION("IF(REGEXMATCH(Z3754, ""Season""), ""TV Show"", ""Movie"")"),"TV Show")</f>
        <v>TV Show</v>
      </c>
    </row>
    <row r="3755">
      <c r="A3755" s="1" t="s">
        <v>20413</v>
      </c>
      <c r="B3755" s="1" t="s">
        <v>27</v>
      </c>
      <c r="C3755" s="1" t="s">
        <v>20414</v>
      </c>
      <c r="D3755" s="1" t="s">
        <v>13270</v>
      </c>
      <c r="E3755" s="1" t="s">
        <v>20415</v>
      </c>
      <c r="F3755" s="1" t="s">
        <v>30</v>
      </c>
      <c r="G3755" s="1" t="s">
        <v>20378</v>
      </c>
      <c r="H3755" s="1">
        <v>2019.0</v>
      </c>
      <c r="I3755" s="1" t="s">
        <v>32</v>
      </c>
      <c r="J3755" s="1" t="s">
        <v>357</v>
      </c>
      <c r="K3755" s="1" t="s">
        <v>239</v>
      </c>
      <c r="L3755" s="1" t="s">
        <v>20416</v>
      </c>
      <c r="M3755" s="2" t="s">
        <v>12</v>
      </c>
      <c r="N3755" s="4">
        <f t="shared" si="1"/>
        <v>43630</v>
      </c>
      <c r="O3755" s="5" t="str">
        <f>IFERROR(__xludf.DUMMYFUNCTION("IF(REGEXMATCH(TRIM(I3755), ""^\d+\s*min""), ""Unclassified"", IF(I3755 = """", ""NR"", I3755))"),"PG-13")</f>
        <v>PG-13</v>
      </c>
      <c r="R3755" s="5" t="str">
        <f t="shared" si="2"/>
        <v>Murder Mystery</v>
      </c>
      <c r="S3755" s="5" t="str">
        <f>IFERROR(__xludf.DUMMYFUNCTION("""COMPUTED_VALUE"""),"Kevin Hart: Don’T F**K This Up")</f>
        <v>Kevin Hart: Don’T F**K This Up</v>
      </c>
      <c r="U3755" s="5" t="str">
        <f>IFERROR(__xludf.DUMMYFUNCTION("""COMPUTED_VALUE"""),"Robyn Butler")</f>
        <v>Robyn Butler</v>
      </c>
      <c r="V3755" s="5" t="s">
        <v>20417</v>
      </c>
      <c r="W3755" s="5" t="str">
        <f t="shared" si="3"/>
        <v>Santiago Diaz, Pablo Martin Farina</v>
      </c>
      <c r="X3755" s="5">
        <f t="shared" si="4"/>
        <v>1</v>
      </c>
      <c r="Y3755" s="5" t="str">
        <f>IFERROR(__xludf.DUMMYFUNCTION("REGEXEXTRACT(J3755, ""^\d+"")"),"98")</f>
        <v>98</v>
      </c>
      <c r="Z3755" s="5" t="str">
        <f>IFERROR(__xludf.DUMMYFUNCTION("REGEXEXTRACT(J3755, ""[A-Za-z ]+$"")")," min")</f>
        <v> min</v>
      </c>
      <c r="AA3755" s="5" t="str">
        <f>IFERROR(__xludf.DUMMYFUNCTION("IF(REGEXMATCH(Z3755, ""Season""), ""TV Show"", ""Movie"")"),"Movie")</f>
        <v>Movie</v>
      </c>
    </row>
    <row r="3756">
      <c r="A3756" s="1" t="s">
        <v>20418</v>
      </c>
      <c r="B3756" s="1" t="s">
        <v>37</v>
      </c>
      <c r="C3756" s="1" t="s">
        <v>20419</v>
      </c>
      <c r="E3756" s="1" t="s">
        <v>20420</v>
      </c>
      <c r="F3756" s="1" t="s">
        <v>162</v>
      </c>
      <c r="G3756" s="1" t="s">
        <v>20378</v>
      </c>
      <c r="H3756" s="1">
        <v>2019.0</v>
      </c>
      <c r="I3756" s="1" t="s">
        <v>42</v>
      </c>
      <c r="J3756" s="1" t="s">
        <v>51</v>
      </c>
      <c r="K3756" s="1" t="s">
        <v>785</v>
      </c>
      <c r="L3756" s="1" t="s">
        <v>20421</v>
      </c>
      <c r="M3756" s="2" t="s">
        <v>12</v>
      </c>
      <c r="N3756" s="4">
        <f t="shared" si="1"/>
        <v>43630</v>
      </c>
      <c r="O3756" s="5" t="str">
        <f>IFERROR(__xludf.DUMMYFUNCTION("IF(REGEXMATCH(TRIM(I3756), ""^\d+\s*min""), ""Unclassified"", IF(I3756 = """", ""NR"", I3756))"),"TV-MA")</f>
        <v>TV-MA</v>
      </c>
      <c r="R3756" s="5" t="str">
        <f t="shared" si="2"/>
        <v>Yankee</v>
      </c>
      <c r="S3756" s="5" t="str">
        <f>IFERROR(__xludf.DUMMYFUNCTION("""COMPUTED_VALUE"""),"Kevin Hart: I'M A Grown Little Man")</f>
        <v>Kevin Hart: I'M A Grown Little Man</v>
      </c>
      <c r="U3756" s="5" t="str">
        <f>IFERROR(__xludf.DUMMYFUNCTION("""COMPUTED_VALUE"""),"Ira Sachs")</f>
        <v>Ira Sachs</v>
      </c>
      <c r="V3756" s="5" t="s">
        <v>20422</v>
      </c>
      <c r="W3756" s="5" t="str">
        <f t="shared" si="3"/>
        <v>Santosh Manjrekar</v>
      </c>
      <c r="X3756" s="5">
        <f t="shared" si="4"/>
        <v>1</v>
      </c>
      <c r="Y3756" s="5" t="str">
        <f>IFERROR(__xludf.DUMMYFUNCTION("REGEXEXTRACT(J3756, ""^\d+"")"),"1")</f>
        <v>1</v>
      </c>
      <c r="Z3756" s="5" t="str">
        <f>IFERROR(__xludf.DUMMYFUNCTION("REGEXEXTRACT(J3756, ""[A-Za-z ]+$"")")," Season")</f>
        <v> Season</v>
      </c>
      <c r="AA3756" s="5" t="str">
        <f>IFERROR(__xludf.DUMMYFUNCTION("IF(REGEXMATCH(Z3756, ""Season""), ""TV Show"", ""Movie"")"),"TV Show")</f>
        <v>TV Show</v>
      </c>
    </row>
    <row r="3757">
      <c r="A3757" s="1" t="s">
        <v>20423</v>
      </c>
      <c r="B3757" s="1" t="s">
        <v>37</v>
      </c>
      <c r="C3757" s="1" t="s">
        <v>20424</v>
      </c>
      <c r="E3757" s="1" t="s">
        <v>20425</v>
      </c>
      <c r="F3757" s="1" t="s">
        <v>1828</v>
      </c>
      <c r="G3757" s="1" t="s">
        <v>20426</v>
      </c>
      <c r="H3757" s="1">
        <v>2019.0</v>
      </c>
      <c r="I3757" s="1" t="s">
        <v>42</v>
      </c>
      <c r="J3757" s="1" t="s">
        <v>51</v>
      </c>
      <c r="K3757" s="1" t="s">
        <v>44</v>
      </c>
      <c r="L3757" s="1" t="s">
        <v>20427</v>
      </c>
      <c r="M3757" s="2" t="s">
        <v>12</v>
      </c>
      <c r="N3757" s="4">
        <f t="shared" si="1"/>
        <v>43629</v>
      </c>
      <c r="O3757" s="5" t="str">
        <f>IFERROR(__xludf.DUMMYFUNCTION("IF(REGEXMATCH(TRIM(I3757), ""^\d+\s*min""), ""Unclassified"", IF(I3757 = """", ""NR"", I3757))"),"TV-MA")</f>
        <v>TV-MA</v>
      </c>
      <c r="R3757" s="5" t="str">
        <f t="shared" si="2"/>
        <v>Jinn</v>
      </c>
      <c r="S3757" s="5" t="str">
        <f>IFERROR(__xludf.DUMMYFUNCTION("""COMPUTED_VALUE"""),"Kevin Hart: Irresponsible")</f>
        <v>Kevin Hart: Irresponsible</v>
      </c>
      <c r="U3757" s="5" t="str">
        <f>IFERROR(__xludf.DUMMYFUNCTION("""COMPUTED_VALUE"""),"Zach Clark")</f>
        <v>Zach Clark</v>
      </c>
      <c r="V3757" s="5" t="s">
        <v>20428</v>
      </c>
      <c r="W3757" s="5" t="str">
        <f t="shared" si="3"/>
        <v>Santosh Sivan</v>
      </c>
      <c r="X3757" s="5">
        <f t="shared" si="4"/>
        <v>2</v>
      </c>
      <c r="Y3757" s="5" t="str">
        <f>IFERROR(__xludf.DUMMYFUNCTION("REGEXEXTRACT(J3757, ""^\d+"")"),"1")</f>
        <v>1</v>
      </c>
      <c r="Z3757" s="5" t="str">
        <f>IFERROR(__xludf.DUMMYFUNCTION("REGEXEXTRACT(J3757, ""[A-Za-z ]+$"")")," Season")</f>
        <v> Season</v>
      </c>
      <c r="AA3757" s="5" t="str">
        <f>IFERROR(__xludf.DUMMYFUNCTION("IF(REGEXMATCH(Z3757, ""Season""), ""TV Show"", ""Movie"")"),"TV Show")</f>
        <v>TV Show</v>
      </c>
    </row>
    <row r="3758">
      <c r="A3758" s="1" t="s">
        <v>20429</v>
      </c>
      <c r="B3758" s="1" t="s">
        <v>27</v>
      </c>
      <c r="C3758" s="1" t="s">
        <v>20430</v>
      </c>
      <c r="D3758" s="1" t="s">
        <v>14928</v>
      </c>
      <c r="E3758" s="1" t="s">
        <v>20431</v>
      </c>
      <c r="F3758" s="1" t="s">
        <v>30</v>
      </c>
      <c r="G3758" s="1" t="s">
        <v>20426</v>
      </c>
      <c r="H3758" s="1">
        <v>2019.0</v>
      </c>
      <c r="I3758" s="1" t="s">
        <v>136</v>
      </c>
      <c r="J3758" s="1" t="s">
        <v>207</v>
      </c>
      <c r="K3758" s="1" t="s">
        <v>34</v>
      </c>
      <c r="L3758" s="1" t="s">
        <v>20432</v>
      </c>
      <c r="M3758" s="2" t="s">
        <v>12</v>
      </c>
      <c r="N3758" s="4">
        <f t="shared" si="1"/>
        <v>43629</v>
      </c>
      <c r="O3758" s="5" t="str">
        <f>IFERROR(__xludf.DUMMYFUNCTION("IF(REGEXMATCH(TRIM(I3758), ""^\d+\s*min""), ""Unclassified"", IF(I3758 = """", ""NR"", I3758))"),"TV-PG")</f>
        <v>TV-PG</v>
      </c>
      <c r="R3758" s="5" t="str">
        <f t="shared" si="2"/>
        <v>Oprah Presents When They See Us Now</v>
      </c>
      <c r="S3758" s="5" t="str">
        <f>IFERROR(__xludf.DUMMYFUNCTION("""COMPUTED_VALUE"""),"Kevin Hart: Laugh At My Pain")</f>
        <v>Kevin Hart: Laugh At My Pain</v>
      </c>
      <c r="U3758" s="5" t="str">
        <f>IFERROR(__xludf.DUMMYFUNCTION("""COMPUTED_VALUE"""),"Nick Gomez")</f>
        <v>Nick Gomez</v>
      </c>
      <c r="V3758" s="5" t="s">
        <v>1374</v>
      </c>
      <c r="W3758" s="5" t="str">
        <f t="shared" si="3"/>
        <v>Santram Varma</v>
      </c>
      <c r="X3758" s="5">
        <f t="shared" si="4"/>
        <v>1</v>
      </c>
      <c r="Y3758" s="5" t="str">
        <f>IFERROR(__xludf.DUMMYFUNCTION("REGEXEXTRACT(J3758, ""^\d+"")"),"61")</f>
        <v>61</v>
      </c>
      <c r="Z3758" s="5" t="str">
        <f>IFERROR(__xludf.DUMMYFUNCTION("REGEXEXTRACT(J3758, ""[A-Za-z ]+$"")")," min")</f>
        <v> min</v>
      </c>
      <c r="AA3758" s="5" t="str">
        <f>IFERROR(__xludf.DUMMYFUNCTION("IF(REGEXMATCH(Z3758, ""Season""), ""TV Show"", ""Movie"")"),"Movie")</f>
        <v>Movie</v>
      </c>
    </row>
    <row r="3759">
      <c r="A3759" s="1" t="s">
        <v>20433</v>
      </c>
      <c r="B3759" s="1" t="s">
        <v>27</v>
      </c>
      <c r="C3759" s="1" t="s">
        <v>20434</v>
      </c>
      <c r="D3759" s="1" t="s">
        <v>19590</v>
      </c>
      <c r="E3759" s="1" t="s">
        <v>20435</v>
      </c>
      <c r="F3759" s="1" t="s">
        <v>2873</v>
      </c>
      <c r="G3759" s="1" t="s">
        <v>20426</v>
      </c>
      <c r="H3759" s="1">
        <v>2019.0</v>
      </c>
      <c r="I3759" s="1" t="s">
        <v>42</v>
      </c>
      <c r="J3759" s="1" t="s">
        <v>743</v>
      </c>
      <c r="K3759" s="1" t="s">
        <v>1441</v>
      </c>
      <c r="L3759" s="1" t="s">
        <v>20436</v>
      </c>
      <c r="M3759" s="2" t="s">
        <v>12</v>
      </c>
      <c r="N3759" s="4">
        <f t="shared" si="1"/>
        <v>43629</v>
      </c>
      <c r="O3759" s="5" t="str">
        <f>IFERROR(__xludf.DUMMYFUNCTION("IF(REGEXMATCH(TRIM(I3759), ""^\d+\s*min""), ""Unclassified"", IF(I3759 = """", ""NR"", I3759))"),"TV-MA")</f>
        <v>TV-MA</v>
      </c>
      <c r="R3759" s="5" t="str">
        <f t="shared" si="2"/>
        <v>The 3Rd Eye 2</v>
      </c>
      <c r="S3759" s="5" t="str">
        <f>IFERROR(__xludf.DUMMYFUNCTION("""COMPUTED_VALUE"""),"Kevin Hart: Let Me Explain")</f>
        <v>Kevin Hart: Let Me Explain</v>
      </c>
      <c r="U3759" s="5" t="str">
        <f>IFERROR(__xludf.DUMMYFUNCTION("""COMPUTED_VALUE"""),"Guy Ritchie")</f>
        <v>Guy Ritchie</v>
      </c>
      <c r="V3759" s="5" t="s">
        <v>20437</v>
      </c>
      <c r="W3759" s="5" t="str">
        <f t="shared" si="3"/>
        <v>Santwana Bardoloi</v>
      </c>
      <c r="X3759" s="5">
        <f t="shared" si="4"/>
        <v>1</v>
      </c>
      <c r="Y3759" s="5" t="str">
        <f>IFERROR(__xludf.DUMMYFUNCTION("REGEXEXTRACT(J3759, ""^\d+"")"),"117")</f>
        <v>117</v>
      </c>
      <c r="Z3759" s="5" t="str">
        <f>IFERROR(__xludf.DUMMYFUNCTION("REGEXEXTRACT(J3759, ""[A-Za-z ]+$"")")," min")</f>
        <v> min</v>
      </c>
      <c r="AA3759" s="5" t="str">
        <f>IFERROR(__xludf.DUMMYFUNCTION("IF(REGEXMATCH(Z3759, ""Season""), ""TV Show"", ""Movie"")"),"Movie")</f>
        <v>Movie</v>
      </c>
    </row>
    <row r="3760">
      <c r="A3760" s="1" t="s">
        <v>20438</v>
      </c>
      <c r="B3760" s="1" t="s">
        <v>27</v>
      </c>
      <c r="C3760" s="1" t="s">
        <v>20439</v>
      </c>
      <c r="D3760" s="1" t="s">
        <v>16570</v>
      </c>
      <c r="E3760" s="1" t="s">
        <v>610</v>
      </c>
      <c r="F3760" s="1" t="s">
        <v>30</v>
      </c>
      <c r="G3760" s="1" t="s">
        <v>20440</v>
      </c>
      <c r="H3760" s="1">
        <v>2019.0</v>
      </c>
      <c r="I3760" s="1" t="s">
        <v>42</v>
      </c>
      <c r="J3760" s="1" t="s">
        <v>4639</v>
      </c>
      <c r="K3760" s="1" t="s">
        <v>1839</v>
      </c>
      <c r="L3760" s="1" t="s">
        <v>20441</v>
      </c>
      <c r="M3760" s="2" t="s">
        <v>12</v>
      </c>
      <c r="N3760" s="4">
        <f t="shared" si="1"/>
        <v>43628</v>
      </c>
      <c r="O3760" s="5" t="str">
        <f>IFERROR(__xludf.DUMMYFUNCTION("IF(REGEXMATCH(TRIM(I3760), ""^\d+\s*min""), ""Unclassified"", IF(I3760 = """", ""NR"", I3760))"),"TV-MA")</f>
        <v>TV-MA</v>
      </c>
      <c r="R3760" s="5" t="str">
        <f t="shared" si="2"/>
        <v>Jo Koy: Comin' In Hot</v>
      </c>
      <c r="S3760" s="5" t="str">
        <f>IFERROR(__xludf.DUMMYFUNCTION("""COMPUTED_VALUE"""),"Kevin Hart: Seriously Funny")</f>
        <v>Kevin Hart: Seriously Funny</v>
      </c>
      <c r="U3760" s="5" t="str">
        <f>IFERROR(__xludf.DUMMYFUNCTION("""COMPUTED_VALUE"""),"Steven Knight")</f>
        <v>Steven Knight</v>
      </c>
      <c r="V3760" s="5" t="s">
        <v>802</v>
      </c>
      <c r="W3760" s="5" t="str">
        <f t="shared" si="3"/>
        <v>Sara Colangelo</v>
      </c>
      <c r="X3760" s="5">
        <f t="shared" si="4"/>
        <v>2</v>
      </c>
      <c r="Y3760" s="5" t="str">
        <f>IFERROR(__xludf.DUMMYFUNCTION("REGEXEXTRACT(J3760, ""^\d+"")"),"60")</f>
        <v>60</v>
      </c>
      <c r="Z3760" s="5" t="str">
        <f>IFERROR(__xludf.DUMMYFUNCTION("REGEXEXTRACT(J3760, ""[A-Za-z ]+$"")")," min")</f>
        <v> min</v>
      </c>
      <c r="AA3760" s="5" t="str">
        <f>IFERROR(__xludf.DUMMYFUNCTION("IF(REGEXMATCH(Z3760, ""Season""), ""TV Show"", ""Movie"")"),"Movie")</f>
        <v>Movie</v>
      </c>
    </row>
    <row r="3761">
      <c r="A3761" s="1" t="s">
        <v>20442</v>
      </c>
      <c r="B3761" s="1" t="s">
        <v>27</v>
      </c>
      <c r="C3761" s="1" t="s">
        <v>20443</v>
      </c>
      <c r="D3761" s="1" t="s">
        <v>7998</v>
      </c>
      <c r="E3761" s="1" t="s">
        <v>20444</v>
      </c>
      <c r="F3761" s="1" t="s">
        <v>30</v>
      </c>
      <c r="G3761" s="1" t="s">
        <v>20440</v>
      </c>
      <c r="H3761" s="1">
        <v>2019.0</v>
      </c>
      <c r="I3761" s="1" t="s">
        <v>42</v>
      </c>
      <c r="J3761" s="1" t="s">
        <v>950</v>
      </c>
      <c r="K3761" s="1" t="s">
        <v>700</v>
      </c>
      <c r="L3761" s="1" t="s">
        <v>20445</v>
      </c>
      <c r="M3761" s="2" t="s">
        <v>12</v>
      </c>
      <c r="N3761" s="4">
        <f t="shared" si="1"/>
        <v>43628</v>
      </c>
      <c r="O3761" s="5" t="str">
        <f>IFERROR(__xludf.DUMMYFUNCTION("IF(REGEXMATCH(TRIM(I3761), ""^\d+\s*min""), ""Unclassified"", IF(I3761 = """", ""NR"", I3761))"),"TV-MA")</f>
        <v>TV-MA</v>
      </c>
      <c r="R3761" s="5" t="str">
        <f t="shared" si="2"/>
        <v>Rolling Thunder Revue: A Bob Dylan Story By Martin Scorsese</v>
      </c>
      <c r="S3761" s="5" t="str">
        <f>IFERROR(__xludf.DUMMYFUNCTION("""COMPUTED_VALUE"""),"Kevin Hart: What Now?")</f>
        <v>Kevin Hart: What Now?</v>
      </c>
      <c r="U3761" s="5" t="str">
        <f>IFERROR(__xludf.DUMMYFUNCTION("""COMPUTED_VALUE"""),"James Mather, Steve Saint Leger")</f>
        <v>James Mather, Steve Saint Leger</v>
      </c>
      <c r="V3761" s="5" t="s">
        <v>20446</v>
      </c>
      <c r="W3761" s="5" t="str">
        <f t="shared" si="3"/>
        <v>Sara Dosa</v>
      </c>
      <c r="X3761" s="5">
        <f t="shared" si="4"/>
        <v>1</v>
      </c>
      <c r="Y3761" s="5" t="str">
        <f>IFERROR(__xludf.DUMMYFUNCTION("REGEXEXTRACT(J3761, ""^\d+"")"),"142")</f>
        <v>142</v>
      </c>
      <c r="Z3761" s="5" t="str">
        <f>IFERROR(__xludf.DUMMYFUNCTION("REGEXEXTRACT(J3761, ""[A-Za-z ]+$"")")," min")</f>
        <v> min</v>
      </c>
      <c r="AA3761" s="5" t="str">
        <f>IFERROR(__xludf.DUMMYFUNCTION("IF(REGEXMATCH(Z3761, ""Season""), ""TV Show"", ""Movie"")"),"Movie")</f>
        <v>Movie</v>
      </c>
    </row>
    <row r="3762">
      <c r="A3762" s="1" t="s">
        <v>20447</v>
      </c>
      <c r="B3762" s="1" t="s">
        <v>37</v>
      </c>
      <c r="C3762" s="1" t="s">
        <v>20448</v>
      </c>
      <c r="E3762" s="1" t="s">
        <v>20449</v>
      </c>
      <c r="F3762" s="1" t="s">
        <v>3321</v>
      </c>
      <c r="G3762" s="1" t="s">
        <v>20450</v>
      </c>
      <c r="H3762" s="1">
        <v>2011.0</v>
      </c>
      <c r="I3762" s="1" t="s">
        <v>206</v>
      </c>
      <c r="J3762" s="1" t="s">
        <v>51</v>
      </c>
      <c r="K3762" s="1" t="s">
        <v>290</v>
      </c>
      <c r="L3762" s="1" t="s">
        <v>20451</v>
      </c>
      <c r="M3762" s="2" t="s">
        <v>12</v>
      </c>
      <c r="N3762" s="4">
        <f t="shared" si="1"/>
        <v>43626</v>
      </c>
      <c r="O3762" s="5" t="str">
        <f>IFERROR(__xludf.DUMMYFUNCTION("IF(REGEXMATCH(TRIM(I3762), ""^\d+\s*min""), ""Unclassified"", IF(I3762 = """", ""NR"", I3762))"),"TV-Y")</f>
        <v>TV-Y</v>
      </c>
      <c r="R3762" s="5" t="str">
        <f t="shared" si="2"/>
        <v>Upin &amp; Ipin</v>
      </c>
      <c r="S3762" s="5" t="str">
        <f>IFERROR(__xludf.DUMMYFUNCTION("""COMPUTED_VALUE"""),"Kevin Hart: Zero F**Ks Given")</f>
        <v>Kevin Hart: Zero F**Ks Given</v>
      </c>
      <c r="U3762" s="5" t="str">
        <f>IFERROR(__xludf.DUMMYFUNCTION("""COMPUTED_VALUE"""),"Fernando Sariñana, José Luis Gutiérrez")</f>
        <v>Fernando Sariñana, José Luis Gutiérrez</v>
      </c>
      <c r="V3762" s="5" t="s">
        <v>20452</v>
      </c>
      <c r="W3762" s="5" t="str">
        <f t="shared" si="3"/>
        <v>Sarah Adina Smith</v>
      </c>
      <c r="X3762" s="5">
        <f t="shared" si="4"/>
        <v>1</v>
      </c>
      <c r="Y3762" s="5" t="str">
        <f>IFERROR(__xludf.DUMMYFUNCTION("REGEXEXTRACT(J3762, ""^\d+"")"),"1")</f>
        <v>1</v>
      </c>
      <c r="Z3762" s="5" t="str">
        <f>IFERROR(__xludf.DUMMYFUNCTION("REGEXEXTRACT(J3762, ""[A-Za-z ]+$"")")," Season")</f>
        <v> Season</v>
      </c>
      <c r="AA3762" s="5" t="str">
        <f>IFERROR(__xludf.DUMMYFUNCTION("IF(REGEXMATCH(Z3762, ""Season""), ""TV Show"", ""Movie"")"),"TV Show")</f>
        <v>TV Show</v>
      </c>
    </row>
    <row r="3763">
      <c r="A3763" s="1" t="s">
        <v>20453</v>
      </c>
      <c r="B3763" s="1" t="s">
        <v>27</v>
      </c>
      <c r="C3763" s="1" t="s">
        <v>20454</v>
      </c>
      <c r="D3763" s="1" t="s">
        <v>7538</v>
      </c>
      <c r="E3763" s="1" t="s">
        <v>20455</v>
      </c>
      <c r="F3763" s="1" t="s">
        <v>20456</v>
      </c>
      <c r="G3763" s="1" t="s">
        <v>20457</v>
      </c>
      <c r="H3763" s="1">
        <v>2018.0</v>
      </c>
      <c r="I3763" s="1" t="s">
        <v>42</v>
      </c>
      <c r="J3763" s="1" t="s">
        <v>2699</v>
      </c>
      <c r="K3763" s="1" t="s">
        <v>89</v>
      </c>
      <c r="L3763" s="1" t="s">
        <v>20458</v>
      </c>
      <c r="M3763" s="2" t="s">
        <v>12</v>
      </c>
      <c r="N3763" s="4">
        <f t="shared" si="1"/>
        <v>43623</v>
      </c>
      <c r="O3763" s="5" t="str">
        <f>IFERROR(__xludf.DUMMYFUNCTION("IF(REGEXMATCH(TRIM(I3763), ""^\d+\s*min""), ""Unclassified"", IF(I3763 = """", ""NR"", I3763))"),"TV-MA")</f>
        <v>TV-MA</v>
      </c>
      <c r="R3763" s="5" t="str">
        <f t="shared" si="2"/>
        <v>Belmonte</v>
      </c>
      <c r="S3763" s="5" t="str">
        <f>IFERROR(__xludf.DUMMYFUNCTION("""COMPUTED_VALUE"""),"Kevin Hart'S Guide To Black History")</f>
        <v>Kevin Hart'S Guide To Black History</v>
      </c>
      <c r="U3763" s="5" t="str">
        <f>IFERROR(__xludf.DUMMYFUNCTION("""COMPUTED_VALUE"""),"Michael Anderson")</f>
        <v>Michael Anderson</v>
      </c>
      <c r="V3763" s="5" t="s">
        <v>7992</v>
      </c>
      <c r="W3763" s="5" t="str">
        <f t="shared" si="3"/>
        <v>Sarah Gavron</v>
      </c>
      <c r="X3763" s="5">
        <f t="shared" si="4"/>
        <v>2</v>
      </c>
      <c r="Y3763" s="5" t="str">
        <f>IFERROR(__xludf.DUMMYFUNCTION("REGEXEXTRACT(J3763, ""^\d+"")"),"74")</f>
        <v>74</v>
      </c>
      <c r="Z3763" s="5" t="str">
        <f>IFERROR(__xludf.DUMMYFUNCTION("REGEXEXTRACT(J3763, ""[A-Za-z ]+$"")")," min")</f>
        <v> min</v>
      </c>
      <c r="AA3763" s="5" t="str">
        <f>IFERROR(__xludf.DUMMYFUNCTION("IF(REGEXMATCH(Z3763, ""Season""), ""TV Show"", ""Movie"")"),"Movie")</f>
        <v>Movie</v>
      </c>
    </row>
    <row r="3764">
      <c r="A3764" s="1" t="s">
        <v>20459</v>
      </c>
      <c r="B3764" s="1" t="s">
        <v>37</v>
      </c>
      <c r="C3764" s="1" t="s">
        <v>20460</v>
      </c>
      <c r="E3764" s="1" t="s">
        <v>20461</v>
      </c>
      <c r="F3764" s="1" t="s">
        <v>30</v>
      </c>
      <c r="G3764" s="1" t="s">
        <v>20457</v>
      </c>
      <c r="H3764" s="1">
        <v>2019.0</v>
      </c>
      <c r="I3764" s="1" t="s">
        <v>42</v>
      </c>
      <c r="J3764" s="1" t="s">
        <v>276</v>
      </c>
      <c r="K3764" s="1" t="s">
        <v>4173</v>
      </c>
      <c r="L3764" s="1" t="s">
        <v>20462</v>
      </c>
      <c r="M3764" s="2" t="s">
        <v>12</v>
      </c>
      <c r="N3764" s="4">
        <f t="shared" si="1"/>
        <v>43623</v>
      </c>
      <c r="O3764" s="5" t="str">
        <f>IFERROR(__xludf.DUMMYFUNCTION("IF(REGEXMATCH(TRIM(I3764), ""^\d+\s*min""), ""Unclassified"", IF(I3764 = """", ""NR"", I3764))"),"TV-MA")</f>
        <v>TV-MA</v>
      </c>
      <c r="R3764" s="5" t="str">
        <f t="shared" si="2"/>
        <v>Designated Survivor</v>
      </c>
      <c r="S3764" s="5" t="str">
        <f>IFERROR(__xludf.DUMMYFUNCTION("""COMPUTED_VALUE"""),"Kevin James: Never Don'T Give Up")</f>
        <v>Kevin James: Never Don'T Give Up</v>
      </c>
      <c r="U3764" s="5" t="str">
        <f>IFERROR(__xludf.DUMMYFUNCTION("""COMPUTED_VALUE"""),"Jakob Verbruggen")</f>
        <v>Jakob Verbruggen</v>
      </c>
      <c r="V3764" s="5" t="s">
        <v>20463</v>
      </c>
      <c r="W3764" s="5" t="str">
        <f t="shared" si="3"/>
        <v>Sarah Holt</v>
      </c>
      <c r="X3764" s="5">
        <f t="shared" si="4"/>
        <v>1</v>
      </c>
      <c r="Y3764" s="5" t="str">
        <f>IFERROR(__xludf.DUMMYFUNCTION("REGEXEXTRACT(J3764, ""^\d+"")"),"3")</f>
        <v>3</v>
      </c>
      <c r="Z3764" s="5" t="str">
        <f>IFERROR(__xludf.DUMMYFUNCTION("REGEXEXTRACT(J3764, ""[A-Za-z ]+$"")")," Seasons")</f>
        <v> Seasons</v>
      </c>
      <c r="AA3764" s="5" t="str">
        <f>IFERROR(__xludf.DUMMYFUNCTION("IF(REGEXMATCH(Z3764, ""Season""), ""TV Show"", ""Movie"")"),"TV Show")</f>
        <v>TV Show</v>
      </c>
    </row>
    <row r="3765">
      <c r="A3765" s="1" t="s">
        <v>20464</v>
      </c>
      <c r="B3765" s="1" t="s">
        <v>27</v>
      </c>
      <c r="C3765" s="1" t="s">
        <v>20465</v>
      </c>
      <c r="D3765" s="1" t="s">
        <v>9675</v>
      </c>
      <c r="E3765" s="1" t="s">
        <v>20466</v>
      </c>
      <c r="F3765" s="1" t="s">
        <v>784</v>
      </c>
      <c r="G3765" s="1" t="s">
        <v>20457</v>
      </c>
      <c r="H3765" s="1">
        <v>2019.0</v>
      </c>
      <c r="I3765" s="1" t="s">
        <v>42</v>
      </c>
      <c r="J3765" s="1" t="s">
        <v>804</v>
      </c>
      <c r="K3765" s="1" t="s">
        <v>4958</v>
      </c>
      <c r="L3765" s="1" t="s">
        <v>20467</v>
      </c>
      <c r="M3765" s="2" t="s">
        <v>12</v>
      </c>
      <c r="N3765" s="4">
        <f t="shared" si="1"/>
        <v>43623</v>
      </c>
      <c r="O3765" s="5" t="str">
        <f>IFERROR(__xludf.DUMMYFUNCTION("IF(REGEXMATCH(TRIM(I3765), ""^\d+\s*min""), ""Unclassified"", IF(I3765 = """", ""NR"", I3765))"),"TV-MA")</f>
        <v>TV-MA</v>
      </c>
      <c r="R3765" s="5" t="str">
        <f t="shared" si="2"/>
        <v>Elisa &amp; Marcela</v>
      </c>
      <c r="S3765" s="5" t="str">
        <f>IFERROR(__xludf.DUMMYFUNCTION("""COMPUTED_VALUE"""),"Kevin James: Sweat The Small Stuff")</f>
        <v>Kevin James: Sweat The Small Stuff</v>
      </c>
      <c r="U3765" s="5" t="str">
        <f>IFERROR(__xludf.DUMMYFUNCTION("""COMPUTED_VALUE"""),"Jennifer Baichwal, Nicholas De Pencier")</f>
        <v>Jennifer Baichwal, Nicholas De Pencier</v>
      </c>
      <c r="V3765" s="5" t="s">
        <v>20468</v>
      </c>
      <c r="W3765" s="5" t="str">
        <f t="shared" si="3"/>
        <v>Sarah Moshman</v>
      </c>
      <c r="X3765" s="5">
        <f t="shared" si="4"/>
        <v>1</v>
      </c>
      <c r="Y3765" s="5" t="str">
        <f>IFERROR(__xludf.DUMMYFUNCTION("REGEXEXTRACT(J3765, ""^\d+"")"),"119")</f>
        <v>119</v>
      </c>
      <c r="Z3765" s="5" t="str">
        <f>IFERROR(__xludf.DUMMYFUNCTION("REGEXEXTRACT(J3765, ""[A-Za-z ]+$"")")," min")</f>
        <v> min</v>
      </c>
      <c r="AA3765" s="5" t="str">
        <f>IFERROR(__xludf.DUMMYFUNCTION("IF(REGEXMATCH(Z3765, ""Season""), ""TV Show"", ""Movie"")"),"Movie")</f>
        <v>Movie</v>
      </c>
    </row>
    <row r="3766">
      <c r="A3766" s="1" t="s">
        <v>20469</v>
      </c>
      <c r="B3766" s="1" t="s">
        <v>27</v>
      </c>
      <c r="C3766" s="1" t="s">
        <v>20470</v>
      </c>
      <c r="D3766" s="1" t="s">
        <v>8635</v>
      </c>
      <c r="E3766" s="1" t="s">
        <v>20471</v>
      </c>
      <c r="F3766" s="1" t="s">
        <v>221</v>
      </c>
      <c r="G3766" s="1" t="s">
        <v>20457</v>
      </c>
      <c r="H3766" s="1">
        <v>2019.0</v>
      </c>
      <c r="I3766" s="1" t="s">
        <v>136</v>
      </c>
      <c r="J3766" s="1" t="s">
        <v>835</v>
      </c>
      <c r="K3766" s="1" t="s">
        <v>14389</v>
      </c>
      <c r="L3766" s="1" t="s">
        <v>20472</v>
      </c>
      <c r="M3766" s="2" t="s">
        <v>12</v>
      </c>
      <c r="N3766" s="4">
        <f t="shared" si="1"/>
        <v>43623</v>
      </c>
      <c r="O3766" s="5" t="str">
        <f>IFERROR(__xludf.DUMMYFUNCTION("IF(REGEXMATCH(TRIM(I3766), ""^\d+\s*min""), ""Unclassified"", IF(I3766 = """", ""NR"", I3766))"),"TV-PG")</f>
        <v>TV-PG</v>
      </c>
      <c r="R3766" s="5" t="str">
        <f t="shared" si="2"/>
        <v>I Am Mother</v>
      </c>
      <c r="S3766" s="5" t="str">
        <f>IFERROR(__xludf.DUMMYFUNCTION("""COMPUTED_VALUE"""),"Kevyn Aucoin: Beauty &amp; The Beast In Me")</f>
        <v>Kevyn Aucoin: Beauty &amp; The Beast In Me</v>
      </c>
      <c r="U3766" s="5" t="str">
        <f>IFERROR(__xludf.DUMMYFUNCTION("""COMPUTED_VALUE"""),"Sze Yu Lau")</f>
        <v>Sze Yu Lau</v>
      </c>
      <c r="V3766" s="5" t="s">
        <v>20473</v>
      </c>
      <c r="W3766" s="5" t="str">
        <f t="shared" si="3"/>
        <v>Sarah Smith</v>
      </c>
      <c r="X3766" s="5">
        <f t="shared" si="4"/>
        <v>1</v>
      </c>
      <c r="Y3766" s="5" t="str">
        <f>IFERROR(__xludf.DUMMYFUNCTION("REGEXEXTRACT(J3766, ""^\d+"")"),"114")</f>
        <v>114</v>
      </c>
      <c r="Z3766" s="5" t="str">
        <f>IFERROR(__xludf.DUMMYFUNCTION("REGEXEXTRACT(J3766, ""[A-Za-z ]+$"")")," min")</f>
        <v> min</v>
      </c>
      <c r="AA3766" s="5" t="str">
        <f>IFERROR(__xludf.DUMMYFUNCTION("IF(REGEXMATCH(Z3766, ""Season""), ""TV Show"", ""Movie"")"),"Movie")</f>
        <v>Movie</v>
      </c>
    </row>
    <row r="3767">
      <c r="A3767" s="1" t="s">
        <v>20474</v>
      </c>
      <c r="B3767" s="1" t="s">
        <v>27</v>
      </c>
      <c r="C3767" s="1" t="s">
        <v>20475</v>
      </c>
      <c r="D3767" s="1" t="s">
        <v>2503</v>
      </c>
      <c r="E3767" s="1" t="s">
        <v>20476</v>
      </c>
      <c r="F3767" s="1" t="s">
        <v>63</v>
      </c>
      <c r="G3767" s="1" t="s">
        <v>20457</v>
      </c>
      <c r="H3767" s="1">
        <v>2019.0</v>
      </c>
      <c r="I3767" s="1" t="s">
        <v>136</v>
      </c>
      <c r="J3767" s="1" t="s">
        <v>88</v>
      </c>
      <c r="K3767" s="1" t="s">
        <v>215</v>
      </c>
      <c r="L3767" s="1" t="s">
        <v>20477</v>
      </c>
      <c r="M3767" s="2" t="s">
        <v>12</v>
      </c>
      <c r="N3767" s="4">
        <f t="shared" si="1"/>
        <v>43623</v>
      </c>
      <c r="O3767" s="5" t="str">
        <f>IFERROR(__xludf.DUMMYFUNCTION("IF(REGEXMATCH(TRIM(I3767), ""^\d+\s*min""), ""Unclassified"", IF(I3767 = """", ""NR"", I3767))"),"TV-PG")</f>
        <v>TV-PG</v>
      </c>
      <c r="R3767" s="5" t="str">
        <f t="shared" si="2"/>
        <v>Luka Chuppi</v>
      </c>
      <c r="S3767" s="5" t="str">
        <f>IFERROR(__xludf.DUMMYFUNCTION("""COMPUTED_VALUE"""),"Keymon And Nani In Space Adventure")</f>
        <v>Keymon And Nani In Space Adventure</v>
      </c>
      <c r="U3767" s="5" t="str">
        <f>IFERROR(__xludf.DUMMYFUNCTION("""COMPUTED_VALUE"""),"David Wnendt")</f>
        <v>David Wnendt</v>
      </c>
      <c r="V3767" s="5" t="s">
        <v>20478</v>
      </c>
      <c r="W3767" s="5" t="str">
        <f t="shared" si="3"/>
        <v>Saratswadee Wongsomphet</v>
      </c>
      <c r="X3767" s="5">
        <f t="shared" si="4"/>
        <v>2</v>
      </c>
      <c r="Y3767" s="5" t="str">
        <f>IFERROR(__xludf.DUMMYFUNCTION("REGEXEXTRACT(J3767, ""^\d+"")"),"125")</f>
        <v>125</v>
      </c>
      <c r="Z3767" s="5" t="str">
        <f>IFERROR(__xludf.DUMMYFUNCTION("REGEXEXTRACT(J3767, ""[A-Za-z ]+$"")")," min")</f>
        <v> min</v>
      </c>
      <c r="AA3767" s="5" t="str">
        <f>IFERROR(__xludf.DUMMYFUNCTION("IF(REGEXMATCH(Z3767, ""Season""), ""TV Show"", ""Movie"")"),"Movie")</f>
        <v>Movie</v>
      </c>
    </row>
    <row r="3768">
      <c r="A3768" s="1" t="s">
        <v>20479</v>
      </c>
      <c r="B3768" s="1" t="s">
        <v>27</v>
      </c>
      <c r="C3768" s="1" t="s">
        <v>20480</v>
      </c>
      <c r="D3768" s="1" t="s">
        <v>11969</v>
      </c>
      <c r="E3768" s="1" t="s">
        <v>20481</v>
      </c>
      <c r="F3768" s="1" t="s">
        <v>20482</v>
      </c>
      <c r="G3768" s="1" t="s">
        <v>20457</v>
      </c>
      <c r="H3768" s="1">
        <v>2019.0</v>
      </c>
      <c r="I3768" s="1" t="s">
        <v>78</v>
      </c>
      <c r="J3768" s="1" t="s">
        <v>5650</v>
      </c>
      <c r="K3768" s="1" t="s">
        <v>80</v>
      </c>
      <c r="L3768" s="1" t="s">
        <v>20483</v>
      </c>
      <c r="M3768" s="2" t="s">
        <v>12</v>
      </c>
      <c r="N3768" s="4">
        <f t="shared" si="1"/>
        <v>43623</v>
      </c>
      <c r="O3768" s="5" t="str">
        <f>IFERROR(__xludf.DUMMYFUNCTION("IF(REGEXMATCH(TRIM(I3768), ""^\d+\s*min""), ""Unclassified"", IF(I3768 = """", ""NR"", I3768))"),"PG")</f>
        <v>PG</v>
      </c>
      <c r="R3768" s="5" t="str">
        <f t="shared" si="2"/>
        <v>Pachamama</v>
      </c>
      <c r="S3768" s="5" t="str">
        <f>IFERROR(__xludf.DUMMYFUNCTION("""COMPUTED_VALUE"""),"Khaani")</f>
        <v>Khaani</v>
      </c>
      <c r="U3768" s="5" t="str">
        <f>IFERROR(__xludf.DUMMYFUNCTION("""COMPUTED_VALUE"""),"Ignacio López Escrivá")</f>
        <v>Ignacio López Escrivá</v>
      </c>
      <c r="V3768" s="5" t="s">
        <v>14656</v>
      </c>
      <c r="W3768" s="5" t="str">
        <f t="shared" si="3"/>
        <v>Saravana Rajan</v>
      </c>
      <c r="X3768" s="5">
        <f t="shared" si="4"/>
        <v>1</v>
      </c>
      <c r="Y3768" s="5" t="str">
        <f>IFERROR(__xludf.DUMMYFUNCTION("REGEXEXTRACT(J3768, ""^\d+"")"),"71")</f>
        <v>71</v>
      </c>
      <c r="Z3768" s="5" t="str">
        <f>IFERROR(__xludf.DUMMYFUNCTION("REGEXEXTRACT(J3768, ""[A-Za-z ]+$"")")," min")</f>
        <v> min</v>
      </c>
      <c r="AA3768" s="5" t="str">
        <f>IFERROR(__xludf.DUMMYFUNCTION("IF(REGEXMATCH(Z3768, ""Season""), ""TV Show"", ""Movie"")"),"Movie")</f>
        <v>Movie</v>
      </c>
    </row>
    <row r="3769">
      <c r="A3769" s="1" t="s">
        <v>20484</v>
      </c>
      <c r="B3769" s="1" t="s">
        <v>27</v>
      </c>
      <c r="C3769" s="1" t="s">
        <v>20485</v>
      </c>
      <c r="D3769" s="1" t="s">
        <v>8992</v>
      </c>
      <c r="E3769" s="1" t="s">
        <v>20486</v>
      </c>
      <c r="F3769" s="1" t="s">
        <v>2492</v>
      </c>
      <c r="G3769" s="1" t="s">
        <v>20457</v>
      </c>
      <c r="H3769" s="1">
        <v>2019.0</v>
      </c>
      <c r="I3769" s="1" t="s">
        <v>136</v>
      </c>
      <c r="J3769" s="1" t="s">
        <v>297</v>
      </c>
      <c r="K3769" s="1" t="s">
        <v>2983</v>
      </c>
      <c r="L3769" s="1" t="s">
        <v>20487</v>
      </c>
      <c r="M3769" s="2" t="s">
        <v>12</v>
      </c>
      <c r="N3769" s="4">
        <f t="shared" si="1"/>
        <v>43623</v>
      </c>
      <c r="O3769" s="5" t="str">
        <f>IFERROR(__xludf.DUMMYFUNCTION("IF(REGEXMATCH(TRIM(I3769), ""^\d+\s*min""), ""Unclassified"", IF(I3769 = """", ""NR"", I3769))"),"TV-PG")</f>
        <v>TV-PG</v>
      </c>
      <c r="R3769" s="5" t="str">
        <f t="shared" si="2"/>
        <v>Rock My Heart</v>
      </c>
      <c r="S3769" s="5" t="str">
        <f>IFERROR(__xludf.DUMMYFUNCTION("""COMPUTED_VALUE"""),"Khalnayak")</f>
        <v>Khalnayak</v>
      </c>
      <c r="U3769" s="5" t="str">
        <f>IFERROR(__xludf.DUMMYFUNCTION("""COMPUTED_VALUE"""),"Sarah Moshman")</f>
        <v>Sarah Moshman</v>
      </c>
      <c r="V3769" s="5" t="s">
        <v>18489</v>
      </c>
      <c r="W3769" s="5" t="str">
        <f t="shared" si="3"/>
        <v>Saravana Rajendran</v>
      </c>
      <c r="X3769" s="5">
        <f t="shared" si="4"/>
        <v>1</v>
      </c>
      <c r="Y3769" s="5" t="str">
        <f>IFERROR(__xludf.DUMMYFUNCTION("REGEXEXTRACT(J3769, ""^\d+"")"),"110")</f>
        <v>110</v>
      </c>
      <c r="Z3769" s="5" t="str">
        <f>IFERROR(__xludf.DUMMYFUNCTION("REGEXEXTRACT(J3769, ""[A-Za-z ]+$"")")," min")</f>
        <v> min</v>
      </c>
      <c r="AA3769" s="5" t="str">
        <f>IFERROR(__xludf.DUMMYFUNCTION("IF(REGEXMATCH(Z3769, ""Season""), ""TV Show"", ""Movie"")"),"Movie")</f>
        <v>Movie</v>
      </c>
    </row>
    <row r="3770">
      <c r="A3770" s="1" t="s">
        <v>20488</v>
      </c>
      <c r="B3770" s="1" t="s">
        <v>27</v>
      </c>
      <c r="C3770" s="1" t="s">
        <v>20489</v>
      </c>
      <c r="D3770" s="1" t="s">
        <v>1540</v>
      </c>
      <c r="E3770" s="1" t="s">
        <v>20490</v>
      </c>
      <c r="F3770" s="1" t="s">
        <v>63</v>
      </c>
      <c r="G3770" s="1" t="s">
        <v>20457</v>
      </c>
      <c r="H3770" s="1">
        <v>2018.0</v>
      </c>
      <c r="I3770" s="1" t="s">
        <v>42</v>
      </c>
      <c r="J3770" s="1" t="s">
        <v>127</v>
      </c>
      <c r="K3770" s="1" t="s">
        <v>20491</v>
      </c>
      <c r="L3770" s="1" t="s">
        <v>20492</v>
      </c>
      <c r="M3770" s="2" t="s">
        <v>12</v>
      </c>
      <c r="N3770" s="4">
        <f t="shared" si="1"/>
        <v>43623</v>
      </c>
      <c r="O3770" s="5" t="str">
        <f>IFERROR(__xludf.DUMMYFUNCTION("IF(REGEXMATCH(TRIM(I3770), ""^\d+\s*min""), ""Unclassified"", IF(I3770 = """", ""NR"", I3770))"),"TV-MA")</f>
        <v>TV-MA</v>
      </c>
      <c r="R3770" s="5" t="str">
        <f t="shared" si="2"/>
        <v>Stree</v>
      </c>
      <c r="S3770" s="5" t="str">
        <f>IFERROR(__xludf.DUMMYFUNCTION("""COMPUTED_VALUE"""),"Khan: No. 1 Crime Hunter")</f>
        <v>Khan: No. 1 Crime Hunter</v>
      </c>
      <c r="U3770" s="5" t="str">
        <f>IFERROR(__xludf.DUMMYFUNCTION("""COMPUTED_VALUE"""),"Charneice Fox")</f>
        <v>Charneice Fox</v>
      </c>
      <c r="V3770" s="5" t="s">
        <v>4335</v>
      </c>
      <c r="W3770" s="5" t="str">
        <f t="shared" si="3"/>
        <v>Sarawut Wichiensarn</v>
      </c>
      <c r="X3770" s="5">
        <f t="shared" si="4"/>
        <v>1</v>
      </c>
      <c r="Y3770" s="5" t="str">
        <f>IFERROR(__xludf.DUMMYFUNCTION("REGEXEXTRACT(J3770, ""^\d+"")"),"127")</f>
        <v>127</v>
      </c>
      <c r="Z3770" s="5" t="str">
        <f>IFERROR(__xludf.DUMMYFUNCTION("REGEXEXTRACT(J3770, ""[A-Za-z ]+$"")")," min")</f>
        <v> min</v>
      </c>
      <c r="AA3770" s="5" t="str">
        <f>IFERROR(__xludf.DUMMYFUNCTION("IF(REGEXMATCH(Z3770, ""Season""), ""TV Show"", ""Movie"")"),"Movie")</f>
        <v>Movie</v>
      </c>
    </row>
    <row r="3771">
      <c r="A3771" s="1" t="s">
        <v>20493</v>
      </c>
      <c r="B3771" s="1" t="s">
        <v>37</v>
      </c>
      <c r="C3771" s="1" t="s">
        <v>20494</v>
      </c>
      <c r="E3771" s="1" t="s">
        <v>20495</v>
      </c>
      <c r="F3771" s="1" t="s">
        <v>30</v>
      </c>
      <c r="G3771" s="1" t="s">
        <v>20457</v>
      </c>
      <c r="H3771" s="1">
        <v>2019.0</v>
      </c>
      <c r="I3771" s="1" t="s">
        <v>206</v>
      </c>
      <c r="J3771" s="1" t="s">
        <v>51</v>
      </c>
      <c r="K3771" s="1" t="s">
        <v>290</v>
      </c>
      <c r="L3771" s="1" t="s">
        <v>20496</v>
      </c>
      <c r="M3771" s="2" t="s">
        <v>12</v>
      </c>
      <c r="N3771" s="4">
        <f t="shared" si="1"/>
        <v>43623</v>
      </c>
      <c r="O3771" s="5" t="str">
        <f>IFERROR(__xludf.DUMMYFUNCTION("IF(REGEXMATCH(TRIM(I3771), ""^\d+\s*min""), ""Unclassified"", IF(I3771 = """", ""NR"", I3771))"),"TV-Y")</f>
        <v>TV-Y</v>
      </c>
      <c r="R3771" s="5" t="str">
        <f t="shared" si="2"/>
        <v>Super Monsters Monster Pets</v>
      </c>
      <c r="S3771" s="5" t="str">
        <f>IFERROR(__xludf.DUMMYFUNCTION("""COMPUTED_VALUE"""),"Khawatir")</f>
        <v>Khawatir</v>
      </c>
      <c r="U3771" s="5" t="str">
        <f>IFERROR(__xludf.DUMMYFUNCTION("""COMPUTED_VALUE"""),"Saandeep Patel")</f>
        <v>Saandeep Patel</v>
      </c>
      <c r="V3771" s="5" t="s">
        <v>20497</v>
      </c>
      <c r="W3771" s="5" t="str">
        <f t="shared" si="3"/>
        <v>Sarik Andreasyan</v>
      </c>
      <c r="X3771" s="5">
        <f t="shared" si="4"/>
        <v>1</v>
      </c>
      <c r="Y3771" s="5" t="str">
        <f>IFERROR(__xludf.DUMMYFUNCTION("REGEXEXTRACT(J3771, ""^\d+"")"),"1")</f>
        <v>1</v>
      </c>
      <c r="Z3771" s="5" t="str">
        <f>IFERROR(__xludf.DUMMYFUNCTION("REGEXEXTRACT(J3771, ""[A-Za-z ]+$"")")," Season")</f>
        <v> Season</v>
      </c>
      <c r="AA3771" s="5" t="str">
        <f>IFERROR(__xludf.DUMMYFUNCTION("IF(REGEXMATCH(Z3771, ""Season""), ""TV Show"", ""Movie"")"),"TV Show")</f>
        <v>TV Show</v>
      </c>
    </row>
    <row r="3772">
      <c r="A3772" s="1" t="s">
        <v>20498</v>
      </c>
      <c r="B3772" s="1" t="s">
        <v>37</v>
      </c>
      <c r="C3772" s="1" t="s">
        <v>20499</v>
      </c>
      <c r="E3772" s="1" t="s">
        <v>20500</v>
      </c>
      <c r="F3772" s="1" t="s">
        <v>30</v>
      </c>
      <c r="G3772" s="1" t="s">
        <v>20457</v>
      </c>
      <c r="H3772" s="1">
        <v>2019.0</v>
      </c>
      <c r="I3772" s="1" t="s">
        <v>42</v>
      </c>
      <c r="J3772" s="1" t="s">
        <v>51</v>
      </c>
      <c r="K3772" s="1" t="s">
        <v>2709</v>
      </c>
      <c r="L3772" s="1" t="s">
        <v>20501</v>
      </c>
      <c r="M3772" s="2" t="s">
        <v>12</v>
      </c>
      <c r="N3772" s="4">
        <f t="shared" si="1"/>
        <v>43623</v>
      </c>
      <c r="O3772" s="5" t="str">
        <f>IFERROR(__xludf.DUMMYFUNCTION("IF(REGEXMATCH(TRIM(I3772), ""^\d+\s*min""), ""Unclassified"", IF(I3772 = """", ""NR"", I3772))"),"TV-MA")</f>
        <v>TV-MA</v>
      </c>
      <c r="R3772" s="5" t="str">
        <f t="shared" si="2"/>
        <v>Tales Of The City</v>
      </c>
      <c r="S3772" s="5" t="str">
        <f>IFERROR(__xludf.DUMMYFUNCTION("""COMPUTED_VALUE"""),"Khelti Hai Zindagi Aankh Micholi")</f>
        <v>Khelti Hai Zindagi Aankh Micholi</v>
      </c>
      <c r="U3772" s="5" t="str">
        <f>IFERROR(__xludf.DUMMYFUNCTION("""COMPUTED_VALUE"""),"Steven Fine")</f>
        <v>Steven Fine</v>
      </c>
      <c r="V3772" s="5" t="s">
        <v>20502</v>
      </c>
      <c r="W3772" s="5" t="str">
        <f t="shared" si="3"/>
        <v>Sarjun</v>
      </c>
      <c r="X3772" s="5">
        <f t="shared" si="4"/>
        <v>1</v>
      </c>
      <c r="Y3772" s="5" t="str">
        <f>IFERROR(__xludf.DUMMYFUNCTION("REGEXEXTRACT(J3772, ""^\d+"")"),"1")</f>
        <v>1</v>
      </c>
      <c r="Z3772" s="5" t="str">
        <f>IFERROR(__xludf.DUMMYFUNCTION("REGEXEXTRACT(J3772, ""[A-Za-z ]+$"")")," Season")</f>
        <v> Season</v>
      </c>
      <c r="AA3772" s="5" t="str">
        <f>IFERROR(__xludf.DUMMYFUNCTION("IF(REGEXMATCH(Z3772, ""Season""), ""TV Show"", ""Movie"")"),"TV Show")</f>
        <v>TV Show</v>
      </c>
    </row>
    <row r="3773">
      <c r="A3773" s="1" t="s">
        <v>20503</v>
      </c>
      <c r="B3773" s="1" t="s">
        <v>27</v>
      </c>
      <c r="C3773" s="1" t="s">
        <v>20504</v>
      </c>
      <c r="D3773" s="1" t="s">
        <v>1018</v>
      </c>
      <c r="E3773" s="1" t="s">
        <v>20505</v>
      </c>
      <c r="F3773" s="1" t="s">
        <v>30</v>
      </c>
      <c r="G3773" s="1" t="s">
        <v>20457</v>
      </c>
      <c r="H3773" s="1">
        <v>2019.0</v>
      </c>
      <c r="I3773" s="1" t="s">
        <v>42</v>
      </c>
      <c r="J3773" s="1" t="s">
        <v>870</v>
      </c>
      <c r="K3773" s="1" t="s">
        <v>700</v>
      </c>
      <c r="L3773" s="1" t="s">
        <v>20506</v>
      </c>
      <c r="M3773" s="2" t="s">
        <v>12</v>
      </c>
      <c r="N3773" s="4">
        <f t="shared" si="1"/>
        <v>43623</v>
      </c>
      <c r="O3773" s="5" t="str">
        <f>IFERROR(__xludf.DUMMYFUNCTION("IF(REGEXMATCH(TRIM(I3773), ""^\d+\s*min""), ""Unclassified"", IF(I3773 = """", ""NR"", I3773))"),"TV-MA")</f>
        <v>TV-MA</v>
      </c>
      <c r="R3773" s="5" t="str">
        <f t="shared" si="2"/>
        <v>The Black Godfather</v>
      </c>
      <c r="S3773" s="5" t="str">
        <f>IFERROR(__xludf.DUMMYFUNCTION("""COMPUTED_VALUE"""),"Khido Khundi")</f>
        <v>Khido Khundi</v>
      </c>
      <c r="U3773" s="5" t="str">
        <f>IFERROR(__xludf.DUMMYFUNCTION("""COMPUTED_VALUE"""),"Ahmad Samir Farag")</f>
        <v>Ahmad Samir Farag</v>
      </c>
      <c r="V3773" s="5" t="s">
        <v>7610</v>
      </c>
      <c r="W3773" s="5" t="str">
        <f t="shared" si="3"/>
        <v>Saron Sakina</v>
      </c>
      <c r="X3773" s="5">
        <f t="shared" si="4"/>
        <v>1</v>
      </c>
      <c r="Y3773" s="5" t="str">
        <f>IFERROR(__xludf.DUMMYFUNCTION("REGEXEXTRACT(J3773, ""^\d+"")"),"118")</f>
        <v>118</v>
      </c>
      <c r="Z3773" s="5" t="str">
        <f>IFERROR(__xludf.DUMMYFUNCTION("REGEXEXTRACT(J3773, ""[A-Za-z ]+$"")")," min")</f>
        <v> min</v>
      </c>
      <c r="AA3773" s="5" t="str">
        <f>IFERROR(__xludf.DUMMYFUNCTION("IF(REGEXMATCH(Z3773, ""Season""), ""TV Show"", ""Movie"")"),"Movie")</f>
        <v>Movie</v>
      </c>
    </row>
    <row r="3774">
      <c r="A3774" s="1" t="s">
        <v>20507</v>
      </c>
      <c r="B3774" s="1" t="s">
        <v>27</v>
      </c>
      <c r="C3774" s="1" t="s">
        <v>20508</v>
      </c>
      <c r="D3774" s="1" t="s">
        <v>7353</v>
      </c>
      <c r="E3774" s="1" t="s">
        <v>20509</v>
      </c>
      <c r="F3774" s="1" t="s">
        <v>2492</v>
      </c>
      <c r="G3774" s="1" t="s">
        <v>20510</v>
      </c>
      <c r="H3774" s="1">
        <v>2019.0</v>
      </c>
      <c r="I3774" s="1" t="s">
        <v>42</v>
      </c>
      <c r="J3774" s="1" t="s">
        <v>33</v>
      </c>
      <c r="K3774" s="1" t="s">
        <v>128</v>
      </c>
      <c r="L3774" s="1" t="s">
        <v>20511</v>
      </c>
      <c r="M3774" s="2" t="s">
        <v>12</v>
      </c>
      <c r="N3774" s="4">
        <f t="shared" si="1"/>
        <v>43622</v>
      </c>
      <c r="O3774" s="5" t="str">
        <f>IFERROR(__xludf.DUMMYFUNCTION("IF(REGEXMATCH(TRIM(I3774), ""^\d+\s*min""), ""Unclassified"", IF(I3774 = """", ""NR"", I3774))"),"TV-MA")</f>
        <v>TV-MA</v>
      </c>
      <c r="R3774" s="5" t="str">
        <f t="shared" si="2"/>
        <v>Alles Ist Gut</v>
      </c>
      <c r="S3774" s="5" t="str">
        <f>IFERROR(__xludf.DUMMYFUNCTION("""COMPUTED_VALUE"""),"Khoobsurat")</f>
        <v>Khoobsurat</v>
      </c>
      <c r="U3774" s="5" t="str">
        <f>IFERROR(__xludf.DUMMYFUNCTION("""COMPUTED_VALUE"""),"Sridhar Jetty")</f>
        <v>Sridhar Jetty</v>
      </c>
      <c r="V3774" s="5" t="s">
        <v>20512</v>
      </c>
      <c r="W3774" s="5" t="str">
        <f t="shared" si="3"/>
        <v>Sartaj Singh Pannu</v>
      </c>
      <c r="X3774" s="5">
        <f t="shared" si="4"/>
        <v>1</v>
      </c>
      <c r="Y3774" s="5" t="str">
        <f>IFERROR(__xludf.DUMMYFUNCTION("REGEXEXTRACT(J3774, ""^\d+"")"),"90")</f>
        <v>90</v>
      </c>
      <c r="Z3774" s="5" t="str">
        <f>IFERROR(__xludf.DUMMYFUNCTION("REGEXEXTRACT(J3774, ""[A-Za-z ]+$"")")," min")</f>
        <v> min</v>
      </c>
      <c r="AA3774" s="5" t="str">
        <f>IFERROR(__xludf.DUMMYFUNCTION("IF(REGEXMATCH(Z3774, ""Season""), ""TV Show"", ""Movie"")"),"Movie")</f>
        <v>Movie</v>
      </c>
    </row>
    <row r="3775">
      <c r="A3775" s="1" t="s">
        <v>20513</v>
      </c>
      <c r="B3775" s="1" t="s">
        <v>27</v>
      </c>
      <c r="C3775" s="1" t="s">
        <v>20514</v>
      </c>
      <c r="D3775" s="1" t="s">
        <v>16549</v>
      </c>
      <c r="E3775" s="1" t="s">
        <v>20515</v>
      </c>
      <c r="F3775" s="1" t="s">
        <v>415</v>
      </c>
      <c r="G3775" s="1" t="s">
        <v>20516</v>
      </c>
      <c r="H3775" s="1">
        <v>2016.0</v>
      </c>
      <c r="I3775" s="1" t="s">
        <v>97</v>
      </c>
      <c r="J3775" s="1" t="s">
        <v>2281</v>
      </c>
      <c r="K3775" s="1" t="s">
        <v>11832</v>
      </c>
      <c r="L3775" s="1" t="s">
        <v>20517</v>
      </c>
      <c r="M3775" s="2" t="s">
        <v>12</v>
      </c>
      <c r="N3775" s="4">
        <f t="shared" si="1"/>
        <v>43621</v>
      </c>
      <c r="O3775" s="5" t="str">
        <f>IFERROR(__xludf.DUMMYFUNCTION("IF(REGEXMATCH(TRIM(I3775), ""^\d+\s*min""), ""Unclassified"", IF(I3775 = """", ""NR"", I3775))"),"TV-14")</f>
        <v>TV-14</v>
      </c>
      <c r="R3775" s="5" t="str">
        <f t="shared" si="2"/>
        <v>A Silent Voice</v>
      </c>
      <c r="S3775" s="5" t="str">
        <f>IFERROR(__xludf.DUMMYFUNCTION("""COMPUTED_VALUE"""),"Khoon Khoon")</f>
        <v>Khoon Khoon</v>
      </c>
      <c r="U3775" s="5" t="str">
        <f>IFERROR(__xludf.DUMMYFUNCTION("""COMPUTED_VALUE"""),"Christian Ditter")</f>
        <v>Christian Ditter</v>
      </c>
      <c r="V3775" s="5" t="s">
        <v>20518</v>
      </c>
      <c r="W3775" s="5" t="str">
        <f t="shared" si="3"/>
        <v>Sarthak Dasgupta</v>
      </c>
      <c r="X3775" s="5">
        <f t="shared" si="4"/>
        <v>1</v>
      </c>
      <c r="Y3775" s="5" t="str">
        <f>IFERROR(__xludf.DUMMYFUNCTION("REGEXEXTRACT(J3775, ""^\d+"")"),"130")</f>
        <v>130</v>
      </c>
      <c r="Z3775" s="5" t="str">
        <f>IFERROR(__xludf.DUMMYFUNCTION("REGEXEXTRACT(J3775, ""[A-Za-z ]+$"")")," min")</f>
        <v> min</v>
      </c>
      <c r="AA3775" s="5" t="str">
        <f>IFERROR(__xludf.DUMMYFUNCTION("IF(REGEXMATCH(Z3775, ""Season""), ""TV Show"", ""Movie"")"),"Movie")</f>
        <v>Movie</v>
      </c>
    </row>
    <row r="3776">
      <c r="A3776" s="1" t="s">
        <v>20519</v>
      </c>
      <c r="B3776" s="1" t="s">
        <v>37</v>
      </c>
      <c r="C3776" s="1" t="s">
        <v>20520</v>
      </c>
      <c r="E3776" s="1" t="s">
        <v>20521</v>
      </c>
      <c r="F3776" s="1" t="s">
        <v>96</v>
      </c>
      <c r="G3776" s="1" t="s">
        <v>20516</v>
      </c>
      <c r="H3776" s="1">
        <v>2019.0</v>
      </c>
      <c r="I3776" s="1" t="s">
        <v>42</v>
      </c>
      <c r="J3776" s="1" t="s">
        <v>189</v>
      </c>
      <c r="K3776" s="1" t="s">
        <v>3361</v>
      </c>
      <c r="L3776" s="1" t="s">
        <v>20522</v>
      </c>
      <c r="M3776" s="2" t="s">
        <v>12</v>
      </c>
      <c r="N3776" s="4">
        <f t="shared" si="1"/>
        <v>43621</v>
      </c>
      <c r="O3776" s="5" t="str">
        <f>IFERROR(__xludf.DUMMYFUNCTION("IF(REGEXMATCH(TRIM(I3776), ""^\d+\s*min""), ""Unclassified"", IF(I3776 = """", ""NR"", I3776))"),"TV-MA")</f>
        <v>TV-MA</v>
      </c>
      <c r="R3776" s="5" t="str">
        <f t="shared" si="2"/>
        <v>Black Mirror</v>
      </c>
      <c r="S3776" s="5" t="str">
        <f>IFERROR(__xludf.DUMMYFUNCTION("""COMPUTED_VALUE"""),"Khosla Ka Ghosla")</f>
        <v>Khosla Ka Ghosla</v>
      </c>
      <c r="U3776" s="5" t="str">
        <f>IFERROR(__xludf.DUMMYFUNCTION("""COMPUTED_VALUE"""),"Alma Har'El")</f>
        <v>Alma Har'El</v>
      </c>
      <c r="V3776" s="5" t="s">
        <v>20523</v>
      </c>
      <c r="W3776" s="5" t="str">
        <f t="shared" si="3"/>
        <v>Sathyan Anthikad</v>
      </c>
      <c r="X3776" s="5">
        <f t="shared" si="4"/>
        <v>1</v>
      </c>
      <c r="Y3776" s="5" t="str">
        <f>IFERROR(__xludf.DUMMYFUNCTION("REGEXEXTRACT(J3776, ""^\d+"")"),"5")</f>
        <v>5</v>
      </c>
      <c r="Z3776" s="5" t="str">
        <f>IFERROR(__xludf.DUMMYFUNCTION("REGEXEXTRACT(J3776, ""[A-Za-z ]+$"")")," Seasons")</f>
        <v> Seasons</v>
      </c>
      <c r="AA3776" s="5" t="str">
        <f>IFERROR(__xludf.DUMMYFUNCTION("IF(REGEXMATCH(Z3776, ""Season""), ""TV Show"", ""Movie"")"),"TV Show")</f>
        <v>TV Show</v>
      </c>
    </row>
    <row r="3777">
      <c r="A3777" s="1" t="s">
        <v>20524</v>
      </c>
      <c r="B3777" s="1" t="s">
        <v>27</v>
      </c>
      <c r="C3777" s="1" t="s">
        <v>20525</v>
      </c>
      <c r="D3777" s="1" t="s">
        <v>15159</v>
      </c>
      <c r="E3777" s="1" t="s">
        <v>20526</v>
      </c>
      <c r="F3777" s="1" t="s">
        <v>4615</v>
      </c>
      <c r="G3777" s="1" t="s">
        <v>20527</v>
      </c>
      <c r="H3777" s="1">
        <v>2015.0</v>
      </c>
      <c r="I3777" s="1" t="s">
        <v>42</v>
      </c>
      <c r="J3777" s="1" t="s">
        <v>4270</v>
      </c>
      <c r="K3777" s="1" t="s">
        <v>5704</v>
      </c>
      <c r="L3777" s="1" t="s">
        <v>20528</v>
      </c>
      <c r="M3777" s="2" t="s">
        <v>12</v>
      </c>
      <c r="N3777" s="4">
        <f t="shared" si="1"/>
        <v>43620</v>
      </c>
      <c r="O3777" s="5" t="str">
        <f>IFERROR(__xludf.DUMMYFUNCTION("IF(REGEXMATCH(TRIM(I3777), ""^\d+\s*min""), ""Unclassified"", IF(I3777 = """", ""NR"", I3777))"),"TV-MA")</f>
        <v>TV-MA</v>
      </c>
      <c r="R3777" s="5" t="str">
        <f t="shared" si="2"/>
        <v>Cosmos Laundromat: First Cycle</v>
      </c>
      <c r="S3777" s="5" t="str">
        <f>IFERROR(__xludf.DUMMYFUNCTION("""COMPUTED_VALUE"""),"Khotey Sikkey")</f>
        <v>Khotey Sikkey</v>
      </c>
      <c r="U3777" s="5" t="str">
        <f>IFERROR(__xludf.DUMMYFUNCTION("""COMPUTED_VALUE"""),"Katherine Brooks")</f>
        <v>Katherine Brooks</v>
      </c>
      <c r="V3777" s="5" t="s">
        <v>20529</v>
      </c>
      <c r="W3777" s="5" t="str">
        <f t="shared" si="3"/>
        <v>Satish Kaushik</v>
      </c>
      <c r="X3777" s="5">
        <f t="shared" si="4"/>
        <v>2</v>
      </c>
      <c r="Y3777" s="5" t="str">
        <f>IFERROR(__xludf.DUMMYFUNCTION("REGEXEXTRACT(J3777, ""^\d+"")"),"12")</f>
        <v>12</v>
      </c>
      <c r="Z3777" s="5" t="str">
        <f>IFERROR(__xludf.DUMMYFUNCTION("REGEXEXTRACT(J3777, ""[A-Za-z ]+$"")")," min")</f>
        <v> min</v>
      </c>
      <c r="AA3777" s="5" t="str">
        <f>IFERROR(__xludf.DUMMYFUNCTION("IF(REGEXMATCH(Z3777, ""Season""), ""TV Show"", ""Movie"")"),"Movie")</f>
        <v>Movie</v>
      </c>
    </row>
    <row r="3778">
      <c r="A3778" s="1" t="s">
        <v>20530</v>
      </c>
      <c r="B3778" s="1" t="s">
        <v>27</v>
      </c>
      <c r="C3778" s="1" t="s">
        <v>20531</v>
      </c>
      <c r="D3778" s="1" t="s">
        <v>14140</v>
      </c>
      <c r="E3778" s="1" t="s">
        <v>20532</v>
      </c>
      <c r="F3778" s="1" t="s">
        <v>30</v>
      </c>
      <c r="G3778" s="1" t="s">
        <v>20527</v>
      </c>
      <c r="H3778" s="1">
        <v>2019.0</v>
      </c>
      <c r="I3778" s="1" t="s">
        <v>97</v>
      </c>
      <c r="J3778" s="1" t="s">
        <v>2670</v>
      </c>
      <c r="K3778" s="1" t="s">
        <v>1839</v>
      </c>
      <c r="L3778" s="1" t="s">
        <v>20533</v>
      </c>
      <c r="M3778" s="2" t="s">
        <v>12</v>
      </c>
      <c r="N3778" s="4">
        <f t="shared" si="1"/>
        <v>43620</v>
      </c>
      <c r="O3778" s="5" t="str">
        <f>IFERROR(__xludf.DUMMYFUNCTION("IF(REGEXMATCH(TRIM(I3778), ""^\d+\s*min""), ""Unclassified"", IF(I3778 = """", ""NR"", I3778))"),"TV-14")</f>
        <v>TV-14</v>
      </c>
      <c r="R3778" s="5" t="str">
        <f t="shared" si="2"/>
        <v>Miranda Sings Live…Your Welcome</v>
      </c>
      <c r="S3778" s="5" t="str">
        <f>IFERROR(__xludf.DUMMYFUNCTION("""COMPUTED_VALUE"""),"Khubsoorat")</f>
        <v>Khubsoorat</v>
      </c>
      <c r="U3778" s="5" t="str">
        <f>IFERROR(__xludf.DUMMYFUNCTION("""COMPUTED_VALUE"""),"Ana Quiroga")</f>
        <v>Ana Quiroga</v>
      </c>
      <c r="V3778" s="5" t="s">
        <v>20534</v>
      </c>
      <c r="W3778" s="5" t="str">
        <f t="shared" si="3"/>
        <v>Satish Manwar</v>
      </c>
      <c r="X3778" s="5">
        <f t="shared" si="4"/>
        <v>1</v>
      </c>
      <c r="Y3778" s="5" t="str">
        <f>IFERROR(__xludf.DUMMYFUNCTION("REGEXEXTRACT(J3778, ""^\d+"")"),"62")</f>
        <v>62</v>
      </c>
      <c r="Z3778" s="5" t="str">
        <f>IFERROR(__xludf.DUMMYFUNCTION("REGEXEXTRACT(J3778, ""[A-Za-z ]+$"")")," min")</f>
        <v> min</v>
      </c>
      <c r="AA3778" s="5" t="str">
        <f>IFERROR(__xludf.DUMMYFUNCTION("IF(REGEXMATCH(Z3778, ""Season""), ""TV Show"", ""Movie"")"),"Movie")</f>
        <v>Movie</v>
      </c>
    </row>
    <row r="3779">
      <c r="A3779" s="1" t="s">
        <v>20535</v>
      </c>
      <c r="B3779" s="1" t="s">
        <v>27</v>
      </c>
      <c r="C3779" s="1" t="s">
        <v>20536</v>
      </c>
      <c r="D3779" s="1" t="s">
        <v>13790</v>
      </c>
      <c r="F3779" s="1" t="s">
        <v>30</v>
      </c>
      <c r="G3779" s="1" t="s">
        <v>20527</v>
      </c>
      <c r="H3779" s="1">
        <v>2014.0</v>
      </c>
      <c r="I3779" s="1" t="s">
        <v>206</v>
      </c>
      <c r="J3779" s="1" t="s">
        <v>20537</v>
      </c>
      <c r="K3779" s="1" t="s">
        <v>8035</v>
      </c>
      <c r="L3779" s="1" t="s">
        <v>20538</v>
      </c>
      <c r="M3779" s="2" t="s">
        <v>12</v>
      </c>
      <c r="N3779" s="4">
        <f t="shared" si="1"/>
        <v>43620</v>
      </c>
      <c r="O3779" s="5" t="str">
        <f>IFERROR(__xludf.DUMMYFUNCTION("IF(REGEXMATCH(TRIM(I3779), ""^\d+\s*min""), ""Unclassified"", IF(I3779 = """", ""NR"", I3779))"),"TV-Y")</f>
        <v>TV-Y</v>
      </c>
      <c r="R3779" s="5" t="str">
        <f t="shared" si="2"/>
        <v>Silent</v>
      </c>
      <c r="S3779" s="5" t="str">
        <f>IFERROR(__xludf.DUMMYFUNCTION("""COMPUTED_VALUE"""),"Khushi")</f>
        <v>Khushi</v>
      </c>
      <c r="U3779" s="5" t="str">
        <f>IFERROR(__xludf.DUMMYFUNCTION("""COMPUTED_VALUE"""),"Radhika Rao, Vinay Sapru")</f>
        <v>Radhika Rao, Vinay Sapru</v>
      </c>
      <c r="V3779" s="5" t="s">
        <v>11564</v>
      </c>
      <c r="W3779" s="5" t="str">
        <f t="shared" si="3"/>
        <v>Satish Rajwade</v>
      </c>
      <c r="X3779" s="5">
        <f t="shared" si="4"/>
        <v>3</v>
      </c>
      <c r="Y3779" s="5" t="str">
        <f>IFERROR(__xludf.DUMMYFUNCTION("REGEXEXTRACT(J3779, ""^\d+"")"),"3")</f>
        <v>3</v>
      </c>
      <c r="Z3779" s="5" t="str">
        <f>IFERROR(__xludf.DUMMYFUNCTION("REGEXEXTRACT(J3779, ""[A-Za-z ]+$"")")," min")</f>
        <v> min</v>
      </c>
      <c r="AA3779" s="5" t="str">
        <f>IFERROR(__xludf.DUMMYFUNCTION("IF(REGEXMATCH(Z3779, ""Season""), ""TV Show"", ""Movie"")"),"Movie")</f>
        <v>Movie</v>
      </c>
    </row>
    <row r="3780">
      <c r="A3780" s="1" t="s">
        <v>20539</v>
      </c>
      <c r="B3780" s="1" t="s">
        <v>37</v>
      </c>
      <c r="C3780" s="1" t="s">
        <v>20540</v>
      </c>
      <c r="E3780" s="1" t="s">
        <v>20541</v>
      </c>
      <c r="F3780" s="1" t="s">
        <v>30</v>
      </c>
      <c r="G3780" s="1" t="s">
        <v>20542</v>
      </c>
      <c r="H3780" s="1">
        <v>2019.0</v>
      </c>
      <c r="I3780" s="1" t="s">
        <v>97</v>
      </c>
      <c r="J3780" s="1" t="s">
        <v>276</v>
      </c>
      <c r="K3780" s="1" t="s">
        <v>270</v>
      </c>
      <c r="L3780" s="1" t="s">
        <v>20543</v>
      </c>
      <c r="M3780" s="2" t="s">
        <v>12</v>
      </c>
      <c r="N3780" s="4">
        <f t="shared" si="1"/>
        <v>43619</v>
      </c>
      <c r="O3780" s="5" t="str">
        <f>IFERROR(__xludf.DUMMYFUNCTION("IF(REGEXMATCH(TRIM(I3780), ""^\d+\s*min""), ""Unclassified"", IF(I3780 = """", ""NR"", I3780))"),"TV-14")</f>
        <v>TV-14</v>
      </c>
      <c r="R3780" s="5" t="str">
        <f t="shared" si="2"/>
        <v>Documentary Now!</v>
      </c>
      <c r="S3780" s="5" t="str">
        <f>IFERROR(__xludf.DUMMYFUNCTION("""COMPUTED_VALUE"""),"Kia And Cosmos")</f>
        <v>Kia And Cosmos</v>
      </c>
      <c r="U3780" s="5" t="str">
        <f>IFERROR(__xludf.DUMMYFUNCTION("""COMPUTED_VALUE"""),"Prabhuraj")</f>
        <v>Prabhuraj</v>
      </c>
      <c r="V3780" s="5" t="s">
        <v>6093</v>
      </c>
      <c r="W3780" s="5" t="str">
        <f t="shared" si="3"/>
        <v>Satyajit Bhatkal</v>
      </c>
      <c r="X3780" s="5">
        <f t="shared" si="4"/>
        <v>2</v>
      </c>
      <c r="Y3780" s="5" t="str">
        <f>IFERROR(__xludf.DUMMYFUNCTION("REGEXEXTRACT(J3780, ""^\d+"")"),"3")</f>
        <v>3</v>
      </c>
      <c r="Z3780" s="5" t="str">
        <f>IFERROR(__xludf.DUMMYFUNCTION("REGEXEXTRACT(J3780, ""[A-Za-z ]+$"")")," Seasons")</f>
        <v> Seasons</v>
      </c>
      <c r="AA3780" s="5" t="str">
        <f>IFERROR(__xludf.DUMMYFUNCTION("IF(REGEXMATCH(Z3780, ""Season""), ""TV Show"", ""Movie"")"),"TV Show")</f>
        <v>TV Show</v>
      </c>
    </row>
    <row r="3781">
      <c r="A3781" s="1" t="s">
        <v>20544</v>
      </c>
      <c r="B3781" s="1" t="s">
        <v>37</v>
      </c>
      <c r="C3781" s="1" t="s">
        <v>20545</v>
      </c>
      <c r="E3781" s="1" t="s">
        <v>20546</v>
      </c>
      <c r="F3781" s="1" t="s">
        <v>30</v>
      </c>
      <c r="G3781" s="1" t="s">
        <v>20542</v>
      </c>
      <c r="H3781" s="1">
        <v>2019.0</v>
      </c>
      <c r="I3781" s="1" t="s">
        <v>506</v>
      </c>
      <c r="J3781" s="1" t="s">
        <v>51</v>
      </c>
      <c r="K3781" s="1" t="s">
        <v>12796</v>
      </c>
      <c r="L3781" s="1" t="s">
        <v>20547</v>
      </c>
      <c r="M3781" s="2" t="s">
        <v>12</v>
      </c>
      <c r="N3781" s="4">
        <f t="shared" si="1"/>
        <v>43619</v>
      </c>
      <c r="O3781" s="5" t="str">
        <f>IFERROR(__xludf.DUMMYFUNCTION("IF(REGEXMATCH(TRIM(I3781), ""^\d+\s*min""), ""Unclassified"", IF(I3781 = """", ""NR"", I3781))"),"TV-G")</f>
        <v>TV-G</v>
      </c>
      <c r="R3781" s="5" t="str">
        <f t="shared" si="2"/>
        <v>Malibu Rescue: The Series</v>
      </c>
      <c r="S3781" s="5" t="str">
        <f>IFERROR(__xludf.DUMMYFUNCTION("""COMPUTED_VALUE"""),"Kibaoh Klashers")</f>
        <v>Kibaoh Klashers</v>
      </c>
      <c r="U3781" s="5" t="str">
        <f>IFERROR(__xludf.DUMMYFUNCTION("""COMPUTED_VALUE"""),"Ticoy Rodriguez")</f>
        <v>Ticoy Rodriguez</v>
      </c>
      <c r="V3781" s="5" t="s">
        <v>20548</v>
      </c>
      <c r="W3781" s="5" t="str">
        <f t="shared" si="3"/>
        <v>Saul Dibb</v>
      </c>
      <c r="X3781" s="5">
        <f t="shared" si="4"/>
        <v>1</v>
      </c>
      <c r="Y3781" s="5" t="str">
        <f>IFERROR(__xludf.DUMMYFUNCTION("REGEXEXTRACT(J3781, ""^\d+"")"),"1")</f>
        <v>1</v>
      </c>
      <c r="Z3781" s="5" t="str">
        <f>IFERROR(__xludf.DUMMYFUNCTION("REGEXEXTRACT(J3781, ""[A-Za-z ]+$"")")," Season")</f>
        <v> Season</v>
      </c>
      <c r="AA3781" s="5" t="str">
        <f>IFERROR(__xludf.DUMMYFUNCTION("IF(REGEXMATCH(Z3781, ""Season""), ""TV Show"", ""Movie"")"),"TV Show")</f>
        <v>TV Show</v>
      </c>
    </row>
    <row r="3782">
      <c r="A3782" s="1" t="s">
        <v>20549</v>
      </c>
      <c r="B3782" s="1" t="s">
        <v>37</v>
      </c>
      <c r="C3782" s="1" t="s">
        <v>20550</v>
      </c>
      <c r="E3782" s="1" t="s">
        <v>20551</v>
      </c>
      <c r="F3782" s="1" t="s">
        <v>749</v>
      </c>
      <c r="G3782" s="1" t="s">
        <v>20552</v>
      </c>
      <c r="H3782" s="1">
        <v>2019.0</v>
      </c>
      <c r="I3782" s="1" t="s">
        <v>42</v>
      </c>
      <c r="J3782" s="1" t="s">
        <v>51</v>
      </c>
      <c r="K3782" s="1" t="s">
        <v>14196</v>
      </c>
      <c r="L3782" s="1" t="s">
        <v>20553</v>
      </c>
      <c r="M3782" s="2" t="s">
        <v>12</v>
      </c>
      <c r="N3782" s="4">
        <f t="shared" si="1"/>
        <v>43618</v>
      </c>
      <c r="O3782" s="5" t="str">
        <f>IFERROR(__xludf.DUMMYFUNCTION("IF(REGEXMATCH(TRIM(I3782), ""^\d+\s*min""), ""Unclassified"", IF(I3782 = """", ""NR"", I3782))"),"TV-MA")</f>
        <v>TV-MA</v>
      </c>
      <c r="R3782" s="5" t="str">
        <f t="shared" si="2"/>
        <v>Arthdal Chronicles</v>
      </c>
      <c r="S3782" s="5" t="str">
        <f>IFERROR(__xludf.DUMMYFUNCTION("""COMPUTED_VALUE"""),"Kickboxer: Retaliation")</f>
        <v>Kickboxer: Retaliation</v>
      </c>
      <c r="U3782" s="5" t="str">
        <f>IFERROR(__xludf.DUMMYFUNCTION("""COMPUTED_VALUE"""),"Jayan Vannery")</f>
        <v>Jayan Vannery</v>
      </c>
      <c r="V3782" s="5" t="s">
        <v>1344</v>
      </c>
      <c r="W3782" s="5" t="str">
        <f t="shared" si="3"/>
        <v>Saurabh Kabra</v>
      </c>
      <c r="X3782" s="5">
        <f t="shared" si="4"/>
        <v>1</v>
      </c>
      <c r="Y3782" s="5" t="str">
        <f>IFERROR(__xludf.DUMMYFUNCTION("REGEXEXTRACT(J3782, ""^\d+"")"),"1")</f>
        <v>1</v>
      </c>
      <c r="Z3782" s="5" t="str">
        <f>IFERROR(__xludf.DUMMYFUNCTION("REGEXEXTRACT(J3782, ""[A-Za-z ]+$"")")," Season")</f>
        <v> Season</v>
      </c>
      <c r="AA3782" s="5" t="str">
        <f>IFERROR(__xludf.DUMMYFUNCTION("IF(REGEXMATCH(Z3782, ""Season""), ""TV Show"", ""Movie"")"),"TV Show")</f>
        <v>TV Show</v>
      </c>
    </row>
    <row r="3783">
      <c r="A3783" s="1" t="s">
        <v>20554</v>
      </c>
      <c r="B3783" s="1" t="s">
        <v>27</v>
      </c>
      <c r="C3783" s="1" t="s">
        <v>20555</v>
      </c>
      <c r="D3783" s="1" t="s">
        <v>5751</v>
      </c>
      <c r="E3783" s="1" t="s">
        <v>20556</v>
      </c>
      <c r="F3783" s="1" t="s">
        <v>63</v>
      </c>
      <c r="G3783" s="1" t="s">
        <v>20552</v>
      </c>
      <c r="H3783" s="1">
        <v>2019.0</v>
      </c>
      <c r="I3783" s="1" t="s">
        <v>97</v>
      </c>
      <c r="J3783" s="1" t="s">
        <v>835</v>
      </c>
      <c r="K3783" s="1" t="s">
        <v>128</v>
      </c>
      <c r="L3783" s="1" t="s">
        <v>20557</v>
      </c>
      <c r="M3783" s="2" t="s">
        <v>12</v>
      </c>
      <c r="N3783" s="4">
        <f t="shared" si="1"/>
        <v>43618</v>
      </c>
      <c r="O3783" s="5" t="str">
        <f>IFERROR(__xludf.DUMMYFUNCTION("IF(REGEXMATCH(TRIM(I3783), ""^\d+\s*min""), ""Unclassified"", IF(I3783 = """", ""NR"", I3783))"),"TV-14")</f>
        <v>TV-14</v>
      </c>
      <c r="R3783" s="5" t="str">
        <f t="shared" si="2"/>
        <v>Krutant</v>
      </c>
      <c r="S3783" s="5" t="str">
        <f>IFERROR(__xludf.DUMMYFUNCTION("""COMPUTED_VALUE"""),"Kickboxer: Vengeance")</f>
        <v>Kickboxer: Vengeance</v>
      </c>
      <c r="U3783" s="5" t="str">
        <f>IFERROR(__xludf.DUMMYFUNCTION("""COMPUTED_VALUE"""),"Pratim D. Gupta")</f>
        <v>Pratim D. Gupta</v>
      </c>
      <c r="V3783" s="5" t="s">
        <v>19501</v>
      </c>
      <c r="W3783" s="5" t="str">
        <f t="shared" si="3"/>
        <v>Saurabh Sinha</v>
      </c>
      <c r="X3783" s="5">
        <f t="shared" si="4"/>
        <v>1</v>
      </c>
      <c r="Y3783" s="5" t="str">
        <f>IFERROR(__xludf.DUMMYFUNCTION("REGEXEXTRACT(J3783, ""^\d+"")"),"114")</f>
        <v>114</v>
      </c>
      <c r="Z3783" s="5" t="str">
        <f>IFERROR(__xludf.DUMMYFUNCTION("REGEXEXTRACT(J3783, ""[A-Za-z ]+$"")")," min")</f>
        <v> min</v>
      </c>
      <c r="AA3783" s="5" t="str">
        <f>IFERROR(__xludf.DUMMYFUNCTION("IF(REGEXMATCH(Z3783, ""Season""), ""TV Show"", ""Movie"")"),"Movie")</f>
        <v>Movie</v>
      </c>
    </row>
    <row r="3784">
      <c r="A3784" s="1" t="s">
        <v>20558</v>
      </c>
      <c r="B3784" s="1" t="s">
        <v>37</v>
      </c>
      <c r="C3784" s="1" t="s">
        <v>20559</v>
      </c>
      <c r="E3784" s="1" t="s">
        <v>20560</v>
      </c>
      <c r="F3784" s="1" t="s">
        <v>2059</v>
      </c>
      <c r="G3784" s="1" t="s">
        <v>20561</v>
      </c>
      <c r="H3784" s="1">
        <v>2019.0</v>
      </c>
      <c r="I3784" s="1" t="s">
        <v>97</v>
      </c>
      <c r="J3784" s="1" t="s">
        <v>51</v>
      </c>
      <c r="K3784" s="1" t="s">
        <v>402</v>
      </c>
      <c r="L3784" s="1" t="s">
        <v>20562</v>
      </c>
      <c r="M3784" s="2" t="s">
        <v>12</v>
      </c>
      <c r="N3784" s="4">
        <f t="shared" si="1"/>
        <v>43617</v>
      </c>
      <c r="O3784" s="5" t="str">
        <f>IFERROR(__xludf.DUMMYFUNCTION("IF(REGEXMATCH(TRIM(I3784), ""^\d+\s*min""), ""Unclassified"", IF(I3784 = """", ""NR"", I3784))"),"TV-14")</f>
        <v>TV-14</v>
      </c>
      <c r="R3784" s="5" t="str">
        <f t="shared" si="2"/>
        <v>A Thousand Goodnights</v>
      </c>
      <c r="S3784" s="5" t="str">
        <f>IFERROR(__xludf.DUMMYFUNCTION("""COMPUTED_VALUE"""),"Kicking And Screaming")</f>
        <v>Kicking And Screaming</v>
      </c>
      <c r="U3784" s="5" t="str">
        <f>IFERROR(__xludf.DUMMYFUNCTION("""COMPUTED_VALUE"""),"Dylan C. Brown")</f>
        <v>Dylan C. Brown</v>
      </c>
      <c r="V3784" s="5" t="s">
        <v>20563</v>
      </c>
      <c r="W3784" s="5" t="str">
        <f t="shared" si="3"/>
        <v>Saurav Palodhi</v>
      </c>
      <c r="X3784" s="5">
        <f t="shared" si="4"/>
        <v>1</v>
      </c>
      <c r="Y3784" s="5" t="str">
        <f>IFERROR(__xludf.DUMMYFUNCTION("REGEXEXTRACT(J3784, ""^\d+"")"),"1")</f>
        <v>1</v>
      </c>
      <c r="Z3784" s="5" t="str">
        <f>IFERROR(__xludf.DUMMYFUNCTION("REGEXEXTRACT(J3784, ""[A-Za-z ]+$"")")," Season")</f>
        <v> Season</v>
      </c>
      <c r="AA3784" s="5" t="str">
        <f>IFERROR(__xludf.DUMMYFUNCTION("IF(REGEXMATCH(Z3784, ""Season""), ""TV Show"", ""Movie"")"),"TV Show")</f>
        <v>TV Show</v>
      </c>
    </row>
    <row r="3785">
      <c r="A3785" s="1" t="s">
        <v>20564</v>
      </c>
      <c r="B3785" s="1" t="s">
        <v>27</v>
      </c>
      <c r="C3785" s="1" t="s">
        <v>20565</v>
      </c>
      <c r="D3785" s="1" t="s">
        <v>20400</v>
      </c>
      <c r="E3785" s="1" t="s">
        <v>20566</v>
      </c>
      <c r="F3785" s="1" t="s">
        <v>63</v>
      </c>
      <c r="G3785" s="1" t="s">
        <v>20561</v>
      </c>
      <c r="H3785" s="1">
        <v>2017.0</v>
      </c>
      <c r="I3785" s="1" t="s">
        <v>42</v>
      </c>
      <c r="J3785" s="1" t="s">
        <v>757</v>
      </c>
      <c r="K3785" s="1" t="s">
        <v>89</v>
      </c>
      <c r="L3785" s="1" t="s">
        <v>20567</v>
      </c>
      <c r="M3785" s="2" t="s">
        <v>12</v>
      </c>
      <c r="N3785" s="4">
        <f t="shared" si="1"/>
        <v>43617</v>
      </c>
      <c r="O3785" s="5" t="str">
        <f>IFERROR(__xludf.DUMMYFUNCTION("IF(REGEXMATCH(TRIM(I3785), ""^\d+\s*min""), ""Unclassified"", IF(I3785 = """", ""NR"", I3785))"),"TV-MA")</f>
        <v>TV-MA</v>
      </c>
      <c r="R3785" s="5" t="str">
        <f t="shared" si="2"/>
        <v>Iii Smoking Barrels</v>
      </c>
      <c r="S3785" s="5" t="str">
        <f>IFERROR(__xludf.DUMMYFUNCTION("""COMPUTED_VALUE"""),"Kicko &amp; Super Speedo")</f>
        <v>Kicko &amp; Super Speedo</v>
      </c>
      <c r="U3785" s="5" t="str">
        <f>IFERROR(__xludf.DUMMYFUNCTION("""COMPUTED_VALUE"""),"Debaloy Dey")</f>
        <v>Debaloy Dey</v>
      </c>
      <c r="V3785" s="5" t="s">
        <v>12353</v>
      </c>
      <c r="W3785" s="5" t="str">
        <f t="shared" si="3"/>
        <v>Savage Steve Holland</v>
      </c>
      <c r="X3785" s="5">
        <f t="shared" si="4"/>
        <v>4</v>
      </c>
      <c r="Y3785" s="5" t="str">
        <f>IFERROR(__xludf.DUMMYFUNCTION("REGEXEXTRACT(J3785, ""^\d+"")"),"128")</f>
        <v>128</v>
      </c>
      <c r="Z3785" s="5" t="str">
        <f>IFERROR(__xludf.DUMMYFUNCTION("REGEXEXTRACT(J3785, ""[A-Za-z ]+$"")")," min")</f>
        <v> min</v>
      </c>
      <c r="AA3785" s="5" t="str">
        <f>IFERROR(__xludf.DUMMYFUNCTION("IF(REGEXMATCH(Z3785, ""Season""), ""TV Show"", ""Movie"")"),"Movie")</f>
        <v>Movie</v>
      </c>
    </row>
    <row r="3786">
      <c r="A3786" s="1" t="s">
        <v>20568</v>
      </c>
      <c r="B3786" s="1" t="s">
        <v>37</v>
      </c>
      <c r="C3786" s="1" t="s">
        <v>20569</v>
      </c>
      <c r="E3786" s="1" t="s">
        <v>20570</v>
      </c>
      <c r="F3786" s="1" t="s">
        <v>415</v>
      </c>
      <c r="G3786" s="1" t="s">
        <v>20561</v>
      </c>
      <c r="H3786" s="1">
        <v>2017.0</v>
      </c>
      <c r="I3786" s="1" t="s">
        <v>97</v>
      </c>
      <c r="J3786" s="1" t="s">
        <v>43</v>
      </c>
      <c r="K3786" s="1" t="s">
        <v>1084</v>
      </c>
      <c r="L3786" s="1" t="s">
        <v>20571</v>
      </c>
      <c r="M3786" s="2" t="s">
        <v>12</v>
      </c>
      <c r="N3786" s="4">
        <f t="shared" si="1"/>
        <v>43617</v>
      </c>
      <c r="O3786" s="5" t="str">
        <f>IFERROR(__xludf.DUMMYFUNCTION("IF(REGEXMATCH(TRIM(I3786), ""^\d+\s*min""), ""Unclassified"", IF(I3786 = """", ""NR"", I3786))"),"TV-14")</f>
        <v>TV-14</v>
      </c>
      <c r="R3786" s="5" t="str">
        <f t="shared" si="2"/>
        <v>March Comes In Like A Lion</v>
      </c>
      <c r="S3786" s="5" t="str">
        <f>IFERROR(__xludf.DUMMYFUNCTION("""COMPUTED_VALUE"""),"Kid Cosmic")</f>
        <v>Kid Cosmic</v>
      </c>
      <c r="U3786" s="5" t="str">
        <f>IFERROR(__xludf.DUMMYFUNCTION("""COMPUTED_VALUE"""),"George Miller")</f>
        <v>George Miller</v>
      </c>
      <c r="V3786" s="5" t="s">
        <v>3319</v>
      </c>
      <c r="W3786" s="5" t="str">
        <f t="shared" si="3"/>
        <v>Saw Teong Hin, Nik Amir Mustapha, M.S. Prem Nath</v>
      </c>
      <c r="X3786" s="5">
        <f t="shared" si="4"/>
        <v>1</v>
      </c>
      <c r="Y3786" s="5" t="str">
        <f>IFERROR(__xludf.DUMMYFUNCTION("REGEXEXTRACT(J3786, ""^\d+"")"),"2")</f>
        <v>2</v>
      </c>
      <c r="Z3786" s="5" t="str">
        <f>IFERROR(__xludf.DUMMYFUNCTION("REGEXEXTRACT(J3786, ""[A-Za-z ]+$"")")," Seasons")</f>
        <v> Seasons</v>
      </c>
      <c r="AA3786" s="5" t="str">
        <f>IFERROR(__xludf.DUMMYFUNCTION("IF(REGEXMATCH(Z3786, ""Season""), ""TV Show"", ""Movie"")"),"TV Show")</f>
        <v>TV Show</v>
      </c>
    </row>
    <row r="3787">
      <c r="A3787" s="1" t="s">
        <v>20572</v>
      </c>
      <c r="B3787" s="1" t="s">
        <v>27</v>
      </c>
      <c r="C3787" s="1" t="s">
        <v>20573</v>
      </c>
      <c r="D3787" s="1" t="s">
        <v>4039</v>
      </c>
      <c r="E3787" s="1" t="s">
        <v>20574</v>
      </c>
      <c r="F3787" s="1" t="s">
        <v>4041</v>
      </c>
      <c r="G3787" s="1" t="s">
        <v>20561</v>
      </c>
      <c r="H3787" s="1">
        <v>2019.0</v>
      </c>
      <c r="I3787" s="1" t="s">
        <v>42</v>
      </c>
      <c r="J3787" s="1" t="s">
        <v>1065</v>
      </c>
      <c r="K3787" s="1" t="s">
        <v>199</v>
      </c>
      <c r="L3787" s="1" t="s">
        <v>20575</v>
      </c>
      <c r="M3787" s="2" t="s">
        <v>12</v>
      </c>
      <c r="N3787" s="4">
        <f t="shared" si="1"/>
        <v>43617</v>
      </c>
      <c r="O3787" s="5" t="str">
        <f>IFERROR(__xludf.DUMMYFUNCTION("IF(REGEXMATCH(TRIM(I3787), ""^\d+\s*min""), ""Unclassified"", IF(I3787 = """", ""NR"", I3787))"),"TV-MA")</f>
        <v>TV-MA</v>
      </c>
      <c r="R3787" s="5" t="str">
        <f t="shared" si="2"/>
        <v>Oh, Ramona!</v>
      </c>
      <c r="S3787" s="5" t="str">
        <f>IFERROR(__xludf.DUMMYFUNCTION("""COMPUTED_VALUE"""),"Kid Kulafu")</f>
        <v>Kid Kulafu</v>
      </c>
      <c r="U3787" s="5" t="str">
        <f>IFERROR(__xludf.DUMMYFUNCTION("""COMPUTED_VALUE"""),"Callie Khouri, Jesse V. Johnson")</f>
        <v>Callie Khouri, Jesse V. Johnson</v>
      </c>
      <c r="V3787" s="5" t="s">
        <v>15703</v>
      </c>
      <c r="W3787" s="5" t="str">
        <f t="shared" si="3"/>
        <v>Scot Armstrong</v>
      </c>
      <c r="X3787" s="5">
        <f t="shared" si="4"/>
        <v>1</v>
      </c>
      <c r="Y3787" s="5" t="str">
        <f>IFERROR(__xludf.DUMMYFUNCTION("REGEXEXTRACT(J3787, ""^\d+"")"),"109")</f>
        <v>109</v>
      </c>
      <c r="Z3787" s="5" t="str">
        <f>IFERROR(__xludf.DUMMYFUNCTION("REGEXEXTRACT(J3787, ""[A-Za-z ]+$"")")," min")</f>
        <v> min</v>
      </c>
      <c r="AA3787" s="5" t="str">
        <f>IFERROR(__xludf.DUMMYFUNCTION("IF(REGEXMATCH(Z3787, ""Season""), ""TV Show"", ""Movie"")"),"Movie")</f>
        <v>Movie</v>
      </c>
    </row>
    <row r="3788">
      <c r="A3788" s="1" t="s">
        <v>20576</v>
      </c>
      <c r="B3788" s="1" t="s">
        <v>27</v>
      </c>
      <c r="C3788" s="1" t="s">
        <v>20577</v>
      </c>
      <c r="D3788" s="1" t="s">
        <v>5652</v>
      </c>
      <c r="E3788" s="1" t="s">
        <v>20578</v>
      </c>
      <c r="F3788" s="1" t="s">
        <v>1119</v>
      </c>
      <c r="G3788" s="1" t="s">
        <v>20561</v>
      </c>
      <c r="H3788" s="1">
        <v>2019.0</v>
      </c>
      <c r="I3788" s="1" t="s">
        <v>97</v>
      </c>
      <c r="J3788" s="1" t="s">
        <v>1065</v>
      </c>
      <c r="K3788" s="1" t="s">
        <v>20579</v>
      </c>
      <c r="L3788" s="1" t="s">
        <v>20580</v>
      </c>
      <c r="M3788" s="2" t="s">
        <v>12</v>
      </c>
      <c r="N3788" s="4">
        <f t="shared" si="1"/>
        <v>43617</v>
      </c>
      <c r="O3788" s="5" t="str">
        <f>IFERROR(__xludf.DUMMYFUNCTION("IF(REGEXMATCH(TRIM(I3788), ""^\d+\s*min""), ""Unclassified"", IF(I3788 = """", ""NR"", I3788))"),"TV-14")</f>
        <v>TV-14</v>
      </c>
      <c r="R3788" s="5" t="str">
        <f t="shared" si="2"/>
        <v>We Are Legends</v>
      </c>
      <c r="S3788" s="5" t="str">
        <f>IFERROR(__xludf.DUMMYFUNCTION("""COMPUTED_VALUE"""),"Kid-E-Cats")</f>
        <v>Kid-E-Cats</v>
      </c>
      <c r="U3788" s="5" t="str">
        <f>IFERROR(__xludf.DUMMYFUNCTION("""COMPUTED_VALUE"""),"Jim Monaco")</f>
        <v>Jim Monaco</v>
      </c>
      <c r="V3788" s="5" t="s">
        <v>19170</v>
      </c>
      <c r="W3788" s="5" t="str">
        <f t="shared" si="3"/>
        <v>Scott Aukerman</v>
      </c>
      <c r="X3788" s="5">
        <f t="shared" si="4"/>
        <v>1</v>
      </c>
      <c r="Y3788" s="5" t="str">
        <f>IFERROR(__xludf.DUMMYFUNCTION("REGEXEXTRACT(J3788, ""^\d+"")"),"109")</f>
        <v>109</v>
      </c>
      <c r="Z3788" s="5" t="str">
        <f>IFERROR(__xludf.DUMMYFUNCTION("REGEXEXTRACT(J3788, ""[A-Za-z ]+$"")")," min")</f>
        <v> min</v>
      </c>
      <c r="AA3788" s="5" t="str">
        <f>IFERROR(__xludf.DUMMYFUNCTION("IF(REGEXMATCH(Z3788, ""Season""), ""TV Show"", ""Movie"")"),"Movie")</f>
        <v>Movie</v>
      </c>
    </row>
    <row r="3789">
      <c r="A3789" s="1" t="s">
        <v>20581</v>
      </c>
      <c r="B3789" s="1" t="s">
        <v>37</v>
      </c>
      <c r="C3789" s="1" t="s">
        <v>20582</v>
      </c>
      <c r="E3789" s="1" t="s">
        <v>20583</v>
      </c>
      <c r="F3789" s="1" t="s">
        <v>1106</v>
      </c>
      <c r="G3789" s="7">
        <v>43616.0</v>
      </c>
      <c r="H3789" s="1">
        <v>2019.0</v>
      </c>
      <c r="I3789" s="1" t="s">
        <v>42</v>
      </c>
      <c r="J3789" s="1" t="s">
        <v>43</v>
      </c>
      <c r="K3789" s="1" t="s">
        <v>4118</v>
      </c>
      <c r="L3789" s="1" t="s">
        <v>20584</v>
      </c>
      <c r="M3789" s="2" t="s">
        <v>12</v>
      </c>
      <c r="N3789" s="4">
        <f t="shared" si="1"/>
        <v>43616</v>
      </c>
      <c r="O3789" s="5" t="str">
        <f>IFERROR(__xludf.DUMMYFUNCTION("IF(REGEXMATCH(TRIM(I3789), ""^\d+\s*min""), ""Unclassified"", IF(I3789 = """", ""NR"", I3789))"),"TV-MA")</f>
        <v>TV-MA</v>
      </c>
      <c r="R3789" s="5" t="str">
        <f t="shared" si="2"/>
        <v>Bad Blood</v>
      </c>
      <c r="S3789" s="5" t="str">
        <f>IFERROR(__xludf.DUMMYFUNCTION("""COMPUTED_VALUE"""),"Kidnapping Mr. Heineken")</f>
        <v>Kidnapping Mr. Heineken</v>
      </c>
      <c r="U3789" s="5" t="str">
        <f>IFERROR(__xludf.DUMMYFUNCTION("""COMPUTED_VALUE"""),"Chun Wong")</f>
        <v>Chun Wong</v>
      </c>
      <c r="V3789" s="5" t="s">
        <v>20585</v>
      </c>
      <c r="W3789" s="5" t="str">
        <f t="shared" si="3"/>
        <v>Scott Aukerman, Akiva Schaffer</v>
      </c>
      <c r="X3789" s="5">
        <f t="shared" si="4"/>
        <v>1</v>
      </c>
      <c r="Y3789" s="5" t="str">
        <f>IFERROR(__xludf.DUMMYFUNCTION("REGEXEXTRACT(J3789, ""^\d+"")"),"2")</f>
        <v>2</v>
      </c>
      <c r="Z3789" s="5" t="str">
        <f>IFERROR(__xludf.DUMMYFUNCTION("REGEXEXTRACT(J3789, ""[A-Za-z ]+$"")")," Seasons")</f>
        <v> Seasons</v>
      </c>
      <c r="AA3789" s="5" t="str">
        <f>IFERROR(__xludf.DUMMYFUNCTION("IF(REGEXMATCH(Z3789, ""Season""), ""TV Show"", ""Movie"")"),"TV Show")</f>
        <v>TV Show</v>
      </c>
    </row>
    <row r="3790">
      <c r="A3790" s="1" t="s">
        <v>20586</v>
      </c>
      <c r="B3790" s="1" t="s">
        <v>27</v>
      </c>
      <c r="C3790" s="1" t="s">
        <v>20587</v>
      </c>
      <c r="D3790" s="1" t="s">
        <v>1325</v>
      </c>
      <c r="E3790" s="1" t="s">
        <v>20588</v>
      </c>
      <c r="F3790" s="1" t="s">
        <v>63</v>
      </c>
      <c r="G3790" s="7">
        <v>43616.0</v>
      </c>
      <c r="H3790" s="1">
        <v>2019.0</v>
      </c>
      <c r="I3790" s="1" t="s">
        <v>42</v>
      </c>
      <c r="J3790" s="1" t="s">
        <v>1091</v>
      </c>
      <c r="K3790" s="1" t="s">
        <v>836</v>
      </c>
      <c r="L3790" s="1" t="s">
        <v>20589</v>
      </c>
      <c r="M3790" s="2" t="s">
        <v>12</v>
      </c>
      <c r="N3790" s="4">
        <f t="shared" si="1"/>
        <v>43616</v>
      </c>
      <c r="O3790" s="5" t="str">
        <f>IFERROR(__xludf.DUMMYFUNCTION("IF(REGEXMATCH(TRIM(I3790), ""^\d+\s*min""), ""Unclassified"", IF(I3790 = """", ""NR"", I3790))"),"TV-MA")</f>
        <v>TV-MA</v>
      </c>
      <c r="R3790" s="5" t="str">
        <f t="shared" si="2"/>
        <v>Chopsticks</v>
      </c>
      <c r="S3790" s="5" t="str">
        <f>IFERROR(__xludf.DUMMYFUNCTION("""COMPUTED_VALUE"""),"Kidnapping Stella")</f>
        <v>Kidnapping Stella</v>
      </c>
      <c r="U3790" s="5" t="str">
        <f>IFERROR(__xludf.DUMMYFUNCTION("""COMPUTED_VALUE"""),"Ben Patterson")</f>
        <v>Ben Patterson</v>
      </c>
      <c r="V3790" s="5" t="s">
        <v>20590</v>
      </c>
      <c r="W3790" s="5" t="str">
        <f t="shared" si="3"/>
        <v>Scott Cooper</v>
      </c>
      <c r="X3790" s="5">
        <f t="shared" si="4"/>
        <v>1</v>
      </c>
      <c r="Y3790" s="5" t="str">
        <f>IFERROR(__xludf.DUMMYFUNCTION("REGEXEXTRACT(J3790, ""^\d+"")"),"101")</f>
        <v>101</v>
      </c>
      <c r="Z3790" s="5" t="str">
        <f>IFERROR(__xludf.DUMMYFUNCTION("REGEXEXTRACT(J3790, ""[A-Za-z ]+$"")")," min")</f>
        <v> min</v>
      </c>
      <c r="AA3790" s="5" t="str">
        <f>IFERROR(__xludf.DUMMYFUNCTION("IF(REGEXMATCH(Z3790, ""Season""), ""TV Show"", ""Movie"")"),"Movie")</f>
        <v>Movie</v>
      </c>
    </row>
    <row r="3791">
      <c r="A3791" s="1" t="s">
        <v>20591</v>
      </c>
      <c r="B3791" s="1" t="s">
        <v>37</v>
      </c>
      <c r="C3791" s="1" t="s">
        <v>20592</v>
      </c>
      <c r="G3791" s="7">
        <v>43616.0</v>
      </c>
      <c r="H3791" s="1">
        <v>2019.0</v>
      </c>
      <c r="I3791" s="1" t="s">
        <v>42</v>
      </c>
      <c r="J3791" s="1" t="s">
        <v>51</v>
      </c>
      <c r="K3791" s="1" t="s">
        <v>112</v>
      </c>
      <c r="L3791" s="1" t="s">
        <v>20593</v>
      </c>
      <c r="M3791" s="2" t="s">
        <v>12</v>
      </c>
      <c r="N3791" s="4">
        <f t="shared" si="1"/>
        <v>43616</v>
      </c>
      <c r="O3791" s="5" t="str">
        <f>IFERROR(__xludf.DUMMYFUNCTION("IF(REGEXMATCH(TRIM(I3791), ""^\d+\s*min""), ""Unclassified"", IF(I3791 = """", ""NR"", I3791))"),"TV-MA")</f>
        <v>TV-MA</v>
      </c>
      <c r="R3791" s="5" t="str">
        <f t="shared" si="2"/>
        <v>Killer Ratings</v>
      </c>
      <c r="S3791" s="5" t="str">
        <f>IFERROR(__xludf.DUMMYFUNCTION("""COMPUTED_VALUE"""),"Kids On The Block")</f>
        <v>Kids On The Block</v>
      </c>
      <c r="U3791" s="5" t="str">
        <f>IFERROR(__xludf.DUMMYFUNCTION("""COMPUTED_VALUE"""),"Aaron Burns")</f>
        <v>Aaron Burns</v>
      </c>
      <c r="V3791" s="5" t="s">
        <v>20594</v>
      </c>
      <c r="W3791" s="5" t="str">
        <f t="shared" si="3"/>
        <v>Scott Hicks</v>
      </c>
      <c r="X3791" s="5">
        <f t="shared" si="4"/>
        <v>2</v>
      </c>
      <c r="Y3791" s="5" t="str">
        <f>IFERROR(__xludf.DUMMYFUNCTION("REGEXEXTRACT(J3791, ""^\d+"")"),"1")</f>
        <v>1</v>
      </c>
      <c r="Z3791" s="5" t="str">
        <f>IFERROR(__xludf.DUMMYFUNCTION("REGEXEXTRACT(J3791, ""[A-Za-z ]+$"")")," Season")</f>
        <v> Season</v>
      </c>
      <c r="AA3791" s="5" t="str">
        <f>IFERROR(__xludf.DUMMYFUNCTION("IF(REGEXMATCH(Z3791, ""Season""), ""TV Show"", ""Movie"")"),"TV Show")</f>
        <v>TV Show</v>
      </c>
    </row>
    <row r="3792">
      <c r="A3792" s="1" t="s">
        <v>20595</v>
      </c>
      <c r="B3792" s="1" t="s">
        <v>27</v>
      </c>
      <c r="C3792" s="1" t="s">
        <v>20596</v>
      </c>
      <c r="D3792" s="1" t="s">
        <v>18740</v>
      </c>
      <c r="E3792" s="1" t="s">
        <v>20597</v>
      </c>
      <c r="F3792" s="1" t="s">
        <v>63</v>
      </c>
      <c r="G3792" s="7">
        <v>43616.0</v>
      </c>
      <c r="H3792" s="1">
        <v>2019.0</v>
      </c>
      <c r="I3792" s="1" t="s">
        <v>42</v>
      </c>
      <c r="J3792" s="1" t="s">
        <v>238</v>
      </c>
      <c r="K3792" s="1" t="s">
        <v>128</v>
      </c>
      <c r="L3792" s="1" t="s">
        <v>20598</v>
      </c>
      <c r="M3792" s="2" t="s">
        <v>12</v>
      </c>
      <c r="N3792" s="4">
        <f t="shared" si="1"/>
        <v>43616</v>
      </c>
      <c r="O3792" s="5" t="str">
        <f>IFERROR(__xludf.DUMMYFUNCTION("IF(REGEXMATCH(TRIM(I3792), ""^\d+\s*min""), ""Unclassified"", IF(I3792 = """", ""NR"", I3792))"),"TV-MA")</f>
        <v>TV-MA</v>
      </c>
      <c r="R3792" s="5" t="str">
        <f t="shared" si="2"/>
        <v>Mere Pyare Prime Minister</v>
      </c>
      <c r="S3792" s="5" t="str">
        <f>IFERROR(__xludf.DUMMYFUNCTION("""COMPUTED_VALUE"""),"Kikoriki")</f>
        <v>Kikoriki</v>
      </c>
      <c r="U3792" s="5" t="str">
        <f>IFERROR(__xludf.DUMMYFUNCTION("""COMPUTED_VALUE"""),"Luc Vinciguerra")</f>
        <v>Luc Vinciguerra</v>
      </c>
      <c r="V3792" s="5" t="s">
        <v>20599</v>
      </c>
      <c r="W3792" s="5" t="str">
        <f t="shared" si="3"/>
        <v>Scott Hussion, Seth Fuller</v>
      </c>
      <c r="X3792" s="5">
        <f t="shared" si="4"/>
        <v>1</v>
      </c>
      <c r="Y3792" s="5" t="str">
        <f>IFERROR(__xludf.DUMMYFUNCTION("REGEXEXTRACT(J3792, ""^\d+"")"),"103")</f>
        <v>103</v>
      </c>
      <c r="Z3792" s="5" t="str">
        <f>IFERROR(__xludf.DUMMYFUNCTION("REGEXEXTRACT(J3792, ""[A-Za-z ]+$"")")," min")</f>
        <v> min</v>
      </c>
      <c r="AA3792" s="5" t="str">
        <f>IFERROR(__xludf.DUMMYFUNCTION("IF(REGEXMATCH(Z3792, ""Season""), ""TV Show"", ""Movie"")"),"Movie")</f>
        <v>Movie</v>
      </c>
    </row>
    <row r="3793">
      <c r="A3793" s="1" t="s">
        <v>20600</v>
      </c>
      <c r="B3793" s="1" t="s">
        <v>27</v>
      </c>
      <c r="C3793" s="1" t="s">
        <v>20601</v>
      </c>
      <c r="D3793" s="1" t="s">
        <v>8940</v>
      </c>
      <c r="E3793" s="1" t="s">
        <v>20602</v>
      </c>
      <c r="F3793" s="1" t="s">
        <v>3892</v>
      </c>
      <c r="G3793" s="7">
        <v>43616.0</v>
      </c>
      <c r="H3793" s="1">
        <v>2019.0</v>
      </c>
      <c r="I3793" s="1" t="s">
        <v>42</v>
      </c>
      <c r="J3793" s="1" t="s">
        <v>357</v>
      </c>
      <c r="K3793" s="1" t="s">
        <v>583</v>
      </c>
      <c r="L3793" s="1" t="s">
        <v>20603</v>
      </c>
      <c r="M3793" s="2" t="s">
        <v>12</v>
      </c>
      <c r="N3793" s="4">
        <f t="shared" si="1"/>
        <v>43616</v>
      </c>
      <c r="O3793" s="5" t="str">
        <f>IFERROR(__xludf.DUMMYFUNCTION("IF(REGEXMATCH(TRIM(I3793), ""^\d+\s*min""), ""Unclassified"", IF(I3793 = """", ""NR"", I3793))"),"TV-MA")</f>
        <v>TV-MA</v>
      </c>
      <c r="R3793" s="5" t="str">
        <f t="shared" si="2"/>
        <v>Pegasus</v>
      </c>
      <c r="S3793" s="5" t="str">
        <f>IFERROR(__xludf.DUMMYFUNCTION("""COMPUTED_VALUE"""),"Kill Bill: Vol. 1")</f>
        <v>Kill Bill: Vol. 1</v>
      </c>
      <c r="U3793" s="5" t="str">
        <f>IFERROR(__xludf.DUMMYFUNCTION("""COMPUTED_VALUE"""),"Benjamin Ree")</f>
        <v>Benjamin Ree</v>
      </c>
      <c r="V3793" s="5" t="s">
        <v>20604</v>
      </c>
      <c r="W3793" s="5" t="str">
        <f t="shared" si="3"/>
        <v>Scott L. Montoya</v>
      </c>
      <c r="X3793" s="5">
        <f t="shared" si="4"/>
        <v>2</v>
      </c>
      <c r="Y3793" s="5" t="str">
        <f>IFERROR(__xludf.DUMMYFUNCTION("REGEXEXTRACT(J3793, ""^\d+"")"),"98")</f>
        <v>98</v>
      </c>
      <c r="Z3793" s="5" t="str">
        <f>IFERROR(__xludf.DUMMYFUNCTION("REGEXEXTRACT(J3793, ""[A-Za-z ]+$"")")," min")</f>
        <v> min</v>
      </c>
      <c r="AA3793" s="5" t="str">
        <f>IFERROR(__xludf.DUMMYFUNCTION("IF(REGEXMATCH(Z3793, ""Season""), ""TV Show"", ""Movie"")"),"Movie")</f>
        <v>Movie</v>
      </c>
    </row>
    <row r="3794">
      <c r="A3794" s="1" t="s">
        <v>20605</v>
      </c>
      <c r="B3794" s="1" t="s">
        <v>37</v>
      </c>
      <c r="C3794" s="1" t="s">
        <v>20606</v>
      </c>
      <c r="E3794" s="1" t="s">
        <v>20607</v>
      </c>
      <c r="F3794" s="1" t="s">
        <v>30</v>
      </c>
      <c r="G3794" s="7">
        <v>43616.0</v>
      </c>
      <c r="H3794" s="1">
        <v>2019.0</v>
      </c>
      <c r="I3794" s="1" t="s">
        <v>42</v>
      </c>
      <c r="J3794" s="1" t="s">
        <v>51</v>
      </c>
      <c r="K3794" s="1" t="s">
        <v>4118</v>
      </c>
      <c r="L3794" s="1" t="s">
        <v>20608</v>
      </c>
      <c r="M3794" s="2" t="s">
        <v>12</v>
      </c>
      <c r="N3794" s="4">
        <f t="shared" si="1"/>
        <v>43616</v>
      </c>
      <c r="O3794" s="5" t="str">
        <f>IFERROR(__xludf.DUMMYFUNCTION("IF(REGEXMATCH(TRIM(I3794), ""^\d+\s*min""), ""Unclassified"", IF(I3794 = """", ""NR"", I3794))"),"TV-MA")</f>
        <v>TV-MA</v>
      </c>
      <c r="R3794" s="5" t="str">
        <f t="shared" si="2"/>
        <v>When They See Us</v>
      </c>
      <c r="S3794" s="5" t="str">
        <f>IFERROR(__xludf.DUMMYFUNCTION("""COMPUTED_VALUE"""),"Kill Bill: Vol. 2")</f>
        <v>Kill Bill: Vol. 2</v>
      </c>
      <c r="U3794" s="5" t="str">
        <f>IFERROR(__xludf.DUMMYFUNCTION("""COMPUTED_VALUE"""),"Amaan Khan")</f>
        <v>Amaan Khan</v>
      </c>
      <c r="V3794" s="5" t="s">
        <v>20609</v>
      </c>
      <c r="W3794" s="5" t="str">
        <f t="shared" si="3"/>
        <v>Scott Marshall Smith</v>
      </c>
      <c r="X3794" s="5">
        <f t="shared" si="4"/>
        <v>1</v>
      </c>
      <c r="Y3794" s="5" t="str">
        <f>IFERROR(__xludf.DUMMYFUNCTION("REGEXEXTRACT(J3794, ""^\d+"")"),"1")</f>
        <v>1</v>
      </c>
      <c r="Z3794" s="5" t="str">
        <f>IFERROR(__xludf.DUMMYFUNCTION("REGEXEXTRACT(J3794, ""[A-Za-z ]+$"")")," Season")</f>
        <v> Season</v>
      </c>
      <c r="AA3794" s="5" t="str">
        <f>IFERROR(__xludf.DUMMYFUNCTION("IF(REGEXMATCH(Z3794, ""Season""), ""TV Show"", ""Movie"")"),"TV Show")</f>
        <v>TV Show</v>
      </c>
    </row>
    <row r="3795">
      <c r="A3795" s="1" t="s">
        <v>20610</v>
      </c>
      <c r="B3795" s="1" t="s">
        <v>27</v>
      </c>
      <c r="C3795" s="1" t="s">
        <v>20611</v>
      </c>
      <c r="D3795" s="1" t="s">
        <v>20612</v>
      </c>
      <c r="E3795" s="1" t="s">
        <v>20613</v>
      </c>
      <c r="F3795" s="1" t="s">
        <v>749</v>
      </c>
      <c r="G3795" s="7">
        <v>43615.0</v>
      </c>
      <c r="H3795" s="1">
        <v>2019.0</v>
      </c>
      <c r="I3795" s="1" t="s">
        <v>42</v>
      </c>
      <c r="J3795" s="1" t="s">
        <v>2566</v>
      </c>
      <c r="K3795" s="1" t="s">
        <v>631</v>
      </c>
      <c r="L3795" s="1" t="s">
        <v>20614</v>
      </c>
      <c r="M3795" s="2" t="s">
        <v>12</v>
      </c>
      <c r="N3795" s="4">
        <f t="shared" si="1"/>
        <v>43615</v>
      </c>
      <c r="O3795" s="5" t="str">
        <f>IFERROR(__xludf.DUMMYFUNCTION("IF(REGEXMATCH(TRIM(I3795), ""^\d+\s*min""), ""Unclassified"", IF(I3795 = """", ""NR"", I3795))"),"TV-MA")</f>
        <v>TV-MA</v>
      </c>
      <c r="R3795" s="5" t="str">
        <f t="shared" si="2"/>
        <v>Svaha: The Sixth Finger</v>
      </c>
      <c r="S3795" s="5" t="str">
        <f>IFERROR(__xludf.DUMMYFUNCTION("""COMPUTED_VALUE"""),"Kill Command")</f>
        <v>Kill Command</v>
      </c>
      <c r="U3795" s="5" t="str">
        <f>IFERROR(__xludf.DUMMYFUNCTION("""COMPUTED_VALUE"""),"Li Pei-Chuan")</f>
        <v>Li Pei-Chuan</v>
      </c>
      <c r="V3795" s="5" t="s">
        <v>20615</v>
      </c>
      <c r="W3795" s="5" t="str">
        <f t="shared" si="3"/>
        <v>Scott Martin</v>
      </c>
      <c r="X3795" s="5">
        <f t="shared" si="4"/>
        <v>1</v>
      </c>
      <c r="Y3795" s="5" t="str">
        <f>IFERROR(__xludf.DUMMYFUNCTION("REGEXEXTRACT(J3795, ""^\d+"")"),"123")</f>
        <v>123</v>
      </c>
      <c r="Z3795" s="5" t="str">
        <f>IFERROR(__xludf.DUMMYFUNCTION("REGEXEXTRACT(J3795, ""[A-Za-z ]+$"")")," min")</f>
        <v> min</v>
      </c>
      <c r="AA3795" s="5" t="str">
        <f>IFERROR(__xludf.DUMMYFUNCTION("IF(REGEXMATCH(Z3795, ""Season""), ""TV Show"", ""Movie"")"),"Movie")</f>
        <v>Movie</v>
      </c>
    </row>
    <row r="3796">
      <c r="A3796" s="1" t="s">
        <v>20616</v>
      </c>
      <c r="B3796" s="1" t="s">
        <v>37</v>
      </c>
      <c r="C3796" s="1" t="s">
        <v>20617</v>
      </c>
      <c r="E3796" s="1" t="s">
        <v>20618</v>
      </c>
      <c r="F3796" s="1" t="s">
        <v>30</v>
      </c>
      <c r="G3796" s="7">
        <v>43612.0</v>
      </c>
      <c r="H3796" s="1">
        <v>2019.0</v>
      </c>
      <c r="I3796" s="1" t="s">
        <v>42</v>
      </c>
      <c r="J3796" s="1" t="s">
        <v>51</v>
      </c>
      <c r="K3796" s="1" t="s">
        <v>2512</v>
      </c>
      <c r="L3796" s="1" t="s">
        <v>20619</v>
      </c>
      <c r="M3796" s="2" t="s">
        <v>12</v>
      </c>
      <c r="N3796" s="4">
        <f t="shared" si="1"/>
        <v>43612</v>
      </c>
      <c r="O3796" s="5" t="str">
        <f>IFERROR(__xludf.DUMMYFUNCTION("IF(REGEXMATCH(TRIM(I3796), ""^\d+\s*min""), ""Unclassified"", IF(I3796 = """", ""NR"", I3796))"),"TV-MA")</f>
        <v>TV-MA</v>
      </c>
      <c r="R3796" s="5" t="str">
        <f t="shared" si="2"/>
        <v>Historical Roasts</v>
      </c>
      <c r="S3796" s="5" t="str">
        <f>IFERROR(__xludf.DUMMYFUNCTION("""COMPUTED_VALUE"""),"Kill Hitler! The Luck Of The Devil")</f>
        <v>Kill Hitler! The Luck Of The Devil</v>
      </c>
      <c r="U3796" s="5" t="str">
        <f>IFERROR(__xludf.DUMMYFUNCTION("""COMPUTED_VALUE"""),"Sameer Vidwans")</f>
        <v>Sameer Vidwans</v>
      </c>
      <c r="V3796" s="5" t="s">
        <v>20620</v>
      </c>
      <c r="W3796" s="5" t="str">
        <f t="shared" si="3"/>
        <v>Scott Mcaboy</v>
      </c>
      <c r="X3796" s="5">
        <f t="shared" si="4"/>
        <v>1</v>
      </c>
      <c r="Y3796" s="5" t="str">
        <f>IFERROR(__xludf.DUMMYFUNCTION("REGEXEXTRACT(J3796, ""^\d+"")"),"1")</f>
        <v>1</v>
      </c>
      <c r="Z3796" s="5" t="str">
        <f>IFERROR(__xludf.DUMMYFUNCTION("REGEXEXTRACT(J3796, ""[A-Za-z ]+$"")")," Season")</f>
        <v> Season</v>
      </c>
      <c r="AA3796" s="5" t="str">
        <f>IFERROR(__xludf.DUMMYFUNCTION("IF(REGEXMATCH(Z3796, ""Season""), ""TV Show"", ""Movie"")"),"TV Show")</f>
        <v>TV Show</v>
      </c>
    </row>
    <row r="3797">
      <c r="A3797" s="1" t="s">
        <v>20621</v>
      </c>
      <c r="B3797" s="1" t="s">
        <v>27</v>
      </c>
      <c r="C3797" s="1" t="s">
        <v>20622</v>
      </c>
      <c r="D3797" s="1" t="s">
        <v>14403</v>
      </c>
      <c r="F3797" s="1" t="s">
        <v>30</v>
      </c>
      <c r="G3797" s="7">
        <v>43609.0</v>
      </c>
      <c r="H3797" s="1">
        <v>2019.0</v>
      </c>
      <c r="I3797" s="1" t="s">
        <v>136</v>
      </c>
      <c r="J3797" s="1" t="s">
        <v>3123</v>
      </c>
      <c r="K3797" s="1" t="s">
        <v>34</v>
      </c>
      <c r="L3797" s="1" t="s">
        <v>20623</v>
      </c>
      <c r="M3797" s="2" t="s">
        <v>12</v>
      </c>
      <c r="N3797" s="4">
        <f t="shared" si="1"/>
        <v>43609</v>
      </c>
      <c r="O3797" s="5" t="str">
        <f>IFERROR(__xludf.DUMMYFUNCTION("IF(REGEXMATCH(TRIM(I3797), ""^\d+\s*min""), ""Unclassified"", IF(I3797 = """", ""NR"", I3797))"),"TV-PG")</f>
        <v>TV-PG</v>
      </c>
      <c r="R3797" s="5" t="str">
        <f t="shared" si="2"/>
        <v>After Maria</v>
      </c>
      <c r="S3797" s="5" t="str">
        <f>IFERROR(__xludf.DUMMYFUNCTION("""COMPUTED_VALUE"""),"Kill La Kill")</f>
        <v>Kill La Kill</v>
      </c>
      <c r="U3797" s="5" t="str">
        <f>IFERROR(__xludf.DUMMYFUNCTION("""COMPUTED_VALUE"""),"Michael Winnick")</f>
        <v>Michael Winnick</v>
      </c>
      <c r="V3797" s="5" t="s">
        <v>20624</v>
      </c>
      <c r="W3797" s="5" t="str">
        <f t="shared" si="3"/>
        <v>Scott Moran</v>
      </c>
      <c r="X3797" s="5">
        <f t="shared" si="4"/>
        <v>2</v>
      </c>
      <c r="Y3797" s="5" t="str">
        <f>IFERROR(__xludf.DUMMYFUNCTION("REGEXEXTRACT(J3797, ""^\d+"")"),"38")</f>
        <v>38</v>
      </c>
      <c r="Z3797" s="5" t="str">
        <f>IFERROR(__xludf.DUMMYFUNCTION("REGEXEXTRACT(J3797, ""[A-Za-z ]+$"")")," min")</f>
        <v> min</v>
      </c>
      <c r="AA3797" s="5" t="str">
        <f>IFERROR(__xludf.DUMMYFUNCTION("IF(REGEXMATCH(Z3797, ""Season""), ""TV Show"", ""Movie"")"),"Movie")</f>
        <v>Movie</v>
      </c>
    </row>
    <row r="3798">
      <c r="A3798" s="1" t="s">
        <v>20625</v>
      </c>
      <c r="B3798" s="1" t="s">
        <v>37</v>
      </c>
      <c r="C3798" s="1" t="s">
        <v>20626</v>
      </c>
      <c r="E3798" s="1" t="s">
        <v>20627</v>
      </c>
      <c r="G3798" s="7">
        <v>43609.0</v>
      </c>
      <c r="H3798" s="1">
        <v>2017.0</v>
      </c>
      <c r="I3798" s="1" t="s">
        <v>42</v>
      </c>
      <c r="J3798" s="1" t="s">
        <v>51</v>
      </c>
      <c r="K3798" s="1" t="s">
        <v>507</v>
      </c>
      <c r="L3798" s="1" t="s">
        <v>20628</v>
      </c>
      <c r="M3798" s="2" t="s">
        <v>12</v>
      </c>
      <c r="N3798" s="4">
        <f t="shared" si="1"/>
        <v>43609</v>
      </c>
      <c r="O3798" s="5" t="str">
        <f>IFERROR(__xludf.DUMMYFUNCTION("IF(REGEXMATCH(TRIM(I3798), ""^\d+\s*min""), ""Unclassified"", IF(I3798 = """", ""NR"", I3798))"),"TV-MA")</f>
        <v>TV-MA</v>
      </c>
      <c r="R3798" s="5" t="str">
        <f t="shared" si="2"/>
        <v>Hyper Hardboiled Gourmet Report</v>
      </c>
      <c r="S3798" s="5" t="str">
        <f>IFERROR(__xludf.DUMMYFUNCTION("""COMPUTED_VALUE"""),"Kill Me If You Dare")</f>
        <v>Kill Me If You Dare</v>
      </c>
      <c r="U3798" s="5" t="str">
        <f>IFERROR(__xludf.DUMMYFUNCTION("""COMPUTED_VALUE"""),"Keanu Reeves")</f>
        <v>Keanu Reeves</v>
      </c>
      <c r="V3798" s="5" t="s">
        <v>20629</v>
      </c>
      <c r="W3798" s="5" t="str">
        <f t="shared" si="3"/>
        <v>Scott Mosier, Yarrow Cheney</v>
      </c>
      <c r="X3798" s="5">
        <f t="shared" si="4"/>
        <v>1</v>
      </c>
      <c r="Y3798" s="5" t="str">
        <f>IFERROR(__xludf.DUMMYFUNCTION("REGEXEXTRACT(J3798, ""^\d+"")"),"1")</f>
        <v>1</v>
      </c>
      <c r="Z3798" s="5" t="str">
        <f>IFERROR(__xludf.DUMMYFUNCTION("REGEXEXTRACT(J3798, ""[A-Za-z ]+$"")")," Season")</f>
        <v> Season</v>
      </c>
      <c r="AA3798" s="5" t="str">
        <f>IFERROR(__xludf.DUMMYFUNCTION("IF(REGEXMATCH(Z3798, ""Season""), ""TV Show"", ""Movie"")"),"TV Show")</f>
        <v>TV Show</v>
      </c>
    </row>
    <row r="3799">
      <c r="A3799" s="1" t="s">
        <v>20630</v>
      </c>
      <c r="B3799" s="1" t="s">
        <v>27</v>
      </c>
      <c r="C3799" s="1" t="s">
        <v>20631</v>
      </c>
      <c r="D3799" s="1" t="s">
        <v>20632</v>
      </c>
      <c r="E3799" s="1" t="s">
        <v>20633</v>
      </c>
      <c r="F3799" s="1" t="s">
        <v>5356</v>
      </c>
      <c r="G3799" s="7">
        <v>43609.0</v>
      </c>
      <c r="H3799" s="1">
        <v>2019.0</v>
      </c>
      <c r="I3799" s="1" t="s">
        <v>42</v>
      </c>
      <c r="J3799" s="1" t="s">
        <v>1091</v>
      </c>
      <c r="K3799" s="1" t="s">
        <v>89</v>
      </c>
      <c r="L3799" s="1" t="s">
        <v>20634</v>
      </c>
      <c r="M3799" s="2" t="s">
        <v>12</v>
      </c>
      <c r="N3799" s="4">
        <f t="shared" si="1"/>
        <v>43609</v>
      </c>
      <c r="O3799" s="5" t="str">
        <f>IFERROR(__xludf.DUMMYFUNCTION("IF(REGEXMATCH(TRIM(I3799), ""^\d+\s*min""), ""Unclassified"", IF(I3799 = """", ""NR"", I3799))"),"TV-MA")</f>
        <v>TV-MA</v>
      </c>
      <c r="R3799" s="5" t="str">
        <f t="shared" si="2"/>
        <v>Joy</v>
      </c>
      <c r="S3799" s="5" t="str">
        <f>IFERROR(__xludf.DUMMYFUNCTION("""COMPUTED_VALUE"""),"Kill Ratio")</f>
        <v>Kill Ratio</v>
      </c>
      <c r="U3799" s="5" t="str">
        <f>IFERROR(__xludf.DUMMYFUNCTION("""COMPUTED_VALUE"""),"Ben Palmer")</f>
        <v>Ben Palmer</v>
      </c>
      <c r="V3799" s="5" t="s">
        <v>917</v>
      </c>
      <c r="W3799" s="5" t="str">
        <f t="shared" si="3"/>
        <v>Scott Pleydell-Pearce</v>
      </c>
      <c r="X3799" s="5">
        <f t="shared" si="4"/>
        <v>1</v>
      </c>
      <c r="Y3799" s="5" t="str">
        <f>IFERROR(__xludf.DUMMYFUNCTION("REGEXEXTRACT(J3799, ""^\d+"")"),"101")</f>
        <v>101</v>
      </c>
      <c r="Z3799" s="5" t="str">
        <f>IFERROR(__xludf.DUMMYFUNCTION("REGEXEXTRACT(J3799, ""[A-Za-z ]+$"")")," min")</f>
        <v> min</v>
      </c>
      <c r="AA3799" s="5" t="str">
        <f>IFERROR(__xludf.DUMMYFUNCTION("IF(REGEXMATCH(Z3799, ""Season""), ""TV Show"", ""Movie"")"),"Movie")</f>
        <v>Movie</v>
      </c>
    </row>
    <row r="3800">
      <c r="A3800" s="1" t="s">
        <v>20635</v>
      </c>
      <c r="B3800" s="1" t="s">
        <v>27</v>
      </c>
      <c r="C3800" s="1" t="s">
        <v>20636</v>
      </c>
      <c r="D3800" s="1" t="s">
        <v>3523</v>
      </c>
      <c r="E3800" s="1" t="s">
        <v>20637</v>
      </c>
      <c r="F3800" s="1" t="s">
        <v>30</v>
      </c>
      <c r="G3800" s="7">
        <v>43609.0</v>
      </c>
      <c r="H3800" s="1">
        <v>2019.0</v>
      </c>
      <c r="I3800" s="1" t="s">
        <v>97</v>
      </c>
      <c r="J3800" s="1" t="s">
        <v>416</v>
      </c>
      <c r="K3800" s="1" t="s">
        <v>20638</v>
      </c>
      <c r="L3800" s="1" t="s">
        <v>20639</v>
      </c>
      <c r="M3800" s="2" t="s">
        <v>12</v>
      </c>
      <c r="N3800" s="4">
        <f t="shared" si="1"/>
        <v>43609</v>
      </c>
      <c r="O3800" s="5" t="str">
        <f>IFERROR(__xludf.DUMMYFUNCTION("IF(REGEXMATCH(TRIM(I3800), ""^\d+\s*min""), ""Unclassified"", IF(I3800 = """", ""NR"", I3800))"),"TV-14")</f>
        <v>TV-14</v>
      </c>
      <c r="R3800" s="5" t="str">
        <f t="shared" si="2"/>
        <v>Rim Of The World</v>
      </c>
      <c r="S3800" s="5" t="str">
        <f>IFERROR(__xludf.DUMMYFUNCTION("""COMPUTED_VALUE"""),"Kill The Irishman")</f>
        <v>Kill The Irishman</v>
      </c>
      <c r="U3800" s="5" t="str">
        <f>IFERROR(__xludf.DUMMYFUNCTION("""COMPUTED_VALUE"""),"Tathagata Banerjee")</f>
        <v>Tathagata Banerjee</v>
      </c>
      <c r="V3800" s="5" t="s">
        <v>3105</v>
      </c>
      <c r="W3800" s="5" t="str">
        <f t="shared" si="3"/>
        <v>Scott Speer</v>
      </c>
      <c r="X3800" s="5">
        <f t="shared" si="4"/>
        <v>1</v>
      </c>
      <c r="Y3800" s="5" t="str">
        <f>IFERROR(__xludf.DUMMYFUNCTION("REGEXEXTRACT(J3800, ""^\d+"")"),"99")</f>
        <v>99</v>
      </c>
      <c r="Z3800" s="5" t="str">
        <f>IFERROR(__xludf.DUMMYFUNCTION("REGEXEXTRACT(J3800, ""[A-Za-z ]+$"")")," min")</f>
        <v> min</v>
      </c>
      <c r="AA3800" s="5" t="str">
        <f>IFERROR(__xludf.DUMMYFUNCTION("IF(REGEXMATCH(Z3800, ""Season""), ""TV Show"", ""Movie"")"),"Movie")</f>
        <v>Movie</v>
      </c>
    </row>
    <row r="3801">
      <c r="A3801" s="1" t="s">
        <v>20640</v>
      </c>
      <c r="B3801" s="1" t="s">
        <v>37</v>
      </c>
      <c r="C3801" s="1" t="s">
        <v>20641</v>
      </c>
      <c r="E3801" s="1" t="s">
        <v>20642</v>
      </c>
      <c r="F3801" s="1" t="s">
        <v>30</v>
      </c>
      <c r="G3801" s="7">
        <v>43609.0</v>
      </c>
      <c r="H3801" s="1">
        <v>2018.0</v>
      </c>
      <c r="I3801" s="1" t="s">
        <v>42</v>
      </c>
      <c r="J3801" s="1" t="s">
        <v>43</v>
      </c>
      <c r="K3801" s="1" t="s">
        <v>4634</v>
      </c>
      <c r="L3801" s="1" t="s">
        <v>20643</v>
      </c>
      <c r="M3801" s="2" t="s">
        <v>12</v>
      </c>
      <c r="N3801" s="4">
        <f t="shared" si="1"/>
        <v>43609</v>
      </c>
      <c r="O3801" s="5" t="str">
        <f>IFERROR(__xludf.DUMMYFUNCTION("IF(REGEXMATCH(TRIM(I3801), ""^\d+\s*min""), ""Unclassified"", IF(I3801 = """", ""NR"", I3801))"),"TV-MA")</f>
        <v>TV-MA</v>
      </c>
      <c r="R3801" s="5" t="str">
        <f t="shared" si="2"/>
        <v>She'S Gotta Have It</v>
      </c>
      <c r="S3801" s="5" t="str">
        <f>IFERROR(__xludf.DUMMYFUNCTION("""COMPUTED_VALUE"""),"Kill The Messenger")</f>
        <v>Kill The Messenger</v>
      </c>
      <c r="U3801" s="5" t="str">
        <f>IFERROR(__xludf.DUMMYFUNCTION("""COMPUTED_VALUE"""),"John Upchurch")</f>
        <v>John Upchurch</v>
      </c>
      <c r="V3801" s="5" t="s">
        <v>4845</v>
      </c>
      <c r="W3801" s="5" t="str">
        <f t="shared" si="3"/>
        <v>Scott Spiegel</v>
      </c>
      <c r="X3801" s="5">
        <f t="shared" si="4"/>
        <v>1</v>
      </c>
      <c r="Y3801" s="5" t="str">
        <f>IFERROR(__xludf.DUMMYFUNCTION("REGEXEXTRACT(J3801, ""^\d+"")"),"2")</f>
        <v>2</v>
      </c>
      <c r="Z3801" s="5" t="str">
        <f>IFERROR(__xludf.DUMMYFUNCTION("REGEXEXTRACT(J3801, ""[A-Za-z ]+$"")")," Seasons")</f>
        <v> Seasons</v>
      </c>
      <c r="AA3801" s="5" t="str">
        <f>IFERROR(__xludf.DUMMYFUNCTION("IF(REGEXMATCH(Z3801, ""Season""), ""TV Show"", ""Movie"")"),"TV Show")</f>
        <v>TV Show</v>
      </c>
    </row>
    <row r="3802">
      <c r="A3802" s="1" t="s">
        <v>20644</v>
      </c>
      <c r="B3802" s="1" t="s">
        <v>27</v>
      </c>
      <c r="C3802" s="1" t="s">
        <v>20645</v>
      </c>
      <c r="D3802" s="1" t="s">
        <v>19210</v>
      </c>
      <c r="E3802" s="1" t="s">
        <v>20646</v>
      </c>
      <c r="F3802" s="1" t="s">
        <v>30</v>
      </c>
      <c r="G3802" s="7">
        <v>43609.0</v>
      </c>
      <c r="H3802" s="1">
        <v>2019.0</v>
      </c>
      <c r="I3802" s="1" t="s">
        <v>42</v>
      </c>
      <c r="J3802" s="1" t="s">
        <v>79</v>
      </c>
      <c r="K3802" s="1" t="s">
        <v>20647</v>
      </c>
      <c r="L3802" s="1" t="s">
        <v>20648</v>
      </c>
      <c r="M3802" s="2" t="s">
        <v>12</v>
      </c>
      <c r="N3802" s="4">
        <f t="shared" si="1"/>
        <v>43609</v>
      </c>
      <c r="O3802" s="5" t="str">
        <f>IFERROR(__xludf.DUMMYFUNCTION("IF(REGEXMATCH(TRIM(I3802), ""^\d+\s*min""), ""Unclassified"", IF(I3802 = """", ""NR"", I3802))"),"TV-MA")</f>
        <v>TV-MA</v>
      </c>
      <c r="R3802" s="5" t="str">
        <f t="shared" si="2"/>
        <v>The Perfection</v>
      </c>
      <c r="S3802" s="5" t="str">
        <f>IFERROR(__xludf.DUMMYFUNCTION("""COMPUTED_VALUE"""),"Killa")</f>
        <v>Killa</v>
      </c>
      <c r="U3802" s="5" t="str">
        <f>IFERROR(__xludf.DUMMYFUNCTION("""COMPUTED_VALUE"""),"Tom O'Brien")</f>
        <v>Tom O'Brien</v>
      </c>
      <c r="V3802" s="5" t="s">
        <v>244</v>
      </c>
      <c r="W3802" s="5" t="str">
        <f t="shared" si="3"/>
        <v>Scott Stewart</v>
      </c>
      <c r="X3802" s="5">
        <f t="shared" si="4"/>
        <v>2</v>
      </c>
      <c r="Y3802" s="5" t="str">
        <f>IFERROR(__xludf.DUMMYFUNCTION("REGEXEXTRACT(J3802, ""^\d+"")"),"91")</f>
        <v>91</v>
      </c>
      <c r="Z3802" s="5" t="str">
        <f>IFERROR(__xludf.DUMMYFUNCTION("REGEXEXTRACT(J3802, ""[A-Za-z ]+$"")")," min")</f>
        <v> min</v>
      </c>
      <c r="AA3802" s="5" t="str">
        <f>IFERROR(__xludf.DUMMYFUNCTION("IF(REGEXMATCH(Z3802, ""Season""), ""TV Show"", ""Movie"")"),"Movie")</f>
        <v>Movie</v>
      </c>
    </row>
    <row r="3803">
      <c r="A3803" s="1" t="s">
        <v>20649</v>
      </c>
      <c r="B3803" s="1" t="s">
        <v>37</v>
      </c>
      <c r="C3803" s="1" t="s">
        <v>20650</v>
      </c>
      <c r="E3803" s="1" t="s">
        <v>20651</v>
      </c>
      <c r="F3803" s="1" t="s">
        <v>30</v>
      </c>
      <c r="G3803" s="7">
        <v>43609.0</v>
      </c>
      <c r="H3803" s="1">
        <v>2019.0</v>
      </c>
      <c r="I3803" s="1" t="s">
        <v>42</v>
      </c>
      <c r="J3803" s="1" t="s">
        <v>51</v>
      </c>
      <c r="K3803" s="1" t="s">
        <v>6314</v>
      </c>
      <c r="L3803" s="1" t="s">
        <v>20652</v>
      </c>
      <c r="M3803" s="2" t="s">
        <v>12</v>
      </c>
      <c r="N3803" s="4">
        <f t="shared" si="1"/>
        <v>43609</v>
      </c>
      <c r="O3803" s="5" t="str">
        <f>IFERROR(__xludf.DUMMYFUNCTION("IF(REGEXMATCH(TRIM(I3803), ""^\d+\s*min""), ""Unclassified"", IF(I3803 = """", ""NR"", I3803))"),"TV-MA")</f>
        <v>TV-MA</v>
      </c>
      <c r="R3803" s="5" t="str">
        <f t="shared" si="2"/>
        <v>What / If</v>
      </c>
      <c r="S3803" s="5" t="str">
        <f>IFERROR(__xludf.DUMMYFUNCTION("""COMPUTED_VALUE"""),"Killer Cove")</f>
        <v>Killer Cove</v>
      </c>
      <c r="U3803" s="5" t="str">
        <f>IFERROR(__xludf.DUMMYFUNCTION("""COMPUTED_VALUE"""),"Michael Roberts")</f>
        <v>Michael Roberts</v>
      </c>
      <c r="V3803" s="5" t="s">
        <v>20653</v>
      </c>
      <c r="W3803" s="5" t="str">
        <f t="shared" si="3"/>
        <v>Scott Walker</v>
      </c>
      <c r="X3803" s="5">
        <f t="shared" si="4"/>
        <v>1</v>
      </c>
      <c r="Y3803" s="5" t="str">
        <f>IFERROR(__xludf.DUMMYFUNCTION("REGEXEXTRACT(J3803, ""^\d+"")"),"1")</f>
        <v>1</v>
      </c>
      <c r="Z3803" s="5" t="str">
        <f>IFERROR(__xludf.DUMMYFUNCTION("REGEXEXTRACT(J3803, ""[A-Za-z ]+$"")")," Season")</f>
        <v> Season</v>
      </c>
      <c r="AA3803" s="5" t="str">
        <f>IFERROR(__xludf.DUMMYFUNCTION("IF(REGEXMATCH(Z3803, ""Season""), ""TV Show"", ""Movie"")"),"TV Show")</f>
        <v>TV Show</v>
      </c>
    </row>
    <row r="3804">
      <c r="A3804" s="1" t="s">
        <v>20654</v>
      </c>
      <c r="B3804" s="1" t="s">
        <v>27</v>
      </c>
      <c r="C3804" s="1" t="s">
        <v>20655</v>
      </c>
      <c r="D3804" s="1" t="s">
        <v>16013</v>
      </c>
      <c r="E3804" s="1" t="s">
        <v>20656</v>
      </c>
      <c r="G3804" s="7">
        <v>43608.0</v>
      </c>
      <c r="H3804" s="1">
        <v>2019.0</v>
      </c>
      <c r="I3804" s="1" t="s">
        <v>42</v>
      </c>
      <c r="J3804" s="1" t="s">
        <v>12625</v>
      </c>
      <c r="K3804" s="1" t="s">
        <v>20657</v>
      </c>
      <c r="L3804" s="1" t="s">
        <v>20658</v>
      </c>
      <c r="M3804" s="2" t="s">
        <v>12</v>
      </c>
      <c r="N3804" s="4">
        <f t="shared" si="1"/>
        <v>43608</v>
      </c>
      <c r="O3804" s="5" t="str">
        <f>IFERROR(__xludf.DUMMYFUNCTION("IF(REGEXMATCH(TRIM(I3804), ""^\d+\s*min""), ""Unclassified"", IF(I3804 = """", ""NR"", I3804))"),"TV-MA")</f>
        <v>TV-MA</v>
      </c>
      <c r="R3804" s="5" t="str">
        <f t="shared" si="2"/>
        <v>The Lonely Island Presents: The Unauthorized Bash Brothers Experience</v>
      </c>
      <c r="S3804" s="5" t="str">
        <f>IFERROR(__xludf.DUMMYFUNCTION("""COMPUTED_VALUE"""),"Killer Inside: The Mind Of Aaron Hernandez")</f>
        <v>Killer Inside: The Mind Of Aaron Hernandez</v>
      </c>
      <c r="U3804" s="5" t="str">
        <f>IFERROR(__xludf.DUMMYFUNCTION("""COMPUTED_VALUE"""),"Rahat Kazmi")</f>
        <v>Rahat Kazmi</v>
      </c>
      <c r="V3804" s="5" t="s">
        <v>12857</v>
      </c>
      <c r="W3804" s="5" t="str">
        <f t="shared" si="3"/>
        <v>Scott Zabielski</v>
      </c>
      <c r="X3804" s="5">
        <f t="shared" si="4"/>
        <v>3</v>
      </c>
      <c r="Y3804" s="5" t="str">
        <f>IFERROR(__xludf.DUMMYFUNCTION("REGEXEXTRACT(J3804, ""^\d+"")"),"30")</f>
        <v>30</v>
      </c>
      <c r="Z3804" s="5" t="str">
        <f>IFERROR(__xludf.DUMMYFUNCTION("REGEXEXTRACT(J3804, ""[A-Za-z ]+$"")")," min")</f>
        <v> min</v>
      </c>
      <c r="AA3804" s="5" t="str">
        <f>IFERROR(__xludf.DUMMYFUNCTION("IF(REGEXMATCH(Z3804, ""Season""), ""TV Show"", ""Movie"")"),"Movie")</f>
        <v>Movie</v>
      </c>
    </row>
    <row r="3805">
      <c r="A3805" s="1" t="s">
        <v>20659</v>
      </c>
      <c r="B3805" s="1" t="s">
        <v>27</v>
      </c>
      <c r="C3805" s="1" t="s">
        <v>20660</v>
      </c>
      <c r="D3805" s="1" t="s">
        <v>20661</v>
      </c>
      <c r="F3805" s="1" t="s">
        <v>949</v>
      </c>
      <c r="G3805" s="7">
        <v>43607.0</v>
      </c>
      <c r="H3805" s="1">
        <v>2019.0</v>
      </c>
      <c r="I3805" s="1" t="s">
        <v>136</v>
      </c>
      <c r="J3805" s="1" t="s">
        <v>12625</v>
      </c>
      <c r="K3805" s="1" t="s">
        <v>156</v>
      </c>
      <c r="L3805" s="1" t="s">
        <v>20662</v>
      </c>
      <c r="M3805" s="2" t="s">
        <v>12</v>
      </c>
      <c r="N3805" s="4">
        <f t="shared" si="1"/>
        <v>43607</v>
      </c>
      <c r="O3805" s="5" t="str">
        <f>IFERROR(__xludf.DUMMYFUNCTION("IF(REGEXMATCH(TRIM(I3805), ""^\d+\s*min""), ""Unclassified"", IF(I3805 = """", ""NR"", I3805))"),"TV-PG")</f>
        <v>TV-PG</v>
      </c>
      <c r="R3805" s="5" t="str">
        <f t="shared" si="2"/>
        <v>A Tale Of Two Kitchens</v>
      </c>
      <c r="S3805" s="5" t="str">
        <f>IFERROR(__xludf.DUMMYFUNCTION("""COMPUTED_VALUE"""),"Killer Klowns From Outer Space")</f>
        <v>Killer Klowns From Outer Space</v>
      </c>
      <c r="U3805" s="5" t="str">
        <f>IFERROR(__xludf.DUMMYFUNCTION("""COMPUTED_VALUE"""),"Clive Tonge")</f>
        <v>Clive Tonge</v>
      </c>
      <c r="V3805" s="5" t="s">
        <v>11865</v>
      </c>
      <c r="W3805" s="5" t="str">
        <f t="shared" si="3"/>
        <v>Sean Anders</v>
      </c>
      <c r="X3805" s="5">
        <f t="shared" si="4"/>
        <v>1</v>
      </c>
      <c r="Y3805" s="5" t="str">
        <f>IFERROR(__xludf.DUMMYFUNCTION("REGEXEXTRACT(J3805, ""^\d+"")"),"30")</f>
        <v>30</v>
      </c>
      <c r="Z3805" s="5" t="str">
        <f>IFERROR(__xludf.DUMMYFUNCTION("REGEXEXTRACT(J3805, ""[A-Za-z ]+$"")")," min")</f>
        <v> min</v>
      </c>
      <c r="AA3805" s="5" t="str">
        <f>IFERROR(__xludf.DUMMYFUNCTION("IF(REGEXMATCH(Z3805, ""Season""), ""TV Show"", ""Movie"")"),"Movie")</f>
        <v>Movie</v>
      </c>
    </row>
    <row r="3806">
      <c r="A3806" s="1" t="s">
        <v>20663</v>
      </c>
      <c r="B3806" s="1" t="s">
        <v>27</v>
      </c>
      <c r="C3806" s="1" t="s">
        <v>20664</v>
      </c>
      <c r="D3806" s="1" t="s">
        <v>20665</v>
      </c>
      <c r="E3806" s="1" t="s">
        <v>20666</v>
      </c>
      <c r="F3806" s="1" t="s">
        <v>63</v>
      </c>
      <c r="G3806" s="7">
        <v>43607.0</v>
      </c>
      <c r="H3806" s="1">
        <v>2018.0</v>
      </c>
      <c r="I3806" s="1" t="s">
        <v>97</v>
      </c>
      <c r="J3806" s="1" t="s">
        <v>4242</v>
      </c>
      <c r="K3806" s="1" t="s">
        <v>1328</v>
      </c>
      <c r="L3806" s="1" t="s">
        <v>20667</v>
      </c>
      <c r="M3806" s="2" t="s">
        <v>12</v>
      </c>
      <c r="N3806" s="4">
        <f t="shared" si="1"/>
        <v>43607</v>
      </c>
      <c r="O3806" s="5" t="str">
        <f>IFERROR(__xludf.DUMMYFUNCTION("IF(REGEXMATCH(TRIM(I3806), ""^\d+\s*min""), ""Unclassified"", IF(I3806 = """", ""NR"", I3806))"),"TV-14")</f>
        <v>TV-14</v>
      </c>
      <c r="R3806" s="5" t="str">
        <f t="shared" si="2"/>
        <v>The Man Who Feels No Pain</v>
      </c>
      <c r="S3806" s="5" t="str">
        <f>IFERROR(__xludf.DUMMYFUNCTION("""COMPUTED_VALUE"""),"Killer Ratings")</f>
        <v>Killer Ratings</v>
      </c>
      <c r="U3806" s="5" t="str">
        <f>IFERROR(__xludf.DUMMYFUNCTION("""COMPUTED_VALUE"""),"Nathan Landeg")</f>
        <v>Nathan Landeg</v>
      </c>
      <c r="V3806" s="5" t="s">
        <v>15148</v>
      </c>
      <c r="W3806" s="5" t="str">
        <f t="shared" si="3"/>
        <v>Sean Baker</v>
      </c>
      <c r="X3806" s="5">
        <f t="shared" si="4"/>
        <v>1</v>
      </c>
      <c r="Y3806" s="5" t="str">
        <f>IFERROR(__xludf.DUMMYFUNCTION("REGEXEXTRACT(J3806, ""^\d+"")"),"137")</f>
        <v>137</v>
      </c>
      <c r="Z3806" s="5" t="str">
        <f>IFERROR(__xludf.DUMMYFUNCTION("REGEXEXTRACT(J3806, ""[A-Za-z ]+$"")")," min")</f>
        <v> min</v>
      </c>
      <c r="AA3806" s="5" t="str">
        <f>IFERROR(__xludf.DUMMYFUNCTION("IF(REGEXMATCH(Z3806, ""Season""), ""TV Show"", ""Movie"")"),"Movie")</f>
        <v>Movie</v>
      </c>
    </row>
    <row r="3807">
      <c r="A3807" s="1" t="s">
        <v>20668</v>
      </c>
      <c r="B3807" s="1" t="s">
        <v>27</v>
      </c>
      <c r="C3807" s="1" t="s">
        <v>20669</v>
      </c>
      <c r="D3807" s="1" t="s">
        <v>13815</v>
      </c>
      <c r="E3807" s="1" t="s">
        <v>20670</v>
      </c>
      <c r="F3807" s="1" t="s">
        <v>30</v>
      </c>
      <c r="G3807" s="7">
        <v>43606.0</v>
      </c>
      <c r="H3807" s="1">
        <v>2019.0</v>
      </c>
      <c r="I3807" s="1" t="s">
        <v>42</v>
      </c>
      <c r="J3807" s="1" t="s">
        <v>2636</v>
      </c>
      <c r="K3807" s="1" t="s">
        <v>1839</v>
      </c>
      <c r="L3807" s="1" t="s">
        <v>20671</v>
      </c>
      <c r="M3807" s="2" t="s">
        <v>12</v>
      </c>
      <c r="N3807" s="4">
        <f t="shared" si="1"/>
        <v>43606</v>
      </c>
      <c r="O3807" s="5" t="str">
        <f>IFERROR(__xludf.DUMMYFUNCTION("IF(REGEXMATCH(TRIM(I3807), ""^\d+\s*min""), ""Unclassified"", IF(I3807 = """", ""NR"", I3807))"),"TV-MA")</f>
        <v>TV-MA</v>
      </c>
      <c r="R3807" s="5" t="str">
        <f t="shared" si="2"/>
        <v>Wanda Sykes: Not Normal</v>
      </c>
      <c r="S3807" s="5" t="str">
        <f>IFERROR(__xludf.DUMMYFUNCTION("""COMPUTED_VALUE"""),"Killer Women With Piers Morgan")</f>
        <v>Killer Women With Piers Morgan</v>
      </c>
      <c r="U3807" s="5" t="str">
        <f>IFERROR(__xludf.DUMMYFUNCTION("""COMPUTED_VALUE"""),"Pulkit")</f>
        <v>Pulkit</v>
      </c>
      <c r="V3807" s="5" t="s">
        <v>20672</v>
      </c>
      <c r="W3807" s="5" t="str">
        <f t="shared" si="3"/>
        <v>Sean Cisterna</v>
      </c>
      <c r="X3807" s="5">
        <f t="shared" si="4"/>
        <v>2</v>
      </c>
      <c r="Y3807" s="5" t="str">
        <f>IFERROR(__xludf.DUMMYFUNCTION("REGEXEXTRACT(J3807, ""^\d+"")"),"66")</f>
        <v>66</v>
      </c>
      <c r="Z3807" s="5" t="str">
        <f>IFERROR(__xludf.DUMMYFUNCTION("REGEXEXTRACT(J3807, ""[A-Za-z ]+$"")")," min")</f>
        <v> min</v>
      </c>
      <c r="AA3807" s="5" t="str">
        <f>IFERROR(__xludf.DUMMYFUNCTION("IF(REGEXMATCH(Z3807, ""Season""), ""TV Show"", ""Movie"")"),"Movie")</f>
        <v>Movie</v>
      </c>
    </row>
    <row r="3808">
      <c r="A3808" s="1" t="s">
        <v>20673</v>
      </c>
      <c r="B3808" s="1" t="s">
        <v>37</v>
      </c>
      <c r="C3808" s="1" t="s">
        <v>20674</v>
      </c>
      <c r="E3808" s="1" t="s">
        <v>20675</v>
      </c>
      <c r="F3808" s="1" t="s">
        <v>30</v>
      </c>
      <c r="G3808" s="7">
        <v>43605.0</v>
      </c>
      <c r="H3808" s="1">
        <v>2019.0</v>
      </c>
      <c r="I3808" s="1" t="s">
        <v>506</v>
      </c>
      <c r="J3808" s="1" t="s">
        <v>43</v>
      </c>
      <c r="K3808" s="1" t="s">
        <v>314</v>
      </c>
      <c r="L3808" s="1" t="s">
        <v>20676</v>
      </c>
      <c r="M3808" s="2" t="s">
        <v>12</v>
      </c>
      <c r="N3808" s="4">
        <f t="shared" si="1"/>
        <v>43605</v>
      </c>
      <c r="O3808" s="5" t="str">
        <f>IFERROR(__xludf.DUMMYFUNCTION("IF(REGEXMATCH(TRIM(I3808), ""^\d+\s*min""), ""Unclassified"", IF(I3808 = """", ""NR"", I3808))"),"TV-G")</f>
        <v>TV-G</v>
      </c>
      <c r="R3808" s="5" t="str">
        <f t="shared" si="2"/>
        <v>Prince Of Peoria</v>
      </c>
      <c r="S3808" s="5" t="str">
        <f>IFERROR(__xludf.DUMMYFUNCTION("""COMPUTED_VALUE"""),"Killers")</f>
        <v>Killers</v>
      </c>
      <c r="U3808" s="5" t="str">
        <f>IFERROR(__xludf.DUMMYFUNCTION("""COMPUTED_VALUE"""),"Everardo Gout")</f>
        <v>Everardo Gout</v>
      </c>
      <c r="V3808" s="5" t="s">
        <v>20677</v>
      </c>
      <c r="W3808" s="5" t="str">
        <f t="shared" si="3"/>
        <v>Sean Foley</v>
      </c>
      <c r="X3808" s="5">
        <f t="shared" si="4"/>
        <v>1</v>
      </c>
      <c r="Y3808" s="5" t="str">
        <f>IFERROR(__xludf.DUMMYFUNCTION("REGEXEXTRACT(J3808, ""^\d+"")"),"2")</f>
        <v>2</v>
      </c>
      <c r="Z3808" s="5" t="str">
        <f>IFERROR(__xludf.DUMMYFUNCTION("REGEXEXTRACT(J3808, ""[A-Za-z ]+$"")")," Seasons")</f>
        <v> Seasons</v>
      </c>
      <c r="AA3808" s="5" t="str">
        <f>IFERROR(__xludf.DUMMYFUNCTION("IF(REGEXMATCH(Z3808, ""Season""), ""TV Show"", ""Movie"")"),"TV Show")</f>
        <v>TV Show</v>
      </c>
    </row>
    <row r="3809">
      <c r="A3809" s="1" t="s">
        <v>20678</v>
      </c>
      <c r="B3809" s="1" t="s">
        <v>37</v>
      </c>
      <c r="C3809" s="1" t="s">
        <v>20679</v>
      </c>
      <c r="E3809" s="1" t="s">
        <v>20680</v>
      </c>
      <c r="F3809" s="1" t="s">
        <v>162</v>
      </c>
      <c r="G3809" s="7">
        <v>43605.0</v>
      </c>
      <c r="H3809" s="1">
        <v>2018.0</v>
      </c>
      <c r="I3809" s="1" t="s">
        <v>42</v>
      </c>
      <c r="J3809" s="1" t="s">
        <v>43</v>
      </c>
      <c r="K3809" s="1" t="s">
        <v>785</v>
      </c>
      <c r="L3809" s="1" t="s">
        <v>20681</v>
      </c>
      <c r="M3809" s="2" t="s">
        <v>12</v>
      </c>
      <c r="N3809" s="4">
        <f t="shared" si="1"/>
        <v>43605</v>
      </c>
      <c r="O3809" s="5" t="str">
        <f>IFERROR(__xludf.DUMMYFUNCTION("IF(REGEXMATCH(TRIM(I3809), ""^\d+\s*min""), ""Unclassified"", IF(I3809 = """", ""NR"", I3809))"),"TV-MA")</f>
        <v>TV-MA</v>
      </c>
      <c r="R3809" s="5" t="str">
        <f t="shared" si="2"/>
        <v>Rosario Tijeras</v>
      </c>
      <c r="S3809" s="5" t="str">
        <f>IFERROR(__xludf.DUMMYFUNCTION("""COMPUTED_VALUE"""),"Killing Hasselhoff")</f>
        <v>Killing Hasselhoff</v>
      </c>
      <c r="U3809" s="5" t="str">
        <f>IFERROR(__xludf.DUMMYFUNCTION("""COMPUTED_VALUE"""),"David Raynr")</f>
        <v>David Raynr</v>
      </c>
      <c r="V3809" s="5" t="s">
        <v>20682</v>
      </c>
      <c r="W3809" s="5" t="str">
        <f t="shared" si="3"/>
        <v>Sean Hanish</v>
      </c>
      <c r="X3809" s="5">
        <f t="shared" si="4"/>
        <v>1</v>
      </c>
      <c r="Y3809" s="5" t="str">
        <f>IFERROR(__xludf.DUMMYFUNCTION("REGEXEXTRACT(J3809, ""^\d+"")"),"2")</f>
        <v>2</v>
      </c>
      <c r="Z3809" s="5" t="str">
        <f>IFERROR(__xludf.DUMMYFUNCTION("REGEXEXTRACT(J3809, ""[A-Za-z ]+$"")")," Seasons")</f>
        <v> Seasons</v>
      </c>
      <c r="AA3809" s="5" t="str">
        <f>IFERROR(__xludf.DUMMYFUNCTION("IF(REGEXMATCH(Z3809, ""Season""), ""TV Show"", ""Movie"")"),"TV Show")</f>
        <v>TV Show</v>
      </c>
    </row>
    <row r="3810">
      <c r="A3810" s="1" t="s">
        <v>20683</v>
      </c>
      <c r="B3810" s="1" t="s">
        <v>37</v>
      </c>
      <c r="C3810" s="1">
        <v>1994.0</v>
      </c>
      <c r="D3810" s="1" t="s">
        <v>6485</v>
      </c>
      <c r="F3810" s="1" t="s">
        <v>162</v>
      </c>
      <c r="G3810" s="7">
        <v>43602.0</v>
      </c>
      <c r="H3810" s="1">
        <v>2019.0</v>
      </c>
      <c r="I3810" s="1" t="s">
        <v>42</v>
      </c>
      <c r="J3810" s="1" t="s">
        <v>51</v>
      </c>
      <c r="K3810" s="1" t="s">
        <v>112</v>
      </c>
      <c r="L3810" s="1" t="s">
        <v>20684</v>
      </c>
      <c r="M3810" s="2" t="s">
        <v>12</v>
      </c>
      <c r="N3810" s="4">
        <f t="shared" si="1"/>
        <v>43602</v>
      </c>
      <c r="O3810" s="5" t="str">
        <f>IFERROR(__xludf.DUMMYFUNCTION("IF(REGEXMATCH(TRIM(I3810), ""^\d+\s*min""), ""Unclassified"", IF(I3810 = """", ""NR"", I3810))"),"TV-MA")</f>
        <v>TV-MA</v>
      </c>
      <c r="R3810" s="5" t="str">
        <f t="shared" si="2"/>
        <v>1994</v>
      </c>
      <c r="S3810" s="5" t="str">
        <f>IFERROR(__xludf.DUMMYFUNCTION("""COMPUTED_VALUE"""),"Killing Them Softly")</f>
        <v>Killing Them Softly</v>
      </c>
      <c r="U3810" s="5" t="str">
        <f>IFERROR(__xludf.DUMMYFUNCTION("""COMPUTED_VALUE"""),"David Batty")</f>
        <v>David Batty</v>
      </c>
      <c r="V3810" s="5" t="s">
        <v>20685</v>
      </c>
      <c r="W3810" s="5" t="str">
        <f t="shared" si="3"/>
        <v>Sean Mcnamara</v>
      </c>
      <c r="X3810" s="5">
        <f t="shared" si="4"/>
        <v>4</v>
      </c>
      <c r="Y3810" s="5" t="str">
        <f>IFERROR(__xludf.DUMMYFUNCTION("REGEXEXTRACT(J3810, ""^\d+"")"),"1")</f>
        <v>1</v>
      </c>
      <c r="Z3810" s="5" t="str">
        <f>IFERROR(__xludf.DUMMYFUNCTION("REGEXEXTRACT(J3810, ""[A-Za-z ]+$"")")," Season")</f>
        <v> Season</v>
      </c>
      <c r="AA3810" s="5" t="str">
        <f>IFERROR(__xludf.DUMMYFUNCTION("IF(REGEXMATCH(Z3810, ""Season""), ""TV Show"", ""Movie"")"),"TV Show")</f>
        <v>TV Show</v>
      </c>
    </row>
    <row r="3811">
      <c r="A3811" s="1" t="s">
        <v>20686</v>
      </c>
      <c r="B3811" s="1" t="s">
        <v>27</v>
      </c>
      <c r="C3811" s="1" t="s">
        <v>20687</v>
      </c>
      <c r="D3811" s="1" t="s">
        <v>9300</v>
      </c>
      <c r="F3811" s="1" t="s">
        <v>784</v>
      </c>
      <c r="G3811" s="7">
        <v>43602.0</v>
      </c>
      <c r="H3811" s="1">
        <v>2014.0</v>
      </c>
      <c r="I3811" s="1" t="s">
        <v>97</v>
      </c>
      <c r="J3811" s="1" t="s">
        <v>1583</v>
      </c>
      <c r="K3811" s="1" t="s">
        <v>156</v>
      </c>
      <c r="L3811" s="1" t="s">
        <v>20688</v>
      </c>
      <c r="M3811" s="2" t="s">
        <v>12</v>
      </c>
      <c r="N3811" s="4">
        <f t="shared" si="1"/>
        <v>43602</v>
      </c>
      <c r="O3811" s="5" t="str">
        <f>IFERROR(__xludf.DUMMYFUNCTION("IF(REGEXMATCH(TRIM(I3811), ""^\d+\s*min""), ""Unclassified"", IF(I3811 = """", ""NR"", I3811))"),"TV-14")</f>
        <v>TV-14</v>
      </c>
      <c r="R3811" s="5" t="str">
        <f t="shared" si="2"/>
        <v>Born In Gaza</v>
      </c>
      <c r="S3811" s="5" t="str">
        <f>IFERROR(__xludf.DUMMYFUNCTION("""COMPUTED_VALUE"""),"Kills On Wheels")</f>
        <v>Kills On Wheels</v>
      </c>
      <c r="U3811" s="5" t="str">
        <f>IFERROR(__xludf.DUMMYFUNCTION("""COMPUTED_VALUE"""),"Deepika Narayan Bhardwaj")</f>
        <v>Deepika Narayan Bhardwaj</v>
      </c>
      <c r="V3811" s="5" t="s">
        <v>20689</v>
      </c>
      <c r="W3811" s="5" t="str">
        <f t="shared" si="3"/>
        <v>Sean Menard</v>
      </c>
      <c r="X3811" s="5">
        <f t="shared" si="4"/>
        <v>1</v>
      </c>
      <c r="Y3811" s="5" t="str">
        <f>IFERROR(__xludf.DUMMYFUNCTION("REGEXEXTRACT(J3811, ""^\d+"")"),"70")</f>
        <v>70</v>
      </c>
      <c r="Z3811" s="5" t="str">
        <f>IFERROR(__xludf.DUMMYFUNCTION("REGEXEXTRACT(J3811, ""[A-Za-z ]+$"")")," min")</f>
        <v> min</v>
      </c>
      <c r="AA3811" s="5" t="str">
        <f>IFERROR(__xludf.DUMMYFUNCTION("IF(REGEXMATCH(Z3811, ""Season""), ""TV Show"", ""Movie"")"),"Movie")</f>
        <v>Movie</v>
      </c>
    </row>
    <row r="3812">
      <c r="A3812" s="1" t="s">
        <v>20690</v>
      </c>
      <c r="B3812" s="1" t="s">
        <v>27</v>
      </c>
      <c r="C3812" s="1" t="s">
        <v>20691</v>
      </c>
      <c r="D3812" s="1" t="s">
        <v>9300</v>
      </c>
      <c r="F3812" s="1" t="s">
        <v>20692</v>
      </c>
      <c r="G3812" s="7">
        <v>43602.0</v>
      </c>
      <c r="H3812" s="1">
        <v>2016.0</v>
      </c>
      <c r="I3812" s="1" t="s">
        <v>97</v>
      </c>
      <c r="J3812" s="1" t="s">
        <v>630</v>
      </c>
      <c r="K3812" s="1" t="s">
        <v>156</v>
      </c>
      <c r="L3812" s="1" t="s">
        <v>20693</v>
      </c>
      <c r="M3812" s="2" t="s">
        <v>12</v>
      </c>
      <c r="N3812" s="4">
        <f t="shared" si="1"/>
        <v>43602</v>
      </c>
      <c r="O3812" s="5" t="str">
        <f>IFERROR(__xludf.DUMMYFUNCTION("IF(REGEXMATCH(TRIM(I3812), ""^\d+\s*min""), ""Unclassified"", IF(I3812 = """", ""NR"", I3812))"),"TV-14")</f>
        <v>TV-14</v>
      </c>
      <c r="R3812" s="5" t="str">
        <f t="shared" si="2"/>
        <v>Born In Syria</v>
      </c>
      <c r="S3812" s="5" t="str">
        <f>IFERROR(__xludf.DUMMYFUNCTION("""COMPUTED_VALUE"""),"Kilo Two Bravo")</f>
        <v>Kilo Two Bravo</v>
      </c>
      <c r="U3812" s="5" t="str">
        <f>IFERROR(__xludf.DUMMYFUNCTION("""COMPUTED_VALUE"""),"Eric Drath")</f>
        <v>Eric Drath</v>
      </c>
      <c r="V3812" s="5" t="s">
        <v>20694</v>
      </c>
      <c r="W3812" s="5" t="str">
        <f t="shared" si="3"/>
        <v>Sean Olson</v>
      </c>
      <c r="X3812" s="5">
        <f t="shared" si="4"/>
        <v>1</v>
      </c>
      <c r="Y3812" s="5" t="str">
        <f>IFERROR(__xludf.DUMMYFUNCTION("REGEXEXTRACT(J3812, ""^\d+"")"),"87")</f>
        <v>87</v>
      </c>
      <c r="Z3812" s="5" t="str">
        <f>IFERROR(__xludf.DUMMYFUNCTION("REGEXEXTRACT(J3812, ""[A-Za-z ]+$"")")," min")</f>
        <v> min</v>
      </c>
      <c r="AA3812" s="5" t="str">
        <f>IFERROR(__xludf.DUMMYFUNCTION("IF(REGEXMATCH(Z3812, ""Season""), ""TV Show"", ""Movie"")"),"Movie")</f>
        <v>Movie</v>
      </c>
    </row>
    <row r="3813">
      <c r="A3813" s="1" t="s">
        <v>20695</v>
      </c>
      <c r="B3813" s="1" t="s">
        <v>27</v>
      </c>
      <c r="C3813" s="1" t="s">
        <v>20696</v>
      </c>
      <c r="D3813" s="1" t="s">
        <v>9300</v>
      </c>
      <c r="F3813" s="1" t="s">
        <v>784</v>
      </c>
      <c r="G3813" s="7">
        <v>43602.0</v>
      </c>
      <c r="H3813" s="1">
        <v>2018.0</v>
      </c>
      <c r="I3813" s="1" t="s">
        <v>42</v>
      </c>
      <c r="J3813" s="1" t="s">
        <v>428</v>
      </c>
      <c r="K3813" s="1" t="s">
        <v>156</v>
      </c>
      <c r="L3813" s="1" t="s">
        <v>20697</v>
      </c>
      <c r="M3813" s="2" t="s">
        <v>12</v>
      </c>
      <c r="N3813" s="4">
        <f t="shared" si="1"/>
        <v>43602</v>
      </c>
      <c r="O3813" s="5" t="str">
        <f>IFERROR(__xludf.DUMMYFUNCTION("IF(REGEXMATCH(TRIM(I3813), ""^\d+\s*min""), ""Unclassified"", IF(I3813 = """", ""NR"", I3813))"),"TV-MA")</f>
        <v>TV-MA</v>
      </c>
      <c r="R3813" s="5" t="str">
        <f t="shared" si="2"/>
        <v>Dying To Tell</v>
      </c>
      <c r="S3813" s="5" t="str">
        <f>IFERROR(__xludf.DUMMYFUNCTION("""COMPUTED_VALUE"""),"Kilometers And Kilometers")</f>
        <v>Kilometers And Kilometers</v>
      </c>
      <c r="U3813" s="5" t="str">
        <f>IFERROR(__xludf.DUMMYFUNCTION("""COMPUTED_VALUE"""),"Leo Riley, Eric Radomski")</f>
        <v>Leo Riley, Eric Radomski</v>
      </c>
      <c r="V3813" s="5" t="s">
        <v>8557</v>
      </c>
      <c r="W3813" s="5" t="str">
        <f t="shared" si="3"/>
        <v>Sean Penn</v>
      </c>
      <c r="X3813" s="5">
        <f t="shared" si="4"/>
        <v>2</v>
      </c>
      <c r="Y3813" s="5" t="str">
        <f>IFERROR(__xludf.DUMMYFUNCTION("REGEXEXTRACT(J3813, ""^\d+"")"),"88")</f>
        <v>88</v>
      </c>
      <c r="Z3813" s="5" t="str">
        <f>IFERROR(__xludf.DUMMYFUNCTION("REGEXEXTRACT(J3813, ""[A-Za-z ]+$"")")," min")</f>
        <v> min</v>
      </c>
      <c r="AA3813" s="5" t="str">
        <f>IFERROR(__xludf.DUMMYFUNCTION("IF(REGEXMATCH(Z3813, ""Season""), ""TV Show"", ""Movie"")"),"Movie")</f>
        <v>Movie</v>
      </c>
    </row>
    <row r="3814">
      <c r="A3814" s="1" t="s">
        <v>20698</v>
      </c>
      <c r="B3814" s="1" t="s">
        <v>37</v>
      </c>
      <c r="C3814" s="1" t="s">
        <v>20699</v>
      </c>
      <c r="E3814" s="1" t="s">
        <v>20700</v>
      </c>
      <c r="F3814" s="1" t="s">
        <v>30</v>
      </c>
      <c r="G3814" s="7">
        <v>43602.0</v>
      </c>
      <c r="H3814" s="1">
        <v>2019.0</v>
      </c>
      <c r="I3814" s="1" t="s">
        <v>42</v>
      </c>
      <c r="J3814" s="1" t="s">
        <v>51</v>
      </c>
      <c r="K3814" s="1" t="s">
        <v>270</v>
      </c>
      <c r="L3814" s="1" t="s">
        <v>20701</v>
      </c>
      <c r="M3814" s="2" t="s">
        <v>12</v>
      </c>
      <c r="N3814" s="4">
        <f t="shared" si="1"/>
        <v>43602</v>
      </c>
      <c r="O3814" s="5" t="str">
        <f>IFERROR(__xludf.DUMMYFUNCTION("IF(REGEXMATCH(TRIM(I3814), ""^\d+\s*min""), ""Unclassified"", IF(I3814 = """", ""NR"", I3814))"),"TV-MA")</f>
        <v>TV-MA</v>
      </c>
      <c r="R3814" s="5" t="str">
        <f t="shared" si="2"/>
        <v>It'S Bruno!</v>
      </c>
      <c r="S3814" s="5" t="str">
        <f>IFERROR(__xludf.DUMMYFUNCTION("""COMPUTED_VALUE"""),"Kim'S Convenience")</f>
        <v>Kim'S Convenience</v>
      </c>
      <c r="U3814" s="5" t="str">
        <f>IFERROR(__xludf.DUMMYFUNCTION("""COMPUTED_VALUE"""),"Hiromasa Yonebayashi")</f>
        <v>Hiromasa Yonebayashi</v>
      </c>
      <c r="V3814" s="5" t="s">
        <v>20702</v>
      </c>
      <c r="W3814" s="5" t="str">
        <f t="shared" si="3"/>
        <v>Sebastian Dinatale</v>
      </c>
      <c r="X3814" s="5">
        <f t="shared" si="4"/>
        <v>1</v>
      </c>
      <c r="Y3814" s="5" t="str">
        <f>IFERROR(__xludf.DUMMYFUNCTION("REGEXEXTRACT(J3814, ""^\d+"")"),"1")</f>
        <v>1</v>
      </c>
      <c r="Z3814" s="5" t="str">
        <f>IFERROR(__xludf.DUMMYFUNCTION("REGEXEXTRACT(J3814, ""[A-Za-z ]+$"")")," Season")</f>
        <v> Season</v>
      </c>
      <c r="AA3814" s="5" t="str">
        <f>IFERROR(__xludf.DUMMYFUNCTION("IF(REGEXMATCH(Z3814, ""Season""), ""TV Show"", ""Movie"")"),"TV Show")</f>
        <v>TV Show</v>
      </c>
    </row>
    <row r="3815">
      <c r="A3815" s="1" t="s">
        <v>20703</v>
      </c>
      <c r="B3815" s="1" t="s">
        <v>27</v>
      </c>
      <c r="C3815" s="1" t="s">
        <v>20704</v>
      </c>
      <c r="D3815" s="1" t="s">
        <v>17878</v>
      </c>
      <c r="E3815" s="1" t="s">
        <v>20705</v>
      </c>
      <c r="F3815" s="1" t="s">
        <v>4287</v>
      </c>
      <c r="G3815" s="7">
        <v>43602.0</v>
      </c>
      <c r="H3815" s="1">
        <v>2019.0</v>
      </c>
      <c r="I3815" s="1" t="s">
        <v>42</v>
      </c>
      <c r="J3815" s="1" t="s">
        <v>33</v>
      </c>
      <c r="K3815" s="1" t="s">
        <v>1066</v>
      </c>
      <c r="L3815" s="1" t="s">
        <v>20706</v>
      </c>
      <c r="M3815" s="2" t="s">
        <v>12</v>
      </c>
      <c r="N3815" s="4">
        <f t="shared" si="1"/>
        <v>43602</v>
      </c>
      <c r="O3815" s="5" t="str">
        <f>IFERROR(__xludf.DUMMYFUNCTION("IF(REGEXMATCH(TRIM(I3815), ""^\d+\s*min""), ""Unclassified"", IF(I3815 = """", ""NR"", I3815))"),"TV-MA")</f>
        <v>TV-MA</v>
      </c>
      <c r="R3815" s="5" t="str">
        <f t="shared" si="2"/>
        <v>Maria</v>
      </c>
      <c r="S3815" s="5" t="str">
        <f>IFERROR(__xludf.DUMMYFUNCTION("""COMPUTED_VALUE"""),"King Jack")</f>
        <v>King Jack</v>
      </c>
      <c r="U3815" s="5" t="str">
        <f>IFERROR(__xludf.DUMMYFUNCTION("""COMPUTED_VALUE"""),"Shekhar Kapur")</f>
        <v>Shekhar Kapur</v>
      </c>
      <c r="V3815" s="5" t="s">
        <v>20707</v>
      </c>
      <c r="W3815" s="5" t="str">
        <f t="shared" si="3"/>
        <v>Sebastian Gutierrez</v>
      </c>
      <c r="X3815" s="5">
        <f t="shared" si="4"/>
        <v>1</v>
      </c>
      <c r="Y3815" s="5" t="str">
        <f>IFERROR(__xludf.DUMMYFUNCTION("REGEXEXTRACT(J3815, ""^\d+"")"),"90")</f>
        <v>90</v>
      </c>
      <c r="Z3815" s="5" t="str">
        <f>IFERROR(__xludf.DUMMYFUNCTION("REGEXEXTRACT(J3815, ""[A-Za-z ]+$"")")," min")</f>
        <v> min</v>
      </c>
      <c r="AA3815" s="5" t="str">
        <f>IFERROR(__xludf.DUMMYFUNCTION("IF(REGEXMATCH(Z3815, ""Season""), ""TV Show"", ""Movie"")"),"Movie")</f>
        <v>Movie</v>
      </c>
    </row>
    <row r="3816">
      <c r="A3816" s="1" t="s">
        <v>20708</v>
      </c>
      <c r="B3816" s="1" t="s">
        <v>27</v>
      </c>
      <c r="C3816" s="1" t="s">
        <v>20709</v>
      </c>
      <c r="D3816" s="1" t="s">
        <v>20147</v>
      </c>
      <c r="G3816" s="7">
        <v>43602.0</v>
      </c>
      <c r="H3816" s="1">
        <v>2019.0</v>
      </c>
      <c r="I3816" s="1" t="s">
        <v>97</v>
      </c>
      <c r="J3816" s="1" t="s">
        <v>1608</v>
      </c>
      <c r="K3816" s="1" t="s">
        <v>700</v>
      </c>
      <c r="L3816" s="1" t="s">
        <v>20710</v>
      </c>
      <c r="M3816" s="2" t="s">
        <v>12</v>
      </c>
      <c r="N3816" s="4">
        <f t="shared" si="1"/>
        <v>43602</v>
      </c>
      <c r="O3816" s="5" t="str">
        <f>IFERROR(__xludf.DUMMYFUNCTION("IF(REGEXMATCH(TRIM(I3816), ""^\d+\s*min""), ""Unclassified"", IF(I3816 = """", ""NR"", I3816))"),"TV-14")</f>
        <v>TV-14</v>
      </c>
      <c r="R3816" s="5" t="str">
        <f t="shared" si="2"/>
        <v>Remastered: The Lion'S Share</v>
      </c>
      <c r="S3816" s="5" t="str">
        <f>IFERROR(__xludf.DUMMYFUNCTION("""COMPUTED_VALUE"""),"King Of Boys")</f>
        <v>King Of Boys</v>
      </c>
      <c r="U3816" s="5" t="str">
        <f>IFERROR(__xludf.DUMMYFUNCTION("""COMPUTED_VALUE"""),"Ui-Seok Jo")</f>
        <v>Ui-Seok Jo</v>
      </c>
      <c r="V3816" s="5" t="s">
        <v>20711</v>
      </c>
      <c r="W3816" s="5" t="str">
        <f t="shared" si="3"/>
        <v>Sebastián Hofmann</v>
      </c>
      <c r="X3816" s="5">
        <f t="shared" si="4"/>
        <v>1</v>
      </c>
      <c r="Y3816" s="5" t="str">
        <f>IFERROR(__xludf.DUMMYFUNCTION("REGEXEXTRACT(J3816, ""^\d+"")"),"84")</f>
        <v>84</v>
      </c>
      <c r="Z3816" s="5" t="str">
        <f>IFERROR(__xludf.DUMMYFUNCTION("REGEXEXTRACT(J3816, ""[A-Za-z ]+$"")")," min")</f>
        <v> min</v>
      </c>
      <c r="AA3816" s="5" t="str">
        <f>IFERROR(__xludf.DUMMYFUNCTION("IF(REGEXMATCH(Z3816, ""Season""), ""TV Show"", ""Movie"")"),"Movie")</f>
        <v>Movie</v>
      </c>
    </row>
    <row r="3817">
      <c r="A3817" s="1" t="s">
        <v>20712</v>
      </c>
      <c r="B3817" s="1" t="s">
        <v>27</v>
      </c>
      <c r="C3817" s="1" t="s">
        <v>20713</v>
      </c>
      <c r="D3817" s="1" t="s">
        <v>7774</v>
      </c>
      <c r="E3817" s="1" t="s">
        <v>20714</v>
      </c>
      <c r="F3817" s="1" t="s">
        <v>1779</v>
      </c>
      <c r="G3817" s="7">
        <v>43602.0</v>
      </c>
      <c r="H3817" s="1">
        <v>2019.0</v>
      </c>
      <c r="I3817" s="1" t="s">
        <v>42</v>
      </c>
      <c r="J3817" s="1" t="s">
        <v>8606</v>
      </c>
      <c r="K3817" s="1" t="s">
        <v>1839</v>
      </c>
      <c r="L3817" s="1" t="s">
        <v>20715</v>
      </c>
      <c r="M3817" s="2" t="s">
        <v>12</v>
      </c>
      <c r="N3817" s="4">
        <f t="shared" si="1"/>
        <v>43602</v>
      </c>
      <c r="O3817" s="5" t="str">
        <f>IFERROR(__xludf.DUMMYFUNCTION("IF(REGEXMATCH(TRIM(I3817), ""^\d+\s*min""), ""Unclassified"", IF(I3817 = """", ""NR"", I3817))"),"TV-MA")</f>
        <v>TV-MA</v>
      </c>
      <c r="R3817" s="5" t="str">
        <f t="shared" si="2"/>
        <v>Saverio Raimondo: Il Satiro Parlante</v>
      </c>
      <c r="S3817" s="5" t="str">
        <f>IFERROR(__xludf.DUMMYFUNCTION("""COMPUTED_VALUE"""),"King Of Boys: The Return Of The King")</f>
        <v>King Of Boys: The Return Of The King</v>
      </c>
      <c r="U3817" s="5" t="str">
        <f>IFERROR(__xludf.DUMMYFUNCTION("""COMPUTED_VALUE"""),"Pablo D'Alo Abba")</f>
        <v>Pablo D'Alo Abba</v>
      </c>
      <c r="V3817" s="5" t="s">
        <v>15890</v>
      </c>
      <c r="W3817" s="5" t="str">
        <f t="shared" si="3"/>
        <v>Sebastian Jones, Ramez Silyan</v>
      </c>
      <c r="X3817" s="5">
        <f t="shared" si="4"/>
        <v>1</v>
      </c>
      <c r="Y3817" s="5" t="str">
        <f>IFERROR(__xludf.DUMMYFUNCTION("REGEXEXTRACT(J3817, ""^\d+"")"),"53")</f>
        <v>53</v>
      </c>
      <c r="Z3817" s="5" t="str">
        <f>IFERROR(__xludf.DUMMYFUNCTION("REGEXEXTRACT(J3817, ""[A-Za-z ]+$"")")," min")</f>
        <v> min</v>
      </c>
      <c r="AA3817" s="5" t="str">
        <f>IFERROR(__xludf.DUMMYFUNCTION("IF(REGEXMATCH(Z3817, ""Season""), ""TV Show"", ""Movie"")"),"Movie")</f>
        <v>Movie</v>
      </c>
    </row>
    <row r="3818">
      <c r="A3818" s="1" t="s">
        <v>20716</v>
      </c>
      <c r="B3818" s="1" t="s">
        <v>27</v>
      </c>
      <c r="C3818" s="1" t="s">
        <v>20717</v>
      </c>
      <c r="D3818" s="1" t="s">
        <v>20718</v>
      </c>
      <c r="E3818" s="1" t="s">
        <v>20719</v>
      </c>
      <c r="F3818" s="1" t="s">
        <v>30</v>
      </c>
      <c r="G3818" s="7">
        <v>43602.0</v>
      </c>
      <c r="H3818" s="1">
        <v>2019.0</v>
      </c>
      <c r="I3818" s="1" t="s">
        <v>42</v>
      </c>
      <c r="J3818" s="1" t="s">
        <v>630</v>
      </c>
      <c r="K3818" s="1" t="s">
        <v>19093</v>
      </c>
      <c r="L3818" s="1" t="s">
        <v>20720</v>
      </c>
      <c r="M3818" s="2" t="s">
        <v>12</v>
      </c>
      <c r="N3818" s="4">
        <f t="shared" si="1"/>
        <v>43602</v>
      </c>
      <c r="O3818" s="5" t="str">
        <f>IFERROR(__xludf.DUMMYFUNCTION("IF(REGEXMATCH(TRIM(I3818), ""^\d+\s*min""), ""Unclassified"", IF(I3818 = """", ""NR"", I3818))"),"TV-MA")</f>
        <v>TV-MA</v>
      </c>
      <c r="R3818" s="5" t="str">
        <f t="shared" si="2"/>
        <v>See You Yesterday</v>
      </c>
      <c r="S3818" s="5" t="str">
        <f>IFERROR(__xludf.DUMMYFUNCTION("""COMPUTED_VALUE"""),"King Of Peking")</f>
        <v>King Of Peking</v>
      </c>
      <c r="U3818" s="5" t="str">
        <f>IFERROR(__xludf.DUMMYFUNCTION("""COMPUTED_VALUE"""),"Sudesh Manjrekar, Atul Kale")</f>
        <v>Sudesh Manjrekar, Atul Kale</v>
      </c>
      <c r="V3818" s="5" t="s">
        <v>991</v>
      </c>
      <c r="W3818" s="5" t="str">
        <f t="shared" si="3"/>
        <v>Sebastián Schindel</v>
      </c>
      <c r="X3818" s="5">
        <f t="shared" si="4"/>
        <v>3</v>
      </c>
      <c r="Y3818" s="5" t="str">
        <f>IFERROR(__xludf.DUMMYFUNCTION("REGEXEXTRACT(J3818, ""^\d+"")"),"87")</f>
        <v>87</v>
      </c>
      <c r="Z3818" s="5" t="str">
        <f>IFERROR(__xludf.DUMMYFUNCTION("REGEXEXTRACT(J3818, ""[A-Za-z ]+$"")")," min")</f>
        <v> min</v>
      </c>
      <c r="AA3818" s="5" t="str">
        <f>IFERROR(__xludf.DUMMYFUNCTION("IF(REGEXMATCH(Z3818, ""Season""), ""TV Show"", ""Movie"")"),"Movie")</f>
        <v>Movie</v>
      </c>
    </row>
    <row r="3819">
      <c r="A3819" s="1" t="s">
        <v>20721</v>
      </c>
      <c r="B3819" s="1" t="s">
        <v>37</v>
      </c>
      <c r="C3819" s="1" t="s">
        <v>20722</v>
      </c>
      <c r="E3819" s="1" t="s">
        <v>20723</v>
      </c>
      <c r="F3819" s="1" t="s">
        <v>96</v>
      </c>
      <c r="G3819" s="7">
        <v>43602.0</v>
      </c>
      <c r="H3819" s="1">
        <v>2019.0</v>
      </c>
      <c r="I3819" s="1" t="s">
        <v>42</v>
      </c>
      <c r="J3819" s="1" t="s">
        <v>43</v>
      </c>
      <c r="K3819" s="1" t="s">
        <v>277</v>
      </c>
      <c r="L3819" s="1" t="s">
        <v>20724</v>
      </c>
      <c r="M3819" s="2" t="s">
        <v>12</v>
      </c>
      <c r="N3819" s="4">
        <f t="shared" si="1"/>
        <v>43602</v>
      </c>
      <c r="O3819" s="5" t="str">
        <f>IFERROR(__xludf.DUMMYFUNCTION("IF(REGEXMATCH(TRIM(I3819), ""^\d+\s*min""), ""Unclassified"", IF(I3819 = """", ""NR"", I3819))"),"TV-MA")</f>
        <v>TV-MA</v>
      </c>
      <c r="R3819" s="5" t="str">
        <f t="shared" si="2"/>
        <v>White Gold</v>
      </c>
      <c r="S3819" s="5" t="str">
        <f>IFERROR(__xludf.DUMMYFUNCTION("""COMPUTED_VALUE"""),"King'S Ransom")</f>
        <v>King'S Ransom</v>
      </c>
      <c r="U3819" s="5" t="str">
        <f>IFERROR(__xludf.DUMMYFUNCTION("""COMPUTED_VALUE"""),"Daniel Noah")</f>
        <v>Daniel Noah</v>
      </c>
      <c r="V3819" s="5" t="s">
        <v>20725</v>
      </c>
      <c r="W3819" s="5" t="str">
        <f t="shared" si="3"/>
        <v>Sébastien Betbeder</v>
      </c>
      <c r="X3819" s="5">
        <f t="shared" si="4"/>
        <v>1</v>
      </c>
      <c r="Y3819" s="5" t="str">
        <f>IFERROR(__xludf.DUMMYFUNCTION("REGEXEXTRACT(J3819, ""^\d+"")"),"2")</f>
        <v>2</v>
      </c>
      <c r="Z3819" s="5" t="str">
        <f>IFERROR(__xludf.DUMMYFUNCTION("REGEXEXTRACT(J3819, ""[A-Za-z ]+$"")")," Seasons")</f>
        <v> Seasons</v>
      </c>
      <c r="AA3819" s="5" t="str">
        <f>IFERROR(__xludf.DUMMYFUNCTION("IF(REGEXMATCH(Z3819, ""Season""), ""TV Show"", ""Movie"")"),"TV Show")</f>
        <v>TV Show</v>
      </c>
    </row>
    <row r="3820">
      <c r="A3820" s="1" t="s">
        <v>20726</v>
      </c>
      <c r="B3820" s="1" t="s">
        <v>27</v>
      </c>
      <c r="C3820" s="1" t="s">
        <v>20727</v>
      </c>
      <c r="D3820" s="1" t="s">
        <v>12502</v>
      </c>
      <c r="E3820" s="1" t="s">
        <v>20728</v>
      </c>
      <c r="F3820" s="1" t="s">
        <v>30</v>
      </c>
      <c r="G3820" s="7">
        <v>43601.0</v>
      </c>
      <c r="H3820" s="1">
        <v>2019.0</v>
      </c>
      <c r="I3820" s="1" t="s">
        <v>136</v>
      </c>
      <c r="J3820" s="1" t="s">
        <v>33</v>
      </c>
      <c r="K3820" s="1" t="s">
        <v>771</v>
      </c>
      <c r="L3820" s="1" t="s">
        <v>20729</v>
      </c>
      <c r="M3820" s="2" t="s">
        <v>12</v>
      </c>
      <c r="N3820" s="4">
        <f t="shared" si="1"/>
        <v>43601</v>
      </c>
      <c r="O3820" s="5" t="str">
        <f>IFERROR(__xludf.DUMMYFUNCTION("IF(REGEXMATCH(TRIM(I3820), ""^\d+\s*min""), ""Unclassified"", IF(I3820 = """", ""NR"", I3820))"),"TV-PG")</f>
        <v>TV-PG</v>
      </c>
      <c r="R3820" s="5" t="str">
        <f t="shared" si="2"/>
        <v>Good Sam</v>
      </c>
      <c r="S3820" s="5" t="str">
        <f>IFERROR(__xludf.DUMMYFUNCTION("""COMPUTED_VALUE"""),"King’S War")</f>
        <v>King’S War</v>
      </c>
      <c r="U3820" s="5" t="str">
        <f>IFERROR(__xludf.DUMMYFUNCTION("""COMPUTED_VALUE"""),"Philip Yung")</f>
        <v>Philip Yung</v>
      </c>
      <c r="V3820" s="5" t="s">
        <v>20730</v>
      </c>
      <c r="W3820" s="5" t="str">
        <f t="shared" si="3"/>
        <v>Sedat Kirtan, Kubilay Sarikaya</v>
      </c>
      <c r="X3820" s="5">
        <f t="shared" si="4"/>
        <v>1</v>
      </c>
      <c r="Y3820" s="5" t="str">
        <f>IFERROR(__xludf.DUMMYFUNCTION("REGEXEXTRACT(J3820, ""^\d+"")"),"90")</f>
        <v>90</v>
      </c>
      <c r="Z3820" s="5" t="str">
        <f>IFERROR(__xludf.DUMMYFUNCTION("REGEXEXTRACT(J3820, ""[A-Za-z ]+$"")")," min")</f>
        <v> min</v>
      </c>
      <c r="AA3820" s="5" t="str">
        <f>IFERROR(__xludf.DUMMYFUNCTION("IF(REGEXMATCH(Z3820, ""Season""), ""TV Show"", ""Movie"")"),"Movie")</f>
        <v>Movie</v>
      </c>
    </row>
    <row r="3821">
      <c r="A3821" s="1" t="s">
        <v>20731</v>
      </c>
      <c r="B3821" s="1" t="s">
        <v>27</v>
      </c>
      <c r="C3821" s="1" t="s">
        <v>20732</v>
      </c>
      <c r="D3821" s="1" t="s">
        <v>503</v>
      </c>
      <c r="E3821" s="1" t="s">
        <v>20733</v>
      </c>
      <c r="F3821" s="1" t="s">
        <v>63</v>
      </c>
      <c r="G3821" s="7">
        <v>43601.0</v>
      </c>
      <c r="H3821" s="1">
        <v>2018.0</v>
      </c>
      <c r="I3821" s="1" t="s">
        <v>42</v>
      </c>
      <c r="J3821" s="1" t="s">
        <v>322</v>
      </c>
      <c r="K3821" s="1" t="s">
        <v>89</v>
      </c>
      <c r="L3821" s="1" t="s">
        <v>20734</v>
      </c>
      <c r="M3821" s="2" t="s">
        <v>12</v>
      </c>
      <c r="N3821" s="4">
        <f t="shared" si="1"/>
        <v>43601</v>
      </c>
      <c r="O3821" s="5" t="str">
        <f>IFERROR(__xludf.DUMMYFUNCTION("IF(REGEXMATCH(TRIM(I3821), ""^\d+\s*min""), ""Unclassified"", IF(I3821 = """", ""NR"", I3821))"),"TV-MA")</f>
        <v>TV-MA</v>
      </c>
      <c r="R3821" s="5" t="str">
        <f t="shared" si="2"/>
        <v>Jonaki</v>
      </c>
      <c r="S3821" s="5" t="str">
        <f>IFERROR(__xludf.DUMMYFUNCTION("""COMPUTED_VALUE"""),"Kingdom")</f>
        <v>Kingdom</v>
      </c>
      <c r="U3821" s="5" t="str">
        <f>IFERROR(__xludf.DUMMYFUNCTION("""COMPUTED_VALUE"""),"Hassan Hegazy, Shady Ali")</f>
        <v>Hassan Hegazy, Shady Ali</v>
      </c>
      <c r="V3821" s="5" t="s">
        <v>5838</v>
      </c>
      <c r="W3821" s="5" t="str">
        <f t="shared" si="3"/>
        <v>Seema Pahwa</v>
      </c>
      <c r="X3821" s="5">
        <f t="shared" si="4"/>
        <v>1</v>
      </c>
      <c r="Y3821" s="5" t="str">
        <f>IFERROR(__xludf.DUMMYFUNCTION("REGEXEXTRACT(J3821, ""^\d+"")"),"96")</f>
        <v>96</v>
      </c>
      <c r="Z3821" s="5" t="str">
        <f>IFERROR(__xludf.DUMMYFUNCTION("REGEXEXTRACT(J3821, ""[A-Za-z ]+$"")")," min")</f>
        <v> min</v>
      </c>
      <c r="AA3821" s="5" t="str">
        <f>IFERROR(__xludf.DUMMYFUNCTION("IF(REGEXMATCH(Z3821, ""Season""), ""TV Show"", ""Movie"")"),"Movie")</f>
        <v>Movie</v>
      </c>
    </row>
    <row r="3822">
      <c r="A3822" s="1" t="s">
        <v>20735</v>
      </c>
      <c r="B3822" s="1" t="s">
        <v>27</v>
      </c>
      <c r="C3822" s="1" t="s">
        <v>20736</v>
      </c>
      <c r="D3822" s="1" t="s">
        <v>14412</v>
      </c>
      <c r="E3822" s="1" t="s">
        <v>20737</v>
      </c>
      <c r="F3822" s="1" t="s">
        <v>96</v>
      </c>
      <c r="G3822" s="7">
        <v>43601.0</v>
      </c>
      <c r="H3822" s="1">
        <v>2019.0</v>
      </c>
      <c r="I3822" s="1" t="s">
        <v>136</v>
      </c>
      <c r="J3822" s="1" t="s">
        <v>170</v>
      </c>
      <c r="K3822" s="1" t="s">
        <v>137</v>
      </c>
      <c r="L3822" s="1" t="s">
        <v>20738</v>
      </c>
      <c r="M3822" s="2" t="s">
        <v>12</v>
      </c>
      <c r="N3822" s="4">
        <f t="shared" si="1"/>
        <v>43601</v>
      </c>
      <c r="O3822" s="5" t="str">
        <f>IFERROR(__xludf.DUMMYFUNCTION("IF(REGEXMATCH(TRIM(I3822), ""^\d+\s*min""), ""Unclassified"", IF(I3822 = """", ""NR"", I3822))"),"TV-PG")</f>
        <v>TV-PG</v>
      </c>
      <c r="R3822" s="5" t="str">
        <f t="shared" si="2"/>
        <v>Patrick (2019)</v>
      </c>
      <c r="S3822" s="5" t="str">
        <f>IFERROR(__xludf.DUMMYFUNCTION("""COMPUTED_VALUE"""),"Kingdom Of Us")</f>
        <v>Kingdom Of Us</v>
      </c>
      <c r="U3822" s="5" t="str">
        <f>IFERROR(__xludf.DUMMYFUNCTION("""COMPUTED_VALUE"""),"Bob Hercules, Rita Coburn Whack")</f>
        <v>Bob Hercules, Rita Coburn Whack</v>
      </c>
      <c r="V3822" s="5" t="s">
        <v>20739</v>
      </c>
      <c r="W3822" s="5" t="str">
        <f t="shared" si="3"/>
        <v>Seiji Mizushima</v>
      </c>
      <c r="X3822" s="5">
        <f t="shared" si="4"/>
        <v>1</v>
      </c>
      <c r="Y3822" s="5" t="str">
        <f>IFERROR(__xludf.DUMMYFUNCTION("REGEXEXTRACT(J3822, ""^\d+"")"),"94")</f>
        <v>94</v>
      </c>
      <c r="Z3822" s="5" t="str">
        <f>IFERROR(__xludf.DUMMYFUNCTION("REGEXEXTRACT(J3822, ""[A-Za-z ]+$"")")," min")</f>
        <v> min</v>
      </c>
      <c r="AA3822" s="5" t="str">
        <f>IFERROR(__xludf.DUMMYFUNCTION("IF(REGEXMATCH(Z3822, ""Season""), ""TV Show"", ""Movie"")"),"Movie")</f>
        <v>Movie</v>
      </c>
    </row>
    <row r="3823">
      <c r="A3823" s="1" t="s">
        <v>20740</v>
      </c>
      <c r="B3823" s="1" t="s">
        <v>37</v>
      </c>
      <c r="C3823" s="1" t="s">
        <v>20741</v>
      </c>
      <c r="E3823" s="1" t="s">
        <v>20742</v>
      </c>
      <c r="F3823" s="1" t="s">
        <v>96</v>
      </c>
      <c r="G3823" s="7">
        <v>43600.0</v>
      </c>
      <c r="H3823" s="1">
        <v>2017.0</v>
      </c>
      <c r="I3823" s="1" t="s">
        <v>206</v>
      </c>
      <c r="J3823" s="1" t="s">
        <v>51</v>
      </c>
      <c r="K3823" s="1" t="s">
        <v>8845</v>
      </c>
      <c r="L3823" s="1" t="s">
        <v>20743</v>
      </c>
      <c r="M3823" s="2" t="s">
        <v>12</v>
      </c>
      <c r="N3823" s="4">
        <f t="shared" si="1"/>
        <v>43600</v>
      </c>
      <c r="O3823" s="5" t="str">
        <f>IFERROR(__xludf.DUMMYFUNCTION("IF(REGEXMATCH(TRIM(I3823), ""^\d+\s*min""), ""Unclassified"", IF(I3823 = """", ""NR"", I3823))"),"TV-Y")</f>
        <v>TV-Y</v>
      </c>
      <c r="R3823" s="5" t="str">
        <f t="shared" si="2"/>
        <v>Dennis And Gnasher Unleashed</v>
      </c>
      <c r="S3823" s="5" t="str">
        <f>IFERROR(__xludf.DUMMYFUNCTION("""COMPUTED_VALUE"""),"Kingdom: Ashin Of The North")</f>
        <v>Kingdom: Ashin Of The North</v>
      </c>
      <c r="U3823" s="5" t="str">
        <f>IFERROR(__xludf.DUMMYFUNCTION("""COMPUTED_VALUE"""),"Samuel D. Pollard")</f>
        <v>Samuel D. Pollard</v>
      </c>
      <c r="V3823" s="5" t="s">
        <v>11388</v>
      </c>
      <c r="W3823" s="5" t="str">
        <f t="shared" si="3"/>
        <v>Sekhar Kammula</v>
      </c>
      <c r="X3823" s="5">
        <f t="shared" si="4"/>
        <v>2</v>
      </c>
      <c r="Y3823" s="5" t="str">
        <f>IFERROR(__xludf.DUMMYFUNCTION("REGEXEXTRACT(J3823, ""^\d+"")"),"1")</f>
        <v>1</v>
      </c>
      <c r="Z3823" s="5" t="str">
        <f>IFERROR(__xludf.DUMMYFUNCTION("REGEXEXTRACT(J3823, ""[A-Za-z ]+$"")")," Season")</f>
        <v> Season</v>
      </c>
      <c r="AA3823" s="5" t="str">
        <f>IFERROR(__xludf.DUMMYFUNCTION("IF(REGEXMATCH(Z3823, ""Season""), ""TV Show"", ""Movie"")"),"TV Show")</f>
        <v>TV Show</v>
      </c>
    </row>
    <row r="3824">
      <c r="A3824" s="1" t="s">
        <v>20744</v>
      </c>
      <c r="B3824" s="1" t="s">
        <v>27</v>
      </c>
      <c r="C3824" s="1" t="s">
        <v>20745</v>
      </c>
      <c r="D3824" s="1" t="s">
        <v>694</v>
      </c>
      <c r="E3824" s="1" t="s">
        <v>20746</v>
      </c>
      <c r="F3824" s="1" t="s">
        <v>63</v>
      </c>
      <c r="G3824" s="7">
        <v>43600.0</v>
      </c>
      <c r="H3824" s="1">
        <v>2018.0</v>
      </c>
      <c r="I3824" s="1" t="s">
        <v>42</v>
      </c>
      <c r="J3824" s="1" t="s">
        <v>912</v>
      </c>
      <c r="K3824" s="1" t="s">
        <v>89</v>
      </c>
      <c r="L3824" s="1" t="s">
        <v>20747</v>
      </c>
      <c r="M3824" s="2" t="s">
        <v>12</v>
      </c>
      <c r="N3824" s="4">
        <f t="shared" si="1"/>
        <v>43600</v>
      </c>
      <c r="O3824" s="5" t="str">
        <f>IFERROR(__xludf.DUMMYFUNCTION("IF(REGEXMATCH(TRIM(I3824), ""^\d+\s*min""), ""Unclassified"", IF(I3824 = """", ""NR"", I3824))"),"TV-MA")</f>
        <v>TV-MA</v>
      </c>
      <c r="R3824" s="5" t="str">
        <f t="shared" si="2"/>
        <v>Hamid</v>
      </c>
      <c r="S3824" s="5" t="str">
        <f>IFERROR(__xludf.DUMMYFUNCTION("""COMPUTED_VALUE"""),"Kingdoms Of The Sky")</f>
        <v>Kingdoms Of The Sky</v>
      </c>
      <c r="U3824" s="5" t="str">
        <f>IFERROR(__xludf.DUMMYFUNCTION("""COMPUTED_VALUE"""),"Jesús Magaña Vázquez")</f>
        <v>Jesús Magaña Vázquez</v>
      </c>
      <c r="V3824" s="5" t="s">
        <v>5875</v>
      </c>
      <c r="W3824" s="5" t="str">
        <f t="shared" si="3"/>
        <v>Selçuk Aydemir</v>
      </c>
      <c r="X3824" s="5">
        <f t="shared" si="4"/>
        <v>1</v>
      </c>
      <c r="Y3824" s="5" t="str">
        <f>IFERROR(__xludf.DUMMYFUNCTION("REGEXEXTRACT(J3824, ""^\d+"")"),"108")</f>
        <v>108</v>
      </c>
      <c r="Z3824" s="5" t="str">
        <f>IFERROR(__xludf.DUMMYFUNCTION("REGEXEXTRACT(J3824, ""[A-Za-z ]+$"")")," min")</f>
        <v> min</v>
      </c>
      <c r="AA3824" s="5" t="str">
        <f>IFERROR(__xludf.DUMMYFUNCTION("IF(REGEXMATCH(Z3824, ""Season""), ""TV Show"", ""Movie"")"),"Movie")</f>
        <v>Movie</v>
      </c>
    </row>
    <row r="3825">
      <c r="A3825" s="1" t="s">
        <v>20748</v>
      </c>
      <c r="B3825" s="1" t="s">
        <v>37</v>
      </c>
      <c r="C3825" s="1" t="s">
        <v>20749</v>
      </c>
      <c r="E3825" s="1" t="s">
        <v>20750</v>
      </c>
      <c r="F3825" s="1" t="s">
        <v>1815</v>
      </c>
      <c r="G3825" s="7">
        <v>43600.0</v>
      </c>
      <c r="H3825" s="1">
        <v>2017.0</v>
      </c>
      <c r="I3825" s="1" t="s">
        <v>206</v>
      </c>
      <c r="J3825" s="1" t="s">
        <v>51</v>
      </c>
      <c r="K3825" s="1" t="s">
        <v>18900</v>
      </c>
      <c r="L3825" s="1" t="s">
        <v>20751</v>
      </c>
      <c r="M3825" s="2" t="s">
        <v>12</v>
      </c>
      <c r="N3825" s="4">
        <f t="shared" si="1"/>
        <v>43600</v>
      </c>
      <c r="O3825" s="5" t="str">
        <f>IFERROR(__xludf.DUMMYFUNCTION("IF(REGEXMATCH(TRIM(I3825), ""^\d+\s*min""), ""Unclassified"", IF(I3825 = """", ""NR"", I3825))"),"TV-Y")</f>
        <v>TV-Y</v>
      </c>
      <c r="R3825" s="5" t="str">
        <f t="shared" si="2"/>
        <v>Heidi, Bienvenida A Casa</v>
      </c>
      <c r="S3825" s="5" t="str">
        <f>IFERROR(__xludf.DUMMYFUNCTION("""COMPUTED_VALUE"""),"Kingpin")</f>
        <v>Kingpin</v>
      </c>
      <c r="U3825" s="5" t="str">
        <f>IFERROR(__xludf.DUMMYFUNCTION("""COMPUTED_VALUE"""),"Nathan Morlando")</f>
        <v>Nathan Morlando</v>
      </c>
      <c r="V3825" s="5" t="s">
        <v>5869</v>
      </c>
      <c r="W3825" s="5" t="str">
        <f t="shared" si="3"/>
        <v>Selçuk Aydemir, Birkan Pusa</v>
      </c>
      <c r="X3825" s="5">
        <f t="shared" si="4"/>
        <v>1</v>
      </c>
      <c r="Y3825" s="5" t="str">
        <f>IFERROR(__xludf.DUMMYFUNCTION("REGEXEXTRACT(J3825, ""^\d+"")"),"1")</f>
        <v>1</v>
      </c>
      <c r="Z3825" s="5" t="str">
        <f>IFERROR(__xludf.DUMMYFUNCTION("REGEXEXTRACT(J3825, ""[A-Za-z ]+$"")")," Season")</f>
        <v> Season</v>
      </c>
      <c r="AA3825" s="5" t="str">
        <f>IFERROR(__xludf.DUMMYFUNCTION("IF(REGEXMATCH(Z3825, ""Season""), ""TV Show"", ""Movie"")"),"TV Show")</f>
        <v>TV Show</v>
      </c>
    </row>
    <row r="3826">
      <c r="A3826" s="1" t="s">
        <v>20752</v>
      </c>
      <c r="B3826" s="1" t="s">
        <v>37</v>
      </c>
      <c r="C3826" s="1" t="s">
        <v>20753</v>
      </c>
      <c r="E3826" s="1" t="s">
        <v>20754</v>
      </c>
      <c r="G3826" s="7">
        <v>43600.0</v>
      </c>
      <c r="H3826" s="1">
        <v>2019.0</v>
      </c>
      <c r="I3826" s="1" t="s">
        <v>97</v>
      </c>
      <c r="J3826" s="1" t="s">
        <v>51</v>
      </c>
      <c r="K3826" s="1" t="s">
        <v>1907</v>
      </c>
      <c r="L3826" s="1" t="s">
        <v>20755</v>
      </c>
      <c r="M3826" s="2" t="s">
        <v>12</v>
      </c>
      <c r="N3826" s="4">
        <f t="shared" si="1"/>
        <v>43600</v>
      </c>
      <c r="O3826" s="5" t="str">
        <f>IFERROR(__xludf.DUMMYFUNCTION("IF(REGEXMATCH(TRIM(I3826), ""^\d+\s*min""), ""Unclassified"", IF(I3826 = """", ""NR"", I3826))"),"TV-14")</f>
        <v>TV-14</v>
      </c>
      <c r="R3826" s="5" t="str">
        <f t="shared" si="2"/>
        <v>I Hear You</v>
      </c>
      <c r="S3826" s="5" t="str">
        <f>IFERROR(__xludf.DUMMYFUNCTION("""COMPUTED_VALUE"""),"Kings")</f>
        <v>Kings</v>
      </c>
      <c r="U3826" s="5" t="str">
        <f>IFERROR(__xludf.DUMMYFUNCTION("""COMPUTED_VALUE"""),"Mina Shum")</f>
        <v>Mina Shum</v>
      </c>
      <c r="V3826" s="5" t="s">
        <v>2387</v>
      </c>
      <c r="W3826" s="5" t="str">
        <f t="shared" si="3"/>
        <v>Selçuk Metin</v>
      </c>
      <c r="X3826" s="5">
        <f t="shared" si="4"/>
        <v>1</v>
      </c>
      <c r="Y3826" s="5" t="str">
        <f>IFERROR(__xludf.DUMMYFUNCTION("REGEXEXTRACT(J3826, ""^\d+"")"),"1")</f>
        <v>1</v>
      </c>
      <c r="Z3826" s="5" t="str">
        <f>IFERROR(__xludf.DUMMYFUNCTION("REGEXEXTRACT(J3826, ""[A-Za-z ]+$"")")," Season")</f>
        <v> Season</v>
      </c>
      <c r="AA3826" s="5" t="str">
        <f>IFERROR(__xludf.DUMMYFUNCTION("IF(REGEXMATCH(Z3826, ""Season""), ""TV Show"", ""Movie"")"),"TV Show")</f>
        <v>TV Show</v>
      </c>
    </row>
    <row r="3827">
      <c r="A3827" s="1" t="s">
        <v>20756</v>
      </c>
      <c r="B3827" s="1" t="s">
        <v>27</v>
      </c>
      <c r="C3827" s="1" t="s">
        <v>20757</v>
      </c>
      <c r="D3827" s="1" t="s">
        <v>8567</v>
      </c>
      <c r="E3827" s="1" t="s">
        <v>20758</v>
      </c>
      <c r="F3827" s="1" t="s">
        <v>30</v>
      </c>
      <c r="G3827" s="7">
        <v>43599.0</v>
      </c>
      <c r="H3827" s="1">
        <v>2019.0</v>
      </c>
      <c r="I3827" s="1" t="s">
        <v>378</v>
      </c>
      <c r="J3827" s="1" t="s">
        <v>447</v>
      </c>
      <c r="K3827" s="1" t="s">
        <v>323</v>
      </c>
      <c r="L3827" s="1" t="s">
        <v>20759</v>
      </c>
      <c r="M3827" s="2" t="s">
        <v>12</v>
      </c>
      <c r="N3827" s="4">
        <f t="shared" si="1"/>
        <v>43599</v>
      </c>
      <c r="O3827" s="5" t="str">
        <f>IFERROR(__xludf.DUMMYFUNCTION("IF(REGEXMATCH(TRIM(I3827), ""^\d+\s*min""), ""Unclassified"", IF(I3827 = """", ""NR"", I3827))"),"R")</f>
        <v>R</v>
      </c>
      <c r="R3827" s="5" t="str">
        <f t="shared" si="2"/>
        <v>Backdraft 2</v>
      </c>
      <c r="S3827" s="5" t="str">
        <f>IFERROR(__xludf.DUMMYFUNCTION("""COMPUTED_VALUE"""),"Kings Of Jo'Burg")</f>
        <v>Kings Of Jo'Burg</v>
      </c>
      <c r="U3827" s="5" t="str">
        <f>IFERROR(__xludf.DUMMYFUNCTION("""COMPUTED_VALUE"""),"Jacek Koprowicz")</f>
        <v>Jacek Koprowicz</v>
      </c>
      <c r="V3827" s="5" t="s">
        <v>20760</v>
      </c>
      <c r="W3827" s="5" t="str">
        <f t="shared" si="3"/>
        <v>Selima Taibi</v>
      </c>
      <c r="X3827" s="5">
        <f t="shared" si="4"/>
        <v>1</v>
      </c>
      <c r="Y3827" s="5" t="str">
        <f>IFERROR(__xludf.DUMMYFUNCTION("REGEXEXTRACT(J3827, ""^\d+"")"),"102")</f>
        <v>102</v>
      </c>
      <c r="Z3827" s="5" t="str">
        <f>IFERROR(__xludf.DUMMYFUNCTION("REGEXEXTRACT(J3827, ""[A-Za-z ]+$"")")," min")</f>
        <v> min</v>
      </c>
      <c r="AA3827" s="5" t="str">
        <f>IFERROR(__xludf.DUMMYFUNCTION("IF(REGEXMATCH(Z3827, ""Season""), ""TV Show"", ""Movie"")"),"Movie")</f>
        <v>Movie</v>
      </c>
    </row>
    <row r="3828">
      <c r="A3828" s="1" t="s">
        <v>20761</v>
      </c>
      <c r="B3828" s="1" t="s">
        <v>37</v>
      </c>
      <c r="C3828" s="1" t="s">
        <v>20762</v>
      </c>
      <c r="E3828" s="1" t="s">
        <v>20763</v>
      </c>
      <c r="F3828" s="1" t="s">
        <v>415</v>
      </c>
      <c r="G3828" s="7">
        <v>43599.0</v>
      </c>
      <c r="H3828" s="1">
        <v>2018.0</v>
      </c>
      <c r="I3828" s="1" t="s">
        <v>97</v>
      </c>
      <c r="J3828" s="1" t="s">
        <v>51</v>
      </c>
      <c r="K3828" s="1" t="s">
        <v>567</v>
      </c>
      <c r="L3828" s="1" t="s">
        <v>20764</v>
      </c>
      <c r="M3828" s="2" t="s">
        <v>12</v>
      </c>
      <c r="N3828" s="4">
        <f t="shared" si="1"/>
        <v>43599</v>
      </c>
      <c r="O3828" s="5" t="str">
        <f>IFERROR(__xludf.DUMMYFUNCTION("IF(REGEXMATCH(TRIM(I3828), ""^\d+\s*min""), ""Unclassified"", IF(I3828 = """", ""NR"", I3828))"),"TV-14")</f>
        <v>TV-14</v>
      </c>
      <c r="R3828" s="5" t="str">
        <f t="shared" si="2"/>
        <v>Revisions</v>
      </c>
      <c r="S3828" s="5" t="str">
        <f>IFERROR(__xludf.DUMMYFUNCTION("""COMPUTED_VALUE"""),"Kingsglaive: Final Fantasy Xv")</f>
        <v>Kingsglaive: Final Fantasy Xv</v>
      </c>
      <c r="U3828" s="5" t="str">
        <f>IFERROR(__xludf.DUMMYFUNCTION("""COMPUTED_VALUE"""),"Paul Berczeller, Mark Radice")</f>
        <v>Paul Berczeller, Mark Radice</v>
      </c>
      <c r="V3828" s="5" t="s">
        <v>20765</v>
      </c>
      <c r="W3828" s="5" t="str">
        <f t="shared" si="3"/>
        <v>Selvamani Selvaraj</v>
      </c>
      <c r="X3828" s="5">
        <f t="shared" si="4"/>
        <v>1</v>
      </c>
      <c r="Y3828" s="5" t="str">
        <f>IFERROR(__xludf.DUMMYFUNCTION("REGEXEXTRACT(J3828, ""^\d+"")"),"1")</f>
        <v>1</v>
      </c>
      <c r="Z3828" s="5" t="str">
        <f>IFERROR(__xludf.DUMMYFUNCTION("REGEXEXTRACT(J3828, ""[A-Za-z ]+$"")")," Season")</f>
        <v> Season</v>
      </c>
      <c r="AA3828" s="5" t="str">
        <f>IFERROR(__xludf.DUMMYFUNCTION("IF(REGEXMATCH(Z3828, ""Season""), ""TV Show"", ""Movie"")"),"TV Show")</f>
        <v>TV Show</v>
      </c>
    </row>
    <row r="3829">
      <c r="A3829" s="1" t="s">
        <v>20766</v>
      </c>
      <c r="B3829" s="1" t="s">
        <v>27</v>
      </c>
      <c r="C3829" s="1" t="s">
        <v>20767</v>
      </c>
      <c r="E3829" s="1" t="s">
        <v>20768</v>
      </c>
      <c r="F3829" s="1" t="s">
        <v>30</v>
      </c>
      <c r="G3829" s="7">
        <v>43599.0</v>
      </c>
      <c r="H3829" s="1">
        <v>2019.0</v>
      </c>
      <c r="I3829" s="1" t="s">
        <v>42</v>
      </c>
      <c r="J3829" s="1" t="s">
        <v>207</v>
      </c>
      <c r="K3829" s="1" t="s">
        <v>239</v>
      </c>
      <c r="L3829" s="1" t="s">
        <v>20769</v>
      </c>
      <c r="M3829" s="2" t="s">
        <v>12</v>
      </c>
      <c r="N3829" s="4">
        <f t="shared" si="1"/>
        <v>43599</v>
      </c>
      <c r="O3829" s="5" t="str">
        <f>IFERROR(__xludf.DUMMYFUNCTION("IF(REGEXMATCH(TRIM(I3829), ""^\d+\s*min""), ""Unclassified"", IF(I3829 = """", ""NR"", I3829))"),"TV-MA")</f>
        <v>TV-MA</v>
      </c>
      <c r="R3829" s="5" t="str">
        <f t="shared" si="2"/>
        <v>Still Laugh-In: The Stars Celebrate</v>
      </c>
      <c r="S3829" s="5" t="str">
        <f>IFERROR(__xludf.DUMMYFUNCTION("""COMPUTED_VALUE"""),"Kipo And The Age Of Wonderbeasts")</f>
        <v>Kipo And The Age Of Wonderbeasts</v>
      </c>
      <c r="U3829" s="5" t="str">
        <f>IFERROR(__xludf.DUMMYFUNCTION("""COMPUTED_VALUE"""),"Binu Ulahhannan")</f>
        <v>Binu Ulahhannan</v>
      </c>
      <c r="V3829" s="5" t="s">
        <v>2969</v>
      </c>
      <c r="W3829" s="5" t="str">
        <f t="shared" si="3"/>
        <v>Semi Chellas</v>
      </c>
      <c r="X3829" s="5">
        <f t="shared" si="4"/>
        <v>1</v>
      </c>
      <c r="Y3829" s="5" t="str">
        <f>IFERROR(__xludf.DUMMYFUNCTION("REGEXEXTRACT(J3829, ""^\d+"")"),"61")</f>
        <v>61</v>
      </c>
      <c r="Z3829" s="5" t="str">
        <f>IFERROR(__xludf.DUMMYFUNCTION("REGEXEXTRACT(J3829, ""[A-Za-z ]+$"")")," min")</f>
        <v> min</v>
      </c>
      <c r="AA3829" s="5" t="str">
        <f>IFERROR(__xludf.DUMMYFUNCTION("IF(REGEXMATCH(Z3829, ""Season""), ""TV Show"", ""Movie"")"),"Movie")</f>
        <v>Movie</v>
      </c>
    </row>
    <row r="3830">
      <c r="A3830" s="1" t="s">
        <v>20770</v>
      </c>
      <c r="B3830" s="1" t="s">
        <v>27</v>
      </c>
      <c r="C3830" s="1" t="s">
        <v>20771</v>
      </c>
      <c r="D3830" s="1" t="s">
        <v>184</v>
      </c>
      <c r="F3830" s="1" t="s">
        <v>30</v>
      </c>
      <c r="G3830" s="7">
        <v>43599.0</v>
      </c>
      <c r="H3830" s="1">
        <v>2018.0</v>
      </c>
      <c r="I3830" s="1" t="s">
        <v>42</v>
      </c>
      <c r="J3830" s="1" t="s">
        <v>170</v>
      </c>
      <c r="K3830" s="1" t="s">
        <v>34</v>
      </c>
      <c r="L3830" s="1" t="s">
        <v>20772</v>
      </c>
      <c r="M3830" s="2" t="s">
        <v>12</v>
      </c>
      <c r="N3830" s="4">
        <f t="shared" si="1"/>
        <v>43599</v>
      </c>
      <c r="O3830" s="5" t="str">
        <f>IFERROR(__xludf.DUMMYFUNCTION("IF(REGEXMATCH(TRIM(I3830), ""^\d+\s*min""), ""Unclassified"", IF(I3830 = """", ""NR"", I3830))"),"TV-MA")</f>
        <v>TV-MA</v>
      </c>
      <c r="R3830" s="5" t="str">
        <f t="shared" si="2"/>
        <v>Weed The People</v>
      </c>
      <c r="S3830" s="5" t="str">
        <f>IFERROR(__xludf.DUMMYFUNCTION("""COMPUTED_VALUE"""),"Kis Kisko Pyaar Karoon")</f>
        <v>Kis Kisko Pyaar Karoon</v>
      </c>
      <c r="U3830" s="5" t="str">
        <f>IFERROR(__xludf.DUMMYFUNCTION("""COMPUTED_VALUE"""),"Bob Odenkirk")</f>
        <v>Bob Odenkirk</v>
      </c>
      <c r="V3830" s="5" t="s">
        <v>5886</v>
      </c>
      <c r="W3830" s="5" t="str">
        <f t="shared" si="3"/>
        <v>Şenol Sönmez</v>
      </c>
      <c r="X3830" s="5">
        <f t="shared" si="4"/>
        <v>2</v>
      </c>
      <c r="Y3830" s="5" t="str">
        <f>IFERROR(__xludf.DUMMYFUNCTION("REGEXEXTRACT(J3830, ""^\d+"")"),"94")</f>
        <v>94</v>
      </c>
      <c r="Z3830" s="5" t="str">
        <f>IFERROR(__xludf.DUMMYFUNCTION("REGEXEXTRACT(J3830, ""[A-Za-z ]+$"")")," min")</f>
        <v> min</v>
      </c>
      <c r="AA3830" s="5" t="str">
        <f>IFERROR(__xludf.DUMMYFUNCTION("IF(REGEXMATCH(Z3830, ""Season""), ""TV Show"", ""Movie"")"),"Movie")</f>
        <v>Movie</v>
      </c>
    </row>
    <row r="3831">
      <c r="A3831" s="1" t="s">
        <v>20773</v>
      </c>
      <c r="B3831" s="1" t="s">
        <v>27</v>
      </c>
      <c r="C3831" s="1" t="s">
        <v>20774</v>
      </c>
      <c r="D3831" s="1" t="s">
        <v>12353</v>
      </c>
      <c r="E3831" s="1" t="s">
        <v>20775</v>
      </c>
      <c r="F3831" s="1" t="s">
        <v>30</v>
      </c>
      <c r="G3831" s="7">
        <v>43598.0</v>
      </c>
      <c r="H3831" s="1">
        <v>2019.0</v>
      </c>
      <c r="I3831" s="1" t="s">
        <v>506</v>
      </c>
      <c r="J3831" s="1" t="s">
        <v>1583</v>
      </c>
      <c r="K3831" s="1" t="s">
        <v>137</v>
      </c>
      <c r="L3831" s="1" t="s">
        <v>20776</v>
      </c>
      <c r="M3831" s="2" t="s">
        <v>12</v>
      </c>
      <c r="N3831" s="4">
        <f t="shared" si="1"/>
        <v>43598</v>
      </c>
      <c r="O3831" s="5" t="str">
        <f>IFERROR(__xludf.DUMMYFUNCTION("IF(REGEXMATCH(TRIM(I3831), ""^\d+\s*min""), ""Unclassified"", IF(I3831 = """", ""NR"", I3831))"),"TV-G")</f>
        <v>TV-G</v>
      </c>
      <c r="R3831" s="5" t="str">
        <f t="shared" si="2"/>
        <v>Malibu Rescue</v>
      </c>
      <c r="S3831" s="5" t="str">
        <f>IFERROR(__xludf.DUMMYFUNCTION("""COMPUTED_VALUE"""),"Kisaan")</f>
        <v>Kisaan</v>
      </c>
      <c r="U3831" s="5" t="str">
        <f>IFERROR(__xludf.DUMMYFUNCTION("""COMPUTED_VALUE"""),"Shin-Yeon Won")</f>
        <v>Shin-Yeon Won</v>
      </c>
      <c r="V3831" s="5" t="s">
        <v>20777</v>
      </c>
      <c r="W3831" s="5" t="str">
        <f t="shared" si="3"/>
        <v>Serdar Akar</v>
      </c>
      <c r="X3831" s="5">
        <f t="shared" si="4"/>
        <v>1</v>
      </c>
      <c r="Y3831" s="5" t="str">
        <f>IFERROR(__xludf.DUMMYFUNCTION("REGEXEXTRACT(J3831, ""^\d+"")"),"70")</f>
        <v>70</v>
      </c>
      <c r="Z3831" s="5" t="str">
        <f>IFERROR(__xludf.DUMMYFUNCTION("REGEXEXTRACT(J3831, ""[A-Za-z ]+$"")")," min")</f>
        <v> min</v>
      </c>
      <c r="AA3831" s="5" t="str">
        <f>IFERROR(__xludf.DUMMYFUNCTION("IF(REGEXMATCH(Z3831, ""Season""), ""TV Show"", ""Movie"")"),"Movie")</f>
        <v>Movie</v>
      </c>
    </row>
    <row r="3832">
      <c r="A3832" s="1" t="s">
        <v>20778</v>
      </c>
      <c r="B3832" s="1" t="s">
        <v>27</v>
      </c>
      <c r="C3832" s="1" t="s">
        <v>20779</v>
      </c>
      <c r="D3832" s="1" t="s">
        <v>9283</v>
      </c>
      <c r="E3832" s="1" t="s">
        <v>9283</v>
      </c>
      <c r="F3832" s="1" t="s">
        <v>2715</v>
      </c>
      <c r="G3832" s="7">
        <v>43597.0</v>
      </c>
      <c r="H3832" s="1">
        <v>2018.0</v>
      </c>
      <c r="I3832" s="1" t="s">
        <v>97</v>
      </c>
      <c r="J3832" s="1" t="s">
        <v>428</v>
      </c>
      <c r="K3832" s="1" t="s">
        <v>34</v>
      </c>
      <c r="L3832" s="1" t="s">
        <v>20780</v>
      </c>
      <c r="M3832" s="2" t="s">
        <v>12</v>
      </c>
      <c r="N3832" s="4">
        <f t="shared" si="1"/>
        <v>43597</v>
      </c>
      <c r="O3832" s="5" t="str">
        <f>IFERROR(__xludf.DUMMYFUNCTION("IF(REGEXMATCH(TRIM(I3832), ""^\d+\s*min""), ""Unclassified"", IF(I3832 = """", ""NR"", I3832))"),"TV-14")</f>
        <v>TV-14</v>
      </c>
      <c r="R3832" s="5" t="str">
        <f t="shared" si="2"/>
        <v>Merata: How Mum Decolonised The Screen</v>
      </c>
      <c r="S3832" s="5" t="str">
        <f>IFERROR(__xludf.DUMMYFUNCTION("""COMPUTED_VALUE"""),"Kismat Konnection")</f>
        <v>Kismat Konnection</v>
      </c>
      <c r="U3832" s="5" t="str">
        <f>IFERROR(__xludf.DUMMYFUNCTION("""COMPUTED_VALUE"""),"Janet Tobias, Claus Wehlisch")</f>
        <v>Janet Tobias, Claus Wehlisch</v>
      </c>
      <c r="V3832" s="5" t="s">
        <v>20781</v>
      </c>
      <c r="W3832" s="5" t="str">
        <f t="shared" si="3"/>
        <v>Seren Yüce</v>
      </c>
      <c r="X3832" s="5">
        <f t="shared" si="4"/>
        <v>1</v>
      </c>
      <c r="Y3832" s="5" t="str">
        <f>IFERROR(__xludf.DUMMYFUNCTION("REGEXEXTRACT(J3832, ""^\d+"")"),"88")</f>
        <v>88</v>
      </c>
      <c r="Z3832" s="5" t="str">
        <f>IFERROR(__xludf.DUMMYFUNCTION("REGEXEXTRACT(J3832, ""[A-Za-z ]+$"")")," min")</f>
        <v> min</v>
      </c>
      <c r="AA3832" s="5" t="str">
        <f>IFERROR(__xludf.DUMMYFUNCTION("IF(REGEXMATCH(Z3832, ""Season""), ""TV Show"", ""Movie"")"),"Movie")</f>
        <v>Movie</v>
      </c>
    </row>
    <row r="3833">
      <c r="A3833" s="1" t="s">
        <v>20782</v>
      </c>
      <c r="B3833" s="1" t="s">
        <v>37</v>
      </c>
      <c r="C3833" s="1" t="s">
        <v>20783</v>
      </c>
      <c r="E3833" s="1" t="s">
        <v>20784</v>
      </c>
      <c r="F3833" s="1" t="s">
        <v>1064</v>
      </c>
      <c r="G3833" s="7">
        <v>43597.0</v>
      </c>
      <c r="H3833" s="1">
        <v>2019.0</v>
      </c>
      <c r="I3833" s="1" t="s">
        <v>97</v>
      </c>
      <c r="J3833" s="1" t="s">
        <v>51</v>
      </c>
      <c r="K3833" s="1" t="s">
        <v>1362</v>
      </c>
      <c r="L3833" s="1" t="s">
        <v>20785</v>
      </c>
      <c r="M3833" s="2" t="s">
        <v>12</v>
      </c>
      <c r="N3833" s="4">
        <f t="shared" si="1"/>
        <v>43597</v>
      </c>
      <c r="O3833" s="5" t="str">
        <f>IFERROR(__xludf.DUMMYFUNCTION("IF(REGEXMATCH(TRIM(I3833), ""^\d+\s*min""), ""Unclassified"", IF(I3833 = """", ""NR"", I3833))"),"TV-14")</f>
        <v>TV-14</v>
      </c>
      <c r="R3833" s="5" t="str">
        <f t="shared" si="2"/>
        <v>The Defected</v>
      </c>
      <c r="S3833" s="5" t="str">
        <f>IFERROR(__xludf.DUMMYFUNCTION("""COMPUTED_VALUE"""),"Kiss &amp; Cry")</f>
        <v>Kiss &amp; Cry</v>
      </c>
      <c r="U3833" s="5" t="str">
        <f>IFERROR(__xludf.DUMMYFUNCTION("""COMPUTED_VALUE"""),"Barry Sonnenfeld")</f>
        <v>Barry Sonnenfeld</v>
      </c>
      <c r="V3833" s="5" t="s">
        <v>17673</v>
      </c>
      <c r="W3833" s="5" t="str">
        <f t="shared" si="3"/>
        <v>Serge Ou</v>
      </c>
      <c r="X3833" s="5">
        <f t="shared" si="4"/>
        <v>1</v>
      </c>
      <c r="Y3833" s="5" t="str">
        <f>IFERROR(__xludf.DUMMYFUNCTION("REGEXEXTRACT(J3833, ""^\d+"")"),"1")</f>
        <v>1</v>
      </c>
      <c r="Z3833" s="5" t="str">
        <f>IFERROR(__xludf.DUMMYFUNCTION("REGEXEXTRACT(J3833, ""[A-Za-z ]+$"")")," Season")</f>
        <v> Season</v>
      </c>
      <c r="AA3833" s="5" t="str">
        <f>IFERROR(__xludf.DUMMYFUNCTION("IF(REGEXMATCH(Z3833, ""Season""), ""TV Show"", ""Movie"")"),"TV Show")</f>
        <v>TV Show</v>
      </c>
    </row>
    <row r="3834">
      <c r="A3834" s="1" t="s">
        <v>20786</v>
      </c>
      <c r="B3834" s="1" t="s">
        <v>27</v>
      </c>
      <c r="C3834" s="1" t="s">
        <v>20787</v>
      </c>
      <c r="D3834" s="1" t="s">
        <v>4519</v>
      </c>
      <c r="E3834" s="1" t="s">
        <v>20788</v>
      </c>
      <c r="F3834" s="1" t="s">
        <v>20789</v>
      </c>
      <c r="G3834" s="7">
        <v>43596.0</v>
      </c>
      <c r="H3834" s="1">
        <v>2018.0</v>
      </c>
      <c r="I3834" s="1" t="s">
        <v>42</v>
      </c>
      <c r="J3834" s="1" t="s">
        <v>433</v>
      </c>
      <c r="K3834" s="1" t="s">
        <v>89</v>
      </c>
      <c r="L3834" s="1" t="s">
        <v>20790</v>
      </c>
      <c r="M3834" s="2" t="s">
        <v>12</v>
      </c>
      <c r="N3834" s="4">
        <f t="shared" si="1"/>
        <v>43596</v>
      </c>
      <c r="O3834" s="5" t="str">
        <f>IFERROR(__xludf.DUMMYFUNCTION("IF(REGEXMATCH(TRIM(I3834), ""^\d+\s*min""), ""Unclassified"", IF(I3834 = """", ""NR"", I3834))"),"TV-MA")</f>
        <v>TV-MA</v>
      </c>
      <c r="R3834" s="5" t="str">
        <f t="shared" si="2"/>
        <v>Dry Martina</v>
      </c>
      <c r="S3834" s="5" t="str">
        <f>IFERROR(__xludf.DUMMYFUNCTION("""COMPUTED_VALUE"""),"Kiss Me First")</f>
        <v>Kiss Me First</v>
      </c>
      <c r="U3834" s="5" t="str">
        <f>IFERROR(__xludf.DUMMYFUNCTION("""COMPUTED_VALUE"""),"John Barnard")</f>
        <v>John Barnard</v>
      </c>
      <c r="V3834" s="5" t="s">
        <v>12123</v>
      </c>
      <c r="W3834" s="5" t="str">
        <f t="shared" si="3"/>
        <v>Sergei Bodrov</v>
      </c>
      <c r="X3834" s="5">
        <f t="shared" si="4"/>
        <v>1</v>
      </c>
      <c r="Y3834" s="5" t="str">
        <f>IFERROR(__xludf.DUMMYFUNCTION("REGEXEXTRACT(J3834, ""^\d+"")"),"100")</f>
        <v>100</v>
      </c>
      <c r="Z3834" s="5" t="str">
        <f>IFERROR(__xludf.DUMMYFUNCTION("REGEXEXTRACT(J3834, ""[A-Za-z ]+$"")")," min")</f>
        <v> min</v>
      </c>
      <c r="AA3834" s="5" t="str">
        <f>IFERROR(__xludf.DUMMYFUNCTION("IF(REGEXMATCH(Z3834, ""Season""), ""TV Show"", ""Movie"")"),"Movie")</f>
        <v>Movie</v>
      </c>
    </row>
    <row r="3835">
      <c r="A3835" s="1" t="s">
        <v>20791</v>
      </c>
      <c r="B3835" s="1" t="s">
        <v>27</v>
      </c>
      <c r="C3835" s="1" t="s">
        <v>20792</v>
      </c>
      <c r="D3835" s="1" t="s">
        <v>10473</v>
      </c>
      <c r="E3835" s="1" t="s">
        <v>20793</v>
      </c>
      <c r="F3835" s="1" t="s">
        <v>664</v>
      </c>
      <c r="G3835" s="7">
        <v>43596.0</v>
      </c>
      <c r="H3835" s="1">
        <v>2019.0</v>
      </c>
      <c r="I3835" s="1" t="s">
        <v>42</v>
      </c>
      <c r="J3835" s="1" t="s">
        <v>264</v>
      </c>
      <c r="K3835" s="1" t="s">
        <v>89</v>
      </c>
      <c r="L3835" s="1" t="s">
        <v>20794</v>
      </c>
      <c r="M3835" s="2" t="s">
        <v>12</v>
      </c>
      <c r="N3835" s="4">
        <f t="shared" si="1"/>
        <v>43596</v>
      </c>
      <c r="O3835" s="5" t="str">
        <f>IFERROR(__xludf.DUMMYFUNCTION("IF(REGEXMATCH(TRIM(I3835), ""^\d+\s*min""), ""Unclassified"", IF(I3835 = """", ""NR"", I3835))"),"TV-MA")</f>
        <v>TV-MA</v>
      </c>
      <c r="R3835" s="5" t="str">
        <f t="shared" si="2"/>
        <v>Shéhérazade</v>
      </c>
      <c r="S3835" s="5" t="str">
        <f>IFERROR(__xludf.DUMMYFUNCTION("""COMPUTED_VALUE"""),"Kiss The Girls")</f>
        <v>Kiss The Girls</v>
      </c>
      <c r="U3835" s="5" t="str">
        <f>IFERROR(__xludf.DUMMYFUNCTION("""COMPUTED_VALUE"""),"Santosh Manjrekar")</f>
        <v>Santosh Manjrekar</v>
      </c>
      <c r="V3835" s="5" t="s">
        <v>20795</v>
      </c>
      <c r="W3835" s="5" t="str">
        <f t="shared" si="3"/>
        <v>Sergio Barrejón</v>
      </c>
      <c r="X3835" s="5">
        <f t="shared" si="4"/>
        <v>1</v>
      </c>
      <c r="Y3835" s="5" t="str">
        <f>IFERROR(__xludf.DUMMYFUNCTION("REGEXEXTRACT(J3835, ""^\d+"")"),"111")</f>
        <v>111</v>
      </c>
      <c r="Z3835" s="5" t="str">
        <f>IFERROR(__xludf.DUMMYFUNCTION("REGEXEXTRACT(J3835, ""[A-Za-z ]+$"")")," min")</f>
        <v> min</v>
      </c>
      <c r="AA3835" s="5" t="str">
        <f>IFERROR(__xludf.DUMMYFUNCTION("IF(REGEXMATCH(Z3835, ""Season""), ""TV Show"", ""Movie"")"),"Movie")</f>
        <v>Movie</v>
      </c>
    </row>
    <row r="3836">
      <c r="A3836" s="1" t="s">
        <v>20796</v>
      </c>
      <c r="B3836" s="1" t="s">
        <v>27</v>
      </c>
      <c r="C3836" s="1" t="s">
        <v>20797</v>
      </c>
      <c r="D3836" s="1" t="s">
        <v>20798</v>
      </c>
      <c r="E3836" s="1" t="s">
        <v>20799</v>
      </c>
      <c r="F3836" s="1" t="s">
        <v>12646</v>
      </c>
      <c r="G3836" s="7">
        <v>43596.0</v>
      </c>
      <c r="H3836" s="1">
        <v>2011.0</v>
      </c>
      <c r="I3836" s="1" t="s">
        <v>97</v>
      </c>
      <c r="J3836" s="1" t="s">
        <v>757</v>
      </c>
      <c r="K3836" s="1" t="s">
        <v>617</v>
      </c>
      <c r="L3836" s="1" t="s">
        <v>20800</v>
      </c>
      <c r="M3836" s="2" t="s">
        <v>12</v>
      </c>
      <c r="N3836" s="4">
        <f t="shared" si="1"/>
        <v>43596</v>
      </c>
      <c r="O3836" s="5" t="str">
        <f>IFERROR(__xludf.DUMMYFUNCTION("IF(REGEXMATCH(TRIM(I3836), ""^\d+\s*min""), ""Unclassified"", IF(I3836 = """", ""NR"", I3836))"),"TV-14")</f>
        <v>TV-14</v>
      </c>
      <c r="R3836" s="5" t="str">
        <f t="shared" si="2"/>
        <v>The Great Magician</v>
      </c>
      <c r="S3836" s="5" t="str">
        <f>IFERROR(__xludf.DUMMYFUNCTION("""COMPUTED_VALUE"""),"Kiss The Ground")</f>
        <v>Kiss The Ground</v>
      </c>
      <c r="U3836" s="5" t="str">
        <f>IFERROR(__xludf.DUMMYFUNCTION("""COMPUTED_VALUE"""),"Bharat Nalluri")</f>
        <v>Bharat Nalluri</v>
      </c>
      <c r="V3836" s="5" t="s">
        <v>1160</v>
      </c>
      <c r="W3836" s="5" t="str">
        <f t="shared" si="3"/>
        <v>Sergio Leone</v>
      </c>
      <c r="X3836" s="5">
        <f t="shared" si="4"/>
        <v>2</v>
      </c>
      <c r="Y3836" s="5" t="str">
        <f>IFERROR(__xludf.DUMMYFUNCTION("REGEXEXTRACT(J3836, ""^\d+"")"),"128")</f>
        <v>128</v>
      </c>
      <c r="Z3836" s="5" t="str">
        <f>IFERROR(__xludf.DUMMYFUNCTION("REGEXEXTRACT(J3836, ""[A-Za-z ]+$"")")," min")</f>
        <v> min</v>
      </c>
      <c r="AA3836" s="5" t="str">
        <f>IFERROR(__xludf.DUMMYFUNCTION("IF(REGEXMATCH(Z3836, ""Season""), ""TV Show"", ""Movie"")"),"Movie")</f>
        <v>Movie</v>
      </c>
    </row>
    <row r="3837">
      <c r="A3837" s="1" t="s">
        <v>20801</v>
      </c>
      <c r="B3837" s="1" t="s">
        <v>37</v>
      </c>
      <c r="C3837" s="1" t="s">
        <v>20802</v>
      </c>
      <c r="E3837" s="1" t="s">
        <v>20803</v>
      </c>
      <c r="F3837" s="1" t="s">
        <v>30</v>
      </c>
      <c r="G3837" s="7">
        <v>43595.0</v>
      </c>
      <c r="H3837" s="1">
        <v>2019.0</v>
      </c>
      <c r="I3837" s="1" t="s">
        <v>42</v>
      </c>
      <c r="J3837" s="1" t="s">
        <v>276</v>
      </c>
      <c r="K3837" s="1" t="s">
        <v>149</v>
      </c>
      <c r="L3837" s="1" t="s">
        <v>20804</v>
      </c>
      <c r="M3837" s="2" t="s">
        <v>12</v>
      </c>
      <c r="N3837" s="4">
        <f t="shared" si="1"/>
        <v>43595</v>
      </c>
      <c r="O3837" s="5" t="str">
        <f>IFERROR(__xludf.DUMMYFUNCTION("IF(REGEXMATCH(TRIM(I3837), ""^\d+\s*min""), ""Unclassified"", IF(I3837 = """", ""NR"", I3837))"),"TV-MA")</f>
        <v>TV-MA</v>
      </c>
      <c r="R3837" s="5" t="str">
        <f t="shared" si="2"/>
        <v>Easy</v>
      </c>
      <c r="S3837" s="5" t="str">
        <f>IFERROR(__xludf.DUMMYFUNCTION("""COMPUTED_VALUE"""),"Kiss The Series")</f>
        <v>Kiss The Series</v>
      </c>
      <c r="U3837" s="5" t="str">
        <f>IFERROR(__xludf.DUMMYFUNCTION("""COMPUTED_VALUE"""),"Gus Van Sant")</f>
        <v>Gus Van Sant</v>
      </c>
      <c r="V3837" s="5" t="s">
        <v>18068</v>
      </c>
      <c r="W3837" s="5" t="str">
        <f t="shared" si="3"/>
        <v>Sergio Pablos</v>
      </c>
      <c r="X3837" s="5">
        <f t="shared" si="4"/>
        <v>1</v>
      </c>
      <c r="Y3837" s="5" t="str">
        <f>IFERROR(__xludf.DUMMYFUNCTION("REGEXEXTRACT(J3837, ""^\d+"")"),"3")</f>
        <v>3</v>
      </c>
      <c r="Z3837" s="5" t="str">
        <f>IFERROR(__xludf.DUMMYFUNCTION("REGEXEXTRACT(J3837, ""[A-Za-z ]+$"")")," Seasons")</f>
        <v> Seasons</v>
      </c>
      <c r="AA3837" s="5" t="str">
        <f>IFERROR(__xludf.DUMMYFUNCTION("IF(REGEXMATCH(Z3837, ""Season""), ""TV Show"", ""Movie"")"),"TV Show")</f>
        <v>TV Show</v>
      </c>
    </row>
    <row r="3838">
      <c r="A3838" s="1" t="s">
        <v>20805</v>
      </c>
      <c r="B3838" s="1" t="s">
        <v>27</v>
      </c>
      <c r="C3838" s="1" t="s">
        <v>20806</v>
      </c>
      <c r="D3838" s="1" t="s">
        <v>17655</v>
      </c>
      <c r="E3838" s="1" t="s">
        <v>20807</v>
      </c>
      <c r="F3838" s="1" t="s">
        <v>784</v>
      </c>
      <c r="G3838" s="7">
        <v>43595.0</v>
      </c>
      <c r="H3838" s="1">
        <v>2018.0</v>
      </c>
      <c r="I3838" s="1" t="s">
        <v>42</v>
      </c>
      <c r="J3838" s="1" t="s">
        <v>357</v>
      </c>
      <c r="K3838" s="1" t="s">
        <v>583</v>
      </c>
      <c r="L3838" s="1" t="s">
        <v>20808</v>
      </c>
      <c r="M3838" s="2" t="s">
        <v>12</v>
      </c>
      <c r="N3838" s="4">
        <f t="shared" si="1"/>
        <v>43595</v>
      </c>
      <c r="O3838" s="5" t="str">
        <f>IFERROR(__xludf.DUMMYFUNCTION("IF(REGEXMATCH(TRIM(I3838), ""^\d+\s*min""), ""Unclassified"", IF(I3838 = """", ""NR"", I3838))"),"TV-MA")</f>
        <v>TV-MA</v>
      </c>
      <c r="R3838" s="5" t="str">
        <f t="shared" si="2"/>
        <v>In Family I Trust</v>
      </c>
      <c r="S3838" s="5" t="str">
        <f>IFERROR(__xludf.DUMMYFUNCTION("""COMPUTED_VALUE"""),"Kissing Game")</f>
        <v>Kissing Game</v>
      </c>
      <c r="U3838" s="5" t="str">
        <f>IFERROR(__xludf.DUMMYFUNCTION("""COMPUTED_VALUE"""),"Anil Thomas")</f>
        <v>Anil Thomas</v>
      </c>
      <c r="V3838" s="5" t="s">
        <v>14674</v>
      </c>
      <c r="W3838" s="5" t="str">
        <f t="shared" si="3"/>
        <v>Sermiyan Midyat</v>
      </c>
      <c r="X3838" s="5">
        <f t="shared" si="4"/>
        <v>3</v>
      </c>
      <c r="Y3838" s="5" t="str">
        <f>IFERROR(__xludf.DUMMYFUNCTION("REGEXEXTRACT(J3838, ""^\d+"")"),"98")</f>
        <v>98</v>
      </c>
      <c r="Z3838" s="5" t="str">
        <f>IFERROR(__xludf.DUMMYFUNCTION("REGEXEXTRACT(J3838, ""[A-Za-z ]+$"")")," min")</f>
        <v> min</v>
      </c>
      <c r="AA3838" s="5" t="str">
        <f>IFERROR(__xludf.DUMMYFUNCTION("IF(REGEXMATCH(Z3838, ""Season""), ""TV Show"", ""Movie"")"),"Movie")</f>
        <v>Movie</v>
      </c>
    </row>
    <row r="3839">
      <c r="A3839" s="1" t="s">
        <v>20809</v>
      </c>
      <c r="B3839" s="1" t="s">
        <v>37</v>
      </c>
      <c r="C3839" s="1" t="s">
        <v>20810</v>
      </c>
      <c r="G3839" s="7">
        <v>43595.0</v>
      </c>
      <c r="H3839" s="1">
        <v>2019.0</v>
      </c>
      <c r="I3839" s="1" t="s">
        <v>42</v>
      </c>
      <c r="J3839" s="1" t="s">
        <v>51</v>
      </c>
      <c r="K3839" s="1" t="s">
        <v>57</v>
      </c>
      <c r="L3839" s="1" t="s">
        <v>20811</v>
      </c>
      <c r="M3839" s="2" t="s">
        <v>12</v>
      </c>
      <c r="N3839" s="4">
        <f t="shared" si="1"/>
        <v>43595</v>
      </c>
      <c r="O3839" s="5" t="str">
        <f>IFERROR(__xludf.DUMMYFUNCTION("IF(REGEXMATCH(TRIM(I3839), ""^\d+\s*min""), ""Unclassified"", IF(I3839 = """", ""NR"", I3839))"),"TV-MA")</f>
        <v>TV-MA</v>
      </c>
      <c r="R3839" s="5" t="str">
        <f t="shared" si="2"/>
        <v>Jailbirds</v>
      </c>
      <c r="S3839" s="5" t="str">
        <f>IFERROR(__xludf.DUMMYFUNCTION("""COMPUTED_VALUE"""),"Kita Kita")</f>
        <v>Kita Kita</v>
      </c>
      <c r="U3839" s="5" t="str">
        <f>IFERROR(__xludf.DUMMYFUNCTION("""COMPUTED_VALUE"""),"Gavin O'Connor")</f>
        <v>Gavin O'Connor</v>
      </c>
      <c r="V3839" s="5" t="s">
        <v>14461</v>
      </c>
      <c r="W3839" s="5" t="str">
        <f t="shared" si="3"/>
        <v>Seth Barrish</v>
      </c>
      <c r="X3839" s="5">
        <f t="shared" si="4"/>
        <v>2</v>
      </c>
      <c r="Y3839" s="5" t="str">
        <f>IFERROR(__xludf.DUMMYFUNCTION("REGEXEXTRACT(J3839, ""^\d+"")"),"1")</f>
        <v>1</v>
      </c>
      <c r="Z3839" s="5" t="str">
        <f>IFERROR(__xludf.DUMMYFUNCTION("REGEXEXTRACT(J3839, ""[A-Za-z ]+$"")")," Season")</f>
        <v> Season</v>
      </c>
      <c r="AA3839" s="5" t="str">
        <f>IFERROR(__xludf.DUMMYFUNCTION("IF(REGEXMATCH(Z3839, ""Season""), ""TV Show"", ""Movie"")"),"TV Show")</f>
        <v>TV Show</v>
      </c>
    </row>
    <row r="3840">
      <c r="A3840" s="1" t="s">
        <v>20812</v>
      </c>
      <c r="B3840" s="1" t="s">
        <v>37</v>
      </c>
      <c r="C3840" s="1" t="s">
        <v>20813</v>
      </c>
      <c r="E3840" s="1" t="s">
        <v>20814</v>
      </c>
      <c r="F3840" s="1" t="s">
        <v>1992</v>
      </c>
      <c r="G3840" s="7">
        <v>43595.0</v>
      </c>
      <c r="H3840" s="1">
        <v>2019.0</v>
      </c>
      <c r="I3840" s="1" t="s">
        <v>42</v>
      </c>
      <c r="J3840" s="1" t="s">
        <v>43</v>
      </c>
      <c r="K3840" s="1" t="s">
        <v>1362</v>
      </c>
      <c r="L3840" s="1" t="s">
        <v>20815</v>
      </c>
      <c r="M3840" s="2" t="s">
        <v>12</v>
      </c>
      <c r="N3840" s="4">
        <f t="shared" si="1"/>
        <v>43595</v>
      </c>
      <c r="O3840" s="5" t="str">
        <f>IFERROR(__xludf.DUMMYFUNCTION("IF(REGEXMATCH(TRIM(I3840), ""^\d+\s*min""), ""Unclassified"", IF(I3840 = """", ""NR"", I3840))"),"TV-MA")</f>
        <v>TV-MA</v>
      </c>
      <c r="R3840" s="5" t="str">
        <f t="shared" si="2"/>
        <v>The Mechanism</v>
      </c>
      <c r="S3840" s="5" t="str">
        <f>IFERROR(__xludf.DUMMYFUNCTION("""COMPUTED_VALUE"""),"Kitten Rescuers")</f>
        <v>Kitten Rescuers</v>
      </c>
      <c r="U3840" s="5" t="str">
        <f>IFERROR(__xludf.DUMMYFUNCTION("""COMPUTED_VALUE"""),"Keiichi Hara")</f>
        <v>Keiichi Hara</v>
      </c>
      <c r="V3840" s="5" t="s">
        <v>20816</v>
      </c>
      <c r="W3840" s="5" t="str">
        <f t="shared" si="3"/>
        <v>Seth Barrish, Mike Birbiglia</v>
      </c>
      <c r="X3840" s="5">
        <f t="shared" si="4"/>
        <v>1</v>
      </c>
      <c r="Y3840" s="5" t="str">
        <f>IFERROR(__xludf.DUMMYFUNCTION("REGEXEXTRACT(J3840, ""^\d+"")"),"2")</f>
        <v>2</v>
      </c>
      <c r="Z3840" s="5" t="str">
        <f>IFERROR(__xludf.DUMMYFUNCTION("REGEXEXTRACT(J3840, ""[A-Za-z ]+$"")")," Seasons")</f>
        <v> Seasons</v>
      </c>
      <c r="AA3840" s="5" t="str">
        <f>IFERROR(__xludf.DUMMYFUNCTION("IF(REGEXMATCH(Z3840, ""Season""), ""TV Show"", ""Movie"")"),"TV Show")</f>
        <v>TV Show</v>
      </c>
    </row>
    <row r="3841">
      <c r="A3841" s="1" t="s">
        <v>20817</v>
      </c>
      <c r="B3841" s="1" t="s">
        <v>37</v>
      </c>
      <c r="C3841" s="1" t="s">
        <v>20818</v>
      </c>
      <c r="E3841" s="1" t="s">
        <v>20819</v>
      </c>
      <c r="F3841" s="1" t="s">
        <v>3892</v>
      </c>
      <c r="G3841" s="7">
        <v>43595.0</v>
      </c>
      <c r="H3841" s="1">
        <v>2016.0</v>
      </c>
      <c r="I3841" s="1" t="s">
        <v>97</v>
      </c>
      <c r="J3841" s="1" t="s">
        <v>51</v>
      </c>
      <c r="K3841" s="1" t="s">
        <v>1907</v>
      </c>
      <c r="L3841" s="1" t="s">
        <v>20820</v>
      </c>
      <c r="M3841" s="2" t="s">
        <v>12</v>
      </c>
      <c r="N3841" s="4">
        <f t="shared" si="1"/>
        <v>43595</v>
      </c>
      <c r="O3841" s="5" t="str">
        <f>IFERROR(__xludf.DUMMYFUNCTION("IF(REGEXMATCH(TRIM(I3841), ""^\d+\s*min""), ""Unclassified"", IF(I3841 = """", ""NR"", I3841))"),"TV-14")</f>
        <v>TV-14</v>
      </c>
      <c r="R3841" s="5" t="str">
        <f t="shared" si="2"/>
        <v>The Princess Weiyoung</v>
      </c>
      <c r="S3841" s="5" t="str">
        <f>IFERROR(__xludf.DUMMYFUNCTION("""COMPUTED_VALUE"""),"Kitty Love: An Homage To Cats")</f>
        <v>Kitty Love: An Homage To Cats</v>
      </c>
      <c r="U3841" s="5" t="str">
        <f>IFERROR(__xludf.DUMMYFUNCTION("""COMPUTED_VALUE"""),"Liv Ullmann")</f>
        <v>Liv Ullmann</v>
      </c>
      <c r="V3841" s="5" t="s">
        <v>20821</v>
      </c>
      <c r="W3841" s="5" t="str">
        <f t="shared" si="3"/>
        <v>Seth Gordon</v>
      </c>
      <c r="X3841" s="5">
        <f t="shared" si="4"/>
        <v>1</v>
      </c>
      <c r="Y3841" s="5" t="str">
        <f>IFERROR(__xludf.DUMMYFUNCTION("REGEXEXTRACT(J3841, ""^\d+"")"),"1")</f>
        <v>1</v>
      </c>
      <c r="Z3841" s="5" t="str">
        <f>IFERROR(__xludf.DUMMYFUNCTION("REGEXEXTRACT(J3841, ""[A-Za-z ]+$"")")," Season")</f>
        <v> Season</v>
      </c>
      <c r="AA3841" s="5" t="str">
        <f>IFERROR(__xludf.DUMMYFUNCTION("IF(REGEXMATCH(Z3841, ""Season""), ""TV Show"", ""Movie"")"),"TV Show")</f>
        <v>TV Show</v>
      </c>
    </row>
    <row r="3842">
      <c r="A3842" s="1" t="s">
        <v>20822</v>
      </c>
      <c r="B3842" s="1" t="s">
        <v>37</v>
      </c>
      <c r="C3842" s="1" t="s">
        <v>20823</v>
      </c>
      <c r="E3842" s="1" t="s">
        <v>20824</v>
      </c>
      <c r="F3842" s="1" t="s">
        <v>30</v>
      </c>
      <c r="G3842" s="7">
        <v>43595.0</v>
      </c>
      <c r="H3842" s="1">
        <v>2019.0</v>
      </c>
      <c r="I3842" s="1" t="s">
        <v>42</v>
      </c>
      <c r="J3842" s="1" t="s">
        <v>51</v>
      </c>
      <c r="K3842" s="1" t="s">
        <v>2192</v>
      </c>
      <c r="L3842" s="1" t="s">
        <v>20825</v>
      </c>
      <c r="M3842" s="2" t="s">
        <v>12</v>
      </c>
      <c r="N3842" s="4">
        <f t="shared" si="1"/>
        <v>43595</v>
      </c>
      <c r="O3842" s="5" t="str">
        <f>IFERROR(__xludf.DUMMYFUNCTION("IF(REGEXMATCH(TRIM(I3842), ""^\d+\s*min""), ""Unclassified"", IF(I3842 = """", ""NR"", I3842))"),"TV-MA")</f>
        <v>TV-MA</v>
      </c>
      <c r="R3842" s="5" t="str">
        <f t="shared" si="2"/>
        <v>The Society</v>
      </c>
      <c r="S3842" s="5" t="str">
        <f>IFERROR(__xludf.DUMMYFUNCTION("""COMPUTED_VALUE"""),"Kl Zombi")</f>
        <v>Kl Zombi</v>
      </c>
      <c r="U3842" s="5" t="str">
        <f>IFERROR(__xludf.DUMMYFUNCTION("""COMPUTED_VALUE"""),"Kenny Young")</f>
        <v>Kenny Young</v>
      </c>
      <c r="V3842" s="5" t="s">
        <v>20826</v>
      </c>
      <c r="W3842" s="5" t="str">
        <f t="shared" si="3"/>
        <v>Seth Henrikson</v>
      </c>
      <c r="X3842" s="5">
        <f t="shared" si="4"/>
        <v>1</v>
      </c>
      <c r="Y3842" s="5" t="str">
        <f>IFERROR(__xludf.DUMMYFUNCTION("REGEXEXTRACT(J3842, ""^\d+"")"),"1")</f>
        <v>1</v>
      </c>
      <c r="Z3842" s="5" t="str">
        <f>IFERROR(__xludf.DUMMYFUNCTION("REGEXEXTRACT(J3842, ""[A-Za-z ]+$"")")," Season")</f>
        <v> Season</v>
      </c>
      <c r="AA3842" s="5" t="str">
        <f>IFERROR(__xludf.DUMMYFUNCTION("IF(REGEXMATCH(Z3842, ""Season""), ""TV Show"", ""Movie"")"),"TV Show")</f>
        <v>TV Show</v>
      </c>
    </row>
    <row r="3843">
      <c r="A3843" s="1" t="s">
        <v>20827</v>
      </c>
      <c r="B3843" s="1" t="s">
        <v>27</v>
      </c>
      <c r="C3843" s="1" t="s">
        <v>20828</v>
      </c>
      <c r="D3843" s="1" t="s">
        <v>1657</v>
      </c>
      <c r="E3843" s="1" t="s">
        <v>20829</v>
      </c>
      <c r="F3843" s="1" t="s">
        <v>30</v>
      </c>
      <c r="G3843" s="7">
        <v>43595.0</v>
      </c>
      <c r="H3843" s="1">
        <v>2019.0</v>
      </c>
      <c r="I3843" s="1" t="s">
        <v>378</v>
      </c>
      <c r="J3843" s="1" t="s">
        <v>106</v>
      </c>
      <c r="K3843" s="1" t="s">
        <v>239</v>
      </c>
      <c r="L3843" s="1" t="s">
        <v>20830</v>
      </c>
      <c r="M3843" s="2" t="s">
        <v>12</v>
      </c>
      <c r="N3843" s="4">
        <f t="shared" si="1"/>
        <v>43595</v>
      </c>
      <c r="O3843" s="5" t="str">
        <f>IFERROR(__xludf.DUMMYFUNCTION("IF(REGEXMATCH(TRIM(I3843), ""^\d+\s*min""), ""Unclassified"", IF(I3843 = """", ""NR"", I3843))"),"R")</f>
        <v>R</v>
      </c>
      <c r="R3843" s="5" t="str">
        <f t="shared" si="2"/>
        <v>Wine Country</v>
      </c>
      <c r="S3843" s="5" t="str">
        <f>IFERROR(__xludf.DUMMYFUNCTION("""COMPUTED_VALUE"""),"Klaus")</f>
        <v>Klaus</v>
      </c>
      <c r="U3843" s="5" t="str">
        <f>IFERROR(__xludf.DUMMYFUNCTION("""COMPUTED_VALUE"""),"Jennifer Siebel Newsom")</f>
        <v>Jennifer Siebel Newsom</v>
      </c>
      <c r="V3843" s="5" t="s">
        <v>2733</v>
      </c>
      <c r="W3843" s="5" t="str">
        <f t="shared" si="3"/>
        <v>Seyi Babatope</v>
      </c>
      <c r="X3843" s="5">
        <f t="shared" si="4"/>
        <v>3</v>
      </c>
      <c r="Y3843" s="5" t="str">
        <f>IFERROR(__xludf.DUMMYFUNCTION("REGEXEXTRACT(J3843, ""^\d+"")"),"104")</f>
        <v>104</v>
      </c>
      <c r="Z3843" s="5" t="str">
        <f>IFERROR(__xludf.DUMMYFUNCTION("REGEXEXTRACT(J3843, ""[A-Za-z ]+$"")")," min")</f>
        <v> min</v>
      </c>
      <c r="AA3843" s="5" t="str">
        <f>IFERROR(__xludf.DUMMYFUNCTION("IF(REGEXMATCH(Z3843, ""Season""), ""TV Show"", ""Movie"")"),"Movie")</f>
        <v>Movie</v>
      </c>
    </row>
    <row r="3844">
      <c r="A3844" s="1" t="s">
        <v>20831</v>
      </c>
      <c r="B3844" s="1" t="s">
        <v>27</v>
      </c>
      <c r="C3844" s="1" t="s">
        <v>20832</v>
      </c>
      <c r="D3844" s="1" t="s">
        <v>20833</v>
      </c>
      <c r="E3844" s="1" t="s">
        <v>20834</v>
      </c>
      <c r="F3844" s="1" t="s">
        <v>2059</v>
      </c>
      <c r="G3844" s="7">
        <v>43594.0</v>
      </c>
      <c r="H3844" s="1">
        <v>2018.0</v>
      </c>
      <c r="I3844" s="1" t="s">
        <v>42</v>
      </c>
      <c r="J3844" s="1" t="s">
        <v>3458</v>
      </c>
      <c r="K3844" s="1" t="s">
        <v>306</v>
      </c>
      <c r="L3844" s="1" t="s">
        <v>20835</v>
      </c>
      <c r="M3844" s="2" t="s">
        <v>12</v>
      </c>
      <c r="N3844" s="4">
        <f t="shared" si="1"/>
        <v>43594</v>
      </c>
      <c r="O3844" s="5" t="str">
        <f>IFERROR(__xludf.DUMMYFUNCTION("IF(REGEXMATCH(TRIM(I3844), ""^\d+\s*min""), ""Unclassified"", IF(I3844 = """", ""NR"", I3844))"),"TV-MA")</f>
        <v>TV-MA</v>
      </c>
      <c r="R3844" s="5" t="str">
        <f t="shared" si="2"/>
        <v>Gatao 2: Rise Of The King</v>
      </c>
      <c r="S3844" s="5" t="str">
        <f>IFERROR(__xludf.DUMMYFUNCTION("""COMPUTED_VALUE"""),"Knightfall")</f>
        <v>Knightfall</v>
      </c>
      <c r="U3844" s="5" t="str">
        <f>IFERROR(__xludf.DUMMYFUNCTION("""COMPUTED_VALUE"""),"Barbara Kopple")</f>
        <v>Barbara Kopple</v>
      </c>
      <c r="V3844" s="5" t="s">
        <v>20836</v>
      </c>
      <c r="W3844" s="5" t="str">
        <f t="shared" si="3"/>
        <v>Shaad Ali</v>
      </c>
      <c r="X3844" s="5">
        <f t="shared" si="4"/>
        <v>1</v>
      </c>
      <c r="Y3844" s="5" t="str">
        <f>IFERROR(__xludf.DUMMYFUNCTION("REGEXEXTRACT(J3844, ""^\d+"")"),"126")</f>
        <v>126</v>
      </c>
      <c r="Z3844" s="5" t="str">
        <f>IFERROR(__xludf.DUMMYFUNCTION("REGEXEXTRACT(J3844, ""[A-Za-z ]+$"")")," min")</f>
        <v> min</v>
      </c>
      <c r="AA3844" s="5" t="str">
        <f>IFERROR(__xludf.DUMMYFUNCTION("IF(REGEXMATCH(Z3844, ""Season""), ""TV Show"", ""Movie"")"),"Movie")</f>
        <v>Movie</v>
      </c>
    </row>
    <row r="3845">
      <c r="A3845" s="1" t="s">
        <v>20837</v>
      </c>
      <c r="B3845" s="1" t="s">
        <v>37</v>
      </c>
      <c r="C3845" s="1" t="s">
        <v>20838</v>
      </c>
      <c r="E3845" s="1" t="s">
        <v>20839</v>
      </c>
      <c r="G3845" s="7">
        <v>43593.0</v>
      </c>
      <c r="H3845" s="1">
        <v>2015.0</v>
      </c>
      <c r="I3845" s="1" t="s">
        <v>136</v>
      </c>
      <c r="J3845" s="1" t="s">
        <v>51</v>
      </c>
      <c r="K3845" s="1" t="s">
        <v>402</v>
      </c>
      <c r="L3845" s="1" t="s">
        <v>20840</v>
      </c>
      <c r="M3845" s="2" t="s">
        <v>12</v>
      </c>
      <c r="N3845" s="4">
        <f t="shared" si="1"/>
        <v>43593</v>
      </c>
      <c r="O3845" s="5" t="str">
        <f>IFERROR(__xludf.DUMMYFUNCTION("IF(REGEXMATCH(TRIM(I3845), ""^\d+\s*min""), ""Unclassified"", IF(I3845 = """", ""NR"", I3845))"),"TV-PG")</f>
        <v>TV-PG</v>
      </c>
      <c r="R3845" s="5" t="str">
        <f t="shared" si="2"/>
        <v>Away From Home</v>
      </c>
      <c r="S3845" s="5" t="str">
        <f>IFERROR(__xludf.DUMMYFUNCTION("""COMPUTED_VALUE"""),"Knights Of Sidonia")</f>
        <v>Knights Of Sidonia</v>
      </c>
      <c r="U3845" s="5" t="str">
        <f>IFERROR(__xludf.DUMMYFUNCTION("""COMPUTED_VALUE"""),"Julia Hart")</f>
        <v>Julia Hart</v>
      </c>
      <c r="V3845" s="5" t="s">
        <v>20841</v>
      </c>
      <c r="W3845" s="5" t="str">
        <f t="shared" si="3"/>
        <v>Shadab Khan</v>
      </c>
      <c r="X3845" s="5">
        <f t="shared" si="4"/>
        <v>1</v>
      </c>
      <c r="Y3845" s="5" t="str">
        <f>IFERROR(__xludf.DUMMYFUNCTION("REGEXEXTRACT(J3845, ""^\d+"")"),"1")</f>
        <v>1</v>
      </c>
      <c r="Z3845" s="5" t="str">
        <f>IFERROR(__xludf.DUMMYFUNCTION("REGEXEXTRACT(J3845, ""[A-Za-z ]+$"")")," Season")</f>
        <v> Season</v>
      </c>
      <c r="AA3845" s="5" t="str">
        <f>IFERROR(__xludf.DUMMYFUNCTION("IF(REGEXMATCH(Z3845, ""Season""), ""TV Show"", ""Movie"")"),"TV Show")</f>
        <v>TV Show</v>
      </c>
    </row>
    <row r="3846">
      <c r="A3846" s="1" t="s">
        <v>20842</v>
      </c>
      <c r="B3846" s="1" t="s">
        <v>37</v>
      </c>
      <c r="C3846" s="1" t="s">
        <v>20843</v>
      </c>
      <c r="E3846" s="1" t="s">
        <v>20844</v>
      </c>
      <c r="G3846" s="7">
        <v>43593.0</v>
      </c>
      <c r="H3846" s="1">
        <v>2016.0</v>
      </c>
      <c r="I3846" s="1" t="s">
        <v>136</v>
      </c>
      <c r="J3846" s="1" t="s">
        <v>51</v>
      </c>
      <c r="K3846" s="1" t="s">
        <v>1294</v>
      </c>
      <c r="L3846" s="1" t="s">
        <v>20845</v>
      </c>
      <c r="M3846" s="2" t="s">
        <v>12</v>
      </c>
      <c r="N3846" s="4">
        <f t="shared" si="1"/>
        <v>43593</v>
      </c>
      <c r="O3846" s="5" t="str">
        <f>IFERROR(__xludf.DUMMYFUNCTION("IF(REGEXMATCH(TRIM(I3846), ""^\d+\s*min""), ""Unclassified"", IF(I3846 = """", ""NR"", I3846))"),"TV-PG")</f>
        <v>TV-PG</v>
      </c>
      <c r="R3846" s="5" t="str">
        <f t="shared" si="2"/>
        <v>Bibik-Bibikku</v>
      </c>
      <c r="S3846" s="5" t="str">
        <f>IFERROR(__xludf.DUMMYFUNCTION("""COMPUTED_VALUE"""),"Knock Down The House")</f>
        <v>Knock Down The House</v>
      </c>
      <c r="U3846" s="5" t="str">
        <f>IFERROR(__xludf.DUMMYFUNCTION("""COMPUTED_VALUE"""),"David Fairhead")</f>
        <v>David Fairhead</v>
      </c>
      <c r="V3846" s="5" t="s">
        <v>20846</v>
      </c>
      <c r="W3846" s="5" t="str">
        <f t="shared" si="3"/>
        <v>Shadi Ali</v>
      </c>
      <c r="X3846" s="5">
        <f t="shared" si="4"/>
        <v>1</v>
      </c>
      <c r="Y3846" s="5" t="str">
        <f>IFERROR(__xludf.DUMMYFUNCTION("REGEXEXTRACT(J3846, ""^\d+"")"),"1")</f>
        <v>1</v>
      </c>
      <c r="Z3846" s="5" t="str">
        <f>IFERROR(__xludf.DUMMYFUNCTION("REGEXEXTRACT(J3846, ""[A-Za-z ]+$"")")," Season")</f>
        <v> Season</v>
      </c>
      <c r="AA3846" s="5" t="str">
        <f>IFERROR(__xludf.DUMMYFUNCTION("IF(REGEXMATCH(Z3846, ""Season""), ""TV Show"", ""Movie"")"),"TV Show")</f>
        <v>TV Show</v>
      </c>
    </row>
    <row r="3847">
      <c r="A3847" s="1" t="s">
        <v>20847</v>
      </c>
      <c r="B3847" s="1" t="s">
        <v>37</v>
      </c>
      <c r="C3847" s="1" t="s">
        <v>20848</v>
      </c>
      <c r="E3847" s="1" t="s">
        <v>20849</v>
      </c>
      <c r="G3847" s="7">
        <v>43593.0</v>
      </c>
      <c r="H3847" s="1">
        <v>2016.0</v>
      </c>
      <c r="I3847" s="1" t="s">
        <v>97</v>
      </c>
      <c r="J3847" s="1" t="s">
        <v>51</v>
      </c>
      <c r="K3847" s="1" t="s">
        <v>1907</v>
      </c>
      <c r="L3847" s="1" t="s">
        <v>20850</v>
      </c>
      <c r="M3847" s="2" t="s">
        <v>12</v>
      </c>
      <c r="N3847" s="4">
        <f t="shared" si="1"/>
        <v>43593</v>
      </c>
      <c r="O3847" s="5" t="str">
        <f>IFERROR(__xludf.DUMMYFUNCTION("IF(REGEXMATCH(TRIM(I3847), ""^\d+\s*min""), ""Unclassified"", IF(I3847 = """", ""NR"", I3847))"),"TV-14")</f>
        <v>TV-14</v>
      </c>
      <c r="R3847" s="5" t="str">
        <f t="shared" si="2"/>
        <v>Cinta 100Kg</v>
      </c>
      <c r="S3847" s="5" t="str">
        <f>IFERROR(__xludf.DUMMYFUNCTION("""COMPUTED_VALUE"""),"Knock Knock")</f>
        <v>Knock Knock</v>
      </c>
      <c r="U3847" s="5" t="str">
        <f>IFERROR(__xludf.DUMMYFUNCTION("""COMPUTED_VALUE"""),"David Blair")</f>
        <v>David Blair</v>
      </c>
      <c r="V3847" s="5" t="s">
        <v>10586</v>
      </c>
      <c r="W3847" s="5" t="str">
        <f t="shared" si="3"/>
        <v>Shady Hanna</v>
      </c>
      <c r="X3847" s="5">
        <f t="shared" si="4"/>
        <v>1</v>
      </c>
      <c r="Y3847" s="5" t="str">
        <f>IFERROR(__xludf.DUMMYFUNCTION("REGEXEXTRACT(J3847, ""^\d+"")"),"1")</f>
        <v>1</v>
      </c>
      <c r="Z3847" s="5" t="str">
        <f>IFERROR(__xludf.DUMMYFUNCTION("REGEXEXTRACT(J3847, ""[A-Za-z ]+$"")")," Season")</f>
        <v> Season</v>
      </c>
      <c r="AA3847" s="5" t="str">
        <f>IFERROR(__xludf.DUMMYFUNCTION("IF(REGEXMATCH(Z3847, ""Season""), ""TV Show"", ""Movie"")"),"TV Show")</f>
        <v>TV Show</v>
      </c>
    </row>
    <row r="3848">
      <c r="A3848" s="1" t="s">
        <v>20851</v>
      </c>
      <c r="B3848" s="1" t="s">
        <v>37</v>
      </c>
      <c r="C3848" s="1" t="s">
        <v>20852</v>
      </c>
      <c r="E3848" s="1" t="s">
        <v>20853</v>
      </c>
      <c r="G3848" s="7">
        <v>43593.0</v>
      </c>
      <c r="H3848" s="1">
        <v>2015.0</v>
      </c>
      <c r="I3848" s="1" t="s">
        <v>136</v>
      </c>
      <c r="J3848" s="1" t="s">
        <v>51</v>
      </c>
      <c r="K3848" s="1" t="s">
        <v>1907</v>
      </c>
      <c r="L3848" s="1" t="s">
        <v>20854</v>
      </c>
      <c r="M3848" s="2" t="s">
        <v>12</v>
      </c>
      <c r="N3848" s="4">
        <f t="shared" si="1"/>
        <v>43593</v>
      </c>
      <c r="O3848" s="5" t="str">
        <f>IFERROR(__xludf.DUMMYFUNCTION("IF(REGEXMATCH(TRIM(I3848), ""^\d+\s*min""), ""Unclassified"", IF(I3848 = """", ""NR"", I3848))"),"TV-PG")</f>
        <v>TV-PG</v>
      </c>
      <c r="R3848" s="5" t="str">
        <f t="shared" si="2"/>
        <v>Cinta Iris</v>
      </c>
      <c r="S3848" s="5" t="str">
        <f>IFERROR(__xludf.DUMMYFUNCTION("""COMPUTED_VALUE"""),"Know Your Enemy - Japan")</f>
        <v>Know Your Enemy - Japan</v>
      </c>
      <c r="U3848" s="5" t="str">
        <f>IFERROR(__xludf.DUMMYFUNCTION("""COMPUTED_VALUE"""),"Osman Ali")</f>
        <v>Osman Ali</v>
      </c>
      <c r="V3848" s="5" t="s">
        <v>20855</v>
      </c>
      <c r="W3848" s="5" t="str">
        <f t="shared" si="3"/>
        <v>Shagufta Rafique</v>
      </c>
      <c r="X3848" s="5">
        <f t="shared" si="4"/>
        <v>1</v>
      </c>
      <c r="Y3848" s="5" t="str">
        <f>IFERROR(__xludf.DUMMYFUNCTION("REGEXEXTRACT(J3848, ""^\d+"")"),"1")</f>
        <v>1</v>
      </c>
      <c r="Z3848" s="5" t="str">
        <f>IFERROR(__xludf.DUMMYFUNCTION("REGEXEXTRACT(J3848, ""[A-Za-z ]+$"")")," Season")</f>
        <v> Season</v>
      </c>
      <c r="AA3848" s="5" t="str">
        <f>IFERROR(__xludf.DUMMYFUNCTION("IF(REGEXMATCH(Z3848, ""Season""), ""TV Show"", ""Movie"")"),"TV Show")</f>
        <v>TV Show</v>
      </c>
    </row>
    <row r="3849">
      <c r="A3849" s="1" t="s">
        <v>20856</v>
      </c>
      <c r="B3849" s="1" t="s">
        <v>37</v>
      </c>
      <c r="C3849" s="1" t="s">
        <v>20857</v>
      </c>
      <c r="E3849" s="1" t="s">
        <v>20858</v>
      </c>
      <c r="G3849" s="7">
        <v>43593.0</v>
      </c>
      <c r="H3849" s="1">
        <v>2015.0</v>
      </c>
      <c r="I3849" s="1" t="s">
        <v>97</v>
      </c>
      <c r="J3849" s="1" t="s">
        <v>51</v>
      </c>
      <c r="K3849" s="1" t="s">
        <v>1907</v>
      </c>
      <c r="L3849" s="1" t="s">
        <v>20859</v>
      </c>
      <c r="M3849" s="2" t="s">
        <v>12</v>
      </c>
      <c r="N3849" s="4">
        <f t="shared" si="1"/>
        <v>43593</v>
      </c>
      <c r="O3849" s="5" t="str">
        <f>IFERROR(__xludf.DUMMYFUNCTION("IF(REGEXMATCH(TRIM(I3849), ""^\d+\s*min""), ""Unclassified"", IF(I3849 = """", ""NR"", I3849))"),"TV-14")</f>
        <v>TV-14</v>
      </c>
      <c r="R3849" s="5" t="str">
        <f t="shared" si="2"/>
        <v>Cinta Si Wedding Planner</v>
      </c>
      <c r="S3849" s="5" t="str">
        <f>IFERROR(__xludf.DUMMYFUNCTION("""COMPUTED_VALUE"""),"Knowing")</f>
        <v>Knowing</v>
      </c>
      <c r="U3849" s="5" t="str">
        <f>IFERROR(__xludf.DUMMYFUNCTION("""COMPUTED_VALUE"""),"Anna Boden, Ryan Fleck")</f>
        <v>Anna Boden, Ryan Fleck</v>
      </c>
      <c r="V3849" s="5" t="s">
        <v>20860</v>
      </c>
      <c r="W3849" s="5" t="str">
        <f t="shared" si="3"/>
        <v>Shaina Allen</v>
      </c>
      <c r="X3849" s="5">
        <f t="shared" si="4"/>
        <v>1</v>
      </c>
      <c r="Y3849" s="5" t="str">
        <f>IFERROR(__xludf.DUMMYFUNCTION("REGEXEXTRACT(J3849, ""^\d+"")"),"1")</f>
        <v>1</v>
      </c>
      <c r="Z3849" s="5" t="str">
        <f>IFERROR(__xludf.DUMMYFUNCTION("REGEXEXTRACT(J3849, ""[A-Za-z ]+$"")")," Season")</f>
        <v> Season</v>
      </c>
      <c r="AA3849" s="5" t="str">
        <f>IFERROR(__xludf.DUMMYFUNCTION("IF(REGEXMATCH(Z3849, ""Season""), ""TV Show"", ""Movie"")"),"TV Show")</f>
        <v>TV Show</v>
      </c>
    </row>
    <row r="3850">
      <c r="A3850" s="1" t="s">
        <v>20861</v>
      </c>
      <c r="B3850" s="1" t="s">
        <v>37</v>
      </c>
      <c r="C3850" s="1" t="s">
        <v>20862</v>
      </c>
      <c r="E3850" s="1" t="s">
        <v>20863</v>
      </c>
      <c r="G3850" s="7">
        <v>43593.0</v>
      </c>
      <c r="H3850" s="1">
        <v>2016.0</v>
      </c>
      <c r="I3850" s="1" t="s">
        <v>136</v>
      </c>
      <c r="J3850" s="1" t="s">
        <v>51</v>
      </c>
      <c r="K3850" s="1" t="s">
        <v>402</v>
      </c>
      <c r="L3850" s="1" t="s">
        <v>20864</v>
      </c>
      <c r="M3850" s="2" t="s">
        <v>12</v>
      </c>
      <c r="N3850" s="4">
        <f t="shared" si="1"/>
        <v>43593</v>
      </c>
      <c r="O3850" s="5" t="str">
        <f>IFERROR(__xludf.DUMMYFUNCTION("IF(REGEXMATCH(TRIM(I3850), ""^\d+\s*min""), ""Unclassified"", IF(I3850 = """", ""NR"", I3850))"),"TV-PG")</f>
        <v>TV-PG</v>
      </c>
      <c r="R3850" s="5" t="str">
        <f t="shared" si="2"/>
        <v>Cinta Teruna Kimchi</v>
      </c>
      <c r="S3850" s="5" t="str">
        <f>IFERROR(__xludf.DUMMYFUNCTION("""COMPUTED_VALUE"""),"Ko One")</f>
        <v>Ko One</v>
      </c>
      <c r="U3850" s="5" t="str">
        <f>IFERROR(__xludf.DUMMYFUNCTION("""COMPUTED_VALUE"""),"Munish Bhardwaj")</f>
        <v>Munish Bhardwaj</v>
      </c>
      <c r="V3850" s="5" t="s">
        <v>20865</v>
      </c>
      <c r="W3850" s="5" t="str">
        <f t="shared" si="3"/>
        <v>Shakti Samanta</v>
      </c>
      <c r="X3850" s="5">
        <f t="shared" si="4"/>
        <v>2</v>
      </c>
      <c r="Y3850" s="5" t="str">
        <f>IFERROR(__xludf.DUMMYFUNCTION("REGEXEXTRACT(J3850, ""^\d+"")"),"1")</f>
        <v>1</v>
      </c>
      <c r="Z3850" s="5" t="str">
        <f>IFERROR(__xludf.DUMMYFUNCTION("REGEXEXTRACT(J3850, ""[A-Za-z ]+$"")")," Season")</f>
        <v> Season</v>
      </c>
      <c r="AA3850" s="5" t="str">
        <f>IFERROR(__xludf.DUMMYFUNCTION("IF(REGEXMATCH(Z3850, ""Season""), ""TV Show"", ""Movie"")"),"TV Show")</f>
        <v>TV Show</v>
      </c>
    </row>
    <row r="3851">
      <c r="A3851" s="1" t="s">
        <v>20866</v>
      </c>
      <c r="B3851" s="1" t="s">
        <v>37</v>
      </c>
      <c r="C3851" s="1" t="s">
        <v>20867</v>
      </c>
      <c r="E3851" s="1" t="s">
        <v>20868</v>
      </c>
      <c r="G3851" s="7">
        <v>43593.0</v>
      </c>
      <c r="H3851" s="1">
        <v>2015.0</v>
      </c>
      <c r="I3851" s="1" t="s">
        <v>97</v>
      </c>
      <c r="J3851" s="1" t="s">
        <v>51</v>
      </c>
      <c r="K3851" s="1" t="s">
        <v>64</v>
      </c>
      <c r="L3851" s="1" t="s">
        <v>20869</v>
      </c>
      <c r="M3851" s="2" t="s">
        <v>12</v>
      </c>
      <c r="N3851" s="4">
        <f t="shared" si="1"/>
        <v>43593</v>
      </c>
      <c r="O3851" s="5" t="str">
        <f>IFERROR(__xludf.DUMMYFUNCTION("IF(REGEXMATCH(TRIM(I3851), ""^\d+\s*min""), ""Unclassified"", IF(I3851 = """", ""NR"", I3851))"),"TV-14")</f>
        <v>TV-14</v>
      </c>
      <c r="R3851" s="5" t="str">
        <f t="shared" si="2"/>
        <v>Secret Of Success</v>
      </c>
      <c r="S3851" s="5" t="str">
        <f>IFERROR(__xludf.DUMMYFUNCTION("""COMPUTED_VALUE"""),"Ko One Return")</f>
        <v>Ko One Return</v>
      </c>
      <c r="U3851" s="5" t="str">
        <f>IFERROR(__xludf.DUMMYFUNCTION("""COMPUTED_VALUE"""),"Ted Geoghegan")</f>
        <v>Ted Geoghegan</v>
      </c>
      <c r="V3851" s="5" t="s">
        <v>15310</v>
      </c>
      <c r="W3851" s="5" t="str">
        <f t="shared" si="3"/>
        <v>Shakun Batra</v>
      </c>
      <c r="X3851" s="5">
        <f t="shared" si="4"/>
        <v>2</v>
      </c>
      <c r="Y3851" s="5" t="str">
        <f>IFERROR(__xludf.DUMMYFUNCTION("REGEXEXTRACT(J3851, ""^\d+"")"),"1")</f>
        <v>1</v>
      </c>
      <c r="Z3851" s="5" t="str">
        <f>IFERROR(__xludf.DUMMYFUNCTION("REGEXEXTRACT(J3851, ""[A-Za-z ]+$"")")," Season")</f>
        <v> Season</v>
      </c>
      <c r="AA3851" s="5" t="str">
        <f>IFERROR(__xludf.DUMMYFUNCTION("IF(REGEXMATCH(Z3851, ""Season""), ""TV Show"", ""Movie"")"),"TV Show")</f>
        <v>TV Show</v>
      </c>
    </row>
    <row r="3852">
      <c r="A3852" s="1" t="s">
        <v>20870</v>
      </c>
      <c r="B3852" s="1" t="s">
        <v>37</v>
      </c>
      <c r="C3852" s="1" t="s">
        <v>20871</v>
      </c>
      <c r="E3852" s="1" t="s">
        <v>20872</v>
      </c>
      <c r="G3852" s="7">
        <v>43593.0</v>
      </c>
      <c r="H3852" s="1">
        <v>2016.0</v>
      </c>
      <c r="I3852" s="1" t="s">
        <v>136</v>
      </c>
      <c r="J3852" s="1" t="s">
        <v>51</v>
      </c>
      <c r="K3852" s="1" t="s">
        <v>402</v>
      </c>
      <c r="L3852" s="1" t="s">
        <v>20873</v>
      </c>
      <c r="M3852" s="2" t="s">
        <v>12</v>
      </c>
      <c r="N3852" s="4">
        <f t="shared" si="1"/>
        <v>43593</v>
      </c>
      <c r="O3852" s="5" t="str">
        <f>IFERROR(__xludf.DUMMYFUNCTION("IF(REGEXMATCH(TRIM(I3852), ""^\d+\s*min""), ""Unclassified"", IF(I3852 = """", ""NR"", I3852))"),"TV-PG")</f>
        <v>TV-PG</v>
      </c>
      <c r="R3852" s="5" t="str">
        <f t="shared" si="2"/>
        <v>The Missing Menu</v>
      </c>
      <c r="S3852" s="5" t="str">
        <f>IFERROR(__xludf.DUMMYFUNCTION("""COMPUTED_VALUE"""),"Kocan Kadar Konus")</f>
        <v>Kocan Kadar Konus</v>
      </c>
      <c r="U3852" s="5" t="str">
        <f>IFERROR(__xludf.DUMMYFUNCTION("""COMPUTED_VALUE"""),"William Monahan")</f>
        <v>William Monahan</v>
      </c>
      <c r="V3852" s="5" t="s">
        <v>6515</v>
      </c>
      <c r="W3852" s="5" t="str">
        <f t="shared" si="3"/>
        <v>Shalini Kantayya</v>
      </c>
      <c r="X3852" s="5">
        <f t="shared" si="4"/>
        <v>2</v>
      </c>
      <c r="Y3852" s="5" t="str">
        <f>IFERROR(__xludf.DUMMYFUNCTION("REGEXEXTRACT(J3852, ""^\d+"")"),"1")</f>
        <v>1</v>
      </c>
      <c r="Z3852" s="5" t="str">
        <f>IFERROR(__xludf.DUMMYFUNCTION("REGEXEXTRACT(J3852, ""[A-Za-z ]+$"")")," Season")</f>
        <v> Season</v>
      </c>
      <c r="AA3852" s="5" t="str">
        <f>IFERROR(__xludf.DUMMYFUNCTION("IF(REGEXMATCH(Z3852, ""Season""), ""TV Show"", ""Movie"")"),"TV Show")</f>
        <v>TV Show</v>
      </c>
    </row>
    <row r="3853">
      <c r="A3853" s="1" t="s">
        <v>20874</v>
      </c>
      <c r="B3853" s="1" t="s">
        <v>37</v>
      </c>
      <c r="C3853" s="1" t="s">
        <v>20875</v>
      </c>
      <c r="E3853" s="1" t="s">
        <v>20876</v>
      </c>
      <c r="G3853" s="7">
        <v>43593.0</v>
      </c>
      <c r="H3853" s="1">
        <v>2016.0</v>
      </c>
      <c r="I3853" s="1" t="s">
        <v>97</v>
      </c>
      <c r="J3853" s="1" t="s">
        <v>51</v>
      </c>
      <c r="K3853" s="1" t="s">
        <v>408</v>
      </c>
      <c r="L3853" s="1" t="s">
        <v>20877</v>
      </c>
      <c r="M3853" s="2" t="s">
        <v>12</v>
      </c>
      <c r="N3853" s="4">
        <f t="shared" si="1"/>
        <v>43593</v>
      </c>
      <c r="O3853" s="5" t="str">
        <f>IFERROR(__xludf.DUMMYFUNCTION("IF(REGEXMATCH(TRIM(I3853), ""^\d+\s*min""), ""Unclassified"", IF(I3853 = """", ""NR"", I3853))"),"TV-14")</f>
        <v>TV-14</v>
      </c>
      <c r="R3853" s="5" t="str">
        <f t="shared" si="2"/>
        <v>Unchained Fate</v>
      </c>
      <c r="S3853" s="5" t="str">
        <f>IFERROR(__xludf.DUMMYFUNCTION("""COMPUTED_VALUE"""),"Kocan Kadar Konus 2: Dirilis")</f>
        <v>Kocan Kadar Konus 2: Dirilis</v>
      </c>
      <c r="U3853" s="5" t="str">
        <f>IFERROR(__xludf.DUMMYFUNCTION("""COMPUTED_VALUE"""),"Martin Rosete")</f>
        <v>Martin Rosete</v>
      </c>
      <c r="V3853" s="5" t="s">
        <v>20878</v>
      </c>
      <c r="W3853" s="5" t="str">
        <f t="shared" si="3"/>
        <v>Shammi Kapoor</v>
      </c>
      <c r="X3853" s="5">
        <f t="shared" si="4"/>
        <v>1</v>
      </c>
      <c r="Y3853" s="5" t="str">
        <f>IFERROR(__xludf.DUMMYFUNCTION("REGEXEXTRACT(J3853, ""^\d+"")"),"1")</f>
        <v>1</v>
      </c>
      <c r="Z3853" s="5" t="str">
        <f>IFERROR(__xludf.DUMMYFUNCTION("REGEXEXTRACT(J3853, ""[A-Za-z ]+$"")")," Season")</f>
        <v> Season</v>
      </c>
      <c r="AA3853" s="5" t="str">
        <f>IFERROR(__xludf.DUMMYFUNCTION("IF(REGEXMATCH(Z3853, ""Season""), ""TV Show"", ""Movie"")"),"TV Show")</f>
        <v>TV Show</v>
      </c>
    </row>
    <row r="3854">
      <c r="A3854" s="1" t="s">
        <v>20879</v>
      </c>
      <c r="B3854" s="1" t="s">
        <v>37</v>
      </c>
      <c r="C3854" s="1" t="s">
        <v>20880</v>
      </c>
      <c r="E3854" s="1" t="s">
        <v>20881</v>
      </c>
      <c r="F3854" s="1" t="s">
        <v>749</v>
      </c>
      <c r="G3854" s="7">
        <v>43592.0</v>
      </c>
      <c r="H3854" s="1">
        <v>2019.0</v>
      </c>
      <c r="I3854" s="1" t="s">
        <v>97</v>
      </c>
      <c r="J3854" s="1" t="s">
        <v>51</v>
      </c>
      <c r="K3854" s="1" t="s">
        <v>6338</v>
      </c>
      <c r="L3854" s="1" t="s">
        <v>20882</v>
      </c>
      <c r="M3854" s="2" t="s">
        <v>12</v>
      </c>
      <c r="N3854" s="4">
        <f t="shared" si="1"/>
        <v>43592</v>
      </c>
      <c r="O3854" s="5" t="str">
        <f>IFERROR(__xludf.DUMMYFUNCTION("IF(REGEXMATCH(TRIM(I3854), ""^\d+\s*min""), ""Unclassified"", IF(I3854 = """", ""NR"", I3854))"),"TV-14")</f>
        <v>TV-14</v>
      </c>
      <c r="R3854" s="5" t="str">
        <f t="shared" si="2"/>
        <v>Abyss</v>
      </c>
      <c r="S3854" s="5" t="str">
        <f>IFERROR(__xludf.DUMMYFUNCTION("""COMPUTED_VALUE"""),"Kodachrome")</f>
        <v>Kodachrome</v>
      </c>
      <c r="U3854" s="5" t="str">
        <f>IFERROR(__xludf.DUMMYFUNCTION("""COMPUTED_VALUE"""),"Brett Ratner")</f>
        <v>Brett Ratner</v>
      </c>
      <c r="V3854" s="5" t="s">
        <v>20883</v>
      </c>
      <c r="W3854" s="5" t="str">
        <f t="shared" si="3"/>
        <v>Shamyl Othman</v>
      </c>
      <c r="X3854" s="5">
        <f t="shared" si="4"/>
        <v>1</v>
      </c>
      <c r="Y3854" s="5" t="str">
        <f>IFERROR(__xludf.DUMMYFUNCTION("REGEXEXTRACT(J3854, ""^\d+"")"),"1")</f>
        <v>1</v>
      </c>
      <c r="Z3854" s="5" t="str">
        <f>IFERROR(__xludf.DUMMYFUNCTION("REGEXEXTRACT(J3854, ""[A-Za-z ]+$"")")," Season")</f>
        <v> Season</v>
      </c>
      <c r="AA3854" s="5" t="str">
        <f>IFERROR(__xludf.DUMMYFUNCTION("IF(REGEXMATCH(Z3854, ""Season""), ""TV Show"", ""Movie"")"),"TV Show")</f>
        <v>TV Show</v>
      </c>
    </row>
    <row r="3855">
      <c r="A3855" s="1" t="s">
        <v>20884</v>
      </c>
      <c r="B3855" s="1" t="s">
        <v>37</v>
      </c>
      <c r="C3855" s="1" t="s">
        <v>20885</v>
      </c>
      <c r="E3855" s="1" t="s">
        <v>20886</v>
      </c>
      <c r="G3855" s="7">
        <v>43592.0</v>
      </c>
      <c r="H3855" s="1">
        <v>2019.0</v>
      </c>
      <c r="I3855" s="1" t="s">
        <v>97</v>
      </c>
      <c r="J3855" s="1" t="s">
        <v>51</v>
      </c>
      <c r="K3855" s="1" t="s">
        <v>1531</v>
      </c>
      <c r="L3855" s="1" t="s">
        <v>20887</v>
      </c>
      <c r="M3855" s="2" t="s">
        <v>12</v>
      </c>
      <c r="N3855" s="4">
        <f t="shared" si="1"/>
        <v>43592</v>
      </c>
      <c r="O3855" s="5" t="str">
        <f>IFERROR(__xludf.DUMMYFUNCTION("IF(REGEXMATCH(TRIM(I3855), ""^\d+\s*min""), ""Unclassified"", IF(I3855 = """", ""NR"", I3855))"),"TV-14")</f>
        <v>TV-14</v>
      </c>
      <c r="R3855" s="5" t="str">
        <f t="shared" si="2"/>
        <v>I Have A Script</v>
      </c>
      <c r="S3855" s="5" t="str">
        <f>IFERROR(__xludf.DUMMYFUNCTION("""COMPUTED_VALUE"""),"Koi Aap Sa")</f>
        <v>Koi Aap Sa</v>
      </c>
      <c r="U3855" s="5" t="str">
        <f>IFERROR(__xludf.DUMMYFUNCTION("""COMPUTED_VALUE"""),"Ahmed El Gendy")</f>
        <v>Ahmed El Gendy</v>
      </c>
      <c r="V3855" s="5" t="s">
        <v>11920</v>
      </c>
      <c r="W3855" s="5" t="str">
        <f t="shared" si="3"/>
        <v>Shamzu Zayba</v>
      </c>
      <c r="X3855" s="5">
        <f t="shared" si="4"/>
        <v>1</v>
      </c>
      <c r="Y3855" s="5" t="str">
        <f>IFERROR(__xludf.DUMMYFUNCTION("REGEXEXTRACT(J3855, ""^\d+"")"),"1")</f>
        <v>1</v>
      </c>
      <c r="Z3855" s="5" t="str">
        <f>IFERROR(__xludf.DUMMYFUNCTION("REGEXEXTRACT(J3855, ""[A-Za-z ]+$"")")," Season")</f>
        <v> Season</v>
      </c>
      <c r="AA3855" s="5" t="str">
        <f>IFERROR(__xludf.DUMMYFUNCTION("IF(REGEXMATCH(Z3855, ""Season""), ""TV Show"", ""Movie"")"),"TV Show")</f>
        <v>TV Show</v>
      </c>
    </row>
    <row r="3856">
      <c r="A3856" s="1" t="s">
        <v>20888</v>
      </c>
      <c r="B3856" s="1" t="s">
        <v>37</v>
      </c>
      <c r="C3856" s="1" t="s">
        <v>20889</v>
      </c>
      <c r="E3856" s="1" t="s">
        <v>20890</v>
      </c>
      <c r="F3856" s="1" t="s">
        <v>9234</v>
      </c>
      <c r="G3856" s="7">
        <v>43592.0</v>
      </c>
      <c r="H3856" s="1">
        <v>2019.0</v>
      </c>
      <c r="I3856" s="1" t="s">
        <v>97</v>
      </c>
      <c r="J3856" s="1" t="s">
        <v>51</v>
      </c>
      <c r="K3856" s="1" t="s">
        <v>402</v>
      </c>
      <c r="L3856" s="1" t="s">
        <v>20891</v>
      </c>
      <c r="M3856" s="2" t="s">
        <v>12</v>
      </c>
      <c r="N3856" s="4">
        <f t="shared" si="1"/>
        <v>43592</v>
      </c>
      <c r="O3856" s="5" t="str">
        <f>IFERROR(__xludf.DUMMYFUNCTION("IF(REGEXMATCH(TRIM(I3856), ""^\d+\s*min""), ""Unclassified"", IF(I3856 = """", ""NR"", I3856))"),"TV-14")</f>
        <v>TV-14</v>
      </c>
      <c r="R3856" s="5" t="str">
        <f t="shared" si="2"/>
        <v>In The Bosom Of A Thorn</v>
      </c>
      <c r="S3856" s="5" t="str">
        <f>IFERROR(__xludf.DUMMYFUNCTION("""COMPUTED_VALUE"""),"Koko: The Gorilla Who Talks")</f>
        <v>Koko: The Gorilla Who Talks</v>
      </c>
      <c r="U3856" s="5" t="str">
        <f>IFERROR(__xludf.DUMMYFUNCTION("""COMPUTED_VALUE"""),"Holger Tappe")</f>
        <v>Holger Tappe</v>
      </c>
      <c r="V3856" s="5" t="s">
        <v>16355</v>
      </c>
      <c r="W3856" s="5" t="str">
        <f t="shared" si="3"/>
        <v>Shanavas K. Bavakutty</v>
      </c>
      <c r="X3856" s="5">
        <f t="shared" si="4"/>
        <v>1</v>
      </c>
      <c r="Y3856" s="5" t="str">
        <f>IFERROR(__xludf.DUMMYFUNCTION("REGEXEXTRACT(J3856, ""^\d+"")"),"1")</f>
        <v>1</v>
      </c>
      <c r="Z3856" s="5" t="str">
        <f>IFERROR(__xludf.DUMMYFUNCTION("REGEXEXTRACT(J3856, ""[A-Za-z ]+$"")")," Season")</f>
        <v> Season</v>
      </c>
      <c r="AA3856" s="5" t="str">
        <f>IFERROR(__xludf.DUMMYFUNCTION("IF(REGEXMATCH(Z3856, ""Season""), ""TV Show"", ""Movie"")"),"TV Show")</f>
        <v>TV Show</v>
      </c>
    </row>
    <row r="3857">
      <c r="A3857" s="1" t="s">
        <v>20892</v>
      </c>
      <c r="B3857" s="1" t="s">
        <v>37</v>
      </c>
      <c r="C3857" s="1" t="s">
        <v>20893</v>
      </c>
      <c r="E3857" s="1" t="s">
        <v>20894</v>
      </c>
      <c r="F3857" s="1" t="s">
        <v>3938</v>
      </c>
      <c r="G3857" s="7">
        <v>43592.0</v>
      </c>
      <c r="H3857" s="1">
        <v>2019.0</v>
      </c>
      <c r="I3857" s="1" t="s">
        <v>97</v>
      </c>
      <c r="J3857" s="1" t="s">
        <v>51</v>
      </c>
      <c r="K3857" s="1" t="s">
        <v>1362</v>
      </c>
      <c r="L3857" s="1" t="s">
        <v>20895</v>
      </c>
      <c r="M3857" s="2" t="s">
        <v>12</v>
      </c>
      <c r="N3857" s="4">
        <f t="shared" si="1"/>
        <v>43592</v>
      </c>
      <c r="O3857" s="5" t="str">
        <f>IFERROR(__xludf.DUMMYFUNCTION("IF(REGEXMATCH(TRIM(I3857), ""^\d+\s*min""), ""Unclassified"", IF(I3857 = """", ""NR"", I3857))"),"TV-14")</f>
        <v>TV-14</v>
      </c>
      <c r="R3857" s="5" t="str">
        <f t="shared" si="2"/>
        <v>The Writer</v>
      </c>
      <c r="S3857" s="5" t="str">
        <f>IFERROR(__xludf.DUMMYFUNCTION("""COMPUTED_VALUE"""),"Kolaiyuthir Kaalam")</f>
        <v>Kolaiyuthir Kaalam</v>
      </c>
      <c r="U3857" s="5" t="str">
        <f>IFERROR(__xludf.DUMMYFUNCTION("""COMPUTED_VALUE"""),"Steve Sacks")</f>
        <v>Steve Sacks</v>
      </c>
      <c r="V3857" s="5" t="s">
        <v>20896</v>
      </c>
      <c r="W3857" s="5" t="str">
        <f t="shared" si="3"/>
        <v>Shanawaz Nellikunnil</v>
      </c>
      <c r="X3857" s="5">
        <f t="shared" si="4"/>
        <v>1</v>
      </c>
      <c r="Y3857" s="5" t="str">
        <f>IFERROR(__xludf.DUMMYFUNCTION("REGEXEXTRACT(J3857, ""^\d+"")"),"1")</f>
        <v>1</v>
      </c>
      <c r="Z3857" s="5" t="str">
        <f>IFERROR(__xludf.DUMMYFUNCTION("REGEXEXTRACT(J3857, ""[A-Za-z ]+$"")")," Season")</f>
        <v> Season</v>
      </c>
      <c r="AA3857" s="5" t="str">
        <f>IFERROR(__xludf.DUMMYFUNCTION("IF(REGEXMATCH(Z3857, ""Season""), ""TV Show"", ""Movie"")"),"TV Show")</f>
        <v>TV Show</v>
      </c>
    </row>
    <row r="3858">
      <c r="A3858" s="1" t="s">
        <v>20897</v>
      </c>
      <c r="B3858" s="1" t="s">
        <v>37</v>
      </c>
      <c r="C3858" s="1" t="s">
        <v>20898</v>
      </c>
      <c r="E3858" s="1" t="s">
        <v>20899</v>
      </c>
      <c r="G3858" s="7">
        <v>43592.0</v>
      </c>
      <c r="H3858" s="1">
        <v>2019.0</v>
      </c>
      <c r="I3858" s="1" t="s">
        <v>97</v>
      </c>
      <c r="J3858" s="1" t="s">
        <v>51</v>
      </c>
      <c r="K3858" s="1" t="s">
        <v>402</v>
      </c>
      <c r="L3858" s="1" t="s">
        <v>20900</v>
      </c>
      <c r="M3858" s="2" t="s">
        <v>12</v>
      </c>
      <c r="N3858" s="4">
        <f t="shared" si="1"/>
        <v>43592</v>
      </c>
      <c r="O3858" s="5" t="str">
        <f>IFERROR(__xludf.DUMMYFUNCTION("IF(REGEXMATCH(TRIM(I3858), ""^\d+\s*min""), ""Unclassified"", IF(I3858 = """", ""NR"", I3858))"),"TV-14")</f>
        <v>TV-14</v>
      </c>
      <c r="R3858" s="5" t="str">
        <f t="shared" si="2"/>
        <v>What If?</v>
      </c>
      <c r="S3858" s="5" t="str">
        <f>IFERROR(__xludf.DUMMYFUNCTION("""COMPUTED_VALUE"""),"Komola Rocket")</f>
        <v>Komola Rocket</v>
      </c>
      <c r="U3858" s="5" t="str">
        <f>IFERROR(__xludf.DUMMYFUNCTION("""COMPUTED_VALUE"""),"Steve Ball, Andrew Duncan")</f>
        <v>Steve Ball, Andrew Duncan</v>
      </c>
      <c r="V3858" s="5" t="s">
        <v>20901</v>
      </c>
      <c r="W3858" s="5" t="str">
        <f t="shared" si="3"/>
        <v>Shane Acker</v>
      </c>
      <c r="X3858" s="5">
        <f t="shared" si="4"/>
        <v>1</v>
      </c>
      <c r="Y3858" s="5" t="str">
        <f>IFERROR(__xludf.DUMMYFUNCTION("REGEXEXTRACT(J3858, ""^\d+"")"),"1")</f>
        <v>1</v>
      </c>
      <c r="Z3858" s="5" t="str">
        <f>IFERROR(__xludf.DUMMYFUNCTION("REGEXEXTRACT(J3858, ""[A-Za-z ]+$"")")," Season")</f>
        <v> Season</v>
      </c>
      <c r="AA3858" s="5" t="str">
        <f>IFERROR(__xludf.DUMMYFUNCTION("IF(REGEXMATCH(Z3858, ""Season""), ""TV Show"", ""Movie"")"),"TV Show")</f>
        <v>TV Show</v>
      </c>
    </row>
    <row r="3859">
      <c r="A3859" s="1" t="s">
        <v>20902</v>
      </c>
      <c r="B3859" s="1" t="s">
        <v>27</v>
      </c>
      <c r="C3859" s="1" t="s">
        <v>20903</v>
      </c>
      <c r="D3859" s="1" t="s">
        <v>20904</v>
      </c>
      <c r="F3859" s="1" t="s">
        <v>20905</v>
      </c>
      <c r="G3859" s="7">
        <v>43591.0</v>
      </c>
      <c r="H3859" s="1">
        <v>2019.0</v>
      </c>
      <c r="I3859" s="1" t="s">
        <v>42</v>
      </c>
      <c r="J3859" s="1" t="s">
        <v>1144</v>
      </c>
      <c r="K3859" s="1" t="s">
        <v>156</v>
      </c>
      <c r="L3859" s="1" t="s">
        <v>20906</v>
      </c>
      <c r="M3859" s="2" t="s">
        <v>12</v>
      </c>
      <c r="N3859" s="4">
        <f t="shared" si="1"/>
        <v>43591</v>
      </c>
      <c r="O3859" s="5" t="str">
        <f>IFERROR(__xludf.DUMMYFUNCTION("IF(REGEXMATCH(TRIM(I3859), ""^\d+\s*min""), ""Unclassified"", IF(I3859 = """", ""NR"", I3859))"),"TV-MA")</f>
        <v>TV-MA</v>
      </c>
      <c r="R3859" s="5" t="str">
        <f t="shared" si="2"/>
        <v>Last Breath</v>
      </c>
      <c r="S3859" s="5" t="str">
        <f>IFERROR(__xludf.DUMMYFUNCTION("""COMPUTED_VALUE"""),"Kon Kon Kon")</f>
        <v>Kon Kon Kon</v>
      </c>
      <c r="U3859" s="5" t="str">
        <f>IFERROR(__xludf.DUMMYFUNCTION("""COMPUTED_VALUE"""),"William Lau, Sylvain Blais")</f>
        <v>William Lau, Sylvain Blais</v>
      </c>
      <c r="V3859" s="5" t="s">
        <v>20907</v>
      </c>
      <c r="W3859" s="5" t="str">
        <f t="shared" si="3"/>
        <v>Shanjey Kumar Perumal</v>
      </c>
      <c r="X3859" s="5">
        <f t="shared" si="4"/>
        <v>1</v>
      </c>
      <c r="Y3859" s="5" t="str">
        <f>IFERROR(__xludf.DUMMYFUNCTION("REGEXEXTRACT(J3859, ""^\d+"")"),"86")</f>
        <v>86</v>
      </c>
      <c r="Z3859" s="5" t="str">
        <f>IFERROR(__xludf.DUMMYFUNCTION("REGEXEXTRACT(J3859, ""[A-Za-z ]+$"")")," min")</f>
        <v> min</v>
      </c>
      <c r="AA3859" s="5" t="str">
        <f>IFERROR(__xludf.DUMMYFUNCTION("IF(REGEXMATCH(Z3859, ""Season""), ""TV Show"", ""Movie"")"),"Movie")</f>
        <v>Movie</v>
      </c>
    </row>
    <row r="3860">
      <c r="A3860" s="1" t="s">
        <v>20908</v>
      </c>
      <c r="B3860" s="1" t="s">
        <v>27</v>
      </c>
      <c r="C3860" s="1" t="s">
        <v>20909</v>
      </c>
      <c r="D3860" s="1" t="s">
        <v>7904</v>
      </c>
      <c r="E3860" s="1" t="s">
        <v>20910</v>
      </c>
      <c r="F3860" s="1" t="s">
        <v>3892</v>
      </c>
      <c r="G3860" s="7">
        <v>43591.0</v>
      </c>
      <c r="H3860" s="1">
        <v>2019.0</v>
      </c>
      <c r="I3860" s="1" t="s">
        <v>42</v>
      </c>
      <c r="J3860" s="1" t="s">
        <v>88</v>
      </c>
      <c r="K3860" s="1" t="s">
        <v>14382</v>
      </c>
      <c r="L3860" s="1" t="s">
        <v>20911</v>
      </c>
      <c r="M3860" s="2" t="s">
        <v>12</v>
      </c>
      <c r="N3860" s="4">
        <f t="shared" si="1"/>
        <v>43591</v>
      </c>
      <c r="O3860" s="5" t="str">
        <f>IFERROR(__xludf.DUMMYFUNCTION("IF(REGEXMATCH(TRIM(I3860), ""^\d+\s*min""), ""Unclassified"", IF(I3860 = """", ""NR"", I3860))"),"TV-MA")</f>
        <v>TV-MA</v>
      </c>
      <c r="R3860" s="5" t="str">
        <f t="shared" si="2"/>
        <v>The Wandering Earth</v>
      </c>
      <c r="S3860" s="5" t="str">
        <f>IFERROR(__xludf.DUMMYFUNCTION("""COMPUTED_VALUE"""),"Kon-Tiki")</f>
        <v>Kon-Tiki</v>
      </c>
      <c r="U3860" s="5" t="str">
        <f>IFERROR(__xludf.DUMMYFUNCTION("""COMPUTED_VALUE"""),"Dustin Mckenzie")</f>
        <v>Dustin Mckenzie</v>
      </c>
      <c r="V3860" s="5" t="s">
        <v>846</v>
      </c>
      <c r="W3860" s="5" t="str">
        <f t="shared" si="3"/>
        <v>Shanker Raman</v>
      </c>
      <c r="X3860" s="5">
        <f t="shared" si="4"/>
        <v>1</v>
      </c>
      <c r="Y3860" s="5" t="str">
        <f>IFERROR(__xludf.DUMMYFUNCTION("REGEXEXTRACT(J3860, ""^\d+"")"),"125")</f>
        <v>125</v>
      </c>
      <c r="Z3860" s="5" t="str">
        <f>IFERROR(__xludf.DUMMYFUNCTION("REGEXEXTRACT(J3860, ""[A-Za-z ]+$"")")," min")</f>
        <v> min</v>
      </c>
      <c r="AA3860" s="5" t="str">
        <f>IFERROR(__xludf.DUMMYFUNCTION("IF(REGEXMATCH(Z3860, ""Season""), ""TV Show"", ""Movie"")"),"Movie")</f>
        <v>Movie</v>
      </c>
    </row>
    <row r="3861">
      <c r="A3861" s="1" t="s">
        <v>20912</v>
      </c>
      <c r="B3861" s="1" t="s">
        <v>27</v>
      </c>
      <c r="C3861" s="1" t="s">
        <v>20913</v>
      </c>
      <c r="D3861" s="1" t="s">
        <v>9021</v>
      </c>
      <c r="F3861" s="1" t="s">
        <v>30</v>
      </c>
      <c r="G3861" s="7">
        <v>43588.0</v>
      </c>
      <c r="H3861" s="1">
        <v>2019.0</v>
      </c>
      <c r="I3861" s="1" t="s">
        <v>97</v>
      </c>
      <c r="J3861" s="1" t="s">
        <v>18322</v>
      </c>
      <c r="K3861" s="1" t="s">
        <v>1212</v>
      </c>
      <c r="L3861" s="1" t="s">
        <v>20914</v>
      </c>
      <c r="M3861" s="2" t="s">
        <v>12</v>
      </c>
      <c r="N3861" s="4">
        <f t="shared" si="1"/>
        <v>43588</v>
      </c>
      <c r="O3861" s="5" t="str">
        <f>IFERROR(__xludf.DUMMYFUNCTION("IF(REGEXMATCH(TRIM(I3861), ""^\d+\s*min""), ""Unclassified"", IF(I3861 = """", ""NR"", I3861))"),"TV-14")</f>
        <v>TV-14</v>
      </c>
      <c r="R3861" s="5" t="str">
        <f t="shared" si="2"/>
        <v>All In My Family</v>
      </c>
      <c r="S3861" s="5" t="str">
        <f>IFERROR(__xludf.DUMMYFUNCTION("""COMPUTED_VALUE"""),"Kong: King Of The Apes")</f>
        <v>Kong: King Of The Apes</v>
      </c>
      <c r="U3861" s="5" t="str">
        <f>IFERROR(__xludf.DUMMYFUNCTION("""COMPUTED_VALUE"""),"Victor Dal Chele, Alfred Gimeno")</f>
        <v>Victor Dal Chele, Alfred Gimeno</v>
      </c>
      <c r="V3861" s="5" t="s">
        <v>16570</v>
      </c>
      <c r="W3861" s="5" t="str">
        <f t="shared" si="3"/>
        <v>Shannon Hartman</v>
      </c>
      <c r="X3861" s="5">
        <f t="shared" si="4"/>
        <v>8</v>
      </c>
      <c r="Y3861" s="5" t="str">
        <f>IFERROR(__xludf.DUMMYFUNCTION("REGEXEXTRACT(J3861, ""^\d+"")"),"40")</f>
        <v>40</v>
      </c>
      <c r="Z3861" s="5" t="str">
        <f>IFERROR(__xludf.DUMMYFUNCTION("REGEXEXTRACT(J3861, ""[A-Za-z ]+$"")")," min")</f>
        <v> min</v>
      </c>
      <c r="AA3861" s="5" t="str">
        <f>IFERROR(__xludf.DUMMYFUNCTION("IF(REGEXMATCH(Z3861, ""Season""), ""TV Show"", ""Movie"")"),"Movie")</f>
        <v>Movie</v>
      </c>
    </row>
    <row r="3862">
      <c r="A3862" s="1" t="s">
        <v>20915</v>
      </c>
      <c r="B3862" s="1" t="s">
        <v>37</v>
      </c>
      <c r="C3862" s="1" t="s">
        <v>20916</v>
      </c>
      <c r="D3862" s="1" t="s">
        <v>7544</v>
      </c>
      <c r="E3862" s="1" t="s">
        <v>20917</v>
      </c>
      <c r="F3862" s="1" t="s">
        <v>162</v>
      </c>
      <c r="G3862" s="7">
        <v>43588.0</v>
      </c>
      <c r="H3862" s="1">
        <v>2019.0</v>
      </c>
      <c r="I3862" s="1" t="s">
        <v>42</v>
      </c>
      <c r="J3862" s="1" t="s">
        <v>51</v>
      </c>
      <c r="K3862" s="1" t="s">
        <v>785</v>
      </c>
      <c r="L3862" s="1" t="s">
        <v>20918</v>
      </c>
      <c r="M3862" s="2" t="s">
        <v>12</v>
      </c>
      <c r="N3862" s="4">
        <f t="shared" si="1"/>
        <v>43588</v>
      </c>
      <c r="O3862" s="5" t="str">
        <f>IFERROR(__xludf.DUMMYFUNCTION("IF(REGEXMATCH(TRIM(I3862), ""^\d+\s*min""), ""Unclassified"", IF(I3862 = """", ""NR"", I3862))"),"TV-MA")</f>
        <v>TV-MA</v>
      </c>
      <c r="R3862" s="5" t="str">
        <f t="shared" si="2"/>
        <v>Crime Diaries: Night Out</v>
      </c>
      <c r="S3862" s="5" t="str">
        <f>IFERROR(__xludf.DUMMYFUNCTION("""COMPUTED_VALUE"""),"Kongsuni And Friends")</f>
        <v>Kongsuni And Friends</v>
      </c>
      <c r="U3862" s="5" t="str">
        <f>IFERROR(__xludf.DUMMYFUNCTION("""COMPUTED_VALUE"""),"Mike Fetterly, Steve Sacks")</f>
        <v>Mike Fetterly, Steve Sacks</v>
      </c>
      <c r="V3862" s="5" t="s">
        <v>20919</v>
      </c>
      <c r="W3862" s="5" t="str">
        <f t="shared" si="3"/>
        <v>Shannon Hartman, Michelle Caputo</v>
      </c>
      <c r="X3862" s="5">
        <f t="shared" si="4"/>
        <v>1</v>
      </c>
      <c r="Y3862" s="5" t="str">
        <f>IFERROR(__xludf.DUMMYFUNCTION("REGEXEXTRACT(J3862, ""^\d+"")"),"1")</f>
        <v>1</v>
      </c>
      <c r="Z3862" s="5" t="str">
        <f>IFERROR(__xludf.DUMMYFUNCTION("REGEXEXTRACT(J3862, ""[A-Za-z ]+$"")")," Season")</f>
        <v> Season</v>
      </c>
      <c r="AA3862" s="5" t="str">
        <f>IFERROR(__xludf.DUMMYFUNCTION("IF(REGEXMATCH(Z3862, ""Season""), ""TV Show"", ""Movie"")"),"TV Show")</f>
        <v>TV Show</v>
      </c>
    </row>
    <row r="3863">
      <c r="A3863" s="1" t="s">
        <v>20920</v>
      </c>
      <c r="B3863" s="1" t="s">
        <v>37</v>
      </c>
      <c r="C3863" s="1" t="s">
        <v>20921</v>
      </c>
      <c r="E3863" s="1" t="s">
        <v>20922</v>
      </c>
      <c r="F3863" s="1" t="s">
        <v>20923</v>
      </c>
      <c r="G3863" s="7">
        <v>43588.0</v>
      </c>
      <c r="H3863" s="1">
        <v>2019.0</v>
      </c>
      <c r="I3863" s="1" t="s">
        <v>289</v>
      </c>
      <c r="J3863" s="1" t="s">
        <v>43</v>
      </c>
      <c r="K3863" s="1" t="s">
        <v>314</v>
      </c>
      <c r="L3863" s="1" t="s">
        <v>20924</v>
      </c>
      <c r="M3863" s="2" t="s">
        <v>12</v>
      </c>
      <c r="N3863" s="4">
        <f t="shared" si="1"/>
        <v>43588</v>
      </c>
      <c r="O3863" s="5" t="str">
        <f>IFERROR(__xludf.DUMMYFUNCTION("IF(REGEXMATCH(TRIM(I3863), ""^\d+\s*min""), ""Unclassified"", IF(I3863 = """", ""NR"", I3863))"),"TV-Y7")</f>
        <v>TV-Y7</v>
      </c>
      <c r="R3863" s="5" t="str">
        <f t="shared" si="2"/>
        <v>Cupcake &amp; Dino - General Services</v>
      </c>
      <c r="S3863" s="5" t="str">
        <f>IFERROR(__xludf.DUMMYFUNCTION("""COMPUTED_VALUE"""),"Kopitiam")</f>
        <v>Kopitiam</v>
      </c>
      <c r="U3863" s="5" t="str">
        <f>IFERROR(__xludf.DUMMYFUNCTION("""COMPUTED_VALUE"""),"Dan Fraga, William Lau")</f>
        <v>Dan Fraga, William Lau</v>
      </c>
      <c r="V3863" s="5" t="s">
        <v>5469</v>
      </c>
      <c r="W3863" s="5" t="str">
        <f t="shared" si="3"/>
        <v>Shantrelle P. Lewis</v>
      </c>
      <c r="X3863" s="5">
        <f t="shared" si="4"/>
        <v>1</v>
      </c>
      <c r="Y3863" s="5" t="str">
        <f>IFERROR(__xludf.DUMMYFUNCTION("REGEXEXTRACT(J3863, ""^\d+"")"),"2")</f>
        <v>2</v>
      </c>
      <c r="Z3863" s="5" t="str">
        <f>IFERROR(__xludf.DUMMYFUNCTION("REGEXEXTRACT(J3863, ""[A-Za-z ]+$"")")," Seasons")</f>
        <v> Seasons</v>
      </c>
      <c r="AA3863" s="5" t="str">
        <f>IFERROR(__xludf.DUMMYFUNCTION("IF(REGEXMATCH(Z3863, ""Season""), ""TV Show"", ""Movie"")"),"TV Show")</f>
        <v>TV Show</v>
      </c>
    </row>
    <row r="3864">
      <c r="A3864" s="1" t="s">
        <v>20925</v>
      </c>
      <c r="B3864" s="1" t="s">
        <v>27</v>
      </c>
      <c r="C3864" s="1" t="s">
        <v>20926</v>
      </c>
      <c r="D3864" s="1" t="s">
        <v>8049</v>
      </c>
      <c r="E3864" s="1" t="s">
        <v>20927</v>
      </c>
      <c r="F3864" s="1" t="s">
        <v>784</v>
      </c>
      <c r="G3864" s="7">
        <v>43588.0</v>
      </c>
      <c r="H3864" s="1">
        <v>2019.0</v>
      </c>
      <c r="I3864" s="1" t="s">
        <v>42</v>
      </c>
      <c r="J3864" s="1" t="s">
        <v>6391</v>
      </c>
      <c r="K3864" s="1" t="s">
        <v>215</v>
      </c>
      <c r="L3864" s="1" t="s">
        <v>20928</v>
      </c>
      <c r="M3864" s="2" t="s">
        <v>12</v>
      </c>
      <c r="N3864" s="4">
        <f t="shared" si="1"/>
        <v>43588</v>
      </c>
      <c r="O3864" s="5" t="str">
        <f>IFERROR(__xludf.DUMMYFUNCTION("IF(REGEXMATCH(TRIM(I3864), ""^\d+\s*min""), ""Unclassified"", IF(I3864 = """", ""NR"", I3864))"),"TV-MA")</f>
        <v>TV-MA</v>
      </c>
      <c r="R3864" s="5" t="str">
        <f t="shared" si="2"/>
        <v>Despite Everything</v>
      </c>
      <c r="S3864" s="5" t="str">
        <f>IFERROR(__xludf.DUMMYFUNCTION("""COMPUTED_VALUE"""),"Korean Cold Noodle Rhapsody")</f>
        <v>Korean Cold Noodle Rhapsody</v>
      </c>
      <c r="U3864" s="5" t="str">
        <f>IFERROR(__xludf.DUMMYFUNCTION("""COMPUTED_VALUE"""),"Audu Paden, Eric Radomski")</f>
        <v>Audu Paden, Eric Radomski</v>
      </c>
      <c r="V3864" s="5" t="s">
        <v>1311</v>
      </c>
      <c r="W3864" s="5" t="str">
        <f t="shared" si="3"/>
        <v>Sharan Koppisetty</v>
      </c>
      <c r="X3864" s="5">
        <f t="shared" si="4"/>
        <v>1</v>
      </c>
      <c r="Y3864" s="5" t="str">
        <f>IFERROR(__xludf.DUMMYFUNCTION("REGEXEXTRACT(J3864, ""^\d+"")"),"79")</f>
        <v>79</v>
      </c>
      <c r="Z3864" s="5" t="str">
        <f>IFERROR(__xludf.DUMMYFUNCTION("REGEXEXTRACT(J3864, ""[A-Za-z ]+$"")")," min")</f>
        <v> min</v>
      </c>
      <c r="AA3864" s="5" t="str">
        <f>IFERROR(__xludf.DUMMYFUNCTION("IF(REGEXMATCH(Z3864, ""Season""), ""TV Show"", ""Movie"")"),"Movie")</f>
        <v>Movie</v>
      </c>
    </row>
    <row r="3865">
      <c r="A3865" s="1" t="s">
        <v>20929</v>
      </c>
      <c r="B3865" s="1" t="s">
        <v>27</v>
      </c>
      <c r="C3865" s="1" t="s">
        <v>20930</v>
      </c>
      <c r="D3865" s="1" t="s">
        <v>7826</v>
      </c>
      <c r="E3865" s="1" t="s">
        <v>20931</v>
      </c>
      <c r="F3865" s="1" t="s">
        <v>30</v>
      </c>
      <c r="G3865" s="7">
        <v>43588.0</v>
      </c>
      <c r="H3865" s="1">
        <v>2019.0</v>
      </c>
      <c r="I3865" s="1" t="s">
        <v>378</v>
      </c>
      <c r="J3865" s="1" t="s">
        <v>297</v>
      </c>
      <c r="K3865" s="1" t="s">
        <v>1320</v>
      </c>
      <c r="L3865" s="1" t="s">
        <v>20932</v>
      </c>
      <c r="M3865" s="2" t="s">
        <v>12</v>
      </c>
      <c r="N3865" s="4">
        <f t="shared" si="1"/>
        <v>43588</v>
      </c>
      <c r="O3865" s="5" t="str">
        <f>IFERROR(__xludf.DUMMYFUNCTION("IF(REGEXMATCH(TRIM(I3865), ""^\d+\s*min""), ""Unclassified"", IF(I3865 = """", ""NR"", I3865))"),"R")</f>
        <v>R</v>
      </c>
      <c r="R3865" s="5" t="str">
        <f t="shared" si="2"/>
        <v>Extremely Wicked, Shockingly Evil And Vile</v>
      </c>
      <c r="S3865" s="5" t="str">
        <f>IFERROR(__xludf.DUMMYFUNCTION("""COMPUTED_VALUE"""),"Korean Pork Belly Rhapsody")</f>
        <v>Korean Pork Belly Rhapsody</v>
      </c>
      <c r="U3865" s="5" t="str">
        <f>IFERROR(__xludf.DUMMYFUNCTION("""COMPUTED_VALUE"""),"Dustin Mckenzie, Andrew Duncan, Audu Paden")</f>
        <v>Dustin Mckenzie, Andrew Duncan, Audu Paden</v>
      </c>
      <c r="V3865" s="5" t="s">
        <v>12221</v>
      </c>
      <c r="W3865" s="5" t="str">
        <f t="shared" si="3"/>
        <v>Sharan Sharma</v>
      </c>
      <c r="X3865" s="5">
        <f t="shared" si="4"/>
        <v>1</v>
      </c>
      <c r="Y3865" s="5" t="str">
        <f>IFERROR(__xludf.DUMMYFUNCTION("REGEXEXTRACT(J3865, ""^\d+"")"),"110")</f>
        <v>110</v>
      </c>
      <c r="Z3865" s="5" t="str">
        <f>IFERROR(__xludf.DUMMYFUNCTION("REGEXEXTRACT(J3865, ""[A-Za-z ]+$"")")," min")</f>
        <v> min</v>
      </c>
      <c r="AA3865" s="5" t="str">
        <f>IFERROR(__xludf.DUMMYFUNCTION("IF(REGEXMATCH(Z3865, ""Season""), ""TV Show"", ""Movie"")"),"Movie")</f>
        <v>Movie</v>
      </c>
    </row>
    <row r="3866">
      <c r="A3866" s="1" t="s">
        <v>20933</v>
      </c>
      <c r="B3866" s="1" t="s">
        <v>37</v>
      </c>
      <c r="C3866" s="1" t="s">
        <v>20934</v>
      </c>
      <c r="E3866" s="1" t="s">
        <v>20935</v>
      </c>
      <c r="F3866" s="1" t="s">
        <v>96</v>
      </c>
      <c r="G3866" s="7">
        <v>43588.0</v>
      </c>
      <c r="H3866" s="1">
        <v>2019.0</v>
      </c>
      <c r="I3866" s="1" t="s">
        <v>136</v>
      </c>
      <c r="J3866" s="1" t="s">
        <v>51</v>
      </c>
      <c r="K3866" s="1" t="s">
        <v>440</v>
      </c>
      <c r="L3866" s="1" t="s">
        <v>20936</v>
      </c>
      <c r="M3866" s="2" t="s">
        <v>12</v>
      </c>
      <c r="N3866" s="4">
        <f t="shared" si="1"/>
        <v>43588</v>
      </c>
      <c r="O3866" s="5" t="str">
        <f>IFERROR(__xludf.DUMMYFUNCTION("IF(REGEXMATCH(TRIM(I3866), ""^\d+\s*min""), ""Unclassified"", IF(I3866 = """", ""NR"", I3866))"),"TV-PG")</f>
        <v>TV-PG</v>
      </c>
      <c r="R3866" s="5" t="str">
        <f t="shared" si="2"/>
        <v>Flinch</v>
      </c>
      <c r="S3866" s="5" t="str">
        <f>IFERROR(__xludf.DUMMYFUNCTION("""COMPUTED_VALUE"""),"Koshish")</f>
        <v>Koshish</v>
      </c>
      <c r="U3866" s="5" t="str">
        <f>IFERROR(__xludf.DUMMYFUNCTION("""COMPUTED_VALUE"""),"Dustin Mckenzie, Steve Sacks")</f>
        <v>Dustin Mckenzie, Steve Sacks</v>
      </c>
      <c r="V3866" s="5" t="s">
        <v>15814</v>
      </c>
      <c r="W3866" s="5" t="str">
        <f t="shared" si="3"/>
        <v>Sharmeen Obaid-Chinoy</v>
      </c>
      <c r="X3866" s="5">
        <f t="shared" si="4"/>
        <v>1</v>
      </c>
      <c r="Y3866" s="5" t="str">
        <f>IFERROR(__xludf.DUMMYFUNCTION("REGEXEXTRACT(J3866, ""^\d+"")"),"1")</f>
        <v>1</v>
      </c>
      <c r="Z3866" s="5" t="str">
        <f>IFERROR(__xludf.DUMMYFUNCTION("REGEXEXTRACT(J3866, ""[A-Za-z ]+$"")")," Season")</f>
        <v> Season</v>
      </c>
      <c r="AA3866" s="5" t="str">
        <f>IFERROR(__xludf.DUMMYFUNCTION("IF(REGEXMATCH(Z3866, ""Season""), ""TV Show"", ""Movie"")"),"TV Show")</f>
        <v>TV Show</v>
      </c>
    </row>
    <row r="3867">
      <c r="A3867" s="1" t="s">
        <v>20937</v>
      </c>
      <c r="B3867" s="1" t="s">
        <v>27</v>
      </c>
      <c r="C3867" s="1" t="s">
        <v>20938</v>
      </c>
      <c r="D3867" s="1" t="s">
        <v>20939</v>
      </c>
      <c r="E3867" s="1" t="s">
        <v>20940</v>
      </c>
      <c r="F3867" s="1" t="s">
        <v>749</v>
      </c>
      <c r="G3867" s="7">
        <v>43588.0</v>
      </c>
      <c r="H3867" s="1">
        <v>2018.0</v>
      </c>
      <c r="I3867" s="1" t="s">
        <v>42</v>
      </c>
      <c r="J3867" s="1" t="s">
        <v>757</v>
      </c>
      <c r="K3867" s="1" t="s">
        <v>298</v>
      </c>
      <c r="L3867" s="1" t="s">
        <v>20941</v>
      </c>
      <c r="M3867" s="2" t="s">
        <v>12</v>
      </c>
      <c r="N3867" s="4">
        <f t="shared" si="1"/>
        <v>43588</v>
      </c>
      <c r="O3867" s="5" t="str">
        <f>IFERROR(__xludf.DUMMYFUNCTION("IF(REGEXMATCH(TRIM(I3867), ""^\d+\s*min""), ""Unclassified"", IF(I3867 = """", ""NR"", I3867))"),"TV-MA")</f>
        <v>TV-MA</v>
      </c>
      <c r="R3867" s="5" t="str">
        <f t="shared" si="2"/>
        <v>Jo Pil-Ho: The Dawning Rage</v>
      </c>
      <c r="S3867" s="5" t="str">
        <f>IFERROR(__xludf.DUMMYFUNCTION("""COMPUTED_VALUE"""),"Kota Factory")</f>
        <v>Kota Factory</v>
      </c>
      <c r="U3867" s="5" t="str">
        <f>IFERROR(__xludf.DUMMYFUNCTION("""COMPUTED_VALUE"""),"Rachel Bell")</f>
        <v>Rachel Bell</v>
      </c>
      <c r="V3867" s="5" t="s">
        <v>20942</v>
      </c>
      <c r="W3867" s="5" t="str">
        <f t="shared" si="3"/>
        <v>Sharon Grimberg</v>
      </c>
      <c r="X3867" s="5">
        <f t="shared" si="4"/>
        <v>1</v>
      </c>
      <c r="Y3867" s="5" t="str">
        <f>IFERROR(__xludf.DUMMYFUNCTION("REGEXEXTRACT(J3867, ""^\d+"")"),"128")</f>
        <v>128</v>
      </c>
      <c r="Z3867" s="5" t="str">
        <f>IFERROR(__xludf.DUMMYFUNCTION("REGEXEXTRACT(J3867, ""[A-Za-z ]+$"")")," min")</f>
        <v> min</v>
      </c>
      <c r="AA3867" s="5" t="str">
        <f>IFERROR(__xludf.DUMMYFUNCTION("IF(REGEXMATCH(Z3867, ""Season""), ""TV Show"", ""Movie"")"),"Movie")</f>
        <v>Movie</v>
      </c>
    </row>
    <row r="3868">
      <c r="A3868" s="1" t="s">
        <v>20943</v>
      </c>
      <c r="B3868" s="1" t="s">
        <v>27</v>
      </c>
      <c r="C3868" s="1" t="s">
        <v>20944</v>
      </c>
      <c r="D3868" s="1" t="s">
        <v>20945</v>
      </c>
      <c r="E3868" s="1" t="s">
        <v>20946</v>
      </c>
      <c r="F3868" s="1" t="s">
        <v>30</v>
      </c>
      <c r="G3868" s="7">
        <v>43588.0</v>
      </c>
      <c r="H3868" s="1">
        <v>2019.0</v>
      </c>
      <c r="I3868" s="1" t="s">
        <v>97</v>
      </c>
      <c r="J3868" s="1" t="s">
        <v>297</v>
      </c>
      <c r="K3868" s="1" t="s">
        <v>813</v>
      </c>
      <c r="L3868" s="1" t="s">
        <v>20947</v>
      </c>
      <c r="M3868" s="2" t="s">
        <v>12</v>
      </c>
      <c r="N3868" s="4">
        <f t="shared" si="1"/>
        <v>43588</v>
      </c>
      <c r="O3868" s="5" t="str">
        <f>IFERROR(__xludf.DUMMYFUNCTION("IF(REGEXMATCH(TRIM(I3868), ""^\d+\s*min""), ""Unclassified"", IF(I3868 = """", ""NR"", I3868))"),"TV-14")</f>
        <v>TV-14</v>
      </c>
      <c r="R3868" s="5" t="str">
        <f t="shared" si="2"/>
        <v>The Last Summer</v>
      </c>
      <c r="S3868" s="5" t="str">
        <f>IFERROR(__xludf.DUMMYFUNCTION("""COMPUTED_VALUE"""),"Kraftidioten")</f>
        <v>Kraftidioten</v>
      </c>
      <c r="U3868" s="5" t="str">
        <f>IFERROR(__xludf.DUMMYFUNCTION("""COMPUTED_VALUE"""),"Barry Jenkins")</f>
        <v>Barry Jenkins</v>
      </c>
      <c r="V3868" s="5" t="s">
        <v>15280</v>
      </c>
      <c r="W3868" s="5" t="str">
        <f t="shared" si="3"/>
        <v>Shashank Khaitan</v>
      </c>
      <c r="X3868" s="5">
        <f t="shared" si="4"/>
        <v>1</v>
      </c>
      <c r="Y3868" s="5" t="str">
        <f>IFERROR(__xludf.DUMMYFUNCTION("REGEXEXTRACT(J3868, ""^\d+"")"),"110")</f>
        <v>110</v>
      </c>
      <c r="Z3868" s="5" t="str">
        <f>IFERROR(__xludf.DUMMYFUNCTION("REGEXEXTRACT(J3868, ""[A-Za-z ]+$"")")," min")</f>
        <v> min</v>
      </c>
      <c r="AA3868" s="5" t="str">
        <f>IFERROR(__xludf.DUMMYFUNCTION("IF(REGEXMATCH(Z3868, ""Season""), ""TV Show"", ""Movie"")"),"Movie")</f>
        <v>Movie</v>
      </c>
    </row>
    <row r="3869">
      <c r="A3869" s="1" t="s">
        <v>20948</v>
      </c>
      <c r="B3869" s="1" t="s">
        <v>37</v>
      </c>
      <c r="C3869" s="1" t="s">
        <v>20949</v>
      </c>
      <c r="E3869" s="1" t="s">
        <v>20950</v>
      </c>
      <c r="F3869" s="1" t="s">
        <v>30</v>
      </c>
      <c r="G3869" s="7">
        <v>43588.0</v>
      </c>
      <c r="H3869" s="1">
        <v>2019.0</v>
      </c>
      <c r="I3869" s="1" t="s">
        <v>42</v>
      </c>
      <c r="J3869" s="1" t="s">
        <v>51</v>
      </c>
      <c r="K3869" s="1" t="s">
        <v>270</v>
      </c>
      <c r="L3869" s="1" t="s">
        <v>20951</v>
      </c>
      <c r="M3869" s="2" t="s">
        <v>12</v>
      </c>
      <c r="N3869" s="4">
        <f t="shared" si="1"/>
        <v>43588</v>
      </c>
      <c r="O3869" s="5" t="str">
        <f>IFERROR(__xludf.DUMMYFUNCTION("IF(REGEXMATCH(TRIM(I3869), ""^\d+\s*min""), ""Unclassified"", IF(I3869 = """", ""NR"", I3869))"),"TV-MA")</f>
        <v>TV-MA</v>
      </c>
      <c r="R3869" s="5" t="str">
        <f t="shared" si="2"/>
        <v>Tuca &amp; Bertie</v>
      </c>
      <c r="S3869" s="5" t="str">
        <f>IFERROR(__xludf.DUMMYFUNCTION("""COMPUTED_VALUE"""),"Krish Trish And Baltiboy")</f>
        <v>Krish Trish And Baltiboy</v>
      </c>
      <c r="U3869" s="5" t="str">
        <f>IFERROR(__xludf.DUMMYFUNCTION("""COMPUTED_VALUE"""),"Antoine Bardou-Jacquet")</f>
        <v>Antoine Bardou-Jacquet</v>
      </c>
      <c r="V3869" s="5" t="s">
        <v>6110</v>
      </c>
      <c r="W3869" s="5" t="str">
        <f t="shared" si="3"/>
        <v>Shashank Khaitan, Raj Mehta, Neeraj Ghaywan, Kayoze Irani</v>
      </c>
      <c r="X3869" s="5">
        <f t="shared" si="4"/>
        <v>1</v>
      </c>
      <c r="Y3869" s="5" t="str">
        <f>IFERROR(__xludf.DUMMYFUNCTION("REGEXEXTRACT(J3869, ""^\d+"")"),"1")</f>
        <v>1</v>
      </c>
      <c r="Z3869" s="5" t="str">
        <f>IFERROR(__xludf.DUMMYFUNCTION("REGEXEXTRACT(J3869, ""[A-Za-z ]+$"")")," Season")</f>
        <v> Season</v>
      </c>
      <c r="AA3869" s="5" t="str">
        <f>IFERROR(__xludf.DUMMYFUNCTION("IF(REGEXMATCH(Z3869, ""Season""), ""TV Show"", ""Movie"")"),"TV Show")</f>
        <v>TV Show</v>
      </c>
    </row>
    <row r="3870">
      <c r="A3870" s="1" t="s">
        <v>20952</v>
      </c>
      <c r="B3870" s="1" t="s">
        <v>27</v>
      </c>
      <c r="C3870" s="1" t="s">
        <v>20953</v>
      </c>
      <c r="D3870" s="1" t="s">
        <v>14395</v>
      </c>
      <c r="E3870" s="1" t="s">
        <v>20954</v>
      </c>
      <c r="F3870" s="1" t="s">
        <v>63</v>
      </c>
      <c r="G3870" s="7">
        <v>43587.0</v>
      </c>
      <c r="H3870" s="1">
        <v>2018.0</v>
      </c>
      <c r="I3870" s="1" t="s">
        <v>136</v>
      </c>
      <c r="J3870" s="1" t="s">
        <v>349</v>
      </c>
      <c r="K3870" s="1" t="s">
        <v>583</v>
      </c>
      <c r="L3870" s="1" t="s">
        <v>20955</v>
      </c>
      <c r="M3870" s="2" t="s">
        <v>12</v>
      </c>
      <c r="N3870" s="4">
        <f t="shared" si="1"/>
        <v>43587</v>
      </c>
      <c r="O3870" s="5" t="str">
        <f>IFERROR(__xludf.DUMMYFUNCTION("IF(REGEXMATCH(TRIM(I3870), ""^\d+\s*min""), ""Unclassified"", IF(I3870 = """", ""NR"", I3870))"),"TV-PG")</f>
        <v>TV-PG</v>
      </c>
      <c r="R3870" s="5" t="str">
        <f t="shared" si="2"/>
        <v>Laatu</v>
      </c>
      <c r="S3870" s="5" t="str">
        <f>IFERROR(__xludf.DUMMYFUNCTION("""COMPUTED_VALUE"""),"Krish Trish And Baltiboy: Battle Of Wits")</f>
        <v>Krish Trish And Baltiboy: Battle Of Wits</v>
      </c>
      <c r="U3870" s="5" t="str">
        <f>IFERROR(__xludf.DUMMYFUNCTION("""COMPUTED_VALUE"""),"Jami")</f>
        <v>Jami</v>
      </c>
      <c r="V3870" s="5" t="s">
        <v>20956</v>
      </c>
      <c r="W3870" s="5" t="str">
        <f t="shared" si="3"/>
        <v>Shashanka Ghosh</v>
      </c>
      <c r="X3870" s="5">
        <f t="shared" si="4"/>
        <v>1</v>
      </c>
      <c r="Y3870" s="5" t="str">
        <f>IFERROR(__xludf.DUMMYFUNCTION("REGEXEXTRACT(J3870, ""^\d+"")"),"116")</f>
        <v>116</v>
      </c>
      <c r="Z3870" s="5" t="str">
        <f>IFERROR(__xludf.DUMMYFUNCTION("REGEXEXTRACT(J3870, ""[A-Za-z ]+$"")")," min")</f>
        <v> min</v>
      </c>
      <c r="AA3870" s="5" t="str">
        <f>IFERROR(__xludf.DUMMYFUNCTION("IF(REGEXMATCH(Z3870, ""Season""), ""TV Show"", ""Movie"")"),"Movie")</f>
        <v>Movie</v>
      </c>
    </row>
    <row r="3871">
      <c r="A3871" s="1" t="s">
        <v>20957</v>
      </c>
      <c r="B3871" s="1" t="s">
        <v>27</v>
      </c>
      <c r="C3871" s="1" t="s">
        <v>20958</v>
      </c>
      <c r="D3871" s="1" t="s">
        <v>391</v>
      </c>
      <c r="E3871" s="1" t="s">
        <v>20959</v>
      </c>
      <c r="F3871" s="1" t="s">
        <v>30</v>
      </c>
      <c r="G3871" s="7">
        <v>43587.0</v>
      </c>
      <c r="H3871" s="1">
        <v>2013.0</v>
      </c>
      <c r="I3871" s="1" t="s">
        <v>378</v>
      </c>
      <c r="J3871" s="1" t="s">
        <v>804</v>
      </c>
      <c r="K3871" s="1" t="s">
        <v>380</v>
      </c>
      <c r="L3871" s="1" t="s">
        <v>20960</v>
      </c>
      <c r="M3871" s="2" t="s">
        <v>12</v>
      </c>
      <c r="N3871" s="4">
        <f t="shared" si="1"/>
        <v>43587</v>
      </c>
      <c r="O3871" s="5" t="str">
        <f>IFERROR(__xludf.DUMMYFUNCTION("IF(REGEXMATCH(TRIM(I3871), ""^\d+\s*min""), ""Unclassified"", IF(I3871 = """", ""NR"", I3871))"),"R")</f>
        <v>R</v>
      </c>
      <c r="R3871" s="5" t="str">
        <f t="shared" si="2"/>
        <v>Olympus Has Fallen</v>
      </c>
      <c r="S3871" s="5" t="str">
        <f>IFERROR(__xludf.DUMMYFUNCTION("""COMPUTED_VALUE"""),"Krish Trish And Baltiboy: Best Friends Forever")</f>
        <v>Krish Trish And Baltiboy: Best Friends Forever</v>
      </c>
      <c r="U3871" s="5" t="str">
        <f>IFERROR(__xludf.DUMMYFUNCTION("""COMPUTED_VALUE"""),"Chad Hartigan")</f>
        <v>Chad Hartigan</v>
      </c>
      <c r="V3871" s="5" t="s">
        <v>18042</v>
      </c>
      <c r="W3871" s="5" t="str">
        <f t="shared" si="3"/>
        <v>Shashanka Ghosh, Samit Basu</v>
      </c>
      <c r="X3871" s="5">
        <f t="shared" si="4"/>
        <v>1</v>
      </c>
      <c r="Y3871" s="5" t="str">
        <f>IFERROR(__xludf.DUMMYFUNCTION("REGEXEXTRACT(J3871, ""^\d+"")"),"119")</f>
        <v>119</v>
      </c>
      <c r="Z3871" s="5" t="str">
        <f>IFERROR(__xludf.DUMMYFUNCTION("REGEXEXTRACT(J3871, ""[A-Za-z ]+$"")")," min")</f>
        <v> min</v>
      </c>
      <c r="AA3871" s="5" t="str">
        <f>IFERROR(__xludf.DUMMYFUNCTION("IF(REGEXMATCH(Z3871, ""Season""), ""TV Show"", ""Movie"")"),"Movie")</f>
        <v>Movie</v>
      </c>
    </row>
    <row r="3872">
      <c r="A3872" s="1" t="s">
        <v>20961</v>
      </c>
      <c r="B3872" s="1" t="s">
        <v>37</v>
      </c>
      <c r="C3872" s="1" t="s">
        <v>20962</v>
      </c>
      <c r="E3872" s="1" t="s">
        <v>20963</v>
      </c>
      <c r="F3872" s="1" t="s">
        <v>415</v>
      </c>
      <c r="G3872" s="7">
        <v>43586.0</v>
      </c>
      <c r="H3872" s="1">
        <v>2008.0</v>
      </c>
      <c r="I3872" s="1" t="s">
        <v>42</v>
      </c>
      <c r="J3872" s="1" t="s">
        <v>43</v>
      </c>
      <c r="K3872" s="1" t="s">
        <v>567</v>
      </c>
      <c r="L3872" s="1" t="s">
        <v>20964</v>
      </c>
      <c r="M3872" s="2" t="s">
        <v>12</v>
      </c>
      <c r="N3872" s="4">
        <f t="shared" si="1"/>
        <v>43586</v>
      </c>
      <c r="O3872" s="5" t="str">
        <f>IFERROR(__xludf.DUMMYFUNCTION("IF(REGEXMATCH(TRIM(I3872), ""^\d+\s*min""), ""Unclassified"", IF(I3872 = """", ""NR"", I3872))"),"TV-MA")</f>
        <v>TV-MA</v>
      </c>
      <c r="R3872" s="5" t="str">
        <f t="shared" si="2"/>
        <v>Code Geass: Lelouch Of The Rebellion</v>
      </c>
      <c r="S3872" s="5" t="str">
        <f>IFERROR(__xludf.DUMMYFUNCTION("""COMPUTED_VALUE"""),"Krish Trish And Baltiboy: Comics Of India")</f>
        <v>Krish Trish And Baltiboy: Comics Of India</v>
      </c>
      <c r="U3872" s="5" t="str">
        <f>IFERROR(__xludf.DUMMYFUNCTION("""COMPUTED_VALUE"""),"Michael Mayer")</f>
        <v>Michael Mayer</v>
      </c>
      <c r="V3872" s="5" t="s">
        <v>20965</v>
      </c>
      <c r="W3872" s="5" t="str">
        <f t="shared" si="3"/>
        <v>Shashilal K. Nair</v>
      </c>
      <c r="X3872" s="5">
        <f t="shared" si="4"/>
        <v>1</v>
      </c>
      <c r="Y3872" s="5" t="str">
        <f>IFERROR(__xludf.DUMMYFUNCTION("REGEXEXTRACT(J3872, ""^\d+"")"),"2")</f>
        <v>2</v>
      </c>
      <c r="Z3872" s="5" t="str">
        <f>IFERROR(__xludf.DUMMYFUNCTION("REGEXEXTRACT(J3872, ""[A-Za-z ]+$"")")," Seasons")</f>
        <v> Seasons</v>
      </c>
      <c r="AA3872" s="5" t="str">
        <f>IFERROR(__xludf.DUMMYFUNCTION("IF(REGEXMATCH(Z3872, ""Season""), ""TV Show"", ""Movie"")"),"TV Show")</f>
        <v>TV Show</v>
      </c>
    </row>
    <row r="3873">
      <c r="A3873" s="1" t="s">
        <v>20966</v>
      </c>
      <c r="B3873" s="1" t="s">
        <v>27</v>
      </c>
      <c r="C3873" s="1" t="s">
        <v>20967</v>
      </c>
      <c r="D3873" s="1" t="s">
        <v>15632</v>
      </c>
      <c r="E3873" s="1" t="s">
        <v>20968</v>
      </c>
      <c r="F3873" s="1" t="s">
        <v>96</v>
      </c>
      <c r="G3873" s="7">
        <v>43586.0</v>
      </c>
      <c r="H3873" s="1">
        <v>2018.0</v>
      </c>
      <c r="I3873" s="1" t="s">
        <v>42</v>
      </c>
      <c r="J3873" s="1" t="s">
        <v>33</v>
      </c>
      <c r="K3873" s="1" t="s">
        <v>700</v>
      </c>
      <c r="L3873" s="1" t="s">
        <v>20969</v>
      </c>
      <c r="M3873" s="2" t="s">
        <v>12</v>
      </c>
      <c r="N3873" s="4">
        <f t="shared" si="1"/>
        <v>43586</v>
      </c>
      <c r="O3873" s="5" t="str">
        <f>IFERROR(__xludf.DUMMYFUNCTION("IF(REGEXMATCH(TRIM(I3873), ""^\d+\s*min""), ""Unclassified"", IF(I3873 = """", ""NR"", I3873))"),"TV-MA")</f>
        <v>TV-MA</v>
      </c>
      <c r="R3873" s="5" t="str">
        <f t="shared" si="2"/>
        <v>John &amp; Yoko: Above Us Only Sky</v>
      </c>
      <c r="S3873" s="5" t="str">
        <f>IFERROR(__xludf.DUMMYFUNCTION("""COMPUTED_VALUE"""),"Krish Trish And Baltiboy: Face Your Fears")</f>
        <v>Krish Trish And Baltiboy: Face Your Fears</v>
      </c>
      <c r="U3873" s="5" t="str">
        <f>IFERROR(__xludf.DUMMYFUNCTION("""COMPUTED_VALUE"""),"Avadhoot Gupte")</f>
        <v>Avadhoot Gupte</v>
      </c>
      <c r="V3873" s="5" t="s">
        <v>20970</v>
      </c>
      <c r="W3873" s="5" t="str">
        <f t="shared" si="3"/>
        <v>Shaul Schwarz, Christina Clusiau</v>
      </c>
      <c r="X3873" s="5">
        <f t="shared" si="4"/>
        <v>1</v>
      </c>
      <c r="Y3873" s="5" t="str">
        <f>IFERROR(__xludf.DUMMYFUNCTION("REGEXEXTRACT(J3873, ""^\d+"")"),"90")</f>
        <v>90</v>
      </c>
      <c r="Z3873" s="5" t="str">
        <f>IFERROR(__xludf.DUMMYFUNCTION("REGEXEXTRACT(J3873, ""[A-Za-z ]+$"")")," min")</f>
        <v> min</v>
      </c>
      <c r="AA3873" s="5" t="str">
        <f>IFERROR(__xludf.DUMMYFUNCTION("IF(REGEXMATCH(Z3873, ""Season""), ""TV Show"", ""Movie"")"),"Movie")</f>
        <v>Movie</v>
      </c>
    </row>
    <row r="3874">
      <c r="A3874" s="1" t="s">
        <v>20971</v>
      </c>
      <c r="B3874" s="1" t="s">
        <v>27</v>
      </c>
      <c r="C3874" s="1" t="s">
        <v>20972</v>
      </c>
      <c r="D3874" s="1" t="s">
        <v>18521</v>
      </c>
      <c r="E3874" s="1" t="s">
        <v>20973</v>
      </c>
      <c r="F3874" s="1" t="s">
        <v>30</v>
      </c>
      <c r="G3874" s="7">
        <v>43586.0</v>
      </c>
      <c r="H3874" s="1">
        <v>2019.0</v>
      </c>
      <c r="I3874" s="1" t="s">
        <v>78</v>
      </c>
      <c r="J3874" s="1" t="s">
        <v>428</v>
      </c>
      <c r="K3874" s="1" t="s">
        <v>34</v>
      </c>
      <c r="L3874" s="1" t="s">
        <v>20974</v>
      </c>
      <c r="M3874" s="2" t="s">
        <v>12</v>
      </c>
      <c r="N3874" s="4">
        <f t="shared" si="1"/>
        <v>43586</v>
      </c>
      <c r="O3874" s="5" t="str">
        <f>IFERROR(__xludf.DUMMYFUNCTION("IF(REGEXMATCH(TRIM(I3874), ""^\d+\s*min""), ""Unclassified"", IF(I3874 = """", ""NR"", I3874))"),"PG")</f>
        <v>PG</v>
      </c>
      <c r="R3874" s="5" t="str">
        <f t="shared" si="2"/>
        <v>Knock Down The House</v>
      </c>
      <c r="S3874" s="5" t="str">
        <f>IFERROR(__xludf.DUMMYFUNCTION("""COMPUTED_VALUE"""),"Krish Trish And Baltiboy: Oversmartness Never Pays")</f>
        <v>Krish Trish And Baltiboy: Oversmartness Never Pays</v>
      </c>
      <c r="U3874" s="5" t="str">
        <f>IFERROR(__xludf.DUMMYFUNCTION("""COMPUTED_VALUE"""),"Jennifer Peedom")</f>
        <v>Jennifer Peedom</v>
      </c>
      <c r="V3874" s="5" t="s">
        <v>11558</v>
      </c>
      <c r="W3874" s="5" t="str">
        <f t="shared" si="3"/>
        <v>Shaun Mir</v>
      </c>
      <c r="X3874" s="5">
        <f t="shared" si="4"/>
        <v>1</v>
      </c>
      <c r="Y3874" s="5" t="str">
        <f>IFERROR(__xludf.DUMMYFUNCTION("REGEXEXTRACT(J3874, ""^\d+"")"),"88")</f>
        <v>88</v>
      </c>
      <c r="Z3874" s="5" t="str">
        <f>IFERROR(__xludf.DUMMYFUNCTION("REGEXEXTRACT(J3874, ""[A-Za-z ]+$"")")," min")</f>
        <v> min</v>
      </c>
      <c r="AA3874" s="5" t="str">
        <f>IFERROR(__xludf.DUMMYFUNCTION("IF(REGEXMATCH(Z3874, ""Season""), ""TV Show"", ""Movie"")"),"Movie")</f>
        <v>Movie</v>
      </c>
    </row>
    <row r="3875">
      <c r="A3875" s="1" t="s">
        <v>20975</v>
      </c>
      <c r="B3875" s="1" t="s">
        <v>27</v>
      </c>
      <c r="C3875" s="1" t="s">
        <v>20976</v>
      </c>
      <c r="D3875" s="1" t="s">
        <v>20977</v>
      </c>
      <c r="E3875" s="1" t="s">
        <v>20978</v>
      </c>
      <c r="F3875" s="1" t="s">
        <v>3321</v>
      </c>
      <c r="G3875" s="7">
        <v>43586.0</v>
      </c>
      <c r="H3875" s="1">
        <v>2018.0</v>
      </c>
      <c r="I3875" s="1" t="s">
        <v>42</v>
      </c>
      <c r="J3875" s="1" t="s">
        <v>106</v>
      </c>
      <c r="K3875" s="1" t="s">
        <v>1441</v>
      </c>
      <c r="L3875" s="1" t="s">
        <v>20979</v>
      </c>
      <c r="M3875" s="2" t="s">
        <v>12</v>
      </c>
      <c r="N3875" s="4">
        <f t="shared" si="1"/>
        <v>43586</v>
      </c>
      <c r="O3875" s="5" t="str">
        <f>IFERROR(__xludf.DUMMYFUNCTION("IF(REGEXMATCH(TRIM(I3875), ""^\d+\s*min""), ""Unclassified"", IF(I3875 = """", ""NR"", I3875))"),"TV-MA")</f>
        <v>TV-MA</v>
      </c>
      <c r="R3875" s="5" t="str">
        <f t="shared" si="2"/>
        <v>Munafik 2</v>
      </c>
      <c r="S3875" s="5" t="str">
        <f>IFERROR(__xludf.DUMMYFUNCTION("""COMPUTED_VALUE"""),"Krish Trish And Baltiboy: Part Ii")</f>
        <v>Krish Trish And Baltiboy: Part Ii</v>
      </c>
      <c r="U3875" s="5" t="str">
        <f>IFERROR(__xludf.DUMMYFUNCTION("""COMPUTED_VALUE"""),"Peter Farrelly, Will Graham, Steve Carr, Griffin Dunne, Steve Brill, James Duffy, Jonathan Van Tulleken, Elizabeth Banks, Patrik Forsberg, Brett Ratner, Rusty Cundieff, James Gunn")</f>
        <v>Peter Farrelly, Will Graham, Steve Carr, Griffin Dunne, Steve Brill, James Duffy, Jonathan Van Tulleken, Elizabeth Banks, Patrik Forsberg, Brett Ratner, Rusty Cundieff, James Gunn</v>
      </c>
      <c r="V3875" s="5" t="s">
        <v>9077</v>
      </c>
      <c r="W3875" s="5" t="str">
        <f t="shared" si="3"/>
        <v>Shaun Paul Piccinino</v>
      </c>
      <c r="X3875" s="5">
        <f t="shared" si="4"/>
        <v>4</v>
      </c>
      <c r="Y3875" s="5" t="str">
        <f>IFERROR(__xludf.DUMMYFUNCTION("REGEXEXTRACT(J3875, ""^\d+"")"),"104")</f>
        <v>104</v>
      </c>
      <c r="Z3875" s="5" t="str">
        <f>IFERROR(__xludf.DUMMYFUNCTION("REGEXEXTRACT(J3875, ""[A-Za-z ]+$"")")," min")</f>
        <v> min</v>
      </c>
      <c r="AA3875" s="5" t="str">
        <f>IFERROR(__xludf.DUMMYFUNCTION("IF(REGEXMATCH(Z3875, ""Season""), ""TV Show"", ""Movie"")"),"Movie")</f>
        <v>Movie</v>
      </c>
    </row>
    <row r="3876">
      <c r="A3876" s="1" t="s">
        <v>20980</v>
      </c>
      <c r="B3876" s="1" t="s">
        <v>27</v>
      </c>
      <c r="C3876" s="1" t="s">
        <v>20981</v>
      </c>
      <c r="D3876" s="1" t="s">
        <v>14428</v>
      </c>
      <c r="E3876" s="1" t="s">
        <v>20982</v>
      </c>
      <c r="F3876" s="1" t="s">
        <v>63</v>
      </c>
      <c r="G3876" s="7">
        <v>43586.0</v>
      </c>
      <c r="H3876" s="1">
        <v>2019.0</v>
      </c>
      <c r="I3876" s="1" t="s">
        <v>97</v>
      </c>
      <c r="J3876" s="1" t="s">
        <v>1704</v>
      </c>
      <c r="K3876" s="1" t="s">
        <v>583</v>
      </c>
      <c r="L3876" s="1" t="s">
        <v>20983</v>
      </c>
      <c r="M3876" s="2" t="s">
        <v>12</v>
      </c>
      <c r="N3876" s="4">
        <f t="shared" si="1"/>
        <v>43586</v>
      </c>
      <c r="O3876" s="5" t="str">
        <f>IFERROR(__xludf.DUMMYFUNCTION("IF(REGEXMATCH(TRIM(I3876), ""^\d+\s*min""), ""Unclassified"", IF(I3876 = """", ""NR"", I3876))"),"TV-14")</f>
        <v>TV-14</v>
      </c>
      <c r="R3876" s="5" t="str">
        <f t="shared" si="2"/>
        <v>Sur Sapata</v>
      </c>
      <c r="S3876" s="5" t="str">
        <f>IFERROR(__xludf.DUMMYFUNCTION("""COMPUTED_VALUE"""),"Krish Trish And Baltiboy: The Greatest Trick")</f>
        <v>Krish Trish And Baltiboy: The Greatest Trick</v>
      </c>
      <c r="U3876" s="5" t="str">
        <f>IFERROR(__xludf.DUMMYFUNCTION("""COMPUTED_VALUE"""),"Tomer Heymann")</f>
        <v>Tomer Heymann</v>
      </c>
      <c r="V3876" s="5" t="s">
        <v>20984</v>
      </c>
      <c r="W3876" s="5" t="str">
        <f t="shared" si="3"/>
        <v>Shawn Arranha</v>
      </c>
      <c r="X3876" s="5">
        <f t="shared" si="4"/>
        <v>1</v>
      </c>
      <c r="Y3876" s="5" t="str">
        <f>IFERROR(__xludf.DUMMYFUNCTION("REGEXEXTRACT(J3876, ""^\d+"")"),"140")</f>
        <v>140</v>
      </c>
      <c r="Z3876" s="5" t="str">
        <f>IFERROR(__xludf.DUMMYFUNCTION("REGEXEXTRACT(J3876, ""[A-Za-z ]+$"")")," min")</f>
        <v> min</v>
      </c>
      <c r="AA3876" s="5" t="str">
        <f>IFERROR(__xludf.DUMMYFUNCTION("IF(REGEXMATCH(Z3876, ""Season""), ""TV Show"", ""Movie"")"),"Movie")</f>
        <v>Movie</v>
      </c>
    </row>
    <row r="3877">
      <c r="A3877" s="1" t="s">
        <v>20985</v>
      </c>
      <c r="B3877" s="1" t="s">
        <v>27</v>
      </c>
      <c r="C3877" s="1" t="s">
        <v>20986</v>
      </c>
      <c r="D3877" s="1" t="s">
        <v>9289</v>
      </c>
      <c r="E3877" s="1" t="s">
        <v>20987</v>
      </c>
      <c r="F3877" s="1" t="s">
        <v>1119</v>
      </c>
      <c r="G3877" s="1" t="s">
        <v>20988</v>
      </c>
      <c r="H3877" s="1">
        <v>2019.0</v>
      </c>
      <c r="I3877" s="1" t="s">
        <v>42</v>
      </c>
      <c r="J3877" s="1" t="s">
        <v>665</v>
      </c>
      <c r="K3877" s="1" t="s">
        <v>199</v>
      </c>
      <c r="L3877" s="1" t="s">
        <v>20989</v>
      </c>
      <c r="M3877" s="2" t="s">
        <v>12</v>
      </c>
      <c r="N3877" s="4">
        <f t="shared" si="1"/>
        <v>43585</v>
      </c>
      <c r="O3877" s="5" t="str">
        <f>IFERROR(__xludf.DUMMYFUNCTION("IF(REGEXMATCH(TRIM(I3877), ""^\d+\s*min""), ""Unclassified"", IF(I3877 = """", ""NR"", I3877))"),"TV-MA")</f>
        <v>TV-MA</v>
      </c>
      <c r="R3877" s="5" t="str">
        <f t="shared" si="2"/>
        <v>A Home With A View</v>
      </c>
      <c r="S3877" s="5" t="str">
        <f>IFERROR(__xludf.DUMMYFUNCTION("""COMPUTED_VALUE"""),"Krisha")</f>
        <v>Krisha</v>
      </c>
      <c r="U3877" s="5" t="str">
        <f>IFERROR(__xludf.DUMMYFUNCTION("""COMPUTED_VALUE"""),"Anthony Chan")</f>
        <v>Anthony Chan</v>
      </c>
      <c r="V3877" s="5" t="s">
        <v>20990</v>
      </c>
      <c r="W3877" s="5" t="str">
        <f t="shared" si="3"/>
        <v>Shawn Crahan</v>
      </c>
      <c r="X3877" s="5">
        <f t="shared" si="4"/>
        <v>1</v>
      </c>
      <c r="Y3877" s="5" t="str">
        <f>IFERROR(__xludf.DUMMYFUNCTION("REGEXEXTRACT(J3877, ""^\d+"")"),"92")</f>
        <v>92</v>
      </c>
      <c r="Z3877" s="5" t="str">
        <f>IFERROR(__xludf.DUMMYFUNCTION("REGEXEXTRACT(J3877, ""[A-Za-z ]+$"")")," min")</f>
        <v> min</v>
      </c>
      <c r="AA3877" s="5" t="str">
        <f>IFERROR(__xludf.DUMMYFUNCTION("IF(REGEXMATCH(Z3877, ""Season""), ""TV Show"", ""Movie"")"),"Movie")</f>
        <v>Movie</v>
      </c>
    </row>
    <row r="3878">
      <c r="A3878" s="1" t="s">
        <v>20991</v>
      </c>
      <c r="B3878" s="1" t="s">
        <v>37</v>
      </c>
      <c r="C3878" s="1" t="s">
        <v>20992</v>
      </c>
      <c r="E3878" s="1" t="s">
        <v>20993</v>
      </c>
      <c r="F3878" s="1" t="s">
        <v>2059</v>
      </c>
      <c r="G3878" s="1" t="s">
        <v>20988</v>
      </c>
      <c r="H3878" s="1">
        <v>2014.0</v>
      </c>
      <c r="I3878" s="1" t="s">
        <v>97</v>
      </c>
      <c r="J3878" s="1" t="s">
        <v>51</v>
      </c>
      <c r="K3878" s="1" t="s">
        <v>933</v>
      </c>
      <c r="L3878" s="1" t="s">
        <v>20994</v>
      </c>
      <c r="M3878" s="2" t="s">
        <v>12</v>
      </c>
      <c r="N3878" s="4">
        <f t="shared" si="1"/>
        <v>43585</v>
      </c>
      <c r="O3878" s="5" t="str">
        <f>IFERROR(__xludf.DUMMYFUNCTION("IF(REGEXMATCH(TRIM(I3878), ""^\d+\s*min""), ""Unclassified"", IF(I3878 = """", ""NR"", I3878))"),"TV-14")</f>
        <v>TV-14</v>
      </c>
      <c r="R3878" s="5" t="str">
        <f t="shared" si="2"/>
        <v>Angel 'N' Devil</v>
      </c>
      <c r="S3878" s="5" t="str">
        <f>IFERROR(__xludf.DUMMYFUNCTION("""COMPUTED_VALUE"""),"Krishna And His Leela")</f>
        <v>Krishna And His Leela</v>
      </c>
      <c r="U3878" s="5" t="str">
        <f>IFERROR(__xludf.DUMMYFUNCTION("""COMPUTED_VALUE"""),"Craig Gillespie")</f>
        <v>Craig Gillespie</v>
      </c>
      <c r="V3878" s="5" t="s">
        <v>11250</v>
      </c>
      <c r="W3878" s="5" t="str">
        <f t="shared" si="3"/>
        <v>Shawn Levy</v>
      </c>
      <c r="X3878" s="5">
        <f t="shared" si="4"/>
        <v>3</v>
      </c>
      <c r="Y3878" s="5" t="str">
        <f>IFERROR(__xludf.DUMMYFUNCTION("REGEXEXTRACT(J3878, ""^\d+"")"),"1")</f>
        <v>1</v>
      </c>
      <c r="Z3878" s="5" t="str">
        <f>IFERROR(__xludf.DUMMYFUNCTION("REGEXEXTRACT(J3878, ""[A-Za-z ]+$"")")," Season")</f>
        <v> Season</v>
      </c>
      <c r="AA3878" s="5" t="str">
        <f>IFERROR(__xludf.DUMMYFUNCTION("IF(REGEXMATCH(Z3878, ""Season""), ""TV Show"", ""Movie"")"),"TV Show")</f>
        <v>TV Show</v>
      </c>
    </row>
    <row r="3879">
      <c r="A3879" s="1" t="s">
        <v>20995</v>
      </c>
      <c r="B3879" s="1" t="s">
        <v>27</v>
      </c>
      <c r="C3879" s="1" t="s">
        <v>20996</v>
      </c>
      <c r="D3879" s="1" t="s">
        <v>14140</v>
      </c>
      <c r="E3879" s="1" t="s">
        <v>20997</v>
      </c>
      <c r="F3879" s="1" t="s">
        <v>30</v>
      </c>
      <c r="G3879" s="1" t="s">
        <v>20988</v>
      </c>
      <c r="H3879" s="1">
        <v>2019.0</v>
      </c>
      <c r="I3879" s="1" t="s">
        <v>42</v>
      </c>
      <c r="J3879" s="1" t="s">
        <v>1838</v>
      </c>
      <c r="K3879" s="1" t="s">
        <v>1839</v>
      </c>
      <c r="L3879" s="1" t="s">
        <v>20998</v>
      </c>
      <c r="M3879" s="2" t="s">
        <v>12</v>
      </c>
      <c r="N3879" s="4">
        <f t="shared" si="1"/>
        <v>43585</v>
      </c>
      <c r="O3879" s="5" t="str">
        <f>IFERROR(__xludf.DUMMYFUNCTION("IF(REGEXMATCH(TRIM(I3879), ""^\d+\s*min""), ""Unclassified"", IF(I3879 = """", ""NR"", I3879))"),"TV-MA")</f>
        <v>TV-MA</v>
      </c>
      <c r="R3879" s="5" t="str">
        <f t="shared" si="2"/>
        <v>Anthony Jeselnik: Fire In The Maternity Ward</v>
      </c>
      <c r="S3879" s="5" t="str">
        <f>IFERROR(__xludf.DUMMYFUNCTION("""COMPUTED_VALUE"""),"Krishna Balram")</f>
        <v>Krishna Balram</v>
      </c>
      <c r="U3879" s="5" t="str">
        <f>IFERROR(__xludf.DUMMYFUNCTION("""COMPUTED_VALUE"""),"Alexandre Heboyan, Benoît Philippon")</f>
        <v>Alexandre Heboyan, Benoît Philippon</v>
      </c>
      <c r="V3879" s="5" t="s">
        <v>6774</v>
      </c>
      <c r="W3879" s="5" t="str">
        <f t="shared" si="3"/>
        <v>Shawn Rech</v>
      </c>
      <c r="X3879" s="5">
        <f t="shared" si="4"/>
        <v>1</v>
      </c>
      <c r="Y3879" s="5" t="str">
        <f>IFERROR(__xludf.DUMMYFUNCTION("REGEXEXTRACT(J3879, ""^\d+"")"),"64")</f>
        <v>64</v>
      </c>
      <c r="Z3879" s="5" t="str">
        <f>IFERROR(__xludf.DUMMYFUNCTION("REGEXEXTRACT(J3879, ""[A-Za-z ]+$"")")," min")</f>
        <v> min</v>
      </c>
      <c r="AA3879" s="5" t="str">
        <f>IFERROR(__xludf.DUMMYFUNCTION("IF(REGEXMATCH(Z3879, ""Season""), ""TV Show"", ""Movie"")"),"Movie")</f>
        <v>Movie</v>
      </c>
    </row>
    <row r="3880">
      <c r="A3880" s="1" t="s">
        <v>20999</v>
      </c>
      <c r="B3880" s="1" t="s">
        <v>37</v>
      </c>
      <c r="C3880" s="1" t="s">
        <v>21000</v>
      </c>
      <c r="E3880" s="1" t="s">
        <v>21001</v>
      </c>
      <c r="F3880" s="1" t="s">
        <v>1119</v>
      </c>
      <c r="G3880" s="1" t="s">
        <v>20988</v>
      </c>
      <c r="H3880" s="1">
        <v>2018.0</v>
      </c>
      <c r="I3880" s="1" t="s">
        <v>42</v>
      </c>
      <c r="J3880" s="1" t="s">
        <v>51</v>
      </c>
      <c r="K3880" s="1" t="s">
        <v>1531</v>
      </c>
      <c r="L3880" s="1" t="s">
        <v>21002</v>
      </c>
      <c r="M3880" s="2" t="s">
        <v>12</v>
      </c>
      <c r="N3880" s="4">
        <f t="shared" si="1"/>
        <v>43585</v>
      </c>
      <c r="O3880" s="5" t="str">
        <f>IFERROR(__xludf.DUMMYFUNCTION("IF(REGEXMATCH(TRIM(I3880), ""^\d+\s*min""), ""Unclassified"", IF(I3880 = """", ""NR"", I3880))"),"TV-MA")</f>
        <v>TV-MA</v>
      </c>
      <c r="R3880" s="5" t="str">
        <f t="shared" si="2"/>
        <v>Hong Kong West Side Stories</v>
      </c>
      <c r="S3880" s="5" t="str">
        <f>IFERROR(__xludf.DUMMYFUNCTION("""COMPUTED_VALUE"""),"Krishna Cottage")</f>
        <v>Krishna Cottage</v>
      </c>
      <c r="U3880" s="5" t="str">
        <f>IFERROR(__xludf.DUMMYFUNCTION("""COMPUTED_VALUE"""),"James Bobin")</f>
        <v>James Bobin</v>
      </c>
      <c r="V3880" s="5" t="s">
        <v>8638</v>
      </c>
      <c r="W3880" s="5" t="str">
        <f t="shared" si="3"/>
        <v>Shaz Bennett</v>
      </c>
      <c r="X3880" s="5">
        <f t="shared" si="4"/>
        <v>1</v>
      </c>
      <c r="Y3880" s="5" t="str">
        <f>IFERROR(__xludf.DUMMYFUNCTION("REGEXEXTRACT(J3880, ""^\d+"")"),"1")</f>
        <v>1</v>
      </c>
      <c r="Z3880" s="5" t="str">
        <f>IFERROR(__xludf.DUMMYFUNCTION("REGEXEXTRACT(J3880, ""[A-Za-z ]+$"")")," Season")</f>
        <v> Season</v>
      </c>
      <c r="AA3880" s="5" t="str">
        <f>IFERROR(__xludf.DUMMYFUNCTION("IF(REGEXMATCH(Z3880, ""Season""), ""TV Show"", ""Movie"")"),"TV Show")</f>
        <v>TV Show</v>
      </c>
    </row>
    <row r="3881">
      <c r="A3881" s="1" t="s">
        <v>21003</v>
      </c>
      <c r="B3881" s="1" t="s">
        <v>37</v>
      </c>
      <c r="C3881" s="1" t="s">
        <v>21004</v>
      </c>
      <c r="E3881" s="1" t="s">
        <v>21005</v>
      </c>
      <c r="F3881" s="1" t="s">
        <v>415</v>
      </c>
      <c r="G3881" s="1" t="s">
        <v>20988</v>
      </c>
      <c r="H3881" s="1">
        <v>2018.0</v>
      </c>
      <c r="I3881" s="1" t="s">
        <v>42</v>
      </c>
      <c r="J3881" s="1" t="s">
        <v>51</v>
      </c>
      <c r="K3881" s="1" t="s">
        <v>3858</v>
      </c>
      <c r="L3881" s="1" t="s">
        <v>21006</v>
      </c>
      <c r="M3881" s="2" t="s">
        <v>12</v>
      </c>
      <c r="N3881" s="4">
        <f t="shared" si="1"/>
        <v>43585</v>
      </c>
      <c r="O3881" s="5" t="str">
        <f>IFERROR(__xludf.DUMMYFUNCTION("IF(REGEXMATCH(TRIM(I3881), ""^\d+\s*min""), ""Unclassified"", IF(I3881 = """", ""NR"", I3881))"),"TV-MA")</f>
        <v>TV-MA</v>
      </c>
      <c r="R3881" s="5" t="str">
        <f t="shared" si="2"/>
        <v>Ingress: The Animation</v>
      </c>
      <c r="S3881" s="5" t="str">
        <f>IFERROR(__xludf.DUMMYFUNCTION("""COMPUTED_VALUE"""),"Kristy")</f>
        <v>Kristy</v>
      </c>
      <c r="U3881" s="5" t="str">
        <f>IFERROR(__xludf.DUMMYFUNCTION("""COMPUTED_VALUE"""),"Lewis Milestone, Carol Reed")</f>
        <v>Lewis Milestone, Carol Reed</v>
      </c>
      <c r="V3881" s="5" t="s">
        <v>21007</v>
      </c>
      <c r="W3881" s="5" t="str">
        <f t="shared" si="3"/>
        <v>Shazia Ali Khan</v>
      </c>
      <c r="X3881" s="5">
        <f t="shared" si="4"/>
        <v>1</v>
      </c>
      <c r="Y3881" s="5" t="str">
        <f>IFERROR(__xludf.DUMMYFUNCTION("REGEXEXTRACT(J3881, ""^\d+"")"),"1")</f>
        <v>1</v>
      </c>
      <c r="Z3881" s="5" t="str">
        <f>IFERROR(__xludf.DUMMYFUNCTION("REGEXEXTRACT(J3881, ""[A-Za-z ]+$"")")," Season")</f>
        <v> Season</v>
      </c>
      <c r="AA3881" s="5" t="str">
        <f>IFERROR(__xludf.DUMMYFUNCTION("IF(REGEXMATCH(Z3881, ""Season""), ""TV Show"", ""Movie"")"),"TV Show")</f>
        <v>TV Show</v>
      </c>
    </row>
    <row r="3882">
      <c r="A3882" s="1" t="s">
        <v>21008</v>
      </c>
      <c r="B3882" s="1" t="s">
        <v>37</v>
      </c>
      <c r="C3882" s="1" t="s">
        <v>21009</v>
      </c>
      <c r="E3882" s="1" t="s">
        <v>21010</v>
      </c>
      <c r="G3882" s="1" t="s">
        <v>20988</v>
      </c>
      <c r="H3882" s="1">
        <v>2013.0</v>
      </c>
      <c r="I3882" s="1" t="s">
        <v>97</v>
      </c>
      <c r="J3882" s="1" t="s">
        <v>51</v>
      </c>
      <c r="K3882" s="1" t="s">
        <v>1531</v>
      </c>
      <c r="L3882" s="1" t="s">
        <v>21011</v>
      </c>
      <c r="M3882" s="2" t="s">
        <v>12</v>
      </c>
      <c r="N3882" s="4">
        <f t="shared" si="1"/>
        <v>43585</v>
      </c>
      <c r="O3882" s="5" t="str">
        <f>IFERROR(__xludf.DUMMYFUNCTION("IF(REGEXMATCH(TRIM(I3882), ""^\d+\s*min""), ""Unclassified"", IF(I3882 = """", ""NR"", I3882))"),"TV-14")</f>
        <v>TV-14</v>
      </c>
      <c r="R3882" s="5" t="str">
        <f t="shared" si="2"/>
        <v>K.O. One Re-Act</v>
      </c>
      <c r="S3882" s="5" t="str">
        <f>IFERROR(__xludf.DUMMYFUNCTION("""COMPUTED_VALUE"""),"Krutant")</f>
        <v>Krutant</v>
      </c>
      <c r="U3882" s="5" t="str">
        <f>IFERROR(__xludf.DUMMYFUNCTION("""COMPUTED_VALUE"""),"Bruce Mcdonald")</f>
        <v>Bruce Mcdonald</v>
      </c>
      <c r="V3882" s="5" t="s">
        <v>21012</v>
      </c>
      <c r="W3882" s="5" t="str">
        <f t="shared" si="3"/>
        <v>Shazia Javed</v>
      </c>
      <c r="X3882" s="5">
        <f t="shared" si="4"/>
        <v>1</v>
      </c>
      <c r="Y3882" s="5" t="str">
        <f>IFERROR(__xludf.DUMMYFUNCTION("REGEXEXTRACT(J3882, ""^\d+"")"),"1")</f>
        <v>1</v>
      </c>
      <c r="Z3882" s="5" t="str">
        <f>IFERROR(__xludf.DUMMYFUNCTION("REGEXEXTRACT(J3882, ""[A-Za-z ]+$"")")," Season")</f>
        <v> Season</v>
      </c>
      <c r="AA3882" s="5" t="str">
        <f>IFERROR(__xludf.DUMMYFUNCTION("IF(REGEXMATCH(Z3882, ""Season""), ""TV Show"", ""Movie"")"),"TV Show")</f>
        <v>TV Show</v>
      </c>
    </row>
    <row r="3883">
      <c r="A3883" s="1" t="s">
        <v>21013</v>
      </c>
      <c r="B3883" s="1" t="s">
        <v>37</v>
      </c>
      <c r="C3883" s="1" t="s">
        <v>21014</v>
      </c>
      <c r="E3883" s="1" t="s">
        <v>21015</v>
      </c>
      <c r="F3883" s="1" t="s">
        <v>2059</v>
      </c>
      <c r="G3883" s="1" t="s">
        <v>20988</v>
      </c>
      <c r="H3883" s="1">
        <v>2009.0</v>
      </c>
      <c r="I3883" s="1" t="s">
        <v>97</v>
      </c>
      <c r="J3883" s="1" t="s">
        <v>51</v>
      </c>
      <c r="K3883" s="1" t="s">
        <v>17883</v>
      </c>
      <c r="L3883" s="1" t="s">
        <v>21016</v>
      </c>
      <c r="M3883" s="2" t="s">
        <v>12</v>
      </c>
      <c r="N3883" s="4">
        <f t="shared" si="1"/>
        <v>43585</v>
      </c>
      <c r="O3883" s="5" t="str">
        <f>IFERROR(__xludf.DUMMYFUNCTION("IF(REGEXMATCH(TRIM(I3883), ""^\d+\s*min""), ""Unclassified"", IF(I3883 = """", ""NR"", I3883))"),"TV-14")</f>
        <v>TV-14</v>
      </c>
      <c r="R3883" s="5" t="str">
        <f t="shared" si="2"/>
        <v>K.O.3An Guo</v>
      </c>
      <c r="S3883" s="5" t="str">
        <f>IFERROR(__xludf.DUMMYFUNCTION("""COMPUTED_VALUE"""),"Krystal")</f>
        <v>Krystal</v>
      </c>
      <c r="U3883" s="5" t="str">
        <f>IFERROR(__xludf.DUMMYFUNCTION("""COMPUTED_VALUE"""),"Waymon Boone")</f>
        <v>Waymon Boone</v>
      </c>
      <c r="V3883" s="5" t="s">
        <v>21017</v>
      </c>
      <c r="W3883" s="5" t="str">
        <f t="shared" si="3"/>
        <v>Shekhar Kapur</v>
      </c>
      <c r="X3883" s="5">
        <f t="shared" si="4"/>
        <v>1</v>
      </c>
      <c r="Y3883" s="5" t="str">
        <f>IFERROR(__xludf.DUMMYFUNCTION("REGEXEXTRACT(J3883, ""^\d+"")"),"1")</f>
        <v>1</v>
      </c>
      <c r="Z3883" s="5" t="str">
        <f>IFERROR(__xludf.DUMMYFUNCTION("REGEXEXTRACT(J3883, ""[A-Za-z ]+$"")")," Season")</f>
        <v> Season</v>
      </c>
      <c r="AA3883" s="5" t="str">
        <f>IFERROR(__xludf.DUMMYFUNCTION("IF(REGEXMATCH(Z3883, ""Season""), ""TV Show"", ""Movie"")"),"TV Show")</f>
        <v>TV Show</v>
      </c>
    </row>
    <row r="3884">
      <c r="A3884" s="1" t="s">
        <v>21018</v>
      </c>
      <c r="B3884" s="1" t="s">
        <v>37</v>
      </c>
      <c r="C3884" s="1" t="s">
        <v>21019</v>
      </c>
      <c r="E3884" s="1" t="s">
        <v>21020</v>
      </c>
      <c r="G3884" s="1" t="s">
        <v>20988</v>
      </c>
      <c r="H3884" s="1">
        <v>2012.0</v>
      </c>
      <c r="I3884" s="1" t="s">
        <v>42</v>
      </c>
      <c r="J3884" s="1" t="s">
        <v>51</v>
      </c>
      <c r="K3884" s="1" t="s">
        <v>1531</v>
      </c>
      <c r="L3884" s="1" t="s">
        <v>21021</v>
      </c>
      <c r="M3884" s="2" t="s">
        <v>12</v>
      </c>
      <c r="N3884" s="4">
        <f t="shared" si="1"/>
        <v>43585</v>
      </c>
      <c r="O3884" s="5" t="str">
        <f>IFERROR(__xludf.DUMMYFUNCTION("IF(REGEXMATCH(TRIM(I3884), ""^\d+\s*min""), ""Unclassified"", IF(I3884 = """", ""NR"", I3884))"),"TV-MA")</f>
        <v>TV-MA</v>
      </c>
      <c r="R3884" s="5" t="str">
        <f t="shared" si="2"/>
        <v>Ko One Return</v>
      </c>
      <c r="S3884" s="5" t="str">
        <f>IFERROR(__xludf.DUMMYFUNCTION("""COMPUTED_VALUE"""),"Kucch To Hai")</f>
        <v>Kucch To Hai</v>
      </c>
      <c r="U3884" s="5" t="str">
        <f>IFERROR(__xludf.DUMMYFUNCTION("""COMPUTED_VALUE"""),"Dash Shaw")</f>
        <v>Dash Shaw</v>
      </c>
      <c r="V3884" s="5" t="s">
        <v>21022</v>
      </c>
      <c r="W3884" s="5" t="str">
        <f t="shared" si="3"/>
        <v>Shelly Chopra Dhar</v>
      </c>
      <c r="X3884" s="5">
        <f t="shared" si="4"/>
        <v>1</v>
      </c>
      <c r="Y3884" s="5" t="str">
        <f>IFERROR(__xludf.DUMMYFUNCTION("REGEXEXTRACT(J3884, ""^\d+"")"),"1")</f>
        <v>1</v>
      </c>
      <c r="Z3884" s="5" t="str">
        <f>IFERROR(__xludf.DUMMYFUNCTION("REGEXEXTRACT(J3884, ""[A-Za-z ]+$"")")," Season")</f>
        <v> Season</v>
      </c>
      <c r="AA3884" s="5" t="str">
        <f>IFERROR(__xludf.DUMMYFUNCTION("IF(REGEXMATCH(Z3884, ""Season""), ""TV Show"", ""Movie"")"),"TV Show")</f>
        <v>TV Show</v>
      </c>
    </row>
    <row r="3885">
      <c r="A3885" s="1" t="s">
        <v>21023</v>
      </c>
      <c r="B3885" s="1" t="s">
        <v>37</v>
      </c>
      <c r="C3885" s="1" t="s">
        <v>21024</v>
      </c>
      <c r="E3885" s="1" t="s">
        <v>21025</v>
      </c>
      <c r="F3885" s="1" t="s">
        <v>2059</v>
      </c>
      <c r="G3885" s="1" t="s">
        <v>20988</v>
      </c>
      <c r="H3885" s="1">
        <v>2004.0</v>
      </c>
      <c r="I3885" s="1" t="s">
        <v>42</v>
      </c>
      <c r="J3885" s="1" t="s">
        <v>51</v>
      </c>
      <c r="K3885" s="1" t="s">
        <v>2768</v>
      </c>
      <c r="L3885" s="1" t="s">
        <v>21026</v>
      </c>
      <c r="M3885" s="2" t="s">
        <v>12</v>
      </c>
      <c r="N3885" s="4">
        <f t="shared" si="1"/>
        <v>43585</v>
      </c>
      <c r="O3885" s="5" t="str">
        <f>IFERROR(__xludf.DUMMYFUNCTION("IF(REGEXMATCH(TRIM(I3885), ""^\d+\s*min""), ""Unclassified"", IF(I3885 = """", ""NR"", I3885))"),"TV-MA")</f>
        <v>TV-MA</v>
      </c>
      <c r="R3885" s="5" t="str">
        <f t="shared" si="2"/>
        <v>The Outsiders</v>
      </c>
      <c r="S3885" s="5" t="str">
        <f>IFERROR(__xludf.DUMMYFUNCTION("""COMPUTED_VALUE"""),"​​Kuch Bheege Alfaaz")</f>
        <v>​​Kuch Bheege Alfaaz</v>
      </c>
      <c r="U3885" s="5" t="str">
        <f>IFERROR(__xludf.DUMMYFUNCTION("""COMPUTED_VALUE"""),"Nathaniel Warsh")</f>
        <v>Nathaniel Warsh</v>
      </c>
      <c r="V3885" s="5" t="s">
        <v>3856</v>
      </c>
      <c r="W3885" s="5" t="str">
        <f t="shared" si="3"/>
        <v>Shen Leping</v>
      </c>
      <c r="X3885" s="5">
        <f t="shared" si="4"/>
        <v>1</v>
      </c>
      <c r="Y3885" s="5" t="str">
        <f>IFERROR(__xludf.DUMMYFUNCTION("REGEXEXTRACT(J3885, ""^\d+"")"),"1")</f>
        <v>1</v>
      </c>
      <c r="Z3885" s="5" t="str">
        <f>IFERROR(__xludf.DUMMYFUNCTION("REGEXEXTRACT(J3885, ""[A-Za-z ]+$"")")," Season")</f>
        <v> Season</v>
      </c>
      <c r="AA3885" s="5" t="str">
        <f>IFERROR(__xludf.DUMMYFUNCTION("IF(REGEXMATCH(Z3885, ""Season""), ""TV Show"", ""Movie"")"),"TV Show")</f>
        <v>TV Show</v>
      </c>
    </row>
    <row r="3886">
      <c r="A3886" s="1" t="s">
        <v>21027</v>
      </c>
      <c r="B3886" s="1" t="s">
        <v>37</v>
      </c>
      <c r="C3886" s="1" t="s">
        <v>21028</v>
      </c>
      <c r="E3886" s="1" t="s">
        <v>21029</v>
      </c>
      <c r="F3886" s="1" t="s">
        <v>30</v>
      </c>
      <c r="G3886" s="1" t="s">
        <v>21030</v>
      </c>
      <c r="H3886" s="1">
        <v>2018.0</v>
      </c>
      <c r="I3886" s="1" t="s">
        <v>42</v>
      </c>
      <c r="J3886" s="1" t="s">
        <v>276</v>
      </c>
      <c r="K3886" s="1" t="s">
        <v>18606</v>
      </c>
      <c r="L3886" s="1" t="s">
        <v>21031</v>
      </c>
      <c r="M3886" s="2" t="s">
        <v>12</v>
      </c>
      <c r="N3886" s="4">
        <f t="shared" si="1"/>
        <v>43584</v>
      </c>
      <c r="O3886" s="5" t="str">
        <f>IFERROR(__xludf.DUMMYFUNCTION("IF(REGEXMATCH(TRIM(I3886), ""^\d+\s*min""), ""Unclassified"", IF(I3886 = """", ""NR"", I3886))"),"TV-MA")</f>
        <v>TV-MA</v>
      </c>
      <c r="R3886" s="5" t="str">
        <f t="shared" si="2"/>
        <v>Ash Vs. Evil Dead</v>
      </c>
      <c r="S3886" s="5" t="str">
        <f>IFERROR(__xludf.DUMMYFUNCTION("""COMPUTED_VALUE"""),"Kuch Kuch Hota Hai")</f>
        <v>Kuch Kuch Hota Hai</v>
      </c>
      <c r="U3886" s="5" t="str">
        <f>IFERROR(__xludf.DUMMYFUNCTION("""COMPUTED_VALUE"""),"Alessandro Pepe")</f>
        <v>Alessandro Pepe</v>
      </c>
      <c r="V3886" s="5" t="s">
        <v>13801</v>
      </c>
      <c r="W3886" s="5" t="str">
        <f t="shared" si="3"/>
        <v>Sherif Arafa</v>
      </c>
      <c r="X3886" s="5">
        <f t="shared" si="4"/>
        <v>2</v>
      </c>
      <c r="Y3886" s="5" t="str">
        <f>IFERROR(__xludf.DUMMYFUNCTION("REGEXEXTRACT(J3886, ""^\d+"")"),"3")</f>
        <v>3</v>
      </c>
      <c r="Z3886" s="5" t="str">
        <f>IFERROR(__xludf.DUMMYFUNCTION("REGEXEXTRACT(J3886, ""[A-Za-z ]+$"")")," Seasons")</f>
        <v> Seasons</v>
      </c>
      <c r="AA3886" s="5" t="str">
        <f>IFERROR(__xludf.DUMMYFUNCTION("IF(REGEXMATCH(Z3886, ""Season""), ""TV Show"", ""Movie"")"),"TV Show")</f>
        <v>TV Show</v>
      </c>
    </row>
    <row r="3887">
      <c r="A3887" s="1" t="s">
        <v>21032</v>
      </c>
      <c r="B3887" s="1" t="s">
        <v>27</v>
      </c>
      <c r="C3887" s="1" t="s">
        <v>21033</v>
      </c>
      <c r="D3887" s="1" t="s">
        <v>5712</v>
      </c>
      <c r="E3887" s="1" t="s">
        <v>21034</v>
      </c>
      <c r="F3887" s="1" t="s">
        <v>63</v>
      </c>
      <c r="G3887" s="1" t="s">
        <v>21030</v>
      </c>
      <c r="H3887" s="1">
        <v>2018.0</v>
      </c>
      <c r="I3887" s="1" t="s">
        <v>42</v>
      </c>
      <c r="J3887" s="1" t="s">
        <v>804</v>
      </c>
      <c r="K3887" s="1" t="s">
        <v>89</v>
      </c>
      <c r="L3887" s="1" t="s">
        <v>21035</v>
      </c>
      <c r="M3887" s="2" t="s">
        <v>12</v>
      </c>
      <c r="N3887" s="4">
        <f t="shared" si="1"/>
        <v>43584</v>
      </c>
      <c r="O3887" s="5" t="str">
        <f>IFERROR(__xludf.DUMMYFUNCTION("IF(REGEXMATCH(TRIM(I3887), ""^\d+\s*min""), ""Unclassified"", IF(I3887 = """", ""NR"", I3887))"),"TV-MA")</f>
        <v>TV-MA</v>
      </c>
      <c r="R3887" s="5" t="str">
        <f t="shared" si="2"/>
        <v>Teen Aur Aadha</v>
      </c>
      <c r="S3887" s="5" t="str">
        <f>IFERROR(__xludf.DUMMYFUNCTION("""COMPUTED_VALUE"""),"Küçük Esnaf")</f>
        <v>Küçük Esnaf</v>
      </c>
      <c r="U3887" s="5" t="str">
        <f>IFERROR(__xludf.DUMMYFUNCTION("""COMPUTED_VALUE"""),"Claude Barras")</f>
        <v>Claude Barras</v>
      </c>
      <c r="V3887" s="5" t="s">
        <v>21036</v>
      </c>
      <c r="W3887" s="5" t="str">
        <f t="shared" si="3"/>
        <v>Sherif Ismail</v>
      </c>
      <c r="X3887" s="5">
        <f t="shared" si="4"/>
        <v>1</v>
      </c>
      <c r="Y3887" s="5" t="str">
        <f>IFERROR(__xludf.DUMMYFUNCTION("REGEXEXTRACT(J3887, ""^\d+"")"),"119")</f>
        <v>119</v>
      </c>
      <c r="Z3887" s="5" t="str">
        <f>IFERROR(__xludf.DUMMYFUNCTION("REGEXEXTRACT(J3887, ""[A-Za-z ]+$"")")," min")</f>
        <v> min</v>
      </c>
      <c r="AA3887" s="5" t="str">
        <f>IFERROR(__xludf.DUMMYFUNCTION("IF(REGEXMATCH(Z3887, ""Season""), ""TV Show"", ""Movie"")"),"Movie")</f>
        <v>Movie</v>
      </c>
    </row>
    <row r="3888">
      <c r="A3888" s="1" t="s">
        <v>21037</v>
      </c>
      <c r="B3888" s="1" t="s">
        <v>37</v>
      </c>
      <c r="C3888" s="1" t="s">
        <v>21038</v>
      </c>
      <c r="E3888" s="1" t="s">
        <v>21039</v>
      </c>
      <c r="F3888" s="1" t="s">
        <v>5541</v>
      </c>
      <c r="G3888" s="1" t="s">
        <v>21040</v>
      </c>
      <c r="H3888" s="1">
        <v>2018.0</v>
      </c>
      <c r="I3888" s="1" t="s">
        <v>42</v>
      </c>
      <c r="J3888" s="1" t="s">
        <v>189</v>
      </c>
      <c r="K3888" s="1" t="s">
        <v>785</v>
      </c>
      <c r="L3888" s="1" t="s">
        <v>21041</v>
      </c>
      <c r="M3888" s="2" t="s">
        <v>12</v>
      </c>
      <c r="N3888" s="4">
        <f t="shared" si="1"/>
        <v>43583</v>
      </c>
      <c r="O3888" s="5" t="str">
        <f>IFERROR(__xludf.DUMMYFUNCTION("IF(REGEXMATCH(TRIM(I3888), ""^\d+\s*min""), ""Unclassified"", IF(I3888 = """", ""NR"", I3888))"),"TV-MA")</f>
        <v>TV-MA</v>
      </c>
      <c r="R3888" s="5" t="str">
        <f t="shared" si="2"/>
        <v>Señora Acero</v>
      </c>
      <c r="S3888" s="5" t="str">
        <f>IFERROR(__xludf.DUMMYFUNCTION("""COMPUTED_VALUE"""),"Kuldip Patwal: I Didn'T Do It!")</f>
        <v>Kuldip Patwal: I Didn'T Do It!</v>
      </c>
      <c r="U3888" s="5" t="str">
        <f>IFERROR(__xludf.DUMMYFUNCTION("""COMPUTED_VALUE"""),"Ishi Rudell, Jayson Thiessen")</f>
        <v>Ishi Rudell, Jayson Thiessen</v>
      </c>
      <c r="V3888" s="5" t="s">
        <v>21042</v>
      </c>
      <c r="W3888" s="5" t="str">
        <f t="shared" si="3"/>
        <v>Sherif Mandour</v>
      </c>
      <c r="X3888" s="5">
        <f t="shared" si="4"/>
        <v>1</v>
      </c>
      <c r="Y3888" s="5" t="str">
        <f>IFERROR(__xludf.DUMMYFUNCTION("REGEXEXTRACT(J3888, ""^\d+"")"),"5")</f>
        <v>5</v>
      </c>
      <c r="Z3888" s="5" t="str">
        <f>IFERROR(__xludf.DUMMYFUNCTION("REGEXEXTRACT(J3888, ""[A-Za-z ]+$"")")," Seasons")</f>
        <v> Seasons</v>
      </c>
      <c r="AA3888" s="5" t="str">
        <f>IFERROR(__xludf.DUMMYFUNCTION("IF(REGEXMATCH(Z3888, ""Season""), ""TV Show"", ""Movie"")"),"TV Show")</f>
        <v>TV Show</v>
      </c>
    </row>
    <row r="3889">
      <c r="A3889" s="1" t="s">
        <v>21043</v>
      </c>
      <c r="B3889" s="1" t="s">
        <v>37</v>
      </c>
      <c r="C3889" s="1" t="s">
        <v>21044</v>
      </c>
      <c r="E3889" s="1" t="s">
        <v>21045</v>
      </c>
      <c r="F3889" s="1" t="s">
        <v>30</v>
      </c>
      <c r="G3889" s="1" t="s">
        <v>21046</v>
      </c>
      <c r="H3889" s="1">
        <v>2019.0</v>
      </c>
      <c r="I3889" s="1" t="s">
        <v>42</v>
      </c>
      <c r="J3889" s="1" t="s">
        <v>51</v>
      </c>
      <c r="K3889" s="1" t="s">
        <v>21047</v>
      </c>
      <c r="L3889" s="1" t="s">
        <v>21048</v>
      </c>
      <c r="M3889" s="2" t="s">
        <v>12</v>
      </c>
      <c r="N3889" s="4">
        <f t="shared" si="1"/>
        <v>43581</v>
      </c>
      <c r="O3889" s="5" t="str">
        <f>IFERROR(__xludf.DUMMYFUNCTION("IF(REGEXMATCH(TRIM(I3889), ""^\d+\s*min""), ""Unclassified"", IF(I3889 = """", ""NR"", I3889))"),"TV-MA")</f>
        <v>TV-MA</v>
      </c>
      <c r="R3889" s="5" t="str">
        <f t="shared" si="2"/>
        <v>Chambers</v>
      </c>
      <c r="S3889" s="5" t="str">
        <f>IFERROR(__xludf.DUMMYFUNCTION("""COMPUTED_VALUE"""),"Kulipari: An Army Of Frogs")</f>
        <v>Kulipari: An Army Of Frogs</v>
      </c>
      <c r="U3889" s="5" t="str">
        <f>IFERROR(__xludf.DUMMYFUNCTION("""COMPUTED_VALUE"""),"Jayson Thiessen, Ishi Rudell")</f>
        <v>Jayson Thiessen, Ishi Rudell</v>
      </c>
      <c r="V3889" s="5" t="s">
        <v>11293</v>
      </c>
      <c r="W3889" s="5" t="str">
        <f t="shared" si="3"/>
        <v>Shigeaki Kubo</v>
      </c>
      <c r="X3889" s="5">
        <f t="shared" si="4"/>
        <v>3</v>
      </c>
      <c r="Y3889" s="5" t="str">
        <f>IFERROR(__xludf.DUMMYFUNCTION("REGEXEXTRACT(J3889, ""^\d+"")"),"1")</f>
        <v>1</v>
      </c>
      <c r="Z3889" s="5" t="str">
        <f>IFERROR(__xludf.DUMMYFUNCTION("REGEXEXTRACT(J3889, ""[A-Za-z ]+$"")")," Season")</f>
        <v> Season</v>
      </c>
      <c r="AA3889" s="5" t="str">
        <f>IFERROR(__xludf.DUMMYFUNCTION("IF(REGEXMATCH(Z3889, ""Season""), ""TV Show"", ""Movie"")"),"TV Show")</f>
        <v>TV Show</v>
      </c>
    </row>
    <row r="3890">
      <c r="A3890" s="1" t="s">
        <v>21049</v>
      </c>
      <c r="B3890" s="1" t="s">
        <v>27</v>
      </c>
      <c r="C3890" s="1" t="s">
        <v>21050</v>
      </c>
      <c r="D3890" s="1" t="s">
        <v>6899</v>
      </c>
      <c r="E3890" s="1" t="s">
        <v>21051</v>
      </c>
      <c r="F3890" s="1" t="s">
        <v>1837</v>
      </c>
      <c r="G3890" s="1" t="s">
        <v>21046</v>
      </c>
      <c r="H3890" s="1">
        <v>2019.0</v>
      </c>
      <c r="I3890" s="1" t="s">
        <v>42</v>
      </c>
      <c r="J3890" s="1" t="s">
        <v>79</v>
      </c>
      <c r="K3890" s="1" t="s">
        <v>215</v>
      </c>
      <c r="L3890" s="1" t="s">
        <v>21052</v>
      </c>
      <c r="M3890" s="2" t="s">
        <v>12</v>
      </c>
      <c r="N3890" s="4">
        <f t="shared" si="1"/>
        <v>43581</v>
      </c>
      <c r="O3890" s="5" t="str">
        <f>IFERROR(__xludf.DUMMYFUNCTION("IF(REGEXMATCH(TRIM(I3890), ""^\d+\s*min""), ""Unclassified"", IF(I3890 = """", ""NR"", I3890))"),"TV-MA")</f>
        <v>TV-MA</v>
      </c>
      <c r="R3890" s="5" t="str">
        <f t="shared" si="2"/>
        <v>Loving Is Losing</v>
      </c>
      <c r="S3890" s="5" t="str">
        <f>IFERROR(__xludf.DUMMYFUNCTION("""COMPUTED_VALUE"""),"Kulipari: Dream Walker")</f>
        <v>Kulipari: Dream Walker</v>
      </c>
      <c r="U3890" s="5" t="str">
        <f>IFERROR(__xludf.DUMMYFUNCTION("""COMPUTED_VALUE"""),"Siu-Hung Chung, Wong Jing")</f>
        <v>Siu-Hung Chung, Wong Jing</v>
      </c>
      <c r="V3890" s="5" t="s">
        <v>11298</v>
      </c>
      <c r="W3890" s="5" t="str">
        <f t="shared" si="3"/>
        <v>Shigeaki Kubo, Tsuyoshi Nakakuki</v>
      </c>
      <c r="X3890" s="5">
        <f t="shared" si="4"/>
        <v>2</v>
      </c>
      <c r="Y3890" s="5" t="str">
        <f>IFERROR(__xludf.DUMMYFUNCTION("REGEXEXTRACT(J3890, ""^\d+"")"),"91")</f>
        <v>91</v>
      </c>
      <c r="Z3890" s="5" t="str">
        <f>IFERROR(__xludf.DUMMYFUNCTION("REGEXEXTRACT(J3890, ""[A-Za-z ]+$"")")," min")</f>
        <v> min</v>
      </c>
      <c r="AA3890" s="5" t="str">
        <f>IFERROR(__xludf.DUMMYFUNCTION("IF(REGEXMATCH(Z3890, ""Season""), ""TV Show"", ""Movie"")"),"Movie")</f>
        <v>Movie</v>
      </c>
    </row>
    <row r="3891">
      <c r="A3891" s="1" t="s">
        <v>21053</v>
      </c>
      <c r="B3891" s="1" t="s">
        <v>27</v>
      </c>
      <c r="C3891" s="1" t="s">
        <v>21054</v>
      </c>
      <c r="D3891" s="1" t="s">
        <v>5463</v>
      </c>
      <c r="E3891" s="1" t="s">
        <v>21055</v>
      </c>
      <c r="F3891" s="1" t="s">
        <v>188</v>
      </c>
      <c r="G3891" s="1" t="s">
        <v>21046</v>
      </c>
      <c r="H3891" s="1">
        <v>2019.0</v>
      </c>
      <c r="I3891" s="1" t="s">
        <v>42</v>
      </c>
      <c r="J3891" s="1" t="s">
        <v>393</v>
      </c>
      <c r="K3891" s="1" t="s">
        <v>583</v>
      </c>
      <c r="L3891" s="1" t="s">
        <v>21056</v>
      </c>
      <c r="M3891" s="2" t="s">
        <v>12</v>
      </c>
      <c r="N3891" s="4">
        <f t="shared" si="1"/>
        <v>43581</v>
      </c>
      <c r="O3891" s="5" t="str">
        <f>IFERROR(__xludf.DUMMYFUNCTION("IF(REGEXMATCH(TRIM(I3891), ""^\d+\s*min""), ""Unclassified"", IF(I3891 = """", ""NR"", I3891))"),"TV-MA")</f>
        <v>TV-MA</v>
      </c>
      <c r="R3891" s="5" t="str">
        <f t="shared" si="2"/>
        <v>Money Trap</v>
      </c>
      <c r="S3891" s="5" t="str">
        <f>IFERROR(__xludf.DUMMYFUNCTION("""COMPUTED_VALUE"""),"Kung Fu Hustle")</f>
        <v>Kung Fu Hustle</v>
      </c>
      <c r="U3891" s="5" t="str">
        <f>IFERROR(__xludf.DUMMYFUNCTION("""COMPUTED_VALUE"""),"Nick Cassavetes")</f>
        <v>Nick Cassavetes</v>
      </c>
      <c r="V3891" s="5" t="s">
        <v>21057</v>
      </c>
      <c r="W3891" s="5" t="str">
        <f t="shared" si="3"/>
        <v>Shikha Makan</v>
      </c>
      <c r="X3891" s="5">
        <f t="shared" si="4"/>
        <v>1</v>
      </c>
      <c r="Y3891" s="5" t="str">
        <f>IFERROR(__xludf.DUMMYFUNCTION("REGEXEXTRACT(J3891, ""^\d+"")"),"122")</f>
        <v>122</v>
      </c>
      <c r="Z3891" s="5" t="str">
        <f>IFERROR(__xludf.DUMMYFUNCTION("REGEXEXTRACT(J3891, ""[A-Za-z ]+$"")")," min")</f>
        <v> min</v>
      </c>
      <c r="AA3891" s="5" t="str">
        <f>IFERROR(__xludf.DUMMYFUNCTION("IF(REGEXMATCH(Z3891, ""Season""), ""TV Show"", ""Movie"")"),"Movie")</f>
        <v>Movie</v>
      </c>
    </row>
    <row r="3892">
      <c r="A3892" s="1" t="s">
        <v>21058</v>
      </c>
      <c r="B3892" s="1" t="s">
        <v>27</v>
      </c>
      <c r="C3892" s="1" t="s">
        <v>21059</v>
      </c>
      <c r="D3892" s="1" t="s">
        <v>20523</v>
      </c>
      <c r="E3892" s="1" t="s">
        <v>21060</v>
      </c>
      <c r="F3892" s="1" t="s">
        <v>63</v>
      </c>
      <c r="G3892" s="1" t="s">
        <v>21046</v>
      </c>
      <c r="H3892" s="1">
        <v>2018.0</v>
      </c>
      <c r="I3892" s="1" t="s">
        <v>136</v>
      </c>
      <c r="J3892" s="1" t="s">
        <v>88</v>
      </c>
      <c r="K3892" s="1" t="s">
        <v>583</v>
      </c>
      <c r="L3892" s="1" t="s">
        <v>21061</v>
      </c>
      <c r="M3892" s="2" t="s">
        <v>12</v>
      </c>
      <c r="N3892" s="4">
        <f t="shared" si="1"/>
        <v>43581</v>
      </c>
      <c r="O3892" s="5" t="str">
        <f>IFERROR(__xludf.DUMMYFUNCTION("IF(REGEXMATCH(TRIM(I3892), ""^\d+\s*min""), ""Unclassified"", IF(I3892 = """", ""NR"", I3892))"),"TV-PG")</f>
        <v>TV-PG</v>
      </c>
      <c r="R3892" s="5" t="str">
        <f t="shared" si="2"/>
        <v>Njan Prakashan</v>
      </c>
      <c r="S3892" s="5" t="str">
        <f>IFERROR(__xludf.DUMMYFUNCTION("""COMPUTED_VALUE"""),"Kung Fu Magoo")</f>
        <v>Kung Fu Magoo</v>
      </c>
      <c r="U3892" s="5" t="str">
        <f>IFERROR(__xludf.DUMMYFUNCTION("""COMPUTED_VALUE"""),"Atsajun Sattakovit")</f>
        <v>Atsajun Sattakovit</v>
      </c>
      <c r="V3892" s="5" t="s">
        <v>21062</v>
      </c>
      <c r="W3892" s="5" t="str">
        <f t="shared" si="3"/>
        <v>Shin Won-Ho</v>
      </c>
      <c r="X3892" s="5">
        <f t="shared" si="4"/>
        <v>2</v>
      </c>
      <c r="Y3892" s="5" t="str">
        <f>IFERROR(__xludf.DUMMYFUNCTION("REGEXEXTRACT(J3892, ""^\d+"")"),"125")</f>
        <v>125</v>
      </c>
      <c r="Z3892" s="5" t="str">
        <f>IFERROR(__xludf.DUMMYFUNCTION("REGEXEXTRACT(J3892, ""[A-Za-z ]+$"")")," min")</f>
        <v> min</v>
      </c>
      <c r="AA3892" s="5" t="str">
        <f>IFERROR(__xludf.DUMMYFUNCTION("IF(REGEXMATCH(Z3892, ""Season""), ""TV Show"", ""Movie"")"),"Movie")</f>
        <v>Movie</v>
      </c>
    </row>
    <row r="3893">
      <c r="A3893" s="1" t="s">
        <v>21063</v>
      </c>
      <c r="B3893" s="1" t="s">
        <v>27</v>
      </c>
      <c r="C3893" s="1" t="s">
        <v>21064</v>
      </c>
      <c r="D3893" s="1" t="s">
        <v>3817</v>
      </c>
      <c r="F3893" s="1" t="s">
        <v>30</v>
      </c>
      <c r="G3893" s="1" t="s">
        <v>21046</v>
      </c>
      <c r="H3893" s="1">
        <v>2019.0</v>
      </c>
      <c r="I3893" s="1" t="s">
        <v>97</v>
      </c>
      <c r="J3893" s="1" t="s">
        <v>4677</v>
      </c>
      <c r="K3893" s="1" t="s">
        <v>700</v>
      </c>
      <c r="L3893" s="1" t="s">
        <v>21065</v>
      </c>
      <c r="M3893" s="2" t="s">
        <v>12</v>
      </c>
      <c r="N3893" s="4">
        <f t="shared" si="1"/>
        <v>43581</v>
      </c>
      <c r="O3893" s="5" t="str">
        <f>IFERROR(__xludf.DUMMYFUNCTION("IF(REGEXMATCH(TRIM(I3893), ""^\d+\s*min""), ""Unclassified"", IF(I3893 = """", ""NR"", I3893))"),"TV-14")</f>
        <v>TV-14</v>
      </c>
      <c r="R3893" s="5" t="str">
        <f t="shared" si="2"/>
        <v>Remastered: Devil At The Crossroads</v>
      </c>
      <c r="S3893" s="5" t="str">
        <f>IFERROR(__xludf.DUMMYFUNCTION("""COMPUTED_VALUE"""),"Kung Fu Panda")</f>
        <v>Kung Fu Panda</v>
      </c>
      <c r="U3893" s="5" t="str">
        <f>IFERROR(__xludf.DUMMYFUNCTION("""COMPUTED_VALUE"""),"Simon Curtis")</f>
        <v>Simon Curtis</v>
      </c>
      <c r="V3893" s="5" t="s">
        <v>21066</v>
      </c>
      <c r="W3893" s="5" t="str">
        <f t="shared" si="3"/>
        <v>Shin-Yeon Won</v>
      </c>
      <c r="X3893" s="5">
        <f t="shared" si="4"/>
        <v>1</v>
      </c>
      <c r="Y3893" s="5" t="str">
        <f>IFERROR(__xludf.DUMMYFUNCTION("REGEXEXTRACT(J3893, ""^\d+"")"),"49")</f>
        <v>49</v>
      </c>
      <c r="Z3893" s="5" t="str">
        <f>IFERROR(__xludf.DUMMYFUNCTION("REGEXEXTRACT(J3893, ""[A-Za-z ]+$"")")," min")</f>
        <v> min</v>
      </c>
      <c r="AA3893" s="5" t="str">
        <f>IFERROR(__xludf.DUMMYFUNCTION("IF(REGEXMATCH(Z3893, ""Season""), ""TV Show"", ""Movie"")"),"Movie")</f>
        <v>Movie</v>
      </c>
    </row>
    <row r="3894">
      <c r="A3894" s="1" t="s">
        <v>21067</v>
      </c>
      <c r="B3894" s="1" t="s">
        <v>37</v>
      </c>
      <c r="C3894" s="1" t="s">
        <v>21068</v>
      </c>
      <c r="F3894" s="1" t="s">
        <v>30</v>
      </c>
      <c r="G3894" s="1" t="s">
        <v>21046</v>
      </c>
      <c r="H3894" s="1">
        <v>2019.0</v>
      </c>
      <c r="I3894" s="1" t="s">
        <v>136</v>
      </c>
      <c r="J3894" s="1" t="s">
        <v>51</v>
      </c>
      <c r="K3894" s="1" t="s">
        <v>1261</v>
      </c>
      <c r="L3894" s="1" t="s">
        <v>21069</v>
      </c>
      <c r="M3894" s="2" t="s">
        <v>12</v>
      </c>
      <c r="N3894" s="4">
        <f t="shared" si="1"/>
        <v>43581</v>
      </c>
      <c r="O3894" s="5" t="str">
        <f>IFERROR(__xludf.DUMMYFUNCTION("IF(REGEXMATCH(TRIM(I3894), ""^\d+\s*min""), ""Unclassified"", IF(I3894 = """", ""NR"", I3894))"),"TV-PG")</f>
        <v>TV-PG</v>
      </c>
      <c r="R3894" s="5" t="str">
        <f t="shared" si="2"/>
        <v>Street Food</v>
      </c>
      <c r="S3894" s="5" t="str">
        <f>IFERROR(__xludf.DUMMYFUNCTION("""COMPUTED_VALUE"""),"Kung Fu Panda 2")</f>
        <v>Kung Fu Panda 2</v>
      </c>
      <c r="U3894" s="5" t="str">
        <f>IFERROR(__xludf.DUMMYFUNCTION("""COMPUTED_VALUE"""),"Moataz El Tony")</f>
        <v>Moataz El Tony</v>
      </c>
      <c r="V3894" s="5" t="s">
        <v>21070</v>
      </c>
      <c r="W3894" s="5" t="str">
        <f t="shared" si="3"/>
        <v>Shinji Aramaki, Mamoru Oshii, Hideki Futamura, Toshiyuki Kanno, Tomoki Kyoda, Koichi Mashimo, Yasushi Muraki, Daisuke Nishio, Frank O'Connor, Koji Sawai, Joseph Chou, Hiroshi Yamazaki</v>
      </c>
      <c r="X3894" s="5">
        <f t="shared" si="4"/>
        <v>1</v>
      </c>
      <c r="Y3894" s="5" t="str">
        <f>IFERROR(__xludf.DUMMYFUNCTION("REGEXEXTRACT(J3894, ""^\d+"")"),"1")</f>
        <v>1</v>
      </c>
      <c r="Z3894" s="5" t="str">
        <f>IFERROR(__xludf.DUMMYFUNCTION("REGEXEXTRACT(J3894, ""[A-Za-z ]+$"")")," Season")</f>
        <v> Season</v>
      </c>
      <c r="AA3894" s="5" t="str">
        <f>IFERROR(__xludf.DUMMYFUNCTION("IF(REGEXMATCH(Z3894, ""Season""), ""TV Show"", ""Movie"")"),"TV Show")</f>
        <v>TV Show</v>
      </c>
    </row>
    <row r="3895">
      <c r="A3895" s="1" t="s">
        <v>21071</v>
      </c>
      <c r="B3895" s="1" t="s">
        <v>37</v>
      </c>
      <c r="C3895" s="1" t="s">
        <v>21072</v>
      </c>
      <c r="D3895" s="1" t="s">
        <v>2537</v>
      </c>
      <c r="E3895" s="1" t="s">
        <v>21073</v>
      </c>
      <c r="G3895" s="1" t="s">
        <v>21074</v>
      </c>
      <c r="H3895" s="1">
        <v>2015.0</v>
      </c>
      <c r="I3895" s="1" t="s">
        <v>378</v>
      </c>
      <c r="J3895" s="1" t="s">
        <v>51</v>
      </c>
      <c r="K3895" s="1" t="s">
        <v>1045</v>
      </c>
      <c r="L3895" s="1" t="s">
        <v>21075</v>
      </c>
      <c r="M3895" s="2" t="s">
        <v>12</v>
      </c>
      <c r="N3895" s="4">
        <f t="shared" si="1"/>
        <v>43580</v>
      </c>
      <c r="O3895" s="5" t="str">
        <f>IFERROR(__xludf.DUMMYFUNCTION("IF(REGEXMATCH(TRIM(I3895), ""^\d+\s*min""), ""Unclassified"", IF(I3895 = """", ""NR"", I3895))"),"R")</f>
        <v>R</v>
      </c>
      <c r="R3895" s="5" t="str">
        <f t="shared" si="2"/>
        <v>The Hateful Eight: Extended Version</v>
      </c>
      <c r="S3895" s="5" t="str">
        <f>IFERROR(__xludf.DUMMYFUNCTION("""COMPUTED_VALUE"""),"Kung Fu Panda: Holiday")</f>
        <v>Kung Fu Panda: Holiday</v>
      </c>
      <c r="U3895" s="5" t="str">
        <f>IFERROR(__xludf.DUMMYFUNCTION("""COMPUTED_VALUE"""),"Sabu Varghese")</f>
        <v>Sabu Varghese</v>
      </c>
      <c r="V3895" s="5" t="s">
        <v>6726</v>
      </c>
      <c r="W3895" s="5" t="str">
        <f t="shared" si="3"/>
        <v>Shinji Aramaki, Masaru Matsumoto</v>
      </c>
      <c r="X3895" s="5">
        <f t="shared" si="4"/>
        <v>1</v>
      </c>
      <c r="Y3895" s="5" t="str">
        <f>IFERROR(__xludf.DUMMYFUNCTION("REGEXEXTRACT(J3895, ""^\d+"")"),"1")</f>
        <v>1</v>
      </c>
      <c r="Z3895" s="5" t="str">
        <f>IFERROR(__xludf.DUMMYFUNCTION("REGEXEXTRACT(J3895, ""[A-Za-z ]+$"")")," Season")</f>
        <v> Season</v>
      </c>
      <c r="AA3895" s="5" t="str">
        <f>IFERROR(__xludf.DUMMYFUNCTION("IF(REGEXMATCH(Z3895, ""Season""), ""TV Show"", ""Movie"")"),"TV Show")</f>
        <v>TV Show</v>
      </c>
    </row>
    <row r="3896">
      <c r="A3896" s="1" t="s">
        <v>21076</v>
      </c>
      <c r="B3896" s="1" t="s">
        <v>27</v>
      </c>
      <c r="C3896" s="1" t="s">
        <v>21077</v>
      </c>
      <c r="D3896" s="1" t="s">
        <v>3413</v>
      </c>
      <c r="E3896" s="1" t="s">
        <v>21078</v>
      </c>
      <c r="F3896" s="1" t="s">
        <v>4478</v>
      </c>
      <c r="G3896" s="1" t="s">
        <v>21079</v>
      </c>
      <c r="H3896" s="1">
        <v>2018.0</v>
      </c>
      <c r="I3896" s="1" t="s">
        <v>42</v>
      </c>
      <c r="J3896" s="1" t="s">
        <v>21080</v>
      </c>
      <c r="K3896" s="1" t="s">
        <v>128</v>
      </c>
      <c r="L3896" s="1" t="s">
        <v>21081</v>
      </c>
      <c r="M3896" s="2" t="s">
        <v>12</v>
      </c>
      <c r="N3896" s="4">
        <f t="shared" si="1"/>
        <v>43575</v>
      </c>
      <c r="O3896" s="5" t="str">
        <f>IFERROR(__xludf.DUMMYFUNCTION("IF(REGEXMATCH(TRIM(I3896), ""^\d+\s*min""), ""Unclassified"", IF(I3896 = """", ""NR"", I3896))"),"TV-MA")</f>
        <v>TV-MA</v>
      </c>
      <c r="R3896" s="5" t="str">
        <f t="shared" si="2"/>
        <v>A Fortunate Man</v>
      </c>
      <c r="S3896" s="5" t="str">
        <f>IFERROR(__xludf.DUMMYFUNCTION("""COMPUTED_VALUE"""),"Kung Fu Panda: Secrets Of The Scroll")</f>
        <v>Kung Fu Panda: Secrets Of The Scroll</v>
      </c>
      <c r="U3896" s="5" t="str">
        <f>IFERROR(__xludf.DUMMYFUNCTION("""COMPUTED_VALUE"""),"Krishna Agazzi, Filippo Gastaldi")</f>
        <v>Krishna Agazzi, Filippo Gastaldi</v>
      </c>
      <c r="V3896" s="5" t="s">
        <v>14543</v>
      </c>
      <c r="W3896" s="5" t="str">
        <f t="shared" si="3"/>
        <v>Shirish Kunder</v>
      </c>
      <c r="X3896" s="5">
        <f t="shared" si="4"/>
        <v>3</v>
      </c>
      <c r="Y3896" s="5" t="str">
        <f>IFERROR(__xludf.DUMMYFUNCTION("REGEXEXTRACT(J3896, ""^\d+"")"),"168")</f>
        <v>168</v>
      </c>
      <c r="Z3896" s="5" t="str">
        <f>IFERROR(__xludf.DUMMYFUNCTION("REGEXEXTRACT(J3896, ""[A-Za-z ]+$"")")," min")</f>
        <v> min</v>
      </c>
      <c r="AA3896" s="5" t="str">
        <f>IFERROR(__xludf.DUMMYFUNCTION("IF(REGEXMATCH(Z3896, ""Season""), ""TV Show"", ""Movie"")"),"Movie")</f>
        <v>Movie</v>
      </c>
    </row>
    <row r="3897">
      <c r="A3897" s="1" t="s">
        <v>21082</v>
      </c>
      <c r="B3897" s="1" t="s">
        <v>27</v>
      </c>
      <c r="C3897" s="1" t="s">
        <v>21083</v>
      </c>
      <c r="D3897" s="1" t="s">
        <v>7409</v>
      </c>
      <c r="G3897" s="1" t="s">
        <v>21079</v>
      </c>
      <c r="H3897" s="1">
        <v>2019.0</v>
      </c>
      <c r="I3897" s="1" t="s">
        <v>42</v>
      </c>
      <c r="J3897" s="1" t="s">
        <v>357</v>
      </c>
      <c r="K3897" s="1" t="s">
        <v>700</v>
      </c>
      <c r="L3897" s="1" t="s">
        <v>21084</v>
      </c>
      <c r="M3897" s="2" t="s">
        <v>12</v>
      </c>
      <c r="N3897" s="4">
        <f t="shared" si="1"/>
        <v>43575</v>
      </c>
      <c r="O3897" s="5" t="str">
        <f>IFERROR(__xludf.DUMMYFUNCTION("IF(REGEXMATCH(TRIM(I3897), ""^\d+\s*min""), ""Unclassified"", IF(I3897 = """", ""NR"", I3897))"),"TV-MA")</f>
        <v>TV-MA</v>
      </c>
      <c r="R3897" s="5" t="str">
        <f t="shared" si="2"/>
        <v>Grass Is Greener</v>
      </c>
      <c r="S3897" s="5" t="str">
        <f>IFERROR(__xludf.DUMMYFUNCTION("""COMPUTED_VALUE"""),"Kung Fu Yoga")</f>
        <v>Kung Fu Yoga</v>
      </c>
      <c r="U3897" s="5" t="str">
        <f>IFERROR(__xludf.DUMMYFUNCTION("""COMPUTED_VALUE"""),"Dennis Bartok")</f>
        <v>Dennis Bartok</v>
      </c>
      <c r="V3897" s="5" t="s">
        <v>13067</v>
      </c>
      <c r="W3897" s="5" t="str">
        <f t="shared" si="3"/>
        <v>Shirley Frimpong-Manso</v>
      </c>
      <c r="X3897" s="5">
        <f t="shared" si="4"/>
        <v>2</v>
      </c>
      <c r="Y3897" s="5" t="str">
        <f>IFERROR(__xludf.DUMMYFUNCTION("REGEXEXTRACT(J3897, ""^\d+"")"),"98")</f>
        <v>98</v>
      </c>
      <c r="Z3897" s="5" t="str">
        <f>IFERROR(__xludf.DUMMYFUNCTION("REGEXEXTRACT(J3897, ""[A-Za-z ]+$"")")," min")</f>
        <v> min</v>
      </c>
      <c r="AA3897" s="5" t="str">
        <f>IFERROR(__xludf.DUMMYFUNCTION("IF(REGEXMATCH(Z3897, ""Season""), ""TV Show"", ""Movie"")"),"Movie")</f>
        <v>Movie</v>
      </c>
    </row>
    <row r="3898">
      <c r="A3898" s="1" t="s">
        <v>21085</v>
      </c>
      <c r="B3898" s="1" t="s">
        <v>27</v>
      </c>
      <c r="C3898" s="1" t="s">
        <v>21086</v>
      </c>
      <c r="D3898" s="1" t="s">
        <v>20345</v>
      </c>
      <c r="E3898" s="1" t="s">
        <v>21087</v>
      </c>
      <c r="G3898" s="1" t="s">
        <v>21088</v>
      </c>
      <c r="H3898" s="1">
        <v>2019.0</v>
      </c>
      <c r="I3898" s="1" t="s">
        <v>97</v>
      </c>
      <c r="J3898" s="1" t="s">
        <v>4558</v>
      </c>
      <c r="K3898" s="1" t="s">
        <v>34</v>
      </c>
      <c r="L3898" s="1" t="s">
        <v>21089</v>
      </c>
      <c r="M3898" s="2" t="s">
        <v>12</v>
      </c>
      <c r="N3898" s="4">
        <f t="shared" si="1"/>
        <v>43574</v>
      </c>
      <c r="O3898" s="5" t="str">
        <f>IFERROR(__xludf.DUMMYFUNCTION("IF(REGEXMATCH(TRIM(I3898), ""^\d+\s*min""), ""Unclassified"", IF(I3898 = """", ""NR"", I3898))"),"TV-14")</f>
        <v>TV-14</v>
      </c>
      <c r="R3898" s="5" t="str">
        <f t="shared" si="2"/>
        <v>Brené Brown: The Call To Courage</v>
      </c>
      <c r="S3898" s="5" t="str">
        <f>IFERROR(__xludf.DUMMYFUNCTION("""COMPUTED_VALUE"""),"Kuntilanak")</f>
        <v>Kuntilanak</v>
      </c>
      <c r="U3898" s="5" t="str">
        <f>IFERROR(__xludf.DUMMYFUNCTION("""COMPUTED_VALUE"""),"Ben Bowie, Geoff Luck")</f>
        <v>Ben Bowie, Geoff Luck</v>
      </c>
      <c r="V3898" s="5" t="s">
        <v>21090</v>
      </c>
      <c r="W3898" s="5" t="str">
        <f t="shared" si="3"/>
        <v>Shivam Nair</v>
      </c>
      <c r="X3898" s="5">
        <f t="shared" si="4"/>
        <v>2</v>
      </c>
      <c r="Y3898" s="5" t="str">
        <f>IFERROR(__xludf.DUMMYFUNCTION("REGEXEXTRACT(J3898, ""^\d+"")"),"77")</f>
        <v>77</v>
      </c>
      <c r="Z3898" s="5" t="str">
        <f>IFERROR(__xludf.DUMMYFUNCTION("REGEXEXTRACT(J3898, ""[A-Za-z ]+$"")")," min")</f>
        <v> min</v>
      </c>
      <c r="AA3898" s="5" t="str">
        <f>IFERROR(__xludf.DUMMYFUNCTION("IF(REGEXMATCH(Z3898, ""Season""), ""TV Show"", ""Movie"")"),"Movie")</f>
        <v>Movie</v>
      </c>
    </row>
    <row r="3899">
      <c r="A3899" s="1" t="s">
        <v>21091</v>
      </c>
      <c r="B3899" s="1" t="s">
        <v>37</v>
      </c>
      <c r="C3899" s="1" t="s">
        <v>21092</v>
      </c>
      <c r="E3899" s="1" t="s">
        <v>21093</v>
      </c>
      <c r="F3899" s="1" t="s">
        <v>2059</v>
      </c>
      <c r="G3899" s="1" t="s">
        <v>21088</v>
      </c>
      <c r="H3899" s="1">
        <v>2005.0</v>
      </c>
      <c r="I3899" s="1" t="s">
        <v>42</v>
      </c>
      <c r="J3899" s="1" t="s">
        <v>51</v>
      </c>
      <c r="K3899" s="1" t="s">
        <v>933</v>
      </c>
      <c r="L3899" s="1" t="s">
        <v>21094</v>
      </c>
      <c r="M3899" s="2" t="s">
        <v>12</v>
      </c>
      <c r="N3899" s="4">
        <f t="shared" si="1"/>
        <v>43574</v>
      </c>
      <c r="O3899" s="5" t="str">
        <f>IFERROR(__xludf.DUMMYFUNCTION("IF(REGEXMATCH(TRIM(I3899), ""^\d+\s*min""), ""Unclassified"", IF(I3899 = """", ""NR"", I3899))"),"TV-MA")</f>
        <v>TV-MA</v>
      </c>
      <c r="R3899" s="5" t="str">
        <f t="shared" si="2"/>
        <v>Ko One</v>
      </c>
      <c r="S3899" s="5" t="str">
        <f>IFERROR(__xludf.DUMMYFUNCTION("""COMPUTED_VALUE"""),"Kuppivala")</f>
        <v>Kuppivala</v>
      </c>
      <c r="U3899" s="5" t="str">
        <f>IFERROR(__xludf.DUMMYFUNCTION("""COMPUTED_VALUE"""),"Heidi Saman")</f>
        <v>Heidi Saman</v>
      </c>
      <c r="V3899" s="5" t="s">
        <v>21095</v>
      </c>
      <c r="W3899" s="5" t="str">
        <f t="shared" si="3"/>
        <v>Shivendra Singh Dungarpur</v>
      </c>
      <c r="X3899" s="5">
        <f t="shared" si="4"/>
        <v>1</v>
      </c>
      <c r="Y3899" s="5" t="str">
        <f>IFERROR(__xludf.DUMMYFUNCTION("REGEXEXTRACT(J3899, ""^\d+"")"),"1")</f>
        <v>1</v>
      </c>
      <c r="Z3899" s="5" t="str">
        <f>IFERROR(__xludf.DUMMYFUNCTION("REGEXEXTRACT(J3899, ""[A-Za-z ]+$"")")," Season")</f>
        <v> Season</v>
      </c>
      <c r="AA3899" s="5" t="str">
        <f>IFERROR(__xludf.DUMMYFUNCTION("IF(REGEXMATCH(Z3899, ""Season""), ""TV Show"", ""Movie"")"),"TV Show")</f>
        <v>TV Show</v>
      </c>
    </row>
    <row r="3900">
      <c r="A3900" s="1" t="s">
        <v>21096</v>
      </c>
      <c r="B3900" s="1" t="s">
        <v>37</v>
      </c>
      <c r="C3900" s="1" t="s">
        <v>21097</v>
      </c>
      <c r="E3900" s="1" t="s">
        <v>21098</v>
      </c>
      <c r="F3900" s="1" t="s">
        <v>221</v>
      </c>
      <c r="G3900" s="1" t="s">
        <v>21088</v>
      </c>
      <c r="H3900" s="1">
        <v>2019.0</v>
      </c>
      <c r="I3900" s="1" t="s">
        <v>42</v>
      </c>
      <c r="J3900" s="1" t="s">
        <v>51</v>
      </c>
      <c r="K3900" s="1" t="s">
        <v>1294</v>
      </c>
      <c r="L3900" s="1" t="s">
        <v>21099</v>
      </c>
      <c r="M3900" s="2" t="s">
        <v>12</v>
      </c>
      <c r="N3900" s="4">
        <f t="shared" si="1"/>
        <v>43574</v>
      </c>
      <c r="O3900" s="5" t="str">
        <f>IFERROR(__xludf.DUMMYFUNCTION("IF(REGEXMATCH(TRIM(I3900), ""^\d+\s*min""), ""Unclassified"", IF(I3900 = """", ""NR"", I3900))"),"TV-MA")</f>
        <v>TV-MA</v>
      </c>
      <c r="R3900" s="5" t="str">
        <f t="shared" si="2"/>
        <v>Lunatics</v>
      </c>
      <c r="S3900" s="5" t="str">
        <f>IFERROR(__xludf.DUMMYFUNCTION("""COMPUTED_VALUE"""),"Kurbaan")</f>
        <v>Kurbaan</v>
      </c>
      <c r="U3900" s="5" t="str">
        <f>IFERROR(__xludf.DUMMYFUNCTION("""COMPUTED_VALUE"""),"Natalia Valdebenito")</f>
        <v>Natalia Valdebenito</v>
      </c>
      <c r="V3900" s="5" t="s">
        <v>21100</v>
      </c>
      <c r="W3900" s="5" t="str">
        <f t="shared" si="3"/>
        <v>Shlok Sharma</v>
      </c>
      <c r="X3900" s="5">
        <f t="shared" si="4"/>
        <v>2</v>
      </c>
      <c r="Y3900" s="5" t="str">
        <f>IFERROR(__xludf.DUMMYFUNCTION("REGEXEXTRACT(J3900, ""^\d+"")"),"1")</f>
        <v>1</v>
      </c>
      <c r="Z3900" s="5" t="str">
        <f>IFERROR(__xludf.DUMMYFUNCTION("REGEXEXTRACT(J3900, ""[A-Za-z ]+$"")")," Season")</f>
        <v> Season</v>
      </c>
      <c r="AA3900" s="5" t="str">
        <f>IFERROR(__xludf.DUMMYFUNCTION("IF(REGEXMATCH(Z3900, ""Season""), ""TV Show"", ""Movie"")"),"TV Show")</f>
        <v>TV Show</v>
      </c>
    </row>
    <row r="3901">
      <c r="A3901" s="1" t="s">
        <v>21101</v>
      </c>
      <c r="B3901" s="1" t="s">
        <v>27</v>
      </c>
      <c r="C3901" s="1" t="s">
        <v>21102</v>
      </c>
      <c r="D3901" s="1" t="s">
        <v>20518</v>
      </c>
      <c r="E3901" s="1" t="s">
        <v>21103</v>
      </c>
      <c r="F3901" s="1" t="s">
        <v>63</v>
      </c>
      <c r="G3901" s="1" t="s">
        <v>21088</v>
      </c>
      <c r="H3901" s="1">
        <v>2019.0</v>
      </c>
      <c r="I3901" s="1" t="s">
        <v>97</v>
      </c>
      <c r="J3901" s="1" t="s">
        <v>447</v>
      </c>
      <c r="K3901" s="1" t="s">
        <v>89</v>
      </c>
      <c r="L3901" s="1" t="s">
        <v>21104</v>
      </c>
      <c r="M3901" s="2" t="s">
        <v>12</v>
      </c>
      <c r="N3901" s="4">
        <f t="shared" si="1"/>
        <v>43574</v>
      </c>
      <c r="O3901" s="5" t="str">
        <f>IFERROR(__xludf.DUMMYFUNCTION("IF(REGEXMATCH(TRIM(I3901), ""^\d+\s*min""), ""Unclassified"", IF(I3901 = """", ""NR"", I3901))"),"TV-14")</f>
        <v>TV-14</v>
      </c>
      <c r="R3901" s="5" t="str">
        <f t="shared" si="2"/>
        <v>Music Teacher</v>
      </c>
      <c r="S3901" s="5" t="str">
        <f>IFERROR(__xludf.DUMMYFUNCTION("""COMPUTED_VALUE"""),"Kuroko'S Basketball")</f>
        <v>Kuroko'S Basketball</v>
      </c>
      <c r="U3901" s="5" t="str">
        <f>IFERROR(__xludf.DUMMYFUNCTION("""COMPUTED_VALUE"""),"Sonia Kennebeck")</f>
        <v>Sonia Kennebeck</v>
      </c>
      <c r="V3901" s="5" t="s">
        <v>17202</v>
      </c>
      <c r="W3901" s="5" t="str">
        <f t="shared" si="3"/>
        <v>Shojiro Nishimi, Guillaume Renard</v>
      </c>
      <c r="X3901" s="5">
        <f t="shared" si="4"/>
        <v>1</v>
      </c>
      <c r="Y3901" s="5" t="str">
        <f>IFERROR(__xludf.DUMMYFUNCTION("REGEXEXTRACT(J3901, ""^\d+"")"),"102")</f>
        <v>102</v>
      </c>
      <c r="Z3901" s="5" t="str">
        <f>IFERROR(__xludf.DUMMYFUNCTION("REGEXEXTRACT(J3901, ""[A-Za-z ]+$"")")," min")</f>
        <v> min</v>
      </c>
      <c r="AA3901" s="5" t="str">
        <f>IFERROR(__xludf.DUMMYFUNCTION("IF(REGEXMATCH(Z3901, ""Season""), ""TV Show"", ""Movie"")"),"Movie")</f>
        <v>Movie</v>
      </c>
    </row>
    <row r="3902">
      <c r="A3902" s="1" t="s">
        <v>21105</v>
      </c>
      <c r="B3902" s="1" t="s">
        <v>37</v>
      </c>
      <c r="C3902" s="1" t="s">
        <v>21106</v>
      </c>
      <c r="E3902" s="1" t="s">
        <v>21107</v>
      </c>
      <c r="F3902" s="1" t="s">
        <v>2059</v>
      </c>
      <c r="G3902" s="1" t="s">
        <v>21088</v>
      </c>
      <c r="H3902" s="1">
        <v>2017.0</v>
      </c>
      <c r="I3902" s="1" t="s">
        <v>42</v>
      </c>
      <c r="J3902" s="1" t="s">
        <v>51</v>
      </c>
      <c r="K3902" s="1" t="s">
        <v>18016</v>
      </c>
      <c r="L3902" s="1" t="s">
        <v>21108</v>
      </c>
      <c r="M3902" s="2" t="s">
        <v>12</v>
      </c>
      <c r="N3902" s="4">
        <f t="shared" si="1"/>
        <v>43574</v>
      </c>
      <c r="O3902" s="5" t="str">
        <f>IFERROR(__xludf.DUMMYFUNCTION("IF(REGEXMATCH(TRIM(I3902), ""^\d+\s*min""), ""Unclassified"", IF(I3902 = """", ""NR"", I3902))"),"TV-MA")</f>
        <v>TV-MA</v>
      </c>
      <c r="R3902" s="5" t="str">
        <f t="shared" si="2"/>
        <v>My Dear Boy</v>
      </c>
      <c r="S3902" s="5" t="str">
        <f>IFERROR(__xludf.DUMMYFUNCTION("""COMPUTED_VALUE"""),"Kuromukuro")</f>
        <v>Kuromukuro</v>
      </c>
      <c r="U3902" s="5" t="str">
        <f>IFERROR(__xludf.DUMMYFUNCTION("""COMPUTED_VALUE"""),"Gene Quintano")</f>
        <v>Gene Quintano</v>
      </c>
      <c r="V3902" s="5" t="s">
        <v>17486</v>
      </c>
      <c r="W3902" s="5" t="str">
        <f t="shared" si="3"/>
        <v>Shonali Bose</v>
      </c>
      <c r="X3902" s="5">
        <f t="shared" si="4"/>
        <v>1</v>
      </c>
      <c r="Y3902" s="5" t="str">
        <f>IFERROR(__xludf.DUMMYFUNCTION("REGEXEXTRACT(J3902, ""^\d+"")"),"1")</f>
        <v>1</v>
      </c>
      <c r="Z3902" s="5" t="str">
        <f>IFERROR(__xludf.DUMMYFUNCTION("REGEXEXTRACT(J3902, ""[A-Za-z ]+$"")")," Season")</f>
        <v> Season</v>
      </c>
      <c r="AA3902" s="5" t="str">
        <f>IFERROR(__xludf.DUMMYFUNCTION("IF(REGEXMATCH(Z3902, ""Season""), ""TV Show"", ""Movie"")"),"TV Show")</f>
        <v>TV Show</v>
      </c>
    </row>
    <row r="3903">
      <c r="A3903" s="1" t="s">
        <v>21109</v>
      </c>
      <c r="B3903" s="1" t="s">
        <v>37</v>
      </c>
      <c r="C3903" s="1" t="s">
        <v>21110</v>
      </c>
      <c r="E3903" s="1" t="s">
        <v>21111</v>
      </c>
      <c r="F3903" s="1" t="s">
        <v>6651</v>
      </c>
      <c r="G3903" s="1" t="s">
        <v>21088</v>
      </c>
      <c r="H3903" s="1">
        <v>2019.0</v>
      </c>
      <c r="I3903" s="1" t="s">
        <v>136</v>
      </c>
      <c r="J3903" s="1" t="s">
        <v>51</v>
      </c>
      <c r="K3903" s="1" t="s">
        <v>567</v>
      </c>
      <c r="L3903" s="1" t="s">
        <v>21112</v>
      </c>
      <c r="M3903" s="2" t="s">
        <v>12</v>
      </c>
      <c r="N3903" s="4">
        <f t="shared" si="1"/>
        <v>43574</v>
      </c>
      <c r="O3903" s="5" t="str">
        <f>IFERROR(__xludf.DUMMYFUNCTION("IF(REGEXMATCH(TRIM(I3903), ""^\d+\s*min""), ""Unclassified"", IF(I3903 = """", ""NR"", I3903))"),"TV-PG")</f>
        <v>TV-PG</v>
      </c>
      <c r="R3903" s="5" t="str">
        <f t="shared" si="2"/>
        <v>Rilakkuma And Kaoru</v>
      </c>
      <c r="S3903" s="5" t="str">
        <f>IFERROR(__xludf.DUMMYFUNCTION("""COMPUTED_VALUE"""),"Kurt &amp; Courtney")</f>
        <v>Kurt &amp; Courtney</v>
      </c>
      <c r="U3903" s="5" t="str">
        <f>IFERROR(__xludf.DUMMYFUNCTION("""COMPUTED_VALUE"""),"Jon Turteltaub")</f>
        <v>Jon Turteltaub</v>
      </c>
      <c r="V3903" s="5" t="s">
        <v>12943</v>
      </c>
      <c r="W3903" s="5" t="str">
        <f t="shared" si="3"/>
        <v>Shoojit Sircar</v>
      </c>
      <c r="X3903" s="5">
        <f t="shared" si="4"/>
        <v>1</v>
      </c>
      <c r="Y3903" s="5" t="str">
        <f>IFERROR(__xludf.DUMMYFUNCTION("REGEXEXTRACT(J3903, ""^\d+"")"),"1")</f>
        <v>1</v>
      </c>
      <c r="Z3903" s="5" t="str">
        <f>IFERROR(__xludf.DUMMYFUNCTION("REGEXEXTRACT(J3903, ""[A-Za-z ]+$"")")," Season")</f>
        <v> Season</v>
      </c>
      <c r="AA3903" s="5" t="str">
        <f>IFERROR(__xludf.DUMMYFUNCTION("IF(REGEXMATCH(Z3903, ""Season""), ""TV Show"", ""Movie"")"),"TV Show")</f>
        <v>TV Show</v>
      </c>
    </row>
    <row r="3904">
      <c r="A3904" s="1" t="s">
        <v>21113</v>
      </c>
      <c r="B3904" s="1" t="s">
        <v>37</v>
      </c>
      <c r="C3904" s="1" t="s">
        <v>21114</v>
      </c>
      <c r="E3904" s="1" t="s">
        <v>21115</v>
      </c>
      <c r="F3904" s="1" t="s">
        <v>1992</v>
      </c>
      <c r="G3904" s="1" t="s">
        <v>21088</v>
      </c>
      <c r="H3904" s="1">
        <v>2019.0</v>
      </c>
      <c r="I3904" s="1" t="s">
        <v>42</v>
      </c>
      <c r="J3904" s="1" t="s">
        <v>43</v>
      </c>
      <c r="K3904" s="1" t="s">
        <v>1294</v>
      </c>
      <c r="L3904" s="1" t="s">
        <v>21116</v>
      </c>
      <c r="M3904" s="2" t="s">
        <v>12</v>
      </c>
      <c r="N3904" s="4">
        <f t="shared" si="1"/>
        <v>43574</v>
      </c>
      <c r="O3904" s="5" t="str">
        <f>IFERROR(__xludf.DUMMYFUNCTION("IF(REGEXMATCH(TRIM(I3904), ""^\d+\s*min""), ""Unclassified"", IF(I3904 = """", ""NR"", I3904))"),"TV-MA")</f>
        <v>TV-MA</v>
      </c>
      <c r="R3904" s="5" t="str">
        <f t="shared" si="2"/>
        <v>Samantha!</v>
      </c>
      <c r="S3904" s="5" t="str">
        <f>IFERROR(__xludf.DUMMYFUNCTION("""COMPUTED_VALUE"""),"Kurt Seyit &amp; Sura")</f>
        <v>Kurt Seyit &amp; Sura</v>
      </c>
      <c r="U3904" s="5" t="str">
        <f>IFERROR(__xludf.DUMMYFUNCTION("""COMPUTED_VALUE"""),"Roman Atwood, Ben Pluimer")</f>
        <v>Roman Atwood, Ben Pluimer</v>
      </c>
      <c r="V3904" s="5" t="s">
        <v>21117</v>
      </c>
      <c r="W3904" s="5" t="str">
        <f t="shared" si="3"/>
        <v>Shravan Kumar</v>
      </c>
      <c r="X3904" s="5">
        <f t="shared" si="4"/>
        <v>1</v>
      </c>
      <c r="Y3904" s="5" t="str">
        <f>IFERROR(__xludf.DUMMYFUNCTION("REGEXEXTRACT(J3904, ""^\d+"")"),"2")</f>
        <v>2</v>
      </c>
      <c r="Z3904" s="5" t="str">
        <f>IFERROR(__xludf.DUMMYFUNCTION("REGEXEXTRACT(J3904, ""[A-Za-z ]+$"")")," Seasons")</f>
        <v> Seasons</v>
      </c>
      <c r="AA3904" s="5" t="str">
        <f>IFERROR(__xludf.DUMMYFUNCTION("IF(REGEXMATCH(Z3904, ""Season""), ""TV Show"", ""Movie"")"),"TV Show")</f>
        <v>TV Show</v>
      </c>
    </row>
    <row r="3905">
      <c r="A3905" s="1" t="s">
        <v>21118</v>
      </c>
      <c r="B3905" s="1" t="s">
        <v>27</v>
      </c>
      <c r="C3905" s="1" t="s">
        <v>21119</v>
      </c>
      <c r="D3905" s="1" t="s">
        <v>10718</v>
      </c>
      <c r="E3905" s="1" t="s">
        <v>21120</v>
      </c>
      <c r="F3905" s="1" t="s">
        <v>30</v>
      </c>
      <c r="G3905" s="1" t="s">
        <v>21088</v>
      </c>
      <c r="H3905" s="1">
        <v>2019.0</v>
      </c>
      <c r="I3905" s="1" t="s">
        <v>378</v>
      </c>
      <c r="J3905" s="1" t="s">
        <v>665</v>
      </c>
      <c r="K3905" s="1" t="s">
        <v>813</v>
      </c>
      <c r="L3905" s="1" t="s">
        <v>21121</v>
      </c>
      <c r="M3905" s="2" t="s">
        <v>12</v>
      </c>
      <c r="N3905" s="4">
        <f t="shared" si="1"/>
        <v>43574</v>
      </c>
      <c r="O3905" s="5" t="str">
        <f>IFERROR(__xludf.DUMMYFUNCTION("IF(REGEXMATCH(TRIM(I3905), ""^\d+\s*min""), ""Unclassified"", IF(I3905 = """", ""NR"", I3905))"),"R")</f>
        <v>R</v>
      </c>
      <c r="R3905" s="5" t="str">
        <f t="shared" si="2"/>
        <v>Someone Great</v>
      </c>
      <c r="S3905" s="5" t="str">
        <f>IFERROR(__xludf.DUMMYFUNCTION("""COMPUTED_VALUE"""),"Kurtulus Son Durak")</f>
        <v>Kurtulus Son Durak</v>
      </c>
      <c r="U3905" s="5" t="str">
        <f>IFERROR(__xludf.DUMMYFUNCTION("""COMPUTED_VALUE"""),"Chad L. Scheifele")</f>
        <v>Chad L. Scheifele</v>
      </c>
      <c r="V3905" s="5" t="s">
        <v>21122</v>
      </c>
      <c r="W3905" s="5" t="str">
        <f t="shared" si="3"/>
        <v>Shree Narayan Singh</v>
      </c>
      <c r="X3905" s="5">
        <f t="shared" si="4"/>
        <v>1</v>
      </c>
      <c r="Y3905" s="5" t="str">
        <f>IFERROR(__xludf.DUMMYFUNCTION("REGEXEXTRACT(J3905, ""^\d+"")"),"92")</f>
        <v>92</v>
      </c>
      <c r="Z3905" s="5" t="str">
        <f>IFERROR(__xludf.DUMMYFUNCTION("REGEXEXTRACT(J3905, ""[A-Za-z ]+$"")")," min")</f>
        <v> min</v>
      </c>
      <c r="AA3905" s="5" t="str">
        <f>IFERROR(__xludf.DUMMYFUNCTION("IF(REGEXMATCH(Z3905, ""Season""), ""TV Show"", ""Movie"")"),"Movie")</f>
        <v>Movie</v>
      </c>
    </row>
    <row r="3906">
      <c r="A3906" s="1" t="s">
        <v>21123</v>
      </c>
      <c r="B3906" s="1" t="s">
        <v>27</v>
      </c>
      <c r="C3906" s="1" t="s">
        <v>21124</v>
      </c>
      <c r="D3906" s="1" t="s">
        <v>19015</v>
      </c>
      <c r="E3906" s="1" t="s">
        <v>21125</v>
      </c>
      <c r="F3906" s="1" t="s">
        <v>21126</v>
      </c>
      <c r="G3906" s="1" t="s">
        <v>21088</v>
      </c>
      <c r="H3906" s="1">
        <v>2019.0</v>
      </c>
      <c r="I3906" s="1" t="s">
        <v>42</v>
      </c>
      <c r="J3906" s="1" t="s">
        <v>264</v>
      </c>
      <c r="K3906" s="1" t="s">
        <v>128</v>
      </c>
      <c r="L3906" s="1" t="s">
        <v>21127</v>
      </c>
      <c r="M3906" s="2" t="s">
        <v>12</v>
      </c>
      <c r="N3906" s="4">
        <f t="shared" si="1"/>
        <v>43574</v>
      </c>
      <c r="O3906" s="5" t="str">
        <f>IFERROR(__xludf.DUMMYFUNCTION("IF(REGEXMATCH(TRIM(I3906), ""^\d+\s*min""), ""Unclassified"", IF(I3906 = """", ""NR"", I3906))"),"TV-MA")</f>
        <v>TV-MA</v>
      </c>
      <c r="R3906" s="5" t="str">
        <f t="shared" si="2"/>
        <v>The Ruthless</v>
      </c>
      <c r="S3906" s="5" t="str">
        <f>IFERROR(__xludf.DUMMYFUNCTION("""COMPUTED_VALUE"""),"Kya Kehna")</f>
        <v>Kya Kehna</v>
      </c>
      <c r="U3906" s="5" t="str">
        <f>IFERROR(__xludf.DUMMYFUNCTION("""COMPUTED_VALUE"""),"George Stevens")</f>
        <v>George Stevens</v>
      </c>
      <c r="V3906" s="5" t="s">
        <v>21128</v>
      </c>
      <c r="W3906" s="5" t="str">
        <f t="shared" si="3"/>
        <v>Shreyas Talpade</v>
      </c>
      <c r="X3906" s="5">
        <f t="shared" si="4"/>
        <v>1</v>
      </c>
      <c r="Y3906" s="5" t="str">
        <f>IFERROR(__xludf.DUMMYFUNCTION("REGEXEXTRACT(J3906, ""^\d+"")"),"111")</f>
        <v>111</v>
      </c>
      <c r="Z3906" s="5" t="str">
        <f>IFERROR(__xludf.DUMMYFUNCTION("REGEXEXTRACT(J3906, ""[A-Za-z ]+$"")")," min")</f>
        <v> min</v>
      </c>
      <c r="AA3906" s="5" t="str">
        <f>IFERROR(__xludf.DUMMYFUNCTION("IF(REGEXMATCH(Z3906, ""Season""), ""TV Show"", ""Movie"")"),"Movie")</f>
        <v>Movie</v>
      </c>
    </row>
    <row r="3907">
      <c r="A3907" s="1" t="s">
        <v>21129</v>
      </c>
      <c r="B3907" s="1" t="s">
        <v>27</v>
      </c>
      <c r="C3907" s="1" t="s">
        <v>21130</v>
      </c>
      <c r="D3907" s="1" t="s">
        <v>876</v>
      </c>
      <c r="E3907" s="1" t="s">
        <v>21131</v>
      </c>
      <c r="F3907" s="1" t="s">
        <v>96</v>
      </c>
      <c r="G3907" s="1" t="s">
        <v>21132</v>
      </c>
      <c r="H3907" s="1">
        <v>2014.0</v>
      </c>
      <c r="I3907" s="1" t="s">
        <v>378</v>
      </c>
      <c r="J3907" s="1" t="s">
        <v>519</v>
      </c>
      <c r="K3907" s="1" t="s">
        <v>89</v>
      </c>
      <c r="L3907" s="1" t="s">
        <v>21133</v>
      </c>
      <c r="M3907" s="2" t="s">
        <v>12</v>
      </c>
      <c r="N3907" s="4">
        <f t="shared" si="1"/>
        <v>43572</v>
      </c>
      <c r="O3907" s="5" t="str">
        <f>IFERROR(__xludf.DUMMYFUNCTION("IF(REGEXMATCH(TRIM(I3907), ""^\d+\s*min""), ""Unclassified"", IF(I3907 = """", ""NR"", I3907))"),"R")</f>
        <v>R</v>
      </c>
      <c r="R3907" s="5" t="str">
        <f t="shared" si="2"/>
        <v>A Little Chaos</v>
      </c>
      <c r="S3907" s="5" t="str">
        <f>IFERROR(__xludf.DUMMYFUNCTION("""COMPUTED_VALUE"""),"Kyaa Kool Hai Hum")</f>
        <v>Kyaa Kool Hai Hum</v>
      </c>
      <c r="U3907" s="5" t="str">
        <f>IFERROR(__xludf.DUMMYFUNCTION("""COMPUTED_VALUE"""),"Josh Webber")</f>
        <v>Josh Webber</v>
      </c>
      <c r="V3907" s="5" t="s">
        <v>21134</v>
      </c>
      <c r="W3907" s="5" t="str">
        <f t="shared" si="3"/>
        <v>Shrihari Sathe</v>
      </c>
      <c r="X3907" s="5">
        <f t="shared" si="4"/>
        <v>1</v>
      </c>
      <c r="Y3907" s="5" t="str">
        <f>IFERROR(__xludf.DUMMYFUNCTION("REGEXEXTRACT(J3907, ""^\d+"")"),"113")</f>
        <v>113</v>
      </c>
      <c r="Z3907" s="5" t="str">
        <f>IFERROR(__xludf.DUMMYFUNCTION("REGEXEXTRACT(J3907, ""[A-Za-z ]+$"")")," min")</f>
        <v> min</v>
      </c>
      <c r="AA3907" s="5" t="str">
        <f>IFERROR(__xludf.DUMMYFUNCTION("IF(REGEXMATCH(Z3907, ""Season""), ""TV Show"", ""Movie"")"),"Movie")</f>
        <v>Movie</v>
      </c>
    </row>
    <row r="3908">
      <c r="A3908" s="1" t="s">
        <v>21135</v>
      </c>
      <c r="B3908" s="1" t="s">
        <v>27</v>
      </c>
      <c r="C3908" s="1" t="s">
        <v>21136</v>
      </c>
      <c r="D3908" s="1" t="s">
        <v>21137</v>
      </c>
      <c r="E3908" s="1" t="s">
        <v>21138</v>
      </c>
      <c r="F3908" s="1" t="s">
        <v>162</v>
      </c>
      <c r="G3908" s="1" t="s">
        <v>21132</v>
      </c>
      <c r="H3908" s="1">
        <v>2019.0</v>
      </c>
      <c r="I3908" s="1" t="s">
        <v>42</v>
      </c>
      <c r="J3908" s="1" t="s">
        <v>5941</v>
      </c>
      <c r="K3908" s="1" t="s">
        <v>1839</v>
      </c>
      <c r="L3908" s="1" t="s">
        <v>21139</v>
      </c>
      <c r="M3908" s="2" t="s">
        <v>12</v>
      </c>
      <c r="N3908" s="4">
        <f t="shared" si="1"/>
        <v>43572</v>
      </c>
      <c r="O3908" s="5" t="str">
        <f>IFERROR(__xludf.DUMMYFUNCTION("IF(REGEXMATCH(TRIM(I3908), ""^\d+\s*min""), ""Unclassified"", IF(I3908 = """", ""NR"", I3908))"),"TV-MA")</f>
        <v>TV-MA</v>
      </c>
      <c r="R3908" s="5" t="str">
        <f t="shared" si="2"/>
        <v>Franco Escamilla: Bienvenido Al Mundo</v>
      </c>
      <c r="S3908" s="5" t="str">
        <f>IFERROR(__xludf.DUMMYFUNCTION("""COMPUTED_VALUE"""),"Kyaa Kool Hain Hum 3")</f>
        <v>Kyaa Kool Hain Hum 3</v>
      </c>
      <c r="U3908" s="5" t="str">
        <f>IFERROR(__xludf.DUMMYFUNCTION("""COMPUTED_VALUE"""),"Arun Vaidyanathan")</f>
        <v>Arun Vaidyanathan</v>
      </c>
      <c r="V3908" s="5" t="s">
        <v>12982</v>
      </c>
      <c r="W3908" s="5" t="str">
        <f t="shared" si="3"/>
        <v>Shubham Singh</v>
      </c>
      <c r="X3908" s="5">
        <f t="shared" si="4"/>
        <v>1</v>
      </c>
      <c r="Y3908" s="5" t="str">
        <f>IFERROR(__xludf.DUMMYFUNCTION("REGEXEXTRACT(J3908, ""^\d+"")"),"54")</f>
        <v>54</v>
      </c>
      <c r="Z3908" s="5" t="str">
        <f>IFERROR(__xludf.DUMMYFUNCTION("REGEXEXTRACT(J3908, ""[A-Za-z ]+$"")")," min")</f>
        <v> min</v>
      </c>
      <c r="AA3908" s="5" t="str">
        <f>IFERROR(__xludf.DUMMYFUNCTION("IF(REGEXMATCH(Z3908, ""Season""), ""TV Show"", ""Movie"")"),"Movie")</f>
        <v>Movie</v>
      </c>
    </row>
    <row r="3909">
      <c r="A3909" s="1" t="s">
        <v>21140</v>
      </c>
      <c r="B3909" s="1" t="s">
        <v>27</v>
      </c>
      <c r="C3909" s="1" t="s">
        <v>21141</v>
      </c>
      <c r="D3909" s="1" t="s">
        <v>3341</v>
      </c>
      <c r="E3909" s="1" t="s">
        <v>3341</v>
      </c>
      <c r="G3909" s="1" t="s">
        <v>21132</v>
      </c>
      <c r="H3909" s="1">
        <v>2019.0</v>
      </c>
      <c r="I3909" s="1" t="s">
        <v>42</v>
      </c>
      <c r="J3909" s="1" t="s">
        <v>2414</v>
      </c>
      <c r="K3909" s="1" t="s">
        <v>700</v>
      </c>
      <c r="L3909" s="1" t="s">
        <v>21142</v>
      </c>
      <c r="M3909" s="2" t="s">
        <v>12</v>
      </c>
      <c r="N3909" s="4">
        <f t="shared" si="1"/>
        <v>43572</v>
      </c>
      <c r="O3909" s="5" t="str">
        <f>IFERROR(__xludf.DUMMYFUNCTION("IF(REGEXMATCH(TRIM(I3909), ""^\d+\s*min""), ""Unclassified"", IF(I3909 = """", ""NR"", I3909))"),"TV-MA")</f>
        <v>TV-MA</v>
      </c>
      <c r="R3909" s="5" t="str">
        <f t="shared" si="2"/>
        <v>Homecoming: A Film By Beyoncé</v>
      </c>
      <c r="S3909" s="5" t="str">
        <f>IFERROR(__xludf.DUMMYFUNCTION("""COMPUTED_VALUE"""),"Kyaa Super Kool Hain Hum")</f>
        <v>Kyaa Super Kool Hain Hum</v>
      </c>
      <c r="U3909" s="5" t="str">
        <f>IFERROR(__xludf.DUMMYFUNCTION("""COMPUTED_VALUE"""),"Jordana Spiro")</f>
        <v>Jordana Spiro</v>
      </c>
      <c r="V3909" s="5" t="s">
        <v>3608</v>
      </c>
      <c r="W3909" s="5" t="str">
        <f t="shared" si="3"/>
        <v>Shuko Murase</v>
      </c>
      <c r="X3909" s="5">
        <f t="shared" si="4"/>
        <v>1</v>
      </c>
      <c r="Y3909" s="5" t="str">
        <f>IFERROR(__xludf.DUMMYFUNCTION("REGEXEXTRACT(J3909, ""^\d+"")"),"138")</f>
        <v>138</v>
      </c>
      <c r="Z3909" s="5" t="str">
        <f>IFERROR(__xludf.DUMMYFUNCTION("REGEXEXTRACT(J3909, ""[A-Za-z ]+$"")")," min")</f>
        <v> min</v>
      </c>
      <c r="AA3909" s="5" t="str">
        <f>IFERROR(__xludf.DUMMYFUNCTION("IF(REGEXMATCH(Z3909, ""Season""), ""TV Show"", ""Movie"")"),"Movie")</f>
        <v>Movie</v>
      </c>
    </row>
    <row r="3910">
      <c r="A3910" s="1" t="s">
        <v>21143</v>
      </c>
      <c r="B3910" s="1" t="s">
        <v>27</v>
      </c>
      <c r="C3910" s="1" t="s">
        <v>21144</v>
      </c>
      <c r="D3910" s="1" t="s">
        <v>19134</v>
      </c>
      <c r="E3910" s="1" t="s">
        <v>21145</v>
      </c>
      <c r="F3910" s="1" t="s">
        <v>96</v>
      </c>
      <c r="G3910" s="1" t="s">
        <v>21146</v>
      </c>
      <c r="H3910" s="1">
        <v>2013.0</v>
      </c>
      <c r="I3910" s="1" t="s">
        <v>378</v>
      </c>
      <c r="J3910" s="1" t="s">
        <v>2566</v>
      </c>
      <c r="K3910" s="1" t="s">
        <v>583</v>
      </c>
      <c r="L3910" s="1" t="s">
        <v>21147</v>
      </c>
      <c r="M3910" s="2" t="s">
        <v>12</v>
      </c>
      <c r="N3910" s="4">
        <f t="shared" si="1"/>
        <v>43571</v>
      </c>
      <c r="O3910" s="5" t="str">
        <f>IFERROR(__xludf.DUMMYFUNCTION("IF(REGEXMATCH(TRIM(I3910), ""^\d+\s*min""), ""Unclassified"", IF(I3910 = """", ""NR"", I3910))"),"R")</f>
        <v>R</v>
      </c>
      <c r="R3910" s="5" t="str">
        <f t="shared" si="2"/>
        <v>About Time</v>
      </c>
      <c r="S3910" s="5" t="str">
        <f>IFERROR(__xludf.DUMMYFUNCTION("""COMPUTED_VALUE"""),"Kygo: Live At The Hollywood Bowl")</f>
        <v>Kygo: Live At The Hollywood Bowl</v>
      </c>
      <c r="U3910" s="5" t="str">
        <f>IFERROR(__xludf.DUMMYFUNCTION("""COMPUTED_VALUE"""),"Kelly Reichardt")</f>
        <v>Kelly Reichardt</v>
      </c>
      <c r="V3910" s="5" t="s">
        <v>7525</v>
      </c>
      <c r="W3910" s="5" t="str">
        <f t="shared" si="3"/>
        <v>Shunsuke Kariyama</v>
      </c>
      <c r="X3910" s="5">
        <f t="shared" si="4"/>
        <v>1</v>
      </c>
      <c r="Y3910" s="5" t="str">
        <f>IFERROR(__xludf.DUMMYFUNCTION("REGEXEXTRACT(J3910, ""^\d+"")"),"123")</f>
        <v>123</v>
      </c>
      <c r="Z3910" s="5" t="str">
        <f>IFERROR(__xludf.DUMMYFUNCTION("REGEXEXTRACT(J3910, ""[A-Za-z ]+$"")")," min")</f>
        <v> min</v>
      </c>
      <c r="AA3910" s="5" t="str">
        <f>IFERROR(__xludf.DUMMYFUNCTION("IF(REGEXMATCH(Z3910, ""Season""), ""TV Show"", ""Movie"")"),"Movie")</f>
        <v>Movie</v>
      </c>
    </row>
    <row r="3911">
      <c r="A3911" s="1" t="s">
        <v>21148</v>
      </c>
      <c r="B3911" s="1" t="s">
        <v>27</v>
      </c>
      <c r="C3911" s="1" t="s">
        <v>21149</v>
      </c>
      <c r="E3911" s="1" t="s">
        <v>21150</v>
      </c>
      <c r="G3911" s="1" t="s">
        <v>21146</v>
      </c>
      <c r="H3911" s="1">
        <v>2019.0</v>
      </c>
      <c r="I3911" s="1" t="s">
        <v>206</v>
      </c>
      <c r="J3911" s="1" t="s">
        <v>1847</v>
      </c>
      <c r="K3911" s="1" t="s">
        <v>80</v>
      </c>
      <c r="L3911" s="1" t="s">
        <v>21151</v>
      </c>
      <c r="M3911" s="2" t="s">
        <v>12</v>
      </c>
      <c r="N3911" s="4">
        <f t="shared" si="1"/>
        <v>43571</v>
      </c>
      <c r="O3911" s="5" t="str">
        <f>IFERROR(__xludf.DUMMYFUNCTION("IF(REGEXMATCH(TRIM(I3911), ""^\d+\s*min""), ""Unclassified"", IF(I3911 = """", ""NR"", I3911))"),"TV-Y")</f>
        <v>TV-Y</v>
      </c>
      <c r="R3911" s="5" t="str">
        <f t="shared" si="2"/>
        <v>Super Monsters Furever Friends</v>
      </c>
      <c r="S3911" s="5" t="str">
        <f>IFERROR(__xludf.DUMMYFUNCTION("""COMPUTED_VALUE"""),"Kyo Kii... Main Jhuth Nahin Bolta")</f>
        <v>Kyo Kii... Main Jhuth Nahin Bolta</v>
      </c>
      <c r="U3911" s="5" t="str">
        <f>IFERROR(__xludf.DUMMYFUNCTION("""COMPUTED_VALUE"""),"Anthony Bell")</f>
        <v>Anthony Bell</v>
      </c>
      <c r="V3911" s="5" t="s">
        <v>21152</v>
      </c>
      <c r="W3911" s="5" t="str">
        <f t="shared" si="3"/>
        <v>Shweta Basu Prasad</v>
      </c>
      <c r="X3911" s="5">
        <f t="shared" si="4"/>
        <v>1</v>
      </c>
      <c r="Y3911" s="5" t="str">
        <f>IFERROR(__xludf.DUMMYFUNCTION("REGEXEXTRACT(J3911, ""^\d+"")"),"59")</f>
        <v>59</v>
      </c>
      <c r="Z3911" s="5" t="str">
        <f>IFERROR(__xludf.DUMMYFUNCTION("REGEXEXTRACT(J3911, ""[A-Za-z ]+$"")")," min")</f>
        <v> min</v>
      </c>
      <c r="AA3911" s="5" t="str">
        <f>IFERROR(__xludf.DUMMYFUNCTION("IF(REGEXMATCH(Z3911, ""Season""), ""TV Show"", ""Movie"")"),"Movie")</f>
        <v>Movie</v>
      </c>
    </row>
    <row r="3912">
      <c r="A3912" s="1" t="s">
        <v>21153</v>
      </c>
      <c r="B3912" s="1" t="s">
        <v>27</v>
      </c>
      <c r="C3912" s="1" t="s">
        <v>21154</v>
      </c>
      <c r="D3912" s="1" t="s">
        <v>833</v>
      </c>
      <c r="E3912" s="1" t="s">
        <v>21155</v>
      </c>
      <c r="F3912" s="1" t="s">
        <v>63</v>
      </c>
      <c r="G3912" s="1" t="s">
        <v>21156</v>
      </c>
      <c r="H3912" s="1">
        <v>2001.0</v>
      </c>
      <c r="I3912" s="1" t="s">
        <v>42</v>
      </c>
      <c r="J3912" s="1" t="s">
        <v>447</v>
      </c>
      <c r="K3912" s="1" t="s">
        <v>583</v>
      </c>
      <c r="L3912" s="1" t="s">
        <v>21157</v>
      </c>
      <c r="M3912" s="2" t="s">
        <v>12</v>
      </c>
      <c r="N3912" s="4">
        <f t="shared" si="1"/>
        <v>43570</v>
      </c>
      <c r="O3912" s="5" t="str">
        <f>IFERROR(__xludf.DUMMYFUNCTION("IF(REGEXMATCH(TRIM(I3912), ""^\d+\s*min""), ""Unclassified"", IF(I3912 = """", ""NR"", I3912))"),"TV-MA")</f>
        <v>TV-MA</v>
      </c>
      <c r="R3912" s="5" t="str">
        <f t="shared" si="2"/>
        <v>Bollywood Calling</v>
      </c>
      <c r="S3912" s="5" t="str">
        <f>IFERROR(__xludf.DUMMYFUNCTION("""COMPUTED_VALUE"""),"Kyun! Ho Gaya Na")</f>
        <v>Kyun! Ho Gaya Na</v>
      </c>
      <c r="U3912" s="5" t="str">
        <f>IFERROR(__xludf.DUMMYFUNCTION("""COMPUTED_VALUE"""),"Tim Maltby")</f>
        <v>Tim Maltby</v>
      </c>
      <c r="V3912" s="5" t="s">
        <v>9789</v>
      </c>
      <c r="W3912" s="5" t="str">
        <f t="shared" si="3"/>
        <v>Shyam Benegal</v>
      </c>
      <c r="X3912" s="5">
        <f t="shared" si="4"/>
        <v>4</v>
      </c>
      <c r="Y3912" s="5" t="str">
        <f>IFERROR(__xludf.DUMMYFUNCTION("REGEXEXTRACT(J3912, ""^\d+"")"),"102")</f>
        <v>102</v>
      </c>
      <c r="Z3912" s="5" t="str">
        <f>IFERROR(__xludf.DUMMYFUNCTION("REGEXEXTRACT(J3912, ""[A-Za-z ]+$"")")," min")</f>
        <v> min</v>
      </c>
      <c r="AA3912" s="5" t="str">
        <f>IFERROR(__xludf.DUMMYFUNCTION("IF(REGEXMATCH(Z3912, ""Season""), ""TV Show"", ""Movie"")"),"Movie")</f>
        <v>Movie</v>
      </c>
    </row>
    <row r="3913">
      <c r="A3913" s="1" t="s">
        <v>21158</v>
      </c>
      <c r="B3913" s="1" t="s">
        <v>27</v>
      </c>
      <c r="C3913" s="1" t="s">
        <v>21159</v>
      </c>
      <c r="D3913" s="1" t="s">
        <v>21160</v>
      </c>
      <c r="E3913" s="1" t="s">
        <v>21161</v>
      </c>
      <c r="F3913" s="1" t="s">
        <v>63</v>
      </c>
      <c r="G3913" s="1" t="s">
        <v>21156</v>
      </c>
      <c r="H3913" s="1">
        <v>2005.0</v>
      </c>
      <c r="I3913" s="1" t="s">
        <v>97</v>
      </c>
      <c r="J3913" s="1" t="s">
        <v>2274</v>
      </c>
      <c r="K3913" s="1" t="s">
        <v>20218</v>
      </c>
      <c r="L3913" s="1" t="s">
        <v>21162</v>
      </c>
      <c r="M3913" s="2" t="s">
        <v>12</v>
      </c>
      <c r="N3913" s="4">
        <f t="shared" si="1"/>
        <v>43570</v>
      </c>
      <c r="O3913" s="5" t="str">
        <f>IFERROR(__xludf.DUMMYFUNCTION("IF(REGEXMATCH(TRIM(I3913), ""^\d+\s*min""), ""Unclassified"", IF(I3913 = """", ""NR"", I3913))"),"TV-14")</f>
        <v>TV-14</v>
      </c>
      <c r="R3913" s="5" t="str">
        <f t="shared" si="2"/>
        <v>Ek Khiladi Ek Haseena</v>
      </c>
      <c r="S3913" s="5" t="str">
        <f>IFERROR(__xludf.DUMMYFUNCTION("""COMPUTED_VALUE"""),"L.A.’S Finest")</f>
        <v>L.A.’S Finest</v>
      </c>
      <c r="U3913" s="5" t="str">
        <f>IFERROR(__xludf.DUMMYFUNCTION("""COMPUTED_VALUE"""),"Richard Finn, Tim Maltby")</f>
        <v>Richard Finn, Tim Maltby</v>
      </c>
      <c r="V3913" s="5" t="s">
        <v>21163</v>
      </c>
      <c r="W3913" s="5" t="str">
        <f t="shared" si="3"/>
        <v>Shyamal Chaulia, Asit Mohapatra</v>
      </c>
      <c r="X3913" s="5">
        <f t="shared" si="4"/>
        <v>1</v>
      </c>
      <c r="Y3913" s="5" t="str">
        <f>IFERROR(__xludf.DUMMYFUNCTION("REGEXEXTRACT(J3913, ""^\d+"")"),"141")</f>
        <v>141</v>
      </c>
      <c r="Z3913" s="5" t="str">
        <f>IFERROR(__xludf.DUMMYFUNCTION("REGEXEXTRACT(J3913, ""[A-Za-z ]+$"")")," min")</f>
        <v> min</v>
      </c>
      <c r="AA3913" s="5" t="str">
        <f>IFERROR(__xludf.DUMMYFUNCTION("IF(REGEXMATCH(Z3913, ""Season""), ""TV Show"", ""Movie"")"),"Movie")</f>
        <v>Movie</v>
      </c>
    </row>
    <row r="3914">
      <c r="A3914" s="1" t="s">
        <v>21164</v>
      </c>
      <c r="B3914" s="1" t="s">
        <v>27</v>
      </c>
      <c r="C3914" s="1" t="s">
        <v>21165</v>
      </c>
      <c r="D3914" s="1" t="s">
        <v>19637</v>
      </c>
      <c r="F3914" s="1" t="s">
        <v>30</v>
      </c>
      <c r="G3914" s="1" t="s">
        <v>21156</v>
      </c>
      <c r="H3914" s="1">
        <v>2018.0</v>
      </c>
      <c r="I3914" s="1" t="s">
        <v>42</v>
      </c>
      <c r="J3914" s="1" t="s">
        <v>465</v>
      </c>
      <c r="K3914" s="1" t="s">
        <v>645</v>
      </c>
      <c r="L3914" s="1" t="s">
        <v>21166</v>
      </c>
      <c r="M3914" s="2" t="s">
        <v>12</v>
      </c>
      <c r="N3914" s="4">
        <f t="shared" si="1"/>
        <v>43570</v>
      </c>
      <c r="O3914" s="5" t="str">
        <f>IFERROR(__xludf.DUMMYFUNCTION("IF(REGEXMATCH(TRIM(I3914), ""^\d+\s*min""), ""Unclassified"", IF(I3914 = """", ""NR"", I3914))"),"TV-MA")</f>
        <v>TV-MA</v>
      </c>
      <c r="R3914" s="5" t="str">
        <f t="shared" si="2"/>
        <v>Generation Iron 3</v>
      </c>
      <c r="S3914" s="5" t="str">
        <f>IFERROR(__xludf.DUMMYFUNCTION("""COMPUTED_VALUE"""),"La 92")</f>
        <v>La 92</v>
      </c>
      <c r="U3914" s="5" t="str">
        <f>IFERROR(__xludf.DUMMYFUNCTION("""COMPUTED_VALUE"""),"Kiki Goshay, Jacqueline Monetta")</f>
        <v>Kiki Goshay, Jacqueline Monetta</v>
      </c>
      <c r="V3914" s="5" t="s">
        <v>21167</v>
      </c>
      <c r="W3914" s="5" t="str">
        <f t="shared" si="3"/>
        <v>Sian Heder</v>
      </c>
      <c r="X3914" s="5">
        <f t="shared" si="4"/>
        <v>1</v>
      </c>
      <c r="Y3914" s="5" t="str">
        <f>IFERROR(__xludf.DUMMYFUNCTION("REGEXEXTRACT(J3914, ""^\d+"")"),"95")</f>
        <v>95</v>
      </c>
      <c r="Z3914" s="5" t="str">
        <f>IFERROR(__xludf.DUMMYFUNCTION("REGEXEXTRACT(J3914, ""[A-Za-z ]+$"")")," min")</f>
        <v> min</v>
      </c>
      <c r="AA3914" s="5" t="str">
        <f>IFERROR(__xludf.DUMMYFUNCTION("IF(REGEXMATCH(Z3914, ""Season""), ""TV Show"", ""Movie"")"),"Movie")</f>
        <v>Movie</v>
      </c>
    </row>
    <row r="3915">
      <c r="A3915" s="1" t="s">
        <v>21168</v>
      </c>
      <c r="B3915" s="1" t="s">
        <v>27</v>
      </c>
      <c r="C3915" s="1" t="s">
        <v>21169</v>
      </c>
      <c r="D3915" s="1" t="s">
        <v>10941</v>
      </c>
      <c r="E3915" s="1" t="s">
        <v>21170</v>
      </c>
      <c r="F3915" s="1" t="s">
        <v>8402</v>
      </c>
      <c r="G3915" s="1" t="s">
        <v>21156</v>
      </c>
      <c r="H3915" s="1">
        <v>2003.0</v>
      </c>
      <c r="I3915" s="1" t="s">
        <v>42</v>
      </c>
      <c r="J3915" s="1" t="s">
        <v>264</v>
      </c>
      <c r="K3915" s="1" t="s">
        <v>679</v>
      </c>
      <c r="L3915" s="1" t="s">
        <v>21171</v>
      </c>
      <c r="M3915" s="2" t="s">
        <v>12</v>
      </c>
      <c r="N3915" s="4">
        <f t="shared" si="1"/>
        <v>43570</v>
      </c>
      <c r="O3915" s="5" t="str">
        <f>IFERROR(__xludf.DUMMYFUNCTION("IF(REGEXMATCH(TRIM(I3915), ""^\d+\s*min""), ""Unclassified"", IF(I3915 = """", ""NR"", I3915))"),"TV-MA")</f>
        <v>TV-MA</v>
      </c>
      <c r="R3915" s="5" t="str">
        <f t="shared" si="2"/>
        <v>Hazaaron Khwaishein Aisi</v>
      </c>
      <c r="S3915" s="5" t="str">
        <f>IFERROR(__xludf.DUMMYFUNCTION("""COMPUTED_VALUE"""),"La Bamba")</f>
        <v>La Bamba</v>
      </c>
      <c r="U3915" s="5" t="str">
        <f>IFERROR(__xludf.DUMMYFUNCTION("""COMPUTED_VALUE"""),"Rushmore Denooyer")</f>
        <v>Rushmore Denooyer</v>
      </c>
      <c r="V3915" s="5" t="s">
        <v>12623</v>
      </c>
      <c r="W3915" s="5" t="str">
        <f t="shared" si="3"/>
        <v>Sibusiso Khuzwayo</v>
      </c>
      <c r="X3915" s="5">
        <f t="shared" si="4"/>
        <v>1</v>
      </c>
      <c r="Y3915" s="5" t="str">
        <f>IFERROR(__xludf.DUMMYFUNCTION("REGEXEXTRACT(J3915, ""^\d+"")"),"111")</f>
        <v>111</v>
      </c>
      <c r="Z3915" s="5" t="str">
        <f>IFERROR(__xludf.DUMMYFUNCTION("REGEXEXTRACT(J3915, ""[A-Za-z ]+$"")")," min")</f>
        <v> min</v>
      </c>
      <c r="AA3915" s="5" t="str">
        <f>IFERROR(__xludf.DUMMYFUNCTION("IF(REGEXMATCH(Z3915, ""Season""), ""TV Show"", ""Movie"")"),"Movie")</f>
        <v>Movie</v>
      </c>
    </row>
    <row r="3916">
      <c r="A3916" s="1" t="s">
        <v>21172</v>
      </c>
      <c r="B3916" s="1" t="s">
        <v>27</v>
      </c>
      <c r="C3916" s="1" t="s">
        <v>21173</v>
      </c>
      <c r="D3916" s="1" t="s">
        <v>19740</v>
      </c>
      <c r="E3916" s="1" t="s">
        <v>21174</v>
      </c>
      <c r="F3916" s="1" t="s">
        <v>63</v>
      </c>
      <c r="G3916" s="1" t="s">
        <v>21156</v>
      </c>
      <c r="H3916" s="1">
        <v>2003.0</v>
      </c>
      <c r="I3916" s="1" t="s">
        <v>97</v>
      </c>
      <c r="J3916" s="1" t="s">
        <v>2859</v>
      </c>
      <c r="K3916" s="1" t="s">
        <v>230</v>
      </c>
      <c r="L3916" s="1" t="s">
        <v>21175</v>
      </c>
      <c r="M3916" s="2" t="s">
        <v>12</v>
      </c>
      <c r="N3916" s="4">
        <f t="shared" si="1"/>
        <v>43570</v>
      </c>
      <c r="O3916" s="5" t="str">
        <f>IFERROR(__xludf.DUMMYFUNCTION("IF(REGEXMATCH(TRIM(I3916), ""^\d+\s*min""), ""Unclassified"", IF(I3916 = """", ""NR"", I3916))"),"TV-14")</f>
        <v>TV-14</v>
      </c>
      <c r="R3916" s="5" t="str">
        <f t="shared" si="2"/>
        <v>Jhankaar Beats</v>
      </c>
      <c r="S3916" s="5" t="str">
        <f>IFERROR(__xludf.DUMMYFUNCTION("""COMPUTED_VALUE"""),"La Casa De Papel")</f>
        <v>La Casa De Papel</v>
      </c>
      <c r="U3916" s="5" t="str">
        <f>IFERROR(__xludf.DUMMYFUNCTION("""COMPUTED_VALUE"""),"Martin Gorst")</f>
        <v>Martin Gorst</v>
      </c>
      <c r="V3916" s="5" t="s">
        <v>9745</v>
      </c>
      <c r="W3916" s="5" t="str">
        <f t="shared" si="3"/>
        <v>Siddique</v>
      </c>
      <c r="X3916" s="5">
        <f t="shared" si="4"/>
        <v>1</v>
      </c>
      <c r="Y3916" s="5" t="str">
        <f>IFERROR(__xludf.DUMMYFUNCTION("REGEXEXTRACT(J3916, ""^\d+"")"),"131")</f>
        <v>131</v>
      </c>
      <c r="Z3916" s="5" t="str">
        <f>IFERROR(__xludf.DUMMYFUNCTION("REGEXEXTRACT(J3916, ""[A-Za-z ]+$"")")," min")</f>
        <v> min</v>
      </c>
      <c r="AA3916" s="5" t="str">
        <f>IFERROR(__xludf.DUMMYFUNCTION("IF(REGEXMATCH(Z3916, ""Season""), ""TV Show"", ""Movie"")"),"Movie")</f>
        <v>Movie</v>
      </c>
    </row>
    <row r="3917">
      <c r="A3917" s="1" t="s">
        <v>21176</v>
      </c>
      <c r="B3917" s="1" t="s">
        <v>27</v>
      </c>
      <c r="C3917" s="1" t="s">
        <v>21177</v>
      </c>
      <c r="D3917" s="1" t="s">
        <v>1728</v>
      </c>
      <c r="E3917" s="1" t="s">
        <v>21178</v>
      </c>
      <c r="F3917" s="1" t="s">
        <v>63</v>
      </c>
      <c r="G3917" s="1" t="s">
        <v>21156</v>
      </c>
      <c r="H3917" s="1">
        <v>2003.0</v>
      </c>
      <c r="I3917" s="1" t="s">
        <v>97</v>
      </c>
      <c r="J3917" s="1" t="s">
        <v>349</v>
      </c>
      <c r="K3917" s="1" t="s">
        <v>215</v>
      </c>
      <c r="L3917" s="1" t="s">
        <v>21179</v>
      </c>
      <c r="M3917" s="2" t="s">
        <v>12</v>
      </c>
      <c r="N3917" s="4">
        <f t="shared" si="1"/>
        <v>43570</v>
      </c>
      <c r="O3917" s="5" t="str">
        <f>IFERROR(__xludf.DUMMYFUNCTION("IF(REGEXMATCH(TRIM(I3917), ""^\d+\s*min""), ""Unclassified"", IF(I3917 = """", ""NR"", I3917))"),"TV-14")</f>
        <v>TV-14</v>
      </c>
      <c r="R3917" s="5" t="str">
        <f t="shared" si="2"/>
        <v>Mumbai Matinee</v>
      </c>
      <c r="S3917" s="5" t="str">
        <f>IFERROR(__xludf.DUMMYFUNCTION("""COMPUTED_VALUE"""),"La Coppia Dei Campioni")</f>
        <v>La Coppia Dei Campioni</v>
      </c>
      <c r="U3917" s="5" t="str">
        <f>IFERROR(__xludf.DUMMYFUNCTION("""COMPUTED_VALUE"""),"Giulia Clark")</f>
        <v>Giulia Clark</v>
      </c>
      <c r="V3917" s="5" t="s">
        <v>3649</v>
      </c>
      <c r="W3917" s="5" t="str">
        <f t="shared" si="3"/>
        <v>Sidharta Tata, Aco Tenriyagelli, Dian Sastrowardoyo, Ifa Isfansyah, Jason Iskandar</v>
      </c>
      <c r="X3917" s="5">
        <f t="shared" si="4"/>
        <v>1</v>
      </c>
      <c r="Y3917" s="5" t="str">
        <f>IFERROR(__xludf.DUMMYFUNCTION("REGEXEXTRACT(J3917, ""^\d+"")"),"116")</f>
        <v>116</v>
      </c>
      <c r="Z3917" s="5" t="str">
        <f>IFERROR(__xludf.DUMMYFUNCTION("REGEXEXTRACT(J3917, ""[A-Za-z ]+$"")")," min")</f>
        <v> min</v>
      </c>
      <c r="AA3917" s="5" t="str">
        <f>IFERROR(__xludf.DUMMYFUNCTION("IF(REGEXMATCH(Z3917, ""Season""), ""TV Show"", ""Movie"")"),"Movie")</f>
        <v>Movie</v>
      </c>
    </row>
    <row r="3918">
      <c r="A3918" s="1" t="s">
        <v>21180</v>
      </c>
      <c r="B3918" s="1" t="s">
        <v>27</v>
      </c>
      <c r="C3918" s="1" t="s">
        <v>21181</v>
      </c>
      <c r="D3918" s="1" t="s">
        <v>21182</v>
      </c>
      <c r="E3918" s="1" t="s">
        <v>21183</v>
      </c>
      <c r="F3918" s="1" t="s">
        <v>63</v>
      </c>
      <c r="G3918" s="1" t="s">
        <v>21156</v>
      </c>
      <c r="H3918" s="1">
        <v>2018.0</v>
      </c>
      <c r="I3918" s="1" t="s">
        <v>97</v>
      </c>
      <c r="J3918" s="1" t="s">
        <v>804</v>
      </c>
      <c r="K3918" s="1" t="s">
        <v>5704</v>
      </c>
      <c r="L3918" s="1" t="s">
        <v>21184</v>
      </c>
      <c r="M3918" s="2" t="s">
        <v>12</v>
      </c>
      <c r="N3918" s="4">
        <f t="shared" si="1"/>
        <v>43570</v>
      </c>
      <c r="O3918" s="5" t="str">
        <f>IFERROR(__xludf.DUMMYFUNCTION("IF(REGEXMATCH(TRIM(I3918), ""^\d+\s*min""), ""Unclassified"", IF(I3918 = """", ""NR"", I3918))"),"TV-14")</f>
        <v>TV-14</v>
      </c>
      <c r="R3918" s="5" t="str">
        <f t="shared" si="2"/>
        <v>Rainbow Jelly</v>
      </c>
      <c r="S3918" s="5" t="str">
        <f>IFERROR(__xludf.DUMMYFUNCTION("""COMPUTED_VALUE"""),"La Diosa Del Asfalto")</f>
        <v>La Diosa Del Asfalto</v>
      </c>
      <c r="U3918" s="5" t="str">
        <f>IFERROR(__xludf.DUMMYFUNCTION("""COMPUTED_VALUE"""),"Sarah Holt")</f>
        <v>Sarah Holt</v>
      </c>
      <c r="V3918" s="5" t="s">
        <v>21185</v>
      </c>
      <c r="W3918" s="5" t="str">
        <f t="shared" si="3"/>
        <v>Sidharth Malhotra</v>
      </c>
      <c r="X3918" s="5">
        <f t="shared" si="4"/>
        <v>1</v>
      </c>
      <c r="Y3918" s="5" t="str">
        <f>IFERROR(__xludf.DUMMYFUNCTION("REGEXEXTRACT(J3918, ""^\d+"")"),"119")</f>
        <v>119</v>
      </c>
      <c r="Z3918" s="5" t="str">
        <f>IFERROR(__xludf.DUMMYFUNCTION("REGEXEXTRACT(J3918, ""[A-Za-z ]+$"")")," min")</f>
        <v> min</v>
      </c>
      <c r="AA3918" s="5" t="str">
        <f>IFERROR(__xludf.DUMMYFUNCTION("IF(REGEXMATCH(Z3918, ""Season""), ""TV Show"", ""Movie"")"),"Movie")</f>
        <v>Movie</v>
      </c>
    </row>
    <row r="3919">
      <c r="A3919" s="1" t="s">
        <v>21186</v>
      </c>
      <c r="B3919" s="1" t="s">
        <v>27</v>
      </c>
      <c r="C3919" s="1" t="s">
        <v>21187</v>
      </c>
      <c r="D3919" s="1" t="s">
        <v>13582</v>
      </c>
      <c r="E3919" s="1" t="s">
        <v>21188</v>
      </c>
      <c r="F3919" s="1" t="s">
        <v>63</v>
      </c>
      <c r="G3919" s="1" t="s">
        <v>21156</v>
      </c>
      <c r="H3919" s="1">
        <v>2005.0</v>
      </c>
      <c r="I3919" s="1" t="s">
        <v>97</v>
      </c>
      <c r="J3919" s="1" t="s">
        <v>11162</v>
      </c>
      <c r="K3919" s="1" t="s">
        <v>679</v>
      </c>
      <c r="L3919" s="1" t="s">
        <v>21189</v>
      </c>
      <c r="M3919" s="2" t="s">
        <v>12</v>
      </c>
      <c r="N3919" s="4">
        <f t="shared" si="1"/>
        <v>43570</v>
      </c>
      <c r="O3919" s="5" t="str">
        <f>IFERROR(__xludf.DUMMYFUNCTION("IF(REGEXMATCH(TRIM(I3919), ""^\d+\s*min""), ""Unclassified"", IF(I3919 = """", ""NR"", I3919))"),"TV-14")</f>
        <v>TV-14</v>
      </c>
      <c r="R3919" s="5" t="str">
        <f t="shared" si="2"/>
        <v>Shabd</v>
      </c>
      <c r="S3919" s="5" t="str">
        <f>IFERROR(__xludf.DUMMYFUNCTION("""COMPUTED_VALUE"""),"La Doña")</f>
        <v>La Doña</v>
      </c>
      <c r="U3919" s="5" t="str">
        <f>IFERROR(__xludf.DUMMYFUNCTION("""COMPUTED_VALUE"""),"Terri Randall")</f>
        <v>Terri Randall</v>
      </c>
      <c r="V3919" s="5" t="s">
        <v>2614</v>
      </c>
      <c r="W3919" s="5" t="str">
        <f t="shared" si="3"/>
        <v>Sidheswar Shukla</v>
      </c>
      <c r="X3919" s="5">
        <f t="shared" si="4"/>
        <v>1</v>
      </c>
      <c r="Y3919" s="5" t="str">
        <f>IFERROR(__xludf.DUMMYFUNCTION("REGEXEXTRACT(J3919, ""^\d+"")"),"146")</f>
        <v>146</v>
      </c>
      <c r="Z3919" s="5" t="str">
        <f>IFERROR(__xludf.DUMMYFUNCTION("REGEXEXTRACT(J3919, ""[A-Za-z ]+$"")")," min")</f>
        <v> min</v>
      </c>
      <c r="AA3919" s="5" t="str">
        <f>IFERROR(__xludf.DUMMYFUNCTION("IF(REGEXMATCH(Z3919, ""Season""), ""TV Show"", ""Movie"")"),"Movie")</f>
        <v>Movie</v>
      </c>
    </row>
    <row r="3920">
      <c r="A3920" s="1" t="s">
        <v>21190</v>
      </c>
      <c r="B3920" s="1" t="s">
        <v>27</v>
      </c>
      <c r="C3920" s="1" t="s">
        <v>21191</v>
      </c>
      <c r="D3920" s="1" t="s">
        <v>1603</v>
      </c>
      <c r="E3920" s="1" t="s">
        <v>21192</v>
      </c>
      <c r="F3920" s="1" t="s">
        <v>63</v>
      </c>
      <c r="G3920" s="1" t="s">
        <v>21156</v>
      </c>
      <c r="H3920" s="1">
        <v>2016.0</v>
      </c>
      <c r="I3920" s="1" t="s">
        <v>136</v>
      </c>
      <c r="J3920" s="1" t="s">
        <v>1091</v>
      </c>
      <c r="K3920" s="1" t="s">
        <v>617</v>
      </c>
      <c r="L3920" s="1" t="s">
        <v>21193</v>
      </c>
      <c r="M3920" s="2" t="s">
        <v>12</v>
      </c>
      <c r="N3920" s="4">
        <f t="shared" si="1"/>
        <v>43570</v>
      </c>
      <c r="O3920" s="5" t="str">
        <f>IFERROR(__xludf.DUMMYFUNCTION("IF(REGEXMATCH(TRIM(I3920), ""^\d+\s*min""), ""Unclassified"", IF(I3920 = """", ""NR"", I3920))"),"TV-PG")</f>
        <v>TV-PG</v>
      </c>
      <c r="R3920" s="5" t="str">
        <f t="shared" si="2"/>
        <v>Shortcut Safari</v>
      </c>
      <c r="S3920" s="5" t="str">
        <f>IFERROR(__xludf.DUMMYFUNCTION("""COMPUTED_VALUE"""),"La Esclava Blanca")</f>
        <v>La Esclava Blanca</v>
      </c>
      <c r="U3920" s="5" t="str">
        <f>IFERROR(__xludf.DUMMYFUNCTION("""COMPUTED_VALUE"""),"Doug Hamilton")</f>
        <v>Doug Hamilton</v>
      </c>
      <c r="V3920" s="5" t="s">
        <v>21194</v>
      </c>
      <c r="W3920" s="5" t="str">
        <f t="shared" si="3"/>
        <v>Sidheswar Shukla, Asit Mohapatra</v>
      </c>
      <c r="X3920" s="5">
        <f t="shared" si="4"/>
        <v>1</v>
      </c>
      <c r="Y3920" s="5" t="str">
        <f>IFERROR(__xludf.DUMMYFUNCTION("REGEXEXTRACT(J3920, ""^\d+"")"),"101")</f>
        <v>101</v>
      </c>
      <c r="Z3920" s="5" t="str">
        <f>IFERROR(__xludf.DUMMYFUNCTION("REGEXEXTRACT(J3920, ""[A-Za-z ]+$"")")," min")</f>
        <v> min</v>
      </c>
      <c r="AA3920" s="5" t="str">
        <f>IFERROR(__xludf.DUMMYFUNCTION("IF(REGEXMATCH(Z3920, ""Season""), ""TV Show"", ""Movie"")"),"Movie")</f>
        <v>Movie</v>
      </c>
    </row>
    <row r="3921">
      <c r="A3921" s="1" t="s">
        <v>21195</v>
      </c>
      <c r="B3921" s="1" t="s">
        <v>27</v>
      </c>
      <c r="C3921" s="1" t="s">
        <v>21196</v>
      </c>
      <c r="D3921" s="1" t="s">
        <v>5344</v>
      </c>
      <c r="E3921" s="1" t="s">
        <v>21197</v>
      </c>
      <c r="F3921" s="1" t="s">
        <v>30</v>
      </c>
      <c r="G3921" s="1" t="s">
        <v>21198</v>
      </c>
      <c r="H3921" s="1">
        <v>2018.0</v>
      </c>
      <c r="I3921" s="1" t="s">
        <v>42</v>
      </c>
      <c r="J3921" s="1" t="s">
        <v>630</v>
      </c>
      <c r="K3921" s="1" t="s">
        <v>1551</v>
      </c>
      <c r="L3921" s="1" t="s">
        <v>21199</v>
      </c>
      <c r="M3921" s="2" t="s">
        <v>12</v>
      </c>
      <c r="N3921" s="4">
        <f t="shared" si="1"/>
        <v>43569</v>
      </c>
      <c r="O3921" s="5" t="str">
        <f>IFERROR(__xludf.DUMMYFUNCTION("IF(REGEXMATCH(TRIM(I3921), ""^\d+\s*min""), ""Unclassified"", IF(I3921 = """", ""NR"", I3921))"),"TV-MA")</f>
        <v>TV-MA</v>
      </c>
      <c r="R3921" s="5" t="str">
        <f t="shared" si="2"/>
        <v>Thriller</v>
      </c>
      <c r="S3921" s="5" t="str">
        <f>IFERROR(__xludf.DUMMYFUNCTION("""COMPUTED_VALUE"""),"La Familia P. Luche")</f>
        <v>La Familia P. Luche</v>
      </c>
      <c r="U3921" s="5" t="str">
        <f>IFERROR(__xludf.DUMMYFUNCTION("""COMPUTED_VALUE"""),"Peter Fison")</f>
        <v>Peter Fison</v>
      </c>
      <c r="V3921" s="5" t="s">
        <v>21200</v>
      </c>
      <c r="W3921" s="5" t="str">
        <f t="shared" si="3"/>
        <v>Sigrid Andrea Bernardo</v>
      </c>
      <c r="X3921" s="5">
        <f t="shared" si="4"/>
        <v>1</v>
      </c>
      <c r="Y3921" s="5" t="str">
        <f>IFERROR(__xludf.DUMMYFUNCTION("REGEXEXTRACT(J3921, ""^\d+"")"),"87")</f>
        <v>87</v>
      </c>
      <c r="Z3921" s="5" t="str">
        <f>IFERROR(__xludf.DUMMYFUNCTION("REGEXEXTRACT(J3921, ""[A-Za-z ]+$"")")," min")</f>
        <v> min</v>
      </c>
      <c r="AA3921" s="5" t="str">
        <f>IFERROR(__xludf.DUMMYFUNCTION("IF(REGEXMATCH(Z3921, ""Season""), ""TV Show"", ""Movie"")"),"Movie")</f>
        <v>Movie</v>
      </c>
    </row>
    <row r="3922">
      <c r="A3922" s="1" t="s">
        <v>21201</v>
      </c>
      <c r="B3922" s="1" t="s">
        <v>37</v>
      </c>
      <c r="C3922" s="1" t="s">
        <v>21202</v>
      </c>
      <c r="E3922" s="1" t="s">
        <v>21203</v>
      </c>
      <c r="F3922" s="1" t="s">
        <v>30</v>
      </c>
      <c r="G3922" s="1" t="s">
        <v>21204</v>
      </c>
      <c r="H3922" s="1">
        <v>2019.0</v>
      </c>
      <c r="I3922" s="1" t="s">
        <v>42</v>
      </c>
      <c r="J3922" s="1" t="s">
        <v>148</v>
      </c>
      <c r="K3922" s="1" t="s">
        <v>21205</v>
      </c>
      <c r="L3922" s="1" t="s">
        <v>21206</v>
      </c>
      <c r="M3922" s="2" t="s">
        <v>12</v>
      </c>
      <c r="N3922" s="4">
        <f t="shared" si="1"/>
        <v>43568</v>
      </c>
      <c r="O3922" s="5" t="str">
        <f>IFERROR(__xludf.DUMMYFUNCTION("IF(REGEXMATCH(TRIM(I3922), ""^\d+\s*min""), ""Unclassified"", IF(I3922 = """", ""NR"", I3922))"),"TV-MA")</f>
        <v>TV-MA</v>
      </c>
      <c r="R3922" s="5" t="str">
        <f t="shared" si="2"/>
        <v>Crazy Ex-Girlfriend</v>
      </c>
      <c r="S3922" s="5" t="str">
        <f>IFERROR(__xludf.DUMMYFUNCTION("""COMPUTED_VALUE"""),"La Femme")</f>
        <v>La Femme</v>
      </c>
      <c r="U3922" s="5" t="str">
        <f>IFERROR(__xludf.DUMMYFUNCTION("""COMPUTED_VALUE"""),"Graham Townsley")</f>
        <v>Graham Townsley</v>
      </c>
      <c r="V3922" s="5" t="s">
        <v>21207</v>
      </c>
      <c r="W3922" s="5" t="str">
        <f t="shared" si="3"/>
        <v>Simon Baker</v>
      </c>
      <c r="X3922" s="5">
        <f t="shared" si="4"/>
        <v>1</v>
      </c>
      <c r="Y3922" s="5" t="str">
        <f>IFERROR(__xludf.DUMMYFUNCTION("REGEXEXTRACT(J3922, ""^\d+"")"),"4")</f>
        <v>4</v>
      </c>
      <c r="Z3922" s="5" t="str">
        <f>IFERROR(__xludf.DUMMYFUNCTION("REGEXEXTRACT(J3922, ""[A-Za-z ]+$"")")," Seasons")</f>
        <v> Seasons</v>
      </c>
      <c r="AA3922" s="5" t="str">
        <f>IFERROR(__xludf.DUMMYFUNCTION("IF(REGEXMATCH(Z3922, ""Season""), ""TV Show"", ""Movie"")"),"TV Show")</f>
        <v>TV Show</v>
      </c>
    </row>
    <row r="3923">
      <c r="A3923" s="1" t="s">
        <v>21208</v>
      </c>
      <c r="B3923" s="1" t="s">
        <v>27</v>
      </c>
      <c r="C3923" s="1" t="s">
        <v>21209</v>
      </c>
      <c r="D3923" s="1" t="s">
        <v>11947</v>
      </c>
      <c r="E3923" s="1" t="s">
        <v>21210</v>
      </c>
      <c r="F3923" s="1" t="s">
        <v>784</v>
      </c>
      <c r="G3923" s="1" t="s">
        <v>21204</v>
      </c>
      <c r="H3923" s="1">
        <v>2019.0</v>
      </c>
      <c r="I3923" s="1" t="s">
        <v>42</v>
      </c>
      <c r="J3923" s="1" t="s">
        <v>170</v>
      </c>
      <c r="K3923" s="1" t="s">
        <v>128</v>
      </c>
      <c r="L3923" s="1" t="s">
        <v>21211</v>
      </c>
      <c r="M3923" s="2" t="s">
        <v>12</v>
      </c>
      <c r="N3923" s="4">
        <f t="shared" si="1"/>
        <v>43568</v>
      </c>
      <c r="O3923" s="5" t="str">
        <f>IFERROR(__xludf.DUMMYFUNCTION("IF(REGEXMATCH(TRIM(I3923), ""^\d+\s*min""), ""Unclassified"", IF(I3923 = """", ""NR"", I3923))"),"TV-MA")</f>
        <v>TV-MA</v>
      </c>
      <c r="R3923" s="5" t="str">
        <f t="shared" si="2"/>
        <v>Who Would You Take To A Deserted Island?</v>
      </c>
      <c r="S3923" s="5" t="str">
        <f>IFERROR(__xludf.DUMMYFUNCTION("""COMPUTED_VALUE"""),"La Gran Ilusión")</f>
        <v>La Gran Ilusión</v>
      </c>
      <c r="U3923" s="5" t="str">
        <f>IFERROR(__xludf.DUMMYFUNCTION("""COMPUTED_VALUE"""),"Paula Apsell, Kirk Wolfinger")</f>
        <v>Paula Apsell, Kirk Wolfinger</v>
      </c>
      <c r="V3923" s="5" t="s">
        <v>21212</v>
      </c>
      <c r="W3923" s="5" t="str">
        <f t="shared" si="3"/>
        <v>Simon Curtis</v>
      </c>
      <c r="X3923" s="5">
        <f t="shared" si="4"/>
        <v>1</v>
      </c>
      <c r="Y3923" s="5" t="str">
        <f>IFERROR(__xludf.DUMMYFUNCTION("REGEXEXTRACT(J3923, ""^\d+"")"),"94")</f>
        <v>94</v>
      </c>
      <c r="Z3923" s="5" t="str">
        <f>IFERROR(__xludf.DUMMYFUNCTION("REGEXEXTRACT(J3923, ""[A-Za-z ]+$"")")," min")</f>
        <v> min</v>
      </c>
      <c r="AA3923" s="5" t="str">
        <f>IFERROR(__xludf.DUMMYFUNCTION("IF(REGEXMATCH(Z3923, ""Season""), ""TV Show"", ""Movie"")"),"Movie")</f>
        <v>Movie</v>
      </c>
    </row>
    <row r="3924">
      <c r="A3924" s="1" t="s">
        <v>21213</v>
      </c>
      <c r="B3924" s="1" t="s">
        <v>27</v>
      </c>
      <c r="C3924" s="1" t="s">
        <v>21214</v>
      </c>
      <c r="D3924" s="1" t="s">
        <v>9131</v>
      </c>
      <c r="E3924" s="1" t="s">
        <v>21215</v>
      </c>
      <c r="F3924" s="1" t="s">
        <v>188</v>
      </c>
      <c r="G3924" s="1" t="s">
        <v>21216</v>
      </c>
      <c r="H3924" s="1">
        <v>2014.0</v>
      </c>
      <c r="I3924" s="1" t="s">
        <v>42</v>
      </c>
      <c r="J3924" s="1" t="s">
        <v>1428</v>
      </c>
      <c r="K3924" s="1" t="s">
        <v>1441</v>
      </c>
      <c r="L3924" s="1" t="s">
        <v>21217</v>
      </c>
      <c r="M3924" s="2" t="s">
        <v>12</v>
      </c>
      <c r="N3924" s="4">
        <f t="shared" si="1"/>
        <v>43567</v>
      </c>
      <c r="O3924" s="5" t="str">
        <f>IFERROR(__xludf.DUMMYFUNCTION("IF(REGEXMATCH(TRIM(I3924), ""^\d+\s*min""), ""Unclassified"", IF(I3924 = """", ""NR"", I3924))"),"TV-MA")</f>
        <v>TV-MA</v>
      </c>
      <c r="R3924" s="5" t="str">
        <f t="shared" si="2"/>
        <v>Dabbe 5: Zehr-I Cin</v>
      </c>
      <c r="S3924" s="5" t="str">
        <f>IFERROR(__xludf.DUMMYFUNCTION("""COMPUTED_VALUE"""),"La Grande Chaumière Violette")</f>
        <v>La Grande Chaumière Violette</v>
      </c>
      <c r="U3924" s="5" t="str">
        <f>IFERROR(__xludf.DUMMYFUNCTION("""COMPUTED_VALUE"""),"Oliver Twinch")</f>
        <v>Oliver Twinch</v>
      </c>
      <c r="V3924" s="5" t="s">
        <v>4188</v>
      </c>
      <c r="W3924" s="5" t="str">
        <f t="shared" si="3"/>
        <v>Simon Frederick</v>
      </c>
      <c r="X3924" s="5">
        <f t="shared" si="4"/>
        <v>1</v>
      </c>
      <c r="Y3924" s="5" t="str">
        <f>IFERROR(__xludf.DUMMYFUNCTION("REGEXEXTRACT(J3924, ""^\d+"")"),"133")</f>
        <v>133</v>
      </c>
      <c r="Z3924" s="5" t="str">
        <f>IFERROR(__xludf.DUMMYFUNCTION("REGEXEXTRACT(J3924, ""[A-Za-z ]+$"")")," min")</f>
        <v> min</v>
      </c>
      <c r="AA3924" s="5" t="str">
        <f>IFERROR(__xludf.DUMMYFUNCTION("IF(REGEXMATCH(Z3924, ""Season""), ""TV Show"", ""Movie"")"),"Movie")</f>
        <v>Movie</v>
      </c>
    </row>
    <row r="3925">
      <c r="A3925" s="1" t="s">
        <v>21218</v>
      </c>
      <c r="B3925" s="1" t="s">
        <v>27</v>
      </c>
      <c r="C3925" s="1" t="s">
        <v>21219</v>
      </c>
      <c r="D3925" s="1" t="s">
        <v>9131</v>
      </c>
      <c r="E3925" s="1" t="s">
        <v>21220</v>
      </c>
      <c r="F3925" s="1" t="s">
        <v>188</v>
      </c>
      <c r="G3925" s="1" t="s">
        <v>21216</v>
      </c>
      <c r="H3925" s="1">
        <v>2013.0</v>
      </c>
      <c r="I3925" s="1" t="s">
        <v>42</v>
      </c>
      <c r="J3925" s="1" t="s">
        <v>1369</v>
      </c>
      <c r="K3925" s="1" t="s">
        <v>1441</v>
      </c>
      <c r="L3925" s="1" t="s">
        <v>21221</v>
      </c>
      <c r="M3925" s="2" t="s">
        <v>12</v>
      </c>
      <c r="N3925" s="4">
        <f t="shared" si="1"/>
        <v>43567</v>
      </c>
      <c r="O3925" s="5" t="str">
        <f>IFERROR(__xludf.DUMMYFUNCTION("IF(REGEXMATCH(TRIM(I3925), ""^\d+\s*min""), ""Unclassified"", IF(I3925 = """", ""NR"", I3925))"),"TV-MA")</f>
        <v>TV-MA</v>
      </c>
      <c r="R3925" s="5" t="str">
        <f t="shared" si="2"/>
        <v>Dabbe: The Possession</v>
      </c>
      <c r="S3925" s="5" t="str">
        <f>IFERROR(__xludf.DUMMYFUNCTION("""COMPUTED_VALUE"""),"La Ley De Herodes")</f>
        <v>La Ley De Herodes</v>
      </c>
      <c r="U3925" s="5" t="str">
        <f>IFERROR(__xludf.DUMMYFUNCTION("""COMPUTED_VALUE"""),"Llewellyn M. Smith")</f>
        <v>Llewellyn M. Smith</v>
      </c>
      <c r="V3925" s="5" t="s">
        <v>21222</v>
      </c>
      <c r="W3925" s="5" t="str">
        <f t="shared" si="3"/>
        <v>Simon Napier-Bell</v>
      </c>
      <c r="X3925" s="5">
        <f t="shared" si="4"/>
        <v>1</v>
      </c>
      <c r="Y3925" s="5" t="str">
        <f>IFERROR(__xludf.DUMMYFUNCTION("REGEXEXTRACT(J3925, ""^\d+"")"),"135")</f>
        <v>135</v>
      </c>
      <c r="Z3925" s="5" t="str">
        <f>IFERROR(__xludf.DUMMYFUNCTION("REGEXEXTRACT(J3925, ""[A-Za-z ]+$"")")," min")</f>
        <v> min</v>
      </c>
      <c r="AA3925" s="5" t="str">
        <f>IFERROR(__xludf.DUMMYFUNCTION("IF(REGEXMATCH(Z3925, ""Season""), ""TV Show"", ""Movie"")"),"Movie")</f>
        <v>Movie</v>
      </c>
    </row>
    <row r="3926">
      <c r="A3926" s="1" t="s">
        <v>21223</v>
      </c>
      <c r="B3926" s="1" t="s">
        <v>27</v>
      </c>
      <c r="C3926" s="1" t="s">
        <v>21224</v>
      </c>
      <c r="E3926" s="1" t="s">
        <v>21225</v>
      </c>
      <c r="F3926" s="1" t="s">
        <v>1779</v>
      </c>
      <c r="G3926" s="1" t="s">
        <v>21216</v>
      </c>
      <c r="H3926" s="1">
        <v>2019.0</v>
      </c>
      <c r="I3926" s="1" t="s">
        <v>42</v>
      </c>
      <c r="J3926" s="1" t="s">
        <v>207</v>
      </c>
      <c r="K3926" s="1" t="s">
        <v>1839</v>
      </c>
      <c r="L3926" s="1" t="s">
        <v>21226</v>
      </c>
      <c r="M3926" s="2" t="s">
        <v>12</v>
      </c>
      <c r="N3926" s="4">
        <f t="shared" si="1"/>
        <v>43567</v>
      </c>
      <c r="O3926" s="5" t="str">
        <f>IFERROR(__xludf.DUMMYFUNCTION("IF(REGEXMATCH(TRIM(I3926), ""^\d+\s*min""), ""Unclassified"", IF(I3926 = """", ""NR"", I3926))"),"TV-MA")</f>
        <v>TV-MA</v>
      </c>
      <c r="R3926" s="5" t="str">
        <f t="shared" si="2"/>
        <v>Francesco De Carlo: Cose Di Questo Mondo</v>
      </c>
      <c r="S3926" s="5" t="str">
        <f>IFERROR(__xludf.DUMMYFUNCTION("""COMPUTED_VALUE"""),"La Leyenda Del Diamante")</f>
        <v>La Leyenda Del Diamante</v>
      </c>
      <c r="U3926" s="5" t="str">
        <f>IFERROR(__xludf.DUMMYFUNCTION("""COMPUTED_VALUE"""),"Daniel Mccabe")</f>
        <v>Daniel Mccabe</v>
      </c>
      <c r="V3926" s="5" t="s">
        <v>21227</v>
      </c>
      <c r="W3926" s="5" t="str">
        <f t="shared" si="3"/>
        <v>Simon Rumley</v>
      </c>
      <c r="X3926" s="5">
        <f t="shared" si="4"/>
        <v>1</v>
      </c>
      <c r="Y3926" s="5" t="str">
        <f>IFERROR(__xludf.DUMMYFUNCTION("REGEXEXTRACT(J3926, ""^\d+"")"),"61")</f>
        <v>61</v>
      </c>
      <c r="Z3926" s="5" t="str">
        <f>IFERROR(__xludf.DUMMYFUNCTION("REGEXEXTRACT(J3926, ""[A-Za-z ]+$"")")," min")</f>
        <v> min</v>
      </c>
      <c r="AA3926" s="5" t="str">
        <f>IFERROR(__xludf.DUMMYFUNCTION("IF(REGEXMATCH(Z3926, ""Season""), ""TV Show"", ""Movie"")"),"Movie")</f>
        <v>Movie</v>
      </c>
    </row>
    <row r="3927">
      <c r="A3927" s="1" t="s">
        <v>21228</v>
      </c>
      <c r="B3927" s="1" t="s">
        <v>37</v>
      </c>
      <c r="C3927" s="1" t="s">
        <v>21229</v>
      </c>
      <c r="E3927" s="1" t="s">
        <v>21230</v>
      </c>
      <c r="F3927" s="1" t="s">
        <v>30</v>
      </c>
      <c r="G3927" s="1" t="s">
        <v>21216</v>
      </c>
      <c r="H3927" s="1">
        <v>2019.0</v>
      </c>
      <c r="I3927" s="1" t="s">
        <v>42</v>
      </c>
      <c r="J3927" s="1" t="s">
        <v>51</v>
      </c>
      <c r="K3927" s="1" t="s">
        <v>270</v>
      </c>
      <c r="L3927" s="1" t="s">
        <v>21231</v>
      </c>
      <c r="M3927" s="2" t="s">
        <v>12</v>
      </c>
      <c r="N3927" s="4">
        <f t="shared" si="1"/>
        <v>43567</v>
      </c>
      <c r="O3927" s="5" t="str">
        <f>IFERROR(__xludf.DUMMYFUNCTION("IF(REGEXMATCH(TRIM(I3927), ""^\d+\s*min""), ""Unclassified"", IF(I3927 = """", ""NR"", I3927))"),"TV-MA")</f>
        <v>TV-MA</v>
      </c>
      <c r="R3927" s="5" t="str">
        <f t="shared" si="2"/>
        <v>Huge In France</v>
      </c>
      <c r="S3927" s="5" t="str">
        <f>IFERROR(__xludf.DUMMYFUNCTION("""COMPUTED_VALUE"""),"La Línea: Shadow Of Narco")</f>
        <v>La Línea: Shadow Of Narco</v>
      </c>
      <c r="U3927" s="5" t="str">
        <f>IFERROR(__xludf.DUMMYFUNCTION("""COMPUTED_VALUE"""),"Peter Yost")</f>
        <v>Peter Yost</v>
      </c>
      <c r="V3927" s="5" t="s">
        <v>8070</v>
      </c>
      <c r="W3927" s="5" t="str">
        <f t="shared" si="3"/>
        <v>Simon Stone</v>
      </c>
      <c r="X3927" s="5">
        <f t="shared" si="4"/>
        <v>2</v>
      </c>
      <c r="Y3927" s="5" t="str">
        <f>IFERROR(__xludf.DUMMYFUNCTION("REGEXEXTRACT(J3927, ""^\d+"")"),"1")</f>
        <v>1</v>
      </c>
      <c r="Z3927" s="5" t="str">
        <f>IFERROR(__xludf.DUMMYFUNCTION("REGEXEXTRACT(J3927, ""[A-Za-z ]+$"")")," Season")</f>
        <v> Season</v>
      </c>
      <c r="AA3927" s="5" t="str">
        <f>IFERROR(__xludf.DUMMYFUNCTION("IF(REGEXMATCH(Z3927, ""Season""), ""TV Show"", ""Movie"")"),"TV Show")</f>
        <v>TV Show</v>
      </c>
    </row>
    <row r="3928">
      <c r="A3928" s="1" t="s">
        <v>21232</v>
      </c>
      <c r="B3928" s="1" t="s">
        <v>27</v>
      </c>
      <c r="C3928" s="1" t="s">
        <v>21233</v>
      </c>
      <c r="D3928" s="1" t="s">
        <v>4766</v>
      </c>
      <c r="E3928" s="1" t="s">
        <v>21234</v>
      </c>
      <c r="F3928" s="1" t="s">
        <v>30</v>
      </c>
      <c r="G3928" s="1" t="s">
        <v>21216</v>
      </c>
      <c r="H3928" s="1">
        <v>2019.0</v>
      </c>
      <c r="I3928" s="1" t="s">
        <v>97</v>
      </c>
      <c r="J3928" s="1" t="s">
        <v>79</v>
      </c>
      <c r="K3928" s="1" t="s">
        <v>813</v>
      </c>
      <c r="L3928" s="1" t="s">
        <v>21235</v>
      </c>
      <c r="M3928" s="2" t="s">
        <v>12</v>
      </c>
      <c r="N3928" s="4">
        <f t="shared" si="1"/>
        <v>43567</v>
      </c>
      <c r="O3928" s="5" t="str">
        <f>IFERROR(__xludf.DUMMYFUNCTION("IF(REGEXMATCH(TRIM(I3928), ""^\d+\s*min""), ""Unclassified"", IF(I3928 = """", ""NR"", I3928))"),"TV-14")</f>
        <v>TV-14</v>
      </c>
      <c r="R3928" s="5" t="str">
        <f t="shared" si="2"/>
        <v>The Perfect Date</v>
      </c>
      <c r="S3928" s="5" t="str">
        <f>IFERROR(__xludf.DUMMYFUNCTION("""COMPUTED_VALUE"""),"La Mante")</f>
        <v>La Mante</v>
      </c>
      <c r="U3928" s="5" t="str">
        <f>IFERROR(__xludf.DUMMYFUNCTION("""COMPUTED_VALUE"""),"Tom Stubberfield")</f>
        <v>Tom Stubberfield</v>
      </c>
      <c r="V3928" s="5" t="s">
        <v>21236</v>
      </c>
      <c r="W3928" s="5" t="str">
        <f t="shared" si="3"/>
        <v>Simon Verhoeven</v>
      </c>
      <c r="X3928" s="5">
        <f t="shared" si="4"/>
        <v>1</v>
      </c>
      <c r="Y3928" s="5" t="str">
        <f>IFERROR(__xludf.DUMMYFUNCTION("REGEXEXTRACT(J3928, ""^\d+"")"),"91")</f>
        <v>91</v>
      </c>
      <c r="Z3928" s="5" t="str">
        <f>IFERROR(__xludf.DUMMYFUNCTION("REGEXEXTRACT(J3928, ""[A-Za-z ]+$"")")," min")</f>
        <v> min</v>
      </c>
      <c r="AA3928" s="5" t="str">
        <f>IFERROR(__xludf.DUMMYFUNCTION("IF(REGEXMATCH(Z3928, ""Season""), ""TV Show"", ""Movie"")"),"Movie")</f>
        <v>Movie</v>
      </c>
    </row>
    <row r="3929">
      <c r="A3929" s="1" t="s">
        <v>21237</v>
      </c>
      <c r="B3929" s="1" t="s">
        <v>37</v>
      </c>
      <c r="C3929" s="1" t="s">
        <v>21238</v>
      </c>
      <c r="E3929" s="1" t="s">
        <v>21239</v>
      </c>
      <c r="F3929" s="1" t="s">
        <v>30</v>
      </c>
      <c r="G3929" s="1" t="s">
        <v>21240</v>
      </c>
      <c r="H3929" s="1">
        <v>2018.0</v>
      </c>
      <c r="I3929" s="1" t="s">
        <v>97</v>
      </c>
      <c r="J3929" s="1" t="s">
        <v>1809</v>
      </c>
      <c r="K3929" s="1" t="s">
        <v>21205</v>
      </c>
      <c r="L3929" s="1" t="s">
        <v>21241</v>
      </c>
      <c r="M3929" s="2" t="s">
        <v>12</v>
      </c>
      <c r="N3929" s="4">
        <f t="shared" si="1"/>
        <v>43566</v>
      </c>
      <c r="O3929" s="5" t="str">
        <f>IFERROR(__xludf.DUMMYFUNCTION("IF(REGEXMATCH(TRIM(I3929), ""^\d+\s*min""), ""Unclassified"", IF(I3929 = """", ""NR"", I3929))"),"TV-14")</f>
        <v>TV-14</v>
      </c>
      <c r="R3929" s="5" t="str">
        <f t="shared" si="2"/>
        <v>New Girl</v>
      </c>
      <c r="S3929" s="5" t="str">
        <f>IFERROR(__xludf.DUMMYFUNCTION("""COMPUTED_VALUE"""),"La Niña")</f>
        <v>La Niña</v>
      </c>
      <c r="U3929" s="5" t="str">
        <f>IFERROR(__xludf.DUMMYFUNCTION("""COMPUTED_VALUE"""),"Noel Dockstader, Quinn Kanaly")</f>
        <v>Noel Dockstader, Quinn Kanaly</v>
      </c>
      <c r="V3929" s="5" t="s">
        <v>21242</v>
      </c>
      <c r="W3929" s="5" t="str">
        <f t="shared" si="3"/>
        <v>Simon Wells</v>
      </c>
      <c r="X3929" s="5">
        <f t="shared" si="4"/>
        <v>2</v>
      </c>
      <c r="Y3929" s="5" t="str">
        <f>IFERROR(__xludf.DUMMYFUNCTION("REGEXEXTRACT(J3929, ""^\d+"")"),"7")</f>
        <v>7</v>
      </c>
      <c r="Z3929" s="5" t="str">
        <f>IFERROR(__xludf.DUMMYFUNCTION("REGEXEXTRACT(J3929, ""[A-Za-z ]+$"")")," Seasons")</f>
        <v> Seasons</v>
      </c>
      <c r="AA3929" s="5" t="str">
        <f>IFERROR(__xludf.DUMMYFUNCTION("IF(REGEXMATCH(Z3929, ""Season""), ""TV Show"", ""Movie"")"),"TV Show")</f>
        <v>TV Show</v>
      </c>
    </row>
    <row r="3930">
      <c r="A3930" s="1" t="s">
        <v>21243</v>
      </c>
      <c r="B3930" s="1" t="s">
        <v>37</v>
      </c>
      <c r="C3930" s="1" t="s">
        <v>21244</v>
      </c>
      <c r="D3930" s="1" t="s">
        <v>21245</v>
      </c>
      <c r="E3930" s="1" t="s">
        <v>21246</v>
      </c>
      <c r="F3930" s="1" t="s">
        <v>749</v>
      </c>
      <c r="G3930" s="1" t="s">
        <v>21240</v>
      </c>
      <c r="H3930" s="1">
        <v>2019.0</v>
      </c>
      <c r="I3930" s="1" t="s">
        <v>42</v>
      </c>
      <c r="J3930" s="1" t="s">
        <v>51</v>
      </c>
      <c r="K3930" s="1" t="s">
        <v>13832</v>
      </c>
      <c r="L3930" s="1" t="s">
        <v>21247</v>
      </c>
      <c r="M3930" s="2" t="s">
        <v>12</v>
      </c>
      <c r="N3930" s="4">
        <f t="shared" si="1"/>
        <v>43566</v>
      </c>
      <c r="O3930" s="5" t="str">
        <f>IFERROR(__xludf.DUMMYFUNCTION("IF(REGEXMATCH(TRIM(I3930), ""^\d+\s*min""), ""Unclassified"", IF(I3930 = """", ""NR"", I3930))"),"TV-MA")</f>
        <v>TV-MA</v>
      </c>
      <c r="R3930" s="5" t="str">
        <f t="shared" si="2"/>
        <v>Persona</v>
      </c>
      <c r="S3930" s="5" t="str">
        <f>IFERROR(__xludf.DUMMYFUNCTION("""COMPUTED_VALUE"""),"La Originals")</f>
        <v>La Originals</v>
      </c>
      <c r="U3930" s="5" t="str">
        <f>IFERROR(__xludf.DUMMYFUNCTION("""COMPUTED_VALUE"""),"Gail Willumsen")</f>
        <v>Gail Willumsen</v>
      </c>
      <c r="V3930" s="5" t="s">
        <v>970</v>
      </c>
      <c r="W3930" s="5" t="str">
        <f t="shared" si="3"/>
        <v>Simon Wincer</v>
      </c>
      <c r="X3930" s="5">
        <f t="shared" si="4"/>
        <v>3</v>
      </c>
      <c r="Y3930" s="5" t="str">
        <f>IFERROR(__xludf.DUMMYFUNCTION("REGEXEXTRACT(J3930, ""^\d+"")"),"1")</f>
        <v>1</v>
      </c>
      <c r="Z3930" s="5" t="str">
        <f>IFERROR(__xludf.DUMMYFUNCTION("REGEXEXTRACT(J3930, ""[A-Za-z ]+$"")")," Season")</f>
        <v> Season</v>
      </c>
      <c r="AA3930" s="5" t="str">
        <f>IFERROR(__xludf.DUMMYFUNCTION("IF(REGEXMATCH(Z3930, ""Season""), ""TV Show"", ""Movie"")"),"TV Show")</f>
        <v>TV Show</v>
      </c>
    </row>
    <row r="3931">
      <c r="A3931" s="1" t="s">
        <v>21248</v>
      </c>
      <c r="B3931" s="1" t="s">
        <v>27</v>
      </c>
      <c r="C3931" s="1" t="s">
        <v>21249</v>
      </c>
      <c r="D3931" s="1" t="s">
        <v>6899</v>
      </c>
      <c r="E3931" s="1" t="s">
        <v>21250</v>
      </c>
      <c r="F3931" s="1" t="s">
        <v>1992</v>
      </c>
      <c r="G3931" s="1" t="s">
        <v>21251</v>
      </c>
      <c r="H3931" s="1">
        <v>2019.0</v>
      </c>
      <c r="I3931" s="1" t="s">
        <v>97</v>
      </c>
      <c r="J3931" s="1" t="s">
        <v>1847</v>
      </c>
      <c r="K3931" s="1" t="s">
        <v>1839</v>
      </c>
      <c r="L3931" s="1" t="s">
        <v>21252</v>
      </c>
      <c r="M3931" s="2" t="s">
        <v>12</v>
      </c>
      <c r="N3931" s="4">
        <f t="shared" si="1"/>
        <v>43565</v>
      </c>
      <c r="O3931" s="5" t="str">
        <f>IFERROR(__xludf.DUMMYFUNCTION("IF(REGEXMATCH(TRIM(I3931), ""^\d+\s*min""), ""Unclassified"", IF(I3931 = """", ""NR"", I3931))"),"TV-14")</f>
        <v>TV-14</v>
      </c>
      <c r="R3931" s="5" t="str">
        <f t="shared" si="2"/>
        <v>Liss Pereira: Reteniendo Líquidos</v>
      </c>
      <c r="S3931" s="5" t="str">
        <f>IFERROR(__xludf.DUMMYFUNCTION("""COMPUTED_VALUE"""),"La Piloto")</f>
        <v>La Piloto</v>
      </c>
      <c r="U3931" s="5" t="str">
        <f>IFERROR(__xludf.DUMMYFUNCTION("""COMPUTED_VALUE"""),"Sacha Gervasi")</f>
        <v>Sacha Gervasi</v>
      </c>
      <c r="V3931" s="5" t="s">
        <v>21253</v>
      </c>
      <c r="W3931" s="5" t="str">
        <f t="shared" si="3"/>
        <v>Simranjit Singh Hundal</v>
      </c>
      <c r="X3931" s="5">
        <f t="shared" si="4"/>
        <v>1</v>
      </c>
      <c r="Y3931" s="5" t="str">
        <f>IFERROR(__xludf.DUMMYFUNCTION("REGEXEXTRACT(J3931, ""^\d+"")"),"59")</f>
        <v>59</v>
      </c>
      <c r="Z3931" s="5" t="str">
        <f>IFERROR(__xludf.DUMMYFUNCTION("REGEXEXTRACT(J3931, ""[A-Za-z ]+$"")")," min")</f>
        <v> min</v>
      </c>
      <c r="AA3931" s="5" t="str">
        <f>IFERROR(__xludf.DUMMYFUNCTION("IF(REGEXMATCH(Z3931, ""Season""), ""TV Show"", ""Movie"")"),"Movie")</f>
        <v>Movie</v>
      </c>
    </row>
    <row r="3932">
      <c r="A3932" s="1" t="s">
        <v>21254</v>
      </c>
      <c r="B3932" s="1" t="s">
        <v>27</v>
      </c>
      <c r="C3932" s="1" t="s">
        <v>21255</v>
      </c>
      <c r="D3932" s="1" t="s">
        <v>11434</v>
      </c>
      <c r="E3932" s="1" t="s">
        <v>21256</v>
      </c>
      <c r="F3932" s="1" t="s">
        <v>21257</v>
      </c>
      <c r="G3932" s="1" t="s">
        <v>21251</v>
      </c>
      <c r="H3932" s="1">
        <v>2019.0</v>
      </c>
      <c r="I3932" s="1" t="s">
        <v>32</v>
      </c>
      <c r="J3932" s="1" t="s">
        <v>79</v>
      </c>
      <c r="K3932" s="1" t="s">
        <v>3768</v>
      </c>
      <c r="L3932" s="1" t="s">
        <v>21258</v>
      </c>
      <c r="M3932" s="2" t="s">
        <v>12</v>
      </c>
      <c r="N3932" s="4">
        <f t="shared" si="1"/>
        <v>43565</v>
      </c>
      <c r="O3932" s="5" t="str">
        <f>IFERROR(__xludf.DUMMYFUNCTION("IF(REGEXMATCH(TRIM(I3932), ""^\d+\s*min""), ""Unclassified"", IF(I3932 = """", ""NR"", I3932))"),"PG-13")</f>
        <v>PG-13</v>
      </c>
      <c r="R3932" s="5" t="str">
        <f t="shared" si="2"/>
        <v>The Silence</v>
      </c>
      <c r="S3932" s="5" t="str">
        <f>IFERROR(__xludf.DUMMYFUNCTION("""COMPUTED_VALUE"""),"La Reina Del Sur")</f>
        <v>La Reina Del Sur</v>
      </c>
      <c r="U3932" s="5" t="str">
        <f>IFERROR(__xludf.DUMMYFUNCTION("""COMPUTED_VALUE"""),"Lesli Linka Glatter")</f>
        <v>Lesli Linka Glatter</v>
      </c>
      <c r="V3932" s="5" t="s">
        <v>21259</v>
      </c>
      <c r="W3932" s="5" t="str">
        <f t="shared" si="3"/>
        <v>Sinan Akkuş</v>
      </c>
      <c r="X3932" s="5">
        <f t="shared" si="4"/>
        <v>1</v>
      </c>
      <c r="Y3932" s="5" t="str">
        <f>IFERROR(__xludf.DUMMYFUNCTION("REGEXEXTRACT(J3932, ""^\d+"")"),"91")</f>
        <v>91</v>
      </c>
      <c r="Z3932" s="5" t="str">
        <f>IFERROR(__xludf.DUMMYFUNCTION("REGEXEXTRACT(J3932, ""[A-Za-z ]+$"")")," min")</f>
        <v> min</v>
      </c>
      <c r="AA3932" s="5" t="str">
        <f>IFERROR(__xludf.DUMMYFUNCTION("IF(REGEXMATCH(Z3932, ""Season""), ""TV Show"", ""Movie"")"),"Movie")</f>
        <v>Movie</v>
      </c>
    </row>
    <row r="3933">
      <c r="A3933" s="1" t="s">
        <v>21260</v>
      </c>
      <c r="B3933" s="1" t="s">
        <v>37</v>
      </c>
      <c r="C3933" s="1" t="s">
        <v>21261</v>
      </c>
      <c r="E3933" s="1" t="s">
        <v>7693</v>
      </c>
      <c r="F3933" s="1" t="s">
        <v>30</v>
      </c>
      <c r="G3933" s="1" t="s">
        <v>21251</v>
      </c>
      <c r="H3933" s="1">
        <v>2019.0</v>
      </c>
      <c r="I3933" s="1" t="s">
        <v>136</v>
      </c>
      <c r="J3933" s="1" t="s">
        <v>51</v>
      </c>
      <c r="K3933" s="1" t="s">
        <v>21262</v>
      </c>
      <c r="L3933" s="1" t="s">
        <v>21263</v>
      </c>
      <c r="M3933" s="2" t="s">
        <v>12</v>
      </c>
      <c r="N3933" s="4">
        <f t="shared" si="1"/>
        <v>43565</v>
      </c>
      <c r="O3933" s="5" t="str">
        <f>IFERROR(__xludf.DUMMYFUNCTION("IF(REGEXMATCH(TRIM(I3933), ""^\d+\s*min""), ""Unclassified"", IF(I3933 = """", ""NR"", I3933))"),"TV-PG")</f>
        <v>TV-PG</v>
      </c>
      <c r="R3933" s="5" t="str">
        <f t="shared" si="2"/>
        <v>You Vs. Wild</v>
      </c>
      <c r="S3933" s="5" t="str">
        <f>IFERROR(__xludf.DUMMYFUNCTION("""COMPUTED_VALUE"""),"La Révolution")</f>
        <v>La Révolution</v>
      </c>
      <c r="U3933" s="5" t="str">
        <f>IFERROR(__xludf.DUMMYFUNCTION("""COMPUTED_VALUE"""),"Peter Pardini")</f>
        <v>Peter Pardini</v>
      </c>
      <c r="V3933" s="5" t="s">
        <v>14619</v>
      </c>
      <c r="W3933" s="5" t="str">
        <f t="shared" si="3"/>
        <v>Sion Sono</v>
      </c>
      <c r="X3933" s="5">
        <f t="shared" si="4"/>
        <v>2</v>
      </c>
      <c r="Y3933" s="5" t="str">
        <f>IFERROR(__xludf.DUMMYFUNCTION("REGEXEXTRACT(J3933, ""^\d+"")"),"1")</f>
        <v>1</v>
      </c>
      <c r="Z3933" s="5" t="str">
        <f>IFERROR(__xludf.DUMMYFUNCTION("REGEXEXTRACT(J3933, ""[A-Za-z ]+$"")")," Season")</f>
        <v> Season</v>
      </c>
      <c r="AA3933" s="5" t="str">
        <f>IFERROR(__xludf.DUMMYFUNCTION("IF(REGEXMATCH(Z3933, ""Season""), ""TV Show"", ""Movie"")"),"TV Show")</f>
        <v>TV Show</v>
      </c>
    </row>
    <row r="3934">
      <c r="A3934" s="1" t="s">
        <v>21264</v>
      </c>
      <c r="B3934" s="1" t="s">
        <v>27</v>
      </c>
      <c r="C3934" s="1" t="s">
        <v>21265</v>
      </c>
      <c r="D3934" s="1" t="s">
        <v>227</v>
      </c>
      <c r="E3934" s="1" t="s">
        <v>21266</v>
      </c>
      <c r="F3934" s="1" t="s">
        <v>63</v>
      </c>
      <c r="G3934" s="1" t="s">
        <v>21267</v>
      </c>
      <c r="H3934" s="1">
        <v>2018.0</v>
      </c>
      <c r="I3934" s="1" t="s">
        <v>97</v>
      </c>
      <c r="J3934" s="1" t="s">
        <v>2859</v>
      </c>
      <c r="K3934" s="1" t="s">
        <v>1429</v>
      </c>
      <c r="L3934" s="1" t="s">
        <v>21268</v>
      </c>
      <c r="M3934" s="2" t="s">
        <v>12</v>
      </c>
      <c r="N3934" s="4">
        <f t="shared" si="1"/>
        <v>43563</v>
      </c>
      <c r="O3934" s="5" t="str">
        <f>IFERROR(__xludf.DUMMYFUNCTION("IF(REGEXMATCH(TRIM(I3934), ""^\d+\s*min""), ""Unclassified"", IF(I3934 = """", ""NR"", I3934))"),"TV-14")</f>
        <v>TV-14</v>
      </c>
      <c r="R3934" s="5" t="str">
        <f t="shared" si="2"/>
        <v>Sarvam Thaala Mayam (Telugu Version)</v>
      </c>
      <c r="S3934" s="5" t="str">
        <f>IFERROR(__xludf.DUMMYFUNCTION("""COMPUTED_VALUE"""),"La Robe De Mariee Des Cieux")</f>
        <v>La Robe De Mariee Des Cieux</v>
      </c>
      <c r="U3934" s="5" t="str">
        <f>IFERROR(__xludf.DUMMYFUNCTION("""COMPUTED_VALUE"""),"Sam Taylor-Johnson")</f>
        <v>Sam Taylor-Johnson</v>
      </c>
      <c r="V3934" s="5" t="s">
        <v>2794</v>
      </c>
      <c r="W3934" s="5" t="str">
        <f t="shared" si="3"/>
        <v>Sita Likitvanichkul, Jetarin Ratanaserikiat, Apirak Samudkitpaisan, Thanabodee Uawithya, Adirek Wattaleela</v>
      </c>
      <c r="X3934" s="5">
        <f t="shared" si="4"/>
        <v>1</v>
      </c>
      <c r="Y3934" s="5" t="str">
        <f>IFERROR(__xludf.DUMMYFUNCTION("REGEXEXTRACT(J3934, ""^\d+"")"),"131")</f>
        <v>131</v>
      </c>
      <c r="Z3934" s="5" t="str">
        <f>IFERROR(__xludf.DUMMYFUNCTION("REGEXEXTRACT(J3934, ""[A-Za-z ]+$"")")," min")</f>
        <v> min</v>
      </c>
      <c r="AA3934" s="5" t="str">
        <f>IFERROR(__xludf.DUMMYFUNCTION("IF(REGEXMATCH(Z3934, ""Season""), ""TV Show"", ""Movie"")"),"Movie")</f>
        <v>Movie</v>
      </c>
    </row>
    <row r="3935">
      <c r="A3935" s="1" t="s">
        <v>21269</v>
      </c>
      <c r="B3935" s="1" t="s">
        <v>27</v>
      </c>
      <c r="C3935" s="1" t="s">
        <v>21270</v>
      </c>
      <c r="D3935" s="1" t="s">
        <v>4224</v>
      </c>
      <c r="E3935" s="1" t="s">
        <v>21271</v>
      </c>
      <c r="G3935" s="1" t="s">
        <v>21272</v>
      </c>
      <c r="H3935" s="1">
        <v>2019.0</v>
      </c>
      <c r="I3935" s="1" t="s">
        <v>97</v>
      </c>
      <c r="J3935" s="1" t="s">
        <v>15246</v>
      </c>
      <c r="K3935" s="1" t="s">
        <v>617</v>
      </c>
      <c r="L3935" s="1" t="s">
        <v>21273</v>
      </c>
      <c r="M3935" s="2" t="s">
        <v>12</v>
      </c>
      <c r="N3935" s="4">
        <f t="shared" si="1"/>
        <v>43562</v>
      </c>
      <c r="O3935" s="5" t="str">
        <f>IFERROR(__xludf.DUMMYFUNCTION("IF(REGEXMATCH(TRIM(I3935), ""^\d+\s*min""), ""Unclassified"", IF(I3935 = """", ""NR"", I3935))"),"TV-14")</f>
        <v>TV-14</v>
      </c>
      <c r="R3935" s="5" t="str">
        <f t="shared" si="2"/>
        <v>Petta (Telugu Version)</v>
      </c>
      <c r="S3935" s="5" t="str">
        <f>IFERROR(__xludf.DUMMYFUNCTION("""COMPUTED_VALUE"""),"La Rosa De Guadalupe")</f>
        <v>La Rosa De Guadalupe</v>
      </c>
      <c r="U3935" s="5" t="str">
        <f>IFERROR(__xludf.DUMMYFUNCTION("""COMPUTED_VALUE"""),"Dana Doron, Uriel Sinai")</f>
        <v>Dana Doron, Uriel Sinai</v>
      </c>
      <c r="V3935" s="5" t="s">
        <v>20142</v>
      </c>
      <c r="W3935" s="5" t="str">
        <f t="shared" si="3"/>
        <v>Sittisiri Mongkolsiri</v>
      </c>
      <c r="X3935" s="5">
        <f t="shared" si="4"/>
        <v>1</v>
      </c>
      <c r="Y3935" s="5" t="str">
        <f>IFERROR(__xludf.DUMMYFUNCTION("REGEXEXTRACT(J3935, ""^\d+"")"),"170")</f>
        <v>170</v>
      </c>
      <c r="Z3935" s="5" t="str">
        <f>IFERROR(__xludf.DUMMYFUNCTION("REGEXEXTRACT(J3935, ""[A-Za-z ]+$"")")," min")</f>
        <v> min</v>
      </c>
      <c r="AA3935" s="5" t="str">
        <f>IFERROR(__xludf.DUMMYFUNCTION("IF(REGEXMATCH(Z3935, ""Season""), ""TV Show"", ""Movie"")"),"Movie")</f>
        <v>Movie</v>
      </c>
    </row>
    <row r="3936">
      <c r="A3936" s="1" t="s">
        <v>21274</v>
      </c>
      <c r="B3936" s="1" t="s">
        <v>37</v>
      </c>
      <c r="C3936" s="1" t="s">
        <v>21275</v>
      </c>
      <c r="F3936" s="1" t="s">
        <v>30</v>
      </c>
      <c r="G3936" s="1" t="s">
        <v>21272</v>
      </c>
      <c r="H3936" s="1">
        <v>2017.0</v>
      </c>
      <c r="I3936" s="1" t="s">
        <v>42</v>
      </c>
      <c r="J3936" s="1" t="s">
        <v>51</v>
      </c>
      <c r="K3936" s="1" t="s">
        <v>1261</v>
      </c>
      <c r="L3936" s="1" t="s">
        <v>21276</v>
      </c>
      <c r="M3936" s="2" t="s">
        <v>12</v>
      </c>
      <c r="N3936" s="4">
        <f t="shared" si="1"/>
        <v>43562</v>
      </c>
      <c r="O3936" s="5" t="str">
        <f>IFERROR(__xludf.DUMMYFUNCTION("IF(REGEXMATCH(TRIM(I3936), ""^\d+\s*min""), ""Unclassified"", IF(I3936 = """", ""NR"", I3936))"),"TV-MA")</f>
        <v>TV-MA</v>
      </c>
      <c r="R3936" s="5" t="str">
        <f t="shared" si="2"/>
        <v>Time: The Kalief Browder Story</v>
      </c>
      <c r="S3936" s="5" t="str">
        <f>IFERROR(__xludf.DUMMYFUNCTION("""COMPUTED_VALUE"""),"La Última Fiesta")</f>
        <v>La Última Fiesta</v>
      </c>
      <c r="U3936" s="5" t="str">
        <f>IFERROR(__xludf.DUMMYFUNCTION("""COMPUTED_VALUE"""),"Enrico Bisi")</f>
        <v>Enrico Bisi</v>
      </c>
      <c r="V3936" s="5" t="s">
        <v>21277</v>
      </c>
      <c r="W3936" s="5" t="str">
        <f t="shared" si="3"/>
        <v>Siu-Hung Chung, Wong Jing</v>
      </c>
      <c r="X3936" s="5">
        <f t="shared" si="4"/>
        <v>1</v>
      </c>
      <c r="Y3936" s="5" t="str">
        <f>IFERROR(__xludf.DUMMYFUNCTION("REGEXEXTRACT(J3936, ""^\d+"")"),"1")</f>
        <v>1</v>
      </c>
      <c r="Z3936" s="5" t="str">
        <f>IFERROR(__xludf.DUMMYFUNCTION("REGEXEXTRACT(J3936, ""[A-Za-z ]+$"")")," Season")</f>
        <v> Season</v>
      </c>
      <c r="AA3936" s="5" t="str">
        <f>IFERROR(__xludf.DUMMYFUNCTION("IF(REGEXMATCH(Z3936, ""Season""), ""TV Show"", ""Movie"")"),"TV Show")</f>
        <v>TV Show</v>
      </c>
    </row>
    <row r="3937">
      <c r="A3937" s="1" t="s">
        <v>21278</v>
      </c>
      <c r="B3937" s="1" t="s">
        <v>27</v>
      </c>
      <c r="C3937" s="1" t="s">
        <v>21279</v>
      </c>
      <c r="D3937" s="1" t="s">
        <v>10788</v>
      </c>
      <c r="E3937" s="1" t="s">
        <v>21280</v>
      </c>
      <c r="F3937" s="1" t="s">
        <v>30</v>
      </c>
      <c r="G3937" s="1" t="s">
        <v>21281</v>
      </c>
      <c r="H3937" s="1">
        <v>2019.0</v>
      </c>
      <c r="I3937" s="1" t="s">
        <v>42</v>
      </c>
      <c r="J3937" s="1" t="s">
        <v>428</v>
      </c>
      <c r="K3937" s="1" t="s">
        <v>942</v>
      </c>
      <c r="L3937" s="1" t="s">
        <v>21282</v>
      </c>
      <c r="M3937" s="2" t="s">
        <v>12</v>
      </c>
      <c r="N3937" s="4">
        <f t="shared" si="1"/>
        <v>43560</v>
      </c>
      <c r="O3937" s="5" t="str">
        <f>IFERROR(__xludf.DUMMYFUNCTION("IF(REGEXMATCH(TRIM(I3937), ""^\d+\s*min""), ""Unclassified"", IF(I3937 = """", ""NR"", I3937))"),"TV-MA")</f>
        <v>TV-MA</v>
      </c>
      <c r="R3937" s="5" t="str">
        <f t="shared" si="2"/>
        <v>Alien Warfare</v>
      </c>
      <c r="S3937" s="5" t="str">
        <f>IFERROR(__xludf.DUMMYFUNCTION("""COMPUTED_VALUE"""),"La Viuda Negra")</f>
        <v>La Viuda Negra</v>
      </c>
      <c r="U3937" s="5" t="str">
        <f>IFERROR(__xludf.DUMMYFUNCTION("""COMPUTED_VALUE"""),"Lars Von Trier")</f>
        <v>Lars Von Trier</v>
      </c>
      <c r="V3937" s="5" t="s">
        <v>14241</v>
      </c>
      <c r="W3937" s="5" t="str">
        <f t="shared" si="3"/>
        <v>Sivaroj Kongsakul</v>
      </c>
      <c r="X3937" s="5">
        <f t="shared" si="4"/>
        <v>1</v>
      </c>
      <c r="Y3937" s="5" t="str">
        <f>IFERROR(__xludf.DUMMYFUNCTION("REGEXEXTRACT(J3937, ""^\d+"")"),"88")</f>
        <v>88</v>
      </c>
      <c r="Z3937" s="5" t="str">
        <f>IFERROR(__xludf.DUMMYFUNCTION("REGEXEXTRACT(J3937, ""[A-Za-z ]+$"")")," min")</f>
        <v> min</v>
      </c>
      <c r="AA3937" s="5" t="str">
        <f>IFERROR(__xludf.DUMMYFUNCTION("IF(REGEXMATCH(Z3937, ""Season""), ""TV Show"", ""Movie"")"),"Movie")</f>
        <v>Movie</v>
      </c>
    </row>
    <row r="3938">
      <c r="A3938" s="1" t="s">
        <v>21283</v>
      </c>
      <c r="B3938" s="1" t="s">
        <v>37</v>
      </c>
      <c r="C3938" s="1" t="s">
        <v>21284</v>
      </c>
      <c r="E3938" s="1" t="s">
        <v>21285</v>
      </c>
      <c r="F3938" s="1" t="s">
        <v>96</v>
      </c>
      <c r="G3938" s="1" t="s">
        <v>21281</v>
      </c>
      <c r="H3938" s="1">
        <v>2015.0</v>
      </c>
      <c r="I3938" s="1" t="s">
        <v>42</v>
      </c>
      <c r="J3938" s="1" t="s">
        <v>276</v>
      </c>
      <c r="K3938" s="1" t="s">
        <v>277</v>
      </c>
      <c r="L3938" s="1" t="s">
        <v>21286</v>
      </c>
      <c r="M3938" s="2" t="s">
        <v>12</v>
      </c>
      <c r="N3938" s="4">
        <f t="shared" si="1"/>
        <v>43560</v>
      </c>
      <c r="O3938" s="5" t="str">
        <f>IFERROR(__xludf.DUMMYFUNCTION("IF(REGEXMATCH(TRIM(I3938), ""^\d+\s*min""), ""Unclassified"", IF(I3938 = """", ""NR"", I3938))"),"TV-MA")</f>
        <v>TV-MA</v>
      </c>
      <c r="R3938" s="5" t="str">
        <f t="shared" si="2"/>
        <v>Derek</v>
      </c>
      <c r="S3938" s="5" t="str">
        <f>IFERROR(__xludf.DUMMYFUNCTION("""COMPUTED_VALUE"""),"Laal Rang")</f>
        <v>Laal Rang</v>
      </c>
      <c r="U3938" s="5" t="str">
        <f>IFERROR(__xludf.DUMMYFUNCTION("""COMPUTED_VALUE"""),"Mat Whitecross")</f>
        <v>Mat Whitecross</v>
      </c>
      <c r="V3938" s="5" t="s">
        <v>21287</v>
      </c>
      <c r="W3938" s="5" t="str">
        <f t="shared" si="3"/>
        <v>Skye Borgman</v>
      </c>
      <c r="X3938" s="5">
        <f t="shared" si="4"/>
        <v>1</v>
      </c>
      <c r="Y3938" s="5" t="str">
        <f>IFERROR(__xludf.DUMMYFUNCTION("REGEXEXTRACT(J3938, ""^\d+"")"),"3")</f>
        <v>3</v>
      </c>
      <c r="Z3938" s="5" t="str">
        <f>IFERROR(__xludf.DUMMYFUNCTION("REGEXEXTRACT(J3938, ""[A-Za-z ]+$"")")," Seasons")</f>
        <v> Seasons</v>
      </c>
      <c r="AA3938" s="5" t="str">
        <f>IFERROR(__xludf.DUMMYFUNCTION("IF(REGEXMATCH(Z3938, ""Season""), ""TV Show"", ""Movie"")"),"TV Show")</f>
        <v>TV Show</v>
      </c>
    </row>
    <row r="3939">
      <c r="A3939" s="1" t="s">
        <v>21288</v>
      </c>
      <c r="B3939" s="1" t="s">
        <v>37</v>
      </c>
      <c r="C3939" s="1" t="s">
        <v>21289</v>
      </c>
      <c r="E3939" s="1" t="s">
        <v>21290</v>
      </c>
      <c r="F3939" s="1" t="s">
        <v>30</v>
      </c>
      <c r="G3939" s="1" t="s">
        <v>21281</v>
      </c>
      <c r="H3939" s="1">
        <v>2017.0</v>
      </c>
      <c r="I3939" s="1" t="s">
        <v>42</v>
      </c>
      <c r="J3939" s="1" t="s">
        <v>43</v>
      </c>
      <c r="K3939" s="1" t="s">
        <v>2493</v>
      </c>
      <c r="L3939" s="1" t="s">
        <v>21291</v>
      </c>
      <c r="M3939" s="2" t="s">
        <v>12</v>
      </c>
      <c r="N3939" s="4">
        <f t="shared" si="1"/>
        <v>43560</v>
      </c>
      <c r="O3939" s="5" t="str">
        <f>IFERROR(__xludf.DUMMYFUNCTION("IF(REGEXMATCH(TRIM(I3939), ""^\d+\s*min""), ""Unclassified"", IF(I3939 = """", ""NR"", I3939))"),"TV-MA")</f>
        <v>TV-MA</v>
      </c>
      <c r="R3939" s="5" t="str">
        <f t="shared" si="2"/>
        <v>Imposters</v>
      </c>
      <c r="S3939" s="5" t="str">
        <f>IFERROR(__xludf.DUMMYFUNCTION("""COMPUTED_VALUE"""),"Laatu")</f>
        <v>Laatu</v>
      </c>
      <c r="U3939" s="5" t="str">
        <f>IFERROR(__xludf.DUMMYFUNCTION("""COMPUTED_VALUE"""),"Jacques Perrin, Jacques Cluzaud")</f>
        <v>Jacques Perrin, Jacques Cluzaud</v>
      </c>
      <c r="V3939" s="5" t="s">
        <v>11330</v>
      </c>
      <c r="W3939" s="5" t="str">
        <f t="shared" si="3"/>
        <v>Smeep Kang</v>
      </c>
      <c r="X3939" s="5">
        <f t="shared" si="4"/>
        <v>2</v>
      </c>
      <c r="Y3939" s="5" t="str">
        <f>IFERROR(__xludf.DUMMYFUNCTION("REGEXEXTRACT(J3939, ""^\d+"")"),"2")</f>
        <v>2</v>
      </c>
      <c r="Z3939" s="5" t="str">
        <f>IFERROR(__xludf.DUMMYFUNCTION("REGEXEXTRACT(J3939, ""[A-Za-z ]+$"")")," Seasons")</f>
        <v> Seasons</v>
      </c>
      <c r="AA3939" s="5" t="str">
        <f>IFERROR(__xludf.DUMMYFUNCTION("IF(REGEXMATCH(Z3939, ""Season""), ""TV Show"", ""Movie"")"),"TV Show")</f>
        <v>TV Show</v>
      </c>
    </row>
    <row r="3940">
      <c r="A3940" s="1" t="s">
        <v>21292</v>
      </c>
      <c r="B3940" s="1" t="s">
        <v>37</v>
      </c>
      <c r="C3940" s="1" t="s">
        <v>21293</v>
      </c>
      <c r="E3940" s="1" t="s">
        <v>5968</v>
      </c>
      <c r="F3940" s="1" t="s">
        <v>692</v>
      </c>
      <c r="G3940" s="1" t="s">
        <v>21281</v>
      </c>
      <c r="H3940" s="1">
        <v>2019.0</v>
      </c>
      <c r="I3940" s="1" t="s">
        <v>136</v>
      </c>
      <c r="J3940" s="1" t="s">
        <v>51</v>
      </c>
      <c r="K3940" s="1" t="s">
        <v>736</v>
      </c>
      <c r="L3940" s="1" t="s">
        <v>21294</v>
      </c>
      <c r="M3940" s="2" t="s">
        <v>12</v>
      </c>
      <c r="N3940" s="4">
        <f t="shared" si="1"/>
        <v>43560</v>
      </c>
      <c r="O3940" s="5" t="str">
        <f>IFERROR(__xludf.DUMMYFUNCTION("IF(REGEXMATCH(TRIM(I3940), ""^\d+\s*min""), ""Unclassified"", IF(I3940 = """", ""NR"", I3940))"),"TV-PG")</f>
        <v>TV-PG</v>
      </c>
      <c r="R3940" s="5" t="str">
        <f t="shared" si="2"/>
        <v>Our Planet</v>
      </c>
      <c r="S3940" s="5" t="str">
        <f>IFERROR(__xludf.DUMMYFUNCTION("""COMPUTED_VALUE"""),"Labyrinth")</f>
        <v>Labyrinth</v>
      </c>
      <c r="U3940" s="5" t="str">
        <f>IFERROR(__xludf.DUMMYFUNCTION("""COMPUTED_VALUE"""),"Luke Sparke")</f>
        <v>Luke Sparke</v>
      </c>
      <c r="V3940" s="5" t="s">
        <v>15950</v>
      </c>
      <c r="W3940" s="5" t="str">
        <f t="shared" si="3"/>
        <v>Sneha Taurani</v>
      </c>
      <c r="X3940" s="5">
        <f t="shared" si="4"/>
        <v>1</v>
      </c>
      <c r="Y3940" s="5" t="str">
        <f>IFERROR(__xludf.DUMMYFUNCTION("REGEXEXTRACT(J3940, ""^\d+"")"),"1")</f>
        <v>1</v>
      </c>
      <c r="Z3940" s="5" t="str">
        <f>IFERROR(__xludf.DUMMYFUNCTION("REGEXEXTRACT(J3940, ""[A-Za-z ]+$"")")," Season")</f>
        <v> Season</v>
      </c>
      <c r="AA3940" s="5" t="str">
        <f>IFERROR(__xludf.DUMMYFUNCTION("IF(REGEXMATCH(Z3940, ""Season""), ""TV Show"", ""Movie"")"),"TV Show")</f>
        <v>TV Show</v>
      </c>
    </row>
    <row r="3941">
      <c r="A3941" s="1" t="s">
        <v>21295</v>
      </c>
      <c r="B3941" s="1" t="s">
        <v>27</v>
      </c>
      <c r="C3941" s="1" t="s">
        <v>21296</v>
      </c>
      <c r="D3941" s="1" t="s">
        <v>4224</v>
      </c>
      <c r="E3941" s="1" t="s">
        <v>21271</v>
      </c>
      <c r="F3941" s="1" t="s">
        <v>63</v>
      </c>
      <c r="G3941" s="1" t="s">
        <v>21281</v>
      </c>
      <c r="H3941" s="1">
        <v>2019.0</v>
      </c>
      <c r="I3941" s="1" t="s">
        <v>97</v>
      </c>
      <c r="J3941" s="1" t="s">
        <v>15246</v>
      </c>
      <c r="K3941" s="1" t="s">
        <v>617</v>
      </c>
      <c r="L3941" s="1" t="s">
        <v>21273</v>
      </c>
      <c r="M3941" s="2" t="s">
        <v>12</v>
      </c>
      <c r="N3941" s="4">
        <f t="shared" si="1"/>
        <v>43560</v>
      </c>
      <c r="O3941" s="5" t="str">
        <f>IFERROR(__xludf.DUMMYFUNCTION("IF(REGEXMATCH(TRIM(I3941), ""^\d+\s*min""), ""Unclassified"", IF(I3941 = """", ""NR"", I3941))"),"TV-14")</f>
        <v>TV-14</v>
      </c>
      <c r="R3941" s="5" t="str">
        <f t="shared" si="2"/>
        <v>Petta</v>
      </c>
      <c r="S3941" s="5" t="str">
        <f>IFERROR(__xludf.DUMMYFUNCTION("""COMPUTED_VALUE"""),"Laddaland")</f>
        <v>Laddaland</v>
      </c>
      <c r="U3941" s="5" t="str">
        <f>IFERROR(__xludf.DUMMYFUNCTION("""COMPUTED_VALUE"""),"Lewis Milestone")</f>
        <v>Lewis Milestone</v>
      </c>
      <c r="V3941" s="5" t="s">
        <v>21297</v>
      </c>
      <c r="W3941" s="5" t="str">
        <f t="shared" si="3"/>
        <v>So Yong Kim</v>
      </c>
      <c r="X3941" s="5">
        <f t="shared" si="4"/>
        <v>1</v>
      </c>
      <c r="Y3941" s="5" t="str">
        <f>IFERROR(__xludf.DUMMYFUNCTION("REGEXEXTRACT(J3941, ""^\d+"")"),"170")</f>
        <v>170</v>
      </c>
      <c r="Z3941" s="5" t="str">
        <f>IFERROR(__xludf.DUMMYFUNCTION("REGEXEXTRACT(J3941, ""[A-Za-z ]+$"")")," min")</f>
        <v> min</v>
      </c>
      <c r="AA3941" s="5" t="str">
        <f>IFERROR(__xludf.DUMMYFUNCTION("IF(REGEXMATCH(Z3941, ""Season""), ""TV Show"", ""Movie"")"),"Movie")</f>
        <v>Movie</v>
      </c>
    </row>
    <row r="3942">
      <c r="A3942" s="1" t="s">
        <v>21298</v>
      </c>
      <c r="B3942" s="1" t="s">
        <v>37</v>
      </c>
      <c r="C3942" s="1" t="s">
        <v>21299</v>
      </c>
      <c r="E3942" s="1" t="s">
        <v>21300</v>
      </c>
      <c r="F3942" s="1" t="s">
        <v>3834</v>
      </c>
      <c r="G3942" s="1" t="s">
        <v>21281</v>
      </c>
      <c r="H3942" s="1">
        <v>2019.0</v>
      </c>
      <c r="I3942" s="1" t="s">
        <v>42</v>
      </c>
      <c r="J3942" s="1" t="s">
        <v>51</v>
      </c>
      <c r="K3942" s="1" t="s">
        <v>1362</v>
      </c>
      <c r="L3942" s="1" t="s">
        <v>21301</v>
      </c>
      <c r="M3942" s="2" t="s">
        <v>12</v>
      </c>
      <c r="N3942" s="4">
        <f t="shared" si="1"/>
        <v>43560</v>
      </c>
      <c r="O3942" s="5" t="str">
        <f>IFERROR(__xludf.DUMMYFUNCTION("IF(REGEXMATCH(TRIM(I3942), ""^\d+\s*min""), ""Unclassified"", IF(I3942 = """", ""NR"", I3942))"),"TV-MA")</f>
        <v>TV-MA</v>
      </c>
      <c r="R3942" s="5" t="str">
        <f t="shared" si="2"/>
        <v>Quicksand</v>
      </c>
      <c r="S3942" s="5" t="str">
        <f>IFERROR(__xludf.DUMMYFUNCTION("""COMPUTED_VALUE"""),"Ladies First")</f>
        <v>Ladies First</v>
      </c>
      <c r="U3942" s="5" t="str">
        <f>IFERROR(__xludf.DUMMYFUNCTION("""COMPUTED_VALUE"""),"Nacho G. Velilla")</f>
        <v>Nacho G. Velilla</v>
      </c>
      <c r="V3942" s="5" t="s">
        <v>2828</v>
      </c>
      <c r="W3942" s="5" t="str">
        <f t="shared" si="3"/>
        <v>Sofia Coppola</v>
      </c>
      <c r="X3942" s="5">
        <f t="shared" si="4"/>
        <v>3</v>
      </c>
      <c r="Y3942" s="5" t="str">
        <f>IFERROR(__xludf.DUMMYFUNCTION("REGEXEXTRACT(J3942, ""^\d+"")"),"1")</f>
        <v>1</v>
      </c>
      <c r="Z3942" s="5" t="str">
        <f>IFERROR(__xludf.DUMMYFUNCTION("REGEXEXTRACT(J3942, ""[A-Za-z ]+$"")")," Season")</f>
        <v> Season</v>
      </c>
      <c r="AA3942" s="5" t="str">
        <f>IFERROR(__xludf.DUMMYFUNCTION("IF(REGEXMATCH(Z3942, ""Season""), ""TV Show"", ""Movie"")"),"TV Show")</f>
        <v>TV Show</v>
      </c>
    </row>
    <row r="3943">
      <c r="A3943" s="1" t="s">
        <v>21302</v>
      </c>
      <c r="B3943" s="1" t="s">
        <v>37</v>
      </c>
      <c r="C3943" s="1" t="s">
        <v>21303</v>
      </c>
      <c r="E3943" s="1" t="s">
        <v>21304</v>
      </c>
      <c r="F3943" s="1" t="s">
        <v>3321</v>
      </c>
      <c r="G3943" s="1" t="s">
        <v>21281</v>
      </c>
      <c r="H3943" s="1">
        <v>2017.0</v>
      </c>
      <c r="I3943" s="1" t="s">
        <v>136</v>
      </c>
      <c r="J3943" s="1" t="s">
        <v>51</v>
      </c>
      <c r="K3943" s="1" t="s">
        <v>290</v>
      </c>
      <c r="L3943" s="1" t="s">
        <v>21305</v>
      </c>
      <c r="M3943" s="2" t="s">
        <v>12</v>
      </c>
      <c r="N3943" s="4">
        <f t="shared" si="1"/>
        <v>43560</v>
      </c>
      <c r="O3943" s="5" t="str">
        <f>IFERROR(__xludf.DUMMYFUNCTION("IF(REGEXMATCH(TRIM(I3943), ""^\d+\s*min""), ""Unclassified"", IF(I3943 = """", ""NR"", I3943))"),"TV-PG")</f>
        <v>TV-PG</v>
      </c>
      <c r="R3943" s="5" t="str">
        <f t="shared" si="2"/>
        <v>Rimba Racer</v>
      </c>
      <c r="S3943" s="5" t="str">
        <f>IFERROR(__xludf.DUMMYFUNCTION("""COMPUTED_VALUE"""),"Ladies Up")</f>
        <v>Ladies Up</v>
      </c>
      <c r="U3943" s="5" t="str">
        <f>IFERROR(__xludf.DUMMYFUNCTION("""COMPUTED_VALUE"""),"Shawn Crahan")</f>
        <v>Shawn Crahan</v>
      </c>
      <c r="V3943" s="5" t="s">
        <v>3925</v>
      </c>
      <c r="W3943" s="5" t="str">
        <f t="shared" si="3"/>
        <v>Sofie Šustková</v>
      </c>
      <c r="X3943" s="5">
        <f t="shared" si="4"/>
        <v>1</v>
      </c>
      <c r="Y3943" s="5" t="str">
        <f>IFERROR(__xludf.DUMMYFUNCTION("REGEXEXTRACT(J3943, ""^\d+"")"),"1")</f>
        <v>1</v>
      </c>
      <c r="Z3943" s="5" t="str">
        <f>IFERROR(__xludf.DUMMYFUNCTION("REGEXEXTRACT(J3943, ""[A-Za-z ]+$"")")," Season")</f>
        <v> Season</v>
      </c>
      <c r="AA3943" s="5" t="str">
        <f>IFERROR(__xludf.DUMMYFUNCTION("IF(REGEXMATCH(Z3943, ""Season""), ""TV Show"", ""Movie"")"),"TV Show")</f>
        <v>TV Show</v>
      </c>
    </row>
    <row r="3944">
      <c r="A3944" s="1" t="s">
        <v>21306</v>
      </c>
      <c r="B3944" s="1" t="s">
        <v>37</v>
      </c>
      <c r="C3944" s="1" t="s">
        <v>21307</v>
      </c>
      <c r="E3944" s="1" t="s">
        <v>21308</v>
      </c>
      <c r="F3944" s="1" t="s">
        <v>1979</v>
      </c>
      <c r="G3944" s="1" t="s">
        <v>21281</v>
      </c>
      <c r="H3944" s="1">
        <v>2019.0</v>
      </c>
      <c r="I3944" s="1" t="s">
        <v>42</v>
      </c>
      <c r="J3944" s="1" t="s">
        <v>276</v>
      </c>
      <c r="K3944" s="1" t="s">
        <v>1261</v>
      </c>
      <c r="L3944" s="1" t="s">
        <v>21309</v>
      </c>
      <c r="M3944" s="2" t="s">
        <v>12</v>
      </c>
      <c r="N3944" s="4">
        <f t="shared" si="1"/>
        <v>43560</v>
      </c>
      <c r="O3944" s="5" t="str">
        <f>IFERROR(__xludf.DUMMYFUNCTION("IF(REGEXMATCH(TRIM(I3944), ""^\d+\s*min""), ""Unclassified"", IF(I3944 = """", ""NR"", I3944))"),"TV-MA")</f>
        <v>TV-MA</v>
      </c>
      <c r="R3944" s="5" t="str">
        <f t="shared" si="2"/>
        <v>Roman Empire: Reign Of Blood</v>
      </c>
      <c r="S3944" s="5" t="str">
        <f>IFERROR(__xludf.DUMMYFUNCTION("""COMPUTED_VALUE"""),"Lady Bird")</f>
        <v>Lady Bird</v>
      </c>
      <c r="U3944" s="5" t="str">
        <f>IFERROR(__xludf.DUMMYFUNCTION("""COMPUTED_VALUE"""),"Poj Arnon")</f>
        <v>Poj Arnon</v>
      </c>
      <c r="V3944" s="5" t="s">
        <v>8474</v>
      </c>
      <c r="W3944" s="5" t="str">
        <f t="shared" si="3"/>
        <v>Sohail Khan</v>
      </c>
      <c r="X3944" s="5">
        <f t="shared" si="4"/>
        <v>1</v>
      </c>
      <c r="Y3944" s="5" t="str">
        <f>IFERROR(__xludf.DUMMYFUNCTION("REGEXEXTRACT(J3944, ""^\d+"")"),"3")</f>
        <v>3</v>
      </c>
      <c r="Z3944" s="5" t="str">
        <f>IFERROR(__xludf.DUMMYFUNCTION("REGEXEXTRACT(J3944, ""[A-Za-z ]+$"")")," Seasons")</f>
        <v> Seasons</v>
      </c>
      <c r="AA3944" s="5" t="str">
        <f>IFERROR(__xludf.DUMMYFUNCTION("IF(REGEXMATCH(Z3944, ""Season""), ""TV Show"", ""Movie"")"),"TV Show")</f>
        <v>TV Show</v>
      </c>
    </row>
    <row r="3945">
      <c r="A3945" s="1" t="s">
        <v>21310</v>
      </c>
      <c r="B3945" s="1" t="s">
        <v>37</v>
      </c>
      <c r="C3945" s="1" t="s">
        <v>21311</v>
      </c>
      <c r="E3945" s="1" t="s">
        <v>21312</v>
      </c>
      <c r="F3945" s="1" t="s">
        <v>30</v>
      </c>
      <c r="G3945" s="1" t="s">
        <v>21281</v>
      </c>
      <c r="H3945" s="1">
        <v>2019.0</v>
      </c>
      <c r="I3945" s="1" t="s">
        <v>289</v>
      </c>
      <c r="J3945" s="1" t="s">
        <v>3285</v>
      </c>
      <c r="K3945" s="1" t="s">
        <v>290</v>
      </c>
      <c r="L3945" s="1" t="s">
        <v>21313</v>
      </c>
      <c r="M3945" s="2" t="s">
        <v>12</v>
      </c>
      <c r="N3945" s="4">
        <f t="shared" si="1"/>
        <v>43560</v>
      </c>
      <c r="O3945" s="5" t="str">
        <f>IFERROR(__xludf.DUMMYFUNCTION("IF(REGEXMATCH(TRIM(I3945), ""^\d+\s*min""), ""Unclassified"", IF(I3945 = """", ""NR"", I3945))"),"TV-Y7")</f>
        <v>TV-Y7</v>
      </c>
      <c r="R3945" s="5" t="str">
        <f t="shared" si="2"/>
        <v>Spirit: Riding Free</v>
      </c>
      <c r="S3945" s="5" t="str">
        <f>IFERROR(__xludf.DUMMYFUNCTION("""COMPUTED_VALUE"""),"Lady Bloodfight")</f>
        <v>Lady Bloodfight</v>
      </c>
      <c r="U3945" s="5" t="str">
        <f>IFERROR(__xludf.DUMMYFUNCTION("""COMPUTED_VALUE"""),"Clarence Yiu-Leung Fok")</f>
        <v>Clarence Yiu-Leung Fok</v>
      </c>
      <c r="V3945" s="5" t="s">
        <v>21314</v>
      </c>
      <c r="W3945" s="5" t="str">
        <f t="shared" si="3"/>
        <v>Sohail Tatari</v>
      </c>
      <c r="X3945" s="5">
        <f t="shared" si="4"/>
        <v>1</v>
      </c>
      <c r="Y3945" s="5" t="str">
        <f>IFERROR(__xludf.DUMMYFUNCTION("REGEXEXTRACT(J3945, ""^\d+"")"),"8")</f>
        <v>8</v>
      </c>
      <c r="Z3945" s="5" t="str">
        <f>IFERROR(__xludf.DUMMYFUNCTION("REGEXEXTRACT(J3945, ""[A-Za-z ]+$"")")," Seasons")</f>
        <v> Seasons</v>
      </c>
      <c r="AA3945" s="5" t="str">
        <f>IFERROR(__xludf.DUMMYFUNCTION("IF(REGEXMATCH(Z3945, ""Season""), ""TV Show"", ""Movie"")"),"TV Show")</f>
        <v>TV Show</v>
      </c>
    </row>
    <row r="3946">
      <c r="A3946" s="1" t="s">
        <v>21315</v>
      </c>
      <c r="B3946" s="1" t="s">
        <v>37</v>
      </c>
      <c r="C3946" s="1" t="s">
        <v>21316</v>
      </c>
      <c r="E3946" s="1" t="s">
        <v>21317</v>
      </c>
      <c r="F3946" s="1" t="s">
        <v>162</v>
      </c>
      <c r="G3946" s="1" t="s">
        <v>21281</v>
      </c>
      <c r="H3946" s="1">
        <v>2019.0</v>
      </c>
      <c r="I3946" s="1" t="s">
        <v>42</v>
      </c>
      <c r="J3946" s="1" t="s">
        <v>51</v>
      </c>
      <c r="K3946" s="1" t="s">
        <v>785</v>
      </c>
      <c r="L3946" s="1" t="s">
        <v>21318</v>
      </c>
      <c r="M3946" s="2" t="s">
        <v>12</v>
      </c>
      <c r="N3946" s="4">
        <f t="shared" si="1"/>
        <v>43560</v>
      </c>
      <c r="O3946" s="5" t="str">
        <f>IFERROR(__xludf.DUMMYFUNCTION("IF(REGEXMATCH(TRIM(I3946), ""^\d+\s*min""), ""Unclassified"", IF(I3946 = """", ""NR"", I3946))"),"TV-MA")</f>
        <v>TV-MA</v>
      </c>
      <c r="R3946" s="5" t="str">
        <f t="shared" si="2"/>
        <v>Tijuana</v>
      </c>
      <c r="S3946" s="5" t="str">
        <f>IFERROR(__xludf.DUMMYFUNCTION("""COMPUTED_VALUE"""),"Lady Boss: The Jackie Collins Story")</f>
        <v>Lady Boss: The Jackie Collins Story</v>
      </c>
      <c r="U3946" s="5" t="str">
        <f>IFERROR(__xludf.DUMMYFUNCTION("""COMPUTED_VALUE"""),"Heitor Dhalia")</f>
        <v>Heitor Dhalia</v>
      </c>
      <c r="V3946" s="5" t="s">
        <v>15286</v>
      </c>
      <c r="W3946" s="5" t="str">
        <f t="shared" si="3"/>
        <v>Soham Shah</v>
      </c>
      <c r="X3946" s="5">
        <f t="shared" si="4"/>
        <v>1</v>
      </c>
      <c r="Y3946" s="5" t="str">
        <f>IFERROR(__xludf.DUMMYFUNCTION("REGEXEXTRACT(J3946, ""^\d+"")"),"1")</f>
        <v>1</v>
      </c>
      <c r="Z3946" s="5" t="str">
        <f>IFERROR(__xludf.DUMMYFUNCTION("REGEXEXTRACT(J3946, ""[A-Za-z ]+$"")")," Season")</f>
        <v> Season</v>
      </c>
      <c r="AA3946" s="5" t="str">
        <f>IFERROR(__xludf.DUMMYFUNCTION("IF(REGEXMATCH(Z3946, ""Season""), ""TV Show"", ""Movie"")"),"TV Show")</f>
        <v>TV Show</v>
      </c>
    </row>
    <row r="3947">
      <c r="A3947" s="1" t="s">
        <v>21319</v>
      </c>
      <c r="B3947" s="1" t="s">
        <v>27</v>
      </c>
      <c r="C3947" s="1" t="s">
        <v>21320</v>
      </c>
      <c r="D3947" s="1" t="s">
        <v>3860</v>
      </c>
      <c r="E3947" s="1" t="s">
        <v>21321</v>
      </c>
      <c r="F3947" s="1" t="s">
        <v>30</v>
      </c>
      <c r="G3947" s="1" t="s">
        <v>21281</v>
      </c>
      <c r="H3947" s="1">
        <v>2019.0</v>
      </c>
      <c r="I3947" s="1" t="s">
        <v>97</v>
      </c>
      <c r="J3947" s="1" t="s">
        <v>665</v>
      </c>
      <c r="K3947" s="1" t="s">
        <v>836</v>
      </c>
      <c r="L3947" s="1" t="s">
        <v>21322</v>
      </c>
      <c r="M3947" s="2" t="s">
        <v>12</v>
      </c>
      <c r="N3947" s="4">
        <f t="shared" si="1"/>
        <v>43560</v>
      </c>
      <c r="O3947" s="5" t="str">
        <f>IFERROR(__xludf.DUMMYFUNCTION("IF(REGEXMATCH(TRIM(I3947), ""^\d+\s*min""), ""Unclassified"", IF(I3947 = """", ""NR"", I3947))"),"TV-14")</f>
        <v>TV-14</v>
      </c>
      <c r="R3947" s="5" t="str">
        <f t="shared" si="2"/>
        <v>Unicorn Store</v>
      </c>
      <c r="S3947" s="5" t="str">
        <f>IFERROR(__xludf.DUMMYFUNCTION("""COMPUTED_VALUE"""),"Lady Driver")</f>
        <v>Lady Driver</v>
      </c>
      <c r="U3947" s="5" t="str">
        <f>IFERROR(__xludf.DUMMYFUNCTION("""COMPUTED_VALUE"""),"Pradip Kurbah")</f>
        <v>Pradip Kurbah</v>
      </c>
      <c r="V3947" s="5" t="s">
        <v>21323</v>
      </c>
      <c r="W3947" s="5" t="str">
        <f t="shared" si="3"/>
        <v>Sonia Kennebeck</v>
      </c>
      <c r="X3947" s="5">
        <f t="shared" si="4"/>
        <v>1</v>
      </c>
      <c r="Y3947" s="5" t="str">
        <f>IFERROR(__xludf.DUMMYFUNCTION("REGEXEXTRACT(J3947, ""^\d+"")"),"92")</f>
        <v>92</v>
      </c>
      <c r="Z3947" s="5" t="str">
        <f>IFERROR(__xludf.DUMMYFUNCTION("REGEXEXTRACT(J3947, ""[A-Za-z ]+$"")")," min")</f>
        <v> min</v>
      </c>
      <c r="AA3947" s="5" t="str">
        <f>IFERROR(__xludf.DUMMYFUNCTION("IF(REGEXMATCH(Z3947, ""Season""), ""TV Show"", ""Movie"")"),"Movie")</f>
        <v>Movie</v>
      </c>
    </row>
    <row r="3948">
      <c r="A3948" s="1" t="s">
        <v>21324</v>
      </c>
      <c r="B3948" s="1" t="s">
        <v>37</v>
      </c>
      <c r="C3948" s="1" t="s">
        <v>21325</v>
      </c>
      <c r="E3948" s="1" t="s">
        <v>21326</v>
      </c>
      <c r="F3948" s="1" t="s">
        <v>749</v>
      </c>
      <c r="G3948" s="1" t="s">
        <v>21327</v>
      </c>
      <c r="H3948" s="1">
        <v>2019.0</v>
      </c>
      <c r="I3948" s="1" t="s">
        <v>42</v>
      </c>
      <c r="J3948" s="1" t="s">
        <v>51</v>
      </c>
      <c r="K3948" s="1" t="s">
        <v>6338</v>
      </c>
      <c r="L3948" s="1" t="s">
        <v>21328</v>
      </c>
      <c r="M3948" s="2" t="s">
        <v>12</v>
      </c>
      <c r="N3948" s="4">
        <f t="shared" si="1"/>
        <v>43559</v>
      </c>
      <c r="O3948" s="5" t="str">
        <f>IFERROR(__xludf.DUMMYFUNCTION("IF(REGEXMATCH(TRIM(I3948), ""^\d+\s*min""), ""Unclassified"", IF(I3948 = """", ""NR"", I3948))"),"TV-MA")</f>
        <v>TV-MA</v>
      </c>
      <c r="R3948" s="5" t="str">
        <f t="shared" si="2"/>
        <v>Possessed</v>
      </c>
      <c r="S3948" s="5" t="str">
        <f>IFERROR(__xludf.DUMMYFUNCTION("""COMPUTED_VALUE"""),"Lady Dynamite")</f>
        <v>Lady Dynamite</v>
      </c>
      <c r="U3948" s="5" t="str">
        <f>IFERROR(__xludf.DUMMYFUNCTION("""COMPUTED_VALUE"""),"Charlie Lightening")</f>
        <v>Charlie Lightening</v>
      </c>
      <c r="V3948" s="5" t="s">
        <v>21329</v>
      </c>
      <c r="W3948" s="5" t="str">
        <f t="shared" si="3"/>
        <v>Sonia Lowman</v>
      </c>
      <c r="X3948" s="5">
        <f t="shared" si="4"/>
        <v>1</v>
      </c>
      <c r="Y3948" s="5" t="str">
        <f>IFERROR(__xludf.DUMMYFUNCTION("REGEXEXTRACT(J3948, ""^\d+"")"),"1")</f>
        <v>1</v>
      </c>
      <c r="Z3948" s="5" t="str">
        <f>IFERROR(__xludf.DUMMYFUNCTION("REGEXEXTRACT(J3948, ""[A-Za-z ]+$"")")," Season")</f>
        <v> Season</v>
      </c>
      <c r="AA3948" s="5" t="str">
        <f>IFERROR(__xludf.DUMMYFUNCTION("IF(REGEXMATCH(Z3948, ""Season""), ""TV Show"", ""Movie"")"),"TV Show")</f>
        <v>TV Show</v>
      </c>
    </row>
    <row r="3949">
      <c r="A3949" s="1" t="s">
        <v>21330</v>
      </c>
      <c r="B3949" s="1" t="s">
        <v>27</v>
      </c>
      <c r="C3949" s="1" t="s">
        <v>21331</v>
      </c>
      <c r="D3949" s="1" t="s">
        <v>6899</v>
      </c>
      <c r="E3949" s="1" t="s">
        <v>21332</v>
      </c>
      <c r="G3949" s="1" t="s">
        <v>21333</v>
      </c>
      <c r="H3949" s="1">
        <v>2019.0</v>
      </c>
      <c r="I3949" s="1" t="s">
        <v>42</v>
      </c>
      <c r="J3949" s="1" t="s">
        <v>1847</v>
      </c>
      <c r="K3949" s="1" t="s">
        <v>1839</v>
      </c>
      <c r="L3949" s="1" t="s">
        <v>21334</v>
      </c>
      <c r="M3949" s="2" t="s">
        <v>12</v>
      </c>
      <c r="N3949" s="4">
        <f t="shared" si="1"/>
        <v>43558</v>
      </c>
      <c r="O3949" s="5" t="str">
        <f>IFERROR(__xludf.DUMMYFUNCTION("IF(REGEXMATCH(TRIM(I3949), ""^\d+\s*min""), ""Unclassified"", IF(I3949 = """", ""NR"", I3949))"),"TV-MA")</f>
        <v>TV-MA</v>
      </c>
      <c r="R3949" s="5" t="str">
        <f t="shared" si="2"/>
        <v>Ricardo Quevedo: Los Amargados Somos Más</v>
      </c>
      <c r="S3949" s="5" t="str">
        <f>IFERROR(__xludf.DUMMYFUNCTION("""COMPUTED_VALUE"""),"Lady In The Water")</f>
        <v>Lady In The Water</v>
      </c>
      <c r="U3949" s="5" t="str">
        <f>IFERROR(__xludf.DUMMYFUNCTION("""COMPUTED_VALUE"""),"Simon Rumley")</f>
        <v>Simon Rumley</v>
      </c>
      <c r="V3949" s="5" t="s">
        <v>21335</v>
      </c>
      <c r="W3949" s="5" t="str">
        <f t="shared" si="3"/>
        <v>Sonny Mallhi</v>
      </c>
      <c r="X3949" s="5">
        <f t="shared" si="4"/>
        <v>1</v>
      </c>
      <c r="Y3949" s="5" t="str">
        <f>IFERROR(__xludf.DUMMYFUNCTION("REGEXEXTRACT(J3949, ""^\d+"")"),"59")</f>
        <v>59</v>
      </c>
      <c r="Z3949" s="5" t="str">
        <f>IFERROR(__xludf.DUMMYFUNCTION("REGEXEXTRACT(J3949, ""[A-Za-z ]+$"")")," min")</f>
        <v> min</v>
      </c>
      <c r="AA3949" s="5" t="str">
        <f>IFERROR(__xludf.DUMMYFUNCTION("IF(REGEXMATCH(Z3949, ""Season""), ""TV Show"", ""Movie"")"),"Movie")</f>
        <v>Movie</v>
      </c>
    </row>
    <row r="3950">
      <c r="A3950" s="1" t="s">
        <v>21336</v>
      </c>
      <c r="B3950" s="1" t="s">
        <v>27</v>
      </c>
      <c r="C3950" s="1" t="s">
        <v>21337</v>
      </c>
      <c r="D3950" s="1" t="s">
        <v>19595</v>
      </c>
      <c r="E3950" s="1" t="s">
        <v>21338</v>
      </c>
      <c r="F3950" s="1" t="s">
        <v>2873</v>
      </c>
      <c r="G3950" s="1" t="s">
        <v>21333</v>
      </c>
      <c r="H3950" s="1">
        <v>2018.0</v>
      </c>
      <c r="I3950" s="1" t="s">
        <v>42</v>
      </c>
      <c r="J3950" s="1" t="s">
        <v>3458</v>
      </c>
      <c r="K3950" s="1" t="s">
        <v>1441</v>
      </c>
      <c r="L3950" s="1" t="s">
        <v>21339</v>
      </c>
      <c r="M3950" s="2" t="s">
        <v>12</v>
      </c>
      <c r="N3950" s="4">
        <f t="shared" si="1"/>
        <v>43558</v>
      </c>
      <c r="O3950" s="5" t="str">
        <f>IFERROR(__xludf.DUMMYFUNCTION("IF(REGEXMATCH(TRIM(I3950), ""^\d+\s*min""), ""Unclassified"", IF(I3950 = """", ""NR"", I3950))"),"TV-MA")</f>
        <v>TV-MA</v>
      </c>
      <c r="R3950" s="5" t="str">
        <f t="shared" si="2"/>
        <v>Suzzanna: Buried Alive</v>
      </c>
      <c r="S3950" s="5" t="str">
        <f>IFERROR(__xludf.DUMMYFUNCTION("""COMPUTED_VALUE"""),"Lady J")</f>
        <v>Lady J</v>
      </c>
      <c r="U3950" s="5" t="str">
        <f>IFERROR(__xludf.DUMMYFUNCTION("""COMPUTED_VALUE"""),"Banjong Pisanthanakun")</f>
        <v>Banjong Pisanthanakun</v>
      </c>
      <c r="V3950" s="5" t="s">
        <v>21340</v>
      </c>
      <c r="W3950" s="5" t="str">
        <f t="shared" si="3"/>
        <v>Sonny Marler</v>
      </c>
      <c r="X3950" s="5">
        <f t="shared" si="4"/>
        <v>1</v>
      </c>
      <c r="Y3950" s="5" t="str">
        <f>IFERROR(__xludf.DUMMYFUNCTION("REGEXEXTRACT(J3950, ""^\d+"")"),"126")</f>
        <v>126</v>
      </c>
      <c r="Z3950" s="5" t="str">
        <f>IFERROR(__xludf.DUMMYFUNCTION("REGEXEXTRACT(J3950, ""[A-Za-z ]+$"")")," min")</f>
        <v> min</v>
      </c>
      <c r="AA3950" s="5" t="str">
        <f>IFERROR(__xludf.DUMMYFUNCTION("IF(REGEXMATCH(Z3950, ""Season""), ""TV Show"", ""Movie"")"),"Movie")</f>
        <v>Movie</v>
      </c>
    </row>
    <row r="3951">
      <c r="A3951" s="1" t="s">
        <v>21341</v>
      </c>
      <c r="B3951" s="1" t="s">
        <v>37</v>
      </c>
      <c r="C3951" s="1" t="s">
        <v>21342</v>
      </c>
      <c r="E3951" s="1" t="s">
        <v>21343</v>
      </c>
      <c r="F3951" s="1" t="s">
        <v>3938</v>
      </c>
      <c r="G3951" s="1" t="s">
        <v>21333</v>
      </c>
      <c r="H3951" s="1">
        <v>2018.0</v>
      </c>
      <c r="I3951" s="1" t="s">
        <v>97</v>
      </c>
      <c r="J3951" s="1" t="s">
        <v>51</v>
      </c>
      <c r="K3951" s="1" t="s">
        <v>1907</v>
      </c>
      <c r="L3951" s="1" t="s">
        <v>21344</v>
      </c>
      <c r="M3951" s="2" t="s">
        <v>12</v>
      </c>
      <c r="N3951" s="4">
        <f t="shared" si="1"/>
        <v>43558</v>
      </c>
      <c r="O3951" s="5" t="str">
        <f>IFERROR(__xludf.DUMMYFUNCTION("IF(REGEXMATCH(TRIM(I3951), ""^\d+\s*min""), ""Unclassified"", IF(I3951 = """", ""NR"", I3951))"),"TV-14")</f>
        <v>TV-14</v>
      </c>
      <c r="R3951" s="5" t="str">
        <f t="shared" si="2"/>
        <v>Tango</v>
      </c>
      <c r="S3951" s="5" t="str">
        <f>IFERROR(__xludf.DUMMYFUNCTION("""COMPUTED_VALUE"""),"Lady-Like")</f>
        <v>Lady-Like</v>
      </c>
      <c r="U3951" s="5" t="str">
        <f>IFERROR(__xludf.DUMMYFUNCTION("""COMPUTED_VALUE"""),"Morgan Spurlock")</f>
        <v>Morgan Spurlock</v>
      </c>
      <c r="V3951" s="5" t="s">
        <v>16160</v>
      </c>
      <c r="W3951" s="5" t="str">
        <f t="shared" si="3"/>
        <v>Sooni Taraporevala</v>
      </c>
      <c r="X3951" s="5">
        <f t="shared" si="4"/>
        <v>1</v>
      </c>
      <c r="Y3951" s="5" t="str">
        <f>IFERROR(__xludf.DUMMYFUNCTION("REGEXEXTRACT(J3951, ""^\d+"")"),"1")</f>
        <v>1</v>
      </c>
      <c r="Z3951" s="5" t="str">
        <f>IFERROR(__xludf.DUMMYFUNCTION("REGEXEXTRACT(J3951, ""[A-Za-z ]+$"")")," Season")</f>
        <v> Season</v>
      </c>
      <c r="AA3951" s="5" t="str">
        <f>IFERROR(__xludf.DUMMYFUNCTION("IF(REGEXMATCH(Z3951, ""Season""), ""TV Show"", ""Movie"")"),"TV Show")</f>
        <v>TV Show</v>
      </c>
    </row>
    <row r="3952">
      <c r="A3952" s="1" t="s">
        <v>21345</v>
      </c>
      <c r="B3952" s="1" t="s">
        <v>27</v>
      </c>
      <c r="C3952" s="1" t="s">
        <v>21346</v>
      </c>
      <c r="D3952" s="1" t="s">
        <v>21022</v>
      </c>
      <c r="E3952" s="1" t="s">
        <v>21347</v>
      </c>
      <c r="F3952" s="1" t="s">
        <v>63</v>
      </c>
      <c r="G3952" s="1" t="s">
        <v>21348</v>
      </c>
      <c r="H3952" s="1">
        <v>2019.0</v>
      </c>
      <c r="I3952" s="1" t="s">
        <v>97</v>
      </c>
      <c r="J3952" s="1" t="s">
        <v>985</v>
      </c>
      <c r="K3952" s="1" t="s">
        <v>583</v>
      </c>
      <c r="L3952" s="1" t="s">
        <v>21349</v>
      </c>
      <c r="M3952" s="2" t="s">
        <v>12</v>
      </c>
      <c r="N3952" s="4">
        <f t="shared" si="1"/>
        <v>43557</v>
      </c>
      <c r="O3952" s="5" t="str">
        <f>IFERROR(__xludf.DUMMYFUNCTION("IF(REGEXMATCH(TRIM(I3952), ""^\d+\s*min""), ""Unclassified"", IF(I3952 = """", ""NR"", I3952))"),"TV-14")</f>
        <v>TV-14</v>
      </c>
      <c r="R3952" s="5" t="str">
        <f t="shared" si="2"/>
        <v>Ek Ladki Ko Dekha Toh Aisa Laga</v>
      </c>
      <c r="S3952" s="5" t="str">
        <f>IFERROR(__xludf.DUMMYFUNCTION("""COMPUTED_VALUE"""),"Lady, La Vendedora De Rosas")</f>
        <v>Lady, La Vendedora De Rosas</v>
      </c>
      <c r="U3952" s="5" t="str">
        <f>IFERROR(__xludf.DUMMYFUNCTION("""COMPUTED_VALUE"""),"Tim Rouhana")</f>
        <v>Tim Rouhana</v>
      </c>
      <c r="V3952" s="5" t="s">
        <v>13267</v>
      </c>
      <c r="W3952" s="5" t="str">
        <f t="shared" si="3"/>
        <v>Sooraj R. Barjatya</v>
      </c>
      <c r="X3952" s="5">
        <f t="shared" si="4"/>
        <v>6</v>
      </c>
      <c r="Y3952" s="5" t="str">
        <f>IFERROR(__xludf.DUMMYFUNCTION("REGEXEXTRACT(J3952, ""^\d+"")"),"120")</f>
        <v>120</v>
      </c>
      <c r="Z3952" s="5" t="str">
        <f>IFERROR(__xludf.DUMMYFUNCTION("REGEXEXTRACT(J3952, ""[A-Za-z ]+$"")")," min")</f>
        <v> min</v>
      </c>
      <c r="AA3952" s="5" t="str">
        <f>IFERROR(__xludf.DUMMYFUNCTION("IF(REGEXMATCH(Z3952, ""Season""), ""TV Show"", ""Movie"")"),"Movie")</f>
        <v>Movie</v>
      </c>
    </row>
    <row r="3953">
      <c r="A3953" s="1" t="s">
        <v>21350</v>
      </c>
      <c r="B3953" s="1" t="s">
        <v>27</v>
      </c>
      <c r="C3953" s="1" t="s">
        <v>21351</v>
      </c>
      <c r="D3953" s="1" t="s">
        <v>20907</v>
      </c>
      <c r="E3953" s="1" t="s">
        <v>21352</v>
      </c>
      <c r="F3953" s="1" t="s">
        <v>3321</v>
      </c>
      <c r="G3953" s="1" t="s">
        <v>21348</v>
      </c>
      <c r="H3953" s="1">
        <v>2015.0</v>
      </c>
      <c r="I3953" s="1" t="s">
        <v>42</v>
      </c>
      <c r="J3953" s="1" t="s">
        <v>1171</v>
      </c>
      <c r="K3953" s="1" t="s">
        <v>128</v>
      </c>
      <c r="L3953" s="1" t="s">
        <v>21353</v>
      </c>
      <c r="M3953" s="2" t="s">
        <v>12</v>
      </c>
      <c r="N3953" s="4">
        <f t="shared" si="1"/>
        <v>43557</v>
      </c>
      <c r="O3953" s="5" t="str">
        <f>IFERROR(__xludf.DUMMYFUNCTION("IF(REGEXMATCH(TRIM(I3953), ""^\d+\s*min""), ""Unclassified"", IF(I3953 = """", ""NR"", I3953))"),"TV-MA")</f>
        <v>TV-MA</v>
      </c>
      <c r="R3953" s="5" t="str">
        <f t="shared" si="2"/>
        <v>Jagat</v>
      </c>
      <c r="S3953" s="5" t="str">
        <f>IFERROR(__xludf.DUMMYFUNCTION("""COMPUTED_VALUE"""),"Laerte-Se")</f>
        <v>Laerte-Se</v>
      </c>
      <c r="U3953" s="5" t="str">
        <f>IFERROR(__xludf.DUMMYFUNCTION("""COMPUTED_VALUE"""),"Noah Moskin")</f>
        <v>Noah Moskin</v>
      </c>
      <c r="V3953" s="5" t="s">
        <v>11279</v>
      </c>
      <c r="W3953" s="5" t="str">
        <f t="shared" si="3"/>
        <v>Sophia Nahli Allison</v>
      </c>
      <c r="X3953" s="5">
        <f t="shared" si="4"/>
        <v>1</v>
      </c>
      <c r="Y3953" s="5" t="str">
        <f>IFERROR(__xludf.DUMMYFUNCTION("REGEXEXTRACT(J3953, ""^\d+"")"),"76")</f>
        <v>76</v>
      </c>
      <c r="Z3953" s="5" t="str">
        <f>IFERROR(__xludf.DUMMYFUNCTION("REGEXEXTRACT(J3953, ""[A-Za-z ]+$"")")," min")</f>
        <v> min</v>
      </c>
      <c r="AA3953" s="5" t="str">
        <f>IFERROR(__xludf.DUMMYFUNCTION("IF(REGEXMATCH(Z3953, ""Season""), ""TV Show"", ""Movie"")"),"Movie")</f>
        <v>Movie</v>
      </c>
    </row>
    <row r="3954">
      <c r="A3954" s="1" t="s">
        <v>21354</v>
      </c>
      <c r="B3954" s="1" t="s">
        <v>27</v>
      </c>
      <c r="C3954" s="1" t="s">
        <v>21355</v>
      </c>
      <c r="D3954" s="1" t="s">
        <v>9806</v>
      </c>
      <c r="E3954" s="1" t="s">
        <v>9807</v>
      </c>
      <c r="F3954" s="1" t="s">
        <v>30</v>
      </c>
      <c r="G3954" s="1" t="s">
        <v>21348</v>
      </c>
      <c r="H3954" s="1">
        <v>2019.0</v>
      </c>
      <c r="I3954" s="1" t="s">
        <v>42</v>
      </c>
      <c r="J3954" s="1" t="s">
        <v>4639</v>
      </c>
      <c r="K3954" s="1" t="s">
        <v>1839</v>
      </c>
      <c r="L3954" s="1" t="s">
        <v>21356</v>
      </c>
      <c r="M3954" s="2" t="s">
        <v>12</v>
      </c>
      <c r="N3954" s="4">
        <f t="shared" si="1"/>
        <v>43557</v>
      </c>
      <c r="O3954" s="5" t="str">
        <f>IFERROR(__xludf.DUMMYFUNCTION("IF(REGEXMATCH(TRIM(I3954), ""^\d+\s*min""), ""Unclassified"", IF(I3954 = """", ""NR"", I3954))"),"TV-MA")</f>
        <v>TV-MA</v>
      </c>
      <c r="R3954" s="5" t="str">
        <f t="shared" si="2"/>
        <v>Kevin Hart: Irresponsible</v>
      </c>
      <c r="S3954" s="5" t="str">
        <f>IFERROR(__xludf.DUMMYFUNCTION("""COMPUTED_VALUE"""),"Lagaan")</f>
        <v>Lagaan</v>
      </c>
      <c r="U3954" s="5" t="str">
        <f>IFERROR(__xludf.DUMMYFUNCTION("""COMPUTED_VALUE"""),"Jasmine D'Souza")</f>
        <v>Jasmine D'Souza</v>
      </c>
      <c r="V3954" s="5" t="s">
        <v>21357</v>
      </c>
      <c r="W3954" s="5" t="str">
        <f t="shared" si="3"/>
        <v>Sophie Robinson, Lotje Sodderland</v>
      </c>
      <c r="X3954" s="5">
        <f t="shared" si="4"/>
        <v>1</v>
      </c>
      <c r="Y3954" s="5" t="str">
        <f>IFERROR(__xludf.DUMMYFUNCTION("REGEXEXTRACT(J3954, ""^\d+"")"),"60")</f>
        <v>60</v>
      </c>
      <c r="Z3954" s="5" t="str">
        <f>IFERROR(__xludf.DUMMYFUNCTION("REGEXEXTRACT(J3954, ""[A-Za-z ]+$"")")," min")</f>
        <v> min</v>
      </c>
      <c r="AA3954" s="5" t="str">
        <f>IFERROR(__xludf.DUMMYFUNCTION("IF(REGEXMATCH(Z3954, ""Season""), ""TV Show"", ""Movie"")"),"Movie")</f>
        <v>Movie</v>
      </c>
    </row>
    <row r="3955">
      <c r="A3955" s="1" t="s">
        <v>21358</v>
      </c>
      <c r="B3955" s="1" t="s">
        <v>37</v>
      </c>
      <c r="C3955" s="1" t="s">
        <v>21359</v>
      </c>
      <c r="G3955" s="1" t="s">
        <v>21360</v>
      </c>
      <c r="H3955" s="1">
        <v>2018.0</v>
      </c>
      <c r="I3955" s="1" t="s">
        <v>289</v>
      </c>
      <c r="J3955" s="1" t="s">
        <v>51</v>
      </c>
      <c r="K3955" s="1" t="s">
        <v>314</v>
      </c>
      <c r="L3955" s="1" t="s">
        <v>21361</v>
      </c>
      <c r="M3955" s="2" t="s">
        <v>12</v>
      </c>
      <c r="N3955" s="4">
        <f t="shared" si="1"/>
        <v>43556</v>
      </c>
      <c r="O3955" s="5" t="str">
        <f>IFERROR(__xludf.DUMMYFUNCTION("IF(REGEXMATCH(TRIM(I3955), ""^\d+\s*min""), ""Unclassified"", IF(I3955 = """", ""NR"", I3955))"),"TV-Y7")</f>
        <v>TV-Y7</v>
      </c>
      <c r="R3955" s="5" t="str">
        <f t="shared" si="2"/>
        <v>Kicko &amp; Super Speedo</v>
      </c>
      <c r="S3955" s="5" t="str">
        <f>IFERROR(__xludf.DUMMYFUNCTION("""COMPUTED_VALUE"""),"Lagos Real Fake Life")</f>
        <v>Lagos Real Fake Life</v>
      </c>
      <c r="U3955" s="5" t="str">
        <f>IFERROR(__xludf.DUMMYFUNCTION("""COMPUTED_VALUE"""),"Nicolas Winding Refn")</f>
        <v>Nicolas Winding Refn</v>
      </c>
      <c r="V3955" s="5" t="s">
        <v>21362</v>
      </c>
      <c r="W3955" s="5" t="str">
        <f t="shared" si="3"/>
        <v>Sopon Sukdapisit</v>
      </c>
      <c r="X3955" s="5">
        <f t="shared" si="4"/>
        <v>1</v>
      </c>
      <c r="Y3955" s="5" t="str">
        <f>IFERROR(__xludf.DUMMYFUNCTION("REGEXEXTRACT(J3955, ""^\d+"")"),"1")</f>
        <v>1</v>
      </c>
      <c r="Z3955" s="5" t="str">
        <f>IFERROR(__xludf.DUMMYFUNCTION("REGEXEXTRACT(J3955, ""[A-Za-z ]+$"")")," Season")</f>
        <v> Season</v>
      </c>
      <c r="AA3955" s="5" t="str">
        <f>IFERROR(__xludf.DUMMYFUNCTION("IF(REGEXMATCH(Z3955, ""Season""), ""TV Show"", ""Movie"")"),"TV Show")</f>
        <v>TV Show</v>
      </c>
    </row>
    <row r="3956">
      <c r="A3956" s="1" t="s">
        <v>21363</v>
      </c>
      <c r="B3956" s="1" t="s">
        <v>27</v>
      </c>
      <c r="C3956" s="1" t="s">
        <v>21364</v>
      </c>
      <c r="D3956" s="1" t="s">
        <v>21365</v>
      </c>
      <c r="E3956" s="1" t="s">
        <v>21366</v>
      </c>
      <c r="F3956" s="1" t="s">
        <v>3892</v>
      </c>
      <c r="G3956" s="1" t="s">
        <v>21360</v>
      </c>
      <c r="H3956" s="1">
        <v>2016.0</v>
      </c>
      <c r="I3956" s="1" t="s">
        <v>97</v>
      </c>
      <c r="J3956" s="1" t="s">
        <v>238</v>
      </c>
      <c r="K3956" s="1" t="s">
        <v>21367</v>
      </c>
      <c r="L3956" s="1" t="s">
        <v>21368</v>
      </c>
      <c r="M3956" s="2" t="s">
        <v>12</v>
      </c>
      <c r="N3956" s="4">
        <f t="shared" si="1"/>
        <v>43556</v>
      </c>
      <c r="O3956" s="5" t="str">
        <f>IFERROR(__xludf.DUMMYFUNCTION("IF(REGEXMATCH(TRIM(I3956), ""^\d+\s*min""), ""Unclassified"", IF(I3956 = """", ""NR"", I3956))"),"TV-14")</f>
        <v>TV-14</v>
      </c>
      <c r="R3956" s="5" t="str">
        <f t="shared" si="2"/>
        <v>Love O2O</v>
      </c>
      <c r="S3956" s="5" t="str">
        <f>IFERROR(__xludf.DUMMYFUNCTION("""COMPUTED_VALUE"""),"Lakeeran")</f>
        <v>Lakeeran</v>
      </c>
      <c r="U3956" s="5" t="str">
        <f>IFERROR(__xludf.DUMMYFUNCTION("""COMPUTED_VALUE"""),"Bill Guttentag, Michael Ware")</f>
        <v>Bill Guttentag, Michael Ware</v>
      </c>
      <c r="V3956" s="5" t="s">
        <v>21369</v>
      </c>
      <c r="W3956" s="5" t="str">
        <f t="shared" si="3"/>
        <v>Sorin Dan Mihalcescu</v>
      </c>
      <c r="X3956" s="5">
        <f t="shared" si="4"/>
        <v>1</v>
      </c>
      <c r="Y3956" s="5" t="str">
        <f>IFERROR(__xludf.DUMMYFUNCTION("REGEXEXTRACT(J3956, ""^\d+"")"),"103")</f>
        <v>103</v>
      </c>
      <c r="Z3956" s="5" t="str">
        <f>IFERROR(__xludf.DUMMYFUNCTION("REGEXEXTRACT(J3956, ""[A-Za-z ]+$"")")," min")</f>
        <v> min</v>
      </c>
      <c r="AA3956" s="5" t="str">
        <f>IFERROR(__xludf.DUMMYFUNCTION("IF(REGEXMATCH(Z3956, ""Season""), ""TV Show"", ""Movie"")"),"Movie")</f>
        <v>Movie</v>
      </c>
    </row>
    <row r="3957">
      <c r="A3957" s="1" t="s">
        <v>21370</v>
      </c>
      <c r="B3957" s="1" t="s">
        <v>27</v>
      </c>
      <c r="C3957" s="1" t="s">
        <v>21371</v>
      </c>
      <c r="D3957" s="1" t="s">
        <v>21007</v>
      </c>
      <c r="E3957" s="1" t="s">
        <v>21372</v>
      </c>
      <c r="F3957" s="1" t="s">
        <v>21373</v>
      </c>
      <c r="G3957" s="1" t="s">
        <v>21360</v>
      </c>
      <c r="H3957" s="1">
        <v>2018.0</v>
      </c>
      <c r="I3957" s="1" t="s">
        <v>42</v>
      </c>
      <c r="J3957" s="1" t="s">
        <v>341</v>
      </c>
      <c r="K3957" s="1" t="s">
        <v>89</v>
      </c>
      <c r="L3957" s="1" t="s">
        <v>21374</v>
      </c>
      <c r="M3957" s="2" t="s">
        <v>12</v>
      </c>
      <c r="N3957" s="4">
        <f t="shared" si="1"/>
        <v>43556</v>
      </c>
      <c r="O3957" s="5" t="str">
        <f>IFERROR(__xludf.DUMMYFUNCTION("IF(REGEXMATCH(TRIM(I3957), ""^\d+\s*min""), ""Unclassified"", IF(I3957 = """", ""NR"", I3957))"),"TV-MA")</f>
        <v>TV-MA</v>
      </c>
      <c r="R3957" s="5" t="str">
        <f t="shared" si="2"/>
        <v>Pinky Memsaab</v>
      </c>
      <c r="S3957" s="5" t="str">
        <f>IFERROR(__xludf.DUMMYFUNCTION("""COMPUTED_VALUE"""),"Lakshya")</f>
        <v>Lakshya</v>
      </c>
      <c r="U3957" s="5" t="str">
        <f>IFERROR(__xludf.DUMMYFUNCTION("""COMPUTED_VALUE"""),"Roger Allers, Jill Culton")</f>
        <v>Roger Allers, Jill Culton</v>
      </c>
      <c r="V3957" s="5" t="s">
        <v>4263</v>
      </c>
      <c r="W3957" s="5" t="str">
        <f t="shared" si="3"/>
        <v>Soudade Kaadan</v>
      </c>
      <c r="X3957" s="5">
        <f t="shared" si="4"/>
        <v>3</v>
      </c>
      <c r="Y3957" s="5" t="str">
        <f>IFERROR(__xludf.DUMMYFUNCTION("REGEXEXTRACT(J3957, ""^\d+"")"),"124")</f>
        <v>124</v>
      </c>
      <c r="Z3957" s="5" t="str">
        <f>IFERROR(__xludf.DUMMYFUNCTION("REGEXEXTRACT(J3957, ""[A-Za-z ]+$"")")," min")</f>
        <v> min</v>
      </c>
      <c r="AA3957" s="5" t="str">
        <f>IFERROR(__xludf.DUMMYFUNCTION("IF(REGEXMATCH(Z3957, ""Season""), ""TV Show"", ""Movie"")"),"Movie")</f>
        <v>Movie</v>
      </c>
    </row>
    <row r="3958">
      <c r="A3958" s="1" t="s">
        <v>21375</v>
      </c>
      <c r="B3958" s="1" t="s">
        <v>37</v>
      </c>
      <c r="C3958" s="1" t="s">
        <v>21376</v>
      </c>
      <c r="E3958" s="1" t="s">
        <v>21377</v>
      </c>
      <c r="F3958" s="1" t="s">
        <v>749</v>
      </c>
      <c r="G3958" s="1" t="s">
        <v>21360</v>
      </c>
      <c r="H3958" s="1">
        <v>2013.0</v>
      </c>
      <c r="I3958" s="1" t="s">
        <v>42</v>
      </c>
      <c r="J3958" s="1" t="s">
        <v>51</v>
      </c>
      <c r="K3958" s="1" t="s">
        <v>7164</v>
      </c>
      <c r="L3958" s="1" t="s">
        <v>21378</v>
      </c>
      <c r="M3958" s="2" t="s">
        <v>12</v>
      </c>
      <c r="N3958" s="4">
        <f t="shared" si="1"/>
        <v>43556</v>
      </c>
      <c r="O3958" s="5" t="str">
        <f>IFERROR(__xludf.DUMMYFUNCTION("IF(REGEXMATCH(TRIM(I3958), ""^\d+\s*min""), ""Unclassified"", IF(I3958 = """", ""NR"", I3958))"),"TV-MA")</f>
        <v>TV-MA</v>
      </c>
      <c r="R3958" s="5" t="str">
        <f t="shared" si="2"/>
        <v>That Winter, The Wind Blows</v>
      </c>
      <c r="S3958" s="5" t="str">
        <f>IFERROR(__xludf.DUMMYFUNCTION("""COMPUTED_VALUE"""),"Lal Patthar")</f>
        <v>Lal Patthar</v>
      </c>
      <c r="U3958" s="5" t="str">
        <f>IFERROR(__xludf.DUMMYFUNCTION("""COMPUTED_VALUE"""),"John H. Lee")</f>
        <v>John H. Lee</v>
      </c>
      <c r="V3958" s="5" t="s">
        <v>21182</v>
      </c>
      <c r="W3958" s="5" t="str">
        <f t="shared" si="3"/>
        <v>Soukarya Ghosal</v>
      </c>
      <c r="X3958" s="5">
        <f t="shared" si="4"/>
        <v>1</v>
      </c>
      <c r="Y3958" s="5" t="str">
        <f>IFERROR(__xludf.DUMMYFUNCTION("REGEXEXTRACT(J3958, ""^\d+"")"),"1")</f>
        <v>1</v>
      </c>
      <c r="Z3958" s="5" t="str">
        <f>IFERROR(__xludf.DUMMYFUNCTION("REGEXEXTRACT(J3958, ""[A-Za-z ]+$"")")," Season")</f>
        <v> Season</v>
      </c>
      <c r="AA3958" s="5" t="str">
        <f>IFERROR(__xludf.DUMMYFUNCTION("IF(REGEXMATCH(Z3958, ""Season""), ""TV Show"", ""Movie"")"),"TV Show")</f>
        <v>TV Show</v>
      </c>
    </row>
    <row r="3959">
      <c r="A3959" s="1" t="s">
        <v>21379</v>
      </c>
      <c r="B3959" s="1" t="s">
        <v>27</v>
      </c>
      <c r="C3959" s="1" t="s">
        <v>21380</v>
      </c>
      <c r="D3959" s="1" t="s">
        <v>7257</v>
      </c>
      <c r="E3959" s="1" t="s">
        <v>21381</v>
      </c>
      <c r="F3959" s="1" t="s">
        <v>30</v>
      </c>
      <c r="G3959" s="1" t="s">
        <v>21360</v>
      </c>
      <c r="H3959" s="1">
        <v>2017.0</v>
      </c>
      <c r="I3959" s="1" t="s">
        <v>42</v>
      </c>
      <c r="J3959" s="1" t="s">
        <v>79</v>
      </c>
      <c r="K3959" s="1" t="s">
        <v>239</v>
      </c>
      <c r="L3959" s="1" t="s">
        <v>21382</v>
      </c>
      <c r="M3959" s="2" t="s">
        <v>12</v>
      </c>
      <c r="N3959" s="4">
        <f t="shared" si="1"/>
        <v>43556</v>
      </c>
      <c r="O3959" s="5" t="str">
        <f>IFERROR(__xludf.DUMMYFUNCTION("IF(REGEXMATCH(TRIM(I3959), ""^\d+\s*min""), ""Unclassified"", IF(I3959 = """", ""NR"", I3959))"),"TV-MA")</f>
        <v>TV-MA</v>
      </c>
      <c r="R3959" s="5" t="str">
        <f t="shared" si="2"/>
        <v>The Trap</v>
      </c>
      <c r="S3959" s="5" t="str">
        <f>IFERROR(__xludf.DUMMYFUNCTION("""COMPUTED_VALUE"""),"Lalbaug Parel: Zali Mumbai Sonyachi")</f>
        <v>Lalbaug Parel: Zali Mumbai Sonyachi</v>
      </c>
      <c r="U3959" s="5" t="str">
        <f>IFERROR(__xludf.DUMMYFUNCTION("""COMPUTED_VALUE"""),"Logan Kibens")</f>
        <v>Logan Kibens</v>
      </c>
      <c r="V3959" s="5" t="s">
        <v>12902</v>
      </c>
      <c r="W3959" s="5" t="str">
        <f t="shared" si="3"/>
        <v>Soumendra Padhi</v>
      </c>
      <c r="X3959" s="5">
        <f t="shared" si="4"/>
        <v>2</v>
      </c>
      <c r="Y3959" s="5" t="str">
        <f>IFERROR(__xludf.DUMMYFUNCTION("REGEXEXTRACT(J3959, ""^\d+"")"),"91")</f>
        <v>91</v>
      </c>
      <c r="Z3959" s="5" t="str">
        <f>IFERROR(__xludf.DUMMYFUNCTION("REGEXEXTRACT(J3959, ""[A-Za-z ]+$"")")," min")</f>
        <v> min</v>
      </c>
      <c r="AA3959" s="5" t="str">
        <f>IFERROR(__xludf.DUMMYFUNCTION("IF(REGEXMATCH(Z3959, ""Season""), ""TV Show"", ""Movie"")"),"Movie")</f>
        <v>Movie</v>
      </c>
    </row>
    <row r="3960">
      <c r="A3960" s="1" t="s">
        <v>21383</v>
      </c>
      <c r="B3960" s="1" t="s">
        <v>37</v>
      </c>
      <c r="C3960" s="1" t="s">
        <v>21384</v>
      </c>
      <c r="E3960" s="1" t="s">
        <v>21385</v>
      </c>
      <c r="F3960" s="1" t="s">
        <v>1846</v>
      </c>
      <c r="G3960" s="1" t="s">
        <v>21360</v>
      </c>
      <c r="H3960" s="1">
        <v>2019.0</v>
      </c>
      <c r="I3960" s="1" t="s">
        <v>97</v>
      </c>
      <c r="J3960" s="1" t="s">
        <v>51</v>
      </c>
      <c r="K3960" s="1" t="s">
        <v>567</v>
      </c>
      <c r="L3960" s="1" t="s">
        <v>21386</v>
      </c>
      <c r="M3960" s="2" t="s">
        <v>12</v>
      </c>
      <c r="N3960" s="4">
        <f t="shared" si="1"/>
        <v>43556</v>
      </c>
      <c r="O3960" s="5" t="str">
        <f>IFERROR(__xludf.DUMMYFUNCTION("IF(REGEXMATCH(TRIM(I3960), ""^\d+\s*min""), ""Unclassified"", IF(I3960 = """", ""NR"", I3960))"),"TV-14")</f>
        <v>TV-14</v>
      </c>
      <c r="R3960" s="5" t="str">
        <f t="shared" si="2"/>
        <v>Ultraman</v>
      </c>
      <c r="S3960" s="5" t="str">
        <f>IFERROR(__xludf.DUMMYFUNCTION("""COMPUTED_VALUE"""),"Land Girls")</f>
        <v>Land Girls</v>
      </c>
      <c r="U3960" s="5" t="str">
        <f>IFERROR(__xludf.DUMMYFUNCTION("""COMPUTED_VALUE"""),"Chia Tang")</f>
        <v>Chia Tang</v>
      </c>
      <c r="V3960" s="5" t="s">
        <v>17083</v>
      </c>
      <c r="W3960" s="5" t="str">
        <f t="shared" si="3"/>
        <v>Soumitra Ranade</v>
      </c>
      <c r="X3960" s="5">
        <f t="shared" si="4"/>
        <v>1</v>
      </c>
      <c r="Y3960" s="5" t="str">
        <f>IFERROR(__xludf.DUMMYFUNCTION("REGEXEXTRACT(J3960, ""^\d+"")"),"1")</f>
        <v>1</v>
      </c>
      <c r="Z3960" s="5" t="str">
        <f>IFERROR(__xludf.DUMMYFUNCTION("REGEXEXTRACT(J3960, ""[A-Za-z ]+$"")")," Season")</f>
        <v> Season</v>
      </c>
      <c r="AA3960" s="5" t="str">
        <f>IFERROR(__xludf.DUMMYFUNCTION("IF(REGEXMATCH(Z3960, ""Season""), ""TV Show"", ""Movie"")"),"TV Show")</f>
        <v>TV Show</v>
      </c>
    </row>
    <row r="3961">
      <c r="A3961" s="1" t="s">
        <v>21387</v>
      </c>
      <c r="B3961" s="1" t="s">
        <v>27</v>
      </c>
      <c r="C3961" s="1" t="s">
        <v>21388</v>
      </c>
      <c r="D3961" s="1" t="s">
        <v>17387</v>
      </c>
      <c r="E3961" s="1" t="s">
        <v>21389</v>
      </c>
      <c r="F3961" s="1" t="s">
        <v>30</v>
      </c>
      <c r="G3961" s="1" t="s">
        <v>21390</v>
      </c>
      <c r="H3961" s="1">
        <v>2019.0</v>
      </c>
      <c r="I3961" s="1" t="s">
        <v>97</v>
      </c>
      <c r="J3961" s="1" t="s">
        <v>428</v>
      </c>
      <c r="K3961" s="1" t="s">
        <v>1551</v>
      </c>
      <c r="L3961" s="1" t="s">
        <v>21391</v>
      </c>
      <c r="M3961" s="2" t="s">
        <v>12</v>
      </c>
      <c r="N3961" s="4">
        <f t="shared" si="1"/>
        <v>43555</v>
      </c>
      <c r="O3961" s="5" t="str">
        <f>IFERROR(__xludf.DUMMYFUNCTION("IF(REGEXMATCH(TRIM(I3961), ""^\d+\s*min""), ""Unclassified"", IF(I3961 = """", ""NR"", I3961))"),"TV-14")</f>
        <v>TV-14</v>
      </c>
      <c r="R3961" s="5" t="str">
        <f t="shared" si="2"/>
        <v>Mercy Black</v>
      </c>
      <c r="S3961" s="5" t="str">
        <f>IFERROR(__xludf.DUMMYFUNCTION("""COMPUTED_VALUE"""),"Lang Tong")</f>
        <v>Lang Tong</v>
      </c>
      <c r="U3961" s="5" t="str">
        <f>IFERROR(__xludf.DUMMYFUNCTION("""COMPUTED_VALUE"""),"Peter Mcdonnell")</f>
        <v>Peter Mcdonnell</v>
      </c>
      <c r="V3961" s="5" t="s">
        <v>20049</v>
      </c>
      <c r="W3961" s="5" t="str">
        <f t="shared" si="3"/>
        <v>Spike Jonze</v>
      </c>
      <c r="X3961" s="5">
        <f t="shared" si="4"/>
        <v>2</v>
      </c>
      <c r="Y3961" s="5" t="str">
        <f>IFERROR(__xludf.DUMMYFUNCTION("REGEXEXTRACT(J3961, ""^\d+"")"),"88")</f>
        <v>88</v>
      </c>
      <c r="Z3961" s="5" t="str">
        <f>IFERROR(__xludf.DUMMYFUNCTION("REGEXEXTRACT(J3961, ""[A-Za-z ]+$"")")," min")</f>
        <v> min</v>
      </c>
      <c r="AA3961" s="5" t="str">
        <f>IFERROR(__xludf.DUMMYFUNCTION("IF(REGEXMATCH(Z3961, ""Season""), ""TV Show"", ""Movie"")"),"Movie")</f>
        <v>Movie</v>
      </c>
    </row>
    <row r="3962">
      <c r="A3962" s="1" t="s">
        <v>21392</v>
      </c>
      <c r="B3962" s="1" t="s">
        <v>27</v>
      </c>
      <c r="C3962" s="1" t="s">
        <v>21393</v>
      </c>
      <c r="D3962" s="1" t="s">
        <v>20139</v>
      </c>
      <c r="E3962" s="1" t="s">
        <v>21394</v>
      </c>
      <c r="F3962" s="1" t="s">
        <v>21395</v>
      </c>
      <c r="G3962" s="1" t="s">
        <v>21390</v>
      </c>
      <c r="H3962" s="1">
        <v>2018.0</v>
      </c>
      <c r="I3962" s="1" t="s">
        <v>97</v>
      </c>
      <c r="J3962" s="1" t="s">
        <v>2452</v>
      </c>
      <c r="K3962" s="1" t="s">
        <v>89</v>
      </c>
      <c r="L3962" s="1" t="s">
        <v>21396</v>
      </c>
      <c r="M3962" s="2" t="s">
        <v>12</v>
      </c>
      <c r="N3962" s="4">
        <f t="shared" si="1"/>
        <v>43555</v>
      </c>
      <c r="O3962" s="5" t="str">
        <f>IFERROR(__xludf.DUMMYFUNCTION("IF(REGEXMATCH(TRIM(I3962), ""^\d+\s*min""), ""Unclassified"", IF(I3962 = """", ""NR"", I3962))"),"TV-14")</f>
        <v>TV-14</v>
      </c>
      <c r="R3962" s="5" t="str">
        <f t="shared" si="2"/>
        <v>The Burial Of Kojo</v>
      </c>
      <c r="S3962" s="5" t="str">
        <f>IFERROR(__xludf.DUMMYFUNCTION("""COMPUTED_VALUE"""),"Lara And The Beat")</f>
        <v>Lara And The Beat</v>
      </c>
      <c r="U3962" s="5" t="str">
        <f>IFERROR(__xludf.DUMMYFUNCTION("""COMPUTED_VALUE"""),"Kiran Narayanan")</f>
        <v>Kiran Narayanan</v>
      </c>
      <c r="V3962" s="5" t="s">
        <v>983</v>
      </c>
      <c r="W3962" s="5" t="str">
        <f t="shared" si="3"/>
        <v>Spike Lee</v>
      </c>
      <c r="X3962" s="5">
        <f t="shared" si="4"/>
        <v>5</v>
      </c>
      <c r="Y3962" s="5" t="str">
        <f>IFERROR(__xludf.DUMMYFUNCTION("REGEXEXTRACT(J3962, ""^\d+"")"),"81")</f>
        <v>81</v>
      </c>
      <c r="Z3962" s="5" t="str">
        <f>IFERROR(__xludf.DUMMYFUNCTION("REGEXEXTRACT(J3962, ""[A-Za-z ]+$"")")," min")</f>
        <v> min</v>
      </c>
      <c r="AA3962" s="5" t="str">
        <f>IFERROR(__xludf.DUMMYFUNCTION("IF(REGEXMATCH(Z3962, ""Season""), ""TV Show"", ""Movie"")"),"Movie")</f>
        <v>Movie</v>
      </c>
    </row>
    <row r="3963">
      <c r="A3963" s="1" t="s">
        <v>21397</v>
      </c>
      <c r="B3963" s="1" t="s">
        <v>37</v>
      </c>
      <c r="C3963" s="1" t="s">
        <v>21398</v>
      </c>
      <c r="E3963" s="1" t="s">
        <v>21399</v>
      </c>
      <c r="F3963" s="1" t="s">
        <v>96</v>
      </c>
      <c r="G3963" s="1" t="s">
        <v>21400</v>
      </c>
      <c r="H3963" s="1">
        <v>2017.0</v>
      </c>
      <c r="I3963" s="1" t="s">
        <v>206</v>
      </c>
      <c r="J3963" s="1" t="s">
        <v>51</v>
      </c>
      <c r="K3963" s="1" t="s">
        <v>712</v>
      </c>
      <c r="L3963" s="1" t="s">
        <v>21401</v>
      </c>
      <c r="M3963" s="2" t="s">
        <v>12</v>
      </c>
      <c r="N3963" s="4">
        <f t="shared" si="1"/>
        <v>43554</v>
      </c>
      <c r="O3963" s="5" t="str">
        <f>IFERROR(__xludf.DUMMYFUNCTION("IF(REGEXMATCH(TRIM(I3963), ""^\d+\s*min""), ""Unclassified"", IF(I3963 = """", ""NR"", I3963))"),"TV-Y")</f>
        <v>TV-Y</v>
      </c>
      <c r="R3963" s="5" t="str">
        <f t="shared" si="2"/>
        <v>Pablo</v>
      </c>
      <c r="S3963" s="5" t="str">
        <f>IFERROR(__xludf.DUMMYFUNCTION("""COMPUTED_VALUE"""),"Larceny")</f>
        <v>Larceny</v>
      </c>
      <c r="U3963" s="5" t="str">
        <f>IFERROR(__xludf.DUMMYFUNCTION("""COMPUTED_VALUE"""),"Ben C. Lucas")</f>
        <v>Ben C. Lucas</v>
      </c>
      <c r="V3963" s="5" t="s">
        <v>21402</v>
      </c>
      <c r="W3963" s="5" t="str">
        <f t="shared" si="3"/>
        <v>Sridhar Jetty</v>
      </c>
      <c r="X3963" s="5">
        <f t="shared" si="4"/>
        <v>1</v>
      </c>
      <c r="Y3963" s="5" t="str">
        <f>IFERROR(__xludf.DUMMYFUNCTION("REGEXEXTRACT(J3963, ""^\d+"")"),"1")</f>
        <v>1</v>
      </c>
      <c r="Z3963" s="5" t="str">
        <f>IFERROR(__xludf.DUMMYFUNCTION("REGEXEXTRACT(J3963, ""[A-Za-z ]+$"")")," Season")</f>
        <v> Season</v>
      </c>
      <c r="AA3963" s="5" t="str">
        <f>IFERROR(__xludf.DUMMYFUNCTION("IF(REGEXMATCH(Z3963, ""Season""), ""TV Show"", ""Movie"")"),"TV Show")</f>
        <v>TV Show</v>
      </c>
    </row>
    <row r="3964">
      <c r="A3964" s="1" t="s">
        <v>21403</v>
      </c>
      <c r="B3964" s="1" t="s">
        <v>27</v>
      </c>
      <c r="C3964" s="1" t="s">
        <v>21404</v>
      </c>
      <c r="D3964" s="1" t="s">
        <v>21405</v>
      </c>
      <c r="E3964" s="1" t="s">
        <v>21406</v>
      </c>
      <c r="F3964" s="1" t="s">
        <v>63</v>
      </c>
      <c r="G3964" s="1" t="s">
        <v>21407</v>
      </c>
      <c r="H3964" s="1">
        <v>2019.0</v>
      </c>
      <c r="I3964" s="1" t="s">
        <v>97</v>
      </c>
      <c r="J3964" s="1" t="s">
        <v>341</v>
      </c>
      <c r="K3964" s="1" t="s">
        <v>836</v>
      </c>
      <c r="L3964" s="1" t="s">
        <v>21408</v>
      </c>
      <c r="M3964" s="2" t="s">
        <v>12</v>
      </c>
      <c r="N3964" s="4">
        <f t="shared" si="1"/>
        <v>43553</v>
      </c>
      <c r="O3964" s="5" t="str">
        <f>IFERROR(__xludf.DUMMYFUNCTION("IF(REGEXMATCH(TRIM(I3964), ""^\d+\s*min""), ""Unclassified"", IF(I3964 = """", ""NR"", I3964))"),"TV-14")</f>
        <v>TV-14</v>
      </c>
      <c r="R3964" s="5" t="str">
        <f t="shared" si="2"/>
        <v>15 August</v>
      </c>
      <c r="S3964" s="5" t="str">
        <f>IFERROR(__xludf.DUMMYFUNCTION("""COMPUTED_VALUE"""),"Larry Charles' Dangerous World Of Comedy")</f>
        <v>Larry Charles' Dangerous World Of Comedy</v>
      </c>
      <c r="U3964" s="5" t="str">
        <f>IFERROR(__xludf.DUMMYFUNCTION("""COMPUTED_VALUE"""),"Jayaraj Rajasekharan Nair")</f>
        <v>Jayaraj Rajasekharan Nair</v>
      </c>
      <c r="V3964" s="5" t="s">
        <v>21409</v>
      </c>
      <c r="W3964" s="5" t="str">
        <f t="shared" si="3"/>
        <v>Sridhar Rangayan</v>
      </c>
      <c r="X3964" s="5">
        <f t="shared" si="4"/>
        <v>2</v>
      </c>
      <c r="Y3964" s="5" t="str">
        <f>IFERROR(__xludf.DUMMYFUNCTION("REGEXEXTRACT(J3964, ""^\d+"")"),"124")</f>
        <v>124</v>
      </c>
      <c r="Z3964" s="5" t="str">
        <f>IFERROR(__xludf.DUMMYFUNCTION("REGEXEXTRACT(J3964, ""[A-Za-z ]+$"")")," min")</f>
        <v> min</v>
      </c>
      <c r="AA3964" s="5" t="str">
        <f>IFERROR(__xludf.DUMMYFUNCTION("IF(REGEXMATCH(Z3964, ""Season""), ""TV Show"", ""Movie"")"),"Movie")</f>
        <v>Movie</v>
      </c>
    </row>
    <row r="3965">
      <c r="A3965" s="1" t="s">
        <v>21410</v>
      </c>
      <c r="B3965" s="1" t="s">
        <v>27</v>
      </c>
      <c r="C3965" s="1" t="s">
        <v>21411</v>
      </c>
      <c r="D3965" s="1" t="s">
        <v>13313</v>
      </c>
      <c r="E3965" s="1" t="s">
        <v>21412</v>
      </c>
      <c r="F3965" s="1" t="s">
        <v>21413</v>
      </c>
      <c r="G3965" s="1" t="s">
        <v>21407</v>
      </c>
      <c r="H3965" s="1">
        <v>2019.0</v>
      </c>
      <c r="I3965" s="1" t="s">
        <v>42</v>
      </c>
      <c r="J3965" s="1" t="s">
        <v>447</v>
      </c>
      <c r="K3965" s="1" t="s">
        <v>5099</v>
      </c>
      <c r="L3965" s="1" t="s">
        <v>21414</v>
      </c>
      <c r="M3965" s="2" t="s">
        <v>12</v>
      </c>
      <c r="N3965" s="4">
        <f t="shared" si="1"/>
        <v>43553</v>
      </c>
      <c r="O3965" s="5" t="str">
        <f>IFERROR(__xludf.DUMMYFUNCTION("IF(REGEXMATCH(TRIM(I3965), ""^\d+\s*min""), ""Unclassified"", IF(I3965 = """", ""NR"", I3965))"),"TV-MA")</f>
        <v>TV-MA</v>
      </c>
      <c r="R3965" s="5" t="str">
        <f t="shared" si="2"/>
        <v>Bayonet</v>
      </c>
      <c r="S3965" s="5" t="str">
        <f>IFERROR(__xludf.DUMMYFUNCTION("""COMPUTED_VALUE"""),"Larry The Cable Guy: Remain Seated")</f>
        <v>Larry The Cable Guy: Remain Seated</v>
      </c>
      <c r="U3965" s="5" t="str">
        <f>IFERROR(__xludf.DUMMYFUNCTION("""COMPUTED_VALUE"""),"Mark Franchetti, Andrew Meier")</f>
        <v>Mark Franchetti, Andrew Meier</v>
      </c>
      <c r="V3965" s="5" t="s">
        <v>3948</v>
      </c>
      <c r="W3965" s="5" t="str">
        <f t="shared" si="3"/>
        <v>Srijit Mukherji, Vasan Bala, Abhishek Chaubey</v>
      </c>
      <c r="X3965" s="5">
        <f t="shared" si="4"/>
        <v>1</v>
      </c>
      <c r="Y3965" s="5" t="str">
        <f>IFERROR(__xludf.DUMMYFUNCTION("REGEXEXTRACT(J3965, ""^\d+"")"),"102")</f>
        <v>102</v>
      </c>
      <c r="Z3965" s="5" t="str">
        <f>IFERROR(__xludf.DUMMYFUNCTION("REGEXEXTRACT(J3965, ""[A-Za-z ]+$"")")," min")</f>
        <v> min</v>
      </c>
      <c r="AA3965" s="5" t="str">
        <f>IFERROR(__xludf.DUMMYFUNCTION("IF(REGEXMATCH(Z3965, ""Season""), ""TV Show"", ""Movie"")"),"Movie")</f>
        <v>Movie</v>
      </c>
    </row>
    <row r="3966">
      <c r="A3966" s="1" t="s">
        <v>21415</v>
      </c>
      <c r="B3966" s="1" t="s">
        <v>37</v>
      </c>
      <c r="C3966" s="1" t="s">
        <v>21416</v>
      </c>
      <c r="E3966" s="1" t="s">
        <v>21417</v>
      </c>
      <c r="F3966" s="1" t="s">
        <v>664</v>
      </c>
      <c r="G3966" s="1" t="s">
        <v>21407</v>
      </c>
      <c r="H3966" s="1">
        <v>2019.0</v>
      </c>
      <c r="I3966" s="1" t="s">
        <v>42</v>
      </c>
      <c r="J3966" s="1" t="s">
        <v>51</v>
      </c>
      <c r="K3966" s="1" t="s">
        <v>44</v>
      </c>
      <c r="L3966" s="1" t="s">
        <v>21418</v>
      </c>
      <c r="M3966" s="2" t="s">
        <v>12</v>
      </c>
      <c r="N3966" s="4">
        <f t="shared" si="1"/>
        <v>43553</v>
      </c>
      <c r="O3966" s="5" t="str">
        <f>IFERROR(__xludf.DUMMYFUNCTION("IF(REGEXMATCH(TRIM(I3966), ""^\d+\s*min""), ""Unclassified"", IF(I3966 = """", ""NR"", I3966))"),"TV-MA")</f>
        <v>TV-MA</v>
      </c>
      <c r="R3966" s="5" t="str">
        <f t="shared" si="2"/>
        <v>Osmosis</v>
      </c>
      <c r="S3966" s="5" t="str">
        <f>IFERROR(__xludf.DUMMYFUNCTION("""COMPUTED_VALUE"""),"Larva")</f>
        <v>Larva</v>
      </c>
      <c r="U3966" s="5" t="str">
        <f>IFERROR(__xludf.DUMMYFUNCTION("""COMPUTED_VALUE"""),"Anthony Scott Burns")</f>
        <v>Anthony Scott Burns</v>
      </c>
      <c r="V3966" s="5" t="s">
        <v>21419</v>
      </c>
      <c r="W3966" s="5" t="str">
        <f t="shared" si="3"/>
        <v>Sriram Raghavan</v>
      </c>
      <c r="X3966" s="5">
        <f t="shared" si="4"/>
        <v>2</v>
      </c>
      <c r="Y3966" s="5" t="str">
        <f>IFERROR(__xludf.DUMMYFUNCTION("REGEXEXTRACT(J3966, ""^\d+"")"),"1")</f>
        <v>1</v>
      </c>
      <c r="Z3966" s="5" t="str">
        <f>IFERROR(__xludf.DUMMYFUNCTION("REGEXEXTRACT(J3966, ""[A-Za-z ]+$"")")," Season")</f>
        <v> Season</v>
      </c>
      <c r="AA3966" s="5" t="str">
        <f>IFERROR(__xludf.DUMMYFUNCTION("IF(REGEXMATCH(Z3966, ""Season""), ""TV Show"", ""Movie"")"),"TV Show")</f>
        <v>TV Show</v>
      </c>
    </row>
    <row r="3967">
      <c r="A3967" s="1" t="s">
        <v>21420</v>
      </c>
      <c r="B3967" s="1" t="s">
        <v>37</v>
      </c>
      <c r="C3967" s="1" t="s">
        <v>21421</v>
      </c>
      <c r="E3967" s="1" t="s">
        <v>21422</v>
      </c>
      <c r="F3967" s="1" t="s">
        <v>30</v>
      </c>
      <c r="G3967" s="1" t="s">
        <v>21407</v>
      </c>
      <c r="H3967" s="1">
        <v>2019.0</v>
      </c>
      <c r="I3967" s="1" t="s">
        <v>42</v>
      </c>
      <c r="J3967" s="1" t="s">
        <v>276</v>
      </c>
      <c r="K3967" s="1" t="s">
        <v>21423</v>
      </c>
      <c r="L3967" s="1" t="s">
        <v>21424</v>
      </c>
      <c r="M3967" s="2" t="s">
        <v>12</v>
      </c>
      <c r="N3967" s="4">
        <f t="shared" si="1"/>
        <v>43553</v>
      </c>
      <c r="O3967" s="5" t="str">
        <f>IFERROR(__xludf.DUMMYFUNCTION("IF(REGEXMATCH(TRIM(I3967), ""^\d+\s*min""), ""Unclassified"", IF(I3967 = """", ""NR"", I3967))"),"TV-MA")</f>
        <v>TV-MA</v>
      </c>
      <c r="R3967" s="5" t="str">
        <f t="shared" si="2"/>
        <v>Santa Clarita Diet</v>
      </c>
      <c r="S3967" s="5" t="str">
        <f>IFERROR(__xludf.DUMMYFUNCTION("""COMPUTED_VALUE"""),"Larva Island")</f>
        <v>Larva Island</v>
      </c>
      <c r="U3967" s="5" t="str">
        <f>IFERROR(__xludf.DUMMYFUNCTION("""COMPUTED_VALUE"""),"Adam Collins, Luke Radford")</f>
        <v>Adam Collins, Luke Radford</v>
      </c>
      <c r="V3967" s="5" t="s">
        <v>10273</v>
      </c>
      <c r="W3967" s="5" t="str">
        <f t="shared" si="3"/>
        <v>Stacia Crawford</v>
      </c>
      <c r="X3967" s="5">
        <f t="shared" si="4"/>
        <v>1</v>
      </c>
      <c r="Y3967" s="5" t="str">
        <f>IFERROR(__xludf.DUMMYFUNCTION("REGEXEXTRACT(J3967, ""^\d+"")"),"3")</f>
        <v>3</v>
      </c>
      <c r="Z3967" s="5" t="str">
        <f>IFERROR(__xludf.DUMMYFUNCTION("REGEXEXTRACT(J3967, ""[A-Za-z ]+$"")")," Seasons")</f>
        <v> Seasons</v>
      </c>
      <c r="AA3967" s="5" t="str">
        <f>IFERROR(__xludf.DUMMYFUNCTION("IF(REGEXMATCH(Z3967, ""Season""), ""TV Show"", ""Movie"")"),"TV Show")</f>
        <v>TV Show</v>
      </c>
    </row>
    <row r="3968">
      <c r="A3968" s="1" t="s">
        <v>21425</v>
      </c>
      <c r="B3968" s="1" t="s">
        <v>27</v>
      </c>
      <c r="C3968" s="1" t="s">
        <v>21426</v>
      </c>
      <c r="D3968" s="1" t="s">
        <v>11371</v>
      </c>
      <c r="E3968" s="1" t="s">
        <v>21427</v>
      </c>
      <c r="F3968" s="1" t="s">
        <v>30</v>
      </c>
      <c r="G3968" s="1" t="s">
        <v>21407</v>
      </c>
      <c r="H3968" s="1">
        <v>2019.0</v>
      </c>
      <c r="I3968" s="1" t="s">
        <v>378</v>
      </c>
      <c r="J3968" s="1" t="s">
        <v>2505</v>
      </c>
      <c r="K3968" s="1" t="s">
        <v>805</v>
      </c>
      <c r="L3968" s="1" t="s">
        <v>21428</v>
      </c>
      <c r="M3968" s="2" t="s">
        <v>12</v>
      </c>
      <c r="N3968" s="4">
        <f t="shared" si="1"/>
        <v>43553</v>
      </c>
      <c r="O3968" s="5" t="str">
        <f>IFERROR(__xludf.DUMMYFUNCTION("IF(REGEXMATCH(TRIM(I3968), ""^\d+\s*min""), ""Unclassified"", IF(I3968 = """", ""NR"", I3968))"),"R")</f>
        <v>R</v>
      </c>
      <c r="R3968" s="5" t="str">
        <f t="shared" si="2"/>
        <v>The Highwaymen</v>
      </c>
      <c r="S3968" s="5" t="str">
        <f>IFERROR(__xludf.DUMMYFUNCTION("""COMPUTED_VALUE"""),"Las Muñecas De La Mafia")</f>
        <v>Las Muñecas De La Mafia</v>
      </c>
      <c r="U3968" s="5" t="str">
        <f>IFERROR(__xludf.DUMMYFUNCTION("""COMPUTED_VALUE"""),"Paul Spurrier")</f>
        <v>Paul Spurrier</v>
      </c>
      <c r="V3968" s="5" t="s">
        <v>11082</v>
      </c>
      <c r="W3968" s="5" t="str">
        <f t="shared" si="3"/>
        <v>Stacie Passon</v>
      </c>
      <c r="X3968" s="5">
        <f t="shared" si="4"/>
        <v>2</v>
      </c>
      <c r="Y3968" s="5" t="str">
        <f>IFERROR(__xludf.DUMMYFUNCTION("REGEXEXTRACT(J3968, ""^\d+"")"),"132")</f>
        <v>132</v>
      </c>
      <c r="Z3968" s="5" t="str">
        <f>IFERROR(__xludf.DUMMYFUNCTION("REGEXEXTRACT(J3968, ""[A-Za-z ]+$"")")," min")</f>
        <v> min</v>
      </c>
      <c r="AA3968" s="5" t="str">
        <f>IFERROR(__xludf.DUMMYFUNCTION("IF(REGEXMATCH(Z3968, ""Season""), ""TV Show"", ""Movie"")"),"Movie")</f>
        <v>Movie</v>
      </c>
    </row>
    <row r="3969">
      <c r="A3969" s="1" t="s">
        <v>21429</v>
      </c>
      <c r="B3969" s="1" t="s">
        <v>27</v>
      </c>
      <c r="C3969" s="1" t="s">
        <v>21430</v>
      </c>
      <c r="D3969" s="1" t="s">
        <v>21431</v>
      </c>
      <c r="F3969" s="1" t="s">
        <v>30</v>
      </c>
      <c r="G3969" s="1" t="s">
        <v>21407</v>
      </c>
      <c r="H3969" s="1">
        <v>2019.0</v>
      </c>
      <c r="I3969" s="1" t="s">
        <v>42</v>
      </c>
      <c r="J3969" s="1" t="s">
        <v>630</v>
      </c>
      <c r="K3969" s="1" t="s">
        <v>34</v>
      </c>
      <c r="L3969" s="1" t="s">
        <v>21432</v>
      </c>
      <c r="M3969" s="2" t="s">
        <v>12</v>
      </c>
      <c r="N3969" s="4">
        <f t="shared" si="1"/>
        <v>43553</v>
      </c>
      <c r="O3969" s="5" t="str">
        <f>IFERROR(__xludf.DUMMYFUNCTION("IF(REGEXMATCH(TRIM(I3969), ""^\d+\s*min""), ""Unclassified"", IF(I3969 = """", ""NR"", I3969))"),"TV-MA")</f>
        <v>TV-MA</v>
      </c>
      <c r="R3969" s="5" t="str">
        <f t="shared" si="2"/>
        <v>The Legend Of Cocaine Island</v>
      </c>
      <c r="S3969" s="5" t="str">
        <f>IFERROR(__xludf.DUMMYFUNCTION("""COMPUTED_VALUE"""),"Last")</f>
        <v>Last</v>
      </c>
      <c r="U3969" s="5" t="str">
        <f>IFERROR(__xludf.DUMMYFUNCTION("""COMPUTED_VALUE"""),"Chandran Narikode")</f>
        <v>Chandran Narikode</v>
      </c>
      <c r="V3969" s="5" t="s">
        <v>21433</v>
      </c>
      <c r="W3969" s="5" t="str">
        <f t="shared" si="3"/>
        <v>Stacy Title</v>
      </c>
      <c r="X3969" s="5">
        <f t="shared" si="4"/>
        <v>1</v>
      </c>
      <c r="Y3969" s="5" t="str">
        <f>IFERROR(__xludf.DUMMYFUNCTION("REGEXEXTRACT(J3969, ""^\d+"")"),"87")</f>
        <v>87</v>
      </c>
      <c r="Z3969" s="5" t="str">
        <f>IFERROR(__xludf.DUMMYFUNCTION("REGEXEXTRACT(J3969, ""[A-Za-z ]+$"")")," min")</f>
        <v> min</v>
      </c>
      <c r="AA3969" s="5" t="str">
        <f>IFERROR(__xludf.DUMMYFUNCTION("IF(REGEXMATCH(Z3969, ""Season""), ""TV Show"", ""Movie"")"),"Movie")</f>
        <v>Movie</v>
      </c>
    </row>
    <row r="3970">
      <c r="A3970" s="1" t="s">
        <v>21434</v>
      </c>
      <c r="B3970" s="1" t="s">
        <v>37</v>
      </c>
      <c r="C3970" s="1" t="s">
        <v>21435</v>
      </c>
      <c r="E3970" s="1" t="s">
        <v>21436</v>
      </c>
      <c r="G3970" s="1" t="s">
        <v>21407</v>
      </c>
      <c r="H3970" s="1">
        <v>2018.0</v>
      </c>
      <c r="I3970" s="1" t="s">
        <v>97</v>
      </c>
      <c r="J3970" s="1" t="s">
        <v>51</v>
      </c>
      <c r="K3970" s="1" t="s">
        <v>402</v>
      </c>
      <c r="L3970" s="1" t="s">
        <v>21437</v>
      </c>
      <c r="M3970" s="2" t="s">
        <v>12</v>
      </c>
      <c r="N3970" s="4">
        <f t="shared" si="1"/>
        <v>43553</v>
      </c>
      <c r="O3970" s="5" t="str">
        <f>IFERROR(__xludf.DUMMYFUNCTION("IF(REGEXMATCH(TRIM(I3970), ""^\d+\s*min""), ""Unclassified"", IF(I3970 = """", ""NR"", I3970))"),"TV-14")</f>
        <v>TV-14</v>
      </c>
      <c r="R3970" s="5" t="str">
        <f t="shared" si="2"/>
        <v>The Terminal</v>
      </c>
      <c r="S3970" s="5" t="str">
        <f>IFERROR(__xludf.DUMMYFUNCTION("""COMPUTED_VALUE"""),"Last Breath")</f>
        <v>Last Breath</v>
      </c>
      <c r="U3970" s="5" t="str">
        <f>IFERROR(__xludf.DUMMYFUNCTION("""COMPUTED_VALUE"""),"Jorge Granier")</f>
        <v>Jorge Granier</v>
      </c>
      <c r="V3970" s="5" t="s">
        <v>19463</v>
      </c>
      <c r="W3970" s="5" t="str">
        <f t="shared" si="3"/>
        <v>Stan Lathan</v>
      </c>
      <c r="X3970" s="5">
        <f t="shared" si="4"/>
        <v>4</v>
      </c>
      <c r="Y3970" s="5" t="str">
        <f>IFERROR(__xludf.DUMMYFUNCTION("REGEXEXTRACT(J3970, ""^\d+"")"),"1")</f>
        <v>1</v>
      </c>
      <c r="Z3970" s="5" t="str">
        <f>IFERROR(__xludf.DUMMYFUNCTION("REGEXEXTRACT(J3970, ""[A-Za-z ]+$"")")," Season")</f>
        <v> Season</v>
      </c>
      <c r="AA3970" s="5" t="str">
        <f>IFERROR(__xludf.DUMMYFUNCTION("IF(REGEXMATCH(Z3970, ""Season""), ""TV Show"", ""Movie"")"),"TV Show")</f>
        <v>TV Show</v>
      </c>
    </row>
    <row r="3971">
      <c r="A3971" s="1" t="s">
        <v>21438</v>
      </c>
      <c r="B3971" s="1" t="s">
        <v>37</v>
      </c>
      <c r="C3971" s="1" t="s">
        <v>21439</v>
      </c>
      <c r="E3971" s="1" t="s">
        <v>21440</v>
      </c>
      <c r="F3971" s="1" t="s">
        <v>96</v>
      </c>
      <c r="G3971" s="1" t="s">
        <v>21407</v>
      </c>
      <c r="H3971" s="1">
        <v>2019.0</v>
      </c>
      <c r="I3971" s="1" t="s">
        <v>42</v>
      </c>
      <c r="J3971" s="1" t="s">
        <v>51</v>
      </c>
      <c r="K3971" s="1" t="s">
        <v>3361</v>
      </c>
      <c r="L3971" s="1" t="s">
        <v>21441</v>
      </c>
      <c r="M3971" s="2" t="s">
        <v>12</v>
      </c>
      <c r="N3971" s="4">
        <f t="shared" si="1"/>
        <v>43553</v>
      </c>
      <c r="O3971" s="5" t="str">
        <f>IFERROR(__xludf.DUMMYFUNCTION("IF(REGEXMATCH(TRIM(I3971), ""^\d+\s*min""), ""Unclassified"", IF(I3971 = """", ""NR"", I3971))"),"TV-MA")</f>
        <v>TV-MA</v>
      </c>
      <c r="R3971" s="5" t="str">
        <f t="shared" si="2"/>
        <v>Traitors</v>
      </c>
      <c r="S3971" s="5" t="str">
        <f>IFERROR(__xludf.DUMMYFUNCTION("""COMPUTED_VALUE"""),"Last Chance U")</f>
        <v>Last Chance U</v>
      </c>
      <c r="U3971" s="5" t="str">
        <f>IFERROR(__xludf.DUMMYFUNCTION("""COMPUTED_VALUE"""),"Piti Jaturaphat")</f>
        <v>Piti Jaturaphat</v>
      </c>
      <c r="V3971" s="5" t="s">
        <v>21442</v>
      </c>
      <c r="W3971" s="5" t="str">
        <f t="shared" si="3"/>
        <v>Stanisław Różewicz</v>
      </c>
      <c r="X3971" s="5">
        <f t="shared" si="4"/>
        <v>2</v>
      </c>
      <c r="Y3971" s="5" t="str">
        <f>IFERROR(__xludf.DUMMYFUNCTION("REGEXEXTRACT(J3971, ""^\d+"")"),"1")</f>
        <v>1</v>
      </c>
      <c r="Z3971" s="5" t="str">
        <f>IFERROR(__xludf.DUMMYFUNCTION("REGEXEXTRACT(J3971, ""[A-Za-z ]+$"")")," Season")</f>
        <v> Season</v>
      </c>
      <c r="AA3971" s="5" t="str">
        <f>IFERROR(__xludf.DUMMYFUNCTION("IF(REGEXMATCH(Z3971, ""Season""), ""TV Show"", ""Movie"")"),"TV Show")</f>
        <v>TV Show</v>
      </c>
    </row>
    <row r="3972">
      <c r="A3972" s="1" t="s">
        <v>21443</v>
      </c>
      <c r="B3972" s="1" t="s">
        <v>37</v>
      </c>
      <c r="C3972" s="1" t="s">
        <v>21444</v>
      </c>
      <c r="E3972" s="1" t="s">
        <v>21445</v>
      </c>
      <c r="F3972" s="1" t="s">
        <v>8436</v>
      </c>
      <c r="G3972" s="1" t="s">
        <v>21407</v>
      </c>
      <c r="H3972" s="1">
        <v>2018.0</v>
      </c>
      <c r="I3972" s="1" t="s">
        <v>42</v>
      </c>
      <c r="J3972" s="1" t="s">
        <v>276</v>
      </c>
      <c r="K3972" s="1" t="s">
        <v>402</v>
      </c>
      <c r="L3972" s="1" t="s">
        <v>21446</v>
      </c>
      <c r="M3972" s="2" t="s">
        <v>12</v>
      </c>
      <c r="N3972" s="4">
        <f t="shared" si="1"/>
        <v>43553</v>
      </c>
      <c r="O3972" s="5" t="str">
        <f>IFERROR(__xludf.DUMMYFUNCTION("IF(REGEXMATCH(TRIM(I3972), ""^\d+\s*min""), ""Unclassified"", IF(I3972 = """", ""NR"", I3972))"),"TV-MA")</f>
        <v>TV-MA</v>
      </c>
      <c r="R3972" s="5" t="str">
        <f t="shared" si="2"/>
        <v>Versailles</v>
      </c>
      <c r="S3972" s="5" t="str">
        <f>IFERROR(__xludf.DUMMYFUNCTION("""COMPUTED_VALUE"""),"Last Chance U: Basketball")</f>
        <v>Last Chance U: Basketball</v>
      </c>
      <c r="U3972" s="5" t="str">
        <f>IFERROR(__xludf.DUMMYFUNCTION("""COMPUTED_VALUE"""),"Amber Tamblyn")</f>
        <v>Amber Tamblyn</v>
      </c>
      <c r="V3972" s="5" t="s">
        <v>21447</v>
      </c>
      <c r="W3972" s="5" t="str">
        <f t="shared" si="3"/>
        <v>Stanley Kubrick</v>
      </c>
      <c r="X3972" s="5">
        <f t="shared" si="4"/>
        <v>2</v>
      </c>
      <c r="Y3972" s="5" t="str">
        <f>IFERROR(__xludf.DUMMYFUNCTION("REGEXEXTRACT(J3972, ""^\d+"")"),"3")</f>
        <v>3</v>
      </c>
      <c r="Z3972" s="5" t="str">
        <f>IFERROR(__xludf.DUMMYFUNCTION("REGEXEXTRACT(J3972, ""[A-Za-z ]+$"")")," Seasons")</f>
        <v> Seasons</v>
      </c>
      <c r="AA3972" s="5" t="str">
        <f>IFERROR(__xludf.DUMMYFUNCTION("IF(REGEXMATCH(Z3972, ""Season""), ""TV Show"", ""Movie"")"),"TV Show")</f>
        <v>TV Show</v>
      </c>
    </row>
    <row r="3973">
      <c r="A3973" s="1" t="s">
        <v>21448</v>
      </c>
      <c r="B3973" s="1" t="s">
        <v>37</v>
      </c>
      <c r="C3973" s="1" t="s">
        <v>21449</v>
      </c>
      <c r="E3973" s="1" t="s">
        <v>21450</v>
      </c>
      <c r="F3973" s="1" t="s">
        <v>415</v>
      </c>
      <c r="G3973" s="1" t="s">
        <v>21451</v>
      </c>
      <c r="H3973" s="1">
        <v>2018.0</v>
      </c>
      <c r="I3973" s="1" t="s">
        <v>42</v>
      </c>
      <c r="J3973" s="1" t="s">
        <v>43</v>
      </c>
      <c r="K3973" s="1" t="s">
        <v>530</v>
      </c>
      <c r="L3973" s="1" t="s">
        <v>21452</v>
      </c>
      <c r="M3973" s="2" t="s">
        <v>12</v>
      </c>
      <c r="N3973" s="4">
        <f t="shared" si="1"/>
        <v>43552</v>
      </c>
      <c r="O3973" s="5" t="str">
        <f>IFERROR(__xludf.DUMMYFUNCTION("IF(REGEXMATCH(TRIM(I3973), ""^\d+\s*min""), ""Unclassified"", IF(I3973 = """", ""NR"", I3973))"),"TV-MA")</f>
        <v>TV-MA</v>
      </c>
      <c r="R3973" s="5" t="str">
        <f t="shared" si="2"/>
        <v>Ainori Love Wagon: Asian Journey</v>
      </c>
      <c r="S3973" s="5" t="str">
        <f>IFERROR(__xludf.DUMMYFUNCTION("""COMPUTED_VALUE"""),"Last Ferry")</f>
        <v>Last Ferry</v>
      </c>
      <c r="U3973" s="5" t="str">
        <f>IFERROR(__xludf.DUMMYFUNCTION("""COMPUTED_VALUE"""),"Alex Law")</f>
        <v>Alex Law</v>
      </c>
      <c r="V3973" s="5" t="s">
        <v>5499</v>
      </c>
      <c r="W3973" s="5" t="str">
        <f t="shared" si="3"/>
        <v>Stanley Menino D'Costa</v>
      </c>
      <c r="X3973" s="5">
        <f t="shared" si="4"/>
        <v>1</v>
      </c>
      <c r="Y3973" s="5" t="str">
        <f>IFERROR(__xludf.DUMMYFUNCTION("REGEXEXTRACT(J3973, ""^\d+"")"),"2")</f>
        <v>2</v>
      </c>
      <c r="Z3973" s="5" t="str">
        <f>IFERROR(__xludf.DUMMYFUNCTION("REGEXEXTRACT(J3973, ""[A-Za-z ]+$"")")," Seasons")</f>
        <v> Seasons</v>
      </c>
      <c r="AA3973" s="5" t="str">
        <f>IFERROR(__xludf.DUMMYFUNCTION("IF(REGEXMATCH(Z3973, ""Season""), ""TV Show"", ""Movie"")"),"TV Show")</f>
        <v>TV Show</v>
      </c>
    </row>
    <row r="3974">
      <c r="A3974" s="1" t="s">
        <v>21453</v>
      </c>
      <c r="B3974" s="1" t="s">
        <v>27</v>
      </c>
      <c r="C3974" s="1" t="s">
        <v>21454</v>
      </c>
      <c r="D3974" s="1" t="s">
        <v>2820</v>
      </c>
      <c r="E3974" s="1" t="s">
        <v>21455</v>
      </c>
      <c r="F3974" s="1" t="s">
        <v>2873</v>
      </c>
      <c r="G3974" s="1" t="s">
        <v>21456</v>
      </c>
      <c r="H3974" s="1">
        <v>2017.0</v>
      </c>
      <c r="I3974" s="1" t="s">
        <v>42</v>
      </c>
      <c r="J3974" s="1" t="s">
        <v>6281</v>
      </c>
      <c r="K3974" s="1" t="s">
        <v>1441</v>
      </c>
      <c r="L3974" s="1" t="s">
        <v>21457</v>
      </c>
      <c r="M3974" s="2" t="s">
        <v>12</v>
      </c>
      <c r="N3974" s="4">
        <f t="shared" si="1"/>
        <v>43551</v>
      </c>
      <c r="O3974" s="5" t="str">
        <f>IFERROR(__xludf.DUMMYFUNCTION("IF(REGEXMATCH(TRIM(I3974), ""^\d+\s*min""), ""Unclassified"", IF(I3974 = """", ""NR"", I3974))"),"TV-MA")</f>
        <v>TV-MA</v>
      </c>
      <c r="R3974" s="5" t="str">
        <f t="shared" si="2"/>
        <v>Danur: I Can See Ghosts</v>
      </c>
      <c r="S3974" s="5" t="str">
        <f>IFERROR(__xludf.DUMMYFUNCTION("""COMPUTED_VALUE"""),"Last Flight To Abuja")</f>
        <v>Last Flight To Abuja</v>
      </c>
      <c r="U3974" s="5" t="str">
        <f>IFERROR(__xludf.DUMMYFUNCTION("""COMPUTED_VALUE"""),"Bhagyaraj")</f>
        <v>Bhagyaraj</v>
      </c>
      <c r="V3974" s="5" t="s">
        <v>9536</v>
      </c>
      <c r="W3974" s="5" t="str">
        <f t="shared" si="3"/>
        <v>Stanley Moore, Alex Woo</v>
      </c>
      <c r="X3974" s="5">
        <f t="shared" si="4"/>
        <v>2</v>
      </c>
      <c r="Y3974" s="5" t="str">
        <f>IFERROR(__xludf.DUMMYFUNCTION("REGEXEXTRACT(J3974, ""^\d+"")"),"75")</f>
        <v>75</v>
      </c>
      <c r="Z3974" s="5" t="str">
        <f>IFERROR(__xludf.DUMMYFUNCTION("REGEXEXTRACT(J3974, ""[A-Za-z ]+$"")")," min")</f>
        <v> min</v>
      </c>
      <c r="AA3974" s="5" t="str">
        <f>IFERROR(__xludf.DUMMYFUNCTION("IF(REGEXMATCH(Z3974, ""Season""), ""TV Show"", ""Movie"")"),"Movie")</f>
        <v>Movie</v>
      </c>
    </row>
    <row r="3975">
      <c r="A3975" s="1" t="s">
        <v>21458</v>
      </c>
      <c r="B3975" s="1" t="s">
        <v>27</v>
      </c>
      <c r="C3975" s="1" t="s">
        <v>21459</v>
      </c>
      <c r="D3975" s="1" t="s">
        <v>8317</v>
      </c>
      <c r="E3975" s="1" t="s">
        <v>21460</v>
      </c>
      <c r="F3975" s="1" t="s">
        <v>2873</v>
      </c>
      <c r="G3975" s="1" t="s">
        <v>21456</v>
      </c>
      <c r="H3975" s="1">
        <v>2008.0</v>
      </c>
      <c r="I3975" s="1" t="s">
        <v>136</v>
      </c>
      <c r="J3975" s="1" t="s">
        <v>3458</v>
      </c>
      <c r="K3975" s="1" t="s">
        <v>679</v>
      </c>
      <c r="L3975" s="1" t="s">
        <v>21461</v>
      </c>
      <c r="M3975" s="2" t="s">
        <v>12</v>
      </c>
      <c r="N3975" s="4">
        <f t="shared" si="1"/>
        <v>43551</v>
      </c>
      <c r="O3975" s="5" t="str">
        <f>IFERROR(__xludf.DUMMYFUNCTION("IF(REGEXMATCH(TRIM(I3975), ""^\d+\s*min""), ""Unclassified"", IF(I3975 = """", ""NR"", I3975))"),"TV-PG")</f>
        <v>TV-PG</v>
      </c>
      <c r="R3975" s="5" t="str">
        <f t="shared" si="2"/>
        <v>Verses Of Love</v>
      </c>
      <c r="S3975" s="5" t="str">
        <f>IFERROR(__xludf.DUMMYFUNCTION("""COMPUTED_VALUE"""),"Last Hope")</f>
        <v>Last Hope</v>
      </c>
      <c r="U3975" s="5" t="str">
        <f>IFERROR(__xludf.DUMMYFUNCTION("""COMPUTED_VALUE"""),"Rebecca Addelman")</f>
        <v>Rebecca Addelman</v>
      </c>
      <c r="V3975" s="5" t="s">
        <v>8356</v>
      </c>
      <c r="W3975" s="5" t="str">
        <f t="shared" si="3"/>
        <v>Stanley Nelson</v>
      </c>
      <c r="X3975" s="5">
        <f t="shared" si="4"/>
        <v>2</v>
      </c>
      <c r="Y3975" s="5" t="str">
        <f>IFERROR(__xludf.DUMMYFUNCTION("REGEXEXTRACT(J3975, ""^\d+"")"),"126")</f>
        <v>126</v>
      </c>
      <c r="Z3975" s="5" t="str">
        <f>IFERROR(__xludf.DUMMYFUNCTION("REGEXEXTRACT(J3975, ""[A-Za-z ]+$"")")," min")</f>
        <v> min</v>
      </c>
      <c r="AA3975" s="5" t="str">
        <f>IFERROR(__xludf.DUMMYFUNCTION("IF(REGEXMATCH(Z3975, ""Season""), ""TV Show"", ""Movie"")"),"Movie")</f>
        <v>Movie</v>
      </c>
    </row>
    <row r="3976">
      <c r="A3976" s="1" t="s">
        <v>21462</v>
      </c>
      <c r="B3976" s="1" t="s">
        <v>27</v>
      </c>
      <c r="C3976" s="1" t="s">
        <v>21463</v>
      </c>
      <c r="D3976" s="1" t="s">
        <v>14919</v>
      </c>
      <c r="E3976" s="1" t="s">
        <v>7038</v>
      </c>
      <c r="F3976" s="1" t="s">
        <v>30</v>
      </c>
      <c r="G3976" s="1" t="s">
        <v>21464</v>
      </c>
      <c r="H3976" s="1">
        <v>2019.0</v>
      </c>
      <c r="I3976" s="1" t="s">
        <v>136</v>
      </c>
      <c r="J3976" s="1" t="s">
        <v>207</v>
      </c>
      <c r="K3976" s="1" t="s">
        <v>1839</v>
      </c>
      <c r="L3976" s="1" t="s">
        <v>21465</v>
      </c>
      <c r="M3976" s="2" t="s">
        <v>12</v>
      </c>
      <c r="N3976" s="4">
        <f t="shared" si="1"/>
        <v>43550</v>
      </c>
      <c r="O3976" s="5" t="str">
        <f>IFERROR(__xludf.DUMMYFUNCTION("IF(REGEXMATCH(TRIM(I3976), ""^\d+\s*min""), ""Unclassified"", IF(I3976 = """", ""NR"", I3976))"),"TV-PG")</f>
        <v>TV-PG</v>
      </c>
      <c r="R3976" s="5" t="str">
        <f t="shared" si="2"/>
        <v>Nate Bargatze: The Tennessee Kid</v>
      </c>
      <c r="S3976" s="5" t="str">
        <f>IFERROR(__xludf.DUMMYFUNCTION("""COMPUTED_VALUE"""),"Last Knights")</f>
        <v>Last Knights</v>
      </c>
      <c r="U3976" s="5" t="str">
        <f>IFERROR(__xludf.DUMMYFUNCTION("""COMPUTED_VALUE"""),"Oren Peli")</f>
        <v>Oren Peli</v>
      </c>
      <c r="V3976" s="5" t="s">
        <v>21466</v>
      </c>
      <c r="W3976" s="5" t="str">
        <f t="shared" si="3"/>
        <v>Stanley Tong</v>
      </c>
      <c r="X3976" s="5">
        <f t="shared" si="4"/>
        <v>2</v>
      </c>
      <c r="Y3976" s="5" t="str">
        <f>IFERROR(__xludf.DUMMYFUNCTION("REGEXEXTRACT(J3976, ""^\d+"")"),"61")</f>
        <v>61</v>
      </c>
      <c r="Z3976" s="5" t="str">
        <f>IFERROR(__xludf.DUMMYFUNCTION("REGEXEXTRACT(J3976, ""[A-Za-z ]+$"")")," min")</f>
        <v> min</v>
      </c>
      <c r="AA3976" s="5" t="str">
        <f>IFERROR(__xludf.DUMMYFUNCTION("IF(REGEXMATCH(Z3976, ""Season""), ""TV Show"", ""Movie"")"),"Movie")</f>
        <v>Movie</v>
      </c>
    </row>
    <row r="3977">
      <c r="A3977" s="1" t="s">
        <v>21467</v>
      </c>
      <c r="B3977" s="1" t="s">
        <v>27</v>
      </c>
      <c r="C3977" s="1" t="s">
        <v>21468</v>
      </c>
      <c r="D3977" s="1" t="s">
        <v>18601</v>
      </c>
      <c r="E3977" s="1" t="s">
        <v>21469</v>
      </c>
      <c r="F3977" s="1" t="s">
        <v>63</v>
      </c>
      <c r="G3977" s="1" t="s">
        <v>21470</v>
      </c>
      <c r="H3977" s="1">
        <v>2018.0</v>
      </c>
      <c r="I3977" s="1" t="s">
        <v>97</v>
      </c>
      <c r="J3977" s="1" t="s">
        <v>3458</v>
      </c>
      <c r="K3977" s="1" t="s">
        <v>617</v>
      </c>
      <c r="L3977" s="1" t="s">
        <v>21471</v>
      </c>
      <c r="M3977" s="2" t="s">
        <v>12</v>
      </c>
      <c r="N3977" s="4">
        <f t="shared" si="1"/>
        <v>43549</v>
      </c>
      <c r="O3977" s="5" t="str">
        <f>IFERROR(__xludf.DUMMYFUNCTION("IF(REGEXMATCH(TRIM(I3977), ""^\d+\s*min""), ""Unclassified"", IF(I3977 = """", ""NR"", I3977))"),"TV-14")</f>
        <v>TV-14</v>
      </c>
      <c r="R3977" s="5" t="str">
        <f t="shared" si="2"/>
        <v>Sei</v>
      </c>
      <c r="S3977" s="5" t="str">
        <f>IFERROR(__xludf.DUMMYFUNCTION("""COMPUTED_VALUE"""),"Last Night")</f>
        <v>Last Night</v>
      </c>
      <c r="U3977" s="5" t="str">
        <f>IFERROR(__xludf.DUMMYFUNCTION("""COMPUTED_VALUE"""),"Gafoor Y. Elliyaas")</f>
        <v>Gafoor Y. Elliyaas</v>
      </c>
      <c r="V3977" s="5" t="s">
        <v>21472</v>
      </c>
      <c r="W3977" s="5" t="str">
        <f t="shared" si="3"/>
        <v>Stefan Aust, Dirk Laabs</v>
      </c>
      <c r="X3977" s="5">
        <f t="shared" si="4"/>
        <v>1</v>
      </c>
      <c r="Y3977" s="5" t="str">
        <f>IFERROR(__xludf.DUMMYFUNCTION("REGEXEXTRACT(J3977, ""^\d+"")"),"126")</f>
        <v>126</v>
      </c>
      <c r="Z3977" s="5" t="str">
        <f>IFERROR(__xludf.DUMMYFUNCTION("REGEXEXTRACT(J3977, ""[A-Za-z ]+$"")")," min")</f>
        <v> min</v>
      </c>
      <c r="AA3977" s="5" t="str">
        <f>IFERROR(__xludf.DUMMYFUNCTION("IF(REGEXMATCH(Z3977, ""Season""), ""TV Show"", ""Movie"")"),"Movie")</f>
        <v>Movie</v>
      </c>
    </row>
    <row r="3978">
      <c r="A3978" s="1" t="s">
        <v>21473</v>
      </c>
      <c r="B3978" s="1" t="s">
        <v>37</v>
      </c>
      <c r="C3978" s="1" t="s">
        <v>21474</v>
      </c>
      <c r="E3978" s="1" t="s">
        <v>21475</v>
      </c>
      <c r="G3978" s="1" t="s">
        <v>21470</v>
      </c>
      <c r="H3978" s="1">
        <v>2018.0</v>
      </c>
      <c r="I3978" s="1" t="s">
        <v>97</v>
      </c>
      <c r="J3978" s="1" t="s">
        <v>51</v>
      </c>
      <c r="K3978" s="1" t="s">
        <v>52</v>
      </c>
      <c r="L3978" s="1" t="s">
        <v>21476</v>
      </c>
      <c r="M3978" s="2" t="s">
        <v>12</v>
      </c>
      <c r="N3978" s="4">
        <f t="shared" si="1"/>
        <v>43549</v>
      </c>
      <c r="O3978" s="5" t="str">
        <f>IFERROR(__xludf.DUMMYFUNCTION("IF(REGEXMATCH(TRIM(I3978), ""^\d+\s*min""), ""Unclassified"", IF(I3978 = """", ""NR"", I3978))"),"TV-14")</f>
        <v>TV-14</v>
      </c>
      <c r="R3978" s="5" t="str">
        <f t="shared" si="2"/>
        <v>The Eagle Of El-Se'Eed</v>
      </c>
      <c r="S3978" s="5" t="str">
        <f>IFERROR(__xludf.DUMMYFUNCTION("""COMPUTED_VALUE"""),"Last Summer")</f>
        <v>Last Summer</v>
      </c>
      <c r="U3978" s="5" t="str">
        <f>IFERROR(__xludf.DUMMYFUNCTION("""COMPUTED_VALUE"""),"Jennie Livingston")</f>
        <v>Jennie Livingston</v>
      </c>
      <c r="V3978" s="5" t="s">
        <v>21477</v>
      </c>
      <c r="W3978" s="5" t="str">
        <f t="shared" si="3"/>
        <v>Stefan Brogren</v>
      </c>
      <c r="X3978" s="5">
        <f t="shared" si="4"/>
        <v>1</v>
      </c>
      <c r="Y3978" s="5" t="str">
        <f>IFERROR(__xludf.DUMMYFUNCTION("REGEXEXTRACT(J3978, ""^\d+"")"),"1")</f>
        <v>1</v>
      </c>
      <c r="Z3978" s="5" t="str">
        <f>IFERROR(__xludf.DUMMYFUNCTION("REGEXEXTRACT(J3978, ""[A-Za-z ]+$"")")," Season")</f>
        <v> Season</v>
      </c>
      <c r="AA3978" s="5" t="str">
        <f>IFERROR(__xludf.DUMMYFUNCTION("IF(REGEXMATCH(Z3978, ""Season""), ""TV Show"", ""Movie"")"),"TV Show")</f>
        <v>TV Show</v>
      </c>
    </row>
    <row r="3979">
      <c r="A3979" s="1" t="s">
        <v>21478</v>
      </c>
      <c r="B3979" s="1" t="s">
        <v>27</v>
      </c>
      <c r="C3979" s="1" t="s">
        <v>21479</v>
      </c>
      <c r="D3979" s="1" t="s">
        <v>10357</v>
      </c>
      <c r="E3979" s="1" t="s">
        <v>21480</v>
      </c>
      <c r="F3979" s="1" t="s">
        <v>784</v>
      </c>
      <c r="G3979" s="1" t="s">
        <v>21481</v>
      </c>
      <c r="H3979" s="1">
        <v>2018.0</v>
      </c>
      <c r="I3979" s="1" t="s">
        <v>42</v>
      </c>
      <c r="J3979" s="1" t="s">
        <v>912</v>
      </c>
      <c r="K3979" s="1" t="s">
        <v>1328</v>
      </c>
      <c r="L3979" s="1" t="s">
        <v>21482</v>
      </c>
      <c r="M3979" s="2" t="s">
        <v>12</v>
      </c>
      <c r="N3979" s="4">
        <f t="shared" si="1"/>
        <v>43548</v>
      </c>
      <c r="O3979" s="5" t="str">
        <f>IFERROR(__xludf.DUMMYFUNCTION("IF(REGEXMATCH(TRIM(I3979), ""^\d+\s*min""), ""Unclassified"", IF(I3979 = """", ""NR"", I3979))"),"TV-MA")</f>
        <v>TV-MA</v>
      </c>
      <c r="R3979" s="5" t="str">
        <f t="shared" si="2"/>
        <v>Superlopez</v>
      </c>
      <c r="S3979" s="5" t="str">
        <f>IFERROR(__xludf.DUMMYFUNCTION("""COMPUTED_VALUE"""),"Last Tango In Halifax")</f>
        <v>Last Tango In Halifax</v>
      </c>
      <c r="U3979" s="5" t="str">
        <f>IFERROR(__xludf.DUMMYFUNCTION("""COMPUTED_VALUE"""),"Kevin Hooks")</f>
        <v>Kevin Hooks</v>
      </c>
      <c r="V3979" s="5" t="s">
        <v>6158</v>
      </c>
      <c r="W3979" s="5" t="str">
        <f t="shared" si="3"/>
        <v>Stefan Westerwelle</v>
      </c>
      <c r="X3979" s="5">
        <f t="shared" si="4"/>
        <v>1</v>
      </c>
      <c r="Y3979" s="5" t="str">
        <f>IFERROR(__xludf.DUMMYFUNCTION("REGEXEXTRACT(J3979, ""^\d+"")"),"108")</f>
        <v>108</v>
      </c>
      <c r="Z3979" s="5" t="str">
        <f>IFERROR(__xludf.DUMMYFUNCTION("REGEXEXTRACT(J3979, ""[A-Za-z ]+$"")")," min")</f>
        <v> min</v>
      </c>
      <c r="AA3979" s="5" t="str">
        <f>IFERROR(__xludf.DUMMYFUNCTION("IF(REGEXMATCH(Z3979, ""Season""), ""TV Show"", ""Movie"")"),"Movie")</f>
        <v>Movie</v>
      </c>
    </row>
    <row r="3980">
      <c r="A3980" s="1" t="s">
        <v>21483</v>
      </c>
      <c r="B3980" s="1" t="s">
        <v>27</v>
      </c>
      <c r="C3980" s="1" t="s">
        <v>21484</v>
      </c>
      <c r="D3980" s="1" t="s">
        <v>4410</v>
      </c>
      <c r="E3980" s="1" t="s">
        <v>21485</v>
      </c>
      <c r="F3980" s="1" t="s">
        <v>2796</v>
      </c>
      <c r="G3980" s="1" t="s">
        <v>21486</v>
      </c>
      <c r="H3980" s="1">
        <v>2017.0</v>
      </c>
      <c r="I3980" s="1" t="s">
        <v>42</v>
      </c>
      <c r="J3980" s="1" t="s">
        <v>433</v>
      </c>
      <c r="K3980" s="1" t="s">
        <v>1328</v>
      </c>
      <c r="L3980" s="1" t="s">
        <v>21487</v>
      </c>
      <c r="M3980" s="2" t="s">
        <v>12</v>
      </c>
      <c r="N3980" s="4">
        <f t="shared" si="1"/>
        <v>43547</v>
      </c>
      <c r="O3980" s="5" t="str">
        <f>IFERROR(__xludf.DUMMYFUNCTION("IF(REGEXMATCH(TRIM(I3980), ""^\d+\s*min""), ""Unclassified"", IF(I3980 = """", ""NR"", I3980))"),"TV-MA")</f>
        <v>TV-MA</v>
      </c>
      <c r="R3980" s="5" t="str">
        <f t="shared" si="2"/>
        <v>Oversize Cops</v>
      </c>
      <c r="S3980" s="5" t="str">
        <f>IFERROR(__xludf.DUMMYFUNCTION("""COMPUTED_VALUE"""),"Late Life: The Chien-Ming Wang Story")</f>
        <v>Late Life: The Chien-Ming Wang Story</v>
      </c>
      <c r="U3980" s="5" t="str">
        <f>IFERROR(__xludf.DUMMYFUNCTION("""COMPUTED_VALUE"""),"Dileep Narayanan")</f>
        <v>Dileep Narayanan</v>
      </c>
      <c r="V3980" s="5" t="s">
        <v>15105</v>
      </c>
      <c r="W3980" s="5" t="str">
        <f t="shared" si="3"/>
        <v>Stefano Lodovichi</v>
      </c>
      <c r="X3980" s="5">
        <f t="shared" si="4"/>
        <v>1</v>
      </c>
      <c r="Y3980" s="5" t="str">
        <f>IFERROR(__xludf.DUMMYFUNCTION("REGEXEXTRACT(J3980, ""^\d+"")"),"100")</f>
        <v>100</v>
      </c>
      <c r="Z3980" s="5" t="str">
        <f>IFERROR(__xludf.DUMMYFUNCTION("REGEXEXTRACT(J3980, ""[A-Za-z ]+$"")")," min")</f>
        <v> min</v>
      </c>
      <c r="AA3980" s="5" t="str">
        <f>IFERROR(__xludf.DUMMYFUNCTION("IF(REGEXMATCH(Z3980, ""Season""), ""TV Show"", ""Movie"")"),"Movie")</f>
        <v>Movie</v>
      </c>
    </row>
    <row r="3981">
      <c r="A3981" s="1" t="s">
        <v>21488</v>
      </c>
      <c r="B3981" s="1" t="s">
        <v>37</v>
      </c>
      <c r="C3981" s="1" t="s">
        <v>21489</v>
      </c>
      <c r="E3981" s="1" t="s">
        <v>21490</v>
      </c>
      <c r="F3981" s="1" t="s">
        <v>30</v>
      </c>
      <c r="G3981" s="1" t="s">
        <v>21491</v>
      </c>
      <c r="H3981" s="1">
        <v>2019.0</v>
      </c>
      <c r="I3981" s="1" t="s">
        <v>206</v>
      </c>
      <c r="J3981" s="1" t="s">
        <v>51</v>
      </c>
      <c r="K3981" s="1" t="s">
        <v>290</v>
      </c>
      <c r="L3981" s="1" t="s">
        <v>21492</v>
      </c>
      <c r="M3981" s="2" t="s">
        <v>12</v>
      </c>
      <c r="N3981" s="4">
        <f t="shared" si="1"/>
        <v>43546</v>
      </c>
      <c r="O3981" s="5" t="str">
        <f>IFERROR(__xludf.DUMMYFUNCTION("IF(REGEXMATCH(TRIM(I3981), ""^\d+\s*min""), ""Unclassified"", IF(I3981 = """", ""NR"", I3981))"),"TV-Y")</f>
        <v>TV-Y</v>
      </c>
      <c r="R3981" s="5" t="str">
        <f t="shared" si="2"/>
        <v>Charlie'S Colorforms City</v>
      </c>
      <c r="S3981" s="5" t="str">
        <f>IFERROR(__xludf.DUMMYFUNCTION("""COMPUTED_VALUE"""),"Latte And The Magic Waterstone")</f>
        <v>Latte And The Magic Waterstone</v>
      </c>
      <c r="U3981" s="5" t="str">
        <f>IFERROR(__xludf.DUMMYFUNCTION("""COMPUTED_VALUE"""),"Paritosh Painter")</f>
        <v>Paritosh Painter</v>
      </c>
      <c r="V3981" s="5" t="s">
        <v>12750</v>
      </c>
      <c r="W3981" s="5" t="str">
        <f t="shared" si="3"/>
        <v>Stefano Mordini</v>
      </c>
      <c r="X3981" s="5">
        <f t="shared" si="4"/>
        <v>1</v>
      </c>
      <c r="Y3981" s="5" t="str">
        <f>IFERROR(__xludf.DUMMYFUNCTION("REGEXEXTRACT(J3981, ""^\d+"")"),"1")</f>
        <v>1</v>
      </c>
      <c r="Z3981" s="5" t="str">
        <f>IFERROR(__xludf.DUMMYFUNCTION("REGEXEXTRACT(J3981, ""[A-Za-z ]+$"")")," Season")</f>
        <v> Season</v>
      </c>
      <c r="AA3981" s="5" t="str">
        <f>IFERROR(__xludf.DUMMYFUNCTION("IF(REGEXMATCH(Z3981, ""Season""), ""TV Show"", ""Movie"")"),"TV Show")</f>
        <v>TV Show</v>
      </c>
    </row>
    <row r="3982">
      <c r="A3982" s="1" t="s">
        <v>21493</v>
      </c>
      <c r="B3982" s="1" t="s">
        <v>37</v>
      </c>
      <c r="C3982" s="1" t="s">
        <v>21494</v>
      </c>
      <c r="E3982" s="1" t="s">
        <v>21495</v>
      </c>
      <c r="F3982" s="1" t="s">
        <v>162</v>
      </c>
      <c r="G3982" s="1" t="s">
        <v>21491</v>
      </c>
      <c r="H3982" s="1">
        <v>2019.0</v>
      </c>
      <c r="I3982" s="1" t="s">
        <v>42</v>
      </c>
      <c r="J3982" s="1" t="s">
        <v>51</v>
      </c>
      <c r="K3982" s="1" t="s">
        <v>785</v>
      </c>
      <c r="L3982" s="1" t="s">
        <v>21496</v>
      </c>
      <c r="M3982" s="2" t="s">
        <v>12</v>
      </c>
      <c r="N3982" s="4">
        <f t="shared" si="1"/>
        <v>43546</v>
      </c>
      <c r="O3982" s="5" t="str">
        <f>IFERROR(__xludf.DUMMYFUNCTION("IF(REGEXMATCH(TRIM(I3982), ""^\d+\s*min""), ""Unclassified"", IF(I3982 = """", ""NR"", I3982))"),"TV-MA")</f>
        <v>TV-MA</v>
      </c>
      <c r="R3982" s="5" t="str">
        <f t="shared" si="2"/>
        <v>Crime Diaries: The Candidate</v>
      </c>
      <c r="S3982" s="5" t="str">
        <f>IFERROR(__xludf.DUMMYFUNCTION("""COMPUTED_VALUE"""),"Lava Ka Dhaava")</f>
        <v>Lava Ka Dhaava</v>
      </c>
      <c r="U3982" s="5" t="str">
        <f>IFERROR(__xludf.DUMMYFUNCTION("""COMPUTED_VALUE"""),"Paul Reubens, Wayne Orr")</f>
        <v>Paul Reubens, Wayne Orr</v>
      </c>
      <c r="V3982" s="5" t="s">
        <v>21497</v>
      </c>
      <c r="W3982" s="5" t="str">
        <f t="shared" si="3"/>
        <v>Stefano Sollima</v>
      </c>
      <c r="X3982" s="5">
        <f t="shared" si="4"/>
        <v>1</v>
      </c>
      <c r="Y3982" s="5" t="str">
        <f>IFERROR(__xludf.DUMMYFUNCTION("REGEXEXTRACT(J3982, ""^\d+"")"),"1")</f>
        <v>1</v>
      </c>
      <c r="Z3982" s="5" t="str">
        <f>IFERROR(__xludf.DUMMYFUNCTION("REGEXEXTRACT(J3982, ""[A-Za-z ]+$"")")," Season")</f>
        <v> Season</v>
      </c>
      <c r="AA3982" s="5" t="str">
        <f>IFERROR(__xludf.DUMMYFUNCTION("IF(REGEXMATCH(Z3982, ""Season""), ""TV Show"", ""Movie"")"),"TV Show")</f>
        <v>TV Show</v>
      </c>
    </row>
    <row r="3983">
      <c r="A3983" s="1" t="s">
        <v>21498</v>
      </c>
      <c r="B3983" s="1" t="s">
        <v>37</v>
      </c>
      <c r="C3983" s="1" t="s">
        <v>21499</v>
      </c>
      <c r="E3983" s="1" t="s">
        <v>21500</v>
      </c>
      <c r="F3983" s="1" t="s">
        <v>63</v>
      </c>
      <c r="G3983" s="1" t="s">
        <v>21491</v>
      </c>
      <c r="H3983" s="1">
        <v>2019.0</v>
      </c>
      <c r="I3983" s="1" t="s">
        <v>42</v>
      </c>
      <c r="J3983" s="1" t="s">
        <v>51</v>
      </c>
      <c r="K3983" s="1" t="s">
        <v>1362</v>
      </c>
      <c r="L3983" s="1" t="s">
        <v>21501</v>
      </c>
      <c r="M3983" s="2" t="s">
        <v>12</v>
      </c>
      <c r="N3983" s="4">
        <f t="shared" si="1"/>
        <v>43546</v>
      </c>
      <c r="O3983" s="5" t="str">
        <f>IFERROR(__xludf.DUMMYFUNCTION("IF(REGEXMATCH(TRIM(I3983), ""^\d+\s*min""), ""Unclassified"", IF(I3983 = """", ""NR"", I3983))"),"TV-MA")</f>
        <v>TV-MA</v>
      </c>
      <c r="R3983" s="5" t="str">
        <f t="shared" si="2"/>
        <v>Delhi Crime</v>
      </c>
      <c r="S3983" s="5" t="str">
        <f>IFERROR(__xludf.DUMMYFUNCTION("""COMPUTED_VALUE"""),"Lavell Crawford: Can A Brother Get Some Love?")</f>
        <v>Lavell Crawford: Can A Brother Get Some Love?</v>
      </c>
      <c r="U3983" s="5" t="str">
        <f>IFERROR(__xludf.DUMMYFUNCTION("""COMPUTED_VALUE"""),"Mohd Khairul Azri Bin Md Noor")</f>
        <v>Mohd Khairul Azri Bin Md Noor</v>
      </c>
      <c r="V3983" s="5" t="s">
        <v>20718</v>
      </c>
      <c r="W3983" s="5" t="str">
        <f t="shared" si="3"/>
        <v>Stefon Bristol</v>
      </c>
      <c r="X3983" s="5">
        <f t="shared" si="4"/>
        <v>1</v>
      </c>
      <c r="Y3983" s="5" t="str">
        <f>IFERROR(__xludf.DUMMYFUNCTION("REGEXEXTRACT(J3983, ""^\d+"")"),"1")</f>
        <v>1</v>
      </c>
      <c r="Z3983" s="5" t="str">
        <f>IFERROR(__xludf.DUMMYFUNCTION("REGEXEXTRACT(J3983, ""[A-Za-z ]+$"")")," Season")</f>
        <v> Season</v>
      </c>
      <c r="AA3983" s="5" t="str">
        <f>IFERROR(__xludf.DUMMYFUNCTION("IF(REGEXMATCH(Z3983, ""Season""), ""TV Show"", ""Movie"")"),"TV Show")</f>
        <v>TV Show</v>
      </c>
    </row>
    <row r="3984">
      <c r="A3984" s="1" t="s">
        <v>21502</v>
      </c>
      <c r="B3984" s="1" t="s">
        <v>27</v>
      </c>
      <c r="C3984" s="1" t="s">
        <v>21503</v>
      </c>
      <c r="D3984" s="1" t="s">
        <v>5759</v>
      </c>
      <c r="E3984" s="1" t="s">
        <v>21504</v>
      </c>
      <c r="F3984" s="1" t="s">
        <v>784</v>
      </c>
      <c r="G3984" s="1" t="s">
        <v>21491</v>
      </c>
      <c r="H3984" s="1">
        <v>2018.0</v>
      </c>
      <c r="I3984" s="1" t="s">
        <v>42</v>
      </c>
      <c r="J3984" s="1" t="s">
        <v>1273</v>
      </c>
      <c r="K3984" s="1" t="s">
        <v>5704</v>
      </c>
      <c r="L3984" s="1" t="s">
        <v>21505</v>
      </c>
      <c r="M3984" s="2" t="s">
        <v>12</v>
      </c>
      <c r="N3984" s="4">
        <f t="shared" si="1"/>
        <v>43546</v>
      </c>
      <c r="O3984" s="5" t="str">
        <f>IFERROR(__xludf.DUMMYFUNCTION("IF(REGEXMATCH(TRIM(I3984), ""^\d+\s*min""), ""Unclassified"", IF(I3984 = """", ""NR"", I3984))"),"TV-MA")</f>
        <v>TV-MA</v>
      </c>
      <c r="R3984" s="5" t="str">
        <f t="shared" si="2"/>
        <v>Mirage</v>
      </c>
      <c r="S3984" s="5" t="str">
        <f>IFERROR(__xludf.DUMMYFUNCTION("""COMPUTED_VALUE"""),"Lavender")</f>
        <v>Lavender</v>
      </c>
      <c r="U3984" s="5" t="str">
        <f>IFERROR(__xludf.DUMMYFUNCTION("""COMPUTED_VALUE"""),"Mark Palansky")</f>
        <v>Mark Palansky</v>
      </c>
      <c r="V3984" s="5" t="s">
        <v>5672</v>
      </c>
      <c r="W3984" s="5" t="str">
        <f t="shared" si="3"/>
        <v>Stella Corradi</v>
      </c>
      <c r="X3984" s="5">
        <f t="shared" si="4"/>
        <v>1</v>
      </c>
      <c r="Y3984" s="5" t="str">
        <f>IFERROR(__xludf.DUMMYFUNCTION("REGEXEXTRACT(J3984, ""^\d+"")"),"129")</f>
        <v>129</v>
      </c>
      <c r="Z3984" s="5" t="str">
        <f>IFERROR(__xludf.DUMMYFUNCTION("REGEXEXTRACT(J3984, ""[A-Za-z ]+$"")")," min")</f>
        <v> min</v>
      </c>
      <c r="AA3984" s="5" t="str">
        <f>IFERROR(__xludf.DUMMYFUNCTION("IF(REGEXMATCH(Z3984, ""Season""), ""TV Show"", ""Movie"")"),"Movie")</f>
        <v>Movie</v>
      </c>
    </row>
    <row r="3985">
      <c r="A3985" s="1" t="s">
        <v>21506</v>
      </c>
      <c r="B3985" s="1" t="s">
        <v>27</v>
      </c>
      <c r="C3985" s="1" t="s">
        <v>21507</v>
      </c>
      <c r="D3985" s="1" t="s">
        <v>21508</v>
      </c>
      <c r="F3985" s="1" t="s">
        <v>30</v>
      </c>
      <c r="G3985" s="1" t="s">
        <v>21491</v>
      </c>
      <c r="H3985" s="1">
        <v>2019.0</v>
      </c>
      <c r="I3985" s="1" t="s">
        <v>42</v>
      </c>
      <c r="J3985" s="1" t="s">
        <v>5650</v>
      </c>
      <c r="K3985" s="1" t="s">
        <v>700</v>
      </c>
      <c r="L3985" s="1" t="s">
        <v>21509</v>
      </c>
      <c r="M3985" s="2" t="s">
        <v>12</v>
      </c>
      <c r="N3985" s="4">
        <f t="shared" si="1"/>
        <v>43546</v>
      </c>
      <c r="O3985" s="5" t="str">
        <f>IFERROR(__xludf.DUMMYFUNCTION("IF(REGEXMATCH(TRIM(I3985), ""^\d+\s*min""), ""Unclassified"", IF(I3985 = """", ""NR"", I3985))"),"TV-MA")</f>
        <v>TV-MA</v>
      </c>
      <c r="R3985" s="5" t="str">
        <f t="shared" si="2"/>
        <v>Remastered: The Miami Showband Massacre</v>
      </c>
      <c r="S3985" s="5" t="str">
        <f>IFERROR(__xludf.DUMMYFUNCTION("""COMPUTED_VALUE"""),"Law School")</f>
        <v>Law School</v>
      </c>
      <c r="U3985" s="5" t="str">
        <f>IFERROR(__xludf.DUMMYFUNCTION("""COMPUTED_VALUE"""),"J.C. Falcón")</f>
        <v>J.C. Falcón</v>
      </c>
      <c r="V3985" s="5" t="s">
        <v>21510</v>
      </c>
      <c r="W3985" s="5" t="str">
        <f t="shared" si="3"/>
        <v>Stephan Rick</v>
      </c>
      <c r="X3985" s="5">
        <f t="shared" si="4"/>
        <v>1</v>
      </c>
      <c r="Y3985" s="5" t="str">
        <f>IFERROR(__xludf.DUMMYFUNCTION("REGEXEXTRACT(J3985, ""^\d+"")"),"71")</f>
        <v>71</v>
      </c>
      <c r="Z3985" s="5" t="str">
        <f>IFERROR(__xludf.DUMMYFUNCTION("REGEXEXTRACT(J3985, ""[A-Za-z ]+$"")")," min")</f>
        <v> min</v>
      </c>
      <c r="AA3985" s="5" t="str">
        <f>IFERROR(__xludf.DUMMYFUNCTION("IF(REGEXMATCH(Z3985, ""Season""), ""TV Show"", ""Movie"")"),"Movie")</f>
        <v>Movie</v>
      </c>
    </row>
    <row r="3986">
      <c r="A3986" s="1" t="s">
        <v>21511</v>
      </c>
      <c r="B3986" s="1" t="s">
        <v>37</v>
      </c>
      <c r="C3986" s="1" t="s">
        <v>21512</v>
      </c>
      <c r="E3986" s="1" t="s">
        <v>21513</v>
      </c>
      <c r="G3986" s="1" t="s">
        <v>21491</v>
      </c>
      <c r="H3986" s="1">
        <v>2018.0</v>
      </c>
      <c r="I3986" s="1" t="s">
        <v>97</v>
      </c>
      <c r="J3986" s="1" t="s">
        <v>51</v>
      </c>
      <c r="K3986" s="1" t="s">
        <v>402</v>
      </c>
      <c r="L3986" s="1" t="s">
        <v>21514</v>
      </c>
      <c r="M3986" s="2" t="s">
        <v>12</v>
      </c>
      <c r="N3986" s="4">
        <f t="shared" si="1"/>
        <v>43546</v>
      </c>
      <c r="O3986" s="5" t="str">
        <f>IFERROR(__xludf.DUMMYFUNCTION("IF(REGEXMATCH(TRIM(I3986), ""^\d+\s*min""), ""Unclassified"", IF(I3986 = """", ""NR"", I3986))"),"TV-14")</f>
        <v>TV-14</v>
      </c>
      <c r="R3986" s="5" t="str">
        <f t="shared" si="2"/>
        <v>The 10 Sins</v>
      </c>
      <c r="S3986" s="5" t="str">
        <f>IFERROR(__xludf.DUMMYFUNCTION("""COMPUTED_VALUE"""),"Lawless")</f>
        <v>Lawless</v>
      </c>
      <c r="U3986" s="5" t="str">
        <f>IFERROR(__xludf.DUMMYFUNCTION("""COMPUTED_VALUE"""),"C.J. Wallis")</f>
        <v>C.J. Wallis</v>
      </c>
      <c r="V3986" s="5" t="s">
        <v>21515</v>
      </c>
      <c r="W3986" s="5" t="str">
        <f t="shared" si="3"/>
        <v>Stéphane De Freitas</v>
      </c>
      <c r="X3986" s="5">
        <f t="shared" si="4"/>
        <v>1</v>
      </c>
      <c r="Y3986" s="5" t="str">
        <f>IFERROR(__xludf.DUMMYFUNCTION("REGEXEXTRACT(J3986, ""^\d+"")"),"1")</f>
        <v>1</v>
      </c>
      <c r="Z3986" s="5" t="str">
        <f>IFERROR(__xludf.DUMMYFUNCTION("REGEXEXTRACT(J3986, ""[A-Za-z ]+$"")")," Season")</f>
        <v> Season</v>
      </c>
      <c r="AA3986" s="5" t="str">
        <f>IFERROR(__xludf.DUMMYFUNCTION("IF(REGEXMATCH(Z3986, ""Season""), ""TV Show"", ""Movie"")"),"TV Show")</f>
        <v>TV Show</v>
      </c>
    </row>
    <row r="3987">
      <c r="A3987" s="1" t="s">
        <v>21516</v>
      </c>
      <c r="B3987" s="1" t="s">
        <v>27</v>
      </c>
      <c r="C3987" s="1" t="s">
        <v>21517</v>
      </c>
      <c r="D3987" s="1" t="s">
        <v>8504</v>
      </c>
      <c r="E3987" s="1" t="s">
        <v>21518</v>
      </c>
      <c r="F3987" s="1" t="s">
        <v>30</v>
      </c>
      <c r="G3987" s="1" t="s">
        <v>21491</v>
      </c>
      <c r="H3987" s="1">
        <v>2019.0</v>
      </c>
      <c r="I3987" s="1" t="s">
        <v>42</v>
      </c>
      <c r="J3987" s="1" t="s">
        <v>912</v>
      </c>
      <c r="K3987" s="1" t="s">
        <v>7340</v>
      </c>
      <c r="L3987" s="1" t="s">
        <v>21519</v>
      </c>
      <c r="M3987" s="2" t="s">
        <v>12</v>
      </c>
      <c r="N3987" s="4">
        <f t="shared" si="1"/>
        <v>43546</v>
      </c>
      <c r="O3987" s="5" t="str">
        <f>IFERROR(__xludf.DUMMYFUNCTION("IF(REGEXMATCH(TRIM(I3987), ""^\d+\s*min""), ""Unclassified"", IF(I3987 = """", ""NR"", I3987))"),"TV-MA")</f>
        <v>TV-MA</v>
      </c>
      <c r="R3987" s="5" t="str">
        <f t="shared" si="2"/>
        <v>The Dirt</v>
      </c>
      <c r="S3987" s="5" t="str">
        <f>IFERROR(__xludf.DUMMYFUNCTION("""COMPUTED_VALUE"""),"Laws Of Attraction")</f>
        <v>Laws Of Attraction</v>
      </c>
      <c r="U3987" s="5" t="str">
        <f>IFERROR(__xludf.DUMMYFUNCTION("""COMPUTED_VALUE"""),"James Foley")</f>
        <v>James Foley</v>
      </c>
      <c r="V3987" s="5" t="s">
        <v>21520</v>
      </c>
      <c r="W3987" s="5" t="str">
        <f t="shared" si="3"/>
        <v>Stephanie Laing</v>
      </c>
      <c r="X3987" s="5">
        <f t="shared" si="4"/>
        <v>1</v>
      </c>
      <c r="Y3987" s="5" t="str">
        <f>IFERROR(__xludf.DUMMYFUNCTION("REGEXEXTRACT(J3987, ""^\d+"")"),"108")</f>
        <v>108</v>
      </c>
      <c r="Z3987" s="5" t="str">
        <f>IFERROR(__xludf.DUMMYFUNCTION("REGEXEXTRACT(J3987, ""[A-Za-z ]+$"")")," min")</f>
        <v> min</v>
      </c>
      <c r="AA3987" s="5" t="str">
        <f>IFERROR(__xludf.DUMMYFUNCTION("IF(REGEXMATCH(Z3987, ""Season""), ""TV Show"", ""Movie"")"),"Movie")</f>
        <v>Movie</v>
      </c>
    </row>
    <row r="3988">
      <c r="A3988" s="1" t="s">
        <v>21521</v>
      </c>
      <c r="B3988" s="1" t="s">
        <v>37</v>
      </c>
      <c r="C3988" s="1" t="s">
        <v>21522</v>
      </c>
      <c r="E3988" s="1" t="s">
        <v>21523</v>
      </c>
      <c r="F3988" s="1" t="s">
        <v>30</v>
      </c>
      <c r="G3988" s="1" t="s">
        <v>21491</v>
      </c>
      <c r="H3988" s="1">
        <v>2019.0</v>
      </c>
      <c r="I3988" s="1" t="s">
        <v>42</v>
      </c>
      <c r="J3988" s="1" t="s">
        <v>43</v>
      </c>
      <c r="K3988" s="1" t="s">
        <v>1616</v>
      </c>
      <c r="L3988" s="1" t="s">
        <v>21524</v>
      </c>
      <c r="M3988" s="2" t="s">
        <v>12</v>
      </c>
      <c r="N3988" s="4">
        <f t="shared" si="1"/>
        <v>43546</v>
      </c>
      <c r="O3988" s="5" t="str">
        <f>IFERROR(__xludf.DUMMYFUNCTION("IF(REGEXMATCH(TRIM(I3988), ""^\d+\s*min""), ""Unclassified"", IF(I3988 = """", ""NR"", I3988))"),"TV-MA")</f>
        <v>TV-MA</v>
      </c>
      <c r="R3988" s="5" t="str">
        <f t="shared" si="2"/>
        <v>The Oa</v>
      </c>
      <c r="S3988" s="5" t="str">
        <f>IFERROR(__xludf.DUMMYFUNCTION("""COMPUTED_VALUE"""),"Layer Cake")</f>
        <v>Layer Cake</v>
      </c>
      <c r="U3988" s="5" t="str">
        <f>IFERROR(__xludf.DUMMYFUNCTION("""COMPUTED_VALUE"""),"Tony Stone")</f>
        <v>Tony Stone</v>
      </c>
      <c r="V3988" s="5" t="s">
        <v>21525</v>
      </c>
      <c r="W3988" s="5" t="str">
        <f t="shared" si="3"/>
        <v>Stephanie Soechtig, Jeremy Seifert</v>
      </c>
      <c r="X3988" s="5">
        <f t="shared" si="4"/>
        <v>1</v>
      </c>
      <c r="Y3988" s="5" t="str">
        <f>IFERROR(__xludf.DUMMYFUNCTION("REGEXEXTRACT(J3988, ""^\d+"")"),"2")</f>
        <v>2</v>
      </c>
      <c r="Z3988" s="5" t="str">
        <f>IFERROR(__xludf.DUMMYFUNCTION("REGEXEXTRACT(J3988, ""[A-Za-z ]+$"")")," Seasons")</f>
        <v> Seasons</v>
      </c>
      <c r="AA3988" s="5" t="str">
        <f>IFERROR(__xludf.DUMMYFUNCTION("IF(REGEXMATCH(Z3988, ""Season""), ""TV Show"", ""Movie"")"),"TV Show")</f>
        <v>TV Show</v>
      </c>
    </row>
    <row r="3989">
      <c r="A3989" s="1" t="s">
        <v>21526</v>
      </c>
      <c r="B3989" s="1" t="s">
        <v>27</v>
      </c>
      <c r="C3989" s="1" t="s">
        <v>21527</v>
      </c>
      <c r="G3989" s="1" t="s">
        <v>21528</v>
      </c>
      <c r="H3989" s="1">
        <v>2019.0</v>
      </c>
      <c r="I3989" s="1" t="s">
        <v>136</v>
      </c>
      <c r="J3989" s="1" t="s">
        <v>4639</v>
      </c>
      <c r="K3989" s="1" t="s">
        <v>520</v>
      </c>
      <c r="L3989" s="1" t="s">
        <v>21529</v>
      </c>
      <c r="M3989" s="2" t="s">
        <v>12</v>
      </c>
      <c r="N3989" s="4">
        <f t="shared" si="1"/>
        <v>43545</v>
      </c>
      <c r="O3989" s="5" t="str">
        <f>IFERROR(__xludf.DUMMYFUNCTION("IF(REGEXMATCH(TRIM(I3989), ""^\d+\s*min""), ""Unclassified"", IF(I3989 = """", ""NR"", I3989))"),"TV-PG")</f>
        <v>TV-PG</v>
      </c>
      <c r="R3989" s="5" t="str">
        <f t="shared" si="2"/>
        <v>Antoine Griezmann: The Making Of A Legend</v>
      </c>
      <c r="S3989" s="5" t="str">
        <f>IFERROR(__xludf.DUMMYFUNCTION("""COMPUTED_VALUE"""),"Layla M.")</f>
        <v>Layla M.</v>
      </c>
      <c r="U3989" s="5" t="str">
        <f>IFERROR(__xludf.DUMMYFUNCTION("""COMPUTED_VALUE"""),"Karan Lalit Butani")</f>
        <v>Karan Lalit Butani</v>
      </c>
      <c r="V3989" s="5" t="s">
        <v>15763</v>
      </c>
      <c r="W3989" s="5" t="str">
        <f t="shared" si="3"/>
        <v>Stephanie Turner</v>
      </c>
      <c r="X3989" s="5">
        <f t="shared" si="4"/>
        <v>1</v>
      </c>
      <c r="Y3989" s="5" t="str">
        <f>IFERROR(__xludf.DUMMYFUNCTION("REGEXEXTRACT(J3989, ""^\d+"")"),"60")</f>
        <v>60</v>
      </c>
      <c r="Z3989" s="5" t="str">
        <f>IFERROR(__xludf.DUMMYFUNCTION("REGEXEXTRACT(J3989, ""[A-Za-z ]+$"")")," min")</f>
        <v> min</v>
      </c>
      <c r="AA3989" s="5" t="str">
        <f>IFERROR(__xludf.DUMMYFUNCTION("IF(REGEXMATCH(Z3989, ""Season""), ""TV Show"", ""Movie"")"),"Movie")</f>
        <v>Movie</v>
      </c>
    </row>
    <row r="3990">
      <c r="A3990" s="1" t="s">
        <v>21530</v>
      </c>
      <c r="B3990" s="1" t="s">
        <v>37</v>
      </c>
      <c r="C3990" s="1" t="s">
        <v>21531</v>
      </c>
      <c r="E3990" s="1" t="s">
        <v>21532</v>
      </c>
      <c r="F3990" s="1" t="s">
        <v>1106</v>
      </c>
      <c r="G3990" s="1" t="s">
        <v>21528</v>
      </c>
      <c r="H3990" s="1">
        <v>2007.0</v>
      </c>
      <c r="I3990" s="1" t="s">
        <v>206</v>
      </c>
      <c r="J3990" s="1" t="s">
        <v>51</v>
      </c>
      <c r="K3990" s="1" t="s">
        <v>290</v>
      </c>
      <c r="L3990" s="1" t="s">
        <v>21533</v>
      </c>
      <c r="M3990" s="2" t="s">
        <v>12</v>
      </c>
      <c r="N3990" s="4">
        <f t="shared" si="1"/>
        <v>43545</v>
      </c>
      <c r="O3990" s="5" t="str">
        <f>IFERROR(__xludf.DUMMYFUNCTION("IF(REGEXMATCH(TRIM(I3990), ""^\d+\s*min""), ""Unclassified"", IF(I3990 = """", ""NR"", I3990))"),"TV-Y")</f>
        <v>TV-Y</v>
      </c>
      <c r="R3990" s="5" t="str">
        <f t="shared" si="2"/>
        <v>Bo On The Go!</v>
      </c>
      <c r="S3990" s="5" t="str">
        <f>IFERROR(__xludf.DUMMYFUNCTION("""COMPUTED_VALUE"""),"Layla Majnun")</f>
        <v>Layla Majnun</v>
      </c>
      <c r="U3990" s="5" t="str">
        <f>IFERROR(__xludf.DUMMYFUNCTION("""COMPUTED_VALUE"""),"Jean-Loup Felicioli, Alain Gagnol")</f>
        <v>Jean-Loup Felicioli, Alain Gagnol</v>
      </c>
      <c r="V3990" s="5" t="s">
        <v>15746</v>
      </c>
      <c r="W3990" s="5" t="str">
        <f t="shared" si="3"/>
        <v>Stephanie Zwane</v>
      </c>
      <c r="X3990" s="5">
        <f t="shared" si="4"/>
        <v>1</v>
      </c>
      <c r="Y3990" s="5" t="str">
        <f>IFERROR(__xludf.DUMMYFUNCTION("REGEXEXTRACT(J3990, ""^\d+"")"),"1")</f>
        <v>1</v>
      </c>
      <c r="Z3990" s="5" t="str">
        <f>IFERROR(__xludf.DUMMYFUNCTION("REGEXEXTRACT(J3990, ""[A-Za-z ]+$"")")," Season")</f>
        <v> Season</v>
      </c>
      <c r="AA3990" s="5" t="str">
        <f>IFERROR(__xludf.DUMMYFUNCTION("IF(REGEXMATCH(Z3990, ""Season""), ""TV Show"", ""Movie"")"),"TV Show")</f>
        <v>TV Show</v>
      </c>
    </row>
    <row r="3991">
      <c r="A3991" s="1" t="s">
        <v>21534</v>
      </c>
      <c r="B3991" s="1" t="s">
        <v>37</v>
      </c>
      <c r="C3991" s="1" t="s">
        <v>21535</v>
      </c>
      <c r="E3991" s="1" t="s">
        <v>21536</v>
      </c>
      <c r="F3991" s="1" t="s">
        <v>415</v>
      </c>
      <c r="G3991" s="1" t="s">
        <v>21528</v>
      </c>
      <c r="H3991" s="1">
        <v>2019.0</v>
      </c>
      <c r="I3991" s="1" t="s">
        <v>97</v>
      </c>
      <c r="J3991" s="1" t="s">
        <v>51</v>
      </c>
      <c r="K3991" s="1" t="s">
        <v>1531</v>
      </c>
      <c r="L3991" s="1" t="s">
        <v>21537</v>
      </c>
      <c r="M3991" s="2" t="s">
        <v>12</v>
      </c>
      <c r="N3991" s="4">
        <f t="shared" si="1"/>
        <v>43545</v>
      </c>
      <c r="O3991" s="5" t="str">
        <f>IFERROR(__xludf.DUMMYFUNCTION("IF(REGEXMATCH(TRIM(I3991), ""^\d+\s*min""), ""Unclassified"", IF(I3991 = """", ""NR"", I3991))"),"TV-14")</f>
        <v>TV-14</v>
      </c>
      <c r="R3991" s="5" t="str">
        <f t="shared" si="2"/>
        <v>Stay Tuned!</v>
      </c>
      <c r="S3991" s="5" t="str">
        <f>IFERROR(__xludf.DUMMYFUNCTION("""COMPUTED_VALUE"""),"Le K Benzema")</f>
        <v>Le K Benzema</v>
      </c>
      <c r="U3991" s="5" t="str">
        <f>IFERROR(__xludf.DUMMYFUNCTION("""COMPUTED_VALUE"""),"Ajay Bhuyan, Kunal Kohli")</f>
        <v>Ajay Bhuyan, Kunal Kohli</v>
      </c>
      <c r="V3991" s="5" t="s">
        <v>21538</v>
      </c>
      <c r="W3991" s="5" t="str">
        <f t="shared" si="3"/>
        <v>Stephen Amezdroz</v>
      </c>
      <c r="X3991" s="5">
        <f t="shared" si="4"/>
        <v>1</v>
      </c>
      <c r="Y3991" s="5" t="str">
        <f>IFERROR(__xludf.DUMMYFUNCTION("REGEXEXTRACT(J3991, ""^\d+"")"),"1")</f>
        <v>1</v>
      </c>
      <c r="Z3991" s="5" t="str">
        <f>IFERROR(__xludf.DUMMYFUNCTION("REGEXEXTRACT(J3991, ""[A-Za-z ]+$"")")," Season")</f>
        <v> Season</v>
      </c>
      <c r="AA3991" s="5" t="str">
        <f>IFERROR(__xludf.DUMMYFUNCTION("IF(REGEXMATCH(Z3991, ""Season""), ""TV Show"", ""Movie"")"),"TV Show")</f>
        <v>TV Show</v>
      </c>
    </row>
    <row r="3992">
      <c r="A3992" s="1" t="s">
        <v>21539</v>
      </c>
      <c r="B3992" s="1" t="s">
        <v>27</v>
      </c>
      <c r="C3992" s="1" t="s">
        <v>21540</v>
      </c>
      <c r="D3992" s="1" t="s">
        <v>21541</v>
      </c>
      <c r="E3992" s="1" t="s">
        <v>21542</v>
      </c>
      <c r="F3992" s="1" t="s">
        <v>4287</v>
      </c>
      <c r="G3992" s="1" t="s">
        <v>21528</v>
      </c>
      <c r="H3992" s="1">
        <v>2014.0</v>
      </c>
      <c r="I3992" s="1" t="s">
        <v>97</v>
      </c>
      <c r="J3992" s="1" t="s">
        <v>305</v>
      </c>
      <c r="K3992" s="1" t="s">
        <v>1328</v>
      </c>
      <c r="L3992" s="1" t="s">
        <v>21543</v>
      </c>
      <c r="M3992" s="2" t="s">
        <v>12</v>
      </c>
      <c r="N3992" s="4">
        <f t="shared" si="1"/>
        <v>43545</v>
      </c>
      <c r="O3992" s="5" t="str">
        <f>IFERROR(__xludf.DUMMYFUNCTION("IF(REGEXMATCH(TRIM(I3992), ""^\d+\s*min""), ""Unclassified"", IF(I3992 = """", ""NR"", I3992))"),"TV-14")</f>
        <v>TV-14</v>
      </c>
      <c r="R3992" s="5" t="str">
        <f t="shared" si="2"/>
        <v>The Amazing Praybeyt Benjamin</v>
      </c>
      <c r="S3992" s="5" t="str">
        <f>IFERROR(__xludf.DUMMYFUNCTION("""COMPUTED_VALUE"""),"Le Serment Des Hitler")</f>
        <v>Le Serment Des Hitler</v>
      </c>
      <c r="U3992" s="5" t="str">
        <f>IFERROR(__xludf.DUMMYFUNCTION("""COMPUTED_VALUE"""),"Banjong Pisanthanakun, Paween Purikitpanya, Songyos Sugmakanan, Parkpoom Wongpoom, Visute Poolvoralaks")</f>
        <v>Banjong Pisanthanakun, Paween Purikitpanya, Songyos Sugmakanan, Parkpoom Wongpoom, Visute Poolvoralaks</v>
      </c>
      <c r="V3992" s="5" t="s">
        <v>21544</v>
      </c>
      <c r="W3992" s="5" t="str">
        <f t="shared" si="3"/>
        <v>Stephen Chbosky</v>
      </c>
      <c r="X3992" s="5">
        <f t="shared" si="4"/>
        <v>1</v>
      </c>
      <c r="Y3992" s="5" t="str">
        <f>IFERROR(__xludf.DUMMYFUNCTION("REGEXEXTRACT(J3992, ""^\d+"")"),"105")</f>
        <v>105</v>
      </c>
      <c r="Z3992" s="5" t="str">
        <f>IFERROR(__xludf.DUMMYFUNCTION("REGEXEXTRACT(J3992, ""[A-Za-z ]+$"")")," min")</f>
        <v> min</v>
      </c>
      <c r="AA3992" s="5" t="str">
        <f>IFERROR(__xludf.DUMMYFUNCTION("IF(REGEXMATCH(Z3992, ""Season""), ""TV Show"", ""Movie"")"),"Movie")</f>
        <v>Movie</v>
      </c>
    </row>
    <row r="3993">
      <c r="A3993" s="1" t="s">
        <v>21545</v>
      </c>
      <c r="B3993" s="1" t="s">
        <v>27</v>
      </c>
      <c r="C3993" s="1" t="s">
        <v>21546</v>
      </c>
      <c r="D3993" s="1" t="s">
        <v>11958</v>
      </c>
      <c r="E3993" s="1" t="s">
        <v>21547</v>
      </c>
      <c r="F3993" s="1" t="s">
        <v>4287</v>
      </c>
      <c r="G3993" s="1" t="s">
        <v>21528</v>
      </c>
      <c r="H3993" s="1">
        <v>2016.0</v>
      </c>
      <c r="I3993" s="1" t="s">
        <v>97</v>
      </c>
      <c r="J3993" s="1" t="s">
        <v>379</v>
      </c>
      <c r="K3993" s="1" t="s">
        <v>1328</v>
      </c>
      <c r="L3993" s="1" t="s">
        <v>21548</v>
      </c>
      <c r="M3993" s="2" t="s">
        <v>12</v>
      </c>
      <c r="N3993" s="4">
        <f t="shared" si="1"/>
        <v>43545</v>
      </c>
      <c r="O3993" s="5" t="str">
        <f>IFERROR(__xludf.DUMMYFUNCTION("IF(REGEXMATCH(TRIM(I3993), ""^\d+\s*min""), ""Unclassified"", IF(I3993 = """", ""NR"", I3993))"),"TV-14")</f>
        <v>TV-14</v>
      </c>
      <c r="R3993" s="5" t="str">
        <f t="shared" si="2"/>
        <v>The Super Parental Guardians</v>
      </c>
      <c r="S3993" s="5" t="str">
        <f>IFERROR(__xludf.DUMMYFUNCTION("""COMPUTED_VALUE"""),"Léa &amp; I")</f>
        <v>Léa &amp; I</v>
      </c>
      <c r="U3993" s="5" t="str">
        <f>IFERROR(__xludf.DUMMYFUNCTION("""COMPUTED_VALUE"""),"Abhishek Saxena")</f>
        <v>Abhishek Saxena</v>
      </c>
      <c r="V3993" s="5" t="s">
        <v>9702</v>
      </c>
      <c r="W3993" s="5" t="str">
        <f t="shared" si="3"/>
        <v>Stephen Chiodo</v>
      </c>
      <c r="X3993" s="5">
        <f t="shared" si="4"/>
        <v>2</v>
      </c>
      <c r="Y3993" s="5" t="str">
        <f>IFERROR(__xludf.DUMMYFUNCTION("REGEXEXTRACT(J3993, ""^\d+"")"),"115")</f>
        <v>115</v>
      </c>
      <c r="Z3993" s="5" t="str">
        <f>IFERROR(__xludf.DUMMYFUNCTION("REGEXEXTRACT(J3993, ""[A-Za-z ]+$"")")," min")</f>
        <v> min</v>
      </c>
      <c r="AA3993" s="5" t="str">
        <f>IFERROR(__xludf.DUMMYFUNCTION("IF(REGEXMATCH(Z3993, ""Season""), ""TV Show"", ""Movie"")"),"Movie")</f>
        <v>Movie</v>
      </c>
    </row>
    <row r="3994">
      <c r="A3994" s="1" t="s">
        <v>21549</v>
      </c>
      <c r="B3994" s="1" t="s">
        <v>27</v>
      </c>
      <c r="C3994" s="1" t="s">
        <v>21550</v>
      </c>
      <c r="D3994" s="1" t="s">
        <v>9337</v>
      </c>
      <c r="E3994" s="1" t="s">
        <v>21551</v>
      </c>
      <c r="F3994" s="1" t="s">
        <v>4287</v>
      </c>
      <c r="G3994" s="1" t="s">
        <v>21528</v>
      </c>
      <c r="H3994" s="1">
        <v>2016.0</v>
      </c>
      <c r="I3994" s="1" t="s">
        <v>42</v>
      </c>
      <c r="J3994" s="1" t="s">
        <v>870</v>
      </c>
      <c r="K3994" s="1" t="s">
        <v>583</v>
      </c>
      <c r="L3994" s="1" t="s">
        <v>21552</v>
      </c>
      <c r="M3994" s="2" t="s">
        <v>12</v>
      </c>
      <c r="N3994" s="4">
        <f t="shared" si="1"/>
        <v>43545</v>
      </c>
      <c r="O3994" s="5" t="str">
        <f>IFERROR(__xludf.DUMMYFUNCTION("IF(REGEXMATCH(TRIM(I3994), ""^\d+\s*min""), ""Unclassified"", IF(I3994 = """", ""NR"", I3994))"),"TV-MA")</f>
        <v>TV-MA</v>
      </c>
      <c r="R3994" s="5" t="str">
        <f t="shared" si="2"/>
        <v>The Third Party</v>
      </c>
      <c r="S3994" s="5" t="str">
        <f>IFERROR(__xludf.DUMMYFUNCTION("""COMPUTED_VALUE"""),"League Of Legends Origins")</f>
        <v>League Of Legends Origins</v>
      </c>
      <c r="U3994" s="5" t="str">
        <f>IFERROR(__xludf.DUMMYFUNCTION("""COMPUTED_VALUE"""),"Dana Nachman, Don Hardy Jr.")</f>
        <v>Dana Nachman, Don Hardy Jr.</v>
      </c>
      <c r="V3994" s="5" t="s">
        <v>21553</v>
      </c>
      <c r="W3994" s="5" t="str">
        <f t="shared" si="3"/>
        <v>Stephen Chow</v>
      </c>
      <c r="X3994" s="5">
        <f t="shared" si="4"/>
        <v>2</v>
      </c>
      <c r="Y3994" s="5" t="str">
        <f>IFERROR(__xludf.DUMMYFUNCTION("REGEXEXTRACT(J3994, ""^\d+"")"),"118")</f>
        <v>118</v>
      </c>
      <c r="Z3994" s="5" t="str">
        <f>IFERROR(__xludf.DUMMYFUNCTION("REGEXEXTRACT(J3994, ""[A-Za-z ]+$"")")," min")</f>
        <v> min</v>
      </c>
      <c r="AA3994" s="5" t="str">
        <f>IFERROR(__xludf.DUMMYFUNCTION("IF(REGEXMATCH(Z3994, ""Season""), ""TV Show"", ""Movie"")"),"Movie")</f>
        <v>Movie</v>
      </c>
    </row>
    <row r="3995">
      <c r="A3995" s="1" t="s">
        <v>21554</v>
      </c>
      <c r="B3995" s="1" t="s">
        <v>27</v>
      </c>
      <c r="C3995" s="1" t="s">
        <v>21555</v>
      </c>
      <c r="D3995" s="1" t="s">
        <v>21556</v>
      </c>
      <c r="E3995" s="1" t="s">
        <v>21557</v>
      </c>
      <c r="F3995" s="1" t="s">
        <v>4287</v>
      </c>
      <c r="G3995" s="1" t="s">
        <v>21528</v>
      </c>
      <c r="H3995" s="1">
        <v>2016.0</v>
      </c>
      <c r="I3995" s="1" t="s">
        <v>42</v>
      </c>
      <c r="J3995" s="1" t="s">
        <v>2281</v>
      </c>
      <c r="K3995" s="1" t="s">
        <v>679</v>
      </c>
      <c r="L3995" s="1" t="s">
        <v>21558</v>
      </c>
      <c r="M3995" s="2" t="s">
        <v>12</v>
      </c>
      <c r="N3995" s="4">
        <f t="shared" si="1"/>
        <v>43545</v>
      </c>
      <c r="O3995" s="5" t="str">
        <f>IFERROR(__xludf.DUMMYFUNCTION("IF(REGEXMATCH(TRIM(I3995), ""^\d+\s*min""), ""Unclassified"", IF(I3995 = """", ""NR"", I3995))"),"TV-MA")</f>
        <v>TV-MA</v>
      </c>
      <c r="R3995" s="5" t="str">
        <f t="shared" si="2"/>
        <v>The Unmarried Wife</v>
      </c>
      <c r="S3995" s="5" t="str">
        <f>IFERROR(__xludf.DUMMYFUNCTION("""COMPUTED_VALUE"""),"Leah Remini: Scientology And The Aftermath")</f>
        <v>Leah Remini: Scientology And The Aftermath</v>
      </c>
      <c r="U3995" s="5" t="str">
        <f>IFERROR(__xludf.DUMMYFUNCTION("""COMPUTED_VALUE"""),"Gajendra Ahire")</f>
        <v>Gajendra Ahire</v>
      </c>
      <c r="V3995" s="5" t="s">
        <v>21559</v>
      </c>
      <c r="W3995" s="5" t="str">
        <f t="shared" si="3"/>
        <v>Stephen Cone</v>
      </c>
      <c r="X3995" s="5">
        <f t="shared" si="4"/>
        <v>1</v>
      </c>
      <c r="Y3995" s="5" t="str">
        <f>IFERROR(__xludf.DUMMYFUNCTION("REGEXEXTRACT(J3995, ""^\d+"")"),"130")</f>
        <v>130</v>
      </c>
      <c r="Z3995" s="5" t="str">
        <f>IFERROR(__xludf.DUMMYFUNCTION("REGEXEXTRACT(J3995, ""[A-Za-z ]+$"")")," min")</f>
        <v> min</v>
      </c>
      <c r="AA3995" s="5" t="str">
        <f>IFERROR(__xludf.DUMMYFUNCTION("IF(REGEXMATCH(Z3995, ""Season""), ""TV Show"", ""Movie"")"),"Movie")</f>
        <v>Movie</v>
      </c>
    </row>
    <row r="3996">
      <c r="A3996" s="1" t="s">
        <v>21560</v>
      </c>
      <c r="B3996" s="1" t="s">
        <v>27</v>
      </c>
      <c r="C3996" s="1" t="s">
        <v>21561</v>
      </c>
      <c r="D3996" s="1" t="s">
        <v>9164</v>
      </c>
      <c r="E3996" s="1" t="s">
        <v>21562</v>
      </c>
      <c r="F3996" s="1" t="s">
        <v>4287</v>
      </c>
      <c r="G3996" s="1" t="s">
        <v>21528</v>
      </c>
      <c r="H3996" s="1">
        <v>2016.0</v>
      </c>
      <c r="I3996" s="1" t="s">
        <v>136</v>
      </c>
      <c r="J3996" s="1" t="s">
        <v>379</v>
      </c>
      <c r="K3996" s="1" t="s">
        <v>3183</v>
      </c>
      <c r="L3996" s="1" t="s">
        <v>21563</v>
      </c>
      <c r="M3996" s="2" t="s">
        <v>12</v>
      </c>
      <c r="N3996" s="4">
        <f t="shared" si="1"/>
        <v>43545</v>
      </c>
      <c r="O3996" s="5" t="str">
        <f>IFERROR(__xludf.DUMMYFUNCTION("IF(REGEXMATCH(TRIM(I3996), ""^\d+\s*min""), ""Unclassified"", IF(I3996 = """", ""NR"", I3996))"),"TV-PG")</f>
        <v>TV-PG</v>
      </c>
      <c r="R3996" s="5" t="str">
        <f t="shared" si="2"/>
        <v>Vince And Kath And James</v>
      </c>
      <c r="S3996" s="5" t="str">
        <f>IFERROR(__xludf.DUMMYFUNCTION("""COMPUTED_VALUE"""),"Leap Year")</f>
        <v>Leap Year</v>
      </c>
      <c r="U3996" s="5" t="str">
        <f>IFERROR(__xludf.DUMMYFUNCTION("""COMPUTED_VALUE"""),"Oscar Micheaux, Spencer Williams, Richard E. Norman, Richard Maurice")</f>
        <v>Oscar Micheaux, Spencer Williams, Richard E. Norman, Richard Maurice</v>
      </c>
      <c r="V3996" s="5" t="s">
        <v>21564</v>
      </c>
      <c r="W3996" s="5" t="str">
        <f t="shared" si="3"/>
        <v>Stephen Daldry</v>
      </c>
      <c r="X3996" s="5">
        <f t="shared" si="4"/>
        <v>2</v>
      </c>
      <c r="Y3996" s="5" t="str">
        <f>IFERROR(__xludf.DUMMYFUNCTION("REGEXEXTRACT(J3996, ""^\d+"")"),"115")</f>
        <v>115</v>
      </c>
      <c r="Z3996" s="5" t="str">
        <f>IFERROR(__xludf.DUMMYFUNCTION("REGEXEXTRACT(J3996, ""[A-Za-z ]+$"")")," min")</f>
        <v> min</v>
      </c>
      <c r="AA3996" s="5" t="str">
        <f>IFERROR(__xludf.DUMMYFUNCTION("IF(REGEXMATCH(Z3996, ""Season""), ""TV Show"", ""Movie"")"),"Movie")</f>
        <v>Movie</v>
      </c>
    </row>
    <row r="3997">
      <c r="A3997" s="1" t="s">
        <v>21565</v>
      </c>
      <c r="B3997" s="1" t="s">
        <v>27</v>
      </c>
      <c r="C3997" s="1" t="s">
        <v>21566</v>
      </c>
      <c r="D3997" s="1" t="s">
        <v>7628</v>
      </c>
      <c r="E3997" s="1" t="s">
        <v>21567</v>
      </c>
      <c r="F3997" s="1" t="s">
        <v>7629</v>
      </c>
      <c r="G3997" s="1" t="s">
        <v>21568</v>
      </c>
      <c r="H3997" s="1">
        <v>2019.0</v>
      </c>
      <c r="I3997" s="1" t="s">
        <v>42</v>
      </c>
      <c r="J3997" s="1" t="s">
        <v>1993</v>
      </c>
      <c r="K3997" s="1" t="s">
        <v>520</v>
      </c>
      <c r="L3997" s="1" t="s">
        <v>21569</v>
      </c>
      <c r="M3997" s="2" t="s">
        <v>12</v>
      </c>
      <c r="N3997" s="4">
        <f t="shared" si="1"/>
        <v>43544</v>
      </c>
      <c r="O3997" s="5" t="str">
        <f>IFERROR(__xludf.DUMMYFUNCTION("IF(REGEXMATCH(TRIM(I3997), ""^\d+\s*min""), ""Unclassified"", IF(I3997 = """", ""NR"", I3997))"),"TV-MA")</f>
        <v>TV-MA</v>
      </c>
      <c r="R3997" s="5" t="str">
        <f t="shared" si="2"/>
        <v>Alexis Viera: A Story Of Surviving</v>
      </c>
      <c r="S3997" s="5" t="str">
        <f>IFERROR(__xludf.DUMMYFUNCTION("""COMPUTED_VALUE"""),"Leap!")</f>
        <v>Leap!</v>
      </c>
      <c r="U3997" s="5" t="str">
        <f>IFERROR(__xludf.DUMMYFUNCTION("""COMPUTED_VALUE"""),"Israel Adrián Caetano, Bruno Stagnaro")</f>
        <v>Israel Adrián Caetano, Bruno Stagnaro</v>
      </c>
      <c r="V3997" s="5" t="s">
        <v>21570</v>
      </c>
      <c r="W3997" s="5" t="str">
        <f t="shared" si="3"/>
        <v>Stephen Donnelly, Olly Reid, Jun Falkenstein</v>
      </c>
      <c r="X3997" s="5">
        <f t="shared" si="4"/>
        <v>1</v>
      </c>
      <c r="Y3997" s="5" t="str">
        <f>IFERROR(__xludf.DUMMYFUNCTION("REGEXEXTRACT(J3997, ""^\d+"")"),"69")</f>
        <v>69</v>
      </c>
      <c r="Z3997" s="5" t="str">
        <f>IFERROR(__xludf.DUMMYFUNCTION("REGEXEXTRACT(J3997, ""[A-Za-z ]+$"")")," min")</f>
        <v> min</v>
      </c>
      <c r="AA3997" s="5" t="str">
        <f>IFERROR(__xludf.DUMMYFUNCTION("IF(REGEXMATCH(Z3997, ""Season""), ""TV Show"", ""Movie"")"),"Movie")</f>
        <v>Movie</v>
      </c>
    </row>
    <row r="3998">
      <c r="A3998" s="1" t="s">
        <v>21571</v>
      </c>
      <c r="B3998" s="1" t="s">
        <v>37</v>
      </c>
      <c r="C3998" s="1" t="s">
        <v>21572</v>
      </c>
      <c r="E3998" s="1" t="s">
        <v>21573</v>
      </c>
      <c r="G3998" s="1" t="s">
        <v>21568</v>
      </c>
      <c r="H3998" s="1">
        <v>2018.0</v>
      </c>
      <c r="I3998" s="1" t="s">
        <v>97</v>
      </c>
      <c r="J3998" s="1" t="s">
        <v>51</v>
      </c>
      <c r="K3998" s="1" t="s">
        <v>402</v>
      </c>
      <c r="L3998" s="1" t="s">
        <v>21574</v>
      </c>
      <c r="M3998" s="2" t="s">
        <v>12</v>
      </c>
      <c r="N3998" s="4">
        <f t="shared" si="1"/>
        <v>43544</v>
      </c>
      <c r="O3998" s="5" t="str">
        <f>IFERROR(__xludf.DUMMYFUNCTION("IF(REGEXMATCH(TRIM(I3998), ""^\d+\s*min""), ""Unclassified"", IF(I3998 = """", ""NR"", I3998))"),"TV-14")</f>
        <v>TV-14</v>
      </c>
      <c r="R3998" s="5" t="str">
        <f t="shared" si="2"/>
        <v>February 9</v>
      </c>
      <c r="S3998" s="5" t="str">
        <f>IFERROR(__xludf.DUMMYFUNCTION("""COMPUTED_VALUE"""),"Leapfrog: Letter Factory")</f>
        <v>Leapfrog: Letter Factory</v>
      </c>
      <c r="U3998" s="5" t="str">
        <f>IFERROR(__xludf.DUMMYFUNCTION("""COMPUTED_VALUE"""),"Christophe Honoré")</f>
        <v>Christophe Honoré</v>
      </c>
      <c r="V3998" s="5" t="s">
        <v>3759</v>
      </c>
      <c r="W3998" s="5" t="str">
        <f t="shared" si="3"/>
        <v>Stephen Frears</v>
      </c>
      <c r="X3998" s="5">
        <f t="shared" si="4"/>
        <v>2</v>
      </c>
      <c r="Y3998" s="5" t="str">
        <f>IFERROR(__xludf.DUMMYFUNCTION("REGEXEXTRACT(J3998, ""^\d+"")"),"1")</f>
        <v>1</v>
      </c>
      <c r="Z3998" s="5" t="str">
        <f>IFERROR(__xludf.DUMMYFUNCTION("REGEXEXTRACT(J3998, ""[A-Za-z ]+$"")")," Season")</f>
        <v> Season</v>
      </c>
      <c r="AA3998" s="5" t="str">
        <f>IFERROR(__xludf.DUMMYFUNCTION("IF(REGEXMATCH(Z3998, ""Season""), ""TV Show"", ""Movie"")"),"TV Show")</f>
        <v>TV Show</v>
      </c>
    </row>
    <row r="3999">
      <c r="A3999" s="1" t="s">
        <v>21575</v>
      </c>
      <c r="B3999" s="1" t="s">
        <v>27</v>
      </c>
      <c r="C3999" s="1" t="s">
        <v>21576</v>
      </c>
      <c r="D3999" s="1" t="s">
        <v>12404</v>
      </c>
      <c r="E3999" s="1" t="s">
        <v>21577</v>
      </c>
      <c r="F3999" s="1" t="s">
        <v>63</v>
      </c>
      <c r="G3999" s="1" t="s">
        <v>21568</v>
      </c>
      <c r="H3999" s="1">
        <v>2018.0</v>
      </c>
      <c r="I3999" s="1" t="s">
        <v>136</v>
      </c>
      <c r="J3999" s="1" t="s">
        <v>247</v>
      </c>
      <c r="K3999" s="1" t="s">
        <v>89</v>
      </c>
      <c r="L3999" s="1" t="s">
        <v>21578</v>
      </c>
      <c r="M3999" s="2" t="s">
        <v>12</v>
      </c>
      <c r="N3999" s="4">
        <f t="shared" si="1"/>
        <v>43544</v>
      </c>
      <c r="O3999" s="5" t="str">
        <f>IFERROR(__xludf.DUMMYFUNCTION("IF(REGEXMATCH(TRIM(I3999), ""^\d+\s*min""), ""Unclassified"", IF(I3999 = """", ""NR"", I3999))"),"TV-PG")</f>
        <v>TV-PG</v>
      </c>
      <c r="R3999" s="5" t="str">
        <f t="shared" si="2"/>
        <v>Imago</v>
      </c>
      <c r="S3999" s="5" t="str">
        <f>IFERROR(__xludf.DUMMYFUNCTION("""COMPUTED_VALUE"""),"Leapfrog: Numberland")</f>
        <v>Leapfrog: Numberland</v>
      </c>
      <c r="U3999" s="5" t="str">
        <f>IFERROR(__xludf.DUMMYFUNCTION("""COMPUTED_VALUE"""),"Daniel Mann, Joseph Sargent")</f>
        <v>Daniel Mann, Joseph Sargent</v>
      </c>
      <c r="V3999" s="5" t="s">
        <v>21579</v>
      </c>
      <c r="W3999" s="5" t="str">
        <f t="shared" si="3"/>
        <v>Stephen Gyllenhaal</v>
      </c>
      <c r="X3999" s="5">
        <f t="shared" si="4"/>
        <v>1</v>
      </c>
      <c r="Y3999" s="5" t="str">
        <f>IFERROR(__xludf.DUMMYFUNCTION("REGEXEXTRACT(J3999, ""^\d+"")"),"97")</f>
        <v>97</v>
      </c>
      <c r="Z3999" s="5" t="str">
        <f>IFERROR(__xludf.DUMMYFUNCTION("REGEXEXTRACT(J3999, ""[A-Za-z ]+$"")")," min")</f>
        <v> min</v>
      </c>
      <c r="AA3999" s="5" t="str">
        <f>IFERROR(__xludf.DUMMYFUNCTION("IF(REGEXMATCH(Z3999, ""Season""), ""TV Show"", ""Movie"")"),"Movie")</f>
        <v>Movie</v>
      </c>
    </row>
    <row r="4000">
      <c r="A4000" s="1" t="s">
        <v>21580</v>
      </c>
      <c r="B4000" s="1" t="s">
        <v>37</v>
      </c>
      <c r="C4000" s="1" t="s">
        <v>21581</v>
      </c>
      <c r="E4000" s="1" t="s">
        <v>21582</v>
      </c>
      <c r="F4000" s="1" t="s">
        <v>415</v>
      </c>
      <c r="G4000" s="1" t="s">
        <v>21568</v>
      </c>
      <c r="H4000" s="1">
        <v>2019.0</v>
      </c>
      <c r="I4000" s="1" t="s">
        <v>42</v>
      </c>
      <c r="J4000" s="1" t="s">
        <v>51</v>
      </c>
      <c r="K4000" s="1" t="s">
        <v>1907</v>
      </c>
      <c r="L4000" s="1" t="s">
        <v>21583</v>
      </c>
      <c r="M4000" s="2" t="s">
        <v>12</v>
      </c>
      <c r="N4000" s="4">
        <f t="shared" si="1"/>
        <v>43544</v>
      </c>
      <c r="O4000" s="5" t="str">
        <f>IFERROR(__xludf.DUMMYFUNCTION("IF(REGEXMATCH(TRIM(I4000), ""^\d+\s*min""), ""Unclassified"", IF(I4000 = """", ""NR"", I4000))"),"TV-MA")</f>
        <v>TV-MA</v>
      </c>
      <c r="R4000" s="5" t="str">
        <f t="shared" si="2"/>
        <v>My Husband Won'T Fit</v>
      </c>
      <c r="S4000" s="5" t="str">
        <f>IFERROR(__xludf.DUMMYFUNCTION("""COMPUTED_VALUE"""),"Leapfrog: Phonics Farm")</f>
        <v>Leapfrog: Phonics Farm</v>
      </c>
      <c r="U4000" s="5" t="str">
        <f>IFERROR(__xludf.DUMMYFUNCTION("""COMPUTED_VALUE"""),"Jean-Simon Chartier")</f>
        <v>Jean-Simon Chartier</v>
      </c>
      <c r="V4000" s="5" t="s">
        <v>810</v>
      </c>
      <c r="W4000" s="5" t="str">
        <f t="shared" si="3"/>
        <v>Stephen Herek</v>
      </c>
      <c r="X4000" s="5">
        <f t="shared" si="4"/>
        <v>2</v>
      </c>
      <c r="Y4000" s="5" t="str">
        <f>IFERROR(__xludf.DUMMYFUNCTION("REGEXEXTRACT(J4000, ""^\d+"")"),"1")</f>
        <v>1</v>
      </c>
      <c r="Z4000" s="5" t="str">
        <f>IFERROR(__xludf.DUMMYFUNCTION("REGEXEXTRACT(J4000, ""[A-Za-z ]+$"")")," Season")</f>
        <v> Season</v>
      </c>
      <c r="AA4000" s="5" t="str">
        <f>IFERROR(__xludf.DUMMYFUNCTION("IF(REGEXMATCH(Z4000, ""Season""), ""TV Show"", ""Movie"")"),"TV Show")</f>
        <v>TV Show</v>
      </c>
    </row>
    <row r="4001">
      <c r="A4001" s="1" t="s">
        <v>21584</v>
      </c>
      <c r="B4001" s="1" t="s">
        <v>27</v>
      </c>
      <c r="C4001" s="1" t="s">
        <v>21585</v>
      </c>
      <c r="D4001" s="1" t="s">
        <v>1670</v>
      </c>
      <c r="E4001" s="1" t="s">
        <v>1670</v>
      </c>
      <c r="F4001" s="1" t="s">
        <v>30</v>
      </c>
      <c r="G4001" s="1" t="s">
        <v>21586</v>
      </c>
      <c r="H4001" s="1">
        <v>2019.0</v>
      </c>
      <c r="I4001" s="1" t="s">
        <v>42</v>
      </c>
      <c r="J4001" s="1" t="s">
        <v>207</v>
      </c>
      <c r="K4001" s="1" t="s">
        <v>1839</v>
      </c>
      <c r="L4001" s="1" t="s">
        <v>21587</v>
      </c>
      <c r="M4001" s="2" t="s">
        <v>12</v>
      </c>
      <c r="N4001" s="4">
        <f t="shared" si="1"/>
        <v>43543</v>
      </c>
      <c r="O4001" s="5" t="str">
        <f>IFERROR(__xludf.DUMMYFUNCTION("IF(REGEXMATCH(TRIM(I4001), ""^\d+\s*min""), ""Unclassified"", IF(I4001 = """", ""NR"", I4001))"),"TV-MA")</f>
        <v>TV-MA</v>
      </c>
      <c r="R4001" s="5" t="str">
        <f t="shared" si="2"/>
        <v>Amy Schumer Growing</v>
      </c>
      <c r="S4001" s="5" t="str">
        <f>IFERROR(__xludf.DUMMYFUNCTION("""COMPUTED_VALUE"""),"Leapfrog: Sing-Along, Read-Along")</f>
        <v>Leapfrog: Sing-Along, Read-Along</v>
      </c>
      <c r="U4001" s="5" t="str">
        <f>IFERROR(__xludf.DUMMYFUNCTION("""COMPUTED_VALUE"""),"Wim Wenders")</f>
        <v>Wim Wenders</v>
      </c>
      <c r="V4001" s="5" t="s">
        <v>21588</v>
      </c>
      <c r="W4001" s="5" t="str">
        <f t="shared" si="3"/>
        <v>Stephen Hopkins</v>
      </c>
      <c r="X4001" s="5">
        <f t="shared" si="4"/>
        <v>1</v>
      </c>
      <c r="Y4001" s="5" t="str">
        <f>IFERROR(__xludf.DUMMYFUNCTION("REGEXEXTRACT(J4001, ""^\d+"")"),"61")</f>
        <v>61</v>
      </c>
      <c r="Z4001" s="5" t="str">
        <f>IFERROR(__xludf.DUMMYFUNCTION("REGEXEXTRACT(J4001, ""[A-Za-z ]+$"")")," min")</f>
        <v> min</v>
      </c>
      <c r="AA4001" s="5" t="str">
        <f>IFERROR(__xludf.DUMMYFUNCTION("IF(REGEXMATCH(Z4001, ""Season""), ""TV Show"", ""Movie"")"),"Movie")</f>
        <v>Movie</v>
      </c>
    </row>
    <row r="4002">
      <c r="A4002" s="1" t="s">
        <v>21589</v>
      </c>
      <c r="B4002" s="1" t="s">
        <v>27</v>
      </c>
      <c r="C4002" s="1" t="s">
        <v>21590</v>
      </c>
      <c r="D4002" s="1" t="s">
        <v>19178</v>
      </c>
      <c r="E4002" s="1" t="s">
        <v>21591</v>
      </c>
      <c r="F4002" s="1" t="s">
        <v>30</v>
      </c>
      <c r="G4002" s="1" t="s">
        <v>21592</v>
      </c>
      <c r="H4002" s="1">
        <v>2014.0</v>
      </c>
      <c r="I4002" s="1" t="s">
        <v>32</v>
      </c>
      <c r="J4002" s="1" t="s">
        <v>665</v>
      </c>
      <c r="K4002" s="1" t="s">
        <v>836</v>
      </c>
      <c r="L4002" s="1" t="s">
        <v>21593</v>
      </c>
      <c r="M4002" s="2" t="s">
        <v>12</v>
      </c>
      <c r="N4002" s="4">
        <f t="shared" si="1"/>
        <v>43541</v>
      </c>
      <c r="O4002" s="5" t="str">
        <f>IFERROR(__xludf.DUMMYFUNCTION("IF(REGEXMATCH(TRIM(I4002), ""^\d+\s*min""), ""Unclassified"", IF(I4002 = """", ""NR"", I4002))"),"PG-13")</f>
        <v>PG-13</v>
      </c>
      <c r="R4002" s="5" t="str">
        <f t="shared" si="2"/>
        <v>5 Flights Up</v>
      </c>
      <c r="S4002" s="5" t="str">
        <f>IFERROR(__xludf.DUMMYFUNCTION("""COMPUTED_VALUE"""),"Learning Songs By Little Baby Bum: Nursery Rhyme Friends")</f>
        <v>Learning Songs By Little Baby Bum: Nursery Rhyme Friends</v>
      </c>
      <c r="U4002" s="5" t="str">
        <f>IFERROR(__xludf.DUMMYFUNCTION("""COMPUTED_VALUE"""),"Gabe Klinger")</f>
        <v>Gabe Klinger</v>
      </c>
      <c r="V4002" s="5" t="s">
        <v>697</v>
      </c>
      <c r="W4002" s="5" t="str">
        <f t="shared" si="3"/>
        <v>Stephen Kijak</v>
      </c>
      <c r="X4002" s="5">
        <f t="shared" si="4"/>
        <v>1</v>
      </c>
      <c r="Y4002" s="5" t="str">
        <f>IFERROR(__xludf.DUMMYFUNCTION("REGEXEXTRACT(J4002, ""^\d+"")"),"92")</f>
        <v>92</v>
      </c>
      <c r="Z4002" s="5" t="str">
        <f>IFERROR(__xludf.DUMMYFUNCTION("REGEXEXTRACT(J4002, ""[A-Za-z ]+$"")")," min")</f>
        <v> min</v>
      </c>
      <c r="AA4002" s="5" t="str">
        <f>IFERROR(__xludf.DUMMYFUNCTION("IF(REGEXMATCH(Z4002, ""Season""), ""TV Show"", ""Movie"")"),"Movie")</f>
        <v>Movie</v>
      </c>
    </row>
    <row r="4003">
      <c r="A4003" s="1" t="s">
        <v>21594</v>
      </c>
      <c r="B4003" s="1" t="s">
        <v>37</v>
      </c>
      <c r="C4003" s="1" t="s">
        <v>21595</v>
      </c>
      <c r="E4003" s="1" t="s">
        <v>21596</v>
      </c>
      <c r="F4003" s="1" t="s">
        <v>2059</v>
      </c>
      <c r="G4003" s="1" t="s">
        <v>21592</v>
      </c>
      <c r="H4003" s="1">
        <v>2019.0</v>
      </c>
      <c r="I4003" s="1" t="s">
        <v>42</v>
      </c>
      <c r="J4003" s="1" t="s">
        <v>51</v>
      </c>
      <c r="K4003" s="1" t="s">
        <v>64</v>
      </c>
      <c r="L4003" s="1" t="s">
        <v>21597</v>
      </c>
      <c r="M4003" s="2" t="s">
        <v>12</v>
      </c>
      <c r="N4003" s="4">
        <f t="shared" si="1"/>
        <v>43541</v>
      </c>
      <c r="O4003" s="5" t="str">
        <f>IFERROR(__xludf.DUMMYFUNCTION("IF(REGEXMATCH(TRIM(I4003), ""^\d+\s*min""), ""Unclassified"", IF(I4003 = """", ""NR"", I4003))"),"TV-MA")</f>
        <v>TV-MA</v>
      </c>
      <c r="R4003" s="5" t="str">
        <f t="shared" si="2"/>
        <v>Green Door</v>
      </c>
      <c r="S4003" s="5" t="str">
        <f>IFERROR(__xludf.DUMMYFUNCTION("""COMPUTED_VALUE"""),"Learning Time With Timmy")</f>
        <v>Learning Time With Timmy</v>
      </c>
      <c r="U4003" s="5" t="str">
        <f>IFERROR(__xludf.DUMMYFUNCTION("""COMPUTED_VALUE"""),"Steve Mclean")</f>
        <v>Steve Mclean</v>
      </c>
      <c r="V4003" s="5" t="s">
        <v>15422</v>
      </c>
      <c r="W4003" s="5" t="str">
        <f t="shared" si="3"/>
        <v>Stephen S. Campanelli</v>
      </c>
      <c r="X4003" s="5">
        <f t="shared" si="4"/>
        <v>1</v>
      </c>
      <c r="Y4003" s="5" t="str">
        <f>IFERROR(__xludf.DUMMYFUNCTION("REGEXEXTRACT(J4003, ""^\d+"")"),"1")</f>
        <v>1</v>
      </c>
      <c r="Z4003" s="5" t="str">
        <f>IFERROR(__xludf.DUMMYFUNCTION("REGEXEXTRACT(J4003, ""[A-Za-z ]+$"")")," Season")</f>
        <v> Season</v>
      </c>
      <c r="AA4003" s="5" t="str">
        <f>IFERROR(__xludf.DUMMYFUNCTION("IF(REGEXMATCH(Z4003, ""Season""), ""TV Show"", ""Movie"")"),"TV Show")</f>
        <v>TV Show</v>
      </c>
    </row>
    <row r="4004">
      <c r="A4004" s="1" t="s">
        <v>21598</v>
      </c>
      <c r="B4004" s="1" t="s">
        <v>27</v>
      </c>
      <c r="C4004" s="1" t="s">
        <v>21599</v>
      </c>
      <c r="D4004" s="1" t="s">
        <v>18245</v>
      </c>
      <c r="E4004" s="1" t="s">
        <v>21600</v>
      </c>
      <c r="F4004" s="1" t="s">
        <v>21601</v>
      </c>
      <c r="G4004" s="1" t="s">
        <v>21602</v>
      </c>
      <c r="H4004" s="1">
        <v>2018.0</v>
      </c>
      <c r="I4004" s="1" t="s">
        <v>42</v>
      </c>
      <c r="J4004" s="1" t="s">
        <v>912</v>
      </c>
      <c r="K4004" s="1" t="s">
        <v>583</v>
      </c>
      <c r="L4004" s="1" t="s">
        <v>21603</v>
      </c>
      <c r="M4004" s="2" t="s">
        <v>12</v>
      </c>
      <c r="N4004" s="4">
        <f t="shared" si="1"/>
        <v>43539</v>
      </c>
      <c r="O4004" s="5" t="str">
        <f>IFERROR(__xludf.DUMMYFUNCTION("IF(REGEXMATCH(TRIM(I4004), ""^\d+\s*min""), ""Unclassified"", IF(I4004 = """", ""NR"", I4004))"),"TV-MA")</f>
        <v>TV-MA</v>
      </c>
      <c r="R4004" s="5" t="str">
        <f t="shared" si="2"/>
        <v>Bombairiya</v>
      </c>
      <c r="S4004" s="5" t="str">
        <f>IFERROR(__xludf.DUMMYFUNCTION("""COMPUTED_VALUE"""),"Lechmi")</f>
        <v>Lechmi</v>
      </c>
      <c r="U4004" s="5" t="str">
        <f>IFERROR(__xludf.DUMMYFUNCTION("""COMPUTED_VALUE"""),"Charlie Haskell, Koichi Sakamoto")</f>
        <v>Charlie Haskell, Koichi Sakamoto</v>
      </c>
      <c r="V4004" s="5" t="s">
        <v>21604</v>
      </c>
      <c r="W4004" s="5" t="str">
        <f t="shared" si="3"/>
        <v>Steve Antin</v>
      </c>
      <c r="X4004" s="5">
        <f t="shared" si="4"/>
        <v>1</v>
      </c>
      <c r="Y4004" s="5" t="str">
        <f>IFERROR(__xludf.DUMMYFUNCTION("REGEXEXTRACT(J4004, ""^\d+"")"),"108")</f>
        <v>108</v>
      </c>
      <c r="Z4004" s="5" t="str">
        <f>IFERROR(__xludf.DUMMYFUNCTION("REGEXEXTRACT(J4004, ""[A-Za-z ]+$"")")," min")</f>
        <v> min</v>
      </c>
      <c r="AA4004" s="5" t="str">
        <f>IFERROR(__xludf.DUMMYFUNCTION("IF(REGEXMATCH(Z4004, ""Season""), ""TV Show"", ""Movie"")"),"Movie")</f>
        <v>Movie</v>
      </c>
    </row>
    <row r="4005">
      <c r="A4005" s="1" t="s">
        <v>21605</v>
      </c>
      <c r="B4005" s="1" t="s">
        <v>27</v>
      </c>
      <c r="C4005" s="1" t="s">
        <v>21606</v>
      </c>
      <c r="D4005" s="1" t="s">
        <v>21607</v>
      </c>
      <c r="E4005" s="1" t="s">
        <v>21608</v>
      </c>
      <c r="F4005" s="1" t="s">
        <v>3217</v>
      </c>
      <c r="G4005" s="1" t="s">
        <v>21602</v>
      </c>
      <c r="H4005" s="1">
        <v>2017.0</v>
      </c>
      <c r="I4005" s="1" t="s">
        <v>42</v>
      </c>
      <c r="J4005" s="1" t="s">
        <v>106</v>
      </c>
      <c r="K4005" s="1" t="s">
        <v>1066</v>
      </c>
      <c r="L4005" s="1" t="s">
        <v>21609</v>
      </c>
      <c r="M4005" s="2" t="s">
        <v>12</v>
      </c>
      <c r="N4005" s="4">
        <f t="shared" si="1"/>
        <v>43539</v>
      </c>
      <c r="O4005" s="5" t="str">
        <f>IFERROR(__xludf.DUMMYFUNCTION("IF(REGEXMATCH(TRIM(I4005), ""^\d+\s*min""), ""Unclassified"", IF(I4005 = """", ""NR"", I4005))"),"TV-MA")</f>
        <v>TV-MA</v>
      </c>
      <c r="R4005" s="5" t="str">
        <f t="shared" si="2"/>
        <v>Burn Out</v>
      </c>
      <c r="S4005" s="5" t="str">
        <f>IFERROR(__xludf.DUMMYFUNCTION("""COMPUTED_VALUE"""),"Lee Daniels' The Butler")</f>
        <v>Lee Daniels' The Butler</v>
      </c>
      <c r="U4005" s="5" t="str">
        <f>IFERROR(__xludf.DUMMYFUNCTION("""COMPUTED_VALUE"""),"James Barr")</f>
        <v>James Barr</v>
      </c>
      <c r="V4005" s="5" t="s">
        <v>4933</v>
      </c>
      <c r="W4005" s="5" t="str">
        <f t="shared" si="3"/>
        <v>Steve Ball</v>
      </c>
      <c r="X4005" s="5">
        <f t="shared" si="4"/>
        <v>4</v>
      </c>
      <c r="Y4005" s="5" t="str">
        <f>IFERROR(__xludf.DUMMYFUNCTION("REGEXEXTRACT(J4005, ""^\d+"")"),"104")</f>
        <v>104</v>
      </c>
      <c r="Z4005" s="5" t="str">
        <f>IFERROR(__xludf.DUMMYFUNCTION("REGEXEXTRACT(J4005, ""[A-Za-z ]+$"")")," min")</f>
        <v> min</v>
      </c>
      <c r="AA4005" s="5" t="str">
        <f>IFERROR(__xludf.DUMMYFUNCTION("IF(REGEXMATCH(Z4005, ""Season""), ""TV Show"", ""Movie"")"),"Movie")</f>
        <v>Movie</v>
      </c>
    </row>
    <row r="4006">
      <c r="A4006" s="1" t="s">
        <v>21610</v>
      </c>
      <c r="B4006" s="1" t="s">
        <v>27</v>
      </c>
      <c r="C4006" s="1" t="s">
        <v>21611</v>
      </c>
      <c r="D4006" s="1" t="s">
        <v>7774</v>
      </c>
      <c r="E4006" s="1" t="s">
        <v>21612</v>
      </c>
      <c r="F4006" s="1" t="s">
        <v>1779</v>
      </c>
      <c r="G4006" s="1" t="s">
        <v>21602</v>
      </c>
      <c r="H4006" s="1">
        <v>2019.0</v>
      </c>
      <c r="I4006" s="1" t="s">
        <v>42</v>
      </c>
      <c r="J4006" s="1" t="s">
        <v>2616</v>
      </c>
      <c r="K4006" s="1" t="s">
        <v>1839</v>
      </c>
      <c r="L4006" s="1" t="s">
        <v>21613</v>
      </c>
      <c r="M4006" s="2" t="s">
        <v>12</v>
      </c>
      <c r="N4006" s="4">
        <f t="shared" si="1"/>
        <v>43539</v>
      </c>
      <c r="O4006" s="5" t="str">
        <f>IFERROR(__xludf.DUMMYFUNCTION("IF(REGEXMATCH(TRIM(I4006), ""^\d+\s*min""), ""Unclassified"", IF(I4006 = """", ""NR"", I4006))"),"TV-MA")</f>
        <v>TV-MA</v>
      </c>
      <c r="R4006" s="5" t="str">
        <f t="shared" si="2"/>
        <v>Edoardo Ferrario: Temi Caldi</v>
      </c>
      <c r="S4006" s="5" t="str">
        <f>IFERROR(__xludf.DUMMYFUNCTION("""COMPUTED_VALUE"""),"Lee Su-Geun: The Sense Coach")</f>
        <v>Lee Su-Geun: The Sense Coach</v>
      </c>
      <c r="U4006" s="5" t="str">
        <f>IFERROR(__xludf.DUMMYFUNCTION("""COMPUTED_VALUE"""),"Ashish R. Shukla")</f>
        <v>Ashish R. Shukla</v>
      </c>
      <c r="V4006" s="5" t="s">
        <v>21614</v>
      </c>
      <c r="W4006" s="5" t="str">
        <f t="shared" si="3"/>
        <v>Steve Ball, Andrew Duncan</v>
      </c>
      <c r="X4006" s="5">
        <f t="shared" si="4"/>
        <v>1</v>
      </c>
      <c r="Y4006" s="5" t="str">
        <f>IFERROR(__xludf.DUMMYFUNCTION("REGEXEXTRACT(J4006, ""^\d+"")"),"65")</f>
        <v>65</v>
      </c>
      <c r="Z4006" s="5" t="str">
        <f>IFERROR(__xludf.DUMMYFUNCTION("REGEXEXTRACT(J4006, ""[A-Za-z ]+$"")")," min")</f>
        <v> min</v>
      </c>
      <c r="AA4006" s="5" t="str">
        <f>IFERROR(__xludf.DUMMYFUNCTION("IF(REGEXMATCH(Z4006, ""Season""), ""TV Show"", ""Movie"")"),"Movie")</f>
        <v>Movie</v>
      </c>
    </row>
    <row r="4007">
      <c r="A4007" s="1" t="s">
        <v>21615</v>
      </c>
      <c r="B4007" s="1" t="s">
        <v>27</v>
      </c>
      <c r="C4007" s="1" t="s">
        <v>21616</v>
      </c>
      <c r="D4007" s="1" t="s">
        <v>14118</v>
      </c>
      <c r="E4007" s="1" t="s">
        <v>21617</v>
      </c>
      <c r="F4007" s="1" t="s">
        <v>21618</v>
      </c>
      <c r="G4007" s="1" t="s">
        <v>21602</v>
      </c>
      <c r="H4007" s="1">
        <v>2018.0</v>
      </c>
      <c r="I4007" s="1" t="s">
        <v>378</v>
      </c>
      <c r="J4007" s="1" t="s">
        <v>256</v>
      </c>
      <c r="K4007" s="1" t="s">
        <v>4958</v>
      </c>
      <c r="L4007" s="1" t="s">
        <v>21619</v>
      </c>
      <c r="M4007" s="2" t="s">
        <v>12</v>
      </c>
      <c r="N4007" s="4">
        <f t="shared" si="1"/>
        <v>43539</v>
      </c>
      <c r="O4007" s="5" t="str">
        <f>IFERROR(__xludf.DUMMYFUNCTION("IF(REGEXMATCH(TRIM(I4007), ""^\d+\s*min""), ""Unclassified"", IF(I4007 = """", ""NR"", I4007))"),"R")</f>
        <v>R</v>
      </c>
      <c r="R4007" s="5" t="str">
        <f t="shared" si="2"/>
        <v>Girl</v>
      </c>
      <c r="S4007" s="5" t="str">
        <f>IFERROR(__xludf.DUMMYFUNCTION("""COMPUTED_VALUE"""),"Left Behind")</f>
        <v>Left Behind</v>
      </c>
      <c r="U4007" s="5" t="str">
        <f>IFERROR(__xludf.DUMMYFUNCTION("""COMPUTED_VALUE"""),"Frank Capra")</f>
        <v>Frank Capra</v>
      </c>
      <c r="V4007" s="5" t="s">
        <v>21620</v>
      </c>
      <c r="W4007" s="5" t="str">
        <f t="shared" si="3"/>
        <v>Steve Barker</v>
      </c>
      <c r="X4007" s="5">
        <f t="shared" si="4"/>
        <v>1</v>
      </c>
      <c r="Y4007" s="5" t="str">
        <f>IFERROR(__xludf.DUMMYFUNCTION("REGEXEXTRACT(J4007, ""^\d+"")"),"106")</f>
        <v>106</v>
      </c>
      <c r="Z4007" s="5" t="str">
        <f>IFERROR(__xludf.DUMMYFUNCTION("REGEXEXTRACT(J4007, ""[A-Za-z ]+$"")")," min")</f>
        <v> min</v>
      </c>
      <c r="AA4007" s="5" t="str">
        <f>IFERROR(__xludf.DUMMYFUNCTION("IF(REGEXMATCH(Z4007, ""Season""), ""TV Show"", ""Movie"")"),"Movie")</f>
        <v>Movie</v>
      </c>
    </row>
    <row r="4008">
      <c r="A4008" s="1" t="s">
        <v>21621</v>
      </c>
      <c r="B4008" s="1" t="s">
        <v>37</v>
      </c>
      <c r="C4008" s="1" t="s">
        <v>21622</v>
      </c>
      <c r="E4008" s="1" t="s">
        <v>21623</v>
      </c>
      <c r="F4008" s="1" t="s">
        <v>784</v>
      </c>
      <c r="G4008" s="1" t="s">
        <v>21602</v>
      </c>
      <c r="H4008" s="1">
        <v>2018.0</v>
      </c>
      <c r="I4008" s="1" t="s">
        <v>42</v>
      </c>
      <c r="J4008" s="1" t="s">
        <v>51</v>
      </c>
      <c r="K4008" s="1" t="s">
        <v>1907</v>
      </c>
      <c r="L4008" s="1" t="s">
        <v>21624</v>
      </c>
      <c r="M4008" s="2" t="s">
        <v>12</v>
      </c>
      <c r="N4008" s="4">
        <f t="shared" si="1"/>
        <v>43539</v>
      </c>
      <c r="O4008" s="5" t="str">
        <f>IFERROR(__xludf.DUMMYFUNCTION("IF(REGEXMATCH(TRIM(I4008), ""^\d+\s*min""), ""Unclassified"", IF(I4008 = """", ""NR"", I4008))"),"TV-MA")</f>
        <v>TV-MA</v>
      </c>
      <c r="R4008" s="5" t="str">
        <f t="shared" si="2"/>
        <v>If I Hadn'T Met You</v>
      </c>
      <c r="S4008" s="5" t="str">
        <f>IFERROR(__xludf.DUMMYFUNCTION("""COMPUTED_VALUE"""),"Legacies")</f>
        <v>Legacies</v>
      </c>
      <c r="U4008" s="5" t="str">
        <f>IFERROR(__xludf.DUMMYFUNCTION("""COMPUTED_VALUE"""),"Chris Bell, Josh Alexander, Greg Young")</f>
        <v>Chris Bell, Josh Alexander, Greg Young</v>
      </c>
      <c r="V4008" s="5" t="s">
        <v>21625</v>
      </c>
      <c r="W4008" s="5" t="str">
        <f t="shared" si="3"/>
        <v>Steve Barron</v>
      </c>
      <c r="X4008" s="5">
        <f t="shared" si="4"/>
        <v>1</v>
      </c>
      <c r="Y4008" s="5" t="str">
        <f>IFERROR(__xludf.DUMMYFUNCTION("REGEXEXTRACT(J4008, ""^\d+"")"),"1")</f>
        <v>1</v>
      </c>
      <c r="Z4008" s="5" t="str">
        <f>IFERROR(__xludf.DUMMYFUNCTION("REGEXEXTRACT(J4008, ""[A-Za-z ]+$"")")," Season")</f>
        <v> Season</v>
      </c>
      <c r="AA4008" s="5" t="str">
        <f>IFERROR(__xludf.DUMMYFUNCTION("IF(REGEXMATCH(Z4008, ""Season""), ""TV Show"", ""Movie"")"),"TV Show")</f>
        <v>TV Show</v>
      </c>
    </row>
    <row r="4009">
      <c r="A4009" s="1" t="s">
        <v>21626</v>
      </c>
      <c r="B4009" s="1" t="s">
        <v>27</v>
      </c>
      <c r="C4009" s="1" t="s">
        <v>21627</v>
      </c>
      <c r="D4009" s="1" t="s">
        <v>14480</v>
      </c>
      <c r="E4009" s="1" t="s">
        <v>16997</v>
      </c>
      <c r="F4009" s="1" t="s">
        <v>30</v>
      </c>
      <c r="G4009" s="1" t="s">
        <v>21602</v>
      </c>
      <c r="H4009" s="1">
        <v>2006.0</v>
      </c>
      <c r="I4009" s="1" t="s">
        <v>42</v>
      </c>
      <c r="J4009" s="1" t="s">
        <v>1993</v>
      </c>
      <c r="K4009" s="1" t="s">
        <v>1839</v>
      </c>
      <c r="L4009" s="1" t="s">
        <v>21628</v>
      </c>
      <c r="M4009" s="2" t="s">
        <v>12</v>
      </c>
      <c r="N4009" s="4">
        <f t="shared" si="1"/>
        <v>43539</v>
      </c>
      <c r="O4009" s="5" t="str">
        <f>IFERROR(__xludf.DUMMYFUNCTION("IF(REGEXMATCH(TRIM(I4009), ""^\d+\s*min""), ""Unclassified"", IF(I4009 = """", ""NR"", I4009))"),"TV-MA")</f>
        <v>TV-MA</v>
      </c>
      <c r="R4009" s="5" t="str">
        <f t="shared" si="2"/>
        <v>Jeff Dunham: Arguing With Myself</v>
      </c>
      <c r="S4009" s="5" t="str">
        <f>IFERROR(__xludf.DUMMYFUNCTION("""COMPUTED_VALUE"""),"Legal Hash")</f>
        <v>Legal Hash</v>
      </c>
      <c r="U4009" s="5" t="str">
        <f>IFERROR(__xludf.DUMMYFUNCTION("""COMPUTED_VALUE"""),"Bhavik Thakore")</f>
        <v>Bhavik Thakore</v>
      </c>
      <c r="V4009" s="5" t="s">
        <v>11501</v>
      </c>
      <c r="W4009" s="5" t="str">
        <f t="shared" si="3"/>
        <v>Steve Bencich</v>
      </c>
      <c r="X4009" s="5">
        <f t="shared" si="4"/>
        <v>1</v>
      </c>
      <c r="Y4009" s="5" t="str">
        <f>IFERROR(__xludf.DUMMYFUNCTION("REGEXEXTRACT(J4009, ""^\d+"")"),"69")</f>
        <v>69</v>
      </c>
      <c r="Z4009" s="5" t="str">
        <f>IFERROR(__xludf.DUMMYFUNCTION("REGEXEXTRACT(J4009, ""[A-Za-z ]+$"")")," min")</f>
        <v> min</v>
      </c>
      <c r="AA4009" s="5" t="str">
        <f>IFERROR(__xludf.DUMMYFUNCTION("IF(REGEXMATCH(Z4009, ""Season""), ""TV Show"", ""Movie"")"),"Movie")</f>
        <v>Movie</v>
      </c>
    </row>
    <row r="4010">
      <c r="A4010" s="1" t="s">
        <v>21629</v>
      </c>
      <c r="B4010" s="1" t="s">
        <v>27</v>
      </c>
      <c r="C4010" s="1" t="s">
        <v>21630</v>
      </c>
      <c r="D4010" s="1" t="s">
        <v>21631</v>
      </c>
      <c r="E4010" s="1" t="s">
        <v>16997</v>
      </c>
      <c r="F4010" s="1" t="s">
        <v>30</v>
      </c>
      <c r="G4010" s="1" t="s">
        <v>21602</v>
      </c>
      <c r="H4010" s="1">
        <v>2011.0</v>
      </c>
      <c r="I4010" s="1" t="s">
        <v>42</v>
      </c>
      <c r="J4010" s="1" t="s">
        <v>247</v>
      </c>
      <c r="K4010" s="1" t="s">
        <v>1839</v>
      </c>
      <c r="L4010" s="1" t="s">
        <v>21632</v>
      </c>
      <c r="M4010" s="2" t="s">
        <v>12</v>
      </c>
      <c r="N4010" s="4">
        <f t="shared" si="1"/>
        <v>43539</v>
      </c>
      <c r="O4010" s="5" t="str">
        <f>IFERROR(__xludf.DUMMYFUNCTION("IF(REGEXMATCH(TRIM(I4010), ""^\d+\s*min""), ""Unclassified"", IF(I4010 = """", ""NR"", I4010))"),"TV-MA")</f>
        <v>TV-MA</v>
      </c>
      <c r="R4010" s="5" t="str">
        <f t="shared" si="2"/>
        <v>Jeff Dunham: Controlled Chaos</v>
      </c>
      <c r="S4010" s="5" t="str">
        <f>IFERROR(__xludf.DUMMYFUNCTION("""COMPUTED_VALUE"""),"Legally Blonde")</f>
        <v>Legally Blonde</v>
      </c>
      <c r="U4010" s="5" t="str">
        <f>IFERROR(__xludf.DUMMYFUNCTION("""COMPUTED_VALUE"""),"Stephen Cone")</f>
        <v>Stephen Cone</v>
      </c>
      <c r="V4010" s="5" t="s">
        <v>16842</v>
      </c>
      <c r="W4010" s="5" t="str">
        <f t="shared" si="3"/>
        <v>Steve Boettcher</v>
      </c>
      <c r="X4010" s="5">
        <f t="shared" si="4"/>
        <v>1</v>
      </c>
      <c r="Y4010" s="5" t="str">
        <f>IFERROR(__xludf.DUMMYFUNCTION("REGEXEXTRACT(J4010, ""^\d+"")"),"97")</f>
        <v>97</v>
      </c>
      <c r="Z4010" s="5" t="str">
        <f>IFERROR(__xludf.DUMMYFUNCTION("REGEXEXTRACT(J4010, ""[A-Za-z ]+$"")")," min")</f>
        <v> min</v>
      </c>
      <c r="AA4010" s="5" t="str">
        <f>IFERROR(__xludf.DUMMYFUNCTION("IF(REGEXMATCH(Z4010, ""Season""), ""TV Show"", ""Movie"")"),"Movie")</f>
        <v>Movie</v>
      </c>
    </row>
    <row r="4011">
      <c r="A4011" s="1" t="s">
        <v>21633</v>
      </c>
      <c r="B4011" s="1" t="s">
        <v>27</v>
      </c>
      <c r="C4011" s="1" t="s">
        <v>21634</v>
      </c>
      <c r="D4011" s="1" t="s">
        <v>14480</v>
      </c>
      <c r="E4011" s="1" t="s">
        <v>16997</v>
      </c>
      <c r="F4011" s="1" t="s">
        <v>30</v>
      </c>
      <c r="G4011" s="1" t="s">
        <v>21602</v>
      </c>
      <c r="H4011" s="1">
        <v>2012.0</v>
      </c>
      <c r="I4011" s="1" t="s">
        <v>42</v>
      </c>
      <c r="J4011" s="1" t="s">
        <v>729</v>
      </c>
      <c r="K4011" s="1" t="s">
        <v>1839</v>
      </c>
      <c r="L4011" s="1" t="s">
        <v>21635</v>
      </c>
      <c r="M4011" s="2" t="s">
        <v>12</v>
      </c>
      <c r="N4011" s="4">
        <f t="shared" si="1"/>
        <v>43539</v>
      </c>
      <c r="O4011" s="5" t="str">
        <f>IFERROR(__xludf.DUMMYFUNCTION("IF(REGEXMATCH(TRIM(I4011), ""^\d+\s*min""), ""Unclassified"", IF(I4011 = """", ""NR"", I4011))"),"TV-MA")</f>
        <v>TV-MA</v>
      </c>
      <c r="R4011" s="5" t="str">
        <f t="shared" si="2"/>
        <v>Jeff Dunham: Minding The Monsters</v>
      </c>
      <c r="S4011" s="5" t="str">
        <f>IFERROR(__xludf.DUMMYFUNCTION("""COMPUTED_VALUE"""),"Legend")</f>
        <v>Legend</v>
      </c>
      <c r="U4011" s="5" t="str">
        <f>IFERROR(__xludf.DUMMYFUNCTION("""COMPUTED_VALUE"""),"Anurag Singh")</f>
        <v>Anurag Singh</v>
      </c>
      <c r="V4011" s="5" t="s">
        <v>1747</v>
      </c>
      <c r="W4011" s="5" t="str">
        <f t="shared" si="3"/>
        <v>Steve Brill</v>
      </c>
      <c r="X4011" s="5">
        <f t="shared" si="4"/>
        <v>5</v>
      </c>
      <c r="Y4011" s="5" t="str">
        <f>IFERROR(__xludf.DUMMYFUNCTION("REGEXEXTRACT(J4011, ""^\d+"")"),"80")</f>
        <v>80</v>
      </c>
      <c r="Z4011" s="5" t="str">
        <f>IFERROR(__xludf.DUMMYFUNCTION("REGEXEXTRACT(J4011, ""[A-Za-z ]+$"")")," min")</f>
        <v> min</v>
      </c>
      <c r="AA4011" s="5" t="str">
        <f>IFERROR(__xludf.DUMMYFUNCTION("IF(REGEXMATCH(Z4011, ""Season""), ""TV Show"", ""Movie"")"),"Movie")</f>
        <v>Movie</v>
      </c>
    </row>
    <row r="4012">
      <c r="A4012" s="1" t="s">
        <v>21636</v>
      </c>
      <c r="B4012" s="1" t="s">
        <v>27</v>
      </c>
      <c r="C4012" s="1" t="s">
        <v>21637</v>
      </c>
      <c r="D4012" s="1" t="s">
        <v>4424</v>
      </c>
      <c r="E4012" s="1" t="s">
        <v>21638</v>
      </c>
      <c r="F4012" s="1" t="s">
        <v>30</v>
      </c>
      <c r="G4012" s="1" t="s">
        <v>21602</v>
      </c>
      <c r="H4012" s="1">
        <v>2008.0</v>
      </c>
      <c r="I4012" s="1" t="s">
        <v>42</v>
      </c>
      <c r="J4012" s="1" t="s">
        <v>471</v>
      </c>
      <c r="K4012" s="1" t="s">
        <v>1839</v>
      </c>
      <c r="L4012" s="1" t="s">
        <v>21639</v>
      </c>
      <c r="M4012" s="2" t="s">
        <v>12</v>
      </c>
      <c r="N4012" s="4">
        <f t="shared" si="1"/>
        <v>43539</v>
      </c>
      <c r="O4012" s="5" t="str">
        <f>IFERROR(__xludf.DUMMYFUNCTION("IF(REGEXMATCH(TRIM(I4012), ""^\d+\s*min""), ""Unclassified"", IF(I4012 = """", ""NR"", I4012))"),"TV-MA")</f>
        <v>TV-MA</v>
      </c>
      <c r="R4012" s="5" t="str">
        <f t="shared" si="2"/>
        <v>Jeff Dunham'S Very Special Christmas Special</v>
      </c>
      <c r="S4012" s="5" t="str">
        <f>IFERROR(__xludf.DUMMYFUNCTION("""COMPUTED_VALUE"""),"Legend Of Exorcism")</f>
        <v>Legend Of Exorcism</v>
      </c>
      <c r="U4012" s="5" t="str">
        <f>IFERROR(__xludf.DUMMYFUNCTION("""COMPUTED_VALUE"""),"Luis Prieto")</f>
        <v>Luis Prieto</v>
      </c>
      <c r="V4012" s="5" t="s">
        <v>21640</v>
      </c>
      <c r="W4012" s="5" t="str">
        <f t="shared" si="3"/>
        <v>Steve Carr</v>
      </c>
      <c r="X4012" s="5">
        <f t="shared" si="4"/>
        <v>3</v>
      </c>
      <c r="Y4012" s="5" t="str">
        <f>IFERROR(__xludf.DUMMYFUNCTION("REGEXEXTRACT(J4012, ""^\d+"")"),"85")</f>
        <v>85</v>
      </c>
      <c r="Z4012" s="5" t="str">
        <f>IFERROR(__xludf.DUMMYFUNCTION("REGEXEXTRACT(J4012, ""[A-Za-z ]+$"")")," min")</f>
        <v> min</v>
      </c>
      <c r="AA4012" s="5" t="str">
        <f>IFERROR(__xludf.DUMMYFUNCTION("IF(REGEXMATCH(Z4012, ""Season""), ""TV Show"", ""Movie"")"),"Movie")</f>
        <v>Movie</v>
      </c>
    </row>
    <row r="4013">
      <c r="A4013" s="1" t="s">
        <v>21641</v>
      </c>
      <c r="B4013" s="1" t="s">
        <v>27</v>
      </c>
      <c r="C4013" s="1" t="s">
        <v>21642</v>
      </c>
      <c r="D4013" s="1" t="s">
        <v>7898</v>
      </c>
      <c r="E4013" s="1" t="s">
        <v>21643</v>
      </c>
      <c r="F4013" s="1" t="s">
        <v>21644</v>
      </c>
      <c r="G4013" s="1" t="s">
        <v>21602</v>
      </c>
      <c r="H4013" s="1">
        <v>2018.0</v>
      </c>
      <c r="I4013" s="1" t="s">
        <v>97</v>
      </c>
      <c r="J4013" s="1" t="s">
        <v>357</v>
      </c>
      <c r="K4013" s="1" t="s">
        <v>645</v>
      </c>
      <c r="L4013" s="1" t="s">
        <v>21645</v>
      </c>
      <c r="M4013" s="2" t="s">
        <v>12</v>
      </c>
      <c r="N4013" s="4">
        <f t="shared" si="1"/>
        <v>43539</v>
      </c>
      <c r="O4013" s="5" t="str">
        <f>IFERROR(__xludf.DUMMYFUNCTION("IF(REGEXMATCH(TRIM(I4013), ""^\d+\s*min""), ""Unclassified"", IF(I4013 = """", ""NR"", I4013))"),"TV-14")</f>
        <v>TV-14</v>
      </c>
      <c r="R4013" s="5" t="str">
        <f t="shared" si="2"/>
        <v>Late Life: The Chien-Ming Wang Story</v>
      </c>
      <c r="S4013" s="5" t="str">
        <f>IFERROR(__xludf.DUMMYFUNCTION("""COMPUTED_VALUE"""),"Legend Of The Guardians: The Owls Of Ga'Hoole")</f>
        <v>Legend Of The Guardians: The Owls Of Ga'Hoole</v>
      </c>
      <c r="U4013" s="5" t="str">
        <f>IFERROR(__xludf.DUMMYFUNCTION("""COMPUTED_VALUE"""),"Michael Tolajian")</f>
        <v>Michael Tolajian</v>
      </c>
      <c r="V4013" s="5" t="s">
        <v>21646</v>
      </c>
      <c r="W4013" s="5" t="str">
        <f t="shared" si="3"/>
        <v>Steve Cheng</v>
      </c>
      <c r="X4013" s="5">
        <f t="shared" si="4"/>
        <v>1</v>
      </c>
      <c r="Y4013" s="5" t="str">
        <f>IFERROR(__xludf.DUMMYFUNCTION("REGEXEXTRACT(J4013, ""^\d+"")"),"98")</f>
        <v>98</v>
      </c>
      <c r="Z4013" s="5" t="str">
        <f>IFERROR(__xludf.DUMMYFUNCTION("REGEXEXTRACT(J4013, ""[A-Za-z ]+$"")")," min")</f>
        <v> min</v>
      </c>
      <c r="AA4013" s="5" t="str">
        <f>IFERROR(__xludf.DUMMYFUNCTION("IF(REGEXMATCH(Z4013, ""Season""), ""TV Show"", ""Movie"")"),"Movie")</f>
        <v>Movie</v>
      </c>
    </row>
    <row r="4014">
      <c r="A4014" s="1" t="s">
        <v>21647</v>
      </c>
      <c r="B4014" s="1" t="s">
        <v>37</v>
      </c>
      <c r="C4014" s="1" t="s">
        <v>21648</v>
      </c>
      <c r="E4014" s="1" t="s">
        <v>21649</v>
      </c>
      <c r="G4014" s="1" t="s">
        <v>21602</v>
      </c>
      <c r="H4014" s="1">
        <v>2018.0</v>
      </c>
      <c r="I4014" s="1" t="s">
        <v>97</v>
      </c>
      <c r="J4014" s="1" t="s">
        <v>51</v>
      </c>
      <c r="K4014" s="1" t="s">
        <v>402</v>
      </c>
      <c r="L4014" s="1" t="s">
        <v>21650</v>
      </c>
      <c r="M4014" s="2" t="s">
        <v>12</v>
      </c>
      <c r="N4014" s="4">
        <f t="shared" si="1"/>
        <v>43539</v>
      </c>
      <c r="O4014" s="5" t="str">
        <f>IFERROR(__xludf.DUMMYFUNCTION("IF(REGEXMATCH(TRIM(I4014), ""^\d+\s*min""), ""Unclassified"", IF(I4014 = """", ""NR"", I4014))"),"TV-14")</f>
        <v>TV-14</v>
      </c>
      <c r="R4014" s="5" t="str">
        <f t="shared" si="2"/>
        <v>My Pride</v>
      </c>
      <c r="S4014" s="5" t="str">
        <f>IFERROR(__xludf.DUMMYFUNCTION("""COMPUTED_VALUE"""),"Legend Of The Naga Pearls")</f>
        <v>Legend Of The Naga Pearls</v>
      </c>
      <c r="U4014" s="5" t="str">
        <f>IFERROR(__xludf.DUMMYFUNCTION("""COMPUTED_VALUE"""),"Richard Correll")</f>
        <v>Richard Correll</v>
      </c>
      <c r="V4014" s="5" t="s">
        <v>21651</v>
      </c>
      <c r="W4014" s="5" t="str">
        <f t="shared" si="3"/>
        <v>Steve Greenwood</v>
      </c>
      <c r="X4014" s="5">
        <f t="shared" si="4"/>
        <v>1</v>
      </c>
      <c r="Y4014" s="5" t="str">
        <f>IFERROR(__xludf.DUMMYFUNCTION("REGEXEXTRACT(J4014, ""^\d+"")"),"1")</f>
        <v>1</v>
      </c>
      <c r="Z4014" s="5" t="str">
        <f>IFERROR(__xludf.DUMMYFUNCTION("REGEXEXTRACT(J4014, ""[A-Za-z ]+$"")")," Season")</f>
        <v> Season</v>
      </c>
      <c r="AA4014" s="5" t="str">
        <f>IFERROR(__xludf.DUMMYFUNCTION("IF(REGEXMATCH(Z4014, ""Season""), ""TV Show"", ""Movie"")"),"TV Show")</f>
        <v>TV Show</v>
      </c>
    </row>
    <row r="4015">
      <c r="A4015" s="1" t="s">
        <v>21652</v>
      </c>
      <c r="B4015" s="1" t="s">
        <v>27</v>
      </c>
      <c r="C4015" s="1" t="s">
        <v>21653</v>
      </c>
      <c r="D4015" s="1" t="s">
        <v>522</v>
      </c>
      <c r="E4015" s="1" t="s">
        <v>21654</v>
      </c>
      <c r="F4015" s="1" t="s">
        <v>3321</v>
      </c>
      <c r="G4015" s="1" t="s">
        <v>21602</v>
      </c>
      <c r="H4015" s="1">
        <v>2018.0</v>
      </c>
      <c r="I4015" s="1" t="s">
        <v>97</v>
      </c>
      <c r="J4015" s="1" t="s">
        <v>379</v>
      </c>
      <c r="K4015" s="1" t="s">
        <v>306</v>
      </c>
      <c r="L4015" s="1" t="s">
        <v>21655</v>
      </c>
      <c r="M4015" s="2" t="s">
        <v>12</v>
      </c>
      <c r="N4015" s="4">
        <f t="shared" si="1"/>
        <v>43539</v>
      </c>
      <c r="O4015" s="5" t="str">
        <f>IFERROR(__xludf.DUMMYFUNCTION("IF(REGEXMATCH(TRIM(I4015), ""^\d+\s*min""), ""Unclassified"", IF(I4015 = """", ""NR"", I4015))"),"TV-14")</f>
        <v>TV-14</v>
      </c>
      <c r="R4015" s="5" t="str">
        <f t="shared" si="2"/>
        <v>Paskal</v>
      </c>
      <c r="S4015" s="5" t="str">
        <f>IFERROR(__xludf.DUMMYFUNCTION("""COMPUTED_VALUE"""),"Legend Quest")</f>
        <v>Legend Quest</v>
      </c>
      <c r="U4015" s="5" t="str">
        <f>IFERROR(__xludf.DUMMYFUNCTION("""COMPUTED_VALUE"""),"Raphael Erichsen")</f>
        <v>Raphael Erichsen</v>
      </c>
      <c r="V4015" s="5" t="s">
        <v>5125</v>
      </c>
      <c r="W4015" s="5" t="str">
        <f t="shared" si="3"/>
        <v>Steve Gukas</v>
      </c>
      <c r="X4015" s="5">
        <f t="shared" si="4"/>
        <v>2</v>
      </c>
      <c r="Y4015" s="5" t="str">
        <f>IFERROR(__xludf.DUMMYFUNCTION("REGEXEXTRACT(J4015, ""^\d+"")"),"115")</f>
        <v>115</v>
      </c>
      <c r="Z4015" s="5" t="str">
        <f>IFERROR(__xludf.DUMMYFUNCTION("REGEXEXTRACT(J4015, ""[A-Za-z ]+$"")")," min")</f>
        <v> min</v>
      </c>
      <c r="AA4015" s="5" t="str">
        <f>IFERROR(__xludf.DUMMYFUNCTION("IF(REGEXMATCH(Z4015, ""Season""), ""TV Show"", ""Movie"")"),"Movie")</f>
        <v>Movie</v>
      </c>
    </row>
    <row r="4016">
      <c r="A4016" s="1" t="s">
        <v>21656</v>
      </c>
      <c r="B4016" s="1" t="s">
        <v>37</v>
      </c>
      <c r="C4016" s="1" t="s">
        <v>21657</v>
      </c>
      <c r="E4016" s="1" t="s">
        <v>21658</v>
      </c>
      <c r="F4016" s="1" t="s">
        <v>96</v>
      </c>
      <c r="G4016" s="1" t="s">
        <v>21602</v>
      </c>
      <c r="H4016" s="1">
        <v>2018.0</v>
      </c>
      <c r="I4016" s="1" t="s">
        <v>289</v>
      </c>
      <c r="J4016" s="1" t="s">
        <v>43</v>
      </c>
      <c r="K4016" s="1" t="s">
        <v>712</v>
      </c>
      <c r="L4016" s="1" t="s">
        <v>21659</v>
      </c>
      <c r="M4016" s="2" t="s">
        <v>12</v>
      </c>
      <c r="N4016" s="4">
        <f t="shared" si="1"/>
        <v>43539</v>
      </c>
      <c r="O4016" s="5" t="str">
        <f>IFERROR(__xludf.DUMMYFUNCTION("IF(REGEXMATCH(TRIM(I4016), ""^\d+\s*min""), ""Unclassified"", IF(I4016 = """", ""NR"", I4016))"),"TV-Y7")</f>
        <v>TV-Y7</v>
      </c>
      <c r="R4016" s="5" t="str">
        <f t="shared" si="2"/>
        <v>Robozuna</v>
      </c>
      <c r="S4016" s="5" t="str">
        <f>IFERROR(__xludf.DUMMYFUNCTION("""COMPUTED_VALUE"""),"Legend Quest: Masters Of Myth")</f>
        <v>Legend Quest: Masters Of Myth</v>
      </c>
      <c r="U4016" s="5" t="str">
        <f>IFERROR(__xludf.DUMMYFUNCTION("""COMPUTED_VALUE"""),"Hari Viswanath")</f>
        <v>Hari Viswanath</v>
      </c>
      <c r="V4016" s="5" t="s">
        <v>21660</v>
      </c>
      <c r="W4016" s="5" t="str">
        <f t="shared" si="3"/>
        <v>Steve Hickner, Simon J. Smith</v>
      </c>
      <c r="X4016" s="5">
        <f t="shared" si="4"/>
        <v>1</v>
      </c>
      <c r="Y4016" s="5" t="str">
        <f>IFERROR(__xludf.DUMMYFUNCTION("REGEXEXTRACT(J4016, ""^\d+"")"),"2")</f>
        <v>2</v>
      </c>
      <c r="Z4016" s="5" t="str">
        <f>IFERROR(__xludf.DUMMYFUNCTION("REGEXEXTRACT(J4016, ""[A-Za-z ]+$"")")," Seasons")</f>
        <v> Seasons</v>
      </c>
      <c r="AA4016" s="5" t="str">
        <f>IFERROR(__xludf.DUMMYFUNCTION("IF(REGEXMATCH(Z4016, ""Season""), ""TV Show"", ""Movie"")"),"TV Show")</f>
        <v>TV Show</v>
      </c>
    </row>
    <row r="4017">
      <c r="A4017" s="1" t="s">
        <v>21661</v>
      </c>
      <c r="B4017" s="1" t="s">
        <v>37</v>
      </c>
      <c r="C4017" s="1" t="s">
        <v>21662</v>
      </c>
      <c r="G4017" s="1" t="s">
        <v>21602</v>
      </c>
      <c r="H4017" s="1">
        <v>2019.0</v>
      </c>
      <c r="I4017" s="1" t="s">
        <v>97</v>
      </c>
      <c r="J4017" s="1" t="s">
        <v>51</v>
      </c>
      <c r="K4017" s="1" t="s">
        <v>2043</v>
      </c>
      <c r="L4017" s="1" t="s">
        <v>21663</v>
      </c>
      <c r="M4017" s="2" t="s">
        <v>12</v>
      </c>
      <c r="N4017" s="4">
        <f t="shared" si="1"/>
        <v>43539</v>
      </c>
      <c r="O4017" s="5" t="str">
        <f>IFERROR(__xludf.DUMMYFUNCTION("IF(REGEXMATCH(TRIM(I4017), ""^\d+\s*min""), ""Unclassified"", IF(I4017 = """", ""NR"", I4017))"),"TV-14")</f>
        <v>TV-14</v>
      </c>
      <c r="R4017" s="5" t="str">
        <f t="shared" si="2"/>
        <v>The Disappearance Of Madeleine Mccann</v>
      </c>
      <c r="S4017" s="5" t="str">
        <f>IFERROR(__xludf.DUMMYFUNCTION("""COMPUTED_VALUE"""),"Legendary Weapons Of China")</f>
        <v>Legendary Weapons Of China</v>
      </c>
      <c r="U4017" s="5" t="str">
        <f>IFERROR(__xludf.DUMMYFUNCTION("""COMPUTED_VALUE"""),"Manish Gupta")</f>
        <v>Manish Gupta</v>
      </c>
      <c r="V4017" s="5" t="s">
        <v>21664</v>
      </c>
      <c r="W4017" s="5" t="str">
        <f t="shared" si="3"/>
        <v>Steve Loter</v>
      </c>
      <c r="X4017" s="5">
        <f t="shared" si="4"/>
        <v>1</v>
      </c>
      <c r="Y4017" s="5" t="str">
        <f>IFERROR(__xludf.DUMMYFUNCTION("REGEXEXTRACT(J4017, ""^\d+"")"),"1")</f>
        <v>1</v>
      </c>
      <c r="Z4017" s="5" t="str">
        <f>IFERROR(__xludf.DUMMYFUNCTION("REGEXEXTRACT(J4017, ""[A-Za-z ]+$"")")," Season")</f>
        <v> Season</v>
      </c>
      <c r="AA4017" s="5" t="str">
        <f>IFERROR(__xludf.DUMMYFUNCTION("IF(REGEXMATCH(Z4017, ""Season""), ""TV Show"", ""Movie"")"),"TV Show")</f>
        <v>TV Show</v>
      </c>
    </row>
    <row r="4018">
      <c r="A4018" s="1" t="s">
        <v>21665</v>
      </c>
      <c r="B4018" s="1" t="s">
        <v>37</v>
      </c>
      <c r="C4018" s="1" t="s">
        <v>21666</v>
      </c>
      <c r="E4018" s="1" t="s">
        <v>21667</v>
      </c>
      <c r="F4018" s="1" t="s">
        <v>96</v>
      </c>
      <c r="G4018" s="1" t="s">
        <v>21602</v>
      </c>
      <c r="H4018" s="1">
        <v>2019.0</v>
      </c>
      <c r="I4018" s="1" t="s">
        <v>42</v>
      </c>
      <c r="J4018" s="1" t="s">
        <v>51</v>
      </c>
      <c r="K4018" s="1" t="s">
        <v>277</v>
      </c>
      <c r="L4018" s="1" t="s">
        <v>21668</v>
      </c>
      <c r="M4018" s="2" t="s">
        <v>12</v>
      </c>
      <c r="N4018" s="4">
        <f t="shared" si="1"/>
        <v>43539</v>
      </c>
      <c r="O4018" s="5" t="str">
        <f>IFERROR(__xludf.DUMMYFUNCTION("IF(REGEXMATCH(TRIM(I4018), ""^\d+\s*min""), ""Unclassified"", IF(I4018 = """", ""NR"", I4018))"),"TV-MA")</f>
        <v>TV-MA</v>
      </c>
      <c r="R4018" s="5" t="str">
        <f t="shared" si="2"/>
        <v>Turn Up Charlie</v>
      </c>
      <c r="S4018" s="5" t="str">
        <f>IFERROR(__xludf.DUMMYFUNCTION("""COMPUTED_VALUE"""),"Legends Of Strength")</f>
        <v>Legends Of Strength</v>
      </c>
      <c r="U4018" s="5" t="str">
        <f>IFERROR(__xludf.DUMMYFUNCTION("""COMPUTED_VALUE"""),"Jeremy Coon, Tim Skousen")</f>
        <v>Jeremy Coon, Tim Skousen</v>
      </c>
      <c r="V4018" s="5" t="s">
        <v>21669</v>
      </c>
      <c r="W4018" s="5" t="str">
        <f t="shared" si="3"/>
        <v>Steve Mclean</v>
      </c>
      <c r="X4018" s="5">
        <f t="shared" si="4"/>
        <v>1</v>
      </c>
      <c r="Y4018" s="5" t="str">
        <f>IFERROR(__xludf.DUMMYFUNCTION("REGEXEXTRACT(J4018, ""^\d+"")"),"1")</f>
        <v>1</v>
      </c>
      <c r="Z4018" s="5" t="str">
        <f>IFERROR(__xludf.DUMMYFUNCTION("REGEXEXTRACT(J4018, ""[A-Za-z ]+$"")")," Season")</f>
        <v> Season</v>
      </c>
      <c r="AA4018" s="5" t="str">
        <f>IFERROR(__xludf.DUMMYFUNCTION("IF(REGEXMATCH(Z4018, ""Season""), ""TV Show"", ""Movie"")"),"TV Show")</f>
        <v>TV Show</v>
      </c>
    </row>
    <row r="4019">
      <c r="A4019" s="1" t="s">
        <v>21670</v>
      </c>
      <c r="B4019" s="1" t="s">
        <v>27</v>
      </c>
      <c r="C4019" s="1" t="s">
        <v>21671</v>
      </c>
      <c r="D4019" s="1" t="s">
        <v>21556</v>
      </c>
      <c r="E4019" s="1" t="s">
        <v>21672</v>
      </c>
      <c r="F4019" s="1" t="s">
        <v>4287</v>
      </c>
      <c r="G4019" s="1" t="s">
        <v>21673</v>
      </c>
      <c r="H4019" s="1">
        <v>2007.0</v>
      </c>
      <c r="I4019" s="1" t="s">
        <v>97</v>
      </c>
      <c r="J4019" s="1" t="s">
        <v>743</v>
      </c>
      <c r="K4019" s="1" t="s">
        <v>679</v>
      </c>
      <c r="L4019" s="1" t="s">
        <v>21674</v>
      </c>
      <c r="M4019" s="2" t="s">
        <v>12</v>
      </c>
      <c r="N4019" s="4">
        <f t="shared" si="1"/>
        <v>43538</v>
      </c>
      <c r="O4019" s="5" t="str">
        <f>IFERROR(__xludf.DUMMYFUNCTION("IF(REGEXMATCH(TRIM(I4019), ""^\d+\s*min""), ""Unclassified"", IF(I4019 = """", ""NR"", I4019))"),"TV-14")</f>
        <v>TV-14</v>
      </c>
      <c r="R4019" s="5" t="str">
        <f t="shared" si="2"/>
        <v>A Love Story</v>
      </c>
      <c r="S4019" s="5" t="str">
        <f>IFERROR(__xludf.DUMMYFUNCTION("""COMPUTED_VALUE"""),"Legends Of The Hidden Temple")</f>
        <v>Legends Of The Hidden Temple</v>
      </c>
      <c r="U4019" s="5" t="str">
        <f>IFERROR(__xludf.DUMMYFUNCTION("""COMPUTED_VALUE"""),"Ding Sheng")</f>
        <v>Ding Sheng</v>
      </c>
      <c r="V4019" s="5" t="s">
        <v>17975</v>
      </c>
      <c r="W4019" s="5" t="str">
        <f t="shared" si="3"/>
        <v>Steve Paley</v>
      </c>
      <c r="X4019" s="5">
        <f t="shared" si="4"/>
        <v>2</v>
      </c>
      <c r="Y4019" s="5" t="str">
        <f>IFERROR(__xludf.DUMMYFUNCTION("REGEXEXTRACT(J4019, ""^\d+"")"),"117")</f>
        <v>117</v>
      </c>
      <c r="Z4019" s="5" t="str">
        <f>IFERROR(__xludf.DUMMYFUNCTION("REGEXEXTRACT(J4019, ""[A-Za-z ]+$"")")," min")</f>
        <v> min</v>
      </c>
      <c r="AA4019" s="5" t="str">
        <f>IFERROR(__xludf.DUMMYFUNCTION("IF(REGEXMATCH(Z4019, ""Season""), ""TV Show"", ""Movie"")"),"Movie")</f>
        <v>Movie</v>
      </c>
    </row>
    <row r="4020">
      <c r="A4020" s="1" t="s">
        <v>21675</v>
      </c>
      <c r="B4020" s="1" t="s">
        <v>27</v>
      </c>
      <c r="C4020" s="1" t="s">
        <v>21676</v>
      </c>
      <c r="D4020" s="1" t="s">
        <v>17217</v>
      </c>
      <c r="E4020" s="1" t="s">
        <v>21677</v>
      </c>
      <c r="F4020" s="1" t="s">
        <v>4287</v>
      </c>
      <c r="G4020" s="1" t="s">
        <v>21673</v>
      </c>
      <c r="H4020" s="1">
        <v>2016.0</v>
      </c>
      <c r="I4020" s="1" t="s">
        <v>97</v>
      </c>
      <c r="J4020" s="1" t="s">
        <v>2505</v>
      </c>
      <c r="K4020" s="1" t="s">
        <v>679</v>
      </c>
      <c r="L4020" s="1" t="s">
        <v>21678</v>
      </c>
      <c r="M4020" s="2" t="s">
        <v>12</v>
      </c>
      <c r="N4020" s="4">
        <f t="shared" si="1"/>
        <v>43538</v>
      </c>
      <c r="O4020" s="5" t="str">
        <f>IFERROR(__xludf.DUMMYFUNCTION("IF(REGEXMATCH(TRIM(I4020), ""^\d+\s*min""), ""Unclassified"", IF(I4020 = """", ""NR"", I4020))"),"TV-14")</f>
        <v>TV-14</v>
      </c>
      <c r="R4020" s="5" t="str">
        <f t="shared" si="2"/>
        <v>Barcelona: A Love Untold</v>
      </c>
      <c r="S4020" s="5" t="str">
        <f>IFERROR(__xludf.DUMMYFUNCTION("""COMPUTED_VALUE"""),"Legion")</f>
        <v>Legion</v>
      </c>
      <c r="U4020" s="5" t="str">
        <f>IFERROR(__xludf.DUMMYFUNCTION("""COMPUTED_VALUE"""),"Basu Chatterjee")</f>
        <v>Basu Chatterjee</v>
      </c>
      <c r="V4020" s="5" t="s">
        <v>6547</v>
      </c>
      <c r="W4020" s="5" t="str">
        <f t="shared" si="3"/>
        <v>Steve Pink</v>
      </c>
      <c r="X4020" s="5">
        <f t="shared" si="4"/>
        <v>1</v>
      </c>
      <c r="Y4020" s="5" t="str">
        <f>IFERROR(__xludf.DUMMYFUNCTION("REGEXEXTRACT(J4020, ""^\d+"")"),"132")</f>
        <v>132</v>
      </c>
      <c r="Z4020" s="5" t="str">
        <f>IFERROR(__xludf.DUMMYFUNCTION("REGEXEXTRACT(J4020, ""[A-Za-z ]+$"")")," min")</f>
        <v> min</v>
      </c>
      <c r="AA4020" s="5" t="str">
        <f>IFERROR(__xludf.DUMMYFUNCTION("IF(REGEXMATCH(Z4020, ""Season""), ""TV Show"", ""Movie"")"),"Movie")</f>
        <v>Movie</v>
      </c>
    </row>
    <row r="4021">
      <c r="A4021" s="1" t="s">
        <v>21679</v>
      </c>
      <c r="B4021" s="1" t="s">
        <v>27</v>
      </c>
      <c r="C4021" s="1" t="s">
        <v>21680</v>
      </c>
      <c r="D4021" s="1" t="s">
        <v>11958</v>
      </c>
      <c r="E4021" s="1" t="s">
        <v>21681</v>
      </c>
      <c r="F4021" s="1" t="s">
        <v>4287</v>
      </c>
      <c r="G4021" s="1" t="s">
        <v>21673</v>
      </c>
      <c r="H4021" s="1">
        <v>2016.0</v>
      </c>
      <c r="I4021" s="1" t="s">
        <v>42</v>
      </c>
      <c r="J4021" s="1" t="s">
        <v>127</v>
      </c>
      <c r="K4021" s="1" t="s">
        <v>583</v>
      </c>
      <c r="L4021" s="1" t="s">
        <v>21682</v>
      </c>
      <c r="M4021" s="2" t="s">
        <v>12</v>
      </c>
      <c r="N4021" s="4">
        <f t="shared" si="1"/>
        <v>43538</v>
      </c>
      <c r="O4021" s="5" t="str">
        <f>IFERROR(__xludf.DUMMYFUNCTION("IF(REGEXMATCH(TRIM(I4021), ""^\d+\s*min""), ""Unclassified"", IF(I4021 = """", ""NR"", I4021))"),"TV-MA")</f>
        <v>TV-MA</v>
      </c>
      <c r="R4021" s="5" t="str">
        <f t="shared" si="2"/>
        <v>Everything About Her</v>
      </c>
      <c r="S4021" s="5" t="str">
        <f>IFERROR(__xludf.DUMMYFUNCTION("""COMPUTED_VALUE"""),"Lego Bionicle: The Journey To One")</f>
        <v>Lego Bionicle: The Journey To One</v>
      </c>
      <c r="U4021" s="5" t="str">
        <f>IFERROR(__xludf.DUMMYFUNCTION("""COMPUTED_VALUE"""),"Phil Johnston, Rich Moore")</f>
        <v>Phil Johnston, Rich Moore</v>
      </c>
      <c r="V4021" s="5" t="s">
        <v>21683</v>
      </c>
      <c r="W4021" s="5" t="str">
        <f t="shared" si="3"/>
        <v>Steve Race</v>
      </c>
      <c r="X4021" s="5">
        <f t="shared" si="4"/>
        <v>1</v>
      </c>
      <c r="Y4021" s="5" t="str">
        <f>IFERROR(__xludf.DUMMYFUNCTION("REGEXEXTRACT(J4021, ""^\d+"")"),"127")</f>
        <v>127</v>
      </c>
      <c r="Z4021" s="5" t="str">
        <f>IFERROR(__xludf.DUMMYFUNCTION("REGEXEXTRACT(J4021, ""[A-Za-z ]+$"")")," min")</f>
        <v> min</v>
      </c>
      <c r="AA4021" s="5" t="str">
        <f>IFERROR(__xludf.DUMMYFUNCTION("IF(REGEXMATCH(Z4021, ""Season""), ""TV Show"", ""Movie"")"),"Movie")</f>
        <v>Movie</v>
      </c>
    </row>
    <row r="4022">
      <c r="A4022" s="1" t="s">
        <v>21684</v>
      </c>
      <c r="B4022" s="1" t="s">
        <v>27</v>
      </c>
      <c r="C4022" s="1" t="s">
        <v>21685</v>
      </c>
      <c r="D4022" s="1" t="s">
        <v>9164</v>
      </c>
      <c r="E4022" s="1" t="s">
        <v>21686</v>
      </c>
      <c r="F4022" s="1" t="s">
        <v>4287</v>
      </c>
      <c r="G4022" s="1" t="s">
        <v>21673</v>
      </c>
      <c r="H4022" s="1">
        <v>2017.0</v>
      </c>
      <c r="I4022" s="1" t="s">
        <v>97</v>
      </c>
      <c r="J4022" s="1" t="s">
        <v>88</v>
      </c>
      <c r="K4022" s="1" t="s">
        <v>3183</v>
      </c>
      <c r="L4022" s="1" t="s">
        <v>21687</v>
      </c>
      <c r="M4022" s="2" t="s">
        <v>12</v>
      </c>
      <c r="N4022" s="4">
        <f t="shared" si="1"/>
        <v>43538</v>
      </c>
      <c r="O4022" s="5" t="str">
        <f>IFERROR(__xludf.DUMMYFUNCTION("IF(REGEXMATCH(TRIM(I4022), ""^\d+\s*min""), ""Unclassified"", IF(I4022 = """", ""NR"", I4022))"),"TV-14")</f>
        <v>TV-14</v>
      </c>
      <c r="R4022" s="5" t="str">
        <f t="shared" si="2"/>
        <v>Finally Found Someone</v>
      </c>
      <c r="S4022" s="5" t="str">
        <f>IFERROR(__xludf.DUMMYFUNCTION("""COMPUTED_VALUE"""),"Lego Dc Comics: Batman Be-Leaguered")</f>
        <v>Lego Dc Comics: Batman Be-Leaguered</v>
      </c>
      <c r="U4022" s="5" t="str">
        <f>IFERROR(__xludf.DUMMYFUNCTION("""COMPUTED_VALUE"""),"Eric Khoo")</f>
        <v>Eric Khoo</v>
      </c>
      <c r="V4022" s="5" t="s">
        <v>17057</v>
      </c>
      <c r="W4022" s="5" t="str">
        <f t="shared" si="3"/>
        <v>Steve Rash</v>
      </c>
      <c r="X4022" s="5">
        <f t="shared" si="4"/>
        <v>1</v>
      </c>
      <c r="Y4022" s="5" t="str">
        <f>IFERROR(__xludf.DUMMYFUNCTION("REGEXEXTRACT(J4022, ""^\d+"")"),"125")</f>
        <v>125</v>
      </c>
      <c r="Z4022" s="5" t="str">
        <f>IFERROR(__xludf.DUMMYFUNCTION("REGEXEXTRACT(J4022, ""[A-Za-z ]+$"")")," min")</f>
        <v> min</v>
      </c>
      <c r="AA4022" s="5" t="str">
        <f>IFERROR(__xludf.DUMMYFUNCTION("IF(REGEXMATCH(Z4022, ""Season""), ""TV Show"", ""Movie"")"),"Movie")</f>
        <v>Movie</v>
      </c>
    </row>
    <row r="4023">
      <c r="A4023" s="1" t="s">
        <v>21688</v>
      </c>
      <c r="B4023" s="1" t="s">
        <v>27</v>
      </c>
      <c r="C4023" s="1" t="s">
        <v>21689</v>
      </c>
      <c r="D4023" s="1" t="s">
        <v>4260</v>
      </c>
      <c r="E4023" s="1" t="s">
        <v>21690</v>
      </c>
      <c r="F4023" s="1" t="s">
        <v>4287</v>
      </c>
      <c r="G4023" s="1" t="s">
        <v>21673</v>
      </c>
      <c r="H4023" s="1">
        <v>2017.0</v>
      </c>
      <c r="I4023" s="1" t="s">
        <v>42</v>
      </c>
      <c r="J4023" s="1" t="s">
        <v>757</v>
      </c>
      <c r="K4023" s="1" t="s">
        <v>583</v>
      </c>
      <c r="L4023" s="1" t="s">
        <v>21691</v>
      </c>
      <c r="M4023" s="2" t="s">
        <v>12</v>
      </c>
      <c r="N4023" s="4">
        <f t="shared" si="1"/>
        <v>43538</v>
      </c>
      <c r="O4023" s="5" t="str">
        <f>IFERROR(__xludf.DUMMYFUNCTION("IF(REGEXMATCH(TRIM(I4023), ""^\d+\s*min""), ""Unclassified"", IF(I4023 = """", ""NR"", I4023))"),"TV-MA")</f>
        <v>TV-MA</v>
      </c>
      <c r="R4023" s="5" t="str">
        <f t="shared" si="2"/>
        <v>Seven Sundays</v>
      </c>
      <c r="S4023" s="5" t="str">
        <f>IFERROR(__xludf.DUMMYFUNCTION("""COMPUTED_VALUE"""),"Lego Elves: Secrets Of Elvendale")</f>
        <v>Lego Elves: Secrets Of Elvendale</v>
      </c>
      <c r="U4023" s="5" t="str">
        <f>IFERROR(__xludf.DUMMYFUNCTION("""COMPUTED_VALUE"""),"Sanjay Dayma")</f>
        <v>Sanjay Dayma</v>
      </c>
      <c r="V4023" s="5" t="s">
        <v>6508</v>
      </c>
      <c r="W4023" s="5" t="str">
        <f t="shared" si="3"/>
        <v>Steve Rolston</v>
      </c>
      <c r="X4023" s="5">
        <f t="shared" si="4"/>
        <v>1</v>
      </c>
      <c r="Y4023" s="5" t="str">
        <f>IFERROR(__xludf.DUMMYFUNCTION("REGEXEXTRACT(J4023, ""^\d+"")"),"128")</f>
        <v>128</v>
      </c>
      <c r="Z4023" s="5" t="str">
        <f>IFERROR(__xludf.DUMMYFUNCTION("REGEXEXTRACT(J4023, ""[A-Za-z ]+$"")")," min")</f>
        <v> min</v>
      </c>
      <c r="AA4023" s="5" t="str">
        <f>IFERROR(__xludf.DUMMYFUNCTION("IF(REGEXMATCH(Z4023, ""Season""), ""TV Show"", ""Movie"")"),"Movie")</f>
        <v>Movie</v>
      </c>
    </row>
    <row r="4024">
      <c r="A4024" s="1" t="s">
        <v>21692</v>
      </c>
      <c r="B4024" s="1" t="s">
        <v>37</v>
      </c>
      <c r="C4024" s="1" t="s">
        <v>21693</v>
      </c>
      <c r="E4024" s="1" t="s">
        <v>21694</v>
      </c>
      <c r="F4024" s="1" t="s">
        <v>3309</v>
      </c>
      <c r="G4024" s="1" t="s">
        <v>21695</v>
      </c>
      <c r="H4024" s="1">
        <v>2018.0</v>
      </c>
      <c r="I4024" s="1" t="s">
        <v>97</v>
      </c>
      <c r="J4024" s="1" t="s">
        <v>51</v>
      </c>
      <c r="K4024" s="1" t="s">
        <v>44</v>
      </c>
      <c r="L4024" s="1" t="s">
        <v>21696</v>
      </c>
      <c r="M4024" s="2" t="s">
        <v>12</v>
      </c>
      <c r="N4024" s="4">
        <f t="shared" si="1"/>
        <v>43537</v>
      </c>
      <c r="O4024" s="5" t="str">
        <f>IFERROR(__xludf.DUMMYFUNCTION("IF(REGEXMATCH(TRIM(I4024), ""^\d+\s*min""), ""Unclassified"", IF(I4024 = """", ""NR"", I4024))"),"TV-14")</f>
        <v>TV-14</v>
      </c>
      <c r="R4024" s="5" t="str">
        <f t="shared" si="2"/>
        <v>More To Say</v>
      </c>
      <c r="S4024" s="5" t="str">
        <f>IFERROR(__xludf.DUMMYFUNCTION("""COMPUTED_VALUE"""),"Lego Friends")</f>
        <v>Lego Friends</v>
      </c>
      <c r="U4024" s="5" t="str">
        <f>IFERROR(__xludf.DUMMYFUNCTION("""COMPUTED_VALUE"""),"Kim Sung-Hoon")</f>
        <v>Kim Sung-Hoon</v>
      </c>
      <c r="V4024" s="5" t="s">
        <v>21697</v>
      </c>
      <c r="W4024" s="5" t="str">
        <f t="shared" si="3"/>
        <v>Steve Sacks</v>
      </c>
      <c r="X4024" s="5">
        <f t="shared" si="4"/>
        <v>1</v>
      </c>
      <c r="Y4024" s="5" t="str">
        <f>IFERROR(__xludf.DUMMYFUNCTION("REGEXEXTRACT(J4024, ""^\d+"")"),"1")</f>
        <v>1</v>
      </c>
      <c r="Z4024" s="5" t="str">
        <f>IFERROR(__xludf.DUMMYFUNCTION("REGEXEXTRACT(J4024, ""[A-Za-z ]+$"")")," Season")</f>
        <v> Season</v>
      </c>
      <c r="AA4024" s="5" t="str">
        <f>IFERROR(__xludf.DUMMYFUNCTION("IF(REGEXMATCH(Z4024, ""Season""), ""TV Show"", ""Movie"")"),"TV Show")</f>
        <v>TV Show</v>
      </c>
    </row>
    <row r="4025">
      <c r="A4025" s="1" t="s">
        <v>21698</v>
      </c>
      <c r="B4025" s="1" t="s">
        <v>37</v>
      </c>
      <c r="C4025" s="1" t="s">
        <v>21699</v>
      </c>
      <c r="E4025" s="1" t="s">
        <v>21700</v>
      </c>
      <c r="F4025" s="1" t="s">
        <v>3309</v>
      </c>
      <c r="G4025" s="1" t="s">
        <v>21695</v>
      </c>
      <c r="H4025" s="1">
        <v>2018.0</v>
      </c>
      <c r="I4025" s="1" t="s">
        <v>97</v>
      </c>
      <c r="J4025" s="1" t="s">
        <v>51</v>
      </c>
      <c r="K4025" s="1" t="s">
        <v>17883</v>
      </c>
      <c r="L4025" s="1" t="s">
        <v>21701</v>
      </c>
      <c r="M4025" s="2" t="s">
        <v>12</v>
      </c>
      <c r="N4025" s="4">
        <f t="shared" si="1"/>
        <v>43537</v>
      </c>
      <c r="O4025" s="5" t="str">
        <f>IFERROR(__xludf.DUMMYFUNCTION("IF(REGEXMATCH(TRIM(I4025), ""^\d+\s*min""), ""Unclassified"", IF(I4025 = """", ""NR"", I4025))"),"TV-14")</f>
        <v>TV-14</v>
      </c>
      <c r="R4025" s="5" t="str">
        <f t="shared" si="2"/>
        <v>The Land Of Hypocrisy</v>
      </c>
      <c r="S4025" s="5" t="str">
        <f>IFERROR(__xludf.DUMMYFUNCTION("""COMPUTED_VALUE"""),"Lego Friends: Girls On A Mission")</f>
        <v>Lego Friends: Girls On A Mission</v>
      </c>
      <c r="U4025" s="5" t="str">
        <f>IFERROR(__xludf.DUMMYFUNCTION("""COMPUTED_VALUE"""),"Girish Joshi")</f>
        <v>Girish Joshi</v>
      </c>
      <c r="V4025" s="5" t="s">
        <v>9992</v>
      </c>
      <c r="W4025" s="5" t="str">
        <f t="shared" si="3"/>
        <v>Steven Bognar, Julia Reichert</v>
      </c>
      <c r="X4025" s="5">
        <f t="shared" si="4"/>
        <v>2</v>
      </c>
      <c r="Y4025" s="5" t="str">
        <f>IFERROR(__xludf.DUMMYFUNCTION("REGEXEXTRACT(J4025, ""^\d+"")"),"1")</f>
        <v>1</v>
      </c>
      <c r="Z4025" s="5" t="str">
        <f>IFERROR(__xludf.DUMMYFUNCTION("REGEXEXTRACT(J4025, ""[A-Za-z ]+$"")")," Season")</f>
        <v> Season</v>
      </c>
      <c r="AA4025" s="5" t="str">
        <f>IFERROR(__xludf.DUMMYFUNCTION("IF(REGEXMATCH(Z4025, ""Season""), ""TV Show"", ""Movie"")"),"TV Show")</f>
        <v>TV Show</v>
      </c>
    </row>
    <row r="4026">
      <c r="A4026" s="1" t="s">
        <v>21702</v>
      </c>
      <c r="B4026" s="1" t="s">
        <v>27</v>
      </c>
      <c r="C4026" s="1" t="s">
        <v>21703</v>
      </c>
      <c r="D4026" s="1" t="s">
        <v>9817</v>
      </c>
      <c r="E4026" s="1" t="s">
        <v>21704</v>
      </c>
      <c r="F4026" s="1" t="s">
        <v>30</v>
      </c>
      <c r="G4026" s="1" t="s">
        <v>21695</v>
      </c>
      <c r="H4026" s="1">
        <v>2019.0</v>
      </c>
      <c r="I4026" s="1" t="s">
        <v>378</v>
      </c>
      <c r="J4026" s="1" t="s">
        <v>3458</v>
      </c>
      <c r="K4026" s="1" t="s">
        <v>380</v>
      </c>
      <c r="L4026" s="1" t="s">
        <v>21705</v>
      </c>
      <c r="M4026" s="2" t="s">
        <v>12</v>
      </c>
      <c r="N4026" s="4">
        <f t="shared" si="1"/>
        <v>43537</v>
      </c>
      <c r="O4026" s="5" t="str">
        <f>IFERROR(__xludf.DUMMYFUNCTION("IF(REGEXMATCH(TRIM(I4026), ""^\d+\s*min""), ""Unclassified"", IF(I4026 = """", ""NR"", I4026))"),"R")</f>
        <v>R</v>
      </c>
      <c r="R4026" s="5" t="str">
        <f t="shared" si="2"/>
        <v>Triple Frontier</v>
      </c>
      <c r="S4026" s="5" t="str">
        <f>IFERROR(__xludf.DUMMYFUNCTION("""COMPUTED_VALUE"""),"Lego Friends: The Power Of Friendship")</f>
        <v>Lego Friends: The Power Of Friendship</v>
      </c>
      <c r="U4026" s="5" t="str">
        <f>IFERROR(__xludf.DUMMYFUNCTION("""COMPUTED_VALUE"""),"Amir Mohiuddin")</f>
        <v>Amir Mohiuddin</v>
      </c>
      <c r="V4026" s="5" t="s">
        <v>21706</v>
      </c>
      <c r="W4026" s="5" t="str">
        <f t="shared" si="3"/>
        <v>Steven Brill</v>
      </c>
      <c r="X4026" s="5">
        <f t="shared" si="4"/>
        <v>2</v>
      </c>
      <c r="Y4026" s="5" t="str">
        <f>IFERROR(__xludf.DUMMYFUNCTION("REGEXEXTRACT(J4026, ""^\d+"")"),"126")</f>
        <v>126</v>
      </c>
      <c r="Z4026" s="5" t="str">
        <f>IFERROR(__xludf.DUMMYFUNCTION("REGEXEXTRACT(J4026, ""[A-Za-z ]+$"")")," min")</f>
        <v> min</v>
      </c>
      <c r="AA4026" s="5" t="str">
        <f>IFERROR(__xludf.DUMMYFUNCTION("IF(REGEXMATCH(Z4026, ""Season""), ""TV Show"", ""Movie"")"),"Movie")</f>
        <v>Movie</v>
      </c>
    </row>
    <row r="4027">
      <c r="A4027" s="1" t="s">
        <v>21707</v>
      </c>
      <c r="B4027" s="1" t="s">
        <v>27</v>
      </c>
      <c r="C4027" s="1" t="s">
        <v>21708</v>
      </c>
      <c r="D4027" s="1" t="s">
        <v>3785</v>
      </c>
      <c r="E4027" s="1" t="s">
        <v>21709</v>
      </c>
      <c r="G4027" s="1" t="s">
        <v>21710</v>
      </c>
      <c r="H4027" s="1">
        <v>2019.0</v>
      </c>
      <c r="I4027" s="1" t="s">
        <v>42</v>
      </c>
      <c r="J4027" s="1" t="s">
        <v>4693</v>
      </c>
      <c r="K4027" s="1" t="s">
        <v>1839</v>
      </c>
      <c r="L4027" s="1" t="s">
        <v>21711</v>
      </c>
      <c r="M4027" s="2" t="s">
        <v>12</v>
      </c>
      <c r="N4027" s="4">
        <f t="shared" si="1"/>
        <v>43536</v>
      </c>
      <c r="O4027" s="5" t="str">
        <f>IFERROR(__xludf.DUMMYFUNCTION("IF(REGEXMATCH(TRIM(I4027), ""^\d+\s*min""), ""Unclassified"", IF(I4027 = """", ""NR"", I4027))"),"TV-MA")</f>
        <v>TV-MA</v>
      </c>
      <c r="R4027" s="5" t="str">
        <f t="shared" si="2"/>
        <v>Jimmy Carr: The Best Of Ultimate Gold Greatest Hits</v>
      </c>
      <c r="S4027" s="5" t="str">
        <f>IFERROR(__xludf.DUMMYFUNCTION("""COMPUTED_VALUE"""),"Lego House - Home Of The Brick")</f>
        <v>Lego House - Home Of The Brick</v>
      </c>
      <c r="U4027" s="5" t="str">
        <f>IFERROR(__xludf.DUMMYFUNCTION("""COMPUTED_VALUE"""),"Husam El-Gohari")</f>
        <v>Husam El-Gohari</v>
      </c>
      <c r="V4027" s="5" t="s">
        <v>998</v>
      </c>
      <c r="W4027" s="5" t="str">
        <f t="shared" si="3"/>
        <v>Steven C. Miller</v>
      </c>
      <c r="X4027" s="5">
        <f t="shared" si="4"/>
        <v>3</v>
      </c>
      <c r="Y4027" s="5" t="str">
        <f>IFERROR(__xludf.DUMMYFUNCTION("REGEXEXTRACT(J4027, ""^\d+"")"),"58")</f>
        <v>58</v>
      </c>
      <c r="Z4027" s="5" t="str">
        <f>IFERROR(__xludf.DUMMYFUNCTION("REGEXEXTRACT(J4027, ""[A-Za-z ]+$"")")," min")</f>
        <v> min</v>
      </c>
      <c r="AA4027" s="5" t="str">
        <f>IFERROR(__xludf.DUMMYFUNCTION("IF(REGEXMATCH(Z4027, ""Season""), ""TV Show"", ""Movie"")"),"Movie")</f>
        <v>Movie</v>
      </c>
    </row>
    <row r="4028">
      <c r="A4028" s="1" t="s">
        <v>21712</v>
      </c>
      <c r="B4028" s="1" t="s">
        <v>37</v>
      </c>
      <c r="C4028" s="1" t="s">
        <v>21713</v>
      </c>
      <c r="E4028" s="1" t="s">
        <v>21714</v>
      </c>
      <c r="F4028" s="1" t="s">
        <v>3309</v>
      </c>
      <c r="G4028" s="1" t="s">
        <v>21715</v>
      </c>
      <c r="H4028" s="1">
        <v>2018.0</v>
      </c>
      <c r="I4028" s="1" t="s">
        <v>97</v>
      </c>
      <c r="J4028" s="1" t="s">
        <v>51</v>
      </c>
      <c r="K4028" s="1" t="s">
        <v>1907</v>
      </c>
      <c r="L4028" s="1" t="s">
        <v>21716</v>
      </c>
      <c r="M4028" s="2" t="s">
        <v>12</v>
      </c>
      <c r="N4028" s="4">
        <f t="shared" si="1"/>
        <v>43535</v>
      </c>
      <c r="O4028" s="5" t="str">
        <f>IFERROR(__xludf.DUMMYFUNCTION("IF(REGEXMATCH(TRIM(I4028), ""^\d+\s*min""), ""Unclassified"", IF(I4028 = """", ""NR"", I4028))"),"TV-14")</f>
        <v>TV-14</v>
      </c>
      <c r="R4028" s="5" t="str">
        <f t="shared" si="2"/>
        <v>Eugenie Nights</v>
      </c>
      <c r="S4028" s="5" t="str">
        <f>IFERROR(__xludf.DUMMYFUNCTION("""COMPUTED_VALUE"""),"Lego Jurassic World: Legend Of Isla Nublar")</f>
        <v>Lego Jurassic World: Legend Of Isla Nublar</v>
      </c>
      <c r="U4028" s="5" t="str">
        <f>IFERROR(__xludf.DUMMYFUNCTION("""COMPUTED_VALUE"""),"Nicholas Ray")</f>
        <v>Nicholas Ray</v>
      </c>
      <c r="V4028" s="5" t="s">
        <v>21717</v>
      </c>
      <c r="W4028" s="5" t="str">
        <f t="shared" si="3"/>
        <v>Steven Fine</v>
      </c>
      <c r="X4028" s="5">
        <f t="shared" si="4"/>
        <v>1</v>
      </c>
      <c r="Y4028" s="5" t="str">
        <f>IFERROR(__xludf.DUMMYFUNCTION("REGEXEXTRACT(J4028, ""^\d+"")"),"1")</f>
        <v>1</v>
      </c>
      <c r="Z4028" s="5" t="str">
        <f>IFERROR(__xludf.DUMMYFUNCTION("REGEXEXTRACT(J4028, ""[A-Za-z ]+$"")")," Season")</f>
        <v> Season</v>
      </c>
      <c r="AA4028" s="5" t="str">
        <f>IFERROR(__xludf.DUMMYFUNCTION("IF(REGEXMATCH(Z4028, ""Season""), ""TV Show"", ""Movie"")"),"TV Show")</f>
        <v>TV Show</v>
      </c>
    </row>
    <row r="4029">
      <c r="A4029" s="1" t="s">
        <v>21718</v>
      </c>
      <c r="B4029" s="1" t="s">
        <v>37</v>
      </c>
      <c r="C4029" s="1" t="s">
        <v>21719</v>
      </c>
      <c r="E4029" s="1" t="s">
        <v>21720</v>
      </c>
      <c r="F4029" s="1" t="s">
        <v>3309</v>
      </c>
      <c r="G4029" s="1" t="s">
        <v>21715</v>
      </c>
      <c r="H4029" s="1">
        <v>2017.0</v>
      </c>
      <c r="I4029" s="1" t="s">
        <v>97</v>
      </c>
      <c r="J4029" s="1" t="s">
        <v>51</v>
      </c>
      <c r="K4029" s="1" t="s">
        <v>402</v>
      </c>
      <c r="L4029" s="1" t="s">
        <v>21721</v>
      </c>
      <c r="M4029" s="2" t="s">
        <v>12</v>
      </c>
      <c r="N4029" s="4">
        <f t="shared" si="1"/>
        <v>43535</v>
      </c>
      <c r="O4029" s="5" t="str">
        <f>IFERROR(__xludf.DUMMYFUNCTION("IF(REGEXMATCH(TRIM(I4029), ""^\d+\s*min""), ""Unclassified"", IF(I4029 = """", ""NR"", I4029))"),"TV-14")</f>
        <v>TV-14</v>
      </c>
      <c r="R4029" s="5" t="str">
        <f t="shared" si="2"/>
        <v>This Evening</v>
      </c>
      <c r="S4029" s="5" t="str">
        <f>IFERROR(__xludf.DUMMYFUNCTION("""COMPUTED_VALUE"""),"Lego Jurassic World: Secret Exhibit")</f>
        <v>Lego Jurassic World: Secret Exhibit</v>
      </c>
      <c r="U4029" s="5" t="str">
        <f>IFERROR(__xludf.DUMMYFUNCTION("""COMPUTED_VALUE"""),"Michael James Regan")</f>
        <v>Michael James Regan</v>
      </c>
      <c r="V4029" s="5" t="s">
        <v>21722</v>
      </c>
      <c r="W4029" s="5" t="str">
        <f t="shared" si="3"/>
        <v>Steven Gomez</v>
      </c>
      <c r="X4029" s="5">
        <f t="shared" si="4"/>
        <v>1</v>
      </c>
      <c r="Y4029" s="5" t="str">
        <f>IFERROR(__xludf.DUMMYFUNCTION("REGEXEXTRACT(J4029, ""^\d+"")"),"1")</f>
        <v>1</v>
      </c>
      <c r="Z4029" s="5" t="str">
        <f>IFERROR(__xludf.DUMMYFUNCTION("REGEXEXTRACT(J4029, ""[A-Za-z ]+$"")")," Season")</f>
        <v> Season</v>
      </c>
      <c r="AA4029" s="5" t="str">
        <f>IFERROR(__xludf.DUMMYFUNCTION("IF(REGEXMATCH(Z4029, ""Season""), ""TV Show"", ""Movie"")"),"TV Show")</f>
        <v>TV Show</v>
      </c>
    </row>
    <row r="4030">
      <c r="A4030" s="1" t="s">
        <v>21723</v>
      </c>
      <c r="B4030" s="1" t="s">
        <v>37</v>
      </c>
      <c r="C4030" s="1" t="s">
        <v>21724</v>
      </c>
      <c r="E4030" s="1" t="s">
        <v>21725</v>
      </c>
      <c r="F4030" s="1" t="s">
        <v>30</v>
      </c>
      <c r="G4030" s="1" t="s">
        <v>21726</v>
      </c>
      <c r="H4030" s="1">
        <v>2018.0</v>
      </c>
      <c r="I4030" s="1" t="s">
        <v>42</v>
      </c>
      <c r="J4030" s="1" t="s">
        <v>276</v>
      </c>
      <c r="K4030" s="1" t="s">
        <v>21727</v>
      </c>
      <c r="L4030" s="1" t="s">
        <v>21728</v>
      </c>
      <c r="M4030" s="2" t="s">
        <v>12</v>
      </c>
      <c r="N4030" s="4">
        <f t="shared" si="1"/>
        <v>43534</v>
      </c>
      <c r="O4030" s="5" t="str">
        <f>IFERROR(__xludf.DUMMYFUNCTION("IF(REGEXMATCH(TRIM(I4030), ""^\d+\s*min""), ""Unclassified"", IF(I4030 = """", ""NR"", I4030))"),"TV-MA")</f>
        <v>TV-MA</v>
      </c>
      <c r="R4030" s="5" t="str">
        <f t="shared" si="2"/>
        <v>Into The Badlands</v>
      </c>
      <c r="S4030" s="5" t="str">
        <f>IFERROR(__xludf.DUMMYFUNCTION("""COMPUTED_VALUE"""),"Lego Jurassic World: The Indominus Escape")</f>
        <v>Lego Jurassic World: The Indominus Escape</v>
      </c>
      <c r="U4030" s="5" t="str">
        <f>IFERROR(__xludf.DUMMYFUNCTION("""COMPUTED_VALUE"""),"Craig Anderson")</f>
        <v>Craig Anderson</v>
      </c>
      <c r="V4030" s="5" t="s">
        <v>21729</v>
      </c>
      <c r="W4030" s="5" t="str">
        <f t="shared" si="3"/>
        <v>Steven Knight</v>
      </c>
      <c r="X4030" s="5">
        <f t="shared" si="4"/>
        <v>1</v>
      </c>
      <c r="Y4030" s="5" t="str">
        <f>IFERROR(__xludf.DUMMYFUNCTION("REGEXEXTRACT(J4030, ""^\d+"")"),"3")</f>
        <v>3</v>
      </c>
      <c r="Z4030" s="5" t="str">
        <f>IFERROR(__xludf.DUMMYFUNCTION("REGEXEXTRACT(J4030, ""[A-Za-z ]+$"")")," Seasons")</f>
        <v> Seasons</v>
      </c>
      <c r="AA4030" s="5" t="str">
        <f>IFERROR(__xludf.DUMMYFUNCTION("IF(REGEXMATCH(Z4030, ""Season""), ""TV Show"", ""Movie"")"),"TV Show")</f>
        <v>TV Show</v>
      </c>
    </row>
    <row r="4031">
      <c r="A4031" s="1" t="s">
        <v>21730</v>
      </c>
      <c r="B4031" s="1" t="s">
        <v>37</v>
      </c>
      <c r="C4031" s="1" t="s">
        <v>21731</v>
      </c>
      <c r="E4031" s="1" t="s">
        <v>21732</v>
      </c>
      <c r="G4031" s="1" t="s">
        <v>21733</v>
      </c>
      <c r="H4031" s="1">
        <v>2018.0</v>
      </c>
      <c r="I4031" s="1" t="s">
        <v>97</v>
      </c>
      <c r="J4031" s="1" t="s">
        <v>51</v>
      </c>
      <c r="K4031" s="1" t="s">
        <v>1907</v>
      </c>
      <c r="L4031" s="1" t="s">
        <v>21734</v>
      </c>
      <c r="M4031" s="2" t="s">
        <v>12</v>
      </c>
      <c r="N4031" s="4">
        <f t="shared" si="1"/>
        <v>43532</v>
      </c>
      <c r="O4031" s="5" t="str">
        <f>IFERROR(__xludf.DUMMYFUNCTION("IF(REGEXMATCH(TRIM(I4031), ""^\d+\s*min""), ""Unclassified"", IF(I4031 = """", ""NR"", I4031))"),"TV-14")</f>
        <v>TV-14</v>
      </c>
      <c r="R4031" s="5" t="str">
        <f t="shared" si="2"/>
        <v>Bangkok Love Stories: Hey You!</v>
      </c>
      <c r="S4031" s="5" t="str">
        <f>IFERROR(__xludf.DUMMYFUNCTION("""COMPUTED_VALUE"""),"Lego Marvel Spider-Man: Vexed By Venom")</f>
        <v>Lego Marvel Spider-Man: Vexed By Venom</v>
      </c>
      <c r="U4031" s="5" t="str">
        <f>IFERROR(__xludf.DUMMYFUNCTION("""COMPUTED_VALUE"""),"John Milius")</f>
        <v>John Milius</v>
      </c>
      <c r="V4031" s="5" t="s">
        <v>21735</v>
      </c>
      <c r="W4031" s="5" t="str">
        <f t="shared" si="3"/>
        <v>Steven R. Monroe</v>
      </c>
      <c r="X4031" s="5">
        <f t="shared" si="4"/>
        <v>1</v>
      </c>
      <c r="Y4031" s="5" t="str">
        <f>IFERROR(__xludf.DUMMYFUNCTION("REGEXEXTRACT(J4031, ""^\d+"")"),"1")</f>
        <v>1</v>
      </c>
      <c r="Z4031" s="5" t="str">
        <f>IFERROR(__xludf.DUMMYFUNCTION("REGEXEXTRACT(J4031, ""[A-Za-z ]+$"")")," Season")</f>
        <v> Season</v>
      </c>
      <c r="AA4031" s="5" t="str">
        <f>IFERROR(__xludf.DUMMYFUNCTION("IF(REGEXMATCH(Z4031, ""Season""), ""TV Show"", ""Movie"")"),"TV Show")</f>
        <v>TV Show</v>
      </c>
    </row>
    <row r="4032">
      <c r="A4032" s="1" t="s">
        <v>21736</v>
      </c>
      <c r="B4032" s="1" t="s">
        <v>37</v>
      </c>
      <c r="C4032" s="1" t="s">
        <v>21737</v>
      </c>
      <c r="E4032" s="1" t="s">
        <v>21738</v>
      </c>
      <c r="F4032" s="1" t="s">
        <v>3309</v>
      </c>
      <c r="G4032" s="1" t="s">
        <v>21733</v>
      </c>
      <c r="H4032" s="1">
        <v>2018.0</v>
      </c>
      <c r="I4032" s="1" t="s">
        <v>42</v>
      </c>
      <c r="J4032" s="1" t="s">
        <v>51</v>
      </c>
      <c r="K4032" s="1" t="s">
        <v>44</v>
      </c>
      <c r="L4032" s="1" t="s">
        <v>21739</v>
      </c>
      <c r="M4032" s="2" t="s">
        <v>12</v>
      </c>
      <c r="N4032" s="4">
        <f t="shared" si="1"/>
        <v>43532</v>
      </c>
      <c r="O4032" s="5" t="str">
        <f>IFERROR(__xludf.DUMMYFUNCTION("IF(REGEXMATCH(TRIM(I4032), ""^\d+\s*min""), ""Unclassified"", IF(I4032 = """", ""NR"", I4032))"),"TV-MA")</f>
        <v>TV-MA</v>
      </c>
      <c r="R4032" s="5" t="str">
        <f t="shared" si="2"/>
        <v>Disappearance</v>
      </c>
      <c r="S4032" s="5" t="str">
        <f>IFERROR(__xludf.DUMMYFUNCTION("""COMPUTED_VALUE"""),"Lego Marvel Super Heroes: Avengers Reassembled!")</f>
        <v>Lego Marvel Super Heroes: Avengers Reassembled!</v>
      </c>
      <c r="U4032" s="5" t="str">
        <f>IFERROR(__xludf.DUMMYFUNCTION("""COMPUTED_VALUE"""),"Amitava Bhattacharya")</f>
        <v>Amitava Bhattacharya</v>
      </c>
      <c r="V4032" s="5" t="s">
        <v>7682</v>
      </c>
      <c r="W4032" s="5" t="str">
        <f t="shared" si="3"/>
        <v>Steven Rinella</v>
      </c>
      <c r="X4032" s="5">
        <f t="shared" si="4"/>
        <v>1</v>
      </c>
      <c r="Y4032" s="5" t="str">
        <f>IFERROR(__xludf.DUMMYFUNCTION("REGEXEXTRACT(J4032, ""^\d+"")"),"1")</f>
        <v>1</v>
      </c>
      <c r="Z4032" s="5" t="str">
        <f>IFERROR(__xludf.DUMMYFUNCTION("REGEXEXTRACT(J4032, ""[A-Za-z ]+$"")")," Season")</f>
        <v> Season</v>
      </c>
      <c r="AA4032" s="5" t="str">
        <f>IFERROR(__xludf.DUMMYFUNCTION("IF(REGEXMATCH(Z4032, ""Season""), ""TV Show"", ""Movie"")"),"TV Show")</f>
        <v>TV Show</v>
      </c>
    </row>
    <row r="4033">
      <c r="A4033" s="1" t="s">
        <v>21740</v>
      </c>
      <c r="B4033" s="1" t="s">
        <v>27</v>
      </c>
      <c r="C4033" s="1" t="s">
        <v>21741</v>
      </c>
      <c r="D4033" s="1" t="s">
        <v>9555</v>
      </c>
      <c r="E4033" s="1" t="s">
        <v>21742</v>
      </c>
      <c r="F4033" s="1" t="s">
        <v>4557</v>
      </c>
      <c r="G4033" s="1" t="s">
        <v>21733</v>
      </c>
      <c r="H4033" s="1">
        <v>2018.0</v>
      </c>
      <c r="I4033" s="1" t="s">
        <v>97</v>
      </c>
      <c r="J4033" s="1" t="s">
        <v>349</v>
      </c>
      <c r="K4033" s="1" t="s">
        <v>1328</v>
      </c>
      <c r="L4033" s="1" t="s">
        <v>21743</v>
      </c>
      <c r="M4033" s="2" t="s">
        <v>12</v>
      </c>
      <c r="N4033" s="4">
        <f t="shared" si="1"/>
        <v>43532</v>
      </c>
      <c r="O4033" s="5" t="str">
        <f>IFERROR(__xludf.DUMMYFUNCTION("IF(REGEXMATCH(TRIM(I4033), ""^\d+\s*min""), ""Unclassified"", IF(I4033 = """", ""NR"", I4033))"),"TV-14")</f>
        <v>TV-14</v>
      </c>
      <c r="R4033" s="5" t="str">
        <f t="shared" si="2"/>
        <v>Hajwala 2: Mysterious Mission</v>
      </c>
      <c r="S4033" s="5" t="str">
        <f>IFERROR(__xludf.DUMMYFUNCTION("""COMPUTED_VALUE"""),"Lego Marvel Super Heroes: Black Panther")</f>
        <v>Lego Marvel Super Heroes: Black Panther</v>
      </c>
      <c r="U4033" s="5" t="str">
        <f>IFERROR(__xludf.DUMMYFUNCTION("""COMPUTED_VALUE"""),"Marina Willer")</f>
        <v>Marina Willer</v>
      </c>
      <c r="V4033" s="5" t="s">
        <v>18728</v>
      </c>
      <c r="W4033" s="5" t="str">
        <f t="shared" si="3"/>
        <v>Steven Soderbergh</v>
      </c>
      <c r="X4033" s="5">
        <f t="shared" si="4"/>
        <v>6</v>
      </c>
      <c r="Y4033" s="5" t="str">
        <f>IFERROR(__xludf.DUMMYFUNCTION("REGEXEXTRACT(J4033, ""^\d+"")"),"116")</f>
        <v>116</v>
      </c>
      <c r="Z4033" s="5" t="str">
        <f>IFERROR(__xludf.DUMMYFUNCTION("REGEXEXTRACT(J4033, ""[A-Za-z ]+$"")")," min")</f>
        <v> min</v>
      </c>
      <c r="AA4033" s="5" t="str">
        <f>IFERROR(__xludf.DUMMYFUNCTION("IF(REGEXMATCH(Z4033, ""Season""), ""TV Show"", ""Movie"")"),"Movie")</f>
        <v>Movie</v>
      </c>
    </row>
    <row r="4034">
      <c r="A4034" s="1" t="s">
        <v>21744</v>
      </c>
      <c r="B4034" s="1" t="s">
        <v>37</v>
      </c>
      <c r="C4034" s="1" t="s">
        <v>21745</v>
      </c>
      <c r="E4034" s="1" t="s">
        <v>21746</v>
      </c>
      <c r="F4034" s="1" t="s">
        <v>188</v>
      </c>
      <c r="G4034" s="1" t="s">
        <v>21733</v>
      </c>
      <c r="H4034" s="1">
        <v>2018.0</v>
      </c>
      <c r="I4034" s="1" t="s">
        <v>42</v>
      </c>
      <c r="J4034" s="1" t="s">
        <v>51</v>
      </c>
      <c r="K4034" s="1" t="s">
        <v>9281</v>
      </c>
      <c r="L4034" s="1" t="s">
        <v>21747</v>
      </c>
      <c r="M4034" s="2" t="s">
        <v>12</v>
      </c>
      <c r="N4034" s="4">
        <f t="shared" si="1"/>
        <v>43532</v>
      </c>
      <c r="O4034" s="5" t="str">
        <f>IFERROR(__xludf.DUMMYFUNCTION("IF(REGEXMATCH(TRIM(I4034), ""^\d+\s*min""), ""Unclassified"", IF(I4034 = """", ""NR"", I4034))"),"TV-MA")</f>
        <v>TV-MA</v>
      </c>
      <c r="R4034" s="5" t="str">
        <f t="shared" si="2"/>
        <v>Immortals</v>
      </c>
      <c r="S4034" s="5" t="str">
        <f>IFERROR(__xludf.DUMMYFUNCTION("""COMPUTED_VALUE"""),"Lego Marvel Super Heroes: Guardians Of The Galaxy")</f>
        <v>Lego Marvel Super Heroes: Guardians Of The Galaxy</v>
      </c>
      <c r="U4034" s="5" t="str">
        <f>IFERROR(__xludf.DUMMYFUNCTION("""COMPUTED_VALUE"""),"Clementine Malpas, Leslie Knott")</f>
        <v>Clementine Malpas, Leslie Knott</v>
      </c>
      <c r="V4034" s="5" t="s">
        <v>339</v>
      </c>
      <c r="W4034" s="5" t="str">
        <f t="shared" si="3"/>
        <v>Steven Spielberg</v>
      </c>
      <c r="X4034" s="5">
        <f t="shared" si="4"/>
        <v>11</v>
      </c>
      <c r="Y4034" s="5" t="str">
        <f>IFERROR(__xludf.DUMMYFUNCTION("REGEXEXTRACT(J4034, ""^\d+"")"),"1")</f>
        <v>1</v>
      </c>
      <c r="Z4034" s="5" t="str">
        <f>IFERROR(__xludf.DUMMYFUNCTION("REGEXEXTRACT(J4034, ""[A-Za-z ]+$"")")," Season")</f>
        <v> Season</v>
      </c>
      <c r="AA4034" s="5" t="str">
        <f>IFERROR(__xludf.DUMMYFUNCTION("IF(REGEXMATCH(Z4034, ""Season""), ""TV Show"", ""Movie"")"),"TV Show")</f>
        <v>TV Show</v>
      </c>
    </row>
    <row r="4035">
      <c r="A4035" s="1" t="s">
        <v>21748</v>
      </c>
      <c r="B4035" s="1" t="s">
        <v>27</v>
      </c>
      <c r="C4035" s="1" t="s">
        <v>21749</v>
      </c>
      <c r="D4035" s="1" t="s">
        <v>5044</v>
      </c>
      <c r="E4035" s="1" t="s">
        <v>21750</v>
      </c>
      <c r="F4035" s="1" t="s">
        <v>30</v>
      </c>
      <c r="G4035" s="1" t="s">
        <v>21733</v>
      </c>
      <c r="H4035" s="1">
        <v>2019.0</v>
      </c>
      <c r="I4035" s="1" t="s">
        <v>42</v>
      </c>
      <c r="J4035" s="1" t="s">
        <v>33</v>
      </c>
      <c r="K4035" s="1" t="s">
        <v>1538</v>
      </c>
      <c r="L4035" s="1" t="s">
        <v>21751</v>
      </c>
      <c r="M4035" s="2" t="s">
        <v>12</v>
      </c>
      <c r="N4035" s="4">
        <f t="shared" si="1"/>
        <v>43532</v>
      </c>
      <c r="O4035" s="5" t="str">
        <f>IFERROR(__xludf.DUMMYFUNCTION("IF(REGEXMATCH(TRIM(I4035), ""^\d+\s*min""), ""Unclassified"", IF(I4035 = """", ""NR"", I4035))"),"TV-MA")</f>
        <v>TV-MA</v>
      </c>
      <c r="R4035" s="5" t="str">
        <f t="shared" si="2"/>
        <v>Juanita</v>
      </c>
      <c r="S4035" s="5" t="str">
        <f>IFERROR(__xludf.DUMMYFUNCTION("""COMPUTED_VALUE"""),"Lego Ninjago")</f>
        <v>Lego Ninjago</v>
      </c>
      <c r="U4035" s="5" t="str">
        <f>IFERROR(__xludf.DUMMYFUNCTION("""COMPUTED_VALUE"""),"Andy Capper")</f>
        <v>Andy Capper</v>
      </c>
      <c r="V4035" s="5" t="s">
        <v>2432</v>
      </c>
      <c r="W4035" s="5" t="str">
        <f t="shared" si="3"/>
        <v>Steven Tsuchida</v>
      </c>
      <c r="X4035" s="5">
        <f t="shared" si="4"/>
        <v>1</v>
      </c>
      <c r="Y4035" s="5" t="str">
        <f>IFERROR(__xludf.DUMMYFUNCTION("REGEXEXTRACT(J4035, ""^\d+"")"),"90")</f>
        <v>90</v>
      </c>
      <c r="Z4035" s="5" t="str">
        <f>IFERROR(__xludf.DUMMYFUNCTION("REGEXEXTRACT(J4035, ""[A-Za-z ]+$"")")," min")</f>
        <v> min</v>
      </c>
      <c r="AA4035" s="5" t="str">
        <f>IFERROR(__xludf.DUMMYFUNCTION("IF(REGEXMATCH(Z4035, ""Season""), ""TV Show"", ""Movie"")"),"Movie")</f>
        <v>Movie</v>
      </c>
    </row>
    <row r="4036">
      <c r="A4036" s="1" t="s">
        <v>21752</v>
      </c>
      <c r="B4036" s="1" t="s">
        <v>27</v>
      </c>
      <c r="C4036" s="1" t="s">
        <v>21753</v>
      </c>
      <c r="D4036" s="1" t="s">
        <v>7089</v>
      </c>
      <c r="E4036" s="1" t="s">
        <v>21754</v>
      </c>
      <c r="F4036" s="1" t="s">
        <v>664</v>
      </c>
      <c r="G4036" s="1" t="s">
        <v>21733</v>
      </c>
      <c r="H4036" s="1">
        <v>2019.0</v>
      </c>
      <c r="I4036" s="1" t="s">
        <v>42</v>
      </c>
      <c r="J4036" s="1" t="s">
        <v>264</v>
      </c>
      <c r="K4036" s="1" t="s">
        <v>89</v>
      </c>
      <c r="L4036" s="1" t="s">
        <v>21755</v>
      </c>
      <c r="M4036" s="2" t="s">
        <v>12</v>
      </c>
      <c r="N4036" s="4">
        <f t="shared" si="1"/>
        <v>43532</v>
      </c>
      <c r="O4036" s="5" t="str">
        <f>IFERROR(__xludf.DUMMYFUNCTION("IF(REGEXMATCH(TRIM(I4036), ""^\d+\s*min""), ""Unclassified"", IF(I4036 = """", ""NR"", I4036))"),"TV-MA")</f>
        <v>TV-MA</v>
      </c>
      <c r="R4036" s="5" t="str">
        <f t="shared" si="2"/>
        <v>Lady J</v>
      </c>
      <c r="S4036" s="5" t="str">
        <f>IFERROR(__xludf.DUMMYFUNCTION("""COMPUTED_VALUE"""),"Lego Ninjago: Masters Of Spinjitzu")</f>
        <v>Lego Ninjago: Masters Of Spinjitzu</v>
      </c>
      <c r="U4036" s="5" t="str">
        <f>IFERROR(__xludf.DUMMYFUNCTION("""COMPUTED_VALUE"""),"Shamyl Othman")</f>
        <v>Shamyl Othman</v>
      </c>
      <c r="V4036" s="5" t="s">
        <v>1844</v>
      </c>
      <c r="W4036" s="5" t="str">
        <f t="shared" si="3"/>
        <v>Steven Yamamoto</v>
      </c>
      <c r="X4036" s="5">
        <f t="shared" si="4"/>
        <v>1</v>
      </c>
      <c r="Y4036" s="5" t="str">
        <f>IFERROR(__xludf.DUMMYFUNCTION("REGEXEXTRACT(J4036, ""^\d+"")"),"111")</f>
        <v>111</v>
      </c>
      <c r="Z4036" s="5" t="str">
        <f>IFERROR(__xludf.DUMMYFUNCTION("REGEXEXTRACT(J4036, ""[A-Za-z ]+$"")")," min")</f>
        <v> min</v>
      </c>
      <c r="AA4036" s="5" t="str">
        <f>IFERROR(__xludf.DUMMYFUNCTION("IF(REGEXMATCH(Z4036, ""Season""), ""TV Show"", ""Movie"")"),"Movie")</f>
        <v>Movie</v>
      </c>
    </row>
    <row r="4037">
      <c r="A4037" s="1" t="s">
        <v>21756</v>
      </c>
      <c r="B4037" s="1" t="s">
        <v>37</v>
      </c>
      <c r="C4037" s="1" t="s">
        <v>21757</v>
      </c>
      <c r="E4037" s="1" t="s">
        <v>21758</v>
      </c>
      <c r="G4037" s="1" t="s">
        <v>21733</v>
      </c>
      <c r="H4037" s="1">
        <v>2018.0</v>
      </c>
      <c r="I4037" s="1" t="s">
        <v>136</v>
      </c>
      <c r="J4037" s="1" t="s">
        <v>51</v>
      </c>
      <c r="K4037" s="1" t="s">
        <v>402</v>
      </c>
      <c r="L4037" s="1" t="s">
        <v>21759</v>
      </c>
      <c r="M4037" s="2" t="s">
        <v>12</v>
      </c>
      <c r="N4037" s="4">
        <f t="shared" si="1"/>
        <v>43532</v>
      </c>
      <c r="O4037" s="5" t="str">
        <f>IFERROR(__xludf.DUMMYFUNCTION("IF(REGEXMATCH(TRIM(I4037), ""^\d+\s*min""), ""Unclassified"", IF(I4037 = """", ""NR"", I4037))"),"TV-PG")</f>
        <v>TV-PG</v>
      </c>
      <c r="R4037" s="5" t="str">
        <f t="shared" si="2"/>
        <v>The Confrontation</v>
      </c>
      <c r="S4037" s="5" t="str">
        <f>IFERROR(__xludf.DUMMYFUNCTION("""COMPUTED_VALUE"""),"Lego Ninjago: Masters Of Spinjitzu: Day Of The Departed")</f>
        <v>Lego Ninjago: Masters Of Spinjitzu: Day Of The Departed</v>
      </c>
      <c r="U4037" s="5" t="str">
        <f>IFERROR(__xludf.DUMMYFUNCTION("""COMPUTED_VALUE"""),"Allen Coulter")</f>
        <v>Allen Coulter</v>
      </c>
      <c r="V4037" s="5" t="s">
        <v>21760</v>
      </c>
      <c r="W4037" s="5" t="str">
        <f t="shared" si="3"/>
        <v>Steven Zaillian</v>
      </c>
      <c r="X4037" s="5">
        <f t="shared" si="4"/>
        <v>1</v>
      </c>
      <c r="Y4037" s="5" t="str">
        <f>IFERROR(__xludf.DUMMYFUNCTION("REGEXEXTRACT(J4037, ""^\d+"")"),"1")</f>
        <v>1</v>
      </c>
      <c r="Z4037" s="5" t="str">
        <f>IFERROR(__xludf.DUMMYFUNCTION("REGEXEXTRACT(J4037, ""[A-Za-z ]+$"")")," Season")</f>
        <v> Season</v>
      </c>
      <c r="AA4037" s="5" t="str">
        <f>IFERROR(__xludf.DUMMYFUNCTION("IF(REGEXMATCH(Z4037, ""Season""), ""TV Show"", ""Movie"")"),"TV Show")</f>
        <v>TV Show</v>
      </c>
    </row>
    <row r="4038">
      <c r="A4038" s="1" t="s">
        <v>21761</v>
      </c>
      <c r="B4038" s="1" t="s">
        <v>27</v>
      </c>
      <c r="C4038" s="1" t="s">
        <v>21762</v>
      </c>
      <c r="D4038" s="1" t="s">
        <v>5154</v>
      </c>
      <c r="E4038" s="1" t="s">
        <v>21763</v>
      </c>
      <c r="F4038" s="1" t="s">
        <v>30</v>
      </c>
      <c r="G4038" s="1" t="s">
        <v>21733</v>
      </c>
      <c r="H4038" s="1">
        <v>2019.0</v>
      </c>
      <c r="I4038" s="1" t="s">
        <v>136</v>
      </c>
      <c r="J4038" s="1" t="s">
        <v>433</v>
      </c>
      <c r="K4038" s="1" t="s">
        <v>771</v>
      </c>
      <c r="L4038" s="1" t="s">
        <v>21764</v>
      </c>
      <c r="M4038" s="2" t="s">
        <v>12</v>
      </c>
      <c r="N4038" s="4">
        <f t="shared" si="1"/>
        <v>43532</v>
      </c>
      <c r="O4038" s="5" t="str">
        <f>IFERROR(__xludf.DUMMYFUNCTION("IF(REGEXMATCH(TRIM(I4038), ""^\d+\s*min""), ""Unclassified"", IF(I4038 = """", ""NR"", I4038))"),"TV-PG")</f>
        <v>TV-PG</v>
      </c>
      <c r="R4038" s="5" t="str">
        <f t="shared" si="2"/>
        <v>Walk. Ride. Rodeo.</v>
      </c>
      <c r="S4038" s="5" t="str">
        <f>IFERROR(__xludf.DUMMYFUNCTION("""COMPUTED_VALUE"""),"Lego: City Adventures")</f>
        <v>Lego: City Adventures</v>
      </c>
      <c r="U4038" s="5" t="str">
        <f>IFERROR(__xludf.DUMMYFUNCTION("""COMPUTED_VALUE"""),"René Pérez Joglar")</f>
        <v>René Pérez Joglar</v>
      </c>
      <c r="V4038" s="5" t="s">
        <v>19035</v>
      </c>
      <c r="W4038" s="5" t="str">
        <f t="shared" si="3"/>
        <v>Stig Bergqvist, Paul Demeyer</v>
      </c>
      <c r="X4038" s="5">
        <f t="shared" si="4"/>
        <v>1</v>
      </c>
      <c r="Y4038" s="5" t="str">
        <f>IFERROR(__xludf.DUMMYFUNCTION("REGEXEXTRACT(J4038, ""^\d+"")"),"100")</f>
        <v>100</v>
      </c>
      <c r="Z4038" s="5" t="str">
        <f>IFERROR(__xludf.DUMMYFUNCTION("REGEXEXTRACT(J4038, ""[A-Za-z ]+$"")")," min")</f>
        <v> min</v>
      </c>
      <c r="AA4038" s="5" t="str">
        <f>IFERROR(__xludf.DUMMYFUNCTION("IF(REGEXMATCH(Z4038, ""Season""), ""TV Show"", ""Movie"")"),"Movie")</f>
        <v>Movie</v>
      </c>
    </row>
    <row r="4039">
      <c r="A4039" s="1" t="s">
        <v>21765</v>
      </c>
      <c r="B4039" s="1" t="s">
        <v>27</v>
      </c>
      <c r="C4039" s="1" t="s">
        <v>21766</v>
      </c>
      <c r="D4039" s="1" t="s">
        <v>8871</v>
      </c>
      <c r="E4039" s="1" t="s">
        <v>21767</v>
      </c>
      <c r="F4039" s="1" t="s">
        <v>30</v>
      </c>
      <c r="G4039" s="1" t="s">
        <v>21768</v>
      </c>
      <c r="H4039" s="1">
        <v>2018.0</v>
      </c>
      <c r="I4039" s="1" t="s">
        <v>42</v>
      </c>
      <c r="J4039" s="1" t="s">
        <v>416</v>
      </c>
      <c r="K4039" s="1" t="s">
        <v>1099</v>
      </c>
      <c r="L4039" s="1" t="s">
        <v>21769</v>
      </c>
      <c r="M4039" s="2" t="s">
        <v>12</v>
      </c>
      <c r="N4039" s="4">
        <f t="shared" si="1"/>
        <v>43531</v>
      </c>
      <c r="O4039" s="5" t="str">
        <f>IFERROR(__xludf.DUMMYFUNCTION("IF(REGEXMATCH(TRIM(I4039), ""^\d+\s*min""), ""Unclassified"", IF(I4039 = """", ""NR"", I4039))"),"TV-MA")</f>
        <v>TV-MA</v>
      </c>
      <c r="R4039" s="5" t="str">
        <f t="shared" si="2"/>
        <v>Nappily Ever After</v>
      </c>
      <c r="S4039" s="5" t="str">
        <f>IFERROR(__xludf.DUMMYFUNCTION("""COMPUTED_VALUE"""),"Lego: Marvel Super Heroes: Maximum Overload")</f>
        <v>Lego: Marvel Super Heroes: Maximum Overload</v>
      </c>
      <c r="U4039" s="5" t="str">
        <f>IFERROR(__xludf.DUMMYFUNCTION("""COMPUTED_VALUE"""),"Linda Saffire, Adam Schlesinger")</f>
        <v>Linda Saffire, Adam Schlesinger</v>
      </c>
      <c r="V4039" s="5" t="s">
        <v>21770</v>
      </c>
      <c r="W4039" s="5" t="str">
        <f t="shared" si="3"/>
        <v>Storm Saulter</v>
      </c>
      <c r="X4039" s="5">
        <f t="shared" si="4"/>
        <v>1</v>
      </c>
      <c r="Y4039" s="5" t="str">
        <f>IFERROR(__xludf.DUMMYFUNCTION("REGEXEXTRACT(J4039, ""^\d+"")"),"99")</f>
        <v>99</v>
      </c>
      <c r="Z4039" s="5" t="str">
        <f>IFERROR(__xludf.DUMMYFUNCTION("REGEXEXTRACT(J4039, ""[A-Za-z ]+$"")")," min")</f>
        <v> min</v>
      </c>
      <c r="AA4039" s="5" t="str">
        <f>IFERROR(__xludf.DUMMYFUNCTION("IF(REGEXMATCH(Z4039, ""Season""), ""TV Show"", ""Movie"")"),"Movie")</f>
        <v>Movie</v>
      </c>
    </row>
    <row r="4040">
      <c r="A4040" s="1" t="s">
        <v>21771</v>
      </c>
      <c r="B4040" s="1" t="s">
        <v>27</v>
      </c>
      <c r="C4040" s="1" t="s">
        <v>21772</v>
      </c>
      <c r="D4040" s="1" t="s">
        <v>21541</v>
      </c>
      <c r="E4040" s="1" t="s">
        <v>21773</v>
      </c>
      <c r="F4040" s="1" t="s">
        <v>4287</v>
      </c>
      <c r="G4040" s="1" t="s">
        <v>21768</v>
      </c>
      <c r="H4040" s="1">
        <v>2012.0</v>
      </c>
      <c r="I4040" s="1" t="s">
        <v>97</v>
      </c>
      <c r="J4040" s="1" t="s">
        <v>305</v>
      </c>
      <c r="K4040" s="1" t="s">
        <v>199</v>
      </c>
      <c r="L4040" s="1" t="s">
        <v>21774</v>
      </c>
      <c r="M4040" s="2" t="s">
        <v>12</v>
      </c>
      <c r="N4040" s="4">
        <f t="shared" si="1"/>
        <v>43531</v>
      </c>
      <c r="O4040" s="5" t="str">
        <f>IFERROR(__xludf.DUMMYFUNCTION("IF(REGEXMATCH(TRIM(I4040), ""^\d+\s*min""), ""Unclassified"", IF(I4040 = """", ""NR"", I4040))"),"TV-14")</f>
        <v>TV-14</v>
      </c>
      <c r="R4040" s="5" t="str">
        <f t="shared" si="2"/>
        <v>Sisterakas</v>
      </c>
      <c r="S4040" s="5" t="str">
        <f>IFERROR(__xludf.DUMMYFUNCTION("""COMPUTED_VALUE"""),"Leila")</f>
        <v>Leila</v>
      </c>
      <c r="U4040" s="5" t="str">
        <f>IFERROR(__xludf.DUMMYFUNCTION("""COMPUTED_VALUE"""),"Vijay Jayapal")</f>
        <v>Vijay Jayapal</v>
      </c>
      <c r="V4040" s="5" t="s">
        <v>21775</v>
      </c>
      <c r="W4040" s="5" t="str">
        <f t="shared" si="3"/>
        <v>Storm Theunissen</v>
      </c>
      <c r="X4040" s="5">
        <f t="shared" si="4"/>
        <v>1</v>
      </c>
      <c r="Y4040" s="5" t="str">
        <f>IFERROR(__xludf.DUMMYFUNCTION("REGEXEXTRACT(J4040, ""^\d+"")"),"105")</f>
        <v>105</v>
      </c>
      <c r="Z4040" s="5" t="str">
        <f>IFERROR(__xludf.DUMMYFUNCTION("REGEXEXTRACT(J4040, ""[A-Za-z ]+$"")")," min")</f>
        <v> min</v>
      </c>
      <c r="AA4040" s="5" t="str">
        <f>IFERROR(__xludf.DUMMYFUNCTION("IF(REGEXMATCH(Z4040, ""Season""), ""TV Show"", ""Movie"")"),"Movie")</f>
        <v>Movie</v>
      </c>
    </row>
    <row r="4041">
      <c r="A4041" s="1" t="s">
        <v>21776</v>
      </c>
      <c r="B4041" s="1" t="s">
        <v>27</v>
      </c>
      <c r="C4041" s="1" t="s">
        <v>21777</v>
      </c>
      <c r="D4041" s="1" t="s">
        <v>17217</v>
      </c>
      <c r="E4041" s="1" t="s">
        <v>21778</v>
      </c>
      <c r="F4041" s="1" t="s">
        <v>4287</v>
      </c>
      <c r="G4041" s="1" t="s">
        <v>21768</v>
      </c>
      <c r="H4041" s="1">
        <v>2014.0</v>
      </c>
      <c r="I4041" s="1" t="s">
        <v>97</v>
      </c>
      <c r="J4041" s="1" t="s">
        <v>757</v>
      </c>
      <c r="K4041" s="1" t="s">
        <v>679</v>
      </c>
      <c r="L4041" s="1" t="s">
        <v>21779</v>
      </c>
      <c r="M4041" s="2" t="s">
        <v>12</v>
      </c>
      <c r="N4041" s="4">
        <f t="shared" si="1"/>
        <v>43531</v>
      </c>
      <c r="O4041" s="5" t="str">
        <f>IFERROR(__xludf.DUMMYFUNCTION("IF(REGEXMATCH(TRIM(I4041), ""^\d+\s*min""), ""Unclassified"", IF(I4041 = """", ""NR"", I4041))"),"TV-14")</f>
        <v>TV-14</v>
      </c>
      <c r="R4041" s="5" t="str">
        <f t="shared" si="2"/>
        <v>Starting Over Again</v>
      </c>
      <c r="S4041" s="5" t="str">
        <f>IFERROR(__xludf.DUMMYFUNCTION("""COMPUTED_VALUE"""),"Lembi 8 Giga")</f>
        <v>Lembi 8 Giga</v>
      </c>
      <c r="U4041" s="5" t="str">
        <f>IFERROR(__xludf.DUMMYFUNCTION("""COMPUTED_VALUE"""),"Andrew Lau Wai-Keung, Andrew Loo")</f>
        <v>Andrew Lau Wai-Keung, Andrew Loo</v>
      </c>
      <c r="V4041" s="5" t="s">
        <v>21780</v>
      </c>
      <c r="W4041" s="5" t="str">
        <f t="shared" si="3"/>
        <v>Stuart Baird</v>
      </c>
      <c r="X4041" s="5">
        <f t="shared" si="4"/>
        <v>1</v>
      </c>
      <c r="Y4041" s="5" t="str">
        <f>IFERROR(__xludf.DUMMYFUNCTION("REGEXEXTRACT(J4041, ""^\d+"")"),"128")</f>
        <v>128</v>
      </c>
      <c r="Z4041" s="5" t="str">
        <f>IFERROR(__xludf.DUMMYFUNCTION("REGEXEXTRACT(J4041, ""[A-Za-z ]+$"")")," min")</f>
        <v> min</v>
      </c>
      <c r="AA4041" s="5" t="str">
        <f>IFERROR(__xludf.DUMMYFUNCTION("IF(REGEXMATCH(Z4041, ""Season""), ""TV Show"", ""Movie"")"),"Movie")</f>
        <v>Movie</v>
      </c>
    </row>
    <row r="4042">
      <c r="A4042" s="1" t="s">
        <v>21781</v>
      </c>
      <c r="B4042" s="1" t="s">
        <v>27</v>
      </c>
      <c r="C4042" s="1" t="s">
        <v>21782</v>
      </c>
      <c r="D4042" s="1" t="s">
        <v>2329</v>
      </c>
      <c r="E4042" s="1" t="s">
        <v>21783</v>
      </c>
      <c r="F4042" s="1" t="s">
        <v>4287</v>
      </c>
      <c r="G4042" s="1" t="s">
        <v>21768</v>
      </c>
      <c r="H4042" s="1">
        <v>2015.0</v>
      </c>
      <c r="I4042" s="1" t="s">
        <v>42</v>
      </c>
      <c r="J4042" s="1" t="s">
        <v>79</v>
      </c>
      <c r="K4042" s="1" t="s">
        <v>679</v>
      </c>
      <c r="L4042" s="1" t="s">
        <v>21784</v>
      </c>
      <c r="M4042" s="2" t="s">
        <v>12</v>
      </c>
      <c r="N4042" s="4">
        <f t="shared" si="1"/>
        <v>43531</v>
      </c>
      <c r="O4042" s="5" t="str">
        <f>IFERROR(__xludf.DUMMYFUNCTION("IF(REGEXMATCH(TRIM(I4042), ""^\d+\s*min""), ""Unclassified"", IF(I4042 = """", ""NR"", I4042))"),"TV-MA")</f>
        <v>TV-MA</v>
      </c>
      <c r="R4042" s="5" t="str">
        <f t="shared" si="2"/>
        <v>That Thing Called Tadhana</v>
      </c>
      <c r="S4042" s="5" t="str">
        <f>IFERROR(__xludf.DUMMYFUNCTION("""COMPUTED_VALUE"""),"Lenox Hill")</f>
        <v>Lenox Hill</v>
      </c>
      <c r="U4042" s="5" t="str">
        <f>IFERROR(__xludf.DUMMYFUNCTION("""COMPUTED_VALUE"""),"Jani Lachauer, Jakob Schuh")</f>
        <v>Jani Lachauer, Jakob Schuh</v>
      </c>
      <c r="V4042" s="5" t="s">
        <v>21785</v>
      </c>
      <c r="W4042" s="5" t="str">
        <f t="shared" si="3"/>
        <v>Stuart Heisler</v>
      </c>
      <c r="X4042" s="5">
        <f t="shared" si="4"/>
        <v>1</v>
      </c>
      <c r="Y4042" s="5" t="str">
        <f>IFERROR(__xludf.DUMMYFUNCTION("REGEXEXTRACT(J4042, ""^\d+"")"),"91")</f>
        <v>91</v>
      </c>
      <c r="Z4042" s="5" t="str">
        <f>IFERROR(__xludf.DUMMYFUNCTION("REGEXEXTRACT(J4042, ""[A-Za-z ]+$"")")," min")</f>
        <v> min</v>
      </c>
      <c r="AA4042" s="5" t="str">
        <f>IFERROR(__xludf.DUMMYFUNCTION("IF(REGEXMATCH(Z4042, ""Season""), ""TV Show"", ""Movie"")"),"Movie")</f>
        <v>Movie</v>
      </c>
    </row>
    <row r="4043">
      <c r="A4043" s="1" t="s">
        <v>21786</v>
      </c>
      <c r="B4043" s="1" t="s">
        <v>27</v>
      </c>
      <c r="C4043" s="1" t="s">
        <v>21787</v>
      </c>
      <c r="D4043" s="1" t="s">
        <v>17100</v>
      </c>
      <c r="E4043" s="1" t="s">
        <v>21788</v>
      </c>
      <c r="F4043" s="1" t="s">
        <v>4287</v>
      </c>
      <c r="G4043" s="1" t="s">
        <v>21768</v>
      </c>
      <c r="H4043" s="1">
        <v>2015.0</v>
      </c>
      <c r="I4043" s="1" t="s">
        <v>42</v>
      </c>
      <c r="J4043" s="1" t="s">
        <v>127</v>
      </c>
      <c r="K4043" s="1" t="s">
        <v>679</v>
      </c>
      <c r="L4043" s="1" t="s">
        <v>21789</v>
      </c>
      <c r="M4043" s="2" t="s">
        <v>12</v>
      </c>
      <c r="N4043" s="4">
        <f t="shared" si="1"/>
        <v>43531</v>
      </c>
      <c r="O4043" s="5" t="str">
        <f>IFERROR(__xludf.DUMMYFUNCTION("IF(REGEXMATCH(TRIM(I4043), ""^\d+\s*min""), ""Unclassified"", IF(I4043 = """", ""NR"", I4043))"),"TV-MA")</f>
        <v>TV-MA</v>
      </c>
      <c r="R4043" s="5" t="str">
        <f t="shared" si="2"/>
        <v>The Love Affair</v>
      </c>
      <c r="S4043" s="5" t="str">
        <f>IFERROR(__xludf.DUMMYFUNCTION("""COMPUTED_VALUE"""),"Lens")</f>
        <v>Lens</v>
      </c>
      <c r="U4043" s="5" t="str">
        <f>IFERROR(__xludf.DUMMYFUNCTION("""COMPUTED_VALUE"""),"Jon Avnet")</f>
        <v>Jon Avnet</v>
      </c>
      <c r="V4043" s="5" t="s">
        <v>21790</v>
      </c>
      <c r="W4043" s="5" t="str">
        <f t="shared" si="3"/>
        <v>Stuart Orme</v>
      </c>
      <c r="X4043" s="5">
        <f t="shared" si="4"/>
        <v>1</v>
      </c>
      <c r="Y4043" s="5" t="str">
        <f>IFERROR(__xludf.DUMMYFUNCTION("REGEXEXTRACT(J4043, ""^\d+"")"),"127")</f>
        <v>127</v>
      </c>
      <c r="Z4043" s="5" t="str">
        <f>IFERROR(__xludf.DUMMYFUNCTION("REGEXEXTRACT(J4043, ""[A-Za-z ]+$"")")," min")</f>
        <v> min</v>
      </c>
      <c r="AA4043" s="5" t="str">
        <f>IFERROR(__xludf.DUMMYFUNCTION("IF(REGEXMATCH(Z4043, ""Season""), ""TV Show"", ""Movie"")"),"Movie")</f>
        <v>Movie</v>
      </c>
    </row>
    <row r="4044">
      <c r="A4044" s="1" t="s">
        <v>21791</v>
      </c>
      <c r="B4044" s="1" t="s">
        <v>37</v>
      </c>
      <c r="C4044" s="1" t="s">
        <v>21792</v>
      </c>
      <c r="E4044" s="1" t="s">
        <v>21793</v>
      </c>
      <c r="F4044" s="1" t="s">
        <v>30</v>
      </c>
      <c r="G4044" s="1" t="s">
        <v>21794</v>
      </c>
      <c r="H4044" s="1">
        <v>2016.0</v>
      </c>
      <c r="I4044" s="1" t="s">
        <v>42</v>
      </c>
      <c r="J4044" s="1" t="s">
        <v>51</v>
      </c>
      <c r="K4044" s="1" t="s">
        <v>4118</v>
      </c>
      <c r="L4044" s="1" t="s">
        <v>21795</v>
      </c>
      <c r="M4044" s="2" t="s">
        <v>12</v>
      </c>
      <c r="N4044" s="4">
        <f t="shared" si="1"/>
        <v>43530</v>
      </c>
      <c r="O4044" s="5" t="str">
        <f>IFERROR(__xludf.DUMMYFUNCTION("IF(REGEXMATCH(TRIM(I4044), ""^\d+\s*min""), ""Unclassified"", IF(I4044 = """", ""NR"", I4044))"),"TV-MA")</f>
        <v>TV-MA</v>
      </c>
      <c r="R4044" s="5" t="str">
        <f t="shared" si="2"/>
        <v>American Crime Story: The People V. O.J. Simpson</v>
      </c>
      <c r="S4044" s="5" t="str">
        <f>IFERROR(__xludf.DUMMYFUNCTION("""COMPUTED_VALUE"""),"Leo &amp; Tig")</f>
        <v>Leo &amp; Tig</v>
      </c>
      <c r="U4044" s="5" t="str">
        <f>IFERROR(__xludf.DUMMYFUNCTION("""COMPUTED_VALUE"""),"Devaki Singh, Luke Kenny")</f>
        <v>Devaki Singh, Luke Kenny</v>
      </c>
      <c r="V4044" s="5" t="s">
        <v>21796</v>
      </c>
      <c r="W4044" s="5" t="str">
        <f t="shared" si="3"/>
        <v>Stuart Rosenberg</v>
      </c>
      <c r="X4044" s="5">
        <f t="shared" si="4"/>
        <v>1</v>
      </c>
      <c r="Y4044" s="5" t="str">
        <f>IFERROR(__xludf.DUMMYFUNCTION("REGEXEXTRACT(J4044, ""^\d+"")"),"1")</f>
        <v>1</v>
      </c>
      <c r="Z4044" s="5" t="str">
        <f>IFERROR(__xludf.DUMMYFUNCTION("REGEXEXTRACT(J4044, ""[A-Za-z ]+$"")")," Season")</f>
        <v> Season</v>
      </c>
      <c r="AA4044" s="5" t="str">
        <f>IFERROR(__xludf.DUMMYFUNCTION("IF(REGEXMATCH(Z4044, ""Season""), ""TV Show"", ""Movie"")"),"TV Show")</f>
        <v>TV Show</v>
      </c>
    </row>
    <row r="4045">
      <c r="A4045" s="1" t="s">
        <v>21797</v>
      </c>
      <c r="B4045" s="1" t="s">
        <v>37</v>
      </c>
      <c r="C4045" s="1" t="s">
        <v>21798</v>
      </c>
      <c r="E4045" s="1" t="s">
        <v>21799</v>
      </c>
      <c r="F4045" s="1" t="s">
        <v>221</v>
      </c>
      <c r="G4045" s="1" t="s">
        <v>21794</v>
      </c>
      <c r="H4045" s="1">
        <v>2016.0</v>
      </c>
      <c r="I4045" s="1" t="s">
        <v>42</v>
      </c>
      <c r="J4045" s="1" t="s">
        <v>43</v>
      </c>
      <c r="K4045" s="1" t="s">
        <v>44</v>
      </c>
      <c r="L4045" s="1" t="s">
        <v>21800</v>
      </c>
      <c r="M4045" s="2" t="s">
        <v>12</v>
      </c>
      <c r="N4045" s="4">
        <f t="shared" si="1"/>
        <v>43530</v>
      </c>
      <c r="O4045" s="5" t="str">
        <f>IFERROR(__xludf.DUMMYFUNCTION("IF(REGEXMATCH(TRIM(I4045), ""^\d+\s*min""), ""Unclassified"", IF(I4045 = """", ""NR"", I4045))"),"TV-MA")</f>
        <v>TV-MA</v>
      </c>
      <c r="R4045" s="5" t="str">
        <f t="shared" si="2"/>
        <v>Secret City</v>
      </c>
      <c r="S4045" s="5" t="str">
        <f>IFERROR(__xludf.DUMMYFUNCTION("""COMPUTED_VALUE"""),"Leo The Lion")</f>
        <v>Leo The Lion</v>
      </c>
      <c r="U4045" s="5" t="str">
        <f>IFERROR(__xludf.DUMMYFUNCTION("""COMPUTED_VALUE"""),"Amit Rai")</f>
        <v>Amit Rai</v>
      </c>
      <c r="V4045" s="5" t="s">
        <v>21508</v>
      </c>
      <c r="W4045" s="5" t="str">
        <f t="shared" si="3"/>
        <v>Stuart Sender</v>
      </c>
      <c r="X4045" s="5">
        <f t="shared" si="4"/>
        <v>1</v>
      </c>
      <c r="Y4045" s="5" t="str">
        <f>IFERROR(__xludf.DUMMYFUNCTION("REGEXEXTRACT(J4045, ""^\d+"")"),"2")</f>
        <v>2</v>
      </c>
      <c r="Z4045" s="5" t="str">
        <f>IFERROR(__xludf.DUMMYFUNCTION("REGEXEXTRACT(J4045, ""[A-Za-z ]+$"")")," Seasons")</f>
        <v> Seasons</v>
      </c>
      <c r="AA4045" s="5" t="str">
        <f>IFERROR(__xludf.DUMMYFUNCTION("IF(REGEXMATCH(Z4045, ""Season""), ""TV Show"", ""Movie"")"),"TV Show")</f>
        <v>TV Show</v>
      </c>
    </row>
    <row r="4046">
      <c r="A4046" s="1" t="s">
        <v>21801</v>
      </c>
      <c r="B4046" s="1" t="s">
        <v>37</v>
      </c>
      <c r="C4046" s="1" t="s">
        <v>21802</v>
      </c>
      <c r="E4046" s="1" t="s">
        <v>21803</v>
      </c>
      <c r="F4046" s="1" t="s">
        <v>749</v>
      </c>
      <c r="G4046" s="1" t="s">
        <v>21804</v>
      </c>
      <c r="H4046" s="1">
        <v>2017.0</v>
      </c>
      <c r="I4046" s="1" t="s">
        <v>42</v>
      </c>
      <c r="J4046" s="1" t="s">
        <v>51</v>
      </c>
      <c r="K4046" s="1" t="s">
        <v>7164</v>
      </c>
      <c r="L4046" s="1" t="s">
        <v>21805</v>
      </c>
      <c r="M4046" s="2" t="s">
        <v>12</v>
      </c>
      <c r="N4046" s="4">
        <f t="shared" si="1"/>
        <v>43529</v>
      </c>
      <c r="O4046" s="5" t="str">
        <f>IFERROR(__xludf.DUMMYFUNCTION("IF(REGEXMATCH(TRIM(I4046), ""^\d+\s*min""), ""Unclassified"", IF(I4046 = """", ""NR"", I4046))"),"TV-MA")</f>
        <v>TV-MA</v>
      </c>
      <c r="R4046" s="5" t="str">
        <f t="shared" si="2"/>
        <v>A Korean Odyssey</v>
      </c>
      <c r="S4046" s="5" t="str">
        <f>IFERROR(__xludf.DUMMYFUNCTION("""COMPUTED_VALUE"""),"Les Bleus - Une Autre Histoire De France, 1996-2016")</f>
        <v>Les Bleus - Une Autre Histoire De France, 1996-2016</v>
      </c>
      <c r="U4046" s="5" t="str">
        <f>IFERROR(__xludf.DUMMYFUNCTION("""COMPUTED_VALUE"""),"Pierfrancesco Diliberto")</f>
        <v>Pierfrancesco Diliberto</v>
      </c>
      <c r="V4046" s="5" t="s">
        <v>21806</v>
      </c>
      <c r="W4046" s="5" t="str">
        <f t="shared" si="3"/>
        <v>Su I-Hsuan, Chuang Shiang-An, Liu Yi</v>
      </c>
      <c r="X4046" s="5">
        <f t="shared" si="4"/>
        <v>1</v>
      </c>
      <c r="Y4046" s="5" t="str">
        <f>IFERROR(__xludf.DUMMYFUNCTION("REGEXEXTRACT(J4046, ""^\d+"")"),"1")</f>
        <v>1</v>
      </c>
      <c r="Z4046" s="5" t="str">
        <f>IFERROR(__xludf.DUMMYFUNCTION("REGEXEXTRACT(J4046, ""[A-Za-z ]+$"")")," Season")</f>
        <v> Season</v>
      </c>
      <c r="AA4046" s="5" t="str">
        <f>IFERROR(__xludf.DUMMYFUNCTION("IF(REGEXMATCH(Z4046, ""Season""), ""TV Show"", ""Movie"")"),"TV Show")</f>
        <v>TV Show</v>
      </c>
    </row>
    <row r="4047">
      <c r="A4047" s="1" t="s">
        <v>21807</v>
      </c>
      <c r="B4047" s="1" t="s">
        <v>27</v>
      </c>
      <c r="C4047" s="1" t="s">
        <v>21808</v>
      </c>
      <c r="D4047" s="1" t="s">
        <v>12773</v>
      </c>
      <c r="E4047" s="1" t="s">
        <v>21809</v>
      </c>
      <c r="F4047" s="1" t="s">
        <v>30</v>
      </c>
      <c r="G4047" s="1" t="s">
        <v>21804</v>
      </c>
      <c r="H4047" s="1">
        <v>2019.0</v>
      </c>
      <c r="I4047" s="1" t="s">
        <v>42</v>
      </c>
      <c r="J4047" s="1" t="s">
        <v>170</v>
      </c>
      <c r="K4047" s="1" t="s">
        <v>380</v>
      </c>
      <c r="L4047" s="1" t="s">
        <v>21810</v>
      </c>
      <c r="M4047" s="2" t="s">
        <v>12</v>
      </c>
      <c r="N4047" s="4">
        <f t="shared" si="1"/>
        <v>43529</v>
      </c>
      <c r="O4047" s="5" t="str">
        <f>IFERROR(__xludf.DUMMYFUNCTION("IF(REGEXMATCH(TRIM(I4047), ""^\d+\s*min""), ""Unclassified"", IF(I4047 = """", ""NR"", I4047))"),"TV-MA")</f>
        <v>TV-MA</v>
      </c>
      <c r="R4047" s="5" t="str">
        <f t="shared" si="2"/>
        <v>The Hard Way</v>
      </c>
      <c r="S4047" s="5" t="str">
        <f>IFERROR(__xludf.DUMMYFUNCTION("""COMPUTED_VALUE"""),"Les Misérables")</f>
        <v>Les Misérables</v>
      </c>
      <c r="U4047" s="5" t="str">
        <f>IFERROR(__xludf.DUMMYFUNCTION("""COMPUTED_VALUE"""),"Nicholas Winter")</f>
        <v>Nicholas Winter</v>
      </c>
      <c r="V4047" s="5" t="s">
        <v>21811</v>
      </c>
      <c r="W4047" s="5" t="str">
        <f t="shared" si="3"/>
        <v>Subhash Ghai</v>
      </c>
      <c r="X4047" s="5">
        <f t="shared" si="4"/>
        <v>4</v>
      </c>
      <c r="Y4047" s="5" t="str">
        <f>IFERROR(__xludf.DUMMYFUNCTION("REGEXEXTRACT(J4047, ""^\d+"")"),"94")</f>
        <v>94</v>
      </c>
      <c r="Z4047" s="5" t="str">
        <f>IFERROR(__xludf.DUMMYFUNCTION("REGEXEXTRACT(J4047, ""[A-Za-z ]+$"")")," min")</f>
        <v> min</v>
      </c>
      <c r="AA4047" s="5" t="str">
        <f>IFERROR(__xludf.DUMMYFUNCTION("IF(REGEXMATCH(Z4047, ""Season""), ""TV Show"", ""Movie"")"),"Movie")</f>
        <v>Movie</v>
      </c>
    </row>
    <row r="4048">
      <c r="A4048" s="1" t="s">
        <v>21812</v>
      </c>
      <c r="B4048" s="1" t="s">
        <v>27</v>
      </c>
      <c r="C4048" s="1" t="s">
        <v>21813</v>
      </c>
      <c r="D4048" s="1" t="s">
        <v>5285</v>
      </c>
      <c r="E4048" s="1" t="s">
        <v>21814</v>
      </c>
      <c r="F4048" s="1" t="s">
        <v>4287</v>
      </c>
      <c r="G4048" s="1" t="s">
        <v>21815</v>
      </c>
      <c r="H4048" s="1">
        <v>2015.0</v>
      </c>
      <c r="I4048" s="1" t="s">
        <v>97</v>
      </c>
      <c r="J4048" s="1" t="s">
        <v>341</v>
      </c>
      <c r="K4048" s="1" t="s">
        <v>679</v>
      </c>
      <c r="L4048" s="1" t="s">
        <v>21816</v>
      </c>
      <c r="M4048" s="2" t="s">
        <v>12</v>
      </c>
      <c r="N4048" s="4">
        <f t="shared" si="1"/>
        <v>43528</v>
      </c>
      <c r="O4048" s="5" t="str">
        <f>IFERROR(__xludf.DUMMYFUNCTION("IF(REGEXMATCH(TRIM(I4048), ""^\d+\s*min""), ""Unclassified"", IF(I4048 = """", ""NR"", I4048))"),"TV-14")</f>
        <v>TV-14</v>
      </c>
      <c r="R4048" s="5" t="str">
        <f t="shared" si="2"/>
        <v>Everyday I Love You</v>
      </c>
      <c r="S4048" s="5" t="str">
        <f>IFERROR(__xludf.DUMMYFUNCTION("""COMPUTED_VALUE"""),"Leslie Jones: Time Machine")</f>
        <v>Leslie Jones: Time Machine</v>
      </c>
      <c r="U4048" s="5" t="str">
        <f>IFERROR(__xludf.DUMMYFUNCTION("""COMPUTED_VALUE"""),"Sylvester Stallone")</f>
        <v>Sylvester Stallone</v>
      </c>
      <c r="V4048" s="5" t="s">
        <v>6661</v>
      </c>
      <c r="W4048" s="5" t="str">
        <f t="shared" si="3"/>
        <v>Subhash Kapoor</v>
      </c>
      <c r="X4048" s="5">
        <f t="shared" si="4"/>
        <v>1</v>
      </c>
      <c r="Y4048" s="5" t="str">
        <f>IFERROR(__xludf.DUMMYFUNCTION("REGEXEXTRACT(J4048, ""^\d+"")"),"124")</f>
        <v>124</v>
      </c>
      <c r="Z4048" s="5" t="str">
        <f>IFERROR(__xludf.DUMMYFUNCTION("REGEXEXTRACT(J4048, ""[A-Za-z ]+$"")")," min")</f>
        <v> min</v>
      </c>
      <c r="AA4048" s="5" t="str">
        <f>IFERROR(__xludf.DUMMYFUNCTION("IF(REGEXMATCH(Z4048, ""Season""), ""TV Show"", ""Movie"")"),"Movie")</f>
        <v>Movie</v>
      </c>
    </row>
    <row r="4049">
      <c r="A4049" s="1" t="s">
        <v>21817</v>
      </c>
      <c r="B4049" s="1" t="s">
        <v>27</v>
      </c>
      <c r="C4049" s="1" t="s">
        <v>21818</v>
      </c>
      <c r="D4049" s="1" t="s">
        <v>10067</v>
      </c>
      <c r="E4049" s="1" t="s">
        <v>21819</v>
      </c>
      <c r="F4049" s="1" t="s">
        <v>4287</v>
      </c>
      <c r="G4049" s="1" t="s">
        <v>21815</v>
      </c>
      <c r="H4049" s="1">
        <v>2011.0</v>
      </c>
      <c r="I4049" s="1" t="s">
        <v>42</v>
      </c>
      <c r="J4049" s="1" t="s">
        <v>238</v>
      </c>
      <c r="K4049" s="1" t="s">
        <v>679</v>
      </c>
      <c r="L4049" s="1" t="s">
        <v>21820</v>
      </c>
      <c r="M4049" s="2" t="s">
        <v>12</v>
      </c>
      <c r="N4049" s="4">
        <f t="shared" si="1"/>
        <v>43528</v>
      </c>
      <c r="O4049" s="5" t="str">
        <f>IFERROR(__xludf.DUMMYFUNCTION("IF(REGEXMATCH(TRIM(I4049), ""^\d+\s*min""), ""Unclassified"", IF(I4049 = """", ""NR"", I4049))"),"TV-MA")</f>
        <v>TV-MA</v>
      </c>
      <c r="R4049" s="5" t="str">
        <f t="shared" si="2"/>
        <v>No Other Woman</v>
      </c>
      <c r="S4049" s="5" t="str">
        <f>IFERROR(__xludf.DUMMYFUNCTION("""COMPUTED_VALUE"""),"Lessons From A School Shooting: Notes From Dunblane")</f>
        <v>Lessons From A School Shooting: Notes From Dunblane</v>
      </c>
      <c r="U4049" s="5" t="str">
        <f>IFERROR(__xludf.DUMMYFUNCTION("""COMPUTED_VALUE"""),"Nancy Schwartzman")</f>
        <v>Nancy Schwartzman</v>
      </c>
      <c r="V4049" s="5" t="s">
        <v>20632</v>
      </c>
      <c r="W4049" s="5" t="str">
        <f t="shared" si="3"/>
        <v>Sudabeh Mortezai</v>
      </c>
      <c r="X4049" s="5">
        <f t="shared" si="4"/>
        <v>1</v>
      </c>
      <c r="Y4049" s="5" t="str">
        <f>IFERROR(__xludf.DUMMYFUNCTION("REGEXEXTRACT(J4049, ""^\d+"")"),"103")</f>
        <v>103</v>
      </c>
      <c r="Z4049" s="5" t="str">
        <f>IFERROR(__xludf.DUMMYFUNCTION("REGEXEXTRACT(J4049, ""[A-Za-z ]+$"")")," min")</f>
        <v> min</v>
      </c>
      <c r="AA4049" s="5" t="str">
        <f>IFERROR(__xludf.DUMMYFUNCTION("IF(REGEXMATCH(Z4049, ""Season""), ""TV Show"", ""Movie"")"),"Movie")</f>
        <v>Movie</v>
      </c>
    </row>
    <row r="4050">
      <c r="A4050" s="1" t="s">
        <v>21821</v>
      </c>
      <c r="B4050" s="1" t="s">
        <v>27</v>
      </c>
      <c r="C4050" s="1" t="s">
        <v>21822</v>
      </c>
      <c r="D4050" s="1" t="s">
        <v>9699</v>
      </c>
      <c r="E4050" s="1" t="s">
        <v>21823</v>
      </c>
      <c r="F4050" s="1" t="s">
        <v>415</v>
      </c>
      <c r="G4050" s="1" t="s">
        <v>21824</v>
      </c>
      <c r="H4050" s="1">
        <v>2018.0</v>
      </c>
      <c r="I4050" s="1" t="s">
        <v>42</v>
      </c>
      <c r="J4050" s="1" t="s">
        <v>870</v>
      </c>
      <c r="K4050" s="1" t="s">
        <v>128</v>
      </c>
      <c r="L4050" s="1" t="s">
        <v>21825</v>
      </c>
      <c r="M4050" s="2" t="s">
        <v>12</v>
      </c>
      <c r="N4050" s="4">
        <f t="shared" si="1"/>
        <v>43526</v>
      </c>
      <c r="O4050" s="5" t="str">
        <f>IFERROR(__xludf.DUMMYFUNCTION("IF(REGEXMATCH(TRIM(I4050), ""^\d+\s*min""), ""Unclassified"", IF(I4050 = """", ""NR"", I4050))"),"TV-MA")</f>
        <v>TV-MA</v>
      </c>
      <c r="R4050" s="5" t="str">
        <f t="shared" si="2"/>
        <v>River'S Edge</v>
      </c>
      <c r="S4050" s="5" t="str">
        <f>IFERROR(__xludf.DUMMYFUNCTION("""COMPUTED_VALUE"""),"Let It Fall: Los Angeles 1982-1992")</f>
        <v>Let It Fall: Los Angeles 1982-1992</v>
      </c>
      <c r="U4050" s="5" t="str">
        <f>IFERROR(__xludf.DUMMYFUNCTION("""COMPUTED_VALUE"""),"Mitch Dickman")</f>
        <v>Mitch Dickman</v>
      </c>
      <c r="V4050" s="5" t="s">
        <v>21826</v>
      </c>
      <c r="W4050" s="5" t="str">
        <f t="shared" si="3"/>
        <v>Sudesh Manjrekar</v>
      </c>
      <c r="X4050" s="5">
        <f t="shared" si="4"/>
        <v>1</v>
      </c>
      <c r="Y4050" s="5" t="str">
        <f>IFERROR(__xludf.DUMMYFUNCTION("REGEXEXTRACT(J4050, ""^\d+"")"),"118")</f>
        <v>118</v>
      </c>
      <c r="Z4050" s="5" t="str">
        <f>IFERROR(__xludf.DUMMYFUNCTION("REGEXEXTRACT(J4050, ""[A-Za-z ]+$"")")," min")</f>
        <v> min</v>
      </c>
      <c r="AA4050" s="5" t="str">
        <f>IFERROR(__xludf.DUMMYFUNCTION("IF(REGEXMATCH(Z4050, ""Season""), ""TV Show"", ""Movie"")"),"Movie")</f>
        <v>Movie</v>
      </c>
    </row>
    <row r="4051">
      <c r="A4051" s="1" t="s">
        <v>21827</v>
      </c>
      <c r="B4051" s="1" t="s">
        <v>27</v>
      </c>
      <c r="C4051" s="1" t="s">
        <v>21828</v>
      </c>
      <c r="D4051" s="1" t="s">
        <v>59</v>
      </c>
      <c r="E4051" s="1" t="s">
        <v>21829</v>
      </c>
      <c r="G4051" s="1" t="s">
        <v>21824</v>
      </c>
      <c r="H4051" s="1">
        <v>2018.0</v>
      </c>
      <c r="I4051" s="1" t="s">
        <v>42</v>
      </c>
      <c r="J4051" s="1" t="s">
        <v>6105</v>
      </c>
      <c r="K4051" s="1" t="s">
        <v>306</v>
      </c>
      <c r="L4051" s="1" t="s">
        <v>21830</v>
      </c>
      <c r="M4051" s="2" t="s">
        <v>12</v>
      </c>
      <c r="N4051" s="4">
        <f t="shared" si="1"/>
        <v>43526</v>
      </c>
      <c r="O4051" s="5" t="str">
        <f>IFERROR(__xludf.DUMMYFUNCTION("IF(REGEXMATCH(TRIM(I4051), ""^\d+\s*min""), ""Unclassified"", IF(I4051 = """", ""NR"", I4051))"),"TV-MA")</f>
        <v>TV-MA</v>
      </c>
      <c r="R4051" s="5" t="str">
        <f t="shared" si="2"/>
        <v>Sarkar</v>
      </c>
      <c r="S4051" s="5" t="str">
        <f>IFERROR(__xludf.DUMMYFUNCTION("""COMPUTED_VALUE"""),"Let It Snow")</f>
        <v>Let It Snow</v>
      </c>
      <c r="U4051" s="5" t="str">
        <f>IFERROR(__xludf.DUMMYFUNCTION("""COMPUTED_VALUE"""),"Lenny Abrahamson")</f>
        <v>Lenny Abrahamson</v>
      </c>
      <c r="V4051" s="5" t="s">
        <v>21831</v>
      </c>
      <c r="W4051" s="5" t="str">
        <f t="shared" si="3"/>
        <v>Sudesh Manjrekar, Atul Kale</v>
      </c>
      <c r="X4051" s="5">
        <f t="shared" si="4"/>
        <v>1</v>
      </c>
      <c r="Y4051" s="5" t="str">
        <f>IFERROR(__xludf.DUMMYFUNCTION("REGEXEXTRACT(J4051, ""^\d+"")"),"162")</f>
        <v>162</v>
      </c>
      <c r="Z4051" s="5" t="str">
        <f>IFERROR(__xludf.DUMMYFUNCTION("REGEXEXTRACT(J4051, ""[A-Za-z ]+$"")")," min")</f>
        <v> min</v>
      </c>
      <c r="AA4051" s="5" t="str">
        <f>IFERROR(__xludf.DUMMYFUNCTION("IF(REGEXMATCH(Z4051, ""Season""), ""TV Show"", ""Movie"")"),"Movie")</f>
        <v>Movie</v>
      </c>
    </row>
    <row r="4052">
      <c r="A4052" s="1" t="s">
        <v>21832</v>
      </c>
      <c r="B4052" s="1" t="s">
        <v>27</v>
      </c>
      <c r="C4052" s="1" t="s">
        <v>21833</v>
      </c>
      <c r="D4052" s="1" t="s">
        <v>7983</v>
      </c>
      <c r="F4052" s="1" t="s">
        <v>21834</v>
      </c>
      <c r="G4052" s="1" t="s">
        <v>21824</v>
      </c>
      <c r="H4052" s="1">
        <v>2018.0</v>
      </c>
      <c r="I4052" s="1" t="s">
        <v>42</v>
      </c>
      <c r="J4052" s="1" t="s">
        <v>1191</v>
      </c>
      <c r="K4052" s="1" t="s">
        <v>156</v>
      </c>
      <c r="L4052" s="1" t="s">
        <v>21835</v>
      </c>
      <c r="M4052" s="2" t="s">
        <v>12</v>
      </c>
      <c r="N4052" s="4">
        <f t="shared" si="1"/>
        <v>43526</v>
      </c>
      <c r="O4052" s="5" t="str">
        <f>IFERROR(__xludf.DUMMYFUNCTION("IF(REGEXMATCH(TRIM(I4052), ""^\d+\s*min""), ""Unclassified"", IF(I4052 = """", ""NR"", I4052))"),"TV-MA")</f>
        <v>TV-MA</v>
      </c>
      <c r="R4052" s="5" t="str">
        <f t="shared" si="2"/>
        <v>Weapon Of Choice</v>
      </c>
      <c r="S4052" s="5" t="str">
        <f>IFERROR(__xludf.DUMMYFUNCTION("""COMPUTED_VALUE"""),"Let There Be Light")</f>
        <v>Let There Be Light</v>
      </c>
      <c r="U4052" s="5" t="str">
        <f>IFERROR(__xludf.DUMMYFUNCTION("""COMPUTED_VALUE"""),"Matthew Atkinson")</f>
        <v>Matthew Atkinson</v>
      </c>
      <c r="V4052" s="5" t="s">
        <v>8921</v>
      </c>
      <c r="W4052" s="5" t="str">
        <f t="shared" si="3"/>
        <v>Sudha Kongara, Vignesh Shivan, Gautham Vasudev Menon, Vetri Maaran</v>
      </c>
      <c r="X4052" s="5">
        <f t="shared" si="4"/>
        <v>1</v>
      </c>
      <c r="Y4052" s="5" t="str">
        <f>IFERROR(__xludf.DUMMYFUNCTION("REGEXEXTRACT(J4052, ""^\d+"")"),"89")</f>
        <v>89</v>
      </c>
      <c r="Z4052" s="5" t="str">
        <f>IFERROR(__xludf.DUMMYFUNCTION("REGEXEXTRACT(J4052, ""[A-Za-z ]+$"")")," min")</f>
        <v> min</v>
      </c>
      <c r="AA4052" s="5" t="str">
        <f>IFERROR(__xludf.DUMMYFUNCTION("IF(REGEXMATCH(Z4052, ""Season""), ""TV Show"", ""Movie"")"),"Movie")</f>
        <v>Movie</v>
      </c>
    </row>
    <row r="4053">
      <c r="A4053" s="1" t="s">
        <v>21836</v>
      </c>
      <c r="B4053" s="1" t="s">
        <v>27</v>
      </c>
      <c r="C4053" s="12">
        <v>2215.0</v>
      </c>
      <c r="D4053" s="1" t="s">
        <v>17086</v>
      </c>
      <c r="E4053" s="1" t="s">
        <v>21837</v>
      </c>
      <c r="F4053" s="1" t="s">
        <v>2796</v>
      </c>
      <c r="G4053" s="1" t="s">
        <v>21838</v>
      </c>
      <c r="H4053" s="1">
        <v>2018.0</v>
      </c>
      <c r="I4053" s="1" t="s">
        <v>42</v>
      </c>
      <c r="J4053" s="1" t="s">
        <v>1191</v>
      </c>
      <c r="K4053" s="1" t="s">
        <v>520</v>
      </c>
      <c r="L4053" s="1" t="s">
        <v>21839</v>
      </c>
      <c r="M4053" s="2" t="s">
        <v>12</v>
      </c>
      <c r="N4053" s="4">
        <f t="shared" si="1"/>
        <v>43525</v>
      </c>
      <c r="O4053" s="5" t="str">
        <f>IFERROR(__xludf.DUMMYFUNCTION("IF(REGEXMATCH(TRIM(I4053), ""^\d+\s*min""), ""Unclassified"", IF(I4053 = """", ""NR"", I4053))"),"TV-MA")</f>
        <v>TV-MA</v>
      </c>
      <c r="R4053" s="5" t="str">
        <f t="shared" si="2"/>
        <v>2,215</v>
      </c>
      <c r="S4053" s="5" t="str">
        <f>IFERROR(__xludf.DUMMYFUNCTION("""COMPUTED_VALUE"""),"Let'S Dance")</f>
        <v>Let'S Dance</v>
      </c>
      <c r="U4053" s="5" t="str">
        <f>IFERROR(__xludf.DUMMYFUNCTION("""COMPUTED_VALUE"""),"Max Lang, Jani Lachauer")</f>
        <v>Max Lang, Jani Lachauer</v>
      </c>
      <c r="V4053" s="5" t="s">
        <v>21840</v>
      </c>
      <c r="W4053" s="5" t="str">
        <f t="shared" si="3"/>
        <v>Sudhanshu Saria</v>
      </c>
      <c r="X4053" s="5">
        <f t="shared" si="4"/>
        <v>1</v>
      </c>
      <c r="Y4053" s="5" t="str">
        <f>IFERROR(__xludf.DUMMYFUNCTION("REGEXEXTRACT(J4053, ""^\d+"")"),"89")</f>
        <v>89</v>
      </c>
      <c r="Z4053" s="5" t="str">
        <f>IFERROR(__xludf.DUMMYFUNCTION("REGEXEXTRACT(J4053, ""[A-Za-z ]+$"")")," min")</f>
        <v> min</v>
      </c>
      <c r="AA4053" s="5" t="str">
        <f>IFERROR(__xludf.DUMMYFUNCTION("IF(REGEXMATCH(Z4053, ""Season""), ""TV Show"", ""Movie"")"),"Movie")</f>
        <v>Movie</v>
      </c>
    </row>
    <row r="4054">
      <c r="A4054" s="1" t="s">
        <v>21841</v>
      </c>
      <c r="B4054" s="1" t="s">
        <v>27</v>
      </c>
      <c r="C4054" s="1" t="s">
        <v>21842</v>
      </c>
      <c r="D4054" s="1" t="s">
        <v>15529</v>
      </c>
      <c r="F4054" s="1" t="s">
        <v>2796</v>
      </c>
      <c r="G4054" s="1" t="s">
        <v>21838</v>
      </c>
      <c r="H4054" s="1">
        <v>2018.0</v>
      </c>
      <c r="I4054" s="1" t="s">
        <v>97</v>
      </c>
      <c r="J4054" s="1" t="s">
        <v>912</v>
      </c>
      <c r="K4054" s="1" t="s">
        <v>2892</v>
      </c>
      <c r="L4054" s="1" t="s">
        <v>21843</v>
      </c>
      <c r="M4054" s="2" t="s">
        <v>12</v>
      </c>
      <c r="N4054" s="4">
        <f t="shared" si="1"/>
        <v>43525</v>
      </c>
      <c r="O4054" s="5" t="str">
        <f>IFERROR(__xludf.DUMMYFUNCTION("IF(REGEXMATCH(TRIM(I4054), ""^\d+\s*min""), ""Unclassified"", IF(I4054 = """", ""NR"", I4054))"),"TV-14")</f>
        <v>TV-14</v>
      </c>
      <c r="R4054" s="5" t="str">
        <f t="shared" si="2"/>
        <v>Bnk48: Girls Don'T Cry</v>
      </c>
      <c r="S4054" s="5" t="str">
        <f>IFERROR(__xludf.DUMMYFUNCTION("""COMPUTED_VALUE"""),"Let'S Eat")</f>
        <v>Let'S Eat</v>
      </c>
      <c r="U4054" s="5" t="str">
        <f>IFERROR(__xludf.DUMMYFUNCTION("""COMPUTED_VALUE"""),"Shweta Basu Prasad")</f>
        <v>Shweta Basu Prasad</v>
      </c>
      <c r="V4054" s="5" t="s">
        <v>10941</v>
      </c>
      <c r="W4054" s="5" t="str">
        <f t="shared" si="3"/>
        <v>Sudhir Mishra</v>
      </c>
      <c r="X4054" s="5">
        <f t="shared" si="4"/>
        <v>4</v>
      </c>
      <c r="Y4054" s="5" t="str">
        <f>IFERROR(__xludf.DUMMYFUNCTION("REGEXEXTRACT(J4054, ""^\d+"")"),"108")</f>
        <v>108</v>
      </c>
      <c r="Z4054" s="5" t="str">
        <f>IFERROR(__xludf.DUMMYFUNCTION("REGEXEXTRACT(J4054, ""[A-Za-z ]+$"")")," min")</f>
        <v> min</v>
      </c>
      <c r="AA4054" s="5" t="str">
        <f>IFERROR(__xludf.DUMMYFUNCTION("IF(REGEXMATCH(Z4054, ""Season""), ""TV Show"", ""Movie"")"),"Movie")</f>
        <v>Movie</v>
      </c>
    </row>
    <row r="4055">
      <c r="A4055" s="1" t="s">
        <v>21844</v>
      </c>
      <c r="B4055" s="1" t="s">
        <v>27</v>
      </c>
      <c r="C4055" s="1" t="s">
        <v>21845</v>
      </c>
      <c r="D4055" s="1" t="s">
        <v>21846</v>
      </c>
      <c r="E4055" s="1" t="s">
        <v>21847</v>
      </c>
      <c r="F4055" s="1" t="s">
        <v>3217</v>
      </c>
      <c r="G4055" s="1" t="s">
        <v>21838</v>
      </c>
      <c r="H4055" s="1">
        <v>2018.0</v>
      </c>
      <c r="I4055" s="1" t="s">
        <v>42</v>
      </c>
      <c r="J4055" s="1" t="s">
        <v>238</v>
      </c>
      <c r="K4055" s="1" t="s">
        <v>199</v>
      </c>
      <c r="L4055" s="1" t="s">
        <v>21848</v>
      </c>
      <c r="M4055" s="2" t="s">
        <v>12</v>
      </c>
      <c r="N4055" s="4">
        <f t="shared" si="1"/>
        <v>43525</v>
      </c>
      <c r="O4055" s="5" t="str">
        <f>IFERROR(__xludf.DUMMYFUNCTION("IF(REGEXMATCH(TRIM(I4055), ""^\d+\s*min""), ""Unclassified"", IF(I4055 = """", ""NR"", I4055))"),"TV-MA")</f>
        <v>TV-MA</v>
      </c>
      <c r="R4055" s="5" t="str">
        <f t="shared" si="2"/>
        <v>Budapest</v>
      </c>
      <c r="S4055" s="5" t="str">
        <f>IFERROR(__xludf.DUMMYFUNCTION("""COMPUTED_VALUE"""),"Let’S Eat")</f>
        <v>Let’S Eat</v>
      </c>
      <c r="U4055" s="5" t="str">
        <f>IFERROR(__xludf.DUMMYFUNCTION("""COMPUTED_VALUE"""),"Roman Polanski")</f>
        <v>Roman Polanski</v>
      </c>
      <c r="V4055" s="5" t="s">
        <v>21849</v>
      </c>
      <c r="W4055" s="5" t="str">
        <f t="shared" si="3"/>
        <v>Sudip Bandyopadhyay</v>
      </c>
      <c r="X4055" s="5">
        <f t="shared" si="4"/>
        <v>1</v>
      </c>
      <c r="Y4055" s="5" t="str">
        <f>IFERROR(__xludf.DUMMYFUNCTION("REGEXEXTRACT(J4055, ""^\d+"")"),"103")</f>
        <v>103</v>
      </c>
      <c r="Z4055" s="5" t="str">
        <f>IFERROR(__xludf.DUMMYFUNCTION("REGEXEXTRACT(J4055, ""[A-Za-z ]+$"")")," min")</f>
        <v> min</v>
      </c>
      <c r="AA4055" s="5" t="str">
        <f>IFERROR(__xludf.DUMMYFUNCTION("IF(REGEXMATCH(Z4055, ""Season""), ""TV Show"", ""Movie"")"),"Movie")</f>
        <v>Movie</v>
      </c>
    </row>
    <row r="4056">
      <c r="A4056" s="1" t="s">
        <v>21850</v>
      </c>
      <c r="B4056" s="1" t="s">
        <v>37</v>
      </c>
      <c r="C4056" s="1" t="s">
        <v>21851</v>
      </c>
      <c r="F4056" s="1" t="s">
        <v>63</v>
      </c>
      <c r="G4056" s="1" t="s">
        <v>21838</v>
      </c>
      <c r="H4056" s="1">
        <v>2019.0</v>
      </c>
      <c r="I4056" s="1" t="s">
        <v>42</v>
      </c>
      <c r="J4056" s="1" t="s">
        <v>51</v>
      </c>
      <c r="K4056" s="1" t="s">
        <v>507</v>
      </c>
      <c r="L4056" s="1" t="s">
        <v>21852</v>
      </c>
      <c r="M4056" s="2" t="s">
        <v>12</v>
      </c>
      <c r="N4056" s="4">
        <f t="shared" si="1"/>
        <v>43525</v>
      </c>
      <c r="O4056" s="5" t="str">
        <f>IFERROR(__xludf.DUMMYFUNCTION("IF(REGEXMATCH(TRIM(I4056), ""^\d+\s*min""), ""Unclassified"", IF(I4056 = """", ""NR"", I4056))"),"TV-MA")</f>
        <v>TV-MA</v>
      </c>
      <c r="R4056" s="5" t="str">
        <f t="shared" si="2"/>
        <v>Cricket Fever: Mumbai Indians</v>
      </c>
      <c r="S4056" s="5" t="str">
        <f>IFERROR(__xludf.DUMMYFUNCTION("""COMPUTED_VALUE"""),"Let'S Eat 2")</f>
        <v>Let'S Eat 2</v>
      </c>
      <c r="U4056" s="5" t="str">
        <f>IFERROR(__xludf.DUMMYFUNCTION("""COMPUTED_VALUE"""),"John Dahl")</f>
        <v>John Dahl</v>
      </c>
      <c r="V4056" s="5" t="s">
        <v>21853</v>
      </c>
      <c r="W4056" s="5" t="str">
        <f t="shared" si="3"/>
        <v>Sudipto Roy</v>
      </c>
      <c r="X4056" s="5">
        <f t="shared" si="4"/>
        <v>1</v>
      </c>
      <c r="Y4056" s="5" t="str">
        <f>IFERROR(__xludf.DUMMYFUNCTION("REGEXEXTRACT(J4056, ""^\d+"")"),"1")</f>
        <v>1</v>
      </c>
      <c r="Z4056" s="5" t="str">
        <f>IFERROR(__xludf.DUMMYFUNCTION("REGEXEXTRACT(J4056, ""[A-Za-z ]+$"")")," Season")</f>
        <v> Season</v>
      </c>
      <c r="AA4056" s="5" t="str">
        <f>IFERROR(__xludf.DUMMYFUNCTION("IF(REGEXMATCH(Z4056, ""Season""), ""TV Show"", ""Movie"")"),"TV Show")</f>
        <v>TV Show</v>
      </c>
    </row>
    <row r="4057">
      <c r="A4057" s="1" t="s">
        <v>21854</v>
      </c>
      <c r="B4057" s="1" t="s">
        <v>37</v>
      </c>
      <c r="C4057" s="1" t="s">
        <v>21855</v>
      </c>
      <c r="E4057" s="1" t="s">
        <v>21856</v>
      </c>
      <c r="G4057" s="1" t="s">
        <v>21838</v>
      </c>
      <c r="H4057" s="1">
        <v>2019.0</v>
      </c>
      <c r="I4057" s="1" t="s">
        <v>289</v>
      </c>
      <c r="J4057" s="1" t="s">
        <v>43</v>
      </c>
      <c r="K4057" s="1" t="s">
        <v>3268</v>
      </c>
      <c r="L4057" s="1" t="s">
        <v>21857</v>
      </c>
      <c r="M4057" s="2" t="s">
        <v>12</v>
      </c>
      <c r="N4057" s="4">
        <f t="shared" si="1"/>
        <v>43525</v>
      </c>
      <c r="O4057" s="5" t="str">
        <f>IFERROR(__xludf.DUMMYFUNCTION("IF(REGEXMATCH(TRIM(I4057), ""^\d+\s*min""), ""Unclassified"", IF(I4057 = """", ""NR"", I4057))"),"TV-Y7")</f>
        <v>TV-Y7</v>
      </c>
      <c r="R4057" s="5" t="str">
        <f t="shared" si="2"/>
        <v>Larva Island</v>
      </c>
      <c r="S4057" s="5" t="str">
        <f>IFERROR(__xludf.DUMMYFUNCTION("""COMPUTED_VALUE"""),"Let'S Fight Ghost")</f>
        <v>Let'S Fight Ghost</v>
      </c>
      <c r="U4057" s="5" t="str">
        <f>IFERROR(__xludf.DUMMYFUNCTION("""COMPUTED_VALUE"""),"Jay Chandrasekhar")</f>
        <v>Jay Chandrasekhar</v>
      </c>
      <c r="V4057" s="5" t="s">
        <v>12790</v>
      </c>
      <c r="W4057" s="5" t="str">
        <f t="shared" si="3"/>
        <v>Sue Ding</v>
      </c>
      <c r="X4057" s="5">
        <f t="shared" si="4"/>
        <v>1</v>
      </c>
      <c r="Y4057" s="5" t="str">
        <f>IFERROR(__xludf.DUMMYFUNCTION("REGEXEXTRACT(J4057, ""^\d+"")"),"2")</f>
        <v>2</v>
      </c>
      <c r="Z4057" s="5" t="str">
        <f>IFERROR(__xludf.DUMMYFUNCTION("REGEXEXTRACT(J4057, ""[A-Za-z ]+$"")")," Seasons")</f>
        <v> Seasons</v>
      </c>
      <c r="AA4057" s="5" t="str">
        <f>IFERROR(__xludf.DUMMYFUNCTION("IF(REGEXMATCH(Z4057, ""Season""), ""TV Show"", ""Movie"")"),"TV Show")</f>
        <v>TV Show</v>
      </c>
    </row>
    <row r="4058">
      <c r="A4058" s="1" t="s">
        <v>21858</v>
      </c>
      <c r="B4058" s="1" t="s">
        <v>37</v>
      </c>
      <c r="C4058" s="1" t="s">
        <v>21859</v>
      </c>
      <c r="G4058" s="1" t="s">
        <v>21838</v>
      </c>
      <c r="H4058" s="1">
        <v>2019.0</v>
      </c>
      <c r="I4058" s="1" t="s">
        <v>42</v>
      </c>
      <c r="J4058" s="1" t="s">
        <v>51</v>
      </c>
      <c r="K4058" s="1" t="s">
        <v>1261</v>
      </c>
      <c r="L4058" s="1" t="s">
        <v>21860</v>
      </c>
      <c r="M4058" s="2" t="s">
        <v>12</v>
      </c>
      <c r="N4058" s="4">
        <f t="shared" si="1"/>
        <v>43525</v>
      </c>
      <c r="O4058" s="5" t="str">
        <f>IFERROR(__xludf.DUMMYFUNCTION("IF(REGEXMATCH(TRIM(I4058), ""^\d+\s*min""), ""Unclassified"", IF(I4058 = """", ""NR"", I4058))"),"TV-MA")</f>
        <v>TV-MA</v>
      </c>
      <c r="R4058" s="5" t="str">
        <f t="shared" si="2"/>
        <v>Losers</v>
      </c>
      <c r="S4058" s="5" t="str">
        <f>IFERROR(__xludf.DUMMYFUNCTION("""COMPUTED_VALUE"""),"Lethal Love")</f>
        <v>Lethal Love</v>
      </c>
      <c r="U4058" s="5" t="str">
        <f>IFERROR(__xludf.DUMMYFUNCTION("""COMPUTED_VALUE"""),"Atanu Mukherjee")</f>
        <v>Atanu Mukherjee</v>
      </c>
      <c r="V4058" s="5" t="s">
        <v>12530</v>
      </c>
      <c r="W4058" s="5" t="str">
        <f t="shared" si="3"/>
        <v>Sue Kim</v>
      </c>
      <c r="X4058" s="5">
        <f t="shared" si="4"/>
        <v>1</v>
      </c>
      <c r="Y4058" s="5" t="str">
        <f>IFERROR(__xludf.DUMMYFUNCTION("REGEXEXTRACT(J4058, ""^\d+"")"),"1")</f>
        <v>1</v>
      </c>
      <c r="Z4058" s="5" t="str">
        <f>IFERROR(__xludf.DUMMYFUNCTION("REGEXEXTRACT(J4058, ""[A-Za-z ]+$"")")," Season")</f>
        <v> Season</v>
      </c>
      <c r="AA4058" s="5" t="str">
        <f>IFERROR(__xludf.DUMMYFUNCTION("IF(REGEXMATCH(Z4058, ""Season""), ""TV Show"", ""Movie"")"),"TV Show")</f>
        <v>TV Show</v>
      </c>
    </row>
    <row r="4059">
      <c r="A4059" s="1" t="s">
        <v>21861</v>
      </c>
      <c r="B4059" s="1" t="s">
        <v>37</v>
      </c>
      <c r="C4059" s="1" t="s">
        <v>21862</v>
      </c>
      <c r="E4059" s="1" t="s">
        <v>21863</v>
      </c>
      <c r="F4059" s="1" t="s">
        <v>1106</v>
      </c>
      <c r="G4059" s="1" t="s">
        <v>21838</v>
      </c>
      <c r="H4059" s="1">
        <v>2019.0</v>
      </c>
      <c r="I4059" s="1" t="s">
        <v>97</v>
      </c>
      <c r="J4059" s="1" t="s">
        <v>51</v>
      </c>
      <c r="K4059" s="1" t="s">
        <v>2709</v>
      </c>
      <c r="L4059" s="1" t="s">
        <v>21864</v>
      </c>
      <c r="M4059" s="2" t="s">
        <v>12</v>
      </c>
      <c r="N4059" s="4">
        <f t="shared" si="1"/>
        <v>43525</v>
      </c>
      <c r="O4059" s="5" t="str">
        <f>IFERROR(__xludf.DUMMYFUNCTION("IF(REGEXMATCH(TRIM(I4059), ""^\d+\s*min""), ""Unclassified"", IF(I4059 = """", ""NR"", I4059))"),"TV-14")</f>
        <v>TV-14</v>
      </c>
      <c r="R4059" s="5" t="str">
        <f t="shared" si="2"/>
        <v>Northern Rescue</v>
      </c>
      <c r="S4059" s="5" t="str">
        <f>IFERROR(__xludf.DUMMYFUNCTION("""COMPUTED_VALUE"""),"Letters To Juliet")</f>
        <v>Letters To Juliet</v>
      </c>
      <c r="U4059" s="5" t="str">
        <f>IFERROR(__xludf.DUMMYFUNCTION("""COMPUTED_VALUE"""),"Jeeva")</f>
        <v>Jeeva</v>
      </c>
      <c r="V4059" s="5" t="s">
        <v>5630</v>
      </c>
      <c r="W4059" s="5" t="str">
        <f t="shared" si="3"/>
        <v>Suhas Kadav</v>
      </c>
      <c r="X4059" s="5">
        <f t="shared" si="4"/>
        <v>16</v>
      </c>
      <c r="Y4059" s="5" t="str">
        <f>IFERROR(__xludf.DUMMYFUNCTION("REGEXEXTRACT(J4059, ""^\d+"")"),"1")</f>
        <v>1</v>
      </c>
      <c r="Z4059" s="5" t="str">
        <f>IFERROR(__xludf.DUMMYFUNCTION("REGEXEXTRACT(J4059, ""[A-Za-z ]+$"")")," Season")</f>
        <v> Season</v>
      </c>
      <c r="AA4059" s="5" t="str">
        <f>IFERROR(__xludf.DUMMYFUNCTION("IF(REGEXMATCH(Z4059, ""Season""), ""TV Show"", ""Movie"")"),"TV Show")</f>
        <v>TV Show</v>
      </c>
    </row>
    <row r="4060">
      <c r="A4060" s="1" t="s">
        <v>21865</v>
      </c>
      <c r="B4060" s="1" t="s">
        <v>27</v>
      </c>
      <c r="C4060" s="1" t="s">
        <v>21866</v>
      </c>
      <c r="D4060" s="1" t="s">
        <v>11657</v>
      </c>
      <c r="E4060" s="1" t="s">
        <v>21867</v>
      </c>
      <c r="F4060" s="1" t="s">
        <v>1106</v>
      </c>
      <c r="G4060" s="1" t="s">
        <v>21838</v>
      </c>
      <c r="H4060" s="1">
        <v>2014.0</v>
      </c>
      <c r="I4060" s="1" t="s">
        <v>506</v>
      </c>
      <c r="J4060" s="1" t="s">
        <v>630</v>
      </c>
      <c r="K4060" s="1" t="s">
        <v>137</v>
      </c>
      <c r="L4060" s="1" t="s">
        <v>21868</v>
      </c>
      <c r="M4060" s="2" t="s">
        <v>12</v>
      </c>
      <c r="N4060" s="4">
        <f t="shared" si="1"/>
        <v>43525</v>
      </c>
      <c r="O4060" s="5" t="str">
        <f>IFERROR(__xludf.DUMMYFUNCTION("IF(REGEXMATCH(TRIM(I4060), ""^\d+\s*min""), ""Unclassified"", IF(I4060 = """", ""NR"", I4060))"),"TV-G")</f>
        <v>TV-G</v>
      </c>
      <c r="R4060" s="5" t="str">
        <f t="shared" si="2"/>
        <v>Pants On Fire</v>
      </c>
      <c r="S4060" s="5" t="str">
        <f>IFERROR(__xludf.DUMMYFUNCTION("""COMPUTED_VALUE"""),"Level 16")</f>
        <v>Level 16</v>
      </c>
      <c r="U4060" s="5" t="str">
        <f>IFERROR(__xludf.DUMMYFUNCTION("""COMPUTED_VALUE"""),"David L. Cunningham")</f>
        <v>David L. Cunningham</v>
      </c>
      <c r="V4060" s="5" t="s">
        <v>17515</v>
      </c>
      <c r="W4060" s="5" t="str">
        <f t="shared" si="3"/>
        <v>Sujeeth</v>
      </c>
      <c r="X4060" s="5">
        <f t="shared" si="4"/>
        <v>1</v>
      </c>
      <c r="Y4060" s="5" t="str">
        <f>IFERROR(__xludf.DUMMYFUNCTION("REGEXEXTRACT(J4060, ""^\d+"")"),"87")</f>
        <v>87</v>
      </c>
      <c r="Z4060" s="5" t="str">
        <f>IFERROR(__xludf.DUMMYFUNCTION("REGEXEXTRACT(J4060, ""[A-Za-z ]+$"")")," min")</f>
        <v> min</v>
      </c>
      <c r="AA4060" s="5" t="str">
        <f>IFERROR(__xludf.DUMMYFUNCTION("IF(REGEXMATCH(Z4060, ""Season""), ""TV Show"", ""Movie"")"),"Movie")</f>
        <v>Movie</v>
      </c>
    </row>
    <row r="4061">
      <c r="A4061" s="1" t="s">
        <v>21869</v>
      </c>
      <c r="B4061" s="1" t="s">
        <v>27</v>
      </c>
      <c r="C4061" s="1" t="s">
        <v>21870</v>
      </c>
      <c r="D4061" s="1" t="s">
        <v>7823</v>
      </c>
      <c r="E4061" s="1" t="s">
        <v>21871</v>
      </c>
      <c r="F4061" s="1" t="s">
        <v>2321</v>
      </c>
      <c r="G4061" s="1" t="s">
        <v>21838</v>
      </c>
      <c r="H4061" s="1">
        <v>2018.0</v>
      </c>
      <c r="I4061" s="1" t="s">
        <v>97</v>
      </c>
      <c r="J4061" s="1" t="s">
        <v>454</v>
      </c>
      <c r="K4061" s="1" t="s">
        <v>1592</v>
      </c>
      <c r="L4061" s="1" t="s">
        <v>21872</v>
      </c>
      <c r="M4061" s="2" t="s">
        <v>12</v>
      </c>
      <c r="N4061" s="4">
        <f t="shared" si="1"/>
        <v>43525</v>
      </c>
      <c r="O4061" s="5" t="str">
        <f>IFERROR(__xludf.DUMMYFUNCTION("IF(REGEXMATCH(TRIM(I4061), ""^\d+\s*min""), ""Unclassified"", IF(I4061 = """", ""NR"", I4061))"),"TV-14")</f>
        <v>TV-14</v>
      </c>
      <c r="R4061" s="5" t="str">
        <f t="shared" si="2"/>
        <v>Paranormal Investigation</v>
      </c>
      <c r="S4061" s="5" t="str">
        <f>IFERROR(__xludf.DUMMYFUNCTION("""COMPUTED_VALUE"""),"Levius")</f>
        <v>Levius</v>
      </c>
      <c r="U4061" s="5" t="str">
        <f>IFERROR(__xludf.DUMMYFUNCTION("""COMPUTED_VALUE"""),"Dharmendra Suresh Desai")</f>
        <v>Dharmendra Suresh Desai</v>
      </c>
      <c r="V4061" s="5" t="s">
        <v>19740</v>
      </c>
      <c r="W4061" s="5" t="str">
        <f t="shared" si="3"/>
        <v>Sujoy Ghosh</v>
      </c>
      <c r="X4061" s="5">
        <f t="shared" si="4"/>
        <v>3</v>
      </c>
      <c r="Y4061" s="5" t="str">
        <f>IFERROR(__xludf.DUMMYFUNCTION("REGEXEXTRACT(J4061, ""^\d+"")"),"93")</f>
        <v>93</v>
      </c>
      <c r="Z4061" s="5" t="str">
        <f>IFERROR(__xludf.DUMMYFUNCTION("REGEXEXTRACT(J4061, ""[A-Za-z ]+$"")")," min")</f>
        <v> min</v>
      </c>
      <c r="AA4061" s="5" t="str">
        <f>IFERROR(__xludf.DUMMYFUNCTION("IF(REGEXMATCH(Z4061, ""Season""), ""TV Show"", ""Movie"")"),"Movie")</f>
        <v>Movie</v>
      </c>
    </row>
    <row r="4062">
      <c r="A4062" s="1" t="s">
        <v>21873</v>
      </c>
      <c r="B4062" s="1" t="s">
        <v>27</v>
      </c>
      <c r="C4062" s="1" t="s">
        <v>21874</v>
      </c>
      <c r="D4062" s="1" t="s">
        <v>17990</v>
      </c>
      <c r="E4062" s="1" t="s">
        <v>21875</v>
      </c>
      <c r="F4062" s="1" t="s">
        <v>30</v>
      </c>
      <c r="G4062" s="1" t="s">
        <v>21838</v>
      </c>
      <c r="H4062" s="1">
        <v>2012.0</v>
      </c>
      <c r="I4062" s="1" t="s">
        <v>506</v>
      </c>
      <c r="J4062" s="1" t="s">
        <v>33</v>
      </c>
      <c r="K4062" s="1" t="s">
        <v>137</v>
      </c>
      <c r="L4062" s="1" t="s">
        <v>21876</v>
      </c>
      <c r="M4062" s="2" t="s">
        <v>12</v>
      </c>
      <c r="N4062" s="4">
        <f t="shared" si="1"/>
        <v>43525</v>
      </c>
      <c r="O4062" s="5" t="str">
        <f>IFERROR(__xludf.DUMMYFUNCTION("IF(REGEXMATCH(TRIM(I4062), ""^\d+\s*min""), ""Unclassified"", IF(I4062 = """", ""NR"", I4062))"),"TV-G")</f>
        <v>TV-G</v>
      </c>
      <c r="R4062" s="5" t="str">
        <f t="shared" si="2"/>
        <v>Radio Rebel</v>
      </c>
      <c r="S4062" s="5" t="str">
        <f>IFERROR(__xludf.DUMMYFUNCTION("""COMPUTED_VALUE"""),"Leyla And Mecnun")</f>
        <v>Leyla And Mecnun</v>
      </c>
      <c r="U4062" s="5" t="str">
        <f>IFERROR(__xludf.DUMMYFUNCTION("""COMPUTED_VALUE"""),"Alex Infascelli")</f>
        <v>Alex Infascelli</v>
      </c>
      <c r="V4062" s="5" t="s">
        <v>21877</v>
      </c>
      <c r="W4062" s="5" t="str">
        <f t="shared" si="3"/>
        <v>Sukhbir Singh</v>
      </c>
      <c r="X4062" s="5">
        <f t="shared" si="4"/>
        <v>1</v>
      </c>
      <c r="Y4062" s="5" t="str">
        <f>IFERROR(__xludf.DUMMYFUNCTION("REGEXEXTRACT(J4062, ""^\d+"")"),"90")</f>
        <v>90</v>
      </c>
      <c r="Z4062" s="5" t="str">
        <f>IFERROR(__xludf.DUMMYFUNCTION("REGEXEXTRACT(J4062, ""[A-Za-z ]+$"")")," min")</f>
        <v> min</v>
      </c>
      <c r="AA4062" s="5" t="str">
        <f>IFERROR(__xludf.DUMMYFUNCTION("IF(REGEXMATCH(Z4062, ""Season""), ""TV Show"", ""Movie"")"),"Movie")</f>
        <v>Movie</v>
      </c>
    </row>
    <row r="4063">
      <c r="A4063" s="1" t="s">
        <v>21878</v>
      </c>
      <c r="B4063" s="1" t="s">
        <v>27</v>
      </c>
      <c r="C4063" s="1" t="s">
        <v>21879</v>
      </c>
      <c r="D4063" s="1" t="s">
        <v>227</v>
      </c>
      <c r="E4063" s="1" t="s">
        <v>21266</v>
      </c>
      <c r="G4063" s="1" t="s">
        <v>21838</v>
      </c>
      <c r="H4063" s="1">
        <v>2018.0</v>
      </c>
      <c r="I4063" s="1" t="s">
        <v>97</v>
      </c>
      <c r="J4063" s="1" t="s">
        <v>2859</v>
      </c>
      <c r="K4063" s="1" t="s">
        <v>1429</v>
      </c>
      <c r="L4063" s="1" t="s">
        <v>21268</v>
      </c>
      <c r="M4063" s="2" t="s">
        <v>12</v>
      </c>
      <c r="N4063" s="4">
        <f t="shared" si="1"/>
        <v>43525</v>
      </c>
      <c r="O4063" s="5" t="str">
        <f>IFERROR(__xludf.DUMMYFUNCTION("IF(REGEXMATCH(TRIM(I4063), ""^\d+\s*min""), ""Unclassified"", IF(I4063 = """", ""NR"", I4063))"),"TV-14")</f>
        <v>TV-14</v>
      </c>
      <c r="R4063" s="5" t="str">
        <f t="shared" si="2"/>
        <v>Sarvam Thaala Mayam (Tamil Version)</v>
      </c>
      <c r="S4063" s="5" t="str">
        <f>IFERROR(__xludf.DUMMYFUNCTION("""COMPUTED_VALUE"""),"Leyla Everlasting")</f>
        <v>Leyla Everlasting</v>
      </c>
      <c r="U4063" s="5" t="str">
        <f>IFERROR(__xludf.DUMMYFUNCTION("""COMPUTED_VALUE"""),"Raman Kumar")</f>
        <v>Raman Kumar</v>
      </c>
      <c r="V4063" s="5" t="s">
        <v>21880</v>
      </c>
      <c r="W4063" s="5" t="str">
        <f t="shared" si="3"/>
        <v>Sukum Maetawanitch</v>
      </c>
      <c r="X4063" s="5">
        <f t="shared" si="4"/>
        <v>1</v>
      </c>
      <c r="Y4063" s="5" t="str">
        <f>IFERROR(__xludf.DUMMYFUNCTION("REGEXEXTRACT(J4063, ""^\d+"")"),"131")</f>
        <v>131</v>
      </c>
      <c r="Z4063" s="5" t="str">
        <f>IFERROR(__xludf.DUMMYFUNCTION("REGEXEXTRACT(J4063, ""[A-Za-z ]+$"")")," min")</f>
        <v> min</v>
      </c>
      <c r="AA4063" s="5" t="str">
        <f>IFERROR(__xludf.DUMMYFUNCTION("IF(REGEXMATCH(Z4063, ""Season""), ""TV Show"", ""Movie"")"),"Movie")</f>
        <v>Movie</v>
      </c>
    </row>
    <row r="4064">
      <c r="A4064" s="1" t="s">
        <v>21881</v>
      </c>
      <c r="B4064" s="1" t="s">
        <v>27</v>
      </c>
      <c r="C4064" s="1" t="s">
        <v>21882</v>
      </c>
      <c r="D4064" s="1" t="s">
        <v>4604</v>
      </c>
      <c r="E4064" s="1" t="s">
        <v>21883</v>
      </c>
      <c r="F4064" s="1" t="s">
        <v>21884</v>
      </c>
      <c r="G4064" s="1" t="s">
        <v>21838</v>
      </c>
      <c r="H4064" s="1">
        <v>2019.0</v>
      </c>
      <c r="I4064" s="1" t="s">
        <v>136</v>
      </c>
      <c r="J4064" s="1" t="s">
        <v>835</v>
      </c>
      <c r="K4064" s="1" t="s">
        <v>13212</v>
      </c>
      <c r="L4064" s="1" t="s">
        <v>21885</v>
      </c>
      <c r="M4064" s="2" t="s">
        <v>12</v>
      </c>
      <c r="N4064" s="4">
        <f t="shared" si="1"/>
        <v>43525</v>
      </c>
      <c r="O4064" s="5" t="str">
        <f>IFERROR(__xludf.DUMMYFUNCTION("IF(REGEXMATCH(TRIM(I4064), ""^\d+\s*min""), ""Unclassified"", IF(I4064 = """", ""NR"", I4064))"),"TV-PG")</f>
        <v>TV-PG</v>
      </c>
      <c r="R4064" s="5" t="str">
        <f t="shared" si="2"/>
        <v>The Boy Who Harnessed The Wind</v>
      </c>
      <c r="S4064" s="5" t="str">
        <f>IFERROR(__xludf.DUMMYFUNCTION("""COMPUTED_VALUE"""),"Lez Bomb")</f>
        <v>Lez Bomb</v>
      </c>
      <c r="U4064" s="5" t="str">
        <f>IFERROR(__xludf.DUMMYFUNCTION("""COMPUTED_VALUE"""),"Hakan Yonat")</f>
        <v>Hakan Yonat</v>
      </c>
      <c r="V4064" s="5" t="s">
        <v>21886</v>
      </c>
      <c r="W4064" s="5" t="str">
        <f t="shared" si="3"/>
        <v>Suman Ghosh</v>
      </c>
      <c r="X4064" s="5">
        <f t="shared" si="4"/>
        <v>1</v>
      </c>
      <c r="Y4064" s="5" t="str">
        <f>IFERROR(__xludf.DUMMYFUNCTION("REGEXEXTRACT(J4064, ""^\d+"")"),"114")</f>
        <v>114</v>
      </c>
      <c r="Z4064" s="5" t="str">
        <f>IFERROR(__xludf.DUMMYFUNCTION("REGEXEXTRACT(J4064, ""[A-Za-z ]+$"")")," min")</f>
        <v> min</v>
      </c>
      <c r="AA4064" s="5" t="str">
        <f>IFERROR(__xludf.DUMMYFUNCTION("IF(REGEXMATCH(Z4064, ""Season""), ""TV Show"", ""Movie"")"),"Movie")</f>
        <v>Movie</v>
      </c>
    </row>
    <row r="4065">
      <c r="A4065" s="1" t="s">
        <v>21887</v>
      </c>
      <c r="B4065" s="1" t="s">
        <v>37</v>
      </c>
      <c r="C4065" s="1" t="s">
        <v>21888</v>
      </c>
      <c r="E4065" s="1" t="s">
        <v>21889</v>
      </c>
      <c r="F4065" s="1" t="s">
        <v>415</v>
      </c>
      <c r="G4065" s="1" t="s">
        <v>21838</v>
      </c>
      <c r="H4065" s="1">
        <v>2018.0</v>
      </c>
      <c r="I4065" s="1" t="s">
        <v>97</v>
      </c>
      <c r="J4065" s="1" t="s">
        <v>276</v>
      </c>
      <c r="K4065" s="1" t="s">
        <v>1084</v>
      </c>
      <c r="L4065" s="1" t="s">
        <v>21890</v>
      </c>
      <c r="M4065" s="2" t="s">
        <v>12</v>
      </c>
      <c r="N4065" s="4">
        <f t="shared" si="1"/>
        <v>43525</v>
      </c>
      <c r="O4065" s="5" t="str">
        <f>IFERROR(__xludf.DUMMYFUNCTION("IF(REGEXMATCH(TRIM(I4065), ""^\d+\s*min""), ""Unclassified"", IF(I4065 = """", ""NR"", I4065))"),"TV-14")</f>
        <v>TV-14</v>
      </c>
      <c r="R4065" s="5" t="str">
        <f t="shared" si="2"/>
        <v>The Disastrous Life Of Saiki K.</v>
      </c>
      <c r="S4065" s="5" t="str">
        <f>IFERROR(__xludf.DUMMYFUNCTION("""COMPUTED_VALUE"""),"Liar, Liar, Vampire")</f>
        <v>Liar, Liar, Vampire</v>
      </c>
      <c r="U4065" s="5" t="str">
        <f>IFERROR(__xludf.DUMMYFUNCTION("""COMPUTED_VALUE"""),"Michael Seater")</f>
        <v>Michael Seater</v>
      </c>
      <c r="V4065" s="5" t="s">
        <v>21891</v>
      </c>
      <c r="W4065" s="5" t="str">
        <f t="shared" si="3"/>
        <v>Suman Mukhopadhyay</v>
      </c>
      <c r="X4065" s="5">
        <f t="shared" si="4"/>
        <v>1</v>
      </c>
      <c r="Y4065" s="5" t="str">
        <f>IFERROR(__xludf.DUMMYFUNCTION("REGEXEXTRACT(J4065, ""^\d+"")"),"3")</f>
        <v>3</v>
      </c>
      <c r="Z4065" s="5" t="str">
        <f>IFERROR(__xludf.DUMMYFUNCTION("REGEXEXTRACT(J4065, ""[A-Za-z ]+$"")")," Seasons")</f>
        <v> Seasons</v>
      </c>
      <c r="AA4065" s="5" t="str">
        <f>IFERROR(__xludf.DUMMYFUNCTION("IF(REGEXMATCH(Z4065, ""Season""), ""TV Show"", ""Movie"")"),"TV Show")</f>
        <v>TV Show</v>
      </c>
    </row>
    <row r="4066">
      <c r="A4066" s="1" t="s">
        <v>21892</v>
      </c>
      <c r="B4066" s="1" t="s">
        <v>27</v>
      </c>
      <c r="C4066" s="1" t="s">
        <v>21893</v>
      </c>
      <c r="D4066" s="1" t="s">
        <v>19640</v>
      </c>
      <c r="E4066" s="1" t="s">
        <v>21894</v>
      </c>
      <c r="F4066" s="1" t="s">
        <v>21895</v>
      </c>
      <c r="G4066" s="1" t="s">
        <v>21838</v>
      </c>
      <c r="H4066" s="1">
        <v>2018.0</v>
      </c>
      <c r="I4066" s="1" t="s">
        <v>42</v>
      </c>
      <c r="J4066" s="1" t="s">
        <v>1256</v>
      </c>
      <c r="K4066" s="1" t="s">
        <v>1066</v>
      </c>
      <c r="L4066" s="1" t="s">
        <v>21896</v>
      </c>
      <c r="M4066" s="2" t="s">
        <v>12</v>
      </c>
      <c r="N4066" s="4">
        <f t="shared" si="1"/>
        <v>43525</v>
      </c>
      <c r="O4066" s="5" t="str">
        <f>IFERROR(__xludf.DUMMYFUNCTION("IF(REGEXMATCH(TRIM(I4066), ""^\d+\s*min""), ""Unclassified"", IF(I4066 = """", ""NR"", I4066))"),"TV-MA")</f>
        <v>TV-MA</v>
      </c>
      <c r="R4066" s="5" t="str">
        <f t="shared" si="2"/>
        <v>The Last Runway</v>
      </c>
      <c r="S4066" s="5" t="str">
        <f>IFERROR(__xludf.DUMMYFUNCTION("""COMPUTED_VALUE"""),"Liar'S Dice")</f>
        <v>Liar'S Dice</v>
      </c>
      <c r="U4066" s="5" t="str">
        <f>IFERROR(__xludf.DUMMYFUNCTION("""COMPUTED_VALUE"""),"Balu Mahendra")</f>
        <v>Balu Mahendra</v>
      </c>
      <c r="V4066" s="5" t="s">
        <v>21897</v>
      </c>
      <c r="W4066" s="5" t="str">
        <f t="shared" si="3"/>
        <v>Sumit Das</v>
      </c>
      <c r="X4066" s="5">
        <f t="shared" si="4"/>
        <v>1</v>
      </c>
      <c r="Y4066" s="5" t="str">
        <f>IFERROR(__xludf.DUMMYFUNCTION("REGEXEXTRACT(J4066, ""^\d+"")"),"107")</f>
        <v>107</v>
      </c>
      <c r="Z4066" s="5" t="str">
        <f>IFERROR(__xludf.DUMMYFUNCTION("REGEXEXTRACT(J4066, ""[A-Za-z ]+$"")")," min")</f>
        <v> min</v>
      </c>
      <c r="AA4066" s="5" t="str">
        <f>IFERROR(__xludf.DUMMYFUNCTION("IF(REGEXMATCH(Z4066, ""Season""), ""TV Show"", ""Movie"")"),"Movie")</f>
        <v>Movie</v>
      </c>
    </row>
    <row r="4067">
      <c r="A4067" s="1" t="s">
        <v>21898</v>
      </c>
      <c r="B4067" s="1" t="s">
        <v>27</v>
      </c>
      <c r="C4067" s="1" t="s">
        <v>21899</v>
      </c>
      <c r="D4067" s="1" t="s">
        <v>1350</v>
      </c>
      <c r="E4067" s="1" t="s">
        <v>21900</v>
      </c>
      <c r="F4067" s="1" t="s">
        <v>30</v>
      </c>
      <c r="G4067" s="1" t="s">
        <v>21838</v>
      </c>
      <c r="H4067" s="1">
        <v>2008.0</v>
      </c>
      <c r="I4067" s="1" t="s">
        <v>78</v>
      </c>
      <c r="J4067" s="1" t="s">
        <v>247</v>
      </c>
      <c r="K4067" s="1" t="s">
        <v>80</v>
      </c>
      <c r="L4067" s="1" t="s">
        <v>21901</v>
      </c>
      <c r="M4067" s="2" t="s">
        <v>12</v>
      </c>
      <c r="N4067" s="4">
        <f t="shared" si="1"/>
        <v>43525</v>
      </c>
      <c r="O4067" s="5" t="str">
        <f>IFERROR(__xludf.DUMMYFUNCTION("IF(REGEXMATCH(TRIM(I4067), ""^\d+\s*min""), ""Unclassified"", IF(I4067 = """", ""NR"", I4067))"),"PG")</f>
        <v>PG</v>
      </c>
      <c r="R4067" s="5" t="str">
        <f t="shared" si="2"/>
        <v>The Spiderwick Chronicles</v>
      </c>
      <c r="S4067" s="5" t="str">
        <f>IFERROR(__xludf.DUMMYFUNCTION("""COMPUTED_VALUE"""),"Liberated: The New Sexual Revolution")</f>
        <v>Liberated: The New Sexual Revolution</v>
      </c>
      <c r="U4067" s="5" t="str">
        <f>IFERROR(__xludf.DUMMYFUNCTION("""COMPUTED_VALUE"""),"Ehtesham Uddin")</f>
        <v>Ehtesham Uddin</v>
      </c>
      <c r="V4067" s="5" t="s">
        <v>21902</v>
      </c>
      <c r="W4067" s="5" t="str">
        <f t="shared" si="3"/>
        <v>Sumitra Bhave, Sunil Sukthankar</v>
      </c>
      <c r="X4067" s="5">
        <f t="shared" si="4"/>
        <v>3</v>
      </c>
      <c r="Y4067" s="5" t="str">
        <f>IFERROR(__xludf.DUMMYFUNCTION("REGEXEXTRACT(J4067, ""^\d+"")"),"97")</f>
        <v>97</v>
      </c>
      <c r="Z4067" s="5" t="str">
        <f>IFERROR(__xludf.DUMMYFUNCTION("REGEXEXTRACT(J4067, ""[A-Za-z ]+$"")")," min")</f>
        <v> min</v>
      </c>
      <c r="AA4067" s="5" t="str">
        <f>IFERROR(__xludf.DUMMYFUNCTION("IF(REGEXMATCH(Z4067, ""Season""), ""TV Show"", ""Movie"")"),"Movie")</f>
        <v>Movie</v>
      </c>
    </row>
    <row r="4068">
      <c r="A4068" s="1" t="s">
        <v>21903</v>
      </c>
      <c r="B4068" s="1" t="s">
        <v>27</v>
      </c>
      <c r="C4068" s="1" t="s">
        <v>21904</v>
      </c>
      <c r="D4068" s="1" t="s">
        <v>15958</v>
      </c>
      <c r="E4068" s="1" t="s">
        <v>21905</v>
      </c>
      <c r="F4068" s="1" t="s">
        <v>18848</v>
      </c>
      <c r="G4068" s="1" t="s">
        <v>21838</v>
      </c>
      <c r="H4068" s="1">
        <v>2018.0</v>
      </c>
      <c r="I4068" s="1" t="s">
        <v>42</v>
      </c>
      <c r="J4068" s="1" t="s">
        <v>238</v>
      </c>
      <c r="K4068" s="1" t="s">
        <v>298</v>
      </c>
      <c r="L4068" s="1" t="s">
        <v>21906</v>
      </c>
      <c r="M4068" s="2" t="s">
        <v>12</v>
      </c>
      <c r="N4068" s="4">
        <f t="shared" si="1"/>
        <v>43525</v>
      </c>
      <c r="O4068" s="5" t="str">
        <f>IFERROR(__xludf.DUMMYFUNCTION("IF(REGEXMATCH(TRIM(I4068), ""^\d+\s*min""), ""Unclassified"", IF(I4068 = """", ""NR"", I4068))"),"TV-MA")</f>
        <v>TV-MA</v>
      </c>
      <c r="R4068" s="5" t="str">
        <f t="shared" si="2"/>
        <v>Your Son</v>
      </c>
      <c r="S4068" s="5" t="str">
        <f>IFERROR(__xludf.DUMMYFUNCTION("""COMPUTED_VALUE"""),"License To Drill: Louisiana")</f>
        <v>License To Drill: Louisiana</v>
      </c>
      <c r="U4068" s="5" t="str">
        <f>IFERROR(__xludf.DUMMYFUNCTION("""COMPUTED_VALUE"""),"Kireet Khurana, Padmakumar Narasimhamurthy")</f>
        <v>Kireet Khurana, Padmakumar Narasimhamurthy</v>
      </c>
      <c r="V4068" s="5" t="s">
        <v>21907</v>
      </c>
      <c r="W4068" s="5" t="str">
        <f t="shared" si="3"/>
        <v>Sunao Katabuchi</v>
      </c>
      <c r="X4068" s="5">
        <f t="shared" si="4"/>
        <v>1</v>
      </c>
      <c r="Y4068" s="5" t="str">
        <f>IFERROR(__xludf.DUMMYFUNCTION("REGEXEXTRACT(J4068, ""^\d+"")"),"103")</f>
        <v>103</v>
      </c>
      <c r="Z4068" s="5" t="str">
        <f>IFERROR(__xludf.DUMMYFUNCTION("REGEXEXTRACT(J4068, ""[A-Za-z ]+$"")")," min")</f>
        <v> min</v>
      </c>
      <c r="AA4068" s="5" t="str">
        <f>IFERROR(__xludf.DUMMYFUNCTION("IF(REGEXMATCH(Z4068, ""Season""), ""TV Show"", ""Movie"")"),"Movie")</f>
        <v>Movie</v>
      </c>
    </row>
    <row r="4069">
      <c r="A4069" s="1" t="s">
        <v>21908</v>
      </c>
      <c r="B4069" s="1" t="s">
        <v>27</v>
      </c>
      <c r="C4069" s="1" t="s">
        <v>21909</v>
      </c>
      <c r="D4069" s="1" t="s">
        <v>4197</v>
      </c>
      <c r="E4069" s="1" t="s">
        <v>21910</v>
      </c>
      <c r="F4069" s="1" t="s">
        <v>18848</v>
      </c>
      <c r="G4069" s="1" t="s">
        <v>21911</v>
      </c>
      <c r="H4069" s="1">
        <v>2018.0</v>
      </c>
      <c r="I4069" s="1" t="s">
        <v>42</v>
      </c>
      <c r="J4069" s="1" t="s">
        <v>88</v>
      </c>
      <c r="K4069" s="1" t="s">
        <v>89</v>
      </c>
      <c r="L4069" s="1" t="s">
        <v>21912</v>
      </c>
      <c r="M4069" s="2" t="s">
        <v>12</v>
      </c>
      <c r="N4069" s="4">
        <f t="shared" si="1"/>
        <v>43524</v>
      </c>
      <c r="O4069" s="5" t="str">
        <f>IFERROR(__xludf.DUMMYFUNCTION("IF(REGEXMATCH(TRIM(I4069), ""^\d+\s*min""), ""Unclassified"", IF(I4069 = """", ""NR"", I4069))"),"TV-MA")</f>
        <v>TV-MA</v>
      </c>
      <c r="R4069" s="5" t="str">
        <f t="shared" si="2"/>
        <v>Quién Te Cantará</v>
      </c>
      <c r="S4069" s="5" t="str">
        <f>IFERROR(__xludf.DUMMYFUNCTION("""COMPUTED_VALUE"""),"Liefling")</f>
        <v>Liefling</v>
      </c>
      <c r="U4069" s="5" t="str">
        <f>IFERROR(__xludf.DUMMYFUNCTION("""COMPUTED_VALUE"""),"Sanjay Soorkar")</f>
        <v>Sanjay Soorkar</v>
      </c>
      <c r="V4069" s="5" t="s">
        <v>21913</v>
      </c>
      <c r="W4069" s="5" t="str">
        <f t="shared" si="3"/>
        <v>Sundar C.</v>
      </c>
      <c r="X4069" s="5">
        <f t="shared" si="4"/>
        <v>2</v>
      </c>
      <c r="Y4069" s="5" t="str">
        <f>IFERROR(__xludf.DUMMYFUNCTION("REGEXEXTRACT(J4069, ""^\d+"")"),"125")</f>
        <v>125</v>
      </c>
      <c r="Z4069" s="5" t="str">
        <f>IFERROR(__xludf.DUMMYFUNCTION("REGEXEXTRACT(J4069, ""[A-Za-z ]+$"")")," min")</f>
        <v> min</v>
      </c>
      <c r="AA4069" s="5" t="str">
        <f>IFERROR(__xludf.DUMMYFUNCTION("IF(REGEXMATCH(Z4069, ""Season""), ""TV Show"", ""Movie"")"),"Movie")</f>
        <v>Movie</v>
      </c>
    </row>
    <row r="4070">
      <c r="A4070" s="1" t="s">
        <v>21914</v>
      </c>
      <c r="B4070" s="1" t="s">
        <v>27</v>
      </c>
      <c r="C4070" s="1" t="s">
        <v>21915</v>
      </c>
      <c r="D4070" s="1" t="s">
        <v>4260</v>
      </c>
      <c r="E4070" s="1" t="s">
        <v>21916</v>
      </c>
      <c r="F4070" s="1" t="s">
        <v>4287</v>
      </c>
      <c r="G4070" s="1" t="s">
        <v>21917</v>
      </c>
      <c r="H4070" s="1">
        <v>2015.0</v>
      </c>
      <c r="I4070" s="1" t="s">
        <v>42</v>
      </c>
      <c r="J4070" s="1" t="s">
        <v>2281</v>
      </c>
      <c r="K4070" s="1" t="s">
        <v>679</v>
      </c>
      <c r="L4070" s="1" t="s">
        <v>21918</v>
      </c>
      <c r="M4070" s="2" t="s">
        <v>12</v>
      </c>
      <c r="N4070" s="4">
        <f t="shared" si="1"/>
        <v>43523</v>
      </c>
      <c r="O4070" s="5" t="str">
        <f>IFERROR(__xludf.DUMMYFUNCTION("IF(REGEXMATCH(TRIM(I4070), ""^\d+\s*min""), ""Unclassified"", IF(I4070 = """", ""NR"", I4070))"),"TV-MA")</f>
        <v>TV-MA</v>
      </c>
      <c r="R4070" s="5" t="str">
        <f t="shared" si="2"/>
        <v>A Second Chance</v>
      </c>
      <c r="S4070" s="5" t="str">
        <f>IFERROR(__xludf.DUMMYFUNCTION("""COMPUTED_VALUE"""),"Life")</f>
        <v>Life</v>
      </c>
      <c r="U4070" s="5" t="str">
        <f>IFERROR(__xludf.DUMMYFUNCTION("""COMPUTED_VALUE"""),"Mohamed Hamdy")</f>
        <v>Mohamed Hamdy</v>
      </c>
      <c r="V4070" s="5" t="s">
        <v>21919</v>
      </c>
      <c r="W4070" s="5" t="str">
        <f t="shared" si="3"/>
        <v>Sung Do-Jun</v>
      </c>
      <c r="X4070" s="5">
        <f t="shared" si="4"/>
        <v>1</v>
      </c>
      <c r="Y4070" s="5" t="str">
        <f>IFERROR(__xludf.DUMMYFUNCTION("REGEXEXTRACT(J4070, ""^\d+"")"),"130")</f>
        <v>130</v>
      </c>
      <c r="Z4070" s="5" t="str">
        <f>IFERROR(__xludf.DUMMYFUNCTION("REGEXEXTRACT(J4070, ""[A-Za-z ]+$"")")," min")</f>
        <v> min</v>
      </c>
      <c r="AA4070" s="5" t="str">
        <f>IFERROR(__xludf.DUMMYFUNCTION("IF(REGEXMATCH(Z4070, ""Season""), ""TV Show"", ""Movie"")"),"Movie")</f>
        <v>Movie</v>
      </c>
    </row>
    <row r="4071">
      <c r="A4071" s="1" t="s">
        <v>21920</v>
      </c>
      <c r="B4071" s="1" t="s">
        <v>27</v>
      </c>
      <c r="C4071" s="1" t="s">
        <v>21921</v>
      </c>
      <c r="D4071" s="1" t="s">
        <v>21541</v>
      </c>
      <c r="E4071" s="1" t="s">
        <v>21922</v>
      </c>
      <c r="F4071" s="1" t="s">
        <v>4287</v>
      </c>
      <c r="G4071" s="1" t="s">
        <v>21917</v>
      </c>
      <c r="H4071" s="1">
        <v>2015.0</v>
      </c>
      <c r="I4071" s="1" t="s">
        <v>97</v>
      </c>
      <c r="J4071" s="1" t="s">
        <v>804</v>
      </c>
      <c r="K4071" s="1" t="s">
        <v>1328</v>
      </c>
      <c r="L4071" s="1" t="s">
        <v>21923</v>
      </c>
      <c r="M4071" s="2" t="s">
        <v>12</v>
      </c>
      <c r="N4071" s="4">
        <f t="shared" si="1"/>
        <v>43523</v>
      </c>
      <c r="O4071" s="5" t="str">
        <f>IFERROR(__xludf.DUMMYFUNCTION("IF(REGEXMATCH(TRIM(I4071), ""^\d+\s*min""), ""Unclassified"", IF(I4071 = """", ""NR"", I4071))"),"TV-14")</f>
        <v>TV-14</v>
      </c>
      <c r="R4071" s="5" t="str">
        <f t="shared" si="2"/>
        <v>Beauty And The Bestie</v>
      </c>
      <c r="S4071" s="5" t="str">
        <f>IFERROR(__xludf.DUMMYFUNCTION("""COMPUTED_VALUE"""),"Life 2.0")</f>
        <v>Life 2.0</v>
      </c>
      <c r="U4071" s="5" t="str">
        <f>IFERROR(__xludf.DUMMYFUNCTION("""COMPUTED_VALUE"""),"Partha Chakraborty")</f>
        <v>Partha Chakraborty</v>
      </c>
      <c r="V4071" s="5" t="s">
        <v>21924</v>
      </c>
      <c r="W4071" s="5" t="str">
        <f t="shared" si="3"/>
        <v>Sung-Soo Kim</v>
      </c>
      <c r="X4071" s="5">
        <f t="shared" si="4"/>
        <v>1</v>
      </c>
      <c r="Y4071" s="5" t="str">
        <f>IFERROR(__xludf.DUMMYFUNCTION("REGEXEXTRACT(J4071, ""^\d+"")"),"119")</f>
        <v>119</v>
      </c>
      <c r="Z4071" s="5" t="str">
        <f>IFERROR(__xludf.DUMMYFUNCTION("REGEXEXTRACT(J4071, ""[A-Za-z ]+$"")")," min")</f>
        <v> min</v>
      </c>
      <c r="AA4071" s="5" t="str">
        <f>IFERROR(__xludf.DUMMYFUNCTION("IF(REGEXMATCH(Z4071, ""Season""), ""TV Show"", ""Movie"")"),"Movie")</f>
        <v>Movie</v>
      </c>
    </row>
    <row r="4072">
      <c r="A4072" s="1" t="s">
        <v>21925</v>
      </c>
      <c r="B4072" s="1" t="s">
        <v>27</v>
      </c>
      <c r="C4072" s="1" t="s">
        <v>21926</v>
      </c>
      <c r="D4072" s="1" t="s">
        <v>5285</v>
      </c>
      <c r="E4072" s="1" t="s">
        <v>21927</v>
      </c>
      <c r="F4072" s="1" t="s">
        <v>4287</v>
      </c>
      <c r="G4072" s="1" t="s">
        <v>21917</v>
      </c>
      <c r="H4072" s="1">
        <v>2014.0</v>
      </c>
      <c r="I4072" s="1" t="s">
        <v>136</v>
      </c>
      <c r="J4072" s="1" t="s">
        <v>297</v>
      </c>
      <c r="K4072" s="1" t="s">
        <v>215</v>
      </c>
      <c r="L4072" s="1" t="s">
        <v>21928</v>
      </c>
      <c r="M4072" s="2" t="s">
        <v>12</v>
      </c>
      <c r="N4072" s="4">
        <f t="shared" si="1"/>
        <v>43523</v>
      </c>
      <c r="O4072" s="5" t="str">
        <f>IFERROR(__xludf.DUMMYFUNCTION("IF(REGEXMATCH(TRIM(I4072), ""^\d+\s*min""), ""Unclassified"", IF(I4072 = """", ""NR"", I4072))"),"TV-PG")</f>
        <v>TV-PG</v>
      </c>
      <c r="R4072" s="5" t="str">
        <f t="shared" si="2"/>
        <v>Bride For Rent</v>
      </c>
      <c r="S4072" s="5" t="str">
        <f>IFERROR(__xludf.DUMMYFUNCTION("""COMPUTED_VALUE"""),"Life After Beth")</f>
        <v>Life After Beth</v>
      </c>
      <c r="U4072" s="5" t="str">
        <f>IFERROR(__xludf.DUMMYFUNCTION("""COMPUTED_VALUE"""),"K. Gopinathan")</f>
        <v>K. Gopinathan</v>
      </c>
      <c r="V4072" s="5" t="s">
        <v>21929</v>
      </c>
      <c r="W4072" s="5" t="str">
        <f t="shared" si="3"/>
        <v>Sunil Soraya</v>
      </c>
      <c r="X4072" s="5">
        <f t="shared" si="4"/>
        <v>1</v>
      </c>
      <c r="Y4072" s="5" t="str">
        <f>IFERROR(__xludf.DUMMYFUNCTION("REGEXEXTRACT(J4072, ""^\d+"")"),"110")</f>
        <v>110</v>
      </c>
      <c r="Z4072" s="5" t="str">
        <f>IFERROR(__xludf.DUMMYFUNCTION("REGEXEXTRACT(J4072, ""[A-Za-z ]+$"")")," min")</f>
        <v> min</v>
      </c>
      <c r="AA4072" s="5" t="str">
        <f>IFERROR(__xludf.DUMMYFUNCTION("IF(REGEXMATCH(Z4072, ""Season""), ""TV Show"", ""Movie"")"),"Movie")</f>
        <v>Movie</v>
      </c>
    </row>
    <row r="4073">
      <c r="A4073" s="1" t="s">
        <v>21930</v>
      </c>
      <c r="B4073" s="1" t="s">
        <v>27</v>
      </c>
      <c r="C4073" s="1" t="s">
        <v>21931</v>
      </c>
      <c r="D4073" s="1" t="s">
        <v>5285</v>
      </c>
      <c r="E4073" s="1" t="s">
        <v>21932</v>
      </c>
      <c r="F4073" s="1" t="s">
        <v>4287</v>
      </c>
      <c r="G4073" s="1" t="s">
        <v>21917</v>
      </c>
      <c r="H4073" s="1">
        <v>2017.0</v>
      </c>
      <c r="I4073" s="1" t="s">
        <v>97</v>
      </c>
      <c r="J4073" s="1" t="s">
        <v>985</v>
      </c>
      <c r="K4073" s="1" t="s">
        <v>583</v>
      </c>
      <c r="L4073" s="1" t="s">
        <v>21933</v>
      </c>
      <c r="M4073" s="2" t="s">
        <v>12</v>
      </c>
      <c r="N4073" s="4">
        <f t="shared" si="1"/>
        <v>43523</v>
      </c>
      <c r="O4073" s="5" t="str">
        <f>IFERROR(__xludf.DUMMYFUNCTION("IF(REGEXMATCH(TRIM(I4073), ""^\d+\s*min""), ""Unclassified"", IF(I4073 = """", ""NR"", I4073))"),"TV-14")</f>
        <v>TV-14</v>
      </c>
      <c r="R4073" s="5" t="str">
        <f t="shared" si="2"/>
        <v>Can'T Help Falling In Love</v>
      </c>
      <c r="S4073" s="5" t="str">
        <f>IFERROR(__xludf.DUMMYFUNCTION("""COMPUTED_VALUE"""),"Life As We Know It")</f>
        <v>Life As We Know It</v>
      </c>
      <c r="U4073" s="5" t="str">
        <f>IFERROR(__xludf.DUMMYFUNCTION("""COMPUTED_VALUE"""),"Bruce Macdonald, Gabriel Sabloff")</f>
        <v>Bruce Macdonald, Gabriel Sabloff</v>
      </c>
      <c r="V4073" s="5" t="s">
        <v>19491</v>
      </c>
      <c r="W4073" s="5" t="str">
        <f t="shared" si="3"/>
        <v>Sunil Thakur</v>
      </c>
      <c r="X4073" s="5">
        <f t="shared" si="4"/>
        <v>1</v>
      </c>
      <c r="Y4073" s="5" t="str">
        <f>IFERROR(__xludf.DUMMYFUNCTION("REGEXEXTRACT(J4073, ""^\d+"")"),"120")</f>
        <v>120</v>
      </c>
      <c r="Z4073" s="5" t="str">
        <f>IFERROR(__xludf.DUMMYFUNCTION("REGEXEXTRACT(J4073, ""[A-Za-z ]+$"")")," min")</f>
        <v> min</v>
      </c>
      <c r="AA4073" s="5" t="str">
        <f>IFERROR(__xludf.DUMMYFUNCTION("IF(REGEXMATCH(Z4073, ""Season""), ""TV Show"", ""Movie"")"),"Movie")</f>
        <v>Movie</v>
      </c>
    </row>
    <row r="4074">
      <c r="A4074" s="1" t="s">
        <v>21934</v>
      </c>
      <c r="B4074" s="1" t="s">
        <v>27</v>
      </c>
      <c r="C4074" s="1" t="s">
        <v>21935</v>
      </c>
      <c r="D4074" s="1" t="s">
        <v>21409</v>
      </c>
      <c r="E4074" s="1" t="s">
        <v>21936</v>
      </c>
      <c r="F4074" s="1" t="s">
        <v>63</v>
      </c>
      <c r="G4074" s="1" t="s">
        <v>21917</v>
      </c>
      <c r="H4074" s="1">
        <v>2018.0</v>
      </c>
      <c r="I4074" s="1" t="s">
        <v>136</v>
      </c>
      <c r="J4074" s="1" t="s">
        <v>447</v>
      </c>
      <c r="K4074" s="1" t="s">
        <v>89</v>
      </c>
      <c r="L4074" s="1" t="s">
        <v>21937</v>
      </c>
      <c r="M4074" s="2" t="s">
        <v>12</v>
      </c>
      <c r="N4074" s="4">
        <f t="shared" si="1"/>
        <v>43523</v>
      </c>
      <c r="O4074" s="5" t="str">
        <f>IFERROR(__xludf.DUMMYFUNCTION("IF(REGEXMATCH(TRIM(I4074), ""^\d+\s*min""), ""Unclassified"", IF(I4074 = """", ""NR"", I4074))"),"TV-PG")</f>
        <v>TV-PG</v>
      </c>
      <c r="R4074" s="5" t="str">
        <f t="shared" si="2"/>
        <v>Evening Shadows</v>
      </c>
      <c r="S4074" s="5" t="str">
        <f>IFERROR(__xludf.DUMMYFUNCTION("""COMPUTED_VALUE"""),"Life In A ... Metro")</f>
        <v>Life In A ... Metro</v>
      </c>
      <c r="U4074" s="5" t="str">
        <f>IFERROR(__xludf.DUMMYFUNCTION("""COMPUTED_VALUE"""),"Rajeev Patil")</f>
        <v>Rajeev Patil</v>
      </c>
      <c r="V4074" s="5" t="s">
        <v>17252</v>
      </c>
      <c r="W4074" s="5" t="str">
        <f t="shared" si="3"/>
        <v>Sunkanmi Adebayo</v>
      </c>
      <c r="X4074" s="5">
        <f t="shared" si="4"/>
        <v>1</v>
      </c>
      <c r="Y4074" s="5" t="str">
        <f>IFERROR(__xludf.DUMMYFUNCTION("REGEXEXTRACT(J4074, ""^\d+"")"),"102")</f>
        <v>102</v>
      </c>
      <c r="Z4074" s="5" t="str">
        <f>IFERROR(__xludf.DUMMYFUNCTION("REGEXEXTRACT(J4074, ""[A-Za-z ]+$"")")," min")</f>
        <v> min</v>
      </c>
      <c r="AA4074" s="5" t="str">
        <f>IFERROR(__xludf.DUMMYFUNCTION("IF(REGEXMATCH(Z4074, ""Season""), ""TV Show"", ""Movie"")"),"Movie")</f>
        <v>Movie</v>
      </c>
    </row>
    <row r="4075">
      <c r="A4075" s="1" t="s">
        <v>21938</v>
      </c>
      <c r="B4075" s="1" t="s">
        <v>27</v>
      </c>
      <c r="C4075" s="1" t="s">
        <v>21939</v>
      </c>
      <c r="D4075" s="1" t="s">
        <v>4260</v>
      </c>
      <c r="E4075" s="1" t="s">
        <v>21940</v>
      </c>
      <c r="F4075" s="1" t="s">
        <v>4287</v>
      </c>
      <c r="G4075" s="1" t="s">
        <v>21917</v>
      </c>
      <c r="H4075" s="1">
        <v>2013.0</v>
      </c>
      <c r="I4075" s="1" t="s">
        <v>97</v>
      </c>
      <c r="J4075" s="1" t="s">
        <v>88</v>
      </c>
      <c r="K4075" s="1" t="s">
        <v>583</v>
      </c>
      <c r="L4075" s="1" t="s">
        <v>21941</v>
      </c>
      <c r="M4075" s="2" t="s">
        <v>12</v>
      </c>
      <c r="N4075" s="4">
        <f t="shared" si="1"/>
        <v>43523</v>
      </c>
      <c r="O4075" s="5" t="str">
        <f>IFERROR(__xludf.DUMMYFUNCTION("IF(REGEXMATCH(TRIM(I4075), ""^\d+\s*min""), ""Unclassified"", IF(I4075 = """", ""NR"", I4075))"),"TV-14")</f>
        <v>TV-14</v>
      </c>
      <c r="R4075" s="5" t="str">
        <f t="shared" si="2"/>
        <v>Four Sisters And A Wedding</v>
      </c>
      <c r="S4075" s="5" t="str">
        <f>IFERROR(__xludf.DUMMYFUNCTION("""COMPUTED_VALUE"""),"Life In Color With David Attenborough")</f>
        <v>Life In Color With David Attenborough</v>
      </c>
      <c r="U4075" s="5" t="str">
        <f>IFERROR(__xludf.DUMMYFUNCTION("""COMPUTED_VALUE"""),"Glenn Miller")</f>
        <v>Glenn Miller</v>
      </c>
      <c r="V4075" s="5" t="s">
        <v>7365</v>
      </c>
      <c r="W4075" s="5" t="str">
        <f t="shared" si="3"/>
        <v>Sunny Lau</v>
      </c>
      <c r="X4075" s="5">
        <f t="shared" si="4"/>
        <v>1</v>
      </c>
      <c r="Y4075" s="5" t="str">
        <f>IFERROR(__xludf.DUMMYFUNCTION("REGEXEXTRACT(J4075, ""^\d+"")"),"125")</f>
        <v>125</v>
      </c>
      <c r="Z4075" s="5" t="str">
        <f>IFERROR(__xludf.DUMMYFUNCTION("REGEXEXTRACT(J4075, ""[A-Za-z ]+$"")")," min")</f>
        <v> min</v>
      </c>
      <c r="AA4075" s="5" t="str">
        <f>IFERROR(__xludf.DUMMYFUNCTION("IF(REGEXMATCH(Z4075, ""Season""), ""TV Show"", ""Movie"")"),"Movie")</f>
        <v>Movie</v>
      </c>
    </row>
    <row r="4076">
      <c r="A4076" s="1" t="s">
        <v>21942</v>
      </c>
      <c r="B4076" s="1" t="s">
        <v>27</v>
      </c>
      <c r="C4076" s="1" t="s">
        <v>21943</v>
      </c>
      <c r="D4076" s="1" t="s">
        <v>4260</v>
      </c>
      <c r="E4076" s="1" t="s">
        <v>21944</v>
      </c>
      <c r="F4076" s="1" t="s">
        <v>4287</v>
      </c>
      <c r="G4076" s="1" t="s">
        <v>21917</v>
      </c>
      <c r="H4076" s="1">
        <v>2013.0</v>
      </c>
      <c r="I4076" s="1" t="s">
        <v>136</v>
      </c>
      <c r="J4076" s="1" t="s">
        <v>127</v>
      </c>
      <c r="K4076" s="1" t="s">
        <v>215</v>
      </c>
      <c r="L4076" s="1" t="s">
        <v>21945</v>
      </c>
      <c r="M4076" s="2" t="s">
        <v>12</v>
      </c>
      <c r="N4076" s="4">
        <f t="shared" si="1"/>
        <v>43523</v>
      </c>
      <c r="O4076" s="5" t="str">
        <f>IFERROR(__xludf.DUMMYFUNCTION("IF(REGEXMATCH(TRIM(I4076), ""^\d+\s*min""), ""Unclassified"", IF(I4076 = """", ""NR"", I4076))"),"TV-PG")</f>
        <v>TV-PG</v>
      </c>
      <c r="R4076" s="5" t="str">
        <f t="shared" si="2"/>
        <v>It Takes A Man And A Woman</v>
      </c>
      <c r="S4076" s="5" t="str">
        <f>IFERROR(__xludf.DUMMYFUNCTION("""COMPUTED_VALUE"""),"Life In The Doghouse")</f>
        <v>Life In The Doghouse</v>
      </c>
      <c r="U4076" s="5" t="str">
        <f>IFERROR(__xludf.DUMMYFUNCTION("""COMPUTED_VALUE"""),"Venugopan")</f>
        <v>Venugopan</v>
      </c>
      <c r="V4076" s="5" t="s">
        <v>21160</v>
      </c>
      <c r="W4076" s="5" t="str">
        <f t="shared" si="3"/>
        <v>Suparn Verma</v>
      </c>
      <c r="X4076" s="5">
        <f t="shared" si="4"/>
        <v>1</v>
      </c>
      <c r="Y4076" s="5" t="str">
        <f>IFERROR(__xludf.DUMMYFUNCTION("REGEXEXTRACT(J4076, ""^\d+"")"),"127")</f>
        <v>127</v>
      </c>
      <c r="Z4076" s="5" t="str">
        <f>IFERROR(__xludf.DUMMYFUNCTION("REGEXEXTRACT(J4076, ""[A-Za-z ]+$"")")," min")</f>
        <v> min</v>
      </c>
      <c r="AA4076" s="5" t="str">
        <f>IFERROR(__xludf.DUMMYFUNCTION("IF(REGEXMATCH(Z4076, ""Season""), ""TV Show"", ""Movie"")"),"Movie")</f>
        <v>Movie</v>
      </c>
    </row>
    <row r="4077">
      <c r="A4077" s="1" t="s">
        <v>21946</v>
      </c>
      <c r="B4077" s="1" t="s">
        <v>27</v>
      </c>
      <c r="C4077" s="1" t="s">
        <v>21947</v>
      </c>
      <c r="D4077" s="1" t="s">
        <v>4260</v>
      </c>
      <c r="E4077" s="1" t="s">
        <v>21948</v>
      </c>
      <c r="F4077" s="1" t="s">
        <v>4287</v>
      </c>
      <c r="G4077" s="1" t="s">
        <v>21917</v>
      </c>
      <c r="H4077" s="1">
        <v>2017.0</v>
      </c>
      <c r="I4077" s="1" t="s">
        <v>97</v>
      </c>
      <c r="J4077" s="1" t="s">
        <v>941</v>
      </c>
      <c r="K4077" s="1" t="s">
        <v>583</v>
      </c>
      <c r="L4077" s="1" t="s">
        <v>21949</v>
      </c>
      <c r="M4077" s="2" t="s">
        <v>12</v>
      </c>
      <c r="N4077" s="4">
        <f t="shared" si="1"/>
        <v>43523</v>
      </c>
      <c r="O4077" s="5" t="str">
        <f>IFERROR(__xludf.DUMMYFUNCTION("IF(REGEXMATCH(TRIM(I4077), ""^\d+\s*min""), ""Unclassified"", IF(I4077 = """", ""NR"", I4077))"),"TV-14")</f>
        <v>TV-14</v>
      </c>
      <c r="R4077" s="5" t="str">
        <f t="shared" si="2"/>
        <v>My Ex &amp; Whys</v>
      </c>
      <c r="S4077" s="5" t="str">
        <f>IFERROR(__xludf.DUMMYFUNCTION("""COMPUTED_VALUE"""),"Life Ki Toh Lag Gayi")</f>
        <v>Life Ki Toh Lag Gayi</v>
      </c>
      <c r="U4077" s="5" t="str">
        <f>IFERROR(__xludf.DUMMYFUNCTION("""COMPUTED_VALUE"""),"Kamal Sahani")</f>
        <v>Kamal Sahani</v>
      </c>
      <c r="V4077" s="5" t="s">
        <v>21950</v>
      </c>
      <c r="W4077" s="5" t="str">
        <f t="shared" si="3"/>
        <v>Supavitra Babul</v>
      </c>
      <c r="X4077" s="5">
        <f t="shared" si="4"/>
        <v>1</v>
      </c>
      <c r="Y4077" s="5" t="str">
        <f>IFERROR(__xludf.DUMMYFUNCTION("REGEXEXTRACT(J4077, ""^\d+"")"),"121")</f>
        <v>121</v>
      </c>
      <c r="Z4077" s="5" t="str">
        <f>IFERROR(__xludf.DUMMYFUNCTION("REGEXEXTRACT(J4077, ""[A-Za-z ]+$"")")," min")</f>
        <v> min</v>
      </c>
      <c r="AA4077" s="5" t="str">
        <f>IFERROR(__xludf.DUMMYFUNCTION("IF(REGEXMATCH(Z4077, ""Season""), ""TV Show"", ""Movie"")"),"Movie")</f>
        <v>Movie</v>
      </c>
    </row>
    <row r="4078">
      <c r="A4078" s="1" t="s">
        <v>21951</v>
      </c>
      <c r="B4078" s="1" t="s">
        <v>27</v>
      </c>
      <c r="C4078" s="1" t="s">
        <v>21952</v>
      </c>
      <c r="D4078" s="1" t="s">
        <v>4260</v>
      </c>
      <c r="E4078" s="1" t="s">
        <v>21953</v>
      </c>
      <c r="F4078" s="1" t="s">
        <v>4287</v>
      </c>
      <c r="G4078" s="1" t="s">
        <v>21917</v>
      </c>
      <c r="H4078" s="1">
        <v>2014.0</v>
      </c>
      <c r="I4078" s="1" t="s">
        <v>97</v>
      </c>
      <c r="J4078" s="1" t="s">
        <v>519</v>
      </c>
      <c r="K4078" s="1" t="s">
        <v>679</v>
      </c>
      <c r="L4078" s="1" t="s">
        <v>21954</v>
      </c>
      <c r="M4078" s="2" t="s">
        <v>12</v>
      </c>
      <c r="N4078" s="4">
        <f t="shared" si="1"/>
        <v>43523</v>
      </c>
      <c r="O4078" s="5" t="str">
        <f>IFERROR(__xludf.DUMMYFUNCTION("IF(REGEXMATCH(TRIM(I4078), ""^\d+\s*min""), ""Unclassified"", IF(I4078 = """", ""NR"", I4078))"),"TV-14")</f>
        <v>TV-14</v>
      </c>
      <c r="R4078" s="5" t="str">
        <f t="shared" si="2"/>
        <v>She'S Dating The Gangster</v>
      </c>
      <c r="S4078" s="5" t="str">
        <f>IFERROR(__xludf.DUMMYFUNCTION("""COMPUTED_VALUE"""),"Life Of An Outcast")</f>
        <v>Life Of An Outcast</v>
      </c>
      <c r="U4078" s="5" t="str">
        <f>IFERROR(__xludf.DUMMYFUNCTION("""COMPUTED_VALUE"""),"V. Scott Balcerek")</f>
        <v>V. Scott Balcerek</v>
      </c>
      <c r="V4078" s="5" t="s">
        <v>21955</v>
      </c>
      <c r="W4078" s="5" t="str">
        <f t="shared" si="3"/>
        <v>Suresh Pillai</v>
      </c>
      <c r="X4078" s="5">
        <f t="shared" si="4"/>
        <v>1</v>
      </c>
      <c r="Y4078" s="5" t="str">
        <f>IFERROR(__xludf.DUMMYFUNCTION("REGEXEXTRACT(J4078, ""^\d+"")"),"113")</f>
        <v>113</v>
      </c>
      <c r="Z4078" s="5" t="str">
        <f>IFERROR(__xludf.DUMMYFUNCTION("REGEXEXTRACT(J4078, ""[A-Za-z ]+$"")")," min")</f>
        <v> min</v>
      </c>
      <c r="AA4078" s="5" t="str">
        <f>IFERROR(__xludf.DUMMYFUNCTION("IF(REGEXMATCH(Z4078, ""Season""), ""TV Show"", ""Movie"")"),"Movie")</f>
        <v>Movie</v>
      </c>
    </row>
    <row r="4079">
      <c r="A4079" s="1" t="s">
        <v>21956</v>
      </c>
      <c r="B4079" s="1" t="s">
        <v>27</v>
      </c>
      <c r="C4079" s="1" t="s">
        <v>21957</v>
      </c>
      <c r="D4079" s="1" t="s">
        <v>5442</v>
      </c>
      <c r="E4079" s="1" t="s">
        <v>21958</v>
      </c>
      <c r="F4079" s="1" t="s">
        <v>4287</v>
      </c>
      <c r="G4079" s="1" t="s">
        <v>21917</v>
      </c>
      <c r="H4079" s="1">
        <v>2015.0</v>
      </c>
      <c r="I4079" s="1" t="s">
        <v>42</v>
      </c>
      <c r="J4079" s="1" t="s">
        <v>870</v>
      </c>
      <c r="K4079" s="1" t="s">
        <v>1429</v>
      </c>
      <c r="L4079" s="1" t="s">
        <v>21959</v>
      </c>
      <c r="M4079" s="2" t="s">
        <v>12</v>
      </c>
      <c r="N4079" s="4">
        <f t="shared" si="1"/>
        <v>43523</v>
      </c>
      <c r="O4079" s="5" t="str">
        <f>IFERROR(__xludf.DUMMYFUNCTION("IF(REGEXMATCH(TRIM(I4079), ""^\d+\s*min""), ""Unclassified"", IF(I4079 = """", ""NR"", I4079))"),"TV-MA")</f>
        <v>TV-MA</v>
      </c>
      <c r="R4079" s="5" t="str">
        <f t="shared" si="2"/>
        <v>The Breakup Playlist</v>
      </c>
      <c r="S4079" s="5" t="str">
        <f>IFERROR(__xludf.DUMMYFUNCTION("""COMPUTED_VALUE"""),"Life Of Crime")</f>
        <v>Life Of Crime</v>
      </c>
      <c r="U4079" s="5" t="str">
        <f>IFERROR(__xludf.DUMMYFUNCTION("""COMPUTED_VALUE"""),"Raj N. Sippy")</f>
        <v>Raj N. Sippy</v>
      </c>
      <c r="V4079" s="5" t="s">
        <v>21960</v>
      </c>
      <c r="W4079" s="5" t="str">
        <f t="shared" si="3"/>
        <v>Surya S.J., Sunil Kumar Agrawal</v>
      </c>
      <c r="X4079" s="5">
        <f t="shared" si="4"/>
        <v>1</v>
      </c>
      <c r="Y4079" s="5" t="str">
        <f>IFERROR(__xludf.DUMMYFUNCTION("REGEXEXTRACT(J4079, ""^\d+"")"),"118")</f>
        <v>118</v>
      </c>
      <c r="Z4079" s="5" t="str">
        <f>IFERROR(__xludf.DUMMYFUNCTION("REGEXEXTRACT(J4079, ""[A-Za-z ]+$"")")," min")</f>
        <v> min</v>
      </c>
      <c r="AA4079" s="5" t="str">
        <f>IFERROR(__xludf.DUMMYFUNCTION("IF(REGEXMATCH(Z4079, ""Season""), ""TV Show"", ""Movie"")"),"Movie")</f>
        <v>Movie</v>
      </c>
    </row>
    <row r="4080">
      <c r="A4080" s="1" t="s">
        <v>21961</v>
      </c>
      <c r="B4080" s="1" t="s">
        <v>27</v>
      </c>
      <c r="C4080" s="1" t="s">
        <v>21962</v>
      </c>
      <c r="D4080" s="1" t="s">
        <v>17217</v>
      </c>
      <c r="E4080" s="1" t="s">
        <v>21963</v>
      </c>
      <c r="F4080" s="1" t="s">
        <v>4287</v>
      </c>
      <c r="G4080" s="1" t="s">
        <v>21917</v>
      </c>
      <c r="H4080" s="1">
        <v>2012.0</v>
      </c>
      <c r="I4080" s="1" t="s">
        <v>42</v>
      </c>
      <c r="J4080" s="1" t="s">
        <v>2505</v>
      </c>
      <c r="K4080" s="1" t="s">
        <v>679</v>
      </c>
      <c r="L4080" s="1" t="s">
        <v>21964</v>
      </c>
      <c r="M4080" s="2" t="s">
        <v>12</v>
      </c>
      <c r="N4080" s="4">
        <f t="shared" si="1"/>
        <v>43523</v>
      </c>
      <c r="O4080" s="5" t="str">
        <f>IFERROR(__xludf.DUMMYFUNCTION("IF(REGEXMATCH(TRIM(I4080), ""^\d+\s*min""), ""Unclassified"", IF(I4080 = """", ""NR"", I4080))"),"TV-MA")</f>
        <v>TV-MA</v>
      </c>
      <c r="R4080" s="5" t="str">
        <f t="shared" si="2"/>
        <v>The Mistress</v>
      </c>
      <c r="S4080" s="5" t="str">
        <f>IFERROR(__xludf.DUMMYFUNCTION("""COMPUTED_VALUE"""),"Life On Location")</f>
        <v>Life On Location</v>
      </c>
      <c r="U4080" s="5" t="str">
        <f>IFERROR(__xludf.DUMMYFUNCTION("""COMPUTED_VALUE"""),"Damon Cardasis")</f>
        <v>Damon Cardasis</v>
      </c>
      <c r="V4080" s="5" t="s">
        <v>21965</v>
      </c>
      <c r="W4080" s="5" t="str">
        <f t="shared" si="3"/>
        <v>Susan Glatzer</v>
      </c>
      <c r="X4080" s="5">
        <f t="shared" si="4"/>
        <v>1</v>
      </c>
      <c r="Y4080" s="5" t="str">
        <f>IFERROR(__xludf.DUMMYFUNCTION("REGEXEXTRACT(J4080, ""^\d+"")"),"132")</f>
        <v>132</v>
      </c>
      <c r="Z4080" s="5" t="str">
        <f>IFERROR(__xludf.DUMMYFUNCTION("REGEXEXTRACT(J4080, ""[A-Za-z ]+$"")")," min")</f>
        <v> min</v>
      </c>
      <c r="AA4080" s="5" t="str">
        <f>IFERROR(__xludf.DUMMYFUNCTION("IF(REGEXMATCH(Z4080, ""Season""), ""TV Show"", ""Movie"")"),"Movie")</f>
        <v>Movie</v>
      </c>
    </row>
    <row r="4081">
      <c r="A4081" s="1" t="s">
        <v>21966</v>
      </c>
      <c r="B4081" s="1" t="s">
        <v>37</v>
      </c>
      <c r="C4081" s="1" t="s">
        <v>21967</v>
      </c>
      <c r="E4081" s="1" t="s">
        <v>21968</v>
      </c>
      <c r="F4081" s="1" t="s">
        <v>30</v>
      </c>
      <c r="G4081" s="1" t="s">
        <v>21917</v>
      </c>
      <c r="H4081" s="1">
        <v>2018.0</v>
      </c>
      <c r="I4081" s="1" t="s">
        <v>42</v>
      </c>
      <c r="J4081" s="1" t="s">
        <v>51</v>
      </c>
      <c r="K4081" s="1" t="s">
        <v>4118</v>
      </c>
      <c r="L4081" s="1" t="s">
        <v>21969</v>
      </c>
      <c r="M4081" s="2" t="s">
        <v>12</v>
      </c>
      <c r="N4081" s="4">
        <f t="shared" si="1"/>
        <v>43523</v>
      </c>
      <c r="O4081" s="5" t="str">
        <f>IFERROR(__xludf.DUMMYFUNCTION("IF(REGEXMATCH(TRIM(I4081), ""^\d+\s*min""), ""Unclassified"", IF(I4081 = """", ""NR"", I4081))"),"TV-MA")</f>
        <v>TV-MA</v>
      </c>
      <c r="R4081" s="5" t="str">
        <f t="shared" si="2"/>
        <v>Unsolved</v>
      </c>
      <c r="S4081" s="5" t="str">
        <f>IFERROR(__xludf.DUMMYFUNCTION("""COMPUTED_VALUE"""),"Life Overtakes Me")</f>
        <v>Life Overtakes Me</v>
      </c>
      <c r="U4081" s="5" t="str">
        <f>IFERROR(__xludf.DUMMYFUNCTION("""COMPUTED_VALUE"""),"Jeffrey G. Hunt")</f>
        <v>Jeffrey G. Hunt</v>
      </c>
      <c r="V4081" s="5" t="s">
        <v>21970</v>
      </c>
      <c r="W4081" s="5" t="str">
        <f t="shared" si="3"/>
        <v>Susan Johnson</v>
      </c>
      <c r="X4081" s="5">
        <f t="shared" si="4"/>
        <v>2</v>
      </c>
      <c r="Y4081" s="5" t="str">
        <f>IFERROR(__xludf.DUMMYFUNCTION("REGEXEXTRACT(J4081, ""^\d+"")"),"1")</f>
        <v>1</v>
      </c>
      <c r="Z4081" s="5" t="str">
        <f>IFERROR(__xludf.DUMMYFUNCTION("REGEXEXTRACT(J4081, ""[A-Za-z ]+$"")")," Season")</f>
        <v> Season</v>
      </c>
      <c r="AA4081" s="5" t="str">
        <f>IFERROR(__xludf.DUMMYFUNCTION("IF(REGEXMATCH(Z4081, ""Season""), ""TV Show"", ""Movie"")"),"TV Show")</f>
        <v>TV Show</v>
      </c>
    </row>
    <row r="4082">
      <c r="A4082" s="1" t="s">
        <v>21971</v>
      </c>
      <c r="B4082" s="1" t="s">
        <v>27</v>
      </c>
      <c r="C4082" s="1" t="s">
        <v>21972</v>
      </c>
      <c r="D4082" s="1" t="s">
        <v>15552</v>
      </c>
      <c r="E4082" s="1" t="s">
        <v>21973</v>
      </c>
      <c r="F4082" s="1" t="s">
        <v>30</v>
      </c>
      <c r="G4082" s="1" t="s">
        <v>21974</v>
      </c>
      <c r="H4082" s="1">
        <v>2006.0</v>
      </c>
      <c r="I4082" s="1" t="s">
        <v>42</v>
      </c>
      <c r="J4082" s="1" t="s">
        <v>207</v>
      </c>
      <c r="K4082" s="1" t="s">
        <v>1839</v>
      </c>
      <c r="L4082" s="1" t="s">
        <v>21975</v>
      </c>
      <c r="M4082" s="2" t="s">
        <v>12</v>
      </c>
      <c r="N4082" s="4">
        <f t="shared" si="1"/>
        <v>43522</v>
      </c>
      <c r="O4082" s="5" t="str">
        <f>IFERROR(__xludf.DUMMYFUNCTION("IF(REGEXMATCH(TRIM(I4082), ""^\d+\s*min""), ""Unclassified"", IF(I4082 = """", ""NR"", I4082))"),"TV-MA")</f>
        <v>TV-MA</v>
      </c>
      <c r="R4082" s="5" t="str">
        <f t="shared" si="2"/>
        <v>Zach Galifianakis: Live At The Purple Onion</v>
      </c>
      <c r="S4082" s="5" t="str">
        <f>IFERROR(__xludf.DUMMYFUNCTION("""COMPUTED_VALUE"""),"Life Plan A And B")</f>
        <v>Life Plan A And B</v>
      </c>
      <c r="U4082" s="5" t="str">
        <f>IFERROR(__xludf.DUMMYFUNCTION("""COMPUTED_VALUE"""),"Kevan Peterson")</f>
        <v>Kevan Peterson</v>
      </c>
      <c r="V4082" s="5" t="s">
        <v>2030</v>
      </c>
      <c r="W4082" s="5" t="str">
        <f t="shared" si="3"/>
        <v>Susan Lacy</v>
      </c>
      <c r="X4082" s="5">
        <f t="shared" si="4"/>
        <v>1</v>
      </c>
      <c r="Y4082" s="5" t="str">
        <f>IFERROR(__xludf.DUMMYFUNCTION("REGEXEXTRACT(J4082, ""^\d+"")"),"61")</f>
        <v>61</v>
      </c>
      <c r="Z4082" s="5" t="str">
        <f>IFERROR(__xludf.DUMMYFUNCTION("REGEXEXTRACT(J4082, ""[A-Za-z ]+$"")")," min")</f>
        <v> min</v>
      </c>
      <c r="AA4082" s="5" t="str">
        <f>IFERROR(__xludf.DUMMYFUNCTION("IF(REGEXMATCH(Z4082, ""Season""), ""TV Show"", ""Movie"")"),"Movie")</f>
        <v>Movie</v>
      </c>
    </row>
    <row r="4083">
      <c r="A4083" s="1" t="s">
        <v>21976</v>
      </c>
      <c r="B4083" s="1" t="s">
        <v>27</v>
      </c>
      <c r="C4083" s="1" t="s">
        <v>21977</v>
      </c>
      <c r="D4083" s="1" t="s">
        <v>17858</v>
      </c>
      <c r="E4083" s="1" t="s">
        <v>21978</v>
      </c>
      <c r="F4083" s="1" t="s">
        <v>63</v>
      </c>
      <c r="G4083" s="1" t="s">
        <v>21979</v>
      </c>
      <c r="H4083" s="1">
        <v>2018.0</v>
      </c>
      <c r="I4083" s="1" t="s">
        <v>136</v>
      </c>
      <c r="J4083" s="1" t="s">
        <v>729</v>
      </c>
      <c r="K4083" s="1" t="s">
        <v>89</v>
      </c>
      <c r="L4083" s="1" t="s">
        <v>21980</v>
      </c>
      <c r="M4083" s="2" t="s">
        <v>12</v>
      </c>
      <c r="N4083" s="4">
        <f t="shared" si="1"/>
        <v>43521</v>
      </c>
      <c r="O4083" s="5" t="str">
        <f>IFERROR(__xludf.DUMMYFUNCTION("IF(REGEXMATCH(TRIM(I4083), ""^\d+\s*min""), ""Unclassified"", IF(I4083 = """", ""NR"", I4083))"),"TV-PG")</f>
        <v>TV-PG</v>
      </c>
      <c r="R4083" s="5" t="str">
        <f t="shared" si="2"/>
        <v>Life Of An Outcast</v>
      </c>
      <c r="S4083" s="5" t="str">
        <f>IFERROR(__xludf.DUMMYFUNCTION("""COMPUTED_VALUE"""),"Life Sentence")</f>
        <v>Life Sentence</v>
      </c>
      <c r="U4083" s="5" t="str">
        <f>IFERROR(__xludf.DUMMYFUNCTION("""COMPUTED_VALUE"""),"Dino Risi")</f>
        <v>Dino Risi</v>
      </c>
      <c r="V4083" s="5" t="s">
        <v>21981</v>
      </c>
      <c r="W4083" s="5" t="str">
        <f t="shared" si="3"/>
        <v>Susan Lambert, Stefan Moore</v>
      </c>
      <c r="X4083" s="5">
        <f t="shared" si="4"/>
        <v>1</v>
      </c>
      <c r="Y4083" s="5" t="str">
        <f>IFERROR(__xludf.DUMMYFUNCTION("REGEXEXTRACT(J4083, ""^\d+"")"),"80")</f>
        <v>80</v>
      </c>
      <c r="Z4083" s="5" t="str">
        <f>IFERROR(__xludf.DUMMYFUNCTION("REGEXEXTRACT(J4083, ""[A-Za-z ]+$"")")," min")</f>
        <v> min</v>
      </c>
      <c r="AA4083" s="5" t="str">
        <f>IFERROR(__xludf.DUMMYFUNCTION("IF(REGEXMATCH(Z4083, ""Season""), ""TV Show"", ""Movie"")"),"Movie")</f>
        <v>Movie</v>
      </c>
    </row>
    <row r="4084">
      <c r="A4084" s="1" t="s">
        <v>21982</v>
      </c>
      <c r="B4084" s="1" t="s">
        <v>27</v>
      </c>
      <c r="C4084" s="1" t="s">
        <v>21983</v>
      </c>
      <c r="D4084" s="1" t="s">
        <v>14528</v>
      </c>
      <c r="E4084" s="1" t="s">
        <v>21984</v>
      </c>
      <c r="F4084" s="1" t="s">
        <v>784</v>
      </c>
      <c r="G4084" s="1" t="s">
        <v>21985</v>
      </c>
      <c r="H4084" s="1">
        <v>2018.0</v>
      </c>
      <c r="I4084" s="1" t="s">
        <v>42</v>
      </c>
      <c r="J4084" s="1" t="s">
        <v>297</v>
      </c>
      <c r="K4084" s="1" t="s">
        <v>128</v>
      </c>
      <c r="L4084" s="1" t="s">
        <v>21986</v>
      </c>
      <c r="M4084" s="2" t="s">
        <v>12</v>
      </c>
      <c r="N4084" s="4">
        <f t="shared" si="1"/>
        <v>43519</v>
      </c>
      <c r="O4084" s="5" t="str">
        <f>IFERROR(__xludf.DUMMYFUNCTION("IF(REGEXMATCH(TRIM(I4084), ""^\d+\s*min""), ""Unclassified"", IF(I4084 = """", ""NR"", I4084))"),"TV-MA")</f>
        <v>TV-MA</v>
      </c>
      <c r="R4084" s="5" t="str">
        <f t="shared" si="2"/>
        <v>The Photographer Of Mauthausen</v>
      </c>
      <c r="S4084" s="5" t="str">
        <f>IFERROR(__xludf.DUMMYFUNCTION("""COMPUTED_VALUE"""),"Life Story")</f>
        <v>Life Story</v>
      </c>
      <c r="U4084" s="5" t="str">
        <f>IFERROR(__xludf.DUMMYFUNCTION("""COMPUTED_VALUE"""),"Keenen Ivory Wayans")</f>
        <v>Keenen Ivory Wayans</v>
      </c>
      <c r="V4084" s="5" t="s">
        <v>15661</v>
      </c>
      <c r="W4084" s="5" t="str">
        <f t="shared" si="3"/>
        <v>Susan Walter</v>
      </c>
      <c r="X4084" s="5">
        <f t="shared" si="4"/>
        <v>1</v>
      </c>
      <c r="Y4084" s="5" t="str">
        <f>IFERROR(__xludf.DUMMYFUNCTION("REGEXEXTRACT(J4084, ""^\d+"")"),"110")</f>
        <v>110</v>
      </c>
      <c r="Z4084" s="5" t="str">
        <f>IFERROR(__xludf.DUMMYFUNCTION("REGEXEXTRACT(J4084, ""[A-Za-z ]+$"")")," min")</f>
        <v> min</v>
      </c>
      <c r="AA4084" s="5" t="str">
        <f>IFERROR(__xludf.DUMMYFUNCTION("IF(REGEXMATCH(Z4084, ""Season""), ""TV Show"", ""Movie"")"),"Movie")</f>
        <v>Movie</v>
      </c>
    </row>
    <row r="4085">
      <c r="A4085" s="1" t="s">
        <v>21987</v>
      </c>
      <c r="B4085" s="1" t="s">
        <v>27</v>
      </c>
      <c r="C4085" s="1" t="s">
        <v>21988</v>
      </c>
      <c r="D4085" s="1" t="s">
        <v>14919</v>
      </c>
      <c r="E4085" s="1" t="s">
        <v>15687</v>
      </c>
      <c r="F4085" s="1" t="s">
        <v>30</v>
      </c>
      <c r="G4085" s="1" t="s">
        <v>21989</v>
      </c>
      <c r="H4085" s="1">
        <v>2016.0</v>
      </c>
      <c r="I4085" s="1" t="s">
        <v>42</v>
      </c>
      <c r="J4085" s="1" t="s">
        <v>1583</v>
      </c>
      <c r="K4085" s="1" t="s">
        <v>1839</v>
      </c>
      <c r="L4085" s="1" t="s">
        <v>21990</v>
      </c>
      <c r="M4085" s="2" t="s">
        <v>12</v>
      </c>
      <c r="N4085" s="4">
        <f t="shared" si="1"/>
        <v>43518</v>
      </c>
      <c r="O4085" s="5" t="str">
        <f>IFERROR(__xludf.DUMMYFUNCTION("IF(REGEXMATCH(TRIM(I4085), ""^\d+\s*min""), ""Unclassified"", IF(I4085 = """", ""NR"", I4085))"),"TV-MA")</f>
        <v>TV-MA</v>
      </c>
      <c r="R4085" s="5" t="str">
        <f t="shared" si="2"/>
        <v>Bert Kreischer: The Machine</v>
      </c>
      <c r="S4085" s="5" t="str">
        <f>IFERROR(__xludf.DUMMYFUNCTION("""COMPUTED_VALUE"""),"Life'S Speed Bump")</f>
        <v>Life'S Speed Bump</v>
      </c>
      <c r="U4085" s="5" t="str">
        <f>IFERROR(__xludf.DUMMYFUNCTION("""COMPUTED_VALUE"""),"Hiroshi Aoyama, Kazumi Fukushima, Jim Stenstrum")</f>
        <v>Hiroshi Aoyama, Kazumi Fukushima, Jim Stenstrum</v>
      </c>
      <c r="V4085" s="5" t="s">
        <v>21991</v>
      </c>
      <c r="W4085" s="5" t="str">
        <f t="shared" si="3"/>
        <v>Susannah Heath-Eves</v>
      </c>
      <c r="X4085" s="5">
        <f t="shared" si="4"/>
        <v>1</v>
      </c>
      <c r="Y4085" s="5" t="str">
        <f>IFERROR(__xludf.DUMMYFUNCTION("REGEXEXTRACT(J4085, ""^\d+"")"),"70")</f>
        <v>70</v>
      </c>
      <c r="Z4085" s="5" t="str">
        <f>IFERROR(__xludf.DUMMYFUNCTION("REGEXEXTRACT(J4085, ""[A-Za-z ]+$"")")," min")</f>
        <v> min</v>
      </c>
      <c r="AA4085" s="5" t="str">
        <f>IFERROR(__xludf.DUMMYFUNCTION("IF(REGEXMATCH(Z4085, ""Season""), ""TV Show"", ""Movie"")"),"Movie")</f>
        <v>Movie</v>
      </c>
    </row>
    <row r="4086">
      <c r="A4086" s="1" t="s">
        <v>21992</v>
      </c>
      <c r="B4086" s="1" t="s">
        <v>37</v>
      </c>
      <c r="C4086" s="1" t="s">
        <v>21993</v>
      </c>
      <c r="F4086" s="1" t="s">
        <v>30</v>
      </c>
      <c r="G4086" s="1" t="s">
        <v>21989</v>
      </c>
      <c r="H4086" s="1">
        <v>2019.0</v>
      </c>
      <c r="I4086" s="1" t="s">
        <v>42</v>
      </c>
      <c r="J4086" s="1" t="s">
        <v>439</v>
      </c>
      <c r="K4086" s="1" t="s">
        <v>57</v>
      </c>
      <c r="L4086" s="1" t="s">
        <v>21994</v>
      </c>
      <c r="M4086" s="2" t="s">
        <v>12</v>
      </c>
      <c r="N4086" s="4">
        <f t="shared" si="1"/>
        <v>43518</v>
      </c>
      <c r="O4086" s="5" t="str">
        <f>IFERROR(__xludf.DUMMYFUNCTION("IF(REGEXMATCH(TRIM(I4086), ""^\d+\s*min""), ""Unclassified"", IF(I4086 = """", ""NR"", I4086))"),"TV-MA")</f>
        <v>TV-MA</v>
      </c>
      <c r="R4086" s="5" t="str">
        <f t="shared" si="2"/>
        <v>Chef'S Table</v>
      </c>
      <c r="S4086" s="5" t="str">
        <f>IFERROR(__xludf.DUMMYFUNCTION("""COMPUTED_VALUE"""),"Lifechanger")</f>
        <v>Lifechanger</v>
      </c>
      <c r="U4086" s="5" t="str">
        <f>IFERROR(__xludf.DUMMYFUNCTION("""COMPUTED_VALUE"""),"Edgar Wright")</f>
        <v>Edgar Wright</v>
      </c>
      <c r="V4086" s="5" t="s">
        <v>21995</v>
      </c>
      <c r="W4086" s="5" t="str">
        <f t="shared" si="3"/>
        <v>Susannah Ward</v>
      </c>
      <c r="X4086" s="5">
        <f t="shared" si="4"/>
        <v>2</v>
      </c>
      <c r="Y4086" s="5" t="str">
        <f>IFERROR(__xludf.DUMMYFUNCTION("REGEXEXTRACT(J4086, ""^\d+"")"),"6")</f>
        <v>6</v>
      </c>
      <c r="Z4086" s="5" t="str">
        <f>IFERROR(__xludf.DUMMYFUNCTION("REGEXEXTRACT(J4086, ""[A-Za-z ]+$"")")," Seasons")</f>
        <v> Seasons</v>
      </c>
      <c r="AA4086" s="5" t="str">
        <f>IFERROR(__xludf.DUMMYFUNCTION("IF(REGEXMATCH(Z4086, ""Season""), ""TV Show"", ""Movie"")"),"TV Show")</f>
        <v>TV Show</v>
      </c>
    </row>
    <row r="4087">
      <c r="A4087" s="1" t="s">
        <v>21996</v>
      </c>
      <c r="B4087" s="1" t="s">
        <v>27</v>
      </c>
      <c r="C4087" s="1" t="s">
        <v>21997</v>
      </c>
      <c r="D4087" s="1" t="s">
        <v>2596</v>
      </c>
      <c r="E4087" s="1" t="s">
        <v>21998</v>
      </c>
      <c r="F4087" s="1" t="s">
        <v>63</v>
      </c>
      <c r="G4087" s="1" t="s">
        <v>21989</v>
      </c>
      <c r="H4087" s="1">
        <v>2019.0</v>
      </c>
      <c r="I4087" s="1" t="s">
        <v>42</v>
      </c>
      <c r="J4087" s="1" t="s">
        <v>743</v>
      </c>
      <c r="K4087" s="1" t="s">
        <v>128</v>
      </c>
      <c r="L4087" s="1" t="s">
        <v>21999</v>
      </c>
      <c r="M4087" s="2" t="s">
        <v>12</v>
      </c>
      <c r="N4087" s="4">
        <f t="shared" si="1"/>
        <v>43518</v>
      </c>
      <c r="O4087" s="5" t="str">
        <f>IFERROR(__xludf.DUMMYFUNCTION("IF(REGEXMATCH(TRIM(I4087), ""^\d+\s*min""), ""Unclassified"", IF(I4087 = """", ""NR"", I4087))"),"TV-MA")</f>
        <v>TV-MA</v>
      </c>
      <c r="R4087" s="5" t="str">
        <f t="shared" si="2"/>
        <v>Firebrand</v>
      </c>
      <c r="S4087" s="5" t="str">
        <f>IFERROR(__xludf.DUMMYFUNCTION("""COMPUTED_VALUE"""),"Lifeline")</f>
        <v>Lifeline</v>
      </c>
      <c r="U4087" s="5" t="str">
        <f>IFERROR(__xludf.DUMMYFUNCTION("""COMPUTED_VALUE"""),"Wes Craven")</f>
        <v>Wes Craven</v>
      </c>
      <c r="V4087" s="5" t="s">
        <v>22000</v>
      </c>
      <c r="W4087" s="5" t="str">
        <f t="shared" si="3"/>
        <v>Susanne Bier</v>
      </c>
      <c r="X4087" s="5">
        <f t="shared" si="4"/>
        <v>1</v>
      </c>
      <c r="Y4087" s="5" t="str">
        <f>IFERROR(__xludf.DUMMYFUNCTION("REGEXEXTRACT(J4087, ""^\d+"")"),"117")</f>
        <v>117</v>
      </c>
      <c r="Z4087" s="5" t="str">
        <f>IFERROR(__xludf.DUMMYFUNCTION("REGEXEXTRACT(J4087, ""[A-Za-z ]+$"")")," min")</f>
        <v> min</v>
      </c>
      <c r="AA4087" s="5" t="str">
        <f>IFERROR(__xludf.DUMMYFUNCTION("IF(REGEXMATCH(Z4087, ""Season""), ""TV Show"", ""Movie"")"),"Movie")</f>
        <v>Movie</v>
      </c>
    </row>
    <row r="4088">
      <c r="A4088" s="1" t="s">
        <v>22001</v>
      </c>
      <c r="B4088" s="1" t="s">
        <v>27</v>
      </c>
      <c r="C4088" s="1" t="s">
        <v>22002</v>
      </c>
      <c r="D4088" s="1" t="s">
        <v>1133</v>
      </c>
      <c r="E4088" s="1" t="s">
        <v>22003</v>
      </c>
      <c r="F4088" s="1" t="s">
        <v>30</v>
      </c>
      <c r="G4088" s="1" t="s">
        <v>21989</v>
      </c>
      <c r="H4088" s="1">
        <v>2019.0</v>
      </c>
      <c r="I4088" s="1" t="s">
        <v>42</v>
      </c>
      <c r="J4088" s="1" t="s">
        <v>1191</v>
      </c>
      <c r="K4088" s="1" t="s">
        <v>836</v>
      </c>
      <c r="L4088" s="1" t="s">
        <v>22004</v>
      </c>
      <c r="M4088" s="2" t="s">
        <v>12</v>
      </c>
      <c r="N4088" s="4">
        <f t="shared" si="1"/>
        <v>43518</v>
      </c>
      <c r="O4088" s="5" t="str">
        <f>IFERROR(__xludf.DUMMYFUNCTION("IF(REGEXMATCH(TRIM(I4088), ""^\d+\s*min""), ""Unclassified"", IF(I4088 = """", ""NR"", I4088))"),"TV-MA")</f>
        <v>TV-MA</v>
      </c>
      <c r="R4088" s="5" t="str">
        <f t="shared" si="2"/>
        <v>Paddleton</v>
      </c>
      <c r="S4088" s="5" t="str">
        <f>IFERROR(__xludf.DUMMYFUNCTION("""COMPUTED_VALUE"""),"Lift Like A Girl")</f>
        <v>Lift Like A Girl</v>
      </c>
      <c r="U4088" s="5" t="str">
        <f>IFERROR(__xludf.DUMMYFUNCTION("""COMPUTED_VALUE"""),"Steven Zaillian")</f>
        <v>Steven Zaillian</v>
      </c>
      <c r="V4088" s="5" t="s">
        <v>22005</v>
      </c>
      <c r="W4088" s="5" t="str">
        <f t="shared" si="3"/>
        <v>Suseenthiran</v>
      </c>
      <c r="X4088" s="5">
        <f t="shared" si="4"/>
        <v>1</v>
      </c>
      <c r="Y4088" s="5" t="str">
        <f>IFERROR(__xludf.DUMMYFUNCTION("REGEXEXTRACT(J4088, ""^\d+"")"),"89")</f>
        <v>89</v>
      </c>
      <c r="Z4088" s="5" t="str">
        <f>IFERROR(__xludf.DUMMYFUNCTION("REGEXEXTRACT(J4088, ""[A-Za-z ]+$"")")," min")</f>
        <v> min</v>
      </c>
      <c r="AA4088" s="5" t="str">
        <f>IFERROR(__xludf.DUMMYFUNCTION("IF(REGEXMATCH(Z4088, ""Season""), ""TV Show"", ""Movie"")"),"Movie")</f>
        <v>Movie</v>
      </c>
    </row>
    <row r="4089">
      <c r="A4089" s="1" t="s">
        <v>22006</v>
      </c>
      <c r="B4089" s="1" t="s">
        <v>27</v>
      </c>
      <c r="C4089" s="1" t="s">
        <v>22007</v>
      </c>
      <c r="D4089" s="1" t="s">
        <v>6946</v>
      </c>
      <c r="E4089" s="1" t="s">
        <v>22008</v>
      </c>
      <c r="F4089" s="1" t="s">
        <v>664</v>
      </c>
      <c r="G4089" s="1" t="s">
        <v>21989</v>
      </c>
      <c r="H4089" s="1">
        <v>2019.0</v>
      </c>
      <c r="I4089" s="1" t="s">
        <v>42</v>
      </c>
      <c r="J4089" s="1" t="s">
        <v>1608</v>
      </c>
      <c r="K4089" s="1" t="s">
        <v>89</v>
      </c>
      <c r="L4089" s="1" t="s">
        <v>22009</v>
      </c>
      <c r="M4089" s="2" t="s">
        <v>12</v>
      </c>
      <c r="N4089" s="4">
        <f t="shared" si="1"/>
        <v>43518</v>
      </c>
      <c r="O4089" s="5" t="str">
        <f>IFERROR(__xludf.DUMMYFUNCTION("IF(REGEXMATCH(TRIM(I4089), ""^\d+\s*min""), ""Unclassified"", IF(I4089 = """", ""NR"", I4089))"),"TV-MA")</f>
        <v>TV-MA</v>
      </c>
      <c r="R4089" s="5" t="str">
        <f t="shared" si="2"/>
        <v>Paris Is Us</v>
      </c>
      <c r="S4089" s="5" t="str">
        <f>IFERROR(__xludf.DUMMYFUNCTION("""COMPUTED_VALUE"""),"Light In The Dark")</f>
        <v>Light In The Dark</v>
      </c>
      <c r="U4089" s="5" t="str">
        <f>IFERROR(__xludf.DUMMYFUNCTION("""COMPUTED_VALUE"""),"Malik Bendjelloul")</f>
        <v>Malik Bendjelloul</v>
      </c>
      <c r="V4089" s="5" t="s">
        <v>22010</v>
      </c>
      <c r="W4089" s="5" t="str">
        <f t="shared" si="3"/>
        <v>Sushil Majumdar</v>
      </c>
      <c r="X4089" s="5">
        <f t="shared" si="4"/>
        <v>1</v>
      </c>
      <c r="Y4089" s="5" t="str">
        <f>IFERROR(__xludf.DUMMYFUNCTION("REGEXEXTRACT(J4089, ""^\d+"")"),"84")</f>
        <v>84</v>
      </c>
      <c r="Z4089" s="5" t="str">
        <f>IFERROR(__xludf.DUMMYFUNCTION("REGEXEXTRACT(J4089, ""[A-Za-z ]+$"")")," min")</f>
        <v> min</v>
      </c>
      <c r="AA4089" s="5" t="str">
        <f>IFERROR(__xludf.DUMMYFUNCTION("IF(REGEXMATCH(Z4089, ""Season""), ""TV Show"", ""Movie"")"),"Movie")</f>
        <v>Movie</v>
      </c>
    </row>
    <row r="4090">
      <c r="A4090" s="1" t="s">
        <v>22011</v>
      </c>
      <c r="B4090" s="1" t="s">
        <v>27</v>
      </c>
      <c r="C4090" s="1" t="s">
        <v>22012</v>
      </c>
      <c r="D4090" s="1" t="s">
        <v>17555</v>
      </c>
      <c r="E4090" s="1" t="s">
        <v>22013</v>
      </c>
      <c r="F4090" s="1" t="s">
        <v>63</v>
      </c>
      <c r="G4090" s="1" t="s">
        <v>21989</v>
      </c>
      <c r="H4090" s="1">
        <v>2018.0</v>
      </c>
      <c r="I4090" s="1" t="s">
        <v>136</v>
      </c>
      <c r="J4090" s="1" t="s">
        <v>2859</v>
      </c>
      <c r="K4090" s="1" t="s">
        <v>89</v>
      </c>
      <c r="L4090" s="1" t="s">
        <v>22014</v>
      </c>
      <c r="M4090" s="2" t="s">
        <v>12</v>
      </c>
      <c r="N4090" s="4">
        <f t="shared" si="1"/>
        <v>43518</v>
      </c>
      <c r="O4090" s="5" t="str">
        <f>IFERROR(__xludf.DUMMYFUNCTION("IF(REGEXMATCH(TRIM(I4090), ""^\d+\s*min""), ""Unclassified"", IF(I4090 = """", ""NR"", I4090))"),"TV-PG")</f>
        <v>TV-PG</v>
      </c>
      <c r="R4090" s="5" t="str">
        <f t="shared" si="2"/>
        <v>Shonar Pahar</v>
      </c>
      <c r="S4090" s="5" t="str">
        <f>IFERROR(__xludf.DUMMYFUNCTION("""COMPUTED_VALUE"""),"Like Arrows")</f>
        <v>Like Arrows</v>
      </c>
      <c r="U4090" s="5" t="str">
        <f>IFERROR(__xludf.DUMMYFUNCTION("""COMPUTED_VALUE"""),"Jay Chou")</f>
        <v>Jay Chou</v>
      </c>
      <c r="V4090" s="5" t="s">
        <v>22015</v>
      </c>
      <c r="W4090" s="5" t="str">
        <f t="shared" si="3"/>
        <v>Sushrut Jain</v>
      </c>
      <c r="X4090" s="5">
        <f t="shared" si="4"/>
        <v>1</v>
      </c>
      <c r="Y4090" s="5" t="str">
        <f>IFERROR(__xludf.DUMMYFUNCTION("REGEXEXTRACT(J4090, ""^\d+"")"),"131")</f>
        <v>131</v>
      </c>
      <c r="Z4090" s="5" t="str">
        <f>IFERROR(__xludf.DUMMYFUNCTION("REGEXEXTRACT(J4090, ""[A-Za-z ]+$"")")," min")</f>
        <v> min</v>
      </c>
      <c r="AA4090" s="5" t="str">
        <f>IFERROR(__xludf.DUMMYFUNCTION("IF(REGEXMATCH(Z4090, ""Season""), ""TV Show"", ""Movie"")"),"Movie")</f>
        <v>Movie</v>
      </c>
    </row>
    <row r="4091">
      <c r="A4091" s="1" t="s">
        <v>22016</v>
      </c>
      <c r="B4091" s="1" t="s">
        <v>37</v>
      </c>
      <c r="C4091" s="1" t="s">
        <v>22017</v>
      </c>
      <c r="E4091" s="1" t="s">
        <v>22018</v>
      </c>
      <c r="F4091" s="1" t="s">
        <v>96</v>
      </c>
      <c r="G4091" s="1" t="s">
        <v>21989</v>
      </c>
      <c r="H4091" s="1">
        <v>2018.0</v>
      </c>
      <c r="I4091" s="1" t="s">
        <v>136</v>
      </c>
      <c r="J4091" s="1" t="s">
        <v>43</v>
      </c>
      <c r="K4091" s="1" t="s">
        <v>2382</v>
      </c>
      <c r="L4091" s="1" t="s">
        <v>22019</v>
      </c>
      <c r="M4091" s="2" t="s">
        <v>12</v>
      </c>
      <c r="N4091" s="4">
        <f t="shared" si="1"/>
        <v>43518</v>
      </c>
      <c r="O4091" s="5" t="str">
        <f>IFERROR(__xludf.DUMMYFUNCTION("IF(REGEXMATCH(TRIM(I4091), ""^\d+\s*min""), ""Unclassified"", IF(I4091 = """", ""NR"", I4091))"),"TV-PG")</f>
        <v>TV-PG</v>
      </c>
      <c r="R4091" s="5" t="str">
        <f t="shared" si="2"/>
        <v>The Big Family Cooking Showdown</v>
      </c>
      <c r="S4091" s="5" t="str">
        <f>IFERROR(__xludf.DUMMYFUNCTION("""COMPUTED_VALUE"""),"Like Crazy")</f>
        <v>Like Crazy</v>
      </c>
      <c r="U4091" s="5" t="str">
        <f>IFERROR(__xludf.DUMMYFUNCTION("""COMPUTED_VALUE"""),"Billy Ray")</f>
        <v>Billy Ray</v>
      </c>
      <c r="V4091" s="5" t="s">
        <v>20223</v>
      </c>
      <c r="W4091" s="5" t="str">
        <f t="shared" si="3"/>
        <v>Svati Chakravarty Bhatkal</v>
      </c>
      <c r="X4091" s="5">
        <f t="shared" si="4"/>
        <v>1</v>
      </c>
      <c r="Y4091" s="5" t="str">
        <f>IFERROR(__xludf.DUMMYFUNCTION("REGEXEXTRACT(J4091, ""^\d+"")"),"2")</f>
        <v>2</v>
      </c>
      <c r="Z4091" s="5" t="str">
        <f>IFERROR(__xludf.DUMMYFUNCTION("REGEXEXTRACT(J4091, ""[A-Za-z ]+$"")")," Seasons")</f>
        <v> Seasons</v>
      </c>
      <c r="AA4091" s="5" t="str">
        <f>IFERROR(__xludf.DUMMYFUNCTION("IF(REGEXMATCH(Z4091, ""Season""), ""TV Show"", ""Movie"")"),"TV Show")</f>
        <v>TV Show</v>
      </c>
    </row>
    <row r="4092">
      <c r="A4092" s="1" t="s">
        <v>22020</v>
      </c>
      <c r="B4092" s="1" t="s">
        <v>37</v>
      </c>
      <c r="C4092" s="1" t="s">
        <v>22021</v>
      </c>
      <c r="E4092" s="1" t="s">
        <v>22022</v>
      </c>
      <c r="F4092" s="1" t="s">
        <v>1992</v>
      </c>
      <c r="G4092" s="1" t="s">
        <v>21989</v>
      </c>
      <c r="H4092" s="1">
        <v>2018.0</v>
      </c>
      <c r="I4092" s="1" t="s">
        <v>136</v>
      </c>
      <c r="J4092" s="1" t="s">
        <v>43</v>
      </c>
      <c r="K4092" s="1" t="s">
        <v>290</v>
      </c>
      <c r="L4092" s="1" t="s">
        <v>22023</v>
      </c>
      <c r="M4092" s="2" t="s">
        <v>12</v>
      </c>
      <c r="N4092" s="4">
        <f t="shared" si="1"/>
        <v>43518</v>
      </c>
      <c r="O4092" s="5" t="str">
        <f>IFERROR(__xludf.DUMMYFUNCTION("IF(REGEXMATCH(TRIM(I4092), ""^\d+\s*min""), ""Unclassified"", IF(I4092 = """", ""NR"", I4092))"),"TV-PG")</f>
        <v>TV-PG</v>
      </c>
      <c r="R4092" s="5" t="str">
        <f t="shared" si="2"/>
        <v>Z4</v>
      </c>
      <c r="S4092" s="5" t="str">
        <f>IFERROR(__xludf.DUMMYFUNCTION("""COMPUTED_VALUE"""),"Like Father")</f>
        <v>Like Father</v>
      </c>
      <c r="U4092" s="5" t="str">
        <f>IFERROR(__xludf.DUMMYFUNCTION("""COMPUTED_VALUE"""),"Kasia Uscinska")</f>
        <v>Kasia Uscinska</v>
      </c>
      <c r="V4092" s="5" t="s">
        <v>5433</v>
      </c>
      <c r="W4092" s="5" t="str">
        <f t="shared" si="3"/>
        <v>Svetlana Cvetko</v>
      </c>
      <c r="X4092" s="5">
        <f t="shared" si="4"/>
        <v>1</v>
      </c>
      <c r="Y4092" s="5" t="str">
        <f>IFERROR(__xludf.DUMMYFUNCTION("REGEXEXTRACT(J4092, ""^\d+"")"),"2")</f>
        <v>2</v>
      </c>
      <c r="Z4092" s="5" t="str">
        <f>IFERROR(__xludf.DUMMYFUNCTION("REGEXEXTRACT(J4092, ""[A-Za-z ]+$"")")," Seasons")</f>
        <v> Seasons</v>
      </c>
      <c r="AA4092" s="5" t="str">
        <f>IFERROR(__xludf.DUMMYFUNCTION("IF(REGEXMATCH(Z4092, ""Season""), ""TV Show"", ""Movie"")"),"TV Show")</f>
        <v>TV Show</v>
      </c>
    </row>
    <row r="4093">
      <c r="A4093" s="1" t="s">
        <v>22024</v>
      </c>
      <c r="B4093" s="1" t="s">
        <v>27</v>
      </c>
      <c r="C4093" s="1" t="s">
        <v>22025</v>
      </c>
      <c r="D4093" s="1" t="s">
        <v>22026</v>
      </c>
      <c r="E4093" s="1" t="s">
        <v>22027</v>
      </c>
      <c r="F4093" s="1" t="s">
        <v>749</v>
      </c>
      <c r="G4093" s="1" t="s">
        <v>22028</v>
      </c>
      <c r="H4093" s="1">
        <v>2018.0</v>
      </c>
      <c r="I4093" s="1" t="s">
        <v>42</v>
      </c>
      <c r="J4093" s="1" t="s">
        <v>1938</v>
      </c>
      <c r="K4093" s="1" t="s">
        <v>298</v>
      </c>
      <c r="L4093" s="1" t="s">
        <v>22029</v>
      </c>
      <c r="M4093" s="2" t="s">
        <v>12</v>
      </c>
      <c r="N4093" s="4">
        <f t="shared" si="1"/>
        <v>43517</v>
      </c>
      <c r="O4093" s="5" t="str">
        <f>IFERROR(__xludf.DUMMYFUNCTION("IF(REGEXMATCH(TRIM(I4093), ""^\d+\s*min""), ""Unclassified"", IF(I4093 = """", ""NR"", I4093))"),"TV-MA")</f>
        <v>TV-MA</v>
      </c>
      <c r="R4093" s="5" t="str">
        <f t="shared" si="2"/>
        <v>The Drug King</v>
      </c>
      <c r="S4093" s="5" t="str">
        <f>IFERROR(__xludf.DUMMYFUNCTION("""COMPUTED_VALUE"""),"Like Water For Chocolate")</f>
        <v>Like Water For Chocolate</v>
      </c>
      <c r="U4093" s="5" t="str">
        <f>IFERROR(__xludf.DUMMYFUNCTION("""COMPUTED_VALUE"""),"Susannah Ward")</f>
        <v>Susannah Ward</v>
      </c>
      <c r="V4093" s="5" t="s">
        <v>22030</v>
      </c>
      <c r="W4093" s="5" t="str">
        <f t="shared" si="3"/>
        <v>Swapna Waghmare Joshi</v>
      </c>
      <c r="X4093" s="5">
        <f t="shared" si="4"/>
        <v>1</v>
      </c>
      <c r="Y4093" s="5" t="str">
        <f>IFERROR(__xludf.DUMMYFUNCTION("REGEXEXTRACT(J4093, ""^\d+"")"),"139")</f>
        <v>139</v>
      </c>
      <c r="Z4093" s="5" t="str">
        <f>IFERROR(__xludf.DUMMYFUNCTION("REGEXEXTRACT(J4093, ""[A-Za-z ]+$"")")," min")</f>
        <v> min</v>
      </c>
      <c r="AA4093" s="5" t="str">
        <f>IFERROR(__xludf.DUMMYFUNCTION("IF(REGEXMATCH(Z4093, ""Season""), ""TV Show"", ""Movie"")"),"Movie")</f>
        <v>Movie</v>
      </c>
    </row>
    <row r="4094">
      <c r="A4094" s="1" t="s">
        <v>22031</v>
      </c>
      <c r="B4094" s="1" t="s">
        <v>27</v>
      </c>
      <c r="C4094" s="1" t="s">
        <v>22032</v>
      </c>
      <c r="D4094" s="1" t="s">
        <v>17748</v>
      </c>
      <c r="E4094" s="1" t="s">
        <v>22033</v>
      </c>
      <c r="F4094" s="1" t="s">
        <v>30</v>
      </c>
      <c r="G4094" s="1" t="s">
        <v>22034</v>
      </c>
      <c r="H4094" s="1">
        <v>2001.0</v>
      </c>
      <c r="I4094" s="1" t="s">
        <v>136</v>
      </c>
      <c r="J4094" s="1" t="s">
        <v>7390</v>
      </c>
      <c r="K4094" s="1" t="s">
        <v>1839</v>
      </c>
      <c r="L4094" s="1" t="s">
        <v>22035</v>
      </c>
      <c r="M4094" s="2" t="s">
        <v>12</v>
      </c>
      <c r="N4094" s="4">
        <f t="shared" si="1"/>
        <v>43516</v>
      </c>
      <c r="O4094" s="5" t="str">
        <f>IFERROR(__xludf.DUMMYFUNCTION("IF(REGEXMATCH(TRIM(I4094), ""^\d+\s*min""), ""Unclassified"", IF(I4094 = """", ""NR"", I4094))"),"TV-PG")</f>
        <v>TV-PG</v>
      </c>
      <c r="R4094" s="5" t="str">
        <f t="shared" si="2"/>
        <v>Kevin James: Sweat The Small Stuff</v>
      </c>
      <c r="S4094" s="5" t="str">
        <f>IFERROR(__xludf.DUMMYFUNCTION("""COMPUTED_VALUE"""),"Lil Peep: Everybody’S Everything")</f>
        <v>Lil Peep: Everybody’S Everything</v>
      </c>
      <c r="U4094" s="5" t="str">
        <f>IFERROR(__xludf.DUMMYFUNCTION("""COMPUTED_VALUE"""),"Sam Taplin")</f>
        <v>Sam Taplin</v>
      </c>
      <c r="V4094" s="5" t="s">
        <v>21405</v>
      </c>
      <c r="W4094" s="5" t="str">
        <f t="shared" si="3"/>
        <v>Swapnaneel Jayakar</v>
      </c>
      <c r="X4094" s="5">
        <f t="shared" si="4"/>
        <v>2</v>
      </c>
      <c r="Y4094" s="5" t="str">
        <f>IFERROR(__xludf.DUMMYFUNCTION("REGEXEXTRACT(J4094, ""^\d+"")"),"42")</f>
        <v>42</v>
      </c>
      <c r="Z4094" s="5" t="str">
        <f>IFERROR(__xludf.DUMMYFUNCTION("REGEXEXTRACT(J4094, ""[A-Za-z ]+$"")")," min")</f>
        <v> min</v>
      </c>
      <c r="AA4094" s="5" t="str">
        <f>IFERROR(__xludf.DUMMYFUNCTION("IF(REGEXMATCH(Z4094, ""Season""), ""TV Show"", ""Movie"")"),"Movie")</f>
        <v>Movie</v>
      </c>
    </row>
    <row r="4095">
      <c r="A4095" s="1" t="s">
        <v>22036</v>
      </c>
      <c r="B4095" s="1" t="s">
        <v>27</v>
      </c>
      <c r="C4095" s="1" t="s">
        <v>22037</v>
      </c>
      <c r="D4095" s="1" t="s">
        <v>15610</v>
      </c>
      <c r="E4095" s="1" t="s">
        <v>22038</v>
      </c>
      <c r="F4095" s="1" t="s">
        <v>1106</v>
      </c>
      <c r="G4095" s="1" t="s">
        <v>22034</v>
      </c>
      <c r="H4095" s="1">
        <v>2017.0</v>
      </c>
      <c r="I4095" s="1" t="s">
        <v>42</v>
      </c>
      <c r="J4095" s="1" t="s">
        <v>6391</v>
      </c>
      <c r="K4095" s="1" t="s">
        <v>1212</v>
      </c>
      <c r="L4095" s="1" t="s">
        <v>22039</v>
      </c>
      <c r="M4095" s="2" t="s">
        <v>12</v>
      </c>
      <c r="N4095" s="4">
        <f t="shared" si="1"/>
        <v>43516</v>
      </c>
      <c r="O4095" s="5" t="str">
        <f>IFERROR(__xludf.DUMMYFUNCTION("IF(REGEXMATCH(TRIM(I4095), ""^\d+\s*min""), ""Unclassified"", IF(I4095 = """", ""NR"", I4095))"),"TV-MA")</f>
        <v>TV-MA</v>
      </c>
      <c r="R4095" s="5" t="str">
        <f t="shared" si="2"/>
        <v>Transformer</v>
      </c>
      <c r="S4095" s="5" t="str">
        <f>IFERROR(__xludf.DUMMYFUNCTION("""COMPUTED_VALUE"""),"Lila &amp; Eve")</f>
        <v>Lila &amp; Eve</v>
      </c>
      <c r="U4095" s="5" t="str">
        <f>IFERROR(__xludf.DUMMYFUNCTION("""COMPUTED_VALUE"""),"Vicky Matthews")</f>
        <v>Vicky Matthews</v>
      </c>
      <c r="V4095" s="5" t="s">
        <v>20977</v>
      </c>
      <c r="W4095" s="5" t="str">
        <f t="shared" si="3"/>
        <v>Syamsul Yusof</v>
      </c>
      <c r="X4095" s="5">
        <f t="shared" si="4"/>
        <v>1</v>
      </c>
      <c r="Y4095" s="5" t="str">
        <f>IFERROR(__xludf.DUMMYFUNCTION("REGEXEXTRACT(J4095, ""^\d+"")"),"79")</f>
        <v>79</v>
      </c>
      <c r="Z4095" s="5" t="str">
        <f>IFERROR(__xludf.DUMMYFUNCTION("REGEXEXTRACT(J4095, ""[A-Za-z ]+$"")")," min")</f>
        <v> min</v>
      </c>
      <c r="AA4095" s="5" t="str">
        <f>IFERROR(__xludf.DUMMYFUNCTION("IF(REGEXMATCH(Z4095, ""Season""), ""TV Show"", ""Movie"")"),"Movie")</f>
        <v>Movie</v>
      </c>
    </row>
    <row r="4096">
      <c r="A4096" s="1" t="s">
        <v>22040</v>
      </c>
      <c r="B4096" s="1" t="s">
        <v>27</v>
      </c>
      <c r="C4096" s="1" t="s">
        <v>22041</v>
      </c>
      <c r="D4096" s="1" t="s">
        <v>22005</v>
      </c>
      <c r="E4096" s="1" t="s">
        <v>22042</v>
      </c>
      <c r="F4096" s="1" t="s">
        <v>63</v>
      </c>
      <c r="G4096" s="1" t="s">
        <v>22043</v>
      </c>
      <c r="H4096" s="1">
        <v>2018.0</v>
      </c>
      <c r="I4096" s="1" t="s">
        <v>97</v>
      </c>
      <c r="J4096" s="1" t="s">
        <v>322</v>
      </c>
      <c r="K4096" s="1" t="s">
        <v>89</v>
      </c>
      <c r="L4096" s="1" t="s">
        <v>22044</v>
      </c>
      <c r="M4096" s="2" t="s">
        <v>12</v>
      </c>
      <c r="N4096" s="4">
        <f t="shared" si="1"/>
        <v>43513</v>
      </c>
      <c r="O4096" s="5" t="str">
        <f>IFERROR(__xludf.DUMMYFUNCTION("IF(REGEXMATCH(TRIM(I4096), ""^\d+\s*min""), ""Unclassified"", IF(I4096 = """", ""NR"", I4096))"),"TV-14")</f>
        <v>TV-14</v>
      </c>
      <c r="R4096" s="5" t="str">
        <f t="shared" si="2"/>
        <v>Genius</v>
      </c>
      <c r="S4096" s="5" t="str">
        <f>IFERROR(__xludf.DUMMYFUNCTION("""COMPUTED_VALUE"""),"Lilli")</f>
        <v>Lilli</v>
      </c>
      <c r="U4096" s="5" t="str">
        <f>IFERROR(__xludf.DUMMYFUNCTION("""COMPUTED_VALUE"""),"Vicky Matthews, Gareth Sacala")</f>
        <v>Vicky Matthews, Gareth Sacala</v>
      </c>
      <c r="V4096" s="5" t="s">
        <v>22045</v>
      </c>
      <c r="W4096" s="5" t="str">
        <f t="shared" si="3"/>
        <v>Sydney Freeland</v>
      </c>
      <c r="X4096" s="5">
        <f t="shared" si="4"/>
        <v>1</v>
      </c>
      <c r="Y4096" s="5" t="str">
        <f>IFERROR(__xludf.DUMMYFUNCTION("REGEXEXTRACT(J4096, ""^\d+"")"),"96")</f>
        <v>96</v>
      </c>
      <c r="Z4096" s="5" t="str">
        <f>IFERROR(__xludf.DUMMYFUNCTION("REGEXEXTRACT(J4096, ""[A-Za-z ]+$"")")," min")</f>
        <v> min</v>
      </c>
      <c r="AA4096" s="5" t="str">
        <f>IFERROR(__xludf.DUMMYFUNCTION("IF(REGEXMATCH(Z4096, ""Season""), ""TV Show"", ""Movie"")"),"Movie")</f>
        <v>Movie</v>
      </c>
    </row>
    <row r="4097">
      <c r="A4097" s="1" t="s">
        <v>22046</v>
      </c>
      <c r="B4097" s="1" t="s">
        <v>27</v>
      </c>
      <c r="C4097" s="1" t="s">
        <v>22047</v>
      </c>
      <c r="D4097" s="1" t="s">
        <v>22048</v>
      </c>
      <c r="E4097" s="1" t="s">
        <v>22049</v>
      </c>
      <c r="F4097" s="1" t="s">
        <v>22050</v>
      </c>
      <c r="G4097" s="1" t="s">
        <v>22051</v>
      </c>
      <c r="H4097" s="1">
        <v>2015.0</v>
      </c>
      <c r="I4097" s="1" t="s">
        <v>378</v>
      </c>
      <c r="J4097" s="1" t="s">
        <v>835</v>
      </c>
      <c r="K4097" s="1" t="s">
        <v>306</v>
      </c>
      <c r="L4097" s="1" t="s">
        <v>22052</v>
      </c>
      <c r="M4097" s="2" t="s">
        <v>12</v>
      </c>
      <c r="N4097" s="4">
        <f t="shared" si="1"/>
        <v>43512</v>
      </c>
      <c r="O4097" s="5" t="str">
        <f>IFERROR(__xludf.DUMMYFUNCTION("IF(REGEXMATCH(TRIM(I4097), ""^\d+\s*min""), ""Unclassified"", IF(I4097 = """", ""NR"", I4097))"),"R")</f>
        <v>R</v>
      </c>
      <c r="R4097" s="5" t="str">
        <f t="shared" si="2"/>
        <v>Black Sea</v>
      </c>
      <c r="S4097" s="5" t="str">
        <f>IFERROR(__xludf.DUMMYFUNCTION("""COMPUTED_VALUE"""),"Lilyhammer")</f>
        <v>Lilyhammer</v>
      </c>
      <c r="U4097" s="5" t="str">
        <f>IFERROR(__xludf.DUMMYFUNCTION("""COMPUTED_VALUE"""),"Louise Wardle")</f>
        <v>Louise Wardle</v>
      </c>
      <c r="V4097" s="5" t="s">
        <v>4963</v>
      </c>
      <c r="W4097" s="5" t="str">
        <f t="shared" si="3"/>
        <v>Sydney Pollack</v>
      </c>
      <c r="X4097" s="5">
        <f t="shared" si="4"/>
        <v>1</v>
      </c>
      <c r="Y4097" s="5" t="str">
        <f>IFERROR(__xludf.DUMMYFUNCTION("REGEXEXTRACT(J4097, ""^\d+"")"),"114")</f>
        <v>114</v>
      </c>
      <c r="Z4097" s="5" t="str">
        <f>IFERROR(__xludf.DUMMYFUNCTION("REGEXEXTRACT(J4097, ""[A-Za-z ]+$"")")," min")</f>
        <v> min</v>
      </c>
      <c r="AA4097" s="5" t="str">
        <f>IFERROR(__xludf.DUMMYFUNCTION("IF(REGEXMATCH(Z4097, ""Season""), ""TV Show"", ""Movie"")"),"Movie")</f>
        <v>Movie</v>
      </c>
    </row>
    <row r="4098">
      <c r="A4098" s="1" t="s">
        <v>22053</v>
      </c>
      <c r="B4098" s="1" t="s">
        <v>27</v>
      </c>
      <c r="C4098" s="1" t="s">
        <v>22054</v>
      </c>
      <c r="D4098" s="1" t="s">
        <v>15283</v>
      </c>
      <c r="F4098" s="1" t="s">
        <v>30</v>
      </c>
      <c r="G4098" s="1" t="s">
        <v>22051</v>
      </c>
      <c r="H4098" s="1">
        <v>2018.0</v>
      </c>
      <c r="I4098" s="1" t="s">
        <v>42</v>
      </c>
      <c r="J4098" s="1" t="s">
        <v>416</v>
      </c>
      <c r="K4098" s="1" t="s">
        <v>34</v>
      </c>
      <c r="L4098" s="1" t="s">
        <v>22055</v>
      </c>
      <c r="M4098" s="2" t="s">
        <v>12</v>
      </c>
      <c r="N4098" s="4">
        <f t="shared" si="1"/>
        <v>43512</v>
      </c>
      <c r="O4098" s="5" t="str">
        <f>IFERROR(__xludf.DUMMYFUNCTION("IF(REGEXMATCH(TRIM(I4098), ""^\d+\s*min""), ""Unclassified"", IF(I4098 = """", ""NR"", I4098))"),"TV-MA")</f>
        <v>TV-MA</v>
      </c>
      <c r="R4098" s="5" t="str">
        <f t="shared" si="2"/>
        <v>Studio 54</v>
      </c>
      <c r="S4098" s="5" t="str">
        <f>IFERROR(__xludf.DUMMYFUNCTION("""COMPUTED_VALUE"""),"Limitless")</f>
        <v>Limitless</v>
      </c>
      <c r="U4098" s="5" t="str">
        <f>IFERROR(__xludf.DUMMYFUNCTION("""COMPUTED_VALUE"""),"Kenneth Müller")</f>
        <v>Kenneth Müller</v>
      </c>
      <c r="V4098" s="5" t="s">
        <v>9196</v>
      </c>
      <c r="W4098" s="5" t="str">
        <f t="shared" si="3"/>
        <v>Sydney Sibilia</v>
      </c>
      <c r="X4098" s="5">
        <f t="shared" si="4"/>
        <v>1</v>
      </c>
      <c r="Y4098" s="5" t="str">
        <f>IFERROR(__xludf.DUMMYFUNCTION("REGEXEXTRACT(J4098, ""^\d+"")"),"99")</f>
        <v>99</v>
      </c>
      <c r="Z4098" s="5" t="str">
        <f>IFERROR(__xludf.DUMMYFUNCTION("REGEXEXTRACT(J4098, ""[A-Za-z ]+$"")")," min")</f>
        <v> min</v>
      </c>
      <c r="AA4098" s="5" t="str">
        <f>IFERROR(__xludf.DUMMYFUNCTION("IF(REGEXMATCH(Z4098, ""Season""), ""TV Show"", ""Movie"")"),"Movie")</f>
        <v>Movie</v>
      </c>
    </row>
    <row r="4099">
      <c r="A4099" s="1" t="s">
        <v>22056</v>
      </c>
      <c r="B4099" s="1" t="s">
        <v>27</v>
      </c>
      <c r="C4099" s="1" t="s">
        <v>22057</v>
      </c>
      <c r="D4099" s="1" t="s">
        <v>18360</v>
      </c>
      <c r="E4099" s="1" t="s">
        <v>22058</v>
      </c>
      <c r="F4099" s="1" t="s">
        <v>63</v>
      </c>
      <c r="G4099" s="1" t="s">
        <v>22059</v>
      </c>
      <c r="H4099" s="1">
        <v>2018.0</v>
      </c>
      <c r="I4099" s="1" t="s">
        <v>42</v>
      </c>
      <c r="J4099" s="1" t="s">
        <v>264</v>
      </c>
      <c r="K4099" s="1" t="s">
        <v>5704</v>
      </c>
      <c r="L4099" s="1" t="s">
        <v>22060</v>
      </c>
      <c r="M4099" s="2" t="s">
        <v>12</v>
      </c>
      <c r="N4099" s="4">
        <f t="shared" si="1"/>
        <v>43511</v>
      </c>
      <c r="O4099" s="5" t="str">
        <f>IFERROR(__xludf.DUMMYFUNCTION("IF(REGEXMATCH(TRIM(I4099), ""^\d+\s*min""), ""Unclassified"", IF(I4099 = """", ""NR"", I4099))"),"TV-MA")</f>
        <v>TV-MA</v>
      </c>
      <c r="R4099" s="5" t="str">
        <f t="shared" si="2"/>
        <v>Awe</v>
      </c>
      <c r="S4099" s="5" t="str">
        <f>IFERROR(__xludf.DUMMYFUNCTION("""COMPUTED_VALUE"""),"Limmy'S Show!")</f>
        <v>Limmy'S Show!</v>
      </c>
      <c r="U4099" s="5" t="str">
        <f>IFERROR(__xludf.DUMMYFUNCTION("""COMPUTED_VALUE"""),"Michael Patrick King")</f>
        <v>Michael Patrick King</v>
      </c>
      <c r="V4099" s="5" t="s">
        <v>22061</v>
      </c>
      <c r="W4099" s="5" t="str">
        <f t="shared" si="3"/>
        <v>Syed Ahmad Afzal</v>
      </c>
      <c r="X4099" s="5">
        <f t="shared" si="4"/>
        <v>1</v>
      </c>
      <c r="Y4099" s="5" t="str">
        <f>IFERROR(__xludf.DUMMYFUNCTION("REGEXEXTRACT(J4099, ""^\d+"")"),"111")</f>
        <v>111</v>
      </c>
      <c r="Z4099" s="5" t="str">
        <f>IFERROR(__xludf.DUMMYFUNCTION("REGEXEXTRACT(J4099, ""[A-Za-z ]+$"")")," min")</f>
        <v> min</v>
      </c>
      <c r="AA4099" s="5" t="str">
        <f>IFERROR(__xludf.DUMMYFUNCTION("IF(REGEXMATCH(Z4099, ""Season""), ""TV Show"", ""Movie"")"),"Movie")</f>
        <v>Movie</v>
      </c>
    </row>
    <row r="4100">
      <c r="A4100" s="1" t="s">
        <v>22062</v>
      </c>
      <c r="B4100" s="1" t="s">
        <v>27</v>
      </c>
      <c r="C4100" s="1" t="s">
        <v>22063</v>
      </c>
      <c r="D4100" s="1" t="s">
        <v>8102</v>
      </c>
      <c r="E4100" s="1" t="s">
        <v>22064</v>
      </c>
      <c r="F4100" s="1" t="s">
        <v>63</v>
      </c>
      <c r="G4100" s="1" t="s">
        <v>22059</v>
      </c>
      <c r="H4100" s="1">
        <v>2017.0</v>
      </c>
      <c r="I4100" s="1" t="s">
        <v>42</v>
      </c>
      <c r="J4100" s="1" t="s">
        <v>1243</v>
      </c>
      <c r="K4100" s="1" t="s">
        <v>89</v>
      </c>
      <c r="L4100" s="1" t="s">
        <v>22065</v>
      </c>
      <c r="M4100" s="2" t="s">
        <v>12</v>
      </c>
      <c r="N4100" s="4">
        <f t="shared" si="1"/>
        <v>43511</v>
      </c>
      <c r="O4100" s="5" t="str">
        <f>IFERROR(__xludf.DUMMYFUNCTION("IF(REGEXMATCH(TRIM(I4100), ""^\d+\s*min""), ""Unclassified"", IF(I4100 = """", ""NR"", I4100))"),"TV-MA")</f>
        <v>TV-MA</v>
      </c>
      <c r="R4100" s="5" t="str">
        <f t="shared" si="2"/>
        <v>Ayana</v>
      </c>
      <c r="S4100" s="5" t="str">
        <f>IFERROR(__xludf.DUMMYFUNCTION("""COMPUTED_VALUE"""),"Lincoln")</f>
        <v>Lincoln</v>
      </c>
      <c r="U4100" s="5" t="str">
        <f>IFERROR(__xludf.DUMMYFUNCTION("""COMPUTED_VALUE"""),"Max Martini")</f>
        <v>Max Martini</v>
      </c>
      <c r="V4100" s="5" t="s">
        <v>22066</v>
      </c>
      <c r="W4100" s="5" t="str">
        <f t="shared" si="3"/>
        <v>Syed Atif Ali</v>
      </c>
      <c r="X4100" s="5">
        <f t="shared" si="4"/>
        <v>1</v>
      </c>
      <c r="Y4100" s="5" t="str">
        <f>IFERROR(__xludf.DUMMYFUNCTION("REGEXEXTRACT(J4100, ""^\d+"")"),"112")</f>
        <v>112</v>
      </c>
      <c r="Z4100" s="5" t="str">
        <f>IFERROR(__xludf.DUMMYFUNCTION("REGEXEXTRACT(J4100, ""[A-Za-z ]+$"")")," min")</f>
        <v> min</v>
      </c>
      <c r="AA4100" s="5" t="str">
        <f>IFERROR(__xludf.DUMMYFUNCTION("IF(REGEXMATCH(Z4100, ""Season""), ""TV Show"", ""Movie"")"),"Movie")</f>
        <v>Movie</v>
      </c>
    </row>
    <row r="4101">
      <c r="A4101" s="1" t="s">
        <v>22067</v>
      </c>
      <c r="B4101" s="1" t="s">
        <v>27</v>
      </c>
      <c r="C4101" s="1" t="s">
        <v>22068</v>
      </c>
      <c r="D4101" s="1" t="s">
        <v>5537</v>
      </c>
      <c r="F4101" s="1" t="s">
        <v>30</v>
      </c>
      <c r="G4101" s="1" t="s">
        <v>22059</v>
      </c>
      <c r="H4101" s="1">
        <v>2018.0</v>
      </c>
      <c r="I4101" s="1" t="s">
        <v>97</v>
      </c>
      <c r="J4101" s="1" t="s">
        <v>322</v>
      </c>
      <c r="K4101" s="1" t="s">
        <v>34</v>
      </c>
      <c r="L4101" s="1" t="s">
        <v>22069</v>
      </c>
      <c r="M4101" s="2" t="s">
        <v>12</v>
      </c>
      <c r="N4101" s="4">
        <f t="shared" si="1"/>
        <v>43511</v>
      </c>
      <c r="O4101" s="5" t="str">
        <f>IFERROR(__xludf.DUMMYFUNCTION("IF(REGEXMATCH(TRIM(I4101), ""^\d+\s*min""), ""Unclassified"", IF(I4101 = """", ""NR"", I4101))"),"TV-14")</f>
        <v>TV-14</v>
      </c>
      <c r="R4101" s="5" t="str">
        <f t="shared" si="2"/>
        <v>Behind The Curve</v>
      </c>
      <c r="S4101" s="5" t="str">
        <f>IFERROR(__xludf.DUMMYFUNCTION("""COMPUTED_VALUE"""),"Line Walker")</f>
        <v>Line Walker</v>
      </c>
      <c r="U4101" s="5" t="str">
        <f>IFERROR(__xludf.DUMMYFUNCTION("""COMPUTED_VALUE"""),"Sudesh Manjrekar")</f>
        <v>Sudesh Manjrekar</v>
      </c>
      <c r="V4101" s="5" t="s">
        <v>2319</v>
      </c>
      <c r="W4101" s="5" t="str">
        <f t="shared" si="3"/>
        <v>Sylvain White</v>
      </c>
      <c r="X4101" s="5">
        <f t="shared" si="4"/>
        <v>1</v>
      </c>
      <c r="Y4101" s="5" t="str">
        <f>IFERROR(__xludf.DUMMYFUNCTION("REGEXEXTRACT(J4101, ""^\d+"")"),"96")</f>
        <v>96</v>
      </c>
      <c r="Z4101" s="5" t="str">
        <f>IFERROR(__xludf.DUMMYFUNCTION("REGEXEXTRACT(J4101, ""[A-Za-z ]+$"")")," min")</f>
        <v> min</v>
      </c>
      <c r="AA4101" s="5" t="str">
        <f>IFERROR(__xludf.DUMMYFUNCTION("IF(REGEXMATCH(Z4101, ""Season""), ""TV Show"", ""Movie"")"),"Movie")</f>
        <v>Movie</v>
      </c>
    </row>
    <row r="4102">
      <c r="A4102" s="1" t="s">
        <v>22070</v>
      </c>
      <c r="B4102" s="1" t="s">
        <v>27</v>
      </c>
      <c r="C4102" s="1" t="s">
        <v>22071</v>
      </c>
      <c r="D4102" s="1" t="s">
        <v>14581</v>
      </c>
      <c r="E4102" s="1" t="s">
        <v>22072</v>
      </c>
      <c r="F4102" s="1" t="s">
        <v>1992</v>
      </c>
      <c r="G4102" s="1" t="s">
        <v>22059</v>
      </c>
      <c r="H4102" s="1">
        <v>2012.0</v>
      </c>
      <c r="I4102" s="1" t="s">
        <v>42</v>
      </c>
      <c r="J4102" s="1" t="s">
        <v>238</v>
      </c>
      <c r="K4102" s="1" t="s">
        <v>836</v>
      </c>
      <c r="L4102" s="1" t="s">
        <v>22073</v>
      </c>
      <c r="M4102" s="2" t="s">
        <v>12</v>
      </c>
      <c r="N4102" s="4">
        <f t="shared" si="1"/>
        <v>43511</v>
      </c>
      <c r="O4102" s="5" t="str">
        <f>IFERROR(__xludf.DUMMYFUNCTION("IF(REGEXMATCH(TRIM(I4102), ""^\d+\s*min""), ""Unclassified"", IF(I4102 = """", ""NR"", I4102))"),"TV-MA")</f>
        <v>TV-MA</v>
      </c>
      <c r="R4102" s="5" t="str">
        <f t="shared" si="2"/>
        <v>Buddies</v>
      </c>
      <c r="S4102" s="5" t="str">
        <f>IFERROR(__xludf.DUMMYFUNCTION("""COMPUTED_VALUE"""),"Lingua Franca")</f>
        <v>Lingua Franca</v>
      </c>
      <c r="U4102" s="5" t="str">
        <f>IFERROR(__xludf.DUMMYFUNCTION("""COMPUTED_VALUE"""),"Krishna Vamshi")</f>
        <v>Krishna Vamshi</v>
      </c>
      <c r="V4102" s="5" t="s">
        <v>22074</v>
      </c>
      <c r="W4102" s="5" t="str">
        <f t="shared" si="3"/>
        <v>Sylvester Stallone</v>
      </c>
      <c r="X4102" s="5">
        <f t="shared" si="4"/>
        <v>3</v>
      </c>
      <c r="Y4102" s="5" t="str">
        <f>IFERROR(__xludf.DUMMYFUNCTION("REGEXEXTRACT(J4102, ""^\d+"")"),"103")</f>
        <v>103</v>
      </c>
      <c r="Z4102" s="5" t="str">
        <f>IFERROR(__xludf.DUMMYFUNCTION("REGEXEXTRACT(J4102, ""[A-Za-z ]+$"")")," min")</f>
        <v> min</v>
      </c>
      <c r="AA4102" s="5" t="str">
        <f>IFERROR(__xludf.DUMMYFUNCTION("IF(REGEXMATCH(Z4102, ""Season""), ""TV Show"", ""Movie"")"),"Movie")</f>
        <v>Movie</v>
      </c>
    </row>
    <row r="4103">
      <c r="A4103" s="1" t="s">
        <v>22075</v>
      </c>
      <c r="B4103" s="1" t="s">
        <v>27</v>
      </c>
      <c r="C4103" s="1" t="s">
        <v>22076</v>
      </c>
      <c r="D4103" s="1" t="s">
        <v>20896</v>
      </c>
      <c r="E4103" s="1" t="s">
        <v>22077</v>
      </c>
      <c r="F4103" s="1" t="s">
        <v>63</v>
      </c>
      <c r="G4103" s="1" t="s">
        <v>22059</v>
      </c>
      <c r="H4103" s="1">
        <v>2017.0</v>
      </c>
      <c r="I4103" s="1" t="s">
        <v>42</v>
      </c>
      <c r="J4103" s="1" t="s">
        <v>106</v>
      </c>
      <c r="K4103" s="1" t="s">
        <v>89</v>
      </c>
      <c r="L4103" s="1" t="s">
        <v>22078</v>
      </c>
      <c r="M4103" s="2" t="s">
        <v>12</v>
      </c>
      <c r="N4103" s="4">
        <f t="shared" si="1"/>
        <v>43511</v>
      </c>
      <c r="O4103" s="5" t="str">
        <f>IFERROR(__xludf.DUMMYFUNCTION("IF(REGEXMATCH(TRIM(I4103), ""^\d+\s*min""), ""Unclassified"", IF(I4103 = """", ""NR"", I4103))"),"TV-MA")</f>
        <v>TV-MA</v>
      </c>
      <c r="R4103" s="5" t="str">
        <f t="shared" si="2"/>
        <v>Candyflip</v>
      </c>
      <c r="S4103" s="5" t="str">
        <f>IFERROR(__xludf.DUMMYFUNCTION("""COMPUTED_VALUE"""),"Lion Pride")</f>
        <v>Lion Pride</v>
      </c>
      <c r="U4103" s="5" t="str">
        <f>IFERROR(__xludf.DUMMYFUNCTION("""COMPUTED_VALUE"""),"Gurudev Bhalla")</f>
        <v>Gurudev Bhalla</v>
      </c>
      <c r="V4103" s="5" t="s">
        <v>6593</v>
      </c>
      <c r="W4103" s="5" t="str">
        <f t="shared" si="3"/>
        <v>Sylvie Verheyde</v>
      </c>
      <c r="X4103" s="5">
        <f t="shared" si="4"/>
        <v>2</v>
      </c>
      <c r="Y4103" s="5" t="str">
        <f>IFERROR(__xludf.DUMMYFUNCTION("REGEXEXTRACT(J4103, ""^\d+"")"),"104")</f>
        <v>104</v>
      </c>
      <c r="Z4103" s="5" t="str">
        <f>IFERROR(__xludf.DUMMYFUNCTION("REGEXEXTRACT(J4103, ""[A-Za-z ]+$"")")," min")</f>
        <v> min</v>
      </c>
      <c r="AA4103" s="5" t="str">
        <f>IFERROR(__xludf.DUMMYFUNCTION("IF(REGEXMATCH(Z4103, ""Season""), ""TV Show"", ""Movie"")"),"Movie")</f>
        <v>Movie</v>
      </c>
    </row>
    <row r="4104">
      <c r="A4104" s="1" t="s">
        <v>22079</v>
      </c>
      <c r="B4104" s="1" t="s">
        <v>27</v>
      </c>
      <c r="C4104" s="1" t="s">
        <v>22080</v>
      </c>
      <c r="D4104" s="1" t="s">
        <v>10941</v>
      </c>
      <c r="E4104" s="1" t="s">
        <v>22081</v>
      </c>
      <c r="F4104" s="1" t="s">
        <v>63</v>
      </c>
      <c r="G4104" s="1" t="s">
        <v>22059</v>
      </c>
      <c r="H4104" s="1">
        <v>2004.0</v>
      </c>
      <c r="I4104" s="1" t="s">
        <v>97</v>
      </c>
      <c r="J4104" s="1" t="s">
        <v>447</v>
      </c>
      <c r="K4104" s="1" t="s">
        <v>128</v>
      </c>
      <c r="L4104" s="1" t="s">
        <v>22082</v>
      </c>
      <c r="M4104" s="2" t="s">
        <v>12</v>
      </c>
      <c r="N4104" s="4">
        <f t="shared" si="1"/>
        <v>43511</v>
      </c>
      <c r="O4104" s="5" t="str">
        <f>IFERROR(__xludf.DUMMYFUNCTION("IF(REGEXMATCH(TRIM(I4104), ""^\d+\s*min""), ""Unclassified"", IF(I4104 = """", ""NR"", I4104))"),"TV-14")</f>
        <v>TV-14</v>
      </c>
      <c r="R4104" s="5" t="str">
        <f t="shared" si="2"/>
        <v>Chameli</v>
      </c>
      <c r="S4104" s="5" t="str">
        <f>IFERROR(__xludf.DUMMYFUNCTION("""COMPUTED_VALUE"""),"Lion'S Heart")</f>
        <v>Lion'S Heart</v>
      </c>
      <c r="U4104" s="5" t="str">
        <f>IFERROR(__xludf.DUMMYFUNCTION("""COMPUTED_VALUE"""),"Samar Khan")</f>
        <v>Samar Khan</v>
      </c>
      <c r="V4104" s="5" t="s">
        <v>17711</v>
      </c>
      <c r="W4104" s="5" t="str">
        <f t="shared" si="3"/>
        <v>Syrine Boulanouar, Nekfeu</v>
      </c>
      <c r="X4104" s="5">
        <f t="shared" si="4"/>
        <v>1</v>
      </c>
      <c r="Y4104" s="5" t="str">
        <f>IFERROR(__xludf.DUMMYFUNCTION("REGEXEXTRACT(J4104, ""^\d+"")"),"102")</f>
        <v>102</v>
      </c>
      <c r="Z4104" s="5" t="str">
        <f>IFERROR(__xludf.DUMMYFUNCTION("REGEXEXTRACT(J4104, ""[A-Za-z ]+$"")")," min")</f>
        <v> min</v>
      </c>
      <c r="AA4104" s="5" t="str">
        <f>IFERROR(__xludf.DUMMYFUNCTION("IF(REGEXMATCH(Z4104, ""Season""), ""TV Show"", ""Movie"")"),"Movie")</f>
        <v>Movie</v>
      </c>
    </row>
    <row r="4105">
      <c r="A4105" s="1" t="s">
        <v>22083</v>
      </c>
      <c r="B4105" s="1" t="s">
        <v>27</v>
      </c>
      <c r="C4105" s="1" t="s">
        <v>22084</v>
      </c>
      <c r="D4105" s="1" t="s">
        <v>11155</v>
      </c>
      <c r="E4105" s="1" t="s">
        <v>22085</v>
      </c>
      <c r="F4105" s="1" t="s">
        <v>63</v>
      </c>
      <c r="G4105" s="1" t="s">
        <v>22059</v>
      </c>
      <c r="H4105" s="1">
        <v>2012.0</v>
      </c>
      <c r="I4105" s="1" t="s">
        <v>97</v>
      </c>
      <c r="J4105" s="1" t="s">
        <v>247</v>
      </c>
      <c r="K4105" s="1" t="s">
        <v>583</v>
      </c>
      <c r="L4105" s="1" t="s">
        <v>22086</v>
      </c>
      <c r="M4105" s="2" t="s">
        <v>12</v>
      </c>
      <c r="N4105" s="4">
        <f t="shared" si="1"/>
        <v>43511</v>
      </c>
      <c r="O4105" s="5" t="str">
        <f>IFERROR(__xludf.DUMMYFUNCTION("IF(REGEXMATCH(TRIM(I4105), ""^\d+\s*min""), ""Unclassified"", IF(I4105 = """", ""NR"", I4105))"),"TV-14")</f>
        <v>TV-14</v>
      </c>
      <c r="R4105" s="5" t="str">
        <f t="shared" si="2"/>
        <v>Fatso</v>
      </c>
      <c r="S4105" s="5" t="str">
        <f>IFERROR(__xludf.DUMMYFUNCTION("""COMPUTED_VALUE"""),"Lionheart")</f>
        <v>Lionheart</v>
      </c>
      <c r="U4105" s="5" t="str">
        <f>IFERROR(__xludf.DUMMYFUNCTION("""COMPUTED_VALUE"""),"Raymond Mcgrath")</f>
        <v>Raymond Mcgrath</v>
      </c>
      <c r="V4105" s="5" t="s">
        <v>22087</v>
      </c>
      <c r="W4105" s="5" t="str">
        <f t="shared" si="3"/>
        <v>Sze Yu Lau</v>
      </c>
      <c r="X4105" s="5">
        <f t="shared" si="4"/>
        <v>2</v>
      </c>
      <c r="Y4105" s="5" t="str">
        <f>IFERROR(__xludf.DUMMYFUNCTION("REGEXEXTRACT(J4105, ""^\d+"")"),"97")</f>
        <v>97</v>
      </c>
      <c r="Z4105" s="5" t="str">
        <f>IFERROR(__xludf.DUMMYFUNCTION("REGEXEXTRACT(J4105, ""[A-Za-z ]+$"")")," min")</f>
        <v> min</v>
      </c>
      <c r="AA4105" s="5" t="str">
        <f>IFERROR(__xludf.DUMMYFUNCTION("IF(REGEXMATCH(Z4105, ""Season""), ""TV Show"", ""Movie"")"),"Movie")</f>
        <v>Movie</v>
      </c>
    </row>
    <row r="4106">
      <c r="A4106" s="1" t="s">
        <v>22088</v>
      </c>
      <c r="B4106" s="1" t="s">
        <v>37</v>
      </c>
      <c r="C4106" s="1" t="s">
        <v>22089</v>
      </c>
      <c r="D4106" s="1" t="s">
        <v>13381</v>
      </c>
      <c r="E4106" s="1" t="s">
        <v>22090</v>
      </c>
      <c r="F4106" s="1" t="s">
        <v>4478</v>
      </c>
      <c r="G4106" s="1" t="s">
        <v>22059</v>
      </c>
      <c r="H4106" s="1">
        <v>2015.0</v>
      </c>
      <c r="I4106" s="1" t="s">
        <v>42</v>
      </c>
      <c r="J4106" s="1" t="s">
        <v>51</v>
      </c>
      <c r="K4106" s="1" t="s">
        <v>1531</v>
      </c>
      <c r="L4106" s="1" t="s">
        <v>22091</v>
      </c>
      <c r="M4106" s="2" t="s">
        <v>12</v>
      </c>
      <c r="N4106" s="4">
        <f t="shared" si="1"/>
        <v>43511</v>
      </c>
      <c r="O4106" s="5" t="str">
        <f>IFERROR(__xludf.DUMMYFUNCTION("IF(REGEXMATCH(TRIM(I4106), ""^\d+\s*min""), ""Unclassified"", IF(I4106 = """", ""NR"", I4106))"),"TV-MA")</f>
        <v>TV-MA</v>
      </c>
      <c r="R4106" s="5" t="str">
        <f t="shared" si="2"/>
        <v>Hjørdis</v>
      </c>
      <c r="S4106" s="5" t="str">
        <f>IFERROR(__xludf.DUMMYFUNCTION("""COMPUTED_VALUE"""),"Liss Pereira: Reteniendo Líquidos")</f>
        <v>Liss Pereira: Reteniendo Líquidos</v>
      </c>
      <c r="U4106" s="5" t="str">
        <f>IFERROR(__xludf.DUMMYFUNCTION("""COMPUTED_VALUE"""),"Adele K. Thomas, Richard Bailey")</f>
        <v>Adele K. Thomas, Richard Bailey</v>
      </c>
      <c r="V4106" s="5" t="s">
        <v>4834</v>
      </c>
      <c r="W4106" s="5" t="str">
        <f t="shared" si="3"/>
        <v>Tade Ogidan</v>
      </c>
      <c r="X4106" s="5">
        <f t="shared" si="4"/>
        <v>1</v>
      </c>
      <c r="Y4106" s="5" t="str">
        <f>IFERROR(__xludf.DUMMYFUNCTION("REGEXEXTRACT(J4106, ""^\d+"")"),"1")</f>
        <v>1</v>
      </c>
      <c r="Z4106" s="5" t="str">
        <f>IFERROR(__xludf.DUMMYFUNCTION("REGEXEXTRACT(J4106, ""[A-Za-z ]+$"")")," Season")</f>
        <v> Season</v>
      </c>
      <c r="AA4106" s="5" t="str">
        <f>IFERROR(__xludf.DUMMYFUNCTION("IF(REGEXMATCH(Z4106, ""Season""), ""TV Show"", ""Movie"")"),"TV Show")</f>
        <v>TV Show</v>
      </c>
    </row>
    <row r="4107">
      <c r="A4107" s="1" t="s">
        <v>22092</v>
      </c>
      <c r="B4107" s="1" t="s">
        <v>37</v>
      </c>
      <c r="C4107" s="1" t="s">
        <v>22093</v>
      </c>
      <c r="E4107" s="1" t="s">
        <v>22094</v>
      </c>
      <c r="G4107" s="1" t="s">
        <v>22059</v>
      </c>
      <c r="H4107" s="1">
        <v>2019.0</v>
      </c>
      <c r="I4107" s="1" t="s">
        <v>42</v>
      </c>
      <c r="J4107" s="1" t="s">
        <v>51</v>
      </c>
      <c r="K4107" s="1" t="s">
        <v>8465</v>
      </c>
      <c r="L4107" s="1" t="s">
        <v>22095</v>
      </c>
      <c r="M4107" s="2" t="s">
        <v>12</v>
      </c>
      <c r="N4107" s="4">
        <f t="shared" si="1"/>
        <v>43511</v>
      </c>
      <c r="O4107" s="5" t="str">
        <f>IFERROR(__xludf.DUMMYFUNCTION("IF(REGEXMATCH(TRIM(I4107), ""^\d+\s*min""), ""Unclassified"", IF(I4107 = """", ""NR"", I4107))"),"TV-MA")</f>
        <v>TV-MA</v>
      </c>
      <c r="R4107" s="5" t="str">
        <f t="shared" si="2"/>
        <v>Larry Charles' Dangerous World Of Comedy</v>
      </c>
      <c r="S4107" s="5" t="str">
        <f>IFERROR(__xludf.DUMMYFUNCTION("""COMPUTED_VALUE"""),"Listen")</f>
        <v>Listen</v>
      </c>
      <c r="U4107" s="5" t="str">
        <f>IFERROR(__xludf.DUMMYFUNCTION("""COMPUTED_VALUE"""),"Richard Bailey")</f>
        <v>Richard Bailey</v>
      </c>
      <c r="V4107" s="5" t="s">
        <v>11021</v>
      </c>
      <c r="W4107" s="5" t="str">
        <f t="shared" si="3"/>
        <v>Taika Waititi</v>
      </c>
      <c r="X4107" s="5">
        <f t="shared" si="4"/>
        <v>2</v>
      </c>
      <c r="Y4107" s="5" t="str">
        <f>IFERROR(__xludf.DUMMYFUNCTION("REGEXEXTRACT(J4107, ""^\d+"")"),"1")</f>
        <v>1</v>
      </c>
      <c r="Z4107" s="5" t="str">
        <f>IFERROR(__xludf.DUMMYFUNCTION("REGEXEXTRACT(J4107, ""[A-Za-z ]+$"")")," Season")</f>
        <v> Season</v>
      </c>
      <c r="AA4107" s="5" t="str">
        <f>IFERROR(__xludf.DUMMYFUNCTION("IF(REGEXMATCH(Z4107, ""Season""), ""TV Show"", ""Movie"")"),"TV Show")</f>
        <v>TV Show</v>
      </c>
    </row>
    <row r="4108">
      <c r="A4108" s="1" t="s">
        <v>22096</v>
      </c>
      <c r="B4108" s="1" t="s">
        <v>27</v>
      </c>
      <c r="C4108" s="1" t="s">
        <v>22097</v>
      </c>
      <c r="D4108" s="1" t="s">
        <v>9036</v>
      </c>
      <c r="E4108" s="1" t="s">
        <v>22098</v>
      </c>
      <c r="F4108" s="1" t="s">
        <v>63</v>
      </c>
      <c r="G4108" s="1" t="s">
        <v>22059</v>
      </c>
      <c r="H4108" s="1">
        <v>2018.0</v>
      </c>
      <c r="I4108" s="1" t="s">
        <v>97</v>
      </c>
      <c r="J4108" s="1" t="s">
        <v>2505</v>
      </c>
      <c r="K4108" s="1" t="s">
        <v>679</v>
      </c>
      <c r="L4108" s="1" t="s">
        <v>22099</v>
      </c>
      <c r="M4108" s="2" t="s">
        <v>12</v>
      </c>
      <c r="N4108" s="4">
        <f t="shared" si="1"/>
        <v>43511</v>
      </c>
      <c r="O4108" s="5" t="str">
        <f>IFERROR(__xludf.DUMMYFUNCTION("IF(REGEXMATCH(TRIM(I4108), ""^\d+\s*min""), ""Unclassified"", IF(I4108 = """", ""NR"", I4108))"),"TV-14")</f>
        <v>TV-14</v>
      </c>
      <c r="R4108" s="5" t="str">
        <f t="shared" si="2"/>
        <v>Neevevaro</v>
      </c>
      <c r="S4108" s="5" t="str">
        <f>IFERROR(__xludf.DUMMYFUNCTION("""COMPUTED_VALUE"""),"Listen Up! The Lives Of Quincy Jones")</f>
        <v>Listen Up! The Lives Of Quincy Jones</v>
      </c>
      <c r="U4108" s="5" t="str">
        <f>IFERROR(__xludf.DUMMYFUNCTION("""COMPUTED_VALUE"""),"Jitendra Tiwari, Pranav Singh")</f>
        <v>Jitendra Tiwari, Pranav Singh</v>
      </c>
      <c r="V4108" s="5" t="s">
        <v>12976</v>
      </c>
      <c r="W4108" s="5" t="str">
        <f t="shared" si="3"/>
        <v>Takashi Doscher</v>
      </c>
      <c r="X4108" s="5">
        <f t="shared" si="4"/>
        <v>1</v>
      </c>
      <c r="Y4108" s="5" t="str">
        <f>IFERROR(__xludf.DUMMYFUNCTION("REGEXEXTRACT(J4108, ""^\d+"")"),"132")</f>
        <v>132</v>
      </c>
      <c r="Z4108" s="5" t="str">
        <f>IFERROR(__xludf.DUMMYFUNCTION("REGEXEXTRACT(J4108, ""[A-Za-z ]+$"")")," min")</f>
        <v> min</v>
      </c>
      <c r="AA4108" s="5" t="str">
        <f>IFERROR(__xludf.DUMMYFUNCTION("IF(REGEXMATCH(Z4108, ""Season""), ""TV Show"", ""Movie"")"),"Movie")</f>
        <v>Movie</v>
      </c>
    </row>
    <row r="4109">
      <c r="A4109" s="1" t="s">
        <v>22100</v>
      </c>
      <c r="B4109" s="1" t="s">
        <v>27</v>
      </c>
      <c r="C4109" s="1" t="s">
        <v>22101</v>
      </c>
      <c r="D4109" s="1" t="s">
        <v>20102</v>
      </c>
      <c r="E4109" s="1" t="s">
        <v>22102</v>
      </c>
      <c r="F4109" s="1" t="s">
        <v>63</v>
      </c>
      <c r="G4109" s="1" t="s">
        <v>22059</v>
      </c>
      <c r="H4109" s="1">
        <v>2006.0</v>
      </c>
      <c r="I4109" s="1" t="s">
        <v>42</v>
      </c>
      <c r="J4109" s="1" t="s">
        <v>985</v>
      </c>
      <c r="K4109" s="1" t="s">
        <v>215</v>
      </c>
      <c r="L4109" s="1" t="s">
        <v>22103</v>
      </c>
      <c r="M4109" s="2" t="s">
        <v>12</v>
      </c>
      <c r="N4109" s="4">
        <f t="shared" si="1"/>
        <v>43511</v>
      </c>
      <c r="O4109" s="5" t="str">
        <f>IFERROR(__xludf.DUMMYFUNCTION("IF(REGEXMATCH(TRIM(I4109), ""^\d+\s*min""), ""Unclassified"", IF(I4109 = """", ""NR"", I4109))"),"TV-MA")</f>
        <v>TV-MA</v>
      </c>
      <c r="R4109" s="5" t="str">
        <f t="shared" si="2"/>
        <v>Pyaar Ke Side Effects</v>
      </c>
      <c r="S4109" s="5" t="str">
        <f>IFERROR(__xludf.DUMMYFUNCTION("""COMPUTED_VALUE"""),"Little Baby Bum: Go Buster")</f>
        <v>Little Baby Bum: Go Buster</v>
      </c>
      <c r="U4109" s="5" t="str">
        <f>IFERROR(__xludf.DUMMYFUNCTION("""COMPUTED_VALUE"""),"Destin Daniel Cretton")</f>
        <v>Destin Daniel Cretton</v>
      </c>
      <c r="V4109" s="5" t="s">
        <v>5961</v>
      </c>
      <c r="W4109" s="5" t="str">
        <f t="shared" si="3"/>
        <v>Takashi Shimizu</v>
      </c>
      <c r="X4109" s="5">
        <f t="shared" si="4"/>
        <v>1</v>
      </c>
      <c r="Y4109" s="5" t="str">
        <f>IFERROR(__xludf.DUMMYFUNCTION("REGEXEXTRACT(J4109, ""^\d+"")"),"120")</f>
        <v>120</v>
      </c>
      <c r="Z4109" s="5" t="str">
        <f>IFERROR(__xludf.DUMMYFUNCTION("REGEXEXTRACT(J4109, ""[A-Za-z ]+$"")")," min")</f>
        <v> min</v>
      </c>
      <c r="AA4109" s="5" t="str">
        <f>IFERROR(__xludf.DUMMYFUNCTION("IF(REGEXMATCH(Z4109, ""Season""), ""TV Show"", ""Movie"")"),"Movie")</f>
        <v>Movie</v>
      </c>
    </row>
    <row r="4110">
      <c r="A4110" s="1" t="s">
        <v>22104</v>
      </c>
      <c r="B4110" s="1" t="s">
        <v>27</v>
      </c>
      <c r="C4110" s="1" t="s">
        <v>22105</v>
      </c>
      <c r="D4110" s="1" t="s">
        <v>22106</v>
      </c>
      <c r="E4110" s="1" t="s">
        <v>22107</v>
      </c>
      <c r="F4110" s="1" t="s">
        <v>63</v>
      </c>
      <c r="G4110" s="1" t="s">
        <v>22059</v>
      </c>
      <c r="H4110" s="1">
        <v>2002.0</v>
      </c>
      <c r="I4110" s="1" t="s">
        <v>97</v>
      </c>
      <c r="J4110" s="1" t="s">
        <v>4242</v>
      </c>
      <c r="K4110" s="1" t="s">
        <v>128</v>
      </c>
      <c r="L4110" s="1" t="s">
        <v>22108</v>
      </c>
      <c r="M4110" s="2" t="s">
        <v>12</v>
      </c>
      <c r="N4110" s="4">
        <f t="shared" si="1"/>
        <v>43511</v>
      </c>
      <c r="O4110" s="5" t="str">
        <f>IFERROR(__xludf.DUMMYFUNCTION("IF(REGEXMATCH(TRIM(I4110), ""^\d+\s*min""), ""Unclassified"", IF(I4110 = """", ""NR"", I4110))"),"TV-14")</f>
        <v>TV-14</v>
      </c>
      <c r="R4110" s="5" t="str">
        <f t="shared" si="2"/>
        <v>Sur: The Melody Of Life</v>
      </c>
      <c r="S4110" s="5" t="str">
        <f>IFERROR(__xludf.DUMMYFUNCTION("""COMPUTED_VALUE"""),"Little Baby Bum: Nursery Rhyme Friends")</f>
        <v>Little Baby Bum: Nursery Rhyme Friends</v>
      </c>
      <c r="U4110" s="5" t="str">
        <f>IFERROR(__xludf.DUMMYFUNCTION("""COMPUTED_VALUE"""),"Barney Clay")</f>
        <v>Barney Clay</v>
      </c>
      <c r="V4110" s="5" t="s">
        <v>16274</v>
      </c>
      <c r="W4110" s="5" t="str">
        <f t="shared" si="3"/>
        <v>Takashi Yamazaki, Ryuichi Yagi, Makoto Hanafusa</v>
      </c>
      <c r="X4110" s="5">
        <f t="shared" si="4"/>
        <v>1</v>
      </c>
      <c r="Y4110" s="5" t="str">
        <f>IFERROR(__xludf.DUMMYFUNCTION("REGEXEXTRACT(J4110, ""^\d+"")"),"137")</f>
        <v>137</v>
      </c>
      <c r="Z4110" s="5" t="str">
        <f>IFERROR(__xludf.DUMMYFUNCTION("REGEXEXTRACT(J4110, ""[A-Za-z ]+$"")")," min")</f>
        <v> min</v>
      </c>
      <c r="AA4110" s="5" t="str">
        <f>IFERROR(__xludf.DUMMYFUNCTION("IF(REGEXMATCH(Z4110, ""Season""), ""TV Show"", ""Movie"")"),"Movie")</f>
        <v>Movie</v>
      </c>
    </row>
    <row r="4111">
      <c r="A4111" s="1" t="s">
        <v>22109</v>
      </c>
      <c r="B4111" s="1" t="s">
        <v>37</v>
      </c>
      <c r="C4111" s="1" t="s">
        <v>22110</v>
      </c>
      <c r="E4111" s="1" t="s">
        <v>22111</v>
      </c>
      <c r="G4111" s="1" t="s">
        <v>22059</v>
      </c>
      <c r="H4111" s="1">
        <v>2019.0</v>
      </c>
      <c r="I4111" s="1" t="s">
        <v>42</v>
      </c>
      <c r="J4111" s="1" t="s">
        <v>51</v>
      </c>
      <c r="K4111" s="1" t="s">
        <v>112</v>
      </c>
      <c r="L4111" s="1" t="s">
        <v>22112</v>
      </c>
      <c r="M4111" s="2" t="s">
        <v>12</v>
      </c>
      <c r="N4111" s="4">
        <f t="shared" si="1"/>
        <v>43511</v>
      </c>
      <c r="O4111" s="5" t="str">
        <f>IFERROR(__xludf.DUMMYFUNCTION("IF(REGEXMATCH(TRIM(I4111), ""^\d+\s*min""), ""Unclassified"", IF(I4111 = """", ""NR"", I4111))"),"TV-MA")</f>
        <v>TV-MA</v>
      </c>
      <c r="R4111" s="5" t="str">
        <f t="shared" si="2"/>
        <v>The 43</v>
      </c>
      <c r="S4111" s="5" t="str">
        <f>IFERROR(__xludf.DUMMYFUNCTION("""COMPUTED_VALUE"""),"Little Big Women")</f>
        <v>Little Big Women</v>
      </c>
      <c r="U4111" s="5" t="str">
        <f>IFERROR(__xludf.DUMMYFUNCTION("""COMPUTED_VALUE"""),"Adarsh Eshwarappa")</f>
        <v>Adarsh Eshwarappa</v>
      </c>
      <c r="V4111" s="5" t="s">
        <v>15650</v>
      </c>
      <c r="W4111" s="5" t="str">
        <f t="shared" si="3"/>
        <v>Takeru Nakajima, Yoshiyuki Okada</v>
      </c>
      <c r="X4111" s="5">
        <f t="shared" si="4"/>
        <v>1</v>
      </c>
      <c r="Y4111" s="5" t="str">
        <f>IFERROR(__xludf.DUMMYFUNCTION("REGEXEXTRACT(J4111, ""^\d+"")"),"1")</f>
        <v>1</v>
      </c>
      <c r="Z4111" s="5" t="str">
        <f>IFERROR(__xludf.DUMMYFUNCTION("REGEXEXTRACT(J4111, ""[A-Za-z ]+$"")")," Season")</f>
        <v> Season</v>
      </c>
      <c r="AA4111" s="5" t="str">
        <f>IFERROR(__xludf.DUMMYFUNCTION("IF(REGEXMATCH(Z4111, ""Season""), ""TV Show"", ""Movie"")"),"TV Show")</f>
        <v>TV Show</v>
      </c>
    </row>
    <row r="4112">
      <c r="A4112" s="1" t="s">
        <v>22113</v>
      </c>
      <c r="B4112" s="1" t="s">
        <v>27</v>
      </c>
      <c r="C4112" s="1" t="s">
        <v>22114</v>
      </c>
      <c r="D4112" s="1" t="s">
        <v>22115</v>
      </c>
      <c r="E4112" s="1" t="s">
        <v>22116</v>
      </c>
      <c r="F4112" s="1" t="s">
        <v>2715</v>
      </c>
      <c r="G4112" s="1" t="s">
        <v>22059</v>
      </c>
      <c r="H4112" s="1">
        <v>2018.0</v>
      </c>
      <c r="I4112" s="1" t="s">
        <v>42</v>
      </c>
      <c r="J4112" s="1" t="s">
        <v>1001</v>
      </c>
      <c r="K4112" s="1" t="s">
        <v>5295</v>
      </c>
      <c r="L4112" s="1" t="s">
        <v>22117</v>
      </c>
      <c r="M4112" s="2" t="s">
        <v>12</v>
      </c>
      <c r="N4112" s="4">
        <f t="shared" si="1"/>
        <v>43511</v>
      </c>
      <c r="O4112" s="5" t="str">
        <f>IFERROR(__xludf.DUMMYFUNCTION("IF(REGEXMATCH(TRIM(I4112), ""^\d+\s*min""), ""Unclassified"", IF(I4112 = """", ""NR"", I4112))"),"TV-MA")</f>
        <v>TV-MA</v>
      </c>
      <c r="R4112" s="5" t="str">
        <f t="shared" si="2"/>
        <v>The Breaker Upperers</v>
      </c>
      <c r="S4112" s="5" t="str">
        <f>IFERROR(__xludf.DUMMYFUNCTION("""COMPUTED_VALUE"""),"Little Boxes")</f>
        <v>Little Boxes</v>
      </c>
      <c r="U4112" s="5" t="str">
        <f>IFERROR(__xludf.DUMMYFUNCTION("""COMPUTED_VALUE"""),"Banjong Pisanthanakun, Parkpoom Wongpoom")</f>
        <v>Banjong Pisanthanakun, Parkpoom Wongpoom</v>
      </c>
      <c r="V4112" s="5" t="s">
        <v>9800</v>
      </c>
      <c r="W4112" s="5" t="str">
        <f t="shared" si="3"/>
        <v>Takeshi Fukunaga</v>
      </c>
      <c r="X4112" s="5">
        <f t="shared" si="4"/>
        <v>1</v>
      </c>
      <c r="Y4112" s="5" t="str">
        <f>IFERROR(__xludf.DUMMYFUNCTION("REGEXEXTRACT(J4112, ""^\d+"")"),"82")</f>
        <v>82</v>
      </c>
      <c r="Z4112" s="5" t="str">
        <f>IFERROR(__xludf.DUMMYFUNCTION("REGEXEXTRACT(J4112, ""[A-Za-z ]+$"")")," min")</f>
        <v> min</v>
      </c>
      <c r="AA4112" s="5" t="str">
        <f>IFERROR(__xludf.DUMMYFUNCTION("IF(REGEXMATCH(Z4112, ""Season""), ""TV Show"", ""Movie"")"),"Movie")</f>
        <v>Movie</v>
      </c>
    </row>
    <row r="4113">
      <c r="A4113" s="1" t="s">
        <v>22118</v>
      </c>
      <c r="B4113" s="1" t="s">
        <v>37</v>
      </c>
      <c r="C4113" s="1" t="s">
        <v>22119</v>
      </c>
      <c r="E4113" s="1" t="s">
        <v>22120</v>
      </c>
      <c r="F4113" s="1" t="s">
        <v>1815</v>
      </c>
      <c r="G4113" s="1" t="s">
        <v>22059</v>
      </c>
      <c r="H4113" s="1">
        <v>2017.0</v>
      </c>
      <c r="I4113" s="1" t="s">
        <v>97</v>
      </c>
      <c r="J4113" s="1" t="s">
        <v>51</v>
      </c>
      <c r="K4113" s="1" t="s">
        <v>22121</v>
      </c>
      <c r="L4113" s="1" t="s">
        <v>22122</v>
      </c>
      <c r="M4113" s="2" t="s">
        <v>12</v>
      </c>
      <c r="N4113" s="4">
        <f t="shared" si="1"/>
        <v>43511</v>
      </c>
      <c r="O4113" s="5" t="str">
        <f>IFERROR(__xludf.DUMMYFUNCTION("IF(REGEXMATCH(TRIM(I4113), ""^\d+\s*min""), ""Unclassified"", IF(I4113 = """", ""NR"", I4113))"),"TV-14")</f>
        <v>TV-14</v>
      </c>
      <c r="R4113" s="5" t="str">
        <f t="shared" si="2"/>
        <v>The Kirlian Frequency</v>
      </c>
      <c r="S4113" s="5" t="str">
        <f>IFERROR(__xludf.DUMMYFUNCTION("""COMPUTED_VALUE"""),"Little Dragon Maiden")</f>
        <v>Little Dragon Maiden</v>
      </c>
      <c r="U4113" s="5" t="str">
        <f>IFERROR(__xludf.DUMMYFUNCTION("""COMPUTED_VALUE"""),"Fabio Grassadonia, Antonio Piazza")</f>
        <v>Fabio Grassadonia, Antonio Piazza</v>
      </c>
      <c r="V4113" s="5" t="s">
        <v>6649</v>
      </c>
      <c r="W4113" s="5" t="str">
        <f t="shared" si="3"/>
        <v>Takeshi Nozue</v>
      </c>
      <c r="X4113" s="5">
        <f t="shared" si="4"/>
        <v>1</v>
      </c>
      <c r="Y4113" s="5" t="str">
        <f>IFERROR(__xludf.DUMMYFUNCTION("REGEXEXTRACT(J4113, ""^\d+"")"),"1")</f>
        <v>1</v>
      </c>
      <c r="Z4113" s="5" t="str">
        <f>IFERROR(__xludf.DUMMYFUNCTION("REGEXEXTRACT(J4113, ""[A-Za-z ]+$"")")," Season")</f>
        <v> Season</v>
      </c>
      <c r="AA4113" s="5" t="str">
        <f>IFERROR(__xludf.DUMMYFUNCTION("IF(REGEXMATCH(Z4113, ""Season""), ""TV Show"", ""Movie"")"),"TV Show")</f>
        <v>TV Show</v>
      </c>
    </row>
    <row r="4114">
      <c r="A4114" s="1" t="s">
        <v>22123</v>
      </c>
      <c r="B4114" s="1" t="s">
        <v>27</v>
      </c>
      <c r="C4114" s="1" t="s">
        <v>22124</v>
      </c>
      <c r="D4114" s="1" t="s">
        <v>20042</v>
      </c>
      <c r="E4114" s="1" t="s">
        <v>22125</v>
      </c>
      <c r="F4114" s="1" t="s">
        <v>63</v>
      </c>
      <c r="G4114" s="1" t="s">
        <v>22059</v>
      </c>
      <c r="H4114" s="1">
        <v>2008.0</v>
      </c>
      <c r="I4114" s="1" t="s">
        <v>97</v>
      </c>
      <c r="J4114" s="1" t="s">
        <v>379</v>
      </c>
      <c r="K4114" s="1" t="s">
        <v>215</v>
      </c>
      <c r="L4114" s="1" t="s">
        <v>22126</v>
      </c>
      <c r="M4114" s="2" t="s">
        <v>12</v>
      </c>
      <c r="N4114" s="4">
        <f t="shared" si="1"/>
        <v>43511</v>
      </c>
      <c r="O4114" s="5" t="str">
        <f>IFERROR(__xludf.DUMMYFUNCTION("IF(REGEXMATCH(TRIM(I4114), ""^\d+\s*min""), ""Unclassified"", IF(I4114 = """", ""NR"", I4114))"),"TV-14")</f>
        <v>TV-14</v>
      </c>
      <c r="R4114" s="5" t="str">
        <f t="shared" si="2"/>
        <v>Ugly Aur Pagli</v>
      </c>
      <c r="S4114" s="5" t="str">
        <f>IFERROR(__xludf.DUMMYFUNCTION("""COMPUTED_VALUE"""),"Little Evil")</f>
        <v>Little Evil</v>
      </c>
      <c r="U4114" s="5" t="str">
        <f>IFERROR(__xludf.DUMMYFUNCTION("""COMPUTED_VALUE"""),"Vivek Wagh")</f>
        <v>Vivek Wagh</v>
      </c>
      <c r="V4114" s="5" t="s">
        <v>7004</v>
      </c>
      <c r="W4114" s="5" t="str">
        <f t="shared" si="3"/>
        <v>Taketoshi Sado</v>
      </c>
      <c r="X4114" s="5">
        <f t="shared" si="4"/>
        <v>1</v>
      </c>
      <c r="Y4114" s="5" t="str">
        <f>IFERROR(__xludf.DUMMYFUNCTION("REGEXEXTRACT(J4114, ""^\d+"")"),"115")</f>
        <v>115</v>
      </c>
      <c r="Z4114" s="5" t="str">
        <f>IFERROR(__xludf.DUMMYFUNCTION("REGEXEXTRACT(J4114, ""[A-Za-z ]+$"")")," min")</f>
        <v> min</v>
      </c>
      <c r="AA4114" s="5" t="str">
        <f>IFERROR(__xludf.DUMMYFUNCTION("IF(REGEXMATCH(Z4114, ""Season""), ""TV Show"", ""Movie"")"),"Movie")</f>
        <v>Movie</v>
      </c>
    </row>
    <row r="4115">
      <c r="A4115" s="1" t="s">
        <v>22127</v>
      </c>
      <c r="B4115" s="1" t="s">
        <v>27</v>
      </c>
      <c r="C4115" s="1" t="s">
        <v>22128</v>
      </c>
      <c r="D4115" s="1" t="s">
        <v>5591</v>
      </c>
      <c r="E4115" s="1" t="s">
        <v>22129</v>
      </c>
      <c r="F4115" s="1" t="s">
        <v>784</v>
      </c>
      <c r="G4115" s="1" t="s">
        <v>22059</v>
      </c>
      <c r="H4115" s="1">
        <v>2018.0</v>
      </c>
      <c r="I4115" s="1" t="s">
        <v>42</v>
      </c>
      <c r="J4115" s="1" t="s">
        <v>2281</v>
      </c>
      <c r="K4115" s="1" t="s">
        <v>199</v>
      </c>
      <c r="L4115" s="1" t="s">
        <v>22130</v>
      </c>
      <c r="M4115" s="2" t="s">
        <v>12</v>
      </c>
      <c r="N4115" s="4">
        <f t="shared" si="1"/>
        <v>43511</v>
      </c>
      <c r="O4115" s="5" t="str">
        <f>IFERROR(__xludf.DUMMYFUNCTION("IF(REGEXMATCH(TRIM(I4115), ""^\d+\s*min""), ""Unclassified"", IF(I4115 = """", ""NR"", I4115))"),"TV-MA")</f>
        <v>TV-MA</v>
      </c>
      <c r="R4115" s="5" t="str">
        <f t="shared" si="2"/>
        <v>Yucatán</v>
      </c>
      <c r="S4115" s="5" t="str">
        <f>IFERROR(__xludf.DUMMYFUNCTION("""COMPUTED_VALUE"""),"Little Lunch")</f>
        <v>Little Lunch</v>
      </c>
      <c r="U4115" s="5" t="str">
        <f>IFERROR(__xludf.DUMMYFUNCTION("""COMPUTED_VALUE"""),"M.J. Bassett")</f>
        <v>M.J. Bassett</v>
      </c>
      <c r="V4115" s="5" t="s">
        <v>6968</v>
      </c>
      <c r="W4115" s="5" t="str">
        <f t="shared" si="3"/>
        <v>Takuma Sato</v>
      </c>
      <c r="X4115" s="5">
        <f t="shared" si="4"/>
        <v>1</v>
      </c>
      <c r="Y4115" s="5" t="str">
        <f>IFERROR(__xludf.DUMMYFUNCTION("REGEXEXTRACT(J4115, ""^\d+"")"),"130")</f>
        <v>130</v>
      </c>
      <c r="Z4115" s="5" t="str">
        <f>IFERROR(__xludf.DUMMYFUNCTION("REGEXEXTRACT(J4115, ""[A-Za-z ]+$"")")," min")</f>
        <v> min</v>
      </c>
      <c r="AA4115" s="5" t="str">
        <f>IFERROR(__xludf.DUMMYFUNCTION("IF(REGEXMATCH(Z4115, ""Season""), ""TV Show"", ""Movie"")"),"Movie")</f>
        <v>Movie</v>
      </c>
    </row>
    <row r="4116">
      <c r="A4116" s="1" t="s">
        <v>22131</v>
      </c>
      <c r="B4116" s="1" t="s">
        <v>37</v>
      </c>
      <c r="C4116" s="1" t="s">
        <v>22132</v>
      </c>
      <c r="E4116" s="1" t="s">
        <v>22133</v>
      </c>
      <c r="F4116" s="1" t="s">
        <v>897</v>
      </c>
      <c r="G4116" s="1" t="s">
        <v>22134</v>
      </c>
      <c r="H4116" s="1">
        <v>2018.0</v>
      </c>
      <c r="I4116" s="1" t="s">
        <v>206</v>
      </c>
      <c r="J4116" s="1" t="s">
        <v>276</v>
      </c>
      <c r="K4116" s="1" t="s">
        <v>290</v>
      </c>
      <c r="L4116" s="1" t="s">
        <v>22135</v>
      </c>
      <c r="M4116" s="2" t="s">
        <v>12</v>
      </c>
      <c r="N4116" s="4">
        <f t="shared" si="1"/>
        <v>43510</v>
      </c>
      <c r="O4116" s="5" t="str">
        <f>IFERROR(__xludf.DUMMYFUNCTION("IF(REGEXMATCH(TRIM(I4116), ""^\d+\s*min""), ""Unclassified"", IF(I4116 = """", ""NR"", I4116))"),"TV-Y")</f>
        <v>TV-Y</v>
      </c>
      <c r="R4116" s="5" t="str">
        <f t="shared" si="2"/>
        <v>Barbie Dreamhouse Adventures</v>
      </c>
      <c r="S4116" s="5" t="str">
        <f>IFERROR(__xludf.DUMMYFUNCTION("""COMPUTED_VALUE"""),"Little Lunch: The Halloween Horror Story")</f>
        <v>Little Lunch: The Halloween Horror Story</v>
      </c>
      <c r="U4116" s="5" t="str">
        <f>IFERROR(__xludf.DUMMYFUNCTION("""COMPUTED_VALUE"""),"Jason Cohen")</f>
        <v>Jason Cohen</v>
      </c>
      <c r="V4116" s="5" t="s">
        <v>4888</v>
      </c>
      <c r="W4116" s="5" t="str">
        <f t="shared" si="3"/>
        <v>Takuya Igarashi</v>
      </c>
      <c r="X4116" s="5">
        <f t="shared" si="4"/>
        <v>1</v>
      </c>
      <c r="Y4116" s="5" t="str">
        <f>IFERROR(__xludf.DUMMYFUNCTION("REGEXEXTRACT(J4116, ""^\d+"")"),"3")</f>
        <v>3</v>
      </c>
      <c r="Z4116" s="5" t="str">
        <f>IFERROR(__xludf.DUMMYFUNCTION("REGEXEXTRACT(J4116, ""[A-Za-z ]+$"")")," Seasons")</f>
        <v> Seasons</v>
      </c>
      <c r="AA4116" s="5" t="str">
        <f>IFERROR(__xludf.DUMMYFUNCTION("IF(REGEXMATCH(Z4116, ""Season""), ""TV Show"", ""Movie"")"),"TV Show")</f>
        <v>TV Show</v>
      </c>
    </row>
    <row r="4117">
      <c r="A4117" s="1" t="s">
        <v>22136</v>
      </c>
      <c r="B4117" s="1" t="s">
        <v>27</v>
      </c>
      <c r="C4117" s="1" t="s">
        <v>22137</v>
      </c>
      <c r="D4117" s="1" t="s">
        <v>11606</v>
      </c>
      <c r="E4117" s="1" t="s">
        <v>22138</v>
      </c>
      <c r="F4117" s="1" t="s">
        <v>30</v>
      </c>
      <c r="G4117" s="1" t="s">
        <v>22134</v>
      </c>
      <c r="H4117" s="1">
        <v>2019.0</v>
      </c>
      <c r="I4117" s="1" t="s">
        <v>42</v>
      </c>
      <c r="J4117" s="1" t="s">
        <v>2670</v>
      </c>
      <c r="K4117" s="1" t="s">
        <v>1839</v>
      </c>
      <c r="L4117" s="1" t="s">
        <v>22139</v>
      </c>
      <c r="M4117" s="2" t="s">
        <v>12</v>
      </c>
      <c r="N4117" s="4">
        <f t="shared" si="1"/>
        <v>43510</v>
      </c>
      <c r="O4117" s="5" t="str">
        <f>IFERROR(__xludf.DUMMYFUNCTION("IF(REGEXMATCH(TRIM(I4117), ""^\d+\s*min""), ""Unclassified"", IF(I4117 = """", ""NR"", I4117))"),"TV-MA")</f>
        <v>TV-MA</v>
      </c>
      <c r="R4117" s="5" t="str">
        <f t="shared" si="2"/>
        <v>Ken Jeong: You Complete Me, Ho</v>
      </c>
      <c r="S4117" s="5" t="str">
        <f>IFERROR(__xludf.DUMMYFUNCTION("""COMPUTED_VALUE"""),"Little Lunch: The Nightmare Before Graduation")</f>
        <v>Little Lunch: The Nightmare Before Graduation</v>
      </c>
      <c r="U4117" s="5" t="str">
        <f>IFERROR(__xludf.DUMMYFUNCTION("""COMPUTED_VALUE"""),"Anil Sharma")</f>
        <v>Anil Sharma</v>
      </c>
      <c r="V4117" s="5" t="s">
        <v>22140</v>
      </c>
      <c r="W4117" s="5" t="str">
        <f t="shared" si="3"/>
        <v>Takuya Inaba</v>
      </c>
      <c r="X4117" s="5">
        <f t="shared" si="4"/>
        <v>1</v>
      </c>
      <c r="Y4117" s="5" t="str">
        <f>IFERROR(__xludf.DUMMYFUNCTION("REGEXEXTRACT(J4117, ""^\d+"")"),"62")</f>
        <v>62</v>
      </c>
      <c r="Z4117" s="5" t="str">
        <f>IFERROR(__xludf.DUMMYFUNCTION("REGEXEXTRACT(J4117, ""[A-Za-z ]+$"")")," min")</f>
        <v> min</v>
      </c>
      <c r="AA4117" s="5" t="str">
        <f>IFERROR(__xludf.DUMMYFUNCTION("IF(REGEXMATCH(Z4117, ""Season""), ""TV Show"", ""Movie"")"),"Movie")</f>
        <v>Movie</v>
      </c>
    </row>
    <row r="4118">
      <c r="A4118" s="1" t="s">
        <v>22141</v>
      </c>
      <c r="B4118" s="1" t="s">
        <v>37</v>
      </c>
      <c r="C4118" s="1" t="s">
        <v>22142</v>
      </c>
      <c r="E4118" s="1" t="s">
        <v>22143</v>
      </c>
      <c r="F4118" s="1" t="s">
        <v>784</v>
      </c>
      <c r="G4118" s="1" t="s">
        <v>22134</v>
      </c>
      <c r="H4118" s="1">
        <v>2018.0</v>
      </c>
      <c r="I4118" s="1" t="s">
        <v>97</v>
      </c>
      <c r="J4118" s="1" t="s">
        <v>43</v>
      </c>
      <c r="K4118" s="1" t="s">
        <v>1822</v>
      </c>
      <c r="L4118" s="1" t="s">
        <v>22144</v>
      </c>
      <c r="M4118" s="2" t="s">
        <v>12</v>
      </c>
      <c r="N4118" s="4">
        <f t="shared" si="1"/>
        <v>43510</v>
      </c>
      <c r="O4118" s="5" t="str">
        <f>IFERROR(__xludf.DUMMYFUNCTION("IF(REGEXMATCH(TRIM(I4118), ""^\d+\s*min""), ""Unclassified"", IF(I4118 = """", ""NR"", I4118))"),"TV-14")</f>
        <v>TV-14</v>
      </c>
      <c r="R4118" s="5" t="str">
        <f t="shared" si="2"/>
        <v>Velvet Colección</v>
      </c>
      <c r="S4118" s="5" t="str">
        <f>IFERROR(__xludf.DUMMYFUNCTION("""COMPUTED_VALUE"""),"Little Men")</f>
        <v>Little Men</v>
      </c>
      <c r="U4118" s="5" t="str">
        <f>IFERROR(__xludf.DUMMYFUNCTION("""COMPUTED_VALUE"""),"Robert Kouba")</f>
        <v>Robert Kouba</v>
      </c>
      <c r="V4118" s="5" t="s">
        <v>22145</v>
      </c>
      <c r="W4118" s="5" t="str">
        <f t="shared" si="3"/>
        <v>Tamara Jenkins</v>
      </c>
      <c r="X4118" s="5">
        <f t="shared" si="4"/>
        <v>1</v>
      </c>
      <c r="Y4118" s="5" t="str">
        <f>IFERROR(__xludf.DUMMYFUNCTION("REGEXEXTRACT(J4118, ""^\d+"")"),"2")</f>
        <v>2</v>
      </c>
      <c r="Z4118" s="5" t="str">
        <f>IFERROR(__xludf.DUMMYFUNCTION("REGEXEXTRACT(J4118, ""[A-Za-z ]+$"")")," Seasons")</f>
        <v> Seasons</v>
      </c>
      <c r="AA4118" s="5" t="str">
        <f>IFERROR(__xludf.DUMMYFUNCTION("IF(REGEXMATCH(Z4118, ""Season""), ""TV Show"", ""Movie"")"),"TV Show")</f>
        <v>TV Show</v>
      </c>
    </row>
    <row r="4119">
      <c r="A4119" s="1" t="s">
        <v>22146</v>
      </c>
      <c r="B4119" s="1" t="s">
        <v>27</v>
      </c>
      <c r="C4119" s="1" t="s">
        <v>22147</v>
      </c>
      <c r="D4119" s="1" t="s">
        <v>18917</v>
      </c>
      <c r="F4119" s="1" t="s">
        <v>30</v>
      </c>
      <c r="G4119" s="1" t="s">
        <v>22148</v>
      </c>
      <c r="H4119" s="1">
        <v>2018.0</v>
      </c>
      <c r="I4119" s="1" t="s">
        <v>136</v>
      </c>
      <c r="J4119" s="1" t="s">
        <v>9287</v>
      </c>
      <c r="K4119" s="1" t="s">
        <v>34</v>
      </c>
      <c r="L4119" s="1" t="s">
        <v>22149</v>
      </c>
      <c r="M4119" s="2" t="s">
        <v>12</v>
      </c>
      <c r="N4119" s="4">
        <f t="shared" si="1"/>
        <v>43508</v>
      </c>
      <c r="O4119" s="5" t="str">
        <f>IFERROR(__xludf.DUMMYFUNCTION("IF(REGEXMATCH(TRIM(I4119), ""^\d+\s*min""), ""Unclassified"", IF(I4119 = """", ""NR"", I4119))"),"TV-PG")</f>
        <v>TV-PG</v>
      </c>
      <c r="R4119" s="5" t="str">
        <f t="shared" si="2"/>
        <v>Period. End Of Sentence.</v>
      </c>
      <c r="S4119" s="5" t="str">
        <f>IFERROR(__xludf.DUMMYFUNCTION("""COMPUTED_VALUE"""),"Little Miss Sumo")</f>
        <v>Little Miss Sumo</v>
      </c>
      <c r="U4119" s="5" t="str">
        <f>IFERROR(__xludf.DUMMYFUNCTION("""COMPUTED_VALUE"""),"Dorian Fernández-Moris")</f>
        <v>Dorian Fernández-Moris</v>
      </c>
      <c r="V4119" s="5" t="s">
        <v>15555</v>
      </c>
      <c r="W4119" s="5" t="str">
        <f t="shared" si="3"/>
        <v>Tamas Yvan Topolanszky</v>
      </c>
      <c r="X4119" s="5">
        <f t="shared" si="4"/>
        <v>1</v>
      </c>
      <c r="Y4119" s="5" t="str">
        <f>IFERROR(__xludf.DUMMYFUNCTION("REGEXEXTRACT(J4119, ""^\d+"")"),"26")</f>
        <v>26</v>
      </c>
      <c r="Z4119" s="5" t="str">
        <f>IFERROR(__xludf.DUMMYFUNCTION("REGEXEXTRACT(J4119, ""[A-Za-z ]+$"")")," min")</f>
        <v> min</v>
      </c>
      <c r="AA4119" s="5" t="str">
        <f>IFERROR(__xludf.DUMMYFUNCTION("IF(REGEXMATCH(Z4119, ""Season""), ""TV Show"", ""Movie"")"),"Movie")</f>
        <v>Movie</v>
      </c>
    </row>
    <row r="4120">
      <c r="A4120" s="1" t="s">
        <v>22150</v>
      </c>
      <c r="B4120" s="1" t="s">
        <v>37</v>
      </c>
      <c r="C4120" s="1" t="s">
        <v>22151</v>
      </c>
      <c r="E4120" s="1" t="s">
        <v>22152</v>
      </c>
      <c r="F4120" s="1" t="s">
        <v>2059</v>
      </c>
      <c r="G4120" s="1" t="s">
        <v>22153</v>
      </c>
      <c r="H4120" s="1">
        <v>2018.0</v>
      </c>
      <c r="I4120" s="1" t="s">
        <v>97</v>
      </c>
      <c r="J4120" s="1" t="s">
        <v>51</v>
      </c>
      <c r="K4120" s="1" t="s">
        <v>1907</v>
      </c>
      <c r="L4120" s="1" t="s">
        <v>22154</v>
      </c>
      <c r="M4120" s="2" t="s">
        <v>12</v>
      </c>
      <c r="N4120" s="4">
        <f t="shared" si="1"/>
        <v>43505</v>
      </c>
      <c r="O4120" s="5" t="str">
        <f>IFERROR(__xludf.DUMMYFUNCTION("IF(REGEXMATCH(TRIM(I4120), ""^\d+\s*min""), ""Unclassified"", IF(I4120 = """", ""NR"", I4120))"),"TV-14")</f>
        <v>TV-14</v>
      </c>
      <c r="R4120" s="5" t="str">
        <f t="shared" si="2"/>
        <v>Iron Ladies</v>
      </c>
      <c r="S4120" s="5" t="str">
        <f>IFERROR(__xludf.DUMMYFUNCTION("""COMPUTED_VALUE"""),"Little Monsters")</f>
        <v>Little Monsters</v>
      </c>
      <c r="U4120" s="5" t="str">
        <f>IFERROR(__xludf.DUMMYFUNCTION("""COMPUTED_VALUE"""),"Gregg Bishop")</f>
        <v>Gregg Bishop</v>
      </c>
      <c r="V4120" s="5" t="s">
        <v>22155</v>
      </c>
      <c r="W4120" s="5" t="str">
        <f t="shared" si="3"/>
        <v>Tamer Bassiouni</v>
      </c>
      <c r="X4120" s="5">
        <f t="shared" si="4"/>
        <v>1</v>
      </c>
      <c r="Y4120" s="5" t="str">
        <f>IFERROR(__xludf.DUMMYFUNCTION("REGEXEXTRACT(J4120, ""^\d+"")"),"1")</f>
        <v>1</v>
      </c>
      <c r="Z4120" s="5" t="str">
        <f>IFERROR(__xludf.DUMMYFUNCTION("REGEXEXTRACT(J4120, ""[A-Za-z ]+$"")")," Season")</f>
        <v> Season</v>
      </c>
      <c r="AA4120" s="5" t="str">
        <f>IFERROR(__xludf.DUMMYFUNCTION("IF(REGEXMATCH(Z4120, ""Season""), ""TV Show"", ""Movie"")"),"TV Show")</f>
        <v>TV Show</v>
      </c>
    </row>
    <row r="4121">
      <c r="A4121" s="1" t="s">
        <v>22156</v>
      </c>
      <c r="B4121" s="1" t="s">
        <v>37</v>
      </c>
      <c r="C4121" s="1" t="s">
        <v>22157</v>
      </c>
      <c r="E4121" s="1" t="s">
        <v>22158</v>
      </c>
      <c r="F4121" s="1" t="s">
        <v>671</v>
      </c>
      <c r="G4121" s="1" t="s">
        <v>22153</v>
      </c>
      <c r="H4121" s="1">
        <v>2018.0</v>
      </c>
      <c r="I4121" s="1" t="s">
        <v>42</v>
      </c>
      <c r="J4121" s="1" t="s">
        <v>43</v>
      </c>
      <c r="K4121" s="1" t="s">
        <v>1362</v>
      </c>
      <c r="L4121" s="1" t="s">
        <v>22159</v>
      </c>
      <c r="M4121" s="2" t="s">
        <v>12</v>
      </c>
      <c r="N4121" s="4">
        <f t="shared" si="1"/>
        <v>43505</v>
      </c>
      <c r="O4121" s="5" t="str">
        <f>IFERROR(__xludf.DUMMYFUNCTION("IF(REGEXMATCH(TRIM(I4121), ""^\d+\s*min""), ""Unclassified"", IF(I4121 = """", ""NR"", I4121))"),"TV-MA")</f>
        <v>TV-MA</v>
      </c>
      <c r="R4121" s="5" t="str">
        <f t="shared" si="2"/>
        <v>The Break</v>
      </c>
      <c r="S4121" s="5" t="str">
        <f>IFERROR(__xludf.DUMMYFUNCTION("""COMPUTED_VALUE"""),"Little Nicky")</f>
        <v>Little Nicky</v>
      </c>
      <c r="U4121" s="5" t="str">
        <f>IFERROR(__xludf.DUMMYFUNCTION("""COMPUTED_VALUE"""),"Corey Grant")</f>
        <v>Corey Grant</v>
      </c>
      <c r="V4121" s="5" t="s">
        <v>22160</v>
      </c>
      <c r="W4121" s="5" t="str">
        <f t="shared" si="3"/>
        <v>Tamta Gabrichidze</v>
      </c>
      <c r="X4121" s="5">
        <f t="shared" si="4"/>
        <v>1</v>
      </c>
      <c r="Y4121" s="5" t="str">
        <f>IFERROR(__xludf.DUMMYFUNCTION("REGEXEXTRACT(J4121, ""^\d+"")"),"2")</f>
        <v>2</v>
      </c>
      <c r="Z4121" s="5" t="str">
        <f>IFERROR(__xludf.DUMMYFUNCTION("REGEXEXTRACT(J4121, ""[A-Za-z ]+$"")")," Seasons")</f>
        <v> Seasons</v>
      </c>
      <c r="AA4121" s="5" t="str">
        <f>IFERROR(__xludf.DUMMYFUNCTION("IF(REGEXMATCH(Z4121, ""Season""), ""TV Show"", ""Movie"")"),"TV Show")</f>
        <v>TV Show</v>
      </c>
    </row>
    <row r="4122">
      <c r="A4122" s="1" t="s">
        <v>22161</v>
      </c>
      <c r="B4122" s="1" t="s">
        <v>27</v>
      </c>
      <c r="C4122" s="1" t="s">
        <v>22162</v>
      </c>
      <c r="D4122" s="1" t="s">
        <v>18728</v>
      </c>
      <c r="E4122" s="1" t="s">
        <v>22163</v>
      </c>
      <c r="F4122" s="1" t="s">
        <v>30</v>
      </c>
      <c r="G4122" s="1" t="s">
        <v>22164</v>
      </c>
      <c r="H4122" s="1">
        <v>2019.0</v>
      </c>
      <c r="I4122" s="1" t="s">
        <v>42</v>
      </c>
      <c r="J4122" s="1" t="s">
        <v>79</v>
      </c>
      <c r="K4122" s="1" t="s">
        <v>2275</v>
      </c>
      <c r="L4122" s="1" t="s">
        <v>22165</v>
      </c>
      <c r="M4122" s="2" t="s">
        <v>12</v>
      </c>
      <c r="N4122" s="4">
        <f t="shared" si="1"/>
        <v>43504</v>
      </c>
      <c r="O4122" s="5" t="str">
        <f>IFERROR(__xludf.DUMMYFUNCTION("IF(REGEXMATCH(TRIM(I4122), ""^\d+\s*min""), ""Unclassified"", IF(I4122 = """", ""NR"", I4122))"),"TV-MA")</f>
        <v>TV-MA</v>
      </c>
      <c r="R4122" s="5" t="str">
        <f t="shared" si="2"/>
        <v>High Flying Bird</v>
      </c>
      <c r="S4122" s="5" t="str">
        <f>IFERROR(__xludf.DUMMYFUNCTION("""COMPUTED_VALUE"""),"Little Singham")</f>
        <v>Little Singham</v>
      </c>
      <c r="U4122" s="5" t="str">
        <f>IFERROR(__xludf.DUMMYFUNCTION("""COMPUTED_VALUE"""),"Ekachai Uekrongtham")</f>
        <v>Ekachai Uekrongtham</v>
      </c>
      <c r="V4122" s="5" t="s">
        <v>22166</v>
      </c>
      <c r="W4122" s="5" t="str">
        <f t="shared" si="3"/>
        <v>Tan Bing</v>
      </c>
      <c r="X4122" s="5">
        <f t="shared" si="4"/>
        <v>1</v>
      </c>
      <c r="Y4122" s="5" t="str">
        <f>IFERROR(__xludf.DUMMYFUNCTION("REGEXEXTRACT(J4122, ""^\d+"")"),"91")</f>
        <v>91</v>
      </c>
      <c r="Z4122" s="5" t="str">
        <f>IFERROR(__xludf.DUMMYFUNCTION("REGEXEXTRACT(J4122, ""[A-Za-z ]+$"")")," min")</f>
        <v> min</v>
      </c>
      <c r="AA4122" s="5" t="str">
        <f>IFERROR(__xludf.DUMMYFUNCTION("IF(REGEXMATCH(Z4122, ""Season""), ""TV Show"", ""Movie"")"),"Movie")</f>
        <v>Movie</v>
      </c>
    </row>
    <row r="4123">
      <c r="A4123" s="1" t="s">
        <v>22167</v>
      </c>
      <c r="B4123" s="1" t="s">
        <v>27</v>
      </c>
      <c r="C4123" s="1" t="s">
        <v>22168</v>
      </c>
      <c r="D4123" s="1" t="s">
        <v>22169</v>
      </c>
      <c r="E4123" s="1" t="s">
        <v>22170</v>
      </c>
      <c r="F4123" s="1" t="s">
        <v>30</v>
      </c>
      <c r="G4123" s="1" t="s">
        <v>22164</v>
      </c>
      <c r="H4123" s="1">
        <v>2019.0</v>
      </c>
      <c r="I4123" s="1" t="s">
        <v>136</v>
      </c>
      <c r="J4123" s="1" t="s">
        <v>919</v>
      </c>
      <c r="K4123" s="1" t="s">
        <v>137</v>
      </c>
      <c r="L4123" s="1" t="s">
        <v>22171</v>
      </c>
      <c r="M4123" s="2" t="s">
        <v>12</v>
      </c>
      <c r="N4123" s="4">
        <f t="shared" si="1"/>
        <v>43504</v>
      </c>
      <c r="O4123" s="5" t="str">
        <f>IFERROR(__xludf.DUMMYFUNCTION("IF(REGEXMATCH(TRIM(I4123), ""^\d+\s*min""), ""Unclassified"", IF(I4123 = """", ""NR"", I4123))"),"TV-PG")</f>
        <v>TV-PG</v>
      </c>
      <c r="R4123" s="5" t="str">
        <f t="shared" si="2"/>
        <v>Kevin Hart'S Guide To Black History</v>
      </c>
      <c r="S4123" s="5" t="str">
        <f>IFERROR(__xludf.DUMMYFUNCTION("""COMPUTED_VALUE"""),"Little Singham - Black Shadow")</f>
        <v>Little Singham - Black Shadow</v>
      </c>
      <c r="U4123" s="5" t="str">
        <f>IFERROR(__xludf.DUMMYFUNCTION("""COMPUTED_VALUE"""),"Fredric Lean")</f>
        <v>Fredric Lean</v>
      </c>
      <c r="V4123" s="5" t="s">
        <v>17701</v>
      </c>
      <c r="W4123" s="5" t="str">
        <f t="shared" si="3"/>
        <v>Tanawat Aiemjinda</v>
      </c>
      <c r="X4123" s="5">
        <f t="shared" si="4"/>
        <v>1</v>
      </c>
      <c r="Y4123" s="5" t="str">
        <f>IFERROR(__xludf.DUMMYFUNCTION("REGEXEXTRACT(J4123, ""^\d+"")"),"63")</f>
        <v>63</v>
      </c>
      <c r="Z4123" s="5" t="str">
        <f>IFERROR(__xludf.DUMMYFUNCTION("REGEXEXTRACT(J4123, ""[A-Za-z ]+$"")")," min")</f>
        <v> min</v>
      </c>
      <c r="AA4123" s="5" t="str">
        <f>IFERROR(__xludf.DUMMYFUNCTION("IF(REGEXMATCH(Z4123, ""Season""), ""TV Show"", ""Movie"")"),"Movie")</f>
        <v>Movie</v>
      </c>
    </row>
    <row r="4124">
      <c r="A4124" s="1" t="s">
        <v>22172</v>
      </c>
      <c r="B4124" s="1" t="s">
        <v>37</v>
      </c>
      <c r="C4124" s="1" t="s">
        <v>22173</v>
      </c>
      <c r="E4124" s="1" t="s">
        <v>22174</v>
      </c>
      <c r="F4124" s="1" t="s">
        <v>30</v>
      </c>
      <c r="G4124" s="1" t="s">
        <v>22164</v>
      </c>
      <c r="H4124" s="1">
        <v>2019.0</v>
      </c>
      <c r="I4124" s="1" t="s">
        <v>136</v>
      </c>
      <c r="J4124" s="1" t="s">
        <v>276</v>
      </c>
      <c r="K4124" s="1" t="s">
        <v>270</v>
      </c>
      <c r="L4124" s="1" t="s">
        <v>22175</v>
      </c>
      <c r="M4124" s="2" t="s">
        <v>12</v>
      </c>
      <c r="N4124" s="4">
        <f t="shared" si="1"/>
        <v>43504</v>
      </c>
      <c r="O4124" s="5" t="str">
        <f>IFERROR(__xludf.DUMMYFUNCTION("IF(REGEXMATCH(TRIM(I4124), ""^\d+\s*min""), ""Unclassified"", IF(I4124 = """", ""NR"", I4124))"),"TV-PG")</f>
        <v>TV-PG</v>
      </c>
      <c r="R4124" s="5" t="str">
        <f t="shared" si="2"/>
        <v>One Day At A Time</v>
      </c>
      <c r="S4124" s="5" t="str">
        <f>IFERROR(__xludf.DUMMYFUNCTION("""COMPUTED_VALUE"""),"Little Singham Aur Kaal Ka Mahajaal")</f>
        <v>Little Singham Aur Kaal Ka Mahajaal</v>
      </c>
      <c r="U4124" s="5" t="str">
        <f>IFERROR(__xludf.DUMMYFUNCTION("""COMPUTED_VALUE"""),"Colin Strause, Greg Strause")</f>
        <v>Colin Strause, Greg Strause</v>
      </c>
      <c r="V4124" s="5" t="s">
        <v>3992</v>
      </c>
      <c r="W4124" s="5" t="str">
        <f t="shared" si="3"/>
        <v>Tània Balló</v>
      </c>
      <c r="X4124" s="5">
        <f t="shared" si="4"/>
        <v>1</v>
      </c>
      <c r="Y4124" s="5" t="str">
        <f>IFERROR(__xludf.DUMMYFUNCTION("REGEXEXTRACT(J4124, ""^\d+"")"),"3")</f>
        <v>3</v>
      </c>
      <c r="Z4124" s="5" t="str">
        <f>IFERROR(__xludf.DUMMYFUNCTION("REGEXEXTRACT(J4124, ""[A-Za-z ]+$"")")," Seasons")</f>
        <v> Seasons</v>
      </c>
      <c r="AA4124" s="5" t="str">
        <f>IFERROR(__xludf.DUMMYFUNCTION("IF(REGEXMATCH(Z4124, ""Season""), ""TV Show"", ""Movie"")"),"TV Show")</f>
        <v>TV Show</v>
      </c>
    </row>
    <row r="4125">
      <c r="A4125" s="1" t="s">
        <v>22176</v>
      </c>
      <c r="B4125" s="1" t="s">
        <v>27</v>
      </c>
      <c r="C4125" s="1" t="s">
        <v>22177</v>
      </c>
      <c r="D4125" s="1" t="s">
        <v>22178</v>
      </c>
      <c r="E4125" s="1" t="s">
        <v>22179</v>
      </c>
      <c r="F4125" s="1" t="s">
        <v>30</v>
      </c>
      <c r="G4125" s="1" t="s">
        <v>22164</v>
      </c>
      <c r="H4125" s="1">
        <v>2019.0</v>
      </c>
      <c r="I4125" s="1" t="s">
        <v>42</v>
      </c>
      <c r="J4125" s="1" t="s">
        <v>2699</v>
      </c>
      <c r="K4125" s="1" t="s">
        <v>700</v>
      </c>
      <c r="L4125" s="1" t="s">
        <v>22180</v>
      </c>
      <c r="M4125" s="2" t="s">
        <v>12</v>
      </c>
      <c r="N4125" s="4">
        <f t="shared" si="1"/>
        <v>43504</v>
      </c>
      <c r="O4125" s="5" t="str">
        <f>IFERROR(__xludf.DUMMYFUNCTION("IF(REGEXMATCH(TRIM(I4125), ""^\d+\s*min""), ""Unclassified"", IF(I4125 = """", ""NR"", I4125))"),"TV-MA")</f>
        <v>TV-MA</v>
      </c>
      <c r="R4125" s="5" t="str">
        <f t="shared" si="2"/>
        <v>Remastered: The Two Killings Of Sam Cooke</v>
      </c>
      <c r="S4125" s="5" t="str">
        <f>IFERROR(__xludf.DUMMYFUNCTION("""COMPUTED_VALUE"""),"Little Singham Bandarpur Mein Hu Ha Hu")</f>
        <v>Little Singham Bandarpur Mein Hu Ha Hu</v>
      </c>
      <c r="U4125" s="5" t="str">
        <f>IFERROR(__xludf.DUMMYFUNCTION("""COMPUTED_VALUE"""),"Leslye Headland")</f>
        <v>Leslye Headland</v>
      </c>
      <c r="V4125" s="5" t="s">
        <v>22181</v>
      </c>
      <c r="W4125" s="5" t="str">
        <f t="shared" si="3"/>
        <v>Tanit Jitnukul</v>
      </c>
      <c r="X4125" s="5">
        <f t="shared" si="4"/>
        <v>1</v>
      </c>
      <c r="Y4125" s="5" t="str">
        <f>IFERROR(__xludf.DUMMYFUNCTION("REGEXEXTRACT(J4125, ""^\d+"")"),"74")</f>
        <v>74</v>
      </c>
      <c r="Z4125" s="5" t="str">
        <f>IFERROR(__xludf.DUMMYFUNCTION("REGEXEXTRACT(J4125, ""[A-Za-z ]+$"")")," min")</f>
        <v> min</v>
      </c>
      <c r="AA4125" s="5" t="str">
        <f>IFERROR(__xludf.DUMMYFUNCTION("IF(REGEXMATCH(Z4125, ""Season""), ""TV Show"", ""Movie"")"),"Movie")</f>
        <v>Movie</v>
      </c>
    </row>
    <row r="4126">
      <c r="A4126" s="1" t="s">
        <v>22182</v>
      </c>
      <c r="B4126" s="1" t="s">
        <v>27</v>
      </c>
      <c r="C4126" s="1" t="s">
        <v>22183</v>
      </c>
      <c r="D4126" s="1" t="s">
        <v>12137</v>
      </c>
      <c r="E4126" s="1" t="s">
        <v>22184</v>
      </c>
      <c r="F4126" s="1" t="s">
        <v>784</v>
      </c>
      <c r="G4126" s="1" t="s">
        <v>22164</v>
      </c>
      <c r="H4126" s="1">
        <v>2018.0</v>
      </c>
      <c r="I4126" s="1" t="s">
        <v>42</v>
      </c>
      <c r="J4126" s="1" t="s">
        <v>1383</v>
      </c>
      <c r="K4126" s="1" t="s">
        <v>89</v>
      </c>
      <c r="L4126" s="1" t="s">
        <v>22185</v>
      </c>
      <c r="M4126" s="2" t="s">
        <v>12</v>
      </c>
      <c r="N4126" s="4">
        <f t="shared" si="1"/>
        <v>43504</v>
      </c>
      <c r="O4126" s="5" t="str">
        <f>IFERROR(__xludf.DUMMYFUNCTION("IF(REGEXMATCH(TRIM(I4126), ""^\d+\s*min""), ""Unclassified"", IF(I4126 = """", ""NR"", I4126))"),"TV-MA")</f>
        <v>TV-MA</v>
      </c>
      <c r="R4126" s="5" t="str">
        <f t="shared" si="2"/>
        <v>The Tree Of Blood</v>
      </c>
      <c r="S4126" s="5" t="str">
        <f>IFERROR(__xludf.DUMMYFUNCTION("""COMPUTED_VALUE"""),"Little Singham Future Mein Satakli")</f>
        <v>Little Singham Future Mein Satakli</v>
      </c>
      <c r="U4126" s="5" t="str">
        <f>IFERROR(__xludf.DUMMYFUNCTION("""COMPUTED_VALUE"""),"Joe Nussbaum")</f>
        <v>Joe Nussbaum</v>
      </c>
      <c r="V4126" s="5" t="s">
        <v>22186</v>
      </c>
      <c r="W4126" s="5" t="str">
        <f t="shared" si="3"/>
        <v>Tanuj Bhramar</v>
      </c>
      <c r="X4126" s="5">
        <f t="shared" si="4"/>
        <v>1</v>
      </c>
      <c r="Y4126" s="5" t="str">
        <f>IFERROR(__xludf.DUMMYFUNCTION("REGEXEXTRACT(J4126, ""^\d+"")"),"136")</f>
        <v>136</v>
      </c>
      <c r="Z4126" s="5" t="str">
        <f>IFERROR(__xludf.DUMMYFUNCTION("REGEXEXTRACT(J4126, ""[A-Za-z ]+$"")")," min")</f>
        <v> min</v>
      </c>
      <c r="AA4126" s="5" t="str">
        <f>IFERROR(__xludf.DUMMYFUNCTION("IF(REGEXMATCH(Z4126, ""Season""), ""TV Show"", ""Movie"")"),"Movie")</f>
        <v>Movie</v>
      </c>
    </row>
    <row r="4127">
      <c r="A4127" s="1" t="s">
        <v>22187</v>
      </c>
      <c r="B4127" s="1" t="s">
        <v>37</v>
      </c>
      <c r="C4127" s="1" t="s">
        <v>22188</v>
      </c>
      <c r="E4127" s="1" t="s">
        <v>22189</v>
      </c>
      <c r="F4127" s="1" t="s">
        <v>3309</v>
      </c>
      <c r="G4127" s="1" t="s">
        <v>22190</v>
      </c>
      <c r="H4127" s="1">
        <v>2017.0</v>
      </c>
      <c r="I4127" s="1" t="s">
        <v>42</v>
      </c>
      <c r="J4127" s="1" t="s">
        <v>51</v>
      </c>
      <c r="K4127" s="1" t="s">
        <v>1294</v>
      </c>
      <c r="L4127" s="1" t="s">
        <v>22191</v>
      </c>
      <c r="M4127" s="2" t="s">
        <v>12</v>
      </c>
      <c r="N4127" s="4">
        <f t="shared" si="1"/>
        <v>43503</v>
      </c>
      <c r="O4127" s="5" t="str">
        <f>IFERROR(__xludf.DUMMYFUNCTION("IF(REGEXMATCH(TRIM(I4127), ""^\d+\s*min""), ""Unclassified"", IF(I4127 = """", ""NR"", I4127))"),"TV-MA")</f>
        <v>TV-MA</v>
      </c>
      <c r="R4127" s="5" t="str">
        <f t="shared" si="2"/>
        <v>The Last Of The Schmucks</v>
      </c>
      <c r="S4127" s="5" t="str">
        <f>IFERROR(__xludf.DUMMYFUNCTION("""COMPUTED_VALUE"""),"Little Singham In London")</f>
        <v>Little Singham In London</v>
      </c>
      <c r="U4127" s="5" t="str">
        <f>IFERROR(__xludf.DUMMYFUNCTION("""COMPUTED_VALUE"""),"Billy Bob Thornton")</f>
        <v>Billy Bob Thornton</v>
      </c>
      <c r="V4127" s="5" t="s">
        <v>22192</v>
      </c>
      <c r="W4127" s="5" t="str">
        <f t="shared" si="3"/>
        <v>Tanuj Chopra</v>
      </c>
      <c r="X4127" s="5">
        <f t="shared" si="4"/>
        <v>1</v>
      </c>
      <c r="Y4127" s="5" t="str">
        <f>IFERROR(__xludf.DUMMYFUNCTION("REGEXEXTRACT(J4127, ""^\d+"")"),"1")</f>
        <v>1</v>
      </c>
      <c r="Z4127" s="5" t="str">
        <f>IFERROR(__xludf.DUMMYFUNCTION("REGEXEXTRACT(J4127, ""[A-Za-z ]+$"")")," Season")</f>
        <v> Season</v>
      </c>
      <c r="AA4127" s="5" t="str">
        <f>IFERROR(__xludf.DUMMYFUNCTION("IF(REGEXMATCH(Z4127, ""Season""), ""TV Show"", ""Movie"")"),"TV Show")</f>
        <v>TV Show</v>
      </c>
    </row>
    <row r="4128">
      <c r="A4128" s="1" t="s">
        <v>22193</v>
      </c>
      <c r="B4128" s="1" t="s">
        <v>37</v>
      </c>
      <c r="C4128" s="1" t="s">
        <v>22194</v>
      </c>
      <c r="E4128" s="1" t="s">
        <v>22195</v>
      </c>
      <c r="F4128" s="1" t="s">
        <v>3309</v>
      </c>
      <c r="G4128" s="1" t="s">
        <v>22196</v>
      </c>
      <c r="H4128" s="1">
        <v>2018.0</v>
      </c>
      <c r="I4128" s="1" t="s">
        <v>97</v>
      </c>
      <c r="J4128" s="1" t="s">
        <v>51</v>
      </c>
      <c r="K4128" s="1" t="s">
        <v>1362</v>
      </c>
      <c r="L4128" s="1" t="s">
        <v>22197</v>
      </c>
      <c r="M4128" s="2" t="s">
        <v>12</v>
      </c>
      <c r="N4128" s="4">
        <f t="shared" si="1"/>
        <v>43501</v>
      </c>
      <c r="O4128" s="5" t="str">
        <f>IFERROR(__xludf.DUMMYFUNCTION("IF(REGEXMATCH(TRIM(I4128), ""^\d+\s*min""), ""Unclassified"", IF(I4128 = """", ""NR"", I4128))"),"TV-14")</f>
        <v>TV-14</v>
      </c>
      <c r="R4128" s="5" t="str">
        <f t="shared" si="2"/>
        <v>Hidden Worlds</v>
      </c>
      <c r="S4128" s="5" t="str">
        <f>IFERROR(__xludf.DUMMYFUNCTION("""COMPUTED_VALUE"""),"Little Singham: Kaal Ka Badla")</f>
        <v>Little Singham: Kaal Ka Badla</v>
      </c>
      <c r="U4128" s="5" t="str">
        <f>IFERROR(__xludf.DUMMYFUNCTION("""COMPUTED_VALUE"""),"John Maclean")</f>
        <v>John Maclean</v>
      </c>
      <c r="V4128" s="5" t="s">
        <v>22106</v>
      </c>
      <c r="W4128" s="5" t="str">
        <f t="shared" si="3"/>
        <v>Tanuja Chandra</v>
      </c>
      <c r="X4128" s="5">
        <f t="shared" si="4"/>
        <v>2</v>
      </c>
      <c r="Y4128" s="5" t="str">
        <f>IFERROR(__xludf.DUMMYFUNCTION("REGEXEXTRACT(J4128, ""^\d+"")"),"1")</f>
        <v>1</v>
      </c>
      <c r="Z4128" s="5" t="str">
        <f>IFERROR(__xludf.DUMMYFUNCTION("REGEXEXTRACT(J4128, ""[A-Za-z ]+$"")")," Season")</f>
        <v> Season</v>
      </c>
      <c r="AA4128" s="5" t="str">
        <f>IFERROR(__xludf.DUMMYFUNCTION("IF(REGEXMATCH(Z4128, ""Season""), ""TV Show"", ""Movie"")"),"TV Show")</f>
        <v>TV Show</v>
      </c>
    </row>
    <row r="4129">
      <c r="A4129" s="1" t="s">
        <v>22198</v>
      </c>
      <c r="B4129" s="1" t="s">
        <v>37</v>
      </c>
      <c r="C4129" s="1" t="s">
        <v>22199</v>
      </c>
      <c r="E4129" s="1" t="s">
        <v>22200</v>
      </c>
      <c r="F4129" s="1" t="s">
        <v>749</v>
      </c>
      <c r="G4129" s="1" t="s">
        <v>22196</v>
      </c>
      <c r="H4129" s="1">
        <v>2018.0</v>
      </c>
      <c r="I4129" s="1" t="s">
        <v>42</v>
      </c>
      <c r="J4129" s="1" t="s">
        <v>51</v>
      </c>
      <c r="K4129" s="1" t="s">
        <v>6338</v>
      </c>
      <c r="L4129" s="1" t="s">
        <v>22201</v>
      </c>
      <c r="M4129" s="2" t="s">
        <v>12</v>
      </c>
      <c r="N4129" s="4">
        <f t="shared" si="1"/>
        <v>43501</v>
      </c>
      <c r="O4129" s="5" t="str">
        <f>IFERROR(__xludf.DUMMYFUNCTION("IF(REGEXMATCH(TRIM(I4129), ""^\d+\s*min""), ""Unclassified"", IF(I4129 = """", ""NR"", I4129))"),"TV-MA")</f>
        <v>TV-MA</v>
      </c>
      <c r="R4129" s="5" t="str">
        <f t="shared" si="2"/>
        <v>Live</v>
      </c>
      <c r="S4129" s="5" t="str">
        <f>IFERROR(__xludf.DUMMYFUNCTION("""COMPUTED_VALUE"""),"Little Singham: Kaal Ki Tabaahi")</f>
        <v>Little Singham: Kaal Ki Tabaahi</v>
      </c>
      <c r="U4129" s="5" t="str">
        <f>IFERROR(__xludf.DUMMYFUNCTION("""COMPUTED_VALUE"""),"Alex Winter")</f>
        <v>Alex Winter</v>
      </c>
      <c r="V4129" s="5" t="s">
        <v>22202</v>
      </c>
      <c r="W4129" s="5" t="str">
        <f t="shared" si="3"/>
        <v>Tanveer Khan</v>
      </c>
      <c r="X4129" s="5">
        <f t="shared" si="4"/>
        <v>1</v>
      </c>
      <c r="Y4129" s="5" t="str">
        <f>IFERROR(__xludf.DUMMYFUNCTION("REGEXEXTRACT(J4129, ""^\d+"")"),"1")</f>
        <v>1</v>
      </c>
      <c r="Z4129" s="5" t="str">
        <f>IFERROR(__xludf.DUMMYFUNCTION("REGEXEXTRACT(J4129, ""[A-Za-z ]+$"")")," Season")</f>
        <v> Season</v>
      </c>
      <c r="AA4129" s="5" t="str">
        <f>IFERROR(__xludf.DUMMYFUNCTION("IF(REGEXMATCH(Z4129, ""Season""), ""TV Show"", ""Movie"")"),"TV Show")</f>
        <v>TV Show</v>
      </c>
    </row>
    <row r="4130">
      <c r="A4130" s="1" t="s">
        <v>22203</v>
      </c>
      <c r="B4130" s="1" t="s">
        <v>27</v>
      </c>
      <c r="C4130" s="1" t="s">
        <v>22204</v>
      </c>
      <c r="D4130" s="1" t="s">
        <v>13995</v>
      </c>
      <c r="E4130" s="1" t="s">
        <v>22205</v>
      </c>
      <c r="F4130" s="1" t="s">
        <v>30</v>
      </c>
      <c r="G4130" s="1" t="s">
        <v>22196</v>
      </c>
      <c r="H4130" s="1">
        <v>2019.0</v>
      </c>
      <c r="I4130" s="1" t="s">
        <v>42</v>
      </c>
      <c r="J4130" s="1" t="s">
        <v>1847</v>
      </c>
      <c r="K4130" s="1" t="s">
        <v>1839</v>
      </c>
      <c r="L4130" s="1" t="s">
        <v>22206</v>
      </c>
      <c r="M4130" s="2" t="s">
        <v>12</v>
      </c>
      <c r="N4130" s="4">
        <f t="shared" si="1"/>
        <v>43501</v>
      </c>
      <c r="O4130" s="5" t="str">
        <f>IFERROR(__xludf.DUMMYFUNCTION("IF(REGEXMATCH(TRIM(I4130), ""^\d+\s*min""), ""Unclassified"", IF(I4130 = """", ""NR"", I4130))"),"TV-MA")</f>
        <v>TV-MA</v>
      </c>
      <c r="R4130" s="5" t="str">
        <f t="shared" si="2"/>
        <v>Ray Romano: Right Here, Around The Corner</v>
      </c>
      <c r="S4130" s="5" t="str">
        <f>IFERROR(__xludf.DUMMYFUNCTION("""COMPUTED_VALUE"""),"Little Singham: Legend Of Dugabakka")</f>
        <v>Little Singham: Legend Of Dugabakka</v>
      </c>
      <c r="U4130" s="5" t="str">
        <f>IFERROR(__xludf.DUMMYFUNCTION("""COMPUTED_VALUE"""),"Fred Olen Ray")</f>
        <v>Fred Olen Ray</v>
      </c>
      <c r="V4130" s="5" t="s">
        <v>6195</v>
      </c>
      <c r="W4130" s="5" t="str">
        <f t="shared" si="3"/>
        <v>Taranveer Singh</v>
      </c>
      <c r="X4130" s="5">
        <f t="shared" si="4"/>
        <v>1</v>
      </c>
      <c r="Y4130" s="5" t="str">
        <f>IFERROR(__xludf.DUMMYFUNCTION("REGEXEXTRACT(J4130, ""^\d+"")"),"59")</f>
        <v>59</v>
      </c>
      <c r="Z4130" s="5" t="str">
        <f>IFERROR(__xludf.DUMMYFUNCTION("REGEXEXTRACT(J4130, ""[A-Za-z ]+$"")")," min")</f>
        <v> min</v>
      </c>
      <c r="AA4130" s="5" t="str">
        <f>IFERROR(__xludf.DUMMYFUNCTION("IF(REGEXMATCH(Z4130, ""Season""), ""TV Show"", ""Movie"")"),"Movie")</f>
        <v>Movie</v>
      </c>
    </row>
    <row r="4131">
      <c r="A4131" s="1" t="s">
        <v>22207</v>
      </c>
      <c r="B4131" s="1" t="s">
        <v>37</v>
      </c>
      <c r="C4131" s="1" t="s">
        <v>22208</v>
      </c>
      <c r="E4131" s="1" t="s">
        <v>22209</v>
      </c>
      <c r="F4131" s="1" t="s">
        <v>96</v>
      </c>
      <c r="G4131" s="1" t="s">
        <v>22196</v>
      </c>
      <c r="H4131" s="1">
        <v>2018.0</v>
      </c>
      <c r="I4131" s="1" t="s">
        <v>42</v>
      </c>
      <c r="J4131" s="1" t="s">
        <v>51</v>
      </c>
      <c r="K4131" s="1" t="s">
        <v>3274</v>
      </c>
      <c r="L4131" s="1" t="s">
        <v>22210</v>
      </c>
      <c r="M4131" s="2" t="s">
        <v>12</v>
      </c>
      <c r="N4131" s="4">
        <f t="shared" si="1"/>
        <v>43501</v>
      </c>
      <c r="O4131" s="5" t="str">
        <f>IFERROR(__xludf.DUMMYFUNCTION("IF(REGEXMATCH(TRIM(I4131), ""^\d+\s*min""), ""Unclassified"", IF(I4131 = """", ""NR"", I4131))"),"TV-MA")</f>
        <v>TV-MA</v>
      </c>
      <c r="R4131" s="5" t="str">
        <f t="shared" si="2"/>
        <v>Safe</v>
      </c>
      <c r="S4131" s="5" t="str">
        <f>IFERROR(__xludf.DUMMYFUNCTION("""COMPUTED_VALUE"""),"Little Singham: Mahabali")</f>
        <v>Little Singham: Mahabali</v>
      </c>
      <c r="U4131" s="5" t="str">
        <f>IFERROR(__xludf.DUMMYFUNCTION("""COMPUTED_VALUE"""),"Jonathan Ignatius Green")</f>
        <v>Jonathan Ignatius Green</v>
      </c>
      <c r="V4131" s="5" t="s">
        <v>22211</v>
      </c>
      <c r="W4131" s="5" t="str">
        <f t="shared" si="3"/>
        <v>Tarek Abdel Moaty</v>
      </c>
      <c r="X4131" s="5">
        <f t="shared" si="4"/>
        <v>1</v>
      </c>
      <c r="Y4131" s="5" t="str">
        <f>IFERROR(__xludf.DUMMYFUNCTION("REGEXEXTRACT(J4131, ""^\d+"")"),"1")</f>
        <v>1</v>
      </c>
      <c r="Z4131" s="5" t="str">
        <f>IFERROR(__xludf.DUMMYFUNCTION("REGEXEXTRACT(J4131, ""[A-Za-z ]+$"")")," Season")</f>
        <v> Season</v>
      </c>
      <c r="AA4131" s="5" t="str">
        <f>IFERROR(__xludf.DUMMYFUNCTION("IF(REGEXMATCH(Z4131, ""Season""), ""TV Show"", ""Movie"")"),"TV Show")</f>
        <v>TV Show</v>
      </c>
    </row>
    <row r="4132">
      <c r="A4132" s="1" t="s">
        <v>22212</v>
      </c>
      <c r="B4132" s="1" t="s">
        <v>37</v>
      </c>
      <c r="C4132" s="1" t="s">
        <v>22213</v>
      </c>
      <c r="E4132" s="1" t="s">
        <v>22214</v>
      </c>
      <c r="F4132" s="1" t="s">
        <v>3309</v>
      </c>
      <c r="G4132" s="1" t="s">
        <v>22196</v>
      </c>
      <c r="H4132" s="1">
        <v>2018.0</v>
      </c>
      <c r="I4132" s="1" t="s">
        <v>42</v>
      </c>
      <c r="J4132" s="1" t="s">
        <v>51</v>
      </c>
      <c r="K4132" s="1" t="s">
        <v>402</v>
      </c>
      <c r="L4132" s="1" t="s">
        <v>22215</v>
      </c>
      <c r="M4132" s="2" t="s">
        <v>12</v>
      </c>
      <c r="N4132" s="4">
        <f t="shared" si="1"/>
        <v>43501</v>
      </c>
      <c r="O4132" s="5" t="str">
        <f>IFERROR(__xludf.DUMMYFUNCTION("IF(REGEXMATCH(TRIM(I4132), ""^\d+\s*min""), ""Unclassified"", IF(I4132 = """", ""NR"", I4132))"),"TV-MA")</f>
        <v>TV-MA</v>
      </c>
      <c r="R4132" s="5" t="str">
        <f t="shared" si="2"/>
        <v>Tayee</v>
      </c>
      <c r="S4132" s="5" t="str">
        <f>IFERROR(__xludf.DUMMYFUNCTION("""COMPUTED_VALUE"""),"Little Sister")</f>
        <v>Little Sister</v>
      </c>
      <c r="U4132" s="5" t="str">
        <f>IFERROR(__xludf.DUMMYFUNCTION("""COMPUTED_VALUE"""),"Ian Macallister-Mcdonald")</f>
        <v>Ian Macallister-Mcdonald</v>
      </c>
      <c r="V4132" s="5" t="s">
        <v>22216</v>
      </c>
      <c r="W4132" s="5" t="str">
        <f t="shared" si="3"/>
        <v>Tarek Al Eryan</v>
      </c>
      <c r="X4132" s="5">
        <f t="shared" si="4"/>
        <v>1</v>
      </c>
      <c r="Y4132" s="5" t="str">
        <f>IFERROR(__xludf.DUMMYFUNCTION("REGEXEXTRACT(J4132, ""^\d+"")"),"1")</f>
        <v>1</v>
      </c>
      <c r="Z4132" s="5" t="str">
        <f>IFERROR(__xludf.DUMMYFUNCTION("REGEXEXTRACT(J4132, ""[A-Za-z ]+$"")")," Season")</f>
        <v> Season</v>
      </c>
      <c r="AA4132" s="5" t="str">
        <f>IFERROR(__xludf.DUMMYFUNCTION("IF(REGEXMATCH(Z4132, ""Season""), ""TV Show"", ""Movie"")"),"TV Show")</f>
        <v>TV Show</v>
      </c>
    </row>
    <row r="4133">
      <c r="A4133" s="1" t="s">
        <v>22217</v>
      </c>
      <c r="B4133" s="1" t="s">
        <v>37</v>
      </c>
      <c r="C4133" s="1" t="s">
        <v>22218</v>
      </c>
      <c r="E4133" s="1" t="s">
        <v>22219</v>
      </c>
      <c r="F4133" s="1" t="s">
        <v>415</v>
      </c>
      <c r="G4133" s="1" t="s">
        <v>22196</v>
      </c>
      <c r="H4133" s="1">
        <v>2018.0</v>
      </c>
      <c r="I4133" s="1" t="s">
        <v>97</v>
      </c>
      <c r="J4133" s="1" t="s">
        <v>51</v>
      </c>
      <c r="K4133" s="1" t="s">
        <v>1756</v>
      </c>
      <c r="L4133" s="1" t="s">
        <v>22220</v>
      </c>
      <c r="M4133" s="2" t="s">
        <v>12</v>
      </c>
      <c r="N4133" s="4">
        <f t="shared" si="1"/>
        <v>43501</v>
      </c>
      <c r="O4133" s="5" t="str">
        <f>IFERROR(__xludf.DUMMYFUNCTION("IF(REGEXMATCH(TRIM(I4133), ""^\d+\s*min""), ""Unclassified"", IF(I4133 = """", ""NR"", I4133))"),"TV-14")</f>
        <v>TV-14</v>
      </c>
      <c r="R4133" s="5" t="str">
        <f t="shared" si="2"/>
        <v>Violet Evergarden</v>
      </c>
      <c r="S4133" s="5" t="str">
        <f>IFERROR(__xludf.DUMMYFUNCTION("""COMPUTED_VALUE"""),"Little Things")</f>
        <v>Little Things</v>
      </c>
      <c r="U4133" s="5" t="str">
        <f>IFERROR(__xludf.DUMMYFUNCTION("""COMPUTED_VALUE"""),"Nancy Meyers")</f>
        <v>Nancy Meyers</v>
      </c>
      <c r="V4133" s="5" t="s">
        <v>4555</v>
      </c>
      <c r="W4133" s="5" t="str">
        <f t="shared" si="3"/>
        <v>Tariq Alkazim</v>
      </c>
      <c r="X4133" s="5">
        <f t="shared" si="4"/>
        <v>1</v>
      </c>
      <c r="Y4133" s="5" t="str">
        <f>IFERROR(__xludf.DUMMYFUNCTION("REGEXEXTRACT(J4133, ""^\d+"")"),"1")</f>
        <v>1</v>
      </c>
      <c r="Z4133" s="5" t="str">
        <f>IFERROR(__xludf.DUMMYFUNCTION("REGEXEXTRACT(J4133, ""[A-Za-z ]+$"")")," Season")</f>
        <v> Season</v>
      </c>
      <c r="AA4133" s="5" t="str">
        <f>IFERROR(__xludf.DUMMYFUNCTION("IF(REGEXMATCH(Z4133, ""Season""), ""TV Show"", ""Movie"")"),"TV Show")</f>
        <v>TV Show</v>
      </c>
    </row>
    <row r="4134">
      <c r="A4134" s="1" t="s">
        <v>22221</v>
      </c>
      <c r="B4134" s="1" t="s">
        <v>37</v>
      </c>
      <c r="C4134" s="1" t="s">
        <v>22222</v>
      </c>
      <c r="E4134" s="1" t="s">
        <v>22223</v>
      </c>
      <c r="F4134" s="1" t="s">
        <v>749</v>
      </c>
      <c r="G4134" s="1" t="s">
        <v>22224</v>
      </c>
      <c r="H4134" s="1">
        <v>2019.0</v>
      </c>
      <c r="I4134" s="1" t="s">
        <v>97</v>
      </c>
      <c r="J4134" s="1" t="s">
        <v>51</v>
      </c>
      <c r="K4134" s="1" t="s">
        <v>7164</v>
      </c>
      <c r="L4134" s="1" t="s">
        <v>22225</v>
      </c>
      <c r="M4134" s="2" t="s">
        <v>12</v>
      </c>
      <c r="N4134" s="4">
        <f t="shared" si="1"/>
        <v>43499</v>
      </c>
      <c r="O4134" s="5" t="str">
        <f>IFERROR(__xludf.DUMMYFUNCTION("IF(REGEXMATCH(TRIM(I4134), ""^\d+\s*min""), ""Unclassified"", IF(I4134 = """", ""NR"", I4134))"),"TV-14")</f>
        <v>TV-14</v>
      </c>
      <c r="R4134" s="5" t="str">
        <f t="shared" si="2"/>
        <v>Romance Is A Bonus Book</v>
      </c>
      <c r="S4134" s="5" t="str">
        <f>IFERROR(__xludf.DUMMYFUNCTION("""COMPUTED_VALUE"""),"Little Witch Academia")</f>
        <v>Little Witch Academia</v>
      </c>
      <c r="U4134" s="5" t="str">
        <f>IFERROR(__xludf.DUMMYFUNCTION("""COMPUTED_VALUE"""),"Julius Avery")</f>
        <v>Julius Avery</v>
      </c>
      <c r="V4134" s="5" t="s">
        <v>22226</v>
      </c>
      <c r="W4134" s="5" t="str">
        <f t="shared" si="3"/>
        <v>Tariq Khan</v>
      </c>
      <c r="X4134" s="5">
        <f t="shared" si="4"/>
        <v>1</v>
      </c>
      <c r="Y4134" s="5" t="str">
        <f>IFERROR(__xludf.DUMMYFUNCTION("REGEXEXTRACT(J4134, ""^\d+"")"),"1")</f>
        <v>1</v>
      </c>
      <c r="Z4134" s="5" t="str">
        <f>IFERROR(__xludf.DUMMYFUNCTION("REGEXEXTRACT(J4134, ""[A-Za-z ]+$"")")," Season")</f>
        <v> Season</v>
      </c>
      <c r="AA4134" s="5" t="str">
        <f>IFERROR(__xludf.DUMMYFUNCTION("IF(REGEXMATCH(Z4134, ""Season""), ""TV Show"", ""Movie"")"),"TV Show")</f>
        <v>TV Show</v>
      </c>
    </row>
    <row r="4135">
      <c r="A4135" s="1" t="s">
        <v>22227</v>
      </c>
      <c r="B4135" s="1" t="s">
        <v>27</v>
      </c>
      <c r="C4135" s="1" t="s">
        <v>22228</v>
      </c>
      <c r="D4135" s="1" t="s">
        <v>11527</v>
      </c>
      <c r="E4135" s="1" t="s">
        <v>22229</v>
      </c>
      <c r="F4135" s="1" t="s">
        <v>96</v>
      </c>
      <c r="G4135" s="1" t="s">
        <v>22230</v>
      </c>
      <c r="H4135" s="1">
        <v>2018.0</v>
      </c>
      <c r="I4135" s="1" t="s">
        <v>42</v>
      </c>
      <c r="J4135" s="1" t="s">
        <v>79</v>
      </c>
      <c r="K4135" s="1" t="s">
        <v>248</v>
      </c>
      <c r="L4135" s="1" t="s">
        <v>22231</v>
      </c>
      <c r="M4135" s="2" t="s">
        <v>12</v>
      </c>
      <c r="N4135" s="4">
        <f t="shared" si="1"/>
        <v>43498</v>
      </c>
      <c r="O4135" s="5" t="str">
        <f>IFERROR(__xludf.DUMMYFUNCTION("IF(REGEXMATCH(TRIM(I4135), ""^\d+\s*min""), ""Unclassified"", IF(I4135 = """", ""NR"", I4135))"),"TV-MA")</f>
        <v>TV-MA</v>
      </c>
      <c r="R4135" s="5" t="str">
        <f t="shared" si="2"/>
        <v>Await Further Instructions</v>
      </c>
      <c r="S4135" s="5" t="str">
        <f>IFERROR(__xludf.DUMMYFUNCTION("""COMPUTED_VALUE"""),"Littlest Pet Shop: A World Of Our Own")</f>
        <v>Littlest Pet Shop: A World Of Our Own</v>
      </c>
      <c r="U4135" s="5" t="str">
        <f>IFERROR(__xludf.DUMMYFUNCTION("""COMPUTED_VALUE"""),"Jeffrey C. Bell")</f>
        <v>Jeffrey C. Bell</v>
      </c>
      <c r="V4135" s="5" t="s">
        <v>22232</v>
      </c>
      <c r="W4135" s="5" t="str">
        <f t="shared" si="3"/>
        <v>Taron Lexton</v>
      </c>
      <c r="X4135" s="5">
        <f t="shared" si="4"/>
        <v>1</v>
      </c>
      <c r="Y4135" s="5" t="str">
        <f>IFERROR(__xludf.DUMMYFUNCTION("REGEXEXTRACT(J4135, ""^\d+"")"),"91")</f>
        <v>91</v>
      </c>
      <c r="Z4135" s="5" t="str">
        <f>IFERROR(__xludf.DUMMYFUNCTION("REGEXEXTRACT(J4135, ""[A-Za-z ]+$"")")," min")</f>
        <v> min</v>
      </c>
      <c r="AA4135" s="5" t="str">
        <f>IFERROR(__xludf.DUMMYFUNCTION("IF(REGEXMATCH(Z4135, ""Season""), ""TV Show"", ""Movie"")"),"Movie")</f>
        <v>Movie</v>
      </c>
    </row>
    <row r="4136">
      <c r="A4136" s="1" t="s">
        <v>22233</v>
      </c>
      <c r="B4136" s="1" t="s">
        <v>27</v>
      </c>
      <c r="C4136" s="1" t="s">
        <v>22234</v>
      </c>
      <c r="D4136" s="1" t="s">
        <v>1652</v>
      </c>
      <c r="E4136" s="1" t="s">
        <v>22235</v>
      </c>
      <c r="F4136" s="1" t="s">
        <v>63</v>
      </c>
      <c r="G4136" s="1" t="s">
        <v>22230</v>
      </c>
      <c r="H4136" s="1">
        <v>2017.0</v>
      </c>
      <c r="I4136" s="1" t="s">
        <v>97</v>
      </c>
      <c r="J4136" s="1" t="s">
        <v>454</v>
      </c>
      <c r="K4136" s="1" t="s">
        <v>89</v>
      </c>
      <c r="L4136" s="1" t="s">
        <v>22236</v>
      </c>
      <c r="M4136" s="2" t="s">
        <v>12</v>
      </c>
      <c r="N4136" s="4">
        <f t="shared" si="1"/>
        <v>43498</v>
      </c>
      <c r="O4136" s="5" t="str">
        <f>IFERROR(__xludf.DUMMYFUNCTION("IF(REGEXMATCH(TRIM(I4136), ""^\d+\s*min""), ""Unclassified"", IF(I4136 = """", ""NR"", I4136))"),"TV-14")</f>
        <v>TV-14</v>
      </c>
      <c r="R4136" s="5" t="str">
        <f t="shared" si="2"/>
        <v>Manusangada</v>
      </c>
      <c r="S4136" s="5" t="str">
        <f>IFERROR(__xludf.DUMMYFUNCTION("""COMPUTED_VALUE"""),"Liv And Maddie")</f>
        <v>Liv And Maddie</v>
      </c>
      <c r="U4136" s="5" t="str">
        <f>IFERROR(__xludf.DUMMYFUNCTION("""COMPUTED_VALUE"""),"David Allensworth, Monière")</f>
        <v>David Allensworth, Monière</v>
      </c>
      <c r="V4136" s="5" t="s">
        <v>19573</v>
      </c>
      <c r="W4136" s="5" t="str">
        <f t="shared" si="3"/>
        <v>Tarsem Singh</v>
      </c>
      <c r="X4136" s="5">
        <f t="shared" si="4"/>
        <v>2</v>
      </c>
      <c r="Y4136" s="5" t="str">
        <f>IFERROR(__xludf.DUMMYFUNCTION("REGEXEXTRACT(J4136, ""^\d+"")"),"93")</f>
        <v>93</v>
      </c>
      <c r="Z4136" s="5" t="str">
        <f>IFERROR(__xludf.DUMMYFUNCTION("REGEXEXTRACT(J4136, ""[A-Za-z ]+$"")")," min")</f>
        <v> min</v>
      </c>
      <c r="AA4136" s="5" t="str">
        <f>IFERROR(__xludf.DUMMYFUNCTION("IF(REGEXMATCH(Z4136, ""Season""), ""TV Show"", ""Movie"")"),"Movie")</f>
        <v>Movie</v>
      </c>
    </row>
    <row r="4137">
      <c r="A4137" s="1" t="s">
        <v>22237</v>
      </c>
      <c r="B4137" s="1" t="s">
        <v>27</v>
      </c>
      <c r="C4137" s="1" t="s">
        <v>22238</v>
      </c>
      <c r="D4137" s="1" t="s">
        <v>360</v>
      </c>
      <c r="F4137" s="1" t="s">
        <v>30</v>
      </c>
      <c r="G4137" s="1" t="s">
        <v>22239</v>
      </c>
      <c r="H4137" s="1">
        <v>2016.0</v>
      </c>
      <c r="I4137" s="1" t="s">
        <v>42</v>
      </c>
      <c r="J4137" s="1" t="s">
        <v>1608</v>
      </c>
      <c r="K4137" s="1" t="s">
        <v>34</v>
      </c>
      <c r="L4137" s="1" t="s">
        <v>22240</v>
      </c>
      <c r="M4137" s="2" t="s">
        <v>12</v>
      </c>
      <c r="N4137" s="4">
        <f t="shared" si="1"/>
        <v>43497</v>
      </c>
      <c r="O4137" s="5" t="str">
        <f>IFERROR(__xludf.DUMMYFUNCTION("IF(REGEXMATCH(TRIM(I4137), ""^\d+\s*min""), ""Unclassified"", IF(I4137 = """", ""NR"", I4137))"),"TV-MA")</f>
        <v>TV-MA</v>
      </c>
      <c r="R4137" s="5" t="str">
        <f t="shared" si="2"/>
        <v>14 Minutes From Earth</v>
      </c>
      <c r="S4137" s="5" t="str">
        <f>IFERROR(__xludf.DUMMYFUNCTION("""COMPUTED_VALUE"""),"Live")</f>
        <v>Live</v>
      </c>
      <c r="U4137" s="5" t="str">
        <f>IFERROR(__xludf.DUMMYFUNCTION("""COMPUTED_VALUE"""),"Jerry Rothwell, Reuben Atlas")</f>
        <v>Jerry Rothwell, Reuben Atlas</v>
      </c>
      <c r="V4137" s="5" t="s">
        <v>15239</v>
      </c>
      <c r="W4137" s="5" t="str">
        <f t="shared" si="3"/>
        <v>Tarun Mansukhani</v>
      </c>
      <c r="X4137" s="5">
        <f t="shared" si="4"/>
        <v>2</v>
      </c>
      <c r="Y4137" s="5" t="str">
        <f>IFERROR(__xludf.DUMMYFUNCTION("REGEXEXTRACT(J4137, ""^\d+"")"),"84")</f>
        <v>84</v>
      </c>
      <c r="Z4137" s="5" t="str">
        <f>IFERROR(__xludf.DUMMYFUNCTION("REGEXEXTRACT(J4137, ""[A-Za-z ]+$"")")," min")</f>
        <v> min</v>
      </c>
      <c r="AA4137" s="5" t="str">
        <f>IFERROR(__xludf.DUMMYFUNCTION("IF(REGEXMATCH(Z4137, ""Season""), ""TV Show"", ""Movie"")"),"Movie")</f>
        <v>Movie</v>
      </c>
    </row>
    <row r="4138">
      <c r="A4138" s="1" t="s">
        <v>22241</v>
      </c>
      <c r="B4138" s="1" t="s">
        <v>27</v>
      </c>
      <c r="C4138" s="1" t="s">
        <v>22242</v>
      </c>
      <c r="D4138" s="1" t="s">
        <v>22243</v>
      </c>
      <c r="E4138" s="1" t="s">
        <v>22244</v>
      </c>
      <c r="F4138" s="1" t="s">
        <v>2059</v>
      </c>
      <c r="G4138" s="1" t="s">
        <v>22239</v>
      </c>
      <c r="H4138" s="1">
        <v>2018.0</v>
      </c>
      <c r="I4138" s="1" t="s">
        <v>42</v>
      </c>
      <c r="J4138" s="1" t="s">
        <v>433</v>
      </c>
      <c r="K4138" s="1" t="s">
        <v>583</v>
      </c>
      <c r="L4138" s="1" t="s">
        <v>22245</v>
      </c>
      <c r="M4138" s="2" t="s">
        <v>12</v>
      </c>
      <c r="N4138" s="4">
        <f t="shared" si="1"/>
        <v>43497</v>
      </c>
      <c r="O4138" s="5" t="str">
        <f>IFERROR(__xludf.DUMMYFUNCTION("IF(REGEXMATCH(TRIM(I4138), ""^\d+\s*min""), ""Unclassified"", IF(I4138 = """", ""NR"", I4138))"),"TV-MA")</f>
        <v>TV-MA</v>
      </c>
      <c r="R4138" s="5" t="str">
        <f t="shared" si="2"/>
        <v>Dear Ex</v>
      </c>
      <c r="S4138" s="5" t="str">
        <f>IFERROR(__xludf.DUMMYFUNCTION("""COMPUTED_VALUE"""),"Live Twice, Love Once")</f>
        <v>Live Twice, Love Once</v>
      </c>
      <c r="U4138" s="5" t="str">
        <f>IFERROR(__xludf.DUMMYFUNCTION("""COMPUTED_VALUE"""),"Sam O'Steen")</f>
        <v>Sam O'Steen</v>
      </c>
      <c r="V4138" s="5" t="s">
        <v>7084</v>
      </c>
      <c r="W4138" s="5" t="str">
        <f t="shared" si="3"/>
        <v>Tate Taylor</v>
      </c>
      <c r="X4138" s="5">
        <f t="shared" si="4"/>
        <v>3</v>
      </c>
      <c r="Y4138" s="5" t="str">
        <f>IFERROR(__xludf.DUMMYFUNCTION("REGEXEXTRACT(J4138, ""^\d+"")"),"100")</f>
        <v>100</v>
      </c>
      <c r="Z4138" s="5" t="str">
        <f>IFERROR(__xludf.DUMMYFUNCTION("REGEXEXTRACT(J4138, ""[A-Za-z ]+$"")")," min")</f>
        <v> min</v>
      </c>
      <c r="AA4138" s="5" t="str">
        <f>IFERROR(__xludf.DUMMYFUNCTION("IF(REGEXMATCH(Z4138, ""Season""), ""TV Show"", ""Movie"")"),"Movie")</f>
        <v>Movie</v>
      </c>
    </row>
    <row r="4139">
      <c r="A4139" s="1" t="s">
        <v>22246</v>
      </c>
      <c r="B4139" s="1" t="s">
        <v>27</v>
      </c>
      <c r="C4139" s="1" t="s">
        <v>22247</v>
      </c>
      <c r="E4139" s="1" t="s">
        <v>22248</v>
      </c>
      <c r="F4139" s="1" t="s">
        <v>30</v>
      </c>
      <c r="G4139" s="1" t="s">
        <v>22239</v>
      </c>
      <c r="H4139" s="1">
        <v>2019.0</v>
      </c>
      <c r="I4139" s="1" t="s">
        <v>506</v>
      </c>
      <c r="J4139" s="1" t="s">
        <v>7064</v>
      </c>
      <c r="K4139" s="1" t="s">
        <v>771</v>
      </c>
      <c r="L4139" s="1" t="s">
        <v>22249</v>
      </c>
      <c r="M4139" s="2" t="s">
        <v>12</v>
      </c>
      <c r="N4139" s="4">
        <f t="shared" si="1"/>
        <v>43497</v>
      </c>
      <c r="O4139" s="5" t="str">
        <f>IFERROR(__xludf.DUMMYFUNCTION("IF(REGEXMATCH(TRIM(I4139), ""^\d+\s*min""), ""Unclassified"", IF(I4139 = """", ""NR"", I4139))"),"TV-G")</f>
        <v>TV-G</v>
      </c>
      <c r="R4139" s="5" t="str">
        <f t="shared" si="2"/>
        <v>Free Rein: Valentine'S Day</v>
      </c>
      <c r="S4139" s="5" t="str">
        <f>IFERROR(__xludf.DUMMYFUNCTION("""COMPUTED_VALUE"""),"Live Up To Your Name")</f>
        <v>Live Up To Your Name</v>
      </c>
      <c r="U4139" s="5" t="str">
        <f>IFERROR(__xludf.DUMMYFUNCTION("""COMPUTED_VALUE"""),"Dan Harris")</f>
        <v>Dan Harris</v>
      </c>
      <c r="V4139" s="5" t="s">
        <v>22250</v>
      </c>
      <c r="W4139" s="5" t="str">
        <f t="shared" si="3"/>
        <v>Tathagata Banerjee</v>
      </c>
      <c r="X4139" s="5">
        <f t="shared" si="4"/>
        <v>1</v>
      </c>
      <c r="Y4139" s="5" t="str">
        <f>IFERROR(__xludf.DUMMYFUNCTION("REGEXEXTRACT(J4139, ""^\d+"")"),"51")</f>
        <v>51</v>
      </c>
      <c r="Z4139" s="5" t="str">
        <f>IFERROR(__xludf.DUMMYFUNCTION("REGEXEXTRACT(J4139, ""[A-Za-z ]+$"")")," min")</f>
        <v> min</v>
      </c>
      <c r="AA4139" s="5" t="str">
        <f>IFERROR(__xludf.DUMMYFUNCTION("IF(REGEXMATCH(Z4139, ""Season""), ""TV Show"", ""Movie"")"),"Movie")</f>
        <v>Movie</v>
      </c>
    </row>
    <row r="4140">
      <c r="A4140" s="1" t="s">
        <v>22251</v>
      </c>
      <c r="B4140" s="1" t="s">
        <v>27</v>
      </c>
      <c r="C4140" s="1" t="s">
        <v>22252</v>
      </c>
      <c r="D4140" s="1" t="s">
        <v>19233</v>
      </c>
      <c r="E4140" s="1" t="s">
        <v>22253</v>
      </c>
      <c r="F4140" s="1" t="s">
        <v>30</v>
      </c>
      <c r="G4140" s="1" t="s">
        <v>22239</v>
      </c>
      <c r="H4140" s="1">
        <v>2014.0</v>
      </c>
      <c r="I4140" s="1" t="s">
        <v>289</v>
      </c>
      <c r="J4140" s="1" t="s">
        <v>7407</v>
      </c>
      <c r="K4140" s="1" t="s">
        <v>2032</v>
      </c>
      <c r="L4140" s="1" t="s">
        <v>22254</v>
      </c>
      <c r="M4140" s="2" t="s">
        <v>12</v>
      </c>
      <c r="N4140" s="4">
        <f t="shared" si="1"/>
        <v>43497</v>
      </c>
      <c r="O4140" s="5" t="str">
        <f>IFERROR(__xludf.DUMMYFUNCTION("IF(REGEXMATCH(TRIM(I4140), ""^\d+\s*min""), ""Unclassified"", IF(I4140 = """", ""NR"", I4140))"),"TV-Y7")</f>
        <v>TV-Y7</v>
      </c>
      <c r="R4140" s="5" t="str">
        <f t="shared" si="2"/>
        <v>Lego Dc Comics: Batman Be-Leaguered</v>
      </c>
      <c r="S4140" s="5" t="str">
        <f>IFERROR(__xludf.DUMMYFUNCTION("""COMPUTED_VALUE"""),"Living In Bondage: Breaking Free")</f>
        <v>Living In Bondage: Breaking Free</v>
      </c>
      <c r="U4140" s="5" t="str">
        <f>IFERROR(__xludf.DUMMYFUNCTION("""COMPUTED_VALUE"""),"Mark Sloper")</f>
        <v>Mark Sloper</v>
      </c>
      <c r="V4140" s="5" t="s">
        <v>10111</v>
      </c>
      <c r="W4140" s="5" t="str">
        <f t="shared" si="3"/>
        <v>Tatsushi Omori</v>
      </c>
      <c r="X4140" s="5">
        <f t="shared" si="4"/>
        <v>1</v>
      </c>
      <c r="Y4140" s="5" t="str">
        <f>IFERROR(__xludf.DUMMYFUNCTION("REGEXEXTRACT(J4140, ""^\d+"")"),"22")</f>
        <v>22</v>
      </c>
      <c r="Z4140" s="5" t="str">
        <f>IFERROR(__xludf.DUMMYFUNCTION("REGEXEXTRACT(J4140, ""[A-Za-z ]+$"")")," min")</f>
        <v> min</v>
      </c>
      <c r="AA4140" s="5" t="str">
        <f>IFERROR(__xludf.DUMMYFUNCTION("IF(REGEXMATCH(Z4140, ""Season""), ""TV Show"", ""Movie"")"),"Movie")</f>
        <v>Movie</v>
      </c>
    </row>
    <row r="4141">
      <c r="A4141" s="1" t="s">
        <v>22255</v>
      </c>
      <c r="B4141" s="1" t="s">
        <v>27</v>
      </c>
      <c r="C4141" s="1" t="s">
        <v>22256</v>
      </c>
      <c r="D4141" s="1" t="s">
        <v>15601</v>
      </c>
      <c r="E4141" s="1" t="s">
        <v>22257</v>
      </c>
      <c r="F4141" s="1" t="s">
        <v>30</v>
      </c>
      <c r="G4141" s="1" t="s">
        <v>22239</v>
      </c>
      <c r="H4141" s="1">
        <v>2018.0</v>
      </c>
      <c r="I4141" s="1" t="s">
        <v>289</v>
      </c>
      <c r="J4141" s="1" t="s">
        <v>7407</v>
      </c>
      <c r="K4141" s="1" t="s">
        <v>80</v>
      </c>
      <c r="L4141" s="1" t="s">
        <v>22258</v>
      </c>
      <c r="M4141" s="2" t="s">
        <v>12</v>
      </c>
      <c r="N4141" s="4">
        <f t="shared" si="1"/>
        <v>43497</v>
      </c>
      <c r="O4141" s="5" t="str">
        <f>IFERROR(__xludf.DUMMYFUNCTION("IF(REGEXMATCH(TRIM(I4141), ""^\d+\s*min""), ""Unclassified"", IF(I4141 = """", ""NR"", I4141))"),"TV-Y7")</f>
        <v>TV-Y7</v>
      </c>
      <c r="R4141" s="5" t="str">
        <f t="shared" si="2"/>
        <v>Lego Marvel Super Heroes: Black Panther</v>
      </c>
      <c r="S4141" s="5" t="str">
        <f>IFERROR(__xludf.DUMMYFUNCTION("""COMPUTED_VALUE"""),"Living Undocumented")</f>
        <v>Living Undocumented</v>
      </c>
      <c r="U4141" s="5" t="str">
        <f>IFERROR(__xludf.DUMMYFUNCTION("""COMPUTED_VALUE"""),"Sam Raimi")</f>
        <v>Sam Raimi</v>
      </c>
      <c r="V4141" s="5" t="s">
        <v>7327</v>
      </c>
      <c r="W4141" s="5" t="str">
        <f t="shared" si="3"/>
        <v>Taylor Hackford</v>
      </c>
      <c r="X4141" s="5">
        <f t="shared" si="4"/>
        <v>1</v>
      </c>
      <c r="Y4141" s="5" t="str">
        <f>IFERROR(__xludf.DUMMYFUNCTION("REGEXEXTRACT(J4141, ""^\d+"")"),"22")</f>
        <v>22</v>
      </c>
      <c r="Z4141" s="5" t="str">
        <f>IFERROR(__xludf.DUMMYFUNCTION("REGEXEXTRACT(J4141, ""[A-Za-z ]+$"")")," min")</f>
        <v> min</v>
      </c>
      <c r="AA4141" s="5" t="str">
        <f>IFERROR(__xludf.DUMMYFUNCTION("IF(REGEXMATCH(Z4141, ""Season""), ""TV Show"", ""Movie"")"),"Movie")</f>
        <v>Movie</v>
      </c>
    </row>
    <row r="4142">
      <c r="A4142" s="1" t="s">
        <v>22259</v>
      </c>
      <c r="B4142" s="1" t="s">
        <v>27</v>
      </c>
      <c r="C4142" s="1" t="s">
        <v>22260</v>
      </c>
      <c r="F4142" s="1" t="s">
        <v>30</v>
      </c>
      <c r="G4142" s="1" t="s">
        <v>22239</v>
      </c>
      <c r="H4142" s="1">
        <v>2017.0</v>
      </c>
      <c r="I4142" s="1" t="s">
        <v>206</v>
      </c>
      <c r="J4142" s="1" t="s">
        <v>7407</v>
      </c>
      <c r="K4142" s="1" t="s">
        <v>80</v>
      </c>
      <c r="L4142" s="1" t="s">
        <v>22261</v>
      </c>
      <c r="M4142" s="2" t="s">
        <v>12</v>
      </c>
      <c r="N4142" s="4">
        <f t="shared" si="1"/>
        <v>43497</v>
      </c>
      <c r="O4142" s="5" t="str">
        <f>IFERROR(__xludf.DUMMYFUNCTION("IF(REGEXMATCH(TRIM(I4142), ""^\d+\s*min""), ""Unclassified"", IF(I4142 = """", ""NR"", I4142))"),"TV-Y")</f>
        <v>TV-Y</v>
      </c>
      <c r="R4142" s="5" t="str">
        <f t="shared" si="2"/>
        <v>Lego Marvel Super Heroes: Guardians Of The Galaxy</v>
      </c>
      <c r="S4142" s="5" t="str">
        <f>IFERROR(__xludf.DUMMYFUNCTION("""COMPUTED_VALUE"""),"Living With Yourself")</f>
        <v>Living With Yourself</v>
      </c>
      <c r="U4142" s="5" t="str">
        <f>IFERROR(__xludf.DUMMYFUNCTION("""COMPUTED_VALUE"""),"Peter Ramsey, Rodney Rothman, Bob Persichetti")</f>
        <v>Peter Ramsey, Rodney Rothman, Bob Persichetti</v>
      </c>
      <c r="V4142" s="5" t="s">
        <v>7126</v>
      </c>
      <c r="W4142" s="5" t="str">
        <f t="shared" si="3"/>
        <v>Taylor Morden</v>
      </c>
      <c r="X4142" s="5">
        <f t="shared" si="4"/>
        <v>1</v>
      </c>
      <c r="Y4142" s="5" t="str">
        <f>IFERROR(__xludf.DUMMYFUNCTION("REGEXEXTRACT(J4142, ""^\d+"")"),"22")</f>
        <v>22</v>
      </c>
      <c r="Z4142" s="5" t="str">
        <f>IFERROR(__xludf.DUMMYFUNCTION("REGEXEXTRACT(J4142, ""[A-Za-z ]+$"")")," min")</f>
        <v> min</v>
      </c>
      <c r="AA4142" s="5" t="str">
        <f>IFERROR(__xludf.DUMMYFUNCTION("IF(REGEXMATCH(Z4142, ""Season""), ""TV Show"", ""Movie"")"),"Movie")</f>
        <v>Movie</v>
      </c>
    </row>
    <row r="4143">
      <c r="A4143" s="1" t="s">
        <v>22262</v>
      </c>
      <c r="B4143" s="1" t="s">
        <v>37</v>
      </c>
      <c r="C4143" s="1" t="s">
        <v>22263</v>
      </c>
      <c r="E4143" s="1" t="s">
        <v>22264</v>
      </c>
      <c r="F4143" s="1" t="s">
        <v>30</v>
      </c>
      <c r="G4143" s="1" t="s">
        <v>22239</v>
      </c>
      <c r="H4143" s="1">
        <v>2018.0</v>
      </c>
      <c r="I4143" s="1" t="s">
        <v>289</v>
      </c>
      <c r="J4143" s="1" t="s">
        <v>43</v>
      </c>
      <c r="K4143" s="1" t="s">
        <v>290</v>
      </c>
      <c r="L4143" s="1" t="s">
        <v>22265</v>
      </c>
      <c r="M4143" s="2" t="s">
        <v>12</v>
      </c>
      <c r="N4143" s="4">
        <f t="shared" si="1"/>
        <v>43497</v>
      </c>
      <c r="O4143" s="5" t="str">
        <f>IFERROR(__xludf.DUMMYFUNCTION("IF(REGEXMATCH(TRIM(I4143), ""^\d+\s*min""), ""Unclassified"", IF(I4143 = """", ""NR"", I4143))"),"TV-Y7")</f>
        <v>TV-Y7</v>
      </c>
      <c r="R4143" s="5" t="str">
        <f t="shared" si="2"/>
        <v>Littlest Pet Shop: A World Of Our Own</v>
      </c>
      <c r="S4143" s="5" t="str">
        <f>IFERROR(__xludf.DUMMYFUNCTION("""COMPUTED_VALUE"""),"Lizzie Borden Took An Ax")</f>
        <v>Lizzie Borden Took An Ax</v>
      </c>
      <c r="U4143" s="5" t="str">
        <f>IFERROR(__xludf.DUMMYFUNCTION("""COMPUTED_VALUE"""),"David Fairhead, Anthony Palmer")</f>
        <v>David Fairhead, Anthony Palmer</v>
      </c>
      <c r="V4143" s="5" t="s">
        <v>1317</v>
      </c>
      <c r="W4143" s="5" t="str">
        <f t="shared" si="3"/>
        <v>Taylor Sheridan</v>
      </c>
      <c r="X4143" s="5">
        <f t="shared" si="4"/>
        <v>1</v>
      </c>
      <c r="Y4143" s="5" t="str">
        <f>IFERROR(__xludf.DUMMYFUNCTION("REGEXEXTRACT(J4143, ""^\d+"")"),"2")</f>
        <v>2</v>
      </c>
      <c r="Z4143" s="5" t="str">
        <f>IFERROR(__xludf.DUMMYFUNCTION("REGEXEXTRACT(J4143, ""[A-Za-z ]+$"")")," Seasons")</f>
        <v> Seasons</v>
      </c>
      <c r="AA4143" s="5" t="str">
        <f>IFERROR(__xludf.DUMMYFUNCTION("IF(REGEXMATCH(Z4143, ""Season""), ""TV Show"", ""Movie"")"),"TV Show")</f>
        <v>TV Show</v>
      </c>
    </row>
    <row r="4144">
      <c r="A4144" s="1" t="s">
        <v>22266</v>
      </c>
      <c r="B4144" s="1" t="s">
        <v>37</v>
      </c>
      <c r="C4144" s="1" t="s">
        <v>22267</v>
      </c>
      <c r="E4144" s="1" t="s">
        <v>22268</v>
      </c>
      <c r="F4144" s="1" t="s">
        <v>30</v>
      </c>
      <c r="G4144" s="1" t="s">
        <v>22239</v>
      </c>
      <c r="H4144" s="1">
        <v>2019.0</v>
      </c>
      <c r="I4144" s="1" t="s">
        <v>42</v>
      </c>
      <c r="J4144" s="1" t="s">
        <v>51</v>
      </c>
      <c r="K4144" s="1" t="s">
        <v>149</v>
      </c>
      <c r="L4144" s="1" t="s">
        <v>22269</v>
      </c>
      <c r="M4144" s="2" t="s">
        <v>12</v>
      </c>
      <c r="N4144" s="4">
        <f t="shared" si="1"/>
        <v>43497</v>
      </c>
      <c r="O4144" s="5" t="str">
        <f>IFERROR(__xludf.DUMMYFUNCTION("IF(REGEXMATCH(TRIM(I4144), ""^\d+\s*min""), ""Unclassified"", IF(I4144 = """", ""NR"", I4144))"),"TV-MA")</f>
        <v>TV-MA</v>
      </c>
      <c r="R4144" s="5" t="str">
        <f t="shared" si="2"/>
        <v>Russian Doll</v>
      </c>
      <c r="S4144" s="5" t="str">
        <f>IFERROR(__xludf.DUMMYFUNCTION("""COMPUTED_VALUE"""),"Llama Llama")</f>
        <v>Llama Llama</v>
      </c>
      <c r="U4144" s="5" t="str">
        <f>IFERROR(__xludf.DUMMYFUNCTION("""COMPUTED_VALUE"""),"Tom Mccarthy")</f>
        <v>Tom Mccarthy</v>
      </c>
      <c r="V4144" s="5" t="s">
        <v>22270</v>
      </c>
      <c r="W4144" s="5" t="str">
        <f t="shared" si="3"/>
        <v>Ted Braun</v>
      </c>
      <c r="X4144" s="5">
        <f t="shared" si="4"/>
        <v>1</v>
      </c>
      <c r="Y4144" s="5" t="str">
        <f>IFERROR(__xludf.DUMMYFUNCTION("REGEXEXTRACT(J4144, ""^\d+"")"),"1")</f>
        <v>1</v>
      </c>
      <c r="Z4144" s="5" t="str">
        <f>IFERROR(__xludf.DUMMYFUNCTION("REGEXEXTRACT(J4144, ""[A-Za-z ]+$"")")," Season")</f>
        <v> Season</v>
      </c>
      <c r="AA4144" s="5" t="str">
        <f>IFERROR(__xludf.DUMMYFUNCTION("IF(REGEXMATCH(Z4144, ""Season""), ""TV Show"", ""Movie"")"),"TV Show")</f>
        <v>TV Show</v>
      </c>
    </row>
    <row r="4145">
      <c r="A4145" s="1" t="s">
        <v>22271</v>
      </c>
      <c r="B4145" s="1" t="s">
        <v>37</v>
      </c>
      <c r="C4145" s="1" t="s">
        <v>22272</v>
      </c>
      <c r="E4145" s="1" t="s">
        <v>22273</v>
      </c>
      <c r="F4145" s="1" t="s">
        <v>1078</v>
      </c>
      <c r="G4145" s="1" t="s">
        <v>22239</v>
      </c>
      <c r="H4145" s="1">
        <v>2018.0</v>
      </c>
      <c r="I4145" s="1" t="s">
        <v>42</v>
      </c>
      <c r="J4145" s="1" t="s">
        <v>51</v>
      </c>
      <c r="K4145" s="1" t="s">
        <v>1362</v>
      </c>
      <c r="L4145" s="1" t="s">
        <v>22274</v>
      </c>
      <c r="M4145" s="2" t="s">
        <v>12</v>
      </c>
      <c r="N4145" s="4">
        <f t="shared" si="1"/>
        <v>43497</v>
      </c>
      <c r="O4145" s="5" t="str">
        <f>IFERROR(__xludf.DUMMYFUNCTION("IF(REGEXMATCH(TRIM(I4145), ""^\d+\s*min""), ""Unclassified"", IF(I4145 = """", ""NR"", I4145))"),"TV-MA")</f>
        <v>TV-MA</v>
      </c>
      <c r="R4145" s="5" t="str">
        <f t="shared" si="2"/>
        <v>Sparta</v>
      </c>
      <c r="S4145" s="5" t="str">
        <f>IFERROR(__xludf.DUMMYFUNCTION("""COMPUTED_VALUE"""),"Lo And Behold: Reveries Of The Connected World")</f>
        <v>Lo And Behold: Reveries Of The Connected World</v>
      </c>
      <c r="U4145" s="5" t="str">
        <f>IFERROR(__xludf.DUMMYFUNCTION("""COMPUTED_VALUE"""),"Harmony Korine")</f>
        <v>Harmony Korine</v>
      </c>
      <c r="V4145" s="5" t="s">
        <v>22275</v>
      </c>
      <c r="W4145" s="5" t="str">
        <f t="shared" si="3"/>
        <v>Ted Demme</v>
      </c>
      <c r="X4145" s="5">
        <f t="shared" si="4"/>
        <v>2</v>
      </c>
      <c r="Y4145" s="5" t="str">
        <f>IFERROR(__xludf.DUMMYFUNCTION("REGEXEXTRACT(J4145, ""^\d+"")"),"1")</f>
        <v>1</v>
      </c>
      <c r="Z4145" s="5" t="str">
        <f>IFERROR(__xludf.DUMMYFUNCTION("REGEXEXTRACT(J4145, ""[A-Za-z ]+$"")")," Season")</f>
        <v> Season</v>
      </c>
      <c r="AA4145" s="5" t="str">
        <f>IFERROR(__xludf.DUMMYFUNCTION("IF(REGEXMATCH(Z4145, ""Season""), ""TV Show"", ""Movie"")"),"TV Show")</f>
        <v>TV Show</v>
      </c>
    </row>
    <row r="4146">
      <c r="A4146" s="1" t="s">
        <v>22276</v>
      </c>
      <c r="B4146" s="1" t="s">
        <v>37</v>
      </c>
      <c r="C4146" s="1" t="s">
        <v>22277</v>
      </c>
      <c r="E4146" s="1" t="s">
        <v>22278</v>
      </c>
      <c r="F4146" s="1" t="s">
        <v>415</v>
      </c>
      <c r="G4146" s="1" t="s">
        <v>22239</v>
      </c>
      <c r="H4146" s="1">
        <v>2018.0</v>
      </c>
      <c r="I4146" s="1" t="s">
        <v>42</v>
      </c>
      <c r="J4146" s="1" t="s">
        <v>51</v>
      </c>
      <c r="K4146" s="1" t="s">
        <v>567</v>
      </c>
      <c r="L4146" s="1" t="s">
        <v>22279</v>
      </c>
      <c r="M4146" s="2" t="s">
        <v>12</v>
      </c>
      <c r="N4146" s="4">
        <f t="shared" si="1"/>
        <v>43497</v>
      </c>
      <c r="O4146" s="5" t="str">
        <f>IFERROR(__xludf.DUMMYFUNCTION("IF(REGEXMATCH(TRIM(I4146), ""^\d+\s*min""), ""Unclassified"", IF(I4146 = """", ""NR"", I4146))"),"TV-MA")</f>
        <v>TV-MA</v>
      </c>
      <c r="R4146" s="5" t="str">
        <f t="shared" si="2"/>
        <v>Sword Art Online Alternative: Gun Gale Online</v>
      </c>
      <c r="S4146" s="5" t="str">
        <f>IFERROR(__xludf.DUMMYFUNCTION("""COMPUTED_VALUE"""),"Lo Más Sencillo Es Complicarlo Todo")</f>
        <v>Lo Más Sencillo Es Complicarlo Todo</v>
      </c>
      <c r="U4146" s="5" t="str">
        <f>IFERROR(__xludf.DUMMYFUNCTION("""COMPUTED_VALUE"""),"Storm Saulter")</f>
        <v>Storm Saulter</v>
      </c>
      <c r="V4146" s="5" t="s">
        <v>22280</v>
      </c>
      <c r="W4146" s="5" t="str">
        <f t="shared" si="3"/>
        <v>Ted Emery</v>
      </c>
      <c r="X4146" s="5">
        <f t="shared" si="4"/>
        <v>2</v>
      </c>
      <c r="Y4146" s="5" t="str">
        <f>IFERROR(__xludf.DUMMYFUNCTION("REGEXEXTRACT(J4146, ""^\d+"")"),"1")</f>
        <v>1</v>
      </c>
      <c r="Z4146" s="5" t="str">
        <f>IFERROR(__xludf.DUMMYFUNCTION("REGEXEXTRACT(J4146, ""[A-Za-z ]+$"")")," Season")</f>
        <v> Season</v>
      </c>
      <c r="AA4146" s="5" t="str">
        <f>IFERROR(__xludf.DUMMYFUNCTION("IF(REGEXMATCH(Z4146, ""Season""), ""TV Show"", ""Movie"")"),"TV Show")</f>
        <v>TV Show</v>
      </c>
    </row>
    <row r="4147">
      <c r="A4147" s="1" t="s">
        <v>22281</v>
      </c>
      <c r="B4147" s="1" t="s">
        <v>27</v>
      </c>
      <c r="C4147" s="1" t="s">
        <v>22282</v>
      </c>
      <c r="E4147" s="1" t="s">
        <v>22283</v>
      </c>
      <c r="F4147" s="1" t="s">
        <v>897</v>
      </c>
      <c r="G4147" s="1" t="s">
        <v>22239</v>
      </c>
      <c r="H4147" s="1">
        <v>2019.0</v>
      </c>
      <c r="I4147" s="1" t="s">
        <v>206</v>
      </c>
      <c r="J4147" s="1" t="s">
        <v>7058</v>
      </c>
      <c r="K4147" s="1" t="s">
        <v>80</v>
      </c>
      <c r="L4147" s="1" t="s">
        <v>22284</v>
      </c>
      <c r="M4147" s="2" t="s">
        <v>12</v>
      </c>
      <c r="N4147" s="4">
        <f t="shared" si="1"/>
        <v>43497</v>
      </c>
      <c r="O4147" s="5" t="str">
        <f>IFERROR(__xludf.DUMMYFUNCTION("IF(REGEXMATCH(TRIM(I4147), ""^\d+\s*min""), ""Unclassified"", IF(I4147 = """", ""NR"", I4147))"),"TV-Y")</f>
        <v>TV-Y</v>
      </c>
      <c r="R4147" s="5" t="str">
        <f t="shared" si="2"/>
        <v>True: Happy Hearts Day</v>
      </c>
      <c r="S4147" s="5" t="str">
        <f>IFERROR(__xludf.DUMMYFUNCTION("""COMPUTED_VALUE"""),"Lo Que La Verdad Esconde: El Caso Asunta (Operacion Nenúfar)")</f>
        <v>Lo Que La Verdad Esconde: El Caso Asunta (Operacion Nenúfar)</v>
      </c>
      <c r="U4147" s="5" t="str">
        <f>IFERROR(__xludf.DUMMYFUNCTION("""COMPUTED_VALUE"""),"Christopher Ray")</f>
        <v>Christopher Ray</v>
      </c>
      <c r="V4147" s="5" t="s">
        <v>22285</v>
      </c>
      <c r="W4147" s="5" t="str">
        <f t="shared" si="3"/>
        <v>Ted Geoghegan</v>
      </c>
      <c r="X4147" s="5">
        <f t="shared" si="4"/>
        <v>1</v>
      </c>
      <c r="Y4147" s="5" t="str">
        <f>IFERROR(__xludf.DUMMYFUNCTION("REGEXEXTRACT(J4147, ""^\d+"")"),"24")</f>
        <v>24</v>
      </c>
      <c r="Z4147" s="5" t="str">
        <f>IFERROR(__xludf.DUMMYFUNCTION("REGEXEXTRACT(J4147, ""[A-Za-z ]+$"")")," min")</f>
        <v> min</v>
      </c>
      <c r="AA4147" s="5" t="str">
        <f>IFERROR(__xludf.DUMMYFUNCTION("IF(REGEXMATCH(Z4147, ""Season""), ""TV Show"", ""Movie"")"),"Movie")</f>
        <v>Movie</v>
      </c>
    </row>
    <row r="4148">
      <c r="A4148" s="1" t="s">
        <v>22286</v>
      </c>
      <c r="B4148" s="1" t="s">
        <v>27</v>
      </c>
      <c r="C4148" s="1" t="s">
        <v>22287</v>
      </c>
      <c r="D4148" s="1" t="s">
        <v>5414</v>
      </c>
      <c r="E4148" s="1" t="s">
        <v>22288</v>
      </c>
      <c r="F4148" s="1" t="s">
        <v>30</v>
      </c>
      <c r="G4148" s="1" t="s">
        <v>22239</v>
      </c>
      <c r="H4148" s="1">
        <v>2019.0</v>
      </c>
      <c r="I4148" s="1" t="s">
        <v>378</v>
      </c>
      <c r="J4148" s="1" t="s">
        <v>519</v>
      </c>
      <c r="K4148" s="1" t="s">
        <v>394</v>
      </c>
      <c r="L4148" s="1" t="s">
        <v>22289</v>
      </c>
      <c r="M4148" s="2" t="s">
        <v>12</v>
      </c>
      <c r="N4148" s="4">
        <f t="shared" si="1"/>
        <v>43497</v>
      </c>
      <c r="O4148" s="5" t="str">
        <f>IFERROR(__xludf.DUMMYFUNCTION("IF(REGEXMATCH(TRIM(I4148), ""^\d+\s*min""), ""Unclassified"", IF(I4148 = """", ""NR"", I4148))"),"R")</f>
        <v>R</v>
      </c>
      <c r="R4148" s="5" t="str">
        <f t="shared" si="2"/>
        <v>Velvet Buzzsaw</v>
      </c>
      <c r="S4148" s="5" t="str">
        <f>IFERROR(__xludf.DUMMYFUNCTION("""COMPUTED_VALUE"""),"Lo Que La Vida Me Robó")</f>
        <v>Lo Que La Vida Me Robó</v>
      </c>
      <c r="U4148" s="5" t="str">
        <f>IFERROR(__xludf.DUMMYFUNCTION("""COMPUTED_VALUE"""),"Adam Alleca")</f>
        <v>Adam Alleca</v>
      </c>
      <c r="V4148" s="5" t="s">
        <v>12561</v>
      </c>
      <c r="W4148" s="5" t="str">
        <f t="shared" si="3"/>
        <v>Teddy Chan</v>
      </c>
      <c r="X4148" s="5">
        <f t="shared" si="4"/>
        <v>1</v>
      </c>
      <c r="Y4148" s="5" t="str">
        <f>IFERROR(__xludf.DUMMYFUNCTION("REGEXEXTRACT(J4148, ""^\d+"")"),"113")</f>
        <v>113</v>
      </c>
      <c r="Z4148" s="5" t="str">
        <f>IFERROR(__xludf.DUMMYFUNCTION("REGEXEXTRACT(J4148, ""[A-Za-z ]+$"")")," min")</f>
        <v> min</v>
      </c>
      <c r="AA4148" s="5" t="str">
        <f>IFERROR(__xludf.DUMMYFUNCTION("IF(REGEXMATCH(Z4148, ""Season""), ""TV Show"", ""Movie"")"),"Movie")</f>
        <v>Movie</v>
      </c>
    </row>
    <row r="4149">
      <c r="A4149" s="1" t="s">
        <v>22290</v>
      </c>
      <c r="B4149" s="1" t="s">
        <v>27</v>
      </c>
      <c r="C4149" s="1" t="s">
        <v>22291</v>
      </c>
      <c r="D4149" s="1" t="s">
        <v>14373</v>
      </c>
      <c r="E4149" s="1" t="s">
        <v>22292</v>
      </c>
      <c r="F4149" s="1" t="s">
        <v>3321</v>
      </c>
      <c r="G4149" s="1" t="s">
        <v>22293</v>
      </c>
      <c r="H4149" s="1">
        <v>2018.0</v>
      </c>
      <c r="I4149" s="1" t="s">
        <v>136</v>
      </c>
      <c r="J4149" s="1" t="s">
        <v>297</v>
      </c>
      <c r="K4149" s="1" t="s">
        <v>6462</v>
      </c>
      <c r="L4149" s="1" t="s">
        <v>22294</v>
      </c>
      <c r="M4149" s="2" t="s">
        <v>12</v>
      </c>
      <c r="N4149" s="4">
        <f t="shared" si="1"/>
        <v>43496</v>
      </c>
      <c r="O4149" s="5" t="str">
        <f>IFERROR(__xludf.DUMMYFUNCTION("IF(REGEXMATCH(TRIM(I4149), ""^\d+\s*min""), ""Unclassified"", IF(I4149 = """", ""NR"", I4149))"),"TV-PG")</f>
        <v>TV-PG</v>
      </c>
      <c r="R4149" s="5" t="str">
        <f t="shared" si="2"/>
        <v>Hantu Kak Limah</v>
      </c>
      <c r="S4149" s="5" t="str">
        <f>IFERROR(__xludf.DUMMYFUNCTION("""COMPUTED_VALUE"""),"Loaded")</f>
        <v>Loaded</v>
      </c>
      <c r="U4149" s="5" t="str">
        <f>IFERROR(__xludf.DUMMYFUNCTION("""COMPUTED_VALUE"""),"Alison E. Rose")</f>
        <v>Alison E. Rose</v>
      </c>
      <c r="V4149" s="5" t="s">
        <v>22295</v>
      </c>
      <c r="W4149" s="5" t="str">
        <f t="shared" si="3"/>
        <v>Teddy Lussi-Modeste</v>
      </c>
      <c r="X4149" s="5">
        <f t="shared" si="4"/>
        <v>1</v>
      </c>
      <c r="Y4149" s="5" t="str">
        <f>IFERROR(__xludf.DUMMYFUNCTION("REGEXEXTRACT(J4149, ""^\d+"")"),"110")</f>
        <v>110</v>
      </c>
      <c r="Z4149" s="5" t="str">
        <f>IFERROR(__xludf.DUMMYFUNCTION("REGEXEXTRACT(J4149, ""[A-Za-z ]+$"")")," min")</f>
        <v> min</v>
      </c>
      <c r="AA4149" s="5" t="str">
        <f>IFERROR(__xludf.DUMMYFUNCTION("IF(REGEXMATCH(Z4149, ""Season""), ""TV Show"", ""Movie"")"),"Movie")</f>
        <v>Movie</v>
      </c>
    </row>
    <row r="4150">
      <c r="A4150" s="1" t="s">
        <v>22296</v>
      </c>
      <c r="B4150" s="1" t="s">
        <v>27</v>
      </c>
      <c r="C4150" s="1" t="s">
        <v>22297</v>
      </c>
      <c r="D4150" s="1" t="s">
        <v>1117</v>
      </c>
      <c r="E4150" s="1" t="s">
        <v>22298</v>
      </c>
      <c r="F4150" s="1" t="s">
        <v>1064</v>
      </c>
      <c r="G4150" s="1" t="s">
        <v>22293</v>
      </c>
      <c r="H4150" s="1">
        <v>2017.0</v>
      </c>
      <c r="I4150" s="1" t="s">
        <v>42</v>
      </c>
      <c r="J4150" s="1" t="s">
        <v>985</v>
      </c>
      <c r="K4150" s="1" t="s">
        <v>583</v>
      </c>
      <c r="L4150" s="1" t="s">
        <v>22299</v>
      </c>
      <c r="M4150" s="2" t="s">
        <v>12</v>
      </c>
      <c r="N4150" s="4">
        <f t="shared" si="1"/>
        <v>43496</v>
      </c>
      <c r="O4150" s="5" t="str">
        <f>IFERROR(__xludf.DUMMYFUNCTION("IF(REGEXMATCH(TRIM(I4150), ""^\d+\s*min""), ""Unclassified"", IF(I4150 = """", ""NR"", I4150))"),"TV-MA")</f>
        <v>TV-MA</v>
      </c>
      <c r="R4150" s="5" t="str">
        <f t="shared" si="2"/>
        <v>Love Off The Cuff</v>
      </c>
      <c r="S4150" s="5" t="str">
        <f>IFERROR(__xludf.DUMMYFUNCTION("""COMPUTED_VALUE"""),"Lock")</f>
        <v>Lock</v>
      </c>
      <c r="U4150" s="5" t="str">
        <f>IFERROR(__xludf.DUMMYFUNCTION("""COMPUTED_VALUE"""),"Ola Flyum, David Hebditch")</f>
        <v>Ola Flyum, David Hebditch</v>
      </c>
      <c r="V4150" s="5" t="s">
        <v>22300</v>
      </c>
      <c r="W4150" s="5" t="str">
        <f t="shared" si="3"/>
        <v>Tejas Prabha Vijay Deoskar</v>
      </c>
      <c r="X4150" s="5">
        <f t="shared" si="4"/>
        <v>1</v>
      </c>
      <c r="Y4150" s="5" t="str">
        <f>IFERROR(__xludf.DUMMYFUNCTION("REGEXEXTRACT(J4150, ""^\d+"")"),"120")</f>
        <v>120</v>
      </c>
      <c r="Z4150" s="5" t="str">
        <f>IFERROR(__xludf.DUMMYFUNCTION("REGEXEXTRACT(J4150, ""[A-Za-z ]+$"")")," min")</f>
        <v> min</v>
      </c>
      <c r="AA4150" s="5" t="str">
        <f>IFERROR(__xludf.DUMMYFUNCTION("IF(REGEXMATCH(Z4150, ""Season""), ""TV Show"", ""Movie"")"),"Movie")</f>
        <v>Movie</v>
      </c>
    </row>
    <row r="4151">
      <c r="A4151" s="1" t="s">
        <v>22301</v>
      </c>
      <c r="B4151" s="1" t="s">
        <v>37</v>
      </c>
      <c r="C4151" s="1" t="s">
        <v>22302</v>
      </c>
      <c r="E4151" s="1" t="s">
        <v>22303</v>
      </c>
      <c r="G4151" s="1" t="s">
        <v>22293</v>
      </c>
      <c r="H4151" s="1">
        <v>2018.0</v>
      </c>
      <c r="I4151" s="1" t="s">
        <v>206</v>
      </c>
      <c r="J4151" s="1" t="s">
        <v>51</v>
      </c>
      <c r="K4151" s="1" t="s">
        <v>290</v>
      </c>
      <c r="L4151" s="1" t="s">
        <v>22304</v>
      </c>
      <c r="M4151" s="2" t="s">
        <v>12</v>
      </c>
      <c r="N4151" s="4">
        <f t="shared" si="1"/>
        <v>43496</v>
      </c>
      <c r="O4151" s="5" t="str">
        <f>IFERROR(__xludf.DUMMYFUNCTION("IF(REGEXMATCH(TRIM(I4151), ""^\d+\s*min""), ""Unclassified"", IF(I4151 = """", ""NR"", I4151))"),"TV-Y")</f>
        <v>TV-Y</v>
      </c>
      <c r="R4151" s="5" t="str">
        <f t="shared" si="2"/>
        <v>Paprika</v>
      </c>
      <c r="S4151" s="5" t="str">
        <f>IFERROR(__xludf.DUMMYFUNCTION("""COMPUTED_VALUE"""),"Lock Your Girls In")</f>
        <v>Lock Your Girls In</v>
      </c>
      <c r="U4151" s="5" t="str">
        <f>IFERROR(__xludf.DUMMYFUNCTION("""COMPUTED_VALUE"""),"Akiva Goldsman")</f>
        <v>Akiva Goldsman</v>
      </c>
      <c r="V4151" s="5" t="s">
        <v>22305</v>
      </c>
      <c r="W4151" s="5" t="str">
        <f t="shared" si="3"/>
        <v>Tekin Girgin</v>
      </c>
      <c r="X4151" s="5">
        <f t="shared" si="4"/>
        <v>1</v>
      </c>
      <c r="Y4151" s="5" t="str">
        <f>IFERROR(__xludf.DUMMYFUNCTION("REGEXEXTRACT(J4151, ""^\d+"")"),"1")</f>
        <v>1</v>
      </c>
      <c r="Z4151" s="5" t="str">
        <f>IFERROR(__xludf.DUMMYFUNCTION("REGEXEXTRACT(J4151, ""[A-Za-z ]+$"")")," Season")</f>
        <v> Season</v>
      </c>
      <c r="AA4151" s="5" t="str">
        <f>IFERROR(__xludf.DUMMYFUNCTION("IF(REGEXMATCH(Z4151, ""Season""), ""TV Show"", ""Movie"")"),"TV Show")</f>
        <v>TV Show</v>
      </c>
    </row>
    <row r="4152">
      <c r="A4152" s="1" t="s">
        <v>22306</v>
      </c>
      <c r="B4152" s="1" t="s">
        <v>27</v>
      </c>
      <c r="C4152" s="1" t="s">
        <v>22307</v>
      </c>
      <c r="D4152" s="1" t="s">
        <v>1558</v>
      </c>
      <c r="E4152" s="1" t="s">
        <v>22308</v>
      </c>
      <c r="G4152" s="1" t="s">
        <v>22309</v>
      </c>
      <c r="H4152" s="1">
        <v>2010.0</v>
      </c>
      <c r="I4152" s="1" t="s">
        <v>97</v>
      </c>
      <c r="J4152" s="1" t="s">
        <v>16845</v>
      </c>
      <c r="K4152" s="1" t="s">
        <v>128</v>
      </c>
      <c r="L4152" s="1" t="s">
        <v>22310</v>
      </c>
      <c r="M4152" s="2" t="s">
        <v>12</v>
      </c>
      <c r="N4152" s="4">
        <f t="shared" si="1"/>
        <v>43495</v>
      </c>
      <c r="O4152" s="5" t="str">
        <f>IFERROR(__xludf.DUMMYFUNCTION("IF(REGEXMATCH(TRIM(I4152), ""^\d+\s*min""), ""Unclassified"", IF(I4152 = """", ""NR"", I4152))"),"TV-14")</f>
        <v>TV-14</v>
      </c>
      <c r="R4152" s="5" t="str">
        <f t="shared" si="2"/>
        <v>Maharaja: The Story Of Ranjit Singh</v>
      </c>
      <c r="S4152" s="5" t="str">
        <f>IFERROR(__xludf.DUMMYFUNCTION("""COMPUTED_VALUE"""),"Lock, Stock And Two Smoking Barrels")</f>
        <v>Lock, Stock And Two Smoking Barrels</v>
      </c>
      <c r="U4152" s="5" t="str">
        <f>IFERROR(__xludf.DUMMYFUNCTION("""COMPUTED_VALUE"""),"Arjun Gourisaria, Moinak Biswas")</f>
        <v>Arjun Gourisaria, Moinak Biswas</v>
      </c>
      <c r="V4152" s="5" t="s">
        <v>19276</v>
      </c>
      <c r="W4152" s="5" t="str">
        <f t="shared" si="3"/>
        <v>Teng Huatao</v>
      </c>
      <c r="X4152" s="5">
        <f t="shared" si="4"/>
        <v>1</v>
      </c>
      <c r="Y4152" s="5" t="str">
        <f>IFERROR(__xludf.DUMMYFUNCTION("REGEXEXTRACT(J4152, ""^\d+"")"),"56")</f>
        <v>56</v>
      </c>
      <c r="Z4152" s="5" t="str">
        <f>IFERROR(__xludf.DUMMYFUNCTION("REGEXEXTRACT(J4152, ""[A-Za-z ]+$"")")," min")</f>
        <v> min</v>
      </c>
      <c r="AA4152" s="5" t="str">
        <f>IFERROR(__xludf.DUMMYFUNCTION("IF(REGEXMATCH(Z4152, ""Season""), ""TV Show"", ""Movie"")"),"Movie")</f>
        <v>Movie</v>
      </c>
    </row>
    <row r="4153">
      <c r="A4153" s="1" t="s">
        <v>22311</v>
      </c>
      <c r="B4153" s="1" t="s">
        <v>27</v>
      </c>
      <c r="C4153" s="1" t="s">
        <v>22312</v>
      </c>
      <c r="D4153" s="1" t="s">
        <v>17541</v>
      </c>
      <c r="E4153" s="1" t="s">
        <v>22313</v>
      </c>
      <c r="F4153" s="1" t="s">
        <v>22314</v>
      </c>
      <c r="G4153" s="1" t="s">
        <v>22309</v>
      </c>
      <c r="H4153" s="1">
        <v>2010.0</v>
      </c>
      <c r="I4153" s="1" t="s">
        <v>97</v>
      </c>
      <c r="J4153" s="1" t="s">
        <v>127</v>
      </c>
      <c r="K4153" s="1" t="s">
        <v>1429</v>
      </c>
      <c r="L4153" s="1" t="s">
        <v>22315</v>
      </c>
      <c r="M4153" s="2" t="s">
        <v>12</v>
      </c>
      <c r="N4153" s="4">
        <f t="shared" si="1"/>
        <v>43495</v>
      </c>
      <c r="O4153" s="5" t="str">
        <f>IFERROR(__xludf.DUMMYFUNCTION("IF(REGEXMATCH(TRIM(I4153), ""^\d+\s*min""), ""Unclassified"", IF(I4153 = """", ""NR"", I4153))"),"TV-14")</f>
        <v>TV-14</v>
      </c>
      <c r="R4153" s="5" t="str">
        <f t="shared" si="2"/>
        <v>Virsa</v>
      </c>
      <c r="S4153" s="5" t="str">
        <f>IFERROR(__xludf.DUMMYFUNCTION("""COMPUTED_VALUE"""),"Locke")</f>
        <v>Locke</v>
      </c>
      <c r="U4153" s="5" t="str">
        <f>IFERROR(__xludf.DUMMYFUNCTION("""COMPUTED_VALUE"""),"Chatchai Katenut, Manussa Vorasingha, Tanwarin Sukkhapisit, Poj Arnon")</f>
        <v>Chatchai Katenut, Manussa Vorasingha, Tanwarin Sukkhapisit, Poj Arnon</v>
      </c>
      <c r="V4153" s="5" t="s">
        <v>488</v>
      </c>
      <c r="W4153" s="5" t="str">
        <f t="shared" si="3"/>
        <v>Tensai Okamura</v>
      </c>
      <c r="X4153" s="5">
        <f t="shared" si="4"/>
        <v>2</v>
      </c>
      <c r="Y4153" s="5" t="str">
        <f>IFERROR(__xludf.DUMMYFUNCTION("REGEXEXTRACT(J4153, ""^\d+"")"),"127")</f>
        <v>127</v>
      </c>
      <c r="Z4153" s="5" t="str">
        <f>IFERROR(__xludf.DUMMYFUNCTION("REGEXEXTRACT(J4153, ""[A-Za-z ]+$"")")," min")</f>
        <v> min</v>
      </c>
      <c r="AA4153" s="5" t="str">
        <f>IFERROR(__xludf.DUMMYFUNCTION("IF(REGEXMATCH(Z4153, ""Season""), ""TV Show"", ""Movie"")"),"Movie")</f>
        <v>Movie</v>
      </c>
    </row>
    <row r="4154">
      <c r="A4154" s="1" t="s">
        <v>22316</v>
      </c>
      <c r="B4154" s="1" t="s">
        <v>27</v>
      </c>
      <c r="C4154" s="1" t="s">
        <v>22317</v>
      </c>
      <c r="D4154" s="1" t="s">
        <v>16970</v>
      </c>
      <c r="E4154" s="1" t="s">
        <v>22318</v>
      </c>
      <c r="F4154" s="1" t="s">
        <v>63</v>
      </c>
      <c r="G4154" s="1" t="s">
        <v>22319</v>
      </c>
      <c r="H4154" s="1">
        <v>2017.0</v>
      </c>
      <c r="I4154" s="1" t="s">
        <v>97</v>
      </c>
      <c r="J4154" s="1" t="s">
        <v>2699</v>
      </c>
      <c r="K4154" s="1" t="s">
        <v>89</v>
      </c>
      <c r="L4154" s="1" t="s">
        <v>22320</v>
      </c>
      <c r="M4154" s="2" t="s">
        <v>12</v>
      </c>
      <c r="N4154" s="4">
        <f t="shared" si="1"/>
        <v>43494</v>
      </c>
      <c r="O4154" s="5" t="str">
        <f>IFERROR(__xludf.DUMMYFUNCTION("IF(REGEXMATCH(TRIM(I4154), ""^\d+\s*min""), ""Unclassified"", IF(I4154 = """", ""NR"", I4154))"),"TV-14")</f>
        <v>TV-14</v>
      </c>
      <c r="R4154" s="5" t="str">
        <f t="shared" si="2"/>
        <v>Bhasmasur</v>
      </c>
      <c r="S4154" s="5" t="str">
        <f>IFERROR(__xludf.DUMMYFUNCTION("""COMPUTED_VALUE"""),"Locke &amp; Key")</f>
        <v>Locke &amp; Key</v>
      </c>
      <c r="U4154" s="5" t="str">
        <f>IFERROR(__xludf.DUMMYFUNCTION("""COMPUTED_VALUE"""),"Jon J. Whelan")</f>
        <v>Jon J. Whelan</v>
      </c>
      <c r="V4154" s="5" t="s">
        <v>22321</v>
      </c>
      <c r="W4154" s="5" t="str">
        <f t="shared" si="3"/>
        <v>Teo Konuralp</v>
      </c>
      <c r="X4154" s="5">
        <f t="shared" si="4"/>
        <v>1</v>
      </c>
      <c r="Y4154" s="5" t="str">
        <f>IFERROR(__xludf.DUMMYFUNCTION("REGEXEXTRACT(J4154, ""^\d+"")"),"74")</f>
        <v>74</v>
      </c>
      <c r="Z4154" s="5" t="str">
        <f>IFERROR(__xludf.DUMMYFUNCTION("REGEXEXTRACT(J4154, ""[A-Za-z ]+$"")")," min")</f>
        <v> min</v>
      </c>
      <c r="AA4154" s="5" t="str">
        <f>IFERROR(__xludf.DUMMYFUNCTION("IF(REGEXMATCH(Z4154, ""Season""), ""TV Show"", ""Movie"")"),"Movie")</f>
        <v>Movie</v>
      </c>
    </row>
    <row r="4155">
      <c r="A4155" s="1" t="s">
        <v>22322</v>
      </c>
      <c r="B4155" s="1" t="s">
        <v>27</v>
      </c>
      <c r="C4155" s="1" t="s">
        <v>22323</v>
      </c>
      <c r="D4155" s="1" t="s">
        <v>14480</v>
      </c>
      <c r="E4155" s="1" t="s">
        <v>7050</v>
      </c>
      <c r="G4155" s="1" t="s">
        <v>22319</v>
      </c>
      <c r="H4155" s="1">
        <v>2019.0</v>
      </c>
      <c r="I4155" s="1" t="s">
        <v>97</v>
      </c>
      <c r="J4155" s="1" t="s">
        <v>79</v>
      </c>
      <c r="K4155" s="1" t="s">
        <v>1839</v>
      </c>
      <c r="L4155" s="1" t="s">
        <v>22324</v>
      </c>
      <c r="M4155" s="2" t="s">
        <v>12</v>
      </c>
      <c r="N4155" s="4">
        <f t="shared" si="1"/>
        <v>43494</v>
      </c>
      <c r="O4155" s="5" t="str">
        <f>IFERROR(__xludf.DUMMYFUNCTION("IF(REGEXMATCH(TRIM(I4155), ""^\d+\s*min""), ""Unclassified"", IF(I4155 = """", ""NR"", I4155))"),"TV-14")</f>
        <v>TV-14</v>
      </c>
      <c r="R4155" s="5" t="str">
        <f t="shared" si="2"/>
        <v>Gabriel "Fluffy" Iglesias: One Show Fits All</v>
      </c>
      <c r="S4155" s="5" t="str">
        <f>IFERROR(__xludf.DUMMYFUNCTION("""COMPUTED_VALUE"""),"Locked On You")</f>
        <v>Locked On You</v>
      </c>
      <c r="U4155" s="5" t="str">
        <f>IFERROR(__xludf.DUMMYFUNCTION("""COMPUTED_VALUE"""),"Alex Holmes")</f>
        <v>Alex Holmes</v>
      </c>
      <c r="V4155" s="5" t="s">
        <v>22325</v>
      </c>
      <c r="W4155" s="5" t="str">
        <f t="shared" si="3"/>
        <v>Terri Randall</v>
      </c>
      <c r="X4155" s="5">
        <f t="shared" si="4"/>
        <v>1</v>
      </c>
      <c r="Y4155" s="5" t="str">
        <f>IFERROR(__xludf.DUMMYFUNCTION("REGEXEXTRACT(J4155, ""^\d+"")"),"91")</f>
        <v>91</v>
      </c>
      <c r="Z4155" s="5" t="str">
        <f>IFERROR(__xludf.DUMMYFUNCTION("REGEXEXTRACT(J4155, ""[A-Za-z ]+$"")")," min")</f>
        <v> min</v>
      </c>
      <c r="AA4155" s="5" t="str">
        <f>IFERROR(__xludf.DUMMYFUNCTION("IF(REGEXMATCH(Z4155, ""Season""), ""TV Show"", ""Movie"")"),"Movie")</f>
        <v>Movie</v>
      </c>
    </row>
    <row r="4156">
      <c r="A4156" s="1" t="s">
        <v>22326</v>
      </c>
      <c r="B4156" s="1" t="s">
        <v>27</v>
      </c>
      <c r="C4156" s="1" t="s">
        <v>22327</v>
      </c>
      <c r="D4156" s="1" t="s">
        <v>4044</v>
      </c>
      <c r="E4156" s="1" t="s">
        <v>22328</v>
      </c>
      <c r="F4156" s="1" t="s">
        <v>749</v>
      </c>
      <c r="G4156" s="1" t="s">
        <v>22319</v>
      </c>
      <c r="H4156" s="1">
        <v>2018.0</v>
      </c>
      <c r="I4156" s="1" t="s">
        <v>42</v>
      </c>
      <c r="J4156" s="1" t="s">
        <v>4242</v>
      </c>
      <c r="K4156" s="1" t="s">
        <v>128</v>
      </c>
      <c r="L4156" s="1" t="s">
        <v>22329</v>
      </c>
      <c r="M4156" s="2" t="s">
        <v>12</v>
      </c>
      <c r="N4156" s="4">
        <f t="shared" si="1"/>
        <v>43494</v>
      </c>
      <c r="O4156" s="5" t="str">
        <f>IFERROR(__xludf.DUMMYFUNCTION("IF(REGEXMATCH(TRIM(I4156), ""^\d+\s*min""), ""Unclassified"", IF(I4156 = """", ""NR"", I4156))"),"TV-MA")</f>
        <v>TV-MA</v>
      </c>
      <c r="R4156" s="5" t="str">
        <f t="shared" si="2"/>
        <v>High Society</v>
      </c>
      <c r="S4156" s="5" t="str">
        <f>IFERROR(__xludf.DUMMYFUNCTION("""COMPUTED_VALUE"""),"Locked Up")</f>
        <v>Locked Up</v>
      </c>
      <c r="U4156" s="5" t="str">
        <f>IFERROR(__xludf.DUMMYFUNCTION("""COMPUTED_VALUE"""),"Raj B. Shetty")</f>
        <v>Raj B. Shetty</v>
      </c>
      <c r="V4156" s="5" t="s">
        <v>10291</v>
      </c>
      <c r="W4156" s="5" t="str">
        <f t="shared" si="3"/>
        <v>Terrie Samundra</v>
      </c>
      <c r="X4156" s="5">
        <f t="shared" si="4"/>
        <v>1</v>
      </c>
      <c r="Y4156" s="5" t="str">
        <f>IFERROR(__xludf.DUMMYFUNCTION("REGEXEXTRACT(J4156, ""^\d+"")"),"137")</f>
        <v>137</v>
      </c>
      <c r="Z4156" s="5" t="str">
        <f>IFERROR(__xludf.DUMMYFUNCTION("REGEXEXTRACT(J4156, ""[A-Za-z ]+$"")")," min")</f>
        <v> min</v>
      </c>
      <c r="AA4156" s="5" t="str">
        <f>IFERROR(__xludf.DUMMYFUNCTION("IF(REGEXMATCH(Z4156, ""Season""), ""TV Show"", ""Movie"")"),"Movie")</f>
        <v>Movie</v>
      </c>
    </row>
    <row r="4157">
      <c r="A4157" s="1" t="s">
        <v>22330</v>
      </c>
      <c r="B4157" s="1" t="s">
        <v>27</v>
      </c>
      <c r="C4157" s="1" t="s">
        <v>22331</v>
      </c>
      <c r="D4157" s="1" t="s">
        <v>22332</v>
      </c>
      <c r="E4157" s="1" t="s">
        <v>22333</v>
      </c>
      <c r="F4157" s="1" t="s">
        <v>784</v>
      </c>
      <c r="G4157" s="1" t="s">
        <v>22319</v>
      </c>
      <c r="H4157" s="1">
        <v>2018.0</v>
      </c>
      <c r="I4157" s="1" t="s">
        <v>42</v>
      </c>
      <c r="J4157" s="1" t="s">
        <v>1144</v>
      </c>
      <c r="K4157" s="1" t="s">
        <v>5704</v>
      </c>
      <c r="L4157" s="1" t="s">
        <v>22334</v>
      </c>
      <c r="M4157" s="2" t="s">
        <v>12</v>
      </c>
      <c r="N4157" s="4">
        <f t="shared" si="1"/>
        <v>43494</v>
      </c>
      <c r="O4157" s="5" t="str">
        <f>IFERROR(__xludf.DUMMYFUNCTION("IF(REGEXMATCH(TRIM(I4157), ""^\d+\s*min""), ""Unclassified"", IF(I4157 = """", ""NR"", I4157))"),"TV-MA")</f>
        <v>TV-MA</v>
      </c>
      <c r="R4157" s="5" t="str">
        <f t="shared" si="2"/>
        <v>Up Among The Stars</v>
      </c>
      <c r="S4157" s="5" t="str">
        <f>IFERROR(__xludf.DUMMYFUNCTION("""COMPUTED_VALUE"""),"Lockout")</f>
        <v>Lockout</v>
      </c>
      <c r="U4157" s="5" t="str">
        <f>IFERROR(__xludf.DUMMYFUNCTION("""COMPUTED_VALUE"""),"James Sweeney")</f>
        <v>James Sweeney</v>
      </c>
      <c r="V4157" s="5" t="s">
        <v>22335</v>
      </c>
      <c r="W4157" s="5" t="str">
        <f t="shared" si="3"/>
        <v>Terry Gilliam</v>
      </c>
      <c r="X4157" s="5">
        <f t="shared" si="4"/>
        <v>3</v>
      </c>
      <c r="Y4157" s="5" t="str">
        <f>IFERROR(__xludf.DUMMYFUNCTION("REGEXEXTRACT(J4157, ""^\d+"")"),"86")</f>
        <v>86</v>
      </c>
      <c r="Z4157" s="5" t="str">
        <f>IFERROR(__xludf.DUMMYFUNCTION("REGEXEXTRACT(J4157, ""[A-Za-z ]+$"")")," min")</f>
        <v> min</v>
      </c>
      <c r="AA4157" s="5" t="str">
        <f>IFERROR(__xludf.DUMMYFUNCTION("IF(REGEXMATCH(Z4157, ""Season""), ""TV Show"", ""Movie"")"),"Movie")</f>
        <v>Movie</v>
      </c>
    </row>
    <row r="4158">
      <c r="A4158" s="1" t="s">
        <v>22336</v>
      </c>
      <c r="B4158" s="1" t="s">
        <v>27</v>
      </c>
      <c r="C4158" s="1" t="s">
        <v>22337</v>
      </c>
      <c r="D4158" s="1" t="s">
        <v>336</v>
      </c>
      <c r="E4158" s="1" t="s">
        <v>22338</v>
      </c>
      <c r="G4158" s="1" t="s">
        <v>22339</v>
      </c>
      <c r="H4158" s="1">
        <v>2018.0</v>
      </c>
      <c r="I4158" s="1" t="s">
        <v>42</v>
      </c>
      <c r="J4158" s="1" t="s">
        <v>256</v>
      </c>
      <c r="K4158" s="1" t="s">
        <v>34</v>
      </c>
      <c r="L4158" s="1" t="s">
        <v>22340</v>
      </c>
      <c r="M4158" s="2" t="s">
        <v>12</v>
      </c>
      <c r="N4158" s="4">
        <f t="shared" si="1"/>
        <v>43493</v>
      </c>
      <c r="O4158" s="5" t="str">
        <f>IFERROR(__xludf.DUMMYFUNCTION("IF(REGEXMATCH(TRIM(I4158), ""^\d+\s*min""), ""Unclassified"", IF(I4158 = """", ""NR"", I4158))"),"TV-MA")</f>
        <v>TV-MA</v>
      </c>
      <c r="R4158" s="5" t="str">
        <f t="shared" si="2"/>
        <v>Alt-Right: Age Of Rage</v>
      </c>
      <c r="S4158" s="5" t="str">
        <f>IFERROR(__xludf.DUMMYFUNCTION("""COMPUTED_VALUE"""),"Loco Love")</f>
        <v>Loco Love</v>
      </c>
      <c r="U4158" s="5" t="str">
        <f>IFERROR(__xludf.DUMMYFUNCTION("""COMPUTED_VALUE"""),"Rowan Athale")</f>
        <v>Rowan Athale</v>
      </c>
      <c r="V4158" s="5" t="s">
        <v>22341</v>
      </c>
      <c r="W4158" s="5" t="str">
        <f t="shared" si="3"/>
        <v>Terry Gilliam, Terry Jones</v>
      </c>
      <c r="X4158" s="5">
        <f t="shared" si="4"/>
        <v>1</v>
      </c>
      <c r="Y4158" s="5" t="str">
        <f>IFERROR(__xludf.DUMMYFUNCTION("REGEXEXTRACT(J4158, ""^\d+"")"),"106")</f>
        <v>106</v>
      </c>
      <c r="Z4158" s="5" t="str">
        <f>IFERROR(__xludf.DUMMYFUNCTION("REGEXEXTRACT(J4158, ""[A-Za-z ]+$"")")," min")</f>
        <v> min</v>
      </c>
      <c r="AA4158" s="5" t="str">
        <f>IFERROR(__xludf.DUMMYFUNCTION("IF(REGEXMATCH(Z4158, ""Season""), ""TV Show"", ""Movie"")"),"Movie")</f>
        <v>Movie</v>
      </c>
    </row>
    <row r="4159">
      <c r="A4159" s="1" t="s">
        <v>22342</v>
      </c>
      <c r="B4159" s="1" t="s">
        <v>27</v>
      </c>
      <c r="C4159" s="1" t="s">
        <v>22343</v>
      </c>
      <c r="D4159" s="1" t="s">
        <v>7464</v>
      </c>
      <c r="E4159" s="1" t="s">
        <v>22344</v>
      </c>
      <c r="F4159" s="1" t="s">
        <v>22345</v>
      </c>
      <c r="G4159" s="1" t="s">
        <v>22339</v>
      </c>
      <c r="H4159" s="1">
        <v>2012.0</v>
      </c>
      <c r="I4159" s="1" t="s">
        <v>97</v>
      </c>
      <c r="J4159" s="1" t="s">
        <v>88</v>
      </c>
      <c r="K4159" s="1" t="s">
        <v>679</v>
      </c>
      <c r="L4159" s="1" t="s">
        <v>22346</v>
      </c>
      <c r="M4159" s="2" t="s">
        <v>12</v>
      </c>
      <c r="N4159" s="4">
        <f t="shared" si="1"/>
        <v>43493</v>
      </c>
      <c r="O4159" s="5" t="str">
        <f>IFERROR(__xludf.DUMMYFUNCTION("IF(REGEXMATCH(TRIM(I4159), ""^\d+\s*min""), ""Unclassified"", IF(I4159 = """", ""NR"", I4159))"),"TV-14")</f>
        <v>TV-14</v>
      </c>
      <c r="R4159" s="5" t="str">
        <f t="shared" si="2"/>
        <v>Habibie &amp; Ainun</v>
      </c>
      <c r="S4159" s="5" t="str">
        <f>IFERROR(__xludf.DUMMYFUNCTION("""COMPUTED_VALUE"""),"Locombianos")</f>
        <v>Locombianos</v>
      </c>
      <c r="U4159" s="5" t="str">
        <f>IFERROR(__xludf.DUMMYFUNCTION("""COMPUTED_VALUE"""),"Baz Luhrmann")</f>
        <v>Baz Luhrmann</v>
      </c>
      <c r="V4159" s="5" t="s">
        <v>22347</v>
      </c>
      <c r="W4159" s="5" t="str">
        <f t="shared" si="3"/>
        <v>Terry Hughes, Ian Macnaughton</v>
      </c>
      <c r="X4159" s="5">
        <f t="shared" si="4"/>
        <v>1</v>
      </c>
      <c r="Y4159" s="5" t="str">
        <f>IFERROR(__xludf.DUMMYFUNCTION("REGEXEXTRACT(J4159, ""^\d+"")"),"125")</f>
        <v>125</v>
      </c>
      <c r="Z4159" s="5" t="str">
        <f>IFERROR(__xludf.DUMMYFUNCTION("REGEXEXTRACT(J4159, ""[A-Za-z ]+$"")")," min")</f>
        <v> min</v>
      </c>
      <c r="AA4159" s="5" t="str">
        <f>IFERROR(__xludf.DUMMYFUNCTION("IF(REGEXMATCH(Z4159, ""Season""), ""TV Show"", ""Movie"")"),"Movie")</f>
        <v>Movie</v>
      </c>
    </row>
    <row r="4160">
      <c r="A4160" s="1" t="s">
        <v>22348</v>
      </c>
      <c r="B4160" s="1" t="s">
        <v>27</v>
      </c>
      <c r="C4160" s="1" t="s">
        <v>22349</v>
      </c>
      <c r="D4160" s="1" t="s">
        <v>14509</v>
      </c>
      <c r="E4160" s="1" t="s">
        <v>22350</v>
      </c>
      <c r="F4160" s="1" t="s">
        <v>63</v>
      </c>
      <c r="G4160" s="1" t="s">
        <v>22339</v>
      </c>
      <c r="H4160" s="1">
        <v>2018.0</v>
      </c>
      <c r="I4160" s="1" t="s">
        <v>42</v>
      </c>
      <c r="J4160" s="1" t="s">
        <v>835</v>
      </c>
      <c r="K4160" s="1" t="s">
        <v>89</v>
      </c>
      <c r="L4160" s="1" t="s">
        <v>22351</v>
      </c>
      <c r="M4160" s="2" t="s">
        <v>12</v>
      </c>
      <c r="N4160" s="4">
        <f t="shared" si="1"/>
        <v>43493</v>
      </c>
      <c r="O4160" s="5" t="str">
        <f>IFERROR(__xludf.DUMMYFUNCTION("IF(REGEXMATCH(TRIM(I4160), ""^\d+\s*min""), ""Unclassified"", IF(I4160 = """", ""NR"", I4160))"),"TV-MA")</f>
        <v>TV-MA</v>
      </c>
      <c r="R4160" s="5" t="str">
        <f t="shared" si="2"/>
        <v>Nathicharami</v>
      </c>
      <c r="S4160" s="5" t="str">
        <f>IFERROR(__xludf.DUMMYFUNCTION("""COMPUTED_VALUE"""),"Locust")</f>
        <v>Locust</v>
      </c>
      <c r="U4160" s="5" t="str">
        <f>IFERROR(__xludf.DUMMYFUNCTION("""COMPUTED_VALUE"""),"Ester Gould, Reijer Zwaan")</f>
        <v>Ester Gould, Reijer Zwaan</v>
      </c>
      <c r="V4160" s="5" t="s">
        <v>22352</v>
      </c>
      <c r="W4160" s="5" t="str">
        <f t="shared" si="3"/>
        <v>Terry Jones</v>
      </c>
      <c r="X4160" s="5">
        <f t="shared" si="4"/>
        <v>1</v>
      </c>
      <c r="Y4160" s="5" t="str">
        <f>IFERROR(__xludf.DUMMYFUNCTION("REGEXEXTRACT(J4160, ""^\d+"")"),"114")</f>
        <v>114</v>
      </c>
      <c r="Z4160" s="5" t="str">
        <f>IFERROR(__xludf.DUMMYFUNCTION("REGEXEXTRACT(J4160, ""[A-Za-z ]+$"")")," min")</f>
        <v> min</v>
      </c>
      <c r="AA4160" s="5" t="str">
        <f>IFERROR(__xludf.DUMMYFUNCTION("IF(REGEXMATCH(Z4160, ""Season""), ""TV Show"", ""Movie"")"),"Movie")</f>
        <v>Movie</v>
      </c>
    </row>
    <row r="4161">
      <c r="A4161" s="1" t="s">
        <v>22353</v>
      </c>
      <c r="B4161" s="1" t="s">
        <v>27</v>
      </c>
      <c r="C4161" s="1" t="s">
        <v>22354</v>
      </c>
      <c r="D4161" s="1" t="s">
        <v>8317</v>
      </c>
      <c r="E4161" s="1" t="s">
        <v>22355</v>
      </c>
      <c r="F4161" s="1" t="s">
        <v>2873</v>
      </c>
      <c r="G4161" s="1" t="s">
        <v>22339</v>
      </c>
      <c r="H4161" s="1">
        <v>2016.0</v>
      </c>
      <c r="I4161" s="1" t="s">
        <v>97</v>
      </c>
      <c r="J4161" s="1" t="s">
        <v>820</v>
      </c>
      <c r="K4161" s="1" t="s">
        <v>128</v>
      </c>
      <c r="L4161" s="1" t="s">
        <v>22356</v>
      </c>
      <c r="M4161" s="2" t="s">
        <v>12</v>
      </c>
      <c r="N4161" s="4">
        <f t="shared" si="1"/>
        <v>43493</v>
      </c>
      <c r="O4161" s="5" t="str">
        <f>IFERROR(__xludf.DUMMYFUNCTION("IF(REGEXMATCH(TRIM(I4161), ""^\d+\s*min""), ""Unclassified"", IF(I4161 = """", ""NR"", I4161))"),"TV-14")</f>
        <v>TV-14</v>
      </c>
      <c r="R4161" s="5" t="str">
        <f t="shared" si="2"/>
        <v>Rudy Habibie</v>
      </c>
      <c r="S4161" s="5" t="str">
        <f>IFERROR(__xludf.DUMMYFUNCTION("""COMPUTED_VALUE"""),"Loev")</f>
        <v>Loev</v>
      </c>
      <c r="U4161" s="5" t="str">
        <f>IFERROR(__xludf.DUMMYFUNCTION("""COMPUTED_VALUE"""),"Andrew Bergman")</f>
        <v>Andrew Bergman</v>
      </c>
      <c r="V4161" s="5" t="s">
        <v>22357</v>
      </c>
      <c r="W4161" s="5" t="str">
        <f t="shared" si="3"/>
        <v>Terry Loane</v>
      </c>
      <c r="X4161" s="5">
        <f t="shared" si="4"/>
        <v>1</v>
      </c>
      <c r="Y4161" s="5" t="str">
        <f>IFERROR(__xludf.DUMMYFUNCTION("REGEXEXTRACT(J4161, ""^\d+"")"),"143")</f>
        <v>143</v>
      </c>
      <c r="Z4161" s="5" t="str">
        <f>IFERROR(__xludf.DUMMYFUNCTION("REGEXEXTRACT(J4161, ""[A-Za-z ]+$"")")," min")</f>
        <v> min</v>
      </c>
      <c r="AA4161" s="5" t="str">
        <f>IFERROR(__xludf.DUMMYFUNCTION("IF(REGEXMATCH(Z4161, ""Season""), ""TV Show"", ""Movie"")"),"Movie")</f>
        <v>Movie</v>
      </c>
    </row>
    <row r="4162">
      <c r="A4162" s="1" t="s">
        <v>22358</v>
      </c>
      <c r="B4162" s="1" t="s">
        <v>27</v>
      </c>
      <c r="C4162" s="1" t="s">
        <v>22359</v>
      </c>
      <c r="D4162" s="1" t="s">
        <v>13240</v>
      </c>
      <c r="E4162" s="1" t="s">
        <v>22360</v>
      </c>
      <c r="F4162" s="1" t="s">
        <v>2873</v>
      </c>
      <c r="G4162" s="1" t="s">
        <v>22339</v>
      </c>
      <c r="H4162" s="1">
        <v>2015.0</v>
      </c>
      <c r="I4162" s="1" t="s">
        <v>97</v>
      </c>
      <c r="J4162" s="1" t="s">
        <v>941</v>
      </c>
      <c r="K4162" s="1" t="s">
        <v>3585</v>
      </c>
      <c r="L4162" s="1" t="s">
        <v>22361</v>
      </c>
      <c r="M4162" s="2" t="s">
        <v>12</v>
      </c>
      <c r="N4162" s="4">
        <f t="shared" si="1"/>
        <v>43493</v>
      </c>
      <c r="O4162" s="5" t="str">
        <f>IFERROR(__xludf.DUMMYFUNCTION("IF(REGEXMATCH(TRIM(I4162), ""^\d+\s*min""), ""Unclassified"", IF(I4162 = """", ""NR"", I4162))"),"TV-14")</f>
        <v>TV-14</v>
      </c>
      <c r="R4162" s="5" t="str">
        <f t="shared" si="2"/>
        <v>Surga Yang Tak Dirindukan</v>
      </c>
      <c r="S4162" s="5" t="str">
        <f>IFERROR(__xludf.DUMMYFUNCTION("""COMPUTED_VALUE"""),"Logan'S Run")</f>
        <v>Logan'S Run</v>
      </c>
      <c r="U4162" s="5" t="str">
        <f>IFERROR(__xludf.DUMMYFUNCTION("""COMPUTED_VALUE"""),"Afonso Poyart")</f>
        <v>Afonso Poyart</v>
      </c>
      <c r="V4162" s="5" t="s">
        <v>17037</v>
      </c>
      <c r="W4162" s="5" t="str">
        <f t="shared" si="3"/>
        <v>Tetsuo Yajima</v>
      </c>
      <c r="X4162" s="5">
        <f t="shared" si="4"/>
        <v>1</v>
      </c>
      <c r="Y4162" s="5" t="str">
        <f>IFERROR(__xludf.DUMMYFUNCTION("REGEXEXTRACT(J4162, ""^\d+"")"),"121")</f>
        <v>121</v>
      </c>
      <c r="Z4162" s="5" t="str">
        <f>IFERROR(__xludf.DUMMYFUNCTION("REGEXEXTRACT(J4162, ""[A-Za-z ]+$"")")," min")</f>
        <v> min</v>
      </c>
      <c r="AA4162" s="5" t="str">
        <f>IFERROR(__xludf.DUMMYFUNCTION("IF(REGEXMATCH(Z4162, ""Season""), ""TV Show"", ""Movie"")"),"Movie")</f>
        <v>Movie</v>
      </c>
    </row>
    <row r="4163">
      <c r="A4163" s="1" t="s">
        <v>22362</v>
      </c>
      <c r="B4163" s="1" t="s">
        <v>27</v>
      </c>
      <c r="C4163" s="1" t="s">
        <v>22363</v>
      </c>
      <c r="D4163" s="1" t="s">
        <v>9012</v>
      </c>
      <c r="E4163" s="1" t="s">
        <v>22364</v>
      </c>
      <c r="F4163" s="1" t="s">
        <v>2873</v>
      </c>
      <c r="G4163" s="1" t="s">
        <v>22339</v>
      </c>
      <c r="H4163" s="1">
        <v>2017.0</v>
      </c>
      <c r="I4163" s="1" t="s">
        <v>97</v>
      </c>
      <c r="J4163" s="1" t="s">
        <v>804</v>
      </c>
      <c r="K4163" s="1" t="s">
        <v>3585</v>
      </c>
      <c r="L4163" s="1" t="s">
        <v>22365</v>
      </c>
      <c r="M4163" s="2" t="s">
        <v>12</v>
      </c>
      <c r="N4163" s="4">
        <f t="shared" si="1"/>
        <v>43493</v>
      </c>
      <c r="O4163" s="5" t="str">
        <f>IFERROR(__xludf.DUMMYFUNCTION("IF(REGEXMATCH(TRIM(I4163), ""^\d+\s*min""), ""Unclassified"", IF(I4163 = """", ""NR"", I4163))"),"TV-14")</f>
        <v>TV-14</v>
      </c>
      <c r="R4163" s="5" t="str">
        <f t="shared" si="2"/>
        <v>Surga Yang Tak Dirindukan 2</v>
      </c>
      <c r="S4163" s="5" t="str">
        <f>IFERROR(__xludf.DUMMYFUNCTION("""COMPUTED_VALUE"""),"Lokillo: Nothing'S The Same")</f>
        <v>Lokillo: Nothing'S The Same</v>
      </c>
      <c r="U4163" s="5" t="str">
        <f>IFERROR(__xludf.DUMMYFUNCTION("""COMPUTED_VALUE"""),"J.M. Berrios")</f>
        <v>J.M. Berrios</v>
      </c>
      <c r="V4163" s="5" t="s">
        <v>19328</v>
      </c>
      <c r="W4163" s="5" t="str">
        <f t="shared" si="3"/>
        <v>Tharun Bhascker</v>
      </c>
      <c r="X4163" s="5">
        <f t="shared" si="4"/>
        <v>1</v>
      </c>
      <c r="Y4163" s="5" t="str">
        <f>IFERROR(__xludf.DUMMYFUNCTION("REGEXEXTRACT(J4163, ""^\d+"")"),"119")</f>
        <v>119</v>
      </c>
      <c r="Z4163" s="5" t="str">
        <f>IFERROR(__xludf.DUMMYFUNCTION("REGEXEXTRACT(J4163, ""[A-Za-z ]+$"")")," min")</f>
        <v> min</v>
      </c>
      <c r="AA4163" s="5" t="str">
        <f>IFERROR(__xludf.DUMMYFUNCTION("IF(REGEXMATCH(Z4163, ""Season""), ""TV Show"", ""Movie"")"),"Movie")</f>
        <v>Movie</v>
      </c>
    </row>
    <row r="4164">
      <c r="A4164" s="1" t="s">
        <v>22366</v>
      </c>
      <c r="B4164" s="1" t="s">
        <v>37</v>
      </c>
      <c r="C4164" s="1" t="s">
        <v>22367</v>
      </c>
      <c r="E4164" s="1" t="s">
        <v>22368</v>
      </c>
      <c r="F4164" s="1" t="s">
        <v>2059</v>
      </c>
      <c r="G4164" s="1" t="s">
        <v>22369</v>
      </c>
      <c r="H4164" s="1">
        <v>2018.0</v>
      </c>
      <c r="I4164" s="1" t="s">
        <v>42</v>
      </c>
      <c r="J4164" s="1" t="s">
        <v>51</v>
      </c>
      <c r="K4164" s="1" t="s">
        <v>402</v>
      </c>
      <c r="L4164" s="1" t="s">
        <v>22370</v>
      </c>
      <c r="M4164" s="2" t="s">
        <v>12</v>
      </c>
      <c r="N4164" s="4">
        <f t="shared" si="1"/>
        <v>43492</v>
      </c>
      <c r="O4164" s="5" t="str">
        <f>IFERROR(__xludf.DUMMYFUNCTION("IF(REGEXMATCH(TRIM(I4164), ""^\d+\s*min""), ""Unclassified"", IF(I4164 = """", ""NR"", I4164))"),"TV-MA")</f>
        <v>TV-MA</v>
      </c>
      <c r="R4164" s="5" t="str">
        <f t="shared" si="2"/>
        <v>A Taiwanese Tale Of Two Cities</v>
      </c>
      <c r="S4164" s="5" t="str">
        <f>IFERROR(__xludf.DUMMYFUNCTION("""COMPUTED_VALUE"""),"Lola Igna")</f>
        <v>Lola Igna</v>
      </c>
      <c r="U4164" s="5" t="str">
        <f>IFERROR(__xludf.DUMMYFUNCTION("""COMPUTED_VALUE"""),"Stefano Sollima")</f>
        <v>Stefano Sollima</v>
      </c>
      <c r="V4164" s="5" t="s">
        <v>7634</v>
      </c>
      <c r="W4164" s="5" t="str">
        <f t="shared" si="3"/>
        <v>Tharun Bhascker Dhaassyam, B. V. Nandini Reddy, Nag Ashwin, Sankalp Reddy</v>
      </c>
      <c r="X4164" s="5">
        <f t="shared" si="4"/>
        <v>1</v>
      </c>
      <c r="Y4164" s="5" t="str">
        <f>IFERROR(__xludf.DUMMYFUNCTION("REGEXEXTRACT(J4164, ""^\d+"")"),"1")</f>
        <v>1</v>
      </c>
      <c r="Z4164" s="5" t="str">
        <f>IFERROR(__xludf.DUMMYFUNCTION("REGEXEXTRACT(J4164, ""[A-Za-z ]+$"")")," Season")</f>
        <v> Season</v>
      </c>
      <c r="AA4164" s="5" t="str">
        <f>IFERROR(__xludf.DUMMYFUNCTION("IF(REGEXMATCH(Z4164, ""Season""), ""TV Show"", ""Movie"")"),"TV Show")</f>
        <v>TV Show</v>
      </c>
    </row>
    <row r="4165">
      <c r="A4165" s="1" t="s">
        <v>22371</v>
      </c>
      <c r="B4165" s="1" t="s">
        <v>37</v>
      </c>
      <c r="C4165" s="1" t="s">
        <v>22372</v>
      </c>
      <c r="E4165" s="1" t="s">
        <v>22373</v>
      </c>
      <c r="F4165" s="1" t="s">
        <v>30</v>
      </c>
      <c r="G4165" s="1" t="s">
        <v>22369</v>
      </c>
      <c r="H4165" s="1">
        <v>2018.0</v>
      </c>
      <c r="I4165" s="1" t="s">
        <v>42</v>
      </c>
      <c r="J4165" s="1" t="s">
        <v>189</v>
      </c>
      <c r="K4165" s="1" t="s">
        <v>18606</v>
      </c>
      <c r="L4165" s="1" t="s">
        <v>22374</v>
      </c>
      <c r="M4165" s="2" t="s">
        <v>12</v>
      </c>
      <c r="N4165" s="4">
        <f t="shared" si="1"/>
        <v>43492</v>
      </c>
      <c r="O4165" s="5" t="str">
        <f>IFERROR(__xludf.DUMMYFUNCTION("IF(REGEXMATCH(TRIM(I4165), ""^\d+\s*min""), ""Unclassified"", IF(I4165 = """", ""NR"", I4165))"),"TV-MA")</f>
        <v>TV-MA</v>
      </c>
      <c r="R4165" s="5" t="str">
        <f t="shared" si="2"/>
        <v>Z Nation</v>
      </c>
      <c r="S4165" s="5" t="str">
        <f>IFERROR(__xludf.DUMMYFUNCTION("""COMPUTED_VALUE"""),"Lolirock")</f>
        <v>Lolirock</v>
      </c>
      <c r="U4165" s="5" t="str">
        <f>IFERROR(__xludf.DUMMYFUNCTION("""COMPUTED_VALUE"""),"Chayanop Boonprakob")</f>
        <v>Chayanop Boonprakob</v>
      </c>
      <c r="V4165" s="5" t="s">
        <v>22375</v>
      </c>
      <c r="W4165" s="5" t="str">
        <f t="shared" si="3"/>
        <v>Theo Davies</v>
      </c>
      <c r="X4165" s="5">
        <f t="shared" si="4"/>
        <v>1</v>
      </c>
      <c r="Y4165" s="5" t="str">
        <f>IFERROR(__xludf.DUMMYFUNCTION("REGEXEXTRACT(J4165, ""^\d+"")"),"5")</f>
        <v>5</v>
      </c>
      <c r="Z4165" s="5" t="str">
        <f>IFERROR(__xludf.DUMMYFUNCTION("REGEXEXTRACT(J4165, ""[A-Za-z ]+$"")")," Seasons")</f>
        <v> Seasons</v>
      </c>
      <c r="AA4165" s="5" t="str">
        <f>IFERROR(__xludf.DUMMYFUNCTION("IF(REGEXMATCH(Z4165, ""Season""), ""TV Show"", ""Movie"")"),"TV Show")</f>
        <v>TV Show</v>
      </c>
    </row>
    <row r="4166">
      <c r="A4166" s="1" t="s">
        <v>22376</v>
      </c>
      <c r="B4166" s="1" t="s">
        <v>27</v>
      </c>
      <c r="C4166" s="1" t="s">
        <v>22377</v>
      </c>
      <c r="D4166" s="1" t="s">
        <v>10838</v>
      </c>
      <c r="E4166" s="1" t="s">
        <v>22378</v>
      </c>
      <c r="F4166" s="1" t="s">
        <v>4287</v>
      </c>
      <c r="G4166" s="1" t="s">
        <v>22379</v>
      </c>
      <c r="H4166" s="1">
        <v>2018.0</v>
      </c>
      <c r="I4166" s="1" t="s">
        <v>42</v>
      </c>
      <c r="J4166" s="1" t="s">
        <v>1407</v>
      </c>
      <c r="K4166" s="1" t="s">
        <v>128</v>
      </c>
      <c r="L4166" s="1" t="s">
        <v>22380</v>
      </c>
      <c r="M4166" s="2" t="s">
        <v>12</v>
      </c>
      <c r="N4166" s="4">
        <f t="shared" si="1"/>
        <v>43491</v>
      </c>
      <c r="O4166" s="5" t="str">
        <f>IFERROR(__xludf.DUMMYFUNCTION("IF(REGEXMATCH(TRIM(I4166), ""^\d+\s*min""), ""Unclassified"", IF(I4166 = """", ""NR"", I4166))"),"TV-MA")</f>
        <v>TV-MA</v>
      </c>
      <c r="R4166" s="5" t="str">
        <f t="shared" si="2"/>
        <v>Goyo: The Boy General</v>
      </c>
      <c r="S4166" s="5" t="str">
        <f>IFERROR(__xludf.DUMMYFUNCTION("""COMPUTED_VALUE"""),"Lolita")</f>
        <v>Lolita</v>
      </c>
      <c r="U4166" s="5" t="str">
        <f>IFERROR(__xludf.DUMMYFUNCTION("""COMPUTED_VALUE"""),"Zakariya")</f>
        <v>Zakariya</v>
      </c>
      <c r="V4166" s="5" t="s">
        <v>21431</v>
      </c>
      <c r="W4166" s="5" t="str">
        <f t="shared" si="3"/>
        <v>Theo Love</v>
      </c>
      <c r="X4166" s="5">
        <f t="shared" si="4"/>
        <v>1</v>
      </c>
      <c r="Y4166" s="5" t="str">
        <f>IFERROR(__xludf.DUMMYFUNCTION("REGEXEXTRACT(J4166, ""^\d+"")"),"150")</f>
        <v>150</v>
      </c>
      <c r="Z4166" s="5" t="str">
        <f>IFERROR(__xludf.DUMMYFUNCTION("REGEXEXTRACT(J4166, ""[A-Za-z ]+$"")")," min")</f>
        <v> min</v>
      </c>
      <c r="AA4166" s="5" t="str">
        <f>IFERROR(__xludf.DUMMYFUNCTION("IF(REGEXMATCH(Z4166, ""Season""), ""TV Show"", ""Movie"")"),"Movie")</f>
        <v>Movie</v>
      </c>
    </row>
    <row r="4167">
      <c r="A4167" s="1" t="s">
        <v>22381</v>
      </c>
      <c r="B4167" s="1" t="s">
        <v>27</v>
      </c>
      <c r="C4167" s="1" t="s">
        <v>22382</v>
      </c>
      <c r="D4167" s="1" t="s">
        <v>13418</v>
      </c>
      <c r="E4167" s="1" t="s">
        <v>22383</v>
      </c>
      <c r="F4167" s="1" t="s">
        <v>22384</v>
      </c>
      <c r="G4167" s="1" t="s">
        <v>22385</v>
      </c>
      <c r="H4167" s="1">
        <v>2018.0</v>
      </c>
      <c r="I4167" s="1" t="s">
        <v>42</v>
      </c>
      <c r="J4167" s="1" t="s">
        <v>428</v>
      </c>
      <c r="K4167" s="1" t="s">
        <v>1441</v>
      </c>
      <c r="L4167" s="1" t="s">
        <v>22386</v>
      </c>
      <c r="M4167" s="2" t="s">
        <v>12</v>
      </c>
      <c r="N4167" s="4">
        <f t="shared" si="1"/>
        <v>43490</v>
      </c>
      <c r="O4167" s="5" t="str">
        <f>IFERROR(__xludf.DUMMYFUNCTION("IF(REGEXMATCH(TRIM(I4167), ""^\d+\s*min""), ""Unclassified"", IF(I4167 = """", ""NR"", I4167))"),"TV-MA")</f>
        <v>TV-MA</v>
      </c>
      <c r="R4167" s="5" t="str">
        <f t="shared" si="2"/>
        <v>Animas</v>
      </c>
      <c r="S4167" s="5" t="str">
        <f>IFERROR(__xludf.DUMMYFUNCTION("""COMPUTED_VALUE"""),"Lommbock")</f>
        <v>Lommbock</v>
      </c>
      <c r="U4167" s="5" t="str">
        <f>IFERROR(__xludf.DUMMYFUNCTION("""COMPUTED_VALUE"""),"Benny Fredman")</f>
        <v>Benny Fredman</v>
      </c>
      <c r="V4167" s="5" t="s">
        <v>9164</v>
      </c>
      <c r="W4167" s="5" t="str">
        <f t="shared" si="3"/>
        <v>Theodore Boborol</v>
      </c>
      <c r="X4167" s="5">
        <f t="shared" si="4"/>
        <v>3</v>
      </c>
      <c r="Y4167" s="5" t="str">
        <f>IFERROR(__xludf.DUMMYFUNCTION("REGEXEXTRACT(J4167, ""^\d+"")"),"88")</f>
        <v>88</v>
      </c>
      <c r="Z4167" s="5" t="str">
        <f>IFERROR(__xludf.DUMMYFUNCTION("REGEXEXTRACT(J4167, ""[A-Za-z ]+$"")")," min")</f>
        <v> min</v>
      </c>
      <c r="AA4167" s="5" t="str">
        <f>IFERROR(__xludf.DUMMYFUNCTION("IF(REGEXMATCH(Z4167, ""Season""), ""TV Show"", ""Movie"")"),"Movie")</f>
        <v>Movie</v>
      </c>
    </row>
    <row r="4168">
      <c r="A4168" s="1" t="s">
        <v>22387</v>
      </c>
      <c r="B4168" s="1" t="s">
        <v>37</v>
      </c>
      <c r="C4168" s="1" t="s">
        <v>22388</v>
      </c>
      <c r="E4168" s="1" t="s">
        <v>22389</v>
      </c>
      <c r="F4168" s="1" t="s">
        <v>96</v>
      </c>
      <c r="G4168" s="1" t="s">
        <v>22385</v>
      </c>
      <c r="H4168" s="1">
        <v>2018.0</v>
      </c>
      <c r="I4168" s="1" t="s">
        <v>42</v>
      </c>
      <c r="J4168" s="1" t="s">
        <v>51</v>
      </c>
      <c r="K4168" s="1" t="s">
        <v>3361</v>
      </c>
      <c r="L4168" s="1" t="s">
        <v>22390</v>
      </c>
      <c r="M4168" s="2" t="s">
        <v>12</v>
      </c>
      <c r="N4168" s="4">
        <f t="shared" si="1"/>
        <v>43490</v>
      </c>
      <c r="O4168" s="5" t="str">
        <f>IFERROR(__xludf.DUMMYFUNCTION("IF(REGEXMATCH(TRIM(I4168), ""^\d+\s*min""), ""Unclassified"", IF(I4168 = """", ""NR"", I4168))"),"TV-MA")</f>
        <v>TV-MA</v>
      </c>
      <c r="R4168" s="5" t="str">
        <f t="shared" si="2"/>
        <v>Black Earth Rising</v>
      </c>
      <c r="S4168" s="5" t="str">
        <f>IFERROR(__xludf.DUMMYFUNCTION("""COMPUTED_VALUE"""),"London Heist")</f>
        <v>London Heist</v>
      </c>
      <c r="U4168" s="5" t="str">
        <f>IFERROR(__xludf.DUMMYFUNCTION("""COMPUTED_VALUE"""),"Saul Dibb")</f>
        <v>Saul Dibb</v>
      </c>
      <c r="V4168" s="5" t="s">
        <v>104</v>
      </c>
      <c r="W4168" s="5" t="str">
        <f t="shared" si="3"/>
        <v>Theodore Melfi</v>
      </c>
      <c r="X4168" s="5">
        <f t="shared" si="4"/>
        <v>1</v>
      </c>
      <c r="Y4168" s="5" t="str">
        <f>IFERROR(__xludf.DUMMYFUNCTION("REGEXEXTRACT(J4168, ""^\d+"")"),"1")</f>
        <v>1</v>
      </c>
      <c r="Z4168" s="5" t="str">
        <f>IFERROR(__xludf.DUMMYFUNCTION("REGEXEXTRACT(J4168, ""[A-Za-z ]+$"")")," Season")</f>
        <v> Season</v>
      </c>
      <c r="AA4168" s="5" t="str">
        <f>IFERROR(__xludf.DUMMYFUNCTION("IF(REGEXMATCH(Z4168, ""Season""), ""TV Show"", ""Movie"")"),"TV Show")</f>
        <v>TV Show</v>
      </c>
    </row>
    <row r="4169">
      <c r="A4169" s="1" t="s">
        <v>22391</v>
      </c>
      <c r="B4169" s="1" t="s">
        <v>37</v>
      </c>
      <c r="C4169" s="1" t="s">
        <v>22392</v>
      </c>
      <c r="E4169" s="1" t="s">
        <v>22393</v>
      </c>
      <c r="F4169" s="1" t="s">
        <v>162</v>
      </c>
      <c r="G4169" s="1" t="s">
        <v>22385</v>
      </c>
      <c r="H4169" s="1">
        <v>2019.0</v>
      </c>
      <c r="I4169" s="1" t="s">
        <v>42</v>
      </c>
      <c r="J4169" s="1" t="s">
        <v>148</v>
      </c>
      <c r="K4169" s="1" t="s">
        <v>1627</v>
      </c>
      <c r="L4169" s="1" t="s">
        <v>22394</v>
      </c>
      <c r="M4169" s="2" t="s">
        <v>12</v>
      </c>
      <c r="N4169" s="4">
        <f t="shared" si="1"/>
        <v>43490</v>
      </c>
      <c r="O4169" s="5" t="str">
        <f>IFERROR(__xludf.DUMMYFUNCTION("IF(REGEXMATCH(TRIM(I4169), ""^\d+\s*min""), ""Unclassified"", IF(I4169 = """", ""NR"", I4169))"),"TV-MA")</f>
        <v>TV-MA</v>
      </c>
      <c r="R4169" s="5" t="str">
        <f t="shared" si="2"/>
        <v>Club Of Crows</v>
      </c>
      <c r="S4169" s="5" t="str">
        <f>IFERROR(__xludf.DUMMYFUNCTION("""COMPUTED_VALUE"""),"London Hughes: To Catch A D*Ck")</f>
        <v>London Hughes: To Catch A D*Ck</v>
      </c>
      <c r="U4169" s="5" t="str">
        <f>IFERROR(__xludf.DUMMYFUNCTION("""COMPUTED_VALUE"""),"Joseph Cross")</f>
        <v>Joseph Cross</v>
      </c>
      <c r="V4169" s="5" t="s">
        <v>4858</v>
      </c>
      <c r="W4169" s="5" t="str">
        <f t="shared" si="3"/>
        <v>Theodore Witcher</v>
      </c>
      <c r="X4169" s="5">
        <f t="shared" si="4"/>
        <v>1</v>
      </c>
      <c r="Y4169" s="5" t="str">
        <f>IFERROR(__xludf.DUMMYFUNCTION("REGEXEXTRACT(J4169, ""^\d+"")"),"4")</f>
        <v>4</v>
      </c>
      <c r="Z4169" s="5" t="str">
        <f>IFERROR(__xludf.DUMMYFUNCTION("REGEXEXTRACT(J4169, ""[A-Za-z ]+$"")")," Seasons")</f>
        <v> Seasons</v>
      </c>
      <c r="AA4169" s="5" t="str">
        <f>IFERROR(__xludf.DUMMYFUNCTION("IF(REGEXMATCH(Z4169, ""Season""), ""TV Show"", ""Movie"")"),"TV Show")</f>
        <v>TV Show</v>
      </c>
    </row>
    <row r="4170">
      <c r="A4170" s="1" t="s">
        <v>22395</v>
      </c>
      <c r="B4170" s="1" t="s">
        <v>37</v>
      </c>
      <c r="C4170" s="1" t="s">
        <v>22396</v>
      </c>
      <c r="F4170" s="1" t="s">
        <v>784</v>
      </c>
      <c r="G4170" s="1" t="s">
        <v>22385</v>
      </c>
      <c r="H4170" s="1">
        <v>2019.0</v>
      </c>
      <c r="I4170" s="1" t="s">
        <v>42</v>
      </c>
      <c r="J4170" s="1" t="s">
        <v>51</v>
      </c>
      <c r="K4170" s="1" t="s">
        <v>112</v>
      </c>
      <c r="L4170" s="1" t="s">
        <v>22397</v>
      </c>
      <c r="M4170" s="2" t="s">
        <v>12</v>
      </c>
      <c r="N4170" s="4">
        <f t="shared" si="1"/>
        <v>43490</v>
      </c>
      <c r="O4170" s="5" t="str">
        <f>IFERROR(__xludf.DUMMYFUNCTION("IF(REGEXMATCH(TRIM(I4170), ""^\d+\s*min""), ""Unclassified"", IF(I4170 = """", ""NR"", I4170))"),"TV-MA")</f>
        <v>TV-MA</v>
      </c>
      <c r="R4170" s="5" t="str">
        <f t="shared" si="2"/>
        <v>Examination Of Conscience</v>
      </c>
      <c r="S4170" s="5" t="str">
        <f>IFERROR(__xludf.DUMMYFUNCTION("""COMPUTED_VALUE"""),"London Spy")</f>
        <v>London Spy</v>
      </c>
      <c r="U4170" s="5" t="str">
        <f>IFERROR(__xludf.DUMMYFUNCTION("""COMPUTED_VALUE"""),"Kasper Barfoed")</f>
        <v>Kasper Barfoed</v>
      </c>
      <c r="V4170" s="5" t="s">
        <v>20159</v>
      </c>
      <c r="W4170" s="5" t="str">
        <f t="shared" si="3"/>
        <v>Thiagarajan Kumararaja</v>
      </c>
      <c r="X4170" s="5">
        <f t="shared" si="4"/>
        <v>1</v>
      </c>
      <c r="Y4170" s="5" t="str">
        <f>IFERROR(__xludf.DUMMYFUNCTION("REGEXEXTRACT(J4170, ""^\d+"")"),"1")</f>
        <v>1</v>
      </c>
      <c r="Z4170" s="5" t="str">
        <f>IFERROR(__xludf.DUMMYFUNCTION("REGEXEXTRACT(J4170, ""[A-Za-z ]+$"")")," Season")</f>
        <v> Season</v>
      </c>
      <c r="AA4170" s="5" t="str">
        <f>IFERROR(__xludf.DUMMYFUNCTION("IF(REGEXMATCH(Z4170, ""Season""), ""TV Show"", ""Movie"")"),"TV Show")</f>
        <v>TV Show</v>
      </c>
    </row>
    <row r="4171">
      <c r="A4171" s="1" t="s">
        <v>22398</v>
      </c>
      <c r="B4171" s="1" t="s">
        <v>27</v>
      </c>
      <c r="C4171" s="1" t="s">
        <v>22399</v>
      </c>
      <c r="D4171" s="1" t="s">
        <v>8228</v>
      </c>
      <c r="E4171" s="1" t="s">
        <v>22400</v>
      </c>
      <c r="F4171" s="1" t="s">
        <v>2011</v>
      </c>
      <c r="G4171" s="1" t="s">
        <v>22385</v>
      </c>
      <c r="H4171" s="1">
        <v>2018.0</v>
      </c>
      <c r="I4171" s="1" t="s">
        <v>42</v>
      </c>
      <c r="J4171" s="1" t="s">
        <v>305</v>
      </c>
      <c r="K4171" s="1" t="s">
        <v>199</v>
      </c>
      <c r="L4171" s="1" t="s">
        <v>22401</v>
      </c>
      <c r="M4171" s="2" t="s">
        <v>12</v>
      </c>
      <c r="N4171" s="4">
        <f t="shared" si="1"/>
        <v>43490</v>
      </c>
      <c r="O4171" s="5" t="str">
        <f>IFERROR(__xludf.DUMMYFUNCTION("IF(REGEXMATCH(TRIM(I4171), ""^\d+\s*min""), ""Unclassified"", IF(I4171 = """", ""NR"", I4171))"),"TV-MA")</f>
        <v>TV-MA</v>
      </c>
      <c r="R4171" s="5" t="str">
        <f t="shared" si="2"/>
        <v>Mi Obra Maestra</v>
      </c>
      <c r="S4171" s="5" t="str">
        <f>IFERROR(__xludf.DUMMYFUNCTION("""COMPUTED_VALUE"""),"Long Shot")</f>
        <v>Long Shot</v>
      </c>
      <c r="U4171" s="5" t="str">
        <f>IFERROR(__xludf.DUMMYFUNCTION("""COMPUTED_VALUE"""),"Partho Sen-Gupta")</f>
        <v>Partho Sen-Gupta</v>
      </c>
      <c r="V4171" s="5" t="s">
        <v>10420</v>
      </c>
      <c r="W4171" s="5" t="str">
        <f t="shared" si="3"/>
        <v>Thierry Demaizière, Alban Teurlai</v>
      </c>
      <c r="X4171" s="5">
        <f t="shared" si="4"/>
        <v>2</v>
      </c>
      <c r="Y4171" s="5" t="str">
        <f>IFERROR(__xludf.DUMMYFUNCTION("REGEXEXTRACT(J4171, ""^\d+"")"),"105")</f>
        <v>105</v>
      </c>
      <c r="Z4171" s="5" t="str">
        <f>IFERROR(__xludf.DUMMYFUNCTION("REGEXEXTRACT(J4171, ""[A-Za-z ]+$"")")," min")</f>
        <v> min</v>
      </c>
      <c r="AA4171" s="5" t="str">
        <f>IFERROR(__xludf.DUMMYFUNCTION("IF(REGEXMATCH(Z4171, ""Season""), ""TV Show"", ""Movie"")"),"Movie")</f>
        <v>Movie</v>
      </c>
    </row>
    <row r="4172">
      <c r="A4172" s="1" t="s">
        <v>22402</v>
      </c>
      <c r="B4172" s="1" t="s">
        <v>27</v>
      </c>
      <c r="C4172" s="1" t="s">
        <v>22403</v>
      </c>
      <c r="F4172" s="1" t="s">
        <v>1205</v>
      </c>
      <c r="G4172" s="1" t="s">
        <v>22385</v>
      </c>
      <c r="H4172" s="1">
        <v>2019.0</v>
      </c>
      <c r="I4172" s="1" t="s">
        <v>42</v>
      </c>
      <c r="J4172" s="1" t="s">
        <v>804</v>
      </c>
      <c r="K4172" s="1" t="s">
        <v>1066</v>
      </c>
      <c r="L4172" s="1" t="s">
        <v>22404</v>
      </c>
      <c r="M4172" s="2" t="s">
        <v>12</v>
      </c>
      <c r="N4172" s="4">
        <f t="shared" si="1"/>
        <v>43490</v>
      </c>
      <c r="O4172" s="5" t="str">
        <f>IFERROR(__xludf.DUMMYFUNCTION("IF(REGEXMATCH(TRIM(I4172), ""^\d+\s*min""), ""Unclassified"", IF(I4172 = """", ""NR"", I4172))"),"TV-MA")</f>
        <v>TV-MA</v>
      </c>
      <c r="R4172" s="5" t="str">
        <f t="shared" si="2"/>
        <v>Polar</v>
      </c>
      <c r="S4172" s="5" t="str">
        <f>IFERROR(__xludf.DUMMYFUNCTION("""COMPUTED_VALUE"""),"Long Time Running")</f>
        <v>Long Time Running</v>
      </c>
      <c r="U4172" s="5" t="str">
        <f>IFERROR(__xludf.DUMMYFUNCTION("""COMPUTED_VALUE"""),"Sumit Das")</f>
        <v>Sumit Das</v>
      </c>
      <c r="V4172" s="5" t="s">
        <v>22405</v>
      </c>
      <c r="W4172" s="5" t="str">
        <f t="shared" si="3"/>
        <v>Thierry Donard</v>
      </c>
      <c r="X4172" s="5">
        <f t="shared" si="4"/>
        <v>5</v>
      </c>
      <c r="Y4172" s="5" t="str">
        <f>IFERROR(__xludf.DUMMYFUNCTION("REGEXEXTRACT(J4172, ""^\d+"")"),"119")</f>
        <v>119</v>
      </c>
      <c r="Z4172" s="5" t="str">
        <f>IFERROR(__xludf.DUMMYFUNCTION("REGEXEXTRACT(J4172, ""[A-Za-z ]+$"")")," min")</f>
        <v> min</v>
      </c>
      <c r="AA4172" s="5" t="str">
        <f>IFERROR(__xludf.DUMMYFUNCTION("IF(REGEXMATCH(Z4172, ""Season""), ""TV Show"", ""Movie"")"),"Movie")</f>
        <v>Movie</v>
      </c>
    </row>
    <row r="4173">
      <c r="A4173" s="1" t="s">
        <v>22406</v>
      </c>
      <c r="B4173" s="1" t="s">
        <v>37</v>
      </c>
      <c r="C4173" s="1" t="s">
        <v>22407</v>
      </c>
      <c r="E4173" s="1" t="s">
        <v>22408</v>
      </c>
      <c r="G4173" s="1" t="s">
        <v>22385</v>
      </c>
      <c r="H4173" s="1">
        <v>2017.0</v>
      </c>
      <c r="I4173" s="1" t="s">
        <v>97</v>
      </c>
      <c r="J4173" s="1" t="s">
        <v>51</v>
      </c>
      <c r="K4173" s="1" t="s">
        <v>64</v>
      </c>
      <c r="L4173" s="1" t="s">
        <v>22409</v>
      </c>
      <c r="M4173" s="2" t="s">
        <v>12</v>
      </c>
      <c r="N4173" s="4">
        <f t="shared" si="1"/>
        <v>43490</v>
      </c>
      <c r="O4173" s="5" t="str">
        <f>IFERROR(__xludf.DUMMYFUNCTION("IF(REGEXMATCH(TRIM(I4173), ""^\d+\s*min""), ""Unclassified"", IF(I4173 = """", ""NR"", I4173))"),"TV-14")</f>
        <v>TV-14</v>
      </c>
      <c r="R4173" s="5" t="str">
        <f t="shared" si="2"/>
        <v>The Perfect Match</v>
      </c>
      <c r="S4173" s="5" t="str">
        <f>IFERROR(__xludf.DUMMYFUNCTION("""COMPUTED_VALUE"""),"Longmire")</f>
        <v>Longmire</v>
      </c>
      <c r="U4173" s="5" t="str">
        <f>IFERROR(__xludf.DUMMYFUNCTION("""COMPUTED_VALUE"""),"Kevin Phillips")</f>
        <v>Kevin Phillips</v>
      </c>
      <c r="V4173" s="5" t="s">
        <v>22410</v>
      </c>
      <c r="W4173" s="5" t="str">
        <f t="shared" si="3"/>
        <v>Thiru</v>
      </c>
      <c r="X4173" s="5">
        <f t="shared" si="4"/>
        <v>2</v>
      </c>
      <c r="Y4173" s="5" t="str">
        <f>IFERROR(__xludf.DUMMYFUNCTION("REGEXEXTRACT(J4173, ""^\d+"")"),"1")</f>
        <v>1</v>
      </c>
      <c r="Z4173" s="5" t="str">
        <f>IFERROR(__xludf.DUMMYFUNCTION("REGEXEXTRACT(J4173, ""[A-Za-z ]+$"")")," Season")</f>
        <v> Season</v>
      </c>
      <c r="AA4173" s="5" t="str">
        <f>IFERROR(__xludf.DUMMYFUNCTION("IF(REGEXMATCH(Z4173, ""Season""), ""TV Show"", ""Movie"")"),"TV Show")</f>
        <v>TV Show</v>
      </c>
    </row>
    <row r="4174">
      <c r="A4174" s="1" t="s">
        <v>22411</v>
      </c>
      <c r="B4174" s="1" t="s">
        <v>37</v>
      </c>
      <c r="C4174" s="1" t="s">
        <v>22412</v>
      </c>
      <c r="F4174" s="1" t="s">
        <v>30</v>
      </c>
      <c r="G4174" s="1" t="s">
        <v>22413</v>
      </c>
      <c r="H4174" s="1">
        <v>2019.0</v>
      </c>
      <c r="I4174" s="1" t="s">
        <v>42</v>
      </c>
      <c r="J4174" s="1" t="s">
        <v>51</v>
      </c>
      <c r="K4174" s="1" t="s">
        <v>2043</v>
      </c>
      <c r="L4174" s="1" t="s">
        <v>22414</v>
      </c>
      <c r="M4174" s="2" t="s">
        <v>12</v>
      </c>
      <c r="N4174" s="4">
        <f t="shared" si="1"/>
        <v>43489</v>
      </c>
      <c r="O4174" s="5" t="str">
        <f>IFERROR(__xludf.DUMMYFUNCTION("IF(REGEXMATCH(TRIM(I4174), ""^\d+\s*min""), ""Unclassified"", IF(I4174 = """", ""NR"", I4174))"),"TV-MA")</f>
        <v>TV-MA</v>
      </c>
      <c r="R4174" s="5" t="str">
        <f t="shared" si="2"/>
        <v>Conversations With A Killer: The Ted Bundy Tapes</v>
      </c>
      <c r="S4174" s="5" t="str">
        <f>IFERROR(__xludf.DUMMYFUNCTION("""COMPUTED_VALUE"""),"Loo Loo Kids: Johny &amp; Friends Musical Adventures")</f>
        <v>Loo Loo Kids: Johny &amp; Friends Musical Adventures</v>
      </c>
      <c r="U4174" s="5" t="str">
        <f>IFERROR(__xludf.DUMMYFUNCTION("""COMPUTED_VALUE"""),"Greg Mottola")</f>
        <v>Greg Mottola</v>
      </c>
      <c r="V4174" s="5" t="s">
        <v>4781</v>
      </c>
      <c r="W4174" s="5" t="str">
        <f t="shared" si="3"/>
        <v>Thom Fitzgerald</v>
      </c>
      <c r="X4174" s="5">
        <f t="shared" si="4"/>
        <v>1</v>
      </c>
      <c r="Y4174" s="5" t="str">
        <f>IFERROR(__xludf.DUMMYFUNCTION("REGEXEXTRACT(J4174, ""^\d+"")"),"1")</f>
        <v>1</v>
      </c>
      <c r="Z4174" s="5" t="str">
        <f>IFERROR(__xludf.DUMMYFUNCTION("REGEXEXTRACT(J4174, ""[A-Za-z ]+$"")")," Season")</f>
        <v> Season</v>
      </c>
      <c r="AA4174" s="5" t="str">
        <f>IFERROR(__xludf.DUMMYFUNCTION("IF(REGEXMATCH(Z4174, ""Season""), ""TV Show"", ""Movie"")"),"TV Show")</f>
        <v>TV Show</v>
      </c>
    </row>
    <row r="4175">
      <c r="A4175" s="1" t="s">
        <v>22415</v>
      </c>
      <c r="B4175" s="1" t="s">
        <v>27</v>
      </c>
      <c r="C4175" s="1" t="s">
        <v>22416</v>
      </c>
      <c r="D4175" s="1" t="s">
        <v>1995</v>
      </c>
      <c r="E4175" s="1" t="s">
        <v>22417</v>
      </c>
      <c r="F4175" s="1" t="s">
        <v>1815</v>
      </c>
      <c r="G4175" s="1" t="s">
        <v>22413</v>
      </c>
      <c r="H4175" s="1">
        <v>2018.0</v>
      </c>
      <c r="I4175" s="1" t="s">
        <v>42</v>
      </c>
      <c r="J4175" s="1" t="s">
        <v>322</v>
      </c>
      <c r="K4175" s="1" t="s">
        <v>1429</v>
      </c>
      <c r="L4175" s="1" t="s">
        <v>22418</v>
      </c>
      <c r="M4175" s="2" t="s">
        <v>12</v>
      </c>
      <c r="N4175" s="4">
        <f t="shared" si="1"/>
        <v>43489</v>
      </c>
      <c r="O4175" s="5" t="str">
        <f>IFERROR(__xludf.DUMMYFUNCTION("IF(REGEXMATCH(TRIM(I4175), ""^\d+\s*min""), ""Unclassified"", IF(I4175 = """", ""NR"", I4175))"),"TV-MA")</f>
        <v>TV-MA</v>
      </c>
      <c r="R4175" s="5" t="str">
        <f t="shared" si="2"/>
        <v>Just Love</v>
      </c>
      <c r="S4175" s="5" t="str">
        <f>IFERROR(__xludf.DUMMYFUNCTION("""COMPUTED_VALUE"""),"Look For A Star")</f>
        <v>Look For A Star</v>
      </c>
      <c r="U4175" s="5" t="str">
        <f>IFERROR(__xludf.DUMMYFUNCTION("""COMPUTED_VALUE"""),"Gordon Parks")</f>
        <v>Gordon Parks</v>
      </c>
      <c r="V4175" s="5" t="s">
        <v>22419</v>
      </c>
      <c r="W4175" s="5" t="str">
        <f t="shared" si="3"/>
        <v>Thom Zimny</v>
      </c>
      <c r="X4175" s="5">
        <f t="shared" si="4"/>
        <v>1</v>
      </c>
      <c r="Y4175" s="5" t="str">
        <f>IFERROR(__xludf.DUMMYFUNCTION("REGEXEXTRACT(J4175, ""^\d+"")"),"96")</f>
        <v>96</v>
      </c>
      <c r="Z4175" s="5" t="str">
        <f>IFERROR(__xludf.DUMMYFUNCTION("REGEXEXTRACT(J4175, ""[A-Za-z ]+$"")")," min")</f>
        <v> min</v>
      </c>
      <c r="AA4175" s="5" t="str">
        <f>IFERROR(__xludf.DUMMYFUNCTION("IF(REGEXMATCH(Z4175, ""Season""), ""TV Show"", ""Movie"")"),"Movie")</f>
        <v>Movie</v>
      </c>
    </row>
    <row r="4176">
      <c r="A4176" s="1" t="s">
        <v>22420</v>
      </c>
      <c r="B4176" s="1" t="s">
        <v>37</v>
      </c>
      <c r="C4176" s="1" t="s">
        <v>22421</v>
      </c>
      <c r="D4176" s="1" t="s">
        <v>20781</v>
      </c>
      <c r="E4176" s="1" t="s">
        <v>22422</v>
      </c>
      <c r="F4176" s="1" t="s">
        <v>188</v>
      </c>
      <c r="G4176" s="1" t="s">
        <v>22423</v>
      </c>
      <c r="H4176" s="1">
        <v>2017.0</v>
      </c>
      <c r="I4176" s="1" t="s">
        <v>42</v>
      </c>
      <c r="J4176" s="1" t="s">
        <v>51</v>
      </c>
      <c r="K4176" s="1" t="s">
        <v>1362</v>
      </c>
      <c r="L4176" s="1" t="s">
        <v>22424</v>
      </c>
      <c r="M4176" s="2" t="s">
        <v>12</v>
      </c>
      <c r="N4176" s="4">
        <f t="shared" si="1"/>
        <v>43488</v>
      </c>
      <c r="O4176" s="5" t="str">
        <f>IFERROR(__xludf.DUMMYFUNCTION("IF(REGEXMATCH(TRIM(I4176), ""^\d+\s*min""), ""Unclassified"", IF(I4176 = """", ""NR"", I4176))"),"TV-MA")</f>
        <v>TV-MA</v>
      </c>
      <c r="R4176" s="5" t="str">
        <f t="shared" si="2"/>
        <v>Innocent</v>
      </c>
      <c r="S4176" s="5" t="str">
        <f>IFERROR(__xludf.DUMMYFUNCTION("""COMPUTED_VALUE"""),"Look Out, Officer")</f>
        <v>Look Out, Officer</v>
      </c>
      <c r="U4176" s="5" t="str">
        <f>IFERROR(__xludf.DUMMYFUNCTION("""COMPUTED_VALUE"""),"Bryan Singer")</f>
        <v>Bryan Singer</v>
      </c>
      <c r="V4176" s="5" t="s">
        <v>16490</v>
      </c>
      <c r="W4176" s="5" t="str">
        <f t="shared" si="3"/>
        <v>Thomas Astruc</v>
      </c>
      <c r="X4176" s="5">
        <f t="shared" si="4"/>
        <v>2</v>
      </c>
      <c r="Y4176" s="5" t="str">
        <f>IFERROR(__xludf.DUMMYFUNCTION("REGEXEXTRACT(J4176, ""^\d+"")"),"1")</f>
        <v>1</v>
      </c>
      <c r="Z4176" s="5" t="str">
        <f>IFERROR(__xludf.DUMMYFUNCTION("REGEXEXTRACT(J4176, ""[A-Za-z ]+$"")")," Season")</f>
        <v> Season</v>
      </c>
      <c r="AA4176" s="5" t="str">
        <f>IFERROR(__xludf.DUMMYFUNCTION("IF(REGEXMATCH(Z4176, ""Season""), ""TV Show"", ""Movie"")"),"TV Show")</f>
        <v>TV Show</v>
      </c>
    </row>
    <row r="4177">
      <c r="A4177" s="1" t="s">
        <v>22425</v>
      </c>
      <c r="B4177" s="1" t="s">
        <v>27</v>
      </c>
      <c r="C4177" s="1" t="s">
        <v>22426</v>
      </c>
      <c r="E4177" s="1" t="s">
        <v>22427</v>
      </c>
      <c r="F4177" s="1" t="s">
        <v>686</v>
      </c>
      <c r="G4177" s="1" t="s">
        <v>22428</v>
      </c>
      <c r="H4177" s="1">
        <v>2019.0</v>
      </c>
      <c r="I4177" s="1" t="s">
        <v>42</v>
      </c>
      <c r="J4177" s="1" t="s">
        <v>465</v>
      </c>
      <c r="K4177" s="1" t="s">
        <v>1066</v>
      </c>
      <c r="L4177" s="1" t="s">
        <v>22429</v>
      </c>
      <c r="M4177" s="2" t="s">
        <v>12</v>
      </c>
      <c r="N4177" s="4">
        <f t="shared" si="1"/>
        <v>43483</v>
      </c>
      <c r="O4177" s="5" t="str">
        <f>IFERROR(__xludf.DUMMYFUNCTION("IF(REGEXMATCH(TRIM(I4177), ""^\d+\s*min""), ""Unclassified"", IF(I4177 = """", ""NR"", I4177))"),"TV-MA")</f>
        <v>TV-MA</v>
      </c>
      <c r="R4177" s="5" t="str">
        <f t="shared" si="2"/>
        <v>Close</v>
      </c>
      <c r="S4177" s="5" t="str">
        <f>IFERROR(__xludf.DUMMYFUNCTION("""COMPUTED_VALUE"""),"Look Who'S Back")</f>
        <v>Look Who'S Back</v>
      </c>
      <c r="U4177" s="5" t="str">
        <f>IFERROR(__xludf.DUMMYFUNCTION("""COMPUTED_VALUE"""),"Bruce Mcculloch")</f>
        <v>Bruce Mcculloch</v>
      </c>
      <c r="V4177" s="5" t="s">
        <v>22430</v>
      </c>
      <c r="W4177" s="5" t="str">
        <f t="shared" si="3"/>
        <v>Thomas Carter</v>
      </c>
      <c r="X4177" s="5">
        <f t="shared" si="4"/>
        <v>1</v>
      </c>
      <c r="Y4177" s="5" t="str">
        <f>IFERROR(__xludf.DUMMYFUNCTION("REGEXEXTRACT(J4177, ""^\d+"")"),"95")</f>
        <v>95</v>
      </c>
      <c r="Z4177" s="5" t="str">
        <f>IFERROR(__xludf.DUMMYFUNCTION("REGEXEXTRACT(J4177, ""[A-Za-z ]+$"")")," min")</f>
        <v> min</v>
      </c>
      <c r="AA4177" s="5" t="str">
        <f>IFERROR(__xludf.DUMMYFUNCTION("IF(REGEXMATCH(Z4177, ""Season""), ""TV Show"", ""Movie"")"),"Movie")</f>
        <v>Movie</v>
      </c>
    </row>
    <row r="4178">
      <c r="A4178" s="1" t="s">
        <v>22431</v>
      </c>
      <c r="B4178" s="1" t="s">
        <v>27</v>
      </c>
      <c r="C4178" s="1" t="s">
        <v>22432</v>
      </c>
      <c r="D4178" s="1" t="s">
        <v>4810</v>
      </c>
      <c r="F4178" s="1" t="s">
        <v>30</v>
      </c>
      <c r="G4178" s="1" t="s">
        <v>22428</v>
      </c>
      <c r="H4178" s="1">
        <v>2019.0</v>
      </c>
      <c r="I4178" s="1" t="s">
        <v>42</v>
      </c>
      <c r="J4178" s="1" t="s">
        <v>357</v>
      </c>
      <c r="K4178" s="1" t="s">
        <v>34</v>
      </c>
      <c r="L4178" s="1" t="s">
        <v>22433</v>
      </c>
      <c r="M4178" s="2" t="s">
        <v>12</v>
      </c>
      <c r="N4178" s="4">
        <f t="shared" si="1"/>
        <v>43483</v>
      </c>
      <c r="O4178" s="5" t="str">
        <f>IFERROR(__xludf.DUMMYFUNCTION("IF(REGEXMATCH(TRIM(I4178), ""^\d+\s*min""), ""Unclassified"", IF(I4178 = """", ""NR"", I4178))"),"TV-MA")</f>
        <v>TV-MA</v>
      </c>
      <c r="R4178" s="5" t="str">
        <f t="shared" si="2"/>
        <v>Fyre: The Greatest Party That Never Happened</v>
      </c>
      <c r="S4178" s="5" t="str">
        <f>IFERROR(__xludf.DUMMYFUNCTION("""COMPUTED_VALUE"""),"Lorai: Play To Live")</f>
        <v>Lorai: Play To Live</v>
      </c>
      <c r="U4178" s="5" t="str">
        <f>IFERROR(__xludf.DUMMYFUNCTION("""COMPUTED_VALUE"""),"Matthew Cooke")</f>
        <v>Matthew Cooke</v>
      </c>
      <c r="V4178" s="5" t="s">
        <v>22434</v>
      </c>
      <c r="W4178" s="5" t="str">
        <f t="shared" si="3"/>
        <v>Thomas Meadmore</v>
      </c>
      <c r="X4178" s="5">
        <f t="shared" si="4"/>
        <v>1</v>
      </c>
      <c r="Y4178" s="5" t="str">
        <f>IFERROR(__xludf.DUMMYFUNCTION("REGEXEXTRACT(J4178, ""^\d+"")"),"98")</f>
        <v>98</v>
      </c>
      <c r="Z4178" s="5" t="str">
        <f>IFERROR(__xludf.DUMMYFUNCTION("REGEXEXTRACT(J4178, ""[A-Za-z ]+$"")")," min")</f>
        <v> min</v>
      </c>
      <c r="AA4178" s="5" t="str">
        <f>IFERROR(__xludf.DUMMYFUNCTION("IF(REGEXMATCH(Z4178, ""Season""), ""TV Show"", ""Movie"")"),"Movie")</f>
        <v>Movie</v>
      </c>
    </row>
    <row r="4179">
      <c r="A4179" s="1" t="s">
        <v>22435</v>
      </c>
      <c r="B4179" s="1" t="s">
        <v>27</v>
      </c>
      <c r="C4179" s="1" t="s">
        <v>22436</v>
      </c>
      <c r="D4179" s="1" t="s">
        <v>11687</v>
      </c>
      <c r="E4179" s="1" t="s">
        <v>22437</v>
      </c>
      <c r="F4179" s="1" t="s">
        <v>30</v>
      </c>
      <c r="G4179" s="1" t="s">
        <v>22428</v>
      </c>
      <c r="H4179" s="1">
        <v>2019.0</v>
      </c>
      <c r="I4179" s="1" t="s">
        <v>97</v>
      </c>
      <c r="J4179" s="1" t="s">
        <v>322</v>
      </c>
      <c r="K4179" s="1" t="s">
        <v>8226</v>
      </c>
      <c r="L4179" s="1" t="s">
        <v>22438</v>
      </c>
      <c r="M4179" s="2" t="s">
        <v>12</v>
      </c>
      <c r="N4179" s="4">
        <f t="shared" si="1"/>
        <v>43483</v>
      </c>
      <c r="O4179" s="5" t="str">
        <f>IFERROR(__xludf.DUMMYFUNCTION("IF(REGEXMATCH(TRIM(I4179), ""^\d+\s*min""), ""Unclassified"", IF(I4179 = """", ""NR"", I4179))"),"TV-14")</f>
        <v>TV-14</v>
      </c>
      <c r="R4179" s="5" t="str">
        <f t="shared" si="2"/>
        <v>Io</v>
      </c>
      <c r="S4179" s="5" t="str">
        <f>IFERROR(__xludf.DUMMYFUNCTION("""COMPUTED_VALUE"""),"Lorena, Light-Footed Woman")</f>
        <v>Lorena, Light-Footed Woman</v>
      </c>
      <c r="U4179" s="5" t="str">
        <f>IFERROR(__xludf.DUMMYFUNCTION("""COMPUTED_VALUE"""),"Anthony Caronna, Alexander Smith")</f>
        <v>Anthony Caronna, Alexander Smith</v>
      </c>
      <c r="V4179" s="5" t="s">
        <v>628</v>
      </c>
      <c r="W4179" s="5" t="str">
        <f t="shared" si="3"/>
        <v>Thomas Sieben</v>
      </c>
      <c r="X4179" s="5">
        <f t="shared" si="4"/>
        <v>2</v>
      </c>
      <c r="Y4179" s="5" t="str">
        <f>IFERROR(__xludf.DUMMYFUNCTION("REGEXEXTRACT(J4179, ""^\d+"")"),"96")</f>
        <v>96</v>
      </c>
      <c r="Z4179" s="5" t="str">
        <f>IFERROR(__xludf.DUMMYFUNCTION("REGEXEXTRACT(J4179, ""[A-Za-z ]+$"")")," min")</f>
        <v> min</v>
      </c>
      <c r="AA4179" s="5" t="str">
        <f>IFERROR(__xludf.DUMMYFUNCTION("IF(REGEXMATCH(Z4179, ""Season""), ""TV Show"", ""Movie"")"),"Movie")</f>
        <v>Movie</v>
      </c>
    </row>
    <row r="4180">
      <c r="A4180" s="1" t="s">
        <v>22439</v>
      </c>
      <c r="B4180" s="1" t="s">
        <v>37</v>
      </c>
      <c r="C4180" s="1" t="s">
        <v>22440</v>
      </c>
      <c r="E4180" s="1" t="s">
        <v>22441</v>
      </c>
      <c r="F4180" s="1" t="s">
        <v>30</v>
      </c>
      <c r="G4180" s="1" t="s">
        <v>22428</v>
      </c>
      <c r="H4180" s="1">
        <v>2019.0</v>
      </c>
      <c r="I4180" s="1" t="s">
        <v>42</v>
      </c>
      <c r="J4180" s="1" t="s">
        <v>43</v>
      </c>
      <c r="K4180" s="1" t="s">
        <v>22442</v>
      </c>
      <c r="L4180" s="1" t="s">
        <v>22443</v>
      </c>
      <c r="M4180" s="2" t="s">
        <v>12</v>
      </c>
      <c r="N4180" s="4">
        <f t="shared" si="1"/>
        <v>43483</v>
      </c>
      <c r="O4180" s="5" t="str">
        <f>IFERROR(__xludf.DUMMYFUNCTION("IF(REGEXMATCH(TRIM(I4180), ""^\d+\s*min""), ""Unclassified"", IF(I4180 = """", ""NR"", I4180))"),"TV-MA")</f>
        <v>TV-MA</v>
      </c>
      <c r="R4180" s="5" t="str">
        <f t="shared" si="2"/>
        <v>Marvel'S The Punisher</v>
      </c>
      <c r="S4180" s="5" t="str">
        <f>IFERROR(__xludf.DUMMYFUNCTION("""COMPUTED_VALUE"""),"Los 10 Años De Peter Capusotto")</f>
        <v>Los 10 Años De Peter Capusotto</v>
      </c>
      <c r="U4180" s="5" t="str">
        <f>IFERROR(__xludf.DUMMYFUNCTION("""COMPUTED_VALUE"""),"Matt Wechsler")</f>
        <v>Matt Wechsler</v>
      </c>
      <c r="V4180" s="5" t="s">
        <v>22444</v>
      </c>
      <c r="W4180" s="5" t="str">
        <f t="shared" si="3"/>
        <v>Thomas Sorriaux</v>
      </c>
      <c r="X4180" s="5">
        <f t="shared" si="4"/>
        <v>1</v>
      </c>
      <c r="Y4180" s="5" t="str">
        <f>IFERROR(__xludf.DUMMYFUNCTION("REGEXEXTRACT(J4180, ""^\d+"")"),"2")</f>
        <v>2</v>
      </c>
      <c r="Z4180" s="5" t="str">
        <f>IFERROR(__xludf.DUMMYFUNCTION("REGEXEXTRACT(J4180, ""[A-Za-z ]+$"")")," Seasons")</f>
        <v> Seasons</v>
      </c>
      <c r="AA4180" s="5" t="str">
        <f>IFERROR(__xludf.DUMMYFUNCTION("IF(REGEXMATCH(Z4180, ""Season""), ""TV Show"", ""Movie"")"),"TV Show")</f>
        <v>TV Show</v>
      </c>
    </row>
    <row r="4181">
      <c r="A4181" s="1" t="s">
        <v>22445</v>
      </c>
      <c r="B4181" s="1" t="s">
        <v>37</v>
      </c>
      <c r="C4181" s="1" t="s">
        <v>22446</v>
      </c>
      <c r="E4181" s="1" t="s">
        <v>22447</v>
      </c>
      <c r="G4181" s="1" t="s">
        <v>22428</v>
      </c>
      <c r="H4181" s="1">
        <v>2017.0</v>
      </c>
      <c r="I4181" s="1" t="s">
        <v>97</v>
      </c>
      <c r="J4181" s="1" t="s">
        <v>51</v>
      </c>
      <c r="K4181" s="1" t="s">
        <v>1907</v>
      </c>
      <c r="L4181" s="1" t="s">
        <v>22448</v>
      </c>
      <c r="M4181" s="2" t="s">
        <v>12</v>
      </c>
      <c r="N4181" s="4">
        <f t="shared" si="1"/>
        <v>43483</v>
      </c>
      <c r="O4181" s="5" t="str">
        <f>IFERROR(__xludf.DUMMYFUNCTION("IF(REGEXMATCH(TRIM(I4181), ""^\d+\s*min""), ""Unclassified"", IF(I4181 = """", ""NR"", I4181))"),"TV-14")</f>
        <v>TV-14</v>
      </c>
      <c r="R4181" s="5" t="str">
        <f t="shared" si="2"/>
        <v>Memory Love</v>
      </c>
      <c r="S4181" s="5" t="str">
        <f>IFERROR(__xludf.DUMMYFUNCTION("""COMPUTED_VALUE"""),"Los Herederos")</f>
        <v>Los Herederos</v>
      </c>
      <c r="U4181" s="5" t="str">
        <f>IFERROR(__xludf.DUMMYFUNCTION("""COMPUTED_VALUE"""),"Jamie M. Dagg")</f>
        <v>Jamie M. Dagg</v>
      </c>
      <c r="V4181" s="5" t="s">
        <v>22449</v>
      </c>
      <c r="W4181" s="5" t="str">
        <f t="shared" si="3"/>
        <v>Thomas Stuber</v>
      </c>
      <c r="X4181" s="5">
        <f t="shared" si="4"/>
        <v>1</v>
      </c>
      <c r="Y4181" s="5" t="str">
        <f>IFERROR(__xludf.DUMMYFUNCTION("REGEXEXTRACT(J4181, ""^\d+"")"),"1")</f>
        <v>1</v>
      </c>
      <c r="Z4181" s="5" t="str">
        <f>IFERROR(__xludf.DUMMYFUNCTION("REGEXEXTRACT(J4181, ""[A-Za-z ]+$"")")," Season")</f>
        <v> Season</v>
      </c>
      <c r="AA4181" s="5" t="str">
        <f>IFERROR(__xludf.DUMMYFUNCTION("IF(REGEXMATCH(Z4181, ""Season""), ""TV Show"", ""Movie"")"),"TV Show")</f>
        <v>TV Show</v>
      </c>
    </row>
    <row r="4182">
      <c r="A4182" s="1" t="s">
        <v>22450</v>
      </c>
      <c r="B4182" s="1" t="s">
        <v>27</v>
      </c>
      <c r="C4182" s="1" t="s">
        <v>22451</v>
      </c>
      <c r="D4182" s="1" t="s">
        <v>1762</v>
      </c>
      <c r="E4182" s="1" t="s">
        <v>22452</v>
      </c>
      <c r="F4182" s="1" t="s">
        <v>1992</v>
      </c>
      <c r="G4182" s="1" t="s">
        <v>22428</v>
      </c>
      <c r="H4182" s="1">
        <v>2018.0</v>
      </c>
      <c r="I4182" s="1" t="s">
        <v>97</v>
      </c>
      <c r="J4182" s="1" t="s">
        <v>322</v>
      </c>
      <c r="K4182" s="1" t="s">
        <v>156</v>
      </c>
      <c r="L4182" s="1" t="s">
        <v>22453</v>
      </c>
      <c r="M4182" s="2" t="s">
        <v>12</v>
      </c>
      <c r="N4182" s="4">
        <f t="shared" si="1"/>
        <v>43483</v>
      </c>
      <c r="O4182" s="5" t="str">
        <f>IFERROR(__xludf.DUMMYFUNCTION("IF(REGEXMATCH(TRIM(I4182), ""^\d+\s*min""), ""Unclassified"", IF(I4182 = """", ""NR"", I4182))"),"TV-14")</f>
        <v>TV-14</v>
      </c>
      <c r="R4182" s="5" t="str">
        <f t="shared" si="2"/>
        <v>Old Lord Savanna</v>
      </c>
      <c r="S4182" s="5" t="str">
        <f>IFERROR(__xludf.DUMMYFUNCTION("""COMPUTED_VALUE"""),"Los Niños Héroes De Chapultepec")</f>
        <v>Los Niños Héroes De Chapultepec</v>
      </c>
      <c r="U4182" s="5" t="str">
        <f>IFERROR(__xludf.DUMMYFUNCTION("""COMPUTED_VALUE"""),"Dan Kwan, Daniel Scheinert")</f>
        <v>Dan Kwan, Daniel Scheinert</v>
      </c>
      <c r="V4182" s="5" t="s">
        <v>8880</v>
      </c>
      <c r="W4182" s="5" t="str">
        <f t="shared" si="3"/>
        <v>Thomas Toby Parkinson</v>
      </c>
      <c r="X4182" s="5">
        <f t="shared" si="4"/>
        <v>1</v>
      </c>
      <c r="Y4182" s="5" t="str">
        <f>IFERROR(__xludf.DUMMYFUNCTION("REGEXEXTRACT(J4182, ""^\d+"")"),"96")</f>
        <v>96</v>
      </c>
      <c r="Z4182" s="5" t="str">
        <f>IFERROR(__xludf.DUMMYFUNCTION("REGEXEXTRACT(J4182, ""[A-Za-z ]+$"")")," min")</f>
        <v> min</v>
      </c>
      <c r="AA4182" s="5" t="str">
        <f>IFERROR(__xludf.DUMMYFUNCTION("IF(REGEXMATCH(Z4182, ""Season""), ""TV Show"", ""Movie"")"),"Movie")</f>
        <v>Movie</v>
      </c>
    </row>
    <row r="4183">
      <c r="A4183" s="1" t="s">
        <v>22454</v>
      </c>
      <c r="B4183" s="1" t="s">
        <v>27</v>
      </c>
      <c r="C4183" s="1" t="s">
        <v>22455</v>
      </c>
      <c r="D4183" s="1" t="s">
        <v>10371</v>
      </c>
      <c r="E4183" s="1" t="s">
        <v>22111</v>
      </c>
      <c r="F4183" s="1" t="s">
        <v>162</v>
      </c>
      <c r="G4183" s="1" t="s">
        <v>22428</v>
      </c>
      <c r="H4183" s="1">
        <v>2019.0</v>
      </c>
      <c r="I4183" s="1" t="s">
        <v>42</v>
      </c>
      <c r="J4183" s="1" t="s">
        <v>33</v>
      </c>
      <c r="K4183" s="1" t="s">
        <v>156</v>
      </c>
      <c r="L4183" s="1" t="s">
        <v>22456</v>
      </c>
      <c r="M4183" s="2" t="s">
        <v>12</v>
      </c>
      <c r="N4183" s="4">
        <f t="shared" si="1"/>
        <v>43483</v>
      </c>
      <c r="O4183" s="5" t="str">
        <f>IFERROR(__xludf.DUMMYFUNCTION("IF(REGEXMATCH(TRIM(I4183), ""^\d+\s*min""), ""Unclassified"", IF(I4183 = """", ""NR"", I4183))"),"TV-MA")</f>
        <v>TV-MA</v>
      </c>
      <c r="R4183" s="5" t="str">
        <f t="shared" si="2"/>
        <v>Patria</v>
      </c>
      <c r="S4183" s="5" t="str">
        <f>IFERROR(__xludf.DUMMYFUNCTION("""COMPUTED_VALUE"""),"Los Tiempos De Pablo Escobar")</f>
        <v>Los Tiempos De Pablo Escobar</v>
      </c>
      <c r="U4183" s="5" t="str">
        <f>IFERROR(__xludf.DUMMYFUNCTION("""COMPUTED_VALUE"""),"Derek Yee")</f>
        <v>Derek Yee</v>
      </c>
      <c r="V4183" s="5" t="s">
        <v>18653</v>
      </c>
      <c r="W4183" s="5" t="str">
        <f t="shared" si="3"/>
        <v>Thomas Vinterberg</v>
      </c>
      <c r="X4183" s="5">
        <f t="shared" si="4"/>
        <v>1</v>
      </c>
      <c r="Y4183" s="5" t="str">
        <f>IFERROR(__xludf.DUMMYFUNCTION("REGEXEXTRACT(J4183, ""^\d+"")"),"90")</f>
        <v>90</v>
      </c>
      <c r="Z4183" s="5" t="str">
        <f>IFERROR(__xludf.DUMMYFUNCTION("REGEXEXTRACT(J4183, ""[A-Za-z ]+$"")")," min")</f>
        <v> min</v>
      </c>
      <c r="AA4183" s="5" t="str">
        <f>IFERROR(__xludf.DUMMYFUNCTION("IF(REGEXMATCH(Z4183, ""Season""), ""TV Show"", ""Movie"")"),"Movie")</f>
        <v>Movie</v>
      </c>
    </row>
    <row r="4184">
      <c r="A4184" s="1" t="s">
        <v>22457</v>
      </c>
      <c r="B4184" s="1" t="s">
        <v>27</v>
      </c>
      <c r="C4184" s="1" t="s">
        <v>22458</v>
      </c>
      <c r="D4184" s="1" t="s">
        <v>5479</v>
      </c>
      <c r="E4184" s="1" t="s">
        <v>22459</v>
      </c>
      <c r="F4184" s="1" t="s">
        <v>63</v>
      </c>
      <c r="G4184" s="1" t="s">
        <v>22428</v>
      </c>
      <c r="H4184" s="1">
        <v>2018.0</v>
      </c>
      <c r="I4184" s="1" t="s">
        <v>42</v>
      </c>
      <c r="J4184" s="1" t="s">
        <v>247</v>
      </c>
      <c r="K4184" s="1" t="s">
        <v>89</v>
      </c>
      <c r="L4184" s="1" t="s">
        <v>22460</v>
      </c>
      <c r="M4184" s="2" t="s">
        <v>12</v>
      </c>
      <c r="N4184" s="4">
        <f t="shared" si="1"/>
        <v>43483</v>
      </c>
      <c r="O4184" s="5" t="str">
        <f>IFERROR(__xludf.DUMMYFUNCTION("IF(REGEXMATCH(TRIM(I4184), ""^\d+\s*min""), ""Unclassified"", IF(I4184 = """", ""NR"", I4184))"),"TV-MA")</f>
        <v>TV-MA</v>
      </c>
      <c r="R4184" s="5" t="str">
        <f t="shared" si="2"/>
        <v>Soni</v>
      </c>
      <c r="S4184" s="5" t="str">
        <f>IFERROR(__xludf.DUMMYFUNCTION("""COMPUTED_VALUE"""),"Los Tigres Del Norte At Folsom Prison")</f>
        <v>Los Tigres Del Norte At Folsom Prison</v>
      </c>
      <c r="U4184" s="5" t="str">
        <f>IFERROR(__xludf.DUMMYFUNCTION("""COMPUTED_VALUE"""),"Navneet Behal")</f>
        <v>Navneet Behal</v>
      </c>
      <c r="V4184" s="5" t="s">
        <v>11784</v>
      </c>
      <c r="W4184" s="5" t="str">
        <f t="shared" si="3"/>
        <v>Thor Freudenthal</v>
      </c>
      <c r="X4184" s="5">
        <f t="shared" si="4"/>
        <v>1</v>
      </c>
      <c r="Y4184" s="5" t="str">
        <f>IFERROR(__xludf.DUMMYFUNCTION("REGEXEXTRACT(J4184, ""^\d+"")"),"97")</f>
        <v>97</v>
      </c>
      <c r="Z4184" s="5" t="str">
        <f>IFERROR(__xludf.DUMMYFUNCTION("REGEXEXTRACT(J4184, ""[A-Za-z ]+$"")")," min")</f>
        <v> min</v>
      </c>
      <c r="AA4184" s="5" t="str">
        <f>IFERROR(__xludf.DUMMYFUNCTION("IF(REGEXMATCH(Z4184, ""Season""), ""TV Show"", ""Movie"")"),"Movie")</f>
        <v>Movie</v>
      </c>
    </row>
    <row r="4185">
      <c r="A4185" s="1" t="s">
        <v>22461</v>
      </c>
      <c r="B4185" s="1" t="s">
        <v>37</v>
      </c>
      <c r="C4185" s="1" t="s">
        <v>22462</v>
      </c>
      <c r="E4185" s="1" t="s">
        <v>22463</v>
      </c>
      <c r="F4185" s="1" t="s">
        <v>96</v>
      </c>
      <c r="G4185" s="1" t="s">
        <v>22428</v>
      </c>
      <c r="H4185" s="1">
        <v>2019.0</v>
      </c>
      <c r="I4185" s="1" t="s">
        <v>506</v>
      </c>
      <c r="J4185" s="1" t="s">
        <v>276</v>
      </c>
      <c r="K4185" s="1" t="s">
        <v>544</v>
      </c>
      <c r="L4185" s="1" t="s">
        <v>22464</v>
      </c>
      <c r="M4185" s="2" t="s">
        <v>12</v>
      </c>
      <c r="N4185" s="4">
        <f t="shared" si="1"/>
        <v>43483</v>
      </c>
      <c r="O4185" s="5" t="str">
        <f>IFERROR(__xludf.DUMMYFUNCTION("IF(REGEXMATCH(TRIM(I4185), ""^\d+\s*min""), ""Unclassified"", IF(I4185 = """", ""NR"", I4185))"),"TV-G")</f>
        <v>TV-G</v>
      </c>
      <c r="R4185" s="5" t="str">
        <f t="shared" si="2"/>
        <v>The World'S Most Extraordinary Homes</v>
      </c>
      <c r="S4185" s="5" t="str">
        <f>IFERROR(__xludf.DUMMYFUNCTION("""COMPUTED_VALUE"""),"Losers")</f>
        <v>Losers</v>
      </c>
      <c r="U4185" s="5" t="str">
        <f>IFERROR(__xludf.DUMMYFUNCTION("""COMPUTED_VALUE"""),"Julien Seri")</f>
        <v>Julien Seri</v>
      </c>
      <c r="V4185" s="5" t="s">
        <v>22465</v>
      </c>
      <c r="W4185" s="5" t="str">
        <f t="shared" si="3"/>
        <v>Thurop Van Orman, John Rice</v>
      </c>
      <c r="X4185" s="5">
        <f t="shared" si="4"/>
        <v>1</v>
      </c>
      <c r="Y4185" s="5" t="str">
        <f>IFERROR(__xludf.DUMMYFUNCTION("REGEXEXTRACT(J4185, ""^\d+"")"),"3")</f>
        <v>3</v>
      </c>
      <c r="Z4185" s="5" t="str">
        <f>IFERROR(__xludf.DUMMYFUNCTION("REGEXEXTRACT(J4185, ""[A-Za-z ]+$"")")," Seasons")</f>
        <v> Seasons</v>
      </c>
      <c r="AA4185" s="5" t="str">
        <f>IFERROR(__xludf.DUMMYFUNCTION("IF(REGEXMATCH(Z4185, ""Season""), ""TV Show"", ""Movie"")"),"TV Show")</f>
        <v>TV Show</v>
      </c>
    </row>
    <row r="4186">
      <c r="A4186" s="1" t="s">
        <v>22466</v>
      </c>
      <c r="B4186" s="1" t="s">
        <v>37</v>
      </c>
      <c r="C4186" s="1" t="s">
        <v>22467</v>
      </c>
      <c r="E4186" s="1" t="s">
        <v>22468</v>
      </c>
      <c r="G4186" s="1" t="s">
        <v>22428</v>
      </c>
      <c r="H4186" s="1">
        <v>2019.0</v>
      </c>
      <c r="I4186" s="1" t="s">
        <v>42</v>
      </c>
      <c r="J4186" s="1" t="s">
        <v>51</v>
      </c>
      <c r="K4186" s="1" t="s">
        <v>18511</v>
      </c>
      <c r="L4186" s="1" t="s">
        <v>22469</v>
      </c>
      <c r="M4186" s="2" t="s">
        <v>12</v>
      </c>
      <c r="N4186" s="4">
        <f t="shared" si="1"/>
        <v>43483</v>
      </c>
      <c r="O4186" s="5" t="str">
        <f>IFERROR(__xludf.DUMMYFUNCTION("IF(REGEXMATCH(TRIM(I4186), ""^\d+\s*min""), ""Unclassified"", IF(I4186 = """", ""NR"", I4186))"),"TV-MA")</f>
        <v>TV-MA</v>
      </c>
      <c r="R4186" s="5" t="str">
        <f t="shared" si="2"/>
        <v>Trigger Warning With Killer Mike</v>
      </c>
      <c r="S4186" s="5" t="str">
        <f>IFERROR(__xludf.DUMMYFUNCTION("""COMPUTED_VALUE"""),"Losing Sight Of Shore")</f>
        <v>Losing Sight Of Shore</v>
      </c>
      <c r="U4186" s="5" t="str">
        <f>IFERROR(__xludf.DUMMYFUNCTION("""COMPUTED_VALUE"""),"Chris Buck, Kevin Lima")</f>
        <v>Chris Buck, Kevin Lima</v>
      </c>
      <c r="V4186" s="5" t="s">
        <v>10630</v>
      </c>
      <c r="W4186" s="5" t="str">
        <f t="shared" si="3"/>
        <v>Ti West</v>
      </c>
      <c r="X4186" s="5">
        <f t="shared" si="4"/>
        <v>1</v>
      </c>
      <c r="Y4186" s="5" t="str">
        <f>IFERROR(__xludf.DUMMYFUNCTION("REGEXEXTRACT(J4186, ""^\d+"")"),"1")</f>
        <v>1</v>
      </c>
      <c r="Z4186" s="5" t="str">
        <f>IFERROR(__xludf.DUMMYFUNCTION("REGEXEXTRACT(J4186, ""[A-Za-z ]+$"")")," Season")</f>
        <v> Season</v>
      </c>
      <c r="AA4186" s="5" t="str">
        <f>IFERROR(__xludf.DUMMYFUNCTION("IF(REGEXMATCH(Z4186, ""Season""), ""TV Show"", ""Movie"")"),"TV Show")</f>
        <v>TV Show</v>
      </c>
    </row>
    <row r="4187">
      <c r="A4187" s="1" t="s">
        <v>22470</v>
      </c>
      <c r="B4187" s="1" t="s">
        <v>27</v>
      </c>
      <c r="C4187" s="1" t="s">
        <v>22471</v>
      </c>
      <c r="D4187" s="1" t="s">
        <v>21287</v>
      </c>
      <c r="F4187" s="1" t="s">
        <v>30</v>
      </c>
      <c r="G4187" s="1" t="s">
        <v>22472</v>
      </c>
      <c r="H4187" s="1">
        <v>2017.0</v>
      </c>
      <c r="I4187" s="1" t="s">
        <v>97</v>
      </c>
      <c r="J4187" s="1" t="s">
        <v>33</v>
      </c>
      <c r="K4187" s="1" t="s">
        <v>34</v>
      </c>
      <c r="L4187" s="1" t="s">
        <v>22473</v>
      </c>
      <c r="M4187" s="2" t="s">
        <v>12</v>
      </c>
      <c r="N4187" s="4">
        <f t="shared" si="1"/>
        <v>43480</v>
      </c>
      <c r="O4187" s="5" t="str">
        <f>IFERROR(__xludf.DUMMYFUNCTION("IF(REGEXMATCH(TRIM(I4187), ""^\d+\s*min""), ""Unclassified"", IF(I4187 = """", ""NR"", I4187))"),"TV-14")</f>
        <v>TV-14</v>
      </c>
      <c r="R4187" s="5" t="str">
        <f t="shared" si="2"/>
        <v>Abducted In Plain Sight</v>
      </c>
      <c r="S4187" s="5" t="str">
        <f>IFERROR(__xludf.DUMMYFUNCTION("""COMPUTED_VALUE"""),"Lost &amp; Found Music Studios")</f>
        <v>Lost &amp; Found Music Studios</v>
      </c>
      <c r="U4187" s="5" t="str">
        <f>IFERROR(__xludf.DUMMYFUNCTION("""COMPUTED_VALUE"""),"Brian Smith")</f>
        <v>Brian Smith</v>
      </c>
      <c r="V4187" s="5" t="s">
        <v>21365</v>
      </c>
      <c r="W4187" s="5" t="str">
        <f t="shared" si="3"/>
        <v>Tianyu Zhao</v>
      </c>
      <c r="X4187" s="5">
        <f t="shared" si="4"/>
        <v>1</v>
      </c>
      <c r="Y4187" s="5" t="str">
        <f>IFERROR(__xludf.DUMMYFUNCTION("REGEXEXTRACT(J4187, ""^\d+"")"),"90")</f>
        <v>90</v>
      </c>
      <c r="Z4187" s="5" t="str">
        <f>IFERROR(__xludf.DUMMYFUNCTION("REGEXEXTRACT(J4187, ""[A-Za-z ]+$"")")," min")</f>
        <v> min</v>
      </c>
      <c r="AA4187" s="5" t="str">
        <f>IFERROR(__xludf.DUMMYFUNCTION("IF(REGEXMATCH(Z4187, ""Season""), ""TV Show"", ""Movie"")"),"Movie")</f>
        <v>Movie</v>
      </c>
    </row>
    <row r="4188">
      <c r="A4188" s="1" t="s">
        <v>22474</v>
      </c>
      <c r="B4188" s="1" t="s">
        <v>27</v>
      </c>
      <c r="C4188" s="1" t="s">
        <v>22475</v>
      </c>
      <c r="D4188" s="1" t="s">
        <v>9138</v>
      </c>
      <c r="E4188" s="1" t="s">
        <v>22476</v>
      </c>
      <c r="F4188" s="1" t="s">
        <v>19350</v>
      </c>
      <c r="G4188" s="1" t="s">
        <v>22472</v>
      </c>
      <c r="H4188" s="1">
        <v>2016.0</v>
      </c>
      <c r="I4188" s="1" t="s">
        <v>97</v>
      </c>
      <c r="J4188" s="1" t="s">
        <v>428</v>
      </c>
      <c r="K4188" s="1" t="s">
        <v>128</v>
      </c>
      <c r="L4188" s="1" t="s">
        <v>22477</v>
      </c>
      <c r="M4188" s="2" t="s">
        <v>12</v>
      </c>
      <c r="N4188" s="4">
        <f t="shared" si="1"/>
        <v>43480</v>
      </c>
      <c r="O4188" s="5" t="str">
        <f>IFERROR(__xludf.DUMMYFUNCTION("IF(REGEXMATCH(TRIM(I4188), ""^\d+\s*min""), ""Unclassified"", IF(I4188 = """", ""NR"", I4188))"),"TV-14")</f>
        <v>TV-14</v>
      </c>
      <c r="R4188" s="5" t="str">
        <f t="shared" si="2"/>
        <v>Abdullah, The Final Witness</v>
      </c>
      <c r="S4188" s="5" t="str">
        <f>IFERROR(__xludf.DUMMYFUNCTION("""COMPUTED_VALUE"""),"Lost Bullet")</f>
        <v>Lost Bullet</v>
      </c>
      <c r="U4188" s="5" t="str">
        <f>IFERROR(__xludf.DUMMYFUNCTION("""COMPUTED_VALUE"""),"Ryu Jung-Woo")</f>
        <v>Ryu Jung-Woo</v>
      </c>
      <c r="V4188" s="5" t="s">
        <v>22478</v>
      </c>
      <c r="W4188" s="5" t="str">
        <f t="shared" si="3"/>
        <v>Ticoy Rodriguez</v>
      </c>
      <c r="X4188" s="5">
        <f t="shared" si="4"/>
        <v>1</v>
      </c>
      <c r="Y4188" s="5" t="str">
        <f>IFERROR(__xludf.DUMMYFUNCTION("REGEXEXTRACT(J4188, ""^\d+"")"),"88")</f>
        <v>88</v>
      </c>
      <c r="Z4188" s="5" t="str">
        <f>IFERROR(__xludf.DUMMYFUNCTION("REGEXEXTRACT(J4188, ""[A-Za-z ]+$"")")," min")</f>
        <v> min</v>
      </c>
      <c r="AA4188" s="5" t="str">
        <f>IFERROR(__xludf.DUMMYFUNCTION("IF(REGEXMATCH(Z4188, ""Season""), ""TV Show"", ""Movie"")"),"Movie")</f>
        <v>Movie</v>
      </c>
    </row>
    <row r="4189">
      <c r="A4189" s="1" t="s">
        <v>22479</v>
      </c>
      <c r="B4189" s="1" t="s">
        <v>27</v>
      </c>
      <c r="C4189" s="1" t="s">
        <v>22480</v>
      </c>
      <c r="F4189" s="1" t="s">
        <v>63</v>
      </c>
      <c r="G4189" s="1" t="s">
        <v>22472</v>
      </c>
      <c r="H4189" s="1">
        <v>2018.0</v>
      </c>
      <c r="I4189" s="1" t="s">
        <v>97</v>
      </c>
      <c r="J4189" s="1" t="s">
        <v>305</v>
      </c>
      <c r="K4189" s="1" t="s">
        <v>5295</v>
      </c>
      <c r="L4189" s="1" t="s">
        <v>22481</v>
      </c>
      <c r="M4189" s="2" t="s">
        <v>12</v>
      </c>
      <c r="N4189" s="4">
        <f t="shared" si="1"/>
        <v>43480</v>
      </c>
      <c r="O4189" s="5" t="str">
        <f>IFERROR(__xludf.DUMMYFUNCTION("IF(REGEXMATCH(TRIM(I4189), ""^\d+\s*min""), ""Unclassified"", IF(I4189 = """", ""NR"", I4189))"),"TV-14")</f>
        <v>TV-14</v>
      </c>
      <c r="R4189" s="5" t="str">
        <f t="shared" si="2"/>
        <v>Adhugo</v>
      </c>
      <c r="S4189" s="5" t="str">
        <f>IFERROR(__xludf.DUMMYFUNCTION("""COMPUTED_VALUE"""),"Lost Girl")</f>
        <v>Lost Girl</v>
      </c>
      <c r="U4189" s="5" t="str">
        <f>IFERROR(__xludf.DUMMYFUNCTION("""COMPUTED_VALUE"""),"Sonia Lowman")</f>
        <v>Sonia Lowman</v>
      </c>
      <c r="V4189" s="5" t="s">
        <v>22482</v>
      </c>
      <c r="W4189" s="5" t="str">
        <f t="shared" si="3"/>
        <v>Tiffanie Hsu</v>
      </c>
      <c r="X4189" s="5">
        <f t="shared" si="4"/>
        <v>1</v>
      </c>
      <c r="Y4189" s="5" t="str">
        <f>IFERROR(__xludf.DUMMYFUNCTION("REGEXEXTRACT(J4189, ""^\d+"")"),"105")</f>
        <v>105</v>
      </c>
      <c r="Z4189" s="5" t="str">
        <f>IFERROR(__xludf.DUMMYFUNCTION("REGEXEXTRACT(J4189, ""[A-Za-z ]+$"")")," min")</f>
        <v> min</v>
      </c>
      <c r="AA4189" s="5" t="str">
        <f>IFERROR(__xludf.DUMMYFUNCTION("IF(REGEXMATCH(Z4189, ""Season""), ""TV Show"", ""Movie"")"),"Movie")</f>
        <v>Movie</v>
      </c>
    </row>
    <row r="4190">
      <c r="A4190" s="1" t="s">
        <v>22483</v>
      </c>
      <c r="B4190" s="1" t="s">
        <v>27</v>
      </c>
      <c r="C4190" s="1" t="s">
        <v>22484</v>
      </c>
      <c r="D4190" s="1" t="s">
        <v>20502</v>
      </c>
      <c r="E4190" s="1" t="s">
        <v>22485</v>
      </c>
      <c r="F4190" s="1" t="s">
        <v>63</v>
      </c>
      <c r="G4190" s="1" t="s">
        <v>22472</v>
      </c>
      <c r="H4190" s="1">
        <v>2018.0</v>
      </c>
      <c r="I4190" s="1" t="s">
        <v>97</v>
      </c>
      <c r="J4190" s="1" t="s">
        <v>127</v>
      </c>
      <c r="K4190" s="1" t="s">
        <v>631</v>
      </c>
      <c r="L4190" s="1" t="s">
        <v>22486</v>
      </c>
      <c r="M4190" s="2" t="s">
        <v>12</v>
      </c>
      <c r="N4190" s="4">
        <f t="shared" si="1"/>
        <v>43480</v>
      </c>
      <c r="O4190" s="5" t="str">
        <f>IFERROR(__xludf.DUMMYFUNCTION("IF(REGEXMATCH(TRIM(I4190), ""^\d+\s*min""), ""Unclassified"", IF(I4190 = """", ""NR"", I4190))"),"TV-14")</f>
        <v>TV-14</v>
      </c>
      <c r="R4190" s="5" t="str">
        <f t="shared" si="2"/>
        <v>Echcharikkai</v>
      </c>
      <c r="S4190" s="5" t="str">
        <f>IFERROR(__xludf.DUMMYFUNCTION("""COMPUTED_VALUE"""),"Lost Girls")</f>
        <v>Lost Girls</v>
      </c>
      <c r="U4190" s="5" t="str">
        <f>IFERROR(__xludf.DUMMYFUNCTION("""COMPUTED_VALUE"""),"John Carchietta")</f>
        <v>John Carchietta</v>
      </c>
      <c r="V4190" s="5" t="s">
        <v>22487</v>
      </c>
      <c r="W4190" s="5" t="str">
        <f t="shared" si="3"/>
        <v>Tig Notaro</v>
      </c>
      <c r="X4190" s="5">
        <f t="shared" si="4"/>
        <v>1</v>
      </c>
      <c r="Y4190" s="5" t="str">
        <f>IFERROR(__xludf.DUMMYFUNCTION("REGEXEXTRACT(J4190, ""^\d+"")"),"127")</f>
        <v>127</v>
      </c>
      <c r="Z4190" s="5" t="str">
        <f>IFERROR(__xludf.DUMMYFUNCTION("REGEXEXTRACT(J4190, ""[A-Za-z ]+$"")")," min")</f>
        <v> min</v>
      </c>
      <c r="AA4190" s="5" t="str">
        <f>IFERROR(__xludf.DUMMYFUNCTION("IF(REGEXMATCH(Z4190, ""Season""), ""TV Show"", ""Movie"")"),"Movie")</f>
        <v>Movie</v>
      </c>
    </row>
    <row r="4191">
      <c r="A4191" s="1" t="s">
        <v>22488</v>
      </c>
      <c r="B4191" s="1" t="s">
        <v>37</v>
      </c>
      <c r="C4191" s="1" t="s">
        <v>22489</v>
      </c>
      <c r="E4191" s="1" t="s">
        <v>22490</v>
      </c>
      <c r="F4191" s="1" t="s">
        <v>2059</v>
      </c>
      <c r="G4191" s="1" t="s">
        <v>22472</v>
      </c>
      <c r="H4191" s="1">
        <v>2002.0</v>
      </c>
      <c r="I4191" s="1" t="s">
        <v>97</v>
      </c>
      <c r="J4191" s="1" t="s">
        <v>51</v>
      </c>
      <c r="K4191" s="1" t="s">
        <v>1907</v>
      </c>
      <c r="L4191" s="1" t="s">
        <v>22491</v>
      </c>
      <c r="M4191" s="2" t="s">
        <v>12</v>
      </c>
      <c r="N4191" s="4">
        <f t="shared" si="1"/>
        <v>43480</v>
      </c>
      <c r="O4191" s="5" t="str">
        <f>IFERROR(__xludf.DUMMYFUNCTION("IF(REGEXMATCH(TRIM(I4191), ""^\d+\s*min""), ""Unclassified"", IF(I4191 = """", ""NR"", I4191))"),"TV-14")</f>
        <v>TV-14</v>
      </c>
      <c r="R4191" s="5" t="str">
        <f t="shared" si="2"/>
        <v>Lavender</v>
      </c>
      <c r="S4191" s="5" t="str">
        <f>IFERROR(__xludf.DUMMYFUNCTION("""COMPUTED_VALUE"""),"Lost In London")</f>
        <v>Lost In London</v>
      </c>
      <c r="U4191" s="5" t="str">
        <f>IFERROR(__xludf.DUMMYFUNCTION("""COMPUTED_VALUE"""),"Kevin Munroe")</f>
        <v>Kevin Munroe</v>
      </c>
      <c r="V4191" s="5" t="s">
        <v>11346</v>
      </c>
      <c r="W4191" s="5" t="str">
        <f t="shared" si="3"/>
        <v>Tigmanshu Dhulia</v>
      </c>
      <c r="X4191" s="5">
        <f t="shared" si="4"/>
        <v>2</v>
      </c>
      <c r="Y4191" s="5" t="str">
        <f>IFERROR(__xludf.DUMMYFUNCTION("REGEXEXTRACT(J4191, ""^\d+"")"),"1")</f>
        <v>1</v>
      </c>
      <c r="Z4191" s="5" t="str">
        <f>IFERROR(__xludf.DUMMYFUNCTION("REGEXEXTRACT(J4191, ""[A-Za-z ]+$"")")," Season")</f>
        <v> Season</v>
      </c>
      <c r="AA4191" s="5" t="str">
        <f>IFERROR(__xludf.DUMMYFUNCTION("IF(REGEXMATCH(Z4191, ""Season""), ""TV Show"", ""Movie"")"),"TV Show")</f>
        <v>TV Show</v>
      </c>
    </row>
    <row r="4192">
      <c r="A4192" s="1" t="s">
        <v>22492</v>
      </c>
      <c r="B4192" s="1" t="s">
        <v>27</v>
      </c>
      <c r="C4192" s="1" t="s">
        <v>22493</v>
      </c>
      <c r="D4192" s="1" t="s">
        <v>7674</v>
      </c>
      <c r="E4192" s="1" t="s">
        <v>22494</v>
      </c>
      <c r="F4192" s="1" t="s">
        <v>63</v>
      </c>
      <c r="G4192" s="1" t="s">
        <v>22472</v>
      </c>
      <c r="H4192" s="1">
        <v>2017.0</v>
      </c>
      <c r="I4192" s="1" t="s">
        <v>42</v>
      </c>
      <c r="J4192" s="1" t="s">
        <v>88</v>
      </c>
      <c r="K4192" s="1" t="s">
        <v>306</v>
      </c>
      <c r="L4192" s="1" t="s">
        <v>22495</v>
      </c>
      <c r="M4192" s="2" t="s">
        <v>12</v>
      </c>
      <c r="N4192" s="4">
        <f t="shared" si="1"/>
        <v>43480</v>
      </c>
      <c r="O4192" s="5" t="str">
        <f>IFERROR(__xludf.DUMMYFUNCTION("IF(REGEXMATCH(TRIM(I4192), ""^\d+\s*min""), ""Unclassified"", IF(I4192 = """", ""NR"", I4192))"),"TV-MA")</f>
        <v>TV-MA</v>
      </c>
      <c r="R4192" s="5" t="str">
        <f t="shared" si="2"/>
        <v>Pandigai</v>
      </c>
      <c r="S4192" s="5" t="str">
        <f>IFERROR(__xludf.DUMMYFUNCTION("""COMPUTED_VALUE"""),"Lost In Space")</f>
        <v>Lost In Space</v>
      </c>
      <c r="U4192" s="5" t="str">
        <f>IFERROR(__xludf.DUMMYFUNCTION("""COMPUTED_VALUE"""),"Michael Pressman")</f>
        <v>Michael Pressman</v>
      </c>
      <c r="V4192" s="5" t="s">
        <v>22496</v>
      </c>
      <c r="W4192" s="5" t="str">
        <f t="shared" si="3"/>
        <v>Tilak Shetty</v>
      </c>
      <c r="X4192" s="5">
        <f t="shared" si="4"/>
        <v>3</v>
      </c>
      <c r="Y4192" s="5" t="str">
        <f>IFERROR(__xludf.DUMMYFUNCTION("REGEXEXTRACT(J4192, ""^\d+"")"),"125")</f>
        <v>125</v>
      </c>
      <c r="Z4192" s="5" t="str">
        <f>IFERROR(__xludf.DUMMYFUNCTION("REGEXEXTRACT(J4192, ""[A-Za-z ]+$"")")," min")</f>
        <v> min</v>
      </c>
      <c r="AA4192" s="5" t="str">
        <f>IFERROR(__xludf.DUMMYFUNCTION("IF(REGEXMATCH(Z4192, ""Season""), ""TV Show"", ""Movie"")"),"Movie")</f>
        <v>Movie</v>
      </c>
    </row>
    <row r="4193">
      <c r="A4193" s="1" t="s">
        <v>22497</v>
      </c>
      <c r="B4193" s="1" t="s">
        <v>27</v>
      </c>
      <c r="C4193" s="1" t="s">
        <v>22498</v>
      </c>
      <c r="D4193" s="1" t="s">
        <v>22066</v>
      </c>
      <c r="E4193" s="1" t="s">
        <v>22499</v>
      </c>
      <c r="F4193" s="1" t="s">
        <v>19350</v>
      </c>
      <c r="G4193" s="1" t="s">
        <v>22472</v>
      </c>
      <c r="H4193" s="1">
        <v>2018.0</v>
      </c>
      <c r="I4193" s="1" t="s">
        <v>97</v>
      </c>
      <c r="J4193" s="1" t="s">
        <v>349</v>
      </c>
      <c r="K4193" s="1" t="s">
        <v>1441</v>
      </c>
      <c r="L4193" s="1" t="s">
        <v>22500</v>
      </c>
      <c r="M4193" s="2" t="s">
        <v>12</v>
      </c>
      <c r="N4193" s="4">
        <f t="shared" si="1"/>
        <v>43480</v>
      </c>
      <c r="O4193" s="5" t="str">
        <f>IFERROR(__xludf.DUMMYFUNCTION("IF(REGEXMATCH(TRIM(I4193), ""^\d+\s*min""), ""Unclassified"", IF(I4193 = """", ""NR"", I4193))"),"TV-14")</f>
        <v>TV-14</v>
      </c>
      <c r="R4193" s="5" t="str">
        <f t="shared" si="2"/>
        <v>Pari</v>
      </c>
      <c r="S4193" s="5" t="str">
        <f>IFERROR(__xludf.DUMMYFUNCTION("""COMPUTED_VALUE"""),"Lost Song")</f>
        <v>Lost Song</v>
      </c>
      <c r="U4193" s="5" t="str">
        <f>IFERROR(__xludf.DUMMYFUNCTION("""COMPUTED_VALUE"""),"Steve Barron")</f>
        <v>Steve Barron</v>
      </c>
      <c r="V4193" s="5" t="s">
        <v>8335</v>
      </c>
      <c r="W4193" s="5" t="str">
        <f t="shared" si="3"/>
        <v>Tiller Russell</v>
      </c>
      <c r="X4193" s="5">
        <f t="shared" si="4"/>
        <v>3</v>
      </c>
      <c r="Y4193" s="5" t="str">
        <f>IFERROR(__xludf.DUMMYFUNCTION("REGEXEXTRACT(J4193, ""^\d+"")"),"116")</f>
        <v>116</v>
      </c>
      <c r="Z4193" s="5" t="str">
        <f>IFERROR(__xludf.DUMMYFUNCTION("REGEXEXTRACT(J4193, ""[A-Za-z ]+$"")")," min")</f>
        <v> min</v>
      </c>
      <c r="AA4193" s="5" t="str">
        <f>IFERROR(__xludf.DUMMYFUNCTION("IF(REGEXMATCH(Z4193, ""Season""), ""TV Show"", ""Movie"")"),"Movie")</f>
        <v>Movie</v>
      </c>
    </row>
    <row r="4194">
      <c r="A4194" s="1" t="s">
        <v>22501</v>
      </c>
      <c r="B4194" s="1" t="s">
        <v>27</v>
      </c>
      <c r="C4194" s="1" t="s">
        <v>22502</v>
      </c>
      <c r="D4194" s="1" t="s">
        <v>22503</v>
      </c>
      <c r="E4194" s="1" t="s">
        <v>22504</v>
      </c>
      <c r="F4194" s="1" t="s">
        <v>749</v>
      </c>
      <c r="G4194" s="1" t="s">
        <v>22472</v>
      </c>
      <c r="H4194" s="1">
        <v>2018.0</v>
      </c>
      <c r="I4194" s="1" t="s">
        <v>42</v>
      </c>
      <c r="J4194" s="1" t="s">
        <v>447</v>
      </c>
      <c r="K4194" s="1" t="s">
        <v>1066</v>
      </c>
      <c r="L4194" s="1" t="s">
        <v>22505</v>
      </c>
      <c r="M4194" s="2" t="s">
        <v>12</v>
      </c>
      <c r="N4194" s="4">
        <f t="shared" si="1"/>
        <v>43480</v>
      </c>
      <c r="O4194" s="5" t="str">
        <f>IFERROR(__xludf.DUMMYFUNCTION("IF(REGEXMATCH(TRIM(I4194), ""^\d+\s*min""), ""Unclassified"", IF(I4194 = """", ""NR"", I4194))"),"TV-MA")</f>
        <v>TV-MA</v>
      </c>
      <c r="R4194" s="5" t="str">
        <f t="shared" si="2"/>
        <v>Revenger</v>
      </c>
      <c r="S4194" s="5" t="str">
        <f>IFERROR(__xludf.DUMMYFUNCTION("""COMPUTED_VALUE"""),"Loudon Wainwright Iii: Surviving Twin")</f>
        <v>Loudon Wainwright Iii: Surviving Twin</v>
      </c>
      <c r="U4194" s="5" t="str">
        <f>IFERROR(__xludf.DUMMYFUNCTION("""COMPUTED_VALUE"""),"Einar Gabbassov")</f>
        <v>Einar Gabbassov</v>
      </c>
      <c r="V4194" s="5" t="s">
        <v>22506</v>
      </c>
      <c r="W4194" s="5" t="str">
        <f t="shared" si="3"/>
        <v>Tim Bartley</v>
      </c>
      <c r="X4194" s="5">
        <f t="shared" si="4"/>
        <v>1</v>
      </c>
      <c r="Y4194" s="5" t="str">
        <f>IFERROR(__xludf.DUMMYFUNCTION("REGEXEXTRACT(J4194, ""^\d+"")"),"102")</f>
        <v>102</v>
      </c>
      <c r="Z4194" s="5" t="str">
        <f>IFERROR(__xludf.DUMMYFUNCTION("REGEXEXTRACT(J4194, ""[A-Za-z ]+$"")")," min")</f>
        <v> min</v>
      </c>
      <c r="AA4194" s="5" t="str">
        <f>IFERROR(__xludf.DUMMYFUNCTION("IF(REGEXMATCH(Z4194, ""Season""), ""TV Show"", ""Movie"")"),"Movie")</f>
        <v>Movie</v>
      </c>
    </row>
    <row r="4195">
      <c r="A4195" s="1" t="s">
        <v>22507</v>
      </c>
      <c r="B4195" s="1" t="s">
        <v>27</v>
      </c>
      <c r="C4195" s="1" t="s">
        <v>22508</v>
      </c>
      <c r="D4195" s="1" t="s">
        <v>19255</v>
      </c>
      <c r="E4195" s="1" t="s">
        <v>19231</v>
      </c>
      <c r="F4195" s="1" t="s">
        <v>30</v>
      </c>
      <c r="G4195" s="1" t="s">
        <v>22472</v>
      </c>
      <c r="H4195" s="1">
        <v>2019.0</v>
      </c>
      <c r="I4195" s="1" t="s">
        <v>42</v>
      </c>
      <c r="J4195" s="1" t="s">
        <v>2616</v>
      </c>
      <c r="K4195" s="1" t="s">
        <v>1839</v>
      </c>
      <c r="L4195" s="1" t="s">
        <v>22509</v>
      </c>
      <c r="M4195" s="2" t="s">
        <v>12</v>
      </c>
      <c r="N4195" s="4">
        <f t="shared" si="1"/>
        <v>43480</v>
      </c>
      <c r="O4195" s="5" t="str">
        <f>IFERROR(__xludf.DUMMYFUNCTION("IF(REGEXMATCH(TRIM(I4195), ""^\d+\s*min""), ""Unclassified"", IF(I4195 = """", ""NR"", I4195))"),"TV-MA")</f>
        <v>TV-MA</v>
      </c>
      <c r="R4195" s="5" t="str">
        <f t="shared" si="2"/>
        <v>Sebastian Maniscalco: Stay Hungry</v>
      </c>
      <c r="S4195" s="5" t="str">
        <f>IFERROR(__xludf.DUMMYFUNCTION("""COMPUTED_VALUE"""),"Louis C.K. 2017")</f>
        <v>Louis C.K. 2017</v>
      </c>
      <c r="U4195" s="5" t="str">
        <f>IFERROR(__xludf.DUMMYFUNCTION("""COMPUTED_VALUE"""),"Natalia Garagiola")</f>
        <v>Natalia Garagiola</v>
      </c>
      <c r="V4195" s="5" t="s">
        <v>22510</v>
      </c>
      <c r="W4195" s="5" t="str">
        <f t="shared" si="3"/>
        <v>Tim Blake Nelson</v>
      </c>
      <c r="X4195" s="5">
        <f t="shared" si="4"/>
        <v>1</v>
      </c>
      <c r="Y4195" s="5" t="str">
        <f>IFERROR(__xludf.DUMMYFUNCTION("REGEXEXTRACT(J4195, ""^\d+"")"),"65")</f>
        <v>65</v>
      </c>
      <c r="Z4195" s="5" t="str">
        <f>IFERROR(__xludf.DUMMYFUNCTION("REGEXEXTRACT(J4195, ""[A-Za-z ]+$"")")," min")</f>
        <v> min</v>
      </c>
      <c r="AA4195" s="5" t="str">
        <f>IFERROR(__xludf.DUMMYFUNCTION("IF(REGEXMATCH(Z4195, ""Season""), ""TV Show"", ""Movie"")"),"Movie")</f>
        <v>Movie</v>
      </c>
    </row>
    <row r="4196">
      <c r="A4196" s="1" t="s">
        <v>22511</v>
      </c>
      <c r="B4196" s="1" t="s">
        <v>27</v>
      </c>
      <c r="C4196" s="1" t="s">
        <v>22512</v>
      </c>
      <c r="D4196" s="1" t="s">
        <v>19590</v>
      </c>
      <c r="E4196" s="1" t="s">
        <v>22513</v>
      </c>
      <c r="F4196" s="1" t="s">
        <v>2873</v>
      </c>
      <c r="G4196" s="1" t="s">
        <v>22472</v>
      </c>
      <c r="H4196" s="1">
        <v>2016.0</v>
      </c>
      <c r="I4196" s="1" t="s">
        <v>42</v>
      </c>
      <c r="J4196" s="1" t="s">
        <v>256</v>
      </c>
      <c r="K4196" s="1" t="s">
        <v>1441</v>
      </c>
      <c r="L4196" s="1" t="s">
        <v>22514</v>
      </c>
      <c r="M4196" s="2" t="s">
        <v>12</v>
      </c>
      <c r="N4196" s="4">
        <f t="shared" si="1"/>
        <v>43480</v>
      </c>
      <c r="O4196" s="5" t="str">
        <f>IFERROR(__xludf.DUMMYFUNCTION("IF(REGEXMATCH(TRIM(I4196), ""^\d+\s*min""), ""Unclassified"", IF(I4196 = """", ""NR"", I4196))"),"TV-MA")</f>
        <v>TV-MA</v>
      </c>
      <c r="R4196" s="5" t="str">
        <f t="shared" si="2"/>
        <v>The Doll</v>
      </c>
      <c r="S4196" s="5" t="str">
        <f>IFERROR(__xludf.DUMMYFUNCTION("""COMPUTED_VALUE"""),"Louis C.K.: Hilarious")</f>
        <v>Louis C.K.: Hilarious</v>
      </c>
      <c r="U4196" s="5" t="str">
        <f>IFERROR(__xludf.DUMMYFUNCTION("""COMPUTED_VALUE"""),"Jevons Au, Zune Kwok, Chow Kwun-Wai, Ng Ka-Leung, Wong Fei-Pang")</f>
        <v>Jevons Au, Zune Kwok, Chow Kwun-Wai, Ng Ka-Leung, Wong Fei-Pang</v>
      </c>
      <c r="V4196" s="5" t="s">
        <v>1129</v>
      </c>
      <c r="W4196" s="5" t="str">
        <f t="shared" si="3"/>
        <v>Tim Burton</v>
      </c>
      <c r="X4196" s="5">
        <f t="shared" si="4"/>
        <v>3</v>
      </c>
      <c r="Y4196" s="5" t="str">
        <f>IFERROR(__xludf.DUMMYFUNCTION("REGEXEXTRACT(J4196, ""^\d+"")"),"106")</f>
        <v>106</v>
      </c>
      <c r="Z4196" s="5" t="str">
        <f>IFERROR(__xludf.DUMMYFUNCTION("REGEXEXTRACT(J4196, ""[A-Za-z ]+$"")")," min")</f>
        <v> min</v>
      </c>
      <c r="AA4196" s="5" t="str">
        <f>IFERROR(__xludf.DUMMYFUNCTION("IF(REGEXMATCH(Z4196, ""Season""), ""TV Show"", ""Movie"")"),"Movie")</f>
        <v>Movie</v>
      </c>
    </row>
    <row r="4197">
      <c r="A4197" s="1" t="s">
        <v>22515</v>
      </c>
      <c r="B4197" s="1" t="s">
        <v>27</v>
      </c>
      <c r="C4197" s="1" t="s">
        <v>22516</v>
      </c>
      <c r="D4197" s="1" t="s">
        <v>19590</v>
      </c>
      <c r="E4197" s="1" t="s">
        <v>22517</v>
      </c>
      <c r="F4197" s="1" t="s">
        <v>2873</v>
      </c>
      <c r="G4197" s="1" t="s">
        <v>22472</v>
      </c>
      <c r="H4197" s="1">
        <v>2017.0</v>
      </c>
      <c r="I4197" s="1" t="s">
        <v>42</v>
      </c>
      <c r="J4197" s="1" t="s">
        <v>743</v>
      </c>
      <c r="K4197" s="1" t="s">
        <v>1441</v>
      </c>
      <c r="L4197" s="1" t="s">
        <v>22518</v>
      </c>
      <c r="M4197" s="2" t="s">
        <v>12</v>
      </c>
      <c r="N4197" s="4">
        <f t="shared" si="1"/>
        <v>43480</v>
      </c>
      <c r="O4197" s="5" t="str">
        <f>IFERROR(__xludf.DUMMYFUNCTION("IF(REGEXMATCH(TRIM(I4197), ""^\d+\s*min""), ""Unclassified"", IF(I4197 = """", ""NR"", I4197))"),"TV-MA")</f>
        <v>TV-MA</v>
      </c>
      <c r="R4197" s="5" t="str">
        <f t="shared" si="2"/>
        <v>The Doll 2</v>
      </c>
      <c r="S4197" s="5" t="str">
        <f>IFERROR(__xludf.DUMMYFUNCTION("""COMPUTED_VALUE"""),"Louis C.K.: Live At The Comedy Store")</f>
        <v>Louis C.K.: Live At The Comedy Store</v>
      </c>
      <c r="U4197" s="5" t="str">
        <f>IFERROR(__xludf.DUMMYFUNCTION("""COMPUTED_VALUE"""),"Yann Arthus-Bertrand, Michael Pitiot")</f>
        <v>Yann Arthus-Bertrand, Michael Pitiot</v>
      </c>
      <c r="V4197" s="5" t="s">
        <v>16757</v>
      </c>
      <c r="W4197" s="5" t="str">
        <f t="shared" si="3"/>
        <v>Tim Hill</v>
      </c>
      <c r="X4197" s="5">
        <f t="shared" si="4"/>
        <v>1</v>
      </c>
      <c r="Y4197" s="5" t="str">
        <f>IFERROR(__xludf.DUMMYFUNCTION("REGEXEXTRACT(J4197, ""^\d+"")"),"117")</f>
        <v>117</v>
      </c>
      <c r="Z4197" s="5" t="str">
        <f>IFERROR(__xludf.DUMMYFUNCTION("REGEXEXTRACT(J4197, ""[A-Za-z ]+$"")")," min")</f>
        <v> min</v>
      </c>
      <c r="AA4197" s="5" t="str">
        <f>IFERROR(__xludf.DUMMYFUNCTION("IF(REGEXMATCH(Z4197, ""Season""), ""TV Show"", ""Movie"")"),"Movie")</f>
        <v>Movie</v>
      </c>
    </row>
    <row r="4198">
      <c r="A4198" s="1" t="s">
        <v>22519</v>
      </c>
      <c r="B4198" s="1" t="s">
        <v>37</v>
      </c>
      <c r="C4198" s="1" t="s">
        <v>22520</v>
      </c>
      <c r="E4198" s="1" t="s">
        <v>22521</v>
      </c>
      <c r="F4198" s="1" t="s">
        <v>2059</v>
      </c>
      <c r="G4198" s="1" t="s">
        <v>22522</v>
      </c>
      <c r="H4198" s="1">
        <v>2016.0</v>
      </c>
      <c r="I4198" s="1" t="s">
        <v>97</v>
      </c>
      <c r="J4198" s="1" t="s">
        <v>51</v>
      </c>
      <c r="K4198" s="1" t="s">
        <v>402</v>
      </c>
      <c r="L4198" s="1" t="s">
        <v>22523</v>
      </c>
      <c r="M4198" s="2" t="s">
        <v>12</v>
      </c>
      <c r="N4198" s="4">
        <f t="shared" si="1"/>
        <v>43479</v>
      </c>
      <c r="O4198" s="5" t="str">
        <f>IFERROR(__xludf.DUMMYFUNCTION("IF(REGEXMATCH(TRIM(I4198), ""^\d+\s*min""), ""Unclassified"", IF(I4198 = """", ""NR"", I4198))"),"TV-14")</f>
        <v>TV-14</v>
      </c>
      <c r="R4198" s="5" t="str">
        <f t="shared" si="2"/>
        <v>La Grande Chaumière Violette</v>
      </c>
      <c r="S4198" s="5" t="str">
        <f>IFERROR(__xludf.DUMMYFUNCTION("""COMPUTED_VALUE"""),"Love")</f>
        <v>Love</v>
      </c>
      <c r="U4198" s="5" t="str">
        <f>IFERROR(__xludf.DUMMYFUNCTION("""COMPUTED_VALUE"""),"Damien Leone")</f>
        <v>Damien Leone</v>
      </c>
      <c r="V4198" s="5" t="s">
        <v>5131</v>
      </c>
      <c r="W4198" s="5" t="str">
        <f t="shared" si="3"/>
        <v>Tim Johnson</v>
      </c>
      <c r="X4198" s="5">
        <f t="shared" si="4"/>
        <v>2</v>
      </c>
      <c r="Y4198" s="5" t="str">
        <f>IFERROR(__xludf.DUMMYFUNCTION("REGEXEXTRACT(J4198, ""^\d+"")"),"1")</f>
        <v>1</v>
      </c>
      <c r="Z4198" s="5" t="str">
        <f>IFERROR(__xludf.DUMMYFUNCTION("REGEXEXTRACT(J4198, ""[A-Za-z ]+$"")")," Season")</f>
        <v> Season</v>
      </c>
      <c r="AA4198" s="5" t="str">
        <f>IFERROR(__xludf.DUMMYFUNCTION("IF(REGEXMATCH(Z4198, ""Season""), ""TV Show"", ""Movie"")"),"TV Show")</f>
        <v>TV Show</v>
      </c>
    </row>
    <row r="4199">
      <c r="A4199" s="1" t="s">
        <v>22524</v>
      </c>
      <c r="B4199" s="1" t="s">
        <v>27</v>
      </c>
      <c r="C4199" s="1" t="s">
        <v>22525</v>
      </c>
      <c r="D4199" s="1" t="s">
        <v>8250</v>
      </c>
      <c r="E4199" s="1" t="s">
        <v>22526</v>
      </c>
      <c r="F4199" s="1" t="s">
        <v>63</v>
      </c>
      <c r="G4199" s="1" t="s">
        <v>22527</v>
      </c>
      <c r="H4199" s="1">
        <v>2018.0</v>
      </c>
      <c r="I4199" s="1" t="s">
        <v>42</v>
      </c>
      <c r="J4199" s="1" t="s">
        <v>1383</v>
      </c>
      <c r="K4199" s="1" t="s">
        <v>128</v>
      </c>
      <c r="L4199" s="1" t="s">
        <v>22528</v>
      </c>
      <c r="M4199" s="2" t="s">
        <v>12</v>
      </c>
      <c r="N4199" s="4">
        <f t="shared" si="1"/>
        <v>43478</v>
      </c>
      <c r="O4199" s="5" t="str">
        <f>IFERROR(__xludf.DUMMYFUNCTION("IF(REGEXMATCH(TRIM(I4199), ""^\d+\s*min""), ""Unclassified"", IF(I4199 = """", ""NR"", I4199))"),"TV-MA")</f>
        <v>TV-MA</v>
      </c>
      <c r="R4199" s="5" t="str">
        <f t="shared" si="2"/>
        <v>Baazaar</v>
      </c>
      <c r="S4199" s="5" t="str">
        <f>IFERROR(__xludf.DUMMYFUNCTION("""COMPUTED_VALUE"""),"Love (Ft. Marriage And Divorce)")</f>
        <v>Love (Ft. Marriage And Divorce)</v>
      </c>
      <c r="U4199" s="5" t="str">
        <f>IFERROR(__xludf.DUMMYFUNCTION("""COMPUTED_VALUE"""),"Sukhbir Singh")</f>
        <v>Sukhbir Singh</v>
      </c>
      <c r="V4199" s="5" t="s">
        <v>22529</v>
      </c>
      <c r="W4199" s="5" t="str">
        <f t="shared" si="3"/>
        <v>Tim Maltby</v>
      </c>
      <c r="X4199" s="5">
        <f t="shared" si="4"/>
        <v>1</v>
      </c>
      <c r="Y4199" s="5" t="str">
        <f>IFERROR(__xludf.DUMMYFUNCTION("REGEXEXTRACT(J4199, ""^\d+"")"),"136")</f>
        <v>136</v>
      </c>
      <c r="Z4199" s="5" t="str">
        <f>IFERROR(__xludf.DUMMYFUNCTION("REGEXEXTRACT(J4199, ""[A-Za-z ]+$"")")," min")</f>
        <v> min</v>
      </c>
      <c r="AA4199" s="5" t="str">
        <f>IFERROR(__xludf.DUMMYFUNCTION("IF(REGEXMATCH(Z4199, ""Season""), ""TV Show"", ""Movie"")"),"Movie")</f>
        <v>Movie</v>
      </c>
    </row>
    <row r="4200">
      <c r="A4200" s="1" t="s">
        <v>22530</v>
      </c>
      <c r="B4200" s="1" t="s">
        <v>27</v>
      </c>
      <c r="C4200" s="1" t="s">
        <v>22531</v>
      </c>
      <c r="D4200" s="1" t="s">
        <v>5442</v>
      </c>
      <c r="E4200" s="1" t="s">
        <v>22532</v>
      </c>
      <c r="F4200" s="1" t="s">
        <v>4287</v>
      </c>
      <c r="G4200" s="1" t="s">
        <v>22533</v>
      </c>
      <c r="H4200" s="1">
        <v>2017.0</v>
      </c>
      <c r="I4200" s="1" t="s">
        <v>42</v>
      </c>
      <c r="J4200" s="1" t="s">
        <v>106</v>
      </c>
      <c r="K4200" s="1" t="s">
        <v>583</v>
      </c>
      <c r="L4200" s="1" t="s">
        <v>22534</v>
      </c>
      <c r="M4200" s="2" t="s">
        <v>12</v>
      </c>
      <c r="N4200" s="4">
        <f t="shared" si="1"/>
        <v>43476</v>
      </c>
      <c r="O4200" s="5" t="str">
        <f>IFERROR(__xludf.DUMMYFUNCTION("IF(REGEXMATCH(TRIM(I4200), ""^\d+\s*min""), ""Unclassified"", IF(I4200 = """", ""NR"", I4200))"),"TV-MA")</f>
        <v>TV-MA</v>
      </c>
      <c r="R4200" s="5" t="str">
        <f t="shared" si="2"/>
        <v>All Of You</v>
      </c>
      <c r="S4200" s="5" t="str">
        <f>IFERROR(__xludf.DUMMYFUNCTION("""COMPUTED_VALUE"""),"Love @ Seventeen")</f>
        <v>Love @ Seventeen</v>
      </c>
      <c r="U4200" s="5" t="str">
        <f>IFERROR(__xludf.DUMMYFUNCTION("""COMPUTED_VALUE"""),"Dheeraj Berry")</f>
        <v>Dheeraj Berry</v>
      </c>
      <c r="V4200" s="5" t="s">
        <v>10482</v>
      </c>
      <c r="W4200" s="5" t="str">
        <f t="shared" si="3"/>
        <v>Tim Neeves</v>
      </c>
      <c r="X4200" s="5">
        <f t="shared" si="4"/>
        <v>1</v>
      </c>
      <c r="Y4200" s="5" t="str">
        <f>IFERROR(__xludf.DUMMYFUNCTION("REGEXEXTRACT(J4200, ""^\d+"")"),"104")</f>
        <v>104</v>
      </c>
      <c r="Z4200" s="5" t="str">
        <f>IFERROR(__xludf.DUMMYFUNCTION("REGEXEXTRACT(J4200, ""[A-Za-z ]+$"")")," min")</f>
        <v> min</v>
      </c>
      <c r="AA4200" s="5" t="str">
        <f>IFERROR(__xludf.DUMMYFUNCTION("IF(REGEXMATCH(Z4200, ""Season""), ""TV Show"", ""Movie"")"),"Movie")</f>
        <v>Movie</v>
      </c>
    </row>
    <row r="4201">
      <c r="A4201" s="1" t="s">
        <v>22535</v>
      </c>
      <c r="B4201" s="1" t="s">
        <v>37</v>
      </c>
      <c r="C4201" s="1" t="s">
        <v>22536</v>
      </c>
      <c r="G4201" s="1" t="s">
        <v>22533</v>
      </c>
      <c r="H4201" s="1">
        <v>2018.0</v>
      </c>
      <c r="I4201" s="1" t="s">
        <v>42</v>
      </c>
      <c r="J4201" s="1" t="s">
        <v>51</v>
      </c>
      <c r="K4201" s="1" t="s">
        <v>530</v>
      </c>
      <c r="L4201" s="1" t="s">
        <v>22537</v>
      </c>
      <c r="M4201" s="2" t="s">
        <v>12</v>
      </c>
      <c r="N4201" s="4">
        <f t="shared" si="1"/>
        <v>43476</v>
      </c>
      <c r="O4201" s="5" t="str">
        <f>IFERROR(__xludf.DUMMYFUNCTION("IF(REGEXMATCH(TRIM(I4201), ""^\d+\s*min""), ""Unclassified"", IF(I4201 = """", ""NR"", I4201))"),"TV-MA")</f>
        <v>TV-MA</v>
      </c>
      <c r="R4201" s="5" t="str">
        <f t="shared" si="2"/>
        <v>Back With The Ex</v>
      </c>
      <c r="S4201" s="5" t="str">
        <f>IFERROR(__xludf.DUMMYFUNCTION("""COMPUTED_VALUE"""),"Love &amp; Anarchy")</f>
        <v>Love &amp; Anarchy</v>
      </c>
      <c r="U4201" s="5" t="str">
        <f>IFERROR(__xludf.DUMMYFUNCTION("""COMPUTED_VALUE"""),"Mitzi Vanessa Arreola, Amir Galvan Cervera")</f>
        <v>Mitzi Vanessa Arreola, Amir Galvan Cervera</v>
      </c>
      <c r="V4201" s="5" t="s">
        <v>22538</v>
      </c>
      <c r="W4201" s="5" t="str">
        <f t="shared" si="3"/>
        <v>Tim Rouhana</v>
      </c>
      <c r="X4201" s="5">
        <f t="shared" si="4"/>
        <v>1</v>
      </c>
      <c r="Y4201" s="5" t="str">
        <f>IFERROR(__xludf.DUMMYFUNCTION("REGEXEXTRACT(J4201, ""^\d+"")"),"1")</f>
        <v>1</v>
      </c>
      <c r="Z4201" s="5" t="str">
        <f>IFERROR(__xludf.DUMMYFUNCTION("REGEXEXTRACT(J4201, ""[A-Za-z ]+$"")")," Season")</f>
        <v> Season</v>
      </c>
      <c r="AA4201" s="5" t="str">
        <f>IFERROR(__xludf.DUMMYFUNCTION("IF(REGEXMATCH(Z4201, ""Season""), ""TV Show"", ""Movie"")"),"TV Show")</f>
        <v>TV Show</v>
      </c>
    </row>
    <row r="4202">
      <c r="A4202" s="1" t="s">
        <v>22539</v>
      </c>
      <c r="B4202" s="1" t="s">
        <v>37</v>
      </c>
      <c r="C4202" s="1" t="s">
        <v>22540</v>
      </c>
      <c r="E4202" s="1" t="s">
        <v>22541</v>
      </c>
      <c r="F4202" s="1" t="s">
        <v>30</v>
      </c>
      <c r="G4202" s="1" t="s">
        <v>22533</v>
      </c>
      <c r="H4202" s="1">
        <v>2019.0</v>
      </c>
      <c r="I4202" s="1" t="s">
        <v>42</v>
      </c>
      <c r="J4202" s="1" t="s">
        <v>43</v>
      </c>
      <c r="K4202" s="1" t="s">
        <v>21205</v>
      </c>
      <c r="L4202" s="1" t="s">
        <v>22542</v>
      </c>
      <c r="M4202" s="2" t="s">
        <v>12</v>
      </c>
      <c r="N4202" s="4">
        <f t="shared" si="1"/>
        <v>43476</v>
      </c>
      <c r="O4202" s="5" t="str">
        <f>IFERROR(__xludf.DUMMYFUNCTION("IF(REGEXMATCH(TRIM(I4202), ""^\d+\s*min""), ""Unclassified"", IF(I4202 = """", ""NR"", I4202))"),"TV-MA")</f>
        <v>TV-MA</v>
      </c>
      <c r="R4202" s="5" t="str">
        <f t="shared" si="2"/>
        <v>Friends From College</v>
      </c>
      <c r="S4202" s="5" t="str">
        <f>IFERROR(__xludf.DUMMYFUNCTION("""COMPUTED_VALUE"""),"Love 101")</f>
        <v>Love 101</v>
      </c>
      <c r="U4202" s="5" t="str">
        <f>IFERROR(__xludf.DUMMYFUNCTION("""COMPUTED_VALUE"""),"Matthew Shoychet")</f>
        <v>Matthew Shoychet</v>
      </c>
      <c r="V4202" s="5" t="s">
        <v>22543</v>
      </c>
      <c r="W4202" s="5" t="str">
        <f t="shared" si="3"/>
        <v>Tim Van Someren</v>
      </c>
      <c r="X4202" s="5">
        <f t="shared" si="4"/>
        <v>1</v>
      </c>
      <c r="Y4202" s="5" t="str">
        <f>IFERROR(__xludf.DUMMYFUNCTION("REGEXEXTRACT(J4202, ""^\d+"")"),"2")</f>
        <v>2</v>
      </c>
      <c r="Z4202" s="5" t="str">
        <f>IFERROR(__xludf.DUMMYFUNCTION("REGEXEXTRACT(J4202, ""[A-Za-z ]+$"")")," Seasons")</f>
        <v> Seasons</v>
      </c>
      <c r="AA4202" s="5" t="str">
        <f>IFERROR(__xludf.DUMMYFUNCTION("IF(REGEXMATCH(Z4202, ""Season""), ""TV Show"", ""Movie"")"),"TV Show")</f>
        <v>TV Show</v>
      </c>
    </row>
    <row r="4203">
      <c r="A4203" s="1" t="s">
        <v>22544</v>
      </c>
      <c r="B4203" s="1" t="s">
        <v>37</v>
      </c>
      <c r="C4203" s="1" t="s">
        <v>22545</v>
      </c>
      <c r="E4203" s="1" t="s">
        <v>22546</v>
      </c>
      <c r="F4203" s="1" t="s">
        <v>1453</v>
      </c>
      <c r="G4203" s="1" t="s">
        <v>22533</v>
      </c>
      <c r="H4203" s="1">
        <v>2018.0</v>
      </c>
      <c r="I4203" s="1" t="s">
        <v>42</v>
      </c>
      <c r="J4203" s="1" t="s">
        <v>148</v>
      </c>
      <c r="K4203" s="1" t="s">
        <v>270</v>
      </c>
      <c r="L4203" s="1" t="s">
        <v>22547</v>
      </c>
      <c r="M4203" s="2" t="s">
        <v>12</v>
      </c>
      <c r="N4203" s="4">
        <f t="shared" si="1"/>
        <v>43476</v>
      </c>
      <c r="O4203" s="5" t="str">
        <f>IFERROR(__xludf.DUMMYFUNCTION("IF(REGEXMATCH(TRIM(I4203), ""^\d+\s*min""), ""Unclassified"", IF(I4203 = """", ""NR"", I4203))"),"TV-MA")</f>
        <v>TV-MA</v>
      </c>
      <c r="R4203" s="5" t="str">
        <f t="shared" si="2"/>
        <v>Hardy Bucks</v>
      </c>
      <c r="S4203" s="5" t="str">
        <f>IFERROR(__xludf.DUMMYFUNCTION("""COMPUTED_VALUE"""),"Love Aaj Kal")</f>
        <v>Love Aaj Kal</v>
      </c>
      <c r="U4203" s="5" t="str">
        <f>IFERROR(__xludf.DUMMYFUNCTION("""COMPUTED_VALUE"""),"Pamela Romanowsky")</f>
        <v>Pamela Romanowsky</v>
      </c>
      <c r="V4203" s="5" t="s">
        <v>22548</v>
      </c>
      <c r="W4203" s="5" t="str">
        <f t="shared" si="3"/>
        <v>Timo Tjahjanto</v>
      </c>
      <c r="X4203" s="5">
        <f t="shared" si="4"/>
        <v>2</v>
      </c>
      <c r="Y4203" s="5" t="str">
        <f>IFERROR(__xludf.DUMMYFUNCTION("REGEXEXTRACT(J4203, ""^\d+"")"),"4")</f>
        <v>4</v>
      </c>
      <c r="Z4203" s="5" t="str">
        <f>IFERROR(__xludf.DUMMYFUNCTION("REGEXEXTRACT(J4203, ""[A-Za-z ]+$"")")," Seasons")</f>
        <v> Seasons</v>
      </c>
      <c r="AA4203" s="5" t="str">
        <f>IFERROR(__xludf.DUMMYFUNCTION("IF(REGEXMATCH(Z4203, ""Season""), ""TV Show"", ""Movie"")"),"TV Show")</f>
        <v>TV Show</v>
      </c>
    </row>
    <row r="4204">
      <c r="A4204" s="1" t="s">
        <v>22549</v>
      </c>
      <c r="B4204" s="1" t="s">
        <v>37</v>
      </c>
      <c r="C4204" s="1" t="s">
        <v>22550</v>
      </c>
      <c r="E4204" s="1" t="s">
        <v>22551</v>
      </c>
      <c r="F4204" s="1" t="s">
        <v>96</v>
      </c>
      <c r="G4204" s="1" t="s">
        <v>22533</v>
      </c>
      <c r="H4204" s="1">
        <v>2019.0</v>
      </c>
      <c r="I4204" s="1" t="s">
        <v>289</v>
      </c>
      <c r="J4204" s="1" t="s">
        <v>43</v>
      </c>
      <c r="K4204" s="1" t="s">
        <v>8845</v>
      </c>
      <c r="L4204" s="1" t="s">
        <v>22552</v>
      </c>
      <c r="M4204" s="2" t="s">
        <v>12</v>
      </c>
      <c r="N4204" s="4">
        <f t="shared" si="1"/>
        <v>43476</v>
      </c>
      <c r="O4204" s="5" t="str">
        <f>IFERROR(__xludf.DUMMYFUNCTION("IF(REGEXMATCH(TRIM(I4204), ""^\d+\s*min""), ""Unclassified"", IF(I4204 = """", ""NR"", I4204))"),"TV-Y7")</f>
        <v>TV-Y7</v>
      </c>
      <c r="R4204" s="5" t="str">
        <f t="shared" si="2"/>
        <v>Horrid Henry</v>
      </c>
      <c r="S4204" s="5" t="str">
        <f>IFERROR(__xludf.DUMMYFUNCTION("""COMPUTED_VALUE"""),"Love Alarm")</f>
        <v>Love Alarm</v>
      </c>
      <c r="U4204" s="5" t="str">
        <f>IFERROR(__xludf.DUMMYFUNCTION("""COMPUTED_VALUE"""),"Geoff Anderson")</f>
        <v>Geoff Anderson</v>
      </c>
      <c r="V4204" s="5" t="s">
        <v>22553</v>
      </c>
      <c r="W4204" s="5" t="str">
        <f t="shared" si="3"/>
        <v>Timo Tjahjanto, Kimo Stamboel</v>
      </c>
      <c r="X4204" s="5">
        <f t="shared" si="4"/>
        <v>1</v>
      </c>
      <c r="Y4204" s="5" t="str">
        <f>IFERROR(__xludf.DUMMYFUNCTION("REGEXEXTRACT(J4204, ""^\d+"")"),"2")</f>
        <v>2</v>
      </c>
      <c r="Z4204" s="5" t="str">
        <f>IFERROR(__xludf.DUMMYFUNCTION("REGEXEXTRACT(J4204, ""[A-Za-z ]+$"")")," Seasons")</f>
        <v> Seasons</v>
      </c>
      <c r="AA4204" s="5" t="str">
        <f>IFERROR(__xludf.DUMMYFUNCTION("IF(REGEXMATCH(Z4204, ""Season""), ""TV Show"", ""Movie"")"),"TV Show")</f>
        <v>TV Show</v>
      </c>
    </row>
    <row r="4205">
      <c r="A4205" s="1" t="s">
        <v>22554</v>
      </c>
      <c r="B4205" s="1" t="s">
        <v>27</v>
      </c>
      <c r="C4205" s="1" t="s">
        <v>22555</v>
      </c>
      <c r="D4205" s="1" t="s">
        <v>3287</v>
      </c>
      <c r="F4205" s="1" t="s">
        <v>30</v>
      </c>
      <c r="G4205" s="1" t="s">
        <v>22533</v>
      </c>
      <c r="H4205" s="1">
        <v>2019.0</v>
      </c>
      <c r="I4205" s="1" t="s">
        <v>42</v>
      </c>
      <c r="J4205" s="1" t="s">
        <v>2616</v>
      </c>
      <c r="K4205" s="1" t="s">
        <v>700</v>
      </c>
      <c r="L4205" s="1" t="s">
        <v>22556</v>
      </c>
      <c r="M4205" s="2" t="s">
        <v>12</v>
      </c>
      <c r="N4205" s="4">
        <f t="shared" si="1"/>
        <v>43476</v>
      </c>
      <c r="O4205" s="5" t="str">
        <f>IFERROR(__xludf.DUMMYFUNCTION("IF(REGEXMATCH(TRIM(I4205), ""^\d+\s*min""), ""Unclassified"", IF(I4205 = """", ""NR"", I4205))"),"TV-MA")</f>
        <v>TV-MA</v>
      </c>
      <c r="R4205" s="5" t="str">
        <f t="shared" si="2"/>
        <v>Remastered: Massacre At The Stadium</v>
      </c>
      <c r="S4205" s="5" t="str">
        <f>IFERROR(__xludf.DUMMYFUNCTION("""COMPUTED_VALUE"""),"Love And Fortune")</f>
        <v>Love And Fortune</v>
      </c>
      <c r="U4205" s="5" t="str">
        <f>IFERROR(__xludf.DUMMYFUNCTION("""COMPUTED_VALUE"""),"Esteban Sapir")</f>
        <v>Esteban Sapir</v>
      </c>
      <c r="V4205" s="5" t="s">
        <v>17993</v>
      </c>
      <c r="W4205" s="5" t="str">
        <f t="shared" si="3"/>
        <v>Timo Vuorensola</v>
      </c>
      <c r="X4205" s="5">
        <f t="shared" si="4"/>
        <v>1</v>
      </c>
      <c r="Y4205" s="5" t="str">
        <f>IFERROR(__xludf.DUMMYFUNCTION("REGEXEXTRACT(J4205, ""^\d+"")"),"65")</f>
        <v>65</v>
      </c>
      <c r="Z4205" s="5" t="str">
        <f>IFERROR(__xludf.DUMMYFUNCTION("REGEXEXTRACT(J4205, ""[A-Za-z ]+$"")")," min")</f>
        <v> min</v>
      </c>
      <c r="AA4205" s="5" t="str">
        <f>IFERROR(__xludf.DUMMYFUNCTION("IF(REGEXMATCH(Z4205, ""Season""), ""TV Show"", ""Movie"")"),"Movie")</f>
        <v>Movie</v>
      </c>
    </row>
    <row r="4206">
      <c r="A4206" s="1" t="s">
        <v>22557</v>
      </c>
      <c r="B4206" s="1" t="s">
        <v>27</v>
      </c>
      <c r="C4206" s="1" t="s">
        <v>22558</v>
      </c>
      <c r="D4206" s="1" t="s">
        <v>9470</v>
      </c>
      <c r="E4206" s="1" t="s">
        <v>22559</v>
      </c>
      <c r="F4206" s="1" t="s">
        <v>784</v>
      </c>
      <c r="G4206" s="1" t="s">
        <v>22533</v>
      </c>
      <c r="H4206" s="1">
        <v>2018.0</v>
      </c>
      <c r="I4206" s="1" t="s">
        <v>42</v>
      </c>
      <c r="J4206" s="1" t="s">
        <v>79</v>
      </c>
      <c r="K4206" s="1" t="s">
        <v>89</v>
      </c>
      <c r="L4206" s="1" t="s">
        <v>22560</v>
      </c>
      <c r="M4206" s="2" t="s">
        <v>12</v>
      </c>
      <c r="N4206" s="4">
        <f t="shared" si="1"/>
        <v>43476</v>
      </c>
      <c r="O4206" s="5" t="str">
        <f>IFERROR(__xludf.DUMMYFUNCTION("IF(REGEXMATCH(TRIM(I4206), ""^\d+\s*min""), ""Unclassified"", IF(I4206 = """", ""NR"", I4206))"),"TV-MA")</f>
        <v>TV-MA</v>
      </c>
      <c r="R4206" s="5" t="str">
        <f t="shared" si="2"/>
        <v>Solo</v>
      </c>
      <c r="S4206" s="5" t="str">
        <f>IFERROR(__xludf.DUMMYFUNCTION("""COMPUTED_VALUE"""),"Love And Hong Kong")</f>
        <v>Love And Hong Kong</v>
      </c>
      <c r="U4206" s="5" t="str">
        <f>IFERROR(__xludf.DUMMYFUNCTION("""COMPUTED_VALUE"""),"Jee-Woon Kim")</f>
        <v>Jee-Woon Kim</v>
      </c>
      <c r="V4206" s="5" t="s">
        <v>22561</v>
      </c>
      <c r="W4206" s="5" t="str">
        <f t="shared" si="3"/>
        <v>Timothy Reckart</v>
      </c>
      <c r="X4206" s="5">
        <f t="shared" si="4"/>
        <v>1</v>
      </c>
      <c r="Y4206" s="5" t="str">
        <f>IFERROR(__xludf.DUMMYFUNCTION("REGEXEXTRACT(J4206, ""^\d+"")"),"91")</f>
        <v>91</v>
      </c>
      <c r="Z4206" s="5" t="str">
        <f>IFERROR(__xludf.DUMMYFUNCTION("REGEXEXTRACT(J4206, ""[A-Za-z ]+$"")")," min")</f>
        <v> min</v>
      </c>
      <c r="AA4206" s="5" t="str">
        <f>IFERROR(__xludf.DUMMYFUNCTION("IF(REGEXMATCH(Z4206, ""Season""), ""TV Show"", ""Movie"")"),"Movie")</f>
        <v>Movie</v>
      </c>
    </row>
    <row r="4207">
      <c r="A4207" s="1" t="s">
        <v>22562</v>
      </c>
      <c r="B4207" s="1" t="s">
        <v>27</v>
      </c>
      <c r="C4207" s="1" t="s">
        <v>22563</v>
      </c>
      <c r="D4207" s="1" t="s">
        <v>8682</v>
      </c>
      <c r="E4207" s="1" t="s">
        <v>22564</v>
      </c>
      <c r="F4207" s="1" t="s">
        <v>30</v>
      </c>
      <c r="G4207" s="1" t="s">
        <v>22533</v>
      </c>
      <c r="H4207" s="1">
        <v>2019.0</v>
      </c>
      <c r="I4207" s="1" t="s">
        <v>42</v>
      </c>
      <c r="J4207" s="1" t="s">
        <v>416</v>
      </c>
      <c r="K4207" s="1" t="s">
        <v>107</v>
      </c>
      <c r="L4207" s="1" t="s">
        <v>22565</v>
      </c>
      <c r="M4207" s="2" t="s">
        <v>12</v>
      </c>
      <c r="N4207" s="4">
        <f t="shared" si="1"/>
        <v>43476</v>
      </c>
      <c r="O4207" s="5" t="str">
        <f>IFERROR(__xludf.DUMMYFUNCTION("IF(REGEXMATCH(TRIM(I4207), ""^\d+\s*min""), ""Unclassified"", IF(I4207 = """", ""NR"", I4207))"),"TV-MA")</f>
        <v>TV-MA</v>
      </c>
      <c r="R4207" s="5" t="str">
        <f t="shared" si="2"/>
        <v>The Last Laugh</v>
      </c>
      <c r="S4207" s="5" t="str">
        <f>IFERROR(__xludf.DUMMYFUNCTION("""COMPUTED_VALUE"""),"Love And Shukla")</f>
        <v>Love And Shukla</v>
      </c>
      <c r="U4207" s="5" t="str">
        <f>IFERROR(__xludf.DUMMYFUNCTION("""COMPUTED_VALUE"""),"Andrew Douglas")</f>
        <v>Andrew Douglas</v>
      </c>
      <c r="V4207" s="5" t="s">
        <v>22566</v>
      </c>
      <c r="W4207" s="5" t="str">
        <f t="shared" si="3"/>
        <v>Timothy Woodward Jr.</v>
      </c>
      <c r="X4207" s="5">
        <f t="shared" si="4"/>
        <v>2</v>
      </c>
      <c r="Y4207" s="5" t="str">
        <f>IFERROR(__xludf.DUMMYFUNCTION("REGEXEXTRACT(J4207, ""^\d+"")"),"99")</f>
        <v>99</v>
      </c>
      <c r="Z4207" s="5" t="str">
        <f>IFERROR(__xludf.DUMMYFUNCTION("REGEXEXTRACT(J4207, ""[A-Za-z ]+$"")")," min")</f>
        <v> min</v>
      </c>
      <c r="AA4207" s="5" t="str">
        <f>IFERROR(__xludf.DUMMYFUNCTION("IF(REGEXMATCH(Z4207, ""Season""), ""TV Show"", ""Movie"")"),"Movie")</f>
        <v>Movie</v>
      </c>
    </row>
    <row r="4208">
      <c r="A4208" s="1" t="s">
        <v>22567</v>
      </c>
      <c r="B4208" s="1" t="s">
        <v>37</v>
      </c>
      <c r="C4208" s="1" t="s">
        <v>22568</v>
      </c>
      <c r="E4208" s="1" t="s">
        <v>22569</v>
      </c>
      <c r="F4208" s="1" t="s">
        <v>18070</v>
      </c>
      <c r="G4208" s="1" t="s">
        <v>22570</v>
      </c>
      <c r="H4208" s="1">
        <v>2017.0</v>
      </c>
      <c r="I4208" s="1" t="s">
        <v>206</v>
      </c>
      <c r="J4208" s="1" t="s">
        <v>148</v>
      </c>
      <c r="K4208" s="1" t="s">
        <v>18900</v>
      </c>
      <c r="L4208" s="1" t="s">
        <v>22571</v>
      </c>
      <c r="M4208" s="2" t="s">
        <v>12</v>
      </c>
      <c r="N4208" s="4">
        <f t="shared" si="1"/>
        <v>43475</v>
      </c>
      <c r="O4208" s="5" t="str">
        <f>IFERROR(__xludf.DUMMYFUNCTION("IF(REGEXMATCH(TRIM(I4208), ""^\d+\s*min""), ""Unclassified"", IF(I4208 = """", ""NR"", I4208))"),"TV-Y")</f>
        <v>TV-Y</v>
      </c>
      <c r="R4208" s="5" t="str">
        <f t="shared" si="2"/>
        <v>Pocoyo</v>
      </c>
      <c r="S4208" s="5" t="str">
        <f>IFERROR(__xludf.DUMMYFUNCTION("""COMPUTED_VALUE"""),"Love Around")</f>
        <v>Love Around</v>
      </c>
      <c r="U4208" s="5" t="str">
        <f>IFERROR(__xludf.DUMMYFUNCTION("""COMPUTED_VALUE"""),"Thurop Van Orman, John Rice")</f>
        <v>Thurop Van Orman, John Rice</v>
      </c>
      <c r="V4208" s="5" t="s">
        <v>22572</v>
      </c>
      <c r="W4208" s="5" t="str">
        <f t="shared" si="3"/>
        <v>Tinge Krishnan</v>
      </c>
      <c r="X4208" s="5">
        <f t="shared" si="4"/>
        <v>1</v>
      </c>
      <c r="Y4208" s="5" t="str">
        <f>IFERROR(__xludf.DUMMYFUNCTION("REGEXEXTRACT(J4208, ""^\d+"")"),"4")</f>
        <v>4</v>
      </c>
      <c r="Z4208" s="5" t="str">
        <f>IFERROR(__xludf.DUMMYFUNCTION("REGEXEXTRACT(J4208, ""[A-Za-z ]+$"")")," Seasons")</f>
        <v> Seasons</v>
      </c>
      <c r="AA4208" s="5" t="str">
        <f>IFERROR(__xludf.DUMMYFUNCTION("IF(REGEXMATCH(Z4208, ""Season""), ""TV Show"", ""Movie"")"),"TV Show")</f>
        <v>TV Show</v>
      </c>
    </row>
    <row r="4209">
      <c r="A4209" s="1" t="s">
        <v>22573</v>
      </c>
      <c r="B4209" s="1" t="s">
        <v>37</v>
      </c>
      <c r="C4209" s="1" t="s">
        <v>22574</v>
      </c>
      <c r="E4209" s="1" t="s">
        <v>22575</v>
      </c>
      <c r="F4209" s="1" t="s">
        <v>3333</v>
      </c>
      <c r="G4209" s="1" t="s">
        <v>22570</v>
      </c>
      <c r="H4209" s="1">
        <v>2018.0</v>
      </c>
      <c r="I4209" s="1" t="s">
        <v>42</v>
      </c>
      <c r="J4209" s="1" t="s">
        <v>51</v>
      </c>
      <c r="K4209" s="1" t="s">
        <v>190</v>
      </c>
      <c r="L4209" s="1" t="s">
        <v>22576</v>
      </c>
      <c r="M4209" s="2" t="s">
        <v>12</v>
      </c>
      <c r="N4209" s="4">
        <f t="shared" si="1"/>
        <v>43475</v>
      </c>
      <c r="O4209" s="5" t="str">
        <f>IFERROR(__xludf.DUMMYFUNCTION("IF(REGEXMATCH(TRIM(I4209), ""^\d+\s*min""), ""Unclassified"", IF(I4209 = """", ""NR"", I4209))"),"TV-MA")</f>
        <v>TV-MA</v>
      </c>
      <c r="R4209" s="5" t="str">
        <f t="shared" si="2"/>
        <v>When Heroes Fly</v>
      </c>
      <c r="S4209" s="5" t="str">
        <f>IFERROR(__xludf.DUMMYFUNCTION("""COMPUTED_VALUE"""),"Love Beats Rhymes")</f>
        <v>Love Beats Rhymes</v>
      </c>
      <c r="U4209" s="5" t="str">
        <f>IFERROR(__xludf.DUMMYFUNCTION("""COMPUTED_VALUE"""),"Denis Hennelly, Casey Suchan")</f>
        <v>Denis Hennelly, Casey Suchan</v>
      </c>
      <c r="V4209" s="5" t="s">
        <v>22577</v>
      </c>
      <c r="W4209" s="5" t="str">
        <f t="shared" si="3"/>
        <v>Tinnu Anand</v>
      </c>
      <c r="X4209" s="5">
        <f t="shared" si="4"/>
        <v>1</v>
      </c>
      <c r="Y4209" s="5" t="str">
        <f>IFERROR(__xludf.DUMMYFUNCTION("REGEXEXTRACT(J4209, ""^\d+"")"),"1")</f>
        <v>1</v>
      </c>
      <c r="Z4209" s="5" t="str">
        <f>IFERROR(__xludf.DUMMYFUNCTION("REGEXEXTRACT(J4209, ""[A-Za-z ]+$"")")," Season")</f>
        <v> Season</v>
      </c>
      <c r="AA4209" s="5" t="str">
        <f>IFERROR(__xludf.DUMMYFUNCTION("IF(REGEXMATCH(Z4209, ""Season""), ""TV Show"", ""Movie"")"),"TV Show")</f>
        <v>TV Show</v>
      </c>
    </row>
    <row r="4210">
      <c r="A4210" s="1" t="s">
        <v>22578</v>
      </c>
      <c r="B4210" s="1" t="s">
        <v>27</v>
      </c>
      <c r="C4210" s="1" t="s">
        <v>22579</v>
      </c>
      <c r="D4210" s="1" t="s">
        <v>13100</v>
      </c>
      <c r="E4210" s="1" t="s">
        <v>22580</v>
      </c>
      <c r="F4210" s="1" t="s">
        <v>415</v>
      </c>
      <c r="G4210" s="1" t="s">
        <v>22581</v>
      </c>
      <c r="H4210" s="1">
        <v>2018.0</v>
      </c>
      <c r="I4210" s="1" t="s">
        <v>136</v>
      </c>
      <c r="J4210" s="1" t="s">
        <v>79</v>
      </c>
      <c r="K4210" s="1" t="s">
        <v>417</v>
      </c>
      <c r="L4210" s="1" t="s">
        <v>22582</v>
      </c>
      <c r="M4210" s="2" t="s">
        <v>12</v>
      </c>
      <c r="N4210" s="4">
        <f t="shared" si="1"/>
        <v>43474</v>
      </c>
      <c r="O4210" s="5" t="str">
        <f>IFERROR(__xludf.DUMMYFUNCTION("IF(REGEXMATCH(TRIM(I4210), ""^\d+\s*min""), ""Unclassified"", IF(I4210 = """", ""NR"", I4210))"),"TV-PG")</f>
        <v>TV-PG</v>
      </c>
      <c r="R4210" s="5" t="str">
        <f t="shared" si="2"/>
        <v>Godzilla The Planet Eater</v>
      </c>
      <c r="S4210" s="5" t="str">
        <f>IFERROR(__xludf.DUMMYFUNCTION("""COMPUTED_VALUE"""),"Love Cheque Charge")</f>
        <v>Love Cheque Charge</v>
      </c>
      <c r="U4210" s="5" t="str">
        <f>IFERROR(__xludf.DUMMYFUNCTION("""COMPUTED_VALUE"""),"Jonathan Sobol")</f>
        <v>Jonathan Sobol</v>
      </c>
      <c r="V4210" s="5" t="s">
        <v>22583</v>
      </c>
      <c r="W4210" s="5" t="str">
        <f t="shared" si="3"/>
        <v>Tinu Pappachan</v>
      </c>
      <c r="X4210" s="5">
        <f t="shared" si="4"/>
        <v>1</v>
      </c>
      <c r="Y4210" s="5" t="str">
        <f>IFERROR(__xludf.DUMMYFUNCTION("REGEXEXTRACT(J4210, ""^\d+"")"),"91")</f>
        <v>91</v>
      </c>
      <c r="Z4210" s="5" t="str">
        <f>IFERROR(__xludf.DUMMYFUNCTION("REGEXEXTRACT(J4210, ""[A-Za-z ]+$"")")," min")</f>
        <v> min</v>
      </c>
      <c r="AA4210" s="5" t="str">
        <f>IFERROR(__xludf.DUMMYFUNCTION("IF(REGEXMATCH(Z4210, ""Season""), ""TV Show"", ""Movie"")"),"Movie")</f>
        <v>Movie</v>
      </c>
    </row>
    <row r="4211">
      <c r="A4211" s="1" t="s">
        <v>22584</v>
      </c>
      <c r="B4211" s="1" t="s">
        <v>27</v>
      </c>
      <c r="C4211" s="1" t="s">
        <v>22585</v>
      </c>
      <c r="D4211" s="1" t="s">
        <v>13214</v>
      </c>
      <c r="E4211" s="1" t="s">
        <v>22586</v>
      </c>
      <c r="F4211" s="1" t="s">
        <v>63</v>
      </c>
      <c r="G4211" s="1" t="s">
        <v>22581</v>
      </c>
      <c r="H4211" s="1">
        <v>2018.0</v>
      </c>
      <c r="I4211" s="1" t="s">
        <v>97</v>
      </c>
      <c r="J4211" s="1" t="s">
        <v>743</v>
      </c>
      <c r="K4211" s="1" t="s">
        <v>583</v>
      </c>
      <c r="L4211" s="1" t="s">
        <v>22587</v>
      </c>
      <c r="M4211" s="2" t="s">
        <v>12</v>
      </c>
      <c r="N4211" s="4">
        <f t="shared" si="1"/>
        <v>43474</v>
      </c>
      <c r="O4211" s="5" t="str">
        <f>IFERROR(__xludf.DUMMYFUNCTION("IF(REGEXMATCH(TRIM(I4211), ""^\d+\s*min""), ""Unclassified"", IF(I4211 = """", ""NR"", I4211))"),"TV-14")</f>
        <v>TV-14</v>
      </c>
      <c r="R4211" s="5" t="str">
        <f t="shared" si="2"/>
        <v>Next Enti?</v>
      </c>
      <c r="S4211" s="5" t="str">
        <f>IFERROR(__xludf.DUMMYFUNCTION("""COMPUTED_VALUE"""),"Love Cuisine")</f>
        <v>Love Cuisine</v>
      </c>
      <c r="U4211" s="5" t="str">
        <f>IFERROR(__xludf.DUMMYFUNCTION("""COMPUTED_VALUE"""),"Christian Duguay")</f>
        <v>Christian Duguay</v>
      </c>
      <c r="V4211" s="5" t="s">
        <v>7567</v>
      </c>
      <c r="W4211" s="5" t="str">
        <f t="shared" si="3"/>
        <v>Tirumala Kishore</v>
      </c>
      <c r="X4211" s="5">
        <f t="shared" si="4"/>
        <v>1</v>
      </c>
      <c r="Y4211" s="5" t="str">
        <f>IFERROR(__xludf.DUMMYFUNCTION("REGEXEXTRACT(J4211, ""^\d+"")"),"117")</f>
        <v>117</v>
      </c>
      <c r="Z4211" s="5" t="str">
        <f>IFERROR(__xludf.DUMMYFUNCTION("REGEXEXTRACT(J4211, ""[A-Za-z ]+$"")")," min")</f>
        <v> min</v>
      </c>
      <c r="AA4211" s="5" t="str">
        <f>IFERROR(__xludf.DUMMYFUNCTION("IF(REGEXMATCH(Z4211, ""Season""), ""TV Show"", ""Movie"")"),"Movie")</f>
        <v>Movie</v>
      </c>
    </row>
    <row r="4212">
      <c r="A4212" s="1" t="s">
        <v>22588</v>
      </c>
      <c r="B4212" s="1" t="s">
        <v>27</v>
      </c>
      <c r="C4212" s="1" t="s">
        <v>22589</v>
      </c>
      <c r="D4212" s="1" t="s">
        <v>17030</v>
      </c>
      <c r="E4212" s="1" t="s">
        <v>22590</v>
      </c>
      <c r="F4212" s="1" t="s">
        <v>7880</v>
      </c>
      <c r="G4212" s="1" t="s">
        <v>22591</v>
      </c>
      <c r="H4212" s="1">
        <v>2018.0</v>
      </c>
      <c r="I4212" s="1" t="s">
        <v>97</v>
      </c>
      <c r="J4212" s="1" t="s">
        <v>465</v>
      </c>
      <c r="K4212" s="1" t="s">
        <v>89</v>
      </c>
      <c r="L4212" s="1" t="s">
        <v>22592</v>
      </c>
      <c r="M4212" s="2" t="s">
        <v>12</v>
      </c>
      <c r="N4212" s="4">
        <f t="shared" si="1"/>
        <v>43472</v>
      </c>
      <c r="O4212" s="5" t="str">
        <f>IFERROR(__xludf.DUMMYFUNCTION("IF(REGEXMATCH(TRIM(I4212), ""^\d+\s*min""), ""Unclassified"", IF(I4212 = """", ""NR"", I4212))"),"TV-14")</f>
        <v>TV-14</v>
      </c>
      <c r="R4212" s="5" t="str">
        <f t="shared" si="2"/>
        <v>Komola Rocket</v>
      </c>
      <c r="S4212" s="5" t="str">
        <f>IFERROR(__xludf.DUMMYFUNCTION("""COMPUTED_VALUE"""),"Love Daily")</f>
        <v>Love Daily</v>
      </c>
      <c r="U4212" s="5" t="str">
        <f>IFERROR(__xludf.DUMMYFUNCTION("""COMPUTED_VALUE"""),"André Øvredal")</f>
        <v>André Øvredal</v>
      </c>
      <c r="V4212" s="5" t="s">
        <v>22593</v>
      </c>
      <c r="W4212" s="5" t="str">
        <f t="shared" si="3"/>
        <v>Tj Sullivan, Greg Rankin</v>
      </c>
      <c r="X4212" s="5">
        <f t="shared" si="4"/>
        <v>1</v>
      </c>
      <c r="Y4212" s="5" t="str">
        <f>IFERROR(__xludf.DUMMYFUNCTION("REGEXEXTRACT(J4212, ""^\d+"")"),"95")</f>
        <v>95</v>
      </c>
      <c r="Z4212" s="5" t="str">
        <f>IFERROR(__xludf.DUMMYFUNCTION("REGEXEXTRACT(J4212, ""[A-Za-z ]+$"")")," min")</f>
        <v> min</v>
      </c>
      <c r="AA4212" s="5" t="str">
        <f>IFERROR(__xludf.DUMMYFUNCTION("IF(REGEXMATCH(Z4212, ""Season""), ""TV Show"", ""Movie"")"),"Movie")</f>
        <v>Movie</v>
      </c>
    </row>
    <row r="4213">
      <c r="A4213" s="1" t="s">
        <v>22594</v>
      </c>
      <c r="B4213" s="1" t="s">
        <v>27</v>
      </c>
      <c r="C4213" s="1" t="s">
        <v>22595</v>
      </c>
      <c r="D4213" s="1" t="s">
        <v>17025</v>
      </c>
      <c r="E4213" s="1" t="s">
        <v>22596</v>
      </c>
      <c r="F4213" s="1" t="s">
        <v>2796</v>
      </c>
      <c r="G4213" s="1" t="s">
        <v>22597</v>
      </c>
      <c r="H4213" s="1">
        <v>1999.0</v>
      </c>
      <c r="I4213" s="1" t="s">
        <v>42</v>
      </c>
      <c r="J4213" s="1" t="s">
        <v>1091</v>
      </c>
      <c r="K4213" s="1" t="s">
        <v>20145</v>
      </c>
      <c r="L4213" s="1" t="s">
        <v>22598</v>
      </c>
      <c r="M4213" s="2" t="s">
        <v>12</v>
      </c>
      <c r="N4213" s="4">
        <f t="shared" si="1"/>
        <v>43470</v>
      </c>
      <c r="O4213" s="5" t="str">
        <f>IFERROR(__xludf.DUMMYFUNCTION("IF(REGEXMATCH(TRIM(I4213), ""^\d+\s*min""), ""Unclassified"", IF(I4213 = """", ""NR"", I4213))"),"TV-MA")</f>
        <v>TV-MA</v>
      </c>
      <c r="R4213" s="5" t="str">
        <f t="shared" si="2"/>
        <v>Nang Nak</v>
      </c>
      <c r="S4213" s="5" t="str">
        <f>IFERROR(__xludf.DUMMYFUNCTION("""COMPUTED_VALUE"""),"Love Don'T Cost A Thing")</f>
        <v>Love Don'T Cost A Thing</v>
      </c>
      <c r="U4213" s="5" t="str">
        <f>IFERROR(__xludf.DUMMYFUNCTION("""COMPUTED_VALUE"""),"Kurt Voelker")</f>
        <v>Kurt Voelker</v>
      </c>
      <c r="V4213" s="5" t="s">
        <v>22599</v>
      </c>
      <c r="W4213" s="5" t="str">
        <f t="shared" si="3"/>
        <v>To-Hoi Kong</v>
      </c>
      <c r="X4213" s="5">
        <f t="shared" si="4"/>
        <v>1</v>
      </c>
      <c r="Y4213" s="5" t="str">
        <f>IFERROR(__xludf.DUMMYFUNCTION("REGEXEXTRACT(J4213, ""^\d+"")"),"101")</f>
        <v>101</v>
      </c>
      <c r="Z4213" s="5" t="str">
        <f>IFERROR(__xludf.DUMMYFUNCTION("REGEXEXTRACT(J4213, ""[A-Za-z ]+$"")")," min")</f>
        <v> min</v>
      </c>
      <c r="AA4213" s="5" t="str">
        <f>IFERROR(__xludf.DUMMYFUNCTION("IF(REGEXMATCH(Z4213, ""Season""), ""TV Show"", ""Movie"")"),"Movie")</f>
        <v>Movie</v>
      </c>
    </row>
    <row r="4214">
      <c r="A4214" s="1" t="s">
        <v>22600</v>
      </c>
      <c r="B4214" s="1" t="s">
        <v>27</v>
      </c>
      <c r="C4214" s="1" t="s">
        <v>22601</v>
      </c>
      <c r="D4214" s="1" t="s">
        <v>9736</v>
      </c>
      <c r="E4214" s="1" t="s">
        <v>22602</v>
      </c>
      <c r="F4214" s="1" t="s">
        <v>22603</v>
      </c>
      <c r="G4214" s="1" t="s">
        <v>22604</v>
      </c>
      <c r="H4214" s="1">
        <v>2018.0</v>
      </c>
      <c r="I4214" s="1" t="s">
        <v>97</v>
      </c>
      <c r="J4214" s="1" t="s">
        <v>447</v>
      </c>
      <c r="K4214" s="1" t="s">
        <v>89</v>
      </c>
      <c r="L4214" s="1" t="s">
        <v>22605</v>
      </c>
      <c r="M4214" s="2" t="s">
        <v>12</v>
      </c>
      <c r="N4214" s="4">
        <f t="shared" si="1"/>
        <v>43469</v>
      </c>
      <c r="O4214" s="5" t="str">
        <f>IFERROR(__xludf.DUMMYFUNCTION("IF(REGEXMATCH(TRIM(I4214), ""^\d+\s*min""), ""Unclassified"", IF(I4214 = """", ""NR"", I4214))"),"TV-14")</f>
        <v>TV-14</v>
      </c>
      <c r="R4214" s="5" t="str">
        <f t="shared" si="2"/>
        <v>And Breathe Normally</v>
      </c>
      <c r="S4214" s="5" t="str">
        <f>IFERROR(__xludf.DUMMYFUNCTION("""COMPUTED_VALUE"""),"Love Dot Com: The Social Experiment")</f>
        <v>Love Dot Com: The Social Experiment</v>
      </c>
      <c r="U4214" s="5" t="str">
        <f>IFERROR(__xludf.DUMMYFUNCTION("""COMPUTED_VALUE"""),"Elliot Hegarty")</f>
        <v>Elliot Hegarty</v>
      </c>
      <c r="V4214" s="5" t="s">
        <v>22606</v>
      </c>
      <c r="W4214" s="5" t="str">
        <f t="shared" si="3"/>
        <v>Toa Fraser</v>
      </c>
      <c r="X4214" s="5">
        <f t="shared" si="4"/>
        <v>2</v>
      </c>
      <c r="Y4214" s="5" t="str">
        <f>IFERROR(__xludf.DUMMYFUNCTION("REGEXEXTRACT(J4214, ""^\d+"")"),"102")</f>
        <v>102</v>
      </c>
      <c r="Z4214" s="5" t="str">
        <f>IFERROR(__xludf.DUMMYFUNCTION("REGEXEXTRACT(J4214, ""[A-Za-z ]+$"")")," min")</f>
        <v> min</v>
      </c>
      <c r="AA4214" s="5" t="str">
        <f>IFERROR(__xludf.DUMMYFUNCTION("IF(REGEXMATCH(Z4214, ""Season""), ""TV Show"", ""Movie"")"),"Movie")</f>
        <v>Movie</v>
      </c>
    </row>
    <row r="4215">
      <c r="A4215" s="1" t="s">
        <v>22607</v>
      </c>
      <c r="B4215" s="1" t="s">
        <v>27</v>
      </c>
      <c r="C4215" s="1" t="s">
        <v>22608</v>
      </c>
      <c r="D4215" s="1" t="s">
        <v>13921</v>
      </c>
      <c r="E4215" s="1" t="s">
        <v>22609</v>
      </c>
      <c r="G4215" s="1" t="s">
        <v>22604</v>
      </c>
      <c r="H4215" s="1">
        <v>2018.0</v>
      </c>
      <c r="I4215" s="1" t="s">
        <v>42</v>
      </c>
      <c r="J4215" s="1" t="s">
        <v>393</v>
      </c>
      <c r="K4215" s="1" t="s">
        <v>1429</v>
      </c>
      <c r="L4215" s="1" t="s">
        <v>22610</v>
      </c>
      <c r="M4215" s="2" t="s">
        <v>12</v>
      </c>
      <c r="N4215" s="4">
        <f t="shared" si="1"/>
        <v>43469</v>
      </c>
      <c r="O4215" s="5" t="str">
        <f>IFERROR(__xludf.DUMMYFUNCTION("IF(REGEXMATCH(TRIM(I4215), ""^\d+\s*min""), ""Unclassified"", IF(I4215 = """", ""NR"", I4215))"),"TV-MA")</f>
        <v>TV-MA</v>
      </c>
      <c r="R4215" s="5" t="str">
        <f t="shared" si="2"/>
        <v>El Potro: Unstoppable</v>
      </c>
      <c r="S4215" s="5" t="str">
        <f>IFERROR(__xludf.DUMMYFUNCTION("""COMPUTED_VALUE"""),"Love Family")</f>
        <v>Love Family</v>
      </c>
      <c r="U4215" s="5" t="str">
        <f>IFERROR(__xludf.DUMMYFUNCTION("""COMPUTED_VALUE"""),"Keith Fulton, Louis Pepe")</f>
        <v>Keith Fulton, Louis Pepe</v>
      </c>
      <c r="V4215" s="5" t="s">
        <v>22611</v>
      </c>
      <c r="W4215" s="5" t="str">
        <f t="shared" si="3"/>
        <v>Tobe Hooper</v>
      </c>
      <c r="X4215" s="5">
        <f t="shared" si="4"/>
        <v>1</v>
      </c>
      <c r="Y4215" s="5" t="str">
        <f>IFERROR(__xludf.DUMMYFUNCTION("REGEXEXTRACT(J4215, ""^\d+"")"),"122")</f>
        <v>122</v>
      </c>
      <c r="Z4215" s="5" t="str">
        <f>IFERROR(__xludf.DUMMYFUNCTION("REGEXEXTRACT(J4215, ""[A-Za-z ]+$"")")," min")</f>
        <v> min</v>
      </c>
      <c r="AA4215" s="5" t="str">
        <f>IFERROR(__xludf.DUMMYFUNCTION("IF(REGEXMATCH(Z4215, ""Season""), ""TV Show"", ""Movie"")"),"Movie")</f>
        <v>Movie</v>
      </c>
    </row>
    <row r="4216">
      <c r="A4216" s="1" t="s">
        <v>22612</v>
      </c>
      <c r="B4216" s="1" t="s">
        <v>27</v>
      </c>
      <c r="C4216" s="1" t="s">
        <v>22613</v>
      </c>
      <c r="D4216" s="1" t="s">
        <v>8296</v>
      </c>
      <c r="E4216" s="1" t="s">
        <v>22614</v>
      </c>
      <c r="F4216" s="1" t="s">
        <v>400</v>
      </c>
      <c r="G4216" s="1" t="s">
        <v>22604</v>
      </c>
      <c r="H4216" s="1">
        <v>2018.0</v>
      </c>
      <c r="I4216" s="1" t="s">
        <v>136</v>
      </c>
      <c r="J4216" s="1" t="s">
        <v>465</v>
      </c>
      <c r="K4216" s="1" t="s">
        <v>836</v>
      </c>
      <c r="L4216" s="1" t="s">
        <v>22615</v>
      </c>
      <c r="M4216" s="2" t="s">
        <v>12</v>
      </c>
      <c r="N4216" s="4">
        <f t="shared" si="1"/>
        <v>43469</v>
      </c>
      <c r="O4216" s="5" t="str">
        <f>IFERROR(__xludf.DUMMYFUNCTION("IF(REGEXMATCH(TRIM(I4216), ""^\d+\s*min""), ""Unclassified"", IF(I4216 = """", ""NR"", I4216))"),"TV-PG")</f>
        <v>TV-PG</v>
      </c>
      <c r="R4216" s="5" t="str">
        <f t="shared" si="2"/>
        <v>Lionheart</v>
      </c>
      <c r="S4216" s="5" t="str">
        <f>IFERROR(__xludf.DUMMYFUNCTION("""COMPUTED_VALUE"""),"Love For Sale")</f>
        <v>Love For Sale</v>
      </c>
      <c r="U4216" s="5" t="str">
        <f>IFERROR(__xludf.DUMMYFUNCTION("""COMPUTED_VALUE"""),"Brian M. Conley, Nathan Ives")</f>
        <v>Brian M. Conley, Nathan Ives</v>
      </c>
      <c r="V4216" s="5" t="s">
        <v>22616</v>
      </c>
      <c r="W4216" s="5" t="str">
        <f t="shared" si="3"/>
        <v>Toby Haynes</v>
      </c>
      <c r="X4216" s="5">
        <f t="shared" si="4"/>
        <v>1</v>
      </c>
      <c r="Y4216" s="5" t="str">
        <f>IFERROR(__xludf.DUMMYFUNCTION("REGEXEXTRACT(J4216, ""^\d+"")"),"95")</f>
        <v>95</v>
      </c>
      <c r="Z4216" s="5" t="str">
        <f>IFERROR(__xludf.DUMMYFUNCTION("REGEXEXTRACT(J4216, ""[A-Za-z ]+$"")")," min")</f>
        <v> min</v>
      </c>
      <c r="AA4216" s="5" t="str">
        <f>IFERROR(__xludf.DUMMYFUNCTION("IF(REGEXMATCH(Z4216, ""Season""), ""TV Show"", ""Movie"")"),"Movie")</f>
        <v>Movie</v>
      </c>
    </row>
    <row r="4217">
      <c r="A4217" s="1" t="s">
        <v>22617</v>
      </c>
      <c r="B4217" s="1" t="s">
        <v>37</v>
      </c>
      <c r="C4217" s="1" t="s">
        <v>22618</v>
      </c>
      <c r="E4217" s="1" t="s">
        <v>22619</v>
      </c>
      <c r="G4217" s="1" t="s">
        <v>22604</v>
      </c>
      <c r="H4217" s="1">
        <v>2017.0</v>
      </c>
      <c r="I4217" s="1" t="s">
        <v>97</v>
      </c>
      <c r="J4217" s="1" t="s">
        <v>51</v>
      </c>
      <c r="K4217" s="1" t="s">
        <v>1907</v>
      </c>
      <c r="L4217" s="1" t="s">
        <v>22620</v>
      </c>
      <c r="M4217" s="2" t="s">
        <v>12</v>
      </c>
      <c r="N4217" s="4">
        <f t="shared" si="1"/>
        <v>43469</v>
      </c>
      <c r="O4217" s="5" t="str">
        <f>IFERROR(__xludf.DUMMYFUNCTION("IF(REGEXMATCH(TRIM(I4217), ""^\d+\s*min""), ""Unclassified"", IF(I4217 = """", ""NR"", I4217))"),"TV-14")</f>
        <v>TV-14</v>
      </c>
      <c r="R4217" s="5" t="str">
        <f t="shared" si="2"/>
        <v>See You In Time</v>
      </c>
      <c r="S4217" s="5" t="str">
        <f>IFERROR(__xludf.DUMMYFUNCTION("""COMPUTED_VALUE"""),"Love For Sale 2")</f>
        <v>Love For Sale 2</v>
      </c>
      <c r="U4217" s="5" t="str">
        <f>IFERROR(__xludf.DUMMYFUNCTION("""COMPUTED_VALUE"""),"John Ford")</f>
        <v>John Ford</v>
      </c>
      <c r="V4217" s="5" t="s">
        <v>22621</v>
      </c>
      <c r="W4217" s="5" t="str">
        <f t="shared" si="3"/>
        <v>Todd Biermann</v>
      </c>
      <c r="X4217" s="5">
        <f t="shared" si="4"/>
        <v>1</v>
      </c>
      <c r="Y4217" s="5" t="str">
        <f>IFERROR(__xludf.DUMMYFUNCTION("REGEXEXTRACT(J4217, ""^\d+"")"),"1")</f>
        <v>1</v>
      </c>
      <c r="Z4217" s="5" t="str">
        <f>IFERROR(__xludf.DUMMYFUNCTION("REGEXEXTRACT(J4217, ""[A-Za-z ]+$"")")," Season")</f>
        <v> Season</v>
      </c>
      <c r="AA4217" s="5" t="str">
        <f>IFERROR(__xludf.DUMMYFUNCTION("IF(REGEXMATCH(Z4217, ""Season""), ""TV Show"", ""Movie"")"),"TV Show")</f>
        <v>TV Show</v>
      </c>
    </row>
    <row r="4218">
      <c r="A4218" s="1" t="s">
        <v>22622</v>
      </c>
      <c r="B4218" s="1" t="s">
        <v>37</v>
      </c>
      <c r="C4218" s="1" t="s">
        <v>22623</v>
      </c>
      <c r="E4218" s="1" t="s">
        <v>22624</v>
      </c>
      <c r="G4218" s="1" t="s">
        <v>22625</v>
      </c>
      <c r="H4218" s="1">
        <v>2013.0</v>
      </c>
      <c r="I4218" s="1" t="s">
        <v>97</v>
      </c>
      <c r="J4218" s="1" t="s">
        <v>51</v>
      </c>
      <c r="K4218" s="1" t="s">
        <v>1907</v>
      </c>
      <c r="L4218" s="1" t="s">
        <v>22626</v>
      </c>
      <c r="M4218" s="2" t="s">
        <v>12</v>
      </c>
      <c r="N4218" s="4">
        <f t="shared" si="1"/>
        <v>43467</v>
      </c>
      <c r="O4218" s="5" t="str">
        <f>IFERROR(__xludf.DUMMYFUNCTION("IF(REGEXMATCH(TRIM(I4218), ""^\d+\s*min""), ""Unclassified"", IF(I4218 = """", ""NR"", I4218))"),"TV-14")</f>
        <v>TV-14</v>
      </c>
      <c r="R4218" s="5" t="str">
        <f t="shared" si="2"/>
        <v>Déjà Vu</v>
      </c>
      <c r="S4218" s="5" t="str">
        <f>IFERROR(__xludf.DUMMYFUNCTION("""COMPUTED_VALUE"""),"Love For Ten: Generation Of Youth")</f>
        <v>Love For Ten: Generation Of Youth</v>
      </c>
      <c r="U4218" s="5" t="str">
        <f>IFERROR(__xludf.DUMMYFUNCTION("""COMPUTED_VALUE"""),"Tommy Avallone")</f>
        <v>Tommy Avallone</v>
      </c>
      <c r="V4218" s="5" t="s">
        <v>22627</v>
      </c>
      <c r="W4218" s="5" t="str">
        <f t="shared" si="3"/>
        <v>Todd Haynes</v>
      </c>
      <c r="X4218" s="5">
        <f t="shared" si="4"/>
        <v>1</v>
      </c>
      <c r="Y4218" s="5" t="str">
        <f>IFERROR(__xludf.DUMMYFUNCTION("REGEXEXTRACT(J4218, ""^\d+"")"),"1")</f>
        <v>1</v>
      </c>
      <c r="Z4218" s="5" t="str">
        <f>IFERROR(__xludf.DUMMYFUNCTION("REGEXEXTRACT(J4218, ""[A-Za-z ]+$"")")," Season")</f>
        <v> Season</v>
      </c>
      <c r="AA4218" s="5" t="str">
        <f>IFERROR(__xludf.DUMMYFUNCTION("IF(REGEXMATCH(Z4218, ""Season""), ""TV Show"", ""Movie"")"),"TV Show")</f>
        <v>TV Show</v>
      </c>
    </row>
    <row r="4219">
      <c r="A4219" s="1" t="s">
        <v>22628</v>
      </c>
      <c r="B4219" s="1" t="s">
        <v>27</v>
      </c>
      <c r="C4219" s="1" t="s">
        <v>22629</v>
      </c>
      <c r="D4219" s="1" t="s">
        <v>22341</v>
      </c>
      <c r="E4219" s="1" t="s">
        <v>22630</v>
      </c>
      <c r="F4219" s="1" t="s">
        <v>96</v>
      </c>
      <c r="G4219" s="1" t="s">
        <v>22625</v>
      </c>
      <c r="H4219" s="1">
        <v>1975.0</v>
      </c>
      <c r="I4219" s="1" t="s">
        <v>78</v>
      </c>
      <c r="J4219" s="1" t="s">
        <v>665</v>
      </c>
      <c r="K4219" s="1" t="s">
        <v>3604</v>
      </c>
      <c r="L4219" s="1" t="s">
        <v>22631</v>
      </c>
      <c r="M4219" s="2" t="s">
        <v>12</v>
      </c>
      <c r="N4219" s="4">
        <f t="shared" si="1"/>
        <v>43467</v>
      </c>
      <c r="O4219" s="5" t="str">
        <f>IFERROR(__xludf.DUMMYFUNCTION("IF(REGEXMATCH(TRIM(I4219), ""^\d+\s*min""), ""Unclassified"", IF(I4219 = """", ""NR"", I4219))"),"PG")</f>
        <v>PG</v>
      </c>
      <c r="R4219" s="5" t="str">
        <f t="shared" si="2"/>
        <v>Monty Python And The Holy Grail</v>
      </c>
      <c r="S4219" s="5" t="str">
        <f>IFERROR(__xludf.DUMMYFUNCTION("""COMPUTED_VALUE"""),"Love In A Puff")</f>
        <v>Love In A Puff</v>
      </c>
      <c r="U4219" s="5" t="str">
        <f>IFERROR(__xludf.DUMMYFUNCTION("""COMPUTED_VALUE"""),"Rolfe Kanefsky")</f>
        <v>Rolfe Kanefsky</v>
      </c>
      <c r="V4219" s="5" t="s">
        <v>15501</v>
      </c>
      <c r="W4219" s="5" t="str">
        <f t="shared" si="3"/>
        <v>Todd Kauffman, Mark Thornton</v>
      </c>
      <c r="X4219" s="5">
        <f t="shared" si="4"/>
        <v>1</v>
      </c>
      <c r="Y4219" s="5" t="str">
        <f>IFERROR(__xludf.DUMMYFUNCTION("REGEXEXTRACT(J4219, ""^\d+"")"),"92")</f>
        <v>92</v>
      </c>
      <c r="Z4219" s="5" t="str">
        <f>IFERROR(__xludf.DUMMYFUNCTION("REGEXEXTRACT(J4219, ""[A-Za-z ]+$"")")," min")</f>
        <v> min</v>
      </c>
      <c r="AA4219" s="5" t="str">
        <f>IFERROR(__xludf.DUMMYFUNCTION("IF(REGEXMATCH(Z4219, ""Season""), ""TV Show"", ""Movie"")"),"Movie")</f>
        <v>Movie</v>
      </c>
    </row>
    <row r="4220">
      <c r="A4220" s="1" t="s">
        <v>22632</v>
      </c>
      <c r="B4220" s="1" t="s">
        <v>37</v>
      </c>
      <c r="C4220" s="1" t="s">
        <v>22633</v>
      </c>
      <c r="E4220" s="1" t="s">
        <v>22634</v>
      </c>
      <c r="F4220" s="1" t="s">
        <v>30</v>
      </c>
      <c r="G4220" s="1" t="s">
        <v>22635</v>
      </c>
      <c r="H4220" s="1">
        <v>2019.0</v>
      </c>
      <c r="I4220" s="1" t="s">
        <v>136</v>
      </c>
      <c r="J4220" s="1" t="s">
        <v>276</v>
      </c>
      <c r="K4220" s="1" t="s">
        <v>12796</v>
      </c>
      <c r="L4220" s="1" t="s">
        <v>22636</v>
      </c>
      <c r="M4220" s="2" t="s">
        <v>12</v>
      </c>
      <c r="N4220" s="4">
        <f t="shared" si="1"/>
        <v>43466</v>
      </c>
      <c r="O4220" s="5" t="str">
        <f>IFERROR(__xludf.DUMMYFUNCTION("IF(REGEXMATCH(TRIM(I4220), ""^\d+\s*min""), ""Unclassified"", IF(I4220 = """", ""NR"", I4220))"),"TV-PG")</f>
        <v>TV-PG</v>
      </c>
      <c r="R4220" s="5" t="str">
        <f t="shared" si="2"/>
        <v>A Series Of Unfortunate Events</v>
      </c>
      <c r="S4220" s="5" t="str">
        <f>IFERROR(__xludf.DUMMYFUNCTION("""COMPUTED_VALUE"""),"Love Is A Story")</f>
        <v>Love Is A Story</v>
      </c>
      <c r="U4220" s="5" t="str">
        <f>IFERROR(__xludf.DUMMYFUNCTION("""COMPUTED_VALUE"""),"Philippe Falardeau")</f>
        <v>Philippe Falardeau</v>
      </c>
      <c r="V4220" s="5" t="s">
        <v>4922</v>
      </c>
      <c r="W4220" s="5" t="str">
        <f t="shared" si="3"/>
        <v>Todd Phillips</v>
      </c>
      <c r="X4220" s="5">
        <f t="shared" si="4"/>
        <v>3</v>
      </c>
      <c r="Y4220" s="5" t="str">
        <f>IFERROR(__xludf.DUMMYFUNCTION("REGEXEXTRACT(J4220, ""^\d+"")"),"3")</f>
        <v>3</v>
      </c>
      <c r="Z4220" s="5" t="str">
        <f>IFERROR(__xludf.DUMMYFUNCTION("REGEXEXTRACT(J4220, ""[A-Za-z ]+$"")")," Seasons")</f>
        <v> Seasons</v>
      </c>
      <c r="AA4220" s="5" t="str">
        <f>IFERROR(__xludf.DUMMYFUNCTION("IF(REGEXMATCH(Z4220, ""Season""), ""TV Show"", ""Movie"")"),"TV Show")</f>
        <v>TV Show</v>
      </c>
    </row>
    <row r="4221">
      <c r="A4221" s="1" t="s">
        <v>22637</v>
      </c>
      <c r="B4221" s="1" t="s">
        <v>27</v>
      </c>
      <c r="C4221" s="1" t="s">
        <v>22638</v>
      </c>
      <c r="D4221" s="1" t="s">
        <v>22639</v>
      </c>
      <c r="E4221" s="1" t="s">
        <v>22640</v>
      </c>
      <c r="F4221" s="1" t="s">
        <v>2796</v>
      </c>
      <c r="G4221" s="1" t="s">
        <v>22635</v>
      </c>
      <c r="H4221" s="1">
        <v>2015.0</v>
      </c>
      <c r="I4221" s="1" t="s">
        <v>97</v>
      </c>
      <c r="J4221" s="1" t="s">
        <v>264</v>
      </c>
      <c r="K4221" s="1" t="s">
        <v>230</v>
      </c>
      <c r="L4221" s="1" t="s">
        <v>22641</v>
      </c>
      <c r="M4221" s="2" t="s">
        <v>12</v>
      </c>
      <c r="N4221" s="4">
        <f t="shared" si="1"/>
        <v>43466</v>
      </c>
      <c r="O4221" s="5" t="str">
        <f>IFERROR(__xludf.DUMMYFUNCTION("IF(REGEXMATCH(TRIM(I4221), ""^\d+\s*min""), ""Unclassified"", IF(I4221 = """", ""NR"", I4221))"),"TV-14")</f>
        <v>TV-14</v>
      </c>
      <c r="R4221" s="5" t="str">
        <f t="shared" si="2"/>
        <v>Back To The 90S</v>
      </c>
      <c r="S4221" s="5" t="str">
        <f>IFERROR(__xludf.DUMMYFUNCTION("""COMPUTED_VALUE"""),"Love Is Blind")</f>
        <v>Love Is Blind</v>
      </c>
      <c r="U4221" s="5" t="str">
        <f>IFERROR(__xludf.DUMMYFUNCTION("""COMPUTED_VALUE"""),"Kevin Ford, Smriti Keshari, Eric Schlosser")</f>
        <v>Kevin Ford, Smriti Keshari, Eric Schlosser</v>
      </c>
      <c r="V4221" s="5" t="s">
        <v>22642</v>
      </c>
      <c r="W4221" s="5" t="str">
        <f t="shared" si="3"/>
        <v>Todd S. Yellin</v>
      </c>
      <c r="X4221" s="5">
        <f t="shared" si="4"/>
        <v>1</v>
      </c>
      <c r="Y4221" s="5" t="str">
        <f>IFERROR(__xludf.DUMMYFUNCTION("REGEXEXTRACT(J4221, ""^\d+"")"),"111")</f>
        <v>111</v>
      </c>
      <c r="Z4221" s="5" t="str">
        <f>IFERROR(__xludf.DUMMYFUNCTION("REGEXEXTRACT(J4221, ""[A-Za-z ]+$"")")," min")</f>
        <v> min</v>
      </c>
      <c r="AA4221" s="5" t="str">
        <f>IFERROR(__xludf.DUMMYFUNCTION("IF(REGEXMATCH(Z4221, ""Season""), ""TV Show"", ""Movie"")"),"Movie")</f>
        <v>Movie</v>
      </c>
    </row>
    <row r="4222">
      <c r="A4222" s="1" t="s">
        <v>22643</v>
      </c>
      <c r="B4222" s="1" t="s">
        <v>37</v>
      </c>
      <c r="C4222" s="1" t="s">
        <v>22644</v>
      </c>
      <c r="E4222" s="1" t="s">
        <v>22645</v>
      </c>
      <c r="F4222" s="1" t="s">
        <v>30</v>
      </c>
      <c r="G4222" s="1" t="s">
        <v>22635</v>
      </c>
      <c r="H4222" s="1">
        <v>2019.0</v>
      </c>
      <c r="I4222" s="1" t="s">
        <v>42</v>
      </c>
      <c r="J4222" s="1" t="s">
        <v>7975</v>
      </c>
      <c r="K4222" s="1" t="s">
        <v>2512</v>
      </c>
      <c r="L4222" s="1" t="s">
        <v>22646</v>
      </c>
      <c r="M4222" s="2" t="s">
        <v>12</v>
      </c>
      <c r="N4222" s="4">
        <f t="shared" si="1"/>
        <v>43466</v>
      </c>
      <c r="O4222" s="5" t="str">
        <f>IFERROR(__xludf.DUMMYFUNCTION("IF(REGEXMATCH(TRIM(I4222), ""^\d+\s*min""), ""Unclassified"", IF(I4222 = """", ""NR"", I4222))"),"TV-MA")</f>
        <v>TV-MA</v>
      </c>
      <c r="R4222" s="5" t="str">
        <f t="shared" si="2"/>
        <v>Comedians Of The World</v>
      </c>
      <c r="S4222" s="5" t="str">
        <f>IFERROR(__xludf.DUMMYFUNCTION("""COMPUTED_VALUE"""),"Love Is In The Air")</f>
        <v>Love Is In The Air</v>
      </c>
      <c r="U4222" s="5" t="str">
        <f>IFERROR(__xludf.DUMMYFUNCTION("""COMPUTED_VALUE"""),"Albert Hughes, Allen Hughes")</f>
        <v>Albert Hughes, Allen Hughes</v>
      </c>
      <c r="V4222" s="5" t="s">
        <v>22647</v>
      </c>
      <c r="W4222" s="5" t="str">
        <f t="shared" si="3"/>
        <v>Todd Standing</v>
      </c>
      <c r="X4222" s="5">
        <f t="shared" si="4"/>
        <v>1</v>
      </c>
      <c r="Y4222" s="5" t="str">
        <f>IFERROR(__xludf.DUMMYFUNCTION("REGEXEXTRACT(J4222, ""^\d+"")"),"13")</f>
        <v>13</v>
      </c>
      <c r="Z4222" s="5" t="str">
        <f>IFERROR(__xludf.DUMMYFUNCTION("REGEXEXTRACT(J4222, ""[A-Za-z ]+$"")")," Seasons")</f>
        <v> Seasons</v>
      </c>
      <c r="AA4222" s="5" t="str">
        <f>IFERROR(__xludf.DUMMYFUNCTION("IF(REGEXMATCH(Z4222, ""Season""), ""TV Show"", ""Movie"")"),"TV Show")</f>
        <v>TV Show</v>
      </c>
    </row>
    <row r="4223">
      <c r="A4223" s="1" t="s">
        <v>22648</v>
      </c>
      <c r="B4223" s="1" t="s">
        <v>27</v>
      </c>
      <c r="C4223" s="1" t="s">
        <v>22649</v>
      </c>
      <c r="D4223" s="1" t="s">
        <v>13622</v>
      </c>
      <c r="E4223" s="1" t="s">
        <v>22650</v>
      </c>
      <c r="F4223" s="1" t="s">
        <v>63</v>
      </c>
      <c r="G4223" s="1" t="s">
        <v>22635</v>
      </c>
      <c r="H4223" s="1">
        <v>2018.0</v>
      </c>
      <c r="I4223" s="1" t="s">
        <v>42</v>
      </c>
      <c r="J4223" s="1" t="s">
        <v>379</v>
      </c>
      <c r="K4223" s="1" t="s">
        <v>89</v>
      </c>
      <c r="L4223" s="1" t="s">
        <v>22651</v>
      </c>
      <c r="M4223" s="2" t="s">
        <v>12</v>
      </c>
      <c r="N4223" s="4">
        <f t="shared" si="1"/>
        <v>43466</v>
      </c>
      <c r="O4223" s="5" t="str">
        <f>IFERROR(__xludf.DUMMYFUNCTION("IF(REGEXMATCH(TRIM(I4223), ""^\d+\s*min""), ""Unclassified"", IF(I4223 = """", ""NR"", I4223))"),"TV-MA")</f>
        <v>TV-MA</v>
      </c>
      <c r="R4223" s="5" t="str">
        <f t="shared" si="2"/>
        <v>Merku Thodarchi Malai</v>
      </c>
      <c r="S4223" s="5" t="str">
        <f>IFERROR(__xludf.DUMMYFUNCTION("""COMPUTED_VALUE"""),"Love Is War")</f>
        <v>Love Is War</v>
      </c>
      <c r="U4223" s="5" t="str">
        <f>IFERROR(__xludf.DUMMYFUNCTION("""COMPUTED_VALUE"""),"Olivier Loustau")</f>
        <v>Olivier Loustau</v>
      </c>
      <c r="V4223" s="5" t="s">
        <v>2141</v>
      </c>
      <c r="W4223" s="5" t="str">
        <f t="shared" si="3"/>
        <v>Todor Chapkanov</v>
      </c>
      <c r="X4223" s="5">
        <f t="shared" si="4"/>
        <v>1</v>
      </c>
      <c r="Y4223" s="5" t="str">
        <f>IFERROR(__xludf.DUMMYFUNCTION("REGEXEXTRACT(J4223, ""^\d+"")"),"115")</f>
        <v>115</v>
      </c>
      <c r="Z4223" s="5" t="str">
        <f>IFERROR(__xludf.DUMMYFUNCTION("REGEXEXTRACT(J4223, ""[A-Za-z ]+$"")")," min")</f>
        <v> min</v>
      </c>
      <c r="AA4223" s="5" t="str">
        <f>IFERROR(__xludf.DUMMYFUNCTION("IF(REGEXMATCH(Z4223, ""Season""), ""TV Show"", ""Movie"")"),"Movie")</f>
        <v>Movie</v>
      </c>
    </row>
    <row r="4224">
      <c r="A4224" s="1" t="s">
        <v>22652</v>
      </c>
      <c r="B4224" s="1" t="s">
        <v>27</v>
      </c>
      <c r="C4224" s="1" t="s">
        <v>22653</v>
      </c>
      <c r="D4224" s="1" t="s">
        <v>10379</v>
      </c>
      <c r="E4224" s="1" t="s">
        <v>22654</v>
      </c>
      <c r="F4224" s="1" t="s">
        <v>30</v>
      </c>
      <c r="G4224" s="1" t="s">
        <v>22635</v>
      </c>
      <c r="H4224" s="1">
        <v>2012.0</v>
      </c>
      <c r="I4224" s="1" t="s">
        <v>42</v>
      </c>
      <c r="J4224" s="1" t="s">
        <v>207</v>
      </c>
      <c r="K4224" s="1" t="s">
        <v>1839</v>
      </c>
      <c r="L4224" s="1" t="s">
        <v>22655</v>
      </c>
      <c r="M4224" s="2" t="s">
        <v>12</v>
      </c>
      <c r="N4224" s="4">
        <f t="shared" si="1"/>
        <v>43466</v>
      </c>
      <c r="O4224" s="5" t="str">
        <f>IFERROR(__xludf.DUMMYFUNCTION("IF(REGEXMATCH(TRIM(I4224), ""^\d+\s*min""), ""Unclassified"", IF(I4224 = """", ""NR"", I4224))"),"TV-MA")</f>
        <v>TV-MA</v>
      </c>
      <c r="R4224" s="5" t="str">
        <f t="shared" si="2"/>
        <v>Moshe Kasher: Live In Oakland</v>
      </c>
      <c r="S4224" s="5" t="str">
        <f>IFERROR(__xludf.DUMMYFUNCTION("""COMPUTED_VALUE"""),"Love Jacked")</f>
        <v>Love Jacked</v>
      </c>
      <c r="U4224" s="5" t="str">
        <f>IFERROR(__xludf.DUMMYFUNCTION("""COMPUTED_VALUE"""),"Richard Kelly")</f>
        <v>Richard Kelly</v>
      </c>
      <c r="V4224" s="5" t="s">
        <v>22656</v>
      </c>
      <c r="W4224" s="5" t="str">
        <f t="shared" si="3"/>
        <v>Toka Mcbaror</v>
      </c>
      <c r="X4224" s="5">
        <f t="shared" si="4"/>
        <v>2</v>
      </c>
      <c r="Y4224" s="5" t="str">
        <f>IFERROR(__xludf.DUMMYFUNCTION("REGEXEXTRACT(J4224, ""^\d+"")"),"61")</f>
        <v>61</v>
      </c>
      <c r="Z4224" s="5" t="str">
        <f>IFERROR(__xludf.DUMMYFUNCTION("REGEXEXTRACT(J4224, ""[A-Za-z ]+$"")")," min")</f>
        <v> min</v>
      </c>
      <c r="AA4224" s="5" t="str">
        <f>IFERROR(__xludf.DUMMYFUNCTION("IF(REGEXMATCH(Z4224, ""Season""), ""TV Show"", ""Movie"")"),"Movie")</f>
        <v>Movie</v>
      </c>
    </row>
    <row r="4225">
      <c r="A4225" s="1" t="s">
        <v>22657</v>
      </c>
      <c r="B4225" s="1" t="s">
        <v>27</v>
      </c>
      <c r="C4225" s="1" t="s">
        <v>22658</v>
      </c>
      <c r="D4225" s="1" t="s">
        <v>13226</v>
      </c>
      <c r="E4225" s="1" t="s">
        <v>22659</v>
      </c>
      <c r="F4225" s="1" t="s">
        <v>415</v>
      </c>
      <c r="G4225" s="1" t="s">
        <v>22635</v>
      </c>
      <c r="H4225" s="1">
        <v>2017.0</v>
      </c>
      <c r="I4225" s="1" t="s">
        <v>289</v>
      </c>
      <c r="J4225" s="1" t="s">
        <v>247</v>
      </c>
      <c r="K4225" s="1" t="s">
        <v>13575</v>
      </c>
      <c r="L4225" s="1" t="s">
        <v>22660</v>
      </c>
      <c r="M4225" s="2" t="s">
        <v>12</v>
      </c>
      <c r="N4225" s="4">
        <f t="shared" si="1"/>
        <v>43466</v>
      </c>
      <c r="O4225" s="5" t="str">
        <f>IFERROR(__xludf.DUMMYFUNCTION("IF(REGEXMATCH(TRIM(I4225), ""^\d+\s*min""), ""Unclassified"", IF(I4225 = """", ""NR"", I4225))"),"TV-Y7")</f>
        <v>TV-Y7</v>
      </c>
      <c r="R4225" s="5" t="str">
        <f t="shared" si="2"/>
        <v>Pokémon The Movie: I Choose You!</v>
      </c>
      <c r="S4225" s="5" t="str">
        <f>IFERROR(__xludf.DUMMYFUNCTION("""COMPUTED_VALUE"""),"Love Jones")</f>
        <v>Love Jones</v>
      </c>
      <c r="U4225" s="5" t="str">
        <f>IFERROR(__xludf.DUMMYFUNCTION("""COMPUTED_VALUE"""),"William Brent Bell")</f>
        <v>William Brent Bell</v>
      </c>
      <c r="V4225" s="5" t="s">
        <v>22661</v>
      </c>
      <c r="W4225" s="5" t="str">
        <f t="shared" si="3"/>
        <v>Toka Mcbaror, Tunde Apalowo</v>
      </c>
      <c r="X4225" s="5">
        <f t="shared" si="4"/>
        <v>1</v>
      </c>
      <c r="Y4225" s="5" t="str">
        <f>IFERROR(__xludf.DUMMYFUNCTION("REGEXEXTRACT(J4225, ""^\d+"")"),"97")</f>
        <v>97</v>
      </c>
      <c r="Z4225" s="5" t="str">
        <f>IFERROR(__xludf.DUMMYFUNCTION("REGEXEXTRACT(J4225, ""[A-Za-z ]+$"")")," min")</f>
        <v> min</v>
      </c>
      <c r="AA4225" s="5" t="str">
        <f>IFERROR(__xludf.DUMMYFUNCTION("IF(REGEXMATCH(Z4225, ""Season""), ""TV Show"", ""Movie"")"),"Movie")</f>
        <v>Movie</v>
      </c>
    </row>
    <row r="4226">
      <c r="A4226" s="1" t="s">
        <v>22662</v>
      </c>
      <c r="B4226" s="1" t="s">
        <v>27</v>
      </c>
      <c r="C4226" s="1" t="s">
        <v>22663</v>
      </c>
      <c r="D4226" s="1" t="s">
        <v>18838</v>
      </c>
      <c r="E4226" s="1" t="s">
        <v>22664</v>
      </c>
      <c r="F4226" s="1" t="s">
        <v>63</v>
      </c>
      <c r="G4226" s="1" t="s">
        <v>22635</v>
      </c>
      <c r="H4226" s="1">
        <v>2017.0</v>
      </c>
      <c r="I4226" s="1" t="s">
        <v>42</v>
      </c>
      <c r="J4226" s="1" t="s">
        <v>985</v>
      </c>
      <c r="K4226" s="1" t="s">
        <v>631</v>
      </c>
      <c r="L4226" s="1" t="s">
        <v>22665</v>
      </c>
      <c r="M4226" s="2" t="s">
        <v>12</v>
      </c>
      <c r="N4226" s="4">
        <f t="shared" si="1"/>
        <v>43466</v>
      </c>
      <c r="O4226" s="5" t="str">
        <f>IFERROR(__xludf.DUMMYFUNCTION("IF(REGEXMATCH(TRIM(I4226), ""^\d+\s*min""), ""Unclassified"", IF(I4226 = """", ""NR"", I4226))"),"TV-MA")</f>
        <v>TV-MA</v>
      </c>
      <c r="R4226" s="5" t="str">
        <f t="shared" si="2"/>
        <v>Puriyatha Puthir</v>
      </c>
      <c r="S4226" s="5" t="str">
        <f>IFERROR(__xludf.DUMMYFUNCTION("""COMPUTED_VALUE"""),"Love Like The Falling Rain")</f>
        <v>Love Like The Falling Rain</v>
      </c>
      <c r="U4226" s="5" t="str">
        <f>IFERROR(__xludf.DUMMYFUNCTION("""COMPUTED_VALUE"""),"Mark Herman")</f>
        <v>Mark Herman</v>
      </c>
      <c r="V4226" s="5" t="s">
        <v>11695</v>
      </c>
      <c r="W4226" s="5" t="str">
        <f t="shared" si="3"/>
        <v>Tolga Karaçelik</v>
      </c>
      <c r="X4226" s="5">
        <f t="shared" si="4"/>
        <v>1</v>
      </c>
      <c r="Y4226" s="5" t="str">
        <f>IFERROR(__xludf.DUMMYFUNCTION("REGEXEXTRACT(J4226, ""^\d+"")"),"120")</f>
        <v>120</v>
      </c>
      <c r="Z4226" s="5" t="str">
        <f>IFERROR(__xludf.DUMMYFUNCTION("REGEXEXTRACT(J4226, ""[A-Za-z ]+$"")")," min")</f>
        <v> min</v>
      </c>
      <c r="AA4226" s="5" t="str">
        <f>IFERROR(__xludf.DUMMYFUNCTION("IF(REGEXMATCH(Z4226, ""Season""), ""TV Show"", ""Movie"")"),"Movie")</f>
        <v>Movie</v>
      </c>
    </row>
    <row r="4227">
      <c r="A4227" s="1" t="s">
        <v>22666</v>
      </c>
      <c r="B4227" s="1" t="s">
        <v>27</v>
      </c>
      <c r="C4227" s="1" t="s">
        <v>22667</v>
      </c>
      <c r="D4227" s="1" t="s">
        <v>18761</v>
      </c>
      <c r="E4227" s="1" t="s">
        <v>22668</v>
      </c>
      <c r="F4227" s="1" t="s">
        <v>63</v>
      </c>
      <c r="G4227" s="1" t="s">
        <v>22635</v>
      </c>
      <c r="H4227" s="1">
        <v>2017.0</v>
      </c>
      <c r="I4227" s="1" t="s">
        <v>42</v>
      </c>
      <c r="J4227" s="1" t="s">
        <v>2216</v>
      </c>
      <c r="K4227" s="1" t="s">
        <v>89</v>
      </c>
      <c r="L4227" s="1" t="s">
        <v>22669</v>
      </c>
      <c r="M4227" s="2" t="s">
        <v>12</v>
      </c>
      <c r="N4227" s="4">
        <f t="shared" si="1"/>
        <v>43466</v>
      </c>
      <c r="O4227" s="5" t="str">
        <f>IFERROR(__xludf.DUMMYFUNCTION("IF(REGEXMATCH(TRIM(I4227), ""^\d+\s*min""), ""Unclassified"", IF(I4227 = """", ""NR"", I4227))"),"TV-MA")</f>
        <v>TV-MA</v>
      </c>
      <c r="R4227" s="5" t="str">
        <f t="shared" si="2"/>
        <v>Taramani</v>
      </c>
      <c r="S4227" s="5" t="str">
        <f>IFERROR(__xludf.DUMMYFUNCTION("""COMPUTED_VALUE"""),"Love Me As I Am")</f>
        <v>Love Me As I Am</v>
      </c>
      <c r="U4227" s="5" t="str">
        <f>IFERROR(__xludf.DUMMYFUNCTION("""COMPUTED_VALUE"""),"Neil Jordan")</f>
        <v>Neil Jordan</v>
      </c>
      <c r="V4227" s="5" t="s">
        <v>7213</v>
      </c>
      <c r="W4227" s="5" t="str">
        <f t="shared" si="3"/>
        <v>Tolga Örnek</v>
      </c>
      <c r="X4227" s="5">
        <f t="shared" si="4"/>
        <v>1</v>
      </c>
      <c r="Y4227" s="5" t="str">
        <f>IFERROR(__xludf.DUMMYFUNCTION("REGEXEXTRACT(J4227, ""^\d+"")"),"148")</f>
        <v>148</v>
      </c>
      <c r="Z4227" s="5" t="str">
        <f>IFERROR(__xludf.DUMMYFUNCTION("REGEXEXTRACT(J4227, ""[A-Za-z ]+$"")")," min")</f>
        <v> min</v>
      </c>
      <c r="AA4227" s="5" t="str">
        <f>IFERROR(__xludf.DUMMYFUNCTION("IF(REGEXMATCH(Z4227, ""Season""), ""TV Show"", ""Movie"")"),"Movie")</f>
        <v>Movie</v>
      </c>
    </row>
    <row r="4228">
      <c r="A4228" s="1" t="s">
        <v>22670</v>
      </c>
      <c r="B4228" s="1" t="s">
        <v>37</v>
      </c>
      <c r="C4228" s="1" t="s">
        <v>22671</v>
      </c>
      <c r="E4228" s="1" t="s">
        <v>22672</v>
      </c>
      <c r="F4228" s="1" t="s">
        <v>22673</v>
      </c>
      <c r="G4228" s="1" t="s">
        <v>22635</v>
      </c>
      <c r="H4228" s="1">
        <v>2018.0</v>
      </c>
      <c r="I4228" s="1" t="s">
        <v>42</v>
      </c>
      <c r="J4228" s="1" t="s">
        <v>43</v>
      </c>
      <c r="K4228" s="1" t="s">
        <v>402</v>
      </c>
      <c r="L4228" s="1" t="s">
        <v>22674</v>
      </c>
      <c r="M4228" s="2" t="s">
        <v>12</v>
      </c>
      <c r="N4228" s="4">
        <f t="shared" si="1"/>
        <v>43466</v>
      </c>
      <c r="O4228" s="5" t="str">
        <f>IFERROR(__xludf.DUMMYFUNCTION("IF(REGEXMATCH(TRIM(I4228), ""^\d+\s*min""), ""Unclassified"", IF(I4228 = """", ""NR"", I4228))"),"TV-MA")</f>
        <v>TV-MA</v>
      </c>
      <c r="R4228" s="5" t="str">
        <f t="shared" si="2"/>
        <v>The Paper</v>
      </c>
      <c r="S4228" s="5" t="str">
        <f>IFERROR(__xludf.DUMMYFUNCTION("""COMPUTED_VALUE"""),"Love Me Or Leave Me")</f>
        <v>Love Me Or Leave Me</v>
      </c>
      <c r="U4228" s="5" t="str">
        <f>IFERROR(__xludf.DUMMYFUNCTION("""COMPUTED_VALUE"""),"Ken Kushner")</f>
        <v>Ken Kushner</v>
      </c>
      <c r="V4228" s="5" t="s">
        <v>16056</v>
      </c>
      <c r="W4228" s="5" t="str">
        <f t="shared" si="3"/>
        <v>Tolu Awobiyi</v>
      </c>
      <c r="X4228" s="5">
        <f t="shared" si="4"/>
        <v>1</v>
      </c>
      <c r="Y4228" s="5" t="str">
        <f>IFERROR(__xludf.DUMMYFUNCTION("REGEXEXTRACT(J4228, ""^\d+"")"),"2")</f>
        <v>2</v>
      </c>
      <c r="Z4228" s="5" t="str">
        <f>IFERROR(__xludf.DUMMYFUNCTION("REGEXEXTRACT(J4228, ""[A-Za-z ]+$"")")," Seasons")</f>
        <v> Seasons</v>
      </c>
      <c r="AA4228" s="5" t="str">
        <f>IFERROR(__xludf.DUMMYFUNCTION("IF(REGEXMATCH(Z4228, ""Season""), ""TV Show"", ""Movie"")"),"TV Show")</f>
        <v>TV Show</v>
      </c>
    </row>
    <row r="4229">
      <c r="A4229" s="1" t="s">
        <v>22675</v>
      </c>
      <c r="B4229" s="1" t="s">
        <v>37</v>
      </c>
      <c r="C4229" s="1" t="s">
        <v>22676</v>
      </c>
      <c r="E4229" s="1" t="s">
        <v>1278</v>
      </c>
      <c r="F4229" s="1" t="s">
        <v>30</v>
      </c>
      <c r="G4229" s="1" t="s">
        <v>22635</v>
      </c>
      <c r="H4229" s="1">
        <v>2019.0</v>
      </c>
      <c r="I4229" s="1" t="s">
        <v>136</v>
      </c>
      <c r="J4229" s="1" t="s">
        <v>51</v>
      </c>
      <c r="K4229" s="1" t="s">
        <v>440</v>
      </c>
      <c r="L4229" s="1" t="s">
        <v>22677</v>
      </c>
      <c r="M4229" s="2" t="s">
        <v>12</v>
      </c>
      <c r="N4229" s="4">
        <f t="shared" si="1"/>
        <v>43466</v>
      </c>
      <c r="O4229" s="5" t="str">
        <f>IFERROR(__xludf.DUMMYFUNCTION("IF(REGEXMATCH(TRIM(I4229), ""^\d+\s*min""), ""Unclassified"", IF(I4229 = """", ""NR"", I4229))"),"TV-PG")</f>
        <v>TV-PG</v>
      </c>
      <c r="R4229" s="5" t="str">
        <f t="shared" si="2"/>
        <v>Tidying Up With Marie Kondo</v>
      </c>
      <c r="S4229" s="5" t="str">
        <f>IFERROR(__xludf.DUMMYFUNCTION("""COMPUTED_VALUE"""),"Love Naggers")</f>
        <v>Love Naggers</v>
      </c>
      <c r="U4229" s="5" t="str">
        <f>IFERROR(__xludf.DUMMYFUNCTION("""COMPUTED_VALUE"""),"Nora Twomey")</f>
        <v>Nora Twomey</v>
      </c>
      <c r="V4229" s="5" t="s">
        <v>3121</v>
      </c>
      <c r="W4229" s="5" t="str">
        <f t="shared" si="3"/>
        <v>Tolulope Itegboje</v>
      </c>
      <c r="X4229" s="5">
        <f t="shared" si="4"/>
        <v>1</v>
      </c>
      <c r="Y4229" s="5" t="str">
        <f>IFERROR(__xludf.DUMMYFUNCTION("REGEXEXTRACT(J4229, ""^\d+"")"),"1")</f>
        <v>1</v>
      </c>
      <c r="Z4229" s="5" t="str">
        <f>IFERROR(__xludf.DUMMYFUNCTION("REGEXEXTRACT(J4229, ""[A-Za-z ]+$"")")," Season")</f>
        <v> Season</v>
      </c>
      <c r="AA4229" s="5" t="str">
        <f>IFERROR(__xludf.DUMMYFUNCTION("IF(REGEXMATCH(Z4229, ""Season""), ""TV Show"", ""Movie"")"),"TV Show")</f>
        <v>TV Show</v>
      </c>
    </row>
    <row r="4230">
      <c r="A4230" s="1" t="s">
        <v>22678</v>
      </c>
      <c r="B4230" s="1" t="s">
        <v>27</v>
      </c>
      <c r="C4230" s="1" t="s">
        <v>22679</v>
      </c>
      <c r="D4230" s="1" t="s">
        <v>11306</v>
      </c>
      <c r="E4230" s="1" t="s">
        <v>19831</v>
      </c>
      <c r="F4230" s="1" t="s">
        <v>30</v>
      </c>
      <c r="G4230" s="1" t="s">
        <v>22635</v>
      </c>
      <c r="H4230" s="1">
        <v>2010.0</v>
      </c>
      <c r="I4230" s="1" t="s">
        <v>42</v>
      </c>
      <c r="J4230" s="1" t="s">
        <v>575</v>
      </c>
      <c r="K4230" s="1" t="s">
        <v>1839</v>
      </c>
      <c r="L4230" s="1" t="s">
        <v>22680</v>
      </c>
      <c r="M4230" s="2" t="s">
        <v>12</v>
      </c>
      <c r="N4230" s="4">
        <f t="shared" si="1"/>
        <v>43466</v>
      </c>
      <c r="O4230" s="5" t="str">
        <f>IFERROR(__xludf.DUMMYFUNCTION("IF(REGEXMATCH(TRIM(I4230), ""^\d+\s*min""), ""Unclassified"", IF(I4230 = """", ""NR"", I4230))"),"TV-MA")</f>
        <v>TV-MA</v>
      </c>
      <c r="R4230" s="5" t="str">
        <f t="shared" si="2"/>
        <v>Whitney Cummings: Money Shot</v>
      </c>
      <c r="S4230" s="5" t="str">
        <f>IFERROR(__xludf.DUMMYFUNCTION("""COMPUTED_VALUE"""),"Love Ni Bhavai")</f>
        <v>Love Ni Bhavai</v>
      </c>
      <c r="U4230" s="5" t="str">
        <f>IFERROR(__xludf.DUMMYFUNCTION("""COMPUTED_VALUE"""),"Stacy Title")</f>
        <v>Stacy Title</v>
      </c>
      <c r="V4230" s="5" t="s">
        <v>16177</v>
      </c>
      <c r="W4230" s="5" t="str">
        <f t="shared" si="3"/>
        <v>Tom Barton-Humphreys</v>
      </c>
      <c r="X4230" s="5">
        <f t="shared" si="4"/>
        <v>1</v>
      </c>
      <c r="Y4230" s="5" t="str">
        <f>IFERROR(__xludf.DUMMYFUNCTION("REGEXEXTRACT(J4230, ""^\d+"")"),"48")</f>
        <v>48</v>
      </c>
      <c r="Z4230" s="5" t="str">
        <f>IFERROR(__xludf.DUMMYFUNCTION("REGEXEXTRACT(J4230, ""[A-Za-z ]+$"")")," min")</f>
        <v> min</v>
      </c>
      <c r="AA4230" s="5" t="str">
        <f>IFERROR(__xludf.DUMMYFUNCTION("IF(REGEXMATCH(Z4230, ""Season""), ""TV Show"", ""Movie"")"),"Movie")</f>
        <v>Movie</v>
      </c>
    </row>
    <row r="4231">
      <c r="A4231" s="1" t="s">
        <v>22681</v>
      </c>
      <c r="B4231" s="1" t="s">
        <v>27</v>
      </c>
      <c r="C4231" s="1" t="s">
        <v>22682</v>
      </c>
      <c r="D4231" s="1" t="s">
        <v>11306</v>
      </c>
      <c r="E4231" s="1" t="s">
        <v>22683</v>
      </c>
      <c r="F4231" s="1" t="s">
        <v>96</v>
      </c>
      <c r="G4231" s="1" t="s">
        <v>22684</v>
      </c>
      <c r="H4231" s="1">
        <v>1991.0</v>
      </c>
      <c r="I4231" s="1" t="s">
        <v>42</v>
      </c>
      <c r="J4231" s="1" t="s">
        <v>8852</v>
      </c>
      <c r="K4231" s="1" t="s">
        <v>1839</v>
      </c>
      <c r="L4231" s="1" t="s">
        <v>22685</v>
      </c>
      <c r="M4231" s="2" t="s">
        <v>12</v>
      </c>
      <c r="N4231" s="4">
        <f t="shared" si="1"/>
        <v>43465</v>
      </c>
      <c r="O4231" s="5" t="str">
        <f>IFERROR(__xludf.DUMMYFUNCTION("IF(REGEXMATCH(TRIM(I4231), ""^\d+\s*min""), ""Unclassified"", IF(I4231 = """", ""NR"", I4231))"),"TV-MA")</f>
        <v>TV-MA</v>
      </c>
      <c r="R4231" s="5" t="str">
        <f t="shared" si="2"/>
        <v>Bill Hicks: One Night Stand</v>
      </c>
      <c r="S4231" s="5" t="str">
        <f>IFERROR(__xludf.DUMMYFUNCTION("""COMPUTED_VALUE"""),"Love Now")</f>
        <v>Love Now</v>
      </c>
      <c r="U4231" s="5" t="str">
        <f>IFERROR(__xludf.DUMMYFUNCTION("""COMPUTED_VALUE"""),"Graham Phillips, Parker Phillips")</f>
        <v>Graham Phillips, Parker Phillips</v>
      </c>
      <c r="V4231" s="5" t="s">
        <v>2931</v>
      </c>
      <c r="W4231" s="5" t="str">
        <f t="shared" si="3"/>
        <v>Tom Donahue</v>
      </c>
      <c r="X4231" s="5">
        <f t="shared" si="4"/>
        <v>2</v>
      </c>
      <c r="Y4231" s="5" t="str">
        <f>IFERROR(__xludf.DUMMYFUNCTION("REGEXEXTRACT(J4231, ""^\d+"")"),"28")</f>
        <v>28</v>
      </c>
      <c r="Z4231" s="5" t="str">
        <f>IFERROR(__xludf.DUMMYFUNCTION("REGEXEXTRACT(J4231, ""[A-Za-z ]+$"")")," min")</f>
        <v> min</v>
      </c>
      <c r="AA4231" s="5" t="str">
        <f>IFERROR(__xludf.DUMMYFUNCTION("IF(REGEXMATCH(Z4231, ""Season""), ""TV Show"", ""Movie"")"),"Movie")</f>
        <v>Movie</v>
      </c>
    </row>
    <row r="4232">
      <c r="A4232" s="1" t="s">
        <v>22686</v>
      </c>
      <c r="B4232" s="1" t="s">
        <v>27</v>
      </c>
      <c r="C4232" s="1" t="s">
        <v>22687</v>
      </c>
      <c r="E4232" s="1" t="s">
        <v>22688</v>
      </c>
      <c r="G4232" s="1" t="s">
        <v>22684</v>
      </c>
      <c r="H4232" s="1">
        <v>2015.0</v>
      </c>
      <c r="I4232" s="1" t="s">
        <v>42</v>
      </c>
      <c r="J4232" s="1" t="s">
        <v>4463</v>
      </c>
      <c r="K4232" s="1" t="s">
        <v>34</v>
      </c>
      <c r="L4232" s="1" t="s">
        <v>22689</v>
      </c>
      <c r="M4232" s="2" t="s">
        <v>12</v>
      </c>
      <c r="N4232" s="4">
        <f t="shared" si="1"/>
        <v>43465</v>
      </c>
      <c r="O4232" s="5" t="str">
        <f>IFERROR(__xludf.DUMMYFUNCTION("IF(REGEXMATCH(TRIM(I4232), ""^\d+\s*min""), ""Unclassified"", IF(I4232 = """", ""NR"", I4232))"),"TV-MA")</f>
        <v>TV-MA</v>
      </c>
      <c r="R4232" s="5" t="str">
        <f t="shared" si="2"/>
        <v>Bill Hicks: Reflections</v>
      </c>
      <c r="S4232" s="5" t="str">
        <f>IFERROR(__xludf.DUMMYFUNCTION("""COMPUTED_VALUE"""),"Love O2O")</f>
        <v>Love O2O</v>
      </c>
      <c r="U4232" s="5" t="str">
        <f>IFERROR(__xludf.DUMMYFUNCTION("""COMPUTED_VALUE"""),"Ofir Raul Graizer")</f>
        <v>Ofir Raul Graizer</v>
      </c>
      <c r="V4232" s="5" t="s">
        <v>22690</v>
      </c>
      <c r="W4232" s="5" t="str">
        <f t="shared" si="3"/>
        <v>Tom Edmunds</v>
      </c>
      <c r="X4232" s="5">
        <f t="shared" si="4"/>
        <v>1</v>
      </c>
      <c r="Y4232" s="5" t="str">
        <f>IFERROR(__xludf.DUMMYFUNCTION("REGEXEXTRACT(J4232, ""^\d+"")"),"34")</f>
        <v>34</v>
      </c>
      <c r="Z4232" s="5" t="str">
        <f>IFERROR(__xludf.DUMMYFUNCTION("REGEXEXTRACT(J4232, ""[A-Za-z ]+$"")")," min")</f>
        <v> min</v>
      </c>
      <c r="AA4232" s="5" t="str">
        <f>IFERROR(__xludf.DUMMYFUNCTION("IF(REGEXMATCH(Z4232, ""Season""), ""TV Show"", ""Movie"")"),"Movie")</f>
        <v>Movie</v>
      </c>
    </row>
    <row r="4233">
      <c r="A4233" s="1" t="s">
        <v>22691</v>
      </c>
      <c r="B4233" s="1" t="s">
        <v>27</v>
      </c>
      <c r="C4233" s="1" t="s">
        <v>22692</v>
      </c>
      <c r="D4233" s="1" t="s">
        <v>4666</v>
      </c>
      <c r="E4233" s="1" t="s">
        <v>22683</v>
      </c>
      <c r="F4233" s="1" t="s">
        <v>96</v>
      </c>
      <c r="G4233" s="1" t="s">
        <v>22684</v>
      </c>
      <c r="H4233" s="1">
        <v>1992.0</v>
      </c>
      <c r="I4233" s="1" t="s">
        <v>42</v>
      </c>
      <c r="J4233" s="1" t="s">
        <v>207</v>
      </c>
      <c r="K4233" s="1" t="s">
        <v>1839</v>
      </c>
      <c r="L4233" s="1" t="s">
        <v>22693</v>
      </c>
      <c r="M4233" s="2" t="s">
        <v>12</v>
      </c>
      <c r="N4233" s="4">
        <f t="shared" si="1"/>
        <v>43465</v>
      </c>
      <c r="O4233" s="5" t="str">
        <f>IFERROR(__xludf.DUMMYFUNCTION("IF(REGEXMATCH(TRIM(I4233), ""^\d+\s*min""), ""Unclassified"", IF(I4233 = """", ""NR"", I4233))"),"TV-MA")</f>
        <v>TV-MA</v>
      </c>
      <c r="R4233" s="5" t="str">
        <f t="shared" si="2"/>
        <v>Bill Hicks: Relentless</v>
      </c>
      <c r="S4233" s="5" t="str">
        <f>IFERROR(__xludf.DUMMYFUNCTION("""COMPUTED_VALUE"""),"Love Off The Cuff")</f>
        <v>Love Off The Cuff</v>
      </c>
      <c r="U4233" s="5" t="str">
        <f>IFERROR(__xludf.DUMMYFUNCTION("""COMPUTED_VALUE"""),"Bumpy")</f>
        <v>Bumpy</v>
      </c>
      <c r="V4233" s="5" t="s">
        <v>2301</v>
      </c>
      <c r="W4233" s="5" t="str">
        <f t="shared" si="3"/>
        <v>Tom Elkins</v>
      </c>
      <c r="X4233" s="5">
        <f t="shared" si="4"/>
        <v>1</v>
      </c>
      <c r="Y4233" s="5" t="str">
        <f>IFERROR(__xludf.DUMMYFUNCTION("REGEXEXTRACT(J4233, ""^\d+"")"),"61")</f>
        <v>61</v>
      </c>
      <c r="Z4233" s="5" t="str">
        <f>IFERROR(__xludf.DUMMYFUNCTION("REGEXEXTRACT(J4233, ""[A-Za-z ]+$"")")," min")</f>
        <v> min</v>
      </c>
      <c r="AA4233" s="5" t="str">
        <f>IFERROR(__xludf.DUMMYFUNCTION("IF(REGEXMATCH(Z4233, ""Season""), ""TV Show"", ""Movie"")"),"Movie")</f>
        <v>Movie</v>
      </c>
    </row>
    <row r="4234">
      <c r="A4234" s="1" t="s">
        <v>22694</v>
      </c>
      <c r="B4234" s="1" t="s">
        <v>27</v>
      </c>
      <c r="C4234" s="1" t="s">
        <v>22695</v>
      </c>
      <c r="D4234" s="1" t="s">
        <v>4666</v>
      </c>
      <c r="E4234" s="1" t="s">
        <v>22683</v>
      </c>
      <c r="F4234" s="1" t="s">
        <v>96</v>
      </c>
      <c r="G4234" s="1" t="s">
        <v>22684</v>
      </c>
      <c r="H4234" s="1">
        <v>1993.0</v>
      </c>
      <c r="I4234" s="1" t="s">
        <v>42</v>
      </c>
      <c r="J4234" s="1" t="s">
        <v>16845</v>
      </c>
      <c r="K4234" s="1" t="s">
        <v>1839</v>
      </c>
      <c r="L4234" s="1" t="s">
        <v>22696</v>
      </c>
      <c r="M4234" s="2" t="s">
        <v>12</v>
      </c>
      <c r="N4234" s="4">
        <f t="shared" si="1"/>
        <v>43465</v>
      </c>
      <c r="O4234" s="5" t="str">
        <f>IFERROR(__xludf.DUMMYFUNCTION("IF(REGEXMATCH(TRIM(I4234), ""^\d+\s*min""), ""Unclassified"", IF(I4234 = """", ""NR"", I4234))"),"TV-MA")</f>
        <v>TV-MA</v>
      </c>
      <c r="R4234" s="5" t="str">
        <f t="shared" si="2"/>
        <v>Bill Hicks: Revelations</v>
      </c>
      <c r="S4234" s="5" t="str">
        <f>IFERROR(__xludf.DUMMYFUNCTION("""COMPUTED_VALUE"""),"Love On Delivery")</f>
        <v>Love On Delivery</v>
      </c>
      <c r="U4234" s="5" t="str">
        <f>IFERROR(__xludf.DUMMYFUNCTION("""COMPUTED_VALUE"""),"Elliot Silverstein")</f>
        <v>Elliot Silverstein</v>
      </c>
      <c r="V4234" s="5" t="s">
        <v>22697</v>
      </c>
      <c r="W4234" s="5" t="str">
        <f t="shared" si="3"/>
        <v>Tom Fassaert</v>
      </c>
      <c r="X4234" s="5">
        <f t="shared" si="4"/>
        <v>1</v>
      </c>
      <c r="Y4234" s="5" t="str">
        <f>IFERROR(__xludf.DUMMYFUNCTION("REGEXEXTRACT(J4234, ""^\d+"")"),"56")</f>
        <v>56</v>
      </c>
      <c r="Z4234" s="5" t="str">
        <f>IFERROR(__xludf.DUMMYFUNCTION("REGEXEXTRACT(J4234, ""[A-Za-z ]+$"")")," min")</f>
        <v> min</v>
      </c>
      <c r="AA4234" s="5" t="str">
        <f>IFERROR(__xludf.DUMMYFUNCTION("IF(REGEXMATCH(Z4234, ""Season""), ""TV Show"", ""Movie"")"),"Movie")</f>
        <v>Movie</v>
      </c>
    </row>
    <row r="4235">
      <c r="A4235" s="1" t="s">
        <v>22698</v>
      </c>
      <c r="B4235" s="1" t="s">
        <v>27</v>
      </c>
      <c r="C4235" s="1" t="s">
        <v>22699</v>
      </c>
      <c r="D4235" s="1" t="s">
        <v>12798</v>
      </c>
      <c r="E4235" s="1" t="s">
        <v>22683</v>
      </c>
      <c r="F4235" s="1" t="s">
        <v>30</v>
      </c>
      <c r="G4235" s="1" t="s">
        <v>22684</v>
      </c>
      <c r="H4235" s="1">
        <v>1989.0</v>
      </c>
      <c r="I4235" s="1" t="s">
        <v>42</v>
      </c>
      <c r="J4235" s="1" t="s">
        <v>2452</v>
      </c>
      <c r="K4235" s="1" t="s">
        <v>1839</v>
      </c>
      <c r="L4235" s="1" t="s">
        <v>22700</v>
      </c>
      <c r="M4235" s="2" t="s">
        <v>12</v>
      </c>
      <c r="N4235" s="4">
        <f t="shared" si="1"/>
        <v>43465</v>
      </c>
      <c r="O4235" s="5" t="str">
        <f>IFERROR(__xludf.DUMMYFUNCTION("IF(REGEXMATCH(TRIM(I4235), ""^\d+\s*min""), ""Unclassified"", IF(I4235 = """", ""NR"", I4235))"),"TV-MA")</f>
        <v>TV-MA</v>
      </c>
      <c r="R4235" s="5" t="str">
        <f t="shared" si="2"/>
        <v>Bill Hicks: Sane Man</v>
      </c>
      <c r="S4235" s="5" t="str">
        <f>IFERROR(__xludf.DUMMYFUNCTION("""COMPUTED_VALUE"""),"Love On The Spectrum")</f>
        <v>Love On The Spectrum</v>
      </c>
      <c r="U4235" s="5" t="str">
        <f>IFERROR(__xludf.DUMMYFUNCTION("""COMPUTED_VALUE"""),"Sean Menard")</f>
        <v>Sean Menard</v>
      </c>
      <c r="V4235" s="5" t="s">
        <v>9024</v>
      </c>
      <c r="W4235" s="5" t="str">
        <f t="shared" si="3"/>
        <v>Tom Ford</v>
      </c>
      <c r="X4235" s="5">
        <f t="shared" si="4"/>
        <v>2</v>
      </c>
      <c r="Y4235" s="5" t="str">
        <f>IFERROR(__xludf.DUMMYFUNCTION("REGEXEXTRACT(J4235, ""^\d+"")"),"81")</f>
        <v>81</v>
      </c>
      <c r="Z4235" s="5" t="str">
        <f>IFERROR(__xludf.DUMMYFUNCTION("REGEXEXTRACT(J4235, ""[A-Za-z ]+$"")")," min")</f>
        <v> min</v>
      </c>
      <c r="AA4235" s="5" t="str">
        <f>IFERROR(__xludf.DUMMYFUNCTION("IF(REGEXMATCH(Z4235, ""Season""), ""TV Show"", ""Movie"")"),"Movie")</f>
        <v>Movie</v>
      </c>
    </row>
    <row r="4236">
      <c r="A4236" s="1" t="s">
        <v>22701</v>
      </c>
      <c r="B4236" s="1" t="s">
        <v>27</v>
      </c>
      <c r="C4236" s="1" t="s">
        <v>22702</v>
      </c>
      <c r="D4236" s="1" t="s">
        <v>17742</v>
      </c>
      <c r="E4236" s="1" t="s">
        <v>22703</v>
      </c>
      <c r="G4236" s="1" t="s">
        <v>22684</v>
      </c>
      <c r="H4236" s="1">
        <v>2013.0</v>
      </c>
      <c r="I4236" s="1" t="s">
        <v>42</v>
      </c>
      <c r="J4236" s="1" t="s">
        <v>2626</v>
      </c>
      <c r="K4236" s="1" t="s">
        <v>1839</v>
      </c>
      <c r="L4236" s="1" t="s">
        <v>22704</v>
      </c>
      <c r="M4236" s="2" t="s">
        <v>12</v>
      </c>
      <c r="N4236" s="4">
        <f t="shared" si="1"/>
        <v>43465</v>
      </c>
      <c r="O4236" s="5" t="str">
        <f>IFERROR(__xludf.DUMMYFUNCTION("IF(REGEXMATCH(TRIM(I4236), ""^\d+\s*min""), ""Unclassified"", IF(I4236 = """", ""NR"", I4236))"),"TV-MA")</f>
        <v>TV-MA</v>
      </c>
      <c r="R4236" s="5" t="str">
        <f t="shared" si="2"/>
        <v>Gina Yashere: Laughing To America</v>
      </c>
      <c r="S4236" s="5" t="str">
        <f>IFERROR(__xludf.DUMMYFUNCTION("""COMPUTED_VALUE"""),"Love Or Money")</f>
        <v>Love Or Money</v>
      </c>
      <c r="U4236" s="5" t="str">
        <f>IFERROR(__xludf.DUMMYFUNCTION("""COMPUTED_VALUE"""),"Jon Gunn")</f>
        <v>Jon Gunn</v>
      </c>
      <c r="V4236" s="5" t="s">
        <v>22705</v>
      </c>
      <c r="W4236" s="5" t="str">
        <f t="shared" si="3"/>
        <v>Tom Forrest</v>
      </c>
      <c r="X4236" s="5">
        <f t="shared" si="4"/>
        <v>1</v>
      </c>
      <c r="Y4236" s="5" t="str">
        <f>IFERROR(__xludf.DUMMYFUNCTION("REGEXEXTRACT(J4236, ""^\d+"")"),"68")</f>
        <v>68</v>
      </c>
      <c r="Z4236" s="5" t="str">
        <f>IFERROR(__xludf.DUMMYFUNCTION("REGEXEXTRACT(J4236, ""[A-Za-z ]+$"")")," min")</f>
        <v> min</v>
      </c>
      <c r="AA4236" s="5" t="str">
        <f>IFERROR(__xludf.DUMMYFUNCTION("IF(REGEXMATCH(Z4236, ""Season""), ""TV Show"", ""Movie"")"),"Movie")</f>
        <v>Movie</v>
      </c>
    </row>
    <row r="4237">
      <c r="A4237" s="1" t="s">
        <v>22706</v>
      </c>
      <c r="B4237" s="1" t="s">
        <v>27</v>
      </c>
      <c r="C4237" s="1" t="s">
        <v>22707</v>
      </c>
      <c r="E4237" s="1" t="s">
        <v>22703</v>
      </c>
      <c r="F4237" s="1" t="s">
        <v>96</v>
      </c>
      <c r="G4237" s="1" t="s">
        <v>22684</v>
      </c>
      <c r="H4237" s="1">
        <v>2008.0</v>
      </c>
      <c r="I4237" s="1" t="s">
        <v>42</v>
      </c>
      <c r="J4237" s="1" t="s">
        <v>4693</v>
      </c>
      <c r="K4237" s="1" t="s">
        <v>1839</v>
      </c>
      <c r="L4237" s="1" t="s">
        <v>22708</v>
      </c>
      <c r="M4237" s="2" t="s">
        <v>12</v>
      </c>
      <c r="N4237" s="4">
        <f t="shared" si="1"/>
        <v>43465</v>
      </c>
      <c r="O4237" s="5" t="str">
        <f>IFERROR(__xludf.DUMMYFUNCTION("IF(REGEXMATCH(TRIM(I4237), ""^\d+\s*min""), ""Unclassified"", IF(I4237 = """", ""NR"", I4237))"),"TV-MA")</f>
        <v>TV-MA</v>
      </c>
      <c r="R4237" s="5" t="str">
        <f t="shared" si="2"/>
        <v>Gina Yashere: Skinny B*Tch</v>
      </c>
      <c r="S4237" s="5" t="str">
        <f>IFERROR(__xludf.DUMMYFUNCTION("""COMPUTED_VALUE"""),"Love Per Square Foot")</f>
        <v>Love Per Square Foot</v>
      </c>
      <c r="U4237" s="5" t="str">
        <f>IFERROR(__xludf.DUMMYFUNCTION("""COMPUTED_VALUE"""),"Tarek Al Eryan")</f>
        <v>Tarek Al Eryan</v>
      </c>
      <c r="V4237" s="5" t="s">
        <v>22709</v>
      </c>
      <c r="W4237" s="5" t="str">
        <f t="shared" si="3"/>
        <v>Tom Gianas, Ross R. Shuman</v>
      </c>
      <c r="X4237" s="5">
        <f t="shared" si="4"/>
        <v>1</v>
      </c>
      <c r="Y4237" s="5" t="str">
        <f>IFERROR(__xludf.DUMMYFUNCTION("REGEXEXTRACT(J4237, ""^\d+"")"),"58")</f>
        <v>58</v>
      </c>
      <c r="Z4237" s="5" t="str">
        <f>IFERROR(__xludf.DUMMYFUNCTION("REGEXEXTRACT(J4237, ""[A-Za-z ]+$"")")," min")</f>
        <v> min</v>
      </c>
      <c r="AA4237" s="5" t="str">
        <f>IFERROR(__xludf.DUMMYFUNCTION("IF(REGEXMATCH(Z4237, ""Season""), ""TV Show"", ""Movie"")"),"Movie")</f>
        <v>Movie</v>
      </c>
    </row>
    <row r="4238">
      <c r="A4238" s="1" t="s">
        <v>22710</v>
      </c>
      <c r="B4238" s="1" t="s">
        <v>27</v>
      </c>
      <c r="C4238" s="1" t="s">
        <v>22711</v>
      </c>
      <c r="D4238" s="1" t="s">
        <v>12131</v>
      </c>
      <c r="F4238" s="1" t="s">
        <v>162</v>
      </c>
      <c r="G4238" s="1" t="s">
        <v>22684</v>
      </c>
      <c r="H4238" s="1">
        <v>2016.0</v>
      </c>
      <c r="I4238" s="1" t="s">
        <v>42</v>
      </c>
      <c r="J4238" s="1" t="s">
        <v>433</v>
      </c>
      <c r="K4238" s="1" t="s">
        <v>2892</v>
      </c>
      <c r="L4238" s="1" t="s">
        <v>22712</v>
      </c>
      <c r="M4238" s="2" t="s">
        <v>12</v>
      </c>
      <c r="N4238" s="4">
        <f t="shared" si="1"/>
        <v>43465</v>
      </c>
      <c r="O4238" s="5" t="str">
        <f>IFERROR(__xludf.DUMMYFUNCTION("IF(REGEXMATCH(TRIM(I4238), ""^\d+\s*min""), ""Unclassified"", IF(I4238 = """", ""NR"", I4238))"),"TV-MA")</f>
        <v>TV-MA</v>
      </c>
      <c r="R4238" s="5" t="str">
        <f t="shared" si="2"/>
        <v>Mexicanos De Bronce</v>
      </c>
      <c r="S4238" s="5" t="str">
        <f>IFERROR(__xludf.DUMMYFUNCTION("""COMPUTED_VALUE"""),"Love Rain")</f>
        <v>Love Rain</v>
      </c>
      <c r="U4238" s="5" t="str">
        <f>IFERROR(__xludf.DUMMYFUNCTION("""COMPUTED_VALUE"""),"Craig Moss")</f>
        <v>Craig Moss</v>
      </c>
      <c r="V4238" s="5" t="s">
        <v>16878</v>
      </c>
      <c r="W4238" s="5" t="str">
        <f t="shared" si="3"/>
        <v>Tom Green</v>
      </c>
      <c r="X4238" s="5">
        <f t="shared" si="4"/>
        <v>1</v>
      </c>
      <c r="Y4238" s="5" t="str">
        <f>IFERROR(__xludf.DUMMYFUNCTION("REGEXEXTRACT(J4238, ""^\d+"")"),"100")</f>
        <v>100</v>
      </c>
      <c r="Z4238" s="5" t="str">
        <f>IFERROR(__xludf.DUMMYFUNCTION("REGEXEXTRACT(J4238, ""[A-Za-z ]+$"")")," min")</f>
        <v> min</v>
      </c>
      <c r="AA4238" s="5" t="str">
        <f>IFERROR(__xludf.DUMMYFUNCTION("IF(REGEXMATCH(Z4238, ""Season""), ""TV Show"", ""Movie"")"),"Movie")</f>
        <v>Movie</v>
      </c>
    </row>
    <row r="4239">
      <c r="A4239" s="1" t="s">
        <v>22713</v>
      </c>
      <c r="B4239" s="1" t="s">
        <v>27</v>
      </c>
      <c r="C4239" s="1" t="s">
        <v>22714</v>
      </c>
      <c r="D4239" s="1" t="s">
        <v>22715</v>
      </c>
      <c r="E4239" s="1" t="s">
        <v>22716</v>
      </c>
      <c r="F4239" s="1" t="s">
        <v>30</v>
      </c>
      <c r="G4239" s="1" t="s">
        <v>22684</v>
      </c>
      <c r="H4239" s="1">
        <v>1987.0</v>
      </c>
      <c r="I4239" s="1" t="s">
        <v>42</v>
      </c>
      <c r="J4239" s="1" t="s">
        <v>9034</v>
      </c>
      <c r="K4239" s="1" t="s">
        <v>1839</v>
      </c>
      <c r="L4239" s="1" t="s">
        <v>22717</v>
      </c>
      <c r="M4239" s="2" t="s">
        <v>12</v>
      </c>
      <c r="N4239" s="4">
        <f t="shared" si="1"/>
        <v>43465</v>
      </c>
      <c r="O4239" s="5" t="str">
        <f>IFERROR(__xludf.DUMMYFUNCTION("IF(REGEXMATCH(TRIM(I4239), ""^\d+\s*min""), ""Unclassified"", IF(I4239 = """", ""NR"", I4239))"),"TV-MA")</f>
        <v>TV-MA</v>
      </c>
      <c r="R4239" s="5" t="str">
        <f t="shared" si="2"/>
        <v>Sam Kinison: Breaking The Rules</v>
      </c>
      <c r="S4239" s="5" t="str">
        <f>IFERROR(__xludf.DUMMYFUNCTION("""COMPUTED_VALUE"""),"Love Rhythms - Accidental Daddy")</f>
        <v>Love Rhythms - Accidental Daddy</v>
      </c>
      <c r="U4239" s="5" t="str">
        <f>IFERROR(__xludf.DUMMYFUNCTION("""COMPUTED_VALUE"""),"Magdy Al-Hawwary")</f>
        <v>Magdy Al-Hawwary</v>
      </c>
      <c r="V4239" s="5" t="s">
        <v>22718</v>
      </c>
      <c r="W4239" s="5" t="str">
        <f t="shared" si="3"/>
        <v>Tom Holland</v>
      </c>
      <c r="X4239" s="5">
        <f t="shared" si="4"/>
        <v>1</v>
      </c>
      <c r="Y4239" s="5" t="str">
        <f>IFERROR(__xludf.DUMMYFUNCTION("REGEXEXTRACT(J4239, ""^\d+"")"),"50")</f>
        <v>50</v>
      </c>
      <c r="Z4239" s="5" t="str">
        <f>IFERROR(__xludf.DUMMYFUNCTION("REGEXEXTRACT(J4239, ""[A-Za-z ]+$"")")," min")</f>
        <v> min</v>
      </c>
      <c r="AA4239" s="5" t="str">
        <f>IFERROR(__xludf.DUMMYFUNCTION("IF(REGEXMATCH(Z4239, ""Season""), ""TV Show"", ""Movie"")"),"Movie")</f>
        <v>Movie</v>
      </c>
    </row>
    <row r="4240">
      <c r="A4240" s="1" t="s">
        <v>22719</v>
      </c>
      <c r="B4240" s="1" t="s">
        <v>27</v>
      </c>
      <c r="C4240" s="1" t="s">
        <v>22720</v>
      </c>
      <c r="D4240" s="1" t="s">
        <v>22715</v>
      </c>
      <c r="E4240" s="1" t="s">
        <v>22716</v>
      </c>
      <c r="F4240" s="1" t="s">
        <v>30</v>
      </c>
      <c r="G4240" s="1" t="s">
        <v>22684</v>
      </c>
      <c r="H4240" s="1">
        <v>1991.0</v>
      </c>
      <c r="I4240" s="1" t="s">
        <v>42</v>
      </c>
      <c r="J4240" s="1" t="s">
        <v>4677</v>
      </c>
      <c r="K4240" s="1" t="s">
        <v>1839</v>
      </c>
      <c r="L4240" s="1" t="s">
        <v>22721</v>
      </c>
      <c r="M4240" s="2" t="s">
        <v>12</v>
      </c>
      <c r="N4240" s="4">
        <f t="shared" si="1"/>
        <v>43465</v>
      </c>
      <c r="O4240" s="5" t="str">
        <f>IFERROR(__xludf.DUMMYFUNCTION("IF(REGEXMATCH(TRIM(I4240), ""^\d+\s*min""), ""Unclassified"", IF(I4240 = """", ""NR"", I4240))"),"TV-MA")</f>
        <v>TV-MA</v>
      </c>
      <c r="R4240" s="5" t="str">
        <f t="shared" si="2"/>
        <v>Sam Kinison: Family Entertainment Hour</v>
      </c>
      <c r="S4240" s="5" t="str">
        <f>IFERROR(__xludf.DUMMYFUNCTION("""COMPUTED_VALUE"""),"Love Shot")</f>
        <v>Love Shot</v>
      </c>
      <c r="U4240" s="5" t="str">
        <f>IFERROR(__xludf.DUMMYFUNCTION("""COMPUTED_VALUE"""),"Antonio Chavarrías")</f>
        <v>Antonio Chavarrías</v>
      </c>
      <c r="V4240" s="5" t="s">
        <v>12116</v>
      </c>
      <c r="W4240" s="5" t="str">
        <f t="shared" si="3"/>
        <v>Tom Hooper</v>
      </c>
      <c r="X4240" s="5">
        <f t="shared" si="4"/>
        <v>3</v>
      </c>
      <c r="Y4240" s="5" t="str">
        <f>IFERROR(__xludf.DUMMYFUNCTION("REGEXEXTRACT(J4240, ""^\d+"")"),"49")</f>
        <v>49</v>
      </c>
      <c r="Z4240" s="5" t="str">
        <f>IFERROR(__xludf.DUMMYFUNCTION("REGEXEXTRACT(J4240, ""[A-Za-z ]+$"")")," min")</f>
        <v> min</v>
      </c>
      <c r="AA4240" s="5" t="str">
        <f>IFERROR(__xludf.DUMMYFUNCTION("IF(REGEXMATCH(Z4240, ""Season""), ""TV Show"", ""Movie"")"),"Movie")</f>
        <v>Movie</v>
      </c>
    </row>
    <row r="4241">
      <c r="A4241" s="1" t="s">
        <v>22722</v>
      </c>
      <c r="B4241" s="1" t="s">
        <v>27</v>
      </c>
      <c r="C4241" s="1" t="s">
        <v>22723</v>
      </c>
      <c r="D4241" s="1" t="s">
        <v>22715</v>
      </c>
      <c r="E4241" s="1" t="s">
        <v>22716</v>
      </c>
      <c r="F4241" s="1" t="s">
        <v>30</v>
      </c>
      <c r="G4241" s="1" t="s">
        <v>22684</v>
      </c>
      <c r="H4241" s="1">
        <v>1991.0</v>
      </c>
      <c r="I4241" s="1" t="s">
        <v>42</v>
      </c>
      <c r="J4241" s="1" t="s">
        <v>5650</v>
      </c>
      <c r="K4241" s="1" t="s">
        <v>1839</v>
      </c>
      <c r="L4241" s="1" t="s">
        <v>22724</v>
      </c>
      <c r="M4241" s="2" t="s">
        <v>12</v>
      </c>
      <c r="N4241" s="4">
        <f t="shared" si="1"/>
        <v>43465</v>
      </c>
      <c r="O4241" s="5" t="str">
        <f>IFERROR(__xludf.DUMMYFUNCTION("IF(REGEXMATCH(TRIM(I4241), ""^\d+\s*min""), ""Unclassified"", IF(I4241 = """", ""NR"", I4241))"),"TV-MA")</f>
        <v>TV-MA</v>
      </c>
      <c r="R4241" s="5" t="str">
        <f t="shared" si="2"/>
        <v>Sam Kinison: Live In Vegas</v>
      </c>
      <c r="S4241" s="5" t="str">
        <f>IFERROR(__xludf.DUMMYFUNCTION("""COMPUTED_VALUE"""),"Love Station")</f>
        <v>Love Station</v>
      </c>
      <c r="U4241" s="5" t="str">
        <f>IFERROR(__xludf.DUMMYFUNCTION("""COMPUTED_VALUE"""),"John Stephenson")</f>
        <v>John Stephenson</v>
      </c>
      <c r="V4241" s="5" t="s">
        <v>22725</v>
      </c>
      <c r="W4241" s="5" t="str">
        <f t="shared" si="3"/>
        <v>Tom Mccarthy</v>
      </c>
      <c r="X4241" s="5">
        <f t="shared" si="4"/>
        <v>1</v>
      </c>
      <c r="Y4241" s="5" t="str">
        <f>IFERROR(__xludf.DUMMYFUNCTION("REGEXEXTRACT(J4241, ""^\d+"")"),"71")</f>
        <v>71</v>
      </c>
      <c r="Z4241" s="5" t="str">
        <f>IFERROR(__xludf.DUMMYFUNCTION("REGEXEXTRACT(J4241, ""[A-Za-z ]+$"")")," min")</f>
        <v> min</v>
      </c>
      <c r="AA4241" s="5" t="str">
        <f>IFERROR(__xludf.DUMMYFUNCTION("IF(REGEXMATCH(Z4241, ""Season""), ""TV Show"", ""Movie"")"),"Movie")</f>
        <v>Movie</v>
      </c>
    </row>
    <row r="4242">
      <c r="A4242" s="1" t="s">
        <v>22726</v>
      </c>
      <c r="B4242" s="1" t="s">
        <v>27</v>
      </c>
      <c r="C4242" s="1" t="s">
        <v>22727</v>
      </c>
      <c r="E4242" s="1" t="s">
        <v>22716</v>
      </c>
      <c r="F4242" s="1" t="s">
        <v>30</v>
      </c>
      <c r="G4242" s="1" t="s">
        <v>22684</v>
      </c>
      <c r="H4242" s="1">
        <v>2016.0</v>
      </c>
      <c r="I4242" s="1" t="s">
        <v>42</v>
      </c>
      <c r="J4242" s="1" t="s">
        <v>5170</v>
      </c>
      <c r="K4242" s="1" t="s">
        <v>34</v>
      </c>
      <c r="L4242" s="1" t="s">
        <v>22728</v>
      </c>
      <c r="M4242" s="2" t="s">
        <v>12</v>
      </c>
      <c r="N4242" s="4">
        <f t="shared" si="1"/>
        <v>43465</v>
      </c>
      <c r="O4242" s="5" t="str">
        <f>IFERROR(__xludf.DUMMYFUNCTION("IF(REGEXMATCH(TRIM(I4242), ""^\d+\s*min""), ""Unclassified"", IF(I4242 = """", ""NR"", I4242))"),"TV-MA")</f>
        <v>TV-MA</v>
      </c>
      <c r="R4242" s="5" t="str">
        <f t="shared" si="2"/>
        <v>Sam Kinison: The Scream Continues</v>
      </c>
      <c r="S4242" s="5" t="str">
        <f>IFERROR(__xludf.DUMMYFUNCTION("""COMPUTED_VALUE"""),"Love Storm")</f>
        <v>Love Storm</v>
      </c>
      <c r="U4242" s="5" t="str">
        <f>IFERROR(__xludf.DUMMYFUNCTION("""COMPUTED_VALUE"""),"Michael Buster")</f>
        <v>Michael Buster</v>
      </c>
      <c r="V4242" s="5" t="s">
        <v>22729</v>
      </c>
      <c r="W4242" s="5" t="str">
        <f t="shared" si="3"/>
        <v>Tom O'Brien</v>
      </c>
      <c r="X4242" s="5">
        <f t="shared" si="4"/>
        <v>1</v>
      </c>
      <c r="Y4242" s="5" t="str">
        <f>IFERROR(__xludf.DUMMYFUNCTION("REGEXEXTRACT(J4242, ""^\d+"")"),"29")</f>
        <v>29</v>
      </c>
      <c r="Z4242" s="5" t="str">
        <f>IFERROR(__xludf.DUMMYFUNCTION("REGEXEXTRACT(J4242, ""[A-Za-z ]+$"")")," min")</f>
        <v> min</v>
      </c>
      <c r="AA4242" s="5" t="str">
        <f>IFERROR(__xludf.DUMMYFUNCTION("IF(REGEXMATCH(Z4242, ""Season""), ""TV Show"", ""Movie"")"),"Movie")</f>
        <v>Movie</v>
      </c>
    </row>
    <row r="4243">
      <c r="A4243" s="1" t="s">
        <v>22730</v>
      </c>
      <c r="B4243" s="1" t="s">
        <v>27</v>
      </c>
      <c r="C4243" s="1" t="s">
        <v>22731</v>
      </c>
      <c r="E4243" s="1" t="s">
        <v>22732</v>
      </c>
      <c r="F4243" s="1" t="s">
        <v>2059</v>
      </c>
      <c r="G4243" s="1" t="s">
        <v>22684</v>
      </c>
      <c r="H4243" s="1">
        <v>2018.0</v>
      </c>
      <c r="I4243" s="1" t="s">
        <v>97</v>
      </c>
      <c r="J4243" s="1" t="s">
        <v>912</v>
      </c>
      <c r="K4243" s="1" t="s">
        <v>6462</v>
      </c>
      <c r="L4243" s="1" t="s">
        <v>22733</v>
      </c>
      <c r="M4243" s="2" t="s">
        <v>12</v>
      </c>
      <c r="N4243" s="4">
        <f t="shared" si="1"/>
        <v>43465</v>
      </c>
      <c r="O4243" s="5" t="str">
        <f>IFERROR(__xludf.DUMMYFUNCTION("IF(REGEXMATCH(TRIM(I4243), ""^\d+\s*min""), ""Unclassified"", IF(I4243 = """", ""NR"", I4243))"),"TV-14")</f>
        <v>TV-14</v>
      </c>
      <c r="R4243" s="5" t="str">
        <f t="shared" si="2"/>
        <v>Secrets In The Hot Spring</v>
      </c>
      <c r="S4243" s="5" t="str">
        <f>IFERROR(__xludf.DUMMYFUNCTION("""COMPUTED_VALUE"""),"Love Wedding Repeat")</f>
        <v>Love Wedding Repeat</v>
      </c>
      <c r="U4243" s="5" t="str">
        <f>IFERROR(__xludf.DUMMYFUNCTION("""COMPUTED_VALUE"""),"Bob Nelson")</f>
        <v>Bob Nelson</v>
      </c>
      <c r="V4243" s="5" t="s">
        <v>22734</v>
      </c>
      <c r="W4243" s="5" t="str">
        <f t="shared" si="3"/>
        <v>Tom O'Dell</v>
      </c>
      <c r="X4243" s="5">
        <f t="shared" si="4"/>
        <v>1</v>
      </c>
      <c r="Y4243" s="5" t="str">
        <f>IFERROR(__xludf.DUMMYFUNCTION("REGEXEXTRACT(J4243, ""^\d+"")"),"108")</f>
        <v>108</v>
      </c>
      <c r="Z4243" s="5" t="str">
        <f>IFERROR(__xludf.DUMMYFUNCTION("REGEXEXTRACT(J4243, ""[A-Za-z ]+$"")")," min")</f>
        <v> min</v>
      </c>
      <c r="AA4243" s="5" t="str">
        <f>IFERROR(__xludf.DUMMYFUNCTION("IF(REGEXMATCH(Z4243, ""Season""), ""TV Show"", ""Movie"")"),"Movie")</f>
        <v>Movie</v>
      </c>
    </row>
    <row r="4244">
      <c r="A4244" s="1" t="s">
        <v>22735</v>
      </c>
      <c r="B4244" s="1" t="s">
        <v>27</v>
      </c>
      <c r="C4244" s="1" t="s">
        <v>22736</v>
      </c>
      <c r="D4244" s="1" t="s">
        <v>8862</v>
      </c>
      <c r="E4244" s="1" t="s">
        <v>16557</v>
      </c>
      <c r="G4244" s="1" t="s">
        <v>22684</v>
      </c>
      <c r="H4244" s="1">
        <v>2018.0</v>
      </c>
      <c r="I4244" s="1" t="s">
        <v>136</v>
      </c>
      <c r="J4244" s="1" t="s">
        <v>88</v>
      </c>
      <c r="K4244" s="1" t="s">
        <v>8833</v>
      </c>
      <c r="L4244" s="1" t="s">
        <v>22737</v>
      </c>
      <c r="M4244" s="2" t="s">
        <v>12</v>
      </c>
      <c r="N4244" s="4">
        <f t="shared" si="1"/>
        <v>43465</v>
      </c>
      <c r="O4244" s="5" t="str">
        <f>IFERROR(__xludf.DUMMYFUNCTION("IF(REGEXMATCH(TRIM(I4244), ""^\d+\s*min""), ""Unclassified"", IF(I4244 = """", ""NR"", I4244))"),"TV-PG")</f>
        <v>TV-PG</v>
      </c>
      <c r="R4244" s="5" t="str">
        <f t="shared" si="2"/>
        <v>Taylor Swift Reputation Stadium Tour</v>
      </c>
      <c r="S4244" s="5" t="str">
        <f>IFERROR(__xludf.DUMMYFUNCTION("""COMPUTED_VALUE"""),"Love You To The Stars And Back")</f>
        <v>Love You To The Stars And Back</v>
      </c>
      <c r="U4244" s="5" t="str">
        <f>IFERROR(__xludf.DUMMYFUNCTION("""COMPUTED_VALUE"""),"Ari Folman")</f>
        <v>Ari Folman</v>
      </c>
      <c r="V4244" s="5" t="s">
        <v>1248</v>
      </c>
      <c r="W4244" s="5" t="str">
        <f t="shared" si="3"/>
        <v>Tom Shadyac</v>
      </c>
      <c r="X4244" s="5">
        <f t="shared" si="4"/>
        <v>2</v>
      </c>
      <c r="Y4244" s="5" t="str">
        <f>IFERROR(__xludf.DUMMYFUNCTION("REGEXEXTRACT(J4244, ""^\d+"")"),"125")</f>
        <v>125</v>
      </c>
      <c r="Z4244" s="5" t="str">
        <f>IFERROR(__xludf.DUMMYFUNCTION("REGEXEXTRACT(J4244, ""[A-Za-z ]+$"")")," min")</f>
        <v> min</v>
      </c>
      <c r="AA4244" s="5" t="str">
        <f>IFERROR(__xludf.DUMMYFUNCTION("IF(REGEXMATCH(Z4244, ""Season""), ""TV Show"", ""Movie"")"),"Movie")</f>
        <v>Movie</v>
      </c>
    </row>
    <row r="4245">
      <c r="A4245" s="1" t="s">
        <v>22738</v>
      </c>
      <c r="B4245" s="1" t="s">
        <v>27</v>
      </c>
      <c r="C4245" s="1" t="s">
        <v>22739</v>
      </c>
      <c r="D4245" s="1" t="s">
        <v>17064</v>
      </c>
      <c r="E4245" s="1" t="s">
        <v>22740</v>
      </c>
      <c r="F4245" s="1" t="s">
        <v>415</v>
      </c>
      <c r="G4245" s="1" t="s">
        <v>22684</v>
      </c>
      <c r="H4245" s="1">
        <v>2018.0</v>
      </c>
      <c r="I4245" s="1" t="s">
        <v>97</v>
      </c>
      <c r="J4245" s="1" t="s">
        <v>433</v>
      </c>
      <c r="K4245" s="1" t="s">
        <v>417</v>
      </c>
      <c r="L4245" s="1" t="s">
        <v>22741</v>
      </c>
      <c r="M4245" s="2" t="s">
        <v>12</v>
      </c>
      <c r="N4245" s="4">
        <f t="shared" si="1"/>
        <v>43465</v>
      </c>
      <c r="O4245" s="5" t="str">
        <f>IFERROR(__xludf.DUMMYFUNCTION("IF(REGEXMATCH(TRIM(I4245), ""^\d+\s*min""), ""Unclassified"", IF(I4245 = """", ""NR"", I4245))"),"TV-14")</f>
        <v>TV-14</v>
      </c>
      <c r="R4245" s="5" t="str">
        <f t="shared" si="2"/>
        <v>The Seven Deadly Sins The Movie: Prisoners Of The Sky</v>
      </c>
      <c r="S4245" s="5" t="str">
        <f>IFERROR(__xludf.DUMMYFUNCTION("""COMPUTED_VALUE"""),"Love You... Love You Not")</f>
        <v>Love You... Love You Not</v>
      </c>
      <c r="U4245" s="5" t="str">
        <f>IFERROR(__xludf.DUMMYFUNCTION("""COMPUTED_VALUE"""),"Andrew Fleming")</f>
        <v>Andrew Fleming</v>
      </c>
      <c r="V4245" s="5" t="s">
        <v>22169</v>
      </c>
      <c r="W4245" s="5" t="str">
        <f t="shared" si="3"/>
        <v>Tom Stern</v>
      </c>
      <c r="X4245" s="5">
        <f t="shared" si="4"/>
        <v>1</v>
      </c>
      <c r="Y4245" s="5" t="str">
        <f>IFERROR(__xludf.DUMMYFUNCTION("REGEXEXTRACT(J4245, ""^\d+"")"),"100")</f>
        <v>100</v>
      </c>
      <c r="Z4245" s="5" t="str">
        <f>IFERROR(__xludf.DUMMYFUNCTION("REGEXEXTRACT(J4245, ""[A-Za-z ]+$"")")," min")</f>
        <v> min</v>
      </c>
      <c r="AA4245" s="5" t="str">
        <f>IFERROR(__xludf.DUMMYFUNCTION("IF(REGEXMATCH(Z4245, ""Season""), ""TV Show"", ""Movie"")"),"Movie")</f>
        <v>Movie</v>
      </c>
    </row>
    <row r="4246">
      <c r="A4246" s="1" t="s">
        <v>22742</v>
      </c>
      <c r="B4246" s="1" t="s">
        <v>27</v>
      </c>
      <c r="C4246" s="1" t="s">
        <v>22743</v>
      </c>
      <c r="D4246" s="1" t="s">
        <v>6987</v>
      </c>
      <c r="E4246" s="1" t="s">
        <v>22744</v>
      </c>
      <c r="F4246" s="1" t="s">
        <v>30</v>
      </c>
      <c r="G4246" s="1" t="s">
        <v>22684</v>
      </c>
      <c r="H4246" s="1">
        <v>1990.0</v>
      </c>
      <c r="I4246" s="1" t="s">
        <v>42</v>
      </c>
      <c r="J4246" s="1" t="s">
        <v>12625</v>
      </c>
      <c r="K4246" s="1" t="s">
        <v>1839</v>
      </c>
      <c r="L4246" s="1" t="s">
        <v>22745</v>
      </c>
      <c r="M4246" s="2" t="s">
        <v>12</v>
      </c>
      <c r="N4246" s="4">
        <f t="shared" si="1"/>
        <v>43465</v>
      </c>
      <c r="O4246" s="5" t="str">
        <f>IFERROR(__xludf.DUMMYFUNCTION("IF(REGEXMATCH(TRIM(I4246), ""^\d+\s*min""), ""Unclassified"", IF(I4246 = """", ""NR"", I4246))"),"TV-MA")</f>
        <v>TV-MA</v>
      </c>
      <c r="R4246" s="5" t="str">
        <f t="shared" si="2"/>
        <v>Tim Allen: Men Are Pigs</v>
      </c>
      <c r="S4246" s="5" t="str">
        <f>IFERROR(__xludf.DUMMYFUNCTION("""COMPUTED_VALUE"""),"Love Your Garden")</f>
        <v>Love Your Garden</v>
      </c>
      <c r="U4246" s="5" t="str">
        <f>IFERROR(__xludf.DUMMYFUNCTION("""COMPUTED_VALUE"""),"Kirk De Micco, Chris Sanders")</f>
        <v>Kirk De Micco, Chris Sanders</v>
      </c>
      <c r="V4246" s="5" t="s">
        <v>22746</v>
      </c>
      <c r="W4246" s="5" t="str">
        <f t="shared" si="3"/>
        <v>Tom Stubberfield</v>
      </c>
      <c r="X4246" s="5">
        <f t="shared" si="4"/>
        <v>1</v>
      </c>
      <c r="Y4246" s="5" t="str">
        <f>IFERROR(__xludf.DUMMYFUNCTION("REGEXEXTRACT(J4246, ""^\d+"")"),"30")</f>
        <v>30</v>
      </c>
      <c r="Z4246" s="5" t="str">
        <f>IFERROR(__xludf.DUMMYFUNCTION("REGEXEXTRACT(J4246, ""[A-Za-z ]+$"")")," min")</f>
        <v> min</v>
      </c>
      <c r="AA4246" s="5" t="str">
        <f>IFERROR(__xludf.DUMMYFUNCTION("IF(REGEXMATCH(Z4246, ""Season""), ""TV Show"", ""Movie"")"),"Movie")</f>
        <v>Movie</v>
      </c>
    </row>
    <row r="4247">
      <c r="A4247" s="1" t="s">
        <v>22747</v>
      </c>
      <c r="B4247" s="1" t="s">
        <v>27</v>
      </c>
      <c r="C4247" s="1" t="s">
        <v>22748</v>
      </c>
      <c r="E4247" s="1" t="s">
        <v>22744</v>
      </c>
      <c r="F4247" s="1" t="s">
        <v>30</v>
      </c>
      <c r="G4247" s="1" t="s">
        <v>22684</v>
      </c>
      <c r="H4247" s="1">
        <v>1991.0</v>
      </c>
      <c r="I4247" s="1" t="s">
        <v>42</v>
      </c>
      <c r="J4247" s="1" t="s">
        <v>12625</v>
      </c>
      <c r="K4247" s="1" t="s">
        <v>1839</v>
      </c>
      <c r="L4247" s="1" t="s">
        <v>22749</v>
      </c>
      <c r="M4247" s="2" t="s">
        <v>12</v>
      </c>
      <c r="N4247" s="4">
        <f t="shared" si="1"/>
        <v>43465</v>
      </c>
      <c r="O4247" s="5" t="str">
        <f>IFERROR(__xludf.DUMMYFUNCTION("IF(REGEXMATCH(TRIM(I4247), ""^\d+\s*min""), ""Unclassified"", IF(I4247 = """", ""NR"", I4247))"),"TV-MA")</f>
        <v>TV-MA</v>
      </c>
      <c r="R4247" s="5" t="str">
        <f t="shared" si="2"/>
        <v>Tim Allen: Rewires America</v>
      </c>
      <c r="S4247" s="5" t="str">
        <f>IFERROR(__xludf.DUMMYFUNCTION("""COMPUTED_VALUE"""),"Love, Chunibyo &amp; Other Delusions!")</f>
        <v>Love, Chunibyo &amp; Other Delusions!</v>
      </c>
      <c r="U4247" s="5" t="str">
        <f>IFERROR(__xludf.DUMMYFUNCTION("""COMPUTED_VALUE"""),"Marek Piwowski")</f>
        <v>Marek Piwowski</v>
      </c>
      <c r="V4247" s="5" t="s">
        <v>22750</v>
      </c>
      <c r="W4247" s="5" t="str">
        <f t="shared" si="3"/>
        <v>Tom Whitter</v>
      </c>
      <c r="X4247" s="5">
        <f t="shared" si="4"/>
        <v>1</v>
      </c>
      <c r="Y4247" s="5" t="str">
        <f>IFERROR(__xludf.DUMMYFUNCTION("REGEXEXTRACT(J4247, ""^\d+"")"),"30")</f>
        <v>30</v>
      </c>
      <c r="Z4247" s="5" t="str">
        <f>IFERROR(__xludf.DUMMYFUNCTION("REGEXEXTRACT(J4247, ""[A-Za-z ]+$"")")," min")</f>
        <v> min</v>
      </c>
      <c r="AA4247" s="5" t="str">
        <f>IFERROR(__xludf.DUMMYFUNCTION("IF(REGEXMATCH(Z4247, ""Season""), ""TV Show"", ""Movie"")"),"Movie")</f>
        <v>Movie</v>
      </c>
    </row>
    <row r="4248">
      <c r="A4248" s="1" t="s">
        <v>22751</v>
      </c>
      <c r="B4248" s="1" t="s">
        <v>27</v>
      </c>
      <c r="C4248" s="1" t="s">
        <v>22752</v>
      </c>
      <c r="D4248" s="1" t="s">
        <v>15204</v>
      </c>
      <c r="E4248" s="1" t="s">
        <v>22753</v>
      </c>
      <c r="F4248" s="1" t="s">
        <v>96</v>
      </c>
      <c r="G4248" s="1" t="s">
        <v>22684</v>
      </c>
      <c r="H4248" s="1">
        <v>2011.0</v>
      </c>
      <c r="I4248" s="1" t="s">
        <v>42</v>
      </c>
      <c r="J4248" s="1" t="s">
        <v>11162</v>
      </c>
      <c r="K4248" s="1" t="s">
        <v>22754</v>
      </c>
      <c r="L4248" s="1" t="s">
        <v>22755</v>
      </c>
      <c r="M4248" s="2" t="s">
        <v>12</v>
      </c>
      <c r="N4248" s="4">
        <f t="shared" si="1"/>
        <v>43465</v>
      </c>
      <c r="O4248" s="5" t="str">
        <f>IFERROR(__xludf.DUMMYFUNCTION("IF(REGEXMATCH(TRIM(I4248), ""^\d+\s*min""), ""Unclassified"", IF(I4248 = """", ""NR"", I4248))"),"TV-MA")</f>
        <v>TV-MA</v>
      </c>
      <c r="R4248" s="5" t="str">
        <f t="shared" si="2"/>
        <v>Tim Minchin And The Heritage Orchestra Live</v>
      </c>
      <c r="S4248" s="5" t="str">
        <f>IFERROR(__xludf.DUMMYFUNCTION("""COMPUTED_VALUE"""),"Love, Death &amp; Robots")</f>
        <v>Love, Death &amp; Robots</v>
      </c>
      <c r="U4248" s="5" t="str">
        <f>IFERROR(__xludf.DUMMYFUNCTION("""COMPUTED_VALUE"""),"Jarrad Paul, Andrew Mogel")</f>
        <v>Jarrad Paul, Andrew Mogel</v>
      </c>
      <c r="V4248" s="5" t="s">
        <v>11114</v>
      </c>
      <c r="W4248" s="5" t="str">
        <f t="shared" si="3"/>
        <v>Tom Whitworth</v>
      </c>
      <c r="X4248" s="5">
        <f t="shared" si="4"/>
        <v>1</v>
      </c>
      <c r="Y4248" s="5" t="str">
        <f>IFERROR(__xludf.DUMMYFUNCTION("REGEXEXTRACT(J4248, ""^\d+"")"),"146")</f>
        <v>146</v>
      </c>
      <c r="Z4248" s="5" t="str">
        <f>IFERROR(__xludf.DUMMYFUNCTION("REGEXEXTRACT(J4248, ""[A-Za-z ]+$"")")," min")</f>
        <v> min</v>
      </c>
      <c r="AA4248" s="5" t="str">
        <f>IFERROR(__xludf.DUMMYFUNCTION("IF(REGEXMATCH(Z4248, ""Season""), ""TV Show"", ""Movie"")"),"Movie")</f>
        <v>Movie</v>
      </c>
    </row>
    <row r="4249">
      <c r="A4249" s="1" t="s">
        <v>22756</v>
      </c>
      <c r="B4249" s="1" t="s">
        <v>27</v>
      </c>
      <c r="C4249" s="1" t="s">
        <v>22757</v>
      </c>
      <c r="D4249" s="1" t="s">
        <v>15204</v>
      </c>
      <c r="E4249" s="1" t="s">
        <v>22758</v>
      </c>
      <c r="F4249" s="1" t="s">
        <v>96</v>
      </c>
      <c r="G4249" s="1" t="s">
        <v>22684</v>
      </c>
      <c r="H4249" s="1">
        <v>2008.0</v>
      </c>
      <c r="I4249" s="1" t="s">
        <v>42</v>
      </c>
      <c r="J4249" s="1" t="s">
        <v>127</v>
      </c>
      <c r="K4249" s="1" t="s">
        <v>22754</v>
      </c>
      <c r="L4249" s="1" t="s">
        <v>22759</v>
      </c>
      <c r="M4249" s="2" t="s">
        <v>12</v>
      </c>
      <c r="N4249" s="4">
        <f t="shared" si="1"/>
        <v>43465</v>
      </c>
      <c r="O4249" s="5" t="str">
        <f>IFERROR(__xludf.DUMMYFUNCTION("IF(REGEXMATCH(TRIM(I4249), ""^\d+\s*min""), ""Unclassified"", IF(I4249 = """", ""NR"", I4249))"),"TV-MA")</f>
        <v>TV-MA</v>
      </c>
      <c r="R4249" s="5" t="str">
        <f t="shared" si="2"/>
        <v>Tim Minchin: So F**King Rock</v>
      </c>
      <c r="S4249" s="5" t="str">
        <f>IFERROR(__xludf.DUMMYFUNCTION("""COMPUTED_VALUE"""),"Love, Guaranteed")</f>
        <v>Love, Guaranteed</v>
      </c>
      <c r="U4249" s="5" t="str">
        <f>IFERROR(__xludf.DUMMYFUNCTION("""COMPUTED_VALUE"""),"Satish Manwar")</f>
        <v>Satish Manwar</v>
      </c>
      <c r="V4249" s="5" t="s">
        <v>13824</v>
      </c>
      <c r="W4249" s="5" t="str">
        <f t="shared" si="3"/>
        <v>Tomas Brickhill</v>
      </c>
      <c r="X4249" s="5">
        <f t="shared" si="4"/>
        <v>1</v>
      </c>
      <c r="Y4249" s="5" t="str">
        <f>IFERROR(__xludf.DUMMYFUNCTION("REGEXEXTRACT(J4249, ""^\d+"")"),"127")</f>
        <v>127</v>
      </c>
      <c r="Z4249" s="5" t="str">
        <f>IFERROR(__xludf.DUMMYFUNCTION("REGEXEXTRACT(J4249, ""[A-Za-z ]+$"")")," min")</f>
        <v> min</v>
      </c>
      <c r="AA4249" s="5" t="str">
        <f>IFERROR(__xludf.DUMMYFUNCTION("IF(REGEXMATCH(Z4249, ""Season""), ""TV Show"", ""Movie"")"),"Movie")</f>
        <v>Movie</v>
      </c>
    </row>
    <row r="4250">
      <c r="A4250" s="1" t="s">
        <v>22760</v>
      </c>
      <c r="B4250" s="1" t="s">
        <v>27</v>
      </c>
      <c r="C4250" s="1" t="s">
        <v>22761</v>
      </c>
      <c r="D4250" s="1" t="s">
        <v>10379</v>
      </c>
      <c r="E4250" s="1" t="s">
        <v>22762</v>
      </c>
      <c r="F4250" s="1" t="s">
        <v>30</v>
      </c>
      <c r="G4250" s="1" t="s">
        <v>22684</v>
      </c>
      <c r="H4250" s="1">
        <v>2012.0</v>
      </c>
      <c r="I4250" s="1" t="s">
        <v>42</v>
      </c>
      <c r="J4250" s="1" t="s">
        <v>3060</v>
      </c>
      <c r="K4250" s="1" t="s">
        <v>1839</v>
      </c>
      <c r="L4250" s="1" t="s">
        <v>22763</v>
      </c>
      <c r="M4250" s="2" t="s">
        <v>12</v>
      </c>
      <c r="N4250" s="4">
        <f t="shared" si="1"/>
        <v>43465</v>
      </c>
      <c r="O4250" s="5" t="str">
        <f>IFERROR(__xludf.DUMMYFUNCTION("IF(REGEXMATCH(TRIM(I4250), ""^\d+\s*min""), ""Unclassified"", IF(I4250 = """", ""NR"", I4250))"),"TV-MA")</f>
        <v>TV-MA</v>
      </c>
      <c r="R4250" s="5" t="str">
        <f t="shared" si="2"/>
        <v>Todd Glass: Stand-Up Special</v>
      </c>
      <c r="S4250" s="5" t="str">
        <f>IFERROR(__xludf.DUMMYFUNCTION("""COMPUTED_VALUE"""),"Love, Rosie")</f>
        <v>Love, Rosie</v>
      </c>
      <c r="U4250" s="5" t="str">
        <f>IFERROR(__xludf.DUMMYFUNCTION("""COMPUTED_VALUE"""),"Frank Oz, Jim Henson")</f>
        <v>Frank Oz, Jim Henson</v>
      </c>
      <c r="V4250" s="5" t="s">
        <v>22764</v>
      </c>
      <c r="W4250" s="5" t="str">
        <f t="shared" si="3"/>
        <v>Tomas Portella</v>
      </c>
      <c r="X4250" s="5">
        <f t="shared" si="4"/>
        <v>1</v>
      </c>
      <c r="Y4250" s="5" t="str">
        <f>IFERROR(__xludf.DUMMYFUNCTION("REGEXEXTRACT(J4250, ""^\d+"")"),"46")</f>
        <v>46</v>
      </c>
      <c r="Z4250" s="5" t="str">
        <f>IFERROR(__xludf.DUMMYFUNCTION("REGEXEXTRACT(J4250, ""[A-Za-z ]+$"")")," min")</f>
        <v> min</v>
      </c>
      <c r="AA4250" s="5" t="str">
        <f>IFERROR(__xludf.DUMMYFUNCTION("IF(REGEXMATCH(Z4250, ""Season""), ""TV Show"", ""Movie"")"),"Movie")</f>
        <v>Movie</v>
      </c>
    </row>
    <row r="4251">
      <c r="A4251" s="1" t="s">
        <v>22765</v>
      </c>
      <c r="B4251" s="1" t="s">
        <v>27</v>
      </c>
      <c r="C4251" s="1" t="s">
        <v>22766</v>
      </c>
      <c r="D4251" s="1" t="s">
        <v>19376</v>
      </c>
      <c r="E4251" s="1" t="s">
        <v>16439</v>
      </c>
      <c r="F4251" s="1" t="s">
        <v>30</v>
      </c>
      <c r="G4251" s="1" t="s">
        <v>22684</v>
      </c>
      <c r="H4251" s="1">
        <v>2011.0</v>
      </c>
      <c r="I4251" s="1" t="s">
        <v>97</v>
      </c>
      <c r="J4251" s="1" t="s">
        <v>8832</v>
      </c>
      <c r="K4251" s="1" t="s">
        <v>1839</v>
      </c>
      <c r="L4251" s="1" t="s">
        <v>22767</v>
      </c>
      <c r="M4251" s="2" t="s">
        <v>12</v>
      </c>
      <c r="N4251" s="4">
        <f t="shared" si="1"/>
        <v>43465</v>
      </c>
      <c r="O4251" s="5" t="str">
        <f>IFERROR(__xludf.DUMMYFUNCTION("IF(REGEXMATCH(TRIM(I4251), ""^\d+\s*min""), ""Unclassified"", IF(I4251 = """", ""NR"", I4251))"),"TV-14")</f>
        <v>TV-14</v>
      </c>
      <c r="R4251" s="5" t="str">
        <f t="shared" si="2"/>
        <v>Tom Papa Live In New York City</v>
      </c>
      <c r="S4251" s="5" t="str">
        <f>IFERROR(__xludf.DUMMYFUNCTION("""COMPUTED_VALUE"""),"Love, Surreal And Odd")</f>
        <v>Love, Surreal And Odd</v>
      </c>
      <c r="U4251" s="5" t="str">
        <f>IFERROR(__xludf.DUMMYFUNCTION("""COMPUTED_VALUE"""),"Tariq Khan")</f>
        <v>Tariq Khan</v>
      </c>
      <c r="V4251" s="5" t="s">
        <v>591</v>
      </c>
      <c r="W4251" s="5" t="str">
        <f t="shared" si="3"/>
        <v>Tomer Eshed</v>
      </c>
      <c r="X4251" s="5">
        <f t="shared" si="4"/>
        <v>1</v>
      </c>
      <c r="Y4251" s="5" t="str">
        <f>IFERROR(__xludf.DUMMYFUNCTION("REGEXEXTRACT(J4251, ""^\d+"")"),"57")</f>
        <v>57</v>
      </c>
      <c r="Z4251" s="5" t="str">
        <f>IFERROR(__xludf.DUMMYFUNCTION("REGEXEXTRACT(J4251, ""[A-Za-z ]+$"")")," min")</f>
        <v> min</v>
      </c>
      <c r="AA4251" s="5" t="str">
        <f>IFERROR(__xludf.DUMMYFUNCTION("IF(REGEXMATCH(Z4251, ""Season""), ""TV Show"", ""Movie"")"),"Movie")</f>
        <v>Movie</v>
      </c>
    </row>
    <row r="4252">
      <c r="A4252" s="1" t="s">
        <v>22768</v>
      </c>
      <c r="B4252" s="1" t="s">
        <v>37</v>
      </c>
      <c r="C4252" s="1" t="s">
        <v>22769</v>
      </c>
      <c r="G4252" s="1" t="s">
        <v>22770</v>
      </c>
      <c r="H4252" s="1">
        <v>1925.0</v>
      </c>
      <c r="I4252" s="1" t="s">
        <v>97</v>
      </c>
      <c r="J4252" s="1" t="s">
        <v>51</v>
      </c>
      <c r="K4252" s="1" t="s">
        <v>1045</v>
      </c>
      <c r="L4252" s="1" t="s">
        <v>22771</v>
      </c>
      <c r="M4252" s="2" t="s">
        <v>12</v>
      </c>
      <c r="N4252" s="4">
        <f t="shared" si="1"/>
        <v>43464</v>
      </c>
      <c r="O4252" s="5" t="str">
        <f>IFERROR(__xludf.DUMMYFUNCTION("IF(REGEXMATCH(TRIM(I4252), ""^\d+\s*min""), ""Unclassified"", IF(I4252 = """", ""NR"", I4252))"),"TV-14")</f>
        <v>TV-14</v>
      </c>
      <c r="R4252" s="5" t="str">
        <f t="shared" si="2"/>
        <v>Pioneers: First Women Filmmakers*</v>
      </c>
      <c r="S4252" s="9" t="str">
        <f>IFERROR(__xludf.DUMMYFUNCTION("""COMPUTED_VALUE"""),"Love.Com")</f>
        <v>Love.Com</v>
      </c>
      <c r="U4252" s="5" t="str">
        <f>IFERROR(__xludf.DUMMYFUNCTION("""COMPUTED_VALUE"""),"Peter Mortimer, Josh Lowell")</f>
        <v>Peter Mortimer, Josh Lowell</v>
      </c>
      <c r="V4252" s="5" t="s">
        <v>22772</v>
      </c>
      <c r="W4252" s="5" t="str">
        <f t="shared" si="3"/>
        <v>Tomer Heymann</v>
      </c>
      <c r="X4252" s="5">
        <f t="shared" si="4"/>
        <v>1</v>
      </c>
      <c r="Y4252" s="5" t="str">
        <f>IFERROR(__xludf.DUMMYFUNCTION("REGEXEXTRACT(J4252, ""^\d+"")"),"1")</f>
        <v>1</v>
      </c>
      <c r="Z4252" s="5" t="str">
        <f>IFERROR(__xludf.DUMMYFUNCTION("REGEXEXTRACT(J4252, ""[A-Za-z ]+$"")")," Season")</f>
        <v> Season</v>
      </c>
      <c r="AA4252" s="5" t="str">
        <f>IFERROR(__xludf.DUMMYFUNCTION("IF(REGEXMATCH(Z4252, ""Season""), ""TV Show"", ""Movie"")"),"TV Show")</f>
        <v>TV Show</v>
      </c>
    </row>
    <row r="4253">
      <c r="A4253" s="1" t="s">
        <v>22773</v>
      </c>
      <c r="B4253" s="1" t="s">
        <v>37</v>
      </c>
      <c r="C4253" s="1" t="s">
        <v>22774</v>
      </c>
      <c r="E4253" s="1" t="s">
        <v>22775</v>
      </c>
      <c r="F4253" s="1" t="s">
        <v>2796</v>
      </c>
      <c r="G4253" s="1" t="s">
        <v>22776</v>
      </c>
      <c r="H4253" s="1">
        <v>2018.0</v>
      </c>
      <c r="I4253" s="1" t="s">
        <v>42</v>
      </c>
      <c r="J4253" s="1" t="s">
        <v>51</v>
      </c>
      <c r="K4253" s="1" t="s">
        <v>1362</v>
      </c>
      <c r="L4253" s="1" t="s">
        <v>22777</v>
      </c>
      <c r="M4253" s="2" t="s">
        <v>12</v>
      </c>
      <c r="N4253" s="4">
        <f t="shared" si="1"/>
        <v>43463</v>
      </c>
      <c r="O4253" s="5" t="str">
        <f>IFERROR(__xludf.DUMMYFUNCTION("IF(REGEXMATCH(TRIM(I4253), ""^\d+\s*min""), ""Unclassified"", IF(I4253 = """", ""NR"", I4253))"),"TV-MA")</f>
        <v>TV-MA</v>
      </c>
      <c r="R4253" s="5" t="str">
        <f t="shared" si="2"/>
        <v>In Family We Trust</v>
      </c>
      <c r="S4253" s="5" t="str">
        <f>IFERROR(__xludf.DUMMYFUNCTION("""COMPUTED_VALUE"""),"Lovesick")</f>
        <v>Lovesick</v>
      </c>
      <c r="U4253" s="5" t="str">
        <f>IFERROR(__xludf.DUMMYFUNCTION("""COMPUTED_VALUE"""),"Cecilia Atán, Valeria Pivato")</f>
        <v>Cecilia Atán, Valeria Pivato</v>
      </c>
      <c r="V4253" s="5" t="s">
        <v>22778</v>
      </c>
      <c r="W4253" s="5" t="str">
        <f t="shared" si="3"/>
        <v>Tommy Avallone</v>
      </c>
      <c r="X4253" s="5">
        <f t="shared" si="4"/>
        <v>1</v>
      </c>
      <c r="Y4253" s="5" t="str">
        <f>IFERROR(__xludf.DUMMYFUNCTION("REGEXEXTRACT(J4253, ""^\d+"")"),"1")</f>
        <v>1</v>
      </c>
      <c r="Z4253" s="5" t="str">
        <f>IFERROR(__xludf.DUMMYFUNCTION("REGEXEXTRACT(J4253, ""[A-Za-z ]+$"")")," Season")</f>
        <v> Season</v>
      </c>
      <c r="AA4253" s="5" t="str">
        <f>IFERROR(__xludf.DUMMYFUNCTION("IF(REGEXMATCH(Z4253, ""Season""), ""TV Show"", ""Movie"")"),"TV Show")</f>
        <v>TV Show</v>
      </c>
    </row>
    <row r="4254">
      <c r="A4254" s="1" t="s">
        <v>22779</v>
      </c>
      <c r="B4254" s="1" t="s">
        <v>27</v>
      </c>
      <c r="C4254" s="1" t="s">
        <v>22780</v>
      </c>
      <c r="D4254" s="1" t="s">
        <v>1493</v>
      </c>
      <c r="E4254" s="1" t="s">
        <v>22781</v>
      </c>
      <c r="F4254" s="1" t="s">
        <v>22782</v>
      </c>
      <c r="G4254" s="1" t="s">
        <v>22783</v>
      </c>
      <c r="H4254" s="1">
        <v>2018.0</v>
      </c>
      <c r="I4254" s="1" t="s">
        <v>42</v>
      </c>
      <c r="J4254" s="1" t="s">
        <v>393</v>
      </c>
      <c r="K4254" s="1" t="s">
        <v>128</v>
      </c>
      <c r="L4254" s="1" t="s">
        <v>22784</v>
      </c>
      <c r="M4254" s="2" t="s">
        <v>12</v>
      </c>
      <c r="N4254" s="4">
        <f t="shared" si="1"/>
        <v>43462</v>
      </c>
      <c r="O4254" s="5" t="str">
        <f>IFERROR(__xludf.DUMMYFUNCTION("IF(REGEXMATCH(TRIM(I4254), ""^\d+\s*min""), ""Unclassified"", IF(I4254 = """", ""NR"", I4254))"),"TV-MA")</f>
        <v>TV-MA</v>
      </c>
      <c r="R4254" s="5" t="str">
        <f t="shared" si="2"/>
        <v>A Twelve Year Night</v>
      </c>
      <c r="S4254" s="5" t="str">
        <f>IFERROR(__xludf.DUMMYFUNCTION("""COMPUTED_VALUE"""),"Lovesong")</f>
        <v>Lovesong</v>
      </c>
      <c r="U4254" s="5" t="str">
        <f>IFERROR(__xludf.DUMMYFUNCTION("""COMPUTED_VALUE"""),"Blair Hayes")</f>
        <v>Blair Hayes</v>
      </c>
      <c r="V4254" s="5" t="s">
        <v>2884</v>
      </c>
      <c r="W4254" s="5" t="str">
        <f t="shared" si="3"/>
        <v>Tommy Chong</v>
      </c>
      <c r="X4254" s="5">
        <f t="shared" si="4"/>
        <v>1</v>
      </c>
      <c r="Y4254" s="5" t="str">
        <f>IFERROR(__xludf.DUMMYFUNCTION("REGEXEXTRACT(J4254, ""^\d+"")"),"122")</f>
        <v>122</v>
      </c>
      <c r="Z4254" s="5" t="str">
        <f>IFERROR(__xludf.DUMMYFUNCTION("REGEXEXTRACT(J4254, ""[A-Za-z ]+$"")")," min")</f>
        <v> min</v>
      </c>
      <c r="AA4254" s="5" t="str">
        <f>IFERROR(__xludf.DUMMYFUNCTION("IF(REGEXMATCH(Z4254, ""Season""), ""TV Show"", ""Movie"")"),"Movie")</f>
        <v>Movie</v>
      </c>
    </row>
    <row r="4255">
      <c r="A4255" s="1" t="s">
        <v>22785</v>
      </c>
      <c r="B4255" s="1" t="s">
        <v>27</v>
      </c>
      <c r="C4255" s="1" t="s">
        <v>22786</v>
      </c>
      <c r="E4255" s="1" t="s">
        <v>22787</v>
      </c>
      <c r="F4255" s="1" t="s">
        <v>30</v>
      </c>
      <c r="G4255" s="1" t="s">
        <v>22783</v>
      </c>
      <c r="H4255" s="1">
        <v>2018.0</v>
      </c>
      <c r="I4255" s="1" t="s">
        <v>42</v>
      </c>
      <c r="J4255" s="1" t="s">
        <v>22788</v>
      </c>
      <c r="K4255" s="1" t="s">
        <v>5704</v>
      </c>
      <c r="L4255" s="1" t="s">
        <v>22789</v>
      </c>
      <c r="M4255" s="2" t="s">
        <v>12</v>
      </c>
      <c r="N4255" s="4">
        <f t="shared" si="1"/>
        <v>43462</v>
      </c>
      <c r="O4255" s="5" t="str">
        <f>IFERROR(__xludf.DUMMYFUNCTION("IF(REGEXMATCH(TRIM(I4255), ""^\d+\s*min""), ""Unclassified"", IF(I4255 = """", ""NR"", I4255))"),"TV-MA")</f>
        <v>TV-MA</v>
      </c>
      <c r="R4255" s="5" t="str">
        <f t="shared" si="2"/>
        <v>Black Mirror: Bandersnatch</v>
      </c>
      <c r="S4255" s="5" t="str">
        <f>IFERROR(__xludf.DUMMYFUNCTION("""COMPUTED_VALUE"""),"Lovestruck In The City")</f>
        <v>Lovestruck In The City</v>
      </c>
      <c r="U4255" s="5" t="str">
        <f>IFERROR(__xludf.DUMMYFUNCTION("""COMPUTED_VALUE"""),"William Friedkin")</f>
        <v>William Friedkin</v>
      </c>
      <c r="V4255" s="5" t="s">
        <v>22790</v>
      </c>
      <c r="W4255" s="5" t="str">
        <f t="shared" si="3"/>
        <v>Tommy O'Haver</v>
      </c>
      <c r="X4255" s="5">
        <f t="shared" si="4"/>
        <v>1</v>
      </c>
      <c r="Y4255" s="5" t="str">
        <f>IFERROR(__xludf.DUMMYFUNCTION("REGEXEXTRACT(J4255, ""^\d+"")"),"312")</f>
        <v>312</v>
      </c>
      <c r="Z4255" s="5" t="str">
        <f>IFERROR(__xludf.DUMMYFUNCTION("REGEXEXTRACT(J4255, ""[A-Za-z ]+$"")")," min")</f>
        <v> min</v>
      </c>
      <c r="AA4255" s="5" t="str">
        <f>IFERROR(__xludf.DUMMYFUNCTION("IF(REGEXMATCH(Z4255, ""Season""), ""TV Show"", ""Movie"")"),"Movie")</f>
        <v>Movie</v>
      </c>
    </row>
    <row r="4256">
      <c r="A4256" s="1" t="s">
        <v>22791</v>
      </c>
      <c r="B4256" s="1" t="s">
        <v>37</v>
      </c>
      <c r="C4256" s="1" t="s">
        <v>22792</v>
      </c>
      <c r="E4256" s="1" t="s">
        <v>22793</v>
      </c>
      <c r="F4256" s="1" t="s">
        <v>3333</v>
      </c>
      <c r="G4256" s="1" t="s">
        <v>22783</v>
      </c>
      <c r="H4256" s="1">
        <v>2015.0</v>
      </c>
      <c r="I4256" s="1" t="s">
        <v>42</v>
      </c>
      <c r="J4256" s="1" t="s">
        <v>51</v>
      </c>
      <c r="K4256" s="1" t="s">
        <v>2493</v>
      </c>
      <c r="L4256" s="1" t="s">
        <v>22794</v>
      </c>
      <c r="M4256" s="2" t="s">
        <v>12</v>
      </c>
      <c r="N4256" s="4">
        <f t="shared" si="1"/>
        <v>43462</v>
      </c>
      <c r="O4256" s="5" t="str">
        <f>IFERROR(__xludf.DUMMYFUNCTION("IF(REGEXMATCH(TRIM(I4256), ""^\d+\s*min""), ""Unclassified"", IF(I4256 = """", ""NR"", I4256))"),"TV-MA")</f>
        <v>TV-MA</v>
      </c>
      <c r="R4256" s="5" t="str">
        <f t="shared" si="2"/>
        <v>Hashoter Hatov</v>
      </c>
      <c r="S4256" s="5" t="str">
        <f>IFERROR(__xludf.DUMMYFUNCTION("""COMPUTED_VALUE"""),"Lovetrue")</f>
        <v>Lovetrue</v>
      </c>
      <c r="U4256" s="5" t="str">
        <f>IFERROR(__xludf.DUMMYFUNCTION("""COMPUTED_VALUE"""),"Stephanie Soechtig, Jeremy Seifert")</f>
        <v>Stephanie Soechtig, Jeremy Seifert</v>
      </c>
      <c r="V4256" s="5" t="s">
        <v>22795</v>
      </c>
      <c r="W4256" s="5" t="str">
        <f t="shared" si="3"/>
        <v>Tommy Wirkola</v>
      </c>
      <c r="X4256" s="5">
        <f t="shared" si="4"/>
        <v>1</v>
      </c>
      <c r="Y4256" s="5" t="str">
        <f>IFERROR(__xludf.DUMMYFUNCTION("REGEXEXTRACT(J4256, ""^\d+"")"),"1")</f>
        <v>1</v>
      </c>
      <c r="Z4256" s="5" t="str">
        <f>IFERROR(__xludf.DUMMYFUNCTION("REGEXEXTRACT(J4256, ""[A-Za-z ]+$"")")," Season")</f>
        <v> Season</v>
      </c>
      <c r="AA4256" s="5" t="str">
        <f>IFERROR(__xludf.DUMMYFUNCTION("IF(REGEXMATCH(Z4256, ""Season""), ""TV Show"", ""Movie"")"),"TV Show")</f>
        <v>TV Show</v>
      </c>
    </row>
    <row r="4257">
      <c r="A4257" s="1" t="s">
        <v>22796</v>
      </c>
      <c r="B4257" s="1" t="s">
        <v>27</v>
      </c>
      <c r="C4257" s="1" t="s">
        <v>22797</v>
      </c>
      <c r="D4257" s="1" t="s">
        <v>18731</v>
      </c>
      <c r="E4257" s="1" t="s">
        <v>22798</v>
      </c>
      <c r="F4257" s="1" t="s">
        <v>63</v>
      </c>
      <c r="G4257" s="1" t="s">
        <v>22783</v>
      </c>
      <c r="H4257" s="1">
        <v>2012.0</v>
      </c>
      <c r="I4257" s="1" t="s">
        <v>42</v>
      </c>
      <c r="J4257" s="1" t="s">
        <v>1065</v>
      </c>
      <c r="K4257" s="1" t="s">
        <v>617</v>
      </c>
      <c r="L4257" s="1" t="s">
        <v>22799</v>
      </c>
      <c r="M4257" s="2" t="s">
        <v>12</v>
      </c>
      <c r="N4257" s="4">
        <f t="shared" si="1"/>
        <v>43462</v>
      </c>
      <c r="O4257" s="5" t="str">
        <f>IFERROR(__xludf.DUMMYFUNCTION("IF(REGEXMATCH(TRIM(I4257), ""^\d+\s*min""), ""Unclassified"", IF(I4257 = """", ""NR"", I4257))"),"TV-MA")</f>
        <v>TV-MA</v>
      </c>
      <c r="R4257" s="5" t="str">
        <f t="shared" si="2"/>
        <v>Life Ki Toh Lag Gayi</v>
      </c>
      <c r="S4257" s="5" t="str">
        <f>IFERROR(__xludf.DUMMYFUNCTION("""COMPUTED_VALUE"""),"Loving")</f>
        <v>Loving</v>
      </c>
      <c r="U4257" s="5" t="str">
        <f>IFERROR(__xludf.DUMMYFUNCTION("""COMPUTED_VALUE"""),"Bette Gordon")</f>
        <v>Bette Gordon</v>
      </c>
      <c r="V4257" s="5" t="s">
        <v>6147</v>
      </c>
      <c r="W4257" s="5" t="str">
        <f t="shared" si="3"/>
        <v>Tony Abulu</v>
      </c>
      <c r="X4257" s="5">
        <f t="shared" si="4"/>
        <v>1</v>
      </c>
      <c r="Y4257" s="5" t="str">
        <f>IFERROR(__xludf.DUMMYFUNCTION("REGEXEXTRACT(J4257, ""^\d+"")"),"109")</f>
        <v>109</v>
      </c>
      <c r="Z4257" s="5" t="str">
        <f>IFERROR(__xludf.DUMMYFUNCTION("REGEXEXTRACT(J4257, ""[A-Za-z ]+$"")")," min")</f>
        <v> min</v>
      </c>
      <c r="AA4257" s="5" t="str">
        <f>IFERROR(__xludf.DUMMYFUNCTION("IF(REGEXMATCH(Z4257, ""Season""), ""TV Show"", ""Movie"")"),"Movie")</f>
        <v>Movie</v>
      </c>
    </row>
    <row r="4258">
      <c r="A4258" s="1" t="s">
        <v>22800</v>
      </c>
      <c r="B4258" s="1" t="s">
        <v>37</v>
      </c>
      <c r="C4258" s="1" t="s">
        <v>22801</v>
      </c>
      <c r="F4258" s="1" t="s">
        <v>30</v>
      </c>
      <c r="G4258" s="1" t="s">
        <v>22783</v>
      </c>
      <c r="H4258" s="1">
        <v>2018.0</v>
      </c>
      <c r="I4258" s="1" t="s">
        <v>42</v>
      </c>
      <c r="J4258" s="1" t="s">
        <v>51</v>
      </c>
      <c r="K4258" s="1" t="s">
        <v>2043</v>
      </c>
      <c r="L4258" s="1" t="s">
        <v>22802</v>
      </c>
      <c r="M4258" s="2" t="s">
        <v>12</v>
      </c>
      <c r="N4258" s="4">
        <f t="shared" si="1"/>
        <v>43462</v>
      </c>
      <c r="O4258" s="5" t="str">
        <f>IFERROR(__xludf.DUMMYFUNCTION("IF(REGEXMATCH(TRIM(I4258), ""^\d+\s*min""), ""Unclassified"", IF(I4258 = """", ""NR"", I4258))"),"TV-MA")</f>
        <v>TV-MA</v>
      </c>
      <c r="R4258" s="5" t="str">
        <f t="shared" si="2"/>
        <v>Murder Mountain</v>
      </c>
      <c r="S4258" s="5" t="str">
        <f>IFERROR(__xludf.DUMMYFUNCTION("""COMPUTED_VALUE"""),"Loving Annabelle")</f>
        <v>Loving Annabelle</v>
      </c>
      <c r="U4258" s="5" t="str">
        <f>IFERROR(__xludf.DUMMYFUNCTION("""COMPUTED_VALUE"""),"Kieran Darcy-Smith")</f>
        <v>Kieran Darcy-Smith</v>
      </c>
      <c r="V4258" s="5" t="s">
        <v>12572</v>
      </c>
      <c r="W4258" s="5" t="str">
        <f t="shared" si="3"/>
        <v>Tony Bancroft, Scott Christian Sava</v>
      </c>
      <c r="X4258" s="5">
        <f t="shared" si="4"/>
        <v>1</v>
      </c>
      <c r="Y4258" s="5" t="str">
        <f>IFERROR(__xludf.DUMMYFUNCTION("REGEXEXTRACT(J4258, ""^\d+"")"),"1")</f>
        <v>1</v>
      </c>
      <c r="Z4258" s="5" t="str">
        <f>IFERROR(__xludf.DUMMYFUNCTION("REGEXEXTRACT(J4258, ""[A-Za-z ]+$"")")," Season")</f>
        <v> Season</v>
      </c>
      <c r="AA4258" s="5" t="str">
        <f>IFERROR(__xludf.DUMMYFUNCTION("IF(REGEXMATCH(Z4258, ""Season""), ""TV Show"", ""Movie"")"),"TV Show")</f>
        <v>TV Show</v>
      </c>
    </row>
    <row r="4259">
      <c r="A4259" s="1" t="s">
        <v>22803</v>
      </c>
      <c r="B4259" s="1" t="s">
        <v>37</v>
      </c>
      <c r="C4259" s="1" t="s">
        <v>22804</v>
      </c>
      <c r="E4259" s="1" t="s">
        <v>22805</v>
      </c>
      <c r="F4259" s="1" t="s">
        <v>63</v>
      </c>
      <c r="G4259" s="1" t="s">
        <v>22783</v>
      </c>
      <c r="H4259" s="1">
        <v>2018.0</v>
      </c>
      <c r="I4259" s="1" t="s">
        <v>97</v>
      </c>
      <c r="J4259" s="1" t="s">
        <v>51</v>
      </c>
      <c r="K4259" s="1" t="s">
        <v>1830</v>
      </c>
      <c r="L4259" s="1" t="s">
        <v>22806</v>
      </c>
      <c r="M4259" s="2" t="s">
        <v>12</v>
      </c>
      <c r="N4259" s="4">
        <f t="shared" si="1"/>
        <v>43462</v>
      </c>
      <c r="O4259" s="5" t="str">
        <f>IFERROR(__xludf.DUMMYFUNCTION("IF(REGEXMATCH(TRIM(I4259), ""^\d+\s*min""), ""Unclassified"", IF(I4259 = """", ""NR"", I4259))"),"TV-14")</f>
        <v>TV-14</v>
      </c>
      <c r="R4259" s="5" t="str">
        <f t="shared" si="2"/>
        <v>Selection Day</v>
      </c>
      <c r="S4259" s="5" t="str">
        <f>IFERROR(__xludf.DUMMYFUNCTION("""COMPUTED_VALUE"""),"Loving Is Losing")</f>
        <v>Loving Is Losing</v>
      </c>
      <c r="U4259" s="5" t="str">
        <f>IFERROR(__xludf.DUMMYFUNCTION("""COMPUTED_VALUE"""),"Robert Berlinger")</f>
        <v>Robert Berlinger</v>
      </c>
      <c r="V4259" s="5" t="s">
        <v>8597</v>
      </c>
      <c r="W4259" s="5" t="str">
        <f t="shared" si="3"/>
        <v>Tony Collingwood</v>
      </c>
      <c r="X4259" s="5">
        <f t="shared" si="4"/>
        <v>1</v>
      </c>
      <c r="Y4259" s="5" t="str">
        <f>IFERROR(__xludf.DUMMYFUNCTION("REGEXEXTRACT(J4259, ""^\d+"")"),"1")</f>
        <v>1</v>
      </c>
      <c r="Z4259" s="5" t="str">
        <f>IFERROR(__xludf.DUMMYFUNCTION("REGEXEXTRACT(J4259, ""[A-Za-z ]+$"")")," Season")</f>
        <v> Season</v>
      </c>
      <c r="AA4259" s="5" t="str">
        <f>IFERROR(__xludf.DUMMYFUNCTION("IF(REGEXMATCH(Z4259, ""Season""), ""TV Show"", ""Movie"")"),"TV Show")</f>
        <v>TV Show</v>
      </c>
    </row>
    <row r="4260">
      <c r="A4260" s="1" t="s">
        <v>22807</v>
      </c>
      <c r="B4260" s="1" t="s">
        <v>27</v>
      </c>
      <c r="C4260" s="1" t="s">
        <v>22808</v>
      </c>
      <c r="D4260" s="1" t="s">
        <v>6822</v>
      </c>
      <c r="G4260" s="1" t="s">
        <v>22783</v>
      </c>
      <c r="H4260" s="1">
        <v>2018.0</v>
      </c>
      <c r="I4260" s="1" t="s">
        <v>97</v>
      </c>
      <c r="J4260" s="1" t="s">
        <v>5120</v>
      </c>
      <c r="K4260" s="1" t="s">
        <v>156</v>
      </c>
      <c r="L4260" s="1" t="s">
        <v>22809</v>
      </c>
      <c r="M4260" s="2" t="s">
        <v>12</v>
      </c>
      <c r="N4260" s="4">
        <f t="shared" si="1"/>
        <v>43462</v>
      </c>
      <c r="O4260" s="5" t="str">
        <f>IFERROR(__xludf.DUMMYFUNCTION("IF(REGEXMATCH(TRIM(I4260), ""^\d+\s*min""), ""Unclassified"", IF(I4260 = """", ""NR"", I4260))"),"TV-14")</f>
        <v>TV-14</v>
      </c>
      <c r="R4260" s="5" t="str">
        <f t="shared" si="2"/>
        <v>The Birth Reborn 3</v>
      </c>
      <c r="S4260" s="5" t="str">
        <f>IFERROR(__xludf.DUMMYFUNCTION("""COMPUTED_VALUE"""),"Loving You")</f>
        <v>Loving You</v>
      </c>
      <c r="U4260" s="5" t="str">
        <f>IFERROR(__xludf.DUMMYFUNCTION("""COMPUTED_VALUE"""),"Paul Andrew Williams")</f>
        <v>Paul Andrew Williams</v>
      </c>
      <c r="V4260" s="5" t="s">
        <v>22810</v>
      </c>
      <c r="W4260" s="5" t="str">
        <f t="shared" si="3"/>
        <v>Tony Datis</v>
      </c>
      <c r="X4260" s="5">
        <f t="shared" si="4"/>
        <v>1</v>
      </c>
      <c r="Y4260" s="5" t="str">
        <f>IFERROR(__xludf.DUMMYFUNCTION("REGEXEXTRACT(J4260, ""^\d+"")"),"73")</f>
        <v>73</v>
      </c>
      <c r="Z4260" s="5" t="str">
        <f>IFERROR(__xludf.DUMMYFUNCTION("REGEXEXTRACT(J4260, ""[A-Za-z ]+$"")")," min")</f>
        <v> min</v>
      </c>
      <c r="AA4260" s="5" t="str">
        <f>IFERROR(__xludf.DUMMYFUNCTION("IF(REGEXMATCH(Z4260, ""Season""), ""TV Show"", ""Movie"")"),"Movie")</f>
        <v>Movie</v>
      </c>
    </row>
    <row r="4261">
      <c r="A4261" s="1" t="s">
        <v>22811</v>
      </c>
      <c r="B4261" s="1" t="s">
        <v>27</v>
      </c>
      <c r="C4261" s="1" t="s">
        <v>22812</v>
      </c>
      <c r="D4261" s="1" t="s">
        <v>8561</v>
      </c>
      <c r="E4261" s="1" t="s">
        <v>22813</v>
      </c>
      <c r="F4261" s="1" t="s">
        <v>784</v>
      </c>
      <c r="G4261" s="1" t="s">
        <v>22783</v>
      </c>
      <c r="H4261" s="1">
        <v>2018.0</v>
      </c>
      <c r="I4261" s="1" t="s">
        <v>42</v>
      </c>
      <c r="J4261" s="1" t="s">
        <v>322</v>
      </c>
      <c r="K4261" s="1" t="s">
        <v>298</v>
      </c>
      <c r="L4261" s="1" t="s">
        <v>22814</v>
      </c>
      <c r="M4261" s="2" t="s">
        <v>12</v>
      </c>
      <c r="N4261" s="4">
        <f t="shared" si="1"/>
        <v>43462</v>
      </c>
      <c r="O4261" s="5" t="str">
        <f>IFERROR(__xludf.DUMMYFUNCTION("IF(REGEXMATCH(TRIM(I4261), ""^\d+\s*min""), ""Unclassified"", IF(I4261 = """", ""NR"", I4261))"),"TV-MA")</f>
        <v>TV-MA</v>
      </c>
      <c r="R4261" s="5" t="str">
        <f t="shared" si="2"/>
        <v>When Angels Sleep</v>
      </c>
      <c r="S4261" s="5" t="str">
        <f>IFERROR(__xludf.DUMMYFUNCTION("""COMPUTED_VALUE"""),"Lowriders")</f>
        <v>Lowriders</v>
      </c>
      <c r="U4261" s="5" t="str">
        <f>IFERROR(__xludf.DUMMYFUNCTION("""COMPUTED_VALUE"""),"James Ponsoldt")</f>
        <v>James Ponsoldt</v>
      </c>
      <c r="V4261" s="5" t="s">
        <v>22815</v>
      </c>
      <c r="W4261" s="5" t="str">
        <f t="shared" si="3"/>
        <v>Tony Elliott</v>
      </c>
      <c r="X4261" s="5">
        <f t="shared" si="4"/>
        <v>1</v>
      </c>
      <c r="Y4261" s="5" t="str">
        <f>IFERROR(__xludf.DUMMYFUNCTION("REGEXEXTRACT(J4261, ""^\d+"")"),"96")</f>
        <v>96</v>
      </c>
      <c r="Z4261" s="5" t="str">
        <f>IFERROR(__xludf.DUMMYFUNCTION("REGEXEXTRACT(J4261, ""[A-Za-z ]+$"")")," min")</f>
        <v> min</v>
      </c>
      <c r="AA4261" s="5" t="str">
        <f>IFERROR(__xludf.DUMMYFUNCTION("IF(REGEXMATCH(Z4261, ""Season""), ""TV Show"", ""Movie"")"),"Movie")</f>
        <v>Movie</v>
      </c>
    </row>
    <row r="4262">
      <c r="A4262" s="1" t="s">
        <v>22816</v>
      </c>
      <c r="B4262" s="1" t="s">
        <v>37</v>
      </c>
      <c r="C4262" s="1" t="s">
        <v>22817</v>
      </c>
      <c r="E4262" s="1" t="s">
        <v>7553</v>
      </c>
      <c r="F4262" s="1" t="s">
        <v>30</v>
      </c>
      <c r="G4262" s="1" t="s">
        <v>22818</v>
      </c>
      <c r="H4262" s="1">
        <v>2018.0</v>
      </c>
      <c r="I4262" s="1" t="s">
        <v>136</v>
      </c>
      <c r="J4262" s="1" t="s">
        <v>51</v>
      </c>
      <c r="K4262" s="1" t="s">
        <v>2512</v>
      </c>
      <c r="L4262" s="1" t="s">
        <v>22819</v>
      </c>
      <c r="M4262" s="2" t="s">
        <v>12</v>
      </c>
      <c r="N4262" s="4">
        <f t="shared" si="1"/>
        <v>43458</v>
      </c>
      <c r="O4262" s="5" t="str">
        <f>IFERROR(__xludf.DUMMYFUNCTION("IF(REGEXMATCH(TRIM(I4262), ""^\d+\s*min""), ""Unclassified"", IF(I4262 = """", ""NR"", I4262))"),"TV-PG")</f>
        <v>TV-PG</v>
      </c>
      <c r="R4262" s="5" t="str">
        <f t="shared" si="2"/>
        <v>Stand Up And Away! With Brian Regan</v>
      </c>
      <c r="S4262" s="5" t="str">
        <f>IFERROR(__xludf.DUMMYFUNCTION("""COMPUTED_VALUE"""),"Loyiso Gola: Unlearning")</f>
        <v>Loyiso Gola: Unlearning</v>
      </c>
      <c r="U4262" s="5" t="str">
        <f>IFERROR(__xludf.DUMMYFUNCTION("""COMPUTED_VALUE"""),"David Leveaux")</f>
        <v>David Leveaux</v>
      </c>
      <c r="V4262" s="5" t="s">
        <v>6695</v>
      </c>
      <c r="W4262" s="5" t="str">
        <f t="shared" si="3"/>
        <v>Tony Giglio</v>
      </c>
      <c r="X4262" s="5">
        <f t="shared" si="4"/>
        <v>2</v>
      </c>
      <c r="Y4262" s="5" t="str">
        <f>IFERROR(__xludf.DUMMYFUNCTION("REGEXEXTRACT(J4262, ""^\d+"")"),"1")</f>
        <v>1</v>
      </c>
      <c r="Z4262" s="5" t="str">
        <f>IFERROR(__xludf.DUMMYFUNCTION("REGEXEXTRACT(J4262, ""[A-Za-z ]+$"")")," Season")</f>
        <v> Season</v>
      </c>
      <c r="AA4262" s="5" t="str">
        <f>IFERROR(__xludf.DUMMYFUNCTION("IF(REGEXMATCH(Z4262, ""Season""), ""TV Show"", ""Movie"")"),"TV Show")</f>
        <v>TV Show</v>
      </c>
    </row>
    <row r="4263">
      <c r="A4263" s="1" t="s">
        <v>22820</v>
      </c>
      <c r="B4263" s="1" t="s">
        <v>37</v>
      </c>
      <c r="C4263" s="1" t="s">
        <v>22821</v>
      </c>
      <c r="E4263" s="1" t="s">
        <v>22822</v>
      </c>
      <c r="F4263" s="1" t="s">
        <v>2059</v>
      </c>
      <c r="G4263" s="1" t="s">
        <v>22818</v>
      </c>
      <c r="H4263" s="1">
        <v>2011.0</v>
      </c>
      <c r="I4263" s="1" t="s">
        <v>97</v>
      </c>
      <c r="J4263" s="1" t="s">
        <v>51</v>
      </c>
      <c r="K4263" s="1" t="s">
        <v>64</v>
      </c>
      <c r="L4263" s="1" t="s">
        <v>22823</v>
      </c>
      <c r="M4263" s="2" t="s">
        <v>12</v>
      </c>
      <c r="N4263" s="4">
        <f t="shared" si="1"/>
        <v>43458</v>
      </c>
      <c r="O4263" s="5" t="str">
        <f>IFERROR(__xludf.DUMMYFUNCTION("IF(REGEXMATCH(TRIM(I4263), ""^\d+\s*min""), ""Unclassified"", IF(I4263 = """", ""NR"", I4263))"),"TV-14")</f>
        <v>TV-14</v>
      </c>
      <c r="R4263" s="5" t="str">
        <f t="shared" si="2"/>
        <v>Way Back Into Love</v>
      </c>
      <c r="S4263" s="5" t="str">
        <f>IFERROR(__xludf.DUMMYFUNCTION("""COMPUTED_VALUE"""),"Lsd: Love, Sex Aur Dhokha")</f>
        <v>Lsd: Love, Sex Aur Dhokha</v>
      </c>
      <c r="U4263" s="5" t="str">
        <f>IFERROR(__xludf.DUMMYFUNCTION("""COMPUTED_VALUE"""),"Michael Samuels")</f>
        <v>Michael Samuels</v>
      </c>
      <c r="V4263" s="5" t="s">
        <v>22824</v>
      </c>
      <c r="W4263" s="5" t="str">
        <f t="shared" si="3"/>
        <v>Tony Kaye</v>
      </c>
      <c r="X4263" s="5">
        <f t="shared" si="4"/>
        <v>1</v>
      </c>
      <c r="Y4263" s="5" t="str">
        <f>IFERROR(__xludf.DUMMYFUNCTION("REGEXEXTRACT(J4263, ""^\d+"")"),"1")</f>
        <v>1</v>
      </c>
      <c r="Z4263" s="5" t="str">
        <f>IFERROR(__xludf.DUMMYFUNCTION("REGEXEXTRACT(J4263, ""[A-Za-z ]+$"")")," Season")</f>
        <v> Season</v>
      </c>
      <c r="AA4263" s="5" t="str">
        <f>IFERROR(__xludf.DUMMYFUNCTION("IF(REGEXMATCH(Z4263, ""Season""), ""TV Show"", ""Movie"")"),"TV Show")</f>
        <v>TV Show</v>
      </c>
    </row>
    <row r="4264">
      <c r="A4264" s="1" t="s">
        <v>22825</v>
      </c>
      <c r="B4264" s="1" t="s">
        <v>37</v>
      </c>
      <c r="C4264" s="1" t="s">
        <v>22826</v>
      </c>
      <c r="D4264" s="1" t="s">
        <v>17005</v>
      </c>
      <c r="E4264" s="1" t="s">
        <v>22827</v>
      </c>
      <c r="F4264" s="1" t="s">
        <v>22828</v>
      </c>
      <c r="G4264" s="1" t="s">
        <v>22829</v>
      </c>
      <c r="H4264" s="1">
        <v>2018.0</v>
      </c>
      <c r="I4264" s="1" t="s">
        <v>136</v>
      </c>
      <c r="J4264" s="1" t="s">
        <v>51</v>
      </c>
      <c r="K4264" s="1" t="s">
        <v>14753</v>
      </c>
      <c r="L4264" s="1" t="s">
        <v>22830</v>
      </c>
      <c r="M4264" s="2" t="s">
        <v>12</v>
      </c>
      <c r="N4264" s="4">
        <f t="shared" si="1"/>
        <v>43457</v>
      </c>
      <c r="O4264" s="5" t="str">
        <f>IFERROR(__xludf.DUMMYFUNCTION("IF(REGEXMATCH(TRIM(I4264), ""^\d+\s*min""), ""Unclassified"", IF(I4264 = """", ""NR"", I4264))"),"TV-PG")</f>
        <v>TV-PG</v>
      </c>
      <c r="R4264" s="5" t="str">
        <f t="shared" si="2"/>
        <v>Watership Down</v>
      </c>
      <c r="S4264" s="5" t="str">
        <f>IFERROR(__xludf.DUMMYFUNCTION("""COMPUTED_VALUE"""),"Lu Over The Wall")</f>
        <v>Lu Over The Wall</v>
      </c>
      <c r="U4264" s="5" t="str">
        <f>IFERROR(__xludf.DUMMYFUNCTION("""COMPUTED_VALUE"""),"David Sington")</f>
        <v>David Sington</v>
      </c>
      <c r="V4264" s="5" t="s">
        <v>22831</v>
      </c>
      <c r="W4264" s="5" t="str">
        <f t="shared" si="3"/>
        <v>Tony Leondis</v>
      </c>
      <c r="X4264" s="5">
        <f t="shared" si="4"/>
        <v>1</v>
      </c>
      <c r="Y4264" s="5" t="str">
        <f>IFERROR(__xludf.DUMMYFUNCTION("REGEXEXTRACT(J4264, ""^\d+"")"),"1")</f>
        <v>1</v>
      </c>
      <c r="Z4264" s="5" t="str">
        <f>IFERROR(__xludf.DUMMYFUNCTION("REGEXEXTRACT(J4264, ""[A-Za-z ]+$"")")," Season")</f>
        <v> Season</v>
      </c>
      <c r="AA4264" s="5" t="str">
        <f>IFERROR(__xludf.DUMMYFUNCTION("IF(REGEXMATCH(Z4264, ""Season""), ""TV Show"", ""Movie"")"),"TV Show")</f>
        <v>TV Show</v>
      </c>
    </row>
    <row r="4265">
      <c r="A4265" s="1" t="s">
        <v>22832</v>
      </c>
      <c r="B4265" s="1" t="s">
        <v>37</v>
      </c>
      <c r="C4265" s="1" t="s">
        <v>22833</v>
      </c>
      <c r="E4265" s="1" t="s">
        <v>22834</v>
      </c>
      <c r="G4265" s="1" t="s">
        <v>22835</v>
      </c>
      <c r="H4265" s="1">
        <v>2018.0</v>
      </c>
      <c r="I4265" s="1" t="s">
        <v>97</v>
      </c>
      <c r="J4265" s="1" t="s">
        <v>51</v>
      </c>
      <c r="K4265" s="1" t="s">
        <v>1362</v>
      </c>
      <c r="L4265" s="1" t="s">
        <v>22836</v>
      </c>
      <c r="M4265" s="2" t="s">
        <v>12</v>
      </c>
      <c r="N4265" s="4">
        <f t="shared" si="1"/>
        <v>43456</v>
      </c>
      <c r="O4265" s="5" t="str">
        <f>IFERROR(__xludf.DUMMYFUNCTION("IF(REGEXMATCH(TRIM(I4265), ""^\d+\s*min""), ""Unclassified"", IF(I4265 = """", ""NR"", I4265))"),"TV-14")</f>
        <v>TV-14</v>
      </c>
      <c r="R4265" s="5" t="str">
        <f t="shared" si="2"/>
        <v>Demon'S Path</v>
      </c>
      <c r="S4265" s="5" t="str">
        <f>IFERROR(__xludf.DUMMYFUNCTION("""COMPUTED_VALUE"""),"Lucas Brothers: On Drugs")</f>
        <v>Lucas Brothers: On Drugs</v>
      </c>
      <c r="U4265" s="5" t="str">
        <f>IFERROR(__xludf.DUMMYFUNCTION("""COMPUTED_VALUE"""),"Jenée Lamarque")</f>
        <v>Jenée Lamarque</v>
      </c>
      <c r="V4265" s="5" t="s">
        <v>2307</v>
      </c>
      <c r="W4265" s="5" t="str">
        <f t="shared" si="3"/>
        <v>Tony Scott</v>
      </c>
      <c r="X4265" s="5">
        <f t="shared" si="4"/>
        <v>2</v>
      </c>
      <c r="Y4265" s="5" t="str">
        <f>IFERROR(__xludf.DUMMYFUNCTION("REGEXEXTRACT(J4265, ""^\d+"")"),"1")</f>
        <v>1</v>
      </c>
      <c r="Z4265" s="5" t="str">
        <f>IFERROR(__xludf.DUMMYFUNCTION("REGEXEXTRACT(J4265, ""[A-Za-z ]+$"")")," Season")</f>
        <v> Season</v>
      </c>
      <c r="AA4265" s="5" t="str">
        <f>IFERROR(__xludf.DUMMYFUNCTION("IF(REGEXMATCH(Z4265, ""Season""), ""TV Show"", ""Movie"")"),"TV Show")</f>
        <v>TV Show</v>
      </c>
    </row>
    <row r="4266">
      <c r="A4266" s="1" t="s">
        <v>22837</v>
      </c>
      <c r="B4266" s="1" t="s">
        <v>37</v>
      </c>
      <c r="C4266" s="1" t="s">
        <v>22838</v>
      </c>
      <c r="E4266" s="1" t="s">
        <v>22839</v>
      </c>
      <c r="F4266" s="1" t="s">
        <v>96</v>
      </c>
      <c r="G4266" s="1" t="s">
        <v>22835</v>
      </c>
      <c r="H4266" s="1">
        <v>2018.0</v>
      </c>
      <c r="I4266" s="1" t="s">
        <v>42</v>
      </c>
      <c r="J4266" s="1" t="s">
        <v>189</v>
      </c>
      <c r="K4266" s="1" t="s">
        <v>22840</v>
      </c>
      <c r="L4266" s="1" t="s">
        <v>22841</v>
      </c>
      <c r="M4266" s="2" t="s">
        <v>12</v>
      </c>
      <c r="N4266" s="4">
        <f t="shared" si="1"/>
        <v>43456</v>
      </c>
      <c r="O4266" s="5" t="str">
        <f>IFERROR(__xludf.DUMMYFUNCTION("IF(REGEXMATCH(TRIM(I4266), ""^\d+\s*min""), ""Unclassified"", IF(I4266 = """", ""NR"", I4266))"),"TV-MA")</f>
        <v>TV-MA</v>
      </c>
      <c r="R4266" s="5" t="str">
        <f t="shared" si="2"/>
        <v>People Just Do Nothing</v>
      </c>
      <c r="S4266" s="5" t="str">
        <f>IFERROR(__xludf.DUMMYFUNCTION("""COMPUTED_VALUE"""),"Luccas Neto Em: Acampamento De Férias 2")</f>
        <v>Luccas Neto Em: Acampamento De Férias 2</v>
      </c>
      <c r="U4266" s="5" t="str">
        <f>IFERROR(__xludf.DUMMYFUNCTION("""COMPUTED_VALUE"""),"Coerte Voorhees, John Voorhees")</f>
        <v>Coerte Voorhees, John Voorhees</v>
      </c>
      <c r="V4266" s="5" t="s">
        <v>22842</v>
      </c>
      <c r="W4266" s="5" t="str">
        <f t="shared" si="3"/>
        <v>Tony Stone</v>
      </c>
      <c r="X4266" s="5">
        <f t="shared" si="4"/>
        <v>1</v>
      </c>
      <c r="Y4266" s="5" t="str">
        <f>IFERROR(__xludf.DUMMYFUNCTION("REGEXEXTRACT(J4266, ""^\d+"")"),"5")</f>
        <v>5</v>
      </c>
      <c r="Z4266" s="5" t="str">
        <f>IFERROR(__xludf.DUMMYFUNCTION("REGEXEXTRACT(J4266, ""[A-Za-z ]+$"")")," Seasons")</f>
        <v> Seasons</v>
      </c>
      <c r="AA4266" s="5" t="str">
        <f>IFERROR(__xludf.DUMMYFUNCTION("IF(REGEXMATCH(Z4266, ""Season""), ""TV Show"", ""Movie"")"),"TV Show")</f>
        <v>TV Show</v>
      </c>
    </row>
    <row r="4267">
      <c r="A4267" s="1" t="s">
        <v>22843</v>
      </c>
      <c r="B4267" s="1" t="s">
        <v>37</v>
      </c>
      <c r="C4267" s="1" t="s">
        <v>22844</v>
      </c>
      <c r="E4267" s="1" t="s">
        <v>22845</v>
      </c>
      <c r="G4267" s="1" t="s">
        <v>22835</v>
      </c>
      <c r="H4267" s="1">
        <v>2018.0</v>
      </c>
      <c r="I4267" s="1" t="s">
        <v>42</v>
      </c>
      <c r="J4267" s="1" t="s">
        <v>51</v>
      </c>
      <c r="K4267" s="1" t="s">
        <v>1907</v>
      </c>
      <c r="L4267" s="1" t="s">
        <v>22846</v>
      </c>
      <c r="M4267" s="2" t="s">
        <v>12</v>
      </c>
      <c r="N4267" s="4">
        <f t="shared" si="1"/>
        <v>43456</v>
      </c>
      <c r="O4267" s="5" t="str">
        <f>IFERROR(__xludf.DUMMYFUNCTION("IF(REGEXMATCH(TRIM(I4267), ""^\d+\s*min""), ""Unclassified"", IF(I4267 = """", ""NR"", I4267))"),"TV-MA")</f>
        <v>TV-MA</v>
      </c>
      <c r="R4267" s="5" t="str">
        <f t="shared" si="2"/>
        <v>Single Ladies Senior</v>
      </c>
      <c r="S4267" s="5" t="str">
        <f>IFERROR(__xludf.DUMMYFUNCTION("""COMPUTED_VALUE"""),"Luccas Neto In: Children'S Day")</f>
        <v>Luccas Neto In: Children'S Day</v>
      </c>
      <c r="U4267" s="5" t="str">
        <f>IFERROR(__xludf.DUMMYFUNCTION("""COMPUTED_VALUE"""),"Rodrigo Van Der Put")</f>
        <v>Rodrigo Van Der Put</v>
      </c>
      <c r="V4267" s="5" t="s">
        <v>22847</v>
      </c>
      <c r="W4267" s="5" t="str">
        <f t="shared" si="3"/>
        <v>Tony Zierra</v>
      </c>
      <c r="X4267" s="5">
        <f t="shared" si="4"/>
        <v>1</v>
      </c>
      <c r="Y4267" s="5" t="str">
        <f>IFERROR(__xludf.DUMMYFUNCTION("REGEXEXTRACT(J4267, ""^\d+"")"),"1")</f>
        <v>1</v>
      </c>
      <c r="Z4267" s="5" t="str">
        <f>IFERROR(__xludf.DUMMYFUNCTION("REGEXEXTRACT(J4267, ""[A-Za-z ]+$"")")," Season")</f>
        <v> Season</v>
      </c>
      <c r="AA4267" s="5" t="str">
        <f>IFERROR(__xludf.DUMMYFUNCTION("IF(REGEXMATCH(Z4267, ""Season""), ""TV Show"", ""Movie"")"),"TV Show")</f>
        <v>TV Show</v>
      </c>
    </row>
    <row r="4268">
      <c r="A4268" s="1" t="s">
        <v>22848</v>
      </c>
      <c r="B4268" s="1" t="s">
        <v>37</v>
      </c>
      <c r="C4268" s="1" t="s">
        <v>22849</v>
      </c>
      <c r="F4268" s="1" t="s">
        <v>30</v>
      </c>
      <c r="G4268" s="1" t="s">
        <v>22850</v>
      </c>
      <c r="H4268" s="1">
        <v>2018.0</v>
      </c>
      <c r="I4268" s="1" t="s">
        <v>136</v>
      </c>
      <c r="J4268" s="1" t="s">
        <v>51</v>
      </c>
      <c r="K4268" s="1" t="s">
        <v>1261</v>
      </c>
      <c r="L4268" s="1" t="s">
        <v>22851</v>
      </c>
      <c r="M4268" s="2" t="s">
        <v>12</v>
      </c>
      <c r="N4268" s="4">
        <f t="shared" si="1"/>
        <v>43455</v>
      </c>
      <c r="O4268" s="5" t="str">
        <f>IFERROR(__xludf.DUMMYFUNCTION("IF(REGEXMATCH(TRIM(I4268), ""^\d+\s*min""), ""Unclassified"", IF(I4268 = """", ""NR"", I4268))"),"TV-PG")</f>
        <v>TV-PG</v>
      </c>
      <c r="R4268" s="5" t="str">
        <f t="shared" si="2"/>
        <v>7 Days Out</v>
      </c>
      <c r="S4268" s="5" t="str">
        <f>IFERROR(__xludf.DUMMYFUNCTION("""COMPUTED_VALUE"""),"Luccas Neto In: Summer Camp")</f>
        <v>Luccas Neto In: Summer Camp</v>
      </c>
      <c r="U4268" s="5" t="str">
        <f>IFERROR(__xludf.DUMMYFUNCTION("""COMPUTED_VALUE"""),"Hugh Wilson")</f>
        <v>Hugh Wilson</v>
      </c>
      <c r="V4268" s="5" t="s">
        <v>12585</v>
      </c>
      <c r="W4268" s="5" t="str">
        <f t="shared" si="3"/>
        <v>Tope Alake</v>
      </c>
      <c r="X4268" s="5">
        <f t="shared" si="4"/>
        <v>1</v>
      </c>
      <c r="Y4268" s="5" t="str">
        <f>IFERROR(__xludf.DUMMYFUNCTION("REGEXEXTRACT(J4268, ""^\d+"")"),"1")</f>
        <v>1</v>
      </c>
      <c r="Z4268" s="5" t="str">
        <f>IFERROR(__xludf.DUMMYFUNCTION("REGEXEXTRACT(J4268, ""[A-Za-z ]+$"")")," Season")</f>
        <v> Season</v>
      </c>
      <c r="AA4268" s="5" t="str">
        <f>IFERROR(__xludf.DUMMYFUNCTION("IF(REGEXMATCH(Z4268, ""Season""), ""TV Show"", ""Movie"")"),"TV Show")</f>
        <v>TV Show</v>
      </c>
    </row>
    <row r="4269">
      <c r="A4269" s="1" t="s">
        <v>22852</v>
      </c>
      <c r="B4269" s="1" t="s">
        <v>27</v>
      </c>
      <c r="C4269" s="1" t="s">
        <v>22853</v>
      </c>
      <c r="D4269" s="1" t="s">
        <v>12925</v>
      </c>
      <c r="E4269" s="1" t="s">
        <v>22854</v>
      </c>
      <c r="F4269" s="1" t="s">
        <v>3217</v>
      </c>
      <c r="G4269" s="1" t="s">
        <v>22850</v>
      </c>
      <c r="H4269" s="1">
        <v>2018.0</v>
      </c>
      <c r="I4269" s="1" t="s">
        <v>42</v>
      </c>
      <c r="J4269" s="1" t="s">
        <v>305</v>
      </c>
      <c r="K4269" s="1" t="s">
        <v>583</v>
      </c>
      <c r="L4269" s="1" t="s">
        <v>22855</v>
      </c>
      <c r="M4269" s="2" t="s">
        <v>12</v>
      </c>
      <c r="N4269" s="4">
        <f t="shared" si="1"/>
        <v>43455</v>
      </c>
      <c r="O4269" s="5" t="str">
        <f>IFERROR(__xludf.DUMMYFUNCTION("IF(REGEXMATCH(TRIM(I4269), ""^\d+\s*min""), ""Unclassified"", IF(I4269 = """", ""NR"", I4269))"),"TV-MA")</f>
        <v>TV-MA</v>
      </c>
      <c r="R4269" s="5" t="str">
        <f t="shared" si="2"/>
        <v>Bad Seeds</v>
      </c>
      <c r="S4269" s="5" t="str">
        <f>IFERROR(__xludf.DUMMYFUNCTION("""COMPUTED_VALUE"""),"Luccas Neto In: The End Of Christmas")</f>
        <v>Luccas Neto In: The End Of Christmas</v>
      </c>
      <c r="U4269" s="5" t="str">
        <f>IFERROR(__xludf.DUMMYFUNCTION("""COMPUTED_VALUE"""),"Meng Hua Ho")</f>
        <v>Meng Hua Ho</v>
      </c>
      <c r="V4269" s="5" t="s">
        <v>10285</v>
      </c>
      <c r="W4269" s="5" t="str">
        <f t="shared" si="3"/>
        <v>Tope Oshin</v>
      </c>
      <c r="X4269" s="5">
        <f t="shared" si="4"/>
        <v>3</v>
      </c>
      <c r="Y4269" s="5" t="str">
        <f>IFERROR(__xludf.DUMMYFUNCTION("REGEXEXTRACT(J4269, ""^\d+"")"),"105")</f>
        <v>105</v>
      </c>
      <c r="Z4269" s="5" t="str">
        <f>IFERROR(__xludf.DUMMYFUNCTION("REGEXEXTRACT(J4269, ""[A-Za-z ]+$"")")," min")</f>
        <v> min</v>
      </c>
      <c r="AA4269" s="5" t="str">
        <f>IFERROR(__xludf.DUMMYFUNCTION("IF(REGEXMATCH(Z4269, ""Season""), ""TV Show"", ""Movie"")"),"Movie")</f>
        <v>Movie</v>
      </c>
    </row>
    <row r="4270">
      <c r="A4270" s="1" t="s">
        <v>22856</v>
      </c>
      <c r="B4270" s="1" t="s">
        <v>27</v>
      </c>
      <c r="C4270" s="1" t="s">
        <v>22857</v>
      </c>
      <c r="D4270" s="1" t="s">
        <v>22000</v>
      </c>
      <c r="E4270" s="1" t="s">
        <v>22858</v>
      </c>
      <c r="F4270" s="1" t="s">
        <v>30</v>
      </c>
      <c r="G4270" s="1" t="s">
        <v>22850</v>
      </c>
      <c r="H4270" s="1">
        <v>2018.0</v>
      </c>
      <c r="I4270" s="1" t="s">
        <v>378</v>
      </c>
      <c r="J4270" s="1" t="s">
        <v>341</v>
      </c>
      <c r="K4270" s="1" t="s">
        <v>19093</v>
      </c>
      <c r="L4270" s="1" t="s">
        <v>22859</v>
      </c>
      <c r="M4270" s="2" t="s">
        <v>12</v>
      </c>
      <c r="N4270" s="4">
        <f t="shared" si="1"/>
        <v>43455</v>
      </c>
      <c r="O4270" s="5" t="str">
        <f>IFERROR(__xludf.DUMMYFUNCTION("IF(REGEXMATCH(TRIM(I4270), ""^\d+\s*min""), ""Unclassified"", IF(I4270 = """", ""NR"", I4270))"),"R")</f>
        <v>R</v>
      </c>
      <c r="R4270" s="5" t="str">
        <f t="shared" si="2"/>
        <v>Bird Box</v>
      </c>
      <c r="S4270" s="5" t="str">
        <f>IFERROR(__xludf.DUMMYFUNCTION("""COMPUTED_VALUE"""),"Lucha: Playing The Impossible")</f>
        <v>Lucha: Playing The Impossible</v>
      </c>
      <c r="U4270" s="5" t="str">
        <f>IFERROR(__xludf.DUMMYFUNCTION("""COMPUTED_VALUE"""),"Peter Nicks")</f>
        <v>Peter Nicks</v>
      </c>
      <c r="V4270" s="5" t="s">
        <v>413</v>
      </c>
      <c r="W4270" s="5" t="str">
        <f t="shared" si="3"/>
        <v>Toshiya Shinohara</v>
      </c>
      <c r="X4270" s="5">
        <f t="shared" si="4"/>
        <v>7</v>
      </c>
      <c r="Y4270" s="5" t="str">
        <f>IFERROR(__xludf.DUMMYFUNCTION("REGEXEXTRACT(J4270, ""^\d+"")"),"124")</f>
        <v>124</v>
      </c>
      <c r="Z4270" s="5" t="str">
        <f>IFERROR(__xludf.DUMMYFUNCTION("REGEXEXTRACT(J4270, ""[A-Za-z ]+$"")")," min")</f>
        <v> min</v>
      </c>
      <c r="AA4270" s="5" t="str">
        <f>IFERROR(__xludf.DUMMYFUNCTION("IF(REGEXMATCH(Z4270, ""Season""), ""TV Show"", ""Movie"")"),"Movie")</f>
        <v>Movie</v>
      </c>
    </row>
    <row r="4271">
      <c r="A4271" s="1" t="s">
        <v>22860</v>
      </c>
      <c r="B4271" s="1" t="s">
        <v>37</v>
      </c>
      <c r="C4271" s="1" t="s">
        <v>22861</v>
      </c>
      <c r="E4271" s="1" t="s">
        <v>22862</v>
      </c>
      <c r="F4271" s="1" t="s">
        <v>2059</v>
      </c>
      <c r="G4271" s="1" t="s">
        <v>22850</v>
      </c>
      <c r="H4271" s="1">
        <v>2017.0</v>
      </c>
      <c r="I4271" s="1" t="s">
        <v>97</v>
      </c>
      <c r="J4271" s="1" t="s">
        <v>51</v>
      </c>
      <c r="K4271" s="1" t="s">
        <v>64</v>
      </c>
      <c r="L4271" s="1" t="s">
        <v>22863</v>
      </c>
      <c r="M4271" s="2" t="s">
        <v>12</v>
      </c>
      <c r="N4271" s="4">
        <f t="shared" si="1"/>
        <v>43455</v>
      </c>
      <c r="O4271" s="5" t="str">
        <f>IFERROR(__xludf.DUMMYFUNCTION("IF(REGEXMATCH(TRIM(I4271), ""^\d+\s*min""), ""Unclassified"", IF(I4271 = """", ""NR"", I4271))"),"TV-14")</f>
        <v>TV-14</v>
      </c>
      <c r="R4271" s="5" t="str">
        <f t="shared" si="2"/>
        <v>Jojo'S World</v>
      </c>
      <c r="S4271" s="5" t="str">
        <f>IFERROR(__xludf.DUMMYFUNCTION("""COMPUTED_VALUE"""),"Luciano Mellera: Infantiloide")</f>
        <v>Luciano Mellera: Infantiloide</v>
      </c>
      <c r="U4271" s="5" t="str">
        <f>IFERROR(__xludf.DUMMYFUNCTION("""COMPUTED_VALUE"""),"Oliver Frampton")</f>
        <v>Oliver Frampton</v>
      </c>
      <c r="V4271" s="5" t="s">
        <v>22864</v>
      </c>
      <c r="W4271" s="5" t="str">
        <f t="shared" si="3"/>
        <v>Toshiyuki Kubooka</v>
      </c>
      <c r="X4271" s="5">
        <f t="shared" si="4"/>
        <v>3</v>
      </c>
      <c r="Y4271" s="5" t="str">
        <f>IFERROR(__xludf.DUMMYFUNCTION("REGEXEXTRACT(J4271, ""^\d+"")"),"1")</f>
        <v>1</v>
      </c>
      <c r="Z4271" s="5" t="str">
        <f>IFERROR(__xludf.DUMMYFUNCTION("REGEXEXTRACT(J4271, ""[A-Za-z ]+$"")")," Season")</f>
        <v> Season</v>
      </c>
      <c r="AA4271" s="5" t="str">
        <f>IFERROR(__xludf.DUMMYFUNCTION("IF(REGEXMATCH(Z4271, ""Season""), ""TV Show"", ""Movie"")"),"TV Show")</f>
        <v>TV Show</v>
      </c>
    </row>
    <row r="4272">
      <c r="A4272" s="1" t="s">
        <v>22865</v>
      </c>
      <c r="B4272" s="1" t="s">
        <v>37</v>
      </c>
      <c r="C4272" s="1" t="s">
        <v>22866</v>
      </c>
      <c r="E4272" s="1" t="s">
        <v>22867</v>
      </c>
      <c r="F4272" s="1" t="s">
        <v>415</v>
      </c>
      <c r="G4272" s="1" t="s">
        <v>22850</v>
      </c>
      <c r="H4272" s="1">
        <v>2018.0</v>
      </c>
      <c r="I4272" s="1" t="s">
        <v>97</v>
      </c>
      <c r="J4272" s="1" t="s">
        <v>43</v>
      </c>
      <c r="K4272" s="1" t="s">
        <v>567</v>
      </c>
      <c r="L4272" s="1" t="s">
        <v>22868</v>
      </c>
      <c r="M4272" s="2" t="s">
        <v>12</v>
      </c>
      <c r="N4272" s="4">
        <f t="shared" si="1"/>
        <v>43455</v>
      </c>
      <c r="O4272" s="5" t="str">
        <f>IFERROR(__xludf.DUMMYFUNCTION("IF(REGEXMATCH(TRIM(I4272), ""^\d+\s*min""), ""Unclassified"", IF(I4272 = """", ""NR"", I4272))"),"TV-14")</f>
        <v>TV-14</v>
      </c>
      <c r="R4272" s="5" t="str">
        <f t="shared" si="2"/>
        <v>Last Hope</v>
      </c>
      <c r="S4272" s="5" t="str">
        <f>IFERROR(__xludf.DUMMYFUNCTION("""COMPUTED_VALUE"""),"Lucid Dream")</f>
        <v>Lucid Dream</v>
      </c>
      <c r="U4272" s="5" t="str">
        <f>IFERROR(__xludf.DUMMYFUNCTION("""COMPUTED_VALUE"""),"Scott Walker")</f>
        <v>Scott Walker</v>
      </c>
      <c r="V4272" s="5" t="s">
        <v>482</v>
      </c>
      <c r="W4272" s="5" t="str">
        <f t="shared" si="3"/>
        <v>Toshiyuki Tsuru</v>
      </c>
      <c r="X4272" s="5">
        <f t="shared" si="4"/>
        <v>1</v>
      </c>
      <c r="Y4272" s="5" t="str">
        <f>IFERROR(__xludf.DUMMYFUNCTION("REGEXEXTRACT(J4272, ""^\d+"")"),"2")</f>
        <v>2</v>
      </c>
      <c r="Z4272" s="5" t="str">
        <f>IFERROR(__xludf.DUMMYFUNCTION("REGEXEXTRACT(J4272, ""[A-Za-z ]+$"")")," Seasons")</f>
        <v> Seasons</v>
      </c>
      <c r="AA4272" s="5" t="str">
        <f>IFERROR(__xludf.DUMMYFUNCTION("IF(REGEXMATCH(Z4272, ""Season""), ""TV Show"", ""Movie"")"),"TV Show")</f>
        <v>TV Show</v>
      </c>
    </row>
    <row r="4273">
      <c r="A4273" s="1" t="s">
        <v>22869</v>
      </c>
      <c r="B4273" s="1" t="s">
        <v>37</v>
      </c>
      <c r="C4273" s="1" t="s">
        <v>22870</v>
      </c>
      <c r="E4273" s="1" t="s">
        <v>22871</v>
      </c>
      <c r="F4273" s="1" t="s">
        <v>2059</v>
      </c>
      <c r="G4273" s="1" t="s">
        <v>22850</v>
      </c>
      <c r="H4273" s="1">
        <v>2017.0</v>
      </c>
      <c r="I4273" s="1" t="s">
        <v>42</v>
      </c>
      <c r="J4273" s="1" t="s">
        <v>51</v>
      </c>
      <c r="K4273" s="1" t="s">
        <v>64</v>
      </c>
      <c r="L4273" s="1" t="s">
        <v>22872</v>
      </c>
      <c r="M4273" s="2" t="s">
        <v>12</v>
      </c>
      <c r="N4273" s="4">
        <f t="shared" si="1"/>
        <v>43455</v>
      </c>
      <c r="O4273" s="5" t="str">
        <f>IFERROR(__xludf.DUMMYFUNCTION("IF(REGEXMATCH(TRIM(I4273), ""^\d+\s*min""), ""Unclassified"", IF(I4273 = """", ""NR"", I4273))"),"TV-MA")</f>
        <v>TV-MA</v>
      </c>
      <c r="R4273" s="5" t="str">
        <f t="shared" si="2"/>
        <v>Lion Pride</v>
      </c>
      <c r="S4273" s="5" t="str">
        <f>IFERROR(__xludf.DUMMYFUNCTION("""COMPUTED_VALUE"""),"Lucifer")</f>
        <v>Lucifer</v>
      </c>
      <c r="U4273" s="5" t="str">
        <f>IFERROR(__xludf.DUMMYFUNCTION("""COMPUTED_VALUE"""),"Mario Mattei")</f>
        <v>Mario Mattei</v>
      </c>
      <c r="V4273" s="5" t="s">
        <v>11506</v>
      </c>
      <c r="W4273" s="5" t="str">
        <f t="shared" si="3"/>
        <v>Tosin Coker</v>
      </c>
      <c r="X4273" s="5">
        <f t="shared" si="4"/>
        <v>2</v>
      </c>
      <c r="Y4273" s="5" t="str">
        <f>IFERROR(__xludf.DUMMYFUNCTION("REGEXEXTRACT(J4273, ""^\d+"")"),"1")</f>
        <v>1</v>
      </c>
      <c r="Z4273" s="5" t="str">
        <f>IFERROR(__xludf.DUMMYFUNCTION("REGEXEXTRACT(J4273, ""[A-Za-z ]+$"")")," Season")</f>
        <v> Season</v>
      </c>
      <c r="AA4273" s="5" t="str">
        <f>IFERROR(__xludf.DUMMYFUNCTION("IF(REGEXMATCH(Z4273, ""Season""), ""TV Show"", ""Movie"")"),"TV Show")</f>
        <v>TV Show</v>
      </c>
    </row>
    <row r="4274">
      <c r="A4274" s="1" t="s">
        <v>22873</v>
      </c>
      <c r="B4274" s="1" t="s">
        <v>37</v>
      </c>
      <c r="C4274" s="1" t="s">
        <v>22874</v>
      </c>
      <c r="E4274" s="1" t="s">
        <v>22875</v>
      </c>
      <c r="F4274" s="1" t="s">
        <v>2059</v>
      </c>
      <c r="G4274" s="1" t="s">
        <v>22850</v>
      </c>
      <c r="H4274" s="1">
        <v>2016.0</v>
      </c>
      <c r="I4274" s="1" t="s">
        <v>97</v>
      </c>
      <c r="J4274" s="1" t="s">
        <v>51</v>
      </c>
      <c r="K4274" s="1" t="s">
        <v>1907</v>
      </c>
      <c r="L4274" s="1" t="s">
        <v>22876</v>
      </c>
      <c r="M4274" s="2" t="s">
        <v>12</v>
      </c>
      <c r="N4274" s="4">
        <f t="shared" si="1"/>
        <v>43455</v>
      </c>
      <c r="O4274" s="5" t="str">
        <f>IFERROR(__xludf.DUMMYFUNCTION("IF(REGEXMATCH(TRIM(I4274), ""^\d+\s*min""), ""Unclassified"", IF(I4274 = """", ""NR"", I4274))"),"TV-14")</f>
        <v>TV-14</v>
      </c>
      <c r="R4274" s="5" t="str">
        <f t="shared" si="2"/>
        <v>Love @ Seventeen</v>
      </c>
      <c r="S4274" s="5" t="str">
        <f>IFERROR(__xludf.DUMMYFUNCTION("""COMPUTED_VALUE"""),"Luck By Chance")</f>
        <v>Luck By Chance</v>
      </c>
      <c r="U4274" s="5" t="str">
        <f>IFERROR(__xludf.DUMMYFUNCTION("""COMPUTED_VALUE"""),"Cody Stokes")</f>
        <v>Cody Stokes</v>
      </c>
      <c r="V4274" s="5" t="s">
        <v>1702</v>
      </c>
      <c r="W4274" s="5" t="str">
        <f t="shared" si="3"/>
        <v>Tosin Igho</v>
      </c>
      <c r="X4274" s="5">
        <f t="shared" si="4"/>
        <v>2</v>
      </c>
      <c r="Y4274" s="5" t="str">
        <f>IFERROR(__xludf.DUMMYFUNCTION("REGEXEXTRACT(J4274, ""^\d+"")"),"1")</f>
        <v>1</v>
      </c>
      <c r="Z4274" s="5" t="str">
        <f>IFERROR(__xludf.DUMMYFUNCTION("REGEXEXTRACT(J4274, ""[A-Za-z ]+$"")")," Season")</f>
        <v> Season</v>
      </c>
      <c r="AA4274" s="5" t="str">
        <f>IFERROR(__xludf.DUMMYFUNCTION("IF(REGEXMATCH(Z4274, ""Season""), ""TV Show"", ""Movie"")"),"TV Show")</f>
        <v>TV Show</v>
      </c>
    </row>
    <row r="4275">
      <c r="A4275" s="1" t="s">
        <v>22877</v>
      </c>
      <c r="B4275" s="1" t="s">
        <v>37</v>
      </c>
      <c r="C4275" s="1" t="s">
        <v>5940</v>
      </c>
      <c r="E4275" s="1" t="s">
        <v>22878</v>
      </c>
      <c r="F4275" s="1" t="s">
        <v>2492</v>
      </c>
      <c r="G4275" s="1" t="s">
        <v>22850</v>
      </c>
      <c r="H4275" s="1">
        <v>2018.0</v>
      </c>
      <c r="I4275" s="1" t="s">
        <v>42</v>
      </c>
      <c r="J4275" s="1" t="s">
        <v>51</v>
      </c>
      <c r="K4275" s="1" t="s">
        <v>1362</v>
      </c>
      <c r="L4275" s="1" t="s">
        <v>22879</v>
      </c>
      <c r="M4275" s="2" t="s">
        <v>12</v>
      </c>
      <c r="N4275" s="4">
        <f t="shared" si="1"/>
        <v>43455</v>
      </c>
      <c r="O4275" s="5" t="str">
        <f>IFERROR(__xludf.DUMMYFUNCTION("IF(REGEXMATCH(TRIM(I4275), ""^\d+\s*min""), ""Unclassified"", IF(I4275 = """", ""NR"", I4275))"),"TV-MA")</f>
        <v>TV-MA</v>
      </c>
      <c r="R4275" s="5" t="str">
        <f t="shared" si="2"/>
        <v>Perfume</v>
      </c>
      <c r="S4275" s="5" t="str">
        <f>IFERROR(__xludf.DUMMYFUNCTION("""COMPUTED_VALUE"""),"Luckee")</f>
        <v>Luckee</v>
      </c>
      <c r="U4275" s="5" t="str">
        <f>IFERROR(__xludf.DUMMYFUNCTION("""COMPUTED_VALUE"""),"Doron Paz, Yoav Paz")</f>
        <v>Doron Paz, Yoav Paz</v>
      </c>
      <c r="V4275" s="5" t="s">
        <v>15821</v>
      </c>
      <c r="W4275" s="5" t="str">
        <f t="shared" si="3"/>
        <v>Toyin Abraham</v>
      </c>
      <c r="X4275" s="5">
        <f t="shared" si="4"/>
        <v>1</v>
      </c>
      <c r="Y4275" s="5" t="str">
        <f>IFERROR(__xludf.DUMMYFUNCTION("REGEXEXTRACT(J4275, ""^\d+"")"),"1")</f>
        <v>1</v>
      </c>
      <c r="Z4275" s="5" t="str">
        <f>IFERROR(__xludf.DUMMYFUNCTION("REGEXEXTRACT(J4275, ""[A-Za-z ]+$"")")," Season")</f>
        <v> Season</v>
      </c>
      <c r="AA4275" s="5" t="str">
        <f>IFERROR(__xludf.DUMMYFUNCTION("IF(REGEXMATCH(Z4275, ""Season""), ""TV Show"", ""Movie"")"),"TV Show")</f>
        <v>TV Show</v>
      </c>
    </row>
    <row r="4276">
      <c r="A4276" s="1" t="s">
        <v>22880</v>
      </c>
      <c r="B4276" s="1" t="s">
        <v>37</v>
      </c>
      <c r="C4276" s="1" t="s">
        <v>22881</v>
      </c>
      <c r="E4276" s="1" t="s">
        <v>22882</v>
      </c>
      <c r="F4276" s="1" t="s">
        <v>415</v>
      </c>
      <c r="G4276" s="1" t="s">
        <v>22850</v>
      </c>
      <c r="H4276" s="1">
        <v>2018.0</v>
      </c>
      <c r="I4276" s="1" t="s">
        <v>42</v>
      </c>
      <c r="J4276" s="1" t="s">
        <v>51</v>
      </c>
      <c r="K4276" s="1" t="s">
        <v>2161</v>
      </c>
      <c r="L4276" s="1" t="s">
        <v>22883</v>
      </c>
      <c r="M4276" s="2" t="s">
        <v>12</v>
      </c>
      <c r="N4276" s="4">
        <f t="shared" si="1"/>
        <v>43455</v>
      </c>
      <c r="O4276" s="5" t="str">
        <f>IFERROR(__xludf.DUMMYFUNCTION("IF(REGEXMATCH(TRIM(I4276), ""^\d+\s*min""), ""Unclassified"", IF(I4276 = """", ""NR"", I4276))"),"TV-MA")</f>
        <v>TV-MA</v>
      </c>
      <c r="R4276" s="5" t="str">
        <f t="shared" si="2"/>
        <v>Sirius The Jaeger</v>
      </c>
      <c r="S4276" s="5" t="str">
        <f>IFERROR(__xludf.DUMMYFUNCTION("""COMPUTED_VALUE"""),"Lucknow Central")</f>
        <v>Lucknow Central</v>
      </c>
      <c r="U4276" s="5" t="str">
        <f>IFERROR(__xludf.DUMMYFUNCTION("""COMPUTED_VALUE"""),"Paul Shoulberg")</f>
        <v>Paul Shoulberg</v>
      </c>
      <c r="V4276" s="5" t="s">
        <v>16115</v>
      </c>
      <c r="W4276" s="5" t="str">
        <f t="shared" si="3"/>
        <v>Travis Stevens</v>
      </c>
      <c r="X4276" s="5">
        <f t="shared" si="4"/>
        <v>1</v>
      </c>
      <c r="Y4276" s="5" t="str">
        <f>IFERROR(__xludf.DUMMYFUNCTION("REGEXEXTRACT(J4276, ""^\d+"")"),"1")</f>
        <v>1</v>
      </c>
      <c r="Z4276" s="5" t="str">
        <f>IFERROR(__xludf.DUMMYFUNCTION("REGEXEXTRACT(J4276, ""[A-Za-z ]+$"")")," Season")</f>
        <v> Season</v>
      </c>
      <c r="AA4276" s="5" t="str">
        <f>IFERROR(__xludf.DUMMYFUNCTION("IF(REGEXMATCH(Z4276, ""Season""), ""TV Show"", ""Movie"")"),"TV Show")</f>
        <v>TV Show</v>
      </c>
    </row>
    <row r="4277">
      <c r="A4277" s="1" t="s">
        <v>22884</v>
      </c>
      <c r="B4277" s="1" t="s">
        <v>27</v>
      </c>
      <c r="C4277" s="1" t="s">
        <v>22885</v>
      </c>
      <c r="D4277" s="1" t="s">
        <v>9650</v>
      </c>
      <c r="F4277" s="1" t="s">
        <v>13591</v>
      </c>
      <c r="G4277" s="1" t="s">
        <v>22850</v>
      </c>
      <c r="H4277" s="1">
        <v>2018.0</v>
      </c>
      <c r="I4277" s="1" t="s">
        <v>42</v>
      </c>
      <c r="J4277" s="1" t="s">
        <v>305</v>
      </c>
      <c r="K4277" s="1" t="s">
        <v>34</v>
      </c>
      <c r="L4277" s="1" t="s">
        <v>22886</v>
      </c>
      <c r="M4277" s="2" t="s">
        <v>12</v>
      </c>
      <c r="N4277" s="4">
        <f t="shared" si="1"/>
        <v>43455</v>
      </c>
      <c r="O4277" s="5" t="str">
        <f>IFERROR(__xludf.DUMMYFUNCTION("IF(REGEXMATCH(TRIM(I4277), ""^\d+\s*min""), ""Unclassified"", IF(I4277 = """", ""NR"", I4277))"),"TV-MA")</f>
        <v>TV-MA</v>
      </c>
      <c r="R4277" s="5" t="str">
        <f t="shared" si="2"/>
        <v>Struggle: The Life And Lost Art Of Szukalski</v>
      </c>
      <c r="S4277" s="5" t="str">
        <f>IFERROR(__xludf.DUMMYFUNCTION("""COMPUTED_VALUE"""),"Lucky Days")</f>
        <v>Lucky Days</v>
      </c>
      <c r="U4277" s="5" t="str">
        <f>IFERROR(__xludf.DUMMYFUNCTION("""COMPUTED_VALUE"""),"Kasra Farahani")</f>
        <v>Kasra Farahani</v>
      </c>
      <c r="V4277" s="5" t="s">
        <v>22887</v>
      </c>
      <c r="W4277" s="5" t="str">
        <f t="shared" si="3"/>
        <v>Travis Zariwny</v>
      </c>
      <c r="X4277" s="5">
        <f t="shared" si="4"/>
        <v>1</v>
      </c>
      <c r="Y4277" s="5" t="str">
        <f>IFERROR(__xludf.DUMMYFUNCTION("REGEXEXTRACT(J4277, ""^\d+"")"),"105")</f>
        <v>105</v>
      </c>
      <c r="Z4277" s="5" t="str">
        <f>IFERROR(__xludf.DUMMYFUNCTION("REGEXEXTRACT(J4277, ""[A-Za-z ]+$"")")," min")</f>
        <v> min</v>
      </c>
      <c r="AA4277" s="5" t="str">
        <f>IFERROR(__xludf.DUMMYFUNCTION("IF(REGEXMATCH(Z4277, ""Season""), ""TV Show"", ""Movie"")"),"Movie")</f>
        <v>Movie</v>
      </c>
    </row>
    <row r="4278">
      <c r="A4278" s="1" t="s">
        <v>22888</v>
      </c>
      <c r="B4278" s="1" t="s">
        <v>37</v>
      </c>
      <c r="C4278" s="1" t="s">
        <v>22889</v>
      </c>
      <c r="E4278" s="1" t="s">
        <v>22890</v>
      </c>
      <c r="F4278" s="1" t="s">
        <v>188</v>
      </c>
      <c r="G4278" s="1" t="s">
        <v>22850</v>
      </c>
      <c r="H4278" s="1">
        <v>2018.0</v>
      </c>
      <c r="I4278" s="1" t="s">
        <v>42</v>
      </c>
      <c r="J4278" s="1" t="s">
        <v>51</v>
      </c>
      <c r="K4278" s="1" t="s">
        <v>190</v>
      </c>
      <c r="L4278" s="1" t="s">
        <v>22891</v>
      </c>
      <c r="M4278" s="2" t="s">
        <v>12</v>
      </c>
      <c r="N4278" s="4">
        <f t="shared" si="1"/>
        <v>43455</v>
      </c>
      <c r="O4278" s="5" t="str">
        <f>IFERROR(__xludf.DUMMYFUNCTION("IF(REGEXMATCH(TRIM(I4278), ""^\d+\s*min""), ""Unclassified"", IF(I4278 = """", ""NR"", I4278))"),"TV-MA")</f>
        <v>TV-MA</v>
      </c>
      <c r="R4278" s="5" t="str">
        <f t="shared" si="2"/>
        <v>Wolf</v>
      </c>
      <c r="S4278" s="5" t="str">
        <f>IFERROR(__xludf.DUMMYFUNCTION("""COMPUTED_VALUE"""),"Lucky: No Time For Love")</f>
        <v>Lucky: No Time For Love</v>
      </c>
      <c r="U4278" s="5" t="str">
        <f>IFERROR(__xludf.DUMMYFUNCTION("""COMPUTED_VALUE"""),"Michel Gondry")</f>
        <v>Michel Gondry</v>
      </c>
      <c r="V4278" s="5" t="s">
        <v>6472</v>
      </c>
      <c r="W4278" s="5" t="str">
        <f t="shared" si="3"/>
        <v>Travon Free, Martin Desmond Roe</v>
      </c>
      <c r="X4278" s="5">
        <f t="shared" si="4"/>
        <v>1</v>
      </c>
      <c r="Y4278" s="5" t="str">
        <f>IFERROR(__xludf.DUMMYFUNCTION("REGEXEXTRACT(J4278, ""^\d+"")"),"1")</f>
        <v>1</v>
      </c>
      <c r="Z4278" s="5" t="str">
        <f>IFERROR(__xludf.DUMMYFUNCTION("REGEXEXTRACT(J4278, ""[A-Za-z ]+$"")")," Season")</f>
        <v> Season</v>
      </c>
      <c r="AA4278" s="5" t="str">
        <f>IFERROR(__xludf.DUMMYFUNCTION("IF(REGEXMATCH(Z4278, ""Season""), ""TV Show"", ""Movie"")"),"TV Show")</f>
        <v>TV Show</v>
      </c>
    </row>
    <row r="4279">
      <c r="A4279" s="1" t="s">
        <v>22892</v>
      </c>
      <c r="B4279" s="1" t="s">
        <v>27</v>
      </c>
      <c r="C4279" s="13">
        <v>0.9993055555555556</v>
      </c>
      <c r="D4279" s="1" t="s">
        <v>8467</v>
      </c>
      <c r="E4279" s="1" t="s">
        <v>22893</v>
      </c>
      <c r="F4279" s="1" t="s">
        <v>9219</v>
      </c>
      <c r="G4279" s="1" t="s">
        <v>22894</v>
      </c>
      <c r="H4279" s="1">
        <v>2011.0</v>
      </c>
      <c r="I4279" s="1" t="s">
        <v>378</v>
      </c>
      <c r="J4279" s="1" t="s">
        <v>1737</v>
      </c>
      <c r="K4279" s="1" t="s">
        <v>1441</v>
      </c>
      <c r="L4279" s="1" t="s">
        <v>22895</v>
      </c>
      <c r="M4279" s="2" t="s">
        <v>12</v>
      </c>
      <c r="N4279" s="4">
        <f t="shared" si="1"/>
        <v>43454</v>
      </c>
      <c r="O4279" s="5" t="str">
        <f>IFERROR(__xludf.DUMMYFUNCTION("IF(REGEXMATCH(TRIM(I4279), ""^\d+\s*min""), ""Unclassified"", IF(I4279 = """", ""NR"", I4279))"),"R")</f>
        <v>R</v>
      </c>
      <c r="R4279" s="5" t="str">
        <f t="shared" si="2"/>
        <v>23:59</v>
      </c>
      <c r="S4279" s="5" t="str">
        <f>IFERROR(__xludf.DUMMYFUNCTION("""COMPUTED_VALUE"""),"Ludo")</f>
        <v>Ludo</v>
      </c>
      <c r="U4279" s="5" t="str">
        <f>IFERROR(__xludf.DUMMYFUNCTION("""COMPUTED_VALUE"""),"Michael G. Kehoe")</f>
        <v>Michael G. Kehoe</v>
      </c>
      <c r="V4279" s="5" t="s">
        <v>22896</v>
      </c>
      <c r="W4279" s="5" t="str">
        <f t="shared" si="3"/>
        <v>Trent Haaga</v>
      </c>
      <c r="X4279" s="5">
        <f t="shared" si="4"/>
        <v>1</v>
      </c>
      <c r="Y4279" s="5" t="str">
        <f>IFERROR(__xludf.DUMMYFUNCTION("REGEXEXTRACT(J4279, ""^\d+"")"),"78")</f>
        <v>78</v>
      </c>
      <c r="Z4279" s="5" t="str">
        <f>IFERROR(__xludf.DUMMYFUNCTION("REGEXEXTRACT(J4279, ""[A-Za-z ]+$"")")," min")</f>
        <v> min</v>
      </c>
      <c r="AA4279" s="5" t="str">
        <f>IFERROR(__xludf.DUMMYFUNCTION("IF(REGEXMATCH(Z4279, ""Season""), ""TV Show"", ""Movie"")"),"Movie")</f>
        <v>Movie</v>
      </c>
    </row>
    <row r="4280">
      <c r="A4280" s="1" t="s">
        <v>22897</v>
      </c>
      <c r="B4280" s="1" t="s">
        <v>27</v>
      </c>
      <c r="C4280" s="1" t="s">
        <v>22898</v>
      </c>
      <c r="D4280" s="1" t="s">
        <v>18864</v>
      </c>
      <c r="E4280" s="1" t="s">
        <v>22899</v>
      </c>
      <c r="F4280" s="1" t="s">
        <v>415</v>
      </c>
      <c r="G4280" s="1" t="s">
        <v>22894</v>
      </c>
      <c r="H4280" s="1">
        <v>2018.0</v>
      </c>
      <c r="I4280" s="1" t="s">
        <v>136</v>
      </c>
      <c r="J4280" s="1" t="s">
        <v>7407</v>
      </c>
      <c r="K4280" s="1" t="s">
        <v>2032</v>
      </c>
      <c r="L4280" s="1" t="s">
        <v>22900</v>
      </c>
      <c r="M4280" s="2" t="s">
        <v>12</v>
      </c>
      <c r="N4280" s="4">
        <f t="shared" si="1"/>
        <v>43454</v>
      </c>
      <c r="O4280" s="5" t="str">
        <f>IFERROR(__xludf.DUMMYFUNCTION("IF(REGEXMATCH(TRIM(I4280), ""^\d+\s*min""), ""Unclassified"", IF(I4280 = """", ""NR"", I4280))"),"TV-PG")</f>
        <v>TV-PG</v>
      </c>
      <c r="R4280" s="5" t="str">
        <f t="shared" si="2"/>
        <v>Aggretsuko: We Wish You A Metal Christmas</v>
      </c>
      <c r="S4280" s="5" t="str">
        <f>IFERROR(__xludf.DUMMYFUNCTION("""COMPUTED_VALUE"""),"Lugar De Mulher")</f>
        <v>Lugar De Mulher</v>
      </c>
      <c r="U4280" s="5" t="str">
        <f>IFERROR(__xludf.DUMMYFUNCTION("""COMPUTED_VALUE"""),"Mickey Liddell")</f>
        <v>Mickey Liddell</v>
      </c>
      <c r="V4280" s="5" t="s">
        <v>3660</v>
      </c>
      <c r="W4280" s="5" t="str">
        <f t="shared" si="3"/>
        <v>Trevor Nunn</v>
      </c>
      <c r="X4280" s="5">
        <f t="shared" si="4"/>
        <v>1</v>
      </c>
      <c r="Y4280" s="5" t="str">
        <f>IFERROR(__xludf.DUMMYFUNCTION("REGEXEXTRACT(J4280, ""^\d+"")"),"22")</f>
        <v>22</v>
      </c>
      <c r="Z4280" s="5" t="str">
        <f>IFERROR(__xludf.DUMMYFUNCTION("REGEXEXTRACT(J4280, ""[A-Za-z ]+$"")")," min")</f>
        <v> min</v>
      </c>
      <c r="AA4280" s="5" t="str">
        <f>IFERROR(__xludf.DUMMYFUNCTION("IF(REGEXMATCH(Z4280, ""Season""), ""TV Show"", ""Movie"")"),"Movie")</f>
        <v>Movie</v>
      </c>
    </row>
    <row r="4281">
      <c r="A4281" s="1" t="s">
        <v>22901</v>
      </c>
      <c r="B4281" s="1" t="s">
        <v>37</v>
      </c>
      <c r="C4281" s="1" t="s">
        <v>22902</v>
      </c>
      <c r="E4281" s="1" t="s">
        <v>22903</v>
      </c>
      <c r="F4281" s="1" t="s">
        <v>415</v>
      </c>
      <c r="G4281" s="1" t="s">
        <v>22894</v>
      </c>
      <c r="H4281" s="1">
        <v>2015.0</v>
      </c>
      <c r="I4281" s="1" t="s">
        <v>97</v>
      </c>
      <c r="J4281" s="1" t="s">
        <v>43</v>
      </c>
      <c r="K4281" s="1" t="s">
        <v>567</v>
      </c>
      <c r="L4281" s="1" t="s">
        <v>22904</v>
      </c>
      <c r="M4281" s="2" t="s">
        <v>12</v>
      </c>
      <c r="N4281" s="4">
        <f t="shared" si="1"/>
        <v>43454</v>
      </c>
      <c r="O4281" s="5" t="str">
        <f>IFERROR(__xludf.DUMMYFUNCTION("IF(REGEXMATCH(TRIM(I4281), ""^\d+\s*min""), ""Unclassified"", IF(I4281 = """", ""NR"", I4281))"),"TV-14")</f>
        <v>TV-14</v>
      </c>
      <c r="R4281" s="5" t="str">
        <f t="shared" si="2"/>
        <v>Fate/Stay Night: Unlimited Blade Works</v>
      </c>
      <c r="S4281" s="5" t="str">
        <f>IFERROR(__xludf.DUMMYFUNCTION("""COMPUTED_VALUE"""),"Luis Miguel - The Series")</f>
        <v>Luis Miguel - The Series</v>
      </c>
      <c r="U4281" s="5" t="str">
        <f>IFERROR(__xludf.DUMMYFUNCTION("""COMPUTED_VALUE"""),"Paco Arango")</f>
        <v>Paco Arango</v>
      </c>
      <c r="V4281" s="5" t="s">
        <v>22905</v>
      </c>
      <c r="W4281" s="5" t="str">
        <f t="shared" si="3"/>
        <v>Trevor Ryan</v>
      </c>
      <c r="X4281" s="5">
        <f t="shared" si="4"/>
        <v>1</v>
      </c>
      <c r="Y4281" s="5" t="str">
        <f>IFERROR(__xludf.DUMMYFUNCTION("REGEXEXTRACT(J4281, ""^\d+"")"),"2")</f>
        <v>2</v>
      </c>
      <c r="Z4281" s="5" t="str">
        <f>IFERROR(__xludf.DUMMYFUNCTION("REGEXEXTRACT(J4281, ""[A-Za-z ]+$"")")," Seasons")</f>
        <v> Seasons</v>
      </c>
      <c r="AA4281" s="5" t="str">
        <f>IFERROR(__xludf.DUMMYFUNCTION("IF(REGEXMATCH(Z4281, ""Season""), ""TV Show"", ""Movie"")"),"TV Show")</f>
        <v>TV Show</v>
      </c>
    </row>
    <row r="4282">
      <c r="A4282" s="1" t="s">
        <v>22906</v>
      </c>
      <c r="B4282" s="1" t="s">
        <v>27</v>
      </c>
      <c r="C4282" s="1" t="s">
        <v>22907</v>
      </c>
      <c r="D4282" s="1" t="s">
        <v>21646</v>
      </c>
      <c r="E4282" s="1" t="s">
        <v>22908</v>
      </c>
      <c r="F4282" s="1" t="s">
        <v>9219</v>
      </c>
      <c r="G4282" s="1" t="s">
        <v>22894</v>
      </c>
      <c r="H4282" s="1">
        <v>2012.0</v>
      </c>
      <c r="I4282" s="1" t="s">
        <v>42</v>
      </c>
      <c r="J4282" s="1" t="s">
        <v>465</v>
      </c>
      <c r="K4282" s="1" t="s">
        <v>1066</v>
      </c>
      <c r="L4282" s="1" t="s">
        <v>22909</v>
      </c>
      <c r="M4282" s="2" t="s">
        <v>12</v>
      </c>
      <c r="N4282" s="4">
        <f t="shared" si="1"/>
        <v>43454</v>
      </c>
      <c r="O4282" s="5" t="str">
        <f>IFERROR(__xludf.DUMMYFUNCTION("IF(REGEXMATCH(TRIM(I4282), ""^\d+\s*min""), ""Unclassified"", IF(I4282 = """", ""NR"", I4282))"),"TV-MA")</f>
        <v>TV-MA</v>
      </c>
      <c r="R4282" s="5" t="str">
        <f t="shared" si="2"/>
        <v>Imperfect</v>
      </c>
      <c r="S4282" s="5" t="str">
        <f>IFERROR(__xludf.DUMMYFUNCTION("""COMPUTED_VALUE"""),"Luka Chuppi")</f>
        <v>Luka Chuppi</v>
      </c>
      <c r="U4282" s="5" t="str">
        <f>IFERROR(__xludf.DUMMYFUNCTION("""COMPUTED_VALUE"""),"Maya Gallus")</f>
        <v>Maya Gallus</v>
      </c>
      <c r="V4282" s="5" t="s">
        <v>22910</v>
      </c>
      <c r="W4282" s="5" t="str">
        <f t="shared" si="3"/>
        <v>Trey Borzillieri, Barbara Schroeder</v>
      </c>
      <c r="X4282" s="5">
        <f t="shared" si="4"/>
        <v>1</v>
      </c>
      <c r="Y4282" s="5" t="str">
        <f>IFERROR(__xludf.DUMMYFUNCTION("REGEXEXTRACT(J4282, ""^\d+"")"),"95")</f>
        <v>95</v>
      </c>
      <c r="Z4282" s="5" t="str">
        <f>IFERROR(__xludf.DUMMYFUNCTION("REGEXEXTRACT(J4282, ""[A-Za-z ]+$"")")," min")</f>
        <v> min</v>
      </c>
      <c r="AA4282" s="5" t="str">
        <f>IFERROR(__xludf.DUMMYFUNCTION("IF(REGEXMATCH(Z4282, ""Season""), ""TV Show"", ""Movie"")"),"Movie")</f>
        <v>Movie</v>
      </c>
    </row>
    <row r="4283">
      <c r="A4283" s="1" t="s">
        <v>22911</v>
      </c>
      <c r="B4283" s="1" t="s">
        <v>27</v>
      </c>
      <c r="C4283" s="1" t="s">
        <v>22912</v>
      </c>
      <c r="D4283" s="1" t="s">
        <v>20193</v>
      </c>
      <c r="E4283" s="1" t="s">
        <v>22913</v>
      </c>
      <c r="F4283" s="1" t="s">
        <v>9219</v>
      </c>
      <c r="G4283" s="1" t="s">
        <v>22894</v>
      </c>
      <c r="H4283" s="1">
        <v>2015.0</v>
      </c>
      <c r="I4283" s="1" t="s">
        <v>42</v>
      </c>
      <c r="J4283" s="1" t="s">
        <v>1001</v>
      </c>
      <c r="K4283" s="1" t="s">
        <v>631</v>
      </c>
      <c r="L4283" s="1" t="s">
        <v>22914</v>
      </c>
      <c r="M4283" s="2" t="s">
        <v>12</v>
      </c>
      <c r="N4283" s="4">
        <f t="shared" si="1"/>
        <v>43454</v>
      </c>
      <c r="O4283" s="5" t="str">
        <f>IFERROR(__xludf.DUMMYFUNCTION("IF(REGEXMATCH(TRIM(I4283), ""^\d+\s*min""), ""Unclassified"", IF(I4283 = """", ""NR"", I4283))"),"TV-MA")</f>
        <v>TV-MA</v>
      </c>
      <c r="R4283" s="5" t="str">
        <f t="shared" si="2"/>
        <v>Lang Tong</v>
      </c>
      <c r="S4283" s="5" t="str">
        <f>IFERROR(__xludf.DUMMYFUNCTION("""COMPUTED_VALUE"""),"Luna Nera")</f>
        <v>Luna Nera</v>
      </c>
      <c r="U4283" s="5" t="str">
        <f>IFERROR(__xludf.DUMMYFUNCTION("""COMPUTED_VALUE"""),"Chad Archibald")</f>
        <v>Chad Archibald</v>
      </c>
      <c r="V4283" s="5" t="s">
        <v>17510</v>
      </c>
      <c r="W4283" s="5" t="str">
        <f t="shared" si="3"/>
        <v>Trey Edward Shults</v>
      </c>
      <c r="X4283" s="5">
        <f t="shared" si="4"/>
        <v>2</v>
      </c>
      <c r="Y4283" s="5" t="str">
        <f>IFERROR(__xludf.DUMMYFUNCTION("REGEXEXTRACT(J4283, ""^\d+"")"),"82")</f>
        <v>82</v>
      </c>
      <c r="Z4283" s="5" t="str">
        <f>IFERROR(__xludf.DUMMYFUNCTION("REGEXEXTRACT(J4283, ""[A-Za-z ]+$"")")," min")</f>
        <v> min</v>
      </c>
      <c r="AA4283" s="5" t="str">
        <f>IFERROR(__xludf.DUMMYFUNCTION("IF(REGEXMATCH(Z4283, ""Season""), ""TV Show"", ""Movie"")"),"Movie")</f>
        <v>Movie</v>
      </c>
    </row>
    <row r="4284">
      <c r="A4284" s="1" t="s">
        <v>22915</v>
      </c>
      <c r="B4284" s="1" t="s">
        <v>27</v>
      </c>
      <c r="C4284" s="1" t="s">
        <v>22916</v>
      </c>
      <c r="D4284" s="1" t="s">
        <v>10265</v>
      </c>
      <c r="E4284" s="1" t="s">
        <v>22917</v>
      </c>
      <c r="F4284" s="1" t="s">
        <v>9219</v>
      </c>
      <c r="G4284" s="1" t="s">
        <v>22894</v>
      </c>
      <c r="H4284" s="1">
        <v>2014.0</v>
      </c>
      <c r="I4284" s="1" t="s">
        <v>42</v>
      </c>
      <c r="J4284" s="1" t="s">
        <v>1191</v>
      </c>
      <c r="K4284" s="1" t="s">
        <v>298</v>
      </c>
      <c r="L4284" s="1" t="s">
        <v>22918</v>
      </c>
      <c r="M4284" s="2" t="s">
        <v>12</v>
      </c>
      <c r="N4284" s="4">
        <f t="shared" si="1"/>
        <v>43454</v>
      </c>
      <c r="O4284" s="5" t="str">
        <f>IFERROR(__xludf.DUMMYFUNCTION("IF(REGEXMATCH(TRIM(I4284), ""^\d+\s*min""), ""Unclassified"", IF(I4284 = """", ""NR"", I4284))"),"TV-MA")</f>
        <v>TV-MA</v>
      </c>
      <c r="R4284" s="5" t="str">
        <f t="shared" si="2"/>
        <v>Miss J Contemplates Her Choice</v>
      </c>
      <c r="S4284" s="5" t="str">
        <f>IFERROR(__xludf.DUMMYFUNCTION("""COMPUTED_VALUE"""),"Luna Petunia")</f>
        <v>Luna Petunia</v>
      </c>
      <c r="U4284" s="5" t="str">
        <f>IFERROR(__xludf.DUMMYFUNCTION("""COMPUTED_VALUE"""),"Mark Columbus, Lauren Hoekstra, Sarah Kruchowski, Ryan Moody, Simon Savelyev, Vanita Shastry, Shadae Lamar Smith, Jeremy David White")</f>
        <v>Mark Columbus, Lauren Hoekstra, Sarah Kruchowski, Ryan Moody, Simon Savelyev, Vanita Shastry, Shadae Lamar Smith, Jeremy David White</v>
      </c>
      <c r="V4284" s="5" t="s">
        <v>22919</v>
      </c>
      <c r="W4284" s="5" t="str">
        <f t="shared" si="3"/>
        <v>Trey Haley</v>
      </c>
      <c r="X4284" s="5">
        <f t="shared" si="4"/>
        <v>1</v>
      </c>
      <c r="Y4284" s="5" t="str">
        <f>IFERROR(__xludf.DUMMYFUNCTION("REGEXEXTRACT(J4284, ""^\d+"")"),"89")</f>
        <v>89</v>
      </c>
      <c r="Z4284" s="5" t="str">
        <f>IFERROR(__xludf.DUMMYFUNCTION("REGEXEXTRACT(J4284, ""[A-Za-z ]+$"")")," min")</f>
        <v> min</v>
      </c>
      <c r="AA4284" s="5" t="str">
        <f>IFERROR(__xludf.DUMMYFUNCTION("IF(REGEXMATCH(Z4284, ""Season""), ""TV Show"", ""Movie"")"),"Movie")</f>
        <v>Movie</v>
      </c>
    </row>
    <row r="4285">
      <c r="A4285" s="1" t="s">
        <v>22920</v>
      </c>
      <c r="B4285" s="1" t="s">
        <v>27</v>
      </c>
      <c r="C4285" s="1" t="s">
        <v>22921</v>
      </c>
      <c r="D4285" s="1" t="s">
        <v>20300</v>
      </c>
      <c r="E4285" s="1" t="s">
        <v>22922</v>
      </c>
      <c r="F4285" s="1" t="s">
        <v>63</v>
      </c>
      <c r="G4285" s="1" t="s">
        <v>22923</v>
      </c>
      <c r="H4285" s="1">
        <v>2018.0</v>
      </c>
      <c r="I4285" s="1" t="s">
        <v>42</v>
      </c>
      <c r="J4285" s="1" t="s">
        <v>33</v>
      </c>
      <c r="K4285" s="1" t="s">
        <v>89</v>
      </c>
      <c r="L4285" s="1" t="s">
        <v>22924</v>
      </c>
      <c r="M4285" s="2" t="s">
        <v>12</v>
      </c>
      <c r="N4285" s="4">
        <f t="shared" si="1"/>
        <v>43453</v>
      </c>
      <c r="O4285" s="5" t="str">
        <f>IFERROR(__xludf.DUMMYFUNCTION("IF(REGEXMATCH(TRIM(I4285), ""^\d+\s*min""), ""Unclassified"", IF(I4285 = """", ""NR"", I4285))"),"TV-MA")</f>
        <v>TV-MA</v>
      </c>
      <c r="R4285" s="5" t="str">
        <f t="shared" si="2"/>
        <v>Ascharyachakit!</v>
      </c>
      <c r="S4285" s="5" t="str">
        <f>IFERROR(__xludf.DUMMYFUNCTION("""COMPUTED_VALUE"""),"Luna Petunia: Return To Amazia")</f>
        <v>Luna Petunia: Return To Amazia</v>
      </c>
      <c r="U4285" s="5" t="str">
        <f>IFERROR(__xludf.DUMMYFUNCTION("""COMPUTED_VALUE"""),"Damani Baker")</f>
        <v>Damani Baker</v>
      </c>
      <c r="V4285" s="5" t="s">
        <v>2287</v>
      </c>
      <c r="W4285" s="5" t="str">
        <f t="shared" si="3"/>
        <v>Trey Parker</v>
      </c>
      <c r="X4285" s="5">
        <f t="shared" si="4"/>
        <v>1</v>
      </c>
      <c r="Y4285" s="5" t="str">
        <f>IFERROR(__xludf.DUMMYFUNCTION("REGEXEXTRACT(J4285, ""^\d+"")"),"90")</f>
        <v>90</v>
      </c>
      <c r="Z4285" s="5" t="str">
        <f>IFERROR(__xludf.DUMMYFUNCTION("REGEXEXTRACT(J4285, ""[A-Za-z ]+$"")")," min")</f>
        <v> min</v>
      </c>
      <c r="AA4285" s="5" t="str">
        <f>IFERROR(__xludf.DUMMYFUNCTION("IF(REGEXMATCH(Z4285, ""Season""), ""TV Show"", ""Movie"")"),"Movie")</f>
        <v>Movie</v>
      </c>
    </row>
    <row r="4286">
      <c r="A4286" s="1" t="s">
        <v>22925</v>
      </c>
      <c r="B4286" s="1" t="s">
        <v>37</v>
      </c>
      <c r="C4286" s="1" t="s">
        <v>22926</v>
      </c>
      <c r="D4286" s="1" t="s">
        <v>11168</v>
      </c>
      <c r="E4286" s="1" t="s">
        <v>22927</v>
      </c>
      <c r="F4286" s="1" t="s">
        <v>30</v>
      </c>
      <c r="G4286" s="1" t="s">
        <v>22928</v>
      </c>
      <c r="H4286" s="1">
        <v>2018.0</v>
      </c>
      <c r="I4286" s="1" t="s">
        <v>42</v>
      </c>
      <c r="J4286" s="1" t="s">
        <v>51</v>
      </c>
      <c r="K4286" s="1" t="s">
        <v>2512</v>
      </c>
      <c r="L4286" s="1" t="s">
        <v>22929</v>
      </c>
      <c r="M4286" s="2" t="s">
        <v>12</v>
      </c>
      <c r="N4286" s="4">
        <f t="shared" si="1"/>
        <v>43452</v>
      </c>
      <c r="O4286" s="5" t="str">
        <f>IFERROR(__xludf.DUMMYFUNCTION("IF(REGEXMATCH(TRIM(I4286), ""^\d+\s*min""), ""Unclassified"", IF(I4286 = """", ""NR"", I4286))"),"TV-MA")</f>
        <v>TV-MA</v>
      </c>
      <c r="R4286" s="5" t="str">
        <f t="shared" si="2"/>
        <v>Ellen Degeneres: Relatable</v>
      </c>
      <c r="S4286" s="5" t="str">
        <f>IFERROR(__xludf.DUMMYFUNCTION("""COMPUTED_VALUE"""),"Lunatics")</f>
        <v>Lunatics</v>
      </c>
      <c r="U4286" s="5" t="str">
        <f>IFERROR(__xludf.DUMMYFUNCTION("""COMPUTED_VALUE"""),"Rudradeep Bhattacharjee")</f>
        <v>Rudradeep Bhattacharjee</v>
      </c>
      <c r="V4286" s="5" t="s">
        <v>12050</v>
      </c>
      <c r="W4286" s="5" t="str">
        <f t="shared" si="3"/>
        <v>Trish Sie</v>
      </c>
      <c r="X4286" s="5">
        <f t="shared" si="4"/>
        <v>1</v>
      </c>
      <c r="Y4286" s="5" t="str">
        <f>IFERROR(__xludf.DUMMYFUNCTION("REGEXEXTRACT(J4286, ""^\d+"")"),"1")</f>
        <v>1</v>
      </c>
      <c r="Z4286" s="5" t="str">
        <f>IFERROR(__xludf.DUMMYFUNCTION("REGEXEXTRACT(J4286, ""[A-Za-z ]+$"")")," Season")</f>
        <v> Season</v>
      </c>
      <c r="AA4286" s="5" t="str">
        <f>IFERROR(__xludf.DUMMYFUNCTION("IF(REGEXMATCH(Z4286, ""Season""), ""TV Show"", ""Movie"")"),"TV Show")</f>
        <v>TV Show</v>
      </c>
    </row>
    <row r="4287">
      <c r="A4287" s="1" t="s">
        <v>22930</v>
      </c>
      <c r="B4287" s="1" t="s">
        <v>27</v>
      </c>
      <c r="C4287" s="1" t="s">
        <v>22931</v>
      </c>
      <c r="D4287" s="1" t="s">
        <v>18370</v>
      </c>
      <c r="E4287" s="1" t="s">
        <v>22932</v>
      </c>
      <c r="F4287" s="1" t="s">
        <v>63</v>
      </c>
      <c r="G4287" s="1" t="s">
        <v>22933</v>
      </c>
      <c r="H4287" s="1">
        <v>2018.0</v>
      </c>
      <c r="I4287" s="1" t="s">
        <v>42</v>
      </c>
      <c r="J4287" s="1" t="s">
        <v>471</v>
      </c>
      <c r="K4287" s="1" t="s">
        <v>89</v>
      </c>
      <c r="L4287" s="1" t="s">
        <v>22934</v>
      </c>
      <c r="M4287" s="2" t="s">
        <v>12</v>
      </c>
      <c r="N4287" s="4">
        <f t="shared" si="1"/>
        <v>43451</v>
      </c>
      <c r="O4287" s="5" t="str">
        <f>IFERROR(__xludf.DUMMYFUNCTION("IF(REGEXMATCH(TRIM(I4287), ""^\d+\s*min""), ""Unclassified"", IF(I4287 = """", ""NR"", I4287))"),"TV-MA")</f>
        <v>TV-MA</v>
      </c>
      <c r="R4287" s="5" t="str">
        <f t="shared" si="2"/>
        <v>Lilli</v>
      </c>
      <c r="S4287" s="5" t="str">
        <f>IFERROR(__xludf.DUMMYFUNCTION("""COMPUTED_VALUE"""),"Luo Bao Bei")</f>
        <v>Luo Bao Bei</v>
      </c>
      <c r="U4287" s="5" t="str">
        <f>IFERROR(__xludf.DUMMYFUNCTION("""COMPUTED_VALUE"""),"Rob W. King")</f>
        <v>Rob W. King</v>
      </c>
      <c r="V4287" s="5" t="s">
        <v>20661</v>
      </c>
      <c r="W4287" s="5" t="str">
        <f t="shared" si="3"/>
        <v>Trisha Ziff</v>
      </c>
      <c r="X4287" s="5">
        <f t="shared" si="4"/>
        <v>1</v>
      </c>
      <c r="Y4287" s="5" t="str">
        <f>IFERROR(__xludf.DUMMYFUNCTION("REGEXEXTRACT(J4287, ""^\d+"")"),"85")</f>
        <v>85</v>
      </c>
      <c r="Z4287" s="5" t="str">
        <f>IFERROR(__xludf.DUMMYFUNCTION("REGEXEXTRACT(J4287, ""[A-Za-z ]+$"")")," min")</f>
        <v> min</v>
      </c>
      <c r="AA4287" s="5" t="str">
        <f>IFERROR(__xludf.DUMMYFUNCTION("IF(REGEXMATCH(Z4287, ""Season""), ""TV Show"", ""Movie"")"),"Movie")</f>
        <v>Movie</v>
      </c>
    </row>
    <row r="4288">
      <c r="A4288" s="1" t="s">
        <v>22935</v>
      </c>
      <c r="B4288" s="1" t="s">
        <v>27</v>
      </c>
      <c r="C4288" s="1" t="s">
        <v>22936</v>
      </c>
      <c r="D4288" s="1" t="s">
        <v>11623</v>
      </c>
      <c r="E4288" s="1" t="s">
        <v>20675</v>
      </c>
      <c r="F4288" s="1" t="s">
        <v>30</v>
      </c>
      <c r="G4288" s="1" t="s">
        <v>22933</v>
      </c>
      <c r="H4288" s="1">
        <v>2018.0</v>
      </c>
      <c r="I4288" s="1" t="s">
        <v>506</v>
      </c>
      <c r="J4288" s="1" t="s">
        <v>5170</v>
      </c>
      <c r="K4288" s="1" t="s">
        <v>137</v>
      </c>
      <c r="L4288" s="1" t="s">
        <v>22937</v>
      </c>
      <c r="M4288" s="2" t="s">
        <v>12</v>
      </c>
      <c r="N4288" s="4">
        <f t="shared" si="1"/>
        <v>43451</v>
      </c>
      <c r="O4288" s="5" t="str">
        <f>IFERROR(__xludf.DUMMYFUNCTION("IF(REGEXMATCH(TRIM(I4288), ""^\d+\s*min""), ""Unclassified"", IF(I4288 = """", ""NR"", I4288))"),"TV-G")</f>
        <v>TV-G</v>
      </c>
      <c r="R4288" s="5" t="str">
        <f t="shared" si="2"/>
        <v>Prince Of Peoria: A Christmas Moose Miracle</v>
      </c>
      <c r="S4288" s="5" t="str">
        <f>IFERROR(__xludf.DUMMYFUNCTION("""COMPUTED_VALUE"""),"Lupin")</f>
        <v>Lupin</v>
      </c>
      <c r="U4288" s="5" t="str">
        <f>IFERROR(__xludf.DUMMYFUNCTION("""COMPUTED_VALUE"""),"Isaac Ezban")</f>
        <v>Isaac Ezban</v>
      </c>
      <c r="V4288" s="5" t="s">
        <v>22938</v>
      </c>
      <c r="W4288" s="5" t="str">
        <f t="shared" si="3"/>
        <v>Tristan Ferland Milewski</v>
      </c>
      <c r="X4288" s="5">
        <f t="shared" si="4"/>
        <v>1</v>
      </c>
      <c r="Y4288" s="5" t="str">
        <f>IFERROR(__xludf.DUMMYFUNCTION("REGEXEXTRACT(J4288, ""^\d+"")"),"29")</f>
        <v>29</v>
      </c>
      <c r="Z4288" s="5" t="str">
        <f>IFERROR(__xludf.DUMMYFUNCTION("REGEXEXTRACT(J4288, ""[A-Za-z ]+$"")")," min")</f>
        <v> min</v>
      </c>
      <c r="AA4288" s="5" t="str">
        <f>IFERROR(__xludf.DUMMYFUNCTION("IF(REGEXMATCH(Z4288, ""Season""), ""TV Show"", ""Movie"")"),"Movie")</f>
        <v>Movie</v>
      </c>
    </row>
    <row r="4289">
      <c r="A4289" s="1" t="s">
        <v>22939</v>
      </c>
      <c r="B4289" s="1" t="s">
        <v>27</v>
      </c>
      <c r="C4289" s="1" t="s">
        <v>22940</v>
      </c>
      <c r="D4289" s="1" t="s">
        <v>21419</v>
      </c>
      <c r="E4289" s="1" t="s">
        <v>22941</v>
      </c>
      <c r="F4289" s="1" t="s">
        <v>63</v>
      </c>
      <c r="G4289" s="1" t="s">
        <v>22942</v>
      </c>
      <c r="H4289" s="1">
        <v>2018.0</v>
      </c>
      <c r="I4289" s="1" t="s">
        <v>97</v>
      </c>
      <c r="J4289" s="1" t="s">
        <v>4242</v>
      </c>
      <c r="K4289" s="1" t="s">
        <v>583</v>
      </c>
      <c r="L4289" s="1" t="s">
        <v>22943</v>
      </c>
      <c r="M4289" s="2" t="s">
        <v>12</v>
      </c>
      <c r="N4289" s="4">
        <f t="shared" si="1"/>
        <v>43450</v>
      </c>
      <c r="O4289" s="5" t="str">
        <f>IFERROR(__xludf.DUMMYFUNCTION("IF(REGEXMATCH(TRIM(I4289), ""^\d+\s*min""), ""Unclassified"", IF(I4289 = """", ""NR"", I4289))"),"TV-14")</f>
        <v>TV-14</v>
      </c>
      <c r="R4289" s="5" t="str">
        <f t="shared" si="2"/>
        <v>Andhadhun</v>
      </c>
      <c r="S4289" s="5" t="str">
        <f>IFERROR(__xludf.DUMMYFUNCTION("""COMPUTED_VALUE"""),"Lupin The 3Rd: The Castle Of Cagliostro: Special Edition")</f>
        <v>Lupin The 3Rd: The Castle Of Cagliostro: Special Edition</v>
      </c>
      <c r="U4289" s="5" t="str">
        <f>IFERROR(__xludf.DUMMYFUNCTION("""COMPUTED_VALUE"""),"Philip Einstein Lipski, Jørgen Lerdam, Amalie Næsby Fick")</f>
        <v>Philip Einstein Lipski, Jørgen Lerdam, Amalie Næsby Fick</v>
      </c>
      <c r="V4289" s="5" t="s">
        <v>15868</v>
      </c>
      <c r="W4289" s="5" t="str">
        <f t="shared" si="3"/>
        <v>Trivikram Srinivas</v>
      </c>
      <c r="X4289" s="5">
        <f t="shared" si="4"/>
        <v>2</v>
      </c>
      <c r="Y4289" s="5" t="str">
        <f>IFERROR(__xludf.DUMMYFUNCTION("REGEXEXTRACT(J4289, ""^\d+"")"),"137")</f>
        <v>137</v>
      </c>
      <c r="Z4289" s="5" t="str">
        <f>IFERROR(__xludf.DUMMYFUNCTION("REGEXEXTRACT(J4289, ""[A-Za-z ]+$"")")," min")</f>
        <v> min</v>
      </c>
      <c r="AA4289" s="5" t="str">
        <f>IFERROR(__xludf.DUMMYFUNCTION("IF(REGEXMATCH(Z4289, ""Season""), ""TV Show"", ""Movie"")"),"Movie")</f>
        <v>Movie</v>
      </c>
    </row>
    <row r="4290">
      <c r="A4290" s="1" t="s">
        <v>22944</v>
      </c>
      <c r="B4290" s="1" t="s">
        <v>37</v>
      </c>
      <c r="C4290" s="1" t="s">
        <v>22945</v>
      </c>
      <c r="E4290" s="1" t="s">
        <v>22946</v>
      </c>
      <c r="F4290" s="1" t="s">
        <v>3892</v>
      </c>
      <c r="G4290" s="1" t="s">
        <v>22942</v>
      </c>
      <c r="H4290" s="1">
        <v>2018.0</v>
      </c>
      <c r="I4290" s="1" t="s">
        <v>97</v>
      </c>
      <c r="J4290" s="1" t="s">
        <v>51</v>
      </c>
      <c r="K4290" s="1" t="s">
        <v>64</v>
      </c>
      <c r="L4290" s="1" t="s">
        <v>22947</v>
      </c>
      <c r="M4290" s="2" t="s">
        <v>12</v>
      </c>
      <c r="N4290" s="4">
        <f t="shared" si="1"/>
        <v>43450</v>
      </c>
      <c r="O4290" s="5" t="str">
        <f>IFERROR(__xludf.DUMMYFUNCTION("IF(REGEXMATCH(TRIM(I4290), ""^\d+\s*min""), ""Unclassified"", IF(I4290 = """", ""NR"", I4290))"),"TV-14")</f>
        <v>TV-14</v>
      </c>
      <c r="R4290" s="5" t="str">
        <f t="shared" si="2"/>
        <v>Ashes Of Love</v>
      </c>
      <c r="S4290" s="5" t="str">
        <f>IFERROR(__xludf.DUMMYFUNCTION("""COMPUTED_VALUE"""),"Lupt")</f>
        <v>Lupt</v>
      </c>
      <c r="U4290" s="5" t="str">
        <f>IFERROR(__xludf.DUMMYFUNCTION("""COMPUTED_VALUE"""),"Frank Oz")</f>
        <v>Frank Oz</v>
      </c>
      <c r="V4290" s="5" t="s">
        <v>1111</v>
      </c>
      <c r="W4290" s="5" t="str">
        <f t="shared" si="3"/>
        <v>Troy Byer</v>
      </c>
      <c r="X4290" s="5">
        <f t="shared" si="4"/>
        <v>1</v>
      </c>
      <c r="Y4290" s="5" t="str">
        <f>IFERROR(__xludf.DUMMYFUNCTION("REGEXEXTRACT(J4290, ""^\d+"")"),"1")</f>
        <v>1</v>
      </c>
      <c r="Z4290" s="5" t="str">
        <f>IFERROR(__xludf.DUMMYFUNCTION("REGEXEXTRACT(J4290, ""[A-Za-z ]+$"")")," Season")</f>
        <v> Season</v>
      </c>
      <c r="AA4290" s="5" t="str">
        <f>IFERROR(__xludf.DUMMYFUNCTION("IF(REGEXMATCH(Z4290, ""Season""), ""TV Show"", ""Movie"")"),"TV Show")</f>
        <v>TV Show</v>
      </c>
    </row>
    <row r="4291">
      <c r="A4291" s="1" t="s">
        <v>22948</v>
      </c>
      <c r="B4291" s="1" t="s">
        <v>27</v>
      </c>
      <c r="C4291" s="1" t="s">
        <v>22949</v>
      </c>
      <c r="D4291" s="1" t="s">
        <v>6907</v>
      </c>
      <c r="E4291" s="1" t="s">
        <v>22950</v>
      </c>
      <c r="F4291" s="1" t="s">
        <v>30</v>
      </c>
      <c r="G4291" s="1" t="s">
        <v>22942</v>
      </c>
      <c r="H4291" s="1">
        <v>2014.0</v>
      </c>
      <c r="I4291" s="1" t="s">
        <v>136</v>
      </c>
      <c r="J4291" s="1" t="s">
        <v>10157</v>
      </c>
      <c r="K4291" s="1" t="s">
        <v>137</v>
      </c>
      <c r="L4291" s="1" t="s">
        <v>22951</v>
      </c>
      <c r="M4291" s="2" t="s">
        <v>12</v>
      </c>
      <c r="N4291" s="4">
        <f t="shared" si="1"/>
        <v>43450</v>
      </c>
      <c r="O4291" s="5" t="str">
        <f>IFERROR(__xludf.DUMMYFUNCTION("IF(REGEXMATCH(TRIM(I4291), ""^\d+\s*min""), ""Unclassified"", IF(I4291 = """", ""NR"", I4291))"),"TV-PG")</f>
        <v>TV-PG</v>
      </c>
      <c r="R4291" s="5" t="str">
        <f t="shared" si="2"/>
        <v>Dragons: Dawn Of The Dragon Racers</v>
      </c>
      <c r="S4291" s="5" t="str">
        <f>IFERROR(__xludf.DUMMYFUNCTION("""COMPUTED_VALUE"""),"Lusers")</f>
        <v>Lusers</v>
      </c>
      <c r="U4291" s="5" t="str">
        <f>IFERROR(__xludf.DUMMYFUNCTION("""COMPUTED_VALUE"""),"Femi Oyeniran, Kalvadour Peterson")</f>
        <v>Femi Oyeniran, Kalvadour Peterson</v>
      </c>
      <c r="V4291" s="5" t="s">
        <v>7037</v>
      </c>
      <c r="W4291" s="5" t="str">
        <f t="shared" si="3"/>
        <v>Troy Miller</v>
      </c>
      <c r="X4291" s="5">
        <f t="shared" si="4"/>
        <v>8</v>
      </c>
      <c r="Y4291" s="5" t="str">
        <f>IFERROR(__xludf.DUMMYFUNCTION("REGEXEXTRACT(J4291, ""^\d+"")"),"27")</f>
        <v>27</v>
      </c>
      <c r="Z4291" s="5" t="str">
        <f>IFERROR(__xludf.DUMMYFUNCTION("REGEXEXTRACT(J4291, ""[A-Za-z ]+$"")")," min")</f>
        <v> min</v>
      </c>
      <c r="AA4291" s="5" t="str">
        <f>IFERROR(__xludf.DUMMYFUNCTION("IF(REGEXMATCH(Z4291, ""Season""), ""TV Show"", ""Movie"")"),"Movie")</f>
        <v>Movie</v>
      </c>
    </row>
    <row r="4292">
      <c r="A4292" s="1" t="s">
        <v>22952</v>
      </c>
      <c r="B4292" s="1" t="s">
        <v>37</v>
      </c>
      <c r="C4292" s="1" t="s">
        <v>22953</v>
      </c>
      <c r="E4292" s="1" t="s">
        <v>22954</v>
      </c>
      <c r="F4292" s="1" t="s">
        <v>30</v>
      </c>
      <c r="G4292" s="1" t="s">
        <v>22942</v>
      </c>
      <c r="H4292" s="1">
        <v>2011.0</v>
      </c>
      <c r="I4292" s="1" t="s">
        <v>136</v>
      </c>
      <c r="J4292" s="1" t="s">
        <v>51</v>
      </c>
      <c r="K4292" s="1" t="s">
        <v>314</v>
      </c>
      <c r="L4292" s="1" t="s">
        <v>22955</v>
      </c>
      <c r="M4292" s="2" t="s">
        <v>12</v>
      </c>
      <c r="N4292" s="4">
        <f t="shared" si="1"/>
        <v>43450</v>
      </c>
      <c r="O4292" s="5" t="str">
        <f>IFERROR(__xludf.DUMMYFUNCTION("IF(REGEXMATCH(TRIM(I4292), ""^\d+\s*min""), ""Unclassified"", IF(I4292 = """", ""NR"", I4292))"),"TV-PG")</f>
        <v>TV-PG</v>
      </c>
      <c r="R4292" s="5" t="str">
        <f t="shared" si="2"/>
        <v>Dreamworks Holiday Classics</v>
      </c>
      <c r="S4292" s="5" t="str">
        <f>IFERROR(__xludf.DUMMYFUNCTION("""COMPUTED_VALUE"""),"Lust Stories")</f>
        <v>Lust Stories</v>
      </c>
      <c r="U4292" s="5" t="str">
        <f>IFERROR(__xludf.DUMMYFUNCTION("""COMPUTED_VALUE"""),"Femi Oyeniran, Nicky Slimting Walker")</f>
        <v>Femi Oyeniran, Nicky Slimting Walker</v>
      </c>
      <c r="V4292" s="5" t="s">
        <v>22956</v>
      </c>
      <c r="W4292" s="5" t="str">
        <f t="shared" si="3"/>
        <v>Troy Nixey</v>
      </c>
      <c r="X4292" s="5">
        <f t="shared" si="4"/>
        <v>1</v>
      </c>
      <c r="Y4292" s="5" t="str">
        <f>IFERROR(__xludf.DUMMYFUNCTION("REGEXEXTRACT(J4292, ""^\d+"")"),"1")</f>
        <v>1</v>
      </c>
      <c r="Z4292" s="5" t="str">
        <f>IFERROR(__xludf.DUMMYFUNCTION("REGEXEXTRACT(J4292, ""[A-Za-z ]+$"")")," Season")</f>
        <v> Season</v>
      </c>
      <c r="AA4292" s="5" t="str">
        <f>IFERROR(__xludf.DUMMYFUNCTION("IF(REGEXMATCH(Z4292, ""Season""), ""TV Show"", ""Movie"")"),"TV Show")</f>
        <v>TV Show</v>
      </c>
    </row>
    <row r="4293">
      <c r="A4293" s="1" t="s">
        <v>22957</v>
      </c>
      <c r="B4293" s="1" t="s">
        <v>27</v>
      </c>
      <c r="C4293" s="1" t="s">
        <v>22958</v>
      </c>
      <c r="D4293" s="1" t="s">
        <v>15587</v>
      </c>
      <c r="E4293" s="1" t="s">
        <v>22959</v>
      </c>
      <c r="F4293" s="1" t="s">
        <v>30</v>
      </c>
      <c r="G4293" s="1" t="s">
        <v>22942</v>
      </c>
      <c r="H4293" s="1">
        <v>2014.0</v>
      </c>
      <c r="I4293" s="1" t="s">
        <v>378</v>
      </c>
      <c r="J4293" s="1" t="s">
        <v>1243</v>
      </c>
      <c r="K4293" s="1" t="s">
        <v>394</v>
      </c>
      <c r="L4293" s="1" t="s">
        <v>22960</v>
      </c>
      <c r="M4293" s="2" t="s">
        <v>12</v>
      </c>
      <c r="N4293" s="4">
        <f t="shared" si="1"/>
        <v>43450</v>
      </c>
      <c r="O4293" s="5" t="str">
        <f>IFERROR(__xludf.DUMMYFUNCTION("IF(REGEXMATCH(TRIM(I4293), ""^\d+\s*min""), ""Unclassified"", IF(I4293 = """", ""NR"", I4293))"),"R")</f>
        <v>R</v>
      </c>
      <c r="R4293" s="5" t="str">
        <f t="shared" si="2"/>
        <v>Kill The Messenger</v>
      </c>
      <c r="S4293" s="5" t="str">
        <f>IFERROR(__xludf.DUMMYFUNCTION("""COMPUTED_VALUE"""),"Luv Kushh")</f>
        <v>Luv Kushh</v>
      </c>
      <c r="U4293" s="5" t="str">
        <f>IFERROR(__xludf.DUMMYFUNCTION("""COMPUTED_VALUE"""),"Ricky Gervais, Matthew Robinson")</f>
        <v>Ricky Gervais, Matthew Robinson</v>
      </c>
      <c r="V4293" s="5" t="s">
        <v>22961</v>
      </c>
      <c r="W4293" s="5" t="str">
        <f t="shared" si="3"/>
        <v>Trudie Styler</v>
      </c>
      <c r="X4293" s="5">
        <f t="shared" si="4"/>
        <v>1</v>
      </c>
      <c r="Y4293" s="5" t="str">
        <f>IFERROR(__xludf.DUMMYFUNCTION("REGEXEXTRACT(J4293, ""^\d+"")"),"112")</f>
        <v>112</v>
      </c>
      <c r="Z4293" s="5" t="str">
        <f>IFERROR(__xludf.DUMMYFUNCTION("REGEXEXTRACT(J4293, ""[A-Za-z ]+$"")")," min")</f>
        <v> min</v>
      </c>
      <c r="AA4293" s="5" t="str">
        <f>IFERROR(__xludf.DUMMYFUNCTION("IF(REGEXMATCH(Z4293, ""Season""), ""TV Show"", ""Movie"")"),"Movie")</f>
        <v>Movie</v>
      </c>
    </row>
    <row r="4294">
      <c r="A4294" s="1" t="s">
        <v>22962</v>
      </c>
      <c r="B4294" s="1" t="s">
        <v>27</v>
      </c>
      <c r="C4294" s="1" t="s">
        <v>22963</v>
      </c>
      <c r="D4294" s="1" t="s">
        <v>5872</v>
      </c>
      <c r="E4294" s="1" t="s">
        <v>22964</v>
      </c>
      <c r="F4294" s="1" t="s">
        <v>22965</v>
      </c>
      <c r="G4294" s="1" t="s">
        <v>22942</v>
      </c>
      <c r="H4294" s="1">
        <v>2014.0</v>
      </c>
      <c r="I4294" s="1" t="s">
        <v>378</v>
      </c>
      <c r="J4294" s="1" t="s">
        <v>1243</v>
      </c>
      <c r="K4294" s="1" t="s">
        <v>107</v>
      </c>
      <c r="L4294" s="1" t="s">
        <v>22966</v>
      </c>
      <c r="M4294" s="2" t="s">
        <v>12</v>
      </c>
      <c r="N4294" s="4">
        <f t="shared" si="1"/>
        <v>43450</v>
      </c>
      <c r="O4294" s="5" t="str">
        <f>IFERROR(__xludf.DUMMYFUNCTION("IF(REGEXMATCH(TRIM(I4294), ""^\d+\s*min""), ""Unclassified"", IF(I4294 = """", ""NR"", I4294))"),"R")</f>
        <v>R</v>
      </c>
      <c r="R4294" s="5" t="str">
        <f t="shared" si="2"/>
        <v>Maps To The Stars</v>
      </c>
      <c r="S4294" s="5" t="str">
        <f>IFERROR(__xludf.DUMMYFUNCTION("""COMPUTED_VALUE"""),"Luv Shuv Tey Chicken Khurana")</f>
        <v>Luv Shuv Tey Chicken Khurana</v>
      </c>
      <c r="U4294" s="5" t="str">
        <f>IFERROR(__xludf.DUMMYFUNCTION("""COMPUTED_VALUE"""),"Phyllida Lloyd")</f>
        <v>Phyllida Lloyd</v>
      </c>
      <c r="V4294" s="5" t="s">
        <v>17390</v>
      </c>
      <c r="W4294" s="5" t="str">
        <f t="shared" si="3"/>
        <v>Tsutomu Mizushima</v>
      </c>
      <c r="X4294" s="5">
        <f t="shared" si="4"/>
        <v>2</v>
      </c>
      <c r="Y4294" s="5" t="str">
        <f>IFERROR(__xludf.DUMMYFUNCTION("REGEXEXTRACT(J4294, ""^\d+"")"),"112")</f>
        <v>112</v>
      </c>
      <c r="Z4294" s="5" t="str">
        <f>IFERROR(__xludf.DUMMYFUNCTION("REGEXEXTRACT(J4294, ""[A-Za-z ]+$"")")," min")</f>
        <v> min</v>
      </c>
      <c r="AA4294" s="5" t="str">
        <f>IFERROR(__xludf.DUMMYFUNCTION("IF(REGEXMATCH(Z4294, ""Season""), ""TV Show"", ""Movie"")"),"Movie")</f>
        <v>Movie</v>
      </c>
    </row>
    <row r="4295">
      <c r="A4295" s="1" t="s">
        <v>22967</v>
      </c>
      <c r="B4295" s="1" t="s">
        <v>27</v>
      </c>
      <c r="C4295" s="1" t="s">
        <v>22968</v>
      </c>
      <c r="D4295" s="1" t="s">
        <v>22419</v>
      </c>
      <c r="E4295" s="1" t="s">
        <v>22969</v>
      </c>
      <c r="F4295" s="1" t="s">
        <v>30</v>
      </c>
      <c r="G4295" s="1" t="s">
        <v>22942</v>
      </c>
      <c r="H4295" s="1">
        <v>2018.0</v>
      </c>
      <c r="I4295" s="1" t="s">
        <v>42</v>
      </c>
      <c r="J4295" s="1" t="s">
        <v>22970</v>
      </c>
      <c r="K4295" s="1" t="s">
        <v>8833</v>
      </c>
      <c r="L4295" s="1" t="s">
        <v>22971</v>
      </c>
      <c r="M4295" s="2" t="s">
        <v>12</v>
      </c>
      <c r="N4295" s="4">
        <f t="shared" si="1"/>
        <v>43450</v>
      </c>
      <c r="O4295" s="5" t="str">
        <f>IFERROR(__xludf.DUMMYFUNCTION("IF(REGEXMATCH(TRIM(I4295), ""^\d+\s*min""), ""Unclassified"", IF(I4295 = """", ""NR"", I4295))"),"TV-MA")</f>
        <v>TV-MA</v>
      </c>
      <c r="R4295" s="5" t="str">
        <f t="shared" si="2"/>
        <v>Springsteen On Broadway</v>
      </c>
      <c r="S4295" s="5" t="str">
        <f>IFERROR(__xludf.DUMMYFUNCTION("""COMPUTED_VALUE"""),"Lying And Stealing")</f>
        <v>Lying And Stealing</v>
      </c>
      <c r="U4295" s="5" t="str">
        <f>IFERROR(__xludf.DUMMYFUNCTION("""COMPUTED_VALUE"""),"Benjamin Cohen, Nicolas Cotto")</f>
        <v>Benjamin Cohen, Nicolas Cotto</v>
      </c>
      <c r="V4295" s="5" t="s">
        <v>22972</v>
      </c>
      <c r="W4295" s="5" t="str">
        <f t="shared" si="3"/>
        <v>Tt The Artist</v>
      </c>
      <c r="X4295" s="5">
        <f t="shared" si="4"/>
        <v>1</v>
      </c>
      <c r="Y4295" s="5" t="str">
        <f>IFERROR(__xludf.DUMMYFUNCTION("REGEXEXTRACT(J4295, ""^\d+"")"),"153")</f>
        <v>153</v>
      </c>
      <c r="Z4295" s="5" t="str">
        <f>IFERROR(__xludf.DUMMYFUNCTION("REGEXEXTRACT(J4295, ""[A-Za-z ]+$"")")," min")</f>
        <v> min</v>
      </c>
      <c r="AA4295" s="5" t="str">
        <f>IFERROR(__xludf.DUMMYFUNCTION("IF(REGEXMATCH(Z4295, ""Season""), ""TV Show"", ""Movie"")"),"Movie")</f>
        <v>Movie</v>
      </c>
    </row>
    <row r="4296">
      <c r="A4296" s="1" t="s">
        <v>22973</v>
      </c>
      <c r="B4296" s="1" t="s">
        <v>27</v>
      </c>
      <c r="C4296" s="1" t="s">
        <v>22974</v>
      </c>
      <c r="D4296" s="1" t="s">
        <v>10042</v>
      </c>
      <c r="E4296" s="1" t="s">
        <v>22975</v>
      </c>
      <c r="F4296" s="1" t="s">
        <v>22976</v>
      </c>
      <c r="G4296" s="1" t="s">
        <v>22942</v>
      </c>
      <c r="H4296" s="1">
        <v>2014.0</v>
      </c>
      <c r="I4296" s="1" t="s">
        <v>32</v>
      </c>
      <c r="J4296" s="1" t="s">
        <v>2566</v>
      </c>
      <c r="K4296" s="1" t="s">
        <v>828</v>
      </c>
      <c r="L4296" s="1" t="s">
        <v>22977</v>
      </c>
      <c r="M4296" s="2" t="s">
        <v>12</v>
      </c>
      <c r="N4296" s="4">
        <f t="shared" si="1"/>
        <v>43450</v>
      </c>
      <c r="O4296" s="5" t="str">
        <f>IFERROR(__xludf.DUMMYFUNCTION("IF(REGEXMATCH(TRIM(I4296), ""^\d+\s*min""), ""Unclassified"", IF(I4296 = """", ""NR"", I4296))"),"PG-13")</f>
        <v>PG-13</v>
      </c>
      <c r="R4296" s="5" t="str">
        <f t="shared" si="2"/>
        <v>The Theory Of Everything</v>
      </c>
      <c r="S4296" s="5" t="str">
        <f>IFERROR(__xludf.DUMMYFUNCTION("""COMPUTED_VALUE"""),"Lynne Koplitz: Hormonal Beast")</f>
        <v>Lynne Koplitz: Hormonal Beast</v>
      </c>
      <c r="U4296" s="5" t="str">
        <f>IFERROR(__xludf.DUMMYFUNCTION("""COMPUTED_VALUE"""),"Robin Swicord")</f>
        <v>Robin Swicord</v>
      </c>
      <c r="V4296" s="5" t="s">
        <v>17717</v>
      </c>
      <c r="W4296" s="5" t="str">
        <f t="shared" si="3"/>
        <v>Tudor Giurgiu</v>
      </c>
      <c r="X4296" s="5">
        <f t="shared" si="4"/>
        <v>1</v>
      </c>
      <c r="Y4296" s="5" t="str">
        <f>IFERROR(__xludf.DUMMYFUNCTION("REGEXEXTRACT(J4296, ""^\d+"")"),"123")</f>
        <v>123</v>
      </c>
      <c r="Z4296" s="5" t="str">
        <f>IFERROR(__xludf.DUMMYFUNCTION("REGEXEXTRACT(J4296, ""[A-Za-z ]+$"")")," min")</f>
        <v> min</v>
      </c>
      <c r="AA4296" s="5" t="str">
        <f>IFERROR(__xludf.DUMMYFUNCTION("IF(REGEXMATCH(Z4296, ""Season""), ""TV Show"", ""Movie"")"),"Movie")</f>
        <v>Movie</v>
      </c>
    </row>
    <row r="4297">
      <c r="A4297" s="1" t="s">
        <v>22978</v>
      </c>
      <c r="B4297" s="1" t="s">
        <v>27</v>
      </c>
      <c r="C4297" s="1" t="s">
        <v>22979</v>
      </c>
      <c r="D4297" s="1" t="s">
        <v>20694</v>
      </c>
      <c r="E4297" s="1" t="s">
        <v>22980</v>
      </c>
      <c r="F4297" s="1" t="s">
        <v>30</v>
      </c>
      <c r="G4297" s="1" t="s">
        <v>22981</v>
      </c>
      <c r="H4297" s="1">
        <v>2018.0</v>
      </c>
      <c r="I4297" s="1" t="s">
        <v>136</v>
      </c>
      <c r="J4297" s="1" t="s">
        <v>33</v>
      </c>
      <c r="K4297" s="1" t="s">
        <v>8035</v>
      </c>
      <c r="L4297" s="1" t="s">
        <v>22982</v>
      </c>
      <c r="M4297" s="2" t="s">
        <v>12</v>
      </c>
      <c r="N4297" s="4">
        <f t="shared" si="1"/>
        <v>43449</v>
      </c>
      <c r="O4297" s="5" t="str">
        <f>IFERROR(__xludf.DUMMYFUNCTION("IF(REGEXMATCH(TRIM(I4297), ""^\d+\s*min""), ""Unclassified"", IF(I4297 = """", ""NR"", I4297))"),"TV-PG")</f>
        <v>TV-PG</v>
      </c>
      <c r="R4297" s="5" t="str">
        <f t="shared" si="2"/>
        <v>F.R.E.D.I.</v>
      </c>
      <c r="S4297" s="5" t="str">
        <f>IFERROR(__xludf.DUMMYFUNCTION("""COMPUTED_VALUE"""),"M8 - When Death Rescues Life")</f>
        <v>M8 - When Death Rescues Life</v>
      </c>
      <c r="U4297" s="5" t="str">
        <f>IFERROR(__xludf.DUMMYFUNCTION("""COMPUTED_VALUE"""),"Karen Moncrieff")</f>
        <v>Karen Moncrieff</v>
      </c>
      <c r="V4297" s="5" t="s">
        <v>18936</v>
      </c>
      <c r="W4297" s="5" t="str">
        <f t="shared" si="3"/>
        <v>Tugçe Soysop</v>
      </c>
      <c r="X4297" s="5">
        <f t="shared" si="4"/>
        <v>1</v>
      </c>
      <c r="Y4297" s="5" t="str">
        <f>IFERROR(__xludf.DUMMYFUNCTION("REGEXEXTRACT(J4297, ""^\d+"")"),"90")</f>
        <v>90</v>
      </c>
      <c r="Z4297" s="5" t="str">
        <f>IFERROR(__xludf.DUMMYFUNCTION("REGEXEXTRACT(J4297, ""[A-Za-z ]+$"")")," min")</f>
        <v> min</v>
      </c>
      <c r="AA4297" s="5" t="str">
        <f>IFERROR(__xludf.DUMMYFUNCTION("IF(REGEXMATCH(Z4297, ""Season""), ""TV Show"", ""Movie"")"),"Movie")</f>
        <v>Movie</v>
      </c>
    </row>
    <row r="4298">
      <c r="A4298" s="1" t="s">
        <v>22983</v>
      </c>
      <c r="B4298" s="1" t="s">
        <v>37</v>
      </c>
      <c r="C4298" s="1" t="s">
        <v>22984</v>
      </c>
      <c r="E4298" s="1" t="s">
        <v>22985</v>
      </c>
      <c r="F4298" s="1" t="s">
        <v>96</v>
      </c>
      <c r="G4298" s="1" t="s">
        <v>22981</v>
      </c>
      <c r="H4298" s="1">
        <v>2018.0</v>
      </c>
      <c r="I4298" s="1" t="s">
        <v>42</v>
      </c>
      <c r="J4298" s="1" t="s">
        <v>43</v>
      </c>
      <c r="K4298" s="1" t="s">
        <v>277</v>
      </c>
      <c r="L4298" s="1" t="s">
        <v>22986</v>
      </c>
      <c r="M4298" s="2" t="s">
        <v>12</v>
      </c>
      <c r="N4298" s="4">
        <f t="shared" si="1"/>
        <v>43449</v>
      </c>
      <c r="O4298" s="5" t="str">
        <f>IFERROR(__xludf.DUMMYFUNCTION("IF(REGEXMATCH(TRIM(I4298), ""^\d+\s*min""), ""Unclassified"", IF(I4298 = """", ""NR"", I4298))"),"TV-MA")</f>
        <v>TV-MA</v>
      </c>
      <c r="R4298" s="5" t="str">
        <f t="shared" si="2"/>
        <v>Flowers</v>
      </c>
      <c r="S4298" s="5" t="str">
        <f>IFERROR(__xludf.DUMMYFUNCTION("""COMPUTED_VALUE"""),"Ma Chu Ka")</f>
        <v>Ma Chu Ka</v>
      </c>
      <c r="U4298" s="5" t="str">
        <f>IFERROR(__xludf.DUMMYFUNCTION("""COMPUTED_VALUE"""),"Alejandro Agresti")</f>
        <v>Alejandro Agresti</v>
      </c>
      <c r="V4298" s="5" t="s">
        <v>369</v>
      </c>
      <c r="W4298" s="5" t="str">
        <f t="shared" si="3"/>
        <v>Tyler Greco</v>
      </c>
      <c r="X4298" s="5">
        <f t="shared" si="4"/>
        <v>1</v>
      </c>
      <c r="Y4298" s="5" t="str">
        <f>IFERROR(__xludf.DUMMYFUNCTION("REGEXEXTRACT(J4298, ""^\d+"")"),"2")</f>
        <v>2</v>
      </c>
      <c r="Z4298" s="5" t="str">
        <f>IFERROR(__xludf.DUMMYFUNCTION("REGEXEXTRACT(J4298, ""[A-Za-z ]+$"")")," Seasons")</f>
        <v> Seasons</v>
      </c>
      <c r="AA4298" s="5" t="str">
        <f>IFERROR(__xludf.DUMMYFUNCTION("IF(REGEXMATCH(Z4298, ""Season""), ""TV Show"", ""Movie"")"),"TV Show")</f>
        <v>TV Show</v>
      </c>
    </row>
    <row r="4299">
      <c r="A4299" s="1" t="s">
        <v>22987</v>
      </c>
      <c r="B4299" s="1" t="s">
        <v>27</v>
      </c>
      <c r="C4299" s="1" t="s">
        <v>22988</v>
      </c>
      <c r="D4299" s="1" t="s">
        <v>21200</v>
      </c>
      <c r="E4299" s="1" t="s">
        <v>22989</v>
      </c>
      <c r="F4299" s="1" t="s">
        <v>4287</v>
      </c>
      <c r="G4299" s="1" t="s">
        <v>22981</v>
      </c>
      <c r="H4299" s="1">
        <v>2017.0</v>
      </c>
      <c r="I4299" s="1" t="s">
        <v>97</v>
      </c>
      <c r="J4299" s="1" t="s">
        <v>1608</v>
      </c>
      <c r="K4299" s="1" t="s">
        <v>583</v>
      </c>
      <c r="L4299" s="1" t="s">
        <v>22990</v>
      </c>
      <c r="M4299" s="2" t="s">
        <v>12</v>
      </c>
      <c r="N4299" s="4">
        <f t="shared" si="1"/>
        <v>43449</v>
      </c>
      <c r="O4299" s="5" t="str">
        <f>IFERROR(__xludf.DUMMYFUNCTION("IF(REGEXMATCH(TRIM(I4299), ""^\d+\s*min""), ""Unclassified"", IF(I4299 = """", ""NR"", I4299))"),"TV-14")</f>
        <v>TV-14</v>
      </c>
      <c r="R4299" s="5" t="str">
        <f t="shared" si="2"/>
        <v>Kita Kita</v>
      </c>
      <c r="S4299" s="5" t="str">
        <f>IFERROR(__xludf.DUMMYFUNCTION("""COMPUTED_VALUE"""),"Ma Rainey'S Black Bottom")</f>
        <v>Ma Rainey'S Black Bottom</v>
      </c>
      <c r="U4299" s="5" t="str">
        <f>IFERROR(__xludf.DUMMYFUNCTION("""COMPUTED_VALUE"""),"Timothy Reckart")</f>
        <v>Timothy Reckart</v>
      </c>
      <c r="V4299" s="5" t="s">
        <v>16724</v>
      </c>
      <c r="W4299" s="5" t="str">
        <f t="shared" si="3"/>
        <v>Tyler Perry</v>
      </c>
      <c r="X4299" s="5">
        <f t="shared" si="4"/>
        <v>2</v>
      </c>
      <c r="Y4299" s="5" t="str">
        <f>IFERROR(__xludf.DUMMYFUNCTION("REGEXEXTRACT(J4299, ""^\d+"")"),"84")</f>
        <v>84</v>
      </c>
      <c r="Z4299" s="5" t="str">
        <f>IFERROR(__xludf.DUMMYFUNCTION("REGEXEXTRACT(J4299, ""[A-Za-z ]+$"")")," min")</f>
        <v> min</v>
      </c>
      <c r="AA4299" s="5" t="str">
        <f>IFERROR(__xludf.DUMMYFUNCTION("IF(REGEXMATCH(Z4299, ""Season""), ""TV Show"", ""Movie"")"),"Movie")</f>
        <v>Movie</v>
      </c>
    </row>
    <row r="4300">
      <c r="A4300" s="1" t="s">
        <v>22991</v>
      </c>
      <c r="B4300" s="1" t="s">
        <v>27</v>
      </c>
      <c r="C4300" s="1" t="s">
        <v>22992</v>
      </c>
      <c r="F4300" s="1" t="s">
        <v>30</v>
      </c>
      <c r="G4300" s="1" t="s">
        <v>22981</v>
      </c>
      <c r="H4300" s="1">
        <v>2018.0</v>
      </c>
      <c r="I4300" s="1" t="s">
        <v>42</v>
      </c>
      <c r="J4300" s="1" t="s">
        <v>1737</v>
      </c>
      <c r="K4300" s="1" t="s">
        <v>700</v>
      </c>
      <c r="L4300" s="1" t="s">
        <v>22993</v>
      </c>
      <c r="M4300" s="2" t="s">
        <v>12</v>
      </c>
      <c r="N4300" s="4">
        <f t="shared" si="1"/>
        <v>43449</v>
      </c>
      <c r="O4300" s="5" t="str">
        <f>IFERROR(__xludf.DUMMYFUNCTION("IF(REGEXMATCH(TRIM(I4300), ""^\d+\s*min""), ""Unclassified"", IF(I4300 = """", ""NR"", I4300))"),"TV-MA")</f>
        <v>TV-MA</v>
      </c>
      <c r="R4300" s="5" t="str">
        <f t="shared" si="2"/>
        <v>Once In A Lifetime Sessions With George Ezra</v>
      </c>
      <c r="S4300" s="5" t="str">
        <f>IFERROR(__xludf.DUMMYFUNCTION("""COMPUTED_VALUE"""),"Ma Rainey'S Black Bottom: A Legacy Brought To Screen")</f>
        <v>Ma Rainey'S Black Bottom: A Legacy Brought To Screen</v>
      </c>
      <c r="U4300" s="5" t="str">
        <f>IFERROR(__xludf.DUMMYFUNCTION("""COMPUTED_VALUE"""),"Pieter-Jan De Pue")</f>
        <v>Pieter-Jan De Pue</v>
      </c>
      <c r="V4300" s="5" t="s">
        <v>12232</v>
      </c>
      <c r="W4300" s="5" t="str">
        <f t="shared" si="3"/>
        <v>Tyler Spindel</v>
      </c>
      <c r="X4300" s="5">
        <f t="shared" si="4"/>
        <v>2</v>
      </c>
      <c r="Y4300" s="5" t="str">
        <f>IFERROR(__xludf.DUMMYFUNCTION("REGEXEXTRACT(J4300, ""^\d+"")"),"78")</f>
        <v>78</v>
      </c>
      <c r="Z4300" s="5" t="str">
        <f>IFERROR(__xludf.DUMMYFUNCTION("REGEXEXTRACT(J4300, ""[A-Za-z ]+$"")")," min")</f>
        <v> min</v>
      </c>
      <c r="AA4300" s="5" t="str">
        <f>IFERROR(__xludf.DUMMYFUNCTION("IF(REGEXMATCH(Z4300, ""Season""), ""TV Show"", ""Movie"")"),"Movie")</f>
        <v>Movie</v>
      </c>
    </row>
    <row r="4301">
      <c r="A4301" s="1" t="s">
        <v>22994</v>
      </c>
      <c r="B4301" s="1" t="s">
        <v>27</v>
      </c>
      <c r="C4301" s="1" t="s">
        <v>22995</v>
      </c>
      <c r="D4301" s="1" t="s">
        <v>15204</v>
      </c>
      <c r="E4301" s="1" t="s">
        <v>22996</v>
      </c>
      <c r="F4301" s="1" t="s">
        <v>30</v>
      </c>
      <c r="G4301" s="1" t="s">
        <v>22981</v>
      </c>
      <c r="H4301" s="1">
        <v>2018.0</v>
      </c>
      <c r="I4301" s="1" t="s">
        <v>42</v>
      </c>
      <c r="J4301" s="1" t="s">
        <v>6391</v>
      </c>
      <c r="K4301" s="1" t="s">
        <v>700</v>
      </c>
      <c r="L4301" s="1" t="s">
        <v>22997</v>
      </c>
      <c r="M4301" s="2" t="s">
        <v>12</v>
      </c>
      <c r="N4301" s="4">
        <f t="shared" si="1"/>
        <v>43449</v>
      </c>
      <c r="O4301" s="5" t="str">
        <f>IFERROR(__xludf.DUMMYFUNCTION("IF(REGEXMATCH(TRIM(I4301), ""^\d+\s*min""), ""Unclassified"", IF(I4301 = """", ""NR"", I4301))"),"TV-MA")</f>
        <v>TV-MA</v>
      </c>
      <c r="R4301" s="5" t="str">
        <f t="shared" si="2"/>
        <v>Once In A Lifetime Sessions With Kasabian</v>
      </c>
      <c r="S4301" s="5" t="str">
        <f>IFERROR(__xludf.DUMMYFUNCTION("""COMPUTED_VALUE"""),"Maacher Jhol")</f>
        <v>Maacher Jhol</v>
      </c>
      <c r="U4301" s="5" t="str">
        <f>IFERROR(__xludf.DUMMYFUNCTION("""COMPUTED_VALUE"""),"Gillian Armstrong")</f>
        <v>Gillian Armstrong</v>
      </c>
      <c r="V4301" s="5" t="s">
        <v>18743</v>
      </c>
      <c r="W4301" s="5" t="str">
        <f t="shared" si="3"/>
        <v>Udai Singh Pawar</v>
      </c>
      <c r="X4301" s="5">
        <f t="shared" si="4"/>
        <v>1</v>
      </c>
      <c r="Y4301" s="5" t="str">
        <f>IFERROR(__xludf.DUMMYFUNCTION("REGEXEXTRACT(J4301, ""^\d+"")"),"79")</f>
        <v>79</v>
      </c>
      <c r="Z4301" s="5" t="str">
        <f>IFERROR(__xludf.DUMMYFUNCTION("REGEXEXTRACT(J4301, ""[A-Za-z ]+$"")")," min")</f>
        <v> min</v>
      </c>
      <c r="AA4301" s="5" t="str">
        <f>IFERROR(__xludf.DUMMYFUNCTION("IF(REGEXMATCH(Z4301, ""Season""), ""TV Show"", ""Movie"")"),"Movie")</f>
        <v>Movie</v>
      </c>
    </row>
    <row r="4302">
      <c r="A4302" s="1" t="s">
        <v>22998</v>
      </c>
      <c r="B4302" s="1" t="s">
        <v>27</v>
      </c>
      <c r="C4302" s="1" t="s">
        <v>22999</v>
      </c>
      <c r="F4302" s="1" t="s">
        <v>30</v>
      </c>
      <c r="G4302" s="1" t="s">
        <v>22981</v>
      </c>
      <c r="H4302" s="1">
        <v>2018.0</v>
      </c>
      <c r="I4302" s="1" t="s">
        <v>136</v>
      </c>
      <c r="J4302" s="1" t="s">
        <v>5120</v>
      </c>
      <c r="K4302" s="1" t="s">
        <v>700</v>
      </c>
      <c r="L4302" s="1" t="s">
        <v>23000</v>
      </c>
      <c r="M4302" s="2" t="s">
        <v>12</v>
      </c>
      <c r="N4302" s="4">
        <f t="shared" si="1"/>
        <v>43449</v>
      </c>
      <c r="O4302" s="5" t="str">
        <f>IFERROR(__xludf.DUMMYFUNCTION("IF(REGEXMATCH(TRIM(I4302), ""^\d+\s*min""), ""Unclassified"", IF(I4302 = """", ""NR"", I4302))"),"TV-PG")</f>
        <v>TV-PG</v>
      </c>
      <c r="R4302" s="5" t="str">
        <f t="shared" si="2"/>
        <v>Once In A Lifetime Sessions With Onerepublic</v>
      </c>
      <c r="S4302" s="5" t="str">
        <f>IFERROR(__xludf.DUMMYFUNCTION("""COMPUTED_VALUE"""),"Mac &amp; Devin Go To High School")</f>
        <v>Mac &amp; Devin Go To High School</v>
      </c>
      <c r="U4302" s="5" t="str">
        <f>IFERROR(__xludf.DUMMYFUNCTION("""COMPUTED_VALUE"""),"Mark Craig")</f>
        <v>Mark Craig</v>
      </c>
      <c r="V4302" s="5" t="s">
        <v>3188</v>
      </c>
      <c r="W4302" s="5" t="str">
        <f t="shared" si="3"/>
        <v>Udoka Oyeka</v>
      </c>
      <c r="X4302" s="5">
        <f t="shared" si="4"/>
        <v>1</v>
      </c>
      <c r="Y4302" s="5" t="str">
        <f>IFERROR(__xludf.DUMMYFUNCTION("REGEXEXTRACT(J4302, ""^\d+"")"),"73")</f>
        <v>73</v>
      </c>
      <c r="Z4302" s="5" t="str">
        <f>IFERROR(__xludf.DUMMYFUNCTION("REGEXEXTRACT(J4302, ""[A-Za-z ]+$"")")," min")</f>
        <v> min</v>
      </c>
      <c r="AA4302" s="5" t="str">
        <f>IFERROR(__xludf.DUMMYFUNCTION("IF(REGEXMATCH(Z4302, ""Season""), ""TV Show"", ""Movie"")"),"Movie")</f>
        <v>Movie</v>
      </c>
    </row>
    <row r="4303">
      <c r="A4303" s="1" t="s">
        <v>23001</v>
      </c>
      <c r="B4303" s="1" t="s">
        <v>27</v>
      </c>
      <c r="C4303" s="1" t="s">
        <v>23002</v>
      </c>
      <c r="D4303" s="1" t="s">
        <v>15204</v>
      </c>
      <c r="E4303" s="1" t="s">
        <v>23003</v>
      </c>
      <c r="F4303" s="1" t="s">
        <v>30</v>
      </c>
      <c r="G4303" s="1" t="s">
        <v>22981</v>
      </c>
      <c r="H4303" s="1">
        <v>2018.0</v>
      </c>
      <c r="I4303" s="1" t="s">
        <v>42</v>
      </c>
      <c r="J4303" s="1" t="s">
        <v>490</v>
      </c>
      <c r="K4303" s="1" t="s">
        <v>700</v>
      </c>
      <c r="L4303" s="1" t="s">
        <v>23004</v>
      </c>
      <c r="M4303" s="2" t="s">
        <v>12</v>
      </c>
      <c r="N4303" s="4">
        <f t="shared" si="1"/>
        <v>43449</v>
      </c>
      <c r="O4303" s="5" t="str">
        <f>IFERROR(__xludf.DUMMYFUNCTION("IF(REGEXMATCH(TRIM(I4303), ""^\d+\s*min""), ""Unclassified"", IF(I4303 = """", ""NR"", I4303))"),"TV-MA")</f>
        <v>TV-MA</v>
      </c>
      <c r="R4303" s="5" t="str">
        <f t="shared" si="2"/>
        <v>Once In A Lifetime Sessions With Snow Patrol</v>
      </c>
      <c r="S4303" s="5" t="str">
        <f>IFERROR(__xludf.DUMMYFUNCTION("""COMPUTED_VALUE"""),"Macchli Jal Ki Rani Hai")</f>
        <v>Macchli Jal Ki Rani Hai</v>
      </c>
      <c r="U4303" s="5" t="str">
        <f>IFERROR(__xludf.DUMMYFUNCTION("""COMPUTED_VALUE"""),"Dennis Scholl, Kareem Tabsch")</f>
        <v>Dennis Scholl, Kareem Tabsch</v>
      </c>
      <c r="V4303" s="5" t="s">
        <v>5180</v>
      </c>
      <c r="W4303" s="5" t="str">
        <f t="shared" si="3"/>
        <v>Uduak-Obong Patrick</v>
      </c>
      <c r="X4303" s="5">
        <f t="shared" si="4"/>
        <v>1</v>
      </c>
      <c r="Y4303" s="5" t="str">
        <f>IFERROR(__xludf.DUMMYFUNCTION("REGEXEXTRACT(J4303, ""^\d+"")"),"83")</f>
        <v>83</v>
      </c>
      <c r="Z4303" s="5" t="str">
        <f>IFERROR(__xludf.DUMMYFUNCTION("REGEXEXTRACT(J4303, ""[A-Za-z ]+$"")")," min")</f>
        <v> min</v>
      </c>
      <c r="AA4303" s="5" t="str">
        <f>IFERROR(__xludf.DUMMYFUNCTION("IF(REGEXMATCH(Z4303, ""Season""), ""TV Show"", ""Movie"")"),"Movie")</f>
        <v>Movie</v>
      </c>
    </row>
    <row r="4304">
      <c r="A4304" s="1" t="s">
        <v>23005</v>
      </c>
      <c r="B4304" s="1" t="s">
        <v>27</v>
      </c>
      <c r="C4304" s="1" t="s">
        <v>23006</v>
      </c>
      <c r="D4304" s="1" t="s">
        <v>23007</v>
      </c>
      <c r="F4304" s="1" t="s">
        <v>784</v>
      </c>
      <c r="G4304" s="1" t="s">
        <v>22981</v>
      </c>
      <c r="H4304" s="1">
        <v>2017.0</v>
      </c>
      <c r="I4304" s="1" t="s">
        <v>97</v>
      </c>
      <c r="J4304" s="1" t="s">
        <v>490</v>
      </c>
      <c r="K4304" s="1" t="s">
        <v>156</v>
      </c>
      <c r="L4304" s="1" t="s">
        <v>23008</v>
      </c>
      <c r="M4304" s="2" t="s">
        <v>12</v>
      </c>
      <c r="N4304" s="4">
        <f t="shared" si="1"/>
        <v>43449</v>
      </c>
      <c r="O4304" s="5" t="str">
        <f>IFERROR(__xludf.DUMMYFUNCTION("IF(REGEXMATCH(TRIM(I4304), ""^\d+\s*min""), ""Unclassified"", IF(I4304 = """", ""NR"", I4304))"),"TV-14")</f>
        <v>TV-14</v>
      </c>
      <c r="R4304" s="5" t="str">
        <f t="shared" si="2"/>
        <v>Sad Hill Unearthed</v>
      </c>
      <c r="S4304" s="5" t="str">
        <f>IFERROR(__xludf.DUMMYFUNCTION("""COMPUTED_VALUE"""),"Machete Kills")</f>
        <v>Machete Kills</v>
      </c>
      <c r="U4304" s="5" t="str">
        <f>IFERROR(__xludf.DUMMYFUNCTION("""COMPUTED_VALUE"""),"Rob Smat")</f>
        <v>Rob Smat</v>
      </c>
      <c r="V4304" s="5" t="s">
        <v>23009</v>
      </c>
      <c r="W4304" s="5" t="str">
        <f t="shared" si="3"/>
        <v>Ui-Seok Jo</v>
      </c>
      <c r="X4304" s="5">
        <f t="shared" si="4"/>
        <v>1</v>
      </c>
      <c r="Y4304" s="5" t="str">
        <f>IFERROR(__xludf.DUMMYFUNCTION("REGEXEXTRACT(J4304, ""^\d+"")"),"83")</f>
        <v>83</v>
      </c>
      <c r="Z4304" s="5" t="str">
        <f>IFERROR(__xludf.DUMMYFUNCTION("REGEXEXTRACT(J4304, ""[A-Za-z ]+$"")")," min")</f>
        <v> min</v>
      </c>
      <c r="AA4304" s="5" t="str">
        <f>IFERROR(__xludf.DUMMYFUNCTION("IF(REGEXMATCH(Z4304, ""Season""), ""TV Show"", ""Movie"")"),"Movie")</f>
        <v>Movie</v>
      </c>
    </row>
    <row r="4305">
      <c r="A4305" s="1" t="s">
        <v>23010</v>
      </c>
      <c r="B4305" s="1" t="s">
        <v>27</v>
      </c>
      <c r="C4305" s="1" t="s">
        <v>23011</v>
      </c>
      <c r="D4305" s="1" t="s">
        <v>14489</v>
      </c>
      <c r="E4305" s="1" t="s">
        <v>23012</v>
      </c>
      <c r="F4305" s="1" t="s">
        <v>63</v>
      </c>
      <c r="G4305" s="1" t="s">
        <v>22981</v>
      </c>
      <c r="H4305" s="1">
        <v>2018.0</v>
      </c>
      <c r="I4305" s="1" t="s">
        <v>42</v>
      </c>
      <c r="J4305" s="1" t="s">
        <v>582</v>
      </c>
      <c r="K4305" s="1" t="s">
        <v>298</v>
      </c>
      <c r="L4305" s="1" t="s">
        <v>23013</v>
      </c>
      <c r="M4305" s="2" t="s">
        <v>12</v>
      </c>
      <c r="N4305" s="4">
        <f t="shared" si="1"/>
        <v>43449</v>
      </c>
      <c r="O4305" s="5" t="str">
        <f>IFERROR(__xludf.DUMMYFUNCTION("IF(REGEXMATCH(TRIM(I4305), ""^\d+\s*min""), ""Unclassified"", IF(I4305 = """", ""NR"", I4305))"),"TV-MA")</f>
        <v>TV-MA</v>
      </c>
      <c r="R4305" s="5" t="str">
        <f t="shared" si="2"/>
        <v>Vanjagar Ulagam</v>
      </c>
      <c r="S4305" s="5" t="str">
        <f>IFERROR(__xludf.DUMMYFUNCTION("""COMPUTED_VALUE"""),"Macho")</f>
        <v>Macho</v>
      </c>
      <c r="U4305" s="5" t="str">
        <f>IFERROR(__xludf.DUMMYFUNCTION("""COMPUTED_VALUE"""),"Blake Harris, Chris Bouchard")</f>
        <v>Blake Harris, Chris Bouchard</v>
      </c>
      <c r="V4305" s="5" t="s">
        <v>21137</v>
      </c>
      <c r="W4305" s="5" t="str">
        <f t="shared" si="3"/>
        <v>Ulises Valencia</v>
      </c>
      <c r="X4305" s="5">
        <f t="shared" si="4"/>
        <v>2</v>
      </c>
      <c r="Y4305" s="5" t="str">
        <f>IFERROR(__xludf.DUMMYFUNCTION("REGEXEXTRACT(J4305, ""^\d+"")"),"145")</f>
        <v>145</v>
      </c>
      <c r="Z4305" s="5" t="str">
        <f>IFERROR(__xludf.DUMMYFUNCTION("REGEXEXTRACT(J4305, ""[A-Za-z ]+$"")")," min")</f>
        <v> min</v>
      </c>
      <c r="AA4305" s="5" t="str">
        <f>IFERROR(__xludf.DUMMYFUNCTION("IF(REGEXMATCH(Z4305, ""Season""), ""TV Show"", ""Movie"")"),"Movie")</f>
        <v>Movie</v>
      </c>
    </row>
    <row r="4306">
      <c r="A4306" s="1" t="s">
        <v>23014</v>
      </c>
      <c r="B4306" s="1" t="s">
        <v>37</v>
      </c>
      <c r="C4306" s="1" t="s">
        <v>23015</v>
      </c>
      <c r="E4306" s="1" t="s">
        <v>23016</v>
      </c>
      <c r="F4306" s="1" t="s">
        <v>749</v>
      </c>
      <c r="G4306" s="1" t="s">
        <v>23017</v>
      </c>
      <c r="H4306" s="1">
        <v>2018.0</v>
      </c>
      <c r="I4306" s="1" t="s">
        <v>97</v>
      </c>
      <c r="J4306" s="1" t="s">
        <v>51</v>
      </c>
      <c r="K4306" s="1" t="s">
        <v>7164</v>
      </c>
      <c r="L4306" s="1" t="s">
        <v>23018</v>
      </c>
      <c r="M4306" s="2" t="s">
        <v>12</v>
      </c>
      <c r="N4306" s="4">
        <f t="shared" si="1"/>
        <v>43448</v>
      </c>
      <c r="O4306" s="5" t="str">
        <f>IFERROR(__xludf.DUMMYFUNCTION("IF(REGEXMATCH(TRIM(I4306), ""^\d+\s*min""), ""Unclassified"", IF(I4306 = """", ""NR"", I4306))"),"TV-14")</f>
        <v>TV-14</v>
      </c>
      <c r="R4306" s="5" t="str">
        <f t="shared" si="2"/>
        <v>Hymn Of Death</v>
      </c>
      <c r="S4306" s="5" t="str">
        <f>IFERROR(__xludf.DUMMYFUNCTION("""COMPUTED_VALUE"""),"Mad For Each Other")</f>
        <v>Mad For Each Other</v>
      </c>
      <c r="U4306" s="5" t="str">
        <f>IFERROR(__xludf.DUMMYFUNCTION("""COMPUTED_VALUE"""),"Mark Osborne")</f>
        <v>Mark Osborne</v>
      </c>
      <c r="V4306" s="5" t="s">
        <v>9987</v>
      </c>
      <c r="W4306" s="5" t="str">
        <f t="shared" si="3"/>
        <v>Ulrike Kofler</v>
      </c>
      <c r="X4306" s="5">
        <f t="shared" si="4"/>
        <v>1</v>
      </c>
      <c r="Y4306" s="5" t="str">
        <f>IFERROR(__xludf.DUMMYFUNCTION("REGEXEXTRACT(J4306, ""^\d+"")"),"1")</f>
        <v>1</v>
      </c>
      <c r="Z4306" s="5" t="str">
        <f>IFERROR(__xludf.DUMMYFUNCTION("REGEXEXTRACT(J4306, ""[A-Za-z ]+$"")")," Season")</f>
        <v> Season</v>
      </c>
      <c r="AA4306" s="5" t="str">
        <f>IFERROR(__xludf.DUMMYFUNCTION("IF(REGEXMATCH(Z4306, ""Season""), ""TV Show"", ""Movie"")"),"TV Show")</f>
        <v>TV Show</v>
      </c>
    </row>
    <row r="4307">
      <c r="A4307" s="1" t="s">
        <v>23019</v>
      </c>
      <c r="B4307" s="1" t="s">
        <v>37</v>
      </c>
      <c r="C4307" s="1" t="s">
        <v>23020</v>
      </c>
      <c r="E4307" s="1" t="s">
        <v>23021</v>
      </c>
      <c r="G4307" s="1" t="s">
        <v>23017</v>
      </c>
      <c r="H4307" s="1">
        <v>2018.0</v>
      </c>
      <c r="I4307" s="1" t="s">
        <v>42</v>
      </c>
      <c r="J4307" s="1" t="s">
        <v>51</v>
      </c>
      <c r="K4307" s="1" t="s">
        <v>142</v>
      </c>
      <c r="L4307" s="1" t="s">
        <v>23022</v>
      </c>
      <c r="M4307" s="2" t="s">
        <v>12</v>
      </c>
      <c r="N4307" s="4">
        <f t="shared" si="1"/>
        <v>43448</v>
      </c>
      <c r="O4307" s="5" t="str">
        <f>IFERROR(__xludf.DUMMYFUNCTION("IF(REGEXMATCH(TRIM(I4307), ""^\d+\s*min""), ""Unclassified"", IF(I4307 = """", ""NR"", I4307))"),"TV-MA")</f>
        <v>TV-MA</v>
      </c>
      <c r="R4307" s="5" t="str">
        <f t="shared" si="2"/>
        <v>Inside The Real Narcos</v>
      </c>
      <c r="S4307" s="5" t="str">
        <f>IFERROR(__xludf.DUMMYFUNCTION("""COMPUTED_VALUE"""),"Mad Max")</f>
        <v>Mad Max</v>
      </c>
      <c r="U4307" s="5" t="str">
        <f>IFERROR(__xludf.DUMMYFUNCTION("""COMPUTED_VALUE"""),"Brian O'Malley")</f>
        <v>Brian O'Malley</v>
      </c>
      <c r="V4307" s="5" t="s">
        <v>23023</v>
      </c>
      <c r="W4307" s="5" t="str">
        <f t="shared" si="3"/>
        <v>Umer Adil</v>
      </c>
      <c r="X4307" s="5">
        <f t="shared" si="4"/>
        <v>1</v>
      </c>
      <c r="Y4307" s="5" t="str">
        <f>IFERROR(__xludf.DUMMYFUNCTION("REGEXEXTRACT(J4307, ""^\d+"")"),"1")</f>
        <v>1</v>
      </c>
      <c r="Z4307" s="5" t="str">
        <f>IFERROR(__xludf.DUMMYFUNCTION("REGEXEXTRACT(J4307, ""[A-Za-z ]+$"")")," Season")</f>
        <v> Season</v>
      </c>
      <c r="AA4307" s="5" t="str">
        <f>IFERROR(__xludf.DUMMYFUNCTION("IF(REGEXMATCH(Z4307, ""Season""), ""TV Show"", ""Movie"")"),"TV Show")</f>
        <v>TV Show</v>
      </c>
    </row>
    <row r="4308">
      <c r="A4308" s="1" t="s">
        <v>23024</v>
      </c>
      <c r="B4308" s="1" t="s">
        <v>27</v>
      </c>
      <c r="C4308" s="1" t="s">
        <v>23025</v>
      </c>
      <c r="D4308" s="1" t="s">
        <v>1303</v>
      </c>
      <c r="E4308" s="1" t="s">
        <v>23026</v>
      </c>
      <c r="F4308" s="1" t="s">
        <v>5541</v>
      </c>
      <c r="G4308" s="1" t="s">
        <v>23017</v>
      </c>
      <c r="H4308" s="1">
        <v>2018.0</v>
      </c>
      <c r="I4308" s="1" t="s">
        <v>378</v>
      </c>
      <c r="J4308" s="1" t="s">
        <v>1369</v>
      </c>
      <c r="K4308" s="1" t="s">
        <v>89</v>
      </c>
      <c r="L4308" s="1" t="s">
        <v>23027</v>
      </c>
      <c r="M4308" s="2" t="s">
        <v>12</v>
      </c>
      <c r="N4308" s="4">
        <f t="shared" si="1"/>
        <v>43448</v>
      </c>
      <c r="O4308" s="5" t="str">
        <f>IFERROR(__xludf.DUMMYFUNCTION("IF(REGEXMATCH(TRIM(I4308), ""^\d+\s*min""), ""Unclassified"", IF(I4308 = """", ""NR"", I4308))"),"R")</f>
        <v>R</v>
      </c>
      <c r="R4308" s="5" t="str">
        <f t="shared" si="2"/>
        <v>Roma</v>
      </c>
      <c r="S4308" s="5" t="str">
        <f>IFERROR(__xludf.DUMMYFUNCTION("""COMPUTED_VALUE"""),"Mad Men")</f>
        <v>Mad Men</v>
      </c>
      <c r="U4308" s="5" t="str">
        <f>IFERROR(__xludf.DUMMYFUNCTION("""COMPUTED_VALUE"""),"Jay Lyons")</f>
        <v>Jay Lyons</v>
      </c>
      <c r="V4308" s="5" t="s">
        <v>6904</v>
      </c>
      <c r="W4308" s="5" t="str">
        <f t="shared" si="3"/>
        <v>Umesh Bist</v>
      </c>
      <c r="X4308" s="5">
        <f t="shared" si="4"/>
        <v>1</v>
      </c>
      <c r="Y4308" s="5" t="str">
        <f>IFERROR(__xludf.DUMMYFUNCTION("REGEXEXTRACT(J4308, ""^\d+"")"),"135")</f>
        <v>135</v>
      </c>
      <c r="Z4308" s="5" t="str">
        <f>IFERROR(__xludf.DUMMYFUNCTION("REGEXEXTRACT(J4308, ""[A-Za-z ]+$"")")," min")</f>
        <v> min</v>
      </c>
      <c r="AA4308" s="5" t="str">
        <f>IFERROR(__xludf.DUMMYFUNCTION("IF(REGEXMATCH(Z4308, ""Season""), ""TV Show"", ""Movie"")"),"Movie")</f>
        <v>Movie</v>
      </c>
    </row>
    <row r="4309">
      <c r="A4309" s="1" t="s">
        <v>23028</v>
      </c>
      <c r="B4309" s="1" t="s">
        <v>37</v>
      </c>
      <c r="C4309" s="1" t="s">
        <v>23029</v>
      </c>
      <c r="E4309" s="1" t="s">
        <v>23030</v>
      </c>
      <c r="F4309" s="1" t="s">
        <v>30</v>
      </c>
      <c r="G4309" s="1" t="s">
        <v>23017</v>
      </c>
      <c r="H4309" s="1">
        <v>2018.0</v>
      </c>
      <c r="I4309" s="1" t="s">
        <v>42</v>
      </c>
      <c r="J4309" s="1" t="s">
        <v>51</v>
      </c>
      <c r="K4309" s="1" t="s">
        <v>270</v>
      </c>
      <c r="L4309" s="1" t="s">
        <v>23031</v>
      </c>
      <c r="M4309" s="2" t="s">
        <v>12</v>
      </c>
      <c r="N4309" s="4">
        <f t="shared" si="1"/>
        <v>43448</v>
      </c>
      <c r="O4309" s="5" t="str">
        <f>IFERROR(__xludf.DUMMYFUNCTION("IF(REGEXMATCH(TRIM(I4309), ""^\d+\s*min""), ""Unclassified"", IF(I4309 = """", ""NR"", I4309))"),"TV-MA")</f>
        <v>TV-MA</v>
      </c>
      <c r="R4309" s="5" t="str">
        <f t="shared" si="2"/>
        <v>The Fix</v>
      </c>
      <c r="S4309" s="5" t="str">
        <f>IFERROR(__xludf.DUMMYFUNCTION("""COMPUTED_VALUE"""),"Mad Money")</f>
        <v>Mad Money</v>
      </c>
      <c r="U4309" s="5" t="str">
        <f>IFERROR(__xludf.DUMMYFUNCTION("""COMPUTED_VALUE"""),"Robert Aldrich")</f>
        <v>Robert Aldrich</v>
      </c>
      <c r="V4309" s="5" t="s">
        <v>1395</v>
      </c>
      <c r="W4309" s="5" t="str">
        <f t="shared" si="3"/>
        <v>Umesh Ghadge</v>
      </c>
      <c r="X4309" s="5">
        <f t="shared" si="4"/>
        <v>1</v>
      </c>
      <c r="Y4309" s="5" t="str">
        <f>IFERROR(__xludf.DUMMYFUNCTION("REGEXEXTRACT(J4309, ""^\d+"")"),"1")</f>
        <v>1</v>
      </c>
      <c r="Z4309" s="5" t="str">
        <f>IFERROR(__xludf.DUMMYFUNCTION("REGEXEXTRACT(J4309, ""[A-Za-z ]+$"")")," Season")</f>
        <v> Season</v>
      </c>
      <c r="AA4309" s="5" t="str">
        <f>IFERROR(__xludf.DUMMYFUNCTION("IF(REGEXMATCH(Z4309, ""Season""), ""TV Show"", ""Movie"")"),"TV Show")</f>
        <v>TV Show</v>
      </c>
    </row>
    <row r="4310">
      <c r="A4310" s="1" t="s">
        <v>23032</v>
      </c>
      <c r="B4310" s="1" t="s">
        <v>37</v>
      </c>
      <c r="C4310" s="1" t="s">
        <v>23033</v>
      </c>
      <c r="E4310" s="1" t="s">
        <v>23034</v>
      </c>
      <c r="F4310" s="1" t="s">
        <v>30</v>
      </c>
      <c r="G4310" s="1" t="s">
        <v>23017</v>
      </c>
      <c r="H4310" s="1">
        <v>2018.0</v>
      </c>
      <c r="I4310" s="1" t="s">
        <v>42</v>
      </c>
      <c r="J4310" s="1" t="s">
        <v>51</v>
      </c>
      <c r="K4310" s="1" t="s">
        <v>2043</v>
      </c>
      <c r="L4310" s="1" t="s">
        <v>23035</v>
      </c>
      <c r="M4310" s="2" t="s">
        <v>12</v>
      </c>
      <c r="N4310" s="4">
        <f t="shared" si="1"/>
        <v>43448</v>
      </c>
      <c r="O4310" s="5" t="str">
        <f>IFERROR(__xludf.DUMMYFUNCTION("IF(REGEXMATCH(TRIM(I4310), ""^\d+\s*min""), ""Unclassified"", IF(I4310 = """", ""NR"", I4310))"),"TV-MA")</f>
        <v>TV-MA</v>
      </c>
      <c r="R4310" s="5" t="str">
        <f t="shared" si="2"/>
        <v>The Innocent Man</v>
      </c>
      <c r="S4310" s="5" t="str">
        <f>IFERROR(__xludf.DUMMYFUNCTION("""COMPUTED_VALUE"""),"Mad Ron'S Prevues From Hell")</f>
        <v>Mad Ron'S Prevues From Hell</v>
      </c>
      <c r="U4310" s="5" t="str">
        <f>IFERROR(__xludf.DUMMYFUNCTION("""COMPUTED_VALUE"""),"Fred Durst")</f>
        <v>Fred Durst</v>
      </c>
      <c r="V4310" s="5" t="s">
        <v>23036</v>
      </c>
      <c r="W4310" s="5" t="str">
        <f t="shared" si="3"/>
        <v>Umesh Mehra</v>
      </c>
      <c r="X4310" s="5">
        <f t="shared" si="4"/>
        <v>5</v>
      </c>
      <c r="Y4310" s="5" t="str">
        <f>IFERROR(__xludf.DUMMYFUNCTION("REGEXEXTRACT(J4310, ""^\d+"")"),"1")</f>
        <v>1</v>
      </c>
      <c r="Z4310" s="5" t="str">
        <f>IFERROR(__xludf.DUMMYFUNCTION("REGEXEXTRACT(J4310, ""[A-Za-z ]+$"")")," Season")</f>
        <v> Season</v>
      </c>
      <c r="AA4310" s="5" t="str">
        <f>IFERROR(__xludf.DUMMYFUNCTION("IF(REGEXMATCH(Z4310, ""Season""), ""TV Show"", ""Movie"")"),"TV Show")</f>
        <v>TV Show</v>
      </c>
    </row>
    <row r="4311">
      <c r="A4311" s="1" t="s">
        <v>23037</v>
      </c>
      <c r="B4311" s="1" t="s">
        <v>37</v>
      </c>
      <c r="C4311" s="1" t="s">
        <v>23038</v>
      </c>
      <c r="E4311" s="1" t="s">
        <v>23039</v>
      </c>
      <c r="F4311" s="1" t="s">
        <v>221</v>
      </c>
      <c r="G4311" s="1" t="s">
        <v>23017</v>
      </c>
      <c r="H4311" s="1">
        <v>2018.0</v>
      </c>
      <c r="I4311" s="1" t="s">
        <v>42</v>
      </c>
      <c r="J4311" s="1" t="s">
        <v>51</v>
      </c>
      <c r="K4311" s="1" t="s">
        <v>1362</v>
      </c>
      <c r="L4311" s="1" t="s">
        <v>23040</v>
      </c>
      <c r="M4311" s="2" t="s">
        <v>12</v>
      </c>
      <c r="N4311" s="4">
        <f t="shared" si="1"/>
        <v>43448</v>
      </c>
      <c r="O4311" s="5" t="str">
        <f>IFERROR(__xludf.DUMMYFUNCTION("IF(REGEXMATCH(TRIM(I4311), ""^\d+\s*min""), ""Unclassified"", IF(I4311 = """", ""NR"", I4311))"),"TV-MA")</f>
        <v>TV-MA</v>
      </c>
      <c r="R4311" s="5" t="str">
        <f t="shared" si="2"/>
        <v>Tidelands</v>
      </c>
      <c r="S4311" s="5" t="str">
        <f>IFERROR(__xludf.DUMMYFUNCTION("""COMPUTED_VALUE"""),"Mad World")</f>
        <v>Mad World</v>
      </c>
      <c r="U4311" s="5" t="str">
        <f>IFERROR(__xludf.DUMMYFUNCTION("""COMPUTED_VALUE"""),"Joshua Oppenheimer")</f>
        <v>Joshua Oppenheimer</v>
      </c>
      <c r="V4311" s="5" t="s">
        <v>12965</v>
      </c>
      <c r="W4311" s="5" t="str">
        <f t="shared" si="3"/>
        <v>Umesh Shukla</v>
      </c>
      <c r="X4311" s="5">
        <f t="shared" si="4"/>
        <v>2</v>
      </c>
      <c r="Y4311" s="5" t="str">
        <f>IFERROR(__xludf.DUMMYFUNCTION("REGEXEXTRACT(J4311, ""^\d+"")"),"1")</f>
        <v>1</v>
      </c>
      <c r="Z4311" s="5" t="str">
        <f>IFERROR(__xludf.DUMMYFUNCTION("REGEXEXTRACT(J4311, ""[A-Za-z ]+$"")")," Season")</f>
        <v> Season</v>
      </c>
      <c r="AA4311" s="5" t="str">
        <f>IFERROR(__xludf.DUMMYFUNCTION("IF(REGEXMATCH(Z4311, ""Season""), ""TV Show"", ""Movie"")"),"TV Show")</f>
        <v>TV Show</v>
      </c>
    </row>
    <row r="4312">
      <c r="A4312" s="1" t="s">
        <v>23041</v>
      </c>
      <c r="B4312" s="1" t="s">
        <v>37</v>
      </c>
      <c r="C4312" s="1" t="s">
        <v>23042</v>
      </c>
      <c r="E4312" s="1" t="s">
        <v>23043</v>
      </c>
      <c r="F4312" s="1" t="s">
        <v>1979</v>
      </c>
      <c r="G4312" s="1" t="s">
        <v>23017</v>
      </c>
      <c r="H4312" s="1">
        <v>2018.0</v>
      </c>
      <c r="I4312" s="1" t="s">
        <v>42</v>
      </c>
      <c r="J4312" s="1" t="s">
        <v>276</v>
      </c>
      <c r="K4312" s="1" t="s">
        <v>1362</v>
      </c>
      <c r="L4312" s="1" t="s">
        <v>23044</v>
      </c>
      <c r="M4312" s="2" t="s">
        <v>12</v>
      </c>
      <c r="N4312" s="4">
        <f t="shared" si="1"/>
        <v>43448</v>
      </c>
      <c r="O4312" s="5" t="str">
        <f>IFERROR(__xludf.DUMMYFUNCTION("IF(REGEXMATCH(TRIM(I4312), ""^\d+\s*min""), ""Unclassified"", IF(I4312 = """", ""NR"", I4312))"),"TV-MA")</f>
        <v>TV-MA</v>
      </c>
      <c r="R4312" s="5" t="str">
        <f t="shared" si="2"/>
        <v>Travelers</v>
      </c>
      <c r="S4312" s="5" t="str">
        <f>IFERROR(__xludf.DUMMYFUNCTION("""COMPUTED_VALUE"""),"Madaari")</f>
        <v>Madaari</v>
      </c>
      <c r="U4312" s="5" t="str">
        <f>IFERROR(__xludf.DUMMYFUNCTION("""COMPUTED_VALUE"""),"Marco Schnabel")</f>
        <v>Marco Schnabel</v>
      </c>
      <c r="V4312" s="5" t="s">
        <v>10895</v>
      </c>
      <c r="W4312" s="5" t="str">
        <f t="shared" si="3"/>
        <v>Umut Aral</v>
      </c>
      <c r="X4312" s="5">
        <f t="shared" si="4"/>
        <v>1</v>
      </c>
      <c r="Y4312" s="5" t="str">
        <f>IFERROR(__xludf.DUMMYFUNCTION("REGEXEXTRACT(J4312, ""^\d+"")"),"3")</f>
        <v>3</v>
      </c>
      <c r="Z4312" s="5" t="str">
        <f>IFERROR(__xludf.DUMMYFUNCTION("REGEXEXTRACT(J4312, ""[A-Za-z ]+$"")")," Seasons")</f>
        <v> Seasons</v>
      </c>
      <c r="AA4312" s="5" t="str">
        <f>IFERROR(__xludf.DUMMYFUNCTION("IF(REGEXMATCH(Z4312, ""Season""), ""TV Show"", ""Movie"")"),"TV Show")</f>
        <v>TV Show</v>
      </c>
    </row>
    <row r="4313">
      <c r="A4313" s="1" t="s">
        <v>23045</v>
      </c>
      <c r="B4313" s="1" t="s">
        <v>37</v>
      </c>
      <c r="C4313" s="1" t="s">
        <v>23046</v>
      </c>
      <c r="E4313" s="1" t="s">
        <v>23047</v>
      </c>
      <c r="F4313" s="1" t="s">
        <v>30</v>
      </c>
      <c r="G4313" s="1" t="s">
        <v>23017</v>
      </c>
      <c r="H4313" s="1">
        <v>2018.0</v>
      </c>
      <c r="I4313" s="1" t="s">
        <v>289</v>
      </c>
      <c r="J4313" s="1" t="s">
        <v>3285</v>
      </c>
      <c r="K4313" s="1" t="s">
        <v>290</v>
      </c>
      <c r="L4313" s="1" t="s">
        <v>23048</v>
      </c>
      <c r="M4313" s="2" t="s">
        <v>12</v>
      </c>
      <c r="N4313" s="4">
        <f t="shared" si="1"/>
        <v>43448</v>
      </c>
      <c r="O4313" s="5" t="str">
        <f>IFERROR(__xludf.DUMMYFUNCTION("IF(REGEXMATCH(TRIM(I4313), ""^\d+\s*min""), ""Unclassified"", IF(I4313 = """", ""NR"", I4313))"),"TV-Y7")</f>
        <v>TV-Y7</v>
      </c>
      <c r="R4313" s="5" t="str">
        <f t="shared" si="2"/>
        <v>Voltron: Legendary Defender</v>
      </c>
      <c r="S4313" s="5" t="str">
        <f>IFERROR(__xludf.DUMMYFUNCTION("""COMPUTED_VALUE"""),"Madagascar 3: Europe'S Most Wanted")</f>
        <v>Madagascar 3: Europe'S Most Wanted</v>
      </c>
      <c r="U4313" s="5" t="str">
        <f>IFERROR(__xludf.DUMMYFUNCTION("""COMPUTED_VALUE"""),"Robert Cannan, Ross Adam")</f>
        <v>Robert Cannan, Ross Adam</v>
      </c>
      <c r="V4313" s="5" t="s">
        <v>10909</v>
      </c>
      <c r="W4313" s="5" t="str">
        <f t="shared" si="3"/>
        <v>Umut Kirca</v>
      </c>
      <c r="X4313" s="5">
        <f t="shared" si="4"/>
        <v>1</v>
      </c>
      <c r="Y4313" s="5" t="str">
        <f>IFERROR(__xludf.DUMMYFUNCTION("REGEXEXTRACT(J4313, ""^\d+"")"),"8")</f>
        <v>8</v>
      </c>
      <c r="Z4313" s="5" t="str">
        <f>IFERROR(__xludf.DUMMYFUNCTION("REGEXEXTRACT(J4313, ""[A-Za-z ]+$"")")," Seasons")</f>
        <v> Seasons</v>
      </c>
      <c r="AA4313" s="5" t="str">
        <f>IFERROR(__xludf.DUMMYFUNCTION("IF(REGEXMATCH(Z4313, ""Season""), ""TV Show"", ""Movie"")"),"TV Show")</f>
        <v>TV Show</v>
      </c>
    </row>
    <row r="4314">
      <c r="A4314" s="1" t="s">
        <v>23049</v>
      </c>
      <c r="B4314" s="1" t="s">
        <v>37</v>
      </c>
      <c r="C4314" s="1" t="s">
        <v>23050</v>
      </c>
      <c r="E4314" s="1" t="s">
        <v>23051</v>
      </c>
      <c r="F4314" s="1" t="s">
        <v>415</v>
      </c>
      <c r="G4314" s="1" t="s">
        <v>23052</v>
      </c>
      <c r="H4314" s="1">
        <v>2018.0</v>
      </c>
      <c r="I4314" s="1" t="s">
        <v>42</v>
      </c>
      <c r="J4314" s="1" t="s">
        <v>51</v>
      </c>
      <c r="K4314" s="1" t="s">
        <v>567</v>
      </c>
      <c r="L4314" s="1" t="s">
        <v>23053</v>
      </c>
      <c r="M4314" s="2" t="s">
        <v>12</v>
      </c>
      <c r="N4314" s="4">
        <f t="shared" si="1"/>
        <v>43446</v>
      </c>
      <c r="O4314" s="5" t="str">
        <f>IFERROR(__xludf.DUMMYFUNCTION("IF(REGEXMATCH(TRIM(I4314), ""^\d+\s*min""), ""Unclassified"", IF(I4314 = """", ""NR"", I4314))"),"TV-MA")</f>
        <v>TV-MA</v>
      </c>
      <c r="R4314" s="5" t="str">
        <f t="shared" si="2"/>
        <v>Back Street Girls -Gokudols-</v>
      </c>
      <c r="S4314" s="5" t="str">
        <f>IFERROR(__xludf.DUMMYFUNCTION("""COMPUTED_VALUE"""),"Madagascar: Escape 2 Africa")</f>
        <v>Madagascar: Escape 2 Africa</v>
      </c>
      <c r="U4314" s="5" t="str">
        <f>IFERROR(__xludf.DUMMYFUNCTION("""COMPUTED_VALUE"""),"Stanisław Różewicz")</f>
        <v>Stanisław Różewicz</v>
      </c>
      <c r="V4314" s="5" t="s">
        <v>10404</v>
      </c>
      <c r="W4314" s="5" t="str">
        <f t="shared" si="3"/>
        <v>Unjoo Moon</v>
      </c>
      <c r="X4314" s="5">
        <f t="shared" si="4"/>
        <v>1</v>
      </c>
      <c r="Y4314" s="5" t="str">
        <f>IFERROR(__xludf.DUMMYFUNCTION("REGEXEXTRACT(J4314, ""^\d+"")"),"1")</f>
        <v>1</v>
      </c>
      <c r="Z4314" s="5" t="str">
        <f>IFERROR(__xludf.DUMMYFUNCTION("REGEXEXTRACT(J4314, ""[A-Za-z ]+$"")")," Season")</f>
        <v> Season</v>
      </c>
      <c r="AA4314" s="5" t="str">
        <f>IFERROR(__xludf.DUMMYFUNCTION("IF(REGEXMATCH(Z4314, ""Season""), ""TV Show"", ""Movie"")"),"TV Show")</f>
        <v>TV Show</v>
      </c>
    </row>
    <row r="4315">
      <c r="A4315" s="1" t="s">
        <v>23054</v>
      </c>
      <c r="B4315" s="1" t="s">
        <v>27</v>
      </c>
      <c r="C4315" s="1" t="s">
        <v>23055</v>
      </c>
      <c r="D4315" s="1" t="s">
        <v>11339</v>
      </c>
      <c r="F4315" s="1" t="s">
        <v>30</v>
      </c>
      <c r="G4315" s="1" t="s">
        <v>23052</v>
      </c>
      <c r="H4315" s="1">
        <v>2018.0</v>
      </c>
      <c r="I4315" s="1" t="s">
        <v>136</v>
      </c>
      <c r="J4315" s="1" t="s">
        <v>5494</v>
      </c>
      <c r="K4315" s="1" t="s">
        <v>34</v>
      </c>
      <c r="L4315" s="1" t="s">
        <v>23056</v>
      </c>
      <c r="M4315" s="2" t="s">
        <v>12</v>
      </c>
      <c r="N4315" s="4">
        <f t="shared" si="1"/>
        <v>43446</v>
      </c>
      <c r="O4315" s="5" t="str">
        <f>IFERROR(__xludf.DUMMYFUNCTION("IF(REGEXMATCH(TRIM(I4315), ""^\d+\s*min""), ""Unclassified"", IF(I4315 = """", ""NR"", I4315))"),"TV-PG")</f>
        <v>TV-PG</v>
      </c>
      <c r="R4315" s="5" t="str">
        <f t="shared" si="2"/>
        <v>Out Of Many, One</v>
      </c>
      <c r="S4315" s="5" t="str">
        <f>IFERROR(__xludf.DUMMYFUNCTION("""COMPUTED_VALUE"""),"Madam Chief Minister")</f>
        <v>Madam Chief Minister</v>
      </c>
      <c r="U4315" s="5" t="str">
        <f>IFERROR(__xludf.DUMMYFUNCTION("""COMPUTED_VALUE"""),"Johnny To")</f>
        <v>Johnny To</v>
      </c>
      <c r="V4315" s="5" t="s">
        <v>14851</v>
      </c>
      <c r="W4315" s="5" t="str">
        <f t="shared" si="3"/>
        <v>Upi Avianto</v>
      </c>
      <c r="X4315" s="5">
        <f t="shared" si="4"/>
        <v>2</v>
      </c>
      <c r="Y4315" s="5" t="str">
        <f>IFERROR(__xludf.DUMMYFUNCTION("REGEXEXTRACT(J4315, ""^\d+"")"),"35")</f>
        <v>35</v>
      </c>
      <c r="Z4315" s="5" t="str">
        <f>IFERROR(__xludf.DUMMYFUNCTION("REGEXEXTRACT(J4315, ""[A-Za-z ]+$"")")," min")</f>
        <v> min</v>
      </c>
      <c r="AA4315" s="5" t="str">
        <f>IFERROR(__xludf.DUMMYFUNCTION("IF(REGEXMATCH(Z4315, ""Season""), ""TV Show"", ""Movie"")"),"Movie")</f>
        <v>Movie</v>
      </c>
    </row>
    <row r="4316">
      <c r="A4316" s="1" t="s">
        <v>23057</v>
      </c>
      <c r="B4316" s="1" t="s">
        <v>27</v>
      </c>
      <c r="C4316" s="1" t="s">
        <v>23058</v>
      </c>
      <c r="D4316" s="1" t="s">
        <v>14140</v>
      </c>
      <c r="E4316" s="1" t="s">
        <v>9033</v>
      </c>
      <c r="F4316" s="1" t="s">
        <v>30</v>
      </c>
      <c r="G4316" s="1" t="s">
        <v>23059</v>
      </c>
      <c r="H4316" s="1">
        <v>2018.0</v>
      </c>
      <c r="I4316" s="1" t="s">
        <v>42</v>
      </c>
      <c r="J4316" s="1" t="s">
        <v>2626</v>
      </c>
      <c r="K4316" s="1" t="s">
        <v>1839</v>
      </c>
      <c r="L4316" s="1" t="s">
        <v>23060</v>
      </c>
      <c r="M4316" s="2" t="s">
        <v>12</v>
      </c>
      <c r="N4316" s="4">
        <f t="shared" si="1"/>
        <v>43445</v>
      </c>
      <c r="O4316" s="5" t="str">
        <f>IFERROR(__xludf.DUMMYFUNCTION("IF(REGEXMATCH(TRIM(I4316), ""^\d+\s*min""), ""Unclassified"", IF(I4316 = """", ""NR"", I4316))"),"TV-MA")</f>
        <v>TV-MA</v>
      </c>
      <c r="R4316" s="5" t="str">
        <f t="shared" si="2"/>
        <v>Vir Das: Losing It</v>
      </c>
      <c r="S4316" s="5" t="str">
        <f>IFERROR(__xludf.DUMMYFUNCTION("""COMPUTED_VALUE"""),"Madam Secretary")</f>
        <v>Madam Secretary</v>
      </c>
      <c r="U4316" s="5" t="str">
        <f>IFERROR(__xludf.DUMMYFUNCTION("""COMPUTED_VALUE"""),"Robert Tate")</f>
        <v>Robert Tate</v>
      </c>
      <c r="V4316" s="5" t="s">
        <v>23061</v>
      </c>
      <c r="W4316" s="5" t="str">
        <f t="shared" si="3"/>
        <v>Uraaz Bahl</v>
      </c>
      <c r="X4316" s="5">
        <f t="shared" si="4"/>
        <v>1</v>
      </c>
      <c r="Y4316" s="5" t="str">
        <f>IFERROR(__xludf.DUMMYFUNCTION("REGEXEXTRACT(J4316, ""^\d+"")"),"68")</f>
        <v>68</v>
      </c>
      <c r="Z4316" s="5" t="str">
        <f>IFERROR(__xludf.DUMMYFUNCTION("REGEXEXTRACT(J4316, ""[A-Za-z ]+$"")")," min")</f>
        <v> min</v>
      </c>
      <c r="AA4316" s="5" t="str">
        <f>IFERROR(__xludf.DUMMYFUNCTION("IF(REGEXMATCH(Z4316, ""Season""), ""TV Show"", ""Movie"")"),"Movie")</f>
        <v>Movie</v>
      </c>
    </row>
    <row r="4317">
      <c r="A4317" s="1" t="s">
        <v>23062</v>
      </c>
      <c r="B4317" s="1" t="s">
        <v>27</v>
      </c>
      <c r="C4317" s="1" t="s">
        <v>23063</v>
      </c>
      <c r="D4317" s="1" t="s">
        <v>14622</v>
      </c>
      <c r="E4317" s="1" t="s">
        <v>23064</v>
      </c>
      <c r="F4317" s="1" t="s">
        <v>1779</v>
      </c>
      <c r="G4317" s="1" t="s">
        <v>23065</v>
      </c>
      <c r="H4317" s="1">
        <v>2018.0</v>
      </c>
      <c r="I4317" s="1" t="s">
        <v>97</v>
      </c>
      <c r="J4317" s="1" t="s">
        <v>322</v>
      </c>
      <c r="K4317" s="1" t="s">
        <v>199</v>
      </c>
      <c r="L4317" s="1" t="s">
        <v>23066</v>
      </c>
      <c r="M4317" s="2" t="s">
        <v>12</v>
      </c>
      <c r="N4317" s="4">
        <f t="shared" si="1"/>
        <v>43441</v>
      </c>
      <c r="O4317" s="5" t="str">
        <f>IFERROR(__xludf.DUMMYFUNCTION("IF(REGEXMATCH(TRIM(I4317), ""^\d+\s*min""), ""Unclassified"", IF(I4317 = """", ""NR"", I4317))"),"TV-14")</f>
        <v>TV-14</v>
      </c>
      <c r="R4317" s="5" t="str">
        <f t="shared" si="2"/>
        <v>5 Star Christmas</v>
      </c>
      <c r="S4317" s="5" t="str">
        <f>IFERROR(__xludf.DUMMYFUNCTION("""COMPUTED_VALUE"""),"Madame Claude")</f>
        <v>Madame Claude</v>
      </c>
      <c r="U4317" s="5" t="str">
        <f>IFERROR(__xludf.DUMMYFUNCTION("""COMPUTED_VALUE"""),"John Mikulak, Joshua Brown")</f>
        <v>John Mikulak, Joshua Brown</v>
      </c>
      <c r="V4317" s="5" t="s">
        <v>23067</v>
      </c>
      <c r="W4317" s="5" t="str">
        <f t="shared" si="3"/>
        <v>Uttung Shelar</v>
      </c>
      <c r="X4317" s="5">
        <f t="shared" si="4"/>
        <v>1</v>
      </c>
      <c r="Y4317" s="5" t="str">
        <f>IFERROR(__xludf.DUMMYFUNCTION("REGEXEXTRACT(J4317, ""^\d+"")"),"96")</f>
        <v>96</v>
      </c>
      <c r="Z4317" s="5" t="str">
        <f>IFERROR(__xludf.DUMMYFUNCTION("REGEXEXTRACT(J4317, ""[A-Za-z ]+$"")")," min")</f>
        <v> min</v>
      </c>
      <c r="AA4317" s="5" t="str">
        <f>IFERROR(__xludf.DUMMYFUNCTION("IF(REGEXMATCH(Z4317, ""Season""), ""TV Show"", ""Movie"")"),"Movie")</f>
        <v>Movie</v>
      </c>
    </row>
    <row r="4318">
      <c r="A4318" s="1" t="s">
        <v>23068</v>
      </c>
      <c r="B4318" s="1" t="s">
        <v>37</v>
      </c>
      <c r="C4318" s="1" t="s">
        <v>23069</v>
      </c>
      <c r="E4318" s="1" t="s">
        <v>23070</v>
      </c>
      <c r="F4318" s="1" t="s">
        <v>2492</v>
      </c>
      <c r="G4318" s="1" t="s">
        <v>23065</v>
      </c>
      <c r="H4318" s="1">
        <v>2018.0</v>
      </c>
      <c r="I4318" s="1" t="s">
        <v>42</v>
      </c>
      <c r="J4318" s="1" t="s">
        <v>51</v>
      </c>
      <c r="K4318" s="1" t="s">
        <v>1362</v>
      </c>
      <c r="L4318" s="1" t="s">
        <v>23071</v>
      </c>
      <c r="M4318" s="2" t="s">
        <v>12</v>
      </c>
      <c r="N4318" s="4">
        <f t="shared" si="1"/>
        <v>43441</v>
      </c>
      <c r="O4318" s="5" t="str">
        <f>IFERROR(__xludf.DUMMYFUNCTION("IF(REGEXMATCH(TRIM(I4318), ""^\d+\s*min""), ""Unclassified"", IF(I4318 = """", ""NR"", I4318))"),"TV-MA")</f>
        <v>TV-MA</v>
      </c>
      <c r="R4318" s="5" t="str">
        <f t="shared" si="2"/>
        <v>Dogs Of Berlin</v>
      </c>
      <c r="S4318" s="5" t="str">
        <f>IFERROR(__xludf.DUMMYFUNCTION("""COMPUTED_VALUE"""),"Maddman: The Steve Madden Story")</f>
        <v>Maddman: The Steve Madden Story</v>
      </c>
      <c r="U4318" s="5" t="str">
        <f>IFERROR(__xludf.DUMMYFUNCTION("""COMPUTED_VALUE"""),"Lilly Wachowski, Lana Wachowski")</f>
        <v>Lilly Wachowski, Lana Wachowski</v>
      </c>
      <c r="V4318" s="5" t="s">
        <v>23072</v>
      </c>
      <c r="W4318" s="5" t="str">
        <f t="shared" si="3"/>
        <v>Uwe Boll</v>
      </c>
      <c r="X4318" s="5">
        <f t="shared" si="4"/>
        <v>1</v>
      </c>
      <c r="Y4318" s="5" t="str">
        <f>IFERROR(__xludf.DUMMYFUNCTION("REGEXEXTRACT(J4318, ""^\d+"")"),"1")</f>
        <v>1</v>
      </c>
      <c r="Z4318" s="5" t="str">
        <f>IFERROR(__xludf.DUMMYFUNCTION("REGEXEXTRACT(J4318, ""[A-Za-z ]+$"")")," Season")</f>
        <v> Season</v>
      </c>
      <c r="AA4318" s="5" t="str">
        <f>IFERROR(__xludf.DUMMYFUNCTION("IF(REGEXMATCH(Z4318, ""Season""), ""TV Show"", ""Movie"")"),"TV Show")</f>
        <v>TV Show</v>
      </c>
    </row>
    <row r="4319">
      <c r="A4319" s="1" t="s">
        <v>23073</v>
      </c>
      <c r="B4319" s="1" t="s">
        <v>27</v>
      </c>
      <c r="C4319" s="1" t="s">
        <v>23074</v>
      </c>
      <c r="D4319" s="1" t="s">
        <v>2200</v>
      </c>
      <c r="E4319" s="1" t="s">
        <v>23075</v>
      </c>
      <c r="F4319" s="1" t="s">
        <v>30</v>
      </c>
      <c r="G4319" s="1" t="s">
        <v>23065</v>
      </c>
      <c r="H4319" s="1">
        <v>2018.0</v>
      </c>
      <c r="I4319" s="1" t="s">
        <v>32</v>
      </c>
      <c r="J4319" s="1" t="s">
        <v>297</v>
      </c>
      <c r="K4319" s="1" t="s">
        <v>836</v>
      </c>
      <c r="L4319" s="1" t="s">
        <v>23076</v>
      </c>
      <c r="M4319" s="2" t="s">
        <v>12</v>
      </c>
      <c r="N4319" s="4">
        <f t="shared" si="1"/>
        <v>43441</v>
      </c>
      <c r="O4319" s="5" t="str">
        <f>IFERROR(__xludf.DUMMYFUNCTION("IF(REGEXMATCH(TRIM(I4319), ""^\d+\s*min""), ""Unclassified"", IF(I4319 = """", ""NR"", I4319))"),"PG-13")</f>
        <v>PG-13</v>
      </c>
      <c r="R4319" s="5" t="str">
        <f t="shared" si="2"/>
        <v>Dumplin'</v>
      </c>
      <c r="S4319" s="5" t="str">
        <f>IFERROR(__xludf.DUMMYFUNCTION("""COMPUTED_VALUE"""),"Made In China")</f>
        <v>Made In China</v>
      </c>
      <c r="U4319" s="5" t="str">
        <f>IFERROR(__xludf.DUMMYFUNCTION("""COMPUTED_VALUE"""),"Ken Burns, Christopher Loren Ewers, Erik Ewers")</f>
        <v>Ken Burns, Christopher Loren Ewers, Erik Ewers</v>
      </c>
      <c r="V4319" s="5" t="s">
        <v>5347</v>
      </c>
      <c r="W4319" s="5" t="str">
        <f t="shared" si="3"/>
        <v>Uzodinma Okpechi</v>
      </c>
      <c r="X4319" s="5">
        <f t="shared" si="4"/>
        <v>1</v>
      </c>
      <c r="Y4319" s="5" t="str">
        <f>IFERROR(__xludf.DUMMYFUNCTION("REGEXEXTRACT(J4319, ""^\d+"")"),"110")</f>
        <v>110</v>
      </c>
      <c r="Z4319" s="5" t="str">
        <f>IFERROR(__xludf.DUMMYFUNCTION("REGEXEXTRACT(J4319, ""[A-Za-z ]+$"")")," min")</f>
        <v> min</v>
      </c>
      <c r="AA4319" s="5" t="str">
        <f>IFERROR(__xludf.DUMMYFUNCTION("IF(REGEXMATCH(Z4319, ""Season""), ""TV Show"", ""Movie"")"),"Movie")</f>
        <v>Movie</v>
      </c>
    </row>
    <row r="4320">
      <c r="A4320" s="1" t="s">
        <v>23077</v>
      </c>
      <c r="B4320" s="1" t="s">
        <v>27</v>
      </c>
      <c r="C4320" s="1" t="s">
        <v>23078</v>
      </c>
      <c r="D4320" s="1" t="s">
        <v>14659</v>
      </c>
      <c r="E4320" s="1" t="s">
        <v>23079</v>
      </c>
      <c r="G4320" s="1" t="s">
        <v>23065</v>
      </c>
      <c r="H4320" s="1">
        <v>2018.0</v>
      </c>
      <c r="I4320" s="1" t="s">
        <v>506</v>
      </c>
      <c r="J4320" s="1" t="s">
        <v>4693</v>
      </c>
      <c r="K4320" s="1" t="s">
        <v>771</v>
      </c>
      <c r="L4320" s="1" t="s">
        <v>23080</v>
      </c>
      <c r="M4320" s="2" t="s">
        <v>12</v>
      </c>
      <c r="N4320" s="4">
        <f t="shared" si="1"/>
        <v>43441</v>
      </c>
      <c r="O4320" s="5" t="str">
        <f>IFERROR(__xludf.DUMMYFUNCTION("IF(REGEXMATCH(TRIM(I4320), ""^\d+\s*min""), ""Unclassified"", IF(I4320 = """", ""NR"", I4320))"),"TV-G")</f>
        <v>TV-G</v>
      </c>
      <c r="R4320" s="5" t="str">
        <f t="shared" si="2"/>
        <v>Free Rein: The Twelve Neighs Of Christmas</v>
      </c>
      <c r="S4320" s="5" t="str">
        <f>IFERROR(__xludf.DUMMYFUNCTION("""COMPUTED_VALUE"""),"Made In Mexico")</f>
        <v>Made In Mexico</v>
      </c>
      <c r="U4320" s="5" t="str">
        <f>IFERROR(__xludf.DUMMYFUNCTION("""COMPUTED_VALUE"""),"Park In-Je")</f>
        <v>Park In-Je</v>
      </c>
      <c r="V4320" s="5" t="s">
        <v>23081</v>
      </c>
      <c r="W4320" s="5" t="str">
        <f t="shared" si="3"/>
        <v>V C Abhilash</v>
      </c>
      <c r="X4320" s="5">
        <f t="shared" si="4"/>
        <v>1</v>
      </c>
      <c r="Y4320" s="5" t="str">
        <f>IFERROR(__xludf.DUMMYFUNCTION("REGEXEXTRACT(J4320, ""^\d+"")"),"58")</f>
        <v>58</v>
      </c>
      <c r="Z4320" s="5" t="str">
        <f>IFERROR(__xludf.DUMMYFUNCTION("REGEXEXTRACT(J4320, ""[A-Za-z ]+$"")")," min")</f>
        <v> min</v>
      </c>
      <c r="AA4320" s="5" t="str">
        <f>IFERROR(__xludf.DUMMYFUNCTION("IF(REGEXMATCH(Z4320, ""Season""), ""TV Show"", ""Movie"")"),"Movie")</f>
        <v>Movie</v>
      </c>
    </row>
    <row r="4321">
      <c r="A4321" s="1" t="s">
        <v>23082</v>
      </c>
      <c r="B4321" s="1" t="s">
        <v>27</v>
      </c>
      <c r="C4321" s="1" t="s">
        <v>23083</v>
      </c>
      <c r="D4321" s="1" t="s">
        <v>2027</v>
      </c>
      <c r="E4321" s="1" t="s">
        <v>23084</v>
      </c>
      <c r="F4321" s="1" t="s">
        <v>686</v>
      </c>
      <c r="G4321" s="1" t="s">
        <v>23065</v>
      </c>
      <c r="H4321" s="1">
        <v>2018.0</v>
      </c>
      <c r="I4321" s="1" t="s">
        <v>32</v>
      </c>
      <c r="J4321" s="1" t="s">
        <v>305</v>
      </c>
      <c r="K4321" s="1" t="s">
        <v>3738</v>
      </c>
      <c r="L4321" s="1" t="s">
        <v>23085</v>
      </c>
      <c r="M4321" s="2" t="s">
        <v>12</v>
      </c>
      <c r="N4321" s="4">
        <f t="shared" si="1"/>
        <v>43441</v>
      </c>
      <c r="O4321" s="5" t="str">
        <f>IFERROR(__xludf.DUMMYFUNCTION("IF(REGEXMATCH(TRIM(I4321), ""^\d+\s*min""), ""Unclassified"", IF(I4321 = """", ""NR"", I4321))"),"PG-13")</f>
        <v>PG-13</v>
      </c>
      <c r="R4321" s="5" t="str">
        <f t="shared" si="2"/>
        <v>Mowgli: Legend Of The Jungle</v>
      </c>
      <c r="S4321" s="5" t="str">
        <f>IFERROR(__xludf.DUMMYFUNCTION("""COMPUTED_VALUE"""),"Made You Look: A True Story About Fake Art")</f>
        <v>Made You Look: A True Story About Fake Art</v>
      </c>
      <c r="U4321" s="5" t="str">
        <f>IFERROR(__xludf.DUMMYFUNCTION("""COMPUTED_VALUE"""),"William Wyler")</f>
        <v>William Wyler</v>
      </c>
      <c r="V4321" s="5" t="s">
        <v>9627</v>
      </c>
      <c r="W4321" s="5" t="str">
        <f t="shared" si="3"/>
        <v>V Vignarajan</v>
      </c>
      <c r="X4321" s="5">
        <f t="shared" si="4"/>
        <v>2</v>
      </c>
      <c r="Y4321" s="5" t="str">
        <f>IFERROR(__xludf.DUMMYFUNCTION("REGEXEXTRACT(J4321, ""^\d+"")"),"105")</f>
        <v>105</v>
      </c>
      <c r="Z4321" s="5" t="str">
        <f>IFERROR(__xludf.DUMMYFUNCTION("REGEXEXTRACT(J4321, ""[A-Za-z ]+$"")")," min")</f>
        <v> min</v>
      </c>
      <c r="AA4321" s="5" t="str">
        <f>IFERROR(__xludf.DUMMYFUNCTION("IF(REGEXMATCH(Z4321, ""Season""), ""TV Show"", ""Movie"")"),"Movie")</f>
        <v>Movie</v>
      </c>
    </row>
    <row r="4322">
      <c r="A4322" s="1" t="s">
        <v>23086</v>
      </c>
      <c r="B4322" s="1" t="s">
        <v>37</v>
      </c>
      <c r="C4322" s="1" t="s">
        <v>23087</v>
      </c>
      <c r="E4322" s="1" t="s">
        <v>23088</v>
      </c>
      <c r="F4322" s="1" t="s">
        <v>30</v>
      </c>
      <c r="G4322" s="1" t="s">
        <v>23065</v>
      </c>
      <c r="H4322" s="1">
        <v>2018.0</v>
      </c>
      <c r="I4322" s="1" t="s">
        <v>42</v>
      </c>
      <c r="J4322" s="1" t="s">
        <v>43</v>
      </c>
      <c r="K4322" s="1" t="s">
        <v>23089</v>
      </c>
      <c r="L4322" s="1" t="s">
        <v>23090</v>
      </c>
      <c r="M4322" s="2" t="s">
        <v>12</v>
      </c>
      <c r="N4322" s="4">
        <f t="shared" si="1"/>
        <v>43441</v>
      </c>
      <c r="O4322" s="5" t="str">
        <f>IFERROR(__xludf.DUMMYFUNCTION("IF(REGEXMATCH(TRIM(I4322), ""^\d+\s*min""), ""Unclassified"", IF(I4322 = """", ""NR"", I4322))"),"TV-MA")</f>
        <v>TV-MA</v>
      </c>
      <c r="R4322" s="5" t="str">
        <f t="shared" si="2"/>
        <v>Neo Yokio</v>
      </c>
      <c r="S4322" s="5" t="str">
        <f>IFERROR(__xludf.DUMMYFUNCTION("""COMPUTED_VALUE"""),"Madness In The Desert")</f>
        <v>Madness In The Desert</v>
      </c>
      <c r="U4322" s="5" t="str">
        <f>IFERROR(__xludf.DUMMYFUNCTION("""COMPUTED_VALUE"""),"Grant Heslov")</f>
        <v>Grant Heslov</v>
      </c>
      <c r="V4322" s="5" t="s">
        <v>23091</v>
      </c>
      <c r="W4322" s="5" t="str">
        <f t="shared" si="3"/>
        <v>V. K. Prakash</v>
      </c>
      <c r="X4322" s="5">
        <f t="shared" si="4"/>
        <v>1</v>
      </c>
      <c r="Y4322" s="5" t="str">
        <f>IFERROR(__xludf.DUMMYFUNCTION("REGEXEXTRACT(J4322, ""^\d+"")"),"2")</f>
        <v>2</v>
      </c>
      <c r="Z4322" s="5" t="str">
        <f>IFERROR(__xludf.DUMMYFUNCTION("REGEXEXTRACT(J4322, ""[A-Za-z ]+$"")")," Seasons")</f>
        <v> Seasons</v>
      </c>
      <c r="AA4322" s="5" t="str">
        <f>IFERROR(__xludf.DUMMYFUNCTION("IF(REGEXMATCH(Z4322, ""Season""), ""TV Show"", ""Movie"")"),"TV Show")</f>
        <v>TV Show</v>
      </c>
    </row>
    <row r="4323">
      <c r="A4323" s="1" t="s">
        <v>23092</v>
      </c>
      <c r="B4323" s="1" t="s">
        <v>37</v>
      </c>
      <c r="C4323" s="1" t="s">
        <v>23093</v>
      </c>
      <c r="D4323" s="1" t="s">
        <v>15122</v>
      </c>
      <c r="E4323" s="1" t="s">
        <v>23094</v>
      </c>
      <c r="F4323" s="1" t="s">
        <v>221</v>
      </c>
      <c r="G4323" s="1" t="s">
        <v>23065</v>
      </c>
      <c r="H4323" s="1">
        <v>2018.0</v>
      </c>
      <c r="I4323" s="1" t="s">
        <v>42</v>
      </c>
      <c r="J4323" s="1" t="s">
        <v>51</v>
      </c>
      <c r="K4323" s="1" t="s">
        <v>402</v>
      </c>
      <c r="L4323" s="1" t="s">
        <v>23095</v>
      </c>
      <c r="M4323" s="2" t="s">
        <v>12</v>
      </c>
      <c r="N4323" s="4">
        <f t="shared" si="1"/>
        <v>43441</v>
      </c>
      <c r="O4323" s="5" t="str">
        <f>IFERROR(__xludf.DUMMYFUNCTION("IF(REGEXMATCH(TRIM(I4323), ""^\d+\s*min""), ""Unclassified"", IF(I4323 = """", ""NR"", I4323))"),"TV-MA")</f>
        <v>TV-MA</v>
      </c>
      <c r="R4323" s="5" t="str">
        <f t="shared" si="2"/>
        <v>Pine Gap</v>
      </c>
      <c r="S4323" s="5" t="str">
        <f>IFERROR(__xludf.DUMMYFUNCTION("""COMPUTED_VALUE"""),"Madras Café")</f>
        <v>Madras Café</v>
      </c>
      <c r="U4323" s="5" t="str">
        <f>IFERROR(__xludf.DUMMYFUNCTION("""COMPUTED_VALUE"""),"Mads Matthiesen")</f>
        <v>Mads Matthiesen</v>
      </c>
      <c r="V4323" s="5" t="s">
        <v>23096</v>
      </c>
      <c r="W4323" s="5" t="str">
        <f t="shared" si="3"/>
        <v>V. Scott Balcerek</v>
      </c>
      <c r="X4323" s="5">
        <f t="shared" si="4"/>
        <v>1</v>
      </c>
      <c r="Y4323" s="5" t="str">
        <f>IFERROR(__xludf.DUMMYFUNCTION("REGEXEXTRACT(J4323, ""^\d+"")"),"1")</f>
        <v>1</v>
      </c>
      <c r="Z4323" s="5" t="str">
        <f>IFERROR(__xludf.DUMMYFUNCTION("REGEXEXTRACT(J4323, ""[A-Za-z ]+$"")")," Season")</f>
        <v> Season</v>
      </c>
      <c r="AA4323" s="5" t="str">
        <f>IFERROR(__xludf.DUMMYFUNCTION("IF(REGEXMATCH(Z4323, ""Season""), ""TV Show"", ""Movie"")"),"TV Show")</f>
        <v>TV Show</v>
      </c>
    </row>
    <row r="4324">
      <c r="A4324" s="1" t="s">
        <v>23097</v>
      </c>
      <c r="B4324" s="1" t="s">
        <v>27</v>
      </c>
      <c r="C4324" s="1" t="s">
        <v>23098</v>
      </c>
      <c r="D4324" s="1" t="s">
        <v>3817</v>
      </c>
      <c r="G4324" s="1" t="s">
        <v>23065</v>
      </c>
      <c r="H4324" s="1">
        <v>2018.0</v>
      </c>
      <c r="I4324" s="1" t="s">
        <v>42</v>
      </c>
      <c r="J4324" s="1" t="s">
        <v>1847</v>
      </c>
      <c r="K4324" s="1" t="s">
        <v>700</v>
      </c>
      <c r="L4324" s="1" t="s">
        <v>23099</v>
      </c>
      <c r="M4324" s="2" t="s">
        <v>12</v>
      </c>
      <c r="N4324" s="4">
        <f t="shared" si="1"/>
        <v>43441</v>
      </c>
      <c r="O4324" s="5" t="str">
        <f>IFERROR(__xludf.DUMMYFUNCTION("IF(REGEXMATCH(TRIM(I4324), ""^\d+\s*min""), ""Unclassified"", IF(I4324 = """", ""NR"", I4324))"),"TV-MA")</f>
        <v>TV-MA</v>
      </c>
      <c r="R4324" s="5" t="str">
        <f t="shared" si="2"/>
        <v>Remastered: Who Killed Jam Master Jay?</v>
      </c>
      <c r="S4324" s="5" t="str">
        <f>IFERROR(__xludf.DUMMYFUNCTION("""COMPUTED_VALUE"""),"Madre")</f>
        <v>Madre</v>
      </c>
      <c r="U4324" s="5" t="str">
        <f>IFERROR(__xludf.DUMMYFUNCTION("""COMPUTED_VALUE"""),"John Banas")</f>
        <v>John Banas</v>
      </c>
      <c r="V4324" s="5" t="s">
        <v>16962</v>
      </c>
      <c r="W4324" s="5" t="str">
        <f t="shared" si="3"/>
        <v>Vadim Jean</v>
      </c>
      <c r="X4324" s="5">
        <f t="shared" si="4"/>
        <v>1</v>
      </c>
      <c r="Y4324" s="5" t="str">
        <f>IFERROR(__xludf.DUMMYFUNCTION("REGEXEXTRACT(J4324, ""^\d+"")"),"59")</f>
        <v>59</v>
      </c>
      <c r="Z4324" s="5" t="str">
        <f>IFERROR(__xludf.DUMMYFUNCTION("REGEXEXTRACT(J4324, ""[A-Za-z ]+$"")")," min")</f>
        <v> min</v>
      </c>
      <c r="AA4324" s="5" t="str">
        <f>IFERROR(__xludf.DUMMYFUNCTION("IF(REGEXMATCH(Z4324, ""Season""), ""TV Show"", ""Movie"")"),"Movie")</f>
        <v>Movie</v>
      </c>
    </row>
    <row r="4325">
      <c r="A4325" s="1" t="s">
        <v>23100</v>
      </c>
      <c r="B4325" s="1" t="s">
        <v>27</v>
      </c>
      <c r="C4325" s="1" t="s">
        <v>23101</v>
      </c>
      <c r="D4325" s="1" t="s">
        <v>9879</v>
      </c>
      <c r="E4325" s="1" t="s">
        <v>23102</v>
      </c>
      <c r="G4325" s="1" t="s">
        <v>23065</v>
      </c>
      <c r="H4325" s="1">
        <v>2018.0</v>
      </c>
      <c r="I4325" s="1" t="s">
        <v>206</v>
      </c>
      <c r="J4325" s="1" t="s">
        <v>8852</v>
      </c>
      <c r="K4325" s="1" t="s">
        <v>80</v>
      </c>
      <c r="L4325" s="1" t="s">
        <v>23103</v>
      </c>
      <c r="M4325" s="2" t="s">
        <v>12</v>
      </c>
      <c r="N4325" s="4">
        <f t="shared" si="1"/>
        <v>43441</v>
      </c>
      <c r="O4325" s="5" t="str">
        <f>IFERROR(__xludf.DUMMYFUNCTION("IF(REGEXMATCH(TRIM(I4325), ""^\d+\s*min""), ""Unclassified"", IF(I4325 = """", ""NR"", I4325))"),"TV-Y")</f>
        <v>TV-Y</v>
      </c>
      <c r="R4325" s="5" t="str">
        <f t="shared" si="2"/>
        <v>Super Monsters And The Wish Star</v>
      </c>
      <c r="S4325" s="5" t="str">
        <f>IFERROR(__xludf.DUMMYFUNCTION("""COMPUTED_VALUE"""),"Maggie &amp; Bianca: Fashion Friends")</f>
        <v>Maggie &amp; Bianca: Fashion Friends</v>
      </c>
      <c r="U4325" s="5" t="str">
        <f>IFERROR(__xludf.DUMMYFUNCTION("""COMPUTED_VALUE"""),"Michael Radford")</f>
        <v>Michael Radford</v>
      </c>
      <c r="V4325" s="5" t="s">
        <v>23104</v>
      </c>
      <c r="W4325" s="5" t="str">
        <f t="shared" si="3"/>
        <v>Valeria Golino</v>
      </c>
      <c r="X4325" s="5">
        <f t="shared" si="4"/>
        <v>1</v>
      </c>
      <c r="Y4325" s="5" t="str">
        <f>IFERROR(__xludf.DUMMYFUNCTION("REGEXEXTRACT(J4325, ""^\d+"")"),"28")</f>
        <v>28</v>
      </c>
      <c r="Z4325" s="5" t="str">
        <f>IFERROR(__xludf.DUMMYFUNCTION("REGEXEXTRACT(J4325, ""[A-Za-z ]+$"")")," min")</f>
        <v> min</v>
      </c>
      <c r="AA4325" s="5" t="str">
        <f>IFERROR(__xludf.DUMMYFUNCTION("IF(REGEXMATCH(Z4325, ""Season""), ""TV Show"", ""Movie"")"),"Movie")</f>
        <v>Movie</v>
      </c>
    </row>
    <row r="4326">
      <c r="A4326" s="1" t="s">
        <v>23105</v>
      </c>
      <c r="B4326" s="1" t="s">
        <v>27</v>
      </c>
      <c r="C4326" s="1" t="s">
        <v>23106</v>
      </c>
      <c r="D4326" s="1" t="s">
        <v>3311</v>
      </c>
      <c r="E4326" s="1" t="s">
        <v>23107</v>
      </c>
      <c r="F4326" s="1" t="s">
        <v>30</v>
      </c>
      <c r="G4326" s="1" t="s">
        <v>23065</v>
      </c>
      <c r="H4326" s="1">
        <v>2018.0</v>
      </c>
      <c r="I4326" s="1" t="s">
        <v>42</v>
      </c>
      <c r="J4326" s="1" t="s">
        <v>357</v>
      </c>
      <c r="K4326" s="1" t="s">
        <v>34</v>
      </c>
      <c r="L4326" s="1" t="s">
        <v>23108</v>
      </c>
      <c r="M4326" s="2" t="s">
        <v>12</v>
      </c>
      <c r="N4326" s="4">
        <f t="shared" si="1"/>
        <v>43441</v>
      </c>
      <c r="O4326" s="5" t="str">
        <f>IFERROR(__xludf.DUMMYFUNCTION("IF(REGEXMATCH(TRIM(I4326), ""^\d+\s*min""), ""Unclassified"", IF(I4326 = """", ""NR"", I4326))"),"TV-MA")</f>
        <v>TV-MA</v>
      </c>
      <c r="R4326" s="5" t="str">
        <f t="shared" si="2"/>
        <v>The American Meme</v>
      </c>
      <c r="S4326" s="5" t="str">
        <f>IFERROR(__xludf.DUMMYFUNCTION("""COMPUTED_VALUE"""),"Magi: Adventure Of Sinbad")</f>
        <v>Magi: Adventure Of Sinbad</v>
      </c>
      <c r="U4326" s="5" t="str">
        <f>IFERROR(__xludf.DUMMYFUNCTION("""COMPUTED_VALUE"""),"Stuart Heisler")</f>
        <v>Stuart Heisler</v>
      </c>
      <c r="V4326" s="5" t="s">
        <v>18091</v>
      </c>
      <c r="W4326" s="5" t="str">
        <f t="shared" si="3"/>
        <v>Valli Bindana</v>
      </c>
      <c r="X4326" s="5">
        <f t="shared" si="4"/>
        <v>1</v>
      </c>
      <c r="Y4326" s="5" t="str">
        <f>IFERROR(__xludf.DUMMYFUNCTION("REGEXEXTRACT(J4326, ""^\d+"")"),"98")</f>
        <v>98</v>
      </c>
      <c r="Z4326" s="5" t="str">
        <f>IFERROR(__xludf.DUMMYFUNCTION("REGEXEXTRACT(J4326, ""[A-Za-z ]+$"")")," min")</f>
        <v> min</v>
      </c>
      <c r="AA4326" s="5" t="str">
        <f>IFERROR(__xludf.DUMMYFUNCTION("IF(REGEXMATCH(Z4326, ""Season""), ""TV Show"", ""Movie"")"),"Movie")</f>
        <v>Movie</v>
      </c>
    </row>
    <row r="4327">
      <c r="A4327" s="1" t="s">
        <v>23109</v>
      </c>
      <c r="B4327" s="1" t="s">
        <v>27</v>
      </c>
      <c r="C4327" s="1" t="s">
        <v>23110</v>
      </c>
      <c r="D4327" s="1" t="s">
        <v>4717</v>
      </c>
      <c r="E4327" s="1" t="s">
        <v>23111</v>
      </c>
      <c r="G4327" s="1" t="s">
        <v>23112</v>
      </c>
      <c r="H4327" s="1">
        <v>2018.0</v>
      </c>
      <c r="I4327" s="1" t="s">
        <v>42</v>
      </c>
      <c r="J4327" s="1" t="s">
        <v>919</v>
      </c>
      <c r="K4327" s="1" t="s">
        <v>1839</v>
      </c>
      <c r="L4327" s="1" t="s">
        <v>23113</v>
      </c>
      <c r="M4327" s="2" t="s">
        <v>12</v>
      </c>
      <c r="N4327" s="4">
        <f t="shared" si="1"/>
        <v>43438</v>
      </c>
      <c r="O4327" s="5" t="str">
        <f>IFERROR(__xludf.DUMMYFUNCTION("IF(REGEXMATCH(TRIM(I4327), ""^\d+\s*min""), ""Unclassified"", IF(I4327 = """", ""NR"", I4327))"),"TV-MA")</f>
        <v>TV-MA</v>
      </c>
      <c r="R4327" s="5" t="str">
        <f t="shared" si="2"/>
        <v>Russell Brand: Re:Birth</v>
      </c>
      <c r="S4327" s="5" t="str">
        <f>IFERROR(__xludf.DUMMYFUNCTION("""COMPUTED_VALUE"""),"Magi: The Labyrinth Of Magic")</f>
        <v>Magi: The Labyrinth Of Magic</v>
      </c>
      <c r="U4327" s="5" t="str">
        <f>IFERROR(__xludf.DUMMYFUNCTION("""COMPUTED_VALUE"""),"Carly Stone")</f>
        <v>Carly Stone</v>
      </c>
      <c r="V4327" s="5" t="s">
        <v>23114</v>
      </c>
      <c r="W4327" s="5" t="str">
        <f t="shared" si="3"/>
        <v>Van M. Pham</v>
      </c>
      <c r="X4327" s="5">
        <f t="shared" si="4"/>
        <v>1</v>
      </c>
      <c r="Y4327" s="5" t="str">
        <f>IFERROR(__xludf.DUMMYFUNCTION("REGEXEXTRACT(J4327, ""^\d+"")"),"63")</f>
        <v>63</v>
      </c>
      <c r="Z4327" s="5" t="str">
        <f>IFERROR(__xludf.DUMMYFUNCTION("REGEXEXTRACT(J4327, ""[A-Za-z ]+$"")")," min")</f>
        <v> min</v>
      </c>
      <c r="AA4327" s="5" t="str">
        <f>IFERROR(__xludf.DUMMYFUNCTION("IF(REGEXMATCH(Z4327, ""Season""), ""TV Show"", ""Movie"")"),"Movie")</f>
        <v>Movie</v>
      </c>
    </row>
    <row r="4328">
      <c r="A4328" s="1" t="s">
        <v>23115</v>
      </c>
      <c r="B4328" s="1" t="s">
        <v>37</v>
      </c>
      <c r="C4328" s="1" t="s">
        <v>23116</v>
      </c>
      <c r="E4328" s="1" t="s">
        <v>23117</v>
      </c>
      <c r="F4328" s="1" t="s">
        <v>749</v>
      </c>
      <c r="G4328" s="1" t="s">
        <v>23118</v>
      </c>
      <c r="H4328" s="1">
        <v>2018.0</v>
      </c>
      <c r="I4328" s="1" t="s">
        <v>97</v>
      </c>
      <c r="J4328" s="1" t="s">
        <v>43</v>
      </c>
      <c r="K4328" s="1" t="s">
        <v>4219</v>
      </c>
      <c r="L4328" s="1" t="s">
        <v>23119</v>
      </c>
      <c r="M4328" s="2" t="s">
        <v>12</v>
      </c>
      <c r="N4328" s="4">
        <f t="shared" si="1"/>
        <v>43437</v>
      </c>
      <c r="O4328" s="5" t="str">
        <f>IFERROR(__xludf.DUMMYFUNCTION("IF(REGEXMATCH(TRIM(I4328), ""^\d+\s*min""), ""Unclassified"", IF(I4328 = """", ""NR"", I4328))"),"TV-14")</f>
        <v>TV-14</v>
      </c>
      <c r="R4328" s="5" t="str">
        <f t="shared" si="2"/>
        <v>The Sound Of Your Heart: Reboot</v>
      </c>
      <c r="S4328" s="5" t="str">
        <f>IFERROR(__xludf.DUMMYFUNCTION("""COMPUTED_VALUE"""),"Magic For Humans")</f>
        <v>Magic For Humans</v>
      </c>
      <c r="U4328" s="5" t="str">
        <f>IFERROR(__xludf.DUMMYFUNCTION("""COMPUTED_VALUE"""),"Stefan Aust, Dirk Laabs")</f>
        <v>Stefan Aust, Dirk Laabs</v>
      </c>
      <c r="V4328" s="5" t="s">
        <v>18908</v>
      </c>
      <c r="W4328" s="5" t="str">
        <f t="shared" si="3"/>
        <v>Vandana Kataria</v>
      </c>
      <c r="X4328" s="5">
        <f t="shared" si="4"/>
        <v>1</v>
      </c>
      <c r="Y4328" s="5" t="str">
        <f>IFERROR(__xludf.DUMMYFUNCTION("REGEXEXTRACT(J4328, ""^\d+"")"),"2")</f>
        <v>2</v>
      </c>
      <c r="Z4328" s="5" t="str">
        <f>IFERROR(__xludf.DUMMYFUNCTION("REGEXEXTRACT(J4328, ""[A-Za-z ]+$"")")," Seasons")</f>
        <v> Seasons</v>
      </c>
      <c r="AA4328" s="5" t="str">
        <f>IFERROR(__xludf.DUMMYFUNCTION("IF(REGEXMATCH(Z4328, ""Season""), ""TV Show"", ""Movie"")"),"TV Show")</f>
        <v>TV Show</v>
      </c>
    </row>
    <row r="4329">
      <c r="A4329" s="1" t="s">
        <v>23120</v>
      </c>
      <c r="B4329" s="1" t="s">
        <v>37</v>
      </c>
      <c r="C4329" s="1" t="s">
        <v>23121</v>
      </c>
      <c r="E4329" s="1" t="s">
        <v>23122</v>
      </c>
      <c r="F4329" s="1" t="s">
        <v>749</v>
      </c>
      <c r="G4329" s="1" t="s">
        <v>23123</v>
      </c>
      <c r="H4329" s="1">
        <v>2018.0</v>
      </c>
      <c r="I4329" s="1" t="s">
        <v>42</v>
      </c>
      <c r="J4329" s="1" t="s">
        <v>51</v>
      </c>
      <c r="K4329" s="1" t="s">
        <v>6338</v>
      </c>
      <c r="L4329" s="1" t="s">
        <v>23124</v>
      </c>
      <c r="M4329" s="2" t="s">
        <v>12</v>
      </c>
      <c r="N4329" s="4">
        <f t="shared" si="1"/>
        <v>43436</v>
      </c>
      <c r="O4329" s="5" t="str">
        <f>IFERROR(__xludf.DUMMYFUNCTION("IF(REGEXMATCH(TRIM(I4329), ""^\d+\s*min""), ""Unclassified"", IF(I4329 = """", ""NR"", I4329))"),"TV-MA")</f>
        <v>TV-MA</v>
      </c>
      <c r="R4329" s="5" t="str">
        <f t="shared" si="2"/>
        <v>Memories Of The Alhambra</v>
      </c>
      <c r="S4329" s="5" t="str">
        <f>IFERROR(__xludf.DUMMYFUNCTION("""COMPUTED_VALUE"""),"Magic For Humans Spain")</f>
        <v>Magic For Humans Spain</v>
      </c>
      <c r="U4329" s="5" t="str">
        <f>IFERROR(__xludf.DUMMYFUNCTION("""COMPUTED_VALUE"""),"Lasse Hallström, Joe Johnston")</f>
        <v>Lasse Hallström, Joe Johnston</v>
      </c>
      <c r="V4329" s="5" t="s">
        <v>23125</v>
      </c>
      <c r="W4329" s="5" t="str">
        <f t="shared" si="3"/>
        <v>Vanessa Roth</v>
      </c>
      <c r="X4329" s="5">
        <f t="shared" si="4"/>
        <v>1</v>
      </c>
      <c r="Y4329" s="5" t="str">
        <f>IFERROR(__xludf.DUMMYFUNCTION("REGEXEXTRACT(J4329, ""^\d+"")"),"1")</f>
        <v>1</v>
      </c>
      <c r="Z4329" s="5" t="str">
        <f>IFERROR(__xludf.DUMMYFUNCTION("REGEXEXTRACT(J4329, ""[A-Za-z ]+$"")")," Season")</f>
        <v> Season</v>
      </c>
      <c r="AA4329" s="5" t="str">
        <f>IFERROR(__xludf.DUMMYFUNCTION("IF(REGEXMATCH(Z4329, ""Season""), ""TV Show"", ""Movie"")"),"TV Show")</f>
        <v>TV Show</v>
      </c>
    </row>
    <row r="4330">
      <c r="A4330" s="1" t="s">
        <v>23126</v>
      </c>
      <c r="B4330" s="1" t="s">
        <v>27</v>
      </c>
      <c r="C4330" s="1" t="s">
        <v>23127</v>
      </c>
      <c r="D4330" s="1" t="s">
        <v>688</v>
      </c>
      <c r="E4330" s="1" t="s">
        <v>23128</v>
      </c>
      <c r="F4330" s="1" t="s">
        <v>19350</v>
      </c>
      <c r="G4330" s="1" t="s">
        <v>23123</v>
      </c>
      <c r="H4330" s="1">
        <v>2018.0</v>
      </c>
      <c r="I4330" s="1" t="s">
        <v>97</v>
      </c>
      <c r="J4330" s="1" t="s">
        <v>3511</v>
      </c>
      <c r="K4330" s="1" t="s">
        <v>1328</v>
      </c>
      <c r="L4330" s="1" t="s">
        <v>23129</v>
      </c>
      <c r="M4330" s="2" t="s">
        <v>12</v>
      </c>
      <c r="N4330" s="4">
        <f t="shared" si="1"/>
        <v>43436</v>
      </c>
      <c r="O4330" s="5" t="str">
        <f>IFERROR(__xludf.DUMMYFUNCTION("IF(REGEXMATCH(TRIM(I4330), ""^\d+\s*min""), ""Unclassified"", IF(I4330 = """", ""NR"", I4330))"),"TV-14")</f>
        <v>TV-14</v>
      </c>
      <c r="R4330" s="5" t="str">
        <f t="shared" si="2"/>
        <v>Teefa In Trouble</v>
      </c>
      <c r="S4330" s="5" t="str">
        <f>IFERROR(__xludf.DUMMYFUNCTION("""COMPUTED_VALUE"""),"Magic Phone")</f>
        <v>Magic Phone</v>
      </c>
      <c r="U4330" s="5" t="str">
        <f>IFERROR(__xludf.DUMMYFUNCTION("""COMPUTED_VALUE"""),"John Duigan")</f>
        <v>John Duigan</v>
      </c>
      <c r="V4330" s="5" t="s">
        <v>23130</v>
      </c>
      <c r="W4330" s="5" t="str">
        <f t="shared" si="3"/>
        <v>Varun Narvekar</v>
      </c>
      <c r="X4330" s="5">
        <f t="shared" si="4"/>
        <v>1</v>
      </c>
      <c r="Y4330" s="5" t="str">
        <f>IFERROR(__xludf.DUMMYFUNCTION("REGEXEXTRACT(J4330, ""^\d+"")"),"155")</f>
        <v>155</v>
      </c>
      <c r="Z4330" s="5" t="str">
        <f>IFERROR(__xludf.DUMMYFUNCTION("REGEXEXTRACT(J4330, ""[A-Za-z ]+$"")")," min")</f>
        <v> min</v>
      </c>
      <c r="AA4330" s="5" t="str">
        <f>IFERROR(__xludf.DUMMYFUNCTION("IF(REGEXMATCH(Z4330, ""Season""), ""TV Show"", ""Movie"")"),"Movie")</f>
        <v>Movie</v>
      </c>
    </row>
    <row r="4331">
      <c r="A4331" s="1" t="s">
        <v>23131</v>
      </c>
      <c r="B4331" s="1" t="s">
        <v>27</v>
      </c>
      <c r="C4331" s="1" t="s">
        <v>23132</v>
      </c>
      <c r="D4331" s="1" t="s">
        <v>1903</v>
      </c>
      <c r="E4331" s="1" t="s">
        <v>23133</v>
      </c>
      <c r="F4331" s="1" t="s">
        <v>1064</v>
      </c>
      <c r="G4331" s="1" t="s">
        <v>23134</v>
      </c>
      <c r="H4331" s="1">
        <v>2011.0</v>
      </c>
      <c r="I4331" s="1" t="s">
        <v>97</v>
      </c>
      <c r="J4331" s="1" t="s">
        <v>393</v>
      </c>
      <c r="K4331" s="1" t="s">
        <v>679</v>
      </c>
      <c r="L4331" s="1" t="s">
        <v>23135</v>
      </c>
      <c r="M4331" s="2" t="s">
        <v>12</v>
      </c>
      <c r="N4331" s="4">
        <f t="shared" si="1"/>
        <v>43435</v>
      </c>
      <c r="O4331" s="5" t="str">
        <f>IFERROR(__xludf.DUMMYFUNCTION("IF(REGEXMATCH(TRIM(I4331), ""^\d+\s*min""), ""Unclassified"", IF(I4331 = """", ""NR"", I4331))"),"TV-14")</f>
        <v>TV-14</v>
      </c>
      <c r="R4331" s="5" t="str">
        <f t="shared" si="2"/>
        <v>A Beautiful Life</v>
      </c>
      <c r="S4331" s="5" t="str">
        <f>IFERROR(__xludf.DUMMYFUNCTION("""COMPUTED_VALUE"""),"Magic Snowflake")</f>
        <v>Magic Snowflake</v>
      </c>
      <c r="U4331" s="5" t="str">
        <f>IFERROR(__xludf.DUMMYFUNCTION("""COMPUTED_VALUE"""),"Ben A. Williams")</f>
        <v>Ben A. Williams</v>
      </c>
      <c r="V4331" s="5" t="s">
        <v>20665</v>
      </c>
      <c r="W4331" s="5" t="str">
        <f t="shared" si="3"/>
        <v>Vasan Bala</v>
      </c>
      <c r="X4331" s="5">
        <f t="shared" si="4"/>
        <v>1</v>
      </c>
      <c r="Y4331" s="5" t="str">
        <f>IFERROR(__xludf.DUMMYFUNCTION("REGEXEXTRACT(J4331, ""^\d+"")"),"122")</f>
        <v>122</v>
      </c>
      <c r="Z4331" s="5" t="str">
        <f>IFERROR(__xludf.DUMMYFUNCTION("REGEXEXTRACT(J4331, ""[A-Za-z ]+$"")")," min")</f>
        <v> min</v>
      </c>
      <c r="AA4331" s="5" t="str">
        <f>IFERROR(__xludf.DUMMYFUNCTION("IF(REGEXMATCH(Z4331, ""Season""), ""TV Show"", ""Movie"")"),"Movie")</f>
        <v>Movie</v>
      </c>
    </row>
    <row r="4332">
      <c r="A4332" s="1" t="s">
        <v>23136</v>
      </c>
      <c r="B4332" s="1" t="s">
        <v>27</v>
      </c>
      <c r="C4332" s="1" t="s">
        <v>23137</v>
      </c>
      <c r="D4332" s="1" t="s">
        <v>4527</v>
      </c>
      <c r="E4332" s="1" t="s">
        <v>23138</v>
      </c>
      <c r="F4332" s="1" t="s">
        <v>1119</v>
      </c>
      <c r="G4332" s="1" t="s">
        <v>23134</v>
      </c>
      <c r="H4332" s="1">
        <v>2009.0</v>
      </c>
      <c r="I4332" s="1" t="s">
        <v>42</v>
      </c>
      <c r="J4332" s="1" t="s">
        <v>630</v>
      </c>
      <c r="K4332" s="1" t="s">
        <v>631</v>
      </c>
      <c r="L4332" s="1" t="s">
        <v>23139</v>
      </c>
      <c r="M4332" s="2" t="s">
        <v>12</v>
      </c>
      <c r="N4332" s="4">
        <f t="shared" si="1"/>
        <v>43435</v>
      </c>
      <c r="O4332" s="5" t="str">
        <f>IFERROR(__xludf.DUMMYFUNCTION("IF(REGEXMATCH(TRIM(I4332), ""^\d+\s*min""), ""Unclassified"", IF(I4332 = """", ""NR"", I4332))"),"TV-MA")</f>
        <v>TV-MA</v>
      </c>
      <c r="R4332" s="5" t="str">
        <f t="shared" si="2"/>
        <v>Accident</v>
      </c>
      <c r="S4332" s="5" t="str">
        <f>IFERROR(__xludf.DUMMYFUNCTION("""COMPUTED_VALUE"""),"Magical Andes")</f>
        <v>Magical Andes</v>
      </c>
      <c r="U4332" s="5" t="str">
        <f>IFERROR(__xludf.DUMMYFUNCTION("""COMPUTED_VALUE"""),"Mimi Leder")</f>
        <v>Mimi Leder</v>
      </c>
      <c r="V4332" s="5" t="s">
        <v>12493</v>
      </c>
      <c r="W4332" s="5" t="str">
        <f t="shared" si="3"/>
        <v>Venkatesh Maha</v>
      </c>
      <c r="X4332" s="5">
        <f t="shared" si="4"/>
        <v>1</v>
      </c>
      <c r="Y4332" s="5" t="str">
        <f>IFERROR(__xludf.DUMMYFUNCTION("REGEXEXTRACT(J4332, ""^\d+"")"),"87")</f>
        <v>87</v>
      </c>
      <c r="Z4332" s="5" t="str">
        <f>IFERROR(__xludf.DUMMYFUNCTION("REGEXEXTRACT(J4332, ""[A-Za-z ]+$"")")," min")</f>
        <v> min</v>
      </c>
      <c r="AA4332" s="5" t="str">
        <f>IFERROR(__xludf.DUMMYFUNCTION("IF(REGEXMATCH(Z4332, ""Season""), ""TV Show"", ""Movie"")"),"Movie")</f>
        <v>Movie</v>
      </c>
    </row>
    <row r="4333">
      <c r="A4333" s="1" t="s">
        <v>23140</v>
      </c>
      <c r="B4333" s="1" t="s">
        <v>27</v>
      </c>
      <c r="C4333" s="1" t="s">
        <v>23141</v>
      </c>
      <c r="D4333" s="1" t="s">
        <v>7111</v>
      </c>
      <c r="F4333" s="1" t="s">
        <v>162</v>
      </c>
      <c r="G4333" s="1" t="s">
        <v>23134</v>
      </c>
      <c r="H4333" s="1">
        <v>2018.0</v>
      </c>
      <c r="I4333" s="1" t="s">
        <v>42</v>
      </c>
      <c r="J4333" s="1" t="s">
        <v>5120</v>
      </c>
      <c r="K4333" s="1" t="s">
        <v>156</v>
      </c>
      <c r="L4333" s="1" t="s">
        <v>23142</v>
      </c>
      <c r="M4333" s="2" t="s">
        <v>12</v>
      </c>
      <c r="N4333" s="4">
        <f t="shared" si="1"/>
        <v>43435</v>
      </c>
      <c r="O4333" s="5" t="str">
        <f>IFERROR(__xludf.DUMMYFUNCTION("IF(REGEXMATCH(TRIM(I4333), ""^\d+\s*min""), ""Unclassified"", IF(I4333 = """", ""NR"", I4333))"),"TV-MA")</f>
        <v>TV-MA</v>
      </c>
      <c r="R4333" s="5" t="str">
        <f t="shared" si="2"/>
        <v>Ayotzinapa, El Paso De La Tortuga</v>
      </c>
      <c r="S4333" s="5" t="str">
        <f>IFERROR(__xludf.DUMMYFUNCTION("""COMPUTED_VALUE"""),"Magnetic")</f>
        <v>Magnetic</v>
      </c>
      <c r="U4333" s="5" t="str">
        <f>IFERROR(__xludf.DUMMYFUNCTION("""COMPUTED_VALUE"""),"Alan J. Pakula")</f>
        <v>Alan J. Pakula</v>
      </c>
      <c r="V4333" s="5" t="s">
        <v>14758</v>
      </c>
      <c r="W4333" s="5" t="str">
        <f t="shared" si="3"/>
        <v>Venky Kudumula</v>
      </c>
      <c r="X4333" s="5">
        <f t="shared" si="4"/>
        <v>1</v>
      </c>
      <c r="Y4333" s="5" t="str">
        <f>IFERROR(__xludf.DUMMYFUNCTION("REGEXEXTRACT(J4333, ""^\d+"")"),"73")</f>
        <v>73</v>
      </c>
      <c r="Z4333" s="5" t="str">
        <f>IFERROR(__xludf.DUMMYFUNCTION("REGEXEXTRACT(J4333, ""[A-Za-z ]+$"")")," min")</f>
        <v> min</v>
      </c>
      <c r="AA4333" s="5" t="str">
        <f>IFERROR(__xludf.DUMMYFUNCTION("IF(REGEXMATCH(Z4333, ""Season""), ""TV Show"", ""Movie"")"),"Movie")</f>
        <v>Movie</v>
      </c>
    </row>
    <row r="4334">
      <c r="A4334" s="1" t="s">
        <v>23143</v>
      </c>
      <c r="B4334" s="1" t="s">
        <v>27</v>
      </c>
      <c r="C4334" s="1" t="s">
        <v>23144</v>
      </c>
      <c r="D4334" s="1" t="s">
        <v>12490</v>
      </c>
      <c r="E4334" s="1" t="s">
        <v>23145</v>
      </c>
      <c r="F4334" s="1" t="s">
        <v>23146</v>
      </c>
      <c r="G4334" s="1" t="s">
        <v>23134</v>
      </c>
      <c r="H4334" s="1">
        <v>2018.0</v>
      </c>
      <c r="I4334" s="1" t="s">
        <v>42</v>
      </c>
      <c r="J4334" s="1" t="s">
        <v>357</v>
      </c>
      <c r="K4334" s="1" t="s">
        <v>679</v>
      </c>
      <c r="L4334" s="1" t="s">
        <v>23147</v>
      </c>
      <c r="M4334" s="2" t="s">
        <v>12</v>
      </c>
      <c r="N4334" s="4">
        <f t="shared" si="1"/>
        <v>43435</v>
      </c>
      <c r="O4334" s="5" t="str">
        <f>IFERROR(__xludf.DUMMYFUNCTION("IF(REGEXMATCH(TRIM(I4334), ""^\d+\s*min""), ""Unclassified"", IF(I4334 = """", ""NR"", I4334))"),"TV-MA")</f>
        <v>TV-MA</v>
      </c>
      <c r="R4334" s="5" t="str">
        <f t="shared" si="2"/>
        <v>Battle</v>
      </c>
      <c r="S4334" s="5" t="str">
        <f>IFERROR(__xludf.DUMMYFUNCTION("""COMPUTED_VALUE"""),"Magnificent")</f>
        <v>Magnificent</v>
      </c>
      <c r="U4334" s="5" t="str">
        <f>IFERROR(__xludf.DUMMYFUNCTION("""COMPUTED_VALUE"""),"Jean-Pierre Devillers")</f>
        <v>Jean-Pierre Devillers</v>
      </c>
      <c r="V4334" s="5" t="s">
        <v>23148</v>
      </c>
      <c r="W4334" s="5" t="str">
        <f t="shared" si="3"/>
        <v>Venugopan</v>
      </c>
      <c r="X4334" s="5">
        <f t="shared" si="4"/>
        <v>1</v>
      </c>
      <c r="Y4334" s="5" t="str">
        <f>IFERROR(__xludf.DUMMYFUNCTION("REGEXEXTRACT(J4334, ""^\d+"")"),"98")</f>
        <v>98</v>
      </c>
      <c r="Z4334" s="5" t="str">
        <f>IFERROR(__xludf.DUMMYFUNCTION("REGEXEXTRACT(J4334, ""[A-Za-z ]+$"")")," min")</f>
        <v> min</v>
      </c>
      <c r="AA4334" s="5" t="str">
        <f>IFERROR(__xludf.DUMMYFUNCTION("IF(REGEXMATCH(Z4334, ""Season""), ""TV Show"", ""Movie"")"),"Movie")</f>
        <v>Movie</v>
      </c>
    </row>
    <row r="4335">
      <c r="A4335" s="1" t="s">
        <v>23149</v>
      </c>
      <c r="B4335" s="1" t="s">
        <v>27</v>
      </c>
      <c r="C4335" s="1" t="s">
        <v>23150</v>
      </c>
      <c r="D4335" s="1" t="s">
        <v>11517</v>
      </c>
      <c r="E4335" s="1" t="s">
        <v>23151</v>
      </c>
      <c r="F4335" s="1" t="s">
        <v>12646</v>
      </c>
      <c r="G4335" s="1" t="s">
        <v>23134</v>
      </c>
      <c r="H4335" s="1">
        <v>2013.0</v>
      </c>
      <c r="I4335" s="1" t="s">
        <v>42</v>
      </c>
      <c r="J4335" s="1" t="s">
        <v>2281</v>
      </c>
      <c r="K4335" s="1" t="s">
        <v>1328</v>
      </c>
      <c r="L4335" s="1" t="s">
        <v>23152</v>
      </c>
      <c r="M4335" s="2" t="s">
        <v>12</v>
      </c>
      <c r="N4335" s="4">
        <f t="shared" si="1"/>
        <v>43435</v>
      </c>
      <c r="O4335" s="5" t="str">
        <f>IFERROR(__xludf.DUMMYFUNCTION("IF(REGEXMATCH(TRIM(I4335), ""^\d+\s*min""), ""Unclassified"", IF(I4335 = """", ""NR"", I4335))"),"TV-MA")</f>
        <v>TV-MA</v>
      </c>
      <c r="R4335" s="5" t="str">
        <f t="shared" si="2"/>
        <v>Blind Detective</v>
      </c>
      <c r="S4335" s="5" t="str">
        <f>IFERROR(__xludf.DUMMYFUNCTION("""COMPUTED_VALUE"""),"Magnolia")</f>
        <v>Magnolia</v>
      </c>
      <c r="U4335" s="5" t="str">
        <f>IFERROR(__xludf.DUMMYFUNCTION("""COMPUTED_VALUE"""),"Stephen Chbosky")</f>
        <v>Stephen Chbosky</v>
      </c>
      <c r="V4335" s="5" t="s">
        <v>1666</v>
      </c>
      <c r="W4335" s="5" t="str">
        <f t="shared" si="3"/>
        <v>Veronica Velasco</v>
      </c>
      <c r="X4335" s="5">
        <f t="shared" si="4"/>
        <v>1</v>
      </c>
      <c r="Y4335" s="5" t="str">
        <f>IFERROR(__xludf.DUMMYFUNCTION("REGEXEXTRACT(J4335, ""^\d+"")"),"130")</f>
        <v>130</v>
      </c>
      <c r="Z4335" s="5" t="str">
        <f>IFERROR(__xludf.DUMMYFUNCTION("REGEXEXTRACT(J4335, ""[A-Za-z ]+$"")")," min")</f>
        <v> min</v>
      </c>
      <c r="AA4335" s="5" t="str">
        <f>IFERROR(__xludf.DUMMYFUNCTION("IF(REGEXMATCH(Z4335, ""Season""), ""TV Show"", ""Movie"")"),"Movie")</f>
        <v>Movie</v>
      </c>
    </row>
    <row r="4336">
      <c r="A4336" s="1" t="s">
        <v>23153</v>
      </c>
      <c r="B4336" s="1" t="s">
        <v>27</v>
      </c>
      <c r="C4336" s="1" t="s">
        <v>23154</v>
      </c>
      <c r="D4336" s="1" t="s">
        <v>13470</v>
      </c>
      <c r="E4336" s="1" t="s">
        <v>23155</v>
      </c>
      <c r="F4336" s="1" t="s">
        <v>1119</v>
      </c>
      <c r="G4336" s="1" t="s">
        <v>23134</v>
      </c>
      <c r="H4336" s="1">
        <v>2014.0</v>
      </c>
      <c r="I4336" s="1" t="s">
        <v>97</v>
      </c>
      <c r="J4336" s="1" t="s">
        <v>305</v>
      </c>
      <c r="K4336" s="1" t="s">
        <v>215</v>
      </c>
      <c r="L4336" s="1" t="s">
        <v>23156</v>
      </c>
      <c r="M4336" s="2" t="s">
        <v>12</v>
      </c>
      <c r="N4336" s="4">
        <f t="shared" si="1"/>
        <v>43435</v>
      </c>
      <c r="O4336" s="5" t="str">
        <f>IFERROR(__xludf.DUMMYFUNCTION("IF(REGEXMATCH(TRIM(I4336), ""^\d+\s*min""), ""Unclassified"", IF(I4336 = """", ""NR"", I4336))"),"TV-14")</f>
        <v>TV-14</v>
      </c>
      <c r="R4336" s="5" t="str">
        <f t="shared" si="2"/>
        <v>Break Up 100</v>
      </c>
      <c r="S4336" s="5" t="str">
        <f>IFERROR(__xludf.DUMMYFUNCTION("""COMPUTED_VALUE"""),"Magnus")</f>
        <v>Magnus</v>
      </c>
      <c r="U4336" s="5" t="str">
        <f>IFERROR(__xludf.DUMMYFUNCTION("""COMPUTED_VALUE"""),"Joel Schumacher")</f>
        <v>Joel Schumacher</v>
      </c>
      <c r="V4336" s="5" t="s">
        <v>23157</v>
      </c>
      <c r="W4336" s="5" t="str">
        <f t="shared" si="3"/>
        <v>Vetrimaaran</v>
      </c>
      <c r="X4336" s="5">
        <f t="shared" si="4"/>
        <v>1</v>
      </c>
      <c r="Y4336" s="5" t="str">
        <f>IFERROR(__xludf.DUMMYFUNCTION("REGEXEXTRACT(J4336, ""^\d+"")"),"105")</f>
        <v>105</v>
      </c>
      <c r="Z4336" s="5" t="str">
        <f>IFERROR(__xludf.DUMMYFUNCTION("REGEXEXTRACT(J4336, ""[A-Za-z ]+$"")")," min")</f>
        <v> min</v>
      </c>
      <c r="AA4336" s="5" t="str">
        <f>IFERROR(__xludf.DUMMYFUNCTION("IF(REGEXMATCH(Z4336, ""Season""), ""TV Show"", ""Movie"")"),"Movie")</f>
        <v>Movie</v>
      </c>
    </row>
    <row r="4337">
      <c r="A4337" s="1" t="s">
        <v>23158</v>
      </c>
      <c r="B4337" s="1" t="s">
        <v>27</v>
      </c>
      <c r="C4337" s="1" t="s">
        <v>23159</v>
      </c>
      <c r="D4337" s="1" t="s">
        <v>18335</v>
      </c>
      <c r="E4337" s="1" t="s">
        <v>23160</v>
      </c>
      <c r="F4337" s="1" t="s">
        <v>63</v>
      </c>
      <c r="G4337" s="1" t="s">
        <v>23134</v>
      </c>
      <c r="H4337" s="1">
        <v>2014.0</v>
      </c>
      <c r="I4337" s="1" t="s">
        <v>97</v>
      </c>
      <c r="J4337" s="1" t="s">
        <v>297</v>
      </c>
      <c r="K4337" s="1" t="s">
        <v>583</v>
      </c>
      <c r="L4337" s="1" t="s">
        <v>23161</v>
      </c>
      <c r="M4337" s="2" t="s">
        <v>12</v>
      </c>
      <c r="N4337" s="4">
        <f t="shared" si="1"/>
        <v>43435</v>
      </c>
      <c r="O4337" s="5" t="str">
        <f>IFERROR(__xludf.DUMMYFUNCTION("IF(REGEXMATCH(TRIM(I4337), ""^\d+\s*min""), ""Unclassified"", IF(I4337 = """", ""NR"", I4337))"),"TV-14")</f>
        <v>TV-14</v>
      </c>
      <c r="R4337" s="5" t="str">
        <f t="shared" si="2"/>
        <v>Chal Bhaag</v>
      </c>
      <c r="S4337" s="5" t="str">
        <f>IFERROR(__xludf.DUMMYFUNCTION("""COMPUTED_VALUE"""),"Mahabharat")</f>
        <v>Mahabharat</v>
      </c>
      <c r="U4337" s="5" t="str">
        <f>IFERROR(__xludf.DUMMYFUNCTION("""COMPUTED_VALUE"""),"Peggy Holmes")</f>
        <v>Peggy Holmes</v>
      </c>
      <c r="V4337" s="5" t="s">
        <v>23162</v>
      </c>
      <c r="W4337" s="5" t="str">
        <f t="shared" si="3"/>
        <v>Vibeke Idsøe</v>
      </c>
      <c r="X4337" s="5">
        <f t="shared" si="4"/>
        <v>1</v>
      </c>
      <c r="Y4337" s="5" t="str">
        <f>IFERROR(__xludf.DUMMYFUNCTION("REGEXEXTRACT(J4337, ""^\d+"")"),"110")</f>
        <v>110</v>
      </c>
      <c r="Z4337" s="5" t="str">
        <f>IFERROR(__xludf.DUMMYFUNCTION("REGEXEXTRACT(J4337, ""[A-Za-z ]+$"")")," min")</f>
        <v> min</v>
      </c>
      <c r="AA4337" s="5" t="str">
        <f>IFERROR(__xludf.DUMMYFUNCTION("IF(REGEXMATCH(Z4337, ""Season""), ""TV Show"", ""Movie"")"),"Movie")</f>
        <v>Movie</v>
      </c>
    </row>
    <row r="4338">
      <c r="A4338" s="1" t="s">
        <v>23163</v>
      </c>
      <c r="B4338" s="1" t="s">
        <v>27</v>
      </c>
      <c r="C4338" s="1" t="s">
        <v>23164</v>
      </c>
      <c r="D4338" s="1" t="s">
        <v>16513</v>
      </c>
      <c r="E4338" s="1" t="s">
        <v>23165</v>
      </c>
      <c r="F4338" s="1" t="s">
        <v>3321</v>
      </c>
      <c r="G4338" s="1" t="s">
        <v>23134</v>
      </c>
      <c r="H4338" s="1">
        <v>2018.0</v>
      </c>
      <c r="I4338" s="1" t="s">
        <v>97</v>
      </c>
      <c r="J4338" s="1" t="s">
        <v>2452</v>
      </c>
      <c r="K4338" s="1" t="s">
        <v>128</v>
      </c>
      <c r="L4338" s="1" t="s">
        <v>23166</v>
      </c>
      <c r="M4338" s="2" t="s">
        <v>12</v>
      </c>
      <c r="N4338" s="4">
        <f t="shared" si="1"/>
        <v>43435</v>
      </c>
      <c r="O4338" s="5" t="str">
        <f>IFERROR(__xludf.DUMMYFUNCTION("IF(REGEXMATCH(TRIM(I4338), ""^\d+\s*min""), ""Unclassified"", IF(I4338 = """", ""NR"", I4338))"),"TV-14")</f>
        <v>TV-14</v>
      </c>
      <c r="R4338" s="5" t="str">
        <f t="shared" si="2"/>
        <v>Crossroads: One Two Jaga</v>
      </c>
      <c r="S4338" s="5" t="str">
        <f>IFERROR(__xludf.DUMMYFUNCTION("""COMPUTED_VALUE"""),"Maharaja: The Story Of Ranjit Singh")</f>
        <v>Maharaja: The Story Of Ranjit Singh</v>
      </c>
      <c r="U4338" s="5" t="str">
        <f>IFERROR(__xludf.DUMMYFUNCTION("""COMPUTED_VALUE"""),"Bryan Buckley")</f>
        <v>Bryan Buckley</v>
      </c>
      <c r="V4338" s="5" t="s">
        <v>9755</v>
      </c>
      <c r="W4338" s="5" t="str">
        <f t="shared" si="3"/>
        <v>Vibhu Virender Puri</v>
      </c>
      <c r="X4338" s="5">
        <f t="shared" si="4"/>
        <v>1</v>
      </c>
      <c r="Y4338" s="5" t="str">
        <f>IFERROR(__xludf.DUMMYFUNCTION("REGEXEXTRACT(J4338, ""^\d+"")"),"81")</f>
        <v>81</v>
      </c>
      <c r="Z4338" s="5" t="str">
        <f>IFERROR(__xludf.DUMMYFUNCTION("REGEXEXTRACT(J4338, ""[A-Za-z ]+$"")")," min")</f>
        <v> min</v>
      </c>
      <c r="AA4338" s="5" t="str">
        <f>IFERROR(__xludf.DUMMYFUNCTION("IF(REGEXMATCH(Z4338, ""Season""), ""TV Show"", ""Movie"")"),"Movie")</f>
        <v>Movie</v>
      </c>
    </row>
    <row r="4339">
      <c r="A4339" s="1" t="s">
        <v>23167</v>
      </c>
      <c r="B4339" s="1" t="s">
        <v>27</v>
      </c>
      <c r="C4339" s="1" t="s">
        <v>23168</v>
      </c>
      <c r="D4339" s="1" t="s">
        <v>11517</v>
      </c>
      <c r="E4339" s="1" t="s">
        <v>23169</v>
      </c>
      <c r="F4339" s="1" t="s">
        <v>1119</v>
      </c>
      <c r="G4339" s="1" t="s">
        <v>23134</v>
      </c>
      <c r="H4339" s="1">
        <v>2011.0</v>
      </c>
      <c r="I4339" s="1" t="s">
        <v>136</v>
      </c>
      <c r="J4339" s="1" t="s">
        <v>379</v>
      </c>
      <c r="K4339" s="1" t="s">
        <v>215</v>
      </c>
      <c r="L4339" s="1" t="s">
        <v>23170</v>
      </c>
      <c r="M4339" s="2" t="s">
        <v>12</v>
      </c>
      <c r="N4339" s="4">
        <f t="shared" si="1"/>
        <v>43435</v>
      </c>
      <c r="O4339" s="5" t="str">
        <f>IFERROR(__xludf.DUMMYFUNCTION("IF(REGEXMATCH(TRIM(I4339), ""^\d+\s*min""), ""Unclassified"", IF(I4339 = """", ""NR"", I4339))"),"TV-PG")</f>
        <v>TV-PG</v>
      </c>
      <c r="R4339" s="5" t="str">
        <f t="shared" si="2"/>
        <v>Don'T Go Breaking My Heart</v>
      </c>
      <c r="S4339" s="5" t="str">
        <f>IFERROR(__xludf.DUMMYFUNCTION("""COMPUTED_VALUE"""),"Maharakshak Devi")</f>
        <v>Maharakshak Devi</v>
      </c>
      <c r="U4339" s="5" t="str">
        <f>IFERROR(__xludf.DUMMYFUNCTION("""COMPUTED_VALUE"""),"Peter Lord, Jeff Newitt")</f>
        <v>Peter Lord, Jeff Newitt</v>
      </c>
      <c r="V4339" s="5" t="s">
        <v>23171</v>
      </c>
      <c r="W4339" s="5" t="str">
        <f t="shared" si="3"/>
        <v>Vic Armstrong</v>
      </c>
      <c r="X4339" s="5">
        <f t="shared" si="4"/>
        <v>1</v>
      </c>
      <c r="Y4339" s="5" t="str">
        <f>IFERROR(__xludf.DUMMYFUNCTION("REGEXEXTRACT(J4339, ""^\d+"")"),"115")</f>
        <v>115</v>
      </c>
      <c r="Z4339" s="5" t="str">
        <f>IFERROR(__xludf.DUMMYFUNCTION("REGEXEXTRACT(J4339, ""[A-Za-z ]+$"")")," min")</f>
        <v> min</v>
      </c>
      <c r="AA4339" s="5" t="str">
        <f>IFERROR(__xludf.DUMMYFUNCTION("IF(REGEXMATCH(Z4339, ""Season""), ""TV Show"", ""Movie"")"),"Movie")</f>
        <v>Movie</v>
      </c>
    </row>
    <row r="4340">
      <c r="A4340" s="1" t="s">
        <v>23172</v>
      </c>
      <c r="B4340" s="1" t="s">
        <v>27</v>
      </c>
      <c r="C4340" s="1" t="s">
        <v>23173</v>
      </c>
      <c r="D4340" s="1" t="s">
        <v>11517</v>
      </c>
      <c r="E4340" s="1" t="s">
        <v>23174</v>
      </c>
      <c r="F4340" s="1" t="s">
        <v>12646</v>
      </c>
      <c r="G4340" s="1" t="s">
        <v>23134</v>
      </c>
      <c r="H4340" s="1">
        <v>2014.0</v>
      </c>
      <c r="I4340" s="1" t="s">
        <v>97</v>
      </c>
      <c r="J4340" s="1" t="s">
        <v>519</v>
      </c>
      <c r="K4340" s="1" t="s">
        <v>215</v>
      </c>
      <c r="L4340" s="1" t="s">
        <v>23175</v>
      </c>
      <c r="M4340" s="2" t="s">
        <v>12</v>
      </c>
      <c r="N4340" s="4">
        <f t="shared" si="1"/>
        <v>43435</v>
      </c>
      <c r="O4340" s="5" t="str">
        <f>IFERROR(__xludf.DUMMYFUNCTION("IF(REGEXMATCH(TRIM(I4340), ""^\d+\s*min""), ""Unclassified"", IF(I4340 = """", ""NR"", I4340))"),"TV-14")</f>
        <v>TV-14</v>
      </c>
      <c r="R4340" s="5" t="str">
        <f t="shared" si="2"/>
        <v>Don'T Go Breaking My Heart 2</v>
      </c>
      <c r="S4340" s="5" t="str">
        <f>IFERROR(__xludf.DUMMYFUNCTION("""COMPUTED_VALUE"""),"Maharakshak: Aryan")</f>
        <v>Maharakshak: Aryan</v>
      </c>
      <c r="U4340" s="5" t="str">
        <f>IFERROR(__xludf.DUMMYFUNCTION("""COMPUTED_VALUE"""),"Keerthi")</f>
        <v>Keerthi</v>
      </c>
      <c r="V4340" s="5" t="s">
        <v>23176</v>
      </c>
      <c r="W4340" s="5" t="str">
        <f t="shared" si="3"/>
        <v>Vicente Villanueva</v>
      </c>
      <c r="X4340" s="5">
        <f t="shared" si="4"/>
        <v>1</v>
      </c>
      <c r="Y4340" s="5" t="str">
        <f>IFERROR(__xludf.DUMMYFUNCTION("REGEXEXTRACT(J4340, ""^\d+"")"),"113")</f>
        <v>113</v>
      </c>
      <c r="Z4340" s="5" t="str">
        <f>IFERROR(__xludf.DUMMYFUNCTION("REGEXEXTRACT(J4340, ""[A-Za-z ]+$"")")," min")</f>
        <v> min</v>
      </c>
      <c r="AA4340" s="5" t="str">
        <f>IFERROR(__xludf.DUMMYFUNCTION("IF(REGEXMATCH(Z4340, ""Season""), ""TV Show"", ""Movie"")"),"Movie")</f>
        <v>Movie</v>
      </c>
    </row>
    <row r="4341">
      <c r="A4341" s="1" t="s">
        <v>23177</v>
      </c>
      <c r="B4341" s="1" t="s">
        <v>27</v>
      </c>
      <c r="C4341" s="1" t="s">
        <v>23178</v>
      </c>
      <c r="D4341" s="1" t="s">
        <v>2928</v>
      </c>
      <c r="E4341" s="1" t="s">
        <v>23179</v>
      </c>
      <c r="F4341" s="1" t="s">
        <v>221</v>
      </c>
      <c r="G4341" s="1" t="s">
        <v>23134</v>
      </c>
      <c r="H4341" s="1">
        <v>2015.0</v>
      </c>
      <c r="I4341" s="1" t="s">
        <v>97</v>
      </c>
      <c r="J4341" s="1" t="s">
        <v>11162</v>
      </c>
      <c r="K4341" s="1" t="s">
        <v>306</v>
      </c>
      <c r="L4341" s="1" t="s">
        <v>23180</v>
      </c>
      <c r="M4341" s="2" t="s">
        <v>12</v>
      </c>
      <c r="N4341" s="4">
        <f t="shared" si="1"/>
        <v>43435</v>
      </c>
      <c r="O4341" s="5" t="str">
        <f>IFERROR(__xludf.DUMMYFUNCTION("IF(REGEXMATCH(TRIM(I4341), ""^\d+\s*min""), ""Unclassified"", IF(I4341 = """", ""NR"", I4341))"),"TV-14")</f>
        <v>TV-14</v>
      </c>
      <c r="R4341" s="5" t="str">
        <f t="shared" si="2"/>
        <v>Faraar</v>
      </c>
      <c r="S4341" s="5" t="str">
        <f>IFERROR(__xludf.DUMMYFUNCTION("""COMPUTED_VALUE"""),"Mahi Nri")</f>
        <v>Mahi Nri</v>
      </c>
      <c r="U4341" s="5" t="str">
        <f>IFERROR(__xludf.DUMMYFUNCTION("""COMPUTED_VALUE"""),"Randall Lobb, Robert Mccallum")</f>
        <v>Randall Lobb, Robert Mccallum</v>
      </c>
      <c r="V4341" s="5" t="s">
        <v>23181</v>
      </c>
      <c r="W4341" s="5" t="str">
        <f t="shared" si="3"/>
        <v>Vicky Matthews</v>
      </c>
      <c r="X4341" s="5">
        <f t="shared" si="4"/>
        <v>2</v>
      </c>
      <c r="Y4341" s="5" t="str">
        <f>IFERROR(__xludf.DUMMYFUNCTION("REGEXEXTRACT(J4341, ""^\d+"")"),"146")</f>
        <v>146</v>
      </c>
      <c r="Z4341" s="5" t="str">
        <f>IFERROR(__xludf.DUMMYFUNCTION("REGEXEXTRACT(J4341, ""[A-Za-z ]+$"")")," min")</f>
        <v> min</v>
      </c>
      <c r="AA4341" s="5" t="str">
        <f>IFERROR(__xludf.DUMMYFUNCTION("IF(REGEXMATCH(Z4341, ""Season""), ""TV Show"", ""Movie"")"),"Movie")</f>
        <v>Movie</v>
      </c>
    </row>
    <row r="4342">
      <c r="A4342" s="1" t="s">
        <v>23182</v>
      </c>
      <c r="B4342" s="1" t="s">
        <v>37</v>
      </c>
      <c r="C4342" s="1" t="s">
        <v>23183</v>
      </c>
      <c r="E4342" s="1" t="s">
        <v>23184</v>
      </c>
      <c r="G4342" s="1" t="s">
        <v>23134</v>
      </c>
      <c r="H4342" s="1">
        <v>2017.0</v>
      </c>
      <c r="I4342" s="1" t="s">
        <v>506</v>
      </c>
      <c r="J4342" s="1" t="s">
        <v>51</v>
      </c>
      <c r="K4342" s="1" t="s">
        <v>637</v>
      </c>
      <c r="L4342" s="1" t="s">
        <v>23185</v>
      </c>
      <c r="M4342" s="2" t="s">
        <v>12</v>
      </c>
      <c r="N4342" s="4">
        <f t="shared" si="1"/>
        <v>43435</v>
      </c>
      <c r="O4342" s="5" t="str">
        <f>IFERROR(__xludf.DUMMYFUNCTION("IF(REGEXMATCH(TRIM(I4342), ""^\d+\s*min""), ""Unclassified"", IF(I4342 = """", ""NR"", I4342))"),"TV-G")</f>
        <v>TV-G</v>
      </c>
      <c r="R4342" s="5" t="str">
        <f t="shared" si="2"/>
        <v>Haunted House</v>
      </c>
      <c r="S4342" s="5" t="str">
        <f>IFERROR(__xludf.DUMMYFUNCTION("""COMPUTED_VALUE"""),"Mahi Way")</f>
        <v>Mahi Way</v>
      </c>
      <c r="U4342" s="5" t="str">
        <f>IFERROR(__xludf.DUMMYFUNCTION("""COMPUTED_VALUE"""),"Chan-Sang Lim")</f>
        <v>Chan-Sang Lim</v>
      </c>
      <c r="V4342" s="5" t="s">
        <v>23186</v>
      </c>
      <c r="W4342" s="5" t="str">
        <f t="shared" si="3"/>
        <v>Vicky Matthews, Gareth Sacala</v>
      </c>
      <c r="X4342" s="5">
        <f t="shared" si="4"/>
        <v>1</v>
      </c>
      <c r="Y4342" s="5" t="str">
        <f>IFERROR(__xludf.DUMMYFUNCTION("REGEXEXTRACT(J4342, ""^\d+"")"),"1")</f>
        <v>1</v>
      </c>
      <c r="Z4342" s="5" t="str">
        <f>IFERROR(__xludf.DUMMYFUNCTION("REGEXEXTRACT(J4342, ""[A-Za-z ]+$"")")," Season")</f>
        <v> Season</v>
      </c>
      <c r="AA4342" s="5" t="str">
        <f>IFERROR(__xludf.DUMMYFUNCTION("IF(REGEXMATCH(Z4342, ""Season""), ""TV Show"", ""Movie"")"),"TV Show")</f>
        <v>TV Show</v>
      </c>
    </row>
    <row r="4343">
      <c r="A4343" s="1" t="s">
        <v>23187</v>
      </c>
      <c r="B4343" s="1" t="s">
        <v>27</v>
      </c>
      <c r="C4343" s="1" t="s">
        <v>23188</v>
      </c>
      <c r="D4343" s="1" t="s">
        <v>23189</v>
      </c>
      <c r="E4343" s="1" t="s">
        <v>23190</v>
      </c>
      <c r="F4343" s="1" t="s">
        <v>23191</v>
      </c>
      <c r="G4343" s="1" t="s">
        <v>23134</v>
      </c>
      <c r="H4343" s="1">
        <v>2015.0</v>
      </c>
      <c r="I4343" s="1" t="s">
        <v>97</v>
      </c>
      <c r="J4343" s="1" t="s">
        <v>870</v>
      </c>
      <c r="K4343" s="1" t="s">
        <v>1066</v>
      </c>
      <c r="L4343" s="1" t="s">
        <v>23192</v>
      </c>
      <c r="M4343" s="2" t="s">
        <v>12</v>
      </c>
      <c r="N4343" s="4">
        <f t="shared" si="1"/>
        <v>43435</v>
      </c>
      <c r="O4343" s="5" t="str">
        <f>IFERROR(__xludf.DUMMYFUNCTION("IF(REGEXMATCH(TRIM(I4343), ""^\d+\s*min""), ""Unclassified"", IF(I4343 = """", ""NR"", I4343))"),"TV-14")</f>
        <v>TV-14</v>
      </c>
      <c r="R4343" s="5" t="str">
        <f t="shared" si="2"/>
        <v>Helios</v>
      </c>
      <c r="S4343" s="5" t="str">
        <f>IFERROR(__xludf.DUMMYFUNCTION("""COMPUTED_VALUE"""),"Mahjong Heroes")</f>
        <v>Mahjong Heroes</v>
      </c>
      <c r="U4343" s="5" t="str">
        <f>IFERROR(__xludf.DUMMYFUNCTION("""COMPUTED_VALUE"""),"Brian A. Miller")</f>
        <v>Brian A. Miller</v>
      </c>
      <c r="V4343" s="5" t="s">
        <v>12246</v>
      </c>
      <c r="W4343" s="5" t="str">
        <f t="shared" si="3"/>
        <v>Vicky Wight</v>
      </c>
      <c r="X4343" s="5">
        <f t="shared" si="4"/>
        <v>1</v>
      </c>
      <c r="Y4343" s="5" t="str">
        <f>IFERROR(__xludf.DUMMYFUNCTION("REGEXEXTRACT(J4343, ""^\d+"")"),"118")</f>
        <v>118</v>
      </c>
      <c r="Z4343" s="5" t="str">
        <f>IFERROR(__xludf.DUMMYFUNCTION("REGEXEXTRACT(J4343, ""[A-Za-z ]+$"")")," min")</f>
        <v> min</v>
      </c>
      <c r="AA4343" s="5" t="str">
        <f>IFERROR(__xludf.DUMMYFUNCTION("IF(REGEXMATCH(Z4343, ""Season""), ""TV Show"", ""Movie"")"),"Movie")</f>
        <v>Movie</v>
      </c>
    </row>
    <row r="4344">
      <c r="A4344" s="1" t="s">
        <v>23193</v>
      </c>
      <c r="B4344" s="1" t="s">
        <v>27</v>
      </c>
      <c r="C4344" s="1" t="s">
        <v>23194</v>
      </c>
      <c r="D4344" s="1" t="s">
        <v>10466</v>
      </c>
      <c r="E4344" s="1" t="s">
        <v>23195</v>
      </c>
      <c r="F4344" s="1" t="s">
        <v>1064</v>
      </c>
      <c r="G4344" s="1" t="s">
        <v>23134</v>
      </c>
      <c r="H4344" s="1">
        <v>2016.0</v>
      </c>
      <c r="I4344" s="1" t="s">
        <v>42</v>
      </c>
      <c r="J4344" s="1" t="s">
        <v>1065</v>
      </c>
      <c r="K4344" s="1" t="s">
        <v>306</v>
      </c>
      <c r="L4344" s="1" t="s">
        <v>23196</v>
      </c>
      <c r="M4344" s="2" t="s">
        <v>12</v>
      </c>
      <c r="N4344" s="4">
        <f t="shared" si="1"/>
        <v>43435</v>
      </c>
      <c r="O4344" s="5" t="str">
        <f>IFERROR(__xludf.DUMMYFUNCTION("IF(REGEXMATCH(TRIM(I4344), ""^\d+\s*min""), ""Unclassified"", IF(I4344 = """", ""NR"", I4344))"),"TV-MA")</f>
        <v>TV-MA</v>
      </c>
      <c r="R4344" s="5" t="str">
        <f t="shared" si="2"/>
        <v>Line Walker</v>
      </c>
      <c r="S4344" s="5" t="str">
        <f>IFERROR(__xludf.DUMMYFUNCTION("""COMPUTED_VALUE"""),"Mahmut &amp; Meryem")</f>
        <v>Mahmut &amp; Meryem</v>
      </c>
      <c r="U4344" s="5" t="str">
        <f>IFERROR(__xludf.DUMMYFUNCTION("""COMPUTED_VALUE"""),"Martha Coolidge")</f>
        <v>Martha Coolidge</v>
      </c>
      <c r="V4344" s="5" t="s">
        <v>23197</v>
      </c>
      <c r="W4344" s="5" t="str">
        <f t="shared" si="3"/>
        <v>Victor Cook</v>
      </c>
      <c r="X4344" s="5">
        <f t="shared" si="4"/>
        <v>1</v>
      </c>
      <c r="Y4344" s="5" t="str">
        <f>IFERROR(__xludf.DUMMYFUNCTION("REGEXEXTRACT(J4344, ""^\d+"")"),"109")</f>
        <v>109</v>
      </c>
      <c r="Z4344" s="5" t="str">
        <f>IFERROR(__xludf.DUMMYFUNCTION("REGEXEXTRACT(J4344, ""[A-Za-z ]+$"")")," min")</f>
        <v> min</v>
      </c>
      <c r="AA4344" s="5" t="str">
        <f>IFERROR(__xludf.DUMMYFUNCTION("IF(REGEXMATCH(Z4344, ""Season""), ""TV Show"", ""Movie"")"),"Movie")</f>
        <v>Movie</v>
      </c>
    </row>
    <row r="4345">
      <c r="A4345" s="1" t="s">
        <v>23198</v>
      </c>
      <c r="B4345" s="1" t="s">
        <v>27</v>
      </c>
      <c r="C4345" s="1" t="s">
        <v>23199</v>
      </c>
      <c r="D4345" s="1" t="s">
        <v>1903</v>
      </c>
      <c r="E4345" s="1" t="s">
        <v>23200</v>
      </c>
      <c r="F4345" s="1" t="s">
        <v>1119</v>
      </c>
      <c r="G4345" s="1" t="s">
        <v>23134</v>
      </c>
      <c r="H4345" s="1">
        <v>2009.0</v>
      </c>
      <c r="I4345" s="1" t="s">
        <v>97</v>
      </c>
      <c r="J4345" s="1" t="s">
        <v>743</v>
      </c>
      <c r="K4345" s="1" t="s">
        <v>215</v>
      </c>
      <c r="L4345" s="1" t="s">
        <v>23201</v>
      </c>
      <c r="M4345" s="2" t="s">
        <v>12</v>
      </c>
      <c r="N4345" s="4">
        <f t="shared" si="1"/>
        <v>43435</v>
      </c>
      <c r="O4345" s="5" t="str">
        <f>IFERROR(__xludf.DUMMYFUNCTION("IF(REGEXMATCH(TRIM(I4345), ""^\d+\s*min""), ""Unclassified"", IF(I4345 = """", ""NR"", I4345))"),"TV-14")</f>
        <v>TV-14</v>
      </c>
      <c r="R4345" s="5" t="str">
        <f t="shared" si="2"/>
        <v>Look For A Star</v>
      </c>
      <c r="S4345" s="5" t="str">
        <f>IFERROR(__xludf.DUMMYFUNCTION("""COMPUTED_VALUE"""),"Maid-Sama!")</f>
        <v>Maid-Sama!</v>
      </c>
      <c r="U4345" s="5" t="str">
        <f>IFERROR(__xludf.DUMMYFUNCTION("""COMPUTED_VALUE"""),"Ron Clements, John Musker")</f>
        <v>Ron Clements, John Musker</v>
      </c>
      <c r="V4345" s="5" t="s">
        <v>23202</v>
      </c>
      <c r="W4345" s="5" t="str">
        <f t="shared" si="3"/>
        <v>Victor Dal Chele, Alfred Gimeno</v>
      </c>
      <c r="X4345" s="5">
        <f t="shared" si="4"/>
        <v>1</v>
      </c>
      <c r="Y4345" s="5" t="str">
        <f>IFERROR(__xludf.DUMMYFUNCTION("REGEXEXTRACT(J4345, ""^\d+"")"),"117")</f>
        <v>117</v>
      </c>
      <c r="Z4345" s="5" t="str">
        <f>IFERROR(__xludf.DUMMYFUNCTION("REGEXEXTRACT(J4345, ""[A-Za-z ]+$"")")," min")</f>
        <v> min</v>
      </c>
      <c r="AA4345" s="5" t="str">
        <f>IFERROR(__xludf.DUMMYFUNCTION("IF(REGEXMATCH(Z4345, ""Season""), ""TV Show"", ""Movie"")"),"Movie")</f>
        <v>Movie</v>
      </c>
    </row>
    <row r="4346">
      <c r="A4346" s="1" t="s">
        <v>23203</v>
      </c>
      <c r="B4346" s="1" t="s">
        <v>27</v>
      </c>
      <c r="C4346" s="1" t="s">
        <v>23204</v>
      </c>
      <c r="E4346" s="1" t="s">
        <v>9449</v>
      </c>
      <c r="G4346" s="1" t="s">
        <v>23134</v>
      </c>
      <c r="H4346" s="1">
        <v>2018.0</v>
      </c>
      <c r="I4346" s="1" t="s">
        <v>206</v>
      </c>
      <c r="J4346" s="1" t="s">
        <v>370</v>
      </c>
      <c r="K4346" s="1" t="s">
        <v>2032</v>
      </c>
      <c r="L4346" s="1" t="s">
        <v>23205</v>
      </c>
      <c r="M4346" s="2" t="s">
        <v>12</v>
      </c>
      <c r="N4346" s="4">
        <f t="shared" si="1"/>
        <v>43435</v>
      </c>
      <c r="O4346" s="5" t="str">
        <f>IFERROR(__xludf.DUMMYFUNCTION("IF(REGEXMATCH(TRIM(I4346), ""^\d+\s*min""), ""Unclassified"", IF(I4346 = """", ""NR"", I4346))"),"TV-Y")</f>
        <v>TV-Y</v>
      </c>
      <c r="R4346" s="5" t="str">
        <f t="shared" si="2"/>
        <v>Oddbods: The Festive Menace</v>
      </c>
      <c r="S4346" s="5" t="str">
        <f>IFERROR(__xludf.DUMMYFUNCTION("""COMPUTED_VALUE"""),"Main Aurr Mrs. Khanna")</f>
        <v>Main Aurr Mrs. Khanna</v>
      </c>
      <c r="U4346" s="5" t="str">
        <f>IFERROR(__xludf.DUMMYFUNCTION("""COMPUTED_VALUE"""),"Na Hyeon")</f>
        <v>Na Hyeon</v>
      </c>
      <c r="V4346" s="5" t="s">
        <v>23206</v>
      </c>
      <c r="W4346" s="5" t="str">
        <f t="shared" si="3"/>
        <v>Víctor García</v>
      </c>
      <c r="X4346" s="5">
        <f t="shared" si="4"/>
        <v>1</v>
      </c>
      <c r="Y4346" s="5" t="str">
        <f>IFERROR(__xludf.DUMMYFUNCTION("REGEXEXTRACT(J4346, ""^\d+"")"),"23")</f>
        <v>23</v>
      </c>
      <c r="Z4346" s="5" t="str">
        <f>IFERROR(__xludf.DUMMYFUNCTION("REGEXEXTRACT(J4346, ""[A-Za-z ]+$"")")," min")</f>
        <v> min</v>
      </c>
      <c r="AA4346" s="5" t="str">
        <f>IFERROR(__xludf.DUMMYFUNCTION("IF(REGEXMATCH(Z4346, ""Season""), ""TV Show"", ""Movie"")"),"Movie")</f>
        <v>Movie</v>
      </c>
    </row>
    <row r="4347">
      <c r="A4347" s="1" t="s">
        <v>23207</v>
      </c>
      <c r="B4347" s="1" t="s">
        <v>27</v>
      </c>
      <c r="C4347" s="1" t="s">
        <v>23208</v>
      </c>
      <c r="D4347" s="1" t="s">
        <v>7556</v>
      </c>
      <c r="E4347" s="1" t="s">
        <v>23209</v>
      </c>
      <c r="F4347" s="1" t="s">
        <v>1119</v>
      </c>
      <c r="G4347" s="1" t="s">
        <v>23134</v>
      </c>
      <c r="H4347" s="1">
        <v>2010.0</v>
      </c>
      <c r="I4347" s="1" t="s">
        <v>42</v>
      </c>
      <c r="J4347" s="1" t="s">
        <v>465</v>
      </c>
      <c r="K4347" s="1" t="s">
        <v>1328</v>
      </c>
      <c r="L4347" s="1" t="s">
        <v>23210</v>
      </c>
      <c r="M4347" s="2" t="s">
        <v>12</v>
      </c>
      <c r="N4347" s="4">
        <f t="shared" si="1"/>
        <v>43435</v>
      </c>
      <c r="O4347" s="5" t="str">
        <f>IFERROR(__xludf.DUMMYFUNCTION("IF(REGEXMATCH(TRIM(I4347), ""^\d+\s*min""), ""Unclassified"", IF(I4347 = """", ""NR"", I4347))"),"TV-MA")</f>
        <v>TV-MA</v>
      </c>
      <c r="R4347" s="5" t="str">
        <f t="shared" si="2"/>
        <v>Once A Gangster</v>
      </c>
      <c r="S4347" s="5" t="str">
        <f>IFERROR(__xludf.DUMMYFUNCTION("""COMPUTED_VALUE"""),"Main Hoon Na")</f>
        <v>Main Hoon Na</v>
      </c>
      <c r="U4347" s="5" t="str">
        <f>IFERROR(__xludf.DUMMYFUNCTION("""COMPUTED_VALUE"""),"John Papola")</f>
        <v>John Papola</v>
      </c>
      <c r="V4347" s="5" t="s">
        <v>9695</v>
      </c>
      <c r="W4347" s="5" t="str">
        <f t="shared" si="3"/>
        <v>Victor Gatonye</v>
      </c>
      <c r="X4347" s="5">
        <f t="shared" si="4"/>
        <v>1</v>
      </c>
      <c r="Y4347" s="5" t="str">
        <f>IFERROR(__xludf.DUMMYFUNCTION("REGEXEXTRACT(J4347, ""^\d+"")"),"95")</f>
        <v>95</v>
      </c>
      <c r="Z4347" s="5" t="str">
        <f>IFERROR(__xludf.DUMMYFUNCTION("REGEXEXTRACT(J4347, ""[A-Za-z ]+$"")")," min")</f>
        <v> min</v>
      </c>
      <c r="AA4347" s="5" t="str">
        <f>IFERROR(__xludf.DUMMYFUNCTION("IF(REGEXMATCH(Z4347, ""Season""), ""TV Show"", ""Movie"")"),"Movie")</f>
        <v>Movie</v>
      </c>
    </row>
    <row r="4348">
      <c r="A4348" s="1" t="s">
        <v>23211</v>
      </c>
      <c r="B4348" s="1" t="s">
        <v>27</v>
      </c>
      <c r="C4348" s="1" t="s">
        <v>23212</v>
      </c>
      <c r="D4348" s="1" t="s">
        <v>6434</v>
      </c>
      <c r="E4348" s="1" t="s">
        <v>23213</v>
      </c>
      <c r="F4348" s="1" t="s">
        <v>63</v>
      </c>
      <c r="G4348" s="1" t="s">
        <v>23134</v>
      </c>
      <c r="H4348" s="1">
        <v>2017.0</v>
      </c>
      <c r="I4348" s="1" t="s">
        <v>42</v>
      </c>
      <c r="J4348" s="1" t="s">
        <v>341</v>
      </c>
      <c r="K4348" s="1" t="s">
        <v>89</v>
      </c>
      <c r="L4348" s="1" t="s">
        <v>23214</v>
      </c>
      <c r="M4348" s="2" t="s">
        <v>12</v>
      </c>
      <c r="N4348" s="4">
        <f t="shared" si="1"/>
        <v>43435</v>
      </c>
      <c r="O4348" s="5" t="str">
        <f>IFERROR(__xludf.DUMMYFUNCTION("IF(REGEXMATCH(TRIM(I4348), ""^\d+\s*min""), ""Unclassified"", IF(I4348 = """", ""NR"", I4348))"),"TV-MA")</f>
        <v>TV-MA</v>
      </c>
      <c r="R4348" s="5" t="str">
        <f t="shared" si="2"/>
        <v>Power Paandi</v>
      </c>
      <c r="S4348" s="5" t="str">
        <f>IFERROR(__xludf.DUMMYFUNCTION("""COMPUTED_VALUE"""),"Main, Meri Patni Aur Woh")</f>
        <v>Main, Meri Patni Aur Woh</v>
      </c>
      <c r="U4348" s="5" t="str">
        <f>IFERROR(__xludf.DUMMYFUNCTION("""COMPUTED_VALUE"""),"Grant Korgan, Brian Niles")</f>
        <v>Grant Korgan, Brian Niles</v>
      </c>
      <c r="V4348" s="5" t="s">
        <v>23215</v>
      </c>
      <c r="W4348" s="5" t="str">
        <f t="shared" si="3"/>
        <v>Victor Levin</v>
      </c>
      <c r="X4348" s="5">
        <f t="shared" si="4"/>
        <v>1</v>
      </c>
      <c r="Y4348" s="5" t="str">
        <f>IFERROR(__xludf.DUMMYFUNCTION("REGEXEXTRACT(J4348, ""^\d+"")"),"124")</f>
        <v>124</v>
      </c>
      <c r="Z4348" s="5" t="str">
        <f>IFERROR(__xludf.DUMMYFUNCTION("REGEXEXTRACT(J4348, ""[A-Za-z ]+$"")")," min")</f>
        <v> min</v>
      </c>
      <c r="AA4348" s="5" t="str">
        <f>IFERROR(__xludf.DUMMYFUNCTION("IF(REGEXMATCH(Z4348, ""Season""), ""TV Show"", ""Movie"")"),"Movie")</f>
        <v>Movie</v>
      </c>
    </row>
    <row r="4349">
      <c r="A4349" s="1" t="s">
        <v>23216</v>
      </c>
      <c r="B4349" s="1" t="s">
        <v>27</v>
      </c>
      <c r="C4349" s="1" t="s">
        <v>23217</v>
      </c>
      <c r="F4349" s="1" t="s">
        <v>30</v>
      </c>
      <c r="G4349" s="1" t="s">
        <v>23134</v>
      </c>
      <c r="H4349" s="1">
        <v>2017.0</v>
      </c>
      <c r="I4349" s="1" t="s">
        <v>42</v>
      </c>
      <c r="J4349" s="1" t="s">
        <v>33</v>
      </c>
      <c r="K4349" s="1" t="s">
        <v>645</v>
      </c>
      <c r="L4349" s="1" t="s">
        <v>23218</v>
      </c>
      <c r="M4349" s="2" t="s">
        <v>12</v>
      </c>
      <c r="N4349" s="4">
        <f t="shared" si="1"/>
        <v>43435</v>
      </c>
      <c r="O4349" s="5" t="str">
        <f>IFERROR(__xludf.DUMMYFUNCTION("IF(REGEXMATCH(TRIM(I4349), ""^\d+\s*min""), ""Unclassified"", IF(I4349 = """", ""NR"", I4349))"),"TV-MA")</f>
        <v>TV-MA</v>
      </c>
      <c r="R4349" s="5" t="str">
        <f t="shared" si="2"/>
        <v>Roll With Me</v>
      </c>
      <c r="S4349" s="5" t="str">
        <f>IFERROR(__xludf.DUMMYFUNCTION("""COMPUTED_VALUE"""),"Maine Pyaar Kyun Kiya")</f>
        <v>Maine Pyaar Kyun Kiya</v>
      </c>
      <c r="U4349" s="5" t="str">
        <f>IFERROR(__xludf.DUMMYFUNCTION("""COMPUTED_VALUE"""),"Francis Ford Coppola")</f>
        <v>Francis Ford Coppola</v>
      </c>
      <c r="V4349" s="5" t="s">
        <v>3541</v>
      </c>
      <c r="W4349" s="5" t="str">
        <f t="shared" si="3"/>
        <v>Victor Vu</v>
      </c>
      <c r="X4349" s="5">
        <f t="shared" si="4"/>
        <v>1</v>
      </c>
      <c r="Y4349" s="5" t="str">
        <f>IFERROR(__xludf.DUMMYFUNCTION("REGEXEXTRACT(J4349, ""^\d+"")"),"90")</f>
        <v>90</v>
      </c>
      <c r="Z4349" s="5" t="str">
        <f>IFERROR(__xludf.DUMMYFUNCTION("REGEXEXTRACT(J4349, ""[A-Za-z ]+$"")")," min")</f>
        <v> min</v>
      </c>
      <c r="AA4349" s="5" t="str">
        <f>IFERROR(__xludf.DUMMYFUNCTION("IF(REGEXMATCH(Z4349, ""Season""), ""TV Show"", ""Movie"")"),"Movie")</f>
        <v>Movie</v>
      </c>
    </row>
    <row r="4350">
      <c r="A4350" s="1" t="s">
        <v>23219</v>
      </c>
      <c r="B4350" s="1" t="s">
        <v>27</v>
      </c>
      <c r="C4350" s="1" t="s">
        <v>23220</v>
      </c>
      <c r="D4350" s="1" t="s">
        <v>8168</v>
      </c>
      <c r="E4350" s="1" t="s">
        <v>23221</v>
      </c>
      <c r="F4350" s="1" t="s">
        <v>1119</v>
      </c>
      <c r="G4350" s="1" t="s">
        <v>23134</v>
      </c>
      <c r="H4350" s="1">
        <v>2013.0</v>
      </c>
      <c r="I4350" s="1" t="s">
        <v>42</v>
      </c>
      <c r="J4350" s="1" t="s">
        <v>322</v>
      </c>
      <c r="K4350" s="1" t="s">
        <v>199</v>
      </c>
      <c r="L4350" s="1" t="s">
        <v>23222</v>
      </c>
      <c r="M4350" s="2" t="s">
        <v>12</v>
      </c>
      <c r="N4350" s="4">
        <f t="shared" si="1"/>
        <v>43435</v>
      </c>
      <c r="O4350" s="5" t="str">
        <f>IFERROR(__xludf.DUMMYFUNCTION("IF(REGEXMATCH(TRIM(I4350), ""^\d+\s*min""), ""Unclassified"", IF(I4350 = """", ""NR"", I4350))"),"TV-MA")</f>
        <v>TV-MA</v>
      </c>
      <c r="R4350" s="5" t="str">
        <f t="shared" si="2"/>
        <v>Sdu: Sex Duties Unit</v>
      </c>
      <c r="S4350" s="5" t="str">
        <f>IFERROR(__xludf.DUMMYFUNCTION("""COMPUTED_VALUE"""),"Maine Pyar Kiya")</f>
        <v>Maine Pyar Kiya</v>
      </c>
      <c r="U4350" s="5" t="str">
        <f>IFERROR(__xludf.DUMMYFUNCTION("""COMPUTED_VALUE"""),"Miriam Chandy Menacherry")</f>
        <v>Miriam Chandy Menacherry</v>
      </c>
      <c r="V4350" s="5" t="s">
        <v>23223</v>
      </c>
      <c r="W4350" s="5" t="str">
        <f t="shared" si="3"/>
        <v>Victor Zarcoff</v>
      </c>
      <c r="X4350" s="5">
        <f t="shared" si="4"/>
        <v>1</v>
      </c>
      <c r="Y4350" s="5" t="str">
        <f>IFERROR(__xludf.DUMMYFUNCTION("REGEXEXTRACT(J4350, ""^\d+"")"),"96")</f>
        <v>96</v>
      </c>
      <c r="Z4350" s="5" t="str">
        <f>IFERROR(__xludf.DUMMYFUNCTION("REGEXEXTRACT(J4350, ""[A-Za-z ]+$"")")," min")</f>
        <v> min</v>
      </c>
      <c r="AA4350" s="5" t="str">
        <f>IFERROR(__xludf.DUMMYFUNCTION("IF(REGEXMATCH(Z4350, ""Season""), ""TV Show"", ""Movie"")"),"Movie")</f>
        <v>Movie</v>
      </c>
    </row>
    <row r="4351">
      <c r="A4351" s="1" t="s">
        <v>23224</v>
      </c>
      <c r="B4351" s="1" t="s">
        <v>27</v>
      </c>
      <c r="C4351" s="1" t="s">
        <v>23225</v>
      </c>
      <c r="D4351" s="1" t="s">
        <v>13853</v>
      </c>
      <c r="E4351" s="1" t="s">
        <v>23226</v>
      </c>
      <c r="F4351" s="1" t="s">
        <v>3892</v>
      </c>
      <c r="G4351" s="1" t="s">
        <v>23134</v>
      </c>
      <c r="H4351" s="1">
        <v>2008.0</v>
      </c>
      <c r="I4351" s="1" t="s">
        <v>42</v>
      </c>
      <c r="J4351" s="1" t="s">
        <v>322</v>
      </c>
      <c r="K4351" s="1" t="s">
        <v>128</v>
      </c>
      <c r="L4351" s="1" t="s">
        <v>23227</v>
      </c>
      <c r="M4351" s="2" t="s">
        <v>12</v>
      </c>
      <c r="N4351" s="4">
        <f t="shared" si="1"/>
        <v>43435</v>
      </c>
      <c r="O4351" s="5" t="str">
        <f>IFERROR(__xludf.DUMMYFUNCTION("IF(REGEXMATCH(TRIM(I4351), ""^\d+\s*min""), ""Unclassified"", IF(I4351 = """", ""NR"", I4351))"),"TV-MA")</f>
        <v>TV-MA</v>
      </c>
      <c r="R4351" s="5" t="str">
        <f t="shared" si="2"/>
        <v>Set Off</v>
      </c>
      <c r="S4351" s="5" t="str">
        <f>IFERROR(__xludf.DUMMYFUNCTION("""COMPUTED_VALUE"""),"​Maj Rati ​​Keteki")</f>
        <v>​Maj Rati ​​Keteki</v>
      </c>
      <c r="U4351" s="5" t="str">
        <f>IFERROR(__xludf.DUMMYFUNCTION("""COMPUTED_VALUE"""),"Kevin Derek")</f>
        <v>Kevin Derek</v>
      </c>
      <c r="V4351" s="5" t="s">
        <v>23228</v>
      </c>
      <c r="W4351" s="5" t="str">
        <f t="shared" si="3"/>
        <v>Victoria Bromley</v>
      </c>
      <c r="X4351" s="5">
        <f t="shared" si="4"/>
        <v>1</v>
      </c>
      <c r="Y4351" s="5" t="str">
        <f>IFERROR(__xludf.DUMMYFUNCTION("REGEXEXTRACT(J4351, ""^\d+"")"),"96")</f>
        <v>96</v>
      </c>
      <c r="Z4351" s="5" t="str">
        <f>IFERROR(__xludf.DUMMYFUNCTION("REGEXEXTRACT(J4351, ""[A-Za-z ]+$"")")," min")</f>
        <v> min</v>
      </c>
      <c r="AA4351" s="5" t="str">
        <f>IFERROR(__xludf.DUMMYFUNCTION("IF(REGEXMATCH(Z4351, ""Season""), ""TV Show"", ""Movie"")"),"Movie")</f>
        <v>Movie</v>
      </c>
    </row>
    <row r="4352">
      <c r="A4352" s="1" t="s">
        <v>23229</v>
      </c>
      <c r="B4352" s="1" t="s">
        <v>37</v>
      </c>
      <c r="C4352" s="1">
        <v>1983.0</v>
      </c>
      <c r="E4352" s="1" t="s">
        <v>23230</v>
      </c>
      <c r="F4352" s="1" t="s">
        <v>13591</v>
      </c>
      <c r="G4352" s="1" t="s">
        <v>23231</v>
      </c>
      <c r="H4352" s="1">
        <v>2018.0</v>
      </c>
      <c r="I4352" s="1" t="s">
        <v>42</v>
      </c>
      <c r="J4352" s="1" t="s">
        <v>51</v>
      </c>
      <c r="K4352" s="1" t="s">
        <v>1362</v>
      </c>
      <c r="L4352" s="1" t="s">
        <v>23232</v>
      </c>
      <c r="M4352" s="2" t="s">
        <v>12</v>
      </c>
      <c r="N4352" s="4">
        <f t="shared" si="1"/>
        <v>43434</v>
      </c>
      <c r="O4352" s="5" t="str">
        <f>IFERROR(__xludf.DUMMYFUNCTION("IF(REGEXMATCH(TRIM(I4352), ""^\d+\s*min""), ""Unclassified"", IF(I4352 = """", ""NR"", I4352))"),"TV-MA")</f>
        <v>TV-MA</v>
      </c>
      <c r="R4352" s="5" t="str">
        <f t="shared" si="2"/>
        <v>1983</v>
      </c>
      <c r="S4352" s="5" t="str">
        <f>IFERROR(__xludf.DUMMYFUNCTION("""COMPUTED_VALUE"""),"Major Dad")</f>
        <v>Major Dad</v>
      </c>
      <c r="U4352" s="5" t="str">
        <f>IFERROR(__xludf.DUMMYFUNCTION("""COMPUTED_VALUE"""),"Shaina Allen")</f>
        <v>Shaina Allen</v>
      </c>
      <c r="V4352" s="5" t="s">
        <v>889</v>
      </c>
      <c r="W4352" s="5" t="str">
        <f t="shared" si="3"/>
        <v>Vidhu Vinod Chopra</v>
      </c>
      <c r="X4352" s="5">
        <f t="shared" si="4"/>
        <v>1</v>
      </c>
      <c r="Y4352" s="5" t="str">
        <f>IFERROR(__xludf.DUMMYFUNCTION("REGEXEXTRACT(J4352, ""^\d+"")"),"1")</f>
        <v>1</v>
      </c>
      <c r="Z4352" s="5" t="str">
        <f>IFERROR(__xludf.DUMMYFUNCTION("REGEXEXTRACT(J4352, ""[A-Za-z ]+$"")")," Season")</f>
        <v> Season</v>
      </c>
      <c r="AA4352" s="5" t="str">
        <f>IFERROR(__xludf.DUMMYFUNCTION("IF(REGEXMATCH(Z4352, ""Season""), ""TV Show"", ""Movie"")"),"TV Show")</f>
        <v>TV Show</v>
      </c>
    </row>
    <row r="4353">
      <c r="A4353" s="1" t="s">
        <v>23233</v>
      </c>
      <c r="B4353" s="1" t="s">
        <v>27</v>
      </c>
      <c r="C4353" s="1" t="s">
        <v>23234</v>
      </c>
      <c r="D4353" s="1" t="s">
        <v>11450</v>
      </c>
      <c r="E4353" s="1" t="s">
        <v>23235</v>
      </c>
      <c r="F4353" s="1" t="s">
        <v>30</v>
      </c>
      <c r="G4353" s="1" t="s">
        <v>23231</v>
      </c>
      <c r="H4353" s="1">
        <v>2018.0</v>
      </c>
      <c r="I4353" s="1" t="s">
        <v>136</v>
      </c>
      <c r="J4353" s="1" t="s">
        <v>454</v>
      </c>
      <c r="K4353" s="1" t="s">
        <v>14468</v>
      </c>
      <c r="L4353" s="1" t="s">
        <v>23236</v>
      </c>
      <c r="M4353" s="2" t="s">
        <v>12</v>
      </c>
      <c r="N4353" s="4">
        <f t="shared" si="1"/>
        <v>43434</v>
      </c>
      <c r="O4353" s="5" t="str">
        <f>IFERROR(__xludf.DUMMYFUNCTION("IF(REGEXMATCH(TRIM(I4353), ""^\d+\s*min""), ""Unclassified"", IF(I4353 = """", ""NR"", I4353))"),"TV-PG")</f>
        <v>TV-PG</v>
      </c>
      <c r="R4353" s="5" t="str">
        <f t="shared" si="2"/>
        <v>A Christmas Prince: The Royal Wedding</v>
      </c>
      <c r="S4353" s="5" t="str">
        <f>IFERROR(__xludf.DUMMYFUNCTION("""COMPUTED_VALUE"""),"Major Grom: Plague Doctor")</f>
        <v>Major Grom: Plague Doctor</v>
      </c>
      <c r="U4353" s="5" t="str">
        <f>IFERROR(__xludf.DUMMYFUNCTION("""COMPUTED_VALUE"""),"Heber Cannon, Mariah Moore, Marston Sawyers")</f>
        <v>Heber Cannon, Mariah Moore, Marston Sawyers</v>
      </c>
      <c r="V4353" s="5" t="s">
        <v>23237</v>
      </c>
      <c r="W4353" s="5" t="str">
        <f t="shared" si="3"/>
        <v>Vijay</v>
      </c>
      <c r="X4353" s="5">
        <f t="shared" si="4"/>
        <v>1</v>
      </c>
      <c r="Y4353" s="5" t="str">
        <f>IFERROR(__xludf.DUMMYFUNCTION("REGEXEXTRACT(J4353, ""^\d+"")"),"93")</f>
        <v>93</v>
      </c>
      <c r="Z4353" s="5" t="str">
        <f>IFERROR(__xludf.DUMMYFUNCTION("REGEXEXTRACT(J4353, ""[A-Za-z ]+$"")")," min")</f>
        <v> min</v>
      </c>
      <c r="AA4353" s="5" t="str">
        <f>IFERROR(__xludf.DUMMYFUNCTION("IF(REGEXMATCH(Z4353, ""Season""), ""TV Show"", ""Movie"")"),"Movie")</f>
        <v>Movie</v>
      </c>
    </row>
    <row r="4354">
      <c r="A4354" s="1" t="s">
        <v>23238</v>
      </c>
      <c r="B4354" s="1" t="s">
        <v>27</v>
      </c>
      <c r="C4354" s="1" t="s">
        <v>23239</v>
      </c>
      <c r="D4354" s="1" t="s">
        <v>5382</v>
      </c>
      <c r="E4354" s="1" t="s">
        <v>23240</v>
      </c>
      <c r="F4354" s="1" t="s">
        <v>23241</v>
      </c>
      <c r="G4354" s="1" t="s">
        <v>23231</v>
      </c>
      <c r="H4354" s="1">
        <v>2018.0</v>
      </c>
      <c r="I4354" s="1" t="s">
        <v>206</v>
      </c>
      <c r="J4354" s="1" t="s">
        <v>12625</v>
      </c>
      <c r="K4354" s="1" t="s">
        <v>80</v>
      </c>
      <c r="L4354" s="1" t="s">
        <v>23242</v>
      </c>
      <c r="M4354" s="2" t="s">
        <v>12</v>
      </c>
      <c r="N4354" s="4">
        <f t="shared" si="1"/>
        <v>43434</v>
      </c>
      <c r="O4354" s="5" t="str">
        <f>IFERROR(__xludf.DUMMYFUNCTION("IF(REGEXMATCH(TRIM(I4354), ""^\d+\s*min""), ""Unclassified"", IF(I4354 = """", ""NR"", I4354))"),"TV-Y")</f>
        <v>TV-Y</v>
      </c>
      <c r="R4354" s="5" t="str">
        <f t="shared" si="2"/>
        <v>Angela'S Christmas</v>
      </c>
      <c r="S4354" s="5" t="str">
        <f>IFERROR(__xludf.DUMMYFUNCTION("""COMPUTED_VALUE"""),"Major Payne")</f>
        <v>Major Payne</v>
      </c>
      <c r="U4354" s="5" t="str">
        <f>IFERROR(__xludf.DUMMYFUNCTION("""COMPUTED_VALUE"""),"Alison Maclean")</f>
        <v>Alison Maclean</v>
      </c>
      <c r="V4354" s="5" t="s">
        <v>23243</v>
      </c>
      <c r="W4354" s="5" t="str">
        <f t="shared" si="3"/>
        <v>Vijay Jayapal</v>
      </c>
      <c r="X4354" s="5">
        <f t="shared" si="4"/>
        <v>1</v>
      </c>
      <c r="Y4354" s="5" t="str">
        <f>IFERROR(__xludf.DUMMYFUNCTION("REGEXEXTRACT(J4354, ""^\d+"")"),"30")</f>
        <v>30</v>
      </c>
      <c r="Z4354" s="5" t="str">
        <f>IFERROR(__xludf.DUMMYFUNCTION("REGEXEXTRACT(J4354, ""[A-Za-z ]+$"")")," min")</f>
        <v> min</v>
      </c>
      <c r="AA4354" s="5" t="str">
        <f>IFERROR(__xludf.DUMMYFUNCTION("IF(REGEXMATCH(Z4354, ""Season""), ""TV Show"", ""Movie"")"),"Movie")</f>
        <v>Movie</v>
      </c>
    </row>
    <row r="4355">
      <c r="A4355" s="1" t="s">
        <v>23244</v>
      </c>
      <c r="B4355" s="1" t="s">
        <v>37</v>
      </c>
      <c r="C4355" s="1" t="s">
        <v>23245</v>
      </c>
      <c r="E4355" s="1" t="s">
        <v>23246</v>
      </c>
      <c r="F4355" s="1" t="s">
        <v>30</v>
      </c>
      <c r="G4355" s="1" t="s">
        <v>23231</v>
      </c>
      <c r="H4355" s="1">
        <v>2018.0</v>
      </c>
      <c r="I4355" s="1" t="s">
        <v>136</v>
      </c>
      <c r="J4355" s="1" t="s">
        <v>51</v>
      </c>
      <c r="K4355" s="1" t="s">
        <v>440</v>
      </c>
      <c r="L4355" s="1" t="s">
        <v>23247</v>
      </c>
      <c r="M4355" s="2" t="s">
        <v>12</v>
      </c>
      <c r="N4355" s="4">
        <f t="shared" si="1"/>
        <v>43434</v>
      </c>
      <c r="O4355" s="5" t="str">
        <f>IFERROR(__xludf.DUMMYFUNCTION("IF(REGEXMATCH(TRIM(I4355), ""^\d+\s*min""), ""Unclassified"", IF(I4355 = """", ""NR"", I4355))"),"TV-PG")</f>
        <v>TV-PG</v>
      </c>
      <c r="R4355" s="5" t="str">
        <f t="shared" si="2"/>
        <v>Death By Magic</v>
      </c>
      <c r="S4355" s="5" t="str">
        <f>IFERROR(__xludf.DUMMYFUNCTION("""COMPUTED_VALUE"""),"Mak Cun")</f>
        <v>Mak Cun</v>
      </c>
      <c r="U4355" s="5" t="str">
        <f>IFERROR(__xludf.DUMMYFUNCTION("""COMPUTED_VALUE"""),"Steve Barker")</f>
        <v>Steve Barker</v>
      </c>
      <c r="V4355" s="5" t="s">
        <v>19806</v>
      </c>
      <c r="W4355" s="5" t="str">
        <f t="shared" si="3"/>
        <v>Vijay Kumar</v>
      </c>
      <c r="X4355" s="5">
        <f t="shared" si="4"/>
        <v>1</v>
      </c>
      <c r="Y4355" s="5" t="str">
        <f>IFERROR(__xludf.DUMMYFUNCTION("REGEXEXTRACT(J4355, ""^\d+"")"),"1")</f>
        <v>1</v>
      </c>
      <c r="Z4355" s="5" t="str">
        <f>IFERROR(__xludf.DUMMYFUNCTION("REGEXEXTRACT(J4355, ""[A-Za-z ]+$"")")," Season")</f>
        <v> Season</v>
      </c>
      <c r="AA4355" s="5" t="str">
        <f>IFERROR(__xludf.DUMMYFUNCTION("IF(REGEXMATCH(Z4355, ""Season""), ""TV Show"", ""Movie"")"),"TV Show")</f>
        <v>TV Show</v>
      </c>
    </row>
    <row r="4356">
      <c r="A4356" s="1" t="s">
        <v>23248</v>
      </c>
      <c r="B4356" s="1" t="s">
        <v>27</v>
      </c>
      <c r="C4356" s="1" t="s">
        <v>23249</v>
      </c>
      <c r="D4356" s="1" t="s">
        <v>11834</v>
      </c>
      <c r="E4356" s="1" t="s">
        <v>23250</v>
      </c>
      <c r="F4356" s="1" t="s">
        <v>162</v>
      </c>
      <c r="G4356" s="1" t="s">
        <v>23231</v>
      </c>
      <c r="H4356" s="1">
        <v>2018.0</v>
      </c>
      <c r="I4356" s="1" t="s">
        <v>42</v>
      </c>
      <c r="J4356" s="1" t="s">
        <v>1001</v>
      </c>
      <c r="K4356" s="1" t="s">
        <v>128</v>
      </c>
      <c r="L4356" s="1" t="s">
        <v>23251</v>
      </c>
      <c r="M4356" s="2" t="s">
        <v>12</v>
      </c>
      <c r="N4356" s="4">
        <f t="shared" si="1"/>
        <v>43434</v>
      </c>
      <c r="O4356" s="5" t="str">
        <f>IFERROR(__xludf.DUMMYFUNCTION("IF(REGEXMATCH(TRIM(I4356), ""^\d+\s*min""), ""Unclassified"", IF(I4356 = """", ""NR"", I4356))"),"TV-MA")</f>
        <v>TV-MA</v>
      </c>
      <c r="R4356" s="5" t="str">
        <f t="shared" si="2"/>
        <v>El Club De Los Insomnes</v>
      </c>
      <c r="S4356" s="5" t="str">
        <f>IFERROR(__xludf.DUMMYFUNCTION("""COMPUTED_VALUE"""),"Making A Murderer")</f>
        <v>Making A Murderer</v>
      </c>
      <c r="U4356" s="5" t="str">
        <f>IFERROR(__xludf.DUMMYFUNCTION("""COMPUTED_VALUE"""),"Dejan Zečević")</f>
        <v>Dejan Zečević</v>
      </c>
      <c r="V4356" s="5" t="s">
        <v>17647</v>
      </c>
      <c r="W4356" s="5" t="str">
        <f t="shared" si="3"/>
        <v>Vijay Kumar Arora</v>
      </c>
      <c r="X4356" s="5">
        <f t="shared" si="4"/>
        <v>1</v>
      </c>
      <c r="Y4356" s="5" t="str">
        <f>IFERROR(__xludf.DUMMYFUNCTION("REGEXEXTRACT(J4356, ""^\d+"")"),"82")</f>
        <v>82</v>
      </c>
      <c r="Z4356" s="5" t="str">
        <f>IFERROR(__xludf.DUMMYFUNCTION("REGEXEXTRACT(J4356, ""[A-Za-z ]+$"")")," min")</f>
        <v> min</v>
      </c>
      <c r="AA4356" s="5" t="str">
        <f>IFERROR(__xludf.DUMMYFUNCTION("IF(REGEXMATCH(Z4356, ""Season""), ""TV Show"", ""Movie"")"),"Movie")</f>
        <v>Movie</v>
      </c>
    </row>
    <row r="4357">
      <c r="A4357" s="1" t="s">
        <v>23252</v>
      </c>
      <c r="B4357" s="1" t="s">
        <v>27</v>
      </c>
      <c r="C4357" s="1" t="s">
        <v>23253</v>
      </c>
      <c r="D4357" s="1" t="s">
        <v>1392</v>
      </c>
      <c r="E4357" s="1" t="s">
        <v>23254</v>
      </c>
      <c r="F4357" s="1" t="s">
        <v>23255</v>
      </c>
      <c r="G4357" s="1" t="s">
        <v>23231</v>
      </c>
      <c r="H4357" s="1">
        <v>2018.0</v>
      </c>
      <c r="I4357" s="1" t="s">
        <v>32</v>
      </c>
      <c r="J4357" s="1" t="s">
        <v>127</v>
      </c>
      <c r="K4357" s="1" t="s">
        <v>89</v>
      </c>
      <c r="L4357" s="1" t="s">
        <v>23256</v>
      </c>
      <c r="M4357" s="2" t="s">
        <v>12</v>
      </c>
      <c r="N4357" s="4">
        <f t="shared" si="1"/>
        <v>43434</v>
      </c>
      <c r="O4357" s="5" t="str">
        <f>IFERROR(__xludf.DUMMYFUNCTION("IF(REGEXMATCH(TRIM(I4357), ""^\d+\s*min""), ""Unclassified"", IF(I4357 = """", ""NR"", I4357))"),"PG-13")</f>
        <v>PG-13</v>
      </c>
      <c r="R4357" s="5" t="str">
        <f t="shared" si="2"/>
        <v>Happy As Lazzaro</v>
      </c>
      <c r="S4357" s="5" t="str">
        <f>IFERROR(__xludf.DUMMYFUNCTION("""COMPUTED_VALUE"""),"Making The Witcher")</f>
        <v>Making The Witcher</v>
      </c>
      <c r="U4357" s="5" t="str">
        <f>IFERROR(__xludf.DUMMYFUNCTION("""COMPUTED_VALUE"""),"Hadi El Bagoury")</f>
        <v>Hadi El Bagoury</v>
      </c>
      <c r="V4357" s="5" t="s">
        <v>17408</v>
      </c>
      <c r="W4357" s="5" t="str">
        <f t="shared" si="3"/>
        <v>Vijay Lalwani</v>
      </c>
      <c r="X4357" s="5">
        <f t="shared" si="4"/>
        <v>1</v>
      </c>
      <c r="Y4357" s="5" t="str">
        <f>IFERROR(__xludf.DUMMYFUNCTION("REGEXEXTRACT(J4357, ""^\d+"")"),"127")</f>
        <v>127</v>
      </c>
      <c r="Z4357" s="5" t="str">
        <f>IFERROR(__xludf.DUMMYFUNCTION("REGEXEXTRACT(J4357, ""[A-Za-z ]+$"")")," min")</f>
        <v> min</v>
      </c>
      <c r="AA4357" s="5" t="str">
        <f>IFERROR(__xludf.DUMMYFUNCTION("IF(REGEXMATCH(Z4357, ""Season""), ""TV Show"", ""Movie"")"),"Movie")</f>
        <v>Movie</v>
      </c>
    </row>
    <row r="4358">
      <c r="A4358" s="1" t="s">
        <v>23257</v>
      </c>
      <c r="B4358" s="1" t="s">
        <v>37</v>
      </c>
      <c r="C4358" s="1" t="s">
        <v>23258</v>
      </c>
      <c r="E4358" s="1" t="s">
        <v>23259</v>
      </c>
      <c r="F4358" s="1" t="s">
        <v>415</v>
      </c>
      <c r="G4358" s="1" t="s">
        <v>23231</v>
      </c>
      <c r="H4358" s="1">
        <v>2018.0</v>
      </c>
      <c r="I4358" s="1" t="s">
        <v>42</v>
      </c>
      <c r="J4358" s="1" t="s">
        <v>51</v>
      </c>
      <c r="K4358" s="1" t="s">
        <v>1907</v>
      </c>
      <c r="L4358" s="1" t="s">
        <v>23260</v>
      </c>
      <c r="M4358" s="2" t="s">
        <v>12</v>
      </c>
      <c r="N4358" s="4">
        <f t="shared" si="1"/>
        <v>43434</v>
      </c>
      <c r="O4358" s="5" t="str">
        <f>IFERROR(__xludf.DUMMYFUNCTION("IF(REGEXMATCH(TRIM(I4358), ""^\d+\s*min""), ""Unclassified"", IF(I4358 = """", ""NR"", I4358))"),"TV-MA")</f>
        <v>TV-MA</v>
      </c>
      <c r="R4358" s="5" t="str">
        <f t="shared" si="2"/>
        <v>Love And Fortune</v>
      </c>
      <c r="S4358" s="5" t="str">
        <f>IFERROR(__xludf.DUMMYFUNCTION("""COMPUTED_VALUE"""),"Making Unorthodox")</f>
        <v>Making Unorthodox</v>
      </c>
      <c r="U4358" s="5" t="str">
        <f>IFERROR(__xludf.DUMMYFUNCTION("""COMPUTED_VALUE"""),"Lone Scherfig")</f>
        <v>Lone Scherfig</v>
      </c>
      <c r="V4358" s="5" t="s">
        <v>11620</v>
      </c>
      <c r="W4358" s="5" t="str">
        <f t="shared" si="3"/>
        <v>Vijay Maurya</v>
      </c>
      <c r="X4358" s="5">
        <f t="shared" si="4"/>
        <v>1</v>
      </c>
      <c r="Y4358" s="5" t="str">
        <f>IFERROR(__xludf.DUMMYFUNCTION("REGEXEXTRACT(J4358, ""^\d+"")"),"1")</f>
        <v>1</v>
      </c>
      <c r="Z4358" s="5" t="str">
        <f>IFERROR(__xludf.DUMMYFUNCTION("REGEXEXTRACT(J4358, ""[A-Za-z ]+$"")")," Season")</f>
        <v> Season</v>
      </c>
      <c r="AA4358" s="5" t="str">
        <f>IFERROR(__xludf.DUMMYFUNCTION("IF(REGEXMATCH(Z4358, ""Season""), ""TV Show"", ""Movie"")"),"TV Show")</f>
        <v>TV Show</v>
      </c>
    </row>
    <row r="4359">
      <c r="A4359" s="1" t="s">
        <v>23261</v>
      </c>
      <c r="B4359" s="1" t="s">
        <v>27</v>
      </c>
      <c r="C4359" s="1" t="s">
        <v>23262</v>
      </c>
      <c r="D4359" s="1" t="s">
        <v>16539</v>
      </c>
      <c r="E4359" s="1" t="s">
        <v>23263</v>
      </c>
      <c r="F4359" s="1" t="s">
        <v>63</v>
      </c>
      <c r="G4359" s="1" t="s">
        <v>23231</v>
      </c>
      <c r="H4359" s="1">
        <v>2018.0</v>
      </c>
      <c r="I4359" s="1" t="s">
        <v>42</v>
      </c>
      <c r="J4359" s="1" t="s">
        <v>835</v>
      </c>
      <c r="K4359" s="1" t="s">
        <v>89</v>
      </c>
      <c r="L4359" s="1" t="s">
        <v>23264</v>
      </c>
      <c r="M4359" s="2" t="s">
        <v>12</v>
      </c>
      <c r="N4359" s="4">
        <f t="shared" si="1"/>
        <v>43434</v>
      </c>
      <c r="O4359" s="5" t="str">
        <f>IFERROR(__xludf.DUMMYFUNCTION("IF(REGEXMATCH(TRIM(I4359), ""^\d+\s*min""), ""Unclassified"", IF(I4359 = """", ""NR"", I4359))"),"TV-MA")</f>
        <v>TV-MA</v>
      </c>
      <c r="R4359" s="5" t="str">
        <f t="shared" si="2"/>
        <v>Manto</v>
      </c>
      <c r="S4359" s="5" t="str">
        <f>IFERROR(__xludf.DUMMYFUNCTION("""COMPUTED_VALUE"""),"Mako Mermaids: An H2O Adventure")</f>
        <v>Mako Mermaids: An H2O Adventure</v>
      </c>
      <c r="U4359" s="5" t="str">
        <f>IFERROR(__xludf.DUMMYFUNCTION("""COMPUTED_VALUE"""),"N.D. Wilson")</f>
        <v>N.D. Wilson</v>
      </c>
      <c r="V4359" s="5" t="s">
        <v>23265</v>
      </c>
      <c r="W4359" s="5" t="str">
        <f t="shared" si="3"/>
        <v>Vijay Milton</v>
      </c>
      <c r="X4359" s="5">
        <f t="shared" si="4"/>
        <v>1</v>
      </c>
      <c r="Y4359" s="5" t="str">
        <f>IFERROR(__xludf.DUMMYFUNCTION("REGEXEXTRACT(J4359, ""^\d+"")"),"114")</f>
        <v>114</v>
      </c>
      <c r="Z4359" s="5" t="str">
        <f>IFERROR(__xludf.DUMMYFUNCTION("REGEXEXTRACT(J4359, ""[A-Za-z ]+$"")")," min")</f>
        <v> min</v>
      </c>
      <c r="AA4359" s="5" t="str">
        <f>IFERROR(__xludf.DUMMYFUNCTION("IF(REGEXMATCH(Z4359, ""Season""), ""TV Show"", ""Movie"")"),"Movie")</f>
        <v>Movie</v>
      </c>
    </row>
    <row r="4360">
      <c r="A4360" s="1" t="s">
        <v>23266</v>
      </c>
      <c r="B4360" s="1" t="s">
        <v>27</v>
      </c>
      <c r="C4360" s="1" t="s">
        <v>23267</v>
      </c>
      <c r="D4360" s="1" t="s">
        <v>13582</v>
      </c>
      <c r="E4360" s="1" t="s">
        <v>23268</v>
      </c>
      <c r="F4360" s="1" t="s">
        <v>63</v>
      </c>
      <c r="G4360" s="1" t="s">
        <v>23231</v>
      </c>
      <c r="H4360" s="1">
        <v>2018.0</v>
      </c>
      <c r="I4360" s="1" t="s">
        <v>42</v>
      </c>
      <c r="J4360" s="1" t="s">
        <v>804</v>
      </c>
      <c r="K4360" s="1" t="s">
        <v>583</v>
      </c>
      <c r="L4360" s="1" t="s">
        <v>23269</v>
      </c>
      <c r="M4360" s="2" t="s">
        <v>12</v>
      </c>
      <c r="N4360" s="4">
        <f t="shared" si="1"/>
        <v>43434</v>
      </c>
      <c r="O4360" s="5" t="str">
        <f>IFERROR(__xludf.DUMMYFUNCTION("IF(REGEXMATCH(TRIM(I4360), ""^\d+\s*min""), ""Unclassified"", IF(I4360 = """", ""NR"", I4360))"),"TV-MA")</f>
        <v>TV-MA</v>
      </c>
      <c r="R4360" s="5" t="str">
        <f t="shared" si="2"/>
        <v>Rajma Chawal</v>
      </c>
      <c r="S4360" s="5" t="str">
        <f>IFERROR(__xludf.DUMMYFUNCTION("""COMPUTED_VALUE"""),"Maktub")</f>
        <v>Maktub</v>
      </c>
      <c r="U4360" s="5" t="str">
        <f>IFERROR(__xludf.DUMMYFUNCTION("""COMPUTED_VALUE"""),"Curtis Hanson")</f>
        <v>Curtis Hanson</v>
      </c>
      <c r="V4360" s="5" t="s">
        <v>5490</v>
      </c>
      <c r="W4360" s="5" t="str">
        <f t="shared" si="3"/>
        <v>Vijay Roche</v>
      </c>
      <c r="X4360" s="5">
        <f t="shared" si="4"/>
        <v>1</v>
      </c>
      <c r="Y4360" s="5" t="str">
        <f>IFERROR(__xludf.DUMMYFUNCTION("REGEXEXTRACT(J4360, ""^\d+"")"),"119")</f>
        <v>119</v>
      </c>
      <c r="Z4360" s="5" t="str">
        <f>IFERROR(__xludf.DUMMYFUNCTION("REGEXEXTRACT(J4360, ""[A-Za-z ]+$"")")," min")</f>
        <v> min</v>
      </c>
      <c r="AA4360" s="5" t="str">
        <f>IFERROR(__xludf.DUMMYFUNCTION("IF(REGEXMATCH(Z4360, ""Season""), ""TV Show"", ""Movie"")"),"Movie")</f>
        <v>Movie</v>
      </c>
    </row>
    <row r="4361">
      <c r="A4361" s="1" t="s">
        <v>23270</v>
      </c>
      <c r="B4361" s="1" t="s">
        <v>37</v>
      </c>
      <c r="C4361" s="1" t="s">
        <v>23271</v>
      </c>
      <c r="E4361" s="1" t="s">
        <v>23272</v>
      </c>
      <c r="F4361" s="1" t="s">
        <v>897</v>
      </c>
      <c r="G4361" s="1" t="s">
        <v>23231</v>
      </c>
      <c r="H4361" s="1">
        <v>2018.0</v>
      </c>
      <c r="I4361" s="1" t="s">
        <v>289</v>
      </c>
      <c r="J4361" s="1" t="s">
        <v>43</v>
      </c>
      <c r="K4361" s="1" t="s">
        <v>290</v>
      </c>
      <c r="L4361" s="1" t="s">
        <v>23273</v>
      </c>
      <c r="M4361" s="2" t="s">
        <v>12</v>
      </c>
      <c r="N4361" s="4">
        <f t="shared" si="1"/>
        <v>43434</v>
      </c>
      <c r="O4361" s="5" t="str">
        <f>IFERROR(__xludf.DUMMYFUNCTION("IF(REGEXMATCH(TRIM(I4361), ""^\d+\s*min""), ""Unclassified"", IF(I4361 = """", ""NR"", I4361))"),"TV-Y7")</f>
        <v>TV-Y7</v>
      </c>
      <c r="R4361" s="5" t="str">
        <f t="shared" si="2"/>
        <v>Spy Kids: Mission Critical</v>
      </c>
      <c r="S4361" s="5" t="str">
        <f>IFERROR(__xludf.DUMMYFUNCTION("""COMPUTED_VALUE"""),"Mala Kahich Problem Nahi")</f>
        <v>Mala Kahich Problem Nahi</v>
      </c>
      <c r="U4361" s="5" t="str">
        <f>IFERROR(__xludf.DUMMYFUNCTION("""COMPUTED_VALUE"""),"Christian E. Christiansen")</f>
        <v>Christian E. Christiansen</v>
      </c>
      <c r="V4361" s="5" t="s">
        <v>15408</v>
      </c>
      <c r="W4361" s="5" t="str">
        <f t="shared" si="3"/>
        <v>Vijay S. Bhanushali</v>
      </c>
      <c r="X4361" s="5">
        <f t="shared" si="4"/>
        <v>1</v>
      </c>
      <c r="Y4361" s="5" t="str">
        <f>IFERROR(__xludf.DUMMYFUNCTION("REGEXEXTRACT(J4361, ""^\d+"")"),"2")</f>
        <v>2</v>
      </c>
      <c r="Z4361" s="5" t="str">
        <f>IFERROR(__xludf.DUMMYFUNCTION("REGEXEXTRACT(J4361, ""[A-Za-z ]+$"")")," Seasons")</f>
        <v> Seasons</v>
      </c>
      <c r="AA4361" s="5" t="str">
        <f>IFERROR(__xludf.DUMMYFUNCTION("IF(REGEXMATCH(Z4361, ""Season""), ""TV Show"", ""Movie"")"),"TV Show")</f>
        <v>TV Show</v>
      </c>
    </row>
    <row r="4362">
      <c r="A4362" s="1" t="s">
        <v>23274</v>
      </c>
      <c r="B4362" s="1" t="s">
        <v>27</v>
      </c>
      <c r="C4362" s="1" t="s">
        <v>23275</v>
      </c>
      <c r="D4362" s="1" t="s">
        <v>19749</v>
      </c>
      <c r="E4362" s="1" t="s">
        <v>23276</v>
      </c>
      <c r="F4362" s="1" t="s">
        <v>664</v>
      </c>
      <c r="G4362" s="1" t="s">
        <v>23231</v>
      </c>
      <c r="H4362" s="1">
        <v>2018.0</v>
      </c>
      <c r="I4362" s="1" t="s">
        <v>42</v>
      </c>
      <c r="J4362" s="1" t="s">
        <v>1091</v>
      </c>
      <c r="K4362" s="1" t="s">
        <v>1328</v>
      </c>
      <c r="L4362" s="1" t="s">
        <v>23277</v>
      </c>
      <c r="M4362" s="2" t="s">
        <v>12</v>
      </c>
      <c r="N4362" s="4">
        <f t="shared" si="1"/>
        <v>43434</v>
      </c>
      <c r="O4362" s="5" t="str">
        <f>IFERROR(__xludf.DUMMYFUNCTION("IF(REGEXMATCH(TRIM(I4362), ""^\d+\s*min""), ""Unclassified"", IF(I4362 = """", ""NR"", I4362))"),"TV-MA")</f>
        <v>TV-MA</v>
      </c>
      <c r="R4362" s="5" t="str">
        <f t="shared" si="2"/>
        <v>The World Is Yours</v>
      </c>
      <c r="S4362" s="5" t="str">
        <f>IFERROR(__xludf.DUMMYFUNCTION("""COMPUTED_VALUE"""),"Malaal")</f>
        <v>Malaal</v>
      </c>
      <c r="U4362" s="5" t="str">
        <f>IFERROR(__xludf.DUMMYFUNCTION("""COMPUTED_VALUE"""),"Bruce Robinson")</f>
        <v>Bruce Robinson</v>
      </c>
      <c r="V4362" s="5" t="s">
        <v>23278</v>
      </c>
      <c r="W4362" s="5" t="str">
        <f t="shared" si="3"/>
        <v>Vijay Yelakanti</v>
      </c>
      <c r="X4362" s="5">
        <f t="shared" si="4"/>
        <v>1</v>
      </c>
      <c r="Y4362" s="5" t="str">
        <f>IFERROR(__xludf.DUMMYFUNCTION("REGEXEXTRACT(J4362, ""^\d+"")"),"101")</f>
        <v>101</v>
      </c>
      <c r="Z4362" s="5" t="str">
        <f>IFERROR(__xludf.DUMMYFUNCTION("REGEXEXTRACT(J4362, ""[A-Za-z ]+$"")")," min")</f>
        <v> min</v>
      </c>
      <c r="AA4362" s="5" t="str">
        <f>IFERROR(__xludf.DUMMYFUNCTION("IF(REGEXMATCH(Z4362, ""Season""), ""TV Show"", ""Movie"")"),"Movie")</f>
        <v>Movie</v>
      </c>
    </row>
    <row r="4363">
      <c r="A4363" s="1" t="s">
        <v>23279</v>
      </c>
      <c r="B4363" s="1" t="s">
        <v>27</v>
      </c>
      <c r="C4363" s="1" t="s">
        <v>23280</v>
      </c>
      <c r="D4363" s="1" t="s">
        <v>20711</v>
      </c>
      <c r="E4363" s="1" t="s">
        <v>23281</v>
      </c>
      <c r="F4363" s="1" t="s">
        <v>23282</v>
      </c>
      <c r="G4363" s="1" t="s">
        <v>23231</v>
      </c>
      <c r="H4363" s="1">
        <v>2018.0</v>
      </c>
      <c r="I4363" s="1" t="s">
        <v>42</v>
      </c>
      <c r="J4363" s="1" t="s">
        <v>322</v>
      </c>
      <c r="K4363" s="1" t="s">
        <v>89</v>
      </c>
      <c r="L4363" s="1" t="s">
        <v>23283</v>
      </c>
      <c r="M4363" s="2" t="s">
        <v>12</v>
      </c>
      <c r="N4363" s="4">
        <f t="shared" si="1"/>
        <v>43434</v>
      </c>
      <c r="O4363" s="5" t="str">
        <f>IFERROR(__xludf.DUMMYFUNCTION("IF(REGEXMATCH(TRIM(I4363), ""^\d+\s*min""), ""Unclassified"", IF(I4363 = """", ""NR"", I4363))"),"TV-MA")</f>
        <v>TV-MA</v>
      </c>
      <c r="R4363" s="5" t="str">
        <f t="shared" si="2"/>
        <v>Time Share</v>
      </c>
      <c r="S4363" s="5" t="str">
        <f>IFERROR(__xludf.DUMMYFUNCTION("""COMPUTED_VALUE"""),"Malang")</f>
        <v>Malang</v>
      </c>
      <c r="U4363" s="5" t="str">
        <f>IFERROR(__xludf.DUMMYFUNCTION("""COMPUTED_VALUE"""),"Austin Stark")</f>
        <v>Austin Stark</v>
      </c>
      <c r="V4363" s="5" t="s">
        <v>12998</v>
      </c>
      <c r="W4363" s="5" t="str">
        <f t="shared" si="3"/>
        <v>Vikas Bahl</v>
      </c>
      <c r="X4363" s="5">
        <f t="shared" si="4"/>
        <v>2</v>
      </c>
      <c r="Y4363" s="5" t="str">
        <f>IFERROR(__xludf.DUMMYFUNCTION("REGEXEXTRACT(J4363, ""^\d+"")"),"96")</f>
        <v>96</v>
      </c>
      <c r="Z4363" s="5" t="str">
        <f>IFERROR(__xludf.DUMMYFUNCTION("REGEXEXTRACT(J4363, ""[A-Za-z ]+$"")")," min")</f>
        <v> min</v>
      </c>
      <c r="AA4363" s="5" t="str">
        <f>IFERROR(__xludf.DUMMYFUNCTION("IF(REGEXMATCH(Z4363, ""Season""), ""TV Show"", ""Movie"")"),"Movie")</f>
        <v>Movie</v>
      </c>
    </row>
    <row r="4364">
      <c r="A4364" s="1" t="s">
        <v>23284</v>
      </c>
      <c r="B4364" s="1" t="s">
        <v>37</v>
      </c>
      <c r="C4364" s="1" t="s">
        <v>23285</v>
      </c>
      <c r="E4364" s="1" t="s">
        <v>23286</v>
      </c>
      <c r="F4364" s="1" t="s">
        <v>30</v>
      </c>
      <c r="G4364" s="1" t="s">
        <v>23287</v>
      </c>
      <c r="H4364" s="1">
        <v>2018.0</v>
      </c>
      <c r="I4364" s="1" t="s">
        <v>42</v>
      </c>
      <c r="J4364" s="1" t="s">
        <v>51</v>
      </c>
      <c r="K4364" s="1" t="s">
        <v>2512</v>
      </c>
      <c r="L4364" s="1" t="s">
        <v>23288</v>
      </c>
      <c r="M4364" s="2" t="s">
        <v>12</v>
      </c>
      <c r="N4364" s="4">
        <f t="shared" si="1"/>
        <v>43431</v>
      </c>
      <c r="O4364" s="5" t="str">
        <f>IFERROR(__xludf.DUMMYFUNCTION("IF(REGEXMATCH(TRIM(I4364), ""^\d+\s*min""), ""Unclassified"", IF(I4364 = """", ""NR"", I4364))"),"TV-MA")</f>
        <v>TV-MA</v>
      </c>
      <c r="R4364" s="5" t="str">
        <f t="shared" si="2"/>
        <v>Bumping Mics With Jeff Ross &amp; Dave Attell</v>
      </c>
      <c r="S4364" s="5" t="str">
        <f>IFERROR(__xludf.DUMMYFUNCTION("""COMPUTED_VALUE"""),"Malcolm &amp; Marie")</f>
        <v>Malcolm &amp; Marie</v>
      </c>
      <c r="U4364" s="5" t="str">
        <f>IFERROR(__xludf.DUMMYFUNCTION("""COMPUTED_VALUE"""),"Kristian Levring")</f>
        <v>Kristian Levring</v>
      </c>
      <c r="V4364" s="5" t="s">
        <v>23289</v>
      </c>
      <c r="W4364" s="5" t="str">
        <f t="shared" si="3"/>
        <v>Vikas Bahl, Nitesh Tiwari</v>
      </c>
      <c r="X4364" s="5">
        <f t="shared" si="4"/>
        <v>1</v>
      </c>
      <c r="Y4364" s="5" t="str">
        <f>IFERROR(__xludf.DUMMYFUNCTION("REGEXEXTRACT(J4364, ""^\d+"")"),"1")</f>
        <v>1</v>
      </c>
      <c r="Z4364" s="5" t="str">
        <f>IFERROR(__xludf.DUMMYFUNCTION("REGEXEXTRACT(J4364, ""[A-Za-z ]+$"")")," Season")</f>
        <v> Season</v>
      </c>
      <c r="AA4364" s="5" t="str">
        <f>IFERROR(__xludf.DUMMYFUNCTION("IF(REGEXMATCH(Z4364, ""Season""), ""TV Show"", ""Movie"")"),"TV Show")</f>
        <v>TV Show</v>
      </c>
    </row>
    <row r="4365">
      <c r="A4365" s="1" t="s">
        <v>23290</v>
      </c>
      <c r="B4365" s="1" t="s">
        <v>37</v>
      </c>
      <c r="C4365" s="1" t="s">
        <v>23291</v>
      </c>
      <c r="E4365" s="1" t="s">
        <v>23292</v>
      </c>
      <c r="F4365" s="1" t="s">
        <v>23293</v>
      </c>
      <c r="G4365" s="1" t="s">
        <v>23287</v>
      </c>
      <c r="H4365" s="1">
        <v>2015.0</v>
      </c>
      <c r="I4365" s="1" t="s">
        <v>136</v>
      </c>
      <c r="J4365" s="1" t="s">
        <v>51</v>
      </c>
      <c r="K4365" s="1" t="s">
        <v>290</v>
      </c>
      <c r="L4365" s="1" t="s">
        <v>23294</v>
      </c>
      <c r="M4365" s="2" t="s">
        <v>12</v>
      </c>
      <c r="N4365" s="4">
        <f t="shared" si="1"/>
        <v>43431</v>
      </c>
      <c r="O4365" s="5" t="str">
        <f>IFERROR(__xludf.DUMMYFUNCTION("IF(REGEXMATCH(TRIM(I4365), ""^\d+\s*min""), ""Unclassified"", IF(I4365 = """", ""NR"", I4365))"),"TV-PG")</f>
        <v>TV-PG</v>
      </c>
      <c r="R4365" s="5" t="str">
        <f t="shared" si="2"/>
        <v>Minecraft: Story Mode</v>
      </c>
      <c r="S4365" s="5" t="str">
        <f>IFERROR(__xludf.DUMMYFUNCTION("""COMPUTED_VALUE"""),"Malena Pichot: Estupidez Compleja")</f>
        <v>Malena Pichot: Estupidez Compleja</v>
      </c>
      <c r="U4365" s="5" t="str">
        <f>IFERROR(__xludf.DUMMYFUNCTION("""COMPUTED_VALUE"""),"Stephen Amezdroz")</f>
        <v>Stephen Amezdroz</v>
      </c>
      <c r="V4365" s="5" t="s">
        <v>7699</v>
      </c>
      <c r="W4365" s="5" t="str">
        <f t="shared" si="3"/>
        <v>Vikram Bhatt</v>
      </c>
      <c r="X4365" s="5">
        <f t="shared" si="4"/>
        <v>2</v>
      </c>
      <c r="Y4365" s="5" t="str">
        <f>IFERROR(__xludf.DUMMYFUNCTION("REGEXEXTRACT(J4365, ""^\d+"")"),"1")</f>
        <v>1</v>
      </c>
      <c r="Z4365" s="5" t="str">
        <f>IFERROR(__xludf.DUMMYFUNCTION("REGEXEXTRACT(J4365, ""[A-Za-z ]+$"")")," Season")</f>
        <v> Season</v>
      </c>
      <c r="AA4365" s="5" t="str">
        <f>IFERROR(__xludf.DUMMYFUNCTION("IF(REGEXMATCH(Z4365, ""Season""), ""TV Show"", ""Movie"")"),"TV Show")</f>
        <v>TV Show</v>
      </c>
    </row>
    <row r="4366">
      <c r="A4366" s="1" t="s">
        <v>23295</v>
      </c>
      <c r="B4366" s="1" t="s">
        <v>27</v>
      </c>
      <c r="C4366" s="1" t="s">
        <v>23296</v>
      </c>
      <c r="D4366" s="1" t="s">
        <v>6367</v>
      </c>
      <c r="E4366" s="1" t="s">
        <v>23297</v>
      </c>
      <c r="F4366" s="1" t="s">
        <v>30</v>
      </c>
      <c r="G4366" s="1" t="s">
        <v>23298</v>
      </c>
      <c r="H4366" s="1">
        <v>2018.0</v>
      </c>
      <c r="I4366" s="1" t="s">
        <v>206</v>
      </c>
      <c r="J4366" s="1" t="s">
        <v>10890</v>
      </c>
      <c r="K4366" s="1" t="s">
        <v>80</v>
      </c>
      <c r="L4366" s="1" t="s">
        <v>23299</v>
      </c>
      <c r="M4366" s="2" t="s">
        <v>12</v>
      </c>
      <c r="N4366" s="4">
        <f t="shared" si="1"/>
        <v>43429</v>
      </c>
      <c r="O4366" s="5" t="str">
        <f>IFERROR(__xludf.DUMMYFUNCTION("IF(REGEXMATCH(TRIM(I4366), ""^\d+\s*min""), ""Unclassified"", IF(I4366 = """", ""NR"", I4366))"),"TV-Y")</f>
        <v>TV-Y</v>
      </c>
      <c r="R4366" s="5" t="str">
        <f t="shared" si="2"/>
        <v>My Little Pony Friendship Is Magic: Best Gift Ever</v>
      </c>
      <c r="S4366" s="5" t="str">
        <f>IFERROR(__xludf.DUMMYFUNCTION("""COMPUTED_VALUE"""),"Malevolent")</f>
        <v>Malevolent</v>
      </c>
      <c r="U4366" s="5" t="str">
        <f>IFERROR(__xludf.DUMMYFUNCTION("""COMPUTED_VALUE"""),"Chris Renaud")</f>
        <v>Chris Renaud</v>
      </c>
      <c r="V4366" s="5" t="s">
        <v>23300</v>
      </c>
      <c r="W4366" s="5" t="str">
        <f t="shared" si="3"/>
        <v>Vikram Gandhi</v>
      </c>
      <c r="X4366" s="5">
        <f t="shared" si="4"/>
        <v>1</v>
      </c>
      <c r="Y4366" s="5" t="str">
        <f>IFERROR(__xludf.DUMMYFUNCTION("REGEXEXTRACT(J4366, ""^\d+"")"),"44")</f>
        <v>44</v>
      </c>
      <c r="Z4366" s="5" t="str">
        <f>IFERROR(__xludf.DUMMYFUNCTION("REGEXEXTRACT(J4366, ""[A-Za-z ]+$"")")," min")</f>
        <v> min</v>
      </c>
      <c r="AA4366" s="5" t="str">
        <f>IFERROR(__xludf.DUMMYFUNCTION("IF(REGEXMATCH(Z4366, ""Season""), ""TV Show"", ""Movie"")"),"Movie")</f>
        <v>Movie</v>
      </c>
    </row>
    <row r="4367">
      <c r="A4367" s="1" t="s">
        <v>23301</v>
      </c>
      <c r="B4367" s="1" t="s">
        <v>37</v>
      </c>
      <c r="C4367" s="1" t="s">
        <v>23302</v>
      </c>
      <c r="E4367" s="1" t="s">
        <v>23303</v>
      </c>
      <c r="F4367" s="1" t="s">
        <v>1106</v>
      </c>
      <c r="G4367" s="1" t="s">
        <v>23304</v>
      </c>
      <c r="H4367" s="1">
        <v>2018.0</v>
      </c>
      <c r="I4367" s="1" t="s">
        <v>42</v>
      </c>
      <c r="J4367" s="1" t="s">
        <v>276</v>
      </c>
      <c r="K4367" s="1" t="s">
        <v>190</v>
      </c>
      <c r="L4367" s="1" t="s">
        <v>23305</v>
      </c>
      <c r="M4367" s="2" t="s">
        <v>12</v>
      </c>
      <c r="N4367" s="4">
        <f t="shared" si="1"/>
        <v>43427</v>
      </c>
      <c r="O4367" s="5" t="str">
        <f>IFERROR(__xludf.DUMMYFUNCTION("IF(REGEXMATCH(TRIM(I4367), ""^\d+\s*min""), ""Unclassified"", IF(I4367 = """", ""NR"", I4367))"),"TV-MA")</f>
        <v>TV-MA</v>
      </c>
      <c r="R4367" s="5" t="str">
        <f t="shared" si="2"/>
        <v>Frontier</v>
      </c>
      <c r="S4367" s="5" t="str">
        <f>IFERROR(__xludf.DUMMYFUNCTION("""COMPUTED_VALUE"""),"Malibu Rescue")</f>
        <v>Malibu Rescue</v>
      </c>
      <c r="U4367" s="5" t="str">
        <f>IFERROR(__xludf.DUMMYFUNCTION("""COMPUTED_VALUE"""),"Giancarlo Esposito")</f>
        <v>Giancarlo Esposito</v>
      </c>
      <c r="V4367" s="5" t="s">
        <v>23306</v>
      </c>
      <c r="W4367" s="5" t="str">
        <f t="shared" si="3"/>
        <v>Vikram Pradhan</v>
      </c>
      <c r="X4367" s="5">
        <f t="shared" si="4"/>
        <v>1</v>
      </c>
      <c r="Y4367" s="5" t="str">
        <f>IFERROR(__xludf.DUMMYFUNCTION("REGEXEXTRACT(J4367, ""^\d+"")"),"3")</f>
        <v>3</v>
      </c>
      <c r="Z4367" s="5" t="str">
        <f>IFERROR(__xludf.DUMMYFUNCTION("REGEXEXTRACT(J4367, ""[A-Za-z ]+$"")")," Seasons")</f>
        <v> Seasons</v>
      </c>
      <c r="AA4367" s="5" t="str">
        <f>IFERROR(__xludf.DUMMYFUNCTION("IF(REGEXMATCH(Z4367, ""Season""), ""TV Show"", ""Movie"")"),"TV Show")</f>
        <v>TV Show</v>
      </c>
    </row>
    <row r="4368">
      <c r="A4368" s="1" t="s">
        <v>23307</v>
      </c>
      <c r="B4368" s="1" t="s">
        <v>37</v>
      </c>
      <c r="C4368" s="1" t="s">
        <v>23308</v>
      </c>
      <c r="E4368" s="1" t="s">
        <v>23309</v>
      </c>
      <c r="F4368" s="1" t="s">
        <v>784</v>
      </c>
      <c r="G4368" s="1" t="s">
        <v>23304</v>
      </c>
      <c r="H4368" s="1">
        <v>2018.0</v>
      </c>
      <c r="I4368" s="1" t="s">
        <v>42</v>
      </c>
      <c r="J4368" s="1" t="s">
        <v>51</v>
      </c>
      <c r="K4368" s="1" t="s">
        <v>785</v>
      </c>
      <c r="L4368" s="1" t="s">
        <v>23310</v>
      </c>
      <c r="M4368" s="2" t="s">
        <v>12</v>
      </c>
      <c r="N4368" s="4">
        <f t="shared" si="1"/>
        <v>43427</v>
      </c>
      <c r="O4368" s="5" t="str">
        <f>IFERROR(__xludf.DUMMYFUNCTION("IF(REGEXMATCH(TRIM(I4368), ""^\d+\s*min""), ""Unclassified"", IF(I4368 = """", ""NR"", I4368))"),"TV-MA")</f>
        <v>TV-MA</v>
      </c>
      <c r="R4368" s="5" t="str">
        <f t="shared" si="2"/>
        <v>Fugitiva</v>
      </c>
      <c r="S4368" s="5" t="str">
        <f>IFERROR(__xludf.DUMMYFUNCTION("""COMPUTED_VALUE"""),"Malibu Rescue: The Next Wave")</f>
        <v>Malibu Rescue: The Next Wave</v>
      </c>
      <c r="U4368" s="5" t="str">
        <f>IFERROR(__xludf.DUMMYFUNCTION("""COMPUTED_VALUE"""),"William Eubank, Will Eubank")</f>
        <v>William Eubank, Will Eubank</v>
      </c>
      <c r="V4368" s="5" t="s">
        <v>8756</v>
      </c>
      <c r="W4368" s="5" t="str">
        <f t="shared" si="3"/>
        <v>Vikramaditya Motwane</v>
      </c>
      <c r="X4368" s="5">
        <f t="shared" si="4"/>
        <v>3</v>
      </c>
      <c r="Y4368" s="5" t="str">
        <f>IFERROR(__xludf.DUMMYFUNCTION("REGEXEXTRACT(J4368, ""^\d+"")"),"1")</f>
        <v>1</v>
      </c>
      <c r="Z4368" s="5" t="str">
        <f>IFERROR(__xludf.DUMMYFUNCTION("REGEXEXTRACT(J4368, ""[A-Za-z ]+$"")")," Season")</f>
        <v> Season</v>
      </c>
      <c r="AA4368" s="5" t="str">
        <f>IFERROR(__xludf.DUMMYFUNCTION("IF(REGEXMATCH(Z4368, ""Season""), ""TV Show"", ""Movie"")"),"TV Show")</f>
        <v>TV Show</v>
      </c>
    </row>
    <row r="4369">
      <c r="A4369" s="1" t="s">
        <v>23311</v>
      </c>
      <c r="B4369" s="1" t="s">
        <v>37</v>
      </c>
      <c r="C4369" s="1" t="s">
        <v>23312</v>
      </c>
      <c r="E4369" s="1" t="s">
        <v>23313</v>
      </c>
      <c r="F4369" s="1" t="s">
        <v>96</v>
      </c>
      <c r="G4369" s="1" t="s">
        <v>23304</v>
      </c>
      <c r="H4369" s="1">
        <v>2018.0</v>
      </c>
      <c r="I4369" s="1" t="s">
        <v>42</v>
      </c>
      <c r="J4369" s="1" t="s">
        <v>43</v>
      </c>
      <c r="K4369" s="1" t="s">
        <v>277</v>
      </c>
      <c r="L4369" s="1" t="s">
        <v>23314</v>
      </c>
      <c r="M4369" s="2" t="s">
        <v>12</v>
      </c>
      <c r="N4369" s="4">
        <f t="shared" si="1"/>
        <v>43427</v>
      </c>
      <c r="O4369" s="5" t="str">
        <f>IFERROR(__xludf.DUMMYFUNCTION("IF(REGEXMATCH(TRIM(I4369), ""^\d+\s*min""), ""Unclassified"", IF(I4369 = """", ""NR"", I4369))"),"TV-MA")</f>
        <v>TV-MA</v>
      </c>
      <c r="R4369" s="5" t="str">
        <f t="shared" si="2"/>
        <v>Sick Note</v>
      </c>
      <c r="S4369" s="5" t="str">
        <f>IFERROR(__xludf.DUMMYFUNCTION("""COMPUTED_VALUE"""),"Malibu Rescue: The Series")</f>
        <v>Malibu Rescue: The Series</v>
      </c>
      <c r="U4369" s="5" t="str">
        <f>IFERROR(__xludf.DUMMYFUNCTION("""COMPUTED_VALUE"""),"Sunil Soraya")</f>
        <v>Sunil Soraya</v>
      </c>
      <c r="V4369" s="5" t="s">
        <v>19609</v>
      </c>
      <c r="W4369" s="5" t="str">
        <f t="shared" si="3"/>
        <v>Vikramaditya Motwane, Anurag Kashyap</v>
      </c>
      <c r="X4369" s="5">
        <f t="shared" si="4"/>
        <v>1</v>
      </c>
      <c r="Y4369" s="5" t="str">
        <f>IFERROR(__xludf.DUMMYFUNCTION("REGEXEXTRACT(J4369, ""^\d+"")"),"2")</f>
        <v>2</v>
      </c>
      <c r="Z4369" s="5" t="str">
        <f>IFERROR(__xludf.DUMMYFUNCTION("REGEXEXTRACT(J4369, ""[A-Za-z ]+$"")")," Seasons")</f>
        <v> Seasons</v>
      </c>
      <c r="AA4369" s="5" t="str">
        <f>IFERROR(__xludf.DUMMYFUNCTION("IF(REGEXMATCH(Z4369, ""Season""), ""TV Show"", ""Movie"")"),"TV Show")</f>
        <v>TV Show</v>
      </c>
    </row>
    <row r="4370">
      <c r="A4370" s="1" t="s">
        <v>23315</v>
      </c>
      <c r="B4370" s="1" t="s">
        <v>37</v>
      </c>
      <c r="C4370" s="1" t="s">
        <v>23316</v>
      </c>
      <c r="E4370" s="1" t="s">
        <v>23317</v>
      </c>
      <c r="F4370" s="1" t="s">
        <v>30</v>
      </c>
      <c r="G4370" s="1" t="s">
        <v>23318</v>
      </c>
      <c r="H4370" s="1">
        <v>2018.0</v>
      </c>
      <c r="I4370" s="1" t="s">
        <v>97</v>
      </c>
      <c r="J4370" s="1" t="s">
        <v>43</v>
      </c>
      <c r="K4370" s="1" t="s">
        <v>23319</v>
      </c>
      <c r="L4370" s="1" t="s">
        <v>23320</v>
      </c>
      <c r="M4370" s="2" t="s">
        <v>12</v>
      </c>
      <c r="N4370" s="4">
        <f t="shared" si="1"/>
        <v>43426</v>
      </c>
      <c r="O4370" s="5" t="str">
        <f>IFERROR(__xludf.DUMMYFUNCTION("IF(REGEXMATCH(TRIM(I4370), ""^\d+\s*min""), ""Unclassified"", IF(I4370 = """", ""NR"", I4370))"),"TV-14")</f>
        <v>TV-14</v>
      </c>
      <c r="R4370" s="5" t="str">
        <f t="shared" si="2"/>
        <v>Mystery Science Theater 3000: The Return</v>
      </c>
      <c r="S4370" s="5" t="str">
        <f>IFERROR(__xludf.DUMMYFUNCTION("""COMPUTED_VALUE"""),"Malicious")</f>
        <v>Malicious</v>
      </c>
      <c r="U4370" s="5" t="str">
        <f>IFERROR(__xludf.DUMMYFUNCTION("""COMPUTED_VALUE"""),"Krzysztof Zanussi")</f>
        <v>Krzysztof Zanussi</v>
      </c>
      <c r="V4370" s="5" t="s">
        <v>7760</v>
      </c>
      <c r="W4370" s="5" t="str">
        <f t="shared" si="3"/>
        <v>Vinay Bharadwaj</v>
      </c>
      <c r="X4370" s="5">
        <f t="shared" si="4"/>
        <v>1</v>
      </c>
      <c r="Y4370" s="5" t="str">
        <f>IFERROR(__xludf.DUMMYFUNCTION("REGEXEXTRACT(J4370, ""^\d+"")"),"2")</f>
        <v>2</v>
      </c>
      <c r="Z4370" s="5" t="str">
        <f>IFERROR(__xludf.DUMMYFUNCTION("REGEXEXTRACT(J4370, ""[A-Za-z ]+$"")")," Seasons")</f>
        <v> Seasons</v>
      </c>
      <c r="AA4370" s="5" t="str">
        <f>IFERROR(__xludf.DUMMYFUNCTION("IF(REGEXMATCH(Z4370, ""Season""), ""TV Show"", ""Movie"")"),"TV Show")</f>
        <v>TV Show</v>
      </c>
    </row>
    <row r="4371">
      <c r="A4371" s="1" t="s">
        <v>23321</v>
      </c>
      <c r="B4371" s="1" t="s">
        <v>27</v>
      </c>
      <c r="C4371" s="1" t="s">
        <v>23322</v>
      </c>
      <c r="D4371" s="1" t="s">
        <v>5066</v>
      </c>
      <c r="E4371" s="1" t="s">
        <v>23323</v>
      </c>
      <c r="F4371" s="1" t="s">
        <v>30</v>
      </c>
      <c r="G4371" s="1" t="s">
        <v>23318</v>
      </c>
      <c r="H4371" s="1">
        <v>2018.0</v>
      </c>
      <c r="I4371" s="1" t="s">
        <v>136</v>
      </c>
      <c r="J4371" s="1" t="s">
        <v>106</v>
      </c>
      <c r="K4371" s="1" t="s">
        <v>137</v>
      </c>
      <c r="L4371" s="1" t="s">
        <v>23324</v>
      </c>
      <c r="M4371" s="2" t="s">
        <v>12</v>
      </c>
      <c r="N4371" s="4">
        <f t="shared" si="1"/>
        <v>43426</v>
      </c>
      <c r="O4371" s="5" t="str">
        <f>IFERROR(__xludf.DUMMYFUNCTION("IF(REGEXMATCH(TRIM(I4371), ""^\d+\s*min""), ""Unclassified"", IF(I4371 = """", ""NR"", I4371))"),"TV-PG")</f>
        <v>TV-PG</v>
      </c>
      <c r="R4371" s="5" t="str">
        <f t="shared" si="2"/>
        <v>The Christmas Chronicles</v>
      </c>
      <c r="S4371" s="5" t="str">
        <f>IFERROR(__xludf.DUMMYFUNCTION("""COMPUTED_VALUE"""),"Mallesham")</f>
        <v>Mallesham</v>
      </c>
      <c r="U4371" s="5" t="str">
        <f>IFERROR(__xludf.DUMMYFUNCTION("""COMPUTED_VALUE"""),"Thomas Meadmore")</f>
        <v>Thomas Meadmore</v>
      </c>
      <c r="V4371" s="5" t="s">
        <v>18818</v>
      </c>
      <c r="W4371" s="5" t="str">
        <f t="shared" si="3"/>
        <v>Vince Gilligan</v>
      </c>
      <c r="X4371" s="5">
        <f t="shared" si="4"/>
        <v>1</v>
      </c>
      <c r="Y4371" s="5" t="str">
        <f>IFERROR(__xludf.DUMMYFUNCTION("REGEXEXTRACT(J4371, ""^\d+"")"),"104")</f>
        <v>104</v>
      </c>
      <c r="Z4371" s="5" t="str">
        <f>IFERROR(__xludf.DUMMYFUNCTION("REGEXEXTRACT(J4371, ""[A-Za-z ]+$"")")," min")</f>
        <v> min</v>
      </c>
      <c r="AA4371" s="5" t="str">
        <f>IFERROR(__xludf.DUMMYFUNCTION("IF(REGEXMATCH(Z4371, ""Season""), ""TV Show"", ""Movie"")"),"Movie")</f>
        <v>Movie</v>
      </c>
    </row>
    <row r="4372">
      <c r="A4372" s="1" t="s">
        <v>23325</v>
      </c>
      <c r="B4372" s="1" t="s">
        <v>27</v>
      </c>
      <c r="C4372" s="1" t="s">
        <v>23326</v>
      </c>
      <c r="D4372" s="1" t="s">
        <v>7631</v>
      </c>
      <c r="E4372" s="1" t="s">
        <v>23327</v>
      </c>
      <c r="F4372" s="1" t="s">
        <v>784</v>
      </c>
      <c r="G4372" s="1" t="s">
        <v>23328</v>
      </c>
      <c r="H4372" s="1">
        <v>2018.0</v>
      </c>
      <c r="I4372" s="1" t="s">
        <v>42</v>
      </c>
      <c r="J4372" s="1" t="s">
        <v>79</v>
      </c>
      <c r="K4372" s="1" t="s">
        <v>199</v>
      </c>
      <c r="L4372" s="1" t="s">
        <v>23329</v>
      </c>
      <c r="M4372" s="2" t="s">
        <v>12</v>
      </c>
      <c r="N4372" s="4">
        <f t="shared" si="1"/>
        <v>43425</v>
      </c>
      <c r="O4372" s="5" t="str">
        <f>IFERROR(__xludf.DUMMYFUNCTION("IF(REGEXMATCH(TRIM(I4372), ""^\d+\s*min""), ""Unclassified"", IF(I4372 = """", ""NR"", I4372))"),"TV-MA")</f>
        <v>TV-MA</v>
      </c>
      <c r="R4372" s="5" t="str">
        <f t="shared" si="2"/>
        <v>The Tribe</v>
      </c>
      <c r="S4372" s="5" t="str">
        <f>IFERROR(__xludf.DUMMYFUNCTION("""COMPUTED_VALUE"""),"Mama Drama")</f>
        <v>Mama Drama</v>
      </c>
      <c r="U4372" s="5" t="str">
        <f>IFERROR(__xludf.DUMMYFUNCTION("""COMPUTED_VALUE"""),"Kyle Patrick Alvarez")</f>
        <v>Kyle Patrick Alvarez</v>
      </c>
      <c r="V4372" s="5" t="s">
        <v>1876</v>
      </c>
      <c r="W4372" s="5" t="str">
        <f t="shared" si="3"/>
        <v>Vince Marcello</v>
      </c>
      <c r="X4372" s="5">
        <f t="shared" si="4"/>
        <v>5</v>
      </c>
      <c r="Y4372" s="5" t="str">
        <f>IFERROR(__xludf.DUMMYFUNCTION("REGEXEXTRACT(J4372, ""^\d+"")"),"91")</f>
        <v>91</v>
      </c>
      <c r="Z4372" s="5" t="str">
        <f>IFERROR(__xludf.DUMMYFUNCTION("REGEXEXTRACT(J4372, ""[A-Za-z ]+$"")")," min")</f>
        <v> min</v>
      </c>
      <c r="AA4372" s="5" t="str">
        <f>IFERROR(__xludf.DUMMYFUNCTION("IF(REGEXMATCH(Z4372, ""Season""), ""TV Show"", ""Movie"")"),"Movie")</f>
        <v>Movie</v>
      </c>
    </row>
    <row r="4373">
      <c r="A4373" s="1" t="s">
        <v>23330</v>
      </c>
      <c r="B4373" s="1" t="s">
        <v>37</v>
      </c>
      <c r="C4373" s="1" t="s">
        <v>23331</v>
      </c>
      <c r="E4373" s="1" t="s">
        <v>23332</v>
      </c>
      <c r="G4373" s="1" t="s">
        <v>23333</v>
      </c>
      <c r="H4373" s="1">
        <v>2018.0</v>
      </c>
      <c r="I4373" s="1" t="s">
        <v>289</v>
      </c>
      <c r="J4373" s="1" t="s">
        <v>51</v>
      </c>
      <c r="K4373" s="1" t="s">
        <v>290</v>
      </c>
      <c r="L4373" s="1" t="s">
        <v>23334</v>
      </c>
      <c r="M4373" s="2" t="s">
        <v>12</v>
      </c>
      <c r="N4373" s="4">
        <f t="shared" si="1"/>
        <v>43424</v>
      </c>
      <c r="O4373" s="5" t="str">
        <f>IFERROR(__xludf.DUMMYFUNCTION("IF(REGEXMATCH(TRIM(I4373), ""^\d+\s*min""), ""Unclassified"", IF(I4373 = """", ""NR"", I4373))"),"TV-Y7")</f>
        <v>TV-Y7</v>
      </c>
      <c r="R4373" s="5" t="str">
        <f t="shared" si="2"/>
        <v>Kulipari: Dream Walker</v>
      </c>
      <c r="S4373" s="5" t="str">
        <f>IFERROR(__xludf.DUMMYFUNCTION("""COMPUTED_VALUE"""),"Mama'S Boy")</f>
        <v>Mama'S Boy</v>
      </c>
      <c r="U4373" s="5" t="str">
        <f>IFERROR(__xludf.DUMMYFUNCTION("""COMPUTED_VALUE"""),"Steven R. Monroe")</f>
        <v>Steven R. Monroe</v>
      </c>
      <c r="V4373" s="5" t="s">
        <v>23335</v>
      </c>
      <c r="W4373" s="5" t="str">
        <f t="shared" si="3"/>
        <v>Vincent Kok</v>
      </c>
      <c r="X4373" s="5">
        <f t="shared" si="4"/>
        <v>1</v>
      </c>
      <c r="Y4373" s="5" t="str">
        <f>IFERROR(__xludf.DUMMYFUNCTION("REGEXEXTRACT(J4373, ""^\d+"")"),"1")</f>
        <v>1</v>
      </c>
      <c r="Z4373" s="5" t="str">
        <f>IFERROR(__xludf.DUMMYFUNCTION("REGEXEXTRACT(J4373, ""[A-Za-z ]+$"")")," Season")</f>
        <v> Season</v>
      </c>
      <c r="AA4373" s="5" t="str">
        <f>IFERROR(__xludf.DUMMYFUNCTION("IF(REGEXMATCH(Z4373, ""Season""), ""TV Show"", ""Movie"")"),"TV Show")</f>
        <v>TV Show</v>
      </c>
    </row>
    <row r="4374">
      <c r="A4374" s="1" t="s">
        <v>23336</v>
      </c>
      <c r="B4374" s="1" t="s">
        <v>37</v>
      </c>
      <c r="C4374" s="1" t="s">
        <v>23337</v>
      </c>
      <c r="G4374" s="1" t="s">
        <v>23333</v>
      </c>
      <c r="H4374" s="1">
        <v>2017.0</v>
      </c>
      <c r="I4374" s="1" t="s">
        <v>289</v>
      </c>
      <c r="J4374" s="1" t="s">
        <v>51</v>
      </c>
      <c r="K4374" s="1" t="s">
        <v>314</v>
      </c>
      <c r="L4374" s="1" t="s">
        <v>23338</v>
      </c>
      <c r="M4374" s="2" t="s">
        <v>12</v>
      </c>
      <c r="N4374" s="4">
        <f t="shared" si="1"/>
        <v>43424</v>
      </c>
      <c r="O4374" s="5" t="str">
        <f>IFERROR(__xludf.DUMMYFUNCTION("IF(REGEXMATCH(TRIM(I4374), ""^\d+\s*min""), ""Unclassified"", IF(I4374 = """", ""NR"", I4374))"),"TV-Y7")</f>
        <v>TV-Y7</v>
      </c>
      <c r="R4374" s="5" t="str">
        <f t="shared" si="2"/>
        <v>Paap-O-Meter</v>
      </c>
      <c r="S4374" s="5" t="str">
        <f>IFERROR(__xludf.DUMMYFUNCTION("""COMPUTED_VALUE"""),"Man Down")</f>
        <v>Man Down</v>
      </c>
      <c r="U4374" s="5" t="str">
        <f>IFERROR(__xludf.DUMMYFUNCTION("""COMPUTED_VALUE"""),"Cosmo Feilding-Mellen")</f>
        <v>Cosmo Feilding-Mellen</v>
      </c>
      <c r="V4374" s="5" t="s">
        <v>23339</v>
      </c>
      <c r="W4374" s="5" t="str">
        <f t="shared" si="3"/>
        <v>Vincent Perez</v>
      </c>
      <c r="X4374" s="5">
        <f t="shared" si="4"/>
        <v>1</v>
      </c>
      <c r="Y4374" s="5" t="str">
        <f>IFERROR(__xludf.DUMMYFUNCTION("REGEXEXTRACT(J4374, ""^\d+"")"),"1")</f>
        <v>1</v>
      </c>
      <c r="Z4374" s="5" t="str">
        <f>IFERROR(__xludf.DUMMYFUNCTION("REGEXEXTRACT(J4374, ""[A-Za-z ]+$"")")," Season")</f>
        <v> Season</v>
      </c>
      <c r="AA4374" s="5" t="str">
        <f>IFERROR(__xludf.DUMMYFUNCTION("IF(REGEXMATCH(Z4374, ""Season""), ""TV Show"", ""Movie"")"),"TV Show")</f>
        <v>TV Show</v>
      </c>
    </row>
    <row r="4375">
      <c r="A4375" s="1" t="s">
        <v>23340</v>
      </c>
      <c r="B4375" s="1" t="s">
        <v>27</v>
      </c>
      <c r="C4375" s="1" t="s">
        <v>23341</v>
      </c>
      <c r="D4375" s="1" t="s">
        <v>19533</v>
      </c>
      <c r="E4375" s="1" t="s">
        <v>23342</v>
      </c>
      <c r="F4375" s="1" t="s">
        <v>897</v>
      </c>
      <c r="G4375" s="1" t="s">
        <v>23333</v>
      </c>
      <c r="H4375" s="1">
        <v>2018.0</v>
      </c>
      <c r="I4375" s="1" t="s">
        <v>78</v>
      </c>
      <c r="J4375" s="1" t="s">
        <v>79</v>
      </c>
      <c r="K4375" s="1" t="s">
        <v>137</v>
      </c>
      <c r="L4375" s="1" t="s">
        <v>23343</v>
      </c>
      <c r="M4375" s="2" t="s">
        <v>12</v>
      </c>
      <c r="N4375" s="4">
        <f t="shared" si="1"/>
        <v>43424</v>
      </c>
      <c r="O4375" s="5" t="str">
        <f>IFERROR(__xludf.DUMMYFUNCTION("IF(REGEXMATCH(TRIM(I4375), ""^\d+\s*min""), ""Unclassified"", IF(I4375 = """", ""NR"", I4375))"),"PG")</f>
        <v>PG</v>
      </c>
      <c r="R4375" s="5" t="str">
        <f t="shared" si="2"/>
        <v>Puppy Star Christmas</v>
      </c>
      <c r="S4375" s="5" t="str">
        <f>IFERROR(__xludf.DUMMYFUNCTION("""COMPUTED_VALUE"""),"Man In Love")</f>
        <v>Man In Love</v>
      </c>
      <c r="U4375" s="5" t="str">
        <f>IFERROR(__xludf.DUMMYFUNCTION("""COMPUTED_VALUE"""),"Stephan Rick")</f>
        <v>Stephan Rick</v>
      </c>
      <c r="V4375" s="5" t="s">
        <v>3813</v>
      </c>
      <c r="W4375" s="5" t="str">
        <f t="shared" si="3"/>
        <v>Vincent Ward</v>
      </c>
      <c r="X4375" s="5">
        <f t="shared" si="4"/>
        <v>1</v>
      </c>
      <c r="Y4375" s="5" t="str">
        <f>IFERROR(__xludf.DUMMYFUNCTION("REGEXEXTRACT(J4375, ""^\d+"")"),"91")</f>
        <v>91</v>
      </c>
      <c r="Z4375" s="5" t="str">
        <f>IFERROR(__xludf.DUMMYFUNCTION("REGEXEXTRACT(J4375, ""[A-Za-z ]+$"")")," min")</f>
        <v> min</v>
      </c>
      <c r="AA4375" s="5" t="str">
        <f>IFERROR(__xludf.DUMMYFUNCTION("IF(REGEXMATCH(Z4375, ""Season""), ""TV Show"", ""Movie"")"),"Movie")</f>
        <v>Movie</v>
      </c>
    </row>
    <row r="4376">
      <c r="A4376" s="1" t="s">
        <v>23344</v>
      </c>
      <c r="B4376" s="1" t="s">
        <v>27</v>
      </c>
      <c r="C4376" s="1" t="s">
        <v>23345</v>
      </c>
      <c r="D4376" s="1" t="s">
        <v>19590</v>
      </c>
      <c r="E4376" s="1" t="s">
        <v>23346</v>
      </c>
      <c r="F4376" s="1" t="s">
        <v>2873</v>
      </c>
      <c r="G4376" s="1" t="s">
        <v>23333</v>
      </c>
      <c r="H4376" s="1">
        <v>2018.0</v>
      </c>
      <c r="I4376" s="1" t="s">
        <v>42</v>
      </c>
      <c r="J4376" s="1" t="s">
        <v>835</v>
      </c>
      <c r="K4376" s="1" t="s">
        <v>1441</v>
      </c>
      <c r="L4376" s="1" t="s">
        <v>23347</v>
      </c>
      <c r="M4376" s="2" t="s">
        <v>12</v>
      </c>
      <c r="N4376" s="4">
        <f t="shared" si="1"/>
        <v>43424</v>
      </c>
      <c r="O4376" s="5" t="str">
        <f>IFERROR(__xludf.DUMMYFUNCTION("IF(REGEXMATCH(TRIM(I4376), ""^\d+\s*min""), ""Unclassified"", IF(I4376 = """", ""NR"", I4376))"),"TV-MA")</f>
        <v>TV-MA</v>
      </c>
      <c r="R4376" s="5" t="str">
        <f t="shared" si="2"/>
        <v>Sabrina</v>
      </c>
      <c r="S4376" s="5" t="str">
        <f>IFERROR(__xludf.DUMMYFUNCTION("""COMPUTED_VALUE"""),"Man Like Mobeen")</f>
        <v>Man Like Mobeen</v>
      </c>
      <c r="U4376" s="5" t="str">
        <f>IFERROR(__xludf.DUMMYFUNCTION("""COMPUTED_VALUE"""),"Will Lockhart, Cole D. Pruitt")</f>
        <v>Will Lockhart, Cole D. Pruitt</v>
      </c>
      <c r="V4376" s="5" t="s">
        <v>23348</v>
      </c>
      <c r="W4376" s="5" t="str">
        <f t="shared" si="3"/>
        <v>Vincente Minnelli, Charles Walters</v>
      </c>
      <c r="X4376" s="5">
        <f t="shared" si="4"/>
        <v>1</v>
      </c>
      <c r="Y4376" s="5" t="str">
        <f>IFERROR(__xludf.DUMMYFUNCTION("REGEXEXTRACT(J4376, ""^\d+"")"),"114")</f>
        <v>114</v>
      </c>
      <c r="Z4376" s="5" t="str">
        <f>IFERROR(__xludf.DUMMYFUNCTION("REGEXEXTRACT(J4376, ""[A-Za-z ]+$"")")," min")</f>
        <v> min</v>
      </c>
      <c r="AA4376" s="5" t="str">
        <f>IFERROR(__xludf.DUMMYFUNCTION("IF(REGEXMATCH(Z4376, ""Season""), ""TV Show"", ""Movie"")"),"Movie")</f>
        <v>Movie</v>
      </c>
    </row>
    <row r="4377">
      <c r="A4377" s="1" t="s">
        <v>23349</v>
      </c>
      <c r="B4377" s="1" t="s">
        <v>27</v>
      </c>
      <c r="C4377" s="1" t="s">
        <v>23350</v>
      </c>
      <c r="D4377" s="1" t="s">
        <v>18555</v>
      </c>
      <c r="E4377" s="1" t="s">
        <v>23351</v>
      </c>
      <c r="F4377" s="1" t="s">
        <v>2873</v>
      </c>
      <c r="G4377" s="1" t="s">
        <v>23333</v>
      </c>
      <c r="H4377" s="1">
        <v>2018.0</v>
      </c>
      <c r="I4377" s="1" t="s">
        <v>97</v>
      </c>
      <c r="J4377" s="1" t="s">
        <v>79</v>
      </c>
      <c r="K4377" s="1" t="s">
        <v>6462</v>
      </c>
      <c r="L4377" s="1" t="s">
        <v>23352</v>
      </c>
      <c r="M4377" s="2" t="s">
        <v>12</v>
      </c>
      <c r="N4377" s="4">
        <f t="shared" si="1"/>
        <v>43424</v>
      </c>
      <c r="O4377" s="5" t="str">
        <f>IFERROR(__xludf.DUMMYFUNCTION("IF(REGEXMATCH(TRIM(I4377), ""^\d+\s*min""), ""Unclassified"", IF(I4377 = """", ""NR"", I4377))"),"TV-14")</f>
        <v>TV-14</v>
      </c>
      <c r="R4377" s="5" t="str">
        <f t="shared" si="2"/>
        <v>Target</v>
      </c>
      <c r="S4377" s="5" t="str">
        <f>IFERROR(__xludf.DUMMYFUNCTION("""COMPUTED_VALUE"""),"Man Of Tai Chi")</f>
        <v>Man Of Tai Chi</v>
      </c>
      <c r="U4377" s="5" t="str">
        <f>IFERROR(__xludf.DUMMYFUNCTION("""COMPUTED_VALUE"""),"Tobe Hooper")</f>
        <v>Tobe Hooper</v>
      </c>
      <c r="V4377" s="5" t="s">
        <v>18930</v>
      </c>
      <c r="W4377" s="5" t="str">
        <f t="shared" si="3"/>
        <v>Vincenzo Natali</v>
      </c>
      <c r="X4377" s="5">
        <f t="shared" si="4"/>
        <v>1</v>
      </c>
      <c r="Y4377" s="5" t="str">
        <f>IFERROR(__xludf.DUMMYFUNCTION("REGEXEXTRACT(J4377, ""^\d+"")"),"91")</f>
        <v>91</v>
      </c>
      <c r="Z4377" s="5" t="str">
        <f>IFERROR(__xludf.DUMMYFUNCTION("REGEXEXTRACT(J4377, ""[A-Za-z ]+$"")")," min")</f>
        <v> min</v>
      </c>
      <c r="AA4377" s="5" t="str">
        <f>IFERROR(__xludf.DUMMYFUNCTION("IF(REGEXMATCH(Z4377, ""Season""), ""TV Show"", ""Movie"")"),"Movie")</f>
        <v>Movie</v>
      </c>
    </row>
    <row r="4378">
      <c r="A4378" s="1" t="s">
        <v>23353</v>
      </c>
      <c r="B4378" s="1" t="s">
        <v>37</v>
      </c>
      <c r="C4378" s="1" t="s">
        <v>23354</v>
      </c>
      <c r="E4378" s="1" t="s">
        <v>23355</v>
      </c>
      <c r="F4378" s="1" t="s">
        <v>30</v>
      </c>
      <c r="G4378" s="1" t="s">
        <v>23333</v>
      </c>
      <c r="H4378" s="1">
        <v>2018.0</v>
      </c>
      <c r="I4378" s="1" t="s">
        <v>136</v>
      </c>
      <c r="J4378" s="1" t="s">
        <v>51</v>
      </c>
      <c r="K4378" s="1" t="s">
        <v>440</v>
      </c>
      <c r="L4378" s="1" t="s">
        <v>23356</v>
      </c>
      <c r="M4378" s="2" t="s">
        <v>12</v>
      </c>
      <c r="N4378" s="4">
        <f t="shared" si="1"/>
        <v>43424</v>
      </c>
      <c r="O4378" s="5" t="str">
        <f>IFERROR(__xludf.DUMMYFUNCTION("IF(REGEXMATCH(TRIM(I4378), ""^\d+\s*min""), ""Unclassified"", IF(I4378 = """", ""NR"", I4378))"),"TV-PG")</f>
        <v>TV-PG</v>
      </c>
      <c r="R4378" s="5" t="str">
        <f t="shared" si="2"/>
        <v>The Final Table</v>
      </c>
      <c r="S4378" s="5" t="str">
        <f>IFERROR(__xludf.DUMMYFUNCTION("""COMPUTED_VALUE"""),"Man To Man")</f>
        <v>Man To Man</v>
      </c>
      <c r="U4378" s="5" t="str">
        <f>IFERROR(__xludf.DUMMYFUNCTION("""COMPUTED_VALUE"""),"Mohammed El-Tahawy, Mohamed Mostafa")</f>
        <v>Mohammed El-Tahawy, Mohamed Mostafa</v>
      </c>
      <c r="V4378" s="5" t="s">
        <v>23357</v>
      </c>
      <c r="W4378" s="5" t="str">
        <f t="shared" si="3"/>
        <v>Vineeth Anil</v>
      </c>
      <c r="X4378" s="5">
        <f t="shared" si="4"/>
        <v>1</v>
      </c>
      <c r="Y4378" s="5" t="str">
        <f>IFERROR(__xludf.DUMMYFUNCTION("REGEXEXTRACT(J4378, ""^\d+"")"),"1")</f>
        <v>1</v>
      </c>
      <c r="Z4378" s="5" t="str">
        <f>IFERROR(__xludf.DUMMYFUNCTION("REGEXEXTRACT(J4378, ""[A-Za-z ]+$"")")," Season")</f>
        <v> Season</v>
      </c>
      <c r="AA4378" s="5" t="str">
        <f>IFERROR(__xludf.DUMMYFUNCTION("IF(REGEXMATCH(Z4378, ""Season""), ""TV Show"", ""Movie"")"),"TV Show")</f>
        <v>TV Show</v>
      </c>
    </row>
    <row r="4379">
      <c r="A4379" s="1" t="s">
        <v>23358</v>
      </c>
      <c r="B4379" s="1" t="s">
        <v>27</v>
      </c>
      <c r="C4379" s="1" t="s">
        <v>23359</v>
      </c>
      <c r="D4379" s="1" t="s">
        <v>6096</v>
      </c>
      <c r="E4379" s="1" t="s">
        <v>23360</v>
      </c>
      <c r="F4379" s="1" t="s">
        <v>30</v>
      </c>
      <c r="G4379" s="1" t="s">
        <v>23333</v>
      </c>
      <c r="H4379" s="1">
        <v>2018.0</v>
      </c>
      <c r="I4379" s="1" t="s">
        <v>42</v>
      </c>
      <c r="J4379" s="1" t="s">
        <v>1838</v>
      </c>
      <c r="K4379" s="1" t="s">
        <v>1839</v>
      </c>
      <c r="L4379" s="1" t="s">
        <v>23361</v>
      </c>
      <c r="M4379" s="2" t="s">
        <v>12</v>
      </c>
      <c r="N4379" s="4">
        <f t="shared" si="1"/>
        <v>43424</v>
      </c>
      <c r="O4379" s="5" t="str">
        <f>IFERROR(__xludf.DUMMYFUNCTION("IF(REGEXMATCH(TRIM(I4379), ""^\d+\s*min""), ""Unclassified"", IF(I4379 = """", ""NR"", I4379))"),"TV-MA")</f>
        <v>TV-MA</v>
      </c>
      <c r="R4379" s="5" t="str">
        <f t="shared" si="2"/>
        <v>Trevor Noah: Son Of Patricia</v>
      </c>
      <c r="S4379" s="5" t="str">
        <f>IFERROR(__xludf.DUMMYFUNCTION("""COMPUTED_VALUE"""),"Man Up")</f>
        <v>Man Up</v>
      </c>
      <c r="U4379" s="5" t="str">
        <f>IFERROR(__xludf.DUMMYFUNCTION("""COMPUTED_VALUE"""),"Lena Khan")</f>
        <v>Lena Khan</v>
      </c>
      <c r="V4379" s="5" t="s">
        <v>3432</v>
      </c>
      <c r="W4379" s="5" t="str">
        <f t="shared" si="3"/>
        <v>Vinil Mathew</v>
      </c>
      <c r="X4379" s="5">
        <f t="shared" si="4"/>
        <v>2</v>
      </c>
      <c r="Y4379" s="5" t="str">
        <f>IFERROR(__xludf.DUMMYFUNCTION("REGEXEXTRACT(J4379, ""^\d+"")"),"64")</f>
        <v>64</v>
      </c>
      <c r="Z4379" s="5" t="str">
        <f>IFERROR(__xludf.DUMMYFUNCTION("REGEXEXTRACT(J4379, ""[A-Za-z ]+$"")")," min")</f>
        <v> min</v>
      </c>
      <c r="AA4379" s="5" t="str">
        <f>IFERROR(__xludf.DUMMYFUNCTION("IF(REGEXMATCH(Z4379, ""Season""), ""TV Show"", ""Movie"")"),"Movie")</f>
        <v>Movie</v>
      </c>
    </row>
    <row r="4380">
      <c r="A4380" s="1" t="s">
        <v>23362</v>
      </c>
      <c r="B4380" s="1" t="s">
        <v>27</v>
      </c>
      <c r="C4380" s="1" t="s">
        <v>23363</v>
      </c>
      <c r="D4380" s="1" t="s">
        <v>13668</v>
      </c>
      <c r="E4380" s="1" t="s">
        <v>23364</v>
      </c>
      <c r="F4380" s="1" t="s">
        <v>30</v>
      </c>
      <c r="G4380" s="1" t="s">
        <v>23365</v>
      </c>
      <c r="H4380" s="1">
        <v>2007.0</v>
      </c>
      <c r="I4380" s="1" t="s">
        <v>770</v>
      </c>
      <c r="J4380" s="1" t="s">
        <v>1191</v>
      </c>
      <c r="K4380" s="1" t="s">
        <v>34</v>
      </c>
      <c r="L4380" s="1" t="s">
        <v>23366</v>
      </c>
      <c r="M4380" s="2" t="s">
        <v>12</v>
      </c>
      <c r="N4380" s="4">
        <f t="shared" si="1"/>
        <v>43422</v>
      </c>
      <c r="O4380" s="5" t="str">
        <f>IFERROR(__xludf.DUMMYFUNCTION("IF(REGEXMATCH(TRIM(I4380), ""^\d+\s*min""), ""Unclassified"", IF(I4380 = """", ""NR"", I4380))"),"G")</f>
        <v>G</v>
      </c>
      <c r="R4380" s="5" t="str">
        <f t="shared" si="2"/>
        <v>The Pixar Story</v>
      </c>
      <c r="S4380" s="5" t="str">
        <f>IFERROR(__xludf.DUMMYFUNCTION("""COMPUTED_VALUE"""),"Man Vs Wild With Sunny Leone")</f>
        <v>Man Vs Wild With Sunny Leone</v>
      </c>
      <c r="U4380" s="5" t="str">
        <f>IFERROR(__xludf.DUMMYFUNCTION("""COMPUTED_VALUE"""),"Leanne Gater")</f>
        <v>Leanne Gater</v>
      </c>
      <c r="V4380" s="5" t="s">
        <v>20354</v>
      </c>
      <c r="W4380" s="5" t="str">
        <f t="shared" si="3"/>
        <v>Vinod Kapri</v>
      </c>
      <c r="X4380" s="5">
        <f t="shared" si="4"/>
        <v>1</v>
      </c>
      <c r="Y4380" s="5" t="str">
        <f>IFERROR(__xludf.DUMMYFUNCTION("REGEXEXTRACT(J4380, ""^\d+"")"),"89")</f>
        <v>89</v>
      </c>
      <c r="Z4380" s="5" t="str">
        <f>IFERROR(__xludf.DUMMYFUNCTION("REGEXEXTRACT(J4380, ""[A-Za-z ]+$"")")," min")</f>
        <v> min</v>
      </c>
      <c r="AA4380" s="5" t="str">
        <f>IFERROR(__xludf.DUMMYFUNCTION("IF(REGEXMATCH(Z4380, ""Season""), ""TV Show"", ""Movie"")"),"Movie")</f>
        <v>Movie</v>
      </c>
    </row>
    <row r="4381">
      <c r="A4381" s="1" t="s">
        <v>23367</v>
      </c>
      <c r="B4381" s="1" t="s">
        <v>37</v>
      </c>
      <c r="C4381" s="1" t="s">
        <v>23368</v>
      </c>
      <c r="E4381" s="1" t="s">
        <v>23369</v>
      </c>
      <c r="F4381" s="1" t="s">
        <v>3892</v>
      </c>
      <c r="G4381" s="1" t="s">
        <v>23370</v>
      </c>
      <c r="H4381" s="1">
        <v>2017.0</v>
      </c>
      <c r="I4381" s="1" t="s">
        <v>97</v>
      </c>
      <c r="J4381" s="1" t="s">
        <v>51</v>
      </c>
      <c r="K4381" s="1" t="s">
        <v>1907</v>
      </c>
      <c r="L4381" s="1" t="s">
        <v>23371</v>
      </c>
      <c r="M4381" s="2" t="s">
        <v>12</v>
      </c>
      <c r="N4381" s="4">
        <f t="shared" si="1"/>
        <v>43421</v>
      </c>
      <c r="O4381" s="5" t="str">
        <f>IFERROR(__xludf.DUMMYFUNCTION("IF(REGEXMATCH(TRIM(I4381), ""^\d+\s*min""), ""Unclassified"", IF(I4381 = """", ""NR"", I4381))"),"TV-14")</f>
        <v>TV-14</v>
      </c>
      <c r="R4381" s="5" t="str">
        <f t="shared" si="2"/>
        <v>Eternal Love</v>
      </c>
      <c r="S4381" s="5" t="str">
        <f>IFERROR(__xludf.DUMMYFUNCTION("""COMPUTED_VALUE"""),"Man With A Plan")</f>
        <v>Man With A Plan</v>
      </c>
      <c r="U4381" s="5" t="str">
        <f>IFERROR(__xludf.DUMMYFUNCTION("""COMPUTED_VALUE"""),"Robert Schwentke")</f>
        <v>Robert Schwentke</v>
      </c>
      <c r="V4381" s="5" t="s">
        <v>23372</v>
      </c>
      <c r="W4381" s="5" t="str">
        <f t="shared" si="3"/>
        <v>Vipin Parashar</v>
      </c>
      <c r="X4381" s="5">
        <f t="shared" si="4"/>
        <v>1</v>
      </c>
      <c r="Y4381" s="5" t="str">
        <f>IFERROR(__xludf.DUMMYFUNCTION("REGEXEXTRACT(J4381, ""^\d+"")"),"1")</f>
        <v>1</v>
      </c>
      <c r="Z4381" s="5" t="str">
        <f>IFERROR(__xludf.DUMMYFUNCTION("REGEXEXTRACT(J4381, ""[A-Za-z ]+$"")")," Season")</f>
        <v> Season</v>
      </c>
      <c r="AA4381" s="5" t="str">
        <f>IFERROR(__xludf.DUMMYFUNCTION("IF(REGEXMATCH(Z4381, ""Season""), ""TV Show"", ""Movie"")"),"TV Show")</f>
        <v>TV Show</v>
      </c>
    </row>
    <row r="4382">
      <c r="A4382" s="1" t="s">
        <v>23373</v>
      </c>
      <c r="B4382" s="1" t="s">
        <v>37</v>
      </c>
      <c r="C4382" s="1" t="s">
        <v>23374</v>
      </c>
      <c r="E4382" s="1" t="s">
        <v>23375</v>
      </c>
      <c r="F4382" s="1" t="s">
        <v>949</v>
      </c>
      <c r="G4382" s="1" t="s">
        <v>23370</v>
      </c>
      <c r="H4382" s="1">
        <v>2016.0</v>
      </c>
      <c r="I4382" s="1" t="s">
        <v>97</v>
      </c>
      <c r="J4382" s="1" t="s">
        <v>51</v>
      </c>
      <c r="K4382" s="1" t="s">
        <v>8565</v>
      </c>
      <c r="L4382" s="1" t="s">
        <v>23376</v>
      </c>
      <c r="M4382" s="2" t="s">
        <v>12</v>
      </c>
      <c r="N4382" s="4">
        <f t="shared" si="1"/>
        <v>43421</v>
      </c>
      <c r="O4382" s="5" t="str">
        <f>IFERROR(__xludf.DUMMYFUNCTION("IF(REGEXMATCH(TRIM(I4382), ""^\d+\s*min""), ""Unclassified"", IF(I4382 = """", ""NR"", I4382))"),"TV-14")</f>
        <v>TV-14</v>
      </c>
      <c r="R4382" s="5" t="str">
        <f t="shared" si="2"/>
        <v>La Doña</v>
      </c>
      <c r="S4382" s="5" t="str">
        <f>IFERROR(__xludf.DUMMYFUNCTION("""COMPUTED_VALUE"""),"Mandela")</f>
        <v>Mandela</v>
      </c>
      <c r="U4382" s="5" t="str">
        <f>IFERROR(__xludf.DUMMYFUNCTION("""COMPUTED_VALUE"""),"Brendan Malloy, Emmett Malloy")</f>
        <v>Brendan Malloy, Emmett Malloy</v>
      </c>
      <c r="V4382" s="5" t="s">
        <v>14325</v>
      </c>
      <c r="W4382" s="5" t="str">
        <f t="shared" si="3"/>
        <v>Vipul Amrutlal Shah</v>
      </c>
      <c r="X4382" s="5">
        <f t="shared" si="4"/>
        <v>2</v>
      </c>
      <c r="Y4382" s="5" t="str">
        <f>IFERROR(__xludf.DUMMYFUNCTION("REGEXEXTRACT(J4382, ""^\d+"")"),"1")</f>
        <v>1</v>
      </c>
      <c r="Z4382" s="5" t="str">
        <f>IFERROR(__xludf.DUMMYFUNCTION("REGEXEXTRACT(J4382, ""[A-Za-z ]+$"")")," Season")</f>
        <v> Season</v>
      </c>
      <c r="AA4382" s="5" t="str">
        <f>IFERROR(__xludf.DUMMYFUNCTION("IF(REGEXMATCH(Z4382, ""Season""), ""TV Show"", ""Movie"")"),"TV Show")</f>
        <v>TV Show</v>
      </c>
    </row>
    <row r="4383">
      <c r="A4383" s="1" t="s">
        <v>23377</v>
      </c>
      <c r="B4383" s="1" t="s">
        <v>37</v>
      </c>
      <c r="C4383" s="1" t="s">
        <v>23378</v>
      </c>
      <c r="E4383" s="1" t="s">
        <v>23379</v>
      </c>
      <c r="F4383" s="1" t="s">
        <v>30</v>
      </c>
      <c r="G4383" s="1" t="s">
        <v>23370</v>
      </c>
      <c r="H4383" s="1">
        <v>2016.0</v>
      </c>
      <c r="I4383" s="1" t="s">
        <v>97</v>
      </c>
      <c r="J4383" s="1" t="s">
        <v>51</v>
      </c>
      <c r="K4383" s="1" t="s">
        <v>23380</v>
      </c>
      <c r="L4383" s="1" t="s">
        <v>23381</v>
      </c>
      <c r="M4383" s="2" t="s">
        <v>12</v>
      </c>
      <c r="N4383" s="4">
        <f t="shared" si="1"/>
        <v>43421</v>
      </c>
      <c r="O4383" s="5" t="str">
        <f>IFERROR(__xludf.DUMMYFUNCTION("IF(REGEXMATCH(TRIM(I4383), ""^\d+\s*min""), ""Unclassified"", IF(I4383 = """", ""NR"", I4383))"),"TV-14")</f>
        <v>TV-14</v>
      </c>
      <c r="R4383" s="5" t="str">
        <f t="shared" si="2"/>
        <v>Silvana Sin Lana</v>
      </c>
      <c r="S4383" s="5" t="str">
        <f>IFERROR(__xludf.DUMMYFUNCTION("""COMPUTED_VALUE"""),"Mandela: Long Walk To Freedom")</f>
        <v>Mandela: Long Walk To Freedom</v>
      </c>
      <c r="U4383" s="5" t="str">
        <f>IFERROR(__xludf.DUMMYFUNCTION("""COMPUTED_VALUE"""),"David Koepp")</f>
        <v>David Koepp</v>
      </c>
      <c r="V4383" s="5" t="s">
        <v>9033</v>
      </c>
      <c r="W4383" s="5" t="str">
        <f t="shared" si="3"/>
        <v>Vir Das</v>
      </c>
      <c r="X4383" s="5">
        <f t="shared" si="4"/>
        <v>1</v>
      </c>
      <c r="Y4383" s="5" t="str">
        <f>IFERROR(__xludf.DUMMYFUNCTION("REGEXEXTRACT(J4383, ""^\d+"")"),"1")</f>
        <v>1</v>
      </c>
      <c r="Z4383" s="5" t="str">
        <f>IFERROR(__xludf.DUMMYFUNCTION("REGEXEXTRACT(J4383, ""[A-Za-z ]+$"")")," Season")</f>
        <v> Season</v>
      </c>
      <c r="AA4383" s="5" t="str">
        <f>IFERROR(__xludf.DUMMYFUNCTION("IF(REGEXMATCH(Z4383, ""Season""), ""TV Show"", ""Movie"")"),"TV Show")</f>
        <v>TV Show</v>
      </c>
    </row>
    <row r="4384">
      <c r="A4384" s="1" t="s">
        <v>23382</v>
      </c>
      <c r="B4384" s="1" t="s">
        <v>27</v>
      </c>
      <c r="C4384" s="1" t="s">
        <v>23383</v>
      </c>
      <c r="D4384" s="1" t="s">
        <v>5520</v>
      </c>
      <c r="E4384" s="1" t="s">
        <v>23384</v>
      </c>
      <c r="F4384" s="1" t="s">
        <v>30</v>
      </c>
      <c r="G4384" s="1" t="s">
        <v>23385</v>
      </c>
      <c r="H4384" s="1">
        <v>2018.0</v>
      </c>
      <c r="I4384" s="1" t="s">
        <v>42</v>
      </c>
      <c r="J4384" s="1" t="s">
        <v>465</v>
      </c>
      <c r="K4384" s="1" t="s">
        <v>18588</v>
      </c>
      <c r="L4384" s="1" t="s">
        <v>23386</v>
      </c>
      <c r="M4384" s="2" t="s">
        <v>12</v>
      </c>
      <c r="N4384" s="4">
        <f t="shared" si="1"/>
        <v>43420</v>
      </c>
      <c r="O4384" s="5" t="str">
        <f>IFERROR(__xludf.DUMMYFUNCTION("IF(REGEXMATCH(TRIM(I4384), ""^\d+\s*min""), ""Unclassified"", IF(I4384 = """", ""NR"", I4384))"),"TV-MA")</f>
        <v>TV-MA</v>
      </c>
      <c r="R4384" s="5" t="str">
        <f t="shared" si="2"/>
        <v>Cam</v>
      </c>
      <c r="S4384" s="5" t="str">
        <f>IFERROR(__xludf.DUMMYFUNCTION("""COMPUTED_VALUE"""),"Mandi")</f>
        <v>Mandi</v>
      </c>
      <c r="U4384" s="5" t="str">
        <f>IFERROR(__xludf.DUMMYFUNCTION("""COMPUTED_VALUE"""),"Ben Brewer, Alex Brewer")</f>
        <v>Ben Brewer, Alex Brewer</v>
      </c>
      <c r="V4384" s="5" t="s">
        <v>16613</v>
      </c>
      <c r="W4384" s="5" t="str">
        <f t="shared" si="3"/>
        <v>Vir Das, Ajay Bhuyan</v>
      </c>
      <c r="X4384" s="5">
        <f t="shared" si="4"/>
        <v>1</v>
      </c>
      <c r="Y4384" s="5" t="str">
        <f>IFERROR(__xludf.DUMMYFUNCTION("REGEXEXTRACT(J4384, ""^\d+"")"),"95")</f>
        <v>95</v>
      </c>
      <c r="Z4384" s="5" t="str">
        <f>IFERROR(__xludf.DUMMYFUNCTION("REGEXEXTRACT(J4384, ""[A-Za-z ]+$"")")," min")</f>
        <v> min</v>
      </c>
      <c r="AA4384" s="5" t="str">
        <f>IFERROR(__xludf.DUMMYFUNCTION("IF(REGEXMATCH(Z4384, ""Season""), ""TV Show"", ""Movie"")"),"Movie")</f>
        <v>Movie</v>
      </c>
    </row>
    <row r="4385">
      <c r="A4385" s="1" t="s">
        <v>23387</v>
      </c>
      <c r="B4385" s="1" t="s">
        <v>27</v>
      </c>
      <c r="C4385" s="1" t="s">
        <v>23388</v>
      </c>
      <c r="D4385" s="1" t="s">
        <v>7921</v>
      </c>
      <c r="E4385" s="1" t="s">
        <v>23389</v>
      </c>
      <c r="F4385" s="1" t="s">
        <v>3217</v>
      </c>
      <c r="G4385" s="1" t="s">
        <v>23385</v>
      </c>
      <c r="H4385" s="1">
        <v>2018.0</v>
      </c>
      <c r="I4385" s="1" t="s">
        <v>42</v>
      </c>
      <c r="J4385" s="1" t="s">
        <v>170</v>
      </c>
      <c r="K4385" s="1" t="s">
        <v>583</v>
      </c>
      <c r="L4385" s="1" t="s">
        <v>23390</v>
      </c>
      <c r="M4385" s="2" t="s">
        <v>12</v>
      </c>
      <c r="N4385" s="4">
        <f t="shared" si="1"/>
        <v>43420</v>
      </c>
      <c r="O4385" s="5" t="str">
        <f>IFERROR(__xludf.DUMMYFUNCTION("IF(REGEXMATCH(TRIM(I4385), ""^\d+\s*min""), ""Unclassified"", IF(I4385 = """", ""NR"", I4385))"),"TV-MA")</f>
        <v>TV-MA</v>
      </c>
      <c r="R4385" s="5" t="str">
        <f t="shared" si="2"/>
        <v>Nothing To Hide</v>
      </c>
      <c r="S4385" s="5" t="str">
        <f>IFERROR(__xludf.DUMMYFUNCTION("""COMPUTED_VALUE"""),"Mandobasar Galpo")</f>
        <v>Mandobasar Galpo</v>
      </c>
      <c r="U4385" s="5" t="str">
        <f>IFERROR(__xludf.DUMMYFUNCTION("""COMPUTED_VALUE"""),"David Briggs")</f>
        <v>David Briggs</v>
      </c>
      <c r="V4385" s="5" t="s">
        <v>2993</v>
      </c>
      <c r="W4385" s="5" t="str">
        <f t="shared" si="3"/>
        <v>Viridiana Lieberman</v>
      </c>
      <c r="X4385" s="5">
        <f t="shared" si="4"/>
        <v>1</v>
      </c>
      <c r="Y4385" s="5" t="str">
        <f>IFERROR(__xludf.DUMMYFUNCTION("REGEXEXTRACT(J4385, ""^\d+"")"),"94")</f>
        <v>94</v>
      </c>
      <c r="Z4385" s="5" t="str">
        <f>IFERROR(__xludf.DUMMYFUNCTION("REGEXEXTRACT(J4385, ""[A-Za-z ]+$"")")," min")</f>
        <v> min</v>
      </c>
      <c r="AA4385" s="5" t="str">
        <f>IFERROR(__xludf.DUMMYFUNCTION("IF(REGEXMATCH(Z4385, ""Season""), ""TV Show"", ""Movie"")"),"Movie")</f>
        <v>Movie</v>
      </c>
    </row>
    <row r="4386">
      <c r="A4386" s="1" t="s">
        <v>23391</v>
      </c>
      <c r="B4386" s="1" t="s">
        <v>37</v>
      </c>
      <c r="C4386" s="1" t="s">
        <v>23392</v>
      </c>
      <c r="E4386" s="1" t="s">
        <v>23393</v>
      </c>
      <c r="F4386" s="1" t="s">
        <v>1106</v>
      </c>
      <c r="G4386" s="1" t="s">
        <v>23385</v>
      </c>
      <c r="H4386" s="1">
        <v>2018.0</v>
      </c>
      <c r="I4386" s="1" t="s">
        <v>506</v>
      </c>
      <c r="J4386" s="1" t="s">
        <v>43</v>
      </c>
      <c r="K4386" s="1" t="s">
        <v>10931</v>
      </c>
      <c r="L4386" s="1" t="s">
        <v>23394</v>
      </c>
      <c r="M4386" s="2" t="s">
        <v>12</v>
      </c>
      <c r="N4386" s="4">
        <f t="shared" si="1"/>
        <v>43420</v>
      </c>
      <c r="O4386" s="5" t="str">
        <f>IFERROR(__xludf.DUMMYFUNCTION("IF(REGEXMATCH(TRIM(I4386), ""^\d+\s*min""), ""Unclassified"", IF(I4386 = """", ""NR"", I4386))"),"TV-G")</f>
        <v>TV-G</v>
      </c>
      <c r="R4386" s="5" t="str">
        <f t="shared" si="2"/>
        <v>Ponysitters Club</v>
      </c>
      <c r="S4386" s="5" t="str">
        <f>IFERROR(__xludf.DUMMYFUNCTION("""COMPUTED_VALUE"""),"Manglehorn")</f>
        <v>Manglehorn</v>
      </c>
      <c r="U4386" s="5" t="str">
        <f>IFERROR(__xludf.DUMMYFUNCTION("""COMPUTED_VALUE"""),"Kevin Donovan")</f>
        <v>Kevin Donovan</v>
      </c>
      <c r="V4386" s="5" t="s">
        <v>23395</v>
      </c>
      <c r="W4386" s="5" t="str">
        <f t="shared" si="3"/>
        <v>Vishal Bhardwaj</v>
      </c>
      <c r="X4386" s="5">
        <f t="shared" si="4"/>
        <v>5</v>
      </c>
      <c r="Y4386" s="5" t="str">
        <f>IFERROR(__xludf.DUMMYFUNCTION("REGEXEXTRACT(J4386, ""^\d+"")"),"2")</f>
        <v>2</v>
      </c>
      <c r="Z4386" s="5" t="str">
        <f>IFERROR(__xludf.DUMMYFUNCTION("REGEXEXTRACT(J4386, ""[A-Za-z ]+$"")")," Seasons")</f>
        <v> Seasons</v>
      </c>
      <c r="AA4386" s="5" t="str">
        <f>IFERROR(__xludf.DUMMYFUNCTION("IF(REGEXMATCH(Z4386, ""Season""), ""TV Show"", ""Movie"")"),"TV Show")</f>
        <v>TV Show</v>
      </c>
    </row>
    <row r="4387">
      <c r="A4387" s="1" t="s">
        <v>23396</v>
      </c>
      <c r="B4387" s="1" t="s">
        <v>27</v>
      </c>
      <c r="C4387" s="1" t="s">
        <v>23397</v>
      </c>
      <c r="D4387" s="1" t="s">
        <v>11152</v>
      </c>
      <c r="E4387" s="1" t="s">
        <v>23398</v>
      </c>
      <c r="F4387" s="1" t="s">
        <v>30</v>
      </c>
      <c r="G4387" s="1" t="s">
        <v>23385</v>
      </c>
      <c r="H4387" s="1">
        <v>2018.0</v>
      </c>
      <c r="I4387" s="1" t="s">
        <v>378</v>
      </c>
      <c r="J4387" s="1" t="s">
        <v>1428</v>
      </c>
      <c r="K4387" s="1" t="s">
        <v>107</v>
      </c>
      <c r="L4387" s="1" t="s">
        <v>23399</v>
      </c>
      <c r="M4387" s="2" t="s">
        <v>12</v>
      </c>
      <c r="N4387" s="4">
        <f t="shared" si="1"/>
        <v>43420</v>
      </c>
      <c r="O4387" s="5" t="str">
        <f>IFERROR(__xludf.DUMMYFUNCTION("IF(REGEXMATCH(TRIM(I4387), ""^\d+\s*min""), ""Unclassified"", IF(I4387 = """", ""NR"", I4387))"),"R")</f>
        <v>R</v>
      </c>
      <c r="R4387" s="5" t="str">
        <f t="shared" si="2"/>
        <v>The Ballad Of Buster Scruggs</v>
      </c>
      <c r="S4387" s="5" t="str">
        <f>IFERROR(__xludf.DUMMYFUNCTION("""COMPUTED_VALUE"""),"Mango Dreams")</f>
        <v>Mango Dreams</v>
      </c>
      <c r="U4387" s="5" t="str">
        <f>IFERROR(__xludf.DUMMYFUNCTION("""COMPUTED_VALUE"""),"Jean-Pierre Dardenne, Luc Dardenne")</f>
        <v>Jean-Pierre Dardenne, Luc Dardenne</v>
      </c>
      <c r="V4387" s="5" t="s">
        <v>12887</v>
      </c>
      <c r="W4387" s="5" t="str">
        <f t="shared" si="3"/>
        <v>Vishal Mahadkar</v>
      </c>
      <c r="X4387" s="5">
        <f t="shared" si="4"/>
        <v>1</v>
      </c>
      <c r="Y4387" s="5" t="str">
        <f>IFERROR(__xludf.DUMMYFUNCTION("REGEXEXTRACT(J4387, ""^\d+"")"),"133")</f>
        <v>133</v>
      </c>
      <c r="Z4387" s="5" t="str">
        <f>IFERROR(__xludf.DUMMYFUNCTION("REGEXEXTRACT(J4387, ""[A-Za-z ]+$"")")," min")</f>
        <v> min</v>
      </c>
      <c r="AA4387" s="5" t="str">
        <f>IFERROR(__xludf.DUMMYFUNCTION("IF(REGEXMATCH(Z4387, ""Season""), ""TV Show"", ""Movie"")"),"Movie")</f>
        <v>Movie</v>
      </c>
    </row>
    <row r="4388">
      <c r="A4388" s="1" t="s">
        <v>23400</v>
      </c>
      <c r="B4388" s="1" t="s">
        <v>27</v>
      </c>
      <c r="C4388" s="1" t="s">
        <v>23401</v>
      </c>
      <c r="E4388" s="1" t="s">
        <v>23402</v>
      </c>
      <c r="F4388" s="1" t="s">
        <v>30</v>
      </c>
      <c r="G4388" s="1" t="s">
        <v>23385</v>
      </c>
      <c r="H4388" s="1">
        <v>2018.0</v>
      </c>
      <c r="I4388" s="1" t="s">
        <v>506</v>
      </c>
      <c r="J4388" s="1" t="s">
        <v>447</v>
      </c>
      <c r="K4388" s="1" t="s">
        <v>14468</v>
      </c>
      <c r="L4388" s="1" t="s">
        <v>23403</v>
      </c>
      <c r="M4388" s="2" t="s">
        <v>12</v>
      </c>
      <c r="N4388" s="4">
        <f t="shared" si="1"/>
        <v>43420</v>
      </c>
      <c r="O4388" s="5" t="str">
        <f>IFERROR(__xludf.DUMMYFUNCTION("IF(REGEXMATCH(TRIM(I4388), ""^\d+\s*min""), ""Unclassified"", IF(I4388 = """", ""NR"", I4388))"),"TV-G")</f>
        <v>TV-G</v>
      </c>
      <c r="R4388" s="5" t="str">
        <f t="shared" si="2"/>
        <v>The Princess Switch</v>
      </c>
      <c r="S4388" s="5" t="str">
        <f>IFERROR(__xludf.DUMMYFUNCTION("""COMPUTED_VALUE"""),"Manhattan Romance")</f>
        <v>Manhattan Romance</v>
      </c>
      <c r="U4388" s="5" t="str">
        <f>IFERROR(__xludf.DUMMYFUNCTION("""COMPUTED_VALUE"""),"Mark Neveldine")</f>
        <v>Mark Neveldine</v>
      </c>
      <c r="V4388" s="5" t="s">
        <v>23404</v>
      </c>
      <c r="W4388" s="5" t="str">
        <f t="shared" si="3"/>
        <v>Vishal Mishra</v>
      </c>
      <c r="X4388" s="5">
        <f t="shared" si="4"/>
        <v>1</v>
      </c>
      <c r="Y4388" s="5" t="str">
        <f>IFERROR(__xludf.DUMMYFUNCTION("REGEXEXTRACT(J4388, ""^\d+"")"),"102")</f>
        <v>102</v>
      </c>
      <c r="Z4388" s="5" t="str">
        <f>IFERROR(__xludf.DUMMYFUNCTION("REGEXEXTRACT(J4388, ""[A-Za-z ]+$"")")," min")</f>
        <v> min</v>
      </c>
      <c r="AA4388" s="5" t="str">
        <f>IFERROR(__xludf.DUMMYFUNCTION("IF(REGEXMATCH(Z4388, ""Season""), ""TV Show"", ""Movie"")"),"Movie")</f>
        <v>Movie</v>
      </c>
    </row>
    <row r="4389">
      <c r="A4389" s="1" t="s">
        <v>23405</v>
      </c>
      <c r="B4389" s="1" t="s">
        <v>37</v>
      </c>
      <c r="C4389" s="1" t="s">
        <v>23406</v>
      </c>
      <c r="E4389" s="1" t="s">
        <v>8983</v>
      </c>
      <c r="F4389" s="1" t="s">
        <v>1992</v>
      </c>
      <c r="G4389" s="1" t="s">
        <v>23385</v>
      </c>
      <c r="H4389" s="1">
        <v>2018.0</v>
      </c>
      <c r="I4389" s="1" t="s">
        <v>42</v>
      </c>
      <c r="J4389" s="1" t="s">
        <v>51</v>
      </c>
      <c r="K4389" s="1" t="s">
        <v>222</v>
      </c>
      <c r="L4389" s="1" t="s">
        <v>23407</v>
      </c>
      <c r="M4389" s="2" t="s">
        <v>12</v>
      </c>
      <c r="N4389" s="4">
        <f t="shared" si="1"/>
        <v>43420</v>
      </c>
      <c r="O4389" s="5" t="str">
        <f>IFERROR(__xludf.DUMMYFUNCTION("IF(REGEXMATCH(TRIM(I4389), ""^\d+\s*min""), ""Unclassified"", IF(I4389 = """", ""NR"", I4389))"),"TV-MA")</f>
        <v>TV-MA</v>
      </c>
      <c r="R4389" s="5" t="str">
        <f t="shared" si="2"/>
        <v>Vai Anitta</v>
      </c>
      <c r="S4389" s="5" t="str">
        <f>IFERROR(__xludf.DUMMYFUNCTION("""COMPUTED_VALUE"""),"Manhunt")</f>
        <v>Manhunt</v>
      </c>
      <c r="U4389" s="5" t="str">
        <f>IFERROR(__xludf.DUMMYFUNCTION("""COMPUTED_VALUE"""),"Ken Burns, Lynn Novick")</f>
        <v>Ken Burns, Lynn Novick</v>
      </c>
      <c r="V4389" s="5" t="s">
        <v>23408</v>
      </c>
      <c r="W4389" s="5" t="str">
        <f t="shared" si="3"/>
        <v>Vishnu Govindhan</v>
      </c>
      <c r="X4389" s="5">
        <f t="shared" si="4"/>
        <v>1</v>
      </c>
      <c r="Y4389" s="5" t="str">
        <f>IFERROR(__xludf.DUMMYFUNCTION("REGEXEXTRACT(J4389, ""^\d+"")"),"1")</f>
        <v>1</v>
      </c>
      <c r="Z4389" s="5" t="str">
        <f>IFERROR(__xludf.DUMMYFUNCTION("REGEXEXTRACT(J4389, ""[A-Za-z ]+$"")")," Season")</f>
        <v> Season</v>
      </c>
      <c r="AA4389" s="5" t="str">
        <f>IFERROR(__xludf.DUMMYFUNCTION("IF(REGEXMATCH(Z4389, ""Season""), ""TV Show"", ""Movie"")"),"TV Show")</f>
        <v>TV Show</v>
      </c>
    </row>
    <row r="4390">
      <c r="A4390" s="1" t="s">
        <v>23409</v>
      </c>
      <c r="B4390" s="1" t="s">
        <v>27</v>
      </c>
      <c r="C4390" s="1" t="s">
        <v>23410</v>
      </c>
      <c r="D4390" s="1" t="s">
        <v>23081</v>
      </c>
      <c r="E4390" s="1" t="s">
        <v>23411</v>
      </c>
      <c r="F4390" s="1" t="s">
        <v>63</v>
      </c>
      <c r="G4390" s="1" t="s">
        <v>23412</v>
      </c>
      <c r="H4390" s="1">
        <v>2018.0</v>
      </c>
      <c r="I4390" s="1" t="s">
        <v>136</v>
      </c>
      <c r="J4390" s="1" t="s">
        <v>393</v>
      </c>
      <c r="K4390" s="1" t="s">
        <v>89</v>
      </c>
      <c r="L4390" s="1" t="s">
        <v>23413</v>
      </c>
      <c r="M4390" s="2" t="s">
        <v>12</v>
      </c>
      <c r="N4390" s="4">
        <f t="shared" si="1"/>
        <v>43419</v>
      </c>
      <c r="O4390" s="5" t="str">
        <f>IFERROR(__xludf.DUMMYFUNCTION("IF(REGEXMATCH(TRIM(I4390), ""^\d+\s*min""), ""Unclassified"", IF(I4390 = """", ""NR"", I4390))"),"TV-PG")</f>
        <v>TV-PG</v>
      </c>
      <c r="R4390" s="5" t="str">
        <f t="shared" si="2"/>
        <v>Aalorukkam</v>
      </c>
      <c r="S4390" s="5" t="str">
        <f>IFERROR(__xludf.DUMMYFUNCTION("""COMPUTED_VALUE"""),"Manhunt: Deadly Games")</f>
        <v>Manhunt: Deadly Games</v>
      </c>
      <c r="U4390" s="5" t="str">
        <f>IFERROR(__xludf.DUMMYFUNCTION("""COMPUTED_VALUE"""),"Ossama Abu El Atta, Tarek Al Eryan")</f>
        <v>Ossama Abu El Atta, Tarek Al Eryan</v>
      </c>
      <c r="V4390" s="5" t="s">
        <v>5151</v>
      </c>
      <c r="W4390" s="5" t="str">
        <f t="shared" si="3"/>
        <v>Vishwesh Krishnamoorthy</v>
      </c>
      <c r="X4390" s="5">
        <f t="shared" si="4"/>
        <v>1</v>
      </c>
      <c r="Y4390" s="5" t="str">
        <f>IFERROR(__xludf.DUMMYFUNCTION("REGEXEXTRACT(J4390, ""^\d+"")"),"122")</f>
        <v>122</v>
      </c>
      <c r="Z4390" s="5" t="str">
        <f>IFERROR(__xludf.DUMMYFUNCTION("REGEXEXTRACT(J4390, ""[A-Za-z ]+$"")")," min")</f>
        <v> min</v>
      </c>
      <c r="AA4390" s="5" t="str">
        <f>IFERROR(__xludf.DUMMYFUNCTION("IF(REGEXMATCH(Z4390, ""Season""), ""TV Show"", ""Movie"")"),"Movie")</f>
        <v>Movie</v>
      </c>
    </row>
    <row r="4391">
      <c r="A4391" s="1" t="s">
        <v>23414</v>
      </c>
      <c r="B4391" s="1" t="s">
        <v>37</v>
      </c>
      <c r="C4391" s="1" t="s">
        <v>23415</v>
      </c>
      <c r="E4391" s="1" t="s">
        <v>23416</v>
      </c>
      <c r="G4391" s="1" t="s">
        <v>23412</v>
      </c>
      <c r="H4391" s="1">
        <v>2017.0</v>
      </c>
      <c r="I4391" s="1" t="s">
        <v>206</v>
      </c>
      <c r="J4391" s="1" t="s">
        <v>51</v>
      </c>
      <c r="K4391" s="1" t="s">
        <v>623</v>
      </c>
      <c r="L4391" s="1" t="s">
        <v>23417</v>
      </c>
      <c r="M4391" s="2" t="s">
        <v>12</v>
      </c>
      <c r="N4391" s="4">
        <f t="shared" si="1"/>
        <v>43419</v>
      </c>
      <c r="O4391" s="5" t="str">
        <f>IFERROR(__xludf.DUMMYFUNCTION("IF(REGEXMATCH(TRIM(I4391), ""^\d+\s*min""), ""Unclassified"", IF(I4391 = """", ""NR"", I4391))"),"TV-Y")</f>
        <v>TV-Y</v>
      </c>
      <c r="R4391" s="5" t="str">
        <f t="shared" si="2"/>
        <v>Beyblade Burst Evolution</v>
      </c>
      <c r="S4391" s="5" t="str">
        <f>IFERROR(__xludf.DUMMYFUNCTION("""COMPUTED_VALUE"""),"Maniac")</f>
        <v>Maniac</v>
      </c>
      <c r="U4391" s="5" t="str">
        <f>IFERROR(__xludf.DUMMYFUNCTION("""COMPUTED_VALUE"""),"Russell Crowe")</f>
        <v>Russell Crowe</v>
      </c>
      <c r="V4391" s="5" t="s">
        <v>7031</v>
      </c>
      <c r="W4391" s="5" t="str">
        <f t="shared" si="3"/>
        <v>Vitor Brandt</v>
      </c>
      <c r="X4391" s="5">
        <f t="shared" si="4"/>
        <v>1</v>
      </c>
      <c r="Y4391" s="5" t="str">
        <f>IFERROR(__xludf.DUMMYFUNCTION("REGEXEXTRACT(J4391, ""^\d+"")"),"1")</f>
        <v>1</v>
      </c>
      <c r="Z4391" s="5" t="str">
        <f>IFERROR(__xludf.DUMMYFUNCTION("REGEXEXTRACT(J4391, ""[A-Za-z ]+$"")")," Season")</f>
        <v> Season</v>
      </c>
      <c r="AA4391" s="5" t="str">
        <f>IFERROR(__xludf.DUMMYFUNCTION("IF(REGEXMATCH(Z4391, ""Season""), ""TV Show"", ""Movie"")"),"TV Show")</f>
        <v>TV Show</v>
      </c>
    </row>
    <row r="4392">
      <c r="A4392" s="1" t="s">
        <v>23418</v>
      </c>
      <c r="B4392" s="1" t="s">
        <v>27</v>
      </c>
      <c r="C4392" s="1" t="s">
        <v>23419</v>
      </c>
      <c r="D4392" s="1" t="s">
        <v>9831</v>
      </c>
      <c r="E4392" s="1" t="s">
        <v>23420</v>
      </c>
      <c r="F4392" s="1" t="s">
        <v>1106</v>
      </c>
      <c r="G4392" s="1" t="s">
        <v>23412</v>
      </c>
      <c r="H4392" s="1">
        <v>2017.0</v>
      </c>
      <c r="I4392" s="1" t="s">
        <v>78</v>
      </c>
      <c r="J4392" s="1" t="s">
        <v>1144</v>
      </c>
      <c r="K4392" s="1" t="s">
        <v>215</v>
      </c>
      <c r="L4392" s="1" t="s">
        <v>23421</v>
      </c>
      <c r="M4392" s="2" t="s">
        <v>12</v>
      </c>
      <c r="N4392" s="4">
        <f t="shared" si="1"/>
        <v>43419</v>
      </c>
      <c r="O4392" s="5" t="str">
        <f>IFERROR(__xludf.DUMMYFUNCTION("IF(REGEXMATCH(TRIM(I4392), ""^\d+\s*min""), ""Unclassified"", IF(I4392 = """", ""NR"", I4392))"),"PG")</f>
        <v>PG</v>
      </c>
      <c r="R4392" s="5" t="str">
        <f t="shared" si="2"/>
        <v>Christmas Wedding Planner</v>
      </c>
      <c r="S4392" s="5" t="str">
        <f>IFERROR(__xludf.DUMMYFUNCTION("""COMPUTED_VALUE"""),"Manifest")</f>
        <v>Manifest</v>
      </c>
      <c r="U4392" s="5" t="str">
        <f>IFERROR(__xludf.DUMMYFUNCTION("""COMPUTED_VALUE"""),"Jay Russell")</f>
        <v>Jay Russell</v>
      </c>
      <c r="V4392" s="5" t="s">
        <v>23422</v>
      </c>
      <c r="W4392" s="5" t="str">
        <f t="shared" si="3"/>
        <v>Vivek Agnihotri</v>
      </c>
      <c r="X4392" s="5">
        <f t="shared" si="4"/>
        <v>1</v>
      </c>
      <c r="Y4392" s="5" t="str">
        <f>IFERROR(__xludf.DUMMYFUNCTION("REGEXEXTRACT(J4392, ""^\d+"")"),"86")</f>
        <v>86</v>
      </c>
      <c r="Z4392" s="5" t="str">
        <f>IFERROR(__xludf.DUMMYFUNCTION("REGEXEXTRACT(J4392, ""[A-Za-z ]+$"")")," min")</f>
        <v> min</v>
      </c>
      <c r="AA4392" s="5" t="str">
        <f>IFERROR(__xludf.DUMMYFUNCTION("IF(REGEXMATCH(Z4392, ""Season""), ""TV Show"", ""Movie"")"),"Movie")</f>
        <v>Movie</v>
      </c>
    </row>
    <row r="4393">
      <c r="A4393" s="1" t="s">
        <v>23423</v>
      </c>
      <c r="B4393" s="1" t="s">
        <v>27</v>
      </c>
      <c r="C4393" s="1" t="s">
        <v>23424</v>
      </c>
      <c r="D4393" s="1" t="s">
        <v>16928</v>
      </c>
      <c r="E4393" s="1" t="s">
        <v>23425</v>
      </c>
      <c r="F4393" s="1" t="s">
        <v>63</v>
      </c>
      <c r="G4393" s="1" t="s">
        <v>23412</v>
      </c>
      <c r="H4393" s="1">
        <v>2018.0</v>
      </c>
      <c r="I4393" s="1" t="s">
        <v>97</v>
      </c>
      <c r="J4393" s="1" t="s">
        <v>264</v>
      </c>
      <c r="K4393" s="1" t="s">
        <v>836</v>
      </c>
      <c r="L4393" s="1" t="s">
        <v>23426</v>
      </c>
      <c r="M4393" s="2" t="s">
        <v>12</v>
      </c>
      <c r="N4393" s="4">
        <f t="shared" si="1"/>
        <v>43419</v>
      </c>
      <c r="O4393" s="5" t="str">
        <f>IFERROR(__xludf.DUMMYFUNCTION("IF(REGEXMATCH(TRIM(I4393), ""^\d+\s*min""), ""Unclassified"", IF(I4393 = """", ""NR"", I4393))"),"TV-14")</f>
        <v>TV-14</v>
      </c>
      <c r="R4393" s="5" t="str">
        <f t="shared" si="2"/>
        <v>Halkaa</v>
      </c>
      <c r="S4393" s="5" t="str">
        <f>IFERROR(__xludf.DUMMYFUNCTION("""COMPUTED_VALUE"""),"Maniyarayile Ashokan")</f>
        <v>Maniyarayile Ashokan</v>
      </c>
      <c r="U4393" s="5" t="str">
        <f>IFERROR(__xludf.DUMMYFUNCTION("""COMPUTED_VALUE"""),"Robert Eggers")</f>
        <v>Robert Eggers</v>
      </c>
      <c r="V4393" s="5" t="s">
        <v>23427</v>
      </c>
      <c r="W4393" s="5" t="str">
        <f t="shared" si="3"/>
        <v>Vivek Wagh</v>
      </c>
      <c r="X4393" s="5">
        <f t="shared" si="4"/>
        <v>1</v>
      </c>
      <c r="Y4393" s="5" t="str">
        <f>IFERROR(__xludf.DUMMYFUNCTION("REGEXEXTRACT(J4393, ""^\d+"")"),"111")</f>
        <v>111</v>
      </c>
      <c r="Z4393" s="5" t="str">
        <f>IFERROR(__xludf.DUMMYFUNCTION("REGEXEXTRACT(J4393, ""[A-Za-z ]+$"")")," min")</f>
        <v> min</v>
      </c>
      <c r="AA4393" s="5" t="str">
        <f>IFERROR(__xludf.DUMMYFUNCTION("IF(REGEXMATCH(Z4393, ""Season""), ""TV Show"", ""Movie"")"),"Movie")</f>
        <v>Movie</v>
      </c>
    </row>
    <row r="4394">
      <c r="A4394" s="1" t="s">
        <v>23428</v>
      </c>
      <c r="B4394" s="1" t="s">
        <v>27</v>
      </c>
      <c r="C4394" s="1" t="s">
        <v>23429</v>
      </c>
      <c r="D4394" s="1" t="s">
        <v>22548</v>
      </c>
      <c r="E4394" s="1" t="s">
        <v>23430</v>
      </c>
      <c r="F4394" s="1" t="s">
        <v>2873</v>
      </c>
      <c r="G4394" s="1" t="s">
        <v>23412</v>
      </c>
      <c r="H4394" s="1">
        <v>2018.0</v>
      </c>
      <c r="I4394" s="1" t="s">
        <v>42</v>
      </c>
      <c r="J4394" s="1" t="s">
        <v>264</v>
      </c>
      <c r="K4394" s="1" t="s">
        <v>1441</v>
      </c>
      <c r="L4394" s="1" t="s">
        <v>23431</v>
      </c>
      <c r="M4394" s="2" t="s">
        <v>12</v>
      </c>
      <c r="N4394" s="4">
        <f t="shared" si="1"/>
        <v>43419</v>
      </c>
      <c r="O4394" s="5" t="str">
        <f>IFERROR(__xludf.DUMMYFUNCTION("IF(REGEXMATCH(TRIM(I4394), ""^\d+\s*min""), ""Unclassified"", IF(I4394 = """", ""NR"", I4394))"),"TV-MA")</f>
        <v>TV-MA</v>
      </c>
      <c r="R4394" s="5" t="str">
        <f t="shared" si="2"/>
        <v>May The Devil Take You</v>
      </c>
      <c r="S4394" s="5" t="str">
        <f>IFERROR(__xludf.DUMMYFUNCTION("""COMPUTED_VALUE"""),"Manje Bistre")</f>
        <v>Manje Bistre</v>
      </c>
      <c r="U4394" s="5" t="str">
        <f>IFERROR(__xludf.DUMMYFUNCTION("""COMPUTED_VALUE"""),"Kyle Rankin")</f>
        <v>Kyle Rankin</v>
      </c>
      <c r="V4394" s="5" t="s">
        <v>23432</v>
      </c>
      <c r="W4394" s="5" t="str">
        <f t="shared" si="3"/>
        <v>Vivieno Caldinelli</v>
      </c>
      <c r="X4394" s="5">
        <f t="shared" si="4"/>
        <v>3</v>
      </c>
      <c r="Y4394" s="5" t="str">
        <f>IFERROR(__xludf.DUMMYFUNCTION("REGEXEXTRACT(J4394, ""^\d+"")"),"111")</f>
        <v>111</v>
      </c>
      <c r="Z4394" s="5" t="str">
        <f>IFERROR(__xludf.DUMMYFUNCTION("REGEXEXTRACT(J4394, ""[A-Za-z ]+$"")")," min")</f>
        <v> min</v>
      </c>
      <c r="AA4394" s="5" t="str">
        <f>IFERROR(__xludf.DUMMYFUNCTION("IF(REGEXMATCH(Z4394, ""Season""), ""TV Show"", ""Movie"")"),"Movie")</f>
        <v>Movie</v>
      </c>
    </row>
    <row r="4395">
      <c r="A4395" s="1" t="s">
        <v>23433</v>
      </c>
      <c r="B4395" s="1" t="s">
        <v>27</v>
      </c>
      <c r="C4395" s="1" t="s">
        <v>23434</v>
      </c>
      <c r="D4395" s="1" t="s">
        <v>16509</v>
      </c>
      <c r="F4395" s="1" t="s">
        <v>63</v>
      </c>
      <c r="G4395" s="1" t="s">
        <v>23412</v>
      </c>
      <c r="H4395" s="1">
        <v>2015.0</v>
      </c>
      <c r="I4395" s="1" t="s">
        <v>42</v>
      </c>
      <c r="J4395" s="1" t="s">
        <v>1383</v>
      </c>
      <c r="K4395" s="1" t="s">
        <v>156</v>
      </c>
      <c r="L4395" s="1" t="s">
        <v>23435</v>
      </c>
      <c r="M4395" s="2" t="s">
        <v>12</v>
      </c>
      <c r="N4395" s="4">
        <f t="shared" si="1"/>
        <v>43419</v>
      </c>
      <c r="O4395" s="5" t="str">
        <f>IFERROR(__xludf.DUMMYFUNCTION("IF(REGEXMATCH(TRIM(I4395), ""^\d+\s*min""), ""Unclassified"", IF(I4395 = """", ""NR"", I4395))"),"TV-MA")</f>
        <v>TV-MA</v>
      </c>
      <c r="R4395" s="5" t="str">
        <f t="shared" si="2"/>
        <v>Muzaffarnagar Baaqi Hai</v>
      </c>
      <c r="S4395" s="5" t="str">
        <f>IFERROR(__xludf.DUMMYFUNCTION("""COMPUTED_VALUE"""),"Mank")</f>
        <v>Mank</v>
      </c>
      <c r="U4395" s="5" t="str">
        <f>IFERROR(__xludf.DUMMYFUNCTION("""COMPUTED_VALUE"""),"Neil Rawles")</f>
        <v>Neil Rawles</v>
      </c>
      <c r="V4395" s="5" t="s">
        <v>19637</v>
      </c>
      <c r="W4395" s="5" t="str">
        <f t="shared" si="3"/>
        <v>Vlad Yudin</v>
      </c>
      <c r="X4395" s="5">
        <f t="shared" si="4"/>
        <v>6</v>
      </c>
      <c r="Y4395" s="5" t="str">
        <f>IFERROR(__xludf.DUMMYFUNCTION("REGEXEXTRACT(J4395, ""^\d+"")"),"136")</f>
        <v>136</v>
      </c>
      <c r="Z4395" s="5" t="str">
        <f>IFERROR(__xludf.DUMMYFUNCTION("REGEXEXTRACT(J4395, ""[A-Za-z ]+$"")")," min")</f>
        <v> min</v>
      </c>
      <c r="AA4395" s="5" t="str">
        <f>IFERROR(__xludf.DUMMYFUNCTION("IF(REGEXMATCH(Z4395, ""Season""), ""TV Show"", ""Movie"")"),"Movie")</f>
        <v>Movie</v>
      </c>
    </row>
    <row r="4396">
      <c r="A4396" s="1" t="s">
        <v>23436</v>
      </c>
      <c r="B4396" s="1" t="s">
        <v>27</v>
      </c>
      <c r="C4396" s="1" t="s">
        <v>23437</v>
      </c>
      <c r="D4396" s="1" t="s">
        <v>16954</v>
      </c>
      <c r="E4396" s="1" t="s">
        <v>23438</v>
      </c>
      <c r="F4396" s="1" t="s">
        <v>63</v>
      </c>
      <c r="G4396" s="1" t="s">
        <v>23412</v>
      </c>
      <c r="H4396" s="1">
        <v>2018.0</v>
      </c>
      <c r="I4396" s="1" t="s">
        <v>97</v>
      </c>
      <c r="J4396" s="1" t="s">
        <v>941</v>
      </c>
      <c r="K4396" s="1" t="s">
        <v>5295</v>
      </c>
      <c r="L4396" s="1" t="s">
        <v>23439</v>
      </c>
      <c r="M4396" s="2" t="s">
        <v>12</v>
      </c>
      <c r="N4396" s="4">
        <f t="shared" si="1"/>
        <v>43419</v>
      </c>
      <c r="O4396" s="5" t="str">
        <f>IFERROR(__xludf.DUMMYFUNCTION("IF(REGEXMATCH(TRIM(I4396), ""^\d+\s*min""), ""Unclassified"", IF(I4396 = """", ""NR"", I4396))"),"TV-14")</f>
        <v>TV-14</v>
      </c>
      <c r="R4396" s="5" t="str">
        <f t="shared" si="2"/>
        <v>Odu Raja Odu</v>
      </c>
      <c r="S4396" s="5" t="str">
        <f>IFERROR(__xludf.DUMMYFUNCTION("""COMPUTED_VALUE"""),"Manmadhudu 2")</f>
        <v>Manmadhudu 2</v>
      </c>
      <c r="U4396" s="5" t="str">
        <f>IFERROR(__xludf.DUMMYFUNCTION("""COMPUTED_VALUE"""),"Emil Ben-Shimon")</f>
        <v>Emil Ben-Shimon</v>
      </c>
      <c r="V4396" s="5" t="s">
        <v>23440</v>
      </c>
      <c r="W4396" s="5" t="str">
        <f t="shared" si="3"/>
        <v>Volker Arzt, Angelika Sigl</v>
      </c>
      <c r="X4396" s="5">
        <f t="shared" si="4"/>
        <v>1</v>
      </c>
      <c r="Y4396" s="5" t="str">
        <f>IFERROR(__xludf.DUMMYFUNCTION("REGEXEXTRACT(J4396, ""^\d+"")"),"121")</f>
        <v>121</v>
      </c>
      <c r="Z4396" s="5" t="str">
        <f>IFERROR(__xludf.DUMMYFUNCTION("REGEXEXTRACT(J4396, ""[A-Za-z ]+$"")")," min")</f>
        <v> min</v>
      </c>
      <c r="AA4396" s="5" t="str">
        <f>IFERROR(__xludf.DUMMYFUNCTION("IF(REGEXMATCH(Z4396, ""Season""), ""TV Show"", ""Movie"")"),"Movie")</f>
        <v>Movie</v>
      </c>
    </row>
    <row r="4397">
      <c r="A4397" s="1" t="s">
        <v>23441</v>
      </c>
      <c r="B4397" s="1" t="s">
        <v>27</v>
      </c>
      <c r="C4397" s="1" t="s">
        <v>23442</v>
      </c>
      <c r="D4397" s="1" t="s">
        <v>22030</v>
      </c>
      <c r="E4397" s="1" t="s">
        <v>23443</v>
      </c>
      <c r="F4397" s="1" t="s">
        <v>63</v>
      </c>
      <c r="G4397" s="1" t="s">
        <v>23412</v>
      </c>
      <c r="H4397" s="1">
        <v>2018.0</v>
      </c>
      <c r="I4397" s="1" t="s">
        <v>97</v>
      </c>
      <c r="J4397" s="1" t="s">
        <v>804</v>
      </c>
      <c r="K4397" s="1" t="s">
        <v>1441</v>
      </c>
      <c r="L4397" s="1" t="s">
        <v>23444</v>
      </c>
      <c r="M4397" s="2" t="s">
        <v>12</v>
      </c>
      <c r="N4397" s="4">
        <f t="shared" si="1"/>
        <v>43419</v>
      </c>
      <c r="O4397" s="5" t="str">
        <f>IFERROR(__xludf.DUMMYFUNCTION("IF(REGEXMATCH(TRIM(I4397), ""^\d+\s*min""), ""Unclassified"", IF(I4397 = """", ""NR"", I4397))"),"TV-14")</f>
        <v>TV-14</v>
      </c>
      <c r="R4397" s="5" t="str">
        <f t="shared" si="2"/>
        <v>Savita Damodar Paranjpe</v>
      </c>
      <c r="S4397" s="5" t="str">
        <f>IFERROR(__xludf.DUMMYFUNCTION("""COMPUTED_VALUE"""),"Mann")</f>
        <v>Mann</v>
      </c>
      <c r="U4397" s="5" t="str">
        <f>IFERROR(__xludf.DUMMYFUNCTION("""COMPUTED_VALUE"""),"Laurent Cantet")</f>
        <v>Laurent Cantet</v>
      </c>
      <c r="V4397" s="5" t="s">
        <v>23445</v>
      </c>
      <c r="W4397" s="5" t="str">
        <f t="shared" si="3"/>
        <v>Volker Weicker</v>
      </c>
      <c r="X4397" s="5">
        <f t="shared" si="4"/>
        <v>1</v>
      </c>
      <c r="Y4397" s="5" t="str">
        <f>IFERROR(__xludf.DUMMYFUNCTION("REGEXEXTRACT(J4397, ""^\d+"")"),"119")</f>
        <v>119</v>
      </c>
      <c r="Z4397" s="5" t="str">
        <f>IFERROR(__xludf.DUMMYFUNCTION("REGEXEXTRACT(J4397, ""[A-Za-z ]+$"")")," min")</f>
        <v> min</v>
      </c>
      <c r="AA4397" s="5" t="str">
        <f>IFERROR(__xludf.DUMMYFUNCTION("IF(REGEXMATCH(Z4397, ""Season""), ""TV Show"", ""Movie"")"),"Movie")</f>
        <v>Movie</v>
      </c>
    </row>
    <row r="4398">
      <c r="A4398" s="1" t="s">
        <v>23446</v>
      </c>
      <c r="B4398" s="1" t="s">
        <v>27</v>
      </c>
      <c r="C4398" s="1" t="s">
        <v>23447</v>
      </c>
      <c r="D4398" s="1" t="s">
        <v>708</v>
      </c>
      <c r="E4398" s="1" t="s">
        <v>23448</v>
      </c>
      <c r="F4398" s="1" t="s">
        <v>784</v>
      </c>
      <c r="G4398" s="1" t="s">
        <v>23412</v>
      </c>
      <c r="H4398" s="1">
        <v>2017.0</v>
      </c>
      <c r="I4398" s="1" t="s">
        <v>97</v>
      </c>
      <c r="J4398" s="1" t="s">
        <v>379</v>
      </c>
      <c r="K4398" s="1" t="s">
        <v>128</v>
      </c>
      <c r="L4398" s="1" t="s">
        <v>23449</v>
      </c>
      <c r="M4398" s="2" t="s">
        <v>12</v>
      </c>
      <c r="N4398" s="4">
        <f t="shared" si="1"/>
        <v>43419</v>
      </c>
      <c r="O4398" s="5" t="str">
        <f>IFERROR(__xludf.DUMMYFUNCTION("IF(REGEXMATCH(TRIM(I4398), ""^\d+\s*min""), ""Unclassified"", IF(I4398 = """", ""NR"", I4398))"),"TV-14")</f>
        <v>TV-14</v>
      </c>
      <c r="R4398" s="5" t="str">
        <f t="shared" si="2"/>
        <v>The Giant</v>
      </c>
      <c r="S4398" s="5" t="str">
        <f>IFERROR(__xludf.DUMMYFUNCTION("""COMPUTED_VALUE"""),"Manolo: The Boy Who Made Shoes For Lizards")</f>
        <v>Manolo: The Boy Who Made Shoes For Lizards</v>
      </c>
      <c r="U4398" s="5" t="str">
        <f>IFERROR(__xludf.DUMMYFUNCTION("""COMPUTED_VALUE"""),"Michael Apted")</f>
        <v>Michael Apted</v>
      </c>
      <c r="V4398" s="5" t="s">
        <v>23450</v>
      </c>
      <c r="W4398" s="5" t="str">
        <f t="shared" si="3"/>
        <v>Vonda Harrell, Daniel Camenisch</v>
      </c>
      <c r="X4398" s="5">
        <f t="shared" si="4"/>
        <v>1</v>
      </c>
      <c r="Y4398" s="5" t="str">
        <f>IFERROR(__xludf.DUMMYFUNCTION("REGEXEXTRACT(J4398, ""^\d+"")"),"115")</f>
        <v>115</v>
      </c>
      <c r="Z4398" s="5" t="str">
        <f>IFERROR(__xludf.DUMMYFUNCTION("REGEXEXTRACT(J4398, ""[A-Za-z ]+$"")")," min")</f>
        <v> min</v>
      </c>
      <c r="AA4398" s="5" t="str">
        <f>IFERROR(__xludf.DUMMYFUNCTION("IF(REGEXMATCH(Z4398, ""Season""), ""TV Show"", ""Movie"")"),"Movie")</f>
        <v>Movie</v>
      </c>
    </row>
    <row r="4399">
      <c r="A4399" s="1" t="s">
        <v>23451</v>
      </c>
      <c r="B4399" s="1" t="s">
        <v>27</v>
      </c>
      <c r="C4399" s="1" t="s">
        <v>23452</v>
      </c>
      <c r="D4399" s="1" t="s">
        <v>7247</v>
      </c>
      <c r="E4399" s="1" t="s">
        <v>23453</v>
      </c>
      <c r="F4399" s="1" t="s">
        <v>4287</v>
      </c>
      <c r="G4399" s="1" t="s">
        <v>23454</v>
      </c>
      <c r="H4399" s="1">
        <v>2018.0</v>
      </c>
      <c r="I4399" s="1" t="s">
        <v>42</v>
      </c>
      <c r="J4399" s="1" t="s">
        <v>757</v>
      </c>
      <c r="K4399" s="1" t="s">
        <v>1066</v>
      </c>
      <c r="L4399" s="1" t="s">
        <v>23455</v>
      </c>
      <c r="M4399" s="2" t="s">
        <v>12</v>
      </c>
      <c r="N4399" s="4">
        <f t="shared" si="1"/>
        <v>43417</v>
      </c>
      <c r="O4399" s="5" t="str">
        <f>IFERROR(__xludf.DUMMYFUNCTION("IF(REGEXMATCH(TRIM(I4399), ""^\d+\s*min""), ""Unclassified"", IF(I4399 = """", ""NR"", I4399))"),"TV-MA")</f>
        <v>TV-MA</v>
      </c>
      <c r="R4399" s="5" t="str">
        <f t="shared" si="2"/>
        <v>Buybust</v>
      </c>
      <c r="S4399" s="5" t="str">
        <f>IFERROR(__xludf.DUMMYFUNCTION("""COMPUTED_VALUE"""),"Manorama Six Feet Under")</f>
        <v>Manorama Six Feet Under</v>
      </c>
      <c r="U4399" s="5" t="str">
        <f>IFERROR(__xludf.DUMMYFUNCTION("""COMPUTED_VALUE"""),"Victoria Bromley")</f>
        <v>Victoria Bromley</v>
      </c>
      <c r="V4399" s="5" t="s">
        <v>5572</v>
      </c>
      <c r="W4399" s="5" t="str">
        <f t="shared" si="3"/>
        <v>Vondie Curtis-Hall</v>
      </c>
      <c r="X4399" s="5">
        <f t="shared" si="4"/>
        <v>1</v>
      </c>
      <c r="Y4399" s="5" t="str">
        <f>IFERROR(__xludf.DUMMYFUNCTION("REGEXEXTRACT(J4399, ""^\d+"")"),"128")</f>
        <v>128</v>
      </c>
      <c r="Z4399" s="5" t="str">
        <f>IFERROR(__xludf.DUMMYFUNCTION("REGEXEXTRACT(J4399, ""[A-Za-z ]+$"")")," min")</f>
        <v> min</v>
      </c>
      <c r="AA4399" s="5" t="str">
        <f>IFERROR(__xludf.DUMMYFUNCTION("IF(REGEXMATCH(Z4399, ""Season""), ""TV Show"", ""Movie"")"),"Movie")</f>
        <v>Movie</v>
      </c>
    </row>
    <row r="4400">
      <c r="A4400" s="1" t="s">
        <v>23456</v>
      </c>
      <c r="B4400" s="1" t="s">
        <v>27</v>
      </c>
      <c r="C4400" s="1" t="s">
        <v>23457</v>
      </c>
      <c r="D4400" s="1" t="s">
        <v>4943</v>
      </c>
      <c r="E4400" s="1" t="s">
        <v>23458</v>
      </c>
      <c r="G4400" s="1" t="s">
        <v>23454</v>
      </c>
      <c r="H4400" s="1">
        <v>2018.0</v>
      </c>
      <c r="I4400" s="1" t="s">
        <v>97</v>
      </c>
      <c r="J4400" s="1" t="s">
        <v>665</v>
      </c>
      <c r="K4400" s="1" t="s">
        <v>8833</v>
      </c>
      <c r="L4400" s="1" t="s">
        <v>23459</v>
      </c>
      <c r="M4400" s="2" t="s">
        <v>12</v>
      </c>
      <c r="N4400" s="4">
        <f t="shared" si="1"/>
        <v>43417</v>
      </c>
      <c r="O4400" s="5" t="str">
        <f>IFERROR(__xludf.DUMMYFUNCTION("IF(REGEXMATCH(TRIM(I4400), ""^\d+\s*min""), ""Unclassified"", IF(I4400 = """", ""NR"", I4400))"),"TV-14")</f>
        <v>TV-14</v>
      </c>
      <c r="R4400" s="5" t="str">
        <f t="shared" si="2"/>
        <v>Loudon Wainwright Iii: Surviving Twin</v>
      </c>
      <c r="S4400" s="5" t="str">
        <f>IFERROR(__xludf.DUMMYFUNCTION("""COMPUTED_VALUE"""),"Manoranjan")</f>
        <v>Manoranjan</v>
      </c>
      <c r="U4400" s="5" t="str">
        <f>IFERROR(__xludf.DUMMYFUNCTION("""COMPUTED_VALUE"""),"George Mendeluk")</f>
        <v>George Mendeluk</v>
      </c>
      <c r="V4400" s="5" t="s">
        <v>19018</v>
      </c>
      <c r="W4400" s="5" t="str">
        <f t="shared" si="3"/>
        <v>Vrinda Samartha</v>
      </c>
      <c r="X4400" s="5">
        <f t="shared" si="4"/>
        <v>1</v>
      </c>
      <c r="Y4400" s="5" t="str">
        <f>IFERROR(__xludf.DUMMYFUNCTION("REGEXEXTRACT(J4400, ""^\d+"")"),"92")</f>
        <v>92</v>
      </c>
      <c r="Z4400" s="5" t="str">
        <f>IFERROR(__xludf.DUMMYFUNCTION("REGEXEXTRACT(J4400, ""[A-Za-z ]+$"")")," min")</f>
        <v> min</v>
      </c>
      <c r="AA4400" s="5" t="str">
        <f>IFERROR(__xludf.DUMMYFUNCTION("IF(REGEXMATCH(Z4400, ""Season""), ""TV Show"", ""Movie"")"),"Movie")</f>
        <v>Movie</v>
      </c>
    </row>
    <row r="4401">
      <c r="A4401" s="1" t="s">
        <v>23460</v>
      </c>
      <c r="B4401" s="1" t="s">
        <v>37</v>
      </c>
      <c r="C4401" s="1" t="s">
        <v>23461</v>
      </c>
      <c r="E4401" s="1" t="s">
        <v>23462</v>
      </c>
      <c r="F4401" s="1" t="s">
        <v>4478</v>
      </c>
      <c r="G4401" s="1" t="s">
        <v>23454</v>
      </c>
      <c r="H4401" s="1">
        <v>2018.0</v>
      </c>
      <c r="I4401" s="1" t="s">
        <v>42</v>
      </c>
      <c r="J4401" s="1" t="s">
        <v>51</v>
      </c>
      <c r="K4401" s="1" t="s">
        <v>1362</v>
      </c>
      <c r="L4401" s="1" t="s">
        <v>23463</v>
      </c>
      <c r="M4401" s="2" t="s">
        <v>12</v>
      </c>
      <c r="N4401" s="4">
        <f t="shared" si="1"/>
        <v>43417</v>
      </c>
      <c r="O4401" s="5" t="str">
        <f>IFERROR(__xludf.DUMMYFUNCTION("IF(REGEXMATCH(TRIM(I4401), ""^\d+\s*min""), ""Unclassified"", IF(I4401 = """", ""NR"", I4401))"),"TV-MA")</f>
        <v>TV-MA</v>
      </c>
      <c r="R4401" s="5" t="str">
        <f t="shared" si="2"/>
        <v>Warrior</v>
      </c>
      <c r="S4401" s="5" t="str">
        <f>IFERROR(__xludf.DUMMYFUNCTION("""COMPUTED_VALUE"""),"Mansfield Park")</f>
        <v>Mansfield Park</v>
      </c>
      <c r="U4401" s="5" t="str">
        <f>IFERROR(__xludf.DUMMYFUNCTION("""COMPUTED_VALUE"""),"Peter Foott")</f>
        <v>Peter Foott</v>
      </c>
      <c r="V4401" s="5" t="s">
        <v>23464</v>
      </c>
      <c r="W4401" s="5" t="str">
        <f t="shared" si="3"/>
        <v>Wade Allain-Marcus, Jesse Allain-Marcus</v>
      </c>
      <c r="X4401" s="5">
        <f t="shared" si="4"/>
        <v>1</v>
      </c>
      <c r="Y4401" s="5" t="str">
        <f>IFERROR(__xludf.DUMMYFUNCTION("REGEXEXTRACT(J4401, ""^\d+"")"),"1")</f>
        <v>1</v>
      </c>
      <c r="Z4401" s="5" t="str">
        <f>IFERROR(__xludf.DUMMYFUNCTION("REGEXEXTRACT(J4401, ""[A-Za-z ]+$"")")," Season")</f>
        <v> Season</v>
      </c>
      <c r="AA4401" s="5" t="str">
        <f>IFERROR(__xludf.DUMMYFUNCTION("IF(REGEXMATCH(Z4401, ""Season""), ""TV Show"", ""Movie"")"),"TV Show")</f>
        <v>TV Show</v>
      </c>
    </row>
    <row r="4402">
      <c r="A4402" s="1" t="s">
        <v>23465</v>
      </c>
      <c r="B4402" s="1" t="s">
        <v>37</v>
      </c>
      <c r="C4402" s="1" t="s">
        <v>23466</v>
      </c>
      <c r="F4402" s="1" t="s">
        <v>23467</v>
      </c>
      <c r="G4402" s="1" t="s">
        <v>23468</v>
      </c>
      <c r="H4402" s="1">
        <v>2017.0</v>
      </c>
      <c r="I4402" s="1" t="s">
        <v>136</v>
      </c>
      <c r="J4402" s="1" t="s">
        <v>51</v>
      </c>
      <c r="K4402" s="1" t="s">
        <v>3350</v>
      </c>
      <c r="L4402" s="1" t="s">
        <v>23469</v>
      </c>
      <c r="M4402" s="2" t="s">
        <v>12</v>
      </c>
      <c r="N4402" s="4">
        <f t="shared" si="1"/>
        <v>43414</v>
      </c>
      <c r="O4402" s="5" t="str">
        <f>IFERROR(__xludf.DUMMYFUNCTION("IF(REGEXMATCH(TRIM(I4402), ""^\d+\s*min""), ""Unclassified"", IF(I4402 = """", ""NR"", I4402))"),"TV-PG")</f>
        <v>TV-PG</v>
      </c>
      <c r="R4402" s="5" t="str">
        <f t="shared" si="2"/>
        <v>Age Of Tanks</v>
      </c>
      <c r="S4402" s="5" t="str">
        <f>IFERROR(__xludf.DUMMYFUNCTION("""COMPUTED_VALUE"""),"Manson Family Vacation")</f>
        <v>Manson Family Vacation</v>
      </c>
      <c r="U4402" s="5" t="str">
        <f>IFERROR(__xludf.DUMMYFUNCTION("""COMPUTED_VALUE"""),"Peter Svatek")</f>
        <v>Peter Svatek</v>
      </c>
      <c r="V4402" s="5" t="s">
        <v>13757</v>
      </c>
      <c r="W4402" s="5" t="str">
        <f t="shared" si="3"/>
        <v>Wael Ehsan</v>
      </c>
      <c r="X4402" s="5">
        <f t="shared" si="4"/>
        <v>4</v>
      </c>
      <c r="Y4402" s="5" t="str">
        <f>IFERROR(__xludf.DUMMYFUNCTION("REGEXEXTRACT(J4402, ""^\d+"")"),"1")</f>
        <v>1</v>
      </c>
      <c r="Z4402" s="5" t="str">
        <f>IFERROR(__xludf.DUMMYFUNCTION("REGEXEXTRACT(J4402, ""[A-Za-z ]+$"")")," Season")</f>
        <v> Season</v>
      </c>
      <c r="AA4402" s="5" t="str">
        <f>IFERROR(__xludf.DUMMYFUNCTION("IF(REGEXMATCH(Z4402, ""Season""), ""TV Show"", ""Movie"")"),"TV Show")</f>
        <v>TV Show</v>
      </c>
    </row>
    <row r="4403">
      <c r="A4403" s="1" t="s">
        <v>23470</v>
      </c>
      <c r="B4403" s="1" t="s">
        <v>27</v>
      </c>
      <c r="C4403" s="1" t="s">
        <v>23471</v>
      </c>
      <c r="D4403" s="1" t="s">
        <v>23335</v>
      </c>
      <c r="E4403" s="1" t="s">
        <v>23472</v>
      </c>
      <c r="F4403" s="1" t="s">
        <v>1119</v>
      </c>
      <c r="G4403" s="1" t="s">
        <v>23473</v>
      </c>
      <c r="H4403" s="1">
        <v>2009.0</v>
      </c>
      <c r="I4403" s="1" t="s">
        <v>97</v>
      </c>
      <c r="J4403" s="1" t="s">
        <v>416</v>
      </c>
      <c r="K4403" s="1" t="s">
        <v>215</v>
      </c>
      <c r="L4403" s="1" t="s">
        <v>23474</v>
      </c>
      <c r="M4403" s="2" t="s">
        <v>12</v>
      </c>
      <c r="N4403" s="4">
        <f t="shared" si="1"/>
        <v>43413</v>
      </c>
      <c r="O4403" s="5" t="str">
        <f>IFERROR(__xludf.DUMMYFUNCTION("IF(REGEXMATCH(TRIM(I4403), ""^\d+\s*min""), ""Unclassified"", IF(I4403 = """", ""NR"", I4403))"),"TV-14")</f>
        <v>TV-14</v>
      </c>
      <c r="R4403" s="5" t="str">
        <f t="shared" si="2"/>
        <v>All'S Well, End'S Well (2009)</v>
      </c>
      <c r="S4403" s="5" t="str">
        <f>IFERROR(__xludf.DUMMYFUNCTION("""COMPUTED_VALUE"""),"Manto")</f>
        <v>Manto</v>
      </c>
      <c r="U4403" s="5" t="str">
        <f>IFERROR(__xludf.DUMMYFUNCTION("""COMPUTED_VALUE"""),"Saheed Arafath")</f>
        <v>Saheed Arafath</v>
      </c>
      <c r="V4403" s="5" t="s">
        <v>13787</v>
      </c>
      <c r="W4403" s="5" t="str">
        <f t="shared" si="3"/>
        <v>Wael Ihsan</v>
      </c>
      <c r="X4403" s="5">
        <f t="shared" si="4"/>
        <v>4</v>
      </c>
      <c r="Y4403" s="5" t="str">
        <f>IFERROR(__xludf.DUMMYFUNCTION("REGEXEXTRACT(J4403, ""^\d+"")"),"99")</f>
        <v>99</v>
      </c>
      <c r="Z4403" s="5" t="str">
        <f>IFERROR(__xludf.DUMMYFUNCTION("REGEXEXTRACT(J4403, ""[A-Za-z ]+$"")")," min")</f>
        <v> min</v>
      </c>
      <c r="AA4403" s="5" t="str">
        <f>IFERROR(__xludf.DUMMYFUNCTION("IF(REGEXMATCH(Z4403, ""Season""), ""TV Show"", ""Movie"")"),"Movie")</f>
        <v>Movie</v>
      </c>
    </row>
    <row r="4404">
      <c r="A4404" s="1" t="s">
        <v>23475</v>
      </c>
      <c r="B4404" s="1" t="s">
        <v>27</v>
      </c>
      <c r="C4404" s="1" t="s">
        <v>23476</v>
      </c>
      <c r="D4404" s="1" t="s">
        <v>4897</v>
      </c>
      <c r="E4404" s="1" t="s">
        <v>23477</v>
      </c>
      <c r="F4404" s="1" t="s">
        <v>2492</v>
      </c>
      <c r="G4404" s="1" t="s">
        <v>23473</v>
      </c>
      <c r="H4404" s="1">
        <v>2017.0</v>
      </c>
      <c r="I4404" s="1" t="s">
        <v>42</v>
      </c>
      <c r="J4404" s="1" t="s">
        <v>256</v>
      </c>
      <c r="K4404" s="1" t="s">
        <v>199</v>
      </c>
      <c r="L4404" s="1" t="s">
        <v>23478</v>
      </c>
      <c r="M4404" s="2" t="s">
        <v>12</v>
      </c>
      <c r="N4404" s="4">
        <f t="shared" si="1"/>
        <v>43413</v>
      </c>
      <c r="O4404" s="5" t="str">
        <f>IFERROR(__xludf.DUMMYFUNCTION("IF(REGEXMATCH(TRIM(I4404), ""^\d+\s*min""), ""Unclassified"", IF(I4404 = """", ""NR"", I4404))"),"TV-MA")</f>
        <v>TV-MA</v>
      </c>
      <c r="R4404" s="5" t="str">
        <f t="shared" si="2"/>
        <v>Lommbock</v>
      </c>
      <c r="S4404" s="5" t="str">
        <f>IFERROR(__xludf.DUMMYFUNCTION("""COMPUTED_VALUE"""),"Mantostaan")</f>
        <v>Mantostaan</v>
      </c>
      <c r="U4404" s="5" t="str">
        <f>IFERROR(__xludf.DUMMYFUNCTION("""COMPUTED_VALUE"""),"Charlotte Zwerin")</f>
        <v>Charlotte Zwerin</v>
      </c>
      <c r="V4404" s="5" t="s">
        <v>23479</v>
      </c>
      <c r="W4404" s="5" t="str">
        <f t="shared" si="3"/>
        <v>Wagner De Assis</v>
      </c>
      <c r="X4404" s="5">
        <f t="shared" si="4"/>
        <v>1</v>
      </c>
      <c r="Y4404" s="5" t="str">
        <f>IFERROR(__xludf.DUMMYFUNCTION("REGEXEXTRACT(J4404, ""^\d+"")"),"106")</f>
        <v>106</v>
      </c>
      <c r="Z4404" s="5" t="str">
        <f>IFERROR(__xludf.DUMMYFUNCTION("REGEXEXTRACT(J4404, ""[A-Za-z ]+$"")")," min")</f>
        <v> min</v>
      </c>
      <c r="AA4404" s="5" t="str">
        <f>IFERROR(__xludf.DUMMYFUNCTION("IF(REGEXMATCH(Z4404, ""Season""), ""TV Show"", ""Movie"")"),"Movie")</f>
        <v>Movie</v>
      </c>
    </row>
    <row r="4405">
      <c r="A4405" s="1" t="s">
        <v>23480</v>
      </c>
      <c r="B4405" s="1" t="s">
        <v>37</v>
      </c>
      <c r="C4405" s="1" t="s">
        <v>23481</v>
      </c>
      <c r="E4405" s="1" t="s">
        <v>23482</v>
      </c>
      <c r="F4405" s="1" t="s">
        <v>30</v>
      </c>
      <c r="G4405" s="1" t="s">
        <v>23473</v>
      </c>
      <c r="H4405" s="1">
        <v>2018.0</v>
      </c>
      <c r="I4405" s="1" t="s">
        <v>42</v>
      </c>
      <c r="J4405" s="1" t="s">
        <v>51</v>
      </c>
      <c r="K4405" s="1" t="s">
        <v>20084</v>
      </c>
      <c r="L4405" s="1" t="s">
        <v>23483</v>
      </c>
      <c r="M4405" s="2" t="s">
        <v>12</v>
      </c>
      <c r="N4405" s="4">
        <f t="shared" si="1"/>
        <v>43413</v>
      </c>
      <c r="O4405" s="5" t="str">
        <f>IFERROR(__xludf.DUMMYFUNCTION("IF(REGEXMATCH(TRIM(I4405), ""^\d+\s*min""), ""Unclassified"", IF(I4405 = """", ""NR"", I4405))"),"TV-MA")</f>
        <v>TV-MA</v>
      </c>
      <c r="R4405" s="5" t="str">
        <f t="shared" si="2"/>
        <v>Medal Of Honor</v>
      </c>
      <c r="S4405" s="5" t="str">
        <f>IFERROR(__xludf.DUMMYFUNCTION("""COMPUTED_VALUE"""),"Mantra")</f>
        <v>Mantra</v>
      </c>
      <c r="U4405" s="5" t="str">
        <f>IFERROR(__xludf.DUMMYFUNCTION("""COMPUTED_VALUE"""),"David Shisgall")</f>
        <v>David Shisgall</v>
      </c>
      <c r="V4405" s="5" t="s">
        <v>23484</v>
      </c>
      <c r="W4405" s="5" t="str">
        <f t="shared" si="3"/>
        <v>Walerian Borowczyk</v>
      </c>
      <c r="X4405" s="5">
        <f t="shared" si="4"/>
        <v>1</v>
      </c>
      <c r="Y4405" s="5" t="str">
        <f>IFERROR(__xludf.DUMMYFUNCTION("REGEXEXTRACT(J4405, ""^\d+"")"),"1")</f>
        <v>1</v>
      </c>
      <c r="Z4405" s="5" t="str">
        <f>IFERROR(__xludf.DUMMYFUNCTION("REGEXEXTRACT(J4405, ""[A-Za-z ]+$"")")," Season")</f>
        <v> Season</v>
      </c>
      <c r="AA4405" s="5" t="str">
        <f>IFERROR(__xludf.DUMMYFUNCTION("IF(REGEXMATCH(Z4405, ""Season""), ""TV Show"", ""Movie"")"),"TV Show")</f>
        <v>TV Show</v>
      </c>
    </row>
    <row r="4406">
      <c r="A4406" s="1" t="s">
        <v>23485</v>
      </c>
      <c r="B4406" s="1" t="s">
        <v>27</v>
      </c>
      <c r="C4406" s="1" t="s">
        <v>23486</v>
      </c>
      <c r="D4406" s="1" t="s">
        <v>6030</v>
      </c>
      <c r="E4406" s="1" t="s">
        <v>23487</v>
      </c>
      <c r="F4406" s="1" t="s">
        <v>686</v>
      </c>
      <c r="G4406" s="1" t="s">
        <v>23473</v>
      </c>
      <c r="H4406" s="1">
        <v>2018.0</v>
      </c>
      <c r="I4406" s="1" t="s">
        <v>378</v>
      </c>
      <c r="J4406" s="1" t="s">
        <v>393</v>
      </c>
      <c r="K4406" s="1" t="s">
        <v>323</v>
      </c>
      <c r="L4406" s="1" t="s">
        <v>23488</v>
      </c>
      <c r="M4406" s="2" t="s">
        <v>12</v>
      </c>
      <c r="N4406" s="4">
        <f t="shared" si="1"/>
        <v>43413</v>
      </c>
      <c r="O4406" s="5" t="str">
        <f>IFERROR(__xludf.DUMMYFUNCTION("IF(REGEXMATCH(TRIM(I4406), ""^\d+\s*min""), ""Unclassified"", IF(I4406 = """", ""NR"", I4406))"),"R")</f>
        <v>R</v>
      </c>
      <c r="R4406" s="5" t="str">
        <f t="shared" si="2"/>
        <v>Outlaw King</v>
      </c>
      <c r="S4406" s="5" t="str">
        <f>IFERROR(__xludf.DUMMYFUNCTION("""COMPUTED_VALUE"""),"Manu")</f>
        <v>Manu</v>
      </c>
      <c r="U4406" s="5" t="str">
        <f>IFERROR(__xludf.DUMMYFUNCTION("""COMPUTED_VALUE"""),"Derek Hui")</f>
        <v>Derek Hui</v>
      </c>
      <c r="V4406" s="5" t="s">
        <v>23489</v>
      </c>
      <c r="W4406" s="5" t="str">
        <f t="shared" si="3"/>
        <v>Wally Pfister</v>
      </c>
      <c r="X4406" s="5">
        <f t="shared" si="4"/>
        <v>1</v>
      </c>
      <c r="Y4406" s="5" t="str">
        <f>IFERROR(__xludf.DUMMYFUNCTION("REGEXEXTRACT(J4406, ""^\d+"")"),"122")</f>
        <v>122</v>
      </c>
      <c r="Z4406" s="5" t="str">
        <f>IFERROR(__xludf.DUMMYFUNCTION("REGEXEXTRACT(J4406, ""[A-Za-z ]+$"")")," min")</f>
        <v> min</v>
      </c>
      <c r="AA4406" s="5" t="str">
        <f>IFERROR(__xludf.DUMMYFUNCTION("IF(REGEXMATCH(Z4406, ""Season""), ""TV Show"", ""Movie"")"),"Movie")</f>
        <v>Movie</v>
      </c>
    </row>
    <row r="4407">
      <c r="A4407" s="1" t="s">
        <v>23490</v>
      </c>
      <c r="B4407" s="1" t="s">
        <v>37</v>
      </c>
      <c r="C4407" s="1" t="s">
        <v>23491</v>
      </c>
      <c r="E4407" s="1" t="s">
        <v>23492</v>
      </c>
      <c r="F4407" s="1" t="s">
        <v>1992</v>
      </c>
      <c r="G4407" s="1" t="s">
        <v>23473</v>
      </c>
      <c r="H4407" s="1">
        <v>2018.0</v>
      </c>
      <c r="I4407" s="1" t="s">
        <v>42</v>
      </c>
      <c r="J4407" s="1" t="s">
        <v>51</v>
      </c>
      <c r="K4407" s="1" t="s">
        <v>1294</v>
      </c>
      <c r="L4407" s="1" t="s">
        <v>23493</v>
      </c>
      <c r="M4407" s="2" t="s">
        <v>12</v>
      </c>
      <c r="N4407" s="4">
        <f t="shared" si="1"/>
        <v>43413</v>
      </c>
      <c r="O4407" s="5" t="str">
        <f>IFERROR(__xludf.DUMMYFUNCTION("IF(REGEXMATCH(TRIM(I4407), ""^\d+\s*min""), ""Unclassified"", IF(I4407 = """", ""NR"", I4407))"),"TV-MA")</f>
        <v>TV-MA</v>
      </c>
      <c r="R4407" s="5" t="str">
        <f t="shared" si="2"/>
        <v>Super Drags</v>
      </c>
      <c r="S4407" s="5" t="str">
        <f>IFERROR(__xludf.DUMMYFUNCTION("""COMPUTED_VALUE"""),"Manusangada")</f>
        <v>Manusangada</v>
      </c>
      <c r="U4407" s="5" t="str">
        <f>IFERROR(__xludf.DUMMYFUNCTION("""COMPUTED_VALUE"""),"Wim Bonte")</f>
        <v>Wim Bonte</v>
      </c>
      <c r="V4407" s="5" t="s">
        <v>22715</v>
      </c>
      <c r="W4407" s="5" t="str">
        <f t="shared" si="3"/>
        <v>Walter C. Miller</v>
      </c>
      <c r="X4407" s="5">
        <f t="shared" si="4"/>
        <v>3</v>
      </c>
      <c r="Y4407" s="5" t="str">
        <f>IFERROR(__xludf.DUMMYFUNCTION("REGEXEXTRACT(J4407, ""^\d+"")"),"1")</f>
        <v>1</v>
      </c>
      <c r="Z4407" s="5" t="str">
        <f>IFERROR(__xludf.DUMMYFUNCTION("REGEXEXTRACT(J4407, ""[A-Za-z ]+$"")")," Season")</f>
        <v> Season</v>
      </c>
      <c r="AA4407" s="5" t="str">
        <f>IFERROR(__xludf.DUMMYFUNCTION("IF(REGEXMATCH(Z4407, ""Season""), ""TV Show"", ""Movie"")"),"TV Show")</f>
        <v>TV Show</v>
      </c>
    </row>
    <row r="4408">
      <c r="A4408" s="1" t="s">
        <v>23494</v>
      </c>
      <c r="B4408" s="1" t="s">
        <v>37</v>
      </c>
      <c r="C4408" s="1" t="s">
        <v>23495</v>
      </c>
      <c r="E4408" s="1" t="s">
        <v>23496</v>
      </c>
      <c r="F4408" s="1" t="s">
        <v>1837</v>
      </c>
      <c r="G4408" s="1" t="s">
        <v>23473</v>
      </c>
      <c r="H4408" s="1">
        <v>2018.0</v>
      </c>
      <c r="I4408" s="1" t="s">
        <v>42</v>
      </c>
      <c r="J4408" s="1" t="s">
        <v>51</v>
      </c>
      <c r="K4408" s="1" t="s">
        <v>785</v>
      </c>
      <c r="L4408" s="1" t="s">
        <v>23497</v>
      </c>
      <c r="M4408" s="2" t="s">
        <v>12</v>
      </c>
      <c r="N4408" s="4">
        <f t="shared" si="1"/>
        <v>43413</v>
      </c>
      <c r="O4408" s="5" t="str">
        <f>IFERROR(__xludf.DUMMYFUNCTION("IF(REGEXMATCH(TRIM(I4408), ""^\d+\s*min""), ""Unclassified"", IF(I4408 = """", ""NR"", I4408))"),"TV-MA")</f>
        <v>TV-MA</v>
      </c>
      <c r="R4408" s="5" t="str">
        <f t="shared" si="2"/>
        <v>The Queen Of Flow</v>
      </c>
      <c r="S4408" s="5" t="str">
        <f>IFERROR(__xludf.DUMMYFUNCTION("""COMPUTED_VALUE"""),"Maps To The Stars")</f>
        <v>Maps To The Stars</v>
      </c>
      <c r="U4408" s="5" t="str">
        <f>IFERROR(__xludf.DUMMYFUNCTION("""COMPUTED_VALUE"""),"Raam Reddy")</f>
        <v>Raam Reddy</v>
      </c>
      <c r="V4408" s="5" t="s">
        <v>3753</v>
      </c>
      <c r="W4408" s="5" t="str">
        <f t="shared" si="3"/>
        <v>Walter Hill</v>
      </c>
      <c r="X4408" s="5">
        <f t="shared" si="4"/>
        <v>3</v>
      </c>
      <c r="Y4408" s="5" t="str">
        <f>IFERROR(__xludf.DUMMYFUNCTION("REGEXEXTRACT(J4408, ""^\d+"")"),"1")</f>
        <v>1</v>
      </c>
      <c r="Z4408" s="5" t="str">
        <f>IFERROR(__xludf.DUMMYFUNCTION("REGEXEXTRACT(J4408, ""[A-Za-z ]+$"")")," Season")</f>
        <v> Season</v>
      </c>
      <c r="AA4408" s="5" t="str">
        <f>IFERROR(__xludf.DUMMYFUNCTION("IF(REGEXMATCH(Z4408, ""Season""), ""TV Show"", ""Movie"")"),"TV Show")</f>
        <v>TV Show</v>
      </c>
    </row>
    <row r="4409">
      <c r="A4409" s="1" t="s">
        <v>23498</v>
      </c>
      <c r="B4409" s="1" t="s">
        <v>37</v>
      </c>
      <c r="C4409" s="1" t="s">
        <v>23499</v>
      </c>
      <c r="E4409" s="1" t="s">
        <v>23500</v>
      </c>
      <c r="F4409" s="1" t="s">
        <v>15770</v>
      </c>
      <c r="G4409" s="1" t="s">
        <v>23473</v>
      </c>
      <c r="H4409" s="1">
        <v>2018.0</v>
      </c>
      <c r="I4409" s="1" t="s">
        <v>206</v>
      </c>
      <c r="J4409" s="1" t="s">
        <v>43</v>
      </c>
      <c r="K4409" s="1" t="s">
        <v>8248</v>
      </c>
      <c r="L4409" s="1" t="s">
        <v>23501</v>
      </c>
      <c r="M4409" s="2" t="s">
        <v>12</v>
      </c>
      <c r="N4409" s="4">
        <f t="shared" si="1"/>
        <v>43413</v>
      </c>
      <c r="O4409" s="5" t="str">
        <f>IFERROR(__xludf.DUMMYFUNCTION("IF(REGEXMATCH(TRIM(I4409), ""^\d+\s*min""), ""Unclassified"", IF(I4409 = """", ""NR"", I4409))"),"TV-Y")</f>
        <v>TV-Y</v>
      </c>
      <c r="R4409" s="5" t="str">
        <f t="shared" si="2"/>
        <v>Treehouse Detectives</v>
      </c>
      <c r="S4409" s="5" t="str">
        <f>IFERROR(__xludf.DUMMYFUNCTION("""COMPUTED_VALUE"""),"Mar De Plástico")</f>
        <v>Mar De Plástico</v>
      </c>
      <c r="U4409" s="5" t="str">
        <f>IFERROR(__xludf.DUMMYFUNCTION("""COMPUTED_VALUE"""),"Bin Bunluerit")</f>
        <v>Bin Bunluerit</v>
      </c>
      <c r="V4409" s="5" t="s">
        <v>7069</v>
      </c>
      <c r="W4409" s="5" t="str">
        <f t="shared" si="3"/>
        <v>Walter Taylaur</v>
      </c>
      <c r="X4409" s="5">
        <f t="shared" si="4"/>
        <v>2</v>
      </c>
      <c r="Y4409" s="5" t="str">
        <f>IFERROR(__xludf.DUMMYFUNCTION("REGEXEXTRACT(J4409, ""^\d+"")"),"2")</f>
        <v>2</v>
      </c>
      <c r="Z4409" s="5" t="str">
        <f>IFERROR(__xludf.DUMMYFUNCTION("REGEXEXTRACT(J4409, ""[A-Za-z ]+$"")")," Seasons")</f>
        <v> Seasons</v>
      </c>
      <c r="AA4409" s="5" t="str">
        <f>IFERROR(__xludf.DUMMYFUNCTION("IF(REGEXMATCH(Z4409, ""Season""), ""TV Show"", ""Movie"")"),"TV Show")</f>
        <v>TV Show</v>
      </c>
    </row>
    <row r="4410">
      <c r="A4410" s="1" t="s">
        <v>23502</v>
      </c>
      <c r="B4410" s="1" t="s">
        <v>37</v>
      </c>
      <c r="C4410" s="1" t="s">
        <v>23503</v>
      </c>
      <c r="F4410" s="1" t="s">
        <v>30</v>
      </c>
      <c r="G4410" s="1" t="s">
        <v>23473</v>
      </c>
      <c r="H4410" s="1">
        <v>2018.0</v>
      </c>
      <c r="I4410" s="1" t="s">
        <v>42</v>
      </c>
      <c r="J4410" s="1" t="s">
        <v>51</v>
      </c>
      <c r="K4410" s="1" t="s">
        <v>440</v>
      </c>
      <c r="L4410" s="1" t="s">
        <v>23504</v>
      </c>
      <c r="M4410" s="2" t="s">
        <v>12</v>
      </c>
      <c r="N4410" s="4">
        <f t="shared" si="1"/>
        <v>43413</v>
      </c>
      <c r="O4410" s="5" t="str">
        <f>IFERROR(__xludf.DUMMYFUNCTION("IF(REGEXMATCH(TRIM(I4410), ""^\d+\s*min""), ""Unclassified"", IF(I4410 = """", ""NR"", I4410))"),"TV-MA")</f>
        <v>TV-MA</v>
      </c>
      <c r="R4410" s="5" t="str">
        <f t="shared" si="2"/>
        <v>Westside</v>
      </c>
      <c r="S4410" s="5" t="str">
        <f>IFERROR(__xludf.DUMMYFUNCTION("""COMPUTED_VALUE"""),"Mara")</f>
        <v>Mara</v>
      </c>
      <c r="U4410" s="5" t="str">
        <f>IFERROR(__xludf.DUMMYFUNCTION("""COMPUTED_VALUE"""),"Benjamin Ross")</f>
        <v>Benjamin Ross</v>
      </c>
      <c r="V4410" s="5" t="s">
        <v>23505</v>
      </c>
      <c r="W4410" s="5" t="str">
        <f t="shared" si="3"/>
        <v>Warren P. Sonoda</v>
      </c>
      <c r="X4410" s="5">
        <f t="shared" si="4"/>
        <v>2</v>
      </c>
      <c r="Y4410" s="5" t="str">
        <f>IFERROR(__xludf.DUMMYFUNCTION("REGEXEXTRACT(J4410, ""^\d+"")"),"1")</f>
        <v>1</v>
      </c>
      <c r="Z4410" s="5" t="str">
        <f>IFERROR(__xludf.DUMMYFUNCTION("REGEXEXTRACT(J4410, ""[A-Za-z ]+$"")")," Season")</f>
        <v> Season</v>
      </c>
      <c r="AA4410" s="5" t="str">
        <f>IFERROR(__xludf.DUMMYFUNCTION("IF(REGEXMATCH(Z4410, ""Season""), ""TV Show"", ""Movie"")"),"TV Show")</f>
        <v>TV Show</v>
      </c>
    </row>
    <row r="4411">
      <c r="A4411" s="1" t="s">
        <v>23506</v>
      </c>
      <c r="B4411" s="1" t="s">
        <v>37</v>
      </c>
      <c r="C4411" s="1" t="s">
        <v>23507</v>
      </c>
      <c r="E4411" s="1" t="s">
        <v>23508</v>
      </c>
      <c r="F4411" s="1" t="s">
        <v>3217</v>
      </c>
      <c r="G4411" s="1" t="s">
        <v>23509</v>
      </c>
      <c r="H4411" s="1">
        <v>2017.0</v>
      </c>
      <c r="I4411" s="1" t="s">
        <v>42</v>
      </c>
      <c r="J4411" s="1" t="s">
        <v>51</v>
      </c>
      <c r="K4411" s="1" t="s">
        <v>23510</v>
      </c>
      <c r="L4411" s="1" t="s">
        <v>23511</v>
      </c>
      <c r="M4411" s="2" t="s">
        <v>12</v>
      </c>
      <c r="N4411" s="4">
        <f t="shared" si="1"/>
        <v>43412</v>
      </c>
      <c r="O4411" s="5" t="str">
        <f>IFERROR(__xludf.DUMMYFUNCTION("IF(REGEXMATCH(TRIM(I4411), ""^\d+\s*min""), ""Unclassified"", IF(I4411 = """", ""NR"", I4411))"),"TV-MA")</f>
        <v>TV-MA</v>
      </c>
      <c r="R4411" s="5" t="str">
        <f t="shared" si="2"/>
        <v>Transfers</v>
      </c>
      <c r="S4411" s="5" t="str">
        <f>IFERROR(__xludf.DUMMYFUNCTION("""COMPUTED_VALUE"""),"Maradona In Mexico")</f>
        <v>Maradona In Mexico</v>
      </c>
      <c r="U4411" s="5" t="str">
        <f>IFERROR(__xludf.DUMMYFUNCTION("""COMPUTED_VALUE"""),"Stephen Hopkins")</f>
        <v>Stephen Hopkins</v>
      </c>
      <c r="V4411" s="5" t="s">
        <v>18021</v>
      </c>
      <c r="W4411" s="5" t="str">
        <f t="shared" si="3"/>
        <v>Wash Westmoreland</v>
      </c>
      <c r="X4411" s="5">
        <f t="shared" si="4"/>
        <v>1</v>
      </c>
      <c r="Y4411" s="5" t="str">
        <f>IFERROR(__xludf.DUMMYFUNCTION("REGEXEXTRACT(J4411, ""^\d+"")"),"1")</f>
        <v>1</v>
      </c>
      <c r="Z4411" s="5" t="str">
        <f>IFERROR(__xludf.DUMMYFUNCTION("REGEXEXTRACT(J4411, ""[A-Za-z ]+$"")")," Season")</f>
        <v> Season</v>
      </c>
      <c r="AA4411" s="5" t="str">
        <f>IFERROR(__xludf.DUMMYFUNCTION("IF(REGEXMATCH(Z4411, ""Season""), ""TV Show"", ""Movie"")"),"TV Show")</f>
        <v>TV Show</v>
      </c>
    </row>
    <row r="4412">
      <c r="A4412" s="1" t="s">
        <v>23512</v>
      </c>
      <c r="B4412" s="1" t="s">
        <v>37</v>
      </c>
      <c r="C4412" s="1" t="s">
        <v>23513</v>
      </c>
      <c r="E4412" s="1" t="s">
        <v>23514</v>
      </c>
      <c r="F4412" s="1" t="s">
        <v>30</v>
      </c>
      <c r="G4412" s="1" t="s">
        <v>23515</v>
      </c>
      <c r="H4412" s="1">
        <v>2017.0</v>
      </c>
      <c r="I4412" s="1" t="s">
        <v>42</v>
      </c>
      <c r="J4412" s="1" t="s">
        <v>51</v>
      </c>
      <c r="K4412" s="1" t="s">
        <v>4118</v>
      </c>
      <c r="L4412" s="1" t="s">
        <v>23516</v>
      </c>
      <c r="M4412" s="2" t="s">
        <v>12</v>
      </c>
      <c r="N4412" s="4">
        <f t="shared" si="1"/>
        <v>43411</v>
      </c>
      <c r="O4412" s="5" t="str">
        <f>IFERROR(__xludf.DUMMYFUNCTION("IF(REGEXMATCH(TRIM(I4412), ""^\d+\s*min""), ""Unclassified"", IF(I4412 = """", ""NR"", I4412))"),"TV-MA")</f>
        <v>TV-MA</v>
      </c>
      <c r="R4412" s="5" t="str">
        <f t="shared" si="2"/>
        <v>Damnation</v>
      </c>
      <c r="S4412" s="5" t="str">
        <f>IFERROR(__xludf.DUMMYFUNCTION("""COMPUTED_VALUE"""),"Marauders")</f>
        <v>Marauders</v>
      </c>
      <c r="U4412" s="5" t="str">
        <f>IFERROR(__xludf.DUMMYFUNCTION("""COMPUTED_VALUE"""),"Jordan Ross")</f>
        <v>Jordan Ross</v>
      </c>
      <c r="V4412" s="5" t="s">
        <v>23517</v>
      </c>
      <c r="W4412" s="5" t="str">
        <f t="shared" si="3"/>
        <v>Waymon Boone</v>
      </c>
      <c r="X4412" s="5">
        <f t="shared" si="4"/>
        <v>1</v>
      </c>
      <c r="Y4412" s="5" t="str">
        <f>IFERROR(__xludf.DUMMYFUNCTION("REGEXEXTRACT(J4412, ""^\d+"")"),"1")</f>
        <v>1</v>
      </c>
      <c r="Z4412" s="5" t="str">
        <f>IFERROR(__xludf.DUMMYFUNCTION("REGEXEXTRACT(J4412, ""[A-Za-z ]+$"")")," Season")</f>
        <v> Season</v>
      </c>
      <c r="AA4412" s="5" t="str">
        <f>IFERROR(__xludf.DUMMYFUNCTION("IF(REGEXMATCH(Z4412, ""Season""), ""TV Show"", ""Movie"")"),"TV Show")</f>
        <v>TV Show</v>
      </c>
    </row>
    <row r="4413">
      <c r="A4413" s="1" t="s">
        <v>23518</v>
      </c>
      <c r="B4413" s="1" t="s">
        <v>27</v>
      </c>
      <c r="C4413" s="1" t="s">
        <v>23519</v>
      </c>
      <c r="D4413" s="1" t="s">
        <v>22300</v>
      </c>
      <c r="E4413" s="1" t="s">
        <v>23520</v>
      </c>
      <c r="F4413" s="1" t="s">
        <v>63</v>
      </c>
      <c r="G4413" s="1" t="s">
        <v>23521</v>
      </c>
      <c r="H4413" s="1">
        <v>2018.0</v>
      </c>
      <c r="I4413" s="1" t="s">
        <v>97</v>
      </c>
      <c r="J4413" s="1" t="s">
        <v>1273</v>
      </c>
      <c r="K4413" s="1" t="s">
        <v>128</v>
      </c>
      <c r="L4413" s="1" t="s">
        <v>23522</v>
      </c>
      <c r="M4413" s="2" t="s">
        <v>12</v>
      </c>
      <c r="N4413" s="4">
        <f t="shared" si="1"/>
        <v>43409</v>
      </c>
      <c r="O4413" s="5" t="str">
        <f>IFERROR(__xludf.DUMMYFUNCTION("IF(REGEXMATCH(TRIM(I4413), ""^\d+\s*min""), ""Unclassified"", IF(I4413 = """", ""NR"", I4413))"),"TV-14")</f>
        <v>TV-14</v>
      </c>
      <c r="R4413" s="5" t="str">
        <f t="shared" si="2"/>
        <v>Bucket List</v>
      </c>
      <c r="S4413" s="5" t="str">
        <f>IFERROR(__xludf.DUMMYFUNCTION("""COMPUTED_VALUE"""),"Marc Maron: End Times Fun")</f>
        <v>Marc Maron: End Times Fun</v>
      </c>
      <c r="U4413" s="5" t="str">
        <f>IFERROR(__xludf.DUMMYFUNCTION("""COMPUTED_VALUE"""),"William Wyler, John Sturges")</f>
        <v>William Wyler, John Sturges</v>
      </c>
      <c r="V4413" s="5" t="s">
        <v>12012</v>
      </c>
      <c r="W4413" s="5" t="str">
        <f t="shared" si="3"/>
        <v>Wayne Blair</v>
      </c>
      <c r="X4413" s="5">
        <f t="shared" si="4"/>
        <v>2</v>
      </c>
      <c r="Y4413" s="5" t="str">
        <f>IFERROR(__xludf.DUMMYFUNCTION("REGEXEXTRACT(J4413, ""^\d+"")"),"129")</f>
        <v>129</v>
      </c>
      <c r="Z4413" s="5" t="str">
        <f>IFERROR(__xludf.DUMMYFUNCTION("REGEXEXTRACT(J4413, ""[A-Za-z ]+$"")")," min")</f>
        <v> min</v>
      </c>
      <c r="AA4413" s="5" t="str">
        <f>IFERROR(__xludf.DUMMYFUNCTION("IF(REGEXMATCH(Z4413, ""Season""), ""TV Show"", ""Movie"")"),"Movie")</f>
        <v>Movie</v>
      </c>
    </row>
    <row r="4414">
      <c r="A4414" s="1" t="s">
        <v>23523</v>
      </c>
      <c r="B4414" s="1" t="s">
        <v>27</v>
      </c>
      <c r="C4414" s="1" t="s">
        <v>23524</v>
      </c>
      <c r="E4414" s="1" t="s">
        <v>23525</v>
      </c>
      <c r="F4414" s="1" t="s">
        <v>30</v>
      </c>
      <c r="G4414" s="1" t="s">
        <v>23521</v>
      </c>
      <c r="H4414" s="1">
        <v>2018.0</v>
      </c>
      <c r="I4414" s="1" t="s">
        <v>42</v>
      </c>
      <c r="J4414" s="1" t="s">
        <v>33</v>
      </c>
      <c r="K4414" s="1" t="s">
        <v>1839</v>
      </c>
      <c r="L4414" s="1" t="s">
        <v>23526</v>
      </c>
      <c r="M4414" s="2" t="s">
        <v>12</v>
      </c>
      <c r="N4414" s="4">
        <f t="shared" si="1"/>
        <v>43409</v>
      </c>
      <c r="O4414" s="5" t="str">
        <f>IFERROR(__xludf.DUMMYFUNCTION("IF(REGEXMATCH(TRIM(I4414), ""^\d+\s*min""), ""Unclassified"", IF(I4414 = """", ""NR"", I4414))"),"TV-MA")</f>
        <v>TV-MA</v>
      </c>
      <c r="R4414" s="5" t="str">
        <f t="shared" si="2"/>
        <v>John Leguizamo'S Latin History For Morons</v>
      </c>
      <c r="S4414" s="5" t="str">
        <f>IFERROR(__xludf.DUMMYFUNCTION("""COMPUTED_VALUE"""),"Marc Maron: Thinky Pain")</f>
        <v>Marc Maron: Thinky Pain</v>
      </c>
      <c r="U4414" s="5" t="str">
        <f>IFERROR(__xludf.DUMMYFUNCTION("""COMPUTED_VALUE"""),"Li Jun")</f>
        <v>Li Jun</v>
      </c>
      <c r="V4414" s="5" t="s">
        <v>10023</v>
      </c>
      <c r="W4414" s="5" t="str">
        <f t="shared" si="3"/>
        <v>Weica Wang</v>
      </c>
      <c r="X4414" s="5">
        <f t="shared" si="4"/>
        <v>1</v>
      </c>
      <c r="Y4414" s="5" t="str">
        <f>IFERROR(__xludf.DUMMYFUNCTION("REGEXEXTRACT(J4414, ""^\d+"")"),"90")</f>
        <v>90</v>
      </c>
      <c r="Z4414" s="5" t="str">
        <f>IFERROR(__xludf.DUMMYFUNCTION("REGEXEXTRACT(J4414, ""[A-Za-z ]+$"")")," min")</f>
        <v> min</v>
      </c>
      <c r="AA4414" s="5" t="str">
        <f>IFERROR(__xludf.DUMMYFUNCTION("IF(REGEXMATCH(Z4414, ""Season""), ""TV Show"", ""Movie"")"),"Movie")</f>
        <v>Movie</v>
      </c>
    </row>
    <row r="4415">
      <c r="A4415" s="1" t="s">
        <v>23527</v>
      </c>
      <c r="B4415" s="1" t="s">
        <v>37</v>
      </c>
      <c r="C4415" s="1" t="s">
        <v>23528</v>
      </c>
      <c r="E4415" s="1" t="s">
        <v>23529</v>
      </c>
      <c r="F4415" s="1" t="s">
        <v>3321</v>
      </c>
      <c r="G4415" s="1" t="s">
        <v>23530</v>
      </c>
      <c r="H4415" s="1">
        <v>2003.0</v>
      </c>
      <c r="I4415" s="1" t="s">
        <v>97</v>
      </c>
      <c r="J4415" s="1" t="s">
        <v>1809</v>
      </c>
      <c r="K4415" s="1" t="s">
        <v>1294</v>
      </c>
      <c r="L4415" s="1" t="s">
        <v>23531</v>
      </c>
      <c r="M4415" s="2" t="s">
        <v>12</v>
      </c>
      <c r="N4415" s="4">
        <f t="shared" si="1"/>
        <v>43407</v>
      </c>
      <c r="O4415" s="5" t="str">
        <f>IFERROR(__xludf.DUMMYFUNCTION("IF(REGEXMATCH(TRIM(I4415), ""^\d+\s*min""), ""Unclassified"", IF(I4415 = """", ""NR"", I4415))"),"TV-14")</f>
        <v>TV-14</v>
      </c>
      <c r="R4415" s="5" t="str">
        <f t="shared" si="2"/>
        <v>Kopitiam</v>
      </c>
      <c r="S4415" s="5" t="str">
        <f>IFERROR(__xludf.DUMMYFUNCTION("""COMPUTED_VALUE"""),"Marc Maron: Too Real")</f>
        <v>Marc Maron: Too Real</v>
      </c>
      <c r="U4415" s="5" t="str">
        <f>IFERROR(__xludf.DUMMYFUNCTION("""COMPUTED_VALUE"""),"Steve Loter")</f>
        <v>Steve Loter</v>
      </c>
      <c r="V4415" s="5" t="s">
        <v>23532</v>
      </c>
      <c r="W4415" s="5" t="str">
        <f t="shared" si="3"/>
        <v>Wendy Jo Carlton</v>
      </c>
      <c r="X4415" s="5">
        <f t="shared" si="4"/>
        <v>1</v>
      </c>
      <c r="Y4415" s="5" t="str">
        <f>IFERROR(__xludf.DUMMYFUNCTION("REGEXEXTRACT(J4415, ""^\d+"")"),"7")</f>
        <v>7</v>
      </c>
      <c r="Z4415" s="5" t="str">
        <f>IFERROR(__xludf.DUMMYFUNCTION("REGEXEXTRACT(J4415, ""[A-Za-z ]+$"")")," Seasons")</f>
        <v> Seasons</v>
      </c>
      <c r="AA4415" s="5" t="str">
        <f>IFERROR(__xludf.DUMMYFUNCTION("IF(REGEXMATCH(Z4415, ""Season""), ""TV Show"", ""Movie"")"),"TV Show")</f>
        <v>TV Show</v>
      </c>
    </row>
    <row r="4416">
      <c r="A4416" s="1" t="s">
        <v>23533</v>
      </c>
      <c r="B4416" s="1" t="s">
        <v>27</v>
      </c>
      <c r="C4416" s="1" t="s">
        <v>23534</v>
      </c>
      <c r="D4416" s="1" t="s">
        <v>15145</v>
      </c>
      <c r="E4416" s="1" t="s">
        <v>23535</v>
      </c>
      <c r="F4416" s="1" t="s">
        <v>1992</v>
      </c>
      <c r="G4416" s="1" t="s">
        <v>23536</v>
      </c>
      <c r="H4416" s="1">
        <v>2018.0</v>
      </c>
      <c r="I4416" s="1" t="s">
        <v>42</v>
      </c>
      <c r="J4416" s="1" t="s">
        <v>349</v>
      </c>
      <c r="K4416" s="1" t="s">
        <v>8160</v>
      </c>
      <c r="L4416" s="1" t="s">
        <v>23537</v>
      </c>
      <c r="M4416" s="2" t="s">
        <v>12</v>
      </c>
      <c r="N4416" s="4">
        <f t="shared" si="1"/>
        <v>43406</v>
      </c>
      <c r="O4416" s="5" t="str">
        <f>IFERROR(__xludf.DUMMYFUNCTION("IF(REGEXMATCH(TRIM(I4416), ""^\d+\s*min""), ""Unclassified"", IF(I4416 = """", ""NR"", I4416))"),"TV-MA")</f>
        <v>TV-MA</v>
      </c>
      <c r="R4416" s="5" t="str">
        <f t="shared" si="2"/>
        <v>Ana E Vitória</v>
      </c>
      <c r="S4416" s="5" t="str">
        <f>IFERROR(__xludf.DUMMYFUNCTION("""COMPUTED_VALUE"""),"Marcella")</f>
        <v>Marcella</v>
      </c>
      <c r="U4416" s="5" t="str">
        <f>IFERROR(__xludf.DUMMYFUNCTION("""COMPUTED_VALUE"""),"Sonny Marler")</f>
        <v>Sonny Marler</v>
      </c>
      <c r="V4416" s="5" t="s">
        <v>21541</v>
      </c>
      <c r="W4416" s="5" t="str">
        <f t="shared" si="3"/>
        <v>Wenn V. Deramas</v>
      </c>
      <c r="X4416" s="5">
        <f t="shared" si="4"/>
        <v>6</v>
      </c>
      <c r="Y4416" s="5" t="str">
        <f>IFERROR(__xludf.DUMMYFUNCTION("REGEXEXTRACT(J4416, ""^\d+"")"),"116")</f>
        <v>116</v>
      </c>
      <c r="Z4416" s="5" t="str">
        <f>IFERROR(__xludf.DUMMYFUNCTION("REGEXEXTRACT(J4416, ""[A-Za-z ]+$"")")," min")</f>
        <v> min</v>
      </c>
      <c r="AA4416" s="5" t="str">
        <f>IFERROR(__xludf.DUMMYFUNCTION("IF(REGEXMATCH(Z4416, ""Season""), ""TV Show"", ""Movie"")"),"Movie")</f>
        <v>Movie</v>
      </c>
    </row>
    <row r="4417">
      <c r="A4417" s="1" t="s">
        <v>23538</v>
      </c>
      <c r="B4417" s="1" t="s">
        <v>37</v>
      </c>
      <c r="C4417" s="1" t="s">
        <v>23539</v>
      </c>
      <c r="E4417" s="1" t="s">
        <v>23540</v>
      </c>
      <c r="G4417" s="1" t="s">
        <v>23536</v>
      </c>
      <c r="H4417" s="1">
        <v>2018.0</v>
      </c>
      <c r="I4417" s="1" t="s">
        <v>506</v>
      </c>
      <c r="J4417" s="1" t="s">
        <v>51</v>
      </c>
      <c r="K4417" s="1" t="s">
        <v>290</v>
      </c>
      <c r="L4417" s="1" t="s">
        <v>23541</v>
      </c>
      <c r="M4417" s="2" t="s">
        <v>12</v>
      </c>
      <c r="N4417" s="4">
        <f t="shared" si="1"/>
        <v>43406</v>
      </c>
      <c r="O4417" s="5" t="str">
        <f>IFERROR(__xludf.DUMMYFUNCTION("IF(REGEXMATCH(TRIM(I4417), ""^\d+\s*min""), ""Unclassified"", IF(I4417 = """", ""NR"", I4417))"),"TV-G")</f>
        <v>TV-G</v>
      </c>
      <c r="R4417" s="5" t="str">
        <f t="shared" si="2"/>
        <v>Brainchild</v>
      </c>
      <c r="S4417" s="5" t="str">
        <f>IFERROR(__xludf.DUMMYFUNCTION("""COMPUTED_VALUE"""),"March Comes In Like A Lion")</f>
        <v>March Comes In Like A Lion</v>
      </c>
      <c r="U4417" s="5" t="str">
        <f>IFERROR(__xludf.DUMMYFUNCTION("""COMPUTED_VALUE"""),"Edward Ellis, Flor Salcedo, Aaron Woolf")</f>
        <v>Edward Ellis, Flor Salcedo, Aaron Woolf</v>
      </c>
      <c r="V4417" s="5" t="s">
        <v>23542</v>
      </c>
      <c r="W4417" s="5" t="str">
        <f t="shared" si="3"/>
        <v>Werner Herzog</v>
      </c>
      <c r="X4417" s="5">
        <f t="shared" si="4"/>
        <v>4</v>
      </c>
      <c r="Y4417" s="5" t="str">
        <f>IFERROR(__xludf.DUMMYFUNCTION("REGEXEXTRACT(J4417, ""^\d+"")"),"1")</f>
        <v>1</v>
      </c>
      <c r="Z4417" s="5" t="str">
        <f>IFERROR(__xludf.DUMMYFUNCTION("REGEXEXTRACT(J4417, ""[A-Za-z ]+$"")")," Season")</f>
        <v> Season</v>
      </c>
      <c r="AA4417" s="5" t="str">
        <f>IFERROR(__xludf.DUMMYFUNCTION("IF(REGEXMATCH(Z4417, ""Season""), ""TV Show"", ""Movie"")"),"TV Show")</f>
        <v>TV Show</v>
      </c>
    </row>
    <row r="4418">
      <c r="A4418" s="1" t="s">
        <v>23543</v>
      </c>
      <c r="B4418" s="1" t="s">
        <v>27</v>
      </c>
      <c r="C4418" s="1" t="s">
        <v>23544</v>
      </c>
      <c r="D4418" s="1" t="s">
        <v>20446</v>
      </c>
      <c r="F4418" s="1" t="s">
        <v>30</v>
      </c>
      <c r="G4418" s="1" t="s">
        <v>23536</v>
      </c>
      <c r="H4418" s="1">
        <v>2018.0</v>
      </c>
      <c r="I4418" s="1" t="s">
        <v>97</v>
      </c>
      <c r="J4418" s="1" t="s">
        <v>1847</v>
      </c>
      <c r="K4418" s="1" t="s">
        <v>700</v>
      </c>
      <c r="L4418" s="1" t="s">
        <v>23545</v>
      </c>
      <c r="M4418" s="2" t="s">
        <v>12</v>
      </c>
      <c r="N4418" s="4">
        <f t="shared" si="1"/>
        <v>43406</v>
      </c>
      <c r="O4418" s="5" t="str">
        <f>IFERROR(__xludf.DUMMYFUNCTION("IF(REGEXMATCH(TRIM(I4418), ""^\d+\s*min""), ""Unclassified"", IF(I4418 = """", ""NR"", I4418))"),"TV-14")</f>
        <v>TV-14</v>
      </c>
      <c r="R4418" s="5" t="str">
        <f t="shared" si="2"/>
        <v>Remastered: Tricky Dick &amp; The Man In Black</v>
      </c>
      <c r="S4418" s="5" t="str">
        <f>IFERROR(__xludf.DUMMYFUNCTION("""COMPUTED_VALUE"""),"Marching Orders")</f>
        <v>Marching Orders</v>
      </c>
      <c r="U4418" s="5" t="str">
        <f>IFERROR(__xludf.DUMMYFUNCTION("""COMPUTED_VALUE"""),"Beeban Kidron")</f>
        <v>Beeban Kidron</v>
      </c>
      <c r="V4418" s="5" t="s">
        <v>23546</v>
      </c>
      <c r="W4418" s="5" t="str">
        <f t="shared" si="3"/>
        <v>Wes Craven</v>
      </c>
      <c r="X4418" s="5">
        <f t="shared" si="4"/>
        <v>2</v>
      </c>
      <c r="Y4418" s="5" t="str">
        <f>IFERROR(__xludf.DUMMYFUNCTION("REGEXEXTRACT(J4418, ""^\d+"")"),"59")</f>
        <v>59</v>
      </c>
      <c r="Z4418" s="5" t="str">
        <f>IFERROR(__xludf.DUMMYFUNCTION("REGEXEXTRACT(J4418, ""[A-Za-z ]+$"")")," min")</f>
        <v> min</v>
      </c>
      <c r="AA4418" s="5" t="str">
        <f>IFERROR(__xludf.DUMMYFUNCTION("IF(REGEXMATCH(Z4418, ""Season""), ""TV Show"", ""Movie"")"),"Movie")</f>
        <v>Movie</v>
      </c>
    </row>
    <row r="4419">
      <c r="A4419" s="1" t="s">
        <v>23547</v>
      </c>
      <c r="B4419" s="1" t="s">
        <v>27</v>
      </c>
      <c r="C4419" s="1" t="s">
        <v>23548</v>
      </c>
      <c r="D4419" s="1" t="s">
        <v>3634</v>
      </c>
      <c r="E4419" s="1" t="s">
        <v>23549</v>
      </c>
      <c r="F4419" s="1" t="s">
        <v>30</v>
      </c>
      <c r="G4419" s="1" t="s">
        <v>23536</v>
      </c>
      <c r="H4419" s="1">
        <v>2018.0</v>
      </c>
      <c r="I4419" s="1" t="s">
        <v>506</v>
      </c>
      <c r="J4419" s="1" t="s">
        <v>465</v>
      </c>
      <c r="K4419" s="1" t="s">
        <v>828</v>
      </c>
      <c r="L4419" s="1" t="s">
        <v>23550</v>
      </c>
      <c r="M4419" s="2" t="s">
        <v>12</v>
      </c>
      <c r="N4419" s="4">
        <f t="shared" si="1"/>
        <v>43406</v>
      </c>
      <c r="O4419" s="5" t="str">
        <f>IFERROR(__xludf.DUMMYFUNCTION("IF(REGEXMATCH(TRIM(I4419), ""^\d+\s*min""), ""Unclassified"", IF(I4419 = """", ""NR"", I4419))"),"TV-G")</f>
        <v>TV-G</v>
      </c>
      <c r="R4419" s="5" t="str">
        <f t="shared" si="2"/>
        <v>The Holiday Calendar</v>
      </c>
      <c r="S4419" s="5" t="str">
        <f>IFERROR(__xludf.DUMMYFUNCTION("""COMPUTED_VALUE"""),"Marco Luque: Tamo Junto")</f>
        <v>Marco Luque: Tamo Junto</v>
      </c>
      <c r="U4419" s="5" t="str">
        <f>IFERROR(__xludf.DUMMYFUNCTION("""COMPUTED_VALUE"""),"Michael Cumming")</f>
        <v>Michael Cumming</v>
      </c>
      <c r="V4419" s="5" t="s">
        <v>19453</v>
      </c>
      <c r="W4419" s="5" t="str">
        <f t="shared" si="3"/>
        <v>White Trash Tyler</v>
      </c>
      <c r="X4419" s="5">
        <f t="shared" si="4"/>
        <v>1</v>
      </c>
      <c r="Y4419" s="5" t="str">
        <f>IFERROR(__xludf.DUMMYFUNCTION("REGEXEXTRACT(J4419, ""^\d+"")"),"95")</f>
        <v>95</v>
      </c>
      <c r="Z4419" s="5" t="str">
        <f>IFERROR(__xludf.DUMMYFUNCTION("REGEXEXTRACT(J4419, ""[A-Za-z ]+$"")")," min")</f>
        <v> min</v>
      </c>
      <c r="AA4419" s="5" t="str">
        <f>IFERROR(__xludf.DUMMYFUNCTION("IF(REGEXMATCH(Z4419, ""Season""), ""TV Show"", ""Movie"")"),"Movie")</f>
        <v>Movie</v>
      </c>
    </row>
    <row r="4420">
      <c r="A4420" s="1" t="s">
        <v>23551</v>
      </c>
      <c r="B4420" s="1" t="s">
        <v>27</v>
      </c>
      <c r="C4420" s="1" t="s">
        <v>23552</v>
      </c>
      <c r="D4420" s="1" t="s">
        <v>17340</v>
      </c>
      <c r="E4420" s="1" t="s">
        <v>23553</v>
      </c>
      <c r="F4420" s="1" t="s">
        <v>23554</v>
      </c>
      <c r="G4420" s="1" t="s">
        <v>23536</v>
      </c>
      <c r="H4420" s="1">
        <v>2018.0</v>
      </c>
      <c r="I4420" s="1" t="s">
        <v>378</v>
      </c>
      <c r="J4420" s="1" t="s">
        <v>393</v>
      </c>
      <c r="K4420" s="1" t="s">
        <v>1767</v>
      </c>
      <c r="L4420" s="1" t="s">
        <v>23555</v>
      </c>
      <c r="M4420" s="2" t="s">
        <v>12</v>
      </c>
      <c r="N4420" s="4">
        <f t="shared" si="1"/>
        <v>43406</v>
      </c>
      <c r="O4420" s="5" t="str">
        <f>IFERROR(__xludf.DUMMYFUNCTION("IF(REGEXMATCH(TRIM(I4420), ""^\d+\s*min""), ""Unclassified"", IF(I4420 = """", ""NR"", I4420))"),"R")</f>
        <v>R</v>
      </c>
      <c r="R4420" s="5" t="str">
        <f t="shared" si="2"/>
        <v>The Other Side Of The Wind</v>
      </c>
      <c r="S4420" s="5" t="str">
        <f>IFERROR(__xludf.DUMMYFUNCTION("""COMPUTED_VALUE"""),"Marco Polo")</f>
        <v>Marco Polo</v>
      </c>
      <c r="U4420" s="5" t="str">
        <f>IFERROR(__xludf.DUMMYFUNCTION("""COMPUTED_VALUE"""),"Kyoko Miyake")</f>
        <v>Kyoko Miyake</v>
      </c>
      <c r="V4420" s="5" t="s">
        <v>20005</v>
      </c>
      <c r="W4420" s="5" t="str">
        <f t="shared" si="3"/>
        <v>Wi Ding Ho</v>
      </c>
      <c r="X4420" s="5">
        <f t="shared" si="4"/>
        <v>1</v>
      </c>
      <c r="Y4420" s="5" t="str">
        <f>IFERROR(__xludf.DUMMYFUNCTION("REGEXEXTRACT(J4420, ""^\d+"")"),"122")</f>
        <v>122</v>
      </c>
      <c r="Z4420" s="5" t="str">
        <f>IFERROR(__xludf.DUMMYFUNCTION("REGEXEXTRACT(J4420, ""[A-Za-z ]+$"")")," min")</f>
        <v> min</v>
      </c>
      <c r="AA4420" s="5" t="str">
        <f>IFERROR(__xludf.DUMMYFUNCTION("IF(REGEXMATCH(Z4420, ""Season""), ""TV Show"", ""Movie"")"),"Movie")</f>
        <v>Movie</v>
      </c>
    </row>
    <row r="4421">
      <c r="A4421" s="1" t="s">
        <v>23556</v>
      </c>
      <c r="B4421" s="1" t="s">
        <v>27</v>
      </c>
      <c r="C4421" s="1" t="s">
        <v>23557</v>
      </c>
      <c r="D4421" s="1" t="s">
        <v>16317</v>
      </c>
      <c r="E4421" s="1" t="s">
        <v>23558</v>
      </c>
      <c r="F4421" s="1" t="s">
        <v>30</v>
      </c>
      <c r="G4421" s="1" t="s">
        <v>23536</v>
      </c>
      <c r="H4421" s="1">
        <v>2018.0</v>
      </c>
      <c r="I4421" s="1" t="s">
        <v>42</v>
      </c>
      <c r="J4421" s="1" t="s">
        <v>357</v>
      </c>
      <c r="K4421" s="1" t="s">
        <v>34</v>
      </c>
      <c r="L4421" s="1" t="s">
        <v>23559</v>
      </c>
      <c r="M4421" s="2" t="s">
        <v>12</v>
      </c>
      <c r="N4421" s="4">
        <f t="shared" si="1"/>
        <v>43406</v>
      </c>
      <c r="O4421" s="5" t="str">
        <f>IFERROR(__xludf.DUMMYFUNCTION("IF(REGEXMATCH(TRIM(I4421), ""^\d+\s*min""), ""Unclassified"", IF(I4421 = """", ""NR"", I4421))"),"TV-MA")</f>
        <v>TV-MA</v>
      </c>
      <c r="R4421" s="5" t="str">
        <f t="shared" si="2"/>
        <v>They’Ll Love Me When I’M Dead</v>
      </c>
      <c r="S4421" s="5" t="str">
        <f>IFERROR(__xludf.DUMMYFUNCTION("""COMPUTED_VALUE"""),"Marco Polo: One Hundred Eyes")</f>
        <v>Marco Polo: One Hundred Eyes</v>
      </c>
      <c r="U4421" s="5" t="str">
        <f>IFERROR(__xludf.DUMMYFUNCTION("""COMPUTED_VALUE"""),"Phil Roman")</f>
        <v>Phil Roman</v>
      </c>
      <c r="V4421" s="5" t="s">
        <v>23560</v>
      </c>
      <c r="W4421" s="5" t="str">
        <f t="shared" si="3"/>
        <v>Will Allen</v>
      </c>
      <c r="X4421" s="5">
        <f t="shared" si="4"/>
        <v>1</v>
      </c>
      <c r="Y4421" s="5" t="str">
        <f>IFERROR(__xludf.DUMMYFUNCTION("REGEXEXTRACT(J4421, ""^\d+"")"),"98")</f>
        <v>98</v>
      </c>
      <c r="Z4421" s="5" t="str">
        <f>IFERROR(__xludf.DUMMYFUNCTION("REGEXEXTRACT(J4421, ""[A-Za-z ]+$"")")," min")</f>
        <v> min</v>
      </c>
      <c r="AA4421" s="5" t="str">
        <f>IFERROR(__xludf.DUMMYFUNCTION("IF(REGEXMATCH(Z4421, ""Season""), ""TV Show"", ""Movie"")"),"Movie")</f>
        <v>Movie</v>
      </c>
    </row>
    <row r="4422">
      <c r="A4422" s="1" t="s">
        <v>23561</v>
      </c>
      <c r="B4422" s="1" t="s">
        <v>27</v>
      </c>
      <c r="C4422" s="1" t="s">
        <v>23562</v>
      </c>
      <c r="D4422" s="1" t="s">
        <v>9624</v>
      </c>
      <c r="E4422" s="1" t="s">
        <v>23563</v>
      </c>
      <c r="F4422" s="1" t="s">
        <v>63</v>
      </c>
      <c r="G4422" s="1" t="s">
        <v>23564</v>
      </c>
      <c r="H4422" s="1">
        <v>2009.0</v>
      </c>
      <c r="I4422" s="1" t="s">
        <v>97</v>
      </c>
      <c r="J4422" s="1" t="s">
        <v>743</v>
      </c>
      <c r="K4422" s="1" t="s">
        <v>230</v>
      </c>
      <c r="L4422" s="1" t="s">
        <v>23565</v>
      </c>
      <c r="M4422" s="2" t="s">
        <v>12</v>
      </c>
      <c r="N4422" s="4">
        <f t="shared" si="1"/>
        <v>43405</v>
      </c>
      <c r="O4422" s="5" t="str">
        <f>IFERROR(__xludf.DUMMYFUNCTION("IF(REGEXMATCH(TRIM(I4422), ""^\d+\s*min""), ""Unclassified"", IF(I4422 = """", ""NR"", I4422))"),"TV-14")</f>
        <v>TV-14</v>
      </c>
      <c r="R4422" s="5" t="str">
        <f t="shared" si="2"/>
        <v>Aagey Se Right</v>
      </c>
      <c r="S4422" s="5" t="str">
        <f>IFERROR(__xludf.DUMMYFUNCTION("""COMPUTED_VALUE"""),"Maria")</f>
        <v>Maria</v>
      </c>
      <c r="U4422" s="5" t="str">
        <f>IFERROR(__xludf.DUMMYFUNCTION("""COMPUTED_VALUE"""),"Roger Spottiswoode")</f>
        <v>Roger Spottiswoode</v>
      </c>
      <c r="V4422" s="5" t="s">
        <v>23566</v>
      </c>
      <c r="W4422" s="5" t="str">
        <f t="shared" si="3"/>
        <v>Will Canon</v>
      </c>
      <c r="X4422" s="5">
        <f t="shared" si="4"/>
        <v>1</v>
      </c>
      <c r="Y4422" s="5" t="str">
        <f>IFERROR(__xludf.DUMMYFUNCTION("REGEXEXTRACT(J4422, ""^\d+"")"),"117")</f>
        <v>117</v>
      </c>
      <c r="Z4422" s="5" t="str">
        <f>IFERROR(__xludf.DUMMYFUNCTION("REGEXEXTRACT(J4422, ""[A-Za-z ]+$"")")," min")</f>
        <v> min</v>
      </c>
      <c r="AA4422" s="5" t="str">
        <f>IFERROR(__xludf.DUMMYFUNCTION("IF(REGEXMATCH(Z4422, ""Season""), ""TV Show"", ""Movie"")"),"Movie")</f>
        <v>Movie</v>
      </c>
    </row>
    <row r="4423">
      <c r="A4423" s="1" t="s">
        <v>23567</v>
      </c>
      <c r="B4423" s="1" t="s">
        <v>27</v>
      </c>
      <c r="C4423" s="1" t="s">
        <v>23568</v>
      </c>
      <c r="D4423" s="1" t="s">
        <v>18629</v>
      </c>
      <c r="E4423" s="1" t="s">
        <v>23569</v>
      </c>
      <c r="F4423" s="1" t="s">
        <v>63</v>
      </c>
      <c r="G4423" s="1" t="s">
        <v>23564</v>
      </c>
      <c r="H4423" s="1">
        <v>2008.0</v>
      </c>
      <c r="I4423" s="1" t="s">
        <v>97</v>
      </c>
      <c r="J4423" s="1" t="s">
        <v>465</v>
      </c>
      <c r="K4423" s="1" t="s">
        <v>631</v>
      </c>
      <c r="L4423" s="1" t="s">
        <v>23570</v>
      </c>
      <c r="M4423" s="2" t="s">
        <v>12</v>
      </c>
      <c r="N4423" s="4">
        <f t="shared" si="1"/>
        <v>43405</v>
      </c>
      <c r="O4423" s="5" t="str">
        <f>IFERROR(__xludf.DUMMYFUNCTION("IF(REGEXMATCH(TRIM(I4423), ""^\d+\s*min""), ""Unclassified"", IF(I4423 = """", ""NR"", I4423))"),"TV-14")</f>
        <v>TV-14</v>
      </c>
      <c r="R4423" s="5" t="str">
        <f t="shared" si="2"/>
        <v>Aamir</v>
      </c>
      <c r="S4423" s="5" t="str">
        <f>IFERROR(__xludf.DUMMYFUNCTION("""COMPUTED_VALUE"""),"Maria Bamford: Old Baby")</f>
        <v>Maria Bamford: Old Baby</v>
      </c>
      <c r="U4423" s="5" t="str">
        <f>IFERROR(__xludf.DUMMYFUNCTION("""COMPUTED_VALUE"""),"Buddhadev Dasgupta")</f>
        <v>Buddhadev Dasgupta</v>
      </c>
      <c r="V4423" s="5" t="s">
        <v>18320</v>
      </c>
      <c r="W4423" s="5" t="str">
        <f t="shared" si="3"/>
        <v>Will Eisenberg</v>
      </c>
      <c r="X4423" s="5">
        <f t="shared" si="4"/>
        <v>1</v>
      </c>
      <c r="Y4423" s="5" t="str">
        <f>IFERROR(__xludf.DUMMYFUNCTION("REGEXEXTRACT(J4423, ""^\d+"")"),"95")</f>
        <v>95</v>
      </c>
      <c r="Z4423" s="5" t="str">
        <f>IFERROR(__xludf.DUMMYFUNCTION("REGEXEXTRACT(J4423, ""[A-Za-z ]+$"")")," min")</f>
        <v> min</v>
      </c>
      <c r="AA4423" s="5" t="str">
        <f>IFERROR(__xludf.DUMMYFUNCTION("IF(REGEXMATCH(Z4423, ""Season""), ""TV Show"", ""Movie"")"),"Movie")</f>
        <v>Movie</v>
      </c>
    </row>
    <row r="4424">
      <c r="A4424" s="1" t="s">
        <v>23571</v>
      </c>
      <c r="B4424" s="1" t="s">
        <v>27</v>
      </c>
      <c r="C4424" s="1" t="s">
        <v>23572</v>
      </c>
      <c r="D4424" s="1" t="s">
        <v>18995</v>
      </c>
      <c r="E4424" s="1" t="s">
        <v>23573</v>
      </c>
      <c r="F4424" s="1" t="s">
        <v>63</v>
      </c>
      <c r="G4424" s="1" t="s">
        <v>23564</v>
      </c>
      <c r="H4424" s="1">
        <v>2015.0</v>
      </c>
      <c r="I4424" s="1" t="s">
        <v>97</v>
      </c>
      <c r="J4424" s="1" t="s">
        <v>11162</v>
      </c>
      <c r="K4424" s="1" t="s">
        <v>1429</v>
      </c>
      <c r="L4424" s="1" t="s">
        <v>23574</v>
      </c>
      <c r="M4424" s="2" t="s">
        <v>12</v>
      </c>
      <c r="N4424" s="4">
        <f t="shared" si="1"/>
        <v>43405</v>
      </c>
      <c r="O4424" s="5" t="str">
        <f>IFERROR(__xludf.DUMMYFUNCTION("IF(REGEXMATCH(TRIM(I4424), ""^\d+\s*min""), ""Unclassified"", IF(I4424 = """", ""NR"", I4424))"),"TV-14")</f>
        <v>TV-14</v>
      </c>
      <c r="R4424" s="5" t="str">
        <f t="shared" si="2"/>
        <v>Abcd 2</v>
      </c>
      <c r="S4424" s="5" t="str">
        <f>IFERROR(__xludf.DUMMYFUNCTION("""COMPUTED_VALUE"""),"Maria Bamford: The Special Special Special")</f>
        <v>Maria Bamford: The Special Special Special</v>
      </c>
      <c r="U4424" s="5" t="str">
        <f>IFERROR(__xludf.DUMMYFUNCTION("""COMPUTED_VALUE"""),"Sukum Maetawanitch")</f>
        <v>Sukum Maetawanitch</v>
      </c>
      <c r="V4424" s="5" t="s">
        <v>14351</v>
      </c>
      <c r="W4424" s="5" t="str">
        <f t="shared" si="3"/>
        <v>Will Forbes</v>
      </c>
      <c r="X4424" s="5">
        <f t="shared" si="4"/>
        <v>1</v>
      </c>
      <c r="Y4424" s="5" t="str">
        <f>IFERROR(__xludf.DUMMYFUNCTION("REGEXEXTRACT(J4424, ""^\d+"")"),"146")</f>
        <v>146</v>
      </c>
      <c r="Z4424" s="5" t="str">
        <f>IFERROR(__xludf.DUMMYFUNCTION("REGEXEXTRACT(J4424, ""[A-Za-z ]+$"")")," min")</f>
        <v> min</v>
      </c>
      <c r="AA4424" s="5" t="str">
        <f>IFERROR(__xludf.DUMMYFUNCTION("IF(REGEXMATCH(Z4424, ""Season""), ""TV Show"", ""Movie"")"),"Movie")</f>
        <v>Movie</v>
      </c>
    </row>
    <row r="4425">
      <c r="A4425" s="1" t="s">
        <v>23575</v>
      </c>
      <c r="B4425" s="1" t="s">
        <v>27</v>
      </c>
      <c r="C4425" s="1" t="s">
        <v>23576</v>
      </c>
      <c r="D4425" s="1" t="s">
        <v>18995</v>
      </c>
      <c r="E4425" s="1" t="s">
        <v>23577</v>
      </c>
      <c r="F4425" s="1" t="s">
        <v>63</v>
      </c>
      <c r="G4425" s="1" t="s">
        <v>23564</v>
      </c>
      <c r="H4425" s="1">
        <v>2013.0</v>
      </c>
      <c r="I4425" s="1" t="s">
        <v>97</v>
      </c>
      <c r="J4425" s="1" t="s">
        <v>1383</v>
      </c>
      <c r="K4425" s="1" t="s">
        <v>128</v>
      </c>
      <c r="L4425" s="1" t="s">
        <v>23578</v>
      </c>
      <c r="M4425" s="2" t="s">
        <v>12</v>
      </c>
      <c r="N4425" s="4">
        <f t="shared" si="1"/>
        <v>43405</v>
      </c>
      <c r="O4425" s="5" t="str">
        <f>IFERROR(__xludf.DUMMYFUNCTION("IF(REGEXMATCH(TRIM(I4425), ""^\d+\s*min""), ""Unclassified"", IF(I4425 = """", ""NR"", I4425))"),"TV-14")</f>
        <v>TV-14</v>
      </c>
      <c r="R4425" s="5" t="str">
        <f t="shared" si="2"/>
        <v>Abcd: Any Body Can Dance</v>
      </c>
      <c r="S4425" s="5" t="str">
        <f>IFERROR(__xludf.DUMMYFUNCTION("""COMPUTED_VALUE"""),"Mariah Carey'S Merriest Christmas")</f>
        <v>Mariah Carey'S Merriest Christmas</v>
      </c>
      <c r="U4425" s="5" t="str">
        <f>IFERROR(__xludf.DUMMYFUNCTION("""COMPUTED_VALUE"""),"Jeffrey Nachmanoff")</f>
        <v>Jeffrey Nachmanoff</v>
      </c>
      <c r="V4425" s="5" t="s">
        <v>23579</v>
      </c>
      <c r="W4425" s="5" t="str">
        <f t="shared" si="3"/>
        <v>Will Gluck</v>
      </c>
      <c r="X4425" s="5">
        <f t="shared" si="4"/>
        <v>2</v>
      </c>
      <c r="Y4425" s="5" t="str">
        <f>IFERROR(__xludf.DUMMYFUNCTION("REGEXEXTRACT(J4425, ""^\d+"")"),"136")</f>
        <v>136</v>
      </c>
      <c r="Z4425" s="5" t="str">
        <f>IFERROR(__xludf.DUMMYFUNCTION("REGEXEXTRACT(J4425, ""[A-Za-z ]+$"")")," min")</f>
        <v> min</v>
      </c>
      <c r="AA4425" s="5" t="str">
        <f>IFERROR(__xludf.DUMMYFUNCTION("IF(REGEXMATCH(Z4425, ""Season""), ""TV Show"", ""Movie"")"),"Movie")</f>
        <v>Movie</v>
      </c>
    </row>
    <row r="4426">
      <c r="A4426" s="1" t="s">
        <v>23580</v>
      </c>
      <c r="B4426" s="1" t="s">
        <v>27</v>
      </c>
      <c r="C4426" s="1" t="s">
        <v>23581</v>
      </c>
      <c r="D4426" s="1" t="s">
        <v>2541</v>
      </c>
      <c r="E4426" s="1" t="s">
        <v>23582</v>
      </c>
      <c r="F4426" s="1" t="s">
        <v>63</v>
      </c>
      <c r="G4426" s="1" t="s">
        <v>23564</v>
      </c>
      <c r="H4426" s="1">
        <v>2011.0</v>
      </c>
      <c r="I4426" s="1" t="s">
        <v>97</v>
      </c>
      <c r="J4426" s="1" t="s">
        <v>79</v>
      </c>
      <c r="K4426" s="1" t="s">
        <v>306</v>
      </c>
      <c r="L4426" s="1" t="s">
        <v>23583</v>
      </c>
      <c r="M4426" s="2" t="s">
        <v>12</v>
      </c>
      <c r="N4426" s="4">
        <f t="shared" si="1"/>
        <v>43405</v>
      </c>
      <c r="O4426" s="5" t="str">
        <f>IFERROR(__xludf.DUMMYFUNCTION("IF(REGEXMATCH(TRIM(I4426), ""^\d+\s*min""), ""Unclassified"", IF(I4426 = """", ""NR"", I4426))"),"TV-14")</f>
        <v>TV-14</v>
      </c>
      <c r="R4426" s="5" t="str">
        <f t="shared" si="2"/>
        <v>Arjun: The Warrior Prince</v>
      </c>
      <c r="S4426" s="5" t="str">
        <f>IFERROR(__xludf.DUMMYFUNCTION("""COMPUTED_VALUE"""),"Marianne")</f>
        <v>Marianne</v>
      </c>
      <c r="U4426" s="5" t="str">
        <f>IFERROR(__xludf.DUMMYFUNCTION("""COMPUTED_VALUE"""),"Wally Pfister")</f>
        <v>Wally Pfister</v>
      </c>
      <c r="V4426" s="5" t="s">
        <v>23584</v>
      </c>
      <c r="W4426" s="5" t="str">
        <f t="shared" si="3"/>
        <v>Will Lockhart, Cole D. Pruitt</v>
      </c>
      <c r="X4426" s="5">
        <f t="shared" si="4"/>
        <v>1</v>
      </c>
      <c r="Y4426" s="5" t="str">
        <f>IFERROR(__xludf.DUMMYFUNCTION("REGEXEXTRACT(J4426, ""^\d+"")"),"91")</f>
        <v>91</v>
      </c>
      <c r="Z4426" s="5" t="str">
        <f>IFERROR(__xludf.DUMMYFUNCTION("REGEXEXTRACT(J4426, ""[A-Za-z ]+$"")")," min")</f>
        <v> min</v>
      </c>
      <c r="AA4426" s="5" t="str">
        <f>IFERROR(__xludf.DUMMYFUNCTION("IF(REGEXMATCH(Z4426, ""Season""), ""TV Show"", ""Movie"")"),"Movie")</f>
        <v>Movie</v>
      </c>
    </row>
    <row r="4427">
      <c r="A4427" s="1" t="s">
        <v>23585</v>
      </c>
      <c r="B4427" s="1" t="s">
        <v>27</v>
      </c>
      <c r="C4427" s="1" t="s">
        <v>23586</v>
      </c>
      <c r="D4427" s="1" t="s">
        <v>18815</v>
      </c>
      <c r="E4427" s="1" t="s">
        <v>23587</v>
      </c>
      <c r="F4427" s="1" t="s">
        <v>63</v>
      </c>
      <c r="G4427" s="1" t="s">
        <v>23564</v>
      </c>
      <c r="H4427" s="1">
        <v>2018.0</v>
      </c>
      <c r="I4427" s="1" t="s">
        <v>97</v>
      </c>
      <c r="J4427" s="1" t="s">
        <v>2566</v>
      </c>
      <c r="K4427" s="1" t="s">
        <v>1429</v>
      </c>
      <c r="L4427" s="1" t="s">
        <v>23588</v>
      </c>
      <c r="M4427" s="2" t="s">
        <v>12</v>
      </c>
      <c r="N4427" s="4">
        <f t="shared" si="1"/>
        <v>43405</v>
      </c>
      <c r="O4427" s="5" t="str">
        <f>IFERROR(__xludf.DUMMYFUNCTION("IF(REGEXMATCH(TRIM(I4427), ""^\d+\s*min""), ""Unclassified"", IF(I4427 = """", ""NR"", I4427))"),"TV-14")</f>
        <v>TV-14</v>
      </c>
      <c r="R4427" s="5" t="str">
        <f t="shared" si="2"/>
        <v>Asees</v>
      </c>
      <c r="S4427" s="5" t="str">
        <f>IFERROR(__xludf.DUMMYFUNCTION("""COMPUTED_VALUE"""),"Mariposa")</f>
        <v>Mariposa</v>
      </c>
      <c r="U4427" s="5" t="str">
        <f>IFERROR(__xludf.DUMMYFUNCTION("""COMPUTED_VALUE"""),"Richard Bates Jr.")</f>
        <v>Richard Bates Jr.</v>
      </c>
      <c r="V4427" s="5" t="s">
        <v>23589</v>
      </c>
      <c r="W4427" s="5" t="str">
        <f t="shared" si="3"/>
        <v>Will Lovelace, Dylan Southern</v>
      </c>
      <c r="X4427" s="5">
        <f t="shared" si="4"/>
        <v>1</v>
      </c>
      <c r="Y4427" s="5" t="str">
        <f>IFERROR(__xludf.DUMMYFUNCTION("REGEXEXTRACT(J4427, ""^\d+"")"),"123")</f>
        <v>123</v>
      </c>
      <c r="Z4427" s="5" t="str">
        <f>IFERROR(__xludf.DUMMYFUNCTION("REGEXEXTRACT(J4427, ""[A-Za-z ]+$"")")," min")</f>
        <v> min</v>
      </c>
      <c r="AA4427" s="5" t="str">
        <f>IFERROR(__xludf.DUMMYFUNCTION("IF(REGEXMATCH(Z4427, ""Season""), ""TV Show"", ""Movie"")"),"Movie")</f>
        <v>Movie</v>
      </c>
    </row>
    <row r="4428">
      <c r="A4428" s="1" t="s">
        <v>23590</v>
      </c>
      <c r="B4428" s="1" t="s">
        <v>27</v>
      </c>
      <c r="C4428" s="1" t="s">
        <v>23591</v>
      </c>
      <c r="D4428" s="1" t="s">
        <v>2394</v>
      </c>
      <c r="E4428" s="1" t="s">
        <v>23592</v>
      </c>
      <c r="F4428" s="1" t="s">
        <v>63</v>
      </c>
      <c r="G4428" s="1" t="s">
        <v>23564</v>
      </c>
      <c r="H4428" s="1">
        <v>2012.0</v>
      </c>
      <c r="I4428" s="1" t="s">
        <v>97</v>
      </c>
      <c r="J4428" s="1" t="s">
        <v>14942</v>
      </c>
      <c r="K4428" s="1" t="s">
        <v>583</v>
      </c>
      <c r="L4428" s="1" t="s">
        <v>23593</v>
      </c>
      <c r="M4428" s="2" t="s">
        <v>12</v>
      </c>
      <c r="N4428" s="4">
        <f t="shared" si="1"/>
        <v>43405</v>
      </c>
      <c r="O4428" s="5" t="str">
        <f>IFERROR(__xludf.DUMMYFUNCTION("IF(REGEXMATCH(TRIM(I4428), ""^\d+\s*min""), ""Unclassified"", IF(I4428 = """", ""NR"", I4428))"),"TV-14")</f>
        <v>TV-14</v>
      </c>
      <c r="R4428" s="5" t="str">
        <f t="shared" si="2"/>
        <v>Barfi!</v>
      </c>
      <c r="S4428" s="5" t="str">
        <f>IFERROR(__xludf.DUMMYFUNCTION("""COMPUTED_VALUE"""),"Mariusz Kałamaga, Karol Kopiec, Wiolka Walaszczyk Hilarious Trio")</f>
        <v>Mariusz Kałamaga, Karol Kopiec, Wiolka Walaszczyk Hilarious Trio</v>
      </c>
      <c r="U4428" s="5" t="str">
        <f>IFERROR(__xludf.DUMMYFUNCTION("""COMPUTED_VALUE"""),"Jon Reiner, Brad Rothschild")</f>
        <v>Jon Reiner, Brad Rothschild</v>
      </c>
      <c r="V4428" s="5" t="s">
        <v>23594</v>
      </c>
      <c r="W4428" s="5" t="str">
        <f t="shared" si="3"/>
        <v>Will Mccormack, Michael Govier</v>
      </c>
      <c r="X4428" s="5">
        <f t="shared" si="4"/>
        <v>1</v>
      </c>
      <c r="Y4428" s="5" t="str">
        <f>IFERROR(__xludf.DUMMYFUNCTION("REGEXEXTRACT(J4428, ""^\d+"")"),"144")</f>
        <v>144</v>
      </c>
      <c r="Z4428" s="5" t="str">
        <f>IFERROR(__xludf.DUMMYFUNCTION("REGEXEXTRACT(J4428, ""[A-Za-z ]+$"")")," min")</f>
        <v> min</v>
      </c>
      <c r="AA4428" s="5" t="str">
        <f>IFERROR(__xludf.DUMMYFUNCTION("IF(REGEXMATCH(Z4428, ""Season""), ""TV Show"", ""Movie"")"),"Movie")</f>
        <v>Movie</v>
      </c>
    </row>
    <row r="4429">
      <c r="A4429" s="1" t="s">
        <v>23595</v>
      </c>
      <c r="B4429" s="1" t="s">
        <v>27</v>
      </c>
      <c r="C4429" s="1" t="s">
        <v>23596</v>
      </c>
      <c r="D4429" s="1" t="s">
        <v>10738</v>
      </c>
      <c r="E4429" s="1" t="s">
        <v>23597</v>
      </c>
      <c r="F4429" s="1" t="s">
        <v>63</v>
      </c>
      <c r="G4429" s="1" t="s">
        <v>23564</v>
      </c>
      <c r="H4429" s="1">
        <v>2010.0</v>
      </c>
      <c r="I4429" s="1" t="s">
        <v>97</v>
      </c>
      <c r="J4429" s="1" t="s">
        <v>941</v>
      </c>
      <c r="K4429" s="1" t="s">
        <v>583</v>
      </c>
      <c r="L4429" s="1" t="s">
        <v>23598</v>
      </c>
      <c r="M4429" s="2" t="s">
        <v>12</v>
      </c>
      <c r="N4429" s="4">
        <f t="shared" si="1"/>
        <v>43405</v>
      </c>
      <c r="O4429" s="5" t="str">
        <f>IFERROR(__xludf.DUMMYFUNCTION("IF(REGEXMATCH(TRIM(I4429), ""^\d+\s*min""), ""Unclassified"", IF(I4429 = """", ""NR"", I4429))"),"TV-14")</f>
        <v>TV-14</v>
      </c>
      <c r="R4429" s="5" t="str">
        <f t="shared" si="2"/>
        <v>Chance Pe Dance</v>
      </c>
      <c r="S4429" s="5" t="str">
        <f>IFERROR(__xludf.DUMMYFUNCTION("""COMPUTED_VALUE"""),"Mark Gatiss: A Study In Sherlock")</f>
        <v>Mark Gatiss: A Study In Sherlock</v>
      </c>
      <c r="U4429" s="5" t="str">
        <f>IFERROR(__xludf.DUMMYFUNCTION("""COMPUTED_VALUE"""),"Ron Underwood")</f>
        <v>Ron Underwood</v>
      </c>
      <c r="V4429" s="5" t="s">
        <v>23599</v>
      </c>
      <c r="W4429" s="5" t="str">
        <f t="shared" si="3"/>
        <v>Will Yapp</v>
      </c>
      <c r="X4429" s="5">
        <f t="shared" si="4"/>
        <v>2</v>
      </c>
      <c r="Y4429" s="5" t="str">
        <f>IFERROR(__xludf.DUMMYFUNCTION("REGEXEXTRACT(J4429, ""^\d+"")"),"121")</f>
        <v>121</v>
      </c>
      <c r="Z4429" s="5" t="str">
        <f>IFERROR(__xludf.DUMMYFUNCTION("REGEXEXTRACT(J4429, ""[A-Za-z ]+$"")")," min")</f>
        <v> min</v>
      </c>
      <c r="AA4429" s="5" t="str">
        <f>IFERROR(__xludf.DUMMYFUNCTION("IF(REGEXMATCH(Z4429, ""Season""), ""TV Show"", ""Movie"")"),"Movie")</f>
        <v>Movie</v>
      </c>
    </row>
    <row r="4430">
      <c r="A4430" s="1" t="s">
        <v>23600</v>
      </c>
      <c r="B4430" s="1" t="s">
        <v>27</v>
      </c>
      <c r="C4430" s="1" t="s">
        <v>23601</v>
      </c>
      <c r="D4430" s="1" t="s">
        <v>9831</v>
      </c>
      <c r="E4430" s="1" t="s">
        <v>23602</v>
      </c>
      <c r="F4430" s="1" t="s">
        <v>1106</v>
      </c>
      <c r="G4430" s="1" t="s">
        <v>23564</v>
      </c>
      <c r="H4430" s="1">
        <v>2018.0</v>
      </c>
      <c r="I4430" s="1" t="s">
        <v>136</v>
      </c>
      <c r="J4430" s="1" t="s">
        <v>79</v>
      </c>
      <c r="K4430" s="1" t="s">
        <v>3183</v>
      </c>
      <c r="L4430" s="1" t="s">
        <v>23603</v>
      </c>
      <c r="M4430" s="2" t="s">
        <v>12</v>
      </c>
      <c r="N4430" s="4">
        <f t="shared" si="1"/>
        <v>43405</v>
      </c>
      <c r="O4430" s="5" t="str">
        <f>IFERROR(__xludf.DUMMYFUNCTION("IF(REGEXMATCH(TRIM(I4430), ""^\d+\s*min""), ""Unclassified"", IF(I4430 = """", ""NR"", I4430))"),"TV-PG")</f>
        <v>TV-PG</v>
      </c>
      <c r="R4430" s="5" t="str">
        <f t="shared" si="2"/>
        <v>Christmas With A View</v>
      </c>
      <c r="S4430" s="5" t="str">
        <f>IFERROR(__xludf.DUMMYFUNCTION("""COMPUTED_VALUE"""),"Marked")</f>
        <v>Marked</v>
      </c>
      <c r="U4430" s="5" t="str">
        <f>IFERROR(__xludf.DUMMYFUNCTION("""COMPUTED_VALUE"""),"S.S. Wilson")</f>
        <v>S.S. Wilson</v>
      </c>
      <c r="V4430" s="5" t="s">
        <v>20945</v>
      </c>
      <c r="W4430" s="5" t="str">
        <f t="shared" si="3"/>
        <v>William Bindley</v>
      </c>
      <c r="X4430" s="5">
        <f t="shared" si="4"/>
        <v>1</v>
      </c>
      <c r="Y4430" s="5" t="str">
        <f>IFERROR(__xludf.DUMMYFUNCTION("REGEXEXTRACT(J4430, ""^\d+"")"),"91")</f>
        <v>91</v>
      </c>
      <c r="Z4430" s="5" t="str">
        <f>IFERROR(__xludf.DUMMYFUNCTION("REGEXEXTRACT(J4430, ""[A-Za-z ]+$"")")," min")</f>
        <v> min</v>
      </c>
      <c r="AA4430" s="5" t="str">
        <f>IFERROR(__xludf.DUMMYFUNCTION("IF(REGEXMATCH(Z4430, ""Season""), ""TV Show"", ""Movie"")"),"Movie")</f>
        <v>Movie</v>
      </c>
    </row>
    <row r="4431">
      <c r="A4431" s="1" t="s">
        <v>23604</v>
      </c>
      <c r="B4431" s="1" t="s">
        <v>27</v>
      </c>
      <c r="C4431" s="1" t="s">
        <v>23605</v>
      </c>
      <c r="D4431" s="1" t="s">
        <v>18421</v>
      </c>
      <c r="E4431" s="1" t="s">
        <v>23606</v>
      </c>
      <c r="F4431" s="1" t="s">
        <v>63</v>
      </c>
      <c r="G4431" s="1" t="s">
        <v>23564</v>
      </c>
      <c r="H4431" s="1">
        <v>2006.0</v>
      </c>
      <c r="I4431" s="1" t="s">
        <v>97</v>
      </c>
      <c r="J4431" s="1" t="s">
        <v>6611</v>
      </c>
      <c r="K4431" s="1" t="s">
        <v>583</v>
      </c>
      <c r="L4431" s="1" t="s">
        <v>23607</v>
      </c>
      <c r="M4431" s="2" t="s">
        <v>12</v>
      </c>
      <c r="N4431" s="4">
        <f t="shared" si="1"/>
        <v>43405</v>
      </c>
      <c r="O4431" s="5" t="str">
        <f>IFERROR(__xludf.DUMMYFUNCTION("IF(REGEXMATCH(TRIM(I4431), ""^\d+\s*min""), ""Unclassified"", IF(I4431 = """", ""NR"", I4431))"),"TV-14")</f>
        <v>TV-14</v>
      </c>
      <c r="R4431" s="5" t="str">
        <f t="shared" si="2"/>
        <v>Chup Chup Ke</v>
      </c>
      <c r="S4431" s="5" t="str">
        <f>IFERROR(__xludf.DUMMYFUNCTION("""COMPUTED_VALUE"""),"Marlon")</f>
        <v>Marlon</v>
      </c>
      <c r="U4431" s="5" t="str">
        <f>IFERROR(__xludf.DUMMYFUNCTION("""COMPUTED_VALUE"""),"Brent Maddock")</f>
        <v>Brent Maddock</v>
      </c>
      <c r="V4431" s="5" t="s">
        <v>23608</v>
      </c>
      <c r="W4431" s="5" t="str">
        <f t="shared" si="3"/>
        <v>William Brent Bell</v>
      </c>
      <c r="X4431" s="5">
        <f t="shared" si="4"/>
        <v>2</v>
      </c>
      <c r="Y4431" s="5" t="str">
        <f>IFERROR(__xludf.DUMMYFUNCTION("REGEXEXTRACT(J4431, ""^\d+"")"),"158")</f>
        <v>158</v>
      </c>
      <c r="Z4431" s="5" t="str">
        <f>IFERROR(__xludf.DUMMYFUNCTION("REGEXEXTRACT(J4431, ""[A-Za-z ]+$"")")," min")</f>
        <v> min</v>
      </c>
      <c r="AA4431" s="5" t="str">
        <f>IFERROR(__xludf.DUMMYFUNCTION("IF(REGEXMATCH(Z4431, ""Season""), ""TV Show"", ""Movie"")"),"Movie")</f>
        <v>Movie</v>
      </c>
    </row>
    <row r="4432">
      <c r="A4432" s="1" t="s">
        <v>23609</v>
      </c>
      <c r="B4432" s="1" t="s">
        <v>37</v>
      </c>
      <c r="C4432" s="1" t="s">
        <v>23610</v>
      </c>
      <c r="E4432" s="1" t="s">
        <v>23611</v>
      </c>
      <c r="F4432" s="1" t="s">
        <v>1815</v>
      </c>
      <c r="G4432" s="1" t="s">
        <v>23564</v>
      </c>
      <c r="H4432" s="1">
        <v>2015.0</v>
      </c>
      <c r="I4432" s="1" t="s">
        <v>206</v>
      </c>
      <c r="J4432" s="1" t="s">
        <v>43</v>
      </c>
      <c r="K4432" s="1" t="s">
        <v>18900</v>
      </c>
      <c r="L4432" s="1" t="s">
        <v>23612</v>
      </c>
      <c r="M4432" s="2" t="s">
        <v>12</v>
      </c>
      <c r="N4432" s="4">
        <f t="shared" si="1"/>
        <v>43405</v>
      </c>
      <c r="O4432" s="5" t="str">
        <f>IFERROR(__xludf.DUMMYFUNCTION("IF(REGEXMATCH(TRIM(I4432), ""^\d+\s*min""), ""Unclassified"", IF(I4432 = """", ""NR"", I4432))"),"TV-Y")</f>
        <v>TV-Y</v>
      </c>
      <c r="R4432" s="5" t="str">
        <f t="shared" si="2"/>
        <v>Creators</v>
      </c>
      <c r="S4432" s="5" t="str">
        <f>IFERROR(__xludf.DUMMYFUNCTION("""COMPUTED_VALUE"""),"Marlon Wayans: Woke-Ish")</f>
        <v>Marlon Wayans: Woke-Ish</v>
      </c>
      <c r="U4432" s="5" t="str">
        <f>IFERROR(__xludf.DUMMYFUNCTION("""COMPUTED_VALUE"""),"Adam Smith")</f>
        <v>Adam Smith</v>
      </c>
      <c r="V4432" s="5" t="s">
        <v>23613</v>
      </c>
      <c r="W4432" s="5" t="str">
        <f t="shared" si="3"/>
        <v>William Eubank, Will Eubank</v>
      </c>
      <c r="X4432" s="5">
        <f t="shared" si="4"/>
        <v>1</v>
      </c>
      <c r="Y4432" s="5" t="str">
        <f>IFERROR(__xludf.DUMMYFUNCTION("REGEXEXTRACT(J4432, ""^\d+"")"),"2")</f>
        <v>2</v>
      </c>
      <c r="Z4432" s="5" t="str">
        <f>IFERROR(__xludf.DUMMYFUNCTION("REGEXEXTRACT(J4432, ""[A-Za-z ]+$"")")," Seasons")</f>
        <v> Seasons</v>
      </c>
      <c r="AA4432" s="5" t="str">
        <f>IFERROR(__xludf.DUMMYFUNCTION("IF(REGEXMATCH(Z4432, ""Season""), ""TV Show"", ""Movie"")"),"TV Show")</f>
        <v>TV Show</v>
      </c>
    </row>
    <row r="4433">
      <c r="A4433" s="1" t="s">
        <v>23614</v>
      </c>
      <c r="B4433" s="1" t="s">
        <v>27</v>
      </c>
      <c r="C4433" s="1" t="s">
        <v>23615</v>
      </c>
      <c r="D4433" s="1" t="s">
        <v>23422</v>
      </c>
      <c r="E4433" s="1" t="s">
        <v>23616</v>
      </c>
      <c r="F4433" s="1" t="s">
        <v>23617</v>
      </c>
      <c r="G4433" s="1" t="s">
        <v>23564</v>
      </c>
      <c r="H4433" s="1">
        <v>2007.0</v>
      </c>
      <c r="I4433" s="1" t="s">
        <v>97</v>
      </c>
      <c r="J4433" s="1" t="s">
        <v>11571</v>
      </c>
      <c r="K4433" s="1" t="s">
        <v>1429</v>
      </c>
      <c r="L4433" s="1" t="s">
        <v>23618</v>
      </c>
      <c r="M4433" s="2" t="s">
        <v>12</v>
      </c>
      <c r="N4433" s="4">
        <f t="shared" si="1"/>
        <v>43405</v>
      </c>
      <c r="O4433" s="5" t="str">
        <f>IFERROR(__xludf.DUMMYFUNCTION("IF(REGEXMATCH(TRIM(I4433), ""^\d+\s*min""), ""Unclassified"", IF(I4433 = """", ""NR"", I4433))"),"TV-14")</f>
        <v>TV-14</v>
      </c>
      <c r="R4433" s="5" t="str">
        <f t="shared" si="2"/>
        <v>Dhan Dhana Dhan Goal</v>
      </c>
      <c r="S4433" s="5" t="str">
        <f>IFERROR(__xludf.DUMMYFUNCTION("""COMPUTED_VALUE"""),"Maron")</f>
        <v>Maron</v>
      </c>
      <c r="U4433" s="5" t="str">
        <f>IFERROR(__xludf.DUMMYFUNCTION("""COMPUTED_VALUE"""),"Jitender Pawar")</f>
        <v>Jitender Pawar</v>
      </c>
      <c r="V4433" s="5" t="s">
        <v>23619</v>
      </c>
      <c r="W4433" s="5" t="str">
        <f t="shared" si="3"/>
        <v>William Friedkin</v>
      </c>
      <c r="X4433" s="5">
        <f t="shared" si="4"/>
        <v>1</v>
      </c>
      <c r="Y4433" s="5" t="str">
        <f>IFERROR(__xludf.DUMMYFUNCTION("REGEXEXTRACT(J4433, ""^\d+"")"),"157")</f>
        <v>157</v>
      </c>
      <c r="Z4433" s="5" t="str">
        <f>IFERROR(__xludf.DUMMYFUNCTION("REGEXEXTRACT(J4433, ""[A-Za-z ]+$"")")," min")</f>
        <v> min</v>
      </c>
      <c r="AA4433" s="5" t="str">
        <f>IFERROR(__xludf.DUMMYFUNCTION("IF(REGEXMATCH(Z4433, ""Season""), ""TV Show"", ""Movie"")"),"Movie")</f>
        <v>Movie</v>
      </c>
    </row>
    <row r="4434">
      <c r="A4434" s="1" t="s">
        <v>23620</v>
      </c>
      <c r="B4434" s="1" t="s">
        <v>27</v>
      </c>
      <c r="C4434" s="1" t="s">
        <v>23621</v>
      </c>
      <c r="D4434" s="1" t="s">
        <v>12965</v>
      </c>
      <c r="E4434" s="1" t="s">
        <v>23622</v>
      </c>
      <c r="F4434" s="1" t="s">
        <v>63</v>
      </c>
      <c r="G4434" s="1" t="s">
        <v>23564</v>
      </c>
      <c r="H4434" s="1">
        <v>2009.0</v>
      </c>
      <c r="I4434" s="1" t="s">
        <v>97</v>
      </c>
      <c r="J4434" s="1" t="s">
        <v>341</v>
      </c>
      <c r="K4434" s="1" t="s">
        <v>230</v>
      </c>
      <c r="L4434" s="1" t="s">
        <v>23623</v>
      </c>
      <c r="M4434" s="2" t="s">
        <v>12</v>
      </c>
      <c r="N4434" s="4">
        <f t="shared" si="1"/>
        <v>43405</v>
      </c>
      <c r="O4434" s="5" t="str">
        <f>IFERROR(__xludf.DUMMYFUNCTION("IF(REGEXMATCH(TRIM(I4434), ""^\d+\s*min""), ""Unclassified"", IF(I4434 = """", ""NR"", I4434))"),"TV-14")</f>
        <v>TV-14</v>
      </c>
      <c r="R4434" s="5" t="str">
        <f t="shared" si="2"/>
        <v>Dhoondte Reh Jaoge</v>
      </c>
      <c r="S4434" s="5" t="str">
        <f>IFERROR(__xludf.DUMMYFUNCTION("""COMPUTED_VALUE"""),"Maroon")</f>
        <v>Maroon</v>
      </c>
      <c r="U4434" s="5" t="str">
        <f>IFERROR(__xludf.DUMMYFUNCTION("""COMPUTED_VALUE"""),"Nicholas Zeig-Owens")</f>
        <v>Nicholas Zeig-Owens</v>
      </c>
      <c r="V4434" s="5" t="s">
        <v>23624</v>
      </c>
      <c r="W4434" s="5" t="str">
        <f t="shared" si="3"/>
        <v>William H. Macy</v>
      </c>
      <c r="X4434" s="5">
        <f t="shared" si="4"/>
        <v>1</v>
      </c>
      <c r="Y4434" s="5" t="str">
        <f>IFERROR(__xludf.DUMMYFUNCTION("REGEXEXTRACT(J4434, ""^\d+"")"),"124")</f>
        <v>124</v>
      </c>
      <c r="Z4434" s="5" t="str">
        <f>IFERROR(__xludf.DUMMYFUNCTION("REGEXEXTRACT(J4434, ""[A-Za-z ]+$"")")," min")</f>
        <v> min</v>
      </c>
      <c r="AA4434" s="5" t="str">
        <f>IFERROR(__xludf.DUMMYFUNCTION("IF(REGEXMATCH(Z4434, ""Season""), ""TV Show"", ""Movie"")"),"Movie")</f>
        <v>Movie</v>
      </c>
    </row>
    <row r="4435">
      <c r="A4435" s="1" t="s">
        <v>23625</v>
      </c>
      <c r="B4435" s="1" t="s">
        <v>27</v>
      </c>
      <c r="C4435" s="1" t="s">
        <v>23626</v>
      </c>
      <c r="D4435" s="1" t="s">
        <v>8854</v>
      </c>
      <c r="E4435" s="1" t="s">
        <v>23627</v>
      </c>
      <c r="F4435" s="1" t="s">
        <v>63</v>
      </c>
      <c r="G4435" s="1" t="s">
        <v>23564</v>
      </c>
      <c r="H4435" s="1">
        <v>2010.0</v>
      </c>
      <c r="I4435" s="1" t="s">
        <v>136</v>
      </c>
      <c r="J4435" s="1" t="s">
        <v>256</v>
      </c>
      <c r="K4435" s="1" t="s">
        <v>199</v>
      </c>
      <c r="L4435" s="1" t="s">
        <v>23628</v>
      </c>
      <c r="M4435" s="2" t="s">
        <v>12</v>
      </c>
      <c r="N4435" s="4">
        <f t="shared" si="1"/>
        <v>43405</v>
      </c>
      <c r="O4435" s="5" t="str">
        <f>IFERROR(__xludf.DUMMYFUNCTION("IF(REGEXMATCH(TRIM(I4435), ""^\d+\s*min""), ""Unclassified"", IF(I4435 = """", ""NR"", I4435))"),"TV-PG")</f>
        <v>TV-PG</v>
      </c>
      <c r="R4435" s="5" t="str">
        <f t="shared" si="2"/>
        <v>Do Dooni Chaar</v>
      </c>
      <c r="S4435" s="5" t="str">
        <f>IFERROR(__xludf.DUMMYFUNCTION("""COMPUTED_VALUE"""),"Marriage Or Mortgage")</f>
        <v>Marriage Or Mortgage</v>
      </c>
      <c r="U4435" s="5" t="str">
        <f>IFERROR(__xludf.DUMMYFUNCTION("""COMPUTED_VALUE"""),"Shaul Schwarz, Christina Clusiau")</f>
        <v>Shaul Schwarz, Christina Clusiau</v>
      </c>
      <c r="V4435" s="5" t="s">
        <v>16815</v>
      </c>
      <c r="W4435" s="5" t="str">
        <f t="shared" si="3"/>
        <v>William Kaufman</v>
      </c>
      <c r="X4435" s="5">
        <f t="shared" si="4"/>
        <v>1</v>
      </c>
      <c r="Y4435" s="5" t="str">
        <f>IFERROR(__xludf.DUMMYFUNCTION("REGEXEXTRACT(J4435, ""^\d+"")"),"106")</f>
        <v>106</v>
      </c>
      <c r="Z4435" s="5" t="str">
        <f>IFERROR(__xludf.DUMMYFUNCTION("REGEXEXTRACT(J4435, ""[A-Za-z ]+$"")")," min")</f>
        <v> min</v>
      </c>
      <c r="AA4435" s="5" t="str">
        <f>IFERROR(__xludf.DUMMYFUNCTION("IF(REGEXMATCH(Z4435, ""Season""), ""TV Show"", ""Movie"")"),"Movie")</f>
        <v>Movie</v>
      </c>
    </row>
    <row r="4436">
      <c r="A4436" s="1" t="s">
        <v>23629</v>
      </c>
      <c r="B4436" s="1" t="s">
        <v>27</v>
      </c>
      <c r="C4436" s="1" t="s">
        <v>23630</v>
      </c>
      <c r="D4436" s="1" t="s">
        <v>3555</v>
      </c>
      <c r="E4436" s="1" t="s">
        <v>23631</v>
      </c>
      <c r="F4436" s="1" t="s">
        <v>30</v>
      </c>
      <c r="G4436" s="1" t="s">
        <v>23564</v>
      </c>
      <c r="H4436" s="1">
        <v>2018.0</v>
      </c>
      <c r="I4436" s="1" t="s">
        <v>42</v>
      </c>
      <c r="J4436" s="1" t="s">
        <v>665</v>
      </c>
      <c r="K4436" s="1" t="s">
        <v>5435</v>
      </c>
      <c r="L4436" s="1" t="s">
        <v>23632</v>
      </c>
      <c r="M4436" s="2" t="s">
        <v>12</v>
      </c>
      <c r="N4436" s="4">
        <f t="shared" si="1"/>
        <v>43405</v>
      </c>
      <c r="O4436" s="5" t="str">
        <f>IFERROR(__xludf.DUMMYFUNCTION("IF(REGEXMATCH(TRIM(I4436), ""^\d+\s*min""), ""Unclassified"", IF(I4436 = """", ""NR"", I4436))"),"TV-MA")</f>
        <v>TV-MA</v>
      </c>
      <c r="R4436" s="5" t="str">
        <f t="shared" si="2"/>
        <v>Edge Of Fear</v>
      </c>
      <c r="S4436" s="5" t="str">
        <f>IFERROR(__xludf.DUMMYFUNCTION("""COMPUTED_VALUE"""),"Marriage Palace")</f>
        <v>Marriage Palace</v>
      </c>
      <c r="U4436" s="5" t="str">
        <f>IFERROR(__xludf.DUMMYFUNCTION("""COMPUTED_VALUE"""),"Tekin Girgin")</f>
        <v>Tekin Girgin</v>
      </c>
      <c r="V4436" s="5" t="s">
        <v>23633</v>
      </c>
      <c r="W4436" s="5" t="str">
        <f t="shared" si="3"/>
        <v>William Lau</v>
      </c>
      <c r="X4436" s="5">
        <f t="shared" si="4"/>
        <v>4</v>
      </c>
      <c r="Y4436" s="5" t="str">
        <f>IFERROR(__xludf.DUMMYFUNCTION("REGEXEXTRACT(J4436, ""^\d+"")"),"92")</f>
        <v>92</v>
      </c>
      <c r="Z4436" s="5" t="str">
        <f>IFERROR(__xludf.DUMMYFUNCTION("REGEXEXTRACT(J4436, ""[A-Za-z ]+$"")")," min")</f>
        <v> min</v>
      </c>
      <c r="AA4436" s="5" t="str">
        <f>IFERROR(__xludf.DUMMYFUNCTION("IF(REGEXMATCH(Z4436, ""Season""), ""TV Show"", ""Movie"")"),"Movie")</f>
        <v>Movie</v>
      </c>
    </row>
    <row r="4437">
      <c r="A4437" s="1" t="s">
        <v>23634</v>
      </c>
      <c r="B4437" s="1" t="s">
        <v>27</v>
      </c>
      <c r="C4437" s="1" t="s">
        <v>23635</v>
      </c>
      <c r="D4437" s="1" t="s">
        <v>8905</v>
      </c>
      <c r="E4437" s="1" t="s">
        <v>23636</v>
      </c>
      <c r="F4437" s="1" t="s">
        <v>1992</v>
      </c>
      <c r="G4437" s="1" t="s">
        <v>23564</v>
      </c>
      <c r="H4437" s="1">
        <v>2017.0</v>
      </c>
      <c r="I4437" s="1" t="s">
        <v>42</v>
      </c>
      <c r="J4437" s="1" t="s">
        <v>729</v>
      </c>
      <c r="K4437" s="1" t="s">
        <v>1839</v>
      </c>
      <c r="L4437" s="1" t="s">
        <v>23637</v>
      </c>
      <c r="M4437" s="2" t="s">
        <v>12</v>
      </c>
      <c r="N4437" s="4">
        <f t="shared" si="1"/>
        <v>43405</v>
      </c>
      <c r="O4437" s="5" t="str">
        <f>IFERROR(__xludf.DUMMYFUNCTION("IF(REGEXMATCH(TRIM(I4437), ""^\d+\s*min""), ""Unclassified"", IF(I4437 = """", ""NR"", I4437))"),"TV-MA")</f>
        <v>TV-MA</v>
      </c>
      <c r="R4437" s="5" t="str">
        <f t="shared" si="2"/>
        <v>Edmilson Filho: Notas, Comedy About Relationships</v>
      </c>
      <c r="S4437" s="5" t="str">
        <f>IFERROR(__xludf.DUMMYFUNCTION("""COMPUTED_VALUE"""),"Marriage Story")</f>
        <v>Marriage Story</v>
      </c>
      <c r="U4437" s="5" t="str">
        <f>IFERROR(__xludf.DUMMYFUNCTION("""COMPUTED_VALUE"""),"Henry Hathaway")</f>
        <v>Henry Hathaway</v>
      </c>
      <c r="V4437" s="5" t="s">
        <v>23638</v>
      </c>
      <c r="W4437" s="5" t="str">
        <f t="shared" si="3"/>
        <v>William Lau, Sylvain Blais</v>
      </c>
      <c r="X4437" s="5">
        <f t="shared" si="4"/>
        <v>1</v>
      </c>
      <c r="Y4437" s="5" t="str">
        <f>IFERROR(__xludf.DUMMYFUNCTION("REGEXEXTRACT(J4437, ""^\d+"")"),"80")</f>
        <v>80</v>
      </c>
      <c r="Z4437" s="5" t="str">
        <f>IFERROR(__xludf.DUMMYFUNCTION("REGEXEXTRACT(J4437, ""[A-Za-z ]+$"")")," min")</f>
        <v> min</v>
      </c>
      <c r="AA4437" s="5" t="str">
        <f>IFERROR(__xludf.DUMMYFUNCTION("IF(REGEXMATCH(Z4437, ""Season""), ""TV Show"", ""Movie"")"),"Movie")</f>
        <v>Movie</v>
      </c>
    </row>
    <row r="4438">
      <c r="A4438" s="1" t="s">
        <v>23639</v>
      </c>
      <c r="B4438" s="1" t="s">
        <v>37</v>
      </c>
      <c r="C4438" s="1" t="s">
        <v>23640</v>
      </c>
      <c r="E4438" s="1" t="s">
        <v>23641</v>
      </c>
      <c r="F4438" s="1" t="s">
        <v>30</v>
      </c>
      <c r="G4438" s="1" t="s">
        <v>23564</v>
      </c>
      <c r="H4438" s="1">
        <v>2018.0</v>
      </c>
      <c r="I4438" s="1" t="s">
        <v>42</v>
      </c>
      <c r="J4438" s="1" t="s">
        <v>276</v>
      </c>
      <c r="K4438" s="1" t="s">
        <v>1261</v>
      </c>
      <c r="L4438" s="1" t="s">
        <v>23642</v>
      </c>
      <c r="M4438" s="2" t="s">
        <v>12</v>
      </c>
      <c r="N4438" s="4">
        <f t="shared" si="1"/>
        <v>43405</v>
      </c>
      <c r="O4438" s="5" t="str">
        <f>IFERROR(__xludf.DUMMYFUNCTION("IF(REGEXMATCH(TRIM(I4438), ""^\d+\s*min""), ""Unclassified"", IF(I4438 = """", ""NR"", I4438))"),"TV-MA")</f>
        <v>TV-MA</v>
      </c>
      <c r="R4438" s="5" t="str">
        <f t="shared" si="2"/>
        <v>Follow This</v>
      </c>
      <c r="S4438" s="5" t="str">
        <f>IFERROR(__xludf.DUMMYFUNCTION("""COMPUTED_VALUE"""),"Married At First Sight")</f>
        <v>Married At First Sight</v>
      </c>
      <c r="U4438" s="5" t="str">
        <f>IFERROR(__xludf.DUMMYFUNCTION("""COMPUTED_VALUE"""),"Preston A. Whitmore Ii")</f>
        <v>Preston A. Whitmore Ii</v>
      </c>
      <c r="V4438" s="5" t="s">
        <v>23643</v>
      </c>
      <c r="W4438" s="5" t="str">
        <f t="shared" si="3"/>
        <v>William Monahan</v>
      </c>
      <c r="X4438" s="5">
        <f t="shared" si="4"/>
        <v>1</v>
      </c>
      <c r="Y4438" s="5" t="str">
        <f>IFERROR(__xludf.DUMMYFUNCTION("REGEXEXTRACT(J4438, ""^\d+"")"),"3")</f>
        <v>3</v>
      </c>
      <c r="Z4438" s="5" t="str">
        <f>IFERROR(__xludf.DUMMYFUNCTION("REGEXEXTRACT(J4438, ""[A-Za-z ]+$"")")," Seasons")</f>
        <v> Seasons</v>
      </c>
      <c r="AA4438" s="5" t="str">
        <f>IFERROR(__xludf.DUMMYFUNCTION("IF(REGEXMATCH(Z4438, ""Season""), ""TV Show"", ""Movie"")"),"TV Show")</f>
        <v>TV Show</v>
      </c>
    </row>
    <row r="4439">
      <c r="A4439" s="1" t="s">
        <v>23644</v>
      </c>
      <c r="B4439" s="1" t="s">
        <v>27</v>
      </c>
      <c r="C4439" s="1" t="s">
        <v>23645</v>
      </c>
      <c r="D4439" s="1" t="s">
        <v>1618</v>
      </c>
      <c r="E4439" s="1" t="s">
        <v>23646</v>
      </c>
      <c r="F4439" s="1" t="s">
        <v>63</v>
      </c>
      <c r="G4439" s="1" t="s">
        <v>23564</v>
      </c>
      <c r="H4439" s="1">
        <v>2015.0</v>
      </c>
      <c r="I4439" s="1" t="s">
        <v>97</v>
      </c>
      <c r="J4439" s="1" t="s">
        <v>3458</v>
      </c>
      <c r="K4439" s="1" t="s">
        <v>298</v>
      </c>
      <c r="L4439" s="1" t="s">
        <v>23647</v>
      </c>
      <c r="M4439" s="2" t="s">
        <v>12</v>
      </c>
      <c r="N4439" s="4">
        <f t="shared" si="1"/>
        <v>43405</v>
      </c>
      <c r="O4439" s="5" t="str">
        <f>IFERROR(__xludf.DUMMYFUNCTION("IF(REGEXMATCH(TRIM(I4439), ""^\d+\s*min""), ""Unclassified"", IF(I4439 = """", ""NR"", I4439))"),"TV-14")</f>
        <v>TV-14</v>
      </c>
      <c r="R4439" s="5" t="str">
        <f t="shared" si="2"/>
        <v>Gaddar: The Traitor</v>
      </c>
      <c r="S4439" s="5" t="str">
        <f>IFERROR(__xludf.DUMMYFUNCTION("""COMPUTED_VALUE"""),"Mars")</f>
        <v>Mars</v>
      </c>
      <c r="U4439" s="5" t="str">
        <f>IFERROR(__xludf.DUMMYFUNCTION("""COMPUTED_VALUE"""),"Frank Capra, John Huston, Hugh Stewart, Roy Boulting, Anthony Veiller")</f>
        <v>Frank Capra, John Huston, Hugh Stewart, Roy Boulting, Anthony Veiller</v>
      </c>
      <c r="V4439" s="5" t="s">
        <v>23648</v>
      </c>
      <c r="W4439" s="5" t="str">
        <f t="shared" si="3"/>
        <v>William Wyler</v>
      </c>
      <c r="X4439" s="5">
        <f t="shared" si="4"/>
        <v>1</v>
      </c>
      <c r="Y4439" s="5" t="str">
        <f>IFERROR(__xludf.DUMMYFUNCTION("REGEXEXTRACT(J4439, ""^\d+"")"),"126")</f>
        <v>126</v>
      </c>
      <c r="Z4439" s="5" t="str">
        <f>IFERROR(__xludf.DUMMYFUNCTION("REGEXEXTRACT(J4439, ""[A-Za-z ]+$"")")," min")</f>
        <v> min</v>
      </c>
      <c r="AA4439" s="5" t="str">
        <f>IFERROR(__xludf.DUMMYFUNCTION("IF(REGEXMATCH(Z4439, ""Season""), ""TV Show"", ""Movie"")"),"Movie")</f>
        <v>Movie</v>
      </c>
    </row>
    <row r="4440">
      <c r="A4440" s="1" t="s">
        <v>23649</v>
      </c>
      <c r="B4440" s="1" t="s">
        <v>27</v>
      </c>
      <c r="C4440" s="1" t="s">
        <v>23650</v>
      </c>
      <c r="D4440" s="1" t="s">
        <v>18629</v>
      </c>
      <c r="E4440" s="1" t="s">
        <v>23651</v>
      </c>
      <c r="F4440" s="1" t="s">
        <v>63</v>
      </c>
      <c r="G4440" s="1" t="s">
        <v>23564</v>
      </c>
      <c r="H4440" s="1">
        <v>2013.0</v>
      </c>
      <c r="I4440" s="1" t="s">
        <v>42</v>
      </c>
      <c r="J4440" s="1" t="s">
        <v>1273</v>
      </c>
      <c r="K4440" s="1" t="s">
        <v>9309</v>
      </c>
      <c r="L4440" s="1" t="s">
        <v>23652</v>
      </c>
      <c r="M4440" s="2" t="s">
        <v>12</v>
      </c>
      <c r="N4440" s="4">
        <f t="shared" si="1"/>
        <v>43405</v>
      </c>
      <c r="O4440" s="5" t="str">
        <f>IFERROR(__xludf.DUMMYFUNCTION("IF(REGEXMATCH(TRIM(I4440), ""^\d+\s*min""), ""Unclassified"", IF(I4440 = """", ""NR"", I4440))"),"TV-MA")</f>
        <v>TV-MA</v>
      </c>
      <c r="R4440" s="5" t="str">
        <f t="shared" si="2"/>
        <v>Ghanchakkar</v>
      </c>
      <c r="S4440" s="5" t="str">
        <f>IFERROR(__xludf.DUMMYFUNCTION("""COMPUTED_VALUE"""),"Mars Attacks!")</f>
        <v>Mars Attacks!</v>
      </c>
      <c r="U4440" s="5" t="str">
        <f>IFERROR(__xludf.DUMMYFUNCTION("""COMPUTED_VALUE"""),"David Soren")</f>
        <v>David Soren</v>
      </c>
      <c r="V4440" s="5" t="s">
        <v>23653</v>
      </c>
      <c r="W4440" s="5" t="str">
        <f t="shared" si="3"/>
        <v>William Wyler, John Sturges</v>
      </c>
      <c r="X4440" s="5">
        <f t="shared" si="4"/>
        <v>1</v>
      </c>
      <c r="Y4440" s="5" t="str">
        <f>IFERROR(__xludf.DUMMYFUNCTION("REGEXEXTRACT(J4440, ""^\d+"")"),"129")</f>
        <v>129</v>
      </c>
      <c r="Z4440" s="5" t="str">
        <f>IFERROR(__xludf.DUMMYFUNCTION("REGEXEXTRACT(J4440, ""[A-Za-z ]+$"")")," min")</f>
        <v> min</v>
      </c>
      <c r="AA4440" s="5" t="str">
        <f>IFERROR(__xludf.DUMMYFUNCTION("IF(REGEXMATCH(Z4440, ""Season""), ""TV Show"", ""Movie"")"),"Movie")</f>
        <v>Movie</v>
      </c>
    </row>
    <row r="4441">
      <c r="A4441" s="1" t="s">
        <v>23654</v>
      </c>
      <c r="B4441" s="1" t="s">
        <v>27</v>
      </c>
      <c r="C4441" s="1" t="s">
        <v>23655</v>
      </c>
      <c r="D4441" s="1" t="s">
        <v>2899</v>
      </c>
      <c r="E4441" s="1" t="s">
        <v>23656</v>
      </c>
      <c r="F4441" s="1" t="s">
        <v>63</v>
      </c>
      <c r="G4441" s="1" t="s">
        <v>23564</v>
      </c>
      <c r="H4441" s="1">
        <v>2012.0</v>
      </c>
      <c r="I4441" s="1" t="s">
        <v>97</v>
      </c>
      <c r="J4441" s="1" t="s">
        <v>1428</v>
      </c>
      <c r="K4441" s="1" t="s">
        <v>631</v>
      </c>
      <c r="L4441" s="1" t="s">
        <v>23657</v>
      </c>
      <c r="M4441" s="2" t="s">
        <v>12</v>
      </c>
      <c r="N4441" s="4">
        <f t="shared" si="1"/>
        <v>43405</v>
      </c>
      <c r="O4441" s="5" t="str">
        <f>IFERROR(__xludf.DUMMYFUNCTION("IF(REGEXMATCH(TRIM(I4441), ""^\d+\s*min""), ""Unclassified"", IF(I4441 = """", ""NR"", I4441))"),"TV-14")</f>
        <v>TV-14</v>
      </c>
      <c r="R4441" s="5" t="str">
        <f t="shared" si="2"/>
        <v>Grandmaster</v>
      </c>
      <c r="S4441" s="5" t="str">
        <f>IFERROR(__xludf.DUMMYFUNCTION("""COMPUTED_VALUE"""),"Marseille")</f>
        <v>Marseille</v>
      </c>
      <c r="U4441" s="5" t="str">
        <f>IFERROR(__xludf.DUMMYFUNCTION("""COMPUTED_VALUE"""),"Hidetaka Inazuka")</f>
        <v>Hidetaka Inazuka</v>
      </c>
      <c r="V4441" s="5" t="s">
        <v>23658</v>
      </c>
      <c r="W4441" s="5" t="str">
        <f t="shared" si="3"/>
        <v>Wilson Coneybeare</v>
      </c>
      <c r="X4441" s="5">
        <f t="shared" si="4"/>
        <v>1</v>
      </c>
      <c r="Y4441" s="5" t="str">
        <f>IFERROR(__xludf.DUMMYFUNCTION("REGEXEXTRACT(J4441, ""^\d+"")"),"133")</f>
        <v>133</v>
      </c>
      <c r="Z4441" s="5" t="str">
        <f>IFERROR(__xludf.DUMMYFUNCTION("REGEXEXTRACT(J4441, ""[A-Za-z ]+$"")")," min")</f>
        <v> min</v>
      </c>
      <c r="AA4441" s="5" t="str">
        <f>IFERROR(__xludf.DUMMYFUNCTION("IF(REGEXMATCH(Z4441, ""Season""), ""TV Show"", ""Movie"")"),"Movie")</f>
        <v>Movie</v>
      </c>
    </row>
    <row r="4442">
      <c r="A4442" s="1" t="s">
        <v>23659</v>
      </c>
      <c r="B4442" s="1" t="s">
        <v>27</v>
      </c>
      <c r="C4442" s="1" t="s">
        <v>23660</v>
      </c>
      <c r="D4442" s="1" t="s">
        <v>1426</v>
      </c>
      <c r="E4442" s="1" t="s">
        <v>23661</v>
      </c>
      <c r="F4442" s="1" t="s">
        <v>63</v>
      </c>
      <c r="G4442" s="1" t="s">
        <v>23564</v>
      </c>
      <c r="H4442" s="1">
        <v>2007.0</v>
      </c>
      <c r="I4442" s="1" t="s">
        <v>97</v>
      </c>
      <c r="J4442" s="1" t="s">
        <v>1065</v>
      </c>
      <c r="K4442" s="1" t="s">
        <v>583</v>
      </c>
      <c r="L4442" s="1" t="s">
        <v>23662</v>
      </c>
      <c r="M4442" s="2" t="s">
        <v>12</v>
      </c>
      <c r="N4442" s="4">
        <f t="shared" si="1"/>
        <v>43405</v>
      </c>
      <c r="O4442" s="5" t="str">
        <f>IFERROR(__xludf.DUMMYFUNCTION("IF(REGEXMATCH(TRIM(I4442), ""^\d+\s*min""), ""Unclassified"", IF(I4442 = """", ""NR"", I4442))"),"TV-14")</f>
        <v>TV-14</v>
      </c>
      <c r="R4442" s="5" t="str">
        <f t="shared" si="2"/>
        <v>Hattrick</v>
      </c>
      <c r="S4442" s="5" t="str">
        <f>IFERROR(__xludf.DUMMYFUNCTION("""COMPUTED_VALUE"""),"Marshall")</f>
        <v>Marshall</v>
      </c>
      <c r="U4442" s="5" t="str">
        <f>IFERROR(__xludf.DUMMYFUNCTION("""COMPUTED_VALUE"""),"Buz Wallick")</f>
        <v>Buz Wallick</v>
      </c>
      <c r="V4442" s="5" t="s">
        <v>12644</v>
      </c>
      <c r="W4442" s="5" t="str">
        <f t="shared" si="3"/>
        <v>Wilson Yip</v>
      </c>
      <c r="X4442" s="5">
        <f t="shared" si="4"/>
        <v>5</v>
      </c>
      <c r="Y4442" s="5" t="str">
        <f>IFERROR(__xludf.DUMMYFUNCTION("REGEXEXTRACT(J4442, ""^\d+"")"),"109")</f>
        <v>109</v>
      </c>
      <c r="Z4442" s="5" t="str">
        <f>IFERROR(__xludf.DUMMYFUNCTION("REGEXEXTRACT(J4442, ""[A-Za-z ]+$"")")," min")</f>
        <v> min</v>
      </c>
      <c r="AA4442" s="5" t="str">
        <f>IFERROR(__xludf.DUMMYFUNCTION("IF(REGEXMATCH(Z4442, ""Season""), ""TV Show"", ""Movie"")"),"Movie")</f>
        <v>Movie</v>
      </c>
    </row>
    <row r="4443">
      <c r="A4443" s="1" t="s">
        <v>23663</v>
      </c>
      <c r="B4443" s="1" t="s">
        <v>27</v>
      </c>
      <c r="C4443" s="1" t="s">
        <v>23664</v>
      </c>
      <c r="D4443" s="1" t="s">
        <v>14228</v>
      </c>
      <c r="E4443" s="1" t="s">
        <v>23665</v>
      </c>
      <c r="F4443" s="1" t="s">
        <v>63</v>
      </c>
      <c r="G4443" s="1" t="s">
        <v>23564</v>
      </c>
      <c r="H4443" s="1">
        <v>2012.0</v>
      </c>
      <c r="I4443" s="1" t="s">
        <v>42</v>
      </c>
      <c r="J4443" s="1" t="s">
        <v>820</v>
      </c>
      <c r="K4443" s="1" t="s">
        <v>128</v>
      </c>
      <c r="L4443" s="1" t="s">
        <v>23666</v>
      </c>
      <c r="M4443" s="2" t="s">
        <v>12</v>
      </c>
      <c r="N4443" s="4">
        <f t="shared" si="1"/>
        <v>43405</v>
      </c>
      <c r="O4443" s="5" t="str">
        <f>IFERROR(__xludf.DUMMYFUNCTION("IF(REGEXMATCH(TRIM(I4443), ""^\d+\s*min""), ""Unclassified"", IF(I4443 = """", ""NR"", I4443))"),"TV-MA")</f>
        <v>TV-MA</v>
      </c>
      <c r="R4443" s="5" t="str">
        <f t="shared" si="2"/>
        <v>Heroine</v>
      </c>
      <c r="S4443" s="5" t="str">
        <f>IFERROR(__xludf.DUMMYFUNCTION("""COMPUTED_VALUE"""),"Martial Arts Of Shaolin")</f>
        <v>Martial Arts Of Shaolin</v>
      </c>
      <c r="U4443" s="5" t="str">
        <f>IFERROR(__xludf.DUMMYFUNCTION("""COMPUTED_VALUE"""),"Gary Young")</f>
        <v>Gary Young</v>
      </c>
      <c r="V4443" s="5" t="s">
        <v>23667</v>
      </c>
      <c r="W4443" s="5" t="str">
        <f t="shared" si="3"/>
        <v>Wim Bonte</v>
      </c>
      <c r="X4443" s="5">
        <f t="shared" si="4"/>
        <v>1</v>
      </c>
      <c r="Y4443" s="5" t="str">
        <f>IFERROR(__xludf.DUMMYFUNCTION("REGEXEXTRACT(J4443, ""^\d+"")"),"143")</f>
        <v>143</v>
      </c>
      <c r="Z4443" s="5" t="str">
        <f>IFERROR(__xludf.DUMMYFUNCTION("REGEXEXTRACT(J4443, ""[A-Za-z ]+$"")")," min")</f>
        <v> min</v>
      </c>
      <c r="AA4443" s="5" t="str">
        <f>IFERROR(__xludf.DUMMYFUNCTION("IF(REGEXMATCH(Z4443, ""Season""), ""TV Show"", ""Movie"")"),"Movie")</f>
        <v>Movie</v>
      </c>
    </row>
    <row r="4444">
      <c r="A4444" s="1" t="s">
        <v>23668</v>
      </c>
      <c r="B4444" s="1" t="s">
        <v>27</v>
      </c>
      <c r="C4444" s="1" t="s">
        <v>23669</v>
      </c>
      <c r="D4444" s="1" t="s">
        <v>20091</v>
      </c>
      <c r="E4444" s="1" t="s">
        <v>23670</v>
      </c>
      <c r="F4444" s="1" t="s">
        <v>63</v>
      </c>
      <c r="G4444" s="1" t="s">
        <v>23564</v>
      </c>
      <c r="H4444" s="1">
        <v>2013.0</v>
      </c>
      <c r="I4444" s="1" t="s">
        <v>97</v>
      </c>
      <c r="J4444" s="1" t="s">
        <v>1704</v>
      </c>
      <c r="K4444" s="1" t="s">
        <v>1328</v>
      </c>
      <c r="L4444" s="1" t="s">
        <v>23671</v>
      </c>
      <c r="M4444" s="2" t="s">
        <v>12</v>
      </c>
      <c r="N4444" s="4">
        <f t="shared" si="1"/>
        <v>43405</v>
      </c>
      <c r="O4444" s="5" t="str">
        <f>IFERROR(__xludf.DUMMYFUNCTION("IF(REGEXMATCH(TRIM(I4444), ""^\d+\s*min""), ""Unclassified"", IF(I4444 = """", ""NR"", I4444))"),"TV-14")</f>
        <v>TV-14</v>
      </c>
      <c r="R4444" s="5" t="str">
        <f t="shared" si="2"/>
        <v>Himmatwala</v>
      </c>
      <c r="S4444" s="5" t="str">
        <f>IFERROR(__xludf.DUMMYFUNCTION("""COMPUTED_VALUE"""),"Martin Lawrence Live: Runteldat")</f>
        <v>Martin Lawrence Live: Runteldat</v>
      </c>
      <c r="U4444" s="5" t="str">
        <f>IFERROR(__xludf.DUMMYFUNCTION("""COMPUTED_VALUE"""),"Susan Lambert, Stefan Moore")</f>
        <v>Susan Lambert, Stefan Moore</v>
      </c>
      <c r="V4444" s="5" t="s">
        <v>23672</v>
      </c>
      <c r="W4444" s="5" t="str">
        <f t="shared" si="3"/>
        <v>Wim Wenders</v>
      </c>
      <c r="X4444" s="5">
        <f t="shared" si="4"/>
        <v>1</v>
      </c>
      <c r="Y4444" s="5" t="str">
        <f>IFERROR(__xludf.DUMMYFUNCTION("REGEXEXTRACT(J4444, ""^\d+"")"),"140")</f>
        <v>140</v>
      </c>
      <c r="Z4444" s="5" t="str">
        <f>IFERROR(__xludf.DUMMYFUNCTION("REGEXEXTRACT(J4444, ""[A-Za-z ]+$"")")," min")</f>
        <v> min</v>
      </c>
      <c r="AA4444" s="5" t="str">
        <f>IFERROR(__xludf.DUMMYFUNCTION("IF(REGEXMATCH(Z4444, ""Season""), ""TV Show"", ""Movie"")"),"Movie")</f>
        <v>Movie</v>
      </c>
    </row>
    <row r="4445">
      <c r="A4445" s="1" t="s">
        <v>23673</v>
      </c>
      <c r="B4445" s="1" t="s">
        <v>27</v>
      </c>
      <c r="C4445" s="1" t="s">
        <v>23674</v>
      </c>
      <c r="D4445" s="1" t="s">
        <v>20086</v>
      </c>
      <c r="E4445" s="1" t="s">
        <v>23675</v>
      </c>
      <c r="F4445" s="1" t="s">
        <v>63</v>
      </c>
      <c r="G4445" s="1" t="s">
        <v>23564</v>
      </c>
      <c r="H4445" s="1">
        <v>2012.0</v>
      </c>
      <c r="I4445" s="1" t="s">
        <v>97</v>
      </c>
      <c r="J4445" s="1" t="s">
        <v>1407</v>
      </c>
      <c r="K4445" s="1" t="s">
        <v>230</v>
      </c>
      <c r="L4445" s="1" t="s">
        <v>23676</v>
      </c>
      <c r="M4445" s="2" t="s">
        <v>12</v>
      </c>
      <c r="N4445" s="4">
        <f t="shared" si="1"/>
        <v>43405</v>
      </c>
      <c r="O4445" s="5" t="str">
        <f>IFERROR(__xludf.DUMMYFUNCTION("IF(REGEXMATCH(TRIM(I4445), ""^\d+\s*min""), ""Unclassified"", IF(I4445 = """", ""NR"", I4445))"),"TV-14")</f>
        <v>TV-14</v>
      </c>
      <c r="R4445" s="5" t="str">
        <f t="shared" si="2"/>
        <v>Husbands In Goa</v>
      </c>
      <c r="S4445" s="5" t="str">
        <f>IFERROR(__xludf.DUMMYFUNCTION("""COMPUTED_VALUE"""),"Martin Luther: The Idea That Changed The World")</f>
        <v>Martin Luther: The Idea That Changed The World</v>
      </c>
      <c r="U4445" s="5" t="str">
        <f>IFERROR(__xludf.DUMMYFUNCTION("""COMPUTED_VALUE"""),"Benedict Andrews")</f>
        <v>Benedict Andrews</v>
      </c>
      <c r="V4445" s="5" t="s">
        <v>23677</v>
      </c>
      <c r="W4445" s="5" t="str">
        <f t="shared" si="3"/>
        <v>Wojciech Marczewski</v>
      </c>
      <c r="X4445" s="5">
        <f t="shared" si="4"/>
        <v>1</v>
      </c>
      <c r="Y4445" s="5" t="str">
        <f>IFERROR(__xludf.DUMMYFUNCTION("REGEXEXTRACT(J4445, ""^\d+"")"),"150")</f>
        <v>150</v>
      </c>
      <c r="Z4445" s="5" t="str">
        <f>IFERROR(__xludf.DUMMYFUNCTION("REGEXEXTRACT(J4445, ""[A-Za-z ]+$"")")," min")</f>
        <v> min</v>
      </c>
      <c r="AA4445" s="5" t="str">
        <f>IFERROR(__xludf.DUMMYFUNCTION("IF(REGEXMATCH(Z4445, ""Season""), ""TV Show"", ""Movie"")"),"Movie")</f>
        <v>Movie</v>
      </c>
    </row>
    <row r="4446">
      <c r="A4446" s="1" t="s">
        <v>23678</v>
      </c>
      <c r="B4446" s="1" t="s">
        <v>27</v>
      </c>
      <c r="C4446" s="1" t="s">
        <v>23679</v>
      </c>
      <c r="D4446" s="1" t="s">
        <v>13192</v>
      </c>
      <c r="E4446" s="1" t="s">
        <v>23680</v>
      </c>
      <c r="F4446" s="1" t="s">
        <v>63</v>
      </c>
      <c r="G4446" s="1" t="s">
        <v>23564</v>
      </c>
      <c r="H4446" s="1">
        <v>2013.0</v>
      </c>
      <c r="I4446" s="1" t="s">
        <v>136</v>
      </c>
      <c r="J4446" s="1" t="s">
        <v>757</v>
      </c>
      <c r="K4446" s="1" t="s">
        <v>230</v>
      </c>
      <c r="L4446" s="1" t="s">
        <v>23681</v>
      </c>
      <c r="M4446" s="2" t="s">
        <v>12</v>
      </c>
      <c r="N4446" s="4">
        <f t="shared" si="1"/>
        <v>43405</v>
      </c>
      <c r="O4446" s="5" t="str">
        <f>IFERROR(__xludf.DUMMYFUNCTION("IF(REGEXMATCH(TRIM(I4446), ""^\d+\s*min""), ""Unclassified"", IF(I4446 = """", ""NR"", I4446))"),"TV-PG")</f>
        <v>TV-PG</v>
      </c>
      <c r="R4446" s="5" t="str">
        <f t="shared" si="2"/>
        <v>Jatts In Golmaal</v>
      </c>
      <c r="S4446" s="5" t="str">
        <f>IFERROR(__xludf.DUMMYFUNCTION("""COMPUTED_VALUE"""),"Martin Matte: La Vie, La Mort...Eh La La..!")</f>
        <v>Martin Matte: La Vie, La Mort...Eh La La..!</v>
      </c>
      <c r="U4446" s="5" t="str">
        <f>IFERROR(__xludf.DUMMYFUNCTION("""COMPUTED_VALUE"""),"Paul Feig")</f>
        <v>Paul Feig</v>
      </c>
      <c r="V4446" s="5" t="s">
        <v>1183</v>
      </c>
      <c r="W4446" s="5" t="str">
        <f t="shared" si="3"/>
        <v>Wolfgang Petersen</v>
      </c>
      <c r="X4446" s="5">
        <f t="shared" si="4"/>
        <v>3</v>
      </c>
      <c r="Y4446" s="5" t="str">
        <f>IFERROR(__xludf.DUMMYFUNCTION("REGEXEXTRACT(J4446, ""^\d+"")"),"128")</f>
        <v>128</v>
      </c>
      <c r="Z4446" s="5" t="str">
        <f>IFERROR(__xludf.DUMMYFUNCTION("REGEXEXTRACT(J4446, ""[A-Za-z ]+$"")")," min")</f>
        <v> min</v>
      </c>
      <c r="AA4446" s="5" t="str">
        <f>IFERROR(__xludf.DUMMYFUNCTION("IF(REGEXMATCH(Z4446, ""Season""), ""TV Show"", ""Movie"")"),"Movie")</f>
        <v>Movie</v>
      </c>
    </row>
    <row r="4447">
      <c r="A4447" s="1" t="s">
        <v>23682</v>
      </c>
      <c r="B4447" s="1" t="s">
        <v>27</v>
      </c>
      <c r="C4447" s="1" t="s">
        <v>23683</v>
      </c>
      <c r="D4447" s="1" t="s">
        <v>272</v>
      </c>
      <c r="E4447" s="1" t="s">
        <v>23684</v>
      </c>
      <c r="F4447" s="1" t="s">
        <v>63</v>
      </c>
      <c r="G4447" s="1" t="s">
        <v>23564</v>
      </c>
      <c r="H4447" s="1">
        <v>2013.0</v>
      </c>
      <c r="I4447" s="1" t="s">
        <v>42</v>
      </c>
      <c r="J4447" s="1" t="s">
        <v>985</v>
      </c>
      <c r="K4447" s="1" t="s">
        <v>5099</v>
      </c>
      <c r="L4447" s="1" t="s">
        <v>23685</v>
      </c>
      <c r="M4447" s="2" t="s">
        <v>12</v>
      </c>
      <c r="N4447" s="4">
        <f t="shared" si="1"/>
        <v>43405</v>
      </c>
      <c r="O4447" s="5" t="str">
        <f>IFERROR(__xludf.DUMMYFUNCTION("IF(REGEXMATCH(TRIM(I4447), ""^\d+\s*min""), ""Unclassified"", IF(I4447 = """", ""NR"", I4447))"),"TV-MA")</f>
        <v>TV-MA</v>
      </c>
      <c r="R4447" s="5" t="str">
        <f t="shared" si="2"/>
        <v>Kai Po Che!</v>
      </c>
      <c r="S4447" s="5" t="str">
        <f>IFERROR(__xludf.DUMMYFUNCTION("""COMPUTED_VALUE"""),"Martyrs Of Marriage")</f>
        <v>Martyrs Of Marriage</v>
      </c>
      <c r="U4447" s="5" t="str">
        <f>IFERROR(__xludf.DUMMYFUNCTION("""COMPUTED_VALUE"""),"Michael Mazzola")</f>
        <v>Michael Mazzola</v>
      </c>
      <c r="V4447" s="5" t="s">
        <v>23686</v>
      </c>
      <c r="W4447" s="5" t="str">
        <f t="shared" si="3"/>
        <v>Wong Jing</v>
      </c>
      <c r="X4447" s="5">
        <f t="shared" si="4"/>
        <v>4</v>
      </c>
      <c r="Y4447" s="5" t="str">
        <f>IFERROR(__xludf.DUMMYFUNCTION("REGEXEXTRACT(J4447, ""^\d+"")"),"120")</f>
        <v>120</v>
      </c>
      <c r="Z4447" s="5" t="str">
        <f>IFERROR(__xludf.DUMMYFUNCTION("REGEXEXTRACT(J4447, ""[A-Za-z ]+$"")")," min")</f>
        <v> min</v>
      </c>
      <c r="AA4447" s="5" t="str">
        <f>IFERROR(__xludf.DUMMYFUNCTION("IF(REGEXMATCH(Z4447, ""Season""), ""TV Show"", ""Movie"")"),"Movie")</f>
        <v>Movie</v>
      </c>
    </row>
    <row r="4448">
      <c r="A4448" s="1" t="s">
        <v>23687</v>
      </c>
      <c r="B4448" s="1" t="s">
        <v>27</v>
      </c>
      <c r="C4448" s="1" t="s">
        <v>23688</v>
      </c>
      <c r="D4448" s="1" t="s">
        <v>21913</v>
      </c>
      <c r="E4448" s="1" t="s">
        <v>23689</v>
      </c>
      <c r="F4448" s="1" t="s">
        <v>63</v>
      </c>
      <c r="G4448" s="1" t="s">
        <v>23564</v>
      </c>
      <c r="H4448" s="1">
        <v>2012.0</v>
      </c>
      <c r="I4448" s="1" t="s">
        <v>97</v>
      </c>
      <c r="J4448" s="1" t="s">
        <v>965</v>
      </c>
      <c r="K4448" s="1" t="s">
        <v>230</v>
      </c>
      <c r="L4448" s="1" t="s">
        <v>23690</v>
      </c>
      <c r="M4448" s="2" t="s">
        <v>12</v>
      </c>
      <c r="N4448" s="4">
        <f t="shared" si="1"/>
        <v>43405</v>
      </c>
      <c r="O4448" s="5" t="str">
        <f>IFERROR(__xludf.DUMMYFUNCTION("IF(REGEXMATCH(TRIM(I4448), ""^\d+\s*min""), ""Unclassified"", IF(I4448 = """", ""NR"", I4448))"),"TV-14")</f>
        <v>TV-14</v>
      </c>
      <c r="R4448" s="5" t="str">
        <f t="shared" si="2"/>
        <v>Kalakalappu</v>
      </c>
      <c r="S4448" s="5" t="str">
        <f>IFERROR(__xludf.DUMMYFUNCTION("""COMPUTED_VALUE"""),"Marvel &amp; Espn Films Present: 1 Of 1: Genesis")</f>
        <v>Marvel &amp; Espn Films Present: 1 Of 1: Genesis</v>
      </c>
      <c r="U4448" s="5" t="str">
        <f>IFERROR(__xludf.DUMMYFUNCTION("""COMPUTED_VALUE"""),"Chris Burkard")</f>
        <v>Chris Burkard</v>
      </c>
      <c r="V4448" s="5" t="s">
        <v>23691</v>
      </c>
      <c r="W4448" s="5" t="str">
        <f t="shared" si="3"/>
        <v>Wong Jing, Jason Kwan</v>
      </c>
      <c r="X4448" s="5">
        <f t="shared" si="4"/>
        <v>1</v>
      </c>
      <c r="Y4448" s="5" t="str">
        <f>IFERROR(__xludf.DUMMYFUNCTION("REGEXEXTRACT(J4448, ""^\d+"")"),"154")</f>
        <v>154</v>
      </c>
      <c r="Z4448" s="5" t="str">
        <f>IFERROR(__xludf.DUMMYFUNCTION("REGEXEXTRACT(J4448, ""[A-Za-z ]+$"")")," min")</f>
        <v> min</v>
      </c>
      <c r="AA4448" s="5" t="str">
        <f>IFERROR(__xludf.DUMMYFUNCTION("IF(REGEXMATCH(Z4448, ""Season""), ""TV Show"", ""Movie"")"),"Movie")</f>
        <v>Movie</v>
      </c>
    </row>
    <row r="4449">
      <c r="A4449" s="1" t="s">
        <v>23692</v>
      </c>
      <c r="B4449" s="1" t="s">
        <v>27</v>
      </c>
      <c r="C4449" s="1" t="s">
        <v>23693</v>
      </c>
      <c r="D4449" s="1" t="s">
        <v>8140</v>
      </c>
      <c r="E4449" s="1" t="s">
        <v>23694</v>
      </c>
      <c r="F4449" s="1" t="s">
        <v>30</v>
      </c>
      <c r="G4449" s="1" t="s">
        <v>23564</v>
      </c>
      <c r="H4449" s="1">
        <v>2006.0</v>
      </c>
      <c r="I4449" s="1" t="s">
        <v>42</v>
      </c>
      <c r="J4449" s="1" t="s">
        <v>9520</v>
      </c>
      <c r="K4449" s="1" t="s">
        <v>1839</v>
      </c>
      <c r="L4449" s="1" t="s">
        <v>23695</v>
      </c>
      <c r="M4449" s="2" t="s">
        <v>12</v>
      </c>
      <c r="N4449" s="4">
        <f t="shared" si="1"/>
        <v>43405</v>
      </c>
      <c r="O4449" s="5" t="str">
        <f>IFERROR(__xludf.DUMMYFUNCTION("IF(REGEXMATCH(TRIM(I4449), ""^\d+\s*min""), ""Unclassified"", IF(I4449 = """", ""NR"", I4449))"),"TV-MA")</f>
        <v>TV-MA</v>
      </c>
      <c r="R4449" s="5" t="str">
        <f t="shared" si="2"/>
        <v>Katt Williams: The Pimp Chronicles: Pt. 1</v>
      </c>
      <c r="S4449" s="5" t="str">
        <f>IFERROR(__xludf.DUMMYFUNCTION("""COMPUTED_VALUE"""),"Marvel Anime: Wolverine")</f>
        <v>Marvel Anime: Wolverine</v>
      </c>
      <c r="U4449" s="5" t="str">
        <f>IFERROR(__xludf.DUMMYFUNCTION("""COMPUTED_VALUE"""),"Jonathan Glazer")</f>
        <v>Jonathan Glazer</v>
      </c>
      <c r="V4449" s="5" t="s">
        <v>19107</v>
      </c>
      <c r="W4449" s="5" t="str">
        <f t="shared" si="3"/>
        <v>Wong Kar Wai</v>
      </c>
      <c r="X4449" s="5">
        <f t="shared" si="4"/>
        <v>1</v>
      </c>
      <c r="Y4449" s="5" t="str">
        <f>IFERROR(__xludf.DUMMYFUNCTION("REGEXEXTRACT(J4449, ""^\d+"")"),"45")</f>
        <v>45</v>
      </c>
      <c r="Z4449" s="5" t="str">
        <f>IFERROR(__xludf.DUMMYFUNCTION("REGEXEXTRACT(J4449, ""[A-Za-z ]+$"")")," min")</f>
        <v> min</v>
      </c>
      <c r="AA4449" s="5" t="str">
        <f>IFERROR(__xludf.DUMMYFUNCTION("IF(REGEXMATCH(Z4449, ""Season""), ""TV Show"", ""Movie"")"),"Movie")</f>
        <v>Movie</v>
      </c>
    </row>
    <row r="4450">
      <c r="A4450" s="1" t="s">
        <v>23696</v>
      </c>
      <c r="B4450" s="1" t="s">
        <v>27</v>
      </c>
      <c r="C4450" s="1" t="s">
        <v>23697</v>
      </c>
      <c r="D4450" s="1" t="s">
        <v>16902</v>
      </c>
      <c r="E4450" s="1" t="s">
        <v>23698</v>
      </c>
      <c r="F4450" s="1" t="s">
        <v>63</v>
      </c>
      <c r="G4450" s="1" t="s">
        <v>23564</v>
      </c>
      <c r="H4450" s="1">
        <v>2015.0</v>
      </c>
      <c r="I4450" s="1" t="s">
        <v>97</v>
      </c>
      <c r="J4450" s="1" t="s">
        <v>2505</v>
      </c>
      <c r="K4450" s="1" t="s">
        <v>583</v>
      </c>
      <c r="L4450" s="1" t="s">
        <v>23699</v>
      </c>
      <c r="M4450" s="2" t="s">
        <v>12</v>
      </c>
      <c r="N4450" s="4">
        <f t="shared" si="1"/>
        <v>43405</v>
      </c>
      <c r="O4450" s="5" t="str">
        <f>IFERROR(__xludf.DUMMYFUNCTION("IF(REGEXMATCH(TRIM(I4450), ""^\d+\s*min""), ""Unclassified"", IF(I4450 = """", ""NR"", I4450))"),"TV-14")</f>
        <v>TV-14</v>
      </c>
      <c r="R4450" s="5" t="str">
        <f t="shared" si="2"/>
        <v>Katti Batti</v>
      </c>
      <c r="S4450" s="5" t="str">
        <f>IFERROR(__xludf.DUMMYFUNCTION("""COMPUTED_VALUE"""),"Marvel Anime: X-Men")</f>
        <v>Marvel Anime: X-Men</v>
      </c>
      <c r="U4450" s="5" t="str">
        <f>IFERROR(__xludf.DUMMYFUNCTION("""COMPUTED_VALUE"""),"Sanjay Patel")</f>
        <v>Sanjay Patel</v>
      </c>
      <c r="V4450" s="5" t="s">
        <v>23700</v>
      </c>
      <c r="W4450" s="5" t="str">
        <f t="shared" si="3"/>
        <v>Woo Min-Ho</v>
      </c>
      <c r="X4450" s="5">
        <f t="shared" si="4"/>
        <v>1</v>
      </c>
      <c r="Y4450" s="5" t="str">
        <f>IFERROR(__xludf.DUMMYFUNCTION("REGEXEXTRACT(J4450, ""^\d+"")"),"132")</f>
        <v>132</v>
      </c>
      <c r="Z4450" s="5" t="str">
        <f>IFERROR(__xludf.DUMMYFUNCTION("REGEXEXTRACT(J4450, ""[A-Za-z ]+$"")")," min")</f>
        <v> min</v>
      </c>
      <c r="AA4450" s="5" t="str">
        <f>IFERROR(__xludf.DUMMYFUNCTION("IF(REGEXMATCH(Z4450, ""Season""), ""TV Show"", ""Movie"")"),"Movie")</f>
        <v>Movie</v>
      </c>
    </row>
    <row r="4451">
      <c r="A4451" s="1" t="s">
        <v>23701</v>
      </c>
      <c r="B4451" s="1" t="s">
        <v>27</v>
      </c>
      <c r="C4451" s="1" t="s">
        <v>23702</v>
      </c>
      <c r="D4451" s="1" t="s">
        <v>2394</v>
      </c>
      <c r="E4451" s="1" t="s">
        <v>23703</v>
      </c>
      <c r="F4451" s="1" t="s">
        <v>63</v>
      </c>
      <c r="G4451" s="1" t="s">
        <v>23564</v>
      </c>
      <c r="H4451" s="1">
        <v>2007.0</v>
      </c>
      <c r="I4451" s="1" t="s">
        <v>97</v>
      </c>
      <c r="J4451" s="1" t="s">
        <v>3458</v>
      </c>
      <c r="K4451" s="1" t="s">
        <v>1429</v>
      </c>
      <c r="L4451" s="1" t="s">
        <v>23704</v>
      </c>
      <c r="M4451" s="2" t="s">
        <v>12</v>
      </c>
      <c r="N4451" s="4">
        <f t="shared" si="1"/>
        <v>43405</v>
      </c>
      <c r="O4451" s="5" t="str">
        <f>IFERROR(__xludf.DUMMYFUNCTION("IF(REGEXMATCH(TRIM(I4451), ""^\d+\s*min""), ""Unclassified"", IF(I4451 = """", ""NR"", I4451))"),"TV-14")</f>
        <v>TV-14</v>
      </c>
      <c r="R4451" s="5" t="str">
        <f t="shared" si="2"/>
        <v>Life In A ... Metro</v>
      </c>
      <c r="S4451" s="5" t="str">
        <f>IFERROR(__xludf.DUMMYFUNCTION("""COMPUTED_VALUE"""),"Marvel Super Hero Adventures: Frost Fight!")</f>
        <v>Marvel Super Hero Adventures: Frost Fight!</v>
      </c>
      <c r="U4451" s="5" t="str">
        <f>IFERROR(__xludf.DUMMYFUNCTION("""COMPUTED_VALUE"""),"Sherif Mandour")</f>
        <v>Sherif Mandour</v>
      </c>
      <c r="V4451" s="5" t="s">
        <v>23705</v>
      </c>
      <c r="W4451" s="5" t="str">
        <f t="shared" si="3"/>
        <v>Woo Ming Jin</v>
      </c>
      <c r="X4451" s="5">
        <f t="shared" si="4"/>
        <v>1</v>
      </c>
      <c r="Y4451" s="5" t="str">
        <f>IFERROR(__xludf.DUMMYFUNCTION("REGEXEXTRACT(J4451, ""^\d+"")"),"126")</f>
        <v>126</v>
      </c>
      <c r="Z4451" s="5" t="str">
        <f>IFERROR(__xludf.DUMMYFUNCTION("REGEXEXTRACT(J4451, ""[A-Za-z ]+$"")")," min")</f>
        <v> min</v>
      </c>
      <c r="AA4451" s="5" t="str">
        <f>IFERROR(__xludf.DUMMYFUNCTION("IF(REGEXMATCH(Z4451, ""Season""), ""TV Show"", ""Movie"")"),"Movie")</f>
        <v>Movie</v>
      </c>
    </row>
    <row r="4452">
      <c r="A4452" s="1" t="s">
        <v>23706</v>
      </c>
      <c r="B4452" s="1" t="s">
        <v>27</v>
      </c>
      <c r="C4452" s="1" t="s">
        <v>23707</v>
      </c>
      <c r="D4452" s="1" t="s">
        <v>13344</v>
      </c>
      <c r="E4452" s="1" t="s">
        <v>15810</v>
      </c>
      <c r="F4452" s="1" t="s">
        <v>30</v>
      </c>
      <c r="G4452" s="1" t="s">
        <v>23564</v>
      </c>
      <c r="H4452" s="1">
        <v>2013.0</v>
      </c>
      <c r="I4452" s="1" t="s">
        <v>42</v>
      </c>
      <c r="J4452" s="1" t="s">
        <v>465</v>
      </c>
      <c r="K4452" s="1" t="s">
        <v>1839</v>
      </c>
      <c r="L4452" s="1" t="s">
        <v>23708</v>
      </c>
      <c r="M4452" s="2" t="s">
        <v>12</v>
      </c>
      <c r="N4452" s="4">
        <f t="shared" si="1"/>
        <v>43405</v>
      </c>
      <c r="O4452" s="5" t="str">
        <f>IFERROR(__xludf.DUMMYFUNCTION("IF(REGEXMATCH(TRIM(I4452), ""^\d+\s*min""), ""Unclassified"", IF(I4452 = """", ""NR"", I4452))"),"TV-MA")</f>
        <v>TV-MA</v>
      </c>
      <c r="R4452" s="5" t="str">
        <f t="shared" si="2"/>
        <v>Marc Maron: Thinky Pain</v>
      </c>
      <c r="S4452" s="5" t="str">
        <f>IFERROR(__xludf.DUMMYFUNCTION("""COMPUTED_VALUE"""),"Marvel'S Agents Of S.H.I.E.L.D.")</f>
        <v>Marvel'S Agents Of S.H.I.E.L.D.</v>
      </c>
      <c r="U4452" s="5" t="str">
        <f>IFERROR(__xludf.DUMMYFUNCTION("""COMPUTED_VALUE"""),"Jason Reitman")</f>
        <v>Jason Reitman</v>
      </c>
      <c r="V4452" s="5" t="s">
        <v>23709</v>
      </c>
      <c r="W4452" s="5" t="str">
        <f t="shared" si="3"/>
        <v>Woody Allen</v>
      </c>
      <c r="X4452" s="5">
        <f t="shared" si="4"/>
        <v>1</v>
      </c>
      <c r="Y4452" s="5" t="str">
        <f>IFERROR(__xludf.DUMMYFUNCTION("REGEXEXTRACT(J4452, ""^\d+"")"),"95")</f>
        <v>95</v>
      </c>
      <c r="Z4452" s="5" t="str">
        <f>IFERROR(__xludf.DUMMYFUNCTION("REGEXEXTRACT(J4452, ""[A-Za-z ]+$"")")," min")</f>
        <v> min</v>
      </c>
      <c r="AA4452" s="5" t="str">
        <f>IFERROR(__xludf.DUMMYFUNCTION("IF(REGEXMATCH(Z4452, ""Season""), ""TV Show"", ""Movie"")"),"Movie")</f>
        <v>Movie</v>
      </c>
    </row>
    <row r="4453">
      <c r="A4453" s="1" t="s">
        <v>23710</v>
      </c>
      <c r="B4453" s="1" t="s">
        <v>27</v>
      </c>
      <c r="C4453" s="1" t="s">
        <v>23711</v>
      </c>
      <c r="D4453" s="1" t="s">
        <v>12917</v>
      </c>
      <c r="E4453" s="1" t="s">
        <v>23712</v>
      </c>
      <c r="F4453" s="1" t="s">
        <v>63</v>
      </c>
      <c r="G4453" s="1" t="s">
        <v>23564</v>
      </c>
      <c r="H4453" s="1">
        <v>2008.0</v>
      </c>
      <c r="I4453" s="1" t="s">
        <v>42</v>
      </c>
      <c r="J4453" s="1" t="s">
        <v>1369</v>
      </c>
      <c r="K4453" s="1" t="s">
        <v>128</v>
      </c>
      <c r="L4453" s="1" t="s">
        <v>23713</v>
      </c>
      <c r="M4453" s="2" t="s">
        <v>12</v>
      </c>
      <c r="N4453" s="4">
        <f t="shared" si="1"/>
        <v>43405</v>
      </c>
      <c r="O4453" s="5" t="str">
        <f>IFERROR(__xludf.DUMMYFUNCTION("IF(REGEXMATCH(TRIM(I4453), ""^\d+\s*min""), ""Unclassified"", IF(I4453 = """", ""NR"", I4453))"),"TV-MA")</f>
        <v>TV-MA</v>
      </c>
      <c r="R4453" s="5" t="str">
        <f t="shared" si="2"/>
        <v>Mumbai Meri Jaan</v>
      </c>
      <c r="S4453" s="5" t="str">
        <f>IFERROR(__xludf.DUMMYFUNCTION("""COMPUTED_VALUE"""),"Marvel'S Daredevil")</f>
        <v>Marvel'S Daredevil</v>
      </c>
      <c r="U4453" s="5" t="str">
        <f>IFERROR(__xludf.DUMMYFUNCTION("""COMPUTED_VALUE"""),"Pradeep Verma")</f>
        <v>Pradeep Verma</v>
      </c>
      <c r="V4453" s="5" t="s">
        <v>12806</v>
      </c>
      <c r="W4453" s="5" t="str">
        <f t="shared" si="3"/>
        <v>Wouter Bouvijn</v>
      </c>
      <c r="X4453" s="5">
        <f t="shared" si="4"/>
        <v>1</v>
      </c>
      <c r="Y4453" s="5" t="str">
        <f>IFERROR(__xludf.DUMMYFUNCTION("REGEXEXTRACT(J4453, ""^\d+"")"),"135")</f>
        <v>135</v>
      </c>
      <c r="Z4453" s="5" t="str">
        <f>IFERROR(__xludf.DUMMYFUNCTION("REGEXEXTRACT(J4453, ""[A-Za-z ]+$"")")," min")</f>
        <v> min</v>
      </c>
      <c r="AA4453" s="5" t="str">
        <f>IFERROR(__xludf.DUMMYFUNCTION("IF(REGEXMATCH(Z4453, ""Season""), ""TV Show"", ""Movie"")"),"Movie")</f>
        <v>Movie</v>
      </c>
    </row>
    <row r="4454">
      <c r="A4454" s="1" t="s">
        <v>23714</v>
      </c>
      <c r="B4454" s="1" t="s">
        <v>27</v>
      </c>
      <c r="C4454" s="1" t="s">
        <v>23715</v>
      </c>
      <c r="D4454" s="1" t="s">
        <v>16632</v>
      </c>
      <c r="E4454" s="1" t="s">
        <v>23716</v>
      </c>
      <c r="F4454" s="1" t="s">
        <v>63</v>
      </c>
      <c r="G4454" s="1" t="s">
        <v>23564</v>
      </c>
      <c r="H4454" s="1">
        <v>2014.0</v>
      </c>
      <c r="I4454" s="1" t="s">
        <v>97</v>
      </c>
      <c r="J4454" s="1" t="s">
        <v>1938</v>
      </c>
      <c r="K4454" s="1" t="s">
        <v>230</v>
      </c>
      <c r="L4454" s="1" t="s">
        <v>23717</v>
      </c>
      <c r="M4454" s="2" t="s">
        <v>12</v>
      </c>
      <c r="N4454" s="4">
        <f t="shared" si="1"/>
        <v>43405</v>
      </c>
      <c r="O4454" s="5" t="str">
        <f>IFERROR(__xludf.DUMMYFUNCTION("IF(REGEXMATCH(TRIM(I4454), ""^\d+\s*min""), ""Unclassified"", IF(I4454 = """", ""NR"", I4454))"),"TV-14")</f>
        <v>TV-14</v>
      </c>
      <c r="R4454" s="5" t="str">
        <f t="shared" si="2"/>
        <v>Mundeyan Ton Bachke Rahin</v>
      </c>
      <c r="S4454" s="5" t="str">
        <f>IFERROR(__xludf.DUMMYFUNCTION("""COMPUTED_VALUE"""),"Marvel'S Hulk: Where Monsters Dwell")</f>
        <v>Marvel'S Hulk: Where Monsters Dwell</v>
      </c>
      <c r="U4454" s="5" t="str">
        <f>IFERROR(__xludf.DUMMYFUNCTION("""COMPUTED_VALUE"""),"Mario Van Peebles")</f>
        <v>Mario Van Peebles</v>
      </c>
      <c r="V4454" s="5" t="s">
        <v>23718</v>
      </c>
      <c r="W4454" s="5" t="str">
        <f t="shared" si="3"/>
        <v>Wyatt Cenac</v>
      </c>
      <c r="X4454" s="5">
        <f t="shared" si="4"/>
        <v>1</v>
      </c>
      <c r="Y4454" s="5" t="str">
        <f>IFERROR(__xludf.DUMMYFUNCTION("REGEXEXTRACT(J4454, ""^\d+"")"),"139")</f>
        <v>139</v>
      </c>
      <c r="Z4454" s="5" t="str">
        <f>IFERROR(__xludf.DUMMYFUNCTION("REGEXEXTRACT(J4454, ""[A-Za-z ]+$"")")," min")</f>
        <v> min</v>
      </c>
      <c r="AA4454" s="5" t="str">
        <f>IFERROR(__xludf.DUMMYFUNCTION("IF(REGEXMATCH(Z4454, ""Season""), ""TV Show"", ""Movie"")"),"Movie")</f>
        <v>Movie</v>
      </c>
    </row>
    <row r="4455">
      <c r="A4455" s="1" t="s">
        <v>23719</v>
      </c>
      <c r="B4455" s="1" t="s">
        <v>27</v>
      </c>
      <c r="C4455" s="1" t="s">
        <v>23720</v>
      </c>
      <c r="D4455" s="1" t="s">
        <v>18629</v>
      </c>
      <c r="E4455" s="1" t="s">
        <v>23721</v>
      </c>
      <c r="F4455" s="1" t="s">
        <v>63</v>
      </c>
      <c r="G4455" s="1" t="s">
        <v>23564</v>
      </c>
      <c r="H4455" s="1">
        <v>2011.0</v>
      </c>
      <c r="I4455" s="1" t="s">
        <v>42</v>
      </c>
      <c r="J4455" s="1" t="s">
        <v>2859</v>
      </c>
      <c r="K4455" s="1" t="s">
        <v>128</v>
      </c>
      <c r="L4455" s="1" t="s">
        <v>23722</v>
      </c>
      <c r="M4455" s="2" t="s">
        <v>12</v>
      </c>
      <c r="N4455" s="4">
        <f t="shared" si="1"/>
        <v>43405</v>
      </c>
      <c r="O4455" s="5" t="str">
        <f>IFERROR(__xludf.DUMMYFUNCTION("IF(REGEXMATCH(TRIM(I4455), ""^\d+\s*min""), ""Unclassified"", IF(I4455 = """", ""NR"", I4455))"),"TV-MA")</f>
        <v>TV-MA</v>
      </c>
      <c r="R4455" s="5" t="str">
        <f t="shared" si="2"/>
        <v>No One Killed Jessica</v>
      </c>
      <c r="S4455" s="5" t="str">
        <f>IFERROR(__xludf.DUMMYFUNCTION("""COMPUTED_VALUE"""),"Marvel'S Iron Fist")</f>
        <v>Marvel'S Iron Fist</v>
      </c>
      <c r="U4455" s="5" t="str">
        <f>IFERROR(__xludf.DUMMYFUNCTION("""COMPUTED_VALUE"""),"Ashu Trikha")</f>
        <v>Ashu Trikha</v>
      </c>
      <c r="V4455" s="5" t="s">
        <v>18185</v>
      </c>
      <c r="W4455" s="5" t="str">
        <f t="shared" si="3"/>
        <v>Xavier Durringer</v>
      </c>
      <c r="X4455" s="5">
        <f t="shared" si="4"/>
        <v>1</v>
      </c>
      <c r="Y4455" s="5" t="str">
        <f>IFERROR(__xludf.DUMMYFUNCTION("REGEXEXTRACT(J4455, ""^\d+"")"),"131")</f>
        <v>131</v>
      </c>
      <c r="Z4455" s="5" t="str">
        <f>IFERROR(__xludf.DUMMYFUNCTION("REGEXEXTRACT(J4455, ""[A-Za-z ]+$"")")," min")</f>
        <v> min</v>
      </c>
      <c r="AA4455" s="5" t="str">
        <f>IFERROR(__xludf.DUMMYFUNCTION("IF(REGEXMATCH(Z4455, ""Season""), ""TV Show"", ""Movie"")"),"Movie")</f>
        <v>Movie</v>
      </c>
    </row>
    <row r="4456">
      <c r="A4456" s="1" t="s">
        <v>23723</v>
      </c>
      <c r="B4456" s="1" t="s">
        <v>27</v>
      </c>
      <c r="C4456" s="1" t="s">
        <v>23724</v>
      </c>
      <c r="D4456" s="1" t="s">
        <v>1413</v>
      </c>
      <c r="E4456" s="1" t="s">
        <v>23725</v>
      </c>
      <c r="F4456" s="1" t="s">
        <v>63</v>
      </c>
      <c r="G4456" s="1" t="s">
        <v>23564</v>
      </c>
      <c r="H4456" s="1">
        <v>2008.0</v>
      </c>
      <c r="I4456" s="1" t="s">
        <v>97</v>
      </c>
      <c r="J4456" s="1" t="s">
        <v>870</v>
      </c>
      <c r="K4456" s="1" t="s">
        <v>583</v>
      </c>
      <c r="L4456" s="1" t="s">
        <v>23726</v>
      </c>
      <c r="M4456" s="2" t="s">
        <v>12</v>
      </c>
      <c r="N4456" s="4">
        <f t="shared" si="1"/>
        <v>43405</v>
      </c>
      <c r="O4456" s="5" t="str">
        <f>IFERROR(__xludf.DUMMYFUNCTION("IF(REGEXMATCH(TRIM(I4456), ""^\d+\s*min""), ""Unclassified"", IF(I4456 = """", ""NR"", I4456))"),"TV-14")</f>
        <v>TV-14</v>
      </c>
      <c r="R4456" s="5" t="str">
        <f t="shared" si="2"/>
        <v>Oye Lucky! Lucky Oye!</v>
      </c>
      <c r="S4456" s="5" t="str">
        <f>IFERROR(__xludf.DUMMYFUNCTION("""COMPUTED_VALUE"""),"Marvel'S Iron Man &amp; Hulk: Heroes United")</f>
        <v>Marvel'S Iron Man &amp; Hulk: Heroes United</v>
      </c>
      <c r="U4456" s="5" t="str">
        <f>IFERROR(__xludf.DUMMYFUNCTION("""COMPUTED_VALUE"""),"Amanda Micheli")</f>
        <v>Amanda Micheli</v>
      </c>
      <c r="V4456" s="5" t="s">
        <v>21846</v>
      </c>
      <c r="W4456" s="5" t="str">
        <f t="shared" si="3"/>
        <v>Xavier Gens</v>
      </c>
      <c r="X4456" s="5">
        <f t="shared" si="4"/>
        <v>1</v>
      </c>
      <c r="Y4456" s="5" t="str">
        <f>IFERROR(__xludf.DUMMYFUNCTION("REGEXEXTRACT(J4456, ""^\d+"")"),"118")</f>
        <v>118</v>
      </c>
      <c r="Z4456" s="5" t="str">
        <f>IFERROR(__xludf.DUMMYFUNCTION("REGEXEXTRACT(J4456, ""[A-Za-z ]+$"")")," min")</f>
        <v> min</v>
      </c>
      <c r="AA4456" s="5" t="str">
        <f>IFERROR(__xludf.DUMMYFUNCTION("IF(REGEXMATCH(Z4456, ""Season""), ""TV Show"", ""Movie"")"),"Movie")</f>
        <v>Movie</v>
      </c>
    </row>
    <row r="4457">
      <c r="A4457" s="1" t="s">
        <v>23727</v>
      </c>
      <c r="B4457" s="1" t="s">
        <v>27</v>
      </c>
      <c r="C4457" s="1" t="s">
        <v>23728</v>
      </c>
      <c r="D4457" s="1" t="s">
        <v>11346</v>
      </c>
      <c r="E4457" s="1" t="s">
        <v>23729</v>
      </c>
      <c r="F4457" s="1" t="s">
        <v>63</v>
      </c>
      <c r="G4457" s="1" t="s">
        <v>23564</v>
      </c>
      <c r="H4457" s="1">
        <v>2010.0</v>
      </c>
      <c r="I4457" s="1" t="s">
        <v>97</v>
      </c>
      <c r="J4457" s="1" t="s">
        <v>1273</v>
      </c>
      <c r="K4457" s="1" t="s">
        <v>306</v>
      </c>
      <c r="L4457" s="1" t="s">
        <v>23730</v>
      </c>
      <c r="M4457" s="2" t="s">
        <v>12</v>
      </c>
      <c r="N4457" s="4">
        <f t="shared" si="1"/>
        <v>43405</v>
      </c>
      <c r="O4457" s="5" t="str">
        <f>IFERROR(__xludf.DUMMYFUNCTION("IF(REGEXMATCH(TRIM(I4457), ""^\d+\s*min""), ""Unclassified"", IF(I4457 = """", ""NR"", I4457))"),"TV-14")</f>
        <v>TV-14</v>
      </c>
      <c r="R4457" s="5" t="str">
        <f t="shared" si="2"/>
        <v>Paan Singh Tomar</v>
      </c>
      <c r="S4457" s="5" t="str">
        <f>IFERROR(__xludf.DUMMYFUNCTION("""COMPUTED_VALUE"""),"Marvel'S Jessica Jones")</f>
        <v>Marvel'S Jessica Jones</v>
      </c>
      <c r="U4457" s="5" t="str">
        <f>IFERROR(__xludf.DUMMYFUNCTION("""COMPUTED_VALUE"""),"Gurinder Chadha")</f>
        <v>Gurinder Chadha</v>
      </c>
      <c r="V4457" s="5" t="s">
        <v>7382</v>
      </c>
      <c r="W4457" s="5" t="str">
        <f t="shared" si="3"/>
        <v>Xavier Maingon, Marc-Antoine Hélard</v>
      </c>
      <c r="X4457" s="5">
        <f t="shared" si="4"/>
        <v>1</v>
      </c>
      <c r="Y4457" s="5" t="str">
        <f>IFERROR(__xludf.DUMMYFUNCTION("REGEXEXTRACT(J4457, ""^\d+"")"),"129")</f>
        <v>129</v>
      </c>
      <c r="Z4457" s="5" t="str">
        <f>IFERROR(__xludf.DUMMYFUNCTION("REGEXEXTRACT(J4457, ""[A-Za-z ]+$"")")," min")</f>
        <v> min</v>
      </c>
      <c r="AA4457" s="5" t="str">
        <f>IFERROR(__xludf.DUMMYFUNCTION("IF(REGEXMATCH(Z4457, ""Season""), ""TV Show"", ""Movie"")"),"Movie")</f>
        <v>Movie</v>
      </c>
    </row>
    <row r="4458">
      <c r="A4458" s="1" t="s">
        <v>23731</v>
      </c>
      <c r="B4458" s="1" t="s">
        <v>27</v>
      </c>
      <c r="C4458" s="1" t="s">
        <v>23732</v>
      </c>
      <c r="D4458" s="1" t="s">
        <v>13207</v>
      </c>
      <c r="E4458" s="1" t="s">
        <v>23733</v>
      </c>
      <c r="F4458" s="1" t="s">
        <v>63</v>
      </c>
      <c r="G4458" s="1" t="s">
        <v>23564</v>
      </c>
      <c r="H4458" s="1">
        <v>2014.0</v>
      </c>
      <c r="I4458" s="1" t="s">
        <v>97</v>
      </c>
      <c r="J4458" s="1" t="s">
        <v>2859</v>
      </c>
      <c r="K4458" s="1" t="s">
        <v>298</v>
      </c>
      <c r="L4458" s="1" t="s">
        <v>23734</v>
      </c>
      <c r="M4458" s="2" t="s">
        <v>12</v>
      </c>
      <c r="N4458" s="4">
        <f t="shared" si="1"/>
        <v>43405</v>
      </c>
      <c r="O4458" s="5" t="str">
        <f>IFERROR(__xludf.DUMMYFUNCTION("IF(REGEXMATCH(TRIM(I4458), ""^\d+\s*min""), ""Unclassified"", IF(I4458 = """", ""NR"", I4458))"),"TV-14")</f>
        <v>TV-14</v>
      </c>
      <c r="R4458" s="5" t="str">
        <f t="shared" si="2"/>
        <v>Raja Natwarlal</v>
      </c>
      <c r="S4458" s="5" t="str">
        <f>IFERROR(__xludf.DUMMYFUNCTION("""COMPUTED_VALUE"""),"Marvel'S Luke Cage")</f>
        <v>Marvel'S Luke Cage</v>
      </c>
      <c r="U4458" s="5" t="str">
        <f>IFERROR(__xludf.DUMMYFUNCTION("""COMPUTED_VALUE"""),"Brandon Dickerson")</f>
        <v>Brandon Dickerson</v>
      </c>
      <c r="V4458" s="5" t="s">
        <v>16458</v>
      </c>
      <c r="W4458" s="5" t="str">
        <f t="shared" si="3"/>
        <v>Xavier Manrique</v>
      </c>
      <c r="X4458" s="5">
        <f t="shared" si="4"/>
        <v>1</v>
      </c>
      <c r="Y4458" s="5" t="str">
        <f>IFERROR(__xludf.DUMMYFUNCTION("REGEXEXTRACT(J4458, ""^\d+"")"),"131")</f>
        <v>131</v>
      </c>
      <c r="Z4458" s="5" t="str">
        <f>IFERROR(__xludf.DUMMYFUNCTION("REGEXEXTRACT(J4458, ""[A-Za-z ]+$"")")," min")</f>
        <v> min</v>
      </c>
      <c r="AA4458" s="5" t="str">
        <f>IFERROR(__xludf.DUMMYFUNCTION("IF(REGEXMATCH(Z4458, ""Season""), ""TV Show"", ""Movie"")"),"Movie")</f>
        <v>Movie</v>
      </c>
    </row>
    <row r="4459">
      <c r="A4459" s="1" t="s">
        <v>23735</v>
      </c>
      <c r="B4459" s="1" t="s">
        <v>27</v>
      </c>
      <c r="C4459" s="1" t="s">
        <v>23736</v>
      </c>
      <c r="D4459" s="1" t="s">
        <v>8367</v>
      </c>
      <c r="E4459" s="1" t="s">
        <v>23737</v>
      </c>
      <c r="F4459" s="1" t="s">
        <v>63</v>
      </c>
      <c r="G4459" s="1" t="s">
        <v>23564</v>
      </c>
      <c r="H4459" s="1">
        <v>2013.0</v>
      </c>
      <c r="I4459" s="1" t="s">
        <v>97</v>
      </c>
      <c r="J4459" s="1" t="s">
        <v>11162</v>
      </c>
      <c r="K4459" s="1" t="s">
        <v>1429</v>
      </c>
      <c r="L4459" s="1" t="s">
        <v>23738</v>
      </c>
      <c r="M4459" s="2" t="s">
        <v>12</v>
      </c>
      <c r="N4459" s="4">
        <f t="shared" si="1"/>
        <v>43405</v>
      </c>
      <c r="O4459" s="5" t="str">
        <f>IFERROR(__xludf.DUMMYFUNCTION("IF(REGEXMATCH(TRIM(I4459), ""^\d+\s*min""), ""Unclassified"", IF(I4459 = """", ""NR"", I4459))"),"TV-14")</f>
        <v>TV-14</v>
      </c>
      <c r="R4459" s="5" t="str">
        <f t="shared" si="2"/>
        <v>Satyagraha</v>
      </c>
      <c r="S4459" s="5" t="str">
        <f>IFERROR(__xludf.DUMMYFUNCTION("""COMPUTED_VALUE"""),"Marvel'S The Defenders")</f>
        <v>Marvel'S The Defenders</v>
      </c>
      <c r="U4459" s="5" t="str">
        <f>IFERROR(__xludf.DUMMYFUNCTION("""COMPUTED_VALUE"""),"David L.G. Hughes")</f>
        <v>David L.G. Hughes</v>
      </c>
      <c r="V4459" s="5" t="s">
        <v>6554</v>
      </c>
      <c r="W4459" s="5" t="str">
        <f t="shared" si="3"/>
        <v>Xiao Feng</v>
      </c>
      <c r="X4459" s="5">
        <f t="shared" si="4"/>
        <v>1</v>
      </c>
      <c r="Y4459" s="5" t="str">
        <f>IFERROR(__xludf.DUMMYFUNCTION("REGEXEXTRACT(J4459, ""^\d+"")"),"146")</f>
        <v>146</v>
      </c>
      <c r="Z4459" s="5" t="str">
        <f>IFERROR(__xludf.DUMMYFUNCTION("REGEXEXTRACT(J4459, ""[A-Za-z ]+$"")")," min")</f>
        <v> min</v>
      </c>
      <c r="AA4459" s="5" t="str">
        <f>IFERROR(__xludf.DUMMYFUNCTION("IF(REGEXMATCH(Z4459, ""Season""), ""TV Show"", ""Movie"")"),"Movie")</f>
        <v>Movie</v>
      </c>
    </row>
    <row r="4460">
      <c r="A4460" s="1" t="s">
        <v>23739</v>
      </c>
      <c r="B4460" s="1" t="s">
        <v>27</v>
      </c>
      <c r="C4460" s="1" t="s">
        <v>23740</v>
      </c>
      <c r="D4460" s="1" t="s">
        <v>18492</v>
      </c>
      <c r="E4460" s="1" t="s">
        <v>23741</v>
      </c>
      <c r="F4460" s="1" t="s">
        <v>63</v>
      </c>
      <c r="G4460" s="1" t="s">
        <v>23564</v>
      </c>
      <c r="H4460" s="1">
        <v>2013.0</v>
      </c>
      <c r="I4460" s="1" t="s">
        <v>97</v>
      </c>
      <c r="J4460" s="1" t="s">
        <v>2566</v>
      </c>
      <c r="K4460" s="1" t="s">
        <v>230</v>
      </c>
      <c r="L4460" s="1" t="s">
        <v>23742</v>
      </c>
      <c r="M4460" s="2" t="s">
        <v>12</v>
      </c>
      <c r="N4460" s="4">
        <f t="shared" si="1"/>
        <v>43405</v>
      </c>
      <c r="O4460" s="5" t="str">
        <f>IFERROR(__xludf.DUMMYFUNCTION("IF(REGEXMATCH(TRIM(I4460), ""^\d+\s*min""), ""Unclassified"", IF(I4460 = """", ""NR"", I4460))"),"TV-14")</f>
        <v>TV-14</v>
      </c>
      <c r="R4460" s="5" t="str">
        <f t="shared" si="2"/>
        <v>Settai</v>
      </c>
      <c r="S4460" s="5" t="str">
        <f>IFERROR(__xludf.DUMMYFUNCTION("""COMPUTED_VALUE"""),"Marvel'S The Punisher")</f>
        <v>Marvel'S The Punisher</v>
      </c>
      <c r="U4460" s="5" t="str">
        <f>IFERROR(__xludf.DUMMYFUNCTION("""COMPUTED_VALUE"""),"Harvey Lilley")</f>
        <v>Harvey Lilley</v>
      </c>
      <c r="V4460" s="5" t="s">
        <v>23743</v>
      </c>
      <c r="W4460" s="5" t="str">
        <f t="shared" si="3"/>
        <v>Xiaoxing Yi, Yoshitaka Takeuchi, Haoling Li</v>
      </c>
      <c r="X4460" s="5">
        <f t="shared" si="4"/>
        <v>1</v>
      </c>
      <c r="Y4460" s="5" t="str">
        <f>IFERROR(__xludf.DUMMYFUNCTION("REGEXEXTRACT(J4460, ""^\d+"")"),"123")</f>
        <v>123</v>
      </c>
      <c r="Z4460" s="5" t="str">
        <f>IFERROR(__xludf.DUMMYFUNCTION("REGEXEXTRACT(J4460, ""[A-Za-z ]+$"")")," min")</f>
        <v> min</v>
      </c>
      <c r="AA4460" s="5" t="str">
        <f>IFERROR(__xludf.DUMMYFUNCTION("IF(REGEXMATCH(Z4460, ""Season""), ""TV Show"", ""Movie"")"),"Movie")</f>
        <v>Movie</v>
      </c>
    </row>
    <row r="4461">
      <c r="A4461" s="1" t="s">
        <v>23744</v>
      </c>
      <c r="B4461" s="1" t="s">
        <v>27</v>
      </c>
      <c r="C4461" s="1" t="s">
        <v>23745</v>
      </c>
      <c r="D4461" s="1" t="s">
        <v>8244</v>
      </c>
      <c r="E4461" s="1" t="s">
        <v>23746</v>
      </c>
      <c r="F4461" s="1" t="s">
        <v>63</v>
      </c>
      <c r="G4461" s="1" t="s">
        <v>23564</v>
      </c>
      <c r="H4461" s="1">
        <v>2014.0</v>
      </c>
      <c r="I4461" s="1" t="s">
        <v>97</v>
      </c>
      <c r="J4461" s="1" t="s">
        <v>2274</v>
      </c>
      <c r="K4461" s="1" t="s">
        <v>298</v>
      </c>
      <c r="L4461" s="1" t="s">
        <v>23747</v>
      </c>
      <c r="M4461" s="2" t="s">
        <v>12</v>
      </c>
      <c r="N4461" s="4">
        <f t="shared" si="1"/>
        <v>43405</v>
      </c>
      <c r="O4461" s="5" t="str">
        <f>IFERROR(__xludf.DUMMYFUNCTION("IF(REGEXMATCH(TRIM(I4461), ""^\d+\s*min""), ""Unclassified"", IF(I4461 = """", ""NR"", I4461))"),"TV-14")</f>
        <v>TV-14</v>
      </c>
      <c r="R4461" s="5" t="str">
        <f t="shared" si="2"/>
        <v>Sigaram Thodu</v>
      </c>
      <c r="S4461" s="5" t="str">
        <f>IFERROR(__xludf.DUMMYFUNCTION("""COMPUTED_VALUE"""),"Mary And The Witch'S Flower")</f>
        <v>Mary And The Witch'S Flower</v>
      </c>
      <c r="U4461" s="5" t="str">
        <f>IFERROR(__xludf.DUMMYFUNCTION("""COMPUTED_VALUE"""),"Gary Michael Schultz")</f>
        <v>Gary Michael Schultz</v>
      </c>
      <c r="V4461" s="5" t="s">
        <v>23748</v>
      </c>
      <c r="W4461" s="5" t="str">
        <f t="shared" si="3"/>
        <v>Y. Joon Chung</v>
      </c>
      <c r="X4461" s="5">
        <f t="shared" si="4"/>
        <v>1</v>
      </c>
      <c r="Y4461" s="5" t="str">
        <f>IFERROR(__xludf.DUMMYFUNCTION("REGEXEXTRACT(J4461, ""^\d+"")"),"141")</f>
        <v>141</v>
      </c>
      <c r="Z4461" s="5" t="str">
        <f>IFERROR(__xludf.DUMMYFUNCTION("REGEXEXTRACT(J4461, ""[A-Za-z ]+$"")")," min")</f>
        <v> min</v>
      </c>
      <c r="AA4461" s="5" t="str">
        <f>IFERROR(__xludf.DUMMYFUNCTION("IF(REGEXMATCH(Z4461, ""Season""), ""TV Show"", ""Movie"")"),"Movie")</f>
        <v>Movie</v>
      </c>
    </row>
    <row r="4462">
      <c r="A4462" s="1" t="s">
        <v>23749</v>
      </c>
      <c r="B4462" s="1" t="s">
        <v>27</v>
      </c>
      <c r="C4462" s="1" t="s">
        <v>23750</v>
      </c>
      <c r="D4462" s="1" t="s">
        <v>12844</v>
      </c>
      <c r="E4462" s="1" t="s">
        <v>23751</v>
      </c>
      <c r="F4462" s="1" t="s">
        <v>30</v>
      </c>
      <c r="G4462" s="1" t="s">
        <v>23564</v>
      </c>
      <c r="H4462" s="1">
        <v>2015.0</v>
      </c>
      <c r="I4462" s="1" t="s">
        <v>42</v>
      </c>
      <c r="J4462" s="1" t="s">
        <v>454</v>
      </c>
      <c r="K4462" s="1" t="s">
        <v>1839</v>
      </c>
      <c r="L4462" s="1" t="s">
        <v>23752</v>
      </c>
      <c r="M4462" s="2" t="s">
        <v>12</v>
      </c>
      <c r="N4462" s="4">
        <f t="shared" si="1"/>
        <v>43405</v>
      </c>
      <c r="O4462" s="5" t="str">
        <f>IFERROR(__xludf.DUMMYFUNCTION("IF(REGEXMATCH(TRIM(I4462), ""^\d+\s*min""), ""Unclassified"", IF(I4462 = """", ""NR"", I4462))"),"TV-MA")</f>
        <v>TV-MA</v>
      </c>
      <c r="R4462" s="5" t="str">
        <f t="shared" si="2"/>
        <v>Sommore: The Reign Continues</v>
      </c>
      <c r="S4462" s="5" t="str">
        <f>IFERROR(__xludf.DUMMYFUNCTION("""COMPUTED_VALUE"""),"Mary Kom")</f>
        <v>Mary Kom</v>
      </c>
      <c r="U4462" s="5" t="str">
        <f>IFERROR(__xludf.DUMMYFUNCTION("""COMPUTED_VALUE"""),"P.T. Kunju Muhammad")</f>
        <v>P.T. Kunju Muhammad</v>
      </c>
      <c r="V4462" s="5" t="s">
        <v>15995</v>
      </c>
      <c r="W4462" s="5" t="str">
        <f t="shared" si="3"/>
        <v>Yacine Belhousse</v>
      </c>
      <c r="X4462" s="5">
        <f t="shared" si="4"/>
        <v>1</v>
      </c>
      <c r="Y4462" s="5" t="str">
        <f>IFERROR(__xludf.DUMMYFUNCTION("REGEXEXTRACT(J4462, ""^\d+"")"),"93")</f>
        <v>93</v>
      </c>
      <c r="Z4462" s="5" t="str">
        <f>IFERROR(__xludf.DUMMYFUNCTION("REGEXEXTRACT(J4462, ""[A-Za-z ]+$"")")," min")</f>
        <v> min</v>
      </c>
      <c r="AA4462" s="5" t="str">
        <f>IFERROR(__xludf.DUMMYFUNCTION("IF(REGEXMATCH(Z4462, ""Season""), ""TV Show"", ""Movie"")"),"Movie")</f>
        <v>Movie</v>
      </c>
    </row>
    <row r="4463">
      <c r="A4463" s="1" t="s">
        <v>23753</v>
      </c>
      <c r="B4463" s="1" t="s">
        <v>37</v>
      </c>
      <c r="C4463" s="1" t="s">
        <v>23754</v>
      </c>
      <c r="E4463" s="1" t="s">
        <v>23755</v>
      </c>
      <c r="G4463" s="1" t="s">
        <v>23564</v>
      </c>
      <c r="H4463" s="1">
        <v>2012.0</v>
      </c>
      <c r="I4463" s="1" t="s">
        <v>136</v>
      </c>
      <c r="J4463" s="1" t="s">
        <v>51</v>
      </c>
      <c r="K4463" s="1" t="s">
        <v>99</v>
      </c>
      <c r="L4463" s="1" t="s">
        <v>23756</v>
      </c>
      <c r="M4463" s="2" t="s">
        <v>12</v>
      </c>
      <c r="N4463" s="4">
        <f t="shared" si="1"/>
        <v>43405</v>
      </c>
      <c r="O4463" s="5" t="str">
        <f>IFERROR(__xludf.DUMMYFUNCTION("IF(REGEXMATCH(TRIM(I4463), ""^\d+\s*min""), ""Unclassified"", IF(I4463 = """", ""NR"", I4463))"),"TV-PG")</f>
        <v>TV-PG</v>
      </c>
      <c r="R4463" s="5" t="str">
        <f t="shared" si="2"/>
        <v>The Great British Baking Show: The Beginnings</v>
      </c>
      <c r="S4463" s="5" t="str">
        <f>IFERROR(__xludf.DUMMYFUNCTION("""COMPUTED_VALUE"""),"Mary Magdalene")</f>
        <v>Mary Magdalene</v>
      </c>
      <c r="U4463" s="5" t="str">
        <f>IFERROR(__xludf.DUMMYFUNCTION("""COMPUTED_VALUE"""),"Ganesh Kadam")</f>
        <v>Ganesh Kadam</v>
      </c>
      <c r="V4463" s="5" t="s">
        <v>23757</v>
      </c>
      <c r="W4463" s="5" t="str">
        <f t="shared" si="3"/>
        <v>Yance Ford</v>
      </c>
      <c r="X4463" s="5">
        <f t="shared" si="4"/>
        <v>1</v>
      </c>
      <c r="Y4463" s="5" t="str">
        <f>IFERROR(__xludf.DUMMYFUNCTION("REGEXEXTRACT(J4463, ""^\d+"")"),"1")</f>
        <v>1</v>
      </c>
      <c r="Z4463" s="5" t="str">
        <f>IFERROR(__xludf.DUMMYFUNCTION("REGEXEXTRACT(J4463, ""[A-Za-z ]+$"")")," Season")</f>
        <v> Season</v>
      </c>
      <c r="AA4463" s="5" t="str">
        <f>IFERROR(__xludf.DUMMYFUNCTION("IF(REGEXMATCH(Z4463, ""Season""), ""TV Show"", ""Movie"")"),"TV Show")</f>
        <v>TV Show</v>
      </c>
    </row>
    <row r="4464">
      <c r="A4464" s="1" t="s">
        <v>23758</v>
      </c>
      <c r="B4464" s="1" t="s">
        <v>27</v>
      </c>
      <c r="C4464" s="1" t="s">
        <v>23759</v>
      </c>
      <c r="D4464" s="1" t="s">
        <v>10731</v>
      </c>
      <c r="E4464" s="1" t="s">
        <v>23760</v>
      </c>
      <c r="F4464" s="1" t="s">
        <v>30</v>
      </c>
      <c r="G4464" s="1" t="s">
        <v>23564</v>
      </c>
      <c r="H4464" s="1">
        <v>2017.0</v>
      </c>
      <c r="I4464" s="1" t="s">
        <v>42</v>
      </c>
      <c r="J4464" s="1" t="s">
        <v>79</v>
      </c>
      <c r="K4464" s="1" t="s">
        <v>1212</v>
      </c>
      <c r="L4464" s="1" t="s">
        <v>23761</v>
      </c>
      <c r="M4464" s="2" t="s">
        <v>12</v>
      </c>
      <c r="N4464" s="4">
        <f t="shared" si="1"/>
        <v>43405</v>
      </c>
      <c r="O4464" s="5" t="str">
        <f>IFERROR(__xludf.DUMMYFUNCTION("IF(REGEXMATCH(TRIM(I4464), ""^\d+\s*min""), ""Unclassified"", IF(I4464 = """", ""NR"", I4464))"),"TV-MA")</f>
        <v>TV-MA</v>
      </c>
      <c r="R4464" s="5" t="str">
        <f t="shared" si="2"/>
        <v>The Untold Tales Of Armistead Maupin</v>
      </c>
      <c r="S4464" s="5" t="str">
        <f>IFERROR(__xludf.DUMMYFUNCTION("""COMPUTED_VALUE"""),"Mary Poppins Returns")</f>
        <v>Mary Poppins Returns</v>
      </c>
      <c r="U4464" s="5" t="str">
        <f>IFERROR(__xludf.DUMMYFUNCTION("""COMPUTED_VALUE"""),"Kushal Srivastava")</f>
        <v>Kushal Srivastava</v>
      </c>
      <c r="V4464" s="5" t="s">
        <v>8785</v>
      </c>
      <c r="W4464" s="5" t="str">
        <f t="shared" si="3"/>
        <v>Yandy Laurens</v>
      </c>
      <c r="X4464" s="5">
        <f t="shared" si="4"/>
        <v>1</v>
      </c>
      <c r="Y4464" s="5" t="str">
        <f>IFERROR(__xludf.DUMMYFUNCTION("REGEXEXTRACT(J4464, ""^\d+"")"),"91")</f>
        <v>91</v>
      </c>
      <c r="Z4464" s="5" t="str">
        <f>IFERROR(__xludf.DUMMYFUNCTION("REGEXEXTRACT(J4464, ""[A-Za-z ]+$"")")," min")</f>
        <v> min</v>
      </c>
      <c r="AA4464" s="5" t="str">
        <f>IFERROR(__xludf.DUMMYFUNCTION("IF(REGEXMATCH(Z4464, ""Season""), ""TV Show"", ""Movie"")"),"Movie")</f>
        <v>Movie</v>
      </c>
    </row>
    <row r="4465">
      <c r="A4465" s="1" t="s">
        <v>23762</v>
      </c>
      <c r="B4465" s="1" t="s">
        <v>27</v>
      </c>
      <c r="C4465" s="1" t="s">
        <v>23763</v>
      </c>
      <c r="D4465" s="1" t="s">
        <v>773</v>
      </c>
      <c r="E4465" s="1" t="s">
        <v>23764</v>
      </c>
      <c r="F4465" s="1" t="s">
        <v>40</v>
      </c>
      <c r="G4465" s="1" t="s">
        <v>23564</v>
      </c>
      <c r="H4465" s="1">
        <v>2016.0</v>
      </c>
      <c r="I4465" s="1" t="s">
        <v>42</v>
      </c>
      <c r="J4465" s="1" t="s">
        <v>256</v>
      </c>
      <c r="K4465" s="1" t="s">
        <v>89</v>
      </c>
      <c r="L4465" s="1" t="s">
        <v>23765</v>
      </c>
      <c r="M4465" s="2" t="s">
        <v>12</v>
      </c>
      <c r="N4465" s="4">
        <f t="shared" si="1"/>
        <v>43405</v>
      </c>
      <c r="O4465" s="5" t="str">
        <f>IFERROR(__xludf.DUMMYFUNCTION("IF(REGEXMATCH(TRIM(I4465), ""^\d+\s*min""), ""Unclassified"", IF(I4465 = """", ""NR"", I4465))"),"TV-MA")</f>
        <v>TV-MA</v>
      </c>
      <c r="R4465" s="5" t="str">
        <f t="shared" si="2"/>
        <v>Vaya</v>
      </c>
      <c r="S4465" s="5" t="str">
        <f>IFERROR(__xludf.DUMMYFUNCTION("""COMPUTED_VALUE"""),"Mary Portas: Secret Shopper")</f>
        <v>Mary Portas: Secret Shopper</v>
      </c>
      <c r="U4465" s="5" t="str">
        <f>IFERROR(__xludf.DUMMYFUNCTION("""COMPUTED_VALUE"""),"Ed Lilly")</f>
        <v>Ed Lilly</v>
      </c>
      <c r="V4465" s="5" t="s">
        <v>23766</v>
      </c>
      <c r="W4465" s="5" t="str">
        <f t="shared" si="3"/>
        <v>Yang Lei</v>
      </c>
      <c r="X4465" s="5">
        <f t="shared" si="4"/>
        <v>1</v>
      </c>
      <c r="Y4465" s="5" t="str">
        <f>IFERROR(__xludf.DUMMYFUNCTION("REGEXEXTRACT(J4465, ""^\d+"")"),"106")</f>
        <v>106</v>
      </c>
      <c r="Z4465" s="5" t="str">
        <f>IFERROR(__xludf.DUMMYFUNCTION("REGEXEXTRACT(J4465, ""[A-Za-z ]+$"")")," min")</f>
        <v> min</v>
      </c>
      <c r="AA4465" s="5" t="str">
        <f>IFERROR(__xludf.DUMMYFUNCTION("IF(REGEXMATCH(Z4465, ""Season""), ""TV Show"", ""Movie"")"),"Movie")</f>
        <v>Movie</v>
      </c>
    </row>
    <row r="4466">
      <c r="A4466" s="1" t="s">
        <v>23767</v>
      </c>
      <c r="B4466" s="1" t="s">
        <v>27</v>
      </c>
      <c r="C4466" s="1" t="s">
        <v>23768</v>
      </c>
      <c r="D4466" s="1" t="s">
        <v>9789</v>
      </c>
      <c r="E4466" s="1" t="s">
        <v>23769</v>
      </c>
      <c r="F4466" s="1" t="s">
        <v>63</v>
      </c>
      <c r="G4466" s="1" t="s">
        <v>23564</v>
      </c>
      <c r="H4466" s="1">
        <v>2008.0</v>
      </c>
      <c r="I4466" s="1" t="s">
        <v>97</v>
      </c>
      <c r="J4466" s="1" t="s">
        <v>2859</v>
      </c>
      <c r="K4466" s="1" t="s">
        <v>583</v>
      </c>
      <c r="L4466" s="1" t="s">
        <v>23770</v>
      </c>
      <c r="M4466" s="2" t="s">
        <v>12</v>
      </c>
      <c r="N4466" s="4">
        <f t="shared" si="1"/>
        <v>43405</v>
      </c>
      <c r="O4466" s="5" t="str">
        <f>IFERROR(__xludf.DUMMYFUNCTION("IF(REGEXMATCH(TRIM(I4466), ""^\d+\s*min""), ""Unclassified"", IF(I4466 = """", ""NR"", I4466))"),"TV-14")</f>
        <v>TV-14</v>
      </c>
      <c r="R4466" s="5" t="str">
        <f t="shared" si="2"/>
        <v>Welcome To Sajjanpur</v>
      </c>
      <c r="S4466" s="5" t="str">
        <f>IFERROR(__xludf.DUMMYFUNCTION("""COMPUTED_VALUE"""),"Masaba Masaba")</f>
        <v>Masaba Masaba</v>
      </c>
      <c r="U4466" s="5" t="str">
        <f>IFERROR(__xludf.DUMMYFUNCTION("""COMPUTED_VALUE"""),"Bilal Lashari")</f>
        <v>Bilal Lashari</v>
      </c>
      <c r="V4466" s="5" t="s">
        <v>23771</v>
      </c>
      <c r="W4466" s="5" t="str">
        <f t="shared" si="3"/>
        <v>Yang Woo-Seok</v>
      </c>
      <c r="X4466" s="5">
        <f t="shared" si="4"/>
        <v>1</v>
      </c>
      <c r="Y4466" s="5" t="str">
        <f>IFERROR(__xludf.DUMMYFUNCTION("REGEXEXTRACT(J4466, ""^\d+"")"),"131")</f>
        <v>131</v>
      </c>
      <c r="Z4466" s="5" t="str">
        <f>IFERROR(__xludf.DUMMYFUNCTION("REGEXEXTRACT(J4466, ""[A-Za-z ]+$"")")," min")</f>
        <v> min</v>
      </c>
      <c r="AA4466" s="5" t="str">
        <f>IFERROR(__xludf.DUMMYFUNCTION("IF(REGEXMATCH(Z4466, ""Season""), ""TV Show"", ""Movie"")"),"Movie")</f>
        <v>Movie</v>
      </c>
    </row>
    <row r="4467">
      <c r="A4467" s="1" t="s">
        <v>23772</v>
      </c>
      <c r="B4467" s="1" t="s">
        <v>27</v>
      </c>
      <c r="C4467" s="1" t="s">
        <v>23773</v>
      </c>
      <c r="E4467" s="1" t="s">
        <v>23774</v>
      </c>
      <c r="F4467" s="1" t="s">
        <v>63</v>
      </c>
      <c r="G4467" s="1" t="s">
        <v>23564</v>
      </c>
      <c r="H4467" s="1">
        <v>2014.0</v>
      </c>
      <c r="I4467" s="1" t="s">
        <v>136</v>
      </c>
      <c r="J4467" s="1" t="s">
        <v>465</v>
      </c>
      <c r="K4467" s="1" t="s">
        <v>836</v>
      </c>
      <c r="L4467" s="1" t="s">
        <v>23775</v>
      </c>
      <c r="M4467" s="2" t="s">
        <v>12</v>
      </c>
      <c r="N4467" s="4">
        <f t="shared" si="1"/>
        <v>43405</v>
      </c>
      <c r="O4467" s="5" t="str">
        <f>IFERROR(__xludf.DUMMYFUNCTION("IF(REGEXMATCH(TRIM(I4467), ""^\d+\s*min""), ""Unclassified"", IF(I4467 = """", ""NR"", I4467))"),"TV-PG")</f>
        <v>TV-PG</v>
      </c>
      <c r="R4467" s="5" t="str">
        <f t="shared" si="2"/>
        <v>Yeh Hai Bakrapur</v>
      </c>
      <c r="S4467" s="5" t="str">
        <f>IFERROR(__xludf.DUMMYFUNCTION("""COMPUTED_VALUE"""),"Masameer - The Movie")</f>
        <v>Masameer - The Movie</v>
      </c>
      <c r="U4467" s="5" t="str">
        <f>IFERROR(__xludf.DUMMYFUNCTION("""COMPUTED_VALUE"""),"Param Gill")</f>
        <v>Param Gill</v>
      </c>
      <c r="V4467" s="5" t="s">
        <v>23776</v>
      </c>
      <c r="W4467" s="5" t="str">
        <f t="shared" si="3"/>
        <v>Yann Arthus-Bertrand, Michael Pitiot</v>
      </c>
      <c r="X4467" s="5">
        <f t="shared" si="4"/>
        <v>1</v>
      </c>
      <c r="Y4467" s="5" t="str">
        <f>IFERROR(__xludf.DUMMYFUNCTION("REGEXEXTRACT(J4467, ""^\d+"")"),"95")</f>
        <v>95</v>
      </c>
      <c r="Z4467" s="5" t="str">
        <f>IFERROR(__xludf.DUMMYFUNCTION("REGEXEXTRACT(J4467, ""[A-Za-z ]+$"")")," min")</f>
        <v> min</v>
      </c>
      <c r="AA4467" s="5" t="str">
        <f>IFERROR(__xludf.DUMMYFUNCTION("IF(REGEXMATCH(Z4467, ""Season""), ""TV Show"", ""Movie"")"),"Movie")</f>
        <v>Movie</v>
      </c>
    </row>
    <row r="4468">
      <c r="A4468" s="1" t="s">
        <v>23777</v>
      </c>
      <c r="B4468" s="1" t="s">
        <v>27</v>
      </c>
      <c r="C4468" s="1" t="s">
        <v>23778</v>
      </c>
      <c r="D4468" s="1" t="s">
        <v>6093</v>
      </c>
      <c r="E4468" s="1" t="s">
        <v>23779</v>
      </c>
      <c r="F4468" s="1" t="s">
        <v>63</v>
      </c>
      <c r="G4468" s="1" t="s">
        <v>23564</v>
      </c>
      <c r="H4468" s="1">
        <v>2011.0</v>
      </c>
      <c r="I4468" s="1" t="s">
        <v>78</v>
      </c>
      <c r="J4468" s="1" t="s">
        <v>106</v>
      </c>
      <c r="K4468" s="1" t="s">
        <v>771</v>
      </c>
      <c r="L4468" s="1" t="s">
        <v>23780</v>
      </c>
      <c r="M4468" s="2" t="s">
        <v>12</v>
      </c>
      <c r="N4468" s="4">
        <f t="shared" si="1"/>
        <v>43405</v>
      </c>
      <c r="O4468" s="5" t="str">
        <f>IFERROR(__xludf.DUMMYFUNCTION("IF(REGEXMATCH(TRIM(I4468), ""^\d+\s*min""), ""Unclassified"", IF(I4468 = """", ""NR"", I4468))"),"PG")</f>
        <v>PG</v>
      </c>
      <c r="R4468" s="5" t="str">
        <f t="shared" si="2"/>
        <v>Zokkomon</v>
      </c>
      <c r="S4468" s="5" t="str">
        <f>IFERROR(__xludf.DUMMYFUNCTION("""COMPUTED_VALUE"""),"Masameer Classics")</f>
        <v>Masameer Classics</v>
      </c>
      <c r="U4468" s="5" t="str">
        <f>IFERROR(__xludf.DUMMYFUNCTION("""COMPUTED_VALUE"""),"Anu Menon")</f>
        <v>Anu Menon</v>
      </c>
      <c r="V4468" s="5" t="s">
        <v>21607</v>
      </c>
      <c r="W4468" s="5" t="str">
        <f t="shared" si="3"/>
        <v>Yann Gozlan</v>
      </c>
      <c r="X4468" s="5">
        <f t="shared" si="4"/>
        <v>1</v>
      </c>
      <c r="Y4468" s="5" t="str">
        <f>IFERROR(__xludf.DUMMYFUNCTION("REGEXEXTRACT(J4468, ""^\d+"")"),"104")</f>
        <v>104</v>
      </c>
      <c r="Z4468" s="5" t="str">
        <f>IFERROR(__xludf.DUMMYFUNCTION("REGEXEXTRACT(J4468, ""[A-Za-z ]+$"")")," min")</f>
        <v> min</v>
      </c>
      <c r="AA4468" s="5" t="str">
        <f>IFERROR(__xludf.DUMMYFUNCTION("IF(REGEXMATCH(Z4468, ""Season""), ""TV Show"", ""Movie"")"),"Movie")</f>
        <v>Movie</v>
      </c>
    </row>
    <row r="4469">
      <c r="A4469" s="1" t="s">
        <v>23781</v>
      </c>
      <c r="B4469" s="1" t="s">
        <v>27</v>
      </c>
      <c r="C4469" s="1" t="s">
        <v>23782</v>
      </c>
      <c r="D4469" s="1" t="s">
        <v>23783</v>
      </c>
      <c r="E4469" s="1" t="s">
        <v>23784</v>
      </c>
      <c r="F4469" s="1" t="s">
        <v>18848</v>
      </c>
      <c r="G4469" s="1" t="s">
        <v>23785</v>
      </c>
      <c r="H4469" s="1">
        <v>2018.0</v>
      </c>
      <c r="I4469" s="1" t="s">
        <v>42</v>
      </c>
      <c r="J4469" s="1" t="s">
        <v>3458</v>
      </c>
      <c r="K4469" s="1" t="s">
        <v>298</v>
      </c>
      <c r="L4469" s="1" t="s">
        <v>23786</v>
      </c>
      <c r="M4469" s="2" t="s">
        <v>12</v>
      </c>
      <c r="N4469" s="4">
        <f t="shared" si="1"/>
        <v>43404</v>
      </c>
      <c r="O4469" s="5" t="str">
        <f>IFERROR(__xludf.DUMMYFUNCTION("IF(REGEXMATCH(TRIM(I4469), ""^\d+\s*min""), ""Unclassified"", IF(I4469 = """", ""NR"", I4469))"),"TV-MA")</f>
        <v>TV-MA</v>
      </c>
      <c r="R4469" s="5" t="str">
        <f t="shared" si="2"/>
        <v>Gun City</v>
      </c>
      <c r="S4469" s="5" t="str">
        <f>IFERROR(__xludf.DUMMYFUNCTION("""COMPUTED_VALUE"""),"Masameer County")</f>
        <v>Masameer County</v>
      </c>
      <c r="U4469" s="5" t="str">
        <f>IFERROR(__xludf.DUMMYFUNCTION("""COMPUTED_VALUE"""),"Rob Mckittrick")</f>
        <v>Rob Mckittrick</v>
      </c>
      <c r="V4469" s="5" t="s">
        <v>22639</v>
      </c>
      <c r="W4469" s="5" t="str">
        <f t="shared" si="3"/>
        <v>Yanyong Kuruaungkoul</v>
      </c>
      <c r="X4469" s="5">
        <f t="shared" si="4"/>
        <v>1</v>
      </c>
      <c r="Y4469" s="5" t="str">
        <f>IFERROR(__xludf.DUMMYFUNCTION("REGEXEXTRACT(J4469, ""^\d+"")"),"126")</f>
        <v>126</v>
      </c>
      <c r="Z4469" s="5" t="str">
        <f>IFERROR(__xludf.DUMMYFUNCTION("REGEXEXTRACT(J4469, ""[A-Za-z ]+$"")")," min")</f>
        <v> min</v>
      </c>
      <c r="AA4469" s="5" t="str">
        <f>IFERROR(__xludf.DUMMYFUNCTION("IF(REGEXMATCH(Z4469, ""Season""), ""TV Show"", ""Movie"")"),"Movie")</f>
        <v>Movie</v>
      </c>
    </row>
    <row r="4470">
      <c r="A4470" s="1" t="s">
        <v>23787</v>
      </c>
      <c r="B4470" s="1" t="s">
        <v>27</v>
      </c>
      <c r="C4470" s="1" t="s">
        <v>23788</v>
      </c>
      <c r="D4470" s="1" t="s">
        <v>10838</v>
      </c>
      <c r="E4470" s="1" t="s">
        <v>23789</v>
      </c>
      <c r="F4470" s="1" t="s">
        <v>4287</v>
      </c>
      <c r="G4470" s="1" t="s">
        <v>23785</v>
      </c>
      <c r="H4470" s="1">
        <v>2015.0</v>
      </c>
      <c r="I4470" s="1" t="s">
        <v>378</v>
      </c>
      <c r="J4470" s="1" t="s">
        <v>870</v>
      </c>
      <c r="K4470" s="1" t="s">
        <v>128</v>
      </c>
      <c r="L4470" s="1" t="s">
        <v>23790</v>
      </c>
      <c r="M4470" s="2" t="s">
        <v>12</v>
      </c>
      <c r="N4470" s="4">
        <f t="shared" si="1"/>
        <v>43404</v>
      </c>
      <c r="O4470" s="5" t="str">
        <f>IFERROR(__xludf.DUMMYFUNCTION("IF(REGEXMATCH(TRIM(I4470), ""^\d+\s*min""), ""Unclassified"", IF(I4470 = """", ""NR"", I4470))"),"R")</f>
        <v>R</v>
      </c>
      <c r="R4470" s="5" t="str">
        <f t="shared" si="2"/>
        <v>Heneral Luna</v>
      </c>
      <c r="S4470" s="5" t="str">
        <f>IFERROR(__xludf.DUMMYFUNCTION("""COMPUTED_VALUE"""),"Mascots")</f>
        <v>Mascots</v>
      </c>
      <c r="U4470" s="5" t="str">
        <f>IFERROR(__xludf.DUMMYFUNCTION("""COMPUTED_VALUE"""),"Marc Francis, Max Pugh")</f>
        <v>Marc Francis, Max Pugh</v>
      </c>
      <c r="V4470" s="5" t="s">
        <v>13806</v>
      </c>
      <c r="W4470" s="5" t="str">
        <f t="shared" si="3"/>
        <v>Yasir Al Yasiri</v>
      </c>
      <c r="X4470" s="5">
        <f t="shared" si="4"/>
        <v>1</v>
      </c>
      <c r="Y4470" s="5" t="str">
        <f>IFERROR(__xludf.DUMMYFUNCTION("REGEXEXTRACT(J4470, ""^\d+"")"),"118")</f>
        <v>118</v>
      </c>
      <c r="Z4470" s="5" t="str">
        <f>IFERROR(__xludf.DUMMYFUNCTION("REGEXEXTRACT(J4470, ""[A-Za-z ]+$"")")," min")</f>
        <v> min</v>
      </c>
      <c r="AA4470" s="5" t="str">
        <f>IFERROR(__xludf.DUMMYFUNCTION("IF(REGEXMATCH(Z4470, ""Season""), ""TV Show"", ""Movie"")"),"Movie")</f>
        <v>Movie</v>
      </c>
    </row>
    <row r="4471">
      <c r="A4471" s="1" t="s">
        <v>23791</v>
      </c>
      <c r="B4471" s="1" t="s">
        <v>37</v>
      </c>
      <c r="C4471" s="1" t="s">
        <v>23792</v>
      </c>
      <c r="E4471" s="1" t="s">
        <v>23793</v>
      </c>
      <c r="F4471" s="1" t="s">
        <v>415</v>
      </c>
      <c r="G4471" s="1" t="s">
        <v>23794</v>
      </c>
      <c r="H4471" s="1">
        <v>2018.0</v>
      </c>
      <c r="I4471" s="1" t="s">
        <v>42</v>
      </c>
      <c r="J4471" s="1" t="s">
        <v>43</v>
      </c>
      <c r="K4471" s="1" t="s">
        <v>567</v>
      </c>
      <c r="L4471" s="1" t="s">
        <v>23795</v>
      </c>
      <c r="M4471" s="2" t="s">
        <v>12</v>
      </c>
      <c r="N4471" s="4">
        <f t="shared" si="1"/>
        <v>43403</v>
      </c>
      <c r="O4471" s="5" t="str">
        <f>IFERROR(__xludf.DUMMYFUNCTION("IF(REGEXMATCH(TRIM(I4471), ""^\d+\s*min""), ""Unclassified"", IF(I4471 = """", ""NR"", I4471))"),"TV-MA")</f>
        <v>TV-MA</v>
      </c>
      <c r="R4471" s="5" t="str">
        <f t="shared" si="2"/>
        <v>Fate/Extra Last Encore</v>
      </c>
      <c r="S4471" s="5" t="str">
        <f>IFERROR(__xludf.DUMMYFUNCTION("""COMPUTED_VALUE"""),"Masha And The Bear")</f>
        <v>Masha And The Bear</v>
      </c>
      <c r="U4471" s="5" t="str">
        <f>IFERROR(__xludf.DUMMYFUNCTION("""COMPUTED_VALUE"""),"Alex Smith, Andrew J. Smith")</f>
        <v>Alex Smith, Andrew J. Smith</v>
      </c>
      <c r="V4471" s="5" t="s">
        <v>23796</v>
      </c>
      <c r="W4471" s="5" t="str">
        <f t="shared" si="3"/>
        <v>Yasir Nawaz</v>
      </c>
      <c r="X4471" s="5">
        <f t="shared" si="4"/>
        <v>1</v>
      </c>
      <c r="Y4471" s="5" t="str">
        <f>IFERROR(__xludf.DUMMYFUNCTION("REGEXEXTRACT(J4471, ""^\d+"")"),"2")</f>
        <v>2</v>
      </c>
      <c r="Z4471" s="5" t="str">
        <f>IFERROR(__xludf.DUMMYFUNCTION("REGEXEXTRACT(J4471, ""[A-Za-z ]+$"")")," Seasons")</f>
        <v> Seasons</v>
      </c>
      <c r="AA4471" s="5" t="str">
        <f>IFERROR(__xludf.DUMMYFUNCTION("IF(REGEXMATCH(Z4471, ""Season""), ""TV Show"", ""Movie"")"),"TV Show")</f>
        <v>TV Show</v>
      </c>
    </row>
    <row r="4472">
      <c r="A4472" s="1" t="s">
        <v>23797</v>
      </c>
      <c r="B4472" s="1" t="s">
        <v>27</v>
      </c>
      <c r="C4472" s="1" t="s">
        <v>23798</v>
      </c>
      <c r="D4472" s="1" t="s">
        <v>12644</v>
      </c>
      <c r="E4472" s="1" t="s">
        <v>23799</v>
      </c>
      <c r="F4472" s="1" t="s">
        <v>12646</v>
      </c>
      <c r="G4472" s="1" t="s">
        <v>23800</v>
      </c>
      <c r="H4472" s="1">
        <v>2006.0</v>
      </c>
      <c r="I4472" s="1" t="s">
        <v>97</v>
      </c>
      <c r="J4472" s="1" t="s">
        <v>170</v>
      </c>
      <c r="K4472" s="1" t="s">
        <v>1066</v>
      </c>
      <c r="L4472" s="1" t="s">
        <v>23801</v>
      </c>
      <c r="M4472" s="2" t="s">
        <v>12</v>
      </c>
      <c r="N4472" s="4">
        <f t="shared" si="1"/>
        <v>43400</v>
      </c>
      <c r="O4472" s="5" t="str">
        <f>IFERROR(__xludf.DUMMYFUNCTION("IF(REGEXMATCH(TRIM(I4472), ""^\d+\s*min""), ""Unclassified"", IF(I4472 = """", ""NR"", I4472))"),"TV-14")</f>
        <v>TV-14</v>
      </c>
      <c r="R4472" s="5" t="str">
        <f t="shared" si="2"/>
        <v>Dragon Tiger Gate</v>
      </c>
      <c r="S4472" s="5" t="str">
        <f>IFERROR(__xludf.DUMMYFUNCTION("""COMPUTED_VALUE"""),"Masha'S Spooky Stories")</f>
        <v>Masha'S Spooky Stories</v>
      </c>
      <c r="U4472" s="5" t="str">
        <f>IFERROR(__xludf.DUMMYFUNCTION("""COMPUTED_VALUE"""),"Philip G. Atwell")</f>
        <v>Philip G. Atwell</v>
      </c>
      <c r="V4472" s="5" t="s">
        <v>8916</v>
      </c>
      <c r="W4472" s="5" t="str">
        <f t="shared" si="3"/>
        <v>Yasmin Ahmad</v>
      </c>
      <c r="X4472" s="5">
        <f t="shared" si="4"/>
        <v>3</v>
      </c>
      <c r="Y4472" s="5" t="str">
        <f>IFERROR(__xludf.DUMMYFUNCTION("REGEXEXTRACT(J4472, ""^\d+"")"),"94")</f>
        <v>94</v>
      </c>
      <c r="Z4472" s="5" t="str">
        <f>IFERROR(__xludf.DUMMYFUNCTION("REGEXEXTRACT(J4472, ""[A-Za-z ]+$"")")," min")</f>
        <v> min</v>
      </c>
      <c r="AA4472" s="5" t="str">
        <f>IFERROR(__xludf.DUMMYFUNCTION("IF(REGEXMATCH(Z4472, ""Season""), ""TV Show"", ""Movie"")"),"Movie")</f>
        <v>Movie</v>
      </c>
    </row>
    <row r="4473">
      <c r="A4473" s="1" t="s">
        <v>23802</v>
      </c>
      <c r="B4473" s="1" t="s">
        <v>27</v>
      </c>
      <c r="C4473" s="1" t="s">
        <v>23803</v>
      </c>
      <c r="D4473" s="1" t="s">
        <v>22572</v>
      </c>
      <c r="E4473" s="1" t="s">
        <v>23804</v>
      </c>
      <c r="G4473" s="1" t="s">
        <v>23805</v>
      </c>
      <c r="H4473" s="1">
        <v>2018.0</v>
      </c>
      <c r="I4473" s="1" t="s">
        <v>42</v>
      </c>
      <c r="J4473" s="1" t="s">
        <v>433</v>
      </c>
      <c r="K4473" s="1" t="s">
        <v>1429</v>
      </c>
      <c r="L4473" s="1" t="s">
        <v>23806</v>
      </c>
      <c r="M4473" s="2" t="s">
        <v>12</v>
      </c>
      <c r="N4473" s="4">
        <f t="shared" si="1"/>
        <v>43399</v>
      </c>
      <c r="O4473" s="5" t="str">
        <f>IFERROR(__xludf.DUMMYFUNCTION("IF(REGEXMATCH(TRIM(I4473), ""^\d+\s*min""), ""Unclassified"", IF(I4473 = """", ""NR"", I4473))"),"TV-MA")</f>
        <v>TV-MA</v>
      </c>
      <c r="R4473" s="5" t="str">
        <f t="shared" si="2"/>
        <v>Been So Long</v>
      </c>
      <c r="S4473" s="5" t="str">
        <f>IFERROR(__xludf.DUMMYFUNCTION("""COMPUTED_VALUE"""),"Masha'S Tales")</f>
        <v>Masha'S Tales</v>
      </c>
      <c r="U4473" s="5" t="str">
        <f>IFERROR(__xludf.DUMMYFUNCTION("""COMPUTED_VALUE"""),"Faraz Haider")</f>
        <v>Faraz Haider</v>
      </c>
      <c r="V4473" s="5" t="s">
        <v>23807</v>
      </c>
      <c r="W4473" s="5" t="str">
        <f t="shared" si="3"/>
        <v>Yasuhiro Irie</v>
      </c>
      <c r="X4473" s="5">
        <f t="shared" si="4"/>
        <v>1</v>
      </c>
      <c r="Y4473" s="5" t="str">
        <f>IFERROR(__xludf.DUMMYFUNCTION("REGEXEXTRACT(J4473, ""^\d+"")"),"100")</f>
        <v>100</v>
      </c>
      <c r="Z4473" s="5" t="str">
        <f>IFERROR(__xludf.DUMMYFUNCTION("REGEXEXTRACT(J4473, ""[A-Za-z ]+$"")")," min")</f>
        <v> min</v>
      </c>
      <c r="AA4473" s="5" t="str">
        <f>IFERROR(__xludf.DUMMYFUNCTION("IF(REGEXMATCH(Z4473, ""Season""), ""TV Show"", ""Movie"")"),"Movie")</f>
        <v>Movie</v>
      </c>
    </row>
    <row r="4474">
      <c r="A4474" s="1" t="s">
        <v>23808</v>
      </c>
      <c r="B4474" s="1" t="s">
        <v>27</v>
      </c>
      <c r="C4474" s="1" t="s">
        <v>23809</v>
      </c>
      <c r="D4474" s="1" t="s">
        <v>1015</v>
      </c>
      <c r="E4474" s="1" t="s">
        <v>23810</v>
      </c>
      <c r="F4474" s="1" t="s">
        <v>23811</v>
      </c>
      <c r="G4474" s="1" t="s">
        <v>23805</v>
      </c>
      <c r="H4474" s="1">
        <v>2018.0</v>
      </c>
      <c r="I4474" s="1" t="s">
        <v>32</v>
      </c>
      <c r="J4474" s="1" t="s">
        <v>3458</v>
      </c>
      <c r="K4474" s="1" t="s">
        <v>128</v>
      </c>
      <c r="L4474" s="1" t="s">
        <v>23812</v>
      </c>
      <c r="M4474" s="2" t="s">
        <v>12</v>
      </c>
      <c r="N4474" s="4">
        <f t="shared" si="1"/>
        <v>43399</v>
      </c>
      <c r="O4474" s="5" t="str">
        <f>IFERROR(__xludf.DUMMYFUNCTION("IF(REGEXMATCH(TRIM(I4474), ""^\d+\s*min""), ""Unclassified"", IF(I4474 = """", ""NR"", I4474))"),"PG-13")</f>
        <v>PG-13</v>
      </c>
      <c r="R4474" s="5" t="str">
        <f t="shared" si="2"/>
        <v>Dovlatov</v>
      </c>
      <c r="S4474" s="5" t="str">
        <f>IFERROR(__xludf.DUMMYFUNCTION("""COMPUTED_VALUE"""),"Maska")</f>
        <v>Maska</v>
      </c>
      <c r="U4474" s="5" t="str">
        <f>IFERROR(__xludf.DUMMYFUNCTION("""COMPUTED_VALUE"""),"John Michael Mcdonagh")</f>
        <v>John Michael Mcdonagh</v>
      </c>
      <c r="V4474" s="5" t="s">
        <v>23813</v>
      </c>
      <c r="W4474" s="5" t="str">
        <f t="shared" si="3"/>
        <v>Yayo Herrero</v>
      </c>
      <c r="X4474" s="5">
        <f t="shared" si="4"/>
        <v>1</v>
      </c>
      <c r="Y4474" s="5" t="str">
        <f>IFERROR(__xludf.DUMMYFUNCTION("REGEXEXTRACT(J4474, ""^\d+"")"),"126")</f>
        <v>126</v>
      </c>
      <c r="Z4474" s="5" t="str">
        <f>IFERROR(__xludf.DUMMYFUNCTION("REGEXEXTRACT(J4474, ""[A-Za-z ]+$"")")," min")</f>
        <v> min</v>
      </c>
      <c r="AA4474" s="5" t="str">
        <f>IFERROR(__xludf.DUMMYFUNCTION("IF(REGEXMATCH(Z4474, ""Season""), ""TV Show"", ""Movie"")"),"Movie")</f>
        <v>Movie</v>
      </c>
    </row>
    <row r="4475">
      <c r="A4475" s="1" t="s">
        <v>23814</v>
      </c>
      <c r="B4475" s="1" t="s">
        <v>27</v>
      </c>
      <c r="C4475" s="1" t="s">
        <v>23815</v>
      </c>
      <c r="D4475" s="1" t="s">
        <v>20795</v>
      </c>
      <c r="E4475" s="1" t="s">
        <v>23816</v>
      </c>
      <c r="F4475" s="1" t="s">
        <v>23817</v>
      </c>
      <c r="G4475" s="1" t="s">
        <v>23805</v>
      </c>
      <c r="H4475" s="1">
        <v>2018.0</v>
      </c>
      <c r="I4475" s="1" t="s">
        <v>42</v>
      </c>
      <c r="J4475" s="1" t="s">
        <v>33</v>
      </c>
      <c r="K4475" s="1" t="s">
        <v>583</v>
      </c>
      <c r="L4475" s="1" t="s">
        <v>23818</v>
      </c>
      <c r="M4475" s="2" t="s">
        <v>12</v>
      </c>
      <c r="N4475" s="4">
        <f t="shared" si="1"/>
        <v>43399</v>
      </c>
      <c r="O4475" s="5" t="str">
        <f>IFERROR(__xludf.DUMMYFUNCTION("IF(REGEXMATCH(TRIM(I4475), ""^\d+\s*min""), ""Unclassified"", IF(I4475 = """", ""NR"", I4475))"),"TV-MA")</f>
        <v>TV-MA</v>
      </c>
      <c r="R4475" s="5" t="str">
        <f t="shared" si="2"/>
        <v>Jefe</v>
      </c>
      <c r="S4475" s="5" t="str">
        <f>IFERROR(__xludf.DUMMYFUNCTION("""COMPUTED_VALUE"""),"Masoom")</f>
        <v>Masoom</v>
      </c>
      <c r="U4475" s="5" t="str">
        <f>IFERROR(__xludf.DUMMYFUNCTION("""COMPUTED_VALUE"""),"Jack Zagha Kababie")</f>
        <v>Jack Zagha Kababie</v>
      </c>
      <c r="V4475" s="5" t="s">
        <v>20798</v>
      </c>
      <c r="W4475" s="5" t="str">
        <f t="shared" si="3"/>
        <v>Yee Tung-Shing</v>
      </c>
      <c r="X4475" s="5">
        <f t="shared" si="4"/>
        <v>1</v>
      </c>
      <c r="Y4475" s="5" t="str">
        <f>IFERROR(__xludf.DUMMYFUNCTION("REGEXEXTRACT(J4475, ""^\d+"")"),"90")</f>
        <v>90</v>
      </c>
      <c r="Z4475" s="5" t="str">
        <f>IFERROR(__xludf.DUMMYFUNCTION("REGEXEXTRACT(J4475, ""[A-Za-z ]+$"")")," min")</f>
        <v> min</v>
      </c>
      <c r="AA4475" s="5" t="str">
        <f>IFERROR(__xludf.DUMMYFUNCTION("IF(REGEXMATCH(Z4475, ""Season""), ""TV Show"", ""Movie"")"),"Movie")</f>
        <v>Movie</v>
      </c>
    </row>
    <row r="4476">
      <c r="A4476" s="1" t="s">
        <v>23819</v>
      </c>
      <c r="B4476" s="1" t="s">
        <v>27</v>
      </c>
      <c r="C4476" s="1" t="s">
        <v>23820</v>
      </c>
      <c r="F4476" s="1" t="s">
        <v>1837</v>
      </c>
      <c r="G4476" s="1" t="s">
        <v>23805</v>
      </c>
      <c r="H4476" s="1">
        <v>2018.0</v>
      </c>
      <c r="I4476" s="1" t="s">
        <v>97</v>
      </c>
      <c r="J4476" s="1" t="s">
        <v>630</v>
      </c>
      <c r="K4476" s="1" t="s">
        <v>215</v>
      </c>
      <c r="L4476" s="1" t="s">
        <v>23821</v>
      </c>
      <c r="M4476" s="2" t="s">
        <v>12</v>
      </c>
      <c r="N4476" s="4">
        <f t="shared" si="1"/>
        <v>43399</v>
      </c>
      <c r="O4476" s="5" t="str">
        <f>IFERROR(__xludf.DUMMYFUNCTION("IF(REGEXMATCH(TRIM(I4476), ""^\d+\s*min""), ""Unclassified"", IF(I4476 = """", ""NR"", I4476))"),"TV-14")</f>
        <v>TV-14</v>
      </c>
      <c r="R4476" s="5" t="str">
        <f t="shared" si="2"/>
        <v>Santo Cachón</v>
      </c>
      <c r="S4476" s="5" t="str">
        <f>IFERROR(__xludf.DUMMYFUNCTION("""COMPUTED_VALUE"""),"Master")</f>
        <v>Master</v>
      </c>
      <c r="U4476" s="5" t="str">
        <f>IFERROR(__xludf.DUMMYFUNCTION("""COMPUTED_VALUE"""),"Marina Zenovich")</f>
        <v>Marina Zenovich</v>
      </c>
      <c r="V4476" s="5" t="s">
        <v>741</v>
      </c>
      <c r="W4476" s="5" t="str">
        <f t="shared" si="3"/>
        <v>Yemi Amodu</v>
      </c>
      <c r="X4476" s="5">
        <f t="shared" si="4"/>
        <v>1</v>
      </c>
      <c r="Y4476" s="5" t="str">
        <f>IFERROR(__xludf.DUMMYFUNCTION("REGEXEXTRACT(J4476, ""^\d+"")"),"87")</f>
        <v>87</v>
      </c>
      <c r="Z4476" s="5" t="str">
        <f>IFERROR(__xludf.DUMMYFUNCTION("REGEXEXTRACT(J4476, ""[A-Za-z ]+$"")")," min")</f>
        <v> min</v>
      </c>
      <c r="AA4476" s="5" t="str">
        <f>IFERROR(__xludf.DUMMYFUNCTION("IF(REGEXMATCH(Z4476, ""Season""), ""TV Show"", ""Movie"")"),"Movie")</f>
        <v>Movie</v>
      </c>
    </row>
    <row r="4477">
      <c r="A4477" s="1" t="s">
        <v>23822</v>
      </c>
      <c r="B4477" s="1" t="s">
        <v>27</v>
      </c>
      <c r="C4477" s="1" t="s">
        <v>23823</v>
      </c>
      <c r="D4477" s="1" t="s">
        <v>20340</v>
      </c>
      <c r="F4477" s="1" t="s">
        <v>692</v>
      </c>
      <c r="G4477" s="1" t="s">
        <v>23805</v>
      </c>
      <c r="H4477" s="1">
        <v>2018.0</v>
      </c>
      <c r="I4477" s="1" t="s">
        <v>97</v>
      </c>
      <c r="J4477" s="1" t="s">
        <v>247</v>
      </c>
      <c r="K4477" s="1" t="s">
        <v>34</v>
      </c>
      <c r="L4477" s="1" t="s">
        <v>23824</v>
      </c>
      <c r="M4477" s="2" t="s">
        <v>12</v>
      </c>
      <c r="N4477" s="4">
        <f t="shared" si="1"/>
        <v>43399</v>
      </c>
      <c r="O4477" s="5" t="str">
        <f>IFERROR(__xludf.DUMMYFUNCTION("IF(REGEXMATCH(TRIM(I4477), ""^\d+\s*min""), ""Unclassified"", IF(I4477 = """", ""NR"", I4477))"),"TV-14")</f>
        <v>TV-14</v>
      </c>
      <c r="R4477" s="5" t="str">
        <f t="shared" si="2"/>
        <v>Shirkers</v>
      </c>
      <c r="S4477" s="5" t="str">
        <f>IFERROR(__xludf.DUMMYFUNCTION("""COMPUTED_VALUE"""),"Master Of None")</f>
        <v>Master Of None</v>
      </c>
      <c r="U4477" s="5" t="str">
        <f>IFERROR(__xludf.DUMMYFUNCTION("""COMPUTED_VALUE"""),"Tiffanie Hsu")</f>
        <v>Tiffanie Hsu</v>
      </c>
      <c r="V4477" s="5" t="s">
        <v>23825</v>
      </c>
      <c r="W4477" s="5" t="str">
        <f t="shared" si="3"/>
        <v>Yen Cheng-Kuo</v>
      </c>
      <c r="X4477" s="5">
        <f t="shared" si="4"/>
        <v>1</v>
      </c>
      <c r="Y4477" s="5" t="str">
        <f>IFERROR(__xludf.DUMMYFUNCTION("REGEXEXTRACT(J4477, ""^\d+"")"),"97")</f>
        <v>97</v>
      </c>
      <c r="Z4477" s="5" t="str">
        <f>IFERROR(__xludf.DUMMYFUNCTION("REGEXEXTRACT(J4477, ""[A-Za-z ]+$"")")," min")</f>
        <v> min</v>
      </c>
      <c r="AA4477" s="5" t="str">
        <f>IFERROR(__xludf.DUMMYFUNCTION("IF(REGEXMATCH(Z4477, ""Season""), ""TV Show"", ""Movie"")"),"Movie")</f>
        <v>Movie</v>
      </c>
    </row>
    <row r="4478">
      <c r="A4478" s="1" t="s">
        <v>23826</v>
      </c>
      <c r="B4478" s="1" t="s">
        <v>37</v>
      </c>
      <c r="C4478" s="1" t="s">
        <v>23827</v>
      </c>
      <c r="F4478" s="1" t="s">
        <v>5311</v>
      </c>
      <c r="G4478" s="1" t="s">
        <v>23805</v>
      </c>
      <c r="H4478" s="1">
        <v>2018.0</v>
      </c>
      <c r="I4478" s="1" t="s">
        <v>42</v>
      </c>
      <c r="J4478" s="1" t="s">
        <v>51</v>
      </c>
      <c r="K4478" s="1" t="s">
        <v>112</v>
      </c>
      <c r="L4478" s="1" t="s">
        <v>23828</v>
      </c>
      <c r="M4478" s="2" t="s">
        <v>12</v>
      </c>
      <c r="N4478" s="4">
        <f t="shared" si="1"/>
        <v>43399</v>
      </c>
      <c r="O4478" s="5" t="str">
        <f>IFERROR(__xludf.DUMMYFUNCTION("IF(REGEXMATCH(TRIM(I4478), ""^\d+\s*min""), ""Unclassified"", IF(I4478 = """", ""NR"", I4478))"),"TV-MA")</f>
        <v>TV-MA</v>
      </c>
      <c r="R4478" s="5" t="str">
        <f t="shared" si="2"/>
        <v>Terrorism Close Calls</v>
      </c>
      <c r="S4478" s="5" t="str">
        <f>IFERROR(__xludf.DUMMYFUNCTION("""COMPUTED_VALUE"""),"Master Z: The Ip Man Legacy")</f>
        <v>Master Z: The Ip Man Legacy</v>
      </c>
      <c r="U4478" s="5" t="str">
        <f>IFERROR(__xludf.DUMMYFUNCTION("""COMPUTED_VALUE"""),"Max Joseph")</f>
        <v>Max Joseph</v>
      </c>
      <c r="V4478" s="5" t="s">
        <v>3194</v>
      </c>
      <c r="W4478" s="5" t="str">
        <f t="shared" si="3"/>
        <v>Yeo Siew Hua</v>
      </c>
      <c r="X4478" s="5">
        <f t="shared" si="4"/>
        <v>1</v>
      </c>
      <c r="Y4478" s="5" t="str">
        <f>IFERROR(__xludf.DUMMYFUNCTION("REGEXEXTRACT(J4478, ""^\d+"")"),"1")</f>
        <v>1</v>
      </c>
      <c r="Z4478" s="5" t="str">
        <f>IFERROR(__xludf.DUMMYFUNCTION("REGEXEXTRACT(J4478, ""[A-Za-z ]+$"")")," Season")</f>
        <v> Season</v>
      </c>
      <c r="AA4478" s="5" t="str">
        <f>IFERROR(__xludf.DUMMYFUNCTION("IF(REGEXMATCH(Z4478, ""Season""), ""TV Show"", ""Movie"")"),"TV Show")</f>
        <v>TV Show</v>
      </c>
    </row>
    <row r="4479">
      <c r="A4479" s="1" t="s">
        <v>23829</v>
      </c>
      <c r="B4479" s="1" t="s">
        <v>27</v>
      </c>
      <c r="C4479" s="1" t="s">
        <v>23830</v>
      </c>
      <c r="D4479" s="1" t="s">
        <v>23278</v>
      </c>
      <c r="E4479" s="1" t="s">
        <v>23831</v>
      </c>
      <c r="F4479" s="1" t="s">
        <v>63</v>
      </c>
      <c r="G4479" s="1" t="s">
        <v>23805</v>
      </c>
      <c r="H4479" s="1">
        <v>2018.0</v>
      </c>
      <c r="I4479" s="1" t="s">
        <v>42</v>
      </c>
      <c r="J4479" s="1" t="s">
        <v>379</v>
      </c>
      <c r="K4479" s="1" t="s">
        <v>298</v>
      </c>
      <c r="L4479" s="1" t="s">
        <v>23832</v>
      </c>
      <c r="M4479" s="2" t="s">
        <v>12</v>
      </c>
      <c r="N4479" s="4">
        <f t="shared" si="1"/>
        <v>43399</v>
      </c>
      <c r="O4479" s="5" t="str">
        <f>IFERROR(__xludf.DUMMYFUNCTION("IF(REGEXMATCH(TRIM(I4479), ""^\d+\s*min""), ""Unclassified"", IF(I4479 = """", ""NR"", I4479))"),"TV-MA")</f>
        <v>TV-MA</v>
      </c>
      <c r="R4479" s="5" t="str">
        <f t="shared" si="2"/>
        <v>W/O Ram</v>
      </c>
      <c r="S4479" s="5" t="str">
        <f>IFERROR(__xludf.DUMMYFUNCTION("""COMPUTED_VALUE"""),"Masters Of The Universe: Revelation")</f>
        <v>Masters Of The Universe: Revelation</v>
      </c>
      <c r="U4479" s="5" t="str">
        <f>IFERROR(__xludf.DUMMYFUNCTION("""COMPUTED_VALUE"""),"David Serrano")</f>
        <v>David Serrano</v>
      </c>
      <c r="V4479" s="5" t="s">
        <v>23833</v>
      </c>
      <c r="W4479" s="5" t="str">
        <f t="shared" si="3"/>
        <v>Yesim Ustaoglu</v>
      </c>
      <c r="X4479" s="5">
        <f t="shared" si="4"/>
        <v>1</v>
      </c>
      <c r="Y4479" s="5" t="str">
        <f>IFERROR(__xludf.DUMMYFUNCTION("REGEXEXTRACT(J4479, ""^\d+"")"),"115")</f>
        <v>115</v>
      </c>
      <c r="Z4479" s="5" t="str">
        <f>IFERROR(__xludf.DUMMYFUNCTION("REGEXEXTRACT(J4479, ""[A-Za-z ]+$"")")," min")</f>
        <v> min</v>
      </c>
      <c r="AA4479" s="5" t="str">
        <f>IFERROR(__xludf.DUMMYFUNCTION("IF(REGEXMATCH(Z4479, ""Season""), ""TV Show"", ""Movie"")"),"Movie")</f>
        <v>Movie</v>
      </c>
    </row>
    <row r="4480">
      <c r="A4480" s="1" t="s">
        <v>23834</v>
      </c>
      <c r="B4480" s="1" t="s">
        <v>37</v>
      </c>
      <c r="C4480" s="1" t="s">
        <v>23835</v>
      </c>
      <c r="E4480" s="1" t="s">
        <v>23836</v>
      </c>
      <c r="F4480" s="1" t="s">
        <v>30</v>
      </c>
      <c r="G4480" s="1" t="s">
        <v>23837</v>
      </c>
      <c r="H4480" s="1">
        <v>2009.0</v>
      </c>
      <c r="I4480" s="1" t="s">
        <v>136</v>
      </c>
      <c r="J4480" s="1" t="s">
        <v>51</v>
      </c>
      <c r="K4480" s="1" t="s">
        <v>314</v>
      </c>
      <c r="L4480" s="1" t="s">
        <v>23838</v>
      </c>
      <c r="M4480" s="2" t="s">
        <v>12</v>
      </c>
      <c r="N4480" s="4">
        <f t="shared" si="1"/>
        <v>43398</v>
      </c>
      <c r="O4480" s="5" t="str">
        <f>IFERROR(__xludf.DUMMYFUNCTION("IF(REGEXMATCH(TRIM(I4480), ""^\d+\s*min""), ""Unclassified"", IF(I4480 = """", ""NR"", I4480))"),"TV-PG")</f>
        <v>TV-PG</v>
      </c>
      <c r="R4480" s="5" t="str">
        <f t="shared" si="2"/>
        <v>Dreamworks Spooky Stories</v>
      </c>
      <c r="S4480" s="5" t="str">
        <f>IFERROR(__xludf.DUMMYFUNCTION("""COMPUTED_VALUE"""),"Match")</f>
        <v>Match</v>
      </c>
      <c r="U4480" s="5" t="str">
        <f>IFERROR(__xludf.DUMMYFUNCTION("""COMPUTED_VALUE"""),"Jeremiah Zagar")</f>
        <v>Jeremiah Zagar</v>
      </c>
      <c r="V4480" s="5" t="s">
        <v>19469</v>
      </c>
      <c r="W4480" s="5" t="str">
        <f t="shared" si="3"/>
        <v>Yeung Yat-Tak</v>
      </c>
      <c r="X4480" s="5">
        <f t="shared" si="4"/>
        <v>1</v>
      </c>
      <c r="Y4480" s="5" t="str">
        <f>IFERROR(__xludf.DUMMYFUNCTION("REGEXEXTRACT(J4480, ""^\d+"")"),"1")</f>
        <v>1</v>
      </c>
      <c r="Z4480" s="5" t="str">
        <f>IFERROR(__xludf.DUMMYFUNCTION("REGEXEXTRACT(J4480, ""[A-Za-z ]+$"")")," Season")</f>
        <v> Season</v>
      </c>
      <c r="AA4480" s="5" t="str">
        <f>IFERROR(__xludf.DUMMYFUNCTION("IF(REGEXMATCH(Z4480, ""Season""), ""TV Show"", ""Movie"")"),"TV Show")</f>
        <v>TV Show</v>
      </c>
    </row>
    <row r="4481">
      <c r="A4481" s="1" t="s">
        <v>23839</v>
      </c>
      <c r="B4481" s="1" t="s">
        <v>37</v>
      </c>
      <c r="C4481" s="1" t="s">
        <v>23840</v>
      </c>
      <c r="E4481" s="1" t="s">
        <v>23841</v>
      </c>
      <c r="F4481" s="1" t="s">
        <v>30</v>
      </c>
      <c r="G4481" s="1" t="s">
        <v>23837</v>
      </c>
      <c r="H4481" s="1">
        <v>2017.0</v>
      </c>
      <c r="I4481" s="1" t="s">
        <v>97</v>
      </c>
      <c r="J4481" s="1" t="s">
        <v>43</v>
      </c>
      <c r="K4481" s="1" t="s">
        <v>270</v>
      </c>
      <c r="L4481" s="1" t="s">
        <v>23842</v>
      </c>
      <c r="M4481" s="2" t="s">
        <v>12</v>
      </c>
      <c r="N4481" s="4">
        <f t="shared" si="1"/>
        <v>43398</v>
      </c>
      <c r="O4481" s="5" t="str">
        <f>IFERROR(__xludf.DUMMYFUNCTION("IF(REGEXMATCH(TRIM(I4481), ""^\d+\s*min""), ""Unclassified"", IF(I4481 = """", ""NR"", I4481))"),"TV-14")</f>
        <v>TV-14</v>
      </c>
      <c r="R4481" s="5" t="str">
        <f t="shared" si="2"/>
        <v>Great News</v>
      </c>
      <c r="S4481" s="5" t="str">
        <f>IFERROR(__xludf.DUMMYFUNCTION("""COMPUTED_VALUE"""),"Mater")</f>
        <v>Mater</v>
      </c>
      <c r="U4481" s="5" t="str">
        <f>IFERROR(__xludf.DUMMYFUNCTION("""COMPUTED_VALUE"""),"Antoni Krauze")</f>
        <v>Antoni Krauze</v>
      </c>
      <c r="V4481" s="5" t="s">
        <v>16920</v>
      </c>
      <c r="W4481" s="5" t="str">
        <f t="shared" si="3"/>
        <v>Yibrán Asuad</v>
      </c>
      <c r="X4481" s="5">
        <f t="shared" si="4"/>
        <v>1</v>
      </c>
      <c r="Y4481" s="5" t="str">
        <f>IFERROR(__xludf.DUMMYFUNCTION("REGEXEXTRACT(J4481, ""^\d+"")"),"2")</f>
        <v>2</v>
      </c>
      <c r="Z4481" s="5" t="str">
        <f>IFERROR(__xludf.DUMMYFUNCTION("REGEXEXTRACT(J4481, ""[A-Za-z ]+$"")")," Seasons")</f>
        <v> Seasons</v>
      </c>
      <c r="AA4481" s="5" t="str">
        <f>IFERROR(__xludf.DUMMYFUNCTION("IF(REGEXMATCH(Z4481, ""Season""), ""TV Show"", ""Movie"")"),"TV Show")</f>
        <v>TV Show</v>
      </c>
    </row>
    <row r="4482">
      <c r="A4482" s="1" t="s">
        <v>23843</v>
      </c>
      <c r="B4482" s="1" t="s">
        <v>27</v>
      </c>
      <c r="C4482" s="1" t="s">
        <v>23844</v>
      </c>
      <c r="D4482" s="1" t="s">
        <v>19637</v>
      </c>
      <c r="E4482" s="1" t="s">
        <v>23845</v>
      </c>
      <c r="F4482" s="1" t="s">
        <v>30</v>
      </c>
      <c r="G4482" s="1" t="s">
        <v>23837</v>
      </c>
      <c r="H4482" s="1">
        <v>2018.0</v>
      </c>
      <c r="I4482" s="1" t="s">
        <v>42</v>
      </c>
      <c r="J4482" s="1" t="s">
        <v>454</v>
      </c>
      <c r="K4482" s="1" t="s">
        <v>34</v>
      </c>
      <c r="L4482" s="1" t="s">
        <v>23846</v>
      </c>
      <c r="M4482" s="2" t="s">
        <v>12</v>
      </c>
      <c r="N4482" s="4">
        <f t="shared" si="1"/>
        <v>43398</v>
      </c>
      <c r="O4482" s="5" t="str">
        <f>IFERROR(__xludf.DUMMYFUNCTION("IF(REGEXMATCH(TRIM(I4482), ""^\d+\s*min""), ""Unclassified"", IF(I4482 = """", ""NR"", I4482))"),"TV-MA")</f>
        <v>TV-MA</v>
      </c>
      <c r="R4482" s="5" t="str">
        <f t="shared" si="2"/>
        <v>Ronnie Coleman: The King</v>
      </c>
      <c r="S4482" s="5" t="str">
        <f>IFERROR(__xludf.DUMMYFUNCTION("""COMPUTED_VALUE"""),"Material")</f>
        <v>Material</v>
      </c>
      <c r="U4482" s="5" t="str">
        <f>IFERROR(__xludf.DUMMYFUNCTION("""COMPUTED_VALUE"""),"Chi Fat Chan")</f>
        <v>Chi Fat Chan</v>
      </c>
      <c r="V4482" s="5" t="s">
        <v>23847</v>
      </c>
      <c r="W4482" s="5" t="str">
        <f t="shared" si="3"/>
        <v>Yin Chen-Hao</v>
      </c>
      <c r="X4482" s="5">
        <f t="shared" si="4"/>
        <v>1</v>
      </c>
      <c r="Y4482" s="5" t="str">
        <f>IFERROR(__xludf.DUMMYFUNCTION("REGEXEXTRACT(J4482, ""^\d+"")"),"93")</f>
        <v>93</v>
      </c>
      <c r="Z4482" s="5" t="str">
        <f>IFERROR(__xludf.DUMMYFUNCTION("REGEXEXTRACT(J4482, ""[A-Za-z ]+$"")")," min")</f>
        <v> min</v>
      </c>
      <c r="AA4482" s="5" t="str">
        <f>IFERROR(__xludf.DUMMYFUNCTION("IF(REGEXMATCH(Z4482, ""Season""), ""TV Show"", ""Movie"")"),"Movie")</f>
        <v>Movie</v>
      </c>
    </row>
    <row r="4483">
      <c r="A4483" s="1" t="s">
        <v>23848</v>
      </c>
      <c r="B4483" s="1" t="s">
        <v>27</v>
      </c>
      <c r="C4483" s="1" t="s">
        <v>23849</v>
      </c>
      <c r="D4483" s="1" t="s">
        <v>19977</v>
      </c>
      <c r="E4483" s="1" t="s">
        <v>23850</v>
      </c>
      <c r="G4483" s="1" t="s">
        <v>23851</v>
      </c>
      <c r="H4483" s="1">
        <v>2015.0</v>
      </c>
      <c r="I4483" s="1" t="s">
        <v>97</v>
      </c>
      <c r="J4483" s="1" t="s">
        <v>2414</v>
      </c>
      <c r="K4483" s="1" t="s">
        <v>306</v>
      </c>
      <c r="L4483" s="1" t="s">
        <v>23852</v>
      </c>
      <c r="M4483" s="2" t="s">
        <v>12</v>
      </c>
      <c r="N4483" s="4">
        <f t="shared" si="1"/>
        <v>43397</v>
      </c>
      <c r="O4483" s="5" t="str">
        <f>IFERROR(__xludf.DUMMYFUNCTION("IF(REGEXMATCH(TRIM(I4483), ""^\d+\s*min""), ""Unclassified"", IF(I4483 = """", ""NR"", I4483))"),"TV-14")</f>
        <v>TV-14</v>
      </c>
      <c r="R4483" s="5" t="str">
        <f t="shared" si="2"/>
        <v>Baahubali: The Beginning (English Version)</v>
      </c>
      <c r="S4483" s="5" t="str">
        <f>IFERROR(__xludf.DUMMYFUNCTION("""COMPUTED_VALUE"""),"Matichya Chuli")</f>
        <v>Matichya Chuli</v>
      </c>
      <c r="U4483" s="5" t="str">
        <f>IFERROR(__xludf.DUMMYFUNCTION("""COMPUTED_VALUE"""),"Ashish R. Mohan")</f>
        <v>Ashish R. Mohan</v>
      </c>
      <c r="V4483" s="5" t="s">
        <v>5463</v>
      </c>
      <c r="W4483" s="5" t="str">
        <f t="shared" si="3"/>
        <v>Yılmaz Erdoğan</v>
      </c>
      <c r="X4483" s="5">
        <f t="shared" si="4"/>
        <v>8</v>
      </c>
      <c r="Y4483" s="5" t="str">
        <f>IFERROR(__xludf.DUMMYFUNCTION("REGEXEXTRACT(J4483, ""^\d+"")"),"138")</f>
        <v>138</v>
      </c>
      <c r="Z4483" s="5" t="str">
        <f>IFERROR(__xludf.DUMMYFUNCTION("REGEXEXTRACT(J4483, ""[A-Za-z ]+$"")")," min")</f>
        <v> min</v>
      </c>
      <c r="AA4483" s="5" t="str">
        <f>IFERROR(__xludf.DUMMYFUNCTION("IF(REGEXMATCH(Z4483, ""Season""), ""TV Show"", ""Movie"")"),"Movie")</f>
        <v>Movie</v>
      </c>
    </row>
    <row r="4484">
      <c r="A4484" s="1" t="s">
        <v>23853</v>
      </c>
      <c r="B4484" s="1" t="s">
        <v>27</v>
      </c>
      <c r="C4484" s="1" t="s">
        <v>23854</v>
      </c>
      <c r="D4484" s="1" t="s">
        <v>1747</v>
      </c>
      <c r="E4484" s="1" t="s">
        <v>23855</v>
      </c>
      <c r="F4484" s="1" t="s">
        <v>30</v>
      </c>
      <c r="G4484" s="1" t="s">
        <v>23856</v>
      </c>
      <c r="H4484" s="1">
        <v>2018.0</v>
      </c>
      <c r="I4484" s="1" t="s">
        <v>42</v>
      </c>
      <c r="J4484" s="1" t="s">
        <v>2699</v>
      </c>
      <c r="K4484" s="1" t="s">
        <v>1839</v>
      </c>
      <c r="L4484" s="1" t="s">
        <v>23857</v>
      </c>
      <c r="M4484" s="2" t="s">
        <v>12</v>
      </c>
      <c r="N4484" s="4">
        <f t="shared" si="1"/>
        <v>43396</v>
      </c>
      <c r="O4484" s="5" t="str">
        <f>IFERROR(__xludf.DUMMYFUNCTION("IF(REGEXMATCH(TRIM(I4484), ""^\d+\s*min""), ""Unclassified"", IF(I4484 = """", ""NR"", I4484))"),"TV-MA")</f>
        <v>TV-MA</v>
      </c>
      <c r="R4484" s="5" t="str">
        <f t="shared" si="2"/>
        <v>Adam Sandler 100% Fresh</v>
      </c>
      <c r="S4484" s="5" t="str">
        <f>IFERROR(__xludf.DUMMYFUNCTION("""COMPUTED_VALUE"""),"Mau Nieto: Viviendo Sobrio… Desde El Bar")</f>
        <v>Mau Nieto: Viviendo Sobrio… Desde El Bar</v>
      </c>
      <c r="U4484" s="5" t="str">
        <f>IFERROR(__xludf.DUMMYFUNCTION("""COMPUTED_VALUE"""),"Stephen Donnelly, Olly Reid, Jun Falkenstein")</f>
        <v>Stephen Donnelly, Olly Reid, Jun Falkenstein</v>
      </c>
      <c r="V4484" s="5" t="s">
        <v>5955</v>
      </c>
      <c r="W4484" s="5" t="str">
        <f t="shared" si="3"/>
        <v>Yılmaz Erdoğan, Ömer Faruk Sorak</v>
      </c>
      <c r="X4484" s="5">
        <f t="shared" si="4"/>
        <v>1</v>
      </c>
      <c r="Y4484" s="5" t="str">
        <f>IFERROR(__xludf.DUMMYFUNCTION("REGEXEXTRACT(J4484, ""^\d+"")"),"74")</f>
        <v>74</v>
      </c>
      <c r="Z4484" s="5" t="str">
        <f>IFERROR(__xludf.DUMMYFUNCTION("REGEXEXTRACT(J4484, ""[A-Za-z ]+$"")")," min")</f>
        <v> min</v>
      </c>
      <c r="AA4484" s="5" t="str">
        <f>IFERROR(__xludf.DUMMYFUNCTION("IF(REGEXMATCH(Z4484, ""Season""), ""TV Show"", ""Movie"")"),"Movie")</f>
        <v>Movie</v>
      </c>
    </row>
    <row r="4485">
      <c r="A4485" s="1" t="s">
        <v>23858</v>
      </c>
      <c r="B4485" s="1" t="s">
        <v>37</v>
      </c>
      <c r="C4485" s="1" t="s">
        <v>23859</v>
      </c>
      <c r="E4485" s="1" t="s">
        <v>23860</v>
      </c>
      <c r="F4485" s="1" t="s">
        <v>3892</v>
      </c>
      <c r="G4485" s="1" t="s">
        <v>23856</v>
      </c>
      <c r="H4485" s="1">
        <v>2018.0</v>
      </c>
      <c r="I4485" s="1" t="s">
        <v>97</v>
      </c>
      <c r="J4485" s="1" t="s">
        <v>51</v>
      </c>
      <c r="K4485" s="1" t="s">
        <v>1907</v>
      </c>
      <c r="L4485" s="1" t="s">
        <v>23861</v>
      </c>
      <c r="M4485" s="2" t="s">
        <v>12</v>
      </c>
      <c r="N4485" s="4">
        <f t="shared" si="1"/>
        <v>43396</v>
      </c>
      <c r="O4485" s="5" t="str">
        <f>IFERROR(__xludf.DUMMYFUNCTION("IF(REGEXMATCH(TRIM(I4485), ""^\d+\s*min""), ""Unclassified"", IF(I4485 = """", ""NR"", I4485))"),"TV-14")</f>
        <v>TV-14</v>
      </c>
      <c r="R4485" s="5" t="str">
        <f t="shared" si="2"/>
        <v>Here To Heart</v>
      </c>
      <c r="S4485" s="5" t="str">
        <f>IFERROR(__xludf.DUMMYFUNCTION("""COMPUTED_VALUE"""),"Mauli")</f>
        <v>Mauli</v>
      </c>
      <c r="U4485" s="5" t="str">
        <f>IFERROR(__xludf.DUMMYFUNCTION("""COMPUTED_VALUE"""),"Abel Ferrara")</f>
        <v>Abel Ferrara</v>
      </c>
      <c r="V4485" s="5" t="s">
        <v>23862</v>
      </c>
      <c r="W4485" s="5" t="str">
        <f t="shared" si="3"/>
        <v>Yoo Byung-Jae</v>
      </c>
      <c r="X4485" s="5">
        <f t="shared" si="4"/>
        <v>1</v>
      </c>
      <c r="Y4485" s="5" t="str">
        <f>IFERROR(__xludf.DUMMYFUNCTION("REGEXEXTRACT(J4485, ""^\d+"")"),"1")</f>
        <v>1</v>
      </c>
      <c r="Z4485" s="5" t="str">
        <f>IFERROR(__xludf.DUMMYFUNCTION("REGEXEXTRACT(J4485, ""[A-Za-z ]+$"")")," Season")</f>
        <v> Season</v>
      </c>
      <c r="AA4485" s="5" t="str">
        <f>IFERROR(__xludf.DUMMYFUNCTION("IF(REGEXMATCH(Z4485, ""Season""), ""TV Show"", ""Movie"")"),"TV Show")</f>
        <v>TV Show</v>
      </c>
    </row>
    <row r="4486">
      <c r="A4486" s="1" t="s">
        <v>23863</v>
      </c>
      <c r="B4486" s="1" t="s">
        <v>27</v>
      </c>
      <c r="C4486" s="1" t="s">
        <v>23864</v>
      </c>
      <c r="D4486" s="1" t="s">
        <v>4791</v>
      </c>
      <c r="E4486" s="1" t="s">
        <v>23865</v>
      </c>
      <c r="F4486" s="1" t="s">
        <v>30</v>
      </c>
      <c r="G4486" s="1" t="s">
        <v>23856</v>
      </c>
      <c r="H4486" s="1">
        <v>2018.0</v>
      </c>
      <c r="I4486" s="1" t="s">
        <v>32</v>
      </c>
      <c r="J4486" s="1" t="s">
        <v>447</v>
      </c>
      <c r="K4486" s="1" t="s">
        <v>942</v>
      </c>
      <c r="L4486" s="1" t="s">
        <v>23866</v>
      </c>
      <c r="M4486" s="2" t="s">
        <v>12</v>
      </c>
      <c r="N4486" s="4">
        <f t="shared" si="1"/>
        <v>43396</v>
      </c>
      <c r="O4486" s="5" t="str">
        <f>IFERROR(__xludf.DUMMYFUNCTION("IF(REGEXMATCH(TRIM(I4486), ""^\d+\s*min""), ""Unclassified"", IF(I4486 = """", ""NR"", I4486))"),"PG-13")</f>
        <v>PG-13</v>
      </c>
      <c r="R4486" s="5" t="str">
        <f t="shared" si="2"/>
        <v>Scorpion King 5: Book Of Souls</v>
      </c>
      <c r="S4486" s="5" t="str">
        <f>IFERROR(__xludf.DUMMYFUNCTION("""COMPUTED_VALUE"""),"Maurício Meirelles: Generating Chaos")</f>
        <v>Maurício Meirelles: Generating Chaos</v>
      </c>
      <c r="U4486" s="5" t="str">
        <f>IFERROR(__xludf.DUMMYFUNCTION("""COMPUTED_VALUE"""),"Trevor Ryan")</f>
        <v>Trevor Ryan</v>
      </c>
      <c r="V4486" s="5" t="s">
        <v>23867</v>
      </c>
      <c r="W4486" s="5" t="str">
        <f t="shared" si="3"/>
        <v>Yoon Sung-Hyun</v>
      </c>
      <c r="X4486" s="5">
        <f t="shared" si="4"/>
        <v>1</v>
      </c>
      <c r="Y4486" s="5" t="str">
        <f>IFERROR(__xludf.DUMMYFUNCTION("REGEXEXTRACT(J4486, ""^\d+"")"),"102")</f>
        <v>102</v>
      </c>
      <c r="Z4486" s="5" t="str">
        <f>IFERROR(__xludf.DUMMYFUNCTION("REGEXEXTRACT(J4486, ""[A-Za-z ]+$"")")," min")</f>
        <v> min</v>
      </c>
      <c r="AA4486" s="5" t="str">
        <f>IFERROR(__xludf.DUMMYFUNCTION("IF(REGEXMATCH(Z4486, ""Season""), ""TV Show"", ""Movie"")"),"Movie")</f>
        <v>Movie</v>
      </c>
    </row>
    <row r="4487">
      <c r="A4487" s="1" t="s">
        <v>23868</v>
      </c>
      <c r="B4487" s="1" t="s">
        <v>37</v>
      </c>
      <c r="C4487" s="1" t="s">
        <v>23869</v>
      </c>
      <c r="F4487" s="1" t="s">
        <v>30</v>
      </c>
      <c r="G4487" s="1" t="s">
        <v>23856</v>
      </c>
      <c r="H4487" s="1">
        <v>2017.0</v>
      </c>
      <c r="I4487" s="1" t="s">
        <v>42</v>
      </c>
      <c r="J4487" s="1" t="s">
        <v>276</v>
      </c>
      <c r="K4487" s="1" t="s">
        <v>10491</v>
      </c>
      <c r="L4487" s="1" t="s">
        <v>23870</v>
      </c>
      <c r="M4487" s="2" t="s">
        <v>12</v>
      </c>
      <c r="N4487" s="4">
        <f t="shared" si="1"/>
        <v>43396</v>
      </c>
      <c r="O4487" s="5" t="str">
        <f>IFERROR(__xludf.DUMMYFUNCTION("IF(REGEXMATCH(TRIM(I4487), ""^\d+\s*min""), ""Unclassified"", IF(I4487 = """", ""NR"", I4487))"),"TV-MA")</f>
        <v>TV-MA</v>
      </c>
      <c r="R4487" s="5" t="str">
        <f t="shared" si="2"/>
        <v>The Hollywood Masters</v>
      </c>
      <c r="S4487" s="5" t="str">
        <f>IFERROR(__xludf.DUMMYFUNCTION("""COMPUTED_VALUE"""),"Max Rose")</f>
        <v>Max Rose</v>
      </c>
      <c r="U4487" s="5" t="str">
        <f>IFERROR(__xludf.DUMMYFUNCTION("""COMPUTED_VALUE"""),"Michael Fahey")</f>
        <v>Michael Fahey</v>
      </c>
      <c r="V4487" s="5" t="s">
        <v>15162</v>
      </c>
      <c r="W4487" s="5" t="str">
        <f t="shared" si="3"/>
        <v>Yorgos Lanthimos</v>
      </c>
      <c r="X4487" s="5">
        <f t="shared" si="4"/>
        <v>2</v>
      </c>
      <c r="Y4487" s="5" t="str">
        <f>IFERROR(__xludf.DUMMYFUNCTION("REGEXEXTRACT(J4487, ""^\d+"")"),"3")</f>
        <v>3</v>
      </c>
      <c r="Z4487" s="5" t="str">
        <f>IFERROR(__xludf.DUMMYFUNCTION("REGEXEXTRACT(J4487, ""[A-Za-z ]+$"")")," Seasons")</f>
        <v> Seasons</v>
      </c>
      <c r="AA4487" s="5" t="str">
        <f>IFERROR(__xludf.DUMMYFUNCTION("IF(REGEXMATCH(Z4487, ""Season""), ""TV Show"", ""Movie"")"),"TV Show")</f>
        <v>TV Show</v>
      </c>
    </row>
    <row r="4488">
      <c r="A4488" s="1" t="s">
        <v>23871</v>
      </c>
      <c r="B4488" s="1" t="s">
        <v>27</v>
      </c>
      <c r="C4488" s="1" t="s">
        <v>23872</v>
      </c>
      <c r="D4488" s="1" t="s">
        <v>11024</v>
      </c>
      <c r="E4488" s="1" t="s">
        <v>23873</v>
      </c>
      <c r="F4488" s="1" t="s">
        <v>23874</v>
      </c>
      <c r="G4488" s="1" t="s">
        <v>23875</v>
      </c>
      <c r="H4488" s="1">
        <v>2018.0</v>
      </c>
      <c r="I4488" s="1" t="s">
        <v>42</v>
      </c>
      <c r="J4488" s="1" t="s">
        <v>106</v>
      </c>
      <c r="K4488" s="1" t="s">
        <v>215</v>
      </c>
      <c r="L4488" s="1" t="s">
        <v>23876</v>
      </c>
      <c r="M4488" s="2" t="s">
        <v>12</v>
      </c>
      <c r="N4488" s="4">
        <f t="shared" si="1"/>
        <v>43393</v>
      </c>
      <c r="O4488" s="5" t="str">
        <f>IFERROR(__xludf.DUMMYFUNCTION("IF(REGEXMATCH(TRIM(I4488), ""^\d+\s*min""), ""Unclassified"", IF(I4488 = """", ""NR"", I4488))"),"TV-MA")</f>
        <v>TV-MA</v>
      </c>
      <c r="R4488" s="5" t="str">
        <f t="shared" si="2"/>
        <v>How To Get Over A Breakup</v>
      </c>
      <c r="S4488" s="5" t="str">
        <f>IFERROR(__xludf.DUMMYFUNCTION("""COMPUTED_VALUE"""),"Maximum Risk")</f>
        <v>Maximum Risk</v>
      </c>
      <c r="U4488" s="5" t="str">
        <f>IFERROR(__xludf.DUMMYFUNCTION("""COMPUTED_VALUE"""),"Huang Lei")</f>
        <v>Huang Lei</v>
      </c>
      <c r="V4488" s="5" t="s">
        <v>16775</v>
      </c>
      <c r="W4488" s="5" t="str">
        <f t="shared" si="3"/>
        <v>Yoshiyuki Momose</v>
      </c>
      <c r="X4488" s="5">
        <f t="shared" si="4"/>
        <v>1</v>
      </c>
      <c r="Y4488" s="5" t="str">
        <f>IFERROR(__xludf.DUMMYFUNCTION("REGEXEXTRACT(J4488, ""^\d+"")"),"104")</f>
        <v>104</v>
      </c>
      <c r="Z4488" s="5" t="str">
        <f>IFERROR(__xludf.DUMMYFUNCTION("REGEXEXTRACT(J4488, ""[A-Za-z ]+$"")")," min")</f>
        <v> min</v>
      </c>
      <c r="AA4488" s="5" t="str">
        <f>IFERROR(__xludf.DUMMYFUNCTION("IF(REGEXMATCH(Z4488, ""Season""), ""TV Show"", ""Movie"")"),"Movie")</f>
        <v>Movie</v>
      </c>
    </row>
    <row r="4489">
      <c r="A4489" s="1" t="s">
        <v>23877</v>
      </c>
      <c r="B4489" s="1" t="s">
        <v>37</v>
      </c>
      <c r="C4489" s="1" t="s">
        <v>23878</v>
      </c>
      <c r="E4489" s="1" t="s">
        <v>23879</v>
      </c>
      <c r="F4489" s="1" t="s">
        <v>3892</v>
      </c>
      <c r="G4489" s="1" t="s">
        <v>23880</v>
      </c>
      <c r="H4489" s="1">
        <v>2018.0</v>
      </c>
      <c r="I4489" s="1" t="s">
        <v>97</v>
      </c>
      <c r="J4489" s="1" t="s">
        <v>51</v>
      </c>
      <c r="K4489" s="1" t="s">
        <v>64</v>
      </c>
      <c r="L4489" s="1" t="s">
        <v>23881</v>
      </c>
      <c r="M4489" s="2" t="s">
        <v>12</v>
      </c>
      <c r="N4489" s="4">
        <f t="shared" si="1"/>
        <v>43392</v>
      </c>
      <c r="O4489" s="5" t="str">
        <f>IFERROR(__xludf.DUMMYFUNCTION("IF(REGEXMATCH(TRIM(I4489), ""^\d+\s*min""), ""Unclassified"", IF(I4489 = """", ""NR"", I4489))"),"TV-14")</f>
        <v>TV-14</v>
      </c>
      <c r="R4489" s="5" t="str">
        <f t="shared" si="2"/>
        <v>Accidentally In Love</v>
      </c>
      <c r="S4489" s="5" t="str">
        <f>IFERROR(__xludf.DUMMYFUNCTION("""COMPUTED_VALUE"""),"May The Devil Take You")</f>
        <v>May The Devil Take You</v>
      </c>
      <c r="U4489" s="5" t="str">
        <f>IFERROR(__xludf.DUMMYFUNCTION("""COMPUTED_VALUE"""),"Rebecca Harrison")</f>
        <v>Rebecca Harrison</v>
      </c>
      <c r="V4489" s="5" t="s">
        <v>4139</v>
      </c>
      <c r="W4489" s="5" t="str">
        <f t="shared" si="3"/>
        <v>Yoshiyuki Tomino</v>
      </c>
      <c r="X4489" s="5">
        <f t="shared" si="4"/>
        <v>1</v>
      </c>
      <c r="Y4489" s="5" t="str">
        <f>IFERROR(__xludf.DUMMYFUNCTION("REGEXEXTRACT(J4489, ""^\d+"")"),"1")</f>
        <v>1</v>
      </c>
      <c r="Z4489" s="5" t="str">
        <f>IFERROR(__xludf.DUMMYFUNCTION("REGEXEXTRACT(J4489, ""[A-Za-z ]+$"")")," Season")</f>
        <v> Season</v>
      </c>
      <c r="AA4489" s="5" t="str">
        <f>IFERROR(__xludf.DUMMYFUNCTION("IF(REGEXMATCH(Z4489, ""Season""), ""TV Show"", ""Movie"")"),"TV Show")</f>
        <v>TV Show</v>
      </c>
    </row>
    <row r="4490">
      <c r="A4490" s="1" t="s">
        <v>23882</v>
      </c>
      <c r="B4490" s="1" t="s">
        <v>37</v>
      </c>
      <c r="C4490" s="1" t="s">
        <v>23883</v>
      </c>
      <c r="E4490" s="1" t="s">
        <v>23884</v>
      </c>
      <c r="F4490" s="1" t="s">
        <v>221</v>
      </c>
      <c r="G4490" s="1" t="s">
        <v>23880</v>
      </c>
      <c r="H4490" s="1">
        <v>2017.0</v>
      </c>
      <c r="I4490" s="1" t="s">
        <v>136</v>
      </c>
      <c r="J4490" s="1" t="s">
        <v>51</v>
      </c>
      <c r="K4490" s="1" t="s">
        <v>3350</v>
      </c>
      <c r="L4490" s="1" t="s">
        <v>23885</v>
      </c>
      <c r="M4490" s="2" t="s">
        <v>12</v>
      </c>
      <c r="N4490" s="4">
        <f t="shared" si="1"/>
        <v>43392</v>
      </c>
      <c r="O4490" s="5" t="str">
        <f>IFERROR(__xludf.DUMMYFUNCTION("IF(REGEXMATCH(TRIM(I4490), ""^\d+\s*min""), ""Unclassified"", IF(I4490 = """", ""NR"", I4490))"),"TV-PG")</f>
        <v>TV-PG</v>
      </c>
      <c r="R4490" s="5" t="str">
        <f t="shared" si="2"/>
        <v>Ask The Doctor</v>
      </c>
      <c r="S4490" s="5" t="str">
        <f>IFERROR(__xludf.DUMMYFUNCTION("""COMPUTED_VALUE"""),"May We Chat")</f>
        <v>May We Chat</v>
      </c>
      <c r="U4490" s="5" t="str">
        <f>IFERROR(__xludf.DUMMYFUNCTION("""COMPUTED_VALUE"""),"Josh Mendoza")</f>
        <v>Josh Mendoza</v>
      </c>
      <c r="V4490" s="5" t="s">
        <v>4128</v>
      </c>
      <c r="W4490" s="5" t="str">
        <f t="shared" si="3"/>
        <v>Yoshiyuki Tomino, Yoshikazu Yasuhiko</v>
      </c>
      <c r="X4490" s="5">
        <f t="shared" si="4"/>
        <v>3</v>
      </c>
      <c r="Y4490" s="5" t="str">
        <f>IFERROR(__xludf.DUMMYFUNCTION("REGEXEXTRACT(J4490, ""^\d+"")"),"1")</f>
        <v>1</v>
      </c>
      <c r="Z4490" s="5" t="str">
        <f>IFERROR(__xludf.DUMMYFUNCTION("REGEXEXTRACT(J4490, ""[A-Za-z ]+$"")")," Season")</f>
        <v> Season</v>
      </c>
      <c r="AA4490" s="5" t="str">
        <f>IFERROR(__xludf.DUMMYFUNCTION("IF(REGEXMATCH(Z4490, ""Season""), ""TV Show"", ""Movie"")"),"TV Show")</f>
        <v>TV Show</v>
      </c>
    </row>
    <row r="4491">
      <c r="A4491" s="1" t="s">
        <v>23886</v>
      </c>
      <c r="B4491" s="1" t="s">
        <v>37</v>
      </c>
      <c r="C4491" s="1" t="s">
        <v>23887</v>
      </c>
      <c r="E4491" s="1" t="s">
        <v>23888</v>
      </c>
      <c r="F4491" s="1" t="s">
        <v>30</v>
      </c>
      <c r="G4491" s="1" t="s">
        <v>23880</v>
      </c>
      <c r="H4491" s="1">
        <v>2018.0</v>
      </c>
      <c r="I4491" s="1" t="s">
        <v>136</v>
      </c>
      <c r="J4491" s="1" t="s">
        <v>51</v>
      </c>
      <c r="K4491" s="1" t="s">
        <v>314</v>
      </c>
      <c r="L4491" s="1" t="s">
        <v>23889</v>
      </c>
      <c r="M4491" s="2" t="s">
        <v>12</v>
      </c>
      <c r="N4491" s="4">
        <f t="shared" si="1"/>
        <v>43392</v>
      </c>
      <c r="O4491" s="5" t="str">
        <f>IFERROR(__xludf.DUMMYFUNCTION("IF(REGEXMATCH(TRIM(I4491), ""^\d+\s*min""), ""Unclassified"", IF(I4491 = """", ""NR"", I4491))"),"TV-PG")</f>
        <v>TV-PG</v>
      </c>
      <c r="R4491" s="5" t="str">
        <f t="shared" si="2"/>
        <v>Best.Worst.Weekend.Ever.</v>
      </c>
      <c r="S4491" s="5" t="str">
        <f>IFERROR(__xludf.DUMMYFUNCTION("""COMPUTED_VALUE"""),"May You Prosper")</f>
        <v>May You Prosper</v>
      </c>
      <c r="U4491" s="5" t="str">
        <f>IFERROR(__xludf.DUMMYFUNCTION("""COMPUTED_VALUE"""),"Rudy Soedjarwo, Riri Riza")</f>
        <v>Rudy Soedjarwo, Riri Riza</v>
      </c>
      <c r="V4491" s="5" t="s">
        <v>23890</v>
      </c>
      <c r="W4491" s="5" t="str">
        <f t="shared" si="3"/>
        <v>You-Jeong Chang</v>
      </c>
      <c r="X4491" s="5">
        <f t="shared" si="4"/>
        <v>1</v>
      </c>
      <c r="Y4491" s="5" t="str">
        <f>IFERROR(__xludf.DUMMYFUNCTION("REGEXEXTRACT(J4491, ""^\d+"")"),"1")</f>
        <v>1</v>
      </c>
      <c r="Z4491" s="5" t="str">
        <f>IFERROR(__xludf.DUMMYFUNCTION("REGEXEXTRACT(J4491, ""[A-Za-z ]+$"")")," Season")</f>
        <v> Season</v>
      </c>
      <c r="AA4491" s="5" t="str">
        <f>IFERROR(__xludf.DUMMYFUNCTION("IF(REGEXMATCH(Z4491, ""Season""), ""TV Show"", ""Movie"")"),"TV Show")</f>
        <v>TV Show</v>
      </c>
    </row>
    <row r="4492">
      <c r="A4492" s="1" t="s">
        <v>23891</v>
      </c>
      <c r="B4492" s="1" t="s">
        <v>27</v>
      </c>
      <c r="C4492" s="1" t="s">
        <v>23892</v>
      </c>
      <c r="D4492" s="1" t="s">
        <v>2558</v>
      </c>
      <c r="E4492" s="1" t="s">
        <v>23893</v>
      </c>
      <c r="F4492" s="1" t="s">
        <v>23894</v>
      </c>
      <c r="G4492" s="1" t="s">
        <v>23880</v>
      </c>
      <c r="H4492" s="1">
        <v>2018.0</v>
      </c>
      <c r="I4492" s="1" t="s">
        <v>42</v>
      </c>
      <c r="J4492" s="1" t="s">
        <v>7064</v>
      </c>
      <c r="K4492" s="1" t="s">
        <v>2032</v>
      </c>
      <c r="L4492" s="1" t="s">
        <v>23895</v>
      </c>
      <c r="M4492" s="2" t="s">
        <v>12</v>
      </c>
      <c r="N4492" s="4">
        <f t="shared" si="1"/>
        <v>43392</v>
      </c>
      <c r="O4492" s="5" t="str">
        <f>IFERROR(__xludf.DUMMYFUNCTION("IF(REGEXMATCH(TRIM(I4492), ""^\d+\s*min""), ""Unclassified"", IF(I4492 = """", ""NR"", I4492))"),"TV-MA")</f>
        <v>TV-MA</v>
      </c>
      <c r="R4492" s="5" t="str">
        <f t="shared" si="2"/>
        <v>Club De Cuervos Presents: I, Potro</v>
      </c>
      <c r="S4492" s="5" t="str">
        <f>IFERROR(__xludf.DUMMYFUNCTION("""COMPUTED_VALUE"""),"Maya Angelou: And Still I Rise")</f>
        <v>Maya Angelou: And Still I Rise</v>
      </c>
      <c r="U4492" s="5" t="str">
        <f>IFERROR(__xludf.DUMMYFUNCTION("""COMPUTED_VALUE"""),"Ritu Sarin, Tenzing Sonam")</f>
        <v>Ritu Sarin, Tenzing Sonam</v>
      </c>
      <c r="V4492" s="5" t="s">
        <v>23896</v>
      </c>
      <c r="W4492" s="5" t="str">
        <f t="shared" si="3"/>
        <v>Young Jun Lee</v>
      </c>
      <c r="X4492" s="5">
        <f t="shared" si="4"/>
        <v>1</v>
      </c>
      <c r="Y4492" s="5" t="str">
        <f>IFERROR(__xludf.DUMMYFUNCTION("REGEXEXTRACT(J4492, ""^\d+"")"),"51")</f>
        <v>51</v>
      </c>
      <c r="Z4492" s="5" t="str">
        <f>IFERROR(__xludf.DUMMYFUNCTION("REGEXEXTRACT(J4492, ""[A-Za-z ]+$"")")," min")</f>
        <v> min</v>
      </c>
      <c r="AA4492" s="5" t="str">
        <f>IFERROR(__xludf.DUMMYFUNCTION("IF(REGEXMATCH(Z4492, ""Season""), ""TV Show"", ""Movie"")"),"Movie")</f>
        <v>Movie</v>
      </c>
    </row>
    <row r="4493">
      <c r="A4493" s="1" t="s">
        <v>23897</v>
      </c>
      <c r="B4493" s="1" t="s">
        <v>27</v>
      </c>
      <c r="C4493" s="1" t="s">
        <v>23898</v>
      </c>
      <c r="E4493" s="1" t="s">
        <v>23899</v>
      </c>
      <c r="G4493" s="1" t="s">
        <v>23880</v>
      </c>
      <c r="H4493" s="1">
        <v>2018.0</v>
      </c>
      <c r="I4493" s="1" t="s">
        <v>42</v>
      </c>
      <c r="J4493" s="1" t="s">
        <v>9034</v>
      </c>
      <c r="K4493" s="1" t="s">
        <v>2032</v>
      </c>
      <c r="L4493" s="1" t="s">
        <v>23900</v>
      </c>
      <c r="M4493" s="2" t="s">
        <v>12</v>
      </c>
      <c r="N4493" s="4">
        <f t="shared" si="1"/>
        <v>43392</v>
      </c>
      <c r="O4493" s="5" t="str">
        <f>IFERROR(__xludf.DUMMYFUNCTION("IF(REGEXMATCH(TRIM(I4493), ""^\d+\s*min""), ""Unclassified"", IF(I4493 = """", ""NR"", I4493))"),"TV-MA")</f>
        <v>TV-MA</v>
      </c>
      <c r="R4493" s="5" t="str">
        <f t="shared" si="2"/>
        <v>Derren Brown: Sacrifice</v>
      </c>
      <c r="S4493" s="5" t="str">
        <f>IFERROR(__xludf.DUMMYFUNCTION("""COMPUTED_VALUE"""),"Maya Memsaab")</f>
        <v>Maya Memsaab</v>
      </c>
      <c r="U4493" s="5" t="str">
        <f>IFERROR(__xludf.DUMMYFUNCTION("""COMPUTED_VALUE"""),"Heidi Brandenburg, Mathew Orzel")</f>
        <v>Heidi Brandenburg, Mathew Orzel</v>
      </c>
      <c r="V4493" s="5" t="s">
        <v>13161</v>
      </c>
      <c r="W4493" s="5" t="str">
        <f t="shared" si="3"/>
        <v>Younuts!</v>
      </c>
      <c r="X4493" s="5">
        <f t="shared" si="4"/>
        <v>1</v>
      </c>
      <c r="Y4493" s="5" t="str">
        <f>IFERROR(__xludf.DUMMYFUNCTION("REGEXEXTRACT(J4493, ""^\d+"")"),"50")</f>
        <v>50</v>
      </c>
      <c r="Z4493" s="5" t="str">
        <f>IFERROR(__xludf.DUMMYFUNCTION("REGEXEXTRACT(J4493, ""[A-Za-z ]+$"")")," min")</f>
        <v> min</v>
      </c>
      <c r="AA4493" s="5" t="str">
        <f>IFERROR(__xludf.DUMMYFUNCTION("IF(REGEXMATCH(Z4493, ""Season""), ""TV Show"", ""Movie"")"),"Movie")</f>
        <v>Movie</v>
      </c>
    </row>
    <row r="4494">
      <c r="A4494" s="1" t="s">
        <v>23901</v>
      </c>
      <c r="B4494" s="1" t="s">
        <v>27</v>
      </c>
      <c r="C4494" s="1" t="s">
        <v>23902</v>
      </c>
      <c r="D4494" s="1" t="s">
        <v>13461</v>
      </c>
      <c r="E4494" s="1" t="s">
        <v>23903</v>
      </c>
      <c r="F4494" s="1" t="s">
        <v>23904</v>
      </c>
      <c r="G4494" s="1" t="s">
        <v>23880</v>
      </c>
      <c r="H4494" s="1">
        <v>2018.0</v>
      </c>
      <c r="I4494" s="1" t="s">
        <v>78</v>
      </c>
      <c r="J4494" s="1" t="s">
        <v>1144</v>
      </c>
      <c r="K4494" s="1" t="s">
        <v>137</v>
      </c>
      <c r="L4494" s="1" t="s">
        <v>23905</v>
      </c>
      <c r="M4494" s="2" t="s">
        <v>12</v>
      </c>
      <c r="N4494" s="4">
        <f t="shared" si="1"/>
        <v>43392</v>
      </c>
      <c r="O4494" s="5" t="str">
        <f>IFERROR(__xludf.DUMMYFUNCTION("IF(REGEXMATCH(TRIM(I4494), ""^\d+\s*min""), ""Unclassified"", IF(I4494 = """", ""NR"", I4494))"),"PG")</f>
        <v>PG</v>
      </c>
      <c r="R4494" s="5" t="str">
        <f t="shared" si="2"/>
        <v>Gnome Alone</v>
      </c>
      <c r="S4494" s="5" t="str">
        <f>IFERROR(__xludf.DUMMYFUNCTION("""COMPUTED_VALUE"""),"Mayday Life")</f>
        <v>Mayday Life</v>
      </c>
      <c r="U4494" s="5" t="str">
        <f>IFERROR(__xludf.DUMMYFUNCTION("""COMPUTED_VALUE"""),"Marek Kanievska")</f>
        <v>Marek Kanievska</v>
      </c>
      <c r="V4494" s="5" t="s">
        <v>3307</v>
      </c>
      <c r="W4494" s="5" t="str">
        <f t="shared" si="3"/>
        <v>Youssef Chahine</v>
      </c>
      <c r="X4494" s="5">
        <f t="shared" si="4"/>
        <v>12</v>
      </c>
      <c r="Y4494" s="5" t="str">
        <f>IFERROR(__xludf.DUMMYFUNCTION("REGEXEXTRACT(J4494, ""^\d+"")"),"86")</f>
        <v>86</v>
      </c>
      <c r="Z4494" s="5" t="str">
        <f>IFERROR(__xludf.DUMMYFUNCTION("REGEXEXTRACT(J4494, ""[A-Za-z ]+$"")")," min")</f>
        <v> min</v>
      </c>
      <c r="AA4494" s="5" t="str">
        <f>IFERROR(__xludf.DUMMYFUNCTION("IF(REGEXMATCH(Z4494, ""Season""), ""TV Show"", ""Movie"")"),"Movie")</f>
        <v>Movie</v>
      </c>
    </row>
    <row r="4495">
      <c r="A4495" s="1" t="s">
        <v>23906</v>
      </c>
      <c r="B4495" s="1" t="s">
        <v>27</v>
      </c>
      <c r="C4495" s="1" t="s">
        <v>23907</v>
      </c>
      <c r="D4495" s="1" t="s">
        <v>23908</v>
      </c>
      <c r="E4495" s="1" t="s">
        <v>23909</v>
      </c>
      <c r="F4495" s="1" t="s">
        <v>749</v>
      </c>
      <c r="G4495" s="1" t="s">
        <v>23880</v>
      </c>
      <c r="H4495" s="1">
        <v>2018.0</v>
      </c>
      <c r="I4495" s="1" t="s">
        <v>42</v>
      </c>
      <c r="J4495" s="1" t="s">
        <v>1704</v>
      </c>
      <c r="K4495" s="1" t="s">
        <v>13636</v>
      </c>
      <c r="L4495" s="1" t="s">
        <v>23910</v>
      </c>
      <c r="M4495" s="2" t="s">
        <v>12</v>
      </c>
      <c r="N4495" s="4">
        <f t="shared" si="1"/>
        <v>43392</v>
      </c>
      <c r="O4495" s="5" t="str">
        <f>IFERROR(__xludf.DUMMYFUNCTION("IF(REGEXMATCH(TRIM(I4495), ""^\d+\s*min""), ""Unclassified"", IF(I4495 = """", ""NR"", I4495))"),"TV-MA")</f>
        <v>TV-MA</v>
      </c>
      <c r="R4495" s="5" t="str">
        <f t="shared" si="2"/>
        <v>Illang: The Wolf Brigade</v>
      </c>
      <c r="S4495" s="5" t="str">
        <f>IFERROR(__xludf.DUMMYFUNCTION("""COMPUTED_VALUE"""),"Maynard")</f>
        <v>Maynard</v>
      </c>
      <c r="U4495" s="5" t="str">
        <f>IFERROR(__xludf.DUMMYFUNCTION("""COMPUTED_VALUE"""),"Paul Raschid")</f>
        <v>Paul Raschid</v>
      </c>
      <c r="V4495" s="5" t="s">
        <v>13945</v>
      </c>
      <c r="W4495" s="5" t="str">
        <f t="shared" si="3"/>
        <v>Yu Yang</v>
      </c>
      <c r="X4495" s="5">
        <f t="shared" si="4"/>
        <v>1</v>
      </c>
      <c r="Y4495" s="5" t="str">
        <f>IFERROR(__xludf.DUMMYFUNCTION("REGEXEXTRACT(J4495, ""^\d+"")"),"140")</f>
        <v>140</v>
      </c>
      <c r="Z4495" s="5" t="str">
        <f>IFERROR(__xludf.DUMMYFUNCTION("REGEXEXTRACT(J4495, ""[A-Za-z ]+$"")")," min")</f>
        <v> min</v>
      </c>
      <c r="AA4495" s="5" t="str">
        <f>IFERROR(__xludf.DUMMYFUNCTION("IF(REGEXMATCH(Z4495, ""Season""), ""TV Show"", ""Movie"")"),"Movie")</f>
        <v>Movie</v>
      </c>
    </row>
    <row r="4496">
      <c r="A4496" s="1" t="s">
        <v>23911</v>
      </c>
      <c r="B4496" s="1" t="s">
        <v>37</v>
      </c>
      <c r="C4496" s="1" t="s">
        <v>23912</v>
      </c>
      <c r="F4496" s="1" t="s">
        <v>30</v>
      </c>
      <c r="G4496" s="1" t="s">
        <v>23880</v>
      </c>
      <c r="H4496" s="1">
        <v>2018.0</v>
      </c>
      <c r="I4496" s="1" t="s">
        <v>97</v>
      </c>
      <c r="J4496" s="1" t="s">
        <v>43</v>
      </c>
      <c r="K4496" s="1" t="s">
        <v>2043</v>
      </c>
      <c r="L4496" s="1" t="s">
        <v>23913</v>
      </c>
      <c r="M4496" s="2" t="s">
        <v>12</v>
      </c>
      <c r="N4496" s="4">
        <f t="shared" si="1"/>
        <v>43392</v>
      </c>
      <c r="O4496" s="5" t="str">
        <f>IFERROR(__xludf.DUMMYFUNCTION("IF(REGEXMATCH(TRIM(I4496), ""^\d+\s*min""), ""Unclassified"", IF(I4496 = """", ""NR"", I4496))"),"TV-14")</f>
        <v>TV-14</v>
      </c>
      <c r="R4496" s="5" t="str">
        <f t="shared" si="2"/>
        <v>Making A Murderer</v>
      </c>
      <c r="S4496" s="5" t="str">
        <f>IFERROR(__xludf.DUMMYFUNCTION("""COMPUTED_VALUE"""),"​Mayurakshi")</f>
        <v>​Mayurakshi</v>
      </c>
      <c r="U4496" s="5" t="str">
        <f>IFERROR(__xludf.DUMMYFUNCTION("""COMPUTED_VALUE"""),"Benjamin Turner")</f>
        <v>Benjamin Turner</v>
      </c>
      <c r="V4496" s="5" t="s">
        <v>11309</v>
      </c>
      <c r="W4496" s="5" t="str">
        <f t="shared" si="3"/>
        <v>Yudai Yamaguchi</v>
      </c>
      <c r="X4496" s="5">
        <f t="shared" si="4"/>
        <v>1</v>
      </c>
      <c r="Y4496" s="5" t="str">
        <f>IFERROR(__xludf.DUMMYFUNCTION("REGEXEXTRACT(J4496, ""^\d+"")"),"2")</f>
        <v>2</v>
      </c>
      <c r="Z4496" s="5" t="str">
        <f>IFERROR(__xludf.DUMMYFUNCTION("REGEXEXTRACT(J4496, ""[A-Za-z ]+$"")")," Seasons")</f>
        <v> Seasons</v>
      </c>
      <c r="AA4496" s="5" t="str">
        <f>IFERROR(__xludf.DUMMYFUNCTION("IF(REGEXMATCH(Z4496, ""Season""), ""TV Show"", ""Movie"")"),"TV Show")</f>
        <v>TV Show</v>
      </c>
    </row>
    <row r="4497">
      <c r="A4497" s="1" t="s">
        <v>23914</v>
      </c>
      <c r="B4497" s="1" t="s">
        <v>37</v>
      </c>
      <c r="C4497" s="1" t="s">
        <v>23915</v>
      </c>
      <c r="E4497" s="1" t="s">
        <v>23916</v>
      </c>
      <c r="F4497" s="1" t="s">
        <v>30</v>
      </c>
      <c r="G4497" s="1" t="s">
        <v>23880</v>
      </c>
      <c r="H4497" s="1">
        <v>2018.0</v>
      </c>
      <c r="I4497" s="1" t="s">
        <v>42</v>
      </c>
      <c r="J4497" s="1" t="s">
        <v>276</v>
      </c>
      <c r="K4497" s="1" t="s">
        <v>16414</v>
      </c>
      <c r="L4497" s="1" t="s">
        <v>23917</v>
      </c>
      <c r="M4497" s="2" t="s">
        <v>12</v>
      </c>
      <c r="N4497" s="4">
        <f t="shared" si="1"/>
        <v>43392</v>
      </c>
      <c r="O4497" s="5" t="str">
        <f>IFERROR(__xludf.DUMMYFUNCTION("IF(REGEXMATCH(TRIM(I4497), ""^\d+\s*min""), ""Unclassified"", IF(I4497 = """", ""NR"", I4497))"),"TV-MA")</f>
        <v>TV-MA</v>
      </c>
      <c r="R4497" s="5" t="str">
        <f t="shared" si="2"/>
        <v>Marvel'S Daredevil</v>
      </c>
      <c r="S4497" s="5" t="str">
        <f>IFERROR(__xludf.DUMMYFUNCTION("""COMPUTED_VALUE"""),"Maz Jobrani: Immigrant")</f>
        <v>Maz Jobrani: Immigrant</v>
      </c>
      <c r="U4497" s="5" t="str">
        <f>IFERROR(__xludf.DUMMYFUNCTION("""COMPUTED_VALUE"""),"Drew Stone")</f>
        <v>Drew Stone</v>
      </c>
      <c r="V4497" s="5" t="s">
        <v>23918</v>
      </c>
      <c r="W4497" s="5" t="str">
        <f t="shared" si="3"/>
        <v>Yuen Wo-Ping</v>
      </c>
      <c r="X4497" s="5">
        <f t="shared" si="4"/>
        <v>1</v>
      </c>
      <c r="Y4497" s="5" t="str">
        <f>IFERROR(__xludf.DUMMYFUNCTION("REGEXEXTRACT(J4497, ""^\d+"")"),"3")</f>
        <v>3</v>
      </c>
      <c r="Z4497" s="5" t="str">
        <f>IFERROR(__xludf.DUMMYFUNCTION("REGEXEXTRACT(J4497, ""[A-Za-z ]+$"")")," Seasons")</f>
        <v> Seasons</v>
      </c>
      <c r="AA4497" s="5" t="str">
        <f>IFERROR(__xludf.DUMMYFUNCTION("IF(REGEXMATCH(Z4497, ""Season""), ""TV Show"", ""Movie"")"),"TV Show")</f>
        <v>TV Show</v>
      </c>
    </row>
    <row r="4498">
      <c r="A4498" s="1" t="s">
        <v>23919</v>
      </c>
      <c r="B4498" s="1" t="s">
        <v>27</v>
      </c>
      <c r="C4498" s="1" t="s">
        <v>23920</v>
      </c>
      <c r="D4498" s="1" t="s">
        <v>18689</v>
      </c>
      <c r="E4498" s="1" t="s">
        <v>23921</v>
      </c>
      <c r="F4498" s="1" t="s">
        <v>63</v>
      </c>
      <c r="G4498" s="1" t="s">
        <v>23880</v>
      </c>
      <c r="H4498" s="1">
        <v>2013.0</v>
      </c>
      <c r="I4498" s="1" t="s">
        <v>97</v>
      </c>
      <c r="J4498" s="1" t="s">
        <v>393</v>
      </c>
      <c r="K4498" s="1" t="s">
        <v>128</v>
      </c>
      <c r="L4498" s="1" t="s">
        <v>23922</v>
      </c>
      <c r="M4498" s="2" t="s">
        <v>12</v>
      </c>
      <c r="N4498" s="4">
        <f t="shared" si="1"/>
        <v>43392</v>
      </c>
      <c r="O4498" s="5" t="str">
        <f>IFERROR(__xludf.DUMMYFUNCTION("IF(REGEXMATCH(TRIM(I4498), ""^\d+\s*min""), ""Unclassified"", IF(I4498 = """", ""NR"", I4498))"),"TV-14")</f>
        <v>TV-14</v>
      </c>
      <c r="R4498" s="5" t="str">
        <f t="shared" si="2"/>
        <v>Naa Bangaaru Talli</v>
      </c>
      <c r="S4498" s="5" t="str">
        <f>IFERROR(__xludf.DUMMYFUNCTION("""COMPUTED_VALUE"""),"Maza Pati Karodpati")</f>
        <v>Maza Pati Karodpati</v>
      </c>
      <c r="U4498" s="5" t="str">
        <f>IFERROR(__xludf.DUMMYFUNCTION("""COMPUTED_VALUE"""),"Milla Harrison-Hansley, Alicky Sussman")</f>
        <v>Milla Harrison-Hansley, Alicky Sussman</v>
      </c>
      <c r="V4498" s="5" t="s">
        <v>23923</v>
      </c>
      <c r="W4498" s="5" t="str">
        <f t="shared" si="3"/>
        <v>Yuen Woo-Ping</v>
      </c>
      <c r="X4498" s="5">
        <f t="shared" si="4"/>
        <v>1</v>
      </c>
      <c r="Y4498" s="5" t="str">
        <f>IFERROR(__xludf.DUMMYFUNCTION("REGEXEXTRACT(J4498, ""^\d+"")"),"122")</f>
        <v>122</v>
      </c>
      <c r="Z4498" s="5" t="str">
        <f>IFERROR(__xludf.DUMMYFUNCTION("REGEXEXTRACT(J4498, ""[A-Za-z ]+$"")")," min")</f>
        <v> min</v>
      </c>
      <c r="AA4498" s="5" t="str">
        <f>IFERROR(__xludf.DUMMYFUNCTION("IF(REGEXMATCH(Z4498, ""Season""), ""TV Show"", ""Movie"")"),"Movie")</f>
        <v>Movie</v>
      </c>
    </row>
    <row r="4499">
      <c r="A4499" s="1" t="s">
        <v>23924</v>
      </c>
      <c r="B4499" s="1" t="s">
        <v>27</v>
      </c>
      <c r="C4499" s="1" t="s">
        <v>23925</v>
      </c>
      <c r="E4499" s="1" t="s">
        <v>9449</v>
      </c>
      <c r="G4499" s="1" t="s">
        <v>23880</v>
      </c>
      <c r="H4499" s="1">
        <v>2018.0</v>
      </c>
      <c r="I4499" s="1" t="s">
        <v>206</v>
      </c>
      <c r="J4499" s="1" t="s">
        <v>370</v>
      </c>
      <c r="K4499" s="1" t="s">
        <v>2032</v>
      </c>
      <c r="L4499" s="1" t="s">
        <v>23926</v>
      </c>
      <c r="M4499" s="2" t="s">
        <v>12</v>
      </c>
      <c r="N4499" s="4">
        <f t="shared" si="1"/>
        <v>43392</v>
      </c>
      <c r="O4499" s="5" t="str">
        <f>IFERROR(__xludf.DUMMYFUNCTION("IF(REGEXMATCH(TRIM(I4499), ""^\d+\s*min""), ""Unclassified"", IF(I4499 = """", ""NR"", I4499))"),"TV-Y")</f>
        <v>TV-Y</v>
      </c>
      <c r="R4499" s="5" t="str">
        <f t="shared" si="2"/>
        <v>Oddbods: Party Monsters</v>
      </c>
      <c r="S4499" s="5" t="str">
        <f>IFERROR(__xludf.DUMMYFUNCTION("""COMPUTED_VALUE"""),"Me And The Alien")</f>
        <v>Me And The Alien</v>
      </c>
      <c r="U4499" s="5" t="str">
        <f>IFERROR(__xludf.DUMMYFUNCTION("""COMPUTED_VALUE"""),"Dhruv Dhawan")</f>
        <v>Dhruv Dhawan</v>
      </c>
      <c r="V4499" s="5" t="s">
        <v>12597</v>
      </c>
      <c r="W4499" s="5" t="str">
        <f t="shared" si="3"/>
        <v>Yuki Tanada</v>
      </c>
      <c r="X4499" s="5">
        <f t="shared" si="4"/>
        <v>1</v>
      </c>
      <c r="Y4499" s="5" t="str">
        <f>IFERROR(__xludf.DUMMYFUNCTION("REGEXEXTRACT(J4499, ""^\d+"")"),"23")</f>
        <v>23</v>
      </c>
      <c r="Z4499" s="5" t="str">
        <f>IFERROR(__xludf.DUMMYFUNCTION("REGEXEXTRACT(J4499, ""[A-Za-z ]+$"")")," min")</f>
        <v> min</v>
      </c>
      <c r="AA4499" s="5" t="str">
        <f>IFERROR(__xludf.DUMMYFUNCTION("IF(REGEXMATCH(Z4499, ""Season""), ""TV Show"", ""Movie"")"),"Movie")</f>
        <v>Movie</v>
      </c>
    </row>
    <row r="4500">
      <c r="A4500" s="1" t="s">
        <v>23927</v>
      </c>
      <c r="B4500" s="1" t="s">
        <v>37</v>
      </c>
      <c r="C4500" s="1" t="s">
        <v>23928</v>
      </c>
      <c r="E4500" s="1" t="s">
        <v>23929</v>
      </c>
      <c r="F4500" s="1" t="s">
        <v>2796</v>
      </c>
      <c r="G4500" s="1" t="s">
        <v>23880</v>
      </c>
      <c r="H4500" s="1">
        <v>2017.0</v>
      </c>
      <c r="I4500" s="1" t="s">
        <v>42</v>
      </c>
      <c r="J4500" s="1" t="s">
        <v>148</v>
      </c>
      <c r="K4500" s="1" t="s">
        <v>1830</v>
      </c>
      <c r="L4500" s="1" t="s">
        <v>23930</v>
      </c>
      <c r="M4500" s="2" t="s">
        <v>12</v>
      </c>
      <c r="N4500" s="4">
        <f t="shared" si="1"/>
        <v>43392</v>
      </c>
      <c r="O4500" s="5" t="str">
        <f>IFERROR(__xludf.DUMMYFUNCTION("IF(REGEXMATCH(TRIM(I4500), ""^\d+\s*min""), ""Unclassified"", IF(I4500 = """", ""NR"", I4500))"),"TV-MA")</f>
        <v>TV-MA</v>
      </c>
      <c r="R4500" s="5" t="str">
        <f t="shared" si="2"/>
        <v>Project S The Series</v>
      </c>
      <c r="S4500" s="5" t="str">
        <f>IFERROR(__xludf.DUMMYFUNCTION("""COMPUTED_VALUE"""),"Mea Culpa")</f>
        <v>Mea Culpa</v>
      </c>
      <c r="U4500" s="5" t="str">
        <f>IFERROR(__xludf.DUMMYFUNCTION("""COMPUTED_VALUE"""),"Frank Capra, Anatole Litvak")</f>
        <v>Frank Capra, Anatole Litvak</v>
      </c>
      <c r="V4500" s="5" t="s">
        <v>17138</v>
      </c>
      <c r="W4500" s="5" t="str">
        <f t="shared" si="3"/>
        <v>Yuki Yamato</v>
      </c>
      <c r="X4500" s="5">
        <f t="shared" si="4"/>
        <v>1</v>
      </c>
      <c r="Y4500" s="5" t="str">
        <f>IFERROR(__xludf.DUMMYFUNCTION("REGEXEXTRACT(J4500, ""^\d+"")"),"4")</f>
        <v>4</v>
      </c>
      <c r="Z4500" s="5" t="str">
        <f>IFERROR(__xludf.DUMMYFUNCTION("REGEXEXTRACT(J4500, ""[A-Za-z ]+$"")")," Seasons")</f>
        <v> Seasons</v>
      </c>
      <c r="AA4500" s="5" t="str">
        <f>IFERROR(__xludf.DUMMYFUNCTION("IF(REGEXMATCH(Z4500, ""Season""), ""TV Show"", ""Movie"")"),"TV Show")</f>
        <v>TV Show</v>
      </c>
    </row>
    <row r="4501">
      <c r="A4501" s="1" t="s">
        <v>23931</v>
      </c>
      <c r="B4501" s="1" t="s">
        <v>27</v>
      </c>
      <c r="C4501" s="1" t="s">
        <v>23932</v>
      </c>
      <c r="D4501" s="1" t="s">
        <v>5994</v>
      </c>
      <c r="E4501" s="1" t="s">
        <v>23933</v>
      </c>
      <c r="F4501" s="1" t="s">
        <v>12646</v>
      </c>
      <c r="G4501" s="1" t="s">
        <v>23880</v>
      </c>
      <c r="H4501" s="1">
        <v>2016.0</v>
      </c>
      <c r="I4501" s="1" t="s">
        <v>42</v>
      </c>
      <c r="J4501" s="1" t="s">
        <v>465</v>
      </c>
      <c r="K4501" s="1" t="s">
        <v>1066</v>
      </c>
      <c r="L4501" s="1" t="s">
        <v>23934</v>
      </c>
      <c r="M4501" s="2" t="s">
        <v>12</v>
      </c>
      <c r="N4501" s="4">
        <f t="shared" si="1"/>
        <v>43392</v>
      </c>
      <c r="O4501" s="5" t="str">
        <f>IFERROR(__xludf.DUMMYFUNCTION("IF(REGEXMATCH(TRIM(I4501), ""^\d+\s*min""), ""Unclassified"", IF(I4501 = """", ""NR"", I4501))"),"TV-MA")</f>
        <v>TV-MA</v>
      </c>
      <c r="R4501" s="5" t="str">
        <f t="shared" si="2"/>
        <v>S Storm</v>
      </c>
      <c r="S4501" s="5" t="str">
        <f>IFERROR(__xludf.DUMMYFUNCTION("""COMPUTED_VALUE"""),"Mean Dreams")</f>
        <v>Mean Dreams</v>
      </c>
      <c r="U4501" s="5" t="str">
        <f>IFERROR(__xludf.DUMMYFUNCTION("""COMPUTED_VALUE"""),"Paul Dano")</f>
        <v>Paul Dano</v>
      </c>
      <c r="V4501" s="5" t="s">
        <v>4583</v>
      </c>
      <c r="W4501" s="5" t="str">
        <f t="shared" si="3"/>
        <v>Yulene Olaizola</v>
      </c>
      <c r="X4501" s="5">
        <f t="shared" si="4"/>
        <v>1</v>
      </c>
      <c r="Y4501" s="5" t="str">
        <f>IFERROR(__xludf.DUMMYFUNCTION("REGEXEXTRACT(J4501, ""^\d+"")"),"95")</f>
        <v>95</v>
      </c>
      <c r="Z4501" s="5" t="str">
        <f>IFERROR(__xludf.DUMMYFUNCTION("REGEXEXTRACT(J4501, ""[A-Za-z ]+$"")")," min")</f>
        <v> min</v>
      </c>
      <c r="AA4501" s="5" t="str">
        <f>IFERROR(__xludf.DUMMYFUNCTION("IF(REGEXMATCH(Z4501, ""Season""), ""TV Show"", ""Movie"")"),"Movie")</f>
        <v>Movie</v>
      </c>
    </row>
    <row r="4502">
      <c r="A4502" s="1" t="s">
        <v>23935</v>
      </c>
      <c r="B4502" s="1" t="s">
        <v>27</v>
      </c>
      <c r="C4502" s="1" t="s">
        <v>23936</v>
      </c>
      <c r="D4502" s="1" t="s">
        <v>22548</v>
      </c>
      <c r="E4502" s="1" t="s">
        <v>23937</v>
      </c>
      <c r="F4502" s="1" t="s">
        <v>23938</v>
      </c>
      <c r="G4502" s="1" t="s">
        <v>23880</v>
      </c>
      <c r="H4502" s="1">
        <v>2018.0</v>
      </c>
      <c r="I4502" s="1" t="s">
        <v>42</v>
      </c>
      <c r="J4502" s="1" t="s">
        <v>941</v>
      </c>
      <c r="K4502" s="1" t="s">
        <v>1066</v>
      </c>
      <c r="L4502" s="1" t="s">
        <v>23939</v>
      </c>
      <c r="M4502" s="2" t="s">
        <v>12</v>
      </c>
      <c r="N4502" s="4">
        <f t="shared" si="1"/>
        <v>43392</v>
      </c>
      <c r="O4502" s="5" t="str">
        <f>IFERROR(__xludf.DUMMYFUNCTION("IF(REGEXMATCH(TRIM(I4502), ""^\d+\s*min""), ""Unclassified"", IF(I4502 = """", ""NR"", I4502))"),"TV-MA")</f>
        <v>TV-MA</v>
      </c>
      <c r="R4502" s="5" t="str">
        <f t="shared" si="2"/>
        <v>The Night Comes For Us</v>
      </c>
      <c r="S4502" s="5" t="str">
        <f>IFERROR(__xludf.DUMMYFUNCTION("""COMPUTED_VALUE"""),"Mean Girls 2")</f>
        <v>Mean Girls 2</v>
      </c>
      <c r="U4502" s="5" t="str">
        <f>IFERROR(__xludf.DUMMYFUNCTION("""COMPUTED_VALUE"""),"Morgan Matthews")</f>
        <v>Morgan Matthews</v>
      </c>
      <c r="V4502" s="5" t="s">
        <v>23940</v>
      </c>
      <c r="W4502" s="5" t="str">
        <f t="shared" si="3"/>
        <v>Yusuf Pirhasan</v>
      </c>
      <c r="X4502" s="5">
        <f t="shared" si="4"/>
        <v>1</v>
      </c>
      <c r="Y4502" s="5" t="str">
        <f>IFERROR(__xludf.DUMMYFUNCTION("REGEXEXTRACT(J4502, ""^\d+"")"),"121")</f>
        <v>121</v>
      </c>
      <c r="Z4502" s="5" t="str">
        <f>IFERROR(__xludf.DUMMYFUNCTION("REGEXEXTRACT(J4502, ""[A-Za-z ]+$"")")," min")</f>
        <v> min</v>
      </c>
      <c r="AA4502" s="5" t="str">
        <f>IFERROR(__xludf.DUMMYFUNCTION("IF(REGEXMATCH(Z4502, ""Season""), ""TV Show"", ""Movie"")"),"Movie")</f>
        <v>Movie</v>
      </c>
    </row>
    <row r="4503">
      <c r="A4503" s="1" t="s">
        <v>23941</v>
      </c>
      <c r="B4503" s="1" t="s">
        <v>37</v>
      </c>
      <c r="C4503" s="1" t="s">
        <v>23942</v>
      </c>
      <c r="E4503" s="1" t="s">
        <v>23943</v>
      </c>
      <c r="F4503" s="1" t="s">
        <v>96</v>
      </c>
      <c r="G4503" s="1" t="s">
        <v>23880</v>
      </c>
      <c r="H4503" s="1">
        <v>2018.0</v>
      </c>
      <c r="I4503" s="1" t="s">
        <v>42</v>
      </c>
      <c r="J4503" s="1" t="s">
        <v>51</v>
      </c>
      <c r="K4503" s="1" t="s">
        <v>23944</v>
      </c>
      <c r="L4503" s="1" t="s">
        <v>23945</v>
      </c>
      <c r="M4503" s="2" t="s">
        <v>12</v>
      </c>
      <c r="N4503" s="4">
        <f t="shared" si="1"/>
        <v>43392</v>
      </c>
      <c r="O4503" s="5" t="str">
        <f>IFERROR(__xludf.DUMMYFUNCTION("IF(REGEXMATCH(TRIM(I4503), ""^\d+\s*min""), ""Unclassified"", IF(I4503 = """", ""NR"", I4503))"),"TV-MA")</f>
        <v>TV-MA</v>
      </c>
      <c r="R4503" s="5" t="str">
        <f t="shared" si="2"/>
        <v>Wanderlust</v>
      </c>
      <c r="S4503" s="5" t="str">
        <f>IFERROR(__xludf.DUMMYFUNCTION("""COMPUTED_VALUE"""),"Mean Streets")</f>
        <v>Mean Streets</v>
      </c>
      <c r="U4503" s="5" t="str">
        <f>IFERROR(__xludf.DUMMYFUNCTION("""COMPUTED_VALUE"""),"Mel Stuart")</f>
        <v>Mel Stuart</v>
      </c>
      <c r="V4503" s="5" t="s">
        <v>2517</v>
      </c>
      <c r="W4503" s="5" t="str">
        <f t="shared" si="3"/>
        <v>Yuval Adler</v>
      </c>
      <c r="X4503" s="5">
        <f t="shared" si="4"/>
        <v>1</v>
      </c>
      <c r="Y4503" s="5" t="str">
        <f>IFERROR(__xludf.DUMMYFUNCTION("REGEXEXTRACT(J4503, ""^\d+"")"),"1")</f>
        <v>1</v>
      </c>
      <c r="Z4503" s="5" t="str">
        <f>IFERROR(__xludf.DUMMYFUNCTION("REGEXEXTRACT(J4503, ""[A-Za-z ]+$"")")," Season")</f>
        <v> Season</v>
      </c>
      <c r="AA4503" s="5" t="str">
        <f>IFERROR(__xludf.DUMMYFUNCTION("IF(REGEXMATCH(Z4503, ""Season""), ""TV Show"", ""Movie"")"),"TV Show")</f>
        <v>TV Show</v>
      </c>
    </row>
    <row r="4504">
      <c r="A4504" s="1" t="s">
        <v>23946</v>
      </c>
      <c r="B4504" s="1" t="s">
        <v>27</v>
      </c>
      <c r="C4504" s="1" t="s">
        <v>23947</v>
      </c>
      <c r="D4504" s="1" t="s">
        <v>22410</v>
      </c>
      <c r="E4504" s="1" t="s">
        <v>23948</v>
      </c>
      <c r="F4504" s="1" t="s">
        <v>63</v>
      </c>
      <c r="G4504" s="1" t="s">
        <v>23949</v>
      </c>
      <c r="H4504" s="1">
        <v>2018.0</v>
      </c>
      <c r="I4504" s="1" t="s">
        <v>42</v>
      </c>
      <c r="J4504" s="1" t="s">
        <v>2859</v>
      </c>
      <c r="K4504" s="1" t="s">
        <v>298</v>
      </c>
      <c r="L4504" s="1" t="s">
        <v>23950</v>
      </c>
      <c r="M4504" s="2" t="s">
        <v>12</v>
      </c>
      <c r="N4504" s="4">
        <f t="shared" si="1"/>
        <v>43391</v>
      </c>
      <c r="O4504" s="5" t="str">
        <f>IFERROR(__xludf.DUMMYFUNCTION("IF(REGEXMATCH(TRIM(I4504), ""^\d+\s*min""), ""Unclassified"", IF(I4504 = """", ""NR"", I4504))"),"TV-MA")</f>
        <v>TV-MA</v>
      </c>
      <c r="R4504" s="5" t="str">
        <f t="shared" si="2"/>
        <v>Mr. Chandramouli</v>
      </c>
      <c r="S4504" s="5" t="str">
        <f>IFERROR(__xludf.DUMMYFUNCTION("""COMPUTED_VALUE"""),"Meateater")</f>
        <v>Meateater</v>
      </c>
      <c r="U4504" s="5" t="str">
        <f>IFERROR(__xludf.DUMMYFUNCTION("""COMPUTED_VALUE"""),"Pascale Lamche")</f>
        <v>Pascale Lamche</v>
      </c>
      <c r="V4504" s="5" t="s">
        <v>23951</v>
      </c>
      <c r="W4504" s="5" t="str">
        <f t="shared" si="3"/>
        <v>Yvan Attal</v>
      </c>
      <c r="X4504" s="5">
        <f t="shared" si="4"/>
        <v>1</v>
      </c>
      <c r="Y4504" s="5" t="str">
        <f>IFERROR(__xludf.DUMMYFUNCTION("REGEXEXTRACT(J4504, ""^\d+"")"),"131")</f>
        <v>131</v>
      </c>
      <c r="Z4504" s="5" t="str">
        <f>IFERROR(__xludf.DUMMYFUNCTION("REGEXEXTRACT(J4504, ""[A-Za-z ]+$"")")," min")</f>
        <v> min</v>
      </c>
      <c r="AA4504" s="5" t="str">
        <f>IFERROR(__xludf.DUMMYFUNCTION("IF(REGEXMATCH(Z4504, ""Season""), ""TV Show"", ""Movie"")"),"Movie")</f>
        <v>Movie</v>
      </c>
    </row>
    <row r="4505">
      <c r="A4505" s="1" t="s">
        <v>23952</v>
      </c>
      <c r="B4505" s="1" t="s">
        <v>37</v>
      </c>
      <c r="C4505" s="1" t="s">
        <v>23953</v>
      </c>
      <c r="E4505" s="1" t="s">
        <v>23954</v>
      </c>
      <c r="F4505" s="1" t="s">
        <v>1106</v>
      </c>
      <c r="G4505" s="1" t="s">
        <v>23955</v>
      </c>
      <c r="H4505" s="1">
        <v>2012.0</v>
      </c>
      <c r="I4505" s="1" t="s">
        <v>136</v>
      </c>
      <c r="J4505" s="1" t="s">
        <v>43</v>
      </c>
      <c r="K4505" s="1" t="s">
        <v>314</v>
      </c>
      <c r="L4505" s="1" t="s">
        <v>23956</v>
      </c>
      <c r="M4505" s="2" t="s">
        <v>12</v>
      </c>
      <c r="N4505" s="4">
        <f t="shared" si="1"/>
        <v>43390</v>
      </c>
      <c r="O4505" s="5" t="str">
        <f>IFERROR(__xludf.DUMMYFUNCTION("IF(REGEXMATCH(TRIM(I4505), ""^\d+\s*min""), ""Unclassified"", IF(I4505 = """", ""NR"", I4505))"),"TV-PG")</f>
        <v>TV-PG</v>
      </c>
      <c r="R4505" s="5" t="str">
        <f t="shared" si="2"/>
        <v>My Babysitter'S A Vampire</v>
      </c>
      <c r="S4505" s="5" t="str">
        <f>IFERROR(__xludf.DUMMYFUNCTION("""COMPUTED_VALUE"""),"Medal Of Honor")</f>
        <v>Medal Of Honor</v>
      </c>
      <c r="U4505" s="5" t="str">
        <f>IFERROR(__xludf.DUMMYFUNCTION("""COMPUTED_VALUE"""),"Debra Granik")</f>
        <v>Debra Granik</v>
      </c>
      <c r="V4505" s="5" t="s">
        <v>23957</v>
      </c>
      <c r="W4505" s="5" t="str">
        <f t="shared" si="3"/>
        <v>Zach Braff</v>
      </c>
      <c r="X4505" s="5">
        <f t="shared" si="4"/>
        <v>1</v>
      </c>
      <c r="Y4505" s="5" t="str">
        <f>IFERROR(__xludf.DUMMYFUNCTION("REGEXEXTRACT(J4505, ""^\d+"")"),"2")</f>
        <v>2</v>
      </c>
      <c r="Z4505" s="5" t="str">
        <f>IFERROR(__xludf.DUMMYFUNCTION("REGEXEXTRACT(J4505, ""[A-Za-z ]+$"")")," Seasons")</f>
        <v> Seasons</v>
      </c>
      <c r="AA4505" s="5" t="str">
        <f>IFERROR(__xludf.DUMMYFUNCTION("IF(REGEXMATCH(Z4505, ""Season""), ""TV Show"", ""Movie"")"),"TV Show")</f>
        <v>TV Show</v>
      </c>
    </row>
    <row r="4506">
      <c r="A4506" s="1" t="s">
        <v>23958</v>
      </c>
      <c r="B4506" s="1" t="s">
        <v>37</v>
      </c>
      <c r="C4506" s="1" t="s">
        <v>23959</v>
      </c>
      <c r="E4506" s="1" t="s">
        <v>23960</v>
      </c>
      <c r="F4506" s="1" t="s">
        <v>221</v>
      </c>
      <c r="G4506" s="1" t="s">
        <v>23961</v>
      </c>
      <c r="H4506" s="1">
        <v>2018.0</v>
      </c>
      <c r="I4506" s="1" t="s">
        <v>42</v>
      </c>
      <c r="J4506" s="1" t="s">
        <v>189</v>
      </c>
      <c r="K4506" s="1" t="s">
        <v>2493</v>
      </c>
      <c r="L4506" s="1" t="s">
        <v>23962</v>
      </c>
      <c r="M4506" s="2" t="s">
        <v>12</v>
      </c>
      <c r="N4506" s="4">
        <f t="shared" si="1"/>
        <v>43389</v>
      </c>
      <c r="O4506" s="5" t="str">
        <f>IFERROR(__xludf.DUMMYFUNCTION("IF(REGEXMATCH(TRIM(I4506), ""^\d+\s*min""), ""Unclassified"", IF(I4506 = """", ""NR"", I4506))"),"TV-MA")</f>
        <v>TV-MA</v>
      </c>
      <c r="R4506" s="5" t="str">
        <f t="shared" si="2"/>
        <v>Rake</v>
      </c>
      <c r="S4506" s="5" t="str">
        <f>IFERROR(__xludf.DUMMYFUNCTION("""COMPUTED_VALUE"""),"Medical Police")</f>
        <v>Medical Police</v>
      </c>
      <c r="U4506" s="5" t="str">
        <f>IFERROR(__xludf.DUMMYFUNCTION("""COMPUTED_VALUE"""),"Zach Braff")</f>
        <v>Zach Braff</v>
      </c>
      <c r="V4506" s="5" t="s">
        <v>23963</v>
      </c>
      <c r="W4506" s="5" t="str">
        <f t="shared" si="3"/>
        <v>Zach Clark</v>
      </c>
      <c r="X4506" s="5">
        <f t="shared" si="4"/>
        <v>1</v>
      </c>
      <c r="Y4506" s="5" t="str">
        <f>IFERROR(__xludf.DUMMYFUNCTION("REGEXEXTRACT(J4506, ""^\d+"")"),"5")</f>
        <v>5</v>
      </c>
      <c r="Z4506" s="5" t="str">
        <f>IFERROR(__xludf.DUMMYFUNCTION("REGEXEXTRACT(J4506, ""[A-Za-z ]+$"")")," Seasons")</f>
        <v> Seasons</v>
      </c>
      <c r="AA4506" s="5" t="str">
        <f>IFERROR(__xludf.DUMMYFUNCTION("IF(REGEXMATCH(Z4506, ""Season""), ""TV Show"", ""Movie"")"),"TV Show")</f>
        <v>TV Show</v>
      </c>
    </row>
    <row r="4507">
      <c r="A4507" s="1" t="s">
        <v>23964</v>
      </c>
      <c r="B4507" s="1" t="s">
        <v>27</v>
      </c>
      <c r="C4507" s="1" t="s">
        <v>23965</v>
      </c>
      <c r="D4507" s="1" t="s">
        <v>22705</v>
      </c>
      <c r="E4507" s="1" t="s">
        <v>23966</v>
      </c>
      <c r="F4507" s="1" t="s">
        <v>30</v>
      </c>
      <c r="G4507" s="1" t="s">
        <v>23961</v>
      </c>
      <c r="H4507" s="1">
        <v>2018.0</v>
      </c>
      <c r="I4507" s="1" t="s">
        <v>42</v>
      </c>
      <c r="J4507" s="1" t="s">
        <v>919</v>
      </c>
      <c r="K4507" s="1" t="s">
        <v>1839</v>
      </c>
      <c r="L4507" s="1" t="s">
        <v>23967</v>
      </c>
      <c r="M4507" s="2" t="s">
        <v>12</v>
      </c>
      <c r="N4507" s="4">
        <f t="shared" si="1"/>
        <v>43389</v>
      </c>
      <c r="O4507" s="5" t="str">
        <f>IFERROR(__xludf.DUMMYFUNCTION("IF(REGEXMATCH(TRIM(I4507), ""^\d+\s*min""), ""Unclassified"", IF(I4507 = """", ""NR"", I4507))"),"TV-MA")</f>
        <v>TV-MA</v>
      </c>
      <c r="R4507" s="5" t="str">
        <f t="shared" si="2"/>
        <v>Ron White: If You Quit Listening, I'Ll Shut Up</v>
      </c>
      <c r="S4507" s="5" t="str">
        <f>IFERROR(__xludf.DUMMYFUNCTION("""COMPUTED_VALUE"""),"Medici: Masters Of Florence")</f>
        <v>Medici: Masters Of Florence</v>
      </c>
      <c r="U4507" s="5" t="str">
        <f>IFERROR(__xludf.DUMMYFUNCTION("""COMPUTED_VALUE"""),"Theo Davies")</f>
        <v>Theo Davies</v>
      </c>
      <c r="V4507" s="5" t="s">
        <v>23968</v>
      </c>
      <c r="W4507" s="5" t="str">
        <f t="shared" si="3"/>
        <v>Zachary Heinzerling</v>
      </c>
      <c r="X4507" s="5">
        <f t="shared" si="4"/>
        <v>1</v>
      </c>
      <c r="Y4507" s="5" t="str">
        <f>IFERROR(__xludf.DUMMYFUNCTION("REGEXEXTRACT(J4507, ""^\d+"")"),"63")</f>
        <v>63</v>
      </c>
      <c r="Z4507" s="5" t="str">
        <f>IFERROR(__xludf.DUMMYFUNCTION("REGEXEXTRACT(J4507, ""[A-Za-z ]+$"")")," min")</f>
        <v> min</v>
      </c>
      <c r="AA4507" s="5" t="str">
        <f>IFERROR(__xludf.DUMMYFUNCTION("IF(REGEXMATCH(Z4507, ""Season""), ""TV Show"", ""Movie"")"),"Movie")</f>
        <v>Movie</v>
      </c>
    </row>
    <row r="4508">
      <c r="A4508" s="1" t="s">
        <v>23969</v>
      </c>
      <c r="B4508" s="1" t="s">
        <v>27</v>
      </c>
      <c r="C4508" s="1" t="s">
        <v>23970</v>
      </c>
      <c r="D4508" s="1" t="s">
        <v>2100</v>
      </c>
      <c r="E4508" s="1" t="s">
        <v>23971</v>
      </c>
      <c r="F4508" s="1" t="s">
        <v>63</v>
      </c>
      <c r="G4508" s="1" t="s">
        <v>23972</v>
      </c>
      <c r="H4508" s="1">
        <v>2017.0</v>
      </c>
      <c r="I4508" s="1" t="s">
        <v>42</v>
      </c>
      <c r="J4508" s="1" t="s">
        <v>1407</v>
      </c>
      <c r="K4508" s="1" t="s">
        <v>128</v>
      </c>
      <c r="L4508" s="1" t="s">
        <v>23973</v>
      </c>
      <c r="M4508" s="2" t="s">
        <v>12</v>
      </c>
      <c r="N4508" s="4">
        <f t="shared" si="1"/>
        <v>43388</v>
      </c>
      <c r="O4508" s="5" t="str">
        <f>IFERROR(__xludf.DUMMYFUNCTION("IF(REGEXMATCH(TRIM(I4508), ""^\d+\s*min""), ""Unclassified"", IF(I4508 = """", ""NR"", I4508))"),"TV-MA")</f>
        <v>TV-MA</v>
      </c>
      <c r="R4508" s="5" t="str">
        <f t="shared" si="2"/>
        <v>Meghnadbodh Rohoshyo</v>
      </c>
      <c r="S4508" s="5" t="str">
        <f>IFERROR(__xludf.DUMMYFUNCTION("""COMPUTED_VALUE"""),"Meditation Park")</f>
        <v>Meditation Park</v>
      </c>
      <c r="U4508" s="5" t="str">
        <f>IFERROR(__xludf.DUMMYFUNCTION("""COMPUTED_VALUE"""),"Adrian Murray")</f>
        <v>Adrian Murray</v>
      </c>
      <c r="V4508" s="5" t="s">
        <v>5163</v>
      </c>
      <c r="W4508" s="5" t="str">
        <f t="shared" si="3"/>
        <v>Zack Snyder</v>
      </c>
      <c r="X4508" s="5">
        <f t="shared" si="4"/>
        <v>2</v>
      </c>
      <c r="Y4508" s="5" t="str">
        <f>IFERROR(__xludf.DUMMYFUNCTION("REGEXEXTRACT(J4508, ""^\d+"")"),"150")</f>
        <v>150</v>
      </c>
      <c r="Z4508" s="5" t="str">
        <f>IFERROR(__xludf.DUMMYFUNCTION("REGEXEXTRACT(J4508, ""[A-Za-z ]+$"")")," min")</f>
        <v> min</v>
      </c>
      <c r="AA4508" s="5" t="str">
        <f>IFERROR(__xludf.DUMMYFUNCTION("IF(REGEXMATCH(Z4508, ""Season""), ""TV Show"", ""Movie"")"),"Movie")</f>
        <v>Movie</v>
      </c>
    </row>
    <row r="4509">
      <c r="A4509" s="1" t="s">
        <v>23974</v>
      </c>
      <c r="B4509" s="1" t="s">
        <v>27</v>
      </c>
      <c r="C4509" s="1" t="s">
        <v>23975</v>
      </c>
      <c r="D4509" s="1" t="s">
        <v>6615</v>
      </c>
      <c r="E4509" s="1" t="s">
        <v>23976</v>
      </c>
      <c r="F4509" s="1" t="s">
        <v>63</v>
      </c>
      <c r="G4509" s="1" t="s">
        <v>23972</v>
      </c>
      <c r="H4509" s="1">
        <v>2018.0</v>
      </c>
      <c r="I4509" s="1" t="s">
        <v>42</v>
      </c>
      <c r="J4509" s="1" t="s">
        <v>4226</v>
      </c>
      <c r="K4509" s="1" t="s">
        <v>128</v>
      </c>
      <c r="L4509" s="1" t="s">
        <v>23977</v>
      </c>
      <c r="M4509" s="2" t="s">
        <v>12</v>
      </c>
      <c r="N4509" s="4">
        <f t="shared" si="1"/>
        <v>43388</v>
      </c>
      <c r="O4509" s="5" t="str">
        <f>IFERROR(__xludf.DUMMYFUNCTION("IF(REGEXMATCH(TRIM(I4509), ""^\d+\s*min""), ""Unclassified"", IF(I4509 = """", ""NR"", I4509))"),"TV-MA")</f>
        <v>TV-MA</v>
      </c>
      <c r="R4509" s="5" t="str">
        <f t="shared" si="2"/>
        <v>Sanju</v>
      </c>
      <c r="S4509" s="5" t="str">
        <f>IFERROR(__xludf.DUMMYFUNCTION("""COMPUTED_VALUE"""),"Medium")</f>
        <v>Medium</v>
      </c>
      <c r="U4509" s="5" t="str">
        <f>IFERROR(__xludf.DUMMYFUNCTION("""COMPUTED_VALUE"""),"Bart Freundlich")</f>
        <v>Bart Freundlich</v>
      </c>
      <c r="V4509" s="5" t="s">
        <v>23978</v>
      </c>
      <c r="W4509" s="5" t="str">
        <f t="shared" si="3"/>
        <v>Zack Whedon</v>
      </c>
      <c r="X4509" s="5">
        <f t="shared" si="4"/>
        <v>1</v>
      </c>
      <c r="Y4509" s="5" t="str">
        <f>IFERROR(__xludf.DUMMYFUNCTION("REGEXEXTRACT(J4509, ""^\d+"")"),"159")</f>
        <v>159</v>
      </c>
      <c r="Z4509" s="5" t="str">
        <f>IFERROR(__xludf.DUMMYFUNCTION("REGEXEXTRACT(J4509, ""[A-Za-z ]+$"")")," min")</f>
        <v> min</v>
      </c>
      <c r="AA4509" s="5" t="str">
        <f>IFERROR(__xludf.DUMMYFUNCTION("IF(REGEXMATCH(Z4509, ""Season""), ""TV Show"", ""Movie"")"),"Movie")</f>
        <v>Movie</v>
      </c>
    </row>
    <row r="4510">
      <c r="A4510" s="1" t="s">
        <v>23979</v>
      </c>
      <c r="B4510" s="1" t="s">
        <v>37</v>
      </c>
      <c r="C4510" s="1" t="s">
        <v>23980</v>
      </c>
      <c r="F4510" s="1" t="s">
        <v>96</v>
      </c>
      <c r="G4510" s="1" t="s">
        <v>23972</v>
      </c>
      <c r="H4510" s="1">
        <v>2018.0</v>
      </c>
      <c r="I4510" s="1" t="s">
        <v>42</v>
      </c>
      <c r="J4510" s="1" t="s">
        <v>51</v>
      </c>
      <c r="K4510" s="1" t="s">
        <v>2382</v>
      </c>
      <c r="L4510" s="1" t="s">
        <v>23981</v>
      </c>
      <c r="M4510" s="2" t="s">
        <v>12</v>
      </c>
      <c r="N4510" s="4">
        <f t="shared" si="1"/>
        <v>43388</v>
      </c>
      <c r="O4510" s="5" t="str">
        <f>IFERROR(__xludf.DUMMYFUNCTION("IF(REGEXMATCH(TRIM(I4510), ""^\d+\s*min""), ""Unclassified"", IF(I4510 = """", ""NR"", I4510))"),"TV-MA")</f>
        <v>TV-MA</v>
      </c>
      <c r="R4510" s="5" t="str">
        <f t="shared" si="2"/>
        <v>Stunt Science</v>
      </c>
      <c r="S4510" s="5" t="str">
        <f>IFERROR(__xludf.DUMMYFUNCTION("""COMPUTED_VALUE"""),"Meet The Adebanjos")</f>
        <v>Meet The Adebanjos</v>
      </c>
      <c r="U4510" s="5" t="str">
        <f>IFERROR(__xludf.DUMMYFUNCTION("""COMPUTED_VALUE"""),"Storm Theunissen")</f>
        <v>Storm Theunissen</v>
      </c>
      <c r="V4510" s="5" t="s">
        <v>18586</v>
      </c>
      <c r="W4510" s="5" t="str">
        <f t="shared" si="3"/>
        <v>Zak Hilditch</v>
      </c>
      <c r="X4510" s="5">
        <f t="shared" si="4"/>
        <v>2</v>
      </c>
      <c r="Y4510" s="5" t="str">
        <f>IFERROR(__xludf.DUMMYFUNCTION("REGEXEXTRACT(J4510, ""^\d+"")"),"1")</f>
        <v>1</v>
      </c>
      <c r="Z4510" s="5" t="str">
        <f>IFERROR(__xludf.DUMMYFUNCTION("REGEXEXTRACT(J4510, ""[A-Za-z ]+$"")")," Season")</f>
        <v> Season</v>
      </c>
      <c r="AA4510" s="5" t="str">
        <f>IFERROR(__xludf.DUMMYFUNCTION("IF(REGEXMATCH(Z4510, ""Season""), ""TV Show"", ""Movie"")"),"TV Show")</f>
        <v>TV Show</v>
      </c>
    </row>
    <row r="4511">
      <c r="A4511" s="1" t="s">
        <v>23982</v>
      </c>
      <c r="B4511" s="1" t="s">
        <v>27</v>
      </c>
      <c r="C4511" s="1" t="s">
        <v>23983</v>
      </c>
      <c r="D4511" s="1" t="s">
        <v>20836</v>
      </c>
      <c r="E4511" s="1" t="s">
        <v>23984</v>
      </c>
      <c r="F4511" s="1" t="s">
        <v>63</v>
      </c>
      <c r="G4511" s="1" t="s">
        <v>23985</v>
      </c>
      <c r="H4511" s="1">
        <v>2018.0</v>
      </c>
      <c r="I4511" s="1" t="s">
        <v>97</v>
      </c>
      <c r="J4511" s="1" t="s">
        <v>2859</v>
      </c>
      <c r="K4511" s="1" t="s">
        <v>5099</v>
      </c>
      <c r="L4511" s="1" t="s">
        <v>23986</v>
      </c>
      <c r="M4511" s="2" t="s">
        <v>12</v>
      </c>
      <c r="N4511" s="4">
        <f t="shared" si="1"/>
        <v>43386</v>
      </c>
      <c r="O4511" s="5" t="str">
        <f>IFERROR(__xludf.DUMMYFUNCTION("IF(REGEXMATCH(TRIM(I4511), ""^\d+\s*min""), ""Unclassified"", IF(I4511 = """", ""NR"", I4511))"),"TV-14")</f>
        <v>TV-14</v>
      </c>
      <c r="R4511" s="5" t="str">
        <f t="shared" si="2"/>
        <v>Soorma</v>
      </c>
      <c r="S4511" s="5" t="str">
        <f>IFERROR(__xludf.DUMMYFUNCTION("""COMPUTED_VALUE"""),"Meet The In-Laws")</f>
        <v>Meet The In-Laws</v>
      </c>
      <c r="U4511" s="5" t="str">
        <f>IFERROR(__xludf.DUMMYFUNCTION("""COMPUTED_VALUE"""),"David Guy Levy")</f>
        <v>David Guy Levy</v>
      </c>
      <c r="V4511" s="5" t="s">
        <v>23987</v>
      </c>
      <c r="W4511" s="5" t="str">
        <f t="shared" si="3"/>
        <v>Zakariya</v>
      </c>
      <c r="X4511" s="5">
        <f t="shared" si="4"/>
        <v>1</v>
      </c>
      <c r="Y4511" s="5" t="str">
        <f>IFERROR(__xludf.DUMMYFUNCTION("REGEXEXTRACT(J4511, ""^\d+"")"),"131")</f>
        <v>131</v>
      </c>
      <c r="Z4511" s="5" t="str">
        <f>IFERROR(__xludf.DUMMYFUNCTION("REGEXEXTRACT(J4511, ""[A-Za-z ]+$"")")," min")</f>
        <v> min</v>
      </c>
      <c r="AA4511" s="5" t="str">
        <f>IFERROR(__xludf.DUMMYFUNCTION("IF(REGEXMATCH(Z4511, ""Season""), ""TV Show"", ""Movie"")"),"Movie")</f>
        <v>Movie</v>
      </c>
    </row>
    <row r="4512">
      <c r="A4512" s="1" t="s">
        <v>23988</v>
      </c>
      <c r="B4512" s="1" t="s">
        <v>27</v>
      </c>
      <c r="C4512" s="1" t="s">
        <v>23989</v>
      </c>
      <c r="D4512" s="1" t="s">
        <v>8108</v>
      </c>
      <c r="E4512" s="1" t="s">
        <v>23990</v>
      </c>
      <c r="F4512" s="1" t="s">
        <v>686</v>
      </c>
      <c r="G4512" s="1" t="s">
        <v>23991</v>
      </c>
      <c r="H4512" s="1">
        <v>2018.0</v>
      </c>
      <c r="I4512" s="1" t="s">
        <v>42</v>
      </c>
      <c r="J4512" s="1" t="s">
        <v>2281</v>
      </c>
      <c r="K4512" s="1" t="s">
        <v>1592</v>
      </c>
      <c r="L4512" s="1" t="s">
        <v>23992</v>
      </c>
      <c r="M4512" s="2" t="s">
        <v>12</v>
      </c>
      <c r="N4512" s="4">
        <f t="shared" si="1"/>
        <v>43385</v>
      </c>
      <c r="O4512" s="5" t="str">
        <f>IFERROR(__xludf.DUMMYFUNCTION("IF(REGEXMATCH(TRIM(I4512), ""^\d+\s*min""), ""Unclassified"", IF(I4512 = """", ""NR"", I4512))"),"TV-MA")</f>
        <v>TV-MA</v>
      </c>
      <c r="R4512" s="5" t="str">
        <f t="shared" si="2"/>
        <v>Apostle</v>
      </c>
      <c r="S4512" s="5" t="str">
        <f>IFERROR(__xludf.DUMMYFUNCTION("""COMPUTED_VALUE"""),"Meet The Trumps: From Immigrant To President")</f>
        <v>Meet The Trumps: From Immigrant To President</v>
      </c>
      <c r="U4512" s="5" t="str">
        <f>IFERROR(__xludf.DUMMYFUNCTION("""COMPUTED_VALUE"""),"Yasir Nawaz")</f>
        <v>Yasir Nawaz</v>
      </c>
      <c r="V4512" s="5" t="s">
        <v>2266</v>
      </c>
      <c r="W4512" s="5" t="str">
        <f t="shared" si="3"/>
        <v>Zara Hayes</v>
      </c>
      <c r="X4512" s="5">
        <f t="shared" si="4"/>
        <v>1</v>
      </c>
      <c r="Y4512" s="5" t="str">
        <f>IFERROR(__xludf.DUMMYFUNCTION("REGEXEXTRACT(J4512, ""^\d+"")"),"130")</f>
        <v>130</v>
      </c>
      <c r="Z4512" s="5" t="str">
        <f>IFERROR(__xludf.DUMMYFUNCTION("REGEXEXTRACT(J4512, ""[A-Za-z ]+$"")")," min")</f>
        <v> min</v>
      </c>
      <c r="AA4512" s="5" t="str">
        <f>IFERROR(__xludf.DUMMYFUNCTION("IF(REGEXMATCH(Z4512, ""Season""), ""TV Show"", ""Movie"")"),"Movie")</f>
        <v>Movie</v>
      </c>
    </row>
    <row r="4513">
      <c r="A4513" s="1" t="s">
        <v>23993</v>
      </c>
      <c r="B4513" s="1" t="s">
        <v>37</v>
      </c>
      <c r="C4513" s="1" t="s">
        <v>23994</v>
      </c>
      <c r="E4513" s="1" t="s">
        <v>23995</v>
      </c>
      <c r="G4513" s="1" t="s">
        <v>23991</v>
      </c>
      <c r="H4513" s="1">
        <v>2018.0</v>
      </c>
      <c r="I4513" s="1" t="s">
        <v>289</v>
      </c>
      <c r="J4513" s="1" t="s">
        <v>43</v>
      </c>
      <c r="K4513" s="1" t="s">
        <v>23996</v>
      </c>
      <c r="L4513" s="1" t="s">
        <v>23997</v>
      </c>
      <c r="M4513" s="2" t="s">
        <v>12</v>
      </c>
      <c r="N4513" s="4">
        <f t="shared" si="1"/>
        <v>43385</v>
      </c>
      <c r="O4513" s="5" t="str">
        <f>IFERROR(__xludf.DUMMYFUNCTION("IF(REGEXMATCH(TRIM(I4513), ""^\d+\s*min""), ""Unclassified"", IF(I4513 = """", ""NR"", I4513))"),"TV-Y7")</f>
        <v>TV-Y7</v>
      </c>
      <c r="R4513" s="5" t="str">
        <f t="shared" si="2"/>
        <v>Edgar Rice Burroughs' Tarzan And Jane</v>
      </c>
      <c r="S4513" s="5" t="str">
        <f>IFERROR(__xludf.DUMMYFUNCTION("""COMPUTED_VALUE"""),"Mega Food")</f>
        <v>Mega Food</v>
      </c>
      <c r="U4513" s="5" t="str">
        <f>IFERROR(__xludf.DUMMYFUNCTION("""COMPUTED_VALUE"""),"Lawrence Kasdan")</f>
        <v>Lawrence Kasdan</v>
      </c>
      <c r="V4513" s="5" t="s">
        <v>23998</v>
      </c>
      <c r="W4513" s="5" t="str">
        <f t="shared" si="3"/>
        <v>Zatella Beatty</v>
      </c>
      <c r="X4513" s="5">
        <f t="shared" si="4"/>
        <v>1</v>
      </c>
      <c r="Y4513" s="5" t="str">
        <f>IFERROR(__xludf.DUMMYFUNCTION("REGEXEXTRACT(J4513, ""^\d+"")"),"2")</f>
        <v>2</v>
      </c>
      <c r="Z4513" s="5" t="str">
        <f>IFERROR(__xludf.DUMMYFUNCTION("REGEXEXTRACT(J4513, ""[A-Za-z ]+$"")")," Seasons")</f>
        <v> Seasons</v>
      </c>
      <c r="AA4513" s="5" t="str">
        <f>IFERROR(__xludf.DUMMYFUNCTION("IF(REGEXMATCH(Z4513, ""Season""), ""TV Show"", ""Movie"")"),"TV Show")</f>
        <v>TV Show</v>
      </c>
    </row>
    <row r="4514">
      <c r="A4514" s="1" t="s">
        <v>23999</v>
      </c>
      <c r="B4514" s="1" t="s">
        <v>27</v>
      </c>
      <c r="C4514" s="1" t="s">
        <v>24000</v>
      </c>
      <c r="D4514" s="1" t="s">
        <v>17817</v>
      </c>
      <c r="E4514" s="1" t="s">
        <v>24001</v>
      </c>
      <c r="F4514" s="1" t="s">
        <v>18848</v>
      </c>
      <c r="G4514" s="1" t="s">
        <v>23991</v>
      </c>
      <c r="H4514" s="1">
        <v>2018.0</v>
      </c>
      <c r="I4514" s="1" t="s">
        <v>42</v>
      </c>
      <c r="J4514" s="1" t="s">
        <v>416</v>
      </c>
      <c r="K4514" s="1" t="s">
        <v>24002</v>
      </c>
      <c r="L4514" s="1" t="s">
        <v>24003</v>
      </c>
      <c r="M4514" s="2" t="s">
        <v>12</v>
      </c>
      <c r="N4514" s="4">
        <f t="shared" si="1"/>
        <v>43385</v>
      </c>
      <c r="O4514" s="5" t="str">
        <f>IFERROR(__xludf.DUMMYFUNCTION("IF(REGEXMATCH(TRIM(I4514), ""^\d+\s*min""), ""Unclassified"", IF(I4514 = """", ""NR"", I4514))"),"TV-MA")</f>
        <v>TV-MA</v>
      </c>
      <c r="R4514" s="5" t="str">
        <f t="shared" si="2"/>
        <v>Errementari: The Blacksmith And The Devil</v>
      </c>
      <c r="S4514" s="5" t="str">
        <f>IFERROR(__xludf.DUMMYFUNCTION("""COMPUTED_VALUE"""),"Megalobox")</f>
        <v>Megalobox</v>
      </c>
      <c r="U4514" s="5" t="str">
        <f>IFERROR(__xludf.DUMMYFUNCTION("""COMPUTED_VALUE"""),"Jovanka Vuckovic, Annie Clark, Roxanne Benjamin, Karyn Kusama")</f>
        <v>Jovanka Vuckovic, Annie Clark, Roxanne Benjamin, Karyn Kusama</v>
      </c>
      <c r="V4514" s="5" t="s">
        <v>10131</v>
      </c>
      <c r="W4514" s="5" t="str">
        <f t="shared" si="3"/>
        <v>Zeek Earl, Christopher Caldwell</v>
      </c>
      <c r="X4514" s="5">
        <f t="shared" si="4"/>
        <v>1</v>
      </c>
      <c r="Y4514" s="5" t="str">
        <f>IFERROR(__xludf.DUMMYFUNCTION("REGEXEXTRACT(J4514, ""^\d+"")"),"99")</f>
        <v>99</v>
      </c>
      <c r="Z4514" s="5" t="str">
        <f>IFERROR(__xludf.DUMMYFUNCTION("REGEXEXTRACT(J4514, ""[A-Za-z ]+$"")")," min")</f>
        <v> min</v>
      </c>
      <c r="AA4514" s="5" t="str">
        <f>IFERROR(__xludf.DUMMYFUNCTION("IF(REGEXMATCH(Z4514, ""Season""), ""TV Show"", ""Movie"")"),"Movie")</f>
        <v>Movie</v>
      </c>
    </row>
    <row r="4515">
      <c r="A4515" s="1" t="s">
        <v>24004</v>
      </c>
      <c r="B4515" s="1" t="s">
        <v>27</v>
      </c>
      <c r="C4515" s="1" t="s">
        <v>24005</v>
      </c>
      <c r="D4515" s="1" t="s">
        <v>11213</v>
      </c>
      <c r="F4515" s="1" t="s">
        <v>30</v>
      </c>
      <c r="G4515" s="1" t="s">
        <v>23991</v>
      </c>
      <c r="H4515" s="1">
        <v>2018.0</v>
      </c>
      <c r="I4515" s="1" t="s">
        <v>42</v>
      </c>
      <c r="J4515" s="1" t="s">
        <v>1144</v>
      </c>
      <c r="K4515" s="1" t="s">
        <v>1212</v>
      </c>
      <c r="L4515" s="1" t="s">
        <v>24006</v>
      </c>
      <c r="M4515" s="2" t="s">
        <v>12</v>
      </c>
      <c r="N4515" s="4">
        <f t="shared" si="1"/>
        <v>43385</v>
      </c>
      <c r="O4515" s="5" t="str">
        <f>IFERROR(__xludf.DUMMYFUNCTION("IF(REGEXMATCH(TRIM(I4515), ""^\d+\s*min""), ""Unclassified"", IF(I4515 = """", ""NR"", I4515))"),"TV-MA")</f>
        <v>TV-MA</v>
      </c>
      <c r="R4515" s="5" t="str">
        <f t="shared" si="2"/>
        <v>Feminists: What Were They Thinking?</v>
      </c>
      <c r="S4515" s="5" t="str">
        <f>IFERROR(__xludf.DUMMYFUNCTION("""COMPUTED_VALUE"""),"Megatruckers")</f>
        <v>Megatruckers</v>
      </c>
      <c r="U4515" s="5" t="str">
        <f>IFERROR(__xludf.DUMMYFUNCTION("""COMPUTED_VALUE"""),"N. Chandra")</f>
        <v>N. Chandra</v>
      </c>
      <c r="V4515" s="5" t="s">
        <v>24007</v>
      </c>
      <c r="W4515" s="5" t="str">
        <f t="shared" si="3"/>
        <v>Zeke Norton</v>
      </c>
      <c r="X4515" s="5">
        <f t="shared" si="4"/>
        <v>1</v>
      </c>
      <c r="Y4515" s="5" t="str">
        <f>IFERROR(__xludf.DUMMYFUNCTION("REGEXEXTRACT(J4515, ""^\d+"")"),"86")</f>
        <v>86</v>
      </c>
      <c r="Z4515" s="5" t="str">
        <f>IFERROR(__xludf.DUMMYFUNCTION("REGEXEXTRACT(J4515, ""[A-Za-z ]+$"")")," min")</f>
        <v> min</v>
      </c>
      <c r="AA4515" s="5" t="str">
        <f>IFERROR(__xludf.DUMMYFUNCTION("IF(REGEXMATCH(Z4515, ""Season""), ""TV Show"", ""Movie"")"),"Movie")</f>
        <v>Movie</v>
      </c>
    </row>
    <row r="4516">
      <c r="A4516" s="1" t="s">
        <v>24008</v>
      </c>
      <c r="B4516" s="1" t="s">
        <v>37</v>
      </c>
      <c r="C4516" s="1" t="s">
        <v>24009</v>
      </c>
      <c r="D4516" s="1" t="s">
        <v>24010</v>
      </c>
      <c r="E4516" s="1" t="s">
        <v>24011</v>
      </c>
      <c r="G4516" s="1" t="s">
        <v>23991</v>
      </c>
      <c r="H4516" s="1">
        <v>2018.0</v>
      </c>
      <c r="I4516" s="1" t="s">
        <v>42</v>
      </c>
      <c r="J4516" s="1" t="s">
        <v>51</v>
      </c>
      <c r="K4516" s="1" t="s">
        <v>1261</v>
      </c>
      <c r="L4516" s="1" t="s">
        <v>24012</v>
      </c>
      <c r="M4516" s="2" t="s">
        <v>12</v>
      </c>
      <c r="N4516" s="4">
        <f t="shared" si="1"/>
        <v>43385</v>
      </c>
      <c r="O4516" s="5" t="str">
        <f>IFERROR(__xludf.DUMMYFUNCTION("IF(REGEXMATCH(TRIM(I4516), ""^\d+\s*min""), ""Unclassified"", IF(I4516 = """", ""NR"", I4516))"),"TV-MA")</f>
        <v>TV-MA</v>
      </c>
      <c r="R4516" s="5" t="str">
        <f t="shared" si="2"/>
        <v>Fightworld</v>
      </c>
      <c r="S4516" s="5" t="str">
        <f>IFERROR(__xludf.DUMMYFUNCTION("""COMPUTED_VALUE"""),"Meghnadbodh Rohoshyo")</f>
        <v>Meghnadbodh Rohoshyo</v>
      </c>
      <c r="U4516" s="5" t="str">
        <f>IFERROR(__xludf.DUMMYFUNCTION("""COMPUTED_VALUE"""),"Abu Bakr Shawky")</f>
        <v>Abu Bakr Shawky</v>
      </c>
      <c r="V4516" s="5" t="s">
        <v>5457</v>
      </c>
      <c r="W4516" s="5" t="str">
        <f t="shared" si="3"/>
        <v>Zhang Chong</v>
      </c>
      <c r="X4516" s="5">
        <f t="shared" si="4"/>
        <v>1</v>
      </c>
      <c r="Y4516" s="5" t="str">
        <f>IFERROR(__xludf.DUMMYFUNCTION("REGEXEXTRACT(J4516, ""^\d+"")"),"1")</f>
        <v>1</v>
      </c>
      <c r="Z4516" s="5" t="str">
        <f>IFERROR(__xludf.DUMMYFUNCTION("REGEXEXTRACT(J4516, ""[A-Za-z ]+$"")")," Season")</f>
        <v> Season</v>
      </c>
      <c r="AA4516" s="5" t="str">
        <f>IFERROR(__xludf.DUMMYFUNCTION("IF(REGEXMATCH(Z4516, ""Season""), ""TV Show"", ""Movie"")"),"TV Show")</f>
        <v>TV Show</v>
      </c>
    </row>
    <row r="4517">
      <c r="A4517" s="1" t="s">
        <v>24013</v>
      </c>
      <c r="B4517" s="1" t="s">
        <v>27</v>
      </c>
      <c r="C4517" s="1" t="s">
        <v>24014</v>
      </c>
      <c r="D4517" s="1" t="s">
        <v>19299</v>
      </c>
      <c r="E4517" s="1" t="s">
        <v>24015</v>
      </c>
      <c r="F4517" s="1" t="s">
        <v>2873</v>
      </c>
      <c r="G4517" s="1" t="s">
        <v>23991</v>
      </c>
      <c r="H4517" s="1">
        <v>2018.0</v>
      </c>
      <c r="I4517" s="1" t="s">
        <v>97</v>
      </c>
      <c r="J4517" s="1" t="s">
        <v>256</v>
      </c>
      <c r="K4517" s="1" t="s">
        <v>1441</v>
      </c>
      <c r="L4517" s="1" t="s">
        <v>24016</v>
      </c>
      <c r="M4517" s="2" t="s">
        <v>12</v>
      </c>
      <c r="N4517" s="4">
        <f t="shared" si="1"/>
        <v>43385</v>
      </c>
      <c r="O4517" s="5" t="str">
        <f>IFERROR(__xludf.DUMMYFUNCTION("IF(REGEXMATCH(TRIM(I4517), ""^\d+\s*min""), ""Unclassified"", IF(I4517 = """", ""NR"", I4517))"),"TV-14")</f>
        <v>TV-14</v>
      </c>
      <c r="R4517" s="5" t="str">
        <f t="shared" si="2"/>
        <v>Kuntilanak</v>
      </c>
      <c r="S4517" s="5" t="str">
        <f>IFERROR(__xludf.DUMMYFUNCTION("""COMPUTED_VALUE"""),"Mehandi Circus")</f>
        <v>Mehandi Circus</v>
      </c>
      <c r="U4517" s="5" t="str">
        <f>IFERROR(__xludf.DUMMYFUNCTION("""COMPUTED_VALUE"""),"Christian De Vita")</f>
        <v>Christian De Vita</v>
      </c>
      <c r="V4517" s="5" t="s">
        <v>18214</v>
      </c>
      <c r="W4517" s="5" t="str">
        <f t="shared" si="3"/>
        <v>Zhang Yimou</v>
      </c>
      <c r="X4517" s="5">
        <f t="shared" si="4"/>
        <v>1</v>
      </c>
      <c r="Y4517" s="5" t="str">
        <f>IFERROR(__xludf.DUMMYFUNCTION("REGEXEXTRACT(J4517, ""^\d+"")"),"106")</f>
        <v>106</v>
      </c>
      <c r="Z4517" s="5" t="str">
        <f>IFERROR(__xludf.DUMMYFUNCTION("REGEXEXTRACT(J4517, ""[A-Za-z ]+$"")")," min")</f>
        <v> min</v>
      </c>
      <c r="AA4517" s="5" t="str">
        <f>IFERROR(__xludf.DUMMYFUNCTION("IF(REGEXMATCH(Z4517, ""Season""), ""TV Show"", ""Movie"")"),"Movie")</f>
        <v>Movie</v>
      </c>
    </row>
    <row r="4518">
      <c r="A4518" s="1" t="s">
        <v>24017</v>
      </c>
      <c r="B4518" s="1" t="s">
        <v>27</v>
      </c>
      <c r="C4518" s="1" t="s">
        <v>24018</v>
      </c>
      <c r="D4518" s="1" t="s">
        <v>12930</v>
      </c>
      <c r="F4518" s="1" t="s">
        <v>30</v>
      </c>
      <c r="G4518" s="1" t="s">
        <v>23991</v>
      </c>
      <c r="H4518" s="1">
        <v>2018.0</v>
      </c>
      <c r="I4518" s="1" t="s">
        <v>97</v>
      </c>
      <c r="J4518" s="1" t="s">
        <v>8832</v>
      </c>
      <c r="K4518" s="1" t="s">
        <v>700</v>
      </c>
      <c r="L4518" s="1" t="s">
        <v>24019</v>
      </c>
      <c r="M4518" s="2" t="s">
        <v>12</v>
      </c>
      <c r="N4518" s="4">
        <f t="shared" si="1"/>
        <v>43385</v>
      </c>
      <c r="O4518" s="5" t="str">
        <f>IFERROR(__xludf.DUMMYFUNCTION("IF(REGEXMATCH(TRIM(I4518), ""^\d+\s*min""), ""Unclassified"", IF(I4518 = """", ""NR"", I4518))"),"TV-14")</f>
        <v>TV-14</v>
      </c>
      <c r="R4518" s="5" t="str">
        <f t="shared" si="2"/>
        <v>Remastered: Who Shot The Sheriff</v>
      </c>
      <c r="S4518" s="5" t="str">
        <f>IFERROR(__xludf.DUMMYFUNCTION("""COMPUTED_VALUE"""),"Melle")</f>
        <v>Melle</v>
      </c>
      <c r="U4518" s="5" t="str">
        <f>IFERROR(__xludf.DUMMYFUNCTION("""COMPUTED_VALUE"""),"Saratswadee Wongsomphet")</f>
        <v>Saratswadee Wongsomphet</v>
      </c>
      <c r="V4518" s="5" t="s">
        <v>6419</v>
      </c>
      <c r="W4518" s="5" t="str">
        <f t="shared" si="3"/>
        <v>Zhao Ji</v>
      </c>
      <c r="X4518" s="5">
        <f t="shared" si="4"/>
        <v>1</v>
      </c>
      <c r="Y4518" s="5" t="str">
        <f>IFERROR(__xludf.DUMMYFUNCTION("REGEXEXTRACT(J4518, ""^\d+"")"),"57")</f>
        <v>57</v>
      </c>
      <c r="Z4518" s="5" t="str">
        <f>IFERROR(__xludf.DUMMYFUNCTION("REGEXEXTRACT(J4518, ""[A-Za-z ]+$"")")," min")</f>
        <v> min</v>
      </c>
      <c r="AA4518" s="5" t="str">
        <f>IFERROR(__xludf.DUMMYFUNCTION("IF(REGEXMATCH(Z4518, ""Season""), ""TV Show"", ""Movie"")"),"Movie")</f>
        <v>Movie</v>
      </c>
    </row>
    <row r="4519">
      <c r="A4519" s="1" t="s">
        <v>24020</v>
      </c>
      <c r="B4519" s="1" t="s">
        <v>37</v>
      </c>
      <c r="C4519" s="1" t="s">
        <v>24021</v>
      </c>
      <c r="E4519" s="1" t="s">
        <v>24022</v>
      </c>
      <c r="F4519" s="1" t="s">
        <v>30</v>
      </c>
      <c r="G4519" s="1" t="s">
        <v>23991</v>
      </c>
      <c r="H4519" s="1">
        <v>2018.0</v>
      </c>
      <c r="I4519" s="1" t="s">
        <v>136</v>
      </c>
      <c r="J4519" s="1" t="s">
        <v>51</v>
      </c>
      <c r="K4519" s="1" t="s">
        <v>24023</v>
      </c>
      <c r="L4519" s="1" t="s">
        <v>24024</v>
      </c>
      <c r="M4519" s="2" t="s">
        <v>12</v>
      </c>
      <c r="N4519" s="4">
        <f t="shared" si="1"/>
        <v>43385</v>
      </c>
      <c r="O4519" s="5" t="str">
        <f>IFERROR(__xludf.DUMMYFUNCTION("IF(REGEXMATCH(TRIM(I4519), ""^\d+\s*min""), ""Unclassified"", IF(I4519 = """", ""NR"", I4519))"),"TV-PG")</f>
        <v>TV-PG</v>
      </c>
      <c r="R4519" s="5" t="str">
        <f t="shared" si="2"/>
        <v>The Curious Creations Of Christine Mcconnell</v>
      </c>
      <c r="S4519" s="5" t="str">
        <f>IFERROR(__xludf.DUMMYFUNCTION("""COMPUTED_VALUE"""),"Melodies Of Life - Born This Way")</f>
        <v>Melodies Of Life - Born This Way</v>
      </c>
      <c r="U4519" s="5" t="str">
        <f>IFERROR(__xludf.DUMMYFUNCTION("""COMPUTED_VALUE"""),"Kirati Nakintanon")</f>
        <v>Kirati Nakintanon</v>
      </c>
      <c r="V4519" s="5" t="s">
        <v>10579</v>
      </c>
      <c r="W4519" s="5" t="str">
        <f t="shared" si="3"/>
        <v>Ziad Doueiri</v>
      </c>
      <c r="X4519" s="5">
        <f t="shared" si="4"/>
        <v>2</v>
      </c>
      <c r="Y4519" s="5" t="str">
        <f>IFERROR(__xludf.DUMMYFUNCTION("REGEXEXTRACT(J4519, ""^\d+"")"),"1")</f>
        <v>1</v>
      </c>
      <c r="Z4519" s="5" t="str">
        <f>IFERROR(__xludf.DUMMYFUNCTION("REGEXEXTRACT(J4519, ""[A-Za-z ]+$"")")," Season")</f>
        <v> Season</v>
      </c>
      <c r="AA4519" s="5" t="str">
        <f>IFERROR(__xludf.DUMMYFUNCTION("IF(REGEXMATCH(Z4519, ""Season""), ""TV Show"", ""Movie"")"),"TV Show")</f>
        <v>TV Show</v>
      </c>
    </row>
    <row r="4520">
      <c r="A4520" s="1" t="s">
        <v>24025</v>
      </c>
      <c r="B4520" s="1" t="s">
        <v>37</v>
      </c>
      <c r="C4520" s="1" t="s">
        <v>24026</v>
      </c>
      <c r="E4520" s="1" t="s">
        <v>24027</v>
      </c>
      <c r="F4520" s="1" t="s">
        <v>30</v>
      </c>
      <c r="G4520" s="1" t="s">
        <v>23991</v>
      </c>
      <c r="H4520" s="1">
        <v>2018.0</v>
      </c>
      <c r="I4520" s="1" t="s">
        <v>42</v>
      </c>
      <c r="J4520" s="1" t="s">
        <v>51</v>
      </c>
      <c r="K4520" s="1" t="s">
        <v>71</v>
      </c>
      <c r="L4520" s="1" t="s">
        <v>24028</v>
      </c>
      <c r="M4520" s="2" t="s">
        <v>12</v>
      </c>
      <c r="N4520" s="4">
        <f t="shared" si="1"/>
        <v>43385</v>
      </c>
      <c r="O4520" s="5" t="str">
        <f>IFERROR(__xludf.DUMMYFUNCTION("IF(REGEXMATCH(TRIM(I4520), ""^\d+\s*min""), ""Unclassified"", IF(I4520 = """", ""NR"", I4520))"),"TV-MA")</f>
        <v>TV-MA</v>
      </c>
      <c r="R4520" s="5" t="str">
        <f t="shared" si="2"/>
        <v>The Haunting Of Hill House</v>
      </c>
      <c r="S4520" s="5" t="str">
        <f>IFERROR(__xludf.DUMMYFUNCTION("""COMPUTED_VALUE"""),"Melvin Goes To Dinner")</f>
        <v>Melvin Goes To Dinner</v>
      </c>
      <c r="U4520" s="5" t="str">
        <f>IFERROR(__xludf.DUMMYFUNCTION("""COMPUTED_VALUE"""),"Mark Risley")</f>
        <v>Mark Risley</v>
      </c>
      <c r="V4520" s="5" t="s">
        <v>24029</v>
      </c>
      <c r="W4520" s="5" t="str">
        <f t="shared" si="3"/>
        <v>Ziga Virc</v>
      </c>
      <c r="X4520" s="5">
        <f t="shared" si="4"/>
        <v>1</v>
      </c>
      <c r="Y4520" s="5" t="str">
        <f>IFERROR(__xludf.DUMMYFUNCTION("REGEXEXTRACT(J4520, ""^\d+"")"),"1")</f>
        <v>1</v>
      </c>
      <c r="Z4520" s="5" t="str">
        <f>IFERROR(__xludf.DUMMYFUNCTION("REGEXEXTRACT(J4520, ""[A-Za-z ]+$"")")," Season")</f>
        <v> Season</v>
      </c>
      <c r="AA4520" s="5" t="str">
        <f>IFERROR(__xludf.DUMMYFUNCTION("IF(REGEXMATCH(Z4520, ""Season""), ""TV Show"", ""Movie"")"),"TV Show")</f>
        <v>TV Show</v>
      </c>
    </row>
    <row r="4521">
      <c r="A4521" s="1" t="s">
        <v>24030</v>
      </c>
      <c r="B4521" s="1" t="s">
        <v>27</v>
      </c>
      <c r="C4521" s="1" t="s">
        <v>24031</v>
      </c>
      <c r="D4521" s="1" t="s">
        <v>802</v>
      </c>
      <c r="E4521" s="1" t="s">
        <v>24032</v>
      </c>
      <c r="F4521" s="1" t="s">
        <v>24033</v>
      </c>
      <c r="G4521" s="1" t="s">
        <v>23991</v>
      </c>
      <c r="H4521" s="1">
        <v>2018.0</v>
      </c>
      <c r="I4521" s="1" t="s">
        <v>378</v>
      </c>
      <c r="J4521" s="1" t="s">
        <v>247</v>
      </c>
      <c r="K4521" s="1" t="s">
        <v>1320</v>
      </c>
      <c r="L4521" s="1" t="s">
        <v>24034</v>
      </c>
      <c r="M4521" s="2" t="s">
        <v>12</v>
      </c>
      <c r="N4521" s="4">
        <f t="shared" si="1"/>
        <v>43385</v>
      </c>
      <c r="O4521" s="5" t="str">
        <f>IFERROR(__xludf.DUMMYFUNCTION("IF(REGEXMATCH(TRIM(I4521), ""^\d+\s*min""), ""Unclassified"", IF(I4521 = """", ""NR"", I4521))"),"R")</f>
        <v>R</v>
      </c>
      <c r="R4521" s="5" t="str">
        <f t="shared" si="2"/>
        <v>The Kindergarten Teacher</v>
      </c>
      <c r="S4521" s="5" t="str">
        <f>IFERROR(__xludf.DUMMYFUNCTION("""COMPUTED_VALUE"""),"Memoir Of A Murderer")</f>
        <v>Memoir Of A Murderer</v>
      </c>
      <c r="U4521" s="5" t="str">
        <f>IFERROR(__xludf.DUMMYFUNCTION("""COMPUTED_VALUE"""),"James Brown")</f>
        <v>James Brown</v>
      </c>
      <c r="V4521" s="5" t="s">
        <v>15982</v>
      </c>
      <c r="W4521" s="5" t="str">
        <f t="shared" si="3"/>
        <v>Ziggy Hofmeyr</v>
      </c>
      <c r="X4521" s="5">
        <f t="shared" si="4"/>
        <v>1</v>
      </c>
      <c r="Y4521" s="5" t="str">
        <f>IFERROR(__xludf.DUMMYFUNCTION("REGEXEXTRACT(J4521, ""^\d+"")"),"97")</f>
        <v>97</v>
      </c>
      <c r="Z4521" s="5" t="str">
        <f>IFERROR(__xludf.DUMMYFUNCTION("REGEXEXTRACT(J4521, ""[A-Za-z ]+$"")")," min")</f>
        <v> min</v>
      </c>
      <c r="AA4521" s="5" t="str">
        <f>IFERROR(__xludf.DUMMYFUNCTION("IF(REGEXMATCH(Z4521, ""Season""), ""TV Show"", ""Movie"")"),"Movie")</f>
        <v>Movie</v>
      </c>
    </row>
    <row r="4522">
      <c r="A4522" s="1" t="s">
        <v>24035</v>
      </c>
      <c r="B4522" s="1" t="s">
        <v>37</v>
      </c>
      <c r="C4522" s="1" t="s">
        <v>24036</v>
      </c>
      <c r="E4522" s="1" t="s">
        <v>24037</v>
      </c>
      <c r="G4522" s="1" t="s">
        <v>24038</v>
      </c>
      <c r="H4522" s="1">
        <v>2018.0</v>
      </c>
      <c r="I4522" s="1" t="s">
        <v>42</v>
      </c>
      <c r="J4522" s="1" t="s">
        <v>51</v>
      </c>
      <c r="K4522" s="1" t="s">
        <v>1362</v>
      </c>
      <c r="L4522" s="1" t="s">
        <v>24039</v>
      </c>
      <c r="M4522" s="2" t="s">
        <v>12</v>
      </c>
      <c r="N4522" s="4">
        <f t="shared" si="1"/>
        <v>43384</v>
      </c>
      <c r="O4522" s="5" t="str">
        <f>IFERROR(__xludf.DUMMYFUNCTION("IF(REGEXMATCH(TRIM(I4522), ""^\d+\s*min""), ""Unclassified"", IF(I4522 = """", ""NR"", I4522))"),"TV-MA")</f>
        <v>TV-MA</v>
      </c>
      <c r="R4522" s="5" t="str">
        <f t="shared" si="2"/>
        <v>Ordinary Heroes</v>
      </c>
      <c r="S4522" s="5" t="str">
        <f>IFERROR(__xludf.DUMMYFUNCTION("""COMPUTED_VALUE"""),"Memoirs Of A Geisha")</f>
        <v>Memoirs Of A Geisha</v>
      </c>
      <c r="U4522" s="5" t="str">
        <f>IFERROR(__xludf.DUMMYFUNCTION("""COMPUTED_VALUE"""),"Ivona Juka")</f>
        <v>Ivona Juka</v>
      </c>
      <c r="V4522" s="5" t="s">
        <v>22332</v>
      </c>
      <c r="W4522" s="5" t="str">
        <f t="shared" si="3"/>
        <v>Zoe Berriatúa</v>
      </c>
      <c r="X4522" s="5">
        <f t="shared" si="4"/>
        <v>2</v>
      </c>
      <c r="Y4522" s="5" t="str">
        <f>IFERROR(__xludf.DUMMYFUNCTION("REGEXEXTRACT(J4522, ""^\d+"")"),"1")</f>
        <v>1</v>
      </c>
      <c r="Z4522" s="5" t="str">
        <f>IFERROR(__xludf.DUMMYFUNCTION("REGEXEXTRACT(J4522, ""[A-Za-z ]+$"")")," Season")</f>
        <v> Season</v>
      </c>
      <c r="AA4522" s="5" t="str">
        <f>IFERROR(__xludf.DUMMYFUNCTION("IF(REGEXMATCH(Z4522, ""Season""), ""TV Show"", ""Movie"")"),"TV Show")</f>
        <v>TV Show</v>
      </c>
    </row>
    <row r="4523">
      <c r="A4523" s="1" t="s">
        <v>24040</v>
      </c>
      <c r="B4523" s="1" t="s">
        <v>37</v>
      </c>
      <c r="C4523" s="1" t="s">
        <v>24041</v>
      </c>
      <c r="E4523" s="1" t="s">
        <v>24042</v>
      </c>
      <c r="G4523" s="1" t="s">
        <v>24038</v>
      </c>
      <c r="H4523" s="1">
        <v>2018.0</v>
      </c>
      <c r="I4523" s="1" t="s">
        <v>136</v>
      </c>
      <c r="J4523" s="1" t="s">
        <v>51</v>
      </c>
      <c r="K4523" s="1" t="s">
        <v>1261</v>
      </c>
      <c r="L4523" s="1" t="s">
        <v>24043</v>
      </c>
      <c r="M4523" s="2" t="s">
        <v>12</v>
      </c>
      <c r="N4523" s="4">
        <f t="shared" si="1"/>
        <v>43384</v>
      </c>
      <c r="O4523" s="5" t="str">
        <f>IFERROR(__xludf.DUMMYFUNCTION("IF(REGEXMATCH(TRIM(I4523), ""^\d+\s*min""), ""Unclassified"", IF(I4523 = """", ""NR"", I4523))"),"TV-PG")</f>
        <v>TV-PG</v>
      </c>
      <c r="R4523" s="5" t="str">
        <f t="shared" si="2"/>
        <v>Salt Fat Acid Heat</v>
      </c>
      <c r="S4523" s="5" t="str">
        <f>IFERROR(__xludf.DUMMYFUNCTION("""COMPUTED_VALUE"""),"Memories Of A Murderer: The Nilsen Tapes")</f>
        <v>Memories Of A Murderer: The Nilsen Tapes</v>
      </c>
      <c r="U4523" s="5" t="str">
        <f>IFERROR(__xludf.DUMMYFUNCTION("""COMPUTED_VALUE"""),"Mu Chu")</f>
        <v>Mu Chu</v>
      </c>
      <c r="V4523" s="5" t="s">
        <v>24044</v>
      </c>
      <c r="W4523" s="5" t="str">
        <f t="shared" si="3"/>
        <v>Zoe Lister-Jones</v>
      </c>
      <c r="X4523" s="5">
        <f t="shared" si="4"/>
        <v>1</v>
      </c>
      <c r="Y4523" s="5" t="str">
        <f>IFERROR(__xludf.DUMMYFUNCTION("REGEXEXTRACT(J4523, ""^\d+"")"),"1")</f>
        <v>1</v>
      </c>
      <c r="Z4523" s="5" t="str">
        <f>IFERROR(__xludf.DUMMYFUNCTION("REGEXEXTRACT(J4523, ""[A-Za-z ]+$"")")," Season")</f>
        <v> Season</v>
      </c>
      <c r="AA4523" s="5" t="str">
        <f>IFERROR(__xludf.DUMMYFUNCTION("IF(REGEXMATCH(Z4523, ""Season""), ""TV Show"", ""Movie"")"),"TV Show")</f>
        <v>TV Show</v>
      </c>
    </row>
    <row r="4524">
      <c r="A4524" s="1" t="s">
        <v>24045</v>
      </c>
      <c r="B4524" s="1" t="s">
        <v>27</v>
      </c>
      <c r="C4524" s="1" t="s">
        <v>24046</v>
      </c>
      <c r="D4524" s="1" t="s">
        <v>5605</v>
      </c>
      <c r="E4524" s="1" t="s">
        <v>24047</v>
      </c>
      <c r="F4524" s="1" t="s">
        <v>24048</v>
      </c>
      <c r="G4524" s="1" t="s">
        <v>24049</v>
      </c>
      <c r="H4524" s="1">
        <v>2018.0</v>
      </c>
      <c r="I4524" s="1" t="s">
        <v>378</v>
      </c>
      <c r="J4524" s="1" t="s">
        <v>14942</v>
      </c>
      <c r="K4524" s="1" t="s">
        <v>394</v>
      </c>
      <c r="L4524" s="1" t="s">
        <v>24050</v>
      </c>
      <c r="M4524" s="2" t="s">
        <v>12</v>
      </c>
      <c r="N4524" s="4">
        <f t="shared" si="1"/>
        <v>43383</v>
      </c>
      <c r="O4524" s="5" t="str">
        <f>IFERROR(__xludf.DUMMYFUNCTION("IF(REGEXMATCH(TRIM(I4524), ""^\d+\s*min""), ""Unclassified"", IF(I4524 = """", ""NR"", I4524))"),"R")</f>
        <v>R</v>
      </c>
      <c r="R4524" s="5" t="str">
        <f t="shared" si="2"/>
        <v>22 July</v>
      </c>
      <c r="S4524" s="5" t="str">
        <f>IFERROR(__xludf.DUMMYFUNCTION("""COMPUTED_VALUE"""),"Memories Of A Teenager")</f>
        <v>Memories Of A Teenager</v>
      </c>
      <c r="U4524" s="5" t="str">
        <f>IFERROR(__xludf.DUMMYFUNCTION("""COMPUTED_VALUE"""),"Chandra Prakash Dwivedi")</f>
        <v>Chandra Prakash Dwivedi</v>
      </c>
      <c r="V4524" s="5" t="s">
        <v>17363</v>
      </c>
      <c r="W4524" s="5" t="str">
        <f t="shared" si="3"/>
        <v>Zoya Akhtar</v>
      </c>
      <c r="X4524" s="5">
        <f t="shared" si="4"/>
        <v>3</v>
      </c>
      <c r="Y4524" s="5" t="str">
        <f>IFERROR(__xludf.DUMMYFUNCTION("REGEXEXTRACT(J4524, ""^\d+"")"),"144")</f>
        <v>144</v>
      </c>
      <c r="Z4524" s="5" t="str">
        <f>IFERROR(__xludf.DUMMYFUNCTION("REGEXEXTRACT(J4524, ""[A-Za-z ]+$"")")," min")</f>
        <v> min</v>
      </c>
      <c r="AA4524" s="5" t="str">
        <f>IFERROR(__xludf.DUMMYFUNCTION("IF(REGEXMATCH(Z4524, ""Season""), ""TV Show"", ""Movie"")"),"Movie")</f>
        <v>Movie</v>
      </c>
    </row>
    <row r="4525">
      <c r="A4525" s="1" t="s">
        <v>24051</v>
      </c>
      <c r="B4525" s="1" t="s">
        <v>37</v>
      </c>
      <c r="C4525" s="1" t="s">
        <v>24052</v>
      </c>
      <c r="E4525" s="1" t="s">
        <v>24053</v>
      </c>
      <c r="F4525" s="1" t="s">
        <v>1992</v>
      </c>
      <c r="G4525" s="1" t="s">
        <v>24049</v>
      </c>
      <c r="H4525" s="1">
        <v>2018.0</v>
      </c>
      <c r="I4525" s="1" t="s">
        <v>42</v>
      </c>
      <c r="J4525" s="1" t="s">
        <v>51</v>
      </c>
      <c r="K4525" s="1" t="s">
        <v>1362</v>
      </c>
      <c r="L4525" s="1" t="s">
        <v>24054</v>
      </c>
      <c r="M4525" s="2" t="s">
        <v>12</v>
      </c>
      <c r="N4525" s="4">
        <f t="shared" si="1"/>
        <v>43383</v>
      </c>
      <c r="O4525" s="5" t="str">
        <f>IFERROR(__xludf.DUMMYFUNCTION("IF(REGEXMATCH(TRIM(I4525), ""^\d+\s*min""), ""Unclassified"", IF(I4525 = """", ""NR"", I4525))"),"TV-MA")</f>
        <v>TV-MA</v>
      </c>
      <c r="R4525" s="5" t="str">
        <f t="shared" si="2"/>
        <v>Blood Pact</v>
      </c>
      <c r="S4525" s="5" t="str">
        <f>IFERROR(__xludf.DUMMYFUNCTION("""COMPUTED_VALUE"""),"Memories Of The Alhambra")</f>
        <v>Memories Of The Alhambra</v>
      </c>
      <c r="U4525" s="5" t="str">
        <f>IFERROR(__xludf.DUMMYFUNCTION("""COMPUTED_VALUE"""),"Majid Al Ansari")</f>
        <v>Majid Al Ansari</v>
      </c>
      <c r="V4525" s="5" t="s">
        <v>24055</v>
      </c>
      <c r="W4525" s="5" t="str">
        <f t="shared" si="3"/>
        <v>Zoya Akhtar, Karan Johar, Anurag Kashyap, Dibakar Banerjee</v>
      </c>
      <c r="X4525" s="5">
        <f t="shared" si="4"/>
        <v>1</v>
      </c>
      <c r="Y4525" s="5" t="str">
        <f>IFERROR(__xludf.DUMMYFUNCTION("REGEXEXTRACT(J4525, ""^\d+"")"),"1")</f>
        <v>1</v>
      </c>
      <c r="Z4525" s="5" t="str">
        <f>IFERROR(__xludf.DUMMYFUNCTION("REGEXEXTRACT(J4525, ""[A-Za-z ]+$"")")," Season")</f>
        <v> Season</v>
      </c>
      <c r="AA4525" s="5" t="str">
        <f>IFERROR(__xludf.DUMMYFUNCTION("IF(REGEXMATCH(Z4525, ""Season""), ""TV Show"", ""Movie"")"),"TV Show")</f>
        <v>TV Show</v>
      </c>
    </row>
    <row r="4526">
      <c r="A4526" s="1" t="s">
        <v>24056</v>
      </c>
      <c r="B4526" s="1" t="s">
        <v>27</v>
      </c>
      <c r="C4526" s="1" t="s">
        <v>24057</v>
      </c>
      <c r="D4526" s="1" t="s">
        <v>19916</v>
      </c>
      <c r="E4526" s="1" t="s">
        <v>24058</v>
      </c>
      <c r="F4526" s="1" t="s">
        <v>30</v>
      </c>
      <c r="G4526" s="1" t="s">
        <v>24049</v>
      </c>
      <c r="H4526" s="1">
        <v>2018.0</v>
      </c>
      <c r="I4526" s="1" t="s">
        <v>378</v>
      </c>
      <c r="J4526" s="1" t="s">
        <v>297</v>
      </c>
      <c r="K4526" s="1" t="s">
        <v>24059</v>
      </c>
      <c r="L4526" s="1" t="s">
        <v>24060</v>
      </c>
      <c r="M4526" s="2" t="s">
        <v>12</v>
      </c>
      <c r="N4526" s="4">
        <f t="shared" si="1"/>
        <v>43383</v>
      </c>
      <c r="O4526" s="5" t="str">
        <f>IFERROR(__xludf.DUMMYFUNCTION("IF(REGEXMATCH(TRIM(I4526), ""^\d+\s*min""), ""Unclassified"", IF(I4526 = """", ""NR"", I4526))"),"R")</f>
        <v>R</v>
      </c>
      <c r="R4526" s="5" t="str">
        <f t="shared" si="2"/>
        <v>Tales From The Hood 2</v>
      </c>
      <c r="S4526" s="5" t="str">
        <f>IFERROR(__xludf.DUMMYFUNCTION("""COMPUTED_VALUE"""),"Memory Games")</f>
        <v>Memory Games</v>
      </c>
      <c r="U4526" s="5" t="str">
        <f>IFERROR(__xludf.DUMMYFUNCTION("""COMPUTED_VALUE"""),"Peter Hewitt")</f>
        <v>Peter Hewitt</v>
      </c>
      <c r="V4526" s="5" t="s">
        <v>15516</v>
      </c>
      <c r="W4526" s="5" t="str">
        <f t="shared" si="3"/>
        <v>Zsolt Pálfi</v>
      </c>
      <c r="X4526" s="5">
        <f t="shared" si="4"/>
        <v>1</v>
      </c>
      <c r="Y4526" s="5" t="str">
        <f>IFERROR(__xludf.DUMMYFUNCTION("REGEXEXTRACT(J4526, ""^\d+"")"),"110")</f>
        <v>110</v>
      </c>
      <c r="Z4526" s="5" t="str">
        <f>IFERROR(__xludf.DUMMYFUNCTION("REGEXEXTRACT(J4526, ""[A-Za-z ]+$"")")," min")</f>
        <v> min</v>
      </c>
      <c r="AA4526" s="5" t="str">
        <f>IFERROR(__xludf.DUMMYFUNCTION("IF(REGEXMATCH(Z4526, ""Season""), ""TV Show"", ""Movie"")"),"Movie")</f>
        <v>Movie</v>
      </c>
    </row>
    <row r="4527">
      <c r="A4527" s="1" t="s">
        <v>24061</v>
      </c>
      <c r="B4527" s="1" t="s">
        <v>27</v>
      </c>
      <c r="C4527" s="1" t="s">
        <v>24062</v>
      </c>
      <c r="D4527" s="1" t="s">
        <v>19463</v>
      </c>
      <c r="E4527" s="1" t="s">
        <v>24063</v>
      </c>
      <c r="F4527" s="1" t="s">
        <v>30</v>
      </c>
      <c r="G4527" s="1" t="s">
        <v>24064</v>
      </c>
      <c r="H4527" s="1">
        <v>2018.0</v>
      </c>
      <c r="I4527" s="1" t="s">
        <v>42</v>
      </c>
      <c r="J4527" s="1" t="s">
        <v>8832</v>
      </c>
      <c r="K4527" s="1" t="s">
        <v>1839</v>
      </c>
      <c r="L4527" s="1" t="s">
        <v>24065</v>
      </c>
      <c r="M4527" s="2" t="s">
        <v>12</v>
      </c>
      <c r="N4527" s="4">
        <f t="shared" si="1"/>
        <v>43382</v>
      </c>
      <c r="O4527" s="5" t="str">
        <f>IFERROR(__xludf.DUMMYFUNCTION("IF(REGEXMATCH(TRIM(I4527), ""^\d+\s*min""), ""Unclassified"", IF(I4527 = """", ""NR"", I4527))"),"TV-MA")</f>
        <v>TV-MA</v>
      </c>
      <c r="R4527" s="5" t="str">
        <f t="shared" si="2"/>
        <v>Mo Amer: The Vagabond</v>
      </c>
      <c r="S4527" s="5" t="str">
        <f>IFERROR(__xludf.DUMMYFUNCTION("""COMPUTED_VALUE"""),"Memory Love")</f>
        <v>Memory Love</v>
      </c>
      <c r="U4527" s="5" t="str">
        <f>IFERROR(__xludf.DUMMYFUNCTION("""COMPUTED_VALUE"""),"Mozez Singh")</f>
        <v>Mozez Singh</v>
      </c>
      <c r="V4527" s="5" t="s">
        <v>15923</v>
      </c>
      <c r="W4527" s="5" t="str">
        <f t="shared" si="3"/>
        <v>Zuko Nodada</v>
      </c>
      <c r="X4527" s="5">
        <f t="shared" si="4"/>
        <v>1</v>
      </c>
      <c r="Y4527" s="5" t="str">
        <f>IFERROR(__xludf.DUMMYFUNCTION("REGEXEXTRACT(J4527, ""^\d+"")"),"57")</f>
        <v>57</v>
      </c>
      <c r="Z4527" s="5" t="str">
        <f>IFERROR(__xludf.DUMMYFUNCTION("REGEXEXTRACT(J4527, ""[A-Za-z ]+$"")")," min")</f>
        <v> min</v>
      </c>
      <c r="AA4527" s="5" t="str">
        <f>IFERROR(__xludf.DUMMYFUNCTION("IF(REGEXMATCH(Z4527, ""Season""), ""TV Show"", ""Movie"")"),"Movie")</f>
        <v>Movie</v>
      </c>
    </row>
    <row r="4528">
      <c r="A4528" s="1" t="s">
        <v>24066</v>
      </c>
      <c r="B4528" s="1" t="s">
        <v>27</v>
      </c>
      <c r="C4528" s="1" t="s">
        <v>24067</v>
      </c>
      <c r="D4528" s="1" t="s">
        <v>12318</v>
      </c>
      <c r="E4528" s="1" t="s">
        <v>24068</v>
      </c>
      <c r="F4528" s="1" t="s">
        <v>3321</v>
      </c>
      <c r="G4528" s="1" t="s">
        <v>24069</v>
      </c>
      <c r="H4528" s="1">
        <v>2018.0</v>
      </c>
      <c r="I4528" s="1" t="s">
        <v>97</v>
      </c>
      <c r="J4528" s="1" t="s">
        <v>804</v>
      </c>
      <c r="K4528" s="1" t="s">
        <v>306</v>
      </c>
      <c r="L4528" s="1" t="s">
        <v>24070</v>
      </c>
      <c r="M4528" s="2" t="s">
        <v>12</v>
      </c>
      <c r="N4528" s="4">
        <f t="shared" si="1"/>
        <v>43381</v>
      </c>
      <c r="O4528" s="5" t="str">
        <f>IFERROR(__xludf.DUMMYFUNCTION("IF(REGEXMATCH(TRIM(I4528), ""^\d+\s*min""), ""Unclassified"", IF(I4528 = """", ""NR"", I4528))"),"TV-14")</f>
        <v>TV-14</v>
      </c>
      <c r="R4528" s="5" t="str">
        <f t="shared" si="2"/>
        <v>Pulang</v>
      </c>
      <c r="S4528" s="5" t="str">
        <f>IFERROR(__xludf.DUMMYFUNCTION("""COMPUTED_VALUE"""),"Men In Black")</f>
        <v>Men In Black</v>
      </c>
      <c r="V4528" s="5"/>
      <c r="Y4528" s="5" t="str">
        <f>IFERROR(__xludf.DUMMYFUNCTION("REGEXEXTRACT(J4528, ""^\d+"")"),"119")</f>
        <v>119</v>
      </c>
      <c r="Z4528" s="5" t="str">
        <f>IFERROR(__xludf.DUMMYFUNCTION("REGEXEXTRACT(J4528, ""[A-Za-z ]+$"")")," min")</f>
        <v> min</v>
      </c>
      <c r="AA4528" s="5" t="str">
        <f>IFERROR(__xludf.DUMMYFUNCTION("IF(REGEXMATCH(Z4528, ""Season""), ""TV Show"", ""Movie"")"),"Movie")</f>
        <v>Movie</v>
      </c>
    </row>
    <row r="4529">
      <c r="A4529" s="1" t="s">
        <v>24071</v>
      </c>
      <c r="B4529" s="1" t="s">
        <v>37</v>
      </c>
      <c r="C4529" s="1" t="s">
        <v>24072</v>
      </c>
      <c r="E4529" s="1" t="s">
        <v>24073</v>
      </c>
      <c r="F4529" s="1" t="s">
        <v>30</v>
      </c>
      <c r="G4529" s="1" t="s">
        <v>24069</v>
      </c>
      <c r="H4529" s="1">
        <v>2017.0</v>
      </c>
      <c r="I4529" s="1" t="s">
        <v>206</v>
      </c>
      <c r="J4529" s="1" t="s">
        <v>148</v>
      </c>
      <c r="K4529" s="1" t="s">
        <v>290</v>
      </c>
      <c r="L4529" s="1" t="s">
        <v>24074</v>
      </c>
      <c r="M4529" s="2" t="s">
        <v>12</v>
      </c>
      <c r="N4529" s="4">
        <f t="shared" si="1"/>
        <v>43381</v>
      </c>
      <c r="O4529" s="5" t="str">
        <f>IFERROR(__xludf.DUMMYFUNCTION("IF(REGEXMATCH(TRIM(I4529), ""^\d+\s*min""), ""Unclassified"", IF(I4529 = """", ""NR"", I4529))"),"TV-Y")</f>
        <v>TV-Y</v>
      </c>
      <c r="R4529" s="5" t="str">
        <f t="shared" si="2"/>
        <v>Sofia The First</v>
      </c>
      <c r="S4529" s="5" t="str">
        <f>IFERROR(__xludf.DUMMYFUNCTION("""COMPUTED_VALUE"""),"Men In Black Ii")</f>
        <v>Men In Black Ii</v>
      </c>
      <c r="V4529" s="5"/>
      <c r="Y4529" s="5" t="str">
        <f>IFERROR(__xludf.DUMMYFUNCTION("REGEXEXTRACT(J4529, ""^\d+"")"),"4")</f>
        <v>4</v>
      </c>
      <c r="Z4529" s="5" t="str">
        <f>IFERROR(__xludf.DUMMYFUNCTION("REGEXEXTRACT(J4529, ""[A-Za-z ]+$"")")," Seasons")</f>
        <v> Seasons</v>
      </c>
      <c r="AA4529" s="5" t="str">
        <f>IFERROR(__xludf.DUMMYFUNCTION("IF(REGEXMATCH(Z4529, ""Season""), ""TV Show"", ""Movie"")"),"TV Show")</f>
        <v>TV Show</v>
      </c>
    </row>
    <row r="4530">
      <c r="A4530" s="1" t="s">
        <v>24075</v>
      </c>
      <c r="B4530" s="1" t="s">
        <v>27</v>
      </c>
      <c r="C4530" s="1" t="s">
        <v>24076</v>
      </c>
      <c r="D4530" s="1" t="s">
        <v>4695</v>
      </c>
      <c r="E4530" s="1" t="s">
        <v>24077</v>
      </c>
      <c r="F4530" s="1" t="s">
        <v>30</v>
      </c>
      <c r="G4530" s="1" t="s">
        <v>24078</v>
      </c>
      <c r="H4530" s="1">
        <v>2018.0</v>
      </c>
      <c r="I4530" s="1" t="s">
        <v>32</v>
      </c>
      <c r="J4530" s="1" t="s">
        <v>170</v>
      </c>
      <c r="K4530" s="1" t="s">
        <v>1551</v>
      </c>
      <c r="L4530" s="1" t="s">
        <v>24079</v>
      </c>
      <c r="M4530" s="2" t="s">
        <v>12</v>
      </c>
      <c r="N4530" s="4">
        <f t="shared" si="1"/>
        <v>43379</v>
      </c>
      <c r="O4530" s="5" t="str">
        <f>IFERROR(__xludf.DUMMYFUNCTION("IF(REGEXMATCH(TRIM(I4530), ""^\d+\s*min""), ""Unclassified"", IF(I4530 = """", ""NR"", I4530))"),"PG-13")</f>
        <v>PG-13</v>
      </c>
      <c r="R4530" s="5" t="str">
        <f t="shared" si="2"/>
        <v>Seven In Heaven</v>
      </c>
      <c r="S4530" s="5" t="str">
        <f>IFERROR(__xludf.DUMMYFUNCTION("""COMPUTED_VALUE"""),"Men On A Mission")</f>
        <v>Men On A Mission</v>
      </c>
      <c r="V4530" s="5"/>
      <c r="Y4530" s="5" t="str">
        <f>IFERROR(__xludf.DUMMYFUNCTION("REGEXEXTRACT(J4530, ""^\d+"")"),"94")</f>
        <v>94</v>
      </c>
      <c r="Z4530" s="5" t="str">
        <f>IFERROR(__xludf.DUMMYFUNCTION("REGEXEXTRACT(J4530, ""[A-Za-z ]+$"")")," min")</f>
        <v> min</v>
      </c>
      <c r="AA4530" s="5" t="str">
        <f>IFERROR(__xludf.DUMMYFUNCTION("IF(REGEXMATCH(Z4530, ""Season""), ""TV Show"", ""Movie"")"),"Movie")</f>
        <v>Movie</v>
      </c>
    </row>
    <row r="4531">
      <c r="A4531" s="1" t="s">
        <v>24080</v>
      </c>
      <c r="B4531" s="1" t="s">
        <v>37</v>
      </c>
      <c r="C4531" s="1" t="s">
        <v>24081</v>
      </c>
      <c r="E4531" s="1" t="s">
        <v>24082</v>
      </c>
      <c r="G4531" s="1" t="s">
        <v>24083</v>
      </c>
      <c r="H4531" s="1">
        <v>2018.0</v>
      </c>
      <c r="I4531" s="1" t="s">
        <v>97</v>
      </c>
      <c r="J4531" s="1" t="s">
        <v>51</v>
      </c>
      <c r="K4531" s="1" t="s">
        <v>440</v>
      </c>
      <c r="L4531" s="1" t="s">
        <v>24084</v>
      </c>
      <c r="M4531" s="2" t="s">
        <v>12</v>
      </c>
      <c r="N4531" s="4">
        <f t="shared" si="1"/>
        <v>43378</v>
      </c>
      <c r="O4531" s="5" t="str">
        <f>IFERROR(__xludf.DUMMYFUNCTION("IF(REGEXMATCH(TRIM(I4531), ""^\d+\s*min""), ""Unclassified"", IF(I4531 = """", ""NR"", I4531))"),"TV-14")</f>
        <v>TV-14</v>
      </c>
      <c r="R4531" s="5" t="str">
        <f t="shared" si="2"/>
        <v>Dancing Queen</v>
      </c>
      <c r="S4531" s="5" t="str">
        <f>IFERROR(__xludf.DUMMYFUNCTION("""COMPUTED_VALUE"""),"Menahi")</f>
        <v>Menahi</v>
      </c>
      <c r="V4531" s="5"/>
      <c r="Y4531" s="5" t="str">
        <f>IFERROR(__xludf.DUMMYFUNCTION("REGEXEXTRACT(J4531, ""^\d+"")"),"1")</f>
        <v>1</v>
      </c>
      <c r="Z4531" s="5" t="str">
        <f>IFERROR(__xludf.DUMMYFUNCTION("REGEXEXTRACT(J4531, ""[A-Za-z ]+$"")")," Season")</f>
        <v> Season</v>
      </c>
      <c r="AA4531" s="5" t="str">
        <f>IFERROR(__xludf.DUMMYFUNCTION("IF(REGEXMATCH(Z4531, ""Season""), ""TV Show"", ""Movie"")"),"TV Show")</f>
        <v>TV Show</v>
      </c>
    </row>
    <row r="4532">
      <c r="A4532" s="1" t="s">
        <v>24085</v>
      </c>
      <c r="B4532" s="1" t="s">
        <v>37</v>
      </c>
      <c r="C4532" s="1" t="s">
        <v>24086</v>
      </c>
      <c r="E4532" s="1" t="s">
        <v>24087</v>
      </c>
      <c r="F4532" s="1" t="s">
        <v>24088</v>
      </c>
      <c r="G4532" s="1" t="s">
        <v>24083</v>
      </c>
      <c r="H4532" s="1">
        <v>2018.0</v>
      </c>
      <c r="I4532" s="1" t="s">
        <v>97</v>
      </c>
      <c r="J4532" s="1" t="s">
        <v>51</v>
      </c>
      <c r="K4532" s="1" t="s">
        <v>1261</v>
      </c>
      <c r="L4532" s="1" t="s">
        <v>24089</v>
      </c>
      <c r="M4532" s="2" t="s">
        <v>12</v>
      </c>
      <c r="N4532" s="4">
        <f t="shared" si="1"/>
        <v>43378</v>
      </c>
      <c r="O4532" s="5" t="str">
        <f>IFERROR(__xludf.DUMMYFUNCTION("IF(REGEXMATCH(TRIM(I4532), ""^\d+\s*min""), ""Unclassified"", IF(I4532 = """", ""NR"", I4532))"),"TV-14")</f>
        <v>TV-14</v>
      </c>
      <c r="R4532" s="5" t="str">
        <f t="shared" si="2"/>
        <v>Empire Games</v>
      </c>
      <c r="S4532" s="5" t="str">
        <f>IFERROR(__xludf.DUMMYFUNCTION("""COMPUTED_VALUE"""),"Menashe")</f>
        <v>Menashe</v>
      </c>
      <c r="V4532" s="5"/>
      <c r="Y4532" s="5" t="str">
        <f>IFERROR(__xludf.DUMMYFUNCTION("REGEXEXTRACT(J4532, ""^\d+"")"),"1")</f>
        <v>1</v>
      </c>
      <c r="Z4532" s="5" t="str">
        <f>IFERROR(__xludf.DUMMYFUNCTION("REGEXEXTRACT(J4532, ""[A-Za-z ]+$"")")," Season")</f>
        <v> Season</v>
      </c>
      <c r="AA4532" s="5" t="str">
        <f>IFERROR(__xludf.DUMMYFUNCTION("IF(REGEXMATCH(Z4532, ""Season""), ""TV Show"", ""Movie"")"),"TV Show")</f>
        <v>TV Show</v>
      </c>
    </row>
    <row r="4533">
      <c r="A4533" s="1" t="s">
        <v>24090</v>
      </c>
      <c r="B4533" s="1" t="s">
        <v>37</v>
      </c>
      <c r="C4533" s="1" t="s">
        <v>24091</v>
      </c>
      <c r="E4533" s="1" t="s">
        <v>24092</v>
      </c>
      <c r="F4533" s="1" t="s">
        <v>415</v>
      </c>
      <c r="G4533" s="1" t="s">
        <v>24083</v>
      </c>
      <c r="H4533" s="1">
        <v>2018.0</v>
      </c>
      <c r="I4533" s="1" t="s">
        <v>97</v>
      </c>
      <c r="J4533" s="1" t="s">
        <v>51</v>
      </c>
      <c r="K4533" s="1" t="s">
        <v>567</v>
      </c>
      <c r="L4533" s="1" t="s">
        <v>24093</v>
      </c>
      <c r="M4533" s="2" t="s">
        <v>12</v>
      </c>
      <c r="N4533" s="4">
        <f t="shared" si="1"/>
        <v>43378</v>
      </c>
      <c r="O4533" s="5" t="str">
        <f>IFERROR(__xludf.DUMMYFUNCTION("IF(REGEXMATCH(TRIM(I4533), ""^\d+\s*min""), ""Unclassified"", IF(I4533 = """", ""NR"", I4533))"),"TV-14")</f>
        <v>TV-14</v>
      </c>
      <c r="R4533" s="5" t="str">
        <f t="shared" si="2"/>
        <v>Lost Song</v>
      </c>
      <c r="S4533" s="5" t="str">
        <f>IFERROR(__xludf.DUMMYFUNCTION("""COMPUTED_VALUE"""),"Menorca")</f>
        <v>Menorca</v>
      </c>
      <c r="V4533" s="5"/>
      <c r="Y4533" s="5" t="str">
        <f>IFERROR(__xludf.DUMMYFUNCTION("REGEXEXTRACT(J4533, ""^\d+"")"),"1")</f>
        <v>1</v>
      </c>
      <c r="Z4533" s="5" t="str">
        <f>IFERROR(__xludf.DUMMYFUNCTION("REGEXEXTRACT(J4533, ""[A-Za-z ]+$"")")," Season")</f>
        <v> Season</v>
      </c>
      <c r="AA4533" s="5" t="str">
        <f>IFERROR(__xludf.DUMMYFUNCTION("IF(REGEXMATCH(Z4533, ""Season""), ""TV Show"", ""Movie"")"),"TV Show")</f>
        <v>TV Show</v>
      </c>
    </row>
    <row r="4534">
      <c r="A4534" s="1" t="s">
        <v>24094</v>
      </c>
      <c r="B4534" s="1" t="s">
        <v>27</v>
      </c>
      <c r="C4534" s="1" t="s">
        <v>24095</v>
      </c>
      <c r="D4534" s="1" t="s">
        <v>24096</v>
      </c>
      <c r="E4534" s="1" t="s">
        <v>24097</v>
      </c>
      <c r="F4534" s="1" t="s">
        <v>96</v>
      </c>
      <c r="G4534" s="1" t="s">
        <v>24083</v>
      </c>
      <c r="H4534" s="1">
        <v>2018.0</v>
      </c>
      <c r="I4534" s="1" t="s">
        <v>42</v>
      </c>
      <c r="J4534" s="1" t="s">
        <v>1191</v>
      </c>
      <c r="K4534" s="1" t="s">
        <v>3768</v>
      </c>
      <c r="L4534" s="1" t="s">
        <v>24098</v>
      </c>
      <c r="M4534" s="2" t="s">
        <v>12</v>
      </c>
      <c r="N4534" s="4">
        <f t="shared" si="1"/>
        <v>43378</v>
      </c>
      <c r="O4534" s="5" t="str">
        <f>IFERROR(__xludf.DUMMYFUNCTION("IF(REGEXMATCH(TRIM(I4534), ""^\d+\s*min""), ""Unclassified"", IF(I4534 = """", ""NR"", I4534))"),"TV-MA")</f>
        <v>TV-MA</v>
      </c>
      <c r="R4534" s="5" t="str">
        <f t="shared" si="2"/>
        <v>Malevolent</v>
      </c>
      <c r="S4534" s="5" t="str">
        <f>IFERROR(__xludf.DUMMYFUNCTION("""COMPUTED_VALUE"""),"Merantau")</f>
        <v>Merantau</v>
      </c>
      <c r="V4534" s="5"/>
      <c r="Y4534" s="5" t="str">
        <f>IFERROR(__xludf.DUMMYFUNCTION("REGEXEXTRACT(J4534, ""^\d+"")"),"89")</f>
        <v>89</v>
      </c>
      <c r="Z4534" s="5" t="str">
        <f>IFERROR(__xludf.DUMMYFUNCTION("REGEXEXTRACT(J4534, ""[A-Za-z ]+$"")")," min")</f>
        <v> min</v>
      </c>
      <c r="AA4534" s="5" t="str">
        <f>IFERROR(__xludf.DUMMYFUNCTION("IF(REGEXMATCH(Z4534, ""Season""), ""TV Show"", ""Movie"")"),"Movie")</f>
        <v>Movie</v>
      </c>
    </row>
    <row r="4535">
      <c r="A4535" s="1" t="s">
        <v>24099</v>
      </c>
      <c r="B4535" s="1" t="s">
        <v>27</v>
      </c>
      <c r="C4535" s="1" t="s">
        <v>24100</v>
      </c>
      <c r="D4535" s="1" t="s">
        <v>22145</v>
      </c>
      <c r="E4535" s="1" t="s">
        <v>24101</v>
      </c>
      <c r="F4535" s="1" t="s">
        <v>30</v>
      </c>
      <c r="G4535" s="1" t="s">
        <v>24083</v>
      </c>
      <c r="H4535" s="1">
        <v>2018.0</v>
      </c>
      <c r="I4535" s="1" t="s">
        <v>378</v>
      </c>
      <c r="J4535" s="1" t="s">
        <v>341</v>
      </c>
      <c r="K4535" s="1" t="s">
        <v>836</v>
      </c>
      <c r="L4535" s="1" t="s">
        <v>24102</v>
      </c>
      <c r="M4535" s="2" t="s">
        <v>12</v>
      </c>
      <c r="N4535" s="4">
        <f t="shared" si="1"/>
        <v>43378</v>
      </c>
      <c r="O4535" s="5" t="str">
        <f>IFERROR(__xludf.DUMMYFUNCTION("IF(REGEXMATCH(TRIM(I4535), ""^\d+\s*min""), ""Unclassified"", IF(I4535 = """", ""NR"", I4535))"),"R")</f>
        <v>R</v>
      </c>
      <c r="R4535" s="5" t="str">
        <f t="shared" si="2"/>
        <v>Private Life</v>
      </c>
      <c r="S4535" s="5" t="str">
        <f>IFERROR(__xludf.DUMMYFUNCTION("""COMPUTED_VALUE"""),"Merata: How Mum Decolonised The Screen")</f>
        <v>Merata: How Mum Decolonised The Screen</v>
      </c>
      <c r="V4535" s="5"/>
      <c r="Y4535" s="5" t="str">
        <f>IFERROR(__xludf.DUMMYFUNCTION("REGEXEXTRACT(J4535, ""^\d+"")"),"124")</f>
        <v>124</v>
      </c>
      <c r="Z4535" s="5" t="str">
        <f>IFERROR(__xludf.DUMMYFUNCTION("REGEXEXTRACT(J4535, ""[A-Za-z ]+$"")")," min")</f>
        <v> min</v>
      </c>
      <c r="AA4535" s="5" t="str">
        <f>IFERROR(__xludf.DUMMYFUNCTION("IF(REGEXMATCH(Z4535, ""Season""), ""TV Show"", ""Movie"")"),"Movie")</f>
        <v>Movie</v>
      </c>
    </row>
    <row r="4536">
      <c r="A4536" s="1" t="s">
        <v>24103</v>
      </c>
      <c r="B4536" s="1" t="s">
        <v>27</v>
      </c>
      <c r="C4536" s="1" t="s">
        <v>24104</v>
      </c>
      <c r="E4536" s="1" t="s">
        <v>24105</v>
      </c>
      <c r="G4536" s="1" t="s">
        <v>24083</v>
      </c>
      <c r="H4536" s="1">
        <v>2018.0</v>
      </c>
      <c r="I4536" s="1" t="s">
        <v>206</v>
      </c>
      <c r="J4536" s="1" t="s">
        <v>4935</v>
      </c>
      <c r="K4536" s="1" t="s">
        <v>80</v>
      </c>
      <c r="L4536" s="1" t="s">
        <v>24106</v>
      </c>
      <c r="M4536" s="2" t="s">
        <v>12</v>
      </c>
      <c r="N4536" s="4">
        <f t="shared" si="1"/>
        <v>43378</v>
      </c>
      <c r="O4536" s="5" t="str">
        <f>IFERROR(__xludf.DUMMYFUNCTION("IF(REGEXMATCH(TRIM(I4536), ""^\d+\s*min""), ""Unclassified"", IF(I4536 = """", ""NR"", I4536))"),"TV-Y")</f>
        <v>TV-Y</v>
      </c>
      <c r="R4536" s="5" t="str">
        <f t="shared" si="2"/>
        <v>Super Monsters Save Halloween</v>
      </c>
      <c r="S4536" s="5" t="str">
        <f>IFERROR(__xludf.DUMMYFUNCTION("""COMPUTED_VALUE"""),"Mercenary")</f>
        <v>Mercenary</v>
      </c>
      <c r="V4536" s="5"/>
      <c r="Y4536" s="5" t="str">
        <f>IFERROR(__xludf.DUMMYFUNCTION("REGEXEXTRACT(J4536, ""^\d+"")"),"25")</f>
        <v>25</v>
      </c>
      <c r="Z4536" s="5" t="str">
        <f>IFERROR(__xludf.DUMMYFUNCTION("REGEXEXTRACT(J4536, ""[A-Za-z ]+$"")")," min")</f>
        <v> min</v>
      </c>
      <c r="AA4536" s="5" t="str">
        <f>IFERROR(__xludf.DUMMYFUNCTION("IF(REGEXMATCH(Z4536, ""Season""), ""TV Show"", ""Movie"")"),"Movie")</f>
        <v>Movie</v>
      </c>
    </row>
    <row r="4537">
      <c r="A4537" s="1" t="s">
        <v>24107</v>
      </c>
      <c r="B4537" s="1" t="s">
        <v>37</v>
      </c>
      <c r="C4537" s="1" t="s">
        <v>24108</v>
      </c>
      <c r="E4537" s="1" t="s">
        <v>24109</v>
      </c>
      <c r="F4537" s="1" t="s">
        <v>749</v>
      </c>
      <c r="G4537" s="1" t="s">
        <v>24083</v>
      </c>
      <c r="H4537" s="1">
        <v>2018.0</v>
      </c>
      <c r="I4537" s="1" t="s">
        <v>42</v>
      </c>
      <c r="J4537" s="1" t="s">
        <v>51</v>
      </c>
      <c r="K4537" s="1" t="s">
        <v>4219</v>
      </c>
      <c r="L4537" s="1" t="s">
        <v>24110</v>
      </c>
      <c r="M4537" s="2" t="s">
        <v>12</v>
      </c>
      <c r="N4537" s="4">
        <f t="shared" si="1"/>
        <v>43378</v>
      </c>
      <c r="O4537" s="5" t="str">
        <f>IFERROR(__xludf.DUMMYFUNCTION("IF(REGEXMATCH(TRIM(I4537), ""^\d+\s*min""), ""Unclassified"", IF(I4537 = """", ""NR"", I4537))"),"TV-MA")</f>
        <v>TV-MA</v>
      </c>
      <c r="R4537" s="5" t="str">
        <f t="shared" si="2"/>
        <v>Yg Future Strategy Office</v>
      </c>
      <c r="S4537" s="5" t="str">
        <f>IFERROR(__xludf.DUMMYFUNCTION("""COMPUTED_VALUE"""),"Mercury 13")</f>
        <v>Mercury 13</v>
      </c>
      <c r="V4537" s="5"/>
      <c r="Y4537" s="5" t="str">
        <f>IFERROR(__xludf.DUMMYFUNCTION("REGEXEXTRACT(J4537, ""^\d+"")"),"1")</f>
        <v>1</v>
      </c>
      <c r="Z4537" s="5" t="str">
        <f>IFERROR(__xludf.DUMMYFUNCTION("REGEXEXTRACT(J4537, ""[A-Za-z ]+$"")")," Season")</f>
        <v> Season</v>
      </c>
      <c r="AA4537" s="5" t="str">
        <f>IFERROR(__xludf.DUMMYFUNCTION("IF(REGEXMATCH(Z4537, ""Season""), ""TV Show"", ""Movie"")"),"TV Show")</f>
        <v>TV Show</v>
      </c>
    </row>
    <row r="4538">
      <c r="A4538" s="1" t="s">
        <v>24111</v>
      </c>
      <c r="B4538" s="1" t="s">
        <v>37</v>
      </c>
      <c r="C4538" s="1" t="s">
        <v>24112</v>
      </c>
      <c r="E4538" s="1" t="s">
        <v>24113</v>
      </c>
      <c r="G4538" s="1" t="s">
        <v>24114</v>
      </c>
      <c r="H4538" s="1">
        <v>2018.0</v>
      </c>
      <c r="I4538" s="1" t="s">
        <v>136</v>
      </c>
      <c r="J4538" s="1" t="s">
        <v>51</v>
      </c>
      <c r="K4538" s="1" t="s">
        <v>1756</v>
      </c>
      <c r="L4538" s="1" t="s">
        <v>24115</v>
      </c>
      <c r="M4538" s="2" t="s">
        <v>12</v>
      </c>
      <c r="N4538" s="4">
        <f t="shared" si="1"/>
        <v>43377</v>
      </c>
      <c r="O4538" s="5" t="str">
        <f>IFERROR(__xludf.DUMMYFUNCTION("IF(REGEXMATCH(TRIM(I4538), ""^\d+\s*min""), ""Unclassified"", IF(I4538 = """", ""NR"", I4538))"),"TV-PG")</f>
        <v>TV-PG</v>
      </c>
      <c r="R4538" s="5" t="str">
        <f t="shared" si="2"/>
        <v>Violet Evergarden: Special</v>
      </c>
      <c r="S4538" s="5" t="str">
        <f>IFERROR(__xludf.DUMMYFUNCTION("""COMPUTED_VALUE"""),"Mercy")</f>
        <v>Mercy</v>
      </c>
      <c r="V4538" s="5"/>
      <c r="Y4538" s="5" t="str">
        <f>IFERROR(__xludf.DUMMYFUNCTION("REGEXEXTRACT(J4538, ""^\d+"")"),"1")</f>
        <v>1</v>
      </c>
      <c r="Z4538" s="5" t="str">
        <f>IFERROR(__xludf.DUMMYFUNCTION("REGEXEXTRACT(J4538, ""[A-Za-z ]+$"")")," Season")</f>
        <v> Season</v>
      </c>
      <c r="AA4538" s="5" t="str">
        <f>IFERROR(__xludf.DUMMYFUNCTION("IF(REGEXMATCH(Z4538, ""Season""), ""TV Show"", ""Movie"")"),"TV Show")</f>
        <v>TV Show</v>
      </c>
    </row>
    <row r="4539">
      <c r="A4539" s="1" t="s">
        <v>24116</v>
      </c>
      <c r="B4539" s="1" t="s">
        <v>27</v>
      </c>
      <c r="C4539" s="1" t="s">
        <v>24117</v>
      </c>
      <c r="D4539" s="1" t="s">
        <v>12553</v>
      </c>
      <c r="E4539" s="1" t="s">
        <v>24118</v>
      </c>
      <c r="F4539" s="1" t="s">
        <v>24119</v>
      </c>
      <c r="G4539" s="1" t="s">
        <v>24120</v>
      </c>
      <c r="H4539" s="1">
        <v>2017.0</v>
      </c>
      <c r="I4539" s="1" t="s">
        <v>32</v>
      </c>
      <c r="J4539" s="1" t="s">
        <v>941</v>
      </c>
      <c r="K4539" s="1" t="s">
        <v>128</v>
      </c>
      <c r="L4539" s="1" t="s">
        <v>24121</v>
      </c>
      <c r="M4539" s="2" t="s">
        <v>12</v>
      </c>
      <c r="N4539" s="4">
        <f t="shared" si="1"/>
        <v>43376</v>
      </c>
      <c r="O4539" s="5" t="str">
        <f>IFERROR(__xludf.DUMMYFUNCTION("IF(REGEXMATCH(TRIM(I4539), ""^\d+\s*min""), ""Unclassified"", IF(I4539 = """", ""NR"", I4539))"),"PG-13")</f>
        <v>PG-13</v>
      </c>
      <c r="R4539" s="5" t="str">
        <f t="shared" si="2"/>
        <v>The Black Prince</v>
      </c>
      <c r="S4539" s="5" t="str">
        <f>IFERROR(__xludf.DUMMYFUNCTION("""COMPUTED_VALUE"""),"Mercy Black")</f>
        <v>Mercy Black</v>
      </c>
      <c r="V4539" s="5"/>
      <c r="Y4539" s="5" t="str">
        <f>IFERROR(__xludf.DUMMYFUNCTION("REGEXEXTRACT(J4539, ""^\d+"")"),"121")</f>
        <v>121</v>
      </c>
      <c r="Z4539" s="5" t="str">
        <f>IFERROR(__xludf.DUMMYFUNCTION("REGEXEXTRACT(J4539, ""[A-Za-z ]+$"")")," min")</f>
        <v> min</v>
      </c>
      <c r="AA4539" s="5" t="str">
        <f>IFERROR(__xludf.DUMMYFUNCTION("IF(REGEXMATCH(Z4539, ""Season""), ""TV Show"", ""Movie"")"),"Movie")</f>
        <v>Movie</v>
      </c>
    </row>
    <row r="4540">
      <c r="A4540" s="1" t="s">
        <v>24122</v>
      </c>
      <c r="B4540" s="1" t="s">
        <v>27</v>
      </c>
      <c r="C4540" s="1" t="s">
        <v>24123</v>
      </c>
      <c r="D4540" s="1" t="s">
        <v>16851</v>
      </c>
      <c r="E4540" s="1" t="s">
        <v>24124</v>
      </c>
      <c r="F4540" s="1" t="s">
        <v>30</v>
      </c>
      <c r="G4540" s="1" t="s">
        <v>24120</v>
      </c>
      <c r="H4540" s="1">
        <v>2017.0</v>
      </c>
      <c r="I4540" s="1" t="s">
        <v>42</v>
      </c>
      <c r="J4540" s="1" t="s">
        <v>428</v>
      </c>
      <c r="K4540" s="1" t="s">
        <v>1551</v>
      </c>
      <c r="L4540" s="1" t="s">
        <v>24125</v>
      </c>
      <c r="M4540" s="2" t="s">
        <v>12</v>
      </c>
      <c r="N4540" s="4">
        <f t="shared" si="1"/>
        <v>43376</v>
      </c>
      <c r="O4540" s="5" t="str">
        <f>IFERROR(__xludf.DUMMYFUNCTION("IF(REGEXMATCH(TRIM(I4540), ""^\d+\s*min""), ""Unclassified"", IF(I4540 = """", ""NR"", I4540))"),"TV-MA")</f>
        <v>TV-MA</v>
      </c>
      <c r="R4540" s="5" t="str">
        <f t="shared" si="2"/>
        <v>Truth Or Dare</v>
      </c>
      <c r="S4540" s="5" t="str">
        <f>IFERROR(__xludf.DUMMYFUNCTION("""COMPUTED_VALUE"""),"Mere Papa Hero Hiralal")</f>
        <v>Mere Papa Hero Hiralal</v>
      </c>
      <c r="V4540" s="5"/>
      <c r="Y4540" s="5" t="str">
        <f>IFERROR(__xludf.DUMMYFUNCTION("REGEXEXTRACT(J4540, ""^\d+"")"),"88")</f>
        <v>88</v>
      </c>
      <c r="Z4540" s="5" t="str">
        <f>IFERROR(__xludf.DUMMYFUNCTION("REGEXEXTRACT(J4540, ""[A-Za-z ]+$"")")," min")</f>
        <v> min</v>
      </c>
      <c r="AA4540" s="5" t="str">
        <f>IFERROR(__xludf.DUMMYFUNCTION("IF(REGEXMATCH(Z4540, ""Season""), ""TV Show"", ""Movie"")"),"Movie")</f>
        <v>Movie</v>
      </c>
    </row>
    <row r="4541">
      <c r="A4541" s="1" t="s">
        <v>24126</v>
      </c>
      <c r="B4541" s="1" t="s">
        <v>27</v>
      </c>
      <c r="C4541" s="1" t="s">
        <v>24127</v>
      </c>
      <c r="D4541" s="1" t="s">
        <v>4791</v>
      </c>
      <c r="E4541" s="1" t="s">
        <v>24128</v>
      </c>
      <c r="F4541" s="1" t="s">
        <v>4918</v>
      </c>
      <c r="G4541" s="1" t="s">
        <v>24129</v>
      </c>
      <c r="H4541" s="1">
        <v>2017.0</v>
      </c>
      <c r="I4541" s="1" t="s">
        <v>378</v>
      </c>
      <c r="J4541" s="1" t="s">
        <v>264</v>
      </c>
      <c r="K4541" s="1" t="s">
        <v>380</v>
      </c>
      <c r="L4541" s="1" t="s">
        <v>24130</v>
      </c>
      <c r="M4541" s="2" t="s">
        <v>12</v>
      </c>
      <c r="N4541" s="4">
        <f t="shared" si="1"/>
        <v>43375</v>
      </c>
      <c r="O4541" s="5" t="str">
        <f>IFERROR(__xludf.DUMMYFUNCTION("IF(REGEXMATCH(TRIM(I4541), ""^\d+\s*min""), ""Unclassified"", IF(I4541 = """", ""NR"", I4541))"),"R")</f>
        <v>R</v>
      </c>
      <c r="R4541" s="5" t="str">
        <f t="shared" si="2"/>
        <v>Death Race: Beyond Anarchy</v>
      </c>
      <c r="S4541" s="5" t="str">
        <f>IFERROR(__xludf.DUMMYFUNCTION("""COMPUTED_VALUE"""),"Mere Pyare Prime Minister")</f>
        <v>Mere Pyare Prime Minister</v>
      </c>
      <c r="V4541" s="5"/>
      <c r="Y4541" s="5" t="str">
        <f>IFERROR(__xludf.DUMMYFUNCTION("REGEXEXTRACT(J4541, ""^\d+"")"),"111")</f>
        <v>111</v>
      </c>
      <c r="Z4541" s="5" t="str">
        <f>IFERROR(__xludf.DUMMYFUNCTION("REGEXEXTRACT(J4541, ""[A-Za-z ]+$"")")," min")</f>
        <v> min</v>
      </c>
      <c r="AA4541" s="5" t="str">
        <f>IFERROR(__xludf.DUMMYFUNCTION("IF(REGEXMATCH(Z4541, ""Season""), ""TV Show"", ""Movie"")"),"Movie")</f>
        <v>Movie</v>
      </c>
    </row>
    <row r="4542">
      <c r="A4542" s="1" t="s">
        <v>24131</v>
      </c>
      <c r="B4542" s="1" t="s">
        <v>27</v>
      </c>
      <c r="C4542" s="1" t="s">
        <v>24132</v>
      </c>
      <c r="D4542" s="1" t="s">
        <v>7182</v>
      </c>
      <c r="E4542" s="1" t="s">
        <v>24133</v>
      </c>
      <c r="F4542" s="1" t="s">
        <v>30</v>
      </c>
      <c r="G4542" s="1" t="s">
        <v>24129</v>
      </c>
      <c r="H4542" s="1">
        <v>2012.0</v>
      </c>
      <c r="I4542" s="1" t="s">
        <v>42</v>
      </c>
      <c r="J4542" s="1" t="s">
        <v>2452</v>
      </c>
      <c r="K4542" s="1" t="s">
        <v>1034</v>
      </c>
      <c r="L4542" s="1" t="s">
        <v>24134</v>
      </c>
      <c r="M4542" s="2" t="s">
        <v>12</v>
      </c>
      <c r="N4542" s="4">
        <f t="shared" si="1"/>
        <v>43375</v>
      </c>
      <c r="O4542" s="5" t="str">
        <f>IFERROR(__xludf.DUMMYFUNCTION("IF(REGEXMATCH(TRIM(I4542), ""^\d+\s*min""), ""Unclassified"", IF(I4542 = """", ""NR"", I4542))"),"TV-MA")</f>
        <v>TV-MA</v>
      </c>
      <c r="R4542" s="5" t="str">
        <f t="shared" si="2"/>
        <v>Eric Ldle'S What About Dick?</v>
      </c>
      <c r="S4542" s="5" t="str">
        <f>IFERROR(__xludf.DUMMYFUNCTION("""COMPUTED_VALUE"""),"Merku Thodarchi Malai")</f>
        <v>Merku Thodarchi Malai</v>
      </c>
      <c r="V4542" s="5"/>
      <c r="Y4542" s="5" t="str">
        <f>IFERROR(__xludf.DUMMYFUNCTION("REGEXEXTRACT(J4542, ""^\d+"")"),"81")</f>
        <v>81</v>
      </c>
      <c r="Z4542" s="5" t="str">
        <f>IFERROR(__xludf.DUMMYFUNCTION("REGEXEXTRACT(J4542, ""[A-Za-z ]+$"")")," min")</f>
        <v> min</v>
      </c>
      <c r="AA4542" s="5" t="str">
        <f>IFERROR(__xludf.DUMMYFUNCTION("IF(REGEXMATCH(Z4542, ""Season""), ""TV Show"", ""Movie"")"),"Movie")</f>
        <v>Movie</v>
      </c>
    </row>
    <row r="4543">
      <c r="A4543" s="1" t="s">
        <v>24135</v>
      </c>
      <c r="B4543" s="1" t="s">
        <v>27</v>
      </c>
      <c r="C4543" s="1" t="s">
        <v>24136</v>
      </c>
      <c r="D4543" s="1" t="s">
        <v>2256</v>
      </c>
      <c r="E4543" s="1" t="s">
        <v>24137</v>
      </c>
      <c r="G4543" s="1" t="s">
        <v>24129</v>
      </c>
      <c r="H4543" s="1">
        <v>2018.0</v>
      </c>
      <c r="I4543" s="1" t="s">
        <v>42</v>
      </c>
      <c r="J4543" s="1" t="s">
        <v>1838</v>
      </c>
      <c r="K4543" s="1" t="s">
        <v>1839</v>
      </c>
      <c r="L4543" s="1" t="s">
        <v>24138</v>
      </c>
      <c r="M4543" s="2" t="s">
        <v>12</v>
      </c>
      <c r="N4543" s="4">
        <f t="shared" si="1"/>
        <v>43375</v>
      </c>
      <c r="O4543" s="5" t="str">
        <f>IFERROR(__xludf.DUMMYFUNCTION("IF(REGEXMATCH(TRIM(I4543), ""^\d+\s*min""), ""Unclassified"", IF(I4543 = """", ""NR"", I4543))"),"TV-MA")</f>
        <v>TV-MA</v>
      </c>
      <c r="R4543" s="5" t="str">
        <f t="shared" si="2"/>
        <v>Joe Rogan: Strange Times</v>
      </c>
      <c r="S4543" s="5" t="str">
        <f>IFERROR(__xludf.DUMMYFUNCTION("""COMPUTED_VALUE"""),"Merlí")</f>
        <v>Merlí</v>
      </c>
      <c r="V4543" s="5"/>
      <c r="Y4543" s="5" t="str">
        <f>IFERROR(__xludf.DUMMYFUNCTION("REGEXEXTRACT(J4543, ""^\d+"")"),"64")</f>
        <v>64</v>
      </c>
      <c r="Z4543" s="5" t="str">
        <f>IFERROR(__xludf.DUMMYFUNCTION("REGEXEXTRACT(J4543, ""[A-Za-z ]+$"")")," min")</f>
        <v> min</v>
      </c>
      <c r="AA4543" s="5" t="str">
        <f>IFERROR(__xludf.DUMMYFUNCTION("IF(REGEXMATCH(Z4543, ""Season""), ""TV Show"", ""Movie"")"),"Movie")</f>
        <v>Movie</v>
      </c>
    </row>
    <row r="4544">
      <c r="A4544" s="1" t="s">
        <v>24139</v>
      </c>
      <c r="B4544" s="1" t="s">
        <v>37</v>
      </c>
      <c r="C4544" s="1" t="s">
        <v>24140</v>
      </c>
      <c r="E4544" s="1" t="s">
        <v>24141</v>
      </c>
      <c r="F4544" s="1" t="s">
        <v>96</v>
      </c>
      <c r="G4544" s="1" t="s">
        <v>24129</v>
      </c>
      <c r="H4544" s="1">
        <v>2014.0</v>
      </c>
      <c r="I4544" s="1" t="s">
        <v>42</v>
      </c>
      <c r="J4544" s="1" t="s">
        <v>51</v>
      </c>
      <c r="K4544" s="1" t="s">
        <v>24142</v>
      </c>
      <c r="L4544" s="1" t="s">
        <v>24143</v>
      </c>
      <c r="M4544" s="2" t="s">
        <v>12</v>
      </c>
      <c r="N4544" s="4">
        <f t="shared" si="1"/>
        <v>43375</v>
      </c>
      <c r="O4544" s="5" t="str">
        <f>IFERROR(__xludf.DUMMYFUNCTION("IF(REGEXMATCH(TRIM(I4544), ""^\d+\s*min""), ""Unclassified"", IF(I4544 = """", ""NR"", I4544))"),"TV-MA")</f>
        <v>TV-MA</v>
      </c>
      <c r="R4544" s="5" t="str">
        <f t="shared" si="2"/>
        <v>Monty Python Best Bits (Mostly)</v>
      </c>
      <c r="S4544" s="5" t="str">
        <f>IFERROR(__xludf.DUMMYFUNCTION("""COMPUTED_VALUE"""),"Merlin")</f>
        <v>Merlin</v>
      </c>
      <c r="V4544" s="5"/>
      <c r="Y4544" s="5" t="str">
        <f>IFERROR(__xludf.DUMMYFUNCTION("REGEXEXTRACT(J4544, ""^\d+"")"),"1")</f>
        <v>1</v>
      </c>
      <c r="Z4544" s="5" t="str">
        <f>IFERROR(__xludf.DUMMYFUNCTION("REGEXEXTRACT(J4544, ""[A-Za-z ]+$"")")," Season")</f>
        <v> Season</v>
      </c>
      <c r="AA4544" s="5" t="str">
        <f>IFERROR(__xludf.DUMMYFUNCTION("IF(REGEXMATCH(Z4544, ""Season""), ""TV Show"", ""Movie"")"),"TV Show")</f>
        <v>TV Show</v>
      </c>
    </row>
    <row r="4545">
      <c r="A4545" s="1" t="s">
        <v>24144</v>
      </c>
      <c r="B4545" s="1" t="s">
        <v>27</v>
      </c>
      <c r="C4545" s="1" t="s">
        <v>24145</v>
      </c>
      <c r="D4545" s="1" t="s">
        <v>23599</v>
      </c>
      <c r="E4545" s="1" t="s">
        <v>24146</v>
      </c>
      <c r="G4545" s="1" t="s">
        <v>24129</v>
      </c>
      <c r="H4545" s="1">
        <v>2008.0</v>
      </c>
      <c r="I4545" s="1" t="s">
        <v>42</v>
      </c>
      <c r="J4545" s="1" t="s">
        <v>6490</v>
      </c>
      <c r="K4545" s="1" t="s">
        <v>34</v>
      </c>
      <c r="L4545" s="1" t="s">
        <v>24147</v>
      </c>
      <c r="M4545" s="2" t="s">
        <v>12</v>
      </c>
      <c r="N4545" s="4">
        <f t="shared" si="1"/>
        <v>43375</v>
      </c>
      <c r="O4545" s="5" t="str">
        <f>IFERROR(__xludf.DUMMYFUNCTION("IF(REGEXMATCH(TRIM(I4545), ""^\d+\s*min""), ""Unclassified"", IF(I4545 = """", ""NR"", I4545))"),"TV-MA")</f>
        <v>TV-MA</v>
      </c>
      <c r="R4545" s="5" t="str">
        <f t="shared" si="2"/>
        <v>Monty Python Conquers America</v>
      </c>
      <c r="S4545" s="5" t="str">
        <f>IFERROR(__xludf.DUMMYFUNCTION("""COMPUTED_VALUE"""),"Merry Happy Whatever")</f>
        <v>Merry Happy Whatever</v>
      </c>
      <c r="V4545" s="5"/>
      <c r="Y4545" s="5" t="str">
        <f>IFERROR(__xludf.DUMMYFUNCTION("REGEXEXTRACT(J4545, ""^\d+"")"),"55")</f>
        <v>55</v>
      </c>
      <c r="Z4545" s="5" t="str">
        <f>IFERROR(__xludf.DUMMYFUNCTION("REGEXEXTRACT(J4545, ""[A-Za-z ]+$"")")," min")</f>
        <v> min</v>
      </c>
      <c r="AA4545" s="5" t="str">
        <f>IFERROR(__xludf.DUMMYFUNCTION("IF(REGEXMATCH(Z4545, ""Season""), ""TV Show"", ""Movie"")"),"Movie")</f>
        <v>Movie</v>
      </c>
    </row>
    <row r="4546">
      <c r="A4546" s="1" t="s">
        <v>24148</v>
      </c>
      <c r="B4546" s="1" t="s">
        <v>27</v>
      </c>
      <c r="C4546" s="1" t="s">
        <v>24149</v>
      </c>
      <c r="D4546" s="1" t="s">
        <v>7177</v>
      </c>
      <c r="E4546" s="1" t="s">
        <v>24150</v>
      </c>
      <c r="F4546" s="1" t="s">
        <v>96</v>
      </c>
      <c r="G4546" s="1" t="s">
        <v>24129</v>
      </c>
      <c r="H4546" s="1">
        <v>2014.0</v>
      </c>
      <c r="I4546" s="1" t="s">
        <v>42</v>
      </c>
      <c r="J4546" s="1" t="s">
        <v>4242</v>
      </c>
      <c r="K4546" s="1" t="s">
        <v>239</v>
      </c>
      <c r="L4546" s="1" t="s">
        <v>24151</v>
      </c>
      <c r="M4546" s="2" t="s">
        <v>12</v>
      </c>
      <c r="N4546" s="4">
        <f t="shared" si="1"/>
        <v>43375</v>
      </c>
      <c r="O4546" s="5" t="str">
        <f>IFERROR(__xludf.DUMMYFUNCTION("IF(REGEXMATCH(TRIM(I4546), ""^\d+\s*min""), ""Unclassified"", IF(I4546 = """", ""NR"", I4546))"),"TV-MA")</f>
        <v>TV-MA</v>
      </c>
      <c r="R4546" s="5" t="str">
        <f t="shared" si="2"/>
        <v>Monty Python Live (Mostly): One Down, Five To Go</v>
      </c>
      <c r="S4546" s="5" t="str">
        <f>IFERROR(__xludf.DUMMYFUNCTION("""COMPUTED_VALUE"""),"Merry Men 2: Another Mission")</f>
        <v>Merry Men 2: Another Mission</v>
      </c>
      <c r="V4546" s="5"/>
      <c r="Y4546" s="5" t="str">
        <f>IFERROR(__xludf.DUMMYFUNCTION("REGEXEXTRACT(J4546, ""^\d+"")"),"137")</f>
        <v>137</v>
      </c>
      <c r="Z4546" s="5" t="str">
        <f>IFERROR(__xludf.DUMMYFUNCTION("REGEXEXTRACT(J4546, ""[A-Za-z ]+$"")")," min")</f>
        <v> min</v>
      </c>
      <c r="AA4546" s="5" t="str">
        <f>IFERROR(__xludf.DUMMYFUNCTION("IF(REGEXMATCH(Z4546, ""Season""), ""TV Show"", ""Movie"")"),"Movie")</f>
        <v>Movie</v>
      </c>
    </row>
    <row r="4547">
      <c r="A4547" s="1" t="s">
        <v>24152</v>
      </c>
      <c r="B4547" s="1" t="s">
        <v>27</v>
      </c>
      <c r="C4547" s="1" t="s">
        <v>24153</v>
      </c>
      <c r="D4547" s="1" t="s">
        <v>23599</v>
      </c>
      <c r="E4547" s="1" t="s">
        <v>24146</v>
      </c>
      <c r="F4547" s="1" t="s">
        <v>96</v>
      </c>
      <c r="G4547" s="1" t="s">
        <v>24129</v>
      </c>
      <c r="H4547" s="1">
        <v>2000.0</v>
      </c>
      <c r="I4547" s="1" t="s">
        <v>42</v>
      </c>
      <c r="J4547" s="1" t="s">
        <v>16845</v>
      </c>
      <c r="K4547" s="1" t="s">
        <v>24154</v>
      </c>
      <c r="L4547" s="1" t="s">
        <v>24155</v>
      </c>
      <c r="M4547" s="2" t="s">
        <v>12</v>
      </c>
      <c r="N4547" s="4">
        <f t="shared" si="1"/>
        <v>43375</v>
      </c>
      <c r="O4547" s="5" t="str">
        <f>IFERROR(__xludf.DUMMYFUNCTION("IF(REGEXMATCH(TRIM(I4547), ""^\d+\s*min""), ""Unclassified"", IF(I4547 = """", ""NR"", I4547))"),"TV-MA")</f>
        <v>TV-MA</v>
      </c>
      <c r="R4547" s="5" t="str">
        <f t="shared" si="2"/>
        <v>Monty Python: Before The Flying Circus</v>
      </c>
      <c r="S4547" s="5" t="str">
        <f>IFERROR(__xludf.DUMMYFUNCTION("""COMPUTED_VALUE"""),"Merry Men: The Real Yoruba Demons")</f>
        <v>Merry Men: The Real Yoruba Demons</v>
      </c>
      <c r="V4547" s="5"/>
      <c r="Y4547" s="5" t="str">
        <f>IFERROR(__xludf.DUMMYFUNCTION("REGEXEXTRACT(J4547, ""^\d+"")"),"56")</f>
        <v>56</v>
      </c>
      <c r="Z4547" s="5" t="str">
        <f>IFERROR(__xludf.DUMMYFUNCTION("REGEXEXTRACT(J4547, ""[A-Za-z ]+$"")")," min")</f>
        <v> min</v>
      </c>
      <c r="AA4547" s="5" t="str">
        <f>IFERROR(__xludf.DUMMYFUNCTION("IF(REGEXMATCH(Z4547, ""Season""), ""TV Show"", ""Movie"")"),"Movie")</f>
        <v>Movie</v>
      </c>
    </row>
    <row r="4548">
      <c r="A4548" s="1" t="s">
        <v>24156</v>
      </c>
      <c r="B4548" s="1" t="s">
        <v>27</v>
      </c>
      <c r="C4548" s="1" t="s">
        <v>24157</v>
      </c>
      <c r="E4548" s="1" t="s">
        <v>24158</v>
      </c>
      <c r="F4548" s="1" t="s">
        <v>30</v>
      </c>
      <c r="G4548" s="1" t="s">
        <v>24129</v>
      </c>
      <c r="H4548" s="1">
        <v>1998.0</v>
      </c>
      <c r="I4548" s="1" t="s">
        <v>42</v>
      </c>
      <c r="J4548" s="1" t="s">
        <v>4693</v>
      </c>
      <c r="K4548" s="1" t="s">
        <v>24154</v>
      </c>
      <c r="L4548" s="1" t="s">
        <v>24159</v>
      </c>
      <c r="M4548" s="2" t="s">
        <v>12</v>
      </c>
      <c r="N4548" s="4">
        <f t="shared" si="1"/>
        <v>43375</v>
      </c>
      <c r="O4548" s="5" t="str">
        <f>IFERROR(__xludf.DUMMYFUNCTION("IF(REGEXMATCH(TRIM(I4548), ""^\d+\s*min""), ""Unclassified"", IF(I4548 = """", ""NR"", I4548))"),"TV-MA")</f>
        <v>TV-MA</v>
      </c>
      <c r="R4548" s="5" t="str">
        <f t="shared" si="2"/>
        <v>Monty Python: Live At Aspen</v>
      </c>
      <c r="S4548" s="5" t="str">
        <f>IFERROR(__xludf.DUMMYFUNCTION("""COMPUTED_VALUE"""),"Mersal")</f>
        <v>Mersal</v>
      </c>
      <c r="V4548" s="5"/>
      <c r="Y4548" s="5" t="str">
        <f>IFERROR(__xludf.DUMMYFUNCTION("REGEXEXTRACT(J4548, ""^\d+"")"),"58")</f>
        <v>58</v>
      </c>
      <c r="Z4548" s="5" t="str">
        <f>IFERROR(__xludf.DUMMYFUNCTION("REGEXEXTRACT(J4548, ""[A-Za-z ]+$"")")," min")</f>
        <v> min</v>
      </c>
      <c r="AA4548" s="5" t="str">
        <f>IFERROR(__xludf.DUMMYFUNCTION("IF(REGEXMATCH(Z4548, ""Season""), ""TV Show"", ""Movie"")"),"Movie")</f>
        <v>Movie</v>
      </c>
    </row>
    <row r="4549">
      <c r="A4549" s="1" t="s">
        <v>24160</v>
      </c>
      <c r="B4549" s="1" t="s">
        <v>27</v>
      </c>
      <c r="C4549" s="1" t="s">
        <v>24161</v>
      </c>
      <c r="D4549" s="1" t="s">
        <v>24162</v>
      </c>
      <c r="E4549" s="1" t="s">
        <v>24163</v>
      </c>
      <c r="F4549" s="1" t="s">
        <v>96</v>
      </c>
      <c r="G4549" s="1" t="s">
        <v>24129</v>
      </c>
      <c r="H4549" s="1">
        <v>1982.0</v>
      </c>
      <c r="I4549" s="1" t="s">
        <v>378</v>
      </c>
      <c r="J4549" s="1" t="s">
        <v>729</v>
      </c>
      <c r="K4549" s="1" t="s">
        <v>239</v>
      </c>
      <c r="L4549" s="1" t="s">
        <v>24164</v>
      </c>
      <c r="M4549" s="2" t="s">
        <v>12</v>
      </c>
      <c r="N4549" s="4">
        <f t="shared" si="1"/>
        <v>43375</v>
      </c>
      <c r="O4549" s="5" t="str">
        <f>IFERROR(__xludf.DUMMYFUNCTION("IF(REGEXMATCH(TRIM(I4549), ""^\d+\s*min""), ""Unclassified"", IF(I4549 = """", ""NR"", I4549))"),"R")</f>
        <v>R</v>
      </c>
      <c r="R4549" s="5" t="str">
        <f t="shared" si="2"/>
        <v>Monty Python: Live At The Hollywood Bowl</v>
      </c>
      <c r="S4549" s="5" t="str">
        <f>IFERROR(__xludf.DUMMYFUNCTION("""COMPUTED_VALUE"""),"Message From The King")</f>
        <v>Message From The King</v>
      </c>
      <c r="V4549" s="5"/>
      <c r="Y4549" s="5" t="str">
        <f>IFERROR(__xludf.DUMMYFUNCTION("REGEXEXTRACT(J4549, ""^\d+"")"),"80")</f>
        <v>80</v>
      </c>
      <c r="Z4549" s="5" t="str">
        <f>IFERROR(__xludf.DUMMYFUNCTION("REGEXEXTRACT(J4549, ""[A-Za-z ]+$"")")," min")</f>
        <v> min</v>
      </c>
      <c r="AA4549" s="5" t="str">
        <f>IFERROR(__xludf.DUMMYFUNCTION("IF(REGEXMATCH(Z4549, ""Season""), ""TV Show"", ""Movie"")"),"Movie")</f>
        <v>Movie</v>
      </c>
    </row>
    <row r="4550">
      <c r="A4550" s="1" t="s">
        <v>24165</v>
      </c>
      <c r="B4550" s="1" t="s">
        <v>27</v>
      </c>
      <c r="C4550" s="1" t="s">
        <v>24166</v>
      </c>
      <c r="D4550" s="1" t="s">
        <v>19685</v>
      </c>
      <c r="E4550" s="1" t="s">
        <v>24167</v>
      </c>
      <c r="F4550" s="1" t="s">
        <v>96</v>
      </c>
      <c r="G4550" s="1" t="s">
        <v>24129</v>
      </c>
      <c r="H4550" s="1">
        <v>2014.0</v>
      </c>
      <c r="I4550" s="1" t="s">
        <v>42</v>
      </c>
      <c r="J4550" s="1" t="s">
        <v>170</v>
      </c>
      <c r="K4550" s="1" t="s">
        <v>34</v>
      </c>
      <c r="L4550" s="1" t="s">
        <v>24168</v>
      </c>
      <c r="M4550" s="2" t="s">
        <v>12</v>
      </c>
      <c r="N4550" s="4">
        <f t="shared" si="1"/>
        <v>43375</v>
      </c>
      <c r="O4550" s="5" t="str">
        <f>IFERROR(__xludf.DUMMYFUNCTION("IF(REGEXMATCH(TRIM(I4550), ""^\d+\s*min""), ""Unclassified"", IF(I4550 = """", ""NR"", I4550))"),"TV-MA")</f>
        <v>TV-MA</v>
      </c>
      <c r="R4550" s="5" t="str">
        <f t="shared" si="2"/>
        <v>Monty Python: The Meaning Of Live</v>
      </c>
      <c r="S4550" s="5" t="str">
        <f>IFERROR(__xludf.DUMMYFUNCTION("""COMPUTED_VALUE"""),"Messiah")</f>
        <v>Messiah</v>
      </c>
      <c r="V4550" s="5"/>
      <c r="Y4550" s="5" t="str">
        <f>IFERROR(__xludf.DUMMYFUNCTION("REGEXEXTRACT(J4550, ""^\d+"")"),"94")</f>
        <v>94</v>
      </c>
      <c r="Z4550" s="5" t="str">
        <f>IFERROR(__xludf.DUMMYFUNCTION("REGEXEXTRACT(J4550, ""[A-Za-z ]+$"")")," min")</f>
        <v> min</v>
      </c>
      <c r="AA4550" s="5" t="str">
        <f>IFERROR(__xludf.DUMMYFUNCTION("IF(REGEXMATCH(Z4550, ""Season""), ""TV Show"", ""Movie"")"),"Movie")</f>
        <v>Movie</v>
      </c>
    </row>
    <row r="4551">
      <c r="A4551" s="1" t="s">
        <v>24169</v>
      </c>
      <c r="B4551" s="1" t="s">
        <v>37</v>
      </c>
      <c r="C4551" s="1" t="s">
        <v>24170</v>
      </c>
      <c r="E4551" s="1" t="s">
        <v>24171</v>
      </c>
      <c r="F4551" s="1" t="s">
        <v>96</v>
      </c>
      <c r="G4551" s="1" t="s">
        <v>24129</v>
      </c>
      <c r="H4551" s="1">
        <v>2009.0</v>
      </c>
      <c r="I4551" s="1" t="s">
        <v>42</v>
      </c>
      <c r="J4551" s="1" t="s">
        <v>51</v>
      </c>
      <c r="K4551" s="1" t="s">
        <v>4190</v>
      </c>
      <c r="L4551" s="1" t="s">
        <v>24172</v>
      </c>
      <c r="M4551" s="2" t="s">
        <v>12</v>
      </c>
      <c r="N4551" s="4">
        <f t="shared" si="1"/>
        <v>43375</v>
      </c>
      <c r="O4551" s="5" t="str">
        <f>IFERROR(__xludf.DUMMYFUNCTION("IF(REGEXMATCH(TRIM(I4551), ""^\d+\s*min""), ""Unclassified"", IF(I4551 = """", ""NR"", I4551))"),"TV-MA")</f>
        <v>TV-MA</v>
      </c>
      <c r="R4551" s="5" t="str">
        <f t="shared" si="2"/>
        <v>Monty Python'S Almost The Truth</v>
      </c>
      <c r="S4551" s="5" t="str">
        <f>IFERROR(__xludf.DUMMYFUNCTION("""COMPUTED_VALUE"""),"Metal Shop Masters")</f>
        <v>Metal Shop Masters</v>
      </c>
      <c r="V4551" s="5"/>
      <c r="Y4551" s="5" t="str">
        <f>IFERROR(__xludf.DUMMYFUNCTION("REGEXEXTRACT(J4551, ""^\d+"")"),"1")</f>
        <v>1</v>
      </c>
      <c r="Z4551" s="5" t="str">
        <f>IFERROR(__xludf.DUMMYFUNCTION("REGEXEXTRACT(J4551, ""[A-Za-z ]+$"")")," Season")</f>
        <v> Season</v>
      </c>
      <c r="AA4551" s="5" t="str">
        <f>IFERROR(__xludf.DUMMYFUNCTION("IF(REGEXMATCH(Z4551, ""Season""), ""TV Show"", ""Movie"")"),"TV Show")</f>
        <v>TV Show</v>
      </c>
    </row>
    <row r="4552">
      <c r="A4552" s="1" t="s">
        <v>24173</v>
      </c>
      <c r="B4552" s="1" t="s">
        <v>37</v>
      </c>
      <c r="C4552" s="1" t="s">
        <v>24174</v>
      </c>
      <c r="E4552" s="1" t="s">
        <v>24175</v>
      </c>
      <c r="F4552" s="1" t="s">
        <v>24176</v>
      </c>
      <c r="G4552" s="1" t="s">
        <v>24129</v>
      </c>
      <c r="H4552" s="1">
        <v>1972.0</v>
      </c>
      <c r="I4552" s="1" t="s">
        <v>42</v>
      </c>
      <c r="J4552" s="1" t="s">
        <v>51</v>
      </c>
      <c r="K4552" s="1" t="s">
        <v>1294</v>
      </c>
      <c r="L4552" s="1" t="s">
        <v>24177</v>
      </c>
      <c r="M4552" s="2" t="s">
        <v>12</v>
      </c>
      <c r="N4552" s="4">
        <f t="shared" si="1"/>
        <v>43375</v>
      </c>
      <c r="O4552" s="5" t="str">
        <f>IFERROR(__xludf.DUMMYFUNCTION("IF(REGEXMATCH(TRIM(I4552), ""^\d+\s*min""), ""Unclassified"", IF(I4552 = """", ""NR"", I4552))"),"TV-MA")</f>
        <v>TV-MA</v>
      </c>
      <c r="R4552" s="5" t="str">
        <f t="shared" si="2"/>
        <v>Monty Python'S Fliegender Zirkus</v>
      </c>
      <c r="S4552" s="5" t="str">
        <f>IFERROR(__xludf.DUMMYFUNCTION("""COMPUTED_VALUE"""),"Metallica Through The Never")</f>
        <v>Metallica Through The Never</v>
      </c>
      <c r="V4552" s="5"/>
      <c r="Y4552" s="5" t="str">
        <f>IFERROR(__xludf.DUMMYFUNCTION("REGEXEXTRACT(J4552, ""^\d+"")"),"1")</f>
        <v>1</v>
      </c>
      <c r="Z4552" s="5" t="str">
        <f>IFERROR(__xludf.DUMMYFUNCTION("REGEXEXTRACT(J4552, ""[A-Za-z ]+$"")")," Season")</f>
        <v> Season</v>
      </c>
      <c r="AA4552" s="5" t="str">
        <f>IFERROR(__xludf.DUMMYFUNCTION("IF(REGEXMATCH(Z4552, ""Season""), ""TV Show"", ""Movie"")"),"TV Show")</f>
        <v>TV Show</v>
      </c>
    </row>
    <row r="4553">
      <c r="A4553" s="1" t="s">
        <v>24178</v>
      </c>
      <c r="B4553" s="1" t="s">
        <v>37</v>
      </c>
      <c r="C4553" s="1" t="s">
        <v>24179</v>
      </c>
      <c r="E4553" s="1" t="s">
        <v>24180</v>
      </c>
      <c r="F4553" s="1" t="s">
        <v>96</v>
      </c>
      <c r="G4553" s="1" t="s">
        <v>24129</v>
      </c>
      <c r="H4553" s="1">
        <v>1974.0</v>
      </c>
      <c r="I4553" s="1" t="s">
        <v>97</v>
      </c>
      <c r="J4553" s="1" t="s">
        <v>148</v>
      </c>
      <c r="K4553" s="1" t="s">
        <v>8697</v>
      </c>
      <c r="L4553" s="1" t="s">
        <v>24181</v>
      </c>
      <c r="M4553" s="2" t="s">
        <v>12</v>
      </c>
      <c r="N4553" s="4">
        <f t="shared" si="1"/>
        <v>43375</v>
      </c>
      <c r="O4553" s="5" t="str">
        <f>IFERROR(__xludf.DUMMYFUNCTION("IF(REGEXMATCH(TRIM(I4553), ""^\d+\s*min""), ""Unclassified"", IF(I4553 = """", ""NR"", I4553))"),"TV-14")</f>
        <v>TV-14</v>
      </c>
      <c r="R4553" s="5" t="str">
        <f t="shared" si="2"/>
        <v>Monty Python'S Flying Circus</v>
      </c>
      <c r="S4553" s="5" t="str">
        <f>IFERROR(__xludf.DUMMYFUNCTION("""COMPUTED_VALUE"""),"Metallica: Some Kind Of Monster")</f>
        <v>Metallica: Some Kind Of Monster</v>
      </c>
      <c r="V4553" s="5"/>
      <c r="Y4553" s="5" t="str">
        <f>IFERROR(__xludf.DUMMYFUNCTION("REGEXEXTRACT(J4553, ""^\d+"")"),"4")</f>
        <v>4</v>
      </c>
      <c r="Z4553" s="5" t="str">
        <f>IFERROR(__xludf.DUMMYFUNCTION("REGEXEXTRACT(J4553, ""[A-Za-z ]+$"")")," Seasons")</f>
        <v> Seasons</v>
      </c>
      <c r="AA4553" s="5" t="str">
        <f>IFERROR(__xludf.DUMMYFUNCTION("IF(REGEXMATCH(Z4553, ""Season""), ""TV Show"", ""Movie"")"),"TV Show")</f>
        <v>TV Show</v>
      </c>
    </row>
    <row r="4554">
      <c r="A4554" s="1" t="s">
        <v>24182</v>
      </c>
      <c r="B4554" s="1" t="s">
        <v>27</v>
      </c>
      <c r="C4554" s="1" t="s">
        <v>24183</v>
      </c>
      <c r="D4554" s="1" t="s">
        <v>22352</v>
      </c>
      <c r="E4554" s="1" t="s">
        <v>24184</v>
      </c>
      <c r="F4554" s="1" t="s">
        <v>96</v>
      </c>
      <c r="G4554" s="1" t="s">
        <v>24129</v>
      </c>
      <c r="H4554" s="1">
        <v>1979.0</v>
      </c>
      <c r="I4554" s="1" t="s">
        <v>378</v>
      </c>
      <c r="J4554" s="1" t="s">
        <v>170</v>
      </c>
      <c r="K4554" s="1" t="s">
        <v>2174</v>
      </c>
      <c r="L4554" s="1" t="s">
        <v>24185</v>
      </c>
      <c r="M4554" s="2" t="s">
        <v>12</v>
      </c>
      <c r="N4554" s="4">
        <f t="shared" si="1"/>
        <v>43375</v>
      </c>
      <c r="O4554" s="5" t="str">
        <f>IFERROR(__xludf.DUMMYFUNCTION("IF(REGEXMATCH(TRIM(I4554), ""^\d+\s*min""), ""Unclassified"", IF(I4554 = """", ""NR"", I4554))"),"R")</f>
        <v>R</v>
      </c>
      <c r="R4554" s="5" t="str">
        <f t="shared" si="2"/>
        <v>Monty Python'S Life Of Brian</v>
      </c>
      <c r="S4554" s="5" t="str">
        <f>IFERROR(__xludf.DUMMYFUNCTION("""COMPUTED_VALUE"""),"Meteor Garden")</f>
        <v>Meteor Garden</v>
      </c>
      <c r="V4554" s="5"/>
      <c r="Y4554" s="5" t="str">
        <f>IFERROR(__xludf.DUMMYFUNCTION("REGEXEXTRACT(J4554, ""^\d+"")"),"94")</f>
        <v>94</v>
      </c>
      <c r="Z4554" s="5" t="str">
        <f>IFERROR(__xludf.DUMMYFUNCTION("REGEXEXTRACT(J4554, ""[A-Za-z ]+$"")")," min")</f>
        <v> min</v>
      </c>
      <c r="AA4554" s="5" t="str">
        <f>IFERROR(__xludf.DUMMYFUNCTION("IF(REGEXMATCH(Z4554, ""Season""), ""TV Show"", ""Movie"")"),"Movie")</f>
        <v>Movie</v>
      </c>
    </row>
    <row r="4555">
      <c r="A4555" s="1" t="s">
        <v>24186</v>
      </c>
      <c r="B4555" s="1" t="s">
        <v>37</v>
      </c>
      <c r="C4555" s="1" t="s">
        <v>24187</v>
      </c>
      <c r="E4555" s="1" t="s">
        <v>24188</v>
      </c>
      <c r="F4555" s="1" t="s">
        <v>692</v>
      </c>
      <c r="G4555" s="1" t="s">
        <v>24129</v>
      </c>
      <c r="H4555" s="1">
        <v>2005.0</v>
      </c>
      <c r="I4555" s="1" t="s">
        <v>42</v>
      </c>
      <c r="J4555" s="1" t="s">
        <v>51</v>
      </c>
      <c r="K4555" s="1" t="s">
        <v>22840</v>
      </c>
      <c r="L4555" s="1" t="s">
        <v>24189</v>
      </c>
      <c r="M4555" s="2" t="s">
        <v>12</v>
      </c>
      <c r="N4555" s="4">
        <f t="shared" si="1"/>
        <v>43375</v>
      </c>
      <c r="O4555" s="5" t="str">
        <f>IFERROR(__xludf.DUMMYFUNCTION("IF(REGEXMATCH(TRIM(I4555), ""^\d+\s*min""), ""Unclassified"", IF(I4555 = """", ""NR"", I4555))"),"TV-MA")</f>
        <v>TV-MA</v>
      </c>
      <c r="R4555" s="5" t="str">
        <f t="shared" si="2"/>
        <v>Monty Python'S Personal Best</v>
      </c>
      <c r="S4555" s="5" t="str">
        <f>IFERROR(__xludf.DUMMYFUNCTION("""COMPUTED_VALUE"""),"Metro")</f>
        <v>Metro</v>
      </c>
      <c r="V4555" s="5"/>
      <c r="Y4555" s="5" t="str">
        <f>IFERROR(__xludf.DUMMYFUNCTION("REGEXEXTRACT(J4555, ""^\d+"")"),"1")</f>
        <v>1</v>
      </c>
      <c r="Z4555" s="5" t="str">
        <f>IFERROR(__xludf.DUMMYFUNCTION("REGEXEXTRACT(J4555, ""[A-Za-z ]+$"")")," Season")</f>
        <v> Season</v>
      </c>
      <c r="AA4555" s="5" t="str">
        <f>IFERROR(__xludf.DUMMYFUNCTION("IF(REGEXMATCH(Z4555, ""Season""), ""TV Show"", ""Movie"")"),"TV Show")</f>
        <v>TV Show</v>
      </c>
    </row>
    <row r="4556">
      <c r="A4556" s="1" t="s">
        <v>24190</v>
      </c>
      <c r="B4556" s="1" t="s">
        <v>27</v>
      </c>
      <c r="C4556" s="1" t="s">
        <v>24191</v>
      </c>
      <c r="D4556" s="1" t="s">
        <v>24192</v>
      </c>
      <c r="E4556" s="1" t="s">
        <v>24193</v>
      </c>
      <c r="F4556" s="1" t="s">
        <v>96</v>
      </c>
      <c r="G4556" s="1" t="s">
        <v>24129</v>
      </c>
      <c r="H4556" s="1">
        <v>1989.0</v>
      </c>
      <c r="I4556" s="1" t="s">
        <v>97</v>
      </c>
      <c r="J4556" s="1" t="s">
        <v>4699</v>
      </c>
      <c r="K4556" s="1" t="s">
        <v>239</v>
      </c>
      <c r="L4556" s="1" t="s">
        <v>24194</v>
      </c>
      <c r="M4556" s="2" t="s">
        <v>12</v>
      </c>
      <c r="N4556" s="4">
        <f t="shared" si="1"/>
        <v>43375</v>
      </c>
      <c r="O4556" s="5" t="str">
        <f>IFERROR(__xludf.DUMMYFUNCTION("IF(REGEXMATCH(TRIM(I4556), ""^\d+\s*min""), ""Unclassified"", IF(I4556 = """", ""NR"", I4556))"),"TV-14")</f>
        <v>TV-14</v>
      </c>
      <c r="R4556" s="5" t="str">
        <f t="shared" si="2"/>
        <v>Parrot Sketch Not Included: Twenty Years Of Monty Python</v>
      </c>
      <c r="S4556" s="5" t="str">
        <f>IFERROR(__xludf.DUMMYFUNCTION("""COMPUTED_VALUE"""),"Mexicanos De Bronce")</f>
        <v>Mexicanos De Bronce</v>
      </c>
      <c r="V4556" s="5"/>
      <c r="Y4556" s="5" t="str">
        <f>IFERROR(__xludf.DUMMYFUNCTION("REGEXEXTRACT(J4556, ""^\d+"")"),"72")</f>
        <v>72</v>
      </c>
      <c r="Z4556" s="5" t="str">
        <f>IFERROR(__xludf.DUMMYFUNCTION("REGEXEXTRACT(J4556, ""[A-Za-z ]+$"")")," min")</f>
        <v> min</v>
      </c>
      <c r="AA4556" s="5" t="str">
        <f>IFERROR(__xludf.DUMMYFUNCTION("IF(REGEXMATCH(Z4556, ""Season""), ""TV Show"", ""Movie"")"),"Movie")</f>
        <v>Movie</v>
      </c>
    </row>
    <row r="4557">
      <c r="A4557" s="1" t="s">
        <v>24195</v>
      </c>
      <c r="B4557" s="1" t="s">
        <v>27</v>
      </c>
      <c r="C4557" s="1" t="s">
        <v>24196</v>
      </c>
      <c r="D4557" s="1" t="s">
        <v>914</v>
      </c>
      <c r="F4557" s="1" t="s">
        <v>96</v>
      </c>
      <c r="G4557" s="1" t="s">
        <v>24129</v>
      </c>
      <c r="H4557" s="1">
        <v>2013.0</v>
      </c>
      <c r="I4557" s="1" t="s">
        <v>42</v>
      </c>
      <c r="J4557" s="1" t="s">
        <v>4639</v>
      </c>
      <c r="K4557" s="1" t="s">
        <v>34</v>
      </c>
      <c r="L4557" s="1" t="s">
        <v>24197</v>
      </c>
      <c r="M4557" s="2" t="s">
        <v>12</v>
      </c>
      <c r="N4557" s="4">
        <f t="shared" si="1"/>
        <v>43375</v>
      </c>
      <c r="O4557" s="5" t="str">
        <f>IFERROR(__xludf.DUMMYFUNCTION("IF(REGEXMATCH(TRIM(I4557), ""^\d+\s*min""), ""Unclassified"", IF(I4557 = """", ""NR"", I4557))"),"TV-MA")</f>
        <v>TV-MA</v>
      </c>
      <c r="R4557" s="5" t="str">
        <f t="shared" si="2"/>
        <v>The Meaning Of Monty Python</v>
      </c>
      <c r="S4557" s="5" t="str">
        <f>IFERROR(__xludf.DUMMYFUNCTION("""COMPUTED_VALUE"""),"Mexico Diseña")</f>
        <v>Mexico Diseña</v>
      </c>
      <c r="V4557" s="5"/>
      <c r="Y4557" s="5" t="str">
        <f>IFERROR(__xludf.DUMMYFUNCTION("REGEXEXTRACT(J4557, ""^\d+"")"),"60")</f>
        <v>60</v>
      </c>
      <c r="Z4557" s="5" t="str">
        <f>IFERROR(__xludf.DUMMYFUNCTION("REGEXEXTRACT(J4557, ""[A-Za-z ]+$"")")," min")</f>
        <v> min</v>
      </c>
      <c r="AA4557" s="5" t="str">
        <f>IFERROR(__xludf.DUMMYFUNCTION("IF(REGEXMATCH(Z4557, ""Season""), ""TV Show"", ""Movie"")"),"Movie")</f>
        <v>Movie</v>
      </c>
    </row>
    <row r="4558">
      <c r="A4558" s="1" t="s">
        <v>24198</v>
      </c>
      <c r="B4558" s="1" t="s">
        <v>27</v>
      </c>
      <c r="C4558" s="1" t="s">
        <v>24199</v>
      </c>
      <c r="D4558" s="1" t="s">
        <v>21253</v>
      </c>
      <c r="E4558" s="1" t="s">
        <v>24200</v>
      </c>
      <c r="F4558" s="1" t="s">
        <v>63</v>
      </c>
      <c r="G4558" s="1" t="s">
        <v>24201</v>
      </c>
      <c r="H4558" s="1">
        <v>2016.0</v>
      </c>
      <c r="I4558" s="1" t="s">
        <v>97</v>
      </c>
      <c r="J4558" s="1" t="s">
        <v>1704</v>
      </c>
      <c r="K4558" s="1" t="s">
        <v>306</v>
      </c>
      <c r="L4558" s="1" t="s">
        <v>24202</v>
      </c>
      <c r="M4558" s="2" t="s">
        <v>12</v>
      </c>
      <c r="N4558" s="4">
        <f t="shared" si="1"/>
        <v>43374</v>
      </c>
      <c r="O4558" s="5" t="str">
        <f>IFERROR(__xludf.DUMMYFUNCTION("IF(REGEXMATCH(TRIM(I4558), ""^\d+\s*min""), ""Unclassified"", IF(I4558 = """", ""NR"", I4558))"),"TV-14")</f>
        <v>TV-14</v>
      </c>
      <c r="R4558" s="5" t="str">
        <f t="shared" si="2"/>
        <v>25 Kille</v>
      </c>
      <c r="S4558" s="5" t="str">
        <f>IFERROR(__xludf.DUMMYFUNCTION("""COMPUTED_VALUE"""),"Mfkz")</f>
        <v>Mfkz</v>
      </c>
      <c r="V4558" s="5"/>
      <c r="Y4558" s="5" t="str">
        <f>IFERROR(__xludf.DUMMYFUNCTION("REGEXEXTRACT(J4558, ""^\d+"")"),"140")</f>
        <v>140</v>
      </c>
      <c r="Z4558" s="5" t="str">
        <f>IFERROR(__xludf.DUMMYFUNCTION("REGEXEXTRACT(J4558, ""[A-Za-z ]+$"")")," min")</f>
        <v> min</v>
      </c>
      <c r="AA4558" s="5" t="str">
        <f>IFERROR(__xludf.DUMMYFUNCTION("IF(REGEXMATCH(Z4558, ""Season""), ""TV Show"", ""Movie"")"),"Movie")</f>
        <v>Movie</v>
      </c>
    </row>
    <row r="4559">
      <c r="A4559" s="1" t="s">
        <v>24203</v>
      </c>
      <c r="B4559" s="1" t="s">
        <v>27</v>
      </c>
      <c r="C4559" s="1" t="s">
        <v>24204</v>
      </c>
      <c r="D4559" s="1" t="s">
        <v>9831</v>
      </c>
      <c r="E4559" s="1" t="s">
        <v>24205</v>
      </c>
      <c r="F4559" s="1" t="s">
        <v>1106</v>
      </c>
      <c r="G4559" s="1" t="s">
        <v>24201</v>
      </c>
      <c r="H4559" s="1">
        <v>2017.0</v>
      </c>
      <c r="I4559" s="1" t="s">
        <v>78</v>
      </c>
      <c r="J4559" s="1" t="s">
        <v>79</v>
      </c>
      <c r="K4559" s="1" t="s">
        <v>80</v>
      </c>
      <c r="L4559" s="1" t="s">
        <v>24206</v>
      </c>
      <c r="M4559" s="2" t="s">
        <v>12</v>
      </c>
      <c r="N4559" s="4">
        <f t="shared" si="1"/>
        <v>43374</v>
      </c>
      <c r="O4559" s="5" t="str">
        <f>IFERROR(__xludf.DUMMYFUNCTION("IF(REGEXMATCH(TRIM(I4559), ""^\d+\s*min""), ""Unclassified"", IF(I4559 = """", ""NR"", I4559))"),"PG")</f>
        <v>PG</v>
      </c>
      <c r="R4559" s="5" t="str">
        <f t="shared" si="2"/>
        <v>A Witches' Ball</v>
      </c>
      <c r="S4559" s="5" t="str">
        <f>IFERROR(__xludf.DUMMYFUNCTION("""COMPUTED_VALUE"""),"Mi Amigo Alexis")</f>
        <v>Mi Amigo Alexis</v>
      </c>
      <c r="V4559" s="5"/>
      <c r="Y4559" s="5" t="str">
        <f>IFERROR(__xludf.DUMMYFUNCTION("REGEXEXTRACT(J4559, ""^\d+"")"),"91")</f>
        <v>91</v>
      </c>
      <c r="Z4559" s="5" t="str">
        <f>IFERROR(__xludf.DUMMYFUNCTION("REGEXEXTRACT(J4559, ""[A-Za-z ]+$"")")," min")</f>
        <v> min</v>
      </c>
      <c r="AA4559" s="5" t="str">
        <f>IFERROR(__xludf.DUMMYFUNCTION("IF(REGEXMATCH(Z4559, ""Season""), ""TV Show"", ""Movie"")"),"Movie")</f>
        <v>Movie</v>
      </c>
    </row>
    <row r="4560">
      <c r="A4560" s="1" t="s">
        <v>24207</v>
      </c>
      <c r="B4560" s="1" t="s">
        <v>27</v>
      </c>
      <c r="C4560" s="1" t="s">
        <v>24208</v>
      </c>
      <c r="D4560" s="1" t="s">
        <v>2479</v>
      </c>
      <c r="E4560" s="1" t="s">
        <v>24209</v>
      </c>
      <c r="F4560" s="1" t="s">
        <v>63</v>
      </c>
      <c r="G4560" s="1" t="s">
        <v>24201</v>
      </c>
      <c r="H4560" s="1">
        <v>2009.0</v>
      </c>
      <c r="I4560" s="1" t="s">
        <v>97</v>
      </c>
      <c r="J4560" s="1" t="s">
        <v>247</v>
      </c>
      <c r="K4560" s="1" t="s">
        <v>1441</v>
      </c>
      <c r="L4560" s="1" t="s">
        <v>24210</v>
      </c>
      <c r="M4560" s="2" t="s">
        <v>12</v>
      </c>
      <c r="N4560" s="4">
        <f t="shared" si="1"/>
        <v>43374</v>
      </c>
      <c r="O4560" s="5" t="str">
        <f>IFERROR(__xludf.DUMMYFUNCTION("IF(REGEXMATCH(TRIM(I4560), ""^\d+\s*min""), ""Unclassified"", IF(I4560 = """", ""NR"", I4560))"),"TV-14")</f>
        <v>TV-14</v>
      </c>
      <c r="R4560" s="5" t="str">
        <f t="shared" si="2"/>
        <v>Agyaat</v>
      </c>
      <c r="S4560" s="5" t="str">
        <f>IFERROR(__xludf.DUMMYFUNCTION("""COMPUTED_VALUE"""),"Mi Obra Maestra")</f>
        <v>Mi Obra Maestra</v>
      </c>
      <c r="V4560" s="5"/>
      <c r="Y4560" s="5" t="str">
        <f>IFERROR(__xludf.DUMMYFUNCTION("REGEXEXTRACT(J4560, ""^\d+"")"),"97")</f>
        <v>97</v>
      </c>
      <c r="Z4560" s="5" t="str">
        <f>IFERROR(__xludf.DUMMYFUNCTION("REGEXEXTRACT(J4560, ""[A-Za-z ]+$"")")," min")</f>
        <v> min</v>
      </c>
      <c r="AA4560" s="5" t="str">
        <f>IFERROR(__xludf.DUMMYFUNCTION("IF(REGEXMATCH(Z4560, ""Season""), ""TV Show"", ""Movie"")"),"Movie")</f>
        <v>Movie</v>
      </c>
    </row>
    <row r="4561">
      <c r="A4561" s="1" t="s">
        <v>24211</v>
      </c>
      <c r="B4561" s="1" t="s">
        <v>27</v>
      </c>
      <c r="C4561" s="1" t="s">
        <v>24212</v>
      </c>
      <c r="D4561" s="1" t="s">
        <v>16455</v>
      </c>
      <c r="E4561" s="1" t="s">
        <v>24213</v>
      </c>
      <c r="F4561" s="1" t="s">
        <v>63</v>
      </c>
      <c r="G4561" s="1" t="s">
        <v>24201</v>
      </c>
      <c r="H4561" s="1">
        <v>2014.0</v>
      </c>
      <c r="I4561" s="1" t="s">
        <v>97</v>
      </c>
      <c r="J4561" s="1" t="s">
        <v>11162</v>
      </c>
      <c r="K4561" s="1" t="s">
        <v>306</v>
      </c>
      <c r="L4561" s="1" t="s">
        <v>24214</v>
      </c>
      <c r="M4561" s="2" t="s">
        <v>12</v>
      </c>
      <c r="N4561" s="4">
        <f t="shared" si="1"/>
        <v>43374</v>
      </c>
      <c r="O4561" s="5" t="str">
        <f>IFERROR(__xludf.DUMMYFUNCTION("IF(REGEXMATCH(TRIM(I4561), ""^\d+\s*min""), ""Unclassified"", IF(I4561 = """", ""NR"", I4561))"),"TV-14")</f>
        <v>TV-14</v>
      </c>
      <c r="R4561" s="5" t="str">
        <f t="shared" si="2"/>
        <v>Anjaan</v>
      </c>
      <c r="S4561" s="5" t="str">
        <f>IFERROR(__xludf.DUMMYFUNCTION("""COMPUTED_VALUE"""),"Mi Shivajiraje Bhosale Boltoy")</f>
        <v>Mi Shivajiraje Bhosale Boltoy</v>
      </c>
      <c r="V4561" s="5"/>
      <c r="Y4561" s="5" t="str">
        <f>IFERROR(__xludf.DUMMYFUNCTION("REGEXEXTRACT(J4561, ""^\d+"")"),"146")</f>
        <v>146</v>
      </c>
      <c r="Z4561" s="5" t="str">
        <f>IFERROR(__xludf.DUMMYFUNCTION("REGEXEXTRACT(J4561, ""[A-Za-z ]+$"")")," min")</f>
        <v> min</v>
      </c>
      <c r="AA4561" s="5" t="str">
        <f>IFERROR(__xludf.DUMMYFUNCTION("IF(REGEXMATCH(Z4561, ""Season""), ""TV Show"", ""Movie"")"),"Movie")</f>
        <v>Movie</v>
      </c>
    </row>
    <row r="4562">
      <c r="A4562" s="1" t="s">
        <v>24215</v>
      </c>
      <c r="B4562" s="1" t="s">
        <v>27</v>
      </c>
      <c r="C4562" s="1" t="s">
        <v>24216</v>
      </c>
      <c r="D4562" s="1" t="s">
        <v>6276</v>
      </c>
      <c r="E4562" s="1" t="s">
        <v>24217</v>
      </c>
      <c r="F4562" s="1" t="s">
        <v>63</v>
      </c>
      <c r="G4562" s="1" t="s">
        <v>24201</v>
      </c>
      <c r="H4562" s="1">
        <v>2016.0</v>
      </c>
      <c r="I4562" s="1" t="s">
        <v>97</v>
      </c>
      <c r="J4562" s="1" t="s">
        <v>870</v>
      </c>
      <c r="K4562" s="1" t="s">
        <v>5099</v>
      </c>
      <c r="L4562" s="1" t="s">
        <v>24218</v>
      </c>
      <c r="M4562" s="2" t="s">
        <v>12</v>
      </c>
      <c r="N4562" s="4">
        <f t="shared" si="1"/>
        <v>43374</v>
      </c>
      <c r="O4562" s="5" t="str">
        <f>IFERROR(__xludf.DUMMYFUNCTION("IF(REGEXMATCH(TRIM(I4562), ""^\d+\s*min""), ""Unclassified"", IF(I4562 = """", ""NR"", I4562))"),"TV-14")</f>
        <v>TV-14</v>
      </c>
      <c r="R4562" s="5" t="str">
        <f t="shared" si="2"/>
        <v>Bathinda Express</v>
      </c>
      <c r="S4562" s="5" t="str">
        <f>IFERROR(__xludf.DUMMYFUNCTION("""COMPUTED_VALUE"""),"Mi-5")</f>
        <v>Mi-5</v>
      </c>
      <c r="V4562" s="5"/>
      <c r="Y4562" s="5" t="str">
        <f>IFERROR(__xludf.DUMMYFUNCTION("REGEXEXTRACT(J4562, ""^\d+"")"),"118")</f>
        <v>118</v>
      </c>
      <c r="Z4562" s="5" t="str">
        <f>IFERROR(__xludf.DUMMYFUNCTION("REGEXEXTRACT(J4562, ""[A-Za-z ]+$"")")," min")</f>
        <v> min</v>
      </c>
      <c r="AA4562" s="5" t="str">
        <f>IFERROR(__xludf.DUMMYFUNCTION("IF(REGEXMATCH(Z4562, ""Season""), ""TV Show"", ""Movie"")"),"Movie")</f>
        <v>Movie</v>
      </c>
    </row>
    <row r="4563">
      <c r="A4563" s="1" t="s">
        <v>24219</v>
      </c>
      <c r="B4563" s="1" t="s">
        <v>27</v>
      </c>
      <c r="C4563" s="1" t="s">
        <v>24220</v>
      </c>
      <c r="D4563" s="1" t="s">
        <v>18740</v>
      </c>
      <c r="E4563" s="1" t="s">
        <v>24221</v>
      </c>
      <c r="F4563" s="1" t="s">
        <v>63</v>
      </c>
      <c r="G4563" s="1" t="s">
        <v>24201</v>
      </c>
      <c r="H4563" s="1">
        <v>2009.0</v>
      </c>
      <c r="I4563" s="1" t="s">
        <v>97</v>
      </c>
      <c r="J4563" s="1" t="s">
        <v>757</v>
      </c>
      <c r="K4563" s="1" t="s">
        <v>128</v>
      </c>
      <c r="L4563" s="1" t="s">
        <v>24222</v>
      </c>
      <c r="M4563" s="2" t="s">
        <v>12</v>
      </c>
      <c r="N4563" s="4">
        <f t="shared" si="1"/>
        <v>43374</v>
      </c>
      <c r="O4563" s="5" t="str">
        <f>IFERROR(__xludf.DUMMYFUNCTION("IF(REGEXMATCH(TRIM(I4563), ""^\d+\s*min""), ""Unclassified"", IF(I4563 = """", ""NR"", I4563))"),"TV-14")</f>
        <v>TV-14</v>
      </c>
      <c r="R4563" s="5" t="str">
        <f t="shared" si="2"/>
        <v>Delhi 6</v>
      </c>
      <c r="S4563" s="5" t="str">
        <f>IFERROR(__xludf.DUMMYFUNCTION("""COMPUTED_VALUE"""),"Mia And Me")</f>
        <v>Mia And Me</v>
      </c>
      <c r="V4563" s="5"/>
      <c r="Y4563" s="5" t="str">
        <f>IFERROR(__xludf.DUMMYFUNCTION("REGEXEXTRACT(J4563, ""^\d+"")"),"128")</f>
        <v>128</v>
      </c>
      <c r="Z4563" s="5" t="str">
        <f>IFERROR(__xludf.DUMMYFUNCTION("REGEXEXTRACT(J4563, ""[A-Za-z ]+$"")")," min")</f>
        <v> min</v>
      </c>
      <c r="AA4563" s="5" t="str">
        <f>IFERROR(__xludf.DUMMYFUNCTION("IF(REGEXMATCH(Z4563, ""Season""), ""TV Show"", ""Movie"")"),"Movie")</f>
        <v>Movie</v>
      </c>
    </row>
    <row r="4564">
      <c r="A4564" s="1" t="s">
        <v>24223</v>
      </c>
      <c r="B4564" s="1" t="s">
        <v>27</v>
      </c>
      <c r="C4564" s="1" t="s">
        <v>24224</v>
      </c>
      <c r="D4564" s="1" t="s">
        <v>2398</v>
      </c>
      <c r="E4564" s="1" t="s">
        <v>24225</v>
      </c>
      <c r="F4564" s="1" t="s">
        <v>63</v>
      </c>
      <c r="G4564" s="1" t="s">
        <v>24201</v>
      </c>
      <c r="H4564" s="1">
        <v>2009.0</v>
      </c>
      <c r="I4564" s="1" t="s">
        <v>42</v>
      </c>
      <c r="J4564" s="1" t="s">
        <v>4242</v>
      </c>
      <c r="K4564" s="1" t="s">
        <v>679</v>
      </c>
      <c r="L4564" s="1" t="s">
        <v>24226</v>
      </c>
      <c r="M4564" s="2" t="s">
        <v>12</v>
      </c>
      <c r="N4564" s="4">
        <f t="shared" si="1"/>
        <v>43374</v>
      </c>
      <c r="O4564" s="5" t="str">
        <f>IFERROR(__xludf.DUMMYFUNCTION("IF(REGEXMATCH(TRIM(I4564), ""^\d+\s*min""), ""Unclassified"", IF(I4564 = """", ""NR"", I4564))"),"TV-MA")</f>
        <v>TV-MA</v>
      </c>
      <c r="R4564" s="5" t="str">
        <f t="shared" si="2"/>
        <v>Dev.D</v>
      </c>
      <c r="S4564" s="5" t="str">
        <f>IFERROR(__xludf.DUMMYFUNCTION("""COMPUTED_VALUE"""),"Michael")</f>
        <v>Michael</v>
      </c>
      <c r="V4564" s="5"/>
      <c r="Y4564" s="5" t="str">
        <f>IFERROR(__xludf.DUMMYFUNCTION("REGEXEXTRACT(J4564, ""^\d+"")"),"137")</f>
        <v>137</v>
      </c>
      <c r="Z4564" s="5" t="str">
        <f>IFERROR(__xludf.DUMMYFUNCTION("REGEXEXTRACT(J4564, ""[A-Za-z ]+$"")")," min")</f>
        <v> min</v>
      </c>
      <c r="AA4564" s="5" t="str">
        <f>IFERROR(__xludf.DUMMYFUNCTION("IF(REGEXMATCH(Z4564, ""Season""), ""TV Show"", ""Movie"")"),"Movie")</f>
        <v>Movie</v>
      </c>
    </row>
    <row r="4565">
      <c r="A4565" s="1" t="s">
        <v>24227</v>
      </c>
      <c r="B4565" s="1" t="s">
        <v>27</v>
      </c>
      <c r="C4565" s="1" t="s">
        <v>24228</v>
      </c>
      <c r="D4565" s="1" t="s">
        <v>14464</v>
      </c>
      <c r="E4565" s="1" t="s">
        <v>24229</v>
      </c>
      <c r="F4565" s="1" t="s">
        <v>63</v>
      </c>
      <c r="G4565" s="1" t="s">
        <v>24201</v>
      </c>
      <c r="H4565" s="1">
        <v>2014.0</v>
      </c>
      <c r="I4565" s="1" t="s">
        <v>136</v>
      </c>
      <c r="J4565" s="1" t="s">
        <v>582</v>
      </c>
      <c r="K4565" s="1" t="s">
        <v>4053</v>
      </c>
      <c r="L4565" s="1" t="s">
        <v>24230</v>
      </c>
      <c r="M4565" s="2" t="s">
        <v>12</v>
      </c>
      <c r="N4565" s="4">
        <f t="shared" si="1"/>
        <v>43374</v>
      </c>
      <c r="O4565" s="5" t="str">
        <f>IFERROR(__xludf.DUMMYFUNCTION("IF(REGEXMATCH(TRIM(I4565), ""^\d+\s*min""), ""Unclassified"", IF(I4565 = """", ""NR"", I4565))"),"TV-PG")</f>
        <v>TV-PG</v>
      </c>
      <c r="R4565" s="5" t="str">
        <f t="shared" si="2"/>
        <v>Dil Vil Pyaar Vyaar</v>
      </c>
      <c r="S4565" s="5" t="str">
        <f>IFERROR(__xludf.DUMMYFUNCTION("""COMPUTED_VALUE"""),"Michael Bolton'S Big, Sexy Valentine'S Day Special")</f>
        <v>Michael Bolton'S Big, Sexy Valentine'S Day Special</v>
      </c>
      <c r="V4565" s="5"/>
      <c r="Y4565" s="5" t="str">
        <f>IFERROR(__xludf.DUMMYFUNCTION("REGEXEXTRACT(J4565, ""^\d+"")"),"145")</f>
        <v>145</v>
      </c>
      <c r="Z4565" s="5" t="str">
        <f>IFERROR(__xludf.DUMMYFUNCTION("REGEXEXTRACT(J4565, ""[A-Za-z ]+$"")")," min")</f>
        <v> min</v>
      </c>
      <c r="AA4565" s="5" t="str">
        <f>IFERROR(__xludf.DUMMYFUNCTION("IF(REGEXMATCH(Z4565, ""Season""), ""TV Show"", ""Movie"")"),"Movie")</f>
        <v>Movie</v>
      </c>
    </row>
    <row r="4566">
      <c r="A4566" s="1" t="s">
        <v>24231</v>
      </c>
      <c r="B4566" s="1" t="s">
        <v>27</v>
      </c>
      <c r="C4566" s="1" t="s">
        <v>24232</v>
      </c>
      <c r="D4566" s="1" t="s">
        <v>20855</v>
      </c>
      <c r="E4566" s="1" t="s">
        <v>24233</v>
      </c>
      <c r="G4566" s="1" t="s">
        <v>24201</v>
      </c>
      <c r="H4566" s="1">
        <v>2017.0</v>
      </c>
      <c r="I4566" s="1" t="s">
        <v>97</v>
      </c>
      <c r="J4566" s="1" t="s">
        <v>2274</v>
      </c>
      <c r="K4566" s="1" t="s">
        <v>128</v>
      </c>
      <c r="L4566" s="1" t="s">
        <v>24234</v>
      </c>
      <c r="M4566" s="2" t="s">
        <v>12</v>
      </c>
      <c r="N4566" s="4">
        <f t="shared" si="1"/>
        <v>43374</v>
      </c>
      <c r="O4566" s="5" t="str">
        <f>IFERROR(__xludf.DUMMYFUNCTION("IF(REGEXMATCH(TRIM(I4566), ""^\d+\s*min""), ""Unclassified"", IF(I4566 = """", ""NR"", I4566))"),"TV-14")</f>
        <v>TV-14</v>
      </c>
      <c r="R4566" s="5" t="str">
        <f t="shared" si="2"/>
        <v>Dushman</v>
      </c>
      <c r="S4566" s="5" t="str">
        <f>IFERROR(__xludf.DUMMYFUNCTION("""COMPUTED_VALUE"""),"Michael Che Matters")</f>
        <v>Michael Che Matters</v>
      </c>
      <c r="V4566" s="5"/>
      <c r="Y4566" s="5" t="str">
        <f>IFERROR(__xludf.DUMMYFUNCTION("REGEXEXTRACT(J4566, ""^\d+"")"),"141")</f>
        <v>141</v>
      </c>
      <c r="Z4566" s="5" t="str">
        <f>IFERROR(__xludf.DUMMYFUNCTION("REGEXEXTRACT(J4566, ""[A-Za-z ]+$"")")," min")</f>
        <v> min</v>
      </c>
      <c r="AA4566" s="5" t="str">
        <f>IFERROR(__xludf.DUMMYFUNCTION("IF(REGEXMATCH(Z4566, ""Season""), ""TV Show"", ""Movie"")"),"Movie")</f>
        <v>Movie</v>
      </c>
    </row>
    <row r="4567">
      <c r="A4567" s="1" t="s">
        <v>24235</v>
      </c>
      <c r="B4567" s="1" t="s">
        <v>27</v>
      </c>
      <c r="C4567" s="1" t="s">
        <v>24236</v>
      </c>
      <c r="D4567" s="1" t="s">
        <v>15310</v>
      </c>
      <c r="E4567" s="1" t="s">
        <v>24237</v>
      </c>
      <c r="F4567" s="1" t="s">
        <v>63</v>
      </c>
      <c r="G4567" s="1" t="s">
        <v>24201</v>
      </c>
      <c r="H4567" s="1">
        <v>2012.0</v>
      </c>
      <c r="I4567" s="1" t="s">
        <v>97</v>
      </c>
      <c r="J4567" s="1" t="s">
        <v>256</v>
      </c>
      <c r="K4567" s="1" t="s">
        <v>215</v>
      </c>
      <c r="L4567" s="1" t="s">
        <v>24238</v>
      </c>
      <c r="M4567" s="2" t="s">
        <v>12</v>
      </c>
      <c r="N4567" s="4">
        <f t="shared" si="1"/>
        <v>43374</v>
      </c>
      <c r="O4567" s="5" t="str">
        <f>IFERROR(__xludf.DUMMYFUNCTION("IF(REGEXMATCH(TRIM(I4567), ""^\d+\s*min""), ""Unclassified"", IF(I4567 = """", ""NR"", I4567))"),"TV-14")</f>
        <v>TV-14</v>
      </c>
      <c r="R4567" s="5" t="str">
        <f t="shared" si="2"/>
        <v>Ek Main Aur Ekk Tu</v>
      </c>
      <c r="S4567" s="5" t="str">
        <f>IFERROR(__xludf.DUMMYFUNCTION("""COMPUTED_VALUE"""),"Michael Lost And Found")</f>
        <v>Michael Lost And Found</v>
      </c>
      <c r="V4567" s="5"/>
      <c r="Y4567" s="5" t="str">
        <f>IFERROR(__xludf.DUMMYFUNCTION("REGEXEXTRACT(J4567, ""^\d+"")"),"106")</f>
        <v>106</v>
      </c>
      <c r="Z4567" s="5" t="str">
        <f>IFERROR(__xludf.DUMMYFUNCTION("REGEXEXTRACT(J4567, ""[A-Za-z ]+$"")")," min")</f>
        <v> min</v>
      </c>
      <c r="AA4567" s="5" t="str">
        <f>IFERROR(__xludf.DUMMYFUNCTION("IF(REGEXMATCH(Z4567, ""Season""), ""TV Show"", ""Movie"")"),"Movie")</f>
        <v>Movie</v>
      </c>
    </row>
    <row r="4568">
      <c r="A4568" s="1" t="s">
        <v>24239</v>
      </c>
      <c r="B4568" s="1" t="s">
        <v>27</v>
      </c>
      <c r="C4568" s="1" t="s">
        <v>24240</v>
      </c>
      <c r="D4568" s="1" t="s">
        <v>22583</v>
      </c>
      <c r="E4568" s="1" t="s">
        <v>24241</v>
      </c>
      <c r="G4568" s="1" t="s">
        <v>24201</v>
      </c>
      <c r="H4568" s="1">
        <v>2018.0</v>
      </c>
      <c r="I4568" s="1" t="s">
        <v>42</v>
      </c>
      <c r="J4568" s="1" t="s">
        <v>1369</v>
      </c>
      <c r="K4568" s="1" t="s">
        <v>89</v>
      </c>
      <c r="L4568" s="1" t="s">
        <v>24242</v>
      </c>
      <c r="M4568" s="2" t="s">
        <v>12</v>
      </c>
      <c r="N4568" s="4">
        <f t="shared" si="1"/>
        <v>43374</v>
      </c>
      <c r="O4568" s="5" t="str">
        <f>IFERROR(__xludf.DUMMYFUNCTION("IF(REGEXMATCH(TRIM(I4568), ""^\d+\s*min""), ""Unclassified"", IF(I4568 = """", ""NR"", I4568))"),"TV-MA")</f>
        <v>TV-MA</v>
      </c>
      <c r="R4568" s="5" t="str">
        <f t="shared" si="2"/>
        <v>Freedom At Midnight</v>
      </c>
      <c r="S4568" s="5" t="str">
        <f>IFERROR(__xludf.DUMMYFUNCTION("""COMPUTED_VALUE"""),"Michael Mcintyre: Showman")</f>
        <v>Michael Mcintyre: Showman</v>
      </c>
      <c r="V4568" s="5"/>
      <c r="Y4568" s="5" t="str">
        <f>IFERROR(__xludf.DUMMYFUNCTION("REGEXEXTRACT(J4568, ""^\d+"")"),"135")</f>
        <v>135</v>
      </c>
      <c r="Z4568" s="5" t="str">
        <f>IFERROR(__xludf.DUMMYFUNCTION("REGEXEXTRACT(J4568, ""[A-Za-z ]+$"")")," min")</f>
        <v> min</v>
      </c>
      <c r="AA4568" s="5" t="str">
        <f>IFERROR(__xludf.DUMMYFUNCTION("IF(REGEXMATCH(Z4568, ""Season""), ""TV Show"", ""Movie"")"),"Movie")</f>
        <v>Movie</v>
      </c>
    </row>
    <row r="4569">
      <c r="A4569" s="1" t="s">
        <v>24243</v>
      </c>
      <c r="B4569" s="1" t="s">
        <v>27</v>
      </c>
      <c r="C4569" s="1" t="s">
        <v>24244</v>
      </c>
      <c r="D4569" s="1" t="s">
        <v>1618</v>
      </c>
      <c r="E4569" s="1" t="s">
        <v>24245</v>
      </c>
      <c r="F4569" s="1" t="s">
        <v>63</v>
      </c>
      <c r="G4569" s="1" t="s">
        <v>24201</v>
      </c>
      <c r="H4569" s="1">
        <v>2013.0</v>
      </c>
      <c r="I4569" s="1" t="s">
        <v>97</v>
      </c>
      <c r="J4569" s="1" t="s">
        <v>4242</v>
      </c>
      <c r="K4569" s="1" t="s">
        <v>1429</v>
      </c>
      <c r="L4569" s="1" t="s">
        <v>24246</v>
      </c>
      <c r="M4569" s="2" t="s">
        <v>12</v>
      </c>
      <c r="N4569" s="4">
        <f t="shared" si="1"/>
        <v>43374</v>
      </c>
      <c r="O4569" s="5" t="str">
        <f>IFERROR(__xludf.DUMMYFUNCTION("IF(REGEXMATCH(TRIM(I4569), ""^\d+\s*min""), ""Unclassified"", IF(I4569 = """", ""NR"", I4569))"),"TV-14")</f>
        <v>TV-14</v>
      </c>
      <c r="R4569" s="5" t="str">
        <f t="shared" si="2"/>
        <v>Haani</v>
      </c>
      <c r="S4569" s="5" t="str">
        <f>IFERROR(__xludf.DUMMYFUNCTION("""COMPUTED_VALUE"""),"Michelle Buteau: Welcome To Buteaupia")</f>
        <v>Michelle Buteau: Welcome To Buteaupia</v>
      </c>
      <c r="V4569" s="5"/>
      <c r="Y4569" s="5" t="str">
        <f>IFERROR(__xludf.DUMMYFUNCTION("REGEXEXTRACT(J4569, ""^\d+"")"),"137")</f>
        <v>137</v>
      </c>
      <c r="Z4569" s="5" t="str">
        <f>IFERROR(__xludf.DUMMYFUNCTION("REGEXEXTRACT(J4569, ""[A-Za-z ]+$"")")," min")</f>
        <v> min</v>
      </c>
      <c r="AA4569" s="5" t="str">
        <f>IFERROR(__xludf.DUMMYFUNCTION("IF(REGEXMATCH(Z4569, ""Season""), ""TV Show"", ""Movie"")"),"Movie")</f>
        <v>Movie</v>
      </c>
    </row>
    <row r="4570">
      <c r="A4570" s="1" t="s">
        <v>24247</v>
      </c>
      <c r="B4570" s="1" t="s">
        <v>27</v>
      </c>
      <c r="C4570" s="1" t="s">
        <v>24248</v>
      </c>
      <c r="D4570" s="1" t="s">
        <v>1564</v>
      </c>
      <c r="E4570" s="1" t="s">
        <v>24249</v>
      </c>
      <c r="F4570" s="1" t="s">
        <v>63</v>
      </c>
      <c r="G4570" s="1" t="s">
        <v>24201</v>
      </c>
      <c r="H4570" s="1">
        <v>2014.0</v>
      </c>
      <c r="I4570" s="1" t="s">
        <v>97</v>
      </c>
      <c r="J4570" s="1" t="s">
        <v>1273</v>
      </c>
      <c r="K4570" s="1" t="s">
        <v>230</v>
      </c>
      <c r="L4570" s="1" t="s">
        <v>24250</v>
      </c>
      <c r="M4570" s="2" t="s">
        <v>12</v>
      </c>
      <c r="N4570" s="4">
        <f t="shared" si="1"/>
        <v>43374</v>
      </c>
      <c r="O4570" s="5" t="str">
        <f>IFERROR(__xludf.DUMMYFUNCTION("IF(REGEXMATCH(TRIM(I4570), ""^\d+\s*min""), ""Unclassified"", IF(I4570 = """", ""NR"", I4570))"),"TV-14")</f>
        <v>TV-14</v>
      </c>
      <c r="R4570" s="5" t="str">
        <f t="shared" si="2"/>
        <v>Happy Go Lucky</v>
      </c>
      <c r="S4570" s="5" t="str">
        <f>IFERROR(__xludf.DUMMYFUNCTION("""COMPUTED_VALUE"""),"Michelle Wolf: Joke Show")</f>
        <v>Michelle Wolf: Joke Show</v>
      </c>
      <c r="V4570" s="5"/>
      <c r="Y4570" s="5" t="str">
        <f>IFERROR(__xludf.DUMMYFUNCTION("REGEXEXTRACT(J4570, ""^\d+"")"),"129")</f>
        <v>129</v>
      </c>
      <c r="Z4570" s="5" t="str">
        <f>IFERROR(__xludf.DUMMYFUNCTION("REGEXEXTRACT(J4570, ""[A-Za-z ]+$"")")," min")</f>
        <v> min</v>
      </c>
      <c r="AA4570" s="5" t="str">
        <f>IFERROR(__xludf.DUMMYFUNCTION("IF(REGEXMATCH(Z4570, ""Season""), ""TV Show"", ""Movie"")"),"Movie")</f>
        <v>Movie</v>
      </c>
    </row>
    <row r="4571">
      <c r="A4571" s="1" t="s">
        <v>24251</v>
      </c>
      <c r="B4571" s="1" t="s">
        <v>27</v>
      </c>
      <c r="C4571" s="1" t="s">
        <v>24252</v>
      </c>
      <c r="D4571" s="1" t="s">
        <v>17560</v>
      </c>
      <c r="E4571" s="1" t="s">
        <v>24253</v>
      </c>
      <c r="F4571" s="1" t="s">
        <v>63</v>
      </c>
      <c r="G4571" s="1" t="s">
        <v>24201</v>
      </c>
      <c r="H4571" s="1">
        <v>2009.0</v>
      </c>
      <c r="I4571" s="1" t="s">
        <v>136</v>
      </c>
      <c r="J4571" s="1" t="s">
        <v>416</v>
      </c>
      <c r="K4571" s="1" t="s">
        <v>128</v>
      </c>
      <c r="L4571" s="1" t="s">
        <v>24254</v>
      </c>
      <c r="M4571" s="2" t="s">
        <v>12</v>
      </c>
      <c r="N4571" s="4">
        <f t="shared" si="1"/>
        <v>43374</v>
      </c>
      <c r="O4571" s="5" t="str">
        <f>IFERROR(__xludf.DUMMYFUNCTION("IF(REGEXMATCH(TRIM(I4571), ""^\d+\s*min""), ""Unclassified"", IF(I4571 = """", ""NR"", I4571))"),"TV-PG")</f>
        <v>TV-PG</v>
      </c>
      <c r="R4571" s="5" t="str">
        <f t="shared" si="2"/>
        <v>Harishchandrachi Factory</v>
      </c>
      <c r="S4571" s="5" t="str">
        <f>IFERROR(__xludf.DUMMYFUNCTION("""COMPUTED_VALUE"""),"Middle Men")</f>
        <v>Middle Men</v>
      </c>
      <c r="V4571" s="5"/>
      <c r="Y4571" s="5" t="str">
        <f>IFERROR(__xludf.DUMMYFUNCTION("REGEXEXTRACT(J4571, ""^\d+"")"),"99")</f>
        <v>99</v>
      </c>
      <c r="Z4571" s="5" t="str">
        <f>IFERROR(__xludf.DUMMYFUNCTION("REGEXEXTRACT(J4571, ""[A-Za-z ]+$"")")," min")</f>
        <v> min</v>
      </c>
      <c r="AA4571" s="5" t="str">
        <f>IFERROR(__xludf.DUMMYFUNCTION("IF(REGEXMATCH(Z4571, ""Season""), ""TV Show"", ""Movie"")"),"Movie")</f>
        <v>Movie</v>
      </c>
    </row>
    <row r="4572">
      <c r="A4572" s="1" t="s">
        <v>24255</v>
      </c>
      <c r="B4572" s="1" t="s">
        <v>37</v>
      </c>
      <c r="C4572" s="1" t="s">
        <v>24256</v>
      </c>
      <c r="E4572" s="1" t="s">
        <v>24257</v>
      </c>
      <c r="F4572" s="1" t="s">
        <v>30</v>
      </c>
      <c r="G4572" s="1" t="s">
        <v>24201</v>
      </c>
      <c r="H4572" s="1">
        <v>2018.0</v>
      </c>
      <c r="I4572" s="1" t="s">
        <v>42</v>
      </c>
      <c r="J4572" s="1" t="s">
        <v>51</v>
      </c>
      <c r="K4572" s="1" t="s">
        <v>21205</v>
      </c>
      <c r="L4572" s="1" t="s">
        <v>24258</v>
      </c>
      <c r="M4572" s="2" t="s">
        <v>12</v>
      </c>
      <c r="N4572" s="4">
        <f t="shared" si="1"/>
        <v>43374</v>
      </c>
      <c r="O4572" s="5" t="str">
        <f>IFERROR(__xludf.DUMMYFUNCTION("IF(REGEXMATCH(TRIM(I4572), ""^\d+\s*min""), ""Unclassified"", IF(I4572 = """", ""NR"", I4572))"),"TV-MA")</f>
        <v>TV-MA</v>
      </c>
      <c r="R4572" s="5" t="str">
        <f t="shared" si="2"/>
        <v>Hot Date</v>
      </c>
      <c r="S4572" s="5" t="str">
        <f>IFERROR(__xludf.DUMMYFUNCTION("""COMPUTED_VALUE"""),"Middle Of Nowhere")</f>
        <v>Middle Of Nowhere</v>
      </c>
      <c r="V4572" s="5"/>
      <c r="Y4572" s="5" t="str">
        <f>IFERROR(__xludf.DUMMYFUNCTION("REGEXEXTRACT(J4572, ""^\d+"")"),"1")</f>
        <v>1</v>
      </c>
      <c r="Z4572" s="5" t="str">
        <f>IFERROR(__xludf.DUMMYFUNCTION("REGEXEXTRACT(J4572, ""[A-Za-z ]+$"")")," Season")</f>
        <v> Season</v>
      </c>
      <c r="AA4572" s="5" t="str">
        <f>IFERROR(__xludf.DUMMYFUNCTION("IF(REGEXMATCH(Z4572, ""Season""), ""TV Show"", ""Movie"")"),"TV Show")</f>
        <v>TV Show</v>
      </c>
    </row>
    <row r="4573">
      <c r="A4573" s="1" t="s">
        <v>24259</v>
      </c>
      <c r="B4573" s="1" t="s">
        <v>27</v>
      </c>
      <c r="C4573" s="1" t="s">
        <v>24260</v>
      </c>
      <c r="D4573" s="1" t="s">
        <v>2394</v>
      </c>
      <c r="E4573" s="1" t="s">
        <v>24261</v>
      </c>
      <c r="F4573" s="1" t="s">
        <v>63</v>
      </c>
      <c r="G4573" s="1" t="s">
        <v>24201</v>
      </c>
      <c r="H4573" s="1">
        <v>2017.0</v>
      </c>
      <c r="I4573" s="1" t="s">
        <v>97</v>
      </c>
      <c r="J4573" s="1" t="s">
        <v>3511</v>
      </c>
      <c r="K4573" s="1" t="s">
        <v>1328</v>
      </c>
      <c r="L4573" s="1" t="s">
        <v>24262</v>
      </c>
      <c r="M4573" s="2" t="s">
        <v>12</v>
      </c>
      <c r="N4573" s="4">
        <f t="shared" si="1"/>
        <v>43374</v>
      </c>
      <c r="O4573" s="5" t="str">
        <f>IFERROR(__xludf.DUMMYFUNCTION("IF(REGEXMATCH(TRIM(I4573), ""^\d+\s*min""), ""Unclassified"", IF(I4573 = """", ""NR"", I4573))"),"TV-14")</f>
        <v>TV-14</v>
      </c>
      <c r="R4573" s="5" t="str">
        <f t="shared" si="2"/>
        <v>Jagga Jasoos</v>
      </c>
      <c r="S4573" s="5" t="str">
        <f>IFERROR(__xludf.DUMMYFUNCTION("""COMPUTED_VALUE"""),"Middle School: The Worst Years Of My Life")</f>
        <v>Middle School: The Worst Years Of My Life</v>
      </c>
      <c r="V4573" s="5"/>
      <c r="Y4573" s="5" t="str">
        <f>IFERROR(__xludf.DUMMYFUNCTION("REGEXEXTRACT(J4573, ""^\d+"")"),"155")</f>
        <v>155</v>
      </c>
      <c r="Z4573" s="5" t="str">
        <f>IFERROR(__xludf.DUMMYFUNCTION("REGEXEXTRACT(J4573, ""[A-Za-z ]+$"")")," min")</f>
        <v> min</v>
      </c>
      <c r="AA4573" s="5" t="str">
        <f>IFERROR(__xludf.DUMMYFUNCTION("IF(REGEXMATCH(Z4573, ""Season""), ""TV Show"", ""Movie"")"),"Movie")</f>
        <v>Movie</v>
      </c>
    </row>
    <row r="4574">
      <c r="A4574" s="1" t="s">
        <v>24263</v>
      </c>
      <c r="B4574" s="1" t="s">
        <v>27</v>
      </c>
      <c r="C4574" s="1" t="s">
        <v>24264</v>
      </c>
      <c r="D4574" s="1" t="s">
        <v>19723</v>
      </c>
      <c r="E4574" s="1" t="s">
        <v>24265</v>
      </c>
      <c r="F4574" s="1" t="s">
        <v>63</v>
      </c>
      <c r="G4574" s="1" t="s">
        <v>24201</v>
      </c>
      <c r="H4574" s="1">
        <v>2014.0</v>
      </c>
      <c r="I4574" s="1" t="s">
        <v>97</v>
      </c>
      <c r="J4574" s="1" t="s">
        <v>950</v>
      </c>
      <c r="K4574" s="1" t="s">
        <v>583</v>
      </c>
      <c r="L4574" s="1" t="s">
        <v>24266</v>
      </c>
      <c r="M4574" s="2" t="s">
        <v>12</v>
      </c>
      <c r="N4574" s="4">
        <f t="shared" si="1"/>
        <v>43374</v>
      </c>
      <c r="O4574" s="5" t="str">
        <f>IFERROR(__xludf.DUMMYFUNCTION("IF(REGEXMATCH(TRIM(I4574), ""^\d+\s*min""), ""Unclassified"", IF(I4574 = """", ""NR"", I4574))"),"TV-14")</f>
        <v>TV-14</v>
      </c>
      <c r="R4574" s="5" t="str">
        <f t="shared" si="2"/>
        <v>Jatt James Bond</v>
      </c>
      <c r="S4574" s="5" t="str">
        <f>IFERROR(__xludf.DUMMYFUNCTION("""COMPUTED_VALUE"""),"Middleditch &amp; Schwartz")</f>
        <v>Middleditch &amp; Schwartz</v>
      </c>
      <c r="V4574" s="5"/>
      <c r="Y4574" s="5" t="str">
        <f>IFERROR(__xludf.DUMMYFUNCTION("REGEXEXTRACT(J4574, ""^\d+"")"),"142")</f>
        <v>142</v>
      </c>
      <c r="Z4574" s="5" t="str">
        <f>IFERROR(__xludf.DUMMYFUNCTION("REGEXEXTRACT(J4574, ""[A-Za-z ]+$"")")," min")</f>
        <v> min</v>
      </c>
      <c r="AA4574" s="5" t="str">
        <f>IFERROR(__xludf.DUMMYFUNCTION("IF(REGEXMATCH(Z4574, ""Season""), ""TV Show"", ""Movie"")"),"Movie")</f>
        <v>Movie</v>
      </c>
    </row>
    <row r="4575">
      <c r="A4575" s="1" t="s">
        <v>24267</v>
      </c>
      <c r="B4575" s="1" t="s">
        <v>27</v>
      </c>
      <c r="C4575" s="1" t="s">
        <v>24268</v>
      </c>
      <c r="D4575" s="1" t="s">
        <v>2642</v>
      </c>
      <c r="E4575" s="1" t="s">
        <v>24269</v>
      </c>
      <c r="F4575" s="1" t="s">
        <v>63</v>
      </c>
      <c r="G4575" s="1" t="s">
        <v>24201</v>
      </c>
      <c r="H4575" s="1">
        <v>2008.0</v>
      </c>
      <c r="I4575" s="1" t="s">
        <v>97</v>
      </c>
      <c r="J4575" s="1" t="s">
        <v>24270</v>
      </c>
      <c r="K4575" s="1" t="s">
        <v>306</v>
      </c>
      <c r="L4575" s="1" t="s">
        <v>24271</v>
      </c>
      <c r="M4575" s="2" t="s">
        <v>12</v>
      </c>
      <c r="N4575" s="4">
        <f t="shared" si="1"/>
        <v>43374</v>
      </c>
      <c r="O4575" s="5" t="str">
        <f>IFERROR(__xludf.DUMMYFUNCTION("IF(REGEXMATCH(TRIM(I4575), ""^\d+\s*min""), ""Unclassified"", IF(I4575 = """", ""NR"", I4575))"),"TV-14")</f>
        <v>TV-14</v>
      </c>
      <c r="R4575" s="5" t="str">
        <f t="shared" si="2"/>
        <v>Jodhaa Akbar</v>
      </c>
      <c r="S4575" s="5" t="str">
        <f>IFERROR(__xludf.DUMMYFUNCTION("""COMPUTED_VALUE"""),"Midnight At The Magnolia")</f>
        <v>Midnight At The Magnolia</v>
      </c>
      <c r="V4575" s="5"/>
      <c r="Y4575" s="5" t="str">
        <f>IFERROR(__xludf.DUMMYFUNCTION("REGEXEXTRACT(J4575, ""^\d+"")"),"214")</f>
        <v>214</v>
      </c>
      <c r="Z4575" s="5" t="str">
        <f>IFERROR(__xludf.DUMMYFUNCTION("REGEXEXTRACT(J4575, ""[A-Za-z ]+$"")")," min")</f>
        <v> min</v>
      </c>
      <c r="AA4575" s="5" t="str">
        <f>IFERROR(__xludf.DUMMYFUNCTION("IF(REGEXMATCH(Z4575, ""Season""), ""TV Show"", ""Movie"")"),"Movie")</f>
        <v>Movie</v>
      </c>
    </row>
    <row r="4576">
      <c r="A4576" s="1" t="s">
        <v>24272</v>
      </c>
      <c r="B4576" s="1" t="s">
        <v>27</v>
      </c>
      <c r="C4576" s="1" t="s">
        <v>24273</v>
      </c>
      <c r="D4576" s="1" t="s">
        <v>2690</v>
      </c>
      <c r="E4576" s="1" t="s">
        <v>24274</v>
      </c>
      <c r="F4576" s="1" t="s">
        <v>63</v>
      </c>
      <c r="G4576" s="1" t="s">
        <v>24201</v>
      </c>
      <c r="H4576" s="1">
        <v>2015.0</v>
      </c>
      <c r="I4576" s="1" t="s">
        <v>136</v>
      </c>
      <c r="J4576" s="1" t="s">
        <v>4242</v>
      </c>
      <c r="K4576" s="1" t="s">
        <v>583</v>
      </c>
      <c r="L4576" s="1" t="s">
        <v>24275</v>
      </c>
      <c r="M4576" s="2" t="s">
        <v>12</v>
      </c>
      <c r="N4576" s="4">
        <f t="shared" si="1"/>
        <v>43374</v>
      </c>
      <c r="O4576" s="5" t="str">
        <f>IFERROR(__xludf.DUMMYFUNCTION("IF(REGEXMATCH(TRIM(I4576), ""^\d+\s*min""), ""Unclassified"", IF(I4576 = """", ""NR"", I4576))"),"TV-PG")</f>
        <v>TV-PG</v>
      </c>
      <c r="R4576" s="5" t="str">
        <f t="shared" si="2"/>
        <v>Judge Singh Llb</v>
      </c>
      <c r="S4576" s="5" t="str">
        <f>IFERROR(__xludf.DUMMYFUNCTION("""COMPUTED_VALUE"""),"Midnight Diner")</f>
        <v>Midnight Diner</v>
      </c>
      <c r="V4576" s="5"/>
      <c r="Y4576" s="5" t="str">
        <f>IFERROR(__xludf.DUMMYFUNCTION("REGEXEXTRACT(J4576, ""^\d+"")"),"137")</f>
        <v>137</v>
      </c>
      <c r="Z4576" s="5" t="str">
        <f>IFERROR(__xludf.DUMMYFUNCTION("REGEXEXTRACT(J4576, ""[A-Za-z ]+$"")")," min")</f>
        <v> min</v>
      </c>
      <c r="AA4576" s="5" t="str">
        <f>IFERROR(__xludf.DUMMYFUNCTION("IF(REGEXMATCH(Z4576, ""Season""), ""TV Show"", ""Movie"")"),"Movie")</f>
        <v>Movie</v>
      </c>
    </row>
    <row r="4577">
      <c r="A4577" s="1" t="s">
        <v>24276</v>
      </c>
      <c r="B4577" s="1" t="s">
        <v>27</v>
      </c>
      <c r="C4577" s="1" t="s">
        <v>24277</v>
      </c>
      <c r="D4577" s="1" t="s">
        <v>23395</v>
      </c>
      <c r="E4577" s="1" t="s">
        <v>24278</v>
      </c>
      <c r="F4577" s="1" t="s">
        <v>63</v>
      </c>
      <c r="G4577" s="1" t="s">
        <v>24201</v>
      </c>
      <c r="H4577" s="1">
        <v>2009.0</v>
      </c>
      <c r="I4577" s="1" t="s">
        <v>97</v>
      </c>
      <c r="J4577" s="1" t="s">
        <v>757</v>
      </c>
      <c r="K4577" s="1" t="s">
        <v>1429</v>
      </c>
      <c r="L4577" s="1" t="s">
        <v>24279</v>
      </c>
      <c r="M4577" s="2" t="s">
        <v>12</v>
      </c>
      <c r="N4577" s="4">
        <f t="shared" si="1"/>
        <v>43374</v>
      </c>
      <c r="O4577" s="5" t="str">
        <f>IFERROR(__xludf.DUMMYFUNCTION("IF(REGEXMATCH(TRIM(I4577), ""^\d+\s*min""), ""Unclassified"", IF(I4577 = """", ""NR"", I4577))"),"TV-14")</f>
        <v>TV-14</v>
      </c>
      <c r="R4577" s="5" t="str">
        <f t="shared" si="2"/>
        <v>Kaminey</v>
      </c>
      <c r="S4577" s="5" t="str">
        <f>IFERROR(__xludf.DUMMYFUNCTION("""COMPUTED_VALUE"""),"Midnight Diner: Tokyo Stories")</f>
        <v>Midnight Diner: Tokyo Stories</v>
      </c>
      <c r="V4577" s="5"/>
      <c r="Y4577" s="5" t="str">
        <f>IFERROR(__xludf.DUMMYFUNCTION("REGEXEXTRACT(J4577, ""^\d+"")"),"128")</f>
        <v>128</v>
      </c>
      <c r="Z4577" s="5" t="str">
        <f>IFERROR(__xludf.DUMMYFUNCTION("REGEXEXTRACT(J4577, ""[A-Za-z ]+$"")")," min")</f>
        <v> min</v>
      </c>
      <c r="AA4577" s="5" t="str">
        <f>IFERROR(__xludf.DUMMYFUNCTION("IF(REGEXMATCH(Z4577, ""Season""), ""TV Show"", ""Movie"")"),"Movie")</f>
        <v>Movie</v>
      </c>
    </row>
    <row r="4578">
      <c r="A4578" s="1" t="s">
        <v>24280</v>
      </c>
      <c r="B4578" s="1" t="s">
        <v>27</v>
      </c>
      <c r="C4578" s="1" t="s">
        <v>24281</v>
      </c>
      <c r="D4578" s="1" t="s">
        <v>19723</v>
      </c>
      <c r="E4578" s="1" t="s">
        <v>24282</v>
      </c>
      <c r="F4578" s="1" t="s">
        <v>63</v>
      </c>
      <c r="G4578" s="1" t="s">
        <v>24201</v>
      </c>
      <c r="H4578" s="1">
        <v>2018.0</v>
      </c>
      <c r="I4578" s="1" t="s">
        <v>97</v>
      </c>
      <c r="J4578" s="1" t="s">
        <v>7280</v>
      </c>
      <c r="K4578" s="1" t="s">
        <v>5099</v>
      </c>
      <c r="L4578" s="1" t="s">
        <v>24283</v>
      </c>
      <c r="M4578" s="2" t="s">
        <v>12</v>
      </c>
      <c r="N4578" s="4">
        <f t="shared" si="1"/>
        <v>43374</v>
      </c>
      <c r="O4578" s="5" t="str">
        <f>IFERROR(__xludf.DUMMYFUNCTION("IF(REGEXMATCH(TRIM(I4578), ""^\d+\s*min""), ""Unclassified"", IF(I4578 = """", ""NR"", I4578))"),"TV-14")</f>
        <v>TV-14</v>
      </c>
      <c r="R4578" s="5" t="str">
        <f t="shared" si="2"/>
        <v>Khido Khundi</v>
      </c>
      <c r="S4578" s="5" t="str">
        <f>IFERROR(__xludf.DUMMYFUNCTION("""COMPUTED_VALUE"""),"Midnight Mass")</f>
        <v>Midnight Mass</v>
      </c>
      <c r="V4578" s="5"/>
      <c r="Y4578" s="5" t="str">
        <f>IFERROR(__xludf.DUMMYFUNCTION("REGEXEXTRACT(J4578, ""^\d+"")"),"151")</f>
        <v>151</v>
      </c>
      <c r="Z4578" s="5" t="str">
        <f>IFERROR(__xludf.DUMMYFUNCTION("REGEXEXTRACT(J4578, ""[A-Za-z ]+$"")")," min")</f>
        <v> min</v>
      </c>
      <c r="AA4578" s="5" t="str">
        <f>IFERROR(__xludf.DUMMYFUNCTION("IF(REGEXMATCH(Z4578, ""Season""), ""TV Show"", ""Movie"")"),"Movie")</f>
        <v>Movie</v>
      </c>
    </row>
    <row r="4579">
      <c r="A4579" s="1" t="s">
        <v>24284</v>
      </c>
      <c r="B4579" s="1" t="s">
        <v>27</v>
      </c>
      <c r="C4579" s="1" t="s">
        <v>24285</v>
      </c>
      <c r="D4579" s="1" t="s">
        <v>20956</v>
      </c>
      <c r="E4579" s="1" t="s">
        <v>24286</v>
      </c>
      <c r="F4579" s="1" t="s">
        <v>63</v>
      </c>
      <c r="G4579" s="1" t="s">
        <v>24201</v>
      </c>
      <c r="H4579" s="1">
        <v>2014.0</v>
      </c>
      <c r="I4579" s="1" t="s">
        <v>97</v>
      </c>
      <c r="J4579" s="1" t="s">
        <v>941</v>
      </c>
      <c r="K4579" s="1" t="s">
        <v>215</v>
      </c>
      <c r="L4579" s="1" t="s">
        <v>24287</v>
      </c>
      <c r="M4579" s="2" t="s">
        <v>12</v>
      </c>
      <c r="N4579" s="4">
        <f t="shared" si="1"/>
        <v>43374</v>
      </c>
      <c r="O4579" s="5" t="str">
        <f>IFERROR(__xludf.DUMMYFUNCTION("IF(REGEXMATCH(TRIM(I4579), ""^\d+\s*min""), ""Unclassified"", IF(I4579 = """", ""NR"", I4579))"),"TV-14")</f>
        <v>TV-14</v>
      </c>
      <c r="R4579" s="5" t="str">
        <f t="shared" si="2"/>
        <v>Khoobsurat</v>
      </c>
      <c r="S4579" s="5" t="str">
        <f>IFERROR(__xludf.DUMMYFUNCTION("""COMPUTED_VALUE"""),"Midnight Misadventures With Mallika Dua")</f>
        <v>Midnight Misadventures With Mallika Dua</v>
      </c>
      <c r="V4579" s="5"/>
      <c r="Y4579" s="5" t="str">
        <f>IFERROR(__xludf.DUMMYFUNCTION("REGEXEXTRACT(J4579, ""^\d+"")"),"121")</f>
        <v>121</v>
      </c>
      <c r="Z4579" s="5" t="str">
        <f>IFERROR(__xludf.DUMMYFUNCTION("REGEXEXTRACT(J4579, ""[A-Za-z ]+$"")")," min")</f>
        <v> min</v>
      </c>
      <c r="AA4579" s="5" t="str">
        <f>IFERROR(__xludf.DUMMYFUNCTION("IF(REGEXMATCH(Z4579, ""Season""), ""TV Show"", ""Movie"")"),"Movie")</f>
        <v>Movie</v>
      </c>
    </row>
    <row r="4580">
      <c r="A4580" s="1" t="s">
        <v>24288</v>
      </c>
      <c r="B4580" s="1" t="s">
        <v>27</v>
      </c>
      <c r="C4580" s="1" t="s">
        <v>24289</v>
      </c>
      <c r="D4580" s="1" t="s">
        <v>18437</v>
      </c>
      <c r="E4580" s="1" t="s">
        <v>24290</v>
      </c>
      <c r="F4580" s="1" t="s">
        <v>63</v>
      </c>
      <c r="G4580" s="1" t="s">
        <v>24201</v>
      </c>
      <c r="H4580" s="1">
        <v>2009.0</v>
      </c>
      <c r="I4580" s="1" t="s">
        <v>97</v>
      </c>
      <c r="J4580" s="1" t="s">
        <v>1091</v>
      </c>
      <c r="K4580" s="1" t="s">
        <v>306</v>
      </c>
      <c r="L4580" s="1" t="s">
        <v>24291</v>
      </c>
      <c r="M4580" s="2" t="s">
        <v>12</v>
      </c>
      <c r="N4580" s="4">
        <f t="shared" si="1"/>
        <v>43374</v>
      </c>
      <c r="O4580" s="5" t="str">
        <f>IFERROR(__xludf.DUMMYFUNCTION("IF(REGEXMATCH(TRIM(I4580), ""^\d+\s*min""), ""Unclassified"", IF(I4580 = """", ""NR"", I4580))"),"TV-14")</f>
        <v>TV-14</v>
      </c>
      <c r="R4580" s="5" t="str">
        <f t="shared" si="2"/>
        <v>Kisaan</v>
      </c>
      <c r="S4580" s="5" t="str">
        <f>IFERROR(__xludf.DUMMYFUNCTION("""COMPUTED_VALUE"""),"Midnight Run")</f>
        <v>Midnight Run</v>
      </c>
      <c r="V4580" s="5"/>
      <c r="Y4580" s="5" t="str">
        <f>IFERROR(__xludf.DUMMYFUNCTION("REGEXEXTRACT(J4580, ""^\d+"")"),"101")</f>
        <v>101</v>
      </c>
      <c r="Z4580" s="5" t="str">
        <f>IFERROR(__xludf.DUMMYFUNCTION("REGEXEXTRACT(J4580, ""[A-Za-z ]+$"")")," min")</f>
        <v> min</v>
      </c>
      <c r="AA4580" s="5" t="str">
        <f>IFERROR(__xludf.DUMMYFUNCTION("IF(REGEXMATCH(Z4580, ""Season""), ""TV Show"", ""Movie"")"),"Movie")</f>
        <v>Movie</v>
      </c>
    </row>
    <row r="4581">
      <c r="A4581" s="1" t="s">
        <v>24292</v>
      </c>
      <c r="B4581" s="1" t="s">
        <v>27</v>
      </c>
      <c r="C4581" s="1" t="s">
        <v>24293</v>
      </c>
      <c r="D4581" s="1" t="s">
        <v>2881</v>
      </c>
      <c r="E4581" s="1" t="s">
        <v>24294</v>
      </c>
      <c r="F4581" s="1" t="s">
        <v>63</v>
      </c>
      <c r="G4581" s="1" t="s">
        <v>24201</v>
      </c>
      <c r="H4581" s="1">
        <v>2008.0</v>
      </c>
      <c r="I4581" s="1" t="s">
        <v>97</v>
      </c>
      <c r="J4581" s="1" t="s">
        <v>582</v>
      </c>
      <c r="K4581" s="1" t="s">
        <v>583</v>
      </c>
      <c r="L4581" s="1" t="s">
        <v>24295</v>
      </c>
      <c r="M4581" s="2" t="s">
        <v>12</v>
      </c>
      <c r="N4581" s="4">
        <f t="shared" si="1"/>
        <v>43374</v>
      </c>
      <c r="O4581" s="5" t="str">
        <f>IFERROR(__xludf.DUMMYFUNCTION("IF(REGEXMATCH(TRIM(I4581), ""^\d+\s*min""), ""Unclassified"", IF(I4581 = """", ""NR"", I4581))"),"TV-14")</f>
        <v>TV-14</v>
      </c>
      <c r="R4581" s="5" t="str">
        <f t="shared" si="2"/>
        <v>Kismat Konnection</v>
      </c>
      <c r="S4581" s="5" t="str">
        <f>IFERROR(__xludf.DUMMYFUNCTION("""COMPUTED_VALUE"""),"Midnight Special")</f>
        <v>Midnight Special</v>
      </c>
      <c r="V4581" s="5"/>
      <c r="Y4581" s="5" t="str">
        <f>IFERROR(__xludf.DUMMYFUNCTION("REGEXEXTRACT(J4581, ""^\d+"")"),"145")</f>
        <v>145</v>
      </c>
      <c r="Z4581" s="5" t="str">
        <f>IFERROR(__xludf.DUMMYFUNCTION("REGEXEXTRACT(J4581, ""[A-Za-z ]+$"")")," min")</f>
        <v> min</v>
      </c>
      <c r="AA4581" s="5" t="str">
        <f>IFERROR(__xludf.DUMMYFUNCTION("IF(REGEXMATCH(Z4581, ""Season""), ""TV Show"", ""Movie"")"),"Movie")</f>
        <v>Movie</v>
      </c>
    </row>
    <row r="4582">
      <c r="A4582" s="1" t="s">
        <v>24296</v>
      </c>
      <c r="B4582" s="1" t="s">
        <v>27</v>
      </c>
      <c r="C4582" s="1" t="s">
        <v>24297</v>
      </c>
      <c r="D4582" s="1" t="s">
        <v>15379</v>
      </c>
      <c r="E4582" s="1" t="s">
        <v>24298</v>
      </c>
      <c r="F4582" s="1" t="s">
        <v>63</v>
      </c>
      <c r="G4582" s="1" t="s">
        <v>24201</v>
      </c>
      <c r="H4582" s="1">
        <v>2009.0</v>
      </c>
      <c r="I4582" s="1" t="s">
        <v>97</v>
      </c>
      <c r="J4582" s="1" t="s">
        <v>229</v>
      </c>
      <c r="K4582" s="1" t="s">
        <v>631</v>
      </c>
      <c r="L4582" s="1" t="s">
        <v>24299</v>
      </c>
      <c r="M4582" s="2" t="s">
        <v>12</v>
      </c>
      <c r="N4582" s="4">
        <f t="shared" si="1"/>
        <v>43374</v>
      </c>
      <c r="O4582" s="5" t="str">
        <f>IFERROR(__xludf.DUMMYFUNCTION("IF(REGEXMATCH(TRIM(I4582), ""^\d+\s*min""), ""Unclassified"", IF(I4582 = """", ""NR"", I4582))"),"TV-14")</f>
        <v>TV-14</v>
      </c>
      <c r="R4582" s="5" t="str">
        <f t="shared" si="2"/>
        <v>Kurbaan</v>
      </c>
      <c r="S4582" s="5" t="str">
        <f>IFERROR(__xludf.DUMMYFUNCTION("""COMPUTED_VALUE"""),"Midnight Sun")</f>
        <v>Midnight Sun</v>
      </c>
      <c r="V4582" s="5"/>
      <c r="Y4582" s="5" t="str">
        <f>IFERROR(__xludf.DUMMYFUNCTION("REGEXEXTRACT(J4582, ""^\d+"")"),"147")</f>
        <v>147</v>
      </c>
      <c r="Z4582" s="5" t="str">
        <f>IFERROR(__xludf.DUMMYFUNCTION("REGEXEXTRACT(J4582, ""[A-Za-z ]+$"")")," min")</f>
        <v> min</v>
      </c>
      <c r="AA4582" s="5" t="str">
        <f>IFERROR(__xludf.DUMMYFUNCTION("IF(REGEXMATCH(Z4582, ""Season""), ""TV Show"", ""Movie"")"),"Movie")</f>
        <v>Movie</v>
      </c>
    </row>
    <row r="4583">
      <c r="A4583" s="1" t="s">
        <v>24300</v>
      </c>
      <c r="B4583" s="1" t="s">
        <v>27</v>
      </c>
      <c r="C4583" s="1" t="s">
        <v>24301</v>
      </c>
      <c r="D4583" s="1" t="s">
        <v>11330</v>
      </c>
      <c r="E4583" s="1" t="s">
        <v>24302</v>
      </c>
      <c r="F4583" s="1" t="s">
        <v>63</v>
      </c>
      <c r="G4583" s="1" t="s">
        <v>24201</v>
      </c>
      <c r="H4583" s="1">
        <v>2016.0</v>
      </c>
      <c r="I4583" s="1" t="s">
        <v>97</v>
      </c>
      <c r="J4583" s="1" t="s">
        <v>33</v>
      </c>
      <c r="K4583" s="1" t="s">
        <v>128</v>
      </c>
      <c r="L4583" s="1" t="s">
        <v>24303</v>
      </c>
      <c r="M4583" s="2" t="s">
        <v>12</v>
      </c>
      <c r="N4583" s="4">
        <f t="shared" si="1"/>
        <v>43374</v>
      </c>
      <c r="O4583" s="5" t="str">
        <f>IFERROR(__xludf.DUMMYFUNCTION("IF(REGEXMATCH(TRIM(I4583), ""^\d+\s*min""), ""Unclassified"", IF(I4583 = """", ""NR"", I4583))"),"TV-14")</f>
        <v>TV-14</v>
      </c>
      <c r="R4583" s="5" t="str">
        <f t="shared" si="2"/>
        <v>Lock</v>
      </c>
      <c r="S4583" s="5" t="str">
        <f>IFERROR(__xludf.DUMMYFUNCTION("""COMPUTED_VALUE"""),"Mighty Express")</f>
        <v>Mighty Express</v>
      </c>
      <c r="V4583" s="5"/>
      <c r="Y4583" s="5" t="str">
        <f>IFERROR(__xludf.DUMMYFUNCTION("REGEXEXTRACT(J4583, ""^\d+"")"),"90")</f>
        <v>90</v>
      </c>
      <c r="Z4583" s="5" t="str">
        <f>IFERROR(__xludf.DUMMYFUNCTION("REGEXEXTRACT(J4583, ""[A-Za-z ]+$"")")," min")</f>
        <v> min</v>
      </c>
      <c r="AA4583" s="5" t="str">
        <f>IFERROR(__xludf.DUMMYFUNCTION("IF(REGEXMATCH(Z4583, ""Season""), ""TV Show"", ""Movie"")"),"Movie")</f>
        <v>Movie</v>
      </c>
    </row>
    <row r="4584">
      <c r="A4584" s="1" t="s">
        <v>24304</v>
      </c>
      <c r="B4584" s="1" t="s">
        <v>27</v>
      </c>
      <c r="C4584" s="1" t="s">
        <v>24305</v>
      </c>
      <c r="D4584" s="1" t="s">
        <v>20273</v>
      </c>
      <c r="E4584" s="1" t="s">
        <v>24306</v>
      </c>
      <c r="F4584" s="1" t="s">
        <v>63</v>
      </c>
      <c r="G4584" s="1" t="s">
        <v>24201</v>
      </c>
      <c r="H4584" s="1">
        <v>2012.0</v>
      </c>
      <c r="I4584" s="1" t="s">
        <v>97</v>
      </c>
      <c r="J4584" s="1" t="s">
        <v>1273</v>
      </c>
      <c r="K4584" s="1" t="s">
        <v>215</v>
      </c>
      <c r="L4584" s="1" t="s">
        <v>24307</v>
      </c>
      <c r="M4584" s="2" t="s">
        <v>12</v>
      </c>
      <c r="N4584" s="4">
        <f t="shared" si="1"/>
        <v>43374</v>
      </c>
      <c r="O4584" s="5" t="str">
        <f>IFERROR(__xludf.DUMMYFUNCTION("IF(REGEXMATCH(TRIM(I4584), ""^\d+\s*min""), ""Unclassified"", IF(I4584 = """", ""NR"", I4584))"),"TV-14")</f>
        <v>TV-14</v>
      </c>
      <c r="R4584" s="5" t="str">
        <f t="shared" si="2"/>
        <v>Luv Shuv Tey Chicken Khurana</v>
      </c>
      <c r="S4584" s="5" t="str">
        <f>IFERROR(__xludf.DUMMYFUNCTION("""COMPUTED_VALUE"""),"Mighty Express: A Mighty Christmas")</f>
        <v>Mighty Express: A Mighty Christmas</v>
      </c>
      <c r="V4584" s="5"/>
      <c r="Y4584" s="5" t="str">
        <f>IFERROR(__xludf.DUMMYFUNCTION("REGEXEXTRACT(J4584, ""^\d+"")"),"129")</f>
        <v>129</v>
      </c>
      <c r="Z4584" s="5" t="str">
        <f>IFERROR(__xludf.DUMMYFUNCTION("REGEXEXTRACT(J4584, ""[A-Za-z ]+$"")")," min")</f>
        <v> min</v>
      </c>
      <c r="AA4584" s="5" t="str">
        <f>IFERROR(__xludf.DUMMYFUNCTION("IF(REGEXMATCH(Z4584, ""Season""), ""TV Show"", ""Movie"")"),"Movie")</f>
        <v>Movie</v>
      </c>
    </row>
    <row r="4585">
      <c r="A4585" s="1" t="s">
        <v>24308</v>
      </c>
      <c r="B4585" s="1" t="s">
        <v>27</v>
      </c>
      <c r="C4585" s="1" t="s">
        <v>24309</v>
      </c>
      <c r="D4585" s="1" t="s">
        <v>4365</v>
      </c>
      <c r="E4585" s="1" t="s">
        <v>24310</v>
      </c>
      <c r="F4585" s="1" t="s">
        <v>63</v>
      </c>
      <c r="G4585" s="1" t="s">
        <v>24201</v>
      </c>
      <c r="H4585" s="1">
        <v>2005.0</v>
      </c>
      <c r="I4585" s="1" t="s">
        <v>136</v>
      </c>
      <c r="J4585" s="1" t="s">
        <v>1273</v>
      </c>
      <c r="K4585" s="1" t="s">
        <v>583</v>
      </c>
      <c r="L4585" s="1" t="s">
        <v>24311</v>
      </c>
      <c r="M4585" s="2" t="s">
        <v>12</v>
      </c>
      <c r="N4585" s="4">
        <f t="shared" si="1"/>
        <v>43374</v>
      </c>
      <c r="O4585" s="5" t="str">
        <f>IFERROR(__xludf.DUMMYFUNCTION("IF(REGEXMATCH(TRIM(I4585), ""^\d+\s*min""), ""Unclassified"", IF(I4585 = """", ""NR"", I4585))"),"TV-PG")</f>
        <v>TV-PG</v>
      </c>
      <c r="R4585" s="5" t="str">
        <f t="shared" si="2"/>
        <v>Main, Meri Patni Aur Woh</v>
      </c>
      <c r="S4585" s="5" t="str">
        <f>IFERROR(__xludf.DUMMYFUNCTION("""COMPUTED_VALUE"""),"Mighty Little Bheem")</f>
        <v>Mighty Little Bheem</v>
      </c>
      <c r="V4585" s="5"/>
      <c r="Y4585" s="5" t="str">
        <f>IFERROR(__xludf.DUMMYFUNCTION("REGEXEXTRACT(J4585, ""^\d+"")"),"129")</f>
        <v>129</v>
      </c>
      <c r="Z4585" s="5" t="str">
        <f>IFERROR(__xludf.DUMMYFUNCTION("REGEXEXTRACT(J4585, ""[A-Za-z ]+$"")")," min")</f>
        <v> min</v>
      </c>
      <c r="AA4585" s="5" t="str">
        <f>IFERROR(__xludf.DUMMYFUNCTION("IF(REGEXMATCH(Z4585, ""Season""), ""TV Show"", ""Movie"")"),"Movie")</f>
        <v>Movie</v>
      </c>
    </row>
    <row r="4586">
      <c r="A4586" s="1" t="s">
        <v>24312</v>
      </c>
      <c r="B4586" s="1" t="s">
        <v>27</v>
      </c>
      <c r="C4586" s="1" t="s">
        <v>24313</v>
      </c>
      <c r="D4586" s="1" t="s">
        <v>2928</v>
      </c>
      <c r="E4586" s="1" t="s">
        <v>24314</v>
      </c>
      <c r="F4586" s="1" t="s">
        <v>63</v>
      </c>
      <c r="G4586" s="1" t="s">
        <v>24201</v>
      </c>
      <c r="H4586" s="1">
        <v>2017.0</v>
      </c>
      <c r="I4586" s="1" t="s">
        <v>97</v>
      </c>
      <c r="J4586" s="1" t="s">
        <v>1383</v>
      </c>
      <c r="K4586" s="1" t="s">
        <v>583</v>
      </c>
      <c r="L4586" s="1" t="s">
        <v>24315</v>
      </c>
      <c r="M4586" s="2" t="s">
        <v>12</v>
      </c>
      <c r="N4586" s="4">
        <f t="shared" si="1"/>
        <v>43374</v>
      </c>
      <c r="O4586" s="5" t="str">
        <f>IFERROR(__xludf.DUMMYFUNCTION("IF(REGEXMATCH(TRIM(I4586), ""^\d+\s*min""), ""Unclassified"", IF(I4586 = """", ""NR"", I4586))"),"TV-14")</f>
        <v>TV-14</v>
      </c>
      <c r="R4586" s="5" t="str">
        <f t="shared" si="2"/>
        <v>Manje Bistre</v>
      </c>
      <c r="S4586" s="5" t="str">
        <f>IFERROR(__xludf.DUMMYFUNCTION("""COMPUTED_VALUE"""),"Mighty Little Bheem: Diwali")</f>
        <v>Mighty Little Bheem: Diwali</v>
      </c>
      <c r="V4586" s="5"/>
      <c r="Y4586" s="5" t="str">
        <f>IFERROR(__xludf.DUMMYFUNCTION("REGEXEXTRACT(J4586, ""^\d+"")"),"136")</f>
        <v>136</v>
      </c>
      <c r="Z4586" s="5" t="str">
        <f>IFERROR(__xludf.DUMMYFUNCTION("REGEXEXTRACT(J4586, ""[A-Za-z ]+$"")")," min")</f>
        <v> min</v>
      </c>
      <c r="AA4586" s="5" t="str">
        <f>IFERROR(__xludf.DUMMYFUNCTION("IF(REGEXMATCH(Z4586, ""Season""), ""TV Show"", ""Movie"")"),"Movie")</f>
        <v>Movie</v>
      </c>
    </row>
    <row r="4587">
      <c r="A4587" s="1" t="s">
        <v>24316</v>
      </c>
      <c r="B4587" s="1" t="s">
        <v>27</v>
      </c>
      <c r="C4587" s="1" t="s">
        <v>24317</v>
      </c>
      <c r="D4587" s="1" t="s">
        <v>1618</v>
      </c>
      <c r="E4587" s="1" t="s">
        <v>24318</v>
      </c>
      <c r="F4587" s="1" t="s">
        <v>63</v>
      </c>
      <c r="G4587" s="1" t="s">
        <v>24201</v>
      </c>
      <c r="H4587" s="1">
        <v>2016.0</v>
      </c>
      <c r="I4587" s="1" t="s">
        <v>136</v>
      </c>
      <c r="J4587" s="1" t="s">
        <v>743</v>
      </c>
      <c r="K4587" s="1" t="s">
        <v>199</v>
      </c>
      <c r="L4587" s="1" t="s">
        <v>24319</v>
      </c>
      <c r="M4587" s="2" t="s">
        <v>12</v>
      </c>
      <c r="N4587" s="4">
        <f t="shared" si="1"/>
        <v>43374</v>
      </c>
      <c r="O4587" s="5" t="str">
        <f>IFERROR(__xludf.DUMMYFUNCTION("IF(REGEXMATCH(TRIM(I4587), ""^\d+\s*min""), ""Unclassified"", IF(I4587 = """", ""NR"", I4587))"),"TV-PG")</f>
        <v>TV-PG</v>
      </c>
      <c r="R4587" s="5" t="str">
        <f t="shared" si="2"/>
        <v>Motor Mitraan Di</v>
      </c>
      <c r="S4587" s="5" t="str">
        <f>IFERROR(__xludf.DUMMYFUNCTION("""COMPUTED_VALUE"""),"Mighty Little Bheem: Festival Of Colors")</f>
        <v>Mighty Little Bheem: Festival Of Colors</v>
      </c>
      <c r="V4587" s="5"/>
      <c r="Y4587" s="5" t="str">
        <f>IFERROR(__xludf.DUMMYFUNCTION("REGEXEXTRACT(J4587, ""^\d+"")"),"117")</f>
        <v>117</v>
      </c>
      <c r="Z4587" s="5" t="str">
        <f>IFERROR(__xludf.DUMMYFUNCTION("REGEXEXTRACT(J4587, ""[A-Za-z ]+$"")")," min")</f>
        <v> min</v>
      </c>
      <c r="AA4587" s="5" t="str">
        <f>IFERROR(__xludf.DUMMYFUNCTION("IF(REGEXMATCH(Z4587, ""Season""), ""TV Show"", ""Movie"")"),"Movie")</f>
        <v>Movie</v>
      </c>
    </row>
    <row r="4588">
      <c r="A4588" s="1" t="s">
        <v>24320</v>
      </c>
      <c r="B4588" s="1" t="s">
        <v>27</v>
      </c>
      <c r="C4588" s="1" t="s">
        <v>24321</v>
      </c>
      <c r="D4588" s="1" t="s">
        <v>14553</v>
      </c>
      <c r="E4588" s="1" t="s">
        <v>24322</v>
      </c>
      <c r="F4588" s="1" t="s">
        <v>63</v>
      </c>
      <c r="G4588" s="1" t="s">
        <v>24201</v>
      </c>
      <c r="H4588" s="1">
        <v>2012.0</v>
      </c>
      <c r="I4588" s="1" t="s">
        <v>97</v>
      </c>
      <c r="J4588" s="1" t="s">
        <v>1407</v>
      </c>
      <c r="K4588" s="1" t="s">
        <v>1066</v>
      </c>
      <c r="L4588" s="1" t="s">
        <v>24323</v>
      </c>
      <c r="M4588" s="2" t="s">
        <v>12</v>
      </c>
      <c r="N4588" s="4">
        <f t="shared" si="1"/>
        <v>43374</v>
      </c>
      <c r="O4588" s="5" t="str">
        <f>IFERROR(__xludf.DUMMYFUNCTION("IF(REGEXMATCH(TRIM(I4588), ""^\d+\s*min""), ""Unclassified"", IF(I4588 = """", ""NR"", I4588))"),"TV-14")</f>
        <v>TV-14</v>
      </c>
      <c r="R4588" s="5" t="str">
        <f t="shared" si="2"/>
        <v>Mugamoodi</v>
      </c>
      <c r="S4588" s="5" t="str">
        <f>IFERROR(__xludf.DUMMYFUNCTION("""COMPUTED_VALUE"""),"Mighty Little Bheem: Kite Festival")</f>
        <v>Mighty Little Bheem: Kite Festival</v>
      </c>
      <c r="V4588" s="5"/>
      <c r="Y4588" s="5" t="str">
        <f>IFERROR(__xludf.DUMMYFUNCTION("REGEXEXTRACT(J4588, ""^\d+"")"),"150")</f>
        <v>150</v>
      </c>
      <c r="Z4588" s="5" t="str">
        <f>IFERROR(__xludf.DUMMYFUNCTION("REGEXEXTRACT(J4588, ""[A-Za-z ]+$"")")," min")</f>
        <v> min</v>
      </c>
      <c r="AA4588" s="5" t="str">
        <f>IFERROR(__xludf.DUMMYFUNCTION("IF(REGEXMATCH(Z4588, ""Season""), ""TV Show"", ""Movie"")"),"Movie")</f>
        <v>Movie</v>
      </c>
    </row>
    <row r="4589">
      <c r="A4589" s="1" t="s">
        <v>24324</v>
      </c>
      <c r="B4589" s="1" t="s">
        <v>27</v>
      </c>
      <c r="C4589" s="1" t="s">
        <v>24325</v>
      </c>
      <c r="D4589" s="1" t="s">
        <v>18666</v>
      </c>
      <c r="E4589" s="1" t="s">
        <v>24326</v>
      </c>
      <c r="F4589" s="1" t="s">
        <v>63</v>
      </c>
      <c r="G4589" s="1" t="s">
        <v>24201</v>
      </c>
      <c r="H4589" s="1">
        <v>2011.0</v>
      </c>
      <c r="I4589" s="1" t="s">
        <v>97</v>
      </c>
      <c r="J4589" s="1" t="s">
        <v>7413</v>
      </c>
      <c r="K4589" s="1" t="s">
        <v>1066</v>
      </c>
      <c r="L4589" s="1" t="s">
        <v>24327</v>
      </c>
      <c r="M4589" s="2" t="s">
        <v>12</v>
      </c>
      <c r="N4589" s="4">
        <f t="shared" si="1"/>
        <v>43374</v>
      </c>
      <c r="O4589" s="5" t="str">
        <f>IFERROR(__xludf.DUMMYFUNCTION("IF(REGEXMATCH(TRIM(I4589), ""^\d+\s*min""), ""Unclassified"", IF(I4589 = """", ""NR"", I4589))"),"TV-14")</f>
        <v>TV-14</v>
      </c>
      <c r="R4589" s="5" t="str">
        <f t="shared" si="2"/>
        <v>Muran</v>
      </c>
      <c r="S4589" s="5" t="str">
        <f>IFERROR(__xludf.DUMMYFUNCTION("""COMPUTED_VALUE"""),"Mighty Morphin Alien Rangers")</f>
        <v>Mighty Morphin Alien Rangers</v>
      </c>
      <c r="V4589" s="5"/>
      <c r="Y4589" s="5" t="str">
        <f>IFERROR(__xludf.DUMMYFUNCTION("REGEXEXTRACT(J4589, ""^\d+"")"),"134")</f>
        <v>134</v>
      </c>
      <c r="Z4589" s="5" t="str">
        <f>IFERROR(__xludf.DUMMYFUNCTION("REGEXEXTRACT(J4589, ""[A-Za-z ]+$"")")," min")</f>
        <v> min</v>
      </c>
      <c r="AA4589" s="5" t="str">
        <f>IFERROR(__xludf.DUMMYFUNCTION("IF(REGEXMATCH(Z4589, ""Season""), ""TV Show"", ""Movie"")"),"Movie")</f>
        <v>Movie</v>
      </c>
    </row>
    <row r="4590">
      <c r="A4590" s="1" t="s">
        <v>24328</v>
      </c>
      <c r="B4590" s="1" t="s">
        <v>27</v>
      </c>
      <c r="C4590" s="1" t="s">
        <v>24329</v>
      </c>
      <c r="D4590" s="1" t="s">
        <v>18501</v>
      </c>
      <c r="E4590" s="1" t="s">
        <v>24330</v>
      </c>
      <c r="F4590" s="1" t="s">
        <v>63</v>
      </c>
      <c r="G4590" s="1" t="s">
        <v>24201</v>
      </c>
      <c r="H4590" s="1">
        <v>2011.0</v>
      </c>
      <c r="I4590" s="1" t="s">
        <v>97</v>
      </c>
      <c r="J4590" s="1" t="s">
        <v>433</v>
      </c>
      <c r="K4590" s="1" t="s">
        <v>1408</v>
      </c>
      <c r="L4590" s="1" t="s">
        <v>24331</v>
      </c>
      <c r="M4590" s="2" t="s">
        <v>12</v>
      </c>
      <c r="N4590" s="4">
        <f t="shared" si="1"/>
        <v>43374</v>
      </c>
      <c r="O4590" s="5" t="str">
        <f>IFERROR(__xludf.DUMMYFUNCTION("IF(REGEXMATCH(TRIM(I4590), ""^\d+\s*min""), ""Unclassified"", IF(I4590 = """", ""NR"", I4590))"),"TV-14")</f>
        <v>TV-14</v>
      </c>
      <c r="R4590" s="5" t="str">
        <f t="shared" si="2"/>
        <v>My Friend Pinto</v>
      </c>
      <c r="S4590" s="5" t="str">
        <f>IFERROR(__xludf.DUMMYFUNCTION("""COMPUTED_VALUE"""),"Mighty Morphin Power Rangers")</f>
        <v>Mighty Morphin Power Rangers</v>
      </c>
      <c r="V4590" s="5"/>
      <c r="Y4590" s="5" t="str">
        <f>IFERROR(__xludf.DUMMYFUNCTION("REGEXEXTRACT(J4590, ""^\d+"")"),"100")</f>
        <v>100</v>
      </c>
      <c r="Z4590" s="5" t="str">
        <f>IFERROR(__xludf.DUMMYFUNCTION("REGEXEXTRACT(J4590, ""[A-Za-z ]+$"")")," min")</f>
        <v> min</v>
      </c>
      <c r="AA4590" s="5" t="str">
        <f>IFERROR(__xludf.DUMMYFUNCTION("IF(REGEXMATCH(Z4590, ""Season""), ""TV Show"", ""Movie"")"),"Movie")</f>
        <v>Movie</v>
      </c>
    </row>
    <row r="4591">
      <c r="A4591" s="1" t="s">
        <v>24332</v>
      </c>
      <c r="B4591" s="1" t="s">
        <v>27</v>
      </c>
      <c r="C4591" s="1" t="s">
        <v>24333</v>
      </c>
      <c r="D4591" s="1" t="s">
        <v>9715</v>
      </c>
      <c r="E4591" s="1" t="s">
        <v>24334</v>
      </c>
      <c r="F4591" s="1" t="s">
        <v>30</v>
      </c>
      <c r="G4591" s="1" t="s">
        <v>24201</v>
      </c>
      <c r="H4591" s="1">
        <v>2018.0</v>
      </c>
      <c r="I4591" s="1" t="s">
        <v>206</v>
      </c>
      <c r="J4591" s="1" t="s">
        <v>10890</v>
      </c>
      <c r="K4591" s="1" t="s">
        <v>80</v>
      </c>
      <c r="L4591" s="1" t="s">
        <v>24335</v>
      </c>
      <c r="M4591" s="2" t="s">
        <v>12</v>
      </c>
      <c r="N4591" s="4">
        <f t="shared" si="1"/>
        <v>43374</v>
      </c>
      <c r="O4591" s="5" t="str">
        <f>IFERROR(__xludf.DUMMYFUNCTION("IF(REGEXMATCH(TRIM(I4591), ""^\d+\s*min""), ""Unclassified"", IF(I4591 = """", ""NR"", I4591))"),"TV-Y")</f>
        <v>TV-Y</v>
      </c>
      <c r="R4591" s="5" t="str">
        <f t="shared" si="2"/>
        <v>My Little Pony Equestria Girls: Forgotten Friendship</v>
      </c>
      <c r="S4591" s="5" t="str">
        <f>IFERROR(__xludf.DUMMYFUNCTION("""COMPUTED_VALUE"""),"Mighty Raju")</f>
        <v>Mighty Raju</v>
      </c>
      <c r="V4591" s="5"/>
      <c r="Y4591" s="5" t="str">
        <f>IFERROR(__xludf.DUMMYFUNCTION("REGEXEXTRACT(J4591, ""^\d+"")"),"44")</f>
        <v>44</v>
      </c>
      <c r="Z4591" s="5" t="str">
        <f>IFERROR(__xludf.DUMMYFUNCTION("REGEXEXTRACT(J4591, ""[A-Za-z ]+$"")")," min")</f>
        <v> min</v>
      </c>
      <c r="AA4591" s="5" t="str">
        <f>IFERROR(__xludf.DUMMYFUNCTION("IF(REGEXMATCH(Z4591, ""Season""), ""TV Show"", ""Movie"")"),"Movie")</f>
        <v>Movie</v>
      </c>
    </row>
    <row r="4592">
      <c r="A4592" s="1" t="s">
        <v>24336</v>
      </c>
      <c r="B4592" s="1" t="s">
        <v>27</v>
      </c>
      <c r="C4592" s="1" t="s">
        <v>24337</v>
      </c>
      <c r="D4592" s="1" t="s">
        <v>9715</v>
      </c>
      <c r="E4592" s="1" t="s">
        <v>24338</v>
      </c>
      <c r="F4592" s="1" t="s">
        <v>897</v>
      </c>
      <c r="G4592" s="1" t="s">
        <v>24201</v>
      </c>
      <c r="H4592" s="1">
        <v>2018.0</v>
      </c>
      <c r="I4592" s="1" t="s">
        <v>206</v>
      </c>
      <c r="J4592" s="1" t="s">
        <v>10890</v>
      </c>
      <c r="K4592" s="1" t="s">
        <v>80</v>
      </c>
      <c r="L4592" s="1" t="s">
        <v>24339</v>
      </c>
      <c r="M4592" s="2" t="s">
        <v>12</v>
      </c>
      <c r="N4592" s="4">
        <f t="shared" si="1"/>
        <v>43374</v>
      </c>
      <c r="O4592" s="5" t="str">
        <f>IFERROR(__xludf.DUMMYFUNCTION("IF(REGEXMATCH(TRIM(I4592), ""^\d+\s*min""), ""Unclassified"", IF(I4592 = """", ""NR"", I4592))"),"TV-Y")</f>
        <v>TV-Y</v>
      </c>
      <c r="R4592" s="5" t="str">
        <f t="shared" si="2"/>
        <v>My Little Pony Equestria Girls: Rollercoaster Of Friendship</v>
      </c>
      <c r="S4592" s="5" t="str">
        <f>IFERROR(__xludf.DUMMYFUNCTION("""COMPUTED_VALUE"""),"Mighty Raju Rio Calling")</f>
        <v>Mighty Raju Rio Calling</v>
      </c>
      <c r="V4592" s="5"/>
      <c r="Y4592" s="5" t="str">
        <f>IFERROR(__xludf.DUMMYFUNCTION("REGEXEXTRACT(J4592, ""^\d+"")"),"44")</f>
        <v>44</v>
      </c>
      <c r="Z4592" s="5" t="str">
        <f>IFERROR(__xludf.DUMMYFUNCTION("REGEXEXTRACT(J4592, ""[A-Za-z ]+$"")")," min")</f>
        <v> min</v>
      </c>
      <c r="AA4592" s="5" t="str">
        <f>IFERROR(__xludf.DUMMYFUNCTION("IF(REGEXMATCH(Z4592, ""Season""), ""TV Show"", ""Movie"")"),"Movie")</f>
        <v>Movie</v>
      </c>
    </row>
    <row r="4593">
      <c r="A4593" s="1" t="s">
        <v>24340</v>
      </c>
      <c r="B4593" s="1" t="s">
        <v>27</v>
      </c>
      <c r="C4593" s="1" t="s">
        <v>24341</v>
      </c>
      <c r="D4593" s="1" t="s">
        <v>6005</v>
      </c>
      <c r="E4593" s="1" t="s">
        <v>24342</v>
      </c>
      <c r="F4593" s="1" t="s">
        <v>30</v>
      </c>
      <c r="G4593" s="1" t="s">
        <v>24201</v>
      </c>
      <c r="H4593" s="1">
        <v>2009.0</v>
      </c>
      <c r="I4593" s="1" t="s">
        <v>42</v>
      </c>
      <c r="J4593" s="1" t="s">
        <v>264</v>
      </c>
      <c r="K4593" s="1" t="s">
        <v>836</v>
      </c>
      <c r="L4593" s="1" t="s">
        <v>24343</v>
      </c>
      <c r="M4593" s="2" t="s">
        <v>12</v>
      </c>
      <c r="N4593" s="4">
        <f t="shared" si="1"/>
        <v>43374</v>
      </c>
      <c r="O4593" s="5" t="str">
        <f>IFERROR(__xludf.DUMMYFUNCTION("IF(REGEXMATCH(TRIM(I4593), ""^\d+\s*min""), ""Unclassified"", IF(I4593 = """", ""NR"", I4593))"),"TV-MA")</f>
        <v>TV-MA</v>
      </c>
      <c r="R4593" s="5" t="str">
        <f t="shared" si="2"/>
        <v>My Suicide</v>
      </c>
      <c r="S4593" s="5" t="str">
        <f>IFERROR(__xludf.DUMMYFUNCTION("""COMPUTED_VALUE"""),"Mike Birbiglia: My Girlfriend'S Boyfriend")</f>
        <v>Mike Birbiglia: My Girlfriend'S Boyfriend</v>
      </c>
      <c r="V4593" s="5"/>
      <c r="Y4593" s="5" t="str">
        <f>IFERROR(__xludf.DUMMYFUNCTION("REGEXEXTRACT(J4593, ""^\d+"")"),"111")</f>
        <v>111</v>
      </c>
      <c r="Z4593" s="5" t="str">
        <f>IFERROR(__xludf.DUMMYFUNCTION("REGEXEXTRACT(J4593, ""[A-Za-z ]+$"")")," min")</f>
        <v> min</v>
      </c>
      <c r="AA4593" s="5" t="str">
        <f>IFERROR(__xludf.DUMMYFUNCTION("IF(REGEXMATCH(Z4593, ""Season""), ""TV Show"", ""Movie"")"),"Movie")</f>
        <v>Movie</v>
      </c>
    </row>
    <row r="4594">
      <c r="A4594" s="1" t="s">
        <v>24344</v>
      </c>
      <c r="B4594" s="1" t="s">
        <v>27</v>
      </c>
      <c r="C4594" s="1" t="s">
        <v>24345</v>
      </c>
      <c r="D4594" s="1" t="s">
        <v>22410</v>
      </c>
      <c r="E4594" s="1" t="s">
        <v>24346</v>
      </c>
      <c r="F4594" s="1" t="s">
        <v>63</v>
      </c>
      <c r="G4594" s="1" t="s">
        <v>24201</v>
      </c>
      <c r="H4594" s="1">
        <v>2014.0</v>
      </c>
      <c r="I4594" s="1" t="s">
        <v>97</v>
      </c>
      <c r="J4594" s="1" t="s">
        <v>229</v>
      </c>
      <c r="K4594" s="1" t="s">
        <v>306</v>
      </c>
      <c r="L4594" s="1" t="s">
        <v>24347</v>
      </c>
      <c r="M4594" s="2" t="s">
        <v>12</v>
      </c>
      <c r="N4594" s="4">
        <f t="shared" si="1"/>
        <v>43374</v>
      </c>
      <c r="O4594" s="5" t="str">
        <f>IFERROR(__xludf.DUMMYFUNCTION("IF(REGEXMATCH(TRIM(I4594), ""^\d+\s*min""), ""Unclassified"", IF(I4594 = """", ""NR"", I4594))"),"TV-14")</f>
        <v>TV-14</v>
      </c>
      <c r="R4594" s="5" t="str">
        <f t="shared" si="2"/>
        <v>Naan Sigappu Manithan</v>
      </c>
      <c r="S4594" s="5" t="str">
        <f>IFERROR(__xludf.DUMMYFUNCTION("""COMPUTED_VALUE"""),"Mike Birbiglia: Thank God For Jokes")</f>
        <v>Mike Birbiglia: Thank God For Jokes</v>
      </c>
      <c r="V4594" s="5"/>
      <c r="Y4594" s="5" t="str">
        <f>IFERROR(__xludf.DUMMYFUNCTION("REGEXEXTRACT(J4594, ""^\d+"")"),"147")</f>
        <v>147</v>
      </c>
      <c r="Z4594" s="5" t="str">
        <f>IFERROR(__xludf.DUMMYFUNCTION("REGEXEXTRACT(J4594, ""[A-Za-z ]+$"")")," min")</f>
        <v> min</v>
      </c>
      <c r="AA4594" s="5" t="str">
        <f>IFERROR(__xludf.DUMMYFUNCTION("IF(REGEXMATCH(Z4594, ""Season""), ""TV Show"", ""Movie"")"),"Movie")</f>
        <v>Movie</v>
      </c>
    </row>
    <row r="4595">
      <c r="A4595" s="1" t="s">
        <v>24348</v>
      </c>
      <c r="B4595" s="1" t="s">
        <v>27</v>
      </c>
      <c r="C4595" s="1" t="s">
        <v>24349</v>
      </c>
      <c r="D4595" s="1" t="s">
        <v>1600</v>
      </c>
      <c r="E4595" s="1" t="s">
        <v>24350</v>
      </c>
      <c r="F4595" s="1" t="s">
        <v>63</v>
      </c>
      <c r="G4595" s="1" t="s">
        <v>24201</v>
      </c>
      <c r="H4595" s="1">
        <v>2013.0</v>
      </c>
      <c r="I4595" s="1" t="s">
        <v>97</v>
      </c>
      <c r="J4595" s="1" t="s">
        <v>379</v>
      </c>
      <c r="K4595" s="1" t="s">
        <v>679</v>
      </c>
      <c r="L4595" s="1" t="s">
        <v>24351</v>
      </c>
      <c r="M4595" s="2" t="s">
        <v>12</v>
      </c>
      <c r="N4595" s="4">
        <f t="shared" si="1"/>
        <v>43374</v>
      </c>
      <c r="O4595" s="5" t="str">
        <f>IFERROR(__xludf.DUMMYFUNCTION("IF(REGEXMATCH(TRIM(I4595), ""^\d+\s*min""), ""Unclassified"", IF(I4595 = """", ""NR"", I4595))"),"TV-14")</f>
        <v>TV-14</v>
      </c>
      <c r="R4595" s="5" t="str">
        <f t="shared" si="2"/>
        <v>Nasha</v>
      </c>
      <c r="S4595" s="5" t="str">
        <f>IFERROR(__xludf.DUMMYFUNCTION("""COMPUTED_VALUE"""),"Mike Birbiglia: The New One")</f>
        <v>Mike Birbiglia: The New One</v>
      </c>
      <c r="V4595" s="5"/>
      <c r="Y4595" s="5" t="str">
        <f>IFERROR(__xludf.DUMMYFUNCTION("REGEXEXTRACT(J4595, ""^\d+"")"),"115")</f>
        <v>115</v>
      </c>
      <c r="Z4595" s="5" t="str">
        <f>IFERROR(__xludf.DUMMYFUNCTION("REGEXEXTRACT(J4595, ""[A-Za-z ]+$"")")," min")</f>
        <v> min</v>
      </c>
      <c r="AA4595" s="5" t="str">
        <f>IFERROR(__xludf.DUMMYFUNCTION("IF(REGEXMATCH(Z4595, ""Season""), ""TV Show"", ""Movie"")"),"Movie")</f>
        <v>Movie</v>
      </c>
    </row>
    <row r="4596">
      <c r="A4596" s="1" t="s">
        <v>24352</v>
      </c>
      <c r="B4596" s="1" t="s">
        <v>27</v>
      </c>
      <c r="C4596" s="1" t="s">
        <v>24353</v>
      </c>
      <c r="D4596" s="1" t="s">
        <v>17541</v>
      </c>
      <c r="E4596" s="1" t="s">
        <v>24354</v>
      </c>
      <c r="F4596" s="1" t="s">
        <v>63</v>
      </c>
      <c r="G4596" s="1" t="s">
        <v>24201</v>
      </c>
      <c r="H4596" s="1">
        <v>2013.0</v>
      </c>
      <c r="I4596" s="1" t="s">
        <v>136</v>
      </c>
      <c r="J4596" s="1" t="s">
        <v>941</v>
      </c>
      <c r="K4596" s="1" t="s">
        <v>230</v>
      </c>
      <c r="L4596" s="1" t="s">
        <v>24355</v>
      </c>
      <c r="M4596" s="2" t="s">
        <v>12</v>
      </c>
      <c r="N4596" s="4">
        <f t="shared" si="1"/>
        <v>43374</v>
      </c>
      <c r="O4596" s="5" t="str">
        <f>IFERROR(__xludf.DUMMYFUNCTION("IF(REGEXMATCH(TRIM(I4596), ""^\d+\s*min""), ""Unclassified"", IF(I4596 = """", ""NR"", I4596))"),"TV-PG")</f>
        <v>TV-PG</v>
      </c>
      <c r="R4596" s="5" t="str">
        <f t="shared" si="2"/>
        <v>Naughty Jatts</v>
      </c>
      <c r="S4596" s="5" t="str">
        <f>IFERROR(__xludf.DUMMYFUNCTION("""COMPUTED_VALUE"""),"Mike Birbiglia: What I Should Have Said Was Nothing: Tales From My Secret Public Journal")</f>
        <v>Mike Birbiglia: What I Should Have Said Was Nothing: Tales From My Secret Public Journal</v>
      </c>
      <c r="V4596" s="5"/>
      <c r="Y4596" s="5" t="str">
        <f>IFERROR(__xludf.DUMMYFUNCTION("REGEXEXTRACT(J4596, ""^\d+"")"),"121")</f>
        <v>121</v>
      </c>
      <c r="Z4596" s="5" t="str">
        <f>IFERROR(__xludf.DUMMYFUNCTION("REGEXEXTRACT(J4596, ""[A-Za-z ]+$"")")," min")</f>
        <v> min</v>
      </c>
      <c r="AA4596" s="5" t="str">
        <f>IFERROR(__xludf.DUMMYFUNCTION("IF(REGEXMATCH(Z4596, ""Season""), ""TV Show"", ""Movie"")"),"Movie")</f>
        <v>Movie</v>
      </c>
    </row>
    <row r="4597">
      <c r="A4597" s="1" t="s">
        <v>24356</v>
      </c>
      <c r="B4597" s="1" t="s">
        <v>27</v>
      </c>
      <c r="C4597" s="1" t="s">
        <v>24357</v>
      </c>
      <c r="D4597" s="1" t="s">
        <v>9923</v>
      </c>
      <c r="E4597" s="1" t="s">
        <v>24358</v>
      </c>
      <c r="F4597" s="1" t="s">
        <v>63</v>
      </c>
      <c r="G4597" s="1" t="s">
        <v>24201</v>
      </c>
      <c r="H4597" s="1">
        <v>2016.0</v>
      </c>
      <c r="I4597" s="1" t="s">
        <v>97</v>
      </c>
      <c r="J4597" s="1" t="s">
        <v>238</v>
      </c>
      <c r="K4597" s="1" t="s">
        <v>306</v>
      </c>
      <c r="L4597" s="1" t="s">
        <v>24359</v>
      </c>
      <c r="M4597" s="2" t="s">
        <v>12</v>
      </c>
      <c r="N4597" s="4">
        <f t="shared" si="1"/>
        <v>43374</v>
      </c>
      <c r="O4597" s="5" t="str">
        <f>IFERROR(__xludf.DUMMYFUNCTION("IF(REGEXMATCH(TRIM(I4597), ""^\d+\s*min""), ""Unclassified"", IF(I4597 = """", ""NR"", I4597))"),"TV-14")</f>
        <v>TV-14</v>
      </c>
      <c r="R4597" s="5" t="str">
        <f t="shared" si="2"/>
        <v>Needhi Singh</v>
      </c>
      <c r="S4597" s="5" t="str">
        <f>IFERROR(__xludf.DUMMYFUNCTION("""COMPUTED_VALUE"""),"Mike Epps: Don'T Take It Personal")</f>
        <v>Mike Epps: Don'T Take It Personal</v>
      </c>
      <c r="V4597" s="5"/>
      <c r="Y4597" s="5" t="str">
        <f>IFERROR(__xludf.DUMMYFUNCTION("REGEXEXTRACT(J4597, ""^\d+"")"),"103")</f>
        <v>103</v>
      </c>
      <c r="Z4597" s="5" t="str">
        <f>IFERROR(__xludf.DUMMYFUNCTION("REGEXEXTRACT(J4597, ""[A-Za-z ]+$"")")," min")</f>
        <v> min</v>
      </c>
      <c r="AA4597" s="5" t="str">
        <f>IFERROR(__xludf.DUMMYFUNCTION("IF(REGEXMATCH(Z4597, ""Season""), ""TV Show"", ""Movie"")"),"Movie")</f>
        <v>Movie</v>
      </c>
    </row>
    <row r="4598">
      <c r="A4598" s="1" t="s">
        <v>24360</v>
      </c>
      <c r="B4598" s="1" t="s">
        <v>27</v>
      </c>
      <c r="C4598" s="1" t="s">
        <v>24361</v>
      </c>
      <c r="D4598" s="1" t="s">
        <v>21886</v>
      </c>
      <c r="E4598" s="1" t="s">
        <v>24362</v>
      </c>
      <c r="F4598" s="1" t="s">
        <v>8173</v>
      </c>
      <c r="G4598" s="1" t="s">
        <v>24201</v>
      </c>
      <c r="H4598" s="1">
        <v>2016.0</v>
      </c>
      <c r="I4598" s="1" t="s">
        <v>97</v>
      </c>
      <c r="J4598" s="1" t="s">
        <v>5120</v>
      </c>
      <c r="K4598" s="1" t="s">
        <v>836</v>
      </c>
      <c r="L4598" s="1" t="s">
        <v>24363</v>
      </c>
      <c r="M4598" s="2" t="s">
        <v>12</v>
      </c>
      <c r="N4598" s="4">
        <f t="shared" si="1"/>
        <v>43374</v>
      </c>
      <c r="O4598" s="5" t="str">
        <f>IFERROR(__xludf.DUMMYFUNCTION("IF(REGEXMATCH(TRIM(I4598), ""^\d+\s*min""), ""Unclassified"", IF(I4598 = """", ""NR"", I4598))"),"TV-14")</f>
        <v>TV-14</v>
      </c>
      <c r="R4598" s="5" t="str">
        <f t="shared" si="2"/>
        <v>Peace Haven</v>
      </c>
      <c r="S4598" s="5" t="str">
        <f>IFERROR(__xludf.DUMMYFUNCTION("""COMPUTED_VALUE"""),"Mike Epps: Only One Mike")</f>
        <v>Mike Epps: Only One Mike</v>
      </c>
      <c r="V4598" s="5"/>
      <c r="Y4598" s="5" t="str">
        <f>IFERROR(__xludf.DUMMYFUNCTION("REGEXEXTRACT(J4598, ""^\d+"")"),"73")</f>
        <v>73</v>
      </c>
      <c r="Z4598" s="5" t="str">
        <f>IFERROR(__xludf.DUMMYFUNCTION("REGEXEXTRACT(J4598, ""[A-Za-z ]+$"")")," min")</f>
        <v> min</v>
      </c>
      <c r="AA4598" s="5" t="str">
        <f>IFERROR(__xludf.DUMMYFUNCTION("IF(REGEXMATCH(Z4598, ""Season""), ""TV Show"", ""Movie"")"),"Movie")</f>
        <v>Movie</v>
      </c>
    </row>
    <row r="4599">
      <c r="A4599" s="1" t="s">
        <v>24364</v>
      </c>
      <c r="B4599" s="1" t="s">
        <v>27</v>
      </c>
      <c r="C4599" s="1" t="s">
        <v>24365</v>
      </c>
      <c r="D4599" s="1" t="s">
        <v>12324</v>
      </c>
      <c r="E4599" s="1" t="s">
        <v>24366</v>
      </c>
      <c r="F4599" s="1" t="s">
        <v>63</v>
      </c>
      <c r="G4599" s="1" t="s">
        <v>24201</v>
      </c>
      <c r="H4599" s="1">
        <v>2015.0</v>
      </c>
      <c r="I4599" s="1" t="s">
        <v>97</v>
      </c>
      <c r="J4599" s="1" t="s">
        <v>1273</v>
      </c>
      <c r="K4599" s="1" t="s">
        <v>1066</v>
      </c>
      <c r="L4599" s="1" t="s">
        <v>24367</v>
      </c>
      <c r="M4599" s="2" t="s">
        <v>12</v>
      </c>
      <c r="N4599" s="4">
        <f t="shared" si="1"/>
        <v>43374</v>
      </c>
      <c r="O4599" s="5" t="str">
        <f>IFERROR(__xludf.DUMMYFUNCTION("IF(REGEXMATCH(TRIM(I4599), ""^\d+\s*min""), ""Unclassified"", IF(I4599 = """", ""NR"", I4599))"),"TV-14")</f>
        <v>TV-14</v>
      </c>
      <c r="R4599" s="5" t="str">
        <f t="shared" si="2"/>
        <v>Phantom</v>
      </c>
      <c r="S4599" s="5" t="str">
        <f>IFERROR(__xludf.DUMMYFUNCTION("""COMPUTED_VALUE"""),"Milada")</f>
        <v>Milada</v>
      </c>
      <c r="V4599" s="5"/>
      <c r="Y4599" s="5" t="str">
        <f>IFERROR(__xludf.DUMMYFUNCTION("REGEXEXTRACT(J4599, ""^\d+"")"),"129")</f>
        <v>129</v>
      </c>
      <c r="Z4599" s="5" t="str">
        <f>IFERROR(__xludf.DUMMYFUNCTION("REGEXEXTRACT(J4599, ""[A-Za-z ]+$"")")," min")</f>
        <v> min</v>
      </c>
      <c r="AA4599" s="5" t="str">
        <f>IFERROR(__xludf.DUMMYFUNCTION("IF(REGEXMATCH(Z4599, ""Season""), ""TV Show"", ""Movie"")"),"Movie")</f>
        <v>Movie</v>
      </c>
    </row>
    <row r="4600">
      <c r="A4600" s="1" t="s">
        <v>24368</v>
      </c>
      <c r="B4600" s="1" t="s">
        <v>27</v>
      </c>
      <c r="C4600" s="1" t="s">
        <v>24369</v>
      </c>
      <c r="D4600" s="1" t="s">
        <v>815</v>
      </c>
      <c r="E4600" s="1" t="s">
        <v>24370</v>
      </c>
      <c r="F4600" s="1" t="s">
        <v>63</v>
      </c>
      <c r="G4600" s="1" t="s">
        <v>24201</v>
      </c>
      <c r="H4600" s="1">
        <v>2014.0</v>
      </c>
      <c r="I4600" s="1" t="s">
        <v>97</v>
      </c>
      <c r="J4600" s="1" t="s">
        <v>447</v>
      </c>
      <c r="K4600" s="1" t="s">
        <v>1592</v>
      </c>
      <c r="L4600" s="1" t="s">
        <v>24371</v>
      </c>
      <c r="M4600" s="2" t="s">
        <v>12</v>
      </c>
      <c r="N4600" s="4">
        <f t="shared" si="1"/>
        <v>43374</v>
      </c>
      <c r="O4600" s="5" t="str">
        <f>IFERROR(__xludf.DUMMYFUNCTION("IF(REGEXMATCH(TRIM(I4600), ""^\d+\s*min""), ""Unclassified"", IF(I4600 = """", ""NR"", I4600))"),"TV-14")</f>
        <v>TV-14</v>
      </c>
      <c r="R4600" s="5" t="str">
        <f t="shared" si="2"/>
        <v>Pizza</v>
      </c>
      <c r="S4600" s="5" t="str">
        <f>IFERROR(__xludf.DUMMYFUNCTION("""COMPUTED_VALUE"""),"Mile 22")</f>
        <v>Mile 22</v>
      </c>
      <c r="V4600" s="5"/>
      <c r="Y4600" s="5" t="str">
        <f>IFERROR(__xludf.DUMMYFUNCTION("REGEXEXTRACT(J4600, ""^\d+"")"),"102")</f>
        <v>102</v>
      </c>
      <c r="Z4600" s="5" t="str">
        <f>IFERROR(__xludf.DUMMYFUNCTION("REGEXEXTRACT(J4600, ""[A-Za-z ]+$"")")," min")</f>
        <v> min</v>
      </c>
      <c r="AA4600" s="5" t="str">
        <f>IFERROR(__xludf.DUMMYFUNCTION("IF(REGEXMATCH(Z4600, ""Season""), ""TV Show"", ""Movie"")"),"Movie")</f>
        <v>Movie</v>
      </c>
    </row>
    <row r="4601">
      <c r="A4601" s="1" t="s">
        <v>24372</v>
      </c>
      <c r="B4601" s="1" t="s">
        <v>27</v>
      </c>
      <c r="C4601" s="1" t="s">
        <v>24373</v>
      </c>
      <c r="D4601" s="1" t="s">
        <v>16891</v>
      </c>
      <c r="E4601" s="1" t="s">
        <v>24374</v>
      </c>
      <c r="F4601" s="1" t="s">
        <v>63</v>
      </c>
      <c r="G4601" s="1" t="s">
        <v>24201</v>
      </c>
      <c r="H4601" s="1">
        <v>2013.0</v>
      </c>
      <c r="I4601" s="1" t="s">
        <v>136</v>
      </c>
      <c r="J4601" s="1" t="s">
        <v>393</v>
      </c>
      <c r="K4601" s="1" t="s">
        <v>230</v>
      </c>
      <c r="L4601" s="1" t="s">
        <v>24375</v>
      </c>
      <c r="M4601" s="2" t="s">
        <v>12</v>
      </c>
      <c r="N4601" s="4">
        <f t="shared" si="1"/>
        <v>43374</v>
      </c>
      <c r="O4601" s="5" t="str">
        <f>IFERROR(__xludf.DUMMYFUNCTION("IF(REGEXMATCH(TRIM(I4601), ""^\d+\s*min""), ""Unclassified"", IF(I4601 = """", ""NR"", I4601))"),"TV-PG")</f>
        <v>TV-PG</v>
      </c>
      <c r="R4601" s="5" t="str">
        <f t="shared" si="2"/>
        <v>Pooja Kiven Aa</v>
      </c>
      <c r="S4601" s="5" t="str">
        <f>IFERROR(__xludf.DUMMYFUNCTION("""COMPUTED_VALUE"""),"Milea")</f>
        <v>Milea</v>
      </c>
      <c r="V4601" s="5"/>
      <c r="Y4601" s="5" t="str">
        <f>IFERROR(__xludf.DUMMYFUNCTION("REGEXEXTRACT(J4601, ""^\d+"")"),"122")</f>
        <v>122</v>
      </c>
      <c r="Z4601" s="5" t="str">
        <f>IFERROR(__xludf.DUMMYFUNCTION("REGEXEXTRACT(J4601, ""[A-Za-z ]+$"")")," min")</f>
        <v> min</v>
      </c>
      <c r="AA4601" s="5" t="str">
        <f>IFERROR(__xludf.DUMMYFUNCTION("IF(REGEXMATCH(Z4601, ""Season""), ""TV Show"", ""Movie"")"),"Movie")</f>
        <v>Movie</v>
      </c>
    </row>
    <row r="4602">
      <c r="A4602" s="1" t="s">
        <v>24376</v>
      </c>
      <c r="B4602" s="1" t="s">
        <v>27</v>
      </c>
      <c r="C4602" s="1" t="s">
        <v>24377</v>
      </c>
      <c r="D4602" s="1" t="s">
        <v>15118</v>
      </c>
      <c r="E4602" s="1" t="s">
        <v>24378</v>
      </c>
      <c r="F4602" s="1" t="s">
        <v>63</v>
      </c>
      <c r="G4602" s="1" t="s">
        <v>24201</v>
      </c>
      <c r="H4602" s="1">
        <v>2008.0</v>
      </c>
      <c r="I4602" s="1" t="s">
        <v>97</v>
      </c>
      <c r="J4602" s="1" t="s">
        <v>3511</v>
      </c>
      <c r="K4602" s="1" t="s">
        <v>1421</v>
      </c>
      <c r="L4602" s="1" t="s">
        <v>24379</v>
      </c>
      <c r="M4602" s="2" t="s">
        <v>12</v>
      </c>
      <c r="N4602" s="4">
        <f t="shared" si="1"/>
        <v>43374</v>
      </c>
      <c r="O4602" s="5" t="str">
        <f>IFERROR(__xludf.DUMMYFUNCTION("IF(REGEXMATCH(TRIM(I4602), ""^\d+\s*min""), ""Unclassified"", IF(I4602 = """", ""NR"", I4602))"),"TV-14")</f>
        <v>TV-14</v>
      </c>
      <c r="R4602" s="5" t="str">
        <f t="shared" si="2"/>
        <v>Race</v>
      </c>
      <c r="S4602" s="5" t="str">
        <f>IFERROR(__xludf.DUMMYFUNCTION("""COMPUTED_VALUE"""),"Miles Davis: Birth Of The Cool")</f>
        <v>Miles Davis: Birth Of The Cool</v>
      </c>
      <c r="V4602" s="5"/>
      <c r="Y4602" s="5" t="str">
        <f>IFERROR(__xludf.DUMMYFUNCTION("REGEXEXTRACT(J4602, ""^\d+"")"),"155")</f>
        <v>155</v>
      </c>
      <c r="Z4602" s="5" t="str">
        <f>IFERROR(__xludf.DUMMYFUNCTION("REGEXEXTRACT(J4602, ""[A-Za-z ]+$"")")," min")</f>
        <v> min</v>
      </c>
      <c r="AA4602" s="5" t="str">
        <f>IFERROR(__xludf.DUMMYFUNCTION("IF(REGEXMATCH(Z4602, ""Season""), ""TV Show"", ""Movie"")"),"Movie")</f>
        <v>Movie</v>
      </c>
    </row>
    <row r="4603">
      <c r="A4603" s="1" t="s">
        <v>24380</v>
      </c>
      <c r="B4603" s="1" t="s">
        <v>27</v>
      </c>
      <c r="C4603" s="1" t="s">
        <v>24381</v>
      </c>
      <c r="D4603" s="1" t="s">
        <v>165</v>
      </c>
      <c r="E4603" s="1" t="s">
        <v>24382</v>
      </c>
      <c r="F4603" s="1" t="s">
        <v>63</v>
      </c>
      <c r="G4603" s="1" t="s">
        <v>24201</v>
      </c>
      <c r="H4603" s="1">
        <v>2013.0</v>
      </c>
      <c r="I4603" s="1" t="s">
        <v>97</v>
      </c>
      <c r="J4603" s="1" t="s">
        <v>1938</v>
      </c>
      <c r="K4603" s="1" t="s">
        <v>1421</v>
      </c>
      <c r="L4603" s="1" t="s">
        <v>24383</v>
      </c>
      <c r="M4603" s="2" t="s">
        <v>12</v>
      </c>
      <c r="N4603" s="4">
        <f t="shared" si="1"/>
        <v>43374</v>
      </c>
      <c r="O4603" s="5" t="str">
        <f>IFERROR(__xludf.DUMMYFUNCTION("IF(REGEXMATCH(TRIM(I4603), ""^\d+\s*min""), ""Unclassified"", IF(I4603 = """", ""NR"", I4603))"),"TV-14")</f>
        <v>TV-14</v>
      </c>
      <c r="R4603" s="5" t="str">
        <f t="shared" si="2"/>
        <v>Race 2</v>
      </c>
      <c r="S4603" s="5" t="str">
        <f>IFERROR(__xludf.DUMMYFUNCTION("""COMPUTED_VALUE"""),"Milestone")</f>
        <v>Milestone</v>
      </c>
      <c r="V4603" s="5"/>
      <c r="Y4603" s="5" t="str">
        <f>IFERROR(__xludf.DUMMYFUNCTION("REGEXEXTRACT(J4603, ""^\d+"")"),"139")</f>
        <v>139</v>
      </c>
      <c r="Z4603" s="5" t="str">
        <f>IFERROR(__xludf.DUMMYFUNCTION("REGEXEXTRACT(J4603, ""[A-Za-z ]+$"")")," min")</f>
        <v> min</v>
      </c>
      <c r="AA4603" s="5" t="str">
        <f>IFERROR(__xludf.DUMMYFUNCTION("IF(REGEXMATCH(Z4603, ""Season""), ""TV Show"", ""Movie"")"),"Movie")</f>
        <v>Movie</v>
      </c>
    </row>
    <row r="4604">
      <c r="A4604" s="1" t="s">
        <v>24384</v>
      </c>
      <c r="B4604" s="1" t="s">
        <v>27</v>
      </c>
      <c r="C4604" s="1" t="s">
        <v>24385</v>
      </c>
      <c r="D4604" s="1" t="s">
        <v>23372</v>
      </c>
      <c r="E4604" s="1" t="s">
        <v>24386</v>
      </c>
      <c r="F4604" s="1" t="s">
        <v>63</v>
      </c>
      <c r="G4604" s="1" t="s">
        <v>24201</v>
      </c>
      <c r="H4604" s="1">
        <v>2015.0</v>
      </c>
      <c r="I4604" s="1" t="s">
        <v>136</v>
      </c>
      <c r="J4604" s="1" t="s">
        <v>2859</v>
      </c>
      <c r="K4604" s="1" t="s">
        <v>583</v>
      </c>
      <c r="L4604" s="1" t="s">
        <v>24387</v>
      </c>
      <c r="M4604" s="2" t="s">
        <v>12</v>
      </c>
      <c r="N4604" s="4">
        <f t="shared" si="1"/>
        <v>43374</v>
      </c>
      <c r="O4604" s="5" t="str">
        <f>IFERROR(__xludf.DUMMYFUNCTION("IF(REGEXMATCH(TRIM(I4604), ""^\d+\s*min""), ""Unclassified"", IF(I4604 = """", ""NR"", I4604))"),"TV-PG")</f>
        <v>TV-PG</v>
      </c>
      <c r="R4604" s="5" t="str">
        <f t="shared" si="2"/>
        <v>Saadey Cm Saab</v>
      </c>
      <c r="S4604" s="5" t="str">
        <f>IFERROR(__xludf.DUMMYFUNCTION("""COMPUTED_VALUE"""),"Milf")</f>
        <v>Milf</v>
      </c>
      <c r="V4604" s="5"/>
      <c r="Y4604" s="5" t="str">
        <f>IFERROR(__xludf.DUMMYFUNCTION("REGEXEXTRACT(J4604, ""^\d+"")"),"131")</f>
        <v>131</v>
      </c>
      <c r="Z4604" s="5" t="str">
        <f>IFERROR(__xludf.DUMMYFUNCTION("REGEXEXTRACT(J4604, ""[A-Za-z ]+$"")")," min")</f>
        <v> min</v>
      </c>
      <c r="AA4604" s="5" t="str">
        <f>IFERROR(__xludf.DUMMYFUNCTION("IF(REGEXMATCH(Z4604, ""Season""), ""TV Show"", ""Movie"")"),"Movie")</f>
        <v>Movie</v>
      </c>
    </row>
    <row r="4605">
      <c r="A4605" s="1" t="s">
        <v>24388</v>
      </c>
      <c r="B4605" s="1" t="s">
        <v>27</v>
      </c>
      <c r="C4605" s="1" t="s">
        <v>24389</v>
      </c>
      <c r="D4605" s="1" t="s">
        <v>23306</v>
      </c>
      <c r="E4605" s="1" t="s">
        <v>24390</v>
      </c>
      <c r="F4605" s="1" t="s">
        <v>63</v>
      </c>
      <c r="G4605" s="1" t="s">
        <v>24201</v>
      </c>
      <c r="H4605" s="1">
        <v>2017.0</v>
      </c>
      <c r="I4605" s="1" t="s">
        <v>97</v>
      </c>
      <c r="J4605" s="1" t="s">
        <v>127</v>
      </c>
      <c r="K4605" s="1" t="s">
        <v>583</v>
      </c>
      <c r="L4605" s="1" t="s">
        <v>24391</v>
      </c>
      <c r="M4605" s="2" t="s">
        <v>12</v>
      </c>
      <c r="N4605" s="4">
        <f t="shared" si="1"/>
        <v>43374</v>
      </c>
      <c r="O4605" s="5" t="str">
        <f>IFERROR(__xludf.DUMMYFUNCTION("IF(REGEXMATCH(TRIM(I4605), ""^\d+\s*min""), ""Unclassified"", IF(I4605 = """", ""NR"", I4605))"),"TV-14")</f>
        <v>TV-14</v>
      </c>
      <c r="R4605" s="5" t="str">
        <f t="shared" si="2"/>
        <v>Sat Shri Akaal England</v>
      </c>
      <c r="S4605" s="5" t="str">
        <f>IFERROR(__xludf.DUMMYFUNCTION("""COMPUTED_VALUE"""),"Milk")</f>
        <v>Milk</v>
      </c>
      <c r="V4605" s="5"/>
      <c r="Y4605" s="5" t="str">
        <f>IFERROR(__xludf.DUMMYFUNCTION("REGEXEXTRACT(J4605, ""^\d+"")"),"127")</f>
        <v>127</v>
      </c>
      <c r="Z4605" s="5" t="str">
        <f>IFERROR(__xludf.DUMMYFUNCTION("REGEXEXTRACT(J4605, ""[A-Za-z ]+$"")")," min")</f>
        <v> min</v>
      </c>
      <c r="AA4605" s="5" t="str">
        <f>IFERROR(__xludf.DUMMYFUNCTION("IF(REGEXMATCH(Z4605, ""Season""), ""TV Show"", ""Movie"")"),"Movie")</f>
        <v>Movie</v>
      </c>
    </row>
    <row r="4606">
      <c r="A4606" s="1" t="s">
        <v>24392</v>
      </c>
      <c r="B4606" s="1" t="s">
        <v>37</v>
      </c>
      <c r="C4606" s="1" t="s">
        <v>24393</v>
      </c>
      <c r="E4606" s="1" t="s">
        <v>24394</v>
      </c>
      <c r="F4606" s="1" t="s">
        <v>30</v>
      </c>
      <c r="G4606" s="1" t="s">
        <v>24201</v>
      </c>
      <c r="H4606" s="1">
        <v>2016.0</v>
      </c>
      <c r="I4606" s="1" t="s">
        <v>97</v>
      </c>
      <c r="J4606" s="1" t="s">
        <v>51</v>
      </c>
      <c r="K4606" s="1" t="s">
        <v>440</v>
      </c>
      <c r="L4606" s="1" t="s">
        <v>24395</v>
      </c>
      <c r="M4606" s="2" t="s">
        <v>12</v>
      </c>
      <c r="N4606" s="4">
        <f t="shared" si="1"/>
        <v>43374</v>
      </c>
      <c r="O4606" s="5" t="str">
        <f>IFERROR(__xludf.DUMMYFUNCTION("IF(REGEXMATCH(TRIM(I4606), ""^\d+\s*min""), ""Unclassified"", IF(I4606 = """", ""NR"", I4606))"),"TV-14")</f>
        <v>TV-14</v>
      </c>
      <c r="R4606" s="5" t="str">
        <f t="shared" si="2"/>
        <v>Strong</v>
      </c>
      <c r="S4606" s="5" t="str">
        <f>IFERROR(__xludf.DUMMYFUNCTION("""COMPUTED_VALUE"""),"Milkwater")</f>
        <v>Milkwater</v>
      </c>
      <c r="V4606" s="5"/>
      <c r="Y4606" s="5" t="str">
        <f>IFERROR(__xludf.DUMMYFUNCTION("REGEXEXTRACT(J4606, ""^\d+"")"),"1")</f>
        <v>1</v>
      </c>
      <c r="Z4606" s="5" t="str">
        <f>IFERROR(__xludf.DUMMYFUNCTION("REGEXEXTRACT(J4606, ""[A-Za-z ]+$"")")," Season")</f>
        <v> Season</v>
      </c>
      <c r="AA4606" s="5" t="str">
        <f>IFERROR(__xludf.DUMMYFUNCTION("IF(REGEXMATCH(Z4606, ""Season""), ""TV Show"", ""Movie"")"),"TV Show")</f>
        <v>TV Show</v>
      </c>
    </row>
    <row r="4607">
      <c r="A4607" s="1" t="s">
        <v>24396</v>
      </c>
      <c r="B4607" s="1" t="s">
        <v>27</v>
      </c>
      <c r="C4607" s="1" t="s">
        <v>24397</v>
      </c>
      <c r="D4607" s="1" t="s">
        <v>23237</v>
      </c>
      <c r="E4607" s="1" t="s">
        <v>24398</v>
      </c>
      <c r="F4607" s="1" t="s">
        <v>63</v>
      </c>
      <c r="G4607" s="1" t="s">
        <v>24201</v>
      </c>
      <c r="H4607" s="1">
        <v>2012.0</v>
      </c>
      <c r="I4607" s="1" t="s">
        <v>97</v>
      </c>
      <c r="J4607" s="1" t="s">
        <v>1235</v>
      </c>
      <c r="K4607" s="1" t="s">
        <v>1421</v>
      </c>
      <c r="L4607" s="1" t="s">
        <v>24399</v>
      </c>
      <c r="M4607" s="2" t="s">
        <v>12</v>
      </c>
      <c r="N4607" s="4">
        <f t="shared" si="1"/>
        <v>43374</v>
      </c>
      <c r="O4607" s="5" t="str">
        <f>IFERROR(__xludf.DUMMYFUNCTION("IF(REGEXMATCH(TRIM(I4607), ""^\d+\s*min""), ""Unclassified"", IF(I4607 = """", ""NR"", I4607))"),"TV-14")</f>
        <v>TV-14</v>
      </c>
      <c r="R4607" s="5" t="str">
        <f t="shared" si="2"/>
        <v>Thaandavam</v>
      </c>
      <c r="S4607" s="5" t="str">
        <f>IFERROR(__xludf.DUMMYFUNCTION("""COMPUTED_VALUE"""),"Millennials")</f>
        <v>Millennials</v>
      </c>
      <c r="V4607" s="5"/>
      <c r="Y4607" s="5" t="str">
        <f>IFERROR(__xludf.DUMMYFUNCTION("REGEXEXTRACT(J4607, ""^\d+"")"),"156")</f>
        <v>156</v>
      </c>
      <c r="Z4607" s="5" t="str">
        <f>IFERROR(__xludf.DUMMYFUNCTION("REGEXEXTRACT(J4607, ""[A-Za-z ]+$"")")," min")</f>
        <v> min</v>
      </c>
      <c r="AA4607" s="5" t="str">
        <f>IFERROR(__xludf.DUMMYFUNCTION("IF(REGEXMATCH(Z4607, ""Season""), ""TV Show"", ""Movie"")"),"Movie")</f>
        <v>Movie</v>
      </c>
    </row>
    <row r="4608">
      <c r="A4608" s="1" t="s">
        <v>24400</v>
      </c>
      <c r="B4608" s="1" t="s">
        <v>27</v>
      </c>
      <c r="C4608" s="1" t="s">
        <v>24401</v>
      </c>
      <c r="D4608" s="1" t="s">
        <v>6822</v>
      </c>
      <c r="G4608" s="1" t="s">
        <v>24201</v>
      </c>
      <c r="H4608" s="1">
        <v>2018.0</v>
      </c>
      <c r="I4608" s="1" t="s">
        <v>42</v>
      </c>
      <c r="J4608" s="1" t="s">
        <v>79</v>
      </c>
      <c r="K4608" s="1" t="s">
        <v>156</v>
      </c>
      <c r="L4608" s="1" t="s">
        <v>24402</v>
      </c>
      <c r="M4608" s="2" t="s">
        <v>12</v>
      </c>
      <c r="N4608" s="4">
        <f t="shared" si="1"/>
        <v>43374</v>
      </c>
      <c r="O4608" s="5" t="str">
        <f>IFERROR(__xludf.DUMMYFUNCTION("IF(REGEXMATCH(TRIM(I4608), ""^\d+\s*min""), ""Unclassified"", IF(I4608 = """", ""NR"", I4608))"),"TV-MA")</f>
        <v>TV-MA</v>
      </c>
      <c r="R4608" s="5" t="str">
        <f t="shared" si="2"/>
        <v>The Birth Reborn</v>
      </c>
      <c r="S4608" s="5" t="str">
        <f>IFERROR(__xludf.DUMMYFUNCTION("""COMPUTED_VALUE"""),"Million Dollar Baby")</f>
        <v>Million Dollar Baby</v>
      </c>
      <c r="V4608" s="5"/>
      <c r="Y4608" s="5" t="str">
        <f>IFERROR(__xludf.DUMMYFUNCTION("REGEXEXTRACT(J4608, ""^\d+"")"),"91")</f>
        <v>91</v>
      </c>
      <c r="Z4608" s="5" t="str">
        <f>IFERROR(__xludf.DUMMYFUNCTION("REGEXEXTRACT(J4608, ""[A-Za-z ]+$"")")," min")</f>
        <v> min</v>
      </c>
      <c r="AA4608" s="5" t="str">
        <f>IFERROR(__xludf.DUMMYFUNCTION("IF(REGEXMATCH(Z4608, ""Season""), ""TV Show"", ""Movie"")"),"Movie")</f>
        <v>Movie</v>
      </c>
    </row>
    <row r="4609">
      <c r="A4609" s="1" t="s">
        <v>24403</v>
      </c>
      <c r="B4609" s="1" t="s">
        <v>27</v>
      </c>
      <c r="C4609" s="1" t="s">
        <v>24404</v>
      </c>
      <c r="D4609" s="1" t="s">
        <v>21913</v>
      </c>
      <c r="E4609" s="1" t="s">
        <v>24405</v>
      </c>
      <c r="F4609" s="1" t="s">
        <v>63</v>
      </c>
      <c r="G4609" s="1" t="s">
        <v>24201</v>
      </c>
      <c r="H4609" s="1">
        <v>2013.0</v>
      </c>
      <c r="I4609" s="1" t="s">
        <v>136</v>
      </c>
      <c r="J4609" s="1" t="s">
        <v>2505</v>
      </c>
      <c r="K4609" s="1" t="s">
        <v>230</v>
      </c>
      <c r="L4609" s="1" t="s">
        <v>24406</v>
      </c>
      <c r="M4609" s="2" t="s">
        <v>12</v>
      </c>
      <c r="N4609" s="4">
        <f t="shared" si="1"/>
        <v>43374</v>
      </c>
      <c r="O4609" s="5" t="str">
        <f>IFERROR(__xludf.DUMMYFUNCTION("IF(REGEXMATCH(TRIM(I4609), ""^\d+\s*min""), ""Unclassified"", IF(I4609 = """", ""NR"", I4609))"),"TV-PG")</f>
        <v>TV-PG</v>
      </c>
      <c r="R4609" s="5" t="str">
        <f t="shared" si="2"/>
        <v>Theeya Velai Seyyanum Kumaru</v>
      </c>
      <c r="S4609" s="5" t="str">
        <f>IFERROR(__xludf.DUMMYFUNCTION("""COMPUTED_VALUE"""),"Million Dollar Beach House")</f>
        <v>Million Dollar Beach House</v>
      </c>
      <c r="V4609" s="5"/>
      <c r="Y4609" s="5" t="str">
        <f>IFERROR(__xludf.DUMMYFUNCTION("REGEXEXTRACT(J4609, ""^\d+"")"),"132")</f>
        <v>132</v>
      </c>
      <c r="Z4609" s="5" t="str">
        <f>IFERROR(__xludf.DUMMYFUNCTION("REGEXEXTRACT(J4609, ""[A-Za-z ]+$"")")," min")</f>
        <v> min</v>
      </c>
      <c r="AA4609" s="5" t="str">
        <f>IFERROR(__xludf.DUMMYFUNCTION("IF(REGEXMATCH(Z4609, ""Season""), ""TV Show"", ""Movie"")"),"Movie")</f>
        <v>Movie</v>
      </c>
    </row>
    <row r="4610">
      <c r="A4610" s="1" t="s">
        <v>24407</v>
      </c>
      <c r="B4610" s="1" t="s">
        <v>37</v>
      </c>
      <c r="C4610" s="1" t="s">
        <v>24408</v>
      </c>
      <c r="F4610" s="1" t="s">
        <v>96</v>
      </c>
      <c r="G4610" s="1" t="s">
        <v>24201</v>
      </c>
      <c r="H4610" s="1">
        <v>2018.0</v>
      </c>
      <c r="I4610" s="1" t="s">
        <v>97</v>
      </c>
      <c r="J4610" s="1" t="s">
        <v>51</v>
      </c>
      <c r="K4610" s="1" t="s">
        <v>2382</v>
      </c>
      <c r="L4610" s="1" t="s">
        <v>24409</v>
      </c>
      <c r="M4610" s="2" t="s">
        <v>12</v>
      </c>
      <c r="N4610" s="4">
        <f t="shared" si="1"/>
        <v>43374</v>
      </c>
      <c r="O4610" s="5" t="str">
        <f>IFERROR(__xludf.DUMMYFUNCTION("IF(REGEXMATCH(TRIM(I4610), ""^\d+\s*min""), ""Unclassified"", IF(I4610 = """", ""NR"", I4610))"),"TV-14")</f>
        <v>TV-14</v>
      </c>
      <c r="R4610" s="5" t="str">
        <f t="shared" si="2"/>
        <v>Three Wives One Husband</v>
      </c>
      <c r="S4610" s="5" t="str">
        <f>IFERROR(__xludf.DUMMYFUNCTION("""COMPUTED_VALUE"""),"Million Pound Menu")</f>
        <v>Million Pound Menu</v>
      </c>
      <c r="V4610" s="5"/>
      <c r="Y4610" s="5" t="str">
        <f>IFERROR(__xludf.DUMMYFUNCTION("REGEXEXTRACT(J4610, ""^\d+"")"),"1")</f>
        <v>1</v>
      </c>
      <c r="Z4610" s="5" t="str">
        <f>IFERROR(__xludf.DUMMYFUNCTION("REGEXEXTRACT(J4610, ""[A-Za-z ]+$"")")," Season")</f>
        <v> Season</v>
      </c>
      <c r="AA4610" s="5" t="str">
        <f>IFERROR(__xludf.DUMMYFUNCTION("IF(REGEXMATCH(Z4610, ""Season""), ""TV Show"", ""Movie"")"),"TV Show")</f>
        <v>TV Show</v>
      </c>
    </row>
    <row r="4611">
      <c r="A4611" s="1" t="s">
        <v>24410</v>
      </c>
      <c r="B4611" s="1" t="s">
        <v>27</v>
      </c>
      <c r="C4611" s="1" t="s">
        <v>24411</v>
      </c>
      <c r="D4611" s="1" t="s">
        <v>20512</v>
      </c>
      <c r="E4611" s="1" t="s">
        <v>24412</v>
      </c>
      <c r="F4611" s="1" t="s">
        <v>63</v>
      </c>
      <c r="G4611" s="1" t="s">
        <v>24201</v>
      </c>
      <c r="H4611" s="1">
        <v>2016.0</v>
      </c>
      <c r="I4611" s="1" t="s">
        <v>97</v>
      </c>
      <c r="J4611" s="1" t="s">
        <v>2281</v>
      </c>
      <c r="K4611" s="1" t="s">
        <v>306</v>
      </c>
      <c r="L4611" s="1" t="s">
        <v>24413</v>
      </c>
      <c r="M4611" s="2" t="s">
        <v>12</v>
      </c>
      <c r="N4611" s="4">
        <f t="shared" si="1"/>
        <v>43374</v>
      </c>
      <c r="O4611" s="5" t="str">
        <f>IFERROR(__xludf.DUMMYFUNCTION("IF(REGEXMATCH(TRIM(I4611), ""^\d+\s*min""), ""Unclassified"", IF(I4611 = """", ""NR"", I4611))"),"TV-14")</f>
        <v>TV-14</v>
      </c>
      <c r="R4611" s="5" t="str">
        <f t="shared" si="2"/>
        <v>Tiger</v>
      </c>
      <c r="S4611" s="5" t="str">
        <f>IFERROR(__xludf.DUMMYFUNCTION("""COMPUTED_VALUE"""),"Million Yen Women")</f>
        <v>Million Yen Women</v>
      </c>
      <c r="V4611" s="5"/>
      <c r="Y4611" s="5" t="str">
        <f>IFERROR(__xludf.DUMMYFUNCTION("REGEXEXTRACT(J4611, ""^\d+"")"),"130")</f>
        <v>130</v>
      </c>
      <c r="Z4611" s="5" t="str">
        <f>IFERROR(__xludf.DUMMYFUNCTION("REGEXEXTRACT(J4611, ""[A-Za-z ]+$"")")," min")</f>
        <v> min</v>
      </c>
      <c r="AA4611" s="5" t="str">
        <f>IFERROR(__xludf.DUMMYFUNCTION("IF(REGEXMATCH(Z4611, ""Season""), ""TV Show"", ""Movie"")"),"Movie")</f>
        <v>Movie</v>
      </c>
    </row>
    <row r="4612">
      <c r="A4612" s="1" t="s">
        <v>24414</v>
      </c>
      <c r="B4612" s="1" t="s">
        <v>27</v>
      </c>
      <c r="C4612" s="1" t="s">
        <v>24415</v>
      </c>
      <c r="D4612" s="1" t="s">
        <v>8756</v>
      </c>
      <c r="E4612" s="1" t="s">
        <v>24416</v>
      </c>
      <c r="F4612" s="1" t="s">
        <v>63</v>
      </c>
      <c r="G4612" s="1" t="s">
        <v>24201</v>
      </c>
      <c r="H4612" s="1">
        <v>2010.0</v>
      </c>
      <c r="I4612" s="1" t="s">
        <v>42</v>
      </c>
      <c r="J4612" s="1" t="s">
        <v>4242</v>
      </c>
      <c r="K4612" s="1" t="s">
        <v>89</v>
      </c>
      <c r="L4612" s="1" t="s">
        <v>24417</v>
      </c>
      <c r="M4612" s="2" t="s">
        <v>12</v>
      </c>
      <c r="N4612" s="4">
        <f t="shared" si="1"/>
        <v>43374</v>
      </c>
      <c r="O4612" s="5" t="str">
        <f>IFERROR(__xludf.DUMMYFUNCTION("IF(REGEXMATCH(TRIM(I4612), ""^\d+\s*min""), ""Unclassified"", IF(I4612 = """", ""NR"", I4612))"),"TV-MA")</f>
        <v>TV-MA</v>
      </c>
      <c r="R4612" s="5" t="str">
        <f t="shared" si="2"/>
        <v>Udaan</v>
      </c>
      <c r="S4612" s="5" t="str">
        <f>IFERROR(__xludf.DUMMYFUNCTION("""COMPUTED_VALUE"""),"Mimi")</f>
        <v>Mimi</v>
      </c>
      <c r="V4612" s="5"/>
      <c r="Y4612" s="5" t="str">
        <f>IFERROR(__xludf.DUMMYFUNCTION("REGEXEXTRACT(J4612, ""^\d+"")"),"137")</f>
        <v>137</v>
      </c>
      <c r="Z4612" s="5" t="str">
        <f>IFERROR(__xludf.DUMMYFUNCTION("REGEXEXTRACT(J4612, ""[A-Za-z ]+$"")")," min")</f>
        <v> min</v>
      </c>
      <c r="AA4612" s="5" t="str">
        <f>IFERROR(__xludf.DUMMYFUNCTION("IF(REGEXMATCH(Z4612, ""Season""), ""TV Show"", ""Movie"")"),"Movie")</f>
        <v>Movie</v>
      </c>
    </row>
    <row r="4613">
      <c r="A4613" s="1" t="s">
        <v>24418</v>
      </c>
      <c r="B4613" s="1" t="s">
        <v>27</v>
      </c>
      <c r="C4613" s="1" t="s">
        <v>24419</v>
      </c>
      <c r="D4613" s="1" t="s">
        <v>16455</v>
      </c>
      <c r="E4613" s="1" t="s">
        <v>24420</v>
      </c>
      <c r="F4613" s="1" t="s">
        <v>63</v>
      </c>
      <c r="G4613" s="1" t="s">
        <v>24201</v>
      </c>
      <c r="H4613" s="1">
        <v>2012.0</v>
      </c>
      <c r="I4613" s="1" t="s">
        <v>97</v>
      </c>
      <c r="J4613" s="1" t="s">
        <v>1235</v>
      </c>
      <c r="K4613" s="1" t="s">
        <v>1421</v>
      </c>
      <c r="L4613" s="1" t="s">
        <v>24421</v>
      </c>
      <c r="M4613" s="2" t="s">
        <v>12</v>
      </c>
      <c r="N4613" s="4">
        <f t="shared" si="1"/>
        <v>43374</v>
      </c>
      <c r="O4613" s="5" t="str">
        <f>IFERROR(__xludf.DUMMYFUNCTION("IF(REGEXMATCH(TRIM(I4613), ""^\d+\s*min""), ""Unclassified"", IF(I4613 = """", ""NR"", I4613))"),"TV-14")</f>
        <v>TV-14</v>
      </c>
      <c r="R4613" s="5" t="str">
        <f t="shared" si="2"/>
        <v>Vettai</v>
      </c>
      <c r="S4613" s="5" t="str">
        <f>IFERROR(__xludf.DUMMYFUNCTION("""COMPUTED_VALUE"""),"Mind Game")</f>
        <v>Mind Game</v>
      </c>
      <c r="V4613" s="5"/>
      <c r="Y4613" s="5" t="str">
        <f>IFERROR(__xludf.DUMMYFUNCTION("REGEXEXTRACT(J4613, ""^\d+"")"),"156")</f>
        <v>156</v>
      </c>
      <c r="Z4613" s="5" t="str">
        <f>IFERROR(__xludf.DUMMYFUNCTION("REGEXEXTRACT(J4613, ""[A-Za-z ]+$"")")," min")</f>
        <v> min</v>
      </c>
      <c r="AA4613" s="5" t="str">
        <f>IFERROR(__xludf.DUMMYFUNCTION("IF(REGEXMATCH(Z4613, ""Season""), ""TV Show"", ""Movie"")"),"Movie")</f>
        <v>Movie</v>
      </c>
    </row>
    <row r="4614">
      <c r="A4614" s="1" t="s">
        <v>24422</v>
      </c>
      <c r="B4614" s="1" t="s">
        <v>27</v>
      </c>
      <c r="C4614" s="1" t="s">
        <v>24423</v>
      </c>
      <c r="D4614" s="1" t="s">
        <v>2831</v>
      </c>
      <c r="E4614" s="1" t="s">
        <v>24424</v>
      </c>
      <c r="F4614" s="1" t="s">
        <v>63</v>
      </c>
      <c r="G4614" s="1" t="s">
        <v>24201</v>
      </c>
      <c r="H4614" s="1">
        <v>2009.0</v>
      </c>
      <c r="I4614" s="1" t="s">
        <v>97</v>
      </c>
      <c r="J4614" s="1" t="s">
        <v>2505</v>
      </c>
      <c r="K4614" s="1" t="s">
        <v>215</v>
      </c>
      <c r="L4614" s="1" t="s">
        <v>24425</v>
      </c>
      <c r="M4614" s="2" t="s">
        <v>12</v>
      </c>
      <c r="N4614" s="4">
        <f t="shared" si="1"/>
        <v>43374</v>
      </c>
      <c r="O4614" s="5" t="str">
        <f>IFERROR(__xludf.DUMMYFUNCTION("IF(REGEXMATCH(TRIM(I4614), ""^\d+\s*min""), ""Unclassified"", IF(I4614 = """", ""NR"", I4614))"),"TV-14")</f>
        <v>TV-14</v>
      </c>
      <c r="R4614" s="5" t="str">
        <f t="shared" si="2"/>
        <v>Wake Up Sid</v>
      </c>
      <c r="S4614" s="5" t="str">
        <f>IFERROR(__xludf.DUMMYFUNCTION("""COMPUTED_VALUE"""),"Mindgamers")</f>
        <v>Mindgamers</v>
      </c>
      <c r="V4614" s="5"/>
      <c r="Y4614" s="5" t="str">
        <f>IFERROR(__xludf.DUMMYFUNCTION("REGEXEXTRACT(J4614, ""^\d+"")"),"132")</f>
        <v>132</v>
      </c>
      <c r="Z4614" s="5" t="str">
        <f>IFERROR(__xludf.DUMMYFUNCTION("REGEXEXTRACT(J4614, ""[A-Za-z ]+$"")")," min")</f>
        <v> min</v>
      </c>
      <c r="AA4614" s="5" t="str">
        <f>IFERROR(__xludf.DUMMYFUNCTION("IF(REGEXMATCH(Z4614, ""Season""), ""TV Show"", ""Movie"")"),"Movie")</f>
        <v>Movie</v>
      </c>
    </row>
    <row r="4615">
      <c r="A4615" s="1" t="s">
        <v>24426</v>
      </c>
      <c r="B4615" s="1" t="s">
        <v>27</v>
      </c>
      <c r="C4615" s="1" t="s">
        <v>24427</v>
      </c>
      <c r="D4615" s="1" t="s">
        <v>21185</v>
      </c>
      <c r="E4615" s="1" t="s">
        <v>24428</v>
      </c>
      <c r="F4615" s="1" t="s">
        <v>24429</v>
      </c>
      <c r="G4615" s="1" t="s">
        <v>24201</v>
      </c>
      <c r="H4615" s="1">
        <v>2010.0</v>
      </c>
      <c r="I4615" s="1" t="s">
        <v>97</v>
      </c>
      <c r="J4615" s="1" t="s">
        <v>804</v>
      </c>
      <c r="K4615" s="1" t="s">
        <v>128</v>
      </c>
      <c r="L4615" s="1" t="s">
        <v>24430</v>
      </c>
      <c r="M4615" s="2" t="s">
        <v>12</v>
      </c>
      <c r="N4615" s="4">
        <f t="shared" si="1"/>
        <v>43374</v>
      </c>
      <c r="O4615" s="5" t="str">
        <f>IFERROR(__xludf.DUMMYFUNCTION("IF(REGEXMATCH(TRIM(I4615), ""^\d+\s*min""), ""Unclassified"", IF(I4615 = """", ""NR"", I4615))"),"TV-14")</f>
        <v>TV-14</v>
      </c>
      <c r="R4615" s="5" t="str">
        <f t="shared" si="2"/>
        <v>We Are Family</v>
      </c>
      <c r="S4615" s="5" t="str">
        <f>IFERROR(__xludf.DUMMYFUNCTION("""COMPUTED_VALUE"""),"Mindhorn")</f>
        <v>Mindhorn</v>
      </c>
      <c r="V4615" s="5"/>
      <c r="Y4615" s="5" t="str">
        <f>IFERROR(__xludf.DUMMYFUNCTION("REGEXEXTRACT(J4615, ""^\d+"")"),"119")</f>
        <v>119</v>
      </c>
      <c r="Z4615" s="5" t="str">
        <f>IFERROR(__xludf.DUMMYFUNCTION("REGEXEXTRACT(J4615, ""[A-Za-z ]+$"")")," min")</f>
        <v> min</v>
      </c>
      <c r="AA4615" s="5" t="str">
        <f>IFERROR(__xludf.DUMMYFUNCTION("IF(REGEXMATCH(Z4615, ""Season""), ""TV Show"", ""Movie"")"),"Movie")</f>
        <v>Movie</v>
      </c>
    </row>
    <row r="4616">
      <c r="A4616" s="1" t="s">
        <v>24431</v>
      </c>
      <c r="B4616" s="1" t="s">
        <v>27</v>
      </c>
      <c r="C4616" s="1" t="s">
        <v>24432</v>
      </c>
      <c r="D4616" s="1" t="s">
        <v>20097</v>
      </c>
      <c r="E4616" s="1" t="s">
        <v>24433</v>
      </c>
      <c r="F4616" s="1" t="s">
        <v>63</v>
      </c>
      <c r="G4616" s="1" t="s">
        <v>24201</v>
      </c>
      <c r="H4616" s="1">
        <v>2015.0</v>
      </c>
      <c r="I4616" s="1" t="s">
        <v>136</v>
      </c>
      <c r="J4616" s="1" t="s">
        <v>1704</v>
      </c>
      <c r="K4616" s="1" t="s">
        <v>215</v>
      </c>
      <c r="L4616" s="1" t="s">
        <v>24434</v>
      </c>
      <c r="M4616" s="2" t="s">
        <v>12</v>
      </c>
      <c r="N4616" s="4">
        <f t="shared" si="1"/>
        <v>43374</v>
      </c>
      <c r="O4616" s="5" t="str">
        <f>IFERROR(__xludf.DUMMYFUNCTION("IF(REGEXMATCH(TRIM(I4616), ""^\d+\s*min""), ""Unclassified"", IF(I4616 = """", ""NR"", I4616))"),"TV-PG")</f>
        <v>TV-PG</v>
      </c>
      <c r="R4616" s="5" t="str">
        <f t="shared" si="2"/>
        <v>What The Jatt!!</v>
      </c>
      <c r="S4616" s="5" t="str">
        <f>IFERROR(__xludf.DUMMYFUNCTION("""COMPUTED_VALUE"""),"Mindhunter")</f>
        <v>Mindhunter</v>
      </c>
      <c r="V4616" s="5"/>
      <c r="Y4616" s="5" t="str">
        <f>IFERROR(__xludf.DUMMYFUNCTION("REGEXEXTRACT(J4616, ""^\d+"")"),"140")</f>
        <v>140</v>
      </c>
      <c r="Z4616" s="5" t="str">
        <f>IFERROR(__xludf.DUMMYFUNCTION("REGEXEXTRACT(J4616, ""[A-Za-z ]+$"")")," min")</f>
        <v> min</v>
      </c>
      <c r="AA4616" s="5" t="str">
        <f>IFERROR(__xludf.DUMMYFUNCTION("IF(REGEXMATCH(Z4616, ""Season""), ""TV Show"", ""Movie"")"),"Movie")</f>
        <v>Movie</v>
      </c>
    </row>
    <row r="4617">
      <c r="A4617" s="1" t="s">
        <v>24435</v>
      </c>
      <c r="B4617" s="1" t="s">
        <v>27</v>
      </c>
      <c r="C4617" s="1" t="s">
        <v>24436</v>
      </c>
      <c r="D4617" s="1" t="s">
        <v>2163</v>
      </c>
      <c r="E4617" s="1" t="s">
        <v>24437</v>
      </c>
      <c r="F4617" s="1" t="s">
        <v>19350</v>
      </c>
      <c r="G4617" s="1" t="s">
        <v>24201</v>
      </c>
      <c r="H4617" s="1">
        <v>2016.0</v>
      </c>
      <c r="I4617" s="1" t="s">
        <v>97</v>
      </c>
      <c r="J4617" s="1" t="s">
        <v>3458</v>
      </c>
      <c r="K4617" s="1" t="s">
        <v>679</v>
      </c>
      <c r="L4617" s="1" t="s">
        <v>24438</v>
      </c>
      <c r="M4617" s="2" t="s">
        <v>12</v>
      </c>
      <c r="N4617" s="4">
        <f t="shared" si="1"/>
        <v>43374</v>
      </c>
      <c r="O4617" s="5" t="str">
        <f>IFERROR(__xludf.DUMMYFUNCTION("IF(REGEXMATCH(TRIM(I4617), ""^\d+\s*min""), ""Unclassified"", IF(I4617 = """", ""NR"", I4617))"),"TV-14")</f>
        <v>TV-14</v>
      </c>
      <c r="R4617" s="5" t="str">
        <f t="shared" si="2"/>
        <v>Zindagi Kitni Haseen Hay</v>
      </c>
      <c r="S4617" s="5" t="str">
        <f>IFERROR(__xludf.DUMMYFUNCTION("""COMPUTED_VALUE"""),"Mine")</f>
        <v>Mine</v>
      </c>
      <c r="V4617" s="5"/>
      <c r="Y4617" s="5" t="str">
        <f>IFERROR(__xludf.DUMMYFUNCTION("REGEXEXTRACT(J4617, ""^\d+"")"),"126")</f>
        <v>126</v>
      </c>
      <c r="Z4617" s="5" t="str">
        <f>IFERROR(__xludf.DUMMYFUNCTION("REGEXEXTRACT(J4617, ""[A-Za-z ]+$"")")," min")</f>
        <v> min</v>
      </c>
      <c r="AA4617" s="5" t="str">
        <f>IFERROR(__xludf.DUMMYFUNCTION("IF(REGEXMATCH(Z4617, ""Season""), ""TV Show"", ""Movie"")"),"Movie")</f>
        <v>Movie</v>
      </c>
    </row>
    <row r="4618">
      <c r="A4618" s="1" t="s">
        <v>24439</v>
      </c>
      <c r="B4618" s="1" t="s">
        <v>27</v>
      </c>
      <c r="C4618" s="1" t="s">
        <v>24440</v>
      </c>
      <c r="D4618" s="1" t="s">
        <v>12728</v>
      </c>
      <c r="E4618" s="1" t="s">
        <v>24441</v>
      </c>
      <c r="F4618" s="1" t="s">
        <v>692</v>
      </c>
      <c r="G4618" s="1" t="s">
        <v>24442</v>
      </c>
      <c r="H4618" s="1">
        <v>2012.0</v>
      </c>
      <c r="I4618" s="1" t="s">
        <v>78</v>
      </c>
      <c r="J4618" s="1" t="s">
        <v>1256</v>
      </c>
      <c r="K4618" s="1" t="s">
        <v>771</v>
      </c>
      <c r="L4618" s="1" t="s">
        <v>24443</v>
      </c>
      <c r="M4618" s="2" t="s">
        <v>12</v>
      </c>
      <c r="N4618" s="4">
        <f t="shared" si="1"/>
        <v>43373</v>
      </c>
      <c r="O4618" s="5" t="str">
        <f>IFERROR(__xludf.DUMMYFUNCTION("IF(REGEXMATCH(TRIM(I4618), ""^\d+\s*min""), ""Unclassified"", IF(I4618 = """", ""NR"", I4618))"),"PG")</f>
        <v>PG</v>
      </c>
      <c r="R4618" s="5" t="str">
        <f t="shared" si="2"/>
        <v>Big Miracle</v>
      </c>
      <c r="S4618" s="5" t="str">
        <f>IFERROR(__xludf.DUMMYFUNCTION("""COMPUTED_VALUE"""),"Mine 9")</f>
        <v>Mine 9</v>
      </c>
      <c r="V4618" s="5"/>
      <c r="Y4618" s="5" t="str">
        <f>IFERROR(__xludf.DUMMYFUNCTION("REGEXEXTRACT(J4618, ""^\d+"")"),"107")</f>
        <v>107</v>
      </c>
      <c r="Z4618" s="5" t="str">
        <f>IFERROR(__xludf.DUMMYFUNCTION("REGEXEXTRACT(J4618, ""[A-Za-z ]+$"")")," min")</f>
        <v> min</v>
      </c>
      <c r="AA4618" s="5" t="str">
        <f>IFERROR(__xludf.DUMMYFUNCTION("IF(REGEXMATCH(Z4618, ""Season""), ""TV Show"", ""Movie"")"),"Movie")</f>
        <v>Movie</v>
      </c>
    </row>
    <row r="4619">
      <c r="A4619" s="1" t="s">
        <v>24444</v>
      </c>
      <c r="B4619" s="1" t="s">
        <v>27</v>
      </c>
      <c r="C4619" s="1" t="s">
        <v>24445</v>
      </c>
      <c r="D4619" s="1" t="s">
        <v>16296</v>
      </c>
      <c r="E4619" s="1" t="s">
        <v>24446</v>
      </c>
      <c r="F4619" s="1" t="s">
        <v>1992</v>
      </c>
      <c r="G4619" s="1" t="s">
        <v>24447</v>
      </c>
      <c r="H4619" s="1">
        <v>2018.0</v>
      </c>
      <c r="I4619" s="1" t="s">
        <v>42</v>
      </c>
      <c r="J4619" s="1" t="s">
        <v>264</v>
      </c>
      <c r="K4619" s="1" t="s">
        <v>89</v>
      </c>
      <c r="L4619" s="1" t="s">
        <v>24448</v>
      </c>
      <c r="M4619" s="2" t="s">
        <v>12</v>
      </c>
      <c r="N4619" s="4">
        <f t="shared" si="1"/>
        <v>43372</v>
      </c>
      <c r="O4619" s="5" t="str">
        <f>IFERROR(__xludf.DUMMYFUNCTION("IF(REGEXMATCH(TRIM(I4619), ""^\d+\s*min""), ""Unclassified"", IF(I4619 = """", ""NR"", I4619))"),"TV-MA")</f>
        <v>TV-MA</v>
      </c>
      <c r="R4619" s="5" t="str">
        <f t="shared" si="2"/>
        <v>Paradise Lost</v>
      </c>
      <c r="S4619" s="5" t="str">
        <f>IFERROR(__xludf.DUMMYFUNCTION("""COMPUTED_VALUE"""),"Minecraft: Story Mode")</f>
        <v>Minecraft: Story Mode</v>
      </c>
      <c r="V4619" s="5"/>
      <c r="Y4619" s="5" t="str">
        <f>IFERROR(__xludf.DUMMYFUNCTION("REGEXEXTRACT(J4619, ""^\d+"")"),"111")</f>
        <v>111</v>
      </c>
      <c r="Z4619" s="5" t="str">
        <f>IFERROR(__xludf.DUMMYFUNCTION("REGEXEXTRACT(J4619, ""[A-Za-z ]+$"")")," min")</f>
        <v> min</v>
      </c>
      <c r="AA4619" s="5" t="str">
        <f>IFERROR(__xludf.DUMMYFUNCTION("IF(REGEXMATCH(Z4619, ""Season""), ""TV Show"", ""Movie"")"),"Movie")</f>
        <v>Movie</v>
      </c>
    </row>
    <row r="4620">
      <c r="A4620" s="1" t="s">
        <v>24449</v>
      </c>
      <c r="B4620" s="1" t="s">
        <v>27</v>
      </c>
      <c r="C4620" s="1" t="s">
        <v>24450</v>
      </c>
      <c r="D4620" s="1" t="s">
        <v>8956</v>
      </c>
      <c r="E4620" s="1" t="s">
        <v>24451</v>
      </c>
      <c r="F4620" s="1" t="s">
        <v>3892</v>
      </c>
      <c r="G4620" s="1" t="s">
        <v>24452</v>
      </c>
      <c r="H4620" s="1">
        <v>2018.0</v>
      </c>
      <c r="I4620" s="1" t="s">
        <v>42</v>
      </c>
      <c r="J4620" s="1" t="s">
        <v>2281</v>
      </c>
      <c r="K4620" s="1" t="s">
        <v>13636</v>
      </c>
      <c r="L4620" s="1" t="s">
        <v>24453</v>
      </c>
      <c r="M4620" s="2" t="s">
        <v>12</v>
      </c>
      <c r="N4620" s="4">
        <f t="shared" si="1"/>
        <v>43371</v>
      </c>
      <c r="O4620" s="5" t="str">
        <f>IFERROR(__xludf.DUMMYFUNCTION("IF(REGEXMATCH(TRIM(I4620), ""^\d+\s*min""), ""Unclassified"", IF(I4620 = """", ""NR"", I4620))"),"TV-MA")</f>
        <v>TV-MA</v>
      </c>
      <c r="R4620" s="5" t="str">
        <f t="shared" si="2"/>
        <v>Animal World</v>
      </c>
      <c r="S4620" s="5" t="str">
        <f>IFERROR(__xludf.DUMMYFUNCTION("""COMPUTED_VALUE"""),"Mini Wolf")</f>
        <v>Mini Wolf</v>
      </c>
      <c r="V4620" s="5"/>
      <c r="Y4620" s="5" t="str">
        <f>IFERROR(__xludf.DUMMYFUNCTION("REGEXEXTRACT(J4620, ""^\d+"")"),"130")</f>
        <v>130</v>
      </c>
      <c r="Z4620" s="5" t="str">
        <f>IFERROR(__xludf.DUMMYFUNCTION("REGEXEXTRACT(J4620, ""[A-Za-z ]+$"")")," min")</f>
        <v> min</v>
      </c>
      <c r="AA4620" s="5" t="str">
        <f>IFERROR(__xludf.DUMMYFUNCTION("IF(REGEXMATCH(Z4620, ""Season""), ""TV Show"", ""Movie"")"),"Movie")</f>
        <v>Movie</v>
      </c>
    </row>
    <row r="4621">
      <c r="A4621" s="1" t="s">
        <v>24454</v>
      </c>
      <c r="B4621" s="1" t="s">
        <v>27</v>
      </c>
      <c r="C4621" s="1" t="s">
        <v>24455</v>
      </c>
      <c r="D4621" s="1" t="s">
        <v>10829</v>
      </c>
      <c r="E4621" s="1" t="s">
        <v>24456</v>
      </c>
      <c r="F4621" s="1" t="s">
        <v>30</v>
      </c>
      <c r="G4621" s="1" t="s">
        <v>24452</v>
      </c>
      <c r="H4621" s="1">
        <v>2018.0</v>
      </c>
      <c r="I4621" s="1" t="s">
        <v>42</v>
      </c>
      <c r="J4621" s="1" t="s">
        <v>3458</v>
      </c>
      <c r="K4621" s="1" t="s">
        <v>323</v>
      </c>
      <c r="L4621" s="1" t="s">
        <v>24457</v>
      </c>
      <c r="M4621" s="2" t="s">
        <v>12</v>
      </c>
      <c r="N4621" s="4">
        <f t="shared" si="1"/>
        <v>43371</v>
      </c>
      <c r="O4621" s="5" t="str">
        <f>IFERROR(__xludf.DUMMYFUNCTION("IF(REGEXMATCH(TRIM(I4621), ""^\d+\s*min""), ""Unclassified"", IF(I4621 = """", ""NR"", I4621))"),"TV-MA")</f>
        <v>TV-MA</v>
      </c>
      <c r="R4621" s="5" t="str">
        <f t="shared" si="2"/>
        <v>Hold The Dark</v>
      </c>
      <c r="S4621" s="5" t="str">
        <f>IFERROR(__xludf.DUMMYFUNCTION("""COMPUTED_VALUE"""),"Miniforce")</f>
        <v>Miniforce</v>
      </c>
      <c r="V4621" s="5"/>
      <c r="Y4621" s="5" t="str">
        <f>IFERROR(__xludf.DUMMYFUNCTION("REGEXEXTRACT(J4621, ""^\d+"")"),"126")</f>
        <v>126</v>
      </c>
      <c r="Z4621" s="5" t="str">
        <f>IFERROR(__xludf.DUMMYFUNCTION("REGEXEXTRACT(J4621, ""[A-Za-z ]+$"")")," min")</f>
        <v> min</v>
      </c>
      <c r="AA4621" s="5" t="str">
        <f>IFERROR(__xludf.DUMMYFUNCTION("IF(REGEXMATCH(Z4621, ""Season""), ""TV Show"", ""Movie"")"),"Movie")</f>
        <v>Movie</v>
      </c>
    </row>
    <row r="4622">
      <c r="A4622" s="1" t="s">
        <v>24458</v>
      </c>
      <c r="B4622" s="1" t="s">
        <v>27</v>
      </c>
      <c r="C4622" s="1" t="s">
        <v>24459</v>
      </c>
      <c r="D4622" s="1" t="s">
        <v>12968</v>
      </c>
      <c r="F4622" s="1" t="s">
        <v>30</v>
      </c>
      <c r="G4622" s="1" t="s">
        <v>24452</v>
      </c>
      <c r="H4622" s="1">
        <v>2018.0</v>
      </c>
      <c r="I4622" s="1" t="s">
        <v>97</v>
      </c>
      <c r="J4622" s="1" t="s">
        <v>7058</v>
      </c>
      <c r="K4622" s="1" t="s">
        <v>34</v>
      </c>
      <c r="L4622" s="1" t="s">
        <v>24460</v>
      </c>
      <c r="M4622" s="2" t="s">
        <v>12</v>
      </c>
      <c r="N4622" s="4">
        <f t="shared" si="1"/>
        <v>43371</v>
      </c>
      <c r="O4622" s="5" t="str">
        <f>IFERROR(__xludf.DUMMYFUNCTION("IF(REGEXMATCH(TRIM(I4622), ""^\d+\s*min""), ""Unclassified"", IF(I4622 = """", ""NR"", I4622))"),"TV-14")</f>
        <v>TV-14</v>
      </c>
      <c r="R4622" s="5" t="str">
        <f t="shared" si="2"/>
        <v>Lessons From A School Shooting: Notes From Dunblane</v>
      </c>
      <c r="S4622" s="5" t="str">
        <f>IFERROR(__xludf.DUMMYFUNCTION("""COMPUTED_VALUE"""),"Miniforce X")</f>
        <v>Miniforce X</v>
      </c>
      <c r="V4622" s="5"/>
      <c r="Y4622" s="5" t="str">
        <f>IFERROR(__xludf.DUMMYFUNCTION("REGEXEXTRACT(J4622, ""^\d+"")"),"24")</f>
        <v>24</v>
      </c>
      <c r="Z4622" s="5" t="str">
        <f>IFERROR(__xludf.DUMMYFUNCTION("REGEXEXTRACT(J4622, ""[A-Za-z ]+$"")")," min")</f>
        <v> min</v>
      </c>
      <c r="AA4622" s="5" t="str">
        <f>IFERROR(__xludf.DUMMYFUNCTION("IF(REGEXMATCH(Z4622, ""Season""), ""TV Show"", ""Movie"")"),"Movie")</f>
        <v>Movie</v>
      </c>
    </row>
    <row r="4623">
      <c r="A4623" s="1" t="s">
        <v>24461</v>
      </c>
      <c r="B4623" s="1" t="s">
        <v>37</v>
      </c>
      <c r="C4623" s="1" t="s">
        <v>24462</v>
      </c>
      <c r="F4623" s="1" t="s">
        <v>30</v>
      </c>
      <c r="G4623" s="1" t="s">
        <v>24452</v>
      </c>
      <c r="H4623" s="1">
        <v>2018.0</v>
      </c>
      <c r="I4623" s="1" t="s">
        <v>42</v>
      </c>
      <c r="J4623" s="1" t="s">
        <v>51</v>
      </c>
      <c r="K4623" s="1" t="s">
        <v>4146</v>
      </c>
      <c r="L4623" s="1" t="s">
        <v>24463</v>
      </c>
      <c r="M4623" s="2" t="s">
        <v>12</v>
      </c>
      <c r="N4623" s="4">
        <f t="shared" si="1"/>
        <v>43371</v>
      </c>
      <c r="O4623" s="5" t="str">
        <f>IFERROR(__xludf.DUMMYFUNCTION("IF(REGEXMATCH(TRIM(I4623), ""^\d+\s*min""), ""Unclassified"", IF(I4623 = """", ""NR"", I4623))"),"TV-MA")</f>
        <v>TV-MA</v>
      </c>
      <c r="R4623" s="5" t="str">
        <f t="shared" si="2"/>
        <v>Made In Mexico</v>
      </c>
      <c r="S4623" s="5" t="str">
        <f>IFERROR(__xludf.DUMMYFUNCTION("""COMPUTED_VALUE"""),"Miniforce: Super Dino Power")</f>
        <v>Miniforce: Super Dino Power</v>
      </c>
      <c r="V4623" s="5"/>
      <c r="Y4623" s="5" t="str">
        <f>IFERROR(__xludf.DUMMYFUNCTION("REGEXEXTRACT(J4623, ""^\d+"")"),"1")</f>
        <v>1</v>
      </c>
      <c r="Z4623" s="5" t="str">
        <f>IFERROR(__xludf.DUMMYFUNCTION("REGEXEXTRACT(J4623, ""[A-Za-z ]+$"")")," Season")</f>
        <v> Season</v>
      </c>
      <c r="AA4623" s="5" t="str">
        <f>IFERROR(__xludf.DUMMYFUNCTION("IF(REGEXMATCH(Z4623, ""Season""), ""TV Show"", ""Movie"")"),"TV Show")</f>
        <v>TV Show</v>
      </c>
    </row>
    <row r="4624">
      <c r="A4624" s="1" t="s">
        <v>24464</v>
      </c>
      <c r="B4624" s="1" t="s">
        <v>37</v>
      </c>
      <c r="C4624" s="1" t="s">
        <v>24465</v>
      </c>
      <c r="E4624" s="1" t="s">
        <v>24466</v>
      </c>
      <c r="F4624" s="1" t="s">
        <v>1106</v>
      </c>
      <c r="G4624" s="1" t="s">
        <v>24452</v>
      </c>
      <c r="H4624" s="1">
        <v>2018.0</v>
      </c>
      <c r="I4624" s="1" t="s">
        <v>289</v>
      </c>
      <c r="J4624" s="1" t="s">
        <v>43</v>
      </c>
      <c r="K4624" s="1" t="s">
        <v>290</v>
      </c>
      <c r="L4624" s="1" t="s">
        <v>24467</v>
      </c>
      <c r="M4624" s="2" t="s">
        <v>12</v>
      </c>
      <c r="N4624" s="4">
        <f t="shared" si="1"/>
        <v>43371</v>
      </c>
      <c r="O4624" s="5" t="str">
        <f>IFERROR(__xludf.DUMMYFUNCTION("IF(REGEXMATCH(TRIM(I4624), ""^\d+\s*min""), ""Unclassified"", IF(I4624 = """", ""NR"", I4624))"),"TV-Y7")</f>
        <v>TV-Y7</v>
      </c>
      <c r="R4624" s="5" t="str">
        <f t="shared" si="2"/>
        <v>Reboot: The Guardian Code</v>
      </c>
      <c r="S4624" s="5" t="str">
        <f>IFERROR(__xludf.DUMMYFUNCTION("""COMPUTED_VALUE"""),"Minimalism: A Documentary About The Important Things")</f>
        <v>Minimalism: A Documentary About The Important Things</v>
      </c>
      <c r="V4624" s="5"/>
      <c r="Y4624" s="5" t="str">
        <f>IFERROR(__xludf.DUMMYFUNCTION("REGEXEXTRACT(J4624, ""^\d+"")"),"2")</f>
        <v>2</v>
      </c>
      <c r="Z4624" s="5" t="str">
        <f>IFERROR(__xludf.DUMMYFUNCTION("REGEXEXTRACT(J4624, ""[A-Za-z ]+$"")")," Seasons")</f>
        <v> Seasons</v>
      </c>
      <c r="AA4624" s="5" t="str">
        <f>IFERROR(__xludf.DUMMYFUNCTION("IF(REGEXMATCH(Z4624, ""Season""), ""TV Show"", ""Movie"")"),"TV Show")</f>
        <v>TV Show</v>
      </c>
    </row>
    <row r="4625">
      <c r="A4625" s="1" t="s">
        <v>24468</v>
      </c>
      <c r="B4625" s="1" t="s">
        <v>37</v>
      </c>
      <c r="C4625" s="1" t="s">
        <v>24469</v>
      </c>
      <c r="E4625" s="1" t="s">
        <v>24470</v>
      </c>
      <c r="F4625" s="1" t="s">
        <v>15770</v>
      </c>
      <c r="G4625" s="1" t="s">
        <v>24452</v>
      </c>
      <c r="H4625" s="1">
        <v>2018.0</v>
      </c>
      <c r="I4625" s="1" t="s">
        <v>289</v>
      </c>
      <c r="J4625" s="1" t="s">
        <v>276</v>
      </c>
      <c r="K4625" s="1" t="s">
        <v>314</v>
      </c>
      <c r="L4625" s="1" t="s">
        <v>24471</v>
      </c>
      <c r="M4625" s="2" t="s">
        <v>12</v>
      </c>
      <c r="N4625" s="4">
        <f t="shared" si="1"/>
        <v>43371</v>
      </c>
      <c r="O4625" s="5" t="str">
        <f>IFERROR(__xludf.DUMMYFUNCTION("IF(REGEXMATCH(TRIM(I4625), ""^\d+\s*min""), ""Unclassified"", IF(I4625 = """", ""NR"", I4625))"),"TV-Y7")</f>
        <v>TV-Y7</v>
      </c>
      <c r="R4625" s="5" t="str">
        <f t="shared" si="2"/>
        <v>Skylanders Academy</v>
      </c>
      <c r="S4625" s="5" t="str">
        <f>IFERROR(__xludf.DUMMYFUNCTION("""COMPUTED_VALUE"""),"Minnaminugu The Firefly")</f>
        <v>Minnaminugu The Firefly</v>
      </c>
      <c r="V4625" s="5"/>
      <c r="Y4625" s="5" t="str">
        <f>IFERROR(__xludf.DUMMYFUNCTION("REGEXEXTRACT(J4625, ""^\d+"")"),"3")</f>
        <v>3</v>
      </c>
      <c r="Z4625" s="5" t="str">
        <f>IFERROR(__xludf.DUMMYFUNCTION("REGEXEXTRACT(J4625, ""[A-Za-z ]+$"")")," Seasons")</f>
        <v> Seasons</v>
      </c>
      <c r="AA4625" s="5" t="str">
        <f>IFERROR(__xludf.DUMMYFUNCTION("IF(REGEXMATCH(Z4625, ""Season""), ""TV Show"", ""Movie"")"),"TV Show")</f>
        <v>TV Show</v>
      </c>
    </row>
    <row r="4626">
      <c r="A4626" s="1" t="s">
        <v>24472</v>
      </c>
      <c r="B4626" s="1" t="s">
        <v>27</v>
      </c>
      <c r="C4626" s="1" t="s">
        <v>24473</v>
      </c>
      <c r="D4626" s="1" t="s">
        <v>19590</v>
      </c>
      <c r="E4626" s="1" t="s">
        <v>24474</v>
      </c>
      <c r="F4626" s="1" t="s">
        <v>2873</v>
      </c>
      <c r="G4626" s="1" t="s">
        <v>24452</v>
      </c>
      <c r="H4626" s="1">
        <v>2018.0</v>
      </c>
      <c r="I4626" s="1" t="s">
        <v>42</v>
      </c>
      <c r="J4626" s="1" t="s">
        <v>912</v>
      </c>
      <c r="K4626" s="1" t="s">
        <v>1441</v>
      </c>
      <c r="L4626" s="1" t="s">
        <v>24475</v>
      </c>
      <c r="M4626" s="2" t="s">
        <v>12</v>
      </c>
      <c r="N4626" s="4">
        <f t="shared" si="1"/>
        <v>43371</v>
      </c>
      <c r="O4626" s="5" t="str">
        <f>IFERROR(__xludf.DUMMYFUNCTION("IF(REGEXMATCH(TRIM(I4626), ""^\d+\s*min""), ""Unclassified"", IF(I4626 = """", ""NR"", I4626))"),"TV-MA")</f>
        <v>TV-MA</v>
      </c>
      <c r="R4626" s="5" t="str">
        <f t="shared" si="2"/>
        <v>The 3Rd Eye</v>
      </c>
      <c r="S4626" s="5" t="str">
        <f>IFERROR(__xludf.DUMMYFUNCTION("""COMPUTED_VALUE"""),"Minsara Kanavu")</f>
        <v>Minsara Kanavu</v>
      </c>
      <c r="V4626" s="5"/>
      <c r="Y4626" s="5" t="str">
        <f>IFERROR(__xludf.DUMMYFUNCTION("REGEXEXTRACT(J4626, ""^\d+"")"),"108")</f>
        <v>108</v>
      </c>
      <c r="Z4626" s="5" t="str">
        <f>IFERROR(__xludf.DUMMYFUNCTION("REGEXEXTRACT(J4626, ""[A-Za-z ]+$"")")," min")</f>
        <v> min</v>
      </c>
      <c r="AA4626" s="5" t="str">
        <f>IFERROR(__xludf.DUMMYFUNCTION("IF(REGEXMATCH(Z4626, ""Season""), ""TV Show"", ""Movie"")"),"Movie")</f>
        <v>Movie</v>
      </c>
    </row>
    <row r="4627">
      <c r="A4627" s="1" t="s">
        <v>24476</v>
      </c>
      <c r="B4627" s="1" t="s">
        <v>27</v>
      </c>
      <c r="C4627" s="1" t="s">
        <v>24477</v>
      </c>
      <c r="D4627" s="1" t="s">
        <v>1505</v>
      </c>
      <c r="F4627" s="1" t="s">
        <v>784</v>
      </c>
      <c r="G4627" s="1" t="s">
        <v>24452</v>
      </c>
      <c r="H4627" s="1">
        <v>2018.0</v>
      </c>
      <c r="I4627" s="1" t="s">
        <v>42</v>
      </c>
      <c r="J4627" s="1" t="s">
        <v>743</v>
      </c>
      <c r="K4627" s="1" t="s">
        <v>156</v>
      </c>
      <c r="L4627" s="1" t="s">
        <v>24478</v>
      </c>
      <c r="M4627" s="2" t="s">
        <v>12</v>
      </c>
      <c r="N4627" s="4">
        <f t="shared" si="1"/>
        <v>43371</v>
      </c>
      <c r="O4627" s="5" t="str">
        <f>IFERROR(__xludf.DUMMYFUNCTION("IF(REGEXMATCH(TRIM(I4627), ""^\d+\s*min""), ""Unclassified"", IF(I4627 = """", ""NR"", I4627))"),"TV-MA")</f>
        <v>TV-MA</v>
      </c>
      <c r="R4627" s="5" t="str">
        <f t="shared" si="2"/>
        <v>Two Catalonias</v>
      </c>
      <c r="S4627" s="5" t="str">
        <f>IFERROR(__xludf.DUMMYFUNCTION("""COMPUTED_VALUE"""),"Minute To Win It")</f>
        <v>Minute To Win It</v>
      </c>
      <c r="V4627" s="5"/>
      <c r="Y4627" s="5" t="str">
        <f>IFERROR(__xludf.DUMMYFUNCTION("REGEXEXTRACT(J4627, ""^\d+"")"),"117")</f>
        <v>117</v>
      </c>
      <c r="Z4627" s="5" t="str">
        <f>IFERROR(__xludf.DUMMYFUNCTION("REGEXEXTRACT(J4627, ""[A-Za-z ]+$"")")," min")</f>
        <v> min</v>
      </c>
      <c r="AA4627" s="5" t="str">
        <f>IFERROR(__xludf.DUMMYFUNCTION("IF(REGEXMATCH(Z4627, ""Season""), ""TV Show"", ""Movie"")"),"Movie")</f>
        <v>Movie</v>
      </c>
    </row>
    <row r="4628">
      <c r="A4628" s="1" t="s">
        <v>24479</v>
      </c>
      <c r="B4628" s="1" t="s">
        <v>27</v>
      </c>
      <c r="C4628" s="1" t="s">
        <v>24480</v>
      </c>
      <c r="D4628" s="1" t="s">
        <v>2232</v>
      </c>
      <c r="E4628" s="1" t="s">
        <v>24481</v>
      </c>
      <c r="F4628" s="1" t="s">
        <v>686</v>
      </c>
      <c r="G4628" s="1" t="s">
        <v>24482</v>
      </c>
      <c r="H4628" s="1">
        <v>2018.0</v>
      </c>
      <c r="I4628" s="1" t="s">
        <v>42</v>
      </c>
      <c r="J4628" s="1" t="s">
        <v>1091</v>
      </c>
      <c r="K4628" s="1" t="s">
        <v>5380</v>
      </c>
      <c r="L4628" s="1" t="s">
        <v>24483</v>
      </c>
      <c r="M4628" s="2" t="s">
        <v>12</v>
      </c>
      <c r="N4628" s="4">
        <f t="shared" si="1"/>
        <v>43365</v>
      </c>
      <c r="O4628" s="5" t="str">
        <f>IFERROR(__xludf.DUMMYFUNCTION("IF(REGEXMATCH(TRIM(I4628), ""^\d+\s*min""), ""Unclassified"", IF(I4628 = """", ""NR"", I4628))"),"TV-MA")</f>
        <v>TV-MA</v>
      </c>
      <c r="R4628" s="5" t="str">
        <f t="shared" si="2"/>
        <v>In Darkness</v>
      </c>
      <c r="S4628" s="5" t="str">
        <f>IFERROR(__xludf.DUMMYFUNCTION("""COMPUTED_VALUE"""),"Miracle")</f>
        <v>Miracle</v>
      </c>
      <c r="V4628" s="5"/>
      <c r="Y4628" s="5" t="str">
        <f>IFERROR(__xludf.DUMMYFUNCTION("REGEXEXTRACT(J4628, ""^\d+"")"),"101")</f>
        <v>101</v>
      </c>
      <c r="Z4628" s="5" t="str">
        <f>IFERROR(__xludf.DUMMYFUNCTION("REGEXEXTRACT(J4628, ""[A-Za-z ]+$"")")," min")</f>
        <v> min</v>
      </c>
      <c r="AA4628" s="5" t="str">
        <f>IFERROR(__xludf.DUMMYFUNCTION("IF(REGEXMATCH(Z4628, ""Season""), ""TV Show"", ""Movie"")"),"Movie")</f>
        <v>Movie</v>
      </c>
    </row>
    <row r="4629">
      <c r="A4629" s="1" t="s">
        <v>24484</v>
      </c>
      <c r="B4629" s="1" t="s">
        <v>37</v>
      </c>
      <c r="C4629" s="1" t="s">
        <v>24485</v>
      </c>
      <c r="G4629" s="1" t="s">
        <v>24486</v>
      </c>
      <c r="H4629" s="1">
        <v>2018.0</v>
      </c>
      <c r="I4629" s="1" t="s">
        <v>42</v>
      </c>
      <c r="J4629" s="1" t="s">
        <v>51</v>
      </c>
      <c r="K4629" s="1" t="s">
        <v>24487</v>
      </c>
      <c r="L4629" s="1" t="s">
        <v>24488</v>
      </c>
      <c r="M4629" s="2" t="s">
        <v>12</v>
      </c>
      <c r="N4629" s="4">
        <f t="shared" si="1"/>
        <v>43364</v>
      </c>
      <c r="O4629" s="5" t="str">
        <f>IFERROR(__xludf.DUMMYFUNCTION("IF(REGEXMATCH(TRIM(I4629), ""^\d+\s*min""), ""Unclassified"", IF(I4629 = """", ""NR"", I4629))"),"TV-MA")</f>
        <v>TV-MA</v>
      </c>
      <c r="R4629" s="5" t="str">
        <f t="shared" si="2"/>
        <v>Battlefish</v>
      </c>
      <c r="S4629" s="5" t="str">
        <f>IFERROR(__xludf.DUMMYFUNCTION("""COMPUTED_VALUE"""),"Miracle In Cell No. 7")</f>
        <v>Miracle In Cell No. 7</v>
      </c>
      <c r="V4629" s="5"/>
      <c r="Y4629" s="5" t="str">
        <f>IFERROR(__xludf.DUMMYFUNCTION("REGEXEXTRACT(J4629, ""^\d+"")"),"1")</f>
        <v>1</v>
      </c>
      <c r="Z4629" s="5" t="str">
        <f>IFERROR(__xludf.DUMMYFUNCTION("REGEXEXTRACT(J4629, ""[A-Za-z ]+$"")")," Season")</f>
        <v> Season</v>
      </c>
      <c r="AA4629" s="5" t="str">
        <f>IFERROR(__xludf.DUMMYFUNCTION("IF(REGEXMATCH(Z4629, ""Season""), ""TV Show"", ""Movie"")"),"TV Show")</f>
        <v>TV Show</v>
      </c>
    </row>
    <row r="4630">
      <c r="A4630" s="1" t="s">
        <v>24489</v>
      </c>
      <c r="B4630" s="1" t="s">
        <v>37</v>
      </c>
      <c r="C4630" s="1" t="s">
        <v>24490</v>
      </c>
      <c r="E4630" s="1" t="s">
        <v>24491</v>
      </c>
      <c r="F4630" s="1" t="s">
        <v>415</v>
      </c>
      <c r="G4630" s="1" t="s">
        <v>24486</v>
      </c>
      <c r="H4630" s="1">
        <v>2018.0</v>
      </c>
      <c r="I4630" s="1" t="s">
        <v>97</v>
      </c>
      <c r="J4630" s="1" t="s">
        <v>51</v>
      </c>
      <c r="K4630" s="1" t="s">
        <v>567</v>
      </c>
      <c r="L4630" s="1" t="s">
        <v>24492</v>
      </c>
      <c r="M4630" s="2" t="s">
        <v>12</v>
      </c>
      <c r="N4630" s="4">
        <f t="shared" si="1"/>
        <v>43364</v>
      </c>
      <c r="O4630" s="5" t="str">
        <f>IFERROR(__xludf.DUMMYFUNCTION("IF(REGEXMATCH(TRIM(I4630), ""^\d+\s*min""), ""Unclassified"", IF(I4630 = """", ""NR"", I4630))"),"TV-14")</f>
        <v>TV-14</v>
      </c>
      <c r="R4630" s="5" t="str">
        <f t="shared" si="2"/>
        <v>Dragon Pilot: Hisone &amp; Masotan</v>
      </c>
      <c r="S4630" s="5" t="str">
        <f>IFERROR(__xludf.DUMMYFUNCTION("""COMPUTED_VALUE"""),"Miraculous: Tales Of Ladybug &amp; Cat Noir")</f>
        <v>Miraculous: Tales Of Ladybug &amp; Cat Noir</v>
      </c>
      <c r="V4630" s="5"/>
      <c r="Y4630" s="5" t="str">
        <f>IFERROR(__xludf.DUMMYFUNCTION("REGEXEXTRACT(J4630, ""^\d+"")"),"1")</f>
        <v>1</v>
      </c>
      <c r="Z4630" s="5" t="str">
        <f>IFERROR(__xludf.DUMMYFUNCTION("REGEXEXTRACT(J4630, ""[A-Za-z ]+$"")")," Season")</f>
        <v> Season</v>
      </c>
      <c r="AA4630" s="5" t="str">
        <f>IFERROR(__xludf.DUMMYFUNCTION("IF(REGEXMATCH(Z4630, ""Season""), ""TV Show"", ""Movie"")"),"TV Show")</f>
        <v>TV Show</v>
      </c>
    </row>
    <row r="4631">
      <c r="A4631" s="1" t="s">
        <v>24493</v>
      </c>
      <c r="B4631" s="1" t="s">
        <v>37</v>
      </c>
      <c r="C4631" s="1" t="s">
        <v>24494</v>
      </c>
      <c r="E4631" s="1" t="s">
        <v>24495</v>
      </c>
      <c r="F4631" s="1" t="s">
        <v>30</v>
      </c>
      <c r="G4631" s="1" t="s">
        <v>24486</v>
      </c>
      <c r="H4631" s="1">
        <v>2018.0</v>
      </c>
      <c r="I4631" s="1" t="s">
        <v>42</v>
      </c>
      <c r="J4631" s="1" t="s">
        <v>51</v>
      </c>
      <c r="K4631" s="1" t="s">
        <v>24496</v>
      </c>
      <c r="L4631" s="1" t="s">
        <v>24497</v>
      </c>
      <c r="M4631" s="2" t="s">
        <v>12</v>
      </c>
      <c r="N4631" s="4">
        <f t="shared" si="1"/>
        <v>43364</v>
      </c>
      <c r="O4631" s="5" t="str">
        <f>IFERROR(__xludf.DUMMYFUNCTION("IF(REGEXMATCH(TRIM(I4631), ""^\d+\s*min""), ""Unclassified"", IF(I4631 = """", ""NR"", I4631))"),"TV-MA")</f>
        <v>TV-MA</v>
      </c>
      <c r="R4631" s="5" t="str">
        <f t="shared" si="2"/>
        <v>Maniac</v>
      </c>
      <c r="S4631" s="5" t="str">
        <f>IFERROR(__xludf.DUMMYFUNCTION("""COMPUTED_VALUE"""),"Mirage")</f>
        <v>Mirage</v>
      </c>
      <c r="V4631" s="5"/>
      <c r="Y4631" s="5" t="str">
        <f>IFERROR(__xludf.DUMMYFUNCTION("REGEXEXTRACT(J4631, ""^\d+"")"),"1")</f>
        <v>1</v>
      </c>
      <c r="Z4631" s="5" t="str">
        <f>IFERROR(__xludf.DUMMYFUNCTION("REGEXEXTRACT(J4631, ""[A-Za-z ]+$"")")," Season")</f>
        <v> Season</v>
      </c>
      <c r="AA4631" s="5" t="str">
        <f>IFERROR(__xludf.DUMMYFUNCTION("IF(REGEXMATCH(Z4631, ""Season""), ""TV Show"", ""Movie"")"),"TV Show")</f>
        <v>TV Show</v>
      </c>
    </row>
    <row r="4632">
      <c r="A4632" s="1" t="s">
        <v>24498</v>
      </c>
      <c r="B4632" s="1" t="s">
        <v>27</v>
      </c>
      <c r="C4632" s="1" t="s">
        <v>24499</v>
      </c>
      <c r="D4632" s="1" t="s">
        <v>18870</v>
      </c>
      <c r="E4632" s="1" t="s">
        <v>24500</v>
      </c>
      <c r="F4632" s="1" t="s">
        <v>30</v>
      </c>
      <c r="G4632" s="1" t="s">
        <v>24486</v>
      </c>
      <c r="H4632" s="1">
        <v>2018.0</v>
      </c>
      <c r="I4632" s="1" t="s">
        <v>42</v>
      </c>
      <c r="J4632" s="1" t="s">
        <v>341</v>
      </c>
      <c r="K4632" s="1" t="s">
        <v>700</v>
      </c>
      <c r="L4632" s="1" t="s">
        <v>24501</v>
      </c>
      <c r="M4632" s="2" t="s">
        <v>12</v>
      </c>
      <c r="N4632" s="4">
        <f t="shared" si="1"/>
        <v>43364</v>
      </c>
      <c r="O4632" s="5" t="str">
        <f>IFERROR(__xludf.DUMMYFUNCTION("IF(REGEXMATCH(TRIM(I4632), ""^\d+\s*min""), ""Unclassified"", IF(I4632 = """", ""NR"", I4632))"),"TV-MA")</f>
        <v>TV-MA</v>
      </c>
      <c r="R4632" s="5" t="str">
        <f t="shared" si="2"/>
        <v>Quincy</v>
      </c>
      <c r="S4632" s="5" t="str">
        <f>IFERROR(__xludf.DUMMYFUNCTION("""COMPUTED_VALUE"""),"Mirai")</f>
        <v>Mirai</v>
      </c>
      <c r="V4632" s="5"/>
      <c r="Y4632" s="5" t="str">
        <f>IFERROR(__xludf.DUMMYFUNCTION("REGEXEXTRACT(J4632, ""^\d+"")"),"124")</f>
        <v>124</v>
      </c>
      <c r="Z4632" s="5" t="str">
        <f>IFERROR(__xludf.DUMMYFUNCTION("REGEXEXTRACT(J4632, ""[A-Za-z ]+$"")")," min")</f>
        <v> min</v>
      </c>
      <c r="AA4632" s="5" t="str">
        <f>IFERROR(__xludf.DUMMYFUNCTION("IF(REGEXMATCH(Z4632, ""Season""), ""TV Show"", ""Movie"")"),"Movie")</f>
        <v>Movie</v>
      </c>
    </row>
    <row r="4633">
      <c r="A4633" s="1" t="s">
        <v>24502</v>
      </c>
      <c r="B4633" s="1" t="s">
        <v>27</v>
      </c>
      <c r="C4633" s="1" t="s">
        <v>24503</v>
      </c>
      <c r="E4633" s="1" t="s">
        <v>24504</v>
      </c>
      <c r="F4633" s="1" t="s">
        <v>1992</v>
      </c>
      <c r="G4633" s="1" t="s">
        <v>24486</v>
      </c>
      <c r="H4633" s="1">
        <v>2018.0</v>
      </c>
      <c r="I4633" s="1" t="s">
        <v>42</v>
      </c>
      <c r="J4633" s="1" t="s">
        <v>919</v>
      </c>
      <c r="K4633" s="1" t="s">
        <v>1839</v>
      </c>
      <c r="L4633" s="1" t="s">
        <v>24505</v>
      </c>
      <c r="M4633" s="2" t="s">
        <v>12</v>
      </c>
      <c r="N4633" s="4">
        <f t="shared" si="1"/>
        <v>43364</v>
      </c>
      <c r="O4633" s="5" t="str">
        <f>IFERROR(__xludf.DUMMYFUNCTION("IF(REGEXMATCH(TRIM(I4633), ""^\d+\s*min""), ""Unclassified"", IF(I4633 = """", ""NR"", I4633))"),"TV-MA")</f>
        <v>TV-MA</v>
      </c>
      <c r="R4633" s="5" t="str">
        <f t="shared" si="2"/>
        <v>Rafinha Bastos: Ultimatum</v>
      </c>
      <c r="S4633" s="5" t="str">
        <f>IFERROR(__xludf.DUMMYFUNCTION("""COMPUTED_VALUE"""),"Miranda Sings Live…Your Welcome")</f>
        <v>Miranda Sings Live…Your Welcome</v>
      </c>
      <c r="V4633" s="5"/>
      <c r="Y4633" s="5" t="str">
        <f>IFERROR(__xludf.DUMMYFUNCTION("REGEXEXTRACT(J4633, ""^\d+"")"),"63")</f>
        <v>63</v>
      </c>
      <c r="Z4633" s="5" t="str">
        <f>IFERROR(__xludf.DUMMYFUNCTION("REGEXEXTRACT(J4633, ""[A-Za-z ]+$"")")," min")</f>
        <v> min</v>
      </c>
      <c r="AA4633" s="5" t="str">
        <f>IFERROR(__xludf.DUMMYFUNCTION("IF(REGEXMATCH(Z4633, ""Season""), ""TV Show"", ""Movie"")"),"Movie")</f>
        <v>Movie</v>
      </c>
    </row>
    <row r="4634">
      <c r="A4634" s="1" t="s">
        <v>24506</v>
      </c>
      <c r="B4634" s="1" t="s">
        <v>37</v>
      </c>
      <c r="C4634" s="1" t="s">
        <v>24507</v>
      </c>
      <c r="E4634" s="1" t="s">
        <v>24508</v>
      </c>
      <c r="F4634" s="1" t="s">
        <v>30</v>
      </c>
      <c r="G4634" s="1" t="s">
        <v>24486</v>
      </c>
      <c r="H4634" s="1">
        <v>2018.0</v>
      </c>
      <c r="I4634" s="1" t="s">
        <v>97</v>
      </c>
      <c r="J4634" s="1" t="s">
        <v>51</v>
      </c>
      <c r="K4634" s="1" t="s">
        <v>605</v>
      </c>
      <c r="L4634" s="1" t="s">
        <v>24509</v>
      </c>
      <c r="M4634" s="2" t="s">
        <v>12</v>
      </c>
      <c r="N4634" s="4">
        <f t="shared" si="1"/>
        <v>43364</v>
      </c>
      <c r="O4634" s="5" t="str">
        <f>IFERROR(__xludf.DUMMYFUNCTION("IF(REGEXMATCH(TRIM(I4634), ""^\d+\s*min""), ""Unclassified"", IF(I4634 = """", ""NR"", I4634))"),"TV-14")</f>
        <v>TV-14</v>
      </c>
      <c r="R4634" s="5" t="str">
        <f t="shared" si="2"/>
        <v>The Good Cop</v>
      </c>
      <c r="S4634" s="5" t="str">
        <f>IFERROR(__xludf.DUMMYFUNCTION("""COMPUTED_VALUE"""),"Mirror Mirror")</f>
        <v>Mirror Mirror</v>
      </c>
      <c r="V4634" s="5"/>
      <c r="Y4634" s="5" t="str">
        <f>IFERROR(__xludf.DUMMYFUNCTION("REGEXEXTRACT(J4634, ""^\d+"")"),"1")</f>
        <v>1</v>
      </c>
      <c r="Z4634" s="5" t="str">
        <f>IFERROR(__xludf.DUMMYFUNCTION("REGEXEXTRACT(J4634, ""[A-Za-z ]+$"")")," Season")</f>
        <v> Season</v>
      </c>
      <c r="AA4634" s="5" t="str">
        <f>IFERROR(__xludf.DUMMYFUNCTION("IF(REGEXMATCH(Z4634, ""Season""), ""TV Show"", ""Movie"")"),"TV Show")</f>
        <v>TV Show</v>
      </c>
    </row>
    <row r="4635">
      <c r="A4635" s="1" t="s">
        <v>24510</v>
      </c>
      <c r="B4635" s="1" t="s">
        <v>37</v>
      </c>
      <c r="C4635" s="1" t="s">
        <v>24511</v>
      </c>
      <c r="E4635" s="1" t="s">
        <v>24512</v>
      </c>
      <c r="F4635" s="1" t="s">
        <v>415</v>
      </c>
      <c r="G4635" s="1" t="s">
        <v>24513</v>
      </c>
      <c r="H4635" s="1">
        <v>2014.0</v>
      </c>
      <c r="I4635" s="1" t="s">
        <v>136</v>
      </c>
      <c r="J4635" s="1" t="s">
        <v>51</v>
      </c>
      <c r="K4635" s="1" t="s">
        <v>567</v>
      </c>
      <c r="L4635" s="1" t="s">
        <v>24514</v>
      </c>
      <c r="M4635" s="2" t="s">
        <v>12</v>
      </c>
      <c r="N4635" s="4">
        <f t="shared" si="1"/>
        <v>43363</v>
      </c>
      <c r="O4635" s="5" t="str">
        <f>IFERROR(__xludf.DUMMYFUNCTION("IF(REGEXMATCH(TRIM(I4635), ""^\d+\s*min""), ""Unclassified"", IF(I4635 = """", ""NR"", I4635))"),"TV-PG")</f>
        <v>TV-PG</v>
      </c>
      <c r="R4635" s="5" t="str">
        <f t="shared" si="2"/>
        <v>Mobile Suit Gundam Uc</v>
      </c>
      <c r="S4635" s="5" t="str">
        <f>IFERROR(__xludf.DUMMYFUNCTION("""COMPUTED_VALUE"""),"Mirzya")</f>
        <v>Mirzya</v>
      </c>
      <c r="V4635" s="5"/>
      <c r="Y4635" s="5" t="str">
        <f>IFERROR(__xludf.DUMMYFUNCTION("REGEXEXTRACT(J4635, ""^\d+"")"),"1")</f>
        <v>1</v>
      </c>
      <c r="Z4635" s="5" t="str">
        <f>IFERROR(__xludf.DUMMYFUNCTION("REGEXEXTRACT(J4635, ""[A-Za-z ]+$"")")," Season")</f>
        <v> Season</v>
      </c>
      <c r="AA4635" s="5" t="str">
        <f>IFERROR(__xludf.DUMMYFUNCTION("IF(REGEXMATCH(Z4635, ""Season""), ""TV Show"", ""Movie"")"),"TV Show")</f>
        <v>TV Show</v>
      </c>
    </row>
    <row r="4636">
      <c r="A4636" s="1" t="s">
        <v>24515</v>
      </c>
      <c r="B4636" s="1" t="s">
        <v>37</v>
      </c>
      <c r="C4636" s="1" t="s">
        <v>24516</v>
      </c>
      <c r="E4636" s="1" t="s">
        <v>24517</v>
      </c>
      <c r="F4636" s="1" t="s">
        <v>1979</v>
      </c>
      <c r="G4636" s="1" t="s">
        <v>24518</v>
      </c>
      <c r="H4636" s="1">
        <v>2016.0</v>
      </c>
      <c r="I4636" s="1" t="s">
        <v>289</v>
      </c>
      <c r="J4636" s="1" t="s">
        <v>51</v>
      </c>
      <c r="K4636" s="1" t="s">
        <v>290</v>
      </c>
      <c r="L4636" s="1" t="s">
        <v>24519</v>
      </c>
      <c r="M4636" s="2" t="s">
        <v>12</v>
      </c>
      <c r="N4636" s="4">
        <f t="shared" si="1"/>
        <v>43362</v>
      </c>
      <c r="O4636" s="5" t="str">
        <f>IFERROR(__xludf.DUMMYFUNCTION("IF(REGEXMATCH(TRIM(I4636), ""^\d+\s*min""), ""Unclassified"", IF(I4636 = """", ""NR"", I4636))"),"TV-Y7")</f>
        <v>TV-Y7</v>
      </c>
      <c r="R4636" s="5" t="str">
        <f t="shared" si="2"/>
        <v>Transformers: Rescue Bots</v>
      </c>
      <c r="S4636" s="5" t="str">
        <f>IFERROR(__xludf.DUMMYFUNCTION("""COMPUTED_VALUE"""),"Misaeng")</f>
        <v>Misaeng</v>
      </c>
      <c r="V4636" s="5"/>
      <c r="Y4636" s="5" t="str">
        <f>IFERROR(__xludf.DUMMYFUNCTION("REGEXEXTRACT(J4636, ""^\d+"")"),"1")</f>
        <v>1</v>
      </c>
      <c r="Z4636" s="5" t="str">
        <f>IFERROR(__xludf.DUMMYFUNCTION("REGEXEXTRACT(J4636, ""[A-Za-z ]+$"")")," Season")</f>
        <v> Season</v>
      </c>
      <c r="AA4636" s="5" t="str">
        <f>IFERROR(__xludf.DUMMYFUNCTION("IF(REGEXMATCH(Z4636, ""Season""), ""TV Show"", ""Movie"")"),"TV Show")</f>
        <v>TV Show</v>
      </c>
    </row>
    <row r="4637">
      <c r="A4637" s="1" t="s">
        <v>24520</v>
      </c>
      <c r="B4637" s="1" t="s">
        <v>37</v>
      </c>
      <c r="C4637" s="1" t="s">
        <v>24521</v>
      </c>
      <c r="E4637" s="1" t="s">
        <v>24522</v>
      </c>
      <c r="F4637" s="1" t="s">
        <v>3938</v>
      </c>
      <c r="G4637" s="1" t="s">
        <v>24523</v>
      </c>
      <c r="H4637" s="1">
        <v>2017.0</v>
      </c>
      <c r="I4637" s="1" t="s">
        <v>97</v>
      </c>
      <c r="J4637" s="1" t="s">
        <v>51</v>
      </c>
      <c r="K4637" s="1" t="s">
        <v>1362</v>
      </c>
      <c r="L4637" s="1" t="s">
        <v>24524</v>
      </c>
      <c r="M4637" s="2" t="s">
        <v>12</v>
      </c>
      <c r="N4637" s="4">
        <f t="shared" si="1"/>
        <v>43358</v>
      </c>
      <c r="O4637" s="5" t="str">
        <f>IFERROR(__xludf.DUMMYFUNCTION("IF(REGEXMATCH(TRIM(I4637), ""^\d+\s*min""), ""Unclassified"", IF(I4637 = """", ""NR"", I4637))"),"TV-14")</f>
        <v>TV-14</v>
      </c>
      <c r="R4637" s="5" t="str">
        <f t="shared" si="2"/>
        <v>Al Hayba</v>
      </c>
      <c r="S4637" s="5" t="str">
        <f>IFERROR(__xludf.DUMMYFUNCTION("""COMPUTED_VALUE"""),"Mischief")</f>
        <v>Mischief</v>
      </c>
      <c r="V4637" s="5"/>
      <c r="Y4637" s="5" t="str">
        <f>IFERROR(__xludf.DUMMYFUNCTION("REGEXEXTRACT(J4637, ""^\d+"")"),"1")</f>
        <v>1</v>
      </c>
      <c r="Z4637" s="5" t="str">
        <f>IFERROR(__xludf.DUMMYFUNCTION("REGEXEXTRACT(J4637, ""[A-Za-z ]+$"")")," Season")</f>
        <v> Season</v>
      </c>
      <c r="AA4637" s="5" t="str">
        <f>IFERROR(__xludf.DUMMYFUNCTION("IF(REGEXMATCH(Z4637, ""Season""), ""TV Show"", ""Movie"")"),"TV Show")</f>
        <v>TV Show</v>
      </c>
    </row>
    <row r="4638">
      <c r="A4638" s="1" t="s">
        <v>24525</v>
      </c>
      <c r="B4638" s="1" t="s">
        <v>37</v>
      </c>
      <c r="C4638" s="1" t="s">
        <v>24526</v>
      </c>
      <c r="E4638" s="1" t="s">
        <v>24527</v>
      </c>
      <c r="F4638" s="1" t="s">
        <v>30</v>
      </c>
      <c r="G4638" s="1" t="s">
        <v>24528</v>
      </c>
      <c r="H4638" s="1">
        <v>2018.0</v>
      </c>
      <c r="I4638" s="1" t="s">
        <v>42</v>
      </c>
      <c r="J4638" s="1" t="s">
        <v>43</v>
      </c>
      <c r="K4638" s="1" t="s">
        <v>24529</v>
      </c>
      <c r="L4638" s="1" t="s">
        <v>24530</v>
      </c>
      <c r="M4638" s="2" t="s">
        <v>12</v>
      </c>
      <c r="N4638" s="4">
        <f t="shared" si="1"/>
        <v>43357</v>
      </c>
      <c r="O4638" s="5" t="str">
        <f>IFERROR(__xludf.DUMMYFUNCTION("IF(REGEXMATCH(TRIM(I4638), ""^\d+\s*min""), ""Unclassified"", IF(I4638 = """", ""NR"", I4638))"),"TV-MA")</f>
        <v>TV-MA</v>
      </c>
      <c r="R4638" s="5" t="str">
        <f t="shared" si="2"/>
        <v>American Vandal</v>
      </c>
      <c r="S4638" s="5" t="str">
        <f>IFERROR(__xludf.DUMMYFUNCTION("""COMPUTED_VALUE"""),"Misfit")</f>
        <v>Misfit</v>
      </c>
      <c r="V4638" s="5"/>
      <c r="Y4638" s="5" t="str">
        <f>IFERROR(__xludf.DUMMYFUNCTION("REGEXEXTRACT(J4638, ""^\d+"")"),"2")</f>
        <v>2</v>
      </c>
      <c r="Z4638" s="5" t="str">
        <f>IFERROR(__xludf.DUMMYFUNCTION("REGEXEXTRACT(J4638, ""[A-Za-z ]+$"")")," Seasons")</f>
        <v> Seasons</v>
      </c>
      <c r="AA4638" s="5" t="str">
        <f>IFERROR(__xludf.DUMMYFUNCTION("IF(REGEXMATCH(Z4638, ""Season""), ""TV Show"", ""Movie"")"),"TV Show")</f>
        <v>TV Show</v>
      </c>
    </row>
    <row r="4639">
      <c r="A4639" s="1" t="s">
        <v>24531</v>
      </c>
      <c r="B4639" s="1" t="s">
        <v>37</v>
      </c>
      <c r="C4639" s="1" t="s">
        <v>24532</v>
      </c>
      <c r="G4639" s="1" t="s">
        <v>24528</v>
      </c>
      <c r="H4639" s="1">
        <v>2018.0</v>
      </c>
      <c r="I4639" s="1" t="s">
        <v>136</v>
      </c>
      <c r="J4639" s="1" t="s">
        <v>51</v>
      </c>
      <c r="K4639" s="1" t="s">
        <v>791</v>
      </c>
      <c r="L4639" s="1" t="s">
        <v>24533</v>
      </c>
      <c r="M4639" s="2" t="s">
        <v>12</v>
      </c>
      <c r="N4639" s="4">
        <f t="shared" si="1"/>
        <v>43357</v>
      </c>
      <c r="O4639" s="5" t="str">
        <f>IFERROR(__xludf.DUMMYFUNCTION("IF(REGEXMATCH(TRIM(I4639), ""^\d+\s*min""), ""Unclassified"", IF(I4639 = """", ""NR"", I4639))"),"TV-PG")</f>
        <v>TV-PG</v>
      </c>
      <c r="R4639" s="5" t="str">
        <f t="shared" si="2"/>
        <v>Boca Juniors Confidential</v>
      </c>
      <c r="S4639" s="5" t="str">
        <f>IFERROR(__xludf.DUMMYFUNCTION("""COMPUTED_VALUE"""),"Misfit 2")</f>
        <v>Misfit 2</v>
      </c>
      <c r="V4639" s="5"/>
      <c r="Y4639" s="5" t="str">
        <f>IFERROR(__xludf.DUMMYFUNCTION("REGEXEXTRACT(J4639, ""^\d+"")"),"1")</f>
        <v>1</v>
      </c>
      <c r="Z4639" s="5" t="str">
        <f>IFERROR(__xludf.DUMMYFUNCTION("REGEXEXTRACT(J4639, ""[A-Za-z ]+$"")")," Season")</f>
        <v> Season</v>
      </c>
      <c r="AA4639" s="5" t="str">
        <f>IFERROR(__xludf.DUMMYFUNCTION("IF(REGEXMATCH(Z4639, ""Season""), ""TV Show"", ""Movie"")"),"TV Show")</f>
        <v>TV Show</v>
      </c>
    </row>
    <row r="4640">
      <c r="A4640" s="1" t="s">
        <v>24534</v>
      </c>
      <c r="B4640" s="1" t="s">
        <v>37</v>
      </c>
      <c r="C4640" s="1" t="s">
        <v>24535</v>
      </c>
      <c r="E4640" s="1" t="s">
        <v>24536</v>
      </c>
      <c r="F4640" s="1" t="s">
        <v>162</v>
      </c>
      <c r="G4640" s="1" t="s">
        <v>24528</v>
      </c>
      <c r="H4640" s="1">
        <v>2018.0</v>
      </c>
      <c r="I4640" s="1" t="s">
        <v>42</v>
      </c>
      <c r="J4640" s="1" t="s">
        <v>43</v>
      </c>
      <c r="K4640" s="1" t="s">
        <v>785</v>
      </c>
      <c r="L4640" s="1" t="s">
        <v>24537</v>
      </c>
      <c r="M4640" s="2" t="s">
        <v>12</v>
      </c>
      <c r="N4640" s="4">
        <f t="shared" si="1"/>
        <v>43357</v>
      </c>
      <c r="O4640" s="5" t="str">
        <f>IFERROR(__xludf.DUMMYFUNCTION("IF(REGEXMATCH(TRIM(I4640), ""^\d+\s*min""), ""Unclassified"", IF(I4640 = """", ""NR"", I4640))"),"TV-MA")</f>
        <v>TV-MA</v>
      </c>
      <c r="R4640" s="5" t="str">
        <f t="shared" si="2"/>
        <v>Ingobernable</v>
      </c>
      <c r="S4640" s="5" t="str">
        <f>IFERROR(__xludf.DUMMYFUNCTION("""COMPUTED_VALUE"""),"Misha And The Wolves")</f>
        <v>Misha And The Wolves</v>
      </c>
      <c r="V4640" s="5"/>
      <c r="Y4640" s="5" t="str">
        <f>IFERROR(__xludf.DUMMYFUNCTION("REGEXEXTRACT(J4640, ""^\d+"")"),"2")</f>
        <v>2</v>
      </c>
      <c r="Z4640" s="5" t="str">
        <f>IFERROR(__xludf.DUMMYFUNCTION("REGEXEXTRACT(J4640, ""[A-Za-z ]+$"")")," Seasons")</f>
        <v> Seasons</v>
      </c>
      <c r="AA4640" s="5" t="str">
        <f>IFERROR(__xludf.DUMMYFUNCTION("IF(REGEXMATCH(Z4640, ""Season""), ""TV Show"", ""Movie"")"),"TV Show")</f>
        <v>TV Show</v>
      </c>
    </row>
    <row r="4641">
      <c r="A4641" s="1" t="s">
        <v>24538</v>
      </c>
      <c r="B4641" s="1" t="s">
        <v>37</v>
      </c>
      <c r="C4641" s="1" t="s">
        <v>24539</v>
      </c>
      <c r="F4641" s="1" t="s">
        <v>30</v>
      </c>
      <c r="G4641" s="1" t="s">
        <v>24528</v>
      </c>
      <c r="H4641" s="1">
        <v>2018.0</v>
      </c>
      <c r="I4641" s="1" t="s">
        <v>42</v>
      </c>
      <c r="J4641" s="1" t="s">
        <v>51</v>
      </c>
      <c r="K4641" s="1" t="s">
        <v>2512</v>
      </c>
      <c r="L4641" s="1" t="s">
        <v>24540</v>
      </c>
      <c r="M4641" s="2" t="s">
        <v>12</v>
      </c>
      <c r="N4641" s="4">
        <f t="shared" si="1"/>
        <v>43357</v>
      </c>
      <c r="O4641" s="5" t="str">
        <f>IFERROR(__xludf.DUMMYFUNCTION("IF(REGEXMATCH(TRIM(I4641), ""^\d+\s*min""), ""Unclassified"", IF(I4641 = """", ""NR"", I4641))"),"TV-MA")</f>
        <v>TV-MA</v>
      </c>
      <c r="R4641" s="5" t="str">
        <f t="shared" si="2"/>
        <v>Norm Macdonald Has A Show</v>
      </c>
      <c r="S4641" s="5" t="str">
        <f>IFERROR(__xludf.DUMMYFUNCTION("""COMPUTED_VALUE"""),"Mismatched")</f>
        <v>Mismatched</v>
      </c>
      <c r="V4641" s="5"/>
      <c r="Y4641" s="5" t="str">
        <f>IFERROR(__xludf.DUMMYFUNCTION("REGEXEXTRACT(J4641, ""^\d+"")"),"1")</f>
        <v>1</v>
      </c>
      <c r="Z4641" s="5" t="str">
        <f>IFERROR(__xludf.DUMMYFUNCTION("REGEXEXTRACT(J4641, ""[A-Za-z ]+$"")")," Season")</f>
        <v> Season</v>
      </c>
      <c r="AA4641" s="5" t="str">
        <f>IFERROR(__xludf.DUMMYFUNCTION("IF(REGEXMATCH(Z4641, ""Season""), ""TV Show"", ""Movie"")"),"TV Show")</f>
        <v>TV Show</v>
      </c>
    </row>
    <row r="4642">
      <c r="A4642" s="1" t="s">
        <v>24541</v>
      </c>
      <c r="B4642" s="1" t="s">
        <v>37</v>
      </c>
      <c r="C4642" s="1" t="s">
        <v>24542</v>
      </c>
      <c r="E4642" s="1" t="s">
        <v>18956</v>
      </c>
      <c r="G4642" s="1" t="s">
        <v>24528</v>
      </c>
      <c r="H4642" s="1">
        <v>2018.0</v>
      </c>
      <c r="I4642" s="1" t="s">
        <v>206</v>
      </c>
      <c r="J4642" s="1" t="s">
        <v>51</v>
      </c>
      <c r="K4642" s="1" t="s">
        <v>290</v>
      </c>
      <c r="L4642" s="1" t="s">
        <v>24543</v>
      </c>
      <c r="M4642" s="2" t="s">
        <v>12</v>
      </c>
      <c r="N4642" s="4">
        <f t="shared" si="1"/>
        <v>43357</v>
      </c>
      <c r="O4642" s="5" t="str">
        <f>IFERROR(__xludf.DUMMYFUNCTION("IF(REGEXMATCH(TRIM(I4642), ""^\d+\s*min""), ""Unclassified"", IF(I4642 = """", ""NR"", I4642))"),"TV-Y")</f>
        <v>TV-Y</v>
      </c>
      <c r="R4642" s="5" t="str">
        <f t="shared" si="2"/>
        <v>Super Monsters Monster Party</v>
      </c>
      <c r="S4642" s="5" t="str">
        <f>IFERROR(__xludf.DUMMYFUNCTION("""COMPUTED_VALUE"""),"Miss Americana")</f>
        <v>Miss Americana</v>
      </c>
      <c r="V4642" s="5"/>
      <c r="Y4642" s="5" t="str">
        <f>IFERROR(__xludf.DUMMYFUNCTION("REGEXEXTRACT(J4642, ""^\d+"")"),"1")</f>
        <v>1</v>
      </c>
      <c r="Z4642" s="5" t="str">
        <f>IFERROR(__xludf.DUMMYFUNCTION("REGEXEXTRACT(J4642, ""[A-Za-z ]+$"")")," Season")</f>
        <v> Season</v>
      </c>
      <c r="AA4642" s="5" t="str">
        <f>IFERROR(__xludf.DUMMYFUNCTION("IF(REGEXMATCH(Z4642, ""Season""), ""TV Show"", ""Movie"")"),"TV Show")</f>
        <v>TV Show</v>
      </c>
    </row>
    <row r="4643">
      <c r="A4643" s="1" t="s">
        <v>24544</v>
      </c>
      <c r="B4643" s="1" t="s">
        <v>27</v>
      </c>
      <c r="C4643" s="1" t="s">
        <v>24545</v>
      </c>
      <c r="D4643" s="1" t="s">
        <v>2514</v>
      </c>
      <c r="E4643" s="1" t="s">
        <v>24546</v>
      </c>
      <c r="F4643" s="1" t="s">
        <v>1951</v>
      </c>
      <c r="G4643" s="1" t="s">
        <v>24528</v>
      </c>
      <c r="H4643" s="1">
        <v>2018.0</v>
      </c>
      <c r="I4643" s="1" t="s">
        <v>42</v>
      </c>
      <c r="J4643" s="1" t="s">
        <v>835</v>
      </c>
      <c r="K4643" s="1" t="s">
        <v>298</v>
      </c>
      <c r="L4643" s="1" t="s">
        <v>24547</v>
      </c>
      <c r="M4643" s="2" t="s">
        <v>12</v>
      </c>
      <c r="N4643" s="4">
        <f t="shared" si="1"/>
        <v>43357</v>
      </c>
      <c r="O4643" s="5" t="str">
        <f>IFERROR(__xludf.DUMMYFUNCTION("IF(REGEXMATCH(TRIM(I4643), ""^\d+\s*min""), ""Unclassified"", IF(I4643 = """", ""NR"", I4643))"),"TV-MA")</f>
        <v>TV-MA</v>
      </c>
      <c r="R4643" s="5" t="str">
        <f t="shared" si="2"/>
        <v>The Angel</v>
      </c>
      <c r="S4643" s="5" t="str">
        <f>IFERROR(__xludf.DUMMYFUNCTION("""COMPUTED_VALUE"""),"Miss Culinary")</f>
        <v>Miss Culinary</v>
      </c>
      <c r="V4643" s="5"/>
      <c r="Y4643" s="5" t="str">
        <f>IFERROR(__xludf.DUMMYFUNCTION("REGEXEXTRACT(J4643, ""^\d+"")"),"114")</f>
        <v>114</v>
      </c>
      <c r="Z4643" s="5" t="str">
        <f>IFERROR(__xludf.DUMMYFUNCTION("REGEXEXTRACT(J4643, ""[A-Za-z ]+$"")")," min")</f>
        <v> min</v>
      </c>
      <c r="AA4643" s="5" t="str">
        <f>IFERROR(__xludf.DUMMYFUNCTION("IF(REGEXMATCH(Z4643, ""Season""), ""TV Show"", ""Movie"")"),"Movie")</f>
        <v>Movie</v>
      </c>
    </row>
    <row r="4644">
      <c r="A4644" s="1" t="s">
        <v>24548</v>
      </c>
      <c r="B4644" s="1" t="s">
        <v>27</v>
      </c>
      <c r="C4644" s="1" t="s">
        <v>24549</v>
      </c>
      <c r="D4644" s="1" t="s">
        <v>16885</v>
      </c>
      <c r="E4644" s="1" t="s">
        <v>24550</v>
      </c>
      <c r="F4644" s="1" t="s">
        <v>30</v>
      </c>
      <c r="G4644" s="1" t="s">
        <v>24528</v>
      </c>
      <c r="H4644" s="1">
        <v>2018.0</v>
      </c>
      <c r="I4644" s="1" t="s">
        <v>42</v>
      </c>
      <c r="J4644" s="1" t="s">
        <v>357</v>
      </c>
      <c r="K4644" s="1" t="s">
        <v>836</v>
      </c>
      <c r="L4644" s="1" t="s">
        <v>24551</v>
      </c>
      <c r="M4644" s="2" t="s">
        <v>12</v>
      </c>
      <c r="N4644" s="4">
        <f t="shared" si="1"/>
        <v>43357</v>
      </c>
      <c r="O4644" s="5" t="str">
        <f>IFERROR(__xludf.DUMMYFUNCTION("IF(REGEXMATCH(TRIM(I4644), ""^\d+\s*min""), ""Unclassified"", IF(I4644 = """", ""NR"", I4644))"),"TV-MA")</f>
        <v>TV-MA</v>
      </c>
      <c r="R4644" s="5" t="str">
        <f t="shared" si="2"/>
        <v>The Land Of Steady Habits</v>
      </c>
      <c r="S4644" s="5" t="str">
        <f>IFERROR(__xludf.DUMMYFUNCTION("""COMPUTED_VALUE"""),"Miss Dynamite")</f>
        <v>Miss Dynamite</v>
      </c>
      <c r="V4644" s="5"/>
      <c r="Y4644" s="5" t="str">
        <f>IFERROR(__xludf.DUMMYFUNCTION("REGEXEXTRACT(J4644, ""^\d+"")"),"98")</f>
        <v>98</v>
      </c>
      <c r="Z4644" s="5" t="str">
        <f>IFERROR(__xludf.DUMMYFUNCTION("REGEXEXTRACT(J4644, ""[A-Za-z ]+$"")")," min")</f>
        <v> min</v>
      </c>
      <c r="AA4644" s="5" t="str">
        <f>IFERROR(__xludf.DUMMYFUNCTION("IF(REGEXMATCH(Z4644, ""Season""), ""TV Show"", ""Movie"")"),"Movie")</f>
        <v>Movie</v>
      </c>
    </row>
    <row r="4645">
      <c r="A4645" s="1" t="s">
        <v>24552</v>
      </c>
      <c r="B4645" s="1" t="s">
        <v>37</v>
      </c>
      <c r="C4645" s="1" t="s">
        <v>24553</v>
      </c>
      <c r="E4645" s="1" t="s">
        <v>24554</v>
      </c>
      <c r="F4645" s="1" t="s">
        <v>3892</v>
      </c>
      <c r="G4645" s="1" t="s">
        <v>24528</v>
      </c>
      <c r="H4645" s="1">
        <v>2018.0</v>
      </c>
      <c r="I4645" s="1" t="s">
        <v>97</v>
      </c>
      <c r="J4645" s="1" t="s">
        <v>51</v>
      </c>
      <c r="K4645" s="1" t="s">
        <v>12823</v>
      </c>
      <c r="L4645" s="1" t="s">
        <v>24555</v>
      </c>
      <c r="M4645" s="2" t="s">
        <v>12</v>
      </c>
      <c r="N4645" s="4">
        <f t="shared" si="1"/>
        <v>43357</v>
      </c>
      <c r="O4645" s="5" t="str">
        <f>IFERROR(__xludf.DUMMYFUNCTION("IF(REGEXMATCH(TRIM(I4645), ""^\d+\s*min""), ""Unclassified"", IF(I4645 = """", ""NR"", I4645))"),"TV-14")</f>
        <v>TV-14</v>
      </c>
      <c r="R4645" s="5" t="str">
        <f t="shared" si="2"/>
        <v>The Rise Of Phoenixes</v>
      </c>
      <c r="S4645" s="5" t="str">
        <f>IFERROR(__xludf.DUMMYFUNCTION("""COMPUTED_VALUE"""),"Miss Hokusai")</f>
        <v>Miss Hokusai</v>
      </c>
      <c r="V4645" s="5"/>
      <c r="Y4645" s="5" t="str">
        <f>IFERROR(__xludf.DUMMYFUNCTION("REGEXEXTRACT(J4645, ""^\d+"")"),"1")</f>
        <v>1</v>
      </c>
      <c r="Z4645" s="5" t="str">
        <f>IFERROR(__xludf.DUMMYFUNCTION("REGEXEXTRACT(J4645, ""[A-Za-z ]+$"")")," Season")</f>
        <v> Season</v>
      </c>
      <c r="AA4645" s="5" t="str">
        <f>IFERROR(__xludf.DUMMYFUNCTION("IF(REGEXMATCH(Z4645, ""Season""), ""TV Show"", ""Movie"")"),"TV Show")</f>
        <v>TV Show</v>
      </c>
    </row>
    <row r="4646">
      <c r="A4646" s="1" t="s">
        <v>24556</v>
      </c>
      <c r="B4646" s="1" t="s">
        <v>27</v>
      </c>
      <c r="C4646" s="1" t="s">
        <v>24557</v>
      </c>
      <c r="E4646" s="1" t="s">
        <v>24558</v>
      </c>
      <c r="F4646" s="1" t="s">
        <v>30</v>
      </c>
      <c r="G4646" s="1" t="s">
        <v>24559</v>
      </c>
      <c r="H4646" s="1">
        <v>2018.0</v>
      </c>
      <c r="I4646" s="1" t="s">
        <v>97</v>
      </c>
      <c r="J4646" s="1" t="s">
        <v>433</v>
      </c>
      <c r="K4646" s="1" t="s">
        <v>34</v>
      </c>
      <c r="L4646" s="1" t="s">
        <v>24560</v>
      </c>
      <c r="M4646" s="2" t="s">
        <v>12</v>
      </c>
      <c r="N4646" s="4">
        <f t="shared" si="1"/>
        <v>43356</v>
      </c>
      <c r="O4646" s="5" t="str">
        <f>IFERROR(__xludf.DUMMYFUNCTION("IF(REGEXMATCH(TRIM(I4646), ""^\d+\s*min""), ""Unclassified"", IF(I4646 = """", ""NR"", I4646))"),"TV-14")</f>
        <v>TV-14</v>
      </c>
      <c r="R4646" s="5" t="str">
        <f t="shared" si="2"/>
        <v>Reversing Roe</v>
      </c>
      <c r="S4646" s="5" t="str">
        <f>IFERROR(__xludf.DUMMYFUNCTION("""COMPUTED_VALUE"""),"Miss In Kiss")</f>
        <v>Miss In Kiss</v>
      </c>
      <c r="V4646" s="5"/>
      <c r="Y4646" s="5" t="str">
        <f>IFERROR(__xludf.DUMMYFUNCTION("REGEXEXTRACT(J4646, ""^\d+"")"),"100")</f>
        <v>100</v>
      </c>
      <c r="Z4646" s="5" t="str">
        <f>IFERROR(__xludf.DUMMYFUNCTION("REGEXEXTRACT(J4646, ""[A-Za-z ]+$"")")," min")</f>
        <v> min</v>
      </c>
      <c r="AA4646" s="5" t="str">
        <f>IFERROR(__xludf.DUMMYFUNCTION("IF(REGEXMATCH(Z4646, ""Season""), ""TV Show"", ""Movie"")"),"Movie")</f>
        <v>Movie</v>
      </c>
    </row>
    <row r="4647">
      <c r="A4647" s="1" t="s">
        <v>24561</v>
      </c>
      <c r="B4647" s="1" t="s">
        <v>37</v>
      </c>
      <c r="C4647" s="1" t="s">
        <v>24562</v>
      </c>
      <c r="E4647" s="1" t="s">
        <v>24563</v>
      </c>
      <c r="F4647" s="1" t="s">
        <v>749</v>
      </c>
      <c r="G4647" s="1" t="s">
        <v>24564</v>
      </c>
      <c r="H4647" s="1">
        <v>2018.0</v>
      </c>
      <c r="I4647" s="1" t="s">
        <v>42</v>
      </c>
      <c r="J4647" s="1" t="s">
        <v>51</v>
      </c>
      <c r="K4647" s="1" t="s">
        <v>13832</v>
      </c>
      <c r="L4647" s="1" t="s">
        <v>24565</v>
      </c>
      <c r="M4647" s="2" t="s">
        <v>12</v>
      </c>
      <c r="N4647" s="4">
        <f t="shared" si="1"/>
        <v>43355</v>
      </c>
      <c r="O4647" s="5" t="str">
        <f>IFERROR(__xludf.DUMMYFUNCTION("IF(REGEXMATCH(TRIM(I4647), ""^\d+\s*min""), ""Unclassified"", IF(I4647 = """", ""NR"", I4647))"),"TV-MA")</f>
        <v>TV-MA</v>
      </c>
      <c r="R4647" s="5" t="str">
        <f t="shared" si="2"/>
        <v>Life</v>
      </c>
      <c r="S4647" s="5" t="str">
        <f>IFERROR(__xludf.DUMMYFUNCTION("""COMPUTED_VALUE"""),"Miss India")</f>
        <v>Miss India</v>
      </c>
      <c r="V4647" s="5"/>
      <c r="Y4647" s="5" t="str">
        <f>IFERROR(__xludf.DUMMYFUNCTION("REGEXEXTRACT(J4647, ""^\d+"")"),"1")</f>
        <v>1</v>
      </c>
      <c r="Z4647" s="5" t="str">
        <f>IFERROR(__xludf.DUMMYFUNCTION("REGEXEXTRACT(J4647, ""[A-Za-z ]+$"")")," Season")</f>
        <v> Season</v>
      </c>
      <c r="AA4647" s="5" t="str">
        <f>IFERROR(__xludf.DUMMYFUNCTION("IF(REGEXMATCH(Z4647, ""Season""), ""TV Show"", ""Movie"")"),"TV Show")</f>
        <v>TV Show</v>
      </c>
    </row>
    <row r="4648">
      <c r="A4648" s="1" t="s">
        <v>24566</v>
      </c>
      <c r="B4648" s="1" t="s">
        <v>27</v>
      </c>
      <c r="C4648" s="1" t="s">
        <v>24567</v>
      </c>
      <c r="D4648" s="1" t="s">
        <v>1047</v>
      </c>
      <c r="E4648" s="1" t="s">
        <v>24568</v>
      </c>
      <c r="F4648" s="1" t="s">
        <v>1779</v>
      </c>
      <c r="G4648" s="1" t="s">
        <v>24564</v>
      </c>
      <c r="H4648" s="1">
        <v>2018.0</v>
      </c>
      <c r="I4648" s="1" t="s">
        <v>42</v>
      </c>
      <c r="J4648" s="1" t="s">
        <v>433</v>
      </c>
      <c r="K4648" s="1" t="s">
        <v>128</v>
      </c>
      <c r="L4648" s="1" t="s">
        <v>24569</v>
      </c>
      <c r="M4648" s="2" t="s">
        <v>12</v>
      </c>
      <c r="N4648" s="4">
        <f t="shared" si="1"/>
        <v>43355</v>
      </c>
      <c r="O4648" s="5" t="str">
        <f>IFERROR(__xludf.DUMMYFUNCTION("IF(REGEXMATCH(TRIM(I4648), ""^\d+\s*min""), ""Unclassified"", IF(I4648 = """", ""NR"", I4648))"),"TV-MA")</f>
        <v>TV-MA</v>
      </c>
      <c r="R4648" s="5" t="str">
        <f t="shared" si="2"/>
        <v>On My Skin</v>
      </c>
      <c r="S4648" s="5" t="str">
        <f>IFERROR(__xludf.DUMMYFUNCTION("""COMPUTED_VALUE"""),"Miss J Contemplates Her Choice")</f>
        <v>Miss J Contemplates Her Choice</v>
      </c>
      <c r="V4648" s="5"/>
      <c r="Y4648" s="5" t="str">
        <f>IFERROR(__xludf.DUMMYFUNCTION("REGEXEXTRACT(J4648, ""^\d+"")"),"100")</f>
        <v>100</v>
      </c>
      <c r="Z4648" s="5" t="str">
        <f>IFERROR(__xludf.DUMMYFUNCTION("REGEXEXTRACT(J4648, ""[A-Za-z ]+$"")")," min")</f>
        <v> min</v>
      </c>
      <c r="AA4648" s="5" t="str">
        <f>IFERROR(__xludf.DUMMYFUNCTION("IF(REGEXMATCH(Z4648, ""Season""), ""TV Show"", ""Movie"")"),"Movie")</f>
        <v>Movie</v>
      </c>
    </row>
    <row r="4649">
      <c r="A4649" s="1" t="s">
        <v>24570</v>
      </c>
      <c r="B4649" s="1" t="s">
        <v>37</v>
      </c>
      <c r="C4649" s="1" t="s">
        <v>24571</v>
      </c>
      <c r="E4649" s="1" t="s">
        <v>24572</v>
      </c>
      <c r="F4649" s="1" t="s">
        <v>30</v>
      </c>
      <c r="G4649" s="1" t="s">
        <v>24573</v>
      </c>
      <c r="H4649" s="1">
        <v>2018.0</v>
      </c>
      <c r="I4649" s="1" t="s">
        <v>42</v>
      </c>
      <c r="J4649" s="1" t="s">
        <v>51</v>
      </c>
      <c r="K4649" s="1" t="s">
        <v>2512</v>
      </c>
      <c r="L4649" s="1" t="s">
        <v>24574</v>
      </c>
      <c r="M4649" s="2" t="s">
        <v>12</v>
      </c>
      <c r="N4649" s="4">
        <f t="shared" si="1"/>
        <v>43354</v>
      </c>
      <c r="O4649" s="5" t="str">
        <f>IFERROR(__xludf.DUMMYFUNCTION("IF(REGEXMATCH(TRIM(I4649), ""^\d+\s*min""), ""Unclassified"", IF(I4649 = """", ""NR"", I4649))"),"TV-MA")</f>
        <v>TV-MA</v>
      </c>
      <c r="R4649" s="5" t="str">
        <f t="shared" si="2"/>
        <v>Daniel Sloss: Live Shows</v>
      </c>
      <c r="S4649" s="5" t="str">
        <f>IFERROR(__xludf.DUMMYFUNCTION("""COMPUTED_VALUE"""),"Miss Julie")</f>
        <v>Miss Julie</v>
      </c>
      <c r="V4649" s="5"/>
      <c r="Y4649" s="5" t="str">
        <f>IFERROR(__xludf.DUMMYFUNCTION("REGEXEXTRACT(J4649, ""^\d+"")"),"1")</f>
        <v>1</v>
      </c>
      <c r="Z4649" s="5" t="str">
        <f>IFERROR(__xludf.DUMMYFUNCTION("REGEXEXTRACT(J4649, ""[A-Za-z ]+$"")")," Season")</f>
        <v> Season</v>
      </c>
      <c r="AA4649" s="5" t="str">
        <f>IFERROR(__xludf.DUMMYFUNCTION("IF(REGEXMATCH(Z4649, ""Season""), ""TV Show"", ""Movie"")"),"TV Show")</f>
        <v>TV Show</v>
      </c>
    </row>
    <row r="4650">
      <c r="A4650" s="1" t="s">
        <v>24575</v>
      </c>
      <c r="B4650" s="1" t="s">
        <v>37</v>
      </c>
      <c r="C4650" s="1" t="s">
        <v>24576</v>
      </c>
      <c r="E4650" s="1" t="s">
        <v>24577</v>
      </c>
      <c r="G4650" s="1" t="s">
        <v>24573</v>
      </c>
      <c r="H4650" s="1">
        <v>2018.0</v>
      </c>
      <c r="I4650" s="1" t="s">
        <v>506</v>
      </c>
      <c r="J4650" s="1" t="s">
        <v>51</v>
      </c>
      <c r="K4650" s="1" t="s">
        <v>24578</v>
      </c>
      <c r="L4650" s="1" t="s">
        <v>24579</v>
      </c>
      <c r="M4650" s="2" t="s">
        <v>12</v>
      </c>
      <c r="N4650" s="4">
        <f t="shared" si="1"/>
        <v>43354</v>
      </c>
      <c r="O4650" s="5" t="str">
        <f>IFERROR(__xludf.DUMMYFUNCTION("IF(REGEXMATCH(TRIM(I4650), ""^\d+\s*min""), ""Unclassified"", IF(I4650 = """", ""NR"", I4650))"),"TV-G")</f>
        <v>TV-G</v>
      </c>
      <c r="R4650" s="5" t="str">
        <f t="shared" si="2"/>
        <v>If I Were An Animal</v>
      </c>
      <c r="S4650" s="5" t="str">
        <f>IFERROR(__xludf.DUMMYFUNCTION("""COMPUTED_VALUE"""),"Miss Me This Christmas")</f>
        <v>Miss Me This Christmas</v>
      </c>
      <c r="V4650" s="5"/>
      <c r="Y4650" s="5" t="str">
        <f>IFERROR(__xludf.DUMMYFUNCTION("REGEXEXTRACT(J4650, ""^\d+"")"),"1")</f>
        <v>1</v>
      </c>
      <c r="Z4650" s="5" t="str">
        <f>IFERROR(__xludf.DUMMYFUNCTION("REGEXEXTRACT(J4650, ""[A-Za-z ]+$"")")," Season")</f>
        <v> Season</v>
      </c>
      <c r="AA4650" s="5" t="str">
        <f>IFERROR(__xludf.DUMMYFUNCTION("IF(REGEXMATCH(Z4650, ""Season""), ""TV Show"", ""Movie"")"),"TV Show")</f>
        <v>TV Show</v>
      </c>
    </row>
    <row r="4651">
      <c r="A4651" s="1" t="s">
        <v>24580</v>
      </c>
      <c r="B4651" s="1" t="s">
        <v>27</v>
      </c>
      <c r="C4651" s="1" t="s">
        <v>24581</v>
      </c>
      <c r="D4651" s="1" t="s">
        <v>11744</v>
      </c>
      <c r="E4651" s="1" t="s">
        <v>24582</v>
      </c>
      <c r="F4651" s="1" t="s">
        <v>4615</v>
      </c>
      <c r="G4651" s="1" t="s">
        <v>24573</v>
      </c>
      <c r="H4651" s="1">
        <v>2018.0</v>
      </c>
      <c r="I4651" s="1" t="s">
        <v>42</v>
      </c>
      <c r="J4651" s="1" t="s">
        <v>2566</v>
      </c>
      <c r="K4651" s="1" t="s">
        <v>128</v>
      </c>
      <c r="L4651" s="1" t="s">
        <v>24583</v>
      </c>
      <c r="M4651" s="2" t="s">
        <v>12</v>
      </c>
      <c r="N4651" s="4">
        <f t="shared" si="1"/>
        <v>43354</v>
      </c>
      <c r="O4651" s="5" t="str">
        <f>IFERROR(__xludf.DUMMYFUNCTION("IF(REGEXMATCH(TRIM(I4651), ""^\d+\s*min""), ""Unclassified"", IF(I4651 = """", ""NR"", I4651))"),"TV-MA")</f>
        <v>TV-MA</v>
      </c>
      <c r="R4651" s="5" t="str">
        <f t="shared" si="2"/>
        <v>The Resistance Banker</v>
      </c>
      <c r="S4651" s="5" t="str">
        <f>IFERROR(__xludf.DUMMYFUNCTION("""COMPUTED_VALUE"""),"Miss Panda &amp; Mr. Hedgehog")</f>
        <v>Miss Panda &amp; Mr. Hedgehog</v>
      </c>
      <c r="V4651" s="5"/>
      <c r="Y4651" s="5" t="str">
        <f>IFERROR(__xludf.DUMMYFUNCTION("REGEXEXTRACT(J4651, ""^\d+"")"),"123")</f>
        <v>123</v>
      </c>
      <c r="Z4651" s="5" t="str">
        <f>IFERROR(__xludf.DUMMYFUNCTION("REGEXEXTRACT(J4651, ""[A-Za-z ]+$"")")," min")</f>
        <v> min</v>
      </c>
      <c r="AA4651" s="5" t="str">
        <f>IFERROR(__xludf.DUMMYFUNCTION("IF(REGEXMATCH(Z4651, ""Season""), ""TV Show"", ""Movie"")"),"Movie")</f>
        <v>Movie</v>
      </c>
    </row>
    <row r="4652">
      <c r="A4652" s="1" t="s">
        <v>24584</v>
      </c>
      <c r="B4652" s="1" t="s">
        <v>37</v>
      </c>
      <c r="C4652" s="1" t="s">
        <v>24585</v>
      </c>
      <c r="E4652" s="1" t="s">
        <v>24586</v>
      </c>
      <c r="G4652" s="1" t="s">
        <v>24587</v>
      </c>
      <c r="H4652" s="1">
        <v>2004.0</v>
      </c>
      <c r="I4652" s="1" t="s">
        <v>97</v>
      </c>
      <c r="J4652" s="1" t="s">
        <v>43</v>
      </c>
      <c r="K4652" s="1" t="s">
        <v>1294</v>
      </c>
      <c r="L4652" s="1" t="s">
        <v>24588</v>
      </c>
      <c r="M4652" s="2" t="s">
        <v>12</v>
      </c>
      <c r="N4652" s="4">
        <f t="shared" si="1"/>
        <v>43352</v>
      </c>
      <c r="O4652" s="5" t="str">
        <f>IFERROR(__xludf.DUMMYFUNCTION("IF(REGEXMATCH(TRIM(I4652), ""^\d+\s*min""), ""Unclassified"", IF(I4652 = """", ""NR"", I4652))"),"TV-14")</f>
        <v>TV-14</v>
      </c>
      <c r="R4652" s="5" t="str">
        <f t="shared" si="2"/>
        <v>Show Me The Money</v>
      </c>
      <c r="S4652" s="5" t="str">
        <f>IFERROR(__xludf.DUMMYFUNCTION("""COMPUTED_VALUE"""),"Miss Representation")</f>
        <v>Miss Representation</v>
      </c>
      <c r="V4652" s="5"/>
      <c r="Y4652" s="5" t="str">
        <f>IFERROR(__xludf.DUMMYFUNCTION("REGEXEXTRACT(J4652, ""^\d+"")"),"2")</f>
        <v>2</v>
      </c>
      <c r="Z4652" s="5" t="str">
        <f>IFERROR(__xludf.DUMMYFUNCTION("REGEXEXTRACT(J4652, ""[A-Za-z ]+$"")")," Seasons")</f>
        <v> Seasons</v>
      </c>
      <c r="AA4652" s="5" t="str">
        <f>IFERROR(__xludf.DUMMYFUNCTION("IF(REGEXMATCH(Z4652, ""Season""), ""TV Show"", ""Movie"")"),"TV Show")</f>
        <v>TV Show</v>
      </c>
    </row>
    <row r="4653">
      <c r="A4653" s="1" t="s">
        <v>24589</v>
      </c>
      <c r="B4653" s="1" t="s">
        <v>37</v>
      </c>
      <c r="C4653" s="1" t="s">
        <v>24590</v>
      </c>
      <c r="E4653" s="1" t="s">
        <v>24591</v>
      </c>
      <c r="F4653" s="1" t="s">
        <v>30</v>
      </c>
      <c r="G4653" s="1" t="s">
        <v>24592</v>
      </c>
      <c r="H4653" s="1">
        <v>2013.0</v>
      </c>
      <c r="I4653" s="1" t="s">
        <v>289</v>
      </c>
      <c r="J4653" s="1" t="s">
        <v>51</v>
      </c>
      <c r="K4653" s="1" t="s">
        <v>290</v>
      </c>
      <c r="L4653" s="1" t="s">
        <v>24593</v>
      </c>
      <c r="M4653" s="2" t="s">
        <v>12</v>
      </c>
      <c r="N4653" s="4">
        <f t="shared" si="1"/>
        <v>43351</v>
      </c>
      <c r="O4653" s="5" t="str">
        <f>IFERROR(__xludf.DUMMYFUNCTION("IF(REGEXMATCH(TRIM(I4653), ""^\d+\s*min""), ""Unclassified"", IF(I4653 = """", ""NR"", I4653))"),"TV-Y7")</f>
        <v>TV-Y7</v>
      </c>
      <c r="R4653" s="5" t="str">
        <f t="shared" si="2"/>
        <v>Transformers Prime</v>
      </c>
      <c r="S4653" s="5" t="str">
        <f>IFERROR(__xludf.DUMMYFUNCTION("""COMPUTED_VALUE"""),"Miss Rose")</f>
        <v>Miss Rose</v>
      </c>
      <c r="V4653" s="5"/>
      <c r="Y4653" s="5" t="str">
        <f>IFERROR(__xludf.DUMMYFUNCTION("REGEXEXTRACT(J4653, ""^\d+"")"),"1")</f>
        <v>1</v>
      </c>
      <c r="Z4653" s="5" t="str">
        <f>IFERROR(__xludf.DUMMYFUNCTION("REGEXEXTRACT(J4653, ""[A-Za-z ]+$"")")," Season")</f>
        <v> Season</v>
      </c>
      <c r="AA4653" s="5" t="str">
        <f>IFERROR(__xludf.DUMMYFUNCTION("IF(REGEXMATCH(Z4653, ""Season""), ""TV Show"", ""Movie"")"),"TV Show")</f>
        <v>TV Show</v>
      </c>
    </row>
    <row r="4654">
      <c r="A4654" s="1" t="s">
        <v>24594</v>
      </c>
      <c r="B4654" s="1" t="s">
        <v>37</v>
      </c>
      <c r="C4654" s="1" t="s">
        <v>24595</v>
      </c>
      <c r="E4654" s="1" t="s">
        <v>24596</v>
      </c>
      <c r="F4654" s="1" t="s">
        <v>30</v>
      </c>
      <c r="G4654" s="1" t="s">
        <v>24592</v>
      </c>
      <c r="H4654" s="1">
        <v>2016.0</v>
      </c>
      <c r="I4654" s="1" t="s">
        <v>289</v>
      </c>
      <c r="J4654" s="1" t="s">
        <v>51</v>
      </c>
      <c r="K4654" s="1" t="s">
        <v>290</v>
      </c>
      <c r="L4654" s="1" t="s">
        <v>24597</v>
      </c>
      <c r="M4654" s="2" t="s">
        <v>12</v>
      </c>
      <c r="N4654" s="4">
        <f t="shared" si="1"/>
        <v>43351</v>
      </c>
      <c r="O4654" s="5" t="str">
        <f>IFERROR(__xludf.DUMMYFUNCTION("IF(REGEXMATCH(TRIM(I4654), ""^\d+\s*min""), ""Unclassified"", IF(I4654 = """", ""NR"", I4654))"),"TV-Y7")</f>
        <v>TV-Y7</v>
      </c>
      <c r="R4654" s="5" t="str">
        <f t="shared" si="2"/>
        <v>Transformers: Robots In Disguise</v>
      </c>
      <c r="S4654" s="5" t="str">
        <f>IFERROR(__xludf.DUMMYFUNCTION("""COMPUTED_VALUE"""),"Miss Sharon Jones!")</f>
        <v>Miss Sharon Jones!</v>
      </c>
      <c r="V4654" s="5"/>
      <c r="Y4654" s="5" t="str">
        <f>IFERROR(__xludf.DUMMYFUNCTION("REGEXEXTRACT(J4654, ""^\d+"")"),"1")</f>
        <v>1</v>
      </c>
      <c r="Z4654" s="5" t="str">
        <f>IFERROR(__xludf.DUMMYFUNCTION("REGEXEXTRACT(J4654, ""[A-Za-z ]+$"")")," Season")</f>
        <v> Season</v>
      </c>
      <c r="AA4654" s="5" t="str">
        <f>IFERROR(__xludf.DUMMYFUNCTION("IF(REGEXMATCH(Z4654, ""Season""), ""TV Show"", ""Movie"")"),"TV Show")</f>
        <v>TV Show</v>
      </c>
    </row>
    <row r="4655">
      <c r="A4655" s="1" t="s">
        <v>24598</v>
      </c>
      <c r="B4655" s="1" t="s">
        <v>27</v>
      </c>
      <c r="C4655" s="1" t="s">
        <v>24599</v>
      </c>
      <c r="D4655" s="1" t="s">
        <v>14209</v>
      </c>
      <c r="F4655" s="1" t="s">
        <v>24600</v>
      </c>
      <c r="G4655" s="1" t="s">
        <v>24601</v>
      </c>
      <c r="H4655" s="1">
        <v>2018.0</v>
      </c>
      <c r="I4655" s="1" t="s">
        <v>42</v>
      </c>
      <c r="J4655" s="1" t="s">
        <v>4558</v>
      </c>
      <c r="K4655" s="1" t="s">
        <v>34</v>
      </c>
      <c r="L4655" s="1" t="s">
        <v>24602</v>
      </c>
      <c r="M4655" s="2" t="s">
        <v>12</v>
      </c>
      <c r="N4655" s="4">
        <f t="shared" si="1"/>
        <v>43350</v>
      </c>
      <c r="O4655" s="5" t="str">
        <f>IFERROR(__xludf.DUMMYFUNCTION("IF(REGEXMATCH(TRIM(I4655), ""^\d+\s*min""), ""Unclassified"", IF(I4655 = """", ""NR"", I4655))"),"TV-MA")</f>
        <v>TV-MA</v>
      </c>
      <c r="R4655" s="5" t="str">
        <f t="shared" si="2"/>
        <v>City Of Joy</v>
      </c>
      <c r="S4655" s="5" t="str">
        <f>IFERROR(__xludf.DUMMYFUNCTION("""COMPUTED_VALUE"""),"Miss Sloane")</f>
        <v>Miss Sloane</v>
      </c>
      <c r="V4655" s="5"/>
      <c r="Y4655" s="5" t="str">
        <f>IFERROR(__xludf.DUMMYFUNCTION("REGEXEXTRACT(J4655, ""^\d+"")"),"77")</f>
        <v>77</v>
      </c>
      <c r="Z4655" s="5" t="str">
        <f>IFERROR(__xludf.DUMMYFUNCTION("REGEXEXTRACT(J4655, ""[A-Za-z ]+$"")")," min")</f>
        <v> min</v>
      </c>
      <c r="AA4655" s="5" t="str">
        <f>IFERROR(__xludf.DUMMYFUNCTION("IF(REGEXMATCH(Z4655, ""Season""), ""TV Show"", ""Movie"")"),"Movie")</f>
        <v>Movie</v>
      </c>
    </row>
    <row r="4656">
      <c r="A4656" s="1" t="s">
        <v>24603</v>
      </c>
      <c r="B4656" s="1" t="s">
        <v>37</v>
      </c>
      <c r="C4656" s="1" t="s">
        <v>24604</v>
      </c>
      <c r="G4656" s="1" t="s">
        <v>24601</v>
      </c>
      <c r="H4656" s="1">
        <v>2018.0</v>
      </c>
      <c r="I4656" s="1" t="s">
        <v>42</v>
      </c>
      <c r="J4656" s="1" t="s">
        <v>51</v>
      </c>
      <c r="K4656" s="1" t="s">
        <v>1261</v>
      </c>
      <c r="L4656" s="1" t="s">
        <v>24605</v>
      </c>
      <c r="M4656" s="2" t="s">
        <v>12</v>
      </c>
      <c r="N4656" s="4">
        <f t="shared" si="1"/>
        <v>43350</v>
      </c>
      <c r="O4656" s="5" t="str">
        <f>IFERROR(__xludf.DUMMYFUNCTION("IF(REGEXMATCH(TRIM(I4656), ""^\d+\s*min""), ""Unclassified"", IF(I4656 = """", ""NR"", I4656))"),"TV-MA")</f>
        <v>TV-MA</v>
      </c>
      <c r="R4656" s="5" t="str">
        <f t="shared" si="2"/>
        <v>First And Last</v>
      </c>
      <c r="S4656" s="5" t="str">
        <f>IFERROR(__xludf.DUMMYFUNCTION("""COMPUTED_VALUE"""),"Miss Stevens")</f>
        <v>Miss Stevens</v>
      </c>
      <c r="V4656" s="5"/>
      <c r="Y4656" s="5" t="str">
        <f>IFERROR(__xludf.DUMMYFUNCTION("REGEXEXTRACT(J4656, ""^\d+"")"),"1")</f>
        <v>1</v>
      </c>
      <c r="Z4656" s="5" t="str">
        <f>IFERROR(__xludf.DUMMYFUNCTION("REGEXEXTRACT(J4656, ""[A-Za-z ]+$"")")," Season")</f>
        <v> Season</v>
      </c>
      <c r="AA4656" s="5" t="str">
        <f>IFERROR(__xludf.DUMMYFUNCTION("IF(REGEXMATCH(Z4656, ""Season""), ""TV Show"", ""Movie"")"),"TV Show")</f>
        <v>TV Show</v>
      </c>
    </row>
    <row r="4657">
      <c r="A4657" s="1" t="s">
        <v>24606</v>
      </c>
      <c r="B4657" s="1" t="s">
        <v>37</v>
      </c>
      <c r="C4657" s="1" t="s">
        <v>24607</v>
      </c>
      <c r="E4657" s="1" t="s">
        <v>24608</v>
      </c>
      <c r="F4657" s="1" t="s">
        <v>30</v>
      </c>
      <c r="G4657" s="1" t="s">
        <v>24601</v>
      </c>
      <c r="H4657" s="1">
        <v>2018.0</v>
      </c>
      <c r="I4657" s="1" t="s">
        <v>42</v>
      </c>
      <c r="J4657" s="1" t="s">
        <v>43</v>
      </c>
      <c r="K4657" s="1" t="s">
        <v>13666</v>
      </c>
      <c r="L4657" s="1" t="s">
        <v>24609</v>
      </c>
      <c r="M4657" s="2" t="s">
        <v>12</v>
      </c>
      <c r="N4657" s="4">
        <f t="shared" si="1"/>
        <v>43350</v>
      </c>
      <c r="O4657" s="5" t="str">
        <f>IFERROR(__xludf.DUMMYFUNCTION("IF(REGEXMATCH(TRIM(I4657), ""^\d+\s*min""), ""Unclassified"", IF(I4657 = """", ""NR"", I4657))"),"TV-MA")</f>
        <v>TV-MA</v>
      </c>
      <c r="R4657" s="5" t="str">
        <f t="shared" si="2"/>
        <v>Marvel'S Iron Fist</v>
      </c>
      <c r="S4657" s="5" t="str">
        <f>IFERROR(__xludf.DUMMYFUNCTION("""COMPUTED_VALUE"""),"Miss Virginia")</f>
        <v>Miss Virginia</v>
      </c>
      <c r="V4657" s="5"/>
      <c r="Y4657" s="5" t="str">
        <f>IFERROR(__xludf.DUMMYFUNCTION("REGEXEXTRACT(J4657, ""^\d+"")"),"2")</f>
        <v>2</v>
      </c>
      <c r="Z4657" s="5" t="str">
        <f>IFERROR(__xludf.DUMMYFUNCTION("REGEXEXTRACT(J4657, ""[A-Za-z ]+$"")")," Seasons")</f>
        <v> Seasons</v>
      </c>
      <c r="AA4657" s="5" t="str">
        <f>IFERROR(__xludf.DUMMYFUNCTION("IF(REGEXMATCH(Z4657, ""Season""), ""TV Show"", ""Movie"")"),"TV Show")</f>
        <v>TV Show</v>
      </c>
    </row>
    <row r="4658">
      <c r="A4658" s="1" t="s">
        <v>24610</v>
      </c>
      <c r="B4658" s="1" t="s">
        <v>27</v>
      </c>
      <c r="C4658" s="1" t="s">
        <v>24611</v>
      </c>
      <c r="D4658" s="1" t="s">
        <v>12884</v>
      </c>
      <c r="E4658" s="1" t="s">
        <v>24612</v>
      </c>
      <c r="F4658" s="1" t="s">
        <v>321</v>
      </c>
      <c r="G4658" s="1" t="s">
        <v>24601</v>
      </c>
      <c r="H4658" s="1">
        <v>2018.0</v>
      </c>
      <c r="I4658" s="1" t="s">
        <v>136</v>
      </c>
      <c r="J4658" s="1" t="s">
        <v>256</v>
      </c>
      <c r="K4658" s="1" t="s">
        <v>2155</v>
      </c>
      <c r="L4658" s="1" t="s">
        <v>24613</v>
      </c>
      <c r="M4658" s="2" t="s">
        <v>12</v>
      </c>
      <c r="N4658" s="4">
        <f t="shared" si="1"/>
        <v>43350</v>
      </c>
      <c r="O4658" s="5" t="str">
        <f>IFERROR(__xludf.DUMMYFUNCTION("IF(REGEXMATCH(TRIM(I4658), ""^\d+\s*min""), ""Unclassified"", IF(I4658 = """", ""NR"", I4658))"),"TV-PG")</f>
        <v>TV-PG</v>
      </c>
      <c r="R4658" s="5" t="str">
        <f t="shared" si="2"/>
        <v>Next Gen</v>
      </c>
      <c r="S4658" s="5" t="str">
        <f>IFERROR(__xludf.DUMMYFUNCTION("""COMPUTED_VALUE"""),"Mission Blue")</f>
        <v>Mission Blue</v>
      </c>
      <c r="V4658" s="5"/>
      <c r="Y4658" s="5" t="str">
        <f>IFERROR(__xludf.DUMMYFUNCTION("REGEXEXTRACT(J4658, ""^\d+"")"),"106")</f>
        <v>106</v>
      </c>
      <c r="Z4658" s="5" t="str">
        <f>IFERROR(__xludf.DUMMYFUNCTION("REGEXEXTRACT(J4658, ""[A-Za-z ]+$"")")," min")</f>
        <v> min</v>
      </c>
      <c r="AA4658" s="5" t="str">
        <f>IFERROR(__xludf.DUMMYFUNCTION("IF(REGEXMATCH(Z4658, ""Season""), ""TV Show"", ""Movie"")"),"Movie")</f>
        <v>Movie</v>
      </c>
    </row>
    <row r="4659">
      <c r="A4659" s="1" t="s">
        <v>24614</v>
      </c>
      <c r="B4659" s="1" t="s">
        <v>27</v>
      </c>
      <c r="C4659" s="1" t="s">
        <v>24615</v>
      </c>
      <c r="D4659" s="1" t="s">
        <v>9546</v>
      </c>
      <c r="E4659" s="1" t="s">
        <v>24616</v>
      </c>
      <c r="F4659" s="1" t="s">
        <v>30</v>
      </c>
      <c r="G4659" s="1" t="s">
        <v>24601</v>
      </c>
      <c r="H4659" s="1">
        <v>2018.0</v>
      </c>
      <c r="I4659" s="1" t="s">
        <v>32</v>
      </c>
      <c r="J4659" s="1" t="s">
        <v>256</v>
      </c>
      <c r="K4659" s="1" t="s">
        <v>813</v>
      </c>
      <c r="L4659" s="1" t="s">
        <v>24617</v>
      </c>
      <c r="M4659" s="2" t="s">
        <v>12</v>
      </c>
      <c r="N4659" s="4">
        <f t="shared" si="1"/>
        <v>43350</v>
      </c>
      <c r="O4659" s="5" t="str">
        <f>IFERROR(__xludf.DUMMYFUNCTION("IF(REGEXMATCH(TRIM(I4659), ""^\d+\s*min""), ""Unclassified"", IF(I4659 = """", ""NR"", I4659))"),"PG-13")</f>
        <v>PG-13</v>
      </c>
      <c r="R4659" s="5" t="str">
        <f t="shared" si="2"/>
        <v>Sierra Burgess Is A Loser</v>
      </c>
      <c r="S4659" s="5" t="str">
        <f>IFERROR(__xludf.DUMMYFUNCTION("""COMPUTED_VALUE"""),"Mission Control: The Unsung Heroes Of Apollo")</f>
        <v>Mission Control: The Unsung Heroes Of Apollo</v>
      </c>
      <c r="V4659" s="5"/>
      <c r="Y4659" s="5" t="str">
        <f>IFERROR(__xludf.DUMMYFUNCTION("REGEXEXTRACT(J4659, ""^\d+"")"),"106")</f>
        <v>106</v>
      </c>
      <c r="Z4659" s="5" t="str">
        <f>IFERROR(__xludf.DUMMYFUNCTION("REGEXEXTRACT(J4659, ""[A-Za-z ]+$"")")," min")</f>
        <v> min</v>
      </c>
      <c r="AA4659" s="5" t="str">
        <f>IFERROR(__xludf.DUMMYFUNCTION("IF(REGEXMATCH(Z4659, ""Season""), ""TV Show"", ""Movie"")"),"Movie")</f>
        <v>Movie</v>
      </c>
    </row>
    <row r="4660">
      <c r="A4660" s="1" t="s">
        <v>24618</v>
      </c>
      <c r="B4660" s="1" t="s">
        <v>37</v>
      </c>
      <c r="C4660" s="1" t="s">
        <v>24619</v>
      </c>
      <c r="E4660" s="1" t="s">
        <v>24620</v>
      </c>
      <c r="F4660" s="1" t="s">
        <v>30</v>
      </c>
      <c r="G4660" s="1" t="s">
        <v>24601</v>
      </c>
      <c r="H4660" s="1">
        <v>2018.0</v>
      </c>
      <c r="I4660" s="1" t="s">
        <v>289</v>
      </c>
      <c r="J4660" s="1" t="s">
        <v>43</v>
      </c>
      <c r="K4660" s="1" t="s">
        <v>290</v>
      </c>
      <c r="L4660" s="1" t="s">
        <v>24621</v>
      </c>
      <c r="M4660" s="2" t="s">
        <v>12</v>
      </c>
      <c r="N4660" s="4">
        <f t="shared" si="1"/>
        <v>43350</v>
      </c>
      <c r="O4660" s="5" t="str">
        <f>IFERROR(__xludf.DUMMYFUNCTION("IF(REGEXMATCH(TRIM(I4660), ""^\d+\s*min""), ""Unclassified"", IF(I4660 = """", ""NR"", I4660))"),"TV-Y7")</f>
        <v>TV-Y7</v>
      </c>
      <c r="R4660" s="5" t="str">
        <f t="shared" si="2"/>
        <v>Stretch Armstrong &amp; The Flex Fighters</v>
      </c>
      <c r="S4660" s="5" t="str">
        <f>IFERROR(__xludf.DUMMYFUNCTION("""COMPUTED_VALUE"""),"Mission Istaanbul: Darr Ke Aagey Jeet Hai")</f>
        <v>Mission Istaanbul: Darr Ke Aagey Jeet Hai</v>
      </c>
      <c r="V4660" s="5"/>
      <c r="Y4660" s="5" t="str">
        <f>IFERROR(__xludf.DUMMYFUNCTION("REGEXEXTRACT(J4660, ""^\d+"")"),"2")</f>
        <v>2</v>
      </c>
      <c r="Z4660" s="5" t="str">
        <f>IFERROR(__xludf.DUMMYFUNCTION("REGEXEXTRACT(J4660, ""[A-Za-z ]+$"")")," Seasons")</f>
        <v> Seasons</v>
      </c>
      <c r="AA4660" s="5" t="str">
        <f>IFERROR(__xludf.DUMMYFUNCTION("IF(REGEXMATCH(Z4660, ""Season""), ""TV Show"", ""Movie"")"),"TV Show")</f>
        <v>TV Show</v>
      </c>
    </row>
    <row r="4661">
      <c r="A4661" s="1" t="s">
        <v>24622</v>
      </c>
      <c r="B4661" s="1" t="s">
        <v>27</v>
      </c>
      <c r="C4661" s="1" t="s">
        <v>24623</v>
      </c>
      <c r="D4661" s="1" t="s">
        <v>7829</v>
      </c>
      <c r="E4661" s="1" t="s">
        <v>24624</v>
      </c>
      <c r="F4661" s="1" t="s">
        <v>24625</v>
      </c>
      <c r="G4661" s="1" t="s">
        <v>24601</v>
      </c>
      <c r="H4661" s="1">
        <v>2018.0</v>
      </c>
      <c r="I4661" s="1" t="s">
        <v>42</v>
      </c>
      <c r="J4661" s="1" t="s">
        <v>447</v>
      </c>
      <c r="K4661" s="1" t="s">
        <v>298</v>
      </c>
      <c r="L4661" s="1" t="s">
        <v>24626</v>
      </c>
      <c r="M4661" s="2" t="s">
        <v>12</v>
      </c>
      <c r="N4661" s="4">
        <f t="shared" si="1"/>
        <v>43350</v>
      </c>
      <c r="O4661" s="5" t="str">
        <f>IFERROR(__xludf.DUMMYFUNCTION("IF(REGEXMATCH(TRIM(I4661), ""^\d+\s*min""), ""Unclassified"", IF(I4661 = """", ""NR"", I4661))"),"TV-MA")</f>
        <v>TV-MA</v>
      </c>
      <c r="R4661" s="5" t="str">
        <f t="shared" si="2"/>
        <v>The Most Assassinated Woman In The World</v>
      </c>
      <c r="S4661" s="5" t="str">
        <f>IFERROR(__xludf.DUMMYFUNCTION("""COMPUTED_VALUE"""),"Mission Of Honor")</f>
        <v>Mission Of Honor</v>
      </c>
      <c r="V4661" s="5"/>
      <c r="Y4661" s="5" t="str">
        <f>IFERROR(__xludf.DUMMYFUNCTION("REGEXEXTRACT(J4661, ""^\d+"")"),"102")</f>
        <v>102</v>
      </c>
      <c r="Z4661" s="5" t="str">
        <f>IFERROR(__xludf.DUMMYFUNCTION("REGEXEXTRACT(J4661, ""[A-Za-z ]+$"")")," min")</f>
        <v> min</v>
      </c>
      <c r="AA4661" s="5" t="str">
        <f>IFERROR(__xludf.DUMMYFUNCTION("IF(REGEXMATCH(Z4661, ""Season""), ""TV Show"", ""Movie"")"),"Movie")</f>
        <v>Movie</v>
      </c>
    </row>
    <row r="4662">
      <c r="A4662" s="1" t="s">
        <v>24627</v>
      </c>
      <c r="B4662" s="1" t="s">
        <v>27</v>
      </c>
      <c r="C4662" s="1" t="s">
        <v>24628</v>
      </c>
      <c r="D4662" s="1" t="s">
        <v>6615</v>
      </c>
      <c r="E4662" s="1" t="s">
        <v>24629</v>
      </c>
      <c r="F4662" s="1" t="s">
        <v>63</v>
      </c>
      <c r="G4662" s="1" t="s">
        <v>24630</v>
      </c>
      <c r="H4662" s="1">
        <v>2014.0</v>
      </c>
      <c r="I4662" s="1" t="s">
        <v>97</v>
      </c>
      <c r="J4662" s="1" t="s">
        <v>11162</v>
      </c>
      <c r="K4662" s="1" t="s">
        <v>583</v>
      </c>
      <c r="L4662" s="1" t="s">
        <v>24631</v>
      </c>
      <c r="M4662" s="2" t="s">
        <v>12</v>
      </c>
      <c r="N4662" s="4">
        <f t="shared" si="1"/>
        <v>43349</v>
      </c>
      <c r="O4662" s="5" t="str">
        <f>IFERROR(__xludf.DUMMYFUNCTION("IF(REGEXMATCH(TRIM(I4662), ""^\d+\s*min""), ""Unclassified"", IF(I4662 = """", ""NR"", I4662))"),"TV-14")</f>
        <v>TV-14</v>
      </c>
      <c r="R4662" s="5" t="str">
        <f t="shared" si="2"/>
        <v>Pk</v>
      </c>
      <c r="S4662" s="5" t="str">
        <f>IFERROR(__xludf.DUMMYFUNCTION("""COMPUTED_VALUE"""),"Mission: Destroy Love")</f>
        <v>Mission: Destroy Love</v>
      </c>
      <c r="V4662" s="5"/>
      <c r="Y4662" s="5" t="str">
        <f>IFERROR(__xludf.DUMMYFUNCTION("REGEXEXTRACT(J4662, ""^\d+"")"),"146")</f>
        <v>146</v>
      </c>
      <c r="Z4662" s="5" t="str">
        <f>IFERROR(__xludf.DUMMYFUNCTION("REGEXEXTRACT(J4662, ""[A-Za-z ]+$"")")," min")</f>
        <v> min</v>
      </c>
      <c r="AA4662" s="5" t="str">
        <f>IFERROR(__xludf.DUMMYFUNCTION("IF(REGEXMATCH(Z4662, ""Season""), ""TV Show"", ""Movie"")"),"Movie")</f>
        <v>Movie</v>
      </c>
    </row>
    <row r="4663">
      <c r="A4663" s="1" t="s">
        <v>24632</v>
      </c>
      <c r="B4663" s="1" t="s">
        <v>27</v>
      </c>
      <c r="C4663" s="1" t="s">
        <v>24633</v>
      </c>
      <c r="D4663" s="1" t="s">
        <v>10892</v>
      </c>
      <c r="E4663" s="1" t="s">
        <v>24634</v>
      </c>
      <c r="F4663" s="1" t="s">
        <v>686</v>
      </c>
      <c r="G4663" s="1" t="s">
        <v>24635</v>
      </c>
      <c r="H4663" s="1">
        <v>2018.0</v>
      </c>
      <c r="I4663" s="1" t="s">
        <v>42</v>
      </c>
      <c r="J4663" s="1" t="s">
        <v>322</v>
      </c>
      <c r="K4663" s="1" t="s">
        <v>380</v>
      </c>
      <c r="L4663" s="1" t="s">
        <v>24636</v>
      </c>
      <c r="M4663" s="2" t="s">
        <v>12</v>
      </c>
      <c r="N4663" s="4">
        <f t="shared" si="1"/>
        <v>43346</v>
      </c>
      <c r="O4663" s="5" t="str">
        <f>IFERROR(__xludf.DUMMYFUNCTION("IF(REGEXMATCH(TRIM(I4663), ""^\d+\s*min""), ""Unclassified"", IF(I4663 = """", ""NR"", I4663))"),"TV-MA")</f>
        <v>TV-MA</v>
      </c>
      <c r="R4663" s="5" t="str">
        <f t="shared" si="2"/>
        <v>The Debt Collector</v>
      </c>
      <c r="S4663" s="5" t="str">
        <f>IFERROR(__xludf.DUMMYFUNCTION("""COMPUTED_VALUE"""),"Mississippi Grind")</f>
        <v>Mississippi Grind</v>
      </c>
      <c r="V4663" s="5"/>
      <c r="Y4663" s="5" t="str">
        <f>IFERROR(__xludf.DUMMYFUNCTION("REGEXEXTRACT(J4663, ""^\d+"")"),"96")</f>
        <v>96</v>
      </c>
      <c r="Z4663" s="5" t="str">
        <f>IFERROR(__xludf.DUMMYFUNCTION("REGEXEXTRACT(J4663, ""[A-Za-z ]+$"")")," min")</f>
        <v> min</v>
      </c>
      <c r="AA4663" s="5" t="str">
        <f>IFERROR(__xludf.DUMMYFUNCTION("IF(REGEXMATCH(Z4663, ""Season""), ""TV Show"", ""Movie"")"),"Movie")</f>
        <v>Movie</v>
      </c>
    </row>
    <row r="4664">
      <c r="A4664" s="1" t="s">
        <v>24637</v>
      </c>
      <c r="B4664" s="1" t="s">
        <v>37</v>
      </c>
      <c r="C4664" s="1" t="s">
        <v>24638</v>
      </c>
      <c r="E4664" s="1" t="s">
        <v>24639</v>
      </c>
      <c r="F4664" s="1" t="s">
        <v>2796</v>
      </c>
      <c r="G4664" s="1" t="s">
        <v>24640</v>
      </c>
      <c r="H4664" s="1">
        <v>2018.0</v>
      </c>
      <c r="I4664" s="1" t="s">
        <v>42</v>
      </c>
      <c r="J4664" s="1" t="s">
        <v>51</v>
      </c>
      <c r="K4664" s="1" t="s">
        <v>52</v>
      </c>
      <c r="L4664" s="1" t="s">
        <v>24641</v>
      </c>
      <c r="M4664" s="2" t="s">
        <v>12</v>
      </c>
      <c r="N4664" s="4">
        <f t="shared" si="1"/>
        <v>43345</v>
      </c>
      <c r="O4664" s="5" t="str">
        <f>IFERROR(__xludf.DUMMYFUNCTION("IF(REGEXMATCH(TRIM(I4664), ""^\d+\s*min""), ""Unclassified"", IF(I4664 = """", ""NR"", I4664))"),"TV-MA")</f>
        <v>TV-MA</v>
      </c>
      <c r="R4664" s="5" t="str">
        <f t="shared" si="2"/>
        <v>Monkey Twins</v>
      </c>
      <c r="S4664" s="5" t="str">
        <f>IFERROR(__xludf.DUMMYFUNCTION("""COMPUTED_VALUE"""),"Mitt")</f>
        <v>Mitt</v>
      </c>
      <c r="V4664" s="5"/>
      <c r="Y4664" s="5" t="str">
        <f>IFERROR(__xludf.DUMMYFUNCTION("REGEXEXTRACT(J4664, ""^\d+"")"),"1")</f>
        <v>1</v>
      </c>
      <c r="Z4664" s="5" t="str">
        <f>IFERROR(__xludf.DUMMYFUNCTION("REGEXEXTRACT(J4664, ""[A-Za-z ]+$"")")," Season")</f>
        <v> Season</v>
      </c>
      <c r="AA4664" s="5" t="str">
        <f>IFERROR(__xludf.DUMMYFUNCTION("IF(REGEXMATCH(Z4664, ""Season""), ""TV Show"", ""Movie"")"),"TV Show")</f>
        <v>TV Show</v>
      </c>
    </row>
    <row r="4665">
      <c r="A4665" s="1" t="s">
        <v>24642</v>
      </c>
      <c r="B4665" s="1" t="s">
        <v>37</v>
      </c>
      <c r="C4665" s="1" t="s">
        <v>24643</v>
      </c>
      <c r="E4665" s="1" t="s">
        <v>24644</v>
      </c>
      <c r="F4665" s="1" t="s">
        <v>30</v>
      </c>
      <c r="G4665" s="1" t="s">
        <v>24640</v>
      </c>
      <c r="H4665" s="1">
        <v>2018.0</v>
      </c>
      <c r="I4665" s="1" t="s">
        <v>97</v>
      </c>
      <c r="J4665" s="1" t="s">
        <v>276</v>
      </c>
      <c r="K4665" s="1" t="s">
        <v>1510</v>
      </c>
      <c r="L4665" s="1" t="s">
        <v>24645</v>
      </c>
      <c r="M4665" s="2" t="s">
        <v>12</v>
      </c>
      <c r="N4665" s="4">
        <f t="shared" si="1"/>
        <v>43345</v>
      </c>
      <c r="O4665" s="5" t="str">
        <f>IFERROR(__xludf.DUMMYFUNCTION("IF(REGEXMATCH(TRIM(I4665), ""^\d+\s*min""), ""Unclassified"", IF(I4665 = """", ""NR"", I4665))"),"TV-14")</f>
        <v>TV-14</v>
      </c>
      <c r="R4665" s="5" t="str">
        <f t="shared" si="2"/>
        <v>Quantico</v>
      </c>
      <c r="S4665" s="5" t="str">
        <f>IFERROR(__xludf.DUMMYFUNCTION("""COMPUTED_VALUE"""),"Mo Amer: The Vagabond")</f>
        <v>Mo Amer: The Vagabond</v>
      </c>
      <c r="V4665" s="5"/>
      <c r="Y4665" s="5" t="str">
        <f>IFERROR(__xludf.DUMMYFUNCTION("REGEXEXTRACT(J4665, ""^\d+"")"),"3")</f>
        <v>3</v>
      </c>
      <c r="Z4665" s="5" t="str">
        <f>IFERROR(__xludf.DUMMYFUNCTION("REGEXEXTRACT(J4665, ""[A-Za-z ]+$"")")," Seasons")</f>
        <v> Seasons</v>
      </c>
      <c r="AA4665" s="5" t="str">
        <f>IFERROR(__xludf.DUMMYFUNCTION("IF(REGEXMATCH(Z4665, ""Season""), ""TV Show"", ""Movie"")"),"TV Show")</f>
        <v>TV Show</v>
      </c>
    </row>
    <row r="4666">
      <c r="A4666" s="1" t="s">
        <v>24646</v>
      </c>
      <c r="B4666" s="1" t="s">
        <v>37</v>
      </c>
      <c r="C4666" s="1" t="s">
        <v>24647</v>
      </c>
      <c r="D4666" s="1" t="s">
        <v>17984</v>
      </c>
      <c r="E4666" s="1" t="s">
        <v>24648</v>
      </c>
      <c r="F4666" s="1" t="s">
        <v>2059</v>
      </c>
      <c r="G4666" s="1" t="s">
        <v>24649</v>
      </c>
      <c r="H4666" s="1">
        <v>2018.0</v>
      </c>
      <c r="I4666" s="1" t="s">
        <v>42</v>
      </c>
      <c r="J4666" s="1" t="s">
        <v>51</v>
      </c>
      <c r="K4666" s="1" t="s">
        <v>1362</v>
      </c>
      <c r="L4666" s="1" t="s">
        <v>24650</v>
      </c>
      <c r="M4666" s="2" t="s">
        <v>12</v>
      </c>
      <c r="N4666" s="4">
        <f t="shared" si="1"/>
        <v>43344</v>
      </c>
      <c r="O4666" s="5" t="str">
        <f>IFERROR(__xludf.DUMMYFUNCTION("IF(REGEXMATCH(TRIM(I4666), ""^\d+\s*min""), ""Unclassified"", IF(I4666 = """", ""NR"", I4666))"),"TV-MA")</f>
        <v>TV-MA</v>
      </c>
      <c r="R4666" s="5" t="str">
        <f t="shared" si="2"/>
        <v>Age Of Rebellion</v>
      </c>
      <c r="S4666" s="5" t="str">
        <f>IFERROR(__xludf.DUMMYFUNCTION("""COMPUTED_VALUE"""),"Mo Gilligan: Momentum")</f>
        <v>Mo Gilligan: Momentum</v>
      </c>
      <c r="V4666" s="5"/>
      <c r="Y4666" s="5" t="str">
        <f>IFERROR(__xludf.DUMMYFUNCTION("REGEXEXTRACT(J4666, ""^\d+"")"),"1")</f>
        <v>1</v>
      </c>
      <c r="Z4666" s="5" t="str">
        <f>IFERROR(__xludf.DUMMYFUNCTION("REGEXEXTRACT(J4666, ""[A-Za-z ]+$"")")," Season")</f>
        <v> Season</v>
      </c>
      <c r="AA4666" s="5" t="str">
        <f>IFERROR(__xludf.DUMMYFUNCTION("IF(REGEXMATCH(Z4666, ""Season""), ""TV Show"", ""Movie"")"),"TV Show")</f>
        <v>TV Show</v>
      </c>
    </row>
    <row r="4667">
      <c r="A4667" s="1" t="s">
        <v>24651</v>
      </c>
      <c r="B4667" s="1" t="s">
        <v>27</v>
      </c>
      <c r="C4667" s="1" t="s">
        <v>24652</v>
      </c>
      <c r="D4667" s="1" t="s">
        <v>10307</v>
      </c>
      <c r="E4667" s="1" t="s">
        <v>24653</v>
      </c>
      <c r="F4667" s="1" t="s">
        <v>3217</v>
      </c>
      <c r="G4667" s="1" t="s">
        <v>24649</v>
      </c>
      <c r="H4667" s="1">
        <v>2017.0</v>
      </c>
      <c r="I4667" s="1" t="s">
        <v>42</v>
      </c>
      <c r="J4667" s="1" t="s">
        <v>106</v>
      </c>
      <c r="K4667" s="1" t="s">
        <v>298</v>
      </c>
      <c r="L4667" s="1" t="s">
        <v>24654</v>
      </c>
      <c r="M4667" s="2" t="s">
        <v>12</v>
      </c>
      <c r="N4667" s="4">
        <f t="shared" si="1"/>
        <v>43344</v>
      </c>
      <c r="O4667" s="5" t="str">
        <f>IFERROR(__xludf.DUMMYFUNCTION("IF(REGEXMATCH(TRIM(I4667), ""^\d+\s*min""), ""Unclassified"", IF(I4667 = """", ""NR"", I4667))"),"TV-MA")</f>
        <v>TV-MA</v>
      </c>
      <c r="R4667" s="5" t="str">
        <f t="shared" si="2"/>
        <v>Carbon</v>
      </c>
      <c r="S4667" s="5" t="str">
        <f>IFERROR(__xludf.DUMMYFUNCTION("""COMPUTED_VALUE"""),"Mob Psycho 100")</f>
        <v>Mob Psycho 100</v>
      </c>
      <c r="V4667" s="5"/>
      <c r="Y4667" s="5" t="str">
        <f>IFERROR(__xludf.DUMMYFUNCTION("REGEXEXTRACT(J4667, ""^\d+"")"),"104")</f>
        <v>104</v>
      </c>
      <c r="Z4667" s="5" t="str">
        <f>IFERROR(__xludf.DUMMYFUNCTION("REGEXEXTRACT(J4667, ""[A-Za-z ]+$"")")," min")</f>
        <v> min</v>
      </c>
      <c r="AA4667" s="5" t="str">
        <f>IFERROR(__xludf.DUMMYFUNCTION("IF(REGEXMATCH(Z4667, ""Season""), ""TV Show"", ""Movie"")"),"Movie")</f>
        <v>Movie</v>
      </c>
    </row>
    <row r="4668">
      <c r="A4668" s="1" t="s">
        <v>24655</v>
      </c>
      <c r="B4668" s="1" t="s">
        <v>27</v>
      </c>
      <c r="C4668" s="1" t="s">
        <v>24656</v>
      </c>
      <c r="D4668" s="1" t="s">
        <v>18448</v>
      </c>
      <c r="E4668" s="1" t="s">
        <v>24657</v>
      </c>
      <c r="F4668" s="1" t="s">
        <v>63</v>
      </c>
      <c r="G4668" s="1" t="s">
        <v>24649</v>
      </c>
      <c r="H4668" s="1">
        <v>2018.0</v>
      </c>
      <c r="I4668" s="1" t="s">
        <v>42</v>
      </c>
      <c r="J4668" s="1" t="s">
        <v>1065</v>
      </c>
      <c r="K4668" s="1" t="s">
        <v>89</v>
      </c>
      <c r="L4668" s="1" t="s">
        <v>24658</v>
      </c>
      <c r="M4668" s="2" t="s">
        <v>12</v>
      </c>
      <c r="N4668" s="4">
        <f t="shared" si="1"/>
        <v>43344</v>
      </c>
      <c r="O4668" s="5" t="str">
        <f>IFERROR(__xludf.DUMMYFUNCTION("IF(REGEXMATCH(TRIM(I4668), ""^\d+\s*min""), ""Unclassified"", IF(I4668 = """", ""NR"", I4668))"),"TV-MA")</f>
        <v>TV-MA</v>
      </c>
      <c r="R4668" s="5" t="str">
        <f t="shared" si="2"/>
        <v>Garbage</v>
      </c>
      <c r="S4668" s="5" t="str">
        <f>IFERROR(__xludf.DUMMYFUNCTION("""COMPUTED_VALUE"""),"Mobile Suit Gundam Hathaway")</f>
        <v>Mobile Suit Gundam Hathaway</v>
      </c>
      <c r="V4668" s="5"/>
      <c r="Y4668" s="5" t="str">
        <f>IFERROR(__xludf.DUMMYFUNCTION("REGEXEXTRACT(J4668, ""^\d+"")"),"109")</f>
        <v>109</v>
      </c>
      <c r="Z4668" s="5" t="str">
        <f>IFERROR(__xludf.DUMMYFUNCTION("REGEXEXTRACT(J4668, ""[A-Za-z ]+$"")")," min")</f>
        <v> min</v>
      </c>
      <c r="AA4668" s="5" t="str">
        <f>IFERROR(__xludf.DUMMYFUNCTION("IF(REGEXMATCH(Z4668, ""Season""), ""TV Show"", ""Movie"")"),"Movie")</f>
        <v>Movie</v>
      </c>
    </row>
    <row r="4669">
      <c r="A4669" s="1" t="s">
        <v>24659</v>
      </c>
      <c r="B4669" s="1" t="s">
        <v>27</v>
      </c>
      <c r="C4669" s="1" t="s">
        <v>24660</v>
      </c>
      <c r="D4669" s="1" t="s">
        <v>17296</v>
      </c>
      <c r="E4669" s="1" t="s">
        <v>24661</v>
      </c>
      <c r="F4669" s="1" t="s">
        <v>63</v>
      </c>
      <c r="G4669" s="1" t="s">
        <v>24649</v>
      </c>
      <c r="H4669" s="1">
        <v>2018.0</v>
      </c>
      <c r="I4669" s="1" t="s">
        <v>97</v>
      </c>
      <c r="J4669" s="1" t="s">
        <v>297</v>
      </c>
      <c r="K4669" s="1" t="s">
        <v>89</v>
      </c>
      <c r="L4669" s="1" t="s">
        <v>24662</v>
      </c>
      <c r="M4669" s="2" t="s">
        <v>12</v>
      </c>
      <c r="N4669" s="4">
        <f t="shared" si="1"/>
        <v>43344</v>
      </c>
      <c r="O4669" s="5" t="str">
        <f>IFERROR(__xludf.DUMMYFUNCTION("IF(REGEXMATCH(TRIM(I4669), ""^\d+\s*min""), ""Unclassified"", IF(I4669 = """", ""NR"", I4669))"),"TV-14")</f>
        <v>TV-14</v>
      </c>
      <c r="R4669" s="5" t="str">
        <f t="shared" si="2"/>
        <v>​​Kuch Bheege Alfaaz</v>
      </c>
      <c r="S4669" s="5" t="str">
        <f>IFERROR(__xludf.DUMMYFUNCTION("""COMPUTED_VALUE"""),"Mobile Suit Gundam I")</f>
        <v>Mobile Suit Gundam I</v>
      </c>
      <c r="V4669" s="5"/>
      <c r="Y4669" s="5" t="str">
        <f>IFERROR(__xludf.DUMMYFUNCTION("REGEXEXTRACT(J4669, ""^\d+"")"),"110")</f>
        <v>110</v>
      </c>
      <c r="Z4669" s="5" t="str">
        <f>IFERROR(__xludf.DUMMYFUNCTION("REGEXEXTRACT(J4669, ""[A-Za-z ]+$"")")," min")</f>
        <v> min</v>
      </c>
      <c r="AA4669" s="5" t="str">
        <f>IFERROR(__xludf.DUMMYFUNCTION("IF(REGEXMATCH(Z4669, ""Season""), ""TV Show"", ""Movie"")"),"Movie")</f>
        <v>Movie</v>
      </c>
    </row>
    <row r="4670">
      <c r="A4670" s="1" t="s">
        <v>24663</v>
      </c>
      <c r="B4670" s="1" t="s">
        <v>27</v>
      </c>
      <c r="C4670" s="1" t="s">
        <v>24664</v>
      </c>
      <c r="D4670" s="1" t="s">
        <v>10332</v>
      </c>
      <c r="E4670" s="1" t="s">
        <v>24665</v>
      </c>
      <c r="F4670" s="1" t="s">
        <v>63</v>
      </c>
      <c r="G4670" s="1" t="s">
        <v>24649</v>
      </c>
      <c r="H4670" s="1">
        <v>2017.0</v>
      </c>
      <c r="I4670" s="1" t="s">
        <v>42</v>
      </c>
      <c r="J4670" s="1" t="s">
        <v>297</v>
      </c>
      <c r="K4670" s="1" t="s">
        <v>89</v>
      </c>
      <c r="L4670" s="1" t="s">
        <v>24666</v>
      </c>
      <c r="M4670" s="2" t="s">
        <v>12</v>
      </c>
      <c r="N4670" s="4">
        <f t="shared" si="1"/>
        <v>43344</v>
      </c>
      <c r="O4670" s="5" t="str">
        <f>IFERROR(__xludf.DUMMYFUNCTION("IF(REGEXMATCH(TRIM(I4670), ""^\d+\s*min""), ""Unclassified"", IF(I4670 = """", ""NR"", I4670))"),"TV-MA")</f>
        <v>TV-MA</v>
      </c>
      <c r="R4670" s="5" t="str">
        <f t="shared" si="2"/>
        <v>Love And Shukla</v>
      </c>
      <c r="S4670" s="5" t="str">
        <f>IFERROR(__xludf.DUMMYFUNCTION("""COMPUTED_VALUE"""),"Mobile Suit Gundam Ii: Soldiers Of Sorrow")</f>
        <v>Mobile Suit Gundam Ii: Soldiers Of Sorrow</v>
      </c>
      <c r="V4670" s="5"/>
      <c r="Y4670" s="5" t="str">
        <f>IFERROR(__xludf.DUMMYFUNCTION("REGEXEXTRACT(J4670, ""^\d+"")"),"110")</f>
        <v>110</v>
      </c>
      <c r="Z4670" s="5" t="str">
        <f>IFERROR(__xludf.DUMMYFUNCTION("REGEXEXTRACT(J4670, ""[A-Za-z ]+$"")")," min")</f>
        <v> min</v>
      </c>
      <c r="AA4670" s="5" t="str">
        <f>IFERROR(__xludf.DUMMYFUNCTION("IF(REGEXMATCH(Z4670, ""Season""), ""TV Show"", ""Movie"")"),"Movie")</f>
        <v>Movie</v>
      </c>
    </row>
    <row r="4671">
      <c r="A4671" s="1" t="s">
        <v>24667</v>
      </c>
      <c r="B4671" s="1" t="s">
        <v>27</v>
      </c>
      <c r="C4671" s="1" t="s">
        <v>24668</v>
      </c>
      <c r="D4671" s="1" t="s">
        <v>12371</v>
      </c>
      <c r="E4671" s="1" t="s">
        <v>24669</v>
      </c>
      <c r="F4671" s="1" t="s">
        <v>24670</v>
      </c>
      <c r="G4671" s="1" t="s">
        <v>24649</v>
      </c>
      <c r="H4671" s="1">
        <v>2018.0</v>
      </c>
      <c r="I4671" s="1" t="s">
        <v>136</v>
      </c>
      <c r="J4671" s="1" t="s">
        <v>1091</v>
      </c>
      <c r="K4671" s="1" t="s">
        <v>89</v>
      </c>
      <c r="L4671" s="1" t="s">
        <v>24671</v>
      </c>
      <c r="M4671" s="2" t="s">
        <v>12</v>
      </c>
      <c r="N4671" s="4">
        <f t="shared" si="1"/>
        <v>43344</v>
      </c>
      <c r="O4671" s="5" t="str">
        <f>IFERROR(__xludf.DUMMYFUNCTION("IF(REGEXMATCH(TRIM(I4671), ""^\d+\s*min""), ""Unclassified"", IF(I4671 = """", ""NR"", I4671))"),"TV-PG")</f>
        <v>TV-PG</v>
      </c>
      <c r="R4671" s="5" t="str">
        <f t="shared" si="2"/>
        <v>Once Again</v>
      </c>
      <c r="S4671" s="5" t="str">
        <f>IFERROR(__xludf.DUMMYFUNCTION("""COMPUTED_VALUE"""),"Mobile Suit Gundam Iii: Encounters In Space")</f>
        <v>Mobile Suit Gundam Iii: Encounters In Space</v>
      </c>
      <c r="V4671" s="5"/>
      <c r="Y4671" s="5" t="str">
        <f>IFERROR(__xludf.DUMMYFUNCTION("REGEXEXTRACT(J4671, ""^\d+"")"),"101")</f>
        <v>101</v>
      </c>
      <c r="Z4671" s="5" t="str">
        <f>IFERROR(__xludf.DUMMYFUNCTION("REGEXEXTRACT(J4671, ""[A-Za-z ]+$"")")," min")</f>
        <v> min</v>
      </c>
      <c r="AA4671" s="5" t="str">
        <f>IFERROR(__xludf.DUMMYFUNCTION("IF(REGEXMATCH(Z4671, ""Season""), ""TV Show"", ""Movie"")"),"Movie")</f>
        <v>Movie</v>
      </c>
    </row>
    <row r="4672">
      <c r="A4672" s="1" t="s">
        <v>24672</v>
      </c>
      <c r="B4672" s="1" t="s">
        <v>37</v>
      </c>
      <c r="C4672" s="1" t="s">
        <v>24673</v>
      </c>
      <c r="E4672" s="1" t="s">
        <v>24674</v>
      </c>
      <c r="F4672" s="1" t="s">
        <v>221</v>
      </c>
      <c r="G4672" s="1" t="s">
        <v>24649</v>
      </c>
      <c r="H4672" s="1">
        <v>2018.0</v>
      </c>
      <c r="I4672" s="1" t="s">
        <v>42</v>
      </c>
      <c r="J4672" s="1" t="s">
        <v>51</v>
      </c>
      <c r="K4672" s="1" t="s">
        <v>1531</v>
      </c>
      <c r="L4672" s="1" t="s">
        <v>24675</v>
      </c>
      <c r="M4672" s="2" t="s">
        <v>12</v>
      </c>
      <c r="N4672" s="4">
        <f t="shared" si="1"/>
        <v>43344</v>
      </c>
      <c r="O4672" s="5" t="str">
        <f>IFERROR(__xludf.DUMMYFUNCTION("IF(REGEXMATCH(TRIM(I4672), ""^\d+\s*min""), ""Unclassified"", IF(I4672 = """", ""NR"", I4672))"),"TV-MA")</f>
        <v>TV-MA</v>
      </c>
      <c r="R4672" s="5" t="str">
        <f t="shared" si="2"/>
        <v>Sisters</v>
      </c>
      <c r="S4672" s="5" t="str">
        <f>IFERROR(__xludf.DUMMYFUNCTION("""COMPUTED_VALUE"""),"Mobile Suit Gundam Uc")</f>
        <v>Mobile Suit Gundam Uc</v>
      </c>
      <c r="V4672" s="5"/>
      <c r="Y4672" s="5" t="str">
        <f>IFERROR(__xludf.DUMMYFUNCTION("REGEXEXTRACT(J4672, ""^\d+"")"),"1")</f>
        <v>1</v>
      </c>
      <c r="Z4672" s="5" t="str">
        <f>IFERROR(__xludf.DUMMYFUNCTION("REGEXEXTRACT(J4672, ""[A-Za-z ]+$"")")," Season")</f>
        <v> Season</v>
      </c>
      <c r="AA4672" s="5" t="str">
        <f>IFERROR(__xludf.DUMMYFUNCTION("IF(REGEXMATCH(Z4672, ""Season""), ""TV Show"", ""Movie"")"),"TV Show")</f>
        <v>TV Show</v>
      </c>
    </row>
    <row r="4673">
      <c r="A4673" s="1" t="s">
        <v>24676</v>
      </c>
      <c r="B4673" s="1" t="s">
        <v>27</v>
      </c>
      <c r="C4673" s="1" t="s">
        <v>24677</v>
      </c>
      <c r="D4673" s="1" t="s">
        <v>20320</v>
      </c>
      <c r="E4673" s="1" t="s">
        <v>24678</v>
      </c>
      <c r="F4673" s="1" t="s">
        <v>664</v>
      </c>
      <c r="G4673" s="1" t="s">
        <v>24649</v>
      </c>
      <c r="H4673" s="1">
        <v>2017.0</v>
      </c>
      <c r="I4673" s="1" t="s">
        <v>42</v>
      </c>
      <c r="J4673" s="1" t="s">
        <v>170</v>
      </c>
      <c r="K4673" s="1" t="s">
        <v>5099</v>
      </c>
      <c r="L4673" s="1" t="s">
        <v>24679</v>
      </c>
      <c r="M4673" s="2" t="s">
        <v>12</v>
      </c>
      <c r="N4673" s="4">
        <f t="shared" si="1"/>
        <v>43344</v>
      </c>
      <c r="O4673" s="5" t="str">
        <f>IFERROR(__xludf.DUMMYFUNCTION("IF(REGEXMATCH(TRIM(I4673), ""^\d+\s*min""), ""Unclassified"", IF(I4673 = """", ""NR"", I4673))"),"TV-MA")</f>
        <v>TV-MA</v>
      </c>
      <c r="R4673" s="5" t="str">
        <f t="shared" si="2"/>
        <v>Sparring</v>
      </c>
      <c r="S4673" s="5" t="str">
        <f>IFERROR(__xludf.DUMMYFUNCTION("""COMPUTED_VALUE"""),"Mobile Suit Gundam: Char'S Counterattack")</f>
        <v>Mobile Suit Gundam: Char'S Counterattack</v>
      </c>
      <c r="V4673" s="5"/>
      <c r="Y4673" s="5" t="str">
        <f>IFERROR(__xludf.DUMMYFUNCTION("REGEXEXTRACT(J4673, ""^\d+"")"),"94")</f>
        <v>94</v>
      </c>
      <c r="Z4673" s="5" t="str">
        <f>IFERROR(__xludf.DUMMYFUNCTION("REGEXEXTRACT(J4673, ""[A-Za-z ]+$"")")," min")</f>
        <v> min</v>
      </c>
      <c r="AA4673" s="5" t="str">
        <f>IFERROR(__xludf.DUMMYFUNCTION("IF(REGEXMATCH(Z4673, ""Season""), ""TV Show"", ""Movie"")"),"Movie")</f>
        <v>Movie</v>
      </c>
    </row>
    <row r="4674">
      <c r="A4674" s="1" t="s">
        <v>24680</v>
      </c>
      <c r="B4674" s="1" t="s">
        <v>37</v>
      </c>
      <c r="C4674" s="1" t="s">
        <v>24681</v>
      </c>
      <c r="E4674" s="1" t="s">
        <v>24682</v>
      </c>
      <c r="F4674" s="1" t="s">
        <v>784</v>
      </c>
      <c r="G4674" s="1" t="s">
        <v>24683</v>
      </c>
      <c r="H4674" s="1">
        <v>2017.0</v>
      </c>
      <c r="I4674" s="1" t="s">
        <v>42</v>
      </c>
      <c r="J4674" s="1" t="s">
        <v>51</v>
      </c>
      <c r="K4674" s="1" t="s">
        <v>1339</v>
      </c>
      <c r="L4674" s="1" t="s">
        <v>24684</v>
      </c>
      <c r="M4674" s="2" t="s">
        <v>12</v>
      </c>
      <c r="N4674" s="4">
        <f t="shared" si="1"/>
        <v>43343</v>
      </c>
      <c r="O4674" s="5" t="str">
        <f>IFERROR(__xludf.DUMMYFUNCTION("IF(REGEXMATCH(TRIM(I4674), ""^\d+\s*min""), ""Unclassified"", IF(I4674 = """", ""NR"", I4674))"),"TV-MA")</f>
        <v>TV-MA</v>
      </c>
      <c r="R4674" s="5" t="str">
        <f t="shared" si="2"/>
        <v>Cathedral Of The Sea</v>
      </c>
      <c r="S4674" s="5" t="str">
        <f>IFERROR(__xludf.DUMMYFUNCTION("""COMPUTED_VALUE"""),"Mobile Suit Gundam: Iron-Blooded Orphans")</f>
        <v>Mobile Suit Gundam: Iron-Blooded Orphans</v>
      </c>
      <c r="V4674" s="5"/>
      <c r="Y4674" s="5" t="str">
        <f>IFERROR(__xludf.DUMMYFUNCTION("REGEXEXTRACT(J4674, ""^\d+"")"),"1")</f>
        <v>1</v>
      </c>
      <c r="Z4674" s="5" t="str">
        <f>IFERROR(__xludf.DUMMYFUNCTION("REGEXEXTRACT(J4674, ""[A-Za-z ]+$"")")," Season")</f>
        <v> Season</v>
      </c>
      <c r="AA4674" s="5" t="str">
        <f>IFERROR(__xludf.DUMMYFUNCTION("IF(REGEXMATCH(Z4674, ""Season""), ""TV Show"", ""Movie"")"),"TV Show")</f>
        <v>TV Show</v>
      </c>
    </row>
    <row r="4675">
      <c r="A4675" s="1" t="s">
        <v>24685</v>
      </c>
      <c r="B4675" s="1" t="s">
        <v>37</v>
      </c>
      <c r="C4675" s="1" t="s">
        <v>24686</v>
      </c>
      <c r="F4675" s="1" t="s">
        <v>5311</v>
      </c>
      <c r="G4675" s="1" t="s">
        <v>24683</v>
      </c>
      <c r="H4675" s="1">
        <v>2018.0</v>
      </c>
      <c r="I4675" s="1" t="s">
        <v>42</v>
      </c>
      <c r="J4675" s="1" t="s">
        <v>51</v>
      </c>
      <c r="K4675" s="1" t="s">
        <v>112</v>
      </c>
      <c r="L4675" s="1" t="s">
        <v>24687</v>
      </c>
      <c r="M4675" s="2" t="s">
        <v>12</v>
      </c>
      <c r="N4675" s="4">
        <f t="shared" si="1"/>
        <v>43343</v>
      </c>
      <c r="O4675" s="5" t="str">
        <f>IFERROR(__xludf.DUMMYFUNCTION("IF(REGEXMATCH(TRIM(I4675), ""^\d+\s*min""), ""Unclassified"", IF(I4675 = """", ""NR"", I4675))"),"TV-MA")</f>
        <v>TV-MA</v>
      </c>
      <c r="R4675" s="5" t="str">
        <f t="shared" si="2"/>
        <v>Inside The Criminal Mind</v>
      </c>
      <c r="S4675" s="5" t="str">
        <f>IFERROR(__xludf.DUMMYFUNCTION("""COMPUTED_VALUE"""),"Modest Heroes: Ponoc Short Films Theatre")</f>
        <v>Modest Heroes: Ponoc Short Films Theatre</v>
      </c>
      <c r="V4675" s="5"/>
      <c r="Y4675" s="5" t="str">
        <f>IFERROR(__xludf.DUMMYFUNCTION("REGEXEXTRACT(J4675, ""^\d+"")"),"1")</f>
        <v>1</v>
      </c>
      <c r="Z4675" s="5" t="str">
        <f>IFERROR(__xludf.DUMMYFUNCTION("REGEXEXTRACT(J4675, ""[A-Za-z ]+$"")")," Season")</f>
        <v> Season</v>
      </c>
      <c r="AA4675" s="5" t="str">
        <f>IFERROR(__xludf.DUMMYFUNCTION("IF(REGEXMATCH(Z4675, ""Season""), ""TV Show"", ""Movie"")"),"TV Show")</f>
        <v>TV Show</v>
      </c>
    </row>
    <row r="4676">
      <c r="A4676" s="1" t="s">
        <v>24688</v>
      </c>
      <c r="B4676" s="1" t="s">
        <v>37</v>
      </c>
      <c r="C4676" s="1" t="s">
        <v>24689</v>
      </c>
      <c r="E4676" s="1" t="s">
        <v>24690</v>
      </c>
      <c r="F4676" s="1" t="s">
        <v>30</v>
      </c>
      <c r="G4676" s="1" t="s">
        <v>24683</v>
      </c>
      <c r="H4676" s="1">
        <v>2018.0</v>
      </c>
      <c r="I4676" s="1" t="s">
        <v>42</v>
      </c>
      <c r="J4676" s="1" t="s">
        <v>43</v>
      </c>
      <c r="K4676" s="1" t="s">
        <v>2512</v>
      </c>
      <c r="L4676" s="1" t="s">
        <v>24691</v>
      </c>
      <c r="M4676" s="2" t="s">
        <v>12</v>
      </c>
      <c r="N4676" s="4">
        <f t="shared" si="1"/>
        <v>43343</v>
      </c>
      <c r="O4676" s="5" t="str">
        <f>IFERROR(__xludf.DUMMYFUNCTION("IF(REGEXMATCH(TRIM(I4676), ""^\d+\s*min""), ""Unclassified"", IF(I4676 = """", ""NR"", I4676))"),"TV-MA")</f>
        <v>TV-MA</v>
      </c>
      <c r="R4676" s="5" t="str">
        <f t="shared" si="2"/>
        <v>The Comedy Lineup</v>
      </c>
      <c r="S4676" s="5" t="str">
        <f>IFERROR(__xludf.DUMMYFUNCTION("""COMPUTED_VALUE"""),"Moesha")</f>
        <v>Moesha</v>
      </c>
      <c r="V4676" s="5"/>
      <c r="Y4676" s="5" t="str">
        <f>IFERROR(__xludf.DUMMYFUNCTION("REGEXEXTRACT(J4676, ""^\d+"")"),"2")</f>
        <v>2</v>
      </c>
      <c r="Z4676" s="5" t="str">
        <f>IFERROR(__xludf.DUMMYFUNCTION("REGEXEXTRACT(J4676, ""[A-Za-z ]+$"")")," Seasons")</f>
        <v> Seasons</v>
      </c>
      <c r="AA4676" s="5" t="str">
        <f>IFERROR(__xludf.DUMMYFUNCTION("IF(REGEXMATCH(Z4676, ""Season""), ""TV Show"", ""Movie"")"),"TV Show")</f>
        <v>TV Show</v>
      </c>
    </row>
    <row r="4677">
      <c r="A4677" s="1" t="s">
        <v>24692</v>
      </c>
      <c r="B4677" s="1" t="s">
        <v>27</v>
      </c>
      <c r="C4677" s="1" t="s">
        <v>24693</v>
      </c>
      <c r="D4677" s="1" t="s">
        <v>9914</v>
      </c>
      <c r="E4677" s="1" t="s">
        <v>24694</v>
      </c>
      <c r="F4677" s="1" t="s">
        <v>784</v>
      </c>
      <c r="G4677" s="1" t="s">
        <v>24683</v>
      </c>
      <c r="H4677" s="1">
        <v>2018.0</v>
      </c>
      <c r="I4677" s="1" t="s">
        <v>42</v>
      </c>
      <c r="J4677" s="1" t="s">
        <v>1091</v>
      </c>
      <c r="K4677" s="1" t="s">
        <v>215</v>
      </c>
      <c r="L4677" s="1" t="s">
        <v>24695</v>
      </c>
      <c r="M4677" s="2" t="s">
        <v>12</v>
      </c>
      <c r="N4677" s="4">
        <f t="shared" si="1"/>
        <v>43343</v>
      </c>
      <c r="O4677" s="5" t="str">
        <f>IFERROR(__xludf.DUMMYFUNCTION("IF(REGEXMATCH(TRIM(I4677), ""^\d+\s*min""), ""Unclassified"", IF(I4677 = """", ""NR"", I4677))"),"TV-MA")</f>
        <v>TV-MA</v>
      </c>
      <c r="R4677" s="5" t="str">
        <f t="shared" si="2"/>
        <v>The Laws Of Thermodynamics</v>
      </c>
      <c r="S4677" s="5" t="str">
        <f>IFERROR(__xludf.DUMMYFUNCTION("""COMPUTED_VALUE"""),"Moh Maya Money")</f>
        <v>Moh Maya Money</v>
      </c>
      <c r="V4677" s="5"/>
      <c r="Y4677" s="5" t="str">
        <f>IFERROR(__xludf.DUMMYFUNCTION("REGEXEXTRACT(J4677, ""^\d+"")"),"101")</f>
        <v>101</v>
      </c>
      <c r="Z4677" s="5" t="str">
        <f>IFERROR(__xludf.DUMMYFUNCTION("REGEXEXTRACT(J4677, ""[A-Za-z ]+$"")")," min")</f>
        <v> min</v>
      </c>
      <c r="AA4677" s="5" t="str">
        <f>IFERROR(__xludf.DUMMYFUNCTION("IF(REGEXMATCH(Z4677, ""Season""), ""TV Show"", ""Movie"")"),"Movie")</f>
        <v>Movie</v>
      </c>
    </row>
    <row r="4678">
      <c r="A4678" s="1" t="s">
        <v>24696</v>
      </c>
      <c r="B4678" s="1" t="s">
        <v>37</v>
      </c>
      <c r="C4678" s="1" t="s">
        <v>24697</v>
      </c>
      <c r="E4678" s="1" t="s">
        <v>24698</v>
      </c>
      <c r="F4678" s="1" t="s">
        <v>24699</v>
      </c>
      <c r="G4678" s="1" t="s">
        <v>24683</v>
      </c>
      <c r="H4678" s="1">
        <v>2018.0</v>
      </c>
      <c r="I4678" s="1" t="s">
        <v>136</v>
      </c>
      <c r="J4678" s="1" t="s">
        <v>276</v>
      </c>
      <c r="K4678" s="1" t="s">
        <v>440</v>
      </c>
      <c r="L4678" s="1" t="s">
        <v>24700</v>
      </c>
      <c r="M4678" s="2" t="s">
        <v>12</v>
      </c>
      <c r="N4678" s="4">
        <f t="shared" si="1"/>
        <v>43343</v>
      </c>
      <c r="O4678" s="5" t="str">
        <f>IFERROR(__xludf.DUMMYFUNCTION("IF(REGEXMATCH(TRIM(I4678), ""^\d+\s*min""), ""Unclassified"", IF(I4678 = """", ""NR"", I4678))"),"TV-PG")</f>
        <v>TV-PG</v>
      </c>
      <c r="R4678" s="5" t="str">
        <f t="shared" si="2"/>
        <v>Ultimate Beastmaster</v>
      </c>
      <c r="S4678" s="5" t="str">
        <f>IFERROR(__xludf.DUMMYFUNCTION("""COMPUTED_VALUE"""),"Mohamed Hussein")</f>
        <v>Mohamed Hussein</v>
      </c>
      <c r="V4678" s="5"/>
      <c r="Y4678" s="5" t="str">
        <f>IFERROR(__xludf.DUMMYFUNCTION("REGEXEXTRACT(J4678, ""^\d+"")"),"3")</f>
        <v>3</v>
      </c>
      <c r="Z4678" s="5" t="str">
        <f>IFERROR(__xludf.DUMMYFUNCTION("REGEXEXTRACT(J4678, ""[A-Za-z ]+$"")")," Seasons")</f>
        <v> Seasons</v>
      </c>
      <c r="AA4678" s="5" t="str">
        <f>IFERROR(__xludf.DUMMYFUNCTION("IF(REGEXMATCH(Z4678, ""Season""), ""TV Show"", ""Movie"")"),"TV Show")</f>
        <v>TV Show</v>
      </c>
    </row>
    <row r="4679">
      <c r="A4679" s="1" t="s">
        <v>24701</v>
      </c>
      <c r="B4679" s="1" t="s">
        <v>37</v>
      </c>
      <c r="C4679" s="1" t="s">
        <v>24702</v>
      </c>
      <c r="E4679" s="1" t="s">
        <v>24703</v>
      </c>
      <c r="G4679" s="1" t="s">
        <v>24683</v>
      </c>
      <c r="H4679" s="1">
        <v>2018.0</v>
      </c>
      <c r="I4679" s="1" t="s">
        <v>136</v>
      </c>
      <c r="J4679" s="1" t="s">
        <v>276</v>
      </c>
      <c r="K4679" s="1" t="s">
        <v>24704</v>
      </c>
      <c r="L4679" s="1" t="s">
        <v>24705</v>
      </c>
      <c r="M4679" s="2" t="s">
        <v>12</v>
      </c>
      <c r="N4679" s="4">
        <f t="shared" si="1"/>
        <v>43343</v>
      </c>
      <c r="O4679" s="5" t="str">
        <f>IFERROR(__xludf.DUMMYFUNCTION("IF(REGEXMATCH(TRIM(I4679), ""^\d+\s*min""), ""Unclassified"", IF(I4679 = """", ""NR"", I4679))"),"TV-PG")</f>
        <v>TV-PG</v>
      </c>
      <c r="R4679" s="5" t="str">
        <f t="shared" si="2"/>
        <v>Ultimate Beastmaster México</v>
      </c>
      <c r="S4679" s="5" t="str">
        <f>IFERROR(__xludf.DUMMYFUNCTION("""COMPUTED_VALUE"""),"Mohawk")</f>
        <v>Mohawk</v>
      </c>
      <c r="V4679" s="5"/>
      <c r="Y4679" s="5" t="str">
        <f>IFERROR(__xludf.DUMMYFUNCTION("REGEXEXTRACT(J4679, ""^\d+"")"),"3")</f>
        <v>3</v>
      </c>
      <c r="Z4679" s="5" t="str">
        <f>IFERROR(__xludf.DUMMYFUNCTION("REGEXEXTRACT(J4679, ""[A-Za-z ]+$"")")," Seasons")</f>
        <v> Seasons</v>
      </c>
      <c r="AA4679" s="5" t="str">
        <f>IFERROR(__xludf.DUMMYFUNCTION("IF(REGEXMATCH(Z4679, ""Season""), ""TV Show"", ""Movie"")"),"TV Show")</f>
        <v>TV Show</v>
      </c>
    </row>
    <row r="4680">
      <c r="A4680" s="1" t="s">
        <v>24706</v>
      </c>
      <c r="B4680" s="1" t="s">
        <v>37</v>
      </c>
      <c r="C4680" s="1" t="s">
        <v>24707</v>
      </c>
      <c r="E4680" s="1" t="s">
        <v>24708</v>
      </c>
      <c r="F4680" s="1" t="s">
        <v>1837</v>
      </c>
      <c r="G4680" s="1" t="s">
        <v>24683</v>
      </c>
      <c r="H4680" s="1">
        <v>2017.0</v>
      </c>
      <c r="I4680" s="1" t="s">
        <v>42</v>
      </c>
      <c r="J4680" s="1" t="s">
        <v>51</v>
      </c>
      <c r="K4680" s="1" t="s">
        <v>785</v>
      </c>
      <c r="L4680" s="1" t="s">
        <v>24709</v>
      </c>
      <c r="M4680" s="2" t="s">
        <v>12</v>
      </c>
      <c r="N4680" s="4">
        <f t="shared" si="1"/>
        <v>43343</v>
      </c>
      <c r="O4680" s="5" t="str">
        <f>IFERROR(__xludf.DUMMYFUNCTION("IF(REGEXMATCH(TRIM(I4680), ""^\d+\s*min""), ""Unclassified"", IF(I4680 = """", ""NR"", I4680))"),"TV-MA")</f>
        <v>TV-MA</v>
      </c>
      <c r="R4680" s="5" t="str">
        <f t="shared" si="2"/>
        <v>Undercover Law</v>
      </c>
      <c r="S4680" s="5" t="str">
        <f>IFERROR(__xludf.DUMMYFUNCTION("""COMPUTED_VALUE"""),"Mohenjo Daro")</f>
        <v>Mohenjo Daro</v>
      </c>
      <c r="V4680" s="5"/>
      <c r="Y4680" s="5" t="str">
        <f>IFERROR(__xludf.DUMMYFUNCTION("REGEXEXTRACT(J4680, ""^\d+"")"),"1")</f>
        <v>1</v>
      </c>
      <c r="Z4680" s="5" t="str">
        <f>IFERROR(__xludf.DUMMYFUNCTION("REGEXEXTRACT(J4680, ""[A-Za-z ]+$"")")," Season")</f>
        <v> Season</v>
      </c>
      <c r="AA4680" s="5" t="str">
        <f>IFERROR(__xludf.DUMMYFUNCTION("IF(REGEXMATCH(Z4680, ""Season""), ""TV Show"", ""Movie"")"),"TV Show")</f>
        <v>TV Show</v>
      </c>
    </row>
    <row r="4681">
      <c r="A4681" s="1" t="s">
        <v>24710</v>
      </c>
      <c r="B4681" s="1" t="s">
        <v>27</v>
      </c>
      <c r="C4681" s="1" t="s">
        <v>24711</v>
      </c>
      <c r="D4681" s="1" t="s">
        <v>21090</v>
      </c>
      <c r="E4681" s="1" t="s">
        <v>24712</v>
      </c>
      <c r="F4681" s="1" t="s">
        <v>63</v>
      </c>
      <c r="G4681" s="1" t="s">
        <v>24713</v>
      </c>
      <c r="H4681" s="1">
        <v>2017.0</v>
      </c>
      <c r="I4681" s="1" t="s">
        <v>97</v>
      </c>
      <c r="J4681" s="1" t="s">
        <v>2274</v>
      </c>
      <c r="K4681" s="1" t="s">
        <v>1066</v>
      </c>
      <c r="L4681" s="1" t="s">
        <v>24714</v>
      </c>
      <c r="M4681" s="2" t="s">
        <v>12</v>
      </c>
      <c r="N4681" s="4">
        <f t="shared" si="1"/>
        <v>43340</v>
      </c>
      <c r="O4681" s="5" t="str">
        <f>IFERROR(__xludf.DUMMYFUNCTION("IF(REGEXMATCH(TRIM(I4681), ""^\d+\s*min""), ""Unclassified"", IF(I4681 = """", ""NR"", I4681))"),"TV-14")</f>
        <v>TV-14</v>
      </c>
      <c r="R4681" s="5" t="str">
        <f t="shared" si="2"/>
        <v>Naam Shabana</v>
      </c>
      <c r="S4681" s="5" t="str">
        <f>IFERROR(__xludf.DUMMYFUNCTION("""COMPUTED_VALUE"""),"Mojave")</f>
        <v>Mojave</v>
      </c>
      <c r="V4681" s="5"/>
      <c r="Y4681" s="5" t="str">
        <f>IFERROR(__xludf.DUMMYFUNCTION("REGEXEXTRACT(J4681, ""^\d+"")"),"141")</f>
        <v>141</v>
      </c>
      <c r="Z4681" s="5" t="str">
        <f>IFERROR(__xludf.DUMMYFUNCTION("REGEXEXTRACT(J4681, ""[A-Za-z ]+$"")")," min")</f>
        <v> min</v>
      </c>
      <c r="AA4681" s="5" t="str">
        <f>IFERROR(__xludf.DUMMYFUNCTION("IF(REGEXMATCH(Z4681, ""Season""), ""TV Show"", ""Movie"")"),"Movie")</f>
        <v>Movie</v>
      </c>
    </row>
    <row r="4682">
      <c r="A4682" s="1" t="s">
        <v>24715</v>
      </c>
      <c r="B4682" s="1" t="s">
        <v>27</v>
      </c>
      <c r="C4682" s="1" t="s">
        <v>24716</v>
      </c>
      <c r="D4682" s="1" t="s">
        <v>22106</v>
      </c>
      <c r="E4682" s="1" t="s">
        <v>24717</v>
      </c>
      <c r="F4682" s="1" t="s">
        <v>63</v>
      </c>
      <c r="G4682" s="1" t="s">
        <v>24713</v>
      </c>
      <c r="H4682" s="1">
        <v>2017.0</v>
      </c>
      <c r="I4682" s="1" t="s">
        <v>97</v>
      </c>
      <c r="J4682" s="1" t="s">
        <v>985</v>
      </c>
      <c r="K4682" s="1" t="s">
        <v>215</v>
      </c>
      <c r="L4682" s="1" t="s">
        <v>24718</v>
      </c>
      <c r="M4682" s="2" t="s">
        <v>12</v>
      </c>
      <c r="N4682" s="4">
        <f t="shared" si="1"/>
        <v>43340</v>
      </c>
      <c r="O4682" s="5" t="str">
        <f>IFERROR(__xludf.DUMMYFUNCTION("IF(REGEXMATCH(TRIM(I4682), ""^\d+\s*min""), ""Unclassified"", IF(I4682 = """", ""NR"", I4682))"),"TV-14")</f>
        <v>TV-14</v>
      </c>
      <c r="R4682" s="5" t="str">
        <f t="shared" si="2"/>
        <v>Qarib Qarib Singlle</v>
      </c>
      <c r="S4682" s="5" t="str">
        <f>IFERROR(__xludf.DUMMYFUNCTION("""COMPUTED_VALUE"""),"Mokalik (Mechanic)")</f>
        <v>Mokalik (Mechanic)</v>
      </c>
      <c r="V4682" s="5"/>
      <c r="Y4682" s="5" t="str">
        <f>IFERROR(__xludf.DUMMYFUNCTION("REGEXEXTRACT(J4682, ""^\d+"")"),"120")</f>
        <v>120</v>
      </c>
      <c r="Z4682" s="5" t="str">
        <f>IFERROR(__xludf.DUMMYFUNCTION("REGEXEXTRACT(J4682, ""[A-Za-z ]+$"")")," min")</f>
        <v> min</v>
      </c>
      <c r="AA4682" s="5" t="str">
        <f>IFERROR(__xludf.DUMMYFUNCTION("IF(REGEXMATCH(Z4682, ""Season""), ""TV Show"", ""Movie"")"),"Movie")</f>
        <v>Movie</v>
      </c>
    </row>
    <row r="4683">
      <c r="A4683" s="1" t="s">
        <v>24719</v>
      </c>
      <c r="B4683" s="1" t="s">
        <v>27</v>
      </c>
      <c r="C4683" s="1" t="s">
        <v>24720</v>
      </c>
      <c r="D4683" s="1" t="s">
        <v>59</v>
      </c>
      <c r="E4683" s="1" t="s">
        <v>24721</v>
      </c>
      <c r="F4683" s="1" t="s">
        <v>63</v>
      </c>
      <c r="G4683" s="1" t="s">
        <v>24713</v>
      </c>
      <c r="H4683" s="1">
        <v>2017.0</v>
      </c>
      <c r="I4683" s="1" t="s">
        <v>97</v>
      </c>
      <c r="J4683" s="1" t="s">
        <v>1704</v>
      </c>
      <c r="K4683" s="1" t="s">
        <v>1066</v>
      </c>
      <c r="L4683" s="1" t="s">
        <v>24722</v>
      </c>
      <c r="M4683" s="2" t="s">
        <v>12</v>
      </c>
      <c r="N4683" s="4">
        <f t="shared" si="1"/>
        <v>43340</v>
      </c>
      <c r="O4683" s="5" t="str">
        <f>IFERROR(__xludf.DUMMYFUNCTION("IF(REGEXMATCH(TRIM(I4683), ""^\d+\s*min""), ""Unclassified"", IF(I4683 = """", ""NR"", I4683))"),"TV-14")</f>
        <v>TV-14</v>
      </c>
      <c r="R4683" s="5" t="str">
        <f t="shared" si="2"/>
        <v>Spyder</v>
      </c>
      <c r="S4683" s="5" t="str">
        <f>IFERROR(__xludf.DUMMYFUNCTION("""COMPUTED_VALUE"""),"Molang")</f>
        <v>Molang</v>
      </c>
      <c r="V4683" s="5"/>
      <c r="Y4683" s="5" t="str">
        <f>IFERROR(__xludf.DUMMYFUNCTION("REGEXEXTRACT(J4683, ""^\d+"")"),"140")</f>
        <v>140</v>
      </c>
      <c r="Z4683" s="5" t="str">
        <f>IFERROR(__xludf.DUMMYFUNCTION("REGEXEXTRACT(J4683, ""[A-Za-z ]+$"")")," min")</f>
        <v> min</v>
      </c>
      <c r="AA4683" s="5" t="str">
        <f>IFERROR(__xludf.DUMMYFUNCTION("IF(REGEXMATCH(Z4683, ""Season""), ""TV Show"", ""Movie"")"),"Movie")</f>
        <v>Movie</v>
      </c>
    </row>
    <row r="4684">
      <c r="A4684" s="1" t="s">
        <v>24723</v>
      </c>
      <c r="B4684" s="1" t="s">
        <v>37</v>
      </c>
      <c r="C4684" s="1" t="s">
        <v>24724</v>
      </c>
      <c r="F4684" s="1" t="s">
        <v>30</v>
      </c>
      <c r="G4684" s="1" t="s">
        <v>24725</v>
      </c>
      <c r="H4684" s="1">
        <v>2018.0</v>
      </c>
      <c r="I4684" s="1" t="s">
        <v>42</v>
      </c>
      <c r="J4684" s="1" t="s">
        <v>51</v>
      </c>
      <c r="K4684" s="1" t="s">
        <v>1261</v>
      </c>
      <c r="L4684" s="1" t="s">
        <v>24726</v>
      </c>
      <c r="M4684" s="2" t="s">
        <v>12</v>
      </c>
      <c r="N4684" s="4">
        <f t="shared" si="1"/>
        <v>43339</v>
      </c>
      <c r="O4684" s="5" t="str">
        <f>IFERROR(__xludf.DUMMYFUNCTION("IF(REGEXMATCH(TRIM(I4684), ""^\d+\s*min""), ""Unclassified"", IF(I4684 = """", ""NR"", I4684))"),"TV-MA")</f>
        <v>TV-MA</v>
      </c>
      <c r="R4684" s="5" t="str">
        <f t="shared" si="2"/>
        <v>Chicken Soup For The Soul'S Being Dad</v>
      </c>
      <c r="S4684" s="5" t="str">
        <f>IFERROR(__xludf.DUMMYFUNCTION("""COMPUTED_VALUE"""),"Molly'S Game")</f>
        <v>Molly'S Game</v>
      </c>
      <c r="V4684" s="5"/>
      <c r="Y4684" s="5" t="str">
        <f>IFERROR(__xludf.DUMMYFUNCTION("REGEXEXTRACT(J4684, ""^\d+"")"),"1")</f>
        <v>1</v>
      </c>
      <c r="Z4684" s="5" t="str">
        <f>IFERROR(__xludf.DUMMYFUNCTION("REGEXEXTRACT(J4684, ""[A-Za-z ]+$"")")," Season")</f>
        <v> Season</v>
      </c>
      <c r="AA4684" s="5" t="str">
        <f>IFERROR(__xludf.DUMMYFUNCTION("IF(REGEXMATCH(Z4684, ""Season""), ""TV Show"", ""Movie"")"),"TV Show")</f>
        <v>TV Show</v>
      </c>
    </row>
    <row r="4685">
      <c r="A4685" s="1" t="s">
        <v>24727</v>
      </c>
      <c r="B4685" s="1" t="s">
        <v>27</v>
      </c>
      <c r="C4685" s="1" t="s">
        <v>24728</v>
      </c>
      <c r="D4685" s="1" t="s">
        <v>11749</v>
      </c>
      <c r="E4685" s="1" t="s">
        <v>24729</v>
      </c>
      <c r="F4685" s="1" t="s">
        <v>30</v>
      </c>
      <c r="G4685" s="1" t="s">
        <v>24730</v>
      </c>
      <c r="H4685" s="1">
        <v>2012.0</v>
      </c>
      <c r="I4685" s="1" t="s">
        <v>42</v>
      </c>
      <c r="J4685" s="1" t="s">
        <v>9034</v>
      </c>
      <c r="K4685" s="1" t="s">
        <v>1839</v>
      </c>
      <c r="L4685" s="1" t="s">
        <v>24731</v>
      </c>
      <c r="M4685" s="2" t="s">
        <v>12</v>
      </c>
      <c r="N4685" s="4">
        <f t="shared" si="1"/>
        <v>43337</v>
      </c>
      <c r="O4685" s="5" t="str">
        <f>IFERROR(__xludf.DUMMYFUNCTION("IF(REGEXMATCH(TRIM(I4685), ""^\d+\s*min""), ""Unclassified"", IF(I4685 = """", ""NR"", I4685))"),"TV-MA")</f>
        <v>TV-MA</v>
      </c>
      <c r="R4685" s="5" t="str">
        <f t="shared" si="2"/>
        <v>Maria Bamford: The Special Special Special</v>
      </c>
      <c r="S4685" s="5" t="str">
        <f>IFERROR(__xludf.DUMMYFUNCTION("""COMPUTED_VALUE"""),"Mom")</f>
        <v>Mom</v>
      </c>
      <c r="V4685" s="5"/>
      <c r="Y4685" s="5" t="str">
        <f>IFERROR(__xludf.DUMMYFUNCTION("REGEXEXTRACT(J4685, ""^\d+"")"),"50")</f>
        <v>50</v>
      </c>
      <c r="Z4685" s="5" t="str">
        <f>IFERROR(__xludf.DUMMYFUNCTION("REGEXEXTRACT(J4685, ""[A-Za-z ]+$"")")," min")</f>
        <v> min</v>
      </c>
      <c r="AA4685" s="5" t="str">
        <f>IFERROR(__xludf.DUMMYFUNCTION("IF(REGEXMATCH(Z4685, ""Season""), ""TV Show"", ""Movie"")"),"Movie")</f>
        <v>Movie</v>
      </c>
    </row>
    <row r="4686">
      <c r="A4686" s="1" t="s">
        <v>24732</v>
      </c>
      <c r="B4686" s="1" t="s">
        <v>27</v>
      </c>
      <c r="C4686" s="1" t="s">
        <v>24733</v>
      </c>
      <c r="D4686" s="1" t="s">
        <v>22621</v>
      </c>
      <c r="E4686" s="1" t="s">
        <v>15687</v>
      </c>
      <c r="G4686" s="1" t="s">
        <v>24734</v>
      </c>
      <c r="H4686" s="1">
        <v>2018.0</v>
      </c>
      <c r="I4686" s="1" t="s">
        <v>42</v>
      </c>
      <c r="J4686" s="1" t="s">
        <v>8832</v>
      </c>
      <c r="K4686" s="1" t="s">
        <v>1839</v>
      </c>
      <c r="L4686" s="1" t="s">
        <v>24735</v>
      </c>
      <c r="M4686" s="2" t="s">
        <v>12</v>
      </c>
      <c r="N4686" s="4">
        <f t="shared" si="1"/>
        <v>43336</v>
      </c>
      <c r="O4686" s="5" t="str">
        <f>IFERROR(__xludf.DUMMYFUNCTION("IF(REGEXMATCH(TRIM(I4686), ""^\d+\s*min""), ""Unclassified"", IF(I4686 = """", ""NR"", I4686))"),"TV-MA")</f>
        <v>TV-MA</v>
      </c>
      <c r="R4686" s="5" t="str">
        <f t="shared" si="2"/>
        <v>Bert Kreischer: Secret Time</v>
      </c>
      <c r="S4686" s="5" t="str">
        <f>IFERROR(__xludf.DUMMYFUNCTION("""COMPUTED_VALUE"""),"Mommy Issues")</f>
        <v>Mommy Issues</v>
      </c>
      <c r="V4686" s="5"/>
      <c r="Y4686" s="5" t="str">
        <f>IFERROR(__xludf.DUMMYFUNCTION("REGEXEXTRACT(J4686, ""^\d+"")"),"57")</f>
        <v>57</v>
      </c>
      <c r="Z4686" s="5" t="str">
        <f>IFERROR(__xludf.DUMMYFUNCTION("REGEXEXTRACT(J4686, ""[A-Za-z ]+$"")")," min")</f>
        <v> min</v>
      </c>
      <c r="AA4686" s="5" t="str">
        <f>IFERROR(__xludf.DUMMYFUNCTION("IF(REGEXMATCH(Z4686, ""Season""), ""TV Show"", ""Movie"")"),"Movie")</f>
        <v>Movie</v>
      </c>
    </row>
    <row r="4687">
      <c r="A4687" s="1" t="s">
        <v>24736</v>
      </c>
      <c r="B4687" s="1" t="s">
        <v>37</v>
      </c>
      <c r="C4687" s="1" t="s">
        <v>24737</v>
      </c>
      <c r="D4687" s="1" t="s">
        <v>17675</v>
      </c>
      <c r="E4687" s="1" t="s">
        <v>24738</v>
      </c>
      <c r="F4687" s="1" t="s">
        <v>63</v>
      </c>
      <c r="G4687" s="1" t="s">
        <v>24734</v>
      </c>
      <c r="H4687" s="1">
        <v>2018.0</v>
      </c>
      <c r="I4687" s="1" t="s">
        <v>42</v>
      </c>
      <c r="J4687" s="1" t="s">
        <v>51</v>
      </c>
      <c r="K4687" s="1" t="s">
        <v>9281</v>
      </c>
      <c r="L4687" s="1" t="s">
        <v>24739</v>
      </c>
      <c r="M4687" s="2" t="s">
        <v>12</v>
      </c>
      <c r="N4687" s="4">
        <f t="shared" si="1"/>
        <v>43336</v>
      </c>
      <c r="O4687" s="5" t="str">
        <f>IFERROR(__xludf.DUMMYFUNCTION("IF(REGEXMATCH(TRIM(I4687), ""^\d+\s*min""), ""Unclassified"", IF(I4687 = """", ""NR"", I4687))"),"TV-MA")</f>
        <v>TV-MA</v>
      </c>
      <c r="R4687" s="5" t="str">
        <f t="shared" si="2"/>
        <v>Ghoul</v>
      </c>
      <c r="S4687" s="5" t="str">
        <f>IFERROR(__xludf.DUMMYFUNCTION("""COMPUTED_VALUE"""),"Momo Salon")</f>
        <v>Momo Salon</v>
      </c>
      <c r="V4687" s="5"/>
      <c r="Y4687" s="5" t="str">
        <f>IFERROR(__xludf.DUMMYFUNCTION("REGEXEXTRACT(J4687, ""^\d+"")"),"1")</f>
        <v>1</v>
      </c>
      <c r="Z4687" s="5" t="str">
        <f>IFERROR(__xludf.DUMMYFUNCTION("REGEXEXTRACT(J4687, ""[A-Za-z ]+$"")")," Season")</f>
        <v> Season</v>
      </c>
      <c r="AA4687" s="5" t="str">
        <f>IFERROR(__xludf.DUMMYFUNCTION("IF(REGEXMATCH(Z4687, ""Season""), ""TV Show"", ""Movie"")"),"TV Show")</f>
        <v>TV Show</v>
      </c>
    </row>
    <row r="4688">
      <c r="A4688" s="1" t="s">
        <v>24740</v>
      </c>
      <c r="B4688" s="1" t="s">
        <v>27</v>
      </c>
      <c r="C4688" s="1" t="s">
        <v>24741</v>
      </c>
      <c r="D4688" s="1" t="s">
        <v>16002</v>
      </c>
      <c r="E4688" s="1" t="s">
        <v>24742</v>
      </c>
      <c r="F4688" s="1" t="s">
        <v>1106</v>
      </c>
      <c r="G4688" s="1" t="s">
        <v>24734</v>
      </c>
      <c r="H4688" s="1">
        <v>1998.0</v>
      </c>
      <c r="I4688" s="1" t="s">
        <v>42</v>
      </c>
      <c r="J4688" s="1" t="s">
        <v>24743</v>
      </c>
      <c r="K4688" s="1" t="s">
        <v>239</v>
      </c>
      <c r="L4688" s="1" t="s">
        <v>24744</v>
      </c>
      <c r="M4688" s="2" t="s">
        <v>12</v>
      </c>
      <c r="N4688" s="4">
        <f t="shared" si="1"/>
        <v>43336</v>
      </c>
      <c r="O4688" s="5" t="str">
        <f>IFERROR(__xludf.DUMMYFUNCTION("IF(REGEXMATCH(TRIM(I4688), ""^\d+\s*min""), ""Unclassified"", IF(I4688 = """", ""NR"", I4688))"),"TV-MA")</f>
        <v>TV-MA</v>
      </c>
      <c r="R4688" s="5" t="str">
        <f t="shared" si="2"/>
        <v>One Last Shot</v>
      </c>
      <c r="S4688" s="5" t="str">
        <f>IFERROR(__xludf.DUMMYFUNCTION("""COMPUTED_VALUE"""),"Moms At War")</f>
        <v>Moms At War</v>
      </c>
      <c r="V4688" s="5"/>
      <c r="Y4688" s="5" t="str">
        <f>IFERROR(__xludf.DUMMYFUNCTION("REGEXEXTRACT(J4688, ""^\d+"")"),"31")</f>
        <v>31</v>
      </c>
      <c r="Z4688" s="5" t="str">
        <f>IFERROR(__xludf.DUMMYFUNCTION("REGEXEXTRACT(J4688, ""[A-Za-z ]+$"")")," min")</f>
        <v> min</v>
      </c>
      <c r="AA4688" s="5" t="str">
        <f>IFERROR(__xludf.DUMMYFUNCTION("IF(REGEXMATCH(Z4688, ""Season""), ""TV Show"", ""Movie"")"),"Movie")</f>
        <v>Movie</v>
      </c>
    </row>
    <row r="4689">
      <c r="A4689" s="1" t="s">
        <v>24745</v>
      </c>
      <c r="B4689" s="1" t="s">
        <v>37</v>
      </c>
      <c r="C4689" s="1" t="s">
        <v>24746</v>
      </c>
      <c r="D4689" s="1" t="s">
        <v>8951</v>
      </c>
      <c r="E4689" s="1" t="s">
        <v>24747</v>
      </c>
      <c r="F4689" s="1" t="s">
        <v>3892</v>
      </c>
      <c r="G4689" s="1" t="s">
        <v>24734</v>
      </c>
      <c r="H4689" s="1">
        <v>2018.0</v>
      </c>
      <c r="I4689" s="1" t="s">
        <v>97</v>
      </c>
      <c r="J4689" s="1" t="s">
        <v>51</v>
      </c>
      <c r="K4689" s="1" t="s">
        <v>1531</v>
      </c>
      <c r="L4689" s="1" t="s">
        <v>24748</v>
      </c>
      <c r="M4689" s="2" t="s">
        <v>12</v>
      </c>
      <c r="N4689" s="4">
        <f t="shared" si="1"/>
        <v>43336</v>
      </c>
      <c r="O4689" s="5" t="str">
        <f>IFERROR(__xludf.DUMMYFUNCTION("IF(REGEXMATCH(TRIM(I4689), ""^\d+\s*min""), ""Unclassified"", IF(I4689 = """", ""NR"", I4689))"),"TV-14")</f>
        <v>TV-14</v>
      </c>
      <c r="R4689" s="5" t="str">
        <f t="shared" si="2"/>
        <v>Take My Brother Away</v>
      </c>
      <c r="S4689" s="5" t="str">
        <f>IFERROR(__xludf.DUMMYFUNCTION("""COMPUTED_VALUE"""),"Mona Lisa Smile")</f>
        <v>Mona Lisa Smile</v>
      </c>
      <c r="V4689" s="5"/>
      <c r="Y4689" s="5" t="str">
        <f>IFERROR(__xludf.DUMMYFUNCTION("REGEXEXTRACT(J4689, ""^\d+"")"),"1")</f>
        <v>1</v>
      </c>
      <c r="Z4689" s="5" t="str">
        <f>IFERROR(__xludf.DUMMYFUNCTION("REGEXEXTRACT(J4689, ""[A-Za-z ]+$"")")," Season")</f>
        <v> Season</v>
      </c>
      <c r="AA4689" s="5" t="str">
        <f>IFERROR(__xludf.DUMMYFUNCTION("IF(REGEXMATCH(Z4689, ""Season""), ""TV Show"", ""Movie"")"),"TV Show")</f>
        <v>TV Show</v>
      </c>
    </row>
    <row r="4690">
      <c r="A4690" s="1" t="s">
        <v>24749</v>
      </c>
      <c r="B4690" s="1" t="s">
        <v>27</v>
      </c>
      <c r="C4690" s="1" t="s">
        <v>24750</v>
      </c>
      <c r="D4690" s="1" t="s">
        <v>9522</v>
      </c>
      <c r="E4690" s="1" t="s">
        <v>24751</v>
      </c>
      <c r="F4690" s="1" t="s">
        <v>30</v>
      </c>
      <c r="G4690" s="1" t="s">
        <v>24734</v>
      </c>
      <c r="H4690" s="1">
        <v>2018.0</v>
      </c>
      <c r="I4690" s="1" t="s">
        <v>42</v>
      </c>
      <c r="J4690" s="1" t="s">
        <v>33</v>
      </c>
      <c r="K4690" s="1" t="s">
        <v>1034</v>
      </c>
      <c r="L4690" s="1" t="s">
        <v>24752</v>
      </c>
      <c r="M4690" s="2" t="s">
        <v>12</v>
      </c>
      <c r="N4690" s="4">
        <f t="shared" si="1"/>
        <v>43336</v>
      </c>
      <c r="O4690" s="5" t="str">
        <f>IFERROR(__xludf.DUMMYFUNCTION("IF(REGEXMATCH(TRIM(I4690), ""^\d+\s*min""), ""Unclassified"", IF(I4690 = """", ""NR"", I4690))"),"TV-MA")</f>
        <v>TV-MA</v>
      </c>
      <c r="R4690" s="5" t="str">
        <f t="shared" si="2"/>
        <v>The After Party</v>
      </c>
      <c r="S4690" s="5" t="str">
        <f>IFERROR(__xludf.DUMMYFUNCTION("""COMPUTED_VALUE"""),"Monarca")</f>
        <v>Monarca</v>
      </c>
      <c r="V4690" s="5"/>
      <c r="Y4690" s="5" t="str">
        <f>IFERROR(__xludf.DUMMYFUNCTION("REGEXEXTRACT(J4690, ""^\d+"")"),"90")</f>
        <v>90</v>
      </c>
      <c r="Z4690" s="5" t="str">
        <f>IFERROR(__xludf.DUMMYFUNCTION("REGEXEXTRACT(J4690, ""[A-Za-z ]+$"")")," min")</f>
        <v> min</v>
      </c>
      <c r="AA4690" s="5" t="str">
        <f>IFERROR(__xludf.DUMMYFUNCTION("IF(REGEXMATCH(Z4690, ""Season""), ""TV Show"", ""Movie"")"),"Movie")</f>
        <v>Movie</v>
      </c>
    </row>
    <row r="4691">
      <c r="A4691" s="1" t="s">
        <v>24753</v>
      </c>
      <c r="B4691" s="1" t="s">
        <v>37</v>
      </c>
      <c r="C4691" s="1" t="s">
        <v>24754</v>
      </c>
      <c r="E4691" s="1" t="s">
        <v>24755</v>
      </c>
      <c r="F4691" s="1" t="s">
        <v>96</v>
      </c>
      <c r="G4691" s="1" t="s">
        <v>24734</v>
      </c>
      <c r="H4691" s="1">
        <v>2018.0</v>
      </c>
      <c r="I4691" s="1" t="s">
        <v>42</v>
      </c>
      <c r="J4691" s="1" t="s">
        <v>51</v>
      </c>
      <c r="K4691" s="1" t="s">
        <v>23944</v>
      </c>
      <c r="L4691" s="1" t="s">
        <v>24756</v>
      </c>
      <c r="M4691" s="2" t="s">
        <v>12</v>
      </c>
      <c r="N4691" s="4">
        <f t="shared" si="1"/>
        <v>43336</v>
      </c>
      <c r="O4691" s="5" t="str">
        <f>IFERROR(__xludf.DUMMYFUNCTION("IF(REGEXMATCH(TRIM(I4691), ""^\d+\s*min""), ""Unclassified"", IF(I4691 = """", ""NR"", I4691))"),"TV-MA")</f>
        <v>TV-MA</v>
      </c>
      <c r="R4691" s="5" t="str">
        <f t="shared" si="2"/>
        <v>The Innocents</v>
      </c>
      <c r="S4691" s="5" t="str">
        <f>IFERROR(__xludf.DUMMYFUNCTION("""COMPUTED_VALUE"""),"Money")</f>
        <v>Money</v>
      </c>
      <c r="V4691" s="5"/>
      <c r="Y4691" s="5" t="str">
        <f>IFERROR(__xludf.DUMMYFUNCTION("REGEXEXTRACT(J4691, ""^\d+"")"),"1")</f>
        <v>1</v>
      </c>
      <c r="Z4691" s="5" t="str">
        <f>IFERROR(__xludf.DUMMYFUNCTION("REGEXEXTRACT(J4691, ""[A-Za-z ]+$"")")," Season")</f>
        <v> Season</v>
      </c>
      <c r="AA4691" s="5" t="str">
        <f>IFERROR(__xludf.DUMMYFUNCTION("IF(REGEXMATCH(Z4691, ""Season""), ""TV Show"", ""Movie"")"),"TV Show")</f>
        <v>TV Show</v>
      </c>
    </row>
    <row r="4692">
      <c r="A4692" s="1" t="s">
        <v>24757</v>
      </c>
      <c r="B4692" s="1" t="s">
        <v>27</v>
      </c>
      <c r="C4692" s="1" t="s">
        <v>24758</v>
      </c>
      <c r="D4692" s="1" t="s">
        <v>2650</v>
      </c>
      <c r="E4692" s="1" t="s">
        <v>24759</v>
      </c>
      <c r="F4692" s="1" t="s">
        <v>63</v>
      </c>
      <c r="G4692" s="1" t="s">
        <v>24760</v>
      </c>
      <c r="H4692" s="1">
        <v>2017.0</v>
      </c>
      <c r="I4692" s="1" t="s">
        <v>97</v>
      </c>
      <c r="J4692" s="1" t="s">
        <v>297</v>
      </c>
      <c r="K4692" s="1" t="s">
        <v>583</v>
      </c>
      <c r="L4692" s="1" t="s">
        <v>24761</v>
      </c>
      <c r="M4692" s="2" t="s">
        <v>12</v>
      </c>
      <c r="N4692" s="4">
        <f t="shared" si="1"/>
        <v>43333</v>
      </c>
      <c r="O4692" s="5" t="str">
        <f>IFERROR(__xludf.DUMMYFUNCTION("IF(REGEXMATCH(TRIM(I4692), ""^\d+\s*min""), ""Unclassified"", IF(I4692 = """", ""NR"", I4692))"),"TV-14")</f>
        <v>TV-14</v>
      </c>
      <c r="R4692" s="5" t="str">
        <f t="shared" si="2"/>
        <v>Bareilly Ki Barfi</v>
      </c>
      <c r="S4692" s="5" t="str">
        <f>IFERROR(__xludf.DUMMYFUNCTION("""COMPUTED_VALUE"""),"Money For Nothing")</f>
        <v>Money For Nothing</v>
      </c>
      <c r="V4692" s="5"/>
      <c r="Y4692" s="5" t="str">
        <f>IFERROR(__xludf.DUMMYFUNCTION("REGEXEXTRACT(J4692, ""^\d+"")"),"110")</f>
        <v>110</v>
      </c>
      <c r="Z4692" s="5" t="str">
        <f>IFERROR(__xludf.DUMMYFUNCTION("REGEXEXTRACT(J4692, ""[A-Za-z ]+$"")")," min")</f>
        <v> min</v>
      </c>
      <c r="AA4692" s="5" t="str">
        <f>IFERROR(__xludf.DUMMYFUNCTION("IF(REGEXMATCH(Z4692, ""Season""), ""TV Show"", ""Movie"")"),"Movie")</f>
        <v>Movie</v>
      </c>
    </row>
    <row r="4693">
      <c r="A4693" s="1" t="s">
        <v>24762</v>
      </c>
      <c r="B4693" s="1" t="s">
        <v>27</v>
      </c>
      <c r="C4693" s="1" t="s">
        <v>24763</v>
      </c>
      <c r="D4693" s="1" t="s">
        <v>2701</v>
      </c>
      <c r="E4693" s="1" t="s">
        <v>24764</v>
      </c>
      <c r="F4693" s="1" t="s">
        <v>63</v>
      </c>
      <c r="G4693" s="1" t="s">
        <v>24760</v>
      </c>
      <c r="H4693" s="1">
        <v>2017.0</v>
      </c>
      <c r="I4693" s="1" t="s">
        <v>97</v>
      </c>
      <c r="J4693" s="1" t="s">
        <v>6105</v>
      </c>
      <c r="K4693" s="1" t="s">
        <v>306</v>
      </c>
      <c r="L4693" s="1" t="s">
        <v>24765</v>
      </c>
      <c r="M4693" s="2" t="s">
        <v>12</v>
      </c>
      <c r="N4693" s="4">
        <f t="shared" si="1"/>
        <v>43333</v>
      </c>
      <c r="O4693" s="5" t="str">
        <f>IFERROR(__xludf.DUMMYFUNCTION("IF(REGEXMATCH(TRIM(I4693), ""^\d+\s*min""), ""Unclassified"", IF(I4693 = """", ""NR"", I4693))"),"TV-14")</f>
        <v>TV-14</v>
      </c>
      <c r="R4693" s="5" t="str">
        <f t="shared" si="2"/>
        <v>Mersal</v>
      </c>
      <c r="S4693" s="5" t="str">
        <f>IFERROR(__xludf.DUMMYFUNCTION("""COMPUTED_VALUE"""),"Money Heist: From Tokyo To Berlin")</f>
        <v>Money Heist: From Tokyo To Berlin</v>
      </c>
      <c r="V4693" s="5"/>
      <c r="Y4693" s="5" t="str">
        <f>IFERROR(__xludf.DUMMYFUNCTION("REGEXEXTRACT(J4693, ""^\d+"")"),"162")</f>
        <v>162</v>
      </c>
      <c r="Z4693" s="5" t="str">
        <f>IFERROR(__xludf.DUMMYFUNCTION("REGEXEXTRACT(J4693, ""[A-Za-z ]+$"")")," min")</f>
        <v> min</v>
      </c>
      <c r="AA4693" s="5" t="str">
        <f>IFERROR(__xludf.DUMMYFUNCTION("IF(REGEXMATCH(Z4693, ""Season""), ""TV Show"", ""Movie"")"),"Movie")</f>
        <v>Movie</v>
      </c>
    </row>
    <row r="4694">
      <c r="A4694" s="1" t="s">
        <v>24766</v>
      </c>
      <c r="B4694" s="1" t="s">
        <v>27</v>
      </c>
      <c r="C4694" s="1" t="s">
        <v>24767</v>
      </c>
      <c r="D4694" s="1" t="s">
        <v>18895</v>
      </c>
      <c r="E4694" s="1" t="s">
        <v>24768</v>
      </c>
      <c r="F4694" s="1" t="s">
        <v>63</v>
      </c>
      <c r="G4694" s="1" t="s">
        <v>24760</v>
      </c>
      <c r="H4694" s="1">
        <v>2017.0</v>
      </c>
      <c r="I4694" s="1" t="s">
        <v>97</v>
      </c>
      <c r="J4694" s="1" t="s">
        <v>1938</v>
      </c>
      <c r="K4694" s="1" t="s">
        <v>298</v>
      </c>
      <c r="L4694" s="1" t="s">
        <v>24769</v>
      </c>
      <c r="M4694" s="2" t="s">
        <v>12</v>
      </c>
      <c r="N4694" s="4">
        <f t="shared" si="1"/>
        <v>43333</v>
      </c>
      <c r="O4694" s="5" t="str">
        <f>IFERROR(__xludf.DUMMYFUNCTION("IF(REGEXMATCH(TRIM(I4694), ""^\d+\s*min""), ""Unclassified"", IF(I4694 = """", ""NR"", I4694))"),"TV-14")</f>
        <v>TV-14</v>
      </c>
      <c r="R4694" s="5" t="str">
        <f t="shared" si="2"/>
        <v>Mom</v>
      </c>
      <c r="S4694" s="5" t="str">
        <f>IFERROR(__xludf.DUMMYFUNCTION("""COMPUTED_VALUE"""),"Money Heist: The Phenomenon")</f>
        <v>Money Heist: The Phenomenon</v>
      </c>
      <c r="V4694" s="5"/>
      <c r="Y4694" s="5" t="str">
        <f>IFERROR(__xludf.DUMMYFUNCTION("REGEXEXTRACT(J4694, ""^\d+"")"),"139")</f>
        <v>139</v>
      </c>
      <c r="Z4694" s="5" t="str">
        <f>IFERROR(__xludf.DUMMYFUNCTION("REGEXEXTRACT(J4694, ""[A-Za-z ]+$"")")," min")</f>
        <v> min</v>
      </c>
      <c r="AA4694" s="5" t="str">
        <f>IFERROR(__xludf.DUMMYFUNCTION("IF(REGEXMATCH(Z4694, ""Season""), ""TV Show"", ""Movie"")"),"Movie")</f>
        <v>Movie</v>
      </c>
    </row>
    <row r="4695">
      <c r="A4695" s="1" t="s">
        <v>24770</v>
      </c>
      <c r="B4695" s="1" t="s">
        <v>27</v>
      </c>
      <c r="C4695" s="1" t="s">
        <v>24771</v>
      </c>
      <c r="D4695" s="1" t="s">
        <v>18479</v>
      </c>
      <c r="E4695" s="1" t="s">
        <v>24772</v>
      </c>
      <c r="F4695" s="1" t="s">
        <v>63</v>
      </c>
      <c r="G4695" s="1" t="s">
        <v>24760</v>
      </c>
      <c r="H4695" s="1">
        <v>2018.0</v>
      </c>
      <c r="I4695" s="1" t="s">
        <v>32</v>
      </c>
      <c r="J4695" s="1" t="s">
        <v>2281</v>
      </c>
      <c r="K4695" s="1" t="s">
        <v>679</v>
      </c>
      <c r="L4695" s="1" t="s">
        <v>24773</v>
      </c>
      <c r="M4695" s="2" t="s">
        <v>12</v>
      </c>
      <c r="N4695" s="4">
        <f t="shared" si="1"/>
        <v>43333</v>
      </c>
      <c r="O4695" s="5" t="str">
        <f>IFERROR(__xludf.DUMMYFUNCTION("IF(REGEXMATCH(TRIM(I4695), ""^\d+\s*min""), ""Unclassified"", IF(I4695 = """", ""NR"", I4695))"),"PG-13")</f>
        <v>PG-13</v>
      </c>
      <c r="R4695" s="5" t="str">
        <f t="shared" si="2"/>
        <v>Pad Man</v>
      </c>
      <c r="S4695" s="5" t="str">
        <f>IFERROR(__xludf.DUMMYFUNCTION("""COMPUTED_VALUE"""),"Money Talks")</f>
        <v>Money Talks</v>
      </c>
      <c r="V4695" s="5"/>
      <c r="Y4695" s="5" t="str">
        <f>IFERROR(__xludf.DUMMYFUNCTION("REGEXEXTRACT(J4695, ""^\d+"")"),"130")</f>
        <v>130</v>
      </c>
      <c r="Z4695" s="5" t="str">
        <f>IFERROR(__xludf.DUMMYFUNCTION("REGEXEXTRACT(J4695, ""[A-Za-z ]+$"")")," min")</f>
        <v> min</v>
      </c>
      <c r="AA4695" s="5" t="str">
        <f>IFERROR(__xludf.DUMMYFUNCTION("IF(REGEXMATCH(Z4695, ""Season""), ""TV Show"", ""Movie"")"),"Movie")</f>
        <v>Movie</v>
      </c>
    </row>
    <row r="4696">
      <c r="A4696" s="1" t="s">
        <v>24774</v>
      </c>
      <c r="B4696" s="1" t="s">
        <v>27</v>
      </c>
      <c r="C4696" s="1" t="s">
        <v>24775</v>
      </c>
      <c r="D4696" s="1" t="s">
        <v>21122</v>
      </c>
      <c r="E4696" s="1" t="s">
        <v>24776</v>
      </c>
      <c r="F4696" s="1" t="s">
        <v>63</v>
      </c>
      <c r="G4696" s="1" t="s">
        <v>24760</v>
      </c>
      <c r="H4696" s="1">
        <v>2017.0</v>
      </c>
      <c r="I4696" s="1" t="s">
        <v>97</v>
      </c>
      <c r="J4696" s="1" t="s">
        <v>582</v>
      </c>
      <c r="K4696" s="1" t="s">
        <v>583</v>
      </c>
      <c r="L4696" s="1" t="s">
        <v>24777</v>
      </c>
      <c r="M4696" s="2" t="s">
        <v>12</v>
      </c>
      <c r="N4696" s="4">
        <f t="shared" si="1"/>
        <v>43333</v>
      </c>
      <c r="O4696" s="5" t="str">
        <f>IFERROR(__xludf.DUMMYFUNCTION("IF(REGEXMATCH(TRIM(I4696), ""^\d+\s*min""), ""Unclassified"", IF(I4696 = """", ""NR"", I4696))"),"TV-14")</f>
        <v>TV-14</v>
      </c>
      <c r="R4696" s="5" t="str">
        <f t="shared" si="2"/>
        <v>Toilet: Ek Prem Katha</v>
      </c>
      <c r="S4696" s="5" t="str">
        <f>IFERROR(__xludf.DUMMYFUNCTION("""COMPUTED_VALUE"""),"Money Trap")</f>
        <v>Money Trap</v>
      </c>
      <c r="V4696" s="5"/>
      <c r="Y4696" s="5" t="str">
        <f>IFERROR(__xludf.DUMMYFUNCTION("REGEXEXTRACT(J4696, ""^\d+"")"),"145")</f>
        <v>145</v>
      </c>
      <c r="Z4696" s="5" t="str">
        <f>IFERROR(__xludf.DUMMYFUNCTION("REGEXEXTRACT(J4696, ""[A-Za-z ]+$"")")," min")</f>
        <v> min</v>
      </c>
      <c r="AA4696" s="5" t="str">
        <f>IFERROR(__xludf.DUMMYFUNCTION("IF(REGEXMATCH(Z4696, ""Season""), ""TV Show"", ""Movie"")"),"Movie")</f>
        <v>Movie</v>
      </c>
    </row>
    <row r="4697">
      <c r="A4697" s="1" t="s">
        <v>24778</v>
      </c>
      <c r="B4697" s="1" t="s">
        <v>27</v>
      </c>
      <c r="C4697" s="1" t="s">
        <v>24779</v>
      </c>
      <c r="E4697" s="1" t="s">
        <v>24780</v>
      </c>
      <c r="F4697" s="1" t="s">
        <v>30</v>
      </c>
      <c r="G4697" s="1" t="s">
        <v>24781</v>
      </c>
      <c r="H4697" s="1">
        <v>2018.0</v>
      </c>
      <c r="I4697" s="1" t="s">
        <v>97</v>
      </c>
      <c r="J4697" s="1" t="s">
        <v>5846</v>
      </c>
      <c r="K4697" s="1" t="s">
        <v>239</v>
      </c>
      <c r="L4697" s="1" t="s">
        <v>24782</v>
      </c>
      <c r="M4697" s="2" t="s">
        <v>12</v>
      </c>
      <c r="N4697" s="4">
        <f t="shared" si="1"/>
        <v>43329</v>
      </c>
      <c r="O4697" s="5" t="str">
        <f>IFERROR(__xludf.DUMMYFUNCTION("IF(REGEXMATCH(TRIM(I4697), ""^\d+\s*min""), ""Unclassified"", IF(I4697 = """", ""NR"", I4697))"),"TV-14")</f>
        <v>TV-14</v>
      </c>
      <c r="R4697" s="5" t="str">
        <f t="shared" si="2"/>
        <v>Party Monster: Scratching The Surface</v>
      </c>
      <c r="S4697" s="5" t="str">
        <f>IFERROR(__xludf.DUMMYFUNCTION("""COMPUTED_VALUE"""),"Money, Explained")</f>
        <v>Money, Explained</v>
      </c>
      <c r="V4697" s="5"/>
      <c r="Y4697" s="5" t="str">
        <f>IFERROR(__xludf.DUMMYFUNCTION("REGEXEXTRACT(J4697, ""^\d+"")"),"33")</f>
        <v>33</v>
      </c>
      <c r="Z4697" s="5" t="str">
        <f>IFERROR(__xludf.DUMMYFUNCTION("REGEXEXTRACT(J4697, ""[A-Za-z ]+$"")")," min")</f>
        <v> min</v>
      </c>
      <c r="AA4697" s="5" t="str">
        <f>IFERROR(__xludf.DUMMYFUNCTION("IF(REGEXMATCH(Z4697, ""Season""), ""TV Show"", ""Movie"")"),"Movie")</f>
        <v>Movie</v>
      </c>
    </row>
    <row r="4698">
      <c r="A4698" s="1" t="s">
        <v>24783</v>
      </c>
      <c r="B4698" s="1" t="s">
        <v>37</v>
      </c>
      <c r="C4698" s="1" t="s">
        <v>24784</v>
      </c>
      <c r="E4698" s="1" t="s">
        <v>24785</v>
      </c>
      <c r="F4698" s="1" t="s">
        <v>30</v>
      </c>
      <c r="G4698" s="1" t="s">
        <v>24781</v>
      </c>
      <c r="H4698" s="1">
        <v>2018.0</v>
      </c>
      <c r="I4698" s="1" t="s">
        <v>136</v>
      </c>
      <c r="J4698" s="1" t="s">
        <v>51</v>
      </c>
      <c r="K4698" s="1" t="s">
        <v>440</v>
      </c>
      <c r="L4698" s="1" t="s">
        <v>24786</v>
      </c>
      <c r="M4698" s="2" t="s">
        <v>12</v>
      </c>
      <c r="N4698" s="4">
        <f t="shared" si="1"/>
        <v>43329</v>
      </c>
      <c r="O4698" s="5" t="str">
        <f>IFERROR(__xludf.DUMMYFUNCTION("IF(REGEXMATCH(TRIM(I4698), ""^\d+\s*min""), ""Unclassified"", IF(I4698 = """", ""NR"", I4698))"),"TV-PG")</f>
        <v>TV-PG</v>
      </c>
      <c r="R4698" s="5" t="str">
        <f t="shared" si="2"/>
        <v>Stay Here</v>
      </c>
      <c r="S4698" s="5" t="str">
        <f>IFERROR(__xludf.DUMMYFUNCTION("""COMPUTED_VALUE"""),"Monkart")</f>
        <v>Monkart</v>
      </c>
      <c r="V4698" s="5"/>
      <c r="Y4698" s="5" t="str">
        <f>IFERROR(__xludf.DUMMYFUNCTION("REGEXEXTRACT(J4698, ""^\d+"")"),"1")</f>
        <v>1</v>
      </c>
      <c r="Z4698" s="5" t="str">
        <f>IFERROR(__xludf.DUMMYFUNCTION("REGEXEXTRACT(J4698, ""[A-Za-z ]+$"")")," Season")</f>
        <v> Season</v>
      </c>
      <c r="AA4698" s="5" t="str">
        <f>IFERROR(__xludf.DUMMYFUNCTION("IF(REGEXMATCH(Z4698, ""Season""), ""TV Show"", ""Movie"")"),"TV Show")</f>
        <v>TV Show</v>
      </c>
    </row>
    <row r="4699">
      <c r="A4699" s="1" t="s">
        <v>24787</v>
      </c>
      <c r="B4699" s="1" t="s">
        <v>27</v>
      </c>
      <c r="C4699" s="1" t="s">
        <v>24788</v>
      </c>
      <c r="D4699" s="1" t="s">
        <v>14523</v>
      </c>
      <c r="E4699" s="1" t="s">
        <v>24789</v>
      </c>
      <c r="F4699" s="1" t="s">
        <v>24790</v>
      </c>
      <c r="G4699" s="1" t="s">
        <v>24781</v>
      </c>
      <c r="H4699" s="1">
        <v>2017.0</v>
      </c>
      <c r="I4699" s="1" t="s">
        <v>42</v>
      </c>
      <c r="J4699" s="1" t="s">
        <v>835</v>
      </c>
      <c r="K4699" s="1" t="s">
        <v>583</v>
      </c>
      <c r="L4699" s="1" t="s">
        <v>24791</v>
      </c>
      <c r="M4699" s="2" t="s">
        <v>12</v>
      </c>
      <c r="N4699" s="4">
        <f t="shared" si="1"/>
        <v>43329</v>
      </c>
      <c r="O4699" s="5" t="str">
        <f>IFERROR(__xludf.DUMMYFUNCTION("IF(REGEXMATCH(TRIM(I4699), ""^\d+\s*min""), ""Unclassified"", IF(I4699 = """", ""NR"", I4699))"),"TV-MA")</f>
        <v>TV-MA</v>
      </c>
      <c r="R4699" s="5" t="str">
        <f t="shared" si="2"/>
        <v>The Motive</v>
      </c>
      <c r="S4699" s="5" t="str">
        <f>IFERROR(__xludf.DUMMYFUNCTION("""COMPUTED_VALUE"""),"Monkey Planet")</f>
        <v>Monkey Planet</v>
      </c>
      <c r="V4699" s="5"/>
      <c r="Y4699" s="5" t="str">
        <f>IFERROR(__xludf.DUMMYFUNCTION("REGEXEXTRACT(J4699, ""^\d+"")"),"114")</f>
        <v>114</v>
      </c>
      <c r="Z4699" s="5" t="str">
        <f>IFERROR(__xludf.DUMMYFUNCTION("REGEXEXTRACT(J4699, ""[A-Za-z ]+$"")")," min")</f>
        <v> min</v>
      </c>
      <c r="AA4699" s="5" t="str">
        <f>IFERROR(__xludf.DUMMYFUNCTION("IF(REGEXMATCH(Z4699, ""Season""), ""TV Show"", ""Movie"")"),"Movie")</f>
        <v>Movie</v>
      </c>
    </row>
    <row r="4700">
      <c r="A4700" s="1" t="s">
        <v>24792</v>
      </c>
      <c r="B4700" s="1" t="s">
        <v>27</v>
      </c>
      <c r="C4700" s="1" t="s">
        <v>24793</v>
      </c>
      <c r="D4700" s="1" t="s">
        <v>21970</v>
      </c>
      <c r="E4700" s="1" t="s">
        <v>24794</v>
      </c>
      <c r="F4700" s="1" t="s">
        <v>30</v>
      </c>
      <c r="G4700" s="1" t="s">
        <v>24781</v>
      </c>
      <c r="H4700" s="1">
        <v>2018.0</v>
      </c>
      <c r="I4700" s="1" t="s">
        <v>97</v>
      </c>
      <c r="J4700" s="1" t="s">
        <v>433</v>
      </c>
      <c r="K4700" s="1" t="s">
        <v>215</v>
      </c>
      <c r="L4700" s="1" t="s">
        <v>24795</v>
      </c>
      <c r="M4700" s="2" t="s">
        <v>12</v>
      </c>
      <c r="N4700" s="4">
        <f t="shared" si="1"/>
        <v>43329</v>
      </c>
      <c r="O4700" s="5" t="str">
        <f>IFERROR(__xludf.DUMMYFUNCTION("IF(REGEXMATCH(TRIM(I4700), ""^\d+\s*min""), ""Unclassified"", IF(I4700 = """", ""NR"", I4700))"),"TV-14")</f>
        <v>TV-14</v>
      </c>
      <c r="R4700" s="5" t="str">
        <f t="shared" si="2"/>
        <v>To All The Boys I’Ve Loved Before</v>
      </c>
      <c r="S4700" s="5" t="str">
        <f>IFERROR(__xludf.DUMMYFUNCTION("""COMPUTED_VALUE"""),"Monkey Twins")</f>
        <v>Monkey Twins</v>
      </c>
      <c r="V4700" s="5"/>
      <c r="Y4700" s="5" t="str">
        <f>IFERROR(__xludf.DUMMYFUNCTION("REGEXEXTRACT(J4700, ""^\d+"")"),"100")</f>
        <v>100</v>
      </c>
      <c r="Z4700" s="5" t="str">
        <f>IFERROR(__xludf.DUMMYFUNCTION("REGEXEXTRACT(J4700, ""[A-Za-z ]+$"")")," min")</f>
        <v> min</v>
      </c>
      <c r="AA4700" s="5" t="str">
        <f>IFERROR(__xludf.DUMMYFUNCTION("IF(REGEXMATCH(Z4700, ""Season""), ""TV Show"", ""Movie"")"),"Movie")</f>
        <v>Movie</v>
      </c>
    </row>
    <row r="4701">
      <c r="A4701" s="1" t="s">
        <v>24796</v>
      </c>
      <c r="B4701" s="1" t="s">
        <v>27</v>
      </c>
      <c r="C4701" s="1" t="s">
        <v>24797</v>
      </c>
      <c r="D4701" s="1" t="s">
        <v>23748</v>
      </c>
      <c r="E4701" s="1" t="s">
        <v>24798</v>
      </c>
      <c r="F4701" s="1" t="s">
        <v>749</v>
      </c>
      <c r="G4701" s="1" t="s">
        <v>24781</v>
      </c>
      <c r="H4701" s="1">
        <v>2018.0</v>
      </c>
      <c r="I4701" s="1" t="s">
        <v>42</v>
      </c>
      <c r="J4701" s="1" t="s">
        <v>5941</v>
      </c>
      <c r="K4701" s="1" t="s">
        <v>1839</v>
      </c>
      <c r="L4701" s="1" t="s">
        <v>24799</v>
      </c>
      <c r="M4701" s="2" t="s">
        <v>12</v>
      </c>
      <c r="N4701" s="4">
        <f t="shared" si="1"/>
        <v>43329</v>
      </c>
      <c r="O4701" s="5" t="str">
        <f>IFERROR(__xludf.DUMMYFUNCTION("IF(REGEXMATCH(TRIM(I4701), ""^\d+\s*min""), ""Unclassified"", IF(I4701 = """", ""NR"", I4701))"),"TV-MA")</f>
        <v>TV-MA</v>
      </c>
      <c r="R4701" s="5" t="str">
        <f t="shared" si="2"/>
        <v>Yoo Byung Jae: Discomfort Zone</v>
      </c>
      <c r="S4701" s="5" t="str">
        <f>IFERROR(__xludf.DUMMYFUNCTION("""COMPUTED_VALUE"""),"Monkey Up")</f>
        <v>Monkey Up</v>
      </c>
      <c r="V4701" s="5"/>
      <c r="Y4701" s="5" t="str">
        <f>IFERROR(__xludf.DUMMYFUNCTION("REGEXEXTRACT(J4701, ""^\d+"")"),"54")</f>
        <v>54</v>
      </c>
      <c r="Z4701" s="5" t="str">
        <f>IFERROR(__xludf.DUMMYFUNCTION("REGEXEXTRACT(J4701, ""[A-Za-z ]+$"")")," min")</f>
        <v> min</v>
      </c>
      <c r="AA4701" s="5" t="str">
        <f>IFERROR(__xludf.DUMMYFUNCTION("IF(REGEXMATCH(Z4701, ""Season""), ""TV Show"", ""Movie"")"),"Movie")</f>
        <v>Movie</v>
      </c>
    </row>
    <row r="4702">
      <c r="A4702" s="1" t="s">
        <v>24800</v>
      </c>
      <c r="B4702" s="1" t="s">
        <v>27</v>
      </c>
      <c r="C4702" s="1" t="s">
        <v>24801</v>
      </c>
      <c r="D4702" s="1" t="s">
        <v>8756</v>
      </c>
      <c r="E4702" s="1" t="s">
        <v>24802</v>
      </c>
      <c r="F4702" s="1" t="s">
        <v>63</v>
      </c>
      <c r="G4702" s="1" t="s">
        <v>24803</v>
      </c>
      <c r="H4702" s="1">
        <v>2018.0</v>
      </c>
      <c r="I4702" s="1" t="s">
        <v>97</v>
      </c>
      <c r="J4702" s="1" t="s">
        <v>1407</v>
      </c>
      <c r="K4702" s="1" t="s">
        <v>5704</v>
      </c>
      <c r="L4702" s="1" t="s">
        <v>24804</v>
      </c>
      <c r="M4702" s="2" t="s">
        <v>12</v>
      </c>
      <c r="N4702" s="4">
        <f t="shared" si="1"/>
        <v>43328</v>
      </c>
      <c r="O4702" s="5" t="str">
        <f>IFERROR(__xludf.DUMMYFUNCTION("IF(REGEXMATCH(TRIM(I4702), ""^\d+\s*min""), ""Unclassified"", IF(I4702 = """", ""NR"", I4702))"),"TV-14")</f>
        <v>TV-14</v>
      </c>
      <c r="R4702" s="5" t="str">
        <f t="shared" si="2"/>
        <v>Bhavesh Joshi Superhero</v>
      </c>
      <c r="S4702" s="5" t="str">
        <f>IFERROR(__xludf.DUMMYFUNCTION("""COMPUTED_VALUE"""),"Monopoly (The Bank Of Luck)")</f>
        <v>Monopoly (The Bank Of Luck)</v>
      </c>
      <c r="V4702" s="5"/>
      <c r="Y4702" s="5" t="str">
        <f>IFERROR(__xludf.DUMMYFUNCTION("REGEXEXTRACT(J4702, ""^\d+"")"),"150")</f>
        <v>150</v>
      </c>
      <c r="Z4702" s="5" t="str">
        <f>IFERROR(__xludf.DUMMYFUNCTION("REGEXEXTRACT(J4702, ""[A-Za-z ]+$"")")," min")</f>
        <v> min</v>
      </c>
      <c r="AA4702" s="5" t="str">
        <f>IFERROR(__xludf.DUMMYFUNCTION("IF(REGEXMATCH(Z4702, ""Season""), ""TV Show"", ""Movie"")"),"Movie")</f>
        <v>Movie</v>
      </c>
    </row>
    <row r="4703">
      <c r="A4703" s="1" t="s">
        <v>24805</v>
      </c>
      <c r="B4703" s="1" t="s">
        <v>27</v>
      </c>
      <c r="C4703" s="1" t="s">
        <v>24806</v>
      </c>
      <c r="D4703" s="1" t="s">
        <v>19865</v>
      </c>
      <c r="E4703" s="1" t="s">
        <v>24807</v>
      </c>
      <c r="F4703" s="1" t="s">
        <v>4497</v>
      </c>
      <c r="G4703" s="1" t="s">
        <v>24808</v>
      </c>
      <c r="H4703" s="1">
        <v>2015.0</v>
      </c>
      <c r="I4703" s="1" t="s">
        <v>42</v>
      </c>
      <c r="J4703" s="1" t="s">
        <v>305</v>
      </c>
      <c r="K4703" s="1" t="s">
        <v>836</v>
      </c>
      <c r="L4703" s="1" t="s">
        <v>24809</v>
      </c>
      <c r="M4703" s="2" t="s">
        <v>12</v>
      </c>
      <c r="N4703" s="4">
        <f t="shared" si="1"/>
        <v>43327</v>
      </c>
      <c r="O4703" s="5" t="str">
        <f>IFERROR(__xludf.DUMMYFUNCTION("IF(REGEXMATCH(TRIM(I4703), ""^\d+\s*min""), ""Unclassified"", IF(I4703 = """", ""NR"", I4703))"),"TV-MA")</f>
        <v>TV-MA</v>
      </c>
      <c r="R4703" s="5" t="str">
        <f t="shared" si="2"/>
        <v>For Here Or To Go?</v>
      </c>
      <c r="S4703" s="5" t="str">
        <f>IFERROR(__xludf.DUMMYFUNCTION("""COMPUTED_VALUE"""),"Monsoon")</f>
        <v>Monsoon</v>
      </c>
      <c r="V4703" s="5"/>
      <c r="Y4703" s="5" t="str">
        <f>IFERROR(__xludf.DUMMYFUNCTION("REGEXEXTRACT(J4703, ""^\d+"")"),"105")</f>
        <v>105</v>
      </c>
      <c r="Z4703" s="5" t="str">
        <f>IFERROR(__xludf.DUMMYFUNCTION("REGEXEXTRACT(J4703, ""[A-Za-z ]+$"")")," min")</f>
        <v> min</v>
      </c>
      <c r="AA4703" s="5" t="str">
        <f>IFERROR(__xludf.DUMMYFUNCTION("IF(REGEXMATCH(Z4703, ""Season""), ""TV Show"", ""Movie"")"),"Movie")</f>
        <v>Movie</v>
      </c>
    </row>
    <row r="4704">
      <c r="A4704" s="1" t="s">
        <v>24810</v>
      </c>
      <c r="B4704" s="1" t="s">
        <v>37</v>
      </c>
      <c r="C4704" s="1" t="s">
        <v>24811</v>
      </c>
      <c r="E4704" s="1" t="s">
        <v>24812</v>
      </c>
      <c r="F4704" s="1" t="s">
        <v>221</v>
      </c>
      <c r="G4704" s="1" t="s">
        <v>24813</v>
      </c>
      <c r="H4704" s="1">
        <v>2018.0</v>
      </c>
      <c r="I4704" s="1" t="s">
        <v>97</v>
      </c>
      <c r="J4704" s="1" t="s">
        <v>51</v>
      </c>
      <c r="K4704" s="1" t="s">
        <v>3350</v>
      </c>
      <c r="L4704" s="1" t="s">
        <v>24814</v>
      </c>
      <c r="M4704" s="2" t="s">
        <v>12</v>
      </c>
      <c r="N4704" s="4">
        <f t="shared" si="1"/>
        <v>43322</v>
      </c>
      <c r="O4704" s="5" t="str">
        <f>IFERROR(__xludf.DUMMYFUNCTION("IF(REGEXMATCH(TRIM(I4704), ""^\d+\s*min""), ""Unclassified"", IF(I4704 = """", ""NR"", I4704))"),"TV-14")</f>
        <v>TV-14</v>
      </c>
      <c r="R4704" s="5" t="str">
        <f t="shared" si="2"/>
        <v>72 Dangerous Animals: Asia</v>
      </c>
      <c r="S4704" s="5" t="str">
        <f>IFERROR(__xludf.DUMMYFUNCTION("""COMPUTED_VALUE"""),"Monster")</f>
        <v>Monster</v>
      </c>
      <c r="V4704" s="5"/>
      <c r="Y4704" s="5" t="str">
        <f>IFERROR(__xludf.DUMMYFUNCTION("REGEXEXTRACT(J4704, ""^\d+"")"),"1")</f>
        <v>1</v>
      </c>
      <c r="Z4704" s="5" t="str">
        <f>IFERROR(__xludf.DUMMYFUNCTION("REGEXEXTRACT(J4704, ""[A-Za-z ]+$"")")," Season")</f>
        <v> Season</v>
      </c>
      <c r="AA4704" s="5" t="str">
        <f>IFERROR(__xludf.DUMMYFUNCTION("IF(REGEXMATCH(Z4704, ""Season""), ""TV Show"", ""Movie"")"),"TV Show")</f>
        <v>TV Show</v>
      </c>
    </row>
    <row r="4705">
      <c r="A4705" s="1" t="s">
        <v>24815</v>
      </c>
      <c r="B4705" s="1" t="s">
        <v>37</v>
      </c>
      <c r="C4705" s="1" t="s">
        <v>24816</v>
      </c>
      <c r="F4705" s="1" t="s">
        <v>30</v>
      </c>
      <c r="G4705" s="1" t="s">
        <v>24813</v>
      </c>
      <c r="H4705" s="1">
        <v>2018.0</v>
      </c>
      <c r="I4705" s="1" t="s">
        <v>42</v>
      </c>
      <c r="J4705" s="1" t="s">
        <v>51</v>
      </c>
      <c r="K4705" s="1" t="s">
        <v>7683</v>
      </c>
      <c r="L4705" s="1" t="s">
        <v>24817</v>
      </c>
      <c r="M4705" s="2" t="s">
        <v>12</v>
      </c>
      <c r="N4705" s="4">
        <f t="shared" si="1"/>
        <v>43322</v>
      </c>
      <c r="O4705" s="5" t="str">
        <f>IFERROR(__xludf.DUMMYFUNCTION("IF(REGEXMATCH(TRIM(I4705), ""^\d+\s*min""), ""Unclassified"", IF(I4705 = """", ""NR"", I4705))"),"TV-MA")</f>
        <v>TV-MA</v>
      </c>
      <c r="R4705" s="5" t="str">
        <f t="shared" si="2"/>
        <v>Afflicted</v>
      </c>
      <c r="S4705" s="5" t="str">
        <f>IFERROR(__xludf.DUMMYFUNCTION("""COMPUTED_VALUE"""),"Monster Family")</f>
        <v>Monster Family</v>
      </c>
      <c r="V4705" s="5"/>
      <c r="Y4705" s="5" t="str">
        <f>IFERROR(__xludf.DUMMYFUNCTION("REGEXEXTRACT(J4705, ""^\d+"")"),"1")</f>
        <v>1</v>
      </c>
      <c r="Z4705" s="5" t="str">
        <f>IFERROR(__xludf.DUMMYFUNCTION("REGEXEXTRACT(J4705, ""[A-Za-z ]+$"")")," Season")</f>
        <v> Season</v>
      </c>
      <c r="AA4705" s="5" t="str">
        <f>IFERROR(__xludf.DUMMYFUNCTION("IF(REGEXMATCH(Z4705, ""Season""), ""TV Show"", ""Movie"")"),"TV Show")</f>
        <v>TV Show</v>
      </c>
    </row>
    <row r="4706">
      <c r="A4706" s="1" t="s">
        <v>24818</v>
      </c>
      <c r="B4706" s="1" t="s">
        <v>37</v>
      </c>
      <c r="C4706" s="1" t="s">
        <v>24819</v>
      </c>
      <c r="E4706" s="1" t="s">
        <v>24820</v>
      </c>
      <c r="F4706" s="1" t="s">
        <v>30</v>
      </c>
      <c r="G4706" s="1" t="s">
        <v>24813</v>
      </c>
      <c r="H4706" s="1">
        <v>2018.0</v>
      </c>
      <c r="I4706" s="1" t="s">
        <v>136</v>
      </c>
      <c r="J4706" s="1" t="s">
        <v>51</v>
      </c>
      <c r="K4706" s="1" t="s">
        <v>270</v>
      </c>
      <c r="L4706" s="1" t="s">
        <v>24821</v>
      </c>
      <c r="M4706" s="2" t="s">
        <v>12</v>
      </c>
      <c r="N4706" s="4">
        <f t="shared" si="1"/>
        <v>43322</v>
      </c>
      <c r="O4706" s="5" t="str">
        <f>IFERROR(__xludf.DUMMYFUNCTION("IF(REGEXMATCH(TRIM(I4706), ""^\d+\s*min""), ""Unclassified"", IF(I4706 = """", ""NR"", I4706))"),"TV-PG")</f>
        <v>TV-PG</v>
      </c>
      <c r="R4706" s="5" t="str">
        <f t="shared" si="2"/>
        <v>All About The Washingtons</v>
      </c>
      <c r="S4706" s="5" t="str">
        <f>IFERROR(__xludf.DUMMYFUNCTION("""COMPUTED_VALUE"""),"Monster High 13 Wishes")</f>
        <v>Monster High 13 Wishes</v>
      </c>
      <c r="V4706" s="5"/>
      <c r="Y4706" s="5" t="str">
        <f>IFERROR(__xludf.DUMMYFUNCTION("REGEXEXTRACT(J4706, ""^\d+"")"),"1")</f>
        <v>1</v>
      </c>
      <c r="Z4706" s="5" t="str">
        <f>IFERROR(__xludf.DUMMYFUNCTION("REGEXEXTRACT(J4706, ""[A-Za-z ]+$"")")," Season")</f>
        <v> Season</v>
      </c>
      <c r="AA4706" s="5" t="str">
        <f>IFERROR(__xludf.DUMMYFUNCTION("IF(REGEXMATCH(Z4706, ""Season""), ""TV Show"", ""Movie"")"),"TV Show")</f>
        <v>TV Show</v>
      </c>
    </row>
    <row r="4707">
      <c r="A4707" s="1" t="s">
        <v>24822</v>
      </c>
      <c r="B4707" s="1" t="s">
        <v>27</v>
      </c>
      <c r="C4707" s="1" t="s">
        <v>24823</v>
      </c>
      <c r="D4707" s="1" t="s">
        <v>16071</v>
      </c>
      <c r="E4707" s="1" t="s">
        <v>24824</v>
      </c>
      <c r="F4707" s="1" t="s">
        <v>16771</v>
      </c>
      <c r="G4707" s="1" t="s">
        <v>24813</v>
      </c>
      <c r="H4707" s="1">
        <v>2018.0</v>
      </c>
      <c r="I4707" s="1" t="s">
        <v>136</v>
      </c>
      <c r="J4707" s="1" t="s">
        <v>341</v>
      </c>
      <c r="K4707" s="1" t="s">
        <v>828</v>
      </c>
      <c r="L4707" s="1" t="s">
        <v>24825</v>
      </c>
      <c r="M4707" s="2" t="s">
        <v>12</v>
      </c>
      <c r="N4707" s="4">
        <f t="shared" si="1"/>
        <v>43322</v>
      </c>
      <c r="O4707" s="5" t="str">
        <f>IFERROR(__xludf.DUMMYFUNCTION("IF(REGEXMATCH(TRIM(I4707), ""^\d+\s*min""), ""Unclassified"", IF(I4707 = """", ""NR"", I4707))"),"TV-PG")</f>
        <v>TV-PG</v>
      </c>
      <c r="R4707" s="5" t="str">
        <f t="shared" si="2"/>
        <v>The Guernsey Literary And Potato Peel Pie Society</v>
      </c>
      <c r="S4707" s="5" t="str">
        <f>IFERROR(__xludf.DUMMYFUNCTION("""COMPUTED_VALUE"""),"Monster High: Boo York, Boo York")</f>
        <v>Monster High: Boo York, Boo York</v>
      </c>
      <c r="V4707" s="5"/>
      <c r="Y4707" s="5" t="str">
        <f>IFERROR(__xludf.DUMMYFUNCTION("REGEXEXTRACT(J4707, ""^\d+"")"),"124")</f>
        <v>124</v>
      </c>
      <c r="Z4707" s="5" t="str">
        <f>IFERROR(__xludf.DUMMYFUNCTION("REGEXEXTRACT(J4707, ""[A-Za-z ]+$"")")," min")</f>
        <v> min</v>
      </c>
      <c r="AA4707" s="5" t="str">
        <f>IFERROR(__xludf.DUMMYFUNCTION("IF(REGEXMATCH(Z4707, ""Season""), ""TV Show"", ""Movie"")"),"Movie")</f>
        <v>Movie</v>
      </c>
    </row>
    <row r="4708">
      <c r="A4708" s="1" t="s">
        <v>24826</v>
      </c>
      <c r="B4708" s="1" t="s">
        <v>27</v>
      </c>
      <c r="C4708" s="1" t="s">
        <v>24827</v>
      </c>
      <c r="D4708" s="1" t="s">
        <v>9928</v>
      </c>
      <c r="E4708" s="1" t="s">
        <v>24828</v>
      </c>
      <c r="F4708" s="1" t="s">
        <v>30</v>
      </c>
      <c r="G4708" s="1" t="s">
        <v>24813</v>
      </c>
      <c r="H4708" s="1">
        <v>2018.0</v>
      </c>
      <c r="I4708" s="1" t="s">
        <v>42</v>
      </c>
      <c r="J4708" s="1" t="s">
        <v>465</v>
      </c>
      <c r="K4708" s="1" t="s">
        <v>239</v>
      </c>
      <c r="L4708" s="1" t="s">
        <v>24829</v>
      </c>
      <c r="M4708" s="2" t="s">
        <v>12</v>
      </c>
      <c r="N4708" s="4">
        <f t="shared" si="1"/>
        <v>43322</v>
      </c>
      <c r="O4708" s="5" t="str">
        <f>IFERROR(__xludf.DUMMYFUNCTION("IF(REGEXMATCH(TRIM(I4708), ""^\d+\s*min""), ""Unclassified"", IF(I4708 = """", ""NR"", I4708))"),"TV-MA")</f>
        <v>TV-MA</v>
      </c>
      <c r="R4708" s="5" t="str">
        <f t="shared" si="2"/>
        <v>The Package</v>
      </c>
      <c r="S4708" s="5" t="str">
        <f>IFERROR(__xludf.DUMMYFUNCTION("""COMPUTED_VALUE"""),"Monster High: Electrified")</f>
        <v>Monster High: Electrified</v>
      </c>
      <c r="V4708" s="5"/>
      <c r="Y4708" s="5" t="str">
        <f>IFERROR(__xludf.DUMMYFUNCTION("REGEXEXTRACT(J4708, ""^\d+"")"),"95")</f>
        <v>95</v>
      </c>
      <c r="Z4708" s="5" t="str">
        <f>IFERROR(__xludf.DUMMYFUNCTION("REGEXEXTRACT(J4708, ""[A-Za-z ]+$"")")," min")</f>
        <v> min</v>
      </c>
      <c r="AA4708" s="5" t="str">
        <f>IFERROR(__xludf.DUMMYFUNCTION("IF(REGEXMATCH(Z4708, ""Season""), ""TV Show"", ""Movie"")"),"Movie")</f>
        <v>Movie</v>
      </c>
    </row>
    <row r="4709">
      <c r="A4709" s="1" t="s">
        <v>24830</v>
      </c>
      <c r="B4709" s="1" t="s">
        <v>27</v>
      </c>
      <c r="C4709" s="1" t="s">
        <v>24831</v>
      </c>
      <c r="D4709" s="1" t="s">
        <v>1912</v>
      </c>
      <c r="E4709" s="1" t="s">
        <v>24832</v>
      </c>
      <c r="F4709" s="1" t="s">
        <v>30</v>
      </c>
      <c r="G4709" s="1" t="s">
        <v>24813</v>
      </c>
      <c r="H4709" s="1">
        <v>2018.0</v>
      </c>
      <c r="I4709" s="1" t="s">
        <v>136</v>
      </c>
      <c r="J4709" s="1" t="s">
        <v>4270</v>
      </c>
      <c r="K4709" s="1" t="s">
        <v>645</v>
      </c>
      <c r="L4709" s="1" t="s">
        <v>24833</v>
      </c>
      <c r="M4709" s="2" t="s">
        <v>12</v>
      </c>
      <c r="N4709" s="4">
        <f t="shared" si="1"/>
        <v>43322</v>
      </c>
      <c r="O4709" s="5" t="str">
        <f>IFERROR(__xludf.DUMMYFUNCTION("IF(REGEXMATCH(TRIM(I4709), ""^\d+\s*min""), ""Unclassified"", IF(I4709 = """", ""NR"", I4709))"),"TV-PG")</f>
        <v>TV-PG</v>
      </c>
      <c r="R4709" s="5" t="str">
        <f t="shared" si="2"/>
        <v>Zion</v>
      </c>
      <c r="S4709" s="5" t="str">
        <f>IFERROR(__xludf.DUMMYFUNCTION("""COMPUTED_VALUE"""),"Monster High: Escape From Skull Shores")</f>
        <v>Monster High: Escape From Skull Shores</v>
      </c>
      <c r="V4709" s="5"/>
      <c r="Y4709" s="5" t="str">
        <f>IFERROR(__xludf.DUMMYFUNCTION("REGEXEXTRACT(J4709, ""^\d+"")"),"12")</f>
        <v>12</v>
      </c>
      <c r="Z4709" s="5" t="str">
        <f>IFERROR(__xludf.DUMMYFUNCTION("REGEXEXTRACT(J4709, ""[A-Za-z ]+$"")")," min")</f>
        <v> min</v>
      </c>
      <c r="AA4709" s="5" t="str">
        <f>IFERROR(__xludf.DUMMYFUNCTION("IF(REGEXMATCH(Z4709, ""Season""), ""TV Show"", ""Movie"")"),"Movie")</f>
        <v>Movie</v>
      </c>
    </row>
    <row r="4710">
      <c r="A4710" s="1" t="s">
        <v>24834</v>
      </c>
      <c r="B4710" s="1" t="s">
        <v>27</v>
      </c>
      <c r="C4710" s="1" t="s">
        <v>24835</v>
      </c>
      <c r="D4710" s="1" t="s">
        <v>1003</v>
      </c>
      <c r="E4710" s="1" t="s">
        <v>24836</v>
      </c>
      <c r="F4710" s="1" t="s">
        <v>2011</v>
      </c>
      <c r="G4710" s="1" t="s">
        <v>24837</v>
      </c>
      <c r="H4710" s="1">
        <v>2018.0</v>
      </c>
      <c r="I4710" s="1" t="s">
        <v>42</v>
      </c>
      <c r="J4710" s="1" t="s">
        <v>106</v>
      </c>
      <c r="K4710" s="1" t="s">
        <v>298</v>
      </c>
      <c r="L4710" s="1" t="s">
        <v>24838</v>
      </c>
      <c r="M4710" s="2" t="s">
        <v>12</v>
      </c>
      <c r="N4710" s="4">
        <f t="shared" si="1"/>
        <v>43321</v>
      </c>
      <c r="O4710" s="5" t="str">
        <f>IFERROR(__xludf.DUMMYFUNCTION("IF(REGEXMATCH(TRIM(I4710), ""^\d+\s*min""), ""Unclassified"", IF(I4710 = """", ""NR"", I4710))"),"TV-MA")</f>
        <v>TV-MA</v>
      </c>
      <c r="R4710" s="5" t="str">
        <f t="shared" si="2"/>
        <v>Perdida</v>
      </c>
      <c r="S4710" s="5" t="str">
        <f>IFERROR(__xludf.DUMMYFUNCTION("""COMPUTED_VALUE"""),"Monster High: Freaky Fusion")</f>
        <v>Monster High: Freaky Fusion</v>
      </c>
      <c r="V4710" s="5"/>
      <c r="Y4710" s="5" t="str">
        <f>IFERROR(__xludf.DUMMYFUNCTION("REGEXEXTRACT(J4710, ""^\d+"")"),"104")</f>
        <v>104</v>
      </c>
      <c r="Z4710" s="5" t="str">
        <f>IFERROR(__xludf.DUMMYFUNCTION("REGEXEXTRACT(J4710, ""[A-Za-z ]+$"")")," min")</f>
        <v> min</v>
      </c>
      <c r="AA4710" s="5" t="str">
        <f>IFERROR(__xludf.DUMMYFUNCTION("IF(REGEXMATCH(Z4710, ""Season""), ""TV Show"", ""Movie"")"),"Movie")</f>
        <v>Movie</v>
      </c>
    </row>
    <row r="4711">
      <c r="A4711" s="1" t="s">
        <v>24839</v>
      </c>
      <c r="B4711" s="1" t="s">
        <v>37</v>
      </c>
      <c r="C4711" s="1" t="s">
        <v>24840</v>
      </c>
      <c r="E4711" s="1" t="s">
        <v>24841</v>
      </c>
      <c r="F4711" s="1" t="s">
        <v>30</v>
      </c>
      <c r="G4711" s="1" t="s">
        <v>24837</v>
      </c>
      <c r="H4711" s="1">
        <v>2018.0</v>
      </c>
      <c r="I4711" s="1" t="s">
        <v>97</v>
      </c>
      <c r="J4711" s="1" t="s">
        <v>189</v>
      </c>
      <c r="K4711" s="1" t="s">
        <v>71</v>
      </c>
      <c r="L4711" s="1" t="s">
        <v>24842</v>
      </c>
      <c r="M4711" s="2" t="s">
        <v>12</v>
      </c>
      <c r="N4711" s="4">
        <f t="shared" si="1"/>
        <v>43321</v>
      </c>
      <c r="O4711" s="5" t="str">
        <f>IFERROR(__xludf.DUMMYFUNCTION("IF(REGEXMATCH(TRIM(I4711), ""^\d+\s*min""), ""Unclassified"", IF(I4711 = """", ""NR"", I4711))"),"TV-14")</f>
        <v>TV-14</v>
      </c>
      <c r="R4711" s="5" t="str">
        <f t="shared" si="2"/>
        <v>The Originals</v>
      </c>
      <c r="S4711" s="5" t="str">
        <f>IFERROR(__xludf.DUMMYFUNCTION("""COMPUTED_VALUE"""),"Monster High: Friday Night Frights")</f>
        <v>Monster High: Friday Night Frights</v>
      </c>
      <c r="V4711" s="5"/>
      <c r="Y4711" s="5" t="str">
        <f>IFERROR(__xludf.DUMMYFUNCTION("REGEXEXTRACT(J4711, ""^\d+"")"),"5")</f>
        <v>5</v>
      </c>
      <c r="Z4711" s="5" t="str">
        <f>IFERROR(__xludf.DUMMYFUNCTION("REGEXEXTRACT(J4711, ""[A-Za-z ]+$"")")," Seasons")</f>
        <v> Seasons</v>
      </c>
      <c r="AA4711" s="5" t="str">
        <f>IFERROR(__xludf.DUMMYFUNCTION("IF(REGEXMATCH(Z4711, ""Season""), ""TV Show"", ""Movie"")"),"TV Show")</f>
        <v>TV Show</v>
      </c>
    </row>
    <row r="4712">
      <c r="A4712" s="1" t="s">
        <v>24843</v>
      </c>
      <c r="B4712" s="1" t="s">
        <v>37</v>
      </c>
      <c r="C4712" s="1" t="s">
        <v>24844</v>
      </c>
      <c r="E4712" s="1" t="s">
        <v>24845</v>
      </c>
      <c r="G4712" s="1" t="s">
        <v>24846</v>
      </c>
      <c r="H4712" s="1">
        <v>2018.0</v>
      </c>
      <c r="I4712" s="1" t="s">
        <v>97</v>
      </c>
      <c r="J4712" s="1" t="s">
        <v>51</v>
      </c>
      <c r="K4712" s="1" t="s">
        <v>1907</v>
      </c>
      <c r="L4712" s="1" t="s">
        <v>24847</v>
      </c>
      <c r="M4712" s="2" t="s">
        <v>12</v>
      </c>
      <c r="N4712" s="4">
        <f t="shared" si="1"/>
        <v>43320</v>
      </c>
      <c r="O4712" s="5" t="str">
        <f>IFERROR(__xludf.DUMMYFUNCTION("IF(REGEXMATCH(TRIM(I4712), ""^\d+\s*min""), ""Unclassified"", IF(I4712 = """", ""NR"", I4712))"),"TV-14")</f>
        <v>TV-14</v>
      </c>
      <c r="R4712" s="5" t="str">
        <f t="shared" si="2"/>
        <v>Pretty Man</v>
      </c>
      <c r="S4712" s="5" t="str">
        <f>IFERROR(__xludf.DUMMYFUNCTION("""COMPUTED_VALUE"""),"Monster High: Fright On!")</f>
        <v>Monster High: Fright On!</v>
      </c>
      <c r="V4712" s="5"/>
      <c r="Y4712" s="5" t="str">
        <f>IFERROR(__xludf.DUMMYFUNCTION("REGEXEXTRACT(J4712, ""^\d+"")"),"1")</f>
        <v>1</v>
      </c>
      <c r="Z4712" s="5" t="str">
        <f>IFERROR(__xludf.DUMMYFUNCTION("REGEXEXTRACT(J4712, ""[A-Za-z ]+$"")")," Season")</f>
        <v> Season</v>
      </c>
      <c r="AA4712" s="5" t="str">
        <f>IFERROR(__xludf.DUMMYFUNCTION("IF(REGEXMATCH(Z4712, ""Season""), ""TV Show"", ""Movie"")"),"TV Show")</f>
        <v>TV Show</v>
      </c>
    </row>
    <row r="4713">
      <c r="A4713" s="1" t="s">
        <v>24848</v>
      </c>
      <c r="B4713" s="1" t="s">
        <v>37</v>
      </c>
      <c r="C4713" s="1" t="s">
        <v>24849</v>
      </c>
      <c r="E4713" s="1" t="s">
        <v>24850</v>
      </c>
      <c r="F4713" s="1" t="s">
        <v>2059</v>
      </c>
      <c r="G4713" s="1" t="s">
        <v>24851</v>
      </c>
      <c r="H4713" s="1">
        <v>2018.0</v>
      </c>
      <c r="I4713" s="1" t="s">
        <v>97</v>
      </c>
      <c r="J4713" s="1" t="s">
        <v>51</v>
      </c>
      <c r="K4713" s="1" t="s">
        <v>44</v>
      </c>
      <c r="L4713" s="1" t="s">
        <v>24852</v>
      </c>
      <c r="M4713" s="2" t="s">
        <v>12</v>
      </c>
      <c r="N4713" s="4">
        <f t="shared" si="1"/>
        <v>43317</v>
      </c>
      <c r="O4713" s="5" t="str">
        <f>IFERROR(__xludf.DUMMYFUNCTION("IF(REGEXMATCH(TRIM(I4713), ""^\d+\s*min""), ""Unclassified"", IF(I4713 = """", ""NR"", I4713))"),"TV-14")</f>
        <v>TV-14</v>
      </c>
      <c r="R4713" s="5" t="str">
        <f t="shared" si="2"/>
        <v>On Children</v>
      </c>
      <c r="S4713" s="5" t="str">
        <f>IFERROR(__xludf.DUMMYFUNCTION("""COMPUTED_VALUE"""),"Monster High: Frights, Camera, Action!")</f>
        <v>Monster High: Frights, Camera, Action!</v>
      </c>
      <c r="V4713" s="5"/>
      <c r="Y4713" s="5" t="str">
        <f>IFERROR(__xludf.DUMMYFUNCTION("REGEXEXTRACT(J4713, ""^\d+"")"),"1")</f>
        <v>1</v>
      </c>
      <c r="Z4713" s="5" t="str">
        <f>IFERROR(__xludf.DUMMYFUNCTION("REGEXEXTRACT(J4713, ""[A-Za-z ]+$"")")," Season")</f>
        <v> Season</v>
      </c>
      <c r="AA4713" s="5" t="str">
        <f>IFERROR(__xludf.DUMMYFUNCTION("IF(REGEXMATCH(Z4713, ""Season""), ""TV Show"", ""Movie"")"),"TV Show")</f>
        <v>TV Show</v>
      </c>
    </row>
    <row r="4714">
      <c r="A4714" s="1" t="s">
        <v>24853</v>
      </c>
      <c r="B4714" s="1" t="s">
        <v>27</v>
      </c>
      <c r="C4714" s="1" t="s">
        <v>24854</v>
      </c>
      <c r="D4714" s="1" t="s">
        <v>292</v>
      </c>
      <c r="E4714" s="1" t="s">
        <v>24855</v>
      </c>
      <c r="F4714" s="1" t="s">
        <v>63</v>
      </c>
      <c r="G4714" s="1" t="s">
        <v>24856</v>
      </c>
      <c r="H4714" s="1">
        <v>2014.0</v>
      </c>
      <c r="I4714" s="1" t="s">
        <v>136</v>
      </c>
      <c r="J4714" s="1" t="s">
        <v>820</v>
      </c>
      <c r="K4714" s="1" t="s">
        <v>583</v>
      </c>
      <c r="L4714" s="1" t="s">
        <v>24857</v>
      </c>
      <c r="M4714" s="2" t="s">
        <v>12</v>
      </c>
      <c r="N4714" s="4">
        <f t="shared" si="1"/>
        <v>43316</v>
      </c>
      <c r="O4714" s="5" t="str">
        <f>IFERROR(__xludf.DUMMYFUNCTION("IF(REGEXMATCH(TRIM(I4714), ""^\d+\s*min""), ""Unclassified"", IF(I4714 = """", ""NR"", I4714))"),"TV-PG")</f>
        <v>TV-PG</v>
      </c>
      <c r="R4714" s="5" t="str">
        <f t="shared" si="2"/>
        <v>2 States</v>
      </c>
      <c r="S4714" s="5" t="str">
        <f>IFERROR(__xludf.DUMMYFUNCTION("""COMPUTED_VALUE"""),"Monster High: Ghouls Rule")</f>
        <v>Monster High: Ghouls Rule</v>
      </c>
      <c r="V4714" s="5"/>
      <c r="Y4714" s="5" t="str">
        <f>IFERROR(__xludf.DUMMYFUNCTION("REGEXEXTRACT(J4714, ""^\d+"")"),"143")</f>
        <v>143</v>
      </c>
      <c r="Z4714" s="5" t="str">
        <f>IFERROR(__xludf.DUMMYFUNCTION("REGEXEXTRACT(J4714, ""[A-Za-z ]+$"")")," min")</f>
        <v> min</v>
      </c>
      <c r="AA4714" s="5" t="str">
        <f>IFERROR(__xludf.DUMMYFUNCTION("IF(REGEXMATCH(Z4714, ""Season""), ""TV Show"", ""Movie"")"),"Movie")</f>
        <v>Movie</v>
      </c>
    </row>
    <row r="4715">
      <c r="A4715" s="1" t="s">
        <v>24858</v>
      </c>
      <c r="B4715" s="1" t="s">
        <v>27</v>
      </c>
      <c r="C4715" s="1" t="s">
        <v>24859</v>
      </c>
      <c r="D4715" s="1" t="s">
        <v>20013</v>
      </c>
      <c r="E4715" s="1" t="s">
        <v>24860</v>
      </c>
      <c r="F4715" s="1" t="s">
        <v>63</v>
      </c>
      <c r="G4715" s="1" t="s">
        <v>24856</v>
      </c>
      <c r="H4715" s="1">
        <v>2016.0</v>
      </c>
      <c r="I4715" s="1" t="s">
        <v>97</v>
      </c>
      <c r="J4715" s="1" t="s">
        <v>127</v>
      </c>
      <c r="K4715" s="1" t="s">
        <v>1066</v>
      </c>
      <c r="L4715" s="1" t="s">
        <v>24861</v>
      </c>
      <c r="M4715" s="2" t="s">
        <v>12</v>
      </c>
      <c r="N4715" s="4">
        <f t="shared" si="1"/>
        <v>43316</v>
      </c>
      <c r="O4715" s="5" t="str">
        <f>IFERROR(__xludf.DUMMYFUNCTION("IF(REGEXMATCH(TRIM(I4715), ""^\d+\s*min""), ""Unclassified"", IF(I4715 = """", ""NR"", I4715))"),"TV-14")</f>
        <v>TV-14</v>
      </c>
      <c r="R4715" s="5" t="str">
        <f t="shared" si="2"/>
        <v>Baaghi</v>
      </c>
      <c r="S4715" s="5" t="str">
        <f>IFERROR(__xludf.DUMMYFUNCTION("""COMPUTED_VALUE"""),"Monster High: Great Scarrier Reef")</f>
        <v>Monster High: Great Scarrier Reef</v>
      </c>
      <c r="V4715" s="5"/>
      <c r="Y4715" s="5" t="str">
        <f>IFERROR(__xludf.DUMMYFUNCTION("REGEXEXTRACT(J4715, ""^\d+"")"),"127")</f>
        <v>127</v>
      </c>
      <c r="Z4715" s="5" t="str">
        <f>IFERROR(__xludf.DUMMYFUNCTION("REGEXEXTRACT(J4715, ""[A-Za-z ]+$"")")," min")</f>
        <v> min</v>
      </c>
      <c r="AA4715" s="5" t="str">
        <f>IFERROR(__xludf.DUMMYFUNCTION("IF(REGEXMATCH(Z4715, ""Season""), ""TV Show"", ""Movie"")"),"Movie")</f>
        <v>Movie</v>
      </c>
    </row>
    <row r="4716">
      <c r="A4716" s="1" t="s">
        <v>24862</v>
      </c>
      <c r="B4716" s="1" t="s">
        <v>27</v>
      </c>
      <c r="C4716" s="1" t="s">
        <v>24863</v>
      </c>
      <c r="D4716" s="1" t="s">
        <v>16908</v>
      </c>
      <c r="E4716" s="1" t="s">
        <v>24864</v>
      </c>
      <c r="F4716" s="1" t="s">
        <v>63</v>
      </c>
      <c r="G4716" s="1" t="s">
        <v>24856</v>
      </c>
      <c r="H4716" s="1">
        <v>2018.0</v>
      </c>
      <c r="I4716" s="1" t="s">
        <v>42</v>
      </c>
      <c r="J4716" s="1" t="s">
        <v>433</v>
      </c>
      <c r="K4716" s="1" t="s">
        <v>583</v>
      </c>
      <c r="L4716" s="1" t="s">
        <v>24865</v>
      </c>
      <c r="M4716" s="2" t="s">
        <v>12</v>
      </c>
      <c r="N4716" s="4">
        <f t="shared" si="1"/>
        <v>43316</v>
      </c>
      <c r="O4716" s="5" t="str">
        <f>IFERROR(__xludf.DUMMYFUNCTION("IF(REGEXMATCH(TRIM(I4716), ""^\d+\s*min""), ""Unclassified"", IF(I4716 = """", ""NR"", I4716))"),"TV-MA")</f>
        <v>TV-MA</v>
      </c>
      <c r="R4716" s="5" t="str">
        <f t="shared" si="2"/>
        <v>Brij Mohan Amar Rahe</v>
      </c>
      <c r="S4716" s="5" t="str">
        <f>IFERROR(__xludf.DUMMYFUNCTION("""COMPUTED_VALUE"""),"Monster High: Haunted")</f>
        <v>Monster High: Haunted</v>
      </c>
      <c r="V4716" s="5"/>
      <c r="Y4716" s="5" t="str">
        <f>IFERROR(__xludf.DUMMYFUNCTION("REGEXEXTRACT(J4716, ""^\d+"")"),"100")</f>
        <v>100</v>
      </c>
      <c r="Z4716" s="5" t="str">
        <f>IFERROR(__xludf.DUMMYFUNCTION("REGEXEXTRACT(J4716, ""[A-Za-z ]+$"")")," min")</f>
        <v> min</v>
      </c>
      <c r="AA4716" s="5" t="str">
        <f>IFERROR(__xludf.DUMMYFUNCTION("IF(REGEXMATCH(Z4716, ""Season""), ""TV Show"", ""Movie"")"),"Movie")</f>
        <v>Movie</v>
      </c>
    </row>
    <row r="4717">
      <c r="A4717" s="1" t="s">
        <v>24866</v>
      </c>
      <c r="B4717" s="1" t="s">
        <v>27</v>
      </c>
      <c r="C4717" s="1" t="s">
        <v>24867</v>
      </c>
      <c r="D4717" s="1" t="s">
        <v>23743</v>
      </c>
      <c r="E4717" s="1" t="s">
        <v>24868</v>
      </c>
      <c r="F4717" s="1" t="s">
        <v>24869</v>
      </c>
      <c r="G4717" s="1" t="s">
        <v>24856</v>
      </c>
      <c r="H4717" s="1">
        <v>2018.0</v>
      </c>
      <c r="I4717" s="1" t="s">
        <v>136</v>
      </c>
      <c r="J4717" s="1" t="s">
        <v>2699</v>
      </c>
      <c r="K4717" s="1" t="s">
        <v>18102</v>
      </c>
      <c r="L4717" s="1" t="s">
        <v>24870</v>
      </c>
      <c r="M4717" s="2" t="s">
        <v>12</v>
      </c>
      <c r="N4717" s="4">
        <f t="shared" si="1"/>
        <v>43316</v>
      </c>
      <c r="O4717" s="5" t="str">
        <f>IFERROR(__xludf.DUMMYFUNCTION("IF(REGEXMATCH(TRIM(I4717), ""^\d+\s*min""), ""Unclassified"", IF(I4717 = """", ""NR"", I4717))"),"TV-PG")</f>
        <v>TV-PG</v>
      </c>
      <c r="R4717" s="5" t="str">
        <f t="shared" si="2"/>
        <v>Flavors Of Youth: International Version</v>
      </c>
      <c r="S4717" s="5" t="str">
        <f>IFERROR(__xludf.DUMMYFUNCTION("""COMPUTED_VALUE"""),"Monster High: New Ghoul At School")</f>
        <v>Monster High: New Ghoul At School</v>
      </c>
      <c r="V4717" s="5"/>
      <c r="Y4717" s="5" t="str">
        <f>IFERROR(__xludf.DUMMYFUNCTION("REGEXEXTRACT(J4717, ""^\d+"")"),"74")</f>
        <v>74</v>
      </c>
      <c r="Z4717" s="5" t="str">
        <f>IFERROR(__xludf.DUMMYFUNCTION("REGEXEXTRACT(J4717, ""[A-Za-z ]+$"")")," min")</f>
        <v> min</v>
      </c>
      <c r="AA4717" s="5" t="str">
        <f>IFERROR(__xludf.DUMMYFUNCTION("IF(REGEXMATCH(Z4717, ""Season""), ""TV Show"", ""Movie"")"),"Movie")</f>
        <v>Movie</v>
      </c>
    </row>
    <row r="4718">
      <c r="A4718" s="1" t="s">
        <v>24871</v>
      </c>
      <c r="B4718" s="1" t="s">
        <v>37</v>
      </c>
      <c r="C4718" s="1" t="s">
        <v>24872</v>
      </c>
      <c r="E4718" s="1" t="s">
        <v>24873</v>
      </c>
      <c r="F4718" s="1" t="s">
        <v>784</v>
      </c>
      <c r="G4718" s="1" t="s">
        <v>24874</v>
      </c>
      <c r="H4718" s="1">
        <v>2018.0</v>
      </c>
      <c r="I4718" s="1" t="s">
        <v>42</v>
      </c>
      <c r="J4718" s="1" t="s">
        <v>51</v>
      </c>
      <c r="K4718" s="1" t="s">
        <v>785</v>
      </c>
      <c r="L4718" s="1" t="s">
        <v>24875</v>
      </c>
      <c r="M4718" s="2" t="s">
        <v>12</v>
      </c>
      <c r="N4718" s="4">
        <f t="shared" si="1"/>
        <v>43315</v>
      </c>
      <c r="O4718" s="5" t="str">
        <f>IFERROR(__xludf.DUMMYFUNCTION("IF(REGEXMATCH(TRIM(I4718), ""^\d+\s*min""), ""Unclassified"", IF(I4718 = """", ""NR"", I4718))"),"TV-MA")</f>
        <v>TV-MA</v>
      </c>
      <c r="R4718" s="5" t="str">
        <f t="shared" si="2"/>
        <v>Cocaine Coast</v>
      </c>
      <c r="S4718" s="5" t="str">
        <f>IFERROR(__xludf.DUMMYFUNCTION("""COMPUTED_VALUE"""),"Monster High: Scaris, City Of Frights")</f>
        <v>Monster High: Scaris, City Of Frights</v>
      </c>
      <c r="V4718" s="5"/>
      <c r="Y4718" s="5" t="str">
        <f>IFERROR(__xludf.DUMMYFUNCTION("REGEXEXTRACT(J4718, ""^\d+"")"),"1")</f>
        <v>1</v>
      </c>
      <c r="Z4718" s="5" t="str">
        <f>IFERROR(__xludf.DUMMYFUNCTION("REGEXEXTRACT(J4718, ""[A-Za-z ]+$"")")," Season")</f>
        <v> Season</v>
      </c>
      <c r="AA4718" s="5" t="str">
        <f>IFERROR(__xludf.DUMMYFUNCTION("IF(REGEXMATCH(Z4718, ""Season""), ""TV Show"", ""Movie"")"),"TV Show")</f>
        <v>TV Show</v>
      </c>
    </row>
    <row r="4719">
      <c r="A4719" s="1" t="s">
        <v>24876</v>
      </c>
      <c r="B4719" s="1" t="s">
        <v>37</v>
      </c>
      <c r="C4719" s="1" t="s">
        <v>24877</v>
      </c>
      <c r="E4719" s="1" t="s">
        <v>24878</v>
      </c>
      <c r="G4719" s="1" t="s">
        <v>24874</v>
      </c>
      <c r="H4719" s="1">
        <v>2018.0</v>
      </c>
      <c r="I4719" s="1" t="s">
        <v>289</v>
      </c>
      <c r="J4719" s="1" t="s">
        <v>276</v>
      </c>
      <c r="K4719" s="1" t="s">
        <v>290</v>
      </c>
      <c r="L4719" s="1" t="s">
        <v>24879</v>
      </c>
      <c r="M4719" s="2" t="s">
        <v>12</v>
      </c>
      <c r="N4719" s="4">
        <f t="shared" si="1"/>
        <v>43315</v>
      </c>
      <c r="O4719" s="5" t="str">
        <f>IFERROR(__xludf.DUMMYFUNCTION("IF(REGEXMATCH(TRIM(I4719), ""^\d+\s*min""), ""Unclassified"", IF(I4719 = """", ""NR"", I4719))"),"TV-Y7")</f>
        <v>TV-Y7</v>
      </c>
      <c r="R4719" s="5" t="str">
        <f t="shared" si="2"/>
        <v>Dinotrux Supercharged</v>
      </c>
      <c r="S4719" s="5" t="str">
        <f>IFERROR(__xludf.DUMMYFUNCTION("""COMPUTED_VALUE"""),"Monster High: Why Do Ghouls Fall In Love?")</f>
        <v>Monster High: Why Do Ghouls Fall In Love?</v>
      </c>
      <c r="V4719" s="5"/>
      <c r="Y4719" s="5" t="str">
        <f>IFERROR(__xludf.DUMMYFUNCTION("REGEXEXTRACT(J4719, ""^\d+"")"),"3")</f>
        <v>3</v>
      </c>
      <c r="Z4719" s="5" t="str">
        <f>IFERROR(__xludf.DUMMYFUNCTION("REGEXEXTRACT(J4719, ""[A-Za-z ]+$"")")," Seasons")</f>
        <v> Seasons</v>
      </c>
      <c r="AA4719" s="5" t="str">
        <f>IFERROR(__xludf.DUMMYFUNCTION("IF(REGEXMATCH(Z4719, ""Season""), ""TV Show"", ""Movie"")"),"TV Show")</f>
        <v>TV Show</v>
      </c>
    </row>
    <row r="4720">
      <c r="A4720" s="1" t="s">
        <v>24880</v>
      </c>
      <c r="B4720" s="1" t="s">
        <v>27</v>
      </c>
      <c r="C4720" s="1" t="s">
        <v>24881</v>
      </c>
      <c r="D4720" s="1" t="s">
        <v>13448</v>
      </c>
      <c r="E4720" s="1" t="s">
        <v>24882</v>
      </c>
      <c r="F4720" s="1" t="s">
        <v>30</v>
      </c>
      <c r="G4720" s="1" t="s">
        <v>24874</v>
      </c>
      <c r="H4720" s="1">
        <v>2018.0</v>
      </c>
      <c r="I4720" s="1" t="s">
        <v>42</v>
      </c>
      <c r="J4720" s="1" t="s">
        <v>106</v>
      </c>
      <c r="K4720" s="1" t="s">
        <v>107</v>
      </c>
      <c r="L4720" s="1" t="s">
        <v>24883</v>
      </c>
      <c r="M4720" s="2" t="s">
        <v>12</v>
      </c>
      <c r="N4720" s="4">
        <f t="shared" si="1"/>
        <v>43315</v>
      </c>
      <c r="O4720" s="5" t="str">
        <f>IFERROR(__xludf.DUMMYFUNCTION("IF(REGEXMATCH(TRIM(I4720), ""^\d+\s*min""), ""Unclassified"", IF(I4720 = """", ""NR"", I4720))"),"TV-MA")</f>
        <v>TV-MA</v>
      </c>
      <c r="R4720" s="5" t="str">
        <f t="shared" si="2"/>
        <v>Like Father</v>
      </c>
      <c r="S4720" s="5" t="str">
        <f>IFERROR(__xludf.DUMMYFUNCTION("""COMPUTED_VALUE"""),"Monster House")</f>
        <v>Monster House</v>
      </c>
      <c r="V4720" s="5"/>
      <c r="Y4720" s="5" t="str">
        <f>IFERROR(__xludf.DUMMYFUNCTION("REGEXEXTRACT(J4720, ""^\d+"")"),"104")</f>
        <v>104</v>
      </c>
      <c r="Z4720" s="5" t="str">
        <f>IFERROR(__xludf.DUMMYFUNCTION("REGEXEXTRACT(J4720, ""[A-Za-z ]+$"")")," min")</f>
        <v> min</v>
      </c>
      <c r="AA4720" s="5" t="str">
        <f>IFERROR(__xludf.DUMMYFUNCTION("IF(REGEXMATCH(Z4720, ""Season""), ""TV Show"", ""Movie"")"),"Movie")</f>
        <v>Movie</v>
      </c>
    </row>
    <row r="4721">
      <c r="A4721" s="1" t="s">
        <v>24884</v>
      </c>
      <c r="B4721" s="1" t="s">
        <v>27</v>
      </c>
      <c r="C4721" s="1" t="s">
        <v>24885</v>
      </c>
      <c r="D4721" s="1" t="s">
        <v>23395</v>
      </c>
      <c r="E4721" s="1" t="s">
        <v>24886</v>
      </c>
      <c r="F4721" s="1" t="s">
        <v>63</v>
      </c>
      <c r="G4721" s="1" t="s">
        <v>24887</v>
      </c>
      <c r="H4721" s="1">
        <v>2011.0</v>
      </c>
      <c r="I4721" s="1" t="s">
        <v>42</v>
      </c>
      <c r="J4721" s="1" t="s">
        <v>2216</v>
      </c>
      <c r="K4721" s="1" t="s">
        <v>298</v>
      </c>
      <c r="L4721" s="1" t="s">
        <v>24888</v>
      </c>
      <c r="M4721" s="2" t="s">
        <v>12</v>
      </c>
      <c r="N4721" s="4">
        <f t="shared" si="1"/>
        <v>43314</v>
      </c>
      <c r="O4721" s="5" t="str">
        <f>IFERROR(__xludf.DUMMYFUNCTION("IF(REGEXMATCH(TRIM(I4721), ""^\d+\s*min""), ""Unclassified"", IF(I4721 = """", ""NR"", I4721))"),"TV-MA")</f>
        <v>TV-MA</v>
      </c>
      <c r="R4721" s="5" t="str">
        <f t="shared" si="2"/>
        <v>7 Khoon Maaf</v>
      </c>
      <c r="S4721" s="5" t="str">
        <f>IFERROR(__xludf.DUMMYFUNCTION("""COMPUTED_VALUE"""),"Monster Hunter: Legends Of The Guild")</f>
        <v>Monster Hunter: Legends Of The Guild</v>
      </c>
      <c r="V4721" s="5"/>
      <c r="Y4721" s="5" t="str">
        <f>IFERROR(__xludf.DUMMYFUNCTION("REGEXEXTRACT(J4721, ""^\d+"")"),"148")</f>
        <v>148</v>
      </c>
      <c r="Z4721" s="5" t="str">
        <f>IFERROR(__xludf.DUMMYFUNCTION("REGEXEXTRACT(J4721, ""[A-Za-z ]+$"")")," min")</f>
        <v> min</v>
      </c>
      <c r="AA4721" s="5" t="str">
        <f>IFERROR(__xludf.DUMMYFUNCTION("IF(REGEXMATCH(Z4721, ""Season""), ""TV Show"", ""Movie"")"),"Movie")</f>
        <v>Movie</v>
      </c>
    </row>
    <row r="4722">
      <c r="A4722" s="1" t="s">
        <v>24889</v>
      </c>
      <c r="B4722" s="1" t="s">
        <v>27</v>
      </c>
      <c r="C4722" s="1" t="s">
        <v>24890</v>
      </c>
      <c r="D4722" s="1" t="s">
        <v>23289</v>
      </c>
      <c r="E4722" s="1" t="s">
        <v>24891</v>
      </c>
      <c r="F4722" s="1" t="s">
        <v>63</v>
      </c>
      <c r="G4722" s="1" t="s">
        <v>24887</v>
      </c>
      <c r="H4722" s="1">
        <v>2011.0</v>
      </c>
      <c r="I4722" s="1" t="s">
        <v>136</v>
      </c>
      <c r="J4722" s="1" t="s">
        <v>127</v>
      </c>
      <c r="K4722" s="1" t="s">
        <v>2242</v>
      </c>
      <c r="L4722" s="1" t="s">
        <v>24892</v>
      </c>
      <c r="M4722" s="2" t="s">
        <v>12</v>
      </c>
      <c r="N4722" s="4">
        <f t="shared" si="1"/>
        <v>43314</v>
      </c>
      <c r="O4722" s="5" t="str">
        <f>IFERROR(__xludf.DUMMYFUNCTION("IF(REGEXMATCH(TRIM(I4722), ""^\d+\s*min""), ""Unclassified"", IF(I4722 = """", ""NR"", I4722))"),"TV-PG")</f>
        <v>TV-PG</v>
      </c>
      <c r="R4722" s="5" t="str">
        <f t="shared" si="2"/>
        <v>Chillar Party</v>
      </c>
      <c r="S4722" s="5" t="str">
        <f>IFERROR(__xludf.DUMMYFUNCTION("""COMPUTED_VALUE"""),"Monster Island")</f>
        <v>Monster Island</v>
      </c>
      <c r="V4722" s="5"/>
      <c r="Y4722" s="5" t="str">
        <f>IFERROR(__xludf.DUMMYFUNCTION("REGEXEXTRACT(J4722, ""^\d+"")"),"127")</f>
        <v>127</v>
      </c>
      <c r="Z4722" s="5" t="str">
        <f>IFERROR(__xludf.DUMMYFUNCTION("REGEXEXTRACT(J4722, ""[A-Za-z ]+$"")")," min")</f>
        <v> min</v>
      </c>
      <c r="AA4722" s="5" t="str">
        <f>IFERROR(__xludf.DUMMYFUNCTION("IF(REGEXMATCH(Z4722, ""Season""), ""TV Show"", ""Movie"")"),"Movie")</f>
        <v>Movie</v>
      </c>
    </row>
    <row r="4723">
      <c r="A4723" s="1" t="s">
        <v>24893</v>
      </c>
      <c r="B4723" s="1" t="s">
        <v>27</v>
      </c>
      <c r="C4723" s="1" t="s">
        <v>24894</v>
      </c>
      <c r="D4723" s="1" t="s">
        <v>14228</v>
      </c>
      <c r="E4723" s="1" t="s">
        <v>24895</v>
      </c>
      <c r="F4723" s="1" t="s">
        <v>63</v>
      </c>
      <c r="G4723" s="1" t="s">
        <v>24887</v>
      </c>
      <c r="H4723" s="1">
        <v>2008.0</v>
      </c>
      <c r="I4723" s="1" t="s">
        <v>42</v>
      </c>
      <c r="J4723" s="1" t="s">
        <v>6611</v>
      </c>
      <c r="K4723" s="1" t="s">
        <v>128</v>
      </c>
      <c r="L4723" s="1" t="s">
        <v>24896</v>
      </c>
      <c r="M4723" s="2" t="s">
        <v>12</v>
      </c>
      <c r="N4723" s="4">
        <f t="shared" si="1"/>
        <v>43314</v>
      </c>
      <c r="O4723" s="5" t="str">
        <f>IFERROR(__xludf.DUMMYFUNCTION("IF(REGEXMATCH(TRIM(I4723), ""^\d+\s*min""), ""Unclassified"", IF(I4723 = """", ""NR"", I4723))"),"TV-MA")</f>
        <v>TV-MA</v>
      </c>
      <c r="R4723" s="5" t="str">
        <f t="shared" si="2"/>
        <v>Fashion</v>
      </c>
      <c r="S4723" s="5" t="str">
        <f>IFERROR(__xludf.DUMMYFUNCTION("""COMPUTED_VALUE"""),"Monster Math Squad")</f>
        <v>Monster Math Squad</v>
      </c>
      <c r="V4723" s="5"/>
      <c r="Y4723" s="5" t="str">
        <f>IFERROR(__xludf.DUMMYFUNCTION("REGEXEXTRACT(J4723, ""^\d+"")"),"158")</f>
        <v>158</v>
      </c>
      <c r="Z4723" s="5" t="str">
        <f>IFERROR(__xludf.DUMMYFUNCTION("REGEXEXTRACT(J4723, ""[A-Za-z ]+$"")")," min")</f>
        <v> min</v>
      </c>
      <c r="AA4723" s="5" t="str">
        <f>IFERROR(__xludf.DUMMYFUNCTION("IF(REGEXMATCH(Z4723, ""Season""), ""TV Show"", ""Movie"")"),"Movie")</f>
        <v>Movie</v>
      </c>
    </row>
    <row r="4724">
      <c r="A4724" s="1" t="s">
        <v>24897</v>
      </c>
      <c r="B4724" s="1" t="s">
        <v>27</v>
      </c>
      <c r="C4724" s="1" t="s">
        <v>24898</v>
      </c>
      <c r="D4724" s="1" t="s">
        <v>272</v>
      </c>
      <c r="E4724" s="1" t="s">
        <v>24899</v>
      </c>
      <c r="F4724" s="1" t="s">
        <v>63</v>
      </c>
      <c r="G4724" s="1" t="s">
        <v>24887</v>
      </c>
      <c r="H4724" s="1">
        <v>2016.0</v>
      </c>
      <c r="I4724" s="1" t="s">
        <v>97</v>
      </c>
      <c r="J4724" s="1" t="s">
        <v>341</v>
      </c>
      <c r="K4724" s="1" t="s">
        <v>679</v>
      </c>
      <c r="L4724" s="1" t="s">
        <v>24900</v>
      </c>
      <c r="M4724" s="2" t="s">
        <v>12</v>
      </c>
      <c r="N4724" s="4">
        <f t="shared" si="1"/>
        <v>43314</v>
      </c>
      <c r="O4724" s="5" t="str">
        <f>IFERROR(__xludf.DUMMYFUNCTION("IF(REGEXMATCH(TRIM(I4724), ""^\d+\s*min""), ""Unclassified"", IF(I4724 = """", ""NR"", I4724))"),"TV-14")</f>
        <v>TV-14</v>
      </c>
      <c r="R4724" s="5" t="str">
        <f t="shared" si="2"/>
        <v>Fitoor</v>
      </c>
      <c r="S4724" s="5" t="str">
        <f>IFERROR(__xludf.DUMMYFUNCTION("""COMPUTED_VALUE"""),"Monster Run")</f>
        <v>Monster Run</v>
      </c>
      <c r="V4724" s="5"/>
      <c r="Y4724" s="5" t="str">
        <f>IFERROR(__xludf.DUMMYFUNCTION("REGEXEXTRACT(J4724, ""^\d+"")"),"124")</f>
        <v>124</v>
      </c>
      <c r="Z4724" s="5" t="str">
        <f>IFERROR(__xludf.DUMMYFUNCTION("REGEXEXTRACT(J4724, ""[A-Za-z ]+$"")")," min")</f>
        <v> min</v>
      </c>
      <c r="AA4724" s="5" t="str">
        <f>IFERROR(__xludf.DUMMYFUNCTION("IF(REGEXMATCH(Z4724, ""Season""), ""TV Show"", ""Movie"")"),"Movie")</f>
        <v>Movie</v>
      </c>
    </row>
    <row r="4725">
      <c r="A4725" s="1" t="s">
        <v>24901</v>
      </c>
      <c r="B4725" s="1" t="s">
        <v>27</v>
      </c>
      <c r="C4725" s="1" t="s">
        <v>24902</v>
      </c>
      <c r="D4725" s="1" t="s">
        <v>12914</v>
      </c>
      <c r="E4725" s="1" t="s">
        <v>24903</v>
      </c>
      <c r="F4725" s="1" t="s">
        <v>63</v>
      </c>
      <c r="G4725" s="1" t="s">
        <v>24887</v>
      </c>
      <c r="H4725" s="1">
        <v>2000.0</v>
      </c>
      <c r="I4725" s="1" t="s">
        <v>97</v>
      </c>
      <c r="J4725" s="1" t="s">
        <v>24904</v>
      </c>
      <c r="K4725" s="1" t="s">
        <v>1429</v>
      </c>
      <c r="L4725" s="1" t="s">
        <v>24905</v>
      </c>
      <c r="M4725" s="2" t="s">
        <v>12</v>
      </c>
      <c r="N4725" s="4">
        <f t="shared" si="1"/>
        <v>43314</v>
      </c>
      <c r="O4725" s="5" t="str">
        <f>IFERROR(__xludf.DUMMYFUNCTION("IF(REGEXMATCH(TRIM(I4725), ""^\d+\s*min""), ""Unclassified"", IF(I4725 = """", ""NR"", I4725))"),"TV-14")</f>
        <v>TV-14</v>
      </c>
      <c r="R4725" s="5" t="str">
        <f t="shared" si="2"/>
        <v>Fiza</v>
      </c>
      <c r="S4725" s="5" t="str">
        <f>IFERROR(__xludf.DUMMYFUNCTION("""COMPUTED_VALUE"""),"Monster-In-Law")</f>
        <v>Monster-In-Law</v>
      </c>
      <c r="V4725" s="5"/>
      <c r="Y4725" s="5" t="str">
        <f>IFERROR(__xludf.DUMMYFUNCTION("REGEXEXTRACT(J4725, ""^\d+"")"),"163")</f>
        <v>163</v>
      </c>
      <c r="Z4725" s="5" t="str">
        <f>IFERROR(__xludf.DUMMYFUNCTION("REGEXEXTRACT(J4725, ""[A-Za-z ]+$"")")," min")</f>
        <v> min</v>
      </c>
      <c r="AA4725" s="5" t="str">
        <f>IFERROR(__xludf.DUMMYFUNCTION("IF(REGEXMATCH(Z4725, ""Season""), ""TV Show"", ""Movie"")"),"Movie")</f>
        <v>Movie</v>
      </c>
    </row>
    <row r="4726">
      <c r="A4726" s="1" t="s">
        <v>24906</v>
      </c>
      <c r="B4726" s="1" t="s">
        <v>27</v>
      </c>
      <c r="C4726" s="1" t="s">
        <v>24907</v>
      </c>
      <c r="D4726" s="1" t="s">
        <v>20380</v>
      </c>
      <c r="E4726" s="1" t="s">
        <v>24908</v>
      </c>
      <c r="F4726" s="1" t="s">
        <v>63</v>
      </c>
      <c r="G4726" s="1" t="s">
        <v>24887</v>
      </c>
      <c r="H4726" s="1">
        <v>2010.0</v>
      </c>
      <c r="I4726" s="1" t="s">
        <v>97</v>
      </c>
      <c r="J4726" s="1" t="s">
        <v>941</v>
      </c>
      <c r="K4726" s="1" t="s">
        <v>128</v>
      </c>
      <c r="L4726" s="1" t="s">
        <v>24909</v>
      </c>
      <c r="M4726" s="2" t="s">
        <v>12</v>
      </c>
      <c r="N4726" s="4">
        <f t="shared" si="1"/>
        <v>43314</v>
      </c>
      <c r="O4726" s="5" t="str">
        <f>IFERROR(__xludf.DUMMYFUNCTION("IF(REGEXMATCH(TRIM(I4726), ""^\d+\s*min""), ""Unclassified"", IF(I4726 = """", ""NR"", I4726))"),"TV-14")</f>
        <v>TV-14</v>
      </c>
      <c r="R4726" s="5" t="str">
        <f t="shared" si="2"/>
        <v>Guzaarish</v>
      </c>
      <c r="S4726" s="5" t="str">
        <f>IFERROR(__xludf.DUMMYFUNCTION("""COMPUTED_VALUE"""),"Monsters Inside: The 24 Faces Of Billy Milligan")</f>
        <v>Monsters Inside: The 24 Faces Of Billy Milligan</v>
      </c>
      <c r="V4726" s="5"/>
      <c r="Y4726" s="5" t="str">
        <f>IFERROR(__xludf.DUMMYFUNCTION("REGEXEXTRACT(J4726, ""^\d+"")"),"121")</f>
        <v>121</v>
      </c>
      <c r="Z4726" s="5" t="str">
        <f>IFERROR(__xludf.DUMMYFUNCTION("REGEXEXTRACT(J4726, ""[A-Za-z ]+$"")")," min")</f>
        <v> min</v>
      </c>
      <c r="AA4726" s="5" t="str">
        <f>IFERROR(__xludf.DUMMYFUNCTION("IF(REGEXMATCH(Z4726, ""Season""), ""TV Show"", ""Movie"")"),"Movie")</f>
        <v>Movie</v>
      </c>
    </row>
    <row r="4727">
      <c r="A4727" s="1" t="s">
        <v>24910</v>
      </c>
      <c r="B4727" s="1" t="s">
        <v>27</v>
      </c>
      <c r="C4727" s="1" t="s">
        <v>24911</v>
      </c>
      <c r="D4727" s="1" t="s">
        <v>23395</v>
      </c>
      <c r="E4727" s="1" t="s">
        <v>24912</v>
      </c>
      <c r="F4727" s="1" t="s">
        <v>63</v>
      </c>
      <c r="G4727" s="1" t="s">
        <v>24887</v>
      </c>
      <c r="H4727" s="1">
        <v>2014.0</v>
      </c>
      <c r="I4727" s="1" t="s">
        <v>42</v>
      </c>
      <c r="J4727" s="1" t="s">
        <v>965</v>
      </c>
      <c r="K4727" s="1" t="s">
        <v>679</v>
      </c>
      <c r="L4727" s="1" t="s">
        <v>24913</v>
      </c>
      <c r="M4727" s="2" t="s">
        <v>12</v>
      </c>
      <c r="N4727" s="4">
        <f t="shared" si="1"/>
        <v>43314</v>
      </c>
      <c r="O4727" s="5" t="str">
        <f>IFERROR(__xludf.DUMMYFUNCTION("IF(REGEXMATCH(TRIM(I4727), ""^\d+\s*min""), ""Unclassified"", IF(I4727 = """", ""NR"", I4727))"),"TV-MA")</f>
        <v>TV-MA</v>
      </c>
      <c r="R4727" s="5" t="str">
        <f t="shared" si="2"/>
        <v>Haider</v>
      </c>
      <c r="S4727" s="5" t="str">
        <f>IFERROR(__xludf.DUMMYFUNCTION("""COMPUTED_VALUE"""),"Monsters: Dark Continent")</f>
        <v>Monsters: Dark Continent</v>
      </c>
      <c r="V4727" s="5"/>
      <c r="Y4727" s="5" t="str">
        <f>IFERROR(__xludf.DUMMYFUNCTION("REGEXEXTRACT(J4727, ""^\d+"")"),"154")</f>
        <v>154</v>
      </c>
      <c r="Z4727" s="5" t="str">
        <f>IFERROR(__xludf.DUMMYFUNCTION("REGEXEXTRACT(J4727, ""[A-Za-z ]+$"")")," min")</f>
        <v> min</v>
      </c>
      <c r="AA4727" s="5" t="str">
        <f>IFERROR(__xludf.DUMMYFUNCTION("IF(REGEXMATCH(Z4727, ""Season""), ""TV Show"", ""Movie"")"),"Movie")</f>
        <v>Movie</v>
      </c>
    </row>
    <row r="4728">
      <c r="A4728" s="1" t="s">
        <v>24914</v>
      </c>
      <c r="B4728" s="1" t="s">
        <v>27</v>
      </c>
      <c r="C4728" s="1" t="s">
        <v>24915</v>
      </c>
      <c r="D4728" s="1" t="s">
        <v>9609</v>
      </c>
      <c r="E4728" s="1" t="s">
        <v>24916</v>
      </c>
      <c r="F4728" s="1" t="s">
        <v>63</v>
      </c>
      <c r="G4728" s="1" t="s">
        <v>24887</v>
      </c>
      <c r="H4728" s="1">
        <v>2014.0</v>
      </c>
      <c r="I4728" s="1" t="s">
        <v>97</v>
      </c>
      <c r="J4728" s="1" t="s">
        <v>127</v>
      </c>
      <c r="K4728" s="1" t="s">
        <v>306</v>
      </c>
      <c r="L4728" s="1" t="s">
        <v>24917</v>
      </c>
      <c r="M4728" s="2" t="s">
        <v>12</v>
      </c>
      <c r="N4728" s="4">
        <f t="shared" si="1"/>
        <v>43314</v>
      </c>
      <c r="O4728" s="5" t="str">
        <f>IFERROR(__xludf.DUMMYFUNCTION("IF(REGEXMATCH(TRIM(I4728), ""^\d+\s*min""), ""Unclassified"", IF(I4728 = """", ""NR"", I4728))"),"TV-14")</f>
        <v>TV-14</v>
      </c>
      <c r="R4728" s="5" t="str">
        <f t="shared" si="2"/>
        <v>Highway</v>
      </c>
      <c r="S4728" s="5" t="str">
        <f>IFERROR(__xludf.DUMMYFUNCTION("""COMPUTED_VALUE"""),"Monthly Girls' Nozaki Kun")</f>
        <v>Monthly Girls' Nozaki Kun</v>
      </c>
      <c r="V4728" s="5"/>
      <c r="Y4728" s="5" t="str">
        <f>IFERROR(__xludf.DUMMYFUNCTION("REGEXEXTRACT(J4728, ""^\d+"")"),"127")</f>
        <v>127</v>
      </c>
      <c r="Z4728" s="5" t="str">
        <f>IFERROR(__xludf.DUMMYFUNCTION("REGEXEXTRACT(J4728, ""[A-Za-z ]+$"")")," min")</f>
        <v> min</v>
      </c>
      <c r="AA4728" s="5" t="str">
        <f>IFERROR(__xludf.DUMMYFUNCTION("IF(REGEXMATCH(Z4728, ""Season""), ""TV Show"", ""Movie"")"),"Movie")</f>
        <v>Movie</v>
      </c>
    </row>
    <row r="4729">
      <c r="A4729" s="1" t="s">
        <v>24918</v>
      </c>
      <c r="B4729" s="1" t="s">
        <v>27</v>
      </c>
      <c r="C4729" s="1" t="s">
        <v>24919</v>
      </c>
      <c r="D4729" s="1" t="s">
        <v>15262</v>
      </c>
      <c r="E4729" s="1" t="s">
        <v>24920</v>
      </c>
      <c r="F4729" s="1" t="s">
        <v>63</v>
      </c>
      <c r="G4729" s="1" t="s">
        <v>24887</v>
      </c>
      <c r="H4729" s="1">
        <v>2010.0</v>
      </c>
      <c r="I4729" s="1" t="s">
        <v>97</v>
      </c>
      <c r="J4729" s="1" t="s">
        <v>757</v>
      </c>
      <c r="K4729" s="1" t="s">
        <v>230</v>
      </c>
      <c r="L4729" s="1" t="s">
        <v>24921</v>
      </c>
      <c r="M4729" s="2" t="s">
        <v>12</v>
      </c>
      <c r="N4729" s="4">
        <f t="shared" si="1"/>
        <v>43314</v>
      </c>
      <c r="O4729" s="5" t="str">
        <f>IFERROR(__xludf.DUMMYFUNCTION("IF(REGEXMATCH(TRIM(I4729), ""^\d+\s*min""), ""Unclassified"", IF(I4729 = """", ""NR"", I4729))"),"TV-14")</f>
        <v>TV-14</v>
      </c>
      <c r="R4729" s="5" t="str">
        <f t="shared" si="2"/>
        <v>I Hate Luv Storys</v>
      </c>
      <c r="S4729" s="5" t="str">
        <f>IFERROR(__xludf.DUMMYFUNCTION("""COMPUTED_VALUE"""),"Monty Don'S French Gardens")</f>
        <v>Monty Don'S French Gardens</v>
      </c>
      <c r="V4729" s="5"/>
      <c r="Y4729" s="5" t="str">
        <f>IFERROR(__xludf.DUMMYFUNCTION("REGEXEXTRACT(J4729, ""^\d+"")"),"128")</f>
        <v>128</v>
      </c>
      <c r="Z4729" s="5" t="str">
        <f>IFERROR(__xludf.DUMMYFUNCTION("REGEXEXTRACT(J4729, ""[A-Za-z ]+$"")")," min")</f>
        <v> min</v>
      </c>
      <c r="AA4729" s="5" t="str">
        <f>IFERROR(__xludf.DUMMYFUNCTION("IF(REGEXMATCH(Z4729, ""Season""), ""TV Show"", ""Movie"")"),"Movie")</f>
        <v>Movie</v>
      </c>
    </row>
    <row r="4730">
      <c r="A4730" s="1" t="s">
        <v>24922</v>
      </c>
      <c r="B4730" s="1" t="s">
        <v>27</v>
      </c>
      <c r="C4730" s="1" t="s">
        <v>24923</v>
      </c>
      <c r="D4730" s="1" t="s">
        <v>14543</v>
      </c>
      <c r="E4730" s="1" t="s">
        <v>24924</v>
      </c>
      <c r="F4730" s="1" t="s">
        <v>63</v>
      </c>
      <c r="G4730" s="1" t="s">
        <v>24887</v>
      </c>
      <c r="H4730" s="1">
        <v>2012.0</v>
      </c>
      <c r="I4730" s="1" t="s">
        <v>136</v>
      </c>
      <c r="J4730" s="1" t="s">
        <v>357</v>
      </c>
      <c r="K4730" s="1" t="s">
        <v>230</v>
      </c>
      <c r="L4730" s="1" t="s">
        <v>24925</v>
      </c>
      <c r="M4730" s="2" t="s">
        <v>12</v>
      </c>
      <c r="N4730" s="4">
        <f t="shared" si="1"/>
        <v>43314</v>
      </c>
      <c r="O4730" s="5" t="str">
        <f>IFERROR(__xludf.DUMMYFUNCTION("IF(REGEXMATCH(TRIM(I4730), ""^\d+\s*min""), ""Unclassified"", IF(I4730 = """", ""NR"", I4730))"),"TV-PG")</f>
        <v>TV-PG</v>
      </c>
      <c r="R4730" s="5" t="str">
        <f t="shared" si="2"/>
        <v>Joker</v>
      </c>
      <c r="S4730" s="5" t="str">
        <f>IFERROR(__xludf.DUMMYFUNCTION("""COMPUTED_VALUE"""),"Monty Don'S Italian Gardens")</f>
        <v>Monty Don'S Italian Gardens</v>
      </c>
      <c r="V4730" s="5"/>
      <c r="Y4730" s="5" t="str">
        <f>IFERROR(__xludf.DUMMYFUNCTION("REGEXEXTRACT(J4730, ""^\d+"")"),"98")</f>
        <v>98</v>
      </c>
      <c r="Z4730" s="5" t="str">
        <f>IFERROR(__xludf.DUMMYFUNCTION("REGEXEXTRACT(J4730, ""[A-Za-z ]+$"")")," min")</f>
        <v> min</v>
      </c>
      <c r="AA4730" s="5" t="str">
        <f>IFERROR(__xludf.DUMMYFUNCTION("IF(REGEXMATCH(Z4730, ""Season""), ""TV Show"", ""Movie"")"),"Movie")</f>
        <v>Movie</v>
      </c>
    </row>
    <row r="4731">
      <c r="A4731" s="1" t="s">
        <v>24926</v>
      </c>
      <c r="B4731" s="1" t="s">
        <v>27</v>
      </c>
      <c r="C4731" s="1" t="s">
        <v>24927</v>
      </c>
      <c r="D4731" s="1" t="s">
        <v>18397</v>
      </c>
      <c r="E4731" s="1" t="s">
        <v>24928</v>
      </c>
      <c r="F4731" s="1" t="s">
        <v>63</v>
      </c>
      <c r="G4731" s="1" t="s">
        <v>24887</v>
      </c>
      <c r="H4731" s="1">
        <v>2009.0</v>
      </c>
      <c r="I4731" s="1" t="s">
        <v>97</v>
      </c>
      <c r="J4731" s="1" t="s">
        <v>1065</v>
      </c>
      <c r="K4731" s="1" t="s">
        <v>4053</v>
      </c>
      <c r="L4731" s="1" t="s">
        <v>24929</v>
      </c>
      <c r="M4731" s="2" t="s">
        <v>12</v>
      </c>
      <c r="N4731" s="4">
        <f t="shared" si="1"/>
        <v>43314</v>
      </c>
      <c r="O4731" s="5" t="str">
        <f>IFERROR(__xludf.DUMMYFUNCTION("IF(REGEXMATCH(TRIM(I4731), ""^\d+\s*min""), ""Unclassified"", IF(I4731 = """", ""NR"", I4731))"),"TV-14")</f>
        <v>TV-14</v>
      </c>
      <c r="R4731" s="5" t="str">
        <f t="shared" si="2"/>
        <v>Main Aurr Mrs. Khanna</v>
      </c>
      <c r="S4731" s="5" t="str">
        <f>IFERROR(__xludf.DUMMYFUNCTION("""COMPUTED_VALUE"""),"Monty Python And The Holy Grail")</f>
        <v>Monty Python And The Holy Grail</v>
      </c>
      <c r="V4731" s="5"/>
      <c r="Y4731" s="5" t="str">
        <f>IFERROR(__xludf.DUMMYFUNCTION("REGEXEXTRACT(J4731, ""^\d+"")"),"109")</f>
        <v>109</v>
      </c>
      <c r="Z4731" s="5" t="str">
        <f>IFERROR(__xludf.DUMMYFUNCTION("REGEXEXTRACT(J4731, ""[A-Za-z ]+$"")")," min")</f>
        <v> min</v>
      </c>
      <c r="AA4731" s="5" t="str">
        <f>IFERROR(__xludf.DUMMYFUNCTION("IF(REGEXMATCH(Z4731, ""Season""), ""TV Show"", ""Movie"")"),"Movie")</f>
        <v>Movie</v>
      </c>
    </row>
    <row r="4732">
      <c r="A4732" s="1" t="s">
        <v>24930</v>
      </c>
      <c r="B4732" s="1" t="s">
        <v>27</v>
      </c>
      <c r="C4732" s="1" t="s">
        <v>24931</v>
      </c>
      <c r="D4732" s="1" t="s">
        <v>2642</v>
      </c>
      <c r="E4732" s="1" t="s">
        <v>24932</v>
      </c>
      <c r="F4732" s="1" t="s">
        <v>63</v>
      </c>
      <c r="G4732" s="1" t="s">
        <v>24887</v>
      </c>
      <c r="H4732" s="1">
        <v>2016.0</v>
      </c>
      <c r="I4732" s="1" t="s">
        <v>97</v>
      </c>
      <c r="J4732" s="1" t="s">
        <v>21080</v>
      </c>
      <c r="K4732" s="1" t="s">
        <v>306</v>
      </c>
      <c r="L4732" s="1" t="s">
        <v>24933</v>
      </c>
      <c r="M4732" s="2" t="s">
        <v>12</v>
      </c>
      <c r="N4732" s="4">
        <f t="shared" si="1"/>
        <v>43314</v>
      </c>
      <c r="O4732" s="5" t="str">
        <f>IFERROR(__xludf.DUMMYFUNCTION("IF(REGEXMATCH(TRIM(I4732), ""^\d+\s*min""), ""Unclassified"", IF(I4732 = """", ""NR"", I4732))"),"TV-14")</f>
        <v>TV-14</v>
      </c>
      <c r="R4732" s="5" t="str">
        <f t="shared" si="2"/>
        <v>Mohenjo Daro</v>
      </c>
      <c r="S4732" s="5" t="str">
        <f>IFERROR(__xludf.DUMMYFUNCTION("""COMPUTED_VALUE"""),"Monty Python Best Bits (Mostly)")</f>
        <v>Monty Python Best Bits (Mostly)</v>
      </c>
      <c r="V4732" s="5"/>
      <c r="Y4732" s="5" t="str">
        <f>IFERROR(__xludf.DUMMYFUNCTION("REGEXEXTRACT(J4732, ""^\d+"")"),"168")</f>
        <v>168</v>
      </c>
      <c r="Z4732" s="5" t="str">
        <f>IFERROR(__xludf.DUMMYFUNCTION("REGEXEXTRACT(J4732, ""[A-Za-z ]+$"")")," min")</f>
        <v> min</v>
      </c>
      <c r="AA4732" s="5" t="str">
        <f>IFERROR(__xludf.DUMMYFUNCTION("IF(REGEXMATCH(Z4732, ""Season""), ""TV Show"", ""Movie"")"),"Movie")</f>
        <v>Movie</v>
      </c>
    </row>
    <row r="4733">
      <c r="A4733" s="1" t="s">
        <v>24934</v>
      </c>
      <c r="B4733" s="1" t="s">
        <v>27</v>
      </c>
      <c r="C4733" s="1" t="s">
        <v>24935</v>
      </c>
      <c r="D4733" s="1" t="s">
        <v>8367</v>
      </c>
      <c r="E4733" s="1" t="s">
        <v>24936</v>
      </c>
      <c r="F4733" s="1" t="s">
        <v>63</v>
      </c>
      <c r="G4733" s="1" t="s">
        <v>24887</v>
      </c>
      <c r="H4733" s="1">
        <v>2010.0</v>
      </c>
      <c r="I4733" s="1" t="s">
        <v>97</v>
      </c>
      <c r="J4733" s="1" t="s">
        <v>6105</v>
      </c>
      <c r="K4733" s="1" t="s">
        <v>298</v>
      </c>
      <c r="L4733" s="1" t="s">
        <v>24937</v>
      </c>
      <c r="M4733" s="2" t="s">
        <v>12</v>
      </c>
      <c r="N4733" s="4">
        <f t="shared" si="1"/>
        <v>43314</v>
      </c>
      <c r="O4733" s="5" t="str">
        <f>IFERROR(__xludf.DUMMYFUNCTION("IF(REGEXMATCH(TRIM(I4733), ""^\d+\s*min""), ""Unclassified"", IF(I4733 = """", ""NR"", I4733))"),"TV-14")</f>
        <v>TV-14</v>
      </c>
      <c r="R4733" s="5" t="str">
        <f t="shared" si="2"/>
        <v>Raajneeti</v>
      </c>
      <c r="S4733" s="5" t="str">
        <f>IFERROR(__xludf.DUMMYFUNCTION("""COMPUTED_VALUE"""),"Monty Python Conquers America")</f>
        <v>Monty Python Conquers America</v>
      </c>
      <c r="V4733" s="5"/>
      <c r="Y4733" s="5" t="str">
        <f>IFERROR(__xludf.DUMMYFUNCTION("REGEXEXTRACT(J4733, ""^\d+"")"),"162")</f>
        <v>162</v>
      </c>
      <c r="Z4733" s="5" t="str">
        <f>IFERROR(__xludf.DUMMYFUNCTION("REGEXEXTRACT(J4733, ""[A-Za-z ]+$"")")," min")</f>
        <v> min</v>
      </c>
      <c r="AA4733" s="5" t="str">
        <f>IFERROR(__xludf.DUMMYFUNCTION("IF(REGEXMATCH(Z4733, ""Season""), ""TV Show"", ""Movie"")"),"Movie")</f>
        <v>Movie</v>
      </c>
    </row>
    <row r="4734">
      <c r="A4734" s="1" t="s">
        <v>24938</v>
      </c>
      <c r="B4734" s="1" t="s">
        <v>27</v>
      </c>
      <c r="C4734" s="1" t="s">
        <v>24939</v>
      </c>
      <c r="D4734" s="1" t="s">
        <v>18740</v>
      </c>
      <c r="E4734" s="1" t="s">
        <v>24940</v>
      </c>
      <c r="F4734" s="1" t="s">
        <v>63</v>
      </c>
      <c r="G4734" s="1" t="s">
        <v>24887</v>
      </c>
      <c r="H4734" s="1">
        <v>2006.0</v>
      </c>
      <c r="I4734" s="1" t="s">
        <v>97</v>
      </c>
      <c r="J4734" s="1" t="s">
        <v>4226</v>
      </c>
      <c r="K4734" s="1" t="s">
        <v>128</v>
      </c>
      <c r="L4734" s="1" t="s">
        <v>24941</v>
      </c>
      <c r="M4734" s="2" t="s">
        <v>12</v>
      </c>
      <c r="N4734" s="4">
        <f t="shared" si="1"/>
        <v>43314</v>
      </c>
      <c r="O4734" s="5" t="str">
        <f>IFERROR(__xludf.DUMMYFUNCTION("IF(REGEXMATCH(TRIM(I4734), ""^\d+\s*min""), ""Unclassified"", IF(I4734 = """", ""NR"", I4734))"),"TV-14")</f>
        <v>TV-14</v>
      </c>
      <c r="R4734" s="5" t="str">
        <f t="shared" si="2"/>
        <v>Rang De Basanti</v>
      </c>
      <c r="S4734" s="5" t="str">
        <f>IFERROR(__xludf.DUMMYFUNCTION("""COMPUTED_VALUE"""),"Monty Python Live (Mostly): One Down, Five To Go")</f>
        <v>Monty Python Live (Mostly): One Down, Five To Go</v>
      </c>
      <c r="V4734" s="5"/>
      <c r="Y4734" s="5" t="str">
        <f>IFERROR(__xludf.DUMMYFUNCTION("REGEXEXTRACT(J4734, ""^\d+"")"),"159")</f>
        <v>159</v>
      </c>
      <c r="Z4734" s="5" t="str">
        <f>IFERROR(__xludf.DUMMYFUNCTION("REGEXEXTRACT(J4734, ""[A-Za-z ]+$"")")," min")</f>
        <v> min</v>
      </c>
      <c r="AA4734" s="5" t="str">
        <f>IFERROR(__xludf.DUMMYFUNCTION("IF(REGEXMATCH(Z4734, ""Season""), ""TV Show"", ""Movie"")"),"Movie")</f>
        <v>Movie</v>
      </c>
    </row>
    <row r="4735">
      <c r="A4735" s="1" t="s">
        <v>24942</v>
      </c>
      <c r="B4735" s="1" t="s">
        <v>27</v>
      </c>
      <c r="C4735" s="1" t="s">
        <v>24943</v>
      </c>
      <c r="D4735" s="1" t="s">
        <v>18312</v>
      </c>
      <c r="E4735" s="1" t="s">
        <v>24944</v>
      </c>
      <c r="F4735" s="1" t="s">
        <v>63</v>
      </c>
      <c r="G4735" s="1" t="s">
        <v>24887</v>
      </c>
      <c r="H4735" s="1">
        <v>2012.0</v>
      </c>
      <c r="I4735" s="1" t="s">
        <v>97</v>
      </c>
      <c r="J4735" s="1" t="s">
        <v>4242</v>
      </c>
      <c r="K4735" s="1" t="s">
        <v>1328</v>
      </c>
      <c r="L4735" s="1" t="s">
        <v>24945</v>
      </c>
      <c r="M4735" s="2" t="s">
        <v>12</v>
      </c>
      <c r="N4735" s="4">
        <f t="shared" si="1"/>
        <v>43314</v>
      </c>
      <c r="O4735" s="5" t="str">
        <f>IFERROR(__xludf.DUMMYFUNCTION("IF(REGEXMATCH(TRIM(I4735), ""^\d+\s*min""), ""Unclassified"", IF(I4735 = """", ""NR"", I4735))"),"TV-14")</f>
        <v>TV-14</v>
      </c>
      <c r="R4735" s="5" t="str">
        <f t="shared" si="2"/>
        <v>Rowdy Rathore</v>
      </c>
      <c r="S4735" s="5" t="str">
        <f>IFERROR(__xludf.DUMMYFUNCTION("""COMPUTED_VALUE"""),"Monty Python: Before The Flying Circus")</f>
        <v>Monty Python: Before The Flying Circus</v>
      </c>
      <c r="V4735" s="5"/>
      <c r="Y4735" s="5" t="str">
        <f>IFERROR(__xludf.DUMMYFUNCTION("REGEXEXTRACT(J4735, ""^\d+"")"),"137")</f>
        <v>137</v>
      </c>
      <c r="Z4735" s="5" t="str">
        <f>IFERROR(__xludf.DUMMYFUNCTION("REGEXEXTRACT(J4735, ""[A-Za-z ]+$"")")," min")</f>
        <v> min</v>
      </c>
      <c r="AA4735" s="5" t="str">
        <f>IFERROR(__xludf.DUMMYFUNCTION("IF(REGEXMATCH(Z4735, ""Season""), ""TV Show"", ""Movie"")"),"Movie")</f>
        <v>Movie</v>
      </c>
    </row>
    <row r="4736">
      <c r="A4736" s="1" t="s">
        <v>24946</v>
      </c>
      <c r="B4736" s="1" t="s">
        <v>27</v>
      </c>
      <c r="C4736" s="1" t="s">
        <v>24947</v>
      </c>
      <c r="D4736" s="1" t="s">
        <v>9609</v>
      </c>
      <c r="E4736" s="1" t="s">
        <v>24948</v>
      </c>
      <c r="F4736" s="1" t="s">
        <v>63</v>
      </c>
      <c r="G4736" s="1" t="s">
        <v>24887</v>
      </c>
      <c r="H4736" s="1">
        <v>2015.0</v>
      </c>
      <c r="I4736" s="1" t="s">
        <v>97</v>
      </c>
      <c r="J4736" s="1" t="s">
        <v>1428</v>
      </c>
      <c r="K4736" s="1" t="s">
        <v>679</v>
      </c>
      <c r="L4736" s="1" t="s">
        <v>24949</v>
      </c>
      <c r="M4736" s="2" t="s">
        <v>12</v>
      </c>
      <c r="N4736" s="4">
        <f t="shared" si="1"/>
        <v>43314</v>
      </c>
      <c r="O4736" s="5" t="str">
        <f>IFERROR(__xludf.DUMMYFUNCTION("IF(REGEXMATCH(TRIM(I4736), ""^\d+\s*min""), ""Unclassified"", IF(I4736 = """", ""NR"", I4736))"),"TV-14")</f>
        <v>TV-14</v>
      </c>
      <c r="R4736" s="5" t="str">
        <f t="shared" si="2"/>
        <v>Tamasha</v>
      </c>
      <c r="S4736" s="5" t="str">
        <f>IFERROR(__xludf.DUMMYFUNCTION("""COMPUTED_VALUE"""),"Monty Python: Live At Aspen")</f>
        <v>Monty Python: Live At Aspen</v>
      </c>
      <c r="V4736" s="5"/>
      <c r="Y4736" s="5" t="str">
        <f>IFERROR(__xludf.DUMMYFUNCTION("REGEXEXTRACT(J4736, ""^\d+"")"),"133")</f>
        <v>133</v>
      </c>
      <c r="Z4736" s="5" t="str">
        <f>IFERROR(__xludf.DUMMYFUNCTION("REGEXEXTRACT(J4736, ""[A-Za-z ]+$"")")," min")</f>
        <v> min</v>
      </c>
      <c r="AA4736" s="5" t="str">
        <f>IFERROR(__xludf.DUMMYFUNCTION("IF(REGEXMATCH(Z4736, ""Season""), ""TV Show"", ""Movie"")"),"Movie")</f>
        <v>Movie</v>
      </c>
    </row>
    <row r="4737">
      <c r="A4737" s="1" t="s">
        <v>24950</v>
      </c>
      <c r="B4737" s="1" t="s">
        <v>27</v>
      </c>
      <c r="C4737" s="1" t="s">
        <v>24951</v>
      </c>
      <c r="D4737" s="1" t="s">
        <v>14406</v>
      </c>
      <c r="E4737" s="1" t="s">
        <v>24952</v>
      </c>
      <c r="F4737" s="1" t="s">
        <v>63</v>
      </c>
      <c r="G4737" s="1" t="s">
        <v>24887</v>
      </c>
      <c r="H4737" s="1">
        <v>2012.0</v>
      </c>
      <c r="I4737" s="1" t="s">
        <v>97</v>
      </c>
      <c r="J4737" s="1" t="s">
        <v>127</v>
      </c>
      <c r="K4737" s="1" t="s">
        <v>215</v>
      </c>
      <c r="L4737" s="1" t="s">
        <v>24953</v>
      </c>
      <c r="M4737" s="2" t="s">
        <v>12</v>
      </c>
      <c r="N4737" s="4">
        <f t="shared" si="1"/>
        <v>43314</v>
      </c>
      <c r="O4737" s="5" t="str">
        <f>IFERROR(__xludf.DUMMYFUNCTION("IF(REGEXMATCH(TRIM(I4737), ""^\d+\s*min""), ""Unclassified"", IF(I4737 = """", ""NR"", I4737))"),"TV-14")</f>
        <v>TV-14</v>
      </c>
      <c r="R4737" s="5" t="str">
        <f t="shared" si="2"/>
        <v>Tere Naal Love Ho Gaya</v>
      </c>
      <c r="S4737" s="5" t="str">
        <f>IFERROR(__xludf.DUMMYFUNCTION("""COMPUTED_VALUE"""),"Monty Python: Live At The Hollywood Bowl")</f>
        <v>Monty Python: Live At The Hollywood Bowl</v>
      </c>
      <c r="V4737" s="5"/>
      <c r="Y4737" s="5" t="str">
        <f>IFERROR(__xludf.DUMMYFUNCTION("REGEXEXTRACT(J4737, ""^\d+"")"),"127")</f>
        <v>127</v>
      </c>
      <c r="Z4737" s="5" t="str">
        <f>IFERROR(__xludf.DUMMYFUNCTION("REGEXEXTRACT(J4737, ""[A-Za-z ]+$"")")," min")</f>
        <v> min</v>
      </c>
      <c r="AA4737" s="5" t="str">
        <f>IFERROR(__xludf.DUMMYFUNCTION("IF(REGEXMATCH(Z4737, ""Season""), ""TV Show"", ""Movie"")"),"Movie")</f>
        <v>Movie</v>
      </c>
    </row>
    <row r="4738">
      <c r="A4738" s="1" t="s">
        <v>24954</v>
      </c>
      <c r="B4738" s="1" t="s">
        <v>27</v>
      </c>
      <c r="C4738" s="1" t="s">
        <v>24955</v>
      </c>
      <c r="D4738" s="1" t="s">
        <v>2039</v>
      </c>
      <c r="E4738" s="1" t="s">
        <v>24956</v>
      </c>
      <c r="F4738" s="1" t="s">
        <v>63</v>
      </c>
      <c r="G4738" s="1" t="s">
        <v>24887</v>
      </c>
      <c r="H4738" s="1">
        <v>2011.0</v>
      </c>
      <c r="I4738" s="1" t="s">
        <v>97</v>
      </c>
      <c r="J4738" s="1" t="s">
        <v>2859</v>
      </c>
      <c r="K4738" s="1" t="s">
        <v>215</v>
      </c>
      <c r="L4738" s="1" t="s">
        <v>24957</v>
      </c>
      <c r="M4738" s="2" t="s">
        <v>12</v>
      </c>
      <c r="N4738" s="4">
        <f t="shared" si="1"/>
        <v>43314</v>
      </c>
      <c r="O4738" s="5" t="str">
        <f>IFERROR(__xludf.DUMMYFUNCTION("IF(REGEXMATCH(TRIM(I4738), ""^\d+\s*min""), ""Unclassified"", IF(I4738 = """", ""NR"", I4738))"),"TV-14")</f>
        <v>TV-14</v>
      </c>
      <c r="R4738" s="5" t="str">
        <f t="shared" si="2"/>
        <v>Thank You</v>
      </c>
      <c r="S4738" s="5" t="str">
        <f>IFERROR(__xludf.DUMMYFUNCTION("""COMPUTED_VALUE"""),"Monty Python: The Meaning Of Live")</f>
        <v>Monty Python: The Meaning Of Live</v>
      </c>
      <c r="V4738" s="5"/>
      <c r="Y4738" s="5" t="str">
        <f>IFERROR(__xludf.DUMMYFUNCTION("REGEXEXTRACT(J4738, ""^\d+"")"),"131")</f>
        <v>131</v>
      </c>
      <c r="Z4738" s="5" t="str">
        <f>IFERROR(__xludf.DUMMYFUNCTION("REGEXEXTRACT(J4738, ""[A-Za-z ]+$"")")," min")</f>
        <v> min</v>
      </c>
      <c r="AA4738" s="5" t="str">
        <f>IFERROR(__xludf.DUMMYFUNCTION("IF(REGEXMATCH(Z4738, ""Season""), ""TV Show"", ""Movie"")"),"Movie")</f>
        <v>Movie</v>
      </c>
    </row>
    <row r="4739">
      <c r="A4739" s="1" t="s">
        <v>24958</v>
      </c>
      <c r="B4739" s="1" t="s">
        <v>27</v>
      </c>
      <c r="C4739" s="1" t="s">
        <v>24959</v>
      </c>
      <c r="D4739" s="1" t="s">
        <v>23395</v>
      </c>
      <c r="E4739" s="1" t="s">
        <v>24960</v>
      </c>
      <c r="F4739" s="1" t="s">
        <v>63</v>
      </c>
      <c r="G4739" s="1" t="s">
        <v>24887</v>
      </c>
      <c r="H4739" s="1">
        <v>2005.0</v>
      </c>
      <c r="I4739" s="1" t="s">
        <v>136</v>
      </c>
      <c r="J4739" s="1" t="s">
        <v>33</v>
      </c>
      <c r="K4739" s="1" t="s">
        <v>13212</v>
      </c>
      <c r="L4739" s="1" t="s">
        <v>24961</v>
      </c>
      <c r="M4739" s="2" t="s">
        <v>12</v>
      </c>
      <c r="N4739" s="4">
        <f t="shared" si="1"/>
        <v>43314</v>
      </c>
      <c r="O4739" s="5" t="str">
        <f>IFERROR(__xludf.DUMMYFUNCTION("IF(REGEXMATCH(TRIM(I4739), ""^\d+\s*min""), ""Unclassified"", IF(I4739 = """", ""NR"", I4739))"),"TV-PG")</f>
        <v>TV-PG</v>
      </c>
      <c r="R4739" s="5" t="str">
        <f t="shared" si="2"/>
        <v>The Blue Umbrella</v>
      </c>
      <c r="S4739" s="5" t="str">
        <f>IFERROR(__xludf.DUMMYFUNCTION("""COMPUTED_VALUE"""),"Monty Python'S Almost The Truth")</f>
        <v>Monty Python'S Almost The Truth</v>
      </c>
      <c r="V4739" s="5"/>
      <c r="Y4739" s="5" t="str">
        <f>IFERROR(__xludf.DUMMYFUNCTION("REGEXEXTRACT(J4739, ""^\d+"")"),"90")</f>
        <v>90</v>
      </c>
      <c r="Z4739" s="5" t="str">
        <f>IFERROR(__xludf.DUMMYFUNCTION("REGEXEXTRACT(J4739, ""[A-Za-z ]+$"")")," min")</f>
        <v> min</v>
      </c>
      <c r="AA4739" s="5" t="str">
        <f>IFERROR(__xludf.DUMMYFUNCTION("IF(REGEXMATCH(Z4739, ""Season""), ""TV Show"", ""Movie"")"),"Movie")</f>
        <v>Movie</v>
      </c>
    </row>
    <row r="4740">
      <c r="A4740" s="1" t="s">
        <v>24962</v>
      </c>
      <c r="B4740" s="1" t="s">
        <v>37</v>
      </c>
      <c r="C4740" s="1" t="s">
        <v>24963</v>
      </c>
      <c r="F4740" s="1" t="s">
        <v>162</v>
      </c>
      <c r="G4740" s="1" t="s">
        <v>24964</v>
      </c>
      <c r="H4740" s="1">
        <v>2018.0</v>
      </c>
      <c r="I4740" s="1" t="s">
        <v>506</v>
      </c>
      <c r="J4740" s="1" t="s">
        <v>51</v>
      </c>
      <c r="K4740" s="1" t="s">
        <v>507</v>
      </c>
      <c r="L4740" s="1" t="s">
        <v>24965</v>
      </c>
      <c r="M4740" s="2" t="s">
        <v>12</v>
      </c>
      <c r="N4740" s="4">
        <f t="shared" si="1"/>
        <v>43313</v>
      </c>
      <c r="O4740" s="5" t="str">
        <f>IFERROR(__xludf.DUMMYFUNCTION("IF(REGEXMATCH(TRIM(I4740), ""^\d+\s*min""), ""Unclassified"", IF(I4740 = """", ""NR"", I4740))"),"TV-G")</f>
        <v>TV-G</v>
      </c>
      <c r="R4740" s="5" t="str">
        <f t="shared" si="2"/>
        <v>Becoming Champions</v>
      </c>
      <c r="S4740" s="5" t="str">
        <f>IFERROR(__xludf.DUMMYFUNCTION("""COMPUTED_VALUE"""),"Monty Python'S Fliegender Zirkus")</f>
        <v>Monty Python'S Fliegender Zirkus</v>
      </c>
      <c r="V4740" s="5"/>
      <c r="Y4740" s="5" t="str">
        <f>IFERROR(__xludf.DUMMYFUNCTION("REGEXEXTRACT(J4740, ""^\d+"")"),"1")</f>
        <v>1</v>
      </c>
      <c r="Z4740" s="5" t="str">
        <f>IFERROR(__xludf.DUMMYFUNCTION("REGEXEXTRACT(J4740, ""[A-Za-z ]+$"")")," Season")</f>
        <v> Season</v>
      </c>
      <c r="AA4740" s="5" t="str">
        <f>IFERROR(__xludf.DUMMYFUNCTION("IF(REGEXMATCH(Z4740, ""Season""), ""TV Show"", ""Movie"")"),"TV Show")</f>
        <v>TV Show</v>
      </c>
    </row>
    <row r="4741">
      <c r="A4741" s="1" t="s">
        <v>24966</v>
      </c>
      <c r="B4741" s="1" t="s">
        <v>27</v>
      </c>
      <c r="C4741" s="1" t="s">
        <v>24967</v>
      </c>
      <c r="D4741" s="1" t="s">
        <v>10876</v>
      </c>
      <c r="E4741" s="1" t="s">
        <v>24968</v>
      </c>
      <c r="F4741" s="1" t="s">
        <v>30</v>
      </c>
      <c r="G4741" s="1" t="s">
        <v>24964</v>
      </c>
      <c r="H4741" s="1">
        <v>2018.0</v>
      </c>
      <c r="I4741" s="1" t="s">
        <v>42</v>
      </c>
      <c r="J4741" s="1" t="s">
        <v>428</v>
      </c>
      <c r="K4741" s="1" t="s">
        <v>34</v>
      </c>
      <c r="L4741" s="1" t="s">
        <v>24969</v>
      </c>
      <c r="M4741" s="2" t="s">
        <v>12</v>
      </c>
      <c r="N4741" s="4">
        <f t="shared" si="1"/>
        <v>43313</v>
      </c>
      <c r="O4741" s="5" t="str">
        <f>IFERROR(__xludf.DUMMYFUNCTION("IF(REGEXMATCH(TRIM(I4741), ""^\d+\s*min""), ""Unclassified"", IF(I4741 = """", ""NR"", I4741))"),"TV-MA")</f>
        <v>TV-MA</v>
      </c>
      <c r="R4741" s="5" t="str">
        <f t="shared" si="2"/>
        <v>Being Napoleon</v>
      </c>
      <c r="S4741" s="5" t="str">
        <f>IFERROR(__xludf.DUMMYFUNCTION("""COMPUTED_VALUE"""),"Monty Python'S Flying Circus")</f>
        <v>Monty Python'S Flying Circus</v>
      </c>
      <c r="V4741" s="5"/>
      <c r="Y4741" s="5" t="str">
        <f>IFERROR(__xludf.DUMMYFUNCTION("REGEXEXTRACT(J4741, ""^\d+"")"),"88")</f>
        <v>88</v>
      </c>
      <c r="Z4741" s="5" t="str">
        <f>IFERROR(__xludf.DUMMYFUNCTION("REGEXEXTRACT(J4741, ""[A-Za-z ]+$"")")," min")</f>
        <v> min</v>
      </c>
      <c r="AA4741" s="5" t="str">
        <f>IFERROR(__xludf.DUMMYFUNCTION("IF(REGEXMATCH(Z4741, ""Season""), ""TV Show"", ""Movie"")"),"Movie")</f>
        <v>Movie</v>
      </c>
    </row>
    <row r="4742">
      <c r="A4742" s="1" t="s">
        <v>24970</v>
      </c>
      <c r="B4742" s="1" t="s">
        <v>27</v>
      </c>
      <c r="C4742" s="1" t="s">
        <v>24971</v>
      </c>
      <c r="D4742" s="1" t="s">
        <v>17447</v>
      </c>
      <c r="E4742" s="1" t="s">
        <v>24972</v>
      </c>
      <c r="F4742" s="1" t="s">
        <v>24973</v>
      </c>
      <c r="G4742" s="1" t="s">
        <v>24964</v>
      </c>
      <c r="H4742" s="1">
        <v>2017.0</v>
      </c>
      <c r="I4742" s="1" t="s">
        <v>42</v>
      </c>
      <c r="J4742" s="1" t="s">
        <v>630</v>
      </c>
      <c r="K4742" s="1" t="s">
        <v>89</v>
      </c>
      <c r="L4742" s="1" t="s">
        <v>24974</v>
      </c>
      <c r="M4742" s="2" t="s">
        <v>12</v>
      </c>
      <c r="N4742" s="4">
        <f t="shared" si="1"/>
        <v>43313</v>
      </c>
      <c r="O4742" s="5" t="str">
        <f>IFERROR(__xludf.DUMMYFUNCTION("IF(REGEXMATCH(TRIM(I4742), ""^\d+\s*min""), ""Unclassified"", IF(I4742 = """", ""NR"", I4742))"),"TV-MA")</f>
        <v>TV-MA</v>
      </c>
      <c r="R4742" s="5" t="str">
        <f t="shared" si="2"/>
        <v>Invisible</v>
      </c>
      <c r="S4742" s="5" t="str">
        <f>IFERROR(__xludf.DUMMYFUNCTION("""COMPUTED_VALUE"""),"Monty Python'S Life Of Brian")</f>
        <v>Monty Python'S Life Of Brian</v>
      </c>
      <c r="V4742" s="5"/>
      <c r="Y4742" s="5" t="str">
        <f>IFERROR(__xludf.DUMMYFUNCTION("REGEXEXTRACT(J4742, ""^\d+"")"),"87")</f>
        <v>87</v>
      </c>
      <c r="Z4742" s="5" t="str">
        <f>IFERROR(__xludf.DUMMYFUNCTION("REGEXEXTRACT(J4742, ""[A-Za-z ]+$"")")," min")</f>
        <v> min</v>
      </c>
      <c r="AA4742" s="5" t="str">
        <f>IFERROR(__xludf.DUMMYFUNCTION("IF(REGEXMATCH(Z4742, ""Season""), ""TV Show"", ""Movie"")"),"Movie")</f>
        <v>Movie</v>
      </c>
    </row>
    <row r="4743">
      <c r="A4743" s="1" t="s">
        <v>24975</v>
      </c>
      <c r="B4743" s="1" t="s">
        <v>37</v>
      </c>
      <c r="C4743" s="1" t="s">
        <v>24976</v>
      </c>
      <c r="E4743" s="1" t="s">
        <v>24977</v>
      </c>
      <c r="F4743" s="1" t="s">
        <v>415</v>
      </c>
      <c r="G4743" s="1" t="s">
        <v>24964</v>
      </c>
      <c r="H4743" s="1">
        <v>2018.0</v>
      </c>
      <c r="I4743" s="1" t="s">
        <v>42</v>
      </c>
      <c r="J4743" s="1" t="s">
        <v>51</v>
      </c>
      <c r="K4743" s="1" t="s">
        <v>44</v>
      </c>
      <c r="L4743" s="1" t="s">
        <v>24978</v>
      </c>
      <c r="M4743" s="2" t="s">
        <v>12</v>
      </c>
      <c r="N4743" s="4">
        <f t="shared" si="1"/>
        <v>43313</v>
      </c>
      <c r="O4743" s="5" t="str">
        <f>IFERROR(__xludf.DUMMYFUNCTION("IF(REGEXMATCH(TRIM(I4743), ""^\d+\s*min""), ""Unclassified"", IF(I4743 = """", ""NR"", I4743))"),"TV-MA")</f>
        <v>TV-MA</v>
      </c>
      <c r="R4743" s="5" t="str">
        <f t="shared" si="2"/>
        <v>Switched</v>
      </c>
      <c r="S4743" s="5" t="str">
        <f>IFERROR(__xludf.DUMMYFUNCTION("""COMPUTED_VALUE"""),"Monty Python'S Personal Best")</f>
        <v>Monty Python'S Personal Best</v>
      </c>
      <c r="V4743" s="5"/>
      <c r="Y4743" s="5" t="str">
        <f>IFERROR(__xludf.DUMMYFUNCTION("REGEXEXTRACT(J4743, ""^\d+"")"),"1")</f>
        <v>1</v>
      </c>
      <c r="Z4743" s="5" t="str">
        <f>IFERROR(__xludf.DUMMYFUNCTION("REGEXEXTRACT(J4743, ""[A-Za-z ]+$"")")," Season")</f>
        <v> Season</v>
      </c>
      <c r="AA4743" s="5" t="str">
        <f>IFERROR(__xludf.DUMMYFUNCTION("IF(REGEXMATCH(Z4743, ""Season""), ""TV Show"", ""Movie"")"),"TV Show")</f>
        <v>TV Show</v>
      </c>
    </row>
    <row r="4744">
      <c r="A4744" s="1" t="s">
        <v>24979</v>
      </c>
      <c r="B4744" s="1" t="s">
        <v>37</v>
      </c>
      <c r="C4744" s="1" t="s">
        <v>24980</v>
      </c>
      <c r="E4744" s="1" t="s">
        <v>24981</v>
      </c>
      <c r="F4744" s="1" t="s">
        <v>415</v>
      </c>
      <c r="G4744" s="1" t="s">
        <v>24964</v>
      </c>
      <c r="H4744" s="1">
        <v>2018.0</v>
      </c>
      <c r="I4744" s="1" t="s">
        <v>97</v>
      </c>
      <c r="J4744" s="1" t="s">
        <v>51</v>
      </c>
      <c r="K4744" s="1" t="s">
        <v>1907</v>
      </c>
      <c r="L4744" s="1" t="s">
        <v>24982</v>
      </c>
      <c r="M4744" s="2" t="s">
        <v>12</v>
      </c>
      <c r="N4744" s="4">
        <f t="shared" si="1"/>
        <v>43313</v>
      </c>
      <c r="O4744" s="5" t="str">
        <f>IFERROR(__xludf.DUMMYFUNCTION("IF(REGEXMATCH(TRIM(I4744), ""^\d+\s*min""), ""Unclassified"", IF(I4744 = """", ""NR"", I4744))"),"TV-14")</f>
        <v>TV-14</v>
      </c>
      <c r="R4744" s="5" t="str">
        <f t="shared" si="2"/>
        <v>The Could’Ve-Gone-All-The-Way Committee</v>
      </c>
      <c r="S4744" s="5" t="str">
        <f>IFERROR(__xludf.DUMMYFUNCTION("""COMPUTED_VALUE"""),"Monzón: A Knockout Blow")</f>
        <v>Monzón: A Knockout Blow</v>
      </c>
      <c r="V4744" s="5"/>
      <c r="Y4744" s="5" t="str">
        <f>IFERROR(__xludf.DUMMYFUNCTION("REGEXEXTRACT(J4744, ""^\d+"")"),"1")</f>
        <v>1</v>
      </c>
      <c r="Z4744" s="5" t="str">
        <f>IFERROR(__xludf.DUMMYFUNCTION("REGEXEXTRACT(J4744, ""[A-Za-z ]+$"")")," Season")</f>
        <v> Season</v>
      </c>
      <c r="AA4744" s="5" t="str">
        <f>IFERROR(__xludf.DUMMYFUNCTION("IF(REGEXMATCH(Z4744, ""Season""), ""TV Show"", ""Movie"")"),"TV Show")</f>
        <v>TV Show</v>
      </c>
    </row>
    <row r="4745">
      <c r="A4745" s="1" t="s">
        <v>24983</v>
      </c>
      <c r="B4745" s="1" t="s">
        <v>37</v>
      </c>
      <c r="C4745" s="1" t="s">
        <v>24984</v>
      </c>
      <c r="E4745" s="1" t="s">
        <v>24985</v>
      </c>
      <c r="F4745" s="1" t="s">
        <v>664</v>
      </c>
      <c r="G4745" s="1" t="s">
        <v>24986</v>
      </c>
      <c r="H4745" s="1">
        <v>2018.0</v>
      </c>
      <c r="I4745" s="1" t="s">
        <v>42</v>
      </c>
      <c r="J4745" s="1" t="s">
        <v>43</v>
      </c>
      <c r="K4745" s="1" t="s">
        <v>1294</v>
      </c>
      <c r="L4745" s="1" t="s">
        <v>24987</v>
      </c>
      <c r="M4745" s="2" t="s">
        <v>12</v>
      </c>
      <c r="N4745" s="4">
        <f t="shared" si="1"/>
        <v>43311</v>
      </c>
      <c r="O4745" s="5" t="str">
        <f>IFERROR(__xludf.DUMMYFUNCTION("IF(REGEXMATCH(TRIM(I4745), ""^\d+\s*min""), ""Unclassified"", IF(I4745 = """", ""NR"", I4745))"),"TV-MA")</f>
        <v>TV-MA</v>
      </c>
      <c r="R4745" s="5" t="str">
        <f t="shared" si="2"/>
        <v>A Very Secret Service</v>
      </c>
      <c r="S4745" s="5" t="str">
        <f>IFERROR(__xludf.DUMMYFUNCTION("""COMPUTED_VALUE"""),"Moon")</f>
        <v>Moon</v>
      </c>
      <c r="V4745" s="5"/>
      <c r="Y4745" s="5" t="str">
        <f>IFERROR(__xludf.DUMMYFUNCTION("REGEXEXTRACT(J4745, ""^\d+"")"),"2")</f>
        <v>2</v>
      </c>
      <c r="Z4745" s="5" t="str">
        <f>IFERROR(__xludf.DUMMYFUNCTION("REGEXEXTRACT(J4745, ""[A-Za-z ]+$"")")," Seasons")</f>
        <v> Seasons</v>
      </c>
      <c r="AA4745" s="5" t="str">
        <f>IFERROR(__xludf.DUMMYFUNCTION("IF(REGEXMATCH(Z4745, ""Season""), ""TV Show"", ""Movie"")"),"TV Show")</f>
        <v>TV Show</v>
      </c>
    </row>
    <row r="4746">
      <c r="A4746" s="1" t="s">
        <v>24988</v>
      </c>
      <c r="B4746" s="1" t="s">
        <v>37</v>
      </c>
      <c r="C4746" s="1" t="s">
        <v>24989</v>
      </c>
      <c r="E4746" s="1" t="s">
        <v>24990</v>
      </c>
      <c r="F4746" s="1" t="s">
        <v>415</v>
      </c>
      <c r="G4746" s="1" t="s">
        <v>24986</v>
      </c>
      <c r="H4746" s="1">
        <v>2018.0</v>
      </c>
      <c r="I4746" s="1" t="s">
        <v>42</v>
      </c>
      <c r="J4746" s="1" t="s">
        <v>43</v>
      </c>
      <c r="K4746" s="1" t="s">
        <v>567</v>
      </c>
      <c r="L4746" s="1" t="s">
        <v>24991</v>
      </c>
      <c r="M4746" s="2" t="s">
        <v>12</v>
      </c>
      <c r="N4746" s="4">
        <f t="shared" si="1"/>
        <v>43311</v>
      </c>
      <c r="O4746" s="5" t="str">
        <f>IFERROR(__xludf.DUMMYFUNCTION("IF(REGEXMATCH(TRIM(I4746), ""^\d+\s*min""), ""Unclassified"", IF(I4746 = """", ""NR"", I4746))"),"TV-MA")</f>
        <v>TV-MA</v>
      </c>
      <c r="R4746" s="5" t="str">
        <f t="shared" si="2"/>
        <v>Swordgai The Animation</v>
      </c>
      <c r="S4746" s="5" t="str">
        <f>IFERROR(__xludf.DUMMYFUNCTION("""COMPUTED_VALUE"""),"Moonlight")</f>
        <v>Moonlight</v>
      </c>
      <c r="V4746" s="5"/>
      <c r="Y4746" s="5" t="str">
        <f>IFERROR(__xludf.DUMMYFUNCTION("REGEXEXTRACT(J4746, ""^\d+"")"),"2")</f>
        <v>2</v>
      </c>
      <c r="Z4746" s="5" t="str">
        <f>IFERROR(__xludf.DUMMYFUNCTION("REGEXEXTRACT(J4746, ""[A-Za-z ]+$"")")," Seasons")</f>
        <v> Seasons</v>
      </c>
      <c r="AA4746" s="5" t="str">
        <f>IFERROR(__xludf.DUMMYFUNCTION("IF(REGEXMATCH(Z4746, ""Season""), ""TV Show"", ""Movie"")"),"TV Show")</f>
        <v>TV Show</v>
      </c>
    </row>
    <row r="4747">
      <c r="A4747" s="1" t="s">
        <v>24992</v>
      </c>
      <c r="B4747" s="1" t="s">
        <v>27</v>
      </c>
      <c r="C4747" s="1" t="s">
        <v>24993</v>
      </c>
      <c r="D4747" s="1" t="s">
        <v>22280</v>
      </c>
      <c r="E4747" s="1" t="s">
        <v>24994</v>
      </c>
      <c r="F4747" s="1" t="s">
        <v>221</v>
      </c>
      <c r="G4747" s="1" t="s">
        <v>24995</v>
      </c>
      <c r="H4747" s="1">
        <v>2005.0</v>
      </c>
      <c r="I4747" s="1" t="s">
        <v>136</v>
      </c>
      <c r="J4747" s="1" t="s">
        <v>1001</v>
      </c>
      <c r="K4747" s="1" t="s">
        <v>2032</v>
      </c>
      <c r="L4747" s="1" t="s">
        <v>24996</v>
      </c>
      <c r="M4747" s="2" t="s">
        <v>12</v>
      </c>
      <c r="N4747" s="4">
        <f t="shared" si="1"/>
        <v>43309</v>
      </c>
      <c r="O4747" s="5" t="str">
        <f>IFERROR(__xludf.DUMMYFUNCTION("IF(REGEXMATCH(TRIM(I4747), ""^\d+\s*min""), ""Unclassified"", IF(I4747 = """", ""NR"", I4747))"),"TV-PG")</f>
        <v>TV-PG</v>
      </c>
      <c r="R4747" s="5" t="str">
        <f t="shared" si="2"/>
        <v>Da Kath &amp; Kim Code</v>
      </c>
      <c r="S4747" s="5" t="str">
        <f>IFERROR(__xludf.DUMMYFUNCTION("""COMPUTED_VALUE"""),"Moonwalkers")</f>
        <v>Moonwalkers</v>
      </c>
      <c r="V4747" s="5"/>
      <c r="Y4747" s="5" t="str">
        <f>IFERROR(__xludf.DUMMYFUNCTION("REGEXEXTRACT(J4747, ""^\d+"")"),"82")</f>
        <v>82</v>
      </c>
      <c r="Z4747" s="5" t="str">
        <f>IFERROR(__xludf.DUMMYFUNCTION("REGEXEXTRACT(J4747, ""[A-Za-z ]+$"")")," min")</f>
        <v> min</v>
      </c>
      <c r="AA4747" s="5" t="str">
        <f>IFERROR(__xludf.DUMMYFUNCTION("IF(REGEXMATCH(Z4747, ""Season""), ""TV Show"", ""Movie"")"),"Movie")</f>
        <v>Movie</v>
      </c>
    </row>
    <row r="4748">
      <c r="A4748" s="1" t="s">
        <v>24997</v>
      </c>
      <c r="B4748" s="1" t="s">
        <v>27</v>
      </c>
      <c r="C4748" s="1" t="s">
        <v>24998</v>
      </c>
      <c r="D4748" s="1" t="s">
        <v>22280</v>
      </c>
      <c r="E4748" s="1" t="s">
        <v>24999</v>
      </c>
      <c r="F4748" s="1" t="s">
        <v>221</v>
      </c>
      <c r="G4748" s="1" t="s">
        <v>24995</v>
      </c>
      <c r="H4748" s="1">
        <v>2012.0</v>
      </c>
      <c r="I4748" s="1" t="s">
        <v>97</v>
      </c>
      <c r="J4748" s="1" t="s">
        <v>1144</v>
      </c>
      <c r="K4748" s="1" t="s">
        <v>239</v>
      </c>
      <c r="L4748" s="1" t="s">
        <v>25000</v>
      </c>
      <c r="M4748" s="2" t="s">
        <v>12</v>
      </c>
      <c r="N4748" s="4">
        <f t="shared" si="1"/>
        <v>43309</v>
      </c>
      <c r="O4748" s="5" t="str">
        <f>IFERROR(__xludf.DUMMYFUNCTION("IF(REGEXMATCH(TRIM(I4748), ""^\d+\s*min""), ""Unclassified"", IF(I4748 = """", ""NR"", I4748))"),"TV-14")</f>
        <v>TV-14</v>
      </c>
      <c r="R4748" s="5" t="str">
        <f t="shared" si="2"/>
        <v>Kath &amp; Kimderella</v>
      </c>
      <c r="S4748" s="5" t="str">
        <f>IFERROR(__xludf.DUMMYFUNCTION("""COMPUTED_VALUE"""),"Moor")</f>
        <v>Moor</v>
      </c>
      <c r="V4748" s="5"/>
      <c r="Y4748" s="5" t="str">
        <f>IFERROR(__xludf.DUMMYFUNCTION("REGEXEXTRACT(J4748, ""^\d+"")"),"86")</f>
        <v>86</v>
      </c>
      <c r="Z4748" s="5" t="str">
        <f>IFERROR(__xludf.DUMMYFUNCTION("REGEXEXTRACT(J4748, ""[A-Za-z ]+$"")")," min")</f>
        <v> min</v>
      </c>
      <c r="AA4748" s="5" t="str">
        <f>IFERROR(__xludf.DUMMYFUNCTION("IF(REGEXMATCH(Z4748, ""Season""), ""TV Show"", ""Movie"")"),"Movie")</f>
        <v>Movie</v>
      </c>
    </row>
    <row r="4749">
      <c r="A4749" s="1" t="s">
        <v>25001</v>
      </c>
      <c r="B4749" s="1" t="s">
        <v>37</v>
      </c>
      <c r="C4749" s="1" t="s">
        <v>25002</v>
      </c>
      <c r="E4749" s="1" t="s">
        <v>24994</v>
      </c>
      <c r="F4749" s="1" t="s">
        <v>221</v>
      </c>
      <c r="G4749" s="1" t="s">
        <v>24995</v>
      </c>
      <c r="H4749" s="1">
        <v>2007.0</v>
      </c>
      <c r="I4749" s="1" t="s">
        <v>42</v>
      </c>
      <c r="J4749" s="1" t="s">
        <v>439</v>
      </c>
      <c r="K4749" s="1" t="s">
        <v>270</v>
      </c>
      <c r="L4749" s="1" t="s">
        <v>25003</v>
      </c>
      <c r="M4749" s="2" t="s">
        <v>12</v>
      </c>
      <c r="N4749" s="4">
        <f t="shared" si="1"/>
        <v>43309</v>
      </c>
      <c r="O4749" s="5" t="str">
        <f>IFERROR(__xludf.DUMMYFUNCTION("IF(REGEXMATCH(TRIM(I4749), ""^\d+\s*min""), ""Unclassified"", IF(I4749 = """", ""NR"", I4749))"),"TV-MA")</f>
        <v>TV-MA</v>
      </c>
      <c r="R4749" s="5" t="str">
        <f t="shared" si="2"/>
        <v>Kath And Kim</v>
      </c>
      <c r="S4749" s="5" t="str">
        <f>IFERROR(__xludf.DUMMYFUNCTION("""COMPUTED_VALUE"""),"More To Say")</f>
        <v>More To Say</v>
      </c>
      <c r="V4749" s="5"/>
      <c r="Y4749" s="5" t="str">
        <f>IFERROR(__xludf.DUMMYFUNCTION("REGEXEXTRACT(J4749, ""^\d+"")"),"6")</f>
        <v>6</v>
      </c>
      <c r="Z4749" s="5" t="str">
        <f>IFERROR(__xludf.DUMMYFUNCTION("REGEXEXTRACT(J4749, ""[A-Za-z ]+$"")")," Seasons")</f>
        <v> Seasons</v>
      </c>
      <c r="AA4749" s="5" t="str">
        <f>IFERROR(__xludf.DUMMYFUNCTION("IF(REGEXMATCH(Z4749, ""Season""), ""TV Show"", ""Movie"")"),"TV Show")</f>
        <v>TV Show</v>
      </c>
    </row>
    <row r="4750">
      <c r="A4750" s="1" t="s">
        <v>25004</v>
      </c>
      <c r="B4750" s="1" t="s">
        <v>27</v>
      </c>
      <c r="C4750" s="1" t="s">
        <v>25005</v>
      </c>
      <c r="D4750" s="1" t="s">
        <v>22810</v>
      </c>
      <c r="E4750" s="1" t="s">
        <v>25006</v>
      </c>
      <c r="F4750" s="1" t="s">
        <v>3217</v>
      </c>
      <c r="G4750" s="1" t="s">
        <v>24995</v>
      </c>
      <c r="H4750" s="1">
        <v>2017.0</v>
      </c>
      <c r="I4750" s="1" t="s">
        <v>42</v>
      </c>
      <c r="J4750" s="1" t="s">
        <v>433</v>
      </c>
      <c r="K4750" s="1" t="s">
        <v>6462</v>
      </c>
      <c r="L4750" s="1" t="s">
        <v>25007</v>
      </c>
      <c r="M4750" s="2" t="s">
        <v>12</v>
      </c>
      <c r="N4750" s="4">
        <f t="shared" si="1"/>
        <v>43309</v>
      </c>
      <c r="O4750" s="5" t="str">
        <f>IFERROR(__xludf.DUMMYFUNCTION("IF(REGEXMATCH(TRIM(I4750), ""^\d+\s*min""), ""Unclassified"", IF(I4750 = """", ""NR"", I4750))"),"TV-MA")</f>
        <v>TV-MA</v>
      </c>
      <c r="R4750" s="5" t="str">
        <f t="shared" si="2"/>
        <v>The Mansion</v>
      </c>
      <c r="S4750" s="5" t="str">
        <f>IFERROR(__xludf.DUMMYFUNCTION("""COMPUTED_VALUE"""),"Morphle")</f>
        <v>Morphle</v>
      </c>
      <c r="V4750" s="5"/>
      <c r="Y4750" s="5" t="str">
        <f>IFERROR(__xludf.DUMMYFUNCTION("REGEXEXTRACT(J4750, ""^\d+"")"),"100")</f>
        <v>100</v>
      </c>
      <c r="Z4750" s="5" t="str">
        <f>IFERROR(__xludf.DUMMYFUNCTION("REGEXEXTRACT(J4750, ""[A-Za-z ]+$"")")," min")</f>
        <v> min</v>
      </c>
      <c r="AA4750" s="5" t="str">
        <f>IFERROR(__xludf.DUMMYFUNCTION("IF(REGEXMATCH(Z4750, ""Season""), ""TV Show"", ""Movie"")"),"Movie")</f>
        <v>Movie</v>
      </c>
    </row>
    <row r="4751">
      <c r="A4751" s="1" t="s">
        <v>25008</v>
      </c>
      <c r="B4751" s="1" t="s">
        <v>27</v>
      </c>
      <c r="C4751" s="1" t="s">
        <v>25009</v>
      </c>
      <c r="D4751" s="1" t="s">
        <v>18885</v>
      </c>
      <c r="E4751" s="1" t="s">
        <v>25010</v>
      </c>
      <c r="F4751" s="1" t="s">
        <v>162</v>
      </c>
      <c r="G4751" s="1" t="s">
        <v>25011</v>
      </c>
      <c r="H4751" s="1">
        <v>2018.0</v>
      </c>
      <c r="I4751" s="1" t="s">
        <v>42</v>
      </c>
      <c r="J4751" s="1" t="s">
        <v>8832</v>
      </c>
      <c r="K4751" s="1" t="s">
        <v>1839</v>
      </c>
      <c r="L4751" s="1" t="s">
        <v>25012</v>
      </c>
      <c r="M4751" s="2" t="s">
        <v>12</v>
      </c>
      <c r="N4751" s="4">
        <f t="shared" si="1"/>
        <v>43308</v>
      </c>
      <c r="O4751" s="5" t="str">
        <f>IFERROR(__xludf.DUMMYFUNCTION("IF(REGEXMATCH(TRIM(I4751), ""^\d+\s*min""), ""Unclassified"", IF(I4751 = """", ""NR"", I4751))"),"TV-MA")</f>
        <v>TV-MA</v>
      </c>
      <c r="R4751" s="5" t="str">
        <f t="shared" si="2"/>
        <v>Coco Y Raulito: Carrusel De Ternura</v>
      </c>
      <c r="S4751" s="5" t="str">
        <f>IFERROR(__xludf.DUMMYFUNCTION("""COMPUTED_VALUE"""),"Morris From America")</f>
        <v>Morris From America</v>
      </c>
      <c r="V4751" s="5"/>
      <c r="Y4751" s="5" t="str">
        <f>IFERROR(__xludf.DUMMYFUNCTION("REGEXEXTRACT(J4751, ""^\d+"")"),"57")</f>
        <v>57</v>
      </c>
      <c r="Z4751" s="5" t="str">
        <f>IFERROR(__xludf.DUMMYFUNCTION("REGEXEXTRACT(J4751, ""[A-Za-z ]+$"")")," min")</f>
        <v> min</v>
      </c>
      <c r="AA4751" s="5" t="str">
        <f>IFERROR(__xludf.DUMMYFUNCTION("IF(REGEXMATCH(Z4751, ""Season""), ""TV Show"", ""Movie"")"),"Movie")</f>
        <v>Movie</v>
      </c>
    </row>
    <row r="4752">
      <c r="A4752" s="1" t="s">
        <v>25013</v>
      </c>
      <c r="B4752" s="1" t="s">
        <v>37</v>
      </c>
      <c r="C4752" s="1" t="s">
        <v>25014</v>
      </c>
      <c r="E4752" s="1" t="s">
        <v>25015</v>
      </c>
      <c r="F4752" s="1" t="s">
        <v>5541</v>
      </c>
      <c r="G4752" s="1" t="s">
        <v>25011</v>
      </c>
      <c r="H4752" s="1">
        <v>2018.0</v>
      </c>
      <c r="I4752" s="1" t="s">
        <v>42</v>
      </c>
      <c r="J4752" s="1" t="s">
        <v>276</v>
      </c>
      <c r="K4752" s="1" t="s">
        <v>7789</v>
      </c>
      <c r="L4752" s="1" t="s">
        <v>25016</v>
      </c>
      <c r="M4752" s="2" t="s">
        <v>12</v>
      </c>
      <c r="N4752" s="4">
        <f t="shared" si="1"/>
        <v>43308</v>
      </c>
      <c r="O4752" s="5" t="str">
        <f>IFERROR(__xludf.DUMMYFUNCTION("IF(REGEXMATCH(TRIM(I4752), ""^\d+\s*min""), ""Unclassified"", IF(I4752 = """", ""NR"", I4752))"),"TV-MA")</f>
        <v>TV-MA</v>
      </c>
      <c r="R4752" s="5" t="str">
        <f t="shared" si="2"/>
        <v>El Chapo</v>
      </c>
      <c r="S4752" s="5" t="str">
        <f>IFERROR(__xludf.DUMMYFUNCTION("""COMPUTED_VALUE"""),"Mortal Kombat")</f>
        <v>Mortal Kombat</v>
      </c>
      <c r="V4752" s="5"/>
      <c r="Y4752" s="5" t="str">
        <f>IFERROR(__xludf.DUMMYFUNCTION("REGEXEXTRACT(J4752, ""^\d+"")"),"3")</f>
        <v>3</v>
      </c>
      <c r="Z4752" s="5" t="str">
        <f>IFERROR(__xludf.DUMMYFUNCTION("REGEXEXTRACT(J4752, ""[A-Za-z ]+$"")")," Seasons")</f>
        <v> Seasons</v>
      </c>
      <c r="AA4752" s="5" t="str">
        <f>IFERROR(__xludf.DUMMYFUNCTION("IF(REGEXMATCH(Z4752, ""Season""), ""TV Show"", ""Movie"")"),"TV Show")</f>
        <v>TV Show</v>
      </c>
    </row>
    <row r="4753">
      <c r="A4753" s="1" t="s">
        <v>25017</v>
      </c>
      <c r="B4753" s="1" t="s">
        <v>27</v>
      </c>
      <c r="C4753" s="1" t="s">
        <v>25018</v>
      </c>
      <c r="D4753" s="1" t="s">
        <v>3204</v>
      </c>
      <c r="E4753" s="1" t="s">
        <v>25019</v>
      </c>
      <c r="F4753" s="1" t="s">
        <v>30</v>
      </c>
      <c r="G4753" s="1" t="s">
        <v>25011</v>
      </c>
      <c r="H4753" s="1">
        <v>2018.0</v>
      </c>
      <c r="I4753" s="1" t="s">
        <v>42</v>
      </c>
      <c r="J4753" s="1" t="s">
        <v>465</v>
      </c>
      <c r="K4753" s="1" t="s">
        <v>2282</v>
      </c>
      <c r="L4753" s="1" t="s">
        <v>25020</v>
      </c>
      <c r="M4753" s="2" t="s">
        <v>12</v>
      </c>
      <c r="N4753" s="4">
        <f t="shared" si="1"/>
        <v>43308</v>
      </c>
      <c r="O4753" s="5" t="str">
        <f>IFERROR(__xludf.DUMMYFUNCTION("IF(REGEXMATCH(TRIM(I4753), ""^\d+\s*min""), ""Unclassified"", IF(I4753 = """", ""NR"", I4753))"),"TV-MA")</f>
        <v>TV-MA</v>
      </c>
      <c r="R4753" s="5" t="str">
        <f t="shared" si="2"/>
        <v>Extinction</v>
      </c>
      <c r="S4753" s="5" t="str">
        <f>IFERROR(__xludf.DUMMYFUNCTION("""COMPUTED_VALUE"""),"Mortel")</f>
        <v>Mortel</v>
      </c>
      <c r="V4753" s="5"/>
      <c r="Y4753" s="5" t="str">
        <f>IFERROR(__xludf.DUMMYFUNCTION("REGEXEXTRACT(J4753, ""^\d+"")"),"95")</f>
        <v>95</v>
      </c>
      <c r="Z4753" s="5" t="str">
        <f>IFERROR(__xludf.DUMMYFUNCTION("REGEXEXTRACT(J4753, ""[A-Za-z ]+$"")")," min")</f>
        <v> min</v>
      </c>
      <c r="AA4753" s="5" t="str">
        <f>IFERROR(__xludf.DUMMYFUNCTION("IF(REGEXMATCH(Z4753, ""Season""), ""TV Show"", ""Movie"")"),"Movie")</f>
        <v>Movie</v>
      </c>
    </row>
    <row r="4754">
      <c r="A4754" s="1" t="s">
        <v>25021</v>
      </c>
      <c r="B4754" s="1" t="s">
        <v>37</v>
      </c>
      <c r="C4754" s="1" t="s">
        <v>25022</v>
      </c>
      <c r="E4754" s="1" t="s">
        <v>25023</v>
      </c>
      <c r="F4754" s="1" t="s">
        <v>415</v>
      </c>
      <c r="G4754" s="1" t="s">
        <v>25011</v>
      </c>
      <c r="H4754" s="1">
        <v>2018.0</v>
      </c>
      <c r="I4754" s="1" t="s">
        <v>42</v>
      </c>
      <c r="J4754" s="1" t="s">
        <v>51</v>
      </c>
      <c r="K4754" s="1" t="s">
        <v>52</v>
      </c>
      <c r="L4754" s="1" t="s">
        <v>25024</v>
      </c>
      <c r="M4754" s="2" t="s">
        <v>12</v>
      </c>
      <c r="N4754" s="4">
        <f t="shared" si="1"/>
        <v>43308</v>
      </c>
      <c r="O4754" s="5" t="str">
        <f>IFERROR(__xludf.DUMMYFUNCTION("IF(REGEXMATCH(TRIM(I4754), ""^\d+\s*min""), ""Unclassified"", IF(I4754 = """", ""NR"", I4754))"),"TV-MA")</f>
        <v>TV-MA</v>
      </c>
      <c r="R4754" s="5" t="str">
        <f t="shared" si="2"/>
        <v>Smoking</v>
      </c>
      <c r="S4754" s="5" t="str">
        <f>IFERROR(__xludf.DUMMYFUNCTION("""COMPUTED_VALUE"""),"Mortified Nation")</f>
        <v>Mortified Nation</v>
      </c>
      <c r="V4754" s="5"/>
      <c r="Y4754" s="5" t="str">
        <f>IFERROR(__xludf.DUMMYFUNCTION("REGEXEXTRACT(J4754, ""^\d+"")"),"1")</f>
        <v>1</v>
      </c>
      <c r="Z4754" s="5" t="str">
        <f>IFERROR(__xludf.DUMMYFUNCTION("REGEXEXTRACT(J4754, ""[A-Za-z ]+$"")")," Season")</f>
        <v> Season</v>
      </c>
      <c r="AA4754" s="5" t="str">
        <f>IFERROR(__xludf.DUMMYFUNCTION("IF(REGEXMATCH(Z4754, ""Season""), ""TV Show"", ""Movie"")"),"TV Show")</f>
        <v>TV Show</v>
      </c>
    </row>
    <row r="4755">
      <c r="A4755" s="1" t="s">
        <v>25025</v>
      </c>
      <c r="B4755" s="1" t="s">
        <v>27</v>
      </c>
      <c r="C4755" s="1" t="s">
        <v>25026</v>
      </c>
      <c r="D4755" s="1" t="s">
        <v>13050</v>
      </c>
      <c r="F4755" s="1" t="s">
        <v>972</v>
      </c>
      <c r="G4755" s="1" t="s">
        <v>25011</v>
      </c>
      <c r="H4755" s="1">
        <v>2018.0</v>
      </c>
      <c r="I4755" s="1" t="s">
        <v>97</v>
      </c>
      <c r="J4755" s="1" t="s">
        <v>1091</v>
      </c>
      <c r="K4755" s="1" t="s">
        <v>34</v>
      </c>
      <c r="L4755" s="1" t="s">
        <v>25027</v>
      </c>
      <c r="M4755" s="2" t="s">
        <v>12</v>
      </c>
      <c r="N4755" s="4">
        <f t="shared" si="1"/>
        <v>43308</v>
      </c>
      <c r="O4755" s="5" t="str">
        <f>IFERROR(__xludf.DUMMYFUNCTION("IF(REGEXMATCH(TRIM(I4755), ""^\d+\s*min""), ""Unclassified"", IF(I4755 = """", ""NR"", I4755))"),"TV-14")</f>
        <v>TV-14</v>
      </c>
      <c r="R4755" s="5" t="str">
        <f t="shared" si="2"/>
        <v>The Bleeding Edge</v>
      </c>
      <c r="S4755" s="5" t="str">
        <f>IFERROR(__xludf.DUMMYFUNCTION("""COMPUTED_VALUE"""),"Morya")</f>
        <v>Morya</v>
      </c>
      <c r="V4755" s="5"/>
      <c r="Y4755" s="5" t="str">
        <f>IFERROR(__xludf.DUMMYFUNCTION("REGEXEXTRACT(J4755, ""^\d+"")"),"101")</f>
        <v>101</v>
      </c>
      <c r="Z4755" s="5" t="str">
        <f>IFERROR(__xludf.DUMMYFUNCTION("REGEXEXTRACT(J4755, ""[A-Za-z ]+$"")")," min")</f>
        <v> min</v>
      </c>
      <c r="AA4755" s="5" t="str">
        <f>IFERROR(__xludf.DUMMYFUNCTION("IF(REGEXMATCH(Z4755, ""Season""), ""TV Show"", ""Movie"")"),"Movie")</f>
        <v>Movie</v>
      </c>
    </row>
    <row r="4756">
      <c r="A4756" s="1" t="s">
        <v>25028</v>
      </c>
      <c r="B4756" s="1" t="s">
        <v>37</v>
      </c>
      <c r="C4756" s="1" t="s">
        <v>25029</v>
      </c>
      <c r="E4756" s="1" t="s">
        <v>25030</v>
      </c>
      <c r="F4756" s="1" t="s">
        <v>784</v>
      </c>
      <c r="G4756" s="1" t="s">
        <v>25011</v>
      </c>
      <c r="H4756" s="1">
        <v>2018.0</v>
      </c>
      <c r="I4756" s="1" t="s">
        <v>42</v>
      </c>
      <c r="J4756" s="1" t="s">
        <v>51</v>
      </c>
      <c r="K4756" s="1" t="s">
        <v>1531</v>
      </c>
      <c r="L4756" s="1" t="s">
        <v>25031</v>
      </c>
      <c r="M4756" s="2" t="s">
        <v>12</v>
      </c>
      <c r="N4756" s="4">
        <f t="shared" si="1"/>
        <v>43308</v>
      </c>
      <c r="O4756" s="5" t="str">
        <f>IFERROR(__xludf.DUMMYFUNCTION("IF(REGEXMATCH(TRIM(I4756), ""^\d+\s*min""), ""Unclassified"", IF(I4756 = """", ""NR"", I4756))"),"TV-MA")</f>
        <v>TV-MA</v>
      </c>
      <c r="R4756" s="5" t="str">
        <f t="shared" si="2"/>
        <v>Welcome To The Family</v>
      </c>
      <c r="S4756" s="5" t="str">
        <f>IFERROR(__xludf.DUMMYFUNCTION("""COMPUTED_VALUE"""),"Moshe Kasher: Live In Oakland")</f>
        <v>Moshe Kasher: Live In Oakland</v>
      </c>
      <c r="V4756" s="5"/>
      <c r="Y4756" s="5" t="str">
        <f>IFERROR(__xludf.DUMMYFUNCTION("REGEXEXTRACT(J4756, ""^\d+"")"),"1")</f>
        <v>1</v>
      </c>
      <c r="Z4756" s="5" t="str">
        <f>IFERROR(__xludf.DUMMYFUNCTION("REGEXEXTRACT(J4756, ""[A-Za-z ]+$"")")," Season")</f>
        <v> Season</v>
      </c>
      <c r="AA4756" s="5" t="str">
        <f>IFERROR(__xludf.DUMMYFUNCTION("IF(REGEXMATCH(Z4756, ""Season""), ""TV Show"", ""Movie"")"),"TV Show")</f>
        <v>TV Show</v>
      </c>
    </row>
    <row r="4757">
      <c r="A4757" s="1" t="s">
        <v>25032</v>
      </c>
      <c r="B4757" s="1" t="s">
        <v>27</v>
      </c>
      <c r="C4757" s="1" t="s">
        <v>25033</v>
      </c>
      <c r="D4757" s="1" t="s">
        <v>285</v>
      </c>
      <c r="E4757" s="1" t="s">
        <v>25034</v>
      </c>
      <c r="F4757" s="1" t="s">
        <v>63</v>
      </c>
      <c r="G4757" s="1" t="s">
        <v>25035</v>
      </c>
      <c r="H4757" s="1">
        <v>2018.0</v>
      </c>
      <c r="I4757" s="1" t="s">
        <v>136</v>
      </c>
      <c r="J4757" s="1" t="s">
        <v>341</v>
      </c>
      <c r="K4757" s="1" t="s">
        <v>128</v>
      </c>
      <c r="L4757" s="1" t="s">
        <v>25036</v>
      </c>
      <c r="M4757" s="2" t="s">
        <v>12</v>
      </c>
      <c r="N4757" s="4">
        <f t="shared" si="1"/>
        <v>43306</v>
      </c>
      <c r="O4757" s="5" t="str">
        <f>IFERROR(__xludf.DUMMYFUNCTION("IF(REGEXMATCH(TRIM(I4757), ""^\d+\s*min""), ""Unclassified"", IF(I4757 = """", ""NR"", I4757))"),"TV-PG")</f>
        <v>TV-PG</v>
      </c>
      <c r="R4757" s="5" t="str">
        <f t="shared" si="2"/>
        <v>Parmanu: The Story Of Pokhran</v>
      </c>
      <c r="S4757" s="5" t="str">
        <f>IFERROR(__xludf.DUMMYFUNCTION("""COMPUTED_VALUE"""),"Mosquita Y Mari")</f>
        <v>Mosquita Y Mari</v>
      </c>
      <c r="V4757" s="5"/>
      <c r="Y4757" s="5" t="str">
        <f>IFERROR(__xludf.DUMMYFUNCTION("REGEXEXTRACT(J4757, ""^\d+"")"),"124")</f>
        <v>124</v>
      </c>
      <c r="Z4757" s="5" t="str">
        <f>IFERROR(__xludf.DUMMYFUNCTION("REGEXEXTRACT(J4757, ""[A-Za-z ]+$"")")," min")</f>
        <v> min</v>
      </c>
      <c r="AA4757" s="5" t="str">
        <f>IFERROR(__xludf.DUMMYFUNCTION("IF(REGEXMATCH(Z4757, ""Season""), ""TV Show"", ""Movie"")"),"Movie")</f>
        <v>Movie</v>
      </c>
    </row>
    <row r="4758">
      <c r="A4758" s="1" t="s">
        <v>25037</v>
      </c>
      <c r="B4758" s="1" t="s">
        <v>27</v>
      </c>
      <c r="C4758" s="1" t="s">
        <v>25038</v>
      </c>
      <c r="D4758" s="1" t="s">
        <v>17975</v>
      </c>
      <c r="E4758" s="1" t="s">
        <v>17976</v>
      </c>
      <c r="F4758" s="1" t="s">
        <v>30</v>
      </c>
      <c r="G4758" s="1" t="s">
        <v>25039</v>
      </c>
      <c r="H4758" s="1">
        <v>2018.0</v>
      </c>
      <c r="I4758" s="1" t="s">
        <v>42</v>
      </c>
      <c r="J4758" s="1" t="s">
        <v>4699</v>
      </c>
      <c r="K4758" s="1" t="s">
        <v>1839</v>
      </c>
      <c r="L4758" s="1" t="s">
        <v>25040</v>
      </c>
      <c r="M4758" s="2" t="s">
        <v>12</v>
      </c>
      <c r="N4758" s="4">
        <f t="shared" si="1"/>
        <v>43305</v>
      </c>
      <c r="O4758" s="5" t="str">
        <f>IFERROR(__xludf.DUMMYFUNCTION("IF(REGEXMATCH(TRIM(I4758), ""^\d+\s*min""), ""Unclassified"", IF(I4758 = """", ""NR"", I4758))"),"TV-MA")</f>
        <v>TV-MA</v>
      </c>
      <c r="R4758" s="5" t="str">
        <f t="shared" si="2"/>
        <v>Iliza Shlesinger: Elder Millennial</v>
      </c>
      <c r="S4758" s="5" t="str">
        <f>IFERROR(__xludf.DUMMYFUNCTION("""COMPUTED_VALUE"""),"Mossad 101")</f>
        <v>Mossad 101</v>
      </c>
      <c r="V4758" s="5"/>
      <c r="Y4758" s="5" t="str">
        <f>IFERROR(__xludf.DUMMYFUNCTION("REGEXEXTRACT(J4758, ""^\d+"")"),"72")</f>
        <v>72</v>
      </c>
      <c r="Z4758" s="5" t="str">
        <f>IFERROR(__xludf.DUMMYFUNCTION("REGEXEXTRACT(J4758, ""[A-Za-z ]+$"")")," min")</f>
        <v> min</v>
      </c>
      <c r="AA4758" s="5" t="str">
        <f>IFERROR(__xludf.DUMMYFUNCTION("IF(REGEXMATCH(Z4758, ""Season""), ""TV Show"", ""Movie"")"),"Movie")</f>
        <v>Movie</v>
      </c>
    </row>
    <row r="4759">
      <c r="A4759" s="1" t="s">
        <v>25041</v>
      </c>
      <c r="B4759" s="1" t="s">
        <v>27</v>
      </c>
      <c r="C4759" s="1" t="s">
        <v>25042</v>
      </c>
      <c r="D4759" s="1" t="s">
        <v>5502</v>
      </c>
      <c r="E4759" s="1" t="s">
        <v>25043</v>
      </c>
      <c r="F4759" s="1" t="s">
        <v>784</v>
      </c>
      <c r="G4759" s="1" t="s">
        <v>25039</v>
      </c>
      <c r="H4759" s="1">
        <v>2018.0</v>
      </c>
      <c r="I4759" s="1" t="s">
        <v>42</v>
      </c>
      <c r="J4759" s="1" t="s">
        <v>454</v>
      </c>
      <c r="K4759" s="1" t="s">
        <v>631</v>
      </c>
      <c r="L4759" s="1" t="s">
        <v>25044</v>
      </c>
      <c r="M4759" s="2" t="s">
        <v>12</v>
      </c>
      <c r="N4759" s="4">
        <f t="shared" si="1"/>
        <v>43305</v>
      </c>
      <c r="O4759" s="5" t="str">
        <f>IFERROR(__xludf.DUMMYFUNCTION("IF(REGEXMATCH(TRIM(I4759), ""^\d+\s*min""), ""Unclassified"", IF(I4759 = """", ""NR"", I4759))"),"TV-MA")</f>
        <v>TV-MA</v>
      </c>
      <c r="R4759" s="5" t="str">
        <f t="shared" si="2"/>
        <v>The Warning</v>
      </c>
      <c r="S4759" s="5" t="str">
        <f>IFERROR(__xludf.DUMMYFUNCTION("""COMPUTED_VALUE"""),"Most Beautiful Thing")</f>
        <v>Most Beautiful Thing</v>
      </c>
      <c r="V4759" s="5"/>
      <c r="Y4759" s="5" t="str">
        <f>IFERROR(__xludf.DUMMYFUNCTION("REGEXEXTRACT(J4759, ""^\d+"")"),"93")</f>
        <v>93</v>
      </c>
      <c r="Z4759" s="5" t="str">
        <f>IFERROR(__xludf.DUMMYFUNCTION("REGEXEXTRACT(J4759, ""[A-Za-z ]+$"")")," min")</f>
        <v> min</v>
      </c>
      <c r="AA4759" s="5" t="str">
        <f>IFERROR(__xludf.DUMMYFUNCTION("IF(REGEXMATCH(Z4759, ""Season""), ""TV Show"", ""Movie"")"),"Movie")</f>
        <v>Movie</v>
      </c>
    </row>
    <row r="4760">
      <c r="A4760" s="1" t="s">
        <v>25045</v>
      </c>
      <c r="B4760" s="1" t="s">
        <v>37</v>
      </c>
      <c r="C4760" s="1" t="s">
        <v>25046</v>
      </c>
      <c r="F4760" s="1" t="s">
        <v>96</v>
      </c>
      <c r="G4760" s="1" t="s">
        <v>25047</v>
      </c>
      <c r="H4760" s="1">
        <v>2018.0</v>
      </c>
      <c r="I4760" s="1" t="s">
        <v>136</v>
      </c>
      <c r="J4760" s="1" t="s">
        <v>51</v>
      </c>
      <c r="K4760" s="1" t="s">
        <v>2382</v>
      </c>
      <c r="L4760" s="1" t="s">
        <v>25048</v>
      </c>
      <c r="M4760" s="2" t="s">
        <v>12</v>
      </c>
      <c r="N4760" s="4">
        <f t="shared" si="1"/>
        <v>43301</v>
      </c>
      <c r="O4760" s="5" t="str">
        <f>IFERROR(__xludf.DUMMYFUNCTION("IF(REGEXMATCH(TRIM(I4760), ""^\d+\s*min""), ""Unclassified"", IF(I4760 = """", ""NR"", I4760))"),"TV-PG")</f>
        <v>TV-PG</v>
      </c>
      <c r="R4760" s="5" t="str">
        <f t="shared" si="2"/>
        <v>Amazing Interiors</v>
      </c>
      <c r="S4760" s="5" t="str">
        <f>IFERROR(__xludf.DUMMYFUNCTION("""COMPUTED_VALUE"""),"Mostly Sunny")</f>
        <v>Mostly Sunny</v>
      </c>
      <c r="V4760" s="5"/>
      <c r="Y4760" s="5" t="str">
        <f>IFERROR(__xludf.DUMMYFUNCTION("REGEXEXTRACT(J4760, ""^\d+"")"),"1")</f>
        <v>1</v>
      </c>
      <c r="Z4760" s="5" t="str">
        <f>IFERROR(__xludf.DUMMYFUNCTION("REGEXEXTRACT(J4760, ""[A-Za-z ]+$"")")," Season")</f>
        <v> Season</v>
      </c>
      <c r="AA4760" s="5" t="str">
        <f>IFERROR(__xludf.DUMMYFUNCTION("IF(REGEXMATCH(Z4760, ""Season""), ""TV Show"", ""Movie"")"),"TV Show")</f>
        <v>TV Show</v>
      </c>
    </row>
    <row r="4761">
      <c r="A4761" s="1" t="s">
        <v>25049</v>
      </c>
      <c r="B4761" s="1" t="s">
        <v>37</v>
      </c>
      <c r="C4761" s="1" t="s">
        <v>25050</v>
      </c>
      <c r="F4761" s="1" t="s">
        <v>2715</v>
      </c>
      <c r="G4761" s="1" t="s">
        <v>25047</v>
      </c>
      <c r="H4761" s="1">
        <v>2018.0</v>
      </c>
      <c r="I4761" s="1" t="s">
        <v>42</v>
      </c>
      <c r="J4761" s="1" t="s">
        <v>51</v>
      </c>
      <c r="K4761" s="1" t="s">
        <v>507</v>
      </c>
      <c r="L4761" s="1" t="s">
        <v>25051</v>
      </c>
      <c r="M4761" s="2" t="s">
        <v>12</v>
      </c>
      <c r="N4761" s="4">
        <f t="shared" si="1"/>
        <v>43301</v>
      </c>
      <c r="O4761" s="5" t="str">
        <f>IFERROR(__xludf.DUMMYFUNCTION("IF(REGEXMATCH(TRIM(I4761), ""^\d+\s*min""), ""Unclassified"", IF(I4761 = """", ""NR"", I4761))"),"TV-MA")</f>
        <v>TV-MA</v>
      </c>
      <c r="R4761" s="5" t="str">
        <f t="shared" si="2"/>
        <v>Dark Tourist</v>
      </c>
      <c r="S4761" s="5" t="str">
        <f>IFERROR(__xludf.DUMMYFUNCTION("""COMPUTED_VALUE"""),"Mosul")</f>
        <v>Mosul</v>
      </c>
      <c r="V4761" s="5"/>
      <c r="Y4761" s="5" t="str">
        <f>IFERROR(__xludf.DUMMYFUNCTION("REGEXEXTRACT(J4761, ""^\d+"")"),"1")</f>
        <v>1</v>
      </c>
      <c r="Z4761" s="5" t="str">
        <f>IFERROR(__xludf.DUMMYFUNCTION("REGEXEXTRACT(J4761, ""[A-Za-z ]+$"")")," Season")</f>
        <v> Season</v>
      </c>
      <c r="AA4761" s="5" t="str">
        <f>IFERROR(__xludf.DUMMYFUNCTION("IF(REGEXMATCH(Z4761, ""Season""), ""TV Show"", ""Movie"")"),"TV Show")</f>
        <v>TV Show</v>
      </c>
    </row>
    <row r="4762">
      <c r="A4762" s="1" t="s">
        <v>25052</v>
      </c>
      <c r="B4762" s="1" t="s">
        <v>27</v>
      </c>
      <c r="C4762" s="1" t="s">
        <v>25053</v>
      </c>
      <c r="D4762" s="1" t="s">
        <v>4725</v>
      </c>
      <c r="E4762" s="1" t="s">
        <v>25054</v>
      </c>
      <c r="F4762" s="1" t="s">
        <v>25055</v>
      </c>
      <c r="G4762" s="1" t="s">
        <v>25047</v>
      </c>
      <c r="H4762" s="1">
        <v>2018.0</v>
      </c>
      <c r="I4762" s="1" t="s">
        <v>78</v>
      </c>
      <c r="J4762" s="1" t="s">
        <v>665</v>
      </c>
      <c r="K4762" s="1" t="s">
        <v>137</v>
      </c>
      <c r="L4762" s="1" t="s">
        <v>25056</v>
      </c>
      <c r="M4762" s="2" t="s">
        <v>12</v>
      </c>
      <c r="N4762" s="4">
        <f t="shared" si="1"/>
        <v>43301</v>
      </c>
      <c r="O4762" s="5" t="str">
        <f>IFERROR(__xludf.DUMMYFUNCTION("IF(REGEXMATCH(TRIM(I4762), ""^\d+\s*min""), ""Unclassified"", IF(I4762 = """", ""NR"", I4762))"),"PG")</f>
        <v>PG</v>
      </c>
      <c r="R4762" s="5" t="str">
        <f t="shared" si="2"/>
        <v>Duck Duck Goose</v>
      </c>
      <c r="S4762" s="5" t="str">
        <f>IFERROR(__xludf.DUMMYFUNCTION("""COMPUTED_VALUE"""),"Motel Makeover")</f>
        <v>Motel Makeover</v>
      </c>
      <c r="V4762" s="5"/>
      <c r="Y4762" s="5" t="str">
        <f>IFERROR(__xludf.DUMMYFUNCTION("REGEXEXTRACT(J4762, ""^\d+"")"),"92")</f>
        <v>92</v>
      </c>
      <c r="Z4762" s="5" t="str">
        <f>IFERROR(__xludf.DUMMYFUNCTION("REGEXEXTRACT(J4762, ""[A-Za-z ]+$"")")," min")</f>
        <v> min</v>
      </c>
      <c r="AA4762" s="5" t="str">
        <f>IFERROR(__xludf.DUMMYFUNCTION("IF(REGEXMATCH(Z4762, ""Season""), ""TV Show"", ""Movie"")"),"Movie")</f>
        <v>Movie</v>
      </c>
    </row>
    <row r="4763">
      <c r="A4763" s="1" t="s">
        <v>25057</v>
      </c>
      <c r="B4763" s="1" t="s">
        <v>27</v>
      </c>
      <c r="C4763" s="1" t="s">
        <v>25058</v>
      </c>
      <c r="E4763" s="1" t="s">
        <v>25059</v>
      </c>
      <c r="F4763" s="1" t="s">
        <v>30</v>
      </c>
      <c r="G4763" s="1" t="s">
        <v>25047</v>
      </c>
      <c r="H4763" s="1">
        <v>2018.0</v>
      </c>
      <c r="I4763" s="1" t="s">
        <v>42</v>
      </c>
      <c r="J4763" s="1" t="s">
        <v>465</v>
      </c>
      <c r="K4763" s="1" t="s">
        <v>239</v>
      </c>
      <c r="L4763" s="1" t="s">
        <v>25060</v>
      </c>
      <c r="M4763" s="2" t="s">
        <v>12</v>
      </c>
      <c r="N4763" s="4">
        <f t="shared" si="1"/>
        <v>43301</v>
      </c>
      <c r="O4763" s="5" t="str">
        <f>IFERROR(__xludf.DUMMYFUNCTION("IF(REGEXMATCH(TRIM(I4763), ""^\d+\s*min""), ""Unclassified"", IF(I4763 = """", ""NR"", I4763))"),"TV-MA")</f>
        <v>TV-MA</v>
      </c>
      <c r="R4763" s="5" t="str">
        <f t="shared" si="2"/>
        <v>Father Of The Year</v>
      </c>
      <c r="S4763" s="5" t="str">
        <f>IFERROR(__xludf.DUMMYFUNCTION("""COMPUTED_VALUE"""),"Mother")</f>
        <v>Mother</v>
      </c>
      <c r="V4763" s="5"/>
      <c r="Y4763" s="5" t="str">
        <f>IFERROR(__xludf.DUMMYFUNCTION("REGEXEXTRACT(J4763, ""^\d+"")"),"95")</f>
        <v>95</v>
      </c>
      <c r="Z4763" s="5" t="str">
        <f>IFERROR(__xludf.DUMMYFUNCTION("REGEXEXTRACT(J4763, ""[A-Za-z ]+$"")")," min")</f>
        <v> min</v>
      </c>
      <c r="AA4763" s="5" t="str">
        <f>IFERROR(__xludf.DUMMYFUNCTION("IF(REGEXMATCH(Z4763, ""Season""), ""TV Show"", ""Movie"")"),"Movie")</f>
        <v>Movie</v>
      </c>
    </row>
    <row r="4764">
      <c r="A4764" s="1" t="s">
        <v>25061</v>
      </c>
      <c r="B4764" s="1" t="s">
        <v>37</v>
      </c>
      <c r="C4764" s="1" t="s">
        <v>25062</v>
      </c>
      <c r="E4764" s="1" t="s">
        <v>25063</v>
      </c>
      <c r="F4764" s="1" t="s">
        <v>30</v>
      </c>
      <c r="G4764" s="1" t="s">
        <v>25047</v>
      </c>
      <c r="H4764" s="1">
        <v>2018.0</v>
      </c>
      <c r="I4764" s="1" t="s">
        <v>289</v>
      </c>
      <c r="J4764" s="1" t="s">
        <v>148</v>
      </c>
      <c r="K4764" s="1" t="s">
        <v>314</v>
      </c>
      <c r="L4764" s="1" t="s">
        <v>25064</v>
      </c>
      <c r="M4764" s="2" t="s">
        <v>12</v>
      </c>
      <c r="N4764" s="4">
        <f t="shared" si="1"/>
        <v>43301</v>
      </c>
      <c r="O4764" s="5" t="str">
        <f>IFERROR(__xludf.DUMMYFUNCTION("IF(REGEXMATCH(TRIM(I4764), ""^\d+\s*min""), ""Unclassified"", IF(I4764 = """", ""NR"", I4764))"),"TV-Y7")</f>
        <v>TV-Y7</v>
      </c>
      <c r="R4764" s="5" t="str">
        <f t="shared" si="2"/>
        <v>Home: Adventures With Tip &amp; Oh</v>
      </c>
      <c r="S4764" s="5" t="str">
        <f>IFERROR(__xludf.DUMMYFUNCTION("""COMPUTED_VALUE"""),"Mother Goose Club")</f>
        <v>Mother Goose Club</v>
      </c>
      <c r="V4764" s="5"/>
      <c r="Y4764" s="5" t="str">
        <f>IFERROR(__xludf.DUMMYFUNCTION("REGEXEXTRACT(J4764, ""^\d+"")"),"4")</f>
        <v>4</v>
      </c>
      <c r="Z4764" s="5" t="str">
        <f>IFERROR(__xludf.DUMMYFUNCTION("REGEXEXTRACT(J4764, ""[A-Za-z ]+$"")")," Seasons")</f>
        <v> Seasons</v>
      </c>
      <c r="AA4764" s="5" t="str">
        <f>IFERROR(__xludf.DUMMYFUNCTION("IF(REGEXMATCH(Z4764, ""Season""), ""TV Show"", ""Movie"")"),"TV Show")</f>
        <v>TV Show</v>
      </c>
    </row>
    <row r="4765">
      <c r="A4765" s="1" t="s">
        <v>25065</v>
      </c>
      <c r="B4765" s="1" t="s">
        <v>37</v>
      </c>
      <c r="C4765" s="1" t="s">
        <v>25066</v>
      </c>
      <c r="E4765" s="1" t="s">
        <v>25067</v>
      </c>
      <c r="F4765" s="1" t="s">
        <v>415</v>
      </c>
      <c r="G4765" s="1" t="s">
        <v>25047</v>
      </c>
      <c r="H4765" s="1">
        <v>2018.0</v>
      </c>
      <c r="I4765" s="1" t="s">
        <v>42</v>
      </c>
      <c r="J4765" s="1" t="s">
        <v>51</v>
      </c>
      <c r="K4765" s="1" t="s">
        <v>1531</v>
      </c>
      <c r="L4765" s="1" t="s">
        <v>25068</v>
      </c>
      <c r="M4765" s="2" t="s">
        <v>12</v>
      </c>
      <c r="N4765" s="4">
        <f t="shared" si="1"/>
        <v>43301</v>
      </c>
      <c r="O4765" s="5" t="str">
        <f>IFERROR(__xludf.DUMMYFUNCTION("IF(REGEXMATCH(TRIM(I4765), ""^\d+\s*min""), ""Unclassified"", IF(I4765 = """", ""NR"", I4765))"),"TV-MA")</f>
        <v>TV-MA</v>
      </c>
      <c r="R4765" s="5" t="str">
        <f t="shared" si="2"/>
        <v>Jimmy: The True Story Of A True Idiot</v>
      </c>
      <c r="S4765" s="5" t="str">
        <f>IFERROR(__xludf.DUMMYFUNCTION("""COMPUTED_VALUE"""),"Mother'S Day")</f>
        <v>Mother'S Day</v>
      </c>
      <c r="V4765" s="5"/>
      <c r="Y4765" s="5" t="str">
        <f>IFERROR(__xludf.DUMMYFUNCTION("REGEXEXTRACT(J4765, ""^\d+"")"),"1")</f>
        <v>1</v>
      </c>
      <c r="Z4765" s="5" t="str">
        <f>IFERROR(__xludf.DUMMYFUNCTION("REGEXEXTRACT(J4765, ""[A-Za-z ]+$"")")," Season")</f>
        <v> Season</v>
      </c>
      <c r="AA4765" s="5" t="str">
        <f>IFERROR(__xludf.DUMMYFUNCTION("IF(REGEXMATCH(Z4765, ""Season""), ""TV Show"", ""Movie"")"),"TV Show")</f>
        <v>TV Show</v>
      </c>
    </row>
    <row r="4766">
      <c r="A4766" s="1" t="s">
        <v>25069</v>
      </c>
      <c r="B4766" s="1" t="s">
        <v>37</v>
      </c>
      <c r="C4766" s="1" t="s">
        <v>25070</v>
      </c>
      <c r="E4766" s="1" t="s">
        <v>25071</v>
      </c>
      <c r="F4766" s="1" t="s">
        <v>1979</v>
      </c>
      <c r="G4766" s="1" t="s">
        <v>25047</v>
      </c>
      <c r="H4766" s="1">
        <v>2018.0</v>
      </c>
      <c r="I4766" s="1" t="s">
        <v>206</v>
      </c>
      <c r="J4766" s="1" t="s">
        <v>43</v>
      </c>
      <c r="K4766" s="1" t="s">
        <v>290</v>
      </c>
      <c r="L4766" s="1" t="s">
        <v>25072</v>
      </c>
      <c r="M4766" s="2" t="s">
        <v>12</v>
      </c>
      <c r="N4766" s="4">
        <f t="shared" si="1"/>
        <v>43301</v>
      </c>
      <c r="O4766" s="5" t="str">
        <f>IFERROR(__xludf.DUMMYFUNCTION("IF(REGEXMATCH(TRIM(I4766), ""^\d+\s*min""), ""Unclassified"", IF(I4766 = """", ""NR"", I4766))"),"TV-Y")</f>
        <v>TV-Y</v>
      </c>
      <c r="R4766" s="5" t="str">
        <f t="shared" si="2"/>
        <v>Luna Petunia: Return To Amazia</v>
      </c>
      <c r="S4766" s="5" t="str">
        <f>IFERROR(__xludf.DUMMYFUNCTION("""COMPUTED_VALUE"""),"Motichoor Chaknachoor")</f>
        <v>Motichoor Chaknachoor</v>
      </c>
      <c r="V4766" s="5"/>
      <c r="Y4766" s="5" t="str">
        <f>IFERROR(__xludf.DUMMYFUNCTION("REGEXEXTRACT(J4766, ""^\d+"")"),"2")</f>
        <v>2</v>
      </c>
      <c r="Z4766" s="5" t="str">
        <f>IFERROR(__xludf.DUMMYFUNCTION("REGEXEXTRACT(J4766, ""[A-Za-z ]+$"")")," Seasons")</f>
        <v> Seasons</v>
      </c>
      <c r="AA4766" s="5" t="str">
        <f>IFERROR(__xludf.DUMMYFUNCTION("IF(REGEXMATCH(Z4766, ""Season""), ""TV Show"", ""Movie"")"),"TV Show")</f>
        <v>TV Show</v>
      </c>
    </row>
    <row r="4767">
      <c r="A4767" s="1" t="s">
        <v>25073</v>
      </c>
      <c r="B4767" s="1" t="s">
        <v>27</v>
      </c>
      <c r="C4767" s="1" t="s">
        <v>25074</v>
      </c>
      <c r="D4767" s="1" t="s">
        <v>1238</v>
      </c>
      <c r="E4767" s="1" t="s">
        <v>25075</v>
      </c>
      <c r="F4767" s="1" t="s">
        <v>1992</v>
      </c>
      <c r="G4767" s="1" t="s">
        <v>25047</v>
      </c>
      <c r="H4767" s="1">
        <v>2018.0</v>
      </c>
      <c r="I4767" s="1" t="s">
        <v>78</v>
      </c>
      <c r="J4767" s="1" t="s">
        <v>1428</v>
      </c>
      <c r="K4767" s="1" t="s">
        <v>3585</v>
      </c>
      <c r="L4767" s="1" t="s">
        <v>25076</v>
      </c>
      <c r="M4767" s="2" t="s">
        <v>12</v>
      </c>
      <c r="N4767" s="4">
        <f t="shared" si="1"/>
        <v>43301</v>
      </c>
      <c r="O4767" s="5" t="str">
        <f>IFERROR(__xludf.DUMMYFUNCTION("IF(REGEXMATCH(TRIM(I4767), ""^\d+\s*min""), ""Unclassified"", IF(I4767 = """", ""NR"", I4767))"),"PG")</f>
        <v>PG</v>
      </c>
      <c r="R4767" s="5" t="str">
        <f t="shared" si="2"/>
        <v>Nothing To Lose</v>
      </c>
      <c r="S4767" s="5" t="str">
        <f>IFERROR(__xludf.DUMMYFUNCTION("""COMPUTED_VALUE"""),"Motor Mitraan Di")</f>
        <v>Motor Mitraan Di</v>
      </c>
      <c r="V4767" s="5"/>
      <c r="Y4767" s="5" t="str">
        <f>IFERROR(__xludf.DUMMYFUNCTION("REGEXEXTRACT(J4767, ""^\d+"")"),"133")</f>
        <v>133</v>
      </c>
      <c r="Z4767" s="5" t="str">
        <f>IFERROR(__xludf.DUMMYFUNCTION("REGEXEXTRACT(J4767, ""[A-Za-z ]+$"")")," min")</f>
        <v> min</v>
      </c>
      <c r="AA4767" s="5" t="str">
        <f>IFERROR(__xludf.DUMMYFUNCTION("IF(REGEXMATCH(Z4767, ""Season""), ""TV Show"", ""Movie"")"),"Movie")</f>
        <v>Movie</v>
      </c>
    </row>
    <row r="4768">
      <c r="A4768" s="1" t="s">
        <v>25077</v>
      </c>
      <c r="B4768" s="1" t="s">
        <v>27</v>
      </c>
      <c r="C4768" s="1" t="s">
        <v>25078</v>
      </c>
      <c r="E4768" s="1" t="s">
        <v>25079</v>
      </c>
      <c r="F4768" s="1" t="s">
        <v>784</v>
      </c>
      <c r="G4768" s="1" t="s">
        <v>25080</v>
      </c>
      <c r="H4768" s="1">
        <v>2018.0</v>
      </c>
      <c r="I4768" s="1" t="s">
        <v>42</v>
      </c>
      <c r="J4768" s="1" t="s">
        <v>471</v>
      </c>
      <c r="K4768" s="1" t="s">
        <v>199</v>
      </c>
      <c r="L4768" s="1" t="s">
        <v>25081</v>
      </c>
      <c r="M4768" s="2" t="s">
        <v>12</v>
      </c>
      <c r="N4768" s="4">
        <f t="shared" si="1"/>
        <v>43300</v>
      </c>
      <c r="O4768" s="5" t="str">
        <f>IFERROR(__xludf.DUMMYFUNCTION("IF(REGEXMATCH(TRIM(I4768), ""^\d+\s*min""), ""Unclassified"", IF(I4768 = """", ""NR"", I4768))"),"TV-MA")</f>
        <v>TV-MA</v>
      </c>
      <c r="R4768" s="5" t="str">
        <f t="shared" si="2"/>
        <v>El Club De Los Buenos Infieles</v>
      </c>
      <c r="S4768" s="5" t="str">
        <f>IFERROR(__xludf.DUMMYFUNCTION("""COMPUTED_VALUE"""),"Motown Magic")</f>
        <v>Motown Magic</v>
      </c>
      <c r="V4768" s="5"/>
      <c r="Y4768" s="5" t="str">
        <f>IFERROR(__xludf.DUMMYFUNCTION("REGEXEXTRACT(J4768, ""^\d+"")"),"85")</f>
        <v>85</v>
      </c>
      <c r="Z4768" s="5" t="str">
        <f>IFERROR(__xludf.DUMMYFUNCTION("REGEXEXTRACT(J4768, ""[A-Za-z ]+$"")")," min")</f>
        <v> min</v>
      </c>
      <c r="AA4768" s="5" t="str">
        <f>IFERROR(__xludf.DUMMYFUNCTION("IF(REGEXMATCH(Z4768, ""Season""), ""TV Show"", ""Movie"")"),"Movie")</f>
        <v>Movie</v>
      </c>
    </row>
    <row r="4769">
      <c r="A4769" s="1" t="s">
        <v>25082</v>
      </c>
      <c r="B4769" s="1" t="s">
        <v>37</v>
      </c>
      <c r="C4769" s="1" t="s">
        <v>25083</v>
      </c>
      <c r="E4769" s="1" t="s">
        <v>25084</v>
      </c>
      <c r="G4769" s="1" t="s">
        <v>25085</v>
      </c>
      <c r="H4769" s="1">
        <v>2018.0</v>
      </c>
      <c r="I4769" s="1" t="s">
        <v>97</v>
      </c>
      <c r="J4769" s="1" t="s">
        <v>51</v>
      </c>
      <c r="K4769" s="1" t="s">
        <v>791</v>
      </c>
      <c r="L4769" s="1" t="s">
        <v>25086</v>
      </c>
      <c r="M4769" s="2" t="s">
        <v>12</v>
      </c>
      <c r="N4769" s="4">
        <f t="shared" si="1"/>
        <v>43299</v>
      </c>
      <c r="O4769" s="5" t="str">
        <f>IFERROR(__xludf.DUMMYFUNCTION("IF(REGEXMATCH(TRIM(I4769), ""^\d+\s*min""), ""Unclassified"", IF(I4769 = """", ""NR"", I4769))"),"TV-14")</f>
        <v>TV-14</v>
      </c>
      <c r="R4769" s="5" t="str">
        <f t="shared" si="2"/>
        <v>Camarón Revolution</v>
      </c>
      <c r="S4769" s="5" t="str">
        <f>IFERROR(__xludf.DUMMYFUNCTION("""COMPUTED_VALUE"""),"Motu Patlu Dino Invasion")</f>
        <v>Motu Patlu Dino Invasion</v>
      </c>
      <c r="V4769" s="5"/>
      <c r="Y4769" s="5" t="str">
        <f>IFERROR(__xludf.DUMMYFUNCTION("REGEXEXTRACT(J4769, ""^\d+"")"),"1")</f>
        <v>1</v>
      </c>
      <c r="Z4769" s="5" t="str">
        <f>IFERROR(__xludf.DUMMYFUNCTION("REGEXEXTRACT(J4769, ""[A-Za-z ]+$"")")," Season")</f>
        <v> Season</v>
      </c>
      <c r="AA4769" s="5" t="str">
        <f>IFERROR(__xludf.DUMMYFUNCTION("IF(REGEXMATCH(Z4769, ""Season""), ""TV Show"", ""Movie"")"),"TV Show")</f>
        <v>TV Show</v>
      </c>
    </row>
    <row r="4770">
      <c r="A4770" s="1" t="s">
        <v>25087</v>
      </c>
      <c r="B4770" s="1" t="s">
        <v>27</v>
      </c>
      <c r="C4770" s="1" t="s">
        <v>25088</v>
      </c>
      <c r="D4770" s="1" t="s">
        <v>1275</v>
      </c>
      <c r="E4770" s="1" t="s">
        <v>25089</v>
      </c>
      <c r="F4770" s="1" t="s">
        <v>784</v>
      </c>
      <c r="G4770" s="1" t="s">
        <v>25085</v>
      </c>
      <c r="H4770" s="1">
        <v>2018.0</v>
      </c>
      <c r="I4770" s="1" t="s">
        <v>97</v>
      </c>
      <c r="J4770" s="1" t="s">
        <v>305</v>
      </c>
      <c r="K4770" s="1" t="s">
        <v>2892</v>
      </c>
      <c r="L4770" s="1" t="s">
        <v>25090</v>
      </c>
      <c r="M4770" s="2" t="s">
        <v>12</v>
      </c>
      <c r="N4770" s="4">
        <f t="shared" si="1"/>
        <v>43299</v>
      </c>
      <c r="O4770" s="5" t="str">
        <f>IFERROR(__xludf.DUMMYFUNCTION("IF(REGEXMATCH(TRIM(I4770), ""^\d+\s*min""), ""Unclassified"", IF(I4770 = """", ""NR"", I4770))"),"TV-14")</f>
        <v>TV-14</v>
      </c>
      <c r="R4770" s="5" t="str">
        <f t="shared" si="2"/>
        <v>Camarón: The Film</v>
      </c>
      <c r="S4770" s="5" t="str">
        <f>IFERROR(__xludf.DUMMYFUNCTION("""COMPUTED_VALUE"""),"Motu Patlu In Dragon'S World")</f>
        <v>Motu Patlu In Dragon'S World</v>
      </c>
      <c r="V4770" s="5"/>
      <c r="Y4770" s="5" t="str">
        <f>IFERROR(__xludf.DUMMYFUNCTION("REGEXEXTRACT(J4770, ""^\d+"")"),"105")</f>
        <v>105</v>
      </c>
      <c r="Z4770" s="5" t="str">
        <f>IFERROR(__xludf.DUMMYFUNCTION("REGEXEXTRACT(J4770, ""[A-Za-z ]+$"")")," min")</f>
        <v> min</v>
      </c>
      <c r="AA4770" s="5" t="str">
        <f>IFERROR(__xludf.DUMMYFUNCTION("IF(REGEXMATCH(Z4770, ""Season""), ""TV Show"", ""Movie"")"),"Movie")</f>
        <v>Movie</v>
      </c>
    </row>
    <row r="4771">
      <c r="A4771" s="1" t="s">
        <v>25091</v>
      </c>
      <c r="B4771" s="1" t="s">
        <v>27</v>
      </c>
      <c r="C4771" s="1" t="s">
        <v>25092</v>
      </c>
      <c r="D4771" s="1" t="s">
        <v>13100</v>
      </c>
      <c r="E4771" s="1" t="s">
        <v>22580</v>
      </c>
      <c r="F4771" s="1" t="s">
        <v>415</v>
      </c>
      <c r="G4771" s="1" t="s">
        <v>25085</v>
      </c>
      <c r="H4771" s="1">
        <v>2018.0</v>
      </c>
      <c r="I4771" s="1" t="s">
        <v>97</v>
      </c>
      <c r="J4771" s="1" t="s">
        <v>1091</v>
      </c>
      <c r="K4771" s="1" t="s">
        <v>417</v>
      </c>
      <c r="L4771" s="1" t="s">
        <v>25093</v>
      </c>
      <c r="M4771" s="2" t="s">
        <v>12</v>
      </c>
      <c r="N4771" s="4">
        <f t="shared" si="1"/>
        <v>43299</v>
      </c>
      <c r="O4771" s="5" t="str">
        <f>IFERROR(__xludf.DUMMYFUNCTION("IF(REGEXMATCH(TRIM(I4771), ""^\d+\s*min""), ""Unclassified"", IF(I4771 = """", ""NR"", I4771))"),"TV-14")</f>
        <v>TV-14</v>
      </c>
      <c r="R4771" s="5" t="str">
        <f t="shared" si="2"/>
        <v>Godzilla City On The Edge Of Battle</v>
      </c>
      <c r="S4771" s="5" t="str">
        <f>IFERROR(__xludf.DUMMYFUNCTION("""COMPUTED_VALUE"""),"Motu Patlu In Hong Kong: Kung Fu Kings 3")</f>
        <v>Motu Patlu In Hong Kong: Kung Fu Kings 3</v>
      </c>
      <c r="V4771" s="5"/>
      <c r="Y4771" s="5" t="str">
        <f>IFERROR(__xludf.DUMMYFUNCTION("REGEXEXTRACT(J4771, ""^\d+"")"),"101")</f>
        <v>101</v>
      </c>
      <c r="Z4771" s="5" t="str">
        <f>IFERROR(__xludf.DUMMYFUNCTION("REGEXEXTRACT(J4771, ""[A-Za-z ]+$"")")," min")</f>
        <v> min</v>
      </c>
      <c r="AA4771" s="5" t="str">
        <f>IFERROR(__xludf.DUMMYFUNCTION("IF(REGEXMATCH(Z4771, ""Season""), ""TV Show"", ""Movie"")"),"Movie")</f>
        <v>Movie</v>
      </c>
    </row>
    <row r="4772">
      <c r="A4772" s="1" t="s">
        <v>25094</v>
      </c>
      <c r="B4772" s="1" t="s">
        <v>27</v>
      </c>
      <c r="C4772" s="1" t="s">
        <v>25095</v>
      </c>
      <c r="D4772" s="1" t="s">
        <v>2544</v>
      </c>
      <c r="E4772" s="1" t="s">
        <v>25096</v>
      </c>
      <c r="F4772" s="1" t="s">
        <v>221</v>
      </c>
      <c r="G4772" s="1" t="s">
        <v>25097</v>
      </c>
      <c r="H4772" s="1">
        <v>2018.0</v>
      </c>
      <c r="I4772" s="1" t="s">
        <v>506</v>
      </c>
      <c r="J4772" s="1" t="s">
        <v>428</v>
      </c>
      <c r="K4772" s="1" t="s">
        <v>2983</v>
      </c>
      <c r="L4772" s="1" t="s">
        <v>25098</v>
      </c>
      <c r="M4772" s="2" t="s">
        <v>12</v>
      </c>
      <c r="N4772" s="4">
        <f t="shared" si="1"/>
        <v>43296</v>
      </c>
      <c r="O4772" s="5" t="str">
        <f>IFERROR(__xludf.DUMMYFUNCTION("IF(REGEXMATCH(TRIM(I4772), ""^\d+\s*min""), ""Unclassified"", IF(I4772 = """", ""NR"", I4772))"),"TV-G")</f>
        <v>TV-G</v>
      </c>
      <c r="R4772" s="5" t="str">
        <f t="shared" si="2"/>
        <v>Going For Gold</v>
      </c>
      <c r="S4772" s="5" t="str">
        <f>IFERROR(__xludf.DUMMYFUNCTION("""COMPUTED_VALUE"""),"Motu Patlu In Octupus World")</f>
        <v>Motu Patlu In Octupus World</v>
      </c>
      <c r="V4772" s="5"/>
      <c r="Y4772" s="5" t="str">
        <f>IFERROR(__xludf.DUMMYFUNCTION("REGEXEXTRACT(J4772, ""^\d+"")"),"88")</f>
        <v>88</v>
      </c>
      <c r="Z4772" s="5" t="str">
        <f>IFERROR(__xludf.DUMMYFUNCTION("REGEXEXTRACT(J4772, ""[A-Za-z ]+$"")")," min")</f>
        <v> min</v>
      </c>
      <c r="AA4772" s="5" t="str">
        <f>IFERROR(__xludf.DUMMYFUNCTION("IF(REGEXMATCH(Z4772, ""Season""), ""TV Show"", ""Movie"")"),"Movie")</f>
        <v>Movie</v>
      </c>
    </row>
    <row r="4773">
      <c r="A4773" s="1" t="s">
        <v>25099</v>
      </c>
      <c r="B4773" s="1" t="s">
        <v>37</v>
      </c>
      <c r="C4773" s="1" t="s">
        <v>25100</v>
      </c>
      <c r="E4773" s="1" t="s">
        <v>25101</v>
      </c>
      <c r="F4773" s="1" t="s">
        <v>30</v>
      </c>
      <c r="G4773" s="1" t="s">
        <v>25097</v>
      </c>
      <c r="H4773" s="1">
        <v>2018.0</v>
      </c>
      <c r="I4773" s="1" t="s">
        <v>42</v>
      </c>
      <c r="J4773" s="1" t="s">
        <v>43</v>
      </c>
      <c r="K4773" s="1" t="s">
        <v>2512</v>
      </c>
      <c r="L4773" s="1" t="s">
        <v>25102</v>
      </c>
      <c r="M4773" s="2" t="s">
        <v>12</v>
      </c>
      <c r="N4773" s="4">
        <f t="shared" si="1"/>
        <v>43296</v>
      </c>
      <c r="O4773" s="5" t="str">
        <f>IFERROR(__xludf.DUMMYFUNCTION("IF(REGEXMATCH(TRIM(I4773), ""^\d+\s*min""), ""Unclassified"", IF(I4773 = """", ""NR"", I4773))"),"TV-MA")</f>
        <v>TV-MA</v>
      </c>
      <c r="R4773" s="5" t="str">
        <f t="shared" si="2"/>
        <v>The Joel Mchale Show With Joel Mchale</v>
      </c>
      <c r="S4773" s="5" t="str">
        <f>IFERROR(__xludf.DUMMYFUNCTION("""COMPUTED_VALUE"""),"Motu Patlu In The City Of Gold")</f>
        <v>Motu Patlu In The City Of Gold</v>
      </c>
      <c r="V4773" s="5"/>
      <c r="Y4773" s="5" t="str">
        <f>IFERROR(__xludf.DUMMYFUNCTION("REGEXEXTRACT(J4773, ""^\d+"")"),"2")</f>
        <v>2</v>
      </c>
      <c r="Z4773" s="5" t="str">
        <f>IFERROR(__xludf.DUMMYFUNCTION("REGEXEXTRACT(J4773, ""[A-Za-z ]+$"")")," Seasons")</f>
        <v> Seasons</v>
      </c>
      <c r="AA4773" s="5" t="str">
        <f>IFERROR(__xludf.DUMMYFUNCTION("IF(REGEXMATCH(Z4773, ""Season""), ""TV Show"", ""Movie"")"),"TV Show")</f>
        <v>TV Show</v>
      </c>
    </row>
    <row r="4774">
      <c r="A4774" s="1" t="s">
        <v>25103</v>
      </c>
      <c r="B4774" s="1" t="s">
        <v>37</v>
      </c>
      <c r="C4774" s="1" t="s">
        <v>25104</v>
      </c>
      <c r="E4774" s="1" t="s">
        <v>25105</v>
      </c>
      <c r="F4774" s="1" t="s">
        <v>3892</v>
      </c>
      <c r="G4774" s="1" t="s">
        <v>25106</v>
      </c>
      <c r="H4774" s="1">
        <v>2018.0</v>
      </c>
      <c r="I4774" s="1" t="s">
        <v>97</v>
      </c>
      <c r="J4774" s="1" t="s">
        <v>51</v>
      </c>
      <c r="K4774" s="1" t="s">
        <v>1907</v>
      </c>
      <c r="L4774" s="1" t="s">
        <v>25107</v>
      </c>
      <c r="M4774" s="2" t="s">
        <v>12</v>
      </c>
      <c r="N4774" s="4">
        <f t="shared" si="1"/>
        <v>43295</v>
      </c>
      <c r="O4774" s="5" t="str">
        <f>IFERROR(__xludf.DUMMYFUNCTION("IF(REGEXMATCH(TRIM(I4774), ""^\d+\s*min""), ""Unclassified"", IF(I4774 = """", ""NR"", I4774))"),"TV-14")</f>
        <v>TV-14</v>
      </c>
      <c r="R4774" s="5" t="str">
        <f t="shared" si="2"/>
        <v>Meteor Garden</v>
      </c>
      <c r="S4774" s="5" t="str">
        <f>IFERROR(__xludf.DUMMYFUNCTION("""COMPUTED_VALUE"""),"Motu Patlu In The Game Of Zones")</f>
        <v>Motu Patlu In The Game Of Zones</v>
      </c>
      <c r="V4774" s="5"/>
      <c r="Y4774" s="5" t="str">
        <f>IFERROR(__xludf.DUMMYFUNCTION("REGEXEXTRACT(J4774, ""^\d+"")"),"1")</f>
        <v>1</v>
      </c>
      <c r="Z4774" s="5" t="str">
        <f>IFERROR(__xludf.DUMMYFUNCTION("REGEXEXTRACT(J4774, ""[A-Za-z ]+$"")")," Season")</f>
        <v> Season</v>
      </c>
      <c r="AA4774" s="5" t="str">
        <f>IFERROR(__xludf.DUMMYFUNCTION("IF(REGEXMATCH(Z4774, ""Season""), ""TV Show"", ""Movie"")"),"TV Show")</f>
        <v>TV Show</v>
      </c>
    </row>
    <row r="4775">
      <c r="A4775" s="1" t="s">
        <v>25108</v>
      </c>
      <c r="B4775" s="1" t="s">
        <v>27</v>
      </c>
      <c r="C4775" s="1" t="s">
        <v>25109</v>
      </c>
      <c r="D4775" s="1" t="s">
        <v>6025</v>
      </c>
      <c r="E4775" s="1" t="s">
        <v>25110</v>
      </c>
      <c r="F4775" s="1" t="s">
        <v>30</v>
      </c>
      <c r="G4775" s="1" t="s">
        <v>25111</v>
      </c>
      <c r="H4775" s="1">
        <v>2018.0</v>
      </c>
      <c r="I4775" s="1" t="s">
        <v>42</v>
      </c>
      <c r="J4775" s="1" t="s">
        <v>519</v>
      </c>
      <c r="K4775" s="1" t="s">
        <v>942</v>
      </c>
      <c r="L4775" s="1" t="s">
        <v>25112</v>
      </c>
      <c r="M4775" s="2" t="s">
        <v>12</v>
      </c>
      <c r="N4775" s="4">
        <f t="shared" si="1"/>
        <v>43294</v>
      </c>
      <c r="O4775" s="5" t="str">
        <f>IFERROR(__xludf.DUMMYFUNCTION("IF(REGEXMATCH(TRIM(I4775), ""^\d+\s*min""), ""Unclassified"", IF(I4775 = """", ""NR"", I4775))"),"TV-MA")</f>
        <v>TV-MA</v>
      </c>
      <c r="R4775" s="5" t="str">
        <f t="shared" si="2"/>
        <v>How It Ends</v>
      </c>
      <c r="S4775" s="5" t="str">
        <f>IFERROR(__xludf.DUMMYFUNCTION("""COMPUTED_VALUE"""),"Motu Patlu In Wonderland")</f>
        <v>Motu Patlu In Wonderland</v>
      </c>
      <c r="V4775" s="5"/>
      <c r="Y4775" s="5" t="str">
        <f>IFERROR(__xludf.DUMMYFUNCTION("REGEXEXTRACT(J4775, ""^\d+"")"),"113")</f>
        <v>113</v>
      </c>
      <c r="Z4775" s="5" t="str">
        <f>IFERROR(__xludf.DUMMYFUNCTION("REGEXEXTRACT(J4775, ""[A-Za-z ]+$"")")," min")</f>
        <v> min</v>
      </c>
      <c r="AA4775" s="5" t="str">
        <f>IFERROR(__xludf.DUMMYFUNCTION("IF(REGEXMATCH(Z4775, ""Season""), ""TV Show"", ""Movie"")"),"Movie")</f>
        <v>Movie</v>
      </c>
    </row>
    <row r="4776">
      <c r="A4776" s="1" t="s">
        <v>25113</v>
      </c>
      <c r="B4776" s="1" t="s">
        <v>27</v>
      </c>
      <c r="C4776" s="1" t="s">
        <v>25114</v>
      </c>
      <c r="D4776" s="1" t="s">
        <v>12857</v>
      </c>
      <c r="E4776" s="1" t="s">
        <v>12858</v>
      </c>
      <c r="F4776" s="1" t="s">
        <v>30</v>
      </c>
      <c r="G4776" s="1" t="s">
        <v>25111</v>
      </c>
      <c r="H4776" s="1">
        <v>2018.0</v>
      </c>
      <c r="I4776" s="1" t="s">
        <v>42</v>
      </c>
      <c r="J4776" s="1" t="s">
        <v>5650</v>
      </c>
      <c r="K4776" s="1" t="s">
        <v>1839</v>
      </c>
      <c r="L4776" s="1" t="s">
        <v>25115</v>
      </c>
      <c r="M4776" s="2" t="s">
        <v>12</v>
      </c>
      <c r="N4776" s="4">
        <f t="shared" si="1"/>
        <v>43294</v>
      </c>
      <c r="O4776" s="5" t="str">
        <f>IFERROR(__xludf.DUMMYFUNCTION("IF(REGEXMATCH(TRIM(I4776), ""^\d+\s*min""), ""Unclassified"", IF(I4776 = """", ""NR"", I4776))"),"TV-MA")</f>
        <v>TV-MA</v>
      </c>
      <c r="R4776" s="5" t="str">
        <f t="shared" si="2"/>
        <v>Jim Jefferies: This Is Me Now</v>
      </c>
      <c r="S4776" s="5" t="str">
        <f>IFERROR(__xludf.DUMMYFUNCTION("""COMPUTED_VALUE"""),"Motu Patlu Kung Fu Kings 4 The Challenge Of Kung Fu Brothers")</f>
        <v>Motu Patlu Kung Fu Kings 4 The Challenge Of Kung Fu Brothers</v>
      </c>
      <c r="V4776" s="5"/>
      <c r="Y4776" s="5" t="str">
        <f>IFERROR(__xludf.DUMMYFUNCTION("REGEXEXTRACT(J4776, ""^\d+"")"),"71")</f>
        <v>71</v>
      </c>
      <c r="Z4776" s="5" t="str">
        <f>IFERROR(__xludf.DUMMYFUNCTION("REGEXEXTRACT(J4776, ""[A-Za-z ]+$"")")," min")</f>
        <v> min</v>
      </c>
      <c r="AA4776" s="5" t="str">
        <f>IFERROR(__xludf.DUMMYFUNCTION("IF(REGEXMATCH(Z4776, ""Season""), ""TV Show"", ""Movie"")"),"Movie")</f>
        <v>Movie</v>
      </c>
    </row>
    <row r="4777">
      <c r="A4777" s="1" t="s">
        <v>25116</v>
      </c>
      <c r="B4777" s="1" t="s">
        <v>27</v>
      </c>
      <c r="C4777" s="1" t="s">
        <v>25117</v>
      </c>
      <c r="D4777" s="1" t="s">
        <v>6480</v>
      </c>
      <c r="E4777" s="1" t="s">
        <v>25118</v>
      </c>
      <c r="F4777" s="1" t="s">
        <v>162</v>
      </c>
      <c r="G4777" s="1" t="s">
        <v>25111</v>
      </c>
      <c r="H4777" s="1">
        <v>2018.0</v>
      </c>
      <c r="I4777" s="1" t="s">
        <v>42</v>
      </c>
      <c r="J4777" s="1" t="s">
        <v>6281</v>
      </c>
      <c r="K4777" s="1" t="s">
        <v>1972</v>
      </c>
      <c r="L4777" s="1" t="s">
        <v>25119</v>
      </c>
      <c r="M4777" s="2" t="s">
        <v>12</v>
      </c>
      <c r="N4777" s="4">
        <f t="shared" si="1"/>
        <v>43294</v>
      </c>
      <c r="O4777" s="5" t="str">
        <f>IFERROR(__xludf.DUMMYFUNCTION("IF(REGEXMATCH(TRIM(I4777), ""^\d+\s*min""), ""Unclassified"", IF(I4777 = """", ""NR"", I4777))"),"TV-MA")</f>
        <v>TV-MA</v>
      </c>
      <c r="R4777" s="5" t="str">
        <f t="shared" si="2"/>
        <v>Romina</v>
      </c>
      <c r="S4777" s="5" t="str">
        <f>IFERROR(__xludf.DUMMYFUNCTION("""COMPUTED_VALUE"""),"Motu Patlu The Superheroes – Super Villains From Mars")</f>
        <v>Motu Patlu The Superheroes – Super Villains From Mars</v>
      </c>
      <c r="V4777" s="5"/>
      <c r="Y4777" s="5" t="str">
        <f>IFERROR(__xludf.DUMMYFUNCTION("REGEXEXTRACT(J4777, ""^\d+"")"),"75")</f>
        <v>75</v>
      </c>
      <c r="Z4777" s="5" t="str">
        <f>IFERROR(__xludf.DUMMYFUNCTION("REGEXEXTRACT(J4777, ""[A-Za-z ]+$"")")," min")</f>
        <v> min</v>
      </c>
      <c r="AA4777" s="5" t="str">
        <f>IFERROR(__xludf.DUMMYFUNCTION("IF(REGEXMATCH(Z4777, ""Season""), ""TV Show"", ""Movie"")"),"Movie")</f>
        <v>Movie</v>
      </c>
    </row>
    <row r="4778">
      <c r="A4778" s="1" t="s">
        <v>25120</v>
      </c>
      <c r="B4778" s="1" t="s">
        <v>37</v>
      </c>
      <c r="C4778" s="1" t="s">
        <v>25121</v>
      </c>
      <c r="E4778" s="1" t="s">
        <v>25122</v>
      </c>
      <c r="F4778" s="1" t="s">
        <v>3333</v>
      </c>
      <c r="G4778" s="1" t="s">
        <v>25123</v>
      </c>
      <c r="H4778" s="1">
        <v>2017.0</v>
      </c>
      <c r="I4778" s="1" t="s">
        <v>42</v>
      </c>
      <c r="J4778" s="1" t="s">
        <v>43</v>
      </c>
      <c r="K4778" s="1" t="s">
        <v>190</v>
      </c>
      <c r="L4778" s="1" t="s">
        <v>25124</v>
      </c>
      <c r="M4778" s="2" t="s">
        <v>12</v>
      </c>
      <c r="N4778" s="4">
        <f t="shared" si="1"/>
        <v>43292</v>
      </c>
      <c r="O4778" s="5" t="str">
        <f>IFERROR(__xludf.DUMMYFUNCTION("IF(REGEXMATCH(TRIM(I4778), ""^\d+\s*min""), ""Unclassified"", IF(I4778 = """", ""NR"", I4778))"),"TV-MA")</f>
        <v>TV-MA</v>
      </c>
      <c r="R4778" s="5" t="str">
        <f t="shared" si="2"/>
        <v>Mossad 101</v>
      </c>
      <c r="S4778" s="5" t="str">
        <f>IFERROR(__xludf.DUMMYFUNCTION("""COMPUTED_VALUE"""),"Motu Patlu Vs Robo Kids")</f>
        <v>Motu Patlu Vs Robo Kids</v>
      </c>
      <c r="V4778" s="5"/>
      <c r="Y4778" s="5" t="str">
        <f>IFERROR(__xludf.DUMMYFUNCTION("REGEXEXTRACT(J4778, ""^\d+"")"),"2")</f>
        <v>2</v>
      </c>
      <c r="Z4778" s="5" t="str">
        <f>IFERROR(__xludf.DUMMYFUNCTION("REGEXEXTRACT(J4778, ""[A-Za-z ]+$"")")," Seasons")</f>
        <v> Seasons</v>
      </c>
      <c r="AA4778" s="5" t="str">
        <f>IFERROR(__xludf.DUMMYFUNCTION("IF(REGEXMATCH(Z4778, ""Season""), ""TV Show"", ""Movie"")"),"TV Show")</f>
        <v>TV Show</v>
      </c>
    </row>
    <row r="4779">
      <c r="A4779" s="1" t="s">
        <v>25125</v>
      </c>
      <c r="B4779" s="1" t="s">
        <v>37</v>
      </c>
      <c r="C4779" s="1" t="s">
        <v>25126</v>
      </c>
      <c r="E4779" s="1" t="s">
        <v>25127</v>
      </c>
      <c r="F4779" s="1" t="s">
        <v>96</v>
      </c>
      <c r="G4779" s="1" t="s">
        <v>25128</v>
      </c>
      <c r="H4779" s="1">
        <v>2018.0</v>
      </c>
      <c r="I4779" s="1" t="s">
        <v>42</v>
      </c>
      <c r="J4779" s="1" t="s">
        <v>43</v>
      </c>
      <c r="K4779" s="1" t="s">
        <v>2382</v>
      </c>
      <c r="L4779" s="1" t="s">
        <v>25129</v>
      </c>
      <c r="M4779" s="2" t="s">
        <v>12</v>
      </c>
      <c r="N4779" s="4">
        <f t="shared" si="1"/>
        <v>43291</v>
      </c>
      <c r="O4779" s="5" t="str">
        <f>IFERROR(__xludf.DUMMYFUNCTION("IF(REGEXMATCH(TRIM(I4779), ""^\d+\s*min""), ""Unclassified"", IF(I4779 = """", ""NR"", I4779))"),"TV-MA")</f>
        <v>TV-MA</v>
      </c>
      <c r="R4779" s="5" t="str">
        <f t="shared" si="2"/>
        <v>Baby Ballroom</v>
      </c>
      <c r="S4779" s="5" t="str">
        <f>IFERROR(__xludf.DUMMYFUNCTION("""COMPUTED_VALUE"""),"Motu Patlu: Deep Sea Adventure")</f>
        <v>Motu Patlu: Deep Sea Adventure</v>
      </c>
      <c r="V4779" s="5"/>
      <c r="Y4779" s="5" t="str">
        <f>IFERROR(__xludf.DUMMYFUNCTION("REGEXEXTRACT(J4779, ""^\d+"")"),"2")</f>
        <v>2</v>
      </c>
      <c r="Z4779" s="5" t="str">
        <f>IFERROR(__xludf.DUMMYFUNCTION("REGEXEXTRACT(J4779, ""[A-Za-z ]+$"")")," Seasons")</f>
        <v> Seasons</v>
      </c>
      <c r="AA4779" s="5" t="str">
        <f>IFERROR(__xludf.DUMMYFUNCTION("IF(REGEXMATCH(Z4779, ""Season""), ""TV Show"", ""Movie"")"),"TV Show")</f>
        <v>TV Show</v>
      </c>
    </row>
    <row r="4780">
      <c r="A4780" s="1" t="s">
        <v>25130</v>
      </c>
      <c r="B4780" s="1" t="s">
        <v>37</v>
      </c>
      <c r="C4780" s="1" t="s">
        <v>25131</v>
      </c>
      <c r="F4780" s="1" t="s">
        <v>30</v>
      </c>
      <c r="G4780" s="1" t="s">
        <v>25128</v>
      </c>
      <c r="H4780" s="1">
        <v>2018.0</v>
      </c>
      <c r="I4780" s="1" t="s">
        <v>42</v>
      </c>
      <c r="J4780" s="1" t="s">
        <v>43</v>
      </c>
      <c r="K4780" s="1" t="s">
        <v>2043</v>
      </c>
      <c r="L4780" s="1" t="s">
        <v>25132</v>
      </c>
      <c r="M4780" s="2" t="s">
        <v>12</v>
      </c>
      <c r="N4780" s="4">
        <f t="shared" si="1"/>
        <v>43291</v>
      </c>
      <c r="O4780" s="5" t="str">
        <f>IFERROR(__xludf.DUMMYFUNCTION("IF(REGEXMATCH(TRIM(I4780), ""^\d+\s*min""), ""Unclassified"", IF(I4780 = """", ""NR"", I4780))"),"TV-MA")</f>
        <v>TV-MA</v>
      </c>
      <c r="R4780" s="5" t="str">
        <f t="shared" si="2"/>
        <v>Drug Lords</v>
      </c>
      <c r="S4780" s="5" t="str">
        <f>IFERROR(__xludf.DUMMYFUNCTION("""COMPUTED_VALUE"""),"Motu Patlu: King Of Kings")</f>
        <v>Motu Patlu: King Of Kings</v>
      </c>
      <c r="V4780" s="5"/>
      <c r="Y4780" s="5" t="str">
        <f>IFERROR(__xludf.DUMMYFUNCTION("REGEXEXTRACT(J4780, ""^\d+"")"),"2")</f>
        <v>2</v>
      </c>
      <c r="Z4780" s="5" t="str">
        <f>IFERROR(__xludf.DUMMYFUNCTION("REGEXEXTRACT(J4780, ""[A-Za-z ]+$"")")," Seasons")</f>
        <v> Seasons</v>
      </c>
      <c r="AA4780" s="5" t="str">
        <f>IFERROR(__xludf.DUMMYFUNCTION("IF(REGEXMATCH(Z4780, ""Season""), ""TV Show"", ""Movie"")"),"TV Show")</f>
        <v>TV Show</v>
      </c>
    </row>
    <row r="4781">
      <c r="A4781" s="1" t="s">
        <v>25133</v>
      </c>
      <c r="B4781" s="1" t="s">
        <v>37</v>
      </c>
      <c r="C4781" s="1" t="s">
        <v>25134</v>
      </c>
      <c r="D4781" s="1" t="s">
        <v>25135</v>
      </c>
      <c r="E4781" s="1" t="s">
        <v>25136</v>
      </c>
      <c r="F4781" s="1" t="s">
        <v>749</v>
      </c>
      <c r="G4781" s="1" t="s">
        <v>25137</v>
      </c>
      <c r="H4781" s="1">
        <v>2018.0</v>
      </c>
      <c r="I4781" s="1" t="s">
        <v>42</v>
      </c>
      <c r="J4781" s="1" t="s">
        <v>51</v>
      </c>
      <c r="K4781" s="1" t="s">
        <v>7164</v>
      </c>
      <c r="L4781" s="1" t="s">
        <v>25138</v>
      </c>
      <c r="M4781" s="2" t="s">
        <v>12</v>
      </c>
      <c r="N4781" s="4">
        <f t="shared" si="1"/>
        <v>43289</v>
      </c>
      <c r="O4781" s="5" t="str">
        <f>IFERROR(__xludf.DUMMYFUNCTION("IF(REGEXMATCH(TRIM(I4781), ""^\d+\s*min""), ""Unclassified"", IF(I4781 = """", ""NR"", I4781))"),"TV-MA")</f>
        <v>TV-MA</v>
      </c>
      <c r="R4781" s="5" t="str">
        <f t="shared" si="2"/>
        <v>Mr. Sunshine</v>
      </c>
      <c r="S4781" s="5" t="str">
        <f>IFERROR(__xludf.DUMMYFUNCTION("""COMPUTED_VALUE"""),"Motu Patlu: Mission Moon")</f>
        <v>Motu Patlu: Mission Moon</v>
      </c>
      <c r="V4781" s="5"/>
      <c r="Y4781" s="5" t="str">
        <f>IFERROR(__xludf.DUMMYFUNCTION("REGEXEXTRACT(J4781, ""^\d+"")"),"1")</f>
        <v>1</v>
      </c>
      <c r="Z4781" s="5" t="str">
        <f>IFERROR(__xludf.DUMMYFUNCTION("REGEXEXTRACT(J4781, ""[A-Za-z ]+$"")")," Season")</f>
        <v> Season</v>
      </c>
      <c r="AA4781" s="5" t="str">
        <f>IFERROR(__xludf.DUMMYFUNCTION("IF(REGEXMATCH(Z4781, ""Season""), ""TV Show"", ""Movie"")"),"TV Show")</f>
        <v>TV Show</v>
      </c>
    </row>
    <row r="4782">
      <c r="A4782" s="1" t="s">
        <v>25139</v>
      </c>
      <c r="B4782" s="1" t="s">
        <v>37</v>
      </c>
      <c r="C4782" s="1" t="s">
        <v>25140</v>
      </c>
      <c r="F4782" s="1" t="s">
        <v>30</v>
      </c>
      <c r="G4782" s="1" t="s">
        <v>25141</v>
      </c>
      <c r="H4782" s="1">
        <v>2018.0</v>
      </c>
      <c r="I4782" s="1" t="s">
        <v>136</v>
      </c>
      <c r="J4782" s="1" t="s">
        <v>43</v>
      </c>
      <c r="K4782" s="1" t="s">
        <v>507</v>
      </c>
      <c r="L4782" s="1" t="s">
        <v>25142</v>
      </c>
      <c r="M4782" s="2" t="s">
        <v>12</v>
      </c>
      <c r="N4782" s="4">
        <f t="shared" si="1"/>
        <v>43287</v>
      </c>
      <c r="O4782" s="5" t="str">
        <f>IFERROR(__xludf.DUMMYFUNCTION("IF(REGEXMATCH(TRIM(I4782), ""^\d+\s*min""), ""Unclassified"", IF(I4782 = """", ""NR"", I4782))"),"TV-PG")</f>
        <v>TV-PG</v>
      </c>
      <c r="R4782" s="5" t="str">
        <f t="shared" si="2"/>
        <v>First Team: Juventus</v>
      </c>
      <c r="S4782" s="5" t="str">
        <f>IFERROR(__xludf.DUMMYFUNCTION("""COMPUTED_VALUE"""),"Mountain")</f>
        <v>Mountain</v>
      </c>
      <c r="V4782" s="5"/>
      <c r="Y4782" s="5" t="str">
        <f>IFERROR(__xludf.DUMMYFUNCTION("REGEXEXTRACT(J4782, ""^\d+"")"),"2")</f>
        <v>2</v>
      </c>
      <c r="Z4782" s="5" t="str">
        <f>IFERROR(__xludf.DUMMYFUNCTION("REGEXEXTRACT(J4782, ""[A-Za-z ]+$"")")," Seasons")</f>
        <v> Seasons</v>
      </c>
      <c r="AA4782" s="5" t="str">
        <f>IFERROR(__xludf.DUMMYFUNCTION("IF(REGEXMATCH(Z4782, ""Season""), ""TV Show"", ""Movie"")"),"TV Show")</f>
        <v>TV Show</v>
      </c>
    </row>
    <row r="4783">
      <c r="A4783" s="1" t="s">
        <v>25143</v>
      </c>
      <c r="B4783" s="1" t="s">
        <v>27</v>
      </c>
      <c r="C4783" s="1" t="s">
        <v>25144</v>
      </c>
      <c r="D4783" s="1" t="s">
        <v>18885</v>
      </c>
      <c r="E4783" s="1" t="s">
        <v>25145</v>
      </c>
      <c r="F4783" s="1" t="s">
        <v>1815</v>
      </c>
      <c r="G4783" s="1" t="s">
        <v>25141</v>
      </c>
      <c r="H4783" s="1">
        <v>2018.0</v>
      </c>
      <c r="I4783" s="1" t="s">
        <v>97</v>
      </c>
      <c r="J4783" s="1" t="s">
        <v>2636</v>
      </c>
      <c r="K4783" s="1" t="s">
        <v>1839</v>
      </c>
      <c r="L4783" s="1" t="s">
        <v>25146</v>
      </c>
      <c r="M4783" s="2" t="s">
        <v>12</v>
      </c>
      <c r="N4783" s="4">
        <f t="shared" si="1"/>
        <v>43287</v>
      </c>
      <c r="O4783" s="5" t="str">
        <f>IFERROR(__xludf.DUMMYFUNCTION("IF(REGEXMATCH(TRIM(I4783), ""^\d+\s*min""), ""Unclassified"", IF(I4783 = """", ""NR"", I4783))"),"TV-14")</f>
        <v>TV-14</v>
      </c>
      <c r="R4783" s="5" t="str">
        <f t="shared" si="2"/>
        <v>Luciano Mellera: Infantiloide</v>
      </c>
      <c r="S4783" s="5" t="str">
        <f>IFERROR(__xludf.DUMMYFUNCTION("""COMPUTED_VALUE"""),"Move")</f>
        <v>Move</v>
      </c>
      <c r="V4783" s="5"/>
      <c r="Y4783" s="5" t="str">
        <f>IFERROR(__xludf.DUMMYFUNCTION("REGEXEXTRACT(J4783, ""^\d+"")"),"66")</f>
        <v>66</v>
      </c>
      <c r="Z4783" s="5" t="str">
        <f>IFERROR(__xludf.DUMMYFUNCTION("REGEXEXTRACT(J4783, ""[A-Za-z ]+$"")")," min")</f>
        <v> min</v>
      </c>
      <c r="AA4783" s="5" t="str">
        <f>IFERROR(__xludf.DUMMYFUNCTION("IF(REGEXMATCH(Z4783, ""Season""), ""TV Show"", ""Movie"")"),"Movie")</f>
        <v>Movie</v>
      </c>
    </row>
    <row r="4784">
      <c r="A4784" s="1" t="s">
        <v>25147</v>
      </c>
      <c r="B4784" s="1" t="s">
        <v>27</v>
      </c>
      <c r="C4784" s="1" t="s">
        <v>25148</v>
      </c>
      <c r="D4784" s="1" t="s">
        <v>11039</v>
      </c>
      <c r="E4784" s="1" t="s">
        <v>25149</v>
      </c>
      <c r="F4784" s="1" t="s">
        <v>30</v>
      </c>
      <c r="G4784" s="1" t="s">
        <v>25141</v>
      </c>
      <c r="H4784" s="1">
        <v>2018.0</v>
      </c>
      <c r="I4784" s="1" t="s">
        <v>97</v>
      </c>
      <c r="J4784" s="1" t="s">
        <v>490</v>
      </c>
      <c r="K4784" s="1" t="s">
        <v>617</v>
      </c>
      <c r="L4784" s="1" t="s">
        <v>25150</v>
      </c>
      <c r="M4784" s="2" t="s">
        <v>12</v>
      </c>
      <c r="N4784" s="4">
        <f t="shared" si="1"/>
        <v>43287</v>
      </c>
      <c r="O4784" s="5" t="str">
        <f>IFERROR(__xludf.DUMMYFUNCTION("IF(REGEXMATCH(TRIM(I4784), ""^\d+\s*min""), ""Unclassified"", IF(I4784 = """", ""NR"", I4784))"),"TV-14")</f>
        <v>TV-14</v>
      </c>
      <c r="R4784" s="5" t="str">
        <f t="shared" si="2"/>
        <v>The Legacy Of A Whitetail Deer Hunter</v>
      </c>
      <c r="S4784" s="5" t="str">
        <f>IFERROR(__xludf.DUMMYFUNCTION("""COMPUTED_VALUE"""),"Move To Heaven")</f>
        <v>Move To Heaven</v>
      </c>
      <c r="V4784" s="5"/>
      <c r="Y4784" s="5" t="str">
        <f>IFERROR(__xludf.DUMMYFUNCTION("REGEXEXTRACT(J4784, ""^\d+"")"),"83")</f>
        <v>83</v>
      </c>
      <c r="Z4784" s="5" t="str">
        <f>IFERROR(__xludf.DUMMYFUNCTION("REGEXEXTRACT(J4784, ""[A-Za-z ]+$"")")," min")</f>
        <v> min</v>
      </c>
      <c r="AA4784" s="5" t="str">
        <f>IFERROR(__xludf.DUMMYFUNCTION("IF(REGEXMATCH(Z4784, ""Season""), ""TV Show"", ""Movie"")"),"Movie")</f>
        <v>Movie</v>
      </c>
    </row>
    <row r="4785">
      <c r="A4785" s="1" t="s">
        <v>25151</v>
      </c>
      <c r="B4785" s="1" t="s">
        <v>27</v>
      </c>
      <c r="C4785" s="1" t="s">
        <v>25152</v>
      </c>
      <c r="D4785" s="1" t="s">
        <v>20310</v>
      </c>
      <c r="E4785" s="1" t="s">
        <v>25153</v>
      </c>
      <c r="F4785" s="1" t="s">
        <v>784</v>
      </c>
      <c r="G4785" s="1" t="s">
        <v>25141</v>
      </c>
      <c r="H4785" s="1">
        <v>2018.0</v>
      </c>
      <c r="I4785" s="1" t="s">
        <v>42</v>
      </c>
      <c r="J4785" s="1" t="s">
        <v>297</v>
      </c>
      <c r="K4785" s="1" t="s">
        <v>89</v>
      </c>
      <c r="L4785" s="1" t="s">
        <v>25154</v>
      </c>
      <c r="M4785" s="2" t="s">
        <v>12</v>
      </c>
      <c r="N4785" s="4">
        <f t="shared" si="1"/>
        <v>43287</v>
      </c>
      <c r="O4785" s="5" t="str">
        <f>IFERROR(__xludf.DUMMYFUNCTION("IF(REGEXMATCH(TRIM(I4785), ""^\d+\s*min""), ""Unclassified"", IF(I4785 = """", ""NR"", I4785))"),"TV-MA")</f>
        <v>TV-MA</v>
      </c>
      <c r="R4785" s="5" t="str">
        <f t="shared" si="2"/>
        <v>The Skin Of The Wolf</v>
      </c>
      <c r="S4785" s="5" t="str">
        <f>IFERROR(__xludf.DUMMYFUNCTION("""COMPUTED_VALUE"""),"Movie 43")</f>
        <v>Movie 43</v>
      </c>
      <c r="V4785" s="5"/>
      <c r="Y4785" s="5" t="str">
        <f>IFERROR(__xludf.DUMMYFUNCTION("REGEXEXTRACT(J4785, ""^\d+"")"),"110")</f>
        <v>110</v>
      </c>
      <c r="Z4785" s="5" t="str">
        <f>IFERROR(__xludf.DUMMYFUNCTION("REGEXEXTRACT(J4785, ""[A-Za-z ]+$"")")," min")</f>
        <v> min</v>
      </c>
      <c r="AA4785" s="5" t="str">
        <f>IFERROR(__xludf.DUMMYFUNCTION("IF(REGEXMATCH(Z4785, ""Season""), ""TV Show"", ""Movie"")"),"Movie")</f>
        <v>Movie</v>
      </c>
    </row>
    <row r="4786">
      <c r="A4786" s="1" t="s">
        <v>25155</v>
      </c>
      <c r="B4786" s="1" t="s">
        <v>27</v>
      </c>
      <c r="C4786" s="1" t="s">
        <v>25156</v>
      </c>
      <c r="D4786" s="1" t="s">
        <v>1245</v>
      </c>
      <c r="E4786" s="1" t="s">
        <v>25157</v>
      </c>
      <c r="F4786" s="1" t="s">
        <v>25158</v>
      </c>
      <c r="G4786" s="1" t="s">
        <v>25141</v>
      </c>
      <c r="H4786" s="1">
        <v>2018.0</v>
      </c>
      <c r="I4786" s="1" t="s">
        <v>136</v>
      </c>
      <c r="J4786" s="1" t="s">
        <v>428</v>
      </c>
      <c r="K4786" s="1" t="s">
        <v>771</v>
      </c>
      <c r="L4786" s="1" t="s">
        <v>25159</v>
      </c>
      <c r="M4786" s="2" t="s">
        <v>12</v>
      </c>
      <c r="N4786" s="4">
        <f t="shared" si="1"/>
        <v>43287</v>
      </c>
      <c r="O4786" s="5" t="str">
        <f>IFERROR(__xludf.DUMMYFUNCTION("IF(REGEXMATCH(TRIM(I4786), ""^\d+\s*min""), ""Unclassified"", IF(I4786 = """", ""NR"", I4786))"),"TV-PG")</f>
        <v>TV-PG</v>
      </c>
      <c r="R4786" s="5" t="str">
        <f t="shared" si="2"/>
        <v>White Fang</v>
      </c>
      <c r="S4786" s="5" t="str">
        <f>IFERROR(__xludf.DUMMYFUNCTION("""COMPUTED_VALUE"""),"Moving Art")</f>
        <v>Moving Art</v>
      </c>
      <c r="V4786" s="5"/>
      <c r="Y4786" s="5" t="str">
        <f>IFERROR(__xludf.DUMMYFUNCTION("REGEXEXTRACT(J4786, ""^\d+"")"),"88")</f>
        <v>88</v>
      </c>
      <c r="Z4786" s="5" t="str">
        <f>IFERROR(__xludf.DUMMYFUNCTION("REGEXEXTRACT(J4786, ""[A-Za-z ]+$"")")," min")</f>
        <v> min</v>
      </c>
      <c r="AA4786" s="5" t="str">
        <f>IFERROR(__xludf.DUMMYFUNCTION("IF(REGEXMATCH(Z4786, ""Season""), ""TV Show"", ""Movie"")"),"Movie")</f>
        <v>Movie</v>
      </c>
    </row>
    <row r="4787">
      <c r="A4787" s="1" t="s">
        <v>25160</v>
      </c>
      <c r="B4787" s="1" t="s">
        <v>27</v>
      </c>
      <c r="C4787" s="1" t="s">
        <v>25161</v>
      </c>
      <c r="D4787" s="1" t="s">
        <v>12844</v>
      </c>
      <c r="E4787" s="1" t="s">
        <v>23751</v>
      </c>
      <c r="F4787" s="1" t="s">
        <v>30</v>
      </c>
      <c r="G4787" s="1" t="s">
        <v>25162</v>
      </c>
      <c r="H4787" s="1">
        <v>2013.0</v>
      </c>
      <c r="I4787" s="1" t="s">
        <v>42</v>
      </c>
      <c r="J4787" s="1" t="s">
        <v>4558</v>
      </c>
      <c r="K4787" s="1" t="s">
        <v>1839</v>
      </c>
      <c r="L4787" s="1" t="s">
        <v>25163</v>
      </c>
      <c r="M4787" s="2" t="s">
        <v>12</v>
      </c>
      <c r="N4787" s="4">
        <f t="shared" si="1"/>
        <v>43285</v>
      </c>
      <c r="O4787" s="5" t="str">
        <f>IFERROR(__xludf.DUMMYFUNCTION("IF(REGEXMATCH(TRIM(I4787), ""^\d+\s*min""), ""Unclassified"", IF(I4787 = """", ""NR"", I4787))"),"TV-MA")</f>
        <v>TV-MA</v>
      </c>
      <c r="R4787" s="5" t="str">
        <f t="shared" si="2"/>
        <v>Sommore: Chandelier Status</v>
      </c>
      <c r="S4787" s="5" t="str">
        <f>IFERROR(__xludf.DUMMYFUNCTION("""COMPUTED_VALUE"""),"Moving On")</f>
        <v>Moving On</v>
      </c>
      <c r="V4787" s="5"/>
      <c r="Y4787" s="5" t="str">
        <f>IFERROR(__xludf.DUMMYFUNCTION("REGEXEXTRACT(J4787, ""^\d+"")"),"77")</f>
        <v>77</v>
      </c>
      <c r="Z4787" s="5" t="str">
        <f>IFERROR(__xludf.DUMMYFUNCTION("REGEXEXTRACT(J4787, ""[A-Za-z ]+$"")")," min")</f>
        <v> min</v>
      </c>
      <c r="AA4787" s="5" t="str">
        <f>IFERROR(__xludf.DUMMYFUNCTION("IF(REGEXMATCH(Z4787, ""Season""), ""TV Show"", ""Movie"")"),"Movie")</f>
        <v>Movie</v>
      </c>
    </row>
    <row r="4788">
      <c r="A4788" s="1" t="s">
        <v>25164</v>
      </c>
      <c r="B4788" s="1" t="s">
        <v>27</v>
      </c>
      <c r="C4788" s="1" t="s">
        <v>25165</v>
      </c>
      <c r="D4788" s="1" t="s">
        <v>20604</v>
      </c>
      <c r="E4788" s="1" t="s">
        <v>11846</v>
      </c>
      <c r="F4788" s="1" t="s">
        <v>30</v>
      </c>
      <c r="G4788" s="1" t="s">
        <v>25166</v>
      </c>
      <c r="H4788" s="1">
        <v>2012.0</v>
      </c>
      <c r="I4788" s="1" t="s">
        <v>42</v>
      </c>
      <c r="J4788" s="1" t="s">
        <v>4693</v>
      </c>
      <c r="K4788" s="1" t="s">
        <v>1839</v>
      </c>
      <c r="L4788" s="1" t="s">
        <v>25167</v>
      </c>
      <c r="M4788" s="2" t="s">
        <v>12</v>
      </c>
      <c r="N4788" s="4">
        <f t="shared" si="1"/>
        <v>43284</v>
      </c>
      <c r="O4788" s="5" t="str">
        <f>IFERROR(__xludf.DUMMYFUNCTION("IF(REGEXMATCH(TRIM(I4788), ""^\d+\s*min""), ""Unclassified"", IF(I4788 = """", ""NR"", I4788))"),"TV-MA")</f>
        <v>TV-MA</v>
      </c>
      <c r="R4788" s="5" t="str">
        <f t="shared" si="2"/>
        <v>Felipe Esparza: They'Re Not Going To Laugh At You</v>
      </c>
      <c r="S4788" s="5" t="str">
        <f>IFERROR(__xludf.DUMMYFUNCTION("""COMPUTED_VALUE"""),"Mowgli: Legend Of The Jungle")</f>
        <v>Mowgli: Legend Of The Jungle</v>
      </c>
      <c r="V4788" s="5"/>
      <c r="Y4788" s="5" t="str">
        <f>IFERROR(__xludf.DUMMYFUNCTION("REGEXEXTRACT(J4788, ""^\d+"")"),"58")</f>
        <v>58</v>
      </c>
      <c r="Z4788" s="5" t="str">
        <f>IFERROR(__xludf.DUMMYFUNCTION("REGEXEXTRACT(J4788, ""[A-Za-z ]+$"")")," min")</f>
        <v> min</v>
      </c>
      <c r="AA4788" s="5" t="str">
        <f>IFERROR(__xludf.DUMMYFUNCTION("IF(REGEXMATCH(Z4788, ""Season""), ""TV Show"", ""Movie"")"),"Movie")</f>
        <v>Movie</v>
      </c>
    </row>
    <row r="4789">
      <c r="A4789" s="1" t="s">
        <v>25168</v>
      </c>
      <c r="B4789" s="1" t="s">
        <v>27</v>
      </c>
      <c r="C4789" s="1" t="s">
        <v>25169</v>
      </c>
      <c r="D4789" s="1" t="s">
        <v>20604</v>
      </c>
      <c r="E4789" s="1" t="s">
        <v>25170</v>
      </c>
      <c r="F4789" s="1" t="s">
        <v>30</v>
      </c>
      <c r="G4789" s="1" t="s">
        <v>25166</v>
      </c>
      <c r="H4789" s="1">
        <v>2012.0</v>
      </c>
      <c r="I4789" s="1" t="s">
        <v>42</v>
      </c>
      <c r="J4789" s="1" t="s">
        <v>1993</v>
      </c>
      <c r="K4789" s="1" t="s">
        <v>1839</v>
      </c>
      <c r="L4789" s="1" t="s">
        <v>25171</v>
      </c>
      <c r="M4789" s="2" t="s">
        <v>12</v>
      </c>
      <c r="N4789" s="4">
        <f t="shared" si="1"/>
        <v>43284</v>
      </c>
      <c r="O4789" s="5" t="str">
        <f>IFERROR(__xludf.DUMMYFUNCTION("IF(REGEXMATCH(TRIM(I4789), ""^\d+\s*min""), ""Unclassified"", IF(I4789 = """", ""NR"", I4789))"),"TV-MA")</f>
        <v>TV-MA</v>
      </c>
      <c r="R4789" s="5" t="str">
        <f t="shared" si="2"/>
        <v>Joan Rivers: Don'T Start With Me</v>
      </c>
      <c r="S4789" s="5" t="str">
        <f>IFERROR(__xludf.DUMMYFUNCTION("""COMPUTED_VALUE"""),"Moxie")</f>
        <v>Moxie</v>
      </c>
      <c r="V4789" s="5"/>
      <c r="Y4789" s="5" t="str">
        <f>IFERROR(__xludf.DUMMYFUNCTION("REGEXEXTRACT(J4789, ""^\d+"")"),"69")</f>
        <v>69</v>
      </c>
      <c r="Z4789" s="5" t="str">
        <f>IFERROR(__xludf.DUMMYFUNCTION("REGEXEXTRACT(J4789, ""[A-Za-z ]+$"")")," min")</f>
        <v> min</v>
      </c>
      <c r="AA4789" s="5" t="str">
        <f>IFERROR(__xludf.DUMMYFUNCTION("IF(REGEXMATCH(Z4789, ""Season""), ""TV Show"", ""Movie"")"),"Movie")</f>
        <v>Movie</v>
      </c>
    </row>
    <row r="4790">
      <c r="A4790" s="1" t="s">
        <v>25172</v>
      </c>
      <c r="B4790" s="1" t="s">
        <v>27</v>
      </c>
      <c r="C4790" s="1" t="s">
        <v>25173</v>
      </c>
      <c r="D4790" s="1" t="s">
        <v>14140</v>
      </c>
      <c r="E4790" s="1" t="s">
        <v>25174</v>
      </c>
      <c r="F4790" s="1" t="s">
        <v>30</v>
      </c>
      <c r="G4790" s="1" t="s">
        <v>25166</v>
      </c>
      <c r="H4790" s="1">
        <v>2012.0</v>
      </c>
      <c r="I4790" s="1" t="s">
        <v>42</v>
      </c>
      <c r="J4790" s="1" t="s">
        <v>207</v>
      </c>
      <c r="K4790" s="1" t="s">
        <v>1839</v>
      </c>
      <c r="L4790" s="1" t="s">
        <v>25175</v>
      </c>
      <c r="M4790" s="2" t="s">
        <v>12</v>
      </c>
      <c r="N4790" s="4">
        <f t="shared" si="1"/>
        <v>43284</v>
      </c>
      <c r="O4790" s="5" t="str">
        <f>IFERROR(__xludf.DUMMYFUNCTION("IF(REGEXMATCH(TRIM(I4790), ""^\d+\s*min""), ""Unclassified"", IF(I4790 = """", ""NR"", I4790))"),"TV-MA")</f>
        <v>TV-MA</v>
      </c>
      <c r="R4790" s="5" t="str">
        <f t="shared" si="2"/>
        <v>Katt Williams: Kattpacalypse</v>
      </c>
      <c r="S4790" s="5" t="str">
        <f>IFERROR(__xludf.DUMMYFUNCTION("""COMPUTED_VALUE"""),"Mr. Chandramouli")</f>
        <v>Mr. Chandramouli</v>
      </c>
      <c r="V4790" s="5"/>
      <c r="Y4790" s="5" t="str">
        <f>IFERROR(__xludf.DUMMYFUNCTION("REGEXEXTRACT(J4790, ""^\d+"")"),"61")</f>
        <v>61</v>
      </c>
      <c r="Z4790" s="5" t="str">
        <f>IFERROR(__xludf.DUMMYFUNCTION("REGEXEXTRACT(J4790, ""[A-Za-z ]+$"")")," min")</f>
        <v> min</v>
      </c>
      <c r="AA4790" s="5" t="str">
        <f>IFERROR(__xludf.DUMMYFUNCTION("IF(REGEXMATCH(Z4790, ""Season""), ""TV Show"", ""Movie"")"),"Movie")</f>
        <v>Movie</v>
      </c>
    </row>
    <row r="4791">
      <c r="A4791" s="1" t="s">
        <v>25176</v>
      </c>
      <c r="B4791" s="1" t="s">
        <v>27</v>
      </c>
      <c r="C4791" s="1" t="s">
        <v>25177</v>
      </c>
      <c r="D4791" s="1" t="s">
        <v>20250</v>
      </c>
      <c r="E4791" s="1" t="s">
        <v>25178</v>
      </c>
      <c r="F4791" s="1" t="s">
        <v>25179</v>
      </c>
      <c r="G4791" s="1" t="s">
        <v>25180</v>
      </c>
      <c r="H4791" s="1">
        <v>2018.0</v>
      </c>
      <c r="I4791" s="1" t="s">
        <v>97</v>
      </c>
      <c r="J4791" s="1" t="s">
        <v>428</v>
      </c>
      <c r="K4791" s="1" t="s">
        <v>583</v>
      </c>
      <c r="L4791" s="1" t="s">
        <v>25181</v>
      </c>
      <c r="M4791" s="2" t="s">
        <v>12</v>
      </c>
      <c r="N4791" s="4">
        <f t="shared" si="1"/>
        <v>43283</v>
      </c>
      <c r="O4791" s="5" t="str">
        <f>IFERROR(__xludf.DUMMYFUNCTION("IF(REGEXMATCH(TRIM(I4791), ""^\d+\s*min""), ""Unclassified"", IF(I4791 = """", ""NR"", I4791))"),"TV-14")</f>
        <v>TV-14</v>
      </c>
      <c r="R4791" s="5" t="str">
        <f t="shared" si="2"/>
        <v>King Of Peking</v>
      </c>
      <c r="S4791" s="5" t="str">
        <f>IFERROR(__xludf.DUMMYFUNCTION("""COMPUTED_VALUE"""),"Mr. Church")</f>
        <v>Mr. Church</v>
      </c>
      <c r="V4791" s="5"/>
      <c r="Y4791" s="5" t="str">
        <f>IFERROR(__xludf.DUMMYFUNCTION("REGEXEXTRACT(J4791, ""^\d+"")"),"88")</f>
        <v>88</v>
      </c>
      <c r="Z4791" s="5" t="str">
        <f>IFERROR(__xludf.DUMMYFUNCTION("REGEXEXTRACT(J4791, ""[A-Za-z ]+$"")")," min")</f>
        <v> min</v>
      </c>
      <c r="AA4791" s="5" t="str">
        <f>IFERROR(__xludf.DUMMYFUNCTION("IF(REGEXMATCH(Z4791, ""Season""), ""TV Show"", ""Movie"")"),"Movie")</f>
        <v>Movie</v>
      </c>
    </row>
    <row r="4792">
      <c r="A4792" s="1" t="s">
        <v>25182</v>
      </c>
      <c r="B4792" s="1" t="s">
        <v>27</v>
      </c>
      <c r="C4792" s="1" t="s">
        <v>25183</v>
      </c>
      <c r="D4792" s="1" t="s">
        <v>18619</v>
      </c>
      <c r="E4792" s="1" t="s">
        <v>25184</v>
      </c>
      <c r="F4792" s="1" t="s">
        <v>63</v>
      </c>
      <c r="G4792" s="1" t="s">
        <v>25185</v>
      </c>
      <c r="H4792" s="1">
        <v>2006.0</v>
      </c>
      <c r="I4792" s="1" t="s">
        <v>97</v>
      </c>
      <c r="J4792" s="1" t="s">
        <v>393</v>
      </c>
      <c r="K4792" s="1" t="s">
        <v>583</v>
      </c>
      <c r="L4792" s="1" t="s">
        <v>25186</v>
      </c>
      <c r="M4792" s="2" t="s">
        <v>12</v>
      </c>
      <c r="N4792" s="4">
        <f t="shared" si="1"/>
        <v>43282</v>
      </c>
      <c r="O4792" s="5" t="str">
        <f>IFERROR(__xludf.DUMMYFUNCTION("IF(REGEXMATCH(TRIM(I4792), ""^\d+\s*min""), ""Unclassified"", IF(I4792 = """", ""NR"", I4792))"),"TV-14")</f>
        <v>TV-14</v>
      </c>
      <c r="R4792" s="5" t="str">
        <f t="shared" si="2"/>
        <v>Anthony Kaun Hai?</v>
      </c>
      <c r="S4792" s="5" t="str">
        <f>IFERROR(__xludf.DUMMYFUNCTION("""COMPUTED_VALUE"""),"Mr. Deeds")</f>
        <v>Mr. Deeds</v>
      </c>
      <c r="V4792" s="5"/>
      <c r="Y4792" s="5" t="str">
        <f>IFERROR(__xludf.DUMMYFUNCTION("REGEXEXTRACT(J4792, ""^\d+"")"),"122")</f>
        <v>122</v>
      </c>
      <c r="Z4792" s="5" t="str">
        <f>IFERROR(__xludf.DUMMYFUNCTION("REGEXEXTRACT(J4792, ""[A-Za-z ]+$"")")," min")</f>
        <v> min</v>
      </c>
      <c r="AA4792" s="5" t="str">
        <f>IFERROR(__xludf.DUMMYFUNCTION("IF(REGEXMATCH(Z4792, ""Season""), ""TV Show"", ""Movie"")"),"Movie")</f>
        <v>Movie</v>
      </c>
    </row>
    <row r="4793">
      <c r="A4793" s="1" t="s">
        <v>25187</v>
      </c>
      <c r="B4793" s="1" t="s">
        <v>27</v>
      </c>
      <c r="C4793" s="1" t="s">
        <v>25188</v>
      </c>
      <c r="D4793" s="1" t="s">
        <v>3513</v>
      </c>
      <c r="E4793" s="1" t="s">
        <v>3507</v>
      </c>
      <c r="F4793" s="1" t="s">
        <v>30</v>
      </c>
      <c r="G4793" s="1" t="s">
        <v>25185</v>
      </c>
      <c r="H4793" s="1">
        <v>2013.0</v>
      </c>
      <c r="I4793" s="1" t="s">
        <v>42</v>
      </c>
      <c r="J4793" s="1" t="s">
        <v>4639</v>
      </c>
      <c r="K4793" s="1" t="s">
        <v>1839</v>
      </c>
      <c r="L4793" s="1" t="s">
        <v>25189</v>
      </c>
      <c r="M4793" s="2" t="s">
        <v>12</v>
      </c>
      <c r="N4793" s="4">
        <f t="shared" si="1"/>
        <v>43282</v>
      </c>
      <c r="O4793" s="5" t="str">
        <f>IFERROR(__xludf.DUMMYFUNCTION("IF(REGEXMATCH(TRIM(I4793), ""^\d+\s*min""), ""Unclassified"", IF(I4793 = """", ""NR"", I4793))"),"TV-MA")</f>
        <v>TV-MA</v>
      </c>
      <c r="R4793" s="5" t="str">
        <f t="shared" si="2"/>
        <v>Bo Burnham: What.</v>
      </c>
      <c r="S4793" s="5" t="str">
        <f>IFERROR(__xludf.DUMMYFUNCTION("""COMPUTED_VALUE"""),"Mr. Gaga: A True Story Of Love And Dance")</f>
        <v>Mr. Gaga: A True Story Of Love And Dance</v>
      </c>
      <c r="V4793" s="5"/>
      <c r="Y4793" s="5" t="str">
        <f>IFERROR(__xludf.DUMMYFUNCTION("REGEXEXTRACT(J4793, ""^\d+"")"),"60")</f>
        <v>60</v>
      </c>
      <c r="Z4793" s="5" t="str">
        <f>IFERROR(__xludf.DUMMYFUNCTION("REGEXEXTRACT(J4793, ""[A-Za-z ]+$"")")," min")</f>
        <v> min</v>
      </c>
      <c r="AA4793" s="5" t="str">
        <f>IFERROR(__xludf.DUMMYFUNCTION("IF(REGEXMATCH(Z4793, ""Season""), ""TV Show"", ""Movie"")"),"Movie")</f>
        <v>Movie</v>
      </c>
    </row>
    <row r="4794">
      <c r="A4794" s="1" t="s">
        <v>25190</v>
      </c>
      <c r="B4794" s="1" t="s">
        <v>27</v>
      </c>
      <c r="C4794" s="1" t="s">
        <v>25191</v>
      </c>
      <c r="D4794" s="1" t="s">
        <v>2881</v>
      </c>
      <c r="E4794" s="1" t="s">
        <v>25192</v>
      </c>
      <c r="F4794" s="1" t="s">
        <v>63</v>
      </c>
      <c r="G4794" s="1" t="s">
        <v>25185</v>
      </c>
      <c r="H4794" s="1">
        <v>2003.0</v>
      </c>
      <c r="I4794" s="1" t="s">
        <v>97</v>
      </c>
      <c r="J4794" s="1" t="s">
        <v>214</v>
      </c>
      <c r="K4794" s="1" t="s">
        <v>679</v>
      </c>
      <c r="L4794" s="1" t="s">
        <v>25193</v>
      </c>
      <c r="M4794" s="2" t="s">
        <v>12</v>
      </c>
      <c r="N4794" s="4">
        <f t="shared" si="1"/>
        <v>43282</v>
      </c>
      <c r="O4794" s="5" t="str">
        <f>IFERROR(__xludf.DUMMYFUNCTION("IF(REGEXMATCH(TRIM(I4794), ""^\d+\s*min""), ""Unclassified"", IF(I4794 = """", ""NR"", I4794))"),"TV-14")</f>
        <v>TV-14</v>
      </c>
      <c r="R4794" s="5" t="str">
        <f t="shared" si="2"/>
        <v>Chalte Chalte</v>
      </c>
      <c r="S4794" s="5" t="str">
        <f>IFERROR(__xludf.DUMMYFUNCTION("""COMPUTED_VALUE"""),"Mr. Iglesias")</f>
        <v>Mr. Iglesias</v>
      </c>
      <c r="V4794" s="5"/>
      <c r="Y4794" s="5" t="str">
        <f>IFERROR(__xludf.DUMMYFUNCTION("REGEXEXTRACT(J4794, ""^\d+"")"),"166")</f>
        <v>166</v>
      </c>
      <c r="Z4794" s="5" t="str">
        <f>IFERROR(__xludf.DUMMYFUNCTION("REGEXEXTRACT(J4794, ""[A-Za-z ]+$"")")," min")</f>
        <v> min</v>
      </c>
      <c r="AA4794" s="5" t="str">
        <f>IFERROR(__xludf.DUMMYFUNCTION("IF(REGEXMATCH(Z4794, ""Season""), ""TV Show"", ""Movie"")"),"Movie")</f>
        <v>Movie</v>
      </c>
    </row>
    <row r="4795">
      <c r="A4795" s="1" t="s">
        <v>25194</v>
      </c>
      <c r="B4795" s="1" t="s">
        <v>27</v>
      </c>
      <c r="C4795" s="1" t="s">
        <v>25195</v>
      </c>
      <c r="D4795" s="1" t="s">
        <v>12304</v>
      </c>
      <c r="E4795" s="1" t="s">
        <v>25196</v>
      </c>
      <c r="F4795" s="1" t="s">
        <v>63</v>
      </c>
      <c r="G4795" s="1" t="s">
        <v>25185</v>
      </c>
      <c r="H4795" s="1">
        <v>2013.0</v>
      </c>
      <c r="I4795" s="1" t="s">
        <v>97</v>
      </c>
      <c r="J4795" s="1" t="s">
        <v>1256</v>
      </c>
      <c r="K4795" s="1" t="s">
        <v>583</v>
      </c>
      <c r="L4795" s="1" t="s">
        <v>25197</v>
      </c>
      <c r="M4795" s="2" t="s">
        <v>12</v>
      </c>
      <c r="N4795" s="4">
        <f t="shared" si="1"/>
        <v>43282</v>
      </c>
      <c r="O4795" s="5" t="str">
        <f>IFERROR(__xludf.DUMMYFUNCTION("IF(REGEXMATCH(TRIM(I4795), ""^\d+\s*min""), ""Unclassified"", IF(I4795 = """", ""NR"", I4795))"),"TV-14")</f>
        <v>TV-14</v>
      </c>
      <c r="R4795" s="5" t="str">
        <f t="shared" si="2"/>
        <v>Deewana Main Deewana</v>
      </c>
      <c r="S4795" s="5" t="str">
        <f>IFERROR(__xludf.DUMMYFUNCTION("""COMPUTED_VALUE"""),"Mr. Peabody &amp; Sherman")</f>
        <v>Mr. Peabody &amp; Sherman</v>
      </c>
      <c r="V4795" s="5"/>
      <c r="Y4795" s="5" t="str">
        <f>IFERROR(__xludf.DUMMYFUNCTION("REGEXEXTRACT(J4795, ""^\d+"")"),"107")</f>
        <v>107</v>
      </c>
      <c r="Z4795" s="5" t="str">
        <f>IFERROR(__xludf.DUMMYFUNCTION("REGEXEXTRACT(J4795, ""[A-Za-z ]+$"")")," min")</f>
        <v> min</v>
      </c>
      <c r="AA4795" s="5" t="str">
        <f>IFERROR(__xludf.DUMMYFUNCTION("IF(REGEXMATCH(Z4795, ""Season""), ""TV Show"", ""Movie"")"),"Movie")</f>
        <v>Movie</v>
      </c>
    </row>
    <row r="4796">
      <c r="A4796" s="1" t="s">
        <v>25198</v>
      </c>
      <c r="B4796" s="1" t="s">
        <v>27</v>
      </c>
      <c r="C4796" s="1" t="s">
        <v>25199</v>
      </c>
      <c r="D4796" s="1" t="s">
        <v>7207</v>
      </c>
      <c r="E4796" s="1" t="s">
        <v>25200</v>
      </c>
      <c r="F4796" s="1" t="s">
        <v>30</v>
      </c>
      <c r="G4796" s="1" t="s">
        <v>25185</v>
      </c>
      <c r="H4796" s="1">
        <v>2018.0</v>
      </c>
      <c r="I4796" s="1" t="s">
        <v>42</v>
      </c>
      <c r="J4796" s="1" t="s">
        <v>170</v>
      </c>
      <c r="K4796" s="1" t="s">
        <v>4730</v>
      </c>
      <c r="L4796" s="1" t="s">
        <v>25201</v>
      </c>
      <c r="M4796" s="2" t="s">
        <v>12</v>
      </c>
      <c r="N4796" s="4">
        <f t="shared" si="1"/>
        <v>43282</v>
      </c>
      <c r="O4796" s="5" t="str">
        <f>IFERROR(__xludf.DUMMYFUNCTION("IF(REGEXMATCH(TRIM(I4796), ""^\d+\s*min""), ""Unclassified"", IF(I4796 = """", ""NR"", I4796))"),"TV-MA")</f>
        <v>TV-MA</v>
      </c>
      <c r="R4796" s="5" t="str">
        <f t="shared" si="2"/>
        <v>Duck Butter</v>
      </c>
      <c r="S4796" s="5" t="str">
        <f>IFERROR(__xludf.DUMMYFUNCTION("""COMPUTED_VALUE"""),"Mr. Pig")</f>
        <v>Mr. Pig</v>
      </c>
      <c r="V4796" s="5"/>
      <c r="Y4796" s="5" t="str">
        <f>IFERROR(__xludf.DUMMYFUNCTION("REGEXEXTRACT(J4796, ""^\d+"")"),"94")</f>
        <v>94</v>
      </c>
      <c r="Z4796" s="5" t="str">
        <f>IFERROR(__xludf.DUMMYFUNCTION("REGEXEXTRACT(J4796, ""[A-Za-z ]+$"")")," min")</f>
        <v> min</v>
      </c>
      <c r="AA4796" s="5" t="str">
        <f>IFERROR(__xludf.DUMMYFUNCTION("IF(REGEXMATCH(Z4796, ""Season""), ""TV Show"", ""Movie"")"),"Movie")</f>
        <v>Movie</v>
      </c>
    </row>
    <row r="4797">
      <c r="A4797" s="1" t="s">
        <v>25202</v>
      </c>
      <c r="B4797" s="1" t="s">
        <v>27</v>
      </c>
      <c r="C4797" s="1" t="s">
        <v>25203</v>
      </c>
      <c r="D4797" s="1" t="s">
        <v>16928</v>
      </c>
      <c r="E4797" s="1" t="s">
        <v>25204</v>
      </c>
      <c r="F4797" s="1" t="s">
        <v>63</v>
      </c>
      <c r="G4797" s="1" t="s">
        <v>25185</v>
      </c>
      <c r="H4797" s="1">
        <v>2010.0</v>
      </c>
      <c r="I4797" s="1" t="s">
        <v>136</v>
      </c>
      <c r="J4797" s="1" t="s">
        <v>630</v>
      </c>
      <c r="K4797" s="1" t="s">
        <v>2242</v>
      </c>
      <c r="L4797" s="1" t="s">
        <v>25205</v>
      </c>
      <c r="M4797" s="2" t="s">
        <v>12</v>
      </c>
      <c r="N4797" s="4">
        <f t="shared" si="1"/>
        <v>43282</v>
      </c>
      <c r="O4797" s="5" t="str">
        <f>IFERROR(__xludf.DUMMYFUNCTION("IF(REGEXMATCH(TRIM(I4797), ""^\d+\s*min""), ""Unclassified"", IF(I4797 = """", ""NR"", I4797))"),"TV-PG")</f>
        <v>TV-PG</v>
      </c>
      <c r="R4797" s="5" t="str">
        <f t="shared" si="2"/>
        <v>I Am Kalam</v>
      </c>
      <c r="S4797" s="5" t="str">
        <f>IFERROR(__xludf.DUMMYFUNCTION("""COMPUTED_VALUE"""),"Mr. Right")</f>
        <v>Mr. Right</v>
      </c>
      <c r="V4797" s="5"/>
      <c r="Y4797" s="5" t="str">
        <f>IFERROR(__xludf.DUMMYFUNCTION("REGEXEXTRACT(J4797, ""^\d+"")"),"87")</f>
        <v>87</v>
      </c>
      <c r="Z4797" s="5" t="str">
        <f>IFERROR(__xludf.DUMMYFUNCTION("REGEXEXTRACT(J4797, ""[A-Za-z ]+$"")")," min")</f>
        <v> min</v>
      </c>
      <c r="AA4797" s="5" t="str">
        <f>IFERROR(__xludf.DUMMYFUNCTION("IF(REGEXMATCH(Z4797, ""Season""), ""TV Show"", ""Movie"")"),"Movie")</f>
        <v>Movie</v>
      </c>
    </row>
    <row r="4798">
      <c r="A4798" s="1" t="s">
        <v>25206</v>
      </c>
      <c r="B4798" s="1" t="s">
        <v>27</v>
      </c>
      <c r="C4798" s="1" t="s">
        <v>25207</v>
      </c>
      <c r="D4798" s="1" t="s">
        <v>20294</v>
      </c>
      <c r="E4798" s="1" t="s">
        <v>25208</v>
      </c>
      <c r="F4798" s="1" t="s">
        <v>63</v>
      </c>
      <c r="G4798" s="1" t="s">
        <v>25185</v>
      </c>
      <c r="H4798" s="1">
        <v>2018.0</v>
      </c>
      <c r="I4798" s="1" t="s">
        <v>97</v>
      </c>
      <c r="J4798" s="1" t="s">
        <v>665</v>
      </c>
      <c r="K4798" s="1" t="s">
        <v>298</v>
      </c>
      <c r="L4798" s="1" t="s">
        <v>25209</v>
      </c>
      <c r="M4798" s="2" t="s">
        <v>12</v>
      </c>
      <c r="N4798" s="4">
        <f t="shared" si="1"/>
        <v>43282</v>
      </c>
      <c r="O4798" s="5" t="str">
        <f>IFERROR(__xludf.DUMMYFUNCTION("IF(REGEXMATCH(TRIM(I4798), ""^\d+\s*min""), ""Unclassified"", IF(I4798 = """", ""NR"", I4798))"),"TV-14")</f>
        <v>TV-14</v>
      </c>
      <c r="R4798" s="5" t="str">
        <f t="shared" si="2"/>
        <v>My Birthday Song</v>
      </c>
      <c r="S4798" s="5" t="str">
        <f>IFERROR(__xludf.DUMMYFUNCTION("""COMPUTED_VALUE"""),"Mr. Romantic")</f>
        <v>Mr. Romantic</v>
      </c>
      <c r="V4798" s="5"/>
      <c r="Y4798" s="5" t="str">
        <f>IFERROR(__xludf.DUMMYFUNCTION("REGEXEXTRACT(J4798, ""^\d+"")"),"92")</f>
        <v>92</v>
      </c>
      <c r="Z4798" s="5" t="str">
        <f>IFERROR(__xludf.DUMMYFUNCTION("REGEXEXTRACT(J4798, ""[A-Za-z ]+$"")")," min")</f>
        <v> min</v>
      </c>
      <c r="AA4798" s="5" t="str">
        <f>IFERROR(__xludf.DUMMYFUNCTION("IF(REGEXMATCH(Z4798, ""Season""), ""TV Show"", ""Movie"")"),"Movie")</f>
        <v>Movie</v>
      </c>
    </row>
    <row r="4799">
      <c r="A4799" s="1" t="s">
        <v>25210</v>
      </c>
      <c r="B4799" s="1" t="s">
        <v>27</v>
      </c>
      <c r="C4799" s="1" t="s">
        <v>25211</v>
      </c>
      <c r="D4799" s="1" t="s">
        <v>14325</v>
      </c>
      <c r="E4799" s="1" t="s">
        <v>25212</v>
      </c>
      <c r="F4799" s="1" t="s">
        <v>63</v>
      </c>
      <c r="G4799" s="1" t="s">
        <v>25185</v>
      </c>
      <c r="H4799" s="1">
        <v>2007.0</v>
      </c>
      <c r="I4799" s="1" t="s">
        <v>97</v>
      </c>
      <c r="J4799" s="1" t="s">
        <v>2281</v>
      </c>
      <c r="K4799" s="1" t="s">
        <v>583</v>
      </c>
      <c r="L4799" s="1" t="s">
        <v>25213</v>
      </c>
      <c r="M4799" s="2" t="s">
        <v>12</v>
      </c>
      <c r="N4799" s="4">
        <f t="shared" si="1"/>
        <v>43282</v>
      </c>
      <c r="O4799" s="5" t="str">
        <f>IFERROR(__xludf.DUMMYFUNCTION("IF(REGEXMATCH(TRIM(I4799), ""^\d+\s*min""), ""Unclassified"", IF(I4799 = """", ""NR"", I4799))"),"TV-14")</f>
        <v>TV-14</v>
      </c>
      <c r="R4799" s="5" t="str">
        <f t="shared" si="2"/>
        <v>Namastey London</v>
      </c>
      <c r="S4799" s="5" t="str">
        <f>IFERROR(__xludf.DUMMYFUNCTION("""COMPUTED_VALUE"""),"Mr. Roosevelt")</f>
        <v>Mr. Roosevelt</v>
      </c>
      <c r="V4799" s="5"/>
      <c r="Y4799" s="5" t="str">
        <f>IFERROR(__xludf.DUMMYFUNCTION("REGEXEXTRACT(J4799, ""^\d+"")"),"130")</f>
        <v>130</v>
      </c>
      <c r="Z4799" s="5" t="str">
        <f>IFERROR(__xludf.DUMMYFUNCTION("REGEXEXTRACT(J4799, ""[A-Za-z ]+$"")")," min")</f>
        <v> min</v>
      </c>
      <c r="AA4799" s="5" t="str">
        <f>IFERROR(__xludf.DUMMYFUNCTION("IF(REGEXMATCH(Z4799, ""Season""), ""TV Show"", ""Movie"")"),"Movie")</f>
        <v>Movie</v>
      </c>
    </row>
    <row r="4800">
      <c r="A4800" s="1" t="s">
        <v>25214</v>
      </c>
      <c r="B4800" s="1" t="s">
        <v>37</v>
      </c>
      <c r="C4800" s="1" t="s">
        <v>25215</v>
      </c>
      <c r="E4800" s="1" t="s">
        <v>25216</v>
      </c>
      <c r="F4800" s="1" t="s">
        <v>30</v>
      </c>
      <c r="G4800" s="1" t="s">
        <v>25185</v>
      </c>
      <c r="H4800" s="1">
        <v>2017.0</v>
      </c>
      <c r="I4800" s="1" t="s">
        <v>97</v>
      </c>
      <c r="J4800" s="1" t="s">
        <v>13707</v>
      </c>
      <c r="K4800" s="1" t="s">
        <v>1510</v>
      </c>
      <c r="L4800" s="1" t="s">
        <v>25217</v>
      </c>
      <c r="M4800" s="2" t="s">
        <v>12</v>
      </c>
      <c r="N4800" s="4">
        <f t="shared" si="1"/>
        <v>43282</v>
      </c>
      <c r="O4800" s="5" t="str">
        <f>IFERROR(__xludf.DUMMYFUNCTION("IF(REGEXMATCH(TRIM(I4800), ""^\d+\s*min""), ""Unclassified"", IF(I4800 = """", ""NR"", I4800))"),"TV-14")</f>
        <v>TV-14</v>
      </c>
      <c r="R4800" s="5" t="str">
        <f t="shared" si="2"/>
        <v>Ncis</v>
      </c>
      <c r="S4800" s="5" t="str">
        <f>IFERROR(__xludf.DUMMYFUNCTION("""COMPUTED_VALUE"""),"Mr. Sunshine")</f>
        <v>Mr. Sunshine</v>
      </c>
      <c r="V4800" s="5"/>
      <c r="Y4800" s="5" t="str">
        <f>IFERROR(__xludf.DUMMYFUNCTION("REGEXEXTRACT(J4800, ""^\d+"")"),"15")</f>
        <v>15</v>
      </c>
      <c r="Z4800" s="5" t="str">
        <f>IFERROR(__xludf.DUMMYFUNCTION("REGEXEXTRACT(J4800, ""[A-Za-z ]+$"")")," Seasons")</f>
        <v> Seasons</v>
      </c>
      <c r="AA4800" s="5" t="str">
        <f>IFERROR(__xludf.DUMMYFUNCTION("IF(REGEXMATCH(Z4800, ""Season""), ""TV Show"", ""Movie"")"),"TV Show")</f>
        <v>TV Show</v>
      </c>
    </row>
    <row r="4801">
      <c r="A4801" s="1" t="s">
        <v>25218</v>
      </c>
      <c r="B4801" s="1" t="s">
        <v>27</v>
      </c>
      <c r="C4801" s="1" t="s">
        <v>25219</v>
      </c>
      <c r="D4801" s="1" t="s">
        <v>25220</v>
      </c>
      <c r="E4801" s="1" t="s">
        <v>25221</v>
      </c>
      <c r="F4801" s="1" t="s">
        <v>162</v>
      </c>
      <c r="G4801" s="1" t="s">
        <v>25185</v>
      </c>
      <c r="H4801" s="1">
        <v>2015.0</v>
      </c>
      <c r="I4801" s="1" t="s">
        <v>97</v>
      </c>
      <c r="J4801" s="1" t="s">
        <v>428</v>
      </c>
      <c r="K4801" s="1" t="s">
        <v>1441</v>
      </c>
      <c r="L4801" s="1" t="s">
        <v>25222</v>
      </c>
      <c r="M4801" s="2" t="s">
        <v>12</v>
      </c>
      <c r="N4801" s="4">
        <f t="shared" si="1"/>
        <v>43282</v>
      </c>
      <c r="O4801" s="5" t="str">
        <f>IFERROR(__xludf.DUMMYFUNCTION("IF(REGEXMATCH(TRIM(I4801), ""^\d+\s*min""), ""Unclassified"", IF(I4801 = """", ""NR"", I4801))"),"TV-14")</f>
        <v>TV-14</v>
      </c>
      <c r="R4801" s="5" t="str">
        <f t="shared" si="2"/>
        <v>Soul Robbers</v>
      </c>
      <c r="S4801" s="5" t="str">
        <f>IFERROR(__xludf.DUMMYFUNCTION("""COMPUTED_VALUE"""),"Mr. Virgin")</f>
        <v>Mr. Virgin</v>
      </c>
      <c r="V4801" s="5"/>
      <c r="Y4801" s="5" t="str">
        <f>IFERROR(__xludf.DUMMYFUNCTION("REGEXEXTRACT(J4801, ""^\d+"")"),"88")</f>
        <v>88</v>
      </c>
      <c r="Z4801" s="5" t="str">
        <f>IFERROR(__xludf.DUMMYFUNCTION("REGEXEXTRACT(J4801, ""[A-Za-z ]+$"")")," min")</f>
        <v> min</v>
      </c>
      <c r="AA4801" s="5" t="str">
        <f>IFERROR(__xludf.DUMMYFUNCTION("IF(REGEXMATCH(Z4801, ""Season""), ""TV Show"", ""Movie"")"),"Movie")</f>
        <v>Movie</v>
      </c>
    </row>
    <row r="4802">
      <c r="A4802" s="1" t="s">
        <v>25223</v>
      </c>
      <c r="B4802" s="1" t="s">
        <v>27</v>
      </c>
      <c r="C4802" s="1" t="s">
        <v>25224</v>
      </c>
      <c r="D4802" s="1" t="s">
        <v>12329</v>
      </c>
      <c r="E4802" s="1" t="s">
        <v>25225</v>
      </c>
      <c r="F4802" s="1" t="s">
        <v>63</v>
      </c>
      <c r="G4802" s="1" t="s">
        <v>25185</v>
      </c>
      <c r="H4802" s="1">
        <v>2010.0</v>
      </c>
      <c r="I4802" s="1" t="s">
        <v>97</v>
      </c>
      <c r="J4802" s="1" t="s">
        <v>757</v>
      </c>
      <c r="K4802" s="1" t="s">
        <v>583</v>
      </c>
      <c r="L4802" s="1" t="s">
        <v>25226</v>
      </c>
      <c r="M4802" s="2" t="s">
        <v>12</v>
      </c>
      <c r="N4802" s="4">
        <f t="shared" si="1"/>
        <v>43282</v>
      </c>
      <c r="O4802" s="5" t="str">
        <f>IFERROR(__xludf.DUMMYFUNCTION("IF(REGEXMATCH(TRIM(I4802), ""^\d+\s*min""), ""Unclassified"", IF(I4802 = """", ""NR"", I4802))"),"TV-14")</f>
        <v>TV-14</v>
      </c>
      <c r="R4802" s="5" t="str">
        <f t="shared" si="2"/>
        <v>Tum Milo Toh Sahi</v>
      </c>
      <c r="S4802" s="5" t="str">
        <f>IFERROR(__xludf.DUMMYFUNCTION("""COMPUTED_VALUE"""),"Mr. Woodcock")</f>
        <v>Mr. Woodcock</v>
      </c>
      <c r="V4802" s="5"/>
      <c r="Y4802" s="5" t="str">
        <f>IFERROR(__xludf.DUMMYFUNCTION("REGEXEXTRACT(J4802, ""^\d+"")"),"128")</f>
        <v>128</v>
      </c>
      <c r="Z4802" s="5" t="str">
        <f>IFERROR(__xludf.DUMMYFUNCTION("REGEXEXTRACT(J4802, ""[A-Za-z ]+$"")")," min")</f>
        <v> min</v>
      </c>
      <c r="AA4802" s="5" t="str">
        <f>IFERROR(__xludf.DUMMYFUNCTION("IF(REGEXMATCH(Z4802, ""Season""), ""TV Show"", ""Movie"")"),"Movie")</f>
        <v>Movie</v>
      </c>
    </row>
    <row r="4803">
      <c r="A4803" s="1" t="s">
        <v>25227</v>
      </c>
      <c r="B4803" s="1" t="s">
        <v>27</v>
      </c>
      <c r="C4803" s="1" t="s">
        <v>25228</v>
      </c>
      <c r="D4803" s="1" t="s">
        <v>3316</v>
      </c>
      <c r="F4803" s="1" t="s">
        <v>30</v>
      </c>
      <c r="G4803" s="1" t="s">
        <v>25185</v>
      </c>
      <c r="H4803" s="1">
        <v>2017.0</v>
      </c>
      <c r="I4803" s="1" t="s">
        <v>42</v>
      </c>
      <c r="J4803" s="1" t="s">
        <v>322</v>
      </c>
      <c r="K4803" s="1" t="s">
        <v>700</v>
      </c>
      <c r="L4803" s="1" t="s">
        <v>25229</v>
      </c>
      <c r="M4803" s="2" t="s">
        <v>12</v>
      </c>
      <c r="N4803" s="4">
        <f t="shared" si="1"/>
        <v>43282</v>
      </c>
      <c r="O4803" s="5" t="str">
        <f>IFERROR(__xludf.DUMMYFUNCTION("IF(REGEXMATCH(TRIM(I4803), ""^\d+\s*min""), ""Unclassified"", IF(I4803 = """", ""NR"", I4803))"),"TV-MA")</f>
        <v>TV-MA</v>
      </c>
      <c r="R4803" s="5" t="str">
        <f t="shared" si="2"/>
        <v>What We Started</v>
      </c>
      <c r="S4803" s="5" t="str">
        <f>IFERROR(__xludf.DUMMYFUNCTION("""COMPUTED_VALUE"""),"Mr. Young")</f>
        <v>Mr. Young</v>
      </c>
      <c r="V4803" s="5"/>
      <c r="Y4803" s="5" t="str">
        <f>IFERROR(__xludf.DUMMYFUNCTION("REGEXEXTRACT(J4803, ""^\d+"")"),"96")</f>
        <v>96</v>
      </c>
      <c r="Z4803" s="5" t="str">
        <f>IFERROR(__xludf.DUMMYFUNCTION("REGEXEXTRACT(J4803, ""[A-Za-z ]+$"")")," min")</f>
        <v> min</v>
      </c>
      <c r="AA4803" s="5" t="str">
        <f>IFERROR(__xludf.DUMMYFUNCTION("IF(REGEXMATCH(Z4803, ""Season""), ""TV Show"", ""Movie"")"),"Movie")</f>
        <v>Movie</v>
      </c>
    </row>
    <row r="4804">
      <c r="A4804" s="1" t="s">
        <v>25230</v>
      </c>
      <c r="B4804" s="1" t="s">
        <v>27</v>
      </c>
      <c r="C4804" s="1" t="s">
        <v>25231</v>
      </c>
      <c r="D4804" s="1" t="s">
        <v>21100</v>
      </c>
      <c r="E4804" s="1" t="s">
        <v>25232</v>
      </c>
      <c r="F4804" s="1" t="s">
        <v>63</v>
      </c>
      <c r="G4804" s="1" t="s">
        <v>25185</v>
      </c>
      <c r="H4804" s="1">
        <v>2018.0</v>
      </c>
      <c r="I4804" s="1" t="s">
        <v>42</v>
      </c>
      <c r="J4804" s="1" t="s">
        <v>170</v>
      </c>
      <c r="K4804" s="1" t="s">
        <v>89</v>
      </c>
      <c r="L4804" s="1" t="s">
        <v>25233</v>
      </c>
      <c r="M4804" s="2" t="s">
        <v>12</v>
      </c>
      <c r="N4804" s="4">
        <f t="shared" si="1"/>
        <v>43282</v>
      </c>
      <c r="O4804" s="5" t="str">
        <f>IFERROR(__xludf.DUMMYFUNCTION("IF(REGEXMATCH(TRIM(I4804), ""^\d+\s*min""), ""Unclassified"", IF(I4804 = """", ""NR"", I4804))"),"TV-MA")</f>
        <v>TV-MA</v>
      </c>
      <c r="R4804" s="5" t="str">
        <f t="shared" si="2"/>
        <v>Zoo</v>
      </c>
      <c r="S4804" s="5" t="str">
        <f>IFERROR(__xludf.DUMMYFUNCTION("""COMPUTED_VALUE"""),"Mrs. Serial Killer")</f>
        <v>Mrs. Serial Killer</v>
      </c>
      <c r="V4804" s="5"/>
      <c r="Y4804" s="5" t="str">
        <f>IFERROR(__xludf.DUMMYFUNCTION("REGEXEXTRACT(J4804, ""^\d+"")"),"94")</f>
        <v>94</v>
      </c>
      <c r="Z4804" s="5" t="str">
        <f>IFERROR(__xludf.DUMMYFUNCTION("REGEXEXTRACT(J4804, ""[A-Za-z ]+$"")")," min")</f>
        <v> min</v>
      </c>
      <c r="AA4804" s="5" t="str">
        <f>IFERROR(__xludf.DUMMYFUNCTION("IF(REGEXMATCH(Z4804, ""Season""), ""TV Show"", ""Movie"")"),"Movie")</f>
        <v>Movie</v>
      </c>
    </row>
    <row r="4805">
      <c r="A4805" s="1" t="s">
        <v>25234</v>
      </c>
      <c r="B4805" s="1" t="s">
        <v>27</v>
      </c>
      <c r="C4805" s="1" t="s">
        <v>25235</v>
      </c>
      <c r="D4805" s="1" t="s">
        <v>10401</v>
      </c>
      <c r="E4805" s="1" t="s">
        <v>19306</v>
      </c>
      <c r="F4805" s="1" t="s">
        <v>30</v>
      </c>
      <c r="G4805" s="1" t="s">
        <v>25236</v>
      </c>
      <c r="H4805" s="1">
        <v>2012.0</v>
      </c>
      <c r="I4805" s="1" t="s">
        <v>42</v>
      </c>
      <c r="J4805" s="1" t="s">
        <v>1993</v>
      </c>
      <c r="K4805" s="1" t="s">
        <v>1839</v>
      </c>
      <c r="L4805" s="1" t="s">
        <v>25237</v>
      </c>
      <c r="M4805" s="2" t="s">
        <v>12</v>
      </c>
      <c r="N4805" s="4">
        <f t="shared" si="1"/>
        <v>43281</v>
      </c>
      <c r="O4805" s="5" t="str">
        <f>IFERROR(__xludf.DUMMYFUNCTION("IF(REGEXMATCH(TRIM(I4805), ""^\d+\s*min""), ""Unclassified"", IF(I4805 = """", ""NR"", I4805))"),"TV-MA")</f>
        <v>TV-MA</v>
      </c>
      <c r="R4805" s="5" t="str">
        <f t="shared" si="2"/>
        <v>Bill Burr: You People Are All The Same</v>
      </c>
      <c r="S4805" s="5" t="str">
        <f>IFERROR(__xludf.DUMMYFUNCTION("""COMPUTED_VALUE"""),"Ms. Mammy")</f>
        <v>Ms. Mammy</v>
      </c>
      <c r="V4805" s="5"/>
      <c r="Y4805" s="5" t="str">
        <f>IFERROR(__xludf.DUMMYFUNCTION("REGEXEXTRACT(J4805, ""^\d+"")"),"69")</f>
        <v>69</v>
      </c>
      <c r="Z4805" s="5" t="str">
        <f>IFERROR(__xludf.DUMMYFUNCTION("REGEXEXTRACT(J4805, ""[A-Za-z ]+$"")")," min")</f>
        <v> min</v>
      </c>
      <c r="AA4805" s="5" t="str">
        <f>IFERROR(__xludf.DUMMYFUNCTION("IF(REGEXMATCH(Z4805, ""Season""), ""TV Show"", ""Movie"")"),"Movie")</f>
        <v>Movie</v>
      </c>
    </row>
    <row r="4806">
      <c r="A4806" s="1" t="s">
        <v>25238</v>
      </c>
      <c r="B4806" s="1" t="s">
        <v>37</v>
      </c>
      <c r="C4806" s="1" t="s">
        <v>25239</v>
      </c>
      <c r="E4806" s="1" t="s">
        <v>25240</v>
      </c>
      <c r="F4806" s="1" t="s">
        <v>30</v>
      </c>
      <c r="G4806" s="1" t="s">
        <v>25236</v>
      </c>
      <c r="H4806" s="1">
        <v>2017.0</v>
      </c>
      <c r="I4806" s="1" t="s">
        <v>97</v>
      </c>
      <c r="J4806" s="1" t="s">
        <v>51</v>
      </c>
      <c r="K4806" s="1" t="s">
        <v>1510</v>
      </c>
      <c r="L4806" s="1" t="s">
        <v>25241</v>
      </c>
      <c r="M4806" s="2" t="s">
        <v>12</v>
      </c>
      <c r="N4806" s="4">
        <f t="shared" si="1"/>
        <v>43281</v>
      </c>
      <c r="O4806" s="5" t="str">
        <f>IFERROR(__xludf.DUMMYFUNCTION("IF(REGEXMATCH(TRIM(I4806), ""^\d+\s*min""), ""Unclassified"", IF(I4806 = """", ""NR"", I4806))"),"TV-14")</f>
        <v>TV-14</v>
      </c>
      <c r="R4806" s="5" t="str">
        <f t="shared" si="2"/>
        <v>Somewhere Between</v>
      </c>
      <c r="S4806" s="5" t="str">
        <f>IFERROR(__xludf.DUMMYFUNCTION("""COMPUTED_VALUE"""),"Mubarakan")</f>
        <v>Mubarakan</v>
      </c>
      <c r="V4806" s="5"/>
      <c r="Y4806" s="5" t="str">
        <f>IFERROR(__xludf.DUMMYFUNCTION("REGEXEXTRACT(J4806, ""^\d+"")"),"1")</f>
        <v>1</v>
      </c>
      <c r="Z4806" s="5" t="str">
        <f>IFERROR(__xludf.DUMMYFUNCTION("REGEXEXTRACT(J4806, ""[A-Za-z ]+$"")")," Season")</f>
        <v> Season</v>
      </c>
      <c r="AA4806" s="5" t="str">
        <f>IFERROR(__xludf.DUMMYFUNCTION("IF(REGEXMATCH(Z4806, ""Season""), ""TV Show"", ""Movie"")"),"TV Show")</f>
        <v>TV Show</v>
      </c>
    </row>
    <row r="4807">
      <c r="A4807" s="1" t="s">
        <v>25242</v>
      </c>
      <c r="B4807" s="1" t="s">
        <v>27</v>
      </c>
      <c r="C4807" s="1" t="s">
        <v>25243</v>
      </c>
      <c r="D4807" s="1" t="s">
        <v>23813</v>
      </c>
      <c r="E4807" s="1" t="s">
        <v>25244</v>
      </c>
      <c r="F4807" s="1" t="s">
        <v>784</v>
      </c>
      <c r="G4807" s="1" t="s">
        <v>25236</v>
      </c>
      <c r="H4807" s="1">
        <v>2017.0</v>
      </c>
      <c r="I4807" s="1" t="s">
        <v>42</v>
      </c>
      <c r="J4807" s="1" t="s">
        <v>33</v>
      </c>
      <c r="K4807" s="1" t="s">
        <v>1972</v>
      </c>
      <c r="L4807" s="1" t="s">
        <v>25245</v>
      </c>
      <c r="M4807" s="2" t="s">
        <v>12</v>
      </c>
      <c r="N4807" s="4">
        <f t="shared" si="1"/>
        <v>43281</v>
      </c>
      <c r="O4807" s="5" t="str">
        <f>IFERROR(__xludf.DUMMYFUNCTION("IF(REGEXMATCH(TRIM(I4807), ""^\d+\s*min""), ""Unclassified"", IF(I4807 = """", ""NR"", I4807))"),"TV-MA")</f>
        <v>TV-MA</v>
      </c>
      <c r="R4807" s="5" t="str">
        <f t="shared" si="2"/>
        <v>The Maus</v>
      </c>
      <c r="S4807" s="5" t="str">
        <f>IFERROR(__xludf.DUMMYFUNCTION("""COMPUTED_VALUE"""),"Much Ado About Nothing")</f>
        <v>Much Ado About Nothing</v>
      </c>
      <c r="V4807" s="5"/>
      <c r="Y4807" s="5" t="str">
        <f>IFERROR(__xludf.DUMMYFUNCTION("REGEXEXTRACT(J4807, ""^\d+"")"),"90")</f>
        <v>90</v>
      </c>
      <c r="Z4807" s="5" t="str">
        <f>IFERROR(__xludf.DUMMYFUNCTION("REGEXEXTRACT(J4807, ""[A-Za-z ]+$"")")," min")</f>
        <v> min</v>
      </c>
      <c r="AA4807" s="5" t="str">
        <f>IFERROR(__xludf.DUMMYFUNCTION("IF(REGEXMATCH(Z4807, ""Season""), ""TV Show"", ""Movie"")"),"Movie")</f>
        <v>Movie</v>
      </c>
    </row>
    <row r="4808">
      <c r="A4808" s="1" t="s">
        <v>25246</v>
      </c>
      <c r="B4808" s="1" t="s">
        <v>27</v>
      </c>
      <c r="C4808" s="1" t="s">
        <v>25247</v>
      </c>
      <c r="D4808" s="1" t="s">
        <v>15248</v>
      </c>
      <c r="E4808" s="1" t="s">
        <v>25248</v>
      </c>
      <c r="F4808" s="1" t="s">
        <v>96</v>
      </c>
      <c r="G4808" s="1" t="s">
        <v>25249</v>
      </c>
      <c r="H4808" s="1">
        <v>2018.0</v>
      </c>
      <c r="I4808" s="1" t="s">
        <v>42</v>
      </c>
      <c r="J4808" s="1" t="s">
        <v>1091</v>
      </c>
      <c r="K4808" s="1" t="s">
        <v>298</v>
      </c>
      <c r="L4808" s="1" t="s">
        <v>25250</v>
      </c>
      <c r="M4808" s="2" t="s">
        <v>12</v>
      </c>
      <c r="N4808" s="4">
        <f t="shared" si="1"/>
        <v>43280</v>
      </c>
      <c r="O4808" s="5" t="str">
        <f>IFERROR(__xludf.DUMMYFUNCTION("IF(REGEXMATCH(TRIM(I4808), ""^\d+\s*min""), ""Unclassified"", IF(I4808 = """", ""NR"", I4808))"),"TV-MA")</f>
        <v>TV-MA</v>
      </c>
      <c r="R4808" s="5" t="str">
        <f t="shared" si="2"/>
        <v>Calibre</v>
      </c>
      <c r="S4808" s="5" t="str">
        <f>IFERROR(__xludf.DUMMYFUNCTION("""COMPUTED_VALUE"""),"Much Loved")</f>
        <v>Much Loved</v>
      </c>
      <c r="V4808" s="5"/>
      <c r="Y4808" s="5" t="str">
        <f>IFERROR(__xludf.DUMMYFUNCTION("REGEXEXTRACT(J4808, ""^\d+"")"),"101")</f>
        <v>101</v>
      </c>
      <c r="Z4808" s="5" t="str">
        <f>IFERROR(__xludf.DUMMYFUNCTION("REGEXEXTRACT(J4808, ""[A-Za-z ]+$"")")," min")</f>
        <v> min</v>
      </c>
      <c r="AA4808" s="5" t="str">
        <f>IFERROR(__xludf.DUMMYFUNCTION("IF(REGEXMATCH(Z4808, ""Season""), ""TV Show"", ""Movie"")"),"Movie")</f>
        <v>Movie</v>
      </c>
    </row>
    <row r="4809">
      <c r="A4809" s="1" t="s">
        <v>25251</v>
      </c>
      <c r="B4809" s="1" t="s">
        <v>37</v>
      </c>
      <c r="C4809" s="1" t="s">
        <v>25252</v>
      </c>
      <c r="F4809" s="1" t="s">
        <v>96</v>
      </c>
      <c r="G4809" s="1" t="s">
        <v>25249</v>
      </c>
      <c r="H4809" s="1">
        <v>2018.0</v>
      </c>
      <c r="I4809" s="1" t="s">
        <v>42</v>
      </c>
      <c r="J4809" s="1" t="s">
        <v>51</v>
      </c>
      <c r="K4809" s="1" t="s">
        <v>2382</v>
      </c>
      <c r="L4809" s="1" t="s">
        <v>25253</v>
      </c>
      <c r="M4809" s="2" t="s">
        <v>12</v>
      </c>
      <c r="N4809" s="4">
        <f t="shared" si="1"/>
        <v>43280</v>
      </c>
      <c r="O4809" s="5" t="str">
        <f>IFERROR(__xludf.DUMMYFUNCTION("IF(REGEXMATCH(TRIM(I4809), ""^\d+\s*min""), ""Unclassified"", IF(I4809 = """", ""NR"", I4809))"),"TV-MA")</f>
        <v>TV-MA</v>
      </c>
      <c r="R4809" s="5" t="str">
        <f t="shared" si="2"/>
        <v>Churchill’S Secret Agents: The New Recruits</v>
      </c>
      <c r="S4809" s="5" t="str">
        <f>IFERROR(__xludf.DUMMYFUNCTION("""COMPUTED_VALUE"""),"Mucho Mucho Amor: The Legend Of Walter Mercado")</f>
        <v>Mucho Mucho Amor: The Legend Of Walter Mercado</v>
      </c>
      <c r="V4809" s="5"/>
      <c r="Y4809" s="5" t="str">
        <f>IFERROR(__xludf.DUMMYFUNCTION("REGEXEXTRACT(J4809, ""^\d+"")"),"1")</f>
        <v>1</v>
      </c>
      <c r="Z4809" s="5" t="str">
        <f>IFERROR(__xludf.DUMMYFUNCTION("REGEXEXTRACT(J4809, ""[A-Za-z ]+$"")")," Season")</f>
        <v> Season</v>
      </c>
      <c r="AA4809" s="5" t="str">
        <f>IFERROR(__xludf.DUMMYFUNCTION("IF(REGEXMATCH(Z4809, ""Season""), ""TV Show"", ""Movie"")"),"TV Show")</f>
        <v>TV Show</v>
      </c>
    </row>
    <row r="4810">
      <c r="A4810" s="1" t="s">
        <v>25254</v>
      </c>
      <c r="B4810" s="1" t="s">
        <v>27</v>
      </c>
      <c r="C4810" s="1" t="s">
        <v>25255</v>
      </c>
      <c r="D4810" s="1" t="s">
        <v>18885</v>
      </c>
      <c r="E4810" s="1" t="s">
        <v>25256</v>
      </c>
      <c r="F4810" s="1" t="s">
        <v>13294</v>
      </c>
      <c r="G4810" s="1" t="s">
        <v>25249</v>
      </c>
      <c r="H4810" s="1">
        <v>2018.0</v>
      </c>
      <c r="I4810" s="1" t="s">
        <v>42</v>
      </c>
      <c r="J4810" s="1" t="s">
        <v>4558</v>
      </c>
      <c r="K4810" s="1" t="s">
        <v>1839</v>
      </c>
      <c r="L4810" s="1" t="s">
        <v>25257</v>
      </c>
      <c r="M4810" s="2" t="s">
        <v>12</v>
      </c>
      <c r="N4810" s="4">
        <f t="shared" si="1"/>
        <v>43280</v>
      </c>
      <c r="O4810" s="5" t="str">
        <f>IFERROR(__xludf.DUMMYFUNCTION("IF(REGEXMATCH(TRIM(I4810), ""^\d+\s*min""), ""Unclassified"", IF(I4810 = """", ""NR"", I4810))"),"TV-MA")</f>
        <v>TV-MA</v>
      </c>
      <c r="R4810" s="5" t="str">
        <f t="shared" si="2"/>
        <v>Jani Dueñas: Grandes Fracasos De Ayer Y Hoy</v>
      </c>
      <c r="S4810" s="5" t="str">
        <f>IFERROR(__xludf.DUMMYFUNCTION("""COMPUTED_VALUE"""),"Mucize")</f>
        <v>Mucize</v>
      </c>
      <c r="V4810" s="5"/>
      <c r="Y4810" s="5" t="str">
        <f>IFERROR(__xludf.DUMMYFUNCTION("REGEXEXTRACT(J4810, ""^\d+"")"),"77")</f>
        <v>77</v>
      </c>
      <c r="Z4810" s="5" t="str">
        <f>IFERROR(__xludf.DUMMYFUNCTION("REGEXEXTRACT(J4810, ""[A-Za-z ]+$"")")," min")</f>
        <v> min</v>
      </c>
      <c r="AA4810" s="5" t="str">
        <f>IFERROR(__xludf.DUMMYFUNCTION("IF(REGEXMATCH(Z4810, ""Season""), ""TV Show"", ""Movie"")"),"Movie")</f>
        <v>Movie</v>
      </c>
    </row>
    <row r="4811">
      <c r="A4811" s="1" t="s">
        <v>25258</v>
      </c>
      <c r="B4811" s="1" t="s">
        <v>37</v>
      </c>
      <c r="C4811" s="1" t="s">
        <v>25259</v>
      </c>
      <c r="E4811" s="1" t="s">
        <v>25260</v>
      </c>
      <c r="F4811" s="1" t="s">
        <v>686</v>
      </c>
      <c r="G4811" s="1" t="s">
        <v>25249</v>
      </c>
      <c r="H4811" s="1">
        <v>2018.0</v>
      </c>
      <c r="I4811" s="1" t="s">
        <v>42</v>
      </c>
      <c r="J4811" s="1" t="s">
        <v>51</v>
      </c>
      <c r="K4811" s="1" t="s">
        <v>3274</v>
      </c>
      <c r="L4811" s="1" t="s">
        <v>25261</v>
      </c>
      <c r="M4811" s="2" t="s">
        <v>12</v>
      </c>
      <c r="N4811" s="4">
        <f t="shared" si="1"/>
        <v>43280</v>
      </c>
      <c r="O4811" s="5" t="str">
        <f>IFERROR(__xludf.DUMMYFUNCTION("IF(REGEXMATCH(TRIM(I4811), ""^\d+\s*min""), ""Unclassified"", IF(I4811 = """", ""NR"", I4811))"),"TV-MA")</f>
        <v>TV-MA</v>
      </c>
      <c r="R4811" s="5" t="str">
        <f t="shared" si="2"/>
        <v>Kiss Me First</v>
      </c>
      <c r="S4811" s="5" t="str">
        <f>IFERROR(__xludf.DUMMYFUNCTION("""COMPUTED_VALUE"""),"Mud")</f>
        <v>Mud</v>
      </c>
      <c r="V4811" s="5"/>
      <c r="Y4811" s="5" t="str">
        <f>IFERROR(__xludf.DUMMYFUNCTION("REGEXEXTRACT(J4811, ""^\d+"")"),"1")</f>
        <v>1</v>
      </c>
      <c r="Z4811" s="5" t="str">
        <f>IFERROR(__xludf.DUMMYFUNCTION("REGEXEXTRACT(J4811, ""[A-Za-z ]+$"")")," Season")</f>
        <v> Season</v>
      </c>
      <c r="AA4811" s="5" t="str">
        <f>IFERROR(__xludf.DUMMYFUNCTION("IF(REGEXMATCH(Z4811, ""Season""), ""TV Show"", ""Movie"")"),"TV Show")</f>
        <v>TV Show</v>
      </c>
    </row>
    <row r="4812">
      <c r="A4812" s="1" t="s">
        <v>25262</v>
      </c>
      <c r="B4812" s="1" t="s">
        <v>27</v>
      </c>
      <c r="C4812" s="1" t="s">
        <v>25263</v>
      </c>
      <c r="D4812" s="1" t="s">
        <v>19649</v>
      </c>
      <c r="E4812" s="1" t="s">
        <v>25264</v>
      </c>
      <c r="F4812" s="1" t="s">
        <v>25265</v>
      </c>
      <c r="G4812" s="1" t="s">
        <v>25249</v>
      </c>
      <c r="H4812" s="1">
        <v>2018.0</v>
      </c>
      <c r="I4812" s="1" t="s">
        <v>97</v>
      </c>
      <c r="J4812" s="1" t="s">
        <v>1191</v>
      </c>
      <c r="K4812" s="1" t="s">
        <v>583</v>
      </c>
      <c r="L4812" s="1" t="s">
        <v>25266</v>
      </c>
      <c r="M4812" s="2" t="s">
        <v>12</v>
      </c>
      <c r="N4812" s="4">
        <f t="shared" si="1"/>
        <v>43280</v>
      </c>
      <c r="O4812" s="5" t="str">
        <f>IFERROR(__xludf.DUMMYFUNCTION("IF(REGEXMATCH(TRIM(I4812), ""^\d+\s*min""), ""Unclassified"", IF(I4812 = """", ""NR"", I4812))"),"TV-14")</f>
        <v>TV-14</v>
      </c>
      <c r="R4812" s="5" t="str">
        <f t="shared" si="2"/>
        <v>Penalty Kick</v>
      </c>
      <c r="S4812" s="5" t="str">
        <f>IFERROR(__xludf.DUMMYFUNCTION("""COMPUTED_VALUE"""),"Mudbound")</f>
        <v>Mudbound</v>
      </c>
      <c r="V4812" s="5"/>
      <c r="Y4812" s="5" t="str">
        <f>IFERROR(__xludf.DUMMYFUNCTION("REGEXEXTRACT(J4812, ""^\d+"")"),"89")</f>
        <v>89</v>
      </c>
      <c r="Z4812" s="5" t="str">
        <f>IFERROR(__xludf.DUMMYFUNCTION("REGEXEXTRACT(J4812, ""[A-Za-z ]+$"")")," min")</f>
        <v> min</v>
      </c>
      <c r="AA4812" s="5" t="str">
        <f>IFERROR(__xludf.DUMMYFUNCTION("IF(REGEXMATCH(Z4812, ""Season""), ""TV Show"", ""Movie"")"),"Movie")</f>
        <v>Movie</v>
      </c>
    </row>
    <row r="4813">
      <c r="A4813" s="1" t="s">
        <v>25267</v>
      </c>
      <c r="B4813" s="1" t="s">
        <v>27</v>
      </c>
      <c r="C4813" s="1" t="s">
        <v>25268</v>
      </c>
      <c r="D4813" s="1" t="s">
        <v>25269</v>
      </c>
      <c r="F4813" s="1" t="s">
        <v>30</v>
      </c>
      <c r="G4813" s="1" t="s">
        <v>25249</v>
      </c>
      <c r="H4813" s="1">
        <v>2018.0</v>
      </c>
      <c r="I4813" s="1" t="s">
        <v>42</v>
      </c>
      <c r="J4813" s="1" t="s">
        <v>33</v>
      </c>
      <c r="K4813" s="1" t="s">
        <v>34</v>
      </c>
      <c r="L4813" s="1" t="s">
        <v>25270</v>
      </c>
      <c r="M4813" s="2" t="s">
        <v>12</v>
      </c>
      <c r="N4813" s="4">
        <f t="shared" si="1"/>
        <v>43280</v>
      </c>
      <c r="O4813" s="5" t="str">
        <f>IFERROR(__xludf.DUMMYFUNCTION("IF(REGEXMATCH(TRIM(I4813), ""^\d+\s*min""), ""Unclassified"", IF(I4813 = """", ""NR"", I4813))"),"TV-MA")</f>
        <v>TV-MA</v>
      </c>
      <c r="R4813" s="5" t="str">
        <f t="shared" si="2"/>
        <v>Recovery Boys</v>
      </c>
      <c r="S4813" s="5" t="str">
        <f>IFERROR(__xludf.DUMMYFUNCTION("""COMPUTED_VALUE"""),"Mugamoodi")</f>
        <v>Mugamoodi</v>
      </c>
      <c r="V4813" s="5"/>
      <c r="Y4813" s="5" t="str">
        <f>IFERROR(__xludf.DUMMYFUNCTION("REGEXEXTRACT(J4813, ""^\d+"")"),"90")</f>
        <v>90</v>
      </c>
      <c r="Z4813" s="5" t="str">
        <f>IFERROR(__xludf.DUMMYFUNCTION("REGEXEXTRACT(J4813, ""[A-Za-z ]+$"")")," min")</f>
        <v> min</v>
      </c>
      <c r="AA4813" s="5" t="str">
        <f>IFERROR(__xludf.DUMMYFUNCTION("IF(REGEXMATCH(Z4813, ""Season""), ""TV Show"", ""Movie"")"),"Movie")</f>
        <v>Movie</v>
      </c>
    </row>
    <row r="4814">
      <c r="A4814" s="1" t="s">
        <v>25271</v>
      </c>
      <c r="B4814" s="1" t="s">
        <v>27</v>
      </c>
      <c r="C4814" s="1" t="s">
        <v>25272</v>
      </c>
      <c r="D4814" s="1" t="s">
        <v>7528</v>
      </c>
      <c r="E4814" s="1" t="s">
        <v>25273</v>
      </c>
      <c r="F4814" s="1" t="s">
        <v>30</v>
      </c>
      <c r="G4814" s="1" t="s">
        <v>25249</v>
      </c>
      <c r="H4814" s="1">
        <v>2018.0</v>
      </c>
      <c r="I4814" s="1" t="s">
        <v>378</v>
      </c>
      <c r="J4814" s="1" t="s">
        <v>357</v>
      </c>
      <c r="K4814" s="1" t="s">
        <v>658</v>
      </c>
      <c r="L4814" s="1" t="s">
        <v>25274</v>
      </c>
      <c r="M4814" s="2" t="s">
        <v>12</v>
      </c>
      <c r="N4814" s="4">
        <f t="shared" si="1"/>
        <v>43280</v>
      </c>
      <c r="O4814" s="5" t="str">
        <f>IFERROR(__xludf.DUMMYFUNCTION("IF(REGEXMATCH(TRIM(I4814), ""^\d+\s*min""), ""Unclassified"", IF(I4814 = """", ""NR"", I4814))"),"R")</f>
        <v>R</v>
      </c>
      <c r="R4814" s="5" t="str">
        <f t="shared" si="2"/>
        <v>Tau</v>
      </c>
      <c r="S4814" s="5" t="str">
        <f>IFERROR(__xludf.DUMMYFUNCTION("""COMPUTED_VALUE"""),"Mujeres Arriba")</f>
        <v>Mujeres Arriba</v>
      </c>
      <c r="V4814" s="5"/>
      <c r="Y4814" s="5" t="str">
        <f>IFERROR(__xludf.DUMMYFUNCTION("REGEXEXTRACT(J4814, ""^\d+"")"),"98")</f>
        <v>98</v>
      </c>
      <c r="Z4814" s="5" t="str">
        <f>IFERROR(__xludf.DUMMYFUNCTION("REGEXEXTRACT(J4814, ""[A-Za-z ]+$"")")," min")</f>
        <v> min</v>
      </c>
      <c r="AA4814" s="5" t="str">
        <f>IFERROR(__xludf.DUMMYFUNCTION("IF(REGEXMATCH(Z4814, ""Season""), ""TV Show"", ""Movie"")"),"Movie")</f>
        <v>Movie</v>
      </c>
    </row>
    <row r="4815">
      <c r="A4815" s="1" t="s">
        <v>25275</v>
      </c>
      <c r="B4815" s="1" t="s">
        <v>37</v>
      </c>
      <c r="C4815" s="1" t="s">
        <v>25276</v>
      </c>
      <c r="E4815" s="1" t="s">
        <v>25277</v>
      </c>
      <c r="F4815" s="1" t="s">
        <v>897</v>
      </c>
      <c r="G4815" s="1" t="s">
        <v>25278</v>
      </c>
      <c r="H4815" s="1">
        <v>2017.0</v>
      </c>
      <c r="I4815" s="1" t="s">
        <v>289</v>
      </c>
      <c r="J4815" s="1" t="s">
        <v>51</v>
      </c>
      <c r="K4815" s="1" t="s">
        <v>314</v>
      </c>
      <c r="L4815" s="1" t="s">
        <v>25279</v>
      </c>
      <c r="M4815" s="2" t="s">
        <v>12</v>
      </c>
      <c r="N4815" s="4">
        <f t="shared" si="1"/>
        <v>43277</v>
      </c>
      <c r="O4815" s="5" t="str">
        <f>IFERROR(__xludf.DUMMYFUNCTION("IF(REGEXMATCH(TRIM(I4815), ""^\d+\s*min""), ""Unclassified"", IF(I4815 = """", ""NR"", I4815))"),"TV-Y7")</f>
        <v>TV-Y7</v>
      </c>
      <c r="R4815" s="5" t="str">
        <f t="shared" si="2"/>
        <v>Hotel Transylvania</v>
      </c>
      <c r="S4815" s="5" t="str">
        <f>IFERROR(__xludf.DUMMYFUNCTION("""COMPUTED_VALUE"""),"Mujhse Shaadi Karogi")</f>
        <v>Mujhse Shaadi Karogi</v>
      </c>
      <c r="V4815" s="5"/>
      <c r="Y4815" s="5" t="str">
        <f>IFERROR(__xludf.DUMMYFUNCTION("REGEXEXTRACT(J4815, ""^\d+"")"),"1")</f>
        <v>1</v>
      </c>
      <c r="Z4815" s="5" t="str">
        <f>IFERROR(__xludf.DUMMYFUNCTION("REGEXEXTRACT(J4815, ""[A-Za-z ]+$"")")," Season")</f>
        <v> Season</v>
      </c>
      <c r="AA4815" s="5" t="str">
        <f>IFERROR(__xludf.DUMMYFUNCTION("IF(REGEXMATCH(Z4815, ""Season""), ""TV Show"", ""Movie"")"),"TV Show")</f>
        <v>TV Show</v>
      </c>
    </row>
    <row r="4816">
      <c r="A4816" s="1" t="s">
        <v>25280</v>
      </c>
      <c r="B4816" s="1" t="s">
        <v>27</v>
      </c>
      <c r="C4816" s="1" t="s">
        <v>25281</v>
      </c>
      <c r="D4816" s="1" t="s">
        <v>16570</v>
      </c>
      <c r="E4816" s="1" t="s">
        <v>25282</v>
      </c>
      <c r="F4816" s="1" t="s">
        <v>30</v>
      </c>
      <c r="G4816" s="1" t="s">
        <v>25278</v>
      </c>
      <c r="H4816" s="1">
        <v>2018.0</v>
      </c>
      <c r="I4816" s="1" t="s">
        <v>42</v>
      </c>
      <c r="J4816" s="1" t="s">
        <v>2636</v>
      </c>
      <c r="K4816" s="1" t="s">
        <v>1839</v>
      </c>
      <c r="L4816" s="1" t="s">
        <v>25283</v>
      </c>
      <c r="M4816" s="2" t="s">
        <v>12</v>
      </c>
      <c r="N4816" s="4">
        <f t="shared" si="1"/>
        <v>43277</v>
      </c>
      <c r="O4816" s="5" t="str">
        <f>IFERROR(__xludf.DUMMYFUNCTION("IF(REGEXMATCH(TRIM(I4816), ""^\d+\s*min""), ""Unclassified"", IF(I4816 = """", ""NR"", I4816))"),"TV-MA")</f>
        <v>TV-MA</v>
      </c>
      <c r="R4816" s="5" t="str">
        <f t="shared" si="2"/>
        <v>W. Kamau Bell: Private School Negro</v>
      </c>
      <c r="S4816" s="5" t="str">
        <f>IFERROR(__xludf.DUMMYFUNCTION("""COMPUTED_VALUE"""),"Mujrim")</f>
        <v>Mujrim</v>
      </c>
      <c r="V4816" s="5"/>
      <c r="Y4816" s="5" t="str">
        <f>IFERROR(__xludf.DUMMYFUNCTION("REGEXEXTRACT(J4816, ""^\d+"")"),"66")</f>
        <v>66</v>
      </c>
      <c r="Z4816" s="5" t="str">
        <f>IFERROR(__xludf.DUMMYFUNCTION("REGEXEXTRACT(J4816, ""[A-Za-z ]+$"")")," min")</f>
        <v> min</v>
      </c>
      <c r="AA4816" s="5" t="str">
        <f>IFERROR(__xludf.DUMMYFUNCTION("IF(REGEXMATCH(Z4816, ""Season""), ""TV Show"", ""Movie"")"),"Movie")</f>
        <v>Movie</v>
      </c>
    </row>
    <row r="4817">
      <c r="A4817" s="1" t="s">
        <v>25284</v>
      </c>
      <c r="B4817" s="1" t="s">
        <v>37</v>
      </c>
      <c r="C4817" s="1" t="s">
        <v>25285</v>
      </c>
      <c r="E4817" s="1" t="s">
        <v>25286</v>
      </c>
      <c r="F4817" s="1" t="s">
        <v>1992</v>
      </c>
      <c r="G4817" s="1" t="s">
        <v>25287</v>
      </c>
      <c r="H4817" s="1">
        <v>2018.0</v>
      </c>
      <c r="I4817" s="1" t="s">
        <v>42</v>
      </c>
      <c r="J4817" s="1" t="s">
        <v>51</v>
      </c>
      <c r="K4817" s="1" t="s">
        <v>1294</v>
      </c>
      <c r="L4817" s="1" t="s">
        <v>25288</v>
      </c>
      <c r="M4817" s="2" t="s">
        <v>12</v>
      </c>
      <c r="N4817" s="4">
        <f t="shared" si="1"/>
        <v>43276</v>
      </c>
      <c r="O4817" s="5" t="str">
        <f>IFERROR(__xludf.DUMMYFUNCTION("IF(REGEXMATCH(TRIM(I4817), ""^\d+\s*min""), ""Unclassified"", IF(I4817 = """", ""NR"", I4817))"),"TV-MA")</f>
        <v>TV-MA</v>
      </c>
      <c r="R4817" s="5" t="str">
        <f t="shared" si="2"/>
        <v>Borges</v>
      </c>
      <c r="S4817" s="5" t="str">
        <f>IFERROR(__xludf.DUMMYFUNCTION("""COMPUTED_VALUE"""),"Mukhsin")</f>
        <v>Mukhsin</v>
      </c>
      <c r="V4817" s="5"/>
      <c r="Y4817" s="5" t="str">
        <f>IFERROR(__xludf.DUMMYFUNCTION("REGEXEXTRACT(J4817, ""^\d+"")"),"1")</f>
        <v>1</v>
      </c>
      <c r="Z4817" s="5" t="str">
        <f>IFERROR(__xludf.DUMMYFUNCTION("REGEXEXTRACT(J4817, ""[A-Za-z ]+$"")")," Season")</f>
        <v> Season</v>
      </c>
      <c r="AA4817" s="5" t="str">
        <f>IFERROR(__xludf.DUMMYFUNCTION("IF(REGEXMATCH(Z4817, ""Season""), ""TV Show"", ""Movie"")"),"TV Show")</f>
        <v>TV Show</v>
      </c>
    </row>
    <row r="4818">
      <c r="A4818" s="1" t="s">
        <v>25289</v>
      </c>
      <c r="B4818" s="1" t="s">
        <v>27</v>
      </c>
      <c r="C4818" s="1" t="s">
        <v>25290</v>
      </c>
      <c r="D4818" s="1" t="s">
        <v>20739</v>
      </c>
      <c r="E4818" s="1" t="s">
        <v>25291</v>
      </c>
      <c r="F4818" s="1" t="s">
        <v>415</v>
      </c>
      <c r="G4818" s="1" t="s">
        <v>25287</v>
      </c>
      <c r="H4818" s="1">
        <v>2014.0</v>
      </c>
      <c r="I4818" s="1" t="s">
        <v>42</v>
      </c>
      <c r="J4818" s="1" t="s">
        <v>238</v>
      </c>
      <c r="K4818" s="1" t="s">
        <v>25292</v>
      </c>
      <c r="L4818" s="1" t="s">
        <v>25293</v>
      </c>
      <c r="M4818" s="2" t="s">
        <v>12</v>
      </c>
      <c r="N4818" s="4">
        <f t="shared" si="1"/>
        <v>43276</v>
      </c>
      <c r="O4818" s="5" t="str">
        <f>IFERROR(__xludf.DUMMYFUNCTION("IF(REGEXMATCH(TRIM(I4818), ""^\d+\s*min""), ""Unclassified"", IF(I4818 = """", ""NR"", I4818))"),"TV-MA")</f>
        <v>TV-MA</v>
      </c>
      <c r="R4818" s="5" t="str">
        <f t="shared" si="2"/>
        <v>Expelled From Paradise</v>
      </c>
      <c r="S4818" s="5" t="str">
        <f>IFERROR(__xludf.DUMMYFUNCTION("""COMPUTED_VALUE"""),"Mumbai Cha Raja")</f>
        <v>Mumbai Cha Raja</v>
      </c>
      <c r="V4818" s="5"/>
      <c r="Y4818" s="5" t="str">
        <f>IFERROR(__xludf.DUMMYFUNCTION("REGEXEXTRACT(J4818, ""^\d+"")"),"103")</f>
        <v>103</v>
      </c>
      <c r="Z4818" s="5" t="str">
        <f>IFERROR(__xludf.DUMMYFUNCTION("REGEXEXTRACT(J4818, ""[A-Za-z ]+$"")")," min")</f>
        <v> min</v>
      </c>
      <c r="AA4818" s="5" t="str">
        <f>IFERROR(__xludf.DUMMYFUNCTION("IF(REGEXMATCH(Z4818, ""Season""), ""TV Show"", ""Movie"")"),"Movie")</f>
        <v>Movie</v>
      </c>
    </row>
    <row r="4819">
      <c r="A4819" s="1" t="s">
        <v>25294</v>
      </c>
      <c r="B4819" s="1" t="s">
        <v>27</v>
      </c>
      <c r="C4819" s="1" t="s">
        <v>25295</v>
      </c>
      <c r="D4819" s="1" t="s">
        <v>16436</v>
      </c>
      <c r="E4819" s="1" t="s">
        <v>25296</v>
      </c>
      <c r="F4819" s="1" t="s">
        <v>664</v>
      </c>
      <c r="G4819" s="1" t="s">
        <v>25297</v>
      </c>
      <c r="H4819" s="1">
        <v>2018.0</v>
      </c>
      <c r="I4819" s="1" t="s">
        <v>42</v>
      </c>
      <c r="J4819" s="1" t="s">
        <v>465</v>
      </c>
      <c r="K4819" s="1" t="s">
        <v>8160</v>
      </c>
      <c r="L4819" s="1" t="s">
        <v>25298</v>
      </c>
      <c r="M4819" s="2" t="s">
        <v>12</v>
      </c>
      <c r="N4819" s="4">
        <f t="shared" si="1"/>
        <v>43275</v>
      </c>
      <c r="O4819" s="5" t="str">
        <f>IFERROR(__xludf.DUMMYFUNCTION("IF(REGEXMATCH(TRIM(I4819), ""^\d+\s*min""), ""Unclassified"", IF(I4819 = """", ""NR"", I4819))"),"TV-MA")</f>
        <v>TV-MA</v>
      </c>
      <c r="R4819" s="5" t="str">
        <f t="shared" si="2"/>
        <v>To Each, Her Own</v>
      </c>
      <c r="S4819" s="5" t="str">
        <f>IFERROR(__xludf.DUMMYFUNCTION("""COMPUTED_VALUE"""),"Mumbai Delhi Mumbai")</f>
        <v>Mumbai Delhi Mumbai</v>
      </c>
      <c r="V4819" s="5"/>
      <c r="Y4819" s="5" t="str">
        <f>IFERROR(__xludf.DUMMYFUNCTION("REGEXEXTRACT(J4819, ""^\d+"")"),"95")</f>
        <v>95</v>
      </c>
      <c r="Z4819" s="5" t="str">
        <f>IFERROR(__xludf.DUMMYFUNCTION("REGEXEXTRACT(J4819, ""[A-Za-z ]+$"")")," min")</f>
        <v> min</v>
      </c>
      <c r="AA4819" s="5" t="str">
        <f>IFERROR(__xludf.DUMMYFUNCTION("IF(REGEXMATCH(Z4819, ""Season""), ""TV Show"", ""Movie"")"),"Movie")</f>
        <v>Movie</v>
      </c>
    </row>
    <row r="4820">
      <c r="A4820" s="1" t="s">
        <v>25299</v>
      </c>
      <c r="B4820" s="1" t="s">
        <v>37</v>
      </c>
      <c r="C4820" s="1" t="s">
        <v>25300</v>
      </c>
      <c r="E4820" s="1" t="s">
        <v>25301</v>
      </c>
      <c r="F4820" s="1" t="s">
        <v>30</v>
      </c>
      <c r="G4820" s="1" t="s">
        <v>25302</v>
      </c>
      <c r="H4820" s="1">
        <v>2018.0</v>
      </c>
      <c r="I4820" s="1" t="s">
        <v>97</v>
      </c>
      <c r="J4820" s="1" t="s">
        <v>51</v>
      </c>
      <c r="K4820" s="1" t="s">
        <v>2709</v>
      </c>
      <c r="L4820" s="1" t="s">
        <v>25303</v>
      </c>
      <c r="M4820" s="2" t="s">
        <v>12</v>
      </c>
      <c r="N4820" s="4">
        <f t="shared" si="1"/>
        <v>43274</v>
      </c>
      <c r="O4820" s="5" t="str">
        <f>IFERROR(__xludf.DUMMYFUNCTION("IF(REGEXMATCH(TRIM(I4820), ""^\d+\s*min""), ""Unclassified"", IF(I4820 = """", ""NR"", I4820))"),"TV-14")</f>
        <v>TV-14</v>
      </c>
      <c r="R4820" s="5" t="str">
        <f t="shared" si="2"/>
        <v>Life Sentence</v>
      </c>
      <c r="S4820" s="5" t="str">
        <f>IFERROR(__xludf.DUMMYFUNCTION("""COMPUTED_VALUE"""),"Mumbai Matinee")</f>
        <v>Mumbai Matinee</v>
      </c>
      <c r="V4820" s="5"/>
      <c r="Y4820" s="5" t="str">
        <f>IFERROR(__xludf.DUMMYFUNCTION("REGEXEXTRACT(J4820, ""^\d+"")"),"1")</f>
        <v>1</v>
      </c>
      <c r="Z4820" s="5" t="str">
        <f>IFERROR(__xludf.DUMMYFUNCTION("REGEXEXTRACT(J4820, ""[A-Za-z ]+$"")")," Season")</f>
        <v> Season</v>
      </c>
      <c r="AA4820" s="5" t="str">
        <f>IFERROR(__xludf.DUMMYFUNCTION("IF(REGEXMATCH(Z4820, ""Season""), ""TV Show"", ""Movie"")"),"TV Show")</f>
        <v>TV Show</v>
      </c>
    </row>
    <row r="4821">
      <c r="A4821" s="1" t="s">
        <v>25304</v>
      </c>
      <c r="B4821" s="1" t="s">
        <v>27</v>
      </c>
      <c r="C4821" s="1" t="s">
        <v>25305</v>
      </c>
      <c r="D4821" s="1" t="s">
        <v>8388</v>
      </c>
      <c r="E4821" s="1" t="s">
        <v>25306</v>
      </c>
      <c r="F4821" s="1" t="s">
        <v>25307</v>
      </c>
      <c r="G4821" s="1" t="s">
        <v>25308</v>
      </c>
      <c r="H4821" s="1">
        <v>2016.0</v>
      </c>
      <c r="I4821" s="1" t="s">
        <v>32</v>
      </c>
      <c r="J4821" s="1" t="s">
        <v>1191</v>
      </c>
      <c r="K4821" s="1" t="s">
        <v>89</v>
      </c>
      <c r="L4821" s="1" t="s">
        <v>25309</v>
      </c>
      <c r="M4821" s="2" t="s">
        <v>12</v>
      </c>
      <c r="N4821" s="4">
        <f t="shared" si="1"/>
        <v>43273</v>
      </c>
      <c r="O4821" s="5" t="str">
        <f>IFERROR(__xludf.DUMMYFUNCTION("IF(REGEXMATCH(TRIM(I4821), ""^\d+\s*min""), ""Unclassified"", IF(I4821 = """", ""NR"", I4821))"),"PG-13")</f>
        <v>PG-13</v>
      </c>
      <c r="R4821" s="5" t="str">
        <f t="shared" si="2"/>
        <v>Brain On Fire</v>
      </c>
      <c r="S4821" s="5" t="str">
        <f>IFERROR(__xludf.DUMMYFUNCTION("""COMPUTED_VALUE"""),"Mumbai Meri Jaan")</f>
        <v>Mumbai Meri Jaan</v>
      </c>
      <c r="V4821" s="5"/>
      <c r="Y4821" s="5" t="str">
        <f>IFERROR(__xludf.DUMMYFUNCTION("REGEXEXTRACT(J4821, ""^\d+"")"),"89")</f>
        <v>89</v>
      </c>
      <c r="Z4821" s="5" t="str">
        <f>IFERROR(__xludf.DUMMYFUNCTION("REGEXEXTRACT(J4821, ""[A-Za-z ]+$"")")," min")</f>
        <v> min</v>
      </c>
      <c r="AA4821" s="5" t="str">
        <f>IFERROR(__xludf.DUMMYFUNCTION("IF(REGEXMATCH(Z4821, ""Season""), ""TV Show"", ""Movie"")"),"Movie")</f>
        <v>Movie</v>
      </c>
    </row>
    <row r="4822">
      <c r="A4822" s="1" t="s">
        <v>25310</v>
      </c>
      <c r="B4822" s="1" t="s">
        <v>27</v>
      </c>
      <c r="C4822" s="1" t="s">
        <v>25311</v>
      </c>
      <c r="E4822" s="1" t="s">
        <v>23899</v>
      </c>
      <c r="F4822" s="1" t="s">
        <v>96</v>
      </c>
      <c r="G4822" s="1" t="s">
        <v>25308</v>
      </c>
      <c r="H4822" s="1">
        <v>2018.0</v>
      </c>
      <c r="I4822" s="1" t="s">
        <v>42</v>
      </c>
      <c r="J4822" s="1" t="s">
        <v>2699</v>
      </c>
      <c r="K4822" s="1" t="s">
        <v>10341</v>
      </c>
      <c r="L4822" s="1" t="s">
        <v>25312</v>
      </c>
      <c r="M4822" s="2" t="s">
        <v>12</v>
      </c>
      <c r="N4822" s="4">
        <f t="shared" si="1"/>
        <v>43273</v>
      </c>
      <c r="O4822" s="5" t="str">
        <f>IFERROR(__xludf.DUMMYFUNCTION("IF(REGEXMATCH(TRIM(I4822), ""^\d+\s*min""), ""Unclassified"", IF(I4822 = """", ""NR"", I4822))"),"TV-MA")</f>
        <v>TV-MA</v>
      </c>
      <c r="R4822" s="5" t="str">
        <f t="shared" si="2"/>
        <v>Derren Brown: Miracle</v>
      </c>
      <c r="S4822" s="5" t="str">
        <f>IFERROR(__xludf.DUMMYFUNCTION("""COMPUTED_VALUE"""),"Munafik 2")</f>
        <v>Munafik 2</v>
      </c>
      <c r="V4822" s="5"/>
      <c r="Y4822" s="5" t="str">
        <f>IFERROR(__xludf.DUMMYFUNCTION("REGEXEXTRACT(J4822, ""^\d+"")"),"74")</f>
        <v>74</v>
      </c>
      <c r="Z4822" s="5" t="str">
        <f>IFERROR(__xludf.DUMMYFUNCTION("REGEXEXTRACT(J4822, ""[A-Za-z ]+$"")")," min")</f>
        <v> min</v>
      </c>
      <c r="AA4822" s="5" t="str">
        <f>IFERROR(__xludf.DUMMYFUNCTION("IF(REGEXMATCH(Z4822, ""Season""), ""TV Show"", ""Movie"")"),"Movie")</f>
        <v>Movie</v>
      </c>
    </row>
    <row r="4823">
      <c r="A4823" s="1" t="s">
        <v>25313</v>
      </c>
      <c r="B4823" s="1" t="s">
        <v>37</v>
      </c>
      <c r="C4823" s="1" t="s">
        <v>25314</v>
      </c>
      <c r="E4823" s="1" t="s">
        <v>25315</v>
      </c>
      <c r="F4823" s="1" t="s">
        <v>30</v>
      </c>
      <c r="G4823" s="1" t="s">
        <v>25308</v>
      </c>
      <c r="H4823" s="1">
        <v>2018.0</v>
      </c>
      <c r="I4823" s="1" t="s">
        <v>42</v>
      </c>
      <c r="J4823" s="1" t="s">
        <v>43</v>
      </c>
      <c r="K4823" s="1" t="s">
        <v>13666</v>
      </c>
      <c r="L4823" s="1" t="s">
        <v>25316</v>
      </c>
      <c r="M4823" s="2" t="s">
        <v>12</v>
      </c>
      <c r="N4823" s="4">
        <f t="shared" si="1"/>
        <v>43273</v>
      </c>
      <c r="O4823" s="5" t="str">
        <f>IFERROR(__xludf.DUMMYFUNCTION("IF(REGEXMATCH(TRIM(I4823), ""^\d+\s*min""), ""Unclassified"", IF(I4823 = """", ""NR"", I4823))"),"TV-MA")</f>
        <v>TV-MA</v>
      </c>
      <c r="R4823" s="5" t="str">
        <f t="shared" si="2"/>
        <v>Marvel'S Luke Cage</v>
      </c>
      <c r="S4823" s="5" t="str">
        <f>IFERROR(__xludf.DUMMYFUNCTION("""COMPUTED_VALUE"""),"Mundeyan Ton Bachke Rahin")</f>
        <v>Mundeyan Ton Bachke Rahin</v>
      </c>
      <c r="V4823" s="5"/>
      <c r="Y4823" s="5" t="str">
        <f>IFERROR(__xludf.DUMMYFUNCTION("REGEXEXTRACT(J4823, ""^\d+"")"),"2")</f>
        <v>2</v>
      </c>
      <c r="Z4823" s="5" t="str">
        <f>IFERROR(__xludf.DUMMYFUNCTION("REGEXEXTRACT(J4823, ""[A-Za-z ]+$"")")," Seasons")</f>
        <v> Seasons</v>
      </c>
      <c r="AA4823" s="5" t="str">
        <f>IFERROR(__xludf.DUMMYFUNCTION("IF(REGEXMATCH(Z4823, ""Season""), ""TV Show"", ""Movie"")"),"TV Show")</f>
        <v>TV Show</v>
      </c>
    </row>
    <row r="4824">
      <c r="A4824" s="1" t="s">
        <v>25317</v>
      </c>
      <c r="B4824" s="1" t="s">
        <v>27</v>
      </c>
      <c r="C4824" s="1" t="s">
        <v>25318</v>
      </c>
      <c r="D4824" s="1" t="s">
        <v>19024</v>
      </c>
      <c r="E4824" s="1" t="s">
        <v>25319</v>
      </c>
      <c r="F4824" s="1" t="s">
        <v>3892</v>
      </c>
      <c r="G4824" s="1" t="s">
        <v>25308</v>
      </c>
      <c r="H4824" s="1">
        <v>2018.0</v>
      </c>
      <c r="I4824" s="1" t="s">
        <v>42</v>
      </c>
      <c r="J4824" s="1" t="s">
        <v>804</v>
      </c>
      <c r="K4824" s="1" t="s">
        <v>679</v>
      </c>
      <c r="L4824" s="1" t="s">
        <v>25320</v>
      </c>
      <c r="M4824" s="2" t="s">
        <v>12</v>
      </c>
      <c r="N4824" s="4">
        <f t="shared" si="1"/>
        <v>43273</v>
      </c>
      <c r="O4824" s="5" t="str">
        <f>IFERROR(__xludf.DUMMYFUNCTION("IF(REGEXMATCH(TRIM(I4824), ""^\d+\s*min""), ""Unclassified"", IF(I4824 = """", ""NR"", I4824))"),"TV-MA")</f>
        <v>TV-MA</v>
      </c>
      <c r="R4824" s="5" t="str">
        <f t="shared" si="2"/>
        <v>Us And Them</v>
      </c>
      <c r="S4824" s="5" t="str">
        <f>IFERROR(__xludf.DUMMYFUNCTION("""COMPUTED_VALUE"""),"Mundina Nildana")</f>
        <v>Mundina Nildana</v>
      </c>
      <c r="V4824" s="5"/>
      <c r="Y4824" s="5" t="str">
        <f>IFERROR(__xludf.DUMMYFUNCTION("REGEXEXTRACT(J4824, ""^\d+"")"),"119")</f>
        <v>119</v>
      </c>
      <c r="Z4824" s="5" t="str">
        <f>IFERROR(__xludf.DUMMYFUNCTION("REGEXEXTRACT(J4824, ""[A-Za-z ]+$"")")," min")</f>
        <v> min</v>
      </c>
      <c r="AA4824" s="5" t="str">
        <f>IFERROR(__xludf.DUMMYFUNCTION("IF(REGEXMATCH(Z4824, ""Season""), ""TV Show"", ""Movie"")"),"Movie")</f>
        <v>Movie</v>
      </c>
    </row>
    <row r="4825">
      <c r="A4825" s="1" t="s">
        <v>25321</v>
      </c>
      <c r="B4825" s="1" t="s">
        <v>27</v>
      </c>
      <c r="C4825" s="1" t="s">
        <v>25322</v>
      </c>
      <c r="D4825" s="1" t="s">
        <v>14218</v>
      </c>
      <c r="E4825" s="1" t="s">
        <v>13940</v>
      </c>
      <c r="F4825" s="1" t="s">
        <v>221</v>
      </c>
      <c r="G4825" s="1" t="s">
        <v>25323</v>
      </c>
      <c r="H4825" s="1">
        <v>2018.0</v>
      </c>
      <c r="I4825" s="1" t="s">
        <v>42</v>
      </c>
      <c r="J4825" s="1" t="s">
        <v>1583</v>
      </c>
      <c r="K4825" s="1" t="s">
        <v>1839</v>
      </c>
      <c r="L4825" s="1" t="s">
        <v>25324</v>
      </c>
      <c r="M4825" s="2" t="s">
        <v>12</v>
      </c>
      <c r="N4825" s="4">
        <f t="shared" si="1"/>
        <v>43270</v>
      </c>
      <c r="O4825" s="5" t="str">
        <f>IFERROR(__xludf.DUMMYFUNCTION("IF(REGEXMATCH(TRIM(I4825), ""^\d+\s*min""), ""Unclassified"", IF(I4825 = """", ""NR"", I4825))"),"TV-MA")</f>
        <v>TV-MA</v>
      </c>
      <c r="R4825" s="5" t="str">
        <f t="shared" si="2"/>
        <v>Hannah Gadsby: Nanette</v>
      </c>
      <c r="S4825" s="5" t="str">
        <f>IFERROR(__xludf.DUMMYFUNCTION("""COMPUTED_VALUE"""),"Mune: Guardian Of The Moon")</f>
        <v>Mune: Guardian Of The Moon</v>
      </c>
      <c r="V4825" s="5"/>
      <c r="Y4825" s="5" t="str">
        <f>IFERROR(__xludf.DUMMYFUNCTION("REGEXEXTRACT(J4825, ""^\d+"")"),"70")</f>
        <v>70</v>
      </c>
      <c r="Z4825" s="5" t="str">
        <f>IFERROR(__xludf.DUMMYFUNCTION("REGEXEXTRACT(J4825, ""[A-Za-z ]+$"")")," min")</f>
        <v> min</v>
      </c>
      <c r="AA4825" s="5" t="str">
        <f>IFERROR(__xludf.DUMMYFUNCTION("IF(REGEXMATCH(Z4825, ""Season""), ""TV Show"", ""Movie"")"),"Movie")</f>
        <v>Movie</v>
      </c>
    </row>
    <row r="4826">
      <c r="A4826" s="1" t="s">
        <v>25325</v>
      </c>
      <c r="B4826" s="1" t="s">
        <v>37</v>
      </c>
      <c r="C4826" s="1" t="s">
        <v>25326</v>
      </c>
      <c r="E4826" s="1" t="s">
        <v>25327</v>
      </c>
      <c r="F4826" s="1" t="s">
        <v>30</v>
      </c>
      <c r="G4826" s="1" t="s">
        <v>25328</v>
      </c>
      <c r="H4826" s="1">
        <v>2018.0</v>
      </c>
      <c r="I4826" s="1" t="s">
        <v>42</v>
      </c>
      <c r="J4826" s="1" t="s">
        <v>51</v>
      </c>
      <c r="K4826" s="1" t="s">
        <v>1627</v>
      </c>
      <c r="L4826" s="1" t="s">
        <v>25329</v>
      </c>
      <c r="M4826" s="2" t="s">
        <v>12</v>
      </c>
      <c r="N4826" s="4">
        <f t="shared" si="1"/>
        <v>43269</v>
      </c>
      <c r="O4826" s="5" t="str">
        <f>IFERROR(__xludf.DUMMYFUNCTION("IF(REGEXMATCH(TRIM(I4826), ""^\d+\s*min""), ""Unclassified"", IF(I4826 = """", ""NR"", I4826))"),"TV-MA")</f>
        <v>TV-MA</v>
      </c>
      <c r="R4826" s="5" t="str">
        <f t="shared" si="2"/>
        <v>Club De Cuervos Presents: The Ballad Of Hugo Sánchez</v>
      </c>
      <c r="S4826" s="5" t="str">
        <f>IFERROR(__xludf.DUMMYFUNCTION("""COMPUTED_VALUE"""),"Muppets Most Wanted")</f>
        <v>Muppets Most Wanted</v>
      </c>
      <c r="V4826" s="5"/>
      <c r="Y4826" s="5" t="str">
        <f>IFERROR(__xludf.DUMMYFUNCTION("REGEXEXTRACT(J4826, ""^\d+"")"),"1")</f>
        <v>1</v>
      </c>
      <c r="Z4826" s="5" t="str">
        <f>IFERROR(__xludf.DUMMYFUNCTION("REGEXEXTRACT(J4826, ""[A-Za-z ]+$"")")," Season")</f>
        <v> Season</v>
      </c>
      <c r="AA4826" s="5" t="str">
        <f>IFERROR(__xludf.DUMMYFUNCTION("IF(REGEXMATCH(Z4826, ""Season""), ""TV Show"", ""Movie"")"),"TV Show")</f>
        <v>TV Show</v>
      </c>
    </row>
    <row r="4827">
      <c r="A4827" s="1" t="s">
        <v>25330</v>
      </c>
      <c r="B4827" s="1" t="s">
        <v>27</v>
      </c>
      <c r="C4827" s="1" t="s">
        <v>25331</v>
      </c>
      <c r="D4827" s="1" t="s">
        <v>24055</v>
      </c>
      <c r="E4827" s="1" t="s">
        <v>25332</v>
      </c>
      <c r="F4827" s="1" t="s">
        <v>63</v>
      </c>
      <c r="G4827" s="1" t="s">
        <v>25333</v>
      </c>
      <c r="H4827" s="1">
        <v>2018.0</v>
      </c>
      <c r="I4827" s="1" t="s">
        <v>42</v>
      </c>
      <c r="J4827" s="1" t="s">
        <v>941</v>
      </c>
      <c r="K4827" s="1" t="s">
        <v>583</v>
      </c>
      <c r="L4827" s="1" t="s">
        <v>25334</v>
      </c>
      <c r="M4827" s="2" t="s">
        <v>12</v>
      </c>
      <c r="N4827" s="4">
        <f t="shared" si="1"/>
        <v>43266</v>
      </c>
      <c r="O4827" s="5" t="str">
        <f>IFERROR(__xludf.DUMMYFUNCTION("IF(REGEXMATCH(TRIM(I4827), ""^\d+\s*min""), ""Unclassified"", IF(I4827 = """", ""NR"", I4827))"),"TV-MA")</f>
        <v>TV-MA</v>
      </c>
      <c r="R4827" s="5" t="str">
        <f t="shared" si="2"/>
        <v>Lust Stories</v>
      </c>
      <c r="S4827" s="5" t="str">
        <f>IFERROR(__xludf.DUMMYFUNCTION("""COMPUTED_VALUE"""),"Muqaddar Ka Faisla")</f>
        <v>Muqaddar Ka Faisla</v>
      </c>
      <c r="V4827" s="5"/>
      <c r="Y4827" s="5" t="str">
        <f>IFERROR(__xludf.DUMMYFUNCTION("REGEXEXTRACT(J4827, ""^\d+"")"),"121")</f>
        <v>121</v>
      </c>
      <c r="Z4827" s="5" t="str">
        <f>IFERROR(__xludf.DUMMYFUNCTION("REGEXEXTRACT(J4827, ""[A-Za-z ]+$"")")," min")</f>
        <v> min</v>
      </c>
      <c r="AA4827" s="5" t="str">
        <f>IFERROR(__xludf.DUMMYFUNCTION("IF(REGEXMATCH(Z4827, ""Season""), ""TV Show"", ""Movie"")"),"Movie")</f>
        <v>Movie</v>
      </c>
    </row>
    <row r="4828">
      <c r="A4828" s="1" t="s">
        <v>25335</v>
      </c>
      <c r="B4828" s="1" t="s">
        <v>27</v>
      </c>
      <c r="C4828" s="1" t="s">
        <v>25336</v>
      </c>
      <c r="D4828" s="1" t="s">
        <v>17129</v>
      </c>
      <c r="E4828" s="1" t="s">
        <v>25337</v>
      </c>
      <c r="F4828" s="1" t="s">
        <v>3333</v>
      </c>
      <c r="G4828" s="1" t="s">
        <v>25333</v>
      </c>
      <c r="H4828" s="1">
        <v>2018.0</v>
      </c>
      <c r="I4828" s="1" t="s">
        <v>42</v>
      </c>
      <c r="J4828" s="1" t="s">
        <v>256</v>
      </c>
      <c r="K4828" s="1" t="s">
        <v>199</v>
      </c>
      <c r="L4828" s="1" t="s">
        <v>25338</v>
      </c>
      <c r="M4828" s="2" t="s">
        <v>12</v>
      </c>
      <c r="N4828" s="4">
        <f t="shared" si="1"/>
        <v>43266</v>
      </c>
      <c r="O4828" s="5" t="str">
        <f>IFERROR(__xludf.DUMMYFUNCTION("IF(REGEXMATCH(TRIM(I4828), ""^\d+\s*min""), ""Unclassified"", IF(I4828 = """", ""NR"", I4828))"),"TV-MA")</f>
        <v>TV-MA</v>
      </c>
      <c r="R4828" s="5" t="str">
        <f t="shared" si="2"/>
        <v>Maktub</v>
      </c>
      <c r="S4828" s="5" t="str">
        <f>IFERROR(__xludf.DUMMYFUNCTION("""COMPUTED_VALUE"""),"Muramba")</f>
        <v>Muramba</v>
      </c>
      <c r="V4828" s="5"/>
      <c r="Y4828" s="5" t="str">
        <f>IFERROR(__xludf.DUMMYFUNCTION("REGEXEXTRACT(J4828, ""^\d+"")"),"106")</f>
        <v>106</v>
      </c>
      <c r="Z4828" s="5" t="str">
        <f>IFERROR(__xludf.DUMMYFUNCTION("REGEXEXTRACT(J4828, ""[A-Za-z ]+$"")")," min")</f>
        <v> min</v>
      </c>
      <c r="AA4828" s="5" t="str">
        <f>IFERROR(__xludf.DUMMYFUNCTION("IF(REGEXMATCH(Z4828, ""Season""), ""TV Show"", ""Movie"")"),"Movie")</f>
        <v>Movie</v>
      </c>
    </row>
    <row r="4829">
      <c r="A4829" s="1" t="s">
        <v>25339</v>
      </c>
      <c r="B4829" s="1" t="s">
        <v>27</v>
      </c>
      <c r="C4829" s="1" t="s">
        <v>25340</v>
      </c>
      <c r="D4829" s="1" t="s">
        <v>14703</v>
      </c>
      <c r="F4829" s="1" t="s">
        <v>23874</v>
      </c>
      <c r="G4829" s="1" t="s">
        <v>25333</v>
      </c>
      <c r="H4829" s="1">
        <v>2017.0</v>
      </c>
      <c r="I4829" s="1" t="s">
        <v>506</v>
      </c>
      <c r="J4829" s="1" t="s">
        <v>2699</v>
      </c>
      <c r="K4829" s="1" t="s">
        <v>156</v>
      </c>
      <c r="L4829" s="1" t="s">
        <v>25341</v>
      </c>
      <c r="M4829" s="2" t="s">
        <v>12</v>
      </c>
      <c r="N4829" s="4">
        <f t="shared" si="1"/>
        <v>43266</v>
      </c>
      <c r="O4829" s="5" t="str">
        <f>IFERROR(__xludf.DUMMYFUNCTION("IF(REGEXMATCH(TRIM(I4829), ""^\d+\s*min""), ""Unclassified"", IF(I4829 = """", ""NR"", I4829))"),"TV-G")</f>
        <v>TV-G</v>
      </c>
      <c r="R4829" s="5" t="str">
        <f t="shared" si="2"/>
        <v>Pacificum: Return To The Ocean</v>
      </c>
      <c r="S4829" s="5" t="str">
        <f>IFERROR(__xludf.DUMMYFUNCTION("""COMPUTED_VALUE"""),"Muran")</f>
        <v>Muran</v>
      </c>
      <c r="V4829" s="5"/>
      <c r="Y4829" s="5" t="str">
        <f>IFERROR(__xludf.DUMMYFUNCTION("REGEXEXTRACT(J4829, ""^\d+"")"),"74")</f>
        <v>74</v>
      </c>
      <c r="Z4829" s="5" t="str">
        <f>IFERROR(__xludf.DUMMYFUNCTION("REGEXEXTRACT(J4829, ""[A-Za-z ]+$"")")," min")</f>
        <v> min</v>
      </c>
      <c r="AA4829" s="5" t="str">
        <f>IFERROR(__xludf.DUMMYFUNCTION("IF(REGEXMATCH(Z4829, ""Season""), ""TV Show"", ""Movie"")"),"Movie")</f>
        <v>Movie</v>
      </c>
    </row>
    <row r="4830">
      <c r="A4830" s="1" t="s">
        <v>25342</v>
      </c>
      <c r="B4830" s="1" t="s">
        <v>27</v>
      </c>
      <c r="C4830" s="1" t="s">
        <v>25343</v>
      </c>
      <c r="D4830" s="1" t="s">
        <v>5027</v>
      </c>
      <c r="E4830" s="1" t="s">
        <v>25344</v>
      </c>
      <c r="F4830" s="1" t="s">
        <v>30</v>
      </c>
      <c r="G4830" s="1" t="s">
        <v>25333</v>
      </c>
      <c r="H4830" s="1">
        <v>2018.0</v>
      </c>
      <c r="I4830" s="1" t="s">
        <v>42</v>
      </c>
      <c r="J4830" s="1" t="s">
        <v>256</v>
      </c>
      <c r="K4830" s="1" t="s">
        <v>813</v>
      </c>
      <c r="L4830" s="1" t="s">
        <v>25345</v>
      </c>
      <c r="M4830" s="2" t="s">
        <v>12</v>
      </c>
      <c r="N4830" s="4">
        <f t="shared" si="1"/>
        <v>43266</v>
      </c>
      <c r="O4830" s="5" t="str">
        <f>IFERROR(__xludf.DUMMYFUNCTION("IF(REGEXMATCH(TRIM(I4830), ""^\d+\s*min""), ""Unclassified"", IF(I4830 = """", ""NR"", I4830))"),"TV-MA")</f>
        <v>TV-MA</v>
      </c>
      <c r="R4830" s="5" t="str">
        <f t="shared" si="2"/>
        <v>Set It Up</v>
      </c>
      <c r="S4830" s="5" t="str">
        <f>IFERROR(__xludf.DUMMYFUNCTION("""COMPUTED_VALUE"""),"Murder Among The Mormons")</f>
        <v>Murder Among The Mormons</v>
      </c>
      <c r="V4830" s="5"/>
      <c r="Y4830" s="5" t="str">
        <f>IFERROR(__xludf.DUMMYFUNCTION("REGEXEXTRACT(J4830, ""^\d+"")"),"106")</f>
        <v>106</v>
      </c>
      <c r="Z4830" s="5" t="str">
        <f>IFERROR(__xludf.DUMMYFUNCTION("REGEXEXTRACT(J4830, ""[A-Za-z ]+$"")")," min")</f>
        <v> min</v>
      </c>
      <c r="AA4830" s="5" t="str">
        <f>IFERROR(__xludf.DUMMYFUNCTION("IF(REGEXMATCH(Z4830, ""Season""), ""TV Show"", ""Movie"")"),"Movie")</f>
        <v>Movie</v>
      </c>
    </row>
    <row r="4831">
      <c r="A4831" s="1" t="s">
        <v>25346</v>
      </c>
      <c r="B4831" s="1" t="s">
        <v>27</v>
      </c>
      <c r="C4831" s="1" t="s">
        <v>25347</v>
      </c>
      <c r="D4831" s="1" t="s">
        <v>18790</v>
      </c>
      <c r="E4831" s="1" t="s">
        <v>25348</v>
      </c>
      <c r="F4831" s="1" t="s">
        <v>784</v>
      </c>
      <c r="G4831" s="1" t="s">
        <v>25333</v>
      </c>
      <c r="H4831" s="1">
        <v>2017.0</v>
      </c>
      <c r="I4831" s="1" t="s">
        <v>32</v>
      </c>
      <c r="J4831" s="1" t="s">
        <v>519</v>
      </c>
      <c r="K4831" s="1" t="s">
        <v>89</v>
      </c>
      <c r="L4831" s="1" t="s">
        <v>25349</v>
      </c>
      <c r="M4831" s="2" t="s">
        <v>12</v>
      </c>
      <c r="N4831" s="4">
        <f t="shared" si="1"/>
        <v>43266</v>
      </c>
      <c r="O4831" s="5" t="str">
        <f>IFERROR(__xludf.DUMMYFUNCTION("IF(REGEXMATCH(TRIM(I4831), ""^\d+\s*min""), ""Unclassified"", IF(I4831 = """", ""NR"", I4831))"),"PG-13")</f>
        <v>PG-13</v>
      </c>
      <c r="R4831" s="5" t="str">
        <f t="shared" si="2"/>
        <v>Sunday'S Illness</v>
      </c>
      <c r="S4831" s="5" t="str">
        <f>IFERROR(__xludf.DUMMYFUNCTION("""COMPUTED_VALUE"""),"Murder By The Coast")</f>
        <v>Murder By The Coast</v>
      </c>
      <c r="V4831" s="5"/>
      <c r="Y4831" s="5" t="str">
        <f>IFERROR(__xludf.DUMMYFUNCTION("REGEXEXTRACT(J4831, ""^\d+"")"),"113")</f>
        <v>113</v>
      </c>
      <c r="Z4831" s="5" t="str">
        <f>IFERROR(__xludf.DUMMYFUNCTION("REGEXEXTRACT(J4831, ""[A-Za-z ]+$"")")," min")</f>
        <v> min</v>
      </c>
      <c r="AA4831" s="5" t="str">
        <f>IFERROR(__xludf.DUMMYFUNCTION("IF(REGEXMATCH(Z4831, ""Season""), ""TV Show"", ""Movie"")"),"Movie")</f>
        <v>Movie</v>
      </c>
    </row>
    <row r="4832">
      <c r="A4832" s="1" t="s">
        <v>25350</v>
      </c>
      <c r="B4832" s="1" t="s">
        <v>27</v>
      </c>
      <c r="C4832" s="1" t="s">
        <v>25351</v>
      </c>
      <c r="D4832" s="1" t="s">
        <v>25352</v>
      </c>
      <c r="E4832" s="1" t="s">
        <v>25353</v>
      </c>
      <c r="F4832" s="1" t="s">
        <v>25354</v>
      </c>
      <c r="G4832" s="1" t="s">
        <v>25333</v>
      </c>
      <c r="H4832" s="1">
        <v>2017.0</v>
      </c>
      <c r="I4832" s="1" t="s">
        <v>42</v>
      </c>
      <c r="J4832" s="1" t="s">
        <v>804</v>
      </c>
      <c r="K4832" s="1" t="s">
        <v>128</v>
      </c>
      <c r="L4832" s="1" t="s">
        <v>25355</v>
      </c>
      <c r="M4832" s="2" t="s">
        <v>12</v>
      </c>
      <c r="N4832" s="4">
        <f t="shared" si="1"/>
        <v>43266</v>
      </c>
      <c r="O4832" s="5" t="str">
        <f>IFERROR(__xludf.DUMMYFUNCTION("IF(REGEXMATCH(TRIM(I4832), ""^\d+\s*min""), ""Unclassified"", IF(I4832 = """", ""NR"", I4832))"),"TV-MA")</f>
        <v>TV-MA</v>
      </c>
      <c r="R4832" s="5" t="str">
        <f t="shared" si="2"/>
        <v>The Last Hour</v>
      </c>
      <c r="S4832" s="5" t="str">
        <f>IFERROR(__xludf.DUMMYFUNCTION("""COMPUTED_VALUE"""),"Murder Maps")</f>
        <v>Murder Maps</v>
      </c>
      <c r="V4832" s="5"/>
      <c r="Y4832" s="5" t="str">
        <f>IFERROR(__xludf.DUMMYFUNCTION("REGEXEXTRACT(J4832, ""^\d+"")"),"119")</f>
        <v>119</v>
      </c>
      <c r="Z4832" s="5" t="str">
        <f>IFERROR(__xludf.DUMMYFUNCTION("REGEXEXTRACT(J4832, ""[A-Za-z ]+$"")")," min")</f>
        <v> min</v>
      </c>
      <c r="AA4832" s="5" t="str">
        <f>IFERROR(__xludf.DUMMYFUNCTION("IF(REGEXMATCH(Z4832, ""Season""), ""TV Show"", ""Movie"")"),"Movie")</f>
        <v>Movie</v>
      </c>
    </row>
    <row r="4833">
      <c r="A4833" s="1" t="s">
        <v>25356</v>
      </c>
      <c r="B4833" s="1" t="s">
        <v>37</v>
      </c>
      <c r="C4833" s="1" t="s">
        <v>25357</v>
      </c>
      <c r="E4833" s="1" t="s">
        <v>19432</v>
      </c>
      <c r="G4833" s="1" t="s">
        <v>25333</v>
      </c>
      <c r="H4833" s="1">
        <v>2018.0</v>
      </c>
      <c r="I4833" s="1" t="s">
        <v>206</v>
      </c>
      <c r="J4833" s="1" t="s">
        <v>51</v>
      </c>
      <c r="K4833" s="1" t="s">
        <v>290</v>
      </c>
      <c r="L4833" s="1" t="s">
        <v>25358</v>
      </c>
      <c r="M4833" s="2" t="s">
        <v>12</v>
      </c>
      <c r="N4833" s="4">
        <f t="shared" si="1"/>
        <v>43266</v>
      </c>
      <c r="O4833" s="5" t="str">
        <f>IFERROR(__xludf.DUMMYFUNCTION("IF(REGEXMATCH(TRIM(I4833), ""^\d+\s*min""), ""Unclassified"", IF(I4833 = """", ""NR"", I4833))"),"TV-Y")</f>
        <v>TV-Y</v>
      </c>
      <c r="R4833" s="5" t="str">
        <f t="shared" si="2"/>
        <v>True: Magical Friends</v>
      </c>
      <c r="S4833" s="5" t="str">
        <f>IFERROR(__xludf.DUMMYFUNCTION("""COMPUTED_VALUE"""),"Murder Mountain")</f>
        <v>Murder Mountain</v>
      </c>
      <c r="V4833" s="5"/>
      <c r="Y4833" s="5" t="str">
        <f>IFERROR(__xludf.DUMMYFUNCTION("REGEXEXTRACT(J4833, ""^\d+"")"),"1")</f>
        <v>1</v>
      </c>
      <c r="Z4833" s="5" t="str">
        <f>IFERROR(__xludf.DUMMYFUNCTION("REGEXEXTRACT(J4833, ""[A-Za-z ]+$"")")," Season")</f>
        <v> Season</v>
      </c>
      <c r="AA4833" s="5" t="str">
        <f>IFERROR(__xludf.DUMMYFUNCTION("IF(REGEXMATCH(Z4833, ""Season""), ""TV Show"", ""Movie"")"),"TV Show")</f>
        <v>TV Show</v>
      </c>
    </row>
    <row r="4834">
      <c r="A4834" s="1" t="s">
        <v>25359</v>
      </c>
      <c r="B4834" s="1" t="s">
        <v>37</v>
      </c>
      <c r="C4834" s="1" t="s">
        <v>25360</v>
      </c>
      <c r="E4834" s="1" t="s">
        <v>19432</v>
      </c>
      <c r="G4834" s="1" t="s">
        <v>25333</v>
      </c>
      <c r="H4834" s="1">
        <v>2018.0</v>
      </c>
      <c r="I4834" s="1" t="s">
        <v>206</v>
      </c>
      <c r="J4834" s="1" t="s">
        <v>51</v>
      </c>
      <c r="K4834" s="1" t="s">
        <v>290</v>
      </c>
      <c r="L4834" s="1" t="s">
        <v>25361</v>
      </c>
      <c r="M4834" s="2" t="s">
        <v>12</v>
      </c>
      <c r="N4834" s="4">
        <f t="shared" si="1"/>
        <v>43266</v>
      </c>
      <c r="O4834" s="5" t="str">
        <f>IFERROR(__xludf.DUMMYFUNCTION("IF(REGEXMATCH(TRIM(I4834), ""^\d+\s*min""), ""Unclassified"", IF(I4834 = """", ""NR"", I4834))"),"TV-Y")</f>
        <v>TV-Y</v>
      </c>
      <c r="R4834" s="5" t="str">
        <f t="shared" si="2"/>
        <v>True: Wonderful Wishes</v>
      </c>
      <c r="S4834" s="5" t="str">
        <f>IFERROR(__xludf.DUMMYFUNCTION("""COMPUTED_VALUE"""),"Murder Mystery")</f>
        <v>Murder Mystery</v>
      </c>
      <c r="V4834" s="5"/>
      <c r="Y4834" s="5" t="str">
        <f>IFERROR(__xludf.DUMMYFUNCTION("REGEXEXTRACT(J4834, ""^\d+"")"),"1")</f>
        <v>1</v>
      </c>
      <c r="Z4834" s="5" t="str">
        <f>IFERROR(__xludf.DUMMYFUNCTION("REGEXEXTRACT(J4834, ""[A-Za-z ]+$"")")," Season")</f>
        <v> Season</v>
      </c>
      <c r="AA4834" s="5" t="str">
        <f>IFERROR(__xludf.DUMMYFUNCTION("IF(REGEXMATCH(Z4834, ""Season""), ""TV Show"", ""Movie"")"),"TV Show")</f>
        <v>TV Show</v>
      </c>
    </row>
    <row r="4835">
      <c r="A4835" s="1" t="s">
        <v>25362</v>
      </c>
      <c r="B4835" s="1" t="s">
        <v>27</v>
      </c>
      <c r="C4835" s="1" t="s">
        <v>25363</v>
      </c>
      <c r="D4835" s="1" t="s">
        <v>5258</v>
      </c>
      <c r="E4835" s="1" t="s">
        <v>25364</v>
      </c>
      <c r="F4835" s="1" t="s">
        <v>30</v>
      </c>
      <c r="G4835" s="1" t="s">
        <v>25365</v>
      </c>
      <c r="H4835" s="1">
        <v>2018.0</v>
      </c>
      <c r="I4835" s="1" t="s">
        <v>42</v>
      </c>
      <c r="J4835" s="1" t="s">
        <v>433</v>
      </c>
      <c r="K4835" s="1" t="s">
        <v>836</v>
      </c>
      <c r="L4835" s="1" t="s">
        <v>25366</v>
      </c>
      <c r="M4835" s="2" t="s">
        <v>12</v>
      </c>
      <c r="N4835" s="4">
        <f t="shared" si="1"/>
        <v>43259</v>
      </c>
      <c r="O4835" s="5" t="str">
        <f>IFERROR(__xludf.DUMMYFUNCTION("IF(REGEXMATCH(TRIM(I4835), ""^\d+\s*min""), ""Unclassified"", IF(I4835 = """", ""NR"", I4835))"),"TV-MA")</f>
        <v>TV-MA</v>
      </c>
      <c r="R4835" s="5" t="str">
        <f t="shared" si="2"/>
        <v>Alex Strangelove</v>
      </c>
      <c r="S4835" s="5" t="str">
        <f>IFERROR(__xludf.DUMMYFUNCTION("""COMPUTED_VALUE"""),"Murder Party")</f>
        <v>Murder Party</v>
      </c>
      <c r="V4835" s="5"/>
      <c r="Y4835" s="5" t="str">
        <f>IFERROR(__xludf.DUMMYFUNCTION("REGEXEXTRACT(J4835, ""^\d+"")"),"100")</f>
        <v>100</v>
      </c>
      <c r="Z4835" s="5" t="str">
        <f>IFERROR(__xludf.DUMMYFUNCTION("REGEXEXTRACT(J4835, ""[A-Za-z ]+$"")")," min")</f>
        <v> min</v>
      </c>
      <c r="AA4835" s="5" t="str">
        <f>IFERROR(__xludf.DUMMYFUNCTION("IF(REGEXMATCH(Z4835, ""Season""), ""TV Show"", ""Movie"")"),"Movie")</f>
        <v>Movie</v>
      </c>
    </row>
    <row r="4836">
      <c r="A4836" s="1" t="s">
        <v>25367</v>
      </c>
      <c r="B4836" s="1" t="s">
        <v>27</v>
      </c>
      <c r="C4836" s="1" t="s">
        <v>25368</v>
      </c>
      <c r="D4836" s="1" t="s">
        <v>10666</v>
      </c>
      <c r="E4836" s="1" t="s">
        <v>25369</v>
      </c>
      <c r="F4836" s="1" t="s">
        <v>221</v>
      </c>
      <c r="G4836" s="1" t="s">
        <v>25365</v>
      </c>
      <c r="H4836" s="1">
        <v>2018.0</v>
      </c>
      <c r="I4836" s="1" t="s">
        <v>42</v>
      </c>
      <c r="J4836" s="1" t="s">
        <v>297</v>
      </c>
      <c r="K4836" s="1" t="s">
        <v>5295</v>
      </c>
      <c r="L4836" s="1" t="s">
        <v>25370</v>
      </c>
      <c r="M4836" s="2" t="s">
        <v>12</v>
      </c>
      <c r="N4836" s="4">
        <f t="shared" si="1"/>
        <v>43259</v>
      </c>
      <c r="O4836" s="5" t="str">
        <f>IFERROR(__xludf.DUMMYFUNCTION("IF(REGEXMATCH(TRIM(I4836), ""^\d+\s*min""), ""Unclassified"", IF(I4836 = """", ""NR"", I4836))"),"TV-MA")</f>
        <v>TV-MA</v>
      </c>
      <c r="R4836" s="5" t="str">
        <f t="shared" si="2"/>
        <v>Ali'S Wedding</v>
      </c>
      <c r="S4836" s="5" t="str">
        <f>IFERROR(__xludf.DUMMYFUNCTION("""COMPUTED_VALUE"""),"Murder To Mercy: The Cyntoia Brown Story")</f>
        <v>Murder To Mercy: The Cyntoia Brown Story</v>
      </c>
      <c r="V4836" s="5"/>
      <c r="Y4836" s="5" t="str">
        <f>IFERROR(__xludf.DUMMYFUNCTION("REGEXEXTRACT(J4836, ""^\d+"")"),"110")</f>
        <v>110</v>
      </c>
      <c r="Z4836" s="5" t="str">
        <f>IFERROR(__xludf.DUMMYFUNCTION("REGEXEXTRACT(J4836, ""[A-Za-z ]+$"")")," min")</f>
        <v> min</v>
      </c>
      <c r="AA4836" s="5" t="str">
        <f>IFERROR(__xludf.DUMMYFUNCTION("IF(REGEXMATCH(Z4836, ""Season""), ""TV Show"", ""Movie"")"),"Movie")</f>
        <v>Movie</v>
      </c>
    </row>
    <row r="4837">
      <c r="A4837" s="1" t="s">
        <v>25371</v>
      </c>
      <c r="B4837" s="1" t="s">
        <v>27</v>
      </c>
      <c r="C4837" s="1" t="s">
        <v>25372</v>
      </c>
      <c r="D4837" s="1" t="s">
        <v>21137</v>
      </c>
      <c r="E4837" s="1" t="s">
        <v>21138</v>
      </c>
      <c r="F4837" s="1" t="s">
        <v>162</v>
      </c>
      <c r="G4837" s="1" t="s">
        <v>25365</v>
      </c>
      <c r="H4837" s="1">
        <v>2018.0</v>
      </c>
      <c r="I4837" s="1" t="s">
        <v>42</v>
      </c>
      <c r="J4837" s="1" t="s">
        <v>2636</v>
      </c>
      <c r="K4837" s="1" t="s">
        <v>1839</v>
      </c>
      <c r="L4837" s="1" t="s">
        <v>25373</v>
      </c>
      <c r="M4837" s="2" t="s">
        <v>12</v>
      </c>
      <c r="N4837" s="4">
        <f t="shared" si="1"/>
        <v>43259</v>
      </c>
      <c r="O4837" s="5" t="str">
        <f>IFERROR(__xludf.DUMMYFUNCTION("IF(REGEXMATCH(TRIM(I4837), ""^\d+\s*min""), ""Unclassified"", IF(I4837 = """", ""NR"", I4837))"),"TV-MA")</f>
        <v>TV-MA</v>
      </c>
      <c r="R4837" s="5" t="str">
        <f t="shared" si="2"/>
        <v>Franco Escamilla: Por La Anécdota</v>
      </c>
      <c r="S4837" s="5" t="str">
        <f>IFERROR(__xludf.DUMMYFUNCTION("""COMPUTED_VALUE"""),"Murderous Affairs")</f>
        <v>Murderous Affairs</v>
      </c>
      <c r="V4837" s="5"/>
      <c r="Y4837" s="5" t="str">
        <f>IFERROR(__xludf.DUMMYFUNCTION("REGEXEXTRACT(J4837, ""^\d+"")"),"66")</f>
        <v>66</v>
      </c>
      <c r="Z4837" s="5" t="str">
        <f>IFERROR(__xludf.DUMMYFUNCTION("REGEXEXTRACT(J4837, ""[A-Za-z ]+$"")")," min")</f>
        <v> min</v>
      </c>
      <c r="AA4837" s="5" t="str">
        <f>IFERROR(__xludf.DUMMYFUNCTION("IF(REGEXMATCH(Z4837, ""Season""), ""TV Show"", ""Movie"")"),"Movie")</f>
        <v>Movie</v>
      </c>
    </row>
    <row r="4838">
      <c r="A4838" s="1" t="s">
        <v>25374</v>
      </c>
      <c r="B4838" s="1" t="s">
        <v>37</v>
      </c>
      <c r="C4838" s="1" t="s">
        <v>25375</v>
      </c>
      <c r="F4838" s="1" t="s">
        <v>664</v>
      </c>
      <c r="G4838" s="1" t="s">
        <v>25365</v>
      </c>
      <c r="H4838" s="1">
        <v>2018.0</v>
      </c>
      <c r="I4838" s="1" t="s">
        <v>42</v>
      </c>
      <c r="J4838" s="1" t="s">
        <v>51</v>
      </c>
      <c r="K4838" s="1" t="s">
        <v>6503</v>
      </c>
      <c r="L4838" s="1" t="s">
        <v>25376</v>
      </c>
      <c r="M4838" s="2" t="s">
        <v>12</v>
      </c>
      <c r="N4838" s="4">
        <f t="shared" si="1"/>
        <v>43259</v>
      </c>
      <c r="O4838" s="5" t="str">
        <f>IFERROR(__xludf.DUMMYFUNCTION("IF(REGEXMATCH(TRIM(I4838), ""^\d+\s*min""), ""Unclassified"", IF(I4838 = """", ""NR"", I4838))"),"TV-MA")</f>
        <v>TV-MA</v>
      </c>
      <c r="R4838" s="5" t="str">
        <f t="shared" si="2"/>
        <v>The Staircase</v>
      </c>
      <c r="S4838" s="5" t="str">
        <f>IFERROR(__xludf.DUMMYFUNCTION("""COMPUTED_VALUE"""),"Murphy'S Law Of Love")</f>
        <v>Murphy'S Law Of Love</v>
      </c>
      <c r="V4838" s="5"/>
      <c r="Y4838" s="5" t="str">
        <f>IFERROR(__xludf.DUMMYFUNCTION("REGEXEXTRACT(J4838, ""^\d+"")"),"1")</f>
        <v>1</v>
      </c>
      <c r="Z4838" s="5" t="str">
        <f>IFERROR(__xludf.DUMMYFUNCTION("REGEXEXTRACT(J4838, ""[A-Za-z ]+$"")")," Season")</f>
        <v> Season</v>
      </c>
      <c r="AA4838" s="5" t="str">
        <f>IFERROR(__xludf.DUMMYFUNCTION("IF(REGEXMATCH(Z4838, ""Season""), ""TV Show"", ""Movie"")"),"TV Show")</f>
        <v>TV Show</v>
      </c>
    </row>
    <row r="4839">
      <c r="A4839" s="1" t="s">
        <v>25377</v>
      </c>
      <c r="B4839" s="1" t="s">
        <v>37</v>
      </c>
      <c r="C4839" s="1" t="s">
        <v>25378</v>
      </c>
      <c r="E4839" s="1" t="s">
        <v>25379</v>
      </c>
      <c r="F4839" s="1" t="s">
        <v>30</v>
      </c>
      <c r="G4839" s="1" t="s">
        <v>25380</v>
      </c>
      <c r="H4839" s="1">
        <v>2017.0</v>
      </c>
      <c r="I4839" s="1" t="s">
        <v>97</v>
      </c>
      <c r="J4839" s="1" t="s">
        <v>148</v>
      </c>
      <c r="K4839" s="1" t="s">
        <v>2709</v>
      </c>
      <c r="L4839" s="1" t="s">
        <v>25381</v>
      </c>
      <c r="M4839" s="2" t="s">
        <v>12</v>
      </c>
      <c r="N4839" s="4">
        <f t="shared" si="1"/>
        <v>43258</v>
      </c>
      <c r="O4839" s="5" t="str">
        <f>IFERROR(__xludf.DUMMYFUNCTION("IF(REGEXMATCH(TRIM(I4839), ""^\d+\s*min""), ""Unclassified"", IF(I4839 = """", ""NR"", I4839))"),"TV-14")</f>
        <v>TV-14</v>
      </c>
      <c r="R4839" s="5" t="str">
        <f t="shared" si="2"/>
        <v>The Night Shift</v>
      </c>
      <c r="S4839" s="5" t="str">
        <f>IFERROR(__xludf.DUMMYFUNCTION("""COMPUTED_VALUE"""),"Music Teacher")</f>
        <v>Music Teacher</v>
      </c>
      <c r="V4839" s="5"/>
      <c r="Y4839" s="5" t="str">
        <f>IFERROR(__xludf.DUMMYFUNCTION("REGEXEXTRACT(J4839, ""^\d+"")"),"4")</f>
        <v>4</v>
      </c>
      <c r="Z4839" s="5" t="str">
        <f>IFERROR(__xludf.DUMMYFUNCTION("REGEXEXTRACT(J4839, ""[A-Za-z ]+$"")")," Seasons")</f>
        <v> Seasons</v>
      </c>
      <c r="AA4839" s="5" t="str">
        <f>IFERROR(__xludf.DUMMYFUNCTION("IF(REGEXMATCH(Z4839, ""Season""), ""TV Show"", ""Movie"")"),"TV Show")</f>
        <v>TV Show</v>
      </c>
    </row>
    <row r="4840">
      <c r="A4840" s="1" t="s">
        <v>25382</v>
      </c>
      <c r="B4840" s="1" t="s">
        <v>37</v>
      </c>
      <c r="C4840" s="1" t="s">
        <v>25383</v>
      </c>
      <c r="E4840" s="1" t="s">
        <v>25384</v>
      </c>
      <c r="F4840" s="1" t="s">
        <v>415</v>
      </c>
      <c r="G4840" s="1" t="s">
        <v>25385</v>
      </c>
      <c r="H4840" s="1">
        <v>2008.0</v>
      </c>
      <c r="I4840" s="1" t="s">
        <v>289</v>
      </c>
      <c r="J4840" s="1" t="s">
        <v>43</v>
      </c>
      <c r="K4840" s="1" t="s">
        <v>623</v>
      </c>
      <c r="L4840" s="1" t="s">
        <v>25386</v>
      </c>
      <c r="M4840" s="2" t="s">
        <v>12</v>
      </c>
      <c r="N4840" s="4">
        <f t="shared" si="1"/>
        <v>43253</v>
      </c>
      <c r="O4840" s="5" t="str">
        <f>IFERROR(__xludf.DUMMYFUNCTION("IF(REGEXMATCH(TRIM(I4840), ""^\d+\s*min""), ""Unclassified"", IF(I4840 = """", ""NR"", I4840))"),"TV-Y7")</f>
        <v>TV-Y7</v>
      </c>
      <c r="R4840" s="5" t="str">
        <f t="shared" si="2"/>
        <v>Dinosaur King</v>
      </c>
      <c r="S4840" s="5" t="str">
        <f>IFERROR(__xludf.DUMMYFUNCTION("""COMPUTED_VALUE"""),"Must Be... Love")</f>
        <v>Must Be... Love</v>
      </c>
      <c r="V4840" s="5"/>
      <c r="Y4840" s="5" t="str">
        <f>IFERROR(__xludf.DUMMYFUNCTION("REGEXEXTRACT(J4840, ""^\d+"")"),"2")</f>
        <v>2</v>
      </c>
      <c r="Z4840" s="5" t="str">
        <f>IFERROR(__xludf.DUMMYFUNCTION("REGEXEXTRACT(J4840, ""[A-Za-z ]+$"")")," Seasons")</f>
        <v> Seasons</v>
      </c>
      <c r="AA4840" s="5" t="str">
        <f>IFERROR(__xludf.DUMMYFUNCTION("IF(REGEXMATCH(Z4840, ""Season""), ""TV Show"", ""Movie"")"),"TV Show")</f>
        <v>TV Show</v>
      </c>
    </row>
    <row r="4841">
      <c r="A4841" s="1" t="s">
        <v>25387</v>
      </c>
      <c r="B4841" s="1" t="s">
        <v>27</v>
      </c>
      <c r="C4841" s="1" t="s">
        <v>25388</v>
      </c>
      <c r="D4841" s="1" t="s">
        <v>20841</v>
      </c>
      <c r="E4841" s="1" t="s">
        <v>25389</v>
      </c>
      <c r="F4841" s="1" t="s">
        <v>63</v>
      </c>
      <c r="G4841" s="1" t="s">
        <v>25390</v>
      </c>
      <c r="H4841" s="1">
        <v>2017.0</v>
      </c>
      <c r="I4841" s="1" t="s">
        <v>97</v>
      </c>
      <c r="J4841" s="1" t="s">
        <v>3458</v>
      </c>
      <c r="K4841" s="1" t="s">
        <v>128</v>
      </c>
      <c r="L4841" s="1" t="s">
        <v>25391</v>
      </c>
      <c r="M4841" s="2" t="s">
        <v>12</v>
      </c>
      <c r="N4841" s="4">
        <f t="shared" si="1"/>
        <v>43252</v>
      </c>
      <c r="O4841" s="5" t="str">
        <f>IFERROR(__xludf.DUMMYFUNCTION("IF(REGEXMATCH(TRIM(I4841), ""^\d+\s*min""), ""Unclassified"", IF(I4841 = """", ""NR"", I4841))"),"TV-14")</f>
        <v>TV-14</v>
      </c>
      <c r="R4841" s="5" t="str">
        <f t="shared" si="2"/>
        <v>B.A. Pass 2</v>
      </c>
      <c r="S4841" s="5" t="str">
        <f>IFERROR(__xludf.DUMMYFUNCTION("""COMPUTED_VALUE"""),"Mustang Island")</f>
        <v>Mustang Island</v>
      </c>
      <c r="V4841" s="5"/>
      <c r="Y4841" s="5" t="str">
        <f>IFERROR(__xludf.DUMMYFUNCTION("REGEXEXTRACT(J4841, ""^\d+"")"),"126")</f>
        <v>126</v>
      </c>
      <c r="Z4841" s="5" t="str">
        <f>IFERROR(__xludf.DUMMYFUNCTION("REGEXEXTRACT(J4841, ""[A-Za-z ]+$"")")," min")</f>
        <v> min</v>
      </c>
      <c r="AA4841" s="5" t="str">
        <f>IFERROR(__xludf.DUMMYFUNCTION("IF(REGEXMATCH(Z4841, ""Season""), ""TV Show"", ""Movie"")"),"Movie")</f>
        <v>Movie</v>
      </c>
    </row>
    <row r="4842">
      <c r="A4842" s="1" t="s">
        <v>25392</v>
      </c>
      <c r="B4842" s="1" t="s">
        <v>27</v>
      </c>
      <c r="C4842" s="1" t="s">
        <v>25393</v>
      </c>
      <c r="D4842" s="1" t="s">
        <v>16615</v>
      </c>
      <c r="E4842" s="1" t="s">
        <v>25394</v>
      </c>
      <c r="F4842" s="1" t="s">
        <v>2796</v>
      </c>
      <c r="G4842" s="1" t="s">
        <v>25390</v>
      </c>
      <c r="H4842" s="1">
        <v>2017.0</v>
      </c>
      <c r="I4842" s="1" t="s">
        <v>42</v>
      </c>
      <c r="J4842" s="1" t="s">
        <v>2281</v>
      </c>
      <c r="K4842" s="1" t="s">
        <v>298</v>
      </c>
      <c r="L4842" s="1" t="s">
        <v>25395</v>
      </c>
      <c r="M4842" s="2" t="s">
        <v>12</v>
      </c>
      <c r="N4842" s="4">
        <f t="shared" si="1"/>
        <v>43252</v>
      </c>
      <c r="O4842" s="5" t="str">
        <f>IFERROR(__xludf.DUMMYFUNCTION("IF(REGEXMATCH(TRIM(I4842), ""^\d+\s*min""), ""Unclassified"", IF(I4842 = """", ""NR"", I4842))"),"TV-MA")</f>
        <v>TV-MA</v>
      </c>
      <c r="R4842" s="5" t="str">
        <f t="shared" si="2"/>
        <v>Bad Genius</v>
      </c>
      <c r="S4842" s="5" t="str">
        <f>IFERROR(__xludf.DUMMYFUNCTION("""COMPUTED_VALUE"""),"Mutant Busters")</f>
        <v>Mutant Busters</v>
      </c>
      <c r="V4842" s="5"/>
      <c r="Y4842" s="5" t="str">
        <f>IFERROR(__xludf.DUMMYFUNCTION("REGEXEXTRACT(J4842, ""^\d+"")"),"130")</f>
        <v>130</v>
      </c>
      <c r="Z4842" s="5" t="str">
        <f>IFERROR(__xludf.DUMMYFUNCTION("REGEXEXTRACT(J4842, ""[A-Za-z ]+$"")")," min")</f>
        <v> min</v>
      </c>
      <c r="AA4842" s="5" t="str">
        <f>IFERROR(__xludf.DUMMYFUNCTION("IF(REGEXMATCH(Z4842, ""Season""), ""TV Show"", ""Movie"")"),"Movie")</f>
        <v>Movie</v>
      </c>
    </row>
    <row r="4843">
      <c r="A4843" s="1" t="s">
        <v>25396</v>
      </c>
      <c r="B4843" s="1" t="s">
        <v>37</v>
      </c>
      <c r="C4843" s="1" t="s">
        <v>25397</v>
      </c>
      <c r="F4843" s="1" t="s">
        <v>664</v>
      </c>
      <c r="G4843" s="1" t="s">
        <v>25390</v>
      </c>
      <c r="H4843" s="1">
        <v>2018.0</v>
      </c>
      <c r="I4843" s="1" t="s">
        <v>42</v>
      </c>
      <c r="J4843" s="1" t="s">
        <v>51</v>
      </c>
      <c r="K4843" s="1" t="s">
        <v>112</v>
      </c>
      <c r="L4843" s="1" t="s">
        <v>25398</v>
      </c>
      <c r="M4843" s="2" t="s">
        <v>12</v>
      </c>
      <c r="N4843" s="4">
        <f t="shared" si="1"/>
        <v>43252</v>
      </c>
      <c r="O4843" s="5" t="str">
        <f>IFERROR(__xludf.DUMMYFUNCTION("IF(REGEXMATCH(TRIM(I4843), ""^\d+\s*min""), ""Unclassified"", IF(I4843 = """", ""NR"", I4843))"),"TV-MA")</f>
        <v>TV-MA</v>
      </c>
      <c r="R4843" s="5" t="str">
        <f t="shared" si="2"/>
        <v>November 13: Attack On Paris</v>
      </c>
      <c r="S4843" s="5" t="str">
        <f>IFERROR(__xludf.DUMMYFUNCTION("""COMPUTED_VALUE"""),"Mute")</f>
        <v>Mute</v>
      </c>
      <c r="V4843" s="5"/>
      <c r="Y4843" s="5" t="str">
        <f>IFERROR(__xludf.DUMMYFUNCTION("REGEXEXTRACT(J4843, ""^\d+"")"),"1")</f>
        <v>1</v>
      </c>
      <c r="Z4843" s="5" t="str">
        <f>IFERROR(__xludf.DUMMYFUNCTION("REGEXEXTRACT(J4843, ""[A-Za-z ]+$"")")," Season")</f>
        <v> Season</v>
      </c>
      <c r="AA4843" s="5" t="str">
        <f>IFERROR(__xludf.DUMMYFUNCTION("IF(REGEXMATCH(Z4843, ""Season""), ""TV Show"", ""Movie"")"),"TV Show")</f>
        <v>TV Show</v>
      </c>
    </row>
    <row r="4844">
      <c r="A4844" s="1" t="s">
        <v>25399</v>
      </c>
      <c r="B4844" s="1" t="s">
        <v>27</v>
      </c>
      <c r="C4844" s="1" t="s">
        <v>25400</v>
      </c>
      <c r="D4844" s="1" t="s">
        <v>3701</v>
      </c>
      <c r="E4844" s="1" t="s">
        <v>25401</v>
      </c>
      <c r="F4844" s="1" t="s">
        <v>30</v>
      </c>
      <c r="G4844" s="1" t="s">
        <v>25390</v>
      </c>
      <c r="H4844" s="1">
        <v>2018.0</v>
      </c>
      <c r="I4844" s="1" t="s">
        <v>42</v>
      </c>
      <c r="J4844" s="1" t="s">
        <v>297</v>
      </c>
      <c r="K4844" s="1" t="s">
        <v>1320</v>
      </c>
      <c r="L4844" s="1" t="s">
        <v>25402</v>
      </c>
      <c r="M4844" s="2" t="s">
        <v>12</v>
      </c>
      <c r="N4844" s="4">
        <f t="shared" si="1"/>
        <v>43252</v>
      </c>
      <c r="O4844" s="5" t="str">
        <f>IFERROR(__xludf.DUMMYFUNCTION("IF(REGEXMATCH(TRIM(I4844), ""^\d+\s*min""), ""Unclassified"", IF(I4844 = """", ""NR"", I4844))"),"TV-MA")</f>
        <v>TV-MA</v>
      </c>
      <c r="R4844" s="5" t="str">
        <f t="shared" si="2"/>
        <v>Outside In</v>
      </c>
      <c r="S4844" s="5" t="str">
        <f>IFERROR(__xludf.DUMMYFUNCTION("""COMPUTED_VALUE"""),"Mutiny Of The Worker Bees")</f>
        <v>Mutiny Of The Worker Bees</v>
      </c>
      <c r="V4844" s="5"/>
      <c r="Y4844" s="5" t="str">
        <f>IFERROR(__xludf.DUMMYFUNCTION("REGEXEXTRACT(J4844, ""^\d+"")"),"110")</f>
        <v>110</v>
      </c>
      <c r="Z4844" s="5" t="str">
        <f>IFERROR(__xludf.DUMMYFUNCTION("REGEXEXTRACT(J4844, ""[A-Za-z ]+$"")")," min")</f>
        <v> min</v>
      </c>
      <c r="AA4844" s="5" t="str">
        <f>IFERROR(__xludf.DUMMYFUNCTION("IF(REGEXMATCH(Z4844, ""Season""), ""TV Show"", ""Movie"")"),"Movie")</f>
        <v>Movie</v>
      </c>
    </row>
    <row r="4845">
      <c r="A4845" s="1" t="s">
        <v>25403</v>
      </c>
      <c r="B4845" s="1" t="s">
        <v>27</v>
      </c>
      <c r="C4845" s="1" t="s">
        <v>25404</v>
      </c>
      <c r="D4845" s="1" t="s">
        <v>7564</v>
      </c>
      <c r="E4845" s="1" t="s">
        <v>7564</v>
      </c>
      <c r="F4845" s="1" t="s">
        <v>2492</v>
      </c>
      <c r="G4845" s="1" t="s">
        <v>25390</v>
      </c>
      <c r="H4845" s="1">
        <v>2015.0</v>
      </c>
      <c r="I4845" s="1" t="s">
        <v>42</v>
      </c>
      <c r="J4845" s="1" t="s">
        <v>471</v>
      </c>
      <c r="K4845" s="1" t="s">
        <v>520</v>
      </c>
      <c r="L4845" s="1" t="s">
        <v>25405</v>
      </c>
      <c r="M4845" s="2" t="s">
        <v>12</v>
      </c>
      <c r="N4845" s="4">
        <f t="shared" si="1"/>
        <v>43252</v>
      </c>
      <c r="O4845" s="5" t="str">
        <f>IFERROR(__xludf.DUMMYFUNCTION("IF(REGEXMATCH(TRIM(I4845), ""^\d+\s*min""), ""Unclassified"", IF(I4845 = """", ""NR"", I4845))"),"TV-MA")</f>
        <v>TV-MA</v>
      </c>
      <c r="R4845" s="5" t="str">
        <f t="shared" si="2"/>
        <v>Pedal The World</v>
      </c>
      <c r="S4845" s="5" t="str">
        <f>IFERROR(__xludf.DUMMYFUNCTION("""COMPUTED_VALUE"""),"Mutiny On The Bounty")</f>
        <v>Mutiny On The Bounty</v>
      </c>
      <c r="V4845" s="5"/>
      <c r="Y4845" s="5" t="str">
        <f>IFERROR(__xludf.DUMMYFUNCTION("REGEXEXTRACT(J4845, ""^\d+"")"),"85")</f>
        <v>85</v>
      </c>
      <c r="Z4845" s="5" t="str">
        <f>IFERROR(__xludf.DUMMYFUNCTION("REGEXEXTRACT(J4845, ""[A-Za-z ]+$"")")," min")</f>
        <v> min</v>
      </c>
      <c r="AA4845" s="5" t="str">
        <f>IFERROR(__xludf.DUMMYFUNCTION("IF(REGEXMATCH(Z4845, ""Season""), ""TV Show"", ""Movie"")"),"Movie")</f>
        <v>Movie</v>
      </c>
    </row>
    <row r="4846">
      <c r="A4846" s="1" t="s">
        <v>25406</v>
      </c>
      <c r="B4846" s="1" t="s">
        <v>37</v>
      </c>
      <c r="C4846" s="1" t="s">
        <v>25407</v>
      </c>
      <c r="E4846" s="1" t="s">
        <v>25408</v>
      </c>
      <c r="F4846" s="1" t="s">
        <v>30</v>
      </c>
      <c r="G4846" s="7">
        <v>43250.0</v>
      </c>
      <c r="H4846" s="1">
        <v>2019.0</v>
      </c>
      <c r="I4846" s="1" t="s">
        <v>97</v>
      </c>
      <c r="J4846" s="1" t="s">
        <v>148</v>
      </c>
      <c r="K4846" s="1" t="s">
        <v>270</v>
      </c>
      <c r="L4846" s="1" t="s">
        <v>25409</v>
      </c>
      <c r="M4846" s="2" t="s">
        <v>12</v>
      </c>
      <c r="N4846" s="4">
        <f t="shared" si="1"/>
        <v>43250</v>
      </c>
      <c r="O4846" s="5" t="str">
        <f>IFERROR(__xludf.DUMMYFUNCTION("IF(REGEXMATCH(TRIM(I4846), ""^\d+\s*min""), ""Unclassified"", IF(I4846 = """", ""NR"", I4846))"),"TV-14")</f>
        <v>TV-14</v>
      </c>
      <c r="R4846" s="5" t="str">
        <f t="shared" si="2"/>
        <v>Unbreakable Kimmy Schmidt</v>
      </c>
      <c r="S4846" s="5" t="str">
        <f>IFERROR(__xludf.DUMMYFUNCTION("""COMPUTED_VALUE"""),"Muzaffarnagar Baaqi Hai")</f>
        <v>Muzaffarnagar Baaqi Hai</v>
      </c>
      <c r="V4846" s="5"/>
      <c r="Y4846" s="5" t="str">
        <f>IFERROR(__xludf.DUMMYFUNCTION("REGEXEXTRACT(J4846, ""^\d+"")"),"4")</f>
        <v>4</v>
      </c>
      <c r="Z4846" s="5" t="str">
        <f>IFERROR(__xludf.DUMMYFUNCTION("REGEXEXTRACT(J4846, ""[A-Za-z ]+$"")")," Seasons")</f>
        <v> Seasons</v>
      </c>
      <c r="AA4846" s="5" t="str">
        <f>IFERROR(__xludf.DUMMYFUNCTION("IF(REGEXMATCH(Z4846, ""Season""), ""TV Show"", ""Movie"")"),"TV Show")</f>
        <v>TV Show</v>
      </c>
    </row>
    <row r="4847">
      <c r="A4847" s="1" t="s">
        <v>25410</v>
      </c>
      <c r="B4847" s="1" t="s">
        <v>37</v>
      </c>
      <c r="C4847" s="1" t="s">
        <v>25411</v>
      </c>
      <c r="E4847" s="1" t="s">
        <v>25412</v>
      </c>
      <c r="F4847" s="1" t="s">
        <v>30</v>
      </c>
      <c r="G4847" s="7">
        <v>43249.0</v>
      </c>
      <c r="H4847" s="1">
        <v>2019.0</v>
      </c>
      <c r="I4847" s="1" t="s">
        <v>42</v>
      </c>
      <c r="J4847" s="1" t="s">
        <v>189</v>
      </c>
      <c r="K4847" s="1" t="s">
        <v>270</v>
      </c>
      <c r="L4847" s="1" t="s">
        <v>25413</v>
      </c>
      <c r="M4847" s="2" t="s">
        <v>12</v>
      </c>
      <c r="N4847" s="4">
        <f t="shared" si="1"/>
        <v>43249</v>
      </c>
      <c r="O4847" s="5" t="str">
        <f>IFERROR(__xludf.DUMMYFUNCTION("IF(REGEXMATCH(TRIM(I4847), ""^\d+\s*min""), ""Unclassified"", IF(I4847 = """", ""NR"", I4847))"),"TV-MA")</f>
        <v>TV-MA</v>
      </c>
      <c r="R4847" s="5" t="str">
        <f t="shared" si="2"/>
        <v>Arrested Development</v>
      </c>
      <c r="S4847" s="5" t="str">
        <f>IFERROR(__xludf.DUMMYFUNCTION("""COMPUTED_VALUE"""),"My Amanda")</f>
        <v>My Amanda</v>
      </c>
      <c r="V4847" s="5"/>
      <c r="Y4847" s="5" t="str">
        <f>IFERROR(__xludf.DUMMYFUNCTION("REGEXEXTRACT(J4847, ""^\d+"")"),"5")</f>
        <v>5</v>
      </c>
      <c r="Z4847" s="5" t="str">
        <f>IFERROR(__xludf.DUMMYFUNCTION("REGEXEXTRACT(J4847, ""[A-Za-z ]+$"")")," Seasons")</f>
        <v> Seasons</v>
      </c>
      <c r="AA4847" s="5" t="str">
        <f>IFERROR(__xludf.DUMMYFUNCTION("IF(REGEXMATCH(Z4847, ""Season""), ""TV Show"", ""Movie"")"),"TV Show")</f>
        <v>TV Show</v>
      </c>
    </row>
    <row r="4848">
      <c r="A4848" s="1" t="s">
        <v>25414</v>
      </c>
      <c r="B4848" s="1" t="s">
        <v>37</v>
      </c>
      <c r="C4848" s="1" t="s">
        <v>25415</v>
      </c>
      <c r="F4848" s="1" t="s">
        <v>30</v>
      </c>
      <c r="G4848" s="7">
        <v>43247.0</v>
      </c>
      <c r="H4848" s="1">
        <v>2018.0</v>
      </c>
      <c r="I4848" s="1" t="s">
        <v>42</v>
      </c>
      <c r="J4848" s="1" t="s">
        <v>51</v>
      </c>
      <c r="K4848" s="1" t="s">
        <v>2512</v>
      </c>
      <c r="L4848" s="1" t="s">
        <v>25416</v>
      </c>
      <c r="M4848" s="2" t="s">
        <v>12</v>
      </c>
      <c r="N4848" s="4">
        <f t="shared" si="1"/>
        <v>43247</v>
      </c>
      <c r="O4848" s="5" t="str">
        <f>IFERROR(__xludf.DUMMYFUNCTION("IF(REGEXMATCH(TRIM(I4848), ""^\d+\s*min""), ""Unclassified"", IF(I4848 = """", ""NR"", I4848))"),"TV-MA")</f>
        <v>TV-MA</v>
      </c>
      <c r="R4848" s="5" t="str">
        <f t="shared" si="2"/>
        <v>The Break With Michelle Wolf</v>
      </c>
      <c r="S4848" s="5" t="str">
        <f>IFERROR(__xludf.DUMMYFUNCTION("""COMPUTED_VALUE"""),"My Amnesia Girl")</f>
        <v>My Amnesia Girl</v>
      </c>
      <c r="V4848" s="5"/>
      <c r="Y4848" s="5" t="str">
        <f>IFERROR(__xludf.DUMMYFUNCTION("REGEXEXTRACT(J4848, ""^\d+"")"),"1")</f>
        <v>1</v>
      </c>
      <c r="Z4848" s="5" t="str">
        <f>IFERROR(__xludf.DUMMYFUNCTION("REGEXEXTRACT(J4848, ""[A-Za-z ]+$"")")," Season")</f>
        <v> Season</v>
      </c>
      <c r="AA4848" s="5" t="str">
        <f>IFERROR(__xludf.DUMMYFUNCTION("IF(REGEXMATCH(Z4848, ""Season""), ""TV Show"", ""Movie"")"),"TV Show")</f>
        <v>TV Show</v>
      </c>
    </row>
    <row r="4849">
      <c r="A4849" s="1" t="s">
        <v>25417</v>
      </c>
      <c r="B4849" s="1" t="s">
        <v>27</v>
      </c>
      <c r="C4849" s="1" t="s">
        <v>25418</v>
      </c>
      <c r="D4849" s="1" t="s">
        <v>17054</v>
      </c>
      <c r="E4849" s="1" t="s">
        <v>25419</v>
      </c>
      <c r="F4849" s="1" t="s">
        <v>784</v>
      </c>
      <c r="G4849" s="7">
        <v>43246.0</v>
      </c>
      <c r="H4849" s="1">
        <v>2018.0</v>
      </c>
      <c r="I4849" s="1" t="s">
        <v>42</v>
      </c>
      <c r="J4849" s="1" t="s">
        <v>743</v>
      </c>
      <c r="K4849" s="1" t="s">
        <v>298</v>
      </c>
      <c r="L4849" s="1" t="s">
        <v>25420</v>
      </c>
      <c r="M4849" s="2" t="s">
        <v>12</v>
      </c>
      <c r="N4849" s="4">
        <f t="shared" si="1"/>
        <v>43246</v>
      </c>
      <c r="O4849" s="5" t="str">
        <f>IFERROR(__xludf.DUMMYFUNCTION("IF(REGEXMATCH(TRIM(I4849), ""^\d+\s*min""), ""Unclassified"", IF(I4849 = """", ""NR"", I4849))"),"TV-MA")</f>
        <v>TV-MA</v>
      </c>
      <c r="R4849" s="5" t="str">
        <f t="shared" si="2"/>
        <v>Sara'S Notebook</v>
      </c>
      <c r="S4849" s="5" t="str">
        <f>IFERROR(__xludf.DUMMYFUNCTION("""COMPUTED_VALUE"""),"My Babysitter'S A Vampire")</f>
        <v>My Babysitter'S A Vampire</v>
      </c>
      <c r="V4849" s="5"/>
      <c r="Y4849" s="5" t="str">
        <f>IFERROR(__xludf.DUMMYFUNCTION("REGEXEXTRACT(J4849, ""^\d+"")"),"117")</f>
        <v>117</v>
      </c>
      <c r="Z4849" s="5" t="str">
        <f>IFERROR(__xludf.DUMMYFUNCTION("REGEXEXTRACT(J4849, ""[A-Za-z ]+$"")")," min")</f>
        <v> min</v>
      </c>
      <c r="AA4849" s="5" t="str">
        <f>IFERROR(__xludf.DUMMYFUNCTION("IF(REGEXMATCH(Z4849, ""Season""), ""TV Show"", ""Movie"")"),"Movie")</f>
        <v>Movie</v>
      </c>
    </row>
    <row r="4850">
      <c r="A4850" s="1" t="s">
        <v>25421</v>
      </c>
      <c r="B4850" s="1" t="s">
        <v>37</v>
      </c>
      <c r="C4850" s="1" t="s">
        <v>25422</v>
      </c>
      <c r="E4850" s="1" t="s">
        <v>25423</v>
      </c>
      <c r="F4850" s="1" t="s">
        <v>749</v>
      </c>
      <c r="G4850" s="7">
        <v>43246.0</v>
      </c>
      <c r="H4850" s="1">
        <v>2018.0</v>
      </c>
      <c r="I4850" s="1" t="s">
        <v>42</v>
      </c>
      <c r="J4850" s="1" t="s">
        <v>51</v>
      </c>
      <c r="K4850" s="1" t="s">
        <v>7164</v>
      </c>
      <c r="L4850" s="1" t="s">
        <v>25424</v>
      </c>
      <c r="M4850" s="2" t="s">
        <v>12</v>
      </c>
      <c r="N4850" s="4">
        <f t="shared" si="1"/>
        <v>43246</v>
      </c>
      <c r="O4850" s="5" t="str">
        <f>IFERROR(__xludf.DUMMYFUNCTION("IF(REGEXMATCH(TRIM(I4850), ""^\d+\s*min""), ""Unclassified"", IF(I4850 = """", ""NR"", I4850))"),"TV-MA")</f>
        <v>TV-MA</v>
      </c>
      <c r="R4850" s="5" t="str">
        <f t="shared" si="2"/>
        <v>Something In The Rain</v>
      </c>
      <c r="S4850" s="5" t="str">
        <f>IFERROR(__xludf.DUMMYFUNCTION("""COMPUTED_VALUE"""),"My Babysitter'S A Vampire: The Movie")</f>
        <v>My Babysitter'S A Vampire: The Movie</v>
      </c>
      <c r="V4850" s="5"/>
      <c r="Y4850" s="5" t="str">
        <f>IFERROR(__xludf.DUMMYFUNCTION("REGEXEXTRACT(J4850, ""^\d+"")"),"1")</f>
        <v>1</v>
      </c>
      <c r="Z4850" s="5" t="str">
        <f>IFERROR(__xludf.DUMMYFUNCTION("REGEXEXTRACT(J4850, ""[A-Za-z ]+$"")")," Season")</f>
        <v> Season</v>
      </c>
      <c r="AA4850" s="5" t="str">
        <f>IFERROR(__xludf.DUMMYFUNCTION("IF(REGEXMATCH(Z4850, ""Season""), ""TV Show"", ""Movie"")"),"TV Show")</f>
        <v>TV Show</v>
      </c>
    </row>
    <row r="4851">
      <c r="A4851" s="1" t="s">
        <v>25425</v>
      </c>
      <c r="B4851" s="1" t="s">
        <v>27</v>
      </c>
      <c r="C4851" s="1" t="s">
        <v>25426</v>
      </c>
      <c r="D4851" s="1" t="s">
        <v>18885</v>
      </c>
      <c r="E4851" s="1" t="s">
        <v>25427</v>
      </c>
      <c r="F4851" s="1" t="s">
        <v>1815</v>
      </c>
      <c r="G4851" s="7">
        <v>43245.0</v>
      </c>
      <c r="H4851" s="1">
        <v>2018.0</v>
      </c>
      <c r="I4851" s="1" t="s">
        <v>42</v>
      </c>
      <c r="J4851" s="1" t="s">
        <v>919</v>
      </c>
      <c r="K4851" s="1" t="s">
        <v>1839</v>
      </c>
      <c r="L4851" s="1" t="s">
        <v>25428</v>
      </c>
      <c r="M4851" s="2" t="s">
        <v>12</v>
      </c>
      <c r="N4851" s="4">
        <f t="shared" si="1"/>
        <v>43245</v>
      </c>
      <c r="O4851" s="5" t="str">
        <f>IFERROR(__xludf.DUMMYFUNCTION("IF(REGEXMATCH(TRIM(I4851), ""^\d+\s*min""), ""Unclassified"", IF(I4851 = """", ""NR"", I4851))"),"TV-MA")</f>
        <v>TV-MA</v>
      </c>
      <c r="R4851" s="5" t="str">
        <f t="shared" si="2"/>
        <v>Fernando Sanjiao: Hombre</v>
      </c>
      <c r="S4851" s="5" t="str">
        <f>IFERROR(__xludf.DUMMYFUNCTION("""COMPUTED_VALUE"""),"My Beautiful Broken Brain")</f>
        <v>My Beautiful Broken Brain</v>
      </c>
      <c r="V4851" s="5"/>
      <c r="Y4851" s="5" t="str">
        <f>IFERROR(__xludf.DUMMYFUNCTION("REGEXEXTRACT(J4851, ""^\d+"")"),"63")</f>
        <v>63</v>
      </c>
      <c r="Z4851" s="5" t="str">
        <f>IFERROR(__xludf.DUMMYFUNCTION("REGEXEXTRACT(J4851, ""[A-Za-z ]+$"")")," min")</f>
        <v> min</v>
      </c>
      <c r="AA4851" s="5" t="str">
        <f>IFERROR(__xludf.DUMMYFUNCTION("IF(REGEXMATCH(Z4851, ""Season""), ""TV Show"", ""Movie"")"),"Movie")</f>
        <v>Movie</v>
      </c>
    </row>
    <row r="4852">
      <c r="A4852" s="1" t="s">
        <v>25429</v>
      </c>
      <c r="B4852" s="1" t="s">
        <v>27</v>
      </c>
      <c r="C4852" s="1" t="s">
        <v>25430</v>
      </c>
      <c r="D4852" s="1" t="s">
        <v>1173</v>
      </c>
      <c r="E4852" s="1" t="s">
        <v>25431</v>
      </c>
      <c r="F4852" s="1" t="s">
        <v>30</v>
      </c>
      <c r="G4852" s="7">
        <v>43245.0</v>
      </c>
      <c r="H4852" s="1">
        <v>2018.0</v>
      </c>
      <c r="I4852" s="1" t="s">
        <v>42</v>
      </c>
      <c r="J4852" s="1" t="s">
        <v>170</v>
      </c>
      <c r="K4852" s="1" t="s">
        <v>813</v>
      </c>
      <c r="L4852" s="1" t="s">
        <v>25432</v>
      </c>
      <c r="M4852" s="2" t="s">
        <v>12</v>
      </c>
      <c r="N4852" s="4">
        <f t="shared" si="1"/>
        <v>43245</v>
      </c>
      <c r="O4852" s="5" t="str">
        <f>IFERROR(__xludf.DUMMYFUNCTION("IF(REGEXMATCH(TRIM(I4852), ""^\d+\s*min""), ""Unclassified"", IF(I4852 = """", ""NR"", I4852))"),"TV-MA")</f>
        <v>TV-MA</v>
      </c>
      <c r="R4852" s="5" t="str">
        <f t="shared" si="2"/>
        <v>Ibiza</v>
      </c>
      <c r="S4852" s="5" t="str">
        <f>IFERROR(__xludf.DUMMYFUNCTION("""COMPUTED_VALUE"""),"My Big Night")</f>
        <v>My Big Night</v>
      </c>
      <c r="V4852" s="5"/>
      <c r="Y4852" s="5" t="str">
        <f>IFERROR(__xludf.DUMMYFUNCTION("REGEXEXTRACT(J4852, ""^\d+"")"),"94")</f>
        <v>94</v>
      </c>
      <c r="Z4852" s="5" t="str">
        <f>IFERROR(__xludf.DUMMYFUNCTION("REGEXEXTRACT(J4852, ""[A-Za-z ]+$"")")," min")</f>
        <v> min</v>
      </c>
      <c r="AA4852" s="5" t="str">
        <f>IFERROR(__xludf.DUMMYFUNCTION("IF(REGEXMATCH(Z4852, ""Season""), ""TV Show"", ""Movie"")"),"Movie")</f>
        <v>Movie</v>
      </c>
    </row>
    <row r="4853">
      <c r="A4853" s="1" t="s">
        <v>25433</v>
      </c>
      <c r="B4853" s="1" t="s">
        <v>27</v>
      </c>
      <c r="C4853" s="1" t="s">
        <v>25434</v>
      </c>
      <c r="D4853" s="1" t="s">
        <v>14140</v>
      </c>
      <c r="E4853" s="1" t="s">
        <v>25435</v>
      </c>
      <c r="F4853" s="1" t="s">
        <v>30</v>
      </c>
      <c r="G4853" s="7">
        <v>43245.0</v>
      </c>
      <c r="H4853" s="1">
        <v>2018.0</v>
      </c>
      <c r="I4853" s="1" t="s">
        <v>97</v>
      </c>
      <c r="J4853" s="1" t="s">
        <v>2699</v>
      </c>
      <c r="K4853" s="1" t="s">
        <v>1839</v>
      </c>
      <c r="L4853" s="1" t="s">
        <v>25436</v>
      </c>
      <c r="M4853" s="2" t="s">
        <v>12</v>
      </c>
      <c r="N4853" s="4">
        <f t="shared" si="1"/>
        <v>43245</v>
      </c>
      <c r="O4853" s="5" t="str">
        <f>IFERROR(__xludf.DUMMYFUNCTION("IF(REGEXMATCH(TRIM(I4853), ""^\d+\s*min""), ""Unclassified"", IF(I4853 = """", ""NR"", I4853))"),"TV-14")</f>
        <v>TV-14</v>
      </c>
      <c r="R4853" s="5" t="str">
        <f t="shared" si="2"/>
        <v>Steve Martin And Martin Short: An Evening You Will Forget For The Rest Of Your Life</v>
      </c>
      <c r="S4853" s="5" t="str">
        <f>IFERROR(__xludf.DUMMYFUNCTION("""COMPUTED_VALUE"""),"My Birthday Song")</f>
        <v>My Birthday Song</v>
      </c>
      <c r="V4853" s="5"/>
      <c r="Y4853" s="5" t="str">
        <f>IFERROR(__xludf.DUMMYFUNCTION("REGEXEXTRACT(J4853, ""^\d+"")"),"74")</f>
        <v>74</v>
      </c>
      <c r="Z4853" s="5" t="str">
        <f>IFERROR(__xludf.DUMMYFUNCTION("REGEXEXTRACT(J4853, ""[A-Za-z ]+$"")")," min")</f>
        <v> min</v>
      </c>
      <c r="AA4853" s="5" t="str">
        <f>IFERROR(__xludf.DUMMYFUNCTION("IF(REGEXMATCH(Z4853, ""Season""), ""TV Show"", ""Movie"")"),"Movie")</f>
        <v>Movie</v>
      </c>
    </row>
    <row r="4854">
      <c r="A4854" s="1" t="s">
        <v>25437</v>
      </c>
      <c r="B4854" s="1" t="s">
        <v>37</v>
      </c>
      <c r="C4854" s="1" t="s">
        <v>25438</v>
      </c>
      <c r="E4854" s="1" t="s">
        <v>25439</v>
      </c>
      <c r="F4854" s="1" t="s">
        <v>949</v>
      </c>
      <c r="G4854" s="7">
        <v>43245.0</v>
      </c>
      <c r="H4854" s="1">
        <v>2018.0</v>
      </c>
      <c r="I4854" s="1" t="s">
        <v>289</v>
      </c>
      <c r="J4854" s="1" t="s">
        <v>276</v>
      </c>
      <c r="K4854" s="1" t="s">
        <v>3368</v>
      </c>
      <c r="L4854" s="1" t="s">
        <v>25440</v>
      </c>
      <c r="M4854" s="2" t="s">
        <v>12</v>
      </c>
      <c r="N4854" s="4">
        <f t="shared" si="1"/>
        <v>43245</v>
      </c>
      <c r="O4854" s="5" t="str">
        <f>IFERROR(__xludf.DUMMYFUNCTION("IF(REGEXMATCH(TRIM(I4854), ""^\d+\s*min""), ""Unclassified"", IF(I4854 = """", ""NR"", I4854))"),"TV-Y7")</f>
        <v>TV-Y7</v>
      </c>
      <c r="R4854" s="5" t="str">
        <f t="shared" si="2"/>
        <v>Trollhunters</v>
      </c>
      <c r="S4854" s="5" t="str">
        <f>IFERROR(__xludf.DUMMYFUNCTION("""COMPUTED_VALUE"""),"My Boss'S Daughter")</f>
        <v>My Boss'S Daughter</v>
      </c>
      <c r="V4854" s="5"/>
      <c r="Y4854" s="5" t="str">
        <f>IFERROR(__xludf.DUMMYFUNCTION("REGEXEXTRACT(J4854, ""^\d+"")"),"3")</f>
        <v>3</v>
      </c>
      <c r="Z4854" s="5" t="str">
        <f>IFERROR(__xludf.DUMMYFUNCTION("REGEXEXTRACT(J4854, ""[A-Za-z ]+$"")")," Seasons")</f>
        <v> Seasons</v>
      </c>
      <c r="AA4854" s="5" t="str">
        <f>IFERROR(__xludf.DUMMYFUNCTION("IF(REGEXMATCH(Z4854, ""Season""), ""TV Show"", ""Movie"")"),"TV Show")</f>
        <v>TV Show</v>
      </c>
    </row>
    <row r="4855">
      <c r="A4855" s="1" t="s">
        <v>25441</v>
      </c>
      <c r="B4855" s="1" t="s">
        <v>37</v>
      </c>
      <c r="C4855" s="1" t="s">
        <v>25442</v>
      </c>
      <c r="E4855" s="1" t="s">
        <v>25443</v>
      </c>
      <c r="F4855" s="1" t="s">
        <v>415</v>
      </c>
      <c r="G4855" s="7">
        <v>43242.0</v>
      </c>
      <c r="H4855" s="1">
        <v>2018.0</v>
      </c>
      <c r="I4855" s="1" t="s">
        <v>42</v>
      </c>
      <c r="J4855" s="1" t="s">
        <v>51</v>
      </c>
      <c r="K4855" s="1" t="s">
        <v>933</v>
      </c>
      <c r="L4855" s="1" t="s">
        <v>25444</v>
      </c>
      <c r="M4855" s="2" t="s">
        <v>12</v>
      </c>
      <c r="N4855" s="4">
        <f t="shared" si="1"/>
        <v>43242</v>
      </c>
      <c r="O4855" s="5" t="str">
        <f>IFERROR(__xludf.DUMMYFUNCTION("IF(REGEXMATCH(TRIM(I4855), ""^\d+\s*min""), ""Unclassified"", IF(I4855 = """", ""NR"", I4855))"),"TV-MA")</f>
        <v>TV-MA</v>
      </c>
      <c r="R4855" s="5" t="str">
        <f t="shared" si="2"/>
        <v>Mob Psycho 100</v>
      </c>
      <c r="S4855" s="5" t="str">
        <f>IFERROR(__xludf.DUMMYFUNCTION("""COMPUTED_VALUE"""),"My Brother ... Nikhil")</f>
        <v>My Brother ... Nikhil</v>
      </c>
      <c r="V4855" s="5"/>
      <c r="Y4855" s="5" t="str">
        <f>IFERROR(__xludf.DUMMYFUNCTION("REGEXEXTRACT(J4855, ""^\d+"")"),"1")</f>
        <v>1</v>
      </c>
      <c r="Z4855" s="5" t="str">
        <f>IFERROR(__xludf.DUMMYFUNCTION("REGEXEXTRACT(J4855, ""[A-Za-z ]+$"")")," Season")</f>
        <v> Season</v>
      </c>
      <c r="AA4855" s="5" t="str">
        <f>IFERROR(__xludf.DUMMYFUNCTION("IF(REGEXMATCH(Z4855, ""Season""), ""TV Show"", ""Movie"")"),"TV Show")</f>
        <v>TV Show</v>
      </c>
    </row>
    <row r="4856">
      <c r="A4856" s="1" t="s">
        <v>25445</v>
      </c>
      <c r="B4856" s="1" t="s">
        <v>27</v>
      </c>
      <c r="C4856" s="1" t="s">
        <v>25446</v>
      </c>
      <c r="D4856" s="1" t="s">
        <v>22487</v>
      </c>
      <c r="E4856" s="1" t="s">
        <v>22487</v>
      </c>
      <c r="F4856" s="1" t="s">
        <v>30</v>
      </c>
      <c r="G4856" s="7">
        <v>43242.0</v>
      </c>
      <c r="H4856" s="1">
        <v>2018.0</v>
      </c>
      <c r="I4856" s="1" t="s">
        <v>97</v>
      </c>
      <c r="J4856" s="1" t="s">
        <v>4693</v>
      </c>
      <c r="K4856" s="1" t="s">
        <v>1839</v>
      </c>
      <c r="L4856" s="1" t="s">
        <v>25447</v>
      </c>
      <c r="M4856" s="2" t="s">
        <v>12</v>
      </c>
      <c r="N4856" s="4">
        <f t="shared" si="1"/>
        <v>43242</v>
      </c>
      <c r="O4856" s="5" t="str">
        <f>IFERROR(__xludf.DUMMYFUNCTION("IF(REGEXMATCH(TRIM(I4856), ""^\d+\s*min""), ""Unclassified"", IF(I4856 = """", ""NR"", I4856))"),"TV-14")</f>
        <v>TV-14</v>
      </c>
      <c r="R4856" s="5" t="str">
        <f t="shared" si="2"/>
        <v>Tig Notaro Happy To Be Here</v>
      </c>
      <c r="S4856" s="5" t="str">
        <f>IFERROR(__xludf.DUMMYFUNCTION("""COMPUTED_VALUE"""),"My Country: The New Age")</f>
        <v>My Country: The New Age</v>
      </c>
      <c r="V4856" s="5"/>
      <c r="Y4856" s="5" t="str">
        <f>IFERROR(__xludf.DUMMYFUNCTION("REGEXEXTRACT(J4856, ""^\d+"")"),"58")</f>
        <v>58</v>
      </c>
      <c r="Z4856" s="5" t="str">
        <f>IFERROR(__xludf.DUMMYFUNCTION("REGEXEXTRACT(J4856, ""[A-Za-z ]+$"")")," min")</f>
        <v> min</v>
      </c>
      <c r="AA4856" s="5" t="str">
        <f>IFERROR(__xludf.DUMMYFUNCTION("IF(REGEXMATCH(Z4856, ""Season""), ""TV Show"", ""Movie"")"),"Movie")</f>
        <v>Movie</v>
      </c>
    </row>
    <row r="4857">
      <c r="A4857" s="1" t="s">
        <v>25448</v>
      </c>
      <c r="B4857" s="1" t="s">
        <v>27</v>
      </c>
      <c r="C4857" s="1" t="s">
        <v>25449</v>
      </c>
      <c r="D4857" s="1" t="s">
        <v>6942</v>
      </c>
      <c r="E4857" s="1" t="s">
        <v>25450</v>
      </c>
      <c r="F4857" s="1" t="s">
        <v>40</v>
      </c>
      <c r="G4857" s="7">
        <v>43238.0</v>
      </c>
      <c r="H4857" s="1">
        <v>2018.0</v>
      </c>
      <c r="I4857" s="1" t="s">
        <v>42</v>
      </c>
      <c r="J4857" s="1" t="s">
        <v>743</v>
      </c>
      <c r="K4857" s="1" t="s">
        <v>215</v>
      </c>
      <c r="L4857" s="1" t="s">
        <v>25451</v>
      </c>
      <c r="M4857" s="2" t="s">
        <v>12</v>
      </c>
      <c r="N4857" s="4">
        <f t="shared" si="1"/>
        <v>43238</v>
      </c>
      <c r="O4857" s="5" t="str">
        <f>IFERROR(__xludf.DUMMYFUNCTION("IF(REGEXMATCH(TRIM(I4857), ""^\d+\s*min""), ""Unclassified"", IF(I4857 = """", ""NR"", I4857))"),"TV-MA")</f>
        <v>TV-MA</v>
      </c>
      <c r="R4857" s="5" t="str">
        <f t="shared" si="2"/>
        <v>Catching Feelings</v>
      </c>
      <c r="S4857" s="5" t="str">
        <f>IFERROR(__xludf.DUMMYFUNCTION("""COMPUTED_VALUE"""),"My Daddy Is In Heaven")</f>
        <v>My Daddy Is In Heaven</v>
      </c>
      <c r="V4857" s="5"/>
      <c r="Y4857" s="5" t="str">
        <f>IFERROR(__xludf.DUMMYFUNCTION("REGEXEXTRACT(J4857, ""^\d+"")"),"117")</f>
        <v>117</v>
      </c>
      <c r="Z4857" s="5" t="str">
        <f>IFERROR(__xludf.DUMMYFUNCTION("REGEXEXTRACT(J4857, ""[A-Za-z ]+$"")")," min")</f>
        <v> min</v>
      </c>
      <c r="AA4857" s="5" t="str">
        <f>IFERROR(__xludf.DUMMYFUNCTION("IF(REGEXMATCH(Z4857, ""Season""), ""TV Show"", ""Movie"")"),"Movie")</f>
        <v>Movie</v>
      </c>
    </row>
    <row r="4858">
      <c r="A4858" s="1" t="s">
        <v>25452</v>
      </c>
      <c r="B4858" s="1" t="s">
        <v>37</v>
      </c>
      <c r="C4858" s="1" t="s">
        <v>25453</v>
      </c>
      <c r="E4858" s="1" t="s">
        <v>19432</v>
      </c>
      <c r="G4858" s="7">
        <v>43238.0</v>
      </c>
      <c r="H4858" s="1">
        <v>2018.0</v>
      </c>
      <c r="I4858" s="1" t="s">
        <v>206</v>
      </c>
      <c r="J4858" s="1" t="s">
        <v>51</v>
      </c>
      <c r="K4858" s="1" t="s">
        <v>290</v>
      </c>
      <c r="L4858" s="1" t="s">
        <v>25454</v>
      </c>
      <c r="M4858" s="2" t="s">
        <v>12</v>
      </c>
      <c r="N4858" s="4">
        <f t="shared" si="1"/>
        <v>43238</v>
      </c>
      <c r="O4858" s="5" t="str">
        <f>IFERROR(__xludf.DUMMYFUNCTION("IF(REGEXMATCH(TRIM(I4858), ""^\d+\s*min""), ""Unclassified"", IF(I4858 = """", ""NR"", I4858))"),"TV-Y")</f>
        <v>TV-Y</v>
      </c>
      <c r="R4858" s="5" t="str">
        <f t="shared" si="2"/>
        <v>Dance &amp; Sing With True</v>
      </c>
      <c r="S4858" s="5" t="str">
        <f>IFERROR(__xludf.DUMMYFUNCTION("""COMPUTED_VALUE"""),"My Dead Ex")</f>
        <v>My Dead Ex</v>
      </c>
      <c r="V4858" s="5"/>
      <c r="Y4858" s="5" t="str">
        <f>IFERROR(__xludf.DUMMYFUNCTION("REGEXEXTRACT(J4858, ""^\d+"")"),"1")</f>
        <v>1</v>
      </c>
      <c r="Z4858" s="5" t="str">
        <f>IFERROR(__xludf.DUMMYFUNCTION("REGEXEXTRACT(J4858, ""[A-Za-z ]+$"")")," Season")</f>
        <v> Season</v>
      </c>
      <c r="AA4858" s="5" t="str">
        <f>IFERROR(__xludf.DUMMYFUNCTION("IF(REGEXMATCH(Z4858, ""Season""), ""TV Show"", ""Movie"")"),"TV Show")</f>
        <v>TV Show</v>
      </c>
    </row>
    <row r="4859">
      <c r="A4859" s="1" t="s">
        <v>25455</v>
      </c>
      <c r="B4859" s="1" t="s">
        <v>37</v>
      </c>
      <c r="C4859" s="1" t="s">
        <v>25456</v>
      </c>
      <c r="E4859" s="1" t="s">
        <v>25457</v>
      </c>
      <c r="F4859" s="1" t="s">
        <v>8022</v>
      </c>
      <c r="G4859" s="7">
        <v>43238.0</v>
      </c>
      <c r="H4859" s="1">
        <v>2017.0</v>
      </c>
      <c r="I4859" s="1" t="s">
        <v>289</v>
      </c>
      <c r="J4859" s="1" t="s">
        <v>148</v>
      </c>
      <c r="K4859" s="1" t="s">
        <v>25458</v>
      </c>
      <c r="L4859" s="1" t="s">
        <v>25459</v>
      </c>
      <c r="M4859" s="2" t="s">
        <v>12</v>
      </c>
      <c r="N4859" s="4">
        <f t="shared" si="1"/>
        <v>43238</v>
      </c>
      <c r="O4859" s="5" t="str">
        <f>IFERROR(__xludf.DUMMYFUNCTION("IF(REGEXMATCH(TRIM(I4859), ""^\d+\s*min""), ""Unclassified"", IF(I4859 = """", ""NR"", I4859))"),"TV-Y7")</f>
        <v>TV-Y7</v>
      </c>
      <c r="R4859" s="5" t="str">
        <f t="shared" si="2"/>
        <v>Inspector Gadget</v>
      </c>
      <c r="S4859" s="5" t="str">
        <f>IFERROR(__xludf.DUMMYFUNCTION("""COMPUTED_VALUE"""),"My Dear Boy")</f>
        <v>My Dear Boy</v>
      </c>
      <c r="V4859" s="5"/>
      <c r="Y4859" s="5" t="str">
        <f>IFERROR(__xludf.DUMMYFUNCTION("REGEXEXTRACT(J4859, ""^\d+"")"),"4")</f>
        <v>4</v>
      </c>
      <c r="Z4859" s="5" t="str">
        <f>IFERROR(__xludf.DUMMYFUNCTION("REGEXEXTRACT(J4859, ""[A-Za-z ]+$"")")," Seasons")</f>
        <v> Seasons</v>
      </c>
      <c r="AA4859" s="5" t="str">
        <f>IFERROR(__xludf.DUMMYFUNCTION("IF(REGEXMATCH(Z4859, ""Season""), ""TV Show"", ""Movie"")"),"TV Show")</f>
        <v>TV Show</v>
      </c>
    </row>
    <row r="4860">
      <c r="A4860" s="1" t="s">
        <v>25460</v>
      </c>
      <c r="B4860" s="1" t="s">
        <v>27</v>
      </c>
      <c r="C4860" s="1" t="s">
        <v>25461</v>
      </c>
      <c r="D4860" s="1" t="s">
        <v>25462</v>
      </c>
      <c r="E4860" s="1" t="s">
        <v>25463</v>
      </c>
      <c r="F4860" s="1" t="s">
        <v>30</v>
      </c>
      <c r="G4860" s="7">
        <v>43237.0</v>
      </c>
      <c r="H4860" s="1">
        <v>2007.0</v>
      </c>
      <c r="I4860" s="1" t="s">
        <v>42</v>
      </c>
      <c r="J4860" s="1" t="s">
        <v>1191</v>
      </c>
      <c r="K4860" s="1" t="s">
        <v>1839</v>
      </c>
      <c r="L4860" s="1" t="s">
        <v>25464</v>
      </c>
      <c r="M4860" s="2" t="s">
        <v>12</v>
      </c>
      <c r="N4860" s="4">
        <f t="shared" si="1"/>
        <v>43237</v>
      </c>
      <c r="O4860" s="5" t="str">
        <f>IFERROR(__xludf.DUMMYFUNCTION("IF(REGEXMATCH(TRIM(I4860), ""^\d+\s*min""), ""Unclassified"", IF(I4860 = """", ""NR"", I4860))"),"TV-MA")</f>
        <v>TV-MA</v>
      </c>
      <c r="R4860" s="5" t="str">
        <f t="shared" si="2"/>
        <v>Katt Williams: American Hustle (The Movie)</v>
      </c>
      <c r="S4860" s="5" t="str">
        <f>IFERROR(__xludf.DUMMYFUNCTION("""COMPUTED_VALUE"""),"My Dear Warrior")</f>
        <v>My Dear Warrior</v>
      </c>
      <c r="V4860" s="5"/>
      <c r="Y4860" s="5" t="str">
        <f>IFERROR(__xludf.DUMMYFUNCTION("REGEXEXTRACT(J4860, ""^\d+"")"),"89")</f>
        <v>89</v>
      </c>
      <c r="Z4860" s="5" t="str">
        <f>IFERROR(__xludf.DUMMYFUNCTION("REGEXEXTRACT(J4860, ""[A-Za-z ]+$"")")," min")</f>
        <v> min</v>
      </c>
      <c r="AA4860" s="5" t="str">
        <f>IFERROR(__xludf.DUMMYFUNCTION("IF(REGEXMATCH(Z4860, ""Season""), ""TV Show"", ""Movie"")"),"Movie")</f>
        <v>Movie</v>
      </c>
    </row>
    <row r="4861">
      <c r="A4861" s="1" t="s">
        <v>25465</v>
      </c>
      <c r="B4861" s="1" t="s">
        <v>27</v>
      </c>
      <c r="C4861" s="1" t="s">
        <v>25466</v>
      </c>
      <c r="D4861" s="1" t="s">
        <v>15493</v>
      </c>
      <c r="F4861" s="1" t="s">
        <v>25467</v>
      </c>
      <c r="G4861" s="7">
        <v>43236.0</v>
      </c>
      <c r="H4861" s="1">
        <v>2017.0</v>
      </c>
      <c r="I4861" s="1" t="s">
        <v>42</v>
      </c>
      <c r="J4861" s="1" t="s">
        <v>2636</v>
      </c>
      <c r="K4861" s="1" t="s">
        <v>156</v>
      </c>
      <c r="L4861" s="1" t="s">
        <v>25468</v>
      </c>
      <c r="M4861" s="2" t="s">
        <v>12</v>
      </c>
      <c r="N4861" s="4">
        <f t="shared" si="1"/>
        <v>43236</v>
      </c>
      <c r="O4861" s="5" t="str">
        <f>IFERROR(__xludf.DUMMYFUNCTION("IF(REGEXMATCH(TRIM(I4861), ""^\d+\s*min""), ""Unclassified"", IF(I4861 = """", ""NR"", I4861))"),"TV-MA")</f>
        <v>TV-MA</v>
      </c>
      <c r="R4861" s="5" t="str">
        <f t="shared" si="2"/>
        <v>Food On The Go</v>
      </c>
      <c r="S4861" s="5" t="str">
        <f>IFERROR(__xludf.DUMMYFUNCTION("""COMPUTED_VALUE"""),"My Dog Is My Guide")</f>
        <v>My Dog Is My Guide</v>
      </c>
      <c r="V4861" s="5"/>
      <c r="Y4861" s="5" t="str">
        <f>IFERROR(__xludf.DUMMYFUNCTION("REGEXEXTRACT(J4861, ""^\d+"")"),"66")</f>
        <v>66</v>
      </c>
      <c r="Z4861" s="5" t="str">
        <f>IFERROR(__xludf.DUMMYFUNCTION("REGEXEXTRACT(J4861, ""[A-Za-z ]+$"")")," min")</f>
        <v> min</v>
      </c>
      <c r="AA4861" s="5" t="str">
        <f>IFERROR(__xludf.DUMMYFUNCTION("IF(REGEXMATCH(Z4861, ""Season""), ""TV Show"", ""Movie"")"),"Movie")</f>
        <v>Movie</v>
      </c>
    </row>
    <row r="4862">
      <c r="A4862" s="1" t="s">
        <v>25469</v>
      </c>
      <c r="B4862" s="1" t="s">
        <v>27</v>
      </c>
      <c r="C4862" s="1" t="s">
        <v>25470</v>
      </c>
      <c r="D4862" s="1" t="s">
        <v>13009</v>
      </c>
      <c r="E4862" s="1" t="s">
        <v>25471</v>
      </c>
      <c r="F4862" s="1" t="s">
        <v>63</v>
      </c>
      <c r="G4862" s="7">
        <v>43235.0</v>
      </c>
      <c r="H4862" s="1">
        <v>2018.0</v>
      </c>
      <c r="I4862" s="1" t="s">
        <v>42</v>
      </c>
      <c r="J4862" s="1" t="s">
        <v>6611</v>
      </c>
      <c r="K4862" s="1" t="s">
        <v>306</v>
      </c>
      <c r="L4862" s="1" t="s">
        <v>25472</v>
      </c>
      <c r="M4862" s="2" t="s">
        <v>12</v>
      </c>
      <c r="N4862" s="4">
        <f t="shared" si="1"/>
        <v>43235</v>
      </c>
      <c r="O4862" s="5" t="str">
        <f>IFERROR(__xludf.DUMMYFUNCTION("IF(REGEXMATCH(TRIM(I4862), ""^\d+\s*min""), ""Unclassified"", IF(I4862 = """", ""NR"", I4862))"),"TV-MA")</f>
        <v>TV-MA</v>
      </c>
      <c r="R4862" s="5" t="str">
        <f t="shared" si="2"/>
        <v>Aiyaary</v>
      </c>
      <c r="S4862" s="5" t="str">
        <f>IFERROR(__xludf.DUMMYFUNCTION("""COMPUTED_VALUE"""),"My Entire High School Sinking Into The Sea")</f>
        <v>My Entire High School Sinking Into The Sea</v>
      </c>
      <c r="V4862" s="5"/>
      <c r="Y4862" s="5" t="str">
        <f>IFERROR(__xludf.DUMMYFUNCTION("REGEXEXTRACT(J4862, ""^\d+"")"),"158")</f>
        <v>158</v>
      </c>
      <c r="Z4862" s="5" t="str">
        <f>IFERROR(__xludf.DUMMYFUNCTION("REGEXEXTRACT(J4862, ""[A-Za-z ]+$"")")," min")</f>
        <v> min</v>
      </c>
      <c r="AA4862" s="5" t="str">
        <f>IFERROR(__xludf.DUMMYFUNCTION("IF(REGEXMATCH(Z4862, ""Season""), ""TV Show"", ""Movie"")"),"Movie")</f>
        <v>Movie</v>
      </c>
    </row>
    <row r="4863">
      <c r="A4863" s="1" t="s">
        <v>25473</v>
      </c>
      <c r="B4863" s="1" t="s">
        <v>27</v>
      </c>
      <c r="C4863" s="1" t="s">
        <v>25474</v>
      </c>
      <c r="D4863" s="1" t="s">
        <v>9167</v>
      </c>
      <c r="E4863" s="1" t="s">
        <v>25475</v>
      </c>
      <c r="F4863" s="1" t="s">
        <v>415</v>
      </c>
      <c r="G4863" s="7">
        <v>43235.0</v>
      </c>
      <c r="H4863" s="1">
        <v>1979.0</v>
      </c>
      <c r="I4863" s="1" t="s">
        <v>32</v>
      </c>
      <c r="J4863" s="1" t="s">
        <v>433</v>
      </c>
      <c r="K4863" s="1" t="s">
        <v>4236</v>
      </c>
      <c r="L4863" s="1" t="s">
        <v>25476</v>
      </c>
      <c r="M4863" s="2" t="s">
        <v>12</v>
      </c>
      <c r="N4863" s="4">
        <f t="shared" si="1"/>
        <v>43235</v>
      </c>
      <c r="O4863" s="5" t="str">
        <f>IFERROR(__xludf.DUMMYFUNCTION("IF(REGEXMATCH(TRIM(I4863), ""^\d+\s*min""), ""Unclassified"", IF(I4863 = """", ""NR"", I4863))"),"PG-13")</f>
        <v>PG-13</v>
      </c>
      <c r="R4863" s="5" t="str">
        <f t="shared" si="2"/>
        <v>Lupin The 3Rd: The Castle Of Cagliostro: Special Edition</v>
      </c>
      <c r="S4863" s="5" t="str">
        <f>IFERROR(__xludf.DUMMYFUNCTION("""COMPUTED_VALUE"""),"My Ex &amp; Whys")</f>
        <v>My Ex &amp; Whys</v>
      </c>
      <c r="V4863" s="5"/>
      <c r="Y4863" s="5" t="str">
        <f>IFERROR(__xludf.DUMMYFUNCTION("REGEXEXTRACT(J4863, ""^\d+"")"),"100")</f>
        <v>100</v>
      </c>
      <c r="Z4863" s="5" t="str">
        <f>IFERROR(__xludf.DUMMYFUNCTION("REGEXEXTRACT(J4863, ""[A-Za-z ]+$"")")," min")</f>
        <v> min</v>
      </c>
      <c r="AA4863" s="5" t="str">
        <f>IFERROR(__xludf.DUMMYFUNCTION("IF(REGEXMATCH(Z4863, ""Season""), ""TV Show"", ""Movie"")"),"Movie")</f>
        <v>Movie</v>
      </c>
    </row>
    <row r="4864">
      <c r="A4864" s="1" t="s">
        <v>25477</v>
      </c>
      <c r="B4864" s="1" t="s">
        <v>37</v>
      </c>
      <c r="C4864" s="1" t="s">
        <v>25478</v>
      </c>
      <c r="E4864" s="1" t="s">
        <v>25479</v>
      </c>
      <c r="F4864" s="1" t="s">
        <v>415</v>
      </c>
      <c r="G4864" s="7">
        <v>43235.0</v>
      </c>
      <c r="H4864" s="1">
        <v>2009.0</v>
      </c>
      <c r="I4864" s="1" t="s">
        <v>42</v>
      </c>
      <c r="J4864" s="1" t="s">
        <v>51</v>
      </c>
      <c r="K4864" s="1" t="s">
        <v>567</v>
      </c>
      <c r="L4864" s="1" t="s">
        <v>25480</v>
      </c>
      <c r="M4864" s="2" t="s">
        <v>12</v>
      </c>
      <c r="N4864" s="4">
        <f t="shared" si="1"/>
        <v>43235</v>
      </c>
      <c r="O4864" s="5" t="str">
        <f>IFERROR(__xludf.DUMMYFUNCTION("IF(REGEXMATCH(TRIM(I4864), ""^\d+\s*min""), ""Unclassified"", IF(I4864 = """", ""NR"", I4864))"),"TV-MA")</f>
        <v>TV-MA</v>
      </c>
      <c r="R4864" s="5" t="str">
        <f t="shared" si="2"/>
        <v>Saint Seiya: The Lost Canvas</v>
      </c>
      <c r="S4864" s="5" t="str">
        <f>IFERROR(__xludf.DUMMYFUNCTION("""COMPUTED_VALUE"""),"My Ex-Ex")</f>
        <v>My Ex-Ex</v>
      </c>
      <c r="V4864" s="5"/>
      <c r="Y4864" s="5" t="str">
        <f>IFERROR(__xludf.DUMMYFUNCTION("REGEXEXTRACT(J4864, ""^\d+"")"),"1")</f>
        <v>1</v>
      </c>
      <c r="Z4864" s="5" t="str">
        <f>IFERROR(__xludf.DUMMYFUNCTION("REGEXEXTRACT(J4864, ""[A-Za-z ]+$"")")," Season")</f>
        <v> Season</v>
      </c>
      <c r="AA4864" s="5" t="str">
        <f>IFERROR(__xludf.DUMMYFUNCTION("IF(REGEXMATCH(Z4864, ""Season""), ""TV Show"", ""Movie"")"),"TV Show")</f>
        <v>TV Show</v>
      </c>
    </row>
    <row r="4865">
      <c r="A4865" s="1" t="s">
        <v>25481</v>
      </c>
      <c r="B4865" s="1" t="s">
        <v>27</v>
      </c>
      <c r="C4865" s="1" t="s">
        <v>25482</v>
      </c>
      <c r="D4865" s="1" t="s">
        <v>10401</v>
      </c>
      <c r="E4865" s="1" t="s">
        <v>25483</v>
      </c>
      <c r="F4865" s="1" t="s">
        <v>30</v>
      </c>
      <c r="G4865" s="7">
        <v>43233.0</v>
      </c>
      <c r="H4865" s="1">
        <v>2018.0</v>
      </c>
      <c r="I4865" s="1" t="s">
        <v>42</v>
      </c>
      <c r="J4865" s="1" t="s">
        <v>1838</v>
      </c>
      <c r="K4865" s="1" t="s">
        <v>1839</v>
      </c>
      <c r="L4865" s="1" t="s">
        <v>25484</v>
      </c>
      <c r="M4865" s="2" t="s">
        <v>12</v>
      </c>
      <c r="N4865" s="4">
        <f t="shared" si="1"/>
        <v>43233</v>
      </c>
      <c r="O4865" s="5" t="str">
        <f>IFERROR(__xludf.DUMMYFUNCTION("IF(REGEXMATCH(TRIM(I4865), ""^\d+\s*min""), ""Unclassified"", IF(I4865 = """", ""NR"", I4865))"),"TV-MA")</f>
        <v>TV-MA</v>
      </c>
      <c r="R4865" s="5" t="str">
        <f t="shared" si="2"/>
        <v>Ali Wong: Hard Knock Wife</v>
      </c>
      <c r="S4865" s="5" t="str">
        <f>IFERROR(__xludf.DUMMYFUNCTION("""COMPUTED_VALUE"""),"My Fair Lady")</f>
        <v>My Fair Lady</v>
      </c>
      <c r="V4865" s="5"/>
      <c r="Y4865" s="5" t="str">
        <f>IFERROR(__xludf.DUMMYFUNCTION("REGEXEXTRACT(J4865, ""^\d+"")"),"64")</f>
        <v>64</v>
      </c>
      <c r="Z4865" s="5" t="str">
        <f>IFERROR(__xludf.DUMMYFUNCTION("REGEXEXTRACT(J4865, ""[A-Za-z ]+$"")")," min")</f>
        <v> min</v>
      </c>
      <c r="AA4865" s="5" t="str">
        <f>IFERROR(__xludf.DUMMYFUNCTION("IF(REGEXMATCH(Z4865, ""Season""), ""TV Show"", ""Movie"")"),"Movie")</f>
        <v>Movie</v>
      </c>
    </row>
    <row r="4866">
      <c r="A4866" s="1" t="s">
        <v>25485</v>
      </c>
      <c r="B4866" s="1" t="s">
        <v>27</v>
      </c>
      <c r="C4866" s="1" t="s">
        <v>25486</v>
      </c>
      <c r="D4866" s="1" t="s">
        <v>2219</v>
      </c>
      <c r="E4866" s="1" t="s">
        <v>25487</v>
      </c>
      <c r="F4866" s="1" t="s">
        <v>30</v>
      </c>
      <c r="G4866" s="7">
        <v>43232.0</v>
      </c>
      <c r="H4866" s="1">
        <v>2017.0</v>
      </c>
      <c r="I4866" s="1" t="s">
        <v>42</v>
      </c>
      <c r="J4866" s="1" t="s">
        <v>665</v>
      </c>
      <c r="K4866" s="1" t="s">
        <v>1749</v>
      </c>
      <c r="L4866" s="1" t="s">
        <v>25488</v>
      </c>
      <c r="M4866" s="2" t="s">
        <v>12</v>
      </c>
      <c r="N4866" s="4">
        <f t="shared" si="1"/>
        <v>43232</v>
      </c>
      <c r="O4866" s="5" t="str">
        <f>IFERROR(__xludf.DUMMYFUNCTION("IF(REGEXMATCH(TRIM(I4866), ""^\d+\s*min""), ""Unclassified"", IF(I4866 = """", ""NR"", I4866))"),"TV-MA")</f>
        <v>TV-MA</v>
      </c>
      <c r="R4866" s="5" t="str">
        <f t="shared" si="2"/>
        <v>Spivak</v>
      </c>
      <c r="S4866" s="5" t="str">
        <f>IFERROR(__xludf.DUMMYFUNCTION("""COMPUTED_VALUE"""),"My First First Love")</f>
        <v>My First First Love</v>
      </c>
      <c r="V4866" s="5"/>
      <c r="Y4866" s="5" t="str">
        <f>IFERROR(__xludf.DUMMYFUNCTION("REGEXEXTRACT(J4866, ""^\d+"")"),"92")</f>
        <v>92</v>
      </c>
      <c r="Z4866" s="5" t="str">
        <f>IFERROR(__xludf.DUMMYFUNCTION("REGEXEXTRACT(J4866, ""[A-Za-z ]+$"")")," min")</f>
        <v> min</v>
      </c>
      <c r="AA4866" s="5" t="str">
        <f>IFERROR(__xludf.DUMMYFUNCTION("IF(REGEXMATCH(Z4866, ""Season""), ""TV Show"", ""Movie"")"),"Movie")</f>
        <v>Movie</v>
      </c>
    </row>
    <row r="4867">
      <c r="A4867" s="1" t="s">
        <v>25489</v>
      </c>
      <c r="B4867" s="1" t="s">
        <v>37</v>
      </c>
      <c r="C4867" s="1" t="s">
        <v>25490</v>
      </c>
      <c r="E4867" s="1" t="s">
        <v>25491</v>
      </c>
      <c r="F4867" s="1" t="s">
        <v>30</v>
      </c>
      <c r="G4867" s="7">
        <v>43231.0</v>
      </c>
      <c r="H4867" s="1">
        <v>2018.0</v>
      </c>
      <c r="I4867" s="1" t="s">
        <v>97</v>
      </c>
      <c r="J4867" s="1" t="s">
        <v>276</v>
      </c>
      <c r="K4867" s="1" t="s">
        <v>10491</v>
      </c>
      <c r="L4867" s="1" t="s">
        <v>25492</v>
      </c>
      <c r="M4867" s="2" t="s">
        <v>12</v>
      </c>
      <c r="N4867" s="4">
        <f t="shared" si="1"/>
        <v>43231</v>
      </c>
      <c r="O4867" s="5" t="str">
        <f>IFERROR(__xludf.DUMMYFUNCTION("IF(REGEXMATCH(TRIM(I4867), ""^\d+\s*min""), ""Unclassified"", IF(I4867 = """", ""NR"", I4867))"),"TV-14")</f>
        <v>TV-14</v>
      </c>
      <c r="R4867" s="5" t="str">
        <f t="shared" si="2"/>
        <v>Bill Nye Saves The World</v>
      </c>
      <c r="S4867" s="5" t="str">
        <f>IFERROR(__xludf.DUMMYFUNCTION("""COMPUTED_VALUE"""),"My Friend Pinto")</f>
        <v>My Friend Pinto</v>
      </c>
      <c r="V4867" s="5"/>
      <c r="Y4867" s="5" t="str">
        <f>IFERROR(__xludf.DUMMYFUNCTION("REGEXEXTRACT(J4867, ""^\d+"")"),"3")</f>
        <v>3</v>
      </c>
      <c r="Z4867" s="5" t="str">
        <f>IFERROR(__xludf.DUMMYFUNCTION("REGEXEXTRACT(J4867, ""[A-Za-z ]+$"")")," Seasons")</f>
        <v> Seasons</v>
      </c>
      <c r="AA4867" s="5" t="str">
        <f>IFERROR(__xludf.DUMMYFUNCTION("IF(REGEXMATCH(Z4867, ""Season""), ""TV Show"", ""Movie"")"),"TV Show")</f>
        <v>TV Show</v>
      </c>
    </row>
    <row r="4868">
      <c r="A4868" s="1" t="s">
        <v>25493</v>
      </c>
      <c r="B4868" s="1" t="s">
        <v>27</v>
      </c>
      <c r="C4868" s="1" t="s">
        <v>25494</v>
      </c>
      <c r="D4868" s="1" t="s">
        <v>18885</v>
      </c>
      <c r="E4868" s="1" t="s">
        <v>25495</v>
      </c>
      <c r="F4868" s="1" t="s">
        <v>162</v>
      </c>
      <c r="G4868" s="7">
        <v>43231.0</v>
      </c>
      <c r="H4868" s="1">
        <v>2018.0</v>
      </c>
      <c r="I4868" s="1" t="s">
        <v>42</v>
      </c>
      <c r="J4868" s="1" t="s">
        <v>919</v>
      </c>
      <c r="K4868" s="1" t="s">
        <v>1839</v>
      </c>
      <c r="L4868" s="1" t="s">
        <v>25496</v>
      </c>
      <c r="M4868" s="2" t="s">
        <v>12</v>
      </c>
      <c r="N4868" s="4">
        <f t="shared" si="1"/>
        <v>43231</v>
      </c>
      <c r="O4868" s="5" t="str">
        <f>IFERROR(__xludf.DUMMYFUNCTION("IF(REGEXMATCH(TRIM(I4868), ""^\d+\s*min""), ""Unclassified"", IF(I4868 = """", ""NR"", I4868))"),"TV-MA")</f>
        <v>TV-MA</v>
      </c>
      <c r="R4868" s="5" t="str">
        <f t="shared" si="2"/>
        <v>Carlos Ballarta: Furia Ñera</v>
      </c>
      <c r="S4868" s="5" t="str">
        <f>IFERROR(__xludf.DUMMYFUNCTION("""COMPUTED_VALUE"""),"My Fuhrer")</f>
        <v>My Fuhrer</v>
      </c>
      <c r="V4868" s="5"/>
      <c r="Y4868" s="5" t="str">
        <f>IFERROR(__xludf.DUMMYFUNCTION("REGEXEXTRACT(J4868, ""^\d+"")"),"63")</f>
        <v>63</v>
      </c>
      <c r="Z4868" s="5" t="str">
        <f>IFERROR(__xludf.DUMMYFUNCTION("REGEXEXTRACT(J4868, ""[A-Za-z ]+$"")")," min")</f>
        <v> min</v>
      </c>
      <c r="AA4868" s="5" t="str">
        <f>IFERROR(__xludf.DUMMYFUNCTION("IF(REGEXMATCH(Z4868, ""Season""), ""TV Show"", ""Movie"")"),"Movie")</f>
        <v>Movie</v>
      </c>
    </row>
    <row r="4869">
      <c r="A4869" s="1" t="s">
        <v>25497</v>
      </c>
      <c r="B4869" s="1" t="s">
        <v>37</v>
      </c>
      <c r="C4869" s="1" t="s">
        <v>25498</v>
      </c>
      <c r="D4869" s="1" t="s">
        <v>22910</v>
      </c>
      <c r="F4869" s="1" t="s">
        <v>30</v>
      </c>
      <c r="G4869" s="7">
        <v>43231.0</v>
      </c>
      <c r="H4869" s="1">
        <v>2018.0</v>
      </c>
      <c r="I4869" s="1" t="s">
        <v>42</v>
      </c>
      <c r="J4869" s="1" t="s">
        <v>51</v>
      </c>
      <c r="K4869" s="1" t="s">
        <v>6503</v>
      </c>
      <c r="L4869" s="1" t="s">
        <v>25499</v>
      </c>
      <c r="M4869" s="2" t="s">
        <v>12</v>
      </c>
      <c r="N4869" s="4">
        <f t="shared" si="1"/>
        <v>43231</v>
      </c>
      <c r="O4869" s="5" t="str">
        <f>IFERROR(__xludf.DUMMYFUNCTION("IF(REGEXMATCH(TRIM(I4869), ""^\d+\s*min""), ""Unclassified"", IF(I4869 = """", ""NR"", I4869))"),"TV-MA")</f>
        <v>TV-MA</v>
      </c>
      <c r="R4869" s="5" t="str">
        <f t="shared" si="2"/>
        <v>Evil Genius</v>
      </c>
      <c r="S4869" s="5" t="str">
        <f>IFERROR(__xludf.DUMMYFUNCTION("""COMPUTED_VALUE"""),"My Girl")</f>
        <v>My Girl</v>
      </c>
      <c r="V4869" s="5"/>
      <c r="Y4869" s="5" t="str">
        <f>IFERROR(__xludf.DUMMYFUNCTION("REGEXEXTRACT(J4869, ""^\d+"")"),"1")</f>
        <v>1</v>
      </c>
      <c r="Z4869" s="5" t="str">
        <f>IFERROR(__xludf.DUMMYFUNCTION("REGEXEXTRACT(J4869, ""[A-Za-z ]+$"")")," Season")</f>
        <v> Season</v>
      </c>
      <c r="AA4869" s="5" t="str">
        <f>IFERROR(__xludf.DUMMYFUNCTION("IF(REGEXMATCH(Z4869, ""Season""), ""TV Show"", ""Movie"")"),"TV Show")</f>
        <v>TV Show</v>
      </c>
    </row>
    <row r="4870">
      <c r="A4870" s="1" t="s">
        <v>25500</v>
      </c>
      <c r="B4870" s="1" t="s">
        <v>27</v>
      </c>
      <c r="C4870" s="1" t="s">
        <v>25501</v>
      </c>
      <c r="D4870" s="1" t="s">
        <v>1876</v>
      </c>
      <c r="E4870" s="1" t="s">
        <v>25502</v>
      </c>
      <c r="F4870" s="1" t="s">
        <v>686</v>
      </c>
      <c r="G4870" s="7">
        <v>43231.0</v>
      </c>
      <c r="H4870" s="1">
        <v>2018.0</v>
      </c>
      <c r="I4870" s="1" t="s">
        <v>97</v>
      </c>
      <c r="J4870" s="1" t="s">
        <v>305</v>
      </c>
      <c r="K4870" s="1" t="s">
        <v>813</v>
      </c>
      <c r="L4870" s="1" t="s">
        <v>25503</v>
      </c>
      <c r="M4870" s="2" t="s">
        <v>12</v>
      </c>
      <c r="N4870" s="4">
        <f t="shared" si="1"/>
        <v>43231</v>
      </c>
      <c r="O4870" s="5" t="str">
        <f>IFERROR(__xludf.DUMMYFUNCTION("IF(REGEXMATCH(TRIM(I4870), ""^\d+\s*min""), ""Unclassified"", IF(I4870 = """", ""NR"", I4870))"),"TV-14")</f>
        <v>TV-14</v>
      </c>
      <c r="R4870" s="5" t="str">
        <f t="shared" si="2"/>
        <v>The Kissing Booth</v>
      </c>
      <c r="S4870" s="5" t="str">
        <f>IFERROR(__xludf.DUMMYFUNCTION("""COMPUTED_VALUE"""),"My Girl 2")</f>
        <v>My Girl 2</v>
      </c>
      <c r="V4870" s="5"/>
      <c r="Y4870" s="5" t="str">
        <f>IFERROR(__xludf.DUMMYFUNCTION("REGEXEXTRACT(J4870, ""^\d+"")"),"105")</f>
        <v>105</v>
      </c>
      <c r="Z4870" s="5" t="str">
        <f>IFERROR(__xludf.DUMMYFUNCTION("REGEXEXTRACT(J4870, ""[A-Za-z ]+$"")")," min")</f>
        <v> min</v>
      </c>
      <c r="AA4870" s="5" t="str">
        <f>IFERROR(__xludf.DUMMYFUNCTION("IF(REGEXMATCH(Z4870, ""Season""), ""TV Show"", ""Movie"")"),"Movie")</f>
        <v>Movie</v>
      </c>
    </row>
    <row r="4871">
      <c r="A4871" s="1" t="s">
        <v>25504</v>
      </c>
      <c r="B4871" s="1" t="s">
        <v>37</v>
      </c>
      <c r="C4871" s="1" t="s">
        <v>25505</v>
      </c>
      <c r="E4871" s="1" t="s">
        <v>25506</v>
      </c>
      <c r="F4871" s="1" t="s">
        <v>30</v>
      </c>
      <c r="G4871" s="7">
        <v>43231.0</v>
      </c>
      <c r="H4871" s="1">
        <v>2018.0</v>
      </c>
      <c r="I4871" s="1" t="s">
        <v>136</v>
      </c>
      <c r="J4871" s="1" t="s">
        <v>51</v>
      </c>
      <c r="K4871" s="1" t="s">
        <v>314</v>
      </c>
      <c r="L4871" s="1" t="s">
        <v>25507</v>
      </c>
      <c r="M4871" s="2" t="s">
        <v>12</v>
      </c>
      <c r="N4871" s="4">
        <f t="shared" si="1"/>
        <v>43231</v>
      </c>
      <c r="O4871" s="5" t="str">
        <f>IFERROR(__xludf.DUMMYFUNCTION("IF(REGEXMATCH(TRIM(I4871), ""^\d+\s*min""), ""Unclassified"", IF(I4871 = """", ""NR"", I4871))"),"TV-PG")</f>
        <v>TV-PG</v>
      </c>
      <c r="R4871" s="5" t="str">
        <f t="shared" si="2"/>
        <v>The Who Was? Show</v>
      </c>
      <c r="S4871" s="5" t="str">
        <f>IFERROR(__xludf.DUMMYFUNCTION("""COMPUTED_VALUE"""),"My Happy Family")</f>
        <v>My Happy Family</v>
      </c>
      <c r="V4871" s="5"/>
      <c r="Y4871" s="5" t="str">
        <f>IFERROR(__xludf.DUMMYFUNCTION("REGEXEXTRACT(J4871, ""^\d+"")"),"1")</f>
        <v>1</v>
      </c>
      <c r="Z4871" s="5" t="str">
        <f>IFERROR(__xludf.DUMMYFUNCTION("REGEXEXTRACT(J4871, ""[A-Za-z ]+$"")")," Season")</f>
        <v> Season</v>
      </c>
      <c r="AA4871" s="5" t="str">
        <f>IFERROR(__xludf.DUMMYFUNCTION("IF(REGEXMATCH(Z4871, ""Season""), ""TV Show"", ""Movie"")"),"TV Show")</f>
        <v>TV Show</v>
      </c>
    </row>
    <row r="4872">
      <c r="A4872" s="1" t="s">
        <v>25508</v>
      </c>
      <c r="B4872" s="1" t="s">
        <v>27</v>
      </c>
      <c r="C4872" s="1" t="s">
        <v>25509</v>
      </c>
      <c r="D4872" s="1" t="s">
        <v>3562</v>
      </c>
      <c r="E4872" s="1" t="s">
        <v>25510</v>
      </c>
      <c r="F4872" s="1" t="s">
        <v>30</v>
      </c>
      <c r="G4872" s="7">
        <v>43228.0</v>
      </c>
      <c r="H4872" s="1">
        <v>2018.0</v>
      </c>
      <c r="I4872" s="1" t="s">
        <v>42</v>
      </c>
      <c r="J4872" s="1" t="s">
        <v>155</v>
      </c>
      <c r="K4872" s="1" t="s">
        <v>1839</v>
      </c>
      <c r="L4872" s="1" t="s">
        <v>25511</v>
      </c>
      <c r="M4872" s="2" t="s">
        <v>12</v>
      </c>
      <c r="N4872" s="4">
        <f t="shared" si="1"/>
        <v>43228</v>
      </c>
      <c r="O4872" s="5" t="str">
        <f>IFERROR(__xludf.DUMMYFUNCTION("IF(REGEXMATCH(TRIM(I4872), ""^\d+\s*min""), ""Unclassified"", IF(I4872 = """", ""NR"", I4872))"),"TV-MA")</f>
        <v>TV-MA</v>
      </c>
      <c r="R4872" s="5" t="str">
        <f t="shared" si="2"/>
        <v>Hari Kondabolu: Warn Your Relatives</v>
      </c>
      <c r="S4872" s="5" t="str">
        <f>IFERROR(__xludf.DUMMYFUNCTION("""COMPUTED_VALUE"""),"My Heroes Were Cowboys")</f>
        <v>My Heroes Were Cowboys</v>
      </c>
      <c r="V4872" s="5"/>
      <c r="Y4872" s="5" t="str">
        <f>IFERROR(__xludf.DUMMYFUNCTION("REGEXEXTRACT(J4872, ""^\d+"")"),"67")</f>
        <v>67</v>
      </c>
      <c r="Z4872" s="5" t="str">
        <f>IFERROR(__xludf.DUMMYFUNCTION("REGEXEXTRACT(J4872, ""[A-Za-z ]+$"")")," min")</f>
        <v> min</v>
      </c>
      <c r="AA4872" s="5" t="str">
        <f>IFERROR(__xludf.DUMMYFUNCTION("IF(REGEXMATCH(Z4872, ""Season""), ""TV Show"", ""Movie"")"),"Movie")</f>
        <v>Movie</v>
      </c>
    </row>
    <row r="4873">
      <c r="A4873" s="1" t="s">
        <v>25512</v>
      </c>
      <c r="B4873" s="1" t="s">
        <v>27</v>
      </c>
      <c r="C4873" s="1" t="s">
        <v>25513</v>
      </c>
      <c r="D4873" s="1" t="s">
        <v>5471</v>
      </c>
      <c r="E4873" s="1" t="s">
        <v>25514</v>
      </c>
      <c r="F4873" s="1" t="s">
        <v>2492</v>
      </c>
      <c r="G4873" s="7">
        <v>43227.0</v>
      </c>
      <c r="H4873" s="1">
        <v>2007.0</v>
      </c>
      <c r="I4873" s="1" t="s">
        <v>97</v>
      </c>
      <c r="J4873" s="1" t="s">
        <v>79</v>
      </c>
      <c r="K4873" s="1" t="s">
        <v>199</v>
      </c>
      <c r="L4873" s="1" t="s">
        <v>25515</v>
      </c>
      <c r="M4873" s="2" t="s">
        <v>12</v>
      </c>
      <c r="N4873" s="4">
        <f t="shared" si="1"/>
        <v>43227</v>
      </c>
      <c r="O4873" s="5" t="str">
        <f>IFERROR(__xludf.DUMMYFUNCTION("IF(REGEXMATCH(TRIM(I4873), ""^\d+\s*min""), ""Unclassified"", IF(I4873 = """", ""NR"", I4873))"),"TV-14")</f>
        <v>TV-14</v>
      </c>
      <c r="R4873" s="5" t="str">
        <f t="shared" si="2"/>
        <v>My Fuhrer</v>
      </c>
      <c r="S4873" s="5" t="str">
        <f>IFERROR(__xludf.DUMMYFUNCTION("""COMPUTED_VALUE"""),"My Holo Love")</f>
        <v>My Holo Love</v>
      </c>
      <c r="V4873" s="5"/>
      <c r="Y4873" s="5" t="str">
        <f>IFERROR(__xludf.DUMMYFUNCTION("REGEXEXTRACT(J4873, ""^\d+"")"),"91")</f>
        <v>91</v>
      </c>
      <c r="Z4873" s="5" t="str">
        <f>IFERROR(__xludf.DUMMYFUNCTION("REGEXEXTRACT(J4873, ""[A-Za-z ]+$"")")," min")</f>
        <v> min</v>
      </c>
      <c r="AA4873" s="5" t="str">
        <f>IFERROR(__xludf.DUMMYFUNCTION("IF(REGEXMATCH(Z4873, ""Season""), ""TV Show"", ""Movie"")"),"Movie")</f>
        <v>Movie</v>
      </c>
    </row>
    <row r="4874">
      <c r="A4874" s="1" t="s">
        <v>25516</v>
      </c>
      <c r="B4874" s="1" t="s">
        <v>27</v>
      </c>
      <c r="C4874" s="1" t="s">
        <v>25517</v>
      </c>
      <c r="D4874" s="1" t="s">
        <v>21335</v>
      </c>
      <c r="E4874" s="1" t="s">
        <v>25518</v>
      </c>
      <c r="F4874" s="1" t="s">
        <v>30</v>
      </c>
      <c r="G4874" s="7">
        <v>43225.0</v>
      </c>
      <c r="H4874" s="1">
        <v>2018.0</v>
      </c>
      <c r="I4874" s="1" t="s">
        <v>42</v>
      </c>
      <c r="J4874" s="1" t="s">
        <v>665</v>
      </c>
      <c r="K4874" s="1" t="s">
        <v>1551</v>
      </c>
      <c r="L4874" s="1" t="s">
        <v>25519</v>
      </c>
      <c r="M4874" s="2" t="s">
        <v>12</v>
      </c>
      <c r="N4874" s="4">
        <f t="shared" si="1"/>
        <v>43225</v>
      </c>
      <c r="O4874" s="5" t="str">
        <f>IFERROR(__xludf.DUMMYFUNCTION("IF(REGEXMATCH(TRIM(I4874), ""^\d+\s*min""), ""Unclassified"", IF(I4874 = """", ""NR"", I4874))"),"TV-MA")</f>
        <v>TV-MA</v>
      </c>
      <c r="R4874" s="5" t="str">
        <f t="shared" si="2"/>
        <v>Family Blood</v>
      </c>
      <c r="S4874" s="5" t="str">
        <f>IFERROR(__xludf.DUMMYFUNCTION("""COMPUTED_VALUE"""),"My Honor Was Loyalty")</f>
        <v>My Honor Was Loyalty</v>
      </c>
      <c r="V4874" s="5"/>
      <c r="Y4874" s="5" t="str">
        <f>IFERROR(__xludf.DUMMYFUNCTION("REGEXEXTRACT(J4874, ""^\d+"")"),"92")</f>
        <v>92</v>
      </c>
      <c r="Z4874" s="5" t="str">
        <f>IFERROR(__xludf.DUMMYFUNCTION("REGEXEXTRACT(J4874, ""[A-Za-z ]+$"")")," min")</f>
        <v> min</v>
      </c>
      <c r="AA4874" s="5" t="str">
        <f>IFERROR(__xludf.DUMMYFUNCTION("IF(REGEXMATCH(Z4874, ""Season""), ""TV Show"", ""Movie"")"),"Movie")</f>
        <v>Movie</v>
      </c>
    </row>
    <row r="4875">
      <c r="A4875" s="1" t="s">
        <v>25520</v>
      </c>
      <c r="B4875" s="1" t="s">
        <v>27</v>
      </c>
      <c r="C4875" s="1" t="s">
        <v>25521</v>
      </c>
      <c r="D4875" s="1" t="s">
        <v>19533</v>
      </c>
      <c r="E4875" s="1" t="s">
        <v>25522</v>
      </c>
      <c r="F4875" s="1" t="s">
        <v>25523</v>
      </c>
      <c r="G4875" s="7">
        <v>43225.0</v>
      </c>
      <c r="H4875" s="1">
        <v>2018.0</v>
      </c>
      <c r="I4875" s="1" t="s">
        <v>770</v>
      </c>
      <c r="J4875" s="1" t="s">
        <v>630</v>
      </c>
      <c r="K4875" s="1" t="s">
        <v>1662</v>
      </c>
      <c r="L4875" s="1" t="s">
        <v>25524</v>
      </c>
      <c r="M4875" s="2" t="s">
        <v>12</v>
      </c>
      <c r="N4875" s="4">
        <f t="shared" si="1"/>
        <v>43225</v>
      </c>
      <c r="O4875" s="5" t="str">
        <f>IFERROR(__xludf.DUMMYFUNCTION("IF(REGEXMATCH(TRIM(I4875), ""^\d+\s*min""), ""Unclassified"", IF(I4875 = """", ""NR"", I4875))"),"G")</f>
        <v>G</v>
      </c>
      <c r="R4875" s="5" t="str">
        <f t="shared" si="2"/>
        <v>Pup Star: World Tour</v>
      </c>
      <c r="S4875" s="5" t="str">
        <f>IFERROR(__xludf.DUMMYFUNCTION("""COMPUTED_VALUE"""),"My Horrible Grandma")</f>
        <v>My Horrible Grandma</v>
      </c>
      <c r="V4875" s="5"/>
      <c r="Y4875" s="5" t="str">
        <f>IFERROR(__xludf.DUMMYFUNCTION("REGEXEXTRACT(J4875, ""^\d+"")"),"87")</f>
        <v>87</v>
      </c>
      <c r="Z4875" s="5" t="str">
        <f>IFERROR(__xludf.DUMMYFUNCTION("REGEXEXTRACT(J4875, ""[A-Za-z ]+$"")")," min")</f>
        <v> min</v>
      </c>
      <c r="AA4875" s="5" t="str">
        <f>IFERROR(__xludf.DUMMYFUNCTION("IF(REGEXMATCH(Z4875, ""Season""), ""TV Show"", ""Movie"")"),"Movie")</f>
        <v>Movie</v>
      </c>
    </row>
    <row r="4876">
      <c r="A4876" s="1" t="s">
        <v>25525</v>
      </c>
      <c r="B4876" s="1" t="s">
        <v>37</v>
      </c>
      <c r="C4876" s="1" t="s">
        <v>25526</v>
      </c>
      <c r="E4876" s="1" t="s">
        <v>25527</v>
      </c>
      <c r="F4876" s="1" t="s">
        <v>30</v>
      </c>
      <c r="G4876" s="7">
        <v>43224.0</v>
      </c>
      <c r="H4876" s="1">
        <v>2018.0</v>
      </c>
      <c r="I4876" s="1" t="s">
        <v>506</v>
      </c>
      <c r="J4876" s="1" t="s">
        <v>51</v>
      </c>
      <c r="K4876" s="1" t="s">
        <v>2512</v>
      </c>
      <c r="L4876" s="1" t="s">
        <v>25528</v>
      </c>
      <c r="M4876" s="2" t="s">
        <v>12</v>
      </c>
      <c r="N4876" s="4">
        <f t="shared" si="1"/>
        <v>43224</v>
      </c>
      <c r="O4876" s="5" t="str">
        <f>IFERROR(__xludf.DUMMYFUNCTION("IF(REGEXMATCH(TRIM(I4876), ""^\d+\s*min""), ""Unclassified"", IF(I4876 = """", ""NR"", I4876))"),"TV-G")</f>
        <v>TV-G</v>
      </c>
      <c r="R4876" s="5" t="str">
        <f t="shared" si="2"/>
        <v>A Little Help With Carol Burnett</v>
      </c>
      <c r="S4876" s="5" t="str">
        <f>IFERROR(__xludf.DUMMYFUNCTION("""COMPUTED_VALUE"""),"My Hotter Half")</f>
        <v>My Hotter Half</v>
      </c>
      <c r="V4876" s="5"/>
      <c r="Y4876" s="5" t="str">
        <f>IFERROR(__xludf.DUMMYFUNCTION("REGEXEXTRACT(J4876, ""^\d+"")"),"1")</f>
        <v>1</v>
      </c>
      <c r="Z4876" s="5" t="str">
        <f>IFERROR(__xludf.DUMMYFUNCTION("REGEXEXTRACT(J4876, ""[A-Za-z ]+$"")")," Season")</f>
        <v> Season</v>
      </c>
      <c r="AA4876" s="5" t="str">
        <f>IFERROR(__xludf.DUMMYFUNCTION("IF(REGEXMATCH(Z4876, ""Season""), ""TV Show"", ""Movie"")"),"TV Show")</f>
        <v>TV Show</v>
      </c>
    </row>
    <row r="4877">
      <c r="A4877" s="1" t="s">
        <v>25529</v>
      </c>
      <c r="B4877" s="1" t="s">
        <v>27</v>
      </c>
      <c r="C4877" s="1" t="s">
        <v>25530</v>
      </c>
      <c r="D4877" s="1" t="s">
        <v>1927</v>
      </c>
      <c r="E4877" s="1" t="s">
        <v>25531</v>
      </c>
      <c r="F4877" s="1" t="s">
        <v>25532</v>
      </c>
      <c r="G4877" s="7">
        <v>43224.0</v>
      </c>
      <c r="H4877" s="1">
        <v>2018.0</v>
      </c>
      <c r="I4877" s="1" t="s">
        <v>42</v>
      </c>
      <c r="J4877" s="1" t="s">
        <v>433</v>
      </c>
      <c r="K4877" s="1" t="s">
        <v>19093</v>
      </c>
      <c r="L4877" s="1" t="s">
        <v>25533</v>
      </c>
      <c r="M4877" s="2" t="s">
        <v>12</v>
      </c>
      <c r="N4877" s="4">
        <f t="shared" si="1"/>
        <v>43224</v>
      </c>
      <c r="O4877" s="5" t="str">
        <f>IFERROR(__xludf.DUMMYFUNCTION("IF(REGEXMATCH(TRIM(I4877), ""^\d+\s*min""), ""Unclassified"", IF(I4877 = """", ""NR"", I4877))"),"TV-MA")</f>
        <v>TV-MA</v>
      </c>
      <c r="R4877" s="5" t="str">
        <f t="shared" si="2"/>
        <v>Anon</v>
      </c>
      <c r="S4877" s="5" t="str">
        <f>IFERROR(__xludf.DUMMYFUNCTION("""COMPUTED_VALUE"""),"My Husband Won'T Fit")</f>
        <v>My Husband Won'T Fit</v>
      </c>
      <c r="V4877" s="5"/>
      <c r="Y4877" s="5" t="str">
        <f>IFERROR(__xludf.DUMMYFUNCTION("REGEXEXTRACT(J4877, ""^\d+"")"),"100")</f>
        <v>100</v>
      </c>
      <c r="Z4877" s="5" t="str">
        <f>IFERROR(__xludf.DUMMYFUNCTION("REGEXEXTRACT(J4877, ""[A-Za-z ]+$"")")," min")</f>
        <v> min</v>
      </c>
      <c r="AA4877" s="5" t="str">
        <f>IFERROR(__xludf.DUMMYFUNCTION("IF(REGEXMATCH(Z4877, ""Season""), ""TV Show"", ""Movie"")"),"Movie")</f>
        <v>Movie</v>
      </c>
    </row>
    <row r="4878">
      <c r="A4878" s="1" t="s">
        <v>25534</v>
      </c>
      <c r="B4878" s="1" t="s">
        <v>27</v>
      </c>
      <c r="C4878" s="1" t="s">
        <v>25535</v>
      </c>
      <c r="D4878" s="1" t="s">
        <v>9687</v>
      </c>
      <c r="E4878" s="1" t="s">
        <v>25536</v>
      </c>
      <c r="F4878" s="1" t="s">
        <v>664</v>
      </c>
      <c r="G4878" s="7">
        <v>43224.0</v>
      </c>
      <c r="H4878" s="1">
        <v>2018.0</v>
      </c>
      <c r="I4878" s="1" t="s">
        <v>42</v>
      </c>
      <c r="J4878" s="1" t="s">
        <v>519</v>
      </c>
      <c r="K4878" s="1" t="s">
        <v>1839</v>
      </c>
      <c r="L4878" s="1" t="s">
        <v>25537</v>
      </c>
      <c r="M4878" s="2" t="s">
        <v>12</v>
      </c>
      <c r="N4878" s="4">
        <f t="shared" si="1"/>
        <v>43224</v>
      </c>
      <c r="O4878" s="5" t="str">
        <f>IFERROR(__xludf.DUMMYFUNCTION("IF(REGEXMATCH(TRIM(I4878), ""^\d+\s*min""), ""Unclassified"", IF(I4878 = """", ""NR"", I4878))"),"TV-MA")</f>
        <v>TV-MA</v>
      </c>
      <c r="R4878" s="5" t="str">
        <f t="shared" si="2"/>
        <v>Dany Boon: Des Hauts De France</v>
      </c>
      <c r="S4878" s="5" t="str">
        <f>IFERROR(__xludf.DUMMYFUNCTION("""COMPUTED_VALUE"""),"My Life As A Zucchini")</f>
        <v>My Life As A Zucchini</v>
      </c>
      <c r="V4878" s="5"/>
      <c r="Y4878" s="5" t="str">
        <f>IFERROR(__xludf.DUMMYFUNCTION("REGEXEXTRACT(J4878, ""^\d+"")"),"113")</f>
        <v>113</v>
      </c>
      <c r="Z4878" s="5" t="str">
        <f>IFERROR(__xludf.DUMMYFUNCTION("REGEXEXTRACT(J4878, ""[A-Za-z ]+$"")")," min")</f>
        <v> min</v>
      </c>
      <c r="AA4878" s="5" t="str">
        <f>IFERROR(__xludf.DUMMYFUNCTION("IF(REGEXMATCH(Z4878, ""Season""), ""TV Show"", ""Movie"")"),"Movie")</f>
        <v>Movie</v>
      </c>
    </row>
    <row r="4879">
      <c r="A4879" s="1" t="s">
        <v>25538</v>
      </c>
      <c r="B4879" s="1" t="s">
        <v>27</v>
      </c>
      <c r="C4879" s="1" t="s">
        <v>25539</v>
      </c>
      <c r="D4879" s="1" t="s">
        <v>19320</v>
      </c>
      <c r="F4879" s="1" t="s">
        <v>30</v>
      </c>
      <c r="G4879" s="7">
        <v>43224.0</v>
      </c>
      <c r="H4879" s="1">
        <v>2018.0</v>
      </c>
      <c r="I4879" s="1" t="s">
        <v>136</v>
      </c>
      <c r="J4879" s="1" t="s">
        <v>18322</v>
      </c>
      <c r="K4879" s="1" t="s">
        <v>34</v>
      </c>
      <c r="L4879" s="1" t="s">
        <v>25540</v>
      </c>
      <c r="M4879" s="2" t="s">
        <v>12</v>
      </c>
      <c r="N4879" s="4">
        <f t="shared" si="1"/>
        <v>43224</v>
      </c>
      <c r="O4879" s="5" t="str">
        <f>IFERROR(__xludf.DUMMYFUNCTION("IF(REGEXMATCH(TRIM(I4879), ""^\d+\s*min""), ""Unclassified"", IF(I4879 = """", ""NR"", I4879))"),"TV-PG")</f>
        <v>TV-PG</v>
      </c>
      <c r="R4879" s="5" t="str">
        <f t="shared" si="2"/>
        <v>End Game</v>
      </c>
      <c r="S4879" s="5" t="str">
        <f>IFERROR(__xludf.DUMMYFUNCTION("""COMPUTED_VALUE"""),"My Life My Story")</f>
        <v>My Life My Story</v>
      </c>
      <c r="V4879" s="5"/>
      <c r="Y4879" s="5" t="str">
        <f>IFERROR(__xludf.DUMMYFUNCTION("REGEXEXTRACT(J4879, ""^\d+"")"),"40")</f>
        <v>40</v>
      </c>
      <c r="Z4879" s="5" t="str">
        <f>IFERROR(__xludf.DUMMYFUNCTION("REGEXEXTRACT(J4879, ""[A-Za-z ]+$"")")," min")</f>
        <v> min</v>
      </c>
      <c r="AA4879" s="5" t="str">
        <f>IFERROR(__xludf.DUMMYFUNCTION("IF(REGEXMATCH(Z4879, ""Season""), ""TV Show"", ""Movie"")"),"Movie")</f>
        <v>Movie</v>
      </c>
    </row>
    <row r="4880">
      <c r="A4880" s="1" t="s">
        <v>25541</v>
      </c>
      <c r="B4880" s="1" t="s">
        <v>27</v>
      </c>
      <c r="C4880" s="1" t="s">
        <v>25542</v>
      </c>
      <c r="D4880" s="1" t="s">
        <v>2372</v>
      </c>
      <c r="E4880" s="1" t="s">
        <v>25543</v>
      </c>
      <c r="F4880" s="1" t="s">
        <v>25544</v>
      </c>
      <c r="G4880" s="7">
        <v>43224.0</v>
      </c>
      <c r="H4880" s="1">
        <v>2018.0</v>
      </c>
      <c r="I4880" s="1" t="s">
        <v>42</v>
      </c>
      <c r="J4880" s="1" t="s">
        <v>305</v>
      </c>
      <c r="K4880" s="1" t="s">
        <v>128</v>
      </c>
      <c r="L4880" s="1" t="s">
        <v>25545</v>
      </c>
      <c r="M4880" s="2" t="s">
        <v>12</v>
      </c>
      <c r="N4880" s="4">
        <f t="shared" si="1"/>
        <v>43224</v>
      </c>
      <c r="O4880" s="5" t="str">
        <f>IFERROR(__xludf.DUMMYFUNCTION("IF(REGEXMATCH(TRIM(I4880), ""^\d+\s*min""), ""Unclassified"", IF(I4880 = """", ""NR"", I4880))"),"TV-MA")</f>
        <v>TV-MA</v>
      </c>
      <c r="R4880" s="5" t="str">
        <f t="shared" si="2"/>
        <v>Forgive Us Our Debts</v>
      </c>
      <c r="S4880" s="5" t="str">
        <f>IFERROR(__xludf.DUMMYFUNCTION("""COMPUTED_VALUE"""),"My Little Baby")</f>
        <v>My Little Baby</v>
      </c>
      <c r="V4880" s="5"/>
      <c r="Y4880" s="5" t="str">
        <f>IFERROR(__xludf.DUMMYFUNCTION("REGEXEXTRACT(J4880, ""^\d+"")"),"105")</f>
        <v>105</v>
      </c>
      <c r="Z4880" s="5" t="str">
        <f>IFERROR(__xludf.DUMMYFUNCTION("REGEXEXTRACT(J4880, ""[A-Za-z ]+$"")")," min")</f>
        <v> min</v>
      </c>
      <c r="AA4880" s="5" t="str">
        <f>IFERROR(__xludf.DUMMYFUNCTION("IF(REGEXMATCH(Z4880, ""Season""), ""TV Show"", ""Movie"")"),"Movie")</f>
        <v>Movie</v>
      </c>
    </row>
    <row r="4881">
      <c r="A4881" s="1" t="s">
        <v>25546</v>
      </c>
      <c r="B4881" s="1" t="s">
        <v>37</v>
      </c>
      <c r="C4881" s="1" t="s">
        <v>25547</v>
      </c>
      <c r="E4881" s="1" t="s">
        <v>25548</v>
      </c>
      <c r="F4881" s="1" t="s">
        <v>25549</v>
      </c>
      <c r="G4881" s="7">
        <v>43224.0</v>
      </c>
      <c r="H4881" s="1">
        <v>2018.0</v>
      </c>
      <c r="I4881" s="1" t="s">
        <v>289</v>
      </c>
      <c r="J4881" s="1" t="s">
        <v>43</v>
      </c>
      <c r="K4881" s="1" t="s">
        <v>290</v>
      </c>
      <c r="L4881" s="1" t="s">
        <v>25550</v>
      </c>
      <c r="M4881" s="2" t="s">
        <v>12</v>
      </c>
      <c r="N4881" s="4">
        <f t="shared" si="1"/>
        <v>43224</v>
      </c>
      <c r="O4881" s="5" t="str">
        <f>IFERROR(__xludf.DUMMYFUNCTION("IF(REGEXMATCH(TRIM(I4881), ""^\d+\s*min""), ""Unclassified"", IF(I4881 = """", ""NR"", I4881))"),"TV-Y7")</f>
        <v>TV-Y7</v>
      </c>
      <c r="R4881" s="5" t="str">
        <f t="shared" si="2"/>
        <v>Kong: King Of The Apes</v>
      </c>
      <c r="S4881" s="5" t="str">
        <f>IFERROR(__xludf.DUMMYFUNCTION("""COMPUTED_VALUE"""),"My Little Pony Equestria Girls: Forgotten Friendship")</f>
        <v>My Little Pony Equestria Girls: Forgotten Friendship</v>
      </c>
      <c r="V4881" s="5"/>
      <c r="Y4881" s="5" t="str">
        <f>IFERROR(__xludf.DUMMYFUNCTION("REGEXEXTRACT(J4881, ""^\d+"")"),"2")</f>
        <v>2</v>
      </c>
      <c r="Z4881" s="5" t="str">
        <f>IFERROR(__xludf.DUMMYFUNCTION("REGEXEXTRACT(J4881, ""[A-Za-z ]+$"")")," Seasons")</f>
        <v> Seasons</v>
      </c>
      <c r="AA4881" s="5" t="str">
        <f>IFERROR(__xludf.DUMMYFUNCTION("IF(REGEXMATCH(Z4881, ""Season""), ""TV Show"", ""Movie"")"),"TV Show")</f>
        <v>TV Show</v>
      </c>
    </row>
    <row r="4882">
      <c r="A4882" s="1" t="s">
        <v>25551</v>
      </c>
      <c r="B4882" s="1" t="s">
        <v>27</v>
      </c>
      <c r="C4882" s="1" t="s">
        <v>25552</v>
      </c>
      <c r="D4882" s="1" t="s">
        <v>19020</v>
      </c>
      <c r="E4882" s="1" t="s">
        <v>25553</v>
      </c>
      <c r="F4882" s="1" t="s">
        <v>162</v>
      </c>
      <c r="G4882" s="7">
        <v>43224.0</v>
      </c>
      <c r="H4882" s="1">
        <v>2018.0</v>
      </c>
      <c r="I4882" s="1" t="s">
        <v>97</v>
      </c>
      <c r="J4882" s="1" t="s">
        <v>170</v>
      </c>
      <c r="K4882" s="1" t="s">
        <v>215</v>
      </c>
      <c r="L4882" s="1" t="s">
        <v>25554</v>
      </c>
      <c r="M4882" s="2" t="s">
        <v>12</v>
      </c>
      <c r="N4882" s="4">
        <f t="shared" si="1"/>
        <v>43224</v>
      </c>
      <c r="O4882" s="5" t="str">
        <f>IFERROR(__xludf.DUMMYFUNCTION("IF(REGEXMATCH(TRIM(I4882), ""^\d+\s*min""), ""Unclassified"", IF(I4882 = """", ""NR"", I4882))"),"TV-14")</f>
        <v>TV-14</v>
      </c>
      <c r="R4882" s="5" t="str">
        <f t="shared" si="2"/>
        <v>Lo Más Sencillo Es Complicarlo Todo</v>
      </c>
      <c r="S4882" s="5" t="str">
        <f>IFERROR(__xludf.DUMMYFUNCTION("""COMPUTED_VALUE"""),"My Little Pony Equestria Girls: Friendship Games")</f>
        <v>My Little Pony Equestria Girls: Friendship Games</v>
      </c>
      <c r="V4882" s="5"/>
      <c r="Y4882" s="5" t="str">
        <f>IFERROR(__xludf.DUMMYFUNCTION("REGEXEXTRACT(J4882, ""^\d+"")"),"94")</f>
        <v>94</v>
      </c>
      <c r="Z4882" s="5" t="str">
        <f>IFERROR(__xludf.DUMMYFUNCTION("REGEXEXTRACT(J4882, ""[A-Za-z ]+$"")")," min")</f>
        <v> min</v>
      </c>
      <c r="AA4882" s="5" t="str">
        <f>IFERROR(__xludf.DUMMYFUNCTION("IF(REGEXMATCH(Z4882, ""Season""), ""TV Show"", ""Movie"")"),"Movie")</f>
        <v>Movie</v>
      </c>
    </row>
    <row r="4883">
      <c r="A4883" s="1" t="s">
        <v>25555</v>
      </c>
      <c r="B4883" s="1" t="s">
        <v>27</v>
      </c>
      <c r="C4883" s="1" t="s">
        <v>25556</v>
      </c>
      <c r="D4883" s="1" t="s">
        <v>11510</v>
      </c>
      <c r="E4883" s="1" t="s">
        <v>25557</v>
      </c>
      <c r="F4883" s="1" t="s">
        <v>1064</v>
      </c>
      <c r="G4883" s="7">
        <v>43224.0</v>
      </c>
      <c r="H4883" s="1">
        <v>2017.0</v>
      </c>
      <c r="I4883" s="1" t="s">
        <v>42</v>
      </c>
      <c r="J4883" s="1" t="s">
        <v>1065</v>
      </c>
      <c r="K4883" s="1" t="s">
        <v>1066</v>
      </c>
      <c r="L4883" s="1" t="s">
        <v>25558</v>
      </c>
      <c r="M4883" s="2" t="s">
        <v>12</v>
      </c>
      <c r="N4883" s="4">
        <f t="shared" si="1"/>
        <v>43224</v>
      </c>
      <c r="O4883" s="5" t="str">
        <f>IFERROR(__xludf.DUMMYFUNCTION("IF(REGEXMATCH(TRIM(I4883), ""^\d+\s*min""), ""Unclassified"", IF(I4883 = """", ""NR"", I4883))"),"TV-MA")</f>
        <v>TV-MA</v>
      </c>
      <c r="R4883" s="5" t="str">
        <f t="shared" si="2"/>
        <v>Manhunt</v>
      </c>
      <c r="S4883" s="5" t="str">
        <f>IFERROR(__xludf.DUMMYFUNCTION("""COMPUTED_VALUE"""),"My Little Pony Equestria Girls: Legend Of Everfree")</f>
        <v>My Little Pony Equestria Girls: Legend Of Everfree</v>
      </c>
      <c r="V4883" s="5"/>
      <c r="Y4883" s="5" t="str">
        <f>IFERROR(__xludf.DUMMYFUNCTION("REGEXEXTRACT(J4883, ""^\d+"")"),"109")</f>
        <v>109</v>
      </c>
      <c r="Z4883" s="5" t="str">
        <f>IFERROR(__xludf.DUMMYFUNCTION("REGEXEXTRACT(J4883, ""[A-Za-z ]+$"")")," min")</f>
        <v> min</v>
      </c>
      <c r="AA4883" s="5" t="str">
        <f>IFERROR(__xludf.DUMMYFUNCTION("IF(REGEXMATCH(Z4883, ""Season""), ""TV Show"", ""Movie"")"),"Movie")</f>
        <v>Movie</v>
      </c>
    </row>
    <row r="4884">
      <c r="A4884" s="1" t="s">
        <v>25559</v>
      </c>
      <c r="B4884" s="1" t="s">
        <v>27</v>
      </c>
      <c r="C4884" s="1" t="s">
        <v>25560</v>
      </c>
      <c r="D4884" s="1" t="s">
        <v>17650</v>
      </c>
      <c r="E4884" s="1" t="s">
        <v>25561</v>
      </c>
      <c r="F4884" s="1" t="s">
        <v>784</v>
      </c>
      <c r="G4884" s="7">
        <v>43224.0</v>
      </c>
      <c r="H4884" s="1">
        <v>2017.0</v>
      </c>
      <c r="I4884" s="1" t="s">
        <v>42</v>
      </c>
      <c r="J4884" s="1" t="s">
        <v>416</v>
      </c>
      <c r="K4884" s="1" t="s">
        <v>583</v>
      </c>
      <c r="L4884" s="1" t="s">
        <v>25562</v>
      </c>
      <c r="M4884" s="2" t="s">
        <v>12</v>
      </c>
      <c r="N4884" s="4">
        <f t="shared" si="1"/>
        <v>43224</v>
      </c>
      <c r="O4884" s="5" t="str">
        <f>IFERROR(__xludf.DUMMYFUNCTION("IF(REGEXMATCH(TRIM(I4884), ""^\d+\s*min""), ""Unclassified"", IF(I4884 = """", ""NR"", I4884))"),"TV-MA")</f>
        <v>TV-MA</v>
      </c>
      <c r="R4884" s="5" t="str">
        <f t="shared" si="2"/>
        <v>Thi Mai</v>
      </c>
      <c r="S4884" s="5" t="str">
        <f>IFERROR(__xludf.DUMMYFUNCTION("""COMPUTED_VALUE"""),"My Little Pony Equestria Girls: Rainbow Rocks")</f>
        <v>My Little Pony Equestria Girls: Rainbow Rocks</v>
      </c>
      <c r="V4884" s="5"/>
      <c r="Y4884" s="5" t="str">
        <f>IFERROR(__xludf.DUMMYFUNCTION("REGEXEXTRACT(J4884, ""^\d+"")"),"99")</f>
        <v>99</v>
      </c>
      <c r="Z4884" s="5" t="str">
        <f>IFERROR(__xludf.DUMMYFUNCTION("REGEXEXTRACT(J4884, ""[A-Za-z ]+$"")")," min")</f>
        <v> min</v>
      </c>
      <c r="AA4884" s="5" t="str">
        <f>IFERROR(__xludf.DUMMYFUNCTION("IF(REGEXMATCH(Z4884, ""Season""), ""TV Show"", ""Movie"")"),"Movie")</f>
        <v>Movie</v>
      </c>
    </row>
    <row r="4885">
      <c r="A4885" s="1" t="s">
        <v>25563</v>
      </c>
      <c r="B4885" s="1" t="s">
        <v>27</v>
      </c>
      <c r="C4885" s="1" t="s">
        <v>25564</v>
      </c>
      <c r="D4885" s="1" t="s">
        <v>6899</v>
      </c>
      <c r="E4885" s="1" t="s">
        <v>25565</v>
      </c>
      <c r="F4885" s="1" t="s">
        <v>1837</v>
      </c>
      <c r="G4885" s="7">
        <v>43223.0</v>
      </c>
      <c r="H4885" s="1">
        <v>2018.0</v>
      </c>
      <c r="I4885" s="1" t="s">
        <v>42</v>
      </c>
      <c r="J4885" s="1" t="s">
        <v>1191</v>
      </c>
      <c r="K4885" s="1" t="s">
        <v>199</v>
      </c>
      <c r="L4885" s="1" t="s">
        <v>25566</v>
      </c>
      <c r="M4885" s="2" t="s">
        <v>12</v>
      </c>
      <c r="N4885" s="4">
        <f t="shared" si="1"/>
        <v>43223</v>
      </c>
      <c r="O4885" s="5" t="str">
        <f>IFERROR(__xludf.DUMMYFUNCTION("IF(REGEXMATCH(TRIM(I4885), ""^\d+\s*min""), ""Unclassified"", IF(I4885 = """", ""NR"", I4885))"),"TV-MA")</f>
        <v>TV-MA</v>
      </c>
      <c r="R4885" s="5" t="str">
        <f t="shared" si="2"/>
        <v>Si Saben Cómo Me Pongo ¿Pá Qué Me Invitan?</v>
      </c>
      <c r="S4885" s="5" t="str">
        <f>IFERROR(__xludf.DUMMYFUNCTION("""COMPUTED_VALUE"""),"My Little Pony Equestria Girls: Rollercoaster Of Friendship")</f>
        <v>My Little Pony Equestria Girls: Rollercoaster Of Friendship</v>
      </c>
      <c r="V4885" s="5"/>
      <c r="Y4885" s="5" t="str">
        <f>IFERROR(__xludf.DUMMYFUNCTION("REGEXEXTRACT(J4885, ""^\d+"")"),"89")</f>
        <v>89</v>
      </c>
      <c r="Z4885" s="5" t="str">
        <f>IFERROR(__xludf.DUMMYFUNCTION("REGEXEXTRACT(J4885, ""[A-Za-z ]+$"")")," min")</f>
        <v> min</v>
      </c>
      <c r="AA4885" s="5" t="str">
        <f>IFERROR(__xludf.DUMMYFUNCTION("IF(REGEXMATCH(Z4885, ""Season""), ""TV Show"", ""Movie"")"),"Movie")</f>
        <v>Movie</v>
      </c>
    </row>
    <row r="4886">
      <c r="A4886" s="1" t="s">
        <v>25567</v>
      </c>
      <c r="B4886" s="1" t="s">
        <v>27</v>
      </c>
      <c r="C4886" s="1" t="s">
        <v>25568</v>
      </c>
      <c r="D4886" s="1" t="s">
        <v>10988</v>
      </c>
      <c r="E4886" s="1" t="s">
        <v>25569</v>
      </c>
      <c r="F4886" s="1" t="s">
        <v>25570</v>
      </c>
      <c r="G4886" s="7">
        <v>43222.0</v>
      </c>
      <c r="H4886" s="1">
        <v>2017.0</v>
      </c>
      <c r="I4886" s="1" t="s">
        <v>42</v>
      </c>
      <c r="J4886" s="1" t="s">
        <v>665</v>
      </c>
      <c r="K4886" s="1" t="s">
        <v>1066</v>
      </c>
      <c r="L4886" s="1" t="s">
        <v>25571</v>
      </c>
      <c r="M4886" s="2" t="s">
        <v>12</v>
      </c>
      <c r="N4886" s="4">
        <f t="shared" si="1"/>
        <v>43222</v>
      </c>
      <c r="O4886" s="5" t="str">
        <f>IFERROR(__xludf.DUMMYFUNCTION("IF(REGEXMATCH(TRIM(I4886), ""^\d+\s*min""), ""Unclassified"", IF(I4886 = """", ""NR"", I4886))"),"TV-MA")</f>
        <v>TV-MA</v>
      </c>
      <c r="R4886" s="5" t="str">
        <f t="shared" si="2"/>
        <v>Jailbreak</v>
      </c>
      <c r="S4886" s="5" t="str">
        <f>IFERROR(__xludf.DUMMYFUNCTION("""COMPUTED_VALUE"""),"My Little Pony Friendship Is Magic: Best Gift Ever")</f>
        <v>My Little Pony Friendship Is Magic: Best Gift Ever</v>
      </c>
      <c r="V4886" s="5"/>
      <c r="Y4886" s="5" t="str">
        <f>IFERROR(__xludf.DUMMYFUNCTION("REGEXEXTRACT(J4886, ""^\d+"")"),"92")</f>
        <v>92</v>
      </c>
      <c r="Z4886" s="5" t="str">
        <f>IFERROR(__xludf.DUMMYFUNCTION("REGEXEXTRACT(J4886, ""[A-Za-z ]+$"")")," min")</f>
        <v> min</v>
      </c>
      <c r="AA4886" s="5" t="str">
        <f>IFERROR(__xludf.DUMMYFUNCTION("IF(REGEXMATCH(Z4886, ""Season""), ""TV Show"", ""Movie"")"),"Movie")</f>
        <v>Movie</v>
      </c>
    </row>
    <row r="4887">
      <c r="A4887" s="1" t="s">
        <v>25572</v>
      </c>
      <c r="B4887" s="1" t="s">
        <v>27</v>
      </c>
      <c r="C4887" s="1" t="s">
        <v>25573</v>
      </c>
      <c r="D4887" s="1" t="s">
        <v>6416</v>
      </c>
      <c r="E4887" s="1" t="s">
        <v>25574</v>
      </c>
      <c r="F4887" s="1" t="s">
        <v>63</v>
      </c>
      <c r="G4887" s="7">
        <v>43221.0</v>
      </c>
      <c r="H4887" s="1">
        <v>2017.0</v>
      </c>
      <c r="I4887" s="1" t="s">
        <v>42</v>
      </c>
      <c r="J4887" s="1" t="s">
        <v>305</v>
      </c>
      <c r="K4887" s="1" t="s">
        <v>128</v>
      </c>
      <c r="L4887" s="1" t="s">
        <v>25575</v>
      </c>
      <c r="M4887" s="2" t="s">
        <v>12</v>
      </c>
      <c r="N4887" s="4">
        <f t="shared" si="1"/>
        <v>43221</v>
      </c>
      <c r="O4887" s="5" t="str">
        <f>IFERROR(__xludf.DUMMYFUNCTION("IF(REGEXMATCH(TRIM(I4887), ""^\d+\s*min""), ""Unclassified"", IF(I4887 = """", ""NR"", I4887))"),"TV-MA")</f>
        <v>TV-MA</v>
      </c>
      <c r="R4887" s="5" t="str">
        <f t="shared" si="2"/>
        <v>Ajji</v>
      </c>
      <c r="S4887" s="5" t="str">
        <f>IFERROR(__xludf.DUMMYFUNCTION("""COMPUTED_VALUE"""),"My Little Pony: A New Generation")</f>
        <v>My Little Pony: A New Generation</v>
      </c>
      <c r="V4887" s="5"/>
      <c r="Y4887" s="5" t="str">
        <f>IFERROR(__xludf.DUMMYFUNCTION("REGEXEXTRACT(J4887, ""^\d+"")"),"105")</f>
        <v>105</v>
      </c>
      <c r="Z4887" s="5" t="str">
        <f>IFERROR(__xludf.DUMMYFUNCTION("REGEXEXTRACT(J4887, ""[A-Za-z ]+$"")")," min")</f>
        <v> min</v>
      </c>
      <c r="AA4887" s="5" t="str">
        <f>IFERROR(__xludf.DUMMYFUNCTION("IF(REGEXMATCH(Z4887, ""Season""), ""TV Show"", ""Movie"")"),"Movie")</f>
        <v>Movie</v>
      </c>
    </row>
    <row r="4888">
      <c r="A4888" s="1" t="s">
        <v>25576</v>
      </c>
      <c r="B4888" s="1" t="s">
        <v>27</v>
      </c>
      <c r="C4888" s="1" t="s">
        <v>25577</v>
      </c>
      <c r="D4888" s="1" t="s">
        <v>1517</v>
      </c>
      <c r="E4888" s="1" t="s">
        <v>25578</v>
      </c>
      <c r="F4888" s="1" t="s">
        <v>63</v>
      </c>
      <c r="G4888" s="7">
        <v>43221.0</v>
      </c>
      <c r="H4888" s="1">
        <v>2017.0</v>
      </c>
      <c r="I4888" s="1" t="s">
        <v>97</v>
      </c>
      <c r="J4888" s="1" t="s">
        <v>2281</v>
      </c>
      <c r="K4888" s="1" t="s">
        <v>8559</v>
      </c>
      <c r="L4888" s="1" t="s">
        <v>25579</v>
      </c>
      <c r="M4888" s="2" t="s">
        <v>12</v>
      </c>
      <c r="N4888" s="4">
        <f t="shared" si="1"/>
        <v>43221</v>
      </c>
      <c r="O4888" s="5" t="str">
        <f>IFERROR(__xludf.DUMMYFUNCTION("IF(REGEXMATCH(TRIM(I4888), ""^\d+\s*min""), ""Unclassified"", IF(I4888 = """", ""NR"", I4888))"),"TV-14")</f>
        <v>TV-14</v>
      </c>
      <c r="R4888" s="5" t="str">
        <f t="shared" si="2"/>
        <v>Cia: Comrade In America</v>
      </c>
      <c r="S4888" s="5" t="str">
        <f>IFERROR(__xludf.DUMMYFUNCTION("""COMPUTED_VALUE"""),"My Little Pony: Friendship Is Magic")</f>
        <v>My Little Pony: Friendship Is Magic</v>
      </c>
      <c r="V4888" s="5"/>
      <c r="Y4888" s="5" t="str">
        <f>IFERROR(__xludf.DUMMYFUNCTION("REGEXEXTRACT(J4888, ""^\d+"")"),"130")</f>
        <v>130</v>
      </c>
      <c r="Z4888" s="5" t="str">
        <f>IFERROR(__xludf.DUMMYFUNCTION("REGEXEXTRACT(J4888, ""[A-Za-z ]+$"")")," min")</f>
        <v> min</v>
      </c>
      <c r="AA4888" s="5" t="str">
        <f>IFERROR(__xludf.DUMMYFUNCTION("IF(REGEXMATCH(Z4888, ""Season""), ""TV Show"", ""Movie"")"),"Movie")</f>
        <v>Movie</v>
      </c>
    </row>
    <row r="4889">
      <c r="A4889" s="1" t="s">
        <v>25580</v>
      </c>
      <c r="B4889" s="1" t="s">
        <v>27</v>
      </c>
      <c r="C4889" s="1" t="s">
        <v>25581</v>
      </c>
      <c r="D4889" s="1" t="s">
        <v>7741</v>
      </c>
      <c r="F4889" s="1" t="s">
        <v>25582</v>
      </c>
      <c r="G4889" s="7">
        <v>43221.0</v>
      </c>
      <c r="H4889" s="1">
        <v>2017.0</v>
      </c>
      <c r="I4889" s="1" t="s">
        <v>136</v>
      </c>
      <c r="J4889" s="1" t="s">
        <v>1993</v>
      </c>
      <c r="K4889" s="1" t="s">
        <v>156</v>
      </c>
      <c r="L4889" s="1" t="s">
        <v>25583</v>
      </c>
      <c r="M4889" s="2" t="s">
        <v>12</v>
      </c>
      <c r="N4889" s="4">
        <f t="shared" si="1"/>
        <v>43221</v>
      </c>
      <c r="O4889" s="5" t="str">
        <f>IFERROR(__xludf.DUMMYFUNCTION("IF(REGEXMATCH(TRIM(I4889), ""^\d+\s*min""), ""Unclassified"", IF(I4889 = """", ""NR"", I4889))"),"TV-PG")</f>
        <v>TV-PG</v>
      </c>
      <c r="R4889" s="5" t="str">
        <f t="shared" si="2"/>
        <v>Coffee For All</v>
      </c>
      <c r="S4889" s="5" t="str">
        <f>IFERROR(__xludf.DUMMYFUNCTION("""COMPUTED_VALUE"""),"My Love: Six Stories Of True Love")</f>
        <v>My Love: Six Stories Of True Love</v>
      </c>
      <c r="V4889" s="5"/>
      <c r="Y4889" s="5" t="str">
        <f>IFERROR(__xludf.DUMMYFUNCTION("REGEXEXTRACT(J4889, ""^\d+"")"),"69")</f>
        <v>69</v>
      </c>
      <c r="Z4889" s="5" t="str">
        <f>IFERROR(__xludf.DUMMYFUNCTION("REGEXEXTRACT(J4889, ""[A-Za-z ]+$"")")," min")</f>
        <v> min</v>
      </c>
      <c r="AA4889" s="5" t="str">
        <f>IFERROR(__xludf.DUMMYFUNCTION("IF(REGEXMATCH(Z4889, ""Season""), ""TV Show"", ""Movie"")"),"Movie")</f>
        <v>Movie</v>
      </c>
    </row>
    <row r="4890">
      <c r="A4890" s="1" t="s">
        <v>25584</v>
      </c>
      <c r="B4890" s="1" t="s">
        <v>27</v>
      </c>
      <c r="C4890" s="1" t="s">
        <v>25585</v>
      </c>
      <c r="D4890" s="1" t="s">
        <v>12157</v>
      </c>
      <c r="E4890" s="1" t="s">
        <v>25586</v>
      </c>
      <c r="F4890" s="1" t="s">
        <v>30</v>
      </c>
      <c r="G4890" s="7">
        <v>43221.0</v>
      </c>
      <c r="H4890" s="1">
        <v>2018.0</v>
      </c>
      <c r="I4890" s="1" t="s">
        <v>42</v>
      </c>
      <c r="J4890" s="1" t="s">
        <v>357</v>
      </c>
      <c r="K4890" s="1" t="s">
        <v>16817</v>
      </c>
      <c r="L4890" s="1" t="s">
        <v>25587</v>
      </c>
      <c r="M4890" s="2" t="s">
        <v>12</v>
      </c>
      <c r="N4890" s="4">
        <f t="shared" si="1"/>
        <v>43221</v>
      </c>
      <c r="O4890" s="5" t="str">
        <f>IFERROR(__xludf.DUMMYFUNCTION("IF(REGEXMATCH(TRIM(I4890), ""^\d+\s*min""), ""Unclassified"", IF(I4890 = """", ""NR"", I4890))"),"TV-MA")</f>
        <v>TV-MA</v>
      </c>
      <c r="R4890" s="5" t="str">
        <f t="shared" si="2"/>
        <v>Darc</v>
      </c>
      <c r="S4890" s="5" t="str">
        <f>IFERROR(__xludf.DUMMYFUNCTION("""COMPUTED_VALUE"""),"My Mister")</f>
        <v>My Mister</v>
      </c>
      <c r="V4890" s="5"/>
      <c r="Y4890" s="5" t="str">
        <f>IFERROR(__xludf.DUMMYFUNCTION("REGEXEXTRACT(J4890, ""^\d+"")"),"98")</f>
        <v>98</v>
      </c>
      <c r="Z4890" s="5" t="str">
        <f>IFERROR(__xludf.DUMMYFUNCTION("REGEXEXTRACT(J4890, ""[A-Za-z ]+$"")")," min")</f>
        <v> min</v>
      </c>
      <c r="AA4890" s="5" t="str">
        <f>IFERROR(__xludf.DUMMYFUNCTION("IF(REGEXMATCH(Z4890, ""Season""), ""TV Show"", ""Movie"")"),"Movie")</f>
        <v>Movie</v>
      </c>
    </row>
    <row r="4891">
      <c r="A4891" s="1" t="s">
        <v>25588</v>
      </c>
      <c r="B4891" s="1" t="s">
        <v>27</v>
      </c>
      <c r="C4891" s="1" t="s">
        <v>25589</v>
      </c>
      <c r="D4891" s="1" t="s">
        <v>13999</v>
      </c>
      <c r="E4891" s="1" t="s">
        <v>25590</v>
      </c>
      <c r="F4891" s="1" t="s">
        <v>2011</v>
      </c>
      <c r="G4891" s="7">
        <v>43221.0</v>
      </c>
      <c r="H4891" s="1">
        <v>2017.0</v>
      </c>
      <c r="I4891" s="1" t="s">
        <v>42</v>
      </c>
      <c r="J4891" s="1" t="s">
        <v>33</v>
      </c>
      <c r="K4891" s="1" t="s">
        <v>199</v>
      </c>
      <c r="L4891" s="1" t="s">
        <v>25591</v>
      </c>
      <c r="M4891" s="2" t="s">
        <v>12</v>
      </c>
      <c r="N4891" s="4">
        <f t="shared" si="1"/>
        <v>43221</v>
      </c>
      <c r="O4891" s="5" t="str">
        <f>IFERROR(__xludf.DUMMYFUNCTION("IF(REGEXMATCH(TRIM(I4891), ""^\d+\s*min""), ""Unclassified"", IF(I4891 = """", ""NR"", I4891))"),"TV-MA")</f>
        <v>TV-MA</v>
      </c>
      <c r="R4891" s="5" t="str">
        <f t="shared" si="2"/>
        <v>Despido Procedente</v>
      </c>
      <c r="S4891" s="5" t="str">
        <f>IFERROR(__xludf.DUMMYFUNCTION("""COMPUTED_VALUE"""),"My Mother'S Wound")</f>
        <v>My Mother'S Wound</v>
      </c>
      <c r="V4891" s="5"/>
      <c r="Y4891" s="5" t="str">
        <f>IFERROR(__xludf.DUMMYFUNCTION("REGEXEXTRACT(J4891, ""^\d+"")"),"90")</f>
        <v>90</v>
      </c>
      <c r="Z4891" s="5" t="str">
        <f>IFERROR(__xludf.DUMMYFUNCTION("REGEXEXTRACT(J4891, ""[A-Za-z ]+$"")")," min")</f>
        <v> min</v>
      </c>
      <c r="AA4891" s="5" t="str">
        <f>IFERROR(__xludf.DUMMYFUNCTION("IF(REGEXMATCH(Z4891, ""Season""), ""TV Show"", ""Movie"")"),"Movie")</f>
        <v>Movie</v>
      </c>
    </row>
    <row r="4892">
      <c r="A4892" s="1" t="s">
        <v>25592</v>
      </c>
      <c r="B4892" s="1" t="s">
        <v>27</v>
      </c>
      <c r="C4892" s="1" t="s">
        <v>25593</v>
      </c>
      <c r="D4892" s="1" t="s">
        <v>1193</v>
      </c>
      <c r="E4892" s="1" t="s">
        <v>25594</v>
      </c>
      <c r="F4892" s="1" t="s">
        <v>30</v>
      </c>
      <c r="G4892" s="7">
        <v>43221.0</v>
      </c>
      <c r="H4892" s="1">
        <v>2018.0</v>
      </c>
      <c r="I4892" s="1" t="s">
        <v>42</v>
      </c>
      <c r="J4892" s="1" t="s">
        <v>2616</v>
      </c>
      <c r="K4892" s="1" t="s">
        <v>1839</v>
      </c>
      <c r="L4892" s="1" t="s">
        <v>25595</v>
      </c>
      <c r="M4892" s="2" t="s">
        <v>12</v>
      </c>
      <c r="N4892" s="4">
        <f t="shared" si="1"/>
        <v>43221</v>
      </c>
      <c r="O4892" s="5" t="str">
        <f>IFERROR(__xludf.DUMMYFUNCTION("IF(REGEXMATCH(TRIM(I4892), ""^\d+\s*min""), ""Unclassified"", IF(I4892 = """", ""NR"", I4892))"),"TV-MA")</f>
        <v>TV-MA</v>
      </c>
      <c r="R4892" s="5" t="str">
        <f t="shared" si="2"/>
        <v>John Mulaney: Kid Gorgeous At Radio City</v>
      </c>
      <c r="S4892" s="5" t="str">
        <f>IFERROR(__xludf.DUMMYFUNCTION("""COMPUTED_VALUE"""),"My Mvp Valentine")</f>
        <v>My Mvp Valentine</v>
      </c>
      <c r="V4892" s="5"/>
      <c r="Y4892" s="5" t="str">
        <f>IFERROR(__xludf.DUMMYFUNCTION("REGEXEXTRACT(J4892, ""^\d+"")"),"65")</f>
        <v>65</v>
      </c>
      <c r="Z4892" s="5" t="str">
        <f>IFERROR(__xludf.DUMMYFUNCTION("REGEXEXTRACT(J4892, ""[A-Za-z ]+$"")")," min")</f>
        <v> min</v>
      </c>
      <c r="AA4892" s="5" t="str">
        <f>IFERROR(__xludf.DUMMYFUNCTION("IF(REGEXMATCH(Z4892, ""Season""), ""TV Show"", ""Movie"")"),"Movie")</f>
        <v>Movie</v>
      </c>
    </row>
    <row r="4893">
      <c r="A4893" s="1" t="s">
        <v>25596</v>
      </c>
      <c r="B4893" s="1" t="s">
        <v>27</v>
      </c>
      <c r="C4893" s="1" t="s">
        <v>25597</v>
      </c>
      <c r="D4893" s="1" t="s">
        <v>9831</v>
      </c>
      <c r="E4893" s="1" t="s">
        <v>25598</v>
      </c>
      <c r="F4893" s="1" t="s">
        <v>1106</v>
      </c>
      <c r="G4893" s="7">
        <v>43221.0</v>
      </c>
      <c r="H4893" s="1">
        <v>2018.0</v>
      </c>
      <c r="I4893" s="1" t="s">
        <v>78</v>
      </c>
      <c r="J4893" s="1" t="s">
        <v>665</v>
      </c>
      <c r="K4893" s="1" t="s">
        <v>215</v>
      </c>
      <c r="L4893" s="1" t="s">
        <v>25599</v>
      </c>
      <c r="M4893" s="2" t="s">
        <v>12</v>
      </c>
      <c r="N4893" s="4">
        <f t="shared" si="1"/>
        <v>43221</v>
      </c>
      <c r="O4893" s="5" t="str">
        <f>IFERROR(__xludf.DUMMYFUNCTION("IF(REGEXMATCH(TRIM(I4893), ""^\d+\s*min""), ""Unclassified"", IF(I4893 = """", ""NR"", I4893))"),"PG")</f>
        <v>PG</v>
      </c>
      <c r="R4893" s="5" t="str">
        <f t="shared" si="2"/>
        <v>My Perfect Romance</v>
      </c>
      <c r="S4893" s="5" t="str">
        <f>IFERROR(__xludf.DUMMYFUNCTION("""COMPUTED_VALUE"""),"My Next Guest Needs No Introduction With David Letterman")</f>
        <v>My Next Guest Needs No Introduction With David Letterman</v>
      </c>
      <c r="V4893" s="5"/>
      <c r="Y4893" s="5" t="str">
        <f>IFERROR(__xludf.DUMMYFUNCTION("REGEXEXTRACT(J4893, ""^\d+"")"),"92")</f>
        <v>92</v>
      </c>
      <c r="Z4893" s="5" t="str">
        <f>IFERROR(__xludf.DUMMYFUNCTION("REGEXEXTRACT(J4893, ""[A-Za-z ]+$"")")," min")</f>
        <v> min</v>
      </c>
      <c r="AA4893" s="5" t="str">
        <f>IFERROR(__xludf.DUMMYFUNCTION("IF(REGEXMATCH(Z4893, ""Season""), ""TV Show"", ""Movie"")"),"Movie")</f>
        <v>Movie</v>
      </c>
    </row>
    <row r="4894">
      <c r="A4894" s="1" t="s">
        <v>25600</v>
      </c>
      <c r="B4894" s="1" t="s">
        <v>27</v>
      </c>
      <c r="C4894" s="1" t="s">
        <v>25601</v>
      </c>
      <c r="E4894" s="1" t="s">
        <v>22569</v>
      </c>
      <c r="G4894" s="7">
        <v>43221.0</v>
      </c>
      <c r="H4894" s="1">
        <v>2015.0</v>
      </c>
      <c r="I4894" s="1" t="s">
        <v>206</v>
      </c>
      <c r="J4894" s="1" t="s">
        <v>25602</v>
      </c>
      <c r="K4894" s="1" t="s">
        <v>2032</v>
      </c>
      <c r="L4894" s="1" t="s">
        <v>25603</v>
      </c>
      <c r="M4894" s="2" t="s">
        <v>12</v>
      </c>
      <c r="N4894" s="4">
        <f t="shared" si="1"/>
        <v>43221</v>
      </c>
      <c r="O4894" s="5" t="str">
        <f>IFERROR(__xludf.DUMMYFUNCTION("IF(REGEXMATCH(TRIM(I4894), ""^\d+\s*min""), ""Unclassified"", IF(I4894 = """", ""NR"", I4894))"),"TV-Y")</f>
        <v>TV-Y</v>
      </c>
      <c r="R4894" s="5" t="str">
        <f t="shared" si="2"/>
        <v>Pocoyo &amp; Cars</v>
      </c>
      <c r="S4894" s="5" t="str">
        <f>IFERROR(__xludf.DUMMYFUNCTION("""COMPUTED_VALUE"""),"My Next Guest With David Letterman And Shah Rukh Khan")</f>
        <v>My Next Guest With David Letterman And Shah Rukh Khan</v>
      </c>
      <c r="V4894" s="5"/>
      <c r="Y4894" s="5" t="str">
        <f>IFERROR(__xludf.DUMMYFUNCTION("REGEXEXTRACT(J4894, ""^\d+"")"),"19")</f>
        <v>19</v>
      </c>
      <c r="Z4894" s="5" t="str">
        <f>IFERROR(__xludf.DUMMYFUNCTION("REGEXEXTRACT(J4894, ""[A-Za-z ]+$"")")," min")</f>
        <v> min</v>
      </c>
      <c r="AA4894" s="5" t="str">
        <f>IFERROR(__xludf.DUMMYFUNCTION("IF(REGEXMATCH(Z4894, ""Season""), ""TV Show"", ""Movie"")"),"Movie")</f>
        <v>Movie</v>
      </c>
    </row>
    <row r="4895">
      <c r="A4895" s="1" t="s">
        <v>25604</v>
      </c>
      <c r="B4895" s="1" t="s">
        <v>27</v>
      </c>
      <c r="C4895" s="1" t="s">
        <v>25605</v>
      </c>
      <c r="D4895" s="1" t="s">
        <v>1308</v>
      </c>
      <c r="E4895" s="1" t="s">
        <v>25606</v>
      </c>
      <c r="F4895" s="1" t="s">
        <v>784</v>
      </c>
      <c r="G4895" s="7">
        <v>43221.0</v>
      </c>
      <c r="H4895" s="1">
        <v>2008.0</v>
      </c>
      <c r="I4895" s="1" t="s">
        <v>206</v>
      </c>
      <c r="J4895" s="1" t="s">
        <v>4935</v>
      </c>
      <c r="K4895" s="1" t="s">
        <v>2032</v>
      </c>
      <c r="L4895" s="1" t="s">
        <v>25607</v>
      </c>
      <c r="M4895" s="2" t="s">
        <v>12</v>
      </c>
      <c r="N4895" s="4">
        <f t="shared" si="1"/>
        <v>43221</v>
      </c>
      <c r="O4895" s="5" t="str">
        <f>IFERROR(__xludf.DUMMYFUNCTION("IF(REGEXMATCH(TRIM(I4895), ""^\d+\s*min""), ""Unclassified"", IF(I4895 = """", ""NR"", I4895))"),"TV-Y")</f>
        <v>TV-Y</v>
      </c>
      <c r="R4895" s="5" t="str">
        <f t="shared" si="2"/>
        <v>Pocoyo &amp; The Space Circus</v>
      </c>
      <c r="S4895" s="5" t="str">
        <f>IFERROR(__xludf.DUMMYFUNCTION("""COMPUTED_VALUE"""),"My Octopus Teacher")</f>
        <v>My Octopus Teacher</v>
      </c>
      <c r="V4895" s="5"/>
      <c r="Y4895" s="5" t="str">
        <f>IFERROR(__xludf.DUMMYFUNCTION("REGEXEXTRACT(J4895, ""^\d+"")"),"25")</f>
        <v>25</v>
      </c>
      <c r="Z4895" s="5" t="str">
        <f>IFERROR(__xludf.DUMMYFUNCTION("REGEXEXTRACT(J4895, ""[A-Za-z ]+$"")")," min")</f>
        <v> min</v>
      </c>
      <c r="AA4895" s="5" t="str">
        <f>IFERROR(__xludf.DUMMYFUNCTION("IF(REGEXMATCH(Z4895, ""Season""), ""TV Show"", ""Movie"")"),"Movie")</f>
        <v>Movie</v>
      </c>
    </row>
    <row r="4896">
      <c r="A4896" s="1" t="s">
        <v>25608</v>
      </c>
      <c r="B4896" s="1" t="s">
        <v>27</v>
      </c>
      <c r="C4896" s="1" t="s">
        <v>25609</v>
      </c>
      <c r="E4896" s="1" t="s">
        <v>22569</v>
      </c>
      <c r="G4896" s="7">
        <v>43221.0</v>
      </c>
      <c r="H4896" s="1">
        <v>2015.0</v>
      </c>
      <c r="I4896" s="1" t="s">
        <v>206</v>
      </c>
      <c r="J4896" s="1" t="s">
        <v>7407</v>
      </c>
      <c r="K4896" s="1" t="s">
        <v>2032</v>
      </c>
      <c r="L4896" s="1" t="s">
        <v>25610</v>
      </c>
      <c r="M4896" s="2" t="s">
        <v>12</v>
      </c>
      <c r="N4896" s="4">
        <f t="shared" si="1"/>
        <v>43221</v>
      </c>
      <c r="O4896" s="5" t="str">
        <f>IFERROR(__xludf.DUMMYFUNCTION("IF(REGEXMATCH(TRIM(I4896), ""^\d+\s*min""), ""Unclassified"", IF(I4896 = """", ""NR"", I4896))"),"TV-Y")</f>
        <v>TV-Y</v>
      </c>
      <c r="R4896" s="5" t="str">
        <f t="shared" si="2"/>
        <v>Pocoyo Carnival</v>
      </c>
      <c r="S4896" s="5" t="str">
        <f>IFERROR(__xludf.DUMMYFUNCTION("""COMPUTED_VALUE"""),"My Only Love Song")</f>
        <v>My Only Love Song</v>
      </c>
      <c r="V4896" s="5"/>
      <c r="Y4896" s="5" t="str">
        <f>IFERROR(__xludf.DUMMYFUNCTION("REGEXEXTRACT(J4896, ""^\d+"")"),"22")</f>
        <v>22</v>
      </c>
      <c r="Z4896" s="5" t="str">
        <f>IFERROR(__xludf.DUMMYFUNCTION("REGEXEXTRACT(J4896, ""[A-Za-z ]+$"")")," min")</f>
        <v> min</v>
      </c>
      <c r="AA4896" s="5" t="str">
        <f>IFERROR(__xludf.DUMMYFUNCTION("IF(REGEXMATCH(Z4896, ""Season""), ""TV Show"", ""Movie"")"),"Movie")</f>
        <v>Movie</v>
      </c>
    </row>
    <row r="4897">
      <c r="A4897" s="1" t="s">
        <v>25611</v>
      </c>
      <c r="B4897" s="1" t="s">
        <v>27</v>
      </c>
      <c r="C4897" s="1" t="s">
        <v>25612</v>
      </c>
      <c r="E4897" s="1" t="s">
        <v>25613</v>
      </c>
      <c r="F4897" s="1" t="s">
        <v>30</v>
      </c>
      <c r="G4897" s="7">
        <v>43221.0</v>
      </c>
      <c r="H4897" s="1">
        <v>2015.0</v>
      </c>
      <c r="I4897" s="1" t="s">
        <v>206</v>
      </c>
      <c r="J4897" s="1" t="s">
        <v>18322</v>
      </c>
      <c r="K4897" s="1" t="s">
        <v>2032</v>
      </c>
      <c r="L4897" s="1" t="s">
        <v>25614</v>
      </c>
      <c r="M4897" s="2" t="s">
        <v>12</v>
      </c>
      <c r="N4897" s="4">
        <f t="shared" si="1"/>
        <v>43221</v>
      </c>
      <c r="O4897" s="5" t="str">
        <f>IFERROR(__xludf.DUMMYFUNCTION("IF(REGEXMATCH(TRIM(I4897), ""^\d+\s*min""), ""Unclassified"", IF(I4897 = """", ""NR"", I4897))"),"TV-Y")</f>
        <v>TV-Y</v>
      </c>
      <c r="R4897" s="5" t="str">
        <f t="shared" si="2"/>
        <v>Pocoyo Halloween: Space Halloween</v>
      </c>
      <c r="S4897" s="5" t="str">
        <f>IFERROR(__xludf.DUMMYFUNCTION("""COMPUTED_VALUE"""),"My Only Mother")</f>
        <v>My Only Mother</v>
      </c>
      <c r="V4897" s="5"/>
      <c r="Y4897" s="5" t="str">
        <f>IFERROR(__xludf.DUMMYFUNCTION("REGEXEXTRACT(J4897, ""^\d+"")"),"40")</f>
        <v>40</v>
      </c>
      <c r="Z4897" s="5" t="str">
        <f>IFERROR(__xludf.DUMMYFUNCTION("REGEXEXTRACT(J4897, ""[A-Za-z ]+$"")")," min")</f>
        <v> min</v>
      </c>
      <c r="AA4897" s="5" t="str">
        <f>IFERROR(__xludf.DUMMYFUNCTION("IF(REGEXMATCH(Z4897, ""Season""), ""TV Show"", ""Movie"")"),"Movie")</f>
        <v>Movie</v>
      </c>
    </row>
    <row r="4898">
      <c r="A4898" s="1" t="s">
        <v>25615</v>
      </c>
      <c r="B4898" s="1" t="s">
        <v>27</v>
      </c>
      <c r="C4898" s="1" t="s">
        <v>25616</v>
      </c>
      <c r="E4898" s="1" t="s">
        <v>25613</v>
      </c>
      <c r="G4898" s="7">
        <v>43221.0</v>
      </c>
      <c r="H4898" s="1">
        <v>2014.0</v>
      </c>
      <c r="I4898" s="1" t="s">
        <v>206</v>
      </c>
      <c r="J4898" s="1" t="s">
        <v>7407</v>
      </c>
      <c r="K4898" s="1" t="s">
        <v>2032</v>
      </c>
      <c r="L4898" s="1" t="s">
        <v>25617</v>
      </c>
      <c r="M4898" s="2" t="s">
        <v>12</v>
      </c>
      <c r="N4898" s="4">
        <f t="shared" si="1"/>
        <v>43221</v>
      </c>
      <c r="O4898" s="5" t="str">
        <f>IFERROR(__xludf.DUMMYFUNCTION("IF(REGEXMATCH(TRIM(I4898), ""^\d+\s*min""), ""Unclassified"", IF(I4898 = """", ""NR"", I4898))"),"TV-Y")</f>
        <v>TV-Y</v>
      </c>
      <c r="R4898" s="5" t="str">
        <f t="shared" si="2"/>
        <v>Pocoyo Halloween: Spooky Movies</v>
      </c>
      <c r="S4898" s="5" t="str">
        <f>IFERROR(__xludf.DUMMYFUNCTION("""COMPUTED_VALUE"""),"My Own Man")</f>
        <v>My Own Man</v>
      </c>
      <c r="V4898" s="5"/>
      <c r="Y4898" s="5" t="str">
        <f>IFERROR(__xludf.DUMMYFUNCTION("REGEXEXTRACT(J4898, ""^\d+"")"),"22")</f>
        <v>22</v>
      </c>
      <c r="Z4898" s="5" t="str">
        <f>IFERROR(__xludf.DUMMYFUNCTION("REGEXEXTRACT(J4898, ""[A-Za-z ]+$"")")," min")</f>
        <v> min</v>
      </c>
      <c r="AA4898" s="5" t="str">
        <f>IFERROR(__xludf.DUMMYFUNCTION("IF(REGEXMATCH(Z4898, ""Season""), ""TV Show"", ""Movie"")"),"Movie")</f>
        <v>Movie</v>
      </c>
    </row>
    <row r="4899">
      <c r="A4899" s="1" t="s">
        <v>25618</v>
      </c>
      <c r="B4899" s="1" t="s">
        <v>27</v>
      </c>
      <c r="C4899" s="1" t="s">
        <v>25619</v>
      </c>
      <c r="D4899" s="1" t="s">
        <v>8776</v>
      </c>
      <c r="G4899" s="7">
        <v>43221.0</v>
      </c>
      <c r="H4899" s="1">
        <v>2016.0</v>
      </c>
      <c r="I4899" s="1" t="s">
        <v>206</v>
      </c>
      <c r="J4899" s="1" t="s">
        <v>7058</v>
      </c>
      <c r="K4899" s="1" t="s">
        <v>2032</v>
      </c>
      <c r="L4899" s="1" t="s">
        <v>25620</v>
      </c>
      <c r="M4899" s="2" t="s">
        <v>12</v>
      </c>
      <c r="N4899" s="4">
        <f t="shared" si="1"/>
        <v>43221</v>
      </c>
      <c r="O4899" s="5" t="str">
        <f>IFERROR(__xludf.DUMMYFUNCTION("IF(REGEXMATCH(TRIM(I4899), ""^\d+\s*min""), ""Unclassified"", IF(I4899 = """", ""NR"", I4899))"),"TV-Y")</f>
        <v>TV-Y</v>
      </c>
      <c r="R4899" s="5" t="str">
        <f t="shared" si="2"/>
        <v>Pocoyo Special Sports</v>
      </c>
      <c r="S4899" s="5" t="str">
        <f>IFERROR(__xludf.DUMMYFUNCTION("""COMPUTED_VALUE"""),"My Perfect Landing")</f>
        <v>My Perfect Landing</v>
      </c>
      <c r="V4899" s="5"/>
      <c r="Y4899" s="5" t="str">
        <f>IFERROR(__xludf.DUMMYFUNCTION("REGEXEXTRACT(J4899, ""^\d+"")"),"24")</f>
        <v>24</v>
      </c>
      <c r="Z4899" s="5" t="str">
        <f>IFERROR(__xludf.DUMMYFUNCTION("REGEXEXTRACT(J4899, ""[A-Za-z ]+$"")")," min")</f>
        <v> min</v>
      </c>
      <c r="AA4899" s="5" t="str">
        <f>IFERROR(__xludf.DUMMYFUNCTION("IF(REGEXMATCH(Z4899, ""Season""), ""TV Show"", ""Movie"")"),"Movie")</f>
        <v>Movie</v>
      </c>
    </row>
    <row r="4900">
      <c r="A4900" s="1" t="s">
        <v>25621</v>
      </c>
      <c r="B4900" s="1" t="s">
        <v>37</v>
      </c>
      <c r="C4900" s="1" t="s">
        <v>25622</v>
      </c>
      <c r="E4900" s="1" t="s">
        <v>25623</v>
      </c>
      <c r="F4900" s="1" t="s">
        <v>664</v>
      </c>
      <c r="G4900" s="7">
        <v>43221.0</v>
      </c>
      <c r="H4900" s="1">
        <v>2016.0</v>
      </c>
      <c r="I4900" s="1" t="s">
        <v>206</v>
      </c>
      <c r="J4900" s="1" t="s">
        <v>51</v>
      </c>
      <c r="K4900" s="1" t="s">
        <v>290</v>
      </c>
      <c r="L4900" s="1" t="s">
        <v>25624</v>
      </c>
      <c r="M4900" s="2" t="s">
        <v>12</v>
      </c>
      <c r="N4900" s="4">
        <f t="shared" si="1"/>
        <v>43221</v>
      </c>
      <c r="O4900" s="5" t="str">
        <f>IFERROR(__xludf.DUMMYFUNCTION("IF(REGEXMATCH(TRIM(I4900), ""^\d+\s*min""), ""Unclassified"", IF(I4900 = """", ""NR"", I4900))"),"TV-Y")</f>
        <v>TV-Y</v>
      </c>
      <c r="R4900" s="5" t="str">
        <f t="shared" si="2"/>
        <v>Simon</v>
      </c>
      <c r="S4900" s="5" t="str">
        <f>IFERROR(__xludf.DUMMYFUNCTION("""COMPUTED_VALUE"""),"My Perfect Romance")</f>
        <v>My Perfect Romance</v>
      </c>
      <c r="V4900" s="5"/>
      <c r="Y4900" s="5" t="str">
        <f>IFERROR(__xludf.DUMMYFUNCTION("REGEXEXTRACT(J4900, ""^\d+"")"),"1")</f>
        <v>1</v>
      </c>
      <c r="Z4900" s="5" t="str">
        <f>IFERROR(__xludf.DUMMYFUNCTION("REGEXEXTRACT(J4900, ""[A-Za-z ]+$"")")," Season")</f>
        <v> Season</v>
      </c>
      <c r="AA4900" s="5" t="str">
        <f>IFERROR(__xludf.DUMMYFUNCTION("IF(REGEXMATCH(Z4900, ""Season""), ""TV Show"", ""Movie"")"),"TV Show")</f>
        <v>TV Show</v>
      </c>
    </row>
    <row r="4901">
      <c r="A4901" s="1" t="s">
        <v>25625</v>
      </c>
      <c r="B4901" s="1" t="s">
        <v>27</v>
      </c>
      <c r="C4901" s="1" t="s">
        <v>25626</v>
      </c>
      <c r="D4901" s="1" t="s">
        <v>18415</v>
      </c>
      <c r="E4901" s="1" t="s">
        <v>25627</v>
      </c>
      <c r="F4901" s="1" t="s">
        <v>63</v>
      </c>
      <c r="G4901" s="7">
        <v>43221.0</v>
      </c>
      <c r="H4901" s="1">
        <v>2016.0</v>
      </c>
      <c r="I4901" s="1" t="s">
        <v>97</v>
      </c>
      <c r="J4901" s="1" t="s">
        <v>1091</v>
      </c>
      <c r="K4901" s="1" t="s">
        <v>128</v>
      </c>
      <c r="L4901" s="1" t="s">
        <v>25628</v>
      </c>
      <c r="M4901" s="2" t="s">
        <v>12</v>
      </c>
      <c r="N4901" s="4">
        <f t="shared" si="1"/>
        <v>43221</v>
      </c>
      <c r="O4901" s="5" t="str">
        <f>IFERROR(__xludf.DUMMYFUNCTION("IF(REGEXMATCH(TRIM(I4901), ""^\d+\s*min""), ""Unclassified"", IF(I4901 = """", ""NR"", I4901))"),"TV-14")</f>
        <v>TV-14</v>
      </c>
      <c r="R4901" s="5" t="str">
        <f t="shared" si="2"/>
        <v>Sometimes</v>
      </c>
      <c r="S4901" s="5" t="str">
        <f>IFERROR(__xludf.DUMMYFUNCTION("""COMPUTED_VALUE"""),"My Pride")</f>
        <v>My Pride</v>
      </c>
      <c r="V4901" s="5"/>
      <c r="Y4901" s="5" t="str">
        <f>IFERROR(__xludf.DUMMYFUNCTION("REGEXEXTRACT(J4901, ""^\d+"")"),"101")</f>
        <v>101</v>
      </c>
      <c r="Z4901" s="5" t="str">
        <f>IFERROR(__xludf.DUMMYFUNCTION("REGEXEXTRACT(J4901, ""[A-Za-z ]+$"")")," min")</f>
        <v> min</v>
      </c>
      <c r="AA4901" s="5" t="str">
        <f>IFERROR(__xludf.DUMMYFUNCTION("IF(REGEXMATCH(Z4901, ""Season""), ""TV Show"", ""Movie"")"),"Movie")</f>
        <v>Movie</v>
      </c>
    </row>
    <row r="4902">
      <c r="A4902" s="1" t="s">
        <v>25629</v>
      </c>
      <c r="B4902" s="1" t="s">
        <v>37</v>
      </c>
      <c r="C4902" s="1" t="s">
        <v>25630</v>
      </c>
      <c r="E4902" s="1" t="s">
        <v>25631</v>
      </c>
      <c r="G4902" s="7">
        <v>43221.0</v>
      </c>
      <c r="H4902" s="1">
        <v>2017.0</v>
      </c>
      <c r="I4902" s="1" t="s">
        <v>136</v>
      </c>
      <c r="J4902" s="1" t="s">
        <v>51</v>
      </c>
      <c r="K4902" s="1" t="s">
        <v>6164</v>
      </c>
      <c r="L4902" s="1" t="s">
        <v>25632</v>
      </c>
      <c r="M4902" s="2" t="s">
        <v>12</v>
      </c>
      <c r="N4902" s="4">
        <f t="shared" si="1"/>
        <v>43221</v>
      </c>
      <c r="O4902" s="5" t="str">
        <f>IFERROR(__xludf.DUMMYFUNCTION("IF(REGEXMATCH(TRIM(I4902), ""^\d+\s*min""), ""Unclassified"", IF(I4902 = """", ""NR"", I4902))"),"TV-PG")</f>
        <v>TV-PG</v>
      </c>
      <c r="R4902" s="5" t="str">
        <f t="shared" si="2"/>
        <v>Spiritual House</v>
      </c>
      <c r="S4902" s="5" t="str">
        <f>IFERROR(__xludf.DUMMYFUNCTION("""COMPUTED_VALUE"""),"My Runway")</f>
        <v>My Runway</v>
      </c>
      <c r="V4902" s="5"/>
      <c r="Y4902" s="5" t="str">
        <f>IFERROR(__xludf.DUMMYFUNCTION("REGEXEXTRACT(J4902, ""^\d+"")"),"1")</f>
        <v>1</v>
      </c>
      <c r="Z4902" s="5" t="str">
        <f>IFERROR(__xludf.DUMMYFUNCTION("REGEXEXTRACT(J4902, ""[A-Za-z ]+$"")")," Season")</f>
        <v> Season</v>
      </c>
      <c r="AA4902" s="5" t="str">
        <f>IFERROR(__xludf.DUMMYFUNCTION("IF(REGEXMATCH(Z4902, ""Season""), ""TV Show"", ""Movie"")"),"TV Show")</f>
        <v>TV Show</v>
      </c>
    </row>
    <row r="4903">
      <c r="A4903" s="1" t="s">
        <v>25633</v>
      </c>
      <c r="B4903" s="1" t="s">
        <v>27</v>
      </c>
      <c r="C4903" s="1" t="s">
        <v>25634</v>
      </c>
      <c r="D4903" s="1" t="s">
        <v>6557</v>
      </c>
      <c r="E4903" s="1" t="s">
        <v>25635</v>
      </c>
      <c r="F4903" s="1" t="s">
        <v>30</v>
      </c>
      <c r="G4903" s="7">
        <v>43221.0</v>
      </c>
      <c r="H4903" s="1">
        <v>2017.0</v>
      </c>
      <c r="I4903" s="1" t="s">
        <v>378</v>
      </c>
      <c r="J4903" s="1" t="s">
        <v>33</v>
      </c>
      <c r="K4903" s="1" t="s">
        <v>836</v>
      </c>
      <c r="L4903" s="1" t="s">
        <v>25636</v>
      </c>
      <c r="M4903" s="2" t="s">
        <v>12</v>
      </c>
      <c r="N4903" s="4">
        <f t="shared" si="1"/>
        <v>43221</v>
      </c>
      <c r="O4903" s="5" t="str">
        <f>IFERROR(__xludf.DUMMYFUNCTION("IF(REGEXMATCH(TRIM(I4903), ""^\d+\s*min""), ""Unclassified"", IF(I4903 = """", ""NR"", I4903))"),"R")</f>
        <v>R</v>
      </c>
      <c r="R4903" s="5" t="str">
        <f t="shared" si="2"/>
        <v>The Clapper</v>
      </c>
      <c r="S4903" s="5" t="str">
        <f>IFERROR(__xludf.DUMMYFUNCTION("""COMPUTED_VALUE"""),"My Sassy Girl")</f>
        <v>My Sassy Girl</v>
      </c>
      <c r="V4903" s="5"/>
      <c r="Y4903" s="5" t="str">
        <f>IFERROR(__xludf.DUMMYFUNCTION("REGEXEXTRACT(J4903, ""^\d+"")"),"90")</f>
        <v>90</v>
      </c>
      <c r="Z4903" s="5" t="str">
        <f>IFERROR(__xludf.DUMMYFUNCTION("REGEXEXTRACT(J4903, ""[A-Za-z ]+$"")")," min")</f>
        <v> min</v>
      </c>
      <c r="AA4903" s="5" t="str">
        <f>IFERROR(__xludf.DUMMYFUNCTION("IF(REGEXMATCH(Z4903, ""Season""), ""TV Show"", ""Movie"")"),"Movie")</f>
        <v>Movie</v>
      </c>
    </row>
    <row r="4904">
      <c r="A4904" s="1" t="s">
        <v>25637</v>
      </c>
      <c r="B4904" s="1" t="s">
        <v>27</v>
      </c>
      <c r="C4904" s="1" t="s">
        <v>25638</v>
      </c>
      <c r="D4904" s="1" t="s">
        <v>23176</v>
      </c>
      <c r="E4904" s="1" t="s">
        <v>25639</v>
      </c>
      <c r="F4904" s="1" t="s">
        <v>784</v>
      </c>
      <c r="G4904" s="7">
        <v>43221.0</v>
      </c>
      <c r="H4904" s="1">
        <v>2017.0</v>
      </c>
      <c r="I4904" s="1" t="s">
        <v>42</v>
      </c>
      <c r="J4904" s="1" t="s">
        <v>322</v>
      </c>
      <c r="K4904" s="1" t="s">
        <v>199</v>
      </c>
      <c r="L4904" s="1" t="s">
        <v>25640</v>
      </c>
      <c r="M4904" s="2" t="s">
        <v>12</v>
      </c>
      <c r="N4904" s="4">
        <f t="shared" si="1"/>
        <v>43221</v>
      </c>
      <c r="O4904" s="5" t="str">
        <f>IFERROR(__xludf.DUMMYFUNCTION("IF(REGEXMATCH(TRIM(I4904), ""^\d+\s*min""), ""Unclassified"", IF(I4904 = """", ""NR"", I4904))"),"TV-MA")</f>
        <v>TV-MA</v>
      </c>
      <c r="R4904" s="5" t="str">
        <f t="shared" si="2"/>
        <v>Toc Toc</v>
      </c>
      <c r="S4904" s="5" t="str">
        <f>IFERROR(__xludf.DUMMYFUNCTION("""COMPUTED_VALUE"""),"My Schoolmate, The Barbarian")</f>
        <v>My Schoolmate, The Barbarian</v>
      </c>
      <c r="V4904" s="5"/>
      <c r="Y4904" s="5" t="str">
        <f>IFERROR(__xludf.DUMMYFUNCTION("REGEXEXTRACT(J4904, ""^\d+"")"),"96")</f>
        <v>96</v>
      </c>
      <c r="Z4904" s="5" t="str">
        <f>IFERROR(__xludf.DUMMYFUNCTION("REGEXEXTRACT(J4904, ""[A-Za-z ]+$"")")," min")</f>
        <v> min</v>
      </c>
      <c r="AA4904" s="5" t="str">
        <f>IFERROR(__xludf.DUMMYFUNCTION("IF(REGEXMATCH(Z4904, ""Season""), ""TV Show"", ""Movie"")"),"Movie")</f>
        <v>Movie</v>
      </c>
    </row>
    <row r="4905">
      <c r="A4905" s="1" t="s">
        <v>25641</v>
      </c>
      <c r="B4905" s="1" t="s">
        <v>37</v>
      </c>
      <c r="C4905" s="1" t="s">
        <v>25642</v>
      </c>
      <c r="E4905" s="1" t="s">
        <v>25643</v>
      </c>
      <c r="F4905" s="1" t="s">
        <v>25644</v>
      </c>
      <c r="G4905" s="1" t="s">
        <v>25645</v>
      </c>
      <c r="H4905" s="1">
        <v>2017.0</v>
      </c>
      <c r="I4905" s="1" t="s">
        <v>97</v>
      </c>
      <c r="J4905" s="1" t="s">
        <v>51</v>
      </c>
      <c r="K4905" s="1" t="s">
        <v>402</v>
      </c>
      <c r="L4905" s="1" t="s">
        <v>25646</v>
      </c>
      <c r="M4905" s="2" t="s">
        <v>12</v>
      </c>
      <c r="N4905" s="4">
        <f t="shared" si="1"/>
        <v>43220</v>
      </c>
      <c r="O4905" s="5" t="str">
        <f>IFERROR(__xludf.DUMMYFUNCTION("IF(REGEXMATCH(TRIM(I4905), ""^\d+\s*min""), ""Unclassified"", IF(I4905 = """", ""NR"", I4905))"),"TV-14")</f>
        <v>TV-14</v>
      </c>
      <c r="R4905" s="5" t="str">
        <f t="shared" si="2"/>
        <v>Black Crows</v>
      </c>
      <c r="S4905" s="5" t="str">
        <f>IFERROR(__xludf.DUMMYFUNCTION("""COMPUTED_VALUE"""),"My Scientology Movie")</f>
        <v>My Scientology Movie</v>
      </c>
      <c r="V4905" s="5"/>
      <c r="Y4905" s="5" t="str">
        <f>IFERROR(__xludf.DUMMYFUNCTION("REGEXEXTRACT(J4905, ""^\d+"")"),"1")</f>
        <v>1</v>
      </c>
      <c r="Z4905" s="5" t="str">
        <f>IFERROR(__xludf.DUMMYFUNCTION("REGEXEXTRACT(J4905, ""[A-Za-z ]+$"")")," Season")</f>
        <v> Season</v>
      </c>
      <c r="AA4905" s="5" t="str">
        <f>IFERROR(__xludf.DUMMYFUNCTION("IF(REGEXMATCH(Z4905, ""Season""), ""TV Show"", ""Movie"")"),"TV Show")</f>
        <v>TV Show</v>
      </c>
    </row>
    <row r="4906">
      <c r="A4906" s="1" t="s">
        <v>25647</v>
      </c>
      <c r="B4906" s="1" t="s">
        <v>27</v>
      </c>
      <c r="C4906" s="1" t="s">
        <v>25648</v>
      </c>
      <c r="D4906" s="1" t="s">
        <v>1597</v>
      </c>
      <c r="E4906" s="1" t="s">
        <v>25649</v>
      </c>
      <c r="F4906" s="1" t="s">
        <v>63</v>
      </c>
      <c r="G4906" s="1" t="s">
        <v>25645</v>
      </c>
      <c r="H4906" s="1">
        <v>2017.0</v>
      </c>
      <c r="I4906" s="1" t="s">
        <v>97</v>
      </c>
      <c r="J4906" s="1" t="s">
        <v>379</v>
      </c>
      <c r="K4906" s="1" t="s">
        <v>215</v>
      </c>
      <c r="L4906" s="1" t="s">
        <v>25650</v>
      </c>
      <c r="M4906" s="2" t="s">
        <v>12</v>
      </c>
      <c r="N4906" s="4">
        <f t="shared" si="1"/>
        <v>43220</v>
      </c>
      <c r="O4906" s="5" t="str">
        <f>IFERROR(__xludf.DUMMYFUNCTION("IF(REGEXMATCH(TRIM(I4906), ""^\d+\s*min""), ""Unclassified"", IF(I4906 = """", ""NR"", I4906))"),"TV-14")</f>
        <v>TV-14</v>
      </c>
      <c r="R4906" s="5" t="str">
        <f t="shared" si="2"/>
        <v>Running Shaadi</v>
      </c>
      <c r="S4906" s="5" t="str">
        <f>IFERROR(__xludf.DUMMYFUNCTION("""COMPUTED_VALUE"""),"My Secret Romance")</f>
        <v>My Secret Romance</v>
      </c>
      <c r="V4906" s="5"/>
      <c r="Y4906" s="5" t="str">
        <f>IFERROR(__xludf.DUMMYFUNCTION("REGEXEXTRACT(J4906, ""^\d+"")"),"115")</f>
        <v>115</v>
      </c>
      <c r="Z4906" s="5" t="str">
        <f>IFERROR(__xludf.DUMMYFUNCTION("REGEXEXTRACT(J4906, ""[A-Za-z ]+$"")")," min")</f>
        <v> min</v>
      </c>
      <c r="AA4906" s="5" t="str">
        <f>IFERROR(__xludf.DUMMYFUNCTION("IF(REGEXMATCH(Z4906, ""Season""), ""TV Show"", ""Movie"")"),"Movie")</f>
        <v>Movie</v>
      </c>
    </row>
    <row r="4907">
      <c r="A4907" s="1" t="s">
        <v>25651</v>
      </c>
      <c r="B4907" s="1" t="s">
        <v>27</v>
      </c>
      <c r="C4907" s="1" t="s">
        <v>25652</v>
      </c>
      <c r="D4907" s="1" t="s">
        <v>22295</v>
      </c>
      <c r="E4907" s="1" t="s">
        <v>25653</v>
      </c>
      <c r="F4907" s="1" t="s">
        <v>664</v>
      </c>
      <c r="G4907" s="1" t="s">
        <v>25645</v>
      </c>
      <c r="H4907" s="1">
        <v>2017.0</v>
      </c>
      <c r="I4907" s="1" t="s">
        <v>42</v>
      </c>
      <c r="J4907" s="1" t="s">
        <v>665</v>
      </c>
      <c r="K4907" s="1" t="s">
        <v>128</v>
      </c>
      <c r="L4907" s="1" t="s">
        <v>25654</v>
      </c>
      <c r="M4907" s="2" t="s">
        <v>12</v>
      </c>
      <c r="N4907" s="4">
        <f t="shared" si="1"/>
        <v>43220</v>
      </c>
      <c r="O4907" s="5" t="str">
        <f>IFERROR(__xludf.DUMMYFUNCTION("IF(REGEXMATCH(TRIM(I4907), ""^\d+\s*min""), ""Unclassified"", IF(I4907 = """", ""NR"", I4907))"),"TV-MA")</f>
        <v>TV-MA</v>
      </c>
      <c r="R4907" s="5" t="str">
        <f t="shared" si="2"/>
        <v>The Price Of Success</v>
      </c>
      <c r="S4907" s="5" t="str">
        <f>IFERROR(__xludf.DUMMYFUNCTION("""COMPUTED_VALUE"""),"My Shy Boss")</f>
        <v>My Shy Boss</v>
      </c>
      <c r="V4907" s="5"/>
      <c r="Y4907" s="5" t="str">
        <f>IFERROR(__xludf.DUMMYFUNCTION("REGEXEXTRACT(J4907, ""^\d+"")"),"92")</f>
        <v>92</v>
      </c>
      <c r="Z4907" s="5" t="str">
        <f>IFERROR(__xludf.DUMMYFUNCTION("REGEXEXTRACT(J4907, ""[A-Za-z ]+$"")")," min")</f>
        <v> min</v>
      </c>
      <c r="AA4907" s="5" t="str">
        <f>IFERROR(__xludf.DUMMYFUNCTION("IF(REGEXMATCH(Z4907, ""Season""), ""TV Show"", ""Movie"")"),"Movie")</f>
        <v>Movie</v>
      </c>
    </row>
    <row r="4908">
      <c r="A4908" s="1" t="s">
        <v>25655</v>
      </c>
      <c r="B4908" s="1" t="s">
        <v>37</v>
      </c>
      <c r="C4908" s="1" t="s">
        <v>25656</v>
      </c>
      <c r="D4908" s="1" t="s">
        <v>6218</v>
      </c>
      <c r="E4908" s="1" t="s">
        <v>25657</v>
      </c>
      <c r="G4908" s="1" t="s">
        <v>25658</v>
      </c>
      <c r="H4908" s="1">
        <v>2018.0</v>
      </c>
      <c r="I4908" s="1" t="s">
        <v>42</v>
      </c>
      <c r="J4908" s="1" t="s">
        <v>51</v>
      </c>
      <c r="K4908" s="1" t="s">
        <v>1261</v>
      </c>
      <c r="L4908" s="1" t="s">
        <v>25659</v>
      </c>
      <c r="M4908" s="2" t="s">
        <v>12</v>
      </c>
      <c r="N4908" s="4">
        <f t="shared" si="1"/>
        <v>43217</v>
      </c>
      <c r="O4908" s="5" t="str">
        <f>IFERROR(__xludf.DUMMYFUNCTION("IF(REGEXMATCH(TRIM(I4908), ""^\d+\s*min""), ""Unclassified"", IF(I4908 = """", ""NR"", I4908))"),"TV-MA")</f>
        <v>TV-MA</v>
      </c>
      <c r="R4908" s="5" t="str">
        <f t="shared" si="2"/>
        <v>Bobby Kennedy For President</v>
      </c>
      <c r="S4908" s="5" t="str">
        <f>IFERROR(__xludf.DUMMYFUNCTION("""COMPUTED_VALUE"""),"My Sister'S Keeper")</f>
        <v>My Sister'S Keeper</v>
      </c>
      <c r="V4908" s="5"/>
      <c r="Y4908" s="5" t="str">
        <f>IFERROR(__xludf.DUMMYFUNCTION("REGEXEXTRACT(J4908, ""^\d+"")"),"1")</f>
        <v>1</v>
      </c>
      <c r="Z4908" s="5" t="str">
        <f>IFERROR(__xludf.DUMMYFUNCTION("REGEXEXTRACT(J4908, ""[A-Za-z ]+$"")")," Season")</f>
        <v> Season</v>
      </c>
      <c r="AA4908" s="5" t="str">
        <f>IFERROR(__xludf.DUMMYFUNCTION("IF(REGEXMATCH(Z4908, ""Season""), ""TV Show"", ""Movie"")"),"TV Show")</f>
        <v>TV Show</v>
      </c>
    </row>
    <row r="4909">
      <c r="A4909" s="1" t="s">
        <v>25660</v>
      </c>
      <c r="B4909" s="1" t="s">
        <v>27</v>
      </c>
      <c r="C4909" s="1" t="s">
        <v>25661</v>
      </c>
      <c r="D4909" s="1" t="s">
        <v>3174</v>
      </c>
      <c r="E4909" s="1" t="s">
        <v>25662</v>
      </c>
      <c r="F4909" s="1" t="s">
        <v>30</v>
      </c>
      <c r="G4909" s="1" t="s">
        <v>25658</v>
      </c>
      <c r="H4909" s="1">
        <v>2018.0</v>
      </c>
      <c r="I4909" s="1" t="s">
        <v>97</v>
      </c>
      <c r="J4909" s="1" t="s">
        <v>454</v>
      </c>
      <c r="K4909" s="1" t="s">
        <v>14468</v>
      </c>
      <c r="L4909" s="1" t="s">
        <v>25663</v>
      </c>
      <c r="M4909" s="2" t="s">
        <v>12</v>
      </c>
      <c r="N4909" s="4">
        <f t="shared" si="1"/>
        <v>43217</v>
      </c>
      <c r="O4909" s="5" t="str">
        <f>IFERROR(__xludf.DUMMYFUNCTION("IF(REGEXMATCH(TRIM(I4909), ""^\d+\s*min""), ""Unclassified"", IF(I4909 = """", ""NR"", I4909))"),"TV-14")</f>
        <v>TV-14</v>
      </c>
      <c r="R4909" s="5" t="str">
        <f t="shared" si="2"/>
        <v>Candy Jar</v>
      </c>
      <c r="S4909" s="5" t="str">
        <f>IFERROR(__xludf.DUMMYFUNCTION("""COMPUTED_VALUE"""),"My Sleeping Lover")</f>
        <v>My Sleeping Lover</v>
      </c>
      <c r="V4909" s="5"/>
      <c r="Y4909" s="5" t="str">
        <f>IFERROR(__xludf.DUMMYFUNCTION("REGEXEXTRACT(J4909, ""^\d+"")"),"93")</f>
        <v>93</v>
      </c>
      <c r="Z4909" s="5" t="str">
        <f>IFERROR(__xludf.DUMMYFUNCTION("REGEXEXTRACT(J4909, ""[A-Za-z ]+$"")")," min")</f>
        <v> min</v>
      </c>
      <c r="AA4909" s="5" t="str">
        <f>IFERROR(__xludf.DUMMYFUNCTION("IF(REGEXMATCH(Z4909, ""Season""), ""TV Show"", ""Movie"")"),"Movie")</f>
        <v>Movie</v>
      </c>
    </row>
    <row r="4910">
      <c r="A4910" s="1" t="s">
        <v>25664</v>
      </c>
      <c r="B4910" s="1" t="s">
        <v>37</v>
      </c>
      <c r="C4910" s="1" t="s">
        <v>25665</v>
      </c>
      <c r="E4910" s="1" t="s">
        <v>25666</v>
      </c>
      <c r="G4910" s="1" t="s">
        <v>25658</v>
      </c>
      <c r="H4910" s="1">
        <v>2016.0</v>
      </c>
      <c r="I4910" s="1" t="s">
        <v>97</v>
      </c>
      <c r="J4910" s="1" t="s">
        <v>43</v>
      </c>
      <c r="K4910" s="1" t="s">
        <v>9281</v>
      </c>
      <c r="L4910" s="1" t="s">
        <v>25667</v>
      </c>
      <c r="M4910" s="2" t="s">
        <v>12</v>
      </c>
      <c r="N4910" s="4">
        <f t="shared" si="1"/>
        <v>43217</v>
      </c>
      <c r="O4910" s="5" t="str">
        <f>IFERROR(__xludf.DUMMYFUNCTION("IF(REGEXMATCH(TRIM(I4910), ""^\d+\s*min""), ""Unclassified"", IF(I4910 = """", ""NR"", I4910))"),"TV-14")</f>
        <v>TV-14</v>
      </c>
      <c r="R4910" s="5" t="str">
        <f t="shared" si="2"/>
        <v>Goodnight Dj 1</v>
      </c>
      <c r="S4910" s="5" t="str">
        <f>IFERROR(__xludf.DUMMYFUNCTION("""COMPUTED_VALUE"""),"My Step Dad: The Hippie")</f>
        <v>My Step Dad: The Hippie</v>
      </c>
      <c r="V4910" s="5"/>
      <c r="Y4910" s="5" t="str">
        <f>IFERROR(__xludf.DUMMYFUNCTION("REGEXEXTRACT(J4910, ""^\d+"")"),"2")</f>
        <v>2</v>
      </c>
      <c r="Z4910" s="5" t="str">
        <f>IFERROR(__xludf.DUMMYFUNCTION("REGEXEXTRACT(J4910, ""[A-Za-z ]+$"")")," Seasons")</f>
        <v> Seasons</v>
      </c>
      <c r="AA4910" s="5" t="str">
        <f>IFERROR(__xludf.DUMMYFUNCTION("IF(REGEXMATCH(Z4910, ""Season""), ""TV Show"", ""Movie"")"),"TV Show")</f>
        <v>TV Show</v>
      </c>
    </row>
    <row r="4911">
      <c r="A4911" s="1" t="s">
        <v>25668</v>
      </c>
      <c r="B4911" s="1" t="s">
        <v>27</v>
      </c>
      <c r="C4911" s="1" t="s">
        <v>25669</v>
      </c>
      <c r="D4911" s="1" t="s">
        <v>5302</v>
      </c>
      <c r="E4911" s="1" t="s">
        <v>25670</v>
      </c>
      <c r="F4911" s="1" t="s">
        <v>784</v>
      </c>
      <c r="G4911" s="1" t="s">
        <v>25658</v>
      </c>
      <c r="H4911" s="1">
        <v>2017.0</v>
      </c>
      <c r="I4911" s="1" t="s">
        <v>42</v>
      </c>
      <c r="J4911" s="1" t="s">
        <v>465</v>
      </c>
      <c r="K4911" s="1" t="s">
        <v>6624</v>
      </c>
      <c r="L4911" s="1" t="s">
        <v>25671</v>
      </c>
      <c r="M4911" s="2" t="s">
        <v>12</v>
      </c>
      <c r="N4911" s="4">
        <f t="shared" si="1"/>
        <v>43217</v>
      </c>
      <c r="O4911" s="5" t="str">
        <f>IFERROR(__xludf.DUMMYFUNCTION("IF(REGEXMATCH(TRIM(I4911), ""^\d+\s*min""), ""Unclassified"", IF(I4911 = """", ""NR"", I4911))"),"TV-MA")</f>
        <v>TV-MA</v>
      </c>
      <c r="R4911" s="5" t="str">
        <f t="shared" si="2"/>
        <v>Holy Goalie</v>
      </c>
      <c r="S4911" s="5" t="str">
        <f>IFERROR(__xludf.DUMMYFUNCTION("""COMPUTED_VALUE"""),"My Stupid Boss")</f>
        <v>My Stupid Boss</v>
      </c>
      <c r="V4911" s="5"/>
      <c r="Y4911" s="5" t="str">
        <f>IFERROR(__xludf.DUMMYFUNCTION("REGEXEXTRACT(J4911, ""^\d+"")"),"95")</f>
        <v>95</v>
      </c>
      <c r="Z4911" s="5" t="str">
        <f>IFERROR(__xludf.DUMMYFUNCTION("REGEXEXTRACT(J4911, ""[A-Za-z ]+$"")")," min")</f>
        <v> min</v>
      </c>
      <c r="AA4911" s="5" t="str">
        <f>IFERROR(__xludf.DUMMYFUNCTION("IF(REGEXMATCH(Z4911, ""Season""), ""TV Show"", ""Movie"")"),"Movie")</f>
        <v>Movie</v>
      </c>
    </row>
    <row r="4912">
      <c r="A4912" s="1" t="s">
        <v>25672</v>
      </c>
      <c r="B4912" s="1" t="s">
        <v>37</v>
      </c>
      <c r="C4912" s="1" t="s">
        <v>25673</v>
      </c>
      <c r="E4912" s="1" t="s">
        <v>25674</v>
      </c>
      <c r="G4912" s="1" t="s">
        <v>25658</v>
      </c>
      <c r="H4912" s="1">
        <v>2016.0</v>
      </c>
      <c r="I4912" s="1" t="s">
        <v>136</v>
      </c>
      <c r="J4912" s="1" t="s">
        <v>51</v>
      </c>
      <c r="K4912" s="1" t="s">
        <v>402</v>
      </c>
      <c r="L4912" s="1" t="s">
        <v>25675</v>
      </c>
      <c r="M4912" s="2" t="s">
        <v>12</v>
      </c>
      <c r="N4912" s="4">
        <f t="shared" si="1"/>
        <v>43217</v>
      </c>
      <c r="O4912" s="5" t="str">
        <f>IFERROR(__xludf.DUMMYFUNCTION("IF(REGEXMATCH(TRIM(I4912), ""^\d+\s*min""), ""Unclassified"", IF(I4912 = """", ""NR"", I4912))"),"TV-PG")</f>
        <v>TV-PG</v>
      </c>
      <c r="R4912" s="5" t="str">
        <f t="shared" si="2"/>
        <v>Moving On</v>
      </c>
      <c r="S4912" s="5" t="str">
        <f>IFERROR(__xludf.DUMMYFUNCTION("""COMPUTED_VALUE"""),"My Stupid Boss 2")</f>
        <v>My Stupid Boss 2</v>
      </c>
      <c r="V4912" s="5"/>
      <c r="Y4912" s="5" t="str">
        <f>IFERROR(__xludf.DUMMYFUNCTION("REGEXEXTRACT(J4912, ""^\d+"")"),"1")</f>
        <v>1</v>
      </c>
      <c r="Z4912" s="5" t="str">
        <f>IFERROR(__xludf.DUMMYFUNCTION("REGEXEXTRACT(J4912, ""[A-Za-z ]+$"")")," Season")</f>
        <v> Season</v>
      </c>
      <c r="AA4912" s="5" t="str">
        <f>IFERROR(__xludf.DUMMYFUNCTION("IF(REGEXMATCH(Z4912, ""Season""), ""TV Show"", ""Movie"")"),"TV Show")</f>
        <v>TV Show</v>
      </c>
    </row>
    <row r="4913">
      <c r="A4913" s="1" t="s">
        <v>25676</v>
      </c>
      <c r="B4913" s="1" t="s">
        <v>27</v>
      </c>
      <c r="C4913" s="1" t="s">
        <v>25677</v>
      </c>
      <c r="D4913" s="1" t="s">
        <v>1736</v>
      </c>
      <c r="F4913" s="1" t="s">
        <v>30</v>
      </c>
      <c r="G4913" s="1" t="s">
        <v>25658</v>
      </c>
      <c r="H4913" s="1">
        <v>2018.0</v>
      </c>
      <c r="I4913" s="1" t="s">
        <v>42</v>
      </c>
      <c r="J4913" s="1" t="s">
        <v>305</v>
      </c>
      <c r="K4913" s="1" t="s">
        <v>34</v>
      </c>
      <c r="L4913" s="1" t="s">
        <v>25678</v>
      </c>
      <c r="M4913" s="2" t="s">
        <v>12</v>
      </c>
      <c r="N4913" s="4">
        <f t="shared" si="1"/>
        <v>43217</v>
      </c>
      <c r="O4913" s="5" t="str">
        <f>IFERROR(__xludf.DUMMYFUNCTION("IF(REGEXMATCH(TRIM(I4913), ""^\d+\s*min""), ""Unclassified"", IF(I4913 = """", ""NR"", I4913))"),"TV-MA")</f>
        <v>TV-MA</v>
      </c>
      <c r="R4913" s="5" t="str">
        <f t="shared" si="2"/>
        <v>The Rachel Divide</v>
      </c>
      <c r="S4913" s="5" t="str">
        <f>IFERROR(__xludf.DUMMYFUNCTION("""COMPUTED_VALUE"""),"My Suicide")</f>
        <v>My Suicide</v>
      </c>
      <c r="V4913" s="5"/>
      <c r="Y4913" s="5" t="str">
        <f>IFERROR(__xludf.DUMMYFUNCTION("REGEXEXTRACT(J4913, ""^\d+"")"),"105")</f>
        <v>105</v>
      </c>
      <c r="Z4913" s="5" t="str">
        <f>IFERROR(__xludf.DUMMYFUNCTION("REGEXEXTRACT(J4913, ""[A-Za-z ]+$"")")," min")</f>
        <v> min</v>
      </c>
      <c r="AA4913" s="5" t="str">
        <f>IFERROR(__xludf.DUMMYFUNCTION("IF(REGEXMATCH(Z4913, ""Season""), ""TV Show"", ""Movie"")"),"Movie")</f>
        <v>Movie</v>
      </c>
    </row>
    <row r="4914">
      <c r="A4914" s="1" t="s">
        <v>25679</v>
      </c>
      <c r="B4914" s="1" t="s">
        <v>27</v>
      </c>
      <c r="C4914" s="1" t="s">
        <v>25680</v>
      </c>
      <c r="D4914" s="1" t="s">
        <v>19519</v>
      </c>
      <c r="E4914" s="1" t="s">
        <v>25681</v>
      </c>
      <c r="F4914" s="1" t="s">
        <v>30</v>
      </c>
      <c r="G4914" s="1" t="s">
        <v>25658</v>
      </c>
      <c r="H4914" s="1">
        <v>2018.0</v>
      </c>
      <c r="I4914" s="1" t="s">
        <v>97</v>
      </c>
      <c r="J4914" s="1" t="s">
        <v>743</v>
      </c>
      <c r="K4914" s="1" t="s">
        <v>239</v>
      </c>
      <c r="L4914" s="1" t="s">
        <v>25682</v>
      </c>
      <c r="M4914" s="2" t="s">
        <v>12</v>
      </c>
      <c r="N4914" s="4">
        <f t="shared" si="1"/>
        <v>43217</v>
      </c>
      <c r="O4914" s="5" t="str">
        <f>IFERROR(__xludf.DUMMYFUNCTION("IF(REGEXMATCH(TRIM(I4914), ""^\d+\s*min""), ""Unclassified"", IF(I4914 = """", ""NR"", I4914))"),"TV-14")</f>
        <v>TV-14</v>
      </c>
      <c r="R4914" s="5" t="str">
        <f t="shared" si="2"/>
        <v>The Week Of</v>
      </c>
      <c r="S4914" s="5" t="str">
        <f>IFERROR(__xludf.DUMMYFUNCTION("""COMPUTED_VALUE"""),"My Tattoo Addiction")</f>
        <v>My Tattoo Addiction</v>
      </c>
      <c r="V4914" s="5"/>
      <c r="Y4914" s="5" t="str">
        <f>IFERROR(__xludf.DUMMYFUNCTION("REGEXEXTRACT(J4914, ""^\d+"")"),"117")</f>
        <v>117</v>
      </c>
      <c r="Z4914" s="5" t="str">
        <f>IFERROR(__xludf.DUMMYFUNCTION("REGEXEXTRACT(J4914, ""[A-Za-z ]+$"")")," min")</f>
        <v> min</v>
      </c>
      <c r="AA4914" s="5" t="str">
        <f>IFERROR(__xludf.DUMMYFUNCTION("IF(REGEXMATCH(Z4914, ""Season""), ""TV Show"", ""Movie"")"),"Movie")</f>
        <v>Movie</v>
      </c>
    </row>
    <row r="4915">
      <c r="A4915" s="1" t="s">
        <v>25683</v>
      </c>
      <c r="B4915" s="1" t="s">
        <v>37</v>
      </c>
      <c r="C4915" s="1" t="s">
        <v>25684</v>
      </c>
      <c r="E4915" s="1" t="s">
        <v>25685</v>
      </c>
      <c r="G4915" s="1" t="s">
        <v>25658</v>
      </c>
      <c r="H4915" s="1">
        <v>2016.0</v>
      </c>
      <c r="I4915" s="1" t="s">
        <v>136</v>
      </c>
      <c r="J4915" s="1" t="s">
        <v>51</v>
      </c>
      <c r="K4915" s="1" t="s">
        <v>64</v>
      </c>
      <c r="L4915" s="1" t="s">
        <v>25686</v>
      </c>
      <c r="M4915" s="2" t="s">
        <v>12</v>
      </c>
      <c r="N4915" s="4">
        <f t="shared" si="1"/>
        <v>43217</v>
      </c>
      <c r="O4915" s="5" t="str">
        <f>IFERROR(__xludf.DUMMYFUNCTION("IF(REGEXMATCH(TRIM(I4915), ""^\d+\s*min""), ""Unclassified"", IF(I4915 = """", ""NR"", I4915))"),"TV-PG")</f>
        <v>TV-PG</v>
      </c>
      <c r="R4915" s="5" t="str">
        <f t="shared" si="2"/>
        <v>Trio And A Bed</v>
      </c>
      <c r="S4915" s="5" t="str">
        <f>IFERROR(__xludf.DUMMYFUNCTION("""COMPUTED_VALUE"""),"My Teacher, My Obsession")</f>
        <v>My Teacher, My Obsession</v>
      </c>
      <c r="V4915" s="5"/>
      <c r="Y4915" s="5" t="str">
        <f>IFERROR(__xludf.DUMMYFUNCTION("REGEXEXTRACT(J4915, ""^\d+"")"),"1")</f>
        <v>1</v>
      </c>
      <c r="Z4915" s="5" t="str">
        <f>IFERROR(__xludf.DUMMYFUNCTION("REGEXEXTRACT(J4915, ""[A-Za-z ]+$"")")," Season")</f>
        <v> Season</v>
      </c>
      <c r="AA4915" s="5" t="str">
        <f>IFERROR(__xludf.DUMMYFUNCTION("IF(REGEXMATCH(Z4915, ""Season""), ""TV Show"", ""Movie"")"),"TV Show")</f>
        <v>TV Show</v>
      </c>
    </row>
    <row r="4916">
      <c r="A4916" s="1" t="s">
        <v>25687</v>
      </c>
      <c r="B4916" s="1" t="s">
        <v>37</v>
      </c>
      <c r="C4916" s="1" t="s">
        <v>25688</v>
      </c>
      <c r="E4916" s="1" t="s">
        <v>25689</v>
      </c>
      <c r="G4916" s="1" t="s">
        <v>25658</v>
      </c>
      <c r="H4916" s="1">
        <v>2016.0</v>
      </c>
      <c r="I4916" s="1" t="s">
        <v>97</v>
      </c>
      <c r="J4916" s="1" t="s">
        <v>51</v>
      </c>
      <c r="K4916" s="1" t="s">
        <v>402</v>
      </c>
      <c r="L4916" s="1" t="s">
        <v>25690</v>
      </c>
      <c r="M4916" s="2" t="s">
        <v>12</v>
      </c>
      <c r="N4916" s="4">
        <f t="shared" si="1"/>
        <v>43217</v>
      </c>
      <c r="O4916" s="5" t="str">
        <f>IFERROR(__xludf.DUMMYFUNCTION("IF(REGEXMATCH(TRIM(I4916), ""^\d+\s*min""), ""Unclassified"", IF(I4916 = """", ""NR"", I4916))"),"TV-14")</f>
        <v>TV-14</v>
      </c>
      <c r="R4916" s="5" t="str">
        <f t="shared" si="2"/>
        <v>海的儿子</v>
      </c>
      <c r="S4916" s="5" t="str">
        <f>IFERROR(__xludf.DUMMYFUNCTION("""COMPUTED_VALUE"""),"My Travel Buddy")</f>
        <v>My Travel Buddy</v>
      </c>
      <c r="V4916" s="5"/>
      <c r="Y4916" s="5" t="str">
        <f>IFERROR(__xludf.DUMMYFUNCTION("REGEXEXTRACT(J4916, ""^\d+"")"),"1")</f>
        <v>1</v>
      </c>
      <c r="Z4916" s="5" t="str">
        <f>IFERROR(__xludf.DUMMYFUNCTION("REGEXEXTRACT(J4916, ""[A-Za-z ]+$"")")," Season")</f>
        <v> Season</v>
      </c>
      <c r="AA4916" s="5" t="str">
        <f>IFERROR(__xludf.DUMMYFUNCTION("IF(REGEXMATCH(Z4916, ""Season""), ""TV Show"", ""Movie"")"),"TV Show")</f>
        <v>TV Show</v>
      </c>
    </row>
    <row r="4917">
      <c r="A4917" s="1" t="s">
        <v>25691</v>
      </c>
      <c r="B4917" s="1" t="s">
        <v>27</v>
      </c>
      <c r="C4917" s="1" t="s">
        <v>25692</v>
      </c>
      <c r="D4917" s="1" t="s">
        <v>15359</v>
      </c>
      <c r="E4917" s="1" t="s">
        <v>25693</v>
      </c>
      <c r="F4917" s="1" t="s">
        <v>2492</v>
      </c>
      <c r="G4917" s="1" t="s">
        <v>25694</v>
      </c>
      <c r="H4917" s="1">
        <v>2018.0</v>
      </c>
      <c r="I4917" s="1" t="s">
        <v>42</v>
      </c>
      <c r="J4917" s="1" t="s">
        <v>2636</v>
      </c>
      <c r="K4917" s="1" t="s">
        <v>1839</v>
      </c>
      <c r="L4917" s="1" t="s">
        <v>25695</v>
      </c>
      <c r="M4917" s="2" t="s">
        <v>12</v>
      </c>
      <c r="N4917" s="4">
        <f t="shared" si="1"/>
        <v>43216</v>
      </c>
      <c r="O4917" s="5" t="str">
        <f>IFERROR(__xludf.DUMMYFUNCTION("IF(REGEXMATCH(TRIM(I4917), ""^\d+\s*min""), ""Unclassified"", IF(I4917 = """", ""NR"", I4917))"),"TV-MA")</f>
        <v>TV-MA</v>
      </c>
      <c r="R4917" s="5" t="str">
        <f t="shared" si="2"/>
        <v>Enissa Amani: Ehrenwort</v>
      </c>
      <c r="S4917" s="5" t="str">
        <f>IFERROR(__xludf.DUMMYFUNCTION("""COMPUTED_VALUE"""),"My True Friend")</f>
        <v>My True Friend</v>
      </c>
      <c r="V4917" s="5"/>
      <c r="Y4917" s="5" t="str">
        <f>IFERROR(__xludf.DUMMYFUNCTION("REGEXEXTRACT(J4917, ""^\d+"")"),"66")</f>
        <v>66</v>
      </c>
      <c r="Z4917" s="5" t="str">
        <f>IFERROR(__xludf.DUMMYFUNCTION("REGEXEXTRACT(J4917, ""[A-Za-z ]+$"")")," min")</f>
        <v> min</v>
      </c>
      <c r="AA4917" s="5" t="str">
        <f>IFERROR(__xludf.DUMMYFUNCTION("IF(REGEXMATCH(Z4917, ""Season""), ""TV Show"", ""Movie"")"),"Movie")</f>
        <v>Movie</v>
      </c>
    </row>
    <row r="4918">
      <c r="A4918" s="1" t="s">
        <v>25696</v>
      </c>
      <c r="B4918" s="1" t="s">
        <v>27</v>
      </c>
      <c r="C4918" s="1" t="s">
        <v>25697</v>
      </c>
      <c r="D4918" s="1" t="s">
        <v>10310</v>
      </c>
      <c r="E4918" s="1" t="s">
        <v>25698</v>
      </c>
      <c r="F4918" s="1" t="s">
        <v>30</v>
      </c>
      <c r="G4918" s="1" t="s">
        <v>25699</v>
      </c>
      <c r="H4918" s="1">
        <v>2017.0</v>
      </c>
      <c r="I4918" s="1" t="s">
        <v>136</v>
      </c>
      <c r="J4918" s="1" t="s">
        <v>247</v>
      </c>
      <c r="K4918" s="1" t="s">
        <v>34</v>
      </c>
      <c r="L4918" s="1" t="s">
        <v>25700</v>
      </c>
      <c r="M4918" s="2" t="s">
        <v>12</v>
      </c>
      <c r="N4918" s="4">
        <f t="shared" si="1"/>
        <v>43215</v>
      </c>
      <c r="O4918" s="5" t="str">
        <f>IFERROR(__xludf.DUMMYFUNCTION("IF(REGEXMATCH(TRIM(I4918), ""^\d+\s*min""), ""Unclassified"", IF(I4918 = """", ""NR"", I4918))"),"TV-PG")</f>
        <v>TV-PG</v>
      </c>
      <c r="R4918" s="5" t="str">
        <f t="shared" si="2"/>
        <v>Bill Nye: Science Guy</v>
      </c>
      <c r="S4918" s="5" t="str">
        <f>IFERROR(__xludf.DUMMYFUNCTION("""COMPUTED_VALUE"""),"My Unorthodox Life")</f>
        <v>My Unorthodox Life</v>
      </c>
      <c r="V4918" s="5"/>
      <c r="Y4918" s="5" t="str">
        <f>IFERROR(__xludf.DUMMYFUNCTION("REGEXEXTRACT(J4918, ""^\d+"")"),"97")</f>
        <v>97</v>
      </c>
      <c r="Z4918" s="5" t="str">
        <f>IFERROR(__xludf.DUMMYFUNCTION("REGEXEXTRACT(J4918, ""[A-Za-z ]+$"")")," min")</f>
        <v> min</v>
      </c>
      <c r="AA4918" s="5" t="str">
        <f>IFERROR(__xludf.DUMMYFUNCTION("IF(REGEXMATCH(Z4918, ""Season""), ""TV Show"", ""Movie"")"),"Movie")</f>
        <v>Movie</v>
      </c>
    </row>
    <row r="4919">
      <c r="A4919" s="1" t="s">
        <v>25701</v>
      </c>
      <c r="B4919" s="1" t="s">
        <v>27</v>
      </c>
      <c r="C4919" s="1" t="s">
        <v>25702</v>
      </c>
      <c r="D4919" s="1" t="s">
        <v>4298</v>
      </c>
      <c r="E4919" s="1" t="s">
        <v>25703</v>
      </c>
      <c r="F4919" s="1" t="s">
        <v>1992</v>
      </c>
      <c r="G4919" s="1" t="s">
        <v>25699</v>
      </c>
      <c r="H4919" s="1">
        <v>2018.0</v>
      </c>
      <c r="I4919" s="1" t="s">
        <v>206</v>
      </c>
      <c r="J4919" s="1" t="s">
        <v>1737</v>
      </c>
      <c r="K4919" s="1" t="s">
        <v>80</v>
      </c>
      <c r="L4919" s="1" t="s">
        <v>25704</v>
      </c>
      <c r="M4919" s="2" t="s">
        <v>12</v>
      </c>
      <c r="N4919" s="4">
        <f t="shared" si="1"/>
        <v>43215</v>
      </c>
      <c r="O4919" s="5" t="str">
        <f>IFERROR(__xludf.DUMMYFUNCTION("IF(REGEXMATCH(TRIM(I4919), ""^\d+\s*min""), ""Unclassified"", IF(I4919 = """", ""NR"", I4919))"),"TV-Y")</f>
        <v>TV-Y</v>
      </c>
      <c r="R4919" s="5" t="str">
        <f t="shared" si="2"/>
        <v>Fishtronaut: The Movie</v>
      </c>
      <c r="S4919" s="5" t="str">
        <f>IFERROR(__xludf.DUMMYFUNCTION("""COMPUTED_VALUE"""),"My Way")</f>
        <v>My Way</v>
      </c>
      <c r="V4919" s="5"/>
      <c r="Y4919" s="5" t="str">
        <f>IFERROR(__xludf.DUMMYFUNCTION("REGEXEXTRACT(J4919, ""^\d+"")"),"78")</f>
        <v>78</v>
      </c>
      <c r="Z4919" s="5" t="str">
        <f>IFERROR(__xludf.DUMMYFUNCTION("REGEXEXTRACT(J4919, ""[A-Za-z ]+$"")")," min")</f>
        <v> min</v>
      </c>
      <c r="AA4919" s="5" t="str">
        <f>IFERROR(__xludf.DUMMYFUNCTION("IF(REGEXMATCH(Z4919, ""Season""), ""TV Show"", ""Movie"")"),"Movie")</f>
        <v>Movie</v>
      </c>
    </row>
    <row r="4920">
      <c r="A4920" s="1" t="s">
        <v>25705</v>
      </c>
      <c r="B4920" s="1" t="s">
        <v>27</v>
      </c>
      <c r="C4920" s="1" t="s">
        <v>25706</v>
      </c>
      <c r="D4920" s="1" t="s">
        <v>25707</v>
      </c>
      <c r="E4920" s="1" t="s">
        <v>25708</v>
      </c>
      <c r="F4920" s="1" t="s">
        <v>749</v>
      </c>
      <c r="G4920" s="1" t="s">
        <v>25699</v>
      </c>
      <c r="H4920" s="1">
        <v>2018.0</v>
      </c>
      <c r="I4920" s="1" t="s">
        <v>42</v>
      </c>
      <c r="J4920" s="1" t="s">
        <v>447</v>
      </c>
      <c r="K4920" s="1" t="s">
        <v>1328</v>
      </c>
      <c r="L4920" s="1" t="s">
        <v>25709</v>
      </c>
      <c r="M4920" s="2" t="s">
        <v>12</v>
      </c>
      <c r="N4920" s="4">
        <f t="shared" si="1"/>
        <v>43215</v>
      </c>
      <c r="O4920" s="5" t="str">
        <f>IFERROR(__xludf.DUMMYFUNCTION("IF(REGEXMATCH(TRIM(I4920), ""^\d+\s*min""), ""Unclassified"", IF(I4920 = """", ""NR"", I4920))"),"TV-MA")</f>
        <v>TV-MA</v>
      </c>
      <c r="R4920" s="5" t="str">
        <f t="shared" si="2"/>
        <v>Psychokinesis</v>
      </c>
      <c r="S4920" s="5" t="str">
        <f>IFERROR(__xludf.DUMMYFUNCTION("""COMPUTED_VALUE"""),"My Week With Marilyn")</f>
        <v>My Week With Marilyn</v>
      </c>
      <c r="V4920" s="5"/>
      <c r="Y4920" s="5" t="str">
        <f>IFERROR(__xludf.DUMMYFUNCTION("REGEXEXTRACT(J4920, ""^\d+"")"),"102")</f>
        <v>102</v>
      </c>
      <c r="Z4920" s="5" t="str">
        <f>IFERROR(__xludf.DUMMYFUNCTION("REGEXEXTRACT(J4920, ""[A-Za-z ]+$"")")," min")</f>
        <v> min</v>
      </c>
      <c r="AA4920" s="5" t="str">
        <f>IFERROR(__xludf.DUMMYFUNCTION("IF(REGEXMATCH(Z4920, ""Season""), ""TV Show"", ""Movie"")"),"Movie")</f>
        <v>Movie</v>
      </c>
    </row>
    <row r="4921">
      <c r="A4921" s="1" t="s">
        <v>25710</v>
      </c>
      <c r="B4921" s="1" t="s">
        <v>27</v>
      </c>
      <c r="C4921" s="1" t="s">
        <v>25711</v>
      </c>
      <c r="D4921" s="1" t="s">
        <v>2014</v>
      </c>
      <c r="E4921" s="1" t="s">
        <v>22033</v>
      </c>
      <c r="F4921" s="1" t="s">
        <v>30</v>
      </c>
      <c r="G4921" s="1" t="s">
        <v>25712</v>
      </c>
      <c r="H4921" s="1">
        <v>2018.0</v>
      </c>
      <c r="I4921" s="1" t="s">
        <v>136</v>
      </c>
      <c r="J4921" s="1" t="s">
        <v>2670</v>
      </c>
      <c r="K4921" s="1" t="s">
        <v>1839</v>
      </c>
      <c r="L4921" s="1" t="s">
        <v>25713</v>
      </c>
      <c r="M4921" s="2" t="s">
        <v>12</v>
      </c>
      <c r="N4921" s="4">
        <f t="shared" si="1"/>
        <v>43214</v>
      </c>
      <c r="O4921" s="5" t="str">
        <f>IFERROR(__xludf.DUMMYFUNCTION("IF(REGEXMATCH(TRIM(I4921), ""^\d+\s*min""), ""Unclassified"", IF(I4921 = """", ""NR"", I4921))"),"TV-PG")</f>
        <v>TV-PG</v>
      </c>
      <c r="R4921" s="5" t="str">
        <f t="shared" si="2"/>
        <v>Kevin James: Never Don'T Give Up</v>
      </c>
      <c r="S4921" s="5" t="str">
        <f>IFERROR(__xludf.DUMMYFUNCTION("""COMPUTED_VALUE"""),"My Wife And I")</f>
        <v>My Wife And I</v>
      </c>
      <c r="V4921" s="5"/>
      <c r="Y4921" s="5" t="str">
        <f>IFERROR(__xludf.DUMMYFUNCTION("REGEXEXTRACT(J4921, ""^\d+"")"),"62")</f>
        <v>62</v>
      </c>
      <c r="Z4921" s="5" t="str">
        <f>IFERROR(__xludf.DUMMYFUNCTION("REGEXEXTRACT(J4921, ""[A-Za-z ]+$"")")," min")</f>
        <v> min</v>
      </c>
      <c r="AA4921" s="5" t="str">
        <f>IFERROR(__xludf.DUMMYFUNCTION("IF(REGEXMATCH(Z4921, ""Season""), ""TV Show"", ""Movie"")"),"Movie")</f>
        <v>Movie</v>
      </c>
    </row>
    <row r="4922">
      <c r="A4922" s="1" t="s">
        <v>25714</v>
      </c>
      <c r="B4922" s="1" t="s">
        <v>27</v>
      </c>
      <c r="C4922" s="1" t="s">
        <v>25715</v>
      </c>
      <c r="D4922" s="1" t="s">
        <v>17223</v>
      </c>
      <c r="E4922" s="1" t="s">
        <v>25716</v>
      </c>
      <c r="F4922" s="1" t="s">
        <v>30</v>
      </c>
      <c r="G4922" s="1" t="s">
        <v>25717</v>
      </c>
      <c r="H4922" s="1">
        <v>2018.0</v>
      </c>
      <c r="I4922" s="1" t="s">
        <v>42</v>
      </c>
      <c r="J4922" s="1" t="s">
        <v>247</v>
      </c>
      <c r="K4922" s="1" t="s">
        <v>836</v>
      </c>
      <c r="L4922" s="1" t="s">
        <v>25718</v>
      </c>
      <c r="M4922" s="2" t="s">
        <v>12</v>
      </c>
      <c r="N4922" s="4">
        <f t="shared" si="1"/>
        <v>43210</v>
      </c>
      <c r="O4922" s="5" t="str">
        <f>IFERROR(__xludf.DUMMYFUNCTION("IF(REGEXMATCH(TRIM(I4922), ""^\d+\s*min""), ""Unclassified"", IF(I4922 = """", ""NR"", I4922))"),"TV-MA")</f>
        <v>TV-MA</v>
      </c>
      <c r="R4922" s="5" t="str">
        <f t="shared" si="2"/>
        <v>Dude</v>
      </c>
      <c r="S4922" s="5" t="str">
        <f>IFERROR(__xludf.DUMMYFUNCTION("""COMPUTED_VALUE"""),"My Wife And My Wifey")</f>
        <v>My Wife And My Wifey</v>
      </c>
      <c r="V4922" s="5"/>
      <c r="Y4922" s="5" t="str">
        <f>IFERROR(__xludf.DUMMYFUNCTION("REGEXEXTRACT(J4922, ""^\d+"")"),"97")</f>
        <v>97</v>
      </c>
      <c r="Z4922" s="5" t="str">
        <f>IFERROR(__xludf.DUMMYFUNCTION("REGEXEXTRACT(J4922, ""[A-Za-z ]+$"")")," min")</f>
        <v> min</v>
      </c>
      <c r="AA4922" s="5" t="str">
        <f>IFERROR(__xludf.DUMMYFUNCTION("IF(REGEXMATCH(Z4922, ""Season""), ""TV Show"", ""Movie"")"),"Movie")</f>
        <v>Movie</v>
      </c>
    </row>
    <row r="4923">
      <c r="A4923" s="1" t="s">
        <v>25719</v>
      </c>
      <c r="B4923" s="1" t="s">
        <v>27</v>
      </c>
      <c r="C4923" s="1" t="s">
        <v>25720</v>
      </c>
      <c r="D4923" s="1" t="s">
        <v>4542</v>
      </c>
      <c r="E4923" s="1" t="s">
        <v>25721</v>
      </c>
      <c r="F4923" s="1" t="s">
        <v>1979</v>
      </c>
      <c r="G4923" s="1" t="s">
        <v>25717</v>
      </c>
      <c r="H4923" s="1">
        <v>2018.0</v>
      </c>
      <c r="I4923" s="1" t="s">
        <v>42</v>
      </c>
      <c r="J4923" s="1" t="s">
        <v>305</v>
      </c>
      <c r="K4923" s="1" t="s">
        <v>107</v>
      </c>
      <c r="L4923" s="1" t="s">
        <v>25722</v>
      </c>
      <c r="M4923" s="2" t="s">
        <v>12</v>
      </c>
      <c r="N4923" s="4">
        <f t="shared" si="1"/>
        <v>43210</v>
      </c>
      <c r="O4923" s="5" t="str">
        <f>IFERROR(__xludf.DUMMYFUNCTION("IF(REGEXMATCH(TRIM(I4923), ""^\d+\s*min""), ""Unclassified"", IF(I4923 = """", ""NR"", I4923))"),"TV-MA")</f>
        <v>TV-MA</v>
      </c>
      <c r="R4923" s="5" t="str">
        <f t="shared" si="2"/>
        <v>Kodachrome</v>
      </c>
      <c r="S4923" s="5" t="str">
        <f>IFERROR(__xludf.DUMMYFUNCTION("""COMPUTED_VALUE"""),"Myriam Fares: The Journey")</f>
        <v>Myriam Fares: The Journey</v>
      </c>
      <c r="V4923" s="5"/>
      <c r="Y4923" s="5" t="str">
        <f>IFERROR(__xludf.DUMMYFUNCTION("REGEXEXTRACT(J4923, ""^\d+"")"),"105")</f>
        <v>105</v>
      </c>
      <c r="Z4923" s="5" t="str">
        <f>IFERROR(__xludf.DUMMYFUNCTION("REGEXEXTRACT(J4923, ""[A-Za-z ]+$"")")," min")</f>
        <v> min</v>
      </c>
      <c r="AA4923" s="5" t="str">
        <f>IFERROR(__xludf.DUMMYFUNCTION("IF(REGEXMATCH(Z4923, ""Season""), ""TV Show"", ""Movie"")"),"Movie")</f>
        <v>Movie</v>
      </c>
    </row>
    <row r="4924">
      <c r="A4924" s="1" t="s">
        <v>25723</v>
      </c>
      <c r="B4924" s="1" t="s">
        <v>27</v>
      </c>
      <c r="C4924" s="1" t="s">
        <v>25724</v>
      </c>
      <c r="D4924" s="1" t="s">
        <v>6155</v>
      </c>
      <c r="F4924" s="1" t="s">
        <v>30</v>
      </c>
      <c r="G4924" s="1" t="s">
        <v>25717</v>
      </c>
      <c r="H4924" s="1">
        <v>2018.0</v>
      </c>
      <c r="I4924" s="1" t="s">
        <v>136</v>
      </c>
      <c r="J4924" s="1" t="s">
        <v>6391</v>
      </c>
      <c r="K4924" s="1" t="s">
        <v>34</v>
      </c>
      <c r="L4924" s="1" t="s">
        <v>25725</v>
      </c>
      <c r="M4924" s="2" t="s">
        <v>12</v>
      </c>
      <c r="N4924" s="4">
        <f t="shared" si="1"/>
        <v>43210</v>
      </c>
      <c r="O4924" s="5" t="str">
        <f>IFERROR(__xludf.DUMMYFUNCTION("IF(REGEXMATCH(TRIM(I4924), ""^\d+\s*min""), ""Unclassified"", IF(I4924 = """", ""NR"", I4924))"),"TV-PG")</f>
        <v>TV-PG</v>
      </c>
      <c r="R4924" s="5" t="str">
        <f t="shared" si="2"/>
        <v>Mercury 13</v>
      </c>
      <c r="S4924" s="5" t="str">
        <f>IFERROR(__xludf.DUMMYFUNCTION("""COMPUTED_VALUE"""),"Mystery Lab")</f>
        <v>Mystery Lab</v>
      </c>
      <c r="V4924" s="5"/>
      <c r="Y4924" s="5" t="str">
        <f>IFERROR(__xludf.DUMMYFUNCTION("REGEXEXTRACT(J4924, ""^\d+"")"),"79")</f>
        <v>79</v>
      </c>
      <c r="Z4924" s="5" t="str">
        <f>IFERROR(__xludf.DUMMYFUNCTION("REGEXEXTRACT(J4924, ""[A-Za-z ]+$"")")," min")</f>
        <v> min</v>
      </c>
      <c r="AA4924" s="5" t="str">
        <f>IFERROR(__xludf.DUMMYFUNCTION("IF(REGEXMATCH(Z4924, ""Season""), ""TV Show"", ""Movie"")"),"Movie")</f>
        <v>Movie</v>
      </c>
    </row>
    <row r="4925">
      <c r="A4925" s="1" t="s">
        <v>25726</v>
      </c>
      <c r="B4925" s="1" t="s">
        <v>27</v>
      </c>
      <c r="C4925" s="1" t="s">
        <v>25727</v>
      </c>
      <c r="D4925" s="1" t="s">
        <v>17890</v>
      </c>
      <c r="E4925" s="1" t="s">
        <v>25728</v>
      </c>
      <c r="F4925" s="1" t="s">
        <v>1992</v>
      </c>
      <c r="G4925" s="1" t="s">
        <v>25729</v>
      </c>
      <c r="H4925" s="1">
        <v>2017.0</v>
      </c>
      <c r="I4925" s="1" t="s">
        <v>42</v>
      </c>
      <c r="J4925" s="1" t="s">
        <v>33</v>
      </c>
      <c r="K4925" s="1" t="s">
        <v>583</v>
      </c>
      <c r="L4925" s="1" t="s">
        <v>25730</v>
      </c>
      <c r="M4925" s="2" t="s">
        <v>12</v>
      </c>
      <c r="N4925" s="4">
        <f t="shared" si="1"/>
        <v>43209</v>
      </c>
      <c r="O4925" s="5" t="str">
        <f>IFERROR(__xludf.DUMMYFUNCTION("IF(REGEXMATCH(TRIM(I4925), ""^\d+\s*min""), ""Unclassified"", IF(I4925 = """", ""NR"", I4925))"),"TV-MA")</f>
        <v>TV-MA</v>
      </c>
      <c r="R4925" s="5" t="str">
        <f t="shared" si="2"/>
        <v>All The Reasons To Forget</v>
      </c>
      <c r="S4925" s="5" t="str">
        <f>IFERROR(__xludf.DUMMYFUNCTION("""COMPUTED_VALUE"""),"Mystery Men")</f>
        <v>Mystery Men</v>
      </c>
      <c r="V4925" s="5"/>
      <c r="Y4925" s="5" t="str">
        <f>IFERROR(__xludf.DUMMYFUNCTION("REGEXEXTRACT(J4925, ""^\d+"")"),"90")</f>
        <v>90</v>
      </c>
      <c r="Z4925" s="5" t="str">
        <f>IFERROR(__xludf.DUMMYFUNCTION("REGEXEXTRACT(J4925, ""[A-Za-z ]+$"")")," min")</f>
        <v> min</v>
      </c>
      <c r="AA4925" s="5" t="str">
        <f>IFERROR(__xludf.DUMMYFUNCTION("IF(REGEXMATCH(Z4925, ""Season""), ""TV Show"", ""Movie"")"),"Movie")</f>
        <v>Movie</v>
      </c>
    </row>
    <row r="4926">
      <c r="A4926" s="1" t="s">
        <v>25731</v>
      </c>
      <c r="B4926" s="1" t="s">
        <v>37</v>
      </c>
      <c r="C4926" s="1" t="s">
        <v>25732</v>
      </c>
      <c r="E4926" s="1" t="s">
        <v>25733</v>
      </c>
      <c r="F4926" s="1" t="s">
        <v>2492</v>
      </c>
      <c r="G4926" s="1" t="s">
        <v>25729</v>
      </c>
      <c r="H4926" s="1">
        <v>2017.0</v>
      </c>
      <c r="I4926" s="1" t="s">
        <v>42</v>
      </c>
      <c r="J4926" s="1" t="s">
        <v>51</v>
      </c>
      <c r="K4926" s="1" t="s">
        <v>402</v>
      </c>
      <c r="L4926" s="1" t="s">
        <v>25734</v>
      </c>
      <c r="M4926" s="2" t="s">
        <v>12</v>
      </c>
      <c r="N4926" s="4">
        <f t="shared" si="1"/>
        <v>43209</v>
      </c>
      <c r="O4926" s="5" t="str">
        <f>IFERROR(__xludf.DUMMYFUNCTION("IF(REGEXMATCH(TRIM(I4926), ""^\d+\s*min""), ""Unclassified"", IF(I4926 = """", ""NR"", I4926))"),"TV-MA")</f>
        <v>TV-MA</v>
      </c>
      <c r="R4926" s="5" t="str">
        <f t="shared" si="2"/>
        <v>Charité</v>
      </c>
      <c r="S4926" s="5" t="str">
        <f>IFERROR(__xludf.DUMMYFUNCTION("""COMPUTED_VALUE"""),"Mystery Science Theater 3000")</f>
        <v>Mystery Science Theater 3000</v>
      </c>
      <c r="V4926" s="5"/>
      <c r="Y4926" s="5" t="str">
        <f>IFERROR(__xludf.DUMMYFUNCTION("REGEXEXTRACT(J4926, ""^\d+"")"),"1")</f>
        <v>1</v>
      </c>
      <c r="Z4926" s="5" t="str">
        <f>IFERROR(__xludf.DUMMYFUNCTION("REGEXEXTRACT(J4926, ""[A-Za-z ]+$"")")," Season")</f>
        <v> Season</v>
      </c>
      <c r="AA4926" s="5" t="str">
        <f>IFERROR(__xludf.DUMMYFUNCTION("IF(REGEXMATCH(Z4926, ""Season""), ""TV Show"", ""Movie"")"),"TV Show")</f>
        <v>TV Show</v>
      </c>
    </row>
    <row r="4927">
      <c r="A4927" s="1" t="s">
        <v>25735</v>
      </c>
      <c r="B4927" s="1" t="s">
        <v>37</v>
      </c>
      <c r="C4927" s="1" t="s">
        <v>25736</v>
      </c>
      <c r="E4927" s="1" t="s">
        <v>25737</v>
      </c>
      <c r="F4927" s="1" t="s">
        <v>664</v>
      </c>
      <c r="G4927" s="1" t="s">
        <v>25738</v>
      </c>
      <c r="H4927" s="1">
        <v>2018.0</v>
      </c>
      <c r="I4927" s="1" t="s">
        <v>42</v>
      </c>
      <c r="J4927" s="1" t="s">
        <v>51</v>
      </c>
      <c r="K4927" s="1" t="s">
        <v>1362</v>
      </c>
      <c r="L4927" s="1" t="s">
        <v>25739</v>
      </c>
      <c r="M4927" s="2" t="s">
        <v>12</v>
      </c>
      <c r="N4927" s="4">
        <f t="shared" si="1"/>
        <v>43207</v>
      </c>
      <c r="O4927" s="5" t="str">
        <f>IFERROR(__xludf.DUMMYFUNCTION("IF(REGEXMATCH(TRIM(I4927), ""^\d+\s*min""), ""Unclassified"", IF(I4927 = """", ""NR"", I4927))"),"TV-MA")</f>
        <v>TV-MA</v>
      </c>
      <c r="R4927" s="5" t="str">
        <f t="shared" si="2"/>
        <v>The Chalet</v>
      </c>
      <c r="S4927" s="5" t="str">
        <f>IFERROR(__xludf.DUMMYFUNCTION("""COMPUTED_VALUE"""),"Mystery Science Theater 3000: The Return")</f>
        <v>Mystery Science Theater 3000: The Return</v>
      </c>
      <c r="V4927" s="5"/>
      <c r="Y4927" s="5" t="str">
        <f>IFERROR(__xludf.DUMMYFUNCTION("REGEXEXTRACT(J4927, ""^\d+"")"),"1")</f>
        <v>1</v>
      </c>
      <c r="Z4927" s="5" t="str">
        <f>IFERROR(__xludf.DUMMYFUNCTION("REGEXEXTRACT(J4927, ""[A-Za-z ]+$"")")," Season")</f>
        <v> Season</v>
      </c>
      <c r="AA4927" s="5" t="str">
        <f>IFERROR(__xludf.DUMMYFUNCTION("IF(REGEXMATCH(Z4927, ""Season""), ""TV Show"", ""Movie"")"),"TV Show")</f>
        <v>TV Show</v>
      </c>
    </row>
    <row r="4928">
      <c r="A4928" s="1" t="s">
        <v>25740</v>
      </c>
      <c r="B4928" s="1" t="s">
        <v>37</v>
      </c>
      <c r="C4928" s="1" t="s">
        <v>25741</v>
      </c>
      <c r="E4928" s="1" t="s">
        <v>25742</v>
      </c>
      <c r="F4928" s="1" t="s">
        <v>30</v>
      </c>
      <c r="G4928" s="1" t="s">
        <v>25738</v>
      </c>
      <c r="H4928" s="1">
        <v>2018.0</v>
      </c>
      <c r="I4928" s="1" t="s">
        <v>42</v>
      </c>
      <c r="J4928" s="1" t="s">
        <v>51</v>
      </c>
      <c r="K4928" s="1" t="s">
        <v>2512</v>
      </c>
      <c r="L4928" s="1" t="s">
        <v>25743</v>
      </c>
      <c r="M4928" s="2" t="s">
        <v>12</v>
      </c>
      <c r="N4928" s="4">
        <f t="shared" si="1"/>
        <v>43207</v>
      </c>
      <c r="O4928" s="5" t="str">
        <f>IFERROR(__xludf.DUMMYFUNCTION("IF(REGEXMATCH(TRIM(I4928), ""^\d+\s*min""), ""Unclassified"", IF(I4928 = """", ""NR"", I4928))"),"TV-MA")</f>
        <v>TV-MA</v>
      </c>
      <c r="R4928" s="5" t="str">
        <f t="shared" si="2"/>
        <v>The Honeymoon Stand Up Special</v>
      </c>
      <c r="S4928" s="5" t="str">
        <f>IFERROR(__xludf.DUMMYFUNCTION("""COMPUTED_VALUE"""),"Mystic Pizza")</f>
        <v>Mystic Pizza</v>
      </c>
      <c r="V4928" s="5"/>
      <c r="Y4928" s="5" t="str">
        <f>IFERROR(__xludf.DUMMYFUNCTION("REGEXEXTRACT(J4928, ""^\d+"")"),"1")</f>
        <v>1</v>
      </c>
      <c r="Z4928" s="5" t="str">
        <f>IFERROR(__xludf.DUMMYFUNCTION("REGEXEXTRACT(J4928, ""[A-Za-z ]+$"")")," Season")</f>
        <v> Season</v>
      </c>
      <c r="AA4928" s="5" t="str">
        <f>IFERROR(__xludf.DUMMYFUNCTION("IF(REGEXMATCH(Z4928, ""Season""), ""TV Show"", ""Movie"")"),"TV Show")</f>
        <v>TV Show</v>
      </c>
    </row>
    <row r="4929">
      <c r="A4929" s="1" t="s">
        <v>25744</v>
      </c>
      <c r="B4929" s="1" t="s">
        <v>27</v>
      </c>
      <c r="C4929" s="1" t="s">
        <v>25745</v>
      </c>
      <c r="D4929" s="1" t="s">
        <v>7043</v>
      </c>
      <c r="E4929" s="1" t="s">
        <v>25746</v>
      </c>
      <c r="F4929" s="1" t="s">
        <v>25747</v>
      </c>
      <c r="G4929" s="1" t="s">
        <v>25748</v>
      </c>
      <c r="H4929" s="1">
        <v>2017.0</v>
      </c>
      <c r="I4929" s="1" t="s">
        <v>378</v>
      </c>
      <c r="J4929" s="1" t="s">
        <v>1256</v>
      </c>
      <c r="K4929" s="1" t="s">
        <v>942</v>
      </c>
      <c r="L4929" s="1" t="s">
        <v>25749</v>
      </c>
      <c r="M4929" s="2" t="s">
        <v>12</v>
      </c>
      <c r="N4929" s="4">
        <f t="shared" si="1"/>
        <v>43205</v>
      </c>
      <c r="O4929" s="5" t="str">
        <f>IFERROR(__xludf.DUMMYFUNCTION("IF(REGEXMATCH(TRIM(I4929), ""^\d+\s*min""), ""Unclassified"", IF(I4929 = """", ""NR"", I4929))"),"R")</f>
        <v>R</v>
      </c>
      <c r="R4929" s="5" t="str">
        <f t="shared" si="2"/>
        <v>Beyond Skyline</v>
      </c>
      <c r="S4929" s="5" t="str">
        <f>IFERROR(__xludf.DUMMYFUNCTION("""COMPUTED_VALUE"""),"Mystic Pop-Up Bar")</f>
        <v>Mystic Pop-Up Bar</v>
      </c>
      <c r="V4929" s="5"/>
      <c r="Y4929" s="5" t="str">
        <f>IFERROR(__xludf.DUMMYFUNCTION("REGEXEXTRACT(J4929, ""^\d+"")"),"107")</f>
        <v>107</v>
      </c>
      <c r="Z4929" s="5" t="str">
        <f>IFERROR(__xludf.DUMMYFUNCTION("REGEXEXTRACT(J4929, ""[A-Za-z ]+$"")")," min")</f>
        <v> min</v>
      </c>
      <c r="AA4929" s="5" t="str">
        <f>IFERROR(__xludf.DUMMYFUNCTION("IF(REGEXMATCH(Z4929, ""Season""), ""TV Show"", ""Movie"")"),"Movie")</f>
        <v>Movie</v>
      </c>
    </row>
    <row r="4930">
      <c r="A4930" s="1" t="s">
        <v>25750</v>
      </c>
      <c r="B4930" s="1" t="s">
        <v>27</v>
      </c>
      <c r="C4930" s="1" t="s">
        <v>25751</v>
      </c>
      <c r="D4930" s="1" t="s">
        <v>11917</v>
      </c>
      <c r="E4930" s="1" t="s">
        <v>25752</v>
      </c>
      <c r="F4930" s="1" t="s">
        <v>30</v>
      </c>
      <c r="G4930" s="1" t="s">
        <v>25753</v>
      </c>
      <c r="H4930" s="1">
        <v>2018.0</v>
      </c>
      <c r="I4930" s="1" t="s">
        <v>97</v>
      </c>
      <c r="J4930" s="1" t="s">
        <v>305</v>
      </c>
      <c r="K4930" s="1" t="s">
        <v>25754</v>
      </c>
      <c r="L4930" s="1" t="s">
        <v>25755</v>
      </c>
      <c r="M4930" s="2" t="s">
        <v>12</v>
      </c>
      <c r="N4930" s="4">
        <f t="shared" si="1"/>
        <v>43203</v>
      </c>
      <c r="O4930" s="5" t="str">
        <f>IFERROR(__xludf.DUMMYFUNCTION("IF(REGEXMATCH(TRIM(I4930), ""^\d+\s*min""), ""Unclassified"", IF(I4930 = """", ""NR"", I4930))"),"TV-14")</f>
        <v>TV-14</v>
      </c>
      <c r="R4930" s="5" t="str">
        <f t="shared" si="2"/>
        <v>Come Sunday</v>
      </c>
      <c r="S4930" s="5" t="str">
        <f>IFERROR(__xludf.DUMMYFUNCTION("""COMPUTED_VALUE"""),"Mystic River")</f>
        <v>Mystic River</v>
      </c>
      <c r="V4930" s="5"/>
      <c r="Y4930" s="5" t="str">
        <f>IFERROR(__xludf.DUMMYFUNCTION("REGEXEXTRACT(J4930, ""^\d+"")"),"105")</f>
        <v>105</v>
      </c>
      <c r="Z4930" s="5" t="str">
        <f>IFERROR(__xludf.DUMMYFUNCTION("REGEXEXTRACT(J4930, ""[A-Za-z ]+$"")")," min")</f>
        <v> min</v>
      </c>
      <c r="AA4930" s="5" t="str">
        <f>IFERROR(__xludf.DUMMYFUNCTION("IF(REGEXMATCH(Z4930, ""Season""), ""TV Show"", ""Movie"")"),"Movie")</f>
        <v>Movie</v>
      </c>
    </row>
    <row r="4931">
      <c r="A4931" s="1" t="s">
        <v>25756</v>
      </c>
      <c r="B4931" s="1" t="s">
        <v>27</v>
      </c>
      <c r="C4931" s="1" t="s">
        <v>25757</v>
      </c>
      <c r="D4931" s="1" t="s">
        <v>6919</v>
      </c>
      <c r="E4931" s="1" t="s">
        <v>25758</v>
      </c>
      <c r="F4931" s="1" t="s">
        <v>664</v>
      </c>
      <c r="G4931" s="1" t="s">
        <v>25753</v>
      </c>
      <c r="H4931" s="1">
        <v>2018.0</v>
      </c>
      <c r="I4931" s="1" t="s">
        <v>42</v>
      </c>
      <c r="J4931" s="1" t="s">
        <v>416</v>
      </c>
      <c r="K4931" s="1" t="s">
        <v>215</v>
      </c>
      <c r="L4931" s="1" t="s">
        <v>25759</v>
      </c>
      <c r="M4931" s="2" t="s">
        <v>12</v>
      </c>
      <c r="N4931" s="4">
        <f t="shared" si="1"/>
        <v>43203</v>
      </c>
      <c r="O4931" s="5" t="str">
        <f>IFERROR(__xludf.DUMMYFUNCTION("IF(REGEXMATCH(TRIM(I4931), ""^\d+\s*min""), ""Unclassified"", IF(I4931 = """", ""NR"", I4931))"),"TV-MA")</f>
        <v>TV-MA</v>
      </c>
      <c r="R4931" s="5" t="str">
        <f t="shared" si="2"/>
        <v>I Am Not An Easy Man</v>
      </c>
      <c r="S4931" s="5" t="str">
        <f>IFERROR(__xludf.DUMMYFUNCTION("""COMPUTED_VALUE"""),"Mystic Whispers")</f>
        <v>Mystic Whispers</v>
      </c>
      <c r="V4931" s="5"/>
      <c r="Y4931" s="5" t="str">
        <f>IFERROR(__xludf.DUMMYFUNCTION("REGEXEXTRACT(J4931, ""^\d+"")"),"99")</f>
        <v>99</v>
      </c>
      <c r="Z4931" s="5" t="str">
        <f>IFERROR(__xludf.DUMMYFUNCTION("REGEXEXTRACT(J4931, ""[A-Za-z ]+$"")")," min")</f>
        <v> min</v>
      </c>
      <c r="AA4931" s="5" t="str">
        <f>IFERROR(__xludf.DUMMYFUNCTION("IF(REGEXMATCH(Z4931, ""Season""), ""TV Show"", ""Movie"")"),"Movie")</f>
        <v>Movie</v>
      </c>
    </row>
    <row r="4932">
      <c r="A4932" s="1" t="s">
        <v>25760</v>
      </c>
      <c r="B4932" s="1" t="s">
        <v>37</v>
      </c>
      <c r="C4932" s="1" t="s">
        <v>25761</v>
      </c>
      <c r="E4932" s="1" t="s">
        <v>25762</v>
      </c>
      <c r="F4932" s="1" t="s">
        <v>30</v>
      </c>
      <c r="G4932" s="1" t="s">
        <v>25753</v>
      </c>
      <c r="H4932" s="1">
        <v>2018.0</v>
      </c>
      <c r="I4932" s="1" t="s">
        <v>206</v>
      </c>
      <c r="J4932" s="1" t="s">
        <v>43</v>
      </c>
      <c r="K4932" s="1" t="s">
        <v>290</v>
      </c>
      <c r="L4932" s="1" t="s">
        <v>25763</v>
      </c>
      <c r="M4932" s="2" t="s">
        <v>12</v>
      </c>
      <c r="N4932" s="4">
        <f t="shared" si="1"/>
        <v>43203</v>
      </c>
      <c r="O4932" s="5" t="str">
        <f>IFERROR(__xludf.DUMMYFUNCTION("IF(REGEXMATCH(TRIM(I4932), ""^\d+\s*min""), ""Unclassified"", IF(I4932 = """", ""NR"", I4932))"),"TV-Y")</f>
        <v>TV-Y</v>
      </c>
      <c r="R4932" s="5" t="str">
        <f t="shared" si="2"/>
        <v>The Magic School Bus Rides Again</v>
      </c>
      <c r="S4932" s="5" t="str">
        <f>IFERROR(__xludf.DUMMYFUNCTION("""COMPUTED_VALUE"""),"Myth &amp; Mogul: John Delorean")</f>
        <v>Myth &amp; Mogul: John Delorean</v>
      </c>
      <c r="V4932" s="5"/>
      <c r="Y4932" s="5" t="str">
        <f>IFERROR(__xludf.DUMMYFUNCTION("REGEXEXTRACT(J4932, ""^\d+"")"),"2")</f>
        <v>2</v>
      </c>
      <c r="Z4932" s="5" t="str">
        <f>IFERROR(__xludf.DUMMYFUNCTION("REGEXEXTRACT(J4932, ""[A-Za-z ]+$"")")," Seasons")</f>
        <v> Seasons</v>
      </c>
      <c r="AA4932" s="5" t="str">
        <f>IFERROR(__xludf.DUMMYFUNCTION("IF(REGEXMATCH(Z4932, ""Season""), ""TV Show"", ""Movie"")"),"TV Show")</f>
        <v>TV Show</v>
      </c>
    </row>
    <row r="4933">
      <c r="A4933" s="1" t="s">
        <v>25764</v>
      </c>
      <c r="B4933" s="1" t="s">
        <v>27</v>
      </c>
      <c r="C4933" s="1" t="s">
        <v>25765</v>
      </c>
      <c r="D4933" s="1" t="s">
        <v>18094</v>
      </c>
      <c r="E4933" s="1" t="s">
        <v>25766</v>
      </c>
      <c r="F4933" s="1" t="s">
        <v>1837</v>
      </c>
      <c r="G4933" s="1" t="s">
        <v>25767</v>
      </c>
      <c r="H4933" s="1">
        <v>2017.0</v>
      </c>
      <c r="I4933" s="1" t="s">
        <v>42</v>
      </c>
      <c r="J4933" s="1" t="s">
        <v>912</v>
      </c>
      <c r="K4933" s="1" t="s">
        <v>89</v>
      </c>
      <c r="L4933" s="1" t="s">
        <v>25768</v>
      </c>
      <c r="M4933" s="2" t="s">
        <v>12</v>
      </c>
      <c r="N4933" s="4">
        <f t="shared" si="1"/>
        <v>43202</v>
      </c>
      <c r="O4933" s="5" t="str">
        <f>IFERROR(__xludf.DUMMYFUNCTION("IF(REGEXMATCH(TRIM(I4933), ""^\d+\s*min""), ""Unclassified"", IF(I4933 = """", ""NR"", I4933))"),"TV-MA")</f>
        <v>TV-MA</v>
      </c>
      <c r="R4933" s="5" t="str">
        <f t="shared" si="2"/>
        <v>Pickpockets</v>
      </c>
      <c r="S4933" s="5" t="str">
        <f>IFERROR(__xludf.DUMMYFUNCTION("""COMPUTED_VALUE"""),"Mythily Veendum Varunnu")</f>
        <v>Mythily Veendum Varunnu</v>
      </c>
      <c r="V4933" s="5"/>
      <c r="Y4933" s="5" t="str">
        <f>IFERROR(__xludf.DUMMYFUNCTION("REGEXEXTRACT(J4933, ""^\d+"")"),"108")</f>
        <v>108</v>
      </c>
      <c r="Z4933" s="5" t="str">
        <f>IFERROR(__xludf.DUMMYFUNCTION("REGEXEXTRACT(J4933, ""[A-Za-z ]+$"")")," min")</f>
        <v> min</v>
      </c>
      <c r="AA4933" s="5" t="str">
        <f>IFERROR(__xludf.DUMMYFUNCTION("IF(REGEXMATCH(Z4933, ""Season""), ""TV Show"", ""Movie"")"),"Movie")</f>
        <v>Movie</v>
      </c>
    </row>
    <row r="4934">
      <c r="A4934" s="1" t="s">
        <v>25769</v>
      </c>
      <c r="B4934" s="1" t="s">
        <v>27</v>
      </c>
      <c r="C4934" s="1" t="s">
        <v>25770</v>
      </c>
      <c r="D4934" s="1" t="s">
        <v>18045</v>
      </c>
      <c r="E4934" s="1" t="s">
        <v>25771</v>
      </c>
      <c r="F4934" s="1" t="s">
        <v>96</v>
      </c>
      <c r="G4934" s="1" t="s">
        <v>25772</v>
      </c>
      <c r="H4934" s="1">
        <v>2018.0</v>
      </c>
      <c r="I4934" s="1" t="s">
        <v>42</v>
      </c>
      <c r="J4934" s="1" t="s">
        <v>2636</v>
      </c>
      <c r="K4934" s="1" t="s">
        <v>1839</v>
      </c>
      <c r="L4934" s="1" t="s">
        <v>25773</v>
      </c>
      <c r="M4934" s="2" t="s">
        <v>12</v>
      </c>
      <c r="N4934" s="4">
        <f t="shared" si="1"/>
        <v>43200</v>
      </c>
      <c r="O4934" s="5" t="str">
        <f>IFERROR(__xludf.DUMMYFUNCTION("IF(REGEXMATCH(TRIM(I4934), ""^\d+\s*min""), ""Unclassified"", IF(I4934 = """", ""NR"", I4934))"),"TV-MA")</f>
        <v>TV-MA</v>
      </c>
      <c r="R4934" s="5" t="str">
        <f t="shared" si="2"/>
        <v>Greg Davies: You Magnificent Beast</v>
      </c>
      <c r="S4934" s="5" t="str">
        <f>IFERROR(__xludf.DUMMYFUNCTION("""COMPUTED_VALUE"""),"Mythomaniac")</f>
        <v>Mythomaniac</v>
      </c>
      <c r="V4934" s="5"/>
      <c r="Y4934" s="5" t="str">
        <f>IFERROR(__xludf.DUMMYFUNCTION("REGEXEXTRACT(J4934, ""^\d+"")"),"66")</f>
        <v>66</v>
      </c>
      <c r="Z4934" s="5" t="str">
        <f>IFERROR(__xludf.DUMMYFUNCTION("REGEXEXTRACT(J4934, ""[A-Za-z ]+$"")")," min")</f>
        <v> min</v>
      </c>
      <c r="AA4934" s="5" t="str">
        <f>IFERROR(__xludf.DUMMYFUNCTION("IF(REGEXMATCH(Z4934, ""Season""), ""TV Show"", ""Movie"")"),"Movie")</f>
        <v>Movie</v>
      </c>
    </row>
    <row r="4935">
      <c r="A4935" s="1" t="s">
        <v>25774</v>
      </c>
      <c r="B4935" s="1" t="s">
        <v>37</v>
      </c>
      <c r="C4935" s="1" t="s">
        <v>25775</v>
      </c>
      <c r="E4935" s="1" t="s">
        <v>25776</v>
      </c>
      <c r="F4935" s="1" t="s">
        <v>4287</v>
      </c>
      <c r="G4935" s="1" t="s">
        <v>25777</v>
      </c>
      <c r="H4935" s="1">
        <v>2017.0</v>
      </c>
      <c r="I4935" s="1" t="s">
        <v>42</v>
      </c>
      <c r="J4935" s="1" t="s">
        <v>51</v>
      </c>
      <c r="K4935" s="1" t="s">
        <v>402</v>
      </c>
      <c r="L4935" s="1" t="s">
        <v>25778</v>
      </c>
      <c r="M4935" s="2" t="s">
        <v>12</v>
      </c>
      <c r="N4935" s="4">
        <f t="shared" si="1"/>
        <v>43199</v>
      </c>
      <c r="O4935" s="5" t="str">
        <f>IFERROR(__xludf.DUMMYFUNCTION("IF(REGEXMATCH(TRIM(I4935), ""^\d+\s*min""), ""Unclassified"", IF(I4935 = """", ""NR"", I4935))"),"TV-MA")</f>
        <v>TV-MA</v>
      </c>
      <c r="R4935" s="5" t="str">
        <f t="shared" si="2"/>
        <v>Amo</v>
      </c>
      <c r="S4935" s="5" t="str">
        <f>IFERROR(__xludf.DUMMYFUNCTION("""COMPUTED_VALUE"""),"Myths &amp; Monsters")</f>
        <v>Myths &amp; Monsters</v>
      </c>
      <c r="V4935" s="5"/>
      <c r="Y4935" s="5" t="str">
        <f>IFERROR(__xludf.DUMMYFUNCTION("REGEXEXTRACT(J4935, ""^\d+"")"),"1")</f>
        <v>1</v>
      </c>
      <c r="Z4935" s="5" t="str">
        <f>IFERROR(__xludf.DUMMYFUNCTION("REGEXEXTRACT(J4935, ""[A-Za-z ]+$"")")," Season")</f>
        <v> Season</v>
      </c>
      <c r="AA4935" s="5" t="str">
        <f>IFERROR(__xludf.DUMMYFUNCTION("IF(REGEXMATCH(Z4935, ""Season""), ""TV Show"", ""Movie"")"),"TV Show")</f>
        <v>TV Show</v>
      </c>
    </row>
    <row r="4936">
      <c r="A4936" s="1" t="s">
        <v>25779</v>
      </c>
      <c r="B4936" s="1" t="s">
        <v>27</v>
      </c>
      <c r="C4936" s="1" t="s">
        <v>25780</v>
      </c>
      <c r="D4936" s="1" t="s">
        <v>14800</v>
      </c>
      <c r="E4936" s="1" t="s">
        <v>25781</v>
      </c>
      <c r="F4936" s="1" t="s">
        <v>30</v>
      </c>
      <c r="G4936" s="1" t="s">
        <v>25782</v>
      </c>
      <c r="H4936" s="1">
        <v>2018.0</v>
      </c>
      <c r="I4936" s="1" t="s">
        <v>42</v>
      </c>
      <c r="J4936" s="1" t="s">
        <v>6281</v>
      </c>
      <c r="K4936" s="1" t="s">
        <v>1320</v>
      </c>
      <c r="L4936" s="1" t="s">
        <v>25783</v>
      </c>
      <c r="M4936" s="2" t="s">
        <v>12</v>
      </c>
      <c r="N4936" s="4">
        <f t="shared" si="1"/>
        <v>43196</v>
      </c>
      <c r="O4936" s="5" t="str">
        <f>IFERROR(__xludf.DUMMYFUNCTION("IF(REGEXMATCH(TRIM(I4936), ""^\d+\s*min""), ""Unclassified"", IF(I4936 = """", ""NR"", I4936))"),"TV-MA")</f>
        <v>TV-MA</v>
      </c>
      <c r="R4936" s="5" t="str">
        <f t="shared" si="2"/>
        <v>6 Balloons</v>
      </c>
      <c r="S4936" s="5" t="str">
        <f>IFERROR(__xludf.DUMMYFUNCTION("""COMPUTED_VALUE"""),"Naa Bangaaru Talli")</f>
        <v>Naa Bangaaru Talli</v>
      </c>
      <c r="V4936" s="5"/>
      <c r="Y4936" s="5" t="str">
        <f>IFERROR(__xludf.DUMMYFUNCTION("REGEXEXTRACT(J4936, ""^\d+"")"),"75")</f>
        <v>75</v>
      </c>
      <c r="Z4936" s="5" t="str">
        <f>IFERROR(__xludf.DUMMYFUNCTION("REGEXEXTRACT(J4936, ""[A-Za-z ]+$"")")," min")</f>
        <v> min</v>
      </c>
      <c r="AA4936" s="5" t="str">
        <f>IFERROR(__xludf.DUMMYFUNCTION("IF(REGEXMATCH(Z4936, ""Season""), ""TV Show"", ""Movie"")"),"Movie")</f>
        <v>Movie</v>
      </c>
    </row>
    <row r="4937">
      <c r="A4937" s="1" t="s">
        <v>25784</v>
      </c>
      <c r="B4937" s="1" t="s">
        <v>27</v>
      </c>
      <c r="C4937" s="1" t="s">
        <v>25785</v>
      </c>
      <c r="D4937" s="1" t="s">
        <v>19939</v>
      </c>
      <c r="E4937" s="1" t="s">
        <v>25786</v>
      </c>
      <c r="F4937" s="1" t="s">
        <v>30</v>
      </c>
      <c r="G4937" s="1" t="s">
        <v>25782</v>
      </c>
      <c r="H4937" s="1">
        <v>2018.0</v>
      </c>
      <c r="I4937" s="1" t="s">
        <v>42</v>
      </c>
      <c r="J4937" s="1" t="s">
        <v>322</v>
      </c>
      <c r="K4937" s="1" t="s">
        <v>9047</v>
      </c>
      <c r="L4937" s="1" t="s">
        <v>25787</v>
      </c>
      <c r="M4937" s="2" t="s">
        <v>12</v>
      </c>
      <c r="N4937" s="4">
        <f t="shared" si="1"/>
        <v>43196</v>
      </c>
      <c r="O4937" s="5" t="str">
        <f>IFERROR(__xludf.DUMMYFUNCTION("IF(REGEXMATCH(TRIM(I4937), ""^\d+\s*min""), ""Unclassified"", IF(I4937 = """", ""NR"", I4937))"),"TV-MA")</f>
        <v>TV-MA</v>
      </c>
      <c r="R4937" s="5" t="str">
        <f t="shared" si="2"/>
        <v>Amateur</v>
      </c>
      <c r="S4937" s="5" t="str">
        <f>IFERROR(__xludf.DUMMYFUNCTION("""COMPUTED_VALUE"""),"Naam Shabana")</f>
        <v>Naam Shabana</v>
      </c>
      <c r="V4937" s="5"/>
      <c r="Y4937" s="5" t="str">
        <f>IFERROR(__xludf.DUMMYFUNCTION("REGEXEXTRACT(J4937, ""^\d+"")"),"96")</f>
        <v>96</v>
      </c>
      <c r="Z4937" s="5" t="str">
        <f>IFERROR(__xludf.DUMMYFUNCTION("REGEXEXTRACT(J4937, ""[A-Za-z ]+$"")")," min")</f>
        <v> min</v>
      </c>
      <c r="AA4937" s="5" t="str">
        <f>IFERROR(__xludf.DUMMYFUNCTION("IF(REGEXMATCH(Z4937, ""Season""), ""TV Show"", ""Movie"")"),"Movie")</f>
        <v>Movie</v>
      </c>
    </row>
    <row r="4938">
      <c r="A4938" s="1" t="s">
        <v>25788</v>
      </c>
      <c r="B4938" s="1" t="s">
        <v>27</v>
      </c>
      <c r="C4938" s="1" t="s">
        <v>25789</v>
      </c>
      <c r="D4938" s="1" t="s">
        <v>9161</v>
      </c>
      <c r="E4938" s="1" t="s">
        <v>25790</v>
      </c>
      <c r="F4938" s="1" t="s">
        <v>25791</v>
      </c>
      <c r="G4938" s="1" t="s">
        <v>25782</v>
      </c>
      <c r="H4938" s="1">
        <v>2017.0</v>
      </c>
      <c r="I4938" s="1" t="s">
        <v>97</v>
      </c>
      <c r="J4938" s="1" t="s">
        <v>465</v>
      </c>
      <c r="K4938" s="1" t="s">
        <v>5704</v>
      </c>
      <c r="L4938" s="1" t="s">
        <v>25792</v>
      </c>
      <c r="M4938" s="2" t="s">
        <v>12</v>
      </c>
      <c r="N4938" s="4">
        <f t="shared" si="1"/>
        <v>43196</v>
      </c>
      <c r="O4938" s="5" t="str">
        <f>IFERROR(__xludf.DUMMYFUNCTION("IF(REGEXMATCH(TRIM(I4938), ""^\d+\s*min""), ""Unclassified"", IF(I4938 = """", ""NR"", I4938))"),"TV-14")</f>
        <v>TV-14</v>
      </c>
      <c r="R4938" s="5" t="str">
        <f t="shared" si="2"/>
        <v>Orbiter 9</v>
      </c>
      <c r="S4938" s="5" t="str">
        <f>IFERROR(__xludf.DUMMYFUNCTION("""COMPUTED_VALUE"""),"Naan Sigappu Manithan")</f>
        <v>Naan Sigappu Manithan</v>
      </c>
      <c r="V4938" s="5"/>
      <c r="Y4938" s="5" t="str">
        <f>IFERROR(__xludf.DUMMYFUNCTION("REGEXEXTRACT(J4938, ""^\d+"")"),"95")</f>
        <v>95</v>
      </c>
      <c r="Z4938" s="5" t="str">
        <f>IFERROR(__xludf.DUMMYFUNCTION("REGEXEXTRACT(J4938, ""[A-Za-z ]+$"")")," min")</f>
        <v> min</v>
      </c>
      <c r="AA4938" s="5" t="str">
        <f>IFERROR(__xludf.DUMMYFUNCTION("IF(REGEXMATCH(Z4938, ""Season""), ""TV Show"", ""Movie"")"),"Movie")</f>
        <v>Movie</v>
      </c>
    </row>
    <row r="4939">
      <c r="A4939" s="1" t="s">
        <v>25793</v>
      </c>
      <c r="B4939" s="1" t="s">
        <v>27</v>
      </c>
      <c r="C4939" s="1" t="s">
        <v>25794</v>
      </c>
      <c r="D4939" s="1" t="s">
        <v>6383</v>
      </c>
      <c r="E4939" s="1" t="s">
        <v>25795</v>
      </c>
      <c r="F4939" s="1" t="s">
        <v>30</v>
      </c>
      <c r="G4939" s="1" t="s">
        <v>25782</v>
      </c>
      <c r="H4939" s="1">
        <v>2018.0</v>
      </c>
      <c r="I4939" s="1" t="s">
        <v>97</v>
      </c>
      <c r="J4939" s="1" t="s">
        <v>5362</v>
      </c>
      <c r="K4939" s="1" t="s">
        <v>25796</v>
      </c>
      <c r="L4939" s="1" t="s">
        <v>25797</v>
      </c>
      <c r="M4939" s="2" t="s">
        <v>12</v>
      </c>
      <c r="N4939" s="4">
        <f t="shared" si="1"/>
        <v>43196</v>
      </c>
      <c r="O4939" s="5" t="str">
        <f>IFERROR(__xludf.DUMMYFUNCTION("IF(REGEXMATCH(TRIM(I4939), ""^\d+\s*min""), ""Unclassified"", IF(I4939 = """", ""NR"", I4939))"),"TV-14")</f>
        <v>TV-14</v>
      </c>
      <c r="R4939" s="5" t="str">
        <f t="shared" si="2"/>
        <v>Ram Dass, Going Home</v>
      </c>
      <c r="S4939" s="5" t="str">
        <f>IFERROR(__xludf.DUMMYFUNCTION("""COMPUTED_VALUE"""),"Nacho Libre")</f>
        <v>Nacho Libre</v>
      </c>
      <c r="V4939" s="5"/>
      <c r="Y4939" s="5" t="str">
        <f>IFERROR(__xludf.DUMMYFUNCTION("REGEXEXTRACT(J4939, ""^\d+"")"),"32")</f>
        <v>32</v>
      </c>
      <c r="Z4939" s="5" t="str">
        <f>IFERROR(__xludf.DUMMYFUNCTION("REGEXEXTRACT(J4939, ""[A-Za-z ]+$"")")," min")</f>
        <v> min</v>
      </c>
      <c r="AA4939" s="5" t="str">
        <f>IFERROR(__xludf.DUMMYFUNCTION("IF(REGEXMATCH(Z4939, ""Season""), ""TV Show"", ""Movie"")"),"Movie")</f>
        <v>Movie</v>
      </c>
    </row>
    <row r="4940">
      <c r="A4940" s="1" t="s">
        <v>25798</v>
      </c>
      <c r="B4940" s="1" t="s">
        <v>27</v>
      </c>
      <c r="C4940" s="1" t="s">
        <v>25799</v>
      </c>
      <c r="D4940" s="1" t="s">
        <v>14919</v>
      </c>
      <c r="E4940" s="1" t="s">
        <v>25800</v>
      </c>
      <c r="F4940" s="1" t="s">
        <v>30</v>
      </c>
      <c r="G4940" s="1" t="s">
        <v>25782</v>
      </c>
      <c r="H4940" s="1">
        <v>2018.0</v>
      </c>
      <c r="I4940" s="1" t="s">
        <v>42</v>
      </c>
      <c r="J4940" s="1" t="s">
        <v>1583</v>
      </c>
      <c r="K4940" s="1" t="s">
        <v>1839</v>
      </c>
      <c r="L4940" s="1" t="s">
        <v>25801</v>
      </c>
      <c r="M4940" s="2" t="s">
        <v>12</v>
      </c>
      <c r="N4940" s="4">
        <f t="shared" si="1"/>
        <v>43196</v>
      </c>
      <c r="O4940" s="5" t="str">
        <f>IFERROR(__xludf.DUMMYFUNCTION("IF(REGEXMATCH(TRIM(I4940), ""^\d+\s*min""), ""Unclassified"", IF(I4940 = """", ""NR"", I4940))"),"TV-MA")</f>
        <v>TV-MA</v>
      </c>
      <c r="R4940" s="5" t="str">
        <f t="shared" si="2"/>
        <v>Seth Rogen'S Hilarity For Charity</v>
      </c>
      <c r="S4940" s="5" t="str">
        <f>IFERROR(__xludf.DUMMYFUNCTION("""COMPUTED_VALUE"""),"Nadiya Bakes")</f>
        <v>Nadiya Bakes</v>
      </c>
      <c r="V4940" s="5"/>
      <c r="Y4940" s="5" t="str">
        <f>IFERROR(__xludf.DUMMYFUNCTION("REGEXEXTRACT(J4940, ""^\d+"")"),"70")</f>
        <v>70</v>
      </c>
      <c r="Z4940" s="5" t="str">
        <f>IFERROR(__xludf.DUMMYFUNCTION("REGEXEXTRACT(J4940, ""[A-Za-z ]+$"")")," min")</f>
        <v> min</v>
      </c>
      <c r="AA4940" s="5" t="str">
        <f>IFERROR(__xludf.DUMMYFUNCTION("IF(REGEXMATCH(Z4940, ""Season""), ""TV Show"", ""Movie"")"),"Movie")</f>
        <v>Movie</v>
      </c>
    </row>
    <row r="4941">
      <c r="A4941" s="1" t="s">
        <v>25802</v>
      </c>
      <c r="B4941" s="1" t="s">
        <v>27</v>
      </c>
      <c r="C4941" s="1" t="s">
        <v>25803</v>
      </c>
      <c r="D4941" s="1" t="s">
        <v>10735</v>
      </c>
      <c r="E4941" s="1" t="s">
        <v>25804</v>
      </c>
      <c r="F4941" s="1" t="s">
        <v>5541</v>
      </c>
      <c r="G4941" s="1" t="s">
        <v>25782</v>
      </c>
      <c r="H4941" s="1">
        <v>2017.0</v>
      </c>
      <c r="I4941" s="1" t="s">
        <v>42</v>
      </c>
      <c r="J4941" s="1" t="s">
        <v>170</v>
      </c>
      <c r="K4941" s="1" t="s">
        <v>836</v>
      </c>
      <c r="L4941" s="1" t="s">
        <v>25805</v>
      </c>
      <c r="M4941" s="2" t="s">
        <v>12</v>
      </c>
      <c r="N4941" s="4">
        <f t="shared" si="1"/>
        <v>43196</v>
      </c>
      <c r="O4941" s="5" t="str">
        <f>IFERROR(__xludf.DUMMYFUNCTION("IF(REGEXMATCH(TRIM(I4941), ""^\d+\s*min""), ""Unclassified"", IF(I4941 = """", ""NR"", I4941))"),"TV-MA")</f>
        <v>TV-MA</v>
      </c>
      <c r="R4941" s="5" t="str">
        <f t="shared" si="2"/>
        <v>Sun Dogs</v>
      </c>
      <c r="S4941" s="5" t="str">
        <f>IFERROR(__xludf.DUMMYFUNCTION("""COMPUTED_VALUE"""),"Nadiya’S Time To Eat")</f>
        <v>Nadiya’S Time To Eat</v>
      </c>
      <c r="V4941" s="5"/>
      <c r="Y4941" s="5" t="str">
        <f>IFERROR(__xludf.DUMMYFUNCTION("REGEXEXTRACT(J4941, ""^\d+"")"),"94")</f>
        <v>94</v>
      </c>
      <c r="Z4941" s="5" t="str">
        <f>IFERROR(__xludf.DUMMYFUNCTION("REGEXEXTRACT(J4941, ""[A-Za-z ]+$"")")," min")</f>
        <v> min</v>
      </c>
      <c r="AA4941" s="5" t="str">
        <f>IFERROR(__xludf.DUMMYFUNCTION("IF(REGEXMATCH(Z4941, ""Season""), ""TV Show"", ""Movie"")"),"Movie")</f>
        <v>Movie</v>
      </c>
    </row>
    <row r="4942">
      <c r="A4942" s="1" t="s">
        <v>25806</v>
      </c>
      <c r="B4942" s="1" t="s">
        <v>27</v>
      </c>
      <c r="C4942" s="1" t="s">
        <v>25807</v>
      </c>
      <c r="D4942" s="1" t="s">
        <v>18885</v>
      </c>
      <c r="E4942" s="1" t="s">
        <v>25808</v>
      </c>
      <c r="F4942" s="1" t="s">
        <v>1815</v>
      </c>
      <c r="G4942" s="1" t="s">
        <v>25782</v>
      </c>
      <c r="H4942" s="1">
        <v>2018.0</v>
      </c>
      <c r="I4942" s="1" t="s">
        <v>42</v>
      </c>
      <c r="J4942" s="1" t="s">
        <v>1737</v>
      </c>
      <c r="K4942" s="1" t="s">
        <v>1839</v>
      </c>
      <c r="L4942" s="1" t="s">
        <v>25809</v>
      </c>
      <c r="M4942" s="2" t="s">
        <v>12</v>
      </c>
      <c r="N4942" s="4">
        <f t="shared" si="1"/>
        <v>43196</v>
      </c>
      <c r="O4942" s="5" t="str">
        <f>IFERROR(__xludf.DUMMYFUNCTION("IF(REGEXMATCH(TRIM(I4942), ""^\d+\s*min""), ""Unclassified"", IF(I4942 = """", ""NR"", I4942))"),"TV-MA")</f>
        <v>TV-MA</v>
      </c>
      <c r="R4942" s="5" t="str">
        <f t="shared" si="2"/>
        <v>Todo Lo Que Sería Lucas Lauriente</v>
      </c>
      <c r="S4942" s="5" t="str">
        <f>IFERROR(__xludf.DUMMYFUNCTION("""COMPUTED_VALUE"""),"Naga The Eternal Yogi")</f>
        <v>Naga The Eternal Yogi</v>
      </c>
      <c r="V4942" s="5"/>
      <c r="Y4942" s="5" t="str">
        <f>IFERROR(__xludf.DUMMYFUNCTION("REGEXEXTRACT(J4942, ""^\d+"")"),"78")</f>
        <v>78</v>
      </c>
      <c r="Z4942" s="5" t="str">
        <f>IFERROR(__xludf.DUMMYFUNCTION("REGEXEXTRACT(J4942, ""[A-Za-z ]+$"")")," min")</f>
        <v> min</v>
      </c>
      <c r="AA4942" s="5" t="str">
        <f>IFERROR(__xludf.DUMMYFUNCTION("IF(REGEXMATCH(Z4942, ""Season""), ""TV Show"", ""Movie"")"),"Movie")</f>
        <v>Movie</v>
      </c>
    </row>
    <row r="4943">
      <c r="A4943" s="1" t="s">
        <v>25810</v>
      </c>
      <c r="B4943" s="1" t="s">
        <v>37</v>
      </c>
      <c r="C4943" s="1" t="s">
        <v>25811</v>
      </c>
      <c r="E4943" s="1" t="s">
        <v>25812</v>
      </c>
      <c r="F4943" s="1" t="s">
        <v>25813</v>
      </c>
      <c r="G4943" s="1" t="s">
        <v>25782</v>
      </c>
      <c r="H4943" s="1">
        <v>2018.0</v>
      </c>
      <c r="I4943" s="1" t="s">
        <v>42</v>
      </c>
      <c r="J4943" s="1" t="s">
        <v>51</v>
      </c>
      <c r="K4943" s="1" t="s">
        <v>23944</v>
      </c>
      <c r="L4943" s="1" t="s">
        <v>25814</v>
      </c>
      <c r="M4943" s="2" t="s">
        <v>12</v>
      </c>
      <c r="N4943" s="4">
        <f t="shared" si="1"/>
        <v>43196</v>
      </c>
      <c r="O4943" s="5" t="str">
        <f>IFERROR(__xludf.DUMMYFUNCTION("IF(REGEXMATCH(TRIM(I4943), ""^\d+\s*min""), ""Unclassified"", IF(I4943 = """", ""NR"", I4943))"),"TV-MA")</f>
        <v>TV-MA</v>
      </c>
      <c r="R4943" s="5" t="str">
        <f t="shared" si="2"/>
        <v>Troy</v>
      </c>
      <c r="S4943" s="5" t="str">
        <f>IFERROR(__xludf.DUMMYFUNCTION("""COMPUTED_VALUE"""),"Nagi-Asu: A Lull In The Sea")</f>
        <v>Nagi-Asu: A Lull In The Sea</v>
      </c>
      <c r="V4943" s="5"/>
      <c r="Y4943" s="5" t="str">
        <f>IFERROR(__xludf.DUMMYFUNCTION("REGEXEXTRACT(J4943, ""^\d+"")"),"1")</f>
        <v>1</v>
      </c>
      <c r="Z4943" s="5" t="str">
        <f>IFERROR(__xludf.DUMMYFUNCTION("REGEXEXTRACT(J4943, ""[A-Za-z ]+$"")")," Season")</f>
        <v> Season</v>
      </c>
      <c r="AA4943" s="5" t="str">
        <f>IFERROR(__xludf.DUMMYFUNCTION("IF(REGEXMATCH(Z4943, ""Season""), ""TV Show"", ""Movie"")"),"TV Show")</f>
        <v>TV Show</v>
      </c>
    </row>
    <row r="4944">
      <c r="A4944" s="1" t="s">
        <v>25815</v>
      </c>
      <c r="B4944" s="1" t="s">
        <v>37</v>
      </c>
      <c r="C4944" s="1" t="s">
        <v>25816</v>
      </c>
      <c r="E4944" s="1" t="s">
        <v>25817</v>
      </c>
      <c r="F4944" s="1" t="s">
        <v>664</v>
      </c>
      <c r="G4944" s="1" t="s">
        <v>25782</v>
      </c>
      <c r="H4944" s="1">
        <v>2017.0</v>
      </c>
      <c r="I4944" s="1" t="s">
        <v>136</v>
      </c>
      <c r="J4944" s="1" t="s">
        <v>276</v>
      </c>
      <c r="K4944" s="1" t="s">
        <v>290</v>
      </c>
      <c r="L4944" s="1" t="s">
        <v>25818</v>
      </c>
      <c r="M4944" s="2" t="s">
        <v>12</v>
      </c>
      <c r="N4944" s="4">
        <f t="shared" si="1"/>
        <v>43196</v>
      </c>
      <c r="O4944" s="5" t="str">
        <f>IFERROR(__xludf.DUMMYFUNCTION("IF(REGEXMATCH(TRIM(I4944), ""^\d+\s*min""), ""Unclassified"", IF(I4944 = """", ""NR"", I4944))"),"TV-PG")</f>
        <v>TV-PG</v>
      </c>
      <c r="R4944" s="5" t="str">
        <f t="shared" si="2"/>
        <v>Wakfu</v>
      </c>
      <c r="S4944" s="5" t="str">
        <f>IFERROR(__xludf.DUMMYFUNCTION("""COMPUTED_VALUE"""),"Nail Bomber: Manhunt")</f>
        <v>Nail Bomber: Manhunt</v>
      </c>
      <c r="V4944" s="5"/>
      <c r="Y4944" s="5" t="str">
        <f>IFERROR(__xludf.DUMMYFUNCTION("REGEXEXTRACT(J4944, ""^\d+"")"),"3")</f>
        <v>3</v>
      </c>
      <c r="Z4944" s="5" t="str">
        <f>IFERROR(__xludf.DUMMYFUNCTION("REGEXEXTRACT(J4944, ""[A-Za-z ]+$"")")," Seasons")</f>
        <v> Seasons</v>
      </c>
      <c r="AA4944" s="5" t="str">
        <f>IFERROR(__xludf.DUMMYFUNCTION("IF(REGEXMATCH(Z4944, ""Season""), ""TV Show"", ""Movie"")"),"TV Show")</f>
        <v>TV Show</v>
      </c>
    </row>
    <row r="4945">
      <c r="A4945" s="1" t="s">
        <v>25819</v>
      </c>
      <c r="B4945" s="1" t="s">
        <v>27</v>
      </c>
      <c r="C4945" s="1" t="s">
        <v>25820</v>
      </c>
      <c r="D4945" s="1" t="s">
        <v>9199</v>
      </c>
      <c r="E4945" s="1" t="s">
        <v>25821</v>
      </c>
      <c r="F4945" s="1" t="s">
        <v>25822</v>
      </c>
      <c r="G4945" s="1" t="s">
        <v>25823</v>
      </c>
      <c r="H4945" s="1">
        <v>2018.0</v>
      </c>
      <c r="I4945" s="1" t="s">
        <v>378</v>
      </c>
      <c r="J4945" s="1" t="s">
        <v>79</v>
      </c>
      <c r="K4945" s="1" t="s">
        <v>7235</v>
      </c>
      <c r="L4945" s="1" t="s">
        <v>25824</v>
      </c>
      <c r="M4945" s="2" t="s">
        <v>12</v>
      </c>
      <c r="N4945" s="4">
        <f t="shared" si="1"/>
        <v>43195</v>
      </c>
      <c r="O4945" s="5" t="str">
        <f>IFERROR(__xludf.DUMMYFUNCTION("IF(REGEXMATCH(TRIM(I4945), ""^\d+\s*min""), ""Unclassified"", IF(I4945 = """", ""NR"", I4945))"),"R")</f>
        <v>R</v>
      </c>
      <c r="R4945" s="5" t="str">
        <f t="shared" si="2"/>
        <v>Day Of The Dead: Bloodline</v>
      </c>
      <c r="S4945" s="5" t="str">
        <f>IFERROR(__xludf.DUMMYFUNCTION("""COMPUTED_VALUE"""),"Nailed It")</f>
        <v>Nailed It</v>
      </c>
      <c r="V4945" s="5"/>
      <c r="Y4945" s="5" t="str">
        <f>IFERROR(__xludf.DUMMYFUNCTION("REGEXEXTRACT(J4945, ""^\d+"")"),"91")</f>
        <v>91</v>
      </c>
      <c r="Z4945" s="5" t="str">
        <f>IFERROR(__xludf.DUMMYFUNCTION("REGEXEXTRACT(J4945, ""[A-Za-z ]+$"")")," min")</f>
        <v> min</v>
      </c>
      <c r="AA4945" s="5" t="str">
        <f>IFERROR(__xludf.DUMMYFUNCTION("IF(REGEXMATCH(Z4945, ""Season""), ""TV Show"", ""Movie"")"),"Movie")</f>
        <v>Movie</v>
      </c>
    </row>
    <row r="4946">
      <c r="A4946" s="1" t="s">
        <v>25825</v>
      </c>
      <c r="B4946" s="1" t="s">
        <v>27</v>
      </c>
      <c r="C4946" s="1" t="s">
        <v>25826</v>
      </c>
      <c r="D4946" s="1" t="s">
        <v>12335</v>
      </c>
      <c r="E4946" s="1" t="s">
        <v>15001</v>
      </c>
      <c r="F4946" s="1" t="s">
        <v>664</v>
      </c>
      <c r="G4946" s="1" t="s">
        <v>25827</v>
      </c>
      <c r="H4946" s="1">
        <v>2018.0</v>
      </c>
      <c r="I4946" s="1" t="s">
        <v>42</v>
      </c>
      <c r="J4946" s="1" t="s">
        <v>6281</v>
      </c>
      <c r="K4946" s="1" t="s">
        <v>1839</v>
      </c>
      <c r="L4946" s="1" t="s">
        <v>25828</v>
      </c>
      <c r="M4946" s="2" t="s">
        <v>12</v>
      </c>
      <c r="N4946" s="4">
        <f t="shared" si="1"/>
        <v>43193</v>
      </c>
      <c r="O4946" s="5" t="str">
        <f>IFERROR(__xludf.DUMMYFUNCTION("IF(REGEXMATCH(TRIM(I4946), ""^\d+\s*min""), ""Unclassified"", IF(I4946 = """", ""NR"", I4946))"),"TV-MA")</f>
        <v>TV-MA</v>
      </c>
      <c r="R4946" s="5" t="str">
        <f t="shared" si="2"/>
        <v>Fary Is The New Black</v>
      </c>
      <c r="S4946" s="5" t="str">
        <f>IFERROR(__xludf.DUMMYFUNCTION("""COMPUTED_VALUE"""),"Nailed It! France")</f>
        <v>Nailed It! France</v>
      </c>
      <c r="V4946" s="5"/>
      <c r="Y4946" s="5" t="str">
        <f>IFERROR(__xludf.DUMMYFUNCTION("REGEXEXTRACT(J4946, ""^\d+"")"),"75")</f>
        <v>75</v>
      </c>
      <c r="Z4946" s="5" t="str">
        <f>IFERROR(__xludf.DUMMYFUNCTION("REGEXEXTRACT(J4946, ""[A-Za-z ]+$"")")," min")</f>
        <v> min</v>
      </c>
      <c r="AA4946" s="5" t="str">
        <f>IFERROR(__xludf.DUMMYFUNCTION("IF(REGEXMATCH(Z4946, ""Season""), ""TV Show"", ""Movie"")"),"Movie")</f>
        <v>Movie</v>
      </c>
    </row>
    <row r="4947">
      <c r="A4947" s="1" t="s">
        <v>25829</v>
      </c>
      <c r="B4947" s="1" t="s">
        <v>27</v>
      </c>
      <c r="C4947" s="1" t="s">
        <v>25830</v>
      </c>
      <c r="D4947" s="1" t="s">
        <v>224</v>
      </c>
      <c r="E4947" s="1" t="s">
        <v>25831</v>
      </c>
      <c r="F4947" s="1" t="s">
        <v>63</v>
      </c>
      <c r="G4947" s="1" t="s">
        <v>25827</v>
      </c>
      <c r="H4947" s="1">
        <v>2017.0</v>
      </c>
      <c r="I4947" s="1" t="s">
        <v>42</v>
      </c>
      <c r="J4947" s="1" t="s">
        <v>305</v>
      </c>
      <c r="K4947" s="1" t="s">
        <v>298</v>
      </c>
      <c r="L4947" s="1" t="s">
        <v>25832</v>
      </c>
      <c r="M4947" s="2" t="s">
        <v>12</v>
      </c>
      <c r="N4947" s="4">
        <f t="shared" si="1"/>
        <v>43193</v>
      </c>
      <c r="O4947" s="5" t="str">
        <f>IFERROR(__xludf.DUMMYFUNCTION("IF(REGEXMATCH(TRIM(I4947), ""^\d+\s*min""), ""Unclassified"", IF(I4947 = """", ""NR"", I4947))"),"TV-MA")</f>
        <v>TV-MA</v>
      </c>
      <c r="R4947" s="5" t="str">
        <f t="shared" si="2"/>
        <v>Ittefaq</v>
      </c>
      <c r="S4947" s="5" t="str">
        <f>IFERROR(__xludf.DUMMYFUNCTION("""COMPUTED_VALUE"""),"Nailed It! Germany")</f>
        <v>Nailed It! Germany</v>
      </c>
      <c r="V4947" s="5"/>
      <c r="Y4947" s="5" t="str">
        <f>IFERROR(__xludf.DUMMYFUNCTION("REGEXEXTRACT(J4947, ""^\d+"")"),"105")</f>
        <v>105</v>
      </c>
      <c r="Z4947" s="5" t="str">
        <f>IFERROR(__xludf.DUMMYFUNCTION("REGEXEXTRACT(J4947, ""[A-Za-z ]+$"")")," min")</f>
        <v> min</v>
      </c>
      <c r="AA4947" s="5" t="str">
        <f>IFERROR(__xludf.DUMMYFUNCTION("IF(REGEXMATCH(Z4947, ""Season""), ""TV Show"", ""Movie"")"),"Movie")</f>
        <v>Movie</v>
      </c>
    </row>
    <row r="4948">
      <c r="A4948" s="1" t="s">
        <v>25833</v>
      </c>
      <c r="B4948" s="1" t="s">
        <v>37</v>
      </c>
      <c r="C4948" s="1" t="s">
        <v>25834</v>
      </c>
      <c r="E4948" s="1" t="s">
        <v>25835</v>
      </c>
      <c r="F4948" s="1" t="s">
        <v>30</v>
      </c>
      <c r="G4948" s="1" t="s">
        <v>25836</v>
      </c>
      <c r="H4948" s="1">
        <v>1993.0</v>
      </c>
      <c r="I4948" s="1" t="s">
        <v>136</v>
      </c>
      <c r="J4948" s="1" t="s">
        <v>1809</v>
      </c>
      <c r="K4948" s="1" t="s">
        <v>2583</v>
      </c>
      <c r="L4948" s="1" t="s">
        <v>25837</v>
      </c>
      <c r="M4948" s="2" t="s">
        <v>12</v>
      </c>
      <c r="N4948" s="4">
        <f t="shared" si="1"/>
        <v>43192</v>
      </c>
      <c r="O4948" s="5" t="str">
        <f>IFERROR(__xludf.DUMMYFUNCTION("IF(REGEXMATCH(TRIM(I4948), ""^\d+\s*min""), ""Unclassified"", IF(I4948 = """", ""NR"", I4948))"),"TV-PG")</f>
        <v>TV-PG</v>
      </c>
      <c r="R4948" s="5" t="str">
        <f t="shared" si="2"/>
        <v>Star Trek: The Next Generation</v>
      </c>
      <c r="S4948" s="5" t="str">
        <f>IFERROR(__xludf.DUMMYFUNCTION("""COMPUTED_VALUE"""),"Nailed It! Holiday!")</f>
        <v>Nailed It! Holiday!</v>
      </c>
      <c r="V4948" s="5"/>
      <c r="Y4948" s="5" t="str">
        <f>IFERROR(__xludf.DUMMYFUNCTION("REGEXEXTRACT(J4948, ""^\d+"")"),"7")</f>
        <v>7</v>
      </c>
      <c r="Z4948" s="5" t="str">
        <f>IFERROR(__xludf.DUMMYFUNCTION("REGEXEXTRACT(J4948, ""[A-Za-z ]+$"")")," Seasons")</f>
        <v> Seasons</v>
      </c>
      <c r="AA4948" s="5" t="str">
        <f>IFERROR(__xludf.DUMMYFUNCTION("IF(REGEXMATCH(Z4948, ""Season""), ""TV Show"", ""Movie"")"),"TV Show")</f>
        <v>TV Show</v>
      </c>
    </row>
    <row r="4949">
      <c r="A4949" s="1" t="s">
        <v>25838</v>
      </c>
      <c r="B4949" s="1" t="s">
        <v>27</v>
      </c>
      <c r="C4949" s="1" t="s">
        <v>25839</v>
      </c>
      <c r="D4949" s="1" t="s">
        <v>6496</v>
      </c>
      <c r="E4949" s="1" t="s">
        <v>25840</v>
      </c>
      <c r="F4949" s="1" t="s">
        <v>25841</v>
      </c>
      <c r="G4949" s="1" t="s">
        <v>25842</v>
      </c>
      <c r="H4949" s="1">
        <v>2017.0</v>
      </c>
      <c r="I4949" s="1" t="s">
        <v>97</v>
      </c>
      <c r="J4949" s="1" t="s">
        <v>322</v>
      </c>
      <c r="K4949" s="1" t="s">
        <v>298</v>
      </c>
      <c r="L4949" s="1" t="s">
        <v>25843</v>
      </c>
      <c r="M4949" s="2" t="s">
        <v>12</v>
      </c>
      <c r="N4949" s="4">
        <f t="shared" si="1"/>
        <v>43191</v>
      </c>
      <c r="O4949" s="5" t="str">
        <f>IFERROR(__xludf.DUMMYFUNCTION("IF(REGEXMATCH(TRIM(I4949), ""^\d+\s*min""), ""Unclassified"", IF(I4949 = """", ""NR"", I4949))"),"TV-14")</f>
        <v>TV-14</v>
      </c>
      <c r="R4949" s="5" t="str">
        <f t="shared" si="2"/>
        <v>A Sort Of Family</v>
      </c>
      <c r="S4949" s="5" t="str">
        <f>IFERROR(__xludf.DUMMYFUNCTION("""COMPUTED_VALUE"""),"Nailed It! Mexico")</f>
        <v>Nailed It! Mexico</v>
      </c>
      <c r="V4949" s="5"/>
      <c r="Y4949" s="5" t="str">
        <f>IFERROR(__xludf.DUMMYFUNCTION("REGEXEXTRACT(J4949, ""^\d+"")"),"96")</f>
        <v>96</v>
      </c>
      <c r="Z4949" s="5" t="str">
        <f>IFERROR(__xludf.DUMMYFUNCTION("REGEXEXTRACT(J4949, ""[A-Za-z ]+$"")")," min")</f>
        <v> min</v>
      </c>
      <c r="AA4949" s="5" t="str">
        <f>IFERROR(__xludf.DUMMYFUNCTION("IF(REGEXMATCH(Z4949, ""Season""), ""TV Show"", ""Movie"")"),"Movie")</f>
        <v>Movie</v>
      </c>
    </row>
    <row r="4950">
      <c r="A4950" s="1" t="s">
        <v>25844</v>
      </c>
      <c r="B4950" s="1" t="s">
        <v>27</v>
      </c>
      <c r="C4950" s="1" t="s">
        <v>25845</v>
      </c>
      <c r="D4950" s="1" t="s">
        <v>18415</v>
      </c>
      <c r="E4950" s="1" t="s">
        <v>25846</v>
      </c>
      <c r="F4950" s="1" t="s">
        <v>63</v>
      </c>
      <c r="G4950" s="1" t="s">
        <v>25842</v>
      </c>
      <c r="H4950" s="1">
        <v>2009.0</v>
      </c>
      <c r="I4950" s="1" t="s">
        <v>136</v>
      </c>
      <c r="J4950" s="1" t="s">
        <v>2505</v>
      </c>
      <c r="K4950" s="1" t="s">
        <v>128</v>
      </c>
      <c r="L4950" s="1" t="s">
        <v>25847</v>
      </c>
      <c r="M4950" s="2" t="s">
        <v>12</v>
      </c>
      <c r="N4950" s="4">
        <f t="shared" si="1"/>
        <v>43191</v>
      </c>
      <c r="O4950" s="5" t="str">
        <f>IFERROR(__xludf.DUMMYFUNCTION("IF(REGEXMATCH(TRIM(I4950), ""^\d+\s*min""), ""Unclassified"", IF(I4950 = """", ""NR"", I4950))"),"TV-PG")</f>
        <v>TV-PG</v>
      </c>
      <c r="R4950" s="5" t="str">
        <f t="shared" si="2"/>
        <v>Billu</v>
      </c>
      <c r="S4950" s="5" t="str">
        <f>IFERROR(__xludf.DUMMYFUNCTION("""COMPUTED_VALUE"""),"Nailed It! Spain")</f>
        <v>Nailed It! Spain</v>
      </c>
      <c r="V4950" s="5"/>
      <c r="Y4950" s="5" t="str">
        <f>IFERROR(__xludf.DUMMYFUNCTION("REGEXEXTRACT(J4950, ""^\d+"")"),"132")</f>
        <v>132</v>
      </c>
      <c r="Z4950" s="5" t="str">
        <f>IFERROR(__xludf.DUMMYFUNCTION("REGEXEXTRACT(J4950, ""[A-Za-z ]+$"")")," min")</f>
        <v> min</v>
      </c>
      <c r="AA4950" s="5" t="str">
        <f>IFERROR(__xludf.DUMMYFUNCTION("IF(REGEXMATCH(Z4950, ""Season""), ""TV Show"", ""Movie"")"),"Movie")</f>
        <v>Movie</v>
      </c>
    </row>
    <row r="4951">
      <c r="A4951" s="1" t="s">
        <v>25848</v>
      </c>
      <c r="B4951" s="1" t="s">
        <v>37</v>
      </c>
      <c r="C4951" s="1" t="s">
        <v>25849</v>
      </c>
      <c r="E4951" s="1" t="s">
        <v>25850</v>
      </c>
      <c r="F4951" s="1" t="s">
        <v>3834</v>
      </c>
      <c r="G4951" s="1" t="s">
        <v>25842</v>
      </c>
      <c r="H4951" s="1">
        <v>2017.0</v>
      </c>
      <c r="I4951" s="1" t="s">
        <v>42</v>
      </c>
      <c r="J4951" s="1" t="s">
        <v>51</v>
      </c>
      <c r="K4951" s="1" t="s">
        <v>2493</v>
      </c>
      <c r="L4951" s="1" t="s">
        <v>25851</v>
      </c>
      <c r="M4951" s="2" t="s">
        <v>12</v>
      </c>
      <c r="N4951" s="4">
        <f t="shared" si="1"/>
        <v>43191</v>
      </c>
      <c r="O4951" s="5" t="str">
        <f>IFERROR(__xludf.DUMMYFUNCTION("IF(REGEXMATCH(TRIM(I4951), ""^\d+\s*min""), ""Unclassified"", IF(I4951 = """", ""NR"", I4951))"),"TV-MA")</f>
        <v>TV-MA</v>
      </c>
      <c r="R4951" s="5" t="str">
        <f t="shared" si="2"/>
        <v>Fallet</v>
      </c>
      <c r="S4951" s="5" t="str">
        <f>IFERROR(__xludf.DUMMYFUNCTION("""COMPUTED_VALUE"""),"Nails")</f>
        <v>Nails</v>
      </c>
      <c r="V4951" s="5"/>
      <c r="Y4951" s="5" t="str">
        <f>IFERROR(__xludf.DUMMYFUNCTION("REGEXEXTRACT(J4951, ""^\d+"")"),"1")</f>
        <v>1</v>
      </c>
      <c r="Z4951" s="5" t="str">
        <f>IFERROR(__xludf.DUMMYFUNCTION("REGEXEXTRACT(J4951, ""[A-Za-z ]+$"")")," Season")</f>
        <v> Season</v>
      </c>
      <c r="AA4951" s="5" t="str">
        <f>IFERROR(__xludf.DUMMYFUNCTION("IF(REGEXMATCH(Z4951, ""Season""), ""TV Show"", ""Movie"")"),"TV Show")</f>
        <v>TV Show</v>
      </c>
    </row>
    <row r="4952">
      <c r="A4952" s="1" t="s">
        <v>25852</v>
      </c>
      <c r="B4952" s="1" t="s">
        <v>27</v>
      </c>
      <c r="C4952" s="1" t="s">
        <v>25853</v>
      </c>
      <c r="D4952" s="1" t="s">
        <v>14919</v>
      </c>
      <c r="E4952" s="1" t="s">
        <v>25594</v>
      </c>
      <c r="F4952" s="1" t="s">
        <v>30</v>
      </c>
      <c r="G4952" s="1" t="s">
        <v>25842</v>
      </c>
      <c r="H4952" s="1">
        <v>2012.0</v>
      </c>
      <c r="I4952" s="1" t="s">
        <v>42</v>
      </c>
      <c r="J4952" s="1" t="s">
        <v>4639</v>
      </c>
      <c r="K4952" s="1" t="s">
        <v>1839</v>
      </c>
      <c r="L4952" s="1" t="s">
        <v>25854</v>
      </c>
      <c r="M4952" s="2" t="s">
        <v>12</v>
      </c>
      <c r="N4952" s="4">
        <f t="shared" si="1"/>
        <v>43191</v>
      </c>
      <c r="O4952" s="5" t="str">
        <f>IFERROR(__xludf.DUMMYFUNCTION("IF(REGEXMATCH(TRIM(I4952), ""^\d+\s*min""), ""Unclassified"", IF(I4952 = """", ""NR"", I4952))"),"TV-MA")</f>
        <v>TV-MA</v>
      </c>
      <c r="R4952" s="5" t="str">
        <f t="shared" si="2"/>
        <v>John Mulaney: New In Town</v>
      </c>
      <c r="S4952" s="5" t="str">
        <f>IFERROR(__xludf.DUMMYFUNCTION("""COMPUTED_VALUE"""),"Naked")</f>
        <v>Naked</v>
      </c>
      <c r="V4952" s="5"/>
      <c r="Y4952" s="5" t="str">
        <f>IFERROR(__xludf.DUMMYFUNCTION("REGEXEXTRACT(J4952, ""^\d+"")"),"60")</f>
        <v>60</v>
      </c>
      <c r="Z4952" s="5" t="str">
        <f>IFERROR(__xludf.DUMMYFUNCTION("REGEXEXTRACT(J4952, ""[A-Za-z ]+$"")")," min")</f>
        <v> min</v>
      </c>
      <c r="AA4952" s="5" t="str">
        <f>IFERROR(__xludf.DUMMYFUNCTION("IF(REGEXMATCH(Z4952, ""Season""), ""TV Show"", ""Movie"")"),"Movie")</f>
        <v>Movie</v>
      </c>
    </row>
    <row r="4953">
      <c r="A4953" s="1" t="s">
        <v>25855</v>
      </c>
      <c r="B4953" s="1" t="s">
        <v>37</v>
      </c>
      <c r="C4953" s="1" t="s">
        <v>25856</v>
      </c>
      <c r="E4953" s="1" t="s">
        <v>25857</v>
      </c>
      <c r="F4953" s="1" t="s">
        <v>96</v>
      </c>
      <c r="G4953" s="1" t="s">
        <v>25842</v>
      </c>
      <c r="H4953" s="1">
        <v>2017.0</v>
      </c>
      <c r="I4953" s="1" t="s">
        <v>42</v>
      </c>
      <c r="J4953" s="1" t="s">
        <v>51</v>
      </c>
      <c r="K4953" s="1" t="s">
        <v>277</v>
      </c>
      <c r="L4953" s="1" t="s">
        <v>25858</v>
      </c>
      <c r="M4953" s="2" t="s">
        <v>12</v>
      </c>
      <c r="N4953" s="4">
        <f t="shared" si="1"/>
        <v>43191</v>
      </c>
      <c r="O4953" s="5" t="str">
        <f>IFERROR(__xludf.DUMMYFUNCTION("IF(REGEXMATCH(TRIM(I4953), ""^\d+\s*min""), ""Unclassified"", IF(I4953 = """", ""NR"", I4953))"),"TV-MA")</f>
        <v>TV-MA</v>
      </c>
      <c r="R4953" s="5" t="str">
        <f t="shared" si="2"/>
        <v>Loaded</v>
      </c>
      <c r="S4953" s="5" t="str">
        <f>IFERROR(__xludf.DUMMYFUNCTION("""COMPUTED_VALUE"""),"Naledi: A Baby Elephant'S Tale")</f>
        <v>Naledi: A Baby Elephant'S Tale</v>
      </c>
      <c r="V4953" s="5"/>
      <c r="Y4953" s="5" t="str">
        <f>IFERROR(__xludf.DUMMYFUNCTION("REGEXEXTRACT(J4953, ""^\d+"")"),"1")</f>
        <v>1</v>
      </c>
      <c r="Z4953" s="5" t="str">
        <f>IFERROR(__xludf.DUMMYFUNCTION("REGEXEXTRACT(J4953, ""[A-Za-z ]+$"")")," Season")</f>
        <v> Season</v>
      </c>
      <c r="AA4953" s="5" t="str">
        <f>IFERROR(__xludf.DUMMYFUNCTION("IF(REGEXMATCH(Z4953, ""Season""), ""TV Show"", ""Movie"")"),"TV Show")</f>
        <v>TV Show</v>
      </c>
    </row>
    <row r="4954">
      <c r="A4954" s="1" t="s">
        <v>25859</v>
      </c>
      <c r="B4954" s="1" t="s">
        <v>27</v>
      </c>
      <c r="C4954" s="1" t="s">
        <v>25860</v>
      </c>
      <c r="D4954" s="1" t="s">
        <v>7477</v>
      </c>
      <c r="E4954" s="1" t="s">
        <v>25861</v>
      </c>
      <c r="F4954" s="1" t="s">
        <v>63</v>
      </c>
      <c r="G4954" s="1" t="s">
        <v>25842</v>
      </c>
      <c r="H4954" s="1">
        <v>2004.0</v>
      </c>
      <c r="I4954" s="1" t="s">
        <v>97</v>
      </c>
      <c r="J4954" s="1" t="s">
        <v>9630</v>
      </c>
      <c r="K4954" s="1" t="s">
        <v>617</v>
      </c>
      <c r="L4954" s="1" t="s">
        <v>25862</v>
      </c>
      <c r="M4954" s="2" t="s">
        <v>12</v>
      </c>
      <c r="N4954" s="4">
        <f t="shared" si="1"/>
        <v>43191</v>
      </c>
      <c r="O4954" s="5" t="str">
        <f>IFERROR(__xludf.DUMMYFUNCTION("IF(REGEXMATCH(TRIM(I4954), ""^\d+\s*min""), ""Unclassified"", IF(I4954 = """", ""NR"", I4954))"),"TV-14")</f>
        <v>TV-14</v>
      </c>
      <c r="R4954" s="5" t="str">
        <f t="shared" si="2"/>
        <v>Main Hoon Na</v>
      </c>
      <c r="S4954" s="5" t="str">
        <f>IFERROR(__xludf.DUMMYFUNCTION("""COMPUTED_VALUE"""),"Namak Halaal")</f>
        <v>Namak Halaal</v>
      </c>
      <c r="V4954" s="5"/>
      <c r="Y4954" s="5" t="str">
        <f>IFERROR(__xludf.DUMMYFUNCTION("REGEXEXTRACT(J4954, ""^\d+"")"),"171")</f>
        <v>171</v>
      </c>
      <c r="Z4954" s="5" t="str">
        <f>IFERROR(__xludf.DUMMYFUNCTION("REGEXEXTRACT(J4954, ""[A-Za-z ]+$"")")," min")</f>
        <v> min</v>
      </c>
      <c r="AA4954" s="5" t="str">
        <f>IFERROR(__xludf.DUMMYFUNCTION("IF(REGEXMATCH(Z4954, ""Season""), ""TV Show"", ""Movie"")"),"Movie")</f>
        <v>Movie</v>
      </c>
    </row>
    <row r="4955">
      <c r="A4955" s="1" t="s">
        <v>25863</v>
      </c>
      <c r="B4955" s="1" t="s">
        <v>27</v>
      </c>
      <c r="C4955" s="1" t="s">
        <v>25864</v>
      </c>
      <c r="D4955" s="1" t="s">
        <v>1723</v>
      </c>
      <c r="E4955" s="1" t="s">
        <v>25865</v>
      </c>
      <c r="F4955" s="1" t="s">
        <v>63</v>
      </c>
      <c r="G4955" s="1" t="s">
        <v>25842</v>
      </c>
      <c r="H4955" s="1">
        <v>2016.0</v>
      </c>
      <c r="I4955" s="1" t="s">
        <v>97</v>
      </c>
      <c r="J4955" s="1" t="s">
        <v>349</v>
      </c>
      <c r="K4955" s="1" t="s">
        <v>298</v>
      </c>
      <c r="L4955" s="1" t="s">
        <v>25866</v>
      </c>
      <c r="M4955" s="2" t="s">
        <v>12</v>
      </c>
      <c r="N4955" s="4">
        <f t="shared" si="1"/>
        <v>43191</v>
      </c>
      <c r="O4955" s="5" t="str">
        <f>IFERROR(__xludf.DUMMYFUNCTION("IF(REGEXMATCH(TRIM(I4955), ""^\d+\s*min""), ""Unclassified"", IF(I4955 = """", ""NR"", I4955))"),"TV-14")</f>
        <v>TV-14</v>
      </c>
      <c r="R4955" s="5" t="str">
        <f t="shared" si="2"/>
        <v>Metro</v>
      </c>
      <c r="S4955" s="5" t="str">
        <f>IFERROR(__xludf.DUMMYFUNCTION("""COMPUTED_VALUE"""),"Namaste Wahala")</f>
        <v>Namaste Wahala</v>
      </c>
      <c r="V4955" s="5"/>
      <c r="Y4955" s="5" t="str">
        <f>IFERROR(__xludf.DUMMYFUNCTION("REGEXEXTRACT(J4955, ""^\d+"")"),"116")</f>
        <v>116</v>
      </c>
      <c r="Z4955" s="5" t="str">
        <f>IFERROR(__xludf.DUMMYFUNCTION("REGEXEXTRACT(J4955, ""[A-Za-z ]+$"")")," min")</f>
        <v> min</v>
      </c>
      <c r="AA4955" s="5" t="str">
        <f>IFERROR(__xludf.DUMMYFUNCTION("IF(REGEXMATCH(Z4955, ""Season""), ""TV Show"", ""Movie"")"),"Movie")</f>
        <v>Movie</v>
      </c>
    </row>
    <row r="4956">
      <c r="A4956" s="1" t="s">
        <v>25867</v>
      </c>
      <c r="B4956" s="1" t="s">
        <v>27</v>
      </c>
      <c r="C4956" s="1" t="s">
        <v>25868</v>
      </c>
      <c r="D4956" s="1" t="s">
        <v>7477</v>
      </c>
      <c r="E4956" s="1" t="s">
        <v>25869</v>
      </c>
      <c r="F4956" s="1" t="s">
        <v>63</v>
      </c>
      <c r="G4956" s="1" t="s">
        <v>25842</v>
      </c>
      <c r="H4956" s="1">
        <v>2007.0</v>
      </c>
      <c r="I4956" s="1" t="s">
        <v>97</v>
      </c>
      <c r="J4956" s="1" t="s">
        <v>17370</v>
      </c>
      <c r="K4956" s="1" t="s">
        <v>583</v>
      </c>
      <c r="L4956" s="1" t="s">
        <v>25870</v>
      </c>
      <c r="M4956" s="2" t="s">
        <v>12</v>
      </c>
      <c r="N4956" s="4">
        <f t="shared" si="1"/>
        <v>43191</v>
      </c>
      <c r="O4956" s="5" t="str">
        <f>IFERROR(__xludf.DUMMYFUNCTION("IF(REGEXMATCH(TRIM(I4956), ""^\d+\s*min""), ""Unclassified"", IF(I4956 = """", ""NR"", I4956))"),"TV-14")</f>
        <v>TV-14</v>
      </c>
      <c r="R4956" s="5" t="str">
        <f t="shared" si="2"/>
        <v>Om Shanti Om</v>
      </c>
      <c r="S4956" s="5" t="str">
        <f>IFERROR(__xludf.DUMMYFUNCTION("""COMPUTED_VALUE"""),"Namastey London")</f>
        <v>Namastey London</v>
      </c>
      <c r="V4956" s="5"/>
      <c r="Y4956" s="5" t="str">
        <f>IFERROR(__xludf.DUMMYFUNCTION("REGEXEXTRACT(J4956, ""^\d+"")"),"169")</f>
        <v>169</v>
      </c>
      <c r="Z4956" s="5" t="str">
        <f>IFERROR(__xludf.DUMMYFUNCTION("REGEXEXTRACT(J4956, ""[A-Za-z ]+$"")")," min")</f>
        <v> min</v>
      </c>
      <c r="AA4956" s="5" t="str">
        <f>IFERROR(__xludf.DUMMYFUNCTION("IF(REGEXMATCH(Z4956, ""Season""), ""TV Show"", ""Movie"")"),"Movie")</f>
        <v>Movie</v>
      </c>
    </row>
    <row r="4957">
      <c r="A4957" s="1" t="s">
        <v>25871</v>
      </c>
      <c r="B4957" s="1" t="s">
        <v>27</v>
      </c>
      <c r="C4957" s="1" t="s">
        <v>25872</v>
      </c>
      <c r="D4957" s="1" t="s">
        <v>1629</v>
      </c>
      <c r="E4957" s="1" t="s">
        <v>25873</v>
      </c>
      <c r="F4957" s="1" t="s">
        <v>63</v>
      </c>
      <c r="G4957" s="1" t="s">
        <v>25842</v>
      </c>
      <c r="H4957" s="1">
        <v>2005.0</v>
      </c>
      <c r="I4957" s="1" t="s">
        <v>136</v>
      </c>
      <c r="J4957" s="1" t="s">
        <v>7413</v>
      </c>
      <c r="K4957" s="1" t="s">
        <v>679</v>
      </c>
      <c r="L4957" s="1" t="s">
        <v>25874</v>
      </c>
      <c r="M4957" s="2" t="s">
        <v>12</v>
      </c>
      <c r="N4957" s="4">
        <f t="shared" si="1"/>
        <v>43191</v>
      </c>
      <c r="O4957" s="5" t="str">
        <f>IFERROR(__xludf.DUMMYFUNCTION("IF(REGEXMATCH(TRIM(I4957), ""^\d+\s*min""), ""Unclassified"", IF(I4957 = """", ""NR"", I4957))"),"TV-PG")</f>
        <v>TV-PG</v>
      </c>
      <c r="R4957" s="5" t="str">
        <f t="shared" si="2"/>
        <v>Paheli</v>
      </c>
      <c r="S4957" s="5" t="str">
        <f>IFERROR(__xludf.DUMMYFUNCTION("""COMPUTED_VALUE"""),"Namour")</f>
        <v>Namour</v>
      </c>
      <c r="V4957" s="5"/>
      <c r="Y4957" s="5" t="str">
        <f>IFERROR(__xludf.DUMMYFUNCTION("REGEXEXTRACT(J4957, ""^\d+"")"),"134")</f>
        <v>134</v>
      </c>
      <c r="Z4957" s="5" t="str">
        <f>IFERROR(__xludf.DUMMYFUNCTION("REGEXEXTRACT(J4957, ""[A-Za-z ]+$"")")," min")</f>
        <v> min</v>
      </c>
      <c r="AA4957" s="5" t="str">
        <f>IFERROR(__xludf.DUMMYFUNCTION("IF(REGEXMATCH(Z4957, ""Season""), ""TV Show"", ""Movie"")"),"Movie")</f>
        <v>Movie</v>
      </c>
    </row>
    <row r="4958">
      <c r="A4958" s="1" t="s">
        <v>25875</v>
      </c>
      <c r="B4958" s="1" t="s">
        <v>27</v>
      </c>
      <c r="C4958" s="1" t="s">
        <v>25876</v>
      </c>
      <c r="D4958" s="1" t="s">
        <v>2881</v>
      </c>
      <c r="E4958" s="1" t="s">
        <v>25877</v>
      </c>
      <c r="F4958" s="1" t="s">
        <v>63</v>
      </c>
      <c r="G4958" s="1" t="s">
        <v>25842</v>
      </c>
      <c r="H4958" s="1">
        <v>2000.0</v>
      </c>
      <c r="I4958" s="1" t="s">
        <v>97</v>
      </c>
      <c r="J4958" s="1" t="s">
        <v>4226</v>
      </c>
      <c r="K4958" s="1" t="s">
        <v>583</v>
      </c>
      <c r="L4958" s="1" t="s">
        <v>25878</v>
      </c>
      <c r="M4958" s="2" t="s">
        <v>12</v>
      </c>
      <c r="N4958" s="4">
        <f t="shared" si="1"/>
        <v>43191</v>
      </c>
      <c r="O4958" s="5" t="str">
        <f>IFERROR(__xludf.DUMMYFUNCTION("IF(REGEXMATCH(TRIM(I4958), ""^\d+\s*min""), ""Unclassified"", IF(I4958 = """", ""NR"", I4958))"),"TV-14")</f>
        <v>TV-14</v>
      </c>
      <c r="R4958" s="5" t="str">
        <f t="shared" si="2"/>
        <v>Phir Bhi Dil Hai Hindustani</v>
      </c>
      <c r="S4958" s="5" t="str">
        <f>IFERROR(__xludf.DUMMYFUNCTION("""COMPUTED_VALUE"""),"Nang Nak")</f>
        <v>Nang Nak</v>
      </c>
      <c r="V4958" s="5"/>
      <c r="Y4958" s="5" t="str">
        <f>IFERROR(__xludf.DUMMYFUNCTION("REGEXEXTRACT(J4958, ""^\d+"")"),"159")</f>
        <v>159</v>
      </c>
      <c r="Z4958" s="5" t="str">
        <f>IFERROR(__xludf.DUMMYFUNCTION("REGEXEXTRACT(J4958, ""[A-Za-z ]+$"")")," min")</f>
        <v> min</v>
      </c>
      <c r="AA4958" s="5" t="str">
        <f>IFERROR(__xludf.DUMMYFUNCTION("IF(REGEXMATCH(Z4958, ""Season""), ""TV Show"", ""Movie"")"),"Movie")</f>
        <v>Movie</v>
      </c>
    </row>
    <row r="4959">
      <c r="A4959" s="1" t="s">
        <v>25879</v>
      </c>
      <c r="B4959" s="1" t="s">
        <v>37</v>
      </c>
      <c r="C4959" s="1" t="s">
        <v>25880</v>
      </c>
      <c r="E4959" s="1" t="s">
        <v>25881</v>
      </c>
      <c r="F4959" s="1" t="s">
        <v>96</v>
      </c>
      <c r="G4959" s="1" t="s">
        <v>25882</v>
      </c>
      <c r="H4959" s="1">
        <v>2017.0</v>
      </c>
      <c r="I4959" s="1" t="s">
        <v>42</v>
      </c>
      <c r="J4959" s="1" t="s">
        <v>43</v>
      </c>
      <c r="K4959" s="1" t="s">
        <v>23944</v>
      </c>
      <c r="L4959" s="1" t="s">
        <v>25883</v>
      </c>
      <c r="M4959" s="2" t="s">
        <v>12</v>
      </c>
      <c r="N4959" s="4">
        <f t="shared" si="1"/>
        <v>43190</v>
      </c>
      <c r="O4959" s="5" t="str">
        <f>IFERROR(__xludf.DUMMYFUNCTION("IF(REGEXMATCH(TRIM(I4959), ""^\d+\s*min""), ""Unclassified"", IF(I4959 = """", ""NR"", I4959))"),"TV-MA")</f>
        <v>TV-MA</v>
      </c>
      <c r="R4959" s="5" t="str">
        <f t="shared" si="2"/>
        <v>Doctor Foster</v>
      </c>
      <c r="S4959" s="5" t="str">
        <f>IFERROR(__xludf.DUMMYFUNCTION("""COMPUTED_VALUE"""),"Naomi And Ely'S No Kiss List")</f>
        <v>Naomi And Ely'S No Kiss List</v>
      </c>
      <c r="V4959" s="5"/>
      <c r="Y4959" s="5" t="str">
        <f>IFERROR(__xludf.DUMMYFUNCTION("REGEXEXTRACT(J4959, ""^\d+"")"),"2")</f>
        <v>2</v>
      </c>
      <c r="Z4959" s="5" t="str">
        <f>IFERROR(__xludf.DUMMYFUNCTION("REGEXEXTRACT(J4959, ""[A-Za-z ]+$"")")," Seasons")</f>
        <v> Seasons</v>
      </c>
      <c r="AA4959" s="5" t="str">
        <f>IFERROR(__xludf.DUMMYFUNCTION("IF(REGEXMATCH(Z4959, ""Season""), ""TV Show"", ""Movie"")"),"TV Show")</f>
        <v>TV Show</v>
      </c>
    </row>
    <row r="4960">
      <c r="A4960" s="1" t="s">
        <v>25884</v>
      </c>
      <c r="B4960" s="1" t="s">
        <v>27</v>
      </c>
      <c r="C4960" s="1" t="s">
        <v>25885</v>
      </c>
      <c r="D4960" s="1" t="s">
        <v>11106</v>
      </c>
      <c r="E4960" s="1" t="s">
        <v>25886</v>
      </c>
      <c r="F4960" s="1" t="s">
        <v>96</v>
      </c>
      <c r="G4960" s="1" t="s">
        <v>25882</v>
      </c>
      <c r="H4960" s="1">
        <v>2017.0</v>
      </c>
      <c r="I4960" s="1" t="s">
        <v>378</v>
      </c>
      <c r="J4960" s="1" t="s">
        <v>630</v>
      </c>
      <c r="K4960" s="1" t="s">
        <v>942</v>
      </c>
      <c r="L4960" s="1" t="s">
        <v>25887</v>
      </c>
      <c r="M4960" s="2" t="s">
        <v>12</v>
      </c>
      <c r="N4960" s="4">
        <f t="shared" si="1"/>
        <v>43190</v>
      </c>
      <c r="O4960" s="5" t="str">
        <f>IFERROR(__xludf.DUMMYFUNCTION("IF(REGEXMATCH(TRIM(I4960), ""^\d+\s*min""), ""Unclassified"", IF(I4960 = """", ""NR"", I4960))"),"R")</f>
        <v>R</v>
      </c>
      <c r="R4960" s="5" t="str">
        <f t="shared" si="2"/>
        <v>Revolt</v>
      </c>
      <c r="S4960" s="5" t="str">
        <f>IFERROR(__xludf.DUMMYFUNCTION("""COMPUTED_VALUE"""),"Naomi Osaka")</f>
        <v>Naomi Osaka</v>
      </c>
      <c r="V4960" s="5"/>
      <c r="Y4960" s="5" t="str">
        <f>IFERROR(__xludf.DUMMYFUNCTION("REGEXEXTRACT(J4960, ""^\d+"")"),"87")</f>
        <v>87</v>
      </c>
      <c r="Z4960" s="5" t="str">
        <f>IFERROR(__xludf.DUMMYFUNCTION("REGEXEXTRACT(J4960, ""[A-Za-z ]+$"")")," min")</f>
        <v> min</v>
      </c>
      <c r="AA4960" s="5" t="str">
        <f>IFERROR(__xludf.DUMMYFUNCTION("IF(REGEXMATCH(Z4960, ""Season""), ""TV Show"", ""Movie"")"),"Movie")</f>
        <v>Movie</v>
      </c>
    </row>
    <row r="4961">
      <c r="A4961" s="1" t="s">
        <v>25888</v>
      </c>
      <c r="B4961" s="1" t="s">
        <v>27</v>
      </c>
      <c r="C4961" s="1" t="s">
        <v>25889</v>
      </c>
      <c r="D4961" s="1" t="s">
        <v>17229</v>
      </c>
      <c r="E4961" s="1" t="s">
        <v>25890</v>
      </c>
      <c r="F4961" s="1" t="s">
        <v>30</v>
      </c>
      <c r="G4961" s="1" t="s">
        <v>25891</v>
      </c>
      <c r="H4961" s="1">
        <v>2018.0</v>
      </c>
      <c r="I4961" s="1" t="s">
        <v>42</v>
      </c>
      <c r="J4961" s="1" t="s">
        <v>238</v>
      </c>
      <c r="K4961" s="1" t="s">
        <v>9047</v>
      </c>
      <c r="L4961" s="1" t="s">
        <v>25892</v>
      </c>
      <c r="M4961" s="2" t="s">
        <v>12</v>
      </c>
      <c r="N4961" s="4">
        <f t="shared" si="1"/>
        <v>43189</v>
      </c>
      <c r="O4961" s="5" t="str">
        <f>IFERROR(__xludf.DUMMYFUNCTION("IF(REGEXMATCH(TRIM(I4961), ""^\d+\s*min""), ""Unclassified"", IF(I4961 = """", ""NR"", I4961))"),"TV-MA")</f>
        <v>TV-MA</v>
      </c>
      <c r="R4961" s="5" t="str">
        <f t="shared" si="2"/>
        <v>First Match</v>
      </c>
      <c r="S4961" s="5" t="str">
        <f>IFERROR(__xludf.DUMMYFUNCTION("""COMPUTED_VALUE"""),"Nappily Ever After")</f>
        <v>Nappily Ever After</v>
      </c>
      <c r="V4961" s="5"/>
      <c r="Y4961" s="5" t="str">
        <f>IFERROR(__xludf.DUMMYFUNCTION("REGEXEXTRACT(J4961, ""^\d+"")"),"103")</f>
        <v>103</v>
      </c>
      <c r="Z4961" s="5" t="str">
        <f>IFERROR(__xludf.DUMMYFUNCTION("REGEXEXTRACT(J4961, ""[A-Za-z ]+$"")")," min")</f>
        <v> min</v>
      </c>
      <c r="AA4961" s="5" t="str">
        <f>IFERROR(__xludf.DUMMYFUNCTION("IF(REGEXMATCH(Z4961, ""Season""), ""TV Show"", ""Movie"")"),"Movie")</f>
        <v>Movie</v>
      </c>
    </row>
    <row r="4962">
      <c r="A4962" s="1" t="s">
        <v>25893</v>
      </c>
      <c r="B4962" s="1" t="s">
        <v>27</v>
      </c>
      <c r="C4962" s="1" t="s">
        <v>25894</v>
      </c>
      <c r="D4962" s="1" t="s">
        <v>10217</v>
      </c>
      <c r="E4962" s="1" t="s">
        <v>25895</v>
      </c>
      <c r="F4962" s="1" t="s">
        <v>30</v>
      </c>
      <c r="G4962" s="1" t="s">
        <v>25891</v>
      </c>
      <c r="H4962" s="1">
        <v>2018.0</v>
      </c>
      <c r="I4962" s="1" t="s">
        <v>42</v>
      </c>
      <c r="J4962" s="1" t="s">
        <v>1737</v>
      </c>
      <c r="K4962" s="1" t="s">
        <v>813</v>
      </c>
      <c r="L4962" s="1" t="s">
        <v>25896</v>
      </c>
      <c r="M4962" s="2" t="s">
        <v>12</v>
      </c>
      <c r="N4962" s="4">
        <f t="shared" si="1"/>
        <v>43189</v>
      </c>
      <c r="O4962" s="5" t="str">
        <f>IFERROR(__xludf.DUMMYFUNCTION("IF(REGEXMATCH(TRIM(I4962), ""^\d+\s*min""), ""Unclassified"", IF(I4962 = """", ""NR"", I4962))"),"TV-MA")</f>
        <v>TV-MA</v>
      </c>
      <c r="R4962" s="5" t="str">
        <f t="shared" si="2"/>
        <v>Happy Anniversary</v>
      </c>
      <c r="S4962" s="5" t="str">
        <f>IFERROR(__xludf.DUMMYFUNCTION("""COMPUTED_VALUE"""),"Narcos")</f>
        <v>Narcos</v>
      </c>
      <c r="V4962" s="5"/>
      <c r="Y4962" s="5" t="str">
        <f>IFERROR(__xludf.DUMMYFUNCTION("REGEXEXTRACT(J4962, ""^\d+"")"),"78")</f>
        <v>78</v>
      </c>
      <c r="Z4962" s="5" t="str">
        <f>IFERROR(__xludf.DUMMYFUNCTION("REGEXEXTRACT(J4962, ""[A-Za-z ]+$"")")," min")</f>
        <v> min</v>
      </c>
      <c r="AA4962" s="5" t="str">
        <f>IFERROR(__xludf.DUMMYFUNCTION("IF(REGEXMATCH(Z4962, ""Season""), ""TV Show"", ""Movie"")"),"Movie")</f>
        <v>Movie</v>
      </c>
    </row>
    <row r="4963">
      <c r="A4963" s="1" t="s">
        <v>25897</v>
      </c>
      <c r="B4963" s="1" t="s">
        <v>37</v>
      </c>
      <c r="C4963" s="1" t="s">
        <v>25898</v>
      </c>
      <c r="E4963" s="1" t="s">
        <v>25899</v>
      </c>
      <c r="F4963" s="1" t="s">
        <v>30</v>
      </c>
      <c r="G4963" s="1" t="s">
        <v>25891</v>
      </c>
      <c r="H4963" s="1">
        <v>2018.0</v>
      </c>
      <c r="I4963" s="1" t="s">
        <v>42</v>
      </c>
      <c r="J4963" s="1" t="s">
        <v>51</v>
      </c>
      <c r="K4963" s="1" t="s">
        <v>1261</v>
      </c>
      <c r="L4963" s="1" t="s">
        <v>25900</v>
      </c>
      <c r="M4963" s="2" t="s">
        <v>12</v>
      </c>
      <c r="N4963" s="4">
        <f t="shared" si="1"/>
        <v>43189</v>
      </c>
      <c r="O4963" s="5" t="str">
        <f>IFERROR(__xludf.DUMMYFUNCTION("IF(REGEXMATCH(TRIM(I4963), ""^\d+\s*min""), ""Unclassified"", IF(I4963 = """", ""NR"", I4963))"),"TV-MA")</f>
        <v>TV-MA</v>
      </c>
      <c r="R4963" s="5" t="str">
        <f t="shared" si="2"/>
        <v>Rapture</v>
      </c>
      <c r="S4963" s="5" t="str">
        <f>IFERROR(__xludf.DUMMYFUNCTION("""COMPUTED_VALUE"""),"Narcos: Mexico")</f>
        <v>Narcos: Mexico</v>
      </c>
      <c r="V4963" s="5"/>
      <c r="Y4963" s="5" t="str">
        <f>IFERROR(__xludf.DUMMYFUNCTION("REGEXEXTRACT(J4963, ""^\d+"")"),"1")</f>
        <v>1</v>
      </c>
      <c r="Z4963" s="5" t="str">
        <f>IFERROR(__xludf.DUMMYFUNCTION("REGEXEXTRACT(J4963, ""[A-Za-z ]+$"")")," Season")</f>
        <v> Season</v>
      </c>
      <c r="AA4963" s="5" t="str">
        <f>IFERROR(__xludf.DUMMYFUNCTION("IF(REGEXMATCH(Z4963, ""Season""), ""TV Show"", ""Movie"")"),"TV Show")</f>
        <v>TV Show</v>
      </c>
    </row>
    <row r="4964">
      <c r="A4964" s="1" t="s">
        <v>25901</v>
      </c>
      <c r="B4964" s="1" t="s">
        <v>27</v>
      </c>
      <c r="C4964" s="1" t="s">
        <v>25902</v>
      </c>
      <c r="D4964" s="1" t="s">
        <v>18885</v>
      </c>
      <c r="E4964" s="1" t="s">
        <v>25903</v>
      </c>
      <c r="F4964" s="1" t="s">
        <v>162</v>
      </c>
      <c r="G4964" s="1" t="s">
        <v>25891</v>
      </c>
      <c r="H4964" s="1">
        <v>2018.0</v>
      </c>
      <c r="I4964" s="1" t="s">
        <v>42</v>
      </c>
      <c r="J4964" s="1" t="s">
        <v>2670</v>
      </c>
      <c r="K4964" s="1" t="s">
        <v>1839</v>
      </c>
      <c r="L4964" s="1" t="s">
        <v>25904</v>
      </c>
      <c r="M4964" s="2" t="s">
        <v>12</v>
      </c>
      <c r="N4964" s="4">
        <f t="shared" si="1"/>
        <v>43189</v>
      </c>
      <c r="O4964" s="5" t="str">
        <f>IFERROR(__xludf.DUMMYFUNCTION("IF(REGEXMATCH(TRIM(I4964), ""^\d+\s*min""), ""Unclassified"", IF(I4964 = """", ""NR"", I4964))"),"TV-MA")</f>
        <v>TV-MA</v>
      </c>
      <c r="R4964" s="5" t="str">
        <f t="shared" si="2"/>
        <v>Sofía Niño De Rivera: Selección Natural</v>
      </c>
      <c r="S4964" s="5" t="str">
        <f>IFERROR(__xludf.DUMMYFUNCTION("""COMPUTED_VALUE"""),"Narcoworld: Dope Stories")</f>
        <v>Narcoworld: Dope Stories</v>
      </c>
      <c r="V4964" s="5"/>
      <c r="Y4964" s="5" t="str">
        <f>IFERROR(__xludf.DUMMYFUNCTION("REGEXEXTRACT(J4964, ""^\d+"")"),"62")</f>
        <v>62</v>
      </c>
      <c r="Z4964" s="5" t="str">
        <f>IFERROR(__xludf.DUMMYFUNCTION("REGEXEXTRACT(J4964, ""[A-Za-z ]+$"")")," min")</f>
        <v> min</v>
      </c>
      <c r="AA4964" s="5" t="str">
        <f>IFERROR(__xludf.DUMMYFUNCTION("IF(REGEXMATCH(Z4964, ""Season""), ""TV Show"", ""Movie"")"),"Movie")</f>
        <v>Movie</v>
      </c>
    </row>
    <row r="4965">
      <c r="A4965" s="1" t="s">
        <v>25905</v>
      </c>
      <c r="B4965" s="1" t="s">
        <v>27</v>
      </c>
      <c r="C4965" s="1" t="s">
        <v>25906</v>
      </c>
      <c r="D4965" s="1" t="s">
        <v>13627</v>
      </c>
      <c r="E4965" s="1" t="s">
        <v>25907</v>
      </c>
      <c r="F4965" s="1" t="s">
        <v>25908</v>
      </c>
      <c r="G4965" s="1" t="s">
        <v>25891</v>
      </c>
      <c r="H4965" s="1">
        <v>2018.0</v>
      </c>
      <c r="I4965" s="1" t="s">
        <v>42</v>
      </c>
      <c r="J4965" s="1" t="s">
        <v>247</v>
      </c>
      <c r="K4965" s="1" t="s">
        <v>19093</v>
      </c>
      <c r="L4965" s="1" t="s">
        <v>25909</v>
      </c>
      <c r="M4965" s="2" t="s">
        <v>12</v>
      </c>
      <c r="N4965" s="4">
        <f t="shared" si="1"/>
        <v>43189</v>
      </c>
      <c r="O4965" s="5" t="str">
        <f>IFERROR(__xludf.DUMMYFUNCTION("IF(REGEXMATCH(TRIM(I4965), ""^\d+\s*min""), ""Unclassified"", IF(I4965 = """", ""NR"", I4965))"),"TV-MA")</f>
        <v>TV-MA</v>
      </c>
      <c r="R4965" s="5" t="str">
        <f t="shared" si="2"/>
        <v>The Titan</v>
      </c>
      <c r="S4965" s="5" t="str">
        <f>IFERROR(__xludf.DUMMYFUNCTION("""COMPUTED_VALUE"""),"Naruto")</f>
        <v>Naruto</v>
      </c>
      <c r="V4965" s="5"/>
      <c r="Y4965" s="5" t="str">
        <f>IFERROR(__xludf.DUMMYFUNCTION("REGEXEXTRACT(J4965, ""^\d+"")"),"97")</f>
        <v>97</v>
      </c>
      <c r="Z4965" s="5" t="str">
        <f>IFERROR(__xludf.DUMMYFUNCTION("REGEXEXTRACT(J4965, ""[A-Za-z ]+$"")")," min")</f>
        <v> min</v>
      </c>
      <c r="AA4965" s="5" t="str">
        <f>IFERROR(__xludf.DUMMYFUNCTION("IF(REGEXMATCH(Z4965, ""Season""), ""TV Show"", ""Movie"")"),"Movie")</f>
        <v>Movie</v>
      </c>
    </row>
    <row r="4966">
      <c r="A4966" s="1" t="s">
        <v>25910</v>
      </c>
      <c r="B4966" s="1" t="s">
        <v>37</v>
      </c>
      <c r="C4966" s="1" t="s">
        <v>25911</v>
      </c>
      <c r="E4966" s="1" t="s">
        <v>25912</v>
      </c>
      <c r="F4966" s="1" t="s">
        <v>1106</v>
      </c>
      <c r="G4966" s="1" t="s">
        <v>25891</v>
      </c>
      <c r="H4966" s="1">
        <v>2018.0</v>
      </c>
      <c r="I4966" s="1" t="s">
        <v>42</v>
      </c>
      <c r="J4966" s="1" t="s">
        <v>25913</v>
      </c>
      <c r="K4966" s="1" t="s">
        <v>2762</v>
      </c>
      <c r="L4966" s="1" t="s">
        <v>25914</v>
      </c>
      <c r="M4966" s="2" t="s">
        <v>12</v>
      </c>
      <c r="N4966" s="4">
        <f t="shared" si="1"/>
        <v>43189</v>
      </c>
      <c r="O4966" s="5" t="str">
        <f>IFERROR(__xludf.DUMMYFUNCTION("IF(REGEXMATCH(TRIM(I4966), ""^\d+\s*min""), ""Unclassified"", IF(I4966 = """", ""NR"", I4966))"),"TV-MA")</f>
        <v>TV-MA</v>
      </c>
      <c r="R4966" s="5" t="str">
        <f t="shared" si="2"/>
        <v>Trailer Park Boys</v>
      </c>
      <c r="S4966" s="5" t="str">
        <f>IFERROR(__xludf.DUMMYFUNCTION("""COMPUTED_VALUE"""),"Naruto Shippuden : Blood Prison")</f>
        <v>Naruto Shippuden : Blood Prison</v>
      </c>
      <c r="V4966" s="5"/>
      <c r="Y4966" s="5" t="str">
        <f>IFERROR(__xludf.DUMMYFUNCTION("REGEXEXTRACT(J4966, ""^\d+"")"),"12")</f>
        <v>12</v>
      </c>
      <c r="Z4966" s="5" t="str">
        <f>IFERROR(__xludf.DUMMYFUNCTION("REGEXEXTRACT(J4966, ""[A-Za-z ]+$"")")," Seasons")</f>
        <v> Seasons</v>
      </c>
      <c r="AA4966" s="5" t="str">
        <f>IFERROR(__xludf.DUMMYFUNCTION("IF(REGEXMATCH(Z4966, ""Season""), ""TV Show"", ""Movie"")"),"TV Show")</f>
        <v>TV Show</v>
      </c>
    </row>
    <row r="4967">
      <c r="A4967" s="1" t="s">
        <v>25915</v>
      </c>
      <c r="B4967" s="1" t="s">
        <v>27</v>
      </c>
      <c r="C4967" s="1" t="s">
        <v>25916</v>
      </c>
      <c r="D4967" s="1" t="s">
        <v>16002</v>
      </c>
      <c r="E4967" s="1" t="s">
        <v>25917</v>
      </c>
      <c r="F4967" s="1" t="s">
        <v>1106</v>
      </c>
      <c r="G4967" s="1" t="s">
        <v>25891</v>
      </c>
      <c r="H4967" s="1">
        <v>2009.0</v>
      </c>
      <c r="I4967" s="1" t="s">
        <v>378</v>
      </c>
      <c r="J4967" s="1" t="s">
        <v>447</v>
      </c>
      <c r="K4967" s="1" t="s">
        <v>1020</v>
      </c>
      <c r="L4967" s="1" t="s">
        <v>25918</v>
      </c>
      <c r="M4967" s="2" t="s">
        <v>12</v>
      </c>
      <c r="N4967" s="4">
        <f t="shared" si="1"/>
        <v>43189</v>
      </c>
      <c r="O4967" s="5" t="str">
        <f>IFERROR(__xludf.DUMMYFUNCTION("IF(REGEXMATCH(TRIM(I4967), ""^\d+\s*min""), ""Unclassified"", IF(I4967 = """", ""NR"", I4967))"),"R")</f>
        <v>R</v>
      </c>
      <c r="R4967" s="5" t="str">
        <f t="shared" si="2"/>
        <v>Trailer Park Boys: Countdown To Liquor Day</v>
      </c>
      <c r="S4967" s="5" t="str">
        <f>IFERROR(__xludf.DUMMYFUNCTION("""COMPUTED_VALUE"""),"Naruto Shippuden The Movie: Blood Prison")</f>
        <v>Naruto Shippuden The Movie: Blood Prison</v>
      </c>
      <c r="V4967" s="5"/>
      <c r="Y4967" s="5" t="str">
        <f>IFERROR(__xludf.DUMMYFUNCTION("REGEXEXTRACT(J4967, ""^\d+"")"),"102")</f>
        <v>102</v>
      </c>
      <c r="Z4967" s="5" t="str">
        <f>IFERROR(__xludf.DUMMYFUNCTION("REGEXEXTRACT(J4967, ""[A-Za-z ]+$"")")," min")</f>
        <v> min</v>
      </c>
      <c r="AA4967" s="5" t="str">
        <f>IFERROR(__xludf.DUMMYFUNCTION("IF(REGEXMATCH(Z4967, ""Season""), ""TV Show"", ""Movie"")"),"Movie")</f>
        <v>Movie</v>
      </c>
    </row>
    <row r="4968">
      <c r="A4968" s="1" t="s">
        <v>25919</v>
      </c>
      <c r="B4968" s="1" t="s">
        <v>27</v>
      </c>
      <c r="C4968" s="1" t="s">
        <v>25920</v>
      </c>
      <c r="D4968" s="1" t="s">
        <v>16002</v>
      </c>
      <c r="E4968" s="1" t="s">
        <v>25921</v>
      </c>
      <c r="F4968" s="1" t="s">
        <v>1106</v>
      </c>
      <c r="G4968" s="1" t="s">
        <v>25891</v>
      </c>
      <c r="H4968" s="1">
        <v>2006.0</v>
      </c>
      <c r="I4968" s="1" t="s">
        <v>378</v>
      </c>
      <c r="J4968" s="1" t="s">
        <v>465</v>
      </c>
      <c r="K4968" s="1" t="s">
        <v>1020</v>
      </c>
      <c r="L4968" s="1" t="s">
        <v>25922</v>
      </c>
      <c r="M4968" s="2" t="s">
        <v>12</v>
      </c>
      <c r="N4968" s="4">
        <f t="shared" si="1"/>
        <v>43189</v>
      </c>
      <c r="O4968" s="5" t="str">
        <f>IFERROR(__xludf.DUMMYFUNCTION("IF(REGEXMATCH(TRIM(I4968), ""^\d+\s*min""), ""Unclassified"", IF(I4968 = """", ""NR"", I4968))"),"R")</f>
        <v>R</v>
      </c>
      <c r="R4968" s="5" t="str">
        <f t="shared" si="2"/>
        <v>Trailer Park Boys: The Movie</v>
      </c>
      <c r="S4968" s="5" t="str">
        <f>IFERROR(__xludf.DUMMYFUNCTION("""COMPUTED_VALUE"""),"Naruto Shippûden The Movie: Bonds")</f>
        <v>Naruto Shippûden The Movie: Bonds</v>
      </c>
      <c r="V4968" s="5"/>
      <c r="Y4968" s="5" t="str">
        <f>IFERROR(__xludf.DUMMYFUNCTION("REGEXEXTRACT(J4968, ""^\d+"")"),"95")</f>
        <v>95</v>
      </c>
      <c r="Z4968" s="5" t="str">
        <f>IFERROR(__xludf.DUMMYFUNCTION("REGEXEXTRACT(J4968, ""[A-Za-z ]+$"")")," min")</f>
        <v> min</v>
      </c>
      <c r="AA4968" s="5" t="str">
        <f>IFERROR(__xludf.DUMMYFUNCTION("IF(REGEXMATCH(Z4968, ""Season""), ""TV Show"", ""Movie"")"),"Movie")</f>
        <v>Movie</v>
      </c>
    </row>
    <row r="4969">
      <c r="A4969" s="1" t="s">
        <v>25923</v>
      </c>
      <c r="B4969" s="1" t="s">
        <v>37</v>
      </c>
      <c r="C4969" s="1" t="s">
        <v>25924</v>
      </c>
      <c r="E4969" s="1" t="s">
        <v>25925</v>
      </c>
      <c r="F4969" s="1" t="s">
        <v>96</v>
      </c>
      <c r="G4969" s="1" t="s">
        <v>25891</v>
      </c>
      <c r="H4969" s="1">
        <v>2018.0</v>
      </c>
      <c r="I4969" s="1" t="s">
        <v>97</v>
      </c>
      <c r="J4969" s="1" t="s">
        <v>51</v>
      </c>
      <c r="K4969" s="1" t="s">
        <v>1261</v>
      </c>
      <c r="L4969" s="1" t="s">
        <v>25926</v>
      </c>
      <c r="M4969" s="2" t="s">
        <v>12</v>
      </c>
      <c r="N4969" s="4">
        <f t="shared" si="1"/>
        <v>43189</v>
      </c>
      <c r="O4969" s="5" t="str">
        <f>IFERROR(__xludf.DUMMYFUNCTION("IF(REGEXMATCH(TRIM(I4969), ""^\d+\s*min""), ""Unclassified"", IF(I4969 = """", ""NR"", I4969))"),"TV-14")</f>
        <v>TV-14</v>
      </c>
      <c r="R4969" s="5" t="str">
        <f t="shared" si="2"/>
        <v>Trump: An American Dream</v>
      </c>
      <c r="S4969" s="5" t="str">
        <f>IFERROR(__xludf.DUMMYFUNCTION("""COMPUTED_VALUE"""),"Naruto Shippûden The Movie: The Will Of Fire")</f>
        <v>Naruto Shippûden The Movie: The Will Of Fire</v>
      </c>
      <c r="V4969" s="5"/>
      <c r="Y4969" s="5" t="str">
        <f>IFERROR(__xludf.DUMMYFUNCTION("REGEXEXTRACT(J4969, ""^\d+"")"),"1")</f>
        <v>1</v>
      </c>
      <c r="Z4969" s="5" t="str">
        <f>IFERROR(__xludf.DUMMYFUNCTION("REGEXEXTRACT(J4969, ""[A-Za-z ]+$"")")," Season")</f>
        <v> Season</v>
      </c>
      <c r="AA4969" s="5" t="str">
        <f>IFERROR(__xludf.DUMMYFUNCTION("IF(REGEXMATCH(Z4969, ""Season""), ""TV Show"", ""Movie"")"),"TV Show")</f>
        <v>TV Show</v>
      </c>
    </row>
    <row r="4970">
      <c r="A4970" s="1" t="s">
        <v>25927</v>
      </c>
      <c r="B4970" s="1" t="s">
        <v>37</v>
      </c>
      <c r="C4970" s="1" t="s">
        <v>25928</v>
      </c>
      <c r="D4970" s="1" t="s">
        <v>5437</v>
      </c>
      <c r="E4970" s="1" t="s">
        <v>25929</v>
      </c>
      <c r="F4970" s="1" t="s">
        <v>96</v>
      </c>
      <c r="G4970" s="1" t="s">
        <v>25930</v>
      </c>
      <c r="H4970" s="1">
        <v>2018.0</v>
      </c>
      <c r="I4970" s="1" t="s">
        <v>97</v>
      </c>
      <c r="J4970" s="1" t="s">
        <v>51</v>
      </c>
      <c r="K4970" s="1" t="s">
        <v>25931</v>
      </c>
      <c r="L4970" s="1" t="s">
        <v>25932</v>
      </c>
      <c r="M4970" s="2" t="s">
        <v>12</v>
      </c>
      <c r="N4970" s="4">
        <f t="shared" si="1"/>
        <v>43186</v>
      </c>
      <c r="O4970" s="5" t="str">
        <f>IFERROR(__xludf.DUMMYFUNCTION("IF(REGEXMATCH(TRIM(I4970), ""^\d+\s*min""), ""Unclassified"", IF(I4970 = """", ""NR"", I4970))"),"TV-14")</f>
        <v>TV-14</v>
      </c>
      <c r="R4970" s="5" t="str">
        <f t="shared" si="2"/>
        <v>James Acaster: Repertoire</v>
      </c>
      <c r="S4970" s="5" t="str">
        <f>IFERROR(__xludf.DUMMYFUNCTION("""COMPUTED_VALUE"""),"Naruto Shippuden: The Movie")</f>
        <v>Naruto Shippuden: The Movie</v>
      </c>
      <c r="V4970" s="5"/>
      <c r="Y4970" s="5" t="str">
        <f>IFERROR(__xludf.DUMMYFUNCTION("REGEXEXTRACT(J4970, ""^\d+"")"),"1")</f>
        <v>1</v>
      </c>
      <c r="Z4970" s="5" t="str">
        <f>IFERROR(__xludf.DUMMYFUNCTION("REGEXEXTRACT(J4970, ""[A-Za-z ]+$"")")," Season")</f>
        <v> Season</v>
      </c>
      <c r="AA4970" s="5" t="str">
        <f>IFERROR(__xludf.DUMMYFUNCTION("IF(REGEXMATCH(Z4970, ""Season""), ""TV Show"", ""Movie"")"),"TV Show")</f>
        <v>TV Show</v>
      </c>
    </row>
    <row r="4971">
      <c r="A4971" s="1" t="s">
        <v>25933</v>
      </c>
      <c r="B4971" s="1" t="s">
        <v>27</v>
      </c>
      <c r="C4971" s="1" t="s">
        <v>25934</v>
      </c>
      <c r="D4971" s="1" t="s">
        <v>16107</v>
      </c>
      <c r="E4971" s="1" t="s">
        <v>25935</v>
      </c>
      <c r="F4971" s="1" t="s">
        <v>25936</v>
      </c>
      <c r="G4971" s="1" t="s">
        <v>25937</v>
      </c>
      <c r="H4971" s="1">
        <v>2016.0</v>
      </c>
      <c r="I4971" s="1" t="s">
        <v>42</v>
      </c>
      <c r="J4971" s="1" t="s">
        <v>379</v>
      </c>
      <c r="K4971" s="1" t="s">
        <v>298</v>
      </c>
      <c r="L4971" s="1" t="s">
        <v>25938</v>
      </c>
      <c r="M4971" s="2" t="s">
        <v>12</v>
      </c>
      <c r="N4971" s="4">
        <f t="shared" si="1"/>
        <v>43185</v>
      </c>
      <c r="O4971" s="5" t="str">
        <f>IFERROR(__xludf.DUMMYFUNCTION("IF(REGEXMATCH(TRIM(I4971), ""^\d+\s*min""), ""Unclassified"", IF(I4971 = """", ""NR"", I4971))"),"TV-MA")</f>
        <v>TV-MA</v>
      </c>
      <c r="R4971" s="5" t="str">
        <f t="shared" si="2"/>
        <v>Birdshot</v>
      </c>
      <c r="S4971" s="5" t="str">
        <f>IFERROR(__xludf.DUMMYFUNCTION("""COMPUTED_VALUE"""),"Naruto Shippuden: The Movie: The Lost Tower")</f>
        <v>Naruto Shippuden: The Movie: The Lost Tower</v>
      </c>
      <c r="V4971" s="5"/>
      <c r="Y4971" s="5" t="str">
        <f>IFERROR(__xludf.DUMMYFUNCTION("REGEXEXTRACT(J4971, ""^\d+"")"),"115")</f>
        <v>115</v>
      </c>
      <c r="Z4971" s="5" t="str">
        <f>IFERROR(__xludf.DUMMYFUNCTION("REGEXEXTRACT(J4971, ""[A-Za-z ]+$"")")," min")</f>
        <v> min</v>
      </c>
      <c r="AA4971" s="5" t="str">
        <f>IFERROR(__xludf.DUMMYFUNCTION("IF(REGEXMATCH(Z4971, ""Season""), ""TV Show"", ""Movie"")"),"Movie")</f>
        <v>Movie</v>
      </c>
    </row>
    <row r="4972">
      <c r="A4972" s="1" t="s">
        <v>25939</v>
      </c>
      <c r="B4972" s="1" t="s">
        <v>27</v>
      </c>
      <c r="C4972" s="1" t="s">
        <v>25940</v>
      </c>
      <c r="D4972" s="1" t="s">
        <v>13270</v>
      </c>
      <c r="E4972" s="1" t="s">
        <v>25941</v>
      </c>
      <c r="F4972" s="1" t="s">
        <v>30</v>
      </c>
      <c r="G4972" s="1" t="s">
        <v>25942</v>
      </c>
      <c r="H4972" s="1">
        <v>2018.0</v>
      </c>
      <c r="I4972" s="1" t="s">
        <v>42</v>
      </c>
      <c r="J4972" s="1" t="s">
        <v>447</v>
      </c>
      <c r="K4972" s="1" t="s">
        <v>973</v>
      </c>
      <c r="L4972" s="1" t="s">
        <v>25943</v>
      </c>
      <c r="M4972" s="2" t="s">
        <v>12</v>
      </c>
      <c r="N4972" s="4">
        <f t="shared" si="1"/>
        <v>43182</v>
      </c>
      <c r="O4972" s="5" t="str">
        <f>IFERROR(__xludf.DUMMYFUNCTION("IF(REGEXMATCH(TRIM(I4972), ""^\d+\s*min""), ""Unclassified"", IF(I4972 = """", ""NR"", I4972))"),"TV-MA")</f>
        <v>TV-MA</v>
      </c>
      <c r="R4972" s="5" t="str">
        <f t="shared" si="2"/>
        <v>Game Over, Man!</v>
      </c>
      <c r="S4972" s="5" t="str">
        <f>IFERROR(__xludf.DUMMYFUNCTION("""COMPUTED_VALUE"""),"Naruto The Movie 2: Legend Of The Stone Of Gelel")</f>
        <v>Naruto The Movie 2: Legend Of The Stone Of Gelel</v>
      </c>
      <c r="V4972" s="5"/>
      <c r="Y4972" s="5" t="str">
        <f>IFERROR(__xludf.DUMMYFUNCTION("REGEXEXTRACT(J4972, ""^\d+"")"),"102")</f>
        <v>102</v>
      </c>
      <c r="Z4972" s="5" t="str">
        <f>IFERROR(__xludf.DUMMYFUNCTION("REGEXEXTRACT(J4972, ""[A-Za-z ]+$"")")," min")</f>
        <v> min</v>
      </c>
      <c r="AA4972" s="5" t="str">
        <f>IFERROR(__xludf.DUMMYFUNCTION("IF(REGEXMATCH(Z4972, ""Season""), ""TV Show"", ""Movie"")"),"Movie")</f>
        <v>Movie</v>
      </c>
    </row>
    <row r="4973">
      <c r="A4973" s="1" t="s">
        <v>25944</v>
      </c>
      <c r="B4973" s="1" t="s">
        <v>27</v>
      </c>
      <c r="C4973" s="1" t="s">
        <v>25945</v>
      </c>
      <c r="D4973" s="1" t="s">
        <v>25946</v>
      </c>
      <c r="E4973" s="1" t="s">
        <v>25947</v>
      </c>
      <c r="F4973" s="1" t="s">
        <v>25948</v>
      </c>
      <c r="G4973" s="1" t="s">
        <v>25942</v>
      </c>
      <c r="H4973" s="1">
        <v>2016.0</v>
      </c>
      <c r="I4973" s="1" t="s">
        <v>42</v>
      </c>
      <c r="J4973" s="1" t="s">
        <v>416</v>
      </c>
      <c r="K4973" s="1" t="s">
        <v>128</v>
      </c>
      <c r="L4973" s="1" t="s">
        <v>25949</v>
      </c>
      <c r="M4973" s="2" t="s">
        <v>12</v>
      </c>
      <c r="N4973" s="4">
        <f t="shared" si="1"/>
        <v>43182</v>
      </c>
      <c r="O4973" s="5" t="str">
        <f>IFERROR(__xludf.DUMMYFUNCTION("IF(REGEXMATCH(TRIM(I4973), ""^\d+\s*min""), ""Unclassified"", IF(I4973 = """", ""NR"", I4973))"),"TV-MA")</f>
        <v>TV-MA</v>
      </c>
      <c r="R4973" s="5" t="str">
        <f t="shared" si="2"/>
        <v>Layla M.</v>
      </c>
      <c r="S4973" s="5" t="str">
        <f>IFERROR(__xludf.DUMMYFUNCTION("""COMPUTED_VALUE"""),"Naruto The Movie 3: Guardians Of The Crescent Moon Kingdom")</f>
        <v>Naruto The Movie 3: Guardians Of The Crescent Moon Kingdom</v>
      </c>
      <c r="V4973" s="5"/>
      <c r="Y4973" s="5" t="str">
        <f>IFERROR(__xludf.DUMMYFUNCTION("REGEXEXTRACT(J4973, ""^\d+"")"),"99")</f>
        <v>99</v>
      </c>
      <c r="Z4973" s="5" t="str">
        <f>IFERROR(__xludf.DUMMYFUNCTION("REGEXEXTRACT(J4973, ""[A-Za-z ]+$"")")," min")</f>
        <v> min</v>
      </c>
      <c r="AA4973" s="5" t="str">
        <f>IFERROR(__xludf.DUMMYFUNCTION("IF(REGEXMATCH(Z4973, ""Season""), ""TV Show"", ""Movie"")"),"Movie")</f>
        <v>Movie</v>
      </c>
    </row>
    <row r="4974">
      <c r="A4974" s="1" t="s">
        <v>25950</v>
      </c>
      <c r="B4974" s="1" t="s">
        <v>27</v>
      </c>
      <c r="C4974" s="1" t="s">
        <v>25951</v>
      </c>
      <c r="D4974" s="1" t="s">
        <v>5741</v>
      </c>
      <c r="E4974" s="1" t="s">
        <v>25952</v>
      </c>
      <c r="F4974" s="1" t="s">
        <v>30</v>
      </c>
      <c r="G4974" s="1" t="s">
        <v>25942</v>
      </c>
      <c r="H4974" s="1">
        <v>2018.0</v>
      </c>
      <c r="I4974" s="1" t="s">
        <v>42</v>
      </c>
      <c r="J4974" s="1" t="s">
        <v>2699</v>
      </c>
      <c r="K4974" s="1" t="s">
        <v>15369</v>
      </c>
      <c r="L4974" s="1" t="s">
        <v>25953</v>
      </c>
      <c r="M4974" s="2" t="s">
        <v>12</v>
      </c>
      <c r="N4974" s="4">
        <f t="shared" si="1"/>
        <v>43182</v>
      </c>
      <c r="O4974" s="5" t="str">
        <f>IFERROR(__xludf.DUMMYFUNCTION("IF(REGEXMATCH(TRIM(I4974), ""^\d+\s*min""), ""Unclassified"", IF(I4974 = """", ""NR"", I4974))"),"TV-MA")</f>
        <v>TV-MA</v>
      </c>
      <c r="R4974" s="5" t="str">
        <f t="shared" si="2"/>
        <v>Paradox</v>
      </c>
      <c r="S4974" s="5" t="str">
        <f>IFERROR(__xludf.DUMMYFUNCTION("""COMPUTED_VALUE"""),"Naruto The Movie: Ninja Clash In The Land Of Snow")</f>
        <v>Naruto The Movie: Ninja Clash In The Land Of Snow</v>
      </c>
      <c r="V4974" s="5"/>
      <c r="Y4974" s="5" t="str">
        <f>IFERROR(__xludf.DUMMYFUNCTION("REGEXEXTRACT(J4974, ""^\d+"")"),"74")</f>
        <v>74</v>
      </c>
      <c r="Z4974" s="5" t="str">
        <f>IFERROR(__xludf.DUMMYFUNCTION("REGEXEXTRACT(J4974, ""[A-Za-z ]+$"")")," min")</f>
        <v> min</v>
      </c>
      <c r="AA4974" s="5" t="str">
        <f>IFERROR(__xludf.DUMMYFUNCTION("IF(REGEXMATCH(Z4974, ""Season""), ""TV Show"", ""Movie"")"),"Movie")</f>
        <v>Movie</v>
      </c>
    </row>
    <row r="4975">
      <c r="A4975" s="1" t="s">
        <v>25954</v>
      </c>
      <c r="B4975" s="1" t="s">
        <v>37</v>
      </c>
      <c r="C4975" s="1" t="s">
        <v>25955</v>
      </c>
      <c r="E4975" s="1" t="s">
        <v>25956</v>
      </c>
      <c r="F4975" s="1" t="s">
        <v>96</v>
      </c>
      <c r="G4975" s="1" t="s">
        <v>25942</v>
      </c>
      <c r="H4975" s="1">
        <v>2018.0</v>
      </c>
      <c r="I4975" s="1" t="s">
        <v>42</v>
      </c>
      <c r="J4975" s="1" t="s">
        <v>51</v>
      </c>
      <c r="K4975" s="1" t="s">
        <v>3361</v>
      </c>
      <c r="L4975" s="1" t="s">
        <v>25957</v>
      </c>
      <c r="M4975" s="2" t="s">
        <v>12</v>
      </c>
      <c r="N4975" s="4">
        <f t="shared" si="1"/>
        <v>43182</v>
      </c>
      <c r="O4975" s="5" t="str">
        <f>IFERROR(__xludf.DUMMYFUNCTION("IF(REGEXMATCH(TRIM(I4975), ""^\d+\s*min""), ""Unclassified"", IF(I4975 = """", ""NR"", I4975))"),"TV-MA")</f>
        <v>TV-MA</v>
      </c>
      <c r="R4975" s="5" t="str">
        <f t="shared" si="2"/>
        <v>Requiem</v>
      </c>
      <c r="S4975" s="5" t="str">
        <f>IFERROR(__xludf.DUMMYFUNCTION("""COMPUTED_VALUE"""),"Nasha")</f>
        <v>Nasha</v>
      </c>
      <c r="V4975" s="5"/>
      <c r="Y4975" s="5" t="str">
        <f>IFERROR(__xludf.DUMMYFUNCTION("REGEXEXTRACT(J4975, ""^\d+"")"),"1")</f>
        <v>1</v>
      </c>
      <c r="Z4975" s="5" t="str">
        <f>IFERROR(__xludf.DUMMYFUNCTION("REGEXEXTRACT(J4975, ""[A-Za-z ]+$"")")," Season")</f>
        <v> Season</v>
      </c>
      <c r="AA4975" s="5" t="str">
        <f>IFERROR(__xludf.DUMMYFUNCTION("IF(REGEXMATCH(Z4975, ""Season""), ""TV Show"", ""Movie"")"),"TV Show")</f>
        <v>TV Show</v>
      </c>
    </row>
    <row r="4976">
      <c r="A4976" s="1" t="s">
        <v>25958</v>
      </c>
      <c r="B4976" s="1" t="s">
        <v>27</v>
      </c>
      <c r="C4976" s="1" t="s">
        <v>25959</v>
      </c>
      <c r="D4976" s="1" t="s">
        <v>15700</v>
      </c>
      <c r="E4976" s="1" t="s">
        <v>25960</v>
      </c>
      <c r="F4976" s="1" t="s">
        <v>30</v>
      </c>
      <c r="G4976" s="1" t="s">
        <v>25942</v>
      </c>
      <c r="H4976" s="1">
        <v>2018.0</v>
      </c>
      <c r="I4976" s="1" t="s">
        <v>42</v>
      </c>
      <c r="J4976" s="1" t="s">
        <v>433</v>
      </c>
      <c r="K4976" s="1" t="s">
        <v>7087</v>
      </c>
      <c r="L4976" s="1" t="s">
        <v>25961</v>
      </c>
      <c r="M4976" s="2" t="s">
        <v>12</v>
      </c>
      <c r="N4976" s="4">
        <f t="shared" si="1"/>
        <v>43182</v>
      </c>
      <c r="O4976" s="5" t="str">
        <f>IFERROR(__xludf.DUMMYFUNCTION("IF(REGEXMATCH(TRIM(I4976), ""^\d+\s*min""), ""Unclassified"", IF(I4976 = """", ""NR"", I4976))"),"TV-MA")</f>
        <v>TV-MA</v>
      </c>
      <c r="R4976" s="5" t="str">
        <f t="shared" si="2"/>
        <v>Roxanne Roxanne</v>
      </c>
      <c r="S4976" s="5" t="str">
        <f>IFERROR(__xludf.DUMMYFUNCTION("""COMPUTED_VALUE"""),"Nasha Natasha")</f>
        <v>Nasha Natasha</v>
      </c>
      <c r="V4976" s="5"/>
      <c r="Y4976" s="5" t="str">
        <f>IFERROR(__xludf.DUMMYFUNCTION("REGEXEXTRACT(J4976, ""^\d+"")"),"100")</f>
        <v>100</v>
      </c>
      <c r="Z4976" s="5" t="str">
        <f>IFERROR(__xludf.DUMMYFUNCTION("REGEXEXTRACT(J4976, ""[A-Za-z ]+$"")")," min")</f>
        <v> min</v>
      </c>
      <c r="AA4976" s="5" t="str">
        <f>IFERROR(__xludf.DUMMYFUNCTION("IF(REGEXMATCH(Z4976, ""Season""), ""TV Show"", ""Movie"")"),"Movie")</f>
        <v>Movie</v>
      </c>
    </row>
    <row r="4977">
      <c r="A4977" s="1" t="s">
        <v>25962</v>
      </c>
      <c r="B4977" s="1" t="s">
        <v>27</v>
      </c>
      <c r="C4977" s="1" t="s">
        <v>25963</v>
      </c>
      <c r="D4977" s="1" t="s">
        <v>546</v>
      </c>
      <c r="E4977" s="1" t="s">
        <v>25964</v>
      </c>
      <c r="F4977" s="1" t="s">
        <v>63</v>
      </c>
      <c r="G4977" s="1" t="s">
        <v>25942</v>
      </c>
      <c r="H4977" s="1">
        <v>2017.0</v>
      </c>
      <c r="I4977" s="1" t="s">
        <v>97</v>
      </c>
      <c r="J4977" s="1" t="s">
        <v>1407</v>
      </c>
      <c r="K4977" s="1" t="s">
        <v>1429</v>
      </c>
      <c r="L4977" s="1" t="s">
        <v>25965</v>
      </c>
      <c r="M4977" s="2" t="s">
        <v>12</v>
      </c>
      <c r="N4977" s="4">
        <f t="shared" si="1"/>
        <v>43182</v>
      </c>
      <c r="O4977" s="5" t="str">
        <f>IFERROR(__xludf.DUMMYFUNCTION("IF(REGEXMATCH(TRIM(I4977), ""^\d+\s*min""), ""Unclassified"", IF(I4977 = """", ""NR"", I4977))"),"TV-14")</f>
        <v>TV-14</v>
      </c>
      <c r="R4977" s="5" t="str">
        <f t="shared" si="2"/>
        <v>Secret Superstar</v>
      </c>
      <c r="S4977" s="5" t="str">
        <f>IFERROR(__xludf.DUMMYFUNCTION("""COMPUTED_VALUE"""),"Natalia Valdebenito: El Especial")</f>
        <v>Natalia Valdebenito: El Especial</v>
      </c>
      <c r="V4977" s="5"/>
      <c r="Y4977" s="5" t="str">
        <f>IFERROR(__xludf.DUMMYFUNCTION("REGEXEXTRACT(J4977, ""^\d+"")"),"150")</f>
        <v>150</v>
      </c>
      <c r="Z4977" s="5" t="str">
        <f>IFERROR(__xludf.DUMMYFUNCTION("REGEXEXTRACT(J4977, ""[A-Za-z ]+$"")")," min")</f>
        <v> min</v>
      </c>
      <c r="AA4977" s="5" t="str">
        <f>IFERROR(__xludf.DUMMYFUNCTION("IF(REGEXMATCH(Z4977, ""Season""), ""TV Show"", ""Movie"")"),"Movie")</f>
        <v>Movie</v>
      </c>
    </row>
    <row r="4978">
      <c r="A4978" s="1" t="s">
        <v>25966</v>
      </c>
      <c r="B4978" s="1" t="s">
        <v>37</v>
      </c>
      <c r="C4978" s="1" t="s">
        <v>25967</v>
      </c>
      <c r="E4978" s="1" t="s">
        <v>25968</v>
      </c>
      <c r="F4978" s="1" t="s">
        <v>30</v>
      </c>
      <c r="G4978" s="1" t="s">
        <v>25969</v>
      </c>
      <c r="H4978" s="1">
        <v>2018.0</v>
      </c>
      <c r="I4978" s="1" t="s">
        <v>42</v>
      </c>
      <c r="J4978" s="1" t="s">
        <v>43</v>
      </c>
      <c r="K4978" s="1" t="s">
        <v>2512</v>
      </c>
      <c r="L4978" s="1" t="s">
        <v>25970</v>
      </c>
      <c r="M4978" s="2" t="s">
        <v>12</v>
      </c>
      <c r="N4978" s="4">
        <f t="shared" si="1"/>
        <v>43179</v>
      </c>
      <c r="O4978" s="5" t="str">
        <f>IFERROR(__xludf.DUMMYFUNCTION("IF(REGEXMATCH(TRIM(I4978), ""^\d+\s*min""), ""Unclassified"", IF(I4978 = """", ""NR"", I4978))"),"TV-MA")</f>
        <v>TV-MA</v>
      </c>
      <c r="R4978" s="5" t="str">
        <f t="shared" si="2"/>
        <v>The Standups</v>
      </c>
      <c r="S4978" s="5" t="str">
        <f>IFERROR(__xludf.DUMMYFUNCTION("""COMPUTED_VALUE"""),"Natalia Valdebenito: Gritona")</f>
        <v>Natalia Valdebenito: Gritona</v>
      </c>
      <c r="V4978" s="5"/>
      <c r="Y4978" s="5" t="str">
        <f>IFERROR(__xludf.DUMMYFUNCTION("REGEXEXTRACT(J4978, ""^\d+"")"),"2")</f>
        <v>2</v>
      </c>
      <c r="Z4978" s="5" t="str">
        <f>IFERROR(__xludf.DUMMYFUNCTION("REGEXEXTRACT(J4978, ""[A-Za-z ]+$"")")," Seasons")</f>
        <v> Seasons</v>
      </c>
      <c r="AA4978" s="5" t="str">
        <f>IFERROR(__xludf.DUMMYFUNCTION("IF(REGEXMATCH(Z4978, ""Season""), ""TV Show"", ""Movie"")"),"TV Show")</f>
        <v>TV Show</v>
      </c>
    </row>
    <row r="4979">
      <c r="A4979" s="1" t="s">
        <v>25971</v>
      </c>
      <c r="B4979" s="1" t="s">
        <v>27</v>
      </c>
      <c r="C4979" s="1" t="s">
        <v>25972</v>
      </c>
      <c r="D4979" s="1" t="s">
        <v>3640</v>
      </c>
      <c r="E4979" s="1" t="s">
        <v>25973</v>
      </c>
      <c r="F4979" s="1" t="s">
        <v>25974</v>
      </c>
      <c r="G4979" s="1" t="s">
        <v>25975</v>
      </c>
      <c r="H4979" s="1">
        <v>2018.0</v>
      </c>
      <c r="I4979" s="1" t="s">
        <v>136</v>
      </c>
      <c r="J4979" s="1" t="s">
        <v>630</v>
      </c>
      <c r="K4979" s="1" t="s">
        <v>771</v>
      </c>
      <c r="L4979" s="1" t="s">
        <v>25976</v>
      </c>
      <c r="M4979" s="2" t="s">
        <v>12</v>
      </c>
      <c r="N4979" s="4">
        <f t="shared" si="1"/>
        <v>43175</v>
      </c>
      <c r="O4979" s="5" t="str">
        <f>IFERROR(__xludf.DUMMYFUNCTION("IF(REGEXMATCH(TRIM(I4979), ""^\d+\s*min""), ""Unclassified"", IF(I4979 = """", ""NR"", I4979))"),"TV-PG")</f>
        <v>TV-PG</v>
      </c>
      <c r="R4979" s="5" t="str">
        <f t="shared" si="2"/>
        <v>Benji</v>
      </c>
      <c r="S4979" s="5" t="str">
        <f>IFERROR(__xludf.DUMMYFUNCTION("""COMPUTED_VALUE"""),"Natalie Palamides: Nate - A One Man Show")</f>
        <v>Natalie Palamides: Nate - A One Man Show</v>
      </c>
      <c r="V4979" s="5"/>
      <c r="Y4979" s="5" t="str">
        <f>IFERROR(__xludf.DUMMYFUNCTION("REGEXEXTRACT(J4979, ""^\d+"")"),"87")</f>
        <v>87</v>
      </c>
      <c r="Z4979" s="5" t="str">
        <f>IFERROR(__xludf.DUMMYFUNCTION("REGEXEXTRACT(J4979, ""[A-Za-z ]+$"")")," min")</f>
        <v> min</v>
      </c>
      <c r="AA4979" s="5" t="str">
        <f>IFERROR(__xludf.DUMMYFUNCTION("IF(REGEXMATCH(Z4979, ""Season""), ""TV Show"", ""Movie"")"),"Movie")</f>
        <v>Movie</v>
      </c>
    </row>
    <row r="4980">
      <c r="A4980" s="1" t="s">
        <v>25977</v>
      </c>
      <c r="B4980" s="1" t="s">
        <v>37</v>
      </c>
      <c r="C4980" s="1" t="s">
        <v>25978</v>
      </c>
      <c r="E4980" s="1" t="s">
        <v>25979</v>
      </c>
      <c r="F4980" s="1" t="s">
        <v>1815</v>
      </c>
      <c r="G4980" s="1" t="s">
        <v>25975</v>
      </c>
      <c r="H4980" s="1">
        <v>2018.0</v>
      </c>
      <c r="I4980" s="1" t="s">
        <v>42</v>
      </c>
      <c r="J4980" s="1" t="s">
        <v>51</v>
      </c>
      <c r="K4980" s="1" t="s">
        <v>1339</v>
      </c>
      <c r="L4980" s="1" t="s">
        <v>25980</v>
      </c>
      <c r="M4980" s="2" t="s">
        <v>12</v>
      </c>
      <c r="N4980" s="4">
        <f t="shared" si="1"/>
        <v>43175</v>
      </c>
      <c r="O4980" s="5" t="str">
        <f>IFERROR(__xludf.DUMMYFUNCTION("IF(REGEXMATCH(TRIM(I4980), ""^\d+\s*min""), ""Unclassified"", IF(I4980 = """", ""NR"", I4980))"),"TV-MA")</f>
        <v>TV-MA</v>
      </c>
      <c r="R4980" s="5" t="str">
        <f t="shared" si="2"/>
        <v>Edha</v>
      </c>
      <c r="S4980" s="5" t="str">
        <f>IFERROR(__xludf.DUMMYFUNCTION("""COMPUTED_VALUE"""),"Natascha Kampusch: The Whole Story")</f>
        <v>Natascha Kampusch: The Whole Story</v>
      </c>
      <c r="V4980" s="5"/>
      <c r="Y4980" s="5" t="str">
        <f>IFERROR(__xludf.DUMMYFUNCTION("REGEXEXTRACT(J4980, ""^\d+"")"),"1")</f>
        <v>1</v>
      </c>
      <c r="Z4980" s="5" t="str">
        <f>IFERROR(__xludf.DUMMYFUNCTION("REGEXEXTRACT(J4980, ""[A-Za-z ]+$"")")," Season")</f>
        <v> Season</v>
      </c>
      <c r="AA4980" s="5" t="str">
        <f>IFERROR(__xludf.DUMMYFUNCTION("IF(REGEXMATCH(Z4980, ""Season""), ""TV Show"", ""Movie"")"),"TV Show")</f>
        <v>TV Show</v>
      </c>
    </row>
    <row r="4981">
      <c r="A4981" s="1" t="s">
        <v>25981</v>
      </c>
      <c r="B4981" s="1" t="s">
        <v>27</v>
      </c>
      <c r="C4981" s="1" t="s">
        <v>25982</v>
      </c>
      <c r="D4981" s="1" t="s">
        <v>1431</v>
      </c>
      <c r="F4981" s="1" t="s">
        <v>30</v>
      </c>
      <c r="G4981" s="1" t="s">
        <v>25975</v>
      </c>
      <c r="H4981" s="1">
        <v>2018.0</v>
      </c>
      <c r="I4981" s="1" t="s">
        <v>97</v>
      </c>
      <c r="J4981" s="1" t="s">
        <v>428</v>
      </c>
      <c r="K4981" s="1" t="s">
        <v>34</v>
      </c>
      <c r="L4981" s="1" t="s">
        <v>25983</v>
      </c>
      <c r="M4981" s="2" t="s">
        <v>12</v>
      </c>
      <c r="N4981" s="4">
        <f t="shared" si="1"/>
        <v>43175</v>
      </c>
      <c r="O4981" s="5" t="str">
        <f>IFERROR(__xludf.DUMMYFUNCTION("IF(REGEXMATCH(TRIM(I4981), ""^\d+\s*min""), ""Unclassified"", IF(I4981 = """", ""NR"", I4981))"),"TV-14")</f>
        <v>TV-14</v>
      </c>
      <c r="R4981" s="5" t="str">
        <f t="shared" si="2"/>
        <v>Take Your Pills</v>
      </c>
      <c r="S4981" s="5" t="str">
        <f>IFERROR(__xludf.DUMMYFUNCTION("""COMPUTED_VALUE"""),"Nate Bargatze: The Greatest Average American")</f>
        <v>Nate Bargatze: The Greatest Average American</v>
      </c>
      <c r="V4981" s="5"/>
      <c r="Y4981" s="5" t="str">
        <f>IFERROR(__xludf.DUMMYFUNCTION("REGEXEXTRACT(J4981, ""^\d+"")"),"88")</f>
        <v>88</v>
      </c>
      <c r="Z4981" s="5" t="str">
        <f>IFERROR(__xludf.DUMMYFUNCTION("REGEXEXTRACT(J4981, ""[A-Za-z ]+$"")")," min")</f>
        <v> min</v>
      </c>
      <c r="AA4981" s="5" t="str">
        <f>IFERROR(__xludf.DUMMYFUNCTION("IF(REGEXMATCH(Z4981, ""Season""), ""TV Show"", ""Movie"")"),"Movie")</f>
        <v>Movie</v>
      </c>
    </row>
    <row r="4982">
      <c r="A4982" s="1" t="s">
        <v>25984</v>
      </c>
      <c r="B4982" s="1" t="s">
        <v>37</v>
      </c>
      <c r="C4982" s="1" t="s">
        <v>25985</v>
      </c>
      <c r="F4982" s="1" t="s">
        <v>30</v>
      </c>
      <c r="G4982" s="1" t="s">
        <v>25975</v>
      </c>
      <c r="H4982" s="1">
        <v>2018.0</v>
      </c>
      <c r="I4982" s="1" t="s">
        <v>42</v>
      </c>
      <c r="J4982" s="1" t="s">
        <v>51</v>
      </c>
      <c r="K4982" s="1" t="s">
        <v>2043</v>
      </c>
      <c r="L4982" s="1" t="s">
        <v>25986</v>
      </c>
      <c r="M4982" s="2" t="s">
        <v>12</v>
      </c>
      <c r="N4982" s="4">
        <f t="shared" si="1"/>
        <v>43175</v>
      </c>
      <c r="O4982" s="5" t="str">
        <f>IFERROR(__xludf.DUMMYFUNCTION("IF(REGEXMATCH(TRIM(I4982), ""^\d+\s*min""), ""Unclassified"", IF(I4982 = """", ""NR"", I4982))"),"TV-MA")</f>
        <v>TV-MA</v>
      </c>
      <c r="R4982" s="5" t="str">
        <f t="shared" si="2"/>
        <v>Wild Wild Country</v>
      </c>
      <c r="S4982" s="5" t="str">
        <f>IFERROR(__xludf.DUMMYFUNCTION("""COMPUTED_VALUE"""),"Nate Bargatze: The Tennessee Kid")</f>
        <v>Nate Bargatze: The Tennessee Kid</v>
      </c>
      <c r="V4982" s="5"/>
      <c r="Y4982" s="5" t="str">
        <f>IFERROR(__xludf.DUMMYFUNCTION("REGEXEXTRACT(J4982, ""^\d+"")"),"1")</f>
        <v>1</v>
      </c>
      <c r="Z4982" s="5" t="str">
        <f>IFERROR(__xludf.DUMMYFUNCTION("REGEXEXTRACT(J4982, ""[A-Za-z ]+$"")")," Season")</f>
        <v> Season</v>
      </c>
      <c r="AA4982" s="5" t="str">
        <f>IFERROR(__xludf.DUMMYFUNCTION("IF(REGEXMATCH(Z4982, ""Season""), ""TV Show"", ""Movie"")"),"TV Show")</f>
        <v>TV Show</v>
      </c>
    </row>
    <row r="4983">
      <c r="A4983" s="1" t="s">
        <v>25987</v>
      </c>
      <c r="B4983" s="1" t="s">
        <v>27</v>
      </c>
      <c r="C4983" s="1" t="s">
        <v>25988</v>
      </c>
      <c r="D4983" s="1" t="s">
        <v>25989</v>
      </c>
      <c r="E4983" s="1" t="s">
        <v>25989</v>
      </c>
      <c r="G4983" s="1" t="s">
        <v>25975</v>
      </c>
      <c r="H4983" s="1">
        <v>2018.0</v>
      </c>
      <c r="I4983" s="1" t="s">
        <v>42</v>
      </c>
      <c r="J4983" s="1" t="s">
        <v>919</v>
      </c>
      <c r="K4983" s="1" t="s">
        <v>1839</v>
      </c>
      <c r="L4983" s="1" t="s">
        <v>25990</v>
      </c>
      <c r="M4983" s="2" t="s">
        <v>12</v>
      </c>
      <c r="N4983" s="4">
        <f t="shared" si="1"/>
        <v>43175</v>
      </c>
      <c r="O4983" s="5" t="str">
        <f>IFERROR(__xludf.DUMMYFUNCTION("IF(REGEXMATCH(TRIM(I4983), ""^\d+\s*min""), ""Unclassified"", IF(I4983 = """", ""NR"", I4983))"),"TV-MA")</f>
        <v>TV-MA</v>
      </c>
      <c r="R4983" s="5" t="str">
        <f t="shared" si="2"/>
        <v>Yoo Byung Jae: Too Much Information</v>
      </c>
      <c r="S4983" s="5" t="str">
        <f>IFERROR(__xludf.DUMMYFUNCTION("""COMPUTED_VALUE"""),"Nathicharami")</f>
        <v>Nathicharami</v>
      </c>
      <c r="V4983" s="5"/>
      <c r="Y4983" s="5" t="str">
        <f>IFERROR(__xludf.DUMMYFUNCTION("REGEXEXTRACT(J4983, ""^\d+"")"),"63")</f>
        <v>63</v>
      </c>
      <c r="Z4983" s="5" t="str">
        <f>IFERROR(__xludf.DUMMYFUNCTION("REGEXEXTRACT(J4983, ""[A-Za-z ]+$"")")," min")</f>
        <v> min</v>
      </c>
      <c r="AA4983" s="5" t="str">
        <f>IFERROR(__xludf.DUMMYFUNCTION("IF(REGEXMATCH(Z4983, ""Season""), ""TV Show"", ""Movie"")"),"Movie")</f>
        <v>Movie</v>
      </c>
    </row>
    <row r="4984">
      <c r="A4984" s="1" t="s">
        <v>25991</v>
      </c>
      <c r="B4984" s="1" t="s">
        <v>27</v>
      </c>
      <c r="C4984" s="1" t="s">
        <v>25992</v>
      </c>
      <c r="D4984" s="1" t="s">
        <v>21907</v>
      </c>
      <c r="E4984" s="1" t="s">
        <v>25993</v>
      </c>
      <c r="F4984" s="1" t="s">
        <v>415</v>
      </c>
      <c r="G4984" s="1" t="s">
        <v>25994</v>
      </c>
      <c r="H4984" s="1">
        <v>2016.0</v>
      </c>
      <c r="I4984" s="1" t="s">
        <v>32</v>
      </c>
      <c r="J4984" s="1" t="s">
        <v>1273</v>
      </c>
      <c r="K4984" s="1" t="s">
        <v>2728</v>
      </c>
      <c r="L4984" s="1" t="s">
        <v>25995</v>
      </c>
      <c r="M4984" s="2" t="s">
        <v>12</v>
      </c>
      <c r="N4984" s="4">
        <f t="shared" si="1"/>
        <v>43174</v>
      </c>
      <c r="O4984" s="5" t="str">
        <f>IFERROR(__xludf.DUMMYFUNCTION("IF(REGEXMATCH(TRIM(I4984), ""^\d+\s*min""), ""Unclassified"", IF(I4984 = """", ""NR"", I4984))"),"PG-13")</f>
        <v>PG-13</v>
      </c>
      <c r="R4984" s="5" t="str">
        <f t="shared" si="2"/>
        <v>In This Corner Of The World</v>
      </c>
      <c r="S4984" s="5" t="str">
        <f>IFERROR(__xludf.DUMMYFUNCTION("""COMPUTED_VALUE"""),"National Bird")</f>
        <v>National Bird</v>
      </c>
      <c r="V4984" s="5"/>
      <c r="Y4984" s="5" t="str">
        <f>IFERROR(__xludf.DUMMYFUNCTION("REGEXEXTRACT(J4984, ""^\d+"")"),"129")</f>
        <v>129</v>
      </c>
      <c r="Z4984" s="5" t="str">
        <f>IFERROR(__xludf.DUMMYFUNCTION("REGEXEXTRACT(J4984, ""[A-Za-z ]+$"")")," min")</f>
        <v> min</v>
      </c>
      <c r="AA4984" s="5" t="str">
        <f>IFERROR(__xludf.DUMMYFUNCTION("IF(REGEXMATCH(Z4984, ""Season""), ""TV Show"", ""Movie"")"),"Movie")</f>
        <v>Movie</v>
      </c>
    </row>
    <row r="4985">
      <c r="A4985" s="1" t="s">
        <v>25996</v>
      </c>
      <c r="B4985" s="1" t="s">
        <v>27</v>
      </c>
      <c r="C4985" s="1" t="s">
        <v>25997</v>
      </c>
      <c r="D4985" s="1" t="s">
        <v>11202</v>
      </c>
      <c r="E4985" s="1" t="s">
        <v>25998</v>
      </c>
      <c r="F4985" s="1" t="s">
        <v>3834</v>
      </c>
      <c r="G4985" s="1" t="s">
        <v>25994</v>
      </c>
      <c r="H4985" s="1">
        <v>2016.0</v>
      </c>
      <c r="I4985" s="1" t="s">
        <v>42</v>
      </c>
      <c r="J4985" s="1" t="s">
        <v>79</v>
      </c>
      <c r="K4985" s="1" t="s">
        <v>583</v>
      </c>
      <c r="L4985" s="1" t="s">
        <v>25999</v>
      </c>
      <c r="M4985" s="2" t="s">
        <v>12</v>
      </c>
      <c r="N4985" s="4">
        <f t="shared" si="1"/>
        <v>43174</v>
      </c>
      <c r="O4985" s="5" t="str">
        <f>IFERROR(__xludf.DUMMYFUNCTION("IF(REGEXMATCH(TRIM(I4985), ""^\d+\s*min""), ""Unclassified"", IF(I4985 = """", ""NR"", I4985))"),"TV-MA")</f>
        <v>TV-MA</v>
      </c>
      <c r="R4985" s="5" t="str">
        <f t="shared" si="2"/>
        <v>Jag Älskar Dig: En Skilsmässokomedi</v>
      </c>
      <c r="S4985" s="5" t="str">
        <f>IFERROR(__xludf.DUMMYFUNCTION("""COMPUTED_VALUE"""),"National Lampoon'S Loaded Weapon 1")</f>
        <v>National Lampoon'S Loaded Weapon 1</v>
      </c>
      <c r="V4985" s="5"/>
      <c r="Y4985" s="5" t="str">
        <f>IFERROR(__xludf.DUMMYFUNCTION("REGEXEXTRACT(J4985, ""^\d+"")"),"91")</f>
        <v>91</v>
      </c>
      <c r="Z4985" s="5" t="str">
        <f>IFERROR(__xludf.DUMMYFUNCTION("REGEXEXTRACT(J4985, ""[A-Za-z ]+$"")")," min")</f>
        <v> min</v>
      </c>
      <c r="AA4985" s="5" t="str">
        <f>IFERROR(__xludf.DUMMYFUNCTION("IF(REGEXMATCH(Z4985, ""Season""), ""TV Show"", ""Movie"")"),"Movie")</f>
        <v>Movie</v>
      </c>
    </row>
    <row r="4986">
      <c r="A4986" s="1" t="s">
        <v>26000</v>
      </c>
      <c r="B4986" s="1" t="s">
        <v>37</v>
      </c>
      <c r="C4986" s="1" t="s">
        <v>26001</v>
      </c>
      <c r="E4986" s="1" t="s">
        <v>26002</v>
      </c>
      <c r="F4986" s="1" t="s">
        <v>3309</v>
      </c>
      <c r="G4986" s="1" t="s">
        <v>25994</v>
      </c>
      <c r="H4986" s="1">
        <v>2016.0</v>
      </c>
      <c r="I4986" s="1" t="s">
        <v>97</v>
      </c>
      <c r="J4986" s="1" t="s">
        <v>51</v>
      </c>
      <c r="K4986" s="1" t="s">
        <v>1907</v>
      </c>
      <c r="L4986" s="1" t="s">
        <v>26003</v>
      </c>
      <c r="M4986" s="2" t="s">
        <v>12</v>
      </c>
      <c r="N4986" s="4">
        <f t="shared" si="1"/>
        <v>43174</v>
      </c>
      <c r="O4986" s="5" t="str">
        <f>IFERROR(__xludf.DUMMYFUNCTION("IF(REGEXMATCH(TRIM(I4986), ""^\d+\s*min""), ""Unclassified"", IF(I4986 = """", ""NR"", I4986))"),"TV-14")</f>
        <v>TV-14</v>
      </c>
      <c r="R4986" s="5" t="str">
        <f t="shared" si="2"/>
        <v>Secret Of The Nile</v>
      </c>
      <c r="S4986" s="5" t="str">
        <f>IFERROR(__xludf.DUMMYFUNCTION("""COMPUTED_VALUE"""),"National Parks Adventure")</f>
        <v>National Parks Adventure</v>
      </c>
      <c r="V4986" s="5"/>
      <c r="Y4986" s="5" t="str">
        <f>IFERROR(__xludf.DUMMYFUNCTION("REGEXEXTRACT(J4986, ""^\d+"")"),"1")</f>
        <v>1</v>
      </c>
      <c r="Z4986" s="5" t="str">
        <f>IFERROR(__xludf.DUMMYFUNCTION("REGEXEXTRACT(J4986, ""[A-Za-z ]+$"")")," Season")</f>
        <v> Season</v>
      </c>
      <c r="AA4986" s="5" t="str">
        <f>IFERROR(__xludf.DUMMYFUNCTION("IF(REGEXMATCH(Z4986, ""Season""), ""TV Show"", ""Movie"")"),"TV Show")</f>
        <v>TV Show</v>
      </c>
    </row>
    <row r="4987">
      <c r="A4987" s="1" t="s">
        <v>26004</v>
      </c>
      <c r="B4987" s="1" t="s">
        <v>37</v>
      </c>
      <c r="C4987" s="1" t="s">
        <v>26005</v>
      </c>
      <c r="E4987" s="1" t="s">
        <v>26006</v>
      </c>
      <c r="F4987" s="1" t="s">
        <v>671</v>
      </c>
      <c r="G4987" s="1" t="s">
        <v>25994</v>
      </c>
      <c r="H4987" s="1">
        <v>2017.0</v>
      </c>
      <c r="I4987" s="1" t="s">
        <v>42</v>
      </c>
      <c r="J4987" s="1" t="s">
        <v>51</v>
      </c>
      <c r="K4987" s="1" t="s">
        <v>44</v>
      </c>
      <c r="L4987" s="1" t="s">
        <v>26007</v>
      </c>
      <c r="M4987" s="2" t="s">
        <v>12</v>
      </c>
      <c r="N4987" s="4">
        <f t="shared" si="1"/>
        <v>43174</v>
      </c>
      <c r="O4987" s="5" t="str">
        <f>IFERROR(__xludf.DUMMYFUNCTION("IF(REGEXMATCH(TRIM(I4987), ""^\d+\s*min""), ""Unclassified"", IF(I4987 = """", ""NR"", I4987))"),"TV-MA")</f>
        <v>TV-MA</v>
      </c>
      <c r="R4987" s="5" t="str">
        <f t="shared" si="2"/>
        <v>Tabula Rasa</v>
      </c>
      <c r="S4987" s="5" t="str">
        <f>IFERROR(__xludf.DUMMYFUNCTION("""COMPUTED_VALUE"""),"National Treasure")</f>
        <v>National Treasure</v>
      </c>
      <c r="V4987" s="5"/>
      <c r="Y4987" s="5" t="str">
        <f>IFERROR(__xludf.DUMMYFUNCTION("REGEXEXTRACT(J4987, ""^\d+"")"),"1")</f>
        <v>1</v>
      </c>
      <c r="Z4987" s="5" t="str">
        <f>IFERROR(__xludf.DUMMYFUNCTION("REGEXEXTRACT(J4987, ""[A-Za-z ]+$"")")," Season")</f>
        <v> Season</v>
      </c>
      <c r="AA4987" s="5" t="str">
        <f>IFERROR(__xludf.DUMMYFUNCTION("IF(REGEXMATCH(Z4987, ""Season""), ""TV Show"", ""Movie"")"),"TV Show")</f>
        <v>TV Show</v>
      </c>
    </row>
    <row r="4988">
      <c r="A4988" s="1" t="s">
        <v>26008</v>
      </c>
      <c r="B4988" s="1" t="s">
        <v>27</v>
      </c>
      <c r="C4988" s="1" t="s">
        <v>26009</v>
      </c>
      <c r="D4988" s="1" t="s">
        <v>14698</v>
      </c>
      <c r="E4988" s="1" t="s">
        <v>26010</v>
      </c>
      <c r="F4988" s="1" t="s">
        <v>2446</v>
      </c>
      <c r="G4988" s="1" t="s">
        <v>25994</v>
      </c>
      <c r="H4988" s="1">
        <v>2017.0</v>
      </c>
      <c r="I4988" s="1" t="s">
        <v>42</v>
      </c>
      <c r="J4988" s="1" t="s">
        <v>379</v>
      </c>
      <c r="K4988" s="1" t="s">
        <v>128</v>
      </c>
      <c r="L4988" s="1" t="s">
        <v>26011</v>
      </c>
      <c r="M4988" s="2" t="s">
        <v>12</v>
      </c>
      <c r="N4988" s="4">
        <f t="shared" si="1"/>
        <v>43174</v>
      </c>
      <c r="O4988" s="5" t="str">
        <f>IFERROR(__xludf.DUMMYFUNCTION("IF(REGEXMATCH(TRIM(I4988), ""^\d+\s*min""), ""Unclassified"", IF(I4988 = """", ""NR"", I4988))"),"TV-MA")</f>
        <v>TV-MA</v>
      </c>
      <c r="R4988" s="5" t="str">
        <f t="shared" si="2"/>
        <v>The Art Of Loving</v>
      </c>
      <c r="S4988" s="5" t="str">
        <f>IFERROR(__xludf.DUMMYFUNCTION("""COMPUTED_VALUE"""),"Natsamrat - Asa Nat Hone Nahi")</f>
        <v>Natsamrat - Asa Nat Hone Nahi</v>
      </c>
      <c r="V4988" s="5"/>
      <c r="Y4988" s="5" t="str">
        <f>IFERROR(__xludf.DUMMYFUNCTION("REGEXEXTRACT(J4988, ""^\d+"")"),"115")</f>
        <v>115</v>
      </c>
      <c r="Z4988" s="5" t="str">
        <f>IFERROR(__xludf.DUMMYFUNCTION("REGEXEXTRACT(J4988, ""[A-Za-z ]+$"")")," min")</f>
        <v> min</v>
      </c>
      <c r="AA4988" s="5" t="str">
        <f>IFERROR(__xludf.DUMMYFUNCTION("IF(REGEXMATCH(Z4988, ""Season""), ""TV Show"", ""Movie"")"),"Movie")</f>
        <v>Movie</v>
      </c>
    </row>
    <row r="4989">
      <c r="A4989" s="1" t="s">
        <v>26012</v>
      </c>
      <c r="B4989" s="1" t="s">
        <v>27</v>
      </c>
      <c r="C4989" s="1" t="s">
        <v>26013</v>
      </c>
      <c r="D4989" s="1" t="s">
        <v>26014</v>
      </c>
      <c r="E4989" s="1" t="s">
        <v>26015</v>
      </c>
      <c r="F4989" s="1" t="s">
        <v>749</v>
      </c>
      <c r="G4989" s="1" t="s">
        <v>26016</v>
      </c>
      <c r="H4989" s="1">
        <v>2018.0</v>
      </c>
      <c r="I4989" s="1" t="s">
        <v>42</v>
      </c>
      <c r="J4989" s="1" t="s">
        <v>1704</v>
      </c>
      <c r="K4989" s="1" t="s">
        <v>306</v>
      </c>
      <c r="L4989" s="1" t="s">
        <v>26017</v>
      </c>
      <c r="M4989" s="2" t="s">
        <v>12</v>
      </c>
      <c r="N4989" s="4">
        <f t="shared" si="1"/>
        <v>43173</v>
      </c>
      <c r="O4989" s="5" t="str">
        <f>IFERROR(__xludf.DUMMYFUNCTION("IF(REGEXMATCH(TRIM(I4989), ""^\d+\s*min""), ""Unclassified"", IF(I4989 = """", ""NR"", I4989))"),"TV-MA")</f>
        <v>TV-MA</v>
      </c>
      <c r="R4989" s="5" t="str">
        <f t="shared" si="2"/>
        <v>Steel Rain</v>
      </c>
      <c r="S4989" s="5" t="str">
        <f>IFERROR(__xludf.DUMMYFUNCTION("""COMPUTED_VALUE"""),"Natural Born Pranksters")</f>
        <v>Natural Born Pranksters</v>
      </c>
      <c r="V4989" s="5"/>
      <c r="Y4989" s="5" t="str">
        <f>IFERROR(__xludf.DUMMYFUNCTION("REGEXEXTRACT(J4989, ""^\d+"")"),"140")</f>
        <v>140</v>
      </c>
      <c r="Z4989" s="5" t="str">
        <f>IFERROR(__xludf.DUMMYFUNCTION("REGEXEXTRACT(J4989, ""[A-Za-z ]+$"")")," min")</f>
        <v> min</v>
      </c>
      <c r="AA4989" s="5" t="str">
        <f>IFERROR(__xludf.DUMMYFUNCTION("IF(REGEXMATCH(Z4989, ""Season""), ""TV Show"", ""Movie"")"),"Movie")</f>
        <v>Movie</v>
      </c>
    </row>
    <row r="4990">
      <c r="A4990" s="1" t="s">
        <v>26018</v>
      </c>
      <c r="B4990" s="1" t="s">
        <v>37</v>
      </c>
      <c r="C4990" s="1" t="s">
        <v>26019</v>
      </c>
      <c r="E4990" s="1" t="s">
        <v>26020</v>
      </c>
      <c r="F4990" s="1" t="s">
        <v>415</v>
      </c>
      <c r="G4990" s="1" t="s">
        <v>26021</v>
      </c>
      <c r="H4990" s="1">
        <v>2017.0</v>
      </c>
      <c r="I4990" s="1" t="s">
        <v>97</v>
      </c>
      <c r="J4990" s="1" t="s">
        <v>51</v>
      </c>
      <c r="K4990" s="1" t="s">
        <v>567</v>
      </c>
      <c r="L4990" s="1" t="s">
        <v>26022</v>
      </c>
      <c r="M4990" s="2" t="s">
        <v>12</v>
      </c>
      <c r="N4990" s="4">
        <f t="shared" si="1"/>
        <v>43172</v>
      </c>
      <c r="O4990" s="5" t="str">
        <f>IFERROR(__xludf.DUMMYFUNCTION("IF(REGEXMATCH(TRIM(I4990), ""^\d+\s*min""), ""Unclassified"", IF(I4990 = """", ""NR"", I4990))"),"TV-14")</f>
        <v>TV-14</v>
      </c>
      <c r="R4990" s="5" t="str">
        <f t="shared" si="2"/>
        <v>Children Of The Whales</v>
      </c>
      <c r="S4990" s="5" t="str">
        <f>IFERROR(__xludf.DUMMYFUNCTION("""COMPUTED_VALUE"""),"Natural Selection")</f>
        <v>Natural Selection</v>
      </c>
      <c r="V4990" s="5"/>
      <c r="Y4990" s="5" t="str">
        <f>IFERROR(__xludf.DUMMYFUNCTION("REGEXEXTRACT(J4990, ""^\d+"")"),"1")</f>
        <v>1</v>
      </c>
      <c r="Z4990" s="5" t="str">
        <f>IFERROR(__xludf.DUMMYFUNCTION("REGEXEXTRACT(J4990, ""[A-Za-z ]+$"")")," Season")</f>
        <v> Season</v>
      </c>
      <c r="AA4990" s="5" t="str">
        <f>IFERROR(__xludf.DUMMYFUNCTION("IF(REGEXMATCH(Z4990, ""Season""), ""TV Show"", ""Movie"")"),"TV Show")</f>
        <v>TV Show</v>
      </c>
    </row>
    <row r="4991">
      <c r="A4991" s="1" t="s">
        <v>26023</v>
      </c>
      <c r="B4991" s="1" t="s">
        <v>27</v>
      </c>
      <c r="C4991" s="1" t="s">
        <v>26024</v>
      </c>
      <c r="D4991" s="1" t="s">
        <v>11360</v>
      </c>
      <c r="E4991" s="1" t="s">
        <v>19239</v>
      </c>
      <c r="F4991" s="1" t="s">
        <v>96</v>
      </c>
      <c r="G4991" s="1" t="s">
        <v>26021</v>
      </c>
      <c r="H4991" s="1">
        <v>2018.0</v>
      </c>
      <c r="I4991" s="1" t="s">
        <v>42</v>
      </c>
      <c r="J4991" s="1" t="s">
        <v>6391</v>
      </c>
      <c r="K4991" s="1" t="s">
        <v>1839</v>
      </c>
      <c r="L4991" s="1" t="s">
        <v>26025</v>
      </c>
      <c r="M4991" s="2" t="s">
        <v>12</v>
      </c>
      <c r="N4991" s="4">
        <f t="shared" si="1"/>
        <v>43172</v>
      </c>
      <c r="O4991" s="5" t="str">
        <f>IFERROR(__xludf.DUMMYFUNCTION("IF(REGEXMATCH(TRIM(I4991), ""^\d+\s*min""), ""Unclassified"", IF(I4991 = """", ""NR"", I4991))"),"TV-MA")</f>
        <v>TV-MA</v>
      </c>
      <c r="R4991" s="5" t="str">
        <f t="shared" si="2"/>
        <v>Ricky Gervais: Humanity</v>
      </c>
      <c r="S4991" s="5" t="str">
        <f>IFERROR(__xludf.DUMMYFUNCTION("""COMPUTED_VALUE"""),"Nature: Animals With Cameras")</f>
        <v>Nature: Animals With Cameras</v>
      </c>
      <c r="V4991" s="5"/>
      <c r="Y4991" s="5" t="str">
        <f>IFERROR(__xludf.DUMMYFUNCTION("REGEXEXTRACT(J4991, ""^\d+"")"),"79")</f>
        <v>79</v>
      </c>
      <c r="Z4991" s="5" t="str">
        <f>IFERROR(__xludf.DUMMYFUNCTION("REGEXEXTRACT(J4991, ""[A-Za-z ]+$"")")," min")</f>
        <v> min</v>
      </c>
      <c r="AA4991" s="5" t="str">
        <f>IFERROR(__xludf.DUMMYFUNCTION("IF(REGEXMATCH(Z4991, ""Season""), ""TV Show"", ""Movie"")"),"Movie")</f>
        <v>Movie</v>
      </c>
    </row>
    <row r="4992">
      <c r="A4992" s="1" t="s">
        <v>26026</v>
      </c>
      <c r="B4992" s="1" t="s">
        <v>27</v>
      </c>
      <c r="C4992" s="1" t="s">
        <v>26027</v>
      </c>
      <c r="D4992" s="1" t="s">
        <v>23197</v>
      </c>
      <c r="E4992" s="1" t="s">
        <v>26028</v>
      </c>
      <c r="F4992" s="1" t="s">
        <v>30</v>
      </c>
      <c r="G4992" s="1" t="s">
        <v>26021</v>
      </c>
      <c r="H4992" s="1">
        <v>2018.0</v>
      </c>
      <c r="I4992" s="1" t="s">
        <v>289</v>
      </c>
      <c r="J4992" s="1" t="s">
        <v>106</v>
      </c>
      <c r="K4992" s="1" t="s">
        <v>80</v>
      </c>
      <c r="L4992" s="1" t="s">
        <v>26029</v>
      </c>
      <c r="M4992" s="2" t="s">
        <v>12</v>
      </c>
      <c r="N4992" s="4">
        <f t="shared" si="1"/>
        <v>43172</v>
      </c>
      <c r="O4992" s="5" t="str">
        <f>IFERROR(__xludf.DUMMYFUNCTION("IF(REGEXMATCH(TRIM(I4992), ""^\d+\s*min""), ""Unclassified"", IF(I4992 = """", ""NR"", I4992))"),"TV-Y7")</f>
        <v>TV-Y7</v>
      </c>
      <c r="R4992" s="5" t="str">
        <f t="shared" si="2"/>
        <v>Stretch Armstrong: The Breakout</v>
      </c>
      <c r="S4992" s="5" t="str">
        <f>IFERROR(__xludf.DUMMYFUNCTION("""COMPUTED_VALUE"""),"Nature: Natural Born Hustlers")</f>
        <v>Nature: Natural Born Hustlers</v>
      </c>
      <c r="V4992" s="5"/>
      <c r="Y4992" s="5" t="str">
        <f>IFERROR(__xludf.DUMMYFUNCTION("REGEXEXTRACT(J4992, ""^\d+"")"),"104")</f>
        <v>104</v>
      </c>
      <c r="Z4992" s="5" t="str">
        <f>IFERROR(__xludf.DUMMYFUNCTION("REGEXEXTRACT(J4992, ""[A-Za-z ]+$"")")," min")</f>
        <v> min</v>
      </c>
      <c r="AA4992" s="5" t="str">
        <f>IFERROR(__xludf.DUMMYFUNCTION("IF(REGEXMATCH(Z4992, ""Season""), ""TV Show"", ""Movie"")"),"Movie")</f>
        <v>Movie</v>
      </c>
    </row>
    <row r="4993">
      <c r="A4993" s="1" t="s">
        <v>26030</v>
      </c>
      <c r="B4993" s="1" t="s">
        <v>37</v>
      </c>
      <c r="C4993" s="1" t="s">
        <v>26031</v>
      </c>
      <c r="D4993" s="1" t="s">
        <v>12582</v>
      </c>
      <c r="E4993" s="1" t="s">
        <v>26032</v>
      </c>
      <c r="F4993" s="1" t="s">
        <v>415</v>
      </c>
      <c r="G4993" s="1" t="s">
        <v>26033</v>
      </c>
      <c r="H4993" s="1">
        <v>2018.0</v>
      </c>
      <c r="I4993" s="1" t="s">
        <v>97</v>
      </c>
      <c r="J4993" s="1" t="s">
        <v>51</v>
      </c>
      <c r="K4993" s="1" t="s">
        <v>567</v>
      </c>
      <c r="L4993" s="1" t="s">
        <v>26034</v>
      </c>
      <c r="M4993" s="2" t="s">
        <v>12</v>
      </c>
      <c r="N4993" s="4">
        <f t="shared" si="1"/>
        <v>43168</v>
      </c>
      <c r="O4993" s="5" t="str">
        <f>IFERROR(__xludf.DUMMYFUNCTION("IF(REGEXMATCH(TRIM(I4993), ""^\d+\s*min""), ""Unclassified"", IF(I4993 = """", ""NR"", I4993))"),"TV-14")</f>
        <v>TV-14</v>
      </c>
      <c r="R4993" s="5" t="str">
        <f t="shared" si="2"/>
        <v>A.I.C.O.</v>
      </c>
      <c r="S4993" s="5" t="str">
        <f>IFERROR(__xludf.DUMMYFUNCTION("""COMPUTED_VALUE"""),"Nature: Raising The Dinosaur Giant")</f>
        <v>Nature: Raising The Dinosaur Giant</v>
      </c>
      <c r="V4993" s="5"/>
      <c r="Y4993" s="5" t="str">
        <f>IFERROR(__xludf.DUMMYFUNCTION("REGEXEXTRACT(J4993, ""^\d+"")"),"1")</f>
        <v>1</v>
      </c>
      <c r="Z4993" s="5" t="str">
        <f>IFERROR(__xludf.DUMMYFUNCTION("REGEXEXTRACT(J4993, ""[A-Za-z ]+$"")")," Season")</f>
        <v> Season</v>
      </c>
      <c r="AA4993" s="5" t="str">
        <f>IFERROR(__xludf.DUMMYFUNCTION("IF(REGEXMATCH(Z4993, ""Season""), ""TV Show"", ""Movie"")"),"TV Show")</f>
        <v>TV Show</v>
      </c>
    </row>
    <row r="4994">
      <c r="A4994" s="1" t="s">
        <v>26035</v>
      </c>
      <c r="B4994" s="1" t="s">
        <v>37</v>
      </c>
      <c r="C4994" s="1" t="s">
        <v>26036</v>
      </c>
      <c r="E4994" s="1" t="s">
        <v>26037</v>
      </c>
      <c r="F4994" s="1" t="s">
        <v>686</v>
      </c>
      <c r="G4994" s="1" t="s">
        <v>26033</v>
      </c>
      <c r="H4994" s="1">
        <v>2018.0</v>
      </c>
      <c r="I4994" s="1" t="s">
        <v>42</v>
      </c>
      <c r="J4994" s="1" t="s">
        <v>51</v>
      </c>
      <c r="K4994" s="1" t="s">
        <v>3274</v>
      </c>
      <c r="L4994" s="1" t="s">
        <v>26038</v>
      </c>
      <c r="M4994" s="2" t="s">
        <v>12</v>
      </c>
      <c r="N4994" s="4">
        <f t="shared" si="1"/>
        <v>43168</v>
      </c>
      <c r="O4994" s="5" t="str">
        <f>IFERROR(__xludf.DUMMYFUNCTION("IF(REGEXMATCH(TRIM(I4994), ""^\d+\s*min""), ""Unclassified"", IF(I4994 = """", ""NR"", I4994))"),"TV-MA")</f>
        <v>TV-MA</v>
      </c>
      <c r="R4994" s="5" t="str">
        <f t="shared" si="2"/>
        <v>Collateral</v>
      </c>
      <c r="S4994" s="5" t="str">
        <f>IFERROR(__xludf.DUMMYFUNCTION("""COMPUTED_VALUE"""),"Nature'S Great Events (2009)")</f>
        <v>Nature'S Great Events (2009)</v>
      </c>
      <c r="V4994" s="5"/>
      <c r="Y4994" s="5" t="str">
        <f>IFERROR(__xludf.DUMMYFUNCTION("REGEXEXTRACT(J4994, ""^\d+"")"),"1")</f>
        <v>1</v>
      </c>
      <c r="Z4994" s="5" t="str">
        <f>IFERROR(__xludf.DUMMYFUNCTION("REGEXEXTRACT(J4994, ""[A-Za-z ]+$"")")," Season")</f>
        <v> Season</v>
      </c>
      <c r="AA4994" s="5" t="str">
        <f>IFERROR(__xludf.DUMMYFUNCTION("IF(REGEXMATCH(Z4994, ""Season""), ""TV Show"", ""Movie"")"),"TV Show")</f>
        <v>TV Show</v>
      </c>
    </row>
    <row r="4995">
      <c r="A4995" s="1" t="s">
        <v>26039</v>
      </c>
      <c r="B4995" s="1" t="s">
        <v>27</v>
      </c>
      <c r="C4995" s="1" t="s">
        <v>26040</v>
      </c>
      <c r="D4995" s="1" t="s">
        <v>15050</v>
      </c>
      <c r="E4995" s="1" t="s">
        <v>26041</v>
      </c>
      <c r="F4995" s="1" t="s">
        <v>30</v>
      </c>
      <c r="G4995" s="1" t="s">
        <v>26033</v>
      </c>
      <c r="H4995" s="1">
        <v>2018.0</v>
      </c>
      <c r="I4995" s="1" t="s">
        <v>42</v>
      </c>
      <c r="J4995" s="1" t="s">
        <v>941</v>
      </c>
      <c r="K4995" s="1" t="s">
        <v>394</v>
      </c>
      <c r="L4995" s="1" t="s">
        <v>26042</v>
      </c>
      <c r="M4995" s="2" t="s">
        <v>12</v>
      </c>
      <c r="N4995" s="4">
        <f t="shared" si="1"/>
        <v>43168</v>
      </c>
      <c r="O4995" s="5" t="str">
        <f>IFERROR(__xludf.DUMMYFUNCTION("IF(REGEXMATCH(TRIM(I4995), ""^\d+\s*min""), ""Unclassified"", IF(I4995 = """", ""NR"", I4995))"),"TV-MA")</f>
        <v>TV-MA</v>
      </c>
      <c r="R4995" s="5" t="str">
        <f t="shared" si="2"/>
        <v>The Outsider</v>
      </c>
      <c r="S4995" s="5" t="str">
        <f>IFERROR(__xludf.DUMMYFUNCTION("""COMPUTED_VALUE"""),"Nature'S Great Events: Diaries")</f>
        <v>Nature'S Great Events: Diaries</v>
      </c>
      <c r="V4995" s="5"/>
      <c r="Y4995" s="5" t="str">
        <f>IFERROR(__xludf.DUMMYFUNCTION("REGEXEXTRACT(J4995, ""^\d+"")"),"121")</f>
        <v>121</v>
      </c>
      <c r="Z4995" s="5" t="str">
        <f>IFERROR(__xludf.DUMMYFUNCTION("REGEXEXTRACT(J4995, ""[A-Za-z ]+$"")")," min")</f>
        <v> min</v>
      </c>
      <c r="AA4995" s="5" t="str">
        <f>IFERROR(__xludf.DUMMYFUNCTION("IF(REGEXMATCH(Z4995, ""Season""), ""TV Show"", ""Movie"")"),"Movie")</f>
        <v>Movie</v>
      </c>
    </row>
    <row r="4996">
      <c r="A4996" s="1" t="s">
        <v>26043</v>
      </c>
      <c r="B4996" s="1" t="s">
        <v>37</v>
      </c>
      <c r="C4996" s="1" t="s">
        <v>26044</v>
      </c>
      <c r="E4996" s="1" t="s">
        <v>26045</v>
      </c>
      <c r="F4996" s="1" t="s">
        <v>749</v>
      </c>
      <c r="G4996" s="1" t="s">
        <v>26046</v>
      </c>
      <c r="H4996" s="1">
        <v>2018.0</v>
      </c>
      <c r="I4996" s="1" t="s">
        <v>42</v>
      </c>
      <c r="J4996" s="1" t="s">
        <v>51</v>
      </c>
      <c r="K4996" s="1" t="s">
        <v>6338</v>
      </c>
      <c r="L4996" s="1" t="s">
        <v>26047</v>
      </c>
      <c r="M4996" s="2" t="s">
        <v>12</v>
      </c>
      <c r="N4996" s="4">
        <f t="shared" si="1"/>
        <v>43167</v>
      </c>
      <c r="O4996" s="5" t="str">
        <f>IFERROR(__xludf.DUMMYFUNCTION("IF(REGEXMATCH(TRIM(I4996), ""^\d+\s*min""), ""Unclassified"", IF(I4996 = """", ""NR"", I4996))"),"TV-MA")</f>
        <v>TV-MA</v>
      </c>
      <c r="R4996" s="5" t="str">
        <f t="shared" si="2"/>
        <v>Bad Guys: Vile City</v>
      </c>
      <c r="S4996" s="5" t="str">
        <f>IFERROR(__xludf.DUMMYFUNCTION("""COMPUTED_VALUE"""),"Nature'S Great Race")</f>
        <v>Nature'S Great Race</v>
      </c>
      <c r="V4996" s="5"/>
      <c r="Y4996" s="5" t="str">
        <f>IFERROR(__xludf.DUMMYFUNCTION("REGEXEXTRACT(J4996, ""^\d+"")"),"1")</f>
        <v>1</v>
      </c>
      <c r="Z4996" s="5" t="str">
        <f>IFERROR(__xludf.DUMMYFUNCTION("REGEXEXTRACT(J4996, ""[A-Za-z ]+$"")")," Season")</f>
        <v> Season</v>
      </c>
      <c r="AA4996" s="5" t="str">
        <f>IFERROR(__xludf.DUMMYFUNCTION("IF(REGEXMATCH(Z4996, ""Season""), ""TV Show"", ""Movie"")"),"TV Show")</f>
        <v>TV Show</v>
      </c>
    </row>
    <row r="4997">
      <c r="A4997" s="1" t="s">
        <v>26048</v>
      </c>
      <c r="B4997" s="1" t="s">
        <v>27</v>
      </c>
      <c r="C4997" s="1" t="s">
        <v>26049</v>
      </c>
      <c r="D4997" s="1" t="s">
        <v>23061</v>
      </c>
      <c r="F4997" s="1" t="s">
        <v>63</v>
      </c>
      <c r="G4997" s="1" t="s">
        <v>26046</v>
      </c>
      <c r="H4997" s="1">
        <v>2018.0</v>
      </c>
      <c r="I4997" s="1" t="s">
        <v>506</v>
      </c>
      <c r="J4997" s="1" t="s">
        <v>18322</v>
      </c>
      <c r="K4997" s="1" t="s">
        <v>520</v>
      </c>
      <c r="L4997" s="1" t="s">
        <v>26050</v>
      </c>
      <c r="M4997" s="2" t="s">
        <v>12</v>
      </c>
      <c r="N4997" s="4">
        <f t="shared" si="1"/>
        <v>43167</v>
      </c>
      <c r="O4997" s="5" t="str">
        <f>IFERROR(__xludf.DUMMYFUNCTION("IF(REGEXMATCH(TRIM(I4997), ""^\d+\s*min""), ""Unclassified"", IF(I4997 = """", ""NR"", I4997))"),"TV-G")</f>
        <v>TV-G</v>
      </c>
      <c r="R4997" s="5" t="str">
        <f t="shared" si="2"/>
        <v>Ladies First</v>
      </c>
      <c r="S4997" s="5" t="str">
        <f>IFERROR(__xludf.DUMMYFUNCTION("""COMPUTED_VALUE"""),"Nature'S Weirdest Events")</f>
        <v>Nature'S Weirdest Events</v>
      </c>
      <c r="V4997" s="5"/>
      <c r="Y4997" s="5" t="str">
        <f>IFERROR(__xludf.DUMMYFUNCTION("REGEXEXTRACT(J4997, ""^\d+"")"),"40")</f>
        <v>40</v>
      </c>
      <c r="Z4997" s="5" t="str">
        <f>IFERROR(__xludf.DUMMYFUNCTION("REGEXEXTRACT(J4997, ""[A-Za-z ]+$"")")," min")</f>
        <v> min</v>
      </c>
      <c r="AA4997" s="5" t="str">
        <f>IFERROR(__xludf.DUMMYFUNCTION("IF(REGEXMATCH(Z4997, ""Season""), ""TV Show"", ""Movie"")"),"Movie")</f>
        <v>Movie</v>
      </c>
    </row>
    <row r="4998">
      <c r="A4998" s="1" t="s">
        <v>26051</v>
      </c>
      <c r="B4998" s="1" t="s">
        <v>27</v>
      </c>
      <c r="C4998" s="1" t="s">
        <v>26052</v>
      </c>
      <c r="D4998" s="1" t="s">
        <v>17788</v>
      </c>
      <c r="E4998" s="1" t="s">
        <v>26053</v>
      </c>
      <c r="F4998" s="1" t="s">
        <v>2143</v>
      </c>
      <c r="G4998" s="1" t="s">
        <v>26054</v>
      </c>
      <c r="H4998" s="1">
        <v>2017.0</v>
      </c>
      <c r="I4998" s="1" t="s">
        <v>378</v>
      </c>
      <c r="J4998" s="1" t="s">
        <v>170</v>
      </c>
      <c r="K4998" s="1" t="s">
        <v>631</v>
      </c>
      <c r="L4998" s="1" t="s">
        <v>26055</v>
      </c>
      <c r="M4998" s="2" t="s">
        <v>12</v>
      </c>
      <c r="N4998" s="4">
        <f t="shared" si="1"/>
        <v>43166</v>
      </c>
      <c r="O4998" s="5" t="str">
        <f>IFERROR(__xludf.DUMMYFUNCTION("IF(REGEXMATCH(TRIM(I4998), ""^\d+\s*min""), ""Unclassified"", IF(I4998 = """", ""NR"", I4998))"),"R")</f>
        <v>R</v>
      </c>
      <c r="R4998" s="5" t="str">
        <f t="shared" si="2"/>
        <v>Bullet Head</v>
      </c>
      <c r="S4998" s="5" t="str">
        <f>IFERROR(__xludf.DUMMYFUNCTION("""COMPUTED_VALUE"""),"Naughty Jatts")</f>
        <v>Naughty Jatts</v>
      </c>
      <c r="V4998" s="5"/>
      <c r="Y4998" s="5" t="str">
        <f>IFERROR(__xludf.DUMMYFUNCTION("REGEXEXTRACT(J4998, ""^\d+"")"),"94")</f>
        <v>94</v>
      </c>
      <c r="Z4998" s="5" t="str">
        <f>IFERROR(__xludf.DUMMYFUNCTION("REGEXEXTRACT(J4998, ""[A-Za-z ]+$"")")," min")</f>
        <v> min</v>
      </c>
      <c r="AA4998" s="5" t="str">
        <f>IFERROR(__xludf.DUMMYFUNCTION("IF(REGEXMATCH(Z4998, ""Season""), ""TV Show"", ""Movie"")"),"Movie")</f>
        <v>Movie</v>
      </c>
    </row>
    <row r="4999">
      <c r="A4999" s="1" t="s">
        <v>26056</v>
      </c>
      <c r="B4999" s="1" t="s">
        <v>37</v>
      </c>
      <c r="C4999" s="1" t="s">
        <v>26057</v>
      </c>
      <c r="E4999" s="1" t="s">
        <v>26058</v>
      </c>
      <c r="F4999" s="1" t="s">
        <v>26059</v>
      </c>
      <c r="G4999" s="1" t="s">
        <v>26060</v>
      </c>
      <c r="H4999" s="1">
        <v>2017.0</v>
      </c>
      <c r="I4999" s="1" t="s">
        <v>42</v>
      </c>
      <c r="J4999" s="1" t="s">
        <v>51</v>
      </c>
      <c r="K4999" s="1" t="s">
        <v>1362</v>
      </c>
      <c r="L4999" s="1" t="s">
        <v>26061</v>
      </c>
      <c r="M4999" s="2" t="s">
        <v>12</v>
      </c>
      <c r="N4999" s="4">
        <f t="shared" si="1"/>
        <v>43165</v>
      </c>
      <c r="O4999" s="5" t="str">
        <f>IFERROR(__xludf.DUMMYFUNCTION("IF(REGEXMATCH(TRIM(I4999), ""^\d+\s*min""), ""Unclassified"", IF(I4999 = """", ""NR"", I4999))"),"TV-MA")</f>
        <v>TV-MA</v>
      </c>
      <c r="R4999" s="5" t="str">
        <f t="shared" si="2"/>
        <v>Borderliner</v>
      </c>
      <c r="S4999" s="5" t="str">
        <f>IFERROR(__xludf.DUMMYFUNCTION("""COMPUTED_VALUE"""),"Navarasa")</f>
        <v>Navarasa</v>
      </c>
      <c r="V4999" s="5"/>
      <c r="Y4999" s="5" t="str">
        <f>IFERROR(__xludf.DUMMYFUNCTION("REGEXEXTRACT(J4999, ""^\d+"")"),"1")</f>
        <v>1</v>
      </c>
      <c r="Z4999" s="5" t="str">
        <f>IFERROR(__xludf.DUMMYFUNCTION("REGEXEXTRACT(J4999, ""[A-Za-z ]+$"")")," Season")</f>
        <v> Season</v>
      </c>
      <c r="AA4999" s="5" t="str">
        <f>IFERROR(__xludf.DUMMYFUNCTION("IF(REGEXMATCH(Z4999, ""Season""), ""TV Show"", ""Movie"")"),"TV Show")</f>
        <v>TV Show</v>
      </c>
    </row>
    <row r="5000">
      <c r="A5000" s="1" t="s">
        <v>26062</v>
      </c>
      <c r="B5000" s="1" t="s">
        <v>27</v>
      </c>
      <c r="C5000" s="1" t="s">
        <v>26063</v>
      </c>
      <c r="D5000" s="1" t="s">
        <v>4424</v>
      </c>
      <c r="E5000" s="1" t="s">
        <v>26064</v>
      </c>
      <c r="F5000" s="1" t="s">
        <v>30</v>
      </c>
      <c r="G5000" s="1" t="s">
        <v>26060</v>
      </c>
      <c r="H5000" s="1">
        <v>2018.0</v>
      </c>
      <c r="I5000" s="1" t="s">
        <v>97</v>
      </c>
      <c r="J5000" s="1" t="s">
        <v>4693</v>
      </c>
      <c r="K5000" s="1" t="s">
        <v>1839</v>
      </c>
      <c r="L5000" s="1" t="s">
        <v>26065</v>
      </c>
      <c r="M5000" s="2" t="s">
        <v>12</v>
      </c>
      <c r="N5000" s="4">
        <f t="shared" si="1"/>
        <v>43165</v>
      </c>
      <c r="O5000" s="5" t="str">
        <f>IFERROR(__xludf.DUMMYFUNCTION("IF(REGEXMATCH(TRIM(I5000), ""^\d+\s*min""), ""Unclassified"", IF(I5000 = """", ""NR"", I5000))"),"TV-14")</f>
        <v>TV-14</v>
      </c>
      <c r="R5000" s="5" t="str">
        <f t="shared" si="2"/>
        <v>Gad Elmaleh: American Dream</v>
      </c>
      <c r="S5000" s="5" t="str">
        <f>IFERROR(__xludf.DUMMYFUNCTION("""COMPUTED_VALUE"""),"Navillera")</f>
        <v>Navillera</v>
      </c>
      <c r="V5000" s="5"/>
      <c r="Y5000" s="5" t="str">
        <f>IFERROR(__xludf.DUMMYFUNCTION("REGEXEXTRACT(J5000, ""^\d+"")"),"58")</f>
        <v>58</v>
      </c>
      <c r="Z5000" s="5" t="str">
        <f>IFERROR(__xludf.DUMMYFUNCTION("REGEXEXTRACT(J5000, ""[A-Za-z ]+$"")")," min")</f>
        <v> min</v>
      </c>
      <c r="AA5000" s="5" t="str">
        <f>IFERROR(__xludf.DUMMYFUNCTION("IF(REGEXMATCH(Z5000, ""Season""), ""TV Show"", ""Movie"")"),"Movie")</f>
        <v>Movie</v>
      </c>
    </row>
    <row r="5001">
      <c r="A5001" s="1" t="s">
        <v>26066</v>
      </c>
      <c r="B5001" s="1" t="s">
        <v>27</v>
      </c>
      <c r="C5001" s="1" t="s">
        <v>26067</v>
      </c>
      <c r="D5001" s="1" t="s">
        <v>3191</v>
      </c>
      <c r="E5001" s="1" t="s">
        <v>26068</v>
      </c>
      <c r="G5001" s="1" t="s">
        <v>26069</v>
      </c>
      <c r="H5001" s="1">
        <v>2017.0</v>
      </c>
      <c r="I5001" s="1" t="s">
        <v>506</v>
      </c>
      <c r="J5001" s="1" t="s">
        <v>1737</v>
      </c>
      <c r="K5001" s="1" t="s">
        <v>9544</v>
      </c>
      <c r="L5001" s="1" t="s">
        <v>26070</v>
      </c>
      <c r="M5001" s="2" t="s">
        <v>12</v>
      </c>
      <c r="N5001" s="4">
        <f t="shared" si="1"/>
        <v>43163</v>
      </c>
      <c r="O5001" s="5" t="str">
        <f>IFERROR(__xludf.DUMMYFUNCTION("IF(REGEXMATCH(TRIM(I5001), ""^\d+\s*min""), ""Unclassified"", IF(I5001 = """", ""NR"", I5001))"),"TV-G")</f>
        <v>TV-G</v>
      </c>
      <c r="R5001" s="5" t="str">
        <f t="shared" si="2"/>
        <v>Expedition China</v>
      </c>
      <c r="S5001" s="5" t="str">
        <f>IFERROR(__xludf.DUMMYFUNCTION("""COMPUTED_VALUE"""),"Nayattu")</f>
        <v>Nayattu</v>
      </c>
      <c r="V5001" s="5"/>
      <c r="Y5001" s="5" t="str">
        <f>IFERROR(__xludf.DUMMYFUNCTION("REGEXEXTRACT(J5001, ""^\d+"")"),"78")</f>
        <v>78</v>
      </c>
      <c r="Z5001" s="5" t="str">
        <f>IFERROR(__xludf.DUMMYFUNCTION("REGEXEXTRACT(J5001, ""[A-Za-z ]+$"")")," min")</f>
        <v> min</v>
      </c>
      <c r="AA5001" s="5" t="str">
        <f>IFERROR(__xludf.DUMMYFUNCTION("IF(REGEXMATCH(Z5001, ""Season""), ""TV Show"", ""Movie"")"),"Movie")</f>
        <v>Movie</v>
      </c>
    </row>
    <row r="5002">
      <c r="A5002" s="1" t="s">
        <v>26071</v>
      </c>
      <c r="B5002" s="1" t="s">
        <v>37</v>
      </c>
      <c r="C5002" s="1" t="s">
        <v>26072</v>
      </c>
      <c r="F5002" s="1" t="s">
        <v>30</v>
      </c>
      <c r="G5002" s="1" t="s">
        <v>26073</v>
      </c>
      <c r="H5002" s="1">
        <v>2018.0</v>
      </c>
      <c r="I5002" s="1" t="s">
        <v>42</v>
      </c>
      <c r="J5002" s="1" t="s">
        <v>51</v>
      </c>
      <c r="K5002" s="1" t="s">
        <v>736</v>
      </c>
      <c r="L5002" s="1" t="s">
        <v>26074</v>
      </c>
      <c r="M5002" s="2" t="s">
        <v>12</v>
      </c>
      <c r="N5002" s="4">
        <f t="shared" si="1"/>
        <v>43161</v>
      </c>
      <c r="O5002" s="5" t="str">
        <f>IFERROR(__xludf.DUMMYFUNCTION("IF(REGEXMATCH(TRIM(I5002), ""^\d+\s*min""), ""Unclassified"", IF(I5002 = """", ""NR"", I5002))"),"TV-MA")</f>
        <v>TV-MA</v>
      </c>
      <c r="R5002" s="5" t="str">
        <f t="shared" si="2"/>
        <v>Flint Town</v>
      </c>
      <c r="S5002" s="5" t="str">
        <f>IFERROR(__xludf.DUMMYFUNCTION("""COMPUTED_VALUE"""),"Nazi Concentration Camps")</f>
        <v>Nazi Concentration Camps</v>
      </c>
      <c r="V5002" s="5"/>
      <c r="Y5002" s="5" t="str">
        <f>IFERROR(__xludf.DUMMYFUNCTION("REGEXEXTRACT(J5002, ""^\d+"")"),"1")</f>
        <v>1</v>
      </c>
      <c r="Z5002" s="5" t="str">
        <f>IFERROR(__xludf.DUMMYFUNCTION("REGEXEXTRACT(J5002, ""[A-Za-z ]+$"")")," Season")</f>
        <v> Season</v>
      </c>
      <c r="AA5002" s="5" t="str">
        <f>IFERROR(__xludf.DUMMYFUNCTION("IF(REGEXMATCH(Z5002, ""Season""), ""TV Show"", ""Movie"")"),"TV Show")</f>
        <v>TV Show</v>
      </c>
    </row>
    <row r="5003">
      <c r="A5003" s="1" t="s">
        <v>26075</v>
      </c>
      <c r="B5003" s="1" t="s">
        <v>27</v>
      </c>
      <c r="C5003" s="1" t="s">
        <v>26076</v>
      </c>
      <c r="D5003" s="1" t="s">
        <v>18885</v>
      </c>
      <c r="E5003" s="1" t="s">
        <v>26077</v>
      </c>
      <c r="F5003" s="1" t="s">
        <v>1815</v>
      </c>
      <c r="G5003" s="1" t="s">
        <v>26073</v>
      </c>
      <c r="H5003" s="1">
        <v>2018.0</v>
      </c>
      <c r="I5003" s="1" t="s">
        <v>42</v>
      </c>
      <c r="J5003" s="1" t="s">
        <v>7064</v>
      </c>
      <c r="K5003" s="1" t="s">
        <v>1839</v>
      </c>
      <c r="L5003" s="1" t="s">
        <v>26078</v>
      </c>
      <c r="M5003" s="2" t="s">
        <v>12</v>
      </c>
      <c r="N5003" s="4">
        <f t="shared" si="1"/>
        <v>43161</v>
      </c>
      <c r="O5003" s="5" t="str">
        <f>IFERROR(__xludf.DUMMYFUNCTION("IF(REGEXMATCH(TRIM(I5003), ""^\d+\s*min""), ""Unclassified"", IF(I5003 = """", ""NR"", I5003))"),"TV-MA")</f>
        <v>TV-MA</v>
      </c>
      <c r="R5003" s="5" t="str">
        <f t="shared" si="2"/>
        <v>Malena Pichot: Estupidez Compleja</v>
      </c>
      <c r="S5003" s="5" t="str">
        <f>IFERROR(__xludf.DUMMYFUNCTION("""COMPUTED_VALUE"""),"Nazi Mega Weapons")</f>
        <v>Nazi Mega Weapons</v>
      </c>
      <c r="V5003" s="5"/>
      <c r="Y5003" s="5" t="str">
        <f>IFERROR(__xludf.DUMMYFUNCTION("REGEXEXTRACT(J5003, ""^\d+"")"),"51")</f>
        <v>51</v>
      </c>
      <c r="Z5003" s="5" t="str">
        <f>IFERROR(__xludf.DUMMYFUNCTION("REGEXEXTRACT(J5003, ""[A-Za-z ]+$"")")," min")</f>
        <v> min</v>
      </c>
      <c r="AA5003" s="5" t="str">
        <f>IFERROR(__xludf.DUMMYFUNCTION("IF(REGEXMATCH(Z5003, ""Season""), ""TV Show"", ""Movie"")"),"Movie")</f>
        <v>Movie</v>
      </c>
    </row>
    <row r="5004">
      <c r="A5004" s="1" t="s">
        <v>26079</v>
      </c>
      <c r="B5004" s="1" t="s">
        <v>27</v>
      </c>
      <c r="C5004" s="1" t="s">
        <v>26080</v>
      </c>
      <c r="D5004" s="1" t="s">
        <v>18885</v>
      </c>
      <c r="E5004" s="1" t="s">
        <v>16577</v>
      </c>
      <c r="F5004" s="1" t="s">
        <v>13294</v>
      </c>
      <c r="G5004" s="1" t="s">
        <v>26073</v>
      </c>
      <c r="H5004" s="1">
        <v>2018.0</v>
      </c>
      <c r="I5004" s="1" t="s">
        <v>42</v>
      </c>
      <c r="J5004" s="1" t="s">
        <v>1993</v>
      </c>
      <c r="K5004" s="1" t="s">
        <v>1839</v>
      </c>
      <c r="L5004" s="1" t="s">
        <v>26081</v>
      </c>
      <c r="M5004" s="2" t="s">
        <v>12</v>
      </c>
      <c r="N5004" s="4">
        <f t="shared" si="1"/>
        <v>43161</v>
      </c>
      <c r="O5004" s="5" t="str">
        <f>IFERROR(__xludf.DUMMYFUNCTION("IF(REGEXMATCH(TRIM(I5004), ""^\d+\s*min""), ""Unclassified"", IF(I5004 = """", ""NR"", I5004))"),"TV-MA")</f>
        <v>TV-MA</v>
      </c>
      <c r="R5004" s="5" t="str">
        <f t="shared" si="2"/>
        <v>Natalia Valdebenito: El Especial</v>
      </c>
      <c r="S5004" s="5" t="str">
        <f>IFERROR(__xludf.DUMMYFUNCTION("""COMPUTED_VALUE"""),"Ncis")</f>
        <v>Ncis</v>
      </c>
      <c r="V5004" s="5"/>
      <c r="Y5004" s="5" t="str">
        <f>IFERROR(__xludf.DUMMYFUNCTION("REGEXEXTRACT(J5004, ""^\d+"")"),"69")</f>
        <v>69</v>
      </c>
      <c r="Z5004" s="5" t="str">
        <f>IFERROR(__xludf.DUMMYFUNCTION("REGEXEXTRACT(J5004, ""[A-Za-z ]+$"")")," min")</f>
        <v> min</v>
      </c>
      <c r="AA5004" s="5" t="str">
        <f>IFERROR(__xludf.DUMMYFUNCTION("IF(REGEXMATCH(Z5004, ""Season""), ""TV Show"", ""Movie"")"),"Movie")</f>
        <v>Movie</v>
      </c>
    </row>
    <row r="5005">
      <c r="A5005" s="1" t="s">
        <v>26082</v>
      </c>
      <c r="B5005" s="1" t="s">
        <v>27</v>
      </c>
      <c r="C5005" s="1" t="s">
        <v>26083</v>
      </c>
      <c r="D5005" s="1" t="s">
        <v>19566</v>
      </c>
      <c r="E5005" s="1" t="s">
        <v>26084</v>
      </c>
      <c r="F5005" s="1" t="s">
        <v>1106</v>
      </c>
      <c r="G5005" s="1" t="s">
        <v>26073</v>
      </c>
      <c r="H5005" s="1">
        <v>2017.0</v>
      </c>
      <c r="I5005" s="1" t="s">
        <v>42</v>
      </c>
      <c r="J5005" s="1" t="s">
        <v>106</v>
      </c>
      <c r="K5005" s="1" t="s">
        <v>1441</v>
      </c>
      <c r="L5005" s="1" t="s">
        <v>26085</v>
      </c>
      <c r="M5005" s="2" t="s">
        <v>12</v>
      </c>
      <c r="N5005" s="4">
        <f t="shared" si="1"/>
        <v>43161</v>
      </c>
      <c r="O5005" s="5" t="str">
        <f>IFERROR(__xludf.DUMMYFUNCTION("IF(REGEXMATCH(TRIM(I5005), ""^\d+\s*min""), ""Unclassified"", IF(I5005 = """", ""NR"", I5005))"),"TV-MA")</f>
        <v>TV-MA</v>
      </c>
      <c r="R5005" s="5" t="str">
        <f t="shared" si="2"/>
        <v>Ravenous</v>
      </c>
      <c r="S5005" s="5" t="str">
        <f>IFERROR(__xludf.DUMMYFUNCTION("""COMPUTED_VALUE"""),"Ne Zha")</f>
        <v>Ne Zha</v>
      </c>
      <c r="V5005" s="5"/>
      <c r="Y5005" s="5" t="str">
        <f>IFERROR(__xludf.DUMMYFUNCTION("REGEXEXTRACT(J5005, ""^\d+"")"),"104")</f>
        <v>104</v>
      </c>
      <c r="Z5005" s="5" t="str">
        <f>IFERROR(__xludf.DUMMYFUNCTION("REGEXEXTRACT(J5005, ""[A-Za-z ]+$"")")," min")</f>
        <v> min</v>
      </c>
      <c r="AA5005" s="5" t="str">
        <f>IFERROR(__xludf.DUMMYFUNCTION("IF(REGEXMATCH(Z5005, ""Season""), ""TV Show"", ""Movie"")"),"Movie")</f>
        <v>Movie</v>
      </c>
    </row>
    <row r="5006">
      <c r="A5006" s="1" t="s">
        <v>26086</v>
      </c>
      <c r="B5006" s="1" t="s">
        <v>37</v>
      </c>
      <c r="C5006" s="1" t="s">
        <v>26087</v>
      </c>
      <c r="E5006" s="1" t="s">
        <v>26088</v>
      </c>
      <c r="F5006" s="1" t="s">
        <v>1106</v>
      </c>
      <c r="G5006" s="1" t="s">
        <v>26089</v>
      </c>
      <c r="H5006" s="1">
        <v>2017.0</v>
      </c>
      <c r="I5006" s="1" t="s">
        <v>42</v>
      </c>
      <c r="J5006" s="1" t="s">
        <v>51</v>
      </c>
      <c r="K5006" s="1" t="s">
        <v>1362</v>
      </c>
      <c r="L5006" s="1" t="s">
        <v>26090</v>
      </c>
      <c r="M5006" s="2" t="s">
        <v>12</v>
      </c>
      <c r="N5006" s="4">
        <f t="shared" si="1"/>
        <v>43160</v>
      </c>
      <c r="O5006" s="5" t="str">
        <f>IFERROR(__xludf.DUMMYFUNCTION("IF(REGEXMATCH(TRIM(I5006), ""^\d+\s*min""), ""Unclassified"", IF(I5006 = """", ""NR"", I5006))"),"TV-MA")</f>
        <v>TV-MA</v>
      </c>
      <c r="R5006" s="5" t="str">
        <f t="shared" si="2"/>
        <v>21 Thunder</v>
      </c>
      <c r="S5006" s="5" t="str">
        <f>IFERROR(__xludf.DUMMYFUNCTION("""COMPUTED_VALUE"""),"Neal Brennan: 3 Mics")</f>
        <v>Neal Brennan: 3 Mics</v>
      </c>
      <c r="V5006" s="5"/>
      <c r="Y5006" s="5" t="str">
        <f>IFERROR(__xludf.DUMMYFUNCTION("REGEXEXTRACT(J5006, ""^\d+"")"),"1")</f>
        <v>1</v>
      </c>
      <c r="Z5006" s="5" t="str">
        <f>IFERROR(__xludf.DUMMYFUNCTION("REGEXEXTRACT(J5006, ""[A-Za-z ]+$"")")," Season")</f>
        <v> Season</v>
      </c>
      <c r="AA5006" s="5" t="str">
        <f>IFERROR(__xludf.DUMMYFUNCTION("IF(REGEXMATCH(Z5006, ""Season""), ""TV Show"", ""Movie"")"),"TV Show")</f>
        <v>TV Show</v>
      </c>
    </row>
    <row r="5007">
      <c r="A5007" s="1" t="s">
        <v>26091</v>
      </c>
      <c r="B5007" s="1" t="s">
        <v>27</v>
      </c>
      <c r="C5007" s="1" t="s">
        <v>26092</v>
      </c>
      <c r="E5007" s="1" t="s">
        <v>26093</v>
      </c>
      <c r="F5007" s="1" t="s">
        <v>30</v>
      </c>
      <c r="G5007" s="1" t="s">
        <v>26089</v>
      </c>
      <c r="H5007" s="1">
        <v>2018.0</v>
      </c>
      <c r="I5007" s="1" t="s">
        <v>42</v>
      </c>
      <c r="J5007" s="1" t="s">
        <v>1847</v>
      </c>
      <c r="K5007" s="1" t="s">
        <v>1839</v>
      </c>
      <c r="L5007" s="1" t="s">
        <v>26094</v>
      </c>
      <c r="M5007" s="2" t="s">
        <v>12</v>
      </c>
      <c r="N5007" s="4">
        <f t="shared" si="1"/>
        <v>43160</v>
      </c>
      <c r="O5007" s="5" t="str">
        <f>IFERROR(__xludf.DUMMYFUNCTION("IF(REGEXMATCH(TRIM(I5007), ""^\d+\s*min""), ""Unclassified"", IF(I5007 = """", ""NR"", I5007))"),"TV-MA")</f>
        <v>TV-MA</v>
      </c>
      <c r="R5007" s="5" t="str">
        <f t="shared" si="2"/>
        <v>Adel Karam: Live From Beirut</v>
      </c>
      <c r="S5007" s="5" t="str">
        <f>IFERROR(__xludf.DUMMYFUNCTION("""COMPUTED_VALUE"""),"Nee Enge En Anbe")</f>
        <v>Nee Enge En Anbe</v>
      </c>
      <c r="V5007" s="5"/>
      <c r="Y5007" s="5" t="str">
        <f>IFERROR(__xludf.DUMMYFUNCTION("REGEXEXTRACT(J5007, ""^\d+"")"),"59")</f>
        <v>59</v>
      </c>
      <c r="Z5007" s="5" t="str">
        <f>IFERROR(__xludf.DUMMYFUNCTION("REGEXEXTRACT(J5007, ""[A-Za-z ]+$"")")," min")</f>
        <v> min</v>
      </c>
      <c r="AA5007" s="5" t="str">
        <f>IFERROR(__xludf.DUMMYFUNCTION("IF(REGEXMATCH(Z5007, ""Season""), ""TV Show"", ""Movie"")"),"Movie")</f>
        <v>Movie</v>
      </c>
    </row>
    <row r="5008">
      <c r="A5008" s="1" t="s">
        <v>26095</v>
      </c>
      <c r="B5008" s="1" t="s">
        <v>27</v>
      </c>
      <c r="C5008" s="1" t="s">
        <v>26096</v>
      </c>
      <c r="D5008" s="1" t="s">
        <v>16186</v>
      </c>
      <c r="E5008" s="1" t="s">
        <v>26097</v>
      </c>
      <c r="F5008" s="1" t="s">
        <v>30</v>
      </c>
      <c r="G5008" s="1" t="s">
        <v>26089</v>
      </c>
      <c r="H5008" s="1">
        <v>2018.0</v>
      </c>
      <c r="I5008" s="1" t="s">
        <v>42</v>
      </c>
      <c r="J5008" s="1" t="s">
        <v>170</v>
      </c>
      <c r="K5008" s="1" t="s">
        <v>20638</v>
      </c>
      <c r="L5008" s="1" t="s">
        <v>26098</v>
      </c>
      <c r="M5008" s="2" t="s">
        <v>12</v>
      </c>
      <c r="N5008" s="4">
        <f t="shared" si="1"/>
        <v>43160</v>
      </c>
      <c r="O5008" s="5" t="str">
        <f>IFERROR(__xludf.DUMMYFUNCTION("IF(REGEXMATCH(TRIM(I5008), ""^\d+\s*min""), ""Unclassified"", IF(I5008 = """", ""NR"", I5008))"),"TV-MA")</f>
        <v>TV-MA</v>
      </c>
      <c r="R5008" s="5" t="str">
        <f t="shared" si="2"/>
        <v>Battle Drone</v>
      </c>
      <c r="S5008" s="5" t="str">
        <f>IFERROR(__xludf.DUMMYFUNCTION("""COMPUTED_VALUE"""),"Needhi Singh")</f>
        <v>Needhi Singh</v>
      </c>
      <c r="V5008" s="5"/>
      <c r="Y5008" s="5" t="str">
        <f>IFERROR(__xludf.DUMMYFUNCTION("REGEXEXTRACT(J5008, ""^\d+"")"),"94")</f>
        <v>94</v>
      </c>
      <c r="Z5008" s="5" t="str">
        <f>IFERROR(__xludf.DUMMYFUNCTION("REGEXEXTRACT(J5008, ""[A-Za-z ]+$"")")," min")</f>
        <v> min</v>
      </c>
      <c r="AA5008" s="5" t="str">
        <f>IFERROR(__xludf.DUMMYFUNCTION("IF(REGEXMATCH(Z5008, ""Season""), ""TV Show"", ""Movie"")"),"Movie")</f>
        <v>Movie</v>
      </c>
    </row>
    <row r="5009">
      <c r="A5009" s="1" t="s">
        <v>26099</v>
      </c>
      <c r="B5009" s="1" t="s">
        <v>27</v>
      </c>
      <c r="C5009" s="1" t="s">
        <v>26100</v>
      </c>
      <c r="D5009" s="1" t="s">
        <v>1686</v>
      </c>
      <c r="E5009" s="1" t="s">
        <v>26101</v>
      </c>
      <c r="F5009" s="1" t="s">
        <v>63</v>
      </c>
      <c r="G5009" s="1" t="s">
        <v>26089</v>
      </c>
      <c r="H5009" s="1">
        <v>1998.0</v>
      </c>
      <c r="I5009" s="1" t="s">
        <v>97</v>
      </c>
      <c r="J5009" s="1" t="s">
        <v>214</v>
      </c>
      <c r="K5009" s="1" t="s">
        <v>679</v>
      </c>
      <c r="L5009" s="1" t="s">
        <v>26102</v>
      </c>
      <c r="M5009" s="2" t="s">
        <v>12</v>
      </c>
      <c r="N5009" s="4">
        <f t="shared" si="1"/>
        <v>43160</v>
      </c>
      <c r="O5009" s="5" t="str">
        <f>IFERROR(__xludf.DUMMYFUNCTION("IF(REGEXMATCH(TRIM(I5009), ""^\d+\s*min""), ""Unclassified"", IF(I5009 = """", ""NR"", I5009))"),"TV-14")</f>
        <v>TV-14</v>
      </c>
      <c r="R5009" s="5" t="str">
        <f t="shared" si="2"/>
        <v>Dil Se</v>
      </c>
      <c r="S5009" s="5" t="str">
        <f>IFERROR(__xludf.DUMMYFUNCTION("""COMPUTED_VALUE"""),"Neevevaro")</f>
        <v>Neevevaro</v>
      </c>
      <c r="V5009" s="5"/>
      <c r="Y5009" s="5" t="str">
        <f>IFERROR(__xludf.DUMMYFUNCTION("REGEXEXTRACT(J5009, ""^\d+"")"),"166")</f>
        <v>166</v>
      </c>
      <c r="Z5009" s="5" t="str">
        <f>IFERROR(__xludf.DUMMYFUNCTION("REGEXEXTRACT(J5009, ""[A-Za-z ]+$"")")," min")</f>
        <v> min</v>
      </c>
      <c r="AA5009" s="5" t="str">
        <f>IFERROR(__xludf.DUMMYFUNCTION("IF(REGEXMATCH(Z5009, ""Season""), ""TV Show"", ""Movie"")"),"Movie")</f>
        <v>Movie</v>
      </c>
    </row>
    <row r="5010">
      <c r="A5010" s="1" t="s">
        <v>26103</v>
      </c>
      <c r="B5010" s="1" t="s">
        <v>27</v>
      </c>
      <c r="C5010" s="1" t="s">
        <v>26104</v>
      </c>
      <c r="D5010" s="1" t="s">
        <v>1686</v>
      </c>
      <c r="E5010" s="1" t="s">
        <v>26105</v>
      </c>
      <c r="F5010" s="1" t="s">
        <v>63</v>
      </c>
      <c r="G5010" s="1" t="s">
        <v>26089</v>
      </c>
      <c r="H5010" s="1">
        <v>2007.0</v>
      </c>
      <c r="I5010" s="1" t="s">
        <v>136</v>
      </c>
      <c r="J5010" s="1" t="s">
        <v>3511</v>
      </c>
      <c r="K5010" s="1" t="s">
        <v>128</v>
      </c>
      <c r="L5010" s="1" t="s">
        <v>26106</v>
      </c>
      <c r="M5010" s="2" t="s">
        <v>12</v>
      </c>
      <c r="N5010" s="4">
        <f t="shared" si="1"/>
        <v>43160</v>
      </c>
      <c r="O5010" s="5" t="str">
        <f>IFERROR(__xludf.DUMMYFUNCTION("IF(REGEXMATCH(TRIM(I5010), ""^\d+\s*min""), ""Unclassified"", IF(I5010 = """", ""NR"", I5010))"),"TV-PG")</f>
        <v>TV-PG</v>
      </c>
      <c r="R5010" s="5" t="str">
        <f t="shared" si="2"/>
        <v>Guru</v>
      </c>
      <c r="S5010" s="5" t="str">
        <f>IFERROR(__xludf.DUMMYFUNCTION("""COMPUTED_VALUE"""),"Neo Yokio")</f>
        <v>Neo Yokio</v>
      </c>
      <c r="V5010" s="5"/>
      <c r="Y5010" s="5" t="str">
        <f>IFERROR(__xludf.DUMMYFUNCTION("REGEXEXTRACT(J5010, ""^\d+"")"),"155")</f>
        <v>155</v>
      </c>
      <c r="Z5010" s="5" t="str">
        <f>IFERROR(__xludf.DUMMYFUNCTION("REGEXEXTRACT(J5010, ""[A-Za-z ]+$"")")," min")</f>
        <v> min</v>
      </c>
      <c r="AA5010" s="5" t="str">
        <f>IFERROR(__xludf.DUMMYFUNCTION("IF(REGEXMATCH(Z5010, ""Season""), ""TV Show"", ""Movie"")"),"Movie")</f>
        <v>Movie</v>
      </c>
    </row>
    <row r="5011">
      <c r="A5011" s="1" t="s">
        <v>26107</v>
      </c>
      <c r="B5011" s="1" t="s">
        <v>27</v>
      </c>
      <c r="C5011" s="1" t="s">
        <v>26108</v>
      </c>
      <c r="D5011" s="1" t="s">
        <v>1405</v>
      </c>
      <c r="E5011" s="1" t="s">
        <v>26109</v>
      </c>
      <c r="F5011" s="1" t="s">
        <v>63</v>
      </c>
      <c r="G5011" s="1" t="s">
        <v>26089</v>
      </c>
      <c r="H5011" s="1">
        <v>2017.0</v>
      </c>
      <c r="I5011" s="1" t="s">
        <v>97</v>
      </c>
      <c r="J5011" s="1" t="s">
        <v>582</v>
      </c>
      <c r="K5011" s="1" t="s">
        <v>1328</v>
      </c>
      <c r="L5011" s="1" t="s">
        <v>26110</v>
      </c>
      <c r="M5011" s="2" t="s">
        <v>12</v>
      </c>
      <c r="N5011" s="4">
        <f t="shared" si="1"/>
        <v>43160</v>
      </c>
      <c r="O5011" s="5" t="str">
        <f>IFERROR(__xludf.DUMMYFUNCTION("IF(REGEXMATCH(TRIM(I5011), ""^\d+\s*min""), ""Unclassified"", IF(I5011 = """", ""NR"", I5011))"),"TV-14")</f>
        <v>TV-14</v>
      </c>
      <c r="R5011" s="5" t="str">
        <f t="shared" si="2"/>
        <v>Judwaa 2</v>
      </c>
      <c r="S5011" s="5" t="str">
        <f>IFERROR(__xludf.DUMMYFUNCTION("""COMPUTED_VALUE"""),"Neon Genesis Evangelion")</f>
        <v>Neon Genesis Evangelion</v>
      </c>
      <c r="V5011" s="5"/>
      <c r="Y5011" s="5" t="str">
        <f>IFERROR(__xludf.DUMMYFUNCTION("REGEXEXTRACT(J5011, ""^\d+"")"),"145")</f>
        <v>145</v>
      </c>
      <c r="Z5011" s="5" t="str">
        <f>IFERROR(__xludf.DUMMYFUNCTION("REGEXEXTRACT(J5011, ""[A-Za-z ]+$"")")," min")</f>
        <v> min</v>
      </c>
      <c r="AA5011" s="5" t="str">
        <f>IFERROR(__xludf.DUMMYFUNCTION("IF(REGEXMATCH(Z5011, ""Season""), ""TV Show"", ""Movie"")"),"Movie")</f>
        <v>Movie</v>
      </c>
    </row>
    <row r="5012">
      <c r="A5012" s="1" t="s">
        <v>26111</v>
      </c>
      <c r="B5012" s="1" t="s">
        <v>27</v>
      </c>
      <c r="C5012" s="1" t="s">
        <v>26112</v>
      </c>
      <c r="D5012" s="1" t="s">
        <v>8190</v>
      </c>
      <c r="E5012" s="1" t="s">
        <v>26113</v>
      </c>
      <c r="F5012" s="1" t="s">
        <v>30</v>
      </c>
      <c r="G5012" s="1" t="s">
        <v>26089</v>
      </c>
      <c r="H5012" s="1">
        <v>2016.0</v>
      </c>
      <c r="I5012" s="1" t="s">
        <v>378</v>
      </c>
      <c r="J5012" s="1" t="s">
        <v>256</v>
      </c>
      <c r="K5012" s="1" t="s">
        <v>3822</v>
      </c>
      <c r="L5012" s="1" t="s">
        <v>26114</v>
      </c>
      <c r="M5012" s="2" t="s">
        <v>12</v>
      </c>
      <c r="N5012" s="4">
        <f t="shared" si="1"/>
        <v>43160</v>
      </c>
      <c r="O5012" s="5" t="str">
        <f>IFERROR(__xludf.DUMMYFUNCTION("IF(REGEXMATCH(TRIM(I5012), ""^\d+\s*min""), ""Unclassified"", IF(I5012 = """", ""NR"", I5012))"),"R")</f>
        <v>R</v>
      </c>
      <c r="R5012" s="5" t="str">
        <f t="shared" si="2"/>
        <v>Love Beats Rhymes</v>
      </c>
      <c r="S5012" s="5" t="str">
        <f>IFERROR(__xludf.DUMMYFUNCTION("""COMPUTED_VALUE"""),"Neruda")</f>
        <v>Neruda</v>
      </c>
      <c r="V5012" s="5"/>
      <c r="Y5012" s="5" t="str">
        <f>IFERROR(__xludf.DUMMYFUNCTION("REGEXEXTRACT(J5012, ""^\d+"")"),"106")</f>
        <v>106</v>
      </c>
      <c r="Z5012" s="5" t="str">
        <f>IFERROR(__xludf.DUMMYFUNCTION("REGEXEXTRACT(J5012, ""[A-Za-z ]+$"")")," min")</f>
        <v> min</v>
      </c>
      <c r="AA5012" s="5" t="str">
        <f>IFERROR(__xludf.DUMMYFUNCTION("IF(REGEXMATCH(Z5012, ""Season""), ""TV Show"", ""Movie"")"),"Movie")</f>
        <v>Movie</v>
      </c>
    </row>
    <row r="5013">
      <c r="A5013" s="1" t="s">
        <v>26115</v>
      </c>
      <c r="B5013" s="1" t="s">
        <v>27</v>
      </c>
      <c r="C5013" s="1" t="s">
        <v>26116</v>
      </c>
      <c r="D5013" s="1" t="s">
        <v>13375</v>
      </c>
      <c r="E5013" s="1" t="s">
        <v>26117</v>
      </c>
      <c r="F5013" s="1" t="s">
        <v>2492</v>
      </c>
      <c r="G5013" s="1" t="s">
        <v>26089</v>
      </c>
      <c r="H5013" s="1">
        <v>2016.0</v>
      </c>
      <c r="I5013" s="1" t="s">
        <v>97</v>
      </c>
      <c r="J5013" s="1" t="s">
        <v>170</v>
      </c>
      <c r="K5013" s="1" t="s">
        <v>199</v>
      </c>
      <c r="L5013" s="1" t="s">
        <v>26118</v>
      </c>
      <c r="M5013" s="2" t="s">
        <v>12</v>
      </c>
      <c r="N5013" s="4">
        <f t="shared" si="1"/>
        <v>43160</v>
      </c>
      <c r="O5013" s="5" t="str">
        <f>IFERROR(__xludf.DUMMYFUNCTION("IF(REGEXMATCH(TRIM(I5013), ""^\d+\s*min""), ""Unclassified"", IF(I5013 = """", ""NR"", I5013))"),"TV-14")</f>
        <v>TV-14</v>
      </c>
      <c r="R5013" s="5" t="str">
        <f t="shared" si="2"/>
        <v>Schubert In Love</v>
      </c>
      <c r="S5013" s="5" t="str">
        <f>IFERROR(__xludf.DUMMYFUNCTION("""COMPUTED_VALUE"""),"Neseli Hayat")</f>
        <v>Neseli Hayat</v>
      </c>
      <c r="V5013" s="5"/>
      <c r="Y5013" s="5" t="str">
        <f>IFERROR(__xludf.DUMMYFUNCTION("REGEXEXTRACT(J5013, ""^\d+"")"),"94")</f>
        <v>94</v>
      </c>
      <c r="Z5013" s="5" t="str">
        <f>IFERROR(__xludf.DUMMYFUNCTION("REGEXEXTRACT(J5013, ""[A-Za-z ]+$"")")," min")</f>
        <v> min</v>
      </c>
      <c r="AA5013" s="5" t="str">
        <f>IFERROR(__xludf.DUMMYFUNCTION("IF(REGEXMATCH(Z5013, ""Season""), ""TV Show"", ""Movie"")"),"Movie")</f>
        <v>Movie</v>
      </c>
    </row>
    <row r="5014">
      <c r="A5014" s="1" t="s">
        <v>26119</v>
      </c>
      <c r="B5014" s="1" t="s">
        <v>27</v>
      </c>
      <c r="C5014" s="1" t="s">
        <v>26120</v>
      </c>
      <c r="D5014" s="1" t="s">
        <v>1586</v>
      </c>
      <c r="E5014" s="1" t="s">
        <v>26121</v>
      </c>
      <c r="F5014" s="1" t="s">
        <v>63</v>
      </c>
      <c r="G5014" s="1" t="s">
        <v>26089</v>
      </c>
      <c r="H5014" s="1">
        <v>2017.0</v>
      </c>
      <c r="I5014" s="1" t="s">
        <v>136</v>
      </c>
      <c r="J5014" s="1" t="s">
        <v>127</v>
      </c>
      <c r="K5014" s="1" t="s">
        <v>679</v>
      </c>
      <c r="L5014" s="1" t="s">
        <v>26122</v>
      </c>
      <c r="M5014" s="2" t="s">
        <v>12</v>
      </c>
      <c r="N5014" s="4">
        <f t="shared" si="1"/>
        <v>43160</v>
      </c>
      <c r="O5014" s="5" t="str">
        <f>IFERROR(__xludf.DUMMYFUNCTION("IF(REGEXMATCH(TRIM(I5014), ""^\d+\s*min""), ""Unclassified"", IF(I5014 = """", ""NR"", I5014))"),"TV-PG")</f>
        <v>TV-PG</v>
      </c>
      <c r="R5014" s="5" t="str">
        <f t="shared" si="2"/>
        <v>Shubh Aarambh</v>
      </c>
      <c r="S5014" s="5" t="str">
        <f>IFERROR(__xludf.DUMMYFUNCTION("""COMPUTED_VALUE"""),"Netflix Presents: The Characters")</f>
        <v>Netflix Presents: The Characters</v>
      </c>
      <c r="V5014" s="5"/>
      <c r="Y5014" s="5" t="str">
        <f>IFERROR(__xludf.DUMMYFUNCTION("REGEXEXTRACT(J5014, ""^\d+"")"),"127")</f>
        <v>127</v>
      </c>
      <c r="Z5014" s="5" t="str">
        <f>IFERROR(__xludf.DUMMYFUNCTION("REGEXEXTRACT(J5014, ""[A-Za-z ]+$"")")," min")</f>
        <v> min</v>
      </c>
      <c r="AA5014" s="5" t="str">
        <f>IFERROR(__xludf.DUMMYFUNCTION("IF(REGEXMATCH(Z5014, ""Season""), ""TV Show"", ""Movie"")"),"Movie")</f>
        <v>Movie</v>
      </c>
    </row>
    <row r="5015">
      <c r="A5015" s="1" t="s">
        <v>26123</v>
      </c>
      <c r="B5015" s="1" t="s">
        <v>27</v>
      </c>
      <c r="C5015" s="1" t="s">
        <v>26124</v>
      </c>
      <c r="D5015" s="1" t="s">
        <v>4142</v>
      </c>
      <c r="E5015" s="1" t="s">
        <v>26125</v>
      </c>
      <c r="F5015" s="1" t="s">
        <v>784</v>
      </c>
      <c r="G5015" s="1" t="s">
        <v>26089</v>
      </c>
      <c r="H5015" s="1">
        <v>2017.0</v>
      </c>
      <c r="I5015" s="1" t="s">
        <v>42</v>
      </c>
      <c r="J5015" s="1" t="s">
        <v>630</v>
      </c>
      <c r="K5015" s="1" t="s">
        <v>5295</v>
      </c>
      <c r="L5015" s="1" t="s">
        <v>26126</v>
      </c>
      <c r="M5015" s="2" t="s">
        <v>12</v>
      </c>
      <c r="N5015" s="4">
        <f t="shared" si="1"/>
        <v>43160</v>
      </c>
      <c r="O5015" s="5" t="str">
        <f>IFERROR(__xludf.DUMMYFUNCTION("IF(REGEXMATCH(TRIM(I5015), ""^\d+\s*min""), ""Unclassified"", IF(I5015 = """", ""NR"", I5015))"),"TV-MA")</f>
        <v>TV-MA</v>
      </c>
      <c r="R5015" s="5" t="str">
        <f t="shared" si="2"/>
        <v>Something Huge</v>
      </c>
      <c r="S5015" s="5" t="str">
        <f>IFERROR(__xludf.DUMMYFUNCTION("""COMPUTED_VALUE"""),"Nevenka: Breaking The Silence")</f>
        <v>Nevenka: Breaking The Silence</v>
      </c>
      <c r="V5015" s="5"/>
      <c r="Y5015" s="5" t="str">
        <f>IFERROR(__xludf.DUMMYFUNCTION("REGEXEXTRACT(J5015, ""^\d+"")"),"87")</f>
        <v>87</v>
      </c>
      <c r="Z5015" s="5" t="str">
        <f>IFERROR(__xludf.DUMMYFUNCTION("REGEXEXTRACT(J5015, ""[A-Za-z ]+$"")")," min")</f>
        <v> min</v>
      </c>
      <c r="AA5015" s="5" t="str">
        <f>IFERROR(__xludf.DUMMYFUNCTION("IF(REGEXMATCH(Z5015, ""Season""), ""TV Show"", ""Movie"")"),"Movie")</f>
        <v>Movie</v>
      </c>
    </row>
    <row r="5016">
      <c r="A5016" s="1" t="s">
        <v>26127</v>
      </c>
      <c r="B5016" s="1" t="s">
        <v>27</v>
      </c>
      <c r="C5016" s="1" t="s">
        <v>26128</v>
      </c>
      <c r="D5016" s="1" t="s">
        <v>2642</v>
      </c>
      <c r="E5016" s="1" t="s">
        <v>26129</v>
      </c>
      <c r="F5016" s="1" t="s">
        <v>63</v>
      </c>
      <c r="G5016" s="1" t="s">
        <v>26089</v>
      </c>
      <c r="H5016" s="1">
        <v>2004.0</v>
      </c>
      <c r="I5016" s="1" t="s">
        <v>136</v>
      </c>
      <c r="J5016" s="1" t="s">
        <v>6717</v>
      </c>
      <c r="K5016" s="1" t="s">
        <v>128</v>
      </c>
      <c r="L5016" s="1" t="s">
        <v>26130</v>
      </c>
      <c r="M5016" s="2" t="s">
        <v>12</v>
      </c>
      <c r="N5016" s="4">
        <f t="shared" si="1"/>
        <v>43160</v>
      </c>
      <c r="O5016" s="5" t="str">
        <f>IFERROR(__xludf.DUMMYFUNCTION("IF(REGEXMATCH(TRIM(I5016), ""^\d+\s*min""), ""Unclassified"", IF(I5016 = """", ""NR"", I5016))"),"TV-PG")</f>
        <v>TV-PG</v>
      </c>
      <c r="R5016" s="5" t="str">
        <f t="shared" si="2"/>
        <v>Swades</v>
      </c>
      <c r="S5016" s="5" t="str">
        <f>IFERROR(__xludf.DUMMYFUNCTION("""COMPUTED_VALUE"""),"Never Back Down")</f>
        <v>Never Back Down</v>
      </c>
      <c r="V5016" s="5"/>
      <c r="Y5016" s="5" t="str">
        <f>IFERROR(__xludf.DUMMYFUNCTION("REGEXEXTRACT(J5016, ""^\d+"")"),"185")</f>
        <v>185</v>
      </c>
      <c r="Z5016" s="5" t="str">
        <f>IFERROR(__xludf.DUMMYFUNCTION("REGEXEXTRACT(J5016, ""[A-Za-z ]+$"")")," min")</f>
        <v> min</v>
      </c>
      <c r="AA5016" s="5" t="str">
        <f>IFERROR(__xludf.DUMMYFUNCTION("IF(REGEXMATCH(Z5016, ""Season""), ""TV Show"", ""Movie"")"),"Movie")</f>
        <v>Movie</v>
      </c>
    </row>
    <row r="5017">
      <c r="A5017" s="1" t="s">
        <v>26131</v>
      </c>
      <c r="B5017" s="1" t="s">
        <v>27</v>
      </c>
      <c r="C5017" s="1" t="s">
        <v>26132</v>
      </c>
      <c r="D5017" s="1" t="s">
        <v>16094</v>
      </c>
      <c r="E5017" s="1" t="s">
        <v>26133</v>
      </c>
      <c r="F5017" s="1" t="s">
        <v>1106</v>
      </c>
      <c r="G5017" s="1" t="s">
        <v>26089</v>
      </c>
      <c r="H5017" s="1">
        <v>2014.0</v>
      </c>
      <c r="I5017" s="1" t="s">
        <v>42</v>
      </c>
      <c r="J5017" s="1" t="s">
        <v>6281</v>
      </c>
      <c r="K5017" s="1" t="s">
        <v>199</v>
      </c>
      <c r="L5017" s="1" t="s">
        <v>26134</v>
      </c>
      <c r="M5017" s="2" t="s">
        <v>12</v>
      </c>
      <c r="N5017" s="4">
        <f t="shared" si="1"/>
        <v>43160</v>
      </c>
      <c r="O5017" s="5" t="str">
        <f>IFERROR(__xludf.DUMMYFUNCTION("IF(REGEXMATCH(TRIM(I5017), ""^\d+\s*min""), ""Unclassified"", IF(I5017 = """", ""NR"", I5017))"),"TV-MA")</f>
        <v>TV-MA</v>
      </c>
      <c r="R5017" s="5" t="str">
        <f t="shared" si="2"/>
        <v>Swearnet Live</v>
      </c>
      <c r="S5017" s="5" t="str">
        <f>IFERROR(__xludf.DUMMYFUNCTION("""COMPUTED_VALUE"""),"Never Back Down 2: The Beatdown")</f>
        <v>Never Back Down 2: The Beatdown</v>
      </c>
      <c r="V5017" s="5"/>
      <c r="Y5017" s="5" t="str">
        <f>IFERROR(__xludf.DUMMYFUNCTION("REGEXEXTRACT(J5017, ""^\d+"")"),"75")</f>
        <v>75</v>
      </c>
      <c r="Z5017" s="5" t="str">
        <f>IFERROR(__xludf.DUMMYFUNCTION("REGEXEXTRACT(J5017, ""[A-Za-z ]+$"")")," min")</f>
        <v> min</v>
      </c>
      <c r="AA5017" s="5" t="str">
        <f>IFERROR(__xludf.DUMMYFUNCTION("IF(REGEXMATCH(Z5017, ""Season""), ""TV Show"", ""Movie"")"),"Movie")</f>
        <v>Movie</v>
      </c>
    </row>
    <row r="5018">
      <c r="A5018" s="1" t="s">
        <v>26135</v>
      </c>
      <c r="B5018" s="1" t="s">
        <v>27</v>
      </c>
      <c r="C5018" s="1" t="s">
        <v>26136</v>
      </c>
      <c r="D5018" s="1" t="s">
        <v>16094</v>
      </c>
      <c r="E5018" s="1" t="s">
        <v>26137</v>
      </c>
      <c r="F5018" s="1" t="s">
        <v>1106</v>
      </c>
      <c r="G5018" s="1" t="s">
        <v>26089</v>
      </c>
      <c r="H5018" s="1">
        <v>2014.0</v>
      </c>
      <c r="I5018" s="1" t="s">
        <v>42</v>
      </c>
      <c r="J5018" s="1" t="s">
        <v>1191</v>
      </c>
      <c r="K5018" s="1" t="s">
        <v>2032</v>
      </c>
      <c r="L5018" s="1" t="s">
        <v>26138</v>
      </c>
      <c r="M5018" s="2" t="s">
        <v>12</v>
      </c>
      <c r="N5018" s="4">
        <f t="shared" si="1"/>
        <v>43160</v>
      </c>
      <c r="O5018" s="5" t="str">
        <f>IFERROR(__xludf.DUMMYFUNCTION("IF(REGEXMATCH(TRIM(I5018), ""^\d+\s*min""), ""Unclassified"", IF(I5018 = """", ""NR"", I5018))"),"TV-MA")</f>
        <v>TV-MA</v>
      </c>
      <c r="R5018" s="5" t="str">
        <f t="shared" si="2"/>
        <v>Trailer Park Boys Live At The North Pole</v>
      </c>
      <c r="S5018" s="5" t="str">
        <f>IFERROR(__xludf.DUMMYFUNCTION("""COMPUTED_VALUE"""),"Never Have I Ever")</f>
        <v>Never Have I Ever</v>
      </c>
      <c r="V5018" s="5"/>
      <c r="Y5018" s="5" t="str">
        <f>IFERROR(__xludf.DUMMYFUNCTION("REGEXEXTRACT(J5018, ""^\d+"")"),"89")</f>
        <v>89</v>
      </c>
      <c r="Z5018" s="5" t="str">
        <f>IFERROR(__xludf.DUMMYFUNCTION("REGEXEXTRACT(J5018, ""[A-Za-z ]+$"")")," min")</f>
        <v> min</v>
      </c>
      <c r="AA5018" s="5" t="str">
        <f>IFERROR(__xludf.DUMMYFUNCTION("IF(REGEXMATCH(Z5018, ""Season""), ""TV Show"", ""Movie"")"),"Movie")</f>
        <v>Movie</v>
      </c>
    </row>
    <row r="5019">
      <c r="A5019" s="1" t="s">
        <v>26139</v>
      </c>
      <c r="B5019" s="1" t="s">
        <v>27</v>
      </c>
      <c r="C5019" s="1" t="s">
        <v>26140</v>
      </c>
      <c r="D5019" s="1" t="s">
        <v>16094</v>
      </c>
      <c r="E5019" s="1" t="s">
        <v>26141</v>
      </c>
      <c r="F5019" s="1" t="s">
        <v>1106</v>
      </c>
      <c r="G5019" s="1" t="s">
        <v>26089</v>
      </c>
      <c r="H5019" s="1">
        <v>2014.0</v>
      </c>
      <c r="I5019" s="1" t="s">
        <v>42</v>
      </c>
      <c r="J5019" s="1" t="s">
        <v>2452</v>
      </c>
      <c r="K5019" s="1" t="s">
        <v>2032</v>
      </c>
      <c r="L5019" s="1" t="s">
        <v>26142</v>
      </c>
      <c r="M5019" s="2" t="s">
        <v>12</v>
      </c>
      <c r="N5019" s="4">
        <f t="shared" si="1"/>
        <v>43160</v>
      </c>
      <c r="O5019" s="5" t="str">
        <f>IFERROR(__xludf.DUMMYFUNCTION("IF(REGEXMATCH(TRIM(I5019), ""^\d+\s*min""), ""Unclassified"", IF(I5019 = """", ""NR"", I5019))"),"TV-MA")</f>
        <v>TV-MA</v>
      </c>
      <c r="R5019" s="5" t="str">
        <f t="shared" si="2"/>
        <v>Trailer Park Boys Live In F**Kin' Dublin</v>
      </c>
      <c r="S5019" s="5" t="str">
        <f>IFERROR(__xludf.DUMMYFUNCTION("""COMPUTED_VALUE"""),"Never Heard")</f>
        <v>Never Heard</v>
      </c>
      <c r="V5019" s="5"/>
      <c r="Y5019" s="5" t="str">
        <f>IFERROR(__xludf.DUMMYFUNCTION("REGEXEXTRACT(J5019, ""^\d+"")"),"81")</f>
        <v>81</v>
      </c>
      <c r="Z5019" s="5" t="str">
        <f>IFERROR(__xludf.DUMMYFUNCTION("REGEXEXTRACT(J5019, ""[A-Za-z ]+$"")")," min")</f>
        <v> min</v>
      </c>
      <c r="AA5019" s="5" t="str">
        <f>IFERROR(__xludf.DUMMYFUNCTION("IF(REGEXMATCH(Z5019, ""Season""), ""TV Show"", ""Movie"")"),"Movie")</f>
        <v>Movie</v>
      </c>
    </row>
    <row r="5020">
      <c r="A5020" s="1" t="s">
        <v>26143</v>
      </c>
      <c r="B5020" s="1" t="s">
        <v>27</v>
      </c>
      <c r="C5020" s="1" t="s">
        <v>26144</v>
      </c>
      <c r="D5020" s="1" t="s">
        <v>16002</v>
      </c>
      <c r="E5020" s="1" t="s">
        <v>26145</v>
      </c>
      <c r="F5020" s="1" t="s">
        <v>1106</v>
      </c>
      <c r="G5020" s="1" t="s">
        <v>26089</v>
      </c>
      <c r="H5020" s="1">
        <v>2008.0</v>
      </c>
      <c r="I5020" s="1" t="s">
        <v>42</v>
      </c>
      <c r="J5020" s="1" t="s">
        <v>5207</v>
      </c>
      <c r="K5020" s="1" t="s">
        <v>1020</v>
      </c>
      <c r="L5020" s="1" t="s">
        <v>26146</v>
      </c>
      <c r="M5020" s="2" t="s">
        <v>12</v>
      </c>
      <c r="N5020" s="4">
        <f t="shared" si="1"/>
        <v>43160</v>
      </c>
      <c r="O5020" s="5" t="str">
        <f>IFERROR(__xludf.DUMMYFUNCTION("IF(REGEXMATCH(TRIM(I5020), ""^\d+\s*min""), ""Unclassified"", IF(I5020 = """", ""NR"", I5020))"),"TV-MA")</f>
        <v>TV-MA</v>
      </c>
      <c r="R5020" s="5" t="str">
        <f t="shared" si="2"/>
        <v>Trailer Park Boys: Say Goodnight To The Bad Guys</v>
      </c>
      <c r="S5020" s="5" t="str">
        <f>IFERROR(__xludf.DUMMYFUNCTION("""COMPUTED_VALUE"""),"Nevertheless,")</f>
        <v>Nevertheless,</v>
      </c>
      <c r="V5020" s="5"/>
      <c r="Y5020" s="5" t="str">
        <f>IFERROR(__xludf.DUMMYFUNCTION("REGEXEXTRACT(J5020, ""^\d+"")"),"47")</f>
        <v>47</v>
      </c>
      <c r="Z5020" s="5" t="str">
        <f>IFERROR(__xludf.DUMMYFUNCTION("REGEXEXTRACT(J5020, ""[A-Za-z ]+$"")")," min")</f>
        <v> min</v>
      </c>
      <c r="AA5020" s="5" t="str">
        <f>IFERROR(__xludf.DUMMYFUNCTION("IF(REGEXMATCH(Z5020, ""Season""), ""TV Show"", ""Movie"")"),"Movie")</f>
        <v>Movie</v>
      </c>
    </row>
    <row r="5021">
      <c r="A5021" s="1" t="s">
        <v>26147</v>
      </c>
      <c r="B5021" s="1" t="s">
        <v>27</v>
      </c>
      <c r="C5021" s="1" t="s">
        <v>26148</v>
      </c>
      <c r="D5021" s="1" t="s">
        <v>16002</v>
      </c>
      <c r="E5021" s="1" t="s">
        <v>26149</v>
      </c>
      <c r="F5021" s="1" t="s">
        <v>1106</v>
      </c>
      <c r="G5021" s="1" t="s">
        <v>26089</v>
      </c>
      <c r="H5021" s="1">
        <v>2004.0</v>
      </c>
      <c r="I5021" s="1" t="s">
        <v>42</v>
      </c>
      <c r="J5021" s="1" t="s">
        <v>3060</v>
      </c>
      <c r="K5021" s="1" t="s">
        <v>2032</v>
      </c>
      <c r="L5021" s="1" t="s">
        <v>26150</v>
      </c>
      <c r="M5021" s="2" t="s">
        <v>12</v>
      </c>
      <c r="N5021" s="4">
        <f t="shared" si="1"/>
        <v>43160</v>
      </c>
      <c r="O5021" s="5" t="str">
        <f>IFERROR(__xludf.DUMMYFUNCTION("IF(REGEXMATCH(TRIM(I5021), ""^\d+\s*min""), ""Unclassified"", IF(I5021 = """", ""NR"", I5021))"),"TV-MA")</f>
        <v>TV-MA</v>
      </c>
      <c r="R5021" s="5" t="str">
        <f t="shared" si="2"/>
        <v>Trailer Park Boys: Xmas Special</v>
      </c>
      <c r="S5021" s="5" t="str">
        <f>IFERROR(__xludf.DUMMYFUNCTION("""COMPUTED_VALUE"""),"New Girl")</f>
        <v>New Girl</v>
      </c>
      <c r="V5021" s="5"/>
      <c r="Y5021" s="5" t="str">
        <f>IFERROR(__xludf.DUMMYFUNCTION("REGEXEXTRACT(J5021, ""^\d+"")"),"46")</f>
        <v>46</v>
      </c>
      <c r="Z5021" s="5" t="str">
        <f>IFERROR(__xludf.DUMMYFUNCTION("REGEXEXTRACT(J5021, ""[A-Za-z ]+$"")")," min")</f>
        <v> min</v>
      </c>
      <c r="AA5021" s="5" t="str">
        <f>IFERROR(__xludf.DUMMYFUNCTION("IF(REGEXMATCH(Z5021, ""Season""), ""TV Show"", ""Movie"")"),"Movie")</f>
        <v>Movie</v>
      </c>
    </row>
    <row r="5022">
      <c r="A5022" s="1" t="s">
        <v>26151</v>
      </c>
      <c r="B5022" s="1" t="s">
        <v>27</v>
      </c>
      <c r="C5022" s="1" t="s">
        <v>26152</v>
      </c>
      <c r="D5022" s="1" t="s">
        <v>16129</v>
      </c>
      <c r="E5022" s="1" t="s">
        <v>26153</v>
      </c>
      <c r="F5022" s="1" t="s">
        <v>63</v>
      </c>
      <c r="G5022" s="1" t="s">
        <v>26089</v>
      </c>
      <c r="H5022" s="1">
        <v>2016.0</v>
      </c>
      <c r="I5022" s="1" t="s">
        <v>97</v>
      </c>
      <c r="J5022" s="1" t="s">
        <v>88</v>
      </c>
      <c r="K5022" s="1" t="s">
        <v>5295</v>
      </c>
      <c r="L5022" s="1" t="s">
        <v>26154</v>
      </c>
      <c r="M5022" s="2" t="s">
        <v>12</v>
      </c>
      <c r="N5022" s="4">
        <f t="shared" si="1"/>
        <v>43160</v>
      </c>
      <c r="O5022" s="5" t="str">
        <f>IFERROR(__xludf.DUMMYFUNCTION("IF(REGEXMATCH(TRIM(I5022), ""^\d+\s*min""), ""Unclassified"", IF(I5022 = """", ""NR"", I5022))"),"TV-14")</f>
        <v>TV-14</v>
      </c>
      <c r="R5022" s="5" t="str">
        <f t="shared" si="2"/>
        <v>Tu Hai Mera Sunday</v>
      </c>
      <c r="S5022" s="5" t="str">
        <f>IFERROR(__xludf.DUMMYFUNCTION("""COMPUTED_VALUE"""),"New Gods: Nezha Reborn")</f>
        <v>New Gods: Nezha Reborn</v>
      </c>
      <c r="V5022" s="5"/>
      <c r="Y5022" s="5" t="str">
        <f>IFERROR(__xludf.DUMMYFUNCTION("REGEXEXTRACT(J5022, ""^\d+"")"),"125")</f>
        <v>125</v>
      </c>
      <c r="Z5022" s="5" t="str">
        <f>IFERROR(__xludf.DUMMYFUNCTION("REGEXEXTRACT(J5022, ""[A-Za-z ]+$"")")," min")</f>
        <v> min</v>
      </c>
      <c r="AA5022" s="5" t="str">
        <f>IFERROR(__xludf.DUMMYFUNCTION("IF(REGEXMATCH(Z5022, ""Season""), ""TV Show"", ""Movie"")"),"Movie")</f>
        <v>Movie</v>
      </c>
    </row>
    <row r="5023">
      <c r="A5023" s="1" t="s">
        <v>26155</v>
      </c>
      <c r="B5023" s="1" t="s">
        <v>27</v>
      </c>
      <c r="C5023" s="1" t="s">
        <v>26156</v>
      </c>
      <c r="D5023" s="1" t="s">
        <v>1686</v>
      </c>
      <c r="E5023" s="1" t="s">
        <v>26157</v>
      </c>
      <c r="F5023" s="1" t="s">
        <v>63</v>
      </c>
      <c r="G5023" s="1" t="s">
        <v>26089</v>
      </c>
      <c r="H5023" s="1">
        <v>2004.0</v>
      </c>
      <c r="I5023" s="1" t="s">
        <v>97</v>
      </c>
      <c r="J5023" s="1" t="s">
        <v>14332</v>
      </c>
      <c r="K5023" s="1" t="s">
        <v>128</v>
      </c>
      <c r="L5023" s="1" t="s">
        <v>26158</v>
      </c>
      <c r="M5023" s="2" t="s">
        <v>12</v>
      </c>
      <c r="N5023" s="4">
        <f t="shared" si="1"/>
        <v>43160</v>
      </c>
      <c r="O5023" s="5" t="str">
        <f>IFERROR(__xludf.DUMMYFUNCTION("IF(REGEXMATCH(TRIM(I5023), ""^\d+\s*min""), ""Unclassified"", IF(I5023 = """", ""NR"", I5023))"),"TV-14")</f>
        <v>TV-14</v>
      </c>
      <c r="R5023" s="5" t="str">
        <f t="shared" si="2"/>
        <v>Yuva</v>
      </c>
      <c r="S5023" s="5" t="str">
        <f>IFERROR(__xludf.DUMMYFUNCTION("""COMPUTED_VALUE"""),"New Money")</f>
        <v>New Money</v>
      </c>
      <c r="V5023" s="5"/>
      <c r="Y5023" s="5" t="str">
        <f>IFERROR(__xludf.DUMMYFUNCTION("REGEXEXTRACT(J5023, ""^\d+"")"),"160")</f>
        <v>160</v>
      </c>
      <c r="Z5023" s="5" t="str">
        <f>IFERROR(__xludf.DUMMYFUNCTION("REGEXEXTRACT(J5023, ""[A-Za-z ]+$"")")," min")</f>
        <v> min</v>
      </c>
      <c r="AA5023" s="5" t="str">
        <f>IFERROR(__xludf.DUMMYFUNCTION("IF(REGEXMATCH(Z5023, ""Season""), ""TV Show"", ""Movie"")"),"Movie")</f>
        <v>Movie</v>
      </c>
    </row>
    <row r="5024">
      <c r="A5024" s="1" t="s">
        <v>26159</v>
      </c>
      <c r="B5024" s="1" t="s">
        <v>27</v>
      </c>
      <c r="C5024" s="1" t="s">
        <v>26160</v>
      </c>
      <c r="D5024" s="1" t="s">
        <v>26161</v>
      </c>
      <c r="E5024" s="1" t="s">
        <v>26162</v>
      </c>
      <c r="F5024" s="1" t="s">
        <v>749</v>
      </c>
      <c r="G5024" s="1" t="s">
        <v>26163</v>
      </c>
      <c r="H5024" s="1">
        <v>2017.0</v>
      </c>
      <c r="I5024" s="1" t="s">
        <v>42</v>
      </c>
      <c r="J5024" s="1" t="s">
        <v>297</v>
      </c>
      <c r="K5024" s="1" t="s">
        <v>298</v>
      </c>
      <c r="L5024" s="1" t="s">
        <v>26164</v>
      </c>
      <c r="M5024" s="2" t="s">
        <v>12</v>
      </c>
      <c r="N5024" s="4">
        <f t="shared" si="1"/>
        <v>43159</v>
      </c>
      <c r="O5024" s="5" t="str">
        <f>IFERROR(__xludf.DUMMYFUNCTION("IF(REGEXMATCH(TRIM(I5024), ""^\d+\s*min""), ""Unclassified"", IF(I5024 = """", ""NR"", I5024))"),"TV-MA")</f>
        <v>TV-MA</v>
      </c>
      <c r="R5024" s="5" t="str">
        <f t="shared" si="2"/>
        <v>반드시 잡는다</v>
      </c>
      <c r="S5024" s="5" t="str">
        <f>IFERROR(__xludf.DUMMYFUNCTION("""COMPUTED_VALUE"""),"New York Minute")</f>
        <v>New York Minute</v>
      </c>
      <c r="V5024" s="5"/>
      <c r="Y5024" s="5" t="str">
        <f>IFERROR(__xludf.DUMMYFUNCTION("REGEXEXTRACT(J5024, ""^\d+"")"),"110")</f>
        <v>110</v>
      </c>
      <c r="Z5024" s="5" t="str">
        <f>IFERROR(__xludf.DUMMYFUNCTION("REGEXEXTRACT(J5024, ""[A-Za-z ]+$"")")," min")</f>
        <v> min</v>
      </c>
      <c r="AA5024" s="5" t="str">
        <f>IFERROR(__xludf.DUMMYFUNCTION("IF(REGEXMATCH(Z5024, ""Season""), ""TV Show"", ""Movie"")"),"Movie")</f>
        <v>Movie</v>
      </c>
    </row>
    <row r="5025">
      <c r="A5025" s="1" t="s">
        <v>26165</v>
      </c>
      <c r="B5025" s="1" t="s">
        <v>27</v>
      </c>
      <c r="C5025" s="1" t="s">
        <v>26166</v>
      </c>
      <c r="E5025" s="1" t="s">
        <v>23899</v>
      </c>
      <c r="F5025" s="1" t="s">
        <v>96</v>
      </c>
      <c r="G5025" s="1" t="s">
        <v>26167</v>
      </c>
      <c r="H5025" s="1">
        <v>2018.0</v>
      </c>
      <c r="I5025" s="1" t="s">
        <v>42</v>
      </c>
      <c r="J5025" s="1" t="s">
        <v>1993</v>
      </c>
      <c r="K5025" s="1" t="s">
        <v>2032</v>
      </c>
      <c r="L5025" s="1" t="s">
        <v>26168</v>
      </c>
      <c r="M5025" s="2" t="s">
        <v>12</v>
      </c>
      <c r="N5025" s="4">
        <f t="shared" si="1"/>
        <v>43158</v>
      </c>
      <c r="O5025" s="5" t="str">
        <f>IFERROR(__xludf.DUMMYFUNCTION("IF(REGEXMATCH(TRIM(I5025), ""^\d+\s*min""), ""Unclassified"", IF(I5025 = """", ""NR"", I5025))"),"TV-MA")</f>
        <v>TV-MA</v>
      </c>
      <c r="R5025" s="5" t="str">
        <f t="shared" si="2"/>
        <v>Derren Brown: The Push</v>
      </c>
      <c r="S5025" s="5" t="str">
        <f>IFERROR(__xludf.DUMMYFUNCTION("""COMPUTED_VALUE"""),"Newly Rich, Newly Poor")</f>
        <v>Newly Rich, Newly Poor</v>
      </c>
      <c r="V5025" s="5"/>
      <c r="Y5025" s="5" t="str">
        <f>IFERROR(__xludf.DUMMYFUNCTION("REGEXEXTRACT(J5025, ""^\d+"")"),"69")</f>
        <v>69</v>
      </c>
      <c r="Z5025" s="5" t="str">
        <f>IFERROR(__xludf.DUMMYFUNCTION("REGEXEXTRACT(J5025, ""[A-Za-z ]+$"")")," min")</f>
        <v> min</v>
      </c>
      <c r="AA5025" s="5" t="str">
        <f>IFERROR(__xludf.DUMMYFUNCTION("IF(REGEXMATCH(Z5025, ""Season""), ""TV Show"", ""Movie"")"),"Movie")</f>
        <v>Movie</v>
      </c>
    </row>
    <row r="5026">
      <c r="A5026" s="1" t="s">
        <v>26169</v>
      </c>
      <c r="B5026" s="1" t="s">
        <v>27</v>
      </c>
      <c r="C5026" s="1" t="s">
        <v>26170</v>
      </c>
      <c r="D5026" s="1" t="s">
        <v>14140</v>
      </c>
      <c r="E5026" s="1" t="s">
        <v>26171</v>
      </c>
      <c r="F5026" s="1" t="s">
        <v>30</v>
      </c>
      <c r="G5026" s="1" t="s">
        <v>26167</v>
      </c>
      <c r="H5026" s="1">
        <v>2018.0</v>
      </c>
      <c r="I5026" s="1" t="s">
        <v>42</v>
      </c>
      <c r="J5026" s="1" t="s">
        <v>155</v>
      </c>
      <c r="K5026" s="1" t="s">
        <v>1839</v>
      </c>
      <c r="L5026" s="1" t="s">
        <v>26172</v>
      </c>
      <c r="M5026" s="2" t="s">
        <v>12</v>
      </c>
      <c r="N5026" s="4">
        <f t="shared" si="1"/>
        <v>43158</v>
      </c>
      <c r="O5026" s="5" t="str">
        <f>IFERROR(__xludf.DUMMYFUNCTION("IF(REGEXMATCH(TRIM(I5026), ""^\d+\s*min""), ""Unclassified"", IF(I5026 = """", ""NR"", I5026))"),"TV-MA")</f>
        <v>TV-MA</v>
      </c>
      <c r="R5026" s="5" t="str">
        <f t="shared" si="2"/>
        <v>Marlon Wayans: Woke-Ish</v>
      </c>
      <c r="S5026" s="5" t="str">
        <f>IFERROR(__xludf.DUMMYFUNCTION("""COMPUTED_VALUE"""),"Newness")</f>
        <v>Newness</v>
      </c>
      <c r="V5026" s="5"/>
      <c r="Y5026" s="5" t="str">
        <f>IFERROR(__xludf.DUMMYFUNCTION("REGEXEXTRACT(J5026, ""^\d+"")"),"67")</f>
        <v>67</v>
      </c>
      <c r="Z5026" s="5" t="str">
        <f>IFERROR(__xludf.DUMMYFUNCTION("REGEXEXTRACT(J5026, ""[A-Za-z ]+$"")")," min")</f>
        <v> min</v>
      </c>
      <c r="AA5026" s="5" t="str">
        <f>IFERROR(__xludf.DUMMYFUNCTION("IF(REGEXMATCH(Z5026, ""Season""), ""TV Show"", ""Movie"")"),"Movie")</f>
        <v>Movie</v>
      </c>
    </row>
    <row r="5027">
      <c r="A5027" s="1" t="s">
        <v>26173</v>
      </c>
      <c r="B5027" s="1" t="s">
        <v>27</v>
      </c>
      <c r="C5027" s="1" t="s">
        <v>26174</v>
      </c>
      <c r="D5027" s="1" t="s">
        <v>16798</v>
      </c>
      <c r="E5027" s="1" t="s">
        <v>26175</v>
      </c>
      <c r="F5027" s="1" t="s">
        <v>784</v>
      </c>
      <c r="G5027" s="1" t="s">
        <v>26176</v>
      </c>
      <c r="H5027" s="1">
        <v>2017.0</v>
      </c>
      <c r="I5027" s="1" t="s">
        <v>42</v>
      </c>
      <c r="J5027" s="1" t="s">
        <v>305</v>
      </c>
      <c r="K5027" s="1" t="s">
        <v>1592</v>
      </c>
      <c r="L5027" s="1" t="s">
        <v>26177</v>
      </c>
      <c r="M5027" s="2" t="s">
        <v>12</v>
      </c>
      <c r="N5027" s="4">
        <f t="shared" si="1"/>
        <v>43156</v>
      </c>
      <c r="O5027" s="5" t="str">
        <f>IFERROR(__xludf.DUMMYFUNCTION("IF(REGEXMATCH(TRIM(I5027), ""^\d+\s*min""), ""Unclassified"", IF(I5027 = """", ""NR"", I5027))"),"TV-MA")</f>
        <v>TV-MA</v>
      </c>
      <c r="R5027" s="5" t="str">
        <f t="shared" si="2"/>
        <v>Veronica</v>
      </c>
      <c r="S5027" s="5" t="str">
        <f>IFERROR(__xludf.DUMMYFUNCTION("""COMPUTED_VALUE"""),"Newtown")</f>
        <v>Newtown</v>
      </c>
      <c r="V5027" s="5"/>
      <c r="Y5027" s="5" t="str">
        <f>IFERROR(__xludf.DUMMYFUNCTION("REGEXEXTRACT(J5027, ""^\d+"")"),"105")</f>
        <v>105</v>
      </c>
      <c r="Z5027" s="5" t="str">
        <f>IFERROR(__xludf.DUMMYFUNCTION("REGEXEXTRACT(J5027, ""[A-Za-z ]+$"")")," min")</f>
        <v> min</v>
      </c>
      <c r="AA5027" s="5" t="str">
        <f>IFERROR(__xludf.DUMMYFUNCTION("IF(REGEXMATCH(Z5027, ""Season""), ""TV Show"", ""Movie"")"),"Movie")</f>
        <v>Movie</v>
      </c>
    </row>
    <row r="5028">
      <c r="A5028" s="1" t="s">
        <v>26178</v>
      </c>
      <c r="B5028" s="1" t="s">
        <v>37</v>
      </c>
      <c r="C5028" s="1" t="s">
        <v>26179</v>
      </c>
      <c r="E5028" s="1" t="s">
        <v>26180</v>
      </c>
      <c r="F5028" s="1" t="s">
        <v>26181</v>
      </c>
      <c r="G5028" s="1" t="s">
        <v>26182</v>
      </c>
      <c r="H5028" s="1">
        <v>2016.0</v>
      </c>
      <c r="I5028" s="1" t="s">
        <v>97</v>
      </c>
      <c r="J5028" s="1" t="s">
        <v>51</v>
      </c>
      <c r="K5028" s="1" t="s">
        <v>64</v>
      </c>
      <c r="L5028" s="1" t="s">
        <v>26183</v>
      </c>
      <c r="M5028" s="2" t="s">
        <v>12</v>
      </c>
      <c r="N5028" s="4">
        <f t="shared" si="1"/>
        <v>43154</v>
      </c>
      <c r="O5028" s="5" t="str">
        <f>IFERROR(__xludf.DUMMYFUNCTION("IF(REGEXMATCH(TRIM(I5028), ""^\d+\s*min""), ""Unclassified"", IF(I5028 = """", ""NR"", I5028))"),"TV-14")</f>
        <v>TV-14</v>
      </c>
      <c r="R5028" s="5" t="str">
        <f t="shared" si="2"/>
        <v>Best Lover</v>
      </c>
      <c r="S5028" s="5" t="str">
        <f>IFERROR(__xludf.DUMMYFUNCTION("""COMPUTED_VALUE"""),"Next")</f>
        <v>Next</v>
      </c>
      <c r="V5028" s="5"/>
      <c r="Y5028" s="5" t="str">
        <f>IFERROR(__xludf.DUMMYFUNCTION("REGEXEXTRACT(J5028, ""^\d+"")"),"1")</f>
        <v>1</v>
      </c>
      <c r="Z5028" s="5" t="str">
        <f>IFERROR(__xludf.DUMMYFUNCTION("REGEXEXTRACT(J5028, ""[A-Za-z ]+$"")")," Season")</f>
        <v> Season</v>
      </c>
      <c r="AA5028" s="5" t="str">
        <f>IFERROR(__xludf.DUMMYFUNCTION("IF(REGEXMATCH(Z5028, ""Season""), ""TV Show"", ""Movie"")"),"TV Show")</f>
        <v>TV Show</v>
      </c>
    </row>
    <row r="5029">
      <c r="A5029" s="1" t="s">
        <v>26184</v>
      </c>
      <c r="B5029" s="1" t="s">
        <v>37</v>
      </c>
      <c r="C5029" s="1" t="s">
        <v>26185</v>
      </c>
      <c r="E5029" s="1" t="s">
        <v>26186</v>
      </c>
      <c r="F5029" s="1" t="s">
        <v>664</v>
      </c>
      <c r="G5029" s="1" t="s">
        <v>26182</v>
      </c>
      <c r="H5029" s="1">
        <v>2018.0</v>
      </c>
      <c r="I5029" s="1" t="s">
        <v>42</v>
      </c>
      <c r="J5029" s="1" t="s">
        <v>43</v>
      </c>
      <c r="K5029" s="1" t="s">
        <v>283</v>
      </c>
      <c r="L5029" s="1" t="s">
        <v>26187</v>
      </c>
      <c r="M5029" s="2" t="s">
        <v>12</v>
      </c>
      <c r="N5029" s="4">
        <f t="shared" si="1"/>
        <v>43154</v>
      </c>
      <c r="O5029" s="5" t="str">
        <f>IFERROR(__xludf.DUMMYFUNCTION("IF(REGEXMATCH(TRIM(I5029), ""^\d+\s*min""), ""Unclassified"", IF(I5029 = """", ""NR"", I5029))"),"TV-MA")</f>
        <v>TV-MA</v>
      </c>
      <c r="R5029" s="5" t="str">
        <f t="shared" si="2"/>
        <v>Marseille</v>
      </c>
      <c r="S5029" s="5" t="str">
        <f>IFERROR(__xludf.DUMMYFUNCTION("""COMPUTED_VALUE"""),"Next Enti?")</f>
        <v>Next Enti?</v>
      </c>
      <c r="V5029" s="5"/>
      <c r="Y5029" s="5" t="str">
        <f>IFERROR(__xludf.DUMMYFUNCTION("REGEXEXTRACT(J5029, ""^\d+"")"),"2")</f>
        <v>2</v>
      </c>
      <c r="Z5029" s="5" t="str">
        <f>IFERROR(__xludf.DUMMYFUNCTION("REGEXEXTRACT(J5029, ""[A-Za-z ]+$"")")," Seasons")</f>
        <v> Seasons</v>
      </c>
      <c r="AA5029" s="5" t="str">
        <f>IFERROR(__xludf.DUMMYFUNCTION("IF(REGEXMATCH(Z5029, ""Season""), ""TV Show"", ""Movie"")"),"TV Show")</f>
        <v>TV Show</v>
      </c>
    </row>
    <row r="5030">
      <c r="A5030" s="1" t="s">
        <v>26188</v>
      </c>
      <c r="B5030" s="1" t="s">
        <v>27</v>
      </c>
      <c r="C5030" s="1" t="s">
        <v>26189</v>
      </c>
      <c r="D5030" s="1" t="s">
        <v>6703</v>
      </c>
      <c r="E5030" s="1" t="s">
        <v>26190</v>
      </c>
      <c r="F5030" s="1" t="s">
        <v>3374</v>
      </c>
      <c r="G5030" s="1" t="s">
        <v>26182</v>
      </c>
      <c r="H5030" s="1">
        <v>2018.0</v>
      </c>
      <c r="I5030" s="1" t="s">
        <v>42</v>
      </c>
      <c r="J5030" s="1" t="s">
        <v>127</v>
      </c>
      <c r="K5030" s="1" t="s">
        <v>658</v>
      </c>
      <c r="L5030" s="1" t="s">
        <v>26191</v>
      </c>
      <c r="M5030" s="2" t="s">
        <v>12</v>
      </c>
      <c r="N5030" s="4">
        <f t="shared" si="1"/>
        <v>43154</v>
      </c>
      <c r="O5030" s="5" t="str">
        <f>IFERROR(__xludf.DUMMYFUNCTION("IF(REGEXMATCH(TRIM(I5030), ""^\d+\s*min""), ""Unclassified"", IF(I5030 = """", ""NR"", I5030))"),"TV-MA")</f>
        <v>TV-MA</v>
      </c>
      <c r="R5030" s="5" t="str">
        <f t="shared" si="2"/>
        <v>Mute</v>
      </c>
      <c r="S5030" s="5" t="str">
        <f>IFERROR(__xludf.DUMMYFUNCTION("""COMPUTED_VALUE"""),"Next Gen")</f>
        <v>Next Gen</v>
      </c>
      <c r="V5030" s="5"/>
      <c r="Y5030" s="5" t="str">
        <f>IFERROR(__xludf.DUMMYFUNCTION("REGEXEXTRACT(J5030, ""^\d+"")"),"127")</f>
        <v>127</v>
      </c>
      <c r="Z5030" s="5" t="str">
        <f>IFERROR(__xludf.DUMMYFUNCTION("REGEXEXTRACT(J5030, ""[A-Za-z ]+$"")")," min")</f>
        <v> min</v>
      </c>
      <c r="AA5030" s="5" t="str">
        <f>IFERROR(__xludf.DUMMYFUNCTION("IF(REGEXMATCH(Z5030, ""Season""), ""TV Show"", ""Movie"")"),"Movie")</f>
        <v>Movie</v>
      </c>
    </row>
    <row r="5031">
      <c r="A5031" s="1" t="s">
        <v>26192</v>
      </c>
      <c r="B5031" s="1" t="s">
        <v>37</v>
      </c>
      <c r="C5031" s="1" t="s">
        <v>26193</v>
      </c>
      <c r="E5031" s="1" t="s">
        <v>26194</v>
      </c>
      <c r="F5031" s="1" t="s">
        <v>30</v>
      </c>
      <c r="G5031" s="1" t="s">
        <v>26182</v>
      </c>
      <c r="H5031" s="1">
        <v>2018.0</v>
      </c>
      <c r="I5031" s="1" t="s">
        <v>42</v>
      </c>
      <c r="J5031" s="1" t="s">
        <v>51</v>
      </c>
      <c r="K5031" s="1" t="s">
        <v>4118</v>
      </c>
      <c r="L5031" s="1" t="s">
        <v>26195</v>
      </c>
      <c r="M5031" s="2" t="s">
        <v>12</v>
      </c>
      <c r="N5031" s="4">
        <f t="shared" si="1"/>
        <v>43154</v>
      </c>
      <c r="O5031" s="5" t="str">
        <f>IFERROR(__xludf.DUMMYFUNCTION("IF(REGEXMATCH(TRIM(I5031), ""^\d+\s*min""), ""Unclassified"", IF(I5031 = """", ""NR"", I5031))"),"TV-MA")</f>
        <v>TV-MA</v>
      </c>
      <c r="R5031" s="5" t="str">
        <f t="shared" si="2"/>
        <v>Seven Seconds</v>
      </c>
      <c r="S5031" s="5" t="str">
        <f>IFERROR(__xludf.DUMMYFUNCTION("""COMPUTED_VALUE"""),"Next In Fashion")</f>
        <v>Next In Fashion</v>
      </c>
      <c r="V5031" s="5"/>
      <c r="Y5031" s="5" t="str">
        <f>IFERROR(__xludf.DUMMYFUNCTION("REGEXEXTRACT(J5031, ""^\d+"")"),"1")</f>
        <v>1</v>
      </c>
      <c r="Z5031" s="5" t="str">
        <f>IFERROR(__xludf.DUMMYFUNCTION("REGEXEXTRACT(J5031, ""[A-Za-z ]+$"")")," Season")</f>
        <v> Season</v>
      </c>
      <c r="AA5031" s="5" t="str">
        <f>IFERROR(__xludf.DUMMYFUNCTION("IF(REGEXMATCH(Z5031, ""Season""), ""TV Show"", ""Movie"")"),"TV Show")</f>
        <v>TV Show</v>
      </c>
    </row>
    <row r="5032">
      <c r="A5032" s="1" t="s">
        <v>26196</v>
      </c>
      <c r="B5032" s="1" t="s">
        <v>37</v>
      </c>
      <c r="C5032" s="1" t="s">
        <v>26197</v>
      </c>
      <c r="E5032" s="1" t="s">
        <v>26198</v>
      </c>
      <c r="F5032" s="1" t="s">
        <v>96</v>
      </c>
      <c r="G5032" s="1" t="s">
        <v>26199</v>
      </c>
      <c r="H5032" s="1">
        <v>2017.0</v>
      </c>
      <c r="I5032" s="1" t="s">
        <v>97</v>
      </c>
      <c r="J5032" s="1" t="s">
        <v>51</v>
      </c>
      <c r="K5032" s="1" t="s">
        <v>544</v>
      </c>
      <c r="L5032" s="1" t="s">
        <v>26200</v>
      </c>
      <c r="M5032" s="2" t="s">
        <v>12</v>
      </c>
      <c r="N5032" s="4">
        <f t="shared" si="1"/>
        <v>43153</v>
      </c>
      <c r="O5032" s="5" t="str">
        <f>IFERROR(__xludf.DUMMYFUNCTION("IF(REGEXMATCH(TRIM(I5032), ""^\d+\s*min""), ""Unclassified"", IF(I5032 = """", ""NR"", I5032))"),"TV-14")</f>
        <v>TV-14</v>
      </c>
      <c r="R5032" s="5" t="str">
        <f t="shared" si="2"/>
        <v>Hitler'S Circle Of Evil</v>
      </c>
      <c r="S5032" s="5" t="str">
        <f>IFERROR(__xludf.DUMMYFUNCTION("""COMPUTED_VALUE"""),"Ni De Coña")</f>
        <v>Ni De Coña</v>
      </c>
      <c r="V5032" s="5"/>
      <c r="Y5032" s="5" t="str">
        <f>IFERROR(__xludf.DUMMYFUNCTION("REGEXEXTRACT(J5032, ""^\d+"")"),"1")</f>
        <v>1</v>
      </c>
      <c r="Z5032" s="5" t="str">
        <f>IFERROR(__xludf.DUMMYFUNCTION("REGEXEXTRACT(J5032, ""[A-Za-z ]+$"")")," Season")</f>
        <v> Season</v>
      </c>
      <c r="AA5032" s="5" t="str">
        <f>IFERROR(__xludf.DUMMYFUNCTION("IF(REGEXMATCH(Z5032, ""Season""), ""TV Show"", ""Movie"")"),"TV Show")</f>
        <v>TV Show</v>
      </c>
    </row>
    <row r="5033">
      <c r="A5033" s="1" t="s">
        <v>26201</v>
      </c>
      <c r="B5033" s="1" t="s">
        <v>27</v>
      </c>
      <c r="C5033" s="1" t="s">
        <v>26202</v>
      </c>
      <c r="D5033" s="1" t="s">
        <v>8965</v>
      </c>
      <c r="E5033" s="1" t="s">
        <v>26203</v>
      </c>
      <c r="F5033" s="1" t="s">
        <v>749</v>
      </c>
      <c r="G5033" s="1" t="s">
        <v>26204</v>
      </c>
      <c r="H5033" s="1">
        <v>2017.0</v>
      </c>
      <c r="I5033" s="1" t="s">
        <v>42</v>
      </c>
      <c r="J5033" s="1" t="s">
        <v>1065</v>
      </c>
      <c r="K5033" s="1" t="s">
        <v>298</v>
      </c>
      <c r="L5033" s="1" t="s">
        <v>26205</v>
      </c>
      <c r="M5033" s="2" t="s">
        <v>12</v>
      </c>
      <c r="N5033" s="4">
        <f t="shared" si="1"/>
        <v>43152</v>
      </c>
      <c r="O5033" s="5" t="str">
        <f>IFERROR(__xludf.DUMMYFUNCTION("IF(REGEXMATCH(TRIM(I5033), ""^\d+\s*min""), ""Unclassified"", IF(I5033 = """", ""NR"", I5033))"),"TV-MA")</f>
        <v>TV-MA</v>
      </c>
      <c r="R5033" s="5" t="str">
        <f t="shared" si="2"/>
        <v>Forgotten</v>
      </c>
      <c r="S5033" s="5" t="str">
        <f>IFERROR(__xludf.DUMMYFUNCTION("""COMPUTED_VALUE"""),"Nibunan")</f>
        <v>Nibunan</v>
      </c>
      <c r="V5033" s="5"/>
      <c r="Y5033" s="5" t="str">
        <f>IFERROR(__xludf.DUMMYFUNCTION("REGEXEXTRACT(J5033, ""^\d+"")"),"109")</f>
        <v>109</v>
      </c>
      <c r="Z5033" s="5" t="str">
        <f>IFERROR(__xludf.DUMMYFUNCTION("REGEXEXTRACT(J5033, ""[A-Za-z ]+$"")")," min")</f>
        <v> min</v>
      </c>
      <c r="AA5033" s="5" t="str">
        <f>IFERROR(__xludf.DUMMYFUNCTION("IF(REGEXMATCH(Z5033, ""Season""), ""TV Show"", ""Movie"")"),"Movie")</f>
        <v>Movie</v>
      </c>
    </row>
    <row r="5034">
      <c r="A5034" s="1" t="s">
        <v>26206</v>
      </c>
      <c r="B5034" s="1" t="s">
        <v>37</v>
      </c>
      <c r="C5034" s="1" t="s">
        <v>26207</v>
      </c>
      <c r="E5034" s="1" t="s">
        <v>26208</v>
      </c>
      <c r="F5034" s="1" t="s">
        <v>96</v>
      </c>
      <c r="G5034" s="1" t="s">
        <v>26209</v>
      </c>
      <c r="H5034" s="1">
        <v>2017.0</v>
      </c>
      <c r="I5034" s="1" t="s">
        <v>42</v>
      </c>
      <c r="J5034" s="1" t="s">
        <v>43</v>
      </c>
      <c r="K5034" s="1" t="s">
        <v>3274</v>
      </c>
      <c r="L5034" s="1" t="s">
        <v>26210</v>
      </c>
      <c r="M5034" s="2" t="s">
        <v>12</v>
      </c>
      <c r="N5034" s="4">
        <f t="shared" si="1"/>
        <v>43151</v>
      </c>
      <c r="O5034" s="5" t="str">
        <f>IFERROR(__xludf.DUMMYFUNCTION("IF(REGEXMATCH(TRIM(I5034), ""^\d+\s*min""), ""Unclassified"", IF(I5034 = """", ""NR"", I5034))"),"TV-MA")</f>
        <v>TV-MA</v>
      </c>
      <c r="R5034" s="5" t="str">
        <f t="shared" si="2"/>
        <v>The Frankenstein Chronicles</v>
      </c>
      <c r="S5034" s="5" t="str">
        <f>IFERROR(__xludf.DUMMYFUNCTION("""COMPUTED_VALUE"""),"Nicky Jam: El Ganador")</f>
        <v>Nicky Jam: El Ganador</v>
      </c>
      <c r="V5034" s="5"/>
      <c r="Y5034" s="5" t="str">
        <f>IFERROR(__xludf.DUMMYFUNCTION("REGEXEXTRACT(J5034, ""^\d+"")"),"2")</f>
        <v>2</v>
      </c>
      <c r="Z5034" s="5" t="str">
        <f>IFERROR(__xludf.DUMMYFUNCTION("REGEXEXTRACT(J5034, ""[A-Za-z ]+$"")")," Seasons")</f>
        <v> Seasons</v>
      </c>
      <c r="AA5034" s="5" t="str">
        <f>IFERROR(__xludf.DUMMYFUNCTION("IF(REGEXMATCH(Z5034, ""Season""), ""TV Show"", ""Movie"")"),"TV Show")</f>
        <v>TV Show</v>
      </c>
    </row>
    <row r="5035">
      <c r="A5035" s="1" t="s">
        <v>26211</v>
      </c>
      <c r="B5035" s="1" t="s">
        <v>27</v>
      </c>
      <c r="C5035" s="1" t="s">
        <v>26212</v>
      </c>
      <c r="D5035" s="1" t="s">
        <v>7989</v>
      </c>
      <c r="E5035" s="1" t="s">
        <v>26213</v>
      </c>
      <c r="F5035" s="1" t="s">
        <v>415</v>
      </c>
      <c r="G5035" s="1" t="s">
        <v>26214</v>
      </c>
      <c r="H5035" s="1">
        <v>2017.0</v>
      </c>
      <c r="I5035" s="1" t="s">
        <v>136</v>
      </c>
      <c r="J5035" s="1" t="s">
        <v>7413</v>
      </c>
      <c r="K5035" s="1" t="s">
        <v>306</v>
      </c>
      <c r="L5035" s="1" t="s">
        <v>26215</v>
      </c>
      <c r="M5035" s="2" t="s">
        <v>12</v>
      </c>
      <c r="N5035" s="4">
        <f t="shared" si="1"/>
        <v>43150</v>
      </c>
      <c r="O5035" s="5" t="str">
        <f>IFERROR(__xludf.DUMMYFUNCTION("IF(REGEXMATCH(TRIM(I5035), ""^\d+\s*min""), ""Unclassified"", IF(I5035 = """", ""NR"", I5035))"),"TV-PG")</f>
        <v>TV-PG</v>
      </c>
      <c r="R5035" s="5" t="str">
        <f t="shared" si="2"/>
        <v>Fullmetal Alchemist</v>
      </c>
      <c r="S5035" s="5" t="str">
        <f>IFERROR(__xludf.DUMMYFUNCTION("""COMPUTED_VALUE"""),"Nicky, Ricky, Dicky &amp; Dawn")</f>
        <v>Nicky, Ricky, Dicky &amp; Dawn</v>
      </c>
      <c r="V5035" s="5"/>
      <c r="Y5035" s="5" t="str">
        <f>IFERROR(__xludf.DUMMYFUNCTION("REGEXEXTRACT(J5035, ""^\d+"")"),"134")</f>
        <v>134</v>
      </c>
      <c r="Z5035" s="5" t="str">
        <f>IFERROR(__xludf.DUMMYFUNCTION("REGEXEXTRACT(J5035, ""[A-Za-z ]+$"")")," min")</f>
        <v> min</v>
      </c>
      <c r="AA5035" s="5" t="str">
        <f>IFERROR(__xludf.DUMMYFUNCTION("IF(REGEXMATCH(Z5035, ""Season""), ""TV Show"", ""Movie"")"),"Movie")</f>
        <v>Movie</v>
      </c>
    </row>
    <row r="5036">
      <c r="A5036" s="1" t="s">
        <v>26216</v>
      </c>
      <c r="B5036" s="1" t="s">
        <v>27</v>
      </c>
      <c r="C5036" s="1" t="s">
        <v>26217</v>
      </c>
      <c r="D5036" s="1" t="s">
        <v>14713</v>
      </c>
      <c r="E5036" s="1" t="s">
        <v>5087</v>
      </c>
      <c r="F5036" s="1" t="s">
        <v>1815</v>
      </c>
      <c r="G5036" s="1" t="s">
        <v>26218</v>
      </c>
      <c r="H5036" s="1">
        <v>2018.0</v>
      </c>
      <c r="I5036" s="1" t="s">
        <v>42</v>
      </c>
      <c r="J5036" s="1" t="s">
        <v>4639</v>
      </c>
      <c r="K5036" s="1" t="s">
        <v>1839</v>
      </c>
      <c r="L5036" s="1" t="s">
        <v>26219</v>
      </c>
      <c r="M5036" s="2" t="s">
        <v>12</v>
      </c>
      <c r="N5036" s="4">
        <f t="shared" si="1"/>
        <v>43147</v>
      </c>
      <c r="O5036" s="5" t="str">
        <f>IFERROR(__xludf.DUMMYFUNCTION("IF(REGEXMATCH(TRIM(I5036), ""^\d+\s*min""), ""Unclassified"", IF(I5036 = """", ""NR"", I5036))"),"TV-MA")</f>
        <v>TV-MA</v>
      </c>
      <c r="R5036" s="5" t="str">
        <f t="shared" si="2"/>
        <v>Agustín Aristarán: Soy Rada</v>
      </c>
      <c r="S5036" s="5" t="str">
        <f>IFERROR(__xludf.DUMMYFUNCTION("""COMPUTED_VALUE"""),"Nigerian Prince")</f>
        <v>Nigerian Prince</v>
      </c>
      <c r="V5036" s="5"/>
      <c r="Y5036" s="5" t="str">
        <f>IFERROR(__xludf.DUMMYFUNCTION("REGEXEXTRACT(J5036, ""^\d+"")"),"60")</f>
        <v>60</v>
      </c>
      <c r="Z5036" s="5" t="str">
        <f>IFERROR(__xludf.DUMMYFUNCTION("REGEXEXTRACT(J5036, ""[A-Za-z ]+$"")")," min")</f>
        <v> min</v>
      </c>
      <c r="AA5036" s="5" t="str">
        <f>IFERROR(__xludf.DUMMYFUNCTION("IF(REGEXMATCH(Z5036, ""Season""), ""TV Show"", ""Movie"")"),"Movie")</f>
        <v>Movie</v>
      </c>
    </row>
    <row r="5037">
      <c r="A5037" s="1" t="s">
        <v>26220</v>
      </c>
      <c r="B5037" s="1" t="s">
        <v>37</v>
      </c>
      <c r="C5037" s="1" t="s">
        <v>26221</v>
      </c>
      <c r="E5037" s="1" t="s">
        <v>26222</v>
      </c>
      <c r="F5037" s="1" t="s">
        <v>30</v>
      </c>
      <c r="G5037" s="1" t="s">
        <v>26218</v>
      </c>
      <c r="H5037" s="1">
        <v>2018.0</v>
      </c>
      <c r="I5037" s="1" t="s">
        <v>289</v>
      </c>
      <c r="J5037" s="1" t="s">
        <v>439</v>
      </c>
      <c r="K5037" s="1" t="s">
        <v>16493</v>
      </c>
      <c r="L5037" s="1" t="s">
        <v>26223</v>
      </c>
      <c r="M5037" s="2" t="s">
        <v>12</v>
      </c>
      <c r="N5037" s="4">
        <f t="shared" si="1"/>
        <v>43147</v>
      </c>
      <c r="O5037" s="5" t="str">
        <f>IFERROR(__xludf.DUMMYFUNCTION("IF(REGEXMATCH(TRIM(I5037), ""^\d+\s*min""), ""Unclassified"", IF(I5037 = """", ""NR"", I5037))"),"TV-Y7")</f>
        <v>TV-Y7</v>
      </c>
      <c r="R5037" s="5" t="str">
        <f t="shared" si="2"/>
        <v>Dragons: Race To The Edge</v>
      </c>
      <c r="S5037" s="5" t="str">
        <f>IFERROR(__xludf.DUMMYFUNCTION("""COMPUTED_VALUE"""),"Night Comes On")</f>
        <v>Night Comes On</v>
      </c>
      <c r="V5037" s="5"/>
      <c r="Y5037" s="5" t="str">
        <f>IFERROR(__xludf.DUMMYFUNCTION("REGEXEXTRACT(J5037, ""^\d+"")"),"6")</f>
        <v>6</v>
      </c>
      <c r="Z5037" s="5" t="str">
        <f>IFERROR(__xludf.DUMMYFUNCTION("REGEXEXTRACT(J5037, ""[A-Za-z ]+$"")")," Seasons")</f>
        <v> Seasons</v>
      </c>
      <c r="AA5037" s="5" t="str">
        <f>IFERROR(__xludf.DUMMYFUNCTION("IF(REGEXMATCH(Z5037, ""Season""), ""TV Show"", ""Movie"")"),"TV Show")</f>
        <v>TV Show</v>
      </c>
    </row>
    <row r="5038">
      <c r="A5038" s="1" t="s">
        <v>26224</v>
      </c>
      <c r="B5038" s="1" t="s">
        <v>37</v>
      </c>
      <c r="C5038" s="1" t="s">
        <v>26225</v>
      </c>
      <c r="E5038" s="1" t="s">
        <v>26226</v>
      </c>
      <c r="F5038" s="1" t="s">
        <v>30</v>
      </c>
      <c r="G5038" s="1" t="s">
        <v>26218</v>
      </c>
      <c r="H5038" s="1">
        <v>2018.0</v>
      </c>
      <c r="I5038" s="1" t="s">
        <v>97</v>
      </c>
      <c r="J5038" s="1" t="s">
        <v>51</v>
      </c>
      <c r="K5038" s="1" t="s">
        <v>2915</v>
      </c>
      <c r="L5038" s="1" t="s">
        <v>26227</v>
      </c>
      <c r="M5038" s="2" t="s">
        <v>12</v>
      </c>
      <c r="N5038" s="4">
        <f t="shared" si="1"/>
        <v>43147</v>
      </c>
      <c r="O5038" s="5" t="str">
        <f>IFERROR(__xludf.DUMMYFUNCTION("IF(REGEXMATCH(TRIM(I5038), ""^\d+\s*min""), ""Unclassified"", IF(I5038 = """", ""NR"", I5038))"),"TV-14")</f>
        <v>TV-14</v>
      </c>
      <c r="R5038" s="5" t="str">
        <f t="shared" si="2"/>
        <v>Everything Sucks!</v>
      </c>
      <c r="S5038" s="5" t="str">
        <f>IFERROR(__xludf.DUMMYFUNCTION("""COMPUTED_VALUE"""),"Night In Paradise")</f>
        <v>Night In Paradise</v>
      </c>
      <c r="V5038" s="5"/>
      <c r="Y5038" s="5" t="str">
        <f>IFERROR(__xludf.DUMMYFUNCTION("REGEXEXTRACT(J5038, ""^\d+"")"),"1")</f>
        <v>1</v>
      </c>
      <c r="Z5038" s="5" t="str">
        <f>IFERROR(__xludf.DUMMYFUNCTION("REGEXEXTRACT(J5038, ""[A-Za-z ]+$"")")," Season")</f>
        <v> Season</v>
      </c>
      <c r="AA5038" s="5" t="str">
        <f>IFERROR(__xludf.DUMMYFUNCTION("IF(REGEXMATCH(Z5038, ""Season""), ""TV Show"", ""Movie"")"),"TV Show")</f>
        <v>TV Show</v>
      </c>
    </row>
    <row r="5039">
      <c r="A5039" s="1" t="s">
        <v>26228</v>
      </c>
      <c r="B5039" s="1" t="s">
        <v>27</v>
      </c>
      <c r="C5039" s="1" t="s">
        <v>26229</v>
      </c>
      <c r="D5039" s="1" t="s">
        <v>21520</v>
      </c>
      <c r="E5039" s="1" t="s">
        <v>26230</v>
      </c>
      <c r="F5039" s="1" t="s">
        <v>30</v>
      </c>
      <c r="G5039" s="1" t="s">
        <v>26218</v>
      </c>
      <c r="H5039" s="1">
        <v>2018.0</v>
      </c>
      <c r="I5039" s="1" t="s">
        <v>42</v>
      </c>
      <c r="J5039" s="1" t="s">
        <v>322</v>
      </c>
      <c r="K5039" s="1" t="s">
        <v>828</v>
      </c>
      <c r="L5039" s="1" t="s">
        <v>26231</v>
      </c>
      <c r="M5039" s="2" t="s">
        <v>12</v>
      </c>
      <c r="N5039" s="4">
        <f t="shared" si="1"/>
        <v>43147</v>
      </c>
      <c r="O5039" s="5" t="str">
        <f>IFERROR(__xludf.DUMMYFUNCTION("IF(REGEXMATCH(TRIM(I5039), ""^\d+\s*min""), ""Unclassified"", IF(I5039 = """", ""NR"", I5039))"),"TV-MA")</f>
        <v>TV-MA</v>
      </c>
      <c r="R5039" s="5" t="str">
        <f t="shared" si="2"/>
        <v>Irreplaceable You</v>
      </c>
      <c r="S5039" s="5" t="str">
        <f>IFERROR(__xludf.DUMMYFUNCTION("""COMPUTED_VALUE"""),"Night Moves")</f>
        <v>Night Moves</v>
      </c>
      <c r="V5039" s="5"/>
      <c r="Y5039" s="5" t="str">
        <f>IFERROR(__xludf.DUMMYFUNCTION("REGEXEXTRACT(J5039, ""^\d+"")"),"96")</f>
        <v>96</v>
      </c>
      <c r="Z5039" s="5" t="str">
        <f>IFERROR(__xludf.DUMMYFUNCTION("REGEXEXTRACT(J5039, ""[A-Za-z ]+$"")")," min")</f>
        <v> min</v>
      </c>
      <c r="AA5039" s="5" t="str">
        <f>IFERROR(__xludf.DUMMYFUNCTION("IF(REGEXMATCH(Z5039, ""Season""), ""TV Show"", ""Movie"")"),"Movie")</f>
        <v>Movie</v>
      </c>
    </row>
    <row r="5040">
      <c r="A5040" s="1" t="s">
        <v>26232</v>
      </c>
      <c r="B5040" s="1" t="s">
        <v>37</v>
      </c>
      <c r="C5040" s="1" t="s">
        <v>26233</v>
      </c>
      <c r="E5040" s="1" t="s">
        <v>26234</v>
      </c>
      <c r="F5040" s="1" t="s">
        <v>415</v>
      </c>
      <c r="G5040" s="1" t="s">
        <v>26235</v>
      </c>
      <c r="H5040" s="1">
        <v>2017.0</v>
      </c>
      <c r="I5040" s="1" t="s">
        <v>42</v>
      </c>
      <c r="J5040" s="1" t="s">
        <v>51</v>
      </c>
      <c r="K5040" s="1" t="s">
        <v>44</v>
      </c>
      <c r="L5040" s="1" t="s">
        <v>26236</v>
      </c>
      <c r="M5040" s="2" t="s">
        <v>12</v>
      </c>
      <c r="N5040" s="4">
        <f t="shared" si="1"/>
        <v>43146</v>
      </c>
      <c r="O5040" s="5" t="str">
        <f>IFERROR(__xludf.DUMMYFUNCTION("IF(REGEXMATCH(TRIM(I5040), ""^\d+\s*min""), ""Unclassified"", IF(I5040 = """", ""NR"", I5040))"),"TV-MA")</f>
        <v>TV-MA</v>
      </c>
      <c r="R5040" s="5" t="str">
        <f t="shared" si="2"/>
        <v>Re:Mind</v>
      </c>
      <c r="S5040" s="5" t="str">
        <f>IFERROR(__xludf.DUMMYFUNCTION("""COMPUTED_VALUE"""),"Night Of Knots")</f>
        <v>Night Of Knots</v>
      </c>
      <c r="V5040" s="5"/>
      <c r="Y5040" s="5" t="str">
        <f>IFERROR(__xludf.DUMMYFUNCTION("REGEXEXTRACT(J5040, ""^\d+"")"),"1")</f>
        <v>1</v>
      </c>
      <c r="Z5040" s="5" t="str">
        <f>IFERROR(__xludf.DUMMYFUNCTION("REGEXEXTRACT(J5040, ""[A-Za-z ]+$"")")," Season")</f>
        <v> Season</v>
      </c>
      <c r="AA5040" s="5" t="str">
        <f>IFERROR(__xludf.DUMMYFUNCTION("IF(REGEXMATCH(Z5040, ""Season""), ""TV Show"", ""Movie"")"),"TV Show")</f>
        <v>TV Show</v>
      </c>
    </row>
    <row r="5041">
      <c r="A5041" s="1" t="s">
        <v>26237</v>
      </c>
      <c r="B5041" s="1" t="s">
        <v>27</v>
      </c>
      <c r="C5041" s="1" t="s">
        <v>26238</v>
      </c>
      <c r="D5041" s="1" t="s">
        <v>3507</v>
      </c>
      <c r="E5041" s="1" t="s">
        <v>4794</v>
      </c>
      <c r="F5041" s="1" t="s">
        <v>30</v>
      </c>
      <c r="G5041" s="1" t="s">
        <v>26239</v>
      </c>
      <c r="H5041" s="1">
        <v>2018.0</v>
      </c>
      <c r="I5041" s="1" t="s">
        <v>42</v>
      </c>
      <c r="J5041" s="1" t="s">
        <v>2616</v>
      </c>
      <c r="K5041" s="1" t="s">
        <v>1839</v>
      </c>
      <c r="L5041" s="1" t="s">
        <v>26240</v>
      </c>
      <c r="M5041" s="2" t="s">
        <v>12</v>
      </c>
      <c r="N5041" s="4">
        <f t="shared" si="1"/>
        <v>43145</v>
      </c>
      <c r="O5041" s="5" t="str">
        <f>IFERROR(__xludf.DUMMYFUNCTION("IF(REGEXMATCH(TRIM(I5041), ""^\d+\s*min""), ""Unclassified"", IF(I5041 = """", ""NR"", I5041))"),"TV-MA")</f>
        <v>TV-MA</v>
      </c>
      <c r="R5041" s="5" t="str">
        <f t="shared" si="2"/>
        <v>Chris Rock: Tamborine</v>
      </c>
      <c r="S5041" s="5" t="str">
        <f>IFERROR(__xludf.DUMMYFUNCTION("""COMPUTED_VALUE"""),"Night On Earth")</f>
        <v>Night On Earth</v>
      </c>
      <c r="V5041" s="5"/>
      <c r="Y5041" s="5" t="str">
        <f>IFERROR(__xludf.DUMMYFUNCTION("REGEXEXTRACT(J5041, ""^\d+"")"),"65")</f>
        <v>65</v>
      </c>
      <c r="Z5041" s="5" t="str">
        <f>IFERROR(__xludf.DUMMYFUNCTION("REGEXEXTRACT(J5041, ""[A-Za-z ]+$"")")," min")</f>
        <v> min</v>
      </c>
      <c r="AA5041" s="5" t="str">
        <f>IFERROR(__xludf.DUMMYFUNCTION("IF(REGEXMATCH(Z5041, ""Season""), ""TV Show"", ""Movie"")"),"Movie")</f>
        <v>Movie</v>
      </c>
    </row>
    <row r="5042">
      <c r="A5042" s="1" t="s">
        <v>26241</v>
      </c>
      <c r="B5042" s="1" t="s">
        <v>27</v>
      </c>
      <c r="C5042" s="1" t="s">
        <v>26242</v>
      </c>
      <c r="D5042" s="1" t="s">
        <v>1711</v>
      </c>
      <c r="E5042" s="1" t="s">
        <v>26243</v>
      </c>
      <c r="F5042" s="1" t="s">
        <v>63</v>
      </c>
      <c r="G5042" s="1" t="s">
        <v>26239</v>
      </c>
      <c r="H5042" s="1">
        <v>2018.0</v>
      </c>
      <c r="I5042" s="1" t="s">
        <v>97</v>
      </c>
      <c r="J5042" s="1" t="s">
        <v>1428</v>
      </c>
      <c r="K5042" s="1" t="s">
        <v>215</v>
      </c>
      <c r="L5042" s="1" t="s">
        <v>26244</v>
      </c>
      <c r="M5042" s="2" t="s">
        <v>12</v>
      </c>
      <c r="N5042" s="4">
        <f t="shared" si="1"/>
        <v>43145</v>
      </c>
      <c r="O5042" s="5" t="str">
        <f>IFERROR(__xludf.DUMMYFUNCTION("IF(REGEXMATCH(TRIM(I5042), ""^\d+\s*min""), ""Unclassified"", IF(I5042 = """", ""NR"", I5042))"),"TV-14")</f>
        <v>TV-14</v>
      </c>
      <c r="R5042" s="5" t="str">
        <f t="shared" si="2"/>
        <v>Love Per Square Foot</v>
      </c>
      <c r="S5042" s="5" t="str">
        <f>IFERROR(__xludf.DUMMYFUNCTION("""COMPUTED_VALUE"""),"Night On Earth: Shot In The Dark")</f>
        <v>Night On Earth: Shot In The Dark</v>
      </c>
      <c r="V5042" s="5"/>
      <c r="Y5042" s="5" t="str">
        <f>IFERROR(__xludf.DUMMYFUNCTION("REGEXEXTRACT(J5042, ""^\d+"")"),"133")</f>
        <v>133</v>
      </c>
      <c r="Z5042" s="5" t="str">
        <f>IFERROR(__xludf.DUMMYFUNCTION("REGEXEXTRACT(J5042, ""[A-Za-z ]+$"")")," min")</f>
        <v> min</v>
      </c>
      <c r="AA5042" s="5" t="str">
        <f>IFERROR(__xludf.DUMMYFUNCTION("IF(REGEXMATCH(Z5042, ""Season""), ""TV Show"", ""Movie"")"),"Movie")</f>
        <v>Movie</v>
      </c>
    </row>
    <row r="5043">
      <c r="A5043" s="1" t="s">
        <v>26245</v>
      </c>
      <c r="B5043" s="1" t="s">
        <v>27</v>
      </c>
      <c r="C5043" s="1" t="s">
        <v>26246</v>
      </c>
      <c r="D5043" s="1" t="s">
        <v>19543</v>
      </c>
      <c r="E5043" s="1" t="s">
        <v>26247</v>
      </c>
      <c r="F5043" s="1" t="s">
        <v>30</v>
      </c>
      <c r="G5043" s="1" t="s">
        <v>26248</v>
      </c>
      <c r="H5043" s="1">
        <v>2018.0</v>
      </c>
      <c r="I5043" s="1" t="s">
        <v>97</v>
      </c>
      <c r="J5043" s="1" t="s">
        <v>322</v>
      </c>
      <c r="K5043" s="1" t="s">
        <v>34</v>
      </c>
      <c r="L5043" s="1" t="s">
        <v>26249</v>
      </c>
      <c r="M5043" s="2" t="s">
        <v>12</v>
      </c>
      <c r="N5043" s="4">
        <f t="shared" si="1"/>
        <v>43140</v>
      </c>
      <c r="O5043" s="5" t="str">
        <f>IFERROR(__xludf.DUMMYFUNCTION("IF(REGEXMATCH(TRIM(I5043), ""^\d+\s*min""), ""Unclassified"", IF(I5043 = """", ""NR"", I5043))"),"TV-14")</f>
        <v>TV-14</v>
      </c>
      <c r="R5043" s="5" t="str">
        <f t="shared" si="2"/>
        <v>Seeing Allred</v>
      </c>
      <c r="S5043" s="5" t="str">
        <f>IFERROR(__xludf.DUMMYFUNCTION("""COMPUTED_VALUE"""),"Night Stalker: The Hunt For A Serial Killer")</f>
        <v>Night Stalker: The Hunt For A Serial Killer</v>
      </c>
      <c r="V5043" s="5"/>
      <c r="Y5043" s="5" t="str">
        <f>IFERROR(__xludf.DUMMYFUNCTION("REGEXEXTRACT(J5043, ""^\d+"")"),"96")</f>
        <v>96</v>
      </c>
      <c r="Z5043" s="5" t="str">
        <f>IFERROR(__xludf.DUMMYFUNCTION("REGEXEXTRACT(J5043, ""[A-Za-z ]+$"")")," min")</f>
        <v> min</v>
      </c>
      <c r="AA5043" s="5" t="str">
        <f>IFERROR(__xludf.DUMMYFUNCTION("IF(REGEXMATCH(Z5043, ""Season""), ""TV Show"", ""Movie"")"),"Movie")</f>
        <v>Movie</v>
      </c>
    </row>
    <row r="5044">
      <c r="A5044" s="1" t="s">
        <v>26250</v>
      </c>
      <c r="B5044" s="1" t="s">
        <v>27</v>
      </c>
      <c r="C5044" s="1" t="s">
        <v>26251</v>
      </c>
      <c r="D5044" s="1" t="s">
        <v>5848</v>
      </c>
      <c r="E5044" s="1" t="s">
        <v>26252</v>
      </c>
      <c r="F5044" s="1" t="s">
        <v>17746</v>
      </c>
      <c r="G5044" s="1" t="s">
        <v>26248</v>
      </c>
      <c r="H5044" s="1">
        <v>2018.0</v>
      </c>
      <c r="I5044" s="1" t="s">
        <v>42</v>
      </c>
      <c r="J5044" s="1" t="s">
        <v>465</v>
      </c>
      <c r="K5044" s="1" t="s">
        <v>1592</v>
      </c>
      <c r="L5044" s="1" t="s">
        <v>26253</v>
      </c>
      <c r="M5044" s="2" t="s">
        <v>12</v>
      </c>
      <c r="N5044" s="4">
        <f t="shared" si="1"/>
        <v>43140</v>
      </c>
      <c r="O5044" s="5" t="str">
        <f>IFERROR(__xludf.DUMMYFUNCTION("IF(REGEXMATCH(TRIM(I5044), ""^\d+\s*min""), ""Unclassified"", IF(I5044 = """", ""NR"", I5044))"),"TV-MA")</f>
        <v>TV-MA</v>
      </c>
      <c r="R5044" s="5" t="str">
        <f t="shared" si="2"/>
        <v>The Ritual</v>
      </c>
      <c r="S5044" s="5" t="str">
        <f>IFERROR(__xludf.DUMMYFUNCTION("""COMPUTED_VALUE"""),"Nightbooks")</f>
        <v>Nightbooks</v>
      </c>
      <c r="V5044" s="5"/>
      <c r="Y5044" s="5" t="str">
        <f>IFERROR(__xludf.DUMMYFUNCTION("REGEXEXTRACT(J5044, ""^\d+"")"),"95")</f>
        <v>95</v>
      </c>
      <c r="Z5044" s="5" t="str">
        <f>IFERROR(__xludf.DUMMYFUNCTION("REGEXEXTRACT(J5044, ""[A-Za-z ]+$"")")," min")</f>
        <v> min</v>
      </c>
      <c r="AA5044" s="5" t="str">
        <f>IFERROR(__xludf.DUMMYFUNCTION("IF(REGEXMATCH(Z5044, ""Season""), ""TV Show"", ""Movie"")"),"Movie")</f>
        <v>Movie</v>
      </c>
    </row>
    <row r="5045">
      <c r="A5045" s="1" t="s">
        <v>26254</v>
      </c>
      <c r="B5045" s="1" t="s">
        <v>27</v>
      </c>
      <c r="C5045" s="1" t="s">
        <v>26255</v>
      </c>
      <c r="D5045" s="1" t="s">
        <v>22160</v>
      </c>
      <c r="F5045" s="1" t="s">
        <v>26256</v>
      </c>
      <c r="G5045" s="1" t="s">
        <v>26248</v>
      </c>
      <c r="H5045" s="1">
        <v>2018.0</v>
      </c>
      <c r="I5045" s="1" t="s">
        <v>136</v>
      </c>
      <c r="J5045" s="1" t="s">
        <v>7058</v>
      </c>
      <c r="K5045" s="1" t="s">
        <v>156</v>
      </c>
      <c r="L5045" s="1" t="s">
        <v>26257</v>
      </c>
      <c r="M5045" s="2" t="s">
        <v>12</v>
      </c>
      <c r="N5045" s="4">
        <f t="shared" si="1"/>
        <v>43140</v>
      </c>
      <c r="O5045" s="5" t="str">
        <f>IFERROR(__xludf.DUMMYFUNCTION("IF(REGEXMATCH(TRIM(I5045), ""^\d+\s*min""), ""Unclassified"", IF(I5045 = """", ""NR"", I5045))"),"TV-PG")</f>
        <v>TV-PG</v>
      </c>
      <c r="R5045" s="5" t="str">
        <f t="shared" si="2"/>
        <v>The Trader (Sovdagari)</v>
      </c>
      <c r="S5045" s="5" t="str">
        <f>IFERROR(__xludf.DUMMYFUNCTION("""COMPUTED_VALUE"""),"Nightcrawler")</f>
        <v>Nightcrawler</v>
      </c>
      <c r="V5045" s="5"/>
      <c r="Y5045" s="5" t="str">
        <f>IFERROR(__xludf.DUMMYFUNCTION("REGEXEXTRACT(J5045, ""^\d+"")"),"24")</f>
        <v>24</v>
      </c>
      <c r="Z5045" s="5" t="str">
        <f>IFERROR(__xludf.DUMMYFUNCTION("REGEXEXTRACT(J5045, ""[A-Za-z ]+$"")")," min")</f>
        <v> min</v>
      </c>
      <c r="AA5045" s="5" t="str">
        <f>IFERROR(__xludf.DUMMYFUNCTION("IF(REGEXMATCH(Z5045, ""Season""), ""TV Show"", ""Movie"")"),"Movie")</f>
        <v>Movie</v>
      </c>
    </row>
    <row r="5046">
      <c r="A5046" s="1" t="s">
        <v>26258</v>
      </c>
      <c r="B5046" s="1" t="s">
        <v>27</v>
      </c>
      <c r="C5046" s="1" t="s">
        <v>26259</v>
      </c>
      <c r="D5046" s="1" t="s">
        <v>2500</v>
      </c>
      <c r="E5046" s="1" t="s">
        <v>26260</v>
      </c>
      <c r="F5046" s="1" t="s">
        <v>30</v>
      </c>
      <c r="G5046" s="1" t="s">
        <v>26248</v>
      </c>
      <c r="H5046" s="1">
        <v>2018.0</v>
      </c>
      <c r="I5046" s="1" t="s">
        <v>97</v>
      </c>
      <c r="J5046" s="1" t="s">
        <v>247</v>
      </c>
      <c r="K5046" s="1" t="s">
        <v>813</v>
      </c>
      <c r="L5046" s="1" t="s">
        <v>26261</v>
      </c>
      <c r="M5046" s="2" t="s">
        <v>12</v>
      </c>
      <c r="N5046" s="4">
        <f t="shared" si="1"/>
        <v>43140</v>
      </c>
      <c r="O5046" s="5" t="str">
        <f>IFERROR(__xludf.DUMMYFUNCTION("IF(REGEXMATCH(TRIM(I5046), ""^\d+\s*min""), ""Unclassified"", IF(I5046 = """", ""NR"", I5046))"),"TV-14")</f>
        <v>TV-14</v>
      </c>
      <c r="R5046" s="5" t="str">
        <f t="shared" si="2"/>
        <v>When We First Met</v>
      </c>
      <c r="S5046" s="5" t="str">
        <f>IFERROR(__xludf.DUMMYFUNCTION("""COMPUTED_VALUE"""),"Nightflyers")</f>
        <v>Nightflyers</v>
      </c>
      <c r="V5046" s="5"/>
      <c r="Y5046" s="5" t="str">
        <f>IFERROR(__xludf.DUMMYFUNCTION("REGEXEXTRACT(J5046, ""^\d+"")"),"97")</f>
        <v>97</v>
      </c>
      <c r="Z5046" s="5" t="str">
        <f>IFERROR(__xludf.DUMMYFUNCTION("REGEXEXTRACT(J5046, ""[A-Za-z ]+$"")")," min")</f>
        <v> min</v>
      </c>
      <c r="AA5046" s="5" t="str">
        <f>IFERROR(__xludf.DUMMYFUNCTION("IF(REGEXMATCH(Z5046, ""Season""), ""TV Show"", ""Movie"")"),"Movie")</f>
        <v>Movie</v>
      </c>
    </row>
    <row r="5047">
      <c r="A5047" s="1" t="s">
        <v>26262</v>
      </c>
      <c r="B5047" s="1" t="s">
        <v>27</v>
      </c>
      <c r="C5047" s="1" t="s">
        <v>26263</v>
      </c>
      <c r="D5047" s="1" t="s">
        <v>13344</v>
      </c>
      <c r="E5047" s="1" t="s">
        <v>26264</v>
      </c>
      <c r="G5047" s="1" t="s">
        <v>26265</v>
      </c>
      <c r="H5047" s="1">
        <v>2018.0</v>
      </c>
      <c r="I5047" s="1" t="s">
        <v>136</v>
      </c>
      <c r="J5047" s="1" t="s">
        <v>2616</v>
      </c>
      <c r="K5047" s="1" t="s">
        <v>22754</v>
      </c>
      <c r="L5047" s="1" t="s">
        <v>26266</v>
      </c>
      <c r="M5047" s="2" t="s">
        <v>12</v>
      </c>
      <c r="N5047" s="4">
        <f t="shared" si="1"/>
        <v>43137</v>
      </c>
      <c r="O5047" s="5" t="str">
        <f>IFERROR(__xludf.DUMMYFUNCTION("IF(REGEXMATCH(TRIM(I5047), ""^\d+\s*min""), ""Unclassified"", IF(I5047 = """", ""NR"", I5047))"),"TV-PG")</f>
        <v>TV-PG</v>
      </c>
      <c r="R5047" s="5" t="str">
        <f t="shared" si="2"/>
        <v>Fred Armisen: Standup For Drummers</v>
      </c>
      <c r="S5047" s="5" t="str">
        <f>IFERROR(__xludf.DUMMYFUNCTION("""COMPUTED_VALUE"""),"Nightmare High")</f>
        <v>Nightmare High</v>
      </c>
      <c r="V5047" s="5"/>
      <c r="Y5047" s="5" t="str">
        <f>IFERROR(__xludf.DUMMYFUNCTION("REGEXEXTRACT(J5047, ""^\d+"")"),"65")</f>
        <v>65</v>
      </c>
      <c r="Z5047" s="5" t="str">
        <f>IFERROR(__xludf.DUMMYFUNCTION("REGEXEXTRACT(J5047, ""[A-Za-z ]+$"")")," min")</f>
        <v> min</v>
      </c>
      <c r="AA5047" s="5" t="str">
        <f>IFERROR(__xludf.DUMMYFUNCTION("IF(REGEXMATCH(Z5047, ""Season""), ""TV Show"", ""Movie"")"),"Movie")</f>
        <v>Movie</v>
      </c>
    </row>
    <row r="5048">
      <c r="A5048" s="1" t="s">
        <v>26267</v>
      </c>
      <c r="B5048" s="1" t="s">
        <v>37</v>
      </c>
      <c r="C5048" s="1" t="s">
        <v>26268</v>
      </c>
      <c r="E5048" s="1" t="s">
        <v>26269</v>
      </c>
      <c r="F5048" s="1" t="s">
        <v>30</v>
      </c>
      <c r="G5048" s="1" t="s">
        <v>26265</v>
      </c>
      <c r="H5048" s="1">
        <v>2017.0</v>
      </c>
      <c r="I5048" s="1" t="s">
        <v>97</v>
      </c>
      <c r="J5048" s="1" t="s">
        <v>51</v>
      </c>
      <c r="K5048" s="1" t="s">
        <v>9973</v>
      </c>
      <c r="L5048" s="1" t="s">
        <v>26270</v>
      </c>
      <c r="M5048" s="2" t="s">
        <v>12</v>
      </c>
      <c r="N5048" s="4">
        <f t="shared" si="1"/>
        <v>43137</v>
      </c>
      <c r="O5048" s="5" t="str">
        <f>IFERROR(__xludf.DUMMYFUNCTION("IF(REGEXMATCH(TRIM(I5048), ""^\d+\s*min""), ""Unclassified"", IF(I5048 = """", ""NR"", I5048))"),"TV-14")</f>
        <v>TV-14</v>
      </c>
      <c r="R5048" s="5" t="str">
        <f t="shared" si="2"/>
        <v>Valor</v>
      </c>
      <c r="S5048" s="5" t="str">
        <f>IFERROR(__xludf.DUMMYFUNCTION("""COMPUTED_VALUE"""),"Nightmare Tenants, Slum Landlords")</f>
        <v>Nightmare Tenants, Slum Landlords</v>
      </c>
      <c r="V5048" s="5"/>
      <c r="Y5048" s="5" t="str">
        <f>IFERROR(__xludf.DUMMYFUNCTION("REGEXEXTRACT(J5048, ""^\d+"")"),"1")</f>
        <v>1</v>
      </c>
      <c r="Z5048" s="5" t="str">
        <f>IFERROR(__xludf.DUMMYFUNCTION("REGEXEXTRACT(J5048, ""[A-Za-z ]+$"")")," Season")</f>
        <v> Season</v>
      </c>
      <c r="AA5048" s="5" t="str">
        <f>IFERROR(__xludf.DUMMYFUNCTION("IF(REGEXMATCH(Z5048, ""Season""), ""TV Show"", ""Movie"")"),"TV Show")</f>
        <v>TV Show</v>
      </c>
    </row>
    <row r="5049">
      <c r="A5049" s="1" t="s">
        <v>26271</v>
      </c>
      <c r="B5049" s="1" t="s">
        <v>27</v>
      </c>
      <c r="C5049" s="1" t="s">
        <v>26272</v>
      </c>
      <c r="D5049" s="1" t="s">
        <v>12152</v>
      </c>
      <c r="E5049" s="1" t="s">
        <v>26273</v>
      </c>
      <c r="F5049" s="1" t="s">
        <v>30</v>
      </c>
      <c r="G5049" s="1" t="s">
        <v>26274</v>
      </c>
      <c r="H5049" s="1">
        <v>2018.0</v>
      </c>
      <c r="I5049" s="1" t="s">
        <v>32</v>
      </c>
      <c r="J5049" s="1" t="s">
        <v>447</v>
      </c>
      <c r="K5049" s="1" t="s">
        <v>942</v>
      </c>
      <c r="L5049" s="1" t="s">
        <v>26275</v>
      </c>
      <c r="M5049" s="2" t="s">
        <v>12</v>
      </c>
      <c r="N5049" s="4">
        <f t="shared" si="1"/>
        <v>43136</v>
      </c>
      <c r="O5049" s="5" t="str">
        <f>IFERROR(__xludf.DUMMYFUNCTION("IF(REGEXMATCH(TRIM(I5049), ""^\d+\s*min""), ""Unclassified"", IF(I5049 = """", ""NR"", I5049))"),"PG-13")</f>
        <v>PG-13</v>
      </c>
      <c r="R5049" s="5" t="str">
        <f t="shared" si="2"/>
        <v>The Cloverfield Paradox</v>
      </c>
      <c r="S5049" s="5" t="str">
        <f>IFERROR(__xludf.DUMMYFUNCTION("""COMPUTED_VALUE"""),"Nights In Rodanthe")</f>
        <v>Nights In Rodanthe</v>
      </c>
      <c r="V5049" s="5"/>
      <c r="Y5049" s="5" t="str">
        <f>IFERROR(__xludf.DUMMYFUNCTION("REGEXEXTRACT(J5049, ""^\d+"")"),"102")</f>
        <v>102</v>
      </c>
      <c r="Z5049" s="5" t="str">
        <f>IFERROR(__xludf.DUMMYFUNCTION("REGEXEXTRACT(J5049, ""[A-Za-z ]+$"")")," min")</f>
        <v> min</v>
      </c>
      <c r="AA5049" s="5" t="str">
        <f>IFERROR(__xludf.DUMMYFUNCTION("IF(REGEXMATCH(Z5049, ""Season""), ""TV Show"", ""Movie"")"),"Movie")</f>
        <v>Movie</v>
      </c>
    </row>
    <row r="5050">
      <c r="A5050" s="1" t="s">
        <v>26276</v>
      </c>
      <c r="B5050" s="1" t="s">
        <v>37</v>
      </c>
      <c r="C5050" s="1" t="s">
        <v>26277</v>
      </c>
      <c r="E5050" s="1" t="s">
        <v>26278</v>
      </c>
      <c r="F5050" s="1" t="s">
        <v>30</v>
      </c>
      <c r="G5050" s="1" t="s">
        <v>26279</v>
      </c>
      <c r="H5050" s="1">
        <v>2018.0</v>
      </c>
      <c r="I5050" s="1" t="s">
        <v>42</v>
      </c>
      <c r="J5050" s="1" t="s">
        <v>51</v>
      </c>
      <c r="K5050" s="1" t="s">
        <v>57</v>
      </c>
      <c r="L5050" s="1" t="s">
        <v>26280</v>
      </c>
      <c r="M5050" s="2" t="s">
        <v>12</v>
      </c>
      <c r="N5050" s="4">
        <f t="shared" si="1"/>
        <v>43133</v>
      </c>
      <c r="O5050" s="5" t="str">
        <f>IFERROR(__xludf.DUMMYFUNCTION("IF(REGEXMATCH(TRIM(I5050), ""^\d+\s*min""), ""Unclassified"", IF(I5050 = """", ""NR"", I5050))"),"TV-MA")</f>
        <v>TV-MA</v>
      </c>
      <c r="R5050" s="5" t="str">
        <f t="shared" si="2"/>
        <v>Coach Snoop</v>
      </c>
      <c r="S5050" s="5" t="str">
        <f>IFERROR(__xludf.DUMMYFUNCTION("""COMPUTED_VALUE"""),"Nikki Glaser: Bangin’")</f>
        <v>Nikki Glaser: Bangin’</v>
      </c>
      <c r="V5050" s="5"/>
      <c r="Y5050" s="5" t="str">
        <f>IFERROR(__xludf.DUMMYFUNCTION("REGEXEXTRACT(J5050, ""^\d+"")"),"1")</f>
        <v>1</v>
      </c>
      <c r="Z5050" s="5" t="str">
        <f>IFERROR(__xludf.DUMMYFUNCTION("REGEXEXTRACT(J5050, ""[A-Za-z ]+$"")")," Season")</f>
        <v> Season</v>
      </c>
      <c r="AA5050" s="5" t="str">
        <f>IFERROR(__xludf.DUMMYFUNCTION("IF(REGEXMATCH(Z5050, ""Season""), ""TV Show"", ""Movie"")"),"TV Show")</f>
        <v>TV Show</v>
      </c>
    </row>
    <row r="5051">
      <c r="A5051" s="1" t="s">
        <v>26281</v>
      </c>
      <c r="B5051" s="1" t="s">
        <v>27</v>
      </c>
      <c r="C5051" s="1" t="s">
        <v>26282</v>
      </c>
      <c r="D5051" s="1" t="s">
        <v>13568</v>
      </c>
      <c r="E5051" s="1" t="s">
        <v>26283</v>
      </c>
      <c r="G5051" s="1" t="s">
        <v>26279</v>
      </c>
      <c r="H5051" s="1">
        <v>2018.0</v>
      </c>
      <c r="I5051" s="1" t="s">
        <v>42</v>
      </c>
      <c r="J5051" s="1" t="s">
        <v>8606</v>
      </c>
      <c r="K5051" s="1" t="s">
        <v>1839</v>
      </c>
      <c r="L5051" s="1" t="s">
        <v>26284</v>
      </c>
      <c r="M5051" s="2" t="s">
        <v>12</v>
      </c>
      <c r="N5051" s="4">
        <f t="shared" si="1"/>
        <v>43133</v>
      </c>
      <c r="O5051" s="5" t="str">
        <f>IFERROR(__xludf.DUMMYFUNCTION("IF(REGEXMATCH(TRIM(I5051), ""^\d+\s*min""), ""Unclassified"", IF(I5051 = """", ""NR"", I5051))"),"TV-MA")</f>
        <v>TV-MA</v>
      </c>
      <c r="R5051" s="5" t="str">
        <f t="shared" si="2"/>
        <v>Kavin Jay: Everybody Calm Down!</v>
      </c>
      <c r="S5051" s="5" t="str">
        <f>IFERROR(__xludf.DUMMYFUNCTION("""COMPUTED_VALUE"""),"Nila")</f>
        <v>Nila</v>
      </c>
      <c r="V5051" s="5"/>
      <c r="Y5051" s="5" t="str">
        <f>IFERROR(__xludf.DUMMYFUNCTION("REGEXEXTRACT(J5051, ""^\d+"")"),"53")</f>
        <v>53</v>
      </c>
      <c r="Z5051" s="5" t="str">
        <f>IFERROR(__xludf.DUMMYFUNCTION("REGEXEXTRACT(J5051, ""[A-Za-z ]+$"")")," min")</f>
        <v> min</v>
      </c>
      <c r="AA5051" s="5" t="str">
        <f>IFERROR(__xludf.DUMMYFUNCTION("IF(REGEXMATCH(Z5051, ""Season""), ""TV Show"", ""Movie"")"),"Movie")</f>
        <v>Movie</v>
      </c>
    </row>
    <row r="5052">
      <c r="A5052" s="1" t="s">
        <v>26285</v>
      </c>
      <c r="B5052" s="1" t="s">
        <v>27</v>
      </c>
      <c r="C5052" s="1" t="s">
        <v>26286</v>
      </c>
      <c r="D5052" s="1" t="s">
        <v>9592</v>
      </c>
      <c r="E5052" s="1" t="s">
        <v>26287</v>
      </c>
      <c r="F5052" s="1" t="s">
        <v>15518</v>
      </c>
      <c r="G5052" s="1" t="s">
        <v>26279</v>
      </c>
      <c r="H5052" s="1">
        <v>2017.0</v>
      </c>
      <c r="I5052" s="1" t="s">
        <v>42</v>
      </c>
      <c r="J5052" s="1" t="s">
        <v>349</v>
      </c>
      <c r="K5052" s="1" t="s">
        <v>679</v>
      </c>
      <c r="L5052" s="1" t="s">
        <v>26288</v>
      </c>
      <c r="M5052" s="2" t="s">
        <v>12</v>
      </c>
      <c r="N5052" s="4">
        <f t="shared" si="1"/>
        <v>43133</v>
      </c>
      <c r="O5052" s="5" t="str">
        <f>IFERROR(__xludf.DUMMYFUNCTION("IF(REGEXMATCH(TRIM(I5052), ""^\d+\s*min""), ""Unclassified"", IF(I5052 = """", ""NR"", I5052))"),"TV-MA")</f>
        <v>TV-MA</v>
      </c>
      <c r="R5052" s="5" t="str">
        <f t="shared" si="2"/>
        <v>On Body And Soul</v>
      </c>
      <c r="S5052" s="5" t="str">
        <f>IFERROR(__xludf.DUMMYFUNCTION("""COMPUTED_VALUE"""),"Nimbe")</f>
        <v>Nimbe</v>
      </c>
      <c r="V5052" s="5"/>
      <c r="Y5052" s="5" t="str">
        <f>IFERROR(__xludf.DUMMYFUNCTION("REGEXEXTRACT(J5052, ""^\d+"")"),"116")</f>
        <v>116</v>
      </c>
      <c r="Z5052" s="5" t="str">
        <f>IFERROR(__xludf.DUMMYFUNCTION("REGEXEXTRACT(J5052, ""[A-Za-z ]+$"")")," min")</f>
        <v> min</v>
      </c>
      <c r="AA5052" s="5" t="str">
        <f>IFERROR(__xludf.DUMMYFUNCTION("IF(REGEXMATCH(Z5052, ""Season""), ""TV Show"", ""Movie"")"),"Movie")</f>
        <v>Movie</v>
      </c>
    </row>
    <row r="5053">
      <c r="A5053" s="1" t="s">
        <v>26289</v>
      </c>
      <c r="B5053" s="1" t="s">
        <v>27</v>
      </c>
      <c r="C5053" s="1" t="s">
        <v>26290</v>
      </c>
      <c r="D5053" s="1" t="s">
        <v>23890</v>
      </c>
      <c r="E5053" s="1" t="s">
        <v>26291</v>
      </c>
      <c r="F5053" s="1" t="s">
        <v>749</v>
      </c>
      <c r="G5053" s="1" t="s">
        <v>26279</v>
      </c>
      <c r="H5053" s="1">
        <v>2017.0</v>
      </c>
      <c r="I5053" s="1" t="s">
        <v>97</v>
      </c>
      <c r="J5053" s="1" t="s">
        <v>447</v>
      </c>
      <c r="K5053" s="1" t="s">
        <v>583</v>
      </c>
      <c r="L5053" s="1" t="s">
        <v>26292</v>
      </c>
      <c r="M5053" s="2" t="s">
        <v>12</v>
      </c>
      <c r="N5053" s="4">
        <f t="shared" si="1"/>
        <v>43133</v>
      </c>
      <c r="O5053" s="5" t="str">
        <f>IFERROR(__xludf.DUMMYFUNCTION("IF(REGEXMATCH(TRIM(I5053), ""^\d+\s*min""), ""Unclassified"", IF(I5053 = """", ""NR"", I5053))"),"TV-14")</f>
        <v>TV-14</v>
      </c>
      <c r="R5053" s="5" t="str">
        <f t="shared" si="2"/>
        <v>The Bros</v>
      </c>
      <c r="S5053" s="5" t="str">
        <f>IFERROR(__xludf.DUMMYFUNCTION("""COMPUTED_VALUE"""),"Ninja Assassin")</f>
        <v>Ninja Assassin</v>
      </c>
      <c r="V5053" s="5"/>
      <c r="Y5053" s="5" t="str">
        <f>IFERROR(__xludf.DUMMYFUNCTION("REGEXEXTRACT(J5053, ""^\d+"")"),"102")</f>
        <v>102</v>
      </c>
      <c r="Z5053" s="5" t="str">
        <f>IFERROR(__xludf.DUMMYFUNCTION("REGEXEXTRACT(J5053, ""[A-Za-z ]+$"")")," min")</f>
        <v> min</v>
      </c>
      <c r="AA5053" s="5" t="str">
        <f>IFERROR(__xludf.DUMMYFUNCTION("IF(REGEXMATCH(Z5053, ""Season""), ""TV Show"", ""Movie"")"),"Movie")</f>
        <v>Movie</v>
      </c>
    </row>
    <row r="5054">
      <c r="A5054" s="1" t="s">
        <v>26293</v>
      </c>
      <c r="B5054" s="1" t="s">
        <v>27</v>
      </c>
      <c r="C5054" s="1" t="s">
        <v>26294</v>
      </c>
      <c r="F5054" s="1" t="s">
        <v>949</v>
      </c>
      <c r="G5054" s="1" t="s">
        <v>26295</v>
      </c>
      <c r="H5054" s="1">
        <v>2017.0</v>
      </c>
      <c r="I5054" s="1" t="s">
        <v>42</v>
      </c>
      <c r="J5054" s="1" t="s">
        <v>1144</v>
      </c>
      <c r="K5054" s="1" t="s">
        <v>34</v>
      </c>
      <c r="L5054" s="1" t="s">
        <v>26296</v>
      </c>
      <c r="M5054" s="2" t="s">
        <v>12</v>
      </c>
      <c r="N5054" s="4">
        <f t="shared" si="1"/>
        <v>43132</v>
      </c>
      <c r="O5054" s="5" t="str">
        <f>IFERROR(__xludf.DUMMYFUNCTION("IF(REGEXMATCH(TRIM(I5054), ""^\d+\s*min""), ""Unclassified"", IF(I5054 = """", ""NR"", I5054))"),"TV-MA")</f>
        <v>TV-MA</v>
      </c>
      <c r="R5054" s="5" t="str">
        <f t="shared" si="2"/>
        <v>Liberated: The New Sexual Revolution</v>
      </c>
      <c r="S5054" s="5" t="str">
        <f>IFERROR(__xludf.DUMMYFUNCTION("""COMPUTED_VALUE"""),"Ninja Hattori")</f>
        <v>Ninja Hattori</v>
      </c>
      <c r="V5054" s="5"/>
      <c r="Y5054" s="5" t="str">
        <f>IFERROR(__xludf.DUMMYFUNCTION("REGEXEXTRACT(J5054, ""^\d+"")"),"86")</f>
        <v>86</v>
      </c>
      <c r="Z5054" s="5" t="str">
        <f>IFERROR(__xludf.DUMMYFUNCTION("REGEXEXTRACT(J5054, ""[A-Za-z ]+$"")")," min")</f>
        <v> min</v>
      </c>
      <c r="AA5054" s="5" t="str">
        <f>IFERROR(__xludf.DUMMYFUNCTION("IF(REGEXMATCH(Z5054, ""Season""), ""TV Show"", ""Movie"")"),"Movie")</f>
        <v>Movie</v>
      </c>
    </row>
    <row r="5055">
      <c r="A5055" s="1" t="s">
        <v>26297</v>
      </c>
      <c r="B5055" s="1" t="s">
        <v>27</v>
      </c>
      <c r="C5055" s="1" t="s">
        <v>26298</v>
      </c>
      <c r="D5055" s="1" t="s">
        <v>1673</v>
      </c>
      <c r="E5055" s="1" t="s">
        <v>26299</v>
      </c>
      <c r="F5055" s="1" t="s">
        <v>30</v>
      </c>
      <c r="G5055" s="1" t="s">
        <v>26295</v>
      </c>
      <c r="H5055" s="1">
        <v>2017.0</v>
      </c>
      <c r="I5055" s="1" t="s">
        <v>42</v>
      </c>
      <c r="J5055" s="1" t="s">
        <v>743</v>
      </c>
      <c r="K5055" s="1" t="s">
        <v>1538</v>
      </c>
      <c r="L5055" s="1" t="s">
        <v>26300</v>
      </c>
      <c r="M5055" s="2" t="s">
        <v>12</v>
      </c>
      <c r="N5055" s="4">
        <f t="shared" si="1"/>
        <v>43132</v>
      </c>
      <c r="O5055" s="5" t="str">
        <f>IFERROR(__xludf.DUMMYFUNCTION("IF(REGEXMATCH(TRIM(I5055), ""^\d+\s*min""), ""Unclassified"", IF(I5055 = """", ""NR"", I5055))"),"TV-MA")</f>
        <v>TV-MA</v>
      </c>
      <c r="R5055" s="5" t="str">
        <f t="shared" si="2"/>
        <v>Newness</v>
      </c>
      <c r="S5055" s="5" t="str">
        <f>IFERROR(__xludf.DUMMYFUNCTION("""COMPUTED_VALUE"""),"Ninja Turtles: The Next Mutation")</f>
        <v>Ninja Turtles: The Next Mutation</v>
      </c>
      <c r="V5055" s="5"/>
      <c r="Y5055" s="5" t="str">
        <f>IFERROR(__xludf.DUMMYFUNCTION("REGEXEXTRACT(J5055, ""^\d+"")"),"117")</f>
        <v>117</v>
      </c>
      <c r="Z5055" s="5" t="str">
        <f>IFERROR(__xludf.DUMMYFUNCTION("REGEXEXTRACT(J5055, ""[A-Za-z ]+$"")")," min")</f>
        <v> min</v>
      </c>
      <c r="AA5055" s="5" t="str">
        <f>IFERROR(__xludf.DUMMYFUNCTION("IF(REGEXMATCH(Z5055, ""Season""), ""TV Show"", ""Movie"")"),"Movie")</f>
        <v>Movie</v>
      </c>
    </row>
    <row r="5056">
      <c r="A5056" s="1" t="s">
        <v>26301</v>
      </c>
      <c r="B5056" s="1" t="s">
        <v>37</v>
      </c>
      <c r="C5056" s="1" t="s">
        <v>26302</v>
      </c>
      <c r="D5056" s="1" t="s">
        <v>5404</v>
      </c>
      <c r="F5056" s="1" t="s">
        <v>30</v>
      </c>
      <c r="G5056" s="1" t="s">
        <v>26295</v>
      </c>
      <c r="H5056" s="1">
        <v>2016.0</v>
      </c>
      <c r="I5056" s="1" t="s">
        <v>42</v>
      </c>
      <c r="J5056" s="1" t="s">
        <v>3285</v>
      </c>
      <c r="K5056" s="1" t="s">
        <v>112</v>
      </c>
      <c r="L5056" s="1" t="s">
        <v>26303</v>
      </c>
      <c r="M5056" s="2" t="s">
        <v>12</v>
      </c>
      <c r="N5056" s="4">
        <f t="shared" si="1"/>
        <v>43132</v>
      </c>
      <c r="O5056" s="5" t="str">
        <f>IFERROR(__xludf.DUMMYFUNCTION("IF(REGEXMATCH(TRIM(I5056), ""^\d+\s*min""), ""Unclassified"", IF(I5056 = """", ""NR"", I5056))"),"TV-MA")</f>
        <v>TV-MA</v>
      </c>
      <c r="R5056" s="5" t="str">
        <f t="shared" si="2"/>
        <v>Under Arrest</v>
      </c>
      <c r="S5056" s="5" t="str">
        <f>IFERROR(__xludf.DUMMYFUNCTION("""COMPUTED_VALUE"""),"Ninokuni")</f>
        <v>Ninokuni</v>
      </c>
      <c r="V5056" s="5"/>
      <c r="Y5056" s="5" t="str">
        <f>IFERROR(__xludf.DUMMYFUNCTION("REGEXEXTRACT(J5056, ""^\d+"")"),"8")</f>
        <v>8</v>
      </c>
      <c r="Z5056" s="5" t="str">
        <f>IFERROR(__xludf.DUMMYFUNCTION("REGEXEXTRACT(J5056, ""[A-Za-z ]+$"")")," Seasons")</f>
        <v> Seasons</v>
      </c>
      <c r="AA5056" s="5" t="str">
        <f>IFERROR(__xludf.DUMMYFUNCTION("IF(REGEXMATCH(Z5056, ""Season""), ""TV Show"", ""Movie"")"),"TV Show")</f>
        <v>TV Show</v>
      </c>
    </row>
    <row r="5057">
      <c r="A5057" s="1" t="s">
        <v>26304</v>
      </c>
      <c r="B5057" s="1" t="s">
        <v>27</v>
      </c>
      <c r="C5057" s="1" t="s">
        <v>26305</v>
      </c>
      <c r="D5057" s="1" t="s">
        <v>20760</v>
      </c>
      <c r="E5057" s="1" t="s">
        <v>26306</v>
      </c>
      <c r="F5057" s="1" t="s">
        <v>2492</v>
      </c>
      <c r="G5057" s="1" t="s">
        <v>26307</v>
      </c>
      <c r="H5057" s="1">
        <v>2017.0</v>
      </c>
      <c r="I5057" s="1" t="s">
        <v>136</v>
      </c>
      <c r="J5057" s="1" t="s">
        <v>322</v>
      </c>
      <c r="K5057" s="1" t="s">
        <v>156</v>
      </c>
      <c r="L5057" s="1" t="s">
        <v>26308</v>
      </c>
      <c r="M5057" s="2" t="s">
        <v>12</v>
      </c>
      <c r="N5057" s="4">
        <f t="shared" si="1"/>
        <v>43131</v>
      </c>
      <c r="O5057" s="5" t="str">
        <f>IFERROR(__xludf.DUMMYFUNCTION("IF(REGEXMATCH(TRIM(I5057), ""^\d+\s*min""), ""Unclassified"", IF(I5057 = """", ""NR"", I5057))"),"TV-PG")</f>
        <v>TV-PG</v>
      </c>
      <c r="R5057" s="5" t="str">
        <f t="shared" si="2"/>
        <v>Expedition Happiness</v>
      </c>
      <c r="S5057" s="5" t="str">
        <f>IFERROR(__xludf.DUMMYFUNCTION("""COMPUTED_VALUE"""),"Nisman: The Prosecutor, The President, And The Spy")</f>
        <v>Nisman: The Prosecutor, The President, And The Spy</v>
      </c>
      <c r="V5057" s="5"/>
      <c r="Y5057" s="5" t="str">
        <f>IFERROR(__xludf.DUMMYFUNCTION("REGEXEXTRACT(J5057, ""^\d+"")"),"96")</f>
        <v>96</v>
      </c>
      <c r="Z5057" s="5" t="str">
        <f>IFERROR(__xludf.DUMMYFUNCTION("REGEXEXTRACT(J5057, ""[A-Za-z ]+$"")")," min")</f>
        <v> min</v>
      </c>
      <c r="AA5057" s="5" t="str">
        <f>IFERROR(__xludf.DUMMYFUNCTION("IF(REGEXMATCH(Z5057, ""Season""), ""TV Show"", ""Movie"")"),"Movie")</f>
        <v>Movie</v>
      </c>
    </row>
    <row r="5058">
      <c r="A5058" s="1" t="s">
        <v>26309</v>
      </c>
      <c r="B5058" s="1" t="s">
        <v>27</v>
      </c>
      <c r="C5058" s="1" t="s">
        <v>26310</v>
      </c>
      <c r="D5058" s="1" t="s">
        <v>15057</v>
      </c>
      <c r="E5058" s="1" t="s">
        <v>10861</v>
      </c>
      <c r="F5058" s="1" t="s">
        <v>30</v>
      </c>
      <c r="G5058" s="1" t="s">
        <v>26311</v>
      </c>
      <c r="H5058" s="1">
        <v>1998.0</v>
      </c>
      <c r="I5058" s="1" t="s">
        <v>97</v>
      </c>
      <c r="J5058" s="1" t="s">
        <v>1993</v>
      </c>
      <c r="K5058" s="1" t="s">
        <v>1839</v>
      </c>
      <c r="L5058" s="1" t="s">
        <v>26312</v>
      </c>
      <c r="M5058" s="2" t="s">
        <v>12</v>
      </c>
      <c r="N5058" s="4">
        <f t="shared" si="1"/>
        <v>43130</v>
      </c>
      <c r="O5058" s="5" t="str">
        <f>IFERROR(__xludf.DUMMYFUNCTION("IF(REGEXMATCH(TRIM(I5058), ""^\d+\s*min""), ""Unclassified"", IF(I5058 = """", ""NR"", I5058))"),"TV-14")</f>
        <v>TV-14</v>
      </c>
      <c r="R5058" s="5" t="str">
        <f t="shared" si="2"/>
        <v>Jerry Seinfeld: I'M Telling You For The Last Time</v>
      </c>
      <c r="S5058" s="5" t="str">
        <f>IFERROR(__xludf.DUMMYFUNCTION("""COMPUTED_VALUE"""),"Niyazi Gül Dörtnala")</f>
        <v>Niyazi Gül Dörtnala</v>
      </c>
      <c r="V5058" s="5"/>
      <c r="Y5058" s="5" t="str">
        <f>IFERROR(__xludf.DUMMYFUNCTION("REGEXEXTRACT(J5058, ""^\d+"")"),"69")</f>
        <v>69</v>
      </c>
      <c r="Z5058" s="5" t="str">
        <f>IFERROR(__xludf.DUMMYFUNCTION("REGEXEXTRACT(J5058, ""[A-Za-z ]+$"")")," min")</f>
        <v> min</v>
      </c>
      <c r="AA5058" s="5" t="str">
        <f>IFERROR(__xludf.DUMMYFUNCTION("IF(REGEXMATCH(Z5058, ""Season""), ""TV Show"", ""Movie"")"),"Movie")</f>
        <v>Movie</v>
      </c>
    </row>
    <row r="5059">
      <c r="A5059" s="1" t="s">
        <v>26313</v>
      </c>
      <c r="B5059" s="1" t="s">
        <v>37</v>
      </c>
      <c r="C5059" s="1" t="s">
        <v>26314</v>
      </c>
      <c r="E5059" s="1" t="s">
        <v>26315</v>
      </c>
      <c r="F5059" s="1" t="s">
        <v>96</v>
      </c>
      <c r="G5059" s="1" t="s">
        <v>26311</v>
      </c>
      <c r="H5059" s="1">
        <v>2016.0</v>
      </c>
      <c r="I5059" s="1" t="s">
        <v>42</v>
      </c>
      <c r="J5059" s="1" t="s">
        <v>51</v>
      </c>
      <c r="K5059" s="1" t="s">
        <v>3274</v>
      </c>
      <c r="L5059" s="1" t="s">
        <v>26316</v>
      </c>
      <c r="M5059" s="2" t="s">
        <v>12</v>
      </c>
      <c r="N5059" s="4">
        <f t="shared" si="1"/>
        <v>43130</v>
      </c>
      <c r="O5059" s="5" t="str">
        <f>IFERROR(__xludf.DUMMYFUNCTION("IF(REGEXMATCH(TRIM(I5059), ""^\d+\s*min""), ""Unclassified"", IF(I5059 = """", ""NR"", I5059))"),"TV-MA")</f>
        <v>TV-MA</v>
      </c>
      <c r="R5059" s="5" t="str">
        <f t="shared" si="2"/>
        <v>Retribution</v>
      </c>
      <c r="S5059" s="5" t="str">
        <f>IFERROR(__xludf.DUMMYFUNCTION("""COMPUTED_VALUE"""),"Njan Prakashan")</f>
        <v>Njan Prakashan</v>
      </c>
      <c r="V5059" s="5"/>
      <c r="Y5059" s="5" t="str">
        <f>IFERROR(__xludf.DUMMYFUNCTION("REGEXEXTRACT(J5059, ""^\d+"")"),"1")</f>
        <v>1</v>
      </c>
      <c r="Z5059" s="5" t="str">
        <f>IFERROR(__xludf.DUMMYFUNCTION("REGEXEXTRACT(J5059, ""[A-Za-z ]+$"")")," Season")</f>
        <v> Season</v>
      </c>
      <c r="AA5059" s="5" t="str">
        <f>IFERROR(__xludf.DUMMYFUNCTION("IF(REGEXMATCH(Z5059, ""Season""), ""TV Show"", ""Movie"")"),"TV Show")</f>
        <v>TV Show</v>
      </c>
    </row>
    <row r="5060">
      <c r="A5060" s="1" t="s">
        <v>26317</v>
      </c>
      <c r="B5060" s="1" t="s">
        <v>27</v>
      </c>
      <c r="C5060" s="1" t="s">
        <v>26318</v>
      </c>
      <c r="D5060" s="1" t="s">
        <v>10348</v>
      </c>
      <c r="E5060" s="1" t="s">
        <v>26319</v>
      </c>
      <c r="F5060" s="1" t="s">
        <v>784</v>
      </c>
      <c r="G5060" s="1" t="s">
        <v>26320</v>
      </c>
      <c r="H5060" s="1">
        <v>2017.0</v>
      </c>
      <c r="I5060" s="1" t="s">
        <v>42</v>
      </c>
      <c r="J5060" s="1" t="s">
        <v>912</v>
      </c>
      <c r="K5060" s="1" t="s">
        <v>26321</v>
      </c>
      <c r="L5060" s="1" t="s">
        <v>26322</v>
      </c>
      <c r="M5060" s="2" t="s">
        <v>12</v>
      </c>
      <c r="N5060" s="4">
        <f t="shared" si="1"/>
        <v>43129</v>
      </c>
      <c r="O5060" s="5" t="str">
        <f>IFERROR(__xludf.DUMMYFUNCTION("IF(REGEXMATCH(TRIM(I5060), ""^\d+\s*min""), ""Unclassified"", IF(I5060 = """", ""NR"", I5060))"),"TV-MA")</f>
        <v>TV-MA</v>
      </c>
      <c r="R5060" s="5" t="str">
        <f t="shared" si="2"/>
        <v>Holy Camp!</v>
      </c>
      <c r="S5060" s="5" t="str">
        <f>IFERROR(__xludf.DUMMYFUNCTION("""COMPUTED_VALUE"""),"Nneka The Pretty Serpent")</f>
        <v>Nneka The Pretty Serpent</v>
      </c>
      <c r="V5060" s="5"/>
      <c r="Y5060" s="5" t="str">
        <f>IFERROR(__xludf.DUMMYFUNCTION("REGEXEXTRACT(J5060, ""^\d+"")"),"108")</f>
        <v>108</v>
      </c>
      <c r="Z5060" s="5" t="str">
        <f>IFERROR(__xludf.DUMMYFUNCTION("REGEXEXTRACT(J5060, ""[A-Za-z ]+$"")")," min")</f>
        <v> min</v>
      </c>
      <c r="AA5060" s="5" t="str">
        <f>IFERROR(__xludf.DUMMYFUNCTION("IF(REGEXMATCH(Z5060, ""Season""), ""TV Show"", ""Movie"")"),"Movie")</f>
        <v>Movie</v>
      </c>
    </row>
    <row r="5061">
      <c r="A5061" s="1" t="s">
        <v>26323</v>
      </c>
      <c r="B5061" s="1" t="s">
        <v>27</v>
      </c>
      <c r="C5061" s="1" t="s">
        <v>26324</v>
      </c>
      <c r="D5061" s="1" t="s">
        <v>6186</v>
      </c>
      <c r="E5061" s="1" t="s">
        <v>26325</v>
      </c>
      <c r="F5061" s="1" t="s">
        <v>30</v>
      </c>
      <c r="G5061" s="1" t="s">
        <v>26326</v>
      </c>
      <c r="H5061" s="1">
        <v>2018.0</v>
      </c>
      <c r="I5061" s="1" t="s">
        <v>42</v>
      </c>
      <c r="J5061" s="1" t="s">
        <v>447</v>
      </c>
      <c r="K5061" s="1" t="s">
        <v>239</v>
      </c>
      <c r="L5061" s="1" t="s">
        <v>26327</v>
      </c>
      <c r="M5061" s="2" t="s">
        <v>12</v>
      </c>
      <c r="N5061" s="4">
        <f t="shared" si="1"/>
        <v>43126</v>
      </c>
      <c r="O5061" s="5" t="str">
        <f>IFERROR(__xludf.DUMMYFUNCTION("IF(REGEXMATCH(TRIM(I5061), ""^\d+\s*min""), ""Unclassified"", IF(I5061 = """", ""NR"", I5061))"),"TV-MA")</f>
        <v>TV-MA</v>
      </c>
      <c r="R5061" s="5" t="str">
        <f t="shared" si="2"/>
        <v>A Futile And Stupid Gesture</v>
      </c>
      <c r="S5061" s="5" t="str">
        <f>IFERROR(__xludf.DUMMYFUNCTION("""COMPUTED_VALUE"""),"No Direction Home: Bob Dylan")</f>
        <v>No Direction Home: Bob Dylan</v>
      </c>
      <c r="V5061" s="5"/>
      <c r="Y5061" s="5" t="str">
        <f>IFERROR(__xludf.DUMMYFUNCTION("REGEXEXTRACT(J5061, ""^\d+"")"),"102")</f>
        <v>102</v>
      </c>
      <c r="Z5061" s="5" t="str">
        <f>IFERROR(__xludf.DUMMYFUNCTION("REGEXEXTRACT(J5061, ""[A-Za-z ]+$"")")," min")</f>
        <v> min</v>
      </c>
      <c r="AA5061" s="5" t="str">
        <f>IFERROR(__xludf.DUMMYFUNCTION("IF(REGEXMATCH(Z5061, ""Season""), ""TV Show"", ""Movie"")"),"Movie")</f>
        <v>Movie</v>
      </c>
    </row>
    <row r="5062">
      <c r="A5062" s="1" t="s">
        <v>26328</v>
      </c>
      <c r="B5062" s="1" t="s">
        <v>27</v>
      </c>
      <c r="C5062" s="1" t="s">
        <v>26329</v>
      </c>
      <c r="D5062" s="1" t="s">
        <v>13568</v>
      </c>
      <c r="E5062" s="1" t="s">
        <v>26330</v>
      </c>
      <c r="F5062" s="1" t="s">
        <v>9219</v>
      </c>
      <c r="G5062" s="1" t="s">
        <v>26326</v>
      </c>
      <c r="H5062" s="1">
        <v>2018.0</v>
      </c>
      <c r="I5062" s="1" t="s">
        <v>42</v>
      </c>
      <c r="J5062" s="1" t="s">
        <v>207</v>
      </c>
      <c r="K5062" s="1" t="s">
        <v>1839</v>
      </c>
      <c r="L5062" s="1" t="s">
        <v>26331</v>
      </c>
      <c r="M5062" s="2" t="s">
        <v>12</v>
      </c>
      <c r="N5062" s="4">
        <f t="shared" si="1"/>
        <v>43126</v>
      </c>
      <c r="O5062" s="5" t="str">
        <f>IFERROR(__xludf.DUMMYFUNCTION("IF(REGEXMATCH(TRIM(I5062), ""^\d+\s*min""), ""Unclassified"", IF(I5062 = """", ""NR"", I5062))"),"TV-MA")</f>
        <v>TV-MA</v>
      </c>
      <c r="R5062" s="5" t="str">
        <f t="shared" si="2"/>
        <v>Fakkah Fuzz: Almost Banned</v>
      </c>
      <c r="S5062" s="5" t="str">
        <f>IFERROR(__xludf.DUMMYFUNCTION("""COMPUTED_VALUE"""),"No Entry")</f>
        <v>No Entry</v>
      </c>
      <c r="V5062" s="5"/>
      <c r="Y5062" s="5" t="str">
        <f>IFERROR(__xludf.DUMMYFUNCTION("REGEXEXTRACT(J5062, ""^\d+"")"),"61")</f>
        <v>61</v>
      </c>
      <c r="Z5062" s="5" t="str">
        <f>IFERROR(__xludf.DUMMYFUNCTION("REGEXEXTRACT(J5062, ""[A-Za-z ]+$"")")," min")</f>
        <v> min</v>
      </c>
      <c r="AA5062" s="5" t="str">
        <f>IFERROR(__xludf.DUMMYFUNCTION("IF(REGEXMATCH(Z5062, ""Season""), ""TV Show"", ""Movie"")"),"Movie")</f>
        <v>Movie</v>
      </c>
    </row>
    <row r="5063">
      <c r="A5063" s="1" t="s">
        <v>26332</v>
      </c>
      <c r="B5063" s="1" t="s">
        <v>27</v>
      </c>
      <c r="C5063" s="1" t="s">
        <v>26333</v>
      </c>
      <c r="E5063" s="1" t="s">
        <v>26334</v>
      </c>
      <c r="F5063" s="1" t="s">
        <v>162</v>
      </c>
      <c r="G5063" s="1" t="s">
        <v>26326</v>
      </c>
      <c r="H5063" s="1">
        <v>2018.0</v>
      </c>
      <c r="I5063" s="1" t="s">
        <v>42</v>
      </c>
      <c r="J5063" s="1" t="s">
        <v>8832</v>
      </c>
      <c r="K5063" s="1" t="s">
        <v>1839</v>
      </c>
      <c r="L5063" s="1" t="s">
        <v>26335</v>
      </c>
      <c r="M5063" s="2" t="s">
        <v>12</v>
      </c>
      <c r="N5063" s="4">
        <f t="shared" si="1"/>
        <v>43126</v>
      </c>
      <c r="O5063" s="5" t="str">
        <f>IFERROR(__xludf.DUMMYFUNCTION("IF(REGEXMATCH(TRIM(I5063), ""^\d+\s*min""), ""Unclassified"", IF(I5063 = """", ""NR"", I5063))"),"TV-MA")</f>
        <v>TV-MA</v>
      </c>
      <c r="R5063" s="5" t="str">
        <f t="shared" si="2"/>
        <v>Mau Nieto: Viviendo Sobrio… Desde El Bar</v>
      </c>
      <c r="S5063" s="5" t="str">
        <f>IFERROR(__xludf.DUMMYFUNCTION("""COMPUTED_VALUE"""),"No Escape")</f>
        <v>No Escape</v>
      </c>
      <c r="V5063" s="5"/>
      <c r="Y5063" s="5" t="str">
        <f>IFERROR(__xludf.DUMMYFUNCTION("REGEXEXTRACT(J5063, ""^\d+"")"),"57")</f>
        <v>57</v>
      </c>
      <c r="Z5063" s="5" t="str">
        <f>IFERROR(__xludf.DUMMYFUNCTION("REGEXEXTRACT(J5063, ""[A-Za-z ]+$"")")," min")</f>
        <v> min</v>
      </c>
      <c r="AA5063" s="5" t="str">
        <f>IFERROR(__xludf.DUMMYFUNCTION("IF(REGEXMATCH(Z5063, ""Season""), ""TV Show"", ""Movie"")"),"Movie")</f>
        <v>Movie</v>
      </c>
    </row>
    <row r="5064">
      <c r="A5064" s="1" t="s">
        <v>26336</v>
      </c>
      <c r="B5064" s="1" t="s">
        <v>27</v>
      </c>
      <c r="C5064" s="1" t="s">
        <v>26337</v>
      </c>
      <c r="D5064" s="1" t="s">
        <v>18885</v>
      </c>
      <c r="E5064" s="1" t="s">
        <v>26337</v>
      </c>
      <c r="F5064" s="1" t="s">
        <v>1815</v>
      </c>
      <c r="G5064" s="1" t="s">
        <v>26326</v>
      </c>
      <c r="H5064" s="1">
        <v>2018.0</v>
      </c>
      <c r="I5064" s="1" t="s">
        <v>42</v>
      </c>
      <c r="J5064" s="1" t="s">
        <v>4677</v>
      </c>
      <c r="K5064" s="1" t="s">
        <v>1839</v>
      </c>
      <c r="L5064" s="1" t="s">
        <v>26338</v>
      </c>
      <c r="M5064" s="2" t="s">
        <v>12</v>
      </c>
      <c r="N5064" s="4">
        <f t="shared" si="1"/>
        <v>43126</v>
      </c>
      <c r="O5064" s="5" t="str">
        <f>IFERROR(__xludf.DUMMYFUNCTION("IF(REGEXMATCH(TRIM(I5064), ""^\d+\s*min""), ""Unclassified"", IF(I5064 = """", ""NR"", I5064))"),"TV-MA")</f>
        <v>TV-MA</v>
      </c>
      <c r="R5064" s="5" t="str">
        <f t="shared" si="2"/>
        <v>Sebastián Marcelo Wainraich</v>
      </c>
      <c r="S5064" s="5" t="str">
        <f>IFERROR(__xludf.DUMMYFUNCTION("""COMPUTED_VALUE"""),"No Escape Room")</f>
        <v>No Escape Room</v>
      </c>
      <c r="V5064" s="5"/>
      <c r="Y5064" s="5" t="str">
        <f>IFERROR(__xludf.DUMMYFUNCTION("REGEXEXTRACT(J5064, ""^\d+"")"),"49")</f>
        <v>49</v>
      </c>
      <c r="Z5064" s="5" t="str">
        <f>IFERROR(__xludf.DUMMYFUNCTION("REGEXEXTRACT(J5064, ""[A-Za-z ]+$"")")," min")</f>
        <v> min</v>
      </c>
      <c r="AA5064" s="5" t="str">
        <f>IFERROR(__xludf.DUMMYFUNCTION("IF(REGEXMATCH(Z5064, ""Season""), ""TV Show"", ""Movie"")"),"Movie")</f>
        <v>Movie</v>
      </c>
    </row>
    <row r="5065">
      <c r="A5065" s="1" t="s">
        <v>26339</v>
      </c>
      <c r="B5065" s="1" t="s">
        <v>37</v>
      </c>
      <c r="C5065" s="1" t="s">
        <v>26340</v>
      </c>
      <c r="E5065" s="1" t="s">
        <v>26341</v>
      </c>
      <c r="F5065" s="1" t="s">
        <v>30</v>
      </c>
      <c r="G5065" s="1" t="s">
        <v>26326</v>
      </c>
      <c r="H5065" s="1">
        <v>2018.0</v>
      </c>
      <c r="I5065" s="1" t="s">
        <v>289</v>
      </c>
      <c r="J5065" s="1" t="s">
        <v>439</v>
      </c>
      <c r="K5065" s="1" t="s">
        <v>314</v>
      </c>
      <c r="L5065" s="1" t="s">
        <v>26342</v>
      </c>
      <c r="M5065" s="2" t="s">
        <v>12</v>
      </c>
      <c r="N5065" s="4">
        <f t="shared" si="1"/>
        <v>43126</v>
      </c>
      <c r="O5065" s="5" t="str">
        <f>IFERROR(__xludf.DUMMYFUNCTION("IF(REGEXMATCH(TRIM(I5065), ""^\d+\s*min""), ""Unclassified"", IF(I5065 = """", ""NR"", I5065))"),"TV-Y7")</f>
        <v>TV-Y7</v>
      </c>
      <c r="R5065" s="5" t="str">
        <f t="shared" si="2"/>
        <v>The Adventures Of Puss In Boots</v>
      </c>
      <c r="S5065" s="5" t="str">
        <f>IFERROR(__xludf.DUMMYFUNCTION("""COMPUTED_VALUE"""),"No Estoy Loca")</f>
        <v>No Estoy Loca</v>
      </c>
      <c r="V5065" s="5"/>
      <c r="Y5065" s="5" t="str">
        <f>IFERROR(__xludf.DUMMYFUNCTION("REGEXEXTRACT(J5065, ""^\d+"")"),"6")</f>
        <v>6</v>
      </c>
      <c r="Z5065" s="5" t="str">
        <f>IFERROR(__xludf.DUMMYFUNCTION("REGEXEXTRACT(J5065, ""[A-Za-z ]+$"")")," Seasons")</f>
        <v> Seasons</v>
      </c>
      <c r="AA5065" s="5" t="str">
        <f>IFERROR(__xludf.DUMMYFUNCTION("IF(REGEXMATCH(Z5065, ""Season""), ""TV Show"", ""Movie"")"),"TV Show")</f>
        <v>TV Show</v>
      </c>
    </row>
    <row r="5066">
      <c r="A5066" s="1" t="s">
        <v>26343</v>
      </c>
      <c r="B5066" s="1" t="s">
        <v>27</v>
      </c>
      <c r="C5066" s="1" t="s">
        <v>26344</v>
      </c>
      <c r="D5066" s="1" t="s">
        <v>9666</v>
      </c>
      <c r="E5066" s="1" t="s">
        <v>26345</v>
      </c>
      <c r="F5066" s="1" t="s">
        <v>2143</v>
      </c>
      <c r="G5066" s="1" t="s">
        <v>26346</v>
      </c>
      <c r="H5066" s="1">
        <v>2017.0</v>
      </c>
      <c r="I5066" s="1" t="s">
        <v>378</v>
      </c>
      <c r="J5066" s="1" t="s">
        <v>630</v>
      </c>
      <c r="K5066" s="1" t="s">
        <v>1066</v>
      </c>
      <c r="L5066" s="1" t="s">
        <v>26347</v>
      </c>
      <c r="M5066" s="2" t="s">
        <v>12</v>
      </c>
      <c r="N5066" s="4">
        <f t="shared" si="1"/>
        <v>43125</v>
      </c>
      <c r="O5066" s="5" t="str">
        <f>IFERROR(__xludf.DUMMYFUNCTION("IF(REGEXMATCH(TRIM(I5066), ""^\d+\s*min""), ""Unclassified"", IF(I5066 = """", ""NR"", I5066))"),"R")</f>
        <v>R</v>
      </c>
      <c r="R5066" s="5" t="str">
        <f t="shared" si="2"/>
        <v>Acts Of Vengeance</v>
      </c>
      <c r="S5066" s="5" t="str">
        <f>IFERROR(__xludf.DUMMYFUNCTION("""COMPUTED_VALUE"""),"No Game No Life")</f>
        <v>No Game No Life</v>
      </c>
      <c r="V5066" s="5"/>
      <c r="Y5066" s="5" t="str">
        <f>IFERROR(__xludf.DUMMYFUNCTION("REGEXEXTRACT(J5066, ""^\d+"")"),"87")</f>
        <v>87</v>
      </c>
      <c r="Z5066" s="5" t="str">
        <f>IFERROR(__xludf.DUMMYFUNCTION("REGEXEXTRACT(J5066, ""[A-Za-z ]+$"")")," min")</f>
        <v> min</v>
      </c>
      <c r="AA5066" s="5" t="str">
        <f>IFERROR(__xludf.DUMMYFUNCTION("IF(REGEXMATCH(Z5066, ""Season""), ""TV Show"", ""Movie"")"),"Movie")</f>
        <v>Movie</v>
      </c>
    </row>
    <row r="5067">
      <c r="A5067" s="1" t="s">
        <v>26348</v>
      </c>
      <c r="B5067" s="1" t="s">
        <v>37</v>
      </c>
      <c r="C5067" s="1" t="s">
        <v>26349</v>
      </c>
      <c r="E5067" s="1" t="s">
        <v>26350</v>
      </c>
      <c r="F5067" s="1" t="s">
        <v>749</v>
      </c>
      <c r="G5067" s="1" t="s">
        <v>26351</v>
      </c>
      <c r="H5067" s="1">
        <v>2017.0</v>
      </c>
      <c r="I5067" s="1" t="s">
        <v>42</v>
      </c>
      <c r="J5067" s="1" t="s">
        <v>51</v>
      </c>
      <c r="K5067" s="1" t="s">
        <v>4219</v>
      </c>
      <c r="L5067" s="1" t="s">
        <v>26352</v>
      </c>
      <c r="M5067" s="2" t="s">
        <v>12</v>
      </c>
      <c r="N5067" s="4">
        <f t="shared" si="1"/>
        <v>43124</v>
      </c>
      <c r="O5067" s="5" t="str">
        <f>IFERROR(__xludf.DUMMYFUNCTION("IF(REGEXMATCH(TRIM(I5067), ""^\d+\s*min""), ""Unclassified"", IF(I5067 = """", ""NR"", I5067))"),"TV-MA")</f>
        <v>TV-MA</v>
      </c>
      <c r="R5067" s="5" t="str">
        <f t="shared" si="2"/>
        <v>Prison Playbook</v>
      </c>
      <c r="S5067" s="5" t="str">
        <f>IFERROR(__xludf.DUMMYFUNCTION("""COMPUTED_VALUE"""),"No Game No Life: Zero")</f>
        <v>No Game No Life: Zero</v>
      </c>
      <c r="V5067" s="5"/>
      <c r="Y5067" s="5" t="str">
        <f>IFERROR(__xludf.DUMMYFUNCTION("REGEXEXTRACT(J5067, ""^\d+"")"),"1")</f>
        <v>1</v>
      </c>
      <c r="Z5067" s="5" t="str">
        <f>IFERROR(__xludf.DUMMYFUNCTION("REGEXEXTRACT(J5067, ""[A-Za-z ]+$"")")," Season")</f>
        <v> Season</v>
      </c>
      <c r="AA5067" s="5" t="str">
        <f>IFERROR(__xludf.DUMMYFUNCTION("IF(REGEXMATCH(Z5067, ""Season""), ""TV Show"", ""Movie"")"),"TV Show")</f>
        <v>TV Show</v>
      </c>
    </row>
    <row r="5068">
      <c r="A5068" s="1" t="s">
        <v>26353</v>
      </c>
      <c r="B5068" s="1" t="s">
        <v>27</v>
      </c>
      <c r="C5068" s="1" t="s">
        <v>26354</v>
      </c>
      <c r="D5068" s="1" t="s">
        <v>18885</v>
      </c>
      <c r="E5068" s="1" t="s">
        <v>21332</v>
      </c>
      <c r="F5068" s="1" t="s">
        <v>1837</v>
      </c>
      <c r="G5068" s="1" t="s">
        <v>26351</v>
      </c>
      <c r="H5068" s="1">
        <v>2018.0</v>
      </c>
      <c r="I5068" s="1" t="s">
        <v>42</v>
      </c>
      <c r="J5068" s="1" t="s">
        <v>1847</v>
      </c>
      <c r="K5068" s="1" t="s">
        <v>1839</v>
      </c>
      <c r="L5068" s="1" t="s">
        <v>26355</v>
      </c>
      <c r="M5068" s="2" t="s">
        <v>12</v>
      </c>
      <c r="N5068" s="4">
        <f t="shared" si="1"/>
        <v>43124</v>
      </c>
      <c r="O5068" s="5" t="str">
        <f>IFERROR(__xludf.DUMMYFUNCTION("IF(REGEXMATCH(TRIM(I5068), ""^\d+\s*min""), ""Unclassified"", IF(I5068 = """", ""NR"", I5068))"),"TV-MA")</f>
        <v>TV-MA</v>
      </c>
      <c r="R5068" s="5" t="str">
        <f t="shared" si="2"/>
        <v>Ricardo Quevedo: Hay Gente Así</v>
      </c>
      <c r="S5068" s="5" t="str">
        <f>IFERROR(__xludf.DUMMYFUNCTION("""COMPUTED_VALUE"""),"No Good Nick")</f>
        <v>No Good Nick</v>
      </c>
      <c r="V5068" s="5"/>
      <c r="Y5068" s="5" t="str">
        <f>IFERROR(__xludf.DUMMYFUNCTION("REGEXEXTRACT(J5068, ""^\d+"")"),"59")</f>
        <v>59</v>
      </c>
      <c r="Z5068" s="5" t="str">
        <f>IFERROR(__xludf.DUMMYFUNCTION("REGEXEXTRACT(J5068, ""[A-Za-z ]+$"")")," min")</f>
        <v> min</v>
      </c>
      <c r="AA5068" s="5" t="str">
        <f>IFERROR(__xludf.DUMMYFUNCTION("IF(REGEXMATCH(Z5068, ""Season""), ""TV Show"", ""Movie"")"),"Movie")</f>
        <v>Movie</v>
      </c>
    </row>
    <row r="5069">
      <c r="A5069" s="1" t="s">
        <v>26356</v>
      </c>
      <c r="B5069" s="1" t="s">
        <v>27</v>
      </c>
      <c r="C5069" s="1" t="s">
        <v>26357</v>
      </c>
      <c r="D5069" s="1" t="s">
        <v>20624</v>
      </c>
      <c r="E5069" s="1" t="s">
        <v>22762</v>
      </c>
      <c r="F5069" s="1" t="s">
        <v>30</v>
      </c>
      <c r="G5069" s="1" t="s">
        <v>26358</v>
      </c>
      <c r="H5069" s="1">
        <v>2018.0</v>
      </c>
      <c r="I5069" s="1" t="s">
        <v>42</v>
      </c>
      <c r="J5069" s="1" t="s">
        <v>919</v>
      </c>
      <c r="K5069" s="1" t="s">
        <v>1839</v>
      </c>
      <c r="L5069" s="1" t="s">
        <v>26359</v>
      </c>
      <c r="M5069" s="2" t="s">
        <v>12</v>
      </c>
      <c r="N5069" s="4">
        <f t="shared" si="1"/>
        <v>43123</v>
      </c>
      <c r="O5069" s="5" t="str">
        <f>IFERROR(__xludf.DUMMYFUNCTION("IF(REGEXMATCH(TRIM(I5069), ""^\d+\s*min""), ""Unclassified"", IF(I5069 = """", ""NR"", I5069))"),"TV-MA")</f>
        <v>TV-MA</v>
      </c>
      <c r="R5069" s="5" t="str">
        <f t="shared" si="2"/>
        <v>Todd Glass: Act Happy</v>
      </c>
      <c r="S5069" s="5" t="str">
        <f>IFERROR(__xludf.DUMMYFUNCTION("""COMPUTED_VALUE"""),"No Longer Kids")</f>
        <v>No Longer Kids</v>
      </c>
      <c r="V5069" s="5"/>
      <c r="Y5069" s="5" t="str">
        <f>IFERROR(__xludf.DUMMYFUNCTION("REGEXEXTRACT(J5069, ""^\d+"")"),"63")</f>
        <v>63</v>
      </c>
      <c r="Z5069" s="5" t="str">
        <f>IFERROR(__xludf.DUMMYFUNCTION("REGEXEXTRACT(J5069, ""[A-Za-z ]+$"")")," min")</f>
        <v> min</v>
      </c>
      <c r="AA5069" s="5" t="str">
        <f>IFERROR(__xludf.DUMMYFUNCTION("IF(REGEXMATCH(Z5069, ""Season""), ""TV Show"", ""Movie"")"),"Movie")</f>
        <v>Movie</v>
      </c>
    </row>
    <row r="5070">
      <c r="A5070" s="1" t="s">
        <v>26360</v>
      </c>
      <c r="B5070" s="1" t="s">
        <v>27</v>
      </c>
      <c r="C5070" s="1" t="s">
        <v>26361</v>
      </c>
      <c r="D5070" s="1" t="s">
        <v>20417</v>
      </c>
      <c r="G5070" s="1" t="s">
        <v>26362</v>
      </c>
      <c r="H5070" s="1">
        <v>2017.0</v>
      </c>
      <c r="I5070" s="1" t="s">
        <v>42</v>
      </c>
      <c r="J5070" s="1" t="s">
        <v>1993</v>
      </c>
      <c r="K5070" s="1" t="s">
        <v>156</v>
      </c>
      <c r="L5070" s="1" t="s">
        <v>26363</v>
      </c>
      <c r="M5070" s="2" t="s">
        <v>12</v>
      </c>
      <c r="N5070" s="4">
        <f t="shared" si="1"/>
        <v>43122</v>
      </c>
      <c r="O5070" s="5" t="str">
        <f>IFERROR(__xludf.DUMMYFUNCTION("IF(REGEXMATCH(TRIM(I5070), ""^\d+\s*min""), ""Unclassified"", IF(I5070 = """", ""NR"", I5070))"),"TV-MA")</f>
        <v>TV-MA</v>
      </c>
      <c r="R5070" s="5" t="str">
        <f t="shared" si="2"/>
        <v>Countdown To Death: Pablo Escobar</v>
      </c>
      <c r="S5070" s="5" t="str">
        <f>IFERROR(__xludf.DUMMYFUNCTION("""COMPUTED_VALUE"""),"No One Killed Jessica")</f>
        <v>No One Killed Jessica</v>
      </c>
      <c r="V5070" s="5"/>
      <c r="Y5070" s="5" t="str">
        <f>IFERROR(__xludf.DUMMYFUNCTION("REGEXEXTRACT(J5070, ""^\d+"")"),"69")</f>
        <v>69</v>
      </c>
      <c r="Z5070" s="5" t="str">
        <f>IFERROR(__xludf.DUMMYFUNCTION("REGEXEXTRACT(J5070, ""[A-Za-z ]+$"")")," min")</f>
        <v> min</v>
      </c>
      <c r="AA5070" s="5" t="str">
        <f>IFERROR(__xludf.DUMMYFUNCTION("IF(REGEXMATCH(Z5070, ""Season""), ""TV Show"", ""Movie"")"),"Movie")</f>
        <v>Movie</v>
      </c>
    </row>
    <row r="5071">
      <c r="A5071" s="1" t="s">
        <v>26364</v>
      </c>
      <c r="B5071" s="1" t="s">
        <v>37</v>
      </c>
      <c r="C5071" s="1" t="s">
        <v>26365</v>
      </c>
      <c r="E5071" s="1" t="s">
        <v>26366</v>
      </c>
      <c r="F5071" s="1" t="s">
        <v>3802</v>
      </c>
      <c r="G5071" s="1" t="s">
        <v>26362</v>
      </c>
      <c r="H5071" s="1">
        <v>2018.0</v>
      </c>
      <c r="I5071" s="1" t="s">
        <v>42</v>
      </c>
      <c r="J5071" s="1" t="s">
        <v>43</v>
      </c>
      <c r="K5071" s="1" t="s">
        <v>3223</v>
      </c>
      <c r="L5071" s="1" t="s">
        <v>26367</v>
      </c>
      <c r="M5071" s="2" t="s">
        <v>12</v>
      </c>
      <c r="N5071" s="4">
        <f t="shared" si="1"/>
        <v>43122</v>
      </c>
      <c r="O5071" s="5" t="str">
        <f>IFERROR(__xludf.DUMMYFUNCTION("IF(REGEXMATCH(TRIM(I5071), ""^\d+\s*min""), ""Unclassified"", IF(I5071 = """", ""NR"", I5071))"),"TV-MA")</f>
        <v>TV-MA</v>
      </c>
      <c r="R5071" s="5" t="str">
        <f t="shared" si="2"/>
        <v>The Shannara Chronicles</v>
      </c>
      <c r="S5071" s="5" t="str">
        <f>IFERROR(__xludf.DUMMYFUNCTION("""COMPUTED_VALUE"""),"No One Will Ever Know")</f>
        <v>No One Will Ever Know</v>
      </c>
      <c r="V5071" s="5"/>
      <c r="Y5071" s="5" t="str">
        <f>IFERROR(__xludf.DUMMYFUNCTION("REGEXEXTRACT(J5071, ""^\d+"")"),"2")</f>
        <v>2</v>
      </c>
      <c r="Z5071" s="5" t="str">
        <f>IFERROR(__xludf.DUMMYFUNCTION("REGEXEXTRACT(J5071, ""[A-Za-z ]+$"")")," Seasons")</f>
        <v> Seasons</v>
      </c>
      <c r="AA5071" s="5" t="str">
        <f>IFERROR(__xludf.DUMMYFUNCTION("IF(REGEXMATCH(Z5071, ""Season""), ""TV Show"", ""Movie"")"),"TV Show")</f>
        <v>TV Show</v>
      </c>
    </row>
    <row r="5072">
      <c r="A5072" s="1" t="s">
        <v>26368</v>
      </c>
      <c r="B5072" s="1" t="s">
        <v>37</v>
      </c>
      <c r="C5072" s="1" t="s">
        <v>26369</v>
      </c>
      <c r="E5072" s="1" t="s">
        <v>26370</v>
      </c>
      <c r="F5072" s="1" t="s">
        <v>415</v>
      </c>
      <c r="G5072" s="1" t="s">
        <v>26371</v>
      </c>
      <c r="H5072" s="1">
        <v>2017.0</v>
      </c>
      <c r="I5072" s="1" t="s">
        <v>136</v>
      </c>
      <c r="J5072" s="1" t="s">
        <v>51</v>
      </c>
      <c r="K5072" s="1" t="s">
        <v>1907</v>
      </c>
      <c r="L5072" s="1" t="s">
        <v>26372</v>
      </c>
      <c r="M5072" s="2" t="s">
        <v>12</v>
      </c>
      <c r="N5072" s="4">
        <f t="shared" si="1"/>
        <v>43120</v>
      </c>
      <c r="O5072" s="5" t="str">
        <f>IFERROR(__xludf.DUMMYFUNCTION("IF(REGEXMATCH(TRIM(I5072), ""^\d+\s*min""), ""Unclassified"", IF(I5072 = """", ""NR"", I5072))"),"TV-PG")</f>
        <v>TV-PG</v>
      </c>
      <c r="R5072" s="5" t="str">
        <f t="shared" si="2"/>
        <v>Love And Hong Kong</v>
      </c>
      <c r="S5072" s="5" t="str">
        <f>IFERROR(__xludf.DUMMYFUNCTION("""COMPUTED_VALUE"""),"No Other Woman")</f>
        <v>No Other Woman</v>
      </c>
      <c r="V5072" s="5"/>
      <c r="Y5072" s="5" t="str">
        <f>IFERROR(__xludf.DUMMYFUNCTION("REGEXEXTRACT(J5072, ""^\d+"")"),"1")</f>
        <v>1</v>
      </c>
      <c r="Z5072" s="5" t="str">
        <f>IFERROR(__xludf.DUMMYFUNCTION("REGEXEXTRACT(J5072, ""[A-Za-z ]+$"")")," Season")</f>
        <v> Season</v>
      </c>
      <c r="AA5072" s="5" t="str">
        <f>IFERROR(__xludf.DUMMYFUNCTION("IF(REGEXMATCH(Z5072, ""Season""), ""TV Show"", ""Movie"")"),"TV Show")</f>
        <v>TV Show</v>
      </c>
    </row>
    <row r="5073">
      <c r="A5073" s="1" t="s">
        <v>26373</v>
      </c>
      <c r="B5073" s="1" t="s">
        <v>27</v>
      </c>
      <c r="C5073" s="1" t="s">
        <v>26374</v>
      </c>
      <c r="D5073" s="1" t="s">
        <v>13568</v>
      </c>
      <c r="E5073" s="1" t="s">
        <v>26375</v>
      </c>
      <c r="F5073" s="1" t="s">
        <v>30</v>
      </c>
      <c r="G5073" s="1" t="s">
        <v>26376</v>
      </c>
      <c r="H5073" s="1">
        <v>2018.0</v>
      </c>
      <c r="I5073" s="1" t="s">
        <v>97</v>
      </c>
      <c r="J5073" s="1" t="s">
        <v>2670</v>
      </c>
      <c r="K5073" s="1" t="s">
        <v>1839</v>
      </c>
      <c r="L5073" s="1" t="s">
        <v>26377</v>
      </c>
      <c r="M5073" s="2" t="s">
        <v>12</v>
      </c>
      <c r="N5073" s="4">
        <f t="shared" si="1"/>
        <v>43119</v>
      </c>
      <c r="O5073" s="5" t="str">
        <f>IFERROR(__xludf.DUMMYFUNCTION("IF(REGEXMATCH(TRIM(I5073), ""^\d+\s*min""), ""Unclassified"", IF(I5073 = """", ""NR"", I5073))"),"TV-14")</f>
        <v>TV-14</v>
      </c>
      <c r="R5073" s="5" t="str">
        <f t="shared" si="2"/>
        <v>Harith Iskander: I Told You So</v>
      </c>
      <c r="S5073" s="5" t="str">
        <f>IFERROR(__xludf.DUMMYFUNCTION("""COMPUTED_VALUE"""),"No Reservations")</f>
        <v>No Reservations</v>
      </c>
      <c r="V5073" s="5"/>
      <c r="Y5073" s="5" t="str">
        <f>IFERROR(__xludf.DUMMYFUNCTION("REGEXEXTRACT(J5073, ""^\d+"")"),"62")</f>
        <v>62</v>
      </c>
      <c r="Z5073" s="5" t="str">
        <f>IFERROR(__xludf.DUMMYFUNCTION("REGEXEXTRACT(J5073, ""[A-Za-z ]+$"")")," min")</f>
        <v> min</v>
      </c>
      <c r="AA5073" s="5" t="str">
        <f>IFERROR(__xludf.DUMMYFUNCTION("IF(REGEXMATCH(Z5073, ""Season""), ""TV Show"", ""Movie"")"),"Movie")</f>
        <v>Movie</v>
      </c>
    </row>
    <row r="5074">
      <c r="A5074" s="1" t="s">
        <v>26378</v>
      </c>
      <c r="B5074" s="1" t="s">
        <v>27</v>
      </c>
      <c r="C5074" s="1" t="s">
        <v>26379</v>
      </c>
      <c r="D5074" s="1" t="s">
        <v>26380</v>
      </c>
      <c r="E5074" s="1" t="s">
        <v>26381</v>
      </c>
      <c r="F5074" s="1" t="s">
        <v>30</v>
      </c>
      <c r="G5074" s="1" t="s">
        <v>26376</v>
      </c>
      <c r="H5074" s="1">
        <v>2018.0</v>
      </c>
      <c r="I5074" s="1" t="s">
        <v>32</v>
      </c>
      <c r="J5074" s="1" t="s">
        <v>912</v>
      </c>
      <c r="K5074" s="1" t="s">
        <v>239</v>
      </c>
      <c r="L5074" s="1" t="s">
        <v>26382</v>
      </c>
      <c r="M5074" s="2" t="s">
        <v>12</v>
      </c>
      <c r="N5074" s="4">
        <f t="shared" si="1"/>
        <v>43119</v>
      </c>
      <c r="O5074" s="5" t="str">
        <f>IFERROR(__xludf.DUMMYFUNCTION("IF(REGEXMATCH(TRIM(I5074), ""^\d+\s*min""), ""Unclassified"", IF(I5074 = """", ""NR"", I5074))"),"PG-13")</f>
        <v>PG-13</v>
      </c>
      <c r="R5074" s="5" t="str">
        <f t="shared" si="2"/>
        <v>Step Sisters</v>
      </c>
      <c r="S5074" s="5" t="str">
        <f>IFERROR(__xludf.DUMMYFUNCTION("""COMPUTED_VALUE"""),"No Strings Attached")</f>
        <v>No Strings Attached</v>
      </c>
      <c r="V5074" s="5"/>
      <c r="Y5074" s="5" t="str">
        <f>IFERROR(__xludf.DUMMYFUNCTION("REGEXEXTRACT(J5074, ""^\d+"")"),"108")</f>
        <v>108</v>
      </c>
      <c r="Z5074" s="5" t="str">
        <f>IFERROR(__xludf.DUMMYFUNCTION("REGEXEXTRACT(J5074, ""[A-Za-z ]+$"")")," min")</f>
        <v> min</v>
      </c>
      <c r="AA5074" s="5" t="str">
        <f>IFERROR(__xludf.DUMMYFUNCTION("IF(REGEXMATCH(Z5074, ""Season""), ""TV Show"", ""Movie"")"),"Movie")</f>
        <v>Movie</v>
      </c>
    </row>
    <row r="5075">
      <c r="A5075" s="1" t="s">
        <v>26383</v>
      </c>
      <c r="B5075" s="1" t="s">
        <v>27</v>
      </c>
      <c r="C5075" s="1" t="s">
        <v>26384</v>
      </c>
      <c r="D5075" s="1" t="s">
        <v>15193</v>
      </c>
      <c r="E5075" s="1" t="s">
        <v>26385</v>
      </c>
      <c r="F5075" s="1" t="s">
        <v>1979</v>
      </c>
      <c r="G5075" s="1" t="s">
        <v>26376</v>
      </c>
      <c r="H5075" s="1">
        <v>2018.0</v>
      </c>
      <c r="I5075" s="1" t="s">
        <v>42</v>
      </c>
      <c r="J5075" s="1" t="s">
        <v>465</v>
      </c>
      <c r="K5075" s="1" t="s">
        <v>3768</v>
      </c>
      <c r="L5075" s="1" t="s">
        <v>26386</v>
      </c>
      <c r="M5075" s="2" t="s">
        <v>12</v>
      </c>
      <c r="N5075" s="4">
        <f t="shared" si="1"/>
        <v>43119</v>
      </c>
      <c r="O5075" s="5" t="str">
        <f>IFERROR(__xludf.DUMMYFUNCTION("IF(REGEXMATCH(TRIM(I5075), ""^\d+\s*min""), ""Unclassified"", IF(I5075 = """", ""NR"", I5075))"),"TV-MA")</f>
        <v>TV-MA</v>
      </c>
      <c r="R5075" s="5" t="str">
        <f t="shared" si="2"/>
        <v>The Open House</v>
      </c>
      <c r="S5075" s="5" t="str">
        <f>IFERROR(__xludf.DUMMYFUNCTION("""COMPUTED_VALUE"""),"No Time For Shame")</f>
        <v>No Time For Shame</v>
      </c>
      <c r="V5075" s="5"/>
      <c r="Y5075" s="5" t="str">
        <f>IFERROR(__xludf.DUMMYFUNCTION("REGEXEXTRACT(J5075, ""^\d+"")"),"95")</f>
        <v>95</v>
      </c>
      <c r="Z5075" s="5" t="str">
        <f>IFERROR(__xludf.DUMMYFUNCTION("REGEXEXTRACT(J5075, ""[A-Za-z ]+$"")")," min")</f>
        <v> min</v>
      </c>
      <c r="AA5075" s="5" t="str">
        <f>IFERROR(__xludf.DUMMYFUNCTION("IF(REGEXMATCH(Z5075, ""Season""), ""TV Show"", ""Movie"")"),"Movie")</f>
        <v>Movie</v>
      </c>
    </row>
    <row r="5076">
      <c r="A5076" s="1" t="s">
        <v>26387</v>
      </c>
      <c r="B5076" s="1" t="s">
        <v>27</v>
      </c>
      <c r="C5076" s="1" t="s">
        <v>26388</v>
      </c>
      <c r="D5076" s="1" t="s">
        <v>4641</v>
      </c>
      <c r="E5076" s="1" t="s">
        <v>26389</v>
      </c>
      <c r="F5076" s="1" t="s">
        <v>96</v>
      </c>
      <c r="G5076" s="1" t="s">
        <v>26390</v>
      </c>
      <c r="H5076" s="1">
        <v>2017.0</v>
      </c>
      <c r="I5076" s="1" t="s">
        <v>42</v>
      </c>
      <c r="J5076" s="1" t="s">
        <v>416</v>
      </c>
      <c r="K5076" s="1" t="s">
        <v>5380</v>
      </c>
      <c r="L5076" s="1" t="s">
        <v>26391</v>
      </c>
      <c r="M5076" s="2" t="s">
        <v>12</v>
      </c>
      <c r="N5076" s="4">
        <f t="shared" si="1"/>
        <v>43118</v>
      </c>
      <c r="O5076" s="5" t="str">
        <f>IFERROR(__xludf.DUMMYFUNCTION("IF(REGEXMATCH(TRIM(I5076), ""^\d+\s*min""), ""Unclassified"", IF(I5076 = """", ""NR"", I5076))"),"TV-MA")</f>
        <v>TV-MA</v>
      </c>
      <c r="R5076" s="5" t="str">
        <f t="shared" si="2"/>
        <v>Bad Day For The Cut</v>
      </c>
      <c r="S5076" s="5" t="str">
        <f>IFERROR(__xludf.DUMMYFUNCTION("""COMPUTED_VALUE"""),"No Tomorrow")</f>
        <v>No Tomorrow</v>
      </c>
      <c r="V5076" s="5"/>
      <c r="Y5076" s="5" t="str">
        <f>IFERROR(__xludf.DUMMYFUNCTION("REGEXEXTRACT(J5076, ""^\d+"")"),"99")</f>
        <v>99</v>
      </c>
      <c r="Z5076" s="5" t="str">
        <f>IFERROR(__xludf.DUMMYFUNCTION("REGEXEXTRACT(J5076, ""[A-Za-z ]+$"")")," min")</f>
        <v> min</v>
      </c>
      <c r="AA5076" s="5" t="str">
        <f>IFERROR(__xludf.DUMMYFUNCTION("IF(REGEXMATCH(Z5076, ""Season""), ""TV Show"", ""Movie"")"),"Movie")</f>
        <v>Movie</v>
      </c>
    </row>
    <row r="5077">
      <c r="A5077" s="1" t="s">
        <v>26392</v>
      </c>
      <c r="B5077" s="1" t="s">
        <v>37</v>
      </c>
      <c r="C5077" s="1" t="s">
        <v>26393</v>
      </c>
      <c r="E5077" s="1" t="s">
        <v>26394</v>
      </c>
      <c r="F5077" s="1" t="s">
        <v>784</v>
      </c>
      <c r="G5077" s="1" t="s">
        <v>26390</v>
      </c>
      <c r="H5077" s="1">
        <v>2017.0</v>
      </c>
      <c r="I5077" s="1" t="s">
        <v>42</v>
      </c>
      <c r="J5077" s="1" t="s">
        <v>51</v>
      </c>
      <c r="K5077" s="1" t="s">
        <v>1822</v>
      </c>
      <c r="L5077" s="1" t="s">
        <v>26395</v>
      </c>
      <c r="M5077" s="2" t="s">
        <v>12</v>
      </c>
      <c r="N5077" s="4">
        <f t="shared" si="1"/>
        <v>43118</v>
      </c>
      <c r="O5077" s="5" t="str">
        <f>IFERROR(__xludf.DUMMYFUNCTION("IF(REGEXMATCH(TRIM(I5077), ""^\d+\s*min""), ""Unclassified"", IF(I5077 = """", ""NR"", I5077))"),"TV-MA")</f>
        <v>TV-MA</v>
      </c>
      <c r="R5077" s="5" t="str">
        <f t="shared" si="2"/>
        <v>Tiempos De Guerra</v>
      </c>
      <c r="S5077" s="5" t="str">
        <f>IFERROR(__xludf.DUMMYFUNCTION("""COMPUTED_VALUE"""),"Nobel")</f>
        <v>Nobel</v>
      </c>
      <c r="V5077" s="5"/>
      <c r="Y5077" s="5" t="str">
        <f>IFERROR(__xludf.DUMMYFUNCTION("REGEXEXTRACT(J5077, ""^\d+"")"),"1")</f>
        <v>1</v>
      </c>
      <c r="Z5077" s="5" t="str">
        <f>IFERROR(__xludf.DUMMYFUNCTION("REGEXEXTRACT(J5077, ""[A-Za-z ]+$"")")," Season")</f>
        <v> Season</v>
      </c>
      <c r="AA5077" s="5" t="str">
        <f>IFERROR(__xludf.DUMMYFUNCTION("IF(REGEXMATCH(Z5077, ""Season""), ""TV Show"", ""Movie"")"),"TV Show")</f>
        <v>TV Show</v>
      </c>
    </row>
    <row r="5078">
      <c r="A5078" s="1" t="s">
        <v>26396</v>
      </c>
      <c r="B5078" s="1" t="s">
        <v>27</v>
      </c>
      <c r="C5078" s="1" t="s">
        <v>26397</v>
      </c>
      <c r="D5078" s="1" t="s">
        <v>18885</v>
      </c>
      <c r="E5078" s="1" t="s">
        <v>26398</v>
      </c>
      <c r="F5078" s="1" t="s">
        <v>1837</v>
      </c>
      <c r="G5078" s="1" t="s">
        <v>26399</v>
      </c>
      <c r="H5078" s="1">
        <v>2018.0</v>
      </c>
      <c r="I5078" s="1" t="s">
        <v>42</v>
      </c>
      <c r="J5078" s="1" t="s">
        <v>2670</v>
      </c>
      <c r="K5078" s="1" t="s">
        <v>1839</v>
      </c>
      <c r="L5078" s="1" t="s">
        <v>26400</v>
      </c>
      <c r="M5078" s="2" t="s">
        <v>12</v>
      </c>
      <c r="N5078" s="4">
        <f t="shared" si="1"/>
        <v>43117</v>
      </c>
      <c r="O5078" s="5" t="str">
        <f>IFERROR(__xludf.DUMMYFUNCTION("IF(REGEXMATCH(TRIM(I5078), ""^\d+\s*min""), ""Unclassified"", IF(I5078 = """", ""NR"", I5078))"),"TV-MA")</f>
        <v>TV-MA</v>
      </c>
      <c r="R5078" s="5" t="str">
        <f t="shared" si="2"/>
        <v>Arango Y Sanint: Ríase El Show</v>
      </c>
      <c r="S5078" s="5" t="str">
        <f>IFERROR(__xludf.DUMMYFUNCTION("""COMPUTED_VALUE"""),"Noblemen")</f>
        <v>Noblemen</v>
      </c>
      <c r="V5078" s="5"/>
      <c r="Y5078" s="5" t="str">
        <f>IFERROR(__xludf.DUMMYFUNCTION("REGEXEXTRACT(J5078, ""^\d+"")"),"62")</f>
        <v>62</v>
      </c>
      <c r="Z5078" s="5" t="str">
        <f>IFERROR(__xludf.DUMMYFUNCTION("REGEXEXTRACT(J5078, ""[A-Za-z ]+$"")")," min")</f>
        <v> min</v>
      </c>
      <c r="AA5078" s="5" t="str">
        <f>IFERROR(__xludf.DUMMYFUNCTION("IF(REGEXMATCH(Z5078, ""Season""), ""TV Show"", ""Movie"")"),"Movie")</f>
        <v>Movie</v>
      </c>
    </row>
    <row r="5079">
      <c r="A5079" s="1" t="s">
        <v>26401</v>
      </c>
      <c r="B5079" s="1" t="s">
        <v>37</v>
      </c>
      <c r="C5079" s="1" t="s">
        <v>26402</v>
      </c>
      <c r="D5079" s="1" t="s">
        <v>13100</v>
      </c>
      <c r="E5079" s="1" t="s">
        <v>26403</v>
      </c>
      <c r="F5079" s="1" t="s">
        <v>415</v>
      </c>
      <c r="G5079" s="1" t="s">
        <v>26399</v>
      </c>
      <c r="H5079" s="1">
        <v>2017.0</v>
      </c>
      <c r="I5079" s="1" t="s">
        <v>97</v>
      </c>
      <c r="J5079" s="1" t="s">
        <v>51</v>
      </c>
      <c r="K5079" s="1" t="s">
        <v>1045</v>
      </c>
      <c r="L5079" s="1" t="s">
        <v>26404</v>
      </c>
      <c r="M5079" s="2" t="s">
        <v>12</v>
      </c>
      <c r="N5079" s="4">
        <f t="shared" si="1"/>
        <v>43117</v>
      </c>
      <c r="O5079" s="5" t="str">
        <f>IFERROR(__xludf.DUMMYFUNCTION("IF(REGEXMATCH(TRIM(I5079), ""^\d+\s*min""), ""Unclassified"", IF(I5079 = """", ""NR"", I5079))"),"TV-14")</f>
        <v>TV-14</v>
      </c>
      <c r="R5079" s="5" t="str">
        <f t="shared" si="2"/>
        <v>Godzilla</v>
      </c>
      <c r="S5079" s="5" t="str">
        <f>IFERROR(__xludf.DUMMYFUNCTION("""COMPUTED_VALUE"""),"Nobody Knows I'M Here")</f>
        <v>Nobody Knows I'M Here</v>
      </c>
      <c r="V5079" s="5"/>
      <c r="Y5079" s="5" t="str">
        <f>IFERROR(__xludf.DUMMYFUNCTION("REGEXEXTRACT(J5079, ""^\d+"")"),"1")</f>
        <v>1</v>
      </c>
      <c r="Z5079" s="5" t="str">
        <f>IFERROR(__xludf.DUMMYFUNCTION("REGEXEXTRACT(J5079, ""[A-Za-z ]+$"")")," Season")</f>
        <v> Season</v>
      </c>
      <c r="AA5079" s="5" t="str">
        <f>IFERROR(__xludf.DUMMYFUNCTION("IF(REGEXMATCH(Z5079, ""Season""), ""TV Show"", ""Movie"")"),"TV Show")</f>
        <v>TV Show</v>
      </c>
    </row>
    <row r="5080">
      <c r="A5080" s="1" t="s">
        <v>26405</v>
      </c>
      <c r="B5080" s="1" t="s">
        <v>27</v>
      </c>
      <c r="C5080" s="1" t="s">
        <v>26406</v>
      </c>
      <c r="E5080" s="1" t="s">
        <v>25174</v>
      </c>
      <c r="F5080" s="1" t="s">
        <v>30</v>
      </c>
      <c r="G5080" s="1" t="s">
        <v>26407</v>
      </c>
      <c r="H5080" s="1">
        <v>2018.0</v>
      </c>
      <c r="I5080" s="1" t="s">
        <v>42</v>
      </c>
      <c r="J5080" s="1" t="s">
        <v>4639</v>
      </c>
      <c r="K5080" s="1" t="s">
        <v>1839</v>
      </c>
      <c r="L5080" s="1" t="s">
        <v>26408</v>
      </c>
      <c r="M5080" s="2" t="s">
        <v>12</v>
      </c>
      <c r="N5080" s="4">
        <f t="shared" si="1"/>
        <v>43116</v>
      </c>
      <c r="O5080" s="5" t="str">
        <f>IFERROR(__xludf.DUMMYFUNCTION("IF(REGEXMATCH(TRIM(I5080), ""^\d+\s*min""), ""Unclassified"", IF(I5080 = """", ""NR"", I5080))"),"TV-MA")</f>
        <v>TV-MA</v>
      </c>
      <c r="R5080" s="5" t="str">
        <f t="shared" si="2"/>
        <v>Katt Williams: Great America</v>
      </c>
      <c r="S5080" s="5" t="str">
        <f>IFERROR(__xludf.DUMMYFUNCTION("""COMPUTED_VALUE"""),"Nobody Sleeps In The Woods Tonight")</f>
        <v>Nobody Sleeps In The Woods Tonight</v>
      </c>
      <c r="V5080" s="5"/>
      <c r="Y5080" s="5" t="str">
        <f>IFERROR(__xludf.DUMMYFUNCTION("REGEXEXTRACT(J5080, ""^\d+"")"),"60")</f>
        <v>60</v>
      </c>
      <c r="Z5080" s="5" t="str">
        <f>IFERROR(__xludf.DUMMYFUNCTION("REGEXEXTRACT(J5080, ""[A-Za-z ]+$"")")," min")</f>
        <v> min</v>
      </c>
      <c r="AA5080" s="5" t="str">
        <f>IFERROR(__xludf.DUMMYFUNCTION("IF(REGEXMATCH(Z5080, ""Season""), ""TV Show"", ""Movie"")"),"Movie")</f>
        <v>Movie</v>
      </c>
    </row>
    <row r="5081">
      <c r="A5081" s="1" t="s">
        <v>26409</v>
      </c>
      <c r="B5081" s="1" t="s">
        <v>27</v>
      </c>
      <c r="C5081" s="1" t="s">
        <v>26410</v>
      </c>
      <c r="D5081" s="1" t="s">
        <v>13413</v>
      </c>
      <c r="E5081" s="1" t="s">
        <v>26411</v>
      </c>
      <c r="F5081" s="1" t="s">
        <v>26412</v>
      </c>
      <c r="G5081" s="1" t="s">
        <v>26413</v>
      </c>
      <c r="H5081" s="1">
        <v>1980.0</v>
      </c>
      <c r="I5081" s="1" t="s">
        <v>97</v>
      </c>
      <c r="J5081" s="1" t="s">
        <v>229</v>
      </c>
      <c r="K5081" s="1" t="s">
        <v>13636</v>
      </c>
      <c r="L5081" s="1" t="s">
        <v>26414</v>
      </c>
      <c r="M5081" s="2" t="s">
        <v>12</v>
      </c>
      <c r="N5081" s="4">
        <f t="shared" si="1"/>
        <v>43115</v>
      </c>
      <c r="O5081" s="5" t="str">
        <f>IFERROR(__xludf.DUMMYFUNCTION("IF(REGEXMATCH(TRIM(I5081), ""^\d+\s*min""), ""Unclassified"", IF(I5081 = """", ""NR"", I5081))"),"TV-14")</f>
        <v>TV-14</v>
      </c>
      <c r="R5081" s="5" t="str">
        <f t="shared" si="2"/>
        <v>Alibaba Aur 40 Chor</v>
      </c>
      <c r="S5081" s="5" t="str">
        <f>IFERROR(__xludf.DUMMYFUNCTION("""COMPUTED_VALUE"""),"Nobody Speak: Trials Of The Free Press")</f>
        <v>Nobody Speak: Trials Of The Free Press</v>
      </c>
      <c r="V5081" s="5"/>
      <c r="Y5081" s="5" t="str">
        <f>IFERROR(__xludf.DUMMYFUNCTION("REGEXEXTRACT(J5081, ""^\d+"")"),"147")</f>
        <v>147</v>
      </c>
      <c r="Z5081" s="5" t="str">
        <f>IFERROR(__xludf.DUMMYFUNCTION("REGEXEXTRACT(J5081, ""[A-Za-z ]+$"")")," min")</f>
        <v> min</v>
      </c>
      <c r="AA5081" s="5" t="str">
        <f>IFERROR(__xludf.DUMMYFUNCTION("IF(REGEXMATCH(Z5081, ""Season""), ""TV Show"", ""Movie"")"),"Movie")</f>
        <v>Movie</v>
      </c>
    </row>
    <row r="5082">
      <c r="A5082" s="1" t="s">
        <v>26415</v>
      </c>
      <c r="B5082" s="1" t="s">
        <v>27</v>
      </c>
      <c r="C5082" s="1" t="s">
        <v>26416</v>
      </c>
      <c r="D5082" s="1" t="s">
        <v>18710</v>
      </c>
      <c r="E5082" s="1" t="s">
        <v>26417</v>
      </c>
      <c r="F5082" s="1" t="s">
        <v>63</v>
      </c>
      <c r="G5082" s="1" t="s">
        <v>26413</v>
      </c>
      <c r="H5082" s="1">
        <v>1986.0</v>
      </c>
      <c r="I5082" s="1" t="s">
        <v>97</v>
      </c>
      <c r="J5082" s="1" t="s">
        <v>22970</v>
      </c>
      <c r="K5082" s="1" t="s">
        <v>1429</v>
      </c>
      <c r="L5082" s="1" t="s">
        <v>26418</v>
      </c>
      <c r="M5082" s="2" t="s">
        <v>12</v>
      </c>
      <c r="N5082" s="4">
        <f t="shared" si="1"/>
        <v>43115</v>
      </c>
      <c r="O5082" s="5" t="str">
        <f>IFERROR(__xludf.DUMMYFUNCTION("IF(REGEXMATCH(TRIM(I5082), ""^\d+\s*min""), ""Unclassified"", IF(I5082 = """", ""NR"", I5082))"),"TV-14")</f>
        <v>TV-14</v>
      </c>
      <c r="R5082" s="5" t="str">
        <f t="shared" si="2"/>
        <v>Pyar Ke Do Pal</v>
      </c>
      <c r="S5082" s="5" t="str">
        <f>IFERROR(__xludf.DUMMYFUNCTION("""COMPUTED_VALUE"""),"Nobody'S Looking")</f>
        <v>Nobody'S Looking</v>
      </c>
      <c r="V5082" s="5"/>
      <c r="Y5082" s="5" t="str">
        <f>IFERROR(__xludf.DUMMYFUNCTION("REGEXEXTRACT(J5082, ""^\d+"")"),"153")</f>
        <v>153</v>
      </c>
      <c r="Z5082" s="5" t="str">
        <f>IFERROR(__xludf.DUMMYFUNCTION("REGEXEXTRACT(J5082, ""[A-Za-z ]+$"")")," min")</f>
        <v> min</v>
      </c>
      <c r="AA5082" s="5" t="str">
        <f>IFERROR(__xludf.DUMMYFUNCTION("IF(REGEXMATCH(Z5082, ""Season""), ""TV Show"", ""Movie"")"),"Movie")</f>
        <v>Movie</v>
      </c>
    </row>
    <row r="5083">
      <c r="A5083" s="1" t="s">
        <v>26419</v>
      </c>
      <c r="B5083" s="1" t="s">
        <v>27</v>
      </c>
      <c r="C5083" s="1" t="s">
        <v>26420</v>
      </c>
      <c r="D5083" s="1" t="s">
        <v>19046</v>
      </c>
      <c r="E5083" s="1" t="s">
        <v>26421</v>
      </c>
      <c r="F5083" s="1" t="s">
        <v>26422</v>
      </c>
      <c r="G5083" s="1" t="s">
        <v>26413</v>
      </c>
      <c r="H5083" s="1">
        <v>2017.0</v>
      </c>
      <c r="I5083" s="1" t="s">
        <v>136</v>
      </c>
      <c r="J5083" s="1" t="s">
        <v>630</v>
      </c>
      <c r="K5083" s="1" t="s">
        <v>8533</v>
      </c>
      <c r="L5083" s="1" t="s">
        <v>26423</v>
      </c>
      <c r="M5083" s="2" t="s">
        <v>12</v>
      </c>
      <c r="N5083" s="4">
        <f t="shared" si="1"/>
        <v>43115</v>
      </c>
      <c r="O5083" s="5" t="str">
        <f>IFERROR(__xludf.DUMMYFUNCTION("IF(REGEXMATCH(TRIM(I5083), ""^\d+\s*min""), ""Unclassified"", IF(I5083 = """", ""NR"", I5083))"),"TV-PG")</f>
        <v>TV-PG</v>
      </c>
      <c r="R5083" s="5" t="str">
        <f t="shared" si="2"/>
        <v>Rip Tide</v>
      </c>
      <c r="S5083" s="5" t="str">
        <f>IFERROR(__xludf.DUMMYFUNCTION("""COMPUTED_VALUE"""),"Nocturnal Animals")</f>
        <v>Nocturnal Animals</v>
      </c>
      <c r="V5083" s="5"/>
      <c r="Y5083" s="5" t="str">
        <f>IFERROR(__xludf.DUMMYFUNCTION("REGEXEXTRACT(J5083, ""^\d+"")"),"87")</f>
        <v>87</v>
      </c>
      <c r="Z5083" s="5" t="str">
        <f>IFERROR(__xludf.DUMMYFUNCTION("REGEXEXTRACT(J5083, ""[A-Za-z ]+$"")")," min")</f>
        <v> min</v>
      </c>
      <c r="AA5083" s="5" t="str">
        <f>IFERROR(__xludf.DUMMYFUNCTION("IF(REGEXMATCH(Z5083, ""Season""), ""TV Show"", ""Movie"")"),"Movie")</f>
        <v>Movie</v>
      </c>
    </row>
    <row r="5084">
      <c r="A5084" s="1" t="s">
        <v>26424</v>
      </c>
      <c r="B5084" s="1" t="s">
        <v>37</v>
      </c>
      <c r="C5084" s="1" t="s">
        <v>26425</v>
      </c>
      <c r="E5084" s="1" t="s">
        <v>26426</v>
      </c>
      <c r="F5084" s="1" t="s">
        <v>30</v>
      </c>
      <c r="G5084" s="1" t="s">
        <v>26427</v>
      </c>
      <c r="H5084" s="1">
        <v>2018.0</v>
      </c>
      <c r="I5084" s="1" t="s">
        <v>42</v>
      </c>
      <c r="J5084" s="1" t="s">
        <v>43</v>
      </c>
      <c r="K5084" s="1" t="s">
        <v>270</v>
      </c>
      <c r="L5084" s="1" t="s">
        <v>26428</v>
      </c>
      <c r="M5084" s="2" t="s">
        <v>12</v>
      </c>
      <c r="N5084" s="4">
        <f t="shared" si="1"/>
        <v>43112</v>
      </c>
      <c r="O5084" s="5" t="str">
        <f>IFERROR(__xludf.DUMMYFUNCTION("IF(REGEXMATCH(TRIM(I5084), ""^\d+\s*min""), ""Unclassified"", IF(I5084 = """", ""NR"", I5084))"),"TV-MA")</f>
        <v>TV-MA</v>
      </c>
      <c r="R5084" s="5" t="str">
        <f t="shared" si="2"/>
        <v>Disjointed</v>
      </c>
      <c r="S5084" s="5" t="str">
        <f>IFERROR(__xludf.DUMMYFUNCTION("""COMPUTED_VALUE"""),"Noddy Toyland Detective")</f>
        <v>Noddy Toyland Detective</v>
      </c>
      <c r="V5084" s="5"/>
      <c r="Y5084" s="5" t="str">
        <f>IFERROR(__xludf.DUMMYFUNCTION("REGEXEXTRACT(J5084, ""^\d+"")"),"2")</f>
        <v>2</v>
      </c>
      <c r="Z5084" s="5" t="str">
        <f>IFERROR(__xludf.DUMMYFUNCTION("REGEXEXTRACT(J5084, ""[A-Za-z ]+$"")")," Seasons")</f>
        <v> Seasons</v>
      </c>
      <c r="AA5084" s="5" t="str">
        <f>IFERROR(__xludf.DUMMYFUNCTION("IF(REGEXMATCH(Z5084, ""Season""), ""TV Show"", ""Movie"")"),"TV Show")</f>
        <v>TV Show</v>
      </c>
    </row>
    <row r="5085">
      <c r="A5085" s="1" t="s">
        <v>26429</v>
      </c>
      <c r="B5085" s="1" t="s">
        <v>27</v>
      </c>
      <c r="C5085" s="1" t="s">
        <v>26430</v>
      </c>
      <c r="D5085" s="1" t="s">
        <v>6070</v>
      </c>
      <c r="E5085" s="1" t="s">
        <v>26431</v>
      </c>
      <c r="F5085" s="1" t="s">
        <v>24088</v>
      </c>
      <c r="G5085" s="1" t="s">
        <v>26427</v>
      </c>
      <c r="H5085" s="1">
        <v>2017.0</v>
      </c>
      <c r="I5085" s="1" t="s">
        <v>97</v>
      </c>
      <c r="J5085" s="1" t="s">
        <v>341</v>
      </c>
      <c r="K5085" s="1" t="s">
        <v>128</v>
      </c>
      <c r="L5085" s="1" t="s">
        <v>26432</v>
      </c>
      <c r="M5085" s="2" t="s">
        <v>12</v>
      </c>
      <c r="N5085" s="4">
        <f t="shared" si="1"/>
        <v>43112</v>
      </c>
      <c r="O5085" s="5" t="str">
        <f>IFERROR(__xludf.DUMMYFUNCTION("IF(REGEXMATCH(TRIM(I5085), ""^\d+\s*min""), ""Unclassified"", IF(I5085 = """", ""NR"", I5085))"),"TV-14")</f>
        <v>TV-14</v>
      </c>
      <c r="R5085" s="5" t="str">
        <f t="shared" si="2"/>
        <v>Milada</v>
      </c>
      <c r="S5085" s="5" t="str">
        <f>IFERROR(__xludf.DUMMYFUNCTION("""COMPUTED_VALUE"""),"Norm Macdonald Has A Show")</f>
        <v>Norm Macdonald Has A Show</v>
      </c>
      <c r="V5085" s="5"/>
      <c r="Y5085" s="5" t="str">
        <f>IFERROR(__xludf.DUMMYFUNCTION("REGEXEXTRACT(J5085, ""^\d+"")"),"124")</f>
        <v>124</v>
      </c>
      <c r="Z5085" s="5" t="str">
        <f>IFERROR(__xludf.DUMMYFUNCTION("REGEXEXTRACT(J5085, ""[A-Za-z ]+$"")")," min")</f>
        <v> min</v>
      </c>
      <c r="AA5085" s="5" t="str">
        <f>IFERROR(__xludf.DUMMYFUNCTION("IF(REGEXMATCH(Z5085, ""Season""), ""TV Show"", ""Movie"")"),"Movie")</f>
        <v>Movie</v>
      </c>
    </row>
    <row r="5086">
      <c r="A5086" s="1" t="s">
        <v>26433</v>
      </c>
      <c r="B5086" s="1" t="s">
        <v>27</v>
      </c>
      <c r="C5086" s="1" t="s">
        <v>26434</v>
      </c>
      <c r="D5086" s="1" t="s">
        <v>15405</v>
      </c>
      <c r="E5086" s="1" t="s">
        <v>26435</v>
      </c>
      <c r="F5086" s="1" t="s">
        <v>30</v>
      </c>
      <c r="G5086" s="1" t="s">
        <v>26427</v>
      </c>
      <c r="H5086" s="1">
        <v>2018.0</v>
      </c>
      <c r="I5086" s="1" t="s">
        <v>97</v>
      </c>
      <c r="J5086" s="1" t="s">
        <v>170</v>
      </c>
      <c r="K5086" s="1" t="s">
        <v>1749</v>
      </c>
      <c r="L5086" s="1" t="s">
        <v>26436</v>
      </c>
      <c r="M5086" s="2" t="s">
        <v>12</v>
      </c>
      <c r="N5086" s="4">
        <f t="shared" si="1"/>
        <v>43112</v>
      </c>
      <c r="O5086" s="5" t="str">
        <f>IFERROR(__xludf.DUMMYFUNCTION("IF(REGEXMATCH(TRIM(I5086), ""^\d+\s*min""), ""Unclassified"", IF(I5086 = """", ""NR"", I5086))"),"TV-14")</f>
        <v>TV-14</v>
      </c>
      <c r="R5086" s="5" t="str">
        <f t="shared" si="2"/>
        <v>The Polka King</v>
      </c>
      <c r="S5086" s="5" t="str">
        <f>IFERROR(__xludf.DUMMYFUNCTION("""COMPUTED_VALUE"""),"Norm Macdonald: Hitler'S Dog, Gossip &amp; Trickery")</f>
        <v>Norm Macdonald: Hitler'S Dog, Gossip &amp; Trickery</v>
      </c>
      <c r="V5086" s="5"/>
      <c r="Y5086" s="5" t="str">
        <f>IFERROR(__xludf.DUMMYFUNCTION("REGEXEXTRACT(J5086, ""^\d+"")"),"94")</f>
        <v>94</v>
      </c>
      <c r="Z5086" s="5" t="str">
        <f>IFERROR(__xludf.DUMMYFUNCTION("REGEXEXTRACT(J5086, ""[A-Za-z ]+$"")")," min")</f>
        <v> min</v>
      </c>
      <c r="AA5086" s="5" t="str">
        <f>IFERROR(__xludf.DUMMYFUNCTION("IF(REGEXMATCH(Z5086, ""Season""), ""TV Show"", ""Movie"")"),"Movie")</f>
        <v>Movie</v>
      </c>
    </row>
    <row r="5087">
      <c r="A5087" s="1" t="s">
        <v>26437</v>
      </c>
      <c r="B5087" s="1" t="s">
        <v>27</v>
      </c>
      <c r="C5087" s="1" t="s">
        <v>26438</v>
      </c>
      <c r="D5087" s="1" t="s">
        <v>26439</v>
      </c>
      <c r="F5087" s="1" t="s">
        <v>749</v>
      </c>
      <c r="G5087" s="1" t="s">
        <v>26427</v>
      </c>
      <c r="H5087" s="1">
        <v>2017.0</v>
      </c>
      <c r="I5087" s="1" t="s">
        <v>42</v>
      </c>
      <c r="J5087" s="1" t="s">
        <v>433</v>
      </c>
      <c r="K5087" s="1" t="s">
        <v>156</v>
      </c>
      <c r="L5087" s="1" t="s">
        <v>26440</v>
      </c>
      <c r="M5087" s="2" t="s">
        <v>12</v>
      </c>
      <c r="N5087" s="4">
        <f t="shared" si="1"/>
        <v>43112</v>
      </c>
      <c r="O5087" s="5" t="str">
        <f>IFERROR(__xludf.DUMMYFUNCTION("IF(REGEXMATCH(TRIM(I5087), ""^\d+\s*min""), ""Unclassified"", IF(I5087 = """", ""NR"", I5087))"),"TV-MA")</f>
        <v>TV-MA</v>
      </c>
      <c r="R5087" s="5" t="str">
        <f t="shared" si="2"/>
        <v>The Reservoir Game</v>
      </c>
      <c r="S5087" s="5" t="str">
        <f>IFERROR(__xludf.DUMMYFUNCTION("""COMPUTED_VALUE"""),"Norm Of The North: Family Vacation")</f>
        <v>Norm Of The North: Family Vacation</v>
      </c>
      <c r="V5087" s="5"/>
      <c r="Y5087" s="5" t="str">
        <f>IFERROR(__xludf.DUMMYFUNCTION("REGEXEXTRACT(J5087, ""^\d+"")"),"100")</f>
        <v>100</v>
      </c>
      <c r="Z5087" s="5" t="str">
        <f>IFERROR(__xludf.DUMMYFUNCTION("REGEXEXTRACT(J5087, ""[A-Za-z ]+$"")")," min")</f>
        <v> min</v>
      </c>
      <c r="AA5087" s="5" t="str">
        <f>IFERROR(__xludf.DUMMYFUNCTION("IF(REGEXMATCH(Z5087, ""Season""), ""TV Show"", ""Movie"")"),"Movie")</f>
        <v>Movie</v>
      </c>
    </row>
    <row r="5088">
      <c r="A5088" s="1" t="s">
        <v>26441</v>
      </c>
      <c r="B5088" s="1" t="s">
        <v>27</v>
      </c>
      <c r="C5088" s="1" t="s">
        <v>26442</v>
      </c>
      <c r="D5088" s="1" t="s">
        <v>10401</v>
      </c>
      <c r="E5088" s="1" t="s">
        <v>15567</v>
      </c>
      <c r="F5088" s="1" t="s">
        <v>30</v>
      </c>
      <c r="G5088" s="1" t="s">
        <v>26427</v>
      </c>
      <c r="H5088" s="1">
        <v>2018.0</v>
      </c>
      <c r="I5088" s="1" t="s">
        <v>42</v>
      </c>
      <c r="J5088" s="1" t="s">
        <v>5650</v>
      </c>
      <c r="K5088" s="1" t="s">
        <v>1839</v>
      </c>
      <c r="L5088" s="1" t="s">
        <v>26443</v>
      </c>
      <c r="M5088" s="2" t="s">
        <v>12</v>
      </c>
      <c r="N5088" s="4">
        <f t="shared" si="1"/>
        <v>43112</v>
      </c>
      <c r="O5088" s="5" t="str">
        <f>IFERROR(__xludf.DUMMYFUNCTION("IF(REGEXMATCH(TRIM(I5088), ""^\d+\s*min""), ""Unclassified"", IF(I5088 = """", ""NR"", I5088))"),"TV-MA")</f>
        <v>TV-MA</v>
      </c>
      <c r="R5088" s="5" t="str">
        <f t="shared" si="2"/>
        <v>Tom Segura: Disgraceful</v>
      </c>
      <c r="S5088" s="5" t="str">
        <f>IFERROR(__xludf.DUMMYFUNCTION("""COMPUTED_VALUE"""),"Norm Of The North: Keys To The Kingdom")</f>
        <v>Norm Of The North: Keys To The Kingdom</v>
      </c>
      <c r="V5088" s="5"/>
      <c r="Y5088" s="5" t="str">
        <f>IFERROR(__xludf.DUMMYFUNCTION("REGEXEXTRACT(J5088, ""^\d+"")"),"71")</f>
        <v>71</v>
      </c>
      <c r="Z5088" s="5" t="str">
        <f>IFERROR(__xludf.DUMMYFUNCTION("REGEXEXTRACT(J5088, ""[A-Za-z ]+$"")")," min")</f>
        <v> min</v>
      </c>
      <c r="AA5088" s="5" t="str">
        <f>IFERROR(__xludf.DUMMYFUNCTION("IF(REGEXMATCH(Z5088, ""Season""), ""TV Show"", ""Movie"")"),"Movie")</f>
        <v>Movie</v>
      </c>
    </row>
    <row r="5089">
      <c r="A5089" s="1" t="s">
        <v>26444</v>
      </c>
      <c r="B5089" s="1" t="s">
        <v>27</v>
      </c>
      <c r="C5089" s="1" t="s">
        <v>26445</v>
      </c>
      <c r="E5089" s="1" t="s">
        <v>26446</v>
      </c>
      <c r="F5089" s="1" t="s">
        <v>1837</v>
      </c>
      <c r="G5089" s="1" t="s">
        <v>26447</v>
      </c>
      <c r="H5089" s="1">
        <v>2018.0</v>
      </c>
      <c r="I5089" s="1" t="s">
        <v>42</v>
      </c>
      <c r="J5089" s="1" t="s">
        <v>4639</v>
      </c>
      <c r="K5089" s="1" t="s">
        <v>1839</v>
      </c>
      <c r="L5089" s="1" t="s">
        <v>26448</v>
      </c>
      <c r="M5089" s="2" t="s">
        <v>12</v>
      </c>
      <c r="N5089" s="4">
        <f t="shared" si="1"/>
        <v>43110</v>
      </c>
      <c r="O5089" s="5" t="str">
        <f>IFERROR(__xludf.DUMMYFUNCTION("IF(REGEXMATCH(TRIM(I5089), ""^\d+\s*min""), ""Unclassified"", IF(I5089 = """", ""NR"", I5089))"),"TV-MA")</f>
        <v>TV-MA</v>
      </c>
      <c r="R5089" s="5" t="str">
        <f t="shared" si="2"/>
        <v>Alejandro Riaño: Especial De Stand Up</v>
      </c>
      <c r="S5089" s="5" t="str">
        <f>IFERROR(__xludf.DUMMYFUNCTION("""COMPUTED_VALUE"""),"Norm Of The North: King Sized Adventure")</f>
        <v>Norm Of The North: King Sized Adventure</v>
      </c>
      <c r="V5089" s="5"/>
      <c r="Y5089" s="5" t="str">
        <f>IFERROR(__xludf.DUMMYFUNCTION("REGEXEXTRACT(J5089, ""^\d+"")"),"60")</f>
        <v>60</v>
      </c>
      <c r="Z5089" s="5" t="str">
        <f>IFERROR(__xludf.DUMMYFUNCTION("REGEXEXTRACT(J5089, ""[A-Za-z ]+$"")")," min")</f>
        <v> min</v>
      </c>
      <c r="AA5089" s="5" t="str">
        <f>IFERROR(__xludf.DUMMYFUNCTION("IF(REGEXMATCH(Z5089, ""Season""), ""TV Show"", ""Movie"")"),"Movie")</f>
        <v>Movie</v>
      </c>
    </row>
    <row r="5090">
      <c r="A5090" s="1" t="s">
        <v>26449</v>
      </c>
      <c r="B5090" s="1" t="s">
        <v>27</v>
      </c>
      <c r="C5090" s="1" t="s">
        <v>26450</v>
      </c>
      <c r="D5090" s="1" t="s">
        <v>16134</v>
      </c>
      <c r="E5090" s="1" t="s">
        <v>26451</v>
      </c>
      <c r="F5090" s="1" t="s">
        <v>63</v>
      </c>
      <c r="G5090" s="1" t="s">
        <v>26452</v>
      </c>
      <c r="H5090" s="1">
        <v>2017.0</v>
      </c>
      <c r="I5090" s="1" t="s">
        <v>42</v>
      </c>
      <c r="J5090" s="1" t="s">
        <v>1369</v>
      </c>
      <c r="K5090" s="1" t="s">
        <v>1592</v>
      </c>
      <c r="L5090" s="1" t="s">
        <v>26453</v>
      </c>
      <c r="M5090" s="2" t="s">
        <v>12</v>
      </c>
      <c r="N5090" s="4">
        <f t="shared" si="1"/>
        <v>43109</v>
      </c>
      <c r="O5090" s="5" t="str">
        <f>IFERROR(__xludf.DUMMYFUNCTION("IF(REGEXMATCH(TRIM(I5090), ""^\d+\s*min""), ""Unclassified"", IF(I5090 = """", ""NR"", I5090))"),"TV-MA")</f>
        <v>TV-MA</v>
      </c>
      <c r="R5090" s="5" t="str">
        <f t="shared" si="2"/>
        <v>The House Next Door</v>
      </c>
      <c r="S5090" s="5" t="str">
        <f>IFERROR(__xludf.DUMMYFUNCTION("""COMPUTED_VALUE"""),"Norman Lear: Just Another Version Of You")</f>
        <v>Norman Lear: Just Another Version Of You</v>
      </c>
      <c r="V5090" s="5"/>
      <c r="Y5090" s="5" t="str">
        <f>IFERROR(__xludf.DUMMYFUNCTION("REGEXEXTRACT(J5090, ""^\d+"")"),"135")</f>
        <v>135</v>
      </c>
      <c r="Z5090" s="5" t="str">
        <f>IFERROR(__xludf.DUMMYFUNCTION("REGEXEXTRACT(J5090, ""[A-Za-z ]+$"")")," min")</f>
        <v> min</v>
      </c>
      <c r="AA5090" s="5" t="str">
        <f>IFERROR(__xludf.DUMMYFUNCTION("IF(REGEXMATCH(Z5090, ""Season""), ""TV Show"", ""Movie"")"),"Movie")</f>
        <v>Movie</v>
      </c>
    </row>
    <row r="5091">
      <c r="A5091" s="1" t="s">
        <v>26454</v>
      </c>
      <c r="B5091" s="1" t="s">
        <v>37</v>
      </c>
      <c r="C5091" s="1" t="s">
        <v>26455</v>
      </c>
      <c r="E5091" s="1" t="s">
        <v>26456</v>
      </c>
      <c r="G5091" s="1" t="s">
        <v>26457</v>
      </c>
      <c r="H5091" s="1">
        <v>2016.0</v>
      </c>
      <c r="I5091" s="1" t="s">
        <v>136</v>
      </c>
      <c r="J5091" s="1" t="s">
        <v>51</v>
      </c>
      <c r="K5091" s="1" t="s">
        <v>64</v>
      </c>
      <c r="L5091" s="1" t="s">
        <v>26458</v>
      </c>
      <c r="M5091" s="2" t="s">
        <v>12</v>
      </c>
      <c r="N5091" s="4">
        <f t="shared" si="1"/>
        <v>43108</v>
      </c>
      <c r="O5091" s="5" t="str">
        <f>IFERROR(__xludf.DUMMYFUNCTION("IF(REGEXMATCH(TRIM(I5091), ""^\d+\s*min""), ""Unclassified"", IF(I5091 = """", ""NR"", I5091))"),"TV-PG")</f>
        <v>TV-PG</v>
      </c>
      <c r="R5091" s="5" t="str">
        <f t="shared" si="2"/>
        <v>Tundukkan Playboy Itu</v>
      </c>
      <c r="S5091" s="5" t="str">
        <f>IFERROR(__xludf.DUMMYFUNCTION("""COMPUTED_VALUE"""),"Norsemen")</f>
        <v>Norsemen</v>
      </c>
      <c r="V5091" s="5"/>
      <c r="Y5091" s="5" t="str">
        <f>IFERROR(__xludf.DUMMYFUNCTION("REGEXEXTRACT(J5091, ""^\d+"")"),"1")</f>
        <v>1</v>
      </c>
      <c r="Z5091" s="5" t="str">
        <f>IFERROR(__xludf.DUMMYFUNCTION("REGEXEXTRACT(J5091, ""[A-Za-z ]+$"")")," Season")</f>
        <v> Season</v>
      </c>
      <c r="AA5091" s="5" t="str">
        <f>IFERROR(__xludf.DUMMYFUNCTION("IF(REGEXMATCH(Z5091, ""Season""), ""TV Show"", ""Movie"")"),"TV Show")</f>
        <v>TV Show</v>
      </c>
    </row>
    <row r="5092">
      <c r="A5092" s="1" t="s">
        <v>26459</v>
      </c>
      <c r="B5092" s="1" t="s">
        <v>37</v>
      </c>
      <c r="C5092" s="1" t="s">
        <v>26460</v>
      </c>
      <c r="E5092" s="1" t="s">
        <v>26461</v>
      </c>
      <c r="F5092" s="1" t="s">
        <v>686</v>
      </c>
      <c r="G5092" s="1" t="s">
        <v>26462</v>
      </c>
      <c r="H5092" s="1">
        <v>2017.0</v>
      </c>
      <c r="I5092" s="1" t="s">
        <v>42</v>
      </c>
      <c r="J5092" s="1" t="s">
        <v>189</v>
      </c>
      <c r="K5092" s="1" t="s">
        <v>26463</v>
      </c>
      <c r="L5092" s="1" t="s">
        <v>26464</v>
      </c>
      <c r="M5092" s="2" t="s">
        <v>12</v>
      </c>
      <c r="N5092" s="4">
        <f t="shared" si="1"/>
        <v>43106</v>
      </c>
      <c r="O5092" s="5" t="str">
        <f>IFERROR(__xludf.DUMMYFUNCTION("IF(REGEXMATCH(TRIM(I5092), ""^\d+\s*min""), ""Unclassified"", IF(I5092 = """", ""NR"", I5092))"),"TV-MA")</f>
        <v>TV-MA</v>
      </c>
      <c r="R5092" s="5" t="str">
        <f t="shared" si="2"/>
        <v>Episodes</v>
      </c>
      <c r="S5092" s="5" t="str">
        <f>IFERROR(__xludf.DUMMYFUNCTION("""COMPUTED_VALUE"""),"North &amp; South")</f>
        <v>North &amp; South</v>
      </c>
      <c r="V5092" s="5"/>
      <c r="Y5092" s="5" t="str">
        <f>IFERROR(__xludf.DUMMYFUNCTION("REGEXEXTRACT(J5092, ""^\d+"")"),"5")</f>
        <v>5</v>
      </c>
      <c r="Z5092" s="5" t="str">
        <f>IFERROR(__xludf.DUMMYFUNCTION("REGEXEXTRACT(J5092, ""[A-Za-z ]+$"")")," Seasons")</f>
        <v> Seasons</v>
      </c>
      <c r="AA5092" s="5" t="str">
        <f>IFERROR(__xludf.DUMMYFUNCTION("IF(REGEXMATCH(Z5092, ""Season""), ""TV Show"", ""Movie"")"),"TV Show")</f>
        <v>TV Show</v>
      </c>
    </row>
    <row r="5093">
      <c r="A5093" s="1" t="s">
        <v>26465</v>
      </c>
      <c r="B5093" s="1" t="s">
        <v>27</v>
      </c>
      <c r="C5093" s="1" t="s">
        <v>26466</v>
      </c>
      <c r="D5093" s="1" t="s">
        <v>69</v>
      </c>
      <c r="E5093" s="1" t="s">
        <v>26467</v>
      </c>
      <c r="F5093" s="1" t="s">
        <v>30</v>
      </c>
      <c r="G5093" s="1" t="s">
        <v>26468</v>
      </c>
      <c r="H5093" s="1">
        <v>2016.0</v>
      </c>
      <c r="I5093" s="1" t="s">
        <v>32</v>
      </c>
      <c r="J5093" s="1" t="s">
        <v>247</v>
      </c>
      <c r="K5093" s="1" t="s">
        <v>3768</v>
      </c>
      <c r="L5093" s="1" t="s">
        <v>26469</v>
      </c>
      <c r="M5093" s="2" t="s">
        <v>12</v>
      </c>
      <c r="N5093" s="4">
        <f t="shared" si="1"/>
        <v>43105</v>
      </c>
      <c r="O5093" s="5" t="str">
        <f>IFERROR(__xludf.DUMMYFUNCTION("IF(REGEXMATCH(TRIM(I5093), ""^\d+\s*min""), ""Unclassified"", IF(I5093 = """", ""NR"", I5093))"),"PG-13")</f>
        <v>PG-13</v>
      </c>
      <c r="R5093" s="5" t="str">
        <f t="shared" si="2"/>
        <v>Before I Wake</v>
      </c>
      <c r="S5093" s="5" t="str">
        <f>IFERROR(__xludf.DUMMYFUNCTION("""COMPUTED_VALUE"""),"Northern Rescue")</f>
        <v>Northern Rescue</v>
      </c>
      <c r="V5093" s="5"/>
      <c r="Y5093" s="5" t="str">
        <f>IFERROR(__xludf.DUMMYFUNCTION("REGEXEXTRACT(J5093, ""^\d+"")"),"97")</f>
        <v>97</v>
      </c>
      <c r="Z5093" s="5" t="str">
        <f>IFERROR(__xludf.DUMMYFUNCTION("REGEXEXTRACT(J5093, ""[A-Za-z ]+$"")")," min")</f>
        <v> min</v>
      </c>
      <c r="AA5093" s="5" t="str">
        <f>IFERROR(__xludf.DUMMYFUNCTION("IF(REGEXMATCH(Z5093, ""Season""), ""TV Show"", ""Movie"")"),"Movie")</f>
        <v>Movie</v>
      </c>
    </row>
    <row r="5094">
      <c r="A5094" s="1" t="s">
        <v>26470</v>
      </c>
      <c r="B5094" s="1" t="s">
        <v>37</v>
      </c>
      <c r="C5094" s="1" t="s">
        <v>26471</v>
      </c>
      <c r="D5094" s="1" t="s">
        <v>15098</v>
      </c>
      <c r="E5094" s="1" t="s">
        <v>26472</v>
      </c>
      <c r="F5094" s="1" t="s">
        <v>415</v>
      </c>
      <c r="G5094" s="1" t="s">
        <v>26468</v>
      </c>
      <c r="H5094" s="1">
        <v>2018.0</v>
      </c>
      <c r="I5094" s="1" t="s">
        <v>42</v>
      </c>
      <c r="J5094" s="1" t="s">
        <v>51</v>
      </c>
      <c r="K5094" s="1" t="s">
        <v>14232</v>
      </c>
      <c r="L5094" s="1" t="s">
        <v>26473</v>
      </c>
      <c r="M5094" s="2" t="s">
        <v>12</v>
      </c>
      <c r="N5094" s="4">
        <f t="shared" si="1"/>
        <v>43105</v>
      </c>
      <c r="O5094" s="5" t="str">
        <f>IFERROR(__xludf.DUMMYFUNCTION("IF(REGEXMATCH(TRIM(I5094), ""^\d+\s*min""), ""Unclassified"", IF(I5094 = """", ""NR"", I5094))"),"TV-MA")</f>
        <v>TV-MA</v>
      </c>
      <c r="R5094" s="5" t="str">
        <f t="shared" si="2"/>
        <v>Devilman Crybaby</v>
      </c>
      <c r="S5094" s="5" t="str">
        <f>IFERROR(__xludf.DUMMYFUNCTION("""COMPUTED_VALUE"""),"Not A Game")</f>
        <v>Not A Game</v>
      </c>
      <c r="V5094" s="5"/>
      <c r="Y5094" s="5" t="str">
        <f>IFERROR(__xludf.DUMMYFUNCTION("REGEXEXTRACT(J5094, ""^\d+"")"),"1")</f>
        <v>1</v>
      </c>
      <c r="Z5094" s="5" t="str">
        <f>IFERROR(__xludf.DUMMYFUNCTION("REGEXEXTRACT(J5094, ""[A-Za-z ]+$"")")," Season")</f>
        <v> Season</v>
      </c>
      <c r="AA5094" s="5" t="str">
        <f>IFERROR(__xludf.DUMMYFUNCTION("IF(REGEXMATCH(Z5094, ""Season""), ""TV Show"", ""Movie"")"),"TV Show")</f>
        <v>TV Show</v>
      </c>
    </row>
    <row r="5095">
      <c r="A5095" s="1" t="s">
        <v>26474</v>
      </c>
      <c r="B5095" s="1" t="s">
        <v>27</v>
      </c>
      <c r="C5095" s="1" t="s">
        <v>26475</v>
      </c>
      <c r="D5095" s="1" t="s">
        <v>5237</v>
      </c>
      <c r="E5095" s="1" t="s">
        <v>26476</v>
      </c>
      <c r="F5095" s="1" t="s">
        <v>30</v>
      </c>
      <c r="G5095" s="1" t="s">
        <v>26477</v>
      </c>
      <c r="H5095" s="1">
        <v>2017.0</v>
      </c>
      <c r="I5095" s="1" t="s">
        <v>97</v>
      </c>
      <c r="J5095" s="1" t="s">
        <v>1144</v>
      </c>
      <c r="K5095" s="1" t="s">
        <v>836</v>
      </c>
      <c r="L5095" s="1" t="s">
        <v>26478</v>
      </c>
      <c r="M5095" s="2" t="s">
        <v>12</v>
      </c>
      <c r="N5095" s="4">
        <f t="shared" si="1"/>
        <v>43102</v>
      </c>
      <c r="O5095" s="5" t="str">
        <f>IFERROR(__xludf.DUMMYFUNCTION("IF(REGEXMATCH(TRIM(I5095), ""^\d+\s*min""), ""Unclassified"", IF(I5095 = """", ""NR"", I5095))"),"TV-14")</f>
        <v>TV-14</v>
      </c>
      <c r="R5095" s="5" t="str">
        <f t="shared" si="2"/>
        <v>Mustang Island</v>
      </c>
      <c r="S5095" s="5" t="str">
        <f>IFERROR(__xludf.DUMMYFUNCTION("""COMPUTED_VALUE"""),"Not Alone")</f>
        <v>Not Alone</v>
      </c>
      <c r="V5095" s="5"/>
      <c r="Y5095" s="5" t="str">
        <f>IFERROR(__xludf.DUMMYFUNCTION("REGEXEXTRACT(J5095, ""^\d+"")"),"86")</f>
        <v>86</v>
      </c>
      <c r="Z5095" s="5" t="str">
        <f>IFERROR(__xludf.DUMMYFUNCTION("REGEXEXTRACT(J5095, ""[A-Za-z ]+$"")")," min")</f>
        <v> min</v>
      </c>
      <c r="AA5095" s="5" t="str">
        <f>IFERROR(__xludf.DUMMYFUNCTION("IF(REGEXMATCH(Z5095, ""Season""), ""TV Show"", ""Movie"")"),"Movie")</f>
        <v>Movie</v>
      </c>
    </row>
    <row r="5096">
      <c r="A5096" s="1" t="s">
        <v>26479</v>
      </c>
      <c r="B5096" s="1" t="s">
        <v>27</v>
      </c>
      <c r="C5096" s="1" t="s">
        <v>26480</v>
      </c>
      <c r="D5096" s="1" t="s">
        <v>11823</v>
      </c>
      <c r="F5096" s="1" t="s">
        <v>784</v>
      </c>
      <c r="G5096" s="1" t="s">
        <v>26481</v>
      </c>
      <c r="H5096" s="1">
        <v>2017.0</v>
      </c>
      <c r="I5096" s="1" t="s">
        <v>42</v>
      </c>
      <c r="J5096" s="1" t="s">
        <v>79</v>
      </c>
      <c r="K5096" s="1" t="s">
        <v>156</v>
      </c>
      <c r="L5096" s="1" t="s">
        <v>26482</v>
      </c>
      <c r="M5096" s="2" t="s">
        <v>12</v>
      </c>
      <c r="N5096" s="4">
        <f t="shared" si="1"/>
        <v>43101</v>
      </c>
      <c r="O5096" s="5" t="str">
        <f>IFERROR(__xludf.DUMMYFUNCTION("IF(REGEXMATCH(TRIM(I5096), ""^\d+\s*min""), ""Unclassified"", IF(I5096 = """", ""NR"", I5096))"),"TV-MA")</f>
        <v>TV-MA</v>
      </c>
      <c r="R5096" s="5" t="str">
        <f t="shared" si="2"/>
        <v>Eve'S Apple</v>
      </c>
      <c r="S5096" s="5" t="str">
        <f>IFERROR(__xludf.DUMMYFUNCTION("""COMPUTED_VALUE"""),"Not Another Teen Movie")</f>
        <v>Not Another Teen Movie</v>
      </c>
      <c r="V5096" s="5"/>
      <c r="Y5096" s="5" t="str">
        <f>IFERROR(__xludf.DUMMYFUNCTION("REGEXEXTRACT(J5096, ""^\d+"")"),"91")</f>
        <v>91</v>
      </c>
      <c r="Z5096" s="5" t="str">
        <f>IFERROR(__xludf.DUMMYFUNCTION("REGEXEXTRACT(J5096, ""[A-Za-z ]+$"")")," min")</f>
        <v> min</v>
      </c>
      <c r="AA5096" s="5" t="str">
        <f>IFERROR(__xludf.DUMMYFUNCTION("IF(REGEXMATCH(Z5096, ""Season""), ""TV Show"", ""Movie"")"),"Movie")</f>
        <v>Movie</v>
      </c>
    </row>
    <row r="5097">
      <c r="A5097" s="1" t="s">
        <v>26483</v>
      </c>
      <c r="B5097" s="1" t="s">
        <v>37</v>
      </c>
      <c r="C5097" s="1" t="s">
        <v>26484</v>
      </c>
      <c r="E5097" s="1" t="s">
        <v>26485</v>
      </c>
      <c r="F5097" s="1" t="s">
        <v>415</v>
      </c>
      <c r="G5097" s="1" t="s">
        <v>26481</v>
      </c>
      <c r="H5097" s="1">
        <v>2003.0</v>
      </c>
      <c r="I5097" s="1" t="s">
        <v>97</v>
      </c>
      <c r="J5097" s="1" t="s">
        <v>51</v>
      </c>
      <c r="K5097" s="1" t="s">
        <v>567</v>
      </c>
      <c r="L5097" s="1" t="s">
        <v>26486</v>
      </c>
      <c r="M5097" s="2" t="s">
        <v>12</v>
      </c>
      <c r="N5097" s="4">
        <f t="shared" si="1"/>
        <v>43101</v>
      </c>
      <c r="O5097" s="5" t="str">
        <f>IFERROR(__xludf.DUMMYFUNCTION("IF(REGEXMATCH(TRIM(I5097), ""^\d+\s*min""), ""Unclassified"", IF(I5097 = """", ""NR"", I5097))"),"TV-14")</f>
        <v>TV-14</v>
      </c>
      <c r="R5097" s="5" t="str">
        <f t="shared" si="2"/>
        <v>Fullmetal Alchemist</v>
      </c>
      <c r="S5097" s="5" t="str">
        <f>IFERROR(__xludf.DUMMYFUNCTION("""COMPUTED_VALUE"""),"Notes For My Son")</f>
        <v>Notes For My Son</v>
      </c>
      <c r="V5097" s="5"/>
      <c r="Y5097" s="5" t="str">
        <f>IFERROR(__xludf.DUMMYFUNCTION("REGEXEXTRACT(J5097, ""^\d+"")"),"1")</f>
        <v>1</v>
      </c>
      <c r="Z5097" s="5" t="str">
        <f>IFERROR(__xludf.DUMMYFUNCTION("REGEXEXTRACT(J5097, ""[A-Za-z ]+$"")")," Season")</f>
        <v> Season</v>
      </c>
      <c r="AA5097" s="5" t="str">
        <f>IFERROR(__xludf.DUMMYFUNCTION("IF(REGEXMATCH(Z5097, ""Season""), ""TV Show"", ""Movie"")"),"TV Show")</f>
        <v>TV Show</v>
      </c>
    </row>
    <row r="5098">
      <c r="A5098" s="1" t="s">
        <v>26487</v>
      </c>
      <c r="B5098" s="1" t="s">
        <v>37</v>
      </c>
      <c r="C5098" s="1" t="s">
        <v>26488</v>
      </c>
      <c r="D5098" s="1" t="s">
        <v>23807</v>
      </c>
      <c r="E5098" s="1" t="s">
        <v>26489</v>
      </c>
      <c r="F5098" s="1" t="s">
        <v>415</v>
      </c>
      <c r="G5098" s="1" t="s">
        <v>26481</v>
      </c>
      <c r="H5098" s="1">
        <v>2010.0</v>
      </c>
      <c r="I5098" s="1" t="s">
        <v>97</v>
      </c>
      <c r="J5098" s="1" t="s">
        <v>189</v>
      </c>
      <c r="K5098" s="1" t="s">
        <v>567</v>
      </c>
      <c r="L5098" s="1" t="s">
        <v>26490</v>
      </c>
      <c r="M5098" s="2" t="s">
        <v>12</v>
      </c>
      <c r="N5098" s="4">
        <f t="shared" si="1"/>
        <v>43101</v>
      </c>
      <c r="O5098" s="5" t="str">
        <f>IFERROR(__xludf.DUMMYFUNCTION("IF(REGEXMATCH(TRIM(I5098), ""^\d+\s*min""), ""Unclassified"", IF(I5098 = """", ""NR"", I5098))"),"TV-14")</f>
        <v>TV-14</v>
      </c>
      <c r="R5098" s="5" t="str">
        <f t="shared" si="2"/>
        <v>Fullmetal Alchemist: Brotherhood</v>
      </c>
      <c r="S5098" s="5" t="str">
        <f>IFERROR(__xludf.DUMMYFUNCTION("""COMPUTED_VALUE"""),"Notes On Blindness")</f>
        <v>Notes On Blindness</v>
      </c>
      <c r="V5098" s="5"/>
      <c r="Y5098" s="5" t="str">
        <f>IFERROR(__xludf.DUMMYFUNCTION("REGEXEXTRACT(J5098, ""^\d+"")"),"5")</f>
        <v>5</v>
      </c>
      <c r="Z5098" s="5" t="str">
        <f>IFERROR(__xludf.DUMMYFUNCTION("REGEXEXTRACT(J5098, ""[A-Za-z ]+$"")")," Seasons")</f>
        <v> Seasons</v>
      </c>
      <c r="AA5098" s="5" t="str">
        <f>IFERROR(__xludf.DUMMYFUNCTION("IF(REGEXMATCH(Z5098, ""Season""), ""TV Show"", ""Movie"")"),"TV Show")</f>
        <v>TV Show</v>
      </c>
    </row>
    <row r="5099">
      <c r="A5099" s="1" t="s">
        <v>26491</v>
      </c>
      <c r="B5099" s="1" t="s">
        <v>37</v>
      </c>
      <c r="C5099" s="1" t="s">
        <v>26492</v>
      </c>
      <c r="E5099" s="1" t="s">
        <v>26493</v>
      </c>
      <c r="F5099" s="1" t="s">
        <v>96</v>
      </c>
      <c r="G5099" s="1" t="s">
        <v>26481</v>
      </c>
      <c r="H5099" s="1">
        <v>2018.0</v>
      </c>
      <c r="I5099" s="1" t="s">
        <v>42</v>
      </c>
      <c r="J5099" s="1" t="s">
        <v>276</v>
      </c>
      <c r="K5099" s="1" t="s">
        <v>23944</v>
      </c>
      <c r="L5099" s="1" t="s">
        <v>26494</v>
      </c>
      <c r="M5099" s="2" t="s">
        <v>12</v>
      </c>
      <c r="N5099" s="4">
        <f t="shared" si="1"/>
        <v>43101</v>
      </c>
      <c r="O5099" s="5" t="str">
        <f>IFERROR(__xludf.DUMMYFUNCTION("IF(REGEXMATCH(TRIM(I5099), ""^\d+\s*min""), ""Unclassified"", IF(I5099 = """", ""NR"", I5099))"),"TV-MA")</f>
        <v>TV-MA</v>
      </c>
      <c r="R5099" s="5" t="str">
        <f t="shared" si="2"/>
        <v>Lovesick</v>
      </c>
      <c r="S5099" s="5" t="str">
        <f>IFERROR(__xludf.DUMMYFUNCTION("""COMPUTED_VALUE"""),"Nothing To Hide")</f>
        <v>Nothing To Hide</v>
      </c>
      <c r="V5099" s="5"/>
      <c r="Y5099" s="5" t="str">
        <f>IFERROR(__xludf.DUMMYFUNCTION("REGEXEXTRACT(J5099, ""^\d+"")"),"3")</f>
        <v>3</v>
      </c>
      <c r="Z5099" s="5" t="str">
        <f>IFERROR(__xludf.DUMMYFUNCTION("REGEXEXTRACT(J5099, ""[A-Za-z ]+$"")")," Seasons")</f>
        <v> Seasons</v>
      </c>
      <c r="AA5099" s="5" t="str">
        <f>IFERROR(__xludf.DUMMYFUNCTION("IF(REGEXMATCH(Z5099, ""Season""), ""TV Show"", ""Movie"")"),"TV Show")</f>
        <v>TV Show</v>
      </c>
    </row>
    <row r="5100">
      <c r="A5100" s="1" t="s">
        <v>26495</v>
      </c>
      <c r="B5100" s="1" t="s">
        <v>37</v>
      </c>
      <c r="C5100" s="1" t="s">
        <v>26496</v>
      </c>
      <c r="E5100" s="1" t="s">
        <v>26497</v>
      </c>
      <c r="F5100" s="1" t="s">
        <v>415</v>
      </c>
      <c r="G5100" s="1" t="s">
        <v>26481</v>
      </c>
      <c r="H5100" s="1">
        <v>2000.0</v>
      </c>
      <c r="I5100" s="1" t="s">
        <v>289</v>
      </c>
      <c r="J5100" s="1" t="s">
        <v>51</v>
      </c>
      <c r="K5100" s="1" t="s">
        <v>623</v>
      </c>
      <c r="L5100" s="1" t="s">
        <v>26498</v>
      </c>
      <c r="M5100" s="2" t="s">
        <v>12</v>
      </c>
      <c r="N5100" s="4">
        <f t="shared" si="1"/>
        <v>43101</v>
      </c>
      <c r="O5100" s="5" t="str">
        <f>IFERROR(__xludf.DUMMYFUNCTION("IF(REGEXMATCH(TRIM(I5100), ""^\d+\s*min""), ""Unclassified"", IF(I5100 = """", ""NR"", I5100))"),"TV-Y7")</f>
        <v>TV-Y7</v>
      </c>
      <c r="R5100" s="5" t="str">
        <f t="shared" si="2"/>
        <v>Pokémon: Indigo League</v>
      </c>
      <c r="S5100" s="5" t="str">
        <f>IFERROR(__xludf.DUMMYFUNCTION("""COMPUTED_VALUE"""),"Nothing To Lose")</f>
        <v>Nothing To Lose</v>
      </c>
      <c r="V5100" s="5"/>
      <c r="Y5100" s="5" t="str">
        <f>IFERROR(__xludf.DUMMYFUNCTION("REGEXEXTRACT(J5100, ""^\d+"")"),"1")</f>
        <v>1</v>
      </c>
      <c r="Z5100" s="5" t="str">
        <f>IFERROR(__xludf.DUMMYFUNCTION("REGEXEXTRACT(J5100, ""[A-Za-z ]+$"")")," Season")</f>
        <v> Season</v>
      </c>
      <c r="AA5100" s="5" t="str">
        <f>IFERROR(__xludf.DUMMYFUNCTION("IF(REGEXMATCH(Z5100, ""Season""), ""TV Show"", ""Movie"")"),"TV Show")</f>
        <v>TV Show</v>
      </c>
    </row>
    <row r="5101">
      <c r="A5101" s="1" t="s">
        <v>26499</v>
      </c>
      <c r="B5101" s="1" t="s">
        <v>37</v>
      </c>
      <c r="C5101" s="1" t="s">
        <v>26500</v>
      </c>
      <c r="E5101" s="1" t="s">
        <v>26501</v>
      </c>
      <c r="F5101" s="1" t="s">
        <v>664</v>
      </c>
      <c r="G5101" s="1" t="s">
        <v>26481</v>
      </c>
      <c r="H5101" s="1">
        <v>2017.0</v>
      </c>
      <c r="I5101" s="1" t="s">
        <v>42</v>
      </c>
      <c r="J5101" s="1" t="s">
        <v>51</v>
      </c>
      <c r="K5101" s="1" t="s">
        <v>1362</v>
      </c>
      <c r="L5101" s="1" t="s">
        <v>26502</v>
      </c>
      <c r="M5101" s="2" t="s">
        <v>12</v>
      </c>
      <c r="N5101" s="4">
        <f t="shared" si="1"/>
        <v>43101</v>
      </c>
      <c r="O5101" s="5" t="str">
        <f>IFERROR(__xludf.DUMMYFUNCTION("IF(REGEXMATCH(TRIM(I5101), ""^\d+\s*min""), ""Unclassified"", IF(I5101 = """", ""NR"", I5101))"),"TV-MA")</f>
        <v>TV-MA</v>
      </c>
      <c r="R5101" s="5" t="str">
        <f t="shared" si="2"/>
        <v>The Frozen Dead</v>
      </c>
      <c r="S5101" s="5" t="str">
        <f>IFERROR(__xludf.DUMMYFUNCTION("""COMPUTED_VALUE"""),"Nothing To Lose 2")</f>
        <v>Nothing To Lose 2</v>
      </c>
      <c r="V5101" s="5"/>
      <c r="Y5101" s="5" t="str">
        <f>IFERROR(__xludf.DUMMYFUNCTION("REGEXEXTRACT(J5101, ""^\d+"")"),"1")</f>
        <v>1</v>
      </c>
      <c r="Z5101" s="5" t="str">
        <f>IFERROR(__xludf.DUMMYFUNCTION("REGEXEXTRACT(J5101, ""[A-Za-z ]+$"")")," Season")</f>
        <v> Season</v>
      </c>
      <c r="AA5101" s="5" t="str">
        <f>IFERROR(__xludf.DUMMYFUNCTION("IF(REGEXMATCH(Z5101, ""Season""), ""TV Show"", ""Movie"")"),"TV Show")</f>
        <v>TV Show</v>
      </c>
    </row>
    <row r="5102">
      <c r="A5102" s="1" t="s">
        <v>26503</v>
      </c>
      <c r="B5102" s="1" t="s">
        <v>37</v>
      </c>
      <c r="C5102" s="1" t="s">
        <v>26504</v>
      </c>
      <c r="D5102" s="1" t="s">
        <v>19463</v>
      </c>
      <c r="E5102" s="1" t="s">
        <v>7749</v>
      </c>
      <c r="F5102" s="1" t="s">
        <v>30</v>
      </c>
      <c r="G5102" s="1" t="s">
        <v>26505</v>
      </c>
      <c r="H5102" s="1">
        <v>2017.0</v>
      </c>
      <c r="I5102" s="1" t="s">
        <v>42</v>
      </c>
      <c r="J5102" s="1" t="s">
        <v>51</v>
      </c>
      <c r="K5102" s="1" t="s">
        <v>2512</v>
      </c>
      <c r="L5102" s="1" t="s">
        <v>26506</v>
      </c>
      <c r="M5102" s="2" t="s">
        <v>12</v>
      </c>
      <c r="N5102" s="4">
        <f t="shared" si="1"/>
        <v>43100</v>
      </c>
      <c r="O5102" s="5" t="str">
        <f>IFERROR(__xludf.DUMMYFUNCTION("IF(REGEXMATCH(TRIM(I5102), ""^\d+\s*min""), ""Unclassified"", IF(I5102 = """", ""NR"", I5102))"),"TV-MA")</f>
        <v>TV-MA</v>
      </c>
      <c r="R5102" s="5" t="str">
        <f t="shared" si="2"/>
        <v>Dave Chappelle: Equanimity &amp; The Bird Revelation</v>
      </c>
      <c r="S5102" s="5" t="str">
        <f>IFERROR(__xludf.DUMMYFUNCTION("""COMPUTED_VALUE"""),"Nova: Bird Brain")</f>
        <v>Nova: Bird Brain</v>
      </c>
      <c r="V5102" s="5"/>
      <c r="Y5102" s="5" t="str">
        <f>IFERROR(__xludf.DUMMYFUNCTION("REGEXEXTRACT(J5102, ""^\d+"")"),"1")</f>
        <v>1</v>
      </c>
      <c r="Z5102" s="5" t="str">
        <f>IFERROR(__xludf.DUMMYFUNCTION("REGEXEXTRACT(J5102, ""[A-Za-z ]+$"")")," Season")</f>
        <v> Season</v>
      </c>
      <c r="AA5102" s="5" t="str">
        <f>IFERROR(__xludf.DUMMYFUNCTION("IF(REGEXMATCH(Z5102, ""Season""), ""TV Show"", ""Movie"")"),"TV Show")</f>
        <v>TV Show</v>
      </c>
    </row>
    <row r="5103">
      <c r="A5103" s="1" t="s">
        <v>26507</v>
      </c>
      <c r="B5103" s="1" t="s">
        <v>27</v>
      </c>
      <c r="C5103" s="1" t="s">
        <v>26508</v>
      </c>
      <c r="D5103" s="1" t="s">
        <v>1053</v>
      </c>
      <c r="E5103" s="1" t="s">
        <v>26509</v>
      </c>
      <c r="F5103" s="1" t="s">
        <v>30</v>
      </c>
      <c r="G5103" s="1" t="s">
        <v>26505</v>
      </c>
      <c r="H5103" s="1">
        <v>2017.0</v>
      </c>
      <c r="I5103" s="1" t="s">
        <v>378</v>
      </c>
      <c r="J5103" s="1" t="s">
        <v>1001</v>
      </c>
      <c r="K5103" s="1" t="s">
        <v>199</v>
      </c>
      <c r="L5103" s="1" t="s">
        <v>26510</v>
      </c>
      <c r="M5103" s="2" t="s">
        <v>12</v>
      </c>
      <c r="N5103" s="4">
        <f t="shared" si="1"/>
        <v>43100</v>
      </c>
      <c r="O5103" s="5" t="str">
        <f>IFERROR(__xludf.DUMMYFUNCTION("IF(REGEXMATCH(TRIM(I5103), ""^\d+\s*min""), ""Unclassified"", IF(I5103 = """", ""NR"", I5103))"),"R")</f>
        <v>R</v>
      </c>
      <c r="R5103" s="5" t="str">
        <f t="shared" si="2"/>
        <v>Fun Mom Dinner</v>
      </c>
      <c r="S5103" s="5" t="str">
        <f>IFERROR(__xludf.DUMMYFUNCTION("""COMPUTED_VALUE"""),"Nova: Black Hole Apocalypse")</f>
        <v>Nova: Black Hole Apocalypse</v>
      </c>
      <c r="V5103" s="5"/>
      <c r="Y5103" s="5" t="str">
        <f>IFERROR(__xludf.DUMMYFUNCTION("REGEXEXTRACT(J5103, ""^\d+"")"),"82")</f>
        <v>82</v>
      </c>
      <c r="Z5103" s="5" t="str">
        <f>IFERROR(__xludf.DUMMYFUNCTION("REGEXEXTRACT(J5103, ""[A-Za-z ]+$"")")," min")</f>
        <v> min</v>
      </c>
      <c r="AA5103" s="5" t="str">
        <f>IFERROR(__xludf.DUMMYFUNCTION("IF(REGEXMATCH(Z5103, ""Season""), ""TV Show"", ""Movie"")"),"Movie")</f>
        <v>Movie</v>
      </c>
    </row>
    <row r="5104">
      <c r="A5104" s="1" t="s">
        <v>26511</v>
      </c>
      <c r="B5104" s="1" t="s">
        <v>27</v>
      </c>
      <c r="C5104" s="1" t="s">
        <v>26512</v>
      </c>
      <c r="D5104" s="1" t="s">
        <v>10363</v>
      </c>
      <c r="E5104" s="1" t="s">
        <v>26513</v>
      </c>
      <c r="F5104" s="1" t="s">
        <v>1106</v>
      </c>
      <c r="G5104" s="1" t="s">
        <v>26514</v>
      </c>
      <c r="H5104" s="1">
        <v>2016.0</v>
      </c>
      <c r="I5104" s="1" t="s">
        <v>378</v>
      </c>
      <c r="J5104" s="1" t="s">
        <v>447</v>
      </c>
      <c r="K5104" s="1" t="s">
        <v>6624</v>
      </c>
      <c r="L5104" s="1" t="s">
        <v>26515</v>
      </c>
      <c r="M5104" s="2" t="s">
        <v>12</v>
      </c>
      <c r="N5104" s="4">
        <f t="shared" si="1"/>
        <v>43099</v>
      </c>
      <c r="O5104" s="5" t="str">
        <f>IFERROR(__xludf.DUMMYFUNCTION("IF(REGEXMATCH(TRIM(I5104), ""^\d+\s*min""), ""Unclassified"", IF(I5104 = """", ""NR"", I5104))"),"R")</f>
        <v>R</v>
      </c>
      <c r="R5104" s="5" t="str">
        <f t="shared" si="2"/>
        <v>Goon: Last Of The Enforcers</v>
      </c>
      <c r="S5104" s="5" t="str">
        <f>IFERROR(__xludf.DUMMYFUNCTION("""COMPUTED_VALUE"""),"Nova: Building Chernobyl'S Megatomb")</f>
        <v>Nova: Building Chernobyl'S Megatomb</v>
      </c>
      <c r="V5104" s="5"/>
      <c r="Y5104" s="5" t="str">
        <f>IFERROR(__xludf.DUMMYFUNCTION("REGEXEXTRACT(J5104, ""^\d+"")"),"102")</f>
        <v>102</v>
      </c>
      <c r="Z5104" s="5" t="str">
        <f>IFERROR(__xludf.DUMMYFUNCTION("REGEXEXTRACT(J5104, ""[A-Za-z ]+$"")")," min")</f>
        <v> min</v>
      </c>
      <c r="AA5104" s="5" t="str">
        <f>IFERROR(__xludf.DUMMYFUNCTION("IF(REGEXMATCH(Z5104, ""Season""), ""TV Show"", ""Movie"")"),"Movie")</f>
        <v>Movie</v>
      </c>
    </row>
    <row r="5105">
      <c r="A5105" s="1" t="s">
        <v>26516</v>
      </c>
      <c r="B5105" s="1" t="s">
        <v>37</v>
      </c>
      <c r="C5105" s="1" t="s">
        <v>26517</v>
      </c>
      <c r="E5105" s="1" t="s">
        <v>26518</v>
      </c>
      <c r="F5105" s="1" t="s">
        <v>664</v>
      </c>
      <c r="G5105" s="1" t="s">
        <v>26519</v>
      </c>
      <c r="H5105" s="1">
        <v>2017.0</v>
      </c>
      <c r="I5105" s="1" t="s">
        <v>42</v>
      </c>
      <c r="J5105" s="1" t="s">
        <v>51</v>
      </c>
      <c r="K5105" s="1" t="s">
        <v>1362</v>
      </c>
      <c r="L5105" s="1" t="s">
        <v>26520</v>
      </c>
      <c r="M5105" s="2" t="s">
        <v>12</v>
      </c>
      <c r="N5105" s="4">
        <f t="shared" si="1"/>
        <v>43098</v>
      </c>
      <c r="O5105" s="5" t="str">
        <f>IFERROR(__xludf.DUMMYFUNCTION("IF(REGEXMATCH(TRIM(I5105), ""^\d+\s*min""), ""Unclassified"", IF(I5105 = """", ""NR"", I5105))"),"TV-MA")</f>
        <v>TV-MA</v>
      </c>
      <c r="R5105" s="5" t="str">
        <f t="shared" si="2"/>
        <v>La Mante</v>
      </c>
      <c r="S5105" s="5" t="str">
        <f>IFERROR(__xludf.DUMMYFUNCTION("""COMPUTED_VALUE"""),"Nova: Chinese Chariot Revealed")</f>
        <v>Nova: Chinese Chariot Revealed</v>
      </c>
      <c r="V5105" s="5"/>
      <c r="Y5105" s="5" t="str">
        <f>IFERROR(__xludf.DUMMYFUNCTION("REGEXEXTRACT(J5105, ""^\d+"")"),"1")</f>
        <v>1</v>
      </c>
      <c r="Z5105" s="5" t="str">
        <f>IFERROR(__xludf.DUMMYFUNCTION("REGEXEXTRACT(J5105, ""[A-Za-z ]+$"")")," Season")</f>
        <v> Season</v>
      </c>
      <c r="AA5105" s="5" t="str">
        <f>IFERROR(__xludf.DUMMYFUNCTION("IF(REGEXMATCH(Z5105, ""Season""), ""TV Show"", ""Movie"")"),"TV Show")</f>
        <v>TV Show</v>
      </c>
    </row>
    <row r="5106">
      <c r="A5106" s="1" t="s">
        <v>26521</v>
      </c>
      <c r="B5106" s="1" t="s">
        <v>27</v>
      </c>
      <c r="C5106" s="1" t="s">
        <v>26522</v>
      </c>
      <c r="D5106" s="1" t="s">
        <v>14041</v>
      </c>
      <c r="E5106" s="1" t="s">
        <v>26523</v>
      </c>
      <c r="F5106" s="1" t="s">
        <v>664</v>
      </c>
      <c r="G5106" s="1" t="s">
        <v>26519</v>
      </c>
      <c r="H5106" s="1">
        <v>2017.0</v>
      </c>
      <c r="I5106" s="1" t="s">
        <v>97</v>
      </c>
      <c r="J5106" s="1" t="s">
        <v>305</v>
      </c>
      <c r="K5106" s="1" t="s">
        <v>617</v>
      </c>
      <c r="L5106" s="1" t="s">
        <v>26524</v>
      </c>
      <c r="M5106" s="2" t="s">
        <v>12</v>
      </c>
      <c r="N5106" s="4">
        <f t="shared" si="1"/>
        <v>43098</v>
      </c>
      <c r="O5106" s="5" t="str">
        <f>IFERROR(__xludf.DUMMYFUNCTION("IF(REGEXMATCH(TRIM(I5106), ""^\d+\s*min""), ""Unclassified"", IF(I5106 = """", ""NR"", I5106))"),"TV-14")</f>
        <v>TV-14</v>
      </c>
      <c r="R5106" s="5" t="str">
        <f t="shared" si="2"/>
        <v>The Climb</v>
      </c>
      <c r="S5106" s="5" t="str">
        <f>IFERROR(__xludf.DUMMYFUNCTION("""COMPUTED_VALUE"""),"Nova: Day The Dinosaurs Died")</f>
        <v>Nova: Day The Dinosaurs Died</v>
      </c>
      <c r="V5106" s="5"/>
      <c r="Y5106" s="5" t="str">
        <f>IFERROR(__xludf.DUMMYFUNCTION("REGEXEXTRACT(J5106, ""^\d+"")"),"105")</f>
        <v>105</v>
      </c>
      <c r="Z5106" s="5" t="str">
        <f>IFERROR(__xludf.DUMMYFUNCTION("REGEXEXTRACT(J5106, ""[A-Za-z ]+$"")")," min")</f>
        <v> min</v>
      </c>
      <c r="AA5106" s="5" t="str">
        <f>IFERROR(__xludf.DUMMYFUNCTION("IF(REGEXMATCH(Z5106, ""Season""), ""TV Show"", ""Movie"")"),"Movie")</f>
        <v>Movie</v>
      </c>
    </row>
    <row r="5107">
      <c r="A5107" s="1" t="s">
        <v>26525</v>
      </c>
      <c r="B5107" s="1" t="s">
        <v>37</v>
      </c>
      <c r="C5107" s="1" t="s">
        <v>26526</v>
      </c>
      <c r="E5107" s="1" t="s">
        <v>26527</v>
      </c>
      <c r="G5107" s="1" t="s">
        <v>26519</v>
      </c>
      <c r="H5107" s="1">
        <v>2015.0</v>
      </c>
      <c r="I5107" s="1" t="s">
        <v>97</v>
      </c>
      <c r="J5107" s="1" t="s">
        <v>51</v>
      </c>
      <c r="K5107" s="1" t="s">
        <v>402</v>
      </c>
      <c r="L5107" s="1" t="s">
        <v>26528</v>
      </c>
      <c r="M5107" s="2" t="s">
        <v>12</v>
      </c>
      <c r="N5107" s="4">
        <f t="shared" si="1"/>
        <v>43098</v>
      </c>
      <c r="O5107" s="5" t="str">
        <f>IFERROR(__xludf.DUMMYFUNCTION("IF(REGEXMATCH(TRIM(I5107), ""^\d+\s*min""), ""Unclassified"", IF(I5107 = """", ""NR"", I5107))"),"TV-14")</f>
        <v>TV-14</v>
      </c>
      <c r="R5107" s="5" t="str">
        <f t="shared" si="2"/>
        <v>Wadi</v>
      </c>
      <c r="S5107" s="5" t="str">
        <f>IFERROR(__xludf.DUMMYFUNCTION("""COMPUTED_VALUE"""),"Nova: Death Dive To Saturn")</f>
        <v>Nova: Death Dive To Saturn</v>
      </c>
      <c r="V5107" s="5"/>
      <c r="Y5107" s="5" t="str">
        <f>IFERROR(__xludf.DUMMYFUNCTION("REGEXEXTRACT(J5107, ""^\d+"")"),"1")</f>
        <v>1</v>
      </c>
      <c r="Z5107" s="5" t="str">
        <f>IFERROR(__xludf.DUMMYFUNCTION("REGEXEXTRACT(J5107, ""[A-Za-z ]+$"")")," Season")</f>
        <v> Season</v>
      </c>
      <c r="AA5107" s="5" t="str">
        <f>IFERROR(__xludf.DUMMYFUNCTION("IF(REGEXMATCH(Z5107, ""Season""), ""TV Show"", ""Movie"")"),"TV Show")</f>
        <v>TV Show</v>
      </c>
    </row>
    <row r="5108">
      <c r="A5108" s="1" t="s">
        <v>26529</v>
      </c>
      <c r="B5108" s="1" t="s">
        <v>27</v>
      </c>
      <c r="C5108" s="1" t="s">
        <v>26530</v>
      </c>
      <c r="D5108" s="1" t="s">
        <v>6407</v>
      </c>
      <c r="E5108" s="1" t="s">
        <v>26531</v>
      </c>
      <c r="F5108" s="1" t="s">
        <v>2492</v>
      </c>
      <c r="G5108" s="1" t="s">
        <v>26532</v>
      </c>
      <c r="H5108" s="1">
        <v>2017.0</v>
      </c>
      <c r="I5108" s="1" t="s">
        <v>97</v>
      </c>
      <c r="J5108" s="1" t="s">
        <v>256</v>
      </c>
      <c r="K5108" s="1" t="s">
        <v>920</v>
      </c>
      <c r="L5108" s="1" t="s">
        <v>26533</v>
      </c>
      <c r="M5108" s="2" t="s">
        <v>12</v>
      </c>
      <c r="N5108" s="4">
        <f t="shared" si="1"/>
        <v>43096</v>
      </c>
      <c r="O5108" s="5" t="str">
        <f>IFERROR(__xludf.DUMMYFUNCTION("IF(REGEXMATCH(TRIM(I5108), ""^\d+\s*min""), ""Unclassified"", IF(I5108 = """", ""NR"", I5108))"),"TV-14")</f>
        <v>TV-14</v>
      </c>
      <c r="R5108" s="5" t="str">
        <f t="shared" si="2"/>
        <v>Bibi &amp; Tina: Tohuwabohu Total</v>
      </c>
      <c r="S5108" s="5" t="str">
        <f>IFERROR(__xludf.DUMMYFUNCTION("""COMPUTED_VALUE"""),"Nova: Decoding The Weather Machine")</f>
        <v>Nova: Decoding The Weather Machine</v>
      </c>
      <c r="V5108" s="5"/>
      <c r="Y5108" s="5" t="str">
        <f>IFERROR(__xludf.DUMMYFUNCTION("REGEXEXTRACT(J5108, ""^\d+"")"),"106")</f>
        <v>106</v>
      </c>
      <c r="Z5108" s="5" t="str">
        <f>IFERROR(__xludf.DUMMYFUNCTION("REGEXEXTRACT(J5108, ""[A-Za-z ]+$"")")," min")</f>
        <v> min</v>
      </c>
      <c r="AA5108" s="5" t="str">
        <f>IFERROR(__xludf.DUMMYFUNCTION("IF(REGEXMATCH(Z5108, ""Season""), ""TV Show"", ""Movie"")"),"Movie")</f>
        <v>Movie</v>
      </c>
    </row>
    <row r="5109">
      <c r="A5109" s="1" t="s">
        <v>26534</v>
      </c>
      <c r="B5109" s="1" t="s">
        <v>27</v>
      </c>
      <c r="C5109" s="1" t="s">
        <v>26535</v>
      </c>
      <c r="D5109" s="1" t="s">
        <v>17019</v>
      </c>
      <c r="E5109" s="1" t="s">
        <v>26536</v>
      </c>
      <c r="F5109" s="1" t="s">
        <v>30</v>
      </c>
      <c r="G5109" s="1" t="s">
        <v>26537</v>
      </c>
      <c r="H5109" s="1">
        <v>2017.0</v>
      </c>
      <c r="I5109" s="1" t="s">
        <v>42</v>
      </c>
      <c r="J5109" s="1" t="s">
        <v>79</v>
      </c>
      <c r="K5109" s="1" t="s">
        <v>1749</v>
      </c>
      <c r="L5109" s="1" t="s">
        <v>26538</v>
      </c>
      <c r="M5109" s="2" t="s">
        <v>12</v>
      </c>
      <c r="N5109" s="4">
        <f t="shared" si="1"/>
        <v>43095</v>
      </c>
      <c r="O5109" s="5" t="str">
        <f>IFERROR(__xludf.DUMMYFUNCTION("IF(REGEXMATCH(TRIM(I5109), ""^\d+\s*min""), ""Unclassified"", IF(I5109 = """", ""NR"", I5109))"),"TV-MA")</f>
        <v>TV-MA</v>
      </c>
      <c r="R5109" s="5" t="str">
        <f t="shared" si="2"/>
        <v>Mr. Roosevelt</v>
      </c>
      <c r="S5109" s="5" t="str">
        <f>IFERROR(__xludf.DUMMYFUNCTION("""COMPUTED_VALUE"""),"Nova: Eclipse Over America")</f>
        <v>Nova: Eclipse Over America</v>
      </c>
      <c r="V5109" s="5"/>
      <c r="Y5109" s="5" t="str">
        <f>IFERROR(__xludf.DUMMYFUNCTION("REGEXEXTRACT(J5109, ""^\d+"")"),"91")</f>
        <v>91</v>
      </c>
      <c r="Z5109" s="5" t="str">
        <f>IFERROR(__xludf.DUMMYFUNCTION("REGEXEXTRACT(J5109, ""[A-Za-z ]+$"")")," min")</f>
        <v> min</v>
      </c>
      <c r="AA5109" s="5" t="str">
        <f>IFERROR(__xludf.DUMMYFUNCTION("IF(REGEXMATCH(Z5109, ""Season""), ""TV Show"", ""Movie"")"),"Movie")</f>
        <v>Movie</v>
      </c>
    </row>
    <row r="5110">
      <c r="A5110" s="1" t="s">
        <v>26539</v>
      </c>
      <c r="B5110" s="1" t="s">
        <v>27</v>
      </c>
      <c r="C5110" s="1" t="s">
        <v>26540</v>
      </c>
      <c r="D5110" s="1" t="s">
        <v>10379</v>
      </c>
      <c r="E5110" s="1" t="s">
        <v>26541</v>
      </c>
      <c r="F5110" s="1" t="s">
        <v>30</v>
      </c>
      <c r="G5110" s="1" t="s">
        <v>26537</v>
      </c>
      <c r="H5110" s="1">
        <v>2017.0</v>
      </c>
      <c r="I5110" s="1" t="s">
        <v>42</v>
      </c>
      <c r="J5110" s="1" t="s">
        <v>207</v>
      </c>
      <c r="K5110" s="1" t="s">
        <v>1839</v>
      </c>
      <c r="L5110" s="1" t="s">
        <v>26542</v>
      </c>
      <c r="M5110" s="2" t="s">
        <v>12</v>
      </c>
      <c r="N5110" s="4">
        <f t="shared" si="1"/>
        <v>43095</v>
      </c>
      <c r="O5110" s="5" t="str">
        <f>IFERROR(__xludf.DUMMYFUNCTION("IF(REGEXMATCH(TRIM(I5110), ""^\d+\s*min""), ""Unclassified"", IF(I5110 = """", ""NR"", I5110))"),"TV-MA")</f>
        <v>TV-MA</v>
      </c>
      <c r="R5110" s="5" t="str">
        <f t="shared" si="2"/>
        <v>Todd Barry: Spicy Honey</v>
      </c>
      <c r="S5110" s="5" t="str">
        <f>IFERROR(__xludf.DUMMYFUNCTION("""COMPUTED_VALUE"""),"Nova: Extreme Animal Weapons")</f>
        <v>Nova: Extreme Animal Weapons</v>
      </c>
      <c r="V5110" s="5"/>
      <c r="Y5110" s="5" t="str">
        <f>IFERROR(__xludf.DUMMYFUNCTION("REGEXEXTRACT(J5110, ""^\d+"")"),"61")</f>
        <v>61</v>
      </c>
      <c r="Z5110" s="5" t="str">
        <f>IFERROR(__xludf.DUMMYFUNCTION("REGEXEXTRACT(J5110, ""[A-Za-z ]+$"")")," min")</f>
        <v> min</v>
      </c>
      <c r="AA5110" s="5" t="str">
        <f>IFERROR(__xludf.DUMMYFUNCTION("IF(REGEXMATCH(Z5110, ""Season""), ""TV Show"", ""Movie"")"),"Movie")</f>
        <v>Movie</v>
      </c>
    </row>
    <row r="5111">
      <c r="A5111" s="1" t="s">
        <v>26543</v>
      </c>
      <c r="B5111" s="1" t="s">
        <v>37</v>
      </c>
      <c r="C5111" s="1" t="s">
        <v>26544</v>
      </c>
      <c r="E5111" s="1" t="s">
        <v>26545</v>
      </c>
      <c r="G5111" s="1" t="s">
        <v>26546</v>
      </c>
      <c r="H5111" s="1">
        <v>2017.0</v>
      </c>
      <c r="I5111" s="1" t="s">
        <v>97</v>
      </c>
      <c r="J5111" s="1" t="s">
        <v>51</v>
      </c>
      <c r="K5111" s="1" t="s">
        <v>4219</v>
      </c>
      <c r="L5111" s="1" t="s">
        <v>26547</v>
      </c>
      <c r="M5111" s="2" t="s">
        <v>12</v>
      </c>
      <c r="N5111" s="4">
        <f t="shared" si="1"/>
        <v>43094</v>
      </c>
      <c r="O5111" s="5" t="str">
        <f>IFERROR(__xludf.DUMMYFUNCTION("IF(REGEXMATCH(TRIM(I5111), ""^\d+\s*min""), ""Unclassified"", IF(I5111 = """", ""NR"", I5111))"),"TV-14")</f>
        <v>TV-14</v>
      </c>
      <c r="R5111" s="5" t="str">
        <f t="shared" si="2"/>
        <v>Part-Time Idol</v>
      </c>
      <c r="S5111" s="5" t="str">
        <f>IFERROR(__xludf.DUMMYFUNCTION("""COMPUTED_VALUE"""),"Nova: First Face Of America")</f>
        <v>Nova: First Face Of America</v>
      </c>
      <c r="V5111" s="5"/>
      <c r="Y5111" s="5" t="str">
        <f>IFERROR(__xludf.DUMMYFUNCTION("REGEXEXTRACT(J5111, ""^\d+"")"),"1")</f>
        <v>1</v>
      </c>
      <c r="Z5111" s="5" t="str">
        <f>IFERROR(__xludf.DUMMYFUNCTION("REGEXEXTRACT(J5111, ""[A-Za-z ]+$"")")," Season")</f>
        <v> Season</v>
      </c>
      <c r="AA5111" s="5" t="str">
        <f>IFERROR(__xludf.DUMMYFUNCTION("IF(REGEXMATCH(Z5111, ""Season""), ""TV Show"", ""Movie"")"),"TV Show")</f>
        <v>TV Show</v>
      </c>
    </row>
    <row r="5112">
      <c r="A5112" s="1" t="s">
        <v>26548</v>
      </c>
      <c r="B5112" s="1" t="s">
        <v>27</v>
      </c>
      <c r="C5112" s="1" t="s">
        <v>26549</v>
      </c>
      <c r="D5112" s="1" t="s">
        <v>17666</v>
      </c>
      <c r="E5112" s="1" t="s">
        <v>26550</v>
      </c>
      <c r="F5112" s="1" t="s">
        <v>30</v>
      </c>
      <c r="G5112" s="1" t="s">
        <v>26551</v>
      </c>
      <c r="H5112" s="1">
        <v>2017.0</v>
      </c>
      <c r="I5112" s="1" t="s">
        <v>42</v>
      </c>
      <c r="J5112" s="1" t="s">
        <v>729</v>
      </c>
      <c r="K5112" s="1" t="s">
        <v>18588</v>
      </c>
      <c r="L5112" s="1" t="s">
        <v>26552</v>
      </c>
      <c r="M5112" s="2" t="s">
        <v>12</v>
      </c>
      <c r="N5112" s="4">
        <f t="shared" si="1"/>
        <v>43092</v>
      </c>
      <c r="O5112" s="5" t="str">
        <f>IFERROR(__xludf.DUMMYFUNCTION("IF(REGEXMATCH(TRIM(I5112), ""^\d+\s*min""), ""Unclassified"", IF(I5112 = """", ""NR"", I5112))"),"TV-MA")</f>
        <v>TV-MA</v>
      </c>
      <c r="R5112" s="5" t="str">
        <f t="shared" si="2"/>
        <v>Creep 2</v>
      </c>
      <c r="S5112" s="5" t="str">
        <f>IFERROR(__xludf.DUMMYFUNCTION("""COMPUTED_VALUE"""),"Nova: Holocaust Escape Tunnel")</f>
        <v>Nova: Holocaust Escape Tunnel</v>
      </c>
      <c r="V5112" s="5"/>
      <c r="Y5112" s="5" t="str">
        <f>IFERROR(__xludf.DUMMYFUNCTION("REGEXEXTRACT(J5112, ""^\d+"")"),"80")</f>
        <v>80</v>
      </c>
      <c r="Z5112" s="5" t="str">
        <f>IFERROR(__xludf.DUMMYFUNCTION("REGEXEXTRACT(J5112, ""[A-Za-z ]+$"")")," min")</f>
        <v> min</v>
      </c>
      <c r="AA5112" s="5" t="str">
        <f>IFERROR(__xludf.DUMMYFUNCTION("IF(REGEXMATCH(Z5112, ""Season""), ""TV Show"", ""Movie"")"),"Movie")</f>
        <v>Movie</v>
      </c>
    </row>
    <row r="5113">
      <c r="A5113" s="1" t="s">
        <v>26553</v>
      </c>
      <c r="B5113" s="1" t="s">
        <v>37</v>
      </c>
      <c r="C5113" s="1" t="s">
        <v>26554</v>
      </c>
      <c r="D5113" s="1" t="s">
        <v>5548</v>
      </c>
      <c r="E5113" s="1" t="s">
        <v>6676</v>
      </c>
      <c r="F5113" s="1" t="s">
        <v>96</v>
      </c>
      <c r="G5113" s="1" t="s">
        <v>26551</v>
      </c>
      <c r="H5113" s="1">
        <v>2017.0</v>
      </c>
      <c r="I5113" s="1" t="s">
        <v>136</v>
      </c>
      <c r="J5113" s="1" t="s">
        <v>51</v>
      </c>
      <c r="K5113" s="1" t="s">
        <v>4190</v>
      </c>
      <c r="L5113" s="1" t="s">
        <v>26555</v>
      </c>
      <c r="M5113" s="2" t="s">
        <v>12</v>
      </c>
      <c r="N5113" s="4">
        <f t="shared" si="1"/>
        <v>43092</v>
      </c>
      <c r="O5113" s="5" t="str">
        <f>IFERROR(__xludf.DUMMYFUNCTION("IF(REGEXMATCH(TRIM(I5113), ""^\d+\s*min""), ""Unclassified"", IF(I5113 = """", ""NR"", I5113))"),"TV-PG")</f>
        <v>TV-PG</v>
      </c>
      <c r="R5113" s="5" t="str">
        <f t="shared" si="2"/>
        <v>Myths &amp; Monsters</v>
      </c>
      <c r="S5113" s="5" t="str">
        <f>IFERROR(__xludf.DUMMYFUNCTION("""COMPUTED_VALUE"""),"Nova: Killer Floods")</f>
        <v>Nova: Killer Floods</v>
      </c>
      <c r="V5113" s="5"/>
      <c r="Y5113" s="5" t="str">
        <f>IFERROR(__xludf.DUMMYFUNCTION("REGEXEXTRACT(J5113, ""^\d+"")"),"1")</f>
        <v>1</v>
      </c>
      <c r="Z5113" s="5" t="str">
        <f>IFERROR(__xludf.DUMMYFUNCTION("REGEXEXTRACT(J5113, ""[A-Za-z ]+$"")")," Season")</f>
        <v> Season</v>
      </c>
      <c r="AA5113" s="5" t="str">
        <f>IFERROR(__xludf.DUMMYFUNCTION("IF(REGEXMATCH(Z5113, ""Season""), ""TV Show"", ""Movie"")"),"TV Show")</f>
        <v>TV Show</v>
      </c>
    </row>
    <row r="5114">
      <c r="A5114" s="1" t="s">
        <v>26556</v>
      </c>
      <c r="B5114" s="1" t="s">
        <v>37</v>
      </c>
      <c r="C5114" s="1" t="s">
        <v>26557</v>
      </c>
      <c r="E5114" s="1" t="s">
        <v>24812</v>
      </c>
      <c r="F5114" s="1" t="s">
        <v>972</v>
      </c>
      <c r="G5114" s="1" t="s">
        <v>26558</v>
      </c>
      <c r="H5114" s="1">
        <v>2017.0</v>
      </c>
      <c r="I5114" s="1" t="s">
        <v>97</v>
      </c>
      <c r="J5114" s="1" t="s">
        <v>51</v>
      </c>
      <c r="K5114" s="1" t="s">
        <v>3350</v>
      </c>
      <c r="L5114" s="1" t="s">
        <v>26559</v>
      </c>
      <c r="M5114" s="2" t="s">
        <v>12</v>
      </c>
      <c r="N5114" s="4">
        <f t="shared" si="1"/>
        <v>43091</v>
      </c>
      <c r="O5114" s="5" t="str">
        <f>IFERROR(__xludf.DUMMYFUNCTION("IF(REGEXMATCH(TRIM(I5114), ""^\d+\s*min""), ""Unclassified"", IF(I5114 = """", ""NR"", I5114))"),"TV-14")</f>
        <v>TV-14</v>
      </c>
      <c r="R5114" s="5" t="str">
        <f t="shared" si="2"/>
        <v>72 Dangerous Animals: Latin America</v>
      </c>
      <c r="S5114" s="5" t="str">
        <f>IFERROR(__xludf.DUMMYFUNCTION("""COMPUTED_VALUE"""),"Nova: Killer Hurricanes")</f>
        <v>Nova: Killer Hurricanes</v>
      </c>
      <c r="V5114" s="5"/>
      <c r="Y5114" s="5" t="str">
        <f>IFERROR(__xludf.DUMMYFUNCTION("REGEXEXTRACT(J5114, ""^\d+"")"),"1")</f>
        <v>1</v>
      </c>
      <c r="Z5114" s="5" t="str">
        <f>IFERROR(__xludf.DUMMYFUNCTION("REGEXEXTRACT(J5114, ""[A-Za-z ]+$"")")," Season")</f>
        <v> Season</v>
      </c>
      <c r="AA5114" s="5" t="str">
        <f>IFERROR(__xludf.DUMMYFUNCTION("IF(REGEXMATCH(Z5114, ""Season""), ""TV Show"", ""Movie"")"),"TV Show")</f>
        <v>TV Show</v>
      </c>
    </row>
    <row r="5115">
      <c r="A5115" s="1" t="s">
        <v>26560</v>
      </c>
      <c r="B5115" s="1" t="s">
        <v>27</v>
      </c>
      <c r="C5115" s="1" t="s">
        <v>26561</v>
      </c>
      <c r="D5115" s="1" t="s">
        <v>5228</v>
      </c>
      <c r="E5115" s="1" t="s">
        <v>26562</v>
      </c>
      <c r="F5115" s="1" t="s">
        <v>30</v>
      </c>
      <c r="G5115" s="1" t="s">
        <v>26558</v>
      </c>
      <c r="H5115" s="1">
        <v>2017.0</v>
      </c>
      <c r="I5115" s="1" t="s">
        <v>42</v>
      </c>
      <c r="J5115" s="1" t="s">
        <v>870</v>
      </c>
      <c r="K5115" s="1" t="s">
        <v>942</v>
      </c>
      <c r="L5115" s="1" t="s">
        <v>26563</v>
      </c>
      <c r="M5115" s="2" t="s">
        <v>12</v>
      </c>
      <c r="N5115" s="4">
        <f t="shared" si="1"/>
        <v>43091</v>
      </c>
      <c r="O5115" s="5" t="str">
        <f>IFERROR(__xludf.DUMMYFUNCTION("IF(REGEXMATCH(TRIM(I5115), ""^\d+\s*min""), ""Unclassified"", IF(I5115 = """", ""NR"", I5115))"),"TV-MA")</f>
        <v>TV-MA</v>
      </c>
      <c r="R5115" s="5" t="str">
        <f t="shared" si="2"/>
        <v>Bright</v>
      </c>
      <c r="S5115" s="5" t="str">
        <f>IFERROR(__xludf.DUMMYFUNCTION("""COMPUTED_VALUE"""),"Nova: Killer Volcanoes")</f>
        <v>Nova: Killer Volcanoes</v>
      </c>
      <c r="V5115" s="5"/>
      <c r="Y5115" s="5" t="str">
        <f>IFERROR(__xludf.DUMMYFUNCTION("REGEXEXTRACT(J5115, ""^\d+"")"),"118")</f>
        <v>118</v>
      </c>
      <c r="Z5115" s="5" t="str">
        <f>IFERROR(__xludf.DUMMYFUNCTION("REGEXEXTRACT(J5115, ""[A-Za-z ]+$"")")," min")</f>
        <v> min</v>
      </c>
      <c r="AA5115" s="5" t="str">
        <f>IFERROR(__xludf.DUMMYFUNCTION("IF(REGEXMATCH(Z5115, ""Season""), ""TV Show"", ""Movie"")"),"Movie")</f>
        <v>Movie</v>
      </c>
    </row>
    <row r="5116">
      <c r="A5116" s="1" t="s">
        <v>26564</v>
      </c>
      <c r="B5116" s="1" t="s">
        <v>27</v>
      </c>
      <c r="C5116" s="1" t="s">
        <v>26565</v>
      </c>
      <c r="D5116" s="1" t="s">
        <v>6492</v>
      </c>
      <c r="E5116" s="1" t="s">
        <v>26566</v>
      </c>
      <c r="F5116" s="1" t="s">
        <v>1815</v>
      </c>
      <c r="G5116" s="1" t="s">
        <v>26567</v>
      </c>
      <c r="H5116" s="1">
        <v>2017.0</v>
      </c>
      <c r="I5116" s="1" t="s">
        <v>42</v>
      </c>
      <c r="J5116" s="1" t="s">
        <v>170</v>
      </c>
      <c r="K5116" s="1" t="s">
        <v>679</v>
      </c>
      <c r="L5116" s="1" t="s">
        <v>26568</v>
      </c>
      <c r="M5116" s="2" t="s">
        <v>12</v>
      </c>
      <c r="N5116" s="4">
        <f t="shared" si="1"/>
        <v>43090</v>
      </c>
      <c r="O5116" s="5" t="str">
        <f>IFERROR(__xludf.DUMMYFUNCTION("IF(REGEXMATCH(TRIM(I5116), ""^\d+\s*min""), ""Unclassified"", IF(I5116 = """", ""NR"", I5116))"),"TV-MA")</f>
        <v>TV-MA</v>
      </c>
      <c r="R5116" s="5" t="str">
        <f t="shared" si="2"/>
        <v>Desire</v>
      </c>
      <c r="S5116" s="5" t="str">
        <f>IFERROR(__xludf.DUMMYFUNCTION("""COMPUTED_VALUE"""),"Nova: Poisoned Water")</f>
        <v>Nova: Poisoned Water</v>
      </c>
      <c r="V5116" s="5"/>
      <c r="Y5116" s="5" t="str">
        <f>IFERROR(__xludf.DUMMYFUNCTION("REGEXEXTRACT(J5116, ""^\d+"")"),"94")</f>
        <v>94</v>
      </c>
      <c r="Z5116" s="5" t="str">
        <f>IFERROR(__xludf.DUMMYFUNCTION("REGEXEXTRACT(J5116, ""[A-Za-z ]+$"")")," min")</f>
        <v> min</v>
      </c>
      <c r="AA5116" s="5" t="str">
        <f>IFERROR(__xludf.DUMMYFUNCTION("IF(REGEXMATCH(Z5116, ""Season""), ""TV Show"", ""Movie"")"),"Movie")</f>
        <v>Movie</v>
      </c>
    </row>
    <row r="5117">
      <c r="A5117" s="1" t="s">
        <v>26569</v>
      </c>
      <c r="B5117" s="1" t="s">
        <v>27</v>
      </c>
      <c r="C5117" s="1" t="s">
        <v>26570</v>
      </c>
      <c r="D5117" s="1" t="s">
        <v>14602</v>
      </c>
      <c r="E5117" s="1" t="s">
        <v>26571</v>
      </c>
      <c r="F5117" s="1" t="s">
        <v>1106</v>
      </c>
      <c r="G5117" s="1" t="s">
        <v>26572</v>
      </c>
      <c r="H5117" s="1">
        <v>2017.0</v>
      </c>
      <c r="I5117" s="1" t="s">
        <v>506</v>
      </c>
      <c r="J5117" s="1" t="s">
        <v>1608</v>
      </c>
      <c r="K5117" s="1" t="s">
        <v>137</v>
      </c>
      <c r="L5117" s="1" t="s">
        <v>26573</v>
      </c>
      <c r="M5117" s="2" t="s">
        <v>12</v>
      </c>
      <c r="N5117" s="4">
        <f t="shared" si="1"/>
        <v>43089</v>
      </c>
      <c r="O5117" s="5" t="str">
        <f>IFERROR(__xludf.DUMMYFUNCTION("IF(REGEXMATCH(TRIM(I5117), ""^\d+\s*min""), ""Unclassified"", IF(I5117 = """", ""NR"", I5117))"),"TV-G")</f>
        <v>TV-G</v>
      </c>
      <c r="R5117" s="5" t="str">
        <f t="shared" si="2"/>
        <v>48 Christmas Wishes</v>
      </c>
      <c r="S5117" s="5" t="str">
        <f>IFERROR(__xludf.DUMMYFUNCTION("""COMPUTED_VALUE"""),"Nova: Prediction By The Numbers")</f>
        <v>Nova: Prediction By The Numbers</v>
      </c>
      <c r="V5117" s="5"/>
      <c r="Y5117" s="5" t="str">
        <f>IFERROR(__xludf.DUMMYFUNCTION("REGEXEXTRACT(J5117, ""^\d+"")"),"84")</f>
        <v>84</v>
      </c>
      <c r="Z5117" s="5" t="str">
        <f>IFERROR(__xludf.DUMMYFUNCTION("REGEXEXTRACT(J5117, ""[A-Za-z ]+$"")")," min")</f>
        <v> min</v>
      </c>
      <c r="AA5117" s="5" t="str">
        <f>IFERROR(__xludf.DUMMYFUNCTION("IF(REGEXMATCH(Z5117, ""Season""), ""TV Show"", ""Movie"")"),"Movie")</f>
        <v>Movie</v>
      </c>
    </row>
    <row r="5118">
      <c r="A5118" s="1" t="s">
        <v>26574</v>
      </c>
      <c r="B5118" s="1" t="s">
        <v>27</v>
      </c>
      <c r="C5118" s="1" t="s">
        <v>26575</v>
      </c>
      <c r="D5118" s="1" t="s">
        <v>14156</v>
      </c>
      <c r="E5118" s="1" t="s">
        <v>26576</v>
      </c>
      <c r="F5118" s="1" t="s">
        <v>5541</v>
      </c>
      <c r="G5118" s="1" t="s">
        <v>26572</v>
      </c>
      <c r="H5118" s="1">
        <v>2016.0</v>
      </c>
      <c r="I5118" s="1" t="s">
        <v>378</v>
      </c>
      <c r="J5118" s="1" t="s">
        <v>238</v>
      </c>
      <c r="K5118" s="1" t="s">
        <v>34</v>
      </c>
      <c r="L5118" s="1" t="s">
        <v>26577</v>
      </c>
      <c r="M5118" s="2" t="s">
        <v>12</v>
      </c>
      <c r="N5118" s="4">
        <f t="shared" si="1"/>
        <v>43089</v>
      </c>
      <c r="O5118" s="5" t="str">
        <f>IFERROR(__xludf.DUMMYFUNCTION("IF(REGEXMATCH(TRIM(I5118), ""^\d+\s*min""), ""Unclassified"", IF(I5118 = """", ""NR"", I5118))"),"R")</f>
        <v>R</v>
      </c>
      <c r="R5118" s="5" t="str">
        <f t="shared" si="2"/>
        <v>Jeremiah Tower: The Last Magnificent</v>
      </c>
      <c r="S5118" s="5" t="str">
        <f>IFERROR(__xludf.DUMMYFUNCTION("""COMPUTED_VALUE"""),"Nova: Secrets Of The Shining Knight")</f>
        <v>Nova: Secrets Of The Shining Knight</v>
      </c>
      <c r="V5118" s="5"/>
      <c r="Y5118" s="5" t="str">
        <f>IFERROR(__xludf.DUMMYFUNCTION("REGEXEXTRACT(J5118, ""^\d+"")"),"103")</f>
        <v>103</v>
      </c>
      <c r="Z5118" s="5" t="str">
        <f>IFERROR(__xludf.DUMMYFUNCTION("REGEXEXTRACT(J5118, ""[A-Za-z ]+$"")")," min")</f>
        <v> min</v>
      </c>
      <c r="AA5118" s="5" t="str">
        <f>IFERROR(__xludf.DUMMYFUNCTION("IF(REGEXMATCH(Z5118, ""Season""), ""TV Show"", ""Movie"")"),"Movie")</f>
        <v>Movie</v>
      </c>
    </row>
    <row r="5119">
      <c r="A5119" s="1" t="s">
        <v>26578</v>
      </c>
      <c r="B5119" s="1" t="s">
        <v>27</v>
      </c>
      <c r="C5119" s="1" t="s">
        <v>26579</v>
      </c>
      <c r="D5119" s="1" t="s">
        <v>18045</v>
      </c>
      <c r="E5119" s="1" t="s">
        <v>26580</v>
      </c>
      <c r="F5119" s="1" t="s">
        <v>96</v>
      </c>
      <c r="G5119" s="1" t="s">
        <v>26581</v>
      </c>
      <c r="H5119" s="1">
        <v>2017.0</v>
      </c>
      <c r="I5119" s="1" t="s">
        <v>42</v>
      </c>
      <c r="J5119" s="1" t="s">
        <v>1993</v>
      </c>
      <c r="K5119" s="1" t="s">
        <v>1839</v>
      </c>
      <c r="L5119" s="1" t="s">
        <v>26582</v>
      </c>
      <c r="M5119" s="2" t="s">
        <v>12</v>
      </c>
      <c r="N5119" s="4">
        <f t="shared" si="1"/>
        <v>43088</v>
      </c>
      <c r="O5119" s="5" t="str">
        <f>IFERROR(__xludf.DUMMYFUNCTION("IF(REGEXMATCH(TRIM(I5119), ""^\d+\s*min""), ""Unclassified"", IF(I5119 = """", ""NR"", I5119))"),"TV-MA")</f>
        <v>TV-MA</v>
      </c>
      <c r="R5119" s="5" t="str">
        <f t="shared" si="2"/>
        <v>Russell Howard: Recalibrate</v>
      </c>
      <c r="S5119" s="5" t="str">
        <f>IFERROR(__xludf.DUMMYFUNCTION("""COMPUTED_VALUE"""),"Nova: Thai Cave Rescue")</f>
        <v>Nova: Thai Cave Rescue</v>
      </c>
      <c r="V5119" s="5"/>
      <c r="Y5119" s="5" t="str">
        <f>IFERROR(__xludf.DUMMYFUNCTION("REGEXEXTRACT(J5119, ""^\d+"")"),"69")</f>
        <v>69</v>
      </c>
      <c r="Z5119" s="5" t="str">
        <f>IFERROR(__xludf.DUMMYFUNCTION("REGEXEXTRACT(J5119, ""[A-Za-z ]+$"")")," min")</f>
        <v> min</v>
      </c>
      <c r="AA5119" s="5" t="str">
        <f>IFERROR(__xludf.DUMMYFUNCTION("IF(REGEXMATCH(Z5119, ""Season""), ""TV Show"", ""Movie"")"),"Movie")</f>
        <v>Movie</v>
      </c>
    </row>
    <row r="5120">
      <c r="A5120" s="1" t="s">
        <v>26583</v>
      </c>
      <c r="B5120" s="1" t="s">
        <v>37</v>
      </c>
      <c r="C5120" s="1" t="s">
        <v>26584</v>
      </c>
      <c r="E5120" s="1" t="s">
        <v>26585</v>
      </c>
      <c r="F5120" s="1" t="s">
        <v>26586</v>
      </c>
      <c r="G5120" s="1" t="s">
        <v>26581</v>
      </c>
      <c r="H5120" s="1">
        <v>2017.0</v>
      </c>
      <c r="I5120" s="1" t="s">
        <v>97</v>
      </c>
      <c r="J5120" s="1" t="s">
        <v>51</v>
      </c>
      <c r="K5120" s="1" t="s">
        <v>2493</v>
      </c>
      <c r="L5120" s="1" t="s">
        <v>26587</v>
      </c>
      <c r="M5120" s="2" t="s">
        <v>12</v>
      </c>
      <c r="N5120" s="4">
        <f t="shared" si="1"/>
        <v>43088</v>
      </c>
      <c r="O5120" s="5" t="str">
        <f>IFERROR(__xludf.DUMMYFUNCTION("IF(REGEXMATCH(TRIM(I5120), ""^\d+\s*min""), ""Unclassified"", IF(I5120 = """", ""NR"", I5120))"),"TV-14")</f>
        <v>TV-14</v>
      </c>
      <c r="R5120" s="5" t="str">
        <f t="shared" si="2"/>
        <v>The Indian Detective</v>
      </c>
      <c r="S5120" s="5" t="str">
        <f>IFERROR(__xludf.DUMMYFUNCTION("""COMPUTED_VALUE"""),"Nova: The Impossible Flight")</f>
        <v>Nova: The Impossible Flight</v>
      </c>
      <c r="V5120" s="5"/>
      <c r="Y5120" s="5" t="str">
        <f>IFERROR(__xludf.DUMMYFUNCTION("REGEXEXTRACT(J5120, ""^\d+"")"),"1")</f>
        <v>1</v>
      </c>
      <c r="Z5120" s="5" t="str">
        <f>IFERROR(__xludf.DUMMYFUNCTION("REGEXEXTRACT(J5120, ""[A-Za-z ]+$"")")," Season")</f>
        <v> Season</v>
      </c>
      <c r="AA5120" s="5" t="str">
        <f>IFERROR(__xludf.DUMMYFUNCTION("IF(REGEXMATCH(Z5120, ""Season""), ""TV Show"", ""Movie"")"),"TV Show")</f>
        <v>TV Show</v>
      </c>
    </row>
    <row r="5121">
      <c r="A5121" s="1" t="s">
        <v>26588</v>
      </c>
      <c r="B5121" s="1" t="s">
        <v>37</v>
      </c>
      <c r="C5121" s="1" t="s">
        <v>26589</v>
      </c>
      <c r="E5121" s="1" t="s">
        <v>26590</v>
      </c>
      <c r="F5121" s="1" t="s">
        <v>749</v>
      </c>
      <c r="G5121" s="1" t="s">
        <v>26591</v>
      </c>
      <c r="H5121" s="1">
        <v>2017.0</v>
      </c>
      <c r="I5121" s="1" t="s">
        <v>42</v>
      </c>
      <c r="J5121" s="1" t="s">
        <v>43</v>
      </c>
      <c r="K5121" s="1" t="s">
        <v>7164</v>
      </c>
      <c r="L5121" s="1" t="s">
        <v>26592</v>
      </c>
      <c r="M5121" s="2" t="s">
        <v>12</v>
      </c>
      <c r="N5121" s="4">
        <f t="shared" si="1"/>
        <v>43087</v>
      </c>
      <c r="O5121" s="5" t="str">
        <f>IFERROR(__xludf.DUMMYFUNCTION("IF(REGEXMATCH(TRIM(I5121), ""^\d+\s*min""), ""Unclassified"", IF(I5121 = """", ""NR"", I5121))"),"TV-MA")</f>
        <v>TV-MA</v>
      </c>
      <c r="R5121" s="5" t="str">
        <f t="shared" si="2"/>
        <v>Hello, My Twenties!</v>
      </c>
      <c r="S5121" s="5" t="str">
        <f>IFERROR(__xludf.DUMMYFUNCTION("""COMPUTED_VALUE"""),"Nova: Ultimate Mars Challenge")</f>
        <v>Nova: Ultimate Mars Challenge</v>
      </c>
      <c r="V5121" s="5"/>
      <c r="Y5121" s="5" t="str">
        <f>IFERROR(__xludf.DUMMYFUNCTION("REGEXEXTRACT(J5121, ""^\d+"")"),"2")</f>
        <v>2</v>
      </c>
      <c r="Z5121" s="5" t="str">
        <f>IFERROR(__xludf.DUMMYFUNCTION("REGEXEXTRACT(J5121, ""[A-Za-z ]+$"")")," Seasons")</f>
        <v> Seasons</v>
      </c>
      <c r="AA5121" s="5" t="str">
        <f>IFERROR(__xludf.DUMMYFUNCTION("IF(REGEXMATCH(Z5121, ""Season""), ""TV Show"", ""Movie"")"),"TV Show")</f>
        <v>TV Show</v>
      </c>
    </row>
    <row r="5122">
      <c r="A5122" s="1" t="s">
        <v>26593</v>
      </c>
      <c r="B5122" s="1" t="s">
        <v>37</v>
      </c>
      <c r="C5122" s="1" t="s">
        <v>26594</v>
      </c>
      <c r="E5122" s="1" t="s">
        <v>26595</v>
      </c>
      <c r="G5122" s="1" t="s">
        <v>26596</v>
      </c>
      <c r="H5122" s="1">
        <v>2015.0</v>
      </c>
      <c r="I5122" s="1" t="s">
        <v>42</v>
      </c>
      <c r="J5122" s="1" t="s">
        <v>51</v>
      </c>
      <c r="K5122" s="1" t="s">
        <v>15002</v>
      </c>
      <c r="L5122" s="1" t="s">
        <v>26597</v>
      </c>
      <c r="M5122" s="2" t="s">
        <v>12</v>
      </c>
      <c r="N5122" s="4">
        <f t="shared" si="1"/>
        <v>43084</v>
      </c>
      <c r="O5122" s="5" t="str">
        <f>IFERROR(__xludf.DUMMYFUNCTION("IF(REGEXMATCH(TRIM(I5122), ""^\d+\s*min""), ""Unclassified"", IF(I5122 = """", ""NR"", I5122))"),"TV-MA")</f>
        <v>TV-MA</v>
      </c>
      <c r="R5122" s="5" t="str">
        <f t="shared" si="2"/>
        <v>Cheuk Wan-Chi: Two Night Stand</v>
      </c>
      <c r="S5122" s="5" t="str">
        <f>IFERROR(__xludf.DUMMYFUNCTION("""COMPUTED_VALUE"""),"November 13: Attack On Paris")</f>
        <v>November 13: Attack On Paris</v>
      </c>
      <c r="V5122" s="5"/>
      <c r="Y5122" s="5" t="str">
        <f>IFERROR(__xludf.DUMMYFUNCTION("REGEXEXTRACT(J5122, ""^\d+"")"),"1")</f>
        <v>1</v>
      </c>
      <c r="Z5122" s="5" t="str">
        <f>IFERROR(__xludf.DUMMYFUNCTION("REGEXEXTRACT(J5122, ""[A-Za-z ]+$"")")," Season")</f>
        <v> Season</v>
      </c>
      <c r="AA5122" s="5" t="str">
        <f>IFERROR(__xludf.DUMMYFUNCTION("IF(REGEXMATCH(Z5122, ""Season""), ""TV Show"", ""Movie"")"),"TV Show")</f>
        <v>TV Show</v>
      </c>
    </row>
    <row r="5123">
      <c r="A5123" s="1" t="s">
        <v>26598</v>
      </c>
      <c r="B5123" s="1" t="s">
        <v>27</v>
      </c>
      <c r="C5123" s="1" t="s">
        <v>26599</v>
      </c>
      <c r="D5123" s="1" t="s">
        <v>3476</v>
      </c>
      <c r="E5123" s="1" t="s">
        <v>26600</v>
      </c>
      <c r="F5123" s="1" t="s">
        <v>30</v>
      </c>
      <c r="G5123" s="1" t="s">
        <v>26596</v>
      </c>
      <c r="H5123" s="1">
        <v>2017.0</v>
      </c>
      <c r="I5123" s="1" t="s">
        <v>506</v>
      </c>
      <c r="J5123" s="1" t="s">
        <v>305</v>
      </c>
      <c r="K5123" s="1" t="s">
        <v>679</v>
      </c>
      <c r="L5123" s="1" t="s">
        <v>26601</v>
      </c>
      <c r="M5123" s="2" t="s">
        <v>12</v>
      </c>
      <c r="N5123" s="4">
        <f t="shared" si="1"/>
        <v>43084</v>
      </c>
      <c r="O5123" s="5" t="str">
        <f>IFERROR(__xludf.DUMMYFUNCTION("IF(REGEXMATCH(TRIM(I5123), ""^\d+\s*min""), ""Unclassified"", IF(I5123 = """", ""NR"", I5123))"),"TV-G")</f>
        <v>TV-G</v>
      </c>
      <c r="R5123" s="5" t="str">
        <f t="shared" si="2"/>
        <v>Christmas Inheritance</v>
      </c>
      <c r="S5123" s="5" t="str">
        <f>IFERROR(__xludf.DUMMYFUNCTION("""COMPUTED_VALUE"""),"November Criminals")</f>
        <v>November Criminals</v>
      </c>
      <c r="V5123" s="5"/>
      <c r="Y5123" s="5" t="str">
        <f>IFERROR(__xludf.DUMMYFUNCTION("REGEXEXTRACT(J5123, ""^\d+"")"),"105")</f>
        <v>105</v>
      </c>
      <c r="Z5123" s="5" t="str">
        <f>IFERROR(__xludf.DUMMYFUNCTION("REGEXEXTRACT(J5123, ""[A-Za-z ]+$"")")," min")</f>
        <v> min</v>
      </c>
      <c r="AA5123" s="5" t="str">
        <f>IFERROR(__xludf.DUMMYFUNCTION("IF(REGEXMATCH(Z5123, ""Season""), ""TV Show"", ""Movie"")"),"Movie")</f>
        <v>Movie</v>
      </c>
    </row>
    <row r="5124">
      <c r="A5124" s="1" t="s">
        <v>26602</v>
      </c>
      <c r="B5124" s="1" t="s">
        <v>27</v>
      </c>
      <c r="C5124" s="1" t="s">
        <v>26603</v>
      </c>
      <c r="D5124" s="1" t="s">
        <v>23130</v>
      </c>
      <c r="E5124" s="1" t="s">
        <v>26604</v>
      </c>
      <c r="F5124" s="1" t="s">
        <v>63</v>
      </c>
      <c r="G5124" s="1" t="s">
        <v>26596</v>
      </c>
      <c r="H5124" s="1">
        <v>2017.0</v>
      </c>
      <c r="I5124" s="1" t="s">
        <v>42</v>
      </c>
      <c r="J5124" s="1" t="s">
        <v>757</v>
      </c>
      <c r="K5124" s="1" t="s">
        <v>583</v>
      </c>
      <c r="L5124" s="1" t="s">
        <v>26605</v>
      </c>
      <c r="M5124" s="2" t="s">
        <v>12</v>
      </c>
      <c r="N5124" s="4">
        <f t="shared" si="1"/>
        <v>43084</v>
      </c>
      <c r="O5124" s="5" t="str">
        <f>IFERROR(__xludf.DUMMYFUNCTION("IF(REGEXMATCH(TRIM(I5124), ""^\d+\s*min""), ""Unclassified"", IF(I5124 = """", ""NR"", I5124))"),"TV-MA")</f>
        <v>TV-MA</v>
      </c>
      <c r="R5124" s="5" t="str">
        <f t="shared" si="2"/>
        <v>Muramba</v>
      </c>
      <c r="S5124" s="5" t="str">
        <f>IFERROR(__xludf.DUMMYFUNCTION("""COMPUTED_VALUE"""),"Now And Then")</f>
        <v>Now And Then</v>
      </c>
      <c r="V5124" s="5"/>
      <c r="Y5124" s="5" t="str">
        <f>IFERROR(__xludf.DUMMYFUNCTION("REGEXEXTRACT(J5124, ""^\d+"")"),"128")</f>
        <v>128</v>
      </c>
      <c r="Z5124" s="5" t="str">
        <f>IFERROR(__xludf.DUMMYFUNCTION("REGEXEXTRACT(J5124, ""[A-Za-z ]+$"")")," min")</f>
        <v> min</v>
      </c>
      <c r="AA5124" s="5" t="str">
        <f>IFERROR(__xludf.DUMMYFUNCTION("IF(REGEXMATCH(Z5124, ""Season""), ""TV Show"", ""Movie"")"),"Movie")</f>
        <v>Movie</v>
      </c>
    </row>
    <row r="5125">
      <c r="A5125" s="1" t="s">
        <v>26606</v>
      </c>
      <c r="B5125" s="1" t="s">
        <v>27</v>
      </c>
      <c r="C5125" s="1" t="s">
        <v>26607</v>
      </c>
      <c r="D5125" s="1" t="s">
        <v>20826</v>
      </c>
      <c r="E5125" s="1" t="s">
        <v>26608</v>
      </c>
      <c r="F5125" s="1" t="s">
        <v>30</v>
      </c>
      <c r="G5125" s="1" t="s">
        <v>26596</v>
      </c>
      <c r="H5125" s="1">
        <v>2017.0</v>
      </c>
      <c r="I5125" s="1" t="s">
        <v>32</v>
      </c>
      <c r="J5125" s="1" t="s">
        <v>1144</v>
      </c>
      <c r="K5125" s="1" t="s">
        <v>1749</v>
      </c>
      <c r="L5125" s="1" t="s">
        <v>26609</v>
      </c>
      <c r="M5125" s="2" t="s">
        <v>12</v>
      </c>
      <c r="N5125" s="4">
        <f t="shared" si="1"/>
        <v>43084</v>
      </c>
      <c r="O5125" s="5" t="str">
        <f>IFERROR(__xludf.DUMMYFUNCTION("IF(REGEXMATCH(TRIM(I5125), ""^\d+\s*min""), ""Unclassified"", IF(I5125 = """", ""NR"", I5125))"),"PG-13")</f>
        <v>PG-13</v>
      </c>
      <c r="R5125" s="5" t="str">
        <f t="shared" si="2"/>
        <v>Pottersville</v>
      </c>
      <c r="S5125" s="5" t="str">
        <f>IFERROR(__xludf.DUMMYFUNCTION("""COMPUTED_VALUE"""),"Now More Than Ever: The History Of Chicago")</f>
        <v>Now More Than Ever: The History Of Chicago</v>
      </c>
      <c r="V5125" s="5"/>
      <c r="Y5125" s="5" t="str">
        <f>IFERROR(__xludf.DUMMYFUNCTION("REGEXEXTRACT(J5125, ""^\d+"")"),"86")</f>
        <v>86</v>
      </c>
      <c r="Z5125" s="5" t="str">
        <f>IFERROR(__xludf.DUMMYFUNCTION("REGEXEXTRACT(J5125, ""[A-Za-z ]+$"")")," min")</f>
        <v> min</v>
      </c>
      <c r="AA5125" s="5" t="str">
        <f>IFERROR(__xludf.DUMMYFUNCTION("IF(REGEXMATCH(Z5125, ""Season""), ""TV Show"", ""Movie"")"),"Movie")</f>
        <v>Movie</v>
      </c>
    </row>
    <row r="5126">
      <c r="A5126" s="1" t="s">
        <v>26610</v>
      </c>
      <c r="B5126" s="1" t="s">
        <v>27</v>
      </c>
      <c r="C5126" s="1" t="s">
        <v>26611</v>
      </c>
      <c r="D5126" s="1" t="s">
        <v>3281</v>
      </c>
      <c r="E5126" s="1" t="s">
        <v>26612</v>
      </c>
      <c r="F5126" s="1" t="s">
        <v>26613</v>
      </c>
      <c r="G5126" s="1" t="s">
        <v>26596</v>
      </c>
      <c r="H5126" s="1">
        <v>2015.0</v>
      </c>
      <c r="I5126" s="1" t="s">
        <v>42</v>
      </c>
      <c r="J5126" s="1" t="s">
        <v>1065</v>
      </c>
      <c r="K5126" s="1" t="s">
        <v>583</v>
      </c>
      <c r="L5126" s="1" t="s">
        <v>26614</v>
      </c>
      <c r="M5126" s="2" t="s">
        <v>12</v>
      </c>
      <c r="N5126" s="4">
        <f t="shared" si="1"/>
        <v>43084</v>
      </c>
      <c r="O5126" s="5" t="str">
        <f>IFERROR(__xludf.DUMMYFUNCTION("IF(REGEXMATCH(TRIM(I5126), ""^\d+\s*min""), ""Unclassified"", IF(I5126 = """", ""NR"", I5126))"),"TV-MA")</f>
        <v>TV-MA</v>
      </c>
      <c r="R5126" s="5" t="str">
        <f t="shared" si="2"/>
        <v>Seoul Searching</v>
      </c>
      <c r="S5126" s="5" t="str">
        <f>IFERROR(__xludf.DUMMYFUNCTION("""COMPUTED_VALUE"""),"Nowhere Boy")</f>
        <v>Nowhere Boy</v>
      </c>
      <c r="V5126" s="5"/>
      <c r="Y5126" s="5" t="str">
        <f>IFERROR(__xludf.DUMMYFUNCTION("REGEXEXTRACT(J5126, ""^\d+"")"),"109")</f>
        <v>109</v>
      </c>
      <c r="Z5126" s="5" t="str">
        <f>IFERROR(__xludf.DUMMYFUNCTION("REGEXEXTRACT(J5126, ""[A-Za-z ]+$"")")," min")</f>
        <v> min</v>
      </c>
      <c r="AA5126" s="5" t="str">
        <f>IFERROR(__xludf.DUMMYFUNCTION("IF(REGEXMATCH(Z5126, ""Season""), ""TV Show"", ""Movie"")"),"Movie")</f>
        <v>Movie</v>
      </c>
    </row>
    <row r="5127">
      <c r="A5127" s="1" t="s">
        <v>26615</v>
      </c>
      <c r="B5127" s="1" t="s">
        <v>37</v>
      </c>
      <c r="C5127" s="1" t="s">
        <v>26616</v>
      </c>
      <c r="E5127" s="1" t="s">
        <v>26617</v>
      </c>
      <c r="F5127" s="1" t="s">
        <v>30</v>
      </c>
      <c r="G5127" s="1" t="s">
        <v>26596</v>
      </c>
      <c r="H5127" s="1">
        <v>2017.0</v>
      </c>
      <c r="I5127" s="1" t="s">
        <v>97</v>
      </c>
      <c r="J5127" s="1" t="s">
        <v>51</v>
      </c>
      <c r="K5127" s="1" t="s">
        <v>2043</v>
      </c>
      <c r="L5127" s="1" t="s">
        <v>26618</v>
      </c>
      <c r="M5127" s="2" t="s">
        <v>12</v>
      </c>
      <c r="N5127" s="4">
        <f t="shared" si="1"/>
        <v>43084</v>
      </c>
      <c r="O5127" s="5" t="str">
        <f>IFERROR(__xludf.DUMMYFUNCTION("IF(REGEXMATCH(TRIM(I5127), ""^\d+\s*min""), ""Unclassified"", IF(I5127 = """", ""NR"", I5127))"),"TV-14")</f>
        <v>TV-14</v>
      </c>
      <c r="R5127" s="5" t="str">
        <f t="shared" si="2"/>
        <v>Wormwood</v>
      </c>
      <c r="S5127" s="5" t="str">
        <f>IFERROR(__xludf.DUMMYFUNCTION("""COMPUTED_VALUE"""),"Nowhere Man")</f>
        <v>Nowhere Man</v>
      </c>
      <c r="V5127" s="5"/>
      <c r="Y5127" s="5" t="str">
        <f>IFERROR(__xludf.DUMMYFUNCTION("REGEXEXTRACT(J5127, ""^\d+"")"),"1")</f>
        <v>1</v>
      </c>
      <c r="Z5127" s="5" t="str">
        <f>IFERROR(__xludf.DUMMYFUNCTION("REGEXEXTRACT(J5127, ""[A-Za-z ]+$"")")," Season")</f>
        <v> Season</v>
      </c>
      <c r="AA5127" s="5" t="str">
        <f>IFERROR(__xludf.DUMMYFUNCTION("IF(REGEXMATCH(Z5127, ""Season""), ""TV Show"", ""Movie"")"),"TV Show")</f>
        <v>TV Show</v>
      </c>
    </row>
    <row r="5128">
      <c r="A5128" s="1" t="s">
        <v>26619</v>
      </c>
      <c r="B5128" s="1" t="s">
        <v>37</v>
      </c>
      <c r="C5128" s="1" t="s">
        <v>26620</v>
      </c>
      <c r="E5128" s="1" t="s">
        <v>26621</v>
      </c>
      <c r="F5128" s="1" t="s">
        <v>30</v>
      </c>
      <c r="G5128" s="1" t="s">
        <v>26622</v>
      </c>
      <c r="H5128" s="1">
        <v>2017.0</v>
      </c>
      <c r="I5128" s="1" t="s">
        <v>97</v>
      </c>
      <c r="J5128" s="1" t="s">
        <v>148</v>
      </c>
      <c r="K5128" s="1" t="s">
        <v>2709</v>
      </c>
      <c r="L5128" s="1" t="s">
        <v>26623</v>
      </c>
      <c r="M5128" s="2" t="s">
        <v>12</v>
      </c>
      <c r="N5128" s="4">
        <f t="shared" si="1"/>
        <v>43083</v>
      </c>
      <c r="O5128" s="5" t="str">
        <f>IFERROR(__xludf.DUMMYFUNCTION("IF(REGEXMATCH(TRIM(I5128), ""^\d+\s*min""), ""Unclassified"", IF(I5128 = """", ""NR"", I5128))"),"TV-14")</f>
        <v>TV-14</v>
      </c>
      <c r="R5128" s="5" t="str">
        <f t="shared" si="2"/>
        <v>Halt And Catch Fire</v>
      </c>
      <c r="S5128" s="5" t="str">
        <f>IFERROR(__xludf.DUMMYFUNCTION("""COMPUTED_VALUE"""),"Nsu German History X")</f>
        <v>Nsu German History X</v>
      </c>
      <c r="V5128" s="5"/>
      <c r="Y5128" s="5" t="str">
        <f>IFERROR(__xludf.DUMMYFUNCTION("REGEXEXTRACT(J5128, ""^\d+"")"),"4")</f>
        <v>4</v>
      </c>
      <c r="Z5128" s="5" t="str">
        <f>IFERROR(__xludf.DUMMYFUNCTION("REGEXEXTRACT(J5128, ""[A-Za-z ]+$"")")," Seasons")</f>
        <v> Seasons</v>
      </c>
      <c r="AA5128" s="5" t="str">
        <f>IFERROR(__xludf.DUMMYFUNCTION("IF(REGEXMATCH(Z5128, ""Season""), ""TV Show"", ""Movie"")"),"TV Show")</f>
        <v>TV Show</v>
      </c>
    </row>
    <row r="5129">
      <c r="A5129" s="1" t="s">
        <v>26624</v>
      </c>
      <c r="B5129" s="1" t="s">
        <v>27</v>
      </c>
      <c r="C5129" s="1" t="s">
        <v>26625</v>
      </c>
      <c r="D5129" s="1" t="s">
        <v>14140</v>
      </c>
      <c r="E5129" s="1" t="s">
        <v>26626</v>
      </c>
      <c r="F5129" s="1" t="s">
        <v>30</v>
      </c>
      <c r="G5129" s="1" t="s">
        <v>26627</v>
      </c>
      <c r="H5129" s="1">
        <v>2017.0</v>
      </c>
      <c r="I5129" s="1" t="s">
        <v>42</v>
      </c>
      <c r="J5129" s="1" t="s">
        <v>1583</v>
      </c>
      <c r="K5129" s="1" t="s">
        <v>1839</v>
      </c>
      <c r="L5129" s="1" t="s">
        <v>26628</v>
      </c>
      <c r="M5129" s="2" t="s">
        <v>12</v>
      </c>
      <c r="N5129" s="4">
        <f t="shared" si="1"/>
        <v>43081</v>
      </c>
      <c r="O5129" s="5" t="str">
        <f>IFERROR(__xludf.DUMMYFUNCTION("IF(REGEXMATCH(TRIM(I5129), ""^\d+\s*min""), ""Unclassified"", IF(I5129 = """", ""NR"", I5129))"),"TV-MA")</f>
        <v>TV-MA</v>
      </c>
      <c r="R5129" s="5" t="str">
        <f t="shared" si="2"/>
        <v>Judd Apatow: The Return</v>
      </c>
      <c r="S5129" s="5" t="str">
        <f>IFERROR(__xludf.DUMMYFUNCTION("""COMPUTED_VALUE"""),"Nuestra Lucha Libre")</f>
        <v>Nuestra Lucha Libre</v>
      </c>
      <c r="V5129" s="5"/>
      <c r="Y5129" s="5" t="str">
        <f>IFERROR(__xludf.DUMMYFUNCTION("REGEXEXTRACT(J5129, ""^\d+"")"),"70")</f>
        <v>70</v>
      </c>
      <c r="Z5129" s="5" t="str">
        <f>IFERROR(__xludf.DUMMYFUNCTION("REGEXEXTRACT(J5129, ""[A-Za-z ]+$"")")," min")</f>
        <v> min</v>
      </c>
      <c r="AA5129" s="5" t="str">
        <f>IFERROR(__xludf.DUMMYFUNCTION("IF(REGEXMATCH(Z5129, ""Season""), ""TV Show"", ""Movie"")"),"Movie")</f>
        <v>Movie</v>
      </c>
    </row>
    <row r="5130">
      <c r="A5130" s="1" t="s">
        <v>26629</v>
      </c>
      <c r="B5130" s="1" t="s">
        <v>37</v>
      </c>
      <c r="C5130" s="1" t="s">
        <v>26630</v>
      </c>
      <c r="E5130" s="1" t="s">
        <v>26631</v>
      </c>
      <c r="G5130" s="1" t="s">
        <v>26632</v>
      </c>
      <c r="H5130" s="1">
        <v>2016.0</v>
      </c>
      <c r="I5130" s="1" t="s">
        <v>97</v>
      </c>
      <c r="J5130" s="1" t="s">
        <v>51</v>
      </c>
      <c r="K5130" s="1" t="s">
        <v>402</v>
      </c>
      <c r="L5130" s="1" t="s">
        <v>26633</v>
      </c>
      <c r="M5130" s="2" t="s">
        <v>12</v>
      </c>
      <c r="N5130" s="4">
        <f t="shared" si="1"/>
        <v>43080</v>
      </c>
      <c r="O5130" s="5" t="str">
        <f>IFERROR(__xludf.DUMMYFUNCTION("IF(REGEXMATCH(TRIM(I5130), ""^\d+\s*min""), ""Unclassified"", IF(I5130 = """", ""NR"", I5130))"),"TV-14")</f>
        <v>TV-14</v>
      </c>
      <c r="R5130" s="5" t="str">
        <f t="shared" si="2"/>
        <v>Dawai Asmara</v>
      </c>
      <c r="S5130" s="5" t="str">
        <f>IFERROR(__xludf.DUMMYFUNCTION("""COMPUTED_VALUE"""),"Numberblocks")</f>
        <v>Numberblocks</v>
      </c>
      <c r="V5130" s="5"/>
      <c r="Y5130" s="5" t="str">
        <f>IFERROR(__xludf.DUMMYFUNCTION("REGEXEXTRACT(J5130, ""^\d+"")"),"1")</f>
        <v>1</v>
      </c>
      <c r="Z5130" s="5" t="str">
        <f>IFERROR(__xludf.DUMMYFUNCTION("REGEXEXTRACT(J5130, ""[A-Za-z ]+$"")")," Season")</f>
        <v> Season</v>
      </c>
      <c r="AA5130" s="5" t="str">
        <f>IFERROR(__xludf.DUMMYFUNCTION("IF(REGEXMATCH(Z5130, ""Season""), ""TV Show"", ""Movie"")"),"TV Show")</f>
        <v>TV Show</v>
      </c>
    </row>
    <row r="5131">
      <c r="A5131" s="1" t="s">
        <v>26634</v>
      </c>
      <c r="B5131" s="1" t="s">
        <v>27</v>
      </c>
      <c r="C5131" s="1" t="s">
        <v>26635</v>
      </c>
      <c r="D5131" s="1" t="s">
        <v>5894</v>
      </c>
      <c r="E5131" s="1" t="s">
        <v>26636</v>
      </c>
      <c r="F5131" s="1" t="s">
        <v>30</v>
      </c>
      <c r="G5131" s="1" t="s">
        <v>26637</v>
      </c>
      <c r="H5131" s="1">
        <v>2017.0</v>
      </c>
      <c r="I5131" s="1" t="s">
        <v>42</v>
      </c>
      <c r="J5131" s="1" t="s">
        <v>1191</v>
      </c>
      <c r="K5131" s="1" t="s">
        <v>107</v>
      </c>
      <c r="L5131" s="1" t="s">
        <v>26638</v>
      </c>
      <c r="M5131" s="2" t="s">
        <v>12</v>
      </c>
      <c r="N5131" s="4">
        <f t="shared" si="1"/>
        <v>43077</v>
      </c>
      <c r="O5131" s="5" t="str">
        <f>IFERROR(__xludf.DUMMYFUNCTION("IF(REGEXMATCH(TRIM(I5131), ""^\d+\s*min""), ""Unclassified"", IF(I5131 = """", ""NR"", I5131))"),"TV-MA")</f>
        <v>TV-MA</v>
      </c>
      <c r="R5131" s="5" t="str">
        <f t="shared" si="2"/>
        <v>El Camino Christmas</v>
      </c>
      <c r="S5131" s="5" t="str">
        <f>IFERROR(__xludf.DUMMYFUNCTION("""COMPUTED_VALUE"""),"Numbered")</f>
        <v>Numbered</v>
      </c>
      <c r="V5131" s="5"/>
      <c r="Y5131" s="5" t="str">
        <f>IFERROR(__xludf.DUMMYFUNCTION("REGEXEXTRACT(J5131, ""^\d+"")"),"89")</f>
        <v>89</v>
      </c>
      <c r="Z5131" s="5" t="str">
        <f>IFERROR(__xludf.DUMMYFUNCTION("REGEXEXTRACT(J5131, ""[A-Za-z ]+$"")")," min")</f>
        <v> min</v>
      </c>
      <c r="AA5131" s="5" t="str">
        <f>IFERROR(__xludf.DUMMYFUNCTION("IF(REGEXMATCH(Z5131, ""Season""), ""TV Show"", ""Movie"")"),"Movie")</f>
        <v>Movie</v>
      </c>
    </row>
    <row r="5132">
      <c r="A5132" s="1" t="s">
        <v>26639</v>
      </c>
      <c r="B5132" s="1" t="s">
        <v>27</v>
      </c>
      <c r="C5132" s="1" t="s">
        <v>26640</v>
      </c>
      <c r="D5132" s="1" t="s">
        <v>23036</v>
      </c>
      <c r="E5132" s="1" t="s">
        <v>26641</v>
      </c>
      <c r="F5132" s="1" t="s">
        <v>63</v>
      </c>
      <c r="G5132" s="1" t="s">
        <v>26637</v>
      </c>
      <c r="H5132" s="1">
        <v>1986.0</v>
      </c>
      <c r="I5132" s="1" t="s">
        <v>97</v>
      </c>
      <c r="J5132" s="1" t="s">
        <v>6105</v>
      </c>
      <c r="K5132" s="1" t="s">
        <v>1066</v>
      </c>
      <c r="L5132" s="1" t="s">
        <v>26642</v>
      </c>
      <c r="M5132" s="2" t="s">
        <v>12</v>
      </c>
      <c r="N5132" s="4">
        <f t="shared" si="1"/>
        <v>43077</v>
      </c>
      <c r="O5132" s="5" t="str">
        <f>IFERROR(__xludf.DUMMYFUNCTION("IF(REGEXMATCH(TRIM(I5132), ""^\d+\s*min""), ""Unclassified"", IF(I5132 = """", ""NR"", I5132))"),"TV-14")</f>
        <v>TV-14</v>
      </c>
      <c r="R5132" s="5" t="str">
        <f t="shared" si="2"/>
        <v>Jaal</v>
      </c>
      <c r="S5132" s="5" t="str">
        <f>IFERROR(__xludf.DUMMYFUNCTION("""COMPUTED_VALUE"""),"Numero Zero. The Roots Of Italian Rap")</f>
        <v>Numero Zero. The Roots Of Italian Rap</v>
      </c>
      <c r="V5132" s="5"/>
      <c r="Y5132" s="5" t="str">
        <f>IFERROR(__xludf.DUMMYFUNCTION("REGEXEXTRACT(J5132, ""^\d+"")"),"162")</f>
        <v>162</v>
      </c>
      <c r="Z5132" s="5" t="str">
        <f>IFERROR(__xludf.DUMMYFUNCTION("REGEXEXTRACT(J5132, ""[A-Za-z ]+$"")")," min")</f>
        <v> min</v>
      </c>
      <c r="AA5132" s="5" t="str">
        <f>IFERROR(__xludf.DUMMYFUNCTION("IF(REGEXMATCH(Z5132, ""Season""), ""TV Show"", ""Movie"")"),"Movie")</f>
        <v>Movie</v>
      </c>
    </row>
    <row r="5133">
      <c r="A5133" s="1" t="s">
        <v>26643</v>
      </c>
      <c r="B5133" s="1" t="s">
        <v>27</v>
      </c>
      <c r="C5133" s="1" t="s">
        <v>26644</v>
      </c>
      <c r="D5133" s="1" t="s">
        <v>13413</v>
      </c>
      <c r="E5133" s="1" t="s">
        <v>26645</v>
      </c>
      <c r="F5133" s="1" t="s">
        <v>26646</v>
      </c>
      <c r="G5133" s="1" t="s">
        <v>26637</v>
      </c>
      <c r="H5133" s="1">
        <v>1991.0</v>
      </c>
      <c r="I5133" s="1" t="s">
        <v>97</v>
      </c>
      <c r="J5133" s="1" t="s">
        <v>24904</v>
      </c>
      <c r="K5133" s="1" t="s">
        <v>1429</v>
      </c>
      <c r="L5133" s="1" t="s">
        <v>26647</v>
      </c>
      <c r="M5133" s="2" t="s">
        <v>12</v>
      </c>
      <c r="N5133" s="4">
        <f t="shared" si="1"/>
        <v>43077</v>
      </c>
      <c r="O5133" s="5" t="str">
        <f>IFERROR(__xludf.DUMMYFUNCTION("IF(REGEXMATCH(TRIM(I5133), ""^\d+\s*min""), ""Unclassified"", IF(I5133 = """", ""NR"", I5133))"),"TV-14")</f>
        <v>TV-14</v>
      </c>
      <c r="R5133" s="5" t="str">
        <f t="shared" si="2"/>
        <v>Shikari</v>
      </c>
      <c r="S5133" s="5" t="str">
        <f>IFERROR(__xludf.DUMMYFUNCTION("""COMPUTED_VALUE"""),"Nura: Rise Of The Yokai Clan: Demon Capital")</f>
        <v>Nura: Rise Of The Yokai Clan: Demon Capital</v>
      </c>
      <c r="V5133" s="5"/>
      <c r="Y5133" s="5" t="str">
        <f>IFERROR(__xludf.DUMMYFUNCTION("REGEXEXTRACT(J5133, ""^\d+"")"),"163")</f>
        <v>163</v>
      </c>
      <c r="Z5133" s="5" t="str">
        <f>IFERROR(__xludf.DUMMYFUNCTION("REGEXEXTRACT(J5133, ""[A-Za-z ]+$"")")," min")</f>
        <v> min</v>
      </c>
      <c r="AA5133" s="5" t="str">
        <f>IFERROR(__xludf.DUMMYFUNCTION("IF(REGEXMATCH(Z5133, ""Season""), ""TV Show"", ""Movie"")"),"Movie")</f>
        <v>Movie</v>
      </c>
    </row>
    <row r="5134">
      <c r="A5134" s="1" t="s">
        <v>26648</v>
      </c>
      <c r="B5134" s="1" t="s">
        <v>27</v>
      </c>
      <c r="C5134" s="1" t="s">
        <v>26649</v>
      </c>
      <c r="D5134" s="1" t="s">
        <v>6692</v>
      </c>
      <c r="F5134" s="1" t="s">
        <v>972</v>
      </c>
      <c r="G5134" s="1" t="s">
        <v>26650</v>
      </c>
      <c r="H5134" s="1">
        <v>2006.0</v>
      </c>
      <c r="I5134" s="1" t="s">
        <v>97</v>
      </c>
      <c r="J5134" s="1" t="s">
        <v>79</v>
      </c>
      <c r="K5134" s="1" t="s">
        <v>25796</v>
      </c>
      <c r="L5134" s="1" t="s">
        <v>26651</v>
      </c>
      <c r="M5134" s="2" t="s">
        <v>12</v>
      </c>
      <c r="N5134" s="4">
        <f t="shared" si="1"/>
        <v>43076</v>
      </c>
      <c r="O5134" s="5" t="str">
        <f>IFERROR(__xludf.DUMMYFUNCTION("IF(REGEXMATCH(TRIM(I5134), ""^\d+\s*min""), ""Unclassified"", IF(I5134 = """", ""NR"", I5134))"),"TV-14")</f>
        <v>TV-14</v>
      </c>
      <c r="R5134" s="5" t="str">
        <f t="shared" si="2"/>
        <v>The Secret</v>
      </c>
      <c r="S5134" s="5" t="str">
        <f>IFERROR(__xludf.DUMMYFUNCTION("""COMPUTED_VALUE"""),"Nurse Jackie")</f>
        <v>Nurse Jackie</v>
      </c>
      <c r="V5134" s="5"/>
      <c r="Y5134" s="5" t="str">
        <f>IFERROR(__xludf.DUMMYFUNCTION("REGEXEXTRACT(J5134, ""^\d+"")"),"91")</f>
        <v>91</v>
      </c>
      <c r="Z5134" s="5" t="str">
        <f>IFERROR(__xludf.DUMMYFUNCTION("REGEXEXTRACT(J5134, ""[A-Za-z ]+$"")")," min")</f>
        <v> min</v>
      </c>
      <c r="AA5134" s="5" t="str">
        <f>IFERROR(__xludf.DUMMYFUNCTION("IF(REGEXMATCH(Z5134, ""Season""), ""TV Show"", ""Movie"")"),"Movie")</f>
        <v>Movie</v>
      </c>
    </row>
    <row r="5135">
      <c r="A5135" s="1" t="s">
        <v>26652</v>
      </c>
      <c r="B5135" s="1" t="s">
        <v>27</v>
      </c>
      <c r="C5135" s="1" t="s">
        <v>26653</v>
      </c>
      <c r="D5135" s="1" t="s">
        <v>11158</v>
      </c>
      <c r="E5135" s="1" t="s">
        <v>26654</v>
      </c>
      <c r="F5135" s="1" t="s">
        <v>30</v>
      </c>
      <c r="G5135" s="1" t="s">
        <v>26655</v>
      </c>
      <c r="H5135" s="1">
        <v>2017.0</v>
      </c>
      <c r="I5135" s="1" t="s">
        <v>289</v>
      </c>
      <c r="J5135" s="1" t="s">
        <v>10157</v>
      </c>
      <c r="K5135" s="1" t="s">
        <v>1662</v>
      </c>
      <c r="L5135" s="1" t="s">
        <v>26656</v>
      </c>
      <c r="M5135" s="2" t="s">
        <v>12</v>
      </c>
      <c r="N5135" s="4">
        <f t="shared" si="1"/>
        <v>43075</v>
      </c>
      <c r="O5135" s="5" t="str">
        <f>IFERROR(__xludf.DUMMYFUNCTION("IF(REGEXMATCH(TRIM(I5135), ""^\d+\s*min""), ""Unclassified"", IF(I5135 = """", ""NR"", I5135))"),"TV-Y7")</f>
        <v>TV-Y7</v>
      </c>
      <c r="R5135" s="5" t="str">
        <f t="shared" si="2"/>
        <v>Trolls Holiday Special</v>
      </c>
      <c r="S5135" s="5" t="str">
        <f>IFERROR(__xludf.DUMMYFUNCTION("""COMPUTED_VALUE"""),"Nurses Who Kill")</f>
        <v>Nurses Who Kill</v>
      </c>
      <c r="V5135" s="5"/>
      <c r="Y5135" s="5" t="str">
        <f>IFERROR(__xludf.DUMMYFUNCTION("REGEXEXTRACT(J5135, ""^\d+"")"),"27")</f>
        <v>27</v>
      </c>
      <c r="Z5135" s="5" t="str">
        <f>IFERROR(__xludf.DUMMYFUNCTION("REGEXEXTRACT(J5135, ""[A-Za-z ]+$"")")," min")</f>
        <v> min</v>
      </c>
      <c r="AA5135" s="5" t="str">
        <f>IFERROR(__xludf.DUMMYFUNCTION("IF(REGEXMATCH(Z5135, ""Season""), ""TV Show"", ""Movie"")"),"Movie")</f>
        <v>Movie</v>
      </c>
    </row>
    <row r="5136">
      <c r="A5136" s="1" t="s">
        <v>26657</v>
      </c>
      <c r="B5136" s="1" t="s">
        <v>27</v>
      </c>
      <c r="C5136" s="1" t="s">
        <v>26658</v>
      </c>
      <c r="D5136" s="1" t="s">
        <v>10379</v>
      </c>
      <c r="E5136" s="1" t="s">
        <v>26659</v>
      </c>
      <c r="F5136" s="1" t="s">
        <v>30</v>
      </c>
      <c r="G5136" s="1" t="s">
        <v>26660</v>
      </c>
      <c r="H5136" s="1">
        <v>2017.0</v>
      </c>
      <c r="I5136" s="1" t="s">
        <v>42</v>
      </c>
      <c r="J5136" s="1" t="s">
        <v>155</v>
      </c>
      <c r="K5136" s="1" t="s">
        <v>1839</v>
      </c>
      <c r="L5136" s="1" t="s">
        <v>26661</v>
      </c>
      <c r="M5136" s="2" t="s">
        <v>12</v>
      </c>
      <c r="N5136" s="4">
        <f t="shared" si="1"/>
        <v>43074</v>
      </c>
      <c r="O5136" s="5" t="str">
        <f>IFERROR(__xludf.DUMMYFUNCTION("IF(REGEXMATCH(TRIM(I5136), ""^\d+\s*min""), ""Unclassified"", IF(I5136 = """", ""NR"", I5136))"),"TV-MA")</f>
        <v>TV-MA</v>
      </c>
      <c r="R5136" s="5" t="str">
        <f t="shared" si="2"/>
        <v>Craig Ferguson: Tickle Fight</v>
      </c>
      <c r="S5136" s="5" t="str">
        <f>IFERROR(__xludf.DUMMYFUNCTION("""COMPUTED_VALUE"""),"Nymphomaniac: Volume 1")</f>
        <v>Nymphomaniac: Volume 1</v>
      </c>
      <c r="V5136" s="5"/>
      <c r="Y5136" s="5" t="str">
        <f>IFERROR(__xludf.DUMMYFUNCTION("REGEXEXTRACT(J5136, ""^\d+"")"),"67")</f>
        <v>67</v>
      </c>
      <c r="Z5136" s="5" t="str">
        <f>IFERROR(__xludf.DUMMYFUNCTION("REGEXEXTRACT(J5136, ""[A-Za-z ]+$"")")," min")</f>
        <v> min</v>
      </c>
      <c r="AA5136" s="5" t="str">
        <f>IFERROR(__xludf.DUMMYFUNCTION("IF(REGEXMATCH(Z5136, ""Season""), ""TV Show"", ""Movie"")"),"Movie")</f>
        <v>Movie</v>
      </c>
    </row>
    <row r="5137">
      <c r="A5137" s="1" t="s">
        <v>26662</v>
      </c>
      <c r="B5137" s="1" t="s">
        <v>27</v>
      </c>
      <c r="C5137" s="1" t="s">
        <v>26663</v>
      </c>
      <c r="D5137" s="1" t="s">
        <v>9609</v>
      </c>
      <c r="E5137" s="1" t="s">
        <v>26664</v>
      </c>
      <c r="F5137" s="1" t="s">
        <v>63</v>
      </c>
      <c r="G5137" s="1" t="s">
        <v>26665</v>
      </c>
      <c r="H5137" s="1">
        <v>2017.0</v>
      </c>
      <c r="I5137" s="1" t="s">
        <v>42</v>
      </c>
      <c r="J5137" s="1" t="s">
        <v>950</v>
      </c>
      <c r="K5137" s="1" t="s">
        <v>215</v>
      </c>
      <c r="L5137" s="1" t="s">
        <v>26666</v>
      </c>
      <c r="M5137" s="2" t="s">
        <v>12</v>
      </c>
      <c r="N5137" s="4">
        <f t="shared" si="1"/>
        <v>43071</v>
      </c>
      <c r="O5137" s="5" t="str">
        <f>IFERROR(__xludf.DUMMYFUNCTION("IF(REGEXMATCH(TRIM(I5137), ""^\d+\s*min""), ""Unclassified"", IF(I5137 = """", ""NR"", I5137))"),"TV-MA")</f>
        <v>TV-MA</v>
      </c>
      <c r="R5137" s="5" t="str">
        <f t="shared" si="2"/>
        <v>Jab Harry Met Sejal</v>
      </c>
      <c r="S5137" s="5" t="str">
        <f>IFERROR(__xludf.DUMMYFUNCTION("""COMPUTED_VALUE"""),"Nymphomaniac: Volume Ii")</f>
        <v>Nymphomaniac: Volume Ii</v>
      </c>
      <c r="V5137" s="5"/>
      <c r="Y5137" s="5" t="str">
        <f>IFERROR(__xludf.DUMMYFUNCTION("REGEXEXTRACT(J5137, ""^\d+"")"),"142")</f>
        <v>142</v>
      </c>
      <c r="Z5137" s="5" t="str">
        <f>IFERROR(__xludf.DUMMYFUNCTION("REGEXEXTRACT(J5137, ""[A-Za-z ]+$"")")," min")</f>
        <v> min</v>
      </c>
      <c r="AA5137" s="5" t="str">
        <f>IFERROR(__xludf.DUMMYFUNCTION("IF(REGEXMATCH(Z5137, ""Season""), ""TV Show"", ""Movie"")"),"Movie")</f>
        <v>Movie</v>
      </c>
    </row>
    <row r="5138">
      <c r="A5138" s="1" t="s">
        <v>26667</v>
      </c>
      <c r="B5138" s="1" t="s">
        <v>27</v>
      </c>
      <c r="C5138" s="1" t="s">
        <v>26668</v>
      </c>
      <c r="D5138" s="1" t="s">
        <v>15541</v>
      </c>
      <c r="E5138" s="1" t="s">
        <v>26669</v>
      </c>
      <c r="F5138" s="1" t="s">
        <v>6651</v>
      </c>
      <c r="G5138" s="1" t="s">
        <v>26665</v>
      </c>
      <c r="H5138" s="1">
        <v>2017.0</v>
      </c>
      <c r="I5138" s="1" t="s">
        <v>42</v>
      </c>
      <c r="J5138" s="1" t="s">
        <v>1737</v>
      </c>
      <c r="K5138" s="1" t="s">
        <v>7235</v>
      </c>
      <c r="L5138" s="1" t="s">
        <v>26670</v>
      </c>
      <c r="M5138" s="2" t="s">
        <v>12</v>
      </c>
      <c r="N5138" s="4">
        <f t="shared" si="1"/>
        <v>43071</v>
      </c>
      <c r="O5138" s="5" t="str">
        <f>IFERROR(__xludf.DUMMYFUNCTION("IF(REGEXMATCH(TRIM(I5138), ""^\d+\s*min""), ""Unclassified"", IF(I5138 = """", ""NR"", I5138))"),"TV-MA")</f>
        <v>TV-MA</v>
      </c>
      <c r="R5138" s="5" t="str">
        <f t="shared" si="2"/>
        <v>Temple</v>
      </c>
      <c r="S5138" s="5" t="str">
        <f>IFERROR(__xludf.DUMMYFUNCTION("""COMPUTED_VALUE"""),"O Kadhal Kanmani")</f>
        <v>O Kadhal Kanmani</v>
      </c>
      <c r="V5138" s="5"/>
      <c r="Y5138" s="5" t="str">
        <f>IFERROR(__xludf.DUMMYFUNCTION("REGEXEXTRACT(J5138, ""^\d+"")"),"78")</f>
        <v>78</v>
      </c>
      <c r="Z5138" s="5" t="str">
        <f>IFERROR(__xludf.DUMMYFUNCTION("REGEXEXTRACT(J5138, ""[A-Za-z ]+$"")")," min")</f>
        <v> min</v>
      </c>
      <c r="AA5138" s="5" t="str">
        <f>IFERROR(__xludf.DUMMYFUNCTION("IF(REGEXMATCH(Z5138, ""Season""), ""TV Show"", ""Movie"")"),"Movie")</f>
        <v>Movie</v>
      </c>
    </row>
    <row r="5139">
      <c r="A5139" s="1" t="s">
        <v>26671</v>
      </c>
      <c r="B5139" s="1" t="s">
        <v>27</v>
      </c>
      <c r="C5139" s="1" t="s">
        <v>26672</v>
      </c>
      <c r="D5139" s="1" t="s">
        <v>7374</v>
      </c>
      <c r="E5139" s="1" t="s">
        <v>26673</v>
      </c>
      <c r="F5139" s="1" t="s">
        <v>30</v>
      </c>
      <c r="G5139" s="1" t="s">
        <v>26674</v>
      </c>
      <c r="H5139" s="1">
        <v>2017.0</v>
      </c>
      <c r="I5139" s="1" t="s">
        <v>206</v>
      </c>
      <c r="J5139" s="1" t="s">
        <v>9287</v>
      </c>
      <c r="K5139" s="1" t="s">
        <v>137</v>
      </c>
      <c r="L5139" s="1" t="s">
        <v>26675</v>
      </c>
      <c r="M5139" s="2" t="s">
        <v>12</v>
      </c>
      <c r="N5139" s="4">
        <f t="shared" si="1"/>
        <v>43070</v>
      </c>
      <c r="O5139" s="5" t="str">
        <f>IFERROR(__xludf.DUMMYFUNCTION("IF(REGEXMATCH(TRIM(I5139), ""^\d+\s*min""), ""Unclassified"", IF(I5139 = """", ""NR"", I5139))"),"TV-Y")</f>
        <v>TV-Y</v>
      </c>
      <c r="R5139" s="5" t="str">
        <f t="shared" si="2"/>
        <v>A Storybots Christmas</v>
      </c>
      <c r="S5139" s="5" t="str">
        <f>IFERROR(__xludf.DUMMYFUNCTION("""COMPUTED_VALUE"""),"O Silêncio Do Céu")</f>
        <v>O Silêncio Do Céu</v>
      </c>
      <c r="V5139" s="5"/>
      <c r="Y5139" s="5" t="str">
        <f>IFERROR(__xludf.DUMMYFUNCTION("REGEXEXTRACT(J5139, ""^\d+"")"),"26")</f>
        <v>26</v>
      </c>
      <c r="Z5139" s="5" t="str">
        <f>IFERROR(__xludf.DUMMYFUNCTION("REGEXEXTRACT(J5139, ""[A-Za-z ]+$"")")," min")</f>
        <v> min</v>
      </c>
      <c r="AA5139" s="5" t="str">
        <f>IFERROR(__xludf.DUMMYFUNCTION("IF(REGEXMATCH(Z5139, ""Season""), ""TV Show"", ""Movie"")"),"Movie")</f>
        <v>Movie</v>
      </c>
    </row>
    <row r="5140">
      <c r="A5140" s="1" t="s">
        <v>26676</v>
      </c>
      <c r="B5140" s="1" t="s">
        <v>37</v>
      </c>
      <c r="C5140" s="1" t="s">
        <v>26677</v>
      </c>
      <c r="E5140" s="1" t="s">
        <v>26678</v>
      </c>
      <c r="F5140" s="1" t="s">
        <v>30</v>
      </c>
      <c r="G5140" s="1" t="s">
        <v>26674</v>
      </c>
      <c r="H5140" s="1">
        <v>2017.0</v>
      </c>
      <c r="I5140" s="1" t="s">
        <v>289</v>
      </c>
      <c r="J5140" s="1" t="s">
        <v>189</v>
      </c>
      <c r="K5140" s="1" t="s">
        <v>314</v>
      </c>
      <c r="L5140" s="1" t="s">
        <v>26679</v>
      </c>
      <c r="M5140" s="2" t="s">
        <v>12</v>
      </c>
      <c r="N5140" s="4">
        <f t="shared" si="1"/>
        <v>43070</v>
      </c>
      <c r="O5140" s="5" t="str">
        <f>IFERROR(__xludf.DUMMYFUNCTION("IF(REGEXMATCH(TRIM(I5140), ""^\d+\s*min""), ""Unclassified"", IF(I5140 = """", ""NR"", I5140))"),"TV-Y7")</f>
        <v>TV-Y7</v>
      </c>
      <c r="R5140" s="5" t="str">
        <f t="shared" si="2"/>
        <v>All Hail King Julien</v>
      </c>
      <c r="S5140" s="5" t="str">
        <f>IFERROR(__xludf.DUMMYFUNCTION("""COMPUTED_VALUE"""),"O Vendedor De Sonhos")</f>
        <v>O Vendedor De Sonhos</v>
      </c>
      <c r="V5140" s="5"/>
      <c r="Y5140" s="5" t="str">
        <f>IFERROR(__xludf.DUMMYFUNCTION("REGEXEXTRACT(J5140, ""^\d+"")"),"5")</f>
        <v>5</v>
      </c>
      <c r="Z5140" s="5" t="str">
        <f>IFERROR(__xludf.DUMMYFUNCTION("REGEXEXTRACT(J5140, ""[A-Za-z ]+$"")")," Seasons")</f>
        <v> Seasons</v>
      </c>
      <c r="AA5140" s="5" t="str">
        <f>IFERROR(__xludf.DUMMYFUNCTION("IF(REGEXMATCH(Z5140, ""Season""), ""TV Show"", ""Movie"")"),"TV Show")</f>
        <v>TV Show</v>
      </c>
    </row>
    <row r="5141">
      <c r="A5141" s="1" t="s">
        <v>26680</v>
      </c>
      <c r="B5141" s="1" t="s">
        <v>37</v>
      </c>
      <c r="C5141" s="1" t="s">
        <v>26681</v>
      </c>
      <c r="E5141" s="1" t="s">
        <v>26682</v>
      </c>
      <c r="F5141" s="1" t="s">
        <v>3321</v>
      </c>
      <c r="G5141" s="1" t="s">
        <v>26674</v>
      </c>
      <c r="H5141" s="1">
        <v>2015.0</v>
      </c>
      <c r="I5141" s="1" t="s">
        <v>97</v>
      </c>
      <c r="J5141" s="1" t="s">
        <v>51</v>
      </c>
      <c r="K5141" s="1" t="s">
        <v>402</v>
      </c>
      <c r="L5141" s="1" t="s">
        <v>26683</v>
      </c>
      <c r="M5141" s="2" t="s">
        <v>12</v>
      </c>
      <c r="N5141" s="4">
        <f t="shared" si="1"/>
        <v>43070</v>
      </c>
      <c r="O5141" s="5" t="str">
        <f>IFERROR(__xludf.DUMMYFUNCTION("IF(REGEXMATCH(TRIM(I5141), ""^\d+\s*min""), ""Unclassified"", IF(I5141 = """", ""NR"", I5141))"),"TV-14")</f>
        <v>TV-14</v>
      </c>
      <c r="R5141" s="5" t="str">
        <f t="shared" si="2"/>
        <v>Dhia Sofea</v>
      </c>
      <c r="S5141" s="5" t="str">
        <f>IFERROR(__xludf.DUMMYFUNCTION("""COMPUTED_VALUE"""),"O-Negative, Love Can’T Be Designed")</f>
        <v>O-Negative, Love Can’T Be Designed</v>
      </c>
      <c r="V5141" s="5"/>
      <c r="Y5141" s="5" t="str">
        <f>IFERROR(__xludf.DUMMYFUNCTION("REGEXEXTRACT(J5141, ""^\d+"")"),"1")</f>
        <v>1</v>
      </c>
      <c r="Z5141" s="5" t="str">
        <f>IFERROR(__xludf.DUMMYFUNCTION("REGEXEXTRACT(J5141, ""[A-Za-z ]+$"")")," Season")</f>
        <v> Season</v>
      </c>
      <c r="AA5141" s="5" t="str">
        <f>IFERROR(__xludf.DUMMYFUNCTION("IF(REGEXMATCH(Z5141, ""Season""), ""TV Show"", ""Movie"")"),"TV Show")</f>
        <v>TV Show</v>
      </c>
    </row>
    <row r="5142">
      <c r="A5142" s="1" t="s">
        <v>26684</v>
      </c>
      <c r="B5142" s="1" t="s">
        <v>27</v>
      </c>
      <c r="C5142" s="1" t="s">
        <v>26685</v>
      </c>
      <c r="E5142" s="1" t="s">
        <v>26686</v>
      </c>
      <c r="F5142" s="1" t="s">
        <v>30</v>
      </c>
      <c r="G5142" s="1" t="s">
        <v>26674</v>
      </c>
      <c r="H5142" s="1">
        <v>2017.0</v>
      </c>
      <c r="I5142" s="1" t="s">
        <v>206</v>
      </c>
      <c r="J5142" s="1" t="s">
        <v>3060</v>
      </c>
      <c r="K5142" s="1" t="s">
        <v>1662</v>
      </c>
      <c r="L5142" s="1" t="s">
        <v>26687</v>
      </c>
      <c r="M5142" s="2" t="s">
        <v>12</v>
      </c>
      <c r="N5142" s="4">
        <f t="shared" si="1"/>
        <v>43070</v>
      </c>
      <c r="O5142" s="5" t="str">
        <f>IFERROR(__xludf.DUMMYFUNCTION("IF(REGEXMATCH(TRIM(I5142), ""^\d+\s*min""), ""Unclassified"", IF(I5142 = """", ""NR"", I5142))"),"TV-Y")</f>
        <v>TV-Y</v>
      </c>
      <c r="R5142" s="5" t="str">
        <f t="shared" si="2"/>
        <v>Dreamworks Home: For The Holidays</v>
      </c>
      <c r="S5142" s="5" t="str">
        <f>IFERROR(__xludf.DUMMYFUNCTION("""COMPUTED_VALUE"""),"Oasis: Supersonic")</f>
        <v>Oasis: Supersonic</v>
      </c>
      <c r="V5142" s="5"/>
      <c r="Y5142" s="5" t="str">
        <f>IFERROR(__xludf.DUMMYFUNCTION("REGEXEXTRACT(J5142, ""^\d+"")"),"46")</f>
        <v>46</v>
      </c>
      <c r="Z5142" s="5" t="str">
        <f>IFERROR(__xludf.DUMMYFUNCTION("REGEXEXTRACT(J5142, ""[A-Za-z ]+$"")")," min")</f>
        <v> min</v>
      </c>
      <c r="AA5142" s="5" t="str">
        <f>IFERROR(__xludf.DUMMYFUNCTION("IF(REGEXMATCH(Z5142, ""Season""), ""TV Show"", ""Movie"")"),"Movie")</f>
        <v>Movie</v>
      </c>
    </row>
    <row r="5143">
      <c r="A5143" s="1" t="s">
        <v>26688</v>
      </c>
      <c r="B5143" s="1" t="s">
        <v>37</v>
      </c>
      <c r="C5143" s="1" t="s">
        <v>26689</v>
      </c>
      <c r="E5143" s="1" t="s">
        <v>26690</v>
      </c>
      <c r="F5143" s="1" t="s">
        <v>415</v>
      </c>
      <c r="G5143" s="1" t="s">
        <v>26674</v>
      </c>
      <c r="H5143" s="1">
        <v>2017.0</v>
      </c>
      <c r="I5143" s="1" t="s">
        <v>136</v>
      </c>
      <c r="J5143" s="1" t="s">
        <v>51</v>
      </c>
      <c r="K5143" s="1" t="s">
        <v>1294</v>
      </c>
      <c r="L5143" s="1" t="s">
        <v>26691</v>
      </c>
      <c r="M5143" s="2" t="s">
        <v>12</v>
      </c>
      <c r="N5143" s="4">
        <f t="shared" si="1"/>
        <v>43070</v>
      </c>
      <c r="O5143" s="5" t="str">
        <f>IFERROR(__xludf.DUMMYFUNCTION("IF(REGEXMATCH(TRIM(I5143), ""^\d+\s*min""), ""Unclassified"", IF(I5143 = """", ""NR"", I5143))"),"TV-PG")</f>
        <v>TV-PG</v>
      </c>
      <c r="R5143" s="5" t="str">
        <f t="shared" si="2"/>
        <v>Kantaro: The Sweet Tooth Salaryman</v>
      </c>
      <c r="S5143" s="5" t="str">
        <f>IFERROR(__xludf.DUMMYFUNCTION("""COMPUTED_VALUE"""),"Obvious Child")</f>
        <v>Obvious Child</v>
      </c>
      <c r="V5143" s="5"/>
      <c r="Y5143" s="5" t="str">
        <f>IFERROR(__xludf.DUMMYFUNCTION("REGEXEXTRACT(J5143, ""^\d+"")"),"1")</f>
        <v>1</v>
      </c>
      <c r="Z5143" s="5" t="str">
        <f>IFERROR(__xludf.DUMMYFUNCTION("REGEXEXTRACT(J5143, ""[A-Za-z ]+$"")")," Season")</f>
        <v> Season</v>
      </c>
      <c r="AA5143" s="5" t="str">
        <f>IFERROR(__xludf.DUMMYFUNCTION("IF(REGEXMATCH(Z5143, ""Season""), ""TV Show"", ""Movie"")"),"TV Show")</f>
        <v>TV Show</v>
      </c>
    </row>
    <row r="5144">
      <c r="A5144" s="1" t="s">
        <v>26692</v>
      </c>
      <c r="B5144" s="1" t="s">
        <v>27</v>
      </c>
      <c r="C5144" s="1" t="s">
        <v>26693</v>
      </c>
      <c r="D5144" s="1" t="s">
        <v>13651</v>
      </c>
      <c r="E5144" s="1" t="s">
        <v>26694</v>
      </c>
      <c r="F5144" s="1" t="s">
        <v>26695</v>
      </c>
      <c r="G5144" s="1" t="s">
        <v>26674</v>
      </c>
      <c r="H5144" s="1">
        <v>2017.0</v>
      </c>
      <c r="I5144" s="1" t="s">
        <v>289</v>
      </c>
      <c r="J5144" s="1" t="s">
        <v>2452</v>
      </c>
      <c r="K5144" s="1" t="s">
        <v>80</v>
      </c>
      <c r="L5144" s="1" t="s">
        <v>26696</v>
      </c>
      <c r="M5144" s="2" t="s">
        <v>12</v>
      </c>
      <c r="N5144" s="4">
        <f t="shared" si="1"/>
        <v>43070</v>
      </c>
      <c r="O5144" s="5" t="str">
        <f>IFERROR(__xludf.DUMMYFUNCTION("IF(REGEXMATCH(TRIM(I5144), ""^\d+\s*min""), ""Unclassified"", IF(I5144 = """", ""NR"", I5144))"),"TV-Y7")</f>
        <v>TV-Y7</v>
      </c>
      <c r="R5144" s="5" t="str">
        <f t="shared" si="2"/>
        <v>Monster Island</v>
      </c>
      <c r="S5144" s="5" t="str">
        <f>IFERROR(__xludf.DUMMYFUNCTION("""COMPUTED_VALUE"""),"Occupation")</f>
        <v>Occupation</v>
      </c>
      <c r="V5144" s="5"/>
      <c r="Y5144" s="5" t="str">
        <f>IFERROR(__xludf.DUMMYFUNCTION("REGEXEXTRACT(J5144, ""^\d+"")"),"81")</f>
        <v>81</v>
      </c>
      <c r="Z5144" s="5" t="str">
        <f>IFERROR(__xludf.DUMMYFUNCTION("REGEXEXTRACT(J5144, ""[A-Za-z ]+$"")")," min")</f>
        <v> min</v>
      </c>
      <c r="AA5144" s="5" t="str">
        <f>IFERROR(__xludf.DUMMYFUNCTION("IF(REGEXMATCH(Z5144, ""Season""), ""TV Show"", ""Movie"")"),"Movie")</f>
        <v>Movie</v>
      </c>
    </row>
    <row r="5145">
      <c r="A5145" s="1" t="s">
        <v>26697</v>
      </c>
      <c r="B5145" s="1" t="s">
        <v>27</v>
      </c>
      <c r="C5145" s="1" t="s">
        <v>26698</v>
      </c>
      <c r="D5145" s="1" t="s">
        <v>16522</v>
      </c>
      <c r="E5145" s="1" t="s">
        <v>26699</v>
      </c>
      <c r="F5145" s="1" t="s">
        <v>26700</v>
      </c>
      <c r="G5145" s="1" t="s">
        <v>26674</v>
      </c>
      <c r="H5145" s="1">
        <v>2017.0</v>
      </c>
      <c r="I5145" s="1" t="s">
        <v>97</v>
      </c>
      <c r="J5145" s="1" t="s">
        <v>804</v>
      </c>
      <c r="K5145" s="1" t="s">
        <v>89</v>
      </c>
      <c r="L5145" s="1" t="s">
        <v>26701</v>
      </c>
      <c r="M5145" s="2" t="s">
        <v>12</v>
      </c>
      <c r="N5145" s="4">
        <f t="shared" si="1"/>
        <v>43070</v>
      </c>
      <c r="O5145" s="5" t="str">
        <f>IFERROR(__xludf.DUMMYFUNCTION("IF(REGEXMATCH(TRIM(I5145), ""^\d+\s*min""), ""Unclassified"", IF(I5145 = """", ""NR"", I5145))"),"TV-14")</f>
        <v>TV-14</v>
      </c>
      <c r="R5145" s="5" t="str">
        <f t="shared" si="2"/>
        <v>My Happy Family</v>
      </c>
      <c r="S5145" s="5" t="str">
        <f>IFERROR(__xludf.DUMMYFUNCTION("""COMPUTED_VALUE"""),"Occupied")</f>
        <v>Occupied</v>
      </c>
      <c r="V5145" s="5"/>
      <c r="Y5145" s="5" t="str">
        <f>IFERROR(__xludf.DUMMYFUNCTION("REGEXEXTRACT(J5145, ""^\d+"")"),"119")</f>
        <v>119</v>
      </c>
      <c r="Z5145" s="5" t="str">
        <f>IFERROR(__xludf.DUMMYFUNCTION("REGEXEXTRACT(J5145, ""[A-Za-z ]+$"")")," min")</f>
        <v> min</v>
      </c>
      <c r="AA5145" s="5" t="str">
        <f>IFERROR(__xludf.DUMMYFUNCTION("IF(REGEXMATCH(Z5145, ""Season""), ""TV Show"", ""Movie"")"),"Movie")</f>
        <v>Movie</v>
      </c>
    </row>
    <row r="5146">
      <c r="A5146" s="1" t="s">
        <v>26702</v>
      </c>
      <c r="B5146" s="1" t="s">
        <v>37</v>
      </c>
      <c r="C5146" s="1" t="s">
        <v>26703</v>
      </c>
      <c r="D5146" s="1" t="s">
        <v>17249</v>
      </c>
      <c r="E5146" s="1" t="s">
        <v>26704</v>
      </c>
      <c r="F5146" s="1" t="s">
        <v>664</v>
      </c>
      <c r="G5146" s="1" t="s">
        <v>26674</v>
      </c>
      <c r="H5146" s="1">
        <v>2017.0</v>
      </c>
      <c r="I5146" s="1" t="s">
        <v>289</v>
      </c>
      <c r="J5146" s="1" t="s">
        <v>51</v>
      </c>
      <c r="K5146" s="1" t="s">
        <v>314</v>
      </c>
      <c r="L5146" s="1" t="s">
        <v>26705</v>
      </c>
      <c r="M5146" s="2" t="s">
        <v>12</v>
      </c>
      <c r="N5146" s="4">
        <f t="shared" si="1"/>
        <v>43070</v>
      </c>
      <c r="O5146" s="5" t="str">
        <f>IFERROR(__xludf.DUMMYFUNCTION("IF(REGEXMATCH(TRIM(I5146), ""^\d+\s*min""), ""Unclassified"", IF(I5146 = """", ""NR"", I5146))"),"TV-Y7")</f>
        <v>TV-Y7</v>
      </c>
      <c r="R5146" s="5" t="str">
        <f t="shared" si="2"/>
        <v>Oggy And The Cockroaches</v>
      </c>
      <c r="S5146" s="5" t="str">
        <f>IFERROR(__xludf.DUMMYFUNCTION("""COMPUTED_VALUE"""),"Ocean'S Eleven")</f>
        <v>Ocean'S Eleven</v>
      </c>
      <c r="V5146" s="5"/>
      <c r="Y5146" s="5" t="str">
        <f>IFERROR(__xludf.DUMMYFUNCTION("REGEXEXTRACT(J5146, ""^\d+"")"),"1")</f>
        <v>1</v>
      </c>
      <c r="Z5146" s="5" t="str">
        <f>IFERROR(__xludf.DUMMYFUNCTION("REGEXEXTRACT(J5146, ""[A-Za-z ]+$"")")," Season")</f>
        <v> Season</v>
      </c>
      <c r="AA5146" s="5" t="str">
        <f>IFERROR(__xludf.DUMMYFUNCTION("IF(REGEXMATCH(Z5146, ""Season""), ""TV Show"", ""Movie"")"),"TV Show")</f>
        <v>TV Show</v>
      </c>
    </row>
    <row r="5147">
      <c r="A5147" s="1" t="s">
        <v>26706</v>
      </c>
      <c r="B5147" s="1" t="s">
        <v>37</v>
      </c>
      <c r="C5147" s="1" t="s">
        <v>26707</v>
      </c>
      <c r="E5147" s="1" t="s">
        <v>26708</v>
      </c>
      <c r="G5147" s="1" t="s">
        <v>26674</v>
      </c>
      <c r="H5147" s="1">
        <v>2015.0</v>
      </c>
      <c r="I5147" s="1" t="s">
        <v>97</v>
      </c>
      <c r="J5147" s="1" t="s">
        <v>51</v>
      </c>
      <c r="K5147" s="1" t="s">
        <v>1907</v>
      </c>
      <c r="L5147" s="1" t="s">
        <v>26709</v>
      </c>
      <c r="M5147" s="2" t="s">
        <v>12</v>
      </c>
      <c r="N5147" s="4">
        <f t="shared" si="1"/>
        <v>43070</v>
      </c>
      <c r="O5147" s="5" t="str">
        <f>IFERROR(__xludf.DUMMYFUNCTION("IF(REGEXMATCH(TRIM(I5147), ""^\d+\s*min""), ""Unclassified"", IF(I5147 = """", ""NR"", I5147))"),"TV-14")</f>
        <v>TV-14</v>
      </c>
      <c r="R5147" s="5" t="str">
        <f t="shared" si="2"/>
        <v>Padamu Aku Bersujud</v>
      </c>
      <c r="S5147" s="5" t="str">
        <f>IFERROR(__xludf.DUMMYFUNCTION("""COMPUTED_VALUE"""),"Ocean'S Thirteen")</f>
        <v>Ocean'S Thirteen</v>
      </c>
      <c r="V5147" s="5"/>
      <c r="Y5147" s="5" t="str">
        <f>IFERROR(__xludf.DUMMYFUNCTION("REGEXEXTRACT(J5147, ""^\d+"")"),"1")</f>
        <v>1</v>
      </c>
      <c r="Z5147" s="5" t="str">
        <f>IFERROR(__xludf.DUMMYFUNCTION("REGEXEXTRACT(J5147, ""[A-Za-z ]+$"")")," Season")</f>
        <v> Season</v>
      </c>
      <c r="AA5147" s="5" t="str">
        <f>IFERROR(__xludf.DUMMYFUNCTION("IF(REGEXMATCH(Z5147, ""Season""), ""TV Show"", ""Movie"")"),"TV Show")</f>
        <v>TV Show</v>
      </c>
    </row>
    <row r="5148">
      <c r="A5148" s="1" t="s">
        <v>26710</v>
      </c>
      <c r="B5148" s="1" t="s">
        <v>27</v>
      </c>
      <c r="C5148" s="1" t="s">
        <v>26711</v>
      </c>
      <c r="D5148" s="1" t="s">
        <v>1330</v>
      </c>
      <c r="E5148" s="1" t="s">
        <v>26712</v>
      </c>
      <c r="F5148" s="1" t="s">
        <v>26713</v>
      </c>
      <c r="G5148" s="1" t="s">
        <v>26674</v>
      </c>
      <c r="H5148" s="1">
        <v>2016.0</v>
      </c>
      <c r="I5148" s="1" t="s">
        <v>42</v>
      </c>
      <c r="J5148" s="1" t="s">
        <v>416</v>
      </c>
      <c r="K5148" s="1" t="s">
        <v>14389</v>
      </c>
      <c r="L5148" s="1" t="s">
        <v>26714</v>
      </c>
      <c r="M5148" s="2" t="s">
        <v>12</v>
      </c>
      <c r="N5148" s="4">
        <f t="shared" si="1"/>
        <v>43070</v>
      </c>
      <c r="O5148" s="5" t="str">
        <f>IFERROR(__xludf.DUMMYFUNCTION("IF(REGEXMATCH(TRIM(I5148), ""^\d+\s*min""), ""Unclassified"", IF(I5148 = """", ""NR"", I5148))"),"TV-MA")</f>
        <v>TV-MA</v>
      </c>
      <c r="R5148" s="5" t="str">
        <f t="shared" si="2"/>
        <v>The Worthy</v>
      </c>
      <c r="S5148" s="5" t="str">
        <f>IFERROR(__xludf.DUMMYFUNCTION("""COMPUTED_VALUE"""),"Ocean'S Twelve")</f>
        <v>Ocean'S Twelve</v>
      </c>
      <c r="V5148" s="5"/>
      <c r="Y5148" s="5" t="str">
        <f>IFERROR(__xludf.DUMMYFUNCTION("REGEXEXTRACT(J5148, ""^\d+"")"),"99")</f>
        <v>99</v>
      </c>
      <c r="Z5148" s="5" t="str">
        <f>IFERROR(__xludf.DUMMYFUNCTION("REGEXEXTRACT(J5148, ""[A-Za-z ]+$"")")," min")</f>
        <v> min</v>
      </c>
      <c r="AA5148" s="5" t="str">
        <f>IFERROR(__xludf.DUMMYFUNCTION("IF(REGEXMATCH(Z5148, ""Season""), ""TV Show"", ""Movie"")"),"Movie")</f>
        <v>Movie</v>
      </c>
    </row>
    <row r="5149">
      <c r="A5149" s="1" t="s">
        <v>26715</v>
      </c>
      <c r="B5149" s="1" t="s">
        <v>37</v>
      </c>
      <c r="C5149" s="1" t="s">
        <v>26716</v>
      </c>
      <c r="E5149" s="1" t="s">
        <v>26717</v>
      </c>
      <c r="F5149" s="1" t="s">
        <v>30</v>
      </c>
      <c r="G5149" s="1" t="s">
        <v>26674</v>
      </c>
      <c r="H5149" s="1">
        <v>2017.0</v>
      </c>
      <c r="I5149" s="1" t="s">
        <v>97</v>
      </c>
      <c r="J5149" s="1" t="s">
        <v>148</v>
      </c>
      <c r="K5149" s="1" t="s">
        <v>2709</v>
      </c>
      <c r="L5149" s="1" t="s">
        <v>26718</v>
      </c>
      <c r="M5149" s="2" t="s">
        <v>12</v>
      </c>
      <c r="N5149" s="4">
        <f t="shared" si="1"/>
        <v>43070</v>
      </c>
      <c r="O5149" s="5" t="str">
        <f>IFERROR(__xludf.DUMMYFUNCTION("IF(REGEXMATCH(TRIM(I5149), ""^\d+\s*min""), ""Unclassified"", IF(I5149 = """", ""NR"", I5149))"),"TV-14")</f>
        <v>TV-14</v>
      </c>
      <c r="R5149" s="5" t="str">
        <f t="shared" si="2"/>
        <v>Turn: Washington'S Spies</v>
      </c>
      <c r="S5149" s="5" t="str">
        <f>IFERROR(__xludf.DUMMYFUNCTION("""COMPUTED_VALUE"""),"Océans")</f>
        <v>Océans</v>
      </c>
      <c r="V5149" s="5"/>
      <c r="Y5149" s="5" t="str">
        <f>IFERROR(__xludf.DUMMYFUNCTION("REGEXEXTRACT(J5149, ""^\d+"")"),"4")</f>
        <v>4</v>
      </c>
      <c r="Z5149" s="5" t="str">
        <f>IFERROR(__xludf.DUMMYFUNCTION("REGEXEXTRACT(J5149, ""[A-Za-z ]+$"")")," Seasons")</f>
        <v> Seasons</v>
      </c>
      <c r="AA5149" s="5" t="str">
        <f>IFERROR(__xludf.DUMMYFUNCTION("IF(REGEXMATCH(Z5149, ""Season""), ""TV Show"", ""Movie"")"),"TV Show")</f>
        <v>TV Show</v>
      </c>
    </row>
    <row r="5150">
      <c r="A5150" s="1" t="s">
        <v>26719</v>
      </c>
      <c r="B5150" s="1" t="s">
        <v>27</v>
      </c>
      <c r="C5150" s="1" t="s">
        <v>26720</v>
      </c>
      <c r="D5150" s="1" t="s">
        <v>16429</v>
      </c>
      <c r="E5150" s="1" t="s">
        <v>26721</v>
      </c>
      <c r="F5150" s="1" t="s">
        <v>30</v>
      </c>
      <c r="G5150" s="1" t="s">
        <v>26674</v>
      </c>
      <c r="H5150" s="1">
        <v>2017.0</v>
      </c>
      <c r="I5150" s="1" t="s">
        <v>42</v>
      </c>
      <c r="J5150" s="1" t="s">
        <v>322</v>
      </c>
      <c r="K5150" s="1" t="s">
        <v>34</v>
      </c>
      <c r="L5150" s="1" t="s">
        <v>26722</v>
      </c>
      <c r="M5150" s="2" t="s">
        <v>12</v>
      </c>
      <c r="N5150" s="4">
        <f t="shared" si="1"/>
        <v>43070</v>
      </c>
      <c r="O5150" s="5" t="str">
        <f>IFERROR(__xludf.DUMMYFUNCTION("IF(REGEXMATCH(TRIM(I5150), ""^\d+\s*min""), ""Unclassified"", IF(I5150 = """", ""NR"", I5150))"),"TV-MA")</f>
        <v>TV-MA</v>
      </c>
      <c r="R5150" s="5" t="str">
        <f t="shared" si="2"/>
        <v>Voyeur</v>
      </c>
      <c r="S5150" s="5" t="str">
        <f>IFERROR(__xludf.DUMMYFUNCTION("""COMPUTED_VALUE"""),"Oct-01")</f>
        <v>Oct-01</v>
      </c>
      <c r="V5150" s="5"/>
      <c r="Y5150" s="5" t="str">
        <f>IFERROR(__xludf.DUMMYFUNCTION("REGEXEXTRACT(J5150, ""^\d+"")"),"96")</f>
        <v>96</v>
      </c>
      <c r="Z5150" s="5" t="str">
        <f>IFERROR(__xludf.DUMMYFUNCTION("REGEXEXTRACT(J5150, ""[A-Za-z ]+$"")")," min")</f>
        <v> min</v>
      </c>
      <c r="AA5150" s="5" t="str">
        <f>IFERROR(__xludf.DUMMYFUNCTION("IF(REGEXMATCH(Z5150, ""Season""), ""TV Show"", ""Movie"")"),"Movie")</f>
        <v>Movie</v>
      </c>
    </row>
    <row r="5151">
      <c r="A5151" s="1" t="s">
        <v>26723</v>
      </c>
      <c r="B5151" s="1" t="s">
        <v>37</v>
      </c>
      <c r="C5151" s="1" t="s">
        <v>26724</v>
      </c>
      <c r="E5151" s="1" t="s">
        <v>26725</v>
      </c>
      <c r="F5151" s="1" t="s">
        <v>96</v>
      </c>
      <c r="G5151" s="1" t="s">
        <v>26726</v>
      </c>
      <c r="H5151" s="1">
        <v>2017.0</v>
      </c>
      <c r="I5151" s="1" t="s">
        <v>42</v>
      </c>
      <c r="J5151" s="1" t="s">
        <v>148</v>
      </c>
      <c r="K5151" s="1" t="s">
        <v>277</v>
      </c>
      <c r="L5151" s="1" t="s">
        <v>26727</v>
      </c>
      <c r="M5151" s="2" t="s">
        <v>12</v>
      </c>
      <c r="N5151" s="4">
        <f t="shared" si="1"/>
        <v>43069</v>
      </c>
      <c r="O5151" s="5" t="str">
        <f>IFERROR(__xludf.DUMMYFUNCTION("IF(REGEXMATCH(TRIM(I5151), ""^\d+\s*min""), ""Unclassified"", IF(I5151 = """", ""NR"", I5151))"),"TV-MA")</f>
        <v>TV-MA</v>
      </c>
      <c r="R5151" s="5" t="str">
        <f t="shared" si="2"/>
        <v>Man Down</v>
      </c>
      <c r="S5151" s="5" t="str">
        <f>IFERROR(__xludf.DUMMYFUNCTION("""COMPUTED_VALUE"""),"Octb")</f>
        <v>Octb</v>
      </c>
      <c r="V5151" s="5"/>
      <c r="Y5151" s="5" t="str">
        <f>IFERROR(__xludf.DUMMYFUNCTION("REGEXEXTRACT(J5151, ""^\d+"")"),"4")</f>
        <v>4</v>
      </c>
      <c r="Z5151" s="5" t="str">
        <f>IFERROR(__xludf.DUMMYFUNCTION("REGEXEXTRACT(J5151, ""[A-Za-z ]+$"")")," Seasons")</f>
        <v> Seasons</v>
      </c>
      <c r="AA5151" s="5" t="str">
        <f>IFERROR(__xludf.DUMMYFUNCTION("IF(REGEXMATCH(Z5151, ""Season""), ""TV Show"", ""Movie"")"),"TV Show")</f>
        <v>TV Show</v>
      </c>
    </row>
    <row r="5152">
      <c r="A5152" s="1" t="s">
        <v>26728</v>
      </c>
      <c r="B5152" s="1" t="s">
        <v>37</v>
      </c>
      <c r="C5152" s="1" t="s">
        <v>26729</v>
      </c>
      <c r="E5152" s="1" t="s">
        <v>26730</v>
      </c>
      <c r="F5152" s="1" t="s">
        <v>96</v>
      </c>
      <c r="G5152" s="1" t="s">
        <v>26731</v>
      </c>
      <c r="H5152" s="1">
        <v>2017.0</v>
      </c>
      <c r="I5152" s="1" t="s">
        <v>42</v>
      </c>
      <c r="J5152" s="1" t="s">
        <v>276</v>
      </c>
      <c r="K5152" s="1" t="s">
        <v>3274</v>
      </c>
      <c r="L5152" s="1" t="s">
        <v>26732</v>
      </c>
      <c r="M5152" s="2" t="s">
        <v>12</v>
      </c>
      <c r="N5152" s="4">
        <f t="shared" si="1"/>
        <v>43066</v>
      </c>
      <c r="O5152" s="5" t="str">
        <f>IFERROR(__xludf.DUMMYFUNCTION("IF(REGEXMATCH(TRIM(I5152), ""^\d+\s*min""), ""Unclassified"", IF(I5152 = """", ""NR"", I5152))"),"TV-MA")</f>
        <v>TV-MA</v>
      </c>
      <c r="R5152" s="5" t="str">
        <f t="shared" si="2"/>
        <v>Broadchurch</v>
      </c>
      <c r="S5152" s="5" t="str">
        <f>IFERROR(__xludf.DUMMYFUNCTION("""COMPUTED_VALUE"""),"October Faction")</f>
        <v>October Faction</v>
      </c>
      <c r="V5152" s="5"/>
      <c r="Y5152" s="5" t="str">
        <f>IFERROR(__xludf.DUMMYFUNCTION("REGEXEXTRACT(J5152, ""^\d+"")"),"3")</f>
        <v>3</v>
      </c>
      <c r="Z5152" s="5" t="str">
        <f>IFERROR(__xludf.DUMMYFUNCTION("REGEXEXTRACT(J5152, ""[A-Za-z ]+$"")")," Seasons")</f>
        <v> Seasons</v>
      </c>
      <c r="AA5152" s="5" t="str">
        <f>IFERROR(__xludf.DUMMYFUNCTION("IF(REGEXMATCH(Z5152, ""Season""), ""TV Show"", ""Movie"")"),"TV Show")</f>
        <v>TV Show</v>
      </c>
    </row>
    <row r="5153">
      <c r="A5153" s="1" t="s">
        <v>26733</v>
      </c>
      <c r="B5153" s="1" t="s">
        <v>27</v>
      </c>
      <c r="C5153" s="1" t="s">
        <v>26734</v>
      </c>
      <c r="D5153" s="1" t="s">
        <v>21128</v>
      </c>
      <c r="E5153" s="1" t="s">
        <v>26735</v>
      </c>
      <c r="F5153" s="1" t="s">
        <v>63</v>
      </c>
      <c r="G5153" s="1" t="s">
        <v>26731</v>
      </c>
      <c r="H5153" s="1">
        <v>2017.0</v>
      </c>
      <c r="I5153" s="1" t="s">
        <v>32</v>
      </c>
      <c r="J5153" s="1" t="s">
        <v>757</v>
      </c>
      <c r="K5153" s="1" t="s">
        <v>199</v>
      </c>
      <c r="L5153" s="1" t="s">
        <v>26736</v>
      </c>
      <c r="M5153" s="2" t="s">
        <v>12</v>
      </c>
      <c r="N5153" s="4">
        <f t="shared" si="1"/>
        <v>43066</v>
      </c>
      <c r="O5153" s="5" t="str">
        <f>IFERROR(__xludf.DUMMYFUNCTION("IF(REGEXMATCH(TRIM(I5153), ""^\d+\s*min""), ""Unclassified"", IF(I5153 = """", ""NR"", I5153))"),"PG-13")</f>
        <v>PG-13</v>
      </c>
      <c r="R5153" s="5" t="str">
        <f t="shared" si="2"/>
        <v>Poster Boys</v>
      </c>
      <c r="S5153" s="5" t="str">
        <f>IFERROR(__xludf.DUMMYFUNCTION("""COMPUTED_VALUE"""),"Octonauts")</f>
        <v>Octonauts</v>
      </c>
      <c r="V5153" s="5"/>
      <c r="Y5153" s="5" t="str">
        <f>IFERROR(__xludf.DUMMYFUNCTION("REGEXEXTRACT(J5153, ""^\d+"")"),"128")</f>
        <v>128</v>
      </c>
      <c r="Z5153" s="5" t="str">
        <f>IFERROR(__xludf.DUMMYFUNCTION("REGEXEXTRACT(J5153, ""[A-Za-z ]+$"")")," min")</f>
        <v> min</v>
      </c>
      <c r="AA5153" s="5" t="str">
        <f>IFERROR(__xludf.DUMMYFUNCTION("IF(REGEXMATCH(Z5153, ""Season""), ""TV Show"", ""Movie"")"),"Movie")</f>
        <v>Movie</v>
      </c>
    </row>
    <row r="5154">
      <c r="A5154" s="1" t="s">
        <v>26737</v>
      </c>
      <c r="B5154" s="1" t="s">
        <v>27</v>
      </c>
      <c r="C5154" s="1" t="s">
        <v>26738</v>
      </c>
      <c r="D5154" s="1" t="s">
        <v>11550</v>
      </c>
      <c r="F5154" s="1" t="s">
        <v>30</v>
      </c>
      <c r="G5154" s="1" t="s">
        <v>26739</v>
      </c>
      <c r="H5154" s="1">
        <v>2017.0</v>
      </c>
      <c r="I5154" s="1" t="s">
        <v>97</v>
      </c>
      <c r="J5154" s="1" t="s">
        <v>835</v>
      </c>
      <c r="K5154" s="1" t="s">
        <v>34</v>
      </c>
      <c r="L5154" s="1" t="s">
        <v>26740</v>
      </c>
      <c r="M5154" s="2" t="s">
        <v>12</v>
      </c>
      <c r="N5154" s="4">
        <f t="shared" si="1"/>
        <v>43063</v>
      </c>
      <c r="O5154" s="5" t="str">
        <f>IFERROR(__xludf.DUMMYFUNCTION("IF(REGEXMATCH(TRIM(I5154), ""^\d+\s*min""), ""Unclassified"", IF(I5154 = """", ""NR"", I5154))"),"TV-14")</f>
        <v>TV-14</v>
      </c>
      <c r="R5154" s="5" t="str">
        <f t="shared" si="2"/>
        <v>Cuba And The Cameraman</v>
      </c>
      <c r="S5154" s="5" t="str">
        <f>IFERROR(__xludf.DUMMYFUNCTION("""COMPUTED_VALUE"""),"Octonauts &amp; The Caves Of Sac Actun")</f>
        <v>Octonauts &amp; The Caves Of Sac Actun</v>
      </c>
      <c r="V5154" s="5"/>
      <c r="Y5154" s="5" t="str">
        <f>IFERROR(__xludf.DUMMYFUNCTION("REGEXEXTRACT(J5154, ""^\d+"")"),"114")</f>
        <v>114</v>
      </c>
      <c r="Z5154" s="5" t="str">
        <f>IFERROR(__xludf.DUMMYFUNCTION("REGEXEXTRACT(J5154, ""[A-Za-z ]+$"")")," min")</f>
        <v> min</v>
      </c>
      <c r="AA5154" s="5" t="str">
        <f>IFERROR(__xludf.DUMMYFUNCTION("IF(REGEXMATCH(Z5154, ""Season""), ""TV Show"", ""Movie"")"),"Movie")</f>
        <v>Movie</v>
      </c>
    </row>
    <row r="5155">
      <c r="A5155" s="1" t="s">
        <v>26741</v>
      </c>
      <c r="B5155" s="1" t="s">
        <v>27</v>
      </c>
      <c r="C5155" s="1" t="s">
        <v>26742</v>
      </c>
      <c r="D5155" s="1" t="s">
        <v>9551</v>
      </c>
      <c r="E5155" s="1" t="s">
        <v>26743</v>
      </c>
      <c r="F5155" s="1" t="s">
        <v>784</v>
      </c>
      <c r="G5155" s="1" t="s">
        <v>26739</v>
      </c>
      <c r="H5155" s="1">
        <v>2016.0</v>
      </c>
      <c r="I5155" s="1" t="s">
        <v>42</v>
      </c>
      <c r="J5155" s="1" t="s">
        <v>1091</v>
      </c>
      <c r="K5155" s="1" t="s">
        <v>89</v>
      </c>
      <c r="L5155" s="1" t="s">
        <v>26744</v>
      </c>
      <c r="M5155" s="2" t="s">
        <v>12</v>
      </c>
      <c r="N5155" s="4">
        <f t="shared" si="1"/>
        <v>43063</v>
      </c>
      <c r="O5155" s="5" t="str">
        <f>IFERROR(__xludf.DUMMYFUNCTION("IF(REGEXMATCH(TRIM(I5155), ""^\d+\s*min""), ""Unclassified"", IF(I5155 = """", ""NR"", I5155))"),"TV-MA")</f>
        <v>TV-MA</v>
      </c>
      <c r="R5155" s="5" t="str">
        <f t="shared" si="2"/>
        <v>The Girl From The Song</v>
      </c>
      <c r="S5155" s="5" t="str">
        <f>IFERROR(__xludf.DUMMYFUNCTION("""COMPUTED_VALUE"""),"Octonauts &amp; The Great Barrier Reef")</f>
        <v>Octonauts &amp; The Great Barrier Reef</v>
      </c>
      <c r="V5155" s="5"/>
      <c r="Y5155" s="5" t="str">
        <f>IFERROR(__xludf.DUMMYFUNCTION("REGEXEXTRACT(J5155, ""^\d+"")"),"101")</f>
        <v>101</v>
      </c>
      <c r="Z5155" s="5" t="str">
        <f>IFERROR(__xludf.DUMMYFUNCTION("REGEXEXTRACT(J5155, ""[A-Za-z ]+$"")")," min")</f>
        <v> min</v>
      </c>
      <c r="AA5155" s="5" t="str">
        <f>IFERROR(__xludf.DUMMYFUNCTION("IF(REGEXMATCH(Z5155, ""Season""), ""TV Show"", ""Movie"")"),"Movie")</f>
        <v>Movie</v>
      </c>
    </row>
    <row r="5156">
      <c r="A5156" s="1" t="s">
        <v>26745</v>
      </c>
      <c r="B5156" s="1" t="s">
        <v>37</v>
      </c>
      <c r="C5156" s="1" t="s">
        <v>26746</v>
      </c>
      <c r="E5156" s="1" t="s">
        <v>26747</v>
      </c>
      <c r="F5156" s="1" t="s">
        <v>415</v>
      </c>
      <c r="G5156" s="1" t="s">
        <v>26739</v>
      </c>
      <c r="H5156" s="1">
        <v>2017.0</v>
      </c>
      <c r="I5156" s="1" t="s">
        <v>97</v>
      </c>
      <c r="J5156" s="1" t="s">
        <v>51</v>
      </c>
      <c r="K5156" s="1" t="s">
        <v>1907</v>
      </c>
      <c r="L5156" s="1" t="s">
        <v>26748</v>
      </c>
      <c r="M5156" s="2" t="s">
        <v>12</v>
      </c>
      <c r="N5156" s="4">
        <f t="shared" si="1"/>
        <v>43063</v>
      </c>
      <c r="O5156" s="5" t="str">
        <f>IFERROR(__xludf.DUMMYFUNCTION("IF(REGEXMATCH(TRIM(I5156), ""^\d+\s*min""), ""Unclassified"", IF(I5156 = """", ""NR"", I5156))"),"TV-14")</f>
        <v>TV-14</v>
      </c>
      <c r="R5156" s="5" t="str">
        <f t="shared" si="2"/>
        <v>The Many Faces Of Ito</v>
      </c>
      <c r="S5156" s="5" t="str">
        <f>IFERROR(__xludf.DUMMYFUNCTION("""COMPUTED_VALUE"""),"Octonauts &amp; The Ring Of Fire")</f>
        <v>Octonauts &amp; The Ring Of Fire</v>
      </c>
      <c r="V5156" s="5"/>
      <c r="Y5156" s="5" t="str">
        <f>IFERROR(__xludf.DUMMYFUNCTION("REGEXEXTRACT(J5156, ""^\d+"")"),"1")</f>
        <v>1</v>
      </c>
      <c r="Z5156" s="5" t="str">
        <f>IFERROR(__xludf.DUMMYFUNCTION("REGEXEXTRACT(J5156, ""[A-Za-z ]+$"")")," Season")</f>
        <v> Season</v>
      </c>
      <c r="AA5156" s="5" t="str">
        <f>IFERROR(__xludf.DUMMYFUNCTION("IF(REGEXMATCH(Z5156, ""Season""), ""TV Show"", ""Movie"")"),"TV Show")</f>
        <v>TV Show</v>
      </c>
    </row>
    <row r="5157">
      <c r="A5157" s="1" t="s">
        <v>26749</v>
      </c>
      <c r="B5157" s="1" t="s">
        <v>37</v>
      </c>
      <c r="C5157" s="1" t="s">
        <v>26750</v>
      </c>
      <c r="E5157" s="1" t="s">
        <v>26751</v>
      </c>
      <c r="G5157" s="1" t="s">
        <v>26739</v>
      </c>
      <c r="H5157" s="1">
        <v>2017.0</v>
      </c>
      <c r="I5157" s="1" t="s">
        <v>42</v>
      </c>
      <c r="J5157" s="1" t="s">
        <v>51</v>
      </c>
      <c r="K5157" s="1" t="s">
        <v>1294</v>
      </c>
      <c r="L5157" s="1" t="s">
        <v>26752</v>
      </c>
      <c r="M5157" s="2" t="s">
        <v>12</v>
      </c>
      <c r="N5157" s="4">
        <f t="shared" si="1"/>
        <v>43063</v>
      </c>
      <c r="O5157" s="5" t="str">
        <f>IFERROR(__xludf.DUMMYFUNCTION("IF(REGEXMATCH(TRIM(I5157), ""^\d+\s*min""), ""Unclassified"", IF(I5157 = """", ""NR"", I5157))"),"TV-MA")</f>
        <v>TV-MA</v>
      </c>
      <c r="R5157" s="5" t="str">
        <f t="shared" si="2"/>
        <v>Trailer Park Boys: Out Of The Park: Usa</v>
      </c>
      <c r="S5157" s="5" t="str">
        <f>IFERROR(__xludf.DUMMYFUNCTION("""COMPUTED_VALUE"""),"Octonauts: Above &amp; Beyond")</f>
        <v>Octonauts: Above &amp; Beyond</v>
      </c>
      <c r="V5157" s="5"/>
      <c r="Y5157" s="5" t="str">
        <f>IFERROR(__xludf.DUMMYFUNCTION("REGEXEXTRACT(J5157, ""^\d+"")"),"1")</f>
        <v>1</v>
      </c>
      <c r="Z5157" s="5" t="str">
        <f>IFERROR(__xludf.DUMMYFUNCTION("REGEXEXTRACT(J5157, ""[A-Za-z ]+$"")")," Season")</f>
        <v> Season</v>
      </c>
      <c r="AA5157" s="5" t="str">
        <f>IFERROR(__xludf.DUMMYFUNCTION("IF(REGEXMATCH(Z5157, ""Season""), ""TV Show"", ""Movie"")"),"TV Show")</f>
        <v>TV Show</v>
      </c>
    </row>
    <row r="5158">
      <c r="A5158" s="1" t="s">
        <v>26753</v>
      </c>
      <c r="B5158" s="1" t="s">
        <v>37</v>
      </c>
      <c r="C5158" s="1" t="s">
        <v>26754</v>
      </c>
      <c r="D5158" s="1" t="s">
        <v>5228</v>
      </c>
      <c r="E5158" s="1" t="s">
        <v>26755</v>
      </c>
      <c r="G5158" s="1" t="s">
        <v>26756</v>
      </c>
      <c r="H5158" s="1">
        <v>2017.0</v>
      </c>
      <c r="I5158" s="1" t="s">
        <v>42</v>
      </c>
      <c r="J5158" s="1" t="s">
        <v>51</v>
      </c>
      <c r="K5158" s="1" t="s">
        <v>1045</v>
      </c>
      <c r="L5158" s="1" t="s">
        <v>26757</v>
      </c>
      <c r="M5158" s="2" t="s">
        <v>12</v>
      </c>
      <c r="N5158" s="4">
        <f t="shared" si="1"/>
        <v>43062</v>
      </c>
      <c r="O5158" s="5" t="str">
        <f>IFERROR(__xludf.DUMMYFUNCTION("IF(REGEXMATCH(TRIM(I5158), ""^\d+\s*min""), ""Unclassified"", IF(I5158 = """", ""NR"", I5158))"),"TV-MA")</f>
        <v>TV-MA</v>
      </c>
      <c r="R5158" s="5" t="str">
        <f t="shared" si="2"/>
        <v>Bright: The Music Videos</v>
      </c>
      <c r="S5158" s="5" t="str">
        <f>IFERROR(__xludf.DUMMYFUNCTION("""COMPUTED_VALUE"""),"Oddbods")</f>
        <v>Oddbods</v>
      </c>
      <c r="V5158" s="5"/>
      <c r="Y5158" s="5" t="str">
        <f>IFERROR(__xludf.DUMMYFUNCTION("REGEXEXTRACT(J5158, ""^\d+"")"),"1")</f>
        <v>1</v>
      </c>
      <c r="Z5158" s="5" t="str">
        <f>IFERROR(__xludf.DUMMYFUNCTION("REGEXEXTRACT(J5158, ""[A-Za-z ]+$"")")," Season")</f>
        <v> Season</v>
      </c>
      <c r="AA5158" s="5" t="str">
        <f>IFERROR(__xludf.DUMMYFUNCTION("IF(REGEXMATCH(Z5158, ""Season""), ""TV Show"", ""Movie"")"),"TV Show")</f>
        <v>TV Show</v>
      </c>
    </row>
    <row r="5159">
      <c r="A5159" s="1" t="s">
        <v>26758</v>
      </c>
      <c r="B5159" s="1" t="s">
        <v>37</v>
      </c>
      <c r="C5159" s="1" t="s">
        <v>26759</v>
      </c>
      <c r="E5159" s="1" t="s">
        <v>26760</v>
      </c>
      <c r="F5159" s="1" t="s">
        <v>749</v>
      </c>
      <c r="G5159" s="1" t="s">
        <v>26761</v>
      </c>
      <c r="H5159" s="1">
        <v>2017.0</v>
      </c>
      <c r="I5159" s="1" t="s">
        <v>42</v>
      </c>
      <c r="J5159" s="1" t="s">
        <v>51</v>
      </c>
      <c r="K5159" s="1" t="s">
        <v>13832</v>
      </c>
      <c r="L5159" s="1" t="s">
        <v>26762</v>
      </c>
      <c r="M5159" s="2" t="s">
        <v>12</v>
      </c>
      <c r="N5159" s="4">
        <f t="shared" si="1"/>
        <v>43061</v>
      </c>
      <c r="O5159" s="5" t="str">
        <f>IFERROR(__xludf.DUMMYFUNCTION("IF(REGEXMATCH(TRIM(I5159), ""^\d+\s*min""), ""Unclassified"", IF(I5159 = """", ""NR"", I5159))"),"TV-MA")</f>
        <v>TV-MA</v>
      </c>
      <c r="R5159" s="5" t="str">
        <f t="shared" si="2"/>
        <v>Argon</v>
      </c>
      <c r="S5159" s="5" t="str">
        <f>IFERROR(__xludf.DUMMYFUNCTION("""COMPUTED_VALUE"""),"Oddbods: Party Monsters")</f>
        <v>Oddbods: Party Monsters</v>
      </c>
      <c r="V5159" s="5"/>
      <c r="Y5159" s="5" t="str">
        <f>IFERROR(__xludf.DUMMYFUNCTION("REGEXEXTRACT(J5159, ""^\d+"")"),"1")</f>
        <v>1</v>
      </c>
      <c r="Z5159" s="5" t="str">
        <f>IFERROR(__xludf.DUMMYFUNCTION("REGEXEXTRACT(J5159, ""[A-Za-z ]+$"")")," Season")</f>
        <v> Season</v>
      </c>
      <c r="AA5159" s="5" t="str">
        <f>IFERROR(__xludf.DUMMYFUNCTION("IF(REGEXMATCH(Z5159, ""Season""), ""TV Show"", ""Movie"")"),"TV Show")</f>
        <v>TV Show</v>
      </c>
    </row>
    <row r="5160">
      <c r="A5160" s="1" t="s">
        <v>26763</v>
      </c>
      <c r="B5160" s="1" t="s">
        <v>27</v>
      </c>
      <c r="C5160" s="1" t="s">
        <v>26764</v>
      </c>
      <c r="D5160" s="1" t="s">
        <v>2996</v>
      </c>
      <c r="E5160" s="1" t="s">
        <v>2990</v>
      </c>
      <c r="F5160" s="1" t="s">
        <v>30</v>
      </c>
      <c r="G5160" s="1" t="s">
        <v>26761</v>
      </c>
      <c r="H5160" s="1">
        <v>2017.0</v>
      </c>
      <c r="I5160" s="1" t="s">
        <v>97</v>
      </c>
      <c r="J5160" s="1" t="s">
        <v>1065</v>
      </c>
      <c r="K5160" s="1" t="s">
        <v>8833</v>
      </c>
      <c r="L5160" s="1" t="s">
        <v>26765</v>
      </c>
      <c r="M5160" s="2" t="s">
        <v>12</v>
      </c>
      <c r="N5160" s="4">
        <f t="shared" si="1"/>
        <v>43061</v>
      </c>
      <c r="O5160" s="5" t="str">
        <f>IFERROR(__xludf.DUMMYFUNCTION("IF(REGEXMATCH(TRIM(I5160), ""^\d+\s*min""), ""Unclassified"", IF(I5160 = """", ""NR"", I5160))"),"TV-14")</f>
        <v>TV-14</v>
      </c>
      <c r="R5160" s="5" t="str">
        <f t="shared" si="2"/>
        <v>Barbra: The Music ... The Mem'Ries ... The Magic!</v>
      </c>
      <c r="S5160" s="5" t="str">
        <f>IFERROR(__xludf.DUMMYFUNCTION("""COMPUTED_VALUE"""),"Oddbods: The Festive Menace")</f>
        <v>Oddbods: The Festive Menace</v>
      </c>
      <c r="V5160" s="5"/>
      <c r="Y5160" s="5" t="str">
        <f>IFERROR(__xludf.DUMMYFUNCTION("REGEXEXTRACT(J5160, ""^\d+"")"),"109")</f>
        <v>109</v>
      </c>
      <c r="Z5160" s="5" t="str">
        <f>IFERROR(__xludf.DUMMYFUNCTION("REGEXEXTRACT(J5160, ""[A-Za-z ]+$"")")," min")</f>
        <v> min</v>
      </c>
      <c r="AA5160" s="5" t="str">
        <f>IFERROR(__xludf.DUMMYFUNCTION("IF(REGEXMATCH(Z5160, ""Season""), ""TV Show"", ""Movie"")"),"Movie")</f>
        <v>Movie</v>
      </c>
    </row>
    <row r="5161">
      <c r="A5161" s="1" t="s">
        <v>26766</v>
      </c>
      <c r="B5161" s="1" t="s">
        <v>37</v>
      </c>
      <c r="C5161" s="1" t="s">
        <v>26767</v>
      </c>
      <c r="E5161" s="1" t="s">
        <v>26768</v>
      </c>
      <c r="F5161" s="1" t="s">
        <v>30</v>
      </c>
      <c r="G5161" s="1" t="s">
        <v>26761</v>
      </c>
      <c r="H5161" s="1">
        <v>2017.0</v>
      </c>
      <c r="I5161" s="1" t="s">
        <v>42</v>
      </c>
      <c r="J5161" s="1" t="s">
        <v>51</v>
      </c>
      <c r="K5161" s="1" t="s">
        <v>2709</v>
      </c>
      <c r="L5161" s="1" t="s">
        <v>26769</v>
      </c>
      <c r="M5161" s="2" t="s">
        <v>12</v>
      </c>
      <c r="N5161" s="4">
        <f t="shared" si="1"/>
        <v>43061</v>
      </c>
      <c r="O5161" s="5" t="str">
        <f>IFERROR(__xludf.DUMMYFUNCTION("IF(REGEXMATCH(TRIM(I5161), ""^\d+\s*min""), ""Unclassified"", IF(I5161 = """", ""NR"", I5161))"),"TV-MA")</f>
        <v>TV-MA</v>
      </c>
      <c r="R5161" s="5" t="str">
        <f t="shared" si="2"/>
        <v>Godless</v>
      </c>
      <c r="S5161" s="5" t="str">
        <f>IFERROR(__xludf.DUMMYFUNCTION("""COMPUTED_VALUE"""),"Odu Raja Odu")</f>
        <v>Odu Raja Odu</v>
      </c>
      <c r="V5161" s="5"/>
      <c r="Y5161" s="5" t="str">
        <f>IFERROR(__xludf.DUMMYFUNCTION("REGEXEXTRACT(J5161, ""^\d+"")"),"1")</f>
        <v>1</v>
      </c>
      <c r="Z5161" s="5" t="str">
        <f>IFERROR(__xludf.DUMMYFUNCTION("REGEXEXTRACT(J5161, ""[A-Za-z ]+$"")")," Season")</f>
        <v> Season</v>
      </c>
      <c r="AA5161" s="5" t="str">
        <f>IFERROR(__xludf.DUMMYFUNCTION("IF(REGEXMATCH(Z5161, ""Season""), ""TV Show"", ""Movie"")"),"TV Show")</f>
        <v>TV Show</v>
      </c>
    </row>
    <row r="5162">
      <c r="A5162" s="1" t="s">
        <v>26770</v>
      </c>
      <c r="B5162" s="1" t="s">
        <v>27</v>
      </c>
      <c r="C5162" s="1" t="s">
        <v>26771</v>
      </c>
      <c r="D5162" s="1" t="s">
        <v>11894</v>
      </c>
      <c r="E5162" s="1" t="s">
        <v>19878</v>
      </c>
      <c r="F5162" s="1" t="s">
        <v>19879</v>
      </c>
      <c r="G5162" s="1" t="s">
        <v>26772</v>
      </c>
      <c r="H5162" s="1">
        <v>2017.0</v>
      </c>
      <c r="I5162" s="1" t="s">
        <v>206</v>
      </c>
      <c r="J5162" s="1" t="s">
        <v>7064</v>
      </c>
      <c r="K5162" s="1" t="s">
        <v>920</v>
      </c>
      <c r="L5162" s="1" t="s">
        <v>26773</v>
      </c>
      <c r="M5162" s="2" t="s">
        <v>12</v>
      </c>
      <c r="N5162" s="4">
        <f t="shared" si="1"/>
        <v>43060</v>
      </c>
      <c r="O5162" s="5" t="str">
        <f>IFERROR(__xludf.DUMMYFUNCTION("IF(REGEXMATCH(TRIM(I5162), ""^\d+\s*min""), ""Unclassified"", IF(I5162 = """", ""NR"", I5162))"),"TV-Y")</f>
        <v>TV-Y</v>
      </c>
      <c r="R5162" s="5" t="str">
        <f t="shared" si="2"/>
        <v>Beat Bugs: All Together Now</v>
      </c>
      <c r="S5162" s="5" t="str">
        <f>IFERROR(__xludf.DUMMYFUNCTION("""COMPUTED_VALUE"""),"Off Camera")</f>
        <v>Off Camera</v>
      </c>
      <c r="V5162" s="5"/>
      <c r="Y5162" s="5" t="str">
        <f>IFERROR(__xludf.DUMMYFUNCTION("REGEXEXTRACT(J5162, ""^\d+"")"),"51")</f>
        <v>51</v>
      </c>
      <c r="Z5162" s="5" t="str">
        <f>IFERROR(__xludf.DUMMYFUNCTION("REGEXEXTRACT(J5162, ""[A-Za-z ]+$"")")," min")</f>
        <v> min</v>
      </c>
      <c r="AA5162" s="5" t="str">
        <f>IFERROR(__xludf.DUMMYFUNCTION("IF(REGEXMATCH(Z5162, ""Season""), ""TV Show"", ""Movie"")"),"Movie")</f>
        <v>Movie</v>
      </c>
    </row>
    <row r="5163">
      <c r="A5163" s="1" t="s">
        <v>26774</v>
      </c>
      <c r="B5163" s="1" t="s">
        <v>27</v>
      </c>
      <c r="C5163" s="1" t="s">
        <v>26775</v>
      </c>
      <c r="D5163" s="1" t="s">
        <v>7037</v>
      </c>
      <c r="E5163" s="1" t="s">
        <v>7553</v>
      </c>
      <c r="F5163" s="1" t="s">
        <v>30</v>
      </c>
      <c r="G5163" s="1" t="s">
        <v>26772</v>
      </c>
      <c r="H5163" s="1">
        <v>2017.0</v>
      </c>
      <c r="I5163" s="1" t="s">
        <v>136</v>
      </c>
      <c r="J5163" s="1" t="s">
        <v>207</v>
      </c>
      <c r="K5163" s="1" t="s">
        <v>1839</v>
      </c>
      <c r="L5163" s="1" t="s">
        <v>26776</v>
      </c>
      <c r="M5163" s="2" t="s">
        <v>12</v>
      </c>
      <c r="N5163" s="4">
        <f t="shared" si="1"/>
        <v>43060</v>
      </c>
      <c r="O5163" s="5" t="str">
        <f>IFERROR(__xludf.DUMMYFUNCTION("IF(REGEXMATCH(TRIM(I5163), ""^\d+\s*min""), ""Unclassified"", IF(I5163 = """", ""NR"", I5163))"),"TV-PG")</f>
        <v>TV-PG</v>
      </c>
      <c r="R5163" s="5" t="str">
        <f t="shared" si="2"/>
        <v>Brian Regan: Nunchucks And Flamethrowers</v>
      </c>
      <c r="S5163" s="5" t="str">
        <f>IFERROR(__xludf.DUMMYFUNCTION("""COMPUTED_VALUE"""),"Off Course")</f>
        <v>Off Course</v>
      </c>
      <c r="V5163" s="5"/>
      <c r="Y5163" s="5" t="str">
        <f>IFERROR(__xludf.DUMMYFUNCTION("REGEXEXTRACT(J5163, ""^\d+"")"),"61")</f>
        <v>61</v>
      </c>
      <c r="Z5163" s="5" t="str">
        <f>IFERROR(__xludf.DUMMYFUNCTION("REGEXEXTRACT(J5163, ""[A-Za-z ]+$"")")," min")</f>
        <v> min</v>
      </c>
      <c r="AA5163" s="5" t="str">
        <f>IFERROR(__xludf.DUMMYFUNCTION("IF(REGEXMATCH(Z5163, ""Season""), ""TV Show"", ""Movie"")"),"Movie")</f>
        <v>Movie</v>
      </c>
    </row>
    <row r="5164">
      <c r="A5164" s="1" t="s">
        <v>26777</v>
      </c>
      <c r="B5164" s="1" t="s">
        <v>27</v>
      </c>
      <c r="C5164" s="1" t="s">
        <v>26778</v>
      </c>
      <c r="D5164" s="1" t="s">
        <v>9891</v>
      </c>
      <c r="E5164" s="1" t="s">
        <v>26779</v>
      </c>
      <c r="F5164" s="1" t="s">
        <v>30</v>
      </c>
      <c r="G5164" s="1" t="s">
        <v>26772</v>
      </c>
      <c r="H5164" s="1">
        <v>2017.0</v>
      </c>
      <c r="I5164" s="1" t="s">
        <v>136</v>
      </c>
      <c r="J5164" s="1" t="s">
        <v>5120</v>
      </c>
      <c r="K5164" s="1" t="s">
        <v>34</v>
      </c>
      <c r="L5164" s="1" t="s">
        <v>26780</v>
      </c>
      <c r="M5164" s="2" t="s">
        <v>12</v>
      </c>
      <c r="N5164" s="4">
        <f t="shared" si="1"/>
        <v>43060</v>
      </c>
      <c r="O5164" s="5" t="str">
        <f>IFERROR(__xludf.DUMMYFUNCTION("IF(REGEXMATCH(TRIM(I5164), ""^\d+\s*min""), ""Unclassified"", IF(I5164 = """", ""NR"", I5164))"),"TV-PG")</f>
        <v>TV-PG</v>
      </c>
      <c r="R5164" s="5" t="str">
        <f t="shared" si="2"/>
        <v>Saving Capitalism</v>
      </c>
      <c r="S5164" s="5" t="str">
        <f>IFERROR(__xludf.DUMMYFUNCTION("""COMPUTED_VALUE"""),"Offering To The Storm")</f>
        <v>Offering To The Storm</v>
      </c>
      <c r="V5164" s="5"/>
      <c r="Y5164" s="5" t="str">
        <f>IFERROR(__xludf.DUMMYFUNCTION("REGEXEXTRACT(J5164, ""^\d+"")"),"73")</f>
        <v>73</v>
      </c>
      <c r="Z5164" s="5" t="str">
        <f>IFERROR(__xludf.DUMMYFUNCTION("REGEXEXTRACT(J5164, ""[A-Za-z ]+$"")")," min")</f>
        <v> min</v>
      </c>
      <c r="AA5164" s="5" t="str">
        <f>IFERROR(__xludf.DUMMYFUNCTION("IF(REGEXMATCH(Z5164, ""Season""), ""TV Show"", ""Movie"")"),"Movie")</f>
        <v>Movie</v>
      </c>
    </row>
    <row r="5165">
      <c r="A5165" s="1" t="s">
        <v>26781</v>
      </c>
      <c r="B5165" s="1" t="s">
        <v>27</v>
      </c>
      <c r="C5165" s="1" t="s">
        <v>26782</v>
      </c>
      <c r="D5165" s="1" t="s">
        <v>1218</v>
      </c>
      <c r="E5165" s="1" t="s">
        <v>26783</v>
      </c>
      <c r="F5165" s="1" t="s">
        <v>30</v>
      </c>
      <c r="G5165" s="1" t="s">
        <v>26784</v>
      </c>
      <c r="H5165" s="1">
        <v>2017.0</v>
      </c>
      <c r="I5165" s="1" t="s">
        <v>136</v>
      </c>
      <c r="J5165" s="1" t="s">
        <v>665</v>
      </c>
      <c r="K5165" s="1" t="s">
        <v>14468</v>
      </c>
      <c r="L5165" s="1" t="s">
        <v>26785</v>
      </c>
      <c r="M5165" s="2" t="s">
        <v>12</v>
      </c>
      <c r="N5165" s="4">
        <f t="shared" si="1"/>
        <v>43056</v>
      </c>
      <c r="O5165" s="5" t="str">
        <f>IFERROR(__xludf.DUMMYFUNCTION("IF(REGEXMATCH(TRIM(I5165), ""^\d+\s*min""), ""Unclassified"", IF(I5165 = """", ""NR"", I5165))"),"TV-PG")</f>
        <v>TV-PG</v>
      </c>
      <c r="R5165" s="5" t="str">
        <f t="shared" si="2"/>
        <v>A Christmas Prince</v>
      </c>
      <c r="S5165" s="5" t="str">
        <f>IFERROR(__xludf.DUMMYFUNCTION("""COMPUTED_VALUE"""),"Office Girls")</f>
        <v>Office Girls</v>
      </c>
      <c r="V5165" s="5"/>
      <c r="Y5165" s="5" t="str">
        <f>IFERROR(__xludf.DUMMYFUNCTION("REGEXEXTRACT(J5165, ""^\d+"")"),"92")</f>
        <v>92</v>
      </c>
      <c r="Z5165" s="5" t="str">
        <f>IFERROR(__xludf.DUMMYFUNCTION("REGEXEXTRACT(J5165, ""[A-Za-z ]+$"")")," min")</f>
        <v> min</v>
      </c>
      <c r="AA5165" s="5" t="str">
        <f>IFERROR(__xludf.DUMMYFUNCTION("IF(REGEXMATCH(Z5165, ""Season""), ""TV Show"", ""Movie"")"),"Movie")</f>
        <v>Movie</v>
      </c>
    </row>
    <row r="5166">
      <c r="A5166" s="1" t="s">
        <v>26786</v>
      </c>
      <c r="B5166" s="1" t="s">
        <v>27</v>
      </c>
      <c r="C5166" s="1" t="s">
        <v>26787</v>
      </c>
      <c r="D5166" s="1" t="s">
        <v>4810</v>
      </c>
      <c r="E5166" s="1" t="s">
        <v>26788</v>
      </c>
      <c r="F5166" s="1" t="s">
        <v>1979</v>
      </c>
      <c r="G5166" s="1" t="s">
        <v>26784</v>
      </c>
      <c r="H5166" s="1">
        <v>2017.0</v>
      </c>
      <c r="I5166" s="1" t="s">
        <v>42</v>
      </c>
      <c r="J5166" s="1" t="s">
        <v>170</v>
      </c>
      <c r="K5166" s="1" t="s">
        <v>34</v>
      </c>
      <c r="L5166" s="1" t="s">
        <v>26789</v>
      </c>
      <c r="M5166" s="2" t="s">
        <v>12</v>
      </c>
      <c r="N5166" s="4">
        <f t="shared" si="1"/>
        <v>43056</v>
      </c>
      <c r="O5166" s="5" t="str">
        <f>IFERROR(__xludf.DUMMYFUNCTION("IF(REGEXMATCH(TRIM(I5166), ""^\d+\s*min""), ""Unclassified"", IF(I5166 = """", ""NR"", I5166))"),"TV-MA")</f>
        <v>TV-MA</v>
      </c>
      <c r="R5166" s="5" t="str">
        <f t="shared" si="2"/>
        <v>Jim &amp; Andy: The Great Beyond - Featuring A Very Special, Contractually Obligated Mention Of Tony Clifton</v>
      </c>
      <c r="S5166" s="5" t="str">
        <f>IFERROR(__xludf.DUMMYFUNCTION("""COMPUTED_VALUE"""),"Officer Downe")</f>
        <v>Officer Downe</v>
      </c>
      <c r="V5166" s="5"/>
      <c r="Y5166" s="5" t="str">
        <f>IFERROR(__xludf.DUMMYFUNCTION("REGEXEXTRACT(J5166, ""^\d+"")"),"94")</f>
        <v>94</v>
      </c>
      <c r="Z5166" s="5" t="str">
        <f>IFERROR(__xludf.DUMMYFUNCTION("REGEXEXTRACT(J5166, ""[A-Za-z ]+$"")")," min")</f>
        <v> min</v>
      </c>
      <c r="AA5166" s="5" t="str">
        <f>IFERROR(__xludf.DUMMYFUNCTION("IF(REGEXMATCH(Z5166, ""Season""), ""TV Show"", ""Movie"")"),"Movie")</f>
        <v>Movie</v>
      </c>
    </row>
    <row r="5167">
      <c r="A5167" s="1" t="s">
        <v>26790</v>
      </c>
      <c r="B5167" s="1" t="s">
        <v>37</v>
      </c>
      <c r="C5167" s="1" t="s">
        <v>26791</v>
      </c>
      <c r="E5167" s="1" t="s">
        <v>26792</v>
      </c>
      <c r="F5167" s="1" t="s">
        <v>30</v>
      </c>
      <c r="G5167" s="1" t="s">
        <v>26784</v>
      </c>
      <c r="H5167" s="1">
        <v>2017.0</v>
      </c>
      <c r="I5167" s="1" t="s">
        <v>42</v>
      </c>
      <c r="J5167" s="1" t="s">
        <v>439</v>
      </c>
      <c r="K5167" s="1" t="s">
        <v>4118</v>
      </c>
      <c r="L5167" s="1" t="s">
        <v>26793</v>
      </c>
      <c r="M5167" s="2" t="s">
        <v>12</v>
      </c>
      <c r="N5167" s="4">
        <f t="shared" si="1"/>
        <v>43056</v>
      </c>
      <c r="O5167" s="5" t="str">
        <f>IFERROR(__xludf.DUMMYFUNCTION("IF(REGEXMATCH(TRIM(I5167), ""^\d+\s*min""), ""Unclassified"", IF(I5167 = """", ""NR"", I5167))"),"TV-MA")</f>
        <v>TV-MA</v>
      </c>
      <c r="R5167" s="5" t="str">
        <f t="shared" si="2"/>
        <v>Longmire</v>
      </c>
      <c r="S5167" s="5" t="str">
        <f>IFERROR(__xludf.DUMMYFUNCTION("""COMPUTED_VALUE"""),"Offline - Das Leben Ist Kein Bonuslevel")</f>
        <v>Offline - Das Leben Ist Kein Bonuslevel</v>
      </c>
      <c r="V5167" s="5"/>
      <c r="Y5167" s="5" t="str">
        <f>IFERROR(__xludf.DUMMYFUNCTION("REGEXEXTRACT(J5167, ""^\d+"")"),"6")</f>
        <v>6</v>
      </c>
      <c r="Z5167" s="5" t="str">
        <f>IFERROR(__xludf.DUMMYFUNCTION("REGEXEXTRACT(J5167, ""[A-Za-z ]+$"")")," Seasons")</f>
        <v> Seasons</v>
      </c>
      <c r="AA5167" s="5" t="str">
        <f>IFERROR(__xludf.DUMMYFUNCTION("IF(REGEXMATCH(Z5167, ""Season""), ""TV Show"", ""Movie"")"),"TV Show")</f>
        <v>TV Show</v>
      </c>
    </row>
    <row r="5168">
      <c r="A5168" s="1" t="s">
        <v>26794</v>
      </c>
      <c r="B5168" s="1" t="s">
        <v>37</v>
      </c>
      <c r="C5168" s="1" t="s">
        <v>26795</v>
      </c>
      <c r="E5168" s="1" t="s">
        <v>26796</v>
      </c>
      <c r="F5168" s="1" t="s">
        <v>30</v>
      </c>
      <c r="G5168" s="1" t="s">
        <v>26784</v>
      </c>
      <c r="H5168" s="1">
        <v>2017.0</v>
      </c>
      <c r="I5168" s="1" t="s">
        <v>206</v>
      </c>
      <c r="J5168" s="1" t="s">
        <v>276</v>
      </c>
      <c r="K5168" s="1" t="s">
        <v>290</v>
      </c>
      <c r="L5168" s="1" t="s">
        <v>26797</v>
      </c>
      <c r="M5168" s="2" t="s">
        <v>12</v>
      </c>
      <c r="N5168" s="4">
        <f t="shared" si="1"/>
        <v>43056</v>
      </c>
      <c r="O5168" s="5" t="str">
        <f>IFERROR(__xludf.DUMMYFUNCTION("IF(REGEXMATCH(TRIM(I5168), ""^\d+\s*min""), ""Unclassified"", IF(I5168 = """", ""NR"", I5168))"),"TV-Y")</f>
        <v>TV-Y</v>
      </c>
      <c r="R5168" s="5" t="str">
        <f t="shared" si="2"/>
        <v>Luna Petunia</v>
      </c>
      <c r="S5168" s="5" t="str">
        <f>IFERROR(__xludf.DUMMYFUNCTION("""COMPUTED_VALUE"""),"Offspring")</f>
        <v>Offspring</v>
      </c>
      <c r="V5168" s="5"/>
      <c r="Y5168" s="5" t="str">
        <f>IFERROR(__xludf.DUMMYFUNCTION("REGEXEXTRACT(J5168, ""^\d+"")"),"3")</f>
        <v>3</v>
      </c>
      <c r="Z5168" s="5" t="str">
        <f>IFERROR(__xludf.DUMMYFUNCTION("REGEXEXTRACT(J5168, ""[A-Za-z ]+$"")")," Seasons")</f>
        <v> Seasons</v>
      </c>
      <c r="AA5168" s="5" t="str">
        <f>IFERROR(__xludf.DUMMYFUNCTION("IF(REGEXMATCH(Z5168, ""Season""), ""TV Show"", ""Movie"")"),"TV Show")</f>
        <v>TV Show</v>
      </c>
    </row>
    <row r="5169">
      <c r="A5169" s="1" t="s">
        <v>26798</v>
      </c>
      <c r="B5169" s="1" t="s">
        <v>27</v>
      </c>
      <c r="C5169" s="1" t="s">
        <v>26799</v>
      </c>
      <c r="D5169" s="1" t="s">
        <v>6271</v>
      </c>
      <c r="E5169" s="1" t="s">
        <v>26800</v>
      </c>
      <c r="F5169" s="1" t="s">
        <v>30</v>
      </c>
      <c r="G5169" s="1" t="s">
        <v>26784</v>
      </c>
      <c r="H5169" s="1">
        <v>2017.0</v>
      </c>
      <c r="I5169" s="1" t="s">
        <v>378</v>
      </c>
      <c r="J5169" s="1" t="s">
        <v>1369</v>
      </c>
      <c r="K5169" s="1" t="s">
        <v>1320</v>
      </c>
      <c r="L5169" s="1" t="s">
        <v>26801</v>
      </c>
      <c r="M5169" s="2" t="s">
        <v>12</v>
      </c>
      <c r="N5169" s="4">
        <f t="shared" si="1"/>
        <v>43056</v>
      </c>
      <c r="O5169" s="5" t="str">
        <f>IFERROR(__xludf.DUMMYFUNCTION("IF(REGEXMATCH(TRIM(I5169), ""^\d+\s*min""), ""Unclassified"", IF(I5169 = """", ""NR"", I5169))"),"R")</f>
        <v>R</v>
      </c>
      <c r="R5169" s="5" t="str">
        <f t="shared" si="2"/>
        <v>Mudbound</v>
      </c>
      <c r="S5169" s="5" t="str">
        <f>IFERROR(__xludf.DUMMYFUNCTION("""COMPUTED_VALUE"""),"Oggy And The Cockroaches")</f>
        <v>Oggy And The Cockroaches</v>
      </c>
      <c r="V5169" s="5"/>
      <c r="Y5169" s="5" t="str">
        <f>IFERROR(__xludf.DUMMYFUNCTION("REGEXEXTRACT(J5169, ""^\d+"")"),"135")</f>
        <v>135</v>
      </c>
      <c r="Z5169" s="5" t="str">
        <f>IFERROR(__xludf.DUMMYFUNCTION("REGEXEXTRACT(J5169, ""[A-Za-z ]+$"")")," min")</f>
        <v> min</v>
      </c>
      <c r="AA5169" s="5" t="str">
        <f>IFERROR(__xludf.DUMMYFUNCTION("IF(REGEXMATCH(Z5169, ""Season""), ""TV Show"", ""Movie"")"),"Movie")</f>
        <v>Movie</v>
      </c>
    </row>
    <row r="5170">
      <c r="A5170" s="1" t="s">
        <v>26802</v>
      </c>
      <c r="B5170" s="1" t="s">
        <v>37</v>
      </c>
      <c r="C5170" s="1" t="s">
        <v>26803</v>
      </c>
      <c r="F5170" s="1" t="s">
        <v>30</v>
      </c>
      <c r="G5170" s="1" t="s">
        <v>26784</v>
      </c>
      <c r="H5170" s="1">
        <v>2017.0</v>
      </c>
      <c r="I5170" s="1" t="s">
        <v>42</v>
      </c>
      <c r="J5170" s="1" t="s">
        <v>51</v>
      </c>
      <c r="K5170" s="1" t="s">
        <v>440</v>
      </c>
      <c r="L5170" s="1" t="s">
        <v>26804</v>
      </c>
      <c r="M5170" s="2" t="s">
        <v>12</v>
      </c>
      <c r="N5170" s="4">
        <f t="shared" si="1"/>
        <v>43056</v>
      </c>
      <c r="O5170" s="5" t="str">
        <f>IFERROR(__xludf.DUMMYFUNCTION("IF(REGEXMATCH(TRIM(I5170), ""^\d+\s*min""), ""Unclassified"", IF(I5170 = """", ""NR"", I5170))"),"TV-MA")</f>
        <v>TV-MA</v>
      </c>
      <c r="R5170" s="5" t="str">
        <f t="shared" si="2"/>
        <v>Shot In The Dark</v>
      </c>
      <c r="S5170" s="5" t="str">
        <f>IFERROR(__xludf.DUMMYFUNCTION("""COMPUTED_VALUE"""),"Oggy Oggy")</f>
        <v>Oggy Oggy</v>
      </c>
      <c r="V5170" s="5"/>
      <c r="Y5170" s="5" t="str">
        <f>IFERROR(__xludf.DUMMYFUNCTION("REGEXEXTRACT(J5170, ""^\d+"")"),"1")</f>
        <v>1</v>
      </c>
      <c r="Z5170" s="5" t="str">
        <f>IFERROR(__xludf.DUMMYFUNCTION("REGEXEXTRACT(J5170, ""[A-Za-z ]+$"")")," Season")</f>
        <v> Season</v>
      </c>
      <c r="AA5170" s="5" t="str">
        <f>IFERROR(__xludf.DUMMYFUNCTION("IF(REGEXMATCH(Z5170, ""Season""), ""TV Show"", ""Movie"")"),"TV Show")</f>
        <v>TV Show</v>
      </c>
    </row>
    <row r="5171">
      <c r="A5171" s="1" t="s">
        <v>26805</v>
      </c>
      <c r="B5171" s="1" t="s">
        <v>37</v>
      </c>
      <c r="C5171" s="1" t="s">
        <v>26806</v>
      </c>
      <c r="E5171" s="1" t="s">
        <v>26807</v>
      </c>
      <c r="F5171" s="1" t="s">
        <v>415</v>
      </c>
      <c r="G5171" s="1" t="s">
        <v>26808</v>
      </c>
      <c r="H5171" s="1">
        <v>2014.0</v>
      </c>
      <c r="I5171" s="1" t="s">
        <v>97</v>
      </c>
      <c r="J5171" s="1" t="s">
        <v>51</v>
      </c>
      <c r="K5171" s="1" t="s">
        <v>1084</v>
      </c>
      <c r="L5171" s="1" t="s">
        <v>26809</v>
      </c>
      <c r="M5171" s="2" t="s">
        <v>12</v>
      </c>
      <c r="N5171" s="4">
        <f t="shared" si="1"/>
        <v>43054</v>
      </c>
      <c r="O5171" s="5" t="str">
        <f>IFERROR(__xludf.DUMMYFUNCTION("IF(REGEXMATCH(TRIM(I5171), ""^\d+\s*min""), ""Unclassified"", IF(I5171 = """", ""NR"", I5171))"),"TV-14")</f>
        <v>TV-14</v>
      </c>
      <c r="R5171" s="5" t="str">
        <f t="shared" si="2"/>
        <v>The Irregular At Magic High School</v>
      </c>
      <c r="S5171" s="5" t="str">
        <f>IFERROR(__xludf.DUMMYFUNCTION("""COMPUTED_VALUE"""),"Oh Darling Yeh Hai India")</f>
        <v>Oh Darling Yeh Hai India</v>
      </c>
      <c r="V5171" s="5"/>
      <c r="Y5171" s="5" t="str">
        <f>IFERROR(__xludf.DUMMYFUNCTION("REGEXEXTRACT(J5171, ""^\d+"")"),"1")</f>
        <v>1</v>
      </c>
      <c r="Z5171" s="5" t="str">
        <f>IFERROR(__xludf.DUMMYFUNCTION("REGEXEXTRACT(J5171, ""[A-Za-z ]+$"")")," Season")</f>
        <v> Season</v>
      </c>
      <c r="AA5171" s="5" t="str">
        <f>IFERROR(__xludf.DUMMYFUNCTION("IF(REGEXMATCH(Z5171, ""Season""), ""TV Show"", ""Movie"")"),"TV Show")</f>
        <v>TV Show</v>
      </c>
    </row>
    <row r="5172">
      <c r="A5172" s="1" t="s">
        <v>26810</v>
      </c>
      <c r="B5172" s="1" t="s">
        <v>37</v>
      </c>
      <c r="C5172" s="1" t="s">
        <v>26811</v>
      </c>
      <c r="E5172" s="1" t="s">
        <v>26812</v>
      </c>
      <c r="F5172" s="1" t="s">
        <v>1078</v>
      </c>
      <c r="G5172" s="1" t="s">
        <v>26808</v>
      </c>
      <c r="H5172" s="1">
        <v>2015.0</v>
      </c>
      <c r="I5172" s="1" t="s">
        <v>42</v>
      </c>
      <c r="J5172" s="1" t="s">
        <v>51</v>
      </c>
      <c r="K5172" s="1" t="s">
        <v>1362</v>
      </c>
      <c r="L5172" s="1" t="s">
        <v>26813</v>
      </c>
      <c r="M5172" s="2" t="s">
        <v>12</v>
      </c>
      <c r="N5172" s="4">
        <f t="shared" si="1"/>
        <v>43054</v>
      </c>
      <c r="O5172" s="5" t="str">
        <f>IFERROR(__xludf.DUMMYFUNCTION("IF(REGEXMATCH(TRIM(I5172), ""^\d+\s*min""), ""Unclassified"", IF(I5172 = """", ""NR"", I5172))"),"TV-MA")</f>
        <v>TV-MA</v>
      </c>
      <c r="R5172" s="5" t="str">
        <f t="shared" si="2"/>
        <v>The Method</v>
      </c>
      <c r="S5172" s="5" t="str">
        <f>IFERROR(__xludf.DUMMYFUNCTION("""COMPUTED_VALUE"""),"Oh My Ghost")</f>
        <v>Oh My Ghost</v>
      </c>
      <c r="V5172" s="5"/>
      <c r="Y5172" s="5" t="str">
        <f>IFERROR(__xludf.DUMMYFUNCTION("REGEXEXTRACT(J5172, ""^\d+"")"),"1")</f>
        <v>1</v>
      </c>
      <c r="Z5172" s="5" t="str">
        <f>IFERROR(__xludf.DUMMYFUNCTION("REGEXEXTRACT(J5172, ""[A-Za-z ]+$"")")," Season")</f>
        <v> Season</v>
      </c>
      <c r="AA5172" s="5" t="str">
        <f>IFERROR(__xludf.DUMMYFUNCTION("IF(REGEXMATCH(Z5172, ""Season""), ""TV Show"", ""Movie"")"),"TV Show")</f>
        <v>TV Show</v>
      </c>
    </row>
    <row r="5173">
      <c r="A5173" s="1" t="s">
        <v>26814</v>
      </c>
      <c r="B5173" s="1" t="s">
        <v>27</v>
      </c>
      <c r="C5173" s="1" t="s">
        <v>26815</v>
      </c>
      <c r="D5173" s="1" t="s">
        <v>14140</v>
      </c>
      <c r="E5173" s="1" t="s">
        <v>26816</v>
      </c>
      <c r="F5173" s="1" t="s">
        <v>30</v>
      </c>
      <c r="G5173" s="1" t="s">
        <v>26817</v>
      </c>
      <c r="H5173" s="1">
        <v>2017.0</v>
      </c>
      <c r="I5173" s="1" t="s">
        <v>42</v>
      </c>
      <c r="J5173" s="1" t="s">
        <v>2636</v>
      </c>
      <c r="K5173" s="1" t="s">
        <v>1839</v>
      </c>
      <c r="L5173" s="1" t="s">
        <v>26818</v>
      </c>
      <c r="M5173" s="2" t="s">
        <v>12</v>
      </c>
      <c r="N5173" s="4">
        <f t="shared" si="1"/>
        <v>43053</v>
      </c>
      <c r="O5173" s="5" t="str">
        <f>IFERROR(__xludf.DUMMYFUNCTION("IF(REGEXMATCH(TRIM(I5173), ""^\d+\s*min""), ""Unclassified"", IF(I5173 = """", ""NR"", I5173))"),"TV-MA")</f>
        <v>TV-MA</v>
      </c>
      <c r="R5173" s="5" t="str">
        <f t="shared" si="2"/>
        <v>Deray Davis: How To Act Black</v>
      </c>
      <c r="S5173" s="5" t="str">
        <f>IFERROR(__xludf.DUMMYFUNCTION("""COMPUTED_VALUE"""),"Oh My Ghost 2")</f>
        <v>Oh My Ghost 2</v>
      </c>
      <c r="V5173" s="5"/>
      <c r="Y5173" s="5" t="str">
        <f>IFERROR(__xludf.DUMMYFUNCTION("REGEXEXTRACT(J5173, ""^\d+"")"),"66")</f>
        <v>66</v>
      </c>
      <c r="Z5173" s="5" t="str">
        <f>IFERROR(__xludf.DUMMYFUNCTION("REGEXEXTRACT(J5173, ""[A-Za-z ]+$"")")," min")</f>
        <v> min</v>
      </c>
      <c r="AA5173" s="5" t="str">
        <f>IFERROR(__xludf.DUMMYFUNCTION("IF(REGEXMATCH(Z5173, ""Season""), ""TV Show"", ""Movie"")"),"Movie")</f>
        <v>Movie</v>
      </c>
    </row>
    <row r="5174">
      <c r="A5174" s="1" t="s">
        <v>26819</v>
      </c>
      <c r="B5174" s="1" t="s">
        <v>27</v>
      </c>
      <c r="C5174" s="1" t="s">
        <v>26820</v>
      </c>
      <c r="D5174" s="1" t="s">
        <v>855</v>
      </c>
      <c r="E5174" s="1" t="s">
        <v>26821</v>
      </c>
      <c r="F5174" s="1" t="s">
        <v>1106</v>
      </c>
      <c r="G5174" s="1" t="s">
        <v>26822</v>
      </c>
      <c r="H5174" s="1">
        <v>2017.0</v>
      </c>
      <c r="I5174" s="1" t="s">
        <v>42</v>
      </c>
      <c r="J5174" s="1" t="s">
        <v>3458</v>
      </c>
      <c r="K5174" s="1" t="s">
        <v>1328</v>
      </c>
      <c r="L5174" s="1" t="s">
        <v>26823</v>
      </c>
      <c r="M5174" s="2" t="s">
        <v>12</v>
      </c>
      <c r="N5174" s="4">
        <f t="shared" si="1"/>
        <v>43050</v>
      </c>
      <c r="O5174" s="5" t="str">
        <f>IFERROR(__xludf.DUMMYFUNCTION("IF(REGEXMATCH(TRIM(I5174), ""^\d+\s*min""), ""Unclassified"", IF(I5174 = """", ""NR"", I5174))"),"TV-MA")</f>
        <v>TV-MA</v>
      </c>
      <c r="R5174" s="5" t="str">
        <f t="shared" si="2"/>
        <v>Bon Cop Bad Cop 2</v>
      </c>
      <c r="S5174" s="5" t="str">
        <f>IFERROR(__xludf.DUMMYFUNCTION("""COMPUTED_VALUE"""),"Oh My Ghost 3")</f>
        <v>Oh My Ghost 3</v>
      </c>
      <c r="V5174" s="5"/>
      <c r="Y5174" s="5" t="str">
        <f>IFERROR(__xludf.DUMMYFUNCTION("REGEXEXTRACT(J5174, ""^\d+"")"),"126")</f>
        <v>126</v>
      </c>
      <c r="Z5174" s="5" t="str">
        <f>IFERROR(__xludf.DUMMYFUNCTION("REGEXEXTRACT(J5174, ""[A-Za-z ]+$"")")," min")</f>
        <v> min</v>
      </c>
      <c r="AA5174" s="5" t="str">
        <f>IFERROR(__xludf.DUMMYFUNCTION("IF(REGEXMATCH(Z5174, ""Season""), ""TV Show"", ""Movie"")"),"Movie")</f>
        <v>Movie</v>
      </c>
    </row>
    <row r="5175">
      <c r="A5175" s="1" t="s">
        <v>26824</v>
      </c>
      <c r="B5175" s="1" t="s">
        <v>37</v>
      </c>
      <c r="C5175" s="1" t="s">
        <v>26825</v>
      </c>
      <c r="E5175" s="1" t="s">
        <v>26826</v>
      </c>
      <c r="F5175" s="1" t="s">
        <v>415</v>
      </c>
      <c r="G5175" s="1" t="s">
        <v>26827</v>
      </c>
      <c r="H5175" s="1">
        <v>2017.0</v>
      </c>
      <c r="I5175" s="1" t="s">
        <v>42</v>
      </c>
      <c r="J5175" s="1" t="s">
        <v>51</v>
      </c>
      <c r="K5175" s="1" t="s">
        <v>933</v>
      </c>
      <c r="L5175" s="1" t="s">
        <v>26828</v>
      </c>
      <c r="M5175" s="2" t="s">
        <v>12</v>
      </c>
      <c r="N5175" s="4">
        <f t="shared" si="1"/>
        <v>43049</v>
      </c>
      <c r="O5175" s="5" t="str">
        <f>IFERROR(__xludf.DUMMYFUNCTION("IF(REGEXMATCH(TRIM(I5175), ""^\d+\s*min""), ""Unclassified"", IF(I5175 = """", ""NR"", I5175))"),"TV-MA")</f>
        <v>TV-MA</v>
      </c>
      <c r="R5175" s="5" t="str">
        <f t="shared" si="2"/>
        <v>Blazing Transfer Students</v>
      </c>
      <c r="S5175" s="5" t="str">
        <f>IFERROR(__xludf.DUMMYFUNCTION("""COMPUTED_VALUE"""),"Oh My Ghost 4")</f>
        <v>Oh My Ghost 4</v>
      </c>
      <c r="V5175" s="5"/>
      <c r="Y5175" s="5" t="str">
        <f>IFERROR(__xludf.DUMMYFUNCTION("REGEXEXTRACT(J5175, ""^\d+"")"),"1")</f>
        <v>1</v>
      </c>
      <c r="Z5175" s="5" t="str">
        <f>IFERROR(__xludf.DUMMYFUNCTION("REGEXEXTRACT(J5175, ""[A-Za-z ]+$"")")," Season")</f>
        <v> Season</v>
      </c>
      <c r="AA5175" s="5" t="str">
        <f>IFERROR(__xludf.DUMMYFUNCTION("IF(REGEXMATCH(Z5175, ""Season""), ""TV Show"", ""Movie"")"),"TV Show")</f>
        <v>TV Show</v>
      </c>
    </row>
    <row r="5176">
      <c r="A5176" s="1" t="s">
        <v>26829</v>
      </c>
      <c r="B5176" s="1" t="s">
        <v>37</v>
      </c>
      <c r="C5176" s="1" t="s">
        <v>26830</v>
      </c>
      <c r="D5176" s="1" t="s">
        <v>8554</v>
      </c>
      <c r="E5176" s="1" t="s">
        <v>26831</v>
      </c>
      <c r="F5176" s="1" t="s">
        <v>415</v>
      </c>
      <c r="G5176" s="1" t="s">
        <v>26827</v>
      </c>
      <c r="H5176" s="1">
        <v>2017.0</v>
      </c>
      <c r="I5176" s="1" t="s">
        <v>289</v>
      </c>
      <c r="J5176" s="1" t="s">
        <v>43</v>
      </c>
      <c r="K5176" s="1" t="s">
        <v>623</v>
      </c>
      <c r="L5176" s="1" t="s">
        <v>26832</v>
      </c>
      <c r="M5176" s="2" t="s">
        <v>12</v>
      </c>
      <c r="N5176" s="4">
        <f t="shared" si="1"/>
        <v>43049</v>
      </c>
      <c r="O5176" s="5" t="str">
        <f>IFERROR(__xludf.DUMMYFUNCTION("IF(REGEXMATCH(TRIM(I5176), ""^\d+\s*min""), ""Unclassified"", IF(I5176 = """", ""NR"", I5176))"),"TV-Y7")</f>
        <v>TV-Y7</v>
      </c>
      <c r="R5176" s="5" t="str">
        <f t="shared" si="2"/>
        <v>Glitter Force Doki Doki</v>
      </c>
      <c r="S5176" s="5" t="str">
        <f>IFERROR(__xludf.DUMMYFUNCTION("""COMPUTED_VALUE"""),"Oh My God")</f>
        <v>Oh My God</v>
      </c>
      <c r="V5176" s="5"/>
      <c r="Y5176" s="5" t="str">
        <f>IFERROR(__xludf.DUMMYFUNCTION("REGEXEXTRACT(J5176, ""^\d+"")"),"2")</f>
        <v>2</v>
      </c>
      <c r="Z5176" s="5" t="str">
        <f>IFERROR(__xludf.DUMMYFUNCTION("REGEXEXTRACT(J5176, ""[A-Za-z ]+$"")")," Seasons")</f>
        <v> Seasons</v>
      </c>
      <c r="AA5176" s="5" t="str">
        <f>IFERROR(__xludf.DUMMYFUNCTION("IF(REGEXMATCH(Z5176, ""Season""), ""TV Show"", ""Movie"")"),"TV Show")</f>
        <v>TV Show</v>
      </c>
    </row>
    <row r="5177">
      <c r="A5177" s="1" t="s">
        <v>26833</v>
      </c>
      <c r="B5177" s="1" t="s">
        <v>37</v>
      </c>
      <c r="C5177" s="1" t="s">
        <v>26834</v>
      </c>
      <c r="E5177" s="1" t="s">
        <v>26835</v>
      </c>
      <c r="F5177" s="1" t="s">
        <v>30</v>
      </c>
      <c r="G5177" s="1" t="s">
        <v>26827</v>
      </c>
      <c r="H5177" s="1">
        <v>2017.0</v>
      </c>
      <c r="I5177" s="1" t="s">
        <v>42</v>
      </c>
      <c r="J5177" s="1" t="s">
        <v>43</v>
      </c>
      <c r="K5177" s="1" t="s">
        <v>270</v>
      </c>
      <c r="L5177" s="1" t="s">
        <v>26836</v>
      </c>
      <c r="M5177" s="2" t="s">
        <v>12</v>
      </c>
      <c r="N5177" s="4">
        <f t="shared" si="1"/>
        <v>43049</v>
      </c>
      <c r="O5177" s="5" t="str">
        <f>IFERROR(__xludf.DUMMYFUNCTION("IF(REGEXMATCH(TRIM(I5177), ""^\d+\s*min""), ""Unclassified"", IF(I5177 = """", ""NR"", I5177))"),"TV-MA")</f>
        <v>TV-MA</v>
      </c>
      <c r="R5177" s="5" t="str">
        <f t="shared" si="2"/>
        <v>Lady Dynamite</v>
      </c>
      <c r="S5177" s="5" t="str">
        <f>IFERROR(__xludf.DUMMYFUNCTION("""COMPUTED_VALUE"""),"Oh No! It'S An Alien Invasion")</f>
        <v>Oh No! It'S An Alien Invasion</v>
      </c>
      <c r="V5177" s="5"/>
      <c r="Y5177" s="5" t="str">
        <f>IFERROR(__xludf.DUMMYFUNCTION("REGEXEXTRACT(J5177, ""^\d+"")"),"2")</f>
        <v>2</v>
      </c>
      <c r="Z5177" s="5" t="str">
        <f>IFERROR(__xludf.DUMMYFUNCTION("REGEXEXTRACT(J5177, ""[A-Za-z ]+$"")")," Seasons")</f>
        <v> Seasons</v>
      </c>
      <c r="AA5177" s="5" t="str">
        <f>IFERROR(__xludf.DUMMYFUNCTION("IF(REGEXMATCH(Z5177, ""Season""), ""TV Show"", ""Movie"")"),"TV Show")</f>
        <v>TV Show</v>
      </c>
    </row>
    <row r="5178">
      <c r="A5178" s="1" t="s">
        <v>26837</v>
      </c>
      <c r="B5178" s="1" t="s">
        <v>27</v>
      </c>
      <c r="C5178" s="1" t="s">
        <v>26838</v>
      </c>
      <c r="D5178" s="1" t="s">
        <v>18885</v>
      </c>
      <c r="E5178" s="1" t="s">
        <v>26839</v>
      </c>
      <c r="F5178" s="1" t="s">
        <v>162</v>
      </c>
      <c r="G5178" s="1" t="s">
        <v>26827</v>
      </c>
      <c r="H5178" s="1">
        <v>2017.0</v>
      </c>
      <c r="I5178" s="1" t="s">
        <v>42</v>
      </c>
      <c r="J5178" s="1" t="s">
        <v>5941</v>
      </c>
      <c r="K5178" s="1" t="s">
        <v>1839</v>
      </c>
      <c r="L5178" s="1" t="s">
        <v>26840</v>
      </c>
      <c r="M5178" s="2" t="s">
        <v>12</v>
      </c>
      <c r="N5178" s="4">
        <f t="shared" si="1"/>
        <v>43049</v>
      </c>
      <c r="O5178" s="5" t="str">
        <f>IFERROR(__xludf.DUMMYFUNCTION("IF(REGEXMATCH(TRIM(I5178), ""^\d+\s*min""), ""Unclassified"", IF(I5178 = """", ""NR"", I5178))"),"TV-MA")</f>
        <v>TV-MA</v>
      </c>
      <c r="R5178" s="5" t="str">
        <f t="shared" si="2"/>
        <v>Mea Culpa</v>
      </c>
      <c r="S5178" s="5" t="str">
        <f>IFERROR(__xludf.DUMMYFUNCTION("""COMPUTED_VALUE"""),"Oh Yuck")</f>
        <v>Oh Yuck</v>
      </c>
      <c r="V5178" s="5"/>
      <c r="Y5178" s="5" t="str">
        <f>IFERROR(__xludf.DUMMYFUNCTION("REGEXEXTRACT(J5178, ""^\d+"")"),"54")</f>
        <v>54</v>
      </c>
      <c r="Z5178" s="5" t="str">
        <f>IFERROR(__xludf.DUMMYFUNCTION("REGEXEXTRACT(J5178, ""[A-Za-z ]+$"")")," min")</f>
        <v> min</v>
      </c>
      <c r="AA5178" s="5" t="str">
        <f>IFERROR(__xludf.DUMMYFUNCTION("IF(REGEXMATCH(Z5178, ""Season""), ""TV Show"", ""Movie"")"),"Movie")</f>
        <v>Movie</v>
      </c>
    </row>
    <row r="5179">
      <c r="A5179" s="1" t="s">
        <v>26841</v>
      </c>
      <c r="B5179" s="1" t="s">
        <v>27</v>
      </c>
      <c r="C5179" s="1" t="s">
        <v>26842</v>
      </c>
      <c r="D5179" s="1" t="s">
        <v>14581</v>
      </c>
      <c r="E5179" s="1" t="s">
        <v>26843</v>
      </c>
      <c r="F5179" s="1" t="s">
        <v>1992</v>
      </c>
      <c r="G5179" s="1" t="s">
        <v>26827</v>
      </c>
      <c r="H5179" s="1">
        <v>2017.0</v>
      </c>
      <c r="I5179" s="1" t="s">
        <v>42</v>
      </c>
      <c r="J5179" s="1" t="s">
        <v>433</v>
      </c>
      <c r="K5179" s="1" t="s">
        <v>1066</v>
      </c>
      <c r="L5179" s="1" t="s">
        <v>26844</v>
      </c>
      <c r="M5179" s="2" t="s">
        <v>12</v>
      </c>
      <c r="N5179" s="4">
        <f t="shared" si="1"/>
        <v>43049</v>
      </c>
      <c r="O5179" s="5" t="str">
        <f>IFERROR(__xludf.DUMMYFUNCTION("IF(REGEXMATCH(TRIM(I5179), ""^\d+\s*min""), ""Unclassified"", IF(I5179 = """", ""NR"", I5179))"),"TV-MA")</f>
        <v>TV-MA</v>
      </c>
      <c r="R5179" s="5" t="str">
        <f t="shared" si="2"/>
        <v>The Killer</v>
      </c>
      <c r="S5179" s="5" t="str">
        <f>IFERROR(__xludf.DUMMYFUNCTION("""COMPUTED_VALUE"""),"Oh, Hello On Broadway")</f>
        <v>Oh, Hello On Broadway</v>
      </c>
      <c r="V5179" s="5"/>
      <c r="Y5179" s="5" t="str">
        <f>IFERROR(__xludf.DUMMYFUNCTION("REGEXEXTRACT(J5179, ""^\d+"")"),"100")</f>
        <v>100</v>
      </c>
      <c r="Z5179" s="5" t="str">
        <f>IFERROR(__xludf.DUMMYFUNCTION("REGEXEXTRACT(J5179, ""[A-Za-z ]+$"")")," min")</f>
        <v> min</v>
      </c>
      <c r="AA5179" s="5" t="str">
        <f>IFERROR(__xludf.DUMMYFUNCTION("IF(REGEXMATCH(Z5179, ""Season""), ""TV Show"", ""Movie"")"),"Movie")</f>
        <v>Movie</v>
      </c>
    </row>
    <row r="5180">
      <c r="A5180" s="1" t="s">
        <v>26845</v>
      </c>
      <c r="B5180" s="1" t="s">
        <v>37</v>
      </c>
      <c r="C5180" s="1" t="s">
        <v>26846</v>
      </c>
      <c r="E5180" s="1" t="s">
        <v>26847</v>
      </c>
      <c r="F5180" s="1" t="s">
        <v>415</v>
      </c>
      <c r="G5180" s="1" t="s">
        <v>26848</v>
      </c>
      <c r="H5180" s="1">
        <v>2017.0</v>
      </c>
      <c r="I5180" s="1" t="s">
        <v>42</v>
      </c>
      <c r="J5180" s="1" t="s">
        <v>43</v>
      </c>
      <c r="K5180" s="1" t="s">
        <v>567</v>
      </c>
      <c r="L5180" s="1" t="s">
        <v>26849</v>
      </c>
      <c r="M5180" s="2" t="s">
        <v>12</v>
      </c>
      <c r="N5180" s="4">
        <f t="shared" si="1"/>
        <v>43046</v>
      </c>
      <c r="O5180" s="5" t="str">
        <f>IFERROR(__xludf.DUMMYFUNCTION("IF(REGEXMATCH(TRIM(I5180), ""^\d+\s*min""), ""Unclassified"", IF(I5180 = """", ""NR"", I5180))"),"TV-MA")</f>
        <v>TV-MA</v>
      </c>
      <c r="R5180" s="5" t="str">
        <f t="shared" si="2"/>
        <v>Fate/Apocrypha</v>
      </c>
      <c r="S5180" s="5" t="str">
        <f>IFERROR(__xludf.DUMMYFUNCTION("""COMPUTED_VALUE"""),"Oh, Ramona!")</f>
        <v>Oh, Ramona!</v>
      </c>
      <c r="V5180" s="5"/>
      <c r="Y5180" s="5" t="str">
        <f>IFERROR(__xludf.DUMMYFUNCTION("REGEXEXTRACT(J5180, ""^\d+"")"),"2")</f>
        <v>2</v>
      </c>
      <c r="Z5180" s="5" t="str">
        <f>IFERROR(__xludf.DUMMYFUNCTION("REGEXEXTRACT(J5180, ""[A-Za-z ]+$"")")," Seasons")</f>
        <v> Seasons</v>
      </c>
      <c r="AA5180" s="5" t="str">
        <f>IFERROR(__xludf.DUMMYFUNCTION("IF(REGEXMATCH(Z5180, ""Season""), ""TV Show"", ""Movie"")"),"TV Show")</f>
        <v>TV Show</v>
      </c>
    </row>
    <row r="5181">
      <c r="A5181" s="1" t="s">
        <v>26850</v>
      </c>
      <c r="B5181" s="1" t="s">
        <v>27</v>
      </c>
      <c r="C5181" s="1" t="s">
        <v>26851</v>
      </c>
      <c r="D5181" s="1" t="s">
        <v>4849</v>
      </c>
      <c r="E5181" s="1" t="s">
        <v>26852</v>
      </c>
      <c r="F5181" s="1" t="s">
        <v>30</v>
      </c>
      <c r="G5181" s="1" t="s">
        <v>26848</v>
      </c>
      <c r="H5181" s="1">
        <v>2002.0</v>
      </c>
      <c r="I5181" s="1" t="s">
        <v>378</v>
      </c>
      <c r="J5181" s="1" t="s">
        <v>2452</v>
      </c>
      <c r="K5181" s="1" t="s">
        <v>34</v>
      </c>
      <c r="L5181" s="1" t="s">
        <v>26853</v>
      </c>
      <c r="M5181" s="2" t="s">
        <v>12</v>
      </c>
      <c r="N5181" s="4">
        <f t="shared" si="1"/>
        <v>43046</v>
      </c>
      <c r="O5181" s="5" t="str">
        <f>IFERROR(__xludf.DUMMYFUNCTION("IF(REGEXMATCH(TRIM(I5181), ""^\d+\s*min""), ""Unclassified"", IF(I5181 = """", ""NR"", I5181))"),"R")</f>
        <v>R</v>
      </c>
      <c r="R5181" s="5" t="str">
        <f t="shared" si="2"/>
        <v>Jerry Seinfeld: Comedian</v>
      </c>
      <c r="S5181" s="5" t="str">
        <f>IFERROR(__xludf.DUMMYFUNCTION("""COMPUTED_VALUE"""),"Oh! Baby")</f>
        <v>Oh! Baby</v>
      </c>
      <c r="V5181" s="5"/>
      <c r="Y5181" s="5" t="str">
        <f>IFERROR(__xludf.DUMMYFUNCTION("REGEXEXTRACT(J5181, ""^\d+"")"),"81")</f>
        <v>81</v>
      </c>
      <c r="Z5181" s="5" t="str">
        <f>IFERROR(__xludf.DUMMYFUNCTION("REGEXEXTRACT(J5181, ""[A-Za-z ]+$"")")," min")</f>
        <v> min</v>
      </c>
      <c r="AA5181" s="5" t="str">
        <f>IFERROR(__xludf.DUMMYFUNCTION("IF(REGEXMATCH(Z5181, ""Season""), ""TV Show"", ""Movie"")"),"Movie")</f>
        <v>Movie</v>
      </c>
    </row>
    <row r="5182">
      <c r="A5182" s="1" t="s">
        <v>26854</v>
      </c>
      <c r="B5182" s="1" t="s">
        <v>37</v>
      </c>
      <c r="C5182" s="1" t="s">
        <v>26855</v>
      </c>
      <c r="E5182" s="1" t="s">
        <v>26856</v>
      </c>
      <c r="F5182" s="1" t="s">
        <v>30</v>
      </c>
      <c r="G5182" s="1" t="s">
        <v>26848</v>
      </c>
      <c r="H5182" s="1">
        <v>2017.0</v>
      </c>
      <c r="I5182" s="1" t="s">
        <v>506</v>
      </c>
      <c r="J5182" s="1" t="s">
        <v>439</v>
      </c>
      <c r="K5182" s="1" t="s">
        <v>290</v>
      </c>
      <c r="L5182" s="1" t="s">
        <v>26857</v>
      </c>
      <c r="M5182" s="2" t="s">
        <v>12</v>
      </c>
      <c r="N5182" s="4">
        <f t="shared" si="1"/>
        <v>43046</v>
      </c>
      <c r="O5182" s="5" t="str">
        <f>IFERROR(__xludf.DUMMYFUNCTION("IF(REGEXMATCH(TRIM(I5182), ""^\d+\s*min""), ""Unclassified"", IF(I5182 = """", ""NR"", I5182))"),"TV-G")</f>
        <v>TV-G</v>
      </c>
      <c r="R5182" s="5" t="str">
        <f t="shared" si="2"/>
        <v>Project Mc²</v>
      </c>
      <c r="S5182" s="5" t="str">
        <f>IFERROR(__xludf.DUMMYFUNCTION("""COMPUTED_VALUE"""),"Oh! Baby (Malayalam)")</f>
        <v>Oh! Baby (Malayalam)</v>
      </c>
      <c r="V5182" s="5"/>
      <c r="Y5182" s="5" t="str">
        <f>IFERROR(__xludf.DUMMYFUNCTION("REGEXEXTRACT(J5182, ""^\d+"")"),"6")</f>
        <v>6</v>
      </c>
      <c r="Z5182" s="5" t="str">
        <f>IFERROR(__xludf.DUMMYFUNCTION("REGEXEXTRACT(J5182, ""[A-Za-z ]+$"")")," Seasons")</f>
        <v> Seasons</v>
      </c>
      <c r="AA5182" s="5" t="str">
        <f>IFERROR(__xludf.DUMMYFUNCTION("IF(REGEXMATCH(Z5182, ""Season""), ""TV Show"", ""Movie"")"),"TV Show")</f>
        <v>TV Show</v>
      </c>
    </row>
    <row r="5183">
      <c r="A5183" s="1" t="s">
        <v>26858</v>
      </c>
      <c r="B5183" s="1" t="s">
        <v>27</v>
      </c>
      <c r="C5183" s="1" t="s">
        <v>26859</v>
      </c>
      <c r="D5183" s="1" t="s">
        <v>3888</v>
      </c>
      <c r="E5183" s="1" t="s">
        <v>26860</v>
      </c>
      <c r="F5183" s="1" t="s">
        <v>30</v>
      </c>
      <c r="G5183" s="1" t="s">
        <v>26848</v>
      </c>
      <c r="H5183" s="1">
        <v>2016.0</v>
      </c>
      <c r="I5183" s="1" t="s">
        <v>378</v>
      </c>
      <c r="J5183" s="1" t="s">
        <v>2566</v>
      </c>
      <c r="K5183" s="1" t="s">
        <v>805</v>
      </c>
      <c r="L5183" s="1" t="s">
        <v>26861</v>
      </c>
      <c r="M5183" s="2" t="s">
        <v>12</v>
      </c>
      <c r="N5183" s="4">
        <f t="shared" si="1"/>
        <v>43046</v>
      </c>
      <c r="O5183" s="5" t="str">
        <f>IFERROR(__xludf.DUMMYFUNCTION("IF(REGEXMATCH(TRIM(I5183), ""^\d+\s*min""), ""Unclassified"", IF(I5183 = """", ""NR"", I5183))"),"R")</f>
        <v>R</v>
      </c>
      <c r="R5183" s="5" t="str">
        <f t="shared" si="2"/>
        <v>The Journey Is The Destination</v>
      </c>
      <c r="S5183" s="5" t="str">
        <f>IFERROR(__xludf.DUMMYFUNCTION("""COMPUTED_VALUE"""),"Oh! Baby (Tamil)")</f>
        <v>Oh! Baby (Tamil)</v>
      </c>
      <c r="V5183" s="5"/>
      <c r="Y5183" s="5" t="str">
        <f>IFERROR(__xludf.DUMMYFUNCTION("REGEXEXTRACT(J5183, ""^\d+"")"),"123")</f>
        <v>123</v>
      </c>
      <c r="Z5183" s="5" t="str">
        <f>IFERROR(__xludf.DUMMYFUNCTION("REGEXEXTRACT(J5183, ""[A-Za-z ]+$"")")," min")</f>
        <v> min</v>
      </c>
      <c r="AA5183" s="5" t="str">
        <f>IFERROR(__xludf.DUMMYFUNCTION("IF(REGEXMATCH(Z5183, ""Season""), ""TV Show"", ""Movie"")"),"Movie")</f>
        <v>Movie</v>
      </c>
    </row>
    <row r="5184">
      <c r="A5184" s="1" t="s">
        <v>26862</v>
      </c>
      <c r="B5184" s="1" t="s">
        <v>27</v>
      </c>
      <c r="C5184" s="1" t="s">
        <v>26863</v>
      </c>
      <c r="D5184" s="1" t="s">
        <v>11440</v>
      </c>
      <c r="F5184" s="1" t="s">
        <v>30</v>
      </c>
      <c r="G5184" s="1" t="s">
        <v>26864</v>
      </c>
      <c r="H5184" s="1">
        <v>2017.0</v>
      </c>
      <c r="I5184" s="1" t="s">
        <v>42</v>
      </c>
      <c r="J5184" s="1" t="s">
        <v>14942</v>
      </c>
      <c r="K5184" s="1" t="s">
        <v>34</v>
      </c>
      <c r="L5184" s="1" t="s">
        <v>26865</v>
      </c>
      <c r="M5184" s="2" t="s">
        <v>12</v>
      </c>
      <c r="N5184" s="4">
        <f t="shared" si="1"/>
        <v>43045</v>
      </c>
      <c r="O5184" s="5" t="str">
        <f>IFERROR(__xludf.DUMMYFUNCTION("IF(REGEXMATCH(TRIM(I5184), ""^\d+\s*min""), ""Unclassified"", IF(I5184 = """", ""NR"", I5184))"),"TV-MA")</f>
        <v>TV-MA</v>
      </c>
      <c r="R5184" s="5" t="str">
        <f t="shared" si="2"/>
        <v>Let It Fall: Los Angeles 1982-1992</v>
      </c>
      <c r="S5184" s="5" t="str">
        <f>IFERROR(__xludf.DUMMYFUNCTION("""COMPUTED_VALUE"""),"Ojos In D' House")</f>
        <v>Ojos In D' House</v>
      </c>
      <c r="V5184" s="5"/>
      <c r="Y5184" s="5" t="str">
        <f>IFERROR(__xludf.DUMMYFUNCTION("REGEXEXTRACT(J5184, ""^\d+"")"),"144")</f>
        <v>144</v>
      </c>
      <c r="Z5184" s="5" t="str">
        <f>IFERROR(__xludf.DUMMYFUNCTION("REGEXEXTRACT(J5184, ""[A-Za-z ]+$"")")," min")</f>
        <v> min</v>
      </c>
      <c r="AA5184" s="5" t="str">
        <f>IFERROR(__xludf.DUMMYFUNCTION("IF(REGEXMATCH(Z5184, ""Season""), ""TV Show"", ""Movie"")"),"Movie")</f>
        <v>Movie</v>
      </c>
    </row>
    <row r="5185">
      <c r="A5185" s="1" t="s">
        <v>26866</v>
      </c>
      <c r="B5185" s="1" t="s">
        <v>27</v>
      </c>
      <c r="C5185" s="1" t="s">
        <v>26867</v>
      </c>
      <c r="D5185" s="1" t="s">
        <v>2039</v>
      </c>
      <c r="E5185" s="1" t="s">
        <v>26868</v>
      </c>
      <c r="F5185" s="1" t="s">
        <v>63</v>
      </c>
      <c r="G5185" s="1" t="s">
        <v>26869</v>
      </c>
      <c r="H5185" s="1">
        <v>2017.0</v>
      </c>
      <c r="I5185" s="1" t="s">
        <v>32</v>
      </c>
      <c r="J5185" s="1" t="s">
        <v>22970</v>
      </c>
      <c r="K5185" s="1" t="s">
        <v>583</v>
      </c>
      <c r="L5185" s="1" t="s">
        <v>26870</v>
      </c>
      <c r="M5185" s="2" t="s">
        <v>12</v>
      </c>
      <c r="N5185" s="4">
        <f t="shared" si="1"/>
        <v>43044</v>
      </c>
      <c r="O5185" s="5" t="str">
        <f>IFERROR(__xludf.DUMMYFUNCTION("IF(REGEXMATCH(TRIM(I5185), ""^\d+\s*min""), ""Unclassified"", IF(I5185 = """", ""NR"", I5185))"),"PG-13")</f>
        <v>PG-13</v>
      </c>
      <c r="R5185" s="5" t="str">
        <f t="shared" si="2"/>
        <v>Mubarakan</v>
      </c>
      <c r="S5185" s="5" t="str">
        <f>IFERROR(__xludf.DUMMYFUNCTION("""COMPUTED_VALUE"""),"Ojukokoro: Greed")</f>
        <v>Ojukokoro: Greed</v>
      </c>
      <c r="V5185" s="5"/>
      <c r="Y5185" s="5" t="str">
        <f>IFERROR(__xludf.DUMMYFUNCTION("REGEXEXTRACT(J5185, ""^\d+"")"),"153")</f>
        <v>153</v>
      </c>
      <c r="Z5185" s="5" t="str">
        <f>IFERROR(__xludf.DUMMYFUNCTION("REGEXEXTRACT(J5185, ""[A-Za-z ]+$"")")," min")</f>
        <v> min</v>
      </c>
      <c r="AA5185" s="5" t="str">
        <f>IFERROR(__xludf.DUMMYFUNCTION("IF(REGEXMATCH(Z5185, ""Season""), ""TV Show"", ""Movie"")"),"Movie")</f>
        <v>Movie</v>
      </c>
    </row>
    <row r="5186">
      <c r="A5186" s="1" t="s">
        <v>26871</v>
      </c>
      <c r="B5186" s="1" t="s">
        <v>37</v>
      </c>
      <c r="C5186" s="1" t="s">
        <v>26872</v>
      </c>
      <c r="D5186" s="1" t="s">
        <v>17519</v>
      </c>
      <c r="E5186" s="1" t="s">
        <v>26873</v>
      </c>
      <c r="G5186" s="1" t="s">
        <v>26874</v>
      </c>
      <c r="H5186" s="1">
        <v>2015.0</v>
      </c>
      <c r="I5186" s="1" t="s">
        <v>97</v>
      </c>
      <c r="J5186" s="1" t="s">
        <v>51</v>
      </c>
      <c r="K5186" s="1" t="s">
        <v>402</v>
      </c>
      <c r="L5186" s="1" t="s">
        <v>26875</v>
      </c>
      <c r="M5186" s="2" t="s">
        <v>12</v>
      </c>
      <c r="N5186" s="4">
        <f t="shared" si="1"/>
        <v>43042</v>
      </c>
      <c r="O5186" s="5" t="str">
        <f>IFERROR(__xludf.DUMMYFUNCTION("IF(REGEXMATCH(TRIM(I5186), ""^\d+\s*min""), ""Unclassified"", IF(I5186 = """", ""NR"", I5186))"),"TV-14")</f>
        <v>TV-14</v>
      </c>
      <c r="R5186" s="5" t="str">
        <f t="shared" si="2"/>
        <v>Akulah Balqis</v>
      </c>
      <c r="S5186" s="5" t="str">
        <f>IFERROR(__xludf.DUMMYFUNCTION("""COMPUTED_VALUE"""),"Okafor'S Law")</f>
        <v>Okafor'S Law</v>
      </c>
      <c r="V5186" s="5"/>
      <c r="Y5186" s="5" t="str">
        <f>IFERROR(__xludf.DUMMYFUNCTION("REGEXEXTRACT(J5186, ""^\d+"")"),"1")</f>
        <v>1</v>
      </c>
      <c r="Z5186" s="5" t="str">
        <f>IFERROR(__xludf.DUMMYFUNCTION("REGEXEXTRACT(J5186, ""[A-Za-z ]+$"")")," Season")</f>
        <v> Season</v>
      </c>
      <c r="AA5186" s="5" t="str">
        <f>IFERROR(__xludf.DUMMYFUNCTION("IF(REGEXMATCH(Z5186, ""Season""), ""TV Show"", ""Movie"")"),"TV Show")</f>
        <v>TV Show</v>
      </c>
    </row>
    <row r="5187">
      <c r="A5187" s="1" t="s">
        <v>26876</v>
      </c>
      <c r="B5187" s="1" t="s">
        <v>37</v>
      </c>
      <c r="C5187" s="1" t="s">
        <v>26877</v>
      </c>
      <c r="E5187" s="1" t="s">
        <v>26878</v>
      </c>
      <c r="F5187" s="1" t="s">
        <v>1106</v>
      </c>
      <c r="G5187" s="1" t="s">
        <v>26874</v>
      </c>
      <c r="H5187" s="1">
        <v>2017.0</v>
      </c>
      <c r="I5187" s="1" t="s">
        <v>42</v>
      </c>
      <c r="J5187" s="1" t="s">
        <v>51</v>
      </c>
      <c r="K5187" s="1" t="s">
        <v>1362</v>
      </c>
      <c r="L5187" s="1" t="s">
        <v>26879</v>
      </c>
      <c r="M5187" s="2" t="s">
        <v>12</v>
      </c>
      <c r="N5187" s="4">
        <f t="shared" si="1"/>
        <v>43042</v>
      </c>
      <c r="O5187" s="5" t="str">
        <f>IFERROR(__xludf.DUMMYFUNCTION("IF(REGEXMATCH(TRIM(I5187), ""^\d+\s*min""), ""Unclassified"", IF(I5187 = """", ""NR"", I5187))"),"TV-MA")</f>
        <v>TV-MA</v>
      </c>
      <c r="R5187" s="5" t="str">
        <f t="shared" si="2"/>
        <v>Alias Grace</v>
      </c>
      <c r="S5187" s="5" t="str">
        <f>IFERROR(__xludf.DUMMYFUNCTION("""COMPUTED_VALUE"""),"Okja")</f>
        <v>Okja</v>
      </c>
      <c r="V5187" s="5"/>
      <c r="Y5187" s="5" t="str">
        <f>IFERROR(__xludf.DUMMYFUNCTION("REGEXEXTRACT(J5187, ""^\d+"")"),"1")</f>
        <v>1</v>
      </c>
      <c r="Z5187" s="5" t="str">
        <f>IFERROR(__xludf.DUMMYFUNCTION("REGEXEXTRACT(J5187, ""[A-Za-z ]+$"")")," Season")</f>
        <v> Season</v>
      </c>
      <c r="AA5187" s="5" t="str">
        <f>IFERROR(__xludf.DUMMYFUNCTION("IF(REGEXMATCH(Z5187, ""Season""), ""TV Show"", ""Movie"")"),"TV Show")</f>
        <v>TV Show</v>
      </c>
    </row>
    <row r="5188">
      <c r="A5188" s="1" t="s">
        <v>26880</v>
      </c>
      <c r="B5188" s="1" t="s">
        <v>27</v>
      </c>
      <c r="C5188" s="1" t="s">
        <v>26881</v>
      </c>
      <c r="D5188" s="1" t="s">
        <v>1482</v>
      </c>
      <c r="E5188" s="1" t="s">
        <v>26882</v>
      </c>
      <c r="F5188" s="1" t="s">
        <v>63</v>
      </c>
      <c r="G5188" s="1" t="s">
        <v>26883</v>
      </c>
      <c r="H5188" s="1">
        <v>1978.0</v>
      </c>
      <c r="I5188" s="1" t="s">
        <v>136</v>
      </c>
      <c r="J5188" s="1" t="s">
        <v>2274</v>
      </c>
      <c r="K5188" s="1" t="s">
        <v>306</v>
      </c>
      <c r="L5188" s="1" t="s">
        <v>26884</v>
      </c>
      <c r="M5188" s="2" t="s">
        <v>12</v>
      </c>
      <c r="N5188" s="4">
        <f t="shared" si="1"/>
        <v>43040</v>
      </c>
      <c r="O5188" s="5" t="str">
        <f>IFERROR(__xludf.DUMMYFUNCTION("IF(REGEXMATCH(TRIM(I5188), ""^\d+\s*min""), ""Unclassified"", IF(I5188 = """", ""NR"", I5188))"),"TV-PG")</f>
        <v>TV-PG</v>
      </c>
      <c r="R5188" s="5" t="str">
        <f t="shared" si="2"/>
        <v>Bandie</v>
      </c>
      <c r="S5188" s="5" t="str">
        <f>IFERROR(__xludf.DUMMYFUNCTION("""COMPUTED_VALUE"""),"Okko'S Inn")</f>
        <v>Okko'S Inn</v>
      </c>
      <c r="V5188" s="5"/>
      <c r="Y5188" s="5" t="str">
        <f>IFERROR(__xludf.DUMMYFUNCTION("REGEXEXTRACT(J5188, ""^\d+"")"),"141")</f>
        <v>141</v>
      </c>
      <c r="Z5188" s="5" t="str">
        <f>IFERROR(__xludf.DUMMYFUNCTION("REGEXEXTRACT(J5188, ""[A-Za-z ]+$"")")," min")</f>
        <v> min</v>
      </c>
      <c r="AA5188" s="5" t="str">
        <f>IFERROR(__xludf.DUMMYFUNCTION("IF(REGEXMATCH(Z5188, ""Season""), ""TV Show"", ""Movie"")"),"Movie")</f>
        <v>Movie</v>
      </c>
    </row>
    <row r="5189">
      <c r="A5189" s="1" t="s">
        <v>26885</v>
      </c>
      <c r="B5189" s="1" t="s">
        <v>27</v>
      </c>
      <c r="C5189" s="1" t="s">
        <v>26886</v>
      </c>
      <c r="D5189" s="1" t="s">
        <v>9639</v>
      </c>
      <c r="E5189" s="1" t="s">
        <v>26887</v>
      </c>
      <c r="F5189" s="1" t="s">
        <v>784</v>
      </c>
      <c r="G5189" s="1" t="s">
        <v>26883</v>
      </c>
      <c r="H5189" s="1">
        <v>2016.0</v>
      </c>
      <c r="I5189" s="1" t="s">
        <v>42</v>
      </c>
      <c r="J5189" s="1" t="s">
        <v>106</v>
      </c>
      <c r="K5189" s="1" t="s">
        <v>631</v>
      </c>
      <c r="L5189" s="1" t="s">
        <v>26888</v>
      </c>
      <c r="M5189" s="2" t="s">
        <v>12</v>
      </c>
      <c r="N5189" s="4">
        <f t="shared" si="1"/>
        <v>43040</v>
      </c>
      <c r="O5189" s="5" t="str">
        <f>IFERROR(__xludf.DUMMYFUNCTION("IF(REGEXMATCH(TRIM(I5189), ""^\d+\s*min""), ""Unclassified"", IF(I5189 = """", ""NR"", I5189))"),"TV-MA")</f>
        <v>TV-MA</v>
      </c>
      <c r="R5189" s="5" t="str">
        <f t="shared" si="2"/>
        <v>Getaway Plan</v>
      </c>
      <c r="S5189" s="5" t="str">
        <f>IFERROR(__xludf.DUMMYFUNCTION("""COMPUTED_VALUE"""),"Oklahoma City")</f>
        <v>Oklahoma City</v>
      </c>
      <c r="V5189" s="5"/>
      <c r="Y5189" s="5" t="str">
        <f>IFERROR(__xludf.DUMMYFUNCTION("REGEXEXTRACT(J5189, ""^\d+"")"),"104")</f>
        <v>104</v>
      </c>
      <c r="Z5189" s="5" t="str">
        <f>IFERROR(__xludf.DUMMYFUNCTION("REGEXEXTRACT(J5189, ""[A-Za-z ]+$"")")," min")</f>
        <v> min</v>
      </c>
      <c r="AA5189" s="5" t="str">
        <f>IFERROR(__xludf.DUMMYFUNCTION("IF(REGEXMATCH(Z5189, ""Season""), ""TV Show"", ""Movie"")"),"Movie")</f>
        <v>Movie</v>
      </c>
    </row>
    <row r="5190">
      <c r="A5190" s="1" t="s">
        <v>26889</v>
      </c>
      <c r="B5190" s="1" t="s">
        <v>27</v>
      </c>
      <c r="C5190" s="1" t="s">
        <v>26890</v>
      </c>
      <c r="D5190" s="1" t="s">
        <v>1322</v>
      </c>
      <c r="E5190" s="1" t="s">
        <v>26891</v>
      </c>
      <c r="F5190" s="1" t="s">
        <v>4557</v>
      </c>
      <c r="G5190" s="1" t="s">
        <v>26883</v>
      </c>
      <c r="H5190" s="1">
        <v>2016.0</v>
      </c>
      <c r="I5190" s="1" t="s">
        <v>136</v>
      </c>
      <c r="J5190" s="1" t="s">
        <v>247</v>
      </c>
      <c r="K5190" s="1" t="s">
        <v>306</v>
      </c>
      <c r="L5190" s="1" t="s">
        <v>26892</v>
      </c>
      <c r="M5190" s="2" t="s">
        <v>12</v>
      </c>
      <c r="N5190" s="4">
        <f t="shared" si="1"/>
        <v>43040</v>
      </c>
      <c r="O5190" s="5" t="str">
        <f>IFERROR(__xludf.DUMMYFUNCTION("IF(REGEXMATCH(TRIM(I5190), ""^\d+\s*min""), ""Unclassified"", IF(I5190 = """", ""NR"", I5190))"),"TV-PG")</f>
        <v>TV-PG</v>
      </c>
      <c r="R5190" s="5" t="str">
        <f t="shared" si="2"/>
        <v>Hajwala: The Missing Engine</v>
      </c>
      <c r="S5190" s="5" t="str">
        <f>IFERROR(__xludf.DUMMYFUNCTION("""COMPUTED_VALUE"""),"Oktoberfest: Beer &amp; Blood")</f>
        <v>Oktoberfest: Beer &amp; Blood</v>
      </c>
      <c r="V5190" s="5"/>
      <c r="Y5190" s="5" t="str">
        <f>IFERROR(__xludf.DUMMYFUNCTION("REGEXEXTRACT(J5190, ""^\d+"")"),"97")</f>
        <v>97</v>
      </c>
      <c r="Z5190" s="5" t="str">
        <f>IFERROR(__xludf.DUMMYFUNCTION("REGEXEXTRACT(J5190, ""[A-Za-z ]+$"")")," min")</f>
        <v> min</v>
      </c>
      <c r="AA5190" s="5" t="str">
        <f>IFERROR(__xludf.DUMMYFUNCTION("IF(REGEXMATCH(Z5190, ""Season""), ""TV Show"", ""Movie"")"),"Movie")</f>
        <v>Movie</v>
      </c>
    </row>
    <row r="5191">
      <c r="A5191" s="1" t="s">
        <v>26893</v>
      </c>
      <c r="B5191" s="1" t="s">
        <v>27</v>
      </c>
      <c r="C5191" s="1" t="s">
        <v>26894</v>
      </c>
      <c r="D5191" s="1" t="s">
        <v>1347</v>
      </c>
      <c r="E5191" s="1" t="s">
        <v>26895</v>
      </c>
      <c r="F5191" s="1" t="s">
        <v>2492</v>
      </c>
      <c r="G5191" s="1" t="s">
        <v>26883</v>
      </c>
      <c r="H5191" s="1">
        <v>2016.0</v>
      </c>
      <c r="I5191" s="1" t="s">
        <v>506</v>
      </c>
      <c r="J5191" s="1" t="s">
        <v>1001</v>
      </c>
      <c r="K5191" s="1" t="s">
        <v>137</v>
      </c>
      <c r="L5191" s="1" t="s">
        <v>26896</v>
      </c>
      <c r="M5191" s="2" t="s">
        <v>12</v>
      </c>
      <c r="N5191" s="4">
        <f t="shared" si="1"/>
        <v>43040</v>
      </c>
      <c r="O5191" s="5" t="str">
        <f>IFERROR(__xludf.DUMMYFUNCTION("IF(REGEXMATCH(TRIM(I5191), ""^\d+\s*min""), ""Unclassified"", IF(I5191 = """", ""NR"", I5191))"),"TV-G")</f>
        <v>TV-G</v>
      </c>
      <c r="R5191" s="5" t="str">
        <f t="shared" si="2"/>
        <v>Pettersson And Findus 2</v>
      </c>
      <c r="S5191" s="5" t="str">
        <f>IFERROR(__xludf.DUMMYFUNCTION("""COMPUTED_VALUE"""),"Okupas")</f>
        <v>Okupas</v>
      </c>
      <c r="V5191" s="5"/>
      <c r="Y5191" s="5" t="str">
        <f>IFERROR(__xludf.DUMMYFUNCTION("REGEXEXTRACT(J5191, ""^\d+"")"),"82")</f>
        <v>82</v>
      </c>
      <c r="Z5191" s="5" t="str">
        <f>IFERROR(__xludf.DUMMYFUNCTION("REGEXEXTRACT(J5191, ""[A-Za-z ]+$"")")," min")</f>
        <v> min</v>
      </c>
      <c r="AA5191" s="5" t="str">
        <f>IFERROR(__xludf.DUMMYFUNCTION("IF(REGEXMATCH(Z5191, ""Season""), ""TV Show"", ""Movie"")"),"Movie")</f>
        <v>Movie</v>
      </c>
    </row>
    <row r="5192">
      <c r="A5192" s="1" t="s">
        <v>26897</v>
      </c>
      <c r="B5192" s="1" t="s">
        <v>27</v>
      </c>
      <c r="C5192" s="1" t="s">
        <v>26898</v>
      </c>
      <c r="D5192" s="1" t="s">
        <v>5326</v>
      </c>
      <c r="E5192" s="1" t="s">
        <v>26899</v>
      </c>
      <c r="F5192" s="1" t="s">
        <v>3892</v>
      </c>
      <c r="G5192" s="1" t="s">
        <v>26883</v>
      </c>
      <c r="H5192" s="1">
        <v>2017.0</v>
      </c>
      <c r="I5192" s="1" t="s">
        <v>42</v>
      </c>
      <c r="J5192" s="1" t="s">
        <v>357</v>
      </c>
      <c r="K5192" s="1" t="s">
        <v>306</v>
      </c>
      <c r="L5192" s="1" t="s">
        <v>26900</v>
      </c>
      <c r="M5192" s="2" t="s">
        <v>12</v>
      </c>
      <c r="N5192" s="4">
        <f t="shared" si="1"/>
        <v>43040</v>
      </c>
      <c r="O5192" s="5" t="str">
        <f>IFERROR(__xludf.DUMMYFUNCTION("IF(REGEXMATCH(TRIM(I5192), ""^\d+\s*min""), ""Unclassified"", IF(I5192 = """", ""NR"", I5192))"),"TV-MA")</f>
        <v>TV-MA</v>
      </c>
      <c r="R5192" s="5" t="str">
        <f t="shared" si="2"/>
        <v>The Bittersweet</v>
      </c>
      <c r="S5192" s="5" t="str">
        <f>IFERROR(__xludf.DUMMYFUNCTION("""COMPUTED_VALUE"""),"Old Lord Savanna")</f>
        <v>Old Lord Savanna</v>
      </c>
      <c r="V5192" s="5"/>
      <c r="Y5192" s="5" t="str">
        <f>IFERROR(__xludf.DUMMYFUNCTION("REGEXEXTRACT(J5192, ""^\d+"")"),"98")</f>
        <v>98</v>
      </c>
      <c r="Z5192" s="5" t="str">
        <f>IFERROR(__xludf.DUMMYFUNCTION("REGEXEXTRACT(J5192, ""[A-Za-z ]+$"")")," min")</f>
        <v> min</v>
      </c>
      <c r="AA5192" s="5" t="str">
        <f>IFERROR(__xludf.DUMMYFUNCTION("IF(REGEXMATCH(Z5192, ""Season""), ""TV Show"", ""Movie"")"),"Movie")</f>
        <v>Movie</v>
      </c>
    </row>
    <row r="5193">
      <c r="A5193" s="1" t="s">
        <v>26901</v>
      </c>
      <c r="B5193" s="1" t="s">
        <v>37</v>
      </c>
      <c r="C5193" s="1" t="s">
        <v>26902</v>
      </c>
      <c r="E5193" s="1" t="s">
        <v>26903</v>
      </c>
      <c r="G5193" s="1" t="s">
        <v>26883</v>
      </c>
      <c r="H5193" s="1">
        <v>2010.0</v>
      </c>
      <c r="I5193" s="1" t="s">
        <v>42</v>
      </c>
      <c r="J5193" s="1" t="s">
        <v>51</v>
      </c>
      <c r="K5193" s="1" t="s">
        <v>402</v>
      </c>
      <c r="L5193" s="1" t="s">
        <v>26904</v>
      </c>
      <c r="M5193" s="2" t="s">
        <v>12</v>
      </c>
      <c r="N5193" s="4">
        <f t="shared" si="1"/>
        <v>43040</v>
      </c>
      <c r="O5193" s="5" t="str">
        <f>IFERROR(__xludf.DUMMYFUNCTION("IF(REGEXMATCH(TRIM(I5193), ""^\d+\s*min""), ""Unclassified"", IF(I5193 = """", ""NR"", I5193))"),"TV-MA")</f>
        <v>TV-MA</v>
      </c>
      <c r="R5193" s="5" t="str">
        <f t="shared" si="2"/>
        <v>The Family Court</v>
      </c>
      <c r="S5193" s="5" t="str">
        <f>IFERROR(__xludf.DUMMYFUNCTION("""COMPUTED_VALUE"""),"Old Money")</f>
        <v>Old Money</v>
      </c>
      <c r="V5193" s="5"/>
      <c r="Y5193" s="5" t="str">
        <f>IFERROR(__xludf.DUMMYFUNCTION("REGEXEXTRACT(J5193, ""^\d+"")"),"1")</f>
        <v>1</v>
      </c>
      <c r="Z5193" s="5" t="str">
        <f>IFERROR(__xludf.DUMMYFUNCTION("REGEXEXTRACT(J5193, ""[A-Za-z ]+$"")")," Season")</f>
        <v> Season</v>
      </c>
      <c r="AA5193" s="5" t="str">
        <f>IFERROR(__xludf.DUMMYFUNCTION("IF(REGEXMATCH(Z5193, ""Season""), ""TV Show"", ""Movie"")"),"TV Show")</f>
        <v>TV Show</v>
      </c>
    </row>
    <row r="5194">
      <c r="A5194" s="1" t="s">
        <v>26905</v>
      </c>
      <c r="B5194" s="1" t="s">
        <v>37</v>
      </c>
      <c r="C5194" s="1" t="s">
        <v>26906</v>
      </c>
      <c r="E5194" s="1" t="s">
        <v>26907</v>
      </c>
      <c r="G5194" s="1" t="s">
        <v>26883</v>
      </c>
      <c r="H5194" s="1">
        <v>2007.0</v>
      </c>
      <c r="I5194" s="1" t="s">
        <v>42</v>
      </c>
      <c r="J5194" s="1" t="s">
        <v>51</v>
      </c>
      <c r="K5194" s="1" t="s">
        <v>402</v>
      </c>
      <c r="L5194" s="1" t="s">
        <v>26908</v>
      </c>
      <c r="M5194" s="2" t="s">
        <v>12</v>
      </c>
      <c r="N5194" s="4">
        <f t="shared" si="1"/>
        <v>43040</v>
      </c>
      <c r="O5194" s="5" t="str">
        <f>IFERROR(__xludf.DUMMYFUNCTION("IF(REGEXMATCH(TRIM(I5194), ""^\d+\s*min""), ""Unclassified"", IF(I5194 = """", ""NR"", I5194))"),"TV-MA")</f>
        <v>TV-MA</v>
      </c>
      <c r="R5194" s="5" t="str">
        <f t="shared" si="2"/>
        <v>The Golden Path</v>
      </c>
      <c r="S5194" s="5" t="str">
        <f>IFERROR(__xludf.DUMMYFUNCTION("""COMPUTED_VALUE"""),"Oldsters")</f>
        <v>Oldsters</v>
      </c>
      <c r="V5194" s="5"/>
      <c r="Y5194" s="5" t="str">
        <f>IFERROR(__xludf.DUMMYFUNCTION("REGEXEXTRACT(J5194, ""^\d+"")"),"1")</f>
        <v>1</v>
      </c>
      <c r="Z5194" s="5" t="str">
        <f>IFERROR(__xludf.DUMMYFUNCTION("REGEXEXTRACT(J5194, ""[A-Za-z ]+$"")")," Season")</f>
        <v> Season</v>
      </c>
      <c r="AA5194" s="5" t="str">
        <f>IFERROR(__xludf.DUMMYFUNCTION("IF(REGEXMATCH(Z5194, ""Season""), ""TV Show"", ""Movie"")"),"TV Show")</f>
        <v>TV Show</v>
      </c>
    </row>
    <row r="5195">
      <c r="A5195" s="1" t="s">
        <v>26909</v>
      </c>
      <c r="B5195" s="1" t="s">
        <v>37</v>
      </c>
      <c r="C5195" s="1" t="s">
        <v>26910</v>
      </c>
      <c r="E5195" s="1" t="s">
        <v>26911</v>
      </c>
      <c r="G5195" s="1" t="s">
        <v>26883</v>
      </c>
      <c r="H5195" s="1">
        <v>2009.0</v>
      </c>
      <c r="I5195" s="1" t="s">
        <v>97</v>
      </c>
      <c r="J5195" s="1" t="s">
        <v>51</v>
      </c>
      <c r="K5195" s="1" t="s">
        <v>402</v>
      </c>
      <c r="L5195" s="1" t="s">
        <v>26912</v>
      </c>
      <c r="M5195" s="2" t="s">
        <v>12</v>
      </c>
      <c r="N5195" s="4">
        <f t="shared" si="1"/>
        <v>43040</v>
      </c>
      <c r="O5195" s="5" t="str">
        <f>IFERROR(__xludf.DUMMYFUNCTION("IF(REGEXMATCH(TRIM(I5195), ""^\d+\s*min""), ""Unclassified"", IF(I5195 = """", ""NR"", I5195))"),"TV-14")</f>
        <v>TV-14</v>
      </c>
      <c r="R5195" s="5" t="str">
        <f t="shared" si="2"/>
        <v>The Little Nyonya</v>
      </c>
      <c r="S5195" s="5" t="str">
        <f>IFERROR(__xludf.DUMMYFUNCTION("""COMPUTED_VALUE"""),"Oliver Stone'S Untold History Of The United States")</f>
        <v>Oliver Stone'S Untold History Of The United States</v>
      </c>
      <c r="V5195" s="5"/>
      <c r="Y5195" s="5" t="str">
        <f>IFERROR(__xludf.DUMMYFUNCTION("REGEXEXTRACT(J5195, ""^\d+"")"),"1")</f>
        <v>1</v>
      </c>
      <c r="Z5195" s="5" t="str">
        <f>IFERROR(__xludf.DUMMYFUNCTION("REGEXEXTRACT(J5195, ""[A-Za-z ]+$"")")," Season")</f>
        <v> Season</v>
      </c>
      <c r="AA5195" s="5" t="str">
        <f>IFERROR(__xludf.DUMMYFUNCTION("IF(REGEXMATCH(Z5195, ""Season""), ""TV Show"", ""Movie"")"),"TV Show")</f>
        <v>TV Show</v>
      </c>
    </row>
    <row r="5196">
      <c r="A5196" s="1" t="s">
        <v>26913</v>
      </c>
      <c r="B5196" s="1" t="s">
        <v>37</v>
      </c>
      <c r="C5196" s="1" t="s">
        <v>26914</v>
      </c>
      <c r="E5196" s="1" t="s">
        <v>26915</v>
      </c>
      <c r="G5196" s="1" t="s">
        <v>26883</v>
      </c>
      <c r="H5196" s="1">
        <v>2008.0</v>
      </c>
      <c r="I5196" s="1" t="s">
        <v>97</v>
      </c>
      <c r="J5196" s="1" t="s">
        <v>51</v>
      </c>
      <c r="K5196" s="1" t="s">
        <v>52</v>
      </c>
      <c r="L5196" s="1" t="s">
        <v>26916</v>
      </c>
      <c r="M5196" s="2" t="s">
        <v>12</v>
      </c>
      <c r="N5196" s="4">
        <f t="shared" si="1"/>
        <v>43040</v>
      </c>
      <c r="O5196" s="5" t="str">
        <f>IFERROR(__xludf.DUMMYFUNCTION("IF(REGEXMATCH(TRIM(I5196), ""^\d+\s*min""), ""Unclassified"", IF(I5196 = """", ""NR"", I5196))"),"TV-14")</f>
        <v>TV-14</v>
      </c>
      <c r="R5196" s="5" t="str">
        <f t="shared" si="2"/>
        <v>The Truth</v>
      </c>
      <c r="S5196" s="5" t="str">
        <f>IFERROR(__xludf.DUMMYFUNCTION("""COMPUTED_VALUE"""),"Ollie &amp; Moon")</f>
        <v>Ollie &amp; Moon</v>
      </c>
      <c r="V5196" s="5"/>
      <c r="Y5196" s="5" t="str">
        <f>IFERROR(__xludf.DUMMYFUNCTION("REGEXEXTRACT(J5196, ""^\d+"")"),"1")</f>
        <v>1</v>
      </c>
      <c r="Z5196" s="5" t="str">
        <f>IFERROR(__xludf.DUMMYFUNCTION("REGEXEXTRACT(J5196, ""[A-Za-z ]+$"")")," Season")</f>
        <v> Season</v>
      </c>
      <c r="AA5196" s="5" t="str">
        <f>IFERROR(__xludf.DUMMYFUNCTION("IF(REGEXMATCH(Z5196, ""Season""), ""TV Show"", ""Movie"")"),"TV Show")</f>
        <v>TV Show</v>
      </c>
    </row>
    <row r="5197">
      <c r="A5197" s="1" t="s">
        <v>26917</v>
      </c>
      <c r="B5197" s="1" t="s">
        <v>37</v>
      </c>
      <c r="C5197" s="1" t="s">
        <v>26918</v>
      </c>
      <c r="E5197" s="1" t="s">
        <v>26919</v>
      </c>
      <c r="F5197" s="1" t="s">
        <v>9219</v>
      </c>
      <c r="G5197" s="1" t="s">
        <v>26883</v>
      </c>
      <c r="H5197" s="1">
        <v>2009.0</v>
      </c>
      <c r="I5197" s="1" t="s">
        <v>97</v>
      </c>
      <c r="J5197" s="1" t="s">
        <v>51</v>
      </c>
      <c r="K5197" s="1" t="s">
        <v>402</v>
      </c>
      <c r="L5197" s="1" t="s">
        <v>26920</v>
      </c>
      <c r="M5197" s="2" t="s">
        <v>12</v>
      </c>
      <c r="N5197" s="4">
        <f t="shared" si="1"/>
        <v>43040</v>
      </c>
      <c r="O5197" s="5" t="str">
        <f>IFERROR(__xludf.DUMMYFUNCTION("IF(REGEXMATCH(TRIM(I5197), ""^\d+\s*min""), ""Unclassified"", IF(I5197 = """", ""NR"", I5197))"),"TV-14")</f>
        <v>TV-14</v>
      </c>
      <c r="R5197" s="5" t="str">
        <f t="shared" si="2"/>
        <v>Together</v>
      </c>
      <c r="S5197" s="5" t="str">
        <f>IFERROR(__xludf.DUMMYFUNCTION("""COMPUTED_VALUE"""),"Olmo &amp; The Seagull")</f>
        <v>Olmo &amp; The Seagull</v>
      </c>
      <c r="V5197" s="5"/>
      <c r="Y5197" s="5" t="str">
        <f>IFERROR(__xludf.DUMMYFUNCTION("REGEXEXTRACT(J5197, ""^\d+"")"),"1")</f>
        <v>1</v>
      </c>
      <c r="Z5197" s="5" t="str">
        <f>IFERROR(__xludf.DUMMYFUNCTION("REGEXEXTRACT(J5197, ""[A-Za-z ]+$"")")," Season")</f>
        <v> Season</v>
      </c>
      <c r="AA5197" s="5" t="str">
        <f>IFERROR(__xludf.DUMMYFUNCTION("IF(REGEXMATCH(Z5197, ""Season""), ""TV Show"", ""Movie"")"),"TV Show")</f>
        <v>TV Show</v>
      </c>
    </row>
    <row r="5198">
      <c r="A5198" s="1" t="s">
        <v>26921</v>
      </c>
      <c r="B5198" s="1" t="s">
        <v>27</v>
      </c>
      <c r="C5198" s="1" t="s">
        <v>26922</v>
      </c>
      <c r="D5198" s="1" t="s">
        <v>12022</v>
      </c>
      <c r="E5198" s="1" t="s">
        <v>12022</v>
      </c>
      <c r="F5198" s="1" t="s">
        <v>30</v>
      </c>
      <c r="G5198" s="1" t="s">
        <v>26923</v>
      </c>
      <c r="H5198" s="1">
        <v>2017.0</v>
      </c>
      <c r="I5198" s="1" t="s">
        <v>42</v>
      </c>
      <c r="J5198" s="1" t="s">
        <v>1608</v>
      </c>
      <c r="K5198" s="1" t="s">
        <v>1839</v>
      </c>
      <c r="L5198" s="1" t="s">
        <v>26924</v>
      </c>
      <c r="M5198" s="2" t="s">
        <v>12</v>
      </c>
      <c r="N5198" s="4">
        <f t="shared" si="1"/>
        <v>43039</v>
      </c>
      <c r="O5198" s="5" t="str">
        <f>IFERROR(__xludf.DUMMYFUNCTION("IF(REGEXMATCH(TRIM(I5198), ""^\d+\s*min""), ""Unclassified"", IF(I5198 = """", ""NR"", I5198))"),"TV-MA")</f>
        <v>TV-MA</v>
      </c>
      <c r="R5198" s="5" t="str">
        <f t="shared" si="2"/>
        <v>Judah Friedlander: America Is The Greatest Country In The United States</v>
      </c>
      <c r="S5198" s="5" t="str">
        <f>IFERROR(__xludf.DUMMYFUNCTION("""COMPUTED_VALUE"""),"Oloibiri")</f>
        <v>Oloibiri</v>
      </c>
      <c r="V5198" s="5"/>
      <c r="Y5198" s="5" t="str">
        <f>IFERROR(__xludf.DUMMYFUNCTION("REGEXEXTRACT(J5198, ""^\d+"")"),"84")</f>
        <v>84</v>
      </c>
      <c r="Z5198" s="5" t="str">
        <f>IFERROR(__xludf.DUMMYFUNCTION("REGEXEXTRACT(J5198, ""[A-Za-z ]+$"")")," min")</f>
        <v> min</v>
      </c>
      <c r="AA5198" s="5" t="str">
        <f>IFERROR(__xludf.DUMMYFUNCTION("IF(REGEXMATCH(Z5198, ""Season""), ""TV Show"", ""Movie"")"),"Movie")</f>
        <v>Movie</v>
      </c>
    </row>
    <row r="5199">
      <c r="A5199" s="1" t="s">
        <v>26925</v>
      </c>
      <c r="B5199" s="1" t="s">
        <v>27</v>
      </c>
      <c r="C5199" s="1" t="s">
        <v>26926</v>
      </c>
      <c r="D5199" s="1" t="s">
        <v>7274</v>
      </c>
      <c r="E5199" s="1" t="s">
        <v>26927</v>
      </c>
      <c r="F5199" s="1" t="s">
        <v>30</v>
      </c>
      <c r="G5199" s="1" t="s">
        <v>26923</v>
      </c>
      <c r="H5199" s="1">
        <v>2016.0</v>
      </c>
      <c r="I5199" s="1" t="s">
        <v>378</v>
      </c>
      <c r="J5199" s="1" t="s">
        <v>1171</v>
      </c>
      <c r="K5199" s="1" t="s">
        <v>34</v>
      </c>
      <c r="L5199" s="1" t="s">
        <v>26928</v>
      </c>
      <c r="M5199" s="2" t="s">
        <v>12</v>
      </c>
      <c r="N5199" s="4">
        <f t="shared" si="1"/>
        <v>43039</v>
      </c>
      <c r="O5199" s="5" t="str">
        <f>IFERROR(__xludf.DUMMYFUNCTION("IF(REGEXMATCH(TRIM(I5199), ""^\d+\s*min""), ""Unclassified"", IF(I5199 = """", ""NR"", I5199))"),"R")</f>
        <v>R</v>
      </c>
      <c r="R5199" s="5" t="str">
        <f t="shared" si="2"/>
        <v>The B-Side: Elsa Dorfman'S Portrait Photography</v>
      </c>
      <c r="S5199" s="5" t="str">
        <f>IFERROR(__xludf.DUMMYFUNCTION("""COMPUTED_VALUE"""),"Òlòtūré")</f>
        <v>Òlòtūré</v>
      </c>
      <c r="V5199" s="5"/>
      <c r="Y5199" s="5" t="str">
        <f>IFERROR(__xludf.DUMMYFUNCTION("REGEXEXTRACT(J5199, ""^\d+"")"),"76")</f>
        <v>76</v>
      </c>
      <c r="Z5199" s="5" t="str">
        <f>IFERROR(__xludf.DUMMYFUNCTION("REGEXEXTRACT(J5199, ""[A-Za-z ]+$"")")," min")</f>
        <v> min</v>
      </c>
      <c r="AA5199" s="5" t="str">
        <f>IFERROR(__xludf.DUMMYFUNCTION("IF(REGEXMATCH(Z5199, ""Season""), ""TV Show"", ""Movie"")"),"Movie")</f>
        <v>Movie</v>
      </c>
    </row>
    <row r="5200">
      <c r="A5200" s="1" t="s">
        <v>26929</v>
      </c>
      <c r="B5200" s="1" t="s">
        <v>27</v>
      </c>
      <c r="C5200" s="1" t="s">
        <v>26930</v>
      </c>
      <c r="D5200" s="1" t="s">
        <v>1121</v>
      </c>
      <c r="E5200" s="1" t="s">
        <v>26931</v>
      </c>
      <c r="F5200" s="1" t="s">
        <v>30</v>
      </c>
      <c r="G5200" s="1" t="s">
        <v>26932</v>
      </c>
      <c r="H5200" s="1">
        <v>2017.0</v>
      </c>
      <c r="I5200" s="1" t="s">
        <v>32</v>
      </c>
      <c r="J5200" s="1" t="s">
        <v>6281</v>
      </c>
      <c r="K5200" s="1" t="s">
        <v>26933</v>
      </c>
      <c r="L5200" s="1" t="s">
        <v>26934</v>
      </c>
      <c r="M5200" s="2" t="s">
        <v>12</v>
      </c>
      <c r="N5200" s="4">
        <f t="shared" si="1"/>
        <v>43038</v>
      </c>
      <c r="O5200" s="5" t="str">
        <f>IFERROR(__xludf.DUMMYFUNCTION("IF(REGEXMATCH(TRIM(I5200), ""^\d+\s*min""), ""Unclassified"", IF(I5200 = """", ""NR"", I5200))"),"PG-13")</f>
        <v>PG-13</v>
      </c>
      <c r="R5200" s="5" t="str">
        <f t="shared" si="2"/>
        <v>Spf-18</v>
      </c>
      <c r="S5200" s="5" t="str">
        <f>IFERROR(__xludf.DUMMYFUNCTION("""COMPUTED_VALUE"""),"Olympus Has Fallen")</f>
        <v>Olympus Has Fallen</v>
      </c>
      <c r="V5200" s="5"/>
      <c r="Y5200" s="5" t="str">
        <f>IFERROR(__xludf.DUMMYFUNCTION("REGEXEXTRACT(J5200, ""^\d+"")"),"75")</f>
        <v>75</v>
      </c>
      <c r="Z5200" s="5" t="str">
        <f>IFERROR(__xludf.DUMMYFUNCTION("REGEXEXTRACT(J5200, ""[A-Za-z ]+$"")")," min")</f>
        <v> min</v>
      </c>
      <c r="AA5200" s="5" t="str">
        <f>IFERROR(__xludf.DUMMYFUNCTION("IF(REGEXMATCH(Z5200, ""Season""), ""TV Show"", ""Movie"")"),"Movie")</f>
        <v>Movie</v>
      </c>
    </row>
    <row r="5201">
      <c r="A5201" s="1" t="s">
        <v>26935</v>
      </c>
      <c r="B5201" s="1" t="s">
        <v>27</v>
      </c>
      <c r="C5201" s="1" t="s">
        <v>26936</v>
      </c>
      <c r="D5201" s="1" t="s">
        <v>19533</v>
      </c>
      <c r="E5201" s="1" t="s">
        <v>26937</v>
      </c>
      <c r="F5201" s="1" t="s">
        <v>1106</v>
      </c>
      <c r="G5201" s="1" t="s">
        <v>26938</v>
      </c>
      <c r="H5201" s="1">
        <v>2017.0</v>
      </c>
      <c r="I5201" s="1" t="s">
        <v>78</v>
      </c>
      <c r="J5201" s="1" t="s">
        <v>454</v>
      </c>
      <c r="K5201" s="1" t="s">
        <v>137</v>
      </c>
      <c r="L5201" s="1" t="s">
        <v>26939</v>
      </c>
      <c r="M5201" s="2" t="s">
        <v>12</v>
      </c>
      <c r="N5201" s="4">
        <f t="shared" si="1"/>
        <v>43036</v>
      </c>
      <c r="O5201" s="5" t="str">
        <f>IFERROR(__xludf.DUMMYFUNCTION("IF(REGEXMATCH(TRIM(I5201), ""^\d+\s*min""), ""Unclassified"", IF(I5201 = """", ""NR"", I5201))"),"PG")</f>
        <v>PG</v>
      </c>
      <c r="R5201" s="5" t="str">
        <f t="shared" si="2"/>
        <v>Pup Star: Better 2Gether</v>
      </c>
      <c r="S5201" s="5" t="str">
        <f>IFERROR(__xludf.DUMMYFUNCTION("""COMPUTED_VALUE"""),"Om Shanti Om")</f>
        <v>Om Shanti Om</v>
      </c>
      <c r="V5201" s="5"/>
      <c r="Y5201" s="5" t="str">
        <f>IFERROR(__xludf.DUMMYFUNCTION("REGEXEXTRACT(J5201, ""^\d+"")"),"93")</f>
        <v>93</v>
      </c>
      <c r="Z5201" s="5" t="str">
        <f>IFERROR(__xludf.DUMMYFUNCTION("REGEXEXTRACT(J5201, ""[A-Za-z ]+$"")")," min")</f>
        <v> min</v>
      </c>
      <c r="AA5201" s="5" t="str">
        <f>IFERROR(__xludf.DUMMYFUNCTION("IF(REGEXMATCH(Z5201, ""Season""), ""TV Show"", ""Movie"")"),"Movie")</f>
        <v>Movie</v>
      </c>
    </row>
    <row r="5202">
      <c r="A5202" s="1" t="s">
        <v>26940</v>
      </c>
      <c r="B5202" s="1" t="s">
        <v>37</v>
      </c>
      <c r="C5202" s="1" t="s">
        <v>26941</v>
      </c>
      <c r="E5202" s="1" t="s">
        <v>26942</v>
      </c>
      <c r="F5202" s="1" t="s">
        <v>30</v>
      </c>
      <c r="G5202" s="1" t="s">
        <v>26943</v>
      </c>
      <c r="H5202" s="1">
        <v>2017.0</v>
      </c>
      <c r="I5202" s="1" t="s">
        <v>97</v>
      </c>
      <c r="J5202" s="1" t="s">
        <v>51</v>
      </c>
      <c r="K5202" s="1" t="s">
        <v>26944</v>
      </c>
      <c r="L5202" s="1" t="s">
        <v>26945</v>
      </c>
      <c r="M5202" s="2" t="s">
        <v>12</v>
      </c>
      <c r="N5202" s="4">
        <f t="shared" si="1"/>
        <v>43035</v>
      </c>
      <c r="O5202" s="5" t="str">
        <f>IFERROR(__xludf.DUMMYFUNCTION("IF(REGEXMATCH(TRIM(I5202), ""^\d+\s*min""), ""Unclassified"", IF(I5202 = """", ""NR"", I5202))"),"TV-14")</f>
        <v>TV-14</v>
      </c>
      <c r="R5202" s="5" t="str">
        <f t="shared" si="2"/>
        <v>Beyond Stranger Things</v>
      </c>
      <c r="S5202" s="5" t="str">
        <f>IFERROR(__xludf.DUMMYFUNCTION("""COMPUTED_VALUE"""),"Omar &amp; Salma 2")</f>
        <v>Omar &amp; Salma 2</v>
      </c>
      <c r="V5202" s="5"/>
      <c r="Y5202" s="5" t="str">
        <f>IFERROR(__xludf.DUMMYFUNCTION("REGEXEXTRACT(J5202, ""^\d+"")"),"1")</f>
        <v>1</v>
      </c>
      <c r="Z5202" s="5" t="str">
        <f>IFERROR(__xludf.DUMMYFUNCTION("REGEXEXTRACT(J5202, ""[A-Za-z ]+$"")")," Season")</f>
        <v> Season</v>
      </c>
      <c r="AA5202" s="5" t="str">
        <f>IFERROR(__xludf.DUMMYFUNCTION("IF(REGEXMATCH(Z5202, ""Season""), ""TV Show"", ""Movie"")"),"TV Show")</f>
        <v>TV Show</v>
      </c>
    </row>
    <row r="5203">
      <c r="A5203" s="1" t="s">
        <v>26946</v>
      </c>
      <c r="B5203" s="1" t="s">
        <v>27</v>
      </c>
      <c r="C5203" s="1" t="s">
        <v>26947</v>
      </c>
      <c r="D5203" s="1" t="s">
        <v>8747</v>
      </c>
      <c r="E5203" s="1" t="s">
        <v>26948</v>
      </c>
      <c r="F5203" s="1" t="s">
        <v>30</v>
      </c>
      <c r="G5203" s="1" t="s">
        <v>26943</v>
      </c>
      <c r="H5203" s="1">
        <v>2017.0</v>
      </c>
      <c r="I5203" s="1" t="s">
        <v>97</v>
      </c>
      <c r="J5203" s="1" t="s">
        <v>357</v>
      </c>
      <c r="K5203" s="1" t="s">
        <v>34</v>
      </c>
      <c r="L5203" s="1" t="s">
        <v>26949</v>
      </c>
      <c r="M5203" s="2" t="s">
        <v>12</v>
      </c>
      <c r="N5203" s="4">
        <f t="shared" si="1"/>
        <v>43035</v>
      </c>
      <c r="O5203" s="5" t="str">
        <f>IFERROR(__xludf.DUMMYFUNCTION("IF(REGEXMATCH(TRIM(I5203), ""^\d+\s*min""), ""Unclassified"", IF(I5203 = """", ""NR"", I5203))"),"TV-14")</f>
        <v>TV-14</v>
      </c>
      <c r="R5203" s="5" t="str">
        <f t="shared" si="2"/>
        <v>Joan Didion: The Center Will Not Hold</v>
      </c>
      <c r="S5203" s="5" t="str">
        <f>IFERROR(__xludf.DUMMYFUNCTION("""COMPUTED_VALUE"""),"Omar And Salma 3")</f>
        <v>Omar And Salma 3</v>
      </c>
      <c r="V5203" s="5"/>
      <c r="Y5203" s="5" t="str">
        <f>IFERROR(__xludf.DUMMYFUNCTION("REGEXEXTRACT(J5203, ""^\d+"")"),"98")</f>
        <v>98</v>
      </c>
      <c r="Z5203" s="5" t="str">
        <f>IFERROR(__xludf.DUMMYFUNCTION("REGEXEXTRACT(J5203, ""[A-Za-z ]+$"")")," min")</f>
        <v> min</v>
      </c>
      <c r="AA5203" s="5" t="str">
        <f>IFERROR(__xludf.DUMMYFUNCTION("IF(REGEXMATCH(Z5203, ""Season""), ""TV Show"", ""Movie"")"),"Movie")</f>
        <v>Movie</v>
      </c>
    </row>
    <row r="5204">
      <c r="A5204" s="1" t="s">
        <v>26950</v>
      </c>
      <c r="B5204" s="1" t="s">
        <v>27</v>
      </c>
      <c r="C5204" s="1" t="s">
        <v>26951</v>
      </c>
      <c r="D5204" s="1" t="s">
        <v>12522</v>
      </c>
      <c r="E5204" s="1" t="s">
        <v>26952</v>
      </c>
      <c r="F5204" s="1" t="s">
        <v>30</v>
      </c>
      <c r="G5204" s="1" t="s">
        <v>26953</v>
      </c>
      <c r="H5204" s="1">
        <v>2016.0</v>
      </c>
      <c r="I5204" s="1" t="s">
        <v>378</v>
      </c>
      <c r="J5204" s="1" t="s">
        <v>79</v>
      </c>
      <c r="K5204" s="1" t="s">
        <v>1320</v>
      </c>
      <c r="L5204" s="1" t="s">
        <v>26954</v>
      </c>
      <c r="M5204" s="2" t="s">
        <v>12</v>
      </c>
      <c r="N5204" s="4">
        <f t="shared" si="1"/>
        <v>43034</v>
      </c>
      <c r="O5204" s="5" t="str">
        <f>IFERROR(__xludf.DUMMYFUNCTION("IF(REGEXMATCH(TRIM(I5204), ""^\d+\s*min""), ""Unclassified"", IF(I5204 = """", ""NR"", I5204))"),"R")</f>
        <v>R</v>
      </c>
      <c r="R5204" s="5" t="str">
        <f t="shared" si="2"/>
        <v>Strange Weather</v>
      </c>
      <c r="S5204" s="5" t="str">
        <f>IFERROR(__xludf.DUMMYFUNCTION("""COMPUTED_VALUE"""),"Omniscient")</f>
        <v>Omniscient</v>
      </c>
      <c r="V5204" s="5"/>
      <c r="Y5204" s="5" t="str">
        <f>IFERROR(__xludf.DUMMYFUNCTION("REGEXEXTRACT(J5204, ""^\d+"")"),"91")</f>
        <v>91</v>
      </c>
      <c r="Z5204" s="5" t="str">
        <f>IFERROR(__xludf.DUMMYFUNCTION("REGEXEXTRACT(J5204, ""[A-Za-z ]+$"")")," min")</f>
        <v> min</v>
      </c>
      <c r="AA5204" s="5" t="str">
        <f>IFERROR(__xludf.DUMMYFUNCTION("IF(REGEXMATCH(Z5204, ""Season""), ""TV Show"", ""Movie"")"),"Movie")</f>
        <v>Movie</v>
      </c>
    </row>
    <row r="5205">
      <c r="A5205" s="1" t="s">
        <v>26955</v>
      </c>
      <c r="B5205" s="1" t="s">
        <v>27</v>
      </c>
      <c r="C5205" s="1" t="s">
        <v>26956</v>
      </c>
      <c r="D5205" s="1" t="s">
        <v>2537</v>
      </c>
      <c r="E5205" s="1" t="s">
        <v>26957</v>
      </c>
      <c r="F5205" s="1" t="s">
        <v>30</v>
      </c>
      <c r="G5205" s="1" t="s">
        <v>26958</v>
      </c>
      <c r="H5205" s="1">
        <v>2015.0</v>
      </c>
      <c r="I5205" s="1" t="s">
        <v>378</v>
      </c>
      <c r="J5205" s="1" t="s">
        <v>21080</v>
      </c>
      <c r="K5205" s="1" t="s">
        <v>3531</v>
      </c>
      <c r="L5205" s="1" t="s">
        <v>26959</v>
      </c>
      <c r="M5205" s="2" t="s">
        <v>12</v>
      </c>
      <c r="N5205" s="4">
        <f t="shared" si="1"/>
        <v>43033</v>
      </c>
      <c r="O5205" s="5" t="str">
        <f>IFERROR(__xludf.DUMMYFUNCTION("IF(REGEXMATCH(TRIM(I5205), ""^\d+\s*min""), ""Unclassified"", IF(I5205 = """", ""NR"", I5205))"),"R")</f>
        <v>R</v>
      </c>
      <c r="R5205" s="5" t="str">
        <f t="shared" si="2"/>
        <v>The Hateful Eight</v>
      </c>
      <c r="S5205" s="5" t="str">
        <f>IFERROR(__xludf.DUMMYFUNCTION("""COMPUTED_VALUE"""),"Omo Ghetto: The Saga")</f>
        <v>Omo Ghetto: The Saga</v>
      </c>
      <c r="V5205" s="5"/>
      <c r="Y5205" s="5" t="str">
        <f>IFERROR(__xludf.DUMMYFUNCTION("REGEXEXTRACT(J5205, ""^\d+"")"),"168")</f>
        <v>168</v>
      </c>
      <c r="Z5205" s="5" t="str">
        <f>IFERROR(__xludf.DUMMYFUNCTION("REGEXEXTRACT(J5205, ""[A-Za-z ]+$"")")," min")</f>
        <v> min</v>
      </c>
      <c r="AA5205" s="5" t="str">
        <f>IFERROR(__xludf.DUMMYFUNCTION("IF(REGEXMATCH(Z5205, ""Season""), ""TV Show"", ""Movie"")"),"Movie")</f>
        <v>Movie</v>
      </c>
    </row>
    <row r="5206">
      <c r="A5206" s="1" t="s">
        <v>26960</v>
      </c>
      <c r="B5206" s="1" t="s">
        <v>27</v>
      </c>
      <c r="C5206" s="1" t="s">
        <v>26961</v>
      </c>
      <c r="D5206" s="1" t="s">
        <v>3785</v>
      </c>
      <c r="E5206" s="1" t="s">
        <v>12652</v>
      </c>
      <c r="F5206" s="1" t="s">
        <v>96</v>
      </c>
      <c r="G5206" s="1" t="s">
        <v>26962</v>
      </c>
      <c r="H5206" s="1">
        <v>2017.0</v>
      </c>
      <c r="I5206" s="1" t="s">
        <v>42</v>
      </c>
      <c r="J5206" s="1" t="s">
        <v>2626</v>
      </c>
      <c r="K5206" s="1" t="s">
        <v>1839</v>
      </c>
      <c r="L5206" s="1" t="s">
        <v>26963</v>
      </c>
      <c r="M5206" s="2" t="s">
        <v>12</v>
      </c>
      <c r="N5206" s="4">
        <f t="shared" si="1"/>
        <v>43032</v>
      </c>
      <c r="O5206" s="5" t="str">
        <f>IFERROR(__xludf.DUMMYFUNCTION("IF(REGEXMATCH(TRIM(I5206), ""^\d+\s*min""), ""Unclassified"", IF(I5206 = """", ""NR"", I5206))"),"TV-MA")</f>
        <v>TV-MA</v>
      </c>
      <c r="R5206" s="5" t="str">
        <f t="shared" si="2"/>
        <v>Jack Whitehall: At Large</v>
      </c>
      <c r="S5206" s="5" t="str">
        <f>IFERROR(__xludf.DUMMYFUNCTION("""COMPUTED_VALUE"""),"On Body And Soul")</f>
        <v>On Body And Soul</v>
      </c>
      <c r="V5206" s="5"/>
      <c r="Y5206" s="5" t="str">
        <f>IFERROR(__xludf.DUMMYFUNCTION("REGEXEXTRACT(J5206, ""^\d+"")"),"68")</f>
        <v>68</v>
      </c>
      <c r="Z5206" s="5" t="str">
        <f>IFERROR(__xludf.DUMMYFUNCTION("REGEXEXTRACT(J5206, ""[A-Za-z ]+$"")")," min")</f>
        <v> min</v>
      </c>
      <c r="AA5206" s="5" t="str">
        <f>IFERROR(__xludf.DUMMYFUNCTION("IF(REGEXMATCH(Z5206, ""Season""), ""TV Show"", ""Movie"")"),"Movie")</f>
        <v>Movie</v>
      </c>
    </row>
    <row r="5207">
      <c r="A5207" s="1" t="s">
        <v>26964</v>
      </c>
      <c r="B5207" s="1" t="s">
        <v>37</v>
      </c>
      <c r="C5207" s="1" t="s">
        <v>26965</v>
      </c>
      <c r="E5207" s="1" t="s">
        <v>26966</v>
      </c>
      <c r="F5207" s="1" t="s">
        <v>1979</v>
      </c>
      <c r="G5207" s="1" t="s">
        <v>26962</v>
      </c>
      <c r="H5207" s="1">
        <v>2017.0</v>
      </c>
      <c r="I5207" s="1" t="s">
        <v>42</v>
      </c>
      <c r="J5207" s="1" t="s">
        <v>51</v>
      </c>
      <c r="K5207" s="1" t="s">
        <v>71</v>
      </c>
      <c r="L5207" s="1" t="s">
        <v>26967</v>
      </c>
      <c r="M5207" s="2" t="s">
        <v>12</v>
      </c>
      <c r="N5207" s="4">
        <f t="shared" si="1"/>
        <v>43032</v>
      </c>
      <c r="O5207" s="5" t="str">
        <f>IFERROR(__xludf.DUMMYFUNCTION("IF(REGEXMATCH(TRIM(I5207), ""^\d+\s*min""), ""Unclassified"", IF(I5207 = """", ""NR"", I5207))"),"TV-MA")</f>
        <v>TV-MA</v>
      </c>
      <c r="R5207" s="5" t="str">
        <f t="shared" si="2"/>
        <v>The Mist</v>
      </c>
      <c r="S5207" s="5" t="str">
        <f>IFERROR(__xludf.DUMMYFUNCTION("""COMPUTED_VALUE"""),"On Children")</f>
        <v>On Children</v>
      </c>
      <c r="V5207" s="5"/>
      <c r="Y5207" s="5" t="str">
        <f>IFERROR(__xludf.DUMMYFUNCTION("REGEXEXTRACT(J5207, ""^\d+"")"),"1")</f>
        <v>1</v>
      </c>
      <c r="Z5207" s="5" t="str">
        <f>IFERROR(__xludf.DUMMYFUNCTION("REGEXEXTRACT(J5207, ""[A-Za-z ]+$"")")," Season")</f>
        <v> Season</v>
      </c>
      <c r="AA5207" s="5" t="str">
        <f>IFERROR(__xludf.DUMMYFUNCTION("IF(REGEXMATCH(Z5207, ""Season""), ""TV Show"", ""Movie"")"),"TV Show")</f>
        <v>TV Show</v>
      </c>
    </row>
    <row r="5208">
      <c r="A5208" s="1" t="s">
        <v>26968</v>
      </c>
      <c r="B5208" s="1" t="s">
        <v>37</v>
      </c>
      <c r="C5208" s="1" t="s">
        <v>26969</v>
      </c>
      <c r="E5208" s="1" t="s">
        <v>26970</v>
      </c>
      <c r="F5208" s="1" t="s">
        <v>96</v>
      </c>
      <c r="G5208" s="1" t="s">
        <v>26962</v>
      </c>
      <c r="H5208" s="1">
        <v>2017.0</v>
      </c>
      <c r="I5208" s="1" t="s">
        <v>42</v>
      </c>
      <c r="J5208" s="1" t="s">
        <v>276</v>
      </c>
      <c r="K5208" s="1" t="s">
        <v>22840</v>
      </c>
      <c r="L5208" s="1" t="s">
        <v>26971</v>
      </c>
      <c r="M5208" s="2" t="s">
        <v>12</v>
      </c>
      <c r="N5208" s="4">
        <f t="shared" si="1"/>
        <v>43032</v>
      </c>
      <c r="O5208" s="5" t="str">
        <f>IFERROR(__xludf.DUMMYFUNCTION("IF(REGEXMATCH(TRIM(I5208), ""^\d+\s*min""), ""Unclassified"", IF(I5208 = """", ""NR"", I5208))"),"TV-MA")</f>
        <v>TV-MA</v>
      </c>
      <c r="R5208" s="5" t="str">
        <f t="shared" si="2"/>
        <v>W1A</v>
      </c>
      <c r="S5208" s="5" t="str">
        <f>IFERROR(__xludf.DUMMYFUNCTION("""COMPUTED_VALUE"""),"On My Block")</f>
        <v>On My Block</v>
      </c>
      <c r="V5208" s="5"/>
      <c r="Y5208" s="5" t="str">
        <f>IFERROR(__xludf.DUMMYFUNCTION("REGEXEXTRACT(J5208, ""^\d+"")"),"3")</f>
        <v>3</v>
      </c>
      <c r="Z5208" s="5" t="str">
        <f>IFERROR(__xludf.DUMMYFUNCTION("REGEXEXTRACT(J5208, ""[A-Za-z ]+$"")")," Seasons")</f>
        <v> Seasons</v>
      </c>
      <c r="AA5208" s="5" t="str">
        <f>IFERROR(__xludf.DUMMYFUNCTION("IF(REGEXMATCH(Z5208, ""Season""), ""TV Show"", ""Movie"")"),"TV Show")</f>
        <v>TV Show</v>
      </c>
    </row>
    <row r="5209">
      <c r="A5209" s="1" t="s">
        <v>26972</v>
      </c>
      <c r="B5209" s="1" t="s">
        <v>27</v>
      </c>
      <c r="C5209" s="1">
        <v>1922.0</v>
      </c>
      <c r="D5209" s="1" t="s">
        <v>18586</v>
      </c>
      <c r="E5209" s="1" t="s">
        <v>26973</v>
      </c>
      <c r="F5209" s="1" t="s">
        <v>30</v>
      </c>
      <c r="G5209" s="1" t="s">
        <v>26974</v>
      </c>
      <c r="H5209" s="1">
        <v>2017.0</v>
      </c>
      <c r="I5209" s="1" t="s">
        <v>42</v>
      </c>
      <c r="J5209" s="1" t="s">
        <v>238</v>
      </c>
      <c r="K5209" s="1" t="s">
        <v>394</v>
      </c>
      <c r="L5209" s="1" t="s">
        <v>26975</v>
      </c>
      <c r="M5209" s="2" t="s">
        <v>12</v>
      </c>
      <c r="N5209" s="4">
        <f t="shared" si="1"/>
        <v>43028</v>
      </c>
      <c r="O5209" s="5" t="str">
        <f>IFERROR(__xludf.DUMMYFUNCTION("IF(REGEXMATCH(TRIM(I5209), ""^\d+\s*min""), ""Unclassified"", IF(I5209 = """", ""NR"", I5209))"),"TV-MA")</f>
        <v>TV-MA</v>
      </c>
      <c r="R5209" s="5" t="str">
        <f t="shared" si="2"/>
        <v>1922</v>
      </c>
      <c r="S5209" s="5" t="str">
        <f>IFERROR(__xludf.DUMMYFUNCTION("""COMPUTED_VALUE"""),"On My Skin")</f>
        <v>On My Skin</v>
      </c>
      <c r="V5209" s="5"/>
      <c r="Y5209" s="5" t="str">
        <f>IFERROR(__xludf.DUMMYFUNCTION("REGEXEXTRACT(J5209, ""^\d+"")"),"103")</f>
        <v>103</v>
      </c>
      <c r="Z5209" s="5" t="str">
        <f>IFERROR(__xludf.DUMMYFUNCTION("REGEXEXTRACT(J5209, ""[A-Za-z ]+$"")")," min")</f>
        <v> min</v>
      </c>
      <c r="AA5209" s="5" t="str">
        <f>IFERROR(__xludf.DUMMYFUNCTION("IF(REGEXMATCH(Z5209, ""Season""), ""TV Show"", ""Movie"")"),"Movie")</f>
        <v>Movie</v>
      </c>
    </row>
    <row r="5210">
      <c r="A5210" s="1" t="s">
        <v>26976</v>
      </c>
      <c r="B5210" s="1" t="s">
        <v>37</v>
      </c>
      <c r="C5210" s="1" t="s">
        <v>26977</v>
      </c>
      <c r="E5210" s="1" t="s">
        <v>26978</v>
      </c>
      <c r="F5210" s="1" t="s">
        <v>30</v>
      </c>
      <c r="G5210" s="1" t="s">
        <v>26974</v>
      </c>
      <c r="H5210" s="1">
        <v>2017.0</v>
      </c>
      <c r="I5210" s="1" t="s">
        <v>136</v>
      </c>
      <c r="J5210" s="1" t="s">
        <v>43</v>
      </c>
      <c r="K5210" s="1" t="s">
        <v>7987</v>
      </c>
      <c r="L5210" s="1" t="s">
        <v>26979</v>
      </c>
      <c r="M5210" s="2" t="s">
        <v>12</v>
      </c>
      <c r="N5210" s="4">
        <f t="shared" si="1"/>
        <v>43028</v>
      </c>
      <c r="O5210" s="5" t="str">
        <f>IFERROR(__xludf.DUMMYFUNCTION("IF(REGEXMATCH(TRIM(I5210), ""^\d+\s*min""), ""Unclassified"", IF(I5210 = """", ""NR"", I5210))"),"TV-PG")</f>
        <v>TV-PG</v>
      </c>
      <c r="R5210" s="5" t="str">
        <f t="shared" si="2"/>
        <v>Haters Back Off</v>
      </c>
      <c r="S5210" s="5" t="str">
        <f>IFERROR(__xludf.DUMMYFUNCTION("""COMPUTED_VALUE"""),"On The Real")</f>
        <v>On The Real</v>
      </c>
      <c r="V5210" s="5"/>
      <c r="Y5210" s="5" t="str">
        <f>IFERROR(__xludf.DUMMYFUNCTION("REGEXEXTRACT(J5210, ""^\d+"")"),"2")</f>
        <v>2</v>
      </c>
      <c r="Z5210" s="5" t="str">
        <f>IFERROR(__xludf.DUMMYFUNCTION("REGEXEXTRACT(J5210, ""[A-Za-z ]+$"")")," Seasons")</f>
        <v> Seasons</v>
      </c>
      <c r="AA5210" s="5" t="str">
        <f>IFERROR(__xludf.DUMMYFUNCTION("IF(REGEXMATCH(Z5210, ""Season""), ""TV Show"", ""Movie"")"),"TV Show")</f>
        <v>TV Show</v>
      </c>
    </row>
    <row r="5211">
      <c r="A5211" s="1" t="s">
        <v>26980</v>
      </c>
      <c r="B5211" s="1" t="s">
        <v>27</v>
      </c>
      <c r="C5211" s="1" t="s">
        <v>26981</v>
      </c>
      <c r="D5211" s="1" t="s">
        <v>9210</v>
      </c>
      <c r="F5211" s="1" t="s">
        <v>30</v>
      </c>
      <c r="G5211" s="1" t="s">
        <v>26974</v>
      </c>
      <c r="H5211" s="1">
        <v>2017.0</v>
      </c>
      <c r="I5211" s="1" t="s">
        <v>97</v>
      </c>
      <c r="J5211" s="1" t="s">
        <v>465</v>
      </c>
      <c r="K5211" s="1" t="s">
        <v>34</v>
      </c>
      <c r="L5211" s="1" t="s">
        <v>26982</v>
      </c>
      <c r="M5211" s="2" t="s">
        <v>12</v>
      </c>
      <c r="N5211" s="4">
        <f t="shared" si="1"/>
        <v>43028</v>
      </c>
      <c r="O5211" s="5" t="str">
        <f>IFERROR(__xludf.DUMMYFUNCTION("IF(REGEXMATCH(TRIM(I5211), ""^\d+\s*min""), ""Unclassified"", IF(I5211 = """", ""NR"", I5211))"),"TV-14")</f>
        <v>TV-14</v>
      </c>
      <c r="R5211" s="5" t="str">
        <f t="shared" si="2"/>
        <v>One Of Us</v>
      </c>
      <c r="S5211" s="5" t="str">
        <f>IFERROR(__xludf.DUMMYFUNCTION("""COMPUTED_VALUE"""),"On The Verge")</f>
        <v>On The Verge</v>
      </c>
      <c r="V5211" s="5"/>
      <c r="Y5211" s="5" t="str">
        <f>IFERROR(__xludf.DUMMYFUNCTION("REGEXEXTRACT(J5211, ""^\d+"")"),"95")</f>
        <v>95</v>
      </c>
      <c r="Z5211" s="5" t="str">
        <f>IFERROR(__xludf.DUMMYFUNCTION("REGEXEXTRACT(J5211, ""[A-Za-z ]+$"")")," min")</f>
        <v> min</v>
      </c>
      <c r="AA5211" s="5" t="str">
        <f>IFERROR(__xludf.DUMMYFUNCTION("IF(REGEXMATCH(Z5211, ""Season""), ""TV Show"", ""Movie"")"),"Movie")</f>
        <v>Movie</v>
      </c>
    </row>
    <row r="5212">
      <c r="A5212" s="1" t="s">
        <v>26983</v>
      </c>
      <c r="B5212" s="1" t="s">
        <v>37</v>
      </c>
      <c r="C5212" s="1" t="s">
        <v>26984</v>
      </c>
      <c r="E5212" s="1" t="s">
        <v>26985</v>
      </c>
      <c r="F5212" s="1" t="s">
        <v>30</v>
      </c>
      <c r="G5212" s="1" t="s">
        <v>26974</v>
      </c>
      <c r="H5212" s="1">
        <v>2017.0</v>
      </c>
      <c r="I5212" s="1" t="s">
        <v>42</v>
      </c>
      <c r="J5212" s="1" t="s">
        <v>51</v>
      </c>
      <c r="K5212" s="1" t="s">
        <v>112</v>
      </c>
      <c r="L5212" s="1" t="s">
        <v>26986</v>
      </c>
      <c r="M5212" s="2" t="s">
        <v>12</v>
      </c>
      <c r="N5212" s="4">
        <f t="shared" si="1"/>
        <v>43028</v>
      </c>
      <c r="O5212" s="5" t="str">
        <f>IFERROR(__xludf.DUMMYFUNCTION("IF(REGEXMATCH(TRIM(I5212), ""^\d+\s*min""), ""Unclassified"", IF(I5212 = """", ""NR"", I5212))"),"TV-MA")</f>
        <v>TV-MA</v>
      </c>
      <c r="R5212" s="5" t="str">
        <f t="shared" si="2"/>
        <v>The Day I Met El Chapo</v>
      </c>
      <c r="S5212" s="5" t="str">
        <f>IFERROR(__xludf.DUMMYFUNCTION("""COMPUTED_VALUE"""),"On The Wrong Track")</f>
        <v>On The Wrong Track</v>
      </c>
      <c r="V5212" s="5"/>
      <c r="Y5212" s="5" t="str">
        <f>IFERROR(__xludf.DUMMYFUNCTION("REGEXEXTRACT(J5212, ""^\d+"")"),"1")</f>
        <v>1</v>
      </c>
      <c r="Z5212" s="5" t="str">
        <f>IFERROR(__xludf.DUMMYFUNCTION("REGEXEXTRACT(J5212, ""[A-Za-z ]+$"")")," Season")</f>
        <v> Season</v>
      </c>
      <c r="AA5212" s="5" t="str">
        <f>IFERROR(__xludf.DUMMYFUNCTION("IF(REGEXMATCH(Z5212, ""Season""), ""TV Show"", ""Movie"")"),"TV Show")</f>
        <v>TV Show</v>
      </c>
    </row>
    <row r="5213">
      <c r="A5213" s="1" t="s">
        <v>26987</v>
      </c>
      <c r="B5213" s="1" t="s">
        <v>27</v>
      </c>
      <c r="C5213" s="1" t="s">
        <v>26988</v>
      </c>
      <c r="D5213" s="1" t="s">
        <v>10824</v>
      </c>
      <c r="E5213" s="1" t="s">
        <v>26989</v>
      </c>
      <c r="F5213" s="1" t="s">
        <v>30</v>
      </c>
      <c r="G5213" s="1" t="s">
        <v>26974</v>
      </c>
      <c r="H5213" s="1">
        <v>2017.0</v>
      </c>
      <c r="I5213" s="1" t="s">
        <v>42</v>
      </c>
      <c r="J5213" s="1" t="s">
        <v>1001</v>
      </c>
      <c r="K5213" s="1" t="s">
        <v>380</v>
      </c>
      <c r="L5213" s="1" t="s">
        <v>26990</v>
      </c>
      <c r="M5213" s="2" t="s">
        <v>12</v>
      </c>
      <c r="N5213" s="4">
        <f t="shared" si="1"/>
        <v>43028</v>
      </c>
      <c r="O5213" s="5" t="str">
        <f>IFERROR(__xludf.DUMMYFUNCTION("IF(REGEXMATCH(TRIM(I5213), ""^\d+\s*min""), ""Unclassified"", IF(I5213 = """", ""NR"", I5213))"),"TV-MA")</f>
        <v>TV-MA</v>
      </c>
      <c r="R5213" s="5" t="str">
        <f t="shared" si="2"/>
        <v>Wheelman</v>
      </c>
      <c r="S5213" s="5" t="str">
        <f>IFERROR(__xludf.DUMMYFUNCTION("""COMPUTED_VALUE"""),"On Yoga The Architecture Of Peace")</f>
        <v>On Yoga The Architecture Of Peace</v>
      </c>
      <c r="V5213" s="5"/>
      <c r="Y5213" s="5" t="str">
        <f>IFERROR(__xludf.DUMMYFUNCTION("REGEXEXTRACT(J5213, ""^\d+"")"),"82")</f>
        <v>82</v>
      </c>
      <c r="Z5213" s="5" t="str">
        <f>IFERROR(__xludf.DUMMYFUNCTION("REGEXEXTRACT(J5213, ""[A-Za-z ]+$"")")," min")</f>
        <v> min</v>
      </c>
      <c r="AA5213" s="5" t="str">
        <f>IFERROR(__xludf.DUMMYFUNCTION("IF(REGEXMATCH(Z5213, ""Season""), ""TV Show"", ""Movie"")"),"Movie")</f>
        <v>Movie</v>
      </c>
    </row>
    <row r="5214">
      <c r="A5214" s="1" t="s">
        <v>26991</v>
      </c>
      <c r="B5214" s="1" t="s">
        <v>27</v>
      </c>
      <c r="C5214" s="1" t="s">
        <v>26992</v>
      </c>
      <c r="D5214" s="1" t="s">
        <v>18962</v>
      </c>
      <c r="E5214" s="1" t="s">
        <v>26993</v>
      </c>
      <c r="F5214" s="1" t="s">
        <v>664</v>
      </c>
      <c r="G5214" s="1" t="s">
        <v>26994</v>
      </c>
      <c r="H5214" s="1">
        <v>2017.0</v>
      </c>
      <c r="I5214" s="1" t="s">
        <v>42</v>
      </c>
      <c r="J5214" s="1" t="s">
        <v>170</v>
      </c>
      <c r="K5214" s="1" t="s">
        <v>215</v>
      </c>
      <c r="L5214" s="1" t="s">
        <v>26995</v>
      </c>
      <c r="M5214" s="2" t="s">
        <v>12</v>
      </c>
      <c r="N5214" s="4">
        <f t="shared" si="1"/>
        <v>43027</v>
      </c>
      <c r="O5214" s="5" t="str">
        <f>IFERROR(__xludf.DUMMYFUNCTION("IF(REGEXMATCH(TRIM(I5214), ""^\d+\s*min""), ""Unclassified"", IF(I5214 = """", ""NR"", I5214))"),"TV-MA")</f>
        <v>TV-MA</v>
      </c>
      <c r="R5214" s="5" t="str">
        <f t="shared" si="2"/>
        <v>Wedding Unplanned</v>
      </c>
      <c r="S5214" s="5" t="str">
        <f>IFERROR(__xludf.DUMMYFUNCTION("""COMPUTED_VALUE"""),"Onaatah")</f>
        <v>Onaatah</v>
      </c>
      <c r="V5214" s="5"/>
      <c r="Y5214" s="5" t="str">
        <f>IFERROR(__xludf.DUMMYFUNCTION("REGEXEXTRACT(J5214, ""^\d+"")"),"94")</f>
        <v>94</v>
      </c>
      <c r="Z5214" s="5" t="str">
        <f>IFERROR(__xludf.DUMMYFUNCTION("REGEXEXTRACT(J5214, ""[A-Za-z ]+$"")")," min")</f>
        <v> min</v>
      </c>
      <c r="AA5214" s="5" t="str">
        <f>IFERROR(__xludf.DUMMYFUNCTION("IF(REGEXMATCH(Z5214, ""Season""), ""TV Show"", ""Movie"")"),"Movie")</f>
        <v>Movie</v>
      </c>
    </row>
    <row r="5215">
      <c r="A5215" s="1" t="s">
        <v>26996</v>
      </c>
      <c r="B5215" s="1" t="s">
        <v>27</v>
      </c>
      <c r="C5215" s="1" t="s">
        <v>26997</v>
      </c>
      <c r="D5215" s="1" t="s">
        <v>3562</v>
      </c>
      <c r="E5215" s="1" t="s">
        <v>26998</v>
      </c>
      <c r="F5215" s="1" t="s">
        <v>30</v>
      </c>
      <c r="G5215" s="1" t="s">
        <v>26999</v>
      </c>
      <c r="H5215" s="1">
        <v>2017.0</v>
      </c>
      <c r="I5215" s="1" t="s">
        <v>42</v>
      </c>
      <c r="J5215" s="1" t="s">
        <v>2636</v>
      </c>
      <c r="K5215" s="1" t="s">
        <v>1839</v>
      </c>
      <c r="L5215" s="1" t="s">
        <v>27000</v>
      </c>
      <c r="M5215" s="2" t="s">
        <v>12</v>
      </c>
      <c r="N5215" s="4">
        <f t="shared" si="1"/>
        <v>43025</v>
      </c>
      <c r="O5215" s="5" t="str">
        <f>IFERROR(__xludf.DUMMYFUNCTION("IF(REGEXMATCH(TRIM(I5215), ""^\d+\s*min""), ""Unclassified"", IF(I5215 = """", ""NR"", I5215))"),"TV-MA")</f>
        <v>TV-MA</v>
      </c>
      <c r="R5215" s="5" t="str">
        <f t="shared" si="2"/>
        <v>Patton Oswalt: Annihilation</v>
      </c>
      <c r="S5215" s="5" t="str">
        <f>IFERROR(__xludf.DUMMYFUNCTION("""COMPUTED_VALUE"""),"Once A Gangster")</f>
        <v>Once A Gangster</v>
      </c>
      <c r="V5215" s="5"/>
      <c r="Y5215" s="5" t="str">
        <f>IFERROR(__xludf.DUMMYFUNCTION("REGEXEXTRACT(J5215, ""^\d+"")"),"66")</f>
        <v>66</v>
      </c>
      <c r="Z5215" s="5" t="str">
        <f>IFERROR(__xludf.DUMMYFUNCTION("REGEXEXTRACT(J5215, ""[A-Za-z ]+$"")")," min")</f>
        <v> min</v>
      </c>
      <c r="AA5215" s="5" t="str">
        <f>IFERROR(__xludf.DUMMYFUNCTION("IF(REGEXMATCH(Z5215, ""Season""), ""TV Show"", ""Movie"")"),"Movie")</f>
        <v>Movie</v>
      </c>
    </row>
    <row r="5216">
      <c r="A5216" s="1" t="s">
        <v>27001</v>
      </c>
      <c r="B5216" s="1" t="s">
        <v>27</v>
      </c>
      <c r="C5216" s="1" t="s">
        <v>27002</v>
      </c>
      <c r="D5216" s="1" t="s">
        <v>1426</v>
      </c>
      <c r="E5216" s="1" t="s">
        <v>27003</v>
      </c>
      <c r="F5216" s="1" t="s">
        <v>63</v>
      </c>
      <c r="G5216" s="1" t="s">
        <v>27004</v>
      </c>
      <c r="H5216" s="1">
        <v>2017.0</v>
      </c>
      <c r="I5216" s="1" t="s">
        <v>97</v>
      </c>
      <c r="J5216" s="1" t="s">
        <v>1369</v>
      </c>
      <c r="K5216" s="1" t="s">
        <v>1066</v>
      </c>
      <c r="L5216" s="1" t="s">
        <v>27005</v>
      </c>
      <c r="M5216" s="2" t="s">
        <v>12</v>
      </c>
      <c r="N5216" s="4">
        <f t="shared" si="1"/>
        <v>43024</v>
      </c>
      <c r="O5216" s="5" t="str">
        <f>IFERROR(__xludf.DUMMYFUNCTION("IF(REGEXMATCH(TRIM(I5216), ""^\d+\s*min""), ""Unclassified"", IF(I5216 = """", ""NR"", I5216))"),"TV-14")</f>
        <v>TV-14</v>
      </c>
      <c r="R5216" s="5" t="str">
        <f t="shared" si="2"/>
        <v>Baadshaho</v>
      </c>
      <c r="S5216" s="5" t="str">
        <f>IFERROR(__xludf.DUMMYFUNCTION("""COMPUTED_VALUE"""),"Once Again")</f>
        <v>Once Again</v>
      </c>
      <c r="V5216" s="5"/>
      <c r="Y5216" s="5" t="str">
        <f>IFERROR(__xludf.DUMMYFUNCTION("REGEXEXTRACT(J5216, ""^\d+"")"),"135")</f>
        <v>135</v>
      </c>
      <c r="Z5216" s="5" t="str">
        <f>IFERROR(__xludf.DUMMYFUNCTION("REGEXEXTRACT(J5216, ""[A-Za-z ]+$"")")," min")</f>
        <v> min</v>
      </c>
      <c r="AA5216" s="5" t="str">
        <f>IFERROR(__xludf.DUMMYFUNCTION("IF(REGEXMATCH(Z5216, ""Season""), ""TV Show"", ""Movie"")"),"Movie")</f>
        <v>Movie</v>
      </c>
    </row>
    <row r="5217">
      <c r="A5217" s="1" t="s">
        <v>27006</v>
      </c>
      <c r="B5217" s="1" t="s">
        <v>37</v>
      </c>
      <c r="C5217" s="1" t="s">
        <v>27007</v>
      </c>
      <c r="E5217" s="1" t="s">
        <v>27008</v>
      </c>
      <c r="G5217" s="1" t="s">
        <v>27004</v>
      </c>
      <c r="H5217" s="1">
        <v>2016.0</v>
      </c>
      <c r="I5217" s="1" t="s">
        <v>136</v>
      </c>
      <c r="J5217" s="1" t="s">
        <v>51</v>
      </c>
      <c r="K5217" s="1" t="s">
        <v>1907</v>
      </c>
      <c r="L5217" s="1" t="s">
        <v>27009</v>
      </c>
      <c r="M5217" s="2" t="s">
        <v>12</v>
      </c>
      <c r="N5217" s="4">
        <f t="shared" si="1"/>
        <v>43024</v>
      </c>
      <c r="O5217" s="5" t="str">
        <f>IFERROR(__xludf.DUMMYFUNCTION("IF(REGEXMATCH(TRIM(I5217), ""^\d+\s*min""), ""Unclassified"", IF(I5217 = """", ""NR"", I5217))"),"TV-PG")</f>
        <v>TV-PG</v>
      </c>
      <c r="R5217" s="5" t="str">
        <f t="shared" si="2"/>
        <v>In Laws</v>
      </c>
      <c r="S5217" s="5" t="str">
        <f>IFERROR(__xludf.DUMMYFUNCTION("""COMPUTED_VALUE"""),"Once In A Lifetime Sessions With George Ezra")</f>
        <v>Once In A Lifetime Sessions With George Ezra</v>
      </c>
      <c r="V5217" s="5"/>
      <c r="Y5217" s="5" t="str">
        <f>IFERROR(__xludf.DUMMYFUNCTION("REGEXEXTRACT(J5217, ""^\d+"")"),"1")</f>
        <v>1</v>
      </c>
      <c r="Z5217" s="5" t="str">
        <f>IFERROR(__xludf.DUMMYFUNCTION("REGEXEXTRACT(J5217, ""[A-Za-z ]+$"")")," Season")</f>
        <v> Season</v>
      </c>
      <c r="AA5217" s="5" t="str">
        <f>IFERROR(__xludf.DUMMYFUNCTION("IF(REGEXMATCH(Z5217, ""Season""), ""TV Show"", ""Movie"")"),"TV Show")</f>
        <v>TV Show</v>
      </c>
    </row>
    <row r="5218">
      <c r="A5218" s="1" t="s">
        <v>27010</v>
      </c>
      <c r="B5218" s="1" t="s">
        <v>37</v>
      </c>
      <c r="C5218" s="1" t="s">
        <v>27011</v>
      </c>
      <c r="E5218" s="1" t="s">
        <v>27012</v>
      </c>
      <c r="G5218" s="1" t="s">
        <v>27004</v>
      </c>
      <c r="H5218" s="1">
        <v>2012.0</v>
      </c>
      <c r="I5218" s="1" t="s">
        <v>97</v>
      </c>
      <c r="J5218" s="1" t="s">
        <v>51</v>
      </c>
      <c r="K5218" s="1" t="s">
        <v>64</v>
      </c>
      <c r="L5218" s="1" t="s">
        <v>27013</v>
      </c>
      <c r="M5218" s="2" t="s">
        <v>12</v>
      </c>
      <c r="N5218" s="4">
        <f t="shared" si="1"/>
        <v>43024</v>
      </c>
      <c r="O5218" s="5" t="str">
        <f>IFERROR(__xludf.DUMMYFUNCTION("IF(REGEXMATCH(TRIM(I5218), ""^\d+\s*min""), ""Unclassified"", IF(I5218 = """", ""NR"", I5218))"),"TV-14")</f>
        <v>TV-14</v>
      </c>
      <c r="R5218" s="5" t="str">
        <f t="shared" si="2"/>
        <v>Laws Of Attraction</v>
      </c>
      <c r="S5218" s="5" t="str">
        <f>IFERROR(__xludf.DUMMYFUNCTION("""COMPUTED_VALUE"""),"Once In A Lifetime Sessions With Kasabian")</f>
        <v>Once In A Lifetime Sessions With Kasabian</v>
      </c>
      <c r="V5218" s="5"/>
      <c r="Y5218" s="5" t="str">
        <f>IFERROR(__xludf.DUMMYFUNCTION("REGEXEXTRACT(J5218, ""^\d+"")"),"1")</f>
        <v>1</v>
      </c>
      <c r="Z5218" s="5" t="str">
        <f>IFERROR(__xludf.DUMMYFUNCTION("REGEXEXTRACT(J5218, ""[A-Za-z ]+$"")")," Season")</f>
        <v> Season</v>
      </c>
      <c r="AA5218" s="5" t="str">
        <f>IFERROR(__xludf.DUMMYFUNCTION("IF(REGEXMATCH(Z5218, ""Season""), ""TV Show"", ""Movie"")"),"TV Show")</f>
        <v>TV Show</v>
      </c>
    </row>
    <row r="5219">
      <c r="A5219" s="1" t="s">
        <v>27014</v>
      </c>
      <c r="B5219" s="1" t="s">
        <v>27</v>
      </c>
      <c r="C5219" s="1" t="s">
        <v>27015</v>
      </c>
      <c r="D5219" s="1" t="s">
        <v>18843</v>
      </c>
      <c r="E5219" s="1" t="s">
        <v>27016</v>
      </c>
      <c r="F5219" s="1" t="s">
        <v>63</v>
      </c>
      <c r="G5219" s="1" t="s">
        <v>27004</v>
      </c>
      <c r="H5219" s="1">
        <v>2017.0</v>
      </c>
      <c r="I5219" s="1" t="s">
        <v>97</v>
      </c>
      <c r="J5219" s="1" t="s">
        <v>14942</v>
      </c>
      <c r="K5219" s="1" t="s">
        <v>1429</v>
      </c>
      <c r="L5219" s="1" t="s">
        <v>27017</v>
      </c>
      <c r="M5219" s="2" t="s">
        <v>12</v>
      </c>
      <c r="N5219" s="4">
        <f t="shared" si="1"/>
        <v>43024</v>
      </c>
      <c r="O5219" s="5" t="str">
        <f>IFERROR(__xludf.DUMMYFUNCTION("IF(REGEXMATCH(TRIM(I5219), ""^\d+\s*min""), ""Unclassified"", IF(I5219 = """", ""NR"", I5219))"),"TV-14")</f>
        <v>TV-14</v>
      </c>
      <c r="R5219" s="5" t="str">
        <f t="shared" si="2"/>
        <v>Lucknow Central</v>
      </c>
      <c r="S5219" s="5" t="str">
        <f>IFERROR(__xludf.DUMMYFUNCTION("""COMPUTED_VALUE"""),"Once In A Lifetime Sessions With Moby")</f>
        <v>Once In A Lifetime Sessions With Moby</v>
      </c>
      <c r="V5219" s="5"/>
      <c r="Y5219" s="5" t="str">
        <f>IFERROR(__xludf.DUMMYFUNCTION("REGEXEXTRACT(J5219, ""^\d+"")"),"144")</f>
        <v>144</v>
      </c>
      <c r="Z5219" s="5" t="str">
        <f>IFERROR(__xludf.DUMMYFUNCTION("REGEXEXTRACT(J5219, ""[A-Za-z ]+$"")")," min")</f>
        <v> min</v>
      </c>
      <c r="AA5219" s="5" t="str">
        <f>IFERROR(__xludf.DUMMYFUNCTION("IF(REGEXMATCH(Z5219, ""Season""), ""TV Show"", ""Movie"")"),"Movie")</f>
        <v>Movie</v>
      </c>
    </row>
    <row r="5220">
      <c r="A5220" s="1" t="s">
        <v>27018</v>
      </c>
      <c r="B5220" s="1" t="s">
        <v>27</v>
      </c>
      <c r="C5220" s="1" t="s">
        <v>27019</v>
      </c>
      <c r="D5220" s="1" t="s">
        <v>6173</v>
      </c>
      <c r="E5220" s="1" t="s">
        <v>27020</v>
      </c>
      <c r="F5220" s="1" t="s">
        <v>2715</v>
      </c>
      <c r="G5220" s="1" t="s">
        <v>27021</v>
      </c>
      <c r="H5220" s="1">
        <v>2015.0</v>
      </c>
      <c r="I5220" s="1" t="s">
        <v>42</v>
      </c>
      <c r="J5220" s="1" t="s">
        <v>33</v>
      </c>
      <c r="K5220" s="1" t="s">
        <v>156</v>
      </c>
      <c r="L5220" s="1" t="s">
        <v>27022</v>
      </c>
      <c r="M5220" s="2" t="s">
        <v>12</v>
      </c>
      <c r="N5220" s="4">
        <f t="shared" si="1"/>
        <v>43023</v>
      </c>
      <c r="O5220" s="5" t="str">
        <f>IFERROR(__xludf.DUMMYFUNCTION("IF(REGEXMATCH(TRIM(I5220), ""^\d+\s*min""), ""Unclassified"", IF(I5220 = """", ""NR"", I5220))"),"TV-MA")</f>
        <v>TV-MA</v>
      </c>
      <c r="R5220" s="5" t="str">
        <f t="shared" si="2"/>
        <v>Belief: The Possession Of Janet Moses</v>
      </c>
      <c r="S5220" s="5" t="str">
        <f>IFERROR(__xludf.DUMMYFUNCTION("""COMPUTED_VALUE"""),"Once In A Lifetime Sessions With Nile Rodgers")</f>
        <v>Once In A Lifetime Sessions With Nile Rodgers</v>
      </c>
      <c r="V5220" s="5"/>
      <c r="Y5220" s="5" t="str">
        <f>IFERROR(__xludf.DUMMYFUNCTION("REGEXEXTRACT(J5220, ""^\d+"")"),"90")</f>
        <v>90</v>
      </c>
      <c r="Z5220" s="5" t="str">
        <f>IFERROR(__xludf.DUMMYFUNCTION("REGEXEXTRACT(J5220, ""[A-Za-z ]+$"")")," min")</f>
        <v> min</v>
      </c>
      <c r="AA5220" s="5" t="str">
        <f>IFERROR(__xludf.DUMMYFUNCTION("IF(REGEXMATCH(Z5220, ""Season""), ""TV Show"", ""Movie"")"),"Movie")</f>
        <v>Movie</v>
      </c>
    </row>
    <row r="5221">
      <c r="A5221" s="1" t="s">
        <v>27023</v>
      </c>
      <c r="B5221" s="1" t="s">
        <v>37</v>
      </c>
      <c r="C5221" s="1" t="s">
        <v>27024</v>
      </c>
      <c r="E5221" s="1" t="s">
        <v>27025</v>
      </c>
      <c r="F5221" s="1" t="s">
        <v>664</v>
      </c>
      <c r="G5221" s="1" t="s">
        <v>27021</v>
      </c>
      <c r="H5221" s="1">
        <v>2017.0</v>
      </c>
      <c r="I5221" s="1" t="s">
        <v>206</v>
      </c>
      <c r="J5221" s="1" t="s">
        <v>51</v>
      </c>
      <c r="K5221" s="1" t="s">
        <v>290</v>
      </c>
      <c r="L5221" s="1" t="s">
        <v>27026</v>
      </c>
      <c r="M5221" s="2" t="s">
        <v>12</v>
      </c>
      <c r="N5221" s="4">
        <f t="shared" si="1"/>
        <v>43023</v>
      </c>
      <c r="O5221" s="5" t="str">
        <f>IFERROR(__xludf.DUMMYFUNCTION("IF(REGEXMATCH(TRIM(I5221), ""^\d+\s*min""), ""Unclassified"", IF(I5221 = """", ""NR"", I5221))"),"TV-Y")</f>
        <v>TV-Y</v>
      </c>
      <c r="R5221" s="5" t="str">
        <f t="shared" si="2"/>
        <v>Seven And Me</v>
      </c>
      <c r="S5221" s="5" t="str">
        <f>IFERROR(__xludf.DUMMYFUNCTION("""COMPUTED_VALUE"""),"Once In A Lifetime Sessions With Noel Gallagher")</f>
        <v>Once In A Lifetime Sessions With Noel Gallagher</v>
      </c>
      <c r="V5221" s="5"/>
      <c r="Y5221" s="5" t="str">
        <f>IFERROR(__xludf.DUMMYFUNCTION("REGEXEXTRACT(J5221, ""^\d+"")"),"1")</f>
        <v>1</v>
      </c>
      <c r="Z5221" s="5" t="str">
        <f>IFERROR(__xludf.DUMMYFUNCTION("REGEXEXTRACT(J5221, ""[A-Za-z ]+$"")")," Season")</f>
        <v> Season</v>
      </c>
      <c r="AA5221" s="5" t="str">
        <f>IFERROR(__xludf.DUMMYFUNCTION("IF(REGEXMATCH(Z5221, ""Season""), ""TV Show"", ""Movie"")"),"TV Show")</f>
        <v>TV Show</v>
      </c>
    </row>
    <row r="5222">
      <c r="A5222" s="1" t="s">
        <v>27027</v>
      </c>
      <c r="B5222" s="1" t="s">
        <v>27</v>
      </c>
      <c r="C5222" s="1" t="s">
        <v>9219</v>
      </c>
      <c r="D5222" s="1" t="s">
        <v>20865</v>
      </c>
      <c r="E5222" s="1" t="s">
        <v>27028</v>
      </c>
      <c r="F5222" s="1" t="s">
        <v>27029</v>
      </c>
      <c r="G5222" s="1" t="s">
        <v>27021</v>
      </c>
      <c r="H5222" s="1">
        <v>1960.0</v>
      </c>
      <c r="I5222" s="1" t="s">
        <v>136</v>
      </c>
      <c r="J5222" s="1" t="s">
        <v>6611</v>
      </c>
      <c r="K5222" s="1" t="s">
        <v>583</v>
      </c>
      <c r="L5222" s="1" t="s">
        <v>27030</v>
      </c>
      <c r="M5222" s="2" t="s">
        <v>12</v>
      </c>
      <c r="N5222" s="4">
        <f t="shared" si="1"/>
        <v>43023</v>
      </c>
      <c r="O5222" s="5" t="str">
        <f>IFERROR(__xludf.DUMMYFUNCTION("IF(REGEXMATCH(TRIM(I5222), ""^\d+\s*min""), ""Unclassified"", IF(I5222 = """", ""NR"", I5222))"),"TV-PG")</f>
        <v>TV-PG</v>
      </c>
      <c r="R5222" s="5" t="str">
        <f t="shared" si="2"/>
        <v>Singapore</v>
      </c>
      <c r="S5222" s="5" t="str">
        <f>IFERROR(__xludf.DUMMYFUNCTION("""COMPUTED_VALUE"""),"Once In A Lifetime Sessions With Onerepublic")</f>
        <v>Once In A Lifetime Sessions With Onerepublic</v>
      </c>
      <c r="V5222" s="5"/>
      <c r="Y5222" s="5" t="str">
        <f>IFERROR(__xludf.DUMMYFUNCTION("REGEXEXTRACT(J5222, ""^\d+"")"),"158")</f>
        <v>158</v>
      </c>
      <c r="Z5222" s="5" t="str">
        <f>IFERROR(__xludf.DUMMYFUNCTION("REGEXEXTRACT(J5222, ""[A-Za-z ]+$"")")," min")</f>
        <v> min</v>
      </c>
      <c r="AA5222" s="5" t="str">
        <f>IFERROR(__xludf.DUMMYFUNCTION("IF(REGEXMATCH(Z5222, ""Season""), ""TV Show"", ""Movie"")"),"Movie")</f>
        <v>Movie</v>
      </c>
    </row>
    <row r="5223">
      <c r="A5223" s="1" t="s">
        <v>27031</v>
      </c>
      <c r="B5223" s="1" t="s">
        <v>37</v>
      </c>
      <c r="C5223" s="1" t="s">
        <v>27032</v>
      </c>
      <c r="E5223" s="1" t="s">
        <v>27033</v>
      </c>
      <c r="F5223" s="1" t="s">
        <v>30</v>
      </c>
      <c r="G5223" s="1" t="s">
        <v>27021</v>
      </c>
      <c r="H5223" s="1">
        <v>2015.0</v>
      </c>
      <c r="I5223" s="1" t="s">
        <v>506</v>
      </c>
      <c r="J5223" s="1" t="s">
        <v>439</v>
      </c>
      <c r="K5223" s="1" t="s">
        <v>57</v>
      </c>
      <c r="L5223" s="1" t="s">
        <v>27034</v>
      </c>
      <c r="M5223" s="2" t="s">
        <v>12</v>
      </c>
      <c r="N5223" s="4">
        <f t="shared" si="1"/>
        <v>43023</v>
      </c>
      <c r="O5223" s="5" t="str">
        <f>IFERROR(__xludf.DUMMYFUNCTION("IF(REGEXMATCH(TRIM(I5223), ""^\d+\s*min""), ""Unclassified"", IF(I5223 = """", ""NR"", I5223))"),"TV-G")</f>
        <v>TV-G</v>
      </c>
      <c r="R5223" s="5" t="str">
        <f t="shared" si="2"/>
        <v>West Coast Customs</v>
      </c>
      <c r="S5223" s="5" t="str">
        <f>IFERROR(__xludf.DUMMYFUNCTION("""COMPUTED_VALUE"""),"Once In A Lifetime Sessions With Snow Patrol")</f>
        <v>Once In A Lifetime Sessions With Snow Patrol</v>
      </c>
      <c r="V5223" s="5"/>
      <c r="Y5223" s="5" t="str">
        <f>IFERROR(__xludf.DUMMYFUNCTION("REGEXEXTRACT(J5223, ""^\d+"")"),"6")</f>
        <v>6</v>
      </c>
      <c r="Z5223" s="5" t="str">
        <f>IFERROR(__xludf.DUMMYFUNCTION("REGEXEXTRACT(J5223, ""[A-Za-z ]+$"")")," Seasons")</f>
        <v> Seasons</v>
      </c>
      <c r="AA5223" s="5" t="str">
        <f>IFERROR(__xludf.DUMMYFUNCTION("IF(REGEXMATCH(Z5223, ""Season""), ""TV Show"", ""Movie"")"),"TV Show")</f>
        <v>TV Show</v>
      </c>
    </row>
    <row r="5224">
      <c r="A5224" s="1" t="s">
        <v>27035</v>
      </c>
      <c r="B5224" s="1" t="s">
        <v>27</v>
      </c>
      <c r="C5224" s="1" t="s">
        <v>27036</v>
      </c>
      <c r="D5224" s="1" t="s">
        <v>27037</v>
      </c>
      <c r="E5224" s="1" t="s">
        <v>27038</v>
      </c>
      <c r="F5224" s="1" t="s">
        <v>27039</v>
      </c>
      <c r="G5224" s="1" t="s">
        <v>27040</v>
      </c>
      <c r="H5224" s="1">
        <v>2016.0</v>
      </c>
      <c r="I5224" s="1" t="s">
        <v>97</v>
      </c>
      <c r="J5224" s="1" t="s">
        <v>490</v>
      </c>
      <c r="K5224" s="1" t="s">
        <v>583</v>
      </c>
      <c r="L5224" s="1" t="s">
        <v>27041</v>
      </c>
      <c r="M5224" s="2" t="s">
        <v>12</v>
      </c>
      <c r="N5224" s="4">
        <f t="shared" si="1"/>
        <v>43021</v>
      </c>
      <c r="O5224" s="5" t="str">
        <f>IFERROR(__xludf.DUMMYFUNCTION("IF(REGEXMATCH(TRIM(I5224), ""^\d+\s*min""), ""Unclassified"", IF(I5224 = """", ""NR"", I5224))"),"TV-14")</f>
        <v>TV-14</v>
      </c>
      <c r="R5224" s="5" t="str">
        <f t="shared" si="2"/>
        <v>Blessed Benefit</v>
      </c>
      <c r="S5224" s="5" t="str">
        <f>IFERROR(__xludf.DUMMYFUNCTION("""COMPUTED_VALUE"""),"Once In A Lifetime Sessions With Tlc")</f>
        <v>Once In A Lifetime Sessions With Tlc</v>
      </c>
      <c r="V5224" s="5"/>
      <c r="Y5224" s="5" t="str">
        <f>IFERROR(__xludf.DUMMYFUNCTION("REGEXEXTRACT(J5224, ""^\d+"")"),"83")</f>
        <v>83</v>
      </c>
      <c r="Z5224" s="5" t="str">
        <f>IFERROR(__xludf.DUMMYFUNCTION("REGEXEXTRACT(J5224, ""[A-Za-z ]+$"")")," min")</f>
        <v> min</v>
      </c>
      <c r="AA5224" s="5" t="str">
        <f>IFERROR(__xludf.DUMMYFUNCTION("IF(REGEXMATCH(Z5224, ""Season""), ""TV Show"", ""Movie"")"),"Movie")</f>
        <v>Movie</v>
      </c>
    </row>
    <row r="5225">
      <c r="A5225" s="1" t="s">
        <v>27042</v>
      </c>
      <c r="B5225" s="1" t="s">
        <v>27</v>
      </c>
      <c r="C5225" s="1" t="s">
        <v>27043</v>
      </c>
      <c r="D5225" s="1" t="s">
        <v>23833</v>
      </c>
      <c r="E5225" s="1" t="s">
        <v>27044</v>
      </c>
      <c r="F5225" s="1" t="s">
        <v>27045</v>
      </c>
      <c r="G5225" s="1" t="s">
        <v>27040</v>
      </c>
      <c r="H5225" s="1">
        <v>2016.0</v>
      </c>
      <c r="I5225" s="1" t="s">
        <v>42</v>
      </c>
      <c r="J5225" s="1" t="s">
        <v>447</v>
      </c>
      <c r="K5225" s="1" t="s">
        <v>128</v>
      </c>
      <c r="L5225" s="1" t="s">
        <v>27046</v>
      </c>
      <c r="M5225" s="2" t="s">
        <v>12</v>
      </c>
      <c r="N5225" s="4">
        <f t="shared" si="1"/>
        <v>43021</v>
      </c>
      <c r="O5225" s="5" t="str">
        <f>IFERROR(__xludf.DUMMYFUNCTION("IF(REGEXMATCH(TRIM(I5225), ""^\d+\s*min""), ""Unclassified"", IF(I5225 = """", ""NR"", I5225))"),"TV-MA")</f>
        <v>TV-MA</v>
      </c>
      <c r="R5225" s="5" t="str">
        <f t="shared" si="2"/>
        <v>Clair Obscur</v>
      </c>
      <c r="S5225" s="5" t="str">
        <f>IFERROR(__xludf.DUMMYFUNCTION("""COMPUTED_VALUE"""),"Once Upon A Time")</f>
        <v>Once Upon A Time</v>
      </c>
      <c r="V5225" s="5"/>
      <c r="Y5225" s="5" t="str">
        <f>IFERROR(__xludf.DUMMYFUNCTION("REGEXEXTRACT(J5225, ""^\d+"")"),"102")</f>
        <v>102</v>
      </c>
      <c r="Z5225" s="5" t="str">
        <f>IFERROR(__xludf.DUMMYFUNCTION("REGEXEXTRACT(J5225, ""[A-Za-z ]+$"")")," min")</f>
        <v> min</v>
      </c>
      <c r="AA5225" s="5" t="str">
        <f>IFERROR(__xludf.DUMMYFUNCTION("IF(REGEXMATCH(Z5225, ""Season""), ""TV Show"", ""Movie"")"),"Movie")</f>
        <v>Movie</v>
      </c>
    </row>
    <row r="5226">
      <c r="A5226" s="1" t="s">
        <v>27047</v>
      </c>
      <c r="B5226" s="1" t="s">
        <v>27</v>
      </c>
      <c r="C5226" s="1" t="s">
        <v>27048</v>
      </c>
      <c r="D5226" s="1" t="s">
        <v>10148</v>
      </c>
      <c r="E5226" s="1" t="s">
        <v>16657</v>
      </c>
      <c r="F5226" s="1" t="s">
        <v>162</v>
      </c>
      <c r="G5226" s="1" t="s">
        <v>27040</v>
      </c>
      <c r="H5226" s="1">
        <v>2017.0</v>
      </c>
      <c r="I5226" s="1" t="s">
        <v>42</v>
      </c>
      <c r="J5226" s="1" t="s">
        <v>8095</v>
      </c>
      <c r="K5226" s="1" t="s">
        <v>1839</v>
      </c>
      <c r="L5226" s="1" t="s">
        <v>27049</v>
      </c>
      <c r="M5226" s="2" t="s">
        <v>12</v>
      </c>
      <c r="N5226" s="4">
        <f t="shared" si="1"/>
        <v>43021</v>
      </c>
      <c r="O5226" s="5" t="str">
        <f>IFERROR(__xludf.DUMMYFUNCTION("IF(REGEXMATCH(TRIM(I5226), ""^\d+\s*min""), ""Unclassified"", IF(I5226 = """", ""NR"", I5226))"),"TV-MA")</f>
        <v>TV-MA</v>
      </c>
      <c r="R5226" s="5" t="str">
        <f t="shared" si="2"/>
        <v>El Especial De Alex Fernández, El Especial</v>
      </c>
      <c r="S5226" s="5" t="str">
        <f>IFERROR(__xludf.DUMMYFUNCTION("""COMPUTED_VALUE"""),"Once Upon A Time In America")</f>
        <v>Once Upon A Time In America</v>
      </c>
      <c r="V5226" s="5"/>
      <c r="Y5226" s="5" t="str">
        <f>IFERROR(__xludf.DUMMYFUNCTION("REGEXEXTRACT(J5226, ""^\d+"")"),"52")</f>
        <v>52</v>
      </c>
      <c r="Z5226" s="5" t="str">
        <f>IFERROR(__xludf.DUMMYFUNCTION("REGEXEXTRACT(J5226, ""[A-Za-z ]+$"")")," min")</f>
        <v> min</v>
      </c>
      <c r="AA5226" s="5" t="str">
        <f>IFERROR(__xludf.DUMMYFUNCTION("IF(REGEXMATCH(Z5226, ""Season""), ""TV Show"", ""Movie"")"),"Movie")</f>
        <v>Movie</v>
      </c>
    </row>
    <row r="5227">
      <c r="A5227" s="1" t="s">
        <v>27050</v>
      </c>
      <c r="B5227" s="1" t="s">
        <v>27</v>
      </c>
      <c r="C5227" s="1" t="s">
        <v>27051</v>
      </c>
      <c r="D5227" s="1" t="s">
        <v>14029</v>
      </c>
      <c r="F5227" s="1" t="s">
        <v>96</v>
      </c>
      <c r="G5227" s="1" t="s">
        <v>27040</v>
      </c>
      <c r="H5227" s="1">
        <v>2017.0</v>
      </c>
      <c r="I5227" s="1" t="s">
        <v>42</v>
      </c>
      <c r="J5227" s="1" t="s">
        <v>297</v>
      </c>
      <c r="K5227" s="1" t="s">
        <v>34</v>
      </c>
      <c r="L5227" s="1" t="s">
        <v>27052</v>
      </c>
      <c r="M5227" s="2" t="s">
        <v>12</v>
      </c>
      <c r="N5227" s="4">
        <f t="shared" si="1"/>
        <v>43021</v>
      </c>
      <c r="O5227" s="5" t="str">
        <f>IFERROR(__xludf.DUMMYFUNCTION("IF(REGEXMATCH(TRIM(I5227), ""^\d+\s*min""), ""Unclassified"", IF(I5227 = """", ""NR"", I5227))"),"TV-MA")</f>
        <v>TV-MA</v>
      </c>
      <c r="R5227" s="5" t="str">
        <f t="shared" si="2"/>
        <v>Kingdom Of Us</v>
      </c>
      <c r="S5227" s="5" t="str">
        <f>IFERROR(__xludf.DUMMYFUNCTION("""COMPUTED_VALUE"""),"Once Upon A Time In Lingjian Mountain")</f>
        <v>Once Upon A Time In Lingjian Mountain</v>
      </c>
      <c r="V5227" s="5"/>
      <c r="Y5227" s="5" t="str">
        <f>IFERROR(__xludf.DUMMYFUNCTION("REGEXEXTRACT(J5227, ""^\d+"")"),"110")</f>
        <v>110</v>
      </c>
      <c r="Z5227" s="5" t="str">
        <f>IFERROR(__xludf.DUMMYFUNCTION("REGEXEXTRACT(J5227, ""[A-Za-z ]+$"")")," min")</f>
        <v> min</v>
      </c>
      <c r="AA5227" s="5" t="str">
        <f>IFERROR(__xludf.DUMMYFUNCTION("IF(REGEXMATCH(Z5227, ""Season""), ""TV Show"", ""Movie"")"),"Movie")</f>
        <v>Movie</v>
      </c>
    </row>
    <row r="5228">
      <c r="A5228" s="1" t="s">
        <v>27053</v>
      </c>
      <c r="B5228" s="1" t="s">
        <v>27</v>
      </c>
      <c r="C5228" s="1" t="s">
        <v>27054</v>
      </c>
      <c r="D5228" s="1" t="s">
        <v>3523</v>
      </c>
      <c r="E5228" s="1" t="s">
        <v>27055</v>
      </c>
      <c r="F5228" s="1" t="s">
        <v>30</v>
      </c>
      <c r="G5228" s="1" t="s">
        <v>27040</v>
      </c>
      <c r="H5228" s="1">
        <v>2017.0</v>
      </c>
      <c r="I5228" s="1" t="s">
        <v>42</v>
      </c>
      <c r="J5228" s="1" t="s">
        <v>471</v>
      </c>
      <c r="K5228" s="1" t="s">
        <v>4525</v>
      </c>
      <c r="L5228" s="1" t="s">
        <v>27056</v>
      </c>
      <c r="M5228" s="2" t="s">
        <v>12</v>
      </c>
      <c r="N5228" s="4">
        <f t="shared" si="1"/>
        <v>43021</v>
      </c>
      <c r="O5228" s="5" t="str">
        <f>IFERROR(__xludf.DUMMYFUNCTION("IF(REGEXMATCH(TRIM(I5228), ""^\d+\s*min""), ""Unclassified"", IF(I5228 = """", ""NR"", I5228))"),"TV-MA")</f>
        <v>TV-MA</v>
      </c>
      <c r="R5228" s="5" t="str">
        <f t="shared" si="2"/>
        <v>The Babysitter</v>
      </c>
      <c r="S5228" s="5" t="str">
        <f>IFERROR(__xludf.DUMMYFUNCTION("""COMPUTED_VALUE"""),"Once Upon A Time In London")</f>
        <v>Once Upon A Time In London</v>
      </c>
      <c r="V5228" s="5"/>
      <c r="Y5228" s="5" t="str">
        <f>IFERROR(__xludf.DUMMYFUNCTION("REGEXEXTRACT(J5228, ""^\d+"")"),"85")</f>
        <v>85</v>
      </c>
      <c r="Z5228" s="5" t="str">
        <f>IFERROR(__xludf.DUMMYFUNCTION("REGEXEXTRACT(J5228, ""[A-Za-z ]+$"")")," min")</f>
        <v> min</v>
      </c>
      <c r="AA5228" s="5" t="str">
        <f>IFERROR(__xludf.DUMMYFUNCTION("IF(REGEXMATCH(Z5228, ""Season""), ""TV Show"", ""Movie"")"),"Movie")</f>
        <v>Movie</v>
      </c>
    </row>
    <row r="5229">
      <c r="A5229" s="1" t="s">
        <v>27057</v>
      </c>
      <c r="B5229" s="1" t="s">
        <v>27</v>
      </c>
      <c r="C5229" s="1" t="s">
        <v>27058</v>
      </c>
      <c r="D5229" s="1" t="s">
        <v>16989</v>
      </c>
      <c r="E5229" s="1" t="s">
        <v>27059</v>
      </c>
      <c r="F5229" s="1" t="s">
        <v>30</v>
      </c>
      <c r="G5229" s="1" t="s">
        <v>27040</v>
      </c>
      <c r="H5229" s="1">
        <v>2017.0</v>
      </c>
      <c r="I5229" s="1" t="s">
        <v>42</v>
      </c>
      <c r="J5229" s="1" t="s">
        <v>519</v>
      </c>
      <c r="K5229" s="1" t="s">
        <v>836</v>
      </c>
      <c r="L5229" s="1" t="s">
        <v>27060</v>
      </c>
      <c r="M5229" s="2" t="s">
        <v>12</v>
      </c>
      <c r="N5229" s="4">
        <f t="shared" si="1"/>
        <v>43021</v>
      </c>
      <c r="O5229" s="5" t="str">
        <f>IFERROR(__xludf.DUMMYFUNCTION("IF(REGEXMATCH(TRIM(I5229), ""^\d+\s*min""), ""Unclassified"", IF(I5229 = """", ""NR"", I5229))"),"TV-MA")</f>
        <v>TV-MA</v>
      </c>
      <c r="R5229" s="5" t="str">
        <f t="shared" si="2"/>
        <v>The Meyerowitz Stories (New And Selected)</v>
      </c>
      <c r="S5229" s="5" t="str">
        <f>IFERROR(__xludf.DUMMYFUNCTION("""COMPUTED_VALUE"""),"Once Upon A Time In Mumbaai")</f>
        <v>Once Upon A Time In Mumbaai</v>
      </c>
      <c r="V5229" s="5"/>
      <c r="Y5229" s="5" t="str">
        <f>IFERROR(__xludf.DUMMYFUNCTION("REGEXEXTRACT(J5229, ""^\d+"")"),"113")</f>
        <v>113</v>
      </c>
      <c r="Z5229" s="5" t="str">
        <f>IFERROR(__xludf.DUMMYFUNCTION("REGEXEXTRACT(J5229, ""[A-Za-z ]+$"")")," min")</f>
        <v> min</v>
      </c>
      <c r="AA5229" s="5" t="str">
        <f>IFERROR(__xludf.DUMMYFUNCTION("IF(REGEXMATCH(Z5229, ""Season""), ""TV Show"", ""Movie"")"),"Movie")</f>
        <v>Movie</v>
      </c>
    </row>
    <row r="5230">
      <c r="A5230" s="1" t="s">
        <v>27061</v>
      </c>
      <c r="B5230" s="1" t="s">
        <v>27</v>
      </c>
      <c r="C5230" s="1" t="s">
        <v>27062</v>
      </c>
      <c r="D5230" s="1" t="s">
        <v>14306</v>
      </c>
      <c r="E5230" s="1" t="s">
        <v>27063</v>
      </c>
      <c r="F5230" s="1" t="s">
        <v>2774</v>
      </c>
      <c r="G5230" s="1" t="s">
        <v>27064</v>
      </c>
      <c r="H5230" s="1">
        <v>2016.0</v>
      </c>
      <c r="I5230" s="1" t="s">
        <v>42</v>
      </c>
      <c r="J5230" s="1" t="s">
        <v>428</v>
      </c>
      <c r="K5230" s="1" t="s">
        <v>215</v>
      </c>
      <c r="L5230" s="1" t="s">
        <v>27065</v>
      </c>
      <c r="M5230" s="2" t="s">
        <v>12</v>
      </c>
      <c r="N5230" s="4">
        <f t="shared" si="1"/>
        <v>43020</v>
      </c>
      <c r="O5230" s="5" t="str">
        <f>IFERROR(__xludf.DUMMYFUNCTION("IF(REGEXMATCH(TRIM(I5230), ""^\d+\s*min""), ""Unclassified"", IF(I5230 = """", ""NR"", I5230))"),"TV-MA")</f>
        <v>TV-MA</v>
      </c>
      <c r="R5230" s="5" t="str">
        <f t="shared" si="2"/>
        <v>Barakah Meets Barakah</v>
      </c>
      <c r="S5230" s="5" t="str">
        <f>IFERROR(__xludf.DUMMYFUNCTION("""COMPUTED_VALUE"""),"Once Upon A Time In Mumbai Dobaara!")</f>
        <v>Once Upon A Time In Mumbai Dobaara!</v>
      </c>
      <c r="V5230" s="5"/>
      <c r="Y5230" s="5" t="str">
        <f>IFERROR(__xludf.DUMMYFUNCTION("REGEXEXTRACT(J5230, ""^\d+"")"),"88")</f>
        <v>88</v>
      </c>
      <c r="Z5230" s="5" t="str">
        <f>IFERROR(__xludf.DUMMYFUNCTION("REGEXEXTRACT(J5230, ""[A-Za-z ]+$"")")," min")</f>
        <v> min</v>
      </c>
      <c r="AA5230" s="5" t="str">
        <f>IFERROR(__xludf.DUMMYFUNCTION("IF(REGEXMATCH(Z5230, ""Season""), ""TV Show"", ""Movie"")"),"Movie")</f>
        <v>Movie</v>
      </c>
    </row>
    <row r="5231">
      <c r="A5231" s="1" t="s">
        <v>27066</v>
      </c>
      <c r="B5231" s="1" t="s">
        <v>27</v>
      </c>
      <c r="C5231" s="1" t="s">
        <v>27067</v>
      </c>
      <c r="D5231" s="1" t="s">
        <v>3587</v>
      </c>
      <c r="E5231" s="1" t="s">
        <v>27068</v>
      </c>
      <c r="F5231" s="1" t="s">
        <v>784</v>
      </c>
      <c r="G5231" s="1" t="s">
        <v>27064</v>
      </c>
      <c r="H5231" s="1">
        <v>2017.0</v>
      </c>
      <c r="I5231" s="1" t="s">
        <v>42</v>
      </c>
      <c r="J5231" s="1" t="s">
        <v>1191</v>
      </c>
      <c r="K5231" s="1" t="s">
        <v>5295</v>
      </c>
      <c r="L5231" s="1" t="s">
        <v>27069</v>
      </c>
      <c r="M5231" s="2" t="s">
        <v>12</v>
      </c>
      <c r="N5231" s="4">
        <f t="shared" si="1"/>
        <v>43020</v>
      </c>
      <c r="O5231" s="5" t="str">
        <f>IFERROR(__xludf.DUMMYFUNCTION("IF(REGEXMATCH(TRIM(I5231), ""^\d+\s*min""), ""Unclassified"", IF(I5231 = """", ""NR"", I5231))"),"TV-MA")</f>
        <v>TV-MA</v>
      </c>
      <c r="R5231" s="5" t="str">
        <f t="shared" si="2"/>
        <v>Bomb Scared</v>
      </c>
      <c r="S5231" s="5" t="str">
        <f>IFERROR(__xludf.DUMMYFUNCTION("""COMPUTED_VALUE"""),"Once Upon A Time In The West")</f>
        <v>Once Upon A Time In The West</v>
      </c>
      <c r="V5231" s="5"/>
      <c r="Y5231" s="5" t="str">
        <f>IFERROR(__xludf.DUMMYFUNCTION("REGEXEXTRACT(J5231, ""^\d+"")"),"89")</f>
        <v>89</v>
      </c>
      <c r="Z5231" s="5" t="str">
        <f>IFERROR(__xludf.DUMMYFUNCTION("REGEXEXTRACT(J5231, ""[A-Za-z ]+$"")")," min")</f>
        <v> min</v>
      </c>
      <c r="AA5231" s="5" t="str">
        <f>IFERROR(__xludf.DUMMYFUNCTION("IF(REGEXMATCH(Z5231, ""Season""), ""TV Show"", ""Movie"")"),"Movie")</f>
        <v>Movie</v>
      </c>
    </row>
    <row r="5232">
      <c r="A5232" s="1" t="s">
        <v>27070</v>
      </c>
      <c r="B5232" s="1" t="s">
        <v>27</v>
      </c>
      <c r="C5232" s="1" t="s">
        <v>27071</v>
      </c>
      <c r="D5232" s="1" t="s">
        <v>10401</v>
      </c>
      <c r="E5232" s="1" t="s">
        <v>27072</v>
      </c>
      <c r="F5232" s="1" t="s">
        <v>30</v>
      </c>
      <c r="G5232" s="1" t="s">
        <v>27073</v>
      </c>
      <c r="H5232" s="1">
        <v>2017.0</v>
      </c>
      <c r="I5232" s="1" t="s">
        <v>42</v>
      </c>
      <c r="J5232" s="1" t="s">
        <v>1847</v>
      </c>
      <c r="K5232" s="1" t="s">
        <v>1839</v>
      </c>
      <c r="L5232" s="1" t="s">
        <v>27074</v>
      </c>
      <c r="M5232" s="2" t="s">
        <v>12</v>
      </c>
      <c r="N5232" s="4">
        <f t="shared" si="1"/>
        <v>43018</v>
      </c>
      <c r="O5232" s="5" t="str">
        <f>IFERROR(__xludf.DUMMYFUNCTION("IF(REGEXMATCH(TRIM(I5232), ""^\d+\s*min""), ""Unclassified"", IF(I5232 = """", ""NR"", I5232))"),"TV-MA")</f>
        <v>TV-MA</v>
      </c>
      <c r="R5232" s="5" t="str">
        <f t="shared" si="2"/>
        <v>Christina P: Mother Inferior</v>
      </c>
      <c r="S5232" s="5" t="str">
        <f>IFERROR(__xludf.DUMMYFUNCTION("""COMPUTED_VALUE"""),"One")</f>
        <v>One</v>
      </c>
      <c r="V5232" s="5"/>
      <c r="Y5232" s="5" t="str">
        <f>IFERROR(__xludf.DUMMYFUNCTION("REGEXEXTRACT(J5232, ""^\d+"")"),"59")</f>
        <v>59</v>
      </c>
      <c r="Z5232" s="5" t="str">
        <f>IFERROR(__xludf.DUMMYFUNCTION("REGEXEXTRACT(J5232, ""[A-Za-z ]+$"")")," min")</f>
        <v> min</v>
      </c>
      <c r="AA5232" s="5" t="str">
        <f>IFERROR(__xludf.DUMMYFUNCTION("IF(REGEXMATCH(Z5232, ""Season""), ""TV Show"", ""Movie"")"),"Movie")</f>
        <v>Movie</v>
      </c>
    </row>
    <row r="5233">
      <c r="A5233" s="1" t="s">
        <v>27075</v>
      </c>
      <c r="B5233" s="1" t="s">
        <v>37</v>
      </c>
      <c r="C5233" s="1" t="s">
        <v>27076</v>
      </c>
      <c r="E5233" s="1" t="s">
        <v>27077</v>
      </c>
      <c r="F5233" s="1" t="s">
        <v>415</v>
      </c>
      <c r="G5233" s="1" t="s">
        <v>27078</v>
      </c>
      <c r="H5233" s="1">
        <v>2017.0</v>
      </c>
      <c r="I5233" s="1" t="s">
        <v>136</v>
      </c>
      <c r="J5233" s="1" t="s">
        <v>51</v>
      </c>
      <c r="K5233" s="1" t="s">
        <v>567</v>
      </c>
      <c r="L5233" s="1" t="s">
        <v>27079</v>
      </c>
      <c r="M5233" s="2" t="s">
        <v>12</v>
      </c>
      <c r="N5233" s="4">
        <f t="shared" si="1"/>
        <v>43014</v>
      </c>
      <c r="O5233" s="5" t="str">
        <f>IFERROR(__xludf.DUMMYFUNCTION("IF(REGEXMATCH(TRIM(I5233), ""^\d+\s*min""), ""Unclassified"", IF(I5233 = """", ""NR"", I5233))"),"TV-PG")</f>
        <v>TV-PG</v>
      </c>
      <c r="R5233" s="5" t="str">
        <f t="shared" si="2"/>
        <v>Id-0</v>
      </c>
      <c r="S5233" s="5" t="str">
        <f>IFERROR(__xludf.DUMMYFUNCTION("""COMPUTED_VALUE"""),"One 2 Ka 4")</f>
        <v>One 2 Ka 4</v>
      </c>
      <c r="V5233" s="5"/>
      <c r="Y5233" s="5" t="str">
        <f>IFERROR(__xludf.DUMMYFUNCTION("REGEXEXTRACT(J5233, ""^\d+"")"),"1")</f>
        <v>1</v>
      </c>
      <c r="Z5233" s="5" t="str">
        <f>IFERROR(__xludf.DUMMYFUNCTION("REGEXEXTRACT(J5233, ""[A-Za-z ]+$"")")," Season")</f>
        <v> Season</v>
      </c>
      <c r="AA5233" s="5" t="str">
        <f>IFERROR(__xludf.DUMMYFUNCTION("IF(REGEXMATCH(Z5233, ""Season""), ""TV Show"", ""Movie"")"),"TV Show")</f>
        <v>TV Show</v>
      </c>
    </row>
    <row r="5234">
      <c r="A5234" s="1" t="s">
        <v>27080</v>
      </c>
      <c r="B5234" s="1" t="s">
        <v>37</v>
      </c>
      <c r="C5234" s="1" t="s">
        <v>27081</v>
      </c>
      <c r="E5234" s="1" t="s">
        <v>27082</v>
      </c>
      <c r="F5234" s="1" t="s">
        <v>3892</v>
      </c>
      <c r="G5234" s="1" t="s">
        <v>27078</v>
      </c>
      <c r="H5234" s="1">
        <v>2017.0</v>
      </c>
      <c r="I5234" s="1" t="s">
        <v>289</v>
      </c>
      <c r="J5234" s="1" t="s">
        <v>43</v>
      </c>
      <c r="K5234" s="1" t="s">
        <v>290</v>
      </c>
      <c r="L5234" s="1" t="s">
        <v>27083</v>
      </c>
      <c r="M5234" s="2" t="s">
        <v>12</v>
      </c>
      <c r="N5234" s="4">
        <f t="shared" si="1"/>
        <v>43014</v>
      </c>
      <c r="O5234" s="5" t="str">
        <f>IFERROR(__xludf.DUMMYFUNCTION("IF(REGEXMATCH(TRIM(I5234), ""^\d+\s*min""), ""Unclassified"", IF(I5234 = """", ""NR"", I5234))"),"TV-Y7")</f>
        <v>TV-Y7</v>
      </c>
      <c r="R5234" s="5" t="str">
        <f t="shared" si="2"/>
        <v>Kibaoh Klashers</v>
      </c>
      <c r="S5234" s="5" t="str">
        <f>IFERROR(__xludf.DUMMYFUNCTION("""COMPUTED_VALUE"""),"One By Two")</f>
        <v>One By Two</v>
      </c>
      <c r="V5234" s="5"/>
      <c r="Y5234" s="5" t="str">
        <f>IFERROR(__xludf.DUMMYFUNCTION("REGEXEXTRACT(J5234, ""^\d+"")"),"2")</f>
        <v>2</v>
      </c>
      <c r="Z5234" s="5" t="str">
        <f>IFERROR(__xludf.DUMMYFUNCTION("REGEXEXTRACT(J5234, ""[A-Za-z ]+$"")")," Seasons")</f>
        <v> Seasons</v>
      </c>
      <c r="AA5234" s="5" t="str">
        <f>IFERROR(__xludf.DUMMYFUNCTION("IF(REGEXMATCH(Z5234, ""Season""), ""TV Show"", ""Movie"")"),"TV Show")</f>
        <v>TV Show</v>
      </c>
    </row>
    <row r="5235">
      <c r="A5235" s="1" t="s">
        <v>27084</v>
      </c>
      <c r="B5235" s="1" t="s">
        <v>27</v>
      </c>
      <c r="C5235" s="1" t="s">
        <v>27085</v>
      </c>
      <c r="D5235" s="1" t="s">
        <v>5920</v>
      </c>
      <c r="F5235" s="1" t="s">
        <v>27086</v>
      </c>
      <c r="G5235" s="1" t="s">
        <v>27078</v>
      </c>
      <c r="H5235" s="1">
        <v>2017.0</v>
      </c>
      <c r="I5235" s="1" t="s">
        <v>42</v>
      </c>
      <c r="J5235" s="1" t="s">
        <v>256</v>
      </c>
      <c r="K5235" s="1" t="s">
        <v>1212</v>
      </c>
      <c r="L5235" s="1" t="s">
        <v>27087</v>
      </c>
      <c r="M5235" s="2" t="s">
        <v>12</v>
      </c>
      <c r="N5235" s="4">
        <f t="shared" si="1"/>
        <v>43014</v>
      </c>
      <c r="O5235" s="5" t="str">
        <f>IFERROR(__xludf.DUMMYFUNCTION("IF(REGEXMATCH(TRIM(I5235), ""^\d+\s*min""), ""Unclassified"", IF(I5235 = """", ""NR"", I5235))"),"TV-MA")</f>
        <v>TV-MA</v>
      </c>
      <c r="R5235" s="5" t="str">
        <f t="shared" si="2"/>
        <v>The Death And Life Of Marsha P. Johnson</v>
      </c>
      <c r="S5235" s="5" t="str">
        <f>IFERROR(__xludf.DUMMYFUNCTION("""COMPUTED_VALUE"""),"One Day")</f>
        <v>One Day</v>
      </c>
      <c r="V5235" s="5"/>
      <c r="Y5235" s="5" t="str">
        <f>IFERROR(__xludf.DUMMYFUNCTION("REGEXEXTRACT(J5235, ""^\d+"")"),"106")</f>
        <v>106</v>
      </c>
      <c r="Z5235" s="5" t="str">
        <f>IFERROR(__xludf.DUMMYFUNCTION("REGEXEXTRACT(J5235, ""[A-Za-z ]+$"")")," min")</f>
        <v> min</v>
      </c>
      <c r="AA5235" s="5" t="str">
        <f>IFERROR(__xludf.DUMMYFUNCTION("IF(REGEXMATCH(Z5235, ""Season""), ""TV Show"", ""Movie"")"),"Movie")</f>
        <v>Movie</v>
      </c>
    </row>
    <row r="5236">
      <c r="A5236" s="1" t="s">
        <v>27088</v>
      </c>
      <c r="B5236" s="1" t="s">
        <v>27</v>
      </c>
      <c r="C5236" s="1" t="s">
        <v>27089</v>
      </c>
      <c r="D5236" s="1" t="s">
        <v>3652</v>
      </c>
      <c r="E5236" s="1" t="s">
        <v>27090</v>
      </c>
      <c r="F5236" s="1" t="s">
        <v>30</v>
      </c>
      <c r="G5236" s="1" t="s">
        <v>27091</v>
      </c>
      <c r="H5236" s="1">
        <v>2017.0</v>
      </c>
      <c r="I5236" s="1" t="s">
        <v>42</v>
      </c>
      <c r="J5236" s="1" t="s">
        <v>2636</v>
      </c>
      <c r="K5236" s="1" t="s">
        <v>1839</v>
      </c>
      <c r="L5236" s="1" t="s">
        <v>27092</v>
      </c>
      <c r="M5236" s="2" t="s">
        <v>12</v>
      </c>
      <c r="N5236" s="4">
        <f t="shared" si="1"/>
        <v>43011</v>
      </c>
      <c r="O5236" s="5" t="str">
        <f>IFERROR(__xludf.DUMMYFUNCTION("IF(REGEXMATCH(TRIM(I5236), ""^\d+\s*min""), ""Unclassified"", IF(I5236 = """", ""NR"", I5236))"),"TV-MA")</f>
        <v>TV-MA</v>
      </c>
      <c r="R5236" s="5" t="str">
        <f t="shared" si="2"/>
        <v>Rodney Carrington: Here Comes The Truth</v>
      </c>
      <c r="S5236" s="5" t="str">
        <f>IFERROR(__xludf.DUMMYFUNCTION("""COMPUTED_VALUE"""),"One Day At A Time")</f>
        <v>One Day At A Time</v>
      </c>
      <c r="V5236" s="5"/>
      <c r="Y5236" s="5" t="str">
        <f>IFERROR(__xludf.DUMMYFUNCTION("REGEXEXTRACT(J5236, ""^\d+"")"),"66")</f>
        <v>66</v>
      </c>
      <c r="Z5236" s="5" t="str">
        <f>IFERROR(__xludf.DUMMYFUNCTION("REGEXEXTRACT(J5236, ""[A-Za-z ]+$"")")," min")</f>
        <v> min</v>
      </c>
      <c r="AA5236" s="5" t="str">
        <f>IFERROR(__xludf.DUMMYFUNCTION("IF(REGEXMATCH(Z5236, ""Season""), ""TV Show"", ""Movie"")"),"Movie")</f>
        <v>Movie</v>
      </c>
    </row>
    <row r="5237">
      <c r="A5237" s="1" t="s">
        <v>27093</v>
      </c>
      <c r="B5237" s="1" t="s">
        <v>27</v>
      </c>
      <c r="C5237" s="1" t="s">
        <v>27094</v>
      </c>
      <c r="D5237" s="1" t="s">
        <v>27095</v>
      </c>
      <c r="E5237" s="1" t="s">
        <v>27096</v>
      </c>
      <c r="F5237" s="1" t="s">
        <v>749</v>
      </c>
      <c r="G5237" s="1" t="s">
        <v>27097</v>
      </c>
      <c r="H5237" s="1">
        <v>2012.0</v>
      </c>
      <c r="I5237" s="1" t="s">
        <v>42</v>
      </c>
      <c r="J5237" s="1" t="s">
        <v>1369</v>
      </c>
      <c r="K5237" s="1" t="s">
        <v>298</v>
      </c>
      <c r="L5237" s="1" t="s">
        <v>27098</v>
      </c>
      <c r="M5237" s="2" t="s">
        <v>12</v>
      </c>
      <c r="N5237" s="4">
        <f t="shared" si="1"/>
        <v>43009</v>
      </c>
      <c r="O5237" s="5" t="str">
        <f>IFERROR(__xludf.DUMMYFUNCTION("IF(REGEXMATCH(TRIM(I5237), ""^\d+\s*min""), ""Unclassified"", IF(I5237 = """", ""NR"", I5237))"),"TV-MA")</f>
        <v>TV-MA</v>
      </c>
      <c r="R5237" s="5" t="str">
        <f t="shared" si="2"/>
        <v>26 Years</v>
      </c>
      <c r="S5237" s="5" t="str">
        <f>IFERROR(__xludf.DUMMYFUNCTION("""COMPUTED_VALUE"""),"One Day We'Ll Talk About Today")</f>
        <v>One Day We'Ll Talk About Today</v>
      </c>
      <c r="V5237" s="5"/>
      <c r="Y5237" s="5" t="str">
        <f>IFERROR(__xludf.DUMMYFUNCTION("REGEXEXTRACT(J5237, ""^\d+"")"),"135")</f>
        <v>135</v>
      </c>
      <c r="Z5237" s="5" t="str">
        <f>IFERROR(__xludf.DUMMYFUNCTION("REGEXEXTRACT(J5237, ""[A-Za-z ]+$"")")," min")</f>
        <v> min</v>
      </c>
      <c r="AA5237" s="5" t="str">
        <f>IFERROR(__xludf.DUMMYFUNCTION("IF(REGEXMATCH(Z5237, ""Season""), ""TV Show"", ""Movie"")"),"Movie")</f>
        <v>Movie</v>
      </c>
    </row>
    <row r="5238">
      <c r="A5238" s="1" t="s">
        <v>27099</v>
      </c>
      <c r="B5238" s="1" t="s">
        <v>37</v>
      </c>
      <c r="C5238" s="1" t="s">
        <v>27100</v>
      </c>
      <c r="E5238" s="1" t="s">
        <v>27101</v>
      </c>
      <c r="F5238" s="1" t="s">
        <v>415</v>
      </c>
      <c r="G5238" s="1" t="s">
        <v>27097</v>
      </c>
      <c r="H5238" s="1">
        <v>2016.0</v>
      </c>
      <c r="I5238" s="1" t="s">
        <v>289</v>
      </c>
      <c r="J5238" s="1" t="s">
        <v>51</v>
      </c>
      <c r="K5238" s="1" t="s">
        <v>623</v>
      </c>
      <c r="L5238" s="1" t="s">
        <v>27102</v>
      </c>
      <c r="M5238" s="2" t="s">
        <v>12</v>
      </c>
      <c r="N5238" s="4">
        <f t="shared" si="1"/>
        <v>43009</v>
      </c>
      <c r="O5238" s="5" t="str">
        <f>IFERROR(__xludf.DUMMYFUNCTION("IF(REGEXMATCH(TRIM(I5238), ""^\d+\s*min""), ""Unclassified"", IF(I5238 = """", ""NR"", I5238))"),"TV-Y7")</f>
        <v>TV-Y7</v>
      </c>
      <c r="R5238" s="5" t="str">
        <f t="shared" si="2"/>
        <v>Beyblade Burst</v>
      </c>
      <c r="S5238" s="5" t="str">
        <f>IFERROR(__xludf.DUMMYFUNCTION("""COMPUTED_VALUE"""),"One Day: Justice Delivered")</f>
        <v>One Day: Justice Delivered</v>
      </c>
      <c r="V5238" s="5"/>
      <c r="Y5238" s="5" t="str">
        <f>IFERROR(__xludf.DUMMYFUNCTION("REGEXEXTRACT(J5238, ""^\d+"")"),"1")</f>
        <v>1</v>
      </c>
      <c r="Z5238" s="5" t="str">
        <f>IFERROR(__xludf.DUMMYFUNCTION("REGEXEXTRACT(J5238, ""[A-Za-z ]+$"")")," Season")</f>
        <v> Season</v>
      </c>
      <c r="AA5238" s="5" t="str">
        <f>IFERROR(__xludf.DUMMYFUNCTION("IF(REGEXMATCH(Z5238, ""Season""), ""TV Show"", ""Movie"")"),"TV Show")</f>
        <v>TV Show</v>
      </c>
    </row>
    <row r="5239">
      <c r="A5239" s="1" t="s">
        <v>27103</v>
      </c>
      <c r="B5239" s="1" t="s">
        <v>37</v>
      </c>
      <c r="C5239" s="1" t="s">
        <v>27104</v>
      </c>
      <c r="E5239" s="1" t="s">
        <v>27105</v>
      </c>
      <c r="F5239" s="1" t="s">
        <v>897</v>
      </c>
      <c r="G5239" s="1" t="s">
        <v>27097</v>
      </c>
      <c r="H5239" s="1">
        <v>2017.0</v>
      </c>
      <c r="I5239" s="1" t="s">
        <v>289</v>
      </c>
      <c r="J5239" s="1" t="s">
        <v>51</v>
      </c>
      <c r="K5239" s="1" t="s">
        <v>314</v>
      </c>
      <c r="L5239" s="1" t="s">
        <v>27106</v>
      </c>
      <c r="M5239" s="2" t="s">
        <v>12</v>
      </c>
      <c r="N5239" s="4">
        <f t="shared" si="1"/>
        <v>43009</v>
      </c>
      <c r="O5239" s="5" t="str">
        <f>IFERROR(__xludf.DUMMYFUNCTION("IF(REGEXMATCH(TRIM(I5239), ""^\d+\s*min""), ""Unclassified"", IF(I5239 = """", ""NR"", I5239))"),"TV-Y7")</f>
        <v>TV-Y7</v>
      </c>
      <c r="R5239" s="5" t="str">
        <f t="shared" si="2"/>
        <v>Equestria Girls: Tales Of Canterlot High</v>
      </c>
      <c r="S5239" s="5" t="str">
        <f>IFERROR(__xludf.DUMMYFUNCTION("""COMPUTED_VALUE"""),"One Direction: This Is Us")</f>
        <v>One Direction: This Is Us</v>
      </c>
      <c r="V5239" s="5"/>
      <c r="Y5239" s="5" t="str">
        <f>IFERROR(__xludf.DUMMYFUNCTION("REGEXEXTRACT(J5239, ""^\d+"")"),"1")</f>
        <v>1</v>
      </c>
      <c r="Z5239" s="5" t="str">
        <f>IFERROR(__xludf.DUMMYFUNCTION("REGEXEXTRACT(J5239, ""[A-Za-z ]+$"")")," Season")</f>
        <v> Season</v>
      </c>
      <c r="AA5239" s="5" t="str">
        <f>IFERROR(__xludf.DUMMYFUNCTION("IF(REGEXMATCH(Z5239, ""Season""), ""TV Show"", ""Movie"")"),"TV Show")</f>
        <v>TV Show</v>
      </c>
    </row>
    <row r="5240">
      <c r="A5240" s="1" t="s">
        <v>27107</v>
      </c>
      <c r="B5240" s="1" t="s">
        <v>27</v>
      </c>
      <c r="C5240" s="1" t="s">
        <v>27108</v>
      </c>
      <c r="D5240" s="1" t="s">
        <v>4192</v>
      </c>
      <c r="E5240" s="1" t="s">
        <v>27109</v>
      </c>
      <c r="F5240" s="1" t="s">
        <v>784</v>
      </c>
      <c r="G5240" s="1" t="s">
        <v>27097</v>
      </c>
      <c r="H5240" s="1">
        <v>2017.0</v>
      </c>
      <c r="I5240" s="1" t="s">
        <v>42</v>
      </c>
      <c r="J5240" s="1" t="s">
        <v>454</v>
      </c>
      <c r="K5240" s="1" t="s">
        <v>199</v>
      </c>
      <c r="L5240" s="1" t="s">
        <v>27110</v>
      </c>
      <c r="M5240" s="2" t="s">
        <v>12</v>
      </c>
      <c r="N5240" s="4">
        <f t="shared" si="1"/>
        <v>43009</v>
      </c>
      <c r="O5240" s="5" t="str">
        <f>IFERROR(__xludf.DUMMYFUNCTION("IF(REGEXMATCH(TRIM(I5240), ""^\d+\s*min""), ""Unclassified"", IF(I5240 = """", ""NR"", I5240))"),"TV-MA")</f>
        <v>TV-MA</v>
      </c>
      <c r="R5240" s="5" t="str">
        <f t="shared" si="2"/>
        <v>For Your Own Good</v>
      </c>
      <c r="S5240" s="5" t="str">
        <f>IFERROR(__xludf.DUMMYFUNCTION("""COMPUTED_VALUE"""),"One Heart: The A.R. Rahman Concert Film")</f>
        <v>One Heart: The A.R. Rahman Concert Film</v>
      </c>
      <c r="V5240" s="5"/>
      <c r="Y5240" s="5" t="str">
        <f>IFERROR(__xludf.DUMMYFUNCTION("REGEXEXTRACT(J5240, ""^\d+"")"),"93")</f>
        <v>93</v>
      </c>
      <c r="Z5240" s="5" t="str">
        <f>IFERROR(__xludf.DUMMYFUNCTION("REGEXEXTRACT(J5240, ""[A-Za-z ]+$"")")," min")</f>
        <v> min</v>
      </c>
      <c r="AA5240" s="5" t="str">
        <f>IFERROR(__xludf.DUMMYFUNCTION("IF(REGEXMATCH(Z5240, ""Season""), ""TV Show"", ""Movie"")"),"Movie")</f>
        <v>Movie</v>
      </c>
    </row>
    <row r="5241">
      <c r="A5241" s="1" t="s">
        <v>27111</v>
      </c>
      <c r="B5241" s="1" t="s">
        <v>27</v>
      </c>
      <c r="C5241" s="1" t="s">
        <v>27112</v>
      </c>
      <c r="D5241" s="1" t="s">
        <v>7768</v>
      </c>
      <c r="F5241" s="1" t="s">
        <v>9402</v>
      </c>
      <c r="G5241" s="1" t="s">
        <v>27097</v>
      </c>
      <c r="H5241" s="1">
        <v>2016.0</v>
      </c>
      <c r="I5241" s="1" t="s">
        <v>42</v>
      </c>
      <c r="J5241" s="1" t="s">
        <v>6391</v>
      </c>
      <c r="K5241" s="1" t="s">
        <v>156</v>
      </c>
      <c r="L5241" s="1" t="s">
        <v>27113</v>
      </c>
      <c r="M5241" s="2" t="s">
        <v>12</v>
      </c>
      <c r="N5241" s="4">
        <f t="shared" si="1"/>
        <v>43009</v>
      </c>
      <c r="O5241" s="5" t="str">
        <f>IFERROR(__xludf.DUMMYFUNCTION("IF(REGEXMATCH(TRIM(I5241), ""^\d+\s*min""), ""Unclassified"", IF(I5241 = """", ""NR"", I5241))"),"TV-MA")</f>
        <v>TV-MA</v>
      </c>
      <c r="R5241" s="5" t="str">
        <f t="shared" si="2"/>
        <v>Franca: Chaos And Creation</v>
      </c>
      <c r="S5241" s="5" t="str">
        <f>IFERROR(__xludf.DUMMYFUNCTION("""COMPUTED_VALUE"""),"One In A Billion")</f>
        <v>One In A Billion</v>
      </c>
      <c r="V5241" s="5"/>
      <c r="Y5241" s="5" t="str">
        <f>IFERROR(__xludf.DUMMYFUNCTION("REGEXEXTRACT(J5241, ""^\d+"")"),"79")</f>
        <v>79</v>
      </c>
      <c r="Z5241" s="5" t="str">
        <f>IFERROR(__xludf.DUMMYFUNCTION("REGEXEXTRACT(J5241, ""[A-Za-z ]+$"")")," min")</f>
        <v> min</v>
      </c>
      <c r="AA5241" s="5" t="str">
        <f>IFERROR(__xludf.DUMMYFUNCTION("IF(REGEXMATCH(Z5241, ""Season""), ""TV Show"", ""Movie"")"),"Movie")</f>
        <v>Movie</v>
      </c>
    </row>
    <row r="5242">
      <c r="A5242" s="1" t="s">
        <v>27114</v>
      </c>
      <c r="B5242" s="1" t="s">
        <v>27</v>
      </c>
      <c r="C5242" s="1" t="s">
        <v>27115</v>
      </c>
      <c r="D5242" s="1" t="s">
        <v>19637</v>
      </c>
      <c r="F5242" s="1" t="s">
        <v>30</v>
      </c>
      <c r="G5242" s="1" t="s">
        <v>27097</v>
      </c>
      <c r="H5242" s="1">
        <v>2017.0</v>
      </c>
      <c r="I5242" s="1" t="s">
        <v>32</v>
      </c>
      <c r="J5242" s="1" t="s">
        <v>1256</v>
      </c>
      <c r="K5242" s="1" t="s">
        <v>645</v>
      </c>
      <c r="L5242" s="1" t="s">
        <v>27116</v>
      </c>
      <c r="M5242" s="2" t="s">
        <v>12</v>
      </c>
      <c r="N5242" s="4">
        <f t="shared" si="1"/>
        <v>43009</v>
      </c>
      <c r="O5242" s="5" t="str">
        <f>IFERROR(__xludf.DUMMYFUNCTION("IF(REGEXMATCH(TRIM(I5242), ""^\d+\s*min""), ""Unclassified"", IF(I5242 = """", ""NR"", I5242))"),"PG-13")</f>
        <v>PG-13</v>
      </c>
      <c r="R5242" s="5" t="str">
        <f t="shared" si="2"/>
        <v>Generation Iron 2</v>
      </c>
      <c r="S5242" s="5" t="str">
        <f>IFERROR(__xludf.DUMMYFUNCTION("""COMPUTED_VALUE"""),"One Lagos Night")</f>
        <v>One Lagos Night</v>
      </c>
      <c r="V5242" s="5"/>
      <c r="Y5242" s="5" t="str">
        <f>IFERROR(__xludf.DUMMYFUNCTION("REGEXEXTRACT(J5242, ""^\d+"")"),"107")</f>
        <v>107</v>
      </c>
      <c r="Z5242" s="5" t="str">
        <f>IFERROR(__xludf.DUMMYFUNCTION("REGEXEXTRACT(J5242, ""[A-Za-z ]+$"")")," min")</f>
        <v> min</v>
      </c>
      <c r="AA5242" s="5" t="str">
        <f>IFERROR(__xludf.DUMMYFUNCTION("IF(REGEXMATCH(Z5242, ""Season""), ""TV Show"", ""Movie"")"),"Movie")</f>
        <v>Movie</v>
      </c>
    </row>
    <row r="5243">
      <c r="A5243" s="1" t="s">
        <v>27117</v>
      </c>
      <c r="B5243" s="1" t="s">
        <v>27</v>
      </c>
      <c r="C5243" s="1" t="s">
        <v>27118</v>
      </c>
      <c r="D5243" s="1" t="s">
        <v>12409</v>
      </c>
      <c r="E5243" s="1" t="s">
        <v>27119</v>
      </c>
      <c r="F5243" s="1" t="s">
        <v>1106</v>
      </c>
      <c r="G5243" s="1" t="s">
        <v>27097</v>
      </c>
      <c r="H5243" s="1">
        <v>2016.0</v>
      </c>
      <c r="I5243" s="1" t="s">
        <v>289</v>
      </c>
      <c r="J5243" s="1" t="s">
        <v>5207</v>
      </c>
      <c r="K5243" s="1" t="s">
        <v>137</v>
      </c>
      <c r="L5243" s="1" t="s">
        <v>27120</v>
      </c>
      <c r="M5243" s="2" t="s">
        <v>12</v>
      </c>
      <c r="N5243" s="4">
        <f t="shared" si="1"/>
        <v>43009</v>
      </c>
      <c r="O5243" s="5" t="str">
        <f>IFERROR(__xludf.DUMMYFUNCTION("IF(REGEXMATCH(TRIM(I5243), ""^\d+\s*min""), ""Unclassified"", IF(I5243 = """", ""NR"", I5243))"),"TV-Y7")</f>
        <v>TV-Y7</v>
      </c>
      <c r="R5243" s="5" t="str">
        <f t="shared" si="2"/>
        <v>Ghost Patrol</v>
      </c>
      <c r="S5243" s="5" t="str">
        <f>IFERROR(__xludf.DUMMYFUNCTION("""COMPUTED_VALUE"""),"One Last Shot")</f>
        <v>One Last Shot</v>
      </c>
      <c r="V5243" s="5"/>
      <c r="Y5243" s="5" t="str">
        <f>IFERROR(__xludf.DUMMYFUNCTION("REGEXEXTRACT(J5243, ""^\d+"")"),"47")</f>
        <v>47</v>
      </c>
      <c r="Z5243" s="5" t="str">
        <f>IFERROR(__xludf.DUMMYFUNCTION("REGEXEXTRACT(J5243, ""[A-Za-z ]+$"")")," min")</f>
        <v> min</v>
      </c>
      <c r="AA5243" s="5" t="str">
        <f>IFERROR(__xludf.DUMMYFUNCTION("IF(REGEXMATCH(Z5243, ""Season""), ""TV Show"", ""Movie"")"),"Movie")</f>
        <v>Movie</v>
      </c>
    </row>
    <row r="5244">
      <c r="A5244" s="1" t="s">
        <v>27121</v>
      </c>
      <c r="B5244" s="1" t="s">
        <v>37</v>
      </c>
      <c r="C5244" s="1" t="s">
        <v>27122</v>
      </c>
      <c r="E5244" s="1" t="s">
        <v>27123</v>
      </c>
      <c r="G5244" s="1" t="s">
        <v>27097</v>
      </c>
      <c r="H5244" s="1">
        <v>2012.0</v>
      </c>
      <c r="I5244" s="1" t="s">
        <v>97</v>
      </c>
      <c r="J5244" s="1" t="s">
        <v>51</v>
      </c>
      <c r="K5244" s="1" t="s">
        <v>402</v>
      </c>
      <c r="L5244" s="1" t="s">
        <v>27124</v>
      </c>
      <c r="M5244" s="2" t="s">
        <v>12</v>
      </c>
      <c r="N5244" s="4">
        <f t="shared" si="1"/>
        <v>43009</v>
      </c>
      <c r="O5244" s="5" t="str">
        <f>IFERROR(__xludf.DUMMYFUNCTION("IF(REGEXMATCH(TRIM(I5244), ""^\d+\s*min""), ""Unclassified"", IF(I5244 = """", ""NR"", I5244))"),"TV-14")</f>
        <v>TV-14</v>
      </c>
      <c r="R5244" s="5" t="str">
        <f t="shared" si="2"/>
        <v>Justice In The City</v>
      </c>
      <c r="S5244" s="5" t="str">
        <f>IFERROR(__xludf.DUMMYFUNCTION("""COMPUTED_VALUE"""),"One Last Thing")</f>
        <v>One Last Thing</v>
      </c>
      <c r="V5244" s="5"/>
      <c r="Y5244" s="5" t="str">
        <f>IFERROR(__xludf.DUMMYFUNCTION("REGEXEXTRACT(J5244, ""^\d+"")"),"1")</f>
        <v>1</v>
      </c>
      <c r="Z5244" s="5" t="str">
        <f>IFERROR(__xludf.DUMMYFUNCTION("REGEXEXTRACT(J5244, ""[A-Za-z ]+$"")")," Season")</f>
        <v> Season</v>
      </c>
      <c r="AA5244" s="5" t="str">
        <f>IFERROR(__xludf.DUMMYFUNCTION("IF(REGEXMATCH(Z5244, ""Season""), ""TV Show"", ""Movie"")"),"TV Show")</f>
        <v>TV Show</v>
      </c>
    </row>
    <row r="5245">
      <c r="A5245" s="1" t="s">
        <v>27125</v>
      </c>
      <c r="B5245" s="1" t="s">
        <v>37</v>
      </c>
      <c r="C5245" s="1" t="s">
        <v>27126</v>
      </c>
      <c r="F5245" s="1" t="s">
        <v>27127</v>
      </c>
      <c r="G5245" s="1" t="s">
        <v>27097</v>
      </c>
      <c r="H5245" s="1">
        <v>2016.0</v>
      </c>
      <c r="I5245" s="1" t="s">
        <v>206</v>
      </c>
      <c r="J5245" s="1" t="s">
        <v>43</v>
      </c>
      <c r="K5245" s="1" t="s">
        <v>290</v>
      </c>
      <c r="L5245" s="1" t="s">
        <v>27128</v>
      </c>
      <c r="M5245" s="2" t="s">
        <v>12</v>
      </c>
      <c r="N5245" s="4">
        <f t="shared" si="1"/>
        <v>43009</v>
      </c>
      <c r="O5245" s="5" t="str">
        <f>IFERROR(__xludf.DUMMYFUNCTION("IF(REGEXMATCH(TRIM(I5245), ""^\d+\s*min""), ""Unclassified"", IF(I5245 = """", ""NR"", I5245))"),"TV-Y")</f>
        <v>TV-Y</v>
      </c>
      <c r="R5245" s="5" t="str">
        <f t="shared" si="2"/>
        <v>Noddy Toyland Detective</v>
      </c>
      <c r="S5245" s="5" t="str">
        <f>IFERROR(__xludf.DUMMYFUNCTION("""COMPUTED_VALUE"""),"One Like It")</f>
        <v>One Like It</v>
      </c>
      <c r="V5245" s="5"/>
      <c r="Y5245" s="5" t="str">
        <f>IFERROR(__xludf.DUMMYFUNCTION("REGEXEXTRACT(J5245, ""^\d+"")"),"2")</f>
        <v>2</v>
      </c>
      <c r="Z5245" s="5" t="str">
        <f>IFERROR(__xludf.DUMMYFUNCTION("REGEXEXTRACT(J5245, ""[A-Za-z ]+$"")")," Seasons")</f>
        <v> Seasons</v>
      </c>
      <c r="AA5245" s="5" t="str">
        <f>IFERROR(__xludf.DUMMYFUNCTION("IF(REGEXMATCH(Z5245, ""Season""), ""TV Show"", ""Movie"")"),"TV Show")</f>
        <v>TV Show</v>
      </c>
    </row>
    <row r="5246">
      <c r="A5246" s="1" t="s">
        <v>27129</v>
      </c>
      <c r="B5246" s="1" t="s">
        <v>37</v>
      </c>
      <c r="C5246" s="1" t="s">
        <v>27130</v>
      </c>
      <c r="E5246" s="1" t="s">
        <v>27131</v>
      </c>
      <c r="F5246" s="1" t="s">
        <v>30</v>
      </c>
      <c r="G5246" s="1" t="s">
        <v>27097</v>
      </c>
      <c r="H5246" s="1">
        <v>2004.0</v>
      </c>
      <c r="I5246" s="1" t="s">
        <v>97</v>
      </c>
      <c r="J5246" s="1" t="s">
        <v>148</v>
      </c>
      <c r="K5246" s="1" t="s">
        <v>9468</v>
      </c>
      <c r="L5246" s="1" t="s">
        <v>27132</v>
      </c>
      <c r="M5246" s="2" t="s">
        <v>12</v>
      </c>
      <c r="N5246" s="4">
        <f t="shared" si="1"/>
        <v>43009</v>
      </c>
      <c r="O5246" s="5" t="str">
        <f>IFERROR(__xludf.DUMMYFUNCTION("IF(REGEXMATCH(TRIM(I5246), ""^\d+\s*min""), ""Unclassified"", IF(I5246 = """", ""NR"", I5246))"),"TV-14")</f>
        <v>TV-14</v>
      </c>
      <c r="R5246" s="5" t="str">
        <f t="shared" si="2"/>
        <v>Star Trek: Enterprise</v>
      </c>
      <c r="S5246" s="5" t="str">
        <f>IFERROR(__xludf.DUMMYFUNCTION("""COMPUTED_VALUE"""),"One More Shot")</f>
        <v>One More Shot</v>
      </c>
      <c r="V5246" s="5"/>
      <c r="Y5246" s="5" t="str">
        <f>IFERROR(__xludf.DUMMYFUNCTION("REGEXEXTRACT(J5246, ""^\d+"")"),"4")</f>
        <v>4</v>
      </c>
      <c r="Z5246" s="5" t="str">
        <f>IFERROR(__xludf.DUMMYFUNCTION("REGEXEXTRACT(J5246, ""[A-Za-z ]+$"")")," Seasons")</f>
        <v> Seasons</v>
      </c>
      <c r="AA5246" s="5" t="str">
        <f>IFERROR(__xludf.DUMMYFUNCTION("IF(REGEXMATCH(Z5246, ""Season""), ""TV Show"", ""Movie"")"),"TV Show")</f>
        <v>TV Show</v>
      </c>
    </row>
    <row r="5247">
      <c r="A5247" s="1" t="s">
        <v>27133</v>
      </c>
      <c r="B5247" s="1" t="s">
        <v>37</v>
      </c>
      <c r="C5247" s="1" t="s">
        <v>27134</v>
      </c>
      <c r="E5247" s="1" t="s">
        <v>27135</v>
      </c>
      <c r="F5247" s="1" t="s">
        <v>30</v>
      </c>
      <c r="G5247" s="1" t="s">
        <v>27097</v>
      </c>
      <c r="H5247" s="1">
        <v>2000.0</v>
      </c>
      <c r="I5247" s="1" t="s">
        <v>136</v>
      </c>
      <c r="J5247" s="1" t="s">
        <v>1809</v>
      </c>
      <c r="K5247" s="1" t="s">
        <v>2583</v>
      </c>
      <c r="L5247" s="1" t="s">
        <v>27136</v>
      </c>
      <c r="M5247" s="2" t="s">
        <v>12</v>
      </c>
      <c r="N5247" s="4">
        <f t="shared" si="1"/>
        <v>43009</v>
      </c>
      <c r="O5247" s="5" t="str">
        <f>IFERROR(__xludf.DUMMYFUNCTION("IF(REGEXMATCH(TRIM(I5247), ""^\d+\s*min""), ""Unclassified"", IF(I5247 = """", ""NR"", I5247))"),"TV-PG")</f>
        <v>TV-PG</v>
      </c>
      <c r="R5247" s="5" t="str">
        <f t="shared" si="2"/>
        <v>Star Trek: Voyager</v>
      </c>
      <c r="S5247" s="5" t="str">
        <f>IFERROR(__xludf.DUMMYFUNCTION("""COMPUTED_VALUE"""),"One More Time")</f>
        <v>One More Time</v>
      </c>
      <c r="V5247" s="5"/>
      <c r="Y5247" s="5" t="str">
        <f>IFERROR(__xludf.DUMMYFUNCTION("REGEXEXTRACT(J5247, ""^\d+"")"),"7")</f>
        <v>7</v>
      </c>
      <c r="Z5247" s="5" t="str">
        <f>IFERROR(__xludf.DUMMYFUNCTION("REGEXEXTRACT(J5247, ""[A-Za-z ]+$"")")," Seasons")</f>
        <v> Seasons</v>
      </c>
      <c r="AA5247" s="5" t="str">
        <f>IFERROR(__xludf.DUMMYFUNCTION("IF(REGEXMATCH(Z5247, ""Season""), ""TV Show"", ""Movie"")"),"TV Show")</f>
        <v>TV Show</v>
      </c>
    </row>
    <row r="5248">
      <c r="A5248" s="1" t="s">
        <v>27137</v>
      </c>
      <c r="B5248" s="1" t="s">
        <v>37</v>
      </c>
      <c r="C5248" s="1" t="s">
        <v>27138</v>
      </c>
      <c r="E5248" s="1" t="s">
        <v>27139</v>
      </c>
      <c r="F5248" s="1" t="s">
        <v>9219</v>
      </c>
      <c r="G5248" s="1" t="s">
        <v>27097</v>
      </c>
      <c r="H5248" s="1">
        <v>2013.0</v>
      </c>
      <c r="I5248" s="1" t="s">
        <v>97</v>
      </c>
      <c r="J5248" s="1" t="s">
        <v>51</v>
      </c>
      <c r="K5248" s="1" t="s">
        <v>1907</v>
      </c>
      <c r="L5248" s="1" t="s">
        <v>27140</v>
      </c>
      <c r="M5248" s="2" t="s">
        <v>12</v>
      </c>
      <c r="N5248" s="4">
        <f t="shared" si="1"/>
        <v>43009</v>
      </c>
      <c r="O5248" s="5" t="str">
        <f>IFERROR(__xludf.DUMMYFUNCTION("IF(REGEXMATCH(TRIM(I5248), ""^\d+\s*min""), ""Unclassified"", IF(I5248 = """", ""NR"", I5248))"),"TV-14")</f>
        <v>TV-14</v>
      </c>
      <c r="R5248" s="5" t="str">
        <f t="shared" si="2"/>
        <v>Sudden</v>
      </c>
      <c r="S5248" s="5" t="str">
        <f>IFERROR(__xludf.DUMMYFUNCTION("""COMPUTED_VALUE"""),"One More Try")</f>
        <v>One More Try</v>
      </c>
      <c r="V5248" s="5"/>
      <c r="Y5248" s="5" t="str">
        <f>IFERROR(__xludf.DUMMYFUNCTION("REGEXEXTRACT(J5248, ""^\d+"")"),"1")</f>
        <v>1</v>
      </c>
      <c r="Z5248" s="5" t="str">
        <f>IFERROR(__xludf.DUMMYFUNCTION("REGEXEXTRACT(J5248, ""[A-Za-z ]+$"")")," Season")</f>
        <v> Season</v>
      </c>
      <c r="AA5248" s="5" t="str">
        <f>IFERROR(__xludf.DUMMYFUNCTION("IF(REGEXMATCH(Z5248, ""Season""), ""TV Show"", ""Movie"")"),"TV Show")</f>
        <v>TV Show</v>
      </c>
    </row>
    <row r="5249">
      <c r="A5249" s="1" t="s">
        <v>27141</v>
      </c>
      <c r="B5249" s="1" t="s">
        <v>37</v>
      </c>
      <c r="C5249" s="1" t="s">
        <v>27142</v>
      </c>
      <c r="E5249" s="1" t="s">
        <v>27143</v>
      </c>
      <c r="F5249" s="1" t="s">
        <v>9219</v>
      </c>
      <c r="G5249" s="1" t="s">
        <v>27097</v>
      </c>
      <c r="H5249" s="1">
        <v>2009.0</v>
      </c>
      <c r="I5249" s="1" t="s">
        <v>97</v>
      </c>
      <c r="J5249" s="1" t="s">
        <v>51</v>
      </c>
      <c r="K5249" s="1" t="s">
        <v>1907</v>
      </c>
      <c r="L5249" s="1" t="s">
        <v>27144</v>
      </c>
      <c r="M5249" s="2" t="s">
        <v>12</v>
      </c>
      <c r="N5249" s="4">
        <f t="shared" si="1"/>
        <v>43009</v>
      </c>
      <c r="O5249" s="5" t="str">
        <f>IFERROR(__xludf.DUMMYFUNCTION("IF(REGEXMATCH(TRIM(I5249), ""^\d+\s*min""), ""Unclassified"", IF(I5249 = """", ""NR"", I5249))"),"TV-14")</f>
        <v>TV-14</v>
      </c>
      <c r="R5249" s="5" t="str">
        <f t="shared" si="2"/>
        <v>The Dream Catchers</v>
      </c>
      <c r="S5249" s="5" t="str">
        <f>IFERROR(__xludf.DUMMYFUNCTION("""COMPUTED_VALUE"""),"One Night Stand")</f>
        <v>One Night Stand</v>
      </c>
      <c r="V5249" s="5"/>
      <c r="Y5249" s="5" t="str">
        <f>IFERROR(__xludf.DUMMYFUNCTION("REGEXEXTRACT(J5249, ""^\d+"")"),"1")</f>
        <v>1</v>
      </c>
      <c r="Z5249" s="5" t="str">
        <f>IFERROR(__xludf.DUMMYFUNCTION("REGEXEXTRACT(J5249, ""[A-Za-z ]+$"")")," Season")</f>
        <v> Season</v>
      </c>
      <c r="AA5249" s="5" t="str">
        <f>IFERROR(__xludf.DUMMYFUNCTION("IF(REGEXMATCH(Z5249, ""Season""), ""TV Show"", ""Movie"")"),"TV Show")</f>
        <v>TV Show</v>
      </c>
    </row>
    <row r="5250">
      <c r="A5250" s="1" t="s">
        <v>27145</v>
      </c>
      <c r="B5250" s="1" t="s">
        <v>27</v>
      </c>
      <c r="C5250" s="1" t="s">
        <v>27146</v>
      </c>
      <c r="D5250" s="1" t="s">
        <v>23162</v>
      </c>
      <c r="E5250" s="1" t="s">
        <v>27147</v>
      </c>
      <c r="F5250" s="1" t="s">
        <v>27148</v>
      </c>
      <c r="G5250" s="1" t="s">
        <v>27097</v>
      </c>
      <c r="H5250" s="1">
        <v>2016.0</v>
      </c>
      <c r="I5250" s="1" t="s">
        <v>97</v>
      </c>
      <c r="J5250" s="1" t="s">
        <v>870</v>
      </c>
      <c r="K5250" s="1" t="s">
        <v>128</v>
      </c>
      <c r="L5250" s="1" t="s">
        <v>27149</v>
      </c>
      <c r="M5250" s="2" t="s">
        <v>12</v>
      </c>
      <c r="N5250" s="4">
        <f t="shared" si="1"/>
        <v>43009</v>
      </c>
      <c r="O5250" s="5" t="str">
        <f>IFERROR(__xludf.DUMMYFUNCTION("IF(REGEXMATCH(TRIM(I5250), ""^\d+\s*min""), ""Unclassified"", IF(I5250 = """", ""NR"", I5250))"),"TV-14")</f>
        <v>TV-14</v>
      </c>
      <c r="R5250" s="5" t="str">
        <f t="shared" si="2"/>
        <v>The Lion Woman</v>
      </c>
      <c r="S5250" s="5" t="str">
        <f>IFERROR(__xludf.DUMMYFUNCTION("""COMPUTED_VALUE"""),"One Of Us")</f>
        <v>One Of Us</v>
      </c>
      <c r="V5250" s="5"/>
      <c r="Y5250" s="5" t="str">
        <f>IFERROR(__xludf.DUMMYFUNCTION("REGEXEXTRACT(J5250, ""^\d+"")"),"118")</f>
        <v>118</v>
      </c>
      <c r="Z5250" s="5" t="str">
        <f>IFERROR(__xludf.DUMMYFUNCTION("REGEXEXTRACT(J5250, ""[A-Za-z ]+$"")")," min")</f>
        <v> min</v>
      </c>
      <c r="AA5250" s="5" t="str">
        <f>IFERROR(__xludf.DUMMYFUNCTION("IF(REGEXMATCH(Z5250, ""Season""), ""TV Show"", ""Movie"")"),"Movie")</f>
        <v>Movie</v>
      </c>
    </row>
    <row r="5251">
      <c r="A5251" s="1" t="s">
        <v>27150</v>
      </c>
      <c r="B5251" s="1" t="s">
        <v>27</v>
      </c>
      <c r="C5251" s="1" t="s">
        <v>27151</v>
      </c>
      <c r="D5251" s="1" t="s">
        <v>4148</v>
      </c>
      <c r="E5251" s="1" t="s">
        <v>27152</v>
      </c>
      <c r="F5251" s="1" t="s">
        <v>162</v>
      </c>
      <c r="G5251" s="1" t="s">
        <v>27097</v>
      </c>
      <c r="H5251" s="1">
        <v>2017.0</v>
      </c>
      <c r="I5251" s="1" t="s">
        <v>42</v>
      </c>
      <c r="J5251" s="1" t="s">
        <v>2452</v>
      </c>
      <c r="K5251" s="1" t="s">
        <v>89</v>
      </c>
      <c r="L5251" s="1" t="s">
        <v>27153</v>
      </c>
      <c r="M5251" s="2" t="s">
        <v>12</v>
      </c>
      <c r="N5251" s="4">
        <f t="shared" si="1"/>
        <v>43009</v>
      </c>
      <c r="O5251" s="5" t="str">
        <f>IFERROR(__xludf.DUMMYFUNCTION("IF(REGEXMATCH(TRIM(I5251), ""^\d+\s*min""), ""Unclassified"", IF(I5251 = """", ""NR"", I5251))"),"TV-MA")</f>
        <v>TV-MA</v>
      </c>
      <c r="R5251" s="5" t="str">
        <f t="shared" si="2"/>
        <v>Verónica</v>
      </c>
      <c r="S5251" s="5" t="str">
        <f>IFERROR(__xludf.DUMMYFUNCTION("""COMPUTED_VALUE"""),"One On One")</f>
        <v>One On One</v>
      </c>
      <c r="V5251" s="5"/>
      <c r="Y5251" s="5" t="str">
        <f>IFERROR(__xludf.DUMMYFUNCTION("REGEXEXTRACT(J5251, ""^\d+"")"),"81")</f>
        <v>81</v>
      </c>
      <c r="Z5251" s="5" t="str">
        <f>IFERROR(__xludf.DUMMYFUNCTION("REGEXEXTRACT(J5251, ""[A-Za-z ]+$"")")," min")</f>
        <v> min</v>
      </c>
      <c r="AA5251" s="5" t="str">
        <f>IFERROR(__xludf.DUMMYFUNCTION("IF(REGEXMATCH(Z5251, ""Season""), ""TV Show"", ""Movie"")"),"Movie")</f>
        <v>Movie</v>
      </c>
    </row>
    <row r="5252">
      <c r="A5252" s="1" t="s">
        <v>27154</v>
      </c>
      <c r="B5252" s="1" t="s">
        <v>37</v>
      </c>
      <c r="C5252" s="1" t="s">
        <v>27155</v>
      </c>
      <c r="E5252" s="1" t="s">
        <v>27156</v>
      </c>
      <c r="F5252" s="1" t="s">
        <v>2059</v>
      </c>
      <c r="G5252" s="1" t="s">
        <v>27097</v>
      </c>
      <c r="H5252" s="1">
        <v>2017.0</v>
      </c>
      <c r="I5252" s="1" t="s">
        <v>97</v>
      </c>
      <c r="J5252" s="1" t="s">
        <v>51</v>
      </c>
      <c r="K5252" s="1" t="s">
        <v>402</v>
      </c>
      <c r="L5252" s="1" t="s">
        <v>27157</v>
      </c>
      <c r="M5252" s="2" t="s">
        <v>12</v>
      </c>
      <c r="N5252" s="4">
        <f t="shared" si="1"/>
        <v>43009</v>
      </c>
      <c r="O5252" s="5" t="str">
        <f>IFERROR(__xludf.DUMMYFUNCTION("IF(REGEXMATCH(TRIM(I5252), ""^\d+\s*min""), ""Unclassified"", IF(I5252 = """", ""NR"", I5252))"),"TV-14")</f>
        <v>TV-14</v>
      </c>
      <c r="R5252" s="5" t="str">
        <f t="shared" si="2"/>
        <v>What She Put On The Table</v>
      </c>
      <c r="S5252" s="5" t="str">
        <f>IFERROR(__xludf.DUMMYFUNCTION("""COMPUTED_VALUE"""),"One Piece")</f>
        <v>One Piece</v>
      </c>
      <c r="V5252" s="5"/>
      <c r="Y5252" s="5" t="str">
        <f>IFERROR(__xludf.DUMMYFUNCTION("REGEXEXTRACT(J5252, ""^\d+"")"),"1")</f>
        <v>1</v>
      </c>
      <c r="Z5252" s="5" t="str">
        <f>IFERROR(__xludf.DUMMYFUNCTION("REGEXEXTRACT(J5252, ""[A-Za-z ]+$"")")," Season")</f>
        <v> Season</v>
      </c>
      <c r="AA5252" s="5" t="str">
        <f>IFERROR(__xludf.DUMMYFUNCTION("IF(REGEXMATCH(Z5252, ""Season""), ""TV Show"", ""Movie"")"),"TV Show")</f>
        <v>TV Show</v>
      </c>
    </row>
    <row r="5253">
      <c r="A5253" s="1" t="s">
        <v>27158</v>
      </c>
      <c r="B5253" s="1" t="s">
        <v>37</v>
      </c>
      <c r="C5253" s="1" t="s">
        <v>27159</v>
      </c>
      <c r="F5253" s="1" t="s">
        <v>96</v>
      </c>
      <c r="G5253" s="1" t="s">
        <v>27160</v>
      </c>
      <c r="H5253" s="1">
        <v>2017.0</v>
      </c>
      <c r="I5253" s="1" t="s">
        <v>42</v>
      </c>
      <c r="J5253" s="1" t="s">
        <v>51</v>
      </c>
      <c r="K5253" s="1" t="s">
        <v>544</v>
      </c>
      <c r="L5253" s="1" t="s">
        <v>27161</v>
      </c>
      <c r="M5253" s="2" t="s">
        <v>12</v>
      </c>
      <c r="N5253" s="4">
        <f t="shared" si="1"/>
        <v>43008</v>
      </c>
      <c r="O5253" s="5" t="str">
        <f>IFERROR(__xludf.DUMMYFUNCTION("IF(REGEXMATCH(TRIM(I5253), ""^\d+\s*min""), ""Unclassified"", IF(I5253 = """", ""NR"", I5253))"),"TV-MA")</f>
        <v>TV-MA</v>
      </c>
      <c r="R5253" s="5" t="str">
        <f t="shared" si="2"/>
        <v>The Royal House Of Windsor</v>
      </c>
      <c r="S5253" s="5" t="str">
        <f>IFERROR(__xludf.DUMMYFUNCTION("""COMPUTED_VALUE"""),"One Spring Night")</f>
        <v>One Spring Night</v>
      </c>
      <c r="V5253" s="5"/>
      <c r="Y5253" s="5" t="str">
        <f>IFERROR(__xludf.DUMMYFUNCTION("REGEXEXTRACT(J5253, ""^\d+"")"),"1")</f>
        <v>1</v>
      </c>
      <c r="Z5253" s="5" t="str">
        <f>IFERROR(__xludf.DUMMYFUNCTION("REGEXEXTRACT(J5253, ""[A-Za-z ]+$"")")," Season")</f>
        <v> Season</v>
      </c>
      <c r="AA5253" s="5" t="str">
        <f>IFERROR(__xludf.DUMMYFUNCTION("IF(REGEXMATCH(Z5253, ""Season""), ""TV Show"", ""Movie"")"),"TV Show")</f>
        <v>TV Show</v>
      </c>
    </row>
    <row r="5254">
      <c r="A5254" s="1" t="s">
        <v>27162</v>
      </c>
      <c r="B5254" s="1" t="s">
        <v>27</v>
      </c>
      <c r="C5254" s="1" t="s">
        <v>27163</v>
      </c>
      <c r="D5254" s="1" t="s">
        <v>69</v>
      </c>
      <c r="E5254" s="1" t="s">
        <v>27164</v>
      </c>
      <c r="F5254" s="1" t="s">
        <v>30</v>
      </c>
      <c r="G5254" s="1" t="s">
        <v>27165</v>
      </c>
      <c r="H5254" s="1">
        <v>2017.0</v>
      </c>
      <c r="I5254" s="1" t="s">
        <v>42</v>
      </c>
      <c r="J5254" s="1" t="s">
        <v>238</v>
      </c>
      <c r="K5254" s="1" t="s">
        <v>3768</v>
      </c>
      <c r="L5254" s="1" t="s">
        <v>27166</v>
      </c>
      <c r="M5254" s="2" t="s">
        <v>12</v>
      </c>
      <c r="N5254" s="4">
        <f t="shared" si="1"/>
        <v>43007</v>
      </c>
      <c r="O5254" s="5" t="str">
        <f>IFERROR(__xludf.DUMMYFUNCTION("IF(REGEXMATCH(TRIM(I5254), ""^\d+\s*min""), ""Unclassified"", IF(I5254 = """", ""NR"", I5254))"),"TV-MA")</f>
        <v>TV-MA</v>
      </c>
      <c r="R5254" s="5" t="str">
        <f t="shared" si="2"/>
        <v>Gerald'S Game</v>
      </c>
      <c r="S5254" s="5" t="str">
        <f>IFERROR(__xludf.DUMMYFUNCTION("""COMPUTED_VALUE"""),"One Strange Rock")</f>
        <v>One Strange Rock</v>
      </c>
      <c r="V5254" s="5"/>
      <c r="Y5254" s="5" t="str">
        <f>IFERROR(__xludf.DUMMYFUNCTION("REGEXEXTRACT(J5254, ""^\d+"")"),"103")</f>
        <v>103</v>
      </c>
      <c r="Z5254" s="5" t="str">
        <f>IFERROR(__xludf.DUMMYFUNCTION("REGEXEXTRACT(J5254, ""[A-Za-z ]+$"")")," min")</f>
        <v> min</v>
      </c>
      <c r="AA5254" s="5" t="str">
        <f>IFERROR(__xludf.DUMMYFUNCTION("IF(REGEXMATCH(Z5254, ""Season""), ""TV Show"", ""Movie"")"),"Movie")</f>
        <v>Movie</v>
      </c>
    </row>
    <row r="5255">
      <c r="A5255" s="1" t="s">
        <v>27167</v>
      </c>
      <c r="B5255" s="1" t="s">
        <v>27</v>
      </c>
      <c r="C5255" s="1" t="s">
        <v>27168</v>
      </c>
      <c r="D5255" s="1" t="s">
        <v>27169</v>
      </c>
      <c r="F5255" s="1" t="s">
        <v>30</v>
      </c>
      <c r="G5255" s="1" t="s">
        <v>27165</v>
      </c>
      <c r="H5255" s="1">
        <v>2017.0</v>
      </c>
      <c r="I5255" s="1" t="s">
        <v>97</v>
      </c>
      <c r="J5255" s="1" t="s">
        <v>18322</v>
      </c>
      <c r="K5255" s="1" t="s">
        <v>34</v>
      </c>
      <c r="L5255" s="1" t="s">
        <v>27170</v>
      </c>
      <c r="M5255" s="2" t="s">
        <v>12</v>
      </c>
      <c r="N5255" s="4">
        <f t="shared" si="1"/>
        <v>43007</v>
      </c>
      <c r="O5255" s="5" t="str">
        <f>IFERROR(__xludf.DUMMYFUNCTION("IF(REGEXMATCH(TRIM(I5255), ""^\d+\s*min""), ""Unclassified"", IF(I5255 = """", ""NR"", I5255))"),"TV-14")</f>
        <v>TV-14</v>
      </c>
      <c r="R5255" s="5" t="str">
        <f t="shared" si="2"/>
        <v>Long Shot</v>
      </c>
      <c r="S5255" s="5" t="str">
        <f>IFERROR(__xludf.DUMMYFUNCTION("""COMPUTED_VALUE"""),"One Take")</f>
        <v>One Take</v>
      </c>
      <c r="V5255" s="5"/>
      <c r="Y5255" s="5" t="str">
        <f>IFERROR(__xludf.DUMMYFUNCTION("REGEXEXTRACT(J5255, ""^\d+"")"),"40")</f>
        <v>40</v>
      </c>
      <c r="Z5255" s="5" t="str">
        <f>IFERROR(__xludf.DUMMYFUNCTION("REGEXEXTRACT(J5255, ""[A-Za-z ]+$"")")," min")</f>
        <v> min</v>
      </c>
      <c r="AA5255" s="5" t="str">
        <f>IFERROR(__xludf.DUMMYFUNCTION("IF(REGEXMATCH(Z5255, ""Season""), ""TV Show"", ""Movie"")"),"Movie")</f>
        <v>Movie</v>
      </c>
    </row>
    <row r="5256">
      <c r="A5256" s="1" t="s">
        <v>27171</v>
      </c>
      <c r="B5256" s="1" t="s">
        <v>37</v>
      </c>
      <c r="C5256" s="1" t="s">
        <v>27172</v>
      </c>
      <c r="E5256" s="1" t="s">
        <v>27173</v>
      </c>
      <c r="G5256" s="1" t="s">
        <v>27165</v>
      </c>
      <c r="H5256" s="1">
        <v>2015.0</v>
      </c>
      <c r="I5256" s="1" t="s">
        <v>136</v>
      </c>
      <c r="J5256" s="1" t="s">
        <v>51</v>
      </c>
      <c r="K5256" s="1" t="s">
        <v>1531</v>
      </c>
      <c r="L5256" s="1" t="s">
        <v>27174</v>
      </c>
      <c r="M5256" s="2" t="s">
        <v>12</v>
      </c>
      <c r="N5256" s="4">
        <f t="shared" si="1"/>
        <v>43007</v>
      </c>
      <c r="O5256" s="5" t="str">
        <f>IFERROR(__xludf.DUMMYFUNCTION("IF(REGEXMATCH(TRIM(I5256), ""^\d+\s*min""), ""Unclassified"", IF(I5256 = """", ""NR"", I5256))"),"TV-PG")</f>
        <v>TV-PG</v>
      </c>
      <c r="R5256" s="5" t="str">
        <f t="shared" si="2"/>
        <v>Mak Cun</v>
      </c>
      <c r="S5256" s="5" t="str">
        <f>IFERROR(__xludf.DUMMYFUNCTION("""COMPUTED_VALUE"""),"One-Punch Man")</f>
        <v>One-Punch Man</v>
      </c>
      <c r="V5256" s="5"/>
      <c r="Y5256" s="5" t="str">
        <f>IFERROR(__xludf.DUMMYFUNCTION("REGEXEXTRACT(J5256, ""^\d+"")"),"1")</f>
        <v>1</v>
      </c>
      <c r="Z5256" s="5" t="str">
        <f>IFERROR(__xludf.DUMMYFUNCTION("REGEXEXTRACT(J5256, ""[A-Za-z ]+$"")")," Season")</f>
        <v> Season</v>
      </c>
      <c r="AA5256" s="5" t="str">
        <f>IFERROR(__xludf.DUMMYFUNCTION("IF(REGEXMATCH(Z5256, ""Season""), ""TV Show"", ""Movie"")"),"TV Show")</f>
        <v>TV Show</v>
      </c>
    </row>
    <row r="5257">
      <c r="A5257" s="1" t="s">
        <v>27175</v>
      </c>
      <c r="B5257" s="1" t="s">
        <v>27</v>
      </c>
      <c r="C5257" s="1" t="s">
        <v>27176</v>
      </c>
      <c r="D5257" s="1" t="s">
        <v>19288</v>
      </c>
      <c r="E5257" s="1" t="s">
        <v>27177</v>
      </c>
      <c r="F5257" s="1" t="s">
        <v>30</v>
      </c>
      <c r="G5257" s="1" t="s">
        <v>27165</v>
      </c>
      <c r="H5257" s="1">
        <v>2017.0</v>
      </c>
      <c r="I5257" s="1" t="s">
        <v>97</v>
      </c>
      <c r="J5257" s="1" t="s">
        <v>238</v>
      </c>
      <c r="K5257" s="1" t="s">
        <v>828</v>
      </c>
      <c r="L5257" s="1" t="s">
        <v>27178</v>
      </c>
      <c r="M5257" s="2" t="s">
        <v>12</v>
      </c>
      <c r="N5257" s="4">
        <f t="shared" si="1"/>
        <v>43007</v>
      </c>
      <c r="O5257" s="5" t="str">
        <f>IFERROR(__xludf.DUMMYFUNCTION("IF(REGEXMATCH(TRIM(I5257), ""^\d+\s*min""), ""Unclassified"", IF(I5257 = """", ""NR"", I5257))"),"TV-14")</f>
        <v>TV-14</v>
      </c>
      <c r="R5257" s="5" t="str">
        <f t="shared" si="2"/>
        <v>Our Souls At Night</v>
      </c>
      <c r="S5257" s="5" t="str">
        <f>IFERROR(__xludf.DUMMYFUNCTION("""COMPUTED_VALUE"""),"One-Way To Tomorrow")</f>
        <v>One-Way To Tomorrow</v>
      </c>
      <c r="V5257" s="5"/>
      <c r="Y5257" s="5" t="str">
        <f>IFERROR(__xludf.DUMMYFUNCTION("REGEXEXTRACT(J5257, ""^\d+"")"),"103")</f>
        <v>103</v>
      </c>
      <c r="Z5257" s="5" t="str">
        <f>IFERROR(__xludf.DUMMYFUNCTION("REGEXEXTRACT(J5257, ""[A-Za-z ]+$"")")," min")</f>
        <v> min</v>
      </c>
      <c r="AA5257" s="5" t="str">
        <f>IFERROR(__xludf.DUMMYFUNCTION("IF(REGEXMATCH(Z5257, ""Season""), ""TV Show"", ""Movie"")"),"Movie")</f>
        <v>Movie</v>
      </c>
    </row>
    <row r="5258">
      <c r="A5258" s="1" t="s">
        <v>27179</v>
      </c>
      <c r="B5258" s="1" t="s">
        <v>27</v>
      </c>
      <c r="C5258" s="1" t="s">
        <v>27180</v>
      </c>
      <c r="D5258" s="1" t="s">
        <v>6766</v>
      </c>
      <c r="G5258" s="1" t="s">
        <v>27165</v>
      </c>
      <c r="H5258" s="1">
        <v>2017.0</v>
      </c>
      <c r="I5258" s="1" t="s">
        <v>42</v>
      </c>
      <c r="J5258" s="1" t="s">
        <v>471</v>
      </c>
      <c r="K5258" s="1" t="s">
        <v>156</v>
      </c>
      <c r="L5258" s="1" t="s">
        <v>27181</v>
      </c>
      <c r="M5258" s="2" t="s">
        <v>12</v>
      </c>
      <c r="N5258" s="4">
        <f t="shared" si="1"/>
        <v>43007</v>
      </c>
      <c r="O5258" s="5" t="str">
        <f>IFERROR(__xludf.DUMMYFUNCTION("IF(REGEXMATCH(TRIM(I5258), ""^\d+\s*min""), ""Unclassified"", IF(I5258 = """", ""NR"", I5258))"),"TV-MA")</f>
        <v>TV-MA</v>
      </c>
      <c r="R5258" s="5" t="str">
        <f t="shared" si="2"/>
        <v>Out Of Thin Air</v>
      </c>
      <c r="S5258" s="5" t="str">
        <f>IFERROR(__xludf.DUMMYFUNCTION("""COMPUTED_VALUE"""),"Only")</f>
        <v>Only</v>
      </c>
      <c r="V5258" s="5"/>
      <c r="Y5258" s="5" t="str">
        <f>IFERROR(__xludf.DUMMYFUNCTION("REGEXEXTRACT(J5258, ""^\d+"")"),"85")</f>
        <v>85</v>
      </c>
      <c r="Z5258" s="5" t="str">
        <f>IFERROR(__xludf.DUMMYFUNCTION("REGEXEXTRACT(J5258, ""[A-Za-z ]+$"")")," min")</f>
        <v> min</v>
      </c>
      <c r="AA5258" s="5" t="str">
        <f>IFERROR(__xludf.DUMMYFUNCTION("IF(REGEXMATCH(Z5258, ""Season""), ""TV Show"", ""Movie"")"),"Movie")</f>
        <v>Movie</v>
      </c>
    </row>
    <row r="5259">
      <c r="A5259" s="1" t="s">
        <v>27182</v>
      </c>
      <c r="B5259" s="1" t="s">
        <v>37</v>
      </c>
      <c r="C5259" s="1" t="s">
        <v>27183</v>
      </c>
      <c r="E5259" s="1" t="s">
        <v>27184</v>
      </c>
      <c r="F5259" s="1" t="s">
        <v>96</v>
      </c>
      <c r="G5259" s="1" t="s">
        <v>27165</v>
      </c>
      <c r="H5259" s="1">
        <v>2017.0</v>
      </c>
      <c r="I5259" s="1" t="s">
        <v>97</v>
      </c>
      <c r="J5259" s="1" t="s">
        <v>51</v>
      </c>
      <c r="K5259" s="1" t="s">
        <v>544</v>
      </c>
      <c r="L5259" s="1" t="s">
        <v>27185</v>
      </c>
      <c r="M5259" s="2" t="s">
        <v>12</v>
      </c>
      <c r="N5259" s="4">
        <f t="shared" si="1"/>
        <v>43007</v>
      </c>
      <c r="O5259" s="5" t="str">
        <f>IFERROR(__xludf.DUMMYFUNCTION("IF(REGEXMATCH(TRIM(I5259), ""^\d+\s*min""), ""Unclassified"", IF(I5259 = """", ""NR"", I5259))"),"TV-14")</f>
        <v>TV-14</v>
      </c>
      <c r="R5259" s="5" t="str">
        <f t="shared" si="2"/>
        <v>Paul Hollywood'S Big Continental Road Trip</v>
      </c>
      <c r="S5259" s="5" t="str">
        <f>IFERROR(__xludf.DUMMYFUNCTION("""COMPUTED_VALUE"""),"Only God Forgives")</f>
        <v>Only God Forgives</v>
      </c>
      <c r="V5259" s="5"/>
      <c r="Y5259" s="5" t="str">
        <f>IFERROR(__xludf.DUMMYFUNCTION("REGEXEXTRACT(J5259, ""^\d+"")"),"1")</f>
        <v>1</v>
      </c>
      <c r="Z5259" s="5" t="str">
        <f>IFERROR(__xludf.DUMMYFUNCTION("REGEXEXTRACT(J5259, ""[A-Za-z ]+$"")")," Season")</f>
        <v> Season</v>
      </c>
      <c r="AA5259" s="5" t="str">
        <f>IFERROR(__xludf.DUMMYFUNCTION("IF(REGEXMATCH(Z5259, ""Season""), ""TV Show"", ""Movie"")"),"TV Show")</f>
        <v>TV Show</v>
      </c>
    </row>
    <row r="5260">
      <c r="A5260" s="1" t="s">
        <v>27186</v>
      </c>
      <c r="B5260" s="1" t="s">
        <v>37</v>
      </c>
      <c r="C5260" s="1" t="s">
        <v>27187</v>
      </c>
      <c r="E5260" s="1" t="s">
        <v>27188</v>
      </c>
      <c r="F5260" s="1" t="s">
        <v>30</v>
      </c>
      <c r="G5260" s="1" t="s">
        <v>27165</v>
      </c>
      <c r="H5260" s="1">
        <v>2017.0</v>
      </c>
      <c r="I5260" s="1" t="s">
        <v>42</v>
      </c>
      <c r="J5260" s="1" t="s">
        <v>43</v>
      </c>
      <c r="K5260" s="1" t="s">
        <v>270</v>
      </c>
      <c r="L5260" s="1" t="s">
        <v>27189</v>
      </c>
      <c r="M5260" s="2" t="s">
        <v>12</v>
      </c>
      <c r="N5260" s="4">
        <f t="shared" si="1"/>
        <v>43007</v>
      </c>
      <c r="O5260" s="5" t="str">
        <f>IFERROR(__xludf.DUMMYFUNCTION("IF(REGEXMATCH(TRIM(I5260), ""^\d+\s*min""), ""Unclassified"", IF(I5260 = """", ""NR"", I5260))"),"TV-MA")</f>
        <v>TV-MA</v>
      </c>
      <c r="R5260" s="5" t="str">
        <f t="shared" si="2"/>
        <v>Real Rob</v>
      </c>
      <c r="S5260" s="5" t="str">
        <f>IFERROR(__xludf.DUMMYFUNCTION("""COMPUTED_VALUE"""),"Only Mine")</f>
        <v>Only Mine</v>
      </c>
      <c r="V5260" s="5"/>
      <c r="Y5260" s="5" t="str">
        <f>IFERROR(__xludf.DUMMYFUNCTION("REGEXEXTRACT(J5260, ""^\d+"")"),"2")</f>
        <v>2</v>
      </c>
      <c r="Z5260" s="5" t="str">
        <f>IFERROR(__xludf.DUMMYFUNCTION("REGEXEXTRACT(J5260, ""[A-Za-z ]+$"")")," Seasons")</f>
        <v> Seasons</v>
      </c>
      <c r="AA5260" s="5" t="str">
        <f>IFERROR(__xludf.DUMMYFUNCTION("IF(REGEXMATCH(Z5260, ""Season""), ""TV Show"", ""Movie"")"),"TV Show")</f>
        <v>TV Show</v>
      </c>
    </row>
    <row r="5261">
      <c r="A5261" s="1" t="s">
        <v>27190</v>
      </c>
      <c r="B5261" s="1" t="s">
        <v>37</v>
      </c>
      <c r="C5261" s="1" t="s">
        <v>27191</v>
      </c>
      <c r="E5261" s="1" t="s">
        <v>27192</v>
      </c>
      <c r="G5261" s="1" t="s">
        <v>27165</v>
      </c>
      <c r="H5261" s="1">
        <v>2014.0</v>
      </c>
      <c r="I5261" s="1" t="s">
        <v>136</v>
      </c>
      <c r="J5261" s="1" t="s">
        <v>51</v>
      </c>
      <c r="K5261" s="1" t="s">
        <v>402</v>
      </c>
      <c r="L5261" s="1" t="s">
        <v>27193</v>
      </c>
      <c r="M5261" s="2" t="s">
        <v>12</v>
      </c>
      <c r="N5261" s="4">
        <f t="shared" si="1"/>
        <v>43007</v>
      </c>
      <c r="O5261" s="5" t="str">
        <f>IFERROR(__xludf.DUMMYFUNCTION("IF(REGEXMATCH(TRIM(I5261), ""^\d+\s*min""), ""Unclassified"", IF(I5261 = """", ""NR"", I5261))"),"TV-PG")</f>
        <v>TV-PG</v>
      </c>
      <c r="R5261" s="5" t="str">
        <f t="shared" si="2"/>
        <v>Satu Hari</v>
      </c>
      <c r="S5261" s="5" t="str">
        <f>IFERROR(__xludf.DUMMYFUNCTION("""COMPUTED_VALUE"""),"Only The Dead")</f>
        <v>Only The Dead</v>
      </c>
      <c r="V5261" s="5"/>
      <c r="Y5261" s="5" t="str">
        <f>IFERROR(__xludf.DUMMYFUNCTION("REGEXEXTRACT(J5261, ""^\d+"")"),"1")</f>
        <v>1</v>
      </c>
      <c r="Z5261" s="5" t="str">
        <f>IFERROR(__xludf.DUMMYFUNCTION("REGEXEXTRACT(J5261, ""[A-Za-z ]+$"")")," Season")</f>
        <v> Season</v>
      </c>
      <c r="AA5261" s="5" t="str">
        <f>IFERROR(__xludf.DUMMYFUNCTION("IF(REGEXMATCH(Z5261, ""Season""), ""TV Show"", ""Movie"")"),"TV Show")</f>
        <v>TV Show</v>
      </c>
    </row>
    <row r="5262">
      <c r="A5262" s="1" t="s">
        <v>27194</v>
      </c>
      <c r="B5262" s="1" t="s">
        <v>27</v>
      </c>
      <c r="C5262" s="1" t="s">
        <v>27195</v>
      </c>
      <c r="D5262" s="1" t="s">
        <v>16473</v>
      </c>
      <c r="E5262" s="1" t="s">
        <v>27196</v>
      </c>
      <c r="F5262" s="1" t="s">
        <v>27197</v>
      </c>
      <c r="G5262" s="1" t="s">
        <v>27198</v>
      </c>
      <c r="H5262" s="1">
        <v>2015.0</v>
      </c>
      <c r="I5262" s="1" t="s">
        <v>42</v>
      </c>
      <c r="J5262" s="1" t="s">
        <v>106</v>
      </c>
      <c r="K5262" s="1" t="s">
        <v>89</v>
      </c>
      <c r="L5262" s="1" t="s">
        <v>27199</v>
      </c>
      <c r="M5262" s="2" t="s">
        <v>12</v>
      </c>
      <c r="N5262" s="4">
        <f t="shared" si="1"/>
        <v>43005</v>
      </c>
      <c r="O5262" s="5" t="str">
        <f>IFERROR(__xludf.DUMMYFUNCTION("IF(REGEXMATCH(TRIM(I5262), ""^\d+\s*min""), ""Unclassified"", IF(I5262 = """", ""NR"", I5262))"),"TV-MA")</f>
        <v>TV-MA</v>
      </c>
      <c r="R5262" s="5" t="str">
        <f t="shared" si="2"/>
        <v>Much Loved</v>
      </c>
      <c r="S5262" s="5" t="str">
        <f>IFERROR(__xludf.DUMMYFUNCTION("""COMPUTED_VALUE"""),"Open Season")</f>
        <v>Open Season</v>
      </c>
      <c r="V5262" s="5"/>
      <c r="Y5262" s="5" t="str">
        <f>IFERROR(__xludf.DUMMYFUNCTION("REGEXEXTRACT(J5262, ""^\d+"")"),"104")</f>
        <v>104</v>
      </c>
      <c r="Z5262" s="5" t="str">
        <f>IFERROR(__xludf.DUMMYFUNCTION("REGEXEXTRACT(J5262, ""[A-Za-z ]+$"")")," min")</f>
        <v> min</v>
      </c>
      <c r="AA5262" s="5" t="str">
        <f>IFERROR(__xludf.DUMMYFUNCTION("IF(REGEXMATCH(Z5262, ""Season""), ""TV Show"", ""Movie"")"),"Movie")</f>
        <v>Movie</v>
      </c>
    </row>
    <row r="5263">
      <c r="A5263" s="1" t="s">
        <v>27200</v>
      </c>
      <c r="B5263" s="1" t="s">
        <v>27</v>
      </c>
      <c r="C5263" s="1" t="s">
        <v>27201</v>
      </c>
      <c r="D5263" s="1" t="s">
        <v>13957</v>
      </c>
      <c r="E5263" s="1" t="s">
        <v>27202</v>
      </c>
      <c r="F5263" s="1" t="s">
        <v>30</v>
      </c>
      <c r="G5263" s="1" t="s">
        <v>27203</v>
      </c>
      <c r="H5263" s="1">
        <v>2017.0</v>
      </c>
      <c r="I5263" s="1" t="s">
        <v>42</v>
      </c>
      <c r="J5263" s="1" t="s">
        <v>1001</v>
      </c>
      <c r="K5263" s="1" t="s">
        <v>1839</v>
      </c>
      <c r="L5263" s="1" t="s">
        <v>27204</v>
      </c>
      <c r="M5263" s="2" t="s">
        <v>12</v>
      </c>
      <c r="N5263" s="4">
        <f t="shared" si="1"/>
        <v>43004</v>
      </c>
      <c r="O5263" s="5" t="str">
        <f>IFERROR(__xludf.DUMMYFUNCTION("IF(REGEXMATCH(TRIM(I5263), ""^\d+\s*min""), ""Unclassified"", IF(I5263 = """", ""NR"", I5263))"),"TV-MA")</f>
        <v>TV-MA</v>
      </c>
      <c r="R5263" s="5" t="str">
        <f t="shared" si="2"/>
        <v>Def Comedy Jam 25</v>
      </c>
      <c r="S5263" s="5" t="str">
        <f>IFERROR(__xludf.DUMMYFUNCTION("""COMPUTED_VALUE"""),"Open Season 2")</f>
        <v>Open Season 2</v>
      </c>
      <c r="V5263" s="5"/>
      <c r="Y5263" s="5" t="str">
        <f>IFERROR(__xludf.DUMMYFUNCTION("REGEXEXTRACT(J5263, ""^\d+"")"),"82")</f>
        <v>82</v>
      </c>
      <c r="Z5263" s="5" t="str">
        <f>IFERROR(__xludf.DUMMYFUNCTION("REGEXEXTRACT(J5263, ""[A-Za-z ]+$"")")," min")</f>
        <v> min</v>
      </c>
      <c r="AA5263" s="5" t="str">
        <f>IFERROR(__xludf.DUMMYFUNCTION("IF(REGEXMATCH(Z5263, ""Season""), ""TV Show"", ""Movie"")"),"Movie")</f>
        <v>Movie</v>
      </c>
    </row>
    <row r="5264">
      <c r="A5264" s="1" t="s">
        <v>27205</v>
      </c>
      <c r="B5264" s="1" t="s">
        <v>37</v>
      </c>
      <c r="C5264" s="1" t="s">
        <v>27206</v>
      </c>
      <c r="E5264" s="1" t="s">
        <v>27207</v>
      </c>
      <c r="F5264" s="1" t="s">
        <v>1846</v>
      </c>
      <c r="G5264" s="1" t="s">
        <v>27203</v>
      </c>
      <c r="H5264" s="1">
        <v>2017.0</v>
      </c>
      <c r="I5264" s="1" t="s">
        <v>97</v>
      </c>
      <c r="J5264" s="1" t="s">
        <v>148</v>
      </c>
      <c r="K5264" s="1" t="s">
        <v>1520</v>
      </c>
      <c r="L5264" s="1" t="s">
        <v>27208</v>
      </c>
      <c r="M5264" s="2" t="s">
        <v>12</v>
      </c>
      <c r="N5264" s="4">
        <f t="shared" si="1"/>
        <v>43004</v>
      </c>
      <c r="O5264" s="5" t="str">
        <f>IFERROR(__xludf.DUMMYFUNCTION("IF(REGEXMATCH(TRIM(I5264), ""^\d+\s*min""), ""Unclassified"", IF(I5264 = """", ""NR"", I5264))"),"TV-14")</f>
        <v>TV-14</v>
      </c>
      <c r="R5264" s="5" t="str">
        <f t="shared" si="2"/>
        <v>Terrace House: Aloha State</v>
      </c>
      <c r="S5264" s="5" t="str">
        <f>IFERROR(__xludf.DUMMYFUNCTION("""COMPUTED_VALUE"""),"Open Season: Scared Silly")</f>
        <v>Open Season: Scared Silly</v>
      </c>
      <c r="V5264" s="5"/>
      <c r="Y5264" s="5" t="str">
        <f>IFERROR(__xludf.DUMMYFUNCTION("REGEXEXTRACT(J5264, ""^\d+"")"),"4")</f>
        <v>4</v>
      </c>
      <c r="Z5264" s="5" t="str">
        <f>IFERROR(__xludf.DUMMYFUNCTION("REGEXEXTRACT(J5264, ""[A-Za-z ]+$"")")," Seasons")</f>
        <v> Seasons</v>
      </c>
      <c r="AA5264" s="5" t="str">
        <f>IFERROR(__xludf.DUMMYFUNCTION("IF(REGEXMATCH(Z5264, ""Season""), ""TV Show"", ""Movie"")"),"TV Show")</f>
        <v>TV Show</v>
      </c>
    </row>
    <row r="5265">
      <c r="A5265" s="1" t="s">
        <v>27209</v>
      </c>
      <c r="B5265" s="1" t="s">
        <v>37</v>
      </c>
      <c r="C5265" s="1" t="s">
        <v>27210</v>
      </c>
      <c r="E5265" s="1" t="s">
        <v>27211</v>
      </c>
      <c r="F5265" s="1" t="s">
        <v>1106</v>
      </c>
      <c r="G5265" s="1" t="s">
        <v>27212</v>
      </c>
      <c r="H5265" s="1">
        <v>2017.0</v>
      </c>
      <c r="I5265" s="1" t="s">
        <v>97</v>
      </c>
      <c r="J5265" s="1" t="s">
        <v>276</v>
      </c>
      <c r="K5265" s="1" t="s">
        <v>27213</v>
      </c>
      <c r="L5265" s="1" t="s">
        <v>27214</v>
      </c>
      <c r="M5265" s="2" t="s">
        <v>12</v>
      </c>
      <c r="N5265" s="4">
        <f t="shared" si="1"/>
        <v>43003</v>
      </c>
      <c r="O5265" s="5" t="str">
        <f>IFERROR(__xludf.DUMMYFUNCTION("IF(REGEXMATCH(TRIM(I5265), ""^\d+\s*min""), ""Unclassified"", IF(I5265 = """", ""NR"", I5265))"),"TV-14")</f>
        <v>TV-14</v>
      </c>
      <c r="R5265" s="5" t="str">
        <f t="shared" si="2"/>
        <v>Dark Matter</v>
      </c>
      <c r="S5265" s="5" t="str">
        <f>IFERROR(__xludf.DUMMYFUNCTION("""COMPUTED_VALUE"""),"Open Your Eyes")</f>
        <v>Open Your Eyes</v>
      </c>
      <c r="V5265" s="5"/>
      <c r="Y5265" s="5" t="str">
        <f>IFERROR(__xludf.DUMMYFUNCTION("REGEXEXTRACT(J5265, ""^\d+"")"),"3")</f>
        <v>3</v>
      </c>
      <c r="Z5265" s="5" t="str">
        <f>IFERROR(__xludf.DUMMYFUNCTION("REGEXEXTRACT(J5265, ""[A-Za-z ]+$"")")," Seasons")</f>
        <v> Seasons</v>
      </c>
      <c r="AA5265" s="5" t="str">
        <f>IFERROR(__xludf.DUMMYFUNCTION("IF(REGEXMATCH(Z5265, ""Season""), ""TV Show"", ""Movie"")"),"TV Show")</f>
        <v>TV Show</v>
      </c>
    </row>
    <row r="5266">
      <c r="A5266" s="1" t="s">
        <v>27215</v>
      </c>
      <c r="B5266" s="1" t="s">
        <v>27</v>
      </c>
      <c r="C5266" s="1" t="s">
        <v>27216</v>
      </c>
      <c r="D5266" s="1" t="s">
        <v>23505</v>
      </c>
      <c r="E5266" s="1" t="s">
        <v>27217</v>
      </c>
      <c r="F5266" s="1" t="s">
        <v>1106</v>
      </c>
      <c r="G5266" s="1" t="s">
        <v>27218</v>
      </c>
      <c r="H5266" s="1">
        <v>2014.0</v>
      </c>
      <c r="I5266" s="1" t="s">
        <v>27219</v>
      </c>
      <c r="J5266" s="1" t="s">
        <v>1243</v>
      </c>
      <c r="K5266" s="1" t="s">
        <v>199</v>
      </c>
      <c r="L5266" s="1" t="s">
        <v>27220</v>
      </c>
      <c r="M5266" s="2" t="s">
        <v>12</v>
      </c>
      <c r="N5266" s="4">
        <f t="shared" si="1"/>
        <v>43002</v>
      </c>
      <c r="O5266" s="5" t="str">
        <f>IFERROR(__xludf.DUMMYFUNCTION("IF(REGEXMATCH(TRIM(I5266), ""^\d+\s*min""), ""Unclassified"", IF(I5266 = """", ""NR"", I5266))"),"NC-17")</f>
        <v>NC-17</v>
      </c>
      <c r="R5266" s="5" t="str">
        <f t="shared" si="2"/>
        <v>Swearnet: The Movie</v>
      </c>
      <c r="S5266" s="5" t="str">
        <f>IFERROR(__xludf.DUMMYFUNCTION("""COMPUTED_VALUE"""),"Opening Night")</f>
        <v>Opening Night</v>
      </c>
      <c r="V5266" s="5"/>
      <c r="Y5266" s="5" t="str">
        <f>IFERROR(__xludf.DUMMYFUNCTION("REGEXEXTRACT(J5266, ""^\d+"")"),"112")</f>
        <v>112</v>
      </c>
      <c r="Z5266" s="5" t="str">
        <f>IFERROR(__xludf.DUMMYFUNCTION("REGEXEXTRACT(J5266, ""[A-Za-z ]+$"")")," min")</f>
        <v> min</v>
      </c>
      <c r="AA5266" s="5" t="str">
        <f>IFERROR(__xludf.DUMMYFUNCTION("IF(REGEXMATCH(Z5266, ""Season""), ""TV Show"", ""Movie"")"),"Movie")</f>
        <v>Movie</v>
      </c>
    </row>
    <row r="5267">
      <c r="A5267" s="1" t="s">
        <v>27221</v>
      </c>
      <c r="B5267" s="1" t="s">
        <v>27</v>
      </c>
      <c r="C5267" s="1" t="s">
        <v>27222</v>
      </c>
      <c r="D5267" s="1" t="s">
        <v>27223</v>
      </c>
      <c r="E5267" s="1" t="s">
        <v>27224</v>
      </c>
      <c r="F5267" s="1" t="s">
        <v>7221</v>
      </c>
      <c r="G5267" s="1" t="s">
        <v>27218</v>
      </c>
      <c r="H5267" s="1">
        <v>2017.0</v>
      </c>
      <c r="I5267" s="1" t="s">
        <v>42</v>
      </c>
      <c r="J5267" s="1" t="s">
        <v>447</v>
      </c>
      <c r="K5267" s="1" t="s">
        <v>6462</v>
      </c>
      <c r="L5267" s="1" t="s">
        <v>27225</v>
      </c>
      <c r="M5267" s="2" t="s">
        <v>12</v>
      </c>
      <c r="N5267" s="4">
        <f t="shared" si="1"/>
        <v>43002</v>
      </c>
      <c r="O5267" s="5" t="str">
        <f>IFERROR(__xludf.DUMMYFUNCTION("IF(REGEXMATCH(TRIM(I5267), ""^\d+\s*min""), ""Unclassified"", IF(I5267 = """", ""NR"", I5267))"),"TV-MA")</f>
        <v>TV-MA</v>
      </c>
      <c r="R5267" s="5" t="str">
        <f t="shared" si="2"/>
        <v>The Bar</v>
      </c>
      <c r="S5267" s="5" t="str">
        <f>IFERROR(__xludf.DUMMYFUNCTION("""COMPUTED_VALUE"""),"Operações Especiais")</f>
        <v>Operações Especiais</v>
      </c>
      <c r="V5267" s="5"/>
      <c r="Y5267" s="5" t="str">
        <f>IFERROR(__xludf.DUMMYFUNCTION("REGEXEXTRACT(J5267, ""^\d+"")"),"102")</f>
        <v>102</v>
      </c>
      <c r="Z5267" s="5" t="str">
        <f>IFERROR(__xludf.DUMMYFUNCTION("REGEXEXTRACT(J5267, ""[A-Za-z ]+$"")")," min")</f>
        <v> min</v>
      </c>
      <c r="AA5267" s="5" t="str">
        <f>IFERROR(__xludf.DUMMYFUNCTION("IF(REGEXMATCH(Z5267, ""Season""), ""TV Show"", ""Movie"")"),"Movie")</f>
        <v>Movie</v>
      </c>
    </row>
    <row r="5268">
      <c r="A5268" s="1" t="s">
        <v>27226</v>
      </c>
      <c r="B5268" s="1" t="s">
        <v>27</v>
      </c>
      <c r="C5268" s="1" t="s">
        <v>27227</v>
      </c>
      <c r="D5268" s="1" t="s">
        <v>4756</v>
      </c>
      <c r="E5268" s="1" t="s">
        <v>27228</v>
      </c>
      <c r="F5268" s="1" t="s">
        <v>30</v>
      </c>
      <c r="G5268" s="1" t="s">
        <v>27229</v>
      </c>
      <c r="H5268" s="1">
        <v>2017.0</v>
      </c>
      <c r="I5268" s="1" t="s">
        <v>42</v>
      </c>
      <c r="J5268" s="1" t="s">
        <v>1091</v>
      </c>
      <c r="K5268" s="1" t="s">
        <v>700</v>
      </c>
      <c r="L5268" s="1" t="s">
        <v>27230</v>
      </c>
      <c r="M5268" s="2" t="s">
        <v>12</v>
      </c>
      <c r="N5268" s="4">
        <f t="shared" si="1"/>
        <v>43000</v>
      </c>
      <c r="O5268" s="5" t="str">
        <f>IFERROR(__xludf.DUMMYFUNCTION("IF(REGEXMATCH(TRIM(I5268), ""^\d+\s*min""), ""Unclassified"", IF(I5268 = """", ""NR"", I5268))"),"TV-MA")</f>
        <v>TV-MA</v>
      </c>
      <c r="R5268" s="5" t="str">
        <f t="shared" si="2"/>
        <v>Gaga: Five Foot Two</v>
      </c>
      <c r="S5268" s="5" t="str">
        <f>IFERROR(__xludf.DUMMYFUNCTION("""COMPUTED_VALUE"""),"Operation Christmas Drop")</f>
        <v>Operation Christmas Drop</v>
      </c>
      <c r="V5268" s="5"/>
      <c r="Y5268" s="5" t="str">
        <f>IFERROR(__xludf.DUMMYFUNCTION("REGEXEXTRACT(J5268, ""^\d+"")"),"101")</f>
        <v>101</v>
      </c>
      <c r="Z5268" s="5" t="str">
        <f>IFERROR(__xludf.DUMMYFUNCTION("REGEXEXTRACT(J5268, ""[A-Za-z ]+$"")")," min")</f>
        <v> min</v>
      </c>
      <c r="AA5268" s="5" t="str">
        <f>IFERROR(__xludf.DUMMYFUNCTION("IF(REGEXMATCH(Z5268, ""Season""), ""TV Show"", ""Movie"")"),"Movie")</f>
        <v>Movie</v>
      </c>
    </row>
    <row r="5269">
      <c r="A5269" s="1" t="s">
        <v>27231</v>
      </c>
      <c r="B5269" s="1" t="s">
        <v>27</v>
      </c>
      <c r="C5269" s="1" t="s">
        <v>27232</v>
      </c>
      <c r="D5269" s="1" t="s">
        <v>1689</v>
      </c>
      <c r="E5269" s="1" t="s">
        <v>27233</v>
      </c>
      <c r="F5269" s="1" t="s">
        <v>30</v>
      </c>
      <c r="G5269" s="1" t="s">
        <v>27229</v>
      </c>
      <c r="H5269" s="1">
        <v>2016.0</v>
      </c>
      <c r="I5269" s="1" t="s">
        <v>378</v>
      </c>
      <c r="J5269" s="1" t="s">
        <v>804</v>
      </c>
      <c r="K5269" s="1" t="s">
        <v>2327</v>
      </c>
      <c r="L5269" s="1" t="s">
        <v>27234</v>
      </c>
      <c r="M5269" s="2" t="s">
        <v>12</v>
      </c>
      <c r="N5269" s="4">
        <f t="shared" si="1"/>
        <v>43000</v>
      </c>
      <c r="O5269" s="5" t="str">
        <f>IFERROR(__xludf.DUMMYFUNCTION("IF(REGEXMATCH(TRIM(I5269), ""^\d+\s*min""), ""Unclassified"", IF(I5269 = """", ""NR"", I5269))"),"R")</f>
        <v>R</v>
      </c>
      <c r="R5269" s="5" t="str">
        <f t="shared" si="2"/>
        <v>The Bad Batch</v>
      </c>
      <c r="S5269" s="5" t="str">
        <f>IFERROR(__xludf.DUMMYFUNCTION("""COMPUTED_VALUE"""),"Operation Chromite")</f>
        <v>Operation Chromite</v>
      </c>
      <c r="V5269" s="5"/>
      <c r="Y5269" s="5" t="str">
        <f>IFERROR(__xludf.DUMMYFUNCTION("REGEXEXTRACT(J5269, ""^\d+"")"),"119")</f>
        <v>119</v>
      </c>
      <c r="Z5269" s="5" t="str">
        <f>IFERROR(__xludf.DUMMYFUNCTION("REGEXEXTRACT(J5269, ""[A-Za-z ]+$"")")," min")</f>
        <v> min</v>
      </c>
      <c r="AA5269" s="5" t="str">
        <f>IFERROR(__xludf.DUMMYFUNCTION("IF(REGEXMATCH(Z5269, ""Season""), ""TV Show"", ""Movie"")"),"Movie")</f>
        <v>Movie</v>
      </c>
    </row>
    <row r="5270">
      <c r="A5270" s="1" t="s">
        <v>27235</v>
      </c>
      <c r="B5270" s="1" t="s">
        <v>27</v>
      </c>
      <c r="C5270" s="1" t="s">
        <v>27236</v>
      </c>
      <c r="D5270" s="1" t="s">
        <v>15558</v>
      </c>
      <c r="E5270" s="1" t="s">
        <v>10861</v>
      </c>
      <c r="F5270" s="1" t="s">
        <v>30</v>
      </c>
      <c r="G5270" s="1" t="s">
        <v>27237</v>
      </c>
      <c r="H5270" s="1">
        <v>2017.0</v>
      </c>
      <c r="I5270" s="1" t="s">
        <v>97</v>
      </c>
      <c r="J5270" s="1" t="s">
        <v>2670</v>
      </c>
      <c r="K5270" s="1" t="s">
        <v>1839</v>
      </c>
      <c r="L5270" s="1" t="s">
        <v>27238</v>
      </c>
      <c r="M5270" s="2" t="s">
        <v>12</v>
      </c>
      <c r="N5270" s="4">
        <f t="shared" si="1"/>
        <v>42997</v>
      </c>
      <c r="O5270" s="5" t="str">
        <f>IFERROR(__xludf.DUMMYFUNCTION("IF(REGEXMATCH(TRIM(I5270), ""^\d+\s*min""), ""Unclassified"", IF(I5270 = """", ""NR"", I5270))"),"TV-14")</f>
        <v>TV-14</v>
      </c>
      <c r="R5270" s="5" t="str">
        <f t="shared" si="2"/>
        <v>Jerry Before Seinfeld</v>
      </c>
      <c r="S5270" s="5" t="str">
        <f>IFERROR(__xludf.DUMMYFUNCTION("""COMPUTED_VALUE"""),"Operation Finale")</f>
        <v>Operation Finale</v>
      </c>
      <c r="V5270" s="5"/>
      <c r="Y5270" s="5" t="str">
        <f>IFERROR(__xludf.DUMMYFUNCTION("REGEXEXTRACT(J5270, ""^\d+"")"),"62")</f>
        <v>62</v>
      </c>
      <c r="Z5270" s="5" t="str">
        <f>IFERROR(__xludf.DUMMYFUNCTION("REGEXEXTRACT(J5270, ""[A-Za-z ]+$"")")," min")</f>
        <v> min</v>
      </c>
      <c r="AA5270" s="5" t="str">
        <f>IFERROR(__xludf.DUMMYFUNCTION("IF(REGEXMATCH(Z5270, ""Season""), ""TV Show"", ""Movie"")"),"Movie")</f>
        <v>Movie</v>
      </c>
    </row>
    <row r="5271">
      <c r="A5271" s="1" t="s">
        <v>27239</v>
      </c>
      <c r="B5271" s="1" t="s">
        <v>27</v>
      </c>
      <c r="C5271" s="1" t="s">
        <v>27240</v>
      </c>
      <c r="D5271" s="1" t="s">
        <v>5157</v>
      </c>
      <c r="E5271" s="1" t="s">
        <v>27241</v>
      </c>
      <c r="F5271" s="1" t="s">
        <v>897</v>
      </c>
      <c r="G5271" s="1" t="s">
        <v>27242</v>
      </c>
      <c r="H5271" s="1">
        <v>2017.0</v>
      </c>
      <c r="I5271" s="1" t="s">
        <v>206</v>
      </c>
      <c r="J5271" s="1" t="s">
        <v>1838</v>
      </c>
      <c r="K5271" s="1" t="s">
        <v>80</v>
      </c>
      <c r="L5271" s="1" t="s">
        <v>27243</v>
      </c>
      <c r="M5271" s="2" t="s">
        <v>12</v>
      </c>
      <c r="N5271" s="4">
        <f t="shared" si="1"/>
        <v>42996</v>
      </c>
      <c r="O5271" s="5" t="str">
        <f>IFERROR(__xludf.DUMMYFUNCTION("IF(REGEXMATCH(TRIM(I5271), ""^\d+\s*min""), ""Unclassified"", IF(I5271 = """", ""NR"", I5271))"),"TV-Y")</f>
        <v>TV-Y</v>
      </c>
      <c r="R5271" s="5" t="str">
        <f t="shared" si="2"/>
        <v>Barbie Dolphin Magic</v>
      </c>
      <c r="S5271" s="5" t="str">
        <f>IFERROR(__xludf.DUMMYFUNCTION("""COMPUTED_VALUE"""),"Operation Gold Rush")</f>
        <v>Operation Gold Rush</v>
      </c>
      <c r="V5271" s="5"/>
      <c r="Y5271" s="5" t="str">
        <f>IFERROR(__xludf.DUMMYFUNCTION("REGEXEXTRACT(J5271, ""^\d+"")"),"64")</f>
        <v>64</v>
      </c>
      <c r="Z5271" s="5" t="str">
        <f>IFERROR(__xludf.DUMMYFUNCTION("REGEXEXTRACT(J5271, ""[A-Za-z ]+$"")")," min")</f>
        <v> min</v>
      </c>
      <c r="AA5271" s="5" t="str">
        <f>IFERROR(__xludf.DUMMYFUNCTION("IF(REGEXMATCH(Z5271, ""Season""), ""TV Show"", ""Movie"")"),"Movie")</f>
        <v>Movie</v>
      </c>
    </row>
    <row r="5272">
      <c r="A5272" s="1" t="s">
        <v>27244</v>
      </c>
      <c r="B5272" s="1" t="s">
        <v>27</v>
      </c>
      <c r="C5272" s="1" t="s">
        <v>27245</v>
      </c>
      <c r="D5272" s="1" t="s">
        <v>2074</v>
      </c>
      <c r="E5272" s="1" t="s">
        <v>27246</v>
      </c>
      <c r="F5272" s="1" t="s">
        <v>27247</v>
      </c>
      <c r="G5272" s="1" t="s">
        <v>27248</v>
      </c>
      <c r="H5272" s="1">
        <v>2017.0</v>
      </c>
      <c r="I5272" s="1" t="s">
        <v>42</v>
      </c>
      <c r="J5272" s="1" t="s">
        <v>4242</v>
      </c>
      <c r="K5272" s="1" t="s">
        <v>805</v>
      </c>
      <c r="L5272" s="1" t="s">
        <v>27249</v>
      </c>
      <c r="M5272" s="2" t="s">
        <v>12</v>
      </c>
      <c r="N5272" s="4">
        <f t="shared" si="1"/>
        <v>42993</v>
      </c>
      <c r="O5272" s="5" t="str">
        <f>IFERROR(__xludf.DUMMYFUNCTION("IF(REGEXMATCH(TRIM(I5272), ""^\d+\s*min""), ""Unclassified"", IF(I5272 = """", ""NR"", I5272))"),"TV-MA")</f>
        <v>TV-MA</v>
      </c>
      <c r="R5272" s="5" t="str">
        <f t="shared" si="2"/>
        <v>First They Killed My Father</v>
      </c>
      <c r="S5272" s="5" t="str">
        <f>IFERROR(__xludf.DUMMYFUNCTION("""COMPUTED_VALUE"""),"Operation Mekong")</f>
        <v>Operation Mekong</v>
      </c>
      <c r="V5272" s="5"/>
      <c r="Y5272" s="5" t="str">
        <f>IFERROR(__xludf.DUMMYFUNCTION("REGEXEXTRACT(J5272, ""^\d+"")"),"137")</f>
        <v>137</v>
      </c>
      <c r="Z5272" s="5" t="str">
        <f>IFERROR(__xludf.DUMMYFUNCTION("REGEXEXTRACT(J5272, ""[A-Za-z ]+$"")")," min")</f>
        <v> min</v>
      </c>
      <c r="AA5272" s="5" t="str">
        <f>IFERROR(__xludf.DUMMYFUNCTION("IF(REGEXMATCH(Z5272, ""Season""), ""TV Show"", ""Movie"")"),"Movie")</f>
        <v>Movie</v>
      </c>
    </row>
    <row r="5273">
      <c r="A5273" s="1" t="s">
        <v>27250</v>
      </c>
      <c r="B5273" s="1" t="s">
        <v>27</v>
      </c>
      <c r="C5273" s="1" t="s">
        <v>27251</v>
      </c>
      <c r="D5273" s="1" t="s">
        <v>23757</v>
      </c>
      <c r="F5273" s="1" t="s">
        <v>27252</v>
      </c>
      <c r="G5273" s="1" t="s">
        <v>27248</v>
      </c>
      <c r="H5273" s="1">
        <v>2017.0</v>
      </c>
      <c r="I5273" s="1" t="s">
        <v>42</v>
      </c>
      <c r="J5273" s="1" t="s">
        <v>912</v>
      </c>
      <c r="K5273" s="1" t="s">
        <v>34</v>
      </c>
      <c r="L5273" s="1" t="s">
        <v>27253</v>
      </c>
      <c r="M5273" s="2" t="s">
        <v>12</v>
      </c>
      <c r="N5273" s="4">
        <f t="shared" si="1"/>
        <v>42993</v>
      </c>
      <c r="O5273" s="5" t="str">
        <f>IFERROR(__xludf.DUMMYFUNCTION("IF(REGEXMATCH(TRIM(I5273), ""^\d+\s*min""), ""Unclassified"", IF(I5273 = """", ""NR"", I5273))"),"TV-MA")</f>
        <v>TV-MA</v>
      </c>
      <c r="R5273" s="5" t="str">
        <f t="shared" si="2"/>
        <v>Strong Island</v>
      </c>
      <c r="S5273" s="5" t="str">
        <f>IFERROR(__xludf.DUMMYFUNCTION("""COMPUTED_VALUE"""),"Operation Odessa")</f>
        <v>Operation Odessa</v>
      </c>
      <c r="V5273" s="5"/>
      <c r="Y5273" s="5" t="str">
        <f>IFERROR(__xludf.DUMMYFUNCTION("REGEXEXTRACT(J5273, ""^\d+"")"),"108")</f>
        <v>108</v>
      </c>
      <c r="Z5273" s="5" t="str">
        <f>IFERROR(__xludf.DUMMYFUNCTION("REGEXEXTRACT(J5273, ""[A-Za-z ]+$"")")," min")</f>
        <v> min</v>
      </c>
      <c r="AA5273" s="5" t="str">
        <f>IFERROR(__xludf.DUMMYFUNCTION("IF(REGEXMATCH(Z5273, ""Season""), ""TV Show"", ""Movie"")"),"Movie")</f>
        <v>Movie</v>
      </c>
    </row>
    <row r="5274">
      <c r="A5274" s="1" t="s">
        <v>27254</v>
      </c>
      <c r="B5274" s="1" t="s">
        <v>37</v>
      </c>
      <c r="C5274" s="1" t="s">
        <v>27255</v>
      </c>
      <c r="E5274" s="1" t="s">
        <v>27256</v>
      </c>
      <c r="F5274" s="1" t="s">
        <v>30</v>
      </c>
      <c r="G5274" s="1" t="s">
        <v>27248</v>
      </c>
      <c r="H5274" s="1">
        <v>2017.0</v>
      </c>
      <c r="I5274" s="1" t="s">
        <v>206</v>
      </c>
      <c r="J5274" s="1" t="s">
        <v>43</v>
      </c>
      <c r="K5274" s="1" t="s">
        <v>290</v>
      </c>
      <c r="L5274" s="1" t="s">
        <v>27257</v>
      </c>
      <c r="M5274" s="2" t="s">
        <v>12</v>
      </c>
      <c r="N5274" s="4">
        <f t="shared" si="1"/>
        <v>42993</v>
      </c>
      <c r="O5274" s="5" t="str">
        <f>IFERROR(__xludf.DUMMYFUNCTION("IF(REGEXMATCH(TRIM(I5274), ""^\d+\s*min""), ""Unclassified"", IF(I5274 = """", ""NR"", I5274))"),"TV-Y")</f>
        <v>TV-Y</v>
      </c>
      <c r="R5274" s="5" t="str">
        <f t="shared" si="2"/>
        <v>Veggietales In The City</v>
      </c>
      <c r="S5274" s="5" t="str">
        <f>IFERROR(__xludf.DUMMYFUNCTION("""COMPUTED_VALUE"""),"Operation Ouch!")</f>
        <v>Operation Ouch!</v>
      </c>
      <c r="V5274" s="5"/>
      <c r="Y5274" s="5" t="str">
        <f>IFERROR(__xludf.DUMMYFUNCTION("REGEXEXTRACT(J5274, ""^\d+"")"),"2")</f>
        <v>2</v>
      </c>
      <c r="Z5274" s="5" t="str">
        <f>IFERROR(__xludf.DUMMYFUNCTION("REGEXEXTRACT(J5274, ""[A-Za-z ]+$"")")," Seasons")</f>
        <v> Seasons</v>
      </c>
      <c r="AA5274" s="5" t="str">
        <f>IFERROR(__xludf.DUMMYFUNCTION("IF(REGEXMATCH(Z5274, ""Season""), ""TV Show"", ""Movie"")"),"TV Show")</f>
        <v>TV Show</v>
      </c>
    </row>
    <row r="5275">
      <c r="A5275" s="1" t="s">
        <v>27258</v>
      </c>
      <c r="B5275" s="1" t="s">
        <v>27</v>
      </c>
      <c r="C5275" s="1" t="s">
        <v>27259</v>
      </c>
      <c r="D5275" s="1" t="s">
        <v>3191</v>
      </c>
      <c r="E5275" s="1" t="s">
        <v>391</v>
      </c>
      <c r="F5275" s="1" t="s">
        <v>30</v>
      </c>
      <c r="G5275" s="1" t="s">
        <v>27260</v>
      </c>
      <c r="H5275" s="1">
        <v>2017.0</v>
      </c>
      <c r="I5275" s="1" t="s">
        <v>770</v>
      </c>
      <c r="J5275" s="1" t="s">
        <v>1737</v>
      </c>
      <c r="K5275" s="1" t="s">
        <v>9544</v>
      </c>
      <c r="L5275" s="1" t="s">
        <v>27261</v>
      </c>
      <c r="M5275" s="2" t="s">
        <v>12</v>
      </c>
      <c r="N5275" s="4">
        <f t="shared" si="1"/>
        <v>42991</v>
      </c>
      <c r="O5275" s="5" t="str">
        <f>IFERROR(__xludf.DUMMYFUNCTION("IF(REGEXMATCH(TRIM(I5275), ""^\d+\s*min""), ""Unclassified"", IF(I5275 = """", ""NR"", I5275))"),"G")</f>
        <v>G</v>
      </c>
      <c r="R5275" s="5" t="str">
        <f t="shared" si="2"/>
        <v>Ghost Of The Mountains</v>
      </c>
      <c r="S5275" s="5" t="str">
        <f>IFERROR(__xludf.DUMMYFUNCTION("""COMPUTED_VALUE"""),"Operation Proposal")</f>
        <v>Operation Proposal</v>
      </c>
      <c r="V5275" s="5"/>
      <c r="Y5275" s="5" t="str">
        <f>IFERROR(__xludf.DUMMYFUNCTION("REGEXEXTRACT(J5275, ""^\d+"")"),"78")</f>
        <v>78</v>
      </c>
      <c r="Z5275" s="5" t="str">
        <f>IFERROR(__xludf.DUMMYFUNCTION("REGEXEXTRACT(J5275, ""[A-Za-z ]+$"")")," min")</f>
        <v> min</v>
      </c>
      <c r="AA5275" s="5" t="str">
        <f>IFERROR(__xludf.DUMMYFUNCTION("IF(REGEXMATCH(Z5275, ""Season""), ""TV Show"", ""Movie"")"),"Movie")</f>
        <v>Movie</v>
      </c>
    </row>
    <row r="5276">
      <c r="A5276" s="1" t="s">
        <v>27262</v>
      </c>
      <c r="B5276" s="1" t="s">
        <v>37</v>
      </c>
      <c r="C5276" s="1" t="s">
        <v>27263</v>
      </c>
      <c r="E5276" s="1" t="s">
        <v>27264</v>
      </c>
      <c r="F5276" s="1" t="s">
        <v>221</v>
      </c>
      <c r="G5276" s="1" t="s">
        <v>27260</v>
      </c>
      <c r="H5276" s="1">
        <v>2017.0</v>
      </c>
      <c r="I5276" s="1" t="s">
        <v>42</v>
      </c>
      <c r="J5276" s="1" t="s">
        <v>1809</v>
      </c>
      <c r="K5276" s="1" t="s">
        <v>149</v>
      </c>
      <c r="L5276" s="1" t="s">
        <v>27265</v>
      </c>
      <c r="M5276" s="2" t="s">
        <v>12</v>
      </c>
      <c r="N5276" s="4">
        <f t="shared" si="1"/>
        <v>42991</v>
      </c>
      <c r="O5276" s="5" t="str">
        <f>IFERROR(__xludf.DUMMYFUNCTION("IF(REGEXMATCH(TRIM(I5276), ""^\d+\s*min""), ""Unclassified"", IF(I5276 = """", ""NR"", I5276))"),"TV-MA")</f>
        <v>TV-MA</v>
      </c>
      <c r="R5276" s="5" t="str">
        <f t="shared" si="2"/>
        <v>Offspring</v>
      </c>
      <c r="S5276" s="5" t="str">
        <f>IFERROR(__xludf.DUMMYFUNCTION("""COMPUTED_VALUE"""),"Operation Red Sea")</f>
        <v>Operation Red Sea</v>
      </c>
      <c r="V5276" s="5"/>
      <c r="Y5276" s="5" t="str">
        <f>IFERROR(__xludf.DUMMYFUNCTION("REGEXEXTRACT(J5276, ""^\d+"")"),"7")</f>
        <v>7</v>
      </c>
      <c r="Z5276" s="5" t="str">
        <f>IFERROR(__xludf.DUMMYFUNCTION("REGEXEXTRACT(J5276, ""[A-Za-z ]+$"")")," Seasons")</f>
        <v> Seasons</v>
      </c>
      <c r="AA5276" s="5" t="str">
        <f>IFERROR(__xludf.DUMMYFUNCTION("IF(REGEXMATCH(Z5276, ""Season""), ""TV Show"", ""Movie"")"),"TV Show")</f>
        <v>TV Show</v>
      </c>
    </row>
    <row r="5277">
      <c r="A5277" s="1" t="s">
        <v>27266</v>
      </c>
      <c r="B5277" s="1" t="s">
        <v>27</v>
      </c>
      <c r="C5277" s="1" t="s">
        <v>27267</v>
      </c>
      <c r="D5277" s="1" t="s">
        <v>25269</v>
      </c>
      <c r="F5277" s="1" t="s">
        <v>30</v>
      </c>
      <c r="G5277" s="1" t="s">
        <v>27268</v>
      </c>
      <c r="H5277" s="1">
        <v>2017.0</v>
      </c>
      <c r="I5277" s="1" t="s">
        <v>97</v>
      </c>
      <c r="J5277" s="1" t="s">
        <v>18322</v>
      </c>
      <c r="K5277" s="1" t="s">
        <v>34</v>
      </c>
      <c r="L5277" s="1" t="s">
        <v>27269</v>
      </c>
      <c r="M5277" s="2" t="s">
        <v>12</v>
      </c>
      <c r="N5277" s="4">
        <f t="shared" si="1"/>
        <v>42990</v>
      </c>
      <c r="O5277" s="5" t="str">
        <f>IFERROR(__xludf.DUMMYFUNCTION("IF(REGEXMATCH(TRIM(I5277), ""^\d+\s*min""), ""Unclassified"", IF(I5277 = """", ""NR"", I5277))"),"TV-14")</f>
        <v>TV-14</v>
      </c>
      <c r="R5277" s="5" t="str">
        <f t="shared" si="2"/>
        <v>Heroin(E)</v>
      </c>
      <c r="S5277" s="5" t="str">
        <f>IFERROR(__xludf.DUMMYFUNCTION("""COMPUTED_VALUE"""),"Operation Varsity Blues: The College Admissions Scandal")</f>
        <v>Operation Varsity Blues: The College Admissions Scandal</v>
      </c>
      <c r="V5277" s="5"/>
      <c r="Y5277" s="5" t="str">
        <f>IFERROR(__xludf.DUMMYFUNCTION("REGEXEXTRACT(J5277, ""^\d+"")"),"40")</f>
        <v>40</v>
      </c>
      <c r="Z5277" s="5" t="str">
        <f>IFERROR(__xludf.DUMMYFUNCTION("REGEXEXTRACT(J5277, ""[A-Za-z ]+$"")")," min")</f>
        <v> min</v>
      </c>
      <c r="AA5277" s="5" t="str">
        <f>IFERROR(__xludf.DUMMYFUNCTION("IF(REGEXMATCH(Z5277, ""Season""), ""TV Show"", ""Movie"")"),"Movie")</f>
        <v>Movie</v>
      </c>
    </row>
    <row r="5278">
      <c r="A5278" s="1" t="s">
        <v>27270</v>
      </c>
      <c r="B5278" s="1" t="s">
        <v>27</v>
      </c>
      <c r="C5278" s="1" t="s">
        <v>27271</v>
      </c>
      <c r="D5278" s="1" t="s">
        <v>4424</v>
      </c>
      <c r="E5278" s="1" t="s">
        <v>16997</v>
      </c>
      <c r="F5278" s="1" t="s">
        <v>30</v>
      </c>
      <c r="G5278" s="1" t="s">
        <v>27268</v>
      </c>
      <c r="H5278" s="1">
        <v>2017.0</v>
      </c>
      <c r="I5278" s="1" t="s">
        <v>42</v>
      </c>
      <c r="J5278" s="1" t="s">
        <v>5650</v>
      </c>
      <c r="K5278" s="1" t="s">
        <v>1839</v>
      </c>
      <c r="L5278" s="1" t="s">
        <v>27272</v>
      </c>
      <c r="M5278" s="2" t="s">
        <v>12</v>
      </c>
      <c r="N5278" s="4">
        <f t="shared" si="1"/>
        <v>42990</v>
      </c>
      <c r="O5278" s="5" t="str">
        <f>IFERROR(__xludf.DUMMYFUNCTION("IF(REGEXMATCH(TRIM(I5278), ""^\d+\s*min""), ""Unclassified"", IF(I5278 = """", ""NR"", I5278))"),"TV-MA")</f>
        <v>TV-MA</v>
      </c>
      <c r="R5278" s="5" t="str">
        <f t="shared" si="2"/>
        <v>Jeff Dunham: Relative Disaster</v>
      </c>
      <c r="S5278" s="5" t="str">
        <f>IFERROR(__xludf.DUMMYFUNCTION("""COMPUTED_VALUE"""),"Operator")</f>
        <v>Operator</v>
      </c>
      <c r="V5278" s="5"/>
      <c r="Y5278" s="5" t="str">
        <f>IFERROR(__xludf.DUMMYFUNCTION("REGEXEXTRACT(J5278, ""^\d+"")"),"71")</f>
        <v>71</v>
      </c>
      <c r="Z5278" s="5" t="str">
        <f>IFERROR(__xludf.DUMMYFUNCTION("REGEXEXTRACT(J5278, ""[A-Za-z ]+$"")")," min")</f>
        <v> min</v>
      </c>
      <c r="AA5278" s="5" t="str">
        <f>IFERROR(__xludf.DUMMYFUNCTION("IF(REGEXMATCH(Z5278, ""Season""), ""TV Show"", ""Movie"")"),"Movie")</f>
        <v>Movie</v>
      </c>
    </row>
    <row r="5279">
      <c r="A5279" s="1" t="s">
        <v>27273</v>
      </c>
      <c r="B5279" s="1" t="s">
        <v>27</v>
      </c>
      <c r="C5279" s="1" t="s">
        <v>27274</v>
      </c>
      <c r="D5279" s="1" t="s">
        <v>7649</v>
      </c>
      <c r="E5279" s="1" t="s">
        <v>27275</v>
      </c>
      <c r="F5279" s="1" t="s">
        <v>30</v>
      </c>
      <c r="G5279" s="1" t="s">
        <v>27276</v>
      </c>
      <c r="H5279" s="1">
        <v>2017.0</v>
      </c>
      <c r="I5279" s="1" t="s">
        <v>97</v>
      </c>
      <c r="J5279" s="1" t="s">
        <v>416</v>
      </c>
      <c r="K5279" s="1" t="s">
        <v>239</v>
      </c>
      <c r="L5279" s="1" t="s">
        <v>27277</v>
      </c>
      <c r="M5279" s="2" t="s">
        <v>12</v>
      </c>
      <c r="N5279" s="4">
        <f t="shared" si="1"/>
        <v>42986</v>
      </c>
      <c r="O5279" s="5" t="str">
        <f>IFERROR(__xludf.DUMMYFUNCTION("IF(REGEXMATCH(TRIM(I5279), ""^\d+\s*min""), ""Unclassified"", IF(I5279 = """", ""NR"", I5279))"),"TV-14")</f>
        <v>TV-14</v>
      </c>
      <c r="R5279" s="5" t="str">
        <f t="shared" si="2"/>
        <v>#Realityhigh</v>
      </c>
      <c r="S5279" s="5" t="str">
        <f>IFERROR(__xludf.DUMMYFUNCTION("""COMPUTED_VALUE"""),"Ophelia")</f>
        <v>Ophelia</v>
      </c>
      <c r="V5279" s="5"/>
      <c r="Y5279" s="5" t="str">
        <f>IFERROR(__xludf.DUMMYFUNCTION("REGEXEXTRACT(J5279, ""^\d+"")"),"99")</f>
        <v>99</v>
      </c>
      <c r="Z5279" s="5" t="str">
        <f>IFERROR(__xludf.DUMMYFUNCTION("REGEXEXTRACT(J5279, ""[A-Za-z ]+$"")")," min")</f>
        <v> min</v>
      </c>
      <c r="AA5279" s="5" t="str">
        <f>IFERROR(__xludf.DUMMYFUNCTION("IF(REGEXMATCH(Z5279, ""Season""), ""TV Show"", ""Movie"")"),"Movie")</f>
        <v>Movie</v>
      </c>
    </row>
    <row r="5280">
      <c r="A5280" s="1" t="s">
        <v>27278</v>
      </c>
      <c r="B5280" s="1" t="s">
        <v>37</v>
      </c>
      <c r="C5280" s="1" t="s">
        <v>27279</v>
      </c>
      <c r="E5280" s="1" t="s">
        <v>27280</v>
      </c>
      <c r="F5280" s="1" t="s">
        <v>784</v>
      </c>
      <c r="G5280" s="1" t="s">
        <v>27276</v>
      </c>
      <c r="H5280" s="1">
        <v>2016.0</v>
      </c>
      <c r="I5280" s="1" t="s">
        <v>42</v>
      </c>
      <c r="J5280" s="1" t="s">
        <v>51</v>
      </c>
      <c r="K5280" s="1" t="s">
        <v>785</v>
      </c>
      <c r="L5280" s="1" t="s">
        <v>27281</v>
      </c>
      <c r="M5280" s="2" t="s">
        <v>12</v>
      </c>
      <c r="N5280" s="4">
        <f t="shared" si="1"/>
        <v>42986</v>
      </c>
      <c r="O5280" s="5" t="str">
        <f>IFERROR(__xludf.DUMMYFUNCTION("IF(REGEXMATCH(TRIM(I5280), ""^\d+\s*min""), ""Unclassified"", IF(I5280 = """", ""NR"", I5280))"),"TV-MA")</f>
        <v>TV-MA</v>
      </c>
      <c r="R5280" s="5" t="str">
        <f t="shared" si="2"/>
        <v>Apaches</v>
      </c>
      <c r="S5280" s="5" t="str">
        <f>IFERROR(__xludf.DUMMYFUNCTION("""COMPUTED_VALUE"""),"Opium And The Kung Fu Master")</f>
        <v>Opium And The Kung Fu Master</v>
      </c>
      <c r="V5280" s="5"/>
      <c r="Y5280" s="5" t="str">
        <f>IFERROR(__xludf.DUMMYFUNCTION("REGEXEXTRACT(J5280, ""^\d+"")"),"1")</f>
        <v>1</v>
      </c>
      <c r="Z5280" s="5" t="str">
        <f>IFERROR(__xludf.DUMMYFUNCTION("REGEXEXTRACT(J5280, ""[A-Za-z ]+$"")")," Season")</f>
        <v> Season</v>
      </c>
      <c r="AA5280" s="5" t="str">
        <f>IFERROR(__xludf.DUMMYFUNCTION("IF(REGEXMATCH(Z5280, ""Season""), ""TV Show"", ""Movie"")"),"TV Show")</f>
        <v>TV Show</v>
      </c>
    </row>
    <row r="5281">
      <c r="A5281" s="1" t="s">
        <v>27282</v>
      </c>
      <c r="B5281" s="1" t="s">
        <v>27</v>
      </c>
      <c r="C5281" s="1" t="s">
        <v>27283</v>
      </c>
      <c r="D5281" s="1" t="s">
        <v>19644</v>
      </c>
      <c r="E5281" s="1" t="s">
        <v>27284</v>
      </c>
      <c r="F5281" s="1" t="s">
        <v>13294</v>
      </c>
      <c r="G5281" s="1" t="s">
        <v>27276</v>
      </c>
      <c r="H5281" s="1">
        <v>2017.0</v>
      </c>
      <c r="I5281" s="1" t="s">
        <v>42</v>
      </c>
      <c r="J5281" s="1" t="s">
        <v>4639</v>
      </c>
      <c r="K5281" s="1" t="s">
        <v>1839</v>
      </c>
      <c r="L5281" s="1" t="s">
        <v>27285</v>
      </c>
      <c r="M5281" s="2" t="s">
        <v>12</v>
      </c>
      <c r="N5281" s="4">
        <f t="shared" si="1"/>
        <v>42986</v>
      </c>
      <c r="O5281" s="5" t="str">
        <f>IFERROR(__xludf.DUMMYFUNCTION("IF(REGEXMATCH(TRIM(I5281), ""^\d+\s*min""), ""Unclassified"", IF(I5281 = """", ""NR"", I5281))"),"TV-MA")</f>
        <v>TV-MA</v>
      </c>
      <c r="R5281" s="5" t="str">
        <f t="shared" si="2"/>
        <v>Fabrizio Copano: Solo Pienso En Mi</v>
      </c>
      <c r="S5281" s="5" t="str">
        <f>IFERROR(__xludf.DUMMYFUNCTION("""COMPUTED_VALUE"""),"Oprah Presents When They See Us Now")</f>
        <v>Oprah Presents When They See Us Now</v>
      </c>
      <c r="V5281" s="5"/>
      <c r="Y5281" s="5" t="str">
        <f>IFERROR(__xludf.DUMMYFUNCTION("REGEXEXTRACT(J5281, ""^\d+"")"),"60")</f>
        <v>60</v>
      </c>
      <c r="Z5281" s="5" t="str">
        <f>IFERROR(__xludf.DUMMYFUNCTION("REGEXEXTRACT(J5281, ""[A-Za-z ]+$"")")," min")</f>
        <v> min</v>
      </c>
      <c r="AA5281" s="5" t="str">
        <f>IFERROR(__xludf.DUMMYFUNCTION("IF(REGEXMATCH(Z5281, ""Season""), ""TV Show"", ""Movie"")"),"Movie")</f>
        <v>Movie</v>
      </c>
    </row>
    <row r="5282">
      <c r="A5282" s="1" t="s">
        <v>27286</v>
      </c>
      <c r="B5282" s="1" t="s">
        <v>37</v>
      </c>
      <c r="C5282" s="1" t="s">
        <v>27287</v>
      </c>
      <c r="F5282" s="1" t="s">
        <v>30</v>
      </c>
      <c r="G5282" s="1" t="s">
        <v>27276</v>
      </c>
      <c r="H5282" s="1">
        <v>2017.0</v>
      </c>
      <c r="I5282" s="1" t="s">
        <v>42</v>
      </c>
      <c r="J5282" s="1" t="s">
        <v>51</v>
      </c>
      <c r="K5282" s="1" t="s">
        <v>736</v>
      </c>
      <c r="L5282" s="1" t="s">
        <v>27288</v>
      </c>
      <c r="M5282" s="2" t="s">
        <v>12</v>
      </c>
      <c r="N5282" s="4">
        <f t="shared" si="1"/>
        <v>42986</v>
      </c>
      <c r="O5282" s="5" t="str">
        <f>IFERROR(__xludf.DUMMYFUNCTION("IF(REGEXMATCH(TRIM(I5282), ""^\d+\s*min""), ""Unclassified"", IF(I5282 = """", ""NR"", I5282))"),"TV-MA")</f>
        <v>TV-MA</v>
      </c>
      <c r="R5282" s="5" t="str">
        <f t="shared" si="2"/>
        <v>Fire Chasers</v>
      </c>
      <c r="S5282" s="5" t="str">
        <f>IFERROR(__xludf.DUMMYFUNCTION("""COMPUTED_VALUE"""),"Orange Is The New Black")</f>
        <v>Orange Is The New Black</v>
      </c>
      <c r="V5282" s="5"/>
      <c r="Y5282" s="5" t="str">
        <f>IFERROR(__xludf.DUMMYFUNCTION("REGEXEXTRACT(J5282, ""^\d+"")"),"1")</f>
        <v>1</v>
      </c>
      <c r="Z5282" s="5" t="str">
        <f>IFERROR(__xludf.DUMMYFUNCTION("REGEXEXTRACT(J5282, ""[A-Za-z ]+$"")")," Season")</f>
        <v> Season</v>
      </c>
      <c r="AA5282" s="5" t="str">
        <f>IFERROR(__xludf.DUMMYFUNCTION("IF(REGEXMATCH(Z5282, ""Season""), ""TV Show"", ""Movie"")"),"TV Show")</f>
        <v>TV Show</v>
      </c>
    </row>
    <row r="5283">
      <c r="A5283" s="1" t="s">
        <v>27289</v>
      </c>
      <c r="B5283" s="1" t="s">
        <v>27</v>
      </c>
      <c r="C5283" s="1" t="s">
        <v>27290</v>
      </c>
      <c r="D5283" s="1" t="s">
        <v>11828</v>
      </c>
      <c r="E5283" s="1" t="s">
        <v>27291</v>
      </c>
      <c r="G5283" s="1" t="s">
        <v>27276</v>
      </c>
      <c r="H5283" s="1">
        <v>2017.0</v>
      </c>
      <c r="I5283" s="1" t="s">
        <v>42</v>
      </c>
      <c r="J5283" s="1" t="s">
        <v>1737</v>
      </c>
      <c r="K5283" s="1" t="s">
        <v>1839</v>
      </c>
      <c r="L5283" s="1" t="s">
        <v>27292</v>
      </c>
      <c r="M5283" s="2" t="s">
        <v>12</v>
      </c>
      <c r="N5283" s="4">
        <f t="shared" si="1"/>
        <v>42986</v>
      </c>
      <c r="O5283" s="5" t="str">
        <f>IFERROR(__xludf.DUMMYFUNCTION("IF(REGEXMATCH(TRIM(I5283), ""^\d+\s*min""), ""Unclassified"", IF(I5283 = """", ""NR"", I5283))"),"TV-MA")</f>
        <v>TV-MA</v>
      </c>
      <c r="R5283" s="5" t="str">
        <f t="shared" si="2"/>
        <v>Joaquín Reyes: Una Y No Más</v>
      </c>
      <c r="S5283" s="5" t="str">
        <f>IFERROR(__xludf.DUMMYFUNCTION("""COMPUTED_VALUE"""),"Orbiter 9")</f>
        <v>Orbiter 9</v>
      </c>
      <c r="V5283" s="5"/>
      <c r="Y5283" s="5" t="str">
        <f>IFERROR(__xludf.DUMMYFUNCTION("REGEXEXTRACT(J5283, ""^\d+"")"),"78")</f>
        <v>78</v>
      </c>
      <c r="Z5283" s="5" t="str">
        <f>IFERROR(__xludf.DUMMYFUNCTION("REGEXEXTRACT(J5283, ""[A-Za-z ]+$"")")," min")</f>
        <v> min</v>
      </c>
      <c r="AA5283" s="5" t="str">
        <f>IFERROR(__xludf.DUMMYFUNCTION("IF(REGEXMATCH(Z5283, ""Season""), ""TV Show"", ""Movie"")"),"Movie")</f>
        <v>Movie</v>
      </c>
    </row>
    <row r="5284">
      <c r="A5284" s="1" t="s">
        <v>27293</v>
      </c>
      <c r="B5284" s="1" t="s">
        <v>27</v>
      </c>
      <c r="C5284" s="1" t="s">
        <v>27294</v>
      </c>
      <c r="D5284" s="1" t="s">
        <v>21970</v>
      </c>
      <c r="E5284" s="1" t="s">
        <v>27295</v>
      </c>
      <c r="F5284" s="1" t="s">
        <v>30</v>
      </c>
      <c r="G5284" s="1" t="s">
        <v>27296</v>
      </c>
      <c r="H5284" s="1">
        <v>2016.0</v>
      </c>
      <c r="I5284" s="1" t="s">
        <v>42</v>
      </c>
      <c r="J5284" s="1" t="s">
        <v>357</v>
      </c>
      <c r="K5284" s="1" t="s">
        <v>107</v>
      </c>
      <c r="L5284" s="1" t="s">
        <v>27297</v>
      </c>
      <c r="M5284" s="2" t="s">
        <v>12</v>
      </c>
      <c r="N5284" s="4">
        <f t="shared" si="1"/>
        <v>42983</v>
      </c>
      <c r="O5284" s="5" t="str">
        <f>IFERROR(__xludf.DUMMYFUNCTION("IF(REGEXMATCH(TRIM(I5284), ""^\d+\s*min""), ""Unclassified"", IF(I5284 = """", ""NR"", I5284))"),"TV-MA")</f>
        <v>TV-MA</v>
      </c>
      <c r="R5284" s="5" t="str">
        <f t="shared" si="2"/>
        <v>Carrie Pilby</v>
      </c>
      <c r="S5284" s="5" t="str">
        <f>IFERROR(__xludf.DUMMYFUNCTION("""COMPUTED_VALUE"""),"Ordinary Heroes")</f>
        <v>Ordinary Heroes</v>
      </c>
      <c r="V5284" s="5"/>
      <c r="Y5284" s="5" t="str">
        <f>IFERROR(__xludf.DUMMYFUNCTION("REGEXEXTRACT(J5284, ""^\d+"")"),"98")</f>
        <v>98</v>
      </c>
      <c r="Z5284" s="5" t="str">
        <f>IFERROR(__xludf.DUMMYFUNCTION("REGEXEXTRACT(J5284, ""[A-Za-z ]+$"")")," min")</f>
        <v> min</v>
      </c>
      <c r="AA5284" s="5" t="str">
        <f>IFERROR(__xludf.DUMMYFUNCTION("IF(REGEXMATCH(Z5284, ""Season""), ""TV Show"", ""Movie"")"),"Movie")</f>
        <v>Movie</v>
      </c>
    </row>
    <row r="5285">
      <c r="A5285" s="1" t="s">
        <v>27298</v>
      </c>
      <c r="B5285" s="1" t="s">
        <v>27</v>
      </c>
      <c r="C5285" s="1" t="s">
        <v>27299</v>
      </c>
      <c r="D5285" s="1" t="s">
        <v>3701</v>
      </c>
      <c r="E5285" s="1" t="s">
        <v>15810</v>
      </c>
      <c r="F5285" s="1" t="s">
        <v>30</v>
      </c>
      <c r="G5285" s="1" t="s">
        <v>27296</v>
      </c>
      <c r="H5285" s="1">
        <v>2017.0</v>
      </c>
      <c r="I5285" s="1" t="s">
        <v>42</v>
      </c>
      <c r="J5285" s="1" t="s">
        <v>1583</v>
      </c>
      <c r="K5285" s="1" t="s">
        <v>1839</v>
      </c>
      <c r="L5285" s="1" t="s">
        <v>27300</v>
      </c>
      <c r="M5285" s="2" t="s">
        <v>12</v>
      </c>
      <c r="N5285" s="4">
        <f t="shared" si="1"/>
        <v>42983</v>
      </c>
      <c r="O5285" s="5" t="str">
        <f>IFERROR(__xludf.DUMMYFUNCTION("IF(REGEXMATCH(TRIM(I5285), ""^\d+\s*min""), ""Unclassified"", IF(I5285 = """", ""NR"", I5285))"),"TV-MA")</f>
        <v>TV-MA</v>
      </c>
      <c r="R5285" s="5" t="str">
        <f t="shared" si="2"/>
        <v>Marc Maron: Too Real</v>
      </c>
      <c r="S5285" s="5" t="str">
        <f>IFERROR(__xludf.DUMMYFUNCTION("""COMPUTED_VALUE"""),"Ordinary People")</f>
        <v>Ordinary People</v>
      </c>
      <c r="V5285" s="5"/>
      <c r="Y5285" s="5" t="str">
        <f>IFERROR(__xludf.DUMMYFUNCTION("REGEXEXTRACT(J5285, ""^\d+"")"),"70")</f>
        <v>70</v>
      </c>
      <c r="Z5285" s="5" t="str">
        <f>IFERROR(__xludf.DUMMYFUNCTION("REGEXEXTRACT(J5285, ""[A-Za-z ]+$"")")," min")</f>
        <v> min</v>
      </c>
      <c r="AA5285" s="5" t="str">
        <f>IFERROR(__xludf.DUMMYFUNCTION("IF(REGEXMATCH(Z5285, ""Season""), ""TV Show"", ""Movie"")"),"Movie")</f>
        <v>Movie</v>
      </c>
    </row>
    <row r="5286">
      <c r="A5286" s="1" t="s">
        <v>27301</v>
      </c>
      <c r="B5286" s="1" t="s">
        <v>37</v>
      </c>
      <c r="C5286" s="1" t="s">
        <v>27302</v>
      </c>
      <c r="E5286" s="1" t="s">
        <v>27303</v>
      </c>
      <c r="F5286" s="1" t="s">
        <v>30</v>
      </c>
      <c r="G5286" s="1" t="s">
        <v>27296</v>
      </c>
      <c r="H5286" s="1">
        <v>2016.0</v>
      </c>
      <c r="I5286" s="1" t="s">
        <v>136</v>
      </c>
      <c r="J5286" s="1" t="s">
        <v>51</v>
      </c>
      <c r="K5286" s="1" t="s">
        <v>4634</v>
      </c>
      <c r="L5286" s="1" t="s">
        <v>27304</v>
      </c>
      <c r="M5286" s="2" t="s">
        <v>12</v>
      </c>
      <c r="N5286" s="4">
        <f t="shared" si="1"/>
        <v>42983</v>
      </c>
      <c r="O5286" s="5" t="str">
        <f>IFERROR(__xludf.DUMMYFUNCTION("IF(REGEXMATCH(TRIM(I5286), ""^\d+\s*min""), ""Unclassified"", IF(I5286 = """", ""NR"", I5286))"),"TV-PG")</f>
        <v>TV-PG</v>
      </c>
      <c r="R5286" s="5" t="str">
        <f t="shared" si="2"/>
        <v>No Tomorrow</v>
      </c>
      <c r="S5286" s="5" t="str">
        <f>IFERROR(__xludf.DUMMYFUNCTION("""COMPUTED_VALUE"""),"Ordinary World")</f>
        <v>Ordinary World</v>
      </c>
      <c r="V5286" s="5"/>
      <c r="Y5286" s="5" t="str">
        <f>IFERROR(__xludf.DUMMYFUNCTION("REGEXEXTRACT(J5286, ""^\d+"")"),"1")</f>
        <v>1</v>
      </c>
      <c r="Z5286" s="5" t="str">
        <f>IFERROR(__xludf.DUMMYFUNCTION("REGEXEXTRACT(J5286, ""[A-Za-z ]+$"")")," Season")</f>
        <v> Season</v>
      </c>
      <c r="AA5286" s="5" t="str">
        <f>IFERROR(__xludf.DUMMYFUNCTION("IF(REGEXMATCH(Z5286, ""Season""), ""TV Show"", ""Movie"")"),"TV Show")</f>
        <v>TV Show</v>
      </c>
    </row>
    <row r="5287">
      <c r="A5287" s="1" t="s">
        <v>27305</v>
      </c>
      <c r="B5287" s="1" t="s">
        <v>37</v>
      </c>
      <c r="C5287" s="1" t="s">
        <v>27306</v>
      </c>
      <c r="E5287" s="1" t="s">
        <v>27307</v>
      </c>
      <c r="F5287" s="1" t="s">
        <v>30</v>
      </c>
      <c r="G5287" s="1" t="s">
        <v>27296</v>
      </c>
      <c r="H5287" s="1">
        <v>2017.0</v>
      </c>
      <c r="I5287" s="1" t="s">
        <v>97</v>
      </c>
      <c r="J5287" s="1" t="s">
        <v>148</v>
      </c>
      <c r="K5287" s="1" t="s">
        <v>2709</v>
      </c>
      <c r="L5287" s="1" t="s">
        <v>27308</v>
      </c>
      <c r="M5287" s="2" t="s">
        <v>12</v>
      </c>
      <c r="N5287" s="4">
        <f t="shared" si="1"/>
        <v>42983</v>
      </c>
      <c r="O5287" s="5" t="str">
        <f>IFERROR(__xludf.DUMMYFUNCTION("IF(REGEXMATCH(TRIM(I5287), ""^\d+\s*min""), ""Unclassified"", IF(I5287 = """", ""NR"", I5287))"),"TV-14")</f>
        <v>TV-14</v>
      </c>
      <c r="R5287" s="5" t="str">
        <f t="shared" si="2"/>
        <v>Reign</v>
      </c>
      <c r="S5287" s="5" t="str">
        <f>IFERROR(__xludf.DUMMYFUNCTION("""COMPUTED_VALUE"""),"Organize Isler")</f>
        <v>Organize Isler</v>
      </c>
      <c r="V5287" s="5"/>
      <c r="Y5287" s="5" t="str">
        <f>IFERROR(__xludf.DUMMYFUNCTION("REGEXEXTRACT(J5287, ""^\d+"")"),"4")</f>
        <v>4</v>
      </c>
      <c r="Z5287" s="5" t="str">
        <f>IFERROR(__xludf.DUMMYFUNCTION("REGEXEXTRACT(J5287, ""[A-Za-z ]+$"")")," Seasons")</f>
        <v> Seasons</v>
      </c>
      <c r="AA5287" s="5" t="str">
        <f>IFERROR(__xludf.DUMMYFUNCTION("IF(REGEXMATCH(Z5287, ""Season""), ""TV Show"", ""Movie"")"),"TV Show")</f>
        <v>TV Show</v>
      </c>
    </row>
    <row r="5288">
      <c r="A5288" s="1" t="s">
        <v>27309</v>
      </c>
      <c r="B5288" s="1" t="s">
        <v>37</v>
      </c>
      <c r="C5288" s="1" t="s">
        <v>27310</v>
      </c>
      <c r="E5288" s="1" t="s">
        <v>27311</v>
      </c>
      <c r="F5288" s="1" t="s">
        <v>30</v>
      </c>
      <c r="G5288" s="1" t="s">
        <v>27312</v>
      </c>
      <c r="H5288" s="1">
        <v>2016.0</v>
      </c>
      <c r="I5288" s="1" t="s">
        <v>97</v>
      </c>
      <c r="J5288" s="1" t="s">
        <v>51</v>
      </c>
      <c r="K5288" s="1" t="s">
        <v>1510</v>
      </c>
      <c r="L5288" s="1" t="s">
        <v>27313</v>
      </c>
      <c r="M5288" s="2" t="s">
        <v>12</v>
      </c>
      <c r="N5288" s="4">
        <f t="shared" si="1"/>
        <v>42982</v>
      </c>
      <c r="O5288" s="5" t="str">
        <f>IFERROR(__xludf.DUMMYFUNCTION("IF(REGEXMATCH(TRIM(I5288), ""^\d+\s*min""), ""Unclassified"", IF(I5288 = """", ""NR"", I5288))"),"TV-14")</f>
        <v>TV-14</v>
      </c>
      <c r="R5288" s="5" t="str">
        <f t="shared" si="2"/>
        <v>Frequency</v>
      </c>
      <c r="S5288" s="5" t="str">
        <f>IFERROR(__xludf.DUMMYFUNCTION("""COMPUTED_VALUE"""),"Origins Collection")</f>
        <v>Origins Collection</v>
      </c>
      <c r="V5288" s="5"/>
      <c r="Y5288" s="5" t="str">
        <f>IFERROR(__xludf.DUMMYFUNCTION("REGEXEXTRACT(J5288, ""^\d+"")"),"1")</f>
        <v>1</v>
      </c>
      <c r="Z5288" s="5" t="str">
        <f>IFERROR(__xludf.DUMMYFUNCTION("REGEXEXTRACT(J5288, ""[A-Za-z ]+$"")")," Season")</f>
        <v> Season</v>
      </c>
      <c r="AA5288" s="5" t="str">
        <f>IFERROR(__xludf.DUMMYFUNCTION("IF(REGEXMATCH(Z5288, ""Season""), ""TV Show"", ""Movie"")"),"TV Show")</f>
        <v>TV Show</v>
      </c>
    </row>
    <row r="5289">
      <c r="A5289" s="1" t="s">
        <v>27314</v>
      </c>
      <c r="B5289" s="1" t="s">
        <v>37</v>
      </c>
      <c r="C5289" s="1" t="s">
        <v>27315</v>
      </c>
      <c r="E5289" s="1" t="s">
        <v>27316</v>
      </c>
      <c r="F5289" s="1" t="s">
        <v>30</v>
      </c>
      <c r="G5289" s="1" t="s">
        <v>27312</v>
      </c>
      <c r="H5289" s="1">
        <v>2016.0</v>
      </c>
      <c r="I5289" s="1" t="s">
        <v>97</v>
      </c>
      <c r="J5289" s="1" t="s">
        <v>3285</v>
      </c>
      <c r="K5289" s="1" t="s">
        <v>1616</v>
      </c>
      <c r="L5289" s="1" t="s">
        <v>27317</v>
      </c>
      <c r="M5289" s="2" t="s">
        <v>12</v>
      </c>
      <c r="N5289" s="4">
        <f t="shared" si="1"/>
        <v>42982</v>
      </c>
      <c r="O5289" s="5" t="str">
        <f>IFERROR(__xludf.DUMMYFUNCTION("IF(REGEXMATCH(TRIM(I5289), ""^\d+\s*min""), ""Unclassified"", IF(I5289 = """", ""NR"", I5289))"),"TV-14")</f>
        <v>TV-14</v>
      </c>
      <c r="R5289" s="5" t="str">
        <f t="shared" si="2"/>
        <v>The Vampire Diaries</v>
      </c>
      <c r="S5289" s="5" t="str">
        <f>IFERROR(__xludf.DUMMYFUNCTION("""COMPUTED_VALUE"""),"Oru Vishsheshapetta Biryani Kissa")</f>
        <v>Oru Vishsheshapetta Biryani Kissa</v>
      </c>
      <c r="V5289" s="5"/>
      <c r="Y5289" s="5" t="str">
        <f>IFERROR(__xludf.DUMMYFUNCTION("REGEXEXTRACT(J5289, ""^\d+"")"),"8")</f>
        <v>8</v>
      </c>
      <c r="Z5289" s="5" t="str">
        <f>IFERROR(__xludf.DUMMYFUNCTION("REGEXEXTRACT(J5289, ""[A-Za-z ]+$"")")," Seasons")</f>
        <v> Seasons</v>
      </c>
      <c r="AA5289" s="5" t="str">
        <f>IFERROR(__xludf.DUMMYFUNCTION("IF(REGEXMATCH(Z5289, ""Season""), ""TV Show"", ""Movie"")"),"TV Show")</f>
        <v>TV Show</v>
      </c>
    </row>
    <row r="5290">
      <c r="A5290" s="1" t="s">
        <v>27318</v>
      </c>
      <c r="B5290" s="1" t="s">
        <v>37</v>
      </c>
      <c r="C5290" s="1" t="s">
        <v>27319</v>
      </c>
      <c r="E5290" s="1" t="s">
        <v>27320</v>
      </c>
      <c r="F5290" s="1" t="s">
        <v>2059</v>
      </c>
      <c r="G5290" s="1" t="s">
        <v>27321</v>
      </c>
      <c r="H5290" s="1">
        <v>2017.0</v>
      </c>
      <c r="I5290" s="1" t="s">
        <v>42</v>
      </c>
      <c r="J5290" s="1" t="s">
        <v>51</v>
      </c>
      <c r="K5290" s="1" t="s">
        <v>1531</v>
      </c>
      <c r="L5290" s="1" t="s">
        <v>27322</v>
      </c>
      <c r="M5290" s="2" t="s">
        <v>12</v>
      </c>
      <c r="N5290" s="4">
        <f t="shared" si="1"/>
        <v>42979</v>
      </c>
      <c r="O5290" s="5" t="str">
        <f>IFERROR(__xludf.DUMMYFUNCTION("IF(REGEXMATCH(TRIM(I5290), ""^\d+\s*min""), ""Unclassified"", IF(I5290 = """", ""NR"", I5290))"),"TV-MA")</f>
        <v>TV-MA</v>
      </c>
      <c r="R5290" s="5" t="str">
        <f t="shared" si="2"/>
        <v>A Boy Name Flora A</v>
      </c>
      <c r="S5290" s="5" t="str">
        <f>IFERROR(__xludf.DUMMYFUNCTION("""COMPUTED_VALUE"""),"Oscar'S Oasis")</f>
        <v>Oscar'S Oasis</v>
      </c>
      <c r="V5290" s="5"/>
      <c r="Y5290" s="5" t="str">
        <f>IFERROR(__xludf.DUMMYFUNCTION("REGEXEXTRACT(J5290, ""^\d+"")"),"1")</f>
        <v>1</v>
      </c>
      <c r="Z5290" s="5" t="str">
        <f>IFERROR(__xludf.DUMMYFUNCTION("REGEXEXTRACT(J5290, ""[A-Za-z ]+$"")")," Season")</f>
        <v> Season</v>
      </c>
      <c r="AA5290" s="5" t="str">
        <f>IFERROR(__xludf.DUMMYFUNCTION("IF(REGEXMATCH(Z5290, ""Season""), ""TV Show"", ""Movie"")"),"TV Show")</f>
        <v>TV Show</v>
      </c>
    </row>
    <row r="5291">
      <c r="A5291" s="1" t="s">
        <v>27323</v>
      </c>
      <c r="B5291" s="1" t="s">
        <v>37</v>
      </c>
      <c r="C5291" s="1" t="s">
        <v>27324</v>
      </c>
      <c r="E5291" s="1" t="s">
        <v>27325</v>
      </c>
      <c r="F5291" s="1" t="s">
        <v>2059</v>
      </c>
      <c r="G5291" s="1" t="s">
        <v>27321</v>
      </c>
      <c r="H5291" s="1">
        <v>2017.0</v>
      </c>
      <c r="I5291" s="1" t="s">
        <v>136</v>
      </c>
      <c r="J5291" s="1" t="s">
        <v>51</v>
      </c>
      <c r="K5291" s="1" t="s">
        <v>9281</v>
      </c>
      <c r="L5291" s="1" t="s">
        <v>27326</v>
      </c>
      <c r="M5291" s="2" t="s">
        <v>12</v>
      </c>
      <c r="N5291" s="4">
        <f t="shared" si="1"/>
        <v>42979</v>
      </c>
      <c r="O5291" s="5" t="str">
        <f>IFERROR(__xludf.DUMMYFUNCTION("IF(REGEXMATCH(TRIM(I5291), ""^\d+\s*min""), ""Unclassified"", IF(I5291 = """", ""NR"", I5291))"),"TV-PG")</f>
        <v>TV-PG</v>
      </c>
      <c r="R5291" s="5" t="str">
        <f t="shared" si="2"/>
        <v>A House Of Blocks</v>
      </c>
      <c r="S5291" s="5" t="str">
        <f>IFERROR(__xludf.DUMMYFUNCTION("""COMPUTED_VALUE"""),"Osmosis")</f>
        <v>Osmosis</v>
      </c>
      <c r="V5291" s="5"/>
      <c r="Y5291" s="5" t="str">
        <f>IFERROR(__xludf.DUMMYFUNCTION("REGEXEXTRACT(J5291, ""^\d+"")"),"1")</f>
        <v>1</v>
      </c>
      <c r="Z5291" s="5" t="str">
        <f>IFERROR(__xludf.DUMMYFUNCTION("REGEXEXTRACT(J5291, ""[A-Za-z ]+$"")")," Season")</f>
        <v> Season</v>
      </c>
      <c r="AA5291" s="5" t="str">
        <f>IFERROR(__xludf.DUMMYFUNCTION("IF(REGEXMATCH(Z5291, ""Season""), ""TV Show"", ""Movie"")"),"TV Show")</f>
        <v>TV Show</v>
      </c>
    </row>
    <row r="5292">
      <c r="A5292" s="1" t="s">
        <v>27327</v>
      </c>
      <c r="B5292" s="1" t="s">
        <v>27</v>
      </c>
      <c r="C5292" s="1" t="s">
        <v>27328</v>
      </c>
      <c r="D5292" s="1" t="s">
        <v>18710</v>
      </c>
      <c r="E5292" s="1" t="s">
        <v>27329</v>
      </c>
      <c r="F5292" s="1" t="s">
        <v>63</v>
      </c>
      <c r="G5292" s="1" t="s">
        <v>27321</v>
      </c>
      <c r="H5292" s="1">
        <v>1988.0</v>
      </c>
      <c r="I5292" s="1" t="s">
        <v>97</v>
      </c>
      <c r="J5292" s="1" t="s">
        <v>2216</v>
      </c>
      <c r="K5292" s="1" t="s">
        <v>1066</v>
      </c>
      <c r="L5292" s="1" t="s">
        <v>27330</v>
      </c>
      <c r="M5292" s="2" t="s">
        <v>12</v>
      </c>
      <c r="N5292" s="4">
        <f t="shared" si="1"/>
        <v>42979</v>
      </c>
      <c r="O5292" s="5" t="str">
        <f>IFERROR(__xludf.DUMMYFUNCTION("IF(REGEXMATCH(TRIM(I5292), ""^\d+\s*min""), ""Unclassified"", IF(I5292 = """", ""NR"", I5292))"),"TV-14")</f>
        <v>TV-14</v>
      </c>
      <c r="R5292" s="5" t="str">
        <f t="shared" si="2"/>
        <v>Aakhri Adaalat</v>
      </c>
      <c r="S5292" s="5" t="str">
        <f>IFERROR(__xludf.DUMMYFUNCTION("""COMPUTED_VALUE"""),"Osmosis Jones")</f>
        <v>Osmosis Jones</v>
      </c>
      <c r="V5292" s="5"/>
      <c r="Y5292" s="5" t="str">
        <f>IFERROR(__xludf.DUMMYFUNCTION("REGEXEXTRACT(J5292, ""^\d+"")"),"148")</f>
        <v>148</v>
      </c>
      <c r="Z5292" s="5" t="str">
        <f>IFERROR(__xludf.DUMMYFUNCTION("REGEXEXTRACT(J5292, ""[A-Za-z ]+$"")")," min")</f>
        <v> min</v>
      </c>
      <c r="AA5292" s="5" t="str">
        <f>IFERROR(__xludf.DUMMYFUNCTION("IF(REGEXMATCH(Z5292, ""Season""), ""TV Show"", ""Movie"")"),"Movie")</f>
        <v>Movie</v>
      </c>
    </row>
    <row r="5293">
      <c r="A5293" s="1" t="s">
        <v>27331</v>
      </c>
      <c r="B5293" s="1" t="s">
        <v>27</v>
      </c>
      <c r="C5293" s="1" t="s">
        <v>27332</v>
      </c>
      <c r="G5293" s="1" t="s">
        <v>27321</v>
      </c>
      <c r="H5293" s="1">
        <v>2017.0</v>
      </c>
      <c r="I5293" s="1" t="s">
        <v>42</v>
      </c>
      <c r="J5293" s="1" t="s">
        <v>5941</v>
      </c>
      <c r="K5293" s="1" t="s">
        <v>156</v>
      </c>
      <c r="L5293" s="1" t="s">
        <v>27333</v>
      </c>
      <c r="M5293" s="2" t="s">
        <v>12</v>
      </c>
      <c r="N5293" s="4">
        <f t="shared" si="1"/>
        <v>42979</v>
      </c>
      <c r="O5293" s="5" t="str">
        <f>IFERROR(__xludf.DUMMYFUNCTION("IF(REGEXMATCH(TRIM(I5293), ""^\d+\s*min""), ""Unclassified"", IF(I5293 = """", ""NR"", I5293))"),"TV-MA")</f>
        <v>TV-MA</v>
      </c>
      <c r="R5293" s="5" t="str">
        <f t="shared" si="2"/>
        <v>Alias Jj, La Celebridad Del Mal</v>
      </c>
      <c r="S5293" s="5" t="str">
        <f>IFERROR(__xludf.DUMMYFUNCTION("""COMPUTED_VALUE"""),"Osuofia In London")</f>
        <v>Osuofia In London</v>
      </c>
      <c r="V5293" s="5"/>
      <c r="Y5293" s="5" t="str">
        <f>IFERROR(__xludf.DUMMYFUNCTION("REGEXEXTRACT(J5293, ""^\d+"")"),"54")</f>
        <v>54</v>
      </c>
      <c r="Z5293" s="5" t="str">
        <f>IFERROR(__xludf.DUMMYFUNCTION("REGEXEXTRACT(J5293, ""[A-Za-z ]+$"")")," min")</f>
        <v> min</v>
      </c>
      <c r="AA5293" s="5" t="str">
        <f>IFERROR(__xludf.DUMMYFUNCTION("IF(REGEXMATCH(Z5293, ""Season""), ""TV Show"", ""Movie"")"),"Movie")</f>
        <v>Movie</v>
      </c>
    </row>
    <row r="5294">
      <c r="A5294" s="1" t="s">
        <v>27334</v>
      </c>
      <c r="B5294" s="1" t="s">
        <v>27</v>
      </c>
      <c r="C5294" s="1" t="s">
        <v>27335</v>
      </c>
      <c r="D5294" s="1" t="s">
        <v>22864</v>
      </c>
      <c r="E5294" s="1" t="s">
        <v>27336</v>
      </c>
      <c r="F5294" s="1" t="s">
        <v>415</v>
      </c>
      <c r="G5294" s="1" t="s">
        <v>27321</v>
      </c>
      <c r="H5294" s="1">
        <v>2012.0</v>
      </c>
      <c r="I5294" s="1" t="s">
        <v>42</v>
      </c>
      <c r="J5294" s="1" t="s">
        <v>665</v>
      </c>
      <c r="K5294" s="1" t="s">
        <v>417</v>
      </c>
      <c r="L5294" s="1" t="s">
        <v>27337</v>
      </c>
      <c r="M5294" s="2" t="s">
        <v>12</v>
      </c>
      <c r="N5294" s="4">
        <f t="shared" si="1"/>
        <v>42979</v>
      </c>
      <c r="O5294" s="5" t="str">
        <f>IFERROR(__xludf.DUMMYFUNCTION("IF(REGEXMATCH(TRIM(I5294), ""^\d+\s*min""), ""Unclassified"", IF(I5294 = """", ""NR"", I5294))"),"TV-MA")</f>
        <v>TV-MA</v>
      </c>
      <c r="R5294" s="5" t="str">
        <f t="shared" si="2"/>
        <v>Berserk: The Golden Age Arc Ii - The Battle For Doldrey</v>
      </c>
      <c r="S5294" s="5" t="str">
        <f>IFERROR(__xludf.DUMMYFUNCTION("""COMPUTED_VALUE"""),"Osuofia In London Ii")</f>
        <v>Osuofia In London Ii</v>
      </c>
      <c r="V5294" s="5"/>
      <c r="Y5294" s="5" t="str">
        <f>IFERROR(__xludf.DUMMYFUNCTION("REGEXEXTRACT(J5294, ""^\d+"")"),"92")</f>
        <v>92</v>
      </c>
      <c r="Z5294" s="5" t="str">
        <f>IFERROR(__xludf.DUMMYFUNCTION("REGEXEXTRACT(J5294, ""[A-Za-z ]+$"")")," min")</f>
        <v> min</v>
      </c>
      <c r="AA5294" s="5" t="str">
        <f>IFERROR(__xludf.DUMMYFUNCTION("IF(REGEXMATCH(Z5294, ""Season""), ""TV Show"", ""Movie"")"),"Movie")</f>
        <v>Movie</v>
      </c>
    </row>
    <row r="5295">
      <c r="A5295" s="1" t="s">
        <v>27338</v>
      </c>
      <c r="B5295" s="1" t="s">
        <v>27</v>
      </c>
      <c r="C5295" s="1" t="s">
        <v>27339</v>
      </c>
      <c r="D5295" s="1" t="s">
        <v>22864</v>
      </c>
      <c r="E5295" s="1" t="s">
        <v>27340</v>
      </c>
      <c r="F5295" s="1" t="s">
        <v>415</v>
      </c>
      <c r="G5295" s="1" t="s">
        <v>27321</v>
      </c>
      <c r="H5295" s="1">
        <v>2013.0</v>
      </c>
      <c r="I5295" s="1" t="s">
        <v>42</v>
      </c>
      <c r="J5295" s="1" t="s">
        <v>1256</v>
      </c>
      <c r="K5295" s="1" t="s">
        <v>417</v>
      </c>
      <c r="L5295" s="1" t="s">
        <v>27341</v>
      </c>
      <c r="M5295" s="2" t="s">
        <v>12</v>
      </c>
      <c r="N5295" s="4">
        <f t="shared" si="1"/>
        <v>42979</v>
      </c>
      <c r="O5295" s="5" t="str">
        <f>IFERROR(__xludf.DUMMYFUNCTION("IF(REGEXMATCH(TRIM(I5295), ""^\d+\s*min""), ""Unclassified"", IF(I5295 = """", ""NR"", I5295))"),"TV-MA")</f>
        <v>TV-MA</v>
      </c>
      <c r="R5295" s="5" t="str">
        <f t="shared" si="2"/>
        <v>Berserk: The Golden Age Arc Iii - The Advent</v>
      </c>
      <c r="S5295" s="5" t="str">
        <f>IFERROR(__xludf.DUMMYFUNCTION("""COMPUTED_VALUE"""),"Other People")</f>
        <v>Other People</v>
      </c>
      <c r="V5295" s="5"/>
      <c r="Y5295" s="5" t="str">
        <f>IFERROR(__xludf.DUMMYFUNCTION("REGEXEXTRACT(J5295, ""^\d+"")"),"107")</f>
        <v>107</v>
      </c>
      <c r="Z5295" s="5" t="str">
        <f>IFERROR(__xludf.DUMMYFUNCTION("REGEXEXTRACT(J5295, ""[A-Za-z ]+$"")")," min")</f>
        <v> min</v>
      </c>
      <c r="AA5295" s="5" t="str">
        <f>IFERROR(__xludf.DUMMYFUNCTION("IF(REGEXMATCH(Z5295, ""Season""), ""TV Show"", ""Movie"")"),"Movie")</f>
        <v>Movie</v>
      </c>
    </row>
    <row r="5296">
      <c r="A5296" s="1" t="s">
        <v>27342</v>
      </c>
      <c r="B5296" s="1" t="s">
        <v>27</v>
      </c>
      <c r="C5296" s="1" t="s">
        <v>27343</v>
      </c>
      <c r="D5296" s="1" t="s">
        <v>22642</v>
      </c>
      <c r="E5296" s="1" t="s">
        <v>27344</v>
      </c>
      <c r="F5296" s="1" t="s">
        <v>30</v>
      </c>
      <c r="G5296" s="1" t="s">
        <v>27321</v>
      </c>
      <c r="H5296" s="1">
        <v>2006.0</v>
      </c>
      <c r="I5296" s="1" t="s">
        <v>42</v>
      </c>
      <c r="J5296" s="1" t="s">
        <v>33</v>
      </c>
      <c r="K5296" s="1" t="s">
        <v>1320</v>
      </c>
      <c r="L5296" s="1" t="s">
        <v>27345</v>
      </c>
      <c r="M5296" s="2" t="s">
        <v>12</v>
      </c>
      <c r="N5296" s="4">
        <f t="shared" si="1"/>
        <v>42979</v>
      </c>
      <c r="O5296" s="5" t="str">
        <f>IFERROR(__xludf.DUMMYFUNCTION("IF(REGEXMATCH(TRIM(I5296), ""^\d+\s*min""), ""Unclassified"", IF(I5296 = """", ""NR"", I5296))"),"TV-MA")</f>
        <v>TV-MA</v>
      </c>
      <c r="R5296" s="5" t="str">
        <f t="shared" si="2"/>
        <v>Brother'S Shadow</v>
      </c>
      <c r="S5296" s="5" t="str">
        <f>IFERROR(__xludf.DUMMYFUNCTION("""COMPUTED_VALUE"""),"Otherhood")</f>
        <v>Otherhood</v>
      </c>
      <c r="V5296" s="5"/>
      <c r="Y5296" s="5" t="str">
        <f>IFERROR(__xludf.DUMMYFUNCTION("REGEXEXTRACT(J5296, ""^\d+"")"),"90")</f>
        <v>90</v>
      </c>
      <c r="Z5296" s="5" t="str">
        <f>IFERROR(__xludf.DUMMYFUNCTION("REGEXEXTRACT(J5296, ""[A-Za-z ]+$"")")," min")</f>
        <v> min</v>
      </c>
      <c r="AA5296" s="5" t="str">
        <f>IFERROR(__xludf.DUMMYFUNCTION("IF(REGEXMATCH(Z5296, ""Season""), ""TV Show"", ""Movie"")"),"Movie")</f>
        <v>Movie</v>
      </c>
    </row>
    <row r="5297">
      <c r="A5297" s="1" t="s">
        <v>27346</v>
      </c>
      <c r="B5297" s="1" t="s">
        <v>27</v>
      </c>
      <c r="C5297" s="1" t="s">
        <v>27347</v>
      </c>
      <c r="E5297" s="1" t="s">
        <v>27348</v>
      </c>
      <c r="F5297" s="1" t="s">
        <v>63</v>
      </c>
      <c r="G5297" s="1" t="s">
        <v>27321</v>
      </c>
      <c r="H5297" s="1">
        <v>1976.0</v>
      </c>
      <c r="I5297" s="1" t="s">
        <v>136</v>
      </c>
      <c r="J5297" s="1" t="s">
        <v>1369</v>
      </c>
      <c r="K5297" s="1" t="s">
        <v>215</v>
      </c>
      <c r="L5297" s="1" t="s">
        <v>27349</v>
      </c>
      <c r="M5297" s="2" t="s">
        <v>12</v>
      </c>
      <c r="N5297" s="4">
        <f t="shared" si="1"/>
        <v>42979</v>
      </c>
      <c r="O5297" s="5" t="str">
        <f>IFERROR(__xludf.DUMMYFUNCTION("IF(REGEXMATCH(TRIM(I5297), ""^\d+\s*min""), ""Unclassified"", IF(I5297 = """", ""NR"", I5297))"),"TV-PG")</f>
        <v>TV-PG</v>
      </c>
      <c r="R5297" s="5" t="str">
        <f t="shared" si="2"/>
        <v>Chadi Jawani Budhe Nu</v>
      </c>
      <c r="S5297" s="5" t="str">
        <f>IFERROR(__xludf.DUMMYFUNCTION("""COMPUTED_VALUE"""),"Otherlife")</f>
        <v>Otherlife</v>
      </c>
      <c r="V5297" s="5"/>
      <c r="Y5297" s="5" t="str">
        <f>IFERROR(__xludf.DUMMYFUNCTION("REGEXEXTRACT(J5297, ""^\d+"")"),"135")</f>
        <v>135</v>
      </c>
      <c r="Z5297" s="5" t="str">
        <f>IFERROR(__xludf.DUMMYFUNCTION("REGEXEXTRACT(J5297, ""[A-Za-z ]+$"")")," min")</f>
        <v> min</v>
      </c>
      <c r="AA5297" s="5" t="str">
        <f>IFERROR(__xludf.DUMMYFUNCTION("IF(REGEXMATCH(Z5297, ""Season""), ""TV Show"", ""Movie"")"),"Movie")</f>
        <v>Movie</v>
      </c>
    </row>
    <row r="5298">
      <c r="A5298" s="1" t="s">
        <v>27350</v>
      </c>
      <c r="B5298" s="1" t="s">
        <v>27</v>
      </c>
      <c r="C5298" s="1" t="s">
        <v>27351</v>
      </c>
      <c r="D5298" s="1" t="s">
        <v>18710</v>
      </c>
      <c r="E5298" s="1" t="s">
        <v>27352</v>
      </c>
      <c r="F5298" s="1" t="s">
        <v>63</v>
      </c>
      <c r="G5298" s="1" t="s">
        <v>27321</v>
      </c>
      <c r="H5298" s="1">
        <v>1983.0</v>
      </c>
      <c r="I5298" s="1" t="s">
        <v>97</v>
      </c>
      <c r="J5298" s="1" t="s">
        <v>7280</v>
      </c>
      <c r="K5298" s="1" t="s">
        <v>1429</v>
      </c>
      <c r="L5298" s="1" t="s">
        <v>27353</v>
      </c>
      <c r="M5298" s="2" t="s">
        <v>12</v>
      </c>
      <c r="N5298" s="4">
        <f t="shared" si="1"/>
        <v>42979</v>
      </c>
      <c r="O5298" s="5" t="str">
        <f>IFERROR(__xludf.DUMMYFUNCTION("IF(REGEXMATCH(TRIM(I5298), ""^\d+\s*min""), ""Unclassified"", IF(I5298 = """", ""NR"", I5298))"),"TV-14")</f>
        <v>TV-14</v>
      </c>
      <c r="R5298" s="5" t="str">
        <f t="shared" si="2"/>
        <v>Ek Jaan Hain Hum</v>
      </c>
      <c r="S5298" s="5" t="str">
        <f>IFERROR(__xludf.DUMMYFUNCTION("""COMPUTED_VALUE"""),"Oththa Seruppu Size 7")</f>
        <v>Oththa Seruppu Size 7</v>
      </c>
      <c r="V5298" s="5"/>
      <c r="Y5298" s="5" t="str">
        <f>IFERROR(__xludf.DUMMYFUNCTION("REGEXEXTRACT(J5298, ""^\d+"")"),"151")</f>
        <v>151</v>
      </c>
      <c r="Z5298" s="5" t="str">
        <f>IFERROR(__xludf.DUMMYFUNCTION("REGEXEXTRACT(J5298, ""[A-Za-z ]+$"")")," min")</f>
        <v> min</v>
      </c>
      <c r="AA5298" s="5" t="str">
        <f>IFERROR(__xludf.DUMMYFUNCTION("IF(REGEXMATCH(Z5298, ""Season""), ""TV Show"", ""Movie"")"),"Movie")</f>
        <v>Movie</v>
      </c>
    </row>
    <row r="5299">
      <c r="A5299" s="1" t="s">
        <v>27354</v>
      </c>
      <c r="B5299" s="1" t="s">
        <v>37</v>
      </c>
      <c r="C5299" s="1" t="s">
        <v>27355</v>
      </c>
      <c r="E5299" s="1" t="s">
        <v>27356</v>
      </c>
      <c r="F5299" s="1" t="s">
        <v>415</v>
      </c>
      <c r="G5299" s="1" t="s">
        <v>27321</v>
      </c>
      <c r="H5299" s="1">
        <v>2017.0</v>
      </c>
      <c r="I5299" s="1" t="s">
        <v>136</v>
      </c>
      <c r="J5299" s="1" t="s">
        <v>51</v>
      </c>
      <c r="K5299" s="1" t="s">
        <v>402</v>
      </c>
      <c r="L5299" s="1" t="s">
        <v>27357</v>
      </c>
      <c r="M5299" s="2" t="s">
        <v>12</v>
      </c>
      <c r="N5299" s="4">
        <f t="shared" si="1"/>
        <v>42979</v>
      </c>
      <c r="O5299" s="5" t="str">
        <f>IFERROR(__xludf.DUMMYFUNCTION("IF(REGEXMATCH(TRIM(I5299), ""^\d+\s*min""), ""Unclassified"", IF(I5299 = """", ""NR"", I5299))"),"TV-PG")</f>
        <v>TV-PG</v>
      </c>
      <c r="R5299" s="5" t="str">
        <f t="shared" si="2"/>
        <v>Final Fantasy Xiv Dad Of Light</v>
      </c>
      <c r="S5299" s="5" t="str">
        <f>IFERROR(__xludf.DUMMYFUNCTION("""COMPUTED_VALUE"""),"Ottaal")</f>
        <v>Ottaal</v>
      </c>
      <c r="V5299" s="5"/>
      <c r="Y5299" s="5" t="str">
        <f>IFERROR(__xludf.DUMMYFUNCTION("REGEXEXTRACT(J5299, ""^\d+"")"),"1")</f>
        <v>1</v>
      </c>
      <c r="Z5299" s="5" t="str">
        <f>IFERROR(__xludf.DUMMYFUNCTION("REGEXEXTRACT(J5299, ""[A-Za-z ]+$"")")," Season")</f>
        <v> Season</v>
      </c>
      <c r="AA5299" s="5" t="str">
        <f>IFERROR(__xludf.DUMMYFUNCTION("IF(REGEXMATCH(Z5299, ""Season""), ""TV Show"", ""Movie"")"),"TV Show")</f>
        <v>TV Show</v>
      </c>
    </row>
    <row r="5300">
      <c r="A5300" s="1" t="s">
        <v>27358</v>
      </c>
      <c r="B5300" s="1" t="s">
        <v>37</v>
      </c>
      <c r="C5300" s="1" t="s">
        <v>27359</v>
      </c>
      <c r="E5300" s="1" t="s">
        <v>27360</v>
      </c>
      <c r="F5300" s="1" t="s">
        <v>415</v>
      </c>
      <c r="G5300" s="1" t="s">
        <v>27321</v>
      </c>
      <c r="H5300" s="1">
        <v>2007.0</v>
      </c>
      <c r="I5300" s="1" t="s">
        <v>97</v>
      </c>
      <c r="J5300" s="1" t="s">
        <v>51</v>
      </c>
      <c r="K5300" s="1" t="s">
        <v>567</v>
      </c>
      <c r="L5300" s="1" t="s">
        <v>27361</v>
      </c>
      <c r="M5300" s="2" t="s">
        <v>12</v>
      </c>
      <c r="N5300" s="4">
        <f t="shared" si="1"/>
        <v>42979</v>
      </c>
      <c r="O5300" s="5" t="str">
        <f>IFERROR(__xludf.DUMMYFUNCTION("IF(REGEXMATCH(TRIM(I5300), ""^\d+\s*min""), ""Unclassified"", IF(I5300 = """", ""NR"", I5300))"),"TV-14")</f>
        <v>TV-14</v>
      </c>
      <c r="R5300" s="5" t="str">
        <f t="shared" si="2"/>
        <v>Gurren Lagann</v>
      </c>
      <c r="S5300" s="5" t="str">
        <f>IFERROR(__xludf.DUMMYFUNCTION("""COMPUTED_VALUE"""),"Our Godfather")</f>
        <v>Our Godfather</v>
      </c>
      <c r="V5300" s="5"/>
      <c r="Y5300" s="5" t="str">
        <f>IFERROR(__xludf.DUMMYFUNCTION("REGEXEXTRACT(J5300, ""^\d+"")"),"1")</f>
        <v>1</v>
      </c>
      <c r="Z5300" s="5" t="str">
        <f>IFERROR(__xludf.DUMMYFUNCTION("REGEXEXTRACT(J5300, ""[A-Za-z ]+$"")")," Season")</f>
        <v> Season</v>
      </c>
      <c r="AA5300" s="5" t="str">
        <f>IFERROR(__xludf.DUMMYFUNCTION("IF(REGEXMATCH(Z5300, ""Season""), ""TV Show"", ""Movie"")"),"TV Show")</f>
        <v>TV Show</v>
      </c>
    </row>
    <row r="5301">
      <c r="A5301" s="1" t="s">
        <v>27362</v>
      </c>
      <c r="B5301" s="1" t="s">
        <v>37</v>
      </c>
      <c r="C5301" s="1" t="s">
        <v>27363</v>
      </c>
      <c r="F5301" s="1" t="s">
        <v>30</v>
      </c>
      <c r="G5301" s="1" t="s">
        <v>27321</v>
      </c>
      <c r="H5301" s="1">
        <v>1988.0</v>
      </c>
      <c r="I5301" s="1" t="s">
        <v>136</v>
      </c>
      <c r="J5301" s="1" t="s">
        <v>51</v>
      </c>
      <c r="K5301" s="1" t="s">
        <v>57</v>
      </c>
      <c r="L5301" s="1" t="s">
        <v>27364</v>
      </c>
      <c r="M5301" s="2" t="s">
        <v>12</v>
      </c>
      <c r="N5301" s="4">
        <f t="shared" si="1"/>
        <v>42979</v>
      </c>
      <c r="O5301" s="5" t="str">
        <f>IFERROR(__xludf.DUMMYFUNCTION("IF(REGEXMATCH(TRIM(I5301), ""^\d+\s*min""), ""Unclassified"", IF(I5301 = """", ""NR"", I5301))"),"TV-PG")</f>
        <v>TV-PG</v>
      </c>
      <c r="R5301" s="5" t="str">
        <f t="shared" si="2"/>
        <v>High Risk</v>
      </c>
      <c r="S5301" s="5" t="str">
        <f>IFERROR(__xludf.DUMMYFUNCTION("""COMPUTED_VALUE"""),"Our House")</f>
        <v>Our House</v>
      </c>
      <c r="V5301" s="5"/>
      <c r="Y5301" s="5" t="str">
        <f>IFERROR(__xludf.DUMMYFUNCTION("REGEXEXTRACT(J5301, ""^\d+"")"),"1")</f>
        <v>1</v>
      </c>
      <c r="Z5301" s="5" t="str">
        <f>IFERROR(__xludf.DUMMYFUNCTION("REGEXEXTRACT(J5301, ""[A-Za-z ]+$"")")," Season")</f>
        <v> Season</v>
      </c>
      <c r="AA5301" s="5" t="str">
        <f>IFERROR(__xludf.DUMMYFUNCTION("IF(REGEXMATCH(Z5301, ""Season""), ""TV Show"", ""Movie"")"),"TV Show")</f>
        <v>TV Show</v>
      </c>
    </row>
    <row r="5302">
      <c r="A5302" s="1" t="s">
        <v>27365</v>
      </c>
      <c r="B5302" s="1" t="s">
        <v>27</v>
      </c>
      <c r="C5302" s="1" t="s">
        <v>27366</v>
      </c>
      <c r="D5302" s="1" t="s">
        <v>16257</v>
      </c>
      <c r="E5302" s="1" t="s">
        <v>27367</v>
      </c>
      <c r="F5302" s="1" t="s">
        <v>63</v>
      </c>
      <c r="G5302" s="1" t="s">
        <v>27321</v>
      </c>
      <c r="H5302" s="1">
        <v>1973.0</v>
      </c>
      <c r="I5302" s="1" t="s">
        <v>97</v>
      </c>
      <c r="J5302" s="1" t="s">
        <v>2505</v>
      </c>
      <c r="K5302" s="1" t="s">
        <v>1066</v>
      </c>
      <c r="L5302" s="1" t="s">
        <v>27368</v>
      </c>
      <c r="M5302" s="2" t="s">
        <v>12</v>
      </c>
      <c r="N5302" s="4">
        <f t="shared" si="1"/>
        <v>42979</v>
      </c>
      <c r="O5302" s="5" t="str">
        <f>IFERROR(__xludf.DUMMYFUNCTION("IF(REGEXMATCH(TRIM(I5302), ""^\d+\s*min""), ""Unclassified"", IF(I5302 = """", ""NR"", I5302))"),"TV-14")</f>
        <v>TV-14</v>
      </c>
      <c r="R5302" s="5" t="str">
        <f t="shared" si="2"/>
        <v>Khoon Khoon</v>
      </c>
      <c r="S5302" s="5" t="str">
        <f>IFERROR(__xludf.DUMMYFUNCTION("""COMPUTED_VALUE"""),"Our Idiot Brother")</f>
        <v>Our Idiot Brother</v>
      </c>
      <c r="V5302" s="5"/>
      <c r="Y5302" s="5" t="str">
        <f>IFERROR(__xludf.DUMMYFUNCTION("REGEXEXTRACT(J5302, ""^\d+"")"),"132")</f>
        <v>132</v>
      </c>
      <c r="Z5302" s="5" t="str">
        <f>IFERROR(__xludf.DUMMYFUNCTION("REGEXEXTRACT(J5302, ""[A-Za-z ]+$"")")," min")</f>
        <v> min</v>
      </c>
      <c r="AA5302" s="5" t="str">
        <f>IFERROR(__xludf.DUMMYFUNCTION("IF(REGEXMATCH(Z5302, ""Season""), ""TV Show"", ""Movie"")"),"Movie")</f>
        <v>Movie</v>
      </c>
    </row>
    <row r="5303">
      <c r="A5303" s="1" t="s">
        <v>27369</v>
      </c>
      <c r="B5303" s="1" t="s">
        <v>37</v>
      </c>
      <c r="C5303" s="1" t="s">
        <v>27370</v>
      </c>
      <c r="E5303" s="1" t="s">
        <v>27371</v>
      </c>
      <c r="F5303" s="1" t="s">
        <v>30</v>
      </c>
      <c r="G5303" s="1" t="s">
        <v>27321</v>
      </c>
      <c r="H5303" s="1">
        <v>2017.0</v>
      </c>
      <c r="I5303" s="1" t="s">
        <v>289</v>
      </c>
      <c r="J5303" s="1" t="s">
        <v>51</v>
      </c>
      <c r="K5303" s="1" t="s">
        <v>290</v>
      </c>
      <c r="L5303" s="1" t="s">
        <v>27372</v>
      </c>
      <c r="M5303" s="2" t="s">
        <v>12</v>
      </c>
      <c r="N5303" s="4">
        <f t="shared" si="1"/>
        <v>42979</v>
      </c>
      <c r="O5303" s="5" t="str">
        <f>IFERROR(__xludf.DUMMYFUNCTION("IF(REGEXMATCH(TRIM(I5303), ""^\d+\s*min""), ""Unclassified"", IF(I5303 = """", ""NR"", I5303))"),"TV-Y7")</f>
        <v>TV-Y7</v>
      </c>
      <c r="R5303" s="5" t="str">
        <f t="shared" si="2"/>
        <v>Lego Elves: Secrets Of Elvendale</v>
      </c>
      <c r="S5303" s="5" t="str">
        <f>IFERROR(__xludf.DUMMYFUNCTION("""COMPUTED_VALUE"""),"Our Lady Of San Juan, Four Centuries Of Miracles")</f>
        <v>Our Lady Of San Juan, Four Centuries Of Miracles</v>
      </c>
      <c r="V5303" s="5"/>
      <c r="Y5303" s="5" t="str">
        <f>IFERROR(__xludf.DUMMYFUNCTION("REGEXEXTRACT(J5303, ""^\d+"")"),"1")</f>
        <v>1</v>
      </c>
      <c r="Z5303" s="5" t="str">
        <f>IFERROR(__xludf.DUMMYFUNCTION("REGEXEXTRACT(J5303, ""[A-Za-z ]+$"")")," Season")</f>
        <v> Season</v>
      </c>
      <c r="AA5303" s="5" t="str">
        <f>IFERROR(__xludf.DUMMYFUNCTION("IF(REGEXMATCH(Z5303, ""Season""), ""TV Show"", ""Movie"")"),"TV Show")</f>
        <v>TV Show</v>
      </c>
    </row>
    <row r="5304">
      <c r="A5304" s="1" t="s">
        <v>27373</v>
      </c>
      <c r="B5304" s="1" t="s">
        <v>27</v>
      </c>
      <c r="C5304" s="1" t="s">
        <v>27374</v>
      </c>
      <c r="D5304" s="1" t="s">
        <v>6924</v>
      </c>
      <c r="E5304" s="1" t="s">
        <v>27375</v>
      </c>
      <c r="F5304" s="1" t="s">
        <v>30</v>
      </c>
      <c r="G5304" s="1" t="s">
        <v>27321</v>
      </c>
      <c r="H5304" s="1">
        <v>2017.0</v>
      </c>
      <c r="I5304" s="1" t="s">
        <v>42</v>
      </c>
      <c r="J5304" s="1" t="s">
        <v>465</v>
      </c>
      <c r="K5304" s="1" t="s">
        <v>4525</v>
      </c>
      <c r="L5304" s="1" t="s">
        <v>27376</v>
      </c>
      <c r="M5304" s="2" t="s">
        <v>12</v>
      </c>
      <c r="N5304" s="4">
        <f t="shared" si="1"/>
        <v>42979</v>
      </c>
      <c r="O5304" s="5" t="str">
        <f>IFERROR(__xludf.DUMMYFUNCTION("IF(REGEXMATCH(TRIM(I5304), ""^\d+\s*min""), ""Unclassified"", IF(I5304 = """", ""NR"", I5304))"),"TV-MA")</f>
        <v>TV-MA</v>
      </c>
      <c r="R5304" s="5" t="str">
        <f t="shared" si="2"/>
        <v>Little Evil</v>
      </c>
      <c r="S5304" s="5" t="str">
        <f>IFERROR(__xludf.DUMMYFUNCTION("""COMPUTED_VALUE"""),"Our Lovers")</f>
        <v>Our Lovers</v>
      </c>
      <c r="V5304" s="5"/>
      <c r="Y5304" s="5" t="str">
        <f>IFERROR(__xludf.DUMMYFUNCTION("REGEXEXTRACT(J5304, ""^\d+"")"),"95")</f>
        <v>95</v>
      </c>
      <c r="Z5304" s="5" t="str">
        <f>IFERROR(__xludf.DUMMYFUNCTION("REGEXEXTRACT(J5304, ""[A-Za-z ]+$"")")," min")</f>
        <v> min</v>
      </c>
      <c r="AA5304" s="5" t="str">
        <f>IFERROR(__xludf.DUMMYFUNCTION("IF(REGEXMATCH(Z5304, ""Season""), ""TV Show"", ""Movie"")"),"Movie")</f>
        <v>Movie</v>
      </c>
    </row>
    <row r="5305">
      <c r="A5305" s="1" t="s">
        <v>27377</v>
      </c>
      <c r="B5305" s="1" t="s">
        <v>27</v>
      </c>
      <c r="C5305" s="1" t="s">
        <v>27378</v>
      </c>
      <c r="D5305" s="1" t="s">
        <v>20878</v>
      </c>
      <c r="E5305" s="1" t="s">
        <v>27379</v>
      </c>
      <c r="F5305" s="1" t="s">
        <v>63</v>
      </c>
      <c r="G5305" s="1" t="s">
        <v>27321</v>
      </c>
      <c r="H5305" s="1">
        <v>1974.0</v>
      </c>
      <c r="I5305" s="1" t="s">
        <v>97</v>
      </c>
      <c r="J5305" s="1" t="s">
        <v>6105</v>
      </c>
      <c r="K5305" s="1" t="s">
        <v>230</v>
      </c>
      <c r="L5305" s="1" t="s">
        <v>27380</v>
      </c>
      <c r="M5305" s="2" t="s">
        <v>12</v>
      </c>
      <c r="N5305" s="4">
        <f t="shared" si="1"/>
        <v>42979</v>
      </c>
      <c r="O5305" s="5" t="str">
        <f>IFERROR(__xludf.DUMMYFUNCTION("IF(REGEXMATCH(TRIM(I5305), ""^\d+\s*min""), ""Unclassified"", IF(I5305 = """", ""NR"", I5305))"),"TV-14")</f>
        <v>TV-14</v>
      </c>
      <c r="R5305" s="5" t="str">
        <f t="shared" si="2"/>
        <v>Manoranjan</v>
      </c>
      <c r="S5305" s="5" t="str">
        <f>IFERROR(__xludf.DUMMYFUNCTION("""COMPUTED_VALUE"""),"Our Planet")</f>
        <v>Our Planet</v>
      </c>
      <c r="V5305" s="5"/>
      <c r="Y5305" s="5" t="str">
        <f>IFERROR(__xludf.DUMMYFUNCTION("REGEXEXTRACT(J5305, ""^\d+"")"),"162")</f>
        <v>162</v>
      </c>
      <c r="Z5305" s="5" t="str">
        <f>IFERROR(__xludf.DUMMYFUNCTION("REGEXEXTRACT(J5305, ""[A-Za-z ]+$"")")," min")</f>
        <v> min</v>
      </c>
      <c r="AA5305" s="5" t="str">
        <f>IFERROR(__xludf.DUMMYFUNCTION("IF(REGEXMATCH(Z5305, ""Season""), ""TV Show"", ""Movie"")"),"Movie")</f>
        <v>Movie</v>
      </c>
    </row>
    <row r="5306">
      <c r="A5306" s="1" t="s">
        <v>27381</v>
      </c>
      <c r="B5306" s="1" t="s">
        <v>27</v>
      </c>
      <c r="C5306" s="1" t="s">
        <v>27382</v>
      </c>
      <c r="D5306" s="1" t="s">
        <v>23036</v>
      </c>
      <c r="E5306" s="1" t="s">
        <v>27383</v>
      </c>
      <c r="F5306" s="1" t="s">
        <v>63</v>
      </c>
      <c r="G5306" s="1" t="s">
        <v>27321</v>
      </c>
      <c r="H5306" s="1">
        <v>1989.0</v>
      </c>
      <c r="I5306" s="1" t="s">
        <v>97</v>
      </c>
      <c r="J5306" s="1" t="s">
        <v>24904</v>
      </c>
      <c r="K5306" s="1" t="s">
        <v>306</v>
      </c>
      <c r="L5306" s="1" t="s">
        <v>27384</v>
      </c>
      <c r="M5306" s="2" t="s">
        <v>12</v>
      </c>
      <c r="N5306" s="4">
        <f t="shared" si="1"/>
        <v>42979</v>
      </c>
      <c r="O5306" s="5" t="str">
        <f>IFERROR(__xludf.DUMMYFUNCTION("IF(REGEXMATCH(TRIM(I5306), ""^\d+\s*min""), ""Unclassified"", IF(I5306 = """", ""NR"", I5306))"),"TV-14")</f>
        <v>TV-14</v>
      </c>
      <c r="R5306" s="5" t="str">
        <f t="shared" si="2"/>
        <v>Mujrim</v>
      </c>
      <c r="S5306" s="5" t="str">
        <f>IFERROR(__xludf.DUMMYFUNCTION("""COMPUTED_VALUE"""),"Our Planet - Behind The Scenes")</f>
        <v>Our Planet - Behind The Scenes</v>
      </c>
      <c r="V5306" s="5"/>
      <c r="Y5306" s="5" t="str">
        <f>IFERROR(__xludf.DUMMYFUNCTION("REGEXEXTRACT(J5306, ""^\d+"")"),"163")</f>
        <v>163</v>
      </c>
      <c r="Z5306" s="5" t="str">
        <f>IFERROR(__xludf.DUMMYFUNCTION("REGEXEXTRACT(J5306, ""[A-Za-z ]+$"")")," min")</f>
        <v> min</v>
      </c>
      <c r="AA5306" s="5" t="str">
        <f>IFERROR(__xludf.DUMMYFUNCTION("IF(REGEXMATCH(Z5306, ""Season""), ""TV Show"", ""Movie"")"),"Movie")</f>
        <v>Movie</v>
      </c>
    </row>
    <row r="5307">
      <c r="A5307" s="1" t="s">
        <v>27385</v>
      </c>
      <c r="B5307" s="1" t="s">
        <v>37</v>
      </c>
      <c r="C5307" s="1" t="s">
        <v>27386</v>
      </c>
      <c r="E5307" s="1" t="s">
        <v>27387</v>
      </c>
      <c r="F5307" s="1" t="s">
        <v>27388</v>
      </c>
      <c r="G5307" s="1" t="s">
        <v>27321</v>
      </c>
      <c r="H5307" s="1">
        <v>2017.0</v>
      </c>
      <c r="I5307" s="1" t="s">
        <v>42</v>
      </c>
      <c r="J5307" s="1" t="s">
        <v>276</v>
      </c>
      <c r="K5307" s="1" t="s">
        <v>13666</v>
      </c>
      <c r="L5307" s="1" t="s">
        <v>27389</v>
      </c>
      <c r="M5307" s="2" t="s">
        <v>12</v>
      </c>
      <c r="N5307" s="4">
        <f t="shared" si="1"/>
        <v>42979</v>
      </c>
      <c r="O5307" s="5" t="str">
        <f>IFERROR(__xludf.DUMMYFUNCTION("IF(REGEXMATCH(TRIM(I5307), ""^\d+\s*min""), ""Unclassified"", IF(I5307 = """", ""NR"", I5307))"),"TV-MA")</f>
        <v>TV-MA</v>
      </c>
      <c r="R5307" s="5" t="str">
        <f t="shared" si="2"/>
        <v>Narcos</v>
      </c>
      <c r="S5307" s="5" t="str">
        <f>IFERROR(__xludf.DUMMYFUNCTION("""COMPUTED_VALUE"""),"Our Shining Days")</f>
        <v>Our Shining Days</v>
      </c>
      <c r="V5307" s="5"/>
      <c r="Y5307" s="5" t="str">
        <f>IFERROR(__xludf.DUMMYFUNCTION("REGEXEXTRACT(J5307, ""^\d+"")"),"3")</f>
        <v>3</v>
      </c>
      <c r="Z5307" s="5" t="str">
        <f>IFERROR(__xludf.DUMMYFUNCTION("REGEXEXTRACT(J5307, ""[A-Za-z ]+$"")")," Seasons")</f>
        <v> Seasons</v>
      </c>
      <c r="AA5307" s="5" t="str">
        <f>IFERROR(__xludf.DUMMYFUNCTION("IF(REGEXMATCH(Z5307, ""Season""), ""TV Show"", ""Movie"")"),"TV Show")</f>
        <v>TV Show</v>
      </c>
    </row>
    <row r="5308">
      <c r="A5308" s="1" t="s">
        <v>27390</v>
      </c>
      <c r="B5308" s="1" t="s">
        <v>27</v>
      </c>
      <c r="C5308" s="1" t="s">
        <v>27391</v>
      </c>
      <c r="D5308" s="1" t="s">
        <v>7723</v>
      </c>
      <c r="E5308" s="1" t="s">
        <v>27392</v>
      </c>
      <c r="F5308" s="1" t="s">
        <v>2492</v>
      </c>
      <c r="G5308" s="1" t="s">
        <v>27321</v>
      </c>
      <c r="H5308" s="1">
        <v>2016.0</v>
      </c>
      <c r="I5308" s="1" t="s">
        <v>42</v>
      </c>
      <c r="J5308" s="1" t="s">
        <v>1191</v>
      </c>
      <c r="K5308" s="1" t="s">
        <v>1328</v>
      </c>
      <c r="L5308" s="1" t="s">
        <v>27393</v>
      </c>
      <c r="M5308" s="2" t="s">
        <v>12</v>
      </c>
      <c r="N5308" s="4">
        <f t="shared" si="1"/>
        <v>42979</v>
      </c>
      <c r="O5308" s="5" t="str">
        <f>IFERROR(__xludf.DUMMYFUNCTION("IF(REGEXMATCH(TRIM(I5308), ""^\d+\s*min""), ""Unclassified"", IF(I5308 = """", ""NR"", I5308))"),"TV-MA")</f>
        <v>TV-MA</v>
      </c>
      <c r="R5308" s="5" t="str">
        <f t="shared" si="2"/>
        <v>Offline - Das Leben Ist Kein Bonuslevel</v>
      </c>
      <c r="S5308" s="5" t="str">
        <f>IFERROR(__xludf.DUMMYFUNCTION("""COMPUTED_VALUE"""),"Our Souls At Night")</f>
        <v>Our Souls At Night</v>
      </c>
      <c r="V5308" s="5"/>
      <c r="Y5308" s="5" t="str">
        <f>IFERROR(__xludf.DUMMYFUNCTION("REGEXEXTRACT(J5308, ""^\d+"")"),"89")</f>
        <v>89</v>
      </c>
      <c r="Z5308" s="5" t="str">
        <f>IFERROR(__xludf.DUMMYFUNCTION("REGEXEXTRACT(J5308, ""[A-Za-z ]+$"")")," min")</f>
        <v> min</v>
      </c>
      <c r="AA5308" s="5" t="str">
        <f>IFERROR(__xludf.DUMMYFUNCTION("IF(REGEXMATCH(Z5308, ""Season""), ""TV Show"", ""Movie"")"),"Movie")</f>
        <v>Movie</v>
      </c>
    </row>
    <row r="5309">
      <c r="A5309" s="1" t="s">
        <v>27394</v>
      </c>
      <c r="B5309" s="1" t="s">
        <v>27</v>
      </c>
      <c r="C5309" s="1" t="s">
        <v>27395</v>
      </c>
      <c r="D5309" s="1" t="s">
        <v>11878</v>
      </c>
      <c r="F5309" s="1" t="s">
        <v>30</v>
      </c>
      <c r="G5309" s="1" t="s">
        <v>27321</v>
      </c>
      <c r="H5309" s="1">
        <v>2017.0</v>
      </c>
      <c r="I5309" s="1" t="s">
        <v>42</v>
      </c>
      <c r="J5309" s="1" t="s">
        <v>8852</v>
      </c>
      <c r="K5309" s="1" t="s">
        <v>645</v>
      </c>
      <c r="L5309" s="1" t="s">
        <v>27396</v>
      </c>
      <c r="M5309" s="2" t="s">
        <v>12</v>
      </c>
      <c r="N5309" s="4">
        <f t="shared" si="1"/>
        <v>42979</v>
      </c>
      <c r="O5309" s="5" t="str">
        <f>IFERROR(__xludf.DUMMYFUNCTION("IF(REGEXMATCH(TRIM(I5309), ""^\d+\s*min""), ""Unclassified"", IF(I5309 = """", ""NR"", I5309))"),"TV-MA")</f>
        <v>TV-MA</v>
      </c>
      <c r="R5309" s="5" t="str">
        <f t="shared" si="2"/>
        <v>Resurface</v>
      </c>
      <c r="S5309" s="5" t="str">
        <f>IFERROR(__xludf.DUMMYFUNCTION("""COMPUTED_VALUE"""),"Ouran High School Host Club")</f>
        <v>Ouran High School Host Club</v>
      </c>
      <c r="V5309" s="5"/>
      <c r="Y5309" s="5" t="str">
        <f>IFERROR(__xludf.DUMMYFUNCTION("REGEXEXTRACT(J5309, ""^\d+"")"),"28")</f>
        <v>28</v>
      </c>
      <c r="Z5309" s="5" t="str">
        <f>IFERROR(__xludf.DUMMYFUNCTION("REGEXEXTRACT(J5309, ""[A-Za-z ]+$"")")," min")</f>
        <v> min</v>
      </c>
      <c r="AA5309" s="5" t="str">
        <f>IFERROR(__xludf.DUMMYFUNCTION("IF(REGEXMATCH(Z5309, ""Season""), ""TV Show"", ""Movie"")"),"Movie")</f>
        <v>Movie</v>
      </c>
    </row>
    <row r="5310">
      <c r="A5310" s="1" t="s">
        <v>27397</v>
      </c>
      <c r="B5310" s="1" t="s">
        <v>27</v>
      </c>
      <c r="C5310" s="1" t="s">
        <v>27398</v>
      </c>
      <c r="D5310" s="1" t="s">
        <v>10420</v>
      </c>
      <c r="E5310" s="1" t="s">
        <v>27399</v>
      </c>
      <c r="F5310" s="1" t="s">
        <v>664</v>
      </c>
      <c r="G5310" s="1" t="s">
        <v>27321</v>
      </c>
      <c r="H5310" s="1">
        <v>2016.0</v>
      </c>
      <c r="I5310" s="1" t="s">
        <v>42</v>
      </c>
      <c r="J5310" s="1" t="s">
        <v>238</v>
      </c>
      <c r="K5310" s="1" t="s">
        <v>156</v>
      </c>
      <c r="L5310" s="1" t="s">
        <v>27400</v>
      </c>
      <c r="M5310" s="2" t="s">
        <v>12</v>
      </c>
      <c r="N5310" s="4">
        <f t="shared" si="1"/>
        <v>42979</v>
      </c>
      <c r="O5310" s="5" t="str">
        <f>IFERROR(__xludf.DUMMYFUNCTION("IF(REGEXMATCH(TRIM(I5310), ""^\d+\s*min""), ""Unclassified"", IF(I5310 = """", ""NR"", I5310))"),"TV-MA")</f>
        <v>TV-MA</v>
      </c>
      <c r="R5310" s="5" t="str">
        <f t="shared" si="2"/>
        <v>Rocco</v>
      </c>
      <c r="S5310" s="5" t="str">
        <f>IFERROR(__xludf.DUMMYFUNCTION("""COMPUTED_VALUE"""),"Out Of Life")</f>
        <v>Out Of Life</v>
      </c>
      <c r="V5310" s="5"/>
      <c r="Y5310" s="5" t="str">
        <f>IFERROR(__xludf.DUMMYFUNCTION("REGEXEXTRACT(J5310, ""^\d+"")"),"103")</f>
        <v>103</v>
      </c>
      <c r="Z5310" s="5" t="str">
        <f>IFERROR(__xludf.DUMMYFUNCTION("REGEXEXTRACT(J5310, ""[A-Za-z ]+$"")")," min")</f>
        <v> min</v>
      </c>
      <c r="AA5310" s="5" t="str">
        <f>IFERROR(__xludf.DUMMYFUNCTION("IF(REGEXMATCH(Z5310, ""Season""), ""TV Show"", ""Movie"")"),"Movie")</f>
        <v>Movie</v>
      </c>
    </row>
    <row r="5311">
      <c r="A5311" s="1" t="s">
        <v>27401</v>
      </c>
      <c r="B5311" s="1" t="s">
        <v>27</v>
      </c>
      <c r="C5311" s="1" t="s">
        <v>27402</v>
      </c>
      <c r="D5311" s="1" t="s">
        <v>13413</v>
      </c>
      <c r="E5311" s="1" t="s">
        <v>27403</v>
      </c>
      <c r="F5311" s="1" t="s">
        <v>26646</v>
      </c>
      <c r="G5311" s="1" t="s">
        <v>27321</v>
      </c>
      <c r="H5311" s="1">
        <v>1984.0</v>
      </c>
      <c r="I5311" s="1" t="s">
        <v>97</v>
      </c>
      <c r="J5311" s="1" t="s">
        <v>14332</v>
      </c>
      <c r="K5311" s="1" t="s">
        <v>679</v>
      </c>
      <c r="L5311" s="1" t="s">
        <v>27404</v>
      </c>
      <c r="M5311" s="2" t="s">
        <v>12</v>
      </c>
      <c r="N5311" s="4">
        <f t="shared" si="1"/>
        <v>42979</v>
      </c>
      <c r="O5311" s="5" t="str">
        <f>IFERROR(__xludf.DUMMYFUNCTION("IF(REGEXMATCH(TRIM(I5311), ""^\d+\s*min""), ""Unclassified"", IF(I5311 = """", ""NR"", I5311))"),"TV-14")</f>
        <v>TV-14</v>
      </c>
      <c r="R5311" s="5" t="str">
        <f t="shared" si="2"/>
        <v>Sohni Mahiwal</v>
      </c>
      <c r="S5311" s="5" t="str">
        <f>IFERROR(__xludf.DUMMYFUNCTION("""COMPUTED_VALUE"""),"Out Of Many, One")</f>
        <v>Out Of Many, One</v>
      </c>
      <c r="V5311" s="5"/>
      <c r="Y5311" s="5" t="str">
        <f>IFERROR(__xludf.DUMMYFUNCTION("REGEXEXTRACT(J5311, ""^\d+"")"),"160")</f>
        <v>160</v>
      </c>
      <c r="Z5311" s="5" t="str">
        <f>IFERROR(__xludf.DUMMYFUNCTION("REGEXEXTRACT(J5311, ""[A-Za-z ]+$"")")," min")</f>
        <v> min</v>
      </c>
      <c r="AA5311" s="5" t="str">
        <f>IFERROR(__xludf.DUMMYFUNCTION("IF(REGEXMATCH(Z5311, ""Season""), ""TV Show"", ""Movie"")"),"Movie")</f>
        <v>Movie</v>
      </c>
    </row>
    <row r="5312">
      <c r="A5312" s="1" t="s">
        <v>27405</v>
      </c>
      <c r="B5312" s="1" t="s">
        <v>27</v>
      </c>
      <c r="C5312" s="1" t="s">
        <v>27406</v>
      </c>
      <c r="D5312" s="1" t="s">
        <v>8233</v>
      </c>
      <c r="E5312" s="1" t="s">
        <v>27407</v>
      </c>
      <c r="F5312" s="1" t="s">
        <v>2011</v>
      </c>
      <c r="G5312" s="1" t="s">
        <v>27321</v>
      </c>
      <c r="H5312" s="1">
        <v>2016.0</v>
      </c>
      <c r="I5312" s="1" t="s">
        <v>42</v>
      </c>
      <c r="J5312" s="1" t="s">
        <v>519</v>
      </c>
      <c r="K5312" s="1" t="s">
        <v>583</v>
      </c>
      <c r="L5312" s="1" t="s">
        <v>27408</v>
      </c>
      <c r="M5312" s="2" t="s">
        <v>12</v>
      </c>
      <c r="N5312" s="4">
        <f t="shared" si="1"/>
        <v>42979</v>
      </c>
      <c r="O5312" s="5" t="str">
        <f>IFERROR(__xludf.DUMMYFUNCTION("IF(REGEXMATCH(TRIM(I5312), ""^\d+\s*min""), ""Unclassified"", IF(I5312 = """", ""NR"", I5312))"),"TV-MA")</f>
        <v>TV-MA</v>
      </c>
      <c r="R5312" s="5" t="str">
        <f t="shared" si="2"/>
        <v>The Distinguished Citizen</v>
      </c>
      <c r="S5312" s="5" t="str">
        <f>IFERROR(__xludf.DUMMYFUNCTION("""COMPUTED_VALUE"""),"Out Of My League")</f>
        <v>Out Of My League</v>
      </c>
      <c r="V5312" s="5"/>
      <c r="Y5312" s="5" t="str">
        <f>IFERROR(__xludf.DUMMYFUNCTION("REGEXEXTRACT(J5312, ""^\d+"")"),"113")</f>
        <v>113</v>
      </c>
      <c r="Z5312" s="5" t="str">
        <f>IFERROR(__xludf.DUMMYFUNCTION("REGEXEXTRACT(J5312, ""[A-Za-z ]+$"")")," min")</f>
        <v> min</v>
      </c>
      <c r="AA5312" s="5" t="str">
        <f>IFERROR(__xludf.DUMMYFUNCTION("IF(REGEXMATCH(Z5312, ""Season""), ""TV Show"", ""Movie"")"),"Movie")</f>
        <v>Movie</v>
      </c>
    </row>
    <row r="5313">
      <c r="A5313" s="1" t="s">
        <v>27409</v>
      </c>
      <c r="B5313" s="1" t="s">
        <v>27</v>
      </c>
      <c r="C5313" s="1" t="s">
        <v>27410</v>
      </c>
      <c r="D5313" s="1" t="s">
        <v>8199</v>
      </c>
      <c r="E5313" s="1" t="s">
        <v>27411</v>
      </c>
      <c r="F5313" s="1" t="s">
        <v>3892</v>
      </c>
      <c r="G5313" s="1" t="s">
        <v>27321</v>
      </c>
      <c r="H5313" s="1">
        <v>2016.0</v>
      </c>
      <c r="I5313" s="1" t="s">
        <v>506</v>
      </c>
      <c r="J5313" s="1" t="s">
        <v>1144</v>
      </c>
      <c r="K5313" s="1" t="s">
        <v>137</v>
      </c>
      <c r="L5313" s="1" t="s">
        <v>27412</v>
      </c>
      <c r="M5313" s="2" t="s">
        <v>12</v>
      </c>
      <c r="N5313" s="4">
        <f t="shared" si="1"/>
        <v>42979</v>
      </c>
      <c r="O5313" s="5" t="str">
        <f>IFERROR(__xludf.DUMMYFUNCTION("IF(REGEXMATCH(TRIM(I5313), ""^\d+\s*min""), ""Unclassified"", IF(I5313 = """", ""NR"", I5313))"),"TV-G")</f>
        <v>TV-G</v>
      </c>
      <c r="R5313" s="5" t="str">
        <f t="shared" si="2"/>
        <v>The Guardian Brothers</v>
      </c>
      <c r="S5313" s="5" t="str">
        <f>IFERROR(__xludf.DUMMYFUNCTION("""COMPUTED_VALUE"""),"Out Of Thin Air")</f>
        <v>Out Of Thin Air</v>
      </c>
      <c r="V5313" s="5"/>
      <c r="Y5313" s="5" t="str">
        <f>IFERROR(__xludf.DUMMYFUNCTION("REGEXEXTRACT(J5313, ""^\d+"")"),"86")</f>
        <v>86</v>
      </c>
      <c r="Z5313" s="5" t="str">
        <f>IFERROR(__xludf.DUMMYFUNCTION("REGEXEXTRACT(J5313, ""[A-Za-z ]+$"")")," min")</f>
        <v> min</v>
      </c>
      <c r="AA5313" s="5" t="str">
        <f>IFERROR(__xludf.DUMMYFUNCTION("IF(REGEXMATCH(Z5313, ""Season""), ""TV Show"", ""Movie"")"),"Movie")</f>
        <v>Movie</v>
      </c>
    </row>
    <row r="5314">
      <c r="A5314" s="1" t="s">
        <v>27413</v>
      </c>
      <c r="B5314" s="1" t="s">
        <v>27</v>
      </c>
      <c r="C5314" s="1" t="s">
        <v>27414</v>
      </c>
      <c r="D5314" s="1" t="s">
        <v>18939</v>
      </c>
      <c r="E5314" s="1" t="s">
        <v>27415</v>
      </c>
      <c r="F5314" s="1" t="s">
        <v>27416</v>
      </c>
      <c r="G5314" s="1" t="s">
        <v>27321</v>
      </c>
      <c r="H5314" s="1">
        <v>2016.0</v>
      </c>
      <c r="I5314" s="1" t="s">
        <v>97</v>
      </c>
      <c r="J5314" s="1" t="s">
        <v>490</v>
      </c>
      <c r="K5314" s="1" t="s">
        <v>156</v>
      </c>
      <c r="L5314" s="1" t="s">
        <v>27417</v>
      </c>
      <c r="M5314" s="2" t="s">
        <v>12</v>
      </c>
      <c r="N5314" s="4">
        <f t="shared" si="1"/>
        <v>42979</v>
      </c>
      <c r="O5314" s="5" t="str">
        <f>IFERROR(__xludf.DUMMYFUNCTION("IF(REGEXMATCH(TRIM(I5314), ""^\d+\s*min""), ""Unclassified"", IF(I5314 = """", ""NR"", I5314))"),"TV-14")</f>
        <v>TV-14</v>
      </c>
      <c r="R5314" s="5" t="str">
        <f t="shared" si="2"/>
        <v>The Last Shaman</v>
      </c>
      <c r="S5314" s="5" t="str">
        <f>IFERROR(__xludf.DUMMYFUNCTION("""COMPUTED_VALUE"""),"Outback Truckers")</f>
        <v>Outback Truckers</v>
      </c>
      <c r="V5314" s="5"/>
      <c r="Y5314" s="5" t="str">
        <f>IFERROR(__xludf.DUMMYFUNCTION("REGEXEXTRACT(J5314, ""^\d+"")"),"83")</f>
        <v>83</v>
      </c>
      <c r="Z5314" s="5" t="str">
        <f>IFERROR(__xludf.DUMMYFUNCTION("REGEXEXTRACT(J5314, ""[A-Za-z ]+$"")")," min")</f>
        <v> min</v>
      </c>
      <c r="AA5314" s="5" t="str">
        <f>IFERROR(__xludf.DUMMYFUNCTION("IF(REGEXMATCH(Z5314, ""Season""), ""TV Show"", ""Movie"")"),"Movie")</f>
        <v>Movie</v>
      </c>
    </row>
    <row r="5315">
      <c r="A5315" s="1" t="s">
        <v>27418</v>
      </c>
      <c r="B5315" s="1" t="s">
        <v>27</v>
      </c>
      <c r="C5315" s="1" t="s">
        <v>27419</v>
      </c>
      <c r="D5315" s="1" t="s">
        <v>9742</v>
      </c>
      <c r="E5315" s="1" t="s">
        <v>27420</v>
      </c>
      <c r="F5315" s="1" t="s">
        <v>27421</v>
      </c>
      <c r="G5315" s="1" t="s">
        <v>27321</v>
      </c>
      <c r="H5315" s="1">
        <v>2017.0</v>
      </c>
      <c r="I5315" s="1" t="s">
        <v>42</v>
      </c>
      <c r="J5315" s="1" t="s">
        <v>519</v>
      </c>
      <c r="K5315" s="1" t="s">
        <v>128</v>
      </c>
      <c r="L5315" s="1" t="s">
        <v>27422</v>
      </c>
      <c r="M5315" s="2" t="s">
        <v>12</v>
      </c>
      <c r="N5315" s="4">
        <f t="shared" si="1"/>
        <v>42979</v>
      </c>
      <c r="O5315" s="5" t="str">
        <f>IFERROR(__xludf.DUMMYFUNCTION("IF(REGEXMATCH(TRIM(I5315), ""^\d+\s*min""), ""Unclassified"", IF(I5315 = """", ""NR"", I5315))"),"TV-MA")</f>
        <v>TV-MA</v>
      </c>
      <c r="R5315" s="5" t="str">
        <f t="shared" si="2"/>
        <v>The Lost Brother</v>
      </c>
      <c r="S5315" s="5" t="str">
        <f>IFERROR(__xludf.DUMMYFUNCTION("""COMPUTED_VALUE"""),"Outer Banks")</f>
        <v>Outer Banks</v>
      </c>
      <c r="V5315" s="5"/>
      <c r="Y5315" s="5" t="str">
        <f>IFERROR(__xludf.DUMMYFUNCTION("REGEXEXTRACT(J5315, ""^\d+"")"),"113")</f>
        <v>113</v>
      </c>
      <c r="Z5315" s="5" t="str">
        <f>IFERROR(__xludf.DUMMYFUNCTION("REGEXEXTRACT(J5315, ""[A-Za-z ]+$"")")," min")</f>
        <v> min</v>
      </c>
      <c r="AA5315" s="5" t="str">
        <f>IFERROR(__xludf.DUMMYFUNCTION("IF(REGEXMATCH(Z5315, ""Season""), ""TV Show"", ""Movie"")"),"Movie")</f>
        <v>Movie</v>
      </c>
    </row>
    <row r="5316">
      <c r="A5316" s="1" t="s">
        <v>27423</v>
      </c>
      <c r="B5316" s="1" t="s">
        <v>27</v>
      </c>
      <c r="C5316" s="1" t="s">
        <v>27424</v>
      </c>
      <c r="D5316" s="1" t="s">
        <v>14724</v>
      </c>
      <c r="E5316" s="1" t="s">
        <v>27425</v>
      </c>
      <c r="F5316" s="1" t="s">
        <v>1815</v>
      </c>
      <c r="G5316" s="1" t="s">
        <v>27321</v>
      </c>
      <c r="H5316" s="1">
        <v>2016.0</v>
      </c>
      <c r="I5316" s="1" t="s">
        <v>42</v>
      </c>
      <c r="J5316" s="1" t="s">
        <v>1144</v>
      </c>
      <c r="K5316" s="1" t="s">
        <v>156</v>
      </c>
      <c r="L5316" s="1" t="s">
        <v>27426</v>
      </c>
      <c r="M5316" s="2" t="s">
        <v>12</v>
      </c>
      <c r="N5316" s="4">
        <f t="shared" si="1"/>
        <v>42979</v>
      </c>
      <c r="O5316" s="5" t="str">
        <f>IFERROR(__xludf.DUMMYFUNCTION("IF(REGEXMATCH(TRIM(I5316), ""^\d+\s*min""), ""Unclassified"", IF(I5316 = """", ""NR"", I5316))"),"TV-MA")</f>
        <v>TV-MA</v>
      </c>
      <c r="R5316" s="5" t="str">
        <f t="shared" si="2"/>
        <v>Todo Sobre El Asado</v>
      </c>
      <c r="S5316" s="5" t="str">
        <f>IFERROR(__xludf.DUMMYFUNCTION("""COMPUTED_VALUE"""),"Outlander")</f>
        <v>Outlander</v>
      </c>
      <c r="V5316" s="5"/>
      <c r="Y5316" s="5" t="str">
        <f>IFERROR(__xludf.DUMMYFUNCTION("REGEXEXTRACT(J5316, ""^\d+"")"),"86")</f>
        <v>86</v>
      </c>
      <c r="Z5316" s="5" t="str">
        <f>IFERROR(__xludf.DUMMYFUNCTION("REGEXEXTRACT(J5316, ""[A-Za-z ]+$"")")," min")</f>
        <v> min</v>
      </c>
      <c r="AA5316" s="5" t="str">
        <f>IFERROR(__xludf.DUMMYFUNCTION("IF(REGEXMATCH(Z5316, ""Season""), ""TV Show"", ""Movie"")"),"Movie")</f>
        <v>Movie</v>
      </c>
    </row>
    <row r="5317">
      <c r="A5317" s="1" t="s">
        <v>27427</v>
      </c>
      <c r="B5317" s="1" t="s">
        <v>27</v>
      </c>
      <c r="C5317" s="1" t="s">
        <v>27428</v>
      </c>
      <c r="D5317" s="1" t="s">
        <v>14140</v>
      </c>
      <c r="E5317" s="1" t="s">
        <v>27429</v>
      </c>
      <c r="F5317" s="1" t="s">
        <v>30</v>
      </c>
      <c r="G5317" s="1" t="s">
        <v>27430</v>
      </c>
      <c r="H5317" s="1">
        <v>2017.0</v>
      </c>
      <c r="I5317" s="1" t="s">
        <v>97</v>
      </c>
      <c r="J5317" s="1" t="s">
        <v>8832</v>
      </c>
      <c r="K5317" s="1" t="s">
        <v>1839</v>
      </c>
      <c r="L5317" s="1" t="s">
        <v>27431</v>
      </c>
      <c r="M5317" s="2" t="s">
        <v>12</v>
      </c>
      <c r="N5317" s="4">
        <f t="shared" si="1"/>
        <v>42976</v>
      </c>
      <c r="O5317" s="5" t="str">
        <f>IFERROR(__xludf.DUMMYFUNCTION("IF(REGEXMATCH(TRIM(I5317), ""^\d+\s*min""), ""Unclassified"", IF(I5317 = """", ""NR"", I5317))"),"TV-14")</f>
        <v>TV-14</v>
      </c>
      <c r="R5317" s="5" t="str">
        <f t="shared" si="2"/>
        <v>Ryan Hamilton: Happy Face</v>
      </c>
      <c r="S5317" s="5" t="str">
        <f>IFERROR(__xludf.DUMMYFUNCTION("""COMPUTED_VALUE"""),"Outlaw King")</f>
        <v>Outlaw King</v>
      </c>
      <c r="V5317" s="5"/>
      <c r="Y5317" s="5" t="str">
        <f>IFERROR(__xludf.DUMMYFUNCTION("REGEXEXTRACT(J5317, ""^\d+"")"),"57")</f>
        <v>57</v>
      </c>
      <c r="Z5317" s="5" t="str">
        <f>IFERROR(__xludf.DUMMYFUNCTION("REGEXEXTRACT(J5317, ""[A-Za-z ]+$"")")," min")</f>
        <v> min</v>
      </c>
      <c r="AA5317" s="5" t="str">
        <f>IFERROR(__xludf.DUMMYFUNCTION("IF(REGEXMATCH(Z5317, ""Season""), ""TV Show"", ""Movie"")"),"Movie")</f>
        <v>Movie</v>
      </c>
    </row>
    <row r="5318">
      <c r="A5318" s="1" t="s">
        <v>27432</v>
      </c>
      <c r="B5318" s="1" t="s">
        <v>27</v>
      </c>
      <c r="C5318" s="1" t="s">
        <v>27433</v>
      </c>
      <c r="D5318" s="1" t="s">
        <v>20452</v>
      </c>
      <c r="E5318" s="1" t="s">
        <v>27434</v>
      </c>
      <c r="F5318" s="1" t="s">
        <v>30</v>
      </c>
      <c r="G5318" s="1" t="s">
        <v>27435</v>
      </c>
      <c r="H5318" s="1">
        <v>2016.0</v>
      </c>
      <c r="I5318" s="1" t="s">
        <v>42</v>
      </c>
      <c r="J5318" s="1" t="s">
        <v>357</v>
      </c>
      <c r="K5318" s="1" t="s">
        <v>5435</v>
      </c>
      <c r="L5318" s="1" t="s">
        <v>27436</v>
      </c>
      <c r="M5318" s="2" t="s">
        <v>12</v>
      </c>
      <c r="N5318" s="4">
        <f t="shared" si="1"/>
        <v>42973</v>
      </c>
      <c r="O5318" s="5" t="str">
        <f>IFERROR(__xludf.DUMMYFUNCTION("IF(REGEXMATCH(TRIM(I5318), ""^\d+\s*min""), ""Unclassified"", IF(I5318 = """", ""NR"", I5318))"),"TV-MA")</f>
        <v>TV-MA</v>
      </c>
      <c r="R5318" s="5" t="str">
        <f t="shared" si="2"/>
        <v>Buster'S Mal Heart</v>
      </c>
      <c r="S5318" s="5" t="str">
        <f>IFERROR(__xludf.DUMMYFUNCTION("""COMPUTED_VALUE"""),"Outlawed")</f>
        <v>Outlawed</v>
      </c>
      <c r="V5318" s="5"/>
      <c r="Y5318" s="5" t="str">
        <f>IFERROR(__xludf.DUMMYFUNCTION("REGEXEXTRACT(J5318, ""^\d+"")"),"98")</f>
        <v>98</v>
      </c>
      <c r="Z5318" s="5" t="str">
        <f>IFERROR(__xludf.DUMMYFUNCTION("REGEXEXTRACT(J5318, ""[A-Za-z ]+$"")")," min")</f>
        <v> min</v>
      </c>
      <c r="AA5318" s="5" t="str">
        <f>IFERROR(__xludf.DUMMYFUNCTION("IF(REGEXMATCH(Z5318, ""Season""), ""TV Show"", ""Movie"")"),"Movie")</f>
        <v>Movie</v>
      </c>
    </row>
    <row r="5319">
      <c r="A5319" s="1" t="s">
        <v>27437</v>
      </c>
      <c r="B5319" s="1" t="s">
        <v>27</v>
      </c>
      <c r="C5319" s="1" t="s">
        <v>27438</v>
      </c>
      <c r="D5319" s="1" t="s">
        <v>4249</v>
      </c>
      <c r="E5319" s="1" t="s">
        <v>27439</v>
      </c>
      <c r="F5319" s="1" t="s">
        <v>221</v>
      </c>
      <c r="G5319" s="1" t="s">
        <v>27440</v>
      </c>
      <c r="H5319" s="1">
        <v>2017.0</v>
      </c>
      <c r="I5319" s="1" t="s">
        <v>378</v>
      </c>
      <c r="J5319" s="1" t="s">
        <v>349</v>
      </c>
      <c r="K5319" s="1" t="s">
        <v>631</v>
      </c>
      <c r="L5319" s="1" t="s">
        <v>27441</v>
      </c>
      <c r="M5319" s="2" t="s">
        <v>12</v>
      </c>
      <c r="N5319" s="4">
        <f t="shared" si="1"/>
        <v>42972</v>
      </c>
      <c r="O5319" s="5" t="str">
        <f>IFERROR(__xludf.DUMMYFUNCTION("IF(REGEXMATCH(TRIM(I5319), ""^\d+\s*min""), ""Unclassified"", IF(I5319 = """", ""NR"", I5319))"),"R")</f>
        <v>R</v>
      </c>
      <c r="R5319" s="5" t="str">
        <f t="shared" si="2"/>
        <v>Berlin Syndrome</v>
      </c>
      <c r="S5319" s="5" t="str">
        <f>IFERROR(__xludf.DUMMYFUNCTION("""COMPUTED_VALUE"""),"Outside In")</f>
        <v>Outside In</v>
      </c>
      <c r="V5319" s="5"/>
      <c r="Y5319" s="5" t="str">
        <f>IFERROR(__xludf.DUMMYFUNCTION("REGEXEXTRACT(J5319, ""^\d+"")"),"116")</f>
        <v>116</v>
      </c>
      <c r="Z5319" s="5" t="str">
        <f>IFERROR(__xludf.DUMMYFUNCTION("REGEXEXTRACT(J5319, ""[A-Za-z ]+$"")")," min")</f>
        <v> min</v>
      </c>
      <c r="AA5319" s="5" t="str">
        <f>IFERROR(__xludf.DUMMYFUNCTION("IF(REGEXMATCH(Z5319, ""Season""), ""TV Show"", ""Movie"")"),"Movie")</f>
        <v>Movie</v>
      </c>
    </row>
    <row r="5320">
      <c r="A5320" s="1" t="s">
        <v>27442</v>
      </c>
      <c r="B5320" s="1" t="s">
        <v>27</v>
      </c>
      <c r="C5320" s="1" t="s">
        <v>27443</v>
      </c>
      <c r="D5320" s="1" t="s">
        <v>456</v>
      </c>
      <c r="E5320" s="1" t="s">
        <v>27444</v>
      </c>
      <c r="F5320" s="1" t="s">
        <v>30</v>
      </c>
      <c r="G5320" s="1" t="s">
        <v>27440</v>
      </c>
      <c r="H5320" s="1">
        <v>2017.0</v>
      </c>
      <c r="I5320" s="1" t="s">
        <v>42</v>
      </c>
      <c r="J5320" s="1" t="s">
        <v>433</v>
      </c>
      <c r="K5320" s="1" t="s">
        <v>3768</v>
      </c>
      <c r="L5320" s="1" t="s">
        <v>27445</v>
      </c>
      <c r="M5320" s="2" t="s">
        <v>12</v>
      </c>
      <c r="N5320" s="4">
        <f t="shared" si="1"/>
        <v>42972</v>
      </c>
      <c r="O5320" s="5" t="str">
        <f>IFERROR(__xludf.DUMMYFUNCTION("IF(REGEXMATCH(TRIM(I5320), ""^\d+\s*min""), ""Unclassified"", IF(I5320 = """", ""NR"", I5320))"),"TV-MA")</f>
        <v>TV-MA</v>
      </c>
      <c r="R5320" s="5" t="str">
        <f t="shared" si="2"/>
        <v>Death Note</v>
      </c>
      <c r="S5320" s="5" t="str">
        <f>IFERROR(__xludf.DUMMYFUNCTION("""COMPUTED_VALUE"""),"Outside The Wire")</f>
        <v>Outside The Wire</v>
      </c>
      <c r="V5320" s="5"/>
      <c r="Y5320" s="5" t="str">
        <f>IFERROR(__xludf.DUMMYFUNCTION("REGEXEXTRACT(J5320, ""^\d+"")"),"100")</f>
        <v>100</v>
      </c>
      <c r="Z5320" s="5" t="str">
        <f>IFERROR(__xludf.DUMMYFUNCTION("REGEXEXTRACT(J5320, ""[A-Za-z ]+$"")")," min")</f>
        <v> min</v>
      </c>
      <c r="AA5320" s="5" t="str">
        <f>IFERROR(__xludf.DUMMYFUNCTION("IF(REGEXMATCH(Z5320, ""Season""), ""TV Show"", ""Movie"")"),"Movie")</f>
        <v>Movie</v>
      </c>
    </row>
    <row r="5321">
      <c r="A5321" s="1" t="s">
        <v>27446</v>
      </c>
      <c r="B5321" s="1" t="s">
        <v>27</v>
      </c>
      <c r="C5321" s="1" t="s">
        <v>27447</v>
      </c>
      <c r="D5321" s="1" t="s">
        <v>14140</v>
      </c>
      <c r="E5321" s="1" t="s">
        <v>27448</v>
      </c>
      <c r="F5321" s="1" t="s">
        <v>30</v>
      </c>
      <c r="G5321" s="1" t="s">
        <v>27449</v>
      </c>
      <c r="H5321" s="1">
        <v>2017.0</v>
      </c>
      <c r="I5321" s="1" t="s">
        <v>42</v>
      </c>
      <c r="J5321" s="1" t="s">
        <v>7064</v>
      </c>
      <c r="K5321" s="1" t="s">
        <v>1839</v>
      </c>
      <c r="L5321" s="1" t="s">
        <v>27450</v>
      </c>
      <c r="M5321" s="2" t="s">
        <v>12</v>
      </c>
      <c r="N5321" s="4">
        <f t="shared" si="1"/>
        <v>42969</v>
      </c>
      <c r="O5321" s="5" t="str">
        <f>IFERROR(__xludf.DUMMYFUNCTION("IF(REGEXMATCH(TRIM(I5321), ""^\d+\s*min""), ""Unclassified"", IF(I5321 = """", ""NR"", I5321))"),"TV-MA")</f>
        <v>TV-MA</v>
      </c>
      <c r="R5321" s="5" t="str">
        <f t="shared" si="2"/>
        <v>Lynne Koplitz: Hormonal Beast</v>
      </c>
      <c r="S5321" s="5" t="str">
        <f>IFERROR(__xludf.DUMMYFUNCTION("""COMPUTED_VALUE"""),"Over Christmas")</f>
        <v>Over Christmas</v>
      </c>
      <c r="V5321" s="5"/>
      <c r="Y5321" s="5" t="str">
        <f>IFERROR(__xludf.DUMMYFUNCTION("REGEXEXTRACT(J5321, ""^\d+"")"),"51")</f>
        <v>51</v>
      </c>
      <c r="Z5321" s="5" t="str">
        <f>IFERROR(__xludf.DUMMYFUNCTION("REGEXEXTRACT(J5321, ""[A-Za-z ]+$"")")," min")</f>
        <v> min</v>
      </c>
      <c r="AA5321" s="5" t="str">
        <f>IFERROR(__xludf.DUMMYFUNCTION("IF(REGEXMATCH(Z5321, ""Season""), ""TV Show"", ""Movie"")"),"Movie")</f>
        <v>Movie</v>
      </c>
    </row>
    <row r="5322">
      <c r="A5322" s="1" t="s">
        <v>27451</v>
      </c>
      <c r="B5322" s="1" t="s">
        <v>37</v>
      </c>
      <c r="C5322" s="1" t="s">
        <v>27452</v>
      </c>
      <c r="E5322" s="1" t="s">
        <v>27453</v>
      </c>
      <c r="F5322" s="1" t="s">
        <v>30</v>
      </c>
      <c r="G5322" s="1" t="s">
        <v>27454</v>
      </c>
      <c r="H5322" s="1">
        <v>2017.0</v>
      </c>
      <c r="I5322" s="1" t="s">
        <v>289</v>
      </c>
      <c r="J5322" s="1" t="s">
        <v>189</v>
      </c>
      <c r="K5322" s="1" t="s">
        <v>290</v>
      </c>
      <c r="L5322" s="1" t="s">
        <v>27455</v>
      </c>
      <c r="M5322" s="2" t="s">
        <v>12</v>
      </c>
      <c r="N5322" s="4">
        <f t="shared" si="1"/>
        <v>42965</v>
      </c>
      <c r="O5322" s="5" t="str">
        <f>IFERROR(__xludf.DUMMYFUNCTION("IF(REGEXMATCH(TRIM(I5322), ""^\d+\s*min""), ""Unclassified"", IF(I5322 = """", ""NR"", I5322))"),"TV-Y7")</f>
        <v>TV-Y7</v>
      </c>
      <c r="R5322" s="5" t="str">
        <f t="shared" si="2"/>
        <v>Dinotrux</v>
      </c>
      <c r="S5322" s="5" t="str">
        <f>IFERROR(__xludf.DUMMYFUNCTION("""COMPUTED_VALUE"""),"Over The Moon")</f>
        <v>Over The Moon</v>
      </c>
      <c r="V5322" s="5"/>
      <c r="Y5322" s="5" t="str">
        <f>IFERROR(__xludf.DUMMYFUNCTION("REGEXEXTRACT(J5322, ""^\d+"")"),"5")</f>
        <v>5</v>
      </c>
      <c r="Z5322" s="5" t="str">
        <f>IFERROR(__xludf.DUMMYFUNCTION("REGEXEXTRACT(J5322, ""[A-Za-z ]+$"")")," Seasons")</f>
        <v> Seasons</v>
      </c>
      <c r="AA5322" s="5" t="str">
        <f>IFERROR(__xludf.DUMMYFUNCTION("IF(REGEXMATCH(Z5322, ""Season""), ""TV Show"", ""Movie"")"),"TV Show")</f>
        <v>TV Show</v>
      </c>
    </row>
    <row r="5323">
      <c r="A5323" s="1" t="s">
        <v>27456</v>
      </c>
      <c r="B5323" s="1" t="s">
        <v>37</v>
      </c>
      <c r="C5323" s="1" t="s">
        <v>27457</v>
      </c>
      <c r="E5323" s="1" t="s">
        <v>27458</v>
      </c>
      <c r="F5323" s="1" t="s">
        <v>30</v>
      </c>
      <c r="G5323" s="1" t="s">
        <v>27454</v>
      </c>
      <c r="H5323" s="1">
        <v>2017.0</v>
      </c>
      <c r="I5323" s="1" t="s">
        <v>42</v>
      </c>
      <c r="J5323" s="1" t="s">
        <v>51</v>
      </c>
      <c r="K5323" s="1" t="s">
        <v>13666</v>
      </c>
      <c r="L5323" s="1" t="s">
        <v>27459</v>
      </c>
      <c r="M5323" s="2" t="s">
        <v>12</v>
      </c>
      <c r="N5323" s="4">
        <f t="shared" si="1"/>
        <v>42965</v>
      </c>
      <c r="O5323" s="5" t="str">
        <f>IFERROR(__xludf.DUMMYFUNCTION("IF(REGEXMATCH(TRIM(I5323), ""^\d+\s*min""), ""Unclassified"", IF(I5323 = """", ""NR"", I5323))"),"TV-MA")</f>
        <v>TV-MA</v>
      </c>
      <c r="R5323" s="5" t="str">
        <f t="shared" si="2"/>
        <v>Marvel'S The Defenders</v>
      </c>
      <c r="S5323" s="5" t="str">
        <f>IFERROR(__xludf.DUMMYFUNCTION("""COMPUTED_VALUE"""),"Overnight Republic")</f>
        <v>Overnight Republic</v>
      </c>
      <c r="V5323" s="5"/>
      <c r="Y5323" s="5" t="str">
        <f>IFERROR(__xludf.DUMMYFUNCTION("REGEXEXTRACT(J5323, ""^\d+"")"),"1")</f>
        <v>1</v>
      </c>
      <c r="Z5323" s="5" t="str">
        <f>IFERROR(__xludf.DUMMYFUNCTION("REGEXEXTRACT(J5323, ""[A-Za-z ]+$"")")," Season")</f>
        <v> Season</v>
      </c>
      <c r="AA5323" s="5" t="str">
        <f>IFERROR(__xludf.DUMMYFUNCTION("IF(REGEXMATCH(Z5323, ""Season""), ""TV Show"", ""Movie"")"),"TV Show")</f>
        <v>TV Show</v>
      </c>
    </row>
    <row r="5324">
      <c r="A5324" s="1" t="s">
        <v>27460</v>
      </c>
      <c r="B5324" s="1" t="s">
        <v>27</v>
      </c>
      <c r="C5324" s="1" t="s">
        <v>27461</v>
      </c>
      <c r="D5324" s="1" t="s">
        <v>5559</v>
      </c>
      <c r="E5324" s="1" t="s">
        <v>27462</v>
      </c>
      <c r="F5324" s="1" t="s">
        <v>30</v>
      </c>
      <c r="G5324" s="1" t="s">
        <v>27454</v>
      </c>
      <c r="H5324" s="1">
        <v>2011.0</v>
      </c>
      <c r="I5324" s="1" t="s">
        <v>32</v>
      </c>
      <c r="J5324" s="1" t="s">
        <v>519</v>
      </c>
      <c r="K5324" s="1" t="s">
        <v>645</v>
      </c>
      <c r="L5324" s="1" t="s">
        <v>27463</v>
      </c>
      <c r="M5324" s="2" t="s">
        <v>12</v>
      </c>
      <c r="N5324" s="4">
        <f t="shared" si="1"/>
        <v>42965</v>
      </c>
      <c r="O5324" s="5" t="str">
        <f>IFERROR(__xludf.DUMMYFUNCTION("IF(REGEXMATCH(TRIM(I5324), ""^\d+\s*min""), ""Unclassified"", IF(I5324 = """", ""NR"", I5324))"),"PG-13")</f>
        <v>PG-13</v>
      </c>
      <c r="R5324" s="5" t="str">
        <f t="shared" si="2"/>
        <v>Undefeated</v>
      </c>
      <c r="S5324" s="5" t="str">
        <f>IFERROR(__xludf.DUMMYFUNCTION("""COMPUTED_VALUE"""),"Oversize Cops")</f>
        <v>Oversize Cops</v>
      </c>
      <c r="V5324" s="5"/>
      <c r="Y5324" s="5" t="str">
        <f>IFERROR(__xludf.DUMMYFUNCTION("REGEXEXTRACT(J5324, ""^\d+"")"),"113")</f>
        <v>113</v>
      </c>
      <c r="Z5324" s="5" t="str">
        <f>IFERROR(__xludf.DUMMYFUNCTION("REGEXEXTRACT(J5324, ""[A-Za-z ]+$"")")," min")</f>
        <v> min</v>
      </c>
      <c r="AA5324" s="5" t="str">
        <f>IFERROR(__xludf.DUMMYFUNCTION("IF(REGEXMATCH(Z5324, ""Season""), ""TV Show"", ""Movie"")"),"Movie")</f>
        <v>Movie</v>
      </c>
    </row>
    <row r="5325">
      <c r="A5325" s="1" t="s">
        <v>27464</v>
      </c>
      <c r="B5325" s="1" t="s">
        <v>27</v>
      </c>
      <c r="C5325" s="1" t="s">
        <v>27465</v>
      </c>
      <c r="D5325" s="1" t="s">
        <v>22795</v>
      </c>
      <c r="E5325" s="1" t="s">
        <v>27466</v>
      </c>
      <c r="F5325" s="1" t="s">
        <v>27467</v>
      </c>
      <c r="G5325" s="1" t="s">
        <v>27454</v>
      </c>
      <c r="H5325" s="1">
        <v>2017.0</v>
      </c>
      <c r="I5325" s="1" t="s">
        <v>42</v>
      </c>
      <c r="J5325" s="1" t="s">
        <v>341</v>
      </c>
      <c r="K5325" s="1" t="s">
        <v>942</v>
      </c>
      <c r="L5325" s="1" t="s">
        <v>27468</v>
      </c>
      <c r="M5325" s="2" t="s">
        <v>12</v>
      </c>
      <c r="N5325" s="4">
        <f t="shared" si="1"/>
        <v>42965</v>
      </c>
      <c r="O5325" s="5" t="str">
        <f>IFERROR(__xludf.DUMMYFUNCTION("IF(REGEXMATCH(TRIM(I5325), ""^\d+\s*min""), ""Unclassified"", IF(I5325 = """", ""NR"", I5325))"),"TV-MA")</f>
        <v>TV-MA</v>
      </c>
      <c r="R5325" s="5" t="str">
        <f t="shared" si="2"/>
        <v>What Happened To Monday</v>
      </c>
      <c r="S5325" s="5" t="str">
        <f>IFERROR(__xludf.DUMMYFUNCTION("""COMPUTED_VALUE"""),"Oxygen")</f>
        <v>Oxygen</v>
      </c>
      <c r="V5325" s="5"/>
      <c r="Y5325" s="5" t="str">
        <f>IFERROR(__xludf.DUMMYFUNCTION("REGEXEXTRACT(J5325, ""^\d+"")"),"124")</f>
        <v>124</v>
      </c>
      <c r="Z5325" s="5" t="str">
        <f>IFERROR(__xludf.DUMMYFUNCTION("REGEXEXTRACT(J5325, ""[A-Za-z ]+$"")")," min")</f>
        <v> min</v>
      </c>
      <c r="AA5325" s="5" t="str">
        <f>IFERROR(__xludf.DUMMYFUNCTION("IF(REGEXMATCH(Z5325, ""Season""), ""TV Show"", ""Movie"")"),"Movie")</f>
        <v>Movie</v>
      </c>
    </row>
    <row r="5326">
      <c r="A5326" s="1" t="s">
        <v>27469</v>
      </c>
      <c r="B5326" s="1" t="s">
        <v>37</v>
      </c>
      <c r="C5326" s="1" t="s">
        <v>27470</v>
      </c>
      <c r="E5326" s="1" t="s">
        <v>27471</v>
      </c>
      <c r="F5326" s="1" t="s">
        <v>188</v>
      </c>
      <c r="G5326" s="1" t="s">
        <v>27472</v>
      </c>
      <c r="H5326" s="1">
        <v>2013.0</v>
      </c>
      <c r="I5326" s="1" t="s">
        <v>42</v>
      </c>
      <c r="J5326" s="1" t="s">
        <v>51</v>
      </c>
      <c r="K5326" s="1" t="s">
        <v>1362</v>
      </c>
      <c r="L5326" s="1" t="s">
        <v>27473</v>
      </c>
      <c r="M5326" s="2" t="s">
        <v>12</v>
      </c>
      <c r="N5326" s="4">
        <f t="shared" si="1"/>
        <v>42962</v>
      </c>
      <c r="O5326" s="5" t="str">
        <f>IFERROR(__xludf.DUMMYFUNCTION("IF(REGEXMATCH(TRIM(I5326), ""^\d+\s*min""), ""Unclassified"", IF(I5326 = """", ""NR"", I5326))"),"TV-MA")</f>
        <v>TV-MA</v>
      </c>
      <c r="R5326" s="5" t="str">
        <f t="shared" si="2"/>
        <v>20 Minutes</v>
      </c>
      <c r="S5326" s="5" t="str">
        <f>IFERROR(__xludf.DUMMYFUNCTION("""COMPUTED_VALUE"""),"Oye Lucky! Lucky Oye!")</f>
        <v>Oye Lucky! Lucky Oye!</v>
      </c>
      <c r="V5326" s="5"/>
      <c r="Y5326" s="5" t="str">
        <f>IFERROR(__xludf.DUMMYFUNCTION("REGEXEXTRACT(J5326, ""^\d+"")"),"1")</f>
        <v>1</v>
      </c>
      <c r="Z5326" s="5" t="str">
        <f>IFERROR(__xludf.DUMMYFUNCTION("REGEXEXTRACT(J5326, ""[A-Za-z ]+$"")")," Season")</f>
        <v> Season</v>
      </c>
      <c r="AA5326" s="5" t="str">
        <f>IFERROR(__xludf.DUMMYFUNCTION("IF(REGEXMATCH(Z5326, ""Season""), ""TV Show"", ""Movie"")"),"TV Show")</f>
        <v>TV Show</v>
      </c>
    </row>
    <row r="5327">
      <c r="A5327" s="1" t="s">
        <v>27474</v>
      </c>
      <c r="B5327" s="1" t="s">
        <v>27</v>
      </c>
      <c r="C5327" s="1" t="s">
        <v>27475</v>
      </c>
      <c r="D5327" s="1" t="s">
        <v>10379</v>
      </c>
      <c r="E5327" s="1" t="s">
        <v>27476</v>
      </c>
      <c r="F5327" s="1" t="s">
        <v>30</v>
      </c>
      <c r="G5327" s="1" t="s">
        <v>27472</v>
      </c>
      <c r="H5327" s="1">
        <v>2017.0</v>
      </c>
      <c r="I5327" s="1" t="s">
        <v>42</v>
      </c>
      <c r="J5327" s="1" t="s">
        <v>919</v>
      </c>
      <c r="K5327" s="1" t="s">
        <v>22754</v>
      </c>
      <c r="L5327" s="1" t="s">
        <v>27477</v>
      </c>
      <c r="M5327" s="2" t="s">
        <v>12</v>
      </c>
      <c r="N5327" s="4">
        <f t="shared" si="1"/>
        <v>42962</v>
      </c>
      <c r="O5327" s="5" t="str">
        <f>IFERROR(__xludf.DUMMYFUNCTION("IF(REGEXMATCH(TRIM(I5327), ""^\d+\s*min""), ""Unclassified"", IF(I5327 = """", ""NR"", I5327))"),"TV-MA")</f>
        <v>TV-MA</v>
      </c>
      <c r="R5327" s="5" t="str">
        <f t="shared" si="2"/>
        <v>Brad Paisley'S Comedy Rodeo</v>
      </c>
      <c r="S5327" s="5" t="str">
        <f>IFERROR(__xludf.DUMMYFUNCTION("""COMPUTED_VALUE"""),"Ozark")</f>
        <v>Ozark</v>
      </c>
      <c r="V5327" s="5"/>
      <c r="Y5327" s="5" t="str">
        <f>IFERROR(__xludf.DUMMYFUNCTION("REGEXEXTRACT(J5327, ""^\d+"")"),"63")</f>
        <v>63</v>
      </c>
      <c r="Z5327" s="5" t="str">
        <f>IFERROR(__xludf.DUMMYFUNCTION("REGEXEXTRACT(J5327, ""[A-Za-z ]+$"")")," min")</f>
        <v> min</v>
      </c>
      <c r="AA5327" s="5" t="str">
        <f>IFERROR(__xludf.DUMMYFUNCTION("IF(REGEXMATCH(Z5327, ""Season""), ""TV Show"", ""Movie"")"),"Movie")</f>
        <v>Movie</v>
      </c>
    </row>
    <row r="5328">
      <c r="A5328" s="1" t="s">
        <v>27478</v>
      </c>
      <c r="B5328" s="1" t="s">
        <v>27</v>
      </c>
      <c r="C5328" s="1" t="s">
        <v>27479</v>
      </c>
      <c r="D5328" s="1" t="s">
        <v>10379</v>
      </c>
      <c r="E5328" s="1" t="s">
        <v>19658</v>
      </c>
      <c r="F5328" s="1" t="s">
        <v>30</v>
      </c>
      <c r="G5328" s="1" t="s">
        <v>27472</v>
      </c>
      <c r="H5328" s="1">
        <v>2015.0</v>
      </c>
      <c r="I5328" s="1" t="s">
        <v>42</v>
      </c>
      <c r="J5328" s="1" t="s">
        <v>16845</v>
      </c>
      <c r="K5328" s="1" t="s">
        <v>1839</v>
      </c>
      <c r="L5328" s="1" t="s">
        <v>27480</v>
      </c>
      <c r="M5328" s="2" t="s">
        <v>12</v>
      </c>
      <c r="N5328" s="4">
        <f t="shared" si="1"/>
        <v>42962</v>
      </c>
      <c r="O5328" s="5" t="str">
        <f>IFERROR(__xludf.DUMMYFUNCTION("IF(REGEXMATCH(TRIM(I5328), ""^\d+\s*min""), ""Unclassified"", IF(I5328 = """", ""NR"", I5328))"),"TV-MA")</f>
        <v>TV-MA</v>
      </c>
      <c r="R5328" s="5" t="str">
        <f t="shared" si="2"/>
        <v>Colin Quinn: Unconstitutional</v>
      </c>
      <c r="S5328" s="5" t="str">
        <f>IFERROR(__xludf.DUMMYFUNCTION("""COMPUTED_VALUE"""),"P")</f>
        <v>P</v>
      </c>
      <c r="V5328" s="5"/>
      <c r="Y5328" s="5" t="str">
        <f>IFERROR(__xludf.DUMMYFUNCTION("REGEXEXTRACT(J5328, ""^\d+"")"),"56")</f>
        <v>56</v>
      </c>
      <c r="Z5328" s="5" t="str">
        <f>IFERROR(__xludf.DUMMYFUNCTION("REGEXEXTRACT(J5328, ""[A-Za-z ]+$"")")," min")</f>
        <v> min</v>
      </c>
      <c r="AA5328" s="5" t="str">
        <f>IFERROR(__xludf.DUMMYFUNCTION("IF(REGEXMATCH(Z5328, ""Season""), ""TV Show"", ""Movie"")"),"Movie")</f>
        <v>Movie</v>
      </c>
    </row>
    <row r="5329">
      <c r="A5329" s="1" t="s">
        <v>27481</v>
      </c>
      <c r="B5329" s="1" t="s">
        <v>37</v>
      </c>
      <c r="C5329" s="1" t="s">
        <v>27482</v>
      </c>
      <c r="E5329" s="1" t="s">
        <v>27483</v>
      </c>
      <c r="F5329" s="1" t="s">
        <v>415</v>
      </c>
      <c r="G5329" s="1" t="s">
        <v>27472</v>
      </c>
      <c r="H5329" s="1">
        <v>2017.0</v>
      </c>
      <c r="I5329" s="1" t="s">
        <v>42</v>
      </c>
      <c r="J5329" s="1" t="s">
        <v>51</v>
      </c>
      <c r="K5329" s="1" t="s">
        <v>1362</v>
      </c>
      <c r="L5329" s="1" t="s">
        <v>27484</v>
      </c>
      <c r="M5329" s="2" t="s">
        <v>12</v>
      </c>
      <c r="N5329" s="4">
        <f t="shared" si="1"/>
        <v>42962</v>
      </c>
      <c r="O5329" s="5" t="str">
        <f>IFERROR(__xludf.DUMMYFUNCTION("IF(REGEXMATCH(TRIM(I5329), ""^\d+\s*min""), ""Unclassified"", IF(I5329 = """", ""NR"", I5329))"),"TV-MA")</f>
        <v>TV-MA</v>
      </c>
      <c r="R5329" s="5" t="str">
        <f t="shared" si="2"/>
        <v>Million Yen Women</v>
      </c>
      <c r="S5329" s="5" t="str">
        <f>IFERROR(__xludf.DUMMYFUNCTION("""COMPUTED_VALUE"""),"P Se Pm Tak")</f>
        <v>P Se Pm Tak</v>
      </c>
      <c r="V5329" s="5"/>
      <c r="Y5329" s="5" t="str">
        <f>IFERROR(__xludf.DUMMYFUNCTION("REGEXEXTRACT(J5329, ""^\d+"")"),"1")</f>
        <v>1</v>
      </c>
      <c r="Z5329" s="5" t="str">
        <f>IFERROR(__xludf.DUMMYFUNCTION("REGEXEXTRACT(J5329, ""[A-Za-z ]+$"")")," Season")</f>
        <v> Season</v>
      </c>
      <c r="AA5329" s="5" t="str">
        <f>IFERROR(__xludf.DUMMYFUNCTION("IF(REGEXMATCH(Z5329, ""Season""), ""TV Show"", ""Movie"")"),"TV Show")</f>
        <v>TV Show</v>
      </c>
    </row>
    <row r="5330">
      <c r="A5330" s="1" t="s">
        <v>27485</v>
      </c>
      <c r="B5330" s="1" t="s">
        <v>27</v>
      </c>
      <c r="C5330" s="1" t="s">
        <v>27486</v>
      </c>
      <c r="D5330" s="1" t="s">
        <v>5003</v>
      </c>
      <c r="E5330" s="1" t="s">
        <v>27487</v>
      </c>
      <c r="F5330" s="1" t="s">
        <v>30</v>
      </c>
      <c r="G5330" s="1" t="s">
        <v>27488</v>
      </c>
      <c r="H5330" s="1">
        <v>2017.0</v>
      </c>
      <c r="I5330" s="1" t="s">
        <v>97</v>
      </c>
      <c r="J5330" s="1" t="s">
        <v>170</v>
      </c>
      <c r="K5330" s="1" t="s">
        <v>239</v>
      </c>
      <c r="L5330" s="1" t="s">
        <v>27489</v>
      </c>
      <c r="M5330" s="2" t="s">
        <v>12</v>
      </c>
      <c r="N5330" s="4">
        <f t="shared" si="1"/>
        <v>42961</v>
      </c>
      <c r="O5330" s="5" t="str">
        <f>IFERROR(__xludf.DUMMYFUNCTION("IF(REGEXMATCH(TRIM(I5330), ""^\d+\s*min""), ""Unclassified"", IF(I5330 = """", ""NR"", I5330))"),"TV-14")</f>
        <v>TV-14</v>
      </c>
      <c r="R5330" s="5" t="str">
        <f t="shared" si="2"/>
        <v>The Outcasts</v>
      </c>
      <c r="S5330" s="5" t="str">
        <f>IFERROR(__xludf.DUMMYFUNCTION("""COMPUTED_VALUE"""),"P. King Duckling")</f>
        <v>P. King Duckling</v>
      </c>
      <c r="V5330" s="5"/>
      <c r="Y5330" s="5" t="str">
        <f>IFERROR(__xludf.DUMMYFUNCTION("REGEXEXTRACT(J5330, ""^\d+"")"),"94")</f>
        <v>94</v>
      </c>
      <c r="Z5330" s="5" t="str">
        <f>IFERROR(__xludf.DUMMYFUNCTION("REGEXEXTRACT(J5330, ""[A-Za-z ]+$"")")," min")</f>
        <v> min</v>
      </c>
      <c r="AA5330" s="5" t="str">
        <f>IFERROR(__xludf.DUMMYFUNCTION("IF(REGEXMATCH(Z5330, ""Season""), ""TV Show"", ""Movie"")"),"Movie")</f>
        <v>Movie</v>
      </c>
    </row>
    <row r="5331">
      <c r="A5331" s="1" t="s">
        <v>27490</v>
      </c>
      <c r="B5331" s="1" t="s">
        <v>27</v>
      </c>
      <c r="C5331" s="1" t="s">
        <v>27491</v>
      </c>
      <c r="D5331" s="1" t="s">
        <v>10487</v>
      </c>
      <c r="E5331" s="1" t="s">
        <v>27492</v>
      </c>
      <c r="F5331" s="1" t="s">
        <v>30</v>
      </c>
      <c r="G5331" s="1" t="s">
        <v>27493</v>
      </c>
      <c r="H5331" s="1">
        <v>2017.0</v>
      </c>
      <c r="I5331" s="1" t="s">
        <v>42</v>
      </c>
      <c r="J5331" s="1" t="s">
        <v>33</v>
      </c>
      <c r="K5331" s="1" t="s">
        <v>805</v>
      </c>
      <c r="L5331" s="1" t="s">
        <v>27494</v>
      </c>
      <c r="M5331" s="2" t="s">
        <v>12</v>
      </c>
      <c r="N5331" s="4">
        <f t="shared" si="1"/>
        <v>42959</v>
      </c>
      <c r="O5331" s="5" t="str">
        <f>IFERROR(__xludf.DUMMYFUNCTION("IF(REGEXMATCH(TRIM(I5331), ""^\d+\s*min""), ""Unclassified"", IF(I5331 = """", ""NR"", I5331))"),"TV-MA")</f>
        <v>TV-MA</v>
      </c>
      <c r="R5331" s="5" t="str">
        <f t="shared" si="2"/>
        <v>Chocolate City: Vegas Strip</v>
      </c>
      <c r="S5331" s="5" t="str">
        <f>IFERROR(__xludf.DUMMYFUNCTION("""COMPUTED_VALUE"""),"P.S. I Love You")</f>
        <v>P.S. I Love You</v>
      </c>
      <c r="V5331" s="5"/>
      <c r="Y5331" s="5" t="str">
        <f>IFERROR(__xludf.DUMMYFUNCTION("REGEXEXTRACT(J5331, ""^\d+"")"),"90")</f>
        <v>90</v>
      </c>
      <c r="Z5331" s="5" t="str">
        <f>IFERROR(__xludf.DUMMYFUNCTION("REGEXEXTRACT(J5331, ""[A-Za-z ]+$"")")," min")</f>
        <v> min</v>
      </c>
      <c r="AA5331" s="5" t="str">
        <f>IFERROR(__xludf.DUMMYFUNCTION("IF(REGEXMATCH(Z5331, ""Season""), ""TV Show"", ""Movie"")"),"Movie")</f>
        <v>Movie</v>
      </c>
    </row>
    <row r="5332">
      <c r="A5332" s="1" t="s">
        <v>27495</v>
      </c>
      <c r="B5332" s="1" t="s">
        <v>27</v>
      </c>
      <c r="C5332" s="1" t="s">
        <v>27496</v>
      </c>
      <c r="D5332" s="1" t="s">
        <v>11781</v>
      </c>
      <c r="E5332" s="1" t="s">
        <v>27497</v>
      </c>
      <c r="F5332" s="1" t="s">
        <v>162</v>
      </c>
      <c r="G5332" s="1" t="s">
        <v>27493</v>
      </c>
      <c r="H5332" s="1">
        <v>2015.0</v>
      </c>
      <c r="I5332" s="1" t="s">
        <v>42</v>
      </c>
      <c r="J5332" s="1" t="s">
        <v>5650</v>
      </c>
      <c r="K5332" s="1" t="s">
        <v>128</v>
      </c>
      <c r="L5332" s="1" t="s">
        <v>27498</v>
      </c>
      <c r="M5332" s="2" t="s">
        <v>12</v>
      </c>
      <c r="N5332" s="4">
        <f t="shared" si="1"/>
        <v>42959</v>
      </c>
      <c r="O5332" s="5" t="str">
        <f>IFERROR(__xludf.DUMMYFUNCTION("IF(REGEXMATCH(TRIM(I5332), ""^\d+\s*min""), ""Unclassified"", IF(I5332 = """", ""NR"", I5332))"),"TV-MA")</f>
        <v>TV-MA</v>
      </c>
      <c r="R5332" s="5" t="str">
        <f t="shared" si="2"/>
        <v>Los Herederos</v>
      </c>
      <c r="S5332" s="5" t="str">
        <f>IFERROR(__xludf.DUMMYFUNCTION("""COMPUTED_VALUE"""),"Paan Singh Tomar")</f>
        <v>Paan Singh Tomar</v>
      </c>
      <c r="V5332" s="5"/>
      <c r="Y5332" s="5" t="str">
        <f>IFERROR(__xludf.DUMMYFUNCTION("REGEXEXTRACT(J5332, ""^\d+"")"),"71")</f>
        <v>71</v>
      </c>
      <c r="Z5332" s="5" t="str">
        <f>IFERROR(__xludf.DUMMYFUNCTION("REGEXEXTRACT(J5332, ""[A-Za-z ]+$"")")," min")</f>
        <v> min</v>
      </c>
      <c r="AA5332" s="5" t="str">
        <f>IFERROR(__xludf.DUMMYFUNCTION("IF(REGEXMATCH(Z5332, ""Season""), ""TV Show"", ""Movie"")"),"Movie")</f>
        <v>Movie</v>
      </c>
    </row>
    <row r="5333">
      <c r="A5333" s="1" t="s">
        <v>27499</v>
      </c>
      <c r="B5333" s="1" t="s">
        <v>27</v>
      </c>
      <c r="C5333" s="1" t="s">
        <v>27500</v>
      </c>
      <c r="D5333" s="1" t="s">
        <v>4522</v>
      </c>
      <c r="E5333" s="1" t="s">
        <v>27501</v>
      </c>
      <c r="F5333" s="1" t="s">
        <v>30</v>
      </c>
      <c r="G5333" s="1" t="s">
        <v>27502</v>
      </c>
      <c r="H5333" s="1">
        <v>2017.0</v>
      </c>
      <c r="I5333" s="1" t="s">
        <v>97</v>
      </c>
      <c r="J5333" s="1" t="s">
        <v>247</v>
      </c>
      <c r="K5333" s="1" t="s">
        <v>813</v>
      </c>
      <c r="L5333" s="1" t="s">
        <v>27503</v>
      </c>
      <c r="M5333" s="2" t="s">
        <v>12</v>
      </c>
      <c r="N5333" s="4">
        <f t="shared" si="1"/>
        <v>42958</v>
      </c>
      <c r="O5333" s="5" t="str">
        <f>IFERROR(__xludf.DUMMYFUNCTION("IF(REGEXMATCH(TRIM(I5333), ""^\d+\s*min""), ""Unclassified"", IF(I5333 = """", ""NR"", I5333))"),"TV-14")</f>
        <v>TV-14</v>
      </c>
      <c r="R5333" s="5" t="str">
        <f t="shared" si="2"/>
        <v>Naked</v>
      </c>
      <c r="S5333" s="5" t="str">
        <f>IFERROR(__xludf.DUMMYFUNCTION("""COMPUTED_VALUE"""),"Paap-O-Meter")</f>
        <v>Paap-O-Meter</v>
      </c>
      <c r="V5333" s="5"/>
      <c r="Y5333" s="5" t="str">
        <f>IFERROR(__xludf.DUMMYFUNCTION("REGEXEXTRACT(J5333, ""^\d+"")"),"97")</f>
        <v>97</v>
      </c>
      <c r="Z5333" s="5" t="str">
        <f>IFERROR(__xludf.DUMMYFUNCTION("REGEXEXTRACT(J5333, ""[A-Za-z ]+$"")")," min")</f>
        <v> min</v>
      </c>
      <c r="AA5333" s="5" t="str">
        <f>IFERROR(__xludf.DUMMYFUNCTION("IF(REGEXMATCH(Z5333, ""Season""), ""TV Show"", ""Movie"")"),"Movie")</f>
        <v>Movie</v>
      </c>
    </row>
    <row r="5334">
      <c r="A5334" s="1" t="s">
        <v>27504</v>
      </c>
      <c r="B5334" s="1" t="s">
        <v>27</v>
      </c>
      <c r="C5334" s="1" t="s">
        <v>27505</v>
      </c>
      <c r="D5334" s="1" t="s">
        <v>23566</v>
      </c>
      <c r="E5334" s="1" t="s">
        <v>27506</v>
      </c>
      <c r="F5334" s="1" t="s">
        <v>30</v>
      </c>
      <c r="G5334" s="1" t="s">
        <v>27507</v>
      </c>
      <c r="H5334" s="1">
        <v>2015.0</v>
      </c>
      <c r="I5334" s="1" t="s">
        <v>378</v>
      </c>
      <c r="J5334" s="1" t="s">
        <v>490</v>
      </c>
      <c r="K5334" s="1" t="s">
        <v>7235</v>
      </c>
      <c r="L5334" s="1" t="s">
        <v>27508</v>
      </c>
      <c r="M5334" s="2" t="s">
        <v>12</v>
      </c>
      <c r="N5334" s="4">
        <f t="shared" si="1"/>
        <v>42957</v>
      </c>
      <c r="O5334" s="5" t="str">
        <f>IFERROR(__xludf.DUMMYFUNCTION("IF(REGEXMATCH(TRIM(I5334), ""^\d+\s*min""), ""Unclassified"", IF(I5334 = """", ""NR"", I5334))"),"R")</f>
        <v>R</v>
      </c>
      <c r="R5334" s="5" t="str">
        <f t="shared" si="2"/>
        <v>Demonic</v>
      </c>
      <c r="S5334" s="5" t="str">
        <f>IFERROR(__xludf.DUMMYFUNCTION("""COMPUTED_VALUE"""),"Paathi")</f>
        <v>Paathi</v>
      </c>
      <c r="V5334" s="5"/>
      <c r="Y5334" s="5" t="str">
        <f>IFERROR(__xludf.DUMMYFUNCTION("REGEXEXTRACT(J5334, ""^\d+"")"),"83")</f>
        <v>83</v>
      </c>
      <c r="Z5334" s="5" t="str">
        <f>IFERROR(__xludf.DUMMYFUNCTION("REGEXEXTRACT(J5334, ""[A-Za-z ]+$"")")," min")</f>
        <v> min</v>
      </c>
      <c r="AA5334" s="5" t="str">
        <f>IFERROR(__xludf.DUMMYFUNCTION("IF(REGEXMATCH(Z5334, ""Season""), ""TV Show"", ""Movie"")"),"Movie")</f>
        <v>Movie</v>
      </c>
    </row>
    <row r="5335">
      <c r="A5335" s="1" t="s">
        <v>27509</v>
      </c>
      <c r="B5335" s="1" t="s">
        <v>27</v>
      </c>
      <c r="C5335" s="1" t="s">
        <v>27510</v>
      </c>
      <c r="D5335" s="1" t="s">
        <v>3476</v>
      </c>
      <c r="E5335" s="1" t="s">
        <v>27511</v>
      </c>
      <c r="F5335" s="1" t="s">
        <v>30</v>
      </c>
      <c r="G5335" s="1" t="s">
        <v>27507</v>
      </c>
      <c r="H5335" s="1">
        <v>2017.0</v>
      </c>
      <c r="I5335" s="1" t="s">
        <v>97</v>
      </c>
      <c r="J5335" s="1" t="s">
        <v>665</v>
      </c>
      <c r="K5335" s="1" t="s">
        <v>380</v>
      </c>
      <c r="L5335" s="1" t="s">
        <v>27512</v>
      </c>
      <c r="M5335" s="2" t="s">
        <v>12</v>
      </c>
      <c r="N5335" s="4">
        <f t="shared" si="1"/>
        <v>42957</v>
      </c>
      <c r="O5335" s="5" t="str">
        <f>IFERROR(__xludf.DUMMYFUNCTION("IF(REGEXMATCH(TRIM(I5335), ""^\d+\s*min""), ""Unclassified"", IF(I5335 = """", ""NR"", I5335))"),"TV-14")</f>
        <v>TV-14</v>
      </c>
      <c r="R5335" s="5" t="str">
        <f t="shared" si="2"/>
        <v>The Saint</v>
      </c>
      <c r="S5335" s="5" t="str">
        <f>IFERROR(__xludf.DUMMYFUNCTION("""COMPUTED_VALUE"""),"Paava Kadhaigal")</f>
        <v>Paava Kadhaigal</v>
      </c>
      <c r="V5335" s="5"/>
      <c r="Y5335" s="5" t="str">
        <f>IFERROR(__xludf.DUMMYFUNCTION("REGEXEXTRACT(J5335, ""^\d+"")"),"92")</f>
        <v>92</v>
      </c>
      <c r="Z5335" s="5" t="str">
        <f>IFERROR(__xludf.DUMMYFUNCTION("REGEXEXTRACT(J5335, ""[A-Za-z ]+$"")")," min")</f>
        <v> min</v>
      </c>
      <c r="AA5335" s="5" t="str">
        <f>IFERROR(__xludf.DUMMYFUNCTION("IF(REGEXMATCH(Z5335, ""Season""), ""TV Show"", ""Movie"")"),"Movie")</f>
        <v>Movie</v>
      </c>
    </row>
    <row r="5336">
      <c r="A5336" s="1" t="s">
        <v>27513</v>
      </c>
      <c r="B5336" s="1" t="s">
        <v>27</v>
      </c>
      <c r="C5336" s="1" t="s">
        <v>27514</v>
      </c>
      <c r="D5336" s="1" t="s">
        <v>19977</v>
      </c>
      <c r="E5336" s="1" t="s">
        <v>27515</v>
      </c>
      <c r="F5336" s="1" t="s">
        <v>63</v>
      </c>
      <c r="G5336" s="1" t="s">
        <v>27516</v>
      </c>
      <c r="H5336" s="1">
        <v>2017.0</v>
      </c>
      <c r="I5336" s="1" t="s">
        <v>42</v>
      </c>
      <c r="J5336" s="1" t="s">
        <v>1390</v>
      </c>
      <c r="K5336" s="1" t="s">
        <v>306</v>
      </c>
      <c r="L5336" s="1" t="s">
        <v>27517</v>
      </c>
      <c r="M5336" s="2" t="s">
        <v>12</v>
      </c>
      <c r="N5336" s="4">
        <f t="shared" si="1"/>
        <v>42954</v>
      </c>
      <c r="O5336" s="5" t="str">
        <f>IFERROR(__xludf.DUMMYFUNCTION("IF(REGEXMATCH(TRIM(I5336), ""^\d+\s*min""), ""Unclassified"", IF(I5336 = """", ""NR"", I5336))"),"TV-MA")</f>
        <v>TV-MA</v>
      </c>
      <c r="R5336" s="5" t="str">
        <f t="shared" si="2"/>
        <v>Baahubali 2: The Conclusion (Hindi Version)</v>
      </c>
      <c r="S5336" s="5" t="str">
        <f>IFERROR(__xludf.DUMMYFUNCTION("""COMPUTED_VALUE"""),"Pablo")</f>
        <v>Pablo</v>
      </c>
      <c r="V5336" s="5"/>
      <c r="Y5336" s="5" t="str">
        <f>IFERROR(__xludf.DUMMYFUNCTION("REGEXEXTRACT(J5336, ""^\d+"")"),"165")</f>
        <v>165</v>
      </c>
      <c r="Z5336" s="5" t="str">
        <f>IFERROR(__xludf.DUMMYFUNCTION("REGEXEXTRACT(J5336, ""[A-Za-z ]+$"")")," min")</f>
        <v> min</v>
      </c>
      <c r="AA5336" s="5" t="str">
        <f>IFERROR(__xludf.DUMMYFUNCTION("IF(REGEXMATCH(Z5336, ""Season""), ""TV Show"", ""Movie"")"),"Movie")</f>
        <v>Movie</v>
      </c>
    </row>
    <row r="5337">
      <c r="A5337" s="1" t="s">
        <v>27518</v>
      </c>
      <c r="B5337" s="1" t="s">
        <v>27</v>
      </c>
      <c r="C5337" s="1" t="s">
        <v>27519</v>
      </c>
      <c r="D5337" s="1" t="s">
        <v>19977</v>
      </c>
      <c r="E5337" s="1" t="s">
        <v>27515</v>
      </c>
      <c r="G5337" s="1" t="s">
        <v>27516</v>
      </c>
      <c r="H5337" s="1">
        <v>2017.0</v>
      </c>
      <c r="I5337" s="1" t="s">
        <v>97</v>
      </c>
      <c r="J5337" s="1" t="s">
        <v>214</v>
      </c>
      <c r="K5337" s="1" t="s">
        <v>306</v>
      </c>
      <c r="L5337" s="1" t="s">
        <v>27520</v>
      </c>
      <c r="M5337" s="2" t="s">
        <v>12</v>
      </c>
      <c r="N5337" s="4">
        <f t="shared" si="1"/>
        <v>42954</v>
      </c>
      <c r="O5337" s="5" t="str">
        <f>IFERROR(__xludf.DUMMYFUNCTION("IF(REGEXMATCH(TRIM(I5337), ""^\d+\s*min""), ""Unclassified"", IF(I5337 = """", ""NR"", I5337))"),"TV-14")</f>
        <v>TV-14</v>
      </c>
      <c r="R5337" s="5" t="str">
        <f t="shared" si="2"/>
        <v>Baahubali 2: The Conclusion (Malayalam Version)</v>
      </c>
      <c r="S5337" s="5" t="str">
        <f>IFERROR(__xludf.DUMMYFUNCTION("""COMPUTED_VALUE"""),"Pablo Escobar, El Patrón Del Mal")</f>
        <v>Pablo Escobar, El Patrón Del Mal</v>
      </c>
      <c r="V5337" s="5"/>
      <c r="Y5337" s="5" t="str">
        <f>IFERROR(__xludf.DUMMYFUNCTION("REGEXEXTRACT(J5337, ""^\d+"")"),"166")</f>
        <v>166</v>
      </c>
      <c r="Z5337" s="5" t="str">
        <f>IFERROR(__xludf.DUMMYFUNCTION("REGEXEXTRACT(J5337, ""[A-Za-z ]+$"")")," min")</f>
        <v> min</v>
      </c>
      <c r="AA5337" s="5" t="str">
        <f>IFERROR(__xludf.DUMMYFUNCTION("IF(REGEXMATCH(Z5337, ""Season""), ""TV Show"", ""Movie"")"),"Movie")</f>
        <v>Movie</v>
      </c>
    </row>
    <row r="5338">
      <c r="A5338" s="1" t="s">
        <v>27521</v>
      </c>
      <c r="B5338" s="1" t="s">
        <v>27</v>
      </c>
      <c r="C5338" s="1" t="s">
        <v>27522</v>
      </c>
      <c r="D5338" s="1" t="s">
        <v>19977</v>
      </c>
      <c r="E5338" s="1" t="s">
        <v>27515</v>
      </c>
      <c r="G5338" s="1" t="s">
        <v>27516</v>
      </c>
      <c r="H5338" s="1">
        <v>2017.0</v>
      </c>
      <c r="I5338" s="1" t="s">
        <v>42</v>
      </c>
      <c r="J5338" s="1" t="s">
        <v>214</v>
      </c>
      <c r="K5338" s="1" t="s">
        <v>306</v>
      </c>
      <c r="L5338" s="1" t="s">
        <v>27523</v>
      </c>
      <c r="M5338" s="2" t="s">
        <v>12</v>
      </c>
      <c r="N5338" s="4">
        <f t="shared" si="1"/>
        <v>42954</v>
      </c>
      <c r="O5338" s="5" t="str">
        <f>IFERROR(__xludf.DUMMYFUNCTION("IF(REGEXMATCH(TRIM(I5338), ""^\d+\s*min""), ""Unclassified"", IF(I5338 = """", ""NR"", I5338))"),"TV-MA")</f>
        <v>TV-MA</v>
      </c>
      <c r="R5338" s="5" t="str">
        <f t="shared" si="2"/>
        <v>Baahubali 2: The Conclusion (Tamil Version)</v>
      </c>
      <c r="S5338" s="5" t="str">
        <f>IFERROR(__xludf.DUMMYFUNCTION("""COMPUTED_VALUE"""),"Pablo Escobar: Angel Or Demon?")</f>
        <v>Pablo Escobar: Angel Or Demon?</v>
      </c>
      <c r="V5338" s="5"/>
      <c r="Y5338" s="5" t="str">
        <f>IFERROR(__xludf.DUMMYFUNCTION("REGEXEXTRACT(J5338, ""^\d+"")"),"166")</f>
        <v>166</v>
      </c>
      <c r="Z5338" s="5" t="str">
        <f>IFERROR(__xludf.DUMMYFUNCTION("REGEXEXTRACT(J5338, ""[A-Za-z ]+$"")")," min")</f>
        <v> min</v>
      </c>
      <c r="AA5338" s="5" t="str">
        <f>IFERROR(__xludf.DUMMYFUNCTION("IF(REGEXMATCH(Z5338, ""Season""), ""TV Show"", ""Movie"")"),"Movie")</f>
        <v>Movie</v>
      </c>
    </row>
    <row r="5339">
      <c r="A5339" s="1" t="s">
        <v>27524</v>
      </c>
      <c r="B5339" s="1" t="s">
        <v>27</v>
      </c>
      <c r="C5339" s="1" t="s">
        <v>27525</v>
      </c>
      <c r="D5339" s="1" t="s">
        <v>19977</v>
      </c>
      <c r="E5339" s="1" t="s">
        <v>23850</v>
      </c>
      <c r="F5339" s="1" t="s">
        <v>63</v>
      </c>
      <c r="G5339" s="1" t="s">
        <v>27516</v>
      </c>
      <c r="H5339" s="1">
        <v>2015.0</v>
      </c>
      <c r="I5339" s="1" t="s">
        <v>97</v>
      </c>
      <c r="J5339" s="1" t="s">
        <v>4226</v>
      </c>
      <c r="K5339" s="1" t="s">
        <v>306</v>
      </c>
      <c r="L5339" s="1" t="s">
        <v>27526</v>
      </c>
      <c r="M5339" s="2" t="s">
        <v>12</v>
      </c>
      <c r="N5339" s="4">
        <f t="shared" si="1"/>
        <v>42954</v>
      </c>
      <c r="O5339" s="5" t="str">
        <f>IFERROR(__xludf.DUMMYFUNCTION("IF(REGEXMATCH(TRIM(I5339), ""^\d+\s*min""), ""Unclassified"", IF(I5339 = """", ""NR"", I5339))"),"TV-14")</f>
        <v>TV-14</v>
      </c>
      <c r="R5339" s="5" t="str">
        <f t="shared" si="2"/>
        <v>Baahubali: The Beginning (Hindi Version)</v>
      </c>
      <c r="S5339" s="5" t="str">
        <f>IFERROR(__xludf.DUMMYFUNCTION("""COMPUTED_VALUE"""),"Pac-Man And The Ghostly Adventures")</f>
        <v>Pac-Man And The Ghostly Adventures</v>
      </c>
      <c r="V5339" s="5"/>
      <c r="Y5339" s="5" t="str">
        <f>IFERROR(__xludf.DUMMYFUNCTION("REGEXEXTRACT(J5339, ""^\d+"")"),"159")</f>
        <v>159</v>
      </c>
      <c r="Z5339" s="5" t="str">
        <f>IFERROR(__xludf.DUMMYFUNCTION("REGEXEXTRACT(J5339, ""[A-Za-z ]+$"")")," min")</f>
        <v> min</v>
      </c>
      <c r="AA5339" s="5" t="str">
        <f>IFERROR(__xludf.DUMMYFUNCTION("IF(REGEXMATCH(Z5339, ""Season""), ""TV Show"", ""Movie"")"),"Movie")</f>
        <v>Movie</v>
      </c>
    </row>
    <row r="5340">
      <c r="A5340" s="1" t="s">
        <v>27527</v>
      </c>
      <c r="B5340" s="1" t="s">
        <v>27</v>
      </c>
      <c r="C5340" s="1" t="s">
        <v>27528</v>
      </c>
      <c r="D5340" s="1" t="s">
        <v>19977</v>
      </c>
      <c r="E5340" s="1" t="s">
        <v>23850</v>
      </c>
      <c r="G5340" s="1" t="s">
        <v>27516</v>
      </c>
      <c r="H5340" s="1">
        <v>2015.0</v>
      </c>
      <c r="I5340" s="1" t="s">
        <v>97</v>
      </c>
      <c r="J5340" s="1" t="s">
        <v>14332</v>
      </c>
      <c r="K5340" s="1" t="s">
        <v>306</v>
      </c>
      <c r="L5340" s="1" t="s">
        <v>27529</v>
      </c>
      <c r="M5340" s="2" t="s">
        <v>12</v>
      </c>
      <c r="N5340" s="4">
        <f t="shared" si="1"/>
        <v>42954</v>
      </c>
      <c r="O5340" s="5" t="str">
        <f>IFERROR(__xludf.DUMMYFUNCTION("IF(REGEXMATCH(TRIM(I5340), ""^\d+\s*min""), ""Unclassified"", IF(I5340 = """", ""NR"", I5340))"),"TV-14")</f>
        <v>TV-14</v>
      </c>
      <c r="R5340" s="5" t="str">
        <f t="shared" si="2"/>
        <v>Baahubali: The Beginning (Malayalam Version)</v>
      </c>
      <c r="S5340" s="5" t="str">
        <f>IFERROR(__xludf.DUMMYFUNCTION("""COMPUTED_VALUE"""),"Pac'S Scary Halloween")</f>
        <v>Pac'S Scary Halloween</v>
      </c>
      <c r="V5340" s="5"/>
      <c r="Y5340" s="5" t="str">
        <f>IFERROR(__xludf.DUMMYFUNCTION("REGEXEXTRACT(J5340, ""^\d+"")"),"160")</f>
        <v>160</v>
      </c>
      <c r="Z5340" s="5" t="str">
        <f>IFERROR(__xludf.DUMMYFUNCTION("REGEXEXTRACT(J5340, ""[A-Za-z ]+$"")")," min")</f>
        <v> min</v>
      </c>
      <c r="AA5340" s="5" t="str">
        <f>IFERROR(__xludf.DUMMYFUNCTION("IF(REGEXMATCH(Z5340, ""Season""), ""TV Show"", ""Movie"")"),"Movie")</f>
        <v>Movie</v>
      </c>
    </row>
    <row r="5341">
      <c r="A5341" s="1" t="s">
        <v>27530</v>
      </c>
      <c r="B5341" s="1" t="s">
        <v>27</v>
      </c>
      <c r="C5341" s="1" t="s">
        <v>27531</v>
      </c>
      <c r="D5341" s="1" t="s">
        <v>19977</v>
      </c>
      <c r="E5341" s="1" t="s">
        <v>23850</v>
      </c>
      <c r="G5341" s="1" t="s">
        <v>27516</v>
      </c>
      <c r="H5341" s="1">
        <v>2015.0</v>
      </c>
      <c r="I5341" s="1" t="s">
        <v>97</v>
      </c>
      <c r="J5341" s="1" t="s">
        <v>4226</v>
      </c>
      <c r="K5341" s="1" t="s">
        <v>306</v>
      </c>
      <c r="L5341" s="1" t="s">
        <v>27532</v>
      </c>
      <c r="M5341" s="2" t="s">
        <v>12</v>
      </c>
      <c r="N5341" s="4">
        <f t="shared" si="1"/>
        <v>42954</v>
      </c>
      <c r="O5341" s="5" t="str">
        <f>IFERROR(__xludf.DUMMYFUNCTION("IF(REGEXMATCH(TRIM(I5341), ""^\d+\s*min""), ""Unclassified"", IF(I5341 = """", ""NR"", I5341))"),"TV-14")</f>
        <v>TV-14</v>
      </c>
      <c r="R5341" s="5" t="str">
        <f t="shared" si="2"/>
        <v>Baahubali: The Beginning (Tamil Version)</v>
      </c>
      <c r="S5341" s="5" t="str">
        <f>IFERROR(__xludf.DUMMYFUNCTION("""COMPUTED_VALUE"""),"Pachamama")</f>
        <v>Pachamama</v>
      </c>
      <c r="V5341" s="5"/>
      <c r="Y5341" s="5" t="str">
        <f>IFERROR(__xludf.DUMMYFUNCTION("REGEXEXTRACT(J5341, ""^\d+"")"),"159")</f>
        <v>159</v>
      </c>
      <c r="Z5341" s="5" t="str">
        <f>IFERROR(__xludf.DUMMYFUNCTION("REGEXEXTRACT(J5341, ""[A-Za-z ]+$"")")," min")</f>
        <v> min</v>
      </c>
      <c r="AA5341" s="5" t="str">
        <f>IFERROR(__xludf.DUMMYFUNCTION("IF(REGEXMATCH(Z5341, ""Season""), ""TV Show"", ""Movie"")"),"Movie")</f>
        <v>Movie</v>
      </c>
    </row>
    <row r="5342">
      <c r="A5342" s="1" t="s">
        <v>27533</v>
      </c>
      <c r="B5342" s="1" t="s">
        <v>27</v>
      </c>
      <c r="C5342" s="1" t="s">
        <v>27534</v>
      </c>
      <c r="D5342" s="1" t="s">
        <v>19363</v>
      </c>
      <c r="E5342" s="1" t="s">
        <v>27535</v>
      </c>
      <c r="F5342" s="1" t="s">
        <v>30</v>
      </c>
      <c r="G5342" s="1" t="s">
        <v>27536</v>
      </c>
      <c r="H5342" s="1">
        <v>2015.0</v>
      </c>
      <c r="I5342" s="1" t="s">
        <v>289</v>
      </c>
      <c r="J5342" s="1" t="s">
        <v>7407</v>
      </c>
      <c r="K5342" s="1" t="s">
        <v>80</v>
      </c>
      <c r="L5342" s="1" t="s">
        <v>27537</v>
      </c>
      <c r="M5342" s="2" t="s">
        <v>12</v>
      </c>
      <c r="N5342" s="4">
        <f t="shared" si="1"/>
        <v>42953</v>
      </c>
      <c r="O5342" s="5" t="str">
        <f>IFERROR(__xludf.DUMMYFUNCTION("IF(REGEXMATCH(TRIM(I5342), ""^\d+\s*min""), ""Unclassified"", IF(I5342 = """", ""NR"", I5342))"),"TV-Y7")</f>
        <v>TV-Y7</v>
      </c>
      <c r="R5342" s="5" t="str">
        <f t="shared" si="2"/>
        <v>Lego Marvel Super Heroes: Avengers Reassembled!</v>
      </c>
      <c r="S5342" s="5" t="str">
        <f>IFERROR(__xludf.DUMMYFUNCTION("""COMPUTED_VALUE"""),"Pacific Heat")</f>
        <v>Pacific Heat</v>
      </c>
      <c r="V5342" s="5"/>
      <c r="Y5342" s="5" t="str">
        <f>IFERROR(__xludf.DUMMYFUNCTION("REGEXEXTRACT(J5342, ""^\d+"")"),"22")</f>
        <v>22</v>
      </c>
      <c r="Z5342" s="5" t="str">
        <f>IFERROR(__xludf.DUMMYFUNCTION("REGEXEXTRACT(J5342, ""[A-Za-z ]+$"")")," min")</f>
        <v> min</v>
      </c>
      <c r="AA5342" s="5" t="str">
        <f>IFERROR(__xludf.DUMMYFUNCTION("IF(REGEXMATCH(Z5342, ""Season""), ""TV Show"", ""Movie"")"),"Movie")</f>
        <v>Movie</v>
      </c>
    </row>
    <row r="5343">
      <c r="A5343" s="1" t="s">
        <v>27538</v>
      </c>
      <c r="B5343" s="1" t="s">
        <v>27</v>
      </c>
      <c r="C5343" s="1" t="s">
        <v>27539</v>
      </c>
      <c r="D5343" s="1" t="s">
        <v>15346</v>
      </c>
      <c r="E5343" s="1" t="s">
        <v>27540</v>
      </c>
      <c r="F5343" s="1" t="s">
        <v>27541</v>
      </c>
      <c r="G5343" s="1" t="s">
        <v>27542</v>
      </c>
      <c r="H5343" s="1">
        <v>2016.0</v>
      </c>
      <c r="I5343" s="1" t="s">
        <v>32</v>
      </c>
      <c r="J5343" s="1" t="s">
        <v>305</v>
      </c>
      <c r="K5343" s="1" t="s">
        <v>13636</v>
      </c>
      <c r="L5343" s="1" t="s">
        <v>27543</v>
      </c>
      <c r="M5343" s="2" t="s">
        <v>12</v>
      </c>
      <c r="N5343" s="4">
        <f t="shared" si="1"/>
        <v>42952</v>
      </c>
      <c r="O5343" s="5" t="str">
        <f>IFERROR(__xludf.DUMMYFUNCTION("IF(REGEXMATCH(TRIM(I5343), ""^\d+\s*min""), ""Unclassified"", IF(I5343 = """", ""NR"", I5343))"),"PG-13")</f>
        <v>PG-13</v>
      </c>
      <c r="R5343" s="5" t="str">
        <f t="shared" si="2"/>
        <v>Enter The Warriors Gate</v>
      </c>
      <c r="S5343" s="5" t="str">
        <f>IFERROR(__xludf.DUMMYFUNCTION("""COMPUTED_VALUE"""),"Pacific Rim: The Black")</f>
        <v>Pacific Rim: The Black</v>
      </c>
      <c r="V5343" s="5"/>
      <c r="Y5343" s="5" t="str">
        <f>IFERROR(__xludf.DUMMYFUNCTION("REGEXEXTRACT(J5343, ""^\d+"")"),"105")</f>
        <v>105</v>
      </c>
      <c r="Z5343" s="5" t="str">
        <f>IFERROR(__xludf.DUMMYFUNCTION("REGEXEXTRACT(J5343, ""[A-Za-z ]+$"")")," min")</f>
        <v> min</v>
      </c>
      <c r="AA5343" s="5" t="str">
        <f>IFERROR(__xludf.DUMMYFUNCTION("IF(REGEXMATCH(Z5343, ""Season""), ""TV Show"", ""Movie"")"),"Movie")</f>
        <v>Movie</v>
      </c>
    </row>
    <row r="5344">
      <c r="A5344" s="1" t="s">
        <v>27544</v>
      </c>
      <c r="B5344" s="1" t="s">
        <v>27</v>
      </c>
      <c r="C5344" s="1" t="s">
        <v>27545</v>
      </c>
      <c r="D5344" s="1" t="s">
        <v>18885</v>
      </c>
      <c r="E5344" s="1" t="s">
        <v>4675</v>
      </c>
      <c r="F5344" s="1" t="s">
        <v>162</v>
      </c>
      <c r="G5344" s="1" t="s">
        <v>27546</v>
      </c>
      <c r="H5344" s="1">
        <v>2017.0</v>
      </c>
      <c r="I5344" s="1" t="s">
        <v>42</v>
      </c>
      <c r="J5344" s="1" t="s">
        <v>5941</v>
      </c>
      <c r="K5344" s="1" t="s">
        <v>1839</v>
      </c>
      <c r="L5344" s="1" t="s">
        <v>27547</v>
      </c>
      <c r="M5344" s="2" t="s">
        <v>12</v>
      </c>
      <c r="N5344" s="4">
        <f t="shared" si="1"/>
        <v>42951</v>
      </c>
      <c r="O5344" s="5" t="str">
        <f>IFERROR(__xludf.DUMMYFUNCTION("IF(REGEXMATCH(TRIM(I5344), ""^\d+\s*min""), ""Unclassified"", IF(I5344 = """", ""NR"", I5344))"),"TV-MA")</f>
        <v>TV-MA</v>
      </c>
      <c r="R5344" s="5" t="str">
        <f t="shared" si="2"/>
        <v>Alan Saldaña: Mi Vida De Pobre</v>
      </c>
      <c r="S5344" s="5" t="str">
        <f>IFERROR(__xludf.DUMMYFUNCTION("""COMPUTED_VALUE"""),"Pacificum: Return To The Ocean")</f>
        <v>Pacificum: Return To The Ocean</v>
      </c>
      <c r="V5344" s="5"/>
      <c r="Y5344" s="5" t="str">
        <f>IFERROR(__xludf.DUMMYFUNCTION("REGEXEXTRACT(J5344, ""^\d+"")"),"54")</f>
        <v>54</v>
      </c>
      <c r="Z5344" s="5" t="str">
        <f>IFERROR(__xludf.DUMMYFUNCTION("REGEXEXTRACT(J5344, ""[A-Za-z ]+$"")")," min")</f>
        <v> min</v>
      </c>
      <c r="AA5344" s="5" t="str">
        <f>IFERROR(__xludf.DUMMYFUNCTION("IF(REGEXMATCH(Z5344, ""Season""), ""TV Show"", ""Movie"")"),"Movie")</f>
        <v>Movie</v>
      </c>
    </row>
    <row r="5345">
      <c r="A5345" s="1" t="s">
        <v>27548</v>
      </c>
      <c r="B5345" s="1" t="s">
        <v>27</v>
      </c>
      <c r="C5345" s="1" t="s">
        <v>27549</v>
      </c>
      <c r="D5345" s="1" t="s">
        <v>3956</v>
      </c>
      <c r="E5345" s="1" t="s">
        <v>27550</v>
      </c>
      <c r="F5345" s="1" t="s">
        <v>30</v>
      </c>
      <c r="G5345" s="1" t="s">
        <v>27546</v>
      </c>
      <c r="H5345" s="1">
        <v>2017.0</v>
      </c>
      <c r="I5345" s="1" t="s">
        <v>42</v>
      </c>
      <c r="J5345" s="1" t="s">
        <v>941</v>
      </c>
      <c r="K5345" s="1" t="s">
        <v>645</v>
      </c>
      <c r="L5345" s="1" t="s">
        <v>27551</v>
      </c>
      <c r="M5345" s="2" t="s">
        <v>12</v>
      </c>
      <c r="N5345" s="4">
        <f t="shared" si="1"/>
        <v>42951</v>
      </c>
      <c r="O5345" s="5" t="str">
        <f>IFERROR(__xludf.DUMMYFUNCTION("IF(REGEXMATCH(TRIM(I5345), ""^\d+\s*min""), ""Unclassified"", IF(I5345 = """", ""NR"", I5345))"),"TV-MA")</f>
        <v>TV-MA</v>
      </c>
      <c r="R5345" s="5" t="str">
        <f t="shared" si="2"/>
        <v>Icarus</v>
      </c>
      <c r="S5345" s="5" t="str">
        <f>IFERROR(__xludf.DUMMYFUNCTION("""COMPUTED_VALUE"""),"Pad Man")</f>
        <v>Pad Man</v>
      </c>
      <c r="V5345" s="5"/>
      <c r="Y5345" s="5" t="str">
        <f>IFERROR(__xludf.DUMMYFUNCTION("REGEXEXTRACT(J5345, ""^\d+"")"),"121")</f>
        <v>121</v>
      </c>
      <c r="Z5345" s="5" t="str">
        <f>IFERROR(__xludf.DUMMYFUNCTION("REGEXEXTRACT(J5345, ""[A-Za-z ]+$"")")," min")</f>
        <v> min</v>
      </c>
      <c r="AA5345" s="5" t="str">
        <f>IFERROR(__xludf.DUMMYFUNCTION("IF(REGEXMATCH(Z5345, ""Season""), ""TV Show"", ""Movie"")"),"Movie")</f>
        <v>Movie</v>
      </c>
    </row>
    <row r="5346">
      <c r="A5346" s="1" t="s">
        <v>27552</v>
      </c>
      <c r="B5346" s="1" t="s">
        <v>27</v>
      </c>
      <c r="C5346" s="1" t="s">
        <v>27553</v>
      </c>
      <c r="D5346" s="1" t="s">
        <v>7433</v>
      </c>
      <c r="E5346" s="1" t="s">
        <v>27554</v>
      </c>
      <c r="F5346" s="1" t="s">
        <v>27555</v>
      </c>
      <c r="G5346" s="1" t="s">
        <v>27546</v>
      </c>
      <c r="H5346" s="1">
        <v>2017.0</v>
      </c>
      <c r="I5346" s="1" t="s">
        <v>378</v>
      </c>
      <c r="J5346" s="1" t="s">
        <v>238</v>
      </c>
      <c r="K5346" s="1" t="s">
        <v>5435</v>
      </c>
      <c r="L5346" s="1" t="s">
        <v>27556</v>
      </c>
      <c r="M5346" s="2" t="s">
        <v>12</v>
      </c>
      <c r="N5346" s="4">
        <f t="shared" si="1"/>
        <v>42951</v>
      </c>
      <c r="O5346" s="5" t="str">
        <f>IFERROR(__xludf.DUMMYFUNCTION("IF(REGEXMATCH(TRIM(I5346), ""^\d+\s*min""), ""Unclassified"", IF(I5346 = """", ""NR"", I5346))"),"R")</f>
        <v>R</v>
      </c>
      <c r="R5346" s="5" t="str">
        <f t="shared" si="2"/>
        <v>Message From The King</v>
      </c>
      <c r="S5346" s="5" t="str">
        <f>IFERROR(__xludf.DUMMYFUNCTION("""COMPUTED_VALUE"""),"Padamu Aku Bersujud")</f>
        <v>Padamu Aku Bersujud</v>
      </c>
      <c r="V5346" s="5"/>
      <c r="Y5346" s="5" t="str">
        <f>IFERROR(__xludf.DUMMYFUNCTION("REGEXEXTRACT(J5346, ""^\d+"")"),"103")</f>
        <v>103</v>
      </c>
      <c r="Z5346" s="5" t="str">
        <f>IFERROR(__xludf.DUMMYFUNCTION("REGEXEXTRACT(J5346, ""[A-Za-z ]+$"")")," min")</f>
        <v> min</v>
      </c>
      <c r="AA5346" s="5" t="str">
        <f>IFERROR(__xludf.DUMMYFUNCTION("IF(REGEXMATCH(Z5346, ""Season""), ""TV Show"", ""Movie"")"),"Movie")</f>
        <v>Movie</v>
      </c>
    </row>
    <row r="5347">
      <c r="A5347" s="1" t="s">
        <v>27557</v>
      </c>
      <c r="B5347" s="1" t="s">
        <v>37</v>
      </c>
      <c r="C5347" s="1" t="s">
        <v>27558</v>
      </c>
      <c r="E5347" s="1" t="s">
        <v>27559</v>
      </c>
      <c r="F5347" s="1" t="s">
        <v>30</v>
      </c>
      <c r="G5347" s="1" t="s">
        <v>27546</v>
      </c>
      <c r="H5347" s="1">
        <v>2017.0</v>
      </c>
      <c r="I5347" s="1" t="s">
        <v>42</v>
      </c>
      <c r="J5347" s="1" t="s">
        <v>51</v>
      </c>
      <c r="K5347" s="1" t="s">
        <v>270</v>
      </c>
      <c r="L5347" s="1" t="s">
        <v>27560</v>
      </c>
      <c r="M5347" s="2" t="s">
        <v>12</v>
      </c>
      <c r="N5347" s="4">
        <f t="shared" si="1"/>
        <v>42951</v>
      </c>
      <c r="O5347" s="5" t="str">
        <f>IFERROR(__xludf.DUMMYFUNCTION("IF(REGEXMATCH(TRIM(I5347), ""^\d+\s*min""), ""Unclassified"", IF(I5347 = """", ""NR"", I5347))"),"TV-MA")</f>
        <v>TV-MA</v>
      </c>
      <c r="R5347" s="5" t="str">
        <f t="shared" si="2"/>
        <v>Wet Hot American Summer: Ten Years Later</v>
      </c>
      <c r="S5347" s="5" t="str">
        <f>IFERROR(__xludf.DUMMYFUNCTION("""COMPUTED_VALUE"""),"Paddleton")</f>
        <v>Paddleton</v>
      </c>
      <c r="V5347" s="5"/>
      <c r="Y5347" s="5" t="str">
        <f>IFERROR(__xludf.DUMMYFUNCTION("REGEXEXTRACT(J5347, ""^\d+"")"),"1")</f>
        <v>1</v>
      </c>
      <c r="Z5347" s="5" t="str">
        <f>IFERROR(__xludf.DUMMYFUNCTION("REGEXEXTRACT(J5347, ""[A-Za-z ]+$"")")," Season")</f>
        <v> Season</v>
      </c>
      <c r="AA5347" s="5" t="str">
        <f>IFERROR(__xludf.DUMMYFUNCTION("IF(REGEXMATCH(Z5347, ""Season""), ""TV Show"", ""Movie"")"),"TV Show")</f>
        <v>TV Show</v>
      </c>
    </row>
    <row r="5348">
      <c r="A5348" s="1" t="s">
        <v>27561</v>
      </c>
      <c r="B5348" s="1" t="s">
        <v>27</v>
      </c>
      <c r="C5348" s="1" t="s">
        <v>27562</v>
      </c>
      <c r="D5348" s="1" t="s">
        <v>7642</v>
      </c>
      <c r="E5348" s="1" t="s">
        <v>27563</v>
      </c>
      <c r="F5348" s="1" t="s">
        <v>12592</v>
      </c>
      <c r="G5348" s="1" t="s">
        <v>27564</v>
      </c>
      <c r="H5348" s="1">
        <v>2017.0</v>
      </c>
      <c r="I5348" s="1" t="s">
        <v>42</v>
      </c>
      <c r="J5348" s="1" t="s">
        <v>1273</v>
      </c>
      <c r="K5348" s="1" t="s">
        <v>631</v>
      </c>
      <c r="L5348" s="1" t="s">
        <v>27565</v>
      </c>
      <c r="M5348" s="2" t="s">
        <v>12</v>
      </c>
      <c r="N5348" s="4">
        <f t="shared" si="1"/>
        <v>42950</v>
      </c>
      <c r="O5348" s="5" t="str">
        <f>IFERROR(__xludf.DUMMYFUNCTION("IF(REGEXMATCH(TRIM(I5348), ""^\d+\s*min""), ""Unclassified"", IF(I5348 = """", ""NR"", I5348))"),"TV-MA")</f>
        <v>TV-MA</v>
      </c>
      <c r="R5348" s="5" t="str">
        <f t="shared" si="2"/>
        <v>The Invisible Guardian</v>
      </c>
      <c r="S5348" s="5" t="str">
        <f>IFERROR(__xludf.DUMMYFUNCTION("""COMPUTED_VALUE"""),"Pagglait")</f>
        <v>Pagglait</v>
      </c>
      <c r="V5348" s="5"/>
      <c r="Y5348" s="5" t="str">
        <f>IFERROR(__xludf.DUMMYFUNCTION("REGEXEXTRACT(J5348, ""^\d+"")"),"129")</f>
        <v>129</v>
      </c>
      <c r="Z5348" s="5" t="str">
        <f>IFERROR(__xludf.DUMMYFUNCTION("REGEXEXTRACT(J5348, ""[A-Za-z ]+$"")")," min")</f>
        <v> min</v>
      </c>
      <c r="AA5348" s="5" t="str">
        <f>IFERROR(__xludf.DUMMYFUNCTION("IF(REGEXMATCH(Z5348, ""Season""), ""TV Show"", ""Movie"")"),"Movie")</f>
        <v>Movie</v>
      </c>
    </row>
    <row r="5349">
      <c r="A5349" s="1" t="s">
        <v>27566</v>
      </c>
      <c r="B5349" s="1" t="s">
        <v>37</v>
      </c>
      <c r="C5349" s="1" t="s">
        <v>27567</v>
      </c>
      <c r="E5349" s="1" t="s">
        <v>27568</v>
      </c>
      <c r="F5349" s="1" t="s">
        <v>9219</v>
      </c>
      <c r="G5349" s="1" t="s">
        <v>27569</v>
      </c>
      <c r="H5349" s="1">
        <v>2011.0</v>
      </c>
      <c r="I5349" s="1" t="s">
        <v>97</v>
      </c>
      <c r="J5349" s="1" t="s">
        <v>51</v>
      </c>
      <c r="K5349" s="1" t="s">
        <v>408</v>
      </c>
      <c r="L5349" s="1" t="s">
        <v>27570</v>
      </c>
      <c r="M5349" s="2" t="s">
        <v>12</v>
      </c>
      <c r="N5349" s="4">
        <f t="shared" si="1"/>
        <v>42948</v>
      </c>
      <c r="O5349" s="5" t="str">
        <f>IFERROR(__xludf.DUMMYFUNCTION("IF(REGEXMATCH(TRIM(I5349), ""^\d+\s*min""), ""Unclassified"", IF(I5349 = """", ""NR"", I5349))"),"TV-14")</f>
        <v>TV-14</v>
      </c>
      <c r="R5349" s="5" t="str">
        <f t="shared" si="2"/>
        <v>Bountiful Blessings</v>
      </c>
      <c r="S5349" s="5" t="str">
        <f>IFERROR(__xludf.DUMMYFUNCTION("""COMPUTED_VALUE"""),"Pagpag: Nine Lives")</f>
        <v>Pagpag: Nine Lives</v>
      </c>
      <c r="V5349" s="5"/>
      <c r="Y5349" s="5" t="str">
        <f>IFERROR(__xludf.DUMMYFUNCTION("REGEXEXTRACT(J5349, ""^\d+"")"),"1")</f>
        <v>1</v>
      </c>
      <c r="Z5349" s="5" t="str">
        <f>IFERROR(__xludf.DUMMYFUNCTION("REGEXEXTRACT(J5349, ""[A-Za-z ]+$"")")," Season")</f>
        <v> Season</v>
      </c>
      <c r="AA5349" s="5" t="str">
        <f>IFERROR(__xludf.DUMMYFUNCTION("IF(REGEXMATCH(Z5349, ""Season""), ""TV Show"", ""Movie"")"),"TV Show")</f>
        <v>TV Show</v>
      </c>
    </row>
    <row r="5350">
      <c r="A5350" s="1" t="s">
        <v>27571</v>
      </c>
      <c r="B5350" s="1" t="s">
        <v>37</v>
      </c>
      <c r="C5350" s="1" t="s">
        <v>27572</v>
      </c>
      <c r="E5350" s="1" t="s">
        <v>27573</v>
      </c>
      <c r="F5350" s="1" t="s">
        <v>2059</v>
      </c>
      <c r="G5350" s="1" t="s">
        <v>27569</v>
      </c>
      <c r="H5350" s="1">
        <v>2016.0</v>
      </c>
      <c r="I5350" s="1" t="s">
        <v>97</v>
      </c>
      <c r="J5350" s="1" t="s">
        <v>51</v>
      </c>
      <c r="K5350" s="1" t="s">
        <v>1362</v>
      </c>
      <c r="L5350" s="1" t="s">
        <v>27574</v>
      </c>
      <c r="M5350" s="2" t="s">
        <v>12</v>
      </c>
      <c r="N5350" s="4">
        <f t="shared" si="1"/>
        <v>42948</v>
      </c>
      <c r="O5350" s="5" t="str">
        <f>IFERROR(__xludf.DUMMYFUNCTION("IF(REGEXMATCH(TRIM(I5350), ""^\d+\s*min""), ""Unclassified"", IF(I5350 = """", ""NR"", I5350))"),"TV-14")</f>
        <v>TV-14</v>
      </c>
      <c r="R5350" s="5" t="str">
        <f t="shared" si="2"/>
        <v>Close Your Eyes Before It’S Dark</v>
      </c>
      <c r="S5350" s="5" t="str">
        <f>IFERROR(__xludf.DUMMYFUNCTION("""COMPUTED_VALUE"""),"Paharganj")</f>
        <v>Paharganj</v>
      </c>
      <c r="V5350" s="5"/>
      <c r="Y5350" s="5" t="str">
        <f>IFERROR(__xludf.DUMMYFUNCTION("REGEXEXTRACT(J5350, ""^\d+"")"),"1")</f>
        <v>1</v>
      </c>
      <c r="Z5350" s="5" t="str">
        <f>IFERROR(__xludf.DUMMYFUNCTION("REGEXEXTRACT(J5350, ""[A-Za-z ]+$"")")," Season")</f>
        <v> Season</v>
      </c>
      <c r="AA5350" s="5" t="str">
        <f>IFERROR(__xludf.DUMMYFUNCTION("IF(REGEXMATCH(Z5350, ""Season""), ""TV Show"", ""Movie"")"),"TV Show")</f>
        <v>TV Show</v>
      </c>
    </row>
    <row r="5351">
      <c r="A5351" s="1" t="s">
        <v>27575</v>
      </c>
      <c r="B5351" s="1" t="s">
        <v>37</v>
      </c>
      <c r="C5351" s="1" t="s">
        <v>27576</v>
      </c>
      <c r="E5351" s="1" t="s">
        <v>27577</v>
      </c>
      <c r="F5351" s="1" t="s">
        <v>749</v>
      </c>
      <c r="G5351" s="1" t="s">
        <v>27569</v>
      </c>
      <c r="H5351" s="1">
        <v>2014.0</v>
      </c>
      <c r="I5351" s="1" t="s">
        <v>97</v>
      </c>
      <c r="J5351" s="1" t="s">
        <v>51</v>
      </c>
      <c r="K5351" s="1" t="s">
        <v>402</v>
      </c>
      <c r="L5351" s="1" t="s">
        <v>27578</v>
      </c>
      <c r="M5351" s="2" t="s">
        <v>12</v>
      </c>
      <c r="N5351" s="4">
        <f t="shared" si="1"/>
        <v>42948</v>
      </c>
      <c r="O5351" s="5" t="str">
        <f>IFERROR(__xludf.DUMMYFUNCTION("IF(REGEXMATCH(TRIM(I5351), ""^\d+\s*min""), ""Unclassified"", IF(I5351 = """", ""NR"", I5351))"),"TV-14")</f>
        <v>TV-14</v>
      </c>
      <c r="R5351" s="5" t="str">
        <f t="shared" si="2"/>
        <v>Entangled</v>
      </c>
      <c r="S5351" s="5" t="str">
        <f>IFERROR(__xludf.DUMMYFUNCTION("""COMPUTED_VALUE"""),"Paheli")</f>
        <v>Paheli</v>
      </c>
      <c r="V5351" s="5"/>
      <c r="Y5351" s="5" t="str">
        <f>IFERROR(__xludf.DUMMYFUNCTION("REGEXEXTRACT(J5351, ""^\d+"")"),"1")</f>
        <v>1</v>
      </c>
      <c r="Z5351" s="5" t="str">
        <f>IFERROR(__xludf.DUMMYFUNCTION("REGEXEXTRACT(J5351, ""[A-Za-z ]+$"")")," Season")</f>
        <v> Season</v>
      </c>
      <c r="AA5351" s="5" t="str">
        <f>IFERROR(__xludf.DUMMYFUNCTION("IF(REGEXMATCH(Z5351, ""Season""), ""TV Show"", ""Movie"")"),"TV Show")</f>
        <v>TV Show</v>
      </c>
    </row>
    <row r="5352">
      <c r="A5352" s="1" t="s">
        <v>27579</v>
      </c>
      <c r="B5352" s="1" t="s">
        <v>37</v>
      </c>
      <c r="C5352" s="1" t="s">
        <v>27580</v>
      </c>
      <c r="E5352" s="1" t="s">
        <v>27581</v>
      </c>
      <c r="F5352" s="1" t="s">
        <v>1078</v>
      </c>
      <c r="G5352" s="1" t="s">
        <v>27569</v>
      </c>
      <c r="H5352" s="1">
        <v>2015.0</v>
      </c>
      <c r="I5352" s="1" t="s">
        <v>97</v>
      </c>
      <c r="J5352" s="1" t="s">
        <v>51</v>
      </c>
      <c r="K5352" s="1" t="s">
        <v>1362</v>
      </c>
      <c r="L5352" s="1" t="s">
        <v>27582</v>
      </c>
      <c r="M5352" s="2" t="s">
        <v>12</v>
      </c>
      <c r="N5352" s="4">
        <f t="shared" si="1"/>
        <v>42948</v>
      </c>
      <c r="O5352" s="5" t="str">
        <f>IFERROR(__xludf.DUMMYFUNCTION("IF(REGEXMATCH(TRIM(I5352), ""^\d+\s*min""), ""Unclassified"", IF(I5352 = """", ""NR"", I5352))"),"TV-14")</f>
        <v>TV-14</v>
      </c>
      <c r="R5352" s="5" t="str">
        <f t="shared" si="2"/>
        <v>Fartsa</v>
      </c>
      <c r="S5352" s="5" t="str">
        <f>IFERROR(__xludf.DUMMYFUNCTION("""COMPUTED_VALUE"""),"Pahuna")</f>
        <v>Pahuna</v>
      </c>
      <c r="V5352" s="5"/>
      <c r="Y5352" s="5" t="str">
        <f>IFERROR(__xludf.DUMMYFUNCTION("REGEXEXTRACT(J5352, ""^\d+"")"),"1")</f>
        <v>1</v>
      </c>
      <c r="Z5352" s="5" t="str">
        <f>IFERROR(__xludf.DUMMYFUNCTION("REGEXEXTRACT(J5352, ""[A-Za-z ]+$"")")," Season")</f>
        <v> Season</v>
      </c>
      <c r="AA5352" s="5" t="str">
        <f>IFERROR(__xludf.DUMMYFUNCTION("IF(REGEXMATCH(Z5352, ""Season""), ""TV Show"", ""Movie"")"),"TV Show")</f>
        <v>TV Show</v>
      </c>
    </row>
    <row r="5353">
      <c r="A5353" s="1" t="s">
        <v>27583</v>
      </c>
      <c r="B5353" s="1" t="s">
        <v>27</v>
      </c>
      <c r="C5353" s="1" t="s">
        <v>27584</v>
      </c>
      <c r="D5353" s="1" t="s">
        <v>11247</v>
      </c>
      <c r="E5353" s="1" t="s">
        <v>27585</v>
      </c>
      <c r="F5353" s="1" t="s">
        <v>1453</v>
      </c>
      <c r="G5353" s="1" t="s">
        <v>27569</v>
      </c>
      <c r="H5353" s="1">
        <v>2016.0</v>
      </c>
      <c r="I5353" s="1" t="s">
        <v>42</v>
      </c>
      <c r="J5353" s="1" t="s">
        <v>465</v>
      </c>
      <c r="K5353" s="1" t="s">
        <v>583</v>
      </c>
      <c r="L5353" s="1" t="s">
        <v>27586</v>
      </c>
      <c r="M5353" s="2" t="s">
        <v>12</v>
      </c>
      <c r="N5353" s="4">
        <f t="shared" si="1"/>
        <v>42948</v>
      </c>
      <c r="O5353" s="5" t="str">
        <f>IFERROR(__xludf.DUMMYFUNCTION("IF(REGEXMATCH(TRIM(I5353), ""^\d+\s*min""), ""Unclassified"", IF(I5353 = """", ""NR"", I5353))"),"TV-MA")</f>
        <v>TV-MA</v>
      </c>
      <c r="R5353" s="5" t="str">
        <f t="shared" si="2"/>
        <v>Handsome Devil</v>
      </c>
      <c r="S5353" s="5" t="str">
        <f>IFERROR(__xludf.DUMMYFUNCTION("""COMPUTED_VALUE"""),"Pahuyut Fighting Beat")</f>
        <v>Pahuyut Fighting Beat</v>
      </c>
      <c r="V5353" s="5"/>
      <c r="Y5353" s="5" t="str">
        <f>IFERROR(__xludf.DUMMYFUNCTION("REGEXEXTRACT(J5353, ""^\d+"")"),"95")</f>
        <v>95</v>
      </c>
      <c r="Z5353" s="5" t="str">
        <f>IFERROR(__xludf.DUMMYFUNCTION("REGEXEXTRACT(J5353, ""[A-Za-z ]+$"")")," min")</f>
        <v> min</v>
      </c>
      <c r="AA5353" s="5" t="str">
        <f>IFERROR(__xludf.DUMMYFUNCTION("IF(REGEXMATCH(Z5353, ""Season""), ""TV Show"", ""Movie"")"),"Movie")</f>
        <v>Movie</v>
      </c>
    </row>
    <row r="5354">
      <c r="A5354" s="1" t="s">
        <v>27587</v>
      </c>
      <c r="B5354" s="1" t="s">
        <v>37</v>
      </c>
      <c r="C5354" s="1" t="s">
        <v>27588</v>
      </c>
      <c r="E5354" s="1" t="s">
        <v>27589</v>
      </c>
      <c r="G5354" s="1" t="s">
        <v>27569</v>
      </c>
      <c r="H5354" s="1">
        <v>2016.0</v>
      </c>
      <c r="I5354" s="1" t="s">
        <v>97</v>
      </c>
      <c r="J5354" s="1" t="s">
        <v>51</v>
      </c>
      <c r="K5354" s="1" t="s">
        <v>1362</v>
      </c>
      <c r="L5354" s="1" t="s">
        <v>27590</v>
      </c>
      <c r="M5354" s="2" t="s">
        <v>12</v>
      </c>
      <c r="N5354" s="4">
        <f t="shared" si="1"/>
        <v>42948</v>
      </c>
      <c r="O5354" s="5" t="str">
        <f>IFERROR(__xludf.DUMMYFUNCTION("IF(REGEXMATCH(TRIM(I5354), ""^\d+\s*min""), ""Unclassified"", IF(I5354 = """", ""NR"", I5354))"),"TV-14")</f>
        <v>TV-14</v>
      </c>
      <c r="R5354" s="5" t="str">
        <f t="shared" si="2"/>
        <v>Have You Ever Fallen In Love, Miss Jiang?</v>
      </c>
      <c r="S5354" s="5" t="str">
        <f>IFERROR(__xludf.DUMMYFUNCTION("""COMPUTED_VALUE"""),"Paid In Full")</f>
        <v>Paid In Full</v>
      </c>
      <c r="V5354" s="5"/>
      <c r="Y5354" s="5" t="str">
        <f>IFERROR(__xludf.DUMMYFUNCTION("REGEXEXTRACT(J5354, ""^\d+"")"),"1")</f>
        <v>1</v>
      </c>
      <c r="Z5354" s="5" t="str">
        <f>IFERROR(__xludf.DUMMYFUNCTION("REGEXEXTRACT(J5354, ""[A-Za-z ]+$"")")," Season")</f>
        <v> Season</v>
      </c>
      <c r="AA5354" s="5" t="str">
        <f>IFERROR(__xludf.DUMMYFUNCTION("IF(REGEXMATCH(Z5354, ""Season""), ""TV Show"", ""Movie"")"),"TV Show")</f>
        <v>TV Show</v>
      </c>
    </row>
    <row r="5355">
      <c r="A5355" s="1" t="s">
        <v>27591</v>
      </c>
      <c r="B5355" s="1" t="s">
        <v>27</v>
      </c>
      <c r="C5355" s="1" t="s">
        <v>27592</v>
      </c>
      <c r="D5355" s="1" t="s">
        <v>1353</v>
      </c>
      <c r="E5355" s="1" t="s">
        <v>27593</v>
      </c>
      <c r="F5355" s="1" t="s">
        <v>30</v>
      </c>
      <c r="G5355" s="1" t="s">
        <v>27569</v>
      </c>
      <c r="H5355" s="1">
        <v>2016.0</v>
      </c>
      <c r="I5355" s="1" t="s">
        <v>206</v>
      </c>
      <c r="J5355" s="1" t="s">
        <v>729</v>
      </c>
      <c r="K5355" s="1" t="s">
        <v>137</v>
      </c>
      <c r="L5355" s="1" t="s">
        <v>27594</v>
      </c>
      <c r="M5355" s="2" t="s">
        <v>12</v>
      </c>
      <c r="N5355" s="4">
        <f t="shared" si="1"/>
        <v>42948</v>
      </c>
      <c r="O5355" s="5" t="str">
        <f>IFERROR(__xludf.DUMMYFUNCTION("IF(REGEXMATCH(TRIM(I5355), ""^\d+\s*min""), ""Unclassified"", IF(I5355 = """", ""NR"", I5355))"),"TV-Y")</f>
        <v>TV-Y</v>
      </c>
      <c r="R5355" s="5" t="str">
        <f t="shared" si="2"/>
        <v>Jessica Darling'S It List</v>
      </c>
      <c r="S5355" s="5" t="str">
        <f>IFERROR(__xludf.DUMMYFUNCTION("""COMPUTED_VALUE"""),"Paint It Black")</f>
        <v>Paint It Black</v>
      </c>
      <c r="V5355" s="5"/>
      <c r="Y5355" s="5" t="str">
        <f>IFERROR(__xludf.DUMMYFUNCTION("REGEXEXTRACT(J5355, ""^\d+"")"),"80")</f>
        <v>80</v>
      </c>
      <c r="Z5355" s="5" t="str">
        <f>IFERROR(__xludf.DUMMYFUNCTION("REGEXEXTRACT(J5355, ""[A-Za-z ]+$"")")," min")</f>
        <v> min</v>
      </c>
      <c r="AA5355" s="5" t="str">
        <f>IFERROR(__xludf.DUMMYFUNCTION("IF(REGEXMATCH(Z5355, ""Season""), ""TV Show"", ""Movie"")"),"Movie")</f>
        <v>Movie</v>
      </c>
    </row>
    <row r="5356">
      <c r="A5356" s="1" t="s">
        <v>27595</v>
      </c>
      <c r="B5356" s="1" t="s">
        <v>37</v>
      </c>
      <c r="C5356" s="1" t="s">
        <v>27596</v>
      </c>
      <c r="E5356" s="1" t="s">
        <v>27597</v>
      </c>
      <c r="F5356" s="1" t="s">
        <v>2059</v>
      </c>
      <c r="G5356" s="1" t="s">
        <v>27569</v>
      </c>
      <c r="H5356" s="1">
        <v>2016.0</v>
      </c>
      <c r="I5356" s="1" t="s">
        <v>136</v>
      </c>
      <c r="J5356" s="1" t="s">
        <v>51</v>
      </c>
      <c r="K5356" s="1" t="s">
        <v>1907</v>
      </c>
      <c r="L5356" s="1" t="s">
        <v>27598</v>
      </c>
      <c r="M5356" s="2" t="s">
        <v>12</v>
      </c>
      <c r="N5356" s="4">
        <f t="shared" si="1"/>
        <v>42948</v>
      </c>
      <c r="O5356" s="5" t="str">
        <f>IFERROR(__xludf.DUMMYFUNCTION("IF(REGEXMATCH(TRIM(I5356), ""^\d+\s*min""), ""Unclassified"", IF(I5356 = """", ""NR"", I5356))"),"TV-PG")</f>
        <v>TV-PG</v>
      </c>
      <c r="R5356" s="5" t="str">
        <f t="shared" si="2"/>
        <v>Life Plan A And B</v>
      </c>
      <c r="S5356" s="5" t="str">
        <f>IFERROR(__xludf.DUMMYFUNCTION("""COMPUTED_VALUE"""),"Painted Faces")</f>
        <v>Painted Faces</v>
      </c>
      <c r="V5356" s="5"/>
      <c r="Y5356" s="5" t="str">
        <f>IFERROR(__xludf.DUMMYFUNCTION("REGEXEXTRACT(J5356, ""^\d+"")"),"1")</f>
        <v>1</v>
      </c>
      <c r="Z5356" s="5" t="str">
        <f>IFERROR(__xludf.DUMMYFUNCTION("REGEXEXTRACT(J5356, ""[A-Za-z ]+$"")")," Season")</f>
        <v> Season</v>
      </c>
      <c r="AA5356" s="5" t="str">
        <f>IFERROR(__xludf.DUMMYFUNCTION("IF(REGEXMATCH(Z5356, ""Season""), ""TV Show"", ""Movie"")"),"TV Show")</f>
        <v>TV Show</v>
      </c>
    </row>
    <row r="5357">
      <c r="A5357" s="1" t="s">
        <v>27599</v>
      </c>
      <c r="B5357" s="1" t="s">
        <v>37</v>
      </c>
      <c r="C5357" s="1" t="s">
        <v>27600</v>
      </c>
      <c r="E5357" s="1" t="s">
        <v>27601</v>
      </c>
      <c r="F5357" s="1" t="s">
        <v>1078</v>
      </c>
      <c r="G5357" s="1" t="s">
        <v>27569</v>
      </c>
      <c r="H5357" s="1">
        <v>2014.0</v>
      </c>
      <c r="I5357" s="1" t="s">
        <v>42</v>
      </c>
      <c r="J5357" s="1" t="s">
        <v>51</v>
      </c>
      <c r="K5357" s="1" t="s">
        <v>2768</v>
      </c>
      <c r="L5357" s="1" t="s">
        <v>27602</v>
      </c>
      <c r="M5357" s="2" t="s">
        <v>12</v>
      </c>
      <c r="N5357" s="4">
        <f t="shared" si="1"/>
        <v>42948</v>
      </c>
      <c r="O5357" s="5" t="str">
        <f>IFERROR(__xludf.DUMMYFUNCTION("IF(REGEXMATCH(TRIM(I5357), ""^\d+\s*min""), ""Unclassified"", IF(I5357 = """", ""NR"", I5357))"),"TV-MA")</f>
        <v>TV-MA</v>
      </c>
      <c r="R5357" s="5" t="str">
        <f t="shared" si="2"/>
        <v>Locust</v>
      </c>
      <c r="S5357" s="5" t="str">
        <f>IFERROR(__xludf.DUMMYFUNCTION("""COMPUTED_VALUE"""),"Pajanimals")</f>
        <v>Pajanimals</v>
      </c>
      <c r="V5357" s="5"/>
      <c r="Y5357" s="5" t="str">
        <f>IFERROR(__xludf.DUMMYFUNCTION("REGEXEXTRACT(J5357, ""^\d+"")"),"1")</f>
        <v>1</v>
      </c>
      <c r="Z5357" s="5" t="str">
        <f>IFERROR(__xludf.DUMMYFUNCTION("REGEXEXTRACT(J5357, ""[A-Za-z ]+$"")")," Season")</f>
        <v> Season</v>
      </c>
      <c r="AA5357" s="5" t="str">
        <f>IFERROR(__xludf.DUMMYFUNCTION("IF(REGEXMATCH(Z5357, ""Season""), ""TV Show"", ""Movie"")"),"TV Show")</f>
        <v>TV Show</v>
      </c>
    </row>
    <row r="5358">
      <c r="A5358" s="1" t="s">
        <v>27603</v>
      </c>
      <c r="B5358" s="1" t="s">
        <v>37</v>
      </c>
      <c r="C5358" s="1" t="s">
        <v>27604</v>
      </c>
      <c r="E5358" s="1" t="s">
        <v>27605</v>
      </c>
      <c r="G5358" s="1" t="s">
        <v>27569</v>
      </c>
      <c r="H5358" s="1">
        <v>2016.0</v>
      </c>
      <c r="I5358" s="1" t="s">
        <v>97</v>
      </c>
      <c r="J5358" s="1" t="s">
        <v>51</v>
      </c>
      <c r="K5358" s="1" t="s">
        <v>64</v>
      </c>
      <c r="L5358" s="1" t="s">
        <v>27606</v>
      </c>
      <c r="M5358" s="2" t="s">
        <v>12</v>
      </c>
      <c r="N5358" s="4">
        <f t="shared" si="1"/>
        <v>42948</v>
      </c>
      <c r="O5358" s="5" t="str">
        <f>IFERROR(__xludf.DUMMYFUNCTION("IF(REGEXMATCH(TRIM(I5358), ""^\d+\s*min""), ""Unclassified"", IF(I5358 = """", ""NR"", I5358))"),"TV-14")</f>
        <v>TV-14</v>
      </c>
      <c r="R5358" s="5" t="str">
        <f t="shared" si="2"/>
        <v>Love Storm</v>
      </c>
      <c r="S5358" s="5" t="str">
        <f>IFERROR(__xludf.DUMMYFUNCTION("""COMPUTED_VALUE"""),"Palazuelos Mi Rey")</f>
        <v>Palazuelos Mi Rey</v>
      </c>
      <c r="V5358" s="5"/>
      <c r="Y5358" s="5" t="str">
        <f>IFERROR(__xludf.DUMMYFUNCTION("REGEXEXTRACT(J5358, ""^\d+"")"),"1")</f>
        <v>1</v>
      </c>
      <c r="Z5358" s="5" t="str">
        <f>IFERROR(__xludf.DUMMYFUNCTION("REGEXEXTRACT(J5358, ""[A-Za-z ]+$"")")," Season")</f>
        <v> Season</v>
      </c>
      <c r="AA5358" s="5" t="str">
        <f>IFERROR(__xludf.DUMMYFUNCTION("IF(REGEXMATCH(Z5358, ""Season""), ""TV Show"", ""Movie"")"),"TV Show")</f>
        <v>TV Show</v>
      </c>
    </row>
    <row r="5359">
      <c r="A5359" s="1" t="s">
        <v>27607</v>
      </c>
      <c r="B5359" s="1" t="s">
        <v>27</v>
      </c>
      <c r="C5359" s="1" t="s">
        <v>27608</v>
      </c>
      <c r="D5359" s="1" t="s">
        <v>15425</v>
      </c>
      <c r="E5359" s="1" t="s">
        <v>15425</v>
      </c>
      <c r="G5359" s="1" t="s">
        <v>27569</v>
      </c>
      <c r="H5359" s="1">
        <v>2017.0</v>
      </c>
      <c r="I5359" s="1" t="s">
        <v>97</v>
      </c>
      <c r="J5359" s="1" t="s">
        <v>155</v>
      </c>
      <c r="K5359" s="1" t="s">
        <v>1839</v>
      </c>
      <c r="L5359" s="1" t="s">
        <v>27609</v>
      </c>
      <c r="M5359" s="2" t="s">
        <v>12</v>
      </c>
      <c r="N5359" s="4">
        <f t="shared" si="1"/>
        <v>42948</v>
      </c>
      <c r="O5359" s="5" t="str">
        <f>IFERROR(__xludf.DUMMYFUNCTION("IF(REGEXMATCH(TRIM(I5359), ""^\d+\s*min""), ""Unclassified"", IF(I5359 = """", ""NR"", I5359))"),"TV-14")</f>
        <v>TV-14</v>
      </c>
      <c r="R5359" s="5" t="str">
        <f t="shared" si="2"/>
        <v>Maz Jobrani: Immigrant</v>
      </c>
      <c r="S5359" s="5" t="str">
        <f>IFERROR(__xludf.DUMMYFUNCTION("""COMPUTED_VALUE"""),"Palermo Hollywood")</f>
        <v>Palermo Hollywood</v>
      </c>
      <c r="V5359" s="5"/>
      <c r="Y5359" s="5" t="str">
        <f>IFERROR(__xludf.DUMMYFUNCTION("REGEXEXTRACT(J5359, ""^\d+"")"),"67")</f>
        <v>67</v>
      </c>
      <c r="Z5359" s="5" t="str">
        <f>IFERROR(__xludf.DUMMYFUNCTION("REGEXEXTRACT(J5359, ""[A-Za-z ]+$"")")," min")</f>
        <v> min</v>
      </c>
      <c r="AA5359" s="5" t="str">
        <f>IFERROR(__xludf.DUMMYFUNCTION("IF(REGEXMATCH(Z5359, ""Season""), ""TV Show"", ""Movie"")"),"Movie")</f>
        <v>Movie</v>
      </c>
    </row>
    <row r="5360">
      <c r="A5360" s="1" t="s">
        <v>27610</v>
      </c>
      <c r="B5360" s="1" t="s">
        <v>27</v>
      </c>
      <c r="C5360" s="1" t="s">
        <v>27611</v>
      </c>
      <c r="D5360" s="1" t="s">
        <v>9670</v>
      </c>
      <c r="E5360" s="1" t="s">
        <v>27612</v>
      </c>
      <c r="F5360" s="1" t="s">
        <v>30</v>
      </c>
      <c r="G5360" s="1" t="s">
        <v>27569</v>
      </c>
      <c r="H5360" s="1">
        <v>2016.0</v>
      </c>
      <c r="I5360" s="1" t="s">
        <v>42</v>
      </c>
      <c r="J5360" s="1" t="s">
        <v>1608</v>
      </c>
      <c r="K5360" s="1" t="s">
        <v>27613</v>
      </c>
      <c r="L5360" s="1" t="s">
        <v>27614</v>
      </c>
      <c r="M5360" s="2" t="s">
        <v>12</v>
      </c>
      <c r="N5360" s="4">
        <f t="shared" si="1"/>
        <v>42948</v>
      </c>
      <c r="O5360" s="5" t="str">
        <f>IFERROR(__xludf.DUMMYFUNCTION("IF(REGEXMATCH(TRIM(I5360), ""^\d+\s*min""), ""Unclassified"", IF(I5360 = """", ""NR"", I5360))"),"TV-MA")</f>
        <v>TV-MA</v>
      </c>
      <c r="R5360" s="5" t="str">
        <f t="shared" si="2"/>
        <v>Opening Night</v>
      </c>
      <c r="S5360" s="5" t="str">
        <f>IFERROR(__xludf.DUMMYFUNCTION("""COMPUTED_VALUE"""),"Palio")</f>
        <v>Palio</v>
      </c>
      <c r="V5360" s="5"/>
      <c r="Y5360" s="5" t="str">
        <f>IFERROR(__xludf.DUMMYFUNCTION("REGEXEXTRACT(J5360, ""^\d+"")"),"84")</f>
        <v>84</v>
      </c>
      <c r="Z5360" s="5" t="str">
        <f>IFERROR(__xludf.DUMMYFUNCTION("REGEXEXTRACT(J5360, ""[A-Za-z ]+$"")")," min")</f>
        <v> min</v>
      </c>
      <c r="AA5360" s="5" t="str">
        <f>IFERROR(__xludf.DUMMYFUNCTION("IF(REGEXMATCH(Z5360, ""Season""), ""TV Show"", ""Movie"")"),"Movie")</f>
        <v>Movie</v>
      </c>
    </row>
    <row r="5361">
      <c r="A5361" s="1" t="s">
        <v>27615</v>
      </c>
      <c r="B5361" s="1" t="s">
        <v>27</v>
      </c>
      <c r="C5361" s="1" t="s">
        <v>27616</v>
      </c>
      <c r="D5361" s="1" t="s">
        <v>2544</v>
      </c>
      <c r="E5361" s="1" t="s">
        <v>27617</v>
      </c>
      <c r="F5361" s="1" t="s">
        <v>221</v>
      </c>
      <c r="G5361" s="1" t="s">
        <v>27569</v>
      </c>
      <c r="H5361" s="1">
        <v>2016.0</v>
      </c>
      <c r="I5361" s="1" t="s">
        <v>206</v>
      </c>
      <c r="J5361" s="1" t="s">
        <v>247</v>
      </c>
      <c r="K5361" s="1" t="s">
        <v>8533</v>
      </c>
      <c r="L5361" s="1" t="s">
        <v>27618</v>
      </c>
      <c r="M5361" s="2" t="s">
        <v>12</v>
      </c>
      <c r="N5361" s="4">
        <f t="shared" si="1"/>
        <v>42948</v>
      </c>
      <c r="O5361" s="5" t="str">
        <f>IFERROR(__xludf.DUMMYFUNCTION("IF(REGEXMATCH(TRIM(I5361), ""^\d+\s*min""), ""Unclassified"", IF(I5361 = """", ""NR"", I5361))"),"TV-Y")</f>
        <v>TV-Y</v>
      </c>
      <c r="R5361" s="5" t="str">
        <f t="shared" si="2"/>
        <v>Raising The Bar</v>
      </c>
      <c r="S5361" s="5" t="str">
        <f>IFERROR(__xludf.DUMMYFUNCTION("""COMPUTED_VALUE"""),"Palm Trees In The Snow")</f>
        <v>Palm Trees In The Snow</v>
      </c>
      <c r="V5361" s="5"/>
      <c r="Y5361" s="5" t="str">
        <f>IFERROR(__xludf.DUMMYFUNCTION("REGEXEXTRACT(J5361, ""^\d+"")"),"97")</f>
        <v>97</v>
      </c>
      <c r="Z5361" s="5" t="str">
        <f>IFERROR(__xludf.DUMMYFUNCTION("REGEXEXTRACT(J5361, ""[A-Za-z ]+$"")")," min")</f>
        <v> min</v>
      </c>
      <c r="AA5361" s="5" t="str">
        <f>IFERROR(__xludf.DUMMYFUNCTION("IF(REGEXMATCH(Z5361, ""Season""), ""TV Show"", ""Movie"")"),"Movie")</f>
        <v>Movie</v>
      </c>
    </row>
    <row r="5362">
      <c r="A5362" s="1" t="s">
        <v>27619</v>
      </c>
      <c r="B5362" s="1" t="s">
        <v>37</v>
      </c>
      <c r="C5362" s="1" t="s">
        <v>27620</v>
      </c>
      <c r="E5362" s="1" t="s">
        <v>27621</v>
      </c>
      <c r="G5362" s="1" t="s">
        <v>27569</v>
      </c>
      <c r="H5362" s="1">
        <v>2017.0</v>
      </c>
      <c r="I5362" s="1" t="s">
        <v>42</v>
      </c>
      <c r="J5362" s="1" t="s">
        <v>51</v>
      </c>
      <c r="K5362" s="1" t="s">
        <v>785</v>
      </c>
      <c r="L5362" s="1" t="s">
        <v>27622</v>
      </c>
      <c r="M5362" s="2" t="s">
        <v>12</v>
      </c>
      <c r="N5362" s="4">
        <f t="shared" si="1"/>
        <v>42948</v>
      </c>
      <c r="O5362" s="5" t="str">
        <f>IFERROR(__xludf.DUMMYFUNCTION("IF(REGEXMATCH(TRIM(I5362), ""^\d+\s*min""), ""Unclassified"", IF(I5362 = """", ""NR"", I5362))"),"TV-MA")</f>
        <v>TV-MA</v>
      </c>
      <c r="R5362" s="5" t="str">
        <f t="shared" si="2"/>
        <v>Surviving Escobar - Alias Jj</v>
      </c>
      <c r="S5362" s="5" t="str">
        <f>IFERROR(__xludf.DUMMYFUNCTION("""COMPUTED_VALUE"""),"Pan'S Labyrinth")</f>
        <v>Pan'S Labyrinth</v>
      </c>
      <c r="V5362" s="5"/>
      <c r="Y5362" s="5" t="str">
        <f>IFERROR(__xludf.DUMMYFUNCTION("REGEXEXTRACT(J5362, ""^\d+"")"),"1")</f>
        <v>1</v>
      </c>
      <c r="Z5362" s="5" t="str">
        <f>IFERROR(__xludf.DUMMYFUNCTION("REGEXEXTRACT(J5362, ""[A-Za-z ]+$"")")," Season")</f>
        <v> Season</v>
      </c>
      <c r="AA5362" s="5" t="str">
        <f>IFERROR(__xludf.DUMMYFUNCTION("IF(REGEXMATCH(Z5362, ""Season""), ""TV Show"", ""Movie"")"),"TV Show")</f>
        <v>TV Show</v>
      </c>
    </row>
    <row r="5363">
      <c r="A5363" s="1" t="s">
        <v>27623</v>
      </c>
      <c r="B5363" s="1" t="s">
        <v>27</v>
      </c>
      <c r="C5363" s="1" t="s">
        <v>27624</v>
      </c>
      <c r="D5363" s="1" t="s">
        <v>4960</v>
      </c>
      <c r="E5363" s="1" t="s">
        <v>27625</v>
      </c>
      <c r="F5363" s="1" t="s">
        <v>27626</v>
      </c>
      <c r="G5363" s="1" t="s">
        <v>27569</v>
      </c>
      <c r="H5363" s="1">
        <v>2016.0</v>
      </c>
      <c r="I5363" s="1" t="s">
        <v>42</v>
      </c>
      <c r="J5363" s="1" t="s">
        <v>1144</v>
      </c>
      <c r="K5363" s="1" t="s">
        <v>89</v>
      </c>
      <c r="L5363" s="1" t="s">
        <v>27627</v>
      </c>
      <c r="M5363" s="2" t="s">
        <v>12</v>
      </c>
      <c r="N5363" s="4">
        <f t="shared" si="1"/>
        <v>42948</v>
      </c>
      <c r="O5363" s="5" t="str">
        <f>IFERROR(__xludf.DUMMYFUNCTION("IF(REGEXMATCH(TRIM(I5363), ""^\d+\s*min""), ""Unclassified"", IF(I5363 = """", ""NR"", I5363))"),"TV-MA")</f>
        <v>TV-MA</v>
      </c>
      <c r="R5363" s="5" t="str">
        <f t="shared" si="2"/>
        <v>The Blind Christ</v>
      </c>
      <c r="S5363" s="5" t="str">
        <f>IFERROR(__xludf.DUMMYFUNCTION("""COMPUTED_VALUE"""),"Pandemic: How To Prevent An Outbreak")</f>
        <v>Pandemic: How To Prevent An Outbreak</v>
      </c>
      <c r="V5363" s="5"/>
      <c r="Y5363" s="5" t="str">
        <f>IFERROR(__xludf.DUMMYFUNCTION("REGEXEXTRACT(J5363, ""^\d+"")"),"86")</f>
        <v>86</v>
      </c>
      <c r="Z5363" s="5" t="str">
        <f>IFERROR(__xludf.DUMMYFUNCTION("REGEXEXTRACT(J5363, ""[A-Za-z ]+$"")")," min")</f>
        <v> min</v>
      </c>
      <c r="AA5363" s="5" t="str">
        <f>IFERROR(__xludf.DUMMYFUNCTION("IF(REGEXMATCH(Z5363, ""Season""), ""TV Show"", ""Movie"")"),"Movie")</f>
        <v>Movie</v>
      </c>
    </row>
    <row r="5364">
      <c r="A5364" s="1" t="s">
        <v>27628</v>
      </c>
      <c r="B5364" s="1" t="s">
        <v>37</v>
      </c>
      <c r="C5364" s="1" t="s">
        <v>27629</v>
      </c>
      <c r="E5364" s="1" t="s">
        <v>27630</v>
      </c>
      <c r="F5364" s="1" t="s">
        <v>9219</v>
      </c>
      <c r="G5364" s="1" t="s">
        <v>27569</v>
      </c>
      <c r="H5364" s="1">
        <v>2011.0</v>
      </c>
      <c r="I5364" s="1" t="s">
        <v>97</v>
      </c>
      <c r="J5364" s="1" t="s">
        <v>51</v>
      </c>
      <c r="K5364" s="1" t="s">
        <v>402</v>
      </c>
      <c r="L5364" s="1" t="s">
        <v>27631</v>
      </c>
      <c r="M5364" s="2" t="s">
        <v>12</v>
      </c>
      <c r="N5364" s="4">
        <f t="shared" si="1"/>
        <v>42948</v>
      </c>
      <c r="O5364" s="5" t="str">
        <f>IFERROR(__xludf.DUMMYFUNCTION("IF(REGEXMATCH(TRIM(I5364), ""^\d+\s*min""), ""Unclassified"", IF(I5364 = """", ""NR"", I5364))"),"TV-14")</f>
        <v>TV-14</v>
      </c>
      <c r="R5364" s="5" t="str">
        <f t="shared" si="2"/>
        <v>The In-Laws</v>
      </c>
      <c r="S5364" s="5" t="str">
        <f>IFERROR(__xludf.DUMMYFUNCTION("""COMPUTED_VALUE"""),"Pandigai")</f>
        <v>Pandigai</v>
      </c>
      <c r="V5364" s="5"/>
      <c r="Y5364" s="5" t="str">
        <f>IFERROR(__xludf.DUMMYFUNCTION("REGEXEXTRACT(J5364, ""^\d+"")"),"1")</f>
        <v>1</v>
      </c>
      <c r="Z5364" s="5" t="str">
        <f>IFERROR(__xludf.DUMMYFUNCTION("REGEXEXTRACT(J5364, ""[A-Za-z ]+$"")")," Season")</f>
        <v> Season</v>
      </c>
      <c r="AA5364" s="5" t="str">
        <f>IFERROR(__xludf.DUMMYFUNCTION("IF(REGEXMATCH(Z5364, ""Season""), ""TV Show"", ""Movie"")"),"TV Show")</f>
        <v>TV Show</v>
      </c>
    </row>
    <row r="5365">
      <c r="A5365" s="1" t="s">
        <v>27632</v>
      </c>
      <c r="B5365" s="1" t="s">
        <v>37</v>
      </c>
      <c r="C5365" s="1" t="s">
        <v>27633</v>
      </c>
      <c r="E5365" s="1" t="s">
        <v>27634</v>
      </c>
      <c r="F5365" s="1" t="s">
        <v>96</v>
      </c>
      <c r="G5365" s="1" t="s">
        <v>27569</v>
      </c>
      <c r="H5365" s="1">
        <v>2013.0</v>
      </c>
      <c r="I5365" s="1" t="s">
        <v>42</v>
      </c>
      <c r="J5365" s="1" t="s">
        <v>189</v>
      </c>
      <c r="K5365" s="1" t="s">
        <v>8697</v>
      </c>
      <c r="L5365" s="1" t="s">
        <v>27635</v>
      </c>
      <c r="M5365" s="2" t="s">
        <v>12</v>
      </c>
      <c r="N5365" s="4">
        <f t="shared" si="1"/>
        <v>42948</v>
      </c>
      <c r="O5365" s="5" t="str">
        <f>IFERROR(__xludf.DUMMYFUNCTION("IF(REGEXMATCH(TRIM(I5365), ""^\d+\s*min""), ""Unclassified"", IF(I5365 = """", ""NR"", I5365))"),"TV-MA")</f>
        <v>TV-MA</v>
      </c>
      <c r="R5365" s="5" t="str">
        <f t="shared" si="2"/>
        <v>The It Crowd</v>
      </c>
      <c r="S5365" s="5" t="str">
        <f>IFERROR(__xludf.DUMMYFUNCTION("""COMPUTED_VALUE"""),"Pandora")</f>
        <v>Pandora</v>
      </c>
      <c r="V5365" s="5"/>
      <c r="Y5365" s="5" t="str">
        <f>IFERROR(__xludf.DUMMYFUNCTION("REGEXEXTRACT(J5365, ""^\d+"")"),"5")</f>
        <v>5</v>
      </c>
      <c r="Z5365" s="5" t="str">
        <f>IFERROR(__xludf.DUMMYFUNCTION("REGEXEXTRACT(J5365, ""[A-Za-z ]+$"")")," Seasons")</f>
        <v> Seasons</v>
      </c>
      <c r="AA5365" s="5" t="str">
        <f>IFERROR(__xludf.DUMMYFUNCTION("IF(REGEXMATCH(Z5365, ""Season""), ""TV Show"", ""Movie"")"),"TV Show")</f>
        <v>TV Show</v>
      </c>
    </row>
    <row r="5366">
      <c r="A5366" s="1" t="s">
        <v>27636</v>
      </c>
      <c r="B5366" s="1" t="s">
        <v>27</v>
      </c>
      <c r="C5366" s="1" t="s">
        <v>27637</v>
      </c>
      <c r="D5366" s="1" t="s">
        <v>5055</v>
      </c>
      <c r="E5366" s="1" t="s">
        <v>27638</v>
      </c>
      <c r="F5366" s="1" t="s">
        <v>664</v>
      </c>
      <c r="G5366" s="1" t="s">
        <v>27569</v>
      </c>
      <c r="H5366" s="1">
        <v>2015.0</v>
      </c>
      <c r="I5366" s="1" t="s">
        <v>42</v>
      </c>
      <c r="J5366" s="1" t="s">
        <v>835</v>
      </c>
      <c r="K5366" s="1" t="s">
        <v>583</v>
      </c>
      <c r="L5366" s="1" t="s">
        <v>27639</v>
      </c>
      <c r="M5366" s="2" t="s">
        <v>12</v>
      </c>
      <c r="N5366" s="4">
        <f t="shared" si="1"/>
        <v>42948</v>
      </c>
      <c r="O5366" s="5" t="str">
        <f>IFERROR(__xludf.DUMMYFUNCTION("IF(REGEXMATCH(TRIM(I5366), ""^\d+\s*min""), ""Unclassified"", IF(I5366 = """", ""NR"", I5366))"),"TV-MA")</f>
        <v>TV-MA</v>
      </c>
      <c r="R5366" s="5" t="str">
        <f t="shared" si="2"/>
        <v>Un Plus Une</v>
      </c>
      <c r="S5366" s="5" t="str">
        <f>IFERROR(__xludf.DUMMYFUNCTION("""COMPUTED_VALUE"""),"Panic Room")</f>
        <v>Panic Room</v>
      </c>
      <c r="V5366" s="5"/>
      <c r="Y5366" s="5" t="str">
        <f>IFERROR(__xludf.DUMMYFUNCTION("REGEXEXTRACT(J5366, ""^\d+"")"),"114")</f>
        <v>114</v>
      </c>
      <c r="Z5366" s="5" t="str">
        <f>IFERROR(__xludf.DUMMYFUNCTION("REGEXEXTRACT(J5366, ""[A-Za-z ]+$"")")," min")</f>
        <v> min</v>
      </c>
      <c r="AA5366" s="5" t="str">
        <f>IFERROR(__xludf.DUMMYFUNCTION("IF(REGEXMATCH(Z5366, ""Season""), ""TV Show"", ""Movie"")"),"Movie")</f>
        <v>Movie</v>
      </c>
    </row>
    <row r="5367">
      <c r="A5367" s="1" t="s">
        <v>27640</v>
      </c>
      <c r="B5367" s="1" t="s">
        <v>37</v>
      </c>
      <c r="C5367" s="1" t="s">
        <v>27641</v>
      </c>
      <c r="E5367" s="1" t="s">
        <v>27642</v>
      </c>
      <c r="F5367" s="1" t="s">
        <v>96</v>
      </c>
      <c r="G5367" s="1" t="s">
        <v>27569</v>
      </c>
      <c r="H5367" s="1">
        <v>2012.0</v>
      </c>
      <c r="I5367" s="1" t="s">
        <v>42</v>
      </c>
      <c r="J5367" s="1" t="s">
        <v>43</v>
      </c>
      <c r="K5367" s="1" t="s">
        <v>3274</v>
      </c>
      <c r="L5367" s="1" t="s">
        <v>27643</v>
      </c>
      <c r="M5367" s="2" t="s">
        <v>12</v>
      </c>
      <c r="N5367" s="4">
        <f t="shared" si="1"/>
        <v>42948</v>
      </c>
      <c r="O5367" s="5" t="str">
        <f>IFERROR(__xludf.DUMMYFUNCTION("IF(REGEXMATCH(TRIM(I5367), ""^\d+\s*min""), ""Unclassified"", IF(I5367 = """", ""NR"", I5367))"),"TV-MA")</f>
        <v>TV-MA</v>
      </c>
      <c r="R5367" s="5" t="str">
        <f t="shared" si="2"/>
        <v>Vexed</v>
      </c>
      <c r="S5367" s="5" t="str">
        <f>IFERROR(__xludf.DUMMYFUNCTION("""COMPUTED_VALUE"""),"Panipat - The Great Betrayal")</f>
        <v>Panipat - The Great Betrayal</v>
      </c>
      <c r="V5367" s="5"/>
      <c r="Y5367" s="5" t="str">
        <f>IFERROR(__xludf.DUMMYFUNCTION("REGEXEXTRACT(J5367, ""^\d+"")"),"2")</f>
        <v>2</v>
      </c>
      <c r="Z5367" s="5" t="str">
        <f>IFERROR(__xludf.DUMMYFUNCTION("REGEXEXTRACT(J5367, ""[A-Za-z ]+$"")")," Seasons")</f>
        <v> Seasons</v>
      </c>
      <c r="AA5367" s="5" t="str">
        <f>IFERROR(__xludf.DUMMYFUNCTION("IF(REGEXMATCH(Z5367, ""Season""), ""TV Show"", ""Movie"")"),"TV Show")</f>
        <v>TV Show</v>
      </c>
    </row>
    <row r="5368">
      <c r="A5368" s="1" t="s">
        <v>27644</v>
      </c>
      <c r="B5368" s="1" t="s">
        <v>37</v>
      </c>
      <c r="C5368" s="1" t="s">
        <v>27645</v>
      </c>
      <c r="E5368" s="1" t="s">
        <v>27646</v>
      </c>
      <c r="F5368" s="1" t="s">
        <v>96</v>
      </c>
      <c r="G5368" s="1" t="s">
        <v>27569</v>
      </c>
      <c r="H5368" s="1">
        <v>2009.0</v>
      </c>
      <c r="I5368" s="1" t="s">
        <v>42</v>
      </c>
      <c r="J5368" s="1" t="s">
        <v>51</v>
      </c>
      <c r="K5368" s="1" t="s">
        <v>544</v>
      </c>
      <c r="L5368" s="1" t="s">
        <v>27647</v>
      </c>
      <c r="M5368" s="2" t="s">
        <v>12</v>
      </c>
      <c r="N5368" s="4">
        <f t="shared" si="1"/>
        <v>42948</v>
      </c>
      <c r="O5368" s="5" t="str">
        <f>IFERROR(__xludf.DUMMYFUNCTION("IF(REGEXMATCH(TRIM(I5368), ""^\d+\s*min""), ""Unclassified"", IF(I5368 = """", ""NR"", I5368))"),"TV-MA")</f>
        <v>TV-MA</v>
      </c>
      <c r="R5368" s="5" t="str">
        <f t="shared" si="2"/>
        <v>World War Ii In Colour</v>
      </c>
      <c r="S5368" s="5" t="str">
        <f>IFERROR(__xludf.DUMMYFUNCTION("""COMPUTED_VALUE"""),"Panoptic")</f>
        <v>Panoptic</v>
      </c>
      <c r="V5368" s="5"/>
      <c r="Y5368" s="5" t="str">
        <f>IFERROR(__xludf.DUMMYFUNCTION("REGEXEXTRACT(J5368, ""^\d+"")"),"1")</f>
        <v>1</v>
      </c>
      <c r="Z5368" s="5" t="str">
        <f>IFERROR(__xludf.DUMMYFUNCTION("REGEXEXTRACT(J5368, ""[A-Za-z ]+$"")")," Season")</f>
        <v> Season</v>
      </c>
      <c r="AA5368" s="5" t="str">
        <f>IFERROR(__xludf.DUMMYFUNCTION("IF(REGEXMATCH(Z5368, ""Season""), ""TV Show"", ""Movie"")"),"TV Show")</f>
        <v>TV Show</v>
      </c>
    </row>
    <row r="5369">
      <c r="A5369" s="1" t="s">
        <v>27648</v>
      </c>
      <c r="B5369" s="1" t="s">
        <v>37</v>
      </c>
      <c r="C5369" s="1" t="s">
        <v>27649</v>
      </c>
      <c r="D5369" s="1" t="s">
        <v>23125</v>
      </c>
      <c r="F5369" s="1" t="s">
        <v>30</v>
      </c>
      <c r="G5369" s="1" t="s">
        <v>27650</v>
      </c>
      <c r="H5369" s="1">
        <v>2017.0</v>
      </c>
      <c r="I5369" s="1" t="s">
        <v>97</v>
      </c>
      <c r="J5369" s="1" t="s">
        <v>51</v>
      </c>
      <c r="K5369" s="1" t="s">
        <v>1261</v>
      </c>
      <c r="L5369" s="1" t="s">
        <v>27651</v>
      </c>
      <c r="M5369" s="2" t="s">
        <v>12</v>
      </c>
      <c r="N5369" s="4">
        <f t="shared" si="1"/>
        <v>42944</v>
      </c>
      <c r="O5369" s="5" t="str">
        <f>IFERROR(__xludf.DUMMYFUNCTION("IF(REGEXMATCH(TRIM(I5369), ""^\d+\s*min""), ""Unclassified"", IF(I5369 = """", ""NR"", I5369))"),"TV-14")</f>
        <v>TV-14</v>
      </c>
      <c r="R5369" s="5" t="str">
        <f t="shared" si="2"/>
        <v>Daughters Of Destiny</v>
      </c>
      <c r="S5369" s="5" t="str">
        <f>IFERROR(__xludf.DUMMYFUNCTION("""COMPUTED_VALUE"""),"Pants On Fire")</f>
        <v>Pants On Fire</v>
      </c>
      <c r="V5369" s="5"/>
      <c r="Y5369" s="5" t="str">
        <f>IFERROR(__xludf.DUMMYFUNCTION("REGEXEXTRACT(J5369, ""^\d+"")"),"1")</f>
        <v>1</v>
      </c>
      <c r="Z5369" s="5" t="str">
        <f>IFERROR(__xludf.DUMMYFUNCTION("REGEXEXTRACT(J5369, ""[A-Za-z ]+$"")")," Season")</f>
        <v> Season</v>
      </c>
      <c r="AA5369" s="5" t="str">
        <f>IFERROR(__xludf.DUMMYFUNCTION("IF(REGEXMATCH(Z5369, ""Season""), ""TV Show"", ""Movie"")"),"TV Show")</f>
        <v>TV Show</v>
      </c>
    </row>
    <row r="5370">
      <c r="A5370" s="1" t="s">
        <v>27652</v>
      </c>
      <c r="B5370" s="1" t="s">
        <v>27</v>
      </c>
      <c r="C5370" s="1" t="s">
        <v>27653</v>
      </c>
      <c r="D5370" s="1" t="s">
        <v>10982</v>
      </c>
      <c r="E5370" s="1" t="s">
        <v>27654</v>
      </c>
      <c r="F5370" s="1" t="s">
        <v>30</v>
      </c>
      <c r="G5370" s="1" t="s">
        <v>27650</v>
      </c>
      <c r="H5370" s="1">
        <v>2017.0</v>
      </c>
      <c r="I5370" s="1" t="s">
        <v>42</v>
      </c>
      <c r="J5370" s="1" t="s">
        <v>1608</v>
      </c>
      <c r="K5370" s="1" t="s">
        <v>5739</v>
      </c>
      <c r="L5370" s="1" t="s">
        <v>27655</v>
      </c>
      <c r="M5370" s="2" t="s">
        <v>12</v>
      </c>
      <c r="N5370" s="4">
        <f t="shared" si="1"/>
        <v>42944</v>
      </c>
      <c r="O5370" s="5" t="str">
        <f>IFERROR(__xludf.DUMMYFUNCTION("IF(REGEXMATCH(TRIM(I5370), ""^\d+\s*min""), ""Unclassified"", IF(I5370 = """", ""NR"", I5370))"),"TV-MA")</f>
        <v>TV-MA</v>
      </c>
      <c r="R5370" s="5" t="str">
        <f t="shared" si="2"/>
        <v>The Incredible Jessica James</v>
      </c>
      <c r="S5370" s="5" t="str">
        <f>IFERROR(__xludf.DUMMYFUNCTION("""COMPUTED_VALUE"""),"Papa The Great")</f>
        <v>Papa The Great</v>
      </c>
      <c r="V5370" s="5"/>
      <c r="Y5370" s="5" t="str">
        <f>IFERROR(__xludf.DUMMYFUNCTION("REGEXEXTRACT(J5370, ""^\d+"")"),"84")</f>
        <v>84</v>
      </c>
      <c r="Z5370" s="5" t="str">
        <f>IFERROR(__xludf.DUMMYFUNCTION("REGEXEXTRACT(J5370, ""[A-Za-z ]+$"")")," min")</f>
        <v> min</v>
      </c>
      <c r="AA5370" s="5" t="str">
        <f>IFERROR(__xludf.DUMMYFUNCTION("IF(REGEXMATCH(Z5370, ""Season""), ""TV Show"", ""Movie"")"),"Movie")</f>
        <v>Movie</v>
      </c>
    </row>
    <row r="5371">
      <c r="A5371" s="1" t="s">
        <v>27656</v>
      </c>
      <c r="B5371" s="1" t="s">
        <v>27</v>
      </c>
      <c r="C5371" s="1" t="s">
        <v>27657</v>
      </c>
      <c r="D5371" s="1" t="s">
        <v>5532</v>
      </c>
      <c r="E5371" s="1" t="s">
        <v>27658</v>
      </c>
      <c r="F5371" s="1" t="s">
        <v>30</v>
      </c>
      <c r="G5371" s="1" t="s">
        <v>27659</v>
      </c>
      <c r="H5371" s="1">
        <v>2017.0</v>
      </c>
      <c r="I5371" s="1" t="s">
        <v>42</v>
      </c>
      <c r="J5371" s="1" t="s">
        <v>155</v>
      </c>
      <c r="K5371" s="1" t="s">
        <v>1839</v>
      </c>
      <c r="L5371" s="1" t="s">
        <v>27660</v>
      </c>
      <c r="M5371" s="2" t="s">
        <v>12</v>
      </c>
      <c r="N5371" s="4">
        <f t="shared" si="1"/>
        <v>42941</v>
      </c>
      <c r="O5371" s="5" t="str">
        <f>IFERROR(__xludf.DUMMYFUNCTION("IF(REGEXMATCH(TRIM(I5371), ""^\d+\s*min""), ""Unclassified"", IF(I5371 = """", ""NR"", I5371))"),"TV-MA")</f>
        <v>TV-MA</v>
      </c>
      <c r="R5371" s="5" t="str">
        <f t="shared" si="2"/>
        <v>Joe Mande’S Award-Winning Comedy Special</v>
      </c>
      <c r="S5371" s="5" t="str">
        <f>IFERROR(__xludf.DUMMYFUNCTION("""COMPUTED_VALUE"""),"Paper Lives")</f>
        <v>Paper Lives</v>
      </c>
      <c r="V5371" s="5"/>
      <c r="Y5371" s="5" t="str">
        <f>IFERROR(__xludf.DUMMYFUNCTION("REGEXEXTRACT(J5371, ""^\d+"")"),"67")</f>
        <v>67</v>
      </c>
      <c r="Z5371" s="5" t="str">
        <f>IFERROR(__xludf.DUMMYFUNCTION("REGEXEXTRACT(J5371, ""[A-Za-z ]+$"")")," min")</f>
        <v> min</v>
      </c>
      <c r="AA5371" s="5" t="str">
        <f>IFERROR(__xludf.DUMMYFUNCTION("IF(REGEXMATCH(Z5371, ""Season""), ""TV Show"", ""Movie"")"),"Movie")</f>
        <v>Movie</v>
      </c>
    </row>
    <row r="5372">
      <c r="A5372" s="1" t="s">
        <v>27661</v>
      </c>
      <c r="B5372" s="1" t="s">
        <v>27</v>
      </c>
      <c r="C5372" s="1" t="s">
        <v>27662</v>
      </c>
      <c r="D5372" s="1" t="s">
        <v>12478</v>
      </c>
      <c r="F5372" s="1" t="s">
        <v>20343</v>
      </c>
      <c r="G5372" s="1" t="s">
        <v>27663</v>
      </c>
      <c r="H5372" s="1">
        <v>2016.0</v>
      </c>
      <c r="I5372" s="1" t="s">
        <v>97</v>
      </c>
      <c r="J5372" s="1" t="s">
        <v>79</v>
      </c>
      <c r="K5372" s="1" t="s">
        <v>700</v>
      </c>
      <c r="L5372" s="1" t="s">
        <v>27664</v>
      </c>
      <c r="M5372" s="2" t="s">
        <v>12</v>
      </c>
      <c r="N5372" s="4">
        <f t="shared" si="1"/>
        <v>42940</v>
      </c>
      <c r="O5372" s="5" t="str">
        <f>IFERROR(__xludf.DUMMYFUNCTION("IF(REGEXMATCH(TRIM(I5372), ""^\d+\s*min""), ""Unclassified"", IF(I5372 = """", ""NR"", I5372))"),"TV-14")</f>
        <v>TV-14</v>
      </c>
      <c r="R5372" s="5" t="str">
        <f t="shared" si="2"/>
        <v>I Called Him Morgan</v>
      </c>
      <c r="S5372" s="5" t="str">
        <f>IFERROR(__xludf.DUMMYFUNCTION("""COMPUTED_VALUE"""),"Paper Year")</f>
        <v>Paper Year</v>
      </c>
      <c r="V5372" s="5"/>
      <c r="Y5372" s="5" t="str">
        <f>IFERROR(__xludf.DUMMYFUNCTION("REGEXEXTRACT(J5372, ""^\d+"")"),"91")</f>
        <v>91</v>
      </c>
      <c r="Z5372" s="5" t="str">
        <f>IFERROR(__xludf.DUMMYFUNCTION("REGEXEXTRACT(J5372, ""[A-Za-z ]+$"")")," min")</f>
        <v> min</v>
      </c>
      <c r="AA5372" s="5" t="str">
        <f>IFERROR(__xludf.DUMMYFUNCTION("IF(REGEXMATCH(Z5372, ""Season""), ""TV Show"", ""Movie"")"),"Movie")</f>
        <v>Movie</v>
      </c>
    </row>
    <row r="5373">
      <c r="A5373" s="1" t="s">
        <v>27665</v>
      </c>
      <c r="B5373" s="1" t="s">
        <v>27</v>
      </c>
      <c r="C5373" s="1" t="s">
        <v>27666</v>
      </c>
      <c r="D5373" s="1" t="s">
        <v>7522</v>
      </c>
      <c r="E5373" s="1" t="s">
        <v>27667</v>
      </c>
      <c r="F5373" s="1" t="s">
        <v>63</v>
      </c>
      <c r="G5373" s="1" t="s">
        <v>27668</v>
      </c>
      <c r="H5373" s="1">
        <v>2017.0</v>
      </c>
      <c r="I5373" s="1" t="s">
        <v>42</v>
      </c>
      <c r="J5373" s="1" t="s">
        <v>919</v>
      </c>
      <c r="K5373" s="1" t="s">
        <v>1839</v>
      </c>
      <c r="L5373" s="1" t="s">
        <v>27669</v>
      </c>
      <c r="M5373" s="2" t="s">
        <v>12</v>
      </c>
      <c r="N5373" s="4">
        <f t="shared" si="1"/>
        <v>42934</v>
      </c>
      <c r="O5373" s="5" t="str">
        <f>IFERROR(__xludf.DUMMYFUNCTION("IF(REGEXMATCH(TRIM(I5373), ""^\d+\s*min""), ""Unclassified"", IF(I5373 = """", ""NR"", I5373))"),"TV-MA")</f>
        <v>TV-MA</v>
      </c>
      <c r="R5373" s="5" t="str">
        <f t="shared" si="2"/>
        <v>Aditi Mittal: Things They Wouldn'T Let Me Say</v>
      </c>
      <c r="S5373" s="5" t="str">
        <f>IFERROR(__xludf.DUMMYFUNCTION("""COMPUTED_VALUE"""),"Paprika")</f>
        <v>Paprika</v>
      </c>
      <c r="V5373" s="5"/>
      <c r="Y5373" s="5" t="str">
        <f>IFERROR(__xludf.DUMMYFUNCTION("REGEXEXTRACT(J5373, ""^\d+"")"),"63")</f>
        <v>63</v>
      </c>
      <c r="Z5373" s="5" t="str">
        <f>IFERROR(__xludf.DUMMYFUNCTION("REGEXEXTRACT(J5373, ""[A-Za-z ]+$"")")," min")</f>
        <v> min</v>
      </c>
      <c r="AA5373" s="5" t="str">
        <f>IFERROR(__xludf.DUMMYFUNCTION("IF(REGEXMATCH(Z5373, ""Season""), ""TV Show"", ""Movie"")"),"Movie")</f>
        <v>Movie</v>
      </c>
    </row>
    <row r="5374">
      <c r="A5374" s="1" t="s">
        <v>27670</v>
      </c>
      <c r="B5374" s="1" t="s">
        <v>37</v>
      </c>
      <c r="C5374" s="1" t="s">
        <v>27671</v>
      </c>
      <c r="D5374" s="1" t="s">
        <v>7117</v>
      </c>
      <c r="E5374" s="1" t="s">
        <v>27672</v>
      </c>
      <c r="F5374" s="1" t="s">
        <v>30</v>
      </c>
      <c r="G5374" s="1" t="s">
        <v>27668</v>
      </c>
      <c r="H5374" s="1">
        <v>2017.0</v>
      </c>
      <c r="I5374" s="1" t="s">
        <v>42</v>
      </c>
      <c r="J5374" s="1" t="s">
        <v>51</v>
      </c>
      <c r="K5374" s="1" t="s">
        <v>10491</v>
      </c>
      <c r="L5374" s="1" t="s">
        <v>27673</v>
      </c>
      <c r="M5374" s="2" t="s">
        <v>12</v>
      </c>
      <c r="N5374" s="4">
        <f t="shared" si="1"/>
        <v>42934</v>
      </c>
      <c r="O5374" s="5" t="str">
        <f>IFERROR(__xludf.DUMMYFUNCTION("IF(REGEXMATCH(TRIM(I5374), ""^\d+\s*min""), ""Unclassified"", IF(I5374 = """", ""NR"", I5374))"),"TV-MA")</f>
        <v>TV-MA</v>
      </c>
      <c r="R5374" s="5" t="str">
        <f t="shared" si="2"/>
        <v>Ari Shaffir: Double Negative</v>
      </c>
      <c r="S5374" s="5" t="str">
        <f>IFERROR(__xludf.DUMMYFUNCTION("""COMPUTED_VALUE"""),"Paquita Salas")</f>
        <v>Paquita Salas</v>
      </c>
      <c r="V5374" s="5"/>
      <c r="Y5374" s="5" t="str">
        <f>IFERROR(__xludf.DUMMYFUNCTION("REGEXEXTRACT(J5374, ""^\d+"")"),"1")</f>
        <v>1</v>
      </c>
      <c r="Z5374" s="5" t="str">
        <f>IFERROR(__xludf.DUMMYFUNCTION("REGEXEXTRACT(J5374, ""[A-Za-z ]+$"")")," Season")</f>
        <v> Season</v>
      </c>
      <c r="AA5374" s="5" t="str">
        <f>IFERROR(__xludf.DUMMYFUNCTION("IF(REGEXMATCH(Z5374, ""Season""), ""TV Show"", ""Movie"")"),"TV Show")</f>
        <v>TV Show</v>
      </c>
    </row>
    <row r="5375">
      <c r="A5375" s="1" t="s">
        <v>27674</v>
      </c>
      <c r="B5375" s="1" t="s">
        <v>27</v>
      </c>
      <c r="C5375" s="1" t="s">
        <v>27675</v>
      </c>
      <c r="D5375" s="1" t="s">
        <v>585</v>
      </c>
      <c r="E5375" s="1" t="s">
        <v>27676</v>
      </c>
      <c r="F5375" s="1" t="s">
        <v>784</v>
      </c>
      <c r="G5375" s="1" t="s">
        <v>27677</v>
      </c>
      <c r="H5375" s="1">
        <v>2017.0</v>
      </c>
      <c r="I5375" s="1" t="s">
        <v>42</v>
      </c>
      <c r="J5375" s="1" t="s">
        <v>349</v>
      </c>
      <c r="K5375" s="1" t="s">
        <v>128</v>
      </c>
      <c r="L5375" s="1" t="s">
        <v>27678</v>
      </c>
      <c r="M5375" s="2" t="s">
        <v>12</v>
      </c>
      <c r="N5375" s="4">
        <f t="shared" si="1"/>
        <v>42933</v>
      </c>
      <c r="O5375" s="5" t="str">
        <f>IFERROR(__xludf.DUMMYFUNCTION("IF(REGEXMATCH(TRIM(I5375), ""^\d+\s*min""), ""Unclassified"", IF(I5375 = """", ""NR"", I5375))"),"TV-MA")</f>
        <v>TV-MA</v>
      </c>
      <c r="R5375" s="5" t="str">
        <f t="shared" si="2"/>
        <v>Uncertain Glory</v>
      </c>
      <c r="S5375" s="5" t="str">
        <f>IFERROR(__xludf.DUMMYFUNCTION("""COMPUTED_VALUE"""),"Paradise Beach")</f>
        <v>Paradise Beach</v>
      </c>
      <c r="V5375" s="5"/>
      <c r="Y5375" s="5" t="str">
        <f>IFERROR(__xludf.DUMMYFUNCTION("REGEXEXTRACT(J5375, ""^\d+"")"),"116")</f>
        <v>116</v>
      </c>
      <c r="Z5375" s="5" t="str">
        <f>IFERROR(__xludf.DUMMYFUNCTION("REGEXEXTRACT(J5375, ""[A-Za-z ]+$"")")," min")</f>
        <v> min</v>
      </c>
      <c r="AA5375" s="5" t="str">
        <f>IFERROR(__xludf.DUMMYFUNCTION("IF(REGEXMATCH(Z5375, ""Season""), ""TV Show"", ""Movie"")"),"Movie")</f>
        <v>Movie</v>
      </c>
    </row>
    <row r="5376">
      <c r="A5376" s="1" t="s">
        <v>27679</v>
      </c>
      <c r="B5376" s="1" t="s">
        <v>27</v>
      </c>
      <c r="C5376" s="1" t="s">
        <v>27680</v>
      </c>
      <c r="D5376" s="1" t="s">
        <v>7296</v>
      </c>
      <c r="E5376" s="1" t="s">
        <v>27681</v>
      </c>
      <c r="F5376" s="1" t="s">
        <v>784</v>
      </c>
      <c r="G5376" s="1" t="s">
        <v>27682</v>
      </c>
      <c r="H5376" s="1">
        <v>2017.0</v>
      </c>
      <c r="I5376" s="1" t="s">
        <v>42</v>
      </c>
      <c r="J5376" s="1" t="s">
        <v>106</v>
      </c>
      <c r="K5376" s="1" t="s">
        <v>679</v>
      </c>
      <c r="L5376" s="1" t="s">
        <v>27683</v>
      </c>
      <c r="M5376" s="2" t="s">
        <v>12</v>
      </c>
      <c r="N5376" s="4">
        <f t="shared" si="1"/>
        <v>42931</v>
      </c>
      <c r="O5376" s="5" t="str">
        <f>IFERROR(__xludf.DUMMYFUNCTION("IF(REGEXMATCH(TRIM(I5376), ""^\d+\s*min""), ""Unclassified"", IF(I5376 = """", ""NR"", I5376))"),"TV-MA")</f>
        <v>TV-MA</v>
      </c>
      <c r="R5376" s="5" t="str">
        <f t="shared" si="2"/>
        <v>Amar</v>
      </c>
      <c r="S5376" s="5" t="str">
        <f>IFERROR(__xludf.DUMMYFUNCTION("""COMPUTED_VALUE"""),"Paradise Hills")</f>
        <v>Paradise Hills</v>
      </c>
      <c r="V5376" s="5"/>
      <c r="Y5376" s="5" t="str">
        <f>IFERROR(__xludf.DUMMYFUNCTION("REGEXEXTRACT(J5376, ""^\d+"")"),"104")</f>
        <v>104</v>
      </c>
      <c r="Z5376" s="5" t="str">
        <f>IFERROR(__xludf.DUMMYFUNCTION("REGEXEXTRACT(J5376, ""[A-Za-z ]+$"")")," min")</f>
        <v> min</v>
      </c>
      <c r="AA5376" s="5" t="str">
        <f>IFERROR(__xludf.DUMMYFUNCTION("IF(REGEXMATCH(Z5376, ""Season""), ""TV Show"", ""Movie"")"),"Movie")</f>
        <v>Movie</v>
      </c>
    </row>
    <row r="5377">
      <c r="A5377" s="1" t="s">
        <v>27684</v>
      </c>
      <c r="B5377" s="1" t="s">
        <v>27</v>
      </c>
      <c r="C5377" s="1" t="s">
        <v>27685</v>
      </c>
      <c r="D5377" s="1" t="s">
        <v>9092</v>
      </c>
      <c r="E5377" s="1" t="s">
        <v>27686</v>
      </c>
      <c r="F5377" s="1" t="s">
        <v>30</v>
      </c>
      <c r="G5377" s="1" t="s">
        <v>27687</v>
      </c>
      <c r="H5377" s="1">
        <v>2017.0</v>
      </c>
      <c r="I5377" s="1" t="s">
        <v>289</v>
      </c>
      <c r="J5377" s="1" t="s">
        <v>8386</v>
      </c>
      <c r="K5377" s="1" t="s">
        <v>137</v>
      </c>
      <c r="L5377" s="1" t="s">
        <v>27688</v>
      </c>
      <c r="M5377" s="2" t="s">
        <v>12</v>
      </c>
      <c r="N5377" s="4">
        <f t="shared" si="1"/>
        <v>42930</v>
      </c>
      <c r="O5377" s="5" t="str">
        <f>IFERROR(__xludf.DUMMYFUNCTION("IF(REGEXMATCH(TRIM(I5377), ""^\d+\s*min""), ""Unclassified"", IF(I5377 = """", ""NR"", I5377))"),"TV-Y7")</f>
        <v>TV-Y7</v>
      </c>
      <c r="R5377" s="5" t="str">
        <f t="shared" si="2"/>
        <v>Buddy Thunderstruck: The Maybe Pile</v>
      </c>
      <c r="S5377" s="5" t="str">
        <f>IFERROR(__xludf.DUMMYFUNCTION("""COMPUTED_VALUE"""),"Paradise Lost")</f>
        <v>Paradise Lost</v>
      </c>
      <c r="V5377" s="5"/>
      <c r="Y5377" s="5" t="str">
        <f>IFERROR(__xludf.DUMMYFUNCTION("REGEXEXTRACT(J5377, ""^\d+"")"),"14")</f>
        <v>14</v>
      </c>
      <c r="Z5377" s="5" t="str">
        <f>IFERROR(__xludf.DUMMYFUNCTION("REGEXEXTRACT(J5377, ""[A-Za-z ]+$"")")," min")</f>
        <v> min</v>
      </c>
      <c r="AA5377" s="5" t="str">
        <f>IFERROR(__xludf.DUMMYFUNCTION("IF(REGEXMATCH(Z5377, ""Season""), ""TV Show"", ""Movie"")"),"Movie")</f>
        <v>Movie</v>
      </c>
    </row>
    <row r="5378">
      <c r="A5378" s="1" t="s">
        <v>27689</v>
      </c>
      <c r="B5378" s="1" t="s">
        <v>27</v>
      </c>
      <c r="C5378" s="1" t="s">
        <v>27690</v>
      </c>
      <c r="D5378" s="1" t="s">
        <v>10611</v>
      </c>
      <c r="F5378" s="1" t="s">
        <v>30</v>
      </c>
      <c r="G5378" s="1" t="s">
        <v>27687</v>
      </c>
      <c r="H5378" s="1">
        <v>2017.0</v>
      </c>
      <c r="I5378" s="1" t="s">
        <v>136</v>
      </c>
      <c r="J5378" s="1" t="s">
        <v>1191</v>
      </c>
      <c r="K5378" s="1" t="s">
        <v>34</v>
      </c>
      <c r="L5378" s="1" t="s">
        <v>27691</v>
      </c>
      <c r="M5378" s="2" t="s">
        <v>12</v>
      </c>
      <c r="N5378" s="4">
        <f t="shared" si="1"/>
        <v>42930</v>
      </c>
      <c r="O5378" s="5" t="str">
        <f>IFERROR(__xludf.DUMMYFUNCTION("IF(REGEXMATCH(TRIM(I5378), ""^\d+\s*min""), ""Unclassified"", IF(I5378 = """", ""NR"", I5378))"),"TV-PG")</f>
        <v>TV-PG</v>
      </c>
      <c r="R5378" s="5" t="str">
        <f t="shared" si="2"/>
        <v>Chasing Coral</v>
      </c>
      <c r="S5378" s="5" t="str">
        <f>IFERROR(__xludf.DUMMYFUNCTION("""COMPUTED_VALUE"""),"Paradise Pd")</f>
        <v>Paradise Pd</v>
      </c>
      <c r="V5378" s="5"/>
      <c r="Y5378" s="5" t="str">
        <f>IFERROR(__xludf.DUMMYFUNCTION("REGEXEXTRACT(J5378, ""^\d+"")"),"89")</f>
        <v>89</v>
      </c>
      <c r="Z5378" s="5" t="str">
        <f>IFERROR(__xludf.DUMMYFUNCTION("REGEXEXTRACT(J5378, ""[A-Za-z ]+$"")")," min")</f>
        <v> min</v>
      </c>
      <c r="AA5378" s="5" t="str">
        <f>IFERROR(__xludf.DUMMYFUNCTION("IF(REGEXMATCH(Z5378, ""Season""), ""TV Show"", ""Movie"")"),"Movie")</f>
        <v>Movie</v>
      </c>
    </row>
    <row r="5379">
      <c r="A5379" s="1" t="s">
        <v>27692</v>
      </c>
      <c r="B5379" s="1" t="s">
        <v>27</v>
      </c>
      <c r="C5379" s="1" t="s">
        <v>27693</v>
      </c>
      <c r="D5379" s="1" t="s">
        <v>14998</v>
      </c>
      <c r="E5379" s="1" t="s">
        <v>27694</v>
      </c>
      <c r="F5379" s="1" t="s">
        <v>30</v>
      </c>
      <c r="G5379" s="1" t="s">
        <v>27687</v>
      </c>
      <c r="H5379" s="1">
        <v>2017.0</v>
      </c>
      <c r="I5379" s="1" t="s">
        <v>42</v>
      </c>
      <c r="J5379" s="1" t="s">
        <v>912</v>
      </c>
      <c r="K5379" s="1" t="s">
        <v>1320</v>
      </c>
      <c r="L5379" s="1" t="s">
        <v>27695</v>
      </c>
      <c r="M5379" s="2" t="s">
        <v>12</v>
      </c>
      <c r="N5379" s="4">
        <f t="shared" si="1"/>
        <v>42930</v>
      </c>
      <c r="O5379" s="5" t="str">
        <f>IFERROR(__xludf.DUMMYFUNCTION("IF(REGEXMATCH(TRIM(I5379), ""^\d+\s*min""), ""Unclassified"", IF(I5379 = """", ""NR"", I5379))"),"TV-MA")</f>
        <v>TV-MA</v>
      </c>
      <c r="R5379" s="5" t="str">
        <f t="shared" si="2"/>
        <v>To The Bone</v>
      </c>
      <c r="S5379" s="5" t="str">
        <f>IFERROR(__xludf.DUMMYFUNCTION("""COMPUTED_VALUE"""),"Paradox")</f>
        <v>Paradox</v>
      </c>
      <c r="V5379" s="5"/>
      <c r="Y5379" s="5" t="str">
        <f>IFERROR(__xludf.DUMMYFUNCTION("REGEXEXTRACT(J5379, ""^\d+"")"),"108")</f>
        <v>108</v>
      </c>
      <c r="Z5379" s="5" t="str">
        <f>IFERROR(__xludf.DUMMYFUNCTION("REGEXEXTRACT(J5379, ""[A-Za-z ]+$"")")," min")</f>
        <v> min</v>
      </c>
      <c r="AA5379" s="5" t="str">
        <f>IFERROR(__xludf.DUMMYFUNCTION("IF(REGEXMATCH(Z5379, ""Season""), ""TV Show"", ""Movie"")"),"Movie")</f>
        <v>Movie</v>
      </c>
    </row>
    <row r="5380">
      <c r="A5380" s="1" t="s">
        <v>27696</v>
      </c>
      <c r="B5380" s="1" t="s">
        <v>27</v>
      </c>
      <c r="C5380" s="1" t="s">
        <v>27697</v>
      </c>
      <c r="D5380" s="1" t="s">
        <v>10379</v>
      </c>
      <c r="E5380" s="1" t="s">
        <v>19885</v>
      </c>
      <c r="F5380" s="1" t="s">
        <v>30</v>
      </c>
      <c r="G5380" s="1" t="s">
        <v>27698</v>
      </c>
      <c r="H5380" s="1">
        <v>2014.0</v>
      </c>
      <c r="I5380" s="1" t="s">
        <v>42</v>
      </c>
      <c r="J5380" s="1" t="s">
        <v>1847</v>
      </c>
      <c r="K5380" s="1" t="s">
        <v>1839</v>
      </c>
      <c r="L5380" s="1" t="s">
        <v>27699</v>
      </c>
      <c r="M5380" s="2" t="s">
        <v>12</v>
      </c>
      <c r="N5380" s="4">
        <f t="shared" si="1"/>
        <v>42929</v>
      </c>
      <c r="O5380" s="5" t="str">
        <f>IFERROR(__xludf.DUMMYFUNCTION("IF(REGEXMATCH(TRIM(I5380), ""^\d+\s*min""), ""Unclassified"", IF(I5380 = """", ""NR"", I5380))"),"TV-MA")</f>
        <v>TV-MA</v>
      </c>
      <c r="R5380" s="5" t="str">
        <f t="shared" si="2"/>
        <v>D.L. Hughley: Clear</v>
      </c>
      <c r="S5380" s="5" t="str">
        <f>IFERROR(__xludf.DUMMYFUNCTION("""COMPUTED_VALUE"""),"Paranoia")</f>
        <v>Paranoia</v>
      </c>
      <c r="V5380" s="5"/>
      <c r="Y5380" s="5" t="str">
        <f>IFERROR(__xludf.DUMMYFUNCTION("REGEXEXTRACT(J5380, ""^\d+"")"),"59")</f>
        <v>59</v>
      </c>
      <c r="Z5380" s="5" t="str">
        <f>IFERROR(__xludf.DUMMYFUNCTION("REGEXEXTRACT(J5380, ""[A-Za-z ]+$"")")," min")</f>
        <v> min</v>
      </c>
      <c r="AA5380" s="5" t="str">
        <f>IFERROR(__xludf.DUMMYFUNCTION("IF(REGEXMATCH(Z5380, ""Season""), ""TV Show"", ""Movie"")"),"Movie")</f>
        <v>Movie</v>
      </c>
    </row>
    <row r="5381">
      <c r="A5381" s="1" t="s">
        <v>27700</v>
      </c>
      <c r="B5381" s="1" t="s">
        <v>27</v>
      </c>
      <c r="C5381" s="1" t="s">
        <v>27701</v>
      </c>
      <c r="D5381" s="1" t="s">
        <v>10379</v>
      </c>
      <c r="E5381" s="1" t="s">
        <v>15567</v>
      </c>
      <c r="F5381" s="1" t="s">
        <v>30</v>
      </c>
      <c r="G5381" s="1" t="s">
        <v>27698</v>
      </c>
      <c r="H5381" s="1">
        <v>2014.0</v>
      </c>
      <c r="I5381" s="1" t="s">
        <v>42</v>
      </c>
      <c r="J5381" s="1" t="s">
        <v>2699</v>
      </c>
      <c r="K5381" s="1" t="s">
        <v>1839</v>
      </c>
      <c r="L5381" s="1" t="s">
        <v>27702</v>
      </c>
      <c r="M5381" s="2" t="s">
        <v>12</v>
      </c>
      <c r="N5381" s="4">
        <f t="shared" si="1"/>
        <v>42929</v>
      </c>
      <c r="O5381" s="5" t="str">
        <f>IFERROR(__xludf.DUMMYFUNCTION("IF(REGEXMATCH(TRIM(I5381), ""^\d+\s*min""), ""Unclassified"", IF(I5381 = """", ""NR"", I5381))"),"TV-MA")</f>
        <v>TV-MA</v>
      </c>
      <c r="R5381" s="5" t="str">
        <f t="shared" si="2"/>
        <v>Tom Segura: Completely Normal</v>
      </c>
      <c r="S5381" s="5" t="str">
        <f>IFERROR(__xludf.DUMMYFUNCTION("""COMPUTED_VALUE"""),"Paranoid")</f>
        <v>Paranoid</v>
      </c>
      <c r="V5381" s="5"/>
      <c r="Y5381" s="5" t="str">
        <f>IFERROR(__xludf.DUMMYFUNCTION("REGEXEXTRACT(J5381, ""^\d+"")"),"74")</f>
        <v>74</v>
      </c>
      <c r="Z5381" s="5" t="str">
        <f>IFERROR(__xludf.DUMMYFUNCTION("REGEXEXTRACT(J5381, ""[A-Za-z ]+$"")")," min")</f>
        <v> min</v>
      </c>
      <c r="AA5381" s="5" t="str">
        <f>IFERROR(__xludf.DUMMYFUNCTION("IF(REGEXMATCH(Z5381, ""Season""), ""TV Show"", ""Movie"")"),"Movie")</f>
        <v>Movie</v>
      </c>
    </row>
    <row r="5382">
      <c r="A5382" s="1" t="s">
        <v>27703</v>
      </c>
      <c r="B5382" s="1" t="s">
        <v>37</v>
      </c>
      <c r="C5382" s="1" t="s">
        <v>27704</v>
      </c>
      <c r="E5382" s="1" t="s">
        <v>27705</v>
      </c>
      <c r="F5382" s="1" t="s">
        <v>30</v>
      </c>
      <c r="G5382" s="1" t="s">
        <v>27706</v>
      </c>
      <c r="H5382" s="1">
        <v>2017.0</v>
      </c>
      <c r="I5382" s="1" t="s">
        <v>289</v>
      </c>
      <c r="J5382" s="1" t="s">
        <v>148</v>
      </c>
      <c r="K5382" s="1" t="s">
        <v>290</v>
      </c>
      <c r="L5382" s="1" t="s">
        <v>27707</v>
      </c>
      <c r="M5382" s="2" t="s">
        <v>12</v>
      </c>
      <c r="N5382" s="4">
        <f t="shared" si="1"/>
        <v>42923</v>
      </c>
      <c r="O5382" s="5" t="str">
        <f>IFERROR(__xludf.DUMMYFUNCTION("IF(REGEXMATCH(TRIM(I5382), ""^\d+\s*min""), ""Unclassified"", IF(I5382 = """", ""NR"", I5382))"),"TV-Y7")</f>
        <v>TV-Y7</v>
      </c>
      <c r="R5382" s="5" t="str">
        <f t="shared" si="2"/>
        <v>Dawn Of The Croods</v>
      </c>
      <c r="S5382" s="5" t="str">
        <f>IFERROR(__xludf.DUMMYFUNCTION("""COMPUTED_VALUE"""),"Paranormal")</f>
        <v>Paranormal</v>
      </c>
      <c r="V5382" s="5"/>
      <c r="Y5382" s="5" t="str">
        <f>IFERROR(__xludf.DUMMYFUNCTION("REGEXEXTRACT(J5382, ""^\d+"")"),"4")</f>
        <v>4</v>
      </c>
      <c r="Z5382" s="5" t="str">
        <f>IFERROR(__xludf.DUMMYFUNCTION("REGEXEXTRACT(J5382, ""[A-Za-z ]+$"")")," Seasons")</f>
        <v> Seasons</v>
      </c>
      <c r="AA5382" s="5" t="str">
        <f>IFERROR(__xludf.DUMMYFUNCTION("IF(REGEXMATCH(Z5382, ""Season""), ""TV Show"", ""Movie"")"),"TV Show")</f>
        <v>TV Show</v>
      </c>
    </row>
    <row r="5383">
      <c r="A5383" s="1" t="s">
        <v>27708</v>
      </c>
      <c r="B5383" s="1" t="s">
        <v>37</v>
      </c>
      <c r="C5383" s="1" t="s">
        <v>27709</v>
      </c>
      <c r="D5383" s="1" t="s">
        <v>21477</v>
      </c>
      <c r="E5383" s="1" t="s">
        <v>27710</v>
      </c>
      <c r="F5383" s="1" t="s">
        <v>1106</v>
      </c>
      <c r="G5383" s="1" t="s">
        <v>27706</v>
      </c>
      <c r="H5383" s="1">
        <v>2017.0</v>
      </c>
      <c r="I5383" s="1" t="s">
        <v>97</v>
      </c>
      <c r="J5383" s="1" t="s">
        <v>148</v>
      </c>
      <c r="K5383" s="1" t="s">
        <v>1830</v>
      </c>
      <c r="L5383" s="1" t="s">
        <v>27711</v>
      </c>
      <c r="M5383" s="2" t="s">
        <v>12</v>
      </c>
      <c r="N5383" s="4">
        <f t="shared" si="1"/>
        <v>42923</v>
      </c>
      <c r="O5383" s="5" t="str">
        <f>IFERROR(__xludf.DUMMYFUNCTION("IF(REGEXMATCH(TRIM(I5383), ""^\d+\s*min""), ""Unclassified"", IF(I5383 = """", ""NR"", I5383))"),"TV-14")</f>
        <v>TV-14</v>
      </c>
      <c r="R5383" s="5" t="str">
        <f t="shared" si="2"/>
        <v>Degrassi: Next Class</v>
      </c>
      <c r="S5383" s="5" t="str">
        <f>IFERROR(__xludf.DUMMYFUNCTION("""COMPUTED_VALUE"""),"Paranormal Activity")</f>
        <v>Paranormal Activity</v>
      </c>
      <c r="V5383" s="5"/>
      <c r="Y5383" s="5" t="str">
        <f>IFERROR(__xludf.DUMMYFUNCTION("REGEXEXTRACT(J5383, ""^\d+"")"),"4")</f>
        <v>4</v>
      </c>
      <c r="Z5383" s="5" t="str">
        <f>IFERROR(__xludf.DUMMYFUNCTION("REGEXEXTRACT(J5383, ""[A-Za-z ]+$"")")," Seasons")</f>
        <v> Seasons</v>
      </c>
      <c r="AA5383" s="5" t="str">
        <f>IFERROR(__xludf.DUMMYFUNCTION("IF(REGEXMATCH(Z5383, ""Season""), ""TV Show"", ""Movie"")"),"TV Show")</f>
        <v>TV Show</v>
      </c>
    </row>
    <row r="5384">
      <c r="A5384" s="1" t="s">
        <v>27712</v>
      </c>
      <c r="B5384" s="1" t="s">
        <v>37</v>
      </c>
      <c r="C5384" s="1" t="s">
        <v>27713</v>
      </c>
      <c r="E5384" s="1" t="s">
        <v>27714</v>
      </c>
      <c r="F5384" s="1" t="s">
        <v>3892</v>
      </c>
      <c r="G5384" s="1" t="s">
        <v>27706</v>
      </c>
      <c r="H5384" s="1">
        <v>2015.0</v>
      </c>
      <c r="I5384" s="1" t="s">
        <v>136</v>
      </c>
      <c r="J5384" s="1" t="s">
        <v>51</v>
      </c>
      <c r="K5384" s="1" t="s">
        <v>1907</v>
      </c>
      <c r="L5384" s="1" t="s">
        <v>27715</v>
      </c>
      <c r="M5384" s="2" t="s">
        <v>12</v>
      </c>
      <c r="N5384" s="4">
        <f t="shared" si="1"/>
        <v>42923</v>
      </c>
      <c r="O5384" s="5" t="str">
        <f>IFERROR(__xludf.DUMMYFUNCTION("IF(REGEXMATCH(TRIM(I5384), ""^\d+\s*min""), ""Unclassified"", IF(I5384 = """", ""NR"", I5384))"),"TV-PG")</f>
        <v>TV-PG</v>
      </c>
      <c r="R5384" s="5" t="str">
        <f t="shared" si="2"/>
        <v>Diamond Lover</v>
      </c>
      <c r="S5384" s="5" t="str">
        <f>IFERROR(__xludf.DUMMYFUNCTION("""COMPUTED_VALUE"""),"Paranormal Investigation")</f>
        <v>Paranormal Investigation</v>
      </c>
      <c r="V5384" s="5"/>
      <c r="Y5384" s="5" t="str">
        <f>IFERROR(__xludf.DUMMYFUNCTION("REGEXEXTRACT(J5384, ""^\d+"")"),"1")</f>
        <v>1</v>
      </c>
      <c r="Z5384" s="5" t="str">
        <f>IFERROR(__xludf.DUMMYFUNCTION("REGEXEXTRACT(J5384, ""[A-Za-z ]+$"")")," Season")</f>
        <v> Season</v>
      </c>
      <c r="AA5384" s="5" t="str">
        <f>IFERROR(__xludf.DUMMYFUNCTION("IF(REGEXMATCH(Z5384, ""Season""), ""TV Show"", ""Movie"")"),"TV Show")</f>
        <v>TV Show</v>
      </c>
    </row>
    <row r="5385">
      <c r="A5385" s="1" t="s">
        <v>27716</v>
      </c>
      <c r="B5385" s="1" t="s">
        <v>37</v>
      </c>
      <c r="C5385" s="1" t="s">
        <v>27717</v>
      </c>
      <c r="E5385" s="1" t="s">
        <v>27718</v>
      </c>
      <c r="F5385" s="1" t="s">
        <v>3892</v>
      </c>
      <c r="G5385" s="1" t="s">
        <v>27706</v>
      </c>
      <c r="H5385" s="1">
        <v>2012.0</v>
      </c>
      <c r="I5385" s="1" t="s">
        <v>97</v>
      </c>
      <c r="J5385" s="1" t="s">
        <v>51</v>
      </c>
      <c r="K5385" s="1" t="s">
        <v>402</v>
      </c>
      <c r="L5385" s="1" t="s">
        <v>27719</v>
      </c>
      <c r="M5385" s="2" t="s">
        <v>12</v>
      </c>
      <c r="N5385" s="4">
        <f t="shared" si="1"/>
        <v>42923</v>
      </c>
      <c r="O5385" s="5" t="str">
        <f>IFERROR(__xludf.DUMMYFUNCTION("IF(REGEXMATCH(TRIM(I5385), ""^\d+\s*min""), ""Unclassified"", IF(I5385 = """", ""NR"", I5385))"),"TV-14")</f>
        <v>TV-14</v>
      </c>
      <c r="R5385" s="5" t="str">
        <f t="shared" si="2"/>
        <v>King’S War</v>
      </c>
      <c r="S5385" s="5" t="str">
        <f>IFERROR(__xludf.DUMMYFUNCTION("""COMPUTED_VALUE"""),"Paranormal Survivor")</f>
        <v>Paranormal Survivor</v>
      </c>
      <c r="V5385" s="5"/>
      <c r="Y5385" s="5" t="str">
        <f>IFERROR(__xludf.DUMMYFUNCTION("REGEXEXTRACT(J5385, ""^\d+"")"),"1")</f>
        <v>1</v>
      </c>
      <c r="Z5385" s="5" t="str">
        <f>IFERROR(__xludf.DUMMYFUNCTION("REGEXEXTRACT(J5385, ""[A-Za-z ]+$"")")," Season")</f>
        <v> Season</v>
      </c>
      <c r="AA5385" s="5" t="str">
        <f>IFERROR(__xludf.DUMMYFUNCTION("IF(REGEXMATCH(Z5385, ""Season""), ""TV Show"", ""Movie"")"),"TV Show")</f>
        <v>TV Show</v>
      </c>
    </row>
    <row r="5386">
      <c r="A5386" s="1" t="s">
        <v>27720</v>
      </c>
      <c r="B5386" s="1" t="s">
        <v>37</v>
      </c>
      <c r="C5386" s="1" t="s">
        <v>27721</v>
      </c>
      <c r="E5386" s="1" t="s">
        <v>27722</v>
      </c>
      <c r="F5386" s="1" t="s">
        <v>3892</v>
      </c>
      <c r="G5386" s="1" t="s">
        <v>27706</v>
      </c>
      <c r="H5386" s="1">
        <v>2012.0</v>
      </c>
      <c r="I5386" s="1" t="s">
        <v>97</v>
      </c>
      <c r="J5386" s="1" t="s">
        <v>51</v>
      </c>
      <c r="K5386" s="1" t="s">
        <v>402</v>
      </c>
      <c r="L5386" s="1" t="s">
        <v>27723</v>
      </c>
      <c r="M5386" s="2" t="s">
        <v>12</v>
      </c>
      <c r="N5386" s="4">
        <f t="shared" si="1"/>
        <v>42923</v>
      </c>
      <c r="O5386" s="5" t="str">
        <f>IFERROR(__xludf.DUMMYFUNCTION("IF(REGEXMATCH(TRIM(I5386), ""^\d+\s*min""), ""Unclassified"", IF(I5386 = """", ""NR"", I5386))"),"TV-14")</f>
        <v>TV-14</v>
      </c>
      <c r="R5386" s="5" t="str">
        <f t="shared" si="2"/>
        <v>Qin Empire: Alliance</v>
      </c>
      <c r="S5386" s="5" t="str">
        <f>IFERROR(__xludf.DUMMYFUNCTION("""COMPUTED_VALUE"""),"Paranorman")</f>
        <v>Paranorman</v>
      </c>
      <c r="V5386" s="5"/>
      <c r="Y5386" s="5" t="str">
        <f>IFERROR(__xludf.DUMMYFUNCTION("REGEXEXTRACT(J5386, ""^\d+"")"),"1")</f>
        <v>1</v>
      </c>
      <c r="Z5386" s="5" t="str">
        <f>IFERROR(__xludf.DUMMYFUNCTION("REGEXEXTRACT(J5386, ""[A-Za-z ]+$"")")," Season")</f>
        <v> Season</v>
      </c>
      <c r="AA5386" s="5" t="str">
        <f>IFERROR(__xludf.DUMMYFUNCTION("IF(REGEXMATCH(Z5386, ""Season""), ""TV Show"", ""Movie"")"),"TV Show")</f>
        <v>TV Show</v>
      </c>
    </row>
    <row r="5387">
      <c r="A5387" s="1" t="s">
        <v>27724</v>
      </c>
      <c r="B5387" s="1" t="s">
        <v>27</v>
      </c>
      <c r="C5387" s="1" t="s">
        <v>27725</v>
      </c>
      <c r="D5387" s="1" t="s">
        <v>17639</v>
      </c>
      <c r="E5387" s="1" t="s">
        <v>27726</v>
      </c>
      <c r="F5387" s="1" t="s">
        <v>30</v>
      </c>
      <c r="G5387" s="1" t="s">
        <v>27706</v>
      </c>
      <c r="H5387" s="1">
        <v>2017.0</v>
      </c>
      <c r="I5387" s="1" t="s">
        <v>42</v>
      </c>
      <c r="J5387" s="1" t="s">
        <v>1608</v>
      </c>
      <c r="K5387" s="1" t="s">
        <v>1749</v>
      </c>
      <c r="L5387" s="1" t="s">
        <v>27727</v>
      </c>
      <c r="M5387" s="2" t="s">
        <v>12</v>
      </c>
      <c r="N5387" s="4">
        <f t="shared" si="1"/>
        <v>42923</v>
      </c>
      <c r="O5387" s="5" t="str">
        <f>IFERROR(__xludf.DUMMYFUNCTION("IF(REGEXMATCH(TRIM(I5387), ""^\d+\s*min""), ""Unclassified"", IF(I5387 = """", ""NR"", I5387))"),"TV-MA")</f>
        <v>TV-MA</v>
      </c>
      <c r="R5387" s="5" t="str">
        <f t="shared" si="2"/>
        <v>Take Me</v>
      </c>
      <c r="S5387" s="5" t="str">
        <f>IFERROR(__xludf.DUMMYFUNCTION("""COMPUTED_VALUE"""),"Parasyte: The Maxim")</f>
        <v>Parasyte: The Maxim</v>
      </c>
      <c r="V5387" s="5"/>
      <c r="Y5387" s="5" t="str">
        <f>IFERROR(__xludf.DUMMYFUNCTION("REGEXEXTRACT(J5387, ""^\d+"")"),"84")</f>
        <v>84</v>
      </c>
      <c r="Z5387" s="5" t="str">
        <f>IFERROR(__xludf.DUMMYFUNCTION("REGEXEXTRACT(J5387, ""[A-Za-z ]+$"")")," min")</f>
        <v> min</v>
      </c>
      <c r="AA5387" s="5" t="str">
        <f>IFERROR(__xludf.DUMMYFUNCTION("IF(REGEXMATCH(Z5387, ""Season""), ""TV Show"", ""Movie"")"),"Movie")</f>
        <v>Movie</v>
      </c>
    </row>
    <row r="5388">
      <c r="A5388" s="1" t="s">
        <v>27728</v>
      </c>
      <c r="B5388" s="1" t="s">
        <v>37</v>
      </c>
      <c r="C5388" s="1" t="s">
        <v>27729</v>
      </c>
      <c r="E5388" s="1" t="s">
        <v>27730</v>
      </c>
      <c r="F5388" s="1" t="s">
        <v>3892</v>
      </c>
      <c r="G5388" s="1" t="s">
        <v>27706</v>
      </c>
      <c r="H5388" s="1">
        <v>2008.0</v>
      </c>
      <c r="I5388" s="1" t="s">
        <v>97</v>
      </c>
      <c r="J5388" s="1" t="s">
        <v>51</v>
      </c>
      <c r="K5388" s="1" t="s">
        <v>190</v>
      </c>
      <c r="L5388" s="1" t="s">
        <v>27731</v>
      </c>
      <c r="M5388" s="2" t="s">
        <v>12</v>
      </c>
      <c r="N5388" s="4">
        <f t="shared" si="1"/>
        <v>42923</v>
      </c>
      <c r="O5388" s="5" t="str">
        <f>IFERROR(__xludf.DUMMYFUNCTION("IF(REGEXMATCH(TRIM(I5388), ""^\d+\s*min""), ""Unclassified"", IF(I5388 = """", ""NR"", I5388))"),"TV-14")</f>
        <v>TV-14</v>
      </c>
      <c r="R5388" s="5" t="str">
        <f t="shared" si="2"/>
        <v>The Legend Of Bruce Lee</v>
      </c>
      <c r="S5388" s="5" t="str">
        <f>IFERROR(__xludf.DUMMYFUNCTION("""COMPUTED_VALUE"""),"Parchís: The Documentary")</f>
        <v>Parchís: The Documentary</v>
      </c>
      <c r="V5388" s="5"/>
      <c r="Y5388" s="5" t="str">
        <f>IFERROR(__xludf.DUMMYFUNCTION("REGEXEXTRACT(J5388, ""^\d+"")"),"1")</f>
        <v>1</v>
      </c>
      <c r="Z5388" s="5" t="str">
        <f>IFERROR(__xludf.DUMMYFUNCTION("REGEXEXTRACT(J5388, ""[A-Za-z ]+$"")")," Season")</f>
        <v> Season</v>
      </c>
      <c r="AA5388" s="5" t="str">
        <f>IFERROR(__xludf.DUMMYFUNCTION("IF(REGEXMATCH(Z5388, ""Season""), ""TV Show"", ""Movie"")"),"TV Show")</f>
        <v>TV Show</v>
      </c>
    </row>
    <row r="5389">
      <c r="A5389" s="1" t="s">
        <v>27732</v>
      </c>
      <c r="B5389" s="1" t="s">
        <v>27</v>
      </c>
      <c r="C5389" s="1" t="s">
        <v>27733</v>
      </c>
      <c r="D5389" s="1" t="s">
        <v>16861</v>
      </c>
      <c r="E5389" s="1" t="s">
        <v>27734</v>
      </c>
      <c r="F5389" s="1" t="s">
        <v>664</v>
      </c>
      <c r="G5389" s="1" t="s">
        <v>27735</v>
      </c>
      <c r="H5389" s="1">
        <v>2012.0</v>
      </c>
      <c r="I5389" s="1" t="s">
        <v>97</v>
      </c>
      <c r="J5389" s="1" t="s">
        <v>247</v>
      </c>
      <c r="K5389" s="1" t="s">
        <v>583</v>
      </c>
      <c r="L5389" s="1" t="s">
        <v>27736</v>
      </c>
      <c r="M5389" s="2" t="s">
        <v>12</v>
      </c>
      <c r="N5389" s="4">
        <f t="shared" si="1"/>
        <v>42917</v>
      </c>
      <c r="O5389" s="5" t="str">
        <f>IFERROR(__xludf.DUMMYFUNCTION("IF(REGEXMATCH(TRIM(I5389), ""^\d+\s*min""), ""Unclassified"", IF(I5389 = """", ""NR"", I5389))"),"TV-14")</f>
        <v>TV-14</v>
      </c>
      <c r="R5389" s="5" t="str">
        <f t="shared" si="2"/>
        <v>10 Jours En Or</v>
      </c>
      <c r="S5389" s="5" t="str">
        <f>IFERROR(__xludf.DUMMYFUNCTION("""COMPUTED_VALUE"""),"Pardes")</f>
        <v>Pardes</v>
      </c>
      <c r="V5389" s="5"/>
      <c r="Y5389" s="5" t="str">
        <f>IFERROR(__xludf.DUMMYFUNCTION("REGEXEXTRACT(J5389, ""^\d+"")"),"97")</f>
        <v>97</v>
      </c>
      <c r="Z5389" s="5" t="str">
        <f>IFERROR(__xludf.DUMMYFUNCTION("REGEXEXTRACT(J5389, ""[A-Za-z ]+$"")")," min")</f>
        <v> min</v>
      </c>
      <c r="AA5389" s="5" t="str">
        <f>IFERROR(__xludf.DUMMYFUNCTION("IF(REGEXMATCH(Z5389, ""Season""), ""TV Show"", ""Movie"")"),"Movie")</f>
        <v>Movie</v>
      </c>
    </row>
    <row r="5390">
      <c r="A5390" s="1" t="s">
        <v>27737</v>
      </c>
      <c r="B5390" s="1" t="s">
        <v>37</v>
      </c>
      <c r="C5390" s="1">
        <v>46.0</v>
      </c>
      <c r="D5390" s="1" t="s">
        <v>20777</v>
      </c>
      <c r="E5390" s="1" t="s">
        <v>27738</v>
      </c>
      <c r="F5390" s="1" t="s">
        <v>188</v>
      </c>
      <c r="G5390" s="1" t="s">
        <v>27735</v>
      </c>
      <c r="H5390" s="1">
        <v>2016.0</v>
      </c>
      <c r="I5390" s="1" t="s">
        <v>42</v>
      </c>
      <c r="J5390" s="1" t="s">
        <v>51</v>
      </c>
      <c r="K5390" s="1" t="s">
        <v>44</v>
      </c>
      <c r="L5390" s="1" t="s">
        <v>27739</v>
      </c>
      <c r="M5390" s="2" t="s">
        <v>12</v>
      </c>
      <c r="N5390" s="4">
        <f t="shared" si="1"/>
        <v>42917</v>
      </c>
      <c r="O5390" s="5" t="str">
        <f>IFERROR(__xludf.DUMMYFUNCTION("IF(REGEXMATCH(TRIM(I5390), ""^\d+\s*min""), ""Unclassified"", IF(I5390 = """", ""NR"", I5390))"),"TV-MA")</f>
        <v>TV-MA</v>
      </c>
      <c r="R5390" s="5" t="str">
        <f t="shared" si="2"/>
        <v>46</v>
      </c>
      <c r="S5390" s="5" t="str">
        <f>IFERROR(__xludf.DUMMYFUNCTION("""COMPUTED_VALUE"""),"Pareeth Pandaari")</f>
        <v>Pareeth Pandaari</v>
      </c>
      <c r="V5390" s="5"/>
      <c r="Y5390" s="5" t="str">
        <f>IFERROR(__xludf.DUMMYFUNCTION("REGEXEXTRACT(J5390, ""^\d+"")"),"1")</f>
        <v>1</v>
      </c>
      <c r="Z5390" s="5" t="str">
        <f>IFERROR(__xludf.DUMMYFUNCTION("REGEXEXTRACT(J5390, ""[A-Za-z ]+$"")")," Season")</f>
        <v> Season</v>
      </c>
      <c r="AA5390" s="5" t="str">
        <f>IFERROR(__xludf.DUMMYFUNCTION("IF(REGEXMATCH(Z5390, ""Season""), ""TV Show"", ""Movie"")"),"TV Show")</f>
        <v>TV Show</v>
      </c>
    </row>
    <row r="5391">
      <c r="A5391" s="1" t="s">
        <v>27740</v>
      </c>
      <c r="B5391" s="1" t="s">
        <v>27</v>
      </c>
      <c r="C5391" s="1" t="s">
        <v>27741</v>
      </c>
      <c r="D5391" s="1" t="s">
        <v>2544</v>
      </c>
      <c r="E5391" s="1" t="s">
        <v>27742</v>
      </c>
      <c r="F5391" s="1" t="s">
        <v>221</v>
      </c>
      <c r="G5391" s="1" t="s">
        <v>27735</v>
      </c>
      <c r="H5391" s="1">
        <v>2011.0</v>
      </c>
      <c r="I5391" s="1" t="s">
        <v>78</v>
      </c>
      <c r="J5391" s="1" t="s">
        <v>465</v>
      </c>
      <c r="K5391" s="1" t="s">
        <v>8533</v>
      </c>
      <c r="L5391" s="1" t="s">
        <v>27743</v>
      </c>
      <c r="M5391" s="2" t="s">
        <v>12</v>
      </c>
      <c r="N5391" s="4">
        <f t="shared" si="1"/>
        <v>42917</v>
      </c>
      <c r="O5391" s="5" t="str">
        <f>IFERROR(__xludf.DUMMYFUNCTION("IF(REGEXMATCH(TRIM(I5391), ""^\d+\s*min""), ""Unclassified"", IF(I5391 = """", ""NR"", I5391))"),"PG")</f>
        <v>PG</v>
      </c>
      <c r="R5391" s="5" t="str">
        <f t="shared" si="2"/>
        <v>A 2Nd Chance</v>
      </c>
      <c r="S5391" s="5" t="str">
        <f>IFERROR(__xludf.DUMMYFUNCTION("""COMPUTED_VALUE"""),"Pari")</f>
        <v>Pari</v>
      </c>
      <c r="V5391" s="5"/>
      <c r="Y5391" s="5" t="str">
        <f>IFERROR(__xludf.DUMMYFUNCTION("REGEXEXTRACT(J5391, ""^\d+"")"),"95")</f>
        <v>95</v>
      </c>
      <c r="Z5391" s="5" t="str">
        <f>IFERROR(__xludf.DUMMYFUNCTION("REGEXEXTRACT(J5391, ""[A-Za-z ]+$"")")," min")</f>
        <v> min</v>
      </c>
      <c r="AA5391" s="5" t="str">
        <f>IFERROR(__xludf.DUMMYFUNCTION("IF(REGEXMATCH(Z5391, ""Season""), ""TV Show"", ""Movie"")"),"Movie")</f>
        <v>Movie</v>
      </c>
    </row>
    <row r="5392">
      <c r="A5392" s="1" t="s">
        <v>27744</v>
      </c>
      <c r="B5392" s="1" t="s">
        <v>37</v>
      </c>
      <c r="C5392" s="1" t="s">
        <v>27745</v>
      </c>
      <c r="E5392" s="1" t="s">
        <v>27746</v>
      </c>
      <c r="F5392" s="1" t="s">
        <v>9219</v>
      </c>
      <c r="G5392" s="1" t="s">
        <v>27735</v>
      </c>
      <c r="H5392" s="1">
        <v>2014.0</v>
      </c>
      <c r="I5392" s="1" t="s">
        <v>97</v>
      </c>
      <c r="J5392" s="1" t="s">
        <v>51</v>
      </c>
      <c r="K5392" s="1" t="s">
        <v>1362</v>
      </c>
      <c r="L5392" s="1" t="s">
        <v>27747</v>
      </c>
      <c r="M5392" s="2" t="s">
        <v>12</v>
      </c>
      <c r="N5392" s="4">
        <f t="shared" si="1"/>
        <v>42917</v>
      </c>
      <c r="O5392" s="5" t="str">
        <f>IFERROR(__xludf.DUMMYFUNCTION("IF(REGEXMATCH(TRIM(I5392), ""^\d+\s*min""), ""Unclassified"", IF(I5392 = """", ""NR"", I5392))"),"TV-14")</f>
        <v>TV-14</v>
      </c>
      <c r="R5392" s="5" t="str">
        <f t="shared" si="2"/>
        <v>Against The Tide</v>
      </c>
      <c r="S5392" s="5" t="str">
        <f>IFERROR(__xludf.DUMMYFUNCTION("""COMPUTED_VALUE"""),"Paris Is Burning")</f>
        <v>Paris Is Burning</v>
      </c>
      <c r="V5392" s="5"/>
      <c r="Y5392" s="5" t="str">
        <f>IFERROR(__xludf.DUMMYFUNCTION("REGEXEXTRACT(J5392, ""^\d+"")"),"1")</f>
        <v>1</v>
      </c>
      <c r="Z5392" s="5" t="str">
        <f>IFERROR(__xludf.DUMMYFUNCTION("REGEXEXTRACT(J5392, ""[A-Za-z ]+$"")")," Season")</f>
        <v> Season</v>
      </c>
      <c r="AA5392" s="5" t="str">
        <f>IFERROR(__xludf.DUMMYFUNCTION("IF(REGEXMATCH(Z5392, ""Season""), ""TV Show"", ""Movie"")"),"TV Show")</f>
        <v>TV Show</v>
      </c>
    </row>
    <row r="5393">
      <c r="A5393" s="1" t="s">
        <v>27748</v>
      </c>
      <c r="B5393" s="1" t="s">
        <v>27</v>
      </c>
      <c r="C5393" s="1" t="s">
        <v>27749</v>
      </c>
      <c r="D5393" s="1" t="s">
        <v>13604</v>
      </c>
      <c r="E5393" s="1" t="s">
        <v>27750</v>
      </c>
      <c r="F5393" s="1" t="s">
        <v>63</v>
      </c>
      <c r="G5393" s="1" t="s">
        <v>27735</v>
      </c>
      <c r="H5393" s="1">
        <v>1966.0</v>
      </c>
      <c r="I5393" s="1" t="s">
        <v>136</v>
      </c>
      <c r="J5393" s="1" t="s">
        <v>349</v>
      </c>
      <c r="K5393" s="1" t="s">
        <v>1429</v>
      </c>
      <c r="L5393" s="1" t="s">
        <v>27751</v>
      </c>
      <c r="M5393" s="2" t="s">
        <v>12</v>
      </c>
      <c r="N5393" s="4">
        <f t="shared" si="1"/>
        <v>42917</v>
      </c>
      <c r="O5393" s="5" t="str">
        <f>IFERROR(__xludf.DUMMYFUNCTION("IF(REGEXMATCH(TRIM(I5393), ""^\d+\s*min""), ""Unclassified"", IF(I5393 = """", ""NR"", I5393))"),"TV-PG")</f>
        <v>TV-PG</v>
      </c>
      <c r="R5393" s="5" t="str">
        <f t="shared" si="2"/>
        <v>Amrapali</v>
      </c>
      <c r="S5393" s="5" t="str">
        <f>IFERROR(__xludf.DUMMYFUNCTION("""COMPUTED_VALUE"""),"Paris Is Us")</f>
        <v>Paris Is Us</v>
      </c>
      <c r="V5393" s="5"/>
      <c r="Y5393" s="5" t="str">
        <f>IFERROR(__xludf.DUMMYFUNCTION("REGEXEXTRACT(J5393, ""^\d+"")"),"116")</f>
        <v>116</v>
      </c>
      <c r="Z5393" s="5" t="str">
        <f>IFERROR(__xludf.DUMMYFUNCTION("REGEXEXTRACT(J5393, ""[A-Za-z ]+$"")")," min")</f>
        <v> min</v>
      </c>
      <c r="AA5393" s="5" t="str">
        <f>IFERROR(__xludf.DUMMYFUNCTION("IF(REGEXMATCH(Z5393, ""Season""), ""TV Show"", ""Movie"")"),"Movie")</f>
        <v>Movie</v>
      </c>
    </row>
    <row r="5394">
      <c r="A5394" s="1" t="s">
        <v>27752</v>
      </c>
      <c r="B5394" s="1" t="s">
        <v>37</v>
      </c>
      <c r="C5394" s="1" t="s">
        <v>27753</v>
      </c>
      <c r="E5394" s="1" t="s">
        <v>27754</v>
      </c>
      <c r="F5394" s="1" t="s">
        <v>897</v>
      </c>
      <c r="G5394" s="1" t="s">
        <v>27735</v>
      </c>
      <c r="H5394" s="1">
        <v>2012.0</v>
      </c>
      <c r="I5394" s="1" t="s">
        <v>206</v>
      </c>
      <c r="J5394" s="1" t="s">
        <v>51</v>
      </c>
      <c r="K5394" s="1" t="s">
        <v>314</v>
      </c>
      <c r="L5394" s="1" t="s">
        <v>27755</v>
      </c>
      <c r="M5394" s="2" t="s">
        <v>12</v>
      </c>
      <c r="N5394" s="4">
        <f t="shared" si="1"/>
        <v>42917</v>
      </c>
      <c r="O5394" s="5" t="str">
        <f>IFERROR(__xludf.DUMMYFUNCTION("IF(REGEXMATCH(TRIM(I5394), ""^\d+\s*min""), ""Unclassified"", IF(I5394 = """", ""NR"", I5394))"),"TV-Y")</f>
        <v>TV-Y</v>
      </c>
      <c r="R5394" s="5" t="str">
        <f t="shared" si="2"/>
        <v>Barbie Life In The Dreamhouse</v>
      </c>
      <c r="S5394" s="5" t="str">
        <f>IFERROR(__xludf.DUMMYFUNCTION("""COMPUTED_VALUE"""),"Park Na-Rae: Glamour Warning")</f>
        <v>Park Na-Rae: Glamour Warning</v>
      </c>
      <c r="V5394" s="5"/>
      <c r="Y5394" s="5" t="str">
        <f>IFERROR(__xludf.DUMMYFUNCTION("REGEXEXTRACT(J5394, ""^\d+"")"),"1")</f>
        <v>1</v>
      </c>
      <c r="Z5394" s="5" t="str">
        <f>IFERROR(__xludf.DUMMYFUNCTION("REGEXEXTRACT(J5394, ""[A-Za-z ]+$"")")," Season")</f>
        <v> Season</v>
      </c>
      <c r="AA5394" s="5" t="str">
        <f>IFERROR(__xludf.DUMMYFUNCTION("IF(REGEXMATCH(Z5394, ""Season""), ""TV Show"", ""Movie"")"),"TV Show")</f>
        <v>TV Show</v>
      </c>
    </row>
    <row r="5395">
      <c r="A5395" s="1" t="s">
        <v>27756</v>
      </c>
      <c r="B5395" s="1" t="s">
        <v>37</v>
      </c>
      <c r="C5395" s="1" t="s">
        <v>27757</v>
      </c>
      <c r="E5395" s="1" t="s">
        <v>27758</v>
      </c>
      <c r="G5395" s="1" t="s">
        <v>27735</v>
      </c>
      <c r="H5395" s="1">
        <v>2010.0</v>
      </c>
      <c r="I5395" s="1" t="s">
        <v>97</v>
      </c>
      <c r="J5395" s="1" t="s">
        <v>51</v>
      </c>
      <c r="K5395" s="1" t="s">
        <v>402</v>
      </c>
      <c r="L5395" s="1" t="s">
        <v>27759</v>
      </c>
      <c r="M5395" s="2" t="s">
        <v>12</v>
      </c>
      <c r="N5395" s="4">
        <f t="shared" si="1"/>
        <v>42917</v>
      </c>
      <c r="O5395" s="5" t="str">
        <f>IFERROR(__xludf.DUMMYFUNCTION("IF(REGEXMATCH(TRIM(I5395), ""^\d+\s*min""), ""Unclassified"", IF(I5395 = """", ""NR"", I5395))"),"TV-14")</f>
        <v>TV-14</v>
      </c>
      <c r="R5395" s="5" t="str">
        <f t="shared" si="2"/>
        <v>Breakout</v>
      </c>
      <c r="S5395" s="5" t="str">
        <f>IFERROR(__xludf.DUMMYFUNCTION("""COMPUTED_VALUE"""),"Parker")</f>
        <v>Parker</v>
      </c>
      <c r="V5395" s="5"/>
      <c r="Y5395" s="5" t="str">
        <f>IFERROR(__xludf.DUMMYFUNCTION("REGEXEXTRACT(J5395, ""^\d+"")"),"1")</f>
        <v>1</v>
      </c>
      <c r="Z5395" s="5" t="str">
        <f>IFERROR(__xludf.DUMMYFUNCTION("REGEXEXTRACT(J5395, ""[A-Za-z ]+$"")")," Season")</f>
        <v> Season</v>
      </c>
      <c r="AA5395" s="5" t="str">
        <f>IFERROR(__xludf.DUMMYFUNCTION("IF(REGEXMATCH(Z5395, ""Season""), ""TV Show"", ""Movie"")"),"TV Show")</f>
        <v>TV Show</v>
      </c>
    </row>
    <row r="5396">
      <c r="A5396" s="1" t="s">
        <v>27760</v>
      </c>
      <c r="B5396" s="1" t="s">
        <v>27</v>
      </c>
      <c r="C5396" s="1" t="s">
        <v>27761</v>
      </c>
      <c r="D5396" s="1" t="s">
        <v>27762</v>
      </c>
      <c r="E5396" s="1" t="s">
        <v>27763</v>
      </c>
      <c r="F5396" s="1" t="s">
        <v>4615</v>
      </c>
      <c r="G5396" s="1" t="s">
        <v>27735</v>
      </c>
      <c r="H5396" s="1">
        <v>2018.0</v>
      </c>
      <c r="I5396" s="1" t="s">
        <v>42</v>
      </c>
      <c r="J5396" s="1" t="s">
        <v>1144</v>
      </c>
      <c r="K5396" s="1" t="s">
        <v>1839</v>
      </c>
      <c r="L5396" s="1" t="s">
        <v>27764</v>
      </c>
      <c r="M5396" s="2" t="s">
        <v>12</v>
      </c>
      <c r="N5396" s="4">
        <f t="shared" si="1"/>
        <v>42917</v>
      </c>
      <c r="O5396" s="5" t="str">
        <f>IFERROR(__xludf.DUMMYFUNCTION("IF(REGEXMATCH(TRIM(I5396), ""^\d+\s*min""), ""Unclassified"", IF(I5396 = """", ""NR"", I5396))"),"TV-MA")</f>
        <v>TV-MA</v>
      </c>
      <c r="R5396" s="5" t="str">
        <f t="shared" si="2"/>
        <v>Hans Teeuwen: Real Rancour</v>
      </c>
      <c r="S5396" s="5" t="str">
        <f>IFERROR(__xludf.DUMMYFUNCTION("""COMPUTED_VALUE"""),"Parks And Recreation")</f>
        <v>Parks And Recreation</v>
      </c>
      <c r="V5396" s="5"/>
      <c r="Y5396" s="5" t="str">
        <f>IFERROR(__xludf.DUMMYFUNCTION("REGEXEXTRACT(J5396, ""^\d+"")"),"86")</f>
        <v>86</v>
      </c>
      <c r="Z5396" s="5" t="str">
        <f>IFERROR(__xludf.DUMMYFUNCTION("REGEXEXTRACT(J5396, ""[A-Za-z ]+$"")")," min")</f>
        <v> min</v>
      </c>
      <c r="AA5396" s="5" t="str">
        <f>IFERROR(__xludf.DUMMYFUNCTION("IF(REGEXMATCH(Z5396, ""Season""), ""TV Show"", ""Movie"")"),"Movie")</f>
        <v>Movie</v>
      </c>
    </row>
    <row r="5397">
      <c r="A5397" s="1" t="s">
        <v>27765</v>
      </c>
      <c r="B5397" s="1" t="s">
        <v>37</v>
      </c>
      <c r="C5397" s="1" t="s">
        <v>27766</v>
      </c>
      <c r="E5397" s="1" t="s">
        <v>27767</v>
      </c>
      <c r="F5397" s="1" t="s">
        <v>188</v>
      </c>
      <c r="G5397" s="1" t="s">
        <v>27735</v>
      </c>
      <c r="H5397" s="1">
        <v>2016.0</v>
      </c>
      <c r="I5397" s="1" t="s">
        <v>42</v>
      </c>
      <c r="J5397" s="1" t="s">
        <v>276</v>
      </c>
      <c r="K5397" s="1" t="s">
        <v>1907</v>
      </c>
      <c r="L5397" s="1" t="s">
        <v>27768</v>
      </c>
      <c r="M5397" s="2" t="s">
        <v>12</v>
      </c>
      <c r="N5397" s="4">
        <f t="shared" si="1"/>
        <v>42917</v>
      </c>
      <c r="O5397" s="5" t="str">
        <f>IFERROR(__xludf.DUMMYFUNCTION("IF(REGEXMATCH(TRIM(I5397), ""^\d+\s*min""), ""Unclassified"", IF(I5397 = """", ""NR"", I5397))"),"TV-MA")</f>
        <v>TV-MA</v>
      </c>
      <c r="R5397" s="5" t="str">
        <f t="shared" si="2"/>
        <v>Intersection</v>
      </c>
      <c r="S5397" s="5" t="str">
        <f>IFERROR(__xludf.DUMMYFUNCTION("""COMPUTED_VALUE"""),"Parmanu: The Story Of Pokhran")</f>
        <v>Parmanu: The Story Of Pokhran</v>
      </c>
      <c r="V5397" s="5"/>
      <c r="Y5397" s="5" t="str">
        <f>IFERROR(__xludf.DUMMYFUNCTION("REGEXEXTRACT(J5397, ""^\d+"")"),"3")</f>
        <v>3</v>
      </c>
      <c r="Z5397" s="5" t="str">
        <f>IFERROR(__xludf.DUMMYFUNCTION("REGEXEXTRACT(J5397, ""[A-Za-z ]+$"")")," Seasons")</f>
        <v> Seasons</v>
      </c>
      <c r="AA5397" s="5" t="str">
        <f>IFERROR(__xludf.DUMMYFUNCTION("IF(REGEXMATCH(Z5397, ""Season""), ""TV Show"", ""Movie"")"),"TV Show")</f>
        <v>TV Show</v>
      </c>
    </row>
    <row r="5398">
      <c r="A5398" s="1" t="s">
        <v>27769</v>
      </c>
      <c r="B5398" s="1" t="s">
        <v>27</v>
      </c>
      <c r="C5398" s="1" t="s">
        <v>27770</v>
      </c>
      <c r="D5398" s="1" t="s">
        <v>22010</v>
      </c>
      <c r="E5398" s="1" t="s">
        <v>27771</v>
      </c>
      <c r="F5398" s="1" t="s">
        <v>63</v>
      </c>
      <c r="G5398" s="1" t="s">
        <v>27735</v>
      </c>
      <c r="H5398" s="1">
        <v>1971.0</v>
      </c>
      <c r="I5398" s="1" t="s">
        <v>97</v>
      </c>
      <c r="J5398" s="1" t="s">
        <v>22970</v>
      </c>
      <c r="K5398" s="1" t="s">
        <v>2012</v>
      </c>
      <c r="L5398" s="1" t="s">
        <v>27772</v>
      </c>
      <c r="M5398" s="2" t="s">
        <v>12</v>
      </c>
      <c r="N5398" s="4">
        <f t="shared" si="1"/>
        <v>42917</v>
      </c>
      <c r="O5398" s="5" t="str">
        <f>IFERROR(__xludf.DUMMYFUNCTION("IF(REGEXMATCH(TRIM(I5398), ""^\d+\s*min""), ""Unclassified"", IF(I5398 = """", ""NR"", I5398))"),"TV-14")</f>
        <v>TV-14</v>
      </c>
      <c r="R5398" s="5" t="str">
        <f t="shared" si="2"/>
        <v>Lal Patthar</v>
      </c>
      <c r="S5398" s="5" t="str">
        <f>IFERROR(__xludf.DUMMYFUNCTION("""COMPUTED_VALUE"""),"Parrot Sketch Not Included: Twenty Years Of Monty Python")</f>
        <v>Parrot Sketch Not Included: Twenty Years Of Monty Python</v>
      </c>
      <c r="V5398" s="5"/>
      <c r="Y5398" s="5" t="str">
        <f>IFERROR(__xludf.DUMMYFUNCTION("REGEXEXTRACT(J5398, ""^\d+"")"),"153")</f>
        <v>153</v>
      </c>
      <c r="Z5398" s="5" t="str">
        <f>IFERROR(__xludf.DUMMYFUNCTION("REGEXEXTRACT(J5398, ""[A-Za-z ]+$"")")," min")</f>
        <v> min</v>
      </c>
      <c r="AA5398" s="5" t="str">
        <f>IFERROR(__xludf.DUMMYFUNCTION("IF(REGEXMATCH(Z5398, ""Season""), ""TV Show"", ""Movie"")"),"Movie")</f>
        <v>Movie</v>
      </c>
    </row>
    <row r="5399">
      <c r="A5399" s="1" t="s">
        <v>27773</v>
      </c>
      <c r="B5399" s="1" t="s">
        <v>37</v>
      </c>
      <c r="C5399" s="1" t="s">
        <v>27774</v>
      </c>
      <c r="E5399" s="1" t="s">
        <v>18695</v>
      </c>
      <c r="F5399" s="1" t="s">
        <v>96</v>
      </c>
      <c r="G5399" s="1" t="s">
        <v>27735</v>
      </c>
      <c r="H5399" s="1">
        <v>2015.0</v>
      </c>
      <c r="I5399" s="1" t="s">
        <v>206</v>
      </c>
      <c r="J5399" s="1" t="s">
        <v>51</v>
      </c>
      <c r="K5399" s="1" t="s">
        <v>712</v>
      </c>
      <c r="L5399" s="1" t="s">
        <v>27775</v>
      </c>
      <c r="M5399" s="2" t="s">
        <v>12</v>
      </c>
      <c r="N5399" s="4">
        <f t="shared" si="1"/>
        <v>42917</v>
      </c>
      <c r="O5399" s="5" t="str">
        <f>IFERROR(__xludf.DUMMYFUNCTION("IF(REGEXMATCH(TRIM(I5399), ""^\d+\s*min""), ""Unclassified"", IF(I5399 = """", ""NR"", I5399))"),"TV-Y")</f>
        <v>TV-Y</v>
      </c>
      <c r="R5399" s="5" t="str">
        <f t="shared" si="2"/>
        <v>Learning Songs By Little Baby Bum: Nursery Rhyme Friends</v>
      </c>
      <c r="S5399" s="5" t="str">
        <f>IFERROR(__xludf.DUMMYFUNCTION("""COMPUTED_VALUE"""),"Part-Time Idol")</f>
        <v>Part-Time Idol</v>
      </c>
      <c r="V5399" s="5"/>
      <c r="Y5399" s="5" t="str">
        <f>IFERROR(__xludf.DUMMYFUNCTION("REGEXEXTRACT(J5399, ""^\d+"")"),"1")</f>
        <v>1</v>
      </c>
      <c r="Z5399" s="5" t="str">
        <f>IFERROR(__xludf.DUMMYFUNCTION("REGEXEXTRACT(J5399, ""[A-Za-z ]+$"")")," Season")</f>
        <v> Season</v>
      </c>
      <c r="AA5399" s="5" t="str">
        <f>IFERROR(__xludf.DUMMYFUNCTION("IF(REGEXMATCH(Z5399, ""Season""), ""TV Show"", ""Movie"")"),"TV Show")</f>
        <v>TV Show</v>
      </c>
    </row>
    <row r="5400">
      <c r="A5400" s="1" t="s">
        <v>27776</v>
      </c>
      <c r="B5400" s="1" t="s">
        <v>27</v>
      </c>
      <c r="C5400" s="1" t="s">
        <v>27777</v>
      </c>
      <c r="D5400" s="1" t="s">
        <v>8285</v>
      </c>
      <c r="E5400" s="1" t="s">
        <v>27778</v>
      </c>
      <c r="F5400" s="1" t="s">
        <v>63</v>
      </c>
      <c r="G5400" s="1" t="s">
        <v>27735</v>
      </c>
      <c r="H5400" s="1">
        <v>2013.0</v>
      </c>
      <c r="I5400" s="1" t="s">
        <v>42</v>
      </c>
      <c r="J5400" s="1" t="s">
        <v>106</v>
      </c>
      <c r="K5400" s="1" t="s">
        <v>89</v>
      </c>
      <c r="L5400" s="1" t="s">
        <v>27779</v>
      </c>
      <c r="M5400" s="2" t="s">
        <v>12</v>
      </c>
      <c r="N5400" s="4">
        <f t="shared" si="1"/>
        <v>42917</v>
      </c>
      <c r="O5400" s="5" t="str">
        <f>IFERROR(__xludf.DUMMYFUNCTION("IF(REGEXMATCH(TRIM(I5400), ""^\d+\s*min""), ""Unclassified"", IF(I5400 = """", ""NR"", I5400))"),"TV-MA")</f>
        <v>TV-MA</v>
      </c>
      <c r="R5400" s="5" t="str">
        <f t="shared" si="2"/>
        <v>Liar'S Dice</v>
      </c>
      <c r="S5400" s="5" t="str">
        <f>IFERROR(__xludf.DUMMYFUNCTION("""COMPUTED_VALUE"""),"Party Monster: Scratching The Surface")</f>
        <v>Party Monster: Scratching The Surface</v>
      </c>
      <c r="V5400" s="5"/>
      <c r="Y5400" s="5" t="str">
        <f>IFERROR(__xludf.DUMMYFUNCTION("REGEXEXTRACT(J5400, ""^\d+"")"),"104")</f>
        <v>104</v>
      </c>
      <c r="Z5400" s="5" t="str">
        <f>IFERROR(__xludf.DUMMYFUNCTION("REGEXEXTRACT(J5400, ""[A-Za-z ]+$"")")," min")</f>
        <v> min</v>
      </c>
      <c r="AA5400" s="5" t="str">
        <f>IFERROR(__xludf.DUMMYFUNCTION("IF(REGEXMATCH(Z5400, ""Season""), ""TV Show"", ""Movie"")"),"Movie")</f>
        <v>Movie</v>
      </c>
    </row>
    <row r="5401">
      <c r="A5401" s="1" t="s">
        <v>27780</v>
      </c>
      <c r="B5401" s="1" t="s">
        <v>37</v>
      </c>
      <c r="C5401" s="1" t="s">
        <v>27781</v>
      </c>
      <c r="E5401" s="1" t="s">
        <v>27782</v>
      </c>
      <c r="F5401" s="1" t="s">
        <v>9219</v>
      </c>
      <c r="G5401" s="1" t="s">
        <v>27735</v>
      </c>
      <c r="H5401" s="1">
        <v>2014.0</v>
      </c>
      <c r="I5401" s="1" t="s">
        <v>97</v>
      </c>
      <c r="J5401" s="1" t="s">
        <v>51</v>
      </c>
      <c r="K5401" s="1" t="s">
        <v>9281</v>
      </c>
      <c r="L5401" s="1" t="s">
        <v>27783</v>
      </c>
      <c r="M5401" s="2" t="s">
        <v>12</v>
      </c>
      <c r="N5401" s="4">
        <f t="shared" si="1"/>
        <v>42917</v>
      </c>
      <c r="O5401" s="5" t="str">
        <f>IFERROR(__xludf.DUMMYFUNCTION("IF(REGEXMATCH(TRIM(I5401), ""^\d+\s*min""), ""Unclassified"", IF(I5401 = """", ""NR"", I5401))"),"TV-14")</f>
        <v>TV-14</v>
      </c>
      <c r="R5401" s="5" t="str">
        <f t="shared" si="2"/>
        <v>Mystic Whispers</v>
      </c>
      <c r="S5401" s="5" t="str">
        <f>IFERROR(__xludf.DUMMYFUNCTION("""COMPUTED_VALUE"""),"Pasión De Gavilanes")</f>
        <v>Pasión De Gavilanes</v>
      </c>
      <c r="V5401" s="5"/>
      <c r="Y5401" s="5" t="str">
        <f>IFERROR(__xludf.DUMMYFUNCTION("REGEXEXTRACT(J5401, ""^\d+"")"),"1")</f>
        <v>1</v>
      </c>
      <c r="Z5401" s="5" t="str">
        <f>IFERROR(__xludf.DUMMYFUNCTION("REGEXEXTRACT(J5401, ""[A-Za-z ]+$"")")," Season")</f>
        <v> Season</v>
      </c>
      <c r="AA5401" s="5" t="str">
        <f>IFERROR(__xludf.DUMMYFUNCTION("IF(REGEXMATCH(Z5401, ""Season""), ""TV Show"", ""Movie"")"),"TV Show")</f>
        <v>TV Show</v>
      </c>
    </row>
    <row r="5402">
      <c r="A5402" s="1" t="s">
        <v>27784</v>
      </c>
      <c r="B5402" s="1" t="s">
        <v>27</v>
      </c>
      <c r="C5402" s="1" t="s">
        <v>27785</v>
      </c>
      <c r="D5402" s="1" t="s">
        <v>13604</v>
      </c>
      <c r="E5402" s="1" t="s">
        <v>27786</v>
      </c>
      <c r="F5402" s="1" t="s">
        <v>63</v>
      </c>
      <c r="G5402" s="1" t="s">
        <v>27735</v>
      </c>
      <c r="H5402" s="1">
        <v>1962.0</v>
      </c>
      <c r="I5402" s="1" t="s">
        <v>136</v>
      </c>
      <c r="J5402" s="1" t="s">
        <v>24904</v>
      </c>
      <c r="K5402" s="1" t="s">
        <v>583</v>
      </c>
      <c r="L5402" s="1" t="s">
        <v>27787</v>
      </c>
      <c r="M5402" s="2" t="s">
        <v>12</v>
      </c>
      <c r="N5402" s="4">
        <f t="shared" si="1"/>
        <v>42917</v>
      </c>
      <c r="O5402" s="5" t="str">
        <f>IFERROR(__xludf.DUMMYFUNCTION("IF(REGEXMATCH(TRIM(I5402), ""^\d+\s*min""), ""Unclassified"", IF(I5402 = """", ""NR"", I5402))"),"TV-PG")</f>
        <v>TV-PG</v>
      </c>
      <c r="R5402" s="5" t="str">
        <f t="shared" si="2"/>
        <v>Professor</v>
      </c>
      <c r="S5402" s="5" t="str">
        <f>IFERROR(__xludf.DUMMYFUNCTION("""COMPUTED_VALUE"""),"Paskal")</f>
        <v>Paskal</v>
      </c>
      <c r="V5402" s="5"/>
      <c r="Y5402" s="5" t="str">
        <f>IFERROR(__xludf.DUMMYFUNCTION("REGEXEXTRACT(J5402, ""^\d+"")"),"163")</f>
        <v>163</v>
      </c>
      <c r="Z5402" s="5" t="str">
        <f>IFERROR(__xludf.DUMMYFUNCTION("REGEXEXTRACT(J5402, ""[A-Za-z ]+$"")")," min")</f>
        <v> min</v>
      </c>
      <c r="AA5402" s="5" t="str">
        <f>IFERROR(__xludf.DUMMYFUNCTION("IF(REGEXMATCH(Z5402, ""Season""), ""TV Show"", ""Movie"")"),"Movie")</f>
        <v>Movie</v>
      </c>
    </row>
    <row r="5403">
      <c r="A5403" s="1" t="s">
        <v>27788</v>
      </c>
      <c r="B5403" s="1" t="s">
        <v>37</v>
      </c>
      <c r="C5403" s="1" t="s">
        <v>27789</v>
      </c>
      <c r="E5403" s="1" t="s">
        <v>27790</v>
      </c>
      <c r="G5403" s="1" t="s">
        <v>27735</v>
      </c>
      <c r="H5403" s="1">
        <v>2014.0</v>
      </c>
      <c r="I5403" s="1" t="s">
        <v>97</v>
      </c>
      <c r="J5403" s="1" t="s">
        <v>51</v>
      </c>
      <c r="K5403" s="1" t="s">
        <v>1907</v>
      </c>
      <c r="L5403" s="1" t="s">
        <v>27791</v>
      </c>
      <c r="M5403" s="2" t="s">
        <v>12</v>
      </c>
      <c r="N5403" s="4">
        <f t="shared" si="1"/>
        <v>42917</v>
      </c>
      <c r="O5403" s="5" t="str">
        <f>IFERROR(__xludf.DUMMYFUNCTION("IF(REGEXMATCH(TRIM(I5403), ""^\d+\s*min""), ""Unclassified"", IF(I5403 = """", ""NR"", I5403))"),"TV-14")</f>
        <v>TV-14</v>
      </c>
      <c r="R5403" s="5" t="str">
        <f t="shared" si="2"/>
        <v>Spice Up</v>
      </c>
      <c r="S5403" s="5" t="str">
        <f>IFERROR(__xludf.DUMMYFUNCTION("""COMPUTED_VALUE"""),"Passenger 57")</f>
        <v>Passenger 57</v>
      </c>
      <c r="V5403" s="5"/>
      <c r="Y5403" s="5" t="str">
        <f>IFERROR(__xludf.DUMMYFUNCTION("REGEXEXTRACT(J5403, ""^\d+"")"),"1")</f>
        <v>1</v>
      </c>
      <c r="Z5403" s="5" t="str">
        <f>IFERROR(__xludf.DUMMYFUNCTION("REGEXEXTRACT(J5403, ""[A-Za-z ]+$"")")," Season")</f>
        <v> Season</v>
      </c>
      <c r="AA5403" s="5" t="str">
        <f>IFERROR(__xludf.DUMMYFUNCTION("IF(REGEXMATCH(Z5403, ""Season""), ""TV Show"", ""Movie"")"),"TV Show")</f>
        <v>TV Show</v>
      </c>
    </row>
    <row r="5404">
      <c r="A5404" s="1" t="s">
        <v>27792</v>
      </c>
      <c r="B5404" s="1" t="s">
        <v>27</v>
      </c>
      <c r="C5404" s="1" t="s">
        <v>27793</v>
      </c>
      <c r="D5404" s="1" t="s">
        <v>17841</v>
      </c>
      <c r="E5404" s="1" t="s">
        <v>27794</v>
      </c>
      <c r="F5404" s="1" t="s">
        <v>784</v>
      </c>
      <c r="G5404" s="1" t="s">
        <v>27735</v>
      </c>
      <c r="H5404" s="1">
        <v>2016.0</v>
      </c>
      <c r="I5404" s="1" t="s">
        <v>97</v>
      </c>
      <c r="J5404" s="1" t="s">
        <v>256</v>
      </c>
      <c r="K5404" s="1" t="s">
        <v>631</v>
      </c>
      <c r="L5404" s="1" t="s">
        <v>27795</v>
      </c>
      <c r="M5404" s="2" t="s">
        <v>12</v>
      </c>
      <c r="N5404" s="4">
        <f t="shared" si="1"/>
        <v>42917</v>
      </c>
      <c r="O5404" s="5" t="str">
        <f>IFERROR(__xludf.DUMMYFUNCTION("IF(REGEXMATCH(TRIM(I5404), ""^\d+\s*min""), ""Unclassified"", IF(I5404 = """", ""NR"", I5404))"),"TV-14")</f>
        <v>TV-14</v>
      </c>
      <c r="R5404" s="5" t="str">
        <f t="shared" si="2"/>
        <v>The Invisible Guest</v>
      </c>
      <c r="S5404" s="5" t="str">
        <f>IFERROR(__xludf.DUMMYFUNCTION("""COMPUTED_VALUE"""),"Passion. Panache. Pep")</f>
        <v>Passion. Panache. Pep</v>
      </c>
      <c r="V5404" s="5"/>
      <c r="Y5404" s="5" t="str">
        <f>IFERROR(__xludf.DUMMYFUNCTION("REGEXEXTRACT(J5404, ""^\d+"")"),"106")</f>
        <v>106</v>
      </c>
      <c r="Z5404" s="5" t="str">
        <f>IFERROR(__xludf.DUMMYFUNCTION("REGEXEXTRACT(J5404, ""[A-Za-z ]+$"")")," min")</f>
        <v> min</v>
      </c>
      <c r="AA5404" s="5" t="str">
        <f>IFERROR(__xludf.DUMMYFUNCTION("IF(REGEXMATCH(Z5404, ""Season""), ""TV Show"", ""Movie"")"),"Movie")</f>
        <v>Movie</v>
      </c>
    </row>
    <row r="5405">
      <c r="A5405" s="1" t="s">
        <v>27796</v>
      </c>
      <c r="B5405" s="1" t="s">
        <v>37</v>
      </c>
      <c r="C5405" s="1" t="s">
        <v>27797</v>
      </c>
      <c r="E5405" s="1" t="s">
        <v>27798</v>
      </c>
      <c r="F5405" s="1" t="s">
        <v>9219</v>
      </c>
      <c r="G5405" s="1" t="s">
        <v>27735</v>
      </c>
      <c r="H5405" s="1">
        <v>2011.0</v>
      </c>
      <c r="I5405" s="1" t="s">
        <v>97</v>
      </c>
      <c r="J5405" s="1" t="s">
        <v>51</v>
      </c>
      <c r="K5405" s="1" t="s">
        <v>1907</v>
      </c>
      <c r="L5405" s="1" t="s">
        <v>27799</v>
      </c>
      <c r="M5405" s="2" t="s">
        <v>12</v>
      </c>
      <c r="N5405" s="4">
        <f t="shared" si="1"/>
        <v>42917</v>
      </c>
      <c r="O5405" s="5" t="str">
        <f>IFERROR(__xludf.DUMMYFUNCTION("IF(REGEXMATCH(TRIM(I5405), ""^\d+\s*min""), ""Unclassified"", IF(I5405 = """", ""NR"", I5405))"),"TV-14")</f>
        <v>TV-14</v>
      </c>
      <c r="R5405" s="5" t="str">
        <f t="shared" si="2"/>
        <v>The Oath</v>
      </c>
      <c r="S5405" s="5" t="str">
        <f>IFERROR(__xludf.DUMMYFUNCTION("""COMPUTED_VALUE"""),"Pat A Pat Como")</f>
        <v>Pat A Pat Como</v>
      </c>
      <c r="V5405" s="5"/>
      <c r="Y5405" s="5" t="str">
        <f>IFERROR(__xludf.DUMMYFUNCTION("REGEXEXTRACT(J5405, ""^\d+"")"),"1")</f>
        <v>1</v>
      </c>
      <c r="Z5405" s="5" t="str">
        <f>IFERROR(__xludf.DUMMYFUNCTION("REGEXEXTRACT(J5405, ""[A-Za-z ]+$"")")," Season")</f>
        <v> Season</v>
      </c>
      <c r="AA5405" s="5" t="str">
        <f>IFERROR(__xludf.DUMMYFUNCTION("IF(REGEXMATCH(Z5405, ""Season""), ""TV Show"", ""Movie"")"),"TV Show")</f>
        <v>TV Show</v>
      </c>
    </row>
    <row r="5406">
      <c r="A5406" s="1" t="s">
        <v>27800</v>
      </c>
      <c r="B5406" s="1" t="s">
        <v>37</v>
      </c>
      <c r="C5406" s="1" t="s">
        <v>27801</v>
      </c>
      <c r="E5406" s="1" t="s">
        <v>27802</v>
      </c>
      <c r="F5406" s="1" t="s">
        <v>9219</v>
      </c>
      <c r="G5406" s="1" t="s">
        <v>27735</v>
      </c>
      <c r="H5406" s="1">
        <v>2016.0</v>
      </c>
      <c r="I5406" s="1" t="s">
        <v>42</v>
      </c>
      <c r="J5406" s="1" t="s">
        <v>51</v>
      </c>
      <c r="K5406" s="1" t="s">
        <v>1362</v>
      </c>
      <c r="L5406" s="1" t="s">
        <v>27803</v>
      </c>
      <c r="M5406" s="2" t="s">
        <v>12</v>
      </c>
      <c r="N5406" s="4">
        <f t="shared" si="1"/>
        <v>42917</v>
      </c>
      <c r="O5406" s="5" t="str">
        <f>IFERROR(__xludf.DUMMYFUNCTION("IF(REGEXMATCH(TRIM(I5406), ""^\d+\s*min""), ""Unclassified"", IF(I5406 = """", ""NR"", I5406))"),"TV-MA")</f>
        <v>TV-MA</v>
      </c>
      <c r="R5406" s="5" t="str">
        <f t="shared" si="2"/>
        <v>The Truth Seekers</v>
      </c>
      <c r="S5406" s="5" t="str">
        <f>IFERROR(__xludf.DUMMYFUNCTION("""COMPUTED_VALUE"""),"Patiala House")</f>
        <v>Patiala House</v>
      </c>
      <c r="V5406" s="5"/>
      <c r="Y5406" s="5" t="str">
        <f>IFERROR(__xludf.DUMMYFUNCTION("REGEXEXTRACT(J5406, ""^\d+"")"),"1")</f>
        <v>1</v>
      </c>
      <c r="Z5406" s="5" t="str">
        <f>IFERROR(__xludf.DUMMYFUNCTION("REGEXEXTRACT(J5406, ""[A-Za-z ]+$"")")," Season")</f>
        <v> Season</v>
      </c>
      <c r="AA5406" s="5" t="str">
        <f>IFERROR(__xludf.DUMMYFUNCTION("IF(REGEXMATCH(Z5406, ""Season""), ""TV Show"", ""Movie"")"),"TV Show")</f>
        <v>TV Show</v>
      </c>
    </row>
    <row r="5407">
      <c r="A5407" s="1" t="s">
        <v>27804</v>
      </c>
      <c r="B5407" s="1" t="s">
        <v>37</v>
      </c>
      <c r="C5407" s="1" t="s">
        <v>27805</v>
      </c>
      <c r="E5407" s="1" t="s">
        <v>27806</v>
      </c>
      <c r="F5407" s="1" t="s">
        <v>9219</v>
      </c>
      <c r="G5407" s="1" t="s">
        <v>27735</v>
      </c>
      <c r="H5407" s="1">
        <v>2009.0</v>
      </c>
      <c r="I5407" s="1" t="s">
        <v>97</v>
      </c>
      <c r="J5407" s="1" t="s">
        <v>51</v>
      </c>
      <c r="K5407" s="1" t="s">
        <v>402</v>
      </c>
      <c r="L5407" s="1" t="s">
        <v>27807</v>
      </c>
      <c r="M5407" s="2" t="s">
        <v>12</v>
      </c>
      <c r="N5407" s="4">
        <f t="shared" si="1"/>
        <v>42917</v>
      </c>
      <c r="O5407" s="5" t="str">
        <f>IFERROR(__xludf.DUMMYFUNCTION("IF(REGEXMATCH(TRIM(I5407), ""^\d+\s*min""), ""Unclassified"", IF(I5407 = """", ""NR"", I5407))"),"TV-14")</f>
        <v>TV-14</v>
      </c>
      <c r="R5407" s="5" t="str">
        <f t="shared" si="2"/>
        <v>The Ultimatum</v>
      </c>
      <c r="S5407" s="5" t="str">
        <f>IFERROR(__xludf.DUMMYFUNCTION("""COMPUTED_VALUE"""),"Patient Seventeen")</f>
        <v>Patient Seventeen</v>
      </c>
      <c r="V5407" s="5"/>
      <c r="Y5407" s="5" t="str">
        <f>IFERROR(__xludf.DUMMYFUNCTION("REGEXEXTRACT(J5407, ""^\d+"")"),"1")</f>
        <v>1</v>
      </c>
      <c r="Z5407" s="5" t="str">
        <f>IFERROR(__xludf.DUMMYFUNCTION("REGEXEXTRACT(J5407, ""[A-Za-z ]+$"")")," Season")</f>
        <v> Season</v>
      </c>
      <c r="AA5407" s="5" t="str">
        <f>IFERROR(__xludf.DUMMYFUNCTION("IF(REGEXMATCH(Z5407, ""Season""), ""TV Show"", ""Movie"")"),"TV Show")</f>
        <v>TV Show</v>
      </c>
    </row>
    <row r="5408">
      <c r="A5408" s="1" t="s">
        <v>27808</v>
      </c>
      <c r="B5408" s="1" t="s">
        <v>37</v>
      </c>
      <c r="C5408" s="1" t="s">
        <v>27809</v>
      </c>
      <c r="E5408" s="1" t="s">
        <v>27810</v>
      </c>
      <c r="F5408" s="1" t="s">
        <v>9219</v>
      </c>
      <c r="G5408" s="1" t="s">
        <v>27735</v>
      </c>
      <c r="H5408" s="1">
        <v>2012.0</v>
      </c>
      <c r="I5408" s="1" t="s">
        <v>97</v>
      </c>
      <c r="J5408" s="1" t="s">
        <v>43</v>
      </c>
      <c r="K5408" s="1" t="s">
        <v>1362</v>
      </c>
      <c r="L5408" s="1" t="s">
        <v>27811</v>
      </c>
      <c r="M5408" s="2" t="s">
        <v>12</v>
      </c>
      <c r="N5408" s="4">
        <f t="shared" si="1"/>
        <v>42917</v>
      </c>
      <c r="O5408" s="5" t="str">
        <f>IFERROR(__xludf.DUMMYFUNCTION("IF(REGEXMATCH(TRIM(I5408), ""^\d+\s*min""), ""Unclassified"", IF(I5408 = """", ""NR"", I5408))"),"TV-14")</f>
        <v>TV-14</v>
      </c>
      <c r="R5408" s="5" t="str">
        <f t="shared" si="2"/>
        <v>Unriddle</v>
      </c>
      <c r="S5408" s="5" t="str">
        <f>IFERROR(__xludf.DUMMYFUNCTION("""COMPUTED_VALUE"""),"Patria")</f>
        <v>Patria</v>
      </c>
      <c r="V5408" s="5"/>
      <c r="Y5408" s="5" t="str">
        <f>IFERROR(__xludf.DUMMYFUNCTION("REGEXEXTRACT(J5408, ""^\d+"")"),"2")</f>
        <v>2</v>
      </c>
      <c r="Z5408" s="5" t="str">
        <f>IFERROR(__xludf.DUMMYFUNCTION("REGEXEXTRACT(J5408, ""[A-Za-z ]+$"")")," Seasons")</f>
        <v> Seasons</v>
      </c>
      <c r="AA5408" s="5" t="str">
        <f>IFERROR(__xludf.DUMMYFUNCTION("IF(REGEXMATCH(Z5408, ""Season""), ""TV Show"", ""Movie"")"),"TV Show")</f>
        <v>TV Show</v>
      </c>
    </row>
    <row r="5409">
      <c r="A5409" s="1" t="s">
        <v>27812</v>
      </c>
      <c r="B5409" s="1" t="s">
        <v>37</v>
      </c>
      <c r="C5409" s="1" t="s">
        <v>27813</v>
      </c>
      <c r="E5409" s="1" t="s">
        <v>27814</v>
      </c>
      <c r="F5409" s="1" t="s">
        <v>9219</v>
      </c>
      <c r="G5409" s="1" t="s">
        <v>27735</v>
      </c>
      <c r="H5409" s="1">
        <v>2014.0</v>
      </c>
      <c r="I5409" s="1" t="s">
        <v>97</v>
      </c>
      <c r="J5409" s="1" t="s">
        <v>51</v>
      </c>
      <c r="K5409" s="1" t="s">
        <v>402</v>
      </c>
      <c r="L5409" s="1" t="s">
        <v>27815</v>
      </c>
      <c r="M5409" s="2" t="s">
        <v>12</v>
      </c>
      <c r="N5409" s="4">
        <f t="shared" si="1"/>
        <v>42917</v>
      </c>
      <c r="O5409" s="5" t="str">
        <f>IFERROR(__xludf.DUMMYFUNCTION("IF(REGEXMATCH(TRIM(I5409), ""^\d+\s*min""), ""Unclassified"", IF(I5409 = """", ""NR"", I5409))"),"TV-14")</f>
        <v>TV-14</v>
      </c>
      <c r="R5409" s="5" t="str">
        <f t="shared" si="2"/>
        <v>World At Your Feet</v>
      </c>
      <c r="S5409" s="5" t="str">
        <f>IFERROR(__xludf.DUMMYFUNCTION("""COMPUTED_VALUE"""),"Patrick (2019)")</f>
        <v>Patrick (2019)</v>
      </c>
      <c r="V5409" s="5"/>
      <c r="Y5409" s="5" t="str">
        <f>IFERROR(__xludf.DUMMYFUNCTION("REGEXEXTRACT(J5409, ""^\d+"")"),"1")</f>
        <v>1</v>
      </c>
      <c r="Z5409" s="5" t="str">
        <f>IFERROR(__xludf.DUMMYFUNCTION("REGEXEXTRACT(J5409, ""[A-Za-z ]+$"")")," Season")</f>
        <v> Season</v>
      </c>
      <c r="AA5409" s="5" t="str">
        <f>IFERROR(__xludf.DUMMYFUNCTION("IF(REGEXMATCH(Z5409, ""Season""), ""TV Show"", ""Movie"")"),"TV Show")</f>
        <v>TV Show</v>
      </c>
    </row>
    <row r="5410">
      <c r="A5410" s="1" t="s">
        <v>27816</v>
      </c>
      <c r="B5410" s="1" t="s">
        <v>27</v>
      </c>
      <c r="C5410" s="1" t="s">
        <v>27817</v>
      </c>
      <c r="D5410" s="1" t="s">
        <v>23036</v>
      </c>
      <c r="E5410" s="1" t="s">
        <v>27818</v>
      </c>
      <c r="F5410" s="1" t="s">
        <v>63</v>
      </c>
      <c r="G5410" s="1" t="s">
        <v>27735</v>
      </c>
      <c r="H5410" s="1">
        <v>1994.0</v>
      </c>
      <c r="I5410" s="1" t="s">
        <v>97</v>
      </c>
      <c r="J5410" s="1" t="s">
        <v>2216</v>
      </c>
      <c r="K5410" s="1" t="s">
        <v>128</v>
      </c>
      <c r="L5410" s="1" t="s">
        <v>27819</v>
      </c>
      <c r="M5410" s="2" t="s">
        <v>12</v>
      </c>
      <c r="N5410" s="4">
        <f t="shared" si="1"/>
        <v>42917</v>
      </c>
      <c r="O5410" s="5" t="str">
        <f>IFERROR(__xludf.DUMMYFUNCTION("IF(REGEXMATCH(TRIM(I5410), ""^\d+\s*min""), ""Unclassified"", IF(I5410 = """", ""NR"", I5410))"),"TV-14")</f>
        <v>TV-14</v>
      </c>
      <c r="R5410" s="5" t="str">
        <f t="shared" si="2"/>
        <v>Yaar Gaddar</v>
      </c>
      <c r="S5410" s="5" t="str">
        <f>IFERROR(__xludf.DUMMYFUNCTION("""COMPUTED_VALUE"""),"Patriot Act With Hasan Minhaj")</f>
        <v>Patriot Act With Hasan Minhaj</v>
      </c>
      <c r="V5410" s="5"/>
      <c r="Y5410" s="5" t="str">
        <f>IFERROR(__xludf.DUMMYFUNCTION("REGEXEXTRACT(J5410, ""^\d+"")"),"148")</f>
        <v>148</v>
      </c>
      <c r="Z5410" s="5" t="str">
        <f>IFERROR(__xludf.DUMMYFUNCTION("REGEXEXTRACT(J5410, ""[A-Za-z ]+$"")")," min")</f>
        <v> min</v>
      </c>
      <c r="AA5410" s="5" t="str">
        <f>IFERROR(__xludf.DUMMYFUNCTION("IF(REGEXMATCH(Z5410, ""Season""), ""TV Show"", ""Movie"")"),"Movie")</f>
        <v>Movie</v>
      </c>
    </row>
    <row r="5411">
      <c r="A5411" s="1" t="s">
        <v>27820</v>
      </c>
      <c r="B5411" s="1" t="s">
        <v>37</v>
      </c>
      <c r="C5411" s="1" t="s">
        <v>27821</v>
      </c>
      <c r="E5411" s="1" t="s">
        <v>27822</v>
      </c>
      <c r="F5411" s="1" t="s">
        <v>9219</v>
      </c>
      <c r="G5411" s="1" t="s">
        <v>27735</v>
      </c>
      <c r="H5411" s="1">
        <v>2014.0</v>
      </c>
      <c r="I5411" s="1" t="s">
        <v>97</v>
      </c>
      <c r="J5411" s="1" t="s">
        <v>51</v>
      </c>
      <c r="K5411" s="1" t="s">
        <v>402</v>
      </c>
      <c r="L5411" s="1" t="s">
        <v>27823</v>
      </c>
      <c r="M5411" s="2" t="s">
        <v>12</v>
      </c>
      <c r="N5411" s="4">
        <f t="shared" si="1"/>
        <v>42917</v>
      </c>
      <c r="O5411" s="5" t="str">
        <f>IFERROR(__xludf.DUMMYFUNCTION("IF(REGEXMATCH(TRIM(I5411), ""^\d+\s*min""), ""Unclassified"", IF(I5411 = """", ""NR"", I5411))"),"TV-14")</f>
        <v>TV-14</v>
      </c>
      <c r="R5411" s="5" t="str">
        <f t="shared" si="2"/>
        <v>Yes We Can!</v>
      </c>
      <c r="S5411" s="5" t="str">
        <f>IFERROR(__xludf.DUMMYFUNCTION("""COMPUTED_VALUE"""),"Patriot Games")</f>
        <v>Patriot Games</v>
      </c>
      <c r="V5411" s="5"/>
      <c r="Y5411" s="5" t="str">
        <f>IFERROR(__xludf.DUMMYFUNCTION("REGEXEXTRACT(J5411, ""^\d+"")"),"1")</f>
        <v>1</v>
      </c>
      <c r="Z5411" s="5" t="str">
        <f>IFERROR(__xludf.DUMMYFUNCTION("REGEXEXTRACT(J5411, ""[A-Za-z ]+$"")")," Season")</f>
        <v> Season</v>
      </c>
      <c r="AA5411" s="5" t="str">
        <f>IFERROR(__xludf.DUMMYFUNCTION("IF(REGEXMATCH(Z5411, ""Season""), ""TV Show"", ""Movie"")"),"TV Show")</f>
        <v>TV Show</v>
      </c>
    </row>
    <row r="5412">
      <c r="A5412" s="1" t="s">
        <v>27824</v>
      </c>
      <c r="B5412" s="1" t="s">
        <v>37</v>
      </c>
      <c r="C5412" s="1" t="s">
        <v>27825</v>
      </c>
      <c r="E5412" s="1" t="s">
        <v>27826</v>
      </c>
      <c r="F5412" s="1" t="s">
        <v>9219</v>
      </c>
      <c r="G5412" s="1" t="s">
        <v>27735</v>
      </c>
      <c r="H5412" s="1">
        <v>2012.0</v>
      </c>
      <c r="I5412" s="1" t="s">
        <v>97</v>
      </c>
      <c r="J5412" s="1" t="s">
        <v>51</v>
      </c>
      <c r="K5412" s="1" t="s">
        <v>64</v>
      </c>
      <c r="L5412" s="1" t="s">
        <v>27827</v>
      </c>
      <c r="M5412" s="2" t="s">
        <v>12</v>
      </c>
      <c r="N5412" s="4">
        <f t="shared" si="1"/>
        <v>42917</v>
      </c>
      <c r="O5412" s="5" t="str">
        <f>IFERROR(__xludf.DUMMYFUNCTION("IF(REGEXMATCH(TRIM(I5412), ""^\d+\s*min""), ""Unclassified"", IF(I5412 = """", ""NR"", I5412))"),"TV-14")</f>
        <v>TV-14</v>
      </c>
      <c r="R5412" s="5" t="str">
        <f t="shared" si="2"/>
        <v>Yours Fatefully</v>
      </c>
      <c r="S5412" s="5" t="str">
        <f>IFERROR(__xludf.DUMMYFUNCTION("""COMPUTED_VALUE"""),"Patron Mutlu Son Istiyor")</f>
        <v>Patron Mutlu Son Istiyor</v>
      </c>
      <c r="V5412" s="5"/>
      <c r="Y5412" s="5" t="str">
        <f>IFERROR(__xludf.DUMMYFUNCTION("REGEXEXTRACT(J5412, ""^\d+"")"),"1")</f>
        <v>1</v>
      </c>
      <c r="Z5412" s="5" t="str">
        <f>IFERROR(__xludf.DUMMYFUNCTION("REGEXEXTRACT(J5412, ""[A-Za-z ]+$"")")," Season")</f>
        <v> Season</v>
      </c>
      <c r="AA5412" s="5" t="str">
        <f>IFERROR(__xludf.DUMMYFUNCTION("IF(REGEXMATCH(Z5412, ""Season""), ""TV Show"", ""Movie"")"),"TV Show")</f>
        <v>TV Show</v>
      </c>
    </row>
    <row r="5413">
      <c r="A5413" s="1" t="s">
        <v>27828</v>
      </c>
      <c r="B5413" s="1" t="s">
        <v>27</v>
      </c>
      <c r="C5413" s="1" t="s">
        <v>27829</v>
      </c>
      <c r="D5413" s="1" t="s">
        <v>17355</v>
      </c>
      <c r="E5413" s="1" t="s">
        <v>27830</v>
      </c>
      <c r="F5413" s="1" t="s">
        <v>784</v>
      </c>
      <c r="G5413" s="1" t="s">
        <v>27735</v>
      </c>
      <c r="H5413" s="1">
        <v>2016.0</v>
      </c>
      <c r="I5413" s="1" t="s">
        <v>136</v>
      </c>
      <c r="J5413" s="1" t="s">
        <v>305</v>
      </c>
      <c r="K5413" s="1" t="s">
        <v>137</v>
      </c>
      <c r="L5413" s="1" t="s">
        <v>27831</v>
      </c>
      <c r="M5413" s="2" t="s">
        <v>12</v>
      </c>
      <c r="N5413" s="4">
        <f t="shared" si="1"/>
        <v>42917</v>
      </c>
      <c r="O5413" s="5" t="str">
        <f>IFERROR(__xludf.DUMMYFUNCTION("IF(REGEXMATCH(TRIM(I5413), ""^\d+\s*min""), ""Unclassified"", IF(I5413 = """", ""NR"", I5413))"),"TV-PG")</f>
        <v>TV-PG</v>
      </c>
      <c r="R5413" s="5" t="str">
        <f t="shared" si="2"/>
        <v>Zipi &amp; Zape Y La Isla Del Capitan</v>
      </c>
      <c r="S5413" s="5" t="str">
        <f>IFERROR(__xludf.DUMMYFUNCTION("""COMPUTED_VALUE"""),"Patton Oswalt: Annihilation")</f>
        <v>Patton Oswalt: Annihilation</v>
      </c>
      <c r="V5413" s="5"/>
      <c r="Y5413" s="5" t="str">
        <f>IFERROR(__xludf.DUMMYFUNCTION("REGEXEXTRACT(J5413, ""^\d+"")"),"105")</f>
        <v>105</v>
      </c>
      <c r="Z5413" s="5" t="str">
        <f>IFERROR(__xludf.DUMMYFUNCTION("REGEXEXTRACT(J5413, ""[A-Za-z ]+$"")")," min")</f>
        <v> min</v>
      </c>
      <c r="AA5413" s="5" t="str">
        <f>IFERROR(__xludf.DUMMYFUNCTION("IF(REGEXMATCH(Z5413, ""Season""), ""TV Show"", ""Movie"")"),"Movie")</f>
        <v>Movie</v>
      </c>
    </row>
    <row r="5414">
      <c r="A5414" s="1" t="s">
        <v>27832</v>
      </c>
      <c r="B5414" s="1" t="s">
        <v>37</v>
      </c>
      <c r="C5414" s="1" t="s">
        <v>27833</v>
      </c>
      <c r="E5414" s="1" t="s">
        <v>27834</v>
      </c>
      <c r="F5414" s="1" t="s">
        <v>897</v>
      </c>
      <c r="G5414" s="1" t="s">
        <v>27835</v>
      </c>
      <c r="H5414" s="1">
        <v>2017.0</v>
      </c>
      <c r="I5414" s="1" t="s">
        <v>97</v>
      </c>
      <c r="J5414" s="1" t="s">
        <v>25913</v>
      </c>
      <c r="K5414" s="1" t="s">
        <v>1510</v>
      </c>
      <c r="L5414" s="1" t="s">
        <v>27836</v>
      </c>
      <c r="M5414" s="2" t="s">
        <v>12</v>
      </c>
      <c r="N5414" s="4">
        <f t="shared" si="1"/>
        <v>42916</v>
      </c>
      <c r="O5414" s="5" t="str">
        <f>IFERROR(__xludf.DUMMYFUNCTION("IF(REGEXMATCH(TRIM(I5414), ""^\d+\s*min""), ""Unclassified"", IF(I5414 = """", ""NR"", I5414))"),"TV-14")</f>
        <v>TV-14</v>
      </c>
      <c r="R5414" s="5" t="str">
        <f t="shared" si="2"/>
        <v>Criminal Minds</v>
      </c>
      <c r="S5414" s="5" t="str">
        <f>IFERROR(__xludf.DUMMYFUNCTION("""COMPUTED_VALUE"""),"Patton Oswalt: I Love Everything")</f>
        <v>Patton Oswalt: I Love Everything</v>
      </c>
      <c r="V5414" s="5"/>
      <c r="Y5414" s="5" t="str">
        <f>IFERROR(__xludf.DUMMYFUNCTION("REGEXEXTRACT(J5414, ""^\d+"")"),"12")</f>
        <v>12</v>
      </c>
      <c r="Z5414" s="5" t="str">
        <f>IFERROR(__xludf.DUMMYFUNCTION("REGEXEXTRACT(J5414, ""[A-Za-z ]+$"")")," Seasons")</f>
        <v> Seasons</v>
      </c>
      <c r="AA5414" s="5" t="str">
        <f>IFERROR(__xludf.DUMMYFUNCTION("IF(REGEXMATCH(Z5414, ""Season""), ""TV Show"", ""Movie"")"),"TV Show")</f>
        <v>TV Show</v>
      </c>
    </row>
    <row r="5415">
      <c r="A5415" s="1" t="s">
        <v>27837</v>
      </c>
      <c r="B5415" s="1" t="s">
        <v>37</v>
      </c>
      <c r="C5415" s="1" t="s">
        <v>27838</v>
      </c>
      <c r="E5415" s="1" t="s">
        <v>27839</v>
      </c>
      <c r="F5415" s="1" t="s">
        <v>692</v>
      </c>
      <c r="G5415" s="1" t="s">
        <v>27835</v>
      </c>
      <c r="H5415" s="1">
        <v>2017.0</v>
      </c>
      <c r="I5415" s="1" t="s">
        <v>42</v>
      </c>
      <c r="J5415" s="1" t="s">
        <v>51</v>
      </c>
      <c r="K5415" s="1" t="s">
        <v>2709</v>
      </c>
      <c r="L5415" s="1" t="s">
        <v>27840</v>
      </c>
      <c r="M5415" s="2" t="s">
        <v>12</v>
      </c>
      <c r="N5415" s="4">
        <f t="shared" si="1"/>
        <v>42916</v>
      </c>
      <c r="O5415" s="5" t="str">
        <f>IFERROR(__xludf.DUMMYFUNCTION("IF(REGEXMATCH(TRIM(I5415), ""^\d+\s*min""), ""Unclassified"", IF(I5415 = """", ""NR"", I5415))"),"TV-MA")</f>
        <v>TV-MA</v>
      </c>
      <c r="R5415" s="5" t="str">
        <f t="shared" si="2"/>
        <v>Gypsy</v>
      </c>
      <c r="S5415" s="5" t="str">
        <f>IFERROR(__xludf.DUMMYFUNCTION("""COMPUTED_VALUE"""),"Patton Oswalt: Talking For Clapping")</f>
        <v>Patton Oswalt: Talking For Clapping</v>
      </c>
      <c r="V5415" s="5"/>
      <c r="Y5415" s="5" t="str">
        <f>IFERROR(__xludf.DUMMYFUNCTION("REGEXEXTRACT(J5415, ""^\d+"")"),"1")</f>
        <v>1</v>
      </c>
      <c r="Z5415" s="5" t="str">
        <f>IFERROR(__xludf.DUMMYFUNCTION("REGEXEXTRACT(J5415, ""[A-Za-z ]+$"")")," Season")</f>
        <v> Season</v>
      </c>
      <c r="AA5415" s="5" t="str">
        <f>IFERROR(__xludf.DUMMYFUNCTION("IF(REGEXMATCH(Z5415, ""Season""), ""TV Show"", ""Movie"")"),"TV Show")</f>
        <v>TV Show</v>
      </c>
    </row>
    <row r="5416">
      <c r="A5416" s="1" t="s">
        <v>27841</v>
      </c>
      <c r="B5416" s="1" t="s">
        <v>37</v>
      </c>
      <c r="C5416" s="1" t="s">
        <v>27842</v>
      </c>
      <c r="E5416" s="1" t="s">
        <v>27843</v>
      </c>
      <c r="F5416" s="1" t="s">
        <v>415</v>
      </c>
      <c r="G5416" s="1" t="s">
        <v>27835</v>
      </c>
      <c r="H5416" s="1">
        <v>2017.0</v>
      </c>
      <c r="I5416" s="1" t="s">
        <v>289</v>
      </c>
      <c r="J5416" s="1" t="s">
        <v>43</v>
      </c>
      <c r="K5416" s="1" t="s">
        <v>567</v>
      </c>
      <c r="L5416" s="1" t="s">
        <v>27844</v>
      </c>
      <c r="M5416" s="2" t="s">
        <v>12</v>
      </c>
      <c r="N5416" s="4">
        <f t="shared" si="1"/>
        <v>42916</v>
      </c>
      <c r="O5416" s="5" t="str">
        <f>IFERROR(__xludf.DUMMYFUNCTION("IF(REGEXMATCH(TRIM(I5416), ""^\d+\s*min""), ""Unclassified"", IF(I5416 = """", ""NR"", I5416))"),"TV-Y7")</f>
        <v>TV-Y7</v>
      </c>
      <c r="R5416" s="5" t="str">
        <f t="shared" si="2"/>
        <v>Little Witch Academia</v>
      </c>
      <c r="S5416" s="5" t="str">
        <f>IFERROR(__xludf.DUMMYFUNCTION("""COMPUTED_VALUE"""),"Paul Blart: Mall Cop")</f>
        <v>Paul Blart: Mall Cop</v>
      </c>
      <c r="V5416" s="5"/>
      <c r="Y5416" s="5" t="str">
        <f>IFERROR(__xludf.DUMMYFUNCTION("REGEXEXTRACT(J5416, ""^\d+"")"),"2")</f>
        <v>2</v>
      </c>
      <c r="Z5416" s="5" t="str">
        <f>IFERROR(__xludf.DUMMYFUNCTION("REGEXEXTRACT(J5416, ""[A-Za-z ]+$"")")," Seasons")</f>
        <v> Seasons</v>
      </c>
      <c r="AA5416" s="5" t="str">
        <f>IFERROR(__xludf.DUMMYFUNCTION("IF(REGEXMATCH(Z5416, ""Season""), ""TV Show"", ""Movie"")"),"TV Show")</f>
        <v>TV Show</v>
      </c>
    </row>
    <row r="5417">
      <c r="A5417" s="1" t="s">
        <v>27845</v>
      </c>
      <c r="B5417" s="1" t="s">
        <v>27</v>
      </c>
      <c r="C5417" s="1" t="s">
        <v>27846</v>
      </c>
      <c r="D5417" s="1" t="s">
        <v>3455</v>
      </c>
      <c r="E5417" s="1" t="s">
        <v>27847</v>
      </c>
      <c r="F5417" s="1" t="s">
        <v>15770</v>
      </c>
      <c r="G5417" s="1" t="s">
        <v>27848</v>
      </c>
      <c r="H5417" s="1">
        <v>2017.0</v>
      </c>
      <c r="I5417" s="1" t="s">
        <v>42</v>
      </c>
      <c r="J5417" s="1" t="s">
        <v>941</v>
      </c>
      <c r="K5417" s="1" t="s">
        <v>617</v>
      </c>
      <c r="L5417" s="1" t="s">
        <v>27849</v>
      </c>
      <c r="M5417" s="2" t="s">
        <v>12</v>
      </c>
      <c r="N5417" s="4">
        <f t="shared" si="1"/>
        <v>42914</v>
      </c>
      <c r="O5417" s="5" t="str">
        <f>IFERROR(__xludf.DUMMYFUNCTION("IF(REGEXMATCH(TRIM(I5417), ""^\d+\s*min""), ""Unclassified"", IF(I5417 = """", ""NR"", I5417))"),"TV-MA")</f>
        <v>TV-MA</v>
      </c>
      <c r="R5417" s="5" t="str">
        <f t="shared" si="2"/>
        <v>Okja</v>
      </c>
      <c r="S5417" s="5" t="str">
        <f>IFERROR(__xludf.DUMMYFUNCTION("""COMPUTED_VALUE"""),"Paul Hollywood'S Big Continental Road Trip")</f>
        <v>Paul Hollywood'S Big Continental Road Trip</v>
      </c>
      <c r="V5417" s="5"/>
      <c r="Y5417" s="5" t="str">
        <f>IFERROR(__xludf.DUMMYFUNCTION("REGEXEXTRACT(J5417, ""^\d+"")"),"121")</f>
        <v>121</v>
      </c>
      <c r="Z5417" s="5" t="str">
        <f>IFERROR(__xludf.DUMMYFUNCTION("REGEXEXTRACT(J5417, ""[A-Za-z ]+$"")")," min")</f>
        <v> min</v>
      </c>
      <c r="AA5417" s="5" t="str">
        <f>IFERROR(__xludf.DUMMYFUNCTION("IF(REGEXMATCH(Z5417, ""Season""), ""TV Show"", ""Movie"")"),"Movie")</f>
        <v>Movie</v>
      </c>
    </row>
    <row r="5418">
      <c r="A5418" s="1" t="s">
        <v>27850</v>
      </c>
      <c r="B5418" s="1" t="s">
        <v>27</v>
      </c>
      <c r="C5418" s="1" t="s">
        <v>27851</v>
      </c>
      <c r="D5418" s="1" t="s">
        <v>3397</v>
      </c>
      <c r="E5418" s="1" t="s">
        <v>15054</v>
      </c>
      <c r="F5418" s="1" t="s">
        <v>30</v>
      </c>
      <c r="G5418" s="1" t="s">
        <v>27852</v>
      </c>
      <c r="H5418" s="1">
        <v>2017.0</v>
      </c>
      <c r="I5418" s="1" t="s">
        <v>42</v>
      </c>
      <c r="J5418" s="1" t="s">
        <v>2636</v>
      </c>
      <c r="K5418" s="1" t="s">
        <v>1839</v>
      </c>
      <c r="L5418" s="1" t="s">
        <v>27853</v>
      </c>
      <c r="M5418" s="2" t="s">
        <v>12</v>
      </c>
      <c r="N5418" s="4">
        <f t="shared" si="1"/>
        <v>42913</v>
      </c>
      <c r="O5418" s="5" t="str">
        <f>IFERROR(__xludf.DUMMYFUNCTION("IF(REGEXMATCH(TRIM(I5418), ""^\d+\s*min""), ""Unclassified"", IF(I5418 = """", ""NR"", I5418))"),"TV-MA")</f>
        <v>TV-MA</v>
      </c>
      <c r="R5418" s="5" t="str">
        <f t="shared" si="2"/>
        <v>Chris D'Elia: Man On Fire</v>
      </c>
      <c r="S5418" s="5" t="str">
        <f>IFERROR(__xludf.DUMMYFUNCTION("""COMPUTED_VALUE"""),"Paulettante Veedu")</f>
        <v>Paulettante Veedu</v>
      </c>
      <c r="V5418" s="5"/>
      <c r="Y5418" s="5" t="str">
        <f>IFERROR(__xludf.DUMMYFUNCTION("REGEXEXTRACT(J5418, ""^\d+"")"),"66")</f>
        <v>66</v>
      </c>
      <c r="Z5418" s="5" t="str">
        <f>IFERROR(__xludf.DUMMYFUNCTION("REGEXEXTRACT(J5418, ""[A-Za-z ]+$"")")," min")</f>
        <v> min</v>
      </c>
      <c r="AA5418" s="5" t="str">
        <f>IFERROR(__xludf.DUMMYFUNCTION("IF(REGEXMATCH(Z5418, ""Season""), ""TV Show"", ""Movie"")"),"Movie")</f>
        <v>Movie</v>
      </c>
    </row>
    <row r="5419">
      <c r="A5419" s="1" t="s">
        <v>27854</v>
      </c>
      <c r="B5419" s="1" t="s">
        <v>27</v>
      </c>
      <c r="C5419" s="1" t="s">
        <v>27855</v>
      </c>
      <c r="D5419" s="1" t="s">
        <v>5616</v>
      </c>
      <c r="E5419" s="1" t="s">
        <v>27856</v>
      </c>
      <c r="F5419" s="1" t="s">
        <v>30</v>
      </c>
      <c r="G5419" s="1" t="s">
        <v>27857</v>
      </c>
      <c r="H5419" s="1">
        <v>2015.0</v>
      </c>
      <c r="I5419" s="1" t="s">
        <v>42</v>
      </c>
      <c r="J5419" s="1" t="s">
        <v>447</v>
      </c>
      <c r="K5419" s="1" t="s">
        <v>8641</v>
      </c>
      <c r="L5419" s="1" t="s">
        <v>27858</v>
      </c>
      <c r="M5419" s="2" t="s">
        <v>12</v>
      </c>
      <c r="N5419" s="4">
        <f t="shared" si="1"/>
        <v>42912</v>
      </c>
      <c r="O5419" s="5" t="str">
        <f>IFERROR(__xludf.DUMMYFUNCTION("IF(REGEXMATCH(TRIM(I5419), ""^\d+\s*min""), ""Unclassified"", IF(I5419 = """", ""NR"", I5419))"),"TV-MA")</f>
        <v>TV-MA</v>
      </c>
      <c r="R5419" s="5" t="str">
        <f t="shared" si="2"/>
        <v>I Am Michael</v>
      </c>
      <c r="S5419" s="5" t="str">
        <f>IFERROR(__xludf.DUMMYFUNCTION("""COMPUTED_VALUE"""),"Pawn Stars")</f>
        <v>Pawn Stars</v>
      </c>
      <c r="V5419" s="5"/>
      <c r="Y5419" s="5" t="str">
        <f>IFERROR(__xludf.DUMMYFUNCTION("REGEXEXTRACT(J5419, ""^\d+"")"),"102")</f>
        <v>102</v>
      </c>
      <c r="Z5419" s="5" t="str">
        <f>IFERROR(__xludf.DUMMYFUNCTION("REGEXEXTRACT(J5419, ""[A-Za-z ]+$"")")," min")</f>
        <v> min</v>
      </c>
      <c r="AA5419" s="5" t="str">
        <f>IFERROR(__xludf.DUMMYFUNCTION("IF(REGEXMATCH(Z5419, ""Season""), ""TV Show"", ""Movie"")"),"Movie")</f>
        <v>Movie</v>
      </c>
    </row>
    <row r="5420">
      <c r="A5420" s="1" t="s">
        <v>27859</v>
      </c>
      <c r="B5420" s="1" t="s">
        <v>27</v>
      </c>
      <c r="C5420" s="1" t="s">
        <v>27860</v>
      </c>
      <c r="D5420" s="1" t="s">
        <v>3792</v>
      </c>
      <c r="F5420" s="1" t="s">
        <v>27861</v>
      </c>
      <c r="G5420" s="1" t="s">
        <v>27862</v>
      </c>
      <c r="H5420" s="1">
        <v>2017.0</v>
      </c>
      <c r="I5420" s="1" t="s">
        <v>97</v>
      </c>
      <c r="J5420" s="1" t="s">
        <v>322</v>
      </c>
      <c r="K5420" s="1" t="s">
        <v>34</v>
      </c>
      <c r="L5420" s="1" t="s">
        <v>27863</v>
      </c>
      <c r="M5420" s="2" t="s">
        <v>12</v>
      </c>
      <c r="N5420" s="4">
        <f t="shared" si="1"/>
        <v>42909</v>
      </c>
      <c r="O5420" s="5" t="str">
        <f>IFERROR(__xludf.DUMMYFUNCTION("IF(REGEXMATCH(TRIM(I5420), ""^\d+\s*min""), ""Unclassified"", IF(I5420 = """", ""NR"", I5420))"),"TV-14")</f>
        <v>TV-14</v>
      </c>
      <c r="R5420" s="5" t="str">
        <f t="shared" si="2"/>
        <v>Nobody Speak: Trials Of The Free Press</v>
      </c>
      <c r="S5420" s="5" t="str">
        <f>IFERROR(__xludf.DUMMYFUNCTION("""COMPUTED_VALUE"""),"Payday")</f>
        <v>Payday</v>
      </c>
      <c r="V5420" s="5"/>
      <c r="Y5420" s="5" t="str">
        <f>IFERROR(__xludf.DUMMYFUNCTION("REGEXEXTRACT(J5420, ""^\d+"")"),"96")</f>
        <v>96</v>
      </c>
      <c r="Z5420" s="5" t="str">
        <f>IFERROR(__xludf.DUMMYFUNCTION("REGEXEXTRACT(J5420, ""[A-Za-z ]+$"")")," min")</f>
        <v> min</v>
      </c>
      <c r="AA5420" s="5" t="str">
        <f>IFERROR(__xludf.DUMMYFUNCTION("IF(REGEXMATCH(Z5420, ""Season""), ""TV Show"", ""Movie"")"),"Movie")</f>
        <v>Movie</v>
      </c>
    </row>
    <row r="5421">
      <c r="A5421" s="1" t="s">
        <v>27864</v>
      </c>
      <c r="B5421" s="1" t="s">
        <v>27</v>
      </c>
      <c r="C5421" s="1" t="s">
        <v>27865</v>
      </c>
      <c r="D5421" s="1" t="s">
        <v>3686</v>
      </c>
      <c r="E5421" s="1" t="s">
        <v>27866</v>
      </c>
      <c r="F5421" s="1" t="s">
        <v>30</v>
      </c>
      <c r="G5421" s="1" t="s">
        <v>27862</v>
      </c>
      <c r="H5421" s="1">
        <v>2017.0</v>
      </c>
      <c r="I5421" s="1" t="s">
        <v>42</v>
      </c>
      <c r="J5421" s="1" t="s">
        <v>1191</v>
      </c>
      <c r="K5421" s="1" t="s">
        <v>394</v>
      </c>
      <c r="L5421" s="1" t="s">
        <v>27867</v>
      </c>
      <c r="M5421" s="2" t="s">
        <v>12</v>
      </c>
      <c r="N5421" s="4">
        <f t="shared" si="1"/>
        <v>42909</v>
      </c>
      <c r="O5421" s="5" t="str">
        <f>IFERROR(__xludf.DUMMYFUNCTION("IF(REGEXMATCH(TRIM(I5421), ""^\d+\s*min""), ""Unclassified"", IF(I5421 = """", ""NR"", I5421))"),"TV-MA")</f>
        <v>TV-MA</v>
      </c>
      <c r="R5421" s="5" t="str">
        <f t="shared" si="2"/>
        <v>You Get Me</v>
      </c>
      <c r="S5421" s="5" t="str">
        <f>IFERROR(__xludf.DUMMYFUNCTION("""COMPUTED_VALUE"""),"Paying Guests")</f>
        <v>Paying Guests</v>
      </c>
      <c r="V5421" s="5"/>
      <c r="Y5421" s="5" t="str">
        <f>IFERROR(__xludf.DUMMYFUNCTION("REGEXEXTRACT(J5421, ""^\d+"")"),"89")</f>
        <v>89</v>
      </c>
      <c r="Z5421" s="5" t="str">
        <f>IFERROR(__xludf.DUMMYFUNCTION("REGEXEXTRACT(J5421, ""[A-Za-z ]+$"")")," min")</f>
        <v> min</v>
      </c>
      <c r="AA5421" s="5" t="str">
        <f>IFERROR(__xludf.DUMMYFUNCTION("IF(REGEXMATCH(Z5421, ""Season""), ""TV Show"", ""Movie"")"),"Movie")</f>
        <v>Movie</v>
      </c>
    </row>
    <row r="5422">
      <c r="A5422" s="1" t="s">
        <v>27868</v>
      </c>
      <c r="B5422" s="1" t="s">
        <v>27</v>
      </c>
      <c r="C5422" s="1" t="s">
        <v>27869</v>
      </c>
      <c r="D5422" s="1" t="s">
        <v>16975</v>
      </c>
      <c r="E5422" s="1" t="s">
        <v>27870</v>
      </c>
      <c r="F5422" s="1" t="s">
        <v>63</v>
      </c>
      <c r="G5422" s="1" t="s">
        <v>27871</v>
      </c>
      <c r="H5422" s="1">
        <v>2016.0</v>
      </c>
      <c r="I5422" s="1" t="s">
        <v>136</v>
      </c>
      <c r="J5422" s="1" t="s">
        <v>198</v>
      </c>
      <c r="K5422" s="1" t="s">
        <v>5099</v>
      </c>
      <c r="L5422" s="1" t="s">
        <v>27872</v>
      </c>
      <c r="M5422" s="2" t="s">
        <v>12</v>
      </c>
      <c r="N5422" s="4">
        <f t="shared" si="1"/>
        <v>42907</v>
      </c>
      <c r="O5422" s="5" t="str">
        <f>IFERROR(__xludf.DUMMYFUNCTION("IF(REGEXMATCH(TRIM(I5422), ""^\d+\s*min""), ""Unclassified"", IF(I5422 = """", ""NR"", I5422))"),"TV-PG")</f>
        <v>TV-PG</v>
      </c>
      <c r="R5422" s="5" t="str">
        <f t="shared" si="2"/>
        <v>Dangal</v>
      </c>
      <c r="S5422" s="5" t="str">
        <f>IFERROR(__xludf.DUMMYFUNCTION("""COMPUTED_VALUE"""),"Peace Haven")</f>
        <v>Peace Haven</v>
      </c>
      <c r="V5422" s="5"/>
      <c r="Y5422" s="5" t="str">
        <f>IFERROR(__xludf.DUMMYFUNCTION("REGEXEXTRACT(J5422, ""^\d+"")"),"161")</f>
        <v>161</v>
      </c>
      <c r="Z5422" s="5" t="str">
        <f>IFERROR(__xludf.DUMMYFUNCTION("REGEXEXTRACT(J5422, ""[A-Za-z ]+$"")")," min")</f>
        <v> min</v>
      </c>
      <c r="AA5422" s="5" t="str">
        <f>IFERROR(__xludf.DUMMYFUNCTION("IF(REGEXMATCH(Z5422, ""Season""), ""TV Show"", ""Movie"")"),"Movie")</f>
        <v>Movie</v>
      </c>
    </row>
    <row r="5423">
      <c r="A5423" s="1" t="s">
        <v>27873</v>
      </c>
      <c r="B5423" s="1" t="s">
        <v>37</v>
      </c>
      <c r="C5423" s="1" t="s">
        <v>27874</v>
      </c>
      <c r="E5423" s="1" t="s">
        <v>27875</v>
      </c>
      <c r="F5423" s="1" t="s">
        <v>30</v>
      </c>
      <c r="G5423" s="1" t="s">
        <v>27871</v>
      </c>
      <c r="H5423" s="1">
        <v>2017.0</v>
      </c>
      <c r="I5423" s="1" t="s">
        <v>97</v>
      </c>
      <c r="J5423" s="1" t="s">
        <v>189</v>
      </c>
      <c r="K5423" s="1" t="s">
        <v>270</v>
      </c>
      <c r="L5423" s="1" t="s">
        <v>27876</v>
      </c>
      <c r="M5423" s="2" t="s">
        <v>12</v>
      </c>
      <c r="N5423" s="4">
        <f t="shared" si="1"/>
        <v>42907</v>
      </c>
      <c r="O5423" s="5" t="str">
        <f>IFERROR(__xludf.DUMMYFUNCTION("IF(REGEXMATCH(TRIM(I5423), ""^\d+\s*min""), ""Unclassified"", IF(I5423 = """", ""NR"", I5423))"),"TV-14")</f>
        <v>TV-14</v>
      </c>
      <c r="R5423" s="5" t="str">
        <f t="shared" si="2"/>
        <v>Young &amp; Hungry</v>
      </c>
      <c r="S5423" s="5" t="str">
        <f>IFERROR(__xludf.DUMMYFUNCTION("""COMPUTED_VALUE"""),"Peaky Blinders")</f>
        <v>Peaky Blinders</v>
      </c>
      <c r="V5423" s="5"/>
      <c r="Y5423" s="5" t="str">
        <f>IFERROR(__xludf.DUMMYFUNCTION("REGEXEXTRACT(J5423, ""^\d+"")"),"5")</f>
        <v>5</v>
      </c>
      <c r="Z5423" s="5" t="str">
        <f>IFERROR(__xludf.DUMMYFUNCTION("REGEXEXTRACT(J5423, ""[A-Za-z ]+$"")")," Seasons")</f>
        <v> Seasons</v>
      </c>
      <c r="AA5423" s="5" t="str">
        <f>IFERROR(__xludf.DUMMYFUNCTION("IF(REGEXMATCH(Z5423, ""Season""), ""TV Show"", ""Movie"")"),"TV Show")</f>
        <v>TV Show</v>
      </c>
    </row>
    <row r="5424">
      <c r="A5424" s="1" t="s">
        <v>27877</v>
      </c>
      <c r="B5424" s="1" t="s">
        <v>37</v>
      </c>
      <c r="C5424" s="1" t="s">
        <v>27878</v>
      </c>
      <c r="E5424" s="1" t="s">
        <v>27879</v>
      </c>
      <c r="F5424" s="1" t="s">
        <v>25549</v>
      </c>
      <c r="G5424" s="1" t="s">
        <v>27880</v>
      </c>
      <c r="H5424" s="1">
        <v>2014.0</v>
      </c>
      <c r="I5424" s="1" t="s">
        <v>289</v>
      </c>
      <c r="J5424" s="1" t="s">
        <v>43</v>
      </c>
      <c r="K5424" s="1" t="s">
        <v>314</v>
      </c>
      <c r="L5424" s="1" t="s">
        <v>27881</v>
      </c>
      <c r="M5424" s="2" t="s">
        <v>12</v>
      </c>
      <c r="N5424" s="4">
        <f t="shared" si="1"/>
        <v>42906</v>
      </c>
      <c r="O5424" s="5" t="str">
        <f>IFERROR(__xludf.DUMMYFUNCTION("IF(REGEXMATCH(TRIM(I5424), ""^\d+\s*min""), ""Unclassified"", IF(I5424 = """", ""NR"", I5424))"),"TV-Y7")</f>
        <v>TV-Y7</v>
      </c>
      <c r="R5424" s="5" t="str">
        <f t="shared" si="2"/>
        <v>Pac-Man And The Ghostly Adventures</v>
      </c>
      <c r="S5424" s="5" t="str">
        <f>IFERROR(__xludf.DUMMYFUNCTION("""COMPUTED_VALUE"""),"Peasants Rebellion")</f>
        <v>Peasants Rebellion</v>
      </c>
      <c r="V5424" s="5"/>
      <c r="Y5424" s="5" t="str">
        <f>IFERROR(__xludf.DUMMYFUNCTION("REGEXEXTRACT(J5424, ""^\d+"")"),"2")</f>
        <v>2</v>
      </c>
      <c r="Z5424" s="5" t="str">
        <f>IFERROR(__xludf.DUMMYFUNCTION("REGEXEXTRACT(J5424, ""[A-Za-z ]+$"")")," Seasons")</f>
        <v> Seasons</v>
      </c>
      <c r="AA5424" s="5" t="str">
        <f>IFERROR(__xludf.DUMMYFUNCTION("IF(REGEXMATCH(Z5424, ""Season""), ""TV Show"", ""Movie"")"),"TV Show")</f>
        <v>TV Show</v>
      </c>
    </row>
    <row r="5425">
      <c r="A5425" s="1" t="s">
        <v>27882</v>
      </c>
      <c r="B5425" s="1" t="s">
        <v>27</v>
      </c>
      <c r="C5425" s="1" t="s">
        <v>27883</v>
      </c>
      <c r="D5425" s="1" t="s">
        <v>19840</v>
      </c>
      <c r="E5425" s="1" t="s">
        <v>27884</v>
      </c>
      <c r="F5425" s="1" t="s">
        <v>30</v>
      </c>
      <c r="G5425" s="1" t="s">
        <v>27880</v>
      </c>
      <c r="H5425" s="1">
        <v>2017.0</v>
      </c>
      <c r="I5425" s="1" t="s">
        <v>289</v>
      </c>
      <c r="J5425" s="1" t="s">
        <v>7058</v>
      </c>
      <c r="K5425" s="1" t="s">
        <v>137</v>
      </c>
      <c r="L5425" s="1" t="s">
        <v>27885</v>
      </c>
      <c r="M5425" s="2" t="s">
        <v>12</v>
      </c>
      <c r="N5425" s="4">
        <f t="shared" si="1"/>
        <v>42906</v>
      </c>
      <c r="O5425" s="5" t="str">
        <f>IFERROR(__xludf.DUMMYFUNCTION("IF(REGEXMATCH(TRIM(I5425), ""^\d+\s*min""), ""Unclassified"", IF(I5425 = """", ""NR"", I5425))"),"TV-Y7")</f>
        <v>TV-Y7</v>
      </c>
      <c r="R5425" s="5" t="str">
        <f t="shared" si="2"/>
        <v>Puss In Book: Trapped In An Epic Tale</v>
      </c>
      <c r="S5425" s="5" t="str">
        <f>IFERROR(__xludf.DUMMYFUNCTION("""COMPUTED_VALUE"""),"Pedal The World")</f>
        <v>Pedal The World</v>
      </c>
      <c r="V5425" s="5"/>
      <c r="Y5425" s="5" t="str">
        <f>IFERROR(__xludf.DUMMYFUNCTION("REGEXEXTRACT(J5425, ""^\d+"")"),"24")</f>
        <v>24</v>
      </c>
      <c r="Z5425" s="5" t="str">
        <f>IFERROR(__xludf.DUMMYFUNCTION("REGEXEXTRACT(J5425, ""[A-Za-z ]+$"")")," min")</f>
        <v> min</v>
      </c>
      <c r="AA5425" s="5" t="str">
        <f>IFERROR(__xludf.DUMMYFUNCTION("IF(REGEXMATCH(Z5425, ""Season""), ""TV Show"", ""Movie"")"),"Movie")</f>
        <v>Movie</v>
      </c>
    </row>
    <row r="5426">
      <c r="A5426" s="1" t="s">
        <v>27886</v>
      </c>
      <c r="B5426" s="1" t="s">
        <v>27</v>
      </c>
      <c r="C5426" s="1" t="s">
        <v>27887</v>
      </c>
      <c r="D5426" s="1" t="s">
        <v>20624</v>
      </c>
      <c r="E5426" s="1" t="s">
        <v>27888</v>
      </c>
      <c r="F5426" s="1" t="s">
        <v>30</v>
      </c>
      <c r="G5426" s="1" t="s">
        <v>27880</v>
      </c>
      <c r="H5426" s="1">
        <v>2017.0</v>
      </c>
      <c r="I5426" s="1" t="s">
        <v>42</v>
      </c>
      <c r="J5426" s="1" t="s">
        <v>2636</v>
      </c>
      <c r="K5426" s="1" t="s">
        <v>1839</v>
      </c>
      <c r="L5426" s="1" t="s">
        <v>27889</v>
      </c>
      <c r="M5426" s="2" t="s">
        <v>12</v>
      </c>
      <c r="N5426" s="4">
        <f t="shared" si="1"/>
        <v>42906</v>
      </c>
      <c r="O5426" s="5" t="str">
        <f>IFERROR(__xludf.DUMMYFUNCTION("IF(REGEXMATCH(TRIM(I5426), ""^\d+\s*min""), ""Unclassified"", IF(I5426 = """", ""NR"", I5426))"),"TV-MA")</f>
        <v>TV-MA</v>
      </c>
      <c r="R5426" s="5" t="str">
        <f t="shared" si="2"/>
        <v>Rory Scovel Tries Stand-Up For The First Time</v>
      </c>
      <c r="S5426" s="5" t="str">
        <f>IFERROR(__xludf.DUMMYFUNCTION("""COMPUTED_VALUE"""),"Pee Mak")</f>
        <v>Pee Mak</v>
      </c>
      <c r="V5426" s="5"/>
      <c r="Y5426" s="5" t="str">
        <f>IFERROR(__xludf.DUMMYFUNCTION("REGEXEXTRACT(J5426, ""^\d+"")"),"66")</f>
        <v>66</v>
      </c>
      <c r="Z5426" s="5" t="str">
        <f>IFERROR(__xludf.DUMMYFUNCTION("REGEXEXTRACT(J5426, ""[A-Za-z ]+$"")")," min")</f>
        <v> min</v>
      </c>
      <c r="AA5426" s="5" t="str">
        <f>IFERROR(__xludf.DUMMYFUNCTION("IF(REGEXMATCH(Z5426, ""Season""), ""TV Show"", ""Movie"")"),"Movie")</f>
        <v>Movie</v>
      </c>
    </row>
    <row r="5427">
      <c r="A5427" s="1" t="s">
        <v>27890</v>
      </c>
      <c r="B5427" s="1" t="s">
        <v>37</v>
      </c>
      <c r="C5427" s="1" t="s">
        <v>27891</v>
      </c>
      <c r="E5427" s="1" t="s">
        <v>27892</v>
      </c>
      <c r="F5427" s="1" t="s">
        <v>30</v>
      </c>
      <c r="G5427" s="1" t="s">
        <v>27893</v>
      </c>
      <c r="H5427" s="1">
        <v>2016.0</v>
      </c>
      <c r="I5427" s="1" t="s">
        <v>42</v>
      </c>
      <c r="J5427" s="1" t="s">
        <v>43</v>
      </c>
      <c r="K5427" s="1" t="s">
        <v>4118</v>
      </c>
      <c r="L5427" s="1" t="s">
        <v>27894</v>
      </c>
      <c r="M5427" s="2" t="s">
        <v>12</v>
      </c>
      <c r="N5427" s="4">
        <f t="shared" si="1"/>
        <v>42902</v>
      </c>
      <c r="O5427" s="5" t="str">
        <f>IFERROR(__xludf.DUMMYFUNCTION("IF(REGEXMATCH(TRIM(I5427), ""^\d+\s*min""), ""Unclassified"", IF(I5427 = """", ""NR"", I5427))"),"TV-MA")</f>
        <v>TV-MA</v>
      </c>
      <c r="R5427" s="5" t="str">
        <f t="shared" si="2"/>
        <v>Aquarius</v>
      </c>
      <c r="S5427" s="5" t="str">
        <f>IFERROR(__xludf.DUMMYFUNCTION("""COMPUTED_VALUE"""),"Pee-Wee'S Big Holiday")</f>
        <v>Pee-Wee'S Big Holiday</v>
      </c>
      <c r="V5427" s="5"/>
      <c r="Y5427" s="5" t="str">
        <f>IFERROR(__xludf.DUMMYFUNCTION("REGEXEXTRACT(J5427, ""^\d+"")"),"2")</f>
        <v>2</v>
      </c>
      <c r="Z5427" s="5" t="str">
        <f>IFERROR(__xludf.DUMMYFUNCTION("REGEXEXTRACT(J5427, ""[A-Za-z ]+$"")")," Seasons")</f>
        <v> Seasons</v>
      </c>
      <c r="AA5427" s="5" t="str">
        <f>IFERROR(__xludf.DUMMYFUNCTION("IF(REGEXMATCH(Z5427, ""Season""), ""TV Show"", ""Movie"")"),"TV Show")</f>
        <v>TV Show</v>
      </c>
    </row>
    <row r="5428">
      <c r="A5428" s="1" t="s">
        <v>27895</v>
      </c>
      <c r="B5428" s="1" t="s">
        <v>27</v>
      </c>
      <c r="C5428" s="1" t="s">
        <v>27896</v>
      </c>
      <c r="D5428" s="1" t="s">
        <v>10368</v>
      </c>
      <c r="F5428" s="1" t="s">
        <v>30</v>
      </c>
      <c r="G5428" s="1" t="s">
        <v>27893</v>
      </c>
      <c r="H5428" s="1">
        <v>2017.0</v>
      </c>
      <c r="I5428" s="1" t="s">
        <v>42</v>
      </c>
      <c r="J5428" s="1" t="s">
        <v>79</v>
      </c>
      <c r="K5428" s="1" t="s">
        <v>645</v>
      </c>
      <c r="L5428" s="1" t="s">
        <v>27897</v>
      </c>
      <c r="M5428" s="2" t="s">
        <v>12</v>
      </c>
      <c r="N5428" s="4">
        <f t="shared" si="1"/>
        <v>42902</v>
      </c>
      <c r="O5428" s="5" t="str">
        <f>IFERROR(__xludf.DUMMYFUNCTION("IF(REGEXMATCH(TRIM(I5428), ""^\d+\s*min""), ""Unclassified"", IF(I5428 = """", ""NR"", I5428))"),"TV-MA")</f>
        <v>TV-MA</v>
      </c>
      <c r="R5428" s="5" t="str">
        <f t="shared" si="2"/>
        <v>Counterpunch</v>
      </c>
      <c r="S5428" s="5" t="str">
        <f>IFERROR(__xludf.DUMMYFUNCTION("""COMPUTED_VALUE"""),"Pee-Wee'S Playhouse")</f>
        <v>Pee-Wee'S Playhouse</v>
      </c>
      <c r="V5428" s="5"/>
      <c r="Y5428" s="5" t="str">
        <f>IFERROR(__xludf.DUMMYFUNCTION("REGEXEXTRACT(J5428, ""^\d+"")"),"91")</f>
        <v>91</v>
      </c>
      <c r="Z5428" s="5" t="str">
        <f>IFERROR(__xludf.DUMMYFUNCTION("REGEXEXTRACT(J5428, ""[A-Za-z ]+$"")")," min")</f>
        <v> min</v>
      </c>
      <c r="AA5428" s="5" t="str">
        <f>IFERROR(__xludf.DUMMYFUNCTION("IF(REGEXMATCH(Z5428, ""Season""), ""TV Show"", ""Movie"")"),"Movie")</f>
        <v>Movie</v>
      </c>
    </row>
    <row r="5429">
      <c r="A5429" s="1" t="s">
        <v>27898</v>
      </c>
      <c r="B5429" s="1" t="s">
        <v>27</v>
      </c>
      <c r="C5429" s="1" t="s">
        <v>27899</v>
      </c>
      <c r="D5429" s="1" t="s">
        <v>13025</v>
      </c>
      <c r="F5429" s="1" t="s">
        <v>30</v>
      </c>
      <c r="G5429" s="1" t="s">
        <v>27893</v>
      </c>
      <c r="H5429" s="1">
        <v>2017.0</v>
      </c>
      <c r="I5429" s="1" t="s">
        <v>136</v>
      </c>
      <c r="J5429" s="1" t="s">
        <v>665</v>
      </c>
      <c r="K5429" s="1" t="s">
        <v>34</v>
      </c>
      <c r="L5429" s="1" t="s">
        <v>27900</v>
      </c>
      <c r="M5429" s="2" t="s">
        <v>12</v>
      </c>
      <c r="N5429" s="4">
        <f t="shared" si="1"/>
        <v>42902</v>
      </c>
      <c r="O5429" s="5" t="str">
        <f>IFERROR(__xludf.DUMMYFUNCTION("IF(REGEXMATCH(TRIM(I5429), ""^\d+\s*min""), ""Unclassified"", IF(I5429 = """", ""NR"", I5429))"),"TV-PG")</f>
        <v>TV-PG</v>
      </c>
      <c r="R5429" s="5" t="str">
        <f t="shared" si="2"/>
        <v>What The Health</v>
      </c>
      <c r="S5429" s="5" t="str">
        <f>IFERROR(__xludf.DUMMYFUNCTION("""COMPUTED_VALUE"""),"Pee-Wee'S Playhouse: Christmas Special")</f>
        <v>Pee-Wee'S Playhouse: Christmas Special</v>
      </c>
      <c r="V5429" s="5"/>
      <c r="Y5429" s="5" t="str">
        <f>IFERROR(__xludf.DUMMYFUNCTION("REGEXEXTRACT(J5429, ""^\d+"")"),"92")</f>
        <v>92</v>
      </c>
      <c r="Z5429" s="5" t="str">
        <f>IFERROR(__xludf.DUMMYFUNCTION("REGEXEXTRACT(J5429, ""[A-Za-z ]+$"")")," min")</f>
        <v> min</v>
      </c>
      <c r="AA5429" s="5" t="str">
        <f>IFERROR(__xludf.DUMMYFUNCTION("IF(REGEXMATCH(Z5429, ""Season""), ""TV Show"", ""Movie"")"),"Movie")</f>
        <v>Movie</v>
      </c>
    </row>
    <row r="5430">
      <c r="A5430" s="1" t="s">
        <v>27901</v>
      </c>
      <c r="B5430" s="1" t="s">
        <v>37</v>
      </c>
      <c r="C5430" s="1" t="s">
        <v>27902</v>
      </c>
      <c r="D5430" s="1" t="s">
        <v>9575</v>
      </c>
      <c r="E5430" s="1" t="s">
        <v>27903</v>
      </c>
      <c r="F5430" s="1" t="s">
        <v>1162</v>
      </c>
      <c r="G5430" s="1" t="s">
        <v>27893</v>
      </c>
      <c r="H5430" s="1">
        <v>2017.0</v>
      </c>
      <c r="I5430" s="1" t="s">
        <v>289</v>
      </c>
      <c r="J5430" s="1" t="s">
        <v>43</v>
      </c>
      <c r="K5430" s="1" t="s">
        <v>290</v>
      </c>
      <c r="L5430" s="1" t="s">
        <v>27904</v>
      </c>
      <c r="M5430" s="2" t="s">
        <v>12</v>
      </c>
      <c r="N5430" s="4">
        <f t="shared" si="1"/>
        <v>42902</v>
      </c>
      <c r="O5430" s="5" t="str">
        <f>IFERROR(__xludf.DUMMYFUNCTION("IF(REGEXMATCH(TRIM(I5430), ""^\d+\s*min""), ""Unclassified"", IF(I5430 = """", ""NR"", I5430))"),"TV-Y7")</f>
        <v>TV-Y7</v>
      </c>
      <c r="R5430" s="5" t="str">
        <f t="shared" si="2"/>
        <v>World Of Winx</v>
      </c>
      <c r="S5430" s="5" t="str">
        <f>IFERROR(__xludf.DUMMYFUNCTION("""COMPUTED_VALUE"""),"Peepli Live")</f>
        <v>Peepli Live</v>
      </c>
      <c r="V5430" s="5"/>
      <c r="Y5430" s="5" t="str">
        <f>IFERROR(__xludf.DUMMYFUNCTION("REGEXEXTRACT(J5430, ""^\d+"")"),"2")</f>
        <v>2</v>
      </c>
      <c r="Z5430" s="5" t="str">
        <f>IFERROR(__xludf.DUMMYFUNCTION("REGEXEXTRACT(J5430, ""[A-Za-z ]+$"")")," Seasons")</f>
        <v> Seasons</v>
      </c>
      <c r="AA5430" s="5" t="str">
        <f>IFERROR(__xludf.DUMMYFUNCTION("IF(REGEXMATCH(Z5430, ""Season""), ""TV Show"", ""Movie"")"),"TV Show")</f>
        <v>TV Show</v>
      </c>
    </row>
    <row r="5431">
      <c r="A5431" s="1" t="s">
        <v>27905</v>
      </c>
      <c r="B5431" s="1" t="s">
        <v>27</v>
      </c>
      <c r="C5431" s="1" t="s">
        <v>27906</v>
      </c>
      <c r="D5431" s="1" t="s">
        <v>2585</v>
      </c>
      <c r="E5431" s="1" t="s">
        <v>27907</v>
      </c>
      <c r="F5431" s="1" t="s">
        <v>63</v>
      </c>
      <c r="G5431" s="1" t="s">
        <v>27908</v>
      </c>
      <c r="H5431" s="1">
        <v>2017.0</v>
      </c>
      <c r="I5431" s="1" t="s">
        <v>136</v>
      </c>
      <c r="J5431" s="1" t="s">
        <v>106</v>
      </c>
      <c r="K5431" s="1" t="s">
        <v>583</v>
      </c>
      <c r="L5431" s="1" t="s">
        <v>27909</v>
      </c>
      <c r="M5431" s="2" t="s">
        <v>12</v>
      </c>
      <c r="N5431" s="4">
        <f t="shared" si="1"/>
        <v>42901</v>
      </c>
      <c r="O5431" s="5" t="str">
        <f>IFERROR(__xludf.DUMMYFUNCTION("IF(REGEXMATCH(TRIM(I5431), ""^\d+\s*min""), ""Unclassified"", IF(I5431 = """", ""NR"", I5431))"),"TV-PG")</f>
        <v>TV-PG</v>
      </c>
      <c r="R5431" s="5" t="str">
        <f t="shared" si="2"/>
        <v>Kanavu Variyam</v>
      </c>
      <c r="S5431" s="5" t="str">
        <f>IFERROR(__xludf.DUMMYFUNCTION("""COMPUTED_VALUE"""),"Pegasus")</f>
        <v>Pegasus</v>
      </c>
      <c r="V5431" s="5"/>
      <c r="Y5431" s="5" t="str">
        <f>IFERROR(__xludf.DUMMYFUNCTION("REGEXEXTRACT(J5431, ""^\d+"")"),"104")</f>
        <v>104</v>
      </c>
      <c r="Z5431" s="5" t="str">
        <f>IFERROR(__xludf.DUMMYFUNCTION("REGEXEXTRACT(J5431, ""[A-Za-z ]+$"")")," min")</f>
        <v> min</v>
      </c>
      <c r="AA5431" s="5" t="str">
        <f>IFERROR(__xludf.DUMMYFUNCTION("IF(REGEXMATCH(Z5431, ""Season""), ""TV Show"", ""Movie"")"),"Movie")</f>
        <v>Movie</v>
      </c>
    </row>
    <row r="5432">
      <c r="A5432" s="1" t="s">
        <v>27910</v>
      </c>
      <c r="B5432" s="1" t="s">
        <v>27</v>
      </c>
      <c r="C5432" s="1" t="s">
        <v>27911</v>
      </c>
      <c r="D5432" s="1" t="s">
        <v>4073</v>
      </c>
      <c r="E5432" s="1" t="s">
        <v>27912</v>
      </c>
      <c r="F5432" s="1" t="s">
        <v>1992</v>
      </c>
      <c r="G5432" s="1" t="s">
        <v>27908</v>
      </c>
      <c r="H5432" s="1">
        <v>2017.0</v>
      </c>
      <c r="I5432" s="1" t="s">
        <v>42</v>
      </c>
      <c r="J5432" s="1" t="s">
        <v>5120</v>
      </c>
      <c r="K5432" s="1" t="s">
        <v>1839</v>
      </c>
      <c r="L5432" s="1" t="s">
        <v>27913</v>
      </c>
      <c r="M5432" s="2" t="s">
        <v>12</v>
      </c>
      <c r="N5432" s="4">
        <f t="shared" si="1"/>
        <v>42901</v>
      </c>
      <c r="O5432" s="5" t="str">
        <f>IFERROR(__xludf.DUMMYFUNCTION("IF(REGEXMATCH(TRIM(I5432), ""^\d+\s*min""), ""Unclassified"", IF(I5432 = """", ""NR"", I5432))"),"TV-MA")</f>
        <v>TV-MA</v>
      </c>
      <c r="R5432" s="5" t="str">
        <f t="shared" si="2"/>
        <v>Marco Luque: Tamo Junto</v>
      </c>
      <c r="S5432" s="5" t="str">
        <f>IFERROR(__xludf.DUMMYFUNCTION("""COMPUTED_VALUE"""),"Pek Yakında")</f>
        <v>Pek Yakında</v>
      </c>
      <c r="V5432" s="5"/>
      <c r="Y5432" s="5" t="str">
        <f>IFERROR(__xludf.DUMMYFUNCTION("REGEXEXTRACT(J5432, ""^\d+"")"),"73")</f>
        <v>73</v>
      </c>
      <c r="Z5432" s="5" t="str">
        <f>IFERROR(__xludf.DUMMYFUNCTION("REGEXEXTRACT(J5432, ""[A-Za-z ]+$"")")," min")</f>
        <v> min</v>
      </c>
      <c r="AA5432" s="5" t="str">
        <f>IFERROR(__xludf.DUMMYFUNCTION("IF(REGEXMATCH(Z5432, ""Season""), ""TV Show"", ""Movie"")"),"Movie")</f>
        <v>Movie</v>
      </c>
    </row>
    <row r="5433">
      <c r="A5433" s="1" t="s">
        <v>27914</v>
      </c>
      <c r="B5433" s="1" t="s">
        <v>27</v>
      </c>
      <c r="C5433" s="1" t="s">
        <v>27915</v>
      </c>
      <c r="D5433" s="1" t="s">
        <v>4088</v>
      </c>
      <c r="E5433" s="1" t="s">
        <v>27916</v>
      </c>
      <c r="F5433" s="1" t="s">
        <v>96</v>
      </c>
      <c r="G5433" s="1" t="s">
        <v>27908</v>
      </c>
      <c r="H5433" s="1">
        <v>2017.0</v>
      </c>
      <c r="I5433" s="1" t="s">
        <v>136</v>
      </c>
      <c r="J5433" s="1" t="s">
        <v>5207</v>
      </c>
      <c r="K5433" s="1" t="s">
        <v>34</v>
      </c>
      <c r="L5433" s="1" t="s">
        <v>27917</v>
      </c>
      <c r="M5433" s="2" t="s">
        <v>12</v>
      </c>
      <c r="N5433" s="4">
        <f t="shared" si="1"/>
        <v>42901</v>
      </c>
      <c r="O5433" s="5" t="str">
        <f>IFERROR(__xludf.DUMMYFUNCTION("IF(REGEXMATCH(TRIM(I5433), ""^\d+\s*min""), ""Unclassified"", IF(I5433 = """", ""NR"", I5433))"),"TV-PG")</f>
        <v>TV-PG</v>
      </c>
      <c r="R5433" s="5" t="str">
        <f t="shared" si="2"/>
        <v>The Russian Revolution</v>
      </c>
      <c r="S5433" s="5" t="str">
        <f>IFERROR(__xludf.DUMMYFUNCTION("""COMPUTED_VALUE"""),"Pekak")</f>
        <v>Pekak</v>
      </c>
      <c r="V5433" s="5"/>
      <c r="Y5433" s="5" t="str">
        <f>IFERROR(__xludf.DUMMYFUNCTION("REGEXEXTRACT(J5433, ""^\d+"")"),"47")</f>
        <v>47</v>
      </c>
      <c r="Z5433" s="5" t="str">
        <f>IFERROR(__xludf.DUMMYFUNCTION("REGEXEXTRACT(J5433, ""[A-Za-z ]+$"")")," min")</f>
        <v> min</v>
      </c>
      <c r="AA5433" s="5" t="str">
        <f>IFERROR(__xludf.DUMMYFUNCTION("IF(REGEXMATCH(Z5433, ""Season""), ""TV Show"", ""Movie"")"),"Movie")</f>
        <v>Movie</v>
      </c>
    </row>
    <row r="5434">
      <c r="A5434" s="1" t="s">
        <v>27918</v>
      </c>
      <c r="B5434" s="1" t="s">
        <v>27</v>
      </c>
      <c r="C5434" s="1" t="s">
        <v>27919</v>
      </c>
      <c r="D5434" s="1" t="s">
        <v>15684</v>
      </c>
      <c r="E5434" s="1" t="s">
        <v>27920</v>
      </c>
      <c r="F5434" s="1" t="s">
        <v>30</v>
      </c>
      <c r="G5434" s="1" t="s">
        <v>27921</v>
      </c>
      <c r="H5434" s="1">
        <v>2017.0</v>
      </c>
      <c r="I5434" s="1" t="s">
        <v>42</v>
      </c>
      <c r="J5434" s="1" t="s">
        <v>447</v>
      </c>
      <c r="K5434" s="1" t="s">
        <v>1839</v>
      </c>
      <c r="L5434" s="1" t="s">
        <v>27922</v>
      </c>
      <c r="M5434" s="2" t="s">
        <v>12</v>
      </c>
      <c r="N5434" s="4">
        <f t="shared" si="1"/>
        <v>42899</v>
      </c>
      <c r="O5434" s="5" t="str">
        <f>IFERROR(__xludf.DUMMYFUNCTION("IF(REGEXMATCH(TRIM(I5434), ""^\d+\s*min""), ""Unclassified"", IF(I5434 = """", ""NR"", I5434))"),"TV-MA")</f>
        <v>TV-MA</v>
      </c>
      <c r="R5434" s="5" t="str">
        <f t="shared" si="2"/>
        <v>Oh, Hello On Broadway</v>
      </c>
      <c r="S5434" s="5" t="str">
        <f>IFERROR(__xludf.DUMMYFUNCTION("""COMPUTED_VALUE"""),"Pelé")</f>
        <v>Pelé</v>
      </c>
      <c r="V5434" s="5"/>
      <c r="Y5434" s="5" t="str">
        <f>IFERROR(__xludf.DUMMYFUNCTION("REGEXEXTRACT(J5434, ""^\d+"")"),"102")</f>
        <v>102</v>
      </c>
      <c r="Z5434" s="5" t="str">
        <f>IFERROR(__xludf.DUMMYFUNCTION("REGEXEXTRACT(J5434, ""[A-Za-z ]+$"")")," min")</f>
        <v> min</v>
      </c>
      <c r="AA5434" s="5" t="str">
        <f>IFERROR(__xludf.DUMMYFUNCTION("IF(REGEXMATCH(Z5434, ""Season""), ""TV Show"", ""Movie"")"),"Movie")</f>
        <v>Movie</v>
      </c>
    </row>
    <row r="5435">
      <c r="A5435" s="1" t="s">
        <v>27923</v>
      </c>
      <c r="B5435" s="1" t="s">
        <v>37</v>
      </c>
      <c r="C5435" s="1" t="s">
        <v>27924</v>
      </c>
      <c r="E5435" s="1" t="s">
        <v>27925</v>
      </c>
      <c r="F5435" s="1" t="s">
        <v>749</v>
      </c>
      <c r="G5435" s="1" t="s">
        <v>27926</v>
      </c>
      <c r="H5435" s="1">
        <v>2016.0</v>
      </c>
      <c r="I5435" s="1" t="s">
        <v>136</v>
      </c>
      <c r="J5435" s="1" t="s">
        <v>51</v>
      </c>
      <c r="K5435" s="1" t="s">
        <v>7164</v>
      </c>
      <c r="L5435" s="1" t="s">
        <v>27927</v>
      </c>
      <c r="M5435" s="2" t="s">
        <v>12</v>
      </c>
      <c r="N5435" s="4">
        <f t="shared" si="1"/>
        <v>42896</v>
      </c>
      <c r="O5435" s="5" t="str">
        <f>IFERROR(__xludf.DUMMYFUNCTION("IF(REGEXMATCH(TRIM(I5435), ""^\d+\s*min""), ""Unclassified"", IF(I5435 = """", ""NR"", I5435))"),"TV-PG")</f>
        <v>TV-PG</v>
      </c>
      <c r="R5435" s="5" t="str">
        <f t="shared" si="2"/>
        <v>28 Moons</v>
      </c>
      <c r="S5435" s="5" t="str">
        <f>IFERROR(__xludf.DUMMYFUNCTION("""COMPUTED_VALUE"""),"Penalty")</f>
        <v>Penalty</v>
      </c>
      <c r="V5435" s="5"/>
      <c r="Y5435" s="5" t="str">
        <f>IFERROR(__xludf.DUMMYFUNCTION("REGEXEXTRACT(J5435, ""^\d+"")"),"1")</f>
        <v>1</v>
      </c>
      <c r="Z5435" s="5" t="str">
        <f>IFERROR(__xludf.DUMMYFUNCTION("REGEXEXTRACT(J5435, ""[A-Za-z ]+$"")")," Season")</f>
        <v> Season</v>
      </c>
      <c r="AA5435" s="5" t="str">
        <f>IFERROR(__xludf.DUMMYFUNCTION("IF(REGEXMATCH(Z5435, ""Season""), ""TV Show"", ""Movie"")"),"TV Show")</f>
        <v>TV Show</v>
      </c>
    </row>
    <row r="5436">
      <c r="A5436" s="1" t="s">
        <v>27928</v>
      </c>
      <c r="B5436" s="1" t="s">
        <v>37</v>
      </c>
      <c r="C5436" s="1" t="s">
        <v>27929</v>
      </c>
      <c r="E5436" s="1" t="s">
        <v>27930</v>
      </c>
      <c r="F5436" s="1" t="s">
        <v>749</v>
      </c>
      <c r="G5436" s="1" t="s">
        <v>27926</v>
      </c>
      <c r="H5436" s="1">
        <v>2016.0</v>
      </c>
      <c r="I5436" s="1" t="s">
        <v>136</v>
      </c>
      <c r="J5436" s="1" t="s">
        <v>51</v>
      </c>
      <c r="K5436" s="1" t="s">
        <v>7164</v>
      </c>
      <c r="L5436" s="1" t="s">
        <v>27931</v>
      </c>
      <c r="M5436" s="2" t="s">
        <v>12</v>
      </c>
      <c r="N5436" s="4">
        <f t="shared" si="1"/>
        <v>42896</v>
      </c>
      <c r="O5436" s="5" t="str">
        <f>IFERROR(__xludf.DUMMYFUNCTION("IF(REGEXMATCH(TRIM(I5436), ""^\d+\s*min""), ""Unclassified"", IF(I5436 = """", ""NR"", I5436))"),"TV-PG")</f>
        <v>TV-PG</v>
      </c>
      <c r="R5436" s="5" t="str">
        <f t="shared" si="2"/>
        <v>Magic Phone</v>
      </c>
      <c r="S5436" s="5" t="str">
        <f>IFERROR(__xludf.DUMMYFUNCTION("""COMPUTED_VALUE"""),"Penalty Kick")</f>
        <v>Penalty Kick</v>
      </c>
      <c r="V5436" s="5"/>
      <c r="Y5436" s="5" t="str">
        <f>IFERROR(__xludf.DUMMYFUNCTION("REGEXEXTRACT(J5436, ""^\d+"")"),"1")</f>
        <v>1</v>
      </c>
      <c r="Z5436" s="5" t="str">
        <f>IFERROR(__xludf.DUMMYFUNCTION("REGEXEXTRACT(J5436, ""[A-Za-z ]+$"")")," Season")</f>
        <v> Season</v>
      </c>
      <c r="AA5436" s="5" t="str">
        <f>IFERROR(__xludf.DUMMYFUNCTION("IF(REGEXMATCH(Z5436, ""Season""), ""TV Show"", ""Movie"")"),"TV Show")</f>
        <v>TV Show</v>
      </c>
    </row>
    <row r="5437">
      <c r="A5437" s="1" t="s">
        <v>27932</v>
      </c>
      <c r="B5437" s="1" t="s">
        <v>37</v>
      </c>
      <c r="C5437" s="1" t="s">
        <v>27933</v>
      </c>
      <c r="D5437" s="1" t="s">
        <v>4405</v>
      </c>
      <c r="E5437" s="1" t="s">
        <v>27934</v>
      </c>
      <c r="F5437" s="1" t="s">
        <v>749</v>
      </c>
      <c r="G5437" s="1" t="s">
        <v>27926</v>
      </c>
      <c r="H5437" s="1">
        <v>2017.0</v>
      </c>
      <c r="I5437" s="1" t="s">
        <v>97</v>
      </c>
      <c r="J5437" s="1" t="s">
        <v>51</v>
      </c>
      <c r="K5437" s="1" t="s">
        <v>6338</v>
      </c>
      <c r="L5437" s="1" t="s">
        <v>27935</v>
      </c>
      <c r="M5437" s="2" t="s">
        <v>12</v>
      </c>
      <c r="N5437" s="4">
        <f t="shared" si="1"/>
        <v>42896</v>
      </c>
      <c r="O5437" s="5" t="str">
        <f>IFERROR(__xludf.DUMMYFUNCTION("IF(REGEXMATCH(TRIM(I5437), ""^\d+\s*min""), ""Unclassified"", IF(I5437 = """", ""NR"", I5437))"),"TV-14")</f>
        <v>TV-14</v>
      </c>
      <c r="R5437" s="5" t="str">
        <f t="shared" si="2"/>
        <v>Man To Man</v>
      </c>
      <c r="S5437" s="5" t="str">
        <f>IFERROR(__xludf.DUMMYFUNCTION("""COMPUTED_VALUE"""),"Penelope")</f>
        <v>Penelope</v>
      </c>
      <c r="V5437" s="5"/>
      <c r="Y5437" s="5" t="str">
        <f>IFERROR(__xludf.DUMMYFUNCTION("REGEXEXTRACT(J5437, ""^\d+"")"),"1")</f>
        <v>1</v>
      </c>
      <c r="Z5437" s="5" t="str">
        <f>IFERROR(__xludf.DUMMYFUNCTION("REGEXEXTRACT(J5437, ""[A-Za-z ]+$"")")," Season")</f>
        <v> Season</v>
      </c>
      <c r="AA5437" s="5" t="str">
        <f>IFERROR(__xludf.DUMMYFUNCTION("IF(REGEXMATCH(Z5437, ""Season""), ""TV Show"", ""Movie"")"),"TV Show")</f>
        <v>TV Show</v>
      </c>
    </row>
    <row r="5438">
      <c r="A5438" s="1" t="s">
        <v>27936</v>
      </c>
      <c r="B5438" s="1" t="s">
        <v>37</v>
      </c>
      <c r="C5438" s="1" t="s">
        <v>27937</v>
      </c>
      <c r="E5438" s="1" t="s">
        <v>27938</v>
      </c>
      <c r="F5438" s="1" t="s">
        <v>749</v>
      </c>
      <c r="G5438" s="1" t="s">
        <v>27926</v>
      </c>
      <c r="H5438" s="1">
        <v>2016.0</v>
      </c>
      <c r="I5438" s="1" t="s">
        <v>136</v>
      </c>
      <c r="J5438" s="1" t="s">
        <v>51</v>
      </c>
      <c r="K5438" s="1" t="s">
        <v>6338</v>
      </c>
      <c r="L5438" s="1" t="s">
        <v>27939</v>
      </c>
      <c r="M5438" s="2" t="s">
        <v>12</v>
      </c>
      <c r="N5438" s="4">
        <f t="shared" si="1"/>
        <v>42896</v>
      </c>
      <c r="O5438" s="5" t="str">
        <f>IFERROR(__xludf.DUMMYFUNCTION("IF(REGEXMATCH(TRIM(I5438), ""^\d+\s*min""), ""Unclassified"", IF(I5438 = """", ""NR"", I5438))"),"TV-PG")</f>
        <v>TV-PG</v>
      </c>
      <c r="R5438" s="5" t="str">
        <f t="shared" si="2"/>
        <v>My Little Baby</v>
      </c>
      <c r="S5438" s="5" t="str">
        <f>IFERROR(__xludf.DUMMYFUNCTION("""COMPUTED_VALUE"""),"Penguin Bloom")</f>
        <v>Penguin Bloom</v>
      </c>
      <c r="V5438" s="5"/>
      <c r="Y5438" s="5" t="str">
        <f>IFERROR(__xludf.DUMMYFUNCTION("REGEXEXTRACT(J5438, ""^\d+"")"),"1")</f>
        <v>1</v>
      </c>
      <c r="Z5438" s="5" t="str">
        <f>IFERROR(__xludf.DUMMYFUNCTION("REGEXEXTRACT(J5438, ""[A-Za-z ]+$"")")," Season")</f>
        <v> Season</v>
      </c>
      <c r="AA5438" s="5" t="str">
        <f>IFERROR(__xludf.DUMMYFUNCTION("IF(REGEXMATCH(Z5438, ""Season""), ""TV Show"", ""Movie"")"),"TV Show")</f>
        <v>TV Show</v>
      </c>
    </row>
    <row r="5439">
      <c r="A5439" s="1" t="s">
        <v>27940</v>
      </c>
      <c r="B5439" s="1" t="s">
        <v>37</v>
      </c>
      <c r="C5439" s="1" t="s">
        <v>27941</v>
      </c>
      <c r="E5439" s="1" t="s">
        <v>27942</v>
      </c>
      <c r="F5439" s="1" t="s">
        <v>3892</v>
      </c>
      <c r="G5439" s="1" t="s">
        <v>27926</v>
      </c>
      <c r="H5439" s="1">
        <v>2015.0</v>
      </c>
      <c r="I5439" s="1" t="s">
        <v>97</v>
      </c>
      <c r="J5439" s="1" t="s">
        <v>51</v>
      </c>
      <c r="K5439" s="1" t="s">
        <v>1907</v>
      </c>
      <c r="L5439" s="1" t="s">
        <v>27943</v>
      </c>
      <c r="M5439" s="2" t="s">
        <v>12</v>
      </c>
      <c r="N5439" s="4">
        <f t="shared" si="1"/>
        <v>42896</v>
      </c>
      <c r="O5439" s="5" t="str">
        <f>IFERROR(__xludf.DUMMYFUNCTION("IF(REGEXMATCH(TRIM(I5439), ""^\d+\s*min""), ""Unclassified"", IF(I5439 = """", ""NR"", I5439))"),"TV-14")</f>
        <v>TV-14</v>
      </c>
      <c r="R5439" s="5" t="str">
        <f t="shared" si="2"/>
        <v>Singles Villa</v>
      </c>
      <c r="S5439" s="5" t="str">
        <f>IFERROR(__xludf.DUMMYFUNCTION("""COMPUTED_VALUE"""),"Penguin Town")</f>
        <v>Penguin Town</v>
      </c>
      <c r="V5439" s="5"/>
      <c r="Y5439" s="5" t="str">
        <f>IFERROR(__xludf.DUMMYFUNCTION("REGEXEXTRACT(J5439, ""^\d+"")"),"1")</f>
        <v>1</v>
      </c>
      <c r="Z5439" s="5" t="str">
        <f>IFERROR(__xludf.DUMMYFUNCTION("REGEXEXTRACT(J5439, ""[A-Za-z ]+$"")")," Season")</f>
        <v> Season</v>
      </c>
      <c r="AA5439" s="5" t="str">
        <f>IFERROR(__xludf.DUMMYFUNCTION("IF(REGEXMATCH(Z5439, ""Season""), ""TV Show"", ""Movie"")"),"TV Show")</f>
        <v>TV Show</v>
      </c>
    </row>
    <row r="5440">
      <c r="A5440" s="1" t="s">
        <v>27944</v>
      </c>
      <c r="B5440" s="1" t="s">
        <v>37</v>
      </c>
      <c r="C5440" s="1" t="s">
        <v>27945</v>
      </c>
      <c r="E5440" s="1" t="s">
        <v>27946</v>
      </c>
      <c r="F5440" s="1" t="s">
        <v>749</v>
      </c>
      <c r="G5440" s="1" t="s">
        <v>27926</v>
      </c>
      <c r="H5440" s="1">
        <v>2016.0</v>
      </c>
      <c r="I5440" s="1" t="s">
        <v>97</v>
      </c>
      <c r="J5440" s="1" t="s">
        <v>51</v>
      </c>
      <c r="K5440" s="1" t="s">
        <v>13832</v>
      </c>
      <c r="L5440" s="1" t="s">
        <v>27947</v>
      </c>
      <c r="M5440" s="2" t="s">
        <v>12</v>
      </c>
      <c r="N5440" s="4">
        <f t="shared" si="1"/>
        <v>42896</v>
      </c>
      <c r="O5440" s="5" t="str">
        <f>IFERROR(__xludf.DUMMYFUNCTION("IF(REGEXMATCH(TRIM(I5440), ""^\d+\s*min""), ""Unclassified"", IF(I5440 = """", ""NR"", I5440))"),"TV-14")</f>
        <v>TV-14</v>
      </c>
      <c r="R5440" s="5" t="str">
        <f t="shared" si="2"/>
        <v>Under The Black Moonlight</v>
      </c>
      <c r="S5440" s="5" t="str">
        <f>IFERROR(__xludf.DUMMYFUNCTION("""COMPUTED_VALUE"""),"Penguins Of Madagascar: The Movie")</f>
        <v>Penguins Of Madagascar: The Movie</v>
      </c>
      <c r="V5440" s="5"/>
      <c r="Y5440" s="5" t="str">
        <f>IFERROR(__xludf.DUMMYFUNCTION("REGEXEXTRACT(J5440, ""^\d+"")"),"1")</f>
        <v>1</v>
      </c>
      <c r="Z5440" s="5" t="str">
        <f>IFERROR(__xludf.DUMMYFUNCTION("REGEXEXTRACT(J5440, ""[A-Za-z ]+$"")")," Season")</f>
        <v> Season</v>
      </c>
      <c r="AA5440" s="5" t="str">
        <f>IFERROR(__xludf.DUMMYFUNCTION("IF(REGEXMATCH(Z5440, ""Season""), ""TV Show"", ""Movie"")"),"TV Show")</f>
        <v>TV Show</v>
      </c>
    </row>
    <row r="5441">
      <c r="A5441" s="1" t="s">
        <v>27948</v>
      </c>
      <c r="B5441" s="1" t="s">
        <v>37</v>
      </c>
      <c r="C5441" s="1" t="s">
        <v>27949</v>
      </c>
      <c r="E5441" s="1" t="s">
        <v>27950</v>
      </c>
      <c r="F5441" s="1" t="s">
        <v>749</v>
      </c>
      <c r="G5441" s="1" t="s">
        <v>27951</v>
      </c>
      <c r="H5441" s="1">
        <v>2017.0</v>
      </c>
      <c r="I5441" s="1" t="s">
        <v>42</v>
      </c>
      <c r="J5441" s="1" t="s">
        <v>51</v>
      </c>
      <c r="K5441" s="1" t="s">
        <v>7164</v>
      </c>
      <c r="L5441" s="1" t="s">
        <v>27952</v>
      </c>
      <c r="M5441" s="2" t="s">
        <v>12</v>
      </c>
      <c r="N5441" s="4">
        <f t="shared" si="1"/>
        <v>42895</v>
      </c>
      <c r="O5441" s="5" t="str">
        <f>IFERROR(__xludf.DUMMYFUNCTION("IF(REGEXMATCH(TRIM(I5441), ""^\d+\s*min""), ""Unclassified"", IF(I5441 = """", ""NR"", I5441))"),"TV-MA")</f>
        <v>TV-MA</v>
      </c>
      <c r="R5441" s="5" t="str">
        <f t="shared" si="2"/>
        <v>My Only Love Song</v>
      </c>
      <c r="S5441" s="5" t="str">
        <f>IFERROR(__xludf.DUMMYFUNCTION("""COMPUTED_VALUE"""),"Penny Dreadful")</f>
        <v>Penny Dreadful</v>
      </c>
      <c r="V5441" s="5"/>
      <c r="Y5441" s="5" t="str">
        <f>IFERROR(__xludf.DUMMYFUNCTION("REGEXEXTRACT(J5441, ""^\d+"")"),"1")</f>
        <v>1</v>
      </c>
      <c r="Z5441" s="5" t="str">
        <f>IFERROR(__xludf.DUMMYFUNCTION("REGEXEXTRACT(J5441, ""[A-Za-z ]+$"")")," Season")</f>
        <v> Season</v>
      </c>
      <c r="AA5441" s="5" t="str">
        <f>IFERROR(__xludf.DUMMYFUNCTION("IF(REGEXMATCH(Z5441, ""Season""), ""TV Show"", ""Movie"")"),"TV Show")</f>
        <v>TV Show</v>
      </c>
    </row>
    <row r="5442">
      <c r="A5442" s="1" t="s">
        <v>27953</v>
      </c>
      <c r="B5442" s="1" t="s">
        <v>27</v>
      </c>
      <c r="C5442" s="1" t="s">
        <v>27954</v>
      </c>
      <c r="D5442" s="1" t="s">
        <v>17324</v>
      </c>
      <c r="E5442" s="1" t="s">
        <v>27955</v>
      </c>
      <c r="F5442" s="1" t="s">
        <v>1979</v>
      </c>
      <c r="G5442" s="1" t="s">
        <v>27951</v>
      </c>
      <c r="H5442" s="1">
        <v>2017.0</v>
      </c>
      <c r="I5442" s="1" t="s">
        <v>42</v>
      </c>
      <c r="J5442" s="1" t="s">
        <v>630</v>
      </c>
      <c r="K5442" s="1" t="s">
        <v>2327</v>
      </c>
      <c r="L5442" s="1" t="s">
        <v>27956</v>
      </c>
      <c r="M5442" s="2" t="s">
        <v>12</v>
      </c>
      <c r="N5442" s="4">
        <f t="shared" si="1"/>
        <v>42895</v>
      </c>
      <c r="O5442" s="5" t="str">
        <f>IFERROR(__xludf.DUMMYFUNCTION("IF(REGEXMATCH(TRIM(I5442), ""^\d+\s*min""), ""Unclassified"", IF(I5442 = """", ""NR"", I5442))"),"TV-MA")</f>
        <v>TV-MA</v>
      </c>
      <c r="R5442" s="5" t="str">
        <f t="shared" si="2"/>
        <v>Shimmer Lake</v>
      </c>
      <c r="S5442" s="5" t="str">
        <f>IFERROR(__xludf.DUMMYFUNCTION("""COMPUTED_VALUE"""),"People Just Do Nothing")</f>
        <v>People Just Do Nothing</v>
      </c>
      <c r="V5442" s="5"/>
      <c r="Y5442" s="5" t="str">
        <f>IFERROR(__xludf.DUMMYFUNCTION("REGEXEXTRACT(J5442, ""^\d+"")"),"87")</f>
        <v>87</v>
      </c>
      <c r="Z5442" s="5" t="str">
        <f>IFERROR(__xludf.DUMMYFUNCTION("REGEXEXTRACT(J5442, ""[A-Za-z ]+$"")")," min")</f>
        <v> min</v>
      </c>
      <c r="AA5442" s="5" t="str">
        <f>IFERROR(__xludf.DUMMYFUNCTION("IF(REGEXMATCH(Z5442, ""Season""), ""TV Show"", ""Movie"")"),"Movie")</f>
        <v>Movie</v>
      </c>
    </row>
    <row r="5443">
      <c r="A5443" s="1" t="s">
        <v>27957</v>
      </c>
      <c r="B5443" s="1" t="s">
        <v>27</v>
      </c>
      <c r="C5443" s="1" t="s">
        <v>27958</v>
      </c>
      <c r="D5443" s="1" t="s">
        <v>14437</v>
      </c>
      <c r="E5443" s="1" t="s">
        <v>27959</v>
      </c>
      <c r="F5443" s="1" t="s">
        <v>63</v>
      </c>
      <c r="G5443" s="1" t="s">
        <v>27960</v>
      </c>
      <c r="H5443" s="1">
        <v>2017.0</v>
      </c>
      <c r="I5443" s="1" t="s">
        <v>97</v>
      </c>
      <c r="J5443" s="1" t="s">
        <v>743</v>
      </c>
      <c r="K5443" s="1" t="s">
        <v>15017</v>
      </c>
      <c r="L5443" s="1" t="s">
        <v>27961</v>
      </c>
      <c r="M5443" s="2" t="s">
        <v>12</v>
      </c>
      <c r="N5443" s="4">
        <f t="shared" si="1"/>
        <v>42891</v>
      </c>
      <c r="O5443" s="5" t="str">
        <f>IFERROR(__xludf.DUMMYFUNCTION("IF(REGEXMATCH(TRIM(I5443), ""^\d+\s*min""), ""Unclassified"", IF(I5443 = """", ""NR"", I5443))"),"TV-14")</f>
        <v>TV-14</v>
      </c>
      <c r="R5443" s="5" t="str">
        <f t="shared" si="2"/>
        <v>The Wishing Tree</v>
      </c>
      <c r="S5443" s="5" t="str">
        <f>IFERROR(__xludf.DUMMYFUNCTION("""COMPUTED_VALUE"""),"People You May Know")</f>
        <v>People You May Know</v>
      </c>
      <c r="V5443" s="5"/>
      <c r="Y5443" s="5" t="str">
        <f>IFERROR(__xludf.DUMMYFUNCTION("REGEXEXTRACT(J5443, ""^\d+"")"),"117")</f>
        <v>117</v>
      </c>
      <c r="Z5443" s="5" t="str">
        <f>IFERROR(__xludf.DUMMYFUNCTION("REGEXEXTRACT(J5443, ""[A-Za-z ]+$"")")," min")</f>
        <v> min</v>
      </c>
      <c r="AA5443" s="5" t="str">
        <f>IFERROR(__xludf.DUMMYFUNCTION("IF(REGEXMATCH(Z5443, ""Season""), ""TV Show"", ""Movie"")"),"Movie")</f>
        <v>Movie</v>
      </c>
    </row>
    <row r="5444">
      <c r="A5444" s="1" t="s">
        <v>27962</v>
      </c>
      <c r="B5444" s="1" t="s">
        <v>27</v>
      </c>
      <c r="C5444" s="1" t="s">
        <v>27963</v>
      </c>
      <c r="D5444" s="1" t="s">
        <v>22553</v>
      </c>
      <c r="E5444" s="1" t="s">
        <v>27964</v>
      </c>
      <c r="F5444" s="1" t="s">
        <v>2873</v>
      </c>
      <c r="G5444" s="1" t="s">
        <v>27965</v>
      </c>
      <c r="H5444" s="1">
        <v>2016.0</v>
      </c>
      <c r="I5444" s="1" t="s">
        <v>42</v>
      </c>
      <c r="J5444" s="1" t="s">
        <v>804</v>
      </c>
      <c r="K5444" s="1" t="s">
        <v>1066</v>
      </c>
      <c r="L5444" s="1" t="s">
        <v>27966</v>
      </c>
      <c r="M5444" s="2" t="s">
        <v>12</v>
      </c>
      <c r="N5444" s="4">
        <f t="shared" si="1"/>
        <v>42889</v>
      </c>
      <c r="O5444" s="5" t="str">
        <f>IFERROR(__xludf.DUMMYFUNCTION("IF(REGEXMATCH(TRIM(I5444), ""^\d+\s*min""), ""Unclassified"", IF(I5444 = """", ""NR"", I5444))"),"TV-MA")</f>
        <v>TV-MA</v>
      </c>
      <c r="R5444" s="5" t="str">
        <f t="shared" si="2"/>
        <v>Headshot</v>
      </c>
      <c r="S5444" s="5" t="str">
        <f>IFERROR(__xludf.DUMMYFUNCTION("""COMPUTED_VALUE"""),"Peppermint")</f>
        <v>Peppermint</v>
      </c>
      <c r="V5444" s="5"/>
      <c r="Y5444" s="5" t="str">
        <f>IFERROR(__xludf.DUMMYFUNCTION("REGEXEXTRACT(J5444, ""^\d+"")"),"119")</f>
        <v>119</v>
      </c>
      <c r="Z5444" s="5" t="str">
        <f>IFERROR(__xludf.DUMMYFUNCTION("REGEXEXTRACT(J5444, ""[A-Za-z ]+$"")")," min")</f>
        <v> min</v>
      </c>
      <c r="AA5444" s="5" t="str">
        <f>IFERROR(__xludf.DUMMYFUNCTION("IF(REGEXMATCH(Z5444, ""Season""), ""TV Show"", ""Movie"")"),"Movie")</f>
        <v>Movie</v>
      </c>
    </row>
    <row r="5445">
      <c r="A5445" s="1" t="s">
        <v>27967</v>
      </c>
      <c r="B5445" s="1" t="s">
        <v>27</v>
      </c>
      <c r="C5445" s="1" t="s">
        <v>27968</v>
      </c>
      <c r="D5445" s="1" t="s">
        <v>13108</v>
      </c>
      <c r="E5445" s="1" t="s">
        <v>27969</v>
      </c>
      <c r="F5445" s="1" t="s">
        <v>784</v>
      </c>
      <c r="G5445" s="1" t="s">
        <v>27970</v>
      </c>
      <c r="H5445" s="1">
        <v>2016.0</v>
      </c>
      <c r="I5445" s="1" t="s">
        <v>378</v>
      </c>
      <c r="J5445" s="1" t="s">
        <v>2281</v>
      </c>
      <c r="K5445" s="1" t="s">
        <v>128</v>
      </c>
      <c r="L5445" s="1" t="s">
        <v>27971</v>
      </c>
      <c r="M5445" s="2" t="s">
        <v>12</v>
      </c>
      <c r="N5445" s="4">
        <f t="shared" si="1"/>
        <v>42888</v>
      </c>
      <c r="O5445" s="5" t="str">
        <f>IFERROR(__xludf.DUMMYFUNCTION("IF(REGEXMATCH(TRIM(I5445), ""^\d+\s*min""), ""Unclassified"", IF(I5445 = """", ""NR"", I5445))"),"R")</f>
        <v>R</v>
      </c>
      <c r="R5445" s="5" t="str">
        <f t="shared" si="2"/>
        <v>1898: Our Last Men In The Philippines</v>
      </c>
      <c r="S5445" s="5" t="str">
        <f>IFERROR(__xludf.DUMMYFUNCTION("""COMPUTED_VALUE"""),"Perdida")</f>
        <v>Perdida</v>
      </c>
      <c r="V5445" s="5"/>
      <c r="Y5445" s="5" t="str">
        <f>IFERROR(__xludf.DUMMYFUNCTION("REGEXEXTRACT(J5445, ""^\d+"")"),"130")</f>
        <v>130</v>
      </c>
      <c r="Z5445" s="5" t="str">
        <f>IFERROR(__xludf.DUMMYFUNCTION("REGEXEXTRACT(J5445, ""[A-Za-z ]+$"")")," min")</f>
        <v> min</v>
      </c>
      <c r="AA5445" s="5" t="str">
        <f>IFERROR(__xludf.DUMMYFUNCTION("IF(REGEXMATCH(Z5445, ""Season""), ""TV Show"", ""Movie"")"),"Movie")</f>
        <v>Movie</v>
      </c>
    </row>
    <row r="5446">
      <c r="A5446" s="1" t="s">
        <v>27972</v>
      </c>
      <c r="B5446" s="1" t="s">
        <v>37</v>
      </c>
      <c r="C5446" s="1" t="s">
        <v>27973</v>
      </c>
      <c r="E5446" s="1" t="s">
        <v>27974</v>
      </c>
      <c r="F5446" s="1" t="s">
        <v>96</v>
      </c>
      <c r="G5446" s="1" t="s">
        <v>27970</v>
      </c>
      <c r="H5446" s="1">
        <v>2016.0</v>
      </c>
      <c r="I5446" s="1" t="s">
        <v>42</v>
      </c>
      <c r="J5446" s="1" t="s">
        <v>51</v>
      </c>
      <c r="K5446" s="1" t="s">
        <v>23944</v>
      </c>
      <c r="L5446" s="1" t="s">
        <v>27975</v>
      </c>
      <c r="M5446" s="2" t="s">
        <v>12</v>
      </c>
      <c r="N5446" s="4">
        <f t="shared" si="1"/>
        <v>42888</v>
      </c>
      <c r="O5446" s="5" t="str">
        <f>IFERROR(__xludf.DUMMYFUNCTION("IF(REGEXMATCH(TRIM(I5446), ""^\d+\s*min""), ""Unclassified"", IF(I5446 = """", ""NR"", I5446))"),"TV-MA")</f>
        <v>TV-MA</v>
      </c>
      <c r="R5446" s="5" t="str">
        <f t="shared" si="2"/>
        <v>Crashing</v>
      </c>
      <c r="S5446" s="5" t="str">
        <f>IFERROR(__xludf.DUMMYFUNCTION("""COMPUTED_VALUE"""),"Perfect Bid: The Contestant Who Knew Too Much")</f>
        <v>Perfect Bid: The Contestant Who Knew Too Much</v>
      </c>
      <c r="V5446" s="5"/>
      <c r="Y5446" s="5" t="str">
        <f>IFERROR(__xludf.DUMMYFUNCTION("REGEXEXTRACT(J5446, ""^\d+"")"),"1")</f>
        <v>1</v>
      </c>
      <c r="Z5446" s="5" t="str">
        <f>IFERROR(__xludf.DUMMYFUNCTION("REGEXEXTRACT(J5446, ""[A-Za-z ]+$"")")," Season")</f>
        <v> Season</v>
      </c>
      <c r="AA5446" s="5" t="str">
        <f>IFERROR(__xludf.DUMMYFUNCTION("IF(REGEXMATCH(Z5446, ""Season""), ""TV Show"", ""Movie"")"),"TV Show")</f>
        <v>TV Show</v>
      </c>
    </row>
    <row r="5447">
      <c r="A5447" s="1" t="s">
        <v>27976</v>
      </c>
      <c r="B5447" s="1" t="s">
        <v>37</v>
      </c>
      <c r="C5447" s="1" t="s">
        <v>27977</v>
      </c>
      <c r="E5447" s="1" t="s">
        <v>27978</v>
      </c>
      <c r="F5447" s="1" t="s">
        <v>30</v>
      </c>
      <c r="G5447" s="1" t="s">
        <v>27970</v>
      </c>
      <c r="H5447" s="1">
        <v>2017.0</v>
      </c>
      <c r="I5447" s="1" t="s">
        <v>42</v>
      </c>
      <c r="J5447" s="1" t="s">
        <v>43</v>
      </c>
      <c r="K5447" s="1" t="s">
        <v>149</v>
      </c>
      <c r="L5447" s="1" t="s">
        <v>27979</v>
      </c>
      <c r="M5447" s="2" t="s">
        <v>12</v>
      </c>
      <c r="N5447" s="4">
        <f t="shared" si="1"/>
        <v>42888</v>
      </c>
      <c r="O5447" s="5" t="str">
        <f>IFERROR(__xludf.DUMMYFUNCTION("IF(REGEXMATCH(TRIM(I5447), ""^\d+\s*min""), ""Unclassified"", IF(I5447 = """", ""NR"", I5447))"),"TV-MA")</f>
        <v>TV-MA</v>
      </c>
      <c r="R5447" s="5" t="str">
        <f t="shared" si="2"/>
        <v>Flaked</v>
      </c>
      <c r="S5447" s="5" t="str">
        <f>IFERROR(__xludf.DUMMYFUNCTION("""COMPUTED_VALUE"""),"Perfect Stranger")</f>
        <v>Perfect Stranger</v>
      </c>
      <c r="V5447" s="5"/>
      <c r="Y5447" s="5" t="str">
        <f>IFERROR(__xludf.DUMMYFUNCTION("REGEXEXTRACT(J5447, ""^\d+"")"),"2")</f>
        <v>2</v>
      </c>
      <c r="Z5447" s="5" t="str">
        <f>IFERROR(__xludf.DUMMYFUNCTION("REGEXEXTRACT(J5447, ""[A-Za-z ]+$"")")," Seasons")</f>
        <v> Seasons</v>
      </c>
      <c r="AA5447" s="5" t="str">
        <f>IFERROR(__xludf.DUMMYFUNCTION("IF(REGEXMATCH(Z5447, ""Season""), ""TV Show"", ""Movie"")"),"TV Show")</f>
        <v>TV Show</v>
      </c>
    </row>
    <row r="5448">
      <c r="A5448" s="1" t="s">
        <v>27980</v>
      </c>
      <c r="B5448" s="1" t="s">
        <v>27</v>
      </c>
      <c r="C5448" s="1" t="s">
        <v>27981</v>
      </c>
      <c r="D5448" s="1" t="s">
        <v>27982</v>
      </c>
      <c r="E5448" s="1" t="s">
        <v>27983</v>
      </c>
      <c r="F5448" s="1" t="s">
        <v>749</v>
      </c>
      <c r="G5448" s="1" t="s">
        <v>27970</v>
      </c>
      <c r="H5448" s="1">
        <v>2017.0</v>
      </c>
      <c r="I5448" s="1" t="s">
        <v>42</v>
      </c>
      <c r="J5448" s="1" t="s">
        <v>447</v>
      </c>
      <c r="K5448" s="1" t="s">
        <v>14389</v>
      </c>
      <c r="L5448" s="1" t="s">
        <v>27984</v>
      </c>
      <c r="M5448" s="2" t="s">
        <v>12</v>
      </c>
      <c r="N5448" s="4">
        <f t="shared" si="1"/>
        <v>42888</v>
      </c>
      <c r="O5448" s="5" t="str">
        <f>IFERROR(__xludf.DUMMYFUNCTION("IF(REGEXMATCH(TRIM(I5448), ""^\d+\s*min""), ""Unclassified"", IF(I5448 = """", ""NR"", I5448))"),"TV-MA")</f>
        <v>TV-MA</v>
      </c>
      <c r="R5448" s="5" t="str">
        <f t="shared" si="2"/>
        <v>Lucid Dream</v>
      </c>
      <c r="S5448" s="5" t="str">
        <f>IFERROR(__xludf.DUMMYFUNCTION("""COMPUTED_VALUE"""),"Perfume")</f>
        <v>Perfume</v>
      </c>
      <c r="V5448" s="5"/>
      <c r="Y5448" s="5" t="str">
        <f>IFERROR(__xludf.DUMMYFUNCTION("REGEXEXTRACT(J5448, ""^\d+"")"),"102")</f>
        <v>102</v>
      </c>
      <c r="Z5448" s="5" t="str">
        <f>IFERROR(__xludf.DUMMYFUNCTION("REGEXEXTRACT(J5448, ""[A-Za-z ]+$"")")," min")</f>
        <v> min</v>
      </c>
      <c r="AA5448" s="5" t="str">
        <f>IFERROR(__xludf.DUMMYFUNCTION("IF(REGEXMATCH(Z5448, ""Season""), ""TV Show"", ""Movie"")"),"Movie")</f>
        <v>Movie</v>
      </c>
    </row>
    <row r="5449">
      <c r="A5449" s="1" t="s">
        <v>27985</v>
      </c>
      <c r="B5449" s="1" t="s">
        <v>27</v>
      </c>
      <c r="C5449" s="1" t="s">
        <v>27986</v>
      </c>
      <c r="D5449" s="1" t="s">
        <v>23036</v>
      </c>
      <c r="E5449" s="1" t="s">
        <v>27987</v>
      </c>
      <c r="F5449" s="1" t="s">
        <v>63</v>
      </c>
      <c r="G5449" s="1" t="s">
        <v>27988</v>
      </c>
      <c r="H5449" s="1">
        <v>1993.0</v>
      </c>
      <c r="I5449" s="1" t="s">
        <v>97</v>
      </c>
      <c r="J5449" s="1" t="s">
        <v>965</v>
      </c>
      <c r="K5449" s="1" t="s">
        <v>1429</v>
      </c>
      <c r="L5449" s="1" t="s">
        <v>27989</v>
      </c>
      <c r="M5449" s="2" t="s">
        <v>12</v>
      </c>
      <c r="N5449" s="4">
        <f t="shared" si="1"/>
        <v>42887</v>
      </c>
      <c r="O5449" s="5" t="str">
        <f>IFERROR(__xludf.DUMMYFUNCTION("IF(REGEXMATCH(TRIM(I5449), ""^\d+\s*min""), ""Unclassified"", IF(I5449 = """", ""NR"", I5449))"),"TV-14")</f>
        <v>TV-14</v>
      </c>
      <c r="R5449" s="5" t="str">
        <f t="shared" si="2"/>
        <v>Aashik Awara</v>
      </c>
      <c r="S5449" s="5" t="str">
        <f>IFERROR(__xludf.DUMMYFUNCTION("""COMPUTED_VALUE"""),"Perfume Imaginary Museum “Time Warp”")</f>
        <v>Perfume Imaginary Museum “Time Warp”</v>
      </c>
      <c r="V5449" s="5"/>
      <c r="Y5449" s="5" t="str">
        <f>IFERROR(__xludf.DUMMYFUNCTION("REGEXEXTRACT(J5449, ""^\d+"")"),"154")</f>
        <v>154</v>
      </c>
      <c r="Z5449" s="5" t="str">
        <f>IFERROR(__xludf.DUMMYFUNCTION("REGEXEXTRACT(J5449, ""[A-Za-z ]+$"")")," min")</f>
        <v> min</v>
      </c>
      <c r="AA5449" s="5" t="str">
        <f>IFERROR(__xludf.DUMMYFUNCTION("IF(REGEXMATCH(Z5449, ""Season""), ""TV Show"", ""Movie"")"),"Movie")</f>
        <v>Movie</v>
      </c>
    </row>
    <row r="5450">
      <c r="A5450" s="1" t="s">
        <v>27990</v>
      </c>
      <c r="B5450" s="1" t="s">
        <v>27</v>
      </c>
      <c r="C5450" s="1" t="s">
        <v>27991</v>
      </c>
      <c r="D5450" s="1" t="s">
        <v>6847</v>
      </c>
      <c r="E5450" s="1" t="s">
        <v>27992</v>
      </c>
      <c r="F5450" s="1" t="s">
        <v>96</v>
      </c>
      <c r="G5450" s="1" t="s">
        <v>27988</v>
      </c>
      <c r="H5450" s="1">
        <v>2017.0</v>
      </c>
      <c r="I5450" s="1" t="s">
        <v>136</v>
      </c>
      <c r="J5450" s="1" t="s">
        <v>10890</v>
      </c>
      <c r="K5450" s="1" t="s">
        <v>34</v>
      </c>
      <c r="L5450" s="1" t="s">
        <v>27993</v>
      </c>
      <c r="M5450" s="2" t="s">
        <v>12</v>
      </c>
      <c r="N5450" s="4">
        <f t="shared" si="1"/>
        <v>42887</v>
      </c>
      <c r="O5450" s="5" t="str">
        <f>IFERROR(__xludf.DUMMYFUNCTION("IF(REGEXMATCH(TRIM(I5450), ""^\d+\s*min""), ""Unclassified"", IF(I5450 = """", ""NR"", I5450))"),"TV-PG")</f>
        <v>TV-PG</v>
      </c>
      <c r="R5450" s="5" t="str">
        <f t="shared" si="2"/>
        <v>Amelia: A Tale Of Two Sisters</v>
      </c>
      <c r="S5450" s="5" t="str">
        <f>IFERROR(__xludf.DUMMYFUNCTION("""COMPUTED_VALUE"""),"Period. End Of Sentence.")</f>
        <v>Period. End Of Sentence.</v>
      </c>
      <c r="V5450" s="5"/>
      <c r="Y5450" s="5" t="str">
        <f>IFERROR(__xludf.DUMMYFUNCTION("REGEXEXTRACT(J5450, ""^\d+"")"),"44")</f>
        <v>44</v>
      </c>
      <c r="Z5450" s="5" t="str">
        <f>IFERROR(__xludf.DUMMYFUNCTION("REGEXEXTRACT(J5450, ""[A-Za-z ]+$"")")," min")</f>
        <v> min</v>
      </c>
      <c r="AA5450" s="5" t="str">
        <f>IFERROR(__xludf.DUMMYFUNCTION("IF(REGEXMATCH(Z5450, ""Season""), ""TV Show"", ""Movie"")"),"Movie")</f>
        <v>Movie</v>
      </c>
    </row>
    <row r="5451">
      <c r="A5451" s="1" t="s">
        <v>27994</v>
      </c>
      <c r="B5451" s="1" t="s">
        <v>27</v>
      </c>
      <c r="C5451" s="1" t="s">
        <v>27995</v>
      </c>
      <c r="D5451" s="1" t="s">
        <v>17306</v>
      </c>
      <c r="E5451" s="1" t="s">
        <v>27996</v>
      </c>
      <c r="F5451" s="1" t="s">
        <v>30</v>
      </c>
      <c r="G5451" s="1" t="s">
        <v>27988</v>
      </c>
      <c r="H5451" s="1">
        <v>2016.0</v>
      </c>
      <c r="I5451" s="1" t="s">
        <v>42</v>
      </c>
      <c r="J5451" s="1" t="s">
        <v>322</v>
      </c>
      <c r="K5451" s="1" t="s">
        <v>1749</v>
      </c>
      <c r="L5451" s="1" t="s">
        <v>27997</v>
      </c>
      <c r="M5451" s="2" t="s">
        <v>12</v>
      </c>
      <c r="N5451" s="4">
        <f t="shared" si="1"/>
        <v>42887</v>
      </c>
      <c r="O5451" s="5" t="str">
        <f>IFERROR(__xludf.DUMMYFUNCTION("IF(REGEXMATCH(TRIM(I5451), ""^\d+\s*min""), ""Unclassified"", IF(I5451 = """", ""NR"", I5451))"),"TV-MA")</f>
        <v>TV-MA</v>
      </c>
      <c r="R5451" s="5" t="str">
        <f t="shared" si="2"/>
        <v>Catfight</v>
      </c>
      <c r="S5451" s="5" t="str">
        <f>IFERROR(__xludf.DUMMYFUNCTION("""COMPUTED_VALUE"""),"Person Of Interest")</f>
        <v>Person Of Interest</v>
      </c>
      <c r="V5451" s="5"/>
      <c r="Y5451" s="5" t="str">
        <f>IFERROR(__xludf.DUMMYFUNCTION("REGEXEXTRACT(J5451, ""^\d+"")"),"96")</f>
        <v>96</v>
      </c>
      <c r="Z5451" s="5" t="str">
        <f>IFERROR(__xludf.DUMMYFUNCTION("REGEXEXTRACT(J5451, ""[A-Za-z ]+$"")")," min")</f>
        <v> min</v>
      </c>
      <c r="AA5451" s="5" t="str">
        <f>IFERROR(__xludf.DUMMYFUNCTION("IF(REGEXMATCH(Z5451, ""Season""), ""TV Show"", ""Movie"")"),"Movie")</f>
        <v>Movie</v>
      </c>
    </row>
    <row r="5452">
      <c r="A5452" s="1" t="s">
        <v>27998</v>
      </c>
      <c r="B5452" s="1" t="s">
        <v>27</v>
      </c>
      <c r="C5452" s="1" t="s">
        <v>27999</v>
      </c>
      <c r="D5452" s="1" t="s">
        <v>4088</v>
      </c>
      <c r="E5452" s="1" t="s">
        <v>4088</v>
      </c>
      <c r="F5452" s="1" t="s">
        <v>96</v>
      </c>
      <c r="G5452" s="1" t="s">
        <v>27988</v>
      </c>
      <c r="H5452" s="1">
        <v>2017.0</v>
      </c>
      <c r="I5452" s="1" t="s">
        <v>97</v>
      </c>
      <c r="J5452" s="1" t="s">
        <v>5207</v>
      </c>
      <c r="K5452" s="1" t="s">
        <v>34</v>
      </c>
      <c r="L5452" s="1" t="s">
        <v>28000</v>
      </c>
      <c r="M5452" s="2" t="s">
        <v>12</v>
      </c>
      <c r="N5452" s="4">
        <f t="shared" si="1"/>
        <v>42887</v>
      </c>
      <c r="O5452" s="5" t="str">
        <f>IFERROR(__xludf.DUMMYFUNCTION("IF(REGEXMATCH(TRIM(I5452), ""^\d+\s*min""), ""Unclassified"", IF(I5452 = """", ""NR"", I5452))"),"TV-14")</f>
        <v>TV-14</v>
      </c>
      <c r="R5452" s="5" t="str">
        <f t="shared" si="2"/>
        <v>How To Stage A Coup</v>
      </c>
      <c r="S5452" s="5" t="str">
        <f>IFERROR(__xludf.DUMMYFUNCTION("""COMPUTED_VALUE"""),"Persona")</f>
        <v>Persona</v>
      </c>
      <c r="V5452" s="5"/>
      <c r="Y5452" s="5" t="str">
        <f>IFERROR(__xludf.DUMMYFUNCTION("REGEXEXTRACT(J5452, ""^\d+"")"),"47")</f>
        <v>47</v>
      </c>
      <c r="Z5452" s="5" t="str">
        <f>IFERROR(__xludf.DUMMYFUNCTION("REGEXEXTRACT(J5452, ""[A-Za-z ]+$"")")," min")</f>
        <v> min</v>
      </c>
      <c r="AA5452" s="5" t="str">
        <f>IFERROR(__xludf.DUMMYFUNCTION("IF(REGEXMATCH(Z5452, ""Season""), ""TV Show"", ""Movie"")"),"Movie")</f>
        <v>Movie</v>
      </c>
    </row>
    <row r="5453">
      <c r="A5453" s="1" t="s">
        <v>28001</v>
      </c>
      <c r="B5453" s="1" t="s">
        <v>27</v>
      </c>
      <c r="C5453" s="1" t="s">
        <v>28002</v>
      </c>
      <c r="D5453" s="1" t="s">
        <v>6847</v>
      </c>
      <c r="E5453" s="1" t="s">
        <v>27992</v>
      </c>
      <c r="F5453" s="1" t="s">
        <v>96</v>
      </c>
      <c r="G5453" s="1" t="s">
        <v>27988</v>
      </c>
      <c r="H5453" s="1">
        <v>2017.0</v>
      </c>
      <c r="I5453" s="1" t="s">
        <v>136</v>
      </c>
      <c r="J5453" s="1" t="s">
        <v>10890</v>
      </c>
      <c r="K5453" s="1" t="s">
        <v>34</v>
      </c>
      <c r="L5453" s="1" t="s">
        <v>28003</v>
      </c>
      <c r="M5453" s="2" t="s">
        <v>12</v>
      </c>
      <c r="N5453" s="4">
        <f t="shared" si="1"/>
        <v>42887</v>
      </c>
      <c r="O5453" s="5" t="str">
        <f>IFERROR(__xludf.DUMMYFUNCTION("IF(REGEXMATCH(TRIM(I5453), ""^\d+\s*min""), ""Unclassified"", IF(I5453 = """", ""NR"", I5453))"),"TV-PG")</f>
        <v>TV-PG</v>
      </c>
      <c r="R5453" s="5" t="str">
        <f t="shared" si="2"/>
        <v>Jackie: A Tale Of Two Sisters</v>
      </c>
      <c r="S5453" s="5" t="str">
        <f>IFERROR(__xludf.DUMMYFUNCTION("""COMPUTED_VALUE"""),"Personal Shopper")</f>
        <v>Personal Shopper</v>
      </c>
      <c r="V5453" s="5"/>
      <c r="Y5453" s="5" t="str">
        <f>IFERROR(__xludf.DUMMYFUNCTION("REGEXEXTRACT(J5453, ""^\d+"")"),"44")</f>
        <v>44</v>
      </c>
      <c r="Z5453" s="5" t="str">
        <f>IFERROR(__xludf.DUMMYFUNCTION("REGEXEXTRACT(J5453, ""[A-Za-z ]+$"")")," min")</f>
        <v> min</v>
      </c>
      <c r="AA5453" s="5" t="str">
        <f>IFERROR(__xludf.DUMMYFUNCTION("IF(REGEXMATCH(Z5453, ""Season""), ""TV Show"", ""Movie"")"),"Movie")</f>
        <v>Movie</v>
      </c>
    </row>
    <row r="5454">
      <c r="A5454" s="1" t="s">
        <v>28004</v>
      </c>
      <c r="B5454" s="1" t="s">
        <v>27</v>
      </c>
      <c r="C5454" s="1" t="s">
        <v>28005</v>
      </c>
      <c r="D5454" s="1" t="s">
        <v>10447</v>
      </c>
      <c r="E5454" s="1" t="s">
        <v>28006</v>
      </c>
      <c r="F5454" s="1" t="s">
        <v>63</v>
      </c>
      <c r="G5454" s="1" t="s">
        <v>27988</v>
      </c>
      <c r="H5454" s="1">
        <v>2015.0</v>
      </c>
      <c r="I5454" s="1" t="s">
        <v>42</v>
      </c>
      <c r="J5454" s="1" t="s">
        <v>1065</v>
      </c>
      <c r="K5454" s="1" t="s">
        <v>89</v>
      </c>
      <c r="L5454" s="1" t="s">
        <v>28007</v>
      </c>
      <c r="M5454" s="2" t="s">
        <v>12</v>
      </c>
      <c r="N5454" s="4">
        <f t="shared" si="1"/>
        <v>42887</v>
      </c>
      <c r="O5454" s="5" t="str">
        <f>IFERROR(__xludf.DUMMYFUNCTION("IF(REGEXMATCH(TRIM(I5454), ""^\d+\s*min""), ""Unclassified"", IF(I5454 = """", ""NR"", I5454))"),"TV-MA")</f>
        <v>TV-MA</v>
      </c>
      <c r="R5454" s="5" t="str">
        <f t="shared" si="2"/>
        <v>Lens</v>
      </c>
      <c r="S5454" s="5" t="str">
        <f>IFERROR(__xludf.DUMMYFUNCTION("""COMPUTED_VALUE"""),"Perú: Tesoro Escondido")</f>
        <v>Perú: Tesoro Escondido</v>
      </c>
      <c r="V5454" s="5"/>
      <c r="Y5454" s="5" t="str">
        <f>IFERROR(__xludf.DUMMYFUNCTION("REGEXEXTRACT(J5454, ""^\d+"")"),"109")</f>
        <v>109</v>
      </c>
      <c r="Z5454" s="5" t="str">
        <f>IFERROR(__xludf.DUMMYFUNCTION("REGEXEXTRACT(J5454, ""[A-Za-z ]+$"")")," min")</f>
        <v> min</v>
      </c>
      <c r="AA5454" s="5" t="str">
        <f>IFERROR(__xludf.DUMMYFUNCTION("IF(REGEXMATCH(Z5454, ""Season""), ""TV Show"", ""Movie"")"),"Movie")</f>
        <v>Movie</v>
      </c>
    </row>
    <row r="5455">
      <c r="A5455" s="1" t="s">
        <v>28008</v>
      </c>
      <c r="B5455" s="1" t="s">
        <v>27</v>
      </c>
      <c r="C5455" s="1" t="s">
        <v>28009</v>
      </c>
      <c r="D5455" s="1" t="s">
        <v>19340</v>
      </c>
      <c r="E5455" s="1" t="s">
        <v>28010</v>
      </c>
      <c r="F5455" s="1" t="s">
        <v>30</v>
      </c>
      <c r="G5455" s="1" t="s">
        <v>27988</v>
      </c>
      <c r="H5455" s="1">
        <v>2016.0</v>
      </c>
      <c r="I5455" s="1" t="s">
        <v>42</v>
      </c>
      <c r="J5455" s="1" t="s">
        <v>1191</v>
      </c>
      <c r="K5455" s="1" t="s">
        <v>836</v>
      </c>
      <c r="L5455" s="1" t="s">
        <v>28011</v>
      </c>
      <c r="M5455" s="2" t="s">
        <v>12</v>
      </c>
      <c r="N5455" s="4">
        <f t="shared" si="1"/>
        <v>42887</v>
      </c>
      <c r="O5455" s="5" t="str">
        <f>IFERROR(__xludf.DUMMYFUNCTION("IF(REGEXMATCH(TRIM(I5455), ""^\d+\s*min""), ""Unclassified"", IF(I5455 = """", ""NR"", I5455))"),"TV-MA")</f>
        <v>TV-MA</v>
      </c>
      <c r="R5455" s="5" t="str">
        <f t="shared" si="2"/>
        <v>Little Boxes</v>
      </c>
      <c r="S5455" s="5" t="str">
        <f>IFERROR(__xludf.DUMMYFUNCTION("""COMPUTED_VALUE"""),"Pet Sematary 2")</f>
        <v>Pet Sematary 2</v>
      </c>
      <c r="V5455" s="5"/>
      <c r="Y5455" s="5" t="str">
        <f>IFERROR(__xludf.DUMMYFUNCTION("REGEXEXTRACT(J5455, ""^\d+"")"),"89")</f>
        <v>89</v>
      </c>
      <c r="Z5455" s="5" t="str">
        <f>IFERROR(__xludf.DUMMYFUNCTION("REGEXEXTRACT(J5455, ""[A-Za-z ]+$"")")," min")</f>
        <v> min</v>
      </c>
      <c r="AA5455" s="5" t="str">
        <f>IFERROR(__xludf.DUMMYFUNCTION("IF(REGEXMATCH(Z5455, ""Season""), ""TV Show"", ""Movie"")"),"Movie")</f>
        <v>Movie</v>
      </c>
    </row>
    <row r="5456">
      <c r="A5456" s="1" t="s">
        <v>28012</v>
      </c>
      <c r="B5456" s="1" t="s">
        <v>27</v>
      </c>
      <c r="C5456" s="8" t="s">
        <v>28013</v>
      </c>
      <c r="D5456" s="1" t="s">
        <v>2145</v>
      </c>
      <c r="E5456" s="1" t="s">
        <v>28014</v>
      </c>
      <c r="F5456" s="1" t="s">
        <v>1992</v>
      </c>
      <c r="G5456" s="1" t="s">
        <v>27988</v>
      </c>
      <c r="H5456" s="1">
        <v>2017.0</v>
      </c>
      <c r="I5456" s="1" t="s">
        <v>42</v>
      </c>
      <c r="J5456" s="1" t="s">
        <v>665</v>
      </c>
      <c r="K5456" s="1" t="s">
        <v>215</v>
      </c>
      <c r="L5456" s="1" t="s">
        <v>28015</v>
      </c>
      <c r="M5456" s="2" t="s">
        <v>12</v>
      </c>
      <c r="N5456" s="4">
        <f t="shared" si="1"/>
        <v>42887</v>
      </c>
      <c r="O5456" s="5" t="str">
        <f>IFERROR(__xludf.DUMMYFUNCTION("IF(REGEXMATCH(TRIM(I5456), ""^\d+\s*min""), ""Unclassified"", IF(I5456 = """", ""NR"", I5456))"),"TV-MA")</f>
        <v>TV-MA</v>
      </c>
      <c r="R5456" s="9" t="str">
        <f t="shared" si="2"/>
        <v>Love.Com</v>
      </c>
      <c r="S5456" s="5" t="str">
        <f>IFERROR(__xludf.DUMMYFUNCTION("""COMPUTED_VALUE"""),"Pet Stars")</f>
        <v>Pet Stars</v>
      </c>
      <c r="V5456" s="5"/>
      <c r="Y5456" s="5" t="str">
        <f>IFERROR(__xludf.DUMMYFUNCTION("REGEXEXTRACT(J5456, ""^\d+"")"),"92")</f>
        <v>92</v>
      </c>
      <c r="Z5456" s="5" t="str">
        <f>IFERROR(__xludf.DUMMYFUNCTION("REGEXEXTRACT(J5456, ""[A-Za-z ]+$"")")," min")</f>
        <v> min</v>
      </c>
      <c r="AA5456" s="5" t="str">
        <f>IFERROR(__xludf.DUMMYFUNCTION("IF(REGEXMATCH(Z5456, ""Season""), ""TV Show"", ""Movie"")"),"Movie")</f>
        <v>Movie</v>
      </c>
    </row>
    <row r="5457">
      <c r="A5457" s="1" t="s">
        <v>28016</v>
      </c>
      <c r="B5457" s="1" t="s">
        <v>27</v>
      </c>
      <c r="C5457" s="1" t="s">
        <v>28017</v>
      </c>
      <c r="D5457" s="1" t="s">
        <v>12783</v>
      </c>
      <c r="E5457" s="1" t="s">
        <v>28018</v>
      </c>
      <c r="F5457" s="1" t="s">
        <v>28019</v>
      </c>
      <c r="G5457" s="1" t="s">
        <v>27988</v>
      </c>
      <c r="H5457" s="1">
        <v>1993.0</v>
      </c>
      <c r="I5457" s="1" t="s">
        <v>97</v>
      </c>
      <c r="J5457" s="1" t="s">
        <v>393</v>
      </c>
      <c r="K5457" s="1" t="s">
        <v>1429</v>
      </c>
      <c r="L5457" s="1" t="s">
        <v>28020</v>
      </c>
      <c r="M5457" s="2" t="s">
        <v>12</v>
      </c>
      <c r="N5457" s="4">
        <f t="shared" si="1"/>
        <v>42887</v>
      </c>
      <c r="O5457" s="5" t="str">
        <f>IFERROR(__xludf.DUMMYFUNCTION("IF(REGEXMATCH(TRIM(I5457), ""^\d+\s*min""), ""Unclassified"", IF(I5457 = """", ""NR"", I5457))"),"TV-14")</f>
        <v>TV-14</v>
      </c>
      <c r="R5457" s="5" t="str">
        <f t="shared" si="2"/>
        <v>Maya Memsaab</v>
      </c>
      <c r="S5457" s="5" t="str">
        <f>IFERROR(__xludf.DUMMYFUNCTION("""COMPUTED_VALUE"""),"Pete Davidson: Alive From New York")</f>
        <v>Pete Davidson: Alive From New York</v>
      </c>
      <c r="V5457" s="5"/>
      <c r="Y5457" s="5" t="str">
        <f>IFERROR(__xludf.DUMMYFUNCTION("REGEXEXTRACT(J5457, ""^\d+"")"),"122")</f>
        <v>122</v>
      </c>
      <c r="Z5457" s="5" t="str">
        <f>IFERROR(__xludf.DUMMYFUNCTION("REGEXEXTRACT(J5457, ""[A-Za-z ]+$"")")," min")</f>
        <v> min</v>
      </c>
      <c r="AA5457" s="5" t="str">
        <f>IFERROR(__xludf.DUMMYFUNCTION("IF(REGEXMATCH(Z5457, ""Season""), ""TV Show"", ""Movie"")"),"Movie")</f>
        <v>Movie</v>
      </c>
    </row>
    <row r="5458">
      <c r="A5458" s="1" t="s">
        <v>28021</v>
      </c>
      <c r="B5458" s="1" t="s">
        <v>27</v>
      </c>
      <c r="C5458" s="1" t="s">
        <v>28022</v>
      </c>
      <c r="D5458" s="1" t="s">
        <v>5646</v>
      </c>
      <c r="F5458" s="1" t="s">
        <v>1979</v>
      </c>
      <c r="G5458" s="1" t="s">
        <v>27988</v>
      </c>
      <c r="H5458" s="1">
        <v>2017.0</v>
      </c>
      <c r="I5458" s="1" t="s">
        <v>136</v>
      </c>
      <c r="J5458" s="1" t="s">
        <v>25602</v>
      </c>
      <c r="K5458" s="1" t="s">
        <v>5201</v>
      </c>
      <c r="L5458" s="1" t="s">
        <v>28023</v>
      </c>
      <c r="M5458" s="2" t="s">
        <v>12</v>
      </c>
      <c r="N5458" s="4">
        <f t="shared" si="1"/>
        <v>42887</v>
      </c>
      <c r="O5458" s="5" t="str">
        <f>IFERROR(__xludf.DUMMYFUNCTION("IF(REGEXMATCH(TRIM(I5458), ""^\d+\s*min""), ""Unclassified"", IF(I5458 = """", ""NR"", I5458))"),"TV-PG")</f>
        <v>TV-PG</v>
      </c>
      <c r="R5458" s="5" t="str">
        <f t="shared" si="2"/>
        <v>Michael Lost And Found</v>
      </c>
      <c r="S5458" s="5" t="str">
        <f>IFERROR(__xludf.DUMMYFUNCTION("""COMPUTED_VALUE"""),"Peter And The Farm")</f>
        <v>Peter And The Farm</v>
      </c>
      <c r="V5458" s="5"/>
      <c r="Y5458" s="5" t="str">
        <f>IFERROR(__xludf.DUMMYFUNCTION("REGEXEXTRACT(J5458, ""^\d+"")"),"19")</f>
        <v>19</v>
      </c>
      <c r="Z5458" s="5" t="str">
        <f>IFERROR(__xludf.DUMMYFUNCTION("REGEXEXTRACT(J5458, ""[A-Za-z ]+$"")")," min")</f>
        <v> min</v>
      </c>
      <c r="AA5458" s="5" t="str">
        <f>IFERROR(__xludf.DUMMYFUNCTION("IF(REGEXMATCH(Z5458, ""Season""), ""TV Show"", ""Movie"")"),"Movie")</f>
        <v>Movie</v>
      </c>
    </row>
    <row r="5459">
      <c r="A5459" s="1" t="s">
        <v>28024</v>
      </c>
      <c r="B5459" s="1" t="s">
        <v>37</v>
      </c>
      <c r="C5459" s="1" t="s">
        <v>28025</v>
      </c>
      <c r="E5459" s="1" t="s">
        <v>28026</v>
      </c>
      <c r="F5459" s="1" t="s">
        <v>9219</v>
      </c>
      <c r="G5459" s="1" t="s">
        <v>27988</v>
      </c>
      <c r="H5459" s="1">
        <v>2015.0</v>
      </c>
      <c r="I5459" s="1" t="s">
        <v>97</v>
      </c>
      <c r="J5459" s="1" t="s">
        <v>51</v>
      </c>
      <c r="K5459" s="1" t="s">
        <v>1362</v>
      </c>
      <c r="L5459" s="1" t="s">
        <v>28027</v>
      </c>
      <c r="M5459" s="2" t="s">
        <v>12</v>
      </c>
      <c r="N5459" s="4">
        <f t="shared" si="1"/>
        <v>42887</v>
      </c>
      <c r="O5459" s="5" t="str">
        <f>IFERROR(__xludf.DUMMYFUNCTION("IF(REGEXMATCH(TRIM(I5459), ""^\d+\s*min""), ""Unclassified"", IF(I5459 = """", ""NR"", I5459))"),"TV-14")</f>
        <v>TV-14</v>
      </c>
      <c r="R5459" s="5" t="str">
        <f t="shared" si="2"/>
        <v>Mind Game</v>
      </c>
      <c r="S5459" s="5" t="str">
        <f>IFERROR(__xludf.DUMMYFUNCTION("""COMPUTED_VALUE"""),"Peter Rabbit")</f>
        <v>Peter Rabbit</v>
      </c>
      <c r="V5459" s="5"/>
      <c r="Y5459" s="5" t="str">
        <f>IFERROR(__xludf.DUMMYFUNCTION("REGEXEXTRACT(J5459, ""^\d+"")"),"1")</f>
        <v>1</v>
      </c>
      <c r="Z5459" s="5" t="str">
        <f>IFERROR(__xludf.DUMMYFUNCTION("REGEXEXTRACT(J5459, ""[A-Za-z ]+$"")")," Season")</f>
        <v> Season</v>
      </c>
      <c r="AA5459" s="5" t="str">
        <f>IFERROR(__xludf.DUMMYFUNCTION("IF(REGEXMATCH(Z5459, ""Season""), ""TV Show"", ""Movie"")"),"TV Show")</f>
        <v>TV Show</v>
      </c>
    </row>
    <row r="5460">
      <c r="A5460" s="1" t="s">
        <v>28028</v>
      </c>
      <c r="B5460" s="1" t="s">
        <v>37</v>
      </c>
      <c r="C5460" s="1" t="s">
        <v>28029</v>
      </c>
      <c r="E5460" s="1" t="s">
        <v>28030</v>
      </c>
      <c r="G5460" s="1" t="s">
        <v>27988</v>
      </c>
      <c r="H5460" s="1">
        <v>2016.0</v>
      </c>
      <c r="I5460" s="1" t="s">
        <v>289</v>
      </c>
      <c r="J5460" s="1" t="s">
        <v>51</v>
      </c>
      <c r="K5460" s="1" t="s">
        <v>637</v>
      </c>
      <c r="L5460" s="1" t="s">
        <v>28031</v>
      </c>
      <c r="M5460" s="2" t="s">
        <v>12</v>
      </c>
      <c r="N5460" s="4">
        <f t="shared" si="1"/>
        <v>42887</v>
      </c>
      <c r="O5460" s="5" t="str">
        <f>IFERROR(__xludf.DUMMYFUNCTION("IF(REGEXMATCH(TRIM(I5460), ""^\d+\s*min""), ""Unclassified"", IF(I5460 = """", ""NR"", I5460))"),"TV-Y7")</f>
        <v>TV-Y7</v>
      </c>
      <c r="R5460" s="5" t="str">
        <f t="shared" si="2"/>
        <v>Miniforce</v>
      </c>
      <c r="S5460" s="5" t="str">
        <f>IFERROR(__xludf.DUMMYFUNCTION("""COMPUTED_VALUE"""),"Pets United")</f>
        <v>Pets United</v>
      </c>
      <c r="V5460" s="5"/>
      <c r="Y5460" s="5" t="str">
        <f>IFERROR(__xludf.DUMMYFUNCTION("REGEXEXTRACT(J5460, ""^\d+"")"),"1")</f>
        <v>1</v>
      </c>
      <c r="Z5460" s="5" t="str">
        <f>IFERROR(__xludf.DUMMYFUNCTION("REGEXEXTRACT(J5460, ""[A-Za-z ]+$"")")," Season")</f>
        <v> Season</v>
      </c>
      <c r="AA5460" s="5" t="str">
        <f>IFERROR(__xludf.DUMMYFUNCTION("IF(REGEXMATCH(Z5460, ""Season""), ""TV Show"", ""Movie"")"),"TV Show")</f>
        <v>TV Show</v>
      </c>
    </row>
    <row r="5461">
      <c r="A5461" s="1" t="s">
        <v>28032</v>
      </c>
      <c r="B5461" s="1" t="s">
        <v>37</v>
      </c>
      <c r="C5461" s="1" t="s">
        <v>28033</v>
      </c>
      <c r="E5461" s="1" t="s">
        <v>28034</v>
      </c>
      <c r="F5461" s="1" t="s">
        <v>30</v>
      </c>
      <c r="G5461" s="1" t="s">
        <v>27988</v>
      </c>
      <c r="H5461" s="1">
        <v>2015.0</v>
      </c>
      <c r="I5461" s="1" t="s">
        <v>42</v>
      </c>
      <c r="J5461" s="1" t="s">
        <v>276</v>
      </c>
      <c r="K5461" s="1" t="s">
        <v>10491</v>
      </c>
      <c r="L5461" s="1" t="s">
        <v>28035</v>
      </c>
      <c r="M5461" s="2" t="s">
        <v>12</v>
      </c>
      <c r="N5461" s="4">
        <f t="shared" si="1"/>
        <v>42887</v>
      </c>
      <c r="O5461" s="5" t="str">
        <f>IFERROR(__xludf.DUMMYFUNCTION("IF(REGEXMATCH(TRIM(I5461), ""^\d+\s*min""), ""Unclassified"", IF(I5461 = """", ""NR"", I5461))"),"TV-MA")</f>
        <v>TV-MA</v>
      </c>
      <c r="R5461" s="5" t="str">
        <f t="shared" si="2"/>
        <v>Off Camera</v>
      </c>
      <c r="S5461" s="5" t="str">
        <f>IFERROR(__xludf.DUMMYFUNCTION("""COMPUTED_VALUE"""),"Petta")</f>
        <v>Petta</v>
      </c>
      <c r="V5461" s="5"/>
      <c r="Y5461" s="5" t="str">
        <f>IFERROR(__xludf.DUMMYFUNCTION("REGEXEXTRACT(J5461, ""^\d+"")"),"3")</f>
        <v>3</v>
      </c>
      <c r="Z5461" s="5" t="str">
        <f>IFERROR(__xludf.DUMMYFUNCTION("REGEXEXTRACT(J5461, ""[A-Za-z ]+$"")")," Seasons")</f>
        <v> Seasons</v>
      </c>
      <c r="AA5461" s="5" t="str">
        <f>IFERROR(__xludf.DUMMYFUNCTION("IF(REGEXMATCH(Z5461, ""Season""), ""TV Show"", ""Movie"")"),"TV Show")</f>
        <v>TV Show</v>
      </c>
    </row>
    <row r="5462">
      <c r="A5462" s="1" t="s">
        <v>28036</v>
      </c>
      <c r="B5462" s="1" t="s">
        <v>27</v>
      </c>
      <c r="C5462" s="1" t="s">
        <v>28037</v>
      </c>
      <c r="D5462" s="1" t="s">
        <v>12783</v>
      </c>
      <c r="E5462" s="1" t="s">
        <v>28038</v>
      </c>
      <c r="F5462" s="1" t="s">
        <v>63</v>
      </c>
      <c r="G5462" s="1" t="s">
        <v>27988</v>
      </c>
      <c r="H5462" s="1">
        <v>1995.0</v>
      </c>
      <c r="I5462" s="1" t="s">
        <v>97</v>
      </c>
      <c r="J5462" s="1" t="s">
        <v>965</v>
      </c>
      <c r="K5462" s="1" t="s">
        <v>1328</v>
      </c>
      <c r="L5462" s="1" t="s">
        <v>28039</v>
      </c>
      <c r="M5462" s="2" t="s">
        <v>12</v>
      </c>
      <c r="N5462" s="4">
        <f t="shared" si="1"/>
        <v>42887</v>
      </c>
      <c r="O5462" s="5" t="str">
        <f>IFERROR(__xludf.DUMMYFUNCTION("IF(REGEXMATCH(TRIM(I5462), ""^\d+\s*min""), ""Unclassified"", IF(I5462 = """", ""NR"", I5462))"),"TV-14")</f>
        <v>TV-14</v>
      </c>
      <c r="R5462" s="5" t="str">
        <f t="shared" si="2"/>
        <v>Oh Darling Yeh Hai India</v>
      </c>
      <c r="S5462" s="5" t="str">
        <f>IFERROR(__xludf.DUMMYFUNCTION("""COMPUTED_VALUE"""),"Petta (Telugu Version)")</f>
        <v>Petta (Telugu Version)</v>
      </c>
      <c r="V5462" s="5"/>
      <c r="Y5462" s="5" t="str">
        <f>IFERROR(__xludf.DUMMYFUNCTION("REGEXEXTRACT(J5462, ""^\d+"")"),"154")</f>
        <v>154</v>
      </c>
      <c r="Z5462" s="5" t="str">
        <f>IFERROR(__xludf.DUMMYFUNCTION("REGEXEXTRACT(J5462, ""[A-Za-z ]+$"")")," min")</f>
        <v> min</v>
      </c>
      <c r="AA5462" s="5" t="str">
        <f>IFERROR(__xludf.DUMMYFUNCTION("IF(REGEXMATCH(Z5462, ""Season""), ""TV Show"", ""Movie"")"),"Movie")</f>
        <v>Movie</v>
      </c>
    </row>
    <row r="5463">
      <c r="A5463" s="1" t="s">
        <v>28040</v>
      </c>
      <c r="B5463" s="1" t="s">
        <v>27</v>
      </c>
      <c r="C5463" s="1" t="s">
        <v>28041</v>
      </c>
      <c r="D5463" s="1" t="s">
        <v>13604</v>
      </c>
      <c r="E5463" s="1" t="s">
        <v>28042</v>
      </c>
      <c r="F5463" s="1" t="s">
        <v>63</v>
      </c>
      <c r="G5463" s="1" t="s">
        <v>27988</v>
      </c>
      <c r="H5463" s="1">
        <v>1969.0</v>
      </c>
      <c r="I5463" s="1" t="s">
        <v>136</v>
      </c>
      <c r="J5463" s="1" t="s">
        <v>14290</v>
      </c>
      <c r="K5463" s="1" t="s">
        <v>679</v>
      </c>
      <c r="L5463" s="1" t="s">
        <v>28043</v>
      </c>
      <c r="M5463" s="2" t="s">
        <v>12</v>
      </c>
      <c r="N5463" s="4">
        <f t="shared" si="1"/>
        <v>42887</v>
      </c>
      <c r="O5463" s="5" t="str">
        <f>IFERROR(__xludf.DUMMYFUNCTION("IF(REGEXMATCH(TRIM(I5463), ""^\d+\s*min""), ""Unclassified"", IF(I5463 = """", ""NR"", I5463))"),"TV-PG")</f>
        <v>TV-PG</v>
      </c>
      <c r="R5463" s="5" t="str">
        <f t="shared" si="2"/>
        <v>Prince</v>
      </c>
      <c r="S5463" s="5" t="str">
        <f>IFERROR(__xludf.DUMMYFUNCTION("""COMPUTED_VALUE"""),"Pettersson And Findus 2")</f>
        <v>Pettersson And Findus 2</v>
      </c>
      <c r="V5463" s="5"/>
      <c r="Y5463" s="5" t="str">
        <f>IFERROR(__xludf.DUMMYFUNCTION("REGEXEXTRACT(J5463, ""^\d+"")"),"152")</f>
        <v>152</v>
      </c>
      <c r="Z5463" s="5" t="str">
        <f>IFERROR(__xludf.DUMMYFUNCTION("REGEXEXTRACT(J5463, ""[A-Za-z ]+$"")")," min")</f>
        <v> min</v>
      </c>
      <c r="AA5463" s="5" t="str">
        <f>IFERROR(__xludf.DUMMYFUNCTION("IF(REGEXMATCH(Z5463, ""Season""), ""TV Show"", ""Movie"")"),"Movie")</f>
        <v>Movie</v>
      </c>
    </row>
    <row r="5464">
      <c r="A5464" s="1" t="s">
        <v>28044</v>
      </c>
      <c r="B5464" s="1" t="s">
        <v>27</v>
      </c>
      <c r="C5464" s="1" t="s">
        <v>28045</v>
      </c>
      <c r="D5464" s="1" t="s">
        <v>23036</v>
      </c>
      <c r="E5464" s="1" t="s">
        <v>28046</v>
      </c>
      <c r="F5464" s="1" t="s">
        <v>63</v>
      </c>
      <c r="G5464" s="1" t="s">
        <v>27988</v>
      </c>
      <c r="H5464" s="1">
        <v>1998.0</v>
      </c>
      <c r="I5464" s="1" t="s">
        <v>97</v>
      </c>
      <c r="J5464" s="1" t="s">
        <v>198</v>
      </c>
      <c r="K5464" s="1" t="s">
        <v>128</v>
      </c>
      <c r="L5464" s="1" t="s">
        <v>28047</v>
      </c>
      <c r="M5464" s="2" t="s">
        <v>12</v>
      </c>
      <c r="N5464" s="4">
        <f t="shared" si="1"/>
        <v>42887</v>
      </c>
      <c r="O5464" s="5" t="str">
        <f>IFERROR(__xludf.DUMMYFUNCTION("IF(REGEXMATCH(TRIM(I5464), ""^\d+\s*min""), ""Unclassified"", IF(I5464 = """", ""NR"", I5464))"),"TV-14")</f>
        <v>TV-14</v>
      </c>
      <c r="R5464" s="5" t="str">
        <f t="shared" si="2"/>
        <v>Qila</v>
      </c>
      <c r="S5464" s="5" t="str">
        <f>IFERROR(__xludf.DUMMYFUNCTION("""COMPUTED_VALUE"""),"Phamous")</f>
        <v>Phamous</v>
      </c>
      <c r="V5464" s="5"/>
      <c r="Y5464" s="5" t="str">
        <f>IFERROR(__xludf.DUMMYFUNCTION("REGEXEXTRACT(J5464, ""^\d+"")"),"161")</f>
        <v>161</v>
      </c>
      <c r="Z5464" s="5" t="str">
        <f>IFERROR(__xludf.DUMMYFUNCTION("REGEXEXTRACT(J5464, ""[A-Za-z ]+$"")")," min")</f>
        <v> min</v>
      </c>
      <c r="AA5464" s="5" t="str">
        <f>IFERROR(__xludf.DUMMYFUNCTION("IF(REGEXMATCH(Z5464, ""Season""), ""TV Show"", ""Movie"")"),"Movie")</f>
        <v>Movie</v>
      </c>
    </row>
    <row r="5465">
      <c r="A5465" s="1" t="s">
        <v>28048</v>
      </c>
      <c r="B5465" s="1" t="s">
        <v>27</v>
      </c>
      <c r="C5465" s="1" t="s">
        <v>28049</v>
      </c>
      <c r="D5465" s="1" t="s">
        <v>929</v>
      </c>
      <c r="E5465" s="1" t="s">
        <v>28050</v>
      </c>
      <c r="F5465" s="1" t="s">
        <v>784</v>
      </c>
      <c r="G5465" s="1" t="s">
        <v>27988</v>
      </c>
      <c r="H5465" s="1">
        <v>2016.0</v>
      </c>
      <c r="I5465" s="1" t="s">
        <v>97</v>
      </c>
      <c r="J5465" s="1" t="s">
        <v>2566</v>
      </c>
      <c r="K5465" s="1" t="s">
        <v>298</v>
      </c>
      <c r="L5465" s="1" t="s">
        <v>28051</v>
      </c>
      <c r="M5465" s="2" t="s">
        <v>12</v>
      </c>
      <c r="N5465" s="4">
        <f t="shared" si="1"/>
        <v>42887</v>
      </c>
      <c r="O5465" s="5" t="str">
        <f>IFERROR(__xludf.DUMMYFUNCTION("IF(REGEXMATCH(TRIM(I5465), ""^\d+\s*min""), ""Unclassified"", IF(I5465 = """", ""NR"", I5465))"),"TV-14")</f>
        <v>TV-14</v>
      </c>
      <c r="R5465" s="5" t="str">
        <f t="shared" si="2"/>
        <v>Smoke &amp; Mirrors</v>
      </c>
      <c r="S5465" s="5" t="str">
        <f>IFERROR(__xludf.DUMMYFUNCTION("""COMPUTED_VALUE"""),"Phantom")</f>
        <v>Phantom</v>
      </c>
      <c r="V5465" s="5"/>
      <c r="Y5465" s="5" t="str">
        <f>IFERROR(__xludf.DUMMYFUNCTION("REGEXEXTRACT(J5465, ""^\d+"")"),"123")</f>
        <v>123</v>
      </c>
      <c r="Z5465" s="5" t="str">
        <f>IFERROR(__xludf.DUMMYFUNCTION("REGEXEXTRACT(J5465, ""[A-Za-z ]+$"")")," min")</f>
        <v> min</v>
      </c>
      <c r="AA5465" s="5" t="str">
        <f>IFERROR(__xludf.DUMMYFUNCTION("IF(REGEXMATCH(Z5465, ""Season""), ""TV Show"", ""Movie"")"),"Movie")</f>
        <v>Movie</v>
      </c>
    </row>
    <row r="5466">
      <c r="A5466" s="1" t="s">
        <v>28052</v>
      </c>
      <c r="B5466" s="1" t="s">
        <v>37</v>
      </c>
      <c r="C5466" s="1" t="s">
        <v>28053</v>
      </c>
      <c r="E5466" s="1" t="s">
        <v>28054</v>
      </c>
      <c r="F5466" s="1" t="s">
        <v>4478</v>
      </c>
      <c r="G5466" s="1" t="s">
        <v>27988</v>
      </c>
      <c r="H5466" s="1">
        <v>2016.0</v>
      </c>
      <c r="I5466" s="1" t="s">
        <v>97</v>
      </c>
      <c r="J5466" s="1" t="s">
        <v>51</v>
      </c>
      <c r="K5466" s="1" t="s">
        <v>402</v>
      </c>
      <c r="L5466" s="1" t="s">
        <v>28055</v>
      </c>
      <c r="M5466" s="2" t="s">
        <v>12</v>
      </c>
      <c r="N5466" s="4">
        <f t="shared" si="1"/>
        <v>42887</v>
      </c>
      <c r="O5466" s="5" t="str">
        <f>IFERROR(__xludf.DUMMYFUNCTION("IF(REGEXMATCH(TRIM(I5466), ""^\d+\s*min""), ""Unclassified"", IF(I5466 = """", ""NR"", I5466))"),"TV-14")</f>
        <v>TV-14</v>
      </c>
      <c r="R5466" s="5" t="str">
        <f t="shared" si="2"/>
        <v>The Day Will Come</v>
      </c>
      <c r="S5466" s="5" t="str">
        <f>IFERROR(__xludf.DUMMYFUNCTION("""COMPUTED_VALUE"""),"Phantom Boy")</f>
        <v>Phantom Boy</v>
      </c>
      <c r="V5466" s="5"/>
      <c r="Y5466" s="5" t="str">
        <f>IFERROR(__xludf.DUMMYFUNCTION("REGEXEXTRACT(J5466, ""^\d+"")"),"1")</f>
        <v>1</v>
      </c>
      <c r="Z5466" s="5" t="str">
        <f>IFERROR(__xludf.DUMMYFUNCTION("REGEXEXTRACT(J5466, ""[A-Za-z ]+$"")")," Season")</f>
        <v> Season</v>
      </c>
      <c r="AA5466" s="5" t="str">
        <f>IFERROR(__xludf.DUMMYFUNCTION("IF(REGEXMATCH(Z5466, ""Season""), ""TV Show"", ""Movie"")"),"TV Show")</f>
        <v>TV Show</v>
      </c>
    </row>
    <row r="5467">
      <c r="A5467" s="1" t="s">
        <v>28056</v>
      </c>
      <c r="B5467" s="1" t="s">
        <v>37</v>
      </c>
      <c r="C5467" s="1" t="s">
        <v>28057</v>
      </c>
      <c r="E5467" s="1" t="s">
        <v>28058</v>
      </c>
      <c r="F5467" s="1" t="s">
        <v>9219</v>
      </c>
      <c r="G5467" s="1" t="s">
        <v>27988</v>
      </c>
      <c r="H5467" s="1">
        <v>2016.0</v>
      </c>
      <c r="I5467" s="1" t="s">
        <v>97</v>
      </c>
      <c r="J5467" s="1" t="s">
        <v>51</v>
      </c>
      <c r="K5467" s="1" t="s">
        <v>402</v>
      </c>
      <c r="L5467" s="1" t="s">
        <v>28059</v>
      </c>
      <c r="M5467" s="2" t="s">
        <v>12</v>
      </c>
      <c r="N5467" s="4">
        <f t="shared" si="1"/>
        <v>42887</v>
      </c>
      <c r="O5467" s="5" t="str">
        <f>IFERROR(__xludf.DUMMYFUNCTION("IF(REGEXMATCH(TRIM(I5467), ""^\d+\s*min""), ""Unclassified"", IF(I5467 = """", ""NR"", I5467))"),"TV-14")</f>
        <v>TV-14</v>
      </c>
      <c r="R5467" s="5" t="str">
        <f t="shared" si="2"/>
        <v>The Dream Job</v>
      </c>
      <c r="S5467" s="5" t="str">
        <f>IFERROR(__xludf.DUMMYFUNCTION("""COMPUTED_VALUE"""),"Philadelphia")</f>
        <v>Philadelphia</v>
      </c>
      <c r="V5467" s="5"/>
      <c r="Y5467" s="5" t="str">
        <f>IFERROR(__xludf.DUMMYFUNCTION("REGEXEXTRACT(J5467, ""^\d+"")"),"1")</f>
        <v>1</v>
      </c>
      <c r="Z5467" s="5" t="str">
        <f>IFERROR(__xludf.DUMMYFUNCTION("REGEXEXTRACT(J5467, ""[A-Za-z ]+$"")")," Season")</f>
        <v> Season</v>
      </c>
      <c r="AA5467" s="5" t="str">
        <f>IFERROR(__xludf.DUMMYFUNCTION("IF(REGEXMATCH(Z5467, ""Season""), ""TV Show"", ""Movie"")"),"TV Show")</f>
        <v>TV Show</v>
      </c>
    </row>
    <row r="5468">
      <c r="A5468" s="1" t="s">
        <v>28060</v>
      </c>
      <c r="B5468" s="1" t="s">
        <v>27</v>
      </c>
      <c r="C5468" s="1" t="s">
        <v>28061</v>
      </c>
      <c r="D5468" s="1" t="s">
        <v>6847</v>
      </c>
      <c r="E5468" s="1" t="s">
        <v>27992</v>
      </c>
      <c r="F5468" s="1" t="s">
        <v>96</v>
      </c>
      <c r="G5468" s="1" t="s">
        <v>27988</v>
      </c>
      <c r="H5468" s="1">
        <v>2017.0</v>
      </c>
      <c r="I5468" s="1" t="s">
        <v>136</v>
      </c>
      <c r="J5468" s="1" t="s">
        <v>10890</v>
      </c>
      <c r="K5468" s="1" t="s">
        <v>34</v>
      </c>
      <c r="L5468" s="1" t="s">
        <v>28062</v>
      </c>
      <c r="M5468" s="2" t="s">
        <v>12</v>
      </c>
      <c r="N5468" s="4">
        <f t="shared" si="1"/>
        <v>42887</v>
      </c>
      <c r="O5468" s="5" t="str">
        <f>IFERROR(__xludf.DUMMYFUNCTION("IF(REGEXMATCH(TRIM(I5468), ""^\d+\s*min""), ""Unclassified"", IF(I5468 = """", ""NR"", I5468))"),"TV-PG")</f>
        <v>TV-PG</v>
      </c>
      <c r="R5468" s="5" t="str">
        <f t="shared" si="2"/>
        <v>The Mitfords: A Tale Of Two Sisters</v>
      </c>
      <c r="S5468" s="5" t="str">
        <f>IFERROR(__xludf.DUMMYFUNCTION("""COMPUTED_VALUE"""),"Philomena")</f>
        <v>Philomena</v>
      </c>
      <c r="V5468" s="5"/>
      <c r="Y5468" s="5" t="str">
        <f>IFERROR(__xludf.DUMMYFUNCTION("REGEXEXTRACT(J5468, ""^\d+"")"),"44")</f>
        <v>44</v>
      </c>
      <c r="Z5468" s="5" t="str">
        <f>IFERROR(__xludf.DUMMYFUNCTION("REGEXEXTRACT(J5468, ""[A-Za-z ]+$"")")," min")</f>
        <v> min</v>
      </c>
      <c r="AA5468" s="5" t="str">
        <f>IFERROR(__xludf.DUMMYFUNCTION("IF(REGEXMATCH(Z5468, ""Season""), ""TV Show"", ""Movie"")"),"Movie")</f>
        <v>Movie</v>
      </c>
    </row>
    <row r="5469">
      <c r="A5469" s="1" t="s">
        <v>28063</v>
      </c>
      <c r="B5469" s="1" t="s">
        <v>27</v>
      </c>
      <c r="C5469" s="1" t="s">
        <v>28064</v>
      </c>
      <c r="D5469" s="1" t="s">
        <v>5209</v>
      </c>
      <c r="F5469" s="1" t="s">
        <v>96</v>
      </c>
      <c r="G5469" s="7">
        <v>42886.0</v>
      </c>
      <c r="H5469" s="1">
        <v>2011.0</v>
      </c>
      <c r="I5469" s="1" t="s">
        <v>97</v>
      </c>
      <c r="J5469" s="1" t="s">
        <v>729</v>
      </c>
      <c r="K5469" s="1" t="s">
        <v>34</v>
      </c>
      <c r="L5469" s="1" t="s">
        <v>28065</v>
      </c>
      <c r="M5469" s="2" t="s">
        <v>12</v>
      </c>
      <c r="N5469" s="4">
        <f t="shared" si="1"/>
        <v>42886</v>
      </c>
      <c r="O5469" s="5" t="str">
        <f>IFERROR(__xludf.DUMMYFUNCTION("IF(REGEXMATCH(TRIM(I5469), ""^\d+\s*min""), ""Unclassified"", IF(I5469 = """", ""NR"", I5469))"),"TV-14")</f>
        <v>TV-14</v>
      </c>
      <c r="R5469" s="5" t="str">
        <f t="shared" si="2"/>
        <v>Without Gorky</v>
      </c>
      <c r="S5469" s="5" t="str">
        <f>IFERROR(__xludf.DUMMYFUNCTION("""COMPUTED_VALUE"""),"Phir Bhi Dil Hai Hindustani")</f>
        <v>Phir Bhi Dil Hai Hindustani</v>
      </c>
      <c r="V5469" s="5"/>
      <c r="Y5469" s="5" t="str">
        <f>IFERROR(__xludf.DUMMYFUNCTION("REGEXEXTRACT(J5469, ""^\d+"")"),"80")</f>
        <v>80</v>
      </c>
      <c r="Z5469" s="5" t="str">
        <f>IFERROR(__xludf.DUMMYFUNCTION("REGEXEXTRACT(J5469, ""[A-Za-z ]+$"")")," min")</f>
        <v> min</v>
      </c>
      <c r="AA5469" s="5" t="str">
        <f>IFERROR(__xludf.DUMMYFUNCTION("IF(REGEXMATCH(Z5469, ""Season""), ""TV Show"", ""Movie"")"),"Movie")</f>
        <v>Movie</v>
      </c>
    </row>
    <row r="5470">
      <c r="A5470" s="1" t="s">
        <v>28066</v>
      </c>
      <c r="B5470" s="1" t="s">
        <v>27</v>
      </c>
      <c r="C5470" s="1" t="s">
        <v>28067</v>
      </c>
      <c r="D5470" s="1" t="s">
        <v>7424</v>
      </c>
      <c r="E5470" s="1" t="s">
        <v>28068</v>
      </c>
      <c r="F5470" s="1" t="s">
        <v>30</v>
      </c>
      <c r="G5470" s="7">
        <v>42885.0</v>
      </c>
      <c r="H5470" s="1">
        <v>2017.0</v>
      </c>
      <c r="I5470" s="1" t="s">
        <v>42</v>
      </c>
      <c r="J5470" s="1" t="s">
        <v>5650</v>
      </c>
      <c r="K5470" s="1" t="s">
        <v>1839</v>
      </c>
      <c r="L5470" s="1" t="s">
        <v>28069</v>
      </c>
      <c r="M5470" s="2" t="s">
        <v>12</v>
      </c>
      <c r="N5470" s="4">
        <f t="shared" si="1"/>
        <v>42885</v>
      </c>
      <c r="O5470" s="5" t="str">
        <f>IFERROR(__xludf.DUMMYFUNCTION("IF(REGEXMATCH(TRIM(I5470), ""^\d+\s*min""), ""Unclassified"", IF(I5470 = """", ""NR"", I5470))"),"TV-MA")</f>
        <v>TV-MA</v>
      </c>
      <c r="R5470" s="5" t="str">
        <f t="shared" si="2"/>
        <v>Sarah Silverman A Speck Of Dust</v>
      </c>
      <c r="S5470" s="5" t="str">
        <f>IFERROR(__xludf.DUMMYFUNCTION("""COMPUTED_VALUE"""),"Phir Hera Pheri")</f>
        <v>Phir Hera Pheri</v>
      </c>
      <c r="V5470" s="5"/>
      <c r="Y5470" s="5" t="str">
        <f>IFERROR(__xludf.DUMMYFUNCTION("REGEXEXTRACT(J5470, ""^\d+"")"),"71")</f>
        <v>71</v>
      </c>
      <c r="Z5470" s="5" t="str">
        <f>IFERROR(__xludf.DUMMYFUNCTION("REGEXEXTRACT(J5470, ""[A-Za-z ]+$"")")," min")</f>
        <v> min</v>
      </c>
      <c r="AA5470" s="5" t="str">
        <f>IFERROR(__xludf.DUMMYFUNCTION("IF(REGEXMATCH(Z5470, ""Season""), ""TV Show"", ""Movie"")"),"Movie")</f>
        <v>Movie</v>
      </c>
    </row>
    <row r="5471">
      <c r="A5471" s="1" t="s">
        <v>28070</v>
      </c>
      <c r="B5471" s="1" t="s">
        <v>27</v>
      </c>
      <c r="C5471" s="1" t="s">
        <v>28071</v>
      </c>
      <c r="D5471" s="1" t="s">
        <v>23395</v>
      </c>
      <c r="E5471" s="1" t="s">
        <v>28072</v>
      </c>
      <c r="F5471" s="1" t="s">
        <v>63</v>
      </c>
      <c r="G5471" s="7">
        <v>42884.0</v>
      </c>
      <c r="H5471" s="1">
        <v>2017.0</v>
      </c>
      <c r="I5471" s="1" t="s">
        <v>97</v>
      </c>
      <c r="J5471" s="1" t="s">
        <v>22970</v>
      </c>
      <c r="K5471" s="1" t="s">
        <v>306</v>
      </c>
      <c r="L5471" s="1" t="s">
        <v>28073</v>
      </c>
      <c r="M5471" s="2" t="s">
        <v>12</v>
      </c>
      <c r="N5471" s="4">
        <f t="shared" si="1"/>
        <v>42884</v>
      </c>
      <c r="O5471" s="5" t="str">
        <f>IFERROR(__xludf.DUMMYFUNCTION("IF(REGEXMATCH(TRIM(I5471), ""^\d+\s*min""), ""Unclassified"", IF(I5471 = """", ""NR"", I5471))"),"TV-14")</f>
        <v>TV-14</v>
      </c>
      <c r="R5471" s="5" t="str">
        <f t="shared" si="2"/>
        <v>Rangoon</v>
      </c>
      <c r="S5471" s="5" t="str">
        <f>IFERROR(__xludf.DUMMYFUNCTION("""COMPUTED_VALUE"""),"Phir Se")</f>
        <v>Phir Se</v>
      </c>
      <c r="V5471" s="5"/>
      <c r="Y5471" s="5" t="str">
        <f>IFERROR(__xludf.DUMMYFUNCTION("REGEXEXTRACT(J5471, ""^\d+"")"),"153")</f>
        <v>153</v>
      </c>
      <c r="Z5471" s="5" t="str">
        <f>IFERROR(__xludf.DUMMYFUNCTION("REGEXEXTRACT(J5471, ""[A-Za-z ]+$"")")," min")</f>
        <v> min</v>
      </c>
      <c r="AA5471" s="5" t="str">
        <f>IFERROR(__xludf.DUMMYFUNCTION("IF(REGEXMATCH(Z5471, ""Season""), ""TV Show"", ""Movie"")"),"Movie")</f>
        <v>Movie</v>
      </c>
    </row>
    <row r="5472">
      <c r="A5472" s="1" t="s">
        <v>28074</v>
      </c>
      <c r="B5472" s="1" t="s">
        <v>37</v>
      </c>
      <c r="C5472" s="1" t="s">
        <v>28075</v>
      </c>
      <c r="E5472" s="1" t="s">
        <v>28076</v>
      </c>
      <c r="F5472" s="1" t="s">
        <v>30</v>
      </c>
      <c r="G5472" s="7">
        <v>42881.0</v>
      </c>
      <c r="H5472" s="1">
        <v>2017.0</v>
      </c>
      <c r="I5472" s="1" t="s">
        <v>42</v>
      </c>
      <c r="J5472" s="1" t="s">
        <v>276</v>
      </c>
      <c r="K5472" s="1" t="s">
        <v>9090</v>
      </c>
      <c r="L5472" s="1" t="s">
        <v>28077</v>
      </c>
      <c r="M5472" s="2" t="s">
        <v>12</v>
      </c>
      <c r="N5472" s="4">
        <f t="shared" si="1"/>
        <v>42881</v>
      </c>
      <c r="O5472" s="5" t="str">
        <f>IFERROR(__xludf.DUMMYFUNCTION("IF(REGEXMATCH(TRIM(I5472), ""^\d+\s*min""), ""Unclassified"", IF(I5472 = """", ""NR"", I5472))"),"TV-MA")</f>
        <v>TV-MA</v>
      </c>
      <c r="R5472" s="5" t="str">
        <f t="shared" si="2"/>
        <v>Bloodline</v>
      </c>
      <c r="S5472" s="5" t="str">
        <f>IFERROR(__xludf.DUMMYFUNCTION("""COMPUTED_VALUE"""),"Phobia 2")</f>
        <v>Phobia 2</v>
      </c>
      <c r="V5472" s="5"/>
      <c r="Y5472" s="5" t="str">
        <f>IFERROR(__xludf.DUMMYFUNCTION("REGEXEXTRACT(J5472, ""^\d+"")"),"3")</f>
        <v>3</v>
      </c>
      <c r="Z5472" s="5" t="str">
        <f>IFERROR(__xludf.DUMMYFUNCTION("REGEXEXTRACT(J5472, ""[A-Za-z ]+$"")")," Seasons")</f>
        <v> Seasons</v>
      </c>
      <c r="AA5472" s="5" t="str">
        <f>IFERROR(__xludf.DUMMYFUNCTION("IF(REGEXMATCH(Z5472, ""Season""), ""TV Show"", ""Movie"")"),"TV Show")</f>
        <v>TV Show</v>
      </c>
    </row>
    <row r="5473">
      <c r="A5473" s="1" t="s">
        <v>28078</v>
      </c>
      <c r="B5473" s="1" t="s">
        <v>27</v>
      </c>
      <c r="C5473" s="1" t="s">
        <v>28079</v>
      </c>
      <c r="D5473" s="1" t="s">
        <v>11127</v>
      </c>
      <c r="F5473" s="1" t="s">
        <v>30</v>
      </c>
      <c r="G5473" s="7">
        <v>42881.0</v>
      </c>
      <c r="H5473" s="1">
        <v>2017.0</v>
      </c>
      <c r="I5473" s="1" t="s">
        <v>97</v>
      </c>
      <c r="J5473" s="1" t="s">
        <v>6391</v>
      </c>
      <c r="K5473" s="1" t="s">
        <v>34</v>
      </c>
      <c r="L5473" s="1" t="s">
        <v>28080</v>
      </c>
      <c r="M5473" s="2" t="s">
        <v>12</v>
      </c>
      <c r="N5473" s="4">
        <f t="shared" si="1"/>
        <v>42881</v>
      </c>
      <c r="O5473" s="5" t="str">
        <f>IFERROR(__xludf.DUMMYFUNCTION("IF(REGEXMATCH(TRIM(I5473), ""^\d+\s*min""), ""Unclassified"", IF(I5473 = """", ""NR"", I5473))"),"TV-14")</f>
        <v>TV-14</v>
      </c>
      <c r="R5473" s="5" t="str">
        <f t="shared" si="2"/>
        <v>Joshua: Teenager Vs. Superpower</v>
      </c>
      <c r="S5473" s="5" t="str">
        <f>IFERROR(__xludf.DUMMYFUNCTION("""COMPUTED_VALUE"""),"Phone Swap")</f>
        <v>Phone Swap</v>
      </c>
      <c r="V5473" s="5"/>
      <c r="Y5473" s="5" t="str">
        <f>IFERROR(__xludf.DUMMYFUNCTION("REGEXEXTRACT(J5473, ""^\d+"")"),"79")</f>
        <v>79</v>
      </c>
      <c r="Z5473" s="5" t="str">
        <f>IFERROR(__xludf.DUMMYFUNCTION("REGEXEXTRACT(J5473, ""[A-Za-z ]+$"")")," min")</f>
        <v> min</v>
      </c>
      <c r="AA5473" s="5" t="str">
        <f>IFERROR(__xludf.DUMMYFUNCTION("IF(REGEXMATCH(Z5473, ""Season""), ""TV Show"", ""Movie"")"),"Movie")</f>
        <v>Movie</v>
      </c>
    </row>
    <row r="5474">
      <c r="A5474" s="1" t="s">
        <v>28081</v>
      </c>
      <c r="B5474" s="1" t="s">
        <v>27</v>
      </c>
      <c r="C5474" s="1" t="s">
        <v>28082</v>
      </c>
      <c r="D5474" s="1" t="s">
        <v>18569</v>
      </c>
      <c r="E5474" s="1" t="s">
        <v>28083</v>
      </c>
      <c r="F5474" s="1" t="s">
        <v>63</v>
      </c>
      <c r="G5474" s="7">
        <v>42881.0</v>
      </c>
      <c r="H5474" s="1">
        <v>2017.0</v>
      </c>
      <c r="I5474" s="1" t="s">
        <v>97</v>
      </c>
      <c r="J5474" s="1" t="s">
        <v>820</v>
      </c>
      <c r="K5474" s="1" t="s">
        <v>306</v>
      </c>
      <c r="L5474" s="1" t="s">
        <v>28084</v>
      </c>
      <c r="M5474" s="2" t="s">
        <v>12</v>
      </c>
      <c r="N5474" s="4">
        <f t="shared" si="1"/>
        <v>42881</v>
      </c>
      <c r="O5474" s="5" t="str">
        <f>IFERROR(__xludf.DUMMYFUNCTION("IF(REGEXMATCH(TRIM(I5474), ""^\d+\s*min""), ""Unclassified"", IF(I5474 = """", ""NR"", I5474))"),"TV-14")</f>
        <v>TV-14</v>
      </c>
      <c r="R5474" s="5" t="str">
        <f t="shared" si="2"/>
        <v>Raees</v>
      </c>
      <c r="S5474" s="5" t="str">
        <f>IFERROR(__xludf.DUMMYFUNCTION("""COMPUTED_VALUE"""),"Photocopy")</f>
        <v>Photocopy</v>
      </c>
      <c r="V5474" s="5"/>
      <c r="Y5474" s="5" t="str">
        <f>IFERROR(__xludf.DUMMYFUNCTION("REGEXEXTRACT(J5474, ""^\d+"")"),"143")</f>
        <v>143</v>
      </c>
      <c r="Z5474" s="5" t="str">
        <f>IFERROR(__xludf.DUMMYFUNCTION("REGEXEXTRACT(J5474, ""[A-Za-z ]+$"")")," min")</f>
        <v> min</v>
      </c>
      <c r="AA5474" s="5" t="str">
        <f>IFERROR(__xludf.DUMMYFUNCTION("IF(REGEXMATCH(Z5474, ""Season""), ""TV Show"", ""Movie"")"),"Movie")</f>
        <v>Movie</v>
      </c>
    </row>
    <row r="5475">
      <c r="A5475" s="1" t="s">
        <v>28085</v>
      </c>
      <c r="B5475" s="1" t="s">
        <v>27</v>
      </c>
      <c r="C5475" s="1" t="s">
        <v>28086</v>
      </c>
      <c r="D5475" s="1" t="s">
        <v>6045</v>
      </c>
      <c r="E5475" s="1" t="s">
        <v>28087</v>
      </c>
      <c r="F5475" s="1" t="s">
        <v>30</v>
      </c>
      <c r="G5475" s="7">
        <v>42881.0</v>
      </c>
      <c r="H5475" s="1">
        <v>2017.0</v>
      </c>
      <c r="I5475" s="1" t="s">
        <v>42</v>
      </c>
      <c r="J5475" s="1" t="s">
        <v>2566</v>
      </c>
      <c r="K5475" s="1" t="s">
        <v>107</v>
      </c>
      <c r="L5475" s="1" t="s">
        <v>28088</v>
      </c>
      <c r="M5475" s="2" t="s">
        <v>12</v>
      </c>
      <c r="N5475" s="4">
        <f t="shared" si="1"/>
        <v>42881</v>
      </c>
      <c r="O5475" s="5" t="str">
        <f>IFERROR(__xludf.DUMMYFUNCTION("IF(REGEXMATCH(TRIM(I5475), ""^\d+\s*min""), ""Unclassified"", IF(I5475 = """", ""NR"", I5475))"),"TV-MA")</f>
        <v>TV-MA</v>
      </c>
      <c r="R5475" s="5" t="str">
        <f t="shared" si="2"/>
        <v>War Machine</v>
      </c>
      <c r="S5475" s="5" t="str">
        <f>IFERROR(__xludf.DUMMYFUNCTION("""COMPUTED_VALUE"""),"Phullu")</f>
        <v>Phullu</v>
      </c>
      <c r="V5475" s="5"/>
      <c r="Y5475" s="5" t="str">
        <f>IFERROR(__xludf.DUMMYFUNCTION("REGEXEXTRACT(J5475, ""^\d+"")"),"123")</f>
        <v>123</v>
      </c>
      <c r="Z5475" s="5" t="str">
        <f>IFERROR(__xludf.DUMMYFUNCTION("REGEXEXTRACT(J5475, ""[A-Za-z ]+$"")")," min")</f>
        <v> min</v>
      </c>
      <c r="AA5475" s="5" t="str">
        <f>IFERROR(__xludf.DUMMYFUNCTION("IF(REGEXMATCH(Z5475, ""Season""), ""TV Show"", ""Movie"")"),"Movie")</f>
        <v>Movie</v>
      </c>
    </row>
    <row r="5476">
      <c r="A5476" s="1" t="s">
        <v>28089</v>
      </c>
      <c r="B5476" s="1" t="s">
        <v>27</v>
      </c>
      <c r="C5476" s="1" t="s">
        <v>28090</v>
      </c>
      <c r="D5476" s="1" t="s">
        <v>10516</v>
      </c>
      <c r="E5476" s="1" t="s">
        <v>28091</v>
      </c>
      <c r="F5476" s="1" t="s">
        <v>664</v>
      </c>
      <c r="G5476" s="7">
        <v>42878.0</v>
      </c>
      <c r="H5476" s="1">
        <v>2016.0</v>
      </c>
      <c r="I5476" s="1" t="s">
        <v>42</v>
      </c>
      <c r="J5476" s="1" t="s">
        <v>729</v>
      </c>
      <c r="K5476" s="1" t="s">
        <v>13636</v>
      </c>
      <c r="L5476" s="1" t="s">
        <v>28092</v>
      </c>
      <c r="M5476" s="2" t="s">
        <v>12</v>
      </c>
      <c r="N5476" s="4">
        <f t="shared" si="1"/>
        <v>42878</v>
      </c>
      <c r="O5476" s="5" t="str">
        <f>IFERROR(__xludf.DUMMYFUNCTION("IF(REGEXMATCH(TRIM(I5476), ""^\d+\s*min""), ""Unclassified"", IF(I5476 = """", ""NR"", I5476))"),"TV-MA")</f>
        <v>TV-MA</v>
      </c>
      <c r="R5476" s="5" t="str">
        <f t="shared" si="2"/>
        <v>Arès</v>
      </c>
      <c r="S5476" s="5" t="str">
        <f>IFERROR(__xludf.DUMMYFUNCTION("""COMPUTED_VALUE"""),"Pick Of The Litter")</f>
        <v>Pick Of The Litter</v>
      </c>
      <c r="V5476" s="5"/>
      <c r="Y5476" s="5" t="str">
        <f>IFERROR(__xludf.DUMMYFUNCTION("REGEXEXTRACT(J5476, ""^\d+"")"),"80")</f>
        <v>80</v>
      </c>
      <c r="Z5476" s="5" t="str">
        <f>IFERROR(__xludf.DUMMYFUNCTION("REGEXEXTRACT(J5476, ""[A-Za-z ]+$"")")," min")</f>
        <v> min</v>
      </c>
      <c r="AA5476" s="5" t="str">
        <f>IFERROR(__xludf.DUMMYFUNCTION("IF(REGEXMATCH(Z5476, ""Season""), ""TV Show"", ""Movie"")"),"Movie")</f>
        <v>Movie</v>
      </c>
    </row>
    <row r="5477">
      <c r="A5477" s="1" t="s">
        <v>28093</v>
      </c>
      <c r="B5477" s="1" t="s">
        <v>27</v>
      </c>
      <c r="C5477" s="1" t="s">
        <v>28094</v>
      </c>
      <c r="D5477" s="1" t="s">
        <v>4994</v>
      </c>
      <c r="E5477" s="1" t="s">
        <v>14179</v>
      </c>
      <c r="G5477" s="7">
        <v>42878.0</v>
      </c>
      <c r="H5477" s="1">
        <v>2017.0</v>
      </c>
      <c r="I5477" s="1" t="s">
        <v>42</v>
      </c>
      <c r="J5477" s="1" t="s">
        <v>5120</v>
      </c>
      <c r="K5477" s="1" t="s">
        <v>1839</v>
      </c>
      <c r="L5477" s="1" t="s">
        <v>28095</v>
      </c>
      <c r="M5477" s="2" t="s">
        <v>12</v>
      </c>
      <c r="N5477" s="4">
        <f t="shared" si="1"/>
        <v>42878</v>
      </c>
      <c r="O5477" s="5" t="str">
        <f>IFERROR(__xludf.DUMMYFUNCTION("IF(REGEXMATCH(TRIM(I5477), ""^\d+\s*min""), ""Unclassified"", IF(I5477 = """", ""NR"", I5477))"),"TV-MA")</f>
        <v>TV-MA</v>
      </c>
      <c r="R5477" s="5" t="str">
        <f t="shared" si="2"/>
        <v>Hasan Minhaj: Homecoming King</v>
      </c>
      <c r="S5477" s="5" t="str">
        <f>IFERROR(__xludf.DUMMYFUNCTION("""COMPUTED_VALUE"""),"Pickpockets")</f>
        <v>Pickpockets</v>
      </c>
      <c r="V5477" s="5"/>
      <c r="Y5477" s="5" t="str">
        <f>IFERROR(__xludf.DUMMYFUNCTION("REGEXEXTRACT(J5477, ""^\d+"")"),"73")</f>
        <v>73</v>
      </c>
      <c r="Z5477" s="5" t="str">
        <f>IFERROR(__xludf.DUMMYFUNCTION("REGEXEXTRACT(J5477, ""[A-Za-z ]+$"")")," min")</f>
        <v> min</v>
      </c>
      <c r="AA5477" s="5" t="str">
        <f>IFERROR(__xludf.DUMMYFUNCTION("IF(REGEXMATCH(Z5477, ""Season""), ""TV Show"", ""Movie"")"),"Movie")</f>
        <v>Movie</v>
      </c>
    </row>
    <row r="5478">
      <c r="A5478" s="1" t="s">
        <v>28096</v>
      </c>
      <c r="B5478" s="1" t="s">
        <v>27</v>
      </c>
      <c r="C5478" s="1" t="s">
        <v>28097</v>
      </c>
      <c r="D5478" s="1" t="s">
        <v>9362</v>
      </c>
      <c r="E5478" s="1" t="s">
        <v>28098</v>
      </c>
      <c r="F5478" s="1" t="s">
        <v>415</v>
      </c>
      <c r="G5478" s="7">
        <v>42874.0</v>
      </c>
      <c r="H5478" s="1">
        <v>2017.0</v>
      </c>
      <c r="I5478" s="1" t="s">
        <v>97</v>
      </c>
      <c r="J5478" s="1" t="s">
        <v>256</v>
      </c>
      <c r="K5478" s="1" t="s">
        <v>417</v>
      </c>
      <c r="L5478" s="1" t="s">
        <v>28099</v>
      </c>
      <c r="M5478" s="2" t="s">
        <v>12</v>
      </c>
      <c r="N5478" s="4">
        <f t="shared" si="1"/>
        <v>42874</v>
      </c>
      <c r="O5478" s="5" t="str">
        <f>IFERROR(__xludf.DUMMYFUNCTION("IF(REGEXMATCH(TRIM(I5478), ""^\d+\s*min""), ""Unclassified"", IF(I5478 = """", ""NR"", I5478))"),"TV-14")</f>
        <v>TV-14</v>
      </c>
      <c r="R5478" s="5" t="str">
        <f t="shared" si="2"/>
        <v>Blame!</v>
      </c>
      <c r="S5478" s="5" t="str">
        <f>IFERROR(__xludf.DUMMYFUNCTION("""COMPUTED_VALUE"""),"Picture A Scientist")</f>
        <v>Picture A Scientist</v>
      </c>
      <c r="V5478" s="5"/>
      <c r="Y5478" s="5" t="str">
        <f>IFERROR(__xludf.DUMMYFUNCTION("REGEXEXTRACT(J5478, ""^\d+"")"),"106")</f>
        <v>106</v>
      </c>
      <c r="Z5478" s="5" t="str">
        <f>IFERROR(__xludf.DUMMYFUNCTION("REGEXEXTRACT(J5478, ""[A-Za-z ]+$"")")," min")</f>
        <v> min</v>
      </c>
      <c r="AA5478" s="5" t="str">
        <f>IFERROR(__xludf.DUMMYFUNCTION("IF(REGEXMATCH(Z5478, ""Season""), ""TV Show"", ""Movie"")"),"Movie")</f>
        <v>Movie</v>
      </c>
    </row>
    <row r="5479">
      <c r="A5479" s="1" t="s">
        <v>28100</v>
      </c>
      <c r="B5479" s="1" t="s">
        <v>37</v>
      </c>
      <c r="C5479" s="1" t="s">
        <v>28101</v>
      </c>
      <c r="E5479" s="1" t="s">
        <v>28102</v>
      </c>
      <c r="F5479" s="1" t="s">
        <v>2796</v>
      </c>
      <c r="G5479" s="7">
        <v>42874.0</v>
      </c>
      <c r="H5479" s="1">
        <v>2017.0</v>
      </c>
      <c r="I5479" s="1" t="s">
        <v>42</v>
      </c>
      <c r="J5479" s="1" t="s">
        <v>51</v>
      </c>
      <c r="K5479" s="1" t="s">
        <v>507</v>
      </c>
      <c r="L5479" s="1" t="s">
        <v>28103</v>
      </c>
      <c r="M5479" s="2" t="s">
        <v>12</v>
      </c>
      <c r="N5479" s="4">
        <f t="shared" si="1"/>
        <v>42874</v>
      </c>
      <c r="O5479" s="5" t="str">
        <f>IFERROR(__xludf.DUMMYFUNCTION("IF(REGEXMATCH(TRIM(I5479), ""^\d+\s*min""), ""Unclassified"", IF(I5479 = """", ""NR"", I5479))"),"TV-MA")</f>
        <v>TV-MA</v>
      </c>
      <c r="R5479" s="5" t="str">
        <f t="shared" si="2"/>
        <v>Highland: Thailand'S Marijuana Awakening</v>
      </c>
      <c r="S5479" s="5" t="str">
        <f>IFERROR(__xludf.DUMMYFUNCTION("""COMPUTED_VALUE"""),"Pieces Of A Woman")</f>
        <v>Pieces Of A Woman</v>
      </c>
      <c r="V5479" s="5"/>
      <c r="Y5479" s="5" t="str">
        <f>IFERROR(__xludf.DUMMYFUNCTION("REGEXEXTRACT(J5479, ""^\d+"")"),"1")</f>
        <v>1</v>
      </c>
      <c r="Z5479" s="5" t="str">
        <f>IFERROR(__xludf.DUMMYFUNCTION("REGEXEXTRACT(J5479, ""[A-Za-z ]+$"")")," Season")</f>
        <v> Season</v>
      </c>
      <c r="AA5479" s="5" t="str">
        <f>IFERROR(__xludf.DUMMYFUNCTION("IF(REGEXMATCH(Z5479, ""Season""), ""TV Show"", ""Movie"")"),"TV Show")</f>
        <v>TV Show</v>
      </c>
    </row>
    <row r="5480">
      <c r="A5480" s="1" t="s">
        <v>28104</v>
      </c>
      <c r="B5480" s="1" t="s">
        <v>27</v>
      </c>
      <c r="C5480" s="1" t="s">
        <v>28105</v>
      </c>
      <c r="D5480" s="1" t="s">
        <v>28106</v>
      </c>
      <c r="E5480" s="1" t="s">
        <v>28107</v>
      </c>
      <c r="F5480" s="1" t="s">
        <v>1992</v>
      </c>
      <c r="G5480" s="7">
        <v>42874.0</v>
      </c>
      <c r="H5480" s="1">
        <v>2017.0</v>
      </c>
      <c r="I5480" s="1" t="s">
        <v>42</v>
      </c>
      <c r="J5480" s="1" t="s">
        <v>1091</v>
      </c>
      <c r="K5480" s="1" t="s">
        <v>5201</v>
      </c>
      <c r="L5480" s="1" t="s">
        <v>28108</v>
      </c>
      <c r="M5480" s="2" t="s">
        <v>12</v>
      </c>
      <c r="N5480" s="4">
        <f t="shared" si="1"/>
        <v>42874</v>
      </c>
      <c r="O5480" s="5" t="str">
        <f>IFERROR(__xludf.DUMMYFUNCTION("IF(REGEXMATCH(TRIM(I5480), ""^\d+\s*min""), ""Unclassified"", IF(I5480 = """", ""NR"", I5480))"),"TV-MA")</f>
        <v>TV-MA</v>
      </c>
      <c r="R5480" s="5" t="str">
        <f t="shared" si="2"/>
        <v>Laerte-Se</v>
      </c>
      <c r="S5480" s="5" t="str">
        <f>IFERROR(__xludf.DUMMYFUNCTION("""COMPUTED_VALUE"""),"Piercing")</f>
        <v>Piercing</v>
      </c>
      <c r="V5480" s="5"/>
      <c r="Y5480" s="5" t="str">
        <f>IFERROR(__xludf.DUMMYFUNCTION("REGEXEXTRACT(J5480, ""^\d+"")"),"101")</f>
        <v>101</v>
      </c>
      <c r="Z5480" s="5" t="str">
        <f>IFERROR(__xludf.DUMMYFUNCTION("REGEXEXTRACT(J5480, ""[A-Za-z ]+$"")")," min")</f>
        <v> min</v>
      </c>
      <c r="AA5480" s="5" t="str">
        <f>IFERROR(__xludf.DUMMYFUNCTION("IF(REGEXMATCH(Z5480, ""Season""), ""TV Show"", ""Movie"")"),"Movie")</f>
        <v>Movie</v>
      </c>
    </row>
    <row r="5481">
      <c r="A5481" s="1" t="s">
        <v>28109</v>
      </c>
      <c r="B5481" s="1" t="s">
        <v>37</v>
      </c>
      <c r="C5481" s="1" t="s">
        <v>28110</v>
      </c>
      <c r="F5481" s="1" t="s">
        <v>30</v>
      </c>
      <c r="G5481" s="7">
        <v>42874.0</v>
      </c>
      <c r="H5481" s="1">
        <v>2017.0</v>
      </c>
      <c r="I5481" s="1" t="s">
        <v>42</v>
      </c>
      <c r="J5481" s="1" t="s">
        <v>51</v>
      </c>
      <c r="K5481" s="1" t="s">
        <v>6503</v>
      </c>
      <c r="L5481" s="1" t="s">
        <v>28111</v>
      </c>
      <c r="M5481" s="2" t="s">
        <v>12</v>
      </c>
      <c r="N5481" s="4">
        <f t="shared" si="1"/>
        <v>42874</v>
      </c>
      <c r="O5481" s="5" t="str">
        <f>IFERROR(__xludf.DUMMYFUNCTION("IF(REGEXMATCH(TRIM(I5481), ""^\d+\s*min""), ""Unclassified"", IF(I5481 = """", ""NR"", I5481))"),"TV-MA")</f>
        <v>TV-MA</v>
      </c>
      <c r="R5481" s="5" t="str">
        <f t="shared" si="2"/>
        <v>The Keepers</v>
      </c>
      <c r="S5481" s="5" t="str">
        <f>IFERROR(__xludf.DUMMYFUNCTION("""COMPUTED_VALUE"""),"Pierre Jackson")</f>
        <v>Pierre Jackson</v>
      </c>
      <c r="V5481" s="5"/>
      <c r="Y5481" s="5" t="str">
        <f>IFERROR(__xludf.DUMMYFUNCTION("REGEXEXTRACT(J5481, ""^\d+"")"),"1")</f>
        <v>1</v>
      </c>
      <c r="Z5481" s="5" t="str">
        <f>IFERROR(__xludf.DUMMYFUNCTION("REGEXEXTRACT(J5481, ""[A-Za-z ]+$"")")," Season")</f>
        <v> Season</v>
      </c>
      <c r="AA5481" s="5" t="str">
        <f>IFERROR(__xludf.DUMMYFUNCTION("IF(REGEXMATCH(Z5481, ""Season""), ""TV Show"", ""Movie"")"),"TV Show")</f>
        <v>TV Show</v>
      </c>
    </row>
    <row r="5482">
      <c r="A5482" s="1" t="s">
        <v>28112</v>
      </c>
      <c r="B5482" s="1" t="s">
        <v>27</v>
      </c>
      <c r="C5482" s="1" t="s">
        <v>28113</v>
      </c>
      <c r="D5482" s="1" t="s">
        <v>14919</v>
      </c>
      <c r="E5482" s="1" t="s">
        <v>28114</v>
      </c>
      <c r="F5482" s="1" t="s">
        <v>30</v>
      </c>
      <c r="G5482" s="7">
        <v>42871.0</v>
      </c>
      <c r="H5482" s="1">
        <v>2017.0</v>
      </c>
      <c r="I5482" s="1" t="s">
        <v>42</v>
      </c>
      <c r="J5482" s="1" t="s">
        <v>1847</v>
      </c>
      <c r="K5482" s="1" t="s">
        <v>1839</v>
      </c>
      <c r="L5482" s="1" t="s">
        <v>28115</v>
      </c>
      <c r="M5482" s="2" t="s">
        <v>12</v>
      </c>
      <c r="N5482" s="4">
        <f t="shared" si="1"/>
        <v>42871</v>
      </c>
      <c r="O5482" s="5" t="str">
        <f>IFERROR(__xludf.DUMMYFUNCTION("IF(REGEXMATCH(TRIM(I5482), ""^\d+\s*min""), ""Unclassified"", IF(I5482 = """", ""NR"", I5482))"),"TV-MA")</f>
        <v>TV-MA</v>
      </c>
      <c r="R5482" s="5" t="str">
        <f t="shared" si="2"/>
        <v>Tracy Morgan: Staying Alive</v>
      </c>
      <c r="S5482" s="5" t="str">
        <f>IFERROR(__xludf.DUMMYFUNCTION("""COMPUTED_VALUE"""),"Pihu")</f>
        <v>Pihu</v>
      </c>
      <c r="V5482" s="5"/>
      <c r="Y5482" s="5" t="str">
        <f>IFERROR(__xludf.DUMMYFUNCTION("REGEXEXTRACT(J5482, ""^\d+"")"),"59")</f>
        <v>59</v>
      </c>
      <c r="Z5482" s="5" t="str">
        <f>IFERROR(__xludf.DUMMYFUNCTION("REGEXEXTRACT(J5482, ""[A-Za-z ]+$"")")," min")</f>
        <v> min</v>
      </c>
      <c r="AA5482" s="5" t="str">
        <f>IFERROR(__xludf.DUMMYFUNCTION("IF(REGEXMATCH(Z5482, ""Season""), ""TV Show"", ""Movie"")"),"Movie")</f>
        <v>Movie</v>
      </c>
    </row>
    <row r="5483">
      <c r="A5483" s="1" t="s">
        <v>28116</v>
      </c>
      <c r="B5483" s="1" t="s">
        <v>27</v>
      </c>
      <c r="C5483" s="1" t="s">
        <v>28117</v>
      </c>
      <c r="D5483" s="1" t="s">
        <v>18710</v>
      </c>
      <c r="E5483" s="1" t="s">
        <v>28118</v>
      </c>
      <c r="F5483" s="1" t="s">
        <v>63</v>
      </c>
      <c r="G5483" s="7">
        <v>42870.0</v>
      </c>
      <c r="H5483" s="1">
        <v>1992.0</v>
      </c>
      <c r="I5483" s="1" t="s">
        <v>97</v>
      </c>
      <c r="J5483" s="1" t="s">
        <v>6617</v>
      </c>
      <c r="K5483" s="1" t="s">
        <v>1408</v>
      </c>
      <c r="L5483" s="1" t="s">
        <v>28119</v>
      </c>
      <c r="M5483" s="2" t="s">
        <v>12</v>
      </c>
      <c r="N5483" s="4">
        <f t="shared" si="1"/>
        <v>42870</v>
      </c>
      <c r="O5483" s="5" t="str">
        <f>IFERROR(__xludf.DUMMYFUNCTION("IF(REGEXMATCH(TRIM(I5483), ""^\d+\s*min""), ""Unclassified"", IF(I5483 = """", ""NR"", I5483))"),"TV-14")</f>
        <v>TV-14</v>
      </c>
      <c r="R5483" s="5" t="str">
        <f t="shared" si="2"/>
        <v>Chamatkar</v>
      </c>
      <c r="S5483" s="5" t="str">
        <f>IFERROR(__xludf.DUMMYFUNCTION("""COMPUTED_VALUE"""),"Pili Fantasy: War Of Dragons")</f>
        <v>Pili Fantasy: War Of Dragons</v>
      </c>
      <c r="V5483" s="5"/>
      <c r="Y5483" s="5" t="str">
        <f>IFERROR(__xludf.DUMMYFUNCTION("REGEXEXTRACT(J5483, ""^\d+"")"),"164")</f>
        <v>164</v>
      </c>
      <c r="Z5483" s="5" t="str">
        <f>IFERROR(__xludf.DUMMYFUNCTION("REGEXEXTRACT(J5483, ""[A-Za-z ]+$"")")," min")</f>
        <v> min</v>
      </c>
      <c r="AA5483" s="5" t="str">
        <f>IFERROR(__xludf.DUMMYFUNCTION("IF(REGEXMATCH(Z5483, ""Season""), ""TV Show"", ""Movie"")"),"Movie")</f>
        <v>Movie</v>
      </c>
    </row>
    <row r="5484">
      <c r="A5484" s="1" t="s">
        <v>28120</v>
      </c>
      <c r="B5484" s="1" t="s">
        <v>27</v>
      </c>
      <c r="C5484" s="1" t="s">
        <v>28121</v>
      </c>
      <c r="D5484" s="1" t="s">
        <v>13220</v>
      </c>
      <c r="E5484" s="1" t="s">
        <v>28122</v>
      </c>
      <c r="F5484" s="1" t="s">
        <v>63</v>
      </c>
      <c r="G5484" s="7">
        <v>42870.0</v>
      </c>
      <c r="H5484" s="1">
        <v>1994.0</v>
      </c>
      <c r="I5484" s="1" t="s">
        <v>97</v>
      </c>
      <c r="J5484" s="1" t="s">
        <v>7280</v>
      </c>
      <c r="K5484" s="1" t="s">
        <v>583</v>
      </c>
      <c r="L5484" s="1" t="s">
        <v>28123</v>
      </c>
      <c r="M5484" s="2" t="s">
        <v>12</v>
      </c>
      <c r="N5484" s="4">
        <f t="shared" si="1"/>
        <v>42870</v>
      </c>
      <c r="O5484" s="5" t="str">
        <f>IFERROR(__xludf.DUMMYFUNCTION("IF(REGEXMATCH(TRIM(I5484), ""^\d+\s*min""), ""Unclassified"", IF(I5484 = """", ""NR"", I5484))"),"TV-14")</f>
        <v>TV-14</v>
      </c>
      <c r="R5484" s="5" t="str">
        <f t="shared" si="2"/>
        <v>Kabhi Haan Kabhi Naa</v>
      </c>
      <c r="S5484" s="5" t="str">
        <f>IFERROR(__xludf.DUMMYFUNCTION("""COMPUTED_VALUE"""),"Pimpal")</f>
        <v>Pimpal</v>
      </c>
      <c r="V5484" s="5"/>
      <c r="Y5484" s="5" t="str">
        <f>IFERROR(__xludf.DUMMYFUNCTION("REGEXEXTRACT(J5484, ""^\d+"")"),"151")</f>
        <v>151</v>
      </c>
      <c r="Z5484" s="5" t="str">
        <f>IFERROR(__xludf.DUMMYFUNCTION("REGEXEXTRACT(J5484, ""[A-Za-z ]+$"")")," min")</f>
        <v> min</v>
      </c>
      <c r="AA5484" s="5" t="str">
        <f>IFERROR(__xludf.DUMMYFUNCTION("IF(REGEXMATCH(Z5484, ""Season""), ""TV Show"", ""Movie"")"),"Movie")</f>
        <v>Movie</v>
      </c>
    </row>
    <row r="5485">
      <c r="A5485" s="1" t="s">
        <v>28124</v>
      </c>
      <c r="B5485" s="1" t="s">
        <v>27</v>
      </c>
      <c r="C5485" s="1" t="s">
        <v>28125</v>
      </c>
      <c r="D5485" s="1" t="s">
        <v>21297</v>
      </c>
      <c r="E5485" s="1" t="s">
        <v>28126</v>
      </c>
      <c r="F5485" s="1" t="s">
        <v>30</v>
      </c>
      <c r="G5485" s="7">
        <v>42870.0</v>
      </c>
      <c r="H5485" s="1">
        <v>2016.0</v>
      </c>
      <c r="I5485" s="1" t="s">
        <v>42</v>
      </c>
      <c r="J5485" s="1" t="s">
        <v>1608</v>
      </c>
      <c r="K5485" s="1" t="s">
        <v>1538</v>
      </c>
      <c r="L5485" s="1" t="s">
        <v>28127</v>
      </c>
      <c r="M5485" s="2" t="s">
        <v>12</v>
      </c>
      <c r="N5485" s="4">
        <f t="shared" si="1"/>
        <v>42870</v>
      </c>
      <c r="O5485" s="5" t="str">
        <f>IFERROR(__xludf.DUMMYFUNCTION("IF(REGEXMATCH(TRIM(I5485), ""^\d+\s*min""), ""Unclassified"", IF(I5485 = """", ""NR"", I5485))"),"TV-MA")</f>
        <v>TV-MA</v>
      </c>
      <c r="R5485" s="5" t="str">
        <f t="shared" si="2"/>
        <v>Lovesong</v>
      </c>
      <c r="S5485" s="5" t="str">
        <f>IFERROR(__xludf.DUMMYFUNCTION("""COMPUTED_VALUE"""),"Pine Gap")</f>
        <v>Pine Gap</v>
      </c>
      <c r="V5485" s="5"/>
      <c r="Y5485" s="5" t="str">
        <f>IFERROR(__xludf.DUMMYFUNCTION("REGEXEXTRACT(J5485, ""^\d+"")"),"84")</f>
        <v>84</v>
      </c>
      <c r="Z5485" s="5" t="str">
        <f>IFERROR(__xludf.DUMMYFUNCTION("REGEXEXTRACT(J5485, ""[A-Za-z ]+$"")")," min")</f>
        <v> min</v>
      </c>
      <c r="AA5485" s="5" t="str">
        <f>IFERROR(__xludf.DUMMYFUNCTION("IF(REGEXMATCH(Z5485, ""Season""), ""TV Show"", ""Movie"")"),"Movie")</f>
        <v>Movie</v>
      </c>
    </row>
    <row r="5486">
      <c r="A5486" s="1" t="s">
        <v>28128</v>
      </c>
      <c r="B5486" s="1" t="s">
        <v>27</v>
      </c>
      <c r="C5486" s="1" t="s">
        <v>28129</v>
      </c>
      <c r="D5486" s="1" t="s">
        <v>1416</v>
      </c>
      <c r="F5486" s="1" t="s">
        <v>30</v>
      </c>
      <c r="G5486" s="7">
        <v>42870.0</v>
      </c>
      <c r="H5486" s="1">
        <v>2010.0</v>
      </c>
      <c r="I5486" s="1" t="s">
        <v>97</v>
      </c>
      <c r="J5486" s="1" t="s">
        <v>7064</v>
      </c>
      <c r="K5486" s="1" t="s">
        <v>2032</v>
      </c>
      <c r="L5486" s="1" t="s">
        <v>28130</v>
      </c>
      <c r="M5486" s="2" t="s">
        <v>12</v>
      </c>
      <c r="N5486" s="4">
        <f t="shared" si="1"/>
        <v>42870</v>
      </c>
      <c r="O5486" s="5" t="str">
        <f>IFERROR(__xludf.DUMMYFUNCTION("IF(REGEXMATCH(TRIM(I5486), ""^\d+\s*min""), ""Unclassified"", IF(I5486 = """", ""NR"", I5486))"),"TV-14")</f>
        <v>TV-14</v>
      </c>
      <c r="R5486" s="5" t="str">
        <f t="shared" si="2"/>
        <v>Natascha Kampusch: The Whole Story</v>
      </c>
      <c r="S5486" s="5" t="str">
        <f>IFERROR(__xludf.DUMMYFUNCTION("""COMPUTED_VALUE"""),"Pineapple Express")</f>
        <v>Pineapple Express</v>
      </c>
      <c r="V5486" s="5"/>
      <c r="Y5486" s="5" t="str">
        <f>IFERROR(__xludf.DUMMYFUNCTION("REGEXEXTRACT(J5486, ""^\d+"")"),"51")</f>
        <v>51</v>
      </c>
      <c r="Z5486" s="5" t="str">
        <f>IFERROR(__xludf.DUMMYFUNCTION("REGEXEXTRACT(J5486, ""[A-Za-z ]+$"")")," min")</f>
        <v> min</v>
      </c>
      <c r="AA5486" s="5" t="str">
        <f>IFERROR(__xludf.DUMMYFUNCTION("IF(REGEXMATCH(Z5486, ""Season""), ""TV Show"", ""Movie"")"),"Movie")</f>
        <v>Movie</v>
      </c>
    </row>
    <row r="5487">
      <c r="A5487" s="1" t="s">
        <v>28131</v>
      </c>
      <c r="B5487" s="1" t="s">
        <v>27</v>
      </c>
      <c r="C5487" s="1" t="s">
        <v>28132</v>
      </c>
      <c r="D5487" s="1" t="s">
        <v>18710</v>
      </c>
      <c r="E5487" s="1" t="s">
        <v>28133</v>
      </c>
      <c r="F5487" s="1" t="s">
        <v>63</v>
      </c>
      <c r="G5487" s="7">
        <v>42870.0</v>
      </c>
      <c r="H5487" s="1">
        <v>1995.0</v>
      </c>
      <c r="I5487" s="1" t="s">
        <v>97</v>
      </c>
      <c r="J5487" s="1" t="s">
        <v>950</v>
      </c>
      <c r="K5487" s="1" t="s">
        <v>1429</v>
      </c>
      <c r="L5487" s="1" t="s">
        <v>28134</v>
      </c>
      <c r="M5487" s="2" t="s">
        <v>12</v>
      </c>
      <c r="N5487" s="4">
        <f t="shared" si="1"/>
        <v>42870</v>
      </c>
      <c r="O5487" s="5" t="str">
        <f>IFERROR(__xludf.DUMMYFUNCTION("IF(REGEXMATCH(TRIM(I5487), ""^\d+\s*min""), ""Unclassified"", IF(I5487 = """", ""NR"", I5487))"),"TV-14")</f>
        <v>TV-14</v>
      </c>
      <c r="R5487" s="5" t="str">
        <f t="shared" si="2"/>
        <v>Ram Jaane</v>
      </c>
      <c r="S5487" s="5" t="str">
        <f>IFERROR(__xludf.DUMMYFUNCTION("""COMPUTED_VALUE"""),"Pink")</f>
        <v>Pink</v>
      </c>
      <c r="V5487" s="5"/>
      <c r="Y5487" s="5" t="str">
        <f>IFERROR(__xludf.DUMMYFUNCTION("REGEXEXTRACT(J5487, ""^\d+"")"),"142")</f>
        <v>142</v>
      </c>
      <c r="Z5487" s="5" t="str">
        <f>IFERROR(__xludf.DUMMYFUNCTION("REGEXEXTRACT(J5487, ""[A-Za-z ]+$"")")," min")</f>
        <v> min</v>
      </c>
      <c r="AA5487" s="5" t="str">
        <f>IFERROR(__xludf.DUMMYFUNCTION("IF(REGEXMATCH(Z5487, ""Season""), ""TV Show"", ""Movie"")"),"Movie")</f>
        <v>Movie</v>
      </c>
    </row>
    <row r="5488">
      <c r="A5488" s="1" t="s">
        <v>28135</v>
      </c>
      <c r="B5488" s="1" t="s">
        <v>27</v>
      </c>
      <c r="C5488" s="1" t="s">
        <v>28136</v>
      </c>
      <c r="D5488" s="1" t="s">
        <v>7685</v>
      </c>
      <c r="E5488" s="1" t="s">
        <v>28137</v>
      </c>
      <c r="F5488" s="1" t="s">
        <v>28138</v>
      </c>
      <c r="G5488" s="7">
        <v>42870.0</v>
      </c>
      <c r="H5488" s="1">
        <v>2016.0</v>
      </c>
      <c r="I5488" s="1" t="s">
        <v>42</v>
      </c>
      <c r="J5488" s="1" t="s">
        <v>297</v>
      </c>
      <c r="K5488" s="1" t="s">
        <v>128</v>
      </c>
      <c r="L5488" s="1" t="s">
        <v>28139</v>
      </c>
      <c r="M5488" s="2" t="s">
        <v>12</v>
      </c>
      <c r="N5488" s="4">
        <f t="shared" si="1"/>
        <v>42870</v>
      </c>
      <c r="O5488" s="5" t="str">
        <f>IFERROR(__xludf.DUMMYFUNCTION("IF(REGEXMATCH(TRIM(I5488), ""^\d+\s*min""), ""Unclassified"", IF(I5488 = """", ""NR"", I5488))"),"TV-MA")</f>
        <v>TV-MA</v>
      </c>
      <c r="R5488" s="5" t="str">
        <f t="shared" si="2"/>
        <v>The Devil'S Mistress</v>
      </c>
      <c r="S5488" s="5" t="str">
        <f>IFERROR(__xludf.DUMMYFUNCTION("""COMPUTED_VALUE"""),"Pinkfong &amp; Baby Shark'S Space Adventure")</f>
        <v>Pinkfong &amp; Baby Shark'S Space Adventure</v>
      </c>
      <c r="V5488" s="5"/>
      <c r="Y5488" s="5" t="str">
        <f>IFERROR(__xludf.DUMMYFUNCTION("REGEXEXTRACT(J5488, ""^\d+"")"),"110")</f>
        <v>110</v>
      </c>
      <c r="Z5488" s="5" t="str">
        <f>IFERROR(__xludf.DUMMYFUNCTION("REGEXEXTRACT(J5488, ""[A-Za-z ]+$"")")," min")</f>
        <v> min</v>
      </c>
      <c r="AA5488" s="5" t="str">
        <f>IFERROR(__xludf.DUMMYFUNCTION("IF(REGEXMATCH(Z5488, ""Season""), ""TV Show"", ""Movie"")"),"Movie")</f>
        <v>Movie</v>
      </c>
    </row>
    <row r="5489">
      <c r="A5489" s="1" t="s">
        <v>28140</v>
      </c>
      <c r="B5489" s="1" t="s">
        <v>27</v>
      </c>
      <c r="C5489" s="1" t="s">
        <v>28141</v>
      </c>
      <c r="D5489" s="1" t="s">
        <v>2034</v>
      </c>
      <c r="E5489" s="1" t="s">
        <v>28142</v>
      </c>
      <c r="F5489" s="1" t="s">
        <v>911</v>
      </c>
      <c r="G5489" s="7">
        <v>42868.0</v>
      </c>
      <c r="H5489" s="1">
        <v>2016.0</v>
      </c>
      <c r="I5489" s="1" t="s">
        <v>32</v>
      </c>
      <c r="J5489" s="1" t="s">
        <v>1144</v>
      </c>
      <c r="K5489" s="1" t="s">
        <v>239</v>
      </c>
      <c r="L5489" s="1" t="s">
        <v>28143</v>
      </c>
      <c r="M5489" s="2" t="s">
        <v>12</v>
      </c>
      <c r="N5489" s="4">
        <f t="shared" si="1"/>
        <v>42868</v>
      </c>
      <c r="O5489" s="5" t="str">
        <f>IFERROR(__xludf.DUMMYFUNCTION("IF(REGEXMATCH(TRIM(I5489), ""^\d+\s*min""), ""Unclassified"", IF(I5489 = """", ""NR"", I5489))"),"PG-13")</f>
        <v>PG-13</v>
      </c>
      <c r="R5489" s="5" t="str">
        <f t="shared" si="2"/>
        <v>Wild Oats</v>
      </c>
      <c r="S5489" s="5" t="str">
        <f>IFERROR(__xludf.DUMMYFUNCTION("""COMPUTED_VALUE"""),"Pinky Malinky")</f>
        <v>Pinky Malinky</v>
      </c>
      <c r="V5489" s="5"/>
      <c r="Y5489" s="5" t="str">
        <f>IFERROR(__xludf.DUMMYFUNCTION("REGEXEXTRACT(J5489, ""^\d+"")"),"86")</f>
        <v>86</v>
      </c>
      <c r="Z5489" s="5" t="str">
        <f>IFERROR(__xludf.DUMMYFUNCTION("REGEXEXTRACT(J5489, ""[A-Za-z ]+$"")")," min")</f>
        <v> min</v>
      </c>
      <c r="AA5489" s="5" t="str">
        <f>IFERROR(__xludf.DUMMYFUNCTION("IF(REGEXMATCH(Z5489, ""Season""), ""TV Show"", ""Movie"")"),"Movie")</f>
        <v>Movie</v>
      </c>
    </row>
    <row r="5490">
      <c r="A5490" s="1" t="s">
        <v>28144</v>
      </c>
      <c r="B5490" s="1" t="s">
        <v>37</v>
      </c>
      <c r="C5490" s="1" t="s">
        <v>28145</v>
      </c>
      <c r="E5490" s="1" t="s">
        <v>28146</v>
      </c>
      <c r="G5490" s="7">
        <v>42867.0</v>
      </c>
      <c r="H5490" s="1">
        <v>2017.0</v>
      </c>
      <c r="I5490" s="1" t="s">
        <v>289</v>
      </c>
      <c r="J5490" s="1" t="s">
        <v>51</v>
      </c>
      <c r="K5490" s="1" t="s">
        <v>12796</v>
      </c>
      <c r="L5490" s="1" t="s">
        <v>28147</v>
      </c>
      <c r="M5490" s="2" t="s">
        <v>12</v>
      </c>
      <c r="N5490" s="4">
        <f t="shared" si="1"/>
        <v>42867</v>
      </c>
      <c r="O5490" s="5" t="str">
        <f>IFERROR(__xludf.DUMMYFUNCTION("IF(REGEXMATCH(TRIM(I5490), ""^\d+\s*min""), ""Unclassified"", IF(I5490 = """", ""NR"", I5490))"),"TV-Y7")</f>
        <v>TV-Y7</v>
      </c>
      <c r="R5490" s="5" t="str">
        <f t="shared" si="2"/>
        <v>All Hail King Julien: Exiled</v>
      </c>
      <c r="S5490" s="5" t="str">
        <f>IFERROR(__xludf.DUMMYFUNCTION("""COMPUTED_VALUE"""),"Pinky Memsaab")</f>
        <v>Pinky Memsaab</v>
      </c>
      <c r="V5490" s="5"/>
      <c r="Y5490" s="5" t="str">
        <f>IFERROR(__xludf.DUMMYFUNCTION("REGEXEXTRACT(J5490, ""^\d+"")"),"1")</f>
        <v>1</v>
      </c>
      <c r="Z5490" s="5" t="str">
        <f>IFERROR(__xludf.DUMMYFUNCTION("REGEXEXTRACT(J5490, ""[A-Za-z ]+$"")")," Season")</f>
        <v> Season</v>
      </c>
      <c r="AA5490" s="5" t="str">
        <f>IFERROR(__xludf.DUMMYFUNCTION("IF(REGEXMATCH(Z5490, ""Season""), ""TV Show"", ""Movie"")"),"TV Show")</f>
        <v>TV Show</v>
      </c>
    </row>
    <row r="5491">
      <c r="A5491" s="1" t="s">
        <v>28148</v>
      </c>
      <c r="B5491" s="1" t="s">
        <v>27</v>
      </c>
      <c r="C5491" s="1" t="s">
        <v>28149</v>
      </c>
      <c r="D5491" s="1" t="s">
        <v>28150</v>
      </c>
      <c r="E5491" s="1" t="s">
        <v>28151</v>
      </c>
      <c r="F5491" s="1" t="s">
        <v>30</v>
      </c>
      <c r="G5491" s="7">
        <v>42867.0</v>
      </c>
      <c r="H5491" s="1">
        <v>2017.0</v>
      </c>
      <c r="I5491" s="1" t="s">
        <v>42</v>
      </c>
      <c r="J5491" s="1" t="s">
        <v>1091</v>
      </c>
      <c r="K5491" s="1" t="s">
        <v>34</v>
      </c>
      <c r="L5491" s="1" t="s">
        <v>28152</v>
      </c>
      <c r="M5491" s="2" t="s">
        <v>12</v>
      </c>
      <c r="N5491" s="4">
        <f t="shared" si="1"/>
        <v>42867</v>
      </c>
      <c r="O5491" s="5" t="str">
        <f>IFERROR(__xludf.DUMMYFUNCTION("IF(REGEXMATCH(TRIM(I5491), ""^\d+\s*min""), ""Unclassified"", IF(I5491 = """", ""NR"", I5491))"),"TV-MA")</f>
        <v>TV-MA</v>
      </c>
      <c r="R5491" s="5" t="str">
        <f t="shared" si="2"/>
        <v>Get Me Roger Stone</v>
      </c>
      <c r="S5491" s="5" t="str">
        <f>IFERROR(__xludf.DUMMYFUNCTION("""COMPUTED_VALUE"""),"Pioneers Of African-American Cinema")</f>
        <v>Pioneers Of African-American Cinema</v>
      </c>
      <c r="V5491" s="5"/>
      <c r="Y5491" s="5" t="str">
        <f>IFERROR(__xludf.DUMMYFUNCTION("REGEXEXTRACT(J5491, ""^\d+"")"),"101")</f>
        <v>101</v>
      </c>
      <c r="Z5491" s="5" t="str">
        <f>IFERROR(__xludf.DUMMYFUNCTION("REGEXEXTRACT(J5491, ""[A-Za-z ]+$"")")," min")</f>
        <v> min</v>
      </c>
      <c r="AA5491" s="5" t="str">
        <f>IFERROR(__xludf.DUMMYFUNCTION("IF(REGEXMATCH(Z5491, ""Season""), ""TV Show"", ""Movie"")"),"Movie")</f>
        <v>Movie</v>
      </c>
    </row>
    <row r="5492">
      <c r="A5492" s="1" t="s">
        <v>28153</v>
      </c>
      <c r="B5492" s="1" t="s">
        <v>27</v>
      </c>
      <c r="C5492" s="1" t="s">
        <v>28154</v>
      </c>
      <c r="D5492" s="1" t="s">
        <v>20677</v>
      </c>
      <c r="E5492" s="1" t="s">
        <v>28155</v>
      </c>
      <c r="F5492" s="1" t="s">
        <v>96</v>
      </c>
      <c r="G5492" s="7">
        <v>42867.0</v>
      </c>
      <c r="H5492" s="1">
        <v>2017.0</v>
      </c>
      <c r="I5492" s="1" t="s">
        <v>42</v>
      </c>
      <c r="J5492" s="1" t="s">
        <v>428</v>
      </c>
      <c r="K5492" s="1" t="s">
        <v>28156</v>
      </c>
      <c r="L5492" s="1" t="s">
        <v>28157</v>
      </c>
      <c r="M5492" s="2" t="s">
        <v>12</v>
      </c>
      <c r="N5492" s="4">
        <f t="shared" si="1"/>
        <v>42867</v>
      </c>
      <c r="O5492" s="5" t="str">
        <f>IFERROR(__xludf.DUMMYFUNCTION("IF(REGEXMATCH(TRIM(I5492), ""^\d+\s*min""), ""Unclassified"", IF(I5492 = """", ""NR"", I5492))"),"TV-MA")</f>
        <v>TV-MA</v>
      </c>
      <c r="R5492" s="5" t="str">
        <f t="shared" si="2"/>
        <v>Mindhorn</v>
      </c>
      <c r="S5492" s="5" t="str">
        <f>IFERROR(__xludf.DUMMYFUNCTION("""COMPUTED_VALUE"""),"Pioneers: First Women Filmmakers*")</f>
        <v>Pioneers: First Women Filmmakers*</v>
      </c>
      <c r="V5492" s="5"/>
      <c r="Y5492" s="5" t="str">
        <f>IFERROR(__xludf.DUMMYFUNCTION("REGEXEXTRACT(J5492, ""^\d+"")"),"88")</f>
        <v>88</v>
      </c>
      <c r="Z5492" s="5" t="str">
        <f>IFERROR(__xludf.DUMMYFUNCTION("REGEXEXTRACT(J5492, ""[A-Za-z ]+$"")")," min")</f>
        <v> min</v>
      </c>
      <c r="AA5492" s="5" t="str">
        <f>IFERROR(__xludf.DUMMYFUNCTION("IF(REGEXMATCH(Z5492, ""Season""), ""TV Show"", ""Movie"")"),"Movie")</f>
        <v>Movie</v>
      </c>
    </row>
    <row r="5493">
      <c r="A5493" s="1" t="s">
        <v>28158</v>
      </c>
      <c r="B5493" s="1" t="s">
        <v>27</v>
      </c>
      <c r="C5493" s="1" t="s">
        <v>28159</v>
      </c>
      <c r="D5493" s="1" t="s">
        <v>18260</v>
      </c>
      <c r="E5493" s="1" t="s">
        <v>28160</v>
      </c>
      <c r="F5493" s="1" t="s">
        <v>8436</v>
      </c>
      <c r="G5493" s="7">
        <v>42867.0</v>
      </c>
      <c r="H5493" s="1">
        <v>2017.0</v>
      </c>
      <c r="I5493" s="1" t="s">
        <v>289</v>
      </c>
      <c r="J5493" s="1" t="s">
        <v>1144</v>
      </c>
      <c r="K5493" s="1" t="s">
        <v>80</v>
      </c>
      <c r="L5493" s="1" t="s">
        <v>28161</v>
      </c>
      <c r="M5493" s="2" t="s">
        <v>12</v>
      </c>
      <c r="N5493" s="4">
        <f t="shared" si="1"/>
        <v>42867</v>
      </c>
      <c r="O5493" s="5" t="str">
        <f>IFERROR(__xludf.DUMMYFUNCTION("IF(REGEXMATCH(TRIM(I5493), ""^\d+\s*min""), ""Unclassified"", IF(I5493 = """", ""NR"", I5493))"),"TV-Y7")</f>
        <v>TV-Y7</v>
      </c>
      <c r="R5493" s="5" t="str">
        <f t="shared" si="2"/>
        <v>Sahara</v>
      </c>
      <c r="S5493" s="5" t="str">
        <f>IFERROR(__xludf.DUMMYFUNCTION("""COMPUTED_VALUE"""),"Pitaah")</f>
        <v>Pitaah</v>
      </c>
      <c r="V5493" s="5"/>
      <c r="Y5493" s="5" t="str">
        <f>IFERROR(__xludf.DUMMYFUNCTION("REGEXEXTRACT(J5493, ""^\d+"")"),"86")</f>
        <v>86</v>
      </c>
      <c r="Z5493" s="5" t="str">
        <f>IFERROR(__xludf.DUMMYFUNCTION("REGEXEXTRACT(J5493, ""[A-Za-z ]+$"")")," min")</f>
        <v> min</v>
      </c>
      <c r="AA5493" s="5" t="str">
        <f>IFERROR(__xludf.DUMMYFUNCTION("IF(REGEXMATCH(Z5493, ""Season""), ""TV Show"", ""Movie"")"),"Movie")</f>
        <v>Movie</v>
      </c>
    </row>
    <row r="5494">
      <c r="A5494" s="1" t="s">
        <v>28162</v>
      </c>
      <c r="B5494" s="1" t="s">
        <v>27</v>
      </c>
      <c r="C5494" s="1" t="s">
        <v>28163</v>
      </c>
      <c r="D5494" s="1" t="s">
        <v>13882</v>
      </c>
      <c r="E5494" s="1" t="s">
        <v>28164</v>
      </c>
      <c r="F5494" s="1" t="s">
        <v>30</v>
      </c>
      <c r="G5494" s="7">
        <v>42864.0</v>
      </c>
      <c r="H5494" s="1">
        <v>2017.0</v>
      </c>
      <c r="I5494" s="1" t="s">
        <v>42</v>
      </c>
      <c r="J5494" s="1" t="s">
        <v>207</v>
      </c>
      <c r="K5494" s="1" t="s">
        <v>1839</v>
      </c>
      <c r="L5494" s="1" t="s">
        <v>28165</v>
      </c>
      <c r="M5494" s="2" t="s">
        <v>12</v>
      </c>
      <c r="N5494" s="4">
        <f t="shared" si="1"/>
        <v>42864</v>
      </c>
      <c r="O5494" s="5" t="str">
        <f>IFERROR(__xludf.DUMMYFUNCTION("IF(REGEXMATCH(TRIM(I5494), ""^\d+\s*min""), ""Unclassified"", IF(I5494 = """", ""NR"", I5494))"),"TV-MA")</f>
        <v>TV-MA</v>
      </c>
      <c r="R5494" s="5" t="str">
        <f t="shared" si="2"/>
        <v>Norm Macdonald: Hitler'S Dog, Gossip &amp; Trickery</v>
      </c>
      <c r="S5494" s="5" t="str">
        <f>IFERROR(__xludf.DUMMYFUNCTION("""COMPUTED_VALUE"""),"Pitta Kathalu")</f>
        <v>Pitta Kathalu</v>
      </c>
      <c r="V5494" s="5"/>
      <c r="Y5494" s="5" t="str">
        <f>IFERROR(__xludf.DUMMYFUNCTION("REGEXEXTRACT(J5494, ""^\d+"")"),"61")</f>
        <v>61</v>
      </c>
      <c r="Z5494" s="5" t="str">
        <f>IFERROR(__xludf.DUMMYFUNCTION("REGEXEXTRACT(J5494, ""[A-Za-z ]+$"")")," min")</f>
        <v> min</v>
      </c>
      <c r="AA5494" s="5" t="str">
        <f>IFERROR(__xludf.DUMMYFUNCTION("IF(REGEXMATCH(Z5494, ""Season""), ""TV Show"", ""Movie"")"),"Movie")</f>
        <v>Movie</v>
      </c>
    </row>
    <row r="5495">
      <c r="A5495" s="1" t="s">
        <v>28166</v>
      </c>
      <c r="B5495" s="1" t="s">
        <v>27</v>
      </c>
      <c r="C5495" s="1" t="s">
        <v>28167</v>
      </c>
      <c r="D5495" s="1" t="s">
        <v>10593</v>
      </c>
      <c r="E5495" s="1" t="s">
        <v>28168</v>
      </c>
      <c r="F5495" s="1" t="s">
        <v>30</v>
      </c>
      <c r="G5495" s="7">
        <v>42860.0</v>
      </c>
      <c r="H5495" s="1">
        <v>2017.0</v>
      </c>
      <c r="I5495" s="1" t="s">
        <v>42</v>
      </c>
      <c r="J5495" s="1" t="s">
        <v>2452</v>
      </c>
      <c r="K5495" s="1" t="s">
        <v>239</v>
      </c>
      <c r="L5495" s="1" t="s">
        <v>28169</v>
      </c>
      <c r="M5495" s="2" t="s">
        <v>12</v>
      </c>
      <c r="N5495" s="4">
        <f t="shared" si="1"/>
        <v>42860</v>
      </c>
      <c r="O5495" s="5" t="str">
        <f>IFERROR(__xludf.DUMMYFUNCTION("IF(REGEXMATCH(TRIM(I5495), ""^\d+\s*min""), ""Unclassified"", IF(I5495 = """", ""NR"", I5495))"),"TV-MA")</f>
        <v>TV-MA</v>
      </c>
      <c r="R5495" s="5" t="str">
        <f t="shared" si="2"/>
        <v>Handsome: A Netflix Mystery Movie</v>
      </c>
      <c r="S5495" s="5" t="str">
        <f>IFERROR(__xludf.DUMMYFUNCTION("""COMPUTED_VALUE"""),"Pizza")</f>
        <v>Pizza</v>
      </c>
      <c r="V5495" s="5"/>
      <c r="Y5495" s="5" t="str">
        <f>IFERROR(__xludf.DUMMYFUNCTION("REGEXEXTRACT(J5495, ""^\d+"")"),"81")</f>
        <v>81</v>
      </c>
      <c r="Z5495" s="5" t="str">
        <f>IFERROR(__xludf.DUMMYFUNCTION("REGEXEXTRACT(J5495, ""[A-Za-z ]+$"")")," min")</f>
        <v> min</v>
      </c>
      <c r="AA5495" s="5" t="str">
        <f>IFERROR(__xludf.DUMMYFUNCTION("IF(REGEXMATCH(Z5495, ""Season""), ""TV Show"", ""Movie"")"),"Movie")</f>
        <v>Movie</v>
      </c>
    </row>
    <row r="5496">
      <c r="A5496" s="1" t="s">
        <v>28170</v>
      </c>
      <c r="B5496" s="1" t="s">
        <v>37</v>
      </c>
      <c r="C5496" s="1" t="s">
        <v>28171</v>
      </c>
      <c r="E5496" s="1" t="s">
        <v>28172</v>
      </c>
      <c r="F5496" s="1" t="s">
        <v>221</v>
      </c>
      <c r="G5496" s="7">
        <v>42860.0</v>
      </c>
      <c r="H5496" s="1">
        <v>2017.0</v>
      </c>
      <c r="I5496" s="1" t="s">
        <v>206</v>
      </c>
      <c r="J5496" s="1" t="s">
        <v>276</v>
      </c>
      <c r="K5496" s="1" t="s">
        <v>290</v>
      </c>
      <c r="L5496" s="1" t="s">
        <v>28173</v>
      </c>
      <c r="M5496" s="2" t="s">
        <v>12</v>
      </c>
      <c r="N5496" s="4">
        <f t="shared" si="1"/>
        <v>42860</v>
      </c>
      <c r="O5496" s="5" t="str">
        <f>IFERROR(__xludf.DUMMYFUNCTION("IF(REGEXMATCH(TRIM(I5496), ""^\d+\s*min""), ""Unclassified"", IF(I5496 = """", ""NR"", I5496))"),"TV-Y")</f>
        <v>TV-Y</v>
      </c>
      <c r="R5496" s="5" t="str">
        <f t="shared" si="2"/>
        <v>Kazoops!</v>
      </c>
      <c r="S5496" s="5" t="str">
        <f>IFERROR(__xludf.DUMMYFUNCTION("""COMPUTED_VALUE"""),"Pizza, Birra, Faso")</f>
        <v>Pizza, Birra, Faso</v>
      </c>
      <c r="V5496" s="5"/>
      <c r="Y5496" s="5" t="str">
        <f>IFERROR(__xludf.DUMMYFUNCTION("REGEXEXTRACT(J5496, ""^\d+"")"),"3")</f>
        <v>3</v>
      </c>
      <c r="Z5496" s="5" t="str">
        <f>IFERROR(__xludf.DUMMYFUNCTION("REGEXEXTRACT(J5496, ""[A-Za-z ]+$"")")," Seasons")</f>
        <v> Seasons</v>
      </c>
      <c r="AA5496" s="5" t="str">
        <f>IFERROR(__xludf.DUMMYFUNCTION("IF(REGEXMATCH(Z5496, ""Season""), ""TV Show"", ""Movie"")"),"TV Show")</f>
        <v>TV Show</v>
      </c>
    </row>
    <row r="5497">
      <c r="A5497" s="1" t="s">
        <v>28174</v>
      </c>
      <c r="B5497" s="1" t="s">
        <v>27</v>
      </c>
      <c r="C5497" s="1" t="s">
        <v>28175</v>
      </c>
      <c r="D5497" s="1" t="s">
        <v>10153</v>
      </c>
      <c r="E5497" s="1" t="s">
        <v>28176</v>
      </c>
      <c r="F5497" s="1" t="s">
        <v>162</v>
      </c>
      <c r="G5497" s="7">
        <v>42860.0</v>
      </c>
      <c r="H5497" s="1">
        <v>2017.0</v>
      </c>
      <c r="I5497" s="1" t="s">
        <v>42</v>
      </c>
      <c r="J5497" s="1" t="s">
        <v>4699</v>
      </c>
      <c r="K5497" s="1" t="s">
        <v>1839</v>
      </c>
      <c r="L5497" s="1" t="s">
        <v>28177</v>
      </c>
      <c r="M5497" s="2" t="s">
        <v>12</v>
      </c>
      <c r="N5497" s="4">
        <f t="shared" si="1"/>
        <v>42860</v>
      </c>
      <c r="O5497" s="5" t="str">
        <f>IFERROR(__xludf.DUMMYFUNCTION("IF(REGEXMATCH(TRIM(I5497), ""^\d+\s*min""), ""Unclassified"", IF(I5497 = """", ""NR"", I5497))"),"TV-MA")</f>
        <v>TV-MA</v>
      </c>
      <c r="R5497" s="5" t="str">
        <f t="shared" si="2"/>
        <v>Simplemente Manu Nna</v>
      </c>
      <c r="S5497" s="5" t="str">
        <f>IFERROR(__xludf.DUMMYFUNCTION("""COMPUTED_VALUE"""),"Pj Masks")</f>
        <v>Pj Masks</v>
      </c>
      <c r="V5497" s="5"/>
      <c r="Y5497" s="5" t="str">
        <f>IFERROR(__xludf.DUMMYFUNCTION("REGEXEXTRACT(J5497, ""^\d+"")"),"72")</f>
        <v>72</v>
      </c>
      <c r="Z5497" s="5" t="str">
        <f>IFERROR(__xludf.DUMMYFUNCTION("REGEXEXTRACT(J5497, ""[A-Za-z ]+$"")")," min")</f>
        <v> min</v>
      </c>
      <c r="AA5497" s="5" t="str">
        <f>IFERROR(__xludf.DUMMYFUNCTION("IF(REGEXMATCH(Z5497, ""Season""), ""TV Show"", ""Movie"")"),"Movie")</f>
        <v>Movie</v>
      </c>
    </row>
    <row r="5498">
      <c r="A5498" s="1" t="s">
        <v>28178</v>
      </c>
      <c r="B5498" s="1" t="s">
        <v>27</v>
      </c>
      <c r="C5498" s="1" t="s">
        <v>28179</v>
      </c>
      <c r="D5498" s="1" t="s">
        <v>15536</v>
      </c>
      <c r="E5498" s="1" t="s">
        <v>28180</v>
      </c>
      <c r="F5498" s="1" t="s">
        <v>30</v>
      </c>
      <c r="G5498" s="7">
        <v>42860.0</v>
      </c>
      <c r="H5498" s="1">
        <v>2017.0</v>
      </c>
      <c r="I5498" s="1" t="s">
        <v>136</v>
      </c>
      <c r="J5498" s="1" t="s">
        <v>357</v>
      </c>
      <c r="K5498" s="1" t="s">
        <v>9544</v>
      </c>
      <c r="L5498" s="1" t="s">
        <v>28181</v>
      </c>
      <c r="M5498" s="2" t="s">
        <v>12</v>
      </c>
      <c r="N5498" s="4">
        <f t="shared" si="1"/>
        <v>42860</v>
      </c>
      <c r="O5498" s="5" t="str">
        <f>IFERROR(__xludf.DUMMYFUNCTION("IF(REGEXMATCH(TRIM(I5498), ""^\d+\s*min""), ""Unclassified"", IF(I5498 = """", ""NR"", I5498))"),"TV-PG")</f>
        <v>TV-PG</v>
      </c>
      <c r="R5498" s="5" t="str">
        <f t="shared" si="2"/>
        <v>The Mars Generation</v>
      </c>
      <c r="S5498" s="5" t="str">
        <f>IFERROR(__xludf.DUMMYFUNCTION("""COMPUTED_VALUE"""),"Pk")</f>
        <v>Pk</v>
      </c>
      <c r="V5498" s="5"/>
      <c r="Y5498" s="5" t="str">
        <f>IFERROR(__xludf.DUMMYFUNCTION("REGEXEXTRACT(J5498, ""^\d+"")"),"98")</f>
        <v>98</v>
      </c>
      <c r="Z5498" s="5" t="str">
        <f>IFERROR(__xludf.DUMMYFUNCTION("REGEXEXTRACT(J5498, ""[A-Za-z ]+$"")")," min")</f>
        <v> min</v>
      </c>
      <c r="AA5498" s="5" t="str">
        <f>IFERROR(__xludf.DUMMYFUNCTION("IF(REGEXMATCH(Z5498, ""Season""), ""TV Show"", ""Movie"")"),"Movie")</f>
        <v>Movie</v>
      </c>
    </row>
    <row r="5499">
      <c r="A5499" s="1" t="s">
        <v>28182</v>
      </c>
      <c r="B5499" s="1" t="s">
        <v>27</v>
      </c>
      <c r="C5499" s="1" t="s">
        <v>28183</v>
      </c>
      <c r="D5499" s="1" t="s">
        <v>10906</v>
      </c>
      <c r="E5499" s="1" t="s">
        <v>28184</v>
      </c>
      <c r="F5499" s="1" t="s">
        <v>30</v>
      </c>
      <c r="G5499" s="7">
        <v>42857.0</v>
      </c>
      <c r="H5499" s="1">
        <v>2017.0</v>
      </c>
      <c r="I5499" s="1" t="s">
        <v>42</v>
      </c>
      <c r="J5499" s="1" t="s">
        <v>1838</v>
      </c>
      <c r="K5499" s="1" t="s">
        <v>1839</v>
      </c>
      <c r="L5499" s="1" t="s">
        <v>28185</v>
      </c>
      <c r="M5499" s="2" t="s">
        <v>12</v>
      </c>
      <c r="N5499" s="4">
        <f t="shared" si="1"/>
        <v>42857</v>
      </c>
      <c r="O5499" s="5" t="str">
        <f>IFERROR(__xludf.DUMMYFUNCTION("IF(REGEXMATCH(TRIM(I5499), ""^\d+\s*min""), ""Unclassified"", IF(I5499 = """", ""NR"", I5499))"),"TV-MA")</f>
        <v>TV-MA</v>
      </c>
      <c r="R5499" s="5" t="str">
        <f t="shared" si="2"/>
        <v>Maria Bamford: Old Baby</v>
      </c>
      <c r="S5499" s="5" t="str">
        <f>IFERROR(__xludf.DUMMYFUNCTION("""COMPUTED_VALUE"""),"Plaire, Aimer Et Courir Vite")</f>
        <v>Plaire, Aimer Et Courir Vite</v>
      </c>
      <c r="V5499" s="5"/>
      <c r="Y5499" s="5" t="str">
        <f>IFERROR(__xludf.DUMMYFUNCTION("REGEXEXTRACT(J5499, ""^\d+"")"),"64")</f>
        <v>64</v>
      </c>
      <c r="Z5499" s="5" t="str">
        <f>IFERROR(__xludf.DUMMYFUNCTION("REGEXEXTRACT(J5499, ""[A-Za-z ]+$"")")," min")</f>
        <v> min</v>
      </c>
      <c r="AA5499" s="5" t="str">
        <f>IFERROR(__xludf.DUMMYFUNCTION("IF(REGEXMATCH(Z5499, ""Season""), ""TV Show"", ""Movie"")"),"Movie")</f>
        <v>Movie</v>
      </c>
    </row>
    <row r="5500">
      <c r="A5500" s="1" t="s">
        <v>28186</v>
      </c>
      <c r="B5500" s="1" t="s">
        <v>27</v>
      </c>
      <c r="C5500" s="1" t="s">
        <v>28187</v>
      </c>
      <c r="D5500" s="1" t="s">
        <v>12289</v>
      </c>
      <c r="E5500" s="1" t="s">
        <v>28188</v>
      </c>
      <c r="F5500" s="1" t="s">
        <v>28189</v>
      </c>
      <c r="G5500" s="7">
        <v>42856.0</v>
      </c>
      <c r="H5500" s="1">
        <v>2016.0</v>
      </c>
      <c r="I5500" s="1" t="s">
        <v>42</v>
      </c>
      <c r="J5500" s="1" t="s">
        <v>264</v>
      </c>
      <c r="K5500" s="1" t="s">
        <v>89</v>
      </c>
      <c r="L5500" s="1" t="s">
        <v>28190</v>
      </c>
      <c r="M5500" s="2" t="s">
        <v>12</v>
      </c>
      <c r="N5500" s="4">
        <f t="shared" si="1"/>
        <v>42856</v>
      </c>
      <c r="O5500" s="5" t="str">
        <f>IFERROR(__xludf.DUMMYFUNCTION("IF(REGEXMATCH(TRIM(I5500), ""^\d+\s*min""), ""Unclassified"", IF(I5500 = """", ""NR"", I5500))"),"TV-MA")</f>
        <v>TV-MA</v>
      </c>
      <c r="R5500" s="5" t="str">
        <f t="shared" si="2"/>
        <v>A Yellow Bird</v>
      </c>
      <c r="S5500" s="5" t="str">
        <f>IFERROR(__xludf.DUMMYFUNCTION("""COMPUTED_VALUE"""),"Planet 51")</f>
        <v>Planet 51</v>
      </c>
      <c r="V5500" s="5"/>
      <c r="Y5500" s="5" t="str">
        <f>IFERROR(__xludf.DUMMYFUNCTION("REGEXEXTRACT(J5500, ""^\d+"")"),"111")</f>
        <v>111</v>
      </c>
      <c r="Z5500" s="5" t="str">
        <f>IFERROR(__xludf.DUMMYFUNCTION("REGEXEXTRACT(J5500, ""[A-Za-z ]+$"")")," min")</f>
        <v> min</v>
      </c>
      <c r="AA5500" s="5" t="str">
        <f>IFERROR(__xludf.DUMMYFUNCTION("IF(REGEXMATCH(Z5500, ""Season""), ""TV Show"", ""Movie"")"),"Movie")</f>
        <v>Movie</v>
      </c>
    </row>
    <row r="5501">
      <c r="A5501" s="1" t="s">
        <v>28191</v>
      </c>
      <c r="B5501" s="1" t="s">
        <v>27</v>
      </c>
      <c r="C5501" s="1" t="s">
        <v>28192</v>
      </c>
      <c r="D5501" s="1" t="s">
        <v>14275</v>
      </c>
      <c r="E5501" s="1" t="s">
        <v>28193</v>
      </c>
      <c r="F5501" s="1" t="s">
        <v>63</v>
      </c>
      <c r="G5501" s="7">
        <v>42856.0</v>
      </c>
      <c r="H5501" s="1">
        <v>1996.0</v>
      </c>
      <c r="I5501" s="1" t="s">
        <v>97</v>
      </c>
      <c r="J5501" s="1" t="s">
        <v>2216</v>
      </c>
      <c r="K5501" s="1" t="s">
        <v>679</v>
      </c>
      <c r="L5501" s="1" t="s">
        <v>28194</v>
      </c>
      <c r="M5501" s="2" t="s">
        <v>12</v>
      </c>
      <c r="N5501" s="4">
        <f t="shared" si="1"/>
        <v>42856</v>
      </c>
      <c r="O5501" s="5" t="str">
        <f>IFERROR(__xludf.DUMMYFUNCTION("IF(REGEXMATCH(TRIM(I5501), ""^\d+\s*min""), ""Unclassified"", IF(I5501 = """", ""NR"", I5501))"),"TV-14")</f>
        <v>TV-14</v>
      </c>
      <c r="R5501" s="5" t="str">
        <f t="shared" si="2"/>
        <v>Chaahat</v>
      </c>
      <c r="S5501" s="5" t="str">
        <f>IFERROR(__xludf.DUMMYFUNCTION("""COMPUTED_VALUE"""),"Planet Earth Ii")</f>
        <v>Planet Earth Ii</v>
      </c>
      <c r="V5501" s="5"/>
      <c r="Y5501" s="5" t="str">
        <f>IFERROR(__xludf.DUMMYFUNCTION("REGEXEXTRACT(J5501, ""^\d+"")"),"148")</f>
        <v>148</v>
      </c>
      <c r="Z5501" s="5" t="str">
        <f>IFERROR(__xludf.DUMMYFUNCTION("REGEXEXTRACT(J5501, ""[A-Za-z ]+$"")")," min")</f>
        <v> min</v>
      </c>
      <c r="AA5501" s="5" t="str">
        <f>IFERROR(__xludf.DUMMYFUNCTION("IF(REGEXMATCH(Z5501, ""Season""), ""TV Show"", ""Movie"")"),"Movie")</f>
        <v>Movie</v>
      </c>
    </row>
    <row r="5502">
      <c r="A5502" s="1" t="s">
        <v>28195</v>
      </c>
      <c r="B5502" s="1" t="s">
        <v>27</v>
      </c>
      <c r="C5502" s="1" t="s">
        <v>28196</v>
      </c>
      <c r="D5502" s="1" t="s">
        <v>18387</v>
      </c>
      <c r="E5502" s="1" t="s">
        <v>28197</v>
      </c>
      <c r="F5502" s="1" t="s">
        <v>63</v>
      </c>
      <c r="G5502" s="7">
        <v>42856.0</v>
      </c>
      <c r="H5502" s="1">
        <v>1996.0</v>
      </c>
      <c r="I5502" s="1" t="s">
        <v>97</v>
      </c>
      <c r="J5502" s="1" t="s">
        <v>24904</v>
      </c>
      <c r="K5502" s="1" t="s">
        <v>583</v>
      </c>
      <c r="L5502" s="1" t="s">
        <v>28198</v>
      </c>
      <c r="M5502" s="2" t="s">
        <v>12</v>
      </c>
      <c r="N5502" s="4">
        <f t="shared" si="1"/>
        <v>42856</v>
      </c>
      <c r="O5502" s="5" t="str">
        <f>IFERROR(__xludf.DUMMYFUNCTION("IF(REGEXMATCH(TRIM(I5502), ""^\d+\s*min""), ""Unclassified"", IF(I5502 = """", ""NR"", I5502))"),"TV-14")</f>
        <v>TV-14</v>
      </c>
      <c r="R5502" s="5" t="str">
        <f t="shared" si="2"/>
        <v>English Babu Desi Mem</v>
      </c>
      <c r="S5502" s="5" t="str">
        <f>IFERROR(__xludf.DUMMYFUNCTION("""COMPUTED_VALUE"""),"Planet Earth: The Complete Collection")</f>
        <v>Planet Earth: The Complete Collection</v>
      </c>
      <c r="V5502" s="5"/>
      <c r="Y5502" s="5" t="str">
        <f>IFERROR(__xludf.DUMMYFUNCTION("REGEXEXTRACT(J5502, ""^\d+"")"),"163")</f>
        <v>163</v>
      </c>
      <c r="Z5502" s="5" t="str">
        <f>IFERROR(__xludf.DUMMYFUNCTION("REGEXEXTRACT(J5502, ""[A-Za-z ]+$"")")," min")</f>
        <v> min</v>
      </c>
      <c r="AA5502" s="5" t="str">
        <f>IFERROR(__xludf.DUMMYFUNCTION("IF(REGEXMATCH(Z5502, ""Season""), ""TV Show"", ""Movie"")"),"Movie")</f>
        <v>Movie</v>
      </c>
    </row>
    <row r="5503">
      <c r="A5503" s="1" t="s">
        <v>28199</v>
      </c>
      <c r="B5503" s="1" t="s">
        <v>27</v>
      </c>
      <c r="C5503" s="1" t="s">
        <v>28200</v>
      </c>
      <c r="D5503" s="1" t="s">
        <v>14019</v>
      </c>
      <c r="E5503" s="1" t="s">
        <v>28201</v>
      </c>
      <c r="F5503" s="1" t="s">
        <v>3217</v>
      </c>
      <c r="G5503" s="7">
        <v>42856.0</v>
      </c>
      <c r="H5503" s="1">
        <v>2016.0</v>
      </c>
      <c r="I5503" s="1" t="s">
        <v>42</v>
      </c>
      <c r="J5503" s="1" t="s">
        <v>465</v>
      </c>
      <c r="K5503" s="1" t="s">
        <v>199</v>
      </c>
      <c r="L5503" s="1" t="s">
        <v>28202</v>
      </c>
      <c r="M5503" s="2" t="s">
        <v>12</v>
      </c>
      <c r="N5503" s="4">
        <f t="shared" si="1"/>
        <v>42856</v>
      </c>
      <c r="O5503" s="5" t="str">
        <f>IFERROR(__xludf.DUMMYFUNCTION("IF(REGEXMATCH(TRIM(I5503), ""^\d+\s*min""), ""Unclassified"", IF(I5503 = """", ""NR"", I5503))"),"TV-MA")</f>
        <v>TV-MA</v>
      </c>
      <c r="R5503" s="5" t="str">
        <f t="shared" si="2"/>
        <v>He Even Has Your Eyes</v>
      </c>
      <c r="S5503" s="5" t="str">
        <f>IFERROR(__xludf.DUMMYFUNCTION("""COMPUTED_VALUE"""),"Planet Hulk")</f>
        <v>Planet Hulk</v>
      </c>
      <c r="V5503" s="5"/>
      <c r="Y5503" s="5" t="str">
        <f>IFERROR(__xludf.DUMMYFUNCTION("REGEXEXTRACT(J5503, ""^\d+"")"),"95")</f>
        <v>95</v>
      </c>
      <c r="Z5503" s="5" t="str">
        <f>IFERROR(__xludf.DUMMYFUNCTION("REGEXEXTRACT(J5503, ""[A-Za-z ]+$"")")," min")</f>
        <v> min</v>
      </c>
      <c r="AA5503" s="5" t="str">
        <f>IFERROR(__xludf.DUMMYFUNCTION("IF(REGEXMATCH(Z5503, ""Season""), ""TV Show"", ""Movie"")"),"Movie")</f>
        <v>Movie</v>
      </c>
    </row>
    <row r="5504">
      <c r="A5504" s="1" t="s">
        <v>28203</v>
      </c>
      <c r="B5504" s="1" t="s">
        <v>27</v>
      </c>
      <c r="C5504" s="1" t="s">
        <v>28204</v>
      </c>
      <c r="D5504" s="1" t="s">
        <v>9273</v>
      </c>
      <c r="E5504" s="1" t="s">
        <v>28205</v>
      </c>
      <c r="F5504" s="1" t="s">
        <v>3217</v>
      </c>
      <c r="G5504" s="7">
        <v>42856.0</v>
      </c>
      <c r="H5504" s="1">
        <v>2016.0</v>
      </c>
      <c r="I5504" s="1" t="s">
        <v>42</v>
      </c>
      <c r="J5504" s="1" t="s">
        <v>416</v>
      </c>
      <c r="K5504" s="1" t="s">
        <v>298</v>
      </c>
      <c r="L5504" s="1" t="s">
        <v>28206</v>
      </c>
      <c r="M5504" s="2" t="s">
        <v>12</v>
      </c>
      <c r="N5504" s="4">
        <f t="shared" si="1"/>
        <v>42856</v>
      </c>
      <c r="O5504" s="5" t="str">
        <f>IFERROR(__xludf.DUMMYFUNCTION("IF(REGEXMATCH(TRIM(I5504), ""^\d+\s*min""), ""Unclassified"", IF(I5504 = """", ""NR"", I5504))"),"TV-MA")</f>
        <v>TV-MA</v>
      </c>
      <c r="R5504" s="5" t="str">
        <f t="shared" si="2"/>
        <v>In The Shadow Of Iris</v>
      </c>
      <c r="S5504" s="5" t="str">
        <f>IFERROR(__xludf.DUMMYFUNCTION("""COMPUTED_VALUE"""),"Planetarium")</f>
        <v>Planetarium</v>
      </c>
      <c r="V5504" s="5"/>
      <c r="Y5504" s="5" t="str">
        <f>IFERROR(__xludf.DUMMYFUNCTION("REGEXEXTRACT(J5504, ""^\d+"")"),"99")</f>
        <v>99</v>
      </c>
      <c r="Z5504" s="5" t="str">
        <f>IFERROR(__xludf.DUMMYFUNCTION("REGEXEXTRACT(J5504, ""[A-Za-z ]+$"")")," min")</f>
        <v> min</v>
      </c>
      <c r="AA5504" s="5" t="str">
        <f>IFERROR(__xludf.DUMMYFUNCTION("IF(REGEXMATCH(Z5504, ""Season""), ""TV Show"", ""Movie"")"),"Movie")</f>
        <v>Movie</v>
      </c>
    </row>
    <row r="5505">
      <c r="A5505" s="1" t="s">
        <v>28207</v>
      </c>
      <c r="B5505" s="1" t="s">
        <v>27</v>
      </c>
      <c r="C5505" s="1" t="s">
        <v>28208</v>
      </c>
      <c r="D5505" s="1" t="s">
        <v>6847</v>
      </c>
      <c r="F5505" s="1" t="s">
        <v>96</v>
      </c>
      <c r="G5505" s="7">
        <v>42856.0</v>
      </c>
      <c r="H5505" s="1">
        <v>2017.0</v>
      </c>
      <c r="I5505" s="1" t="s">
        <v>136</v>
      </c>
      <c r="J5505" s="1" t="s">
        <v>10890</v>
      </c>
      <c r="K5505" s="1" t="s">
        <v>34</v>
      </c>
      <c r="L5505" s="1" t="s">
        <v>28209</v>
      </c>
      <c r="M5505" s="2" t="s">
        <v>12</v>
      </c>
      <c r="N5505" s="4">
        <f t="shared" si="1"/>
        <v>42856</v>
      </c>
      <c r="O5505" s="5" t="str">
        <f>IFERROR(__xludf.DUMMYFUNCTION("IF(REGEXMATCH(TRIM(I5505), ""^\d+\s*min""), ""Unclassified"", IF(I5505 = """", ""NR"", I5505))"),"TV-PG")</f>
        <v>TV-PG</v>
      </c>
      <c r="R5505" s="5" t="str">
        <f t="shared" si="2"/>
        <v>Jfk: The Making Of A President</v>
      </c>
      <c r="S5505" s="5" t="str">
        <f>IFERROR(__xludf.DUMMYFUNCTION("""COMPUTED_VALUE"""),"Plastic Cup Boyz: Laughing My Mask Off!")</f>
        <v>Plastic Cup Boyz: Laughing My Mask Off!</v>
      </c>
      <c r="V5505" s="5"/>
      <c r="Y5505" s="5" t="str">
        <f>IFERROR(__xludf.DUMMYFUNCTION("REGEXEXTRACT(J5505, ""^\d+"")"),"44")</f>
        <v>44</v>
      </c>
      <c r="Z5505" s="5" t="str">
        <f>IFERROR(__xludf.DUMMYFUNCTION("REGEXEXTRACT(J5505, ""[A-Za-z ]+$"")")," min")</f>
        <v> min</v>
      </c>
      <c r="AA5505" s="5" t="str">
        <f>IFERROR(__xludf.DUMMYFUNCTION("IF(REGEXMATCH(Z5505, ""Season""), ""TV Show"", ""Movie"")"),"Movie")</f>
        <v>Movie</v>
      </c>
    </row>
    <row r="5506">
      <c r="A5506" s="1" t="s">
        <v>28210</v>
      </c>
      <c r="B5506" s="1" t="s">
        <v>27</v>
      </c>
      <c r="C5506" s="1" t="s">
        <v>28211</v>
      </c>
      <c r="D5506" s="1" t="s">
        <v>20672</v>
      </c>
      <c r="E5506" s="1" t="s">
        <v>28212</v>
      </c>
      <c r="F5506" s="1" t="s">
        <v>1106</v>
      </c>
      <c r="G5506" s="7">
        <v>42856.0</v>
      </c>
      <c r="H5506" s="1">
        <v>2017.0</v>
      </c>
      <c r="I5506" s="1" t="s">
        <v>42</v>
      </c>
      <c r="J5506" s="1" t="s">
        <v>454</v>
      </c>
      <c r="K5506" s="1" t="s">
        <v>679</v>
      </c>
      <c r="L5506" s="1" t="s">
        <v>28213</v>
      </c>
      <c r="M5506" s="2" t="s">
        <v>12</v>
      </c>
      <c r="N5506" s="4">
        <f t="shared" si="1"/>
        <v>42856</v>
      </c>
      <c r="O5506" s="5" t="str">
        <f>IFERROR(__xludf.DUMMYFUNCTION("IF(REGEXMATCH(TRIM(I5506), ""^\d+\s*min""), ""Unclassified"", IF(I5506 = """", ""NR"", I5506))"),"TV-MA")</f>
        <v>TV-MA</v>
      </c>
      <c r="R5506" s="5" t="str">
        <f t="shared" si="2"/>
        <v>Kiss &amp; Cry</v>
      </c>
      <c r="S5506" s="5" t="str">
        <f>IFERROR(__xludf.DUMMYFUNCTION("""COMPUTED_VALUE"""),"Platoon")</f>
        <v>Platoon</v>
      </c>
      <c r="V5506" s="5"/>
      <c r="Y5506" s="5" t="str">
        <f>IFERROR(__xludf.DUMMYFUNCTION("REGEXEXTRACT(J5506, ""^\d+"")"),"93")</f>
        <v>93</v>
      </c>
      <c r="Z5506" s="5" t="str">
        <f>IFERROR(__xludf.DUMMYFUNCTION("REGEXEXTRACT(J5506, ""[A-Za-z ]+$"")")," min")</f>
        <v> min</v>
      </c>
      <c r="AA5506" s="5" t="str">
        <f>IFERROR(__xludf.DUMMYFUNCTION("IF(REGEXMATCH(Z5506, ""Season""), ""TV Show"", ""Movie"")"),"Movie")</f>
        <v>Movie</v>
      </c>
    </row>
    <row r="5507">
      <c r="A5507" s="1" t="s">
        <v>28214</v>
      </c>
      <c r="B5507" s="1" t="s">
        <v>27</v>
      </c>
      <c r="C5507" s="1" t="s">
        <v>28215</v>
      </c>
      <c r="D5507" s="1" t="s">
        <v>21840</v>
      </c>
      <c r="E5507" s="1" t="s">
        <v>28216</v>
      </c>
      <c r="F5507" s="1" t="s">
        <v>63</v>
      </c>
      <c r="G5507" s="7">
        <v>42856.0</v>
      </c>
      <c r="H5507" s="1">
        <v>2015.0</v>
      </c>
      <c r="I5507" s="1" t="s">
        <v>42</v>
      </c>
      <c r="J5507" s="1" t="s">
        <v>1191</v>
      </c>
      <c r="K5507" s="1" t="s">
        <v>89</v>
      </c>
      <c r="L5507" s="1" t="s">
        <v>28217</v>
      </c>
      <c r="M5507" s="2" t="s">
        <v>12</v>
      </c>
      <c r="N5507" s="4">
        <f t="shared" si="1"/>
        <v>42856</v>
      </c>
      <c r="O5507" s="5" t="str">
        <f>IFERROR(__xludf.DUMMYFUNCTION("IF(REGEXMATCH(TRIM(I5507), ""^\d+\s*min""), ""Unclassified"", IF(I5507 = """", ""NR"", I5507))"),"TV-MA")</f>
        <v>TV-MA</v>
      </c>
      <c r="R5507" s="5" t="str">
        <f t="shared" si="2"/>
        <v>Loev</v>
      </c>
      <c r="S5507" s="5" t="str">
        <f>IFERROR(__xludf.DUMMYFUNCTION("""COMPUTED_VALUE"""),"Players")</f>
        <v>Players</v>
      </c>
      <c r="V5507" s="5"/>
      <c r="Y5507" s="5" t="str">
        <f>IFERROR(__xludf.DUMMYFUNCTION("REGEXEXTRACT(J5507, ""^\d+"")"),"89")</f>
        <v>89</v>
      </c>
      <c r="Z5507" s="5" t="str">
        <f>IFERROR(__xludf.DUMMYFUNCTION("REGEXEXTRACT(J5507, ""[A-Za-z ]+$"")")," min")</f>
        <v> min</v>
      </c>
      <c r="AA5507" s="5" t="str">
        <f>IFERROR(__xludf.DUMMYFUNCTION("IF(REGEXMATCH(Z5507, ""Season""), ""TV Show"", ""Movie"")"),"Movie")</f>
        <v>Movie</v>
      </c>
    </row>
    <row r="5508">
      <c r="A5508" s="1" t="s">
        <v>28218</v>
      </c>
      <c r="B5508" s="1" t="s">
        <v>27</v>
      </c>
      <c r="C5508" s="1" t="s">
        <v>28219</v>
      </c>
      <c r="D5508" s="1" t="s">
        <v>6525</v>
      </c>
      <c r="E5508" s="1" t="s">
        <v>28220</v>
      </c>
      <c r="F5508" s="1" t="s">
        <v>1106</v>
      </c>
      <c r="G5508" s="7">
        <v>42856.0</v>
      </c>
      <c r="H5508" s="1">
        <v>2016.0</v>
      </c>
      <c r="I5508" s="1" t="s">
        <v>42</v>
      </c>
      <c r="J5508" s="1" t="s">
        <v>490</v>
      </c>
      <c r="K5508" s="1" t="s">
        <v>156</v>
      </c>
      <c r="L5508" s="1" t="s">
        <v>28221</v>
      </c>
      <c r="M5508" s="2" t="s">
        <v>12</v>
      </c>
      <c r="N5508" s="4">
        <f t="shared" si="1"/>
        <v>42856</v>
      </c>
      <c r="O5508" s="5" t="str">
        <f>IFERROR(__xludf.DUMMYFUNCTION("IF(REGEXMATCH(TRIM(I5508), ""^\d+\s*min""), ""Unclassified"", IF(I5508 = """", ""NR"", I5508))"),"TV-MA")</f>
        <v>TV-MA</v>
      </c>
      <c r="R5508" s="5" t="str">
        <f t="shared" si="2"/>
        <v>Mostly Sunny</v>
      </c>
      <c r="S5508" s="5" t="str">
        <f>IFERROR(__xludf.DUMMYFUNCTION("""COMPUTED_VALUE"""),"Playing For Keeps")</f>
        <v>Playing For Keeps</v>
      </c>
      <c r="V5508" s="5"/>
      <c r="Y5508" s="5" t="str">
        <f>IFERROR(__xludf.DUMMYFUNCTION("REGEXEXTRACT(J5508, ""^\d+"")"),"83")</f>
        <v>83</v>
      </c>
      <c r="Z5508" s="5" t="str">
        <f>IFERROR(__xludf.DUMMYFUNCTION("REGEXEXTRACT(J5508, ""[A-Za-z ]+$"")")," min")</f>
        <v> min</v>
      </c>
      <c r="AA5508" s="5" t="str">
        <f>IFERROR(__xludf.DUMMYFUNCTION("IF(REGEXMATCH(Z5508, ""Season""), ""TV Show"", ""Movie"")"),"Movie")</f>
        <v>Movie</v>
      </c>
    </row>
    <row r="5509">
      <c r="A5509" s="1" t="s">
        <v>28222</v>
      </c>
      <c r="B5509" s="1" t="s">
        <v>27</v>
      </c>
      <c r="C5509" s="1" t="s">
        <v>28223</v>
      </c>
      <c r="D5509" s="1" t="s">
        <v>9692</v>
      </c>
      <c r="E5509" s="1" t="s">
        <v>28224</v>
      </c>
      <c r="F5509" s="1" t="s">
        <v>28225</v>
      </c>
      <c r="G5509" s="7">
        <v>42856.0</v>
      </c>
      <c r="H5509" s="1">
        <v>2016.0</v>
      </c>
      <c r="I5509" s="1" t="s">
        <v>42</v>
      </c>
      <c r="J5509" s="1" t="s">
        <v>106</v>
      </c>
      <c r="K5509" s="1" t="s">
        <v>128</v>
      </c>
      <c r="L5509" s="1" t="s">
        <v>28226</v>
      </c>
      <c r="M5509" s="2" t="s">
        <v>12</v>
      </c>
      <c r="N5509" s="4">
        <f t="shared" si="1"/>
        <v>42856</v>
      </c>
      <c r="O5509" s="5" t="str">
        <f>IFERROR(__xludf.DUMMYFUNCTION("IF(REGEXMATCH(TRIM(I5509), ""^\d+\s*min""), ""Unclassified"", IF(I5509 = """", ""NR"", I5509))"),"TV-MA")</f>
        <v>TV-MA</v>
      </c>
      <c r="R5509" s="5" t="str">
        <f t="shared" si="2"/>
        <v>The Next Skin</v>
      </c>
      <c r="S5509" s="5" t="str">
        <f>IFERROR(__xludf.DUMMYFUNCTION("""COMPUTED_VALUE"""),"Playing For Time")</f>
        <v>Playing For Time</v>
      </c>
      <c r="V5509" s="5"/>
      <c r="Y5509" s="5" t="str">
        <f>IFERROR(__xludf.DUMMYFUNCTION("REGEXEXTRACT(J5509, ""^\d+"")"),"104")</f>
        <v>104</v>
      </c>
      <c r="Z5509" s="5" t="str">
        <f>IFERROR(__xludf.DUMMYFUNCTION("REGEXEXTRACT(J5509, ""[A-Za-z ]+$"")")," min")</f>
        <v> min</v>
      </c>
      <c r="AA5509" s="5" t="str">
        <f>IFERROR(__xludf.DUMMYFUNCTION("IF(REGEXMATCH(Z5509, ""Season""), ""TV Show"", ""Movie"")"),"Movie")</f>
        <v>Movie</v>
      </c>
    </row>
    <row r="5510">
      <c r="A5510" s="1" t="s">
        <v>28227</v>
      </c>
      <c r="B5510" s="1" t="s">
        <v>27</v>
      </c>
      <c r="C5510" s="1" t="s">
        <v>28228</v>
      </c>
      <c r="D5510" s="1" t="s">
        <v>13091</v>
      </c>
      <c r="F5510" s="1" t="s">
        <v>28229</v>
      </c>
      <c r="G5510" s="1" t="s">
        <v>28230</v>
      </c>
      <c r="H5510" s="1">
        <v>2017.0</v>
      </c>
      <c r="I5510" s="1" t="s">
        <v>97</v>
      </c>
      <c r="J5510" s="1" t="s">
        <v>2452</v>
      </c>
      <c r="K5510" s="1" t="s">
        <v>34</v>
      </c>
      <c r="L5510" s="1" t="s">
        <v>28231</v>
      </c>
      <c r="M5510" s="2" t="s">
        <v>12</v>
      </c>
      <c r="N5510" s="4">
        <f t="shared" si="1"/>
        <v>42853</v>
      </c>
      <c r="O5510" s="5" t="str">
        <f>IFERROR(__xludf.DUMMYFUNCTION("IF(REGEXMATCH(TRIM(I5510), ""^\d+\s*min""), ""Unclassified"", IF(I5510 = """", ""NR"", I5510))"),"TV-14")</f>
        <v>TV-14</v>
      </c>
      <c r="R5510" s="5" t="str">
        <f t="shared" si="2"/>
        <v>Casting Jonbenet</v>
      </c>
      <c r="S5510" s="5" t="str">
        <f>IFERROR(__xludf.DUMMYFUNCTION("""COMPUTED_VALUE"""),"Playing Hard")</f>
        <v>Playing Hard</v>
      </c>
      <c r="V5510" s="5"/>
      <c r="Y5510" s="5" t="str">
        <f>IFERROR(__xludf.DUMMYFUNCTION("REGEXEXTRACT(J5510, ""^\d+"")"),"81")</f>
        <v>81</v>
      </c>
      <c r="Z5510" s="5" t="str">
        <f>IFERROR(__xludf.DUMMYFUNCTION("REGEXEXTRACT(J5510, ""[A-Za-z ]+$"")")," min")</f>
        <v> min</v>
      </c>
      <c r="AA5510" s="5" t="str">
        <f>IFERROR(__xludf.DUMMYFUNCTION("IF(REGEXMATCH(Z5510, ""Season""), ""TV Show"", ""Movie"")"),"Movie")</f>
        <v>Movie</v>
      </c>
    </row>
    <row r="5511">
      <c r="A5511" s="1" t="s">
        <v>28232</v>
      </c>
      <c r="B5511" s="1" t="s">
        <v>37</v>
      </c>
      <c r="C5511" s="1" t="s">
        <v>28233</v>
      </c>
      <c r="E5511" s="1" t="s">
        <v>28234</v>
      </c>
      <c r="F5511" s="1" t="s">
        <v>749</v>
      </c>
      <c r="G5511" s="1" t="s">
        <v>28230</v>
      </c>
      <c r="H5511" s="1">
        <v>2015.0</v>
      </c>
      <c r="I5511" s="1" t="s">
        <v>97</v>
      </c>
      <c r="J5511" s="1" t="s">
        <v>51</v>
      </c>
      <c r="K5511" s="1" t="s">
        <v>7164</v>
      </c>
      <c r="L5511" s="1" t="s">
        <v>28235</v>
      </c>
      <c r="M5511" s="2" t="s">
        <v>12</v>
      </c>
      <c r="N5511" s="4">
        <f t="shared" si="1"/>
        <v>42853</v>
      </c>
      <c r="O5511" s="5" t="str">
        <f>IFERROR(__xludf.DUMMYFUNCTION("IF(REGEXMATCH(TRIM(I5511), ""^\d+\s*min""), ""Unclassified"", IF(I5511 = """", ""NR"", I5511))"),"TV-14")</f>
        <v>TV-14</v>
      </c>
      <c r="R5511" s="5" t="str">
        <f t="shared" si="2"/>
        <v>Jumping Girl</v>
      </c>
      <c r="S5511" s="5" t="str">
        <f>IFERROR(__xludf.DUMMYFUNCTION("""COMPUTED_VALUE"""),"Playing With Fire")</f>
        <v>Playing With Fire</v>
      </c>
      <c r="V5511" s="5"/>
      <c r="Y5511" s="5" t="str">
        <f>IFERROR(__xludf.DUMMYFUNCTION("REGEXEXTRACT(J5511, ""^\d+"")"),"1")</f>
        <v>1</v>
      </c>
      <c r="Z5511" s="5" t="str">
        <f>IFERROR(__xludf.DUMMYFUNCTION("REGEXEXTRACT(J5511, ""[A-Za-z ]+$"")")," Season")</f>
        <v> Season</v>
      </c>
      <c r="AA5511" s="5" t="str">
        <f>IFERROR(__xludf.DUMMYFUNCTION("IF(REGEXMATCH(Z5511, ""Season""), ""TV Show"", ""Movie"")"),"TV Show")</f>
        <v>TV Show</v>
      </c>
    </row>
    <row r="5512">
      <c r="A5512" s="1" t="s">
        <v>28236</v>
      </c>
      <c r="B5512" s="1" t="s">
        <v>37</v>
      </c>
      <c r="C5512" s="1" t="s">
        <v>28237</v>
      </c>
      <c r="E5512" s="1" t="s">
        <v>28238</v>
      </c>
      <c r="F5512" s="1" t="s">
        <v>749</v>
      </c>
      <c r="G5512" s="1" t="s">
        <v>28230</v>
      </c>
      <c r="H5512" s="1">
        <v>2010.0</v>
      </c>
      <c r="I5512" s="1" t="s">
        <v>97</v>
      </c>
      <c r="J5512" s="1" t="s">
        <v>51</v>
      </c>
      <c r="K5512" s="1" t="s">
        <v>13832</v>
      </c>
      <c r="L5512" s="1" t="s">
        <v>28239</v>
      </c>
      <c r="M5512" s="2" t="s">
        <v>12</v>
      </c>
      <c r="N5512" s="4">
        <f t="shared" si="1"/>
        <v>42853</v>
      </c>
      <c r="O5512" s="5" t="str">
        <f>IFERROR(__xludf.DUMMYFUNCTION("IF(REGEXMATCH(TRIM(I5512), ""^\d+\s*min""), ""Unclassified"", IF(I5512 = """", ""NR"", I5512))"),"TV-14")</f>
        <v>TV-14</v>
      </c>
      <c r="R5512" s="5" t="str">
        <f t="shared" si="2"/>
        <v>President</v>
      </c>
      <c r="S5512" s="5" t="str">
        <f>IFERROR(__xludf.DUMMYFUNCTION("""COMPUTED_VALUE"""),"Pnl - Dans La Légende Tour")</f>
        <v>Pnl - Dans La Légende Tour</v>
      </c>
      <c r="V5512" s="5"/>
      <c r="Y5512" s="5" t="str">
        <f>IFERROR(__xludf.DUMMYFUNCTION("REGEXEXTRACT(J5512, ""^\d+"")"),"1")</f>
        <v>1</v>
      </c>
      <c r="Z5512" s="5" t="str">
        <f>IFERROR(__xludf.DUMMYFUNCTION("REGEXEXTRACT(J5512, ""[A-Za-z ]+$"")")," Season")</f>
        <v> Season</v>
      </c>
      <c r="AA5512" s="5" t="str">
        <f>IFERROR(__xludf.DUMMYFUNCTION("IF(REGEXMATCH(Z5512, ""Season""), ""TV Show"", ""Movie"")"),"TV Show")</f>
        <v>TV Show</v>
      </c>
    </row>
    <row r="5513">
      <c r="A5513" s="1" t="s">
        <v>28240</v>
      </c>
      <c r="B5513" s="1" t="s">
        <v>27</v>
      </c>
      <c r="C5513" s="1" t="s">
        <v>28241</v>
      </c>
      <c r="D5513" s="1" t="s">
        <v>983</v>
      </c>
      <c r="E5513" s="1" t="s">
        <v>28242</v>
      </c>
      <c r="F5513" s="1" t="s">
        <v>30</v>
      </c>
      <c r="G5513" s="1" t="s">
        <v>28230</v>
      </c>
      <c r="H5513" s="1">
        <v>2017.0</v>
      </c>
      <c r="I5513" s="1" t="s">
        <v>42</v>
      </c>
      <c r="J5513" s="1" t="s">
        <v>8606</v>
      </c>
      <c r="K5513" s="1" t="s">
        <v>805</v>
      </c>
      <c r="L5513" s="1" t="s">
        <v>28243</v>
      </c>
      <c r="M5513" s="2" t="s">
        <v>12</v>
      </c>
      <c r="N5513" s="4">
        <f t="shared" si="1"/>
        <v>42853</v>
      </c>
      <c r="O5513" s="5" t="str">
        <f>IFERROR(__xludf.DUMMYFUNCTION("IF(REGEXMATCH(TRIM(I5513), ""^\d+\s*min""), ""Unclassified"", IF(I5513 = """", ""NR"", I5513))"),"TV-MA")</f>
        <v>TV-MA</v>
      </c>
      <c r="R5513" s="5" t="str">
        <f t="shared" si="2"/>
        <v>Rodney King</v>
      </c>
      <c r="S5513" s="5" t="str">
        <f>IFERROR(__xludf.DUMMYFUNCTION("""COMPUTED_VALUE"""),"Poacher")</f>
        <v>Poacher</v>
      </c>
      <c r="V5513" s="5"/>
      <c r="Y5513" s="5" t="str">
        <f>IFERROR(__xludf.DUMMYFUNCTION("REGEXEXTRACT(J5513, ""^\d+"")"),"53")</f>
        <v>53</v>
      </c>
      <c r="Z5513" s="5" t="str">
        <f>IFERROR(__xludf.DUMMYFUNCTION("REGEXEXTRACT(J5513, ""[A-Za-z ]+$"")")," min")</f>
        <v> min</v>
      </c>
      <c r="AA5513" s="5" t="str">
        <f>IFERROR(__xludf.DUMMYFUNCTION("IF(REGEXMATCH(Z5513, ""Season""), ""TV Show"", ""Movie"")"),"Movie")</f>
        <v>Movie</v>
      </c>
    </row>
    <row r="5514">
      <c r="A5514" s="1" t="s">
        <v>28244</v>
      </c>
      <c r="B5514" s="1" t="s">
        <v>27</v>
      </c>
      <c r="C5514" s="1" t="s">
        <v>28245</v>
      </c>
      <c r="D5514" s="1" t="s">
        <v>7369</v>
      </c>
      <c r="E5514" s="1" t="s">
        <v>28246</v>
      </c>
      <c r="F5514" s="1" t="s">
        <v>1979</v>
      </c>
      <c r="G5514" s="1" t="s">
        <v>28230</v>
      </c>
      <c r="H5514" s="1">
        <v>2017.0</v>
      </c>
      <c r="I5514" s="1" t="s">
        <v>42</v>
      </c>
      <c r="J5514" s="1" t="s">
        <v>465</v>
      </c>
      <c r="K5514" s="1" t="s">
        <v>394</v>
      </c>
      <c r="L5514" s="1" t="s">
        <v>28247</v>
      </c>
      <c r="M5514" s="2" t="s">
        <v>12</v>
      </c>
      <c r="N5514" s="4">
        <f t="shared" si="1"/>
        <v>42853</v>
      </c>
      <c r="O5514" s="5" t="str">
        <f>IFERROR(__xludf.DUMMYFUNCTION("IF(REGEXMATCH(TRIM(I5514), ""^\d+\s*min""), ""Unclassified"", IF(I5514 = """", ""NR"", I5514))"),"TV-MA")</f>
        <v>TV-MA</v>
      </c>
      <c r="R5514" s="5" t="str">
        <f t="shared" si="2"/>
        <v>Small Crimes</v>
      </c>
      <c r="S5514" s="5" t="str">
        <f>IFERROR(__xludf.DUMMYFUNCTION("""COMPUTED_VALUE"""),"Pocoyo")</f>
        <v>Pocoyo</v>
      </c>
      <c r="V5514" s="5"/>
      <c r="Y5514" s="5" t="str">
        <f>IFERROR(__xludf.DUMMYFUNCTION("REGEXEXTRACT(J5514, ""^\d+"")"),"95")</f>
        <v>95</v>
      </c>
      <c r="Z5514" s="5" t="str">
        <f>IFERROR(__xludf.DUMMYFUNCTION("REGEXEXTRACT(J5514, ""[A-Za-z ]+$"")")," min")</f>
        <v> min</v>
      </c>
      <c r="AA5514" s="5" t="str">
        <f>IFERROR(__xludf.DUMMYFUNCTION("IF(REGEXMATCH(Z5514, ""Season""), ""TV Show"", ""Movie"")"),"Movie")</f>
        <v>Movie</v>
      </c>
    </row>
    <row r="5515">
      <c r="A5515" s="1" t="s">
        <v>28248</v>
      </c>
      <c r="B5515" s="1" t="s">
        <v>37</v>
      </c>
      <c r="C5515" s="1" t="s">
        <v>28249</v>
      </c>
      <c r="E5515" s="1" t="s">
        <v>28250</v>
      </c>
      <c r="F5515" s="1" t="s">
        <v>749</v>
      </c>
      <c r="G5515" s="1" t="s">
        <v>28230</v>
      </c>
      <c r="H5515" s="1">
        <v>2015.0</v>
      </c>
      <c r="I5515" s="1" t="s">
        <v>97</v>
      </c>
      <c r="J5515" s="1" t="s">
        <v>51</v>
      </c>
      <c r="K5515" s="1" t="s">
        <v>7164</v>
      </c>
      <c r="L5515" s="1" t="s">
        <v>28251</v>
      </c>
      <c r="M5515" s="2" t="s">
        <v>12</v>
      </c>
      <c r="N5515" s="4">
        <f t="shared" si="1"/>
        <v>42853</v>
      </c>
      <c r="O5515" s="5" t="str">
        <f>IFERROR(__xludf.DUMMYFUNCTION("IF(REGEXMATCH(TRIM(I5515), ""^\d+\s*min""), ""Unclassified"", IF(I5515 = """", ""NR"", I5515))"),"TV-14")</f>
        <v>TV-14</v>
      </c>
      <c r="R5515" s="5" t="str">
        <f t="shared" si="2"/>
        <v>What In The World Happened?</v>
      </c>
      <c r="S5515" s="5" t="str">
        <f>IFERROR(__xludf.DUMMYFUNCTION("""COMPUTED_VALUE"""),"Pocoyo &amp; Cars")</f>
        <v>Pocoyo &amp; Cars</v>
      </c>
      <c r="V5515" s="5"/>
      <c r="Y5515" s="5" t="str">
        <f>IFERROR(__xludf.DUMMYFUNCTION("REGEXEXTRACT(J5515, ""^\d+"")"),"1")</f>
        <v>1</v>
      </c>
      <c r="Z5515" s="5" t="str">
        <f>IFERROR(__xludf.DUMMYFUNCTION("REGEXEXTRACT(J5515, ""[A-Za-z ]+$"")")," Season")</f>
        <v> Season</v>
      </c>
      <c r="AA5515" s="5" t="str">
        <f>IFERROR(__xludf.DUMMYFUNCTION("IF(REGEXMATCH(Z5515, ""Season""), ""TV Show"", ""Movie"")"),"TV Show")</f>
        <v>TV Show</v>
      </c>
    </row>
    <row r="5516">
      <c r="A5516" s="1" t="s">
        <v>28252</v>
      </c>
      <c r="B5516" s="1" t="s">
        <v>37</v>
      </c>
      <c r="C5516" s="1" t="s">
        <v>28253</v>
      </c>
      <c r="E5516" s="1" t="s">
        <v>28254</v>
      </c>
      <c r="F5516" s="1" t="s">
        <v>784</v>
      </c>
      <c r="G5516" s="1" t="s">
        <v>28255</v>
      </c>
      <c r="H5516" s="1">
        <v>2017.0</v>
      </c>
      <c r="I5516" s="1" t="s">
        <v>42</v>
      </c>
      <c r="J5516" s="1" t="s">
        <v>43</v>
      </c>
      <c r="K5516" s="1" t="s">
        <v>785</v>
      </c>
      <c r="L5516" s="1" t="s">
        <v>28256</v>
      </c>
      <c r="M5516" s="2" t="s">
        <v>12</v>
      </c>
      <c r="N5516" s="4">
        <f t="shared" si="1"/>
        <v>42852</v>
      </c>
      <c r="O5516" s="5" t="str">
        <f>IFERROR(__xludf.DUMMYFUNCTION("IF(REGEXMATCH(TRIM(I5516), ""^\d+\s*min""), ""Unclassified"", IF(I5516 = """", ""NR"", I5516))"),"TV-MA")</f>
        <v>TV-MA</v>
      </c>
      <c r="R5516" s="5" t="str">
        <f t="shared" si="2"/>
        <v>Mar De Plástico</v>
      </c>
      <c r="S5516" s="5" t="str">
        <f>IFERROR(__xludf.DUMMYFUNCTION("""COMPUTED_VALUE"""),"Pocoyo &amp; The Space Circus")</f>
        <v>Pocoyo &amp; The Space Circus</v>
      </c>
      <c r="V5516" s="5"/>
      <c r="Y5516" s="5" t="str">
        <f>IFERROR(__xludf.DUMMYFUNCTION("REGEXEXTRACT(J5516, ""^\d+"")"),"2")</f>
        <v>2</v>
      </c>
      <c r="Z5516" s="5" t="str">
        <f>IFERROR(__xludf.DUMMYFUNCTION("REGEXEXTRACT(J5516, ""[A-Za-z ]+$"")")," Seasons")</f>
        <v> Seasons</v>
      </c>
      <c r="AA5516" s="5" t="str">
        <f>IFERROR(__xludf.DUMMYFUNCTION("IF(REGEXMATCH(Z5516, ""Season""), ""TV Show"", ""Movie"")"),"TV Show")</f>
        <v>TV Show</v>
      </c>
    </row>
    <row r="5517">
      <c r="A5517" s="1" t="s">
        <v>28257</v>
      </c>
      <c r="B5517" s="1" t="s">
        <v>27</v>
      </c>
      <c r="C5517" s="1" t="s">
        <v>28258</v>
      </c>
      <c r="D5517" s="1" t="s">
        <v>8256</v>
      </c>
      <c r="E5517" s="1" t="s">
        <v>28259</v>
      </c>
      <c r="F5517" s="1" t="s">
        <v>63</v>
      </c>
      <c r="G5517" s="1" t="s">
        <v>28260</v>
      </c>
      <c r="H5517" s="1">
        <v>2016.0</v>
      </c>
      <c r="I5517" s="1" t="s">
        <v>97</v>
      </c>
      <c r="J5517" s="1" t="s">
        <v>5833</v>
      </c>
      <c r="K5517" s="1" t="s">
        <v>583</v>
      </c>
      <c r="L5517" s="1" t="s">
        <v>28261</v>
      </c>
      <c r="M5517" s="2" t="s">
        <v>12</v>
      </c>
      <c r="N5517" s="4">
        <f t="shared" si="1"/>
        <v>42850</v>
      </c>
      <c r="O5517" s="5" t="str">
        <f>IFERROR(__xludf.DUMMYFUNCTION("IF(REGEXMATCH(TRIM(I5517), ""^\d+\s*min""), ""Unclassified"", IF(I5517 = """", ""NR"", I5517))"),"TV-14")</f>
        <v>TV-14</v>
      </c>
      <c r="R5517" s="5" t="str">
        <f t="shared" si="2"/>
        <v>Dear Zindagi</v>
      </c>
      <c r="S5517" s="5" t="str">
        <f>IFERROR(__xludf.DUMMYFUNCTION("""COMPUTED_VALUE"""),"Pocoyo Carnival")</f>
        <v>Pocoyo Carnival</v>
      </c>
      <c r="V5517" s="5"/>
      <c r="Y5517" s="5" t="str">
        <f>IFERROR(__xludf.DUMMYFUNCTION("REGEXEXTRACT(J5517, ""^\d+"")"),"149")</f>
        <v>149</v>
      </c>
      <c r="Z5517" s="5" t="str">
        <f>IFERROR(__xludf.DUMMYFUNCTION("REGEXEXTRACT(J5517, ""[A-Za-z ]+$"")")," min")</f>
        <v> min</v>
      </c>
      <c r="AA5517" s="5" t="str">
        <f>IFERROR(__xludf.DUMMYFUNCTION("IF(REGEXMATCH(Z5517, ""Season""), ""TV Show"", ""Movie"")"),"Movie")</f>
        <v>Movie</v>
      </c>
    </row>
    <row r="5518">
      <c r="A5518" s="1" t="s">
        <v>28262</v>
      </c>
      <c r="B5518" s="1" t="s">
        <v>27</v>
      </c>
      <c r="C5518" s="1" t="s">
        <v>28263</v>
      </c>
      <c r="D5518" s="1" t="s">
        <v>17199</v>
      </c>
      <c r="E5518" s="1" t="s">
        <v>28264</v>
      </c>
      <c r="F5518" s="1" t="s">
        <v>28265</v>
      </c>
      <c r="G5518" s="1" t="s">
        <v>28260</v>
      </c>
      <c r="H5518" s="1">
        <v>2016.0</v>
      </c>
      <c r="I5518" s="1" t="s">
        <v>378</v>
      </c>
      <c r="J5518" s="1" t="s">
        <v>256</v>
      </c>
      <c r="K5518" s="1" t="s">
        <v>128</v>
      </c>
      <c r="L5518" s="1" t="s">
        <v>28266</v>
      </c>
      <c r="M5518" s="2" t="s">
        <v>12</v>
      </c>
      <c r="N5518" s="4">
        <f t="shared" si="1"/>
        <v>42850</v>
      </c>
      <c r="O5518" s="5" t="str">
        <f>IFERROR(__xludf.DUMMYFUNCTION("IF(REGEXMATCH(TRIM(I5518), ""^\d+\s*min""), ""Unclassified"", IF(I5518 = """", ""NR"", I5518))"),"R")</f>
        <v>R</v>
      </c>
      <c r="R5518" s="5" t="str">
        <f t="shared" si="2"/>
        <v>Shepherds And Butchers</v>
      </c>
      <c r="S5518" s="5" t="str">
        <f>IFERROR(__xludf.DUMMYFUNCTION("""COMPUTED_VALUE"""),"Pocoyo Halloween: Space Halloween")</f>
        <v>Pocoyo Halloween: Space Halloween</v>
      </c>
      <c r="V5518" s="5"/>
      <c r="Y5518" s="5" t="str">
        <f>IFERROR(__xludf.DUMMYFUNCTION("REGEXEXTRACT(J5518, ""^\d+"")"),"106")</f>
        <v>106</v>
      </c>
      <c r="Z5518" s="5" t="str">
        <f>IFERROR(__xludf.DUMMYFUNCTION("REGEXEXTRACT(J5518, ""[A-Za-z ]+$"")")," min")</f>
        <v> min</v>
      </c>
      <c r="AA5518" s="5" t="str">
        <f>IFERROR(__xludf.DUMMYFUNCTION("IF(REGEXMATCH(Z5518, ""Season""), ""TV Show"", ""Movie"")"),"Movie")</f>
        <v>Movie</v>
      </c>
    </row>
    <row r="5519">
      <c r="A5519" s="1" t="s">
        <v>28267</v>
      </c>
      <c r="B5519" s="1" t="s">
        <v>27</v>
      </c>
      <c r="C5519" s="1" t="s">
        <v>28268</v>
      </c>
      <c r="D5519" s="1" t="s">
        <v>7560</v>
      </c>
      <c r="E5519" s="1" t="s">
        <v>28269</v>
      </c>
      <c r="F5519" s="1" t="s">
        <v>3834</v>
      </c>
      <c r="G5519" s="1" t="s">
        <v>28260</v>
      </c>
      <c r="H5519" s="1">
        <v>2016.0</v>
      </c>
      <c r="I5519" s="1" t="s">
        <v>42</v>
      </c>
      <c r="J5519" s="1" t="s">
        <v>912</v>
      </c>
      <c r="K5519" s="1" t="s">
        <v>199</v>
      </c>
      <c r="L5519" s="1" t="s">
        <v>28270</v>
      </c>
      <c r="M5519" s="2" t="s">
        <v>12</v>
      </c>
      <c r="N5519" s="4">
        <f t="shared" si="1"/>
        <v>42850</v>
      </c>
      <c r="O5519" s="5" t="str">
        <f>IFERROR(__xludf.DUMMYFUNCTION("IF(REGEXMATCH(TRIM(I5519), ""^\d+\s*min""), ""Unclassified"", IF(I5519 = """", ""NR"", I5519))"),"TV-MA")</f>
        <v>TV-MA</v>
      </c>
      <c r="R5519" s="5" t="str">
        <f t="shared" si="2"/>
        <v>The 101-Year-Old Man Who Skipped Out On The Bill And Disappeared</v>
      </c>
      <c r="S5519" s="5" t="str">
        <f>IFERROR(__xludf.DUMMYFUNCTION("""COMPUTED_VALUE"""),"Pocoyo Halloween: Spooky Movies")</f>
        <v>Pocoyo Halloween: Spooky Movies</v>
      </c>
      <c r="V5519" s="5"/>
      <c r="Y5519" s="5" t="str">
        <f>IFERROR(__xludf.DUMMYFUNCTION("REGEXEXTRACT(J5519, ""^\d+"")"),"108")</f>
        <v>108</v>
      </c>
      <c r="Z5519" s="5" t="str">
        <f>IFERROR(__xludf.DUMMYFUNCTION("REGEXEXTRACT(J5519, ""[A-Za-z ]+$"")")," min")</f>
        <v> min</v>
      </c>
      <c r="AA5519" s="5" t="str">
        <f>IFERROR(__xludf.DUMMYFUNCTION("IF(REGEXMATCH(Z5519, ""Season""), ""TV Show"", ""Movie"")"),"Movie")</f>
        <v>Movie</v>
      </c>
    </row>
    <row r="5520">
      <c r="A5520" s="1" t="s">
        <v>28271</v>
      </c>
      <c r="B5520" s="1" t="s">
        <v>27</v>
      </c>
      <c r="C5520" s="1" t="s">
        <v>28272</v>
      </c>
      <c r="D5520" s="1" t="s">
        <v>14140</v>
      </c>
      <c r="E5520" s="1" t="s">
        <v>9033</v>
      </c>
      <c r="F5520" s="1" t="s">
        <v>30</v>
      </c>
      <c r="G5520" s="1" t="s">
        <v>28260</v>
      </c>
      <c r="H5520" s="1">
        <v>2017.0</v>
      </c>
      <c r="I5520" s="1" t="s">
        <v>42</v>
      </c>
      <c r="J5520" s="1" t="s">
        <v>2636</v>
      </c>
      <c r="K5520" s="1" t="s">
        <v>1839</v>
      </c>
      <c r="L5520" s="1" t="s">
        <v>28273</v>
      </c>
      <c r="M5520" s="2" t="s">
        <v>12</v>
      </c>
      <c r="N5520" s="4">
        <f t="shared" si="1"/>
        <v>42850</v>
      </c>
      <c r="O5520" s="5" t="str">
        <f>IFERROR(__xludf.DUMMYFUNCTION("IF(REGEXMATCH(TRIM(I5520), ""^\d+\s*min""), ""Unclassified"", IF(I5520 = """", ""NR"", I5520))"),"TV-MA")</f>
        <v>TV-MA</v>
      </c>
      <c r="R5520" s="5" t="str">
        <f t="shared" si="2"/>
        <v>Vir Das: Abroad Understanding</v>
      </c>
      <c r="S5520" s="5" t="str">
        <f>IFERROR(__xludf.DUMMYFUNCTION("""COMPUTED_VALUE"""),"Pocoyo Special Sports")</f>
        <v>Pocoyo Special Sports</v>
      </c>
      <c r="V5520" s="5"/>
      <c r="Y5520" s="5" t="str">
        <f>IFERROR(__xludf.DUMMYFUNCTION("REGEXEXTRACT(J5520, ""^\d+"")"),"66")</f>
        <v>66</v>
      </c>
      <c r="Z5520" s="5" t="str">
        <f>IFERROR(__xludf.DUMMYFUNCTION("REGEXEXTRACT(J5520, ""[A-Za-z ]+$"")")," min")</f>
        <v> min</v>
      </c>
      <c r="AA5520" s="5" t="str">
        <f>IFERROR(__xludf.DUMMYFUNCTION("IF(REGEXMATCH(Z5520, ""Season""), ""TV Show"", ""Movie"")"),"Movie")</f>
        <v>Movie</v>
      </c>
    </row>
    <row r="5521">
      <c r="A5521" s="1" t="s">
        <v>28274</v>
      </c>
      <c r="B5521" s="1" t="s">
        <v>37</v>
      </c>
      <c r="C5521" s="1" t="s">
        <v>28275</v>
      </c>
      <c r="E5521" s="1" t="s">
        <v>28276</v>
      </c>
      <c r="F5521" s="1" t="s">
        <v>1106</v>
      </c>
      <c r="G5521" s="1" t="s">
        <v>28277</v>
      </c>
      <c r="H5521" s="1">
        <v>2016.0</v>
      </c>
      <c r="I5521" s="1" t="s">
        <v>289</v>
      </c>
      <c r="J5521" s="1" t="s">
        <v>51</v>
      </c>
      <c r="K5521" s="1" t="s">
        <v>314</v>
      </c>
      <c r="L5521" s="1" t="s">
        <v>28278</v>
      </c>
      <c r="M5521" s="2" t="s">
        <v>12</v>
      </c>
      <c r="N5521" s="4">
        <f t="shared" si="1"/>
        <v>42847</v>
      </c>
      <c r="O5521" s="5" t="str">
        <f>IFERROR(__xludf.DUMMYFUNCTION("IF(REGEXMATCH(TRIM(I5521), ""^\d+\s*min""), ""Unclassified"", IF(I5521 = """", ""NR"", I5521))"),"TV-Y7")</f>
        <v>TV-Y7</v>
      </c>
      <c r="R5521" s="5" t="str">
        <f t="shared" si="2"/>
        <v>Fangbone</v>
      </c>
      <c r="S5521" s="5" t="str">
        <f>IFERROR(__xludf.DUMMYFUNCTION("""COMPUTED_VALUE"""),"Point Blank")</f>
        <v>Point Blank</v>
      </c>
      <c r="V5521" s="5"/>
      <c r="Y5521" s="5" t="str">
        <f>IFERROR(__xludf.DUMMYFUNCTION("REGEXEXTRACT(J5521, ""^\d+"")"),"1")</f>
        <v>1</v>
      </c>
      <c r="Z5521" s="5" t="str">
        <f>IFERROR(__xludf.DUMMYFUNCTION("REGEXEXTRACT(J5521, ""[A-Za-z ]+$"")")," Season")</f>
        <v> Season</v>
      </c>
      <c r="AA5521" s="5" t="str">
        <f>IFERROR(__xludf.DUMMYFUNCTION("IF(REGEXMATCH(Z5521, ""Season""), ""TV Show"", ""Movie"")"),"TV Show")</f>
        <v>TV Show</v>
      </c>
    </row>
    <row r="5522">
      <c r="A5522" s="1" t="s">
        <v>28279</v>
      </c>
      <c r="B5522" s="1" t="s">
        <v>37</v>
      </c>
      <c r="C5522" s="1" t="s">
        <v>28280</v>
      </c>
      <c r="E5522" s="1" t="s">
        <v>28281</v>
      </c>
      <c r="F5522" s="1" t="s">
        <v>30</v>
      </c>
      <c r="G5522" s="1" t="s">
        <v>28282</v>
      </c>
      <c r="H5522" s="1">
        <v>2017.0</v>
      </c>
      <c r="I5522" s="1" t="s">
        <v>42</v>
      </c>
      <c r="J5522" s="1" t="s">
        <v>51</v>
      </c>
      <c r="K5522" s="1" t="s">
        <v>270</v>
      </c>
      <c r="L5522" s="1" t="s">
        <v>28283</v>
      </c>
      <c r="M5522" s="2" t="s">
        <v>12</v>
      </c>
      <c r="N5522" s="4">
        <f t="shared" si="1"/>
        <v>42846</v>
      </c>
      <c r="O5522" s="5" t="str">
        <f>IFERROR(__xludf.DUMMYFUNCTION("IF(REGEXMATCH(TRIM(I5522), ""^\d+\s*min""), ""Unclassified"", IF(I5522 = """", ""NR"", I5522))"),"TV-MA")</f>
        <v>TV-MA</v>
      </c>
      <c r="R5522" s="5" t="str">
        <f t="shared" si="2"/>
        <v>Girlboss</v>
      </c>
      <c r="S5522" s="5" t="str">
        <f>IFERROR(__xludf.DUMMYFUNCTION("""COMPUTED_VALUE"""),"Pokémon Journeys: The Series")</f>
        <v>Pokémon Journeys: The Series</v>
      </c>
      <c r="V5522" s="5"/>
      <c r="Y5522" s="5" t="str">
        <f>IFERROR(__xludf.DUMMYFUNCTION("REGEXEXTRACT(J5522, ""^\d+"")"),"1")</f>
        <v>1</v>
      </c>
      <c r="Z5522" s="5" t="str">
        <f>IFERROR(__xludf.DUMMYFUNCTION("REGEXEXTRACT(J5522, ""[A-Za-z ]+$"")")," Season")</f>
        <v> Season</v>
      </c>
      <c r="AA5522" s="5" t="str">
        <f>IFERROR(__xludf.DUMMYFUNCTION("IF(REGEXMATCH(Z5522, ""Season""), ""TV Show"", ""Movie"")"),"TV Show")</f>
        <v>TV Show</v>
      </c>
    </row>
    <row r="5523">
      <c r="A5523" s="1" t="s">
        <v>28284</v>
      </c>
      <c r="B5523" s="1" t="s">
        <v>37</v>
      </c>
      <c r="C5523" s="1" t="s">
        <v>28285</v>
      </c>
      <c r="D5523" s="1" t="s">
        <v>10944</v>
      </c>
      <c r="F5523" s="1" t="s">
        <v>30</v>
      </c>
      <c r="G5523" s="1" t="s">
        <v>28282</v>
      </c>
      <c r="H5523" s="1">
        <v>2017.0</v>
      </c>
      <c r="I5523" s="1" t="s">
        <v>42</v>
      </c>
      <c r="J5523" s="1" t="s">
        <v>51</v>
      </c>
      <c r="K5523" s="1" t="s">
        <v>1261</v>
      </c>
      <c r="L5523" s="1" t="s">
        <v>28286</v>
      </c>
      <c r="M5523" s="2" t="s">
        <v>12</v>
      </c>
      <c r="N5523" s="4">
        <f t="shared" si="1"/>
        <v>42846</v>
      </c>
      <c r="O5523" s="5" t="str">
        <f>IFERROR(__xludf.DUMMYFUNCTION("IF(REGEXMATCH(TRIM(I5523), ""^\d+\s*min""), ""Unclassified"", IF(I5523 = """", ""NR"", I5523))"),"TV-MA")</f>
        <v>TV-MA</v>
      </c>
      <c r="R5523" s="5" t="str">
        <f t="shared" si="2"/>
        <v>Hot Girls Wanted: Turned On</v>
      </c>
      <c r="S5523" s="5" t="str">
        <f>IFERROR(__xludf.DUMMYFUNCTION("""COMPUTED_VALUE"""),"Pokémon Master Journeys: The Series")</f>
        <v>Pokémon Master Journeys: The Series</v>
      </c>
      <c r="V5523" s="5"/>
      <c r="Y5523" s="5" t="str">
        <f>IFERROR(__xludf.DUMMYFUNCTION("REGEXEXTRACT(J5523, ""^\d+"")"),"1")</f>
        <v>1</v>
      </c>
      <c r="Z5523" s="5" t="str">
        <f>IFERROR(__xludf.DUMMYFUNCTION("REGEXEXTRACT(J5523, ""[A-Za-z ]+$"")")," Season")</f>
        <v> Season</v>
      </c>
      <c r="AA5523" s="5" t="str">
        <f>IFERROR(__xludf.DUMMYFUNCTION("IF(REGEXMATCH(Z5523, ""Season""), ""TV Show"", ""Movie"")"),"TV Show")</f>
        <v>TV Show</v>
      </c>
    </row>
    <row r="5524">
      <c r="A5524" s="1" t="s">
        <v>28287</v>
      </c>
      <c r="B5524" s="1" t="s">
        <v>27</v>
      </c>
      <c r="C5524" s="1" t="s">
        <v>28288</v>
      </c>
      <c r="D5524" s="1" t="s">
        <v>7625</v>
      </c>
      <c r="E5524" s="1" t="s">
        <v>28289</v>
      </c>
      <c r="F5524" s="1" t="s">
        <v>30</v>
      </c>
      <c r="G5524" s="1" t="s">
        <v>28282</v>
      </c>
      <c r="H5524" s="1">
        <v>2017.0</v>
      </c>
      <c r="I5524" s="1" t="s">
        <v>42</v>
      </c>
      <c r="J5524" s="1" t="s">
        <v>519</v>
      </c>
      <c r="K5524" s="1" t="s">
        <v>8559</v>
      </c>
      <c r="L5524" s="1" t="s">
        <v>28290</v>
      </c>
      <c r="M5524" s="2" t="s">
        <v>12</v>
      </c>
      <c r="N5524" s="4">
        <f t="shared" si="1"/>
        <v>42846</v>
      </c>
      <c r="O5524" s="5" t="str">
        <f>IFERROR(__xludf.DUMMYFUNCTION("IF(REGEXMATCH(TRIM(I5524), ""^\d+\s*min""), ""Unclassified"", IF(I5524 = """", ""NR"", I5524))"),"TV-MA")</f>
        <v>TV-MA</v>
      </c>
      <c r="R5524" s="5" t="str">
        <f t="shared" si="2"/>
        <v>Sand Castle</v>
      </c>
      <c r="S5524" s="5" t="str">
        <f>IFERROR(__xludf.DUMMYFUNCTION("""COMPUTED_VALUE"""),"Pokémon The Movie: I Choose You!")</f>
        <v>Pokémon The Movie: I Choose You!</v>
      </c>
      <c r="V5524" s="5"/>
      <c r="Y5524" s="5" t="str">
        <f>IFERROR(__xludf.DUMMYFUNCTION("REGEXEXTRACT(J5524, ""^\d+"")"),"113")</f>
        <v>113</v>
      </c>
      <c r="Z5524" s="5" t="str">
        <f>IFERROR(__xludf.DUMMYFUNCTION("REGEXEXTRACT(J5524, ""[A-Za-z ]+$"")")," min")</f>
        <v> min</v>
      </c>
      <c r="AA5524" s="5" t="str">
        <f>IFERROR(__xludf.DUMMYFUNCTION("IF(REGEXMATCH(Z5524, ""Season""), ""TV Show"", ""Movie"")"),"Movie")</f>
        <v>Movie</v>
      </c>
    </row>
    <row r="5525">
      <c r="A5525" s="1" t="s">
        <v>28291</v>
      </c>
      <c r="B5525" s="1" t="s">
        <v>37</v>
      </c>
      <c r="C5525" s="1" t="s">
        <v>28292</v>
      </c>
      <c r="E5525" s="1" t="s">
        <v>28293</v>
      </c>
      <c r="F5525" s="1" t="s">
        <v>30</v>
      </c>
      <c r="G5525" s="1" t="s">
        <v>28282</v>
      </c>
      <c r="H5525" s="1">
        <v>2017.0</v>
      </c>
      <c r="I5525" s="1" t="s">
        <v>289</v>
      </c>
      <c r="J5525" s="1" t="s">
        <v>148</v>
      </c>
      <c r="K5525" s="1" t="s">
        <v>314</v>
      </c>
      <c r="L5525" s="1" t="s">
        <v>28294</v>
      </c>
      <c r="M5525" s="2" t="s">
        <v>12</v>
      </c>
      <c r="N5525" s="4">
        <f t="shared" si="1"/>
        <v>42846</v>
      </c>
      <c r="O5525" s="5" t="str">
        <f>IFERROR(__xludf.DUMMYFUNCTION("IF(REGEXMATCH(TRIM(I5525), ""^\d+\s*min""), ""Unclassified"", IF(I5525 = """", ""NR"", I5525))"),"TV-Y7")</f>
        <v>TV-Y7</v>
      </c>
      <c r="R5525" s="5" t="str">
        <f t="shared" si="2"/>
        <v>The Mr. Peabody And Sherman Show</v>
      </c>
      <c r="S5525" s="5" t="str">
        <f>IFERROR(__xludf.DUMMYFUNCTION("""COMPUTED_VALUE"""),"Pokémon The Movie: Power Of Us")</f>
        <v>Pokémon The Movie: Power Of Us</v>
      </c>
      <c r="V5525" s="5"/>
      <c r="Y5525" s="5" t="str">
        <f>IFERROR(__xludf.DUMMYFUNCTION("REGEXEXTRACT(J5525, ""^\d+"")"),"4")</f>
        <v>4</v>
      </c>
      <c r="Z5525" s="5" t="str">
        <f>IFERROR(__xludf.DUMMYFUNCTION("REGEXEXTRACT(J5525, ""[A-Za-z ]+$"")")," Seasons")</f>
        <v> Seasons</v>
      </c>
      <c r="AA5525" s="5" t="str">
        <f>IFERROR(__xludf.DUMMYFUNCTION("IF(REGEXMATCH(Z5525, ""Season""), ""TV Show"", ""Movie"")"),"TV Show")</f>
        <v>TV Show</v>
      </c>
    </row>
    <row r="5526">
      <c r="A5526" s="1" t="s">
        <v>28295</v>
      </c>
      <c r="B5526" s="1" t="s">
        <v>27</v>
      </c>
      <c r="C5526" s="1" t="s">
        <v>28296</v>
      </c>
      <c r="D5526" s="1" t="s">
        <v>388</v>
      </c>
      <c r="E5526" s="1" t="s">
        <v>28297</v>
      </c>
      <c r="F5526" s="1" t="s">
        <v>30</v>
      </c>
      <c r="G5526" s="1" t="s">
        <v>28282</v>
      </c>
      <c r="H5526" s="1">
        <v>2017.0</v>
      </c>
      <c r="I5526" s="1" t="s">
        <v>42</v>
      </c>
      <c r="J5526" s="1" t="s">
        <v>490</v>
      </c>
      <c r="K5526" s="1" t="s">
        <v>1538</v>
      </c>
      <c r="L5526" s="1" t="s">
        <v>28298</v>
      </c>
      <c r="M5526" s="2" t="s">
        <v>12</v>
      </c>
      <c r="N5526" s="4">
        <f t="shared" si="1"/>
        <v>42846</v>
      </c>
      <c r="O5526" s="5" t="str">
        <f>IFERROR(__xludf.DUMMYFUNCTION("IF(REGEXMATCH(TRIM(I5526), ""^\d+\s*min""), ""Unclassified"", IF(I5526 = """", ""NR"", I5526))"),"TV-MA")</f>
        <v>TV-MA</v>
      </c>
      <c r="R5526" s="5" t="str">
        <f t="shared" si="2"/>
        <v>Tramps</v>
      </c>
      <c r="S5526" s="5" t="str">
        <f>IFERROR(__xludf.DUMMYFUNCTION("""COMPUTED_VALUE"""),"Pokémon The Series")</f>
        <v>Pokémon The Series</v>
      </c>
      <c r="V5526" s="5"/>
      <c r="Y5526" s="5" t="str">
        <f>IFERROR(__xludf.DUMMYFUNCTION("REGEXEXTRACT(J5526, ""^\d+"")"),"83")</f>
        <v>83</v>
      </c>
      <c r="Z5526" s="5" t="str">
        <f>IFERROR(__xludf.DUMMYFUNCTION("REGEXEXTRACT(J5526, ""[A-Za-z ]+$"")")," min")</f>
        <v> min</v>
      </c>
      <c r="AA5526" s="5" t="str">
        <f>IFERROR(__xludf.DUMMYFUNCTION("IF(REGEXMATCH(Z5526, ""Season""), ""TV Show"", ""Movie"")"),"Movie")</f>
        <v>Movie</v>
      </c>
    </row>
    <row r="5527">
      <c r="A5527" s="1" t="s">
        <v>28299</v>
      </c>
      <c r="B5527" s="1" t="s">
        <v>27</v>
      </c>
      <c r="C5527" s="1" t="s">
        <v>28300</v>
      </c>
      <c r="D5527" s="1" t="s">
        <v>10379</v>
      </c>
      <c r="E5527" s="1" t="s">
        <v>28301</v>
      </c>
      <c r="F5527" s="1" t="s">
        <v>30</v>
      </c>
      <c r="G5527" s="1" t="s">
        <v>28302</v>
      </c>
      <c r="H5527" s="1">
        <v>2017.0</v>
      </c>
      <c r="I5527" s="1" t="s">
        <v>42</v>
      </c>
      <c r="J5527" s="1" t="s">
        <v>9034</v>
      </c>
      <c r="K5527" s="1" t="s">
        <v>1839</v>
      </c>
      <c r="L5527" s="1" t="s">
        <v>28303</v>
      </c>
      <c r="M5527" s="2" t="s">
        <v>12</v>
      </c>
      <c r="N5527" s="4">
        <f t="shared" si="1"/>
        <v>42843</v>
      </c>
      <c r="O5527" s="5" t="str">
        <f>IFERROR(__xludf.DUMMYFUNCTION("IF(REGEXMATCH(TRIM(I5527), ""^\d+\s*min""), ""Unclassified"", IF(I5527 = """", ""NR"", I5527))"),"TV-MA")</f>
        <v>TV-MA</v>
      </c>
      <c r="R5527" s="5" t="str">
        <f t="shared" si="2"/>
        <v>Lucas Brothers: On Drugs</v>
      </c>
      <c r="S5527" s="5" t="str">
        <f>IFERROR(__xludf.DUMMYFUNCTION("""COMPUTED_VALUE"""),"Pokémon: Indigo League")</f>
        <v>Pokémon: Indigo League</v>
      </c>
      <c r="V5527" s="5"/>
      <c r="Y5527" s="5" t="str">
        <f>IFERROR(__xludf.DUMMYFUNCTION("REGEXEXTRACT(J5527, ""^\d+"")"),"50")</f>
        <v>50</v>
      </c>
      <c r="Z5527" s="5" t="str">
        <f>IFERROR(__xludf.DUMMYFUNCTION("REGEXEXTRACT(J5527, ""[A-Za-z ]+$"")")," min")</f>
        <v> min</v>
      </c>
      <c r="AA5527" s="5" t="str">
        <f>IFERROR(__xludf.DUMMYFUNCTION("IF(REGEXMATCH(Z5527, ""Season""), ""TV Show"", ""Movie"")"),"Movie")</f>
        <v>Movie</v>
      </c>
    </row>
    <row r="5528">
      <c r="A5528" s="1" t="s">
        <v>28304</v>
      </c>
      <c r="B5528" s="1" t="s">
        <v>27</v>
      </c>
      <c r="C5528" s="1" t="s">
        <v>28305</v>
      </c>
      <c r="D5528" s="1" t="s">
        <v>6407</v>
      </c>
      <c r="E5528" s="1" t="s">
        <v>28306</v>
      </c>
      <c r="F5528" s="1" t="s">
        <v>2492</v>
      </c>
      <c r="G5528" s="1" t="s">
        <v>28307</v>
      </c>
      <c r="H5528" s="1">
        <v>2014.0</v>
      </c>
      <c r="I5528" s="1" t="s">
        <v>136</v>
      </c>
      <c r="J5528" s="1" t="s">
        <v>247</v>
      </c>
      <c r="K5528" s="1" t="s">
        <v>920</v>
      </c>
      <c r="L5528" s="1" t="s">
        <v>28308</v>
      </c>
      <c r="M5528" s="2" t="s">
        <v>12</v>
      </c>
      <c r="N5528" s="4">
        <f t="shared" si="1"/>
        <v>42840</v>
      </c>
      <c r="O5528" s="5" t="str">
        <f>IFERROR(__xludf.DUMMYFUNCTION("IF(REGEXMATCH(TRIM(I5528), ""^\d+\s*min""), ""Unclassified"", IF(I5528 = """", ""NR"", I5528))"),"TV-PG")</f>
        <v>TV-PG</v>
      </c>
      <c r="R5528" s="5" t="str">
        <f t="shared" si="2"/>
        <v>Bibi &amp; Tina</v>
      </c>
      <c r="S5528" s="5" t="str">
        <f>IFERROR(__xludf.DUMMYFUNCTION("""COMPUTED_VALUE"""),"Pokémon: Mewtwo Strikes Back - Evolution")</f>
        <v>Pokémon: Mewtwo Strikes Back - Evolution</v>
      </c>
      <c r="V5528" s="5"/>
      <c r="Y5528" s="5" t="str">
        <f>IFERROR(__xludf.DUMMYFUNCTION("REGEXEXTRACT(J5528, ""^\d+"")"),"97")</f>
        <v>97</v>
      </c>
      <c r="Z5528" s="5" t="str">
        <f>IFERROR(__xludf.DUMMYFUNCTION("REGEXEXTRACT(J5528, ""[A-Za-z ]+$"")")," min")</f>
        <v> min</v>
      </c>
      <c r="AA5528" s="5" t="str">
        <f>IFERROR(__xludf.DUMMYFUNCTION("IF(REGEXMATCH(Z5528, ""Season""), ""TV Show"", ""Movie"")"),"Movie")</f>
        <v>Movie</v>
      </c>
    </row>
    <row r="5529">
      <c r="A5529" s="1" t="s">
        <v>28309</v>
      </c>
      <c r="B5529" s="1" t="s">
        <v>27</v>
      </c>
      <c r="C5529" s="1" t="s">
        <v>28310</v>
      </c>
      <c r="D5529" s="1" t="s">
        <v>6407</v>
      </c>
      <c r="E5529" s="1" t="s">
        <v>28311</v>
      </c>
      <c r="F5529" s="1" t="s">
        <v>2492</v>
      </c>
      <c r="G5529" s="1" t="s">
        <v>28307</v>
      </c>
      <c r="H5529" s="1">
        <v>2014.0</v>
      </c>
      <c r="I5529" s="1" t="s">
        <v>97</v>
      </c>
      <c r="J5529" s="1" t="s">
        <v>305</v>
      </c>
      <c r="K5529" s="1" t="s">
        <v>920</v>
      </c>
      <c r="L5529" s="1" t="s">
        <v>28312</v>
      </c>
      <c r="M5529" s="2" t="s">
        <v>12</v>
      </c>
      <c r="N5529" s="4">
        <f t="shared" si="1"/>
        <v>42840</v>
      </c>
      <c r="O5529" s="5" t="str">
        <f>IFERROR(__xludf.DUMMYFUNCTION("IF(REGEXMATCH(TRIM(I5529), ""^\d+\s*min""), ""Unclassified"", IF(I5529 = """", ""NR"", I5529))"),"TV-14")</f>
        <v>TV-14</v>
      </c>
      <c r="R5529" s="5" t="str">
        <f t="shared" si="2"/>
        <v>Bibi &amp; Tina Ii</v>
      </c>
      <c r="S5529" s="5" t="str">
        <f>IFERROR(__xludf.DUMMYFUNCTION("""COMPUTED_VALUE"""),"Polar")</f>
        <v>Polar</v>
      </c>
      <c r="V5529" s="5"/>
      <c r="Y5529" s="5" t="str">
        <f>IFERROR(__xludf.DUMMYFUNCTION("REGEXEXTRACT(J5529, ""^\d+"")"),"105")</f>
        <v>105</v>
      </c>
      <c r="Z5529" s="5" t="str">
        <f>IFERROR(__xludf.DUMMYFUNCTION("REGEXEXTRACT(J5529, ""[A-Za-z ]+$"")")," min")</f>
        <v> min</v>
      </c>
      <c r="AA5529" s="5" t="str">
        <f>IFERROR(__xludf.DUMMYFUNCTION("IF(REGEXMATCH(Z5529, ""Season""), ""TV Show"", ""Movie"")"),"Movie")</f>
        <v>Movie</v>
      </c>
    </row>
    <row r="5530">
      <c r="A5530" s="1" t="s">
        <v>28313</v>
      </c>
      <c r="B5530" s="1" t="s">
        <v>27</v>
      </c>
      <c r="C5530" s="1" t="s">
        <v>28314</v>
      </c>
      <c r="D5530" s="1" t="s">
        <v>6407</v>
      </c>
      <c r="E5530" s="1" t="s">
        <v>28315</v>
      </c>
      <c r="F5530" s="1" t="s">
        <v>2492</v>
      </c>
      <c r="G5530" s="1" t="s">
        <v>28307</v>
      </c>
      <c r="H5530" s="1">
        <v>2016.0</v>
      </c>
      <c r="I5530" s="1" t="s">
        <v>97</v>
      </c>
      <c r="J5530" s="1" t="s">
        <v>1256</v>
      </c>
      <c r="K5530" s="1" t="s">
        <v>920</v>
      </c>
      <c r="L5530" s="1" t="s">
        <v>28316</v>
      </c>
      <c r="M5530" s="2" t="s">
        <v>12</v>
      </c>
      <c r="N5530" s="4">
        <f t="shared" si="1"/>
        <v>42840</v>
      </c>
      <c r="O5530" s="5" t="str">
        <f>IFERROR(__xludf.DUMMYFUNCTION("IF(REGEXMATCH(TRIM(I5530), ""^\d+\s*min""), ""Unclassified"", IF(I5530 = """", ""NR"", I5530))"),"TV-14")</f>
        <v>TV-14</v>
      </c>
      <c r="R5530" s="5" t="str">
        <f t="shared" si="2"/>
        <v>Bibi &amp; Tina: Girls Versus Boys</v>
      </c>
      <c r="S5530" s="5" t="str">
        <f>IFERROR(__xludf.DUMMYFUNCTION("""COMPUTED_VALUE"""),"Polaroid")</f>
        <v>Polaroid</v>
      </c>
      <c r="V5530" s="5"/>
      <c r="Y5530" s="5" t="str">
        <f>IFERROR(__xludf.DUMMYFUNCTION("REGEXEXTRACT(J5530, ""^\d+"")"),"107")</f>
        <v>107</v>
      </c>
      <c r="Z5530" s="5" t="str">
        <f>IFERROR(__xludf.DUMMYFUNCTION("REGEXEXTRACT(J5530, ""[A-Za-z ]+$"")")," min")</f>
        <v> min</v>
      </c>
      <c r="AA5530" s="5" t="str">
        <f>IFERROR(__xludf.DUMMYFUNCTION("IF(REGEXMATCH(Z5530, ""Season""), ""TV Show"", ""Movie"")"),"Movie")</f>
        <v>Movie</v>
      </c>
    </row>
    <row r="5531">
      <c r="A5531" s="1" t="s">
        <v>28317</v>
      </c>
      <c r="B5531" s="1" t="s">
        <v>27</v>
      </c>
      <c r="C5531" s="1" t="s">
        <v>28318</v>
      </c>
      <c r="D5531" s="1" t="s">
        <v>1789</v>
      </c>
      <c r="E5531" s="1" t="s">
        <v>28319</v>
      </c>
      <c r="F5531" s="1" t="s">
        <v>1779</v>
      </c>
      <c r="G5531" s="1" t="s">
        <v>28307</v>
      </c>
      <c r="H5531" s="1">
        <v>2017.0</v>
      </c>
      <c r="I5531" s="1" t="s">
        <v>42</v>
      </c>
      <c r="J5531" s="1" t="s">
        <v>416</v>
      </c>
      <c r="K5531" s="1" t="s">
        <v>583</v>
      </c>
      <c r="L5531" s="1" t="s">
        <v>28320</v>
      </c>
      <c r="M5531" s="2" t="s">
        <v>12</v>
      </c>
      <c r="N5531" s="4">
        <f t="shared" si="1"/>
        <v>42840</v>
      </c>
      <c r="O5531" s="5" t="str">
        <f>IFERROR(__xludf.DUMMYFUNCTION("IF(REGEXMATCH(TRIM(I5531), ""^\d+\s*min""), ""Unclassified"", IF(I5531 = """", ""NR"", I5531))"),"TV-MA")</f>
        <v>TV-MA</v>
      </c>
      <c r="R5531" s="5" t="str">
        <f t="shared" si="2"/>
        <v>Slam</v>
      </c>
      <c r="S5531" s="5" t="str">
        <f>IFERROR(__xludf.DUMMYFUNCTION("""COMPUTED_VALUE"""),"Polly Pocket")</f>
        <v>Polly Pocket</v>
      </c>
      <c r="V5531" s="5"/>
      <c r="Y5531" s="5" t="str">
        <f>IFERROR(__xludf.DUMMYFUNCTION("REGEXEXTRACT(J5531, ""^\d+"")"),"99")</f>
        <v>99</v>
      </c>
      <c r="Z5531" s="5" t="str">
        <f>IFERROR(__xludf.DUMMYFUNCTION("REGEXEXTRACT(J5531, ""[A-Za-z ]+$"")")," min")</f>
        <v> min</v>
      </c>
      <c r="AA5531" s="5" t="str">
        <f>IFERROR(__xludf.DUMMYFUNCTION("IF(REGEXMATCH(Z5531, ""Season""), ""TV Show"", ""Movie"")"),"Movie")</f>
        <v>Movie</v>
      </c>
    </row>
    <row r="5532">
      <c r="A5532" s="1" t="s">
        <v>28321</v>
      </c>
      <c r="B5532" s="1" t="s">
        <v>27</v>
      </c>
      <c r="C5532" s="1" t="s">
        <v>28322</v>
      </c>
      <c r="D5532" s="1" t="s">
        <v>549</v>
      </c>
      <c r="E5532" s="1" t="s">
        <v>28323</v>
      </c>
      <c r="F5532" s="1" t="s">
        <v>400</v>
      </c>
      <c r="G5532" s="1" t="s">
        <v>28307</v>
      </c>
      <c r="H5532" s="1">
        <v>2016.0</v>
      </c>
      <c r="I5532" s="1" t="s">
        <v>97</v>
      </c>
      <c r="J5532" s="1" t="s">
        <v>1091</v>
      </c>
      <c r="K5532" s="1" t="s">
        <v>583</v>
      </c>
      <c r="L5532" s="1" t="s">
        <v>28324</v>
      </c>
      <c r="M5532" s="2" t="s">
        <v>12</v>
      </c>
      <c r="N5532" s="4">
        <f t="shared" si="1"/>
        <v>42840</v>
      </c>
      <c r="O5532" s="5" t="str">
        <f>IFERROR(__xludf.DUMMYFUNCTION("IF(REGEXMATCH(TRIM(I5532), ""^\d+\s*min""), ""Unclassified"", IF(I5532 = """", ""NR"", I5532))"),"TV-14")</f>
        <v>TV-14</v>
      </c>
      <c r="R5532" s="5" t="str">
        <f t="shared" si="2"/>
        <v>The Wedding Party</v>
      </c>
      <c r="S5532" s="5" t="str">
        <f>IFERROR(__xludf.DUMMYFUNCTION("""COMPUTED_VALUE"""),"Pomegranates And Myrrh")</f>
        <v>Pomegranates And Myrrh</v>
      </c>
      <c r="V5532" s="5"/>
      <c r="Y5532" s="5" t="str">
        <f>IFERROR(__xludf.DUMMYFUNCTION("REGEXEXTRACT(J5532, ""^\d+"")"),"101")</f>
        <v>101</v>
      </c>
      <c r="Z5532" s="5" t="str">
        <f>IFERROR(__xludf.DUMMYFUNCTION("REGEXEXTRACT(J5532, ""[A-Za-z ]+$"")")," min")</f>
        <v> min</v>
      </c>
      <c r="AA5532" s="5" t="str">
        <f>IFERROR(__xludf.DUMMYFUNCTION("IF(REGEXMATCH(Z5532, ""Season""), ""TV Show"", ""Movie"")"),"Movie")</f>
        <v>Movie</v>
      </c>
    </row>
    <row r="5533">
      <c r="A5533" s="1" t="s">
        <v>28325</v>
      </c>
      <c r="B5533" s="1" t="s">
        <v>27</v>
      </c>
      <c r="C5533" s="1" t="s">
        <v>28326</v>
      </c>
      <c r="D5533" s="1" t="s">
        <v>14739</v>
      </c>
      <c r="E5533" s="1" t="s">
        <v>28327</v>
      </c>
      <c r="F5533" s="1" t="s">
        <v>3217</v>
      </c>
      <c r="G5533" s="1" t="s">
        <v>28328</v>
      </c>
      <c r="H5533" s="1">
        <v>2016.0</v>
      </c>
      <c r="I5533" s="1" t="s">
        <v>97</v>
      </c>
      <c r="J5533" s="1" t="s">
        <v>2452</v>
      </c>
      <c r="K5533" s="1" t="s">
        <v>679</v>
      </c>
      <c r="L5533" s="1" t="s">
        <v>28329</v>
      </c>
      <c r="M5533" s="2" t="s">
        <v>12</v>
      </c>
      <c r="N5533" s="4">
        <f t="shared" si="1"/>
        <v>42839</v>
      </c>
      <c r="O5533" s="5" t="str">
        <f>IFERROR(__xludf.DUMMYFUNCTION("IF(REGEXMATCH(TRIM(I5533), ""^\d+\s*min""), ""Unclassified"", IF(I5533 = """", ""NR"", I5533))"),"TV-14")</f>
        <v>TV-14</v>
      </c>
      <c r="R5533" s="5" t="str">
        <f t="shared" si="2"/>
        <v>Arctic Heart</v>
      </c>
      <c r="S5533" s="5" t="str">
        <f>IFERROR(__xludf.DUMMYFUNCTION("""COMPUTED_VALUE"""),"Poms")</f>
        <v>Poms</v>
      </c>
      <c r="V5533" s="5"/>
      <c r="Y5533" s="5" t="str">
        <f>IFERROR(__xludf.DUMMYFUNCTION("REGEXEXTRACT(J5533, ""^\d+"")"),"81")</f>
        <v>81</v>
      </c>
      <c r="Z5533" s="5" t="str">
        <f>IFERROR(__xludf.DUMMYFUNCTION("REGEXEXTRACT(J5533, ""[A-Za-z ]+$"")")," min")</f>
        <v> min</v>
      </c>
      <c r="AA5533" s="5" t="str">
        <f>IFERROR(__xludf.DUMMYFUNCTION("IF(REGEXMATCH(Z5533, ""Season""), ""TV Show"", ""Movie"")"),"Movie")</f>
        <v>Movie</v>
      </c>
    </row>
    <row r="5534">
      <c r="A5534" s="1" t="s">
        <v>28330</v>
      </c>
      <c r="B5534" s="1" t="s">
        <v>27</v>
      </c>
      <c r="C5534" s="1" t="s">
        <v>28331</v>
      </c>
      <c r="D5534" s="1" t="s">
        <v>15953</v>
      </c>
      <c r="E5534" s="1" t="s">
        <v>28332</v>
      </c>
      <c r="F5534" s="1" t="s">
        <v>784</v>
      </c>
      <c r="G5534" s="1" t="s">
        <v>28328</v>
      </c>
      <c r="H5534" s="1">
        <v>2016.0</v>
      </c>
      <c r="I5534" s="1" t="s">
        <v>42</v>
      </c>
      <c r="J5534" s="1" t="s">
        <v>665</v>
      </c>
      <c r="K5534" s="1" t="s">
        <v>583</v>
      </c>
      <c r="L5534" s="1" t="s">
        <v>28333</v>
      </c>
      <c r="M5534" s="2" t="s">
        <v>12</v>
      </c>
      <c r="N5534" s="4">
        <f t="shared" si="1"/>
        <v>42839</v>
      </c>
      <c r="O5534" s="5" t="str">
        <f>IFERROR(__xludf.DUMMYFUNCTION("IF(REGEXMATCH(TRIM(I5534), ""^\d+\s*min""), ""Unclassified"", IF(I5534 = """", ""NR"", I5534))"),"TV-MA")</f>
        <v>TV-MA</v>
      </c>
      <c r="R5534" s="5" t="str">
        <f t="shared" si="2"/>
        <v>Our Lovers</v>
      </c>
      <c r="S5534" s="5" t="str">
        <f>IFERROR(__xludf.DUMMYFUNCTION("""COMPUTED_VALUE"""),"Ponysitters Club")</f>
        <v>Ponysitters Club</v>
      </c>
      <c r="V5534" s="5"/>
      <c r="Y5534" s="5" t="str">
        <f>IFERROR(__xludf.DUMMYFUNCTION("REGEXEXTRACT(J5534, ""^\d+"")"),"92")</f>
        <v>92</v>
      </c>
      <c r="Z5534" s="5" t="str">
        <f>IFERROR(__xludf.DUMMYFUNCTION("REGEXEXTRACT(J5534, ""[A-Za-z ]+$"")")," min")</f>
        <v> min</v>
      </c>
      <c r="AA5534" s="5" t="str">
        <f>IFERROR(__xludf.DUMMYFUNCTION("IF(REGEXMATCH(Z5534, ""Season""), ""TV Show"", ""Movie"")"),"Movie")</f>
        <v>Movie</v>
      </c>
    </row>
    <row r="5535">
      <c r="A5535" s="1" t="s">
        <v>28334</v>
      </c>
      <c r="B5535" s="1" t="s">
        <v>27</v>
      </c>
      <c r="C5535" s="1" t="s">
        <v>28335</v>
      </c>
      <c r="D5535" s="1" t="s">
        <v>21706</v>
      </c>
      <c r="E5535" s="1" t="s">
        <v>28336</v>
      </c>
      <c r="F5535" s="1" t="s">
        <v>30</v>
      </c>
      <c r="G5535" s="1" t="s">
        <v>28328</v>
      </c>
      <c r="H5535" s="1">
        <v>2017.0</v>
      </c>
      <c r="I5535" s="1" t="s">
        <v>97</v>
      </c>
      <c r="J5535" s="1" t="s">
        <v>2859</v>
      </c>
      <c r="K5535" s="1" t="s">
        <v>239</v>
      </c>
      <c r="L5535" s="1" t="s">
        <v>28337</v>
      </c>
      <c r="M5535" s="2" t="s">
        <v>12</v>
      </c>
      <c r="N5535" s="4">
        <f t="shared" si="1"/>
        <v>42839</v>
      </c>
      <c r="O5535" s="5" t="str">
        <f>IFERROR(__xludf.DUMMYFUNCTION("IF(REGEXMATCH(TRIM(I5535), ""^\d+\s*min""), ""Unclassified"", IF(I5535 = """", ""NR"", I5535))"),"TV-14")</f>
        <v>TV-14</v>
      </c>
      <c r="R5535" s="5" t="str">
        <f t="shared" si="2"/>
        <v>Sandy Wexler</v>
      </c>
      <c r="S5535" s="5" t="str">
        <f>IFERROR(__xludf.DUMMYFUNCTION("""COMPUTED_VALUE"""),"Pooja Kiven Aa")</f>
        <v>Pooja Kiven Aa</v>
      </c>
      <c r="V5535" s="5"/>
      <c r="Y5535" s="5" t="str">
        <f>IFERROR(__xludf.DUMMYFUNCTION("REGEXEXTRACT(J5535, ""^\d+"")"),"131")</f>
        <v>131</v>
      </c>
      <c r="Z5535" s="5" t="str">
        <f>IFERROR(__xludf.DUMMYFUNCTION("REGEXEXTRACT(J5535, ""[A-Za-z ]+$"")")," min")</f>
        <v> min</v>
      </c>
      <c r="AA5535" s="5" t="str">
        <f>IFERROR(__xludf.DUMMYFUNCTION("IF(REGEXMATCH(Z5535, ""Season""), ""TV Show"", ""Movie"")"),"Movie")</f>
        <v>Movie</v>
      </c>
    </row>
    <row r="5536">
      <c r="A5536" s="1" t="s">
        <v>28338</v>
      </c>
      <c r="B5536" s="1" t="s">
        <v>27</v>
      </c>
      <c r="C5536" s="1" t="s">
        <v>28339</v>
      </c>
      <c r="D5536" s="1" t="s">
        <v>2379</v>
      </c>
      <c r="E5536" s="1" t="s">
        <v>28340</v>
      </c>
      <c r="F5536" s="1" t="s">
        <v>162</v>
      </c>
      <c r="G5536" s="1" t="s">
        <v>28341</v>
      </c>
      <c r="H5536" s="1">
        <v>2016.0</v>
      </c>
      <c r="I5536" s="1" t="s">
        <v>42</v>
      </c>
      <c r="J5536" s="1" t="s">
        <v>1091</v>
      </c>
      <c r="K5536" s="1" t="s">
        <v>8160</v>
      </c>
      <c r="L5536" s="1" t="s">
        <v>28342</v>
      </c>
      <c r="M5536" s="2" t="s">
        <v>12</v>
      </c>
      <c r="N5536" s="4">
        <f t="shared" si="1"/>
        <v>42837</v>
      </c>
      <c r="O5536" s="5" t="str">
        <f>IFERROR(__xludf.DUMMYFUNCTION("IF(REGEXMATCH(TRIM(I5536), ""^\d+\s*min""), ""Unclassified"", IF(I5536 = """", ""NR"", I5536))"),"TV-MA")</f>
        <v>TV-MA</v>
      </c>
      <c r="R5536" s="5" t="str">
        <f t="shared" si="2"/>
        <v>Macho</v>
      </c>
      <c r="S5536" s="5" t="str">
        <f>IFERROR(__xludf.DUMMYFUNCTION("""COMPUTED_VALUE"""),"Pop Team Epic")</f>
        <v>Pop Team Epic</v>
      </c>
      <c r="V5536" s="5"/>
      <c r="Y5536" s="5" t="str">
        <f>IFERROR(__xludf.DUMMYFUNCTION("REGEXEXTRACT(J5536, ""^\d+"")"),"101")</f>
        <v>101</v>
      </c>
      <c r="Z5536" s="5" t="str">
        <f>IFERROR(__xludf.DUMMYFUNCTION("REGEXEXTRACT(J5536, ""[A-Za-z ]+$"")")," min")</f>
        <v> min</v>
      </c>
      <c r="AA5536" s="5" t="str">
        <f>IFERROR(__xludf.DUMMYFUNCTION("IF(REGEXMATCH(Z5536, ""Season""), ""TV Show"", ""Movie"")"),"Movie")</f>
        <v>Movie</v>
      </c>
    </row>
    <row r="5537">
      <c r="A5537" s="1" t="s">
        <v>28343</v>
      </c>
      <c r="B5537" s="1" t="s">
        <v>27</v>
      </c>
      <c r="C5537" s="1" t="s">
        <v>28344</v>
      </c>
      <c r="D5537" s="1" t="s">
        <v>9806</v>
      </c>
      <c r="E5537" s="1" t="s">
        <v>28345</v>
      </c>
      <c r="F5537" s="1" t="s">
        <v>30</v>
      </c>
      <c r="G5537" s="1" t="s">
        <v>28346</v>
      </c>
      <c r="H5537" s="1">
        <v>2016.0</v>
      </c>
      <c r="I5537" s="1" t="s">
        <v>378</v>
      </c>
      <c r="J5537" s="1" t="s">
        <v>322</v>
      </c>
      <c r="K5537" s="1" t="s">
        <v>1839</v>
      </c>
      <c r="L5537" s="1" t="s">
        <v>28347</v>
      </c>
      <c r="M5537" s="2" t="s">
        <v>12</v>
      </c>
      <c r="N5537" s="4">
        <f t="shared" si="1"/>
        <v>42836</v>
      </c>
      <c r="O5537" s="5" t="str">
        <f>IFERROR(__xludf.DUMMYFUNCTION("IF(REGEXMATCH(TRIM(I5537), ""^\d+\s*min""), ""Unclassified"", IF(I5537 = """", ""NR"", I5537))"),"R")</f>
        <v>R</v>
      </c>
      <c r="R5537" s="5" t="str">
        <f t="shared" si="2"/>
        <v>Kevin Hart: What Now?</v>
      </c>
      <c r="S5537" s="5" t="str">
        <f>IFERROR(__xludf.DUMMYFUNCTION("""COMPUTED_VALUE"""),"Pop, Lock 'N Roll")</f>
        <v>Pop, Lock 'N Roll</v>
      </c>
      <c r="V5537" s="5"/>
      <c r="Y5537" s="5" t="str">
        <f>IFERROR(__xludf.DUMMYFUNCTION("REGEXEXTRACT(J5537, ""^\d+"")"),"96")</f>
        <v>96</v>
      </c>
      <c r="Z5537" s="5" t="str">
        <f>IFERROR(__xludf.DUMMYFUNCTION("REGEXEXTRACT(J5537, ""[A-Za-z ]+$"")")," min")</f>
        <v> min</v>
      </c>
      <c r="AA5537" s="5" t="str">
        <f>IFERROR(__xludf.DUMMYFUNCTION("IF(REGEXMATCH(Z5537, ""Season""), ""TV Show"", ""Movie"")"),"Movie")</f>
        <v>Movie</v>
      </c>
    </row>
    <row r="5538">
      <c r="A5538" s="1" t="s">
        <v>28348</v>
      </c>
      <c r="B5538" s="1" t="s">
        <v>27</v>
      </c>
      <c r="C5538" s="1" t="s">
        <v>28349</v>
      </c>
      <c r="D5538" s="1" t="s">
        <v>8624</v>
      </c>
      <c r="E5538" s="1" t="s">
        <v>28350</v>
      </c>
      <c r="F5538" s="1" t="s">
        <v>30</v>
      </c>
      <c r="G5538" s="1" t="s">
        <v>28351</v>
      </c>
      <c r="H5538" s="1">
        <v>2017.0</v>
      </c>
      <c r="I5538" s="1" t="s">
        <v>42</v>
      </c>
      <c r="J5538" s="1" t="s">
        <v>471</v>
      </c>
      <c r="K5538" s="1" t="s">
        <v>239</v>
      </c>
      <c r="L5538" s="1" t="s">
        <v>28352</v>
      </c>
      <c r="M5538" s="2" t="s">
        <v>12</v>
      </c>
      <c r="N5538" s="4">
        <f t="shared" si="1"/>
        <v>42835</v>
      </c>
      <c r="O5538" s="5" t="str">
        <f>IFERROR(__xludf.DUMMYFUNCTION("IF(REGEXMATCH(TRIM(I5538), ""^\d+\s*min""), ""Unclassified"", IF(I5538 = """", ""NR"", I5538))"),"TV-MA")</f>
        <v>TV-MA</v>
      </c>
      <c r="R5538" s="5" t="str">
        <f t="shared" si="2"/>
        <v>Frat Star</v>
      </c>
      <c r="S5538" s="5" t="str">
        <f>IFERROR(__xludf.DUMMYFUNCTION("""COMPUTED_VALUE"""),"Pope Francis: A Man Of His Word")</f>
        <v>Pope Francis: A Man Of His Word</v>
      </c>
      <c r="V5538" s="5"/>
      <c r="Y5538" s="5" t="str">
        <f>IFERROR(__xludf.DUMMYFUNCTION("REGEXEXTRACT(J5538, ""^\d+"")"),"85")</f>
        <v>85</v>
      </c>
      <c r="Z5538" s="5" t="str">
        <f>IFERROR(__xludf.DUMMYFUNCTION("REGEXEXTRACT(J5538, ""[A-Za-z ]+$"")")," min")</f>
        <v> min</v>
      </c>
      <c r="AA5538" s="5" t="str">
        <f>IFERROR(__xludf.DUMMYFUNCTION("IF(REGEXMATCH(Z5538, ""Season""), ""TV Show"", ""Movie"")"),"Movie")</f>
        <v>Movie</v>
      </c>
    </row>
    <row r="5539">
      <c r="A5539" s="1" t="s">
        <v>28353</v>
      </c>
      <c r="B5539" s="1" t="s">
        <v>37</v>
      </c>
      <c r="C5539" s="1" t="s">
        <v>28354</v>
      </c>
      <c r="E5539" s="1" t="s">
        <v>28355</v>
      </c>
      <c r="F5539" s="1" t="s">
        <v>749</v>
      </c>
      <c r="G5539" s="1" t="s">
        <v>28351</v>
      </c>
      <c r="H5539" s="1">
        <v>2016.0</v>
      </c>
      <c r="I5539" s="1" t="s">
        <v>97</v>
      </c>
      <c r="J5539" s="1" t="s">
        <v>51</v>
      </c>
      <c r="K5539" s="1" t="s">
        <v>13832</v>
      </c>
      <c r="L5539" s="1" t="s">
        <v>28356</v>
      </c>
      <c r="M5539" s="2" t="s">
        <v>12</v>
      </c>
      <c r="N5539" s="4">
        <f t="shared" si="1"/>
        <v>42835</v>
      </c>
      <c r="O5539" s="5" t="str">
        <f>IFERROR(__xludf.DUMMYFUNCTION("IF(REGEXMATCH(TRIM(I5539), ""^\d+\s*min""), ""Unclassified"", IF(I5539 = """", ""NR"", I5539))"),"TV-14")</f>
        <v>TV-14</v>
      </c>
      <c r="R5539" s="5" t="str">
        <f t="shared" si="2"/>
        <v>The Miracle</v>
      </c>
      <c r="S5539" s="5" t="str">
        <f>IFERROR(__xludf.DUMMYFUNCTION("""COMPUTED_VALUE"""),"Popeye")</f>
        <v>Popeye</v>
      </c>
      <c r="V5539" s="5"/>
      <c r="Y5539" s="5" t="str">
        <f>IFERROR(__xludf.DUMMYFUNCTION("REGEXEXTRACT(J5539, ""^\d+"")"),"1")</f>
        <v>1</v>
      </c>
      <c r="Z5539" s="5" t="str">
        <f>IFERROR(__xludf.DUMMYFUNCTION("REGEXEXTRACT(J5539, ""[A-Za-z ]+$"")")," Season")</f>
        <v> Season</v>
      </c>
      <c r="AA5539" s="5" t="str">
        <f>IFERROR(__xludf.DUMMYFUNCTION("IF(REGEXMATCH(Z5539, ""Season""), ""TV Show"", ""Movie"")"),"TV Show")</f>
        <v>TV Show</v>
      </c>
    </row>
    <row r="5540">
      <c r="A5540" s="1" t="s">
        <v>28357</v>
      </c>
      <c r="B5540" s="1" t="s">
        <v>37</v>
      </c>
      <c r="C5540" s="1" t="s">
        <v>28358</v>
      </c>
      <c r="E5540" s="1" t="s">
        <v>28359</v>
      </c>
      <c r="F5540" s="1" t="s">
        <v>30</v>
      </c>
      <c r="G5540" s="1" t="s">
        <v>28360</v>
      </c>
      <c r="H5540" s="1">
        <v>2017.0</v>
      </c>
      <c r="I5540" s="1" t="s">
        <v>42</v>
      </c>
      <c r="J5540" s="1" t="s">
        <v>43</v>
      </c>
      <c r="K5540" s="1" t="s">
        <v>2709</v>
      </c>
      <c r="L5540" s="1" t="s">
        <v>28361</v>
      </c>
      <c r="M5540" s="2" t="s">
        <v>12</v>
      </c>
      <c r="N5540" s="4">
        <f t="shared" si="1"/>
        <v>42832</v>
      </c>
      <c r="O5540" s="5" t="str">
        <f>IFERROR(__xludf.DUMMYFUNCTION("IF(REGEXMATCH(TRIM(I5540), ""^\d+\s*min""), ""Unclassified"", IF(I5540 = """", ""NR"", I5540))"),"TV-MA")</f>
        <v>TV-MA</v>
      </c>
      <c r="R5540" s="5" t="str">
        <f t="shared" si="2"/>
        <v>The Get Down</v>
      </c>
      <c r="S5540" s="5" t="str">
        <f>IFERROR(__xludf.DUMMYFUNCTION("""COMPUTED_VALUE"""),"Popples")</f>
        <v>Popples</v>
      </c>
      <c r="V5540" s="5"/>
      <c r="Y5540" s="5" t="str">
        <f>IFERROR(__xludf.DUMMYFUNCTION("REGEXEXTRACT(J5540, ""^\d+"")"),"2")</f>
        <v>2</v>
      </c>
      <c r="Z5540" s="5" t="str">
        <f>IFERROR(__xludf.DUMMYFUNCTION("REGEXEXTRACT(J5540, ""[A-Za-z ]+$"")")," Seasons")</f>
        <v> Seasons</v>
      </c>
      <c r="AA5540" s="5" t="str">
        <f>IFERROR(__xludf.DUMMYFUNCTION("IF(REGEXMATCH(Z5540, ""Season""), ""TV Show"", ""Movie"")"),"TV Show")</f>
        <v>TV Show</v>
      </c>
    </row>
    <row r="5541">
      <c r="A5541" s="1" t="s">
        <v>28362</v>
      </c>
      <c r="B5541" s="1" t="s">
        <v>27</v>
      </c>
      <c r="C5541" s="1" t="s">
        <v>28363</v>
      </c>
      <c r="D5541" s="1" t="s">
        <v>8404</v>
      </c>
      <c r="E5541" s="1" t="s">
        <v>28364</v>
      </c>
      <c r="F5541" s="1" t="s">
        <v>7221</v>
      </c>
      <c r="G5541" s="1" t="s">
        <v>28360</v>
      </c>
      <c r="H5541" s="1">
        <v>2016.0</v>
      </c>
      <c r="I5541" s="1" t="s">
        <v>42</v>
      </c>
      <c r="J5541" s="1" t="s">
        <v>297</v>
      </c>
      <c r="K5541" s="1" t="s">
        <v>679</v>
      </c>
      <c r="L5541" s="1" t="s">
        <v>28365</v>
      </c>
      <c r="M5541" s="2" t="s">
        <v>12</v>
      </c>
      <c r="N5541" s="4">
        <f t="shared" si="1"/>
        <v>42832</v>
      </c>
      <c r="O5541" s="5" t="str">
        <f>IFERROR(__xludf.DUMMYFUNCTION("IF(REGEXMATCH(TRIM(I5541), ""^\d+\s*min""), ""Unclassified"", IF(I5541 = """", ""NR"", I5541))"),"TV-MA")</f>
        <v>TV-MA</v>
      </c>
      <c r="R5541" s="5" t="str">
        <f t="shared" si="2"/>
        <v>The Lighthouse Of The Orcas</v>
      </c>
      <c r="S5541" s="5" t="str">
        <f>IFERROR(__xludf.DUMMYFUNCTION("""COMPUTED_VALUE"""),"Population 436")</f>
        <v>Population 436</v>
      </c>
      <c r="V5541" s="5"/>
      <c r="Y5541" s="5" t="str">
        <f>IFERROR(__xludf.DUMMYFUNCTION("REGEXEXTRACT(J5541, ""^\d+"")"),"110")</f>
        <v>110</v>
      </c>
      <c r="Z5541" s="5" t="str">
        <f>IFERROR(__xludf.DUMMYFUNCTION("REGEXEXTRACT(J5541, ""[A-Za-z ]+$"")")," min")</f>
        <v> min</v>
      </c>
      <c r="AA5541" s="5" t="str">
        <f>IFERROR(__xludf.DUMMYFUNCTION("IF(REGEXMATCH(Z5541, ""Season""), ""TV Show"", ""Movie"")"),"Movie")</f>
        <v>Movie</v>
      </c>
    </row>
    <row r="5542">
      <c r="A5542" s="1" t="s">
        <v>28366</v>
      </c>
      <c r="B5542" s="1" t="s">
        <v>27</v>
      </c>
      <c r="C5542" s="1" t="s">
        <v>28367</v>
      </c>
      <c r="D5542" s="1" t="s">
        <v>11142</v>
      </c>
      <c r="E5542" s="1" t="s">
        <v>28368</v>
      </c>
      <c r="F5542" s="1" t="s">
        <v>30</v>
      </c>
      <c r="G5542" s="1" t="s">
        <v>28360</v>
      </c>
      <c r="H5542" s="1">
        <v>2017.0</v>
      </c>
      <c r="I5542" s="1" t="s">
        <v>42</v>
      </c>
      <c r="J5542" s="1" t="s">
        <v>1191</v>
      </c>
      <c r="K5542" s="1" t="s">
        <v>5739</v>
      </c>
      <c r="L5542" s="1" t="s">
        <v>28369</v>
      </c>
      <c r="M5542" s="2" t="s">
        <v>12</v>
      </c>
      <c r="N5542" s="4">
        <f t="shared" si="1"/>
        <v>42832</v>
      </c>
      <c r="O5542" s="5" t="str">
        <f>IFERROR(__xludf.DUMMYFUNCTION("IF(REGEXMATCH(TRIM(I5542), ""^\d+\s*min""), ""Unclassified"", IF(I5542 = """", ""NR"", I5542))"),"TV-MA")</f>
        <v>TV-MA</v>
      </c>
      <c r="R5542" s="5" t="str">
        <f t="shared" si="2"/>
        <v>Win It All</v>
      </c>
      <c r="S5542" s="5" t="str">
        <f>IFERROR(__xludf.DUMMYFUNCTION("""COMPUTED_VALUE"""),"Pororo - The Little Penguin")</f>
        <v>Pororo - The Little Penguin</v>
      </c>
      <c r="V5542" s="5"/>
      <c r="Y5542" s="5" t="str">
        <f>IFERROR(__xludf.DUMMYFUNCTION("REGEXEXTRACT(J5542, ""^\d+"")"),"89")</f>
        <v>89</v>
      </c>
      <c r="Z5542" s="5" t="str">
        <f>IFERROR(__xludf.DUMMYFUNCTION("REGEXEXTRACT(J5542, ""[A-Za-z ]+$"")")," min")</f>
        <v> min</v>
      </c>
      <c r="AA5542" s="5" t="str">
        <f>IFERROR(__xludf.DUMMYFUNCTION("IF(REGEXMATCH(Z5542, ""Season""), ""TV Show"", ""Movie"")"),"Movie")</f>
        <v>Movie</v>
      </c>
    </row>
    <row r="5543">
      <c r="A5543" s="1" t="s">
        <v>28370</v>
      </c>
      <c r="B5543" s="1" t="s">
        <v>27</v>
      </c>
      <c r="C5543" s="1" t="s">
        <v>28371</v>
      </c>
      <c r="D5543" s="1" t="s">
        <v>13952</v>
      </c>
      <c r="E5543" s="1" t="s">
        <v>13952</v>
      </c>
      <c r="F5543" s="1" t="s">
        <v>30</v>
      </c>
      <c r="G5543" s="1" t="s">
        <v>28372</v>
      </c>
      <c r="H5543" s="1">
        <v>2017.0</v>
      </c>
      <c r="I5543" s="1" t="s">
        <v>2699</v>
      </c>
      <c r="K5543" s="1" t="s">
        <v>2032</v>
      </c>
      <c r="L5543" s="1" t="s">
        <v>28373</v>
      </c>
      <c r="M5543" s="2" t="s">
        <v>12</v>
      </c>
      <c r="N5543" s="4">
        <f t="shared" si="1"/>
        <v>42829</v>
      </c>
      <c r="O5543" s="5" t="str">
        <f>IFERROR(__xludf.DUMMYFUNCTION("IF(REGEXMATCH(TRIM(I5543), ""^\d+\s*min""), ""Unclassified"", IF(I5543 = """", ""NR"", I5543))"),"Unclassified")</f>
        <v>Unclassified</v>
      </c>
      <c r="R5543" s="5" t="str">
        <f t="shared" si="2"/>
        <v>Louis C.K. 2017</v>
      </c>
      <c r="S5543" s="5" t="str">
        <f>IFERROR(__xludf.DUMMYFUNCTION("""COMPUTED_VALUE"""),"Portlandia")</f>
        <v>Portlandia</v>
      </c>
      <c r="V5543" s="5"/>
      <c r="Y5543" s="5" t="str">
        <f>IFERROR(__xludf.DUMMYFUNCTION("REGEXEXTRACT(J5543, ""^\d+"")"),"#N/A")</f>
        <v>#N/A</v>
      </c>
      <c r="Z5543" s="5" t="str">
        <f>IFERROR(__xludf.DUMMYFUNCTION("REGEXEXTRACT(J5543, ""[A-Za-z ]+$"")"),"#N/A")</f>
        <v>#N/A</v>
      </c>
      <c r="AA5543" s="5" t="str">
        <f>IFERROR(__xludf.DUMMYFUNCTION("IF(REGEXMATCH(Z5543, ""Season""), ""TV Show"", ""Movie"")"),"#N/A")</f>
        <v>#N/A</v>
      </c>
    </row>
    <row r="5544">
      <c r="A5544" s="1" t="s">
        <v>28374</v>
      </c>
      <c r="B5544" s="1" t="s">
        <v>37</v>
      </c>
      <c r="C5544" s="1" t="s">
        <v>28375</v>
      </c>
      <c r="E5544" s="1" t="s">
        <v>28376</v>
      </c>
      <c r="F5544" s="1" t="s">
        <v>188</v>
      </c>
      <c r="G5544" s="1" t="s">
        <v>28377</v>
      </c>
      <c r="H5544" s="1">
        <v>2005.0</v>
      </c>
      <c r="I5544" s="1" t="s">
        <v>42</v>
      </c>
      <c r="J5544" s="1" t="s">
        <v>51</v>
      </c>
      <c r="K5544" s="1" t="s">
        <v>402</v>
      </c>
      <c r="L5544" s="1" t="s">
        <v>28378</v>
      </c>
      <c r="M5544" s="2" t="s">
        <v>12</v>
      </c>
      <c r="N5544" s="4">
        <f t="shared" si="1"/>
        <v>42826</v>
      </c>
      <c r="O5544" s="5" t="str">
        <f>IFERROR(__xludf.DUMMYFUNCTION("IF(REGEXMATCH(TRIM(I5544), ""^\d+\s*min""), ""Unclassified"", IF(I5544 = """", ""NR"", I5544))"),"TV-MA")</f>
        <v>TV-MA</v>
      </c>
      <c r="R5544" s="5" t="str">
        <f t="shared" si="2"/>
        <v>Burned Cocoon</v>
      </c>
      <c r="S5544" s="5" t="str">
        <f>IFERROR(__xludf.DUMMYFUNCTION("""COMPUTED_VALUE"""),"Porto")</f>
        <v>Porto</v>
      </c>
      <c r="V5544" s="5"/>
      <c r="Y5544" s="5" t="str">
        <f>IFERROR(__xludf.DUMMYFUNCTION("REGEXEXTRACT(J5544, ""^\d+"")"),"1")</f>
        <v>1</v>
      </c>
      <c r="Z5544" s="5" t="str">
        <f>IFERROR(__xludf.DUMMYFUNCTION("REGEXEXTRACT(J5544, ""[A-Za-z ]+$"")")," Season")</f>
        <v> Season</v>
      </c>
      <c r="AA5544" s="5" t="str">
        <f>IFERROR(__xludf.DUMMYFUNCTION("IF(REGEXMATCH(Z5544, ""Season""), ""TV Show"", ""Movie"")"),"TV Show")</f>
        <v>TV Show</v>
      </c>
    </row>
    <row r="5545">
      <c r="A5545" s="1" t="s">
        <v>28379</v>
      </c>
      <c r="B5545" s="1" t="s">
        <v>27</v>
      </c>
      <c r="C5545" s="1" t="s">
        <v>28380</v>
      </c>
      <c r="D5545" s="1" t="s">
        <v>1258</v>
      </c>
      <c r="E5545" s="1" t="s">
        <v>28381</v>
      </c>
      <c r="F5545" s="1" t="s">
        <v>1992</v>
      </c>
      <c r="G5545" s="1" t="s">
        <v>28377</v>
      </c>
      <c r="H5545" s="1">
        <v>2016.0</v>
      </c>
      <c r="I5545" s="1" t="s">
        <v>42</v>
      </c>
      <c r="J5545" s="1" t="s">
        <v>428</v>
      </c>
      <c r="K5545" s="1" t="s">
        <v>583</v>
      </c>
      <c r="L5545" s="1" t="s">
        <v>28382</v>
      </c>
      <c r="M5545" s="2" t="s">
        <v>12</v>
      </c>
      <c r="N5545" s="4">
        <f t="shared" si="1"/>
        <v>42826</v>
      </c>
      <c r="O5545" s="5" t="str">
        <f>IFERROR(__xludf.DUMMYFUNCTION("IF(REGEXMATCH(TRIM(I5545), ""^\d+\s*min""), ""Unclassified"", IF(I5545 = """", ""NR"", I5545))"),"TV-MA")</f>
        <v>TV-MA</v>
      </c>
      <c r="R5545" s="5" t="str">
        <f t="shared" si="2"/>
        <v>Couples Counseling</v>
      </c>
      <c r="S5545" s="5" t="str">
        <f>IFERROR(__xludf.DUMMYFUNCTION("""COMPUTED_VALUE"""),"Pose")</f>
        <v>Pose</v>
      </c>
      <c r="V5545" s="5"/>
      <c r="Y5545" s="5" t="str">
        <f>IFERROR(__xludf.DUMMYFUNCTION("REGEXEXTRACT(J5545, ""^\d+"")"),"88")</f>
        <v>88</v>
      </c>
      <c r="Z5545" s="5" t="str">
        <f>IFERROR(__xludf.DUMMYFUNCTION("REGEXEXTRACT(J5545, ""[A-Za-z ]+$"")")," min")</f>
        <v> min</v>
      </c>
      <c r="AA5545" s="5" t="str">
        <f>IFERROR(__xludf.DUMMYFUNCTION("IF(REGEXMATCH(Z5545, ""Season""), ""TV Show"", ""Movie"")"),"Movie")</f>
        <v>Movie</v>
      </c>
    </row>
    <row r="5546">
      <c r="A5546" s="1" t="s">
        <v>28383</v>
      </c>
      <c r="B5546" s="1" t="s">
        <v>27</v>
      </c>
      <c r="C5546" s="1" t="s">
        <v>28384</v>
      </c>
      <c r="D5546" s="1" t="s">
        <v>9959</v>
      </c>
      <c r="E5546" s="1" t="s">
        <v>28385</v>
      </c>
      <c r="F5546" s="1" t="s">
        <v>30</v>
      </c>
      <c r="G5546" s="1" t="s">
        <v>28377</v>
      </c>
      <c r="H5546" s="1">
        <v>2016.0</v>
      </c>
      <c r="I5546" s="1" t="s">
        <v>42</v>
      </c>
      <c r="J5546" s="1" t="s">
        <v>428</v>
      </c>
      <c r="K5546" s="1" t="s">
        <v>805</v>
      </c>
      <c r="L5546" s="1" t="s">
        <v>28386</v>
      </c>
      <c r="M5546" s="2" t="s">
        <v>12</v>
      </c>
      <c r="N5546" s="4">
        <f t="shared" si="1"/>
        <v>42826</v>
      </c>
      <c r="O5546" s="5" t="str">
        <f>IFERROR(__xludf.DUMMYFUNCTION("IF(REGEXMATCH(TRIM(I5546), ""^\d+\s*min""), ""Unclassified"", IF(I5546 = """", ""NR"", I5546))"),"TV-MA")</f>
        <v>TV-MA</v>
      </c>
      <c r="R5546" s="5" t="str">
        <f t="shared" si="2"/>
        <v>Deuces</v>
      </c>
      <c r="S5546" s="5" t="str">
        <f>IFERROR(__xludf.DUMMYFUNCTION("""COMPUTED_VALUE"""),"Poseidon")</f>
        <v>Poseidon</v>
      </c>
      <c r="V5546" s="5"/>
      <c r="Y5546" s="5" t="str">
        <f>IFERROR(__xludf.DUMMYFUNCTION("REGEXEXTRACT(J5546, ""^\d+"")"),"88")</f>
        <v>88</v>
      </c>
      <c r="Z5546" s="5" t="str">
        <f>IFERROR(__xludf.DUMMYFUNCTION("REGEXEXTRACT(J5546, ""[A-Za-z ]+$"")")," min")</f>
        <v> min</v>
      </c>
      <c r="AA5546" s="5" t="str">
        <f>IFERROR(__xludf.DUMMYFUNCTION("IF(REGEXMATCH(Z5546, ""Season""), ""TV Show"", ""Movie"")"),"Movie")</f>
        <v>Movie</v>
      </c>
    </row>
    <row r="5547">
      <c r="A5547" s="1" t="s">
        <v>28387</v>
      </c>
      <c r="B5547" s="1" t="s">
        <v>27</v>
      </c>
      <c r="C5547" s="1" t="s">
        <v>28388</v>
      </c>
      <c r="D5547" s="1" t="s">
        <v>12294</v>
      </c>
      <c r="E5547" s="1" t="s">
        <v>28389</v>
      </c>
      <c r="F5547" s="1" t="s">
        <v>63</v>
      </c>
      <c r="G5547" s="1" t="s">
        <v>28377</v>
      </c>
      <c r="H5547" s="1">
        <v>1971.0</v>
      </c>
      <c r="I5547" s="1" t="s">
        <v>97</v>
      </c>
      <c r="J5547" s="1" t="s">
        <v>820</v>
      </c>
      <c r="K5547" s="1" t="s">
        <v>3459</v>
      </c>
      <c r="L5547" s="1" t="s">
        <v>28390</v>
      </c>
      <c r="M5547" s="2" t="s">
        <v>12</v>
      </c>
      <c r="N5547" s="4">
        <f t="shared" si="1"/>
        <v>42826</v>
      </c>
      <c r="O5547" s="5" t="str">
        <f>IFERROR(__xludf.DUMMYFUNCTION("IF(REGEXMATCH(TRIM(I5547), ""^\d+\s*min""), ""Unclassified"", IF(I5547 = """", ""NR"", I5547))"),"TV-14")</f>
        <v>TV-14</v>
      </c>
      <c r="R5547" s="5" t="str">
        <f t="shared" si="2"/>
        <v>Elaan</v>
      </c>
      <c r="S5547" s="5" t="str">
        <f>IFERROR(__xludf.DUMMYFUNCTION("""COMPUTED_VALUE"""),"Posesif")</f>
        <v>Posesif</v>
      </c>
      <c r="V5547" s="5"/>
      <c r="Y5547" s="5" t="str">
        <f>IFERROR(__xludf.DUMMYFUNCTION("REGEXEXTRACT(J5547, ""^\d+"")"),"143")</f>
        <v>143</v>
      </c>
      <c r="Z5547" s="5" t="str">
        <f>IFERROR(__xludf.DUMMYFUNCTION("REGEXEXTRACT(J5547, ""[A-Za-z ]+$"")")," min")</f>
        <v> min</v>
      </c>
      <c r="AA5547" s="5" t="str">
        <f>IFERROR(__xludf.DUMMYFUNCTION("IF(REGEXMATCH(Z5547, ""Season""), ""TV Show"", ""Movie"")"),"Movie")</f>
        <v>Movie</v>
      </c>
    </row>
    <row r="5548">
      <c r="A5548" s="1" t="s">
        <v>28391</v>
      </c>
      <c r="B5548" s="1" t="s">
        <v>27</v>
      </c>
      <c r="C5548" s="1" t="s">
        <v>28392</v>
      </c>
      <c r="D5548" s="1" t="s">
        <v>14790</v>
      </c>
      <c r="E5548" s="1" t="s">
        <v>28393</v>
      </c>
      <c r="F5548" s="1" t="s">
        <v>30</v>
      </c>
      <c r="G5548" s="1" t="s">
        <v>28377</v>
      </c>
      <c r="H5548" s="1">
        <v>2015.0</v>
      </c>
      <c r="I5548" s="1" t="s">
        <v>42</v>
      </c>
      <c r="J5548" s="1" t="s">
        <v>490</v>
      </c>
      <c r="K5548" s="1" t="s">
        <v>1320</v>
      </c>
      <c r="L5548" s="1" t="s">
        <v>28394</v>
      </c>
      <c r="M5548" s="2" t="s">
        <v>12</v>
      </c>
      <c r="N5548" s="4">
        <f t="shared" si="1"/>
        <v>42826</v>
      </c>
      <c r="O5548" s="5" t="str">
        <f>IFERROR(__xludf.DUMMYFUNCTION("IF(REGEXMATCH(TRIM(I5548), ""^\d+\s*min""), ""Unclassified"", IF(I5548 = """", ""NR"", I5548))"),"TV-MA")</f>
        <v>TV-MA</v>
      </c>
      <c r="R5548" s="5" t="str">
        <f t="shared" si="2"/>
        <v>Five Nights In Maine</v>
      </c>
      <c r="S5548" s="5" t="str">
        <f>IFERROR(__xludf.DUMMYFUNCTION("""COMPUTED_VALUE"""),"Poshter Girl")</f>
        <v>Poshter Girl</v>
      </c>
      <c r="V5548" s="5"/>
      <c r="Y5548" s="5" t="str">
        <f>IFERROR(__xludf.DUMMYFUNCTION("REGEXEXTRACT(J5548, ""^\d+"")"),"83")</f>
        <v>83</v>
      </c>
      <c r="Z5548" s="5" t="str">
        <f>IFERROR(__xludf.DUMMYFUNCTION("REGEXEXTRACT(J5548, ""[A-Za-z ]+$"")")," min")</f>
        <v> min</v>
      </c>
      <c r="AA5548" s="5" t="str">
        <f>IFERROR(__xludf.DUMMYFUNCTION("IF(REGEXMATCH(Z5548, ""Season""), ""TV Show"", ""Movie"")"),"Movie")</f>
        <v>Movie</v>
      </c>
    </row>
    <row r="5549">
      <c r="A5549" s="1" t="s">
        <v>28395</v>
      </c>
      <c r="B5549" s="1" t="s">
        <v>27</v>
      </c>
      <c r="C5549" s="1" t="s">
        <v>28396</v>
      </c>
      <c r="D5549" s="1" t="s">
        <v>2802</v>
      </c>
      <c r="E5549" s="1" t="s">
        <v>28397</v>
      </c>
      <c r="F5549" s="1" t="s">
        <v>63</v>
      </c>
      <c r="G5549" s="1" t="s">
        <v>28377</v>
      </c>
      <c r="H5549" s="1">
        <v>2014.0</v>
      </c>
      <c r="I5549" s="1" t="s">
        <v>97</v>
      </c>
      <c r="J5549" s="1" t="s">
        <v>1256</v>
      </c>
      <c r="K5549" s="1" t="s">
        <v>128</v>
      </c>
      <c r="L5549" s="1" t="s">
        <v>28398</v>
      </c>
      <c r="M5549" s="2" t="s">
        <v>12</v>
      </c>
      <c r="N5549" s="4">
        <f t="shared" si="1"/>
        <v>42826</v>
      </c>
      <c r="O5549" s="5" t="str">
        <f>IFERROR(__xludf.DUMMYFUNCTION("IF(REGEXMATCH(TRIM(I5549), ""^\d+\s*min""), ""Unclassified"", IF(I5549 = """", ""NR"", I5549))"),"TV-14")</f>
        <v>TV-14</v>
      </c>
      <c r="R5549" s="5" t="str">
        <f t="shared" si="2"/>
        <v>Killa</v>
      </c>
      <c r="S5549" s="5" t="str">
        <f>IFERROR(__xludf.DUMMYFUNCTION("""COMPUTED_VALUE"""),"Possessed")</f>
        <v>Possessed</v>
      </c>
      <c r="V5549" s="5"/>
      <c r="Y5549" s="5" t="str">
        <f>IFERROR(__xludf.DUMMYFUNCTION("REGEXEXTRACT(J5549, ""^\d+"")"),"107")</f>
        <v>107</v>
      </c>
      <c r="Z5549" s="5" t="str">
        <f>IFERROR(__xludf.DUMMYFUNCTION("REGEXEXTRACT(J5549, ""[A-Za-z ]+$"")")," min")</f>
        <v> min</v>
      </c>
      <c r="AA5549" s="5" t="str">
        <f>IFERROR(__xludf.DUMMYFUNCTION("IF(REGEXMATCH(Z5549, ""Season""), ""TV Show"", ""Movie"")"),"Movie")</f>
        <v>Movie</v>
      </c>
    </row>
    <row r="5550">
      <c r="A5550" s="1" t="s">
        <v>28399</v>
      </c>
      <c r="B5550" s="1" t="s">
        <v>27</v>
      </c>
      <c r="C5550" s="1" t="s">
        <v>28400</v>
      </c>
      <c r="D5550" s="1" t="s">
        <v>10299</v>
      </c>
      <c r="F5550" s="1" t="s">
        <v>30</v>
      </c>
      <c r="G5550" s="1" t="s">
        <v>28377</v>
      </c>
      <c r="H5550" s="1">
        <v>2010.0</v>
      </c>
      <c r="I5550" s="1" t="s">
        <v>42</v>
      </c>
      <c r="J5550" s="1" t="s">
        <v>416</v>
      </c>
      <c r="K5550" s="1" t="s">
        <v>34</v>
      </c>
      <c r="L5550" s="1" t="s">
        <v>28401</v>
      </c>
      <c r="M5550" s="2" t="s">
        <v>12</v>
      </c>
      <c r="N5550" s="4">
        <f t="shared" si="1"/>
        <v>42826</v>
      </c>
      <c r="O5550" s="5" t="str">
        <f>IFERROR(__xludf.DUMMYFUNCTION("IF(REGEXMATCH(TRIM(I5550), ""^\d+\s*min""), ""Unclassified"", IF(I5550 = """", ""NR"", I5550))"),"TV-MA")</f>
        <v>TV-MA</v>
      </c>
      <c r="R5550" s="5" t="str">
        <f t="shared" si="2"/>
        <v>Life 2.0</v>
      </c>
      <c r="S5550" s="5" t="str">
        <f>IFERROR(__xludf.DUMMYFUNCTION("""COMPUTED_VALUE"""),"Post Mortem: No One Dies In Skarnes")</f>
        <v>Post Mortem: No One Dies In Skarnes</v>
      </c>
      <c r="V5550" s="5"/>
      <c r="Y5550" s="5" t="str">
        <f>IFERROR(__xludf.DUMMYFUNCTION("REGEXEXTRACT(J5550, ""^\d+"")"),"99")</f>
        <v>99</v>
      </c>
      <c r="Z5550" s="5" t="str">
        <f>IFERROR(__xludf.DUMMYFUNCTION("REGEXEXTRACT(J5550, ""[A-Za-z ]+$"")")," min")</f>
        <v> min</v>
      </c>
      <c r="AA5550" s="5" t="str">
        <f>IFERROR(__xludf.DUMMYFUNCTION("IF(REGEXMATCH(Z5550, ""Season""), ""TV Show"", ""Movie"")"),"Movie")</f>
        <v>Movie</v>
      </c>
    </row>
    <row r="5551">
      <c r="A5551" s="1" t="s">
        <v>28402</v>
      </c>
      <c r="B5551" s="1" t="s">
        <v>27</v>
      </c>
      <c r="C5551" s="1" t="s">
        <v>28403</v>
      </c>
      <c r="D5551" s="1" t="s">
        <v>54</v>
      </c>
      <c r="E5551" s="1" t="s">
        <v>28404</v>
      </c>
      <c r="F5551" s="1" t="s">
        <v>63</v>
      </c>
      <c r="G5551" s="1" t="s">
        <v>28377</v>
      </c>
      <c r="H5551" s="1">
        <v>1975.0</v>
      </c>
      <c r="I5551" s="1" t="s">
        <v>97</v>
      </c>
      <c r="J5551" s="1" t="s">
        <v>7413</v>
      </c>
      <c r="K5551" s="1" t="s">
        <v>1421</v>
      </c>
      <c r="L5551" s="1" t="s">
        <v>28405</v>
      </c>
      <c r="M5551" s="2" t="s">
        <v>12</v>
      </c>
      <c r="N5551" s="4">
        <f t="shared" si="1"/>
        <v>42826</v>
      </c>
      <c r="O5551" s="5" t="str">
        <f>IFERROR(__xludf.DUMMYFUNCTION("IF(REGEXMATCH(TRIM(I5551), ""^\d+\s*min""), ""Unclassified"", IF(I5551 = """", ""NR"", I5551))"),"TV-14")</f>
        <v>TV-14</v>
      </c>
      <c r="R5551" s="5" t="str">
        <f t="shared" si="2"/>
        <v>Salaakhen</v>
      </c>
      <c r="S5551" s="5" t="str">
        <f>IFERROR(__xludf.DUMMYFUNCTION("""COMPUTED_VALUE"""),"Postcards From London")</f>
        <v>Postcards From London</v>
      </c>
      <c r="V5551" s="5"/>
      <c r="Y5551" s="5" t="str">
        <f>IFERROR(__xludf.DUMMYFUNCTION("REGEXEXTRACT(J5551, ""^\d+"")"),"134")</f>
        <v>134</v>
      </c>
      <c r="Z5551" s="5" t="str">
        <f>IFERROR(__xludf.DUMMYFUNCTION("REGEXEXTRACT(J5551, ""[A-Za-z ]+$"")")," min")</f>
        <v> min</v>
      </c>
      <c r="AA5551" s="5" t="str">
        <f>IFERROR(__xludf.DUMMYFUNCTION("IF(REGEXMATCH(Z5551, ""Season""), ""TV Show"", ""Movie"")"),"Movie")</f>
        <v>Movie</v>
      </c>
    </row>
    <row r="5552">
      <c r="A5552" s="1" t="s">
        <v>28406</v>
      </c>
      <c r="B5552" s="1" t="s">
        <v>27</v>
      </c>
      <c r="C5552" s="1" t="s">
        <v>28407</v>
      </c>
      <c r="D5552" s="1" t="s">
        <v>6815</v>
      </c>
      <c r="E5552" s="1" t="s">
        <v>28408</v>
      </c>
      <c r="F5552" s="1" t="s">
        <v>784</v>
      </c>
      <c r="G5552" s="1" t="s">
        <v>28377</v>
      </c>
      <c r="H5552" s="1">
        <v>2017.0</v>
      </c>
      <c r="I5552" s="1" t="s">
        <v>42</v>
      </c>
      <c r="J5552" s="1" t="s">
        <v>1737</v>
      </c>
      <c r="K5552" s="1" t="s">
        <v>128</v>
      </c>
      <c r="L5552" s="1" t="s">
        <v>28409</v>
      </c>
      <c r="M5552" s="2" t="s">
        <v>12</v>
      </c>
      <c r="N5552" s="4">
        <f t="shared" si="1"/>
        <v>42826</v>
      </c>
      <c r="O5552" s="5" t="str">
        <f>IFERROR(__xludf.DUMMYFUNCTION("IF(REGEXMATCH(TRIM(I5552), ""^\d+\s*min""), ""Unclassified"", IF(I5552 = """", ""NR"", I5552))"),"TV-MA")</f>
        <v>TV-MA</v>
      </c>
      <c r="R5552" s="5" t="str">
        <f t="shared" si="2"/>
        <v>Skins</v>
      </c>
      <c r="S5552" s="5" t="str">
        <f>IFERROR(__xludf.DUMMYFUNCTION("""COMPUTED_VALUE"""),"Poster Boys")</f>
        <v>Poster Boys</v>
      </c>
      <c r="V5552" s="5"/>
      <c r="Y5552" s="5" t="str">
        <f>IFERROR(__xludf.DUMMYFUNCTION("REGEXEXTRACT(J5552, ""^\d+"")"),"78")</f>
        <v>78</v>
      </c>
      <c r="Z5552" s="5" t="str">
        <f>IFERROR(__xludf.DUMMYFUNCTION("REGEXEXTRACT(J5552, ""[A-Za-z ]+$"")")," min")</f>
        <v> min</v>
      </c>
      <c r="AA5552" s="5" t="str">
        <f>IFERROR(__xludf.DUMMYFUNCTION("IF(REGEXMATCH(Z5552, ""Season""), ""TV Show"", ""Movie"")"),"Movie")</f>
        <v>Movie</v>
      </c>
    </row>
    <row r="5553">
      <c r="A5553" s="1" t="s">
        <v>28410</v>
      </c>
      <c r="B5553" s="1" t="s">
        <v>27</v>
      </c>
      <c r="C5553" s="1" t="s">
        <v>28411</v>
      </c>
      <c r="D5553" s="1" t="s">
        <v>5496</v>
      </c>
      <c r="E5553" s="1" t="s">
        <v>28412</v>
      </c>
      <c r="F5553" s="1" t="s">
        <v>1815</v>
      </c>
      <c r="G5553" s="1" t="s">
        <v>28377</v>
      </c>
      <c r="H5553" s="1">
        <v>2016.0</v>
      </c>
      <c r="I5553" s="1" t="s">
        <v>42</v>
      </c>
      <c r="J5553" s="1" t="s">
        <v>2452</v>
      </c>
      <c r="K5553" s="1" t="s">
        <v>128</v>
      </c>
      <c r="L5553" s="1" t="s">
        <v>28413</v>
      </c>
      <c r="M5553" s="2" t="s">
        <v>12</v>
      </c>
      <c r="N5553" s="4">
        <f t="shared" si="1"/>
        <v>42826</v>
      </c>
      <c r="O5553" s="5" t="str">
        <f>IFERROR(__xludf.DUMMYFUNCTION("IF(REGEXMATCH(TRIM(I5553), ""^\d+\s*min""), ""Unclassified"", IF(I5553 = """", ""NR"", I5553))"),"TV-MA")</f>
        <v>TV-MA</v>
      </c>
      <c r="R5553" s="5" t="str">
        <f t="shared" si="2"/>
        <v>The Tenth Man</v>
      </c>
      <c r="S5553" s="5" t="str">
        <f>IFERROR(__xludf.DUMMYFUNCTION("""COMPUTED_VALUE"""),"Potato Potahto")</f>
        <v>Potato Potahto</v>
      </c>
      <c r="V5553" s="5"/>
      <c r="Y5553" s="5" t="str">
        <f>IFERROR(__xludf.DUMMYFUNCTION("REGEXEXTRACT(J5553, ""^\d+"")"),"81")</f>
        <v>81</v>
      </c>
      <c r="Z5553" s="5" t="str">
        <f>IFERROR(__xludf.DUMMYFUNCTION("REGEXEXTRACT(J5553, ""[A-Za-z ]+$"")")," min")</f>
        <v> min</v>
      </c>
      <c r="AA5553" s="5" t="str">
        <f>IFERROR(__xludf.DUMMYFUNCTION("IF(REGEXMATCH(Z5553, ""Season""), ""TV Show"", ""Movie"")"),"Movie")</f>
        <v>Movie</v>
      </c>
    </row>
    <row r="5554">
      <c r="A5554" s="1" t="s">
        <v>28414</v>
      </c>
      <c r="B5554" s="1" t="s">
        <v>27</v>
      </c>
      <c r="C5554" s="1" t="s">
        <v>28415</v>
      </c>
      <c r="D5554" s="1" t="s">
        <v>12952</v>
      </c>
      <c r="E5554" s="1" t="s">
        <v>28416</v>
      </c>
      <c r="F5554" s="1" t="s">
        <v>784</v>
      </c>
      <c r="G5554" s="1" t="s">
        <v>28377</v>
      </c>
      <c r="H5554" s="1">
        <v>2016.0</v>
      </c>
      <c r="I5554" s="1" t="s">
        <v>42</v>
      </c>
      <c r="J5554" s="1" t="s">
        <v>256</v>
      </c>
      <c r="K5554" s="1" t="s">
        <v>298</v>
      </c>
      <c r="L5554" s="1" t="s">
        <v>28417</v>
      </c>
      <c r="M5554" s="2" t="s">
        <v>12</v>
      </c>
      <c r="N5554" s="4">
        <f t="shared" si="1"/>
        <v>42826</v>
      </c>
      <c r="O5554" s="5" t="str">
        <f>IFERROR(__xludf.DUMMYFUNCTION("IF(REGEXMATCH(TRIM(I5554), ""^\d+\s*min""), ""Unclassified"", IF(I5554 = """", ""NR"", I5554))"),"TV-MA")</f>
        <v>TV-MA</v>
      </c>
      <c r="R5554" s="5" t="str">
        <f t="shared" si="2"/>
        <v>Toro</v>
      </c>
      <c r="S5554" s="5" t="str">
        <f>IFERROR(__xludf.DUMMYFUNCTION("""COMPUTED_VALUE"""),"Pottersville")</f>
        <v>Pottersville</v>
      </c>
      <c r="V5554" s="5"/>
      <c r="Y5554" s="5" t="str">
        <f>IFERROR(__xludf.DUMMYFUNCTION("REGEXEXTRACT(J5554, ""^\d+"")"),"106")</f>
        <v>106</v>
      </c>
      <c r="Z5554" s="5" t="str">
        <f>IFERROR(__xludf.DUMMYFUNCTION("REGEXEXTRACT(J5554, ""[A-Za-z ]+$"")")," min")</f>
        <v> min</v>
      </c>
      <c r="AA5554" s="5" t="str">
        <f>IFERROR(__xludf.DUMMYFUNCTION("IF(REGEXMATCH(Z5554, ""Season""), ""TV Show"", ""Movie"")"),"Movie")</f>
        <v>Movie</v>
      </c>
    </row>
    <row r="5555">
      <c r="A5555" s="1" t="s">
        <v>28418</v>
      </c>
      <c r="B5555" s="1" t="s">
        <v>27</v>
      </c>
      <c r="C5555" s="1" t="s">
        <v>28419</v>
      </c>
      <c r="E5555" s="1" t="s">
        <v>28420</v>
      </c>
      <c r="F5555" s="1" t="s">
        <v>96</v>
      </c>
      <c r="G5555" s="1" t="s">
        <v>28421</v>
      </c>
      <c r="H5555" s="1">
        <v>2016.0</v>
      </c>
      <c r="I5555" s="1" t="s">
        <v>42</v>
      </c>
      <c r="J5555" s="1" t="s">
        <v>7064</v>
      </c>
      <c r="K5555" s="1" t="s">
        <v>1839</v>
      </c>
      <c r="L5555" s="1" t="s">
        <v>28422</v>
      </c>
      <c r="M5555" s="2" t="s">
        <v>12</v>
      </c>
      <c r="N5555" s="4">
        <f t="shared" si="1"/>
        <v>42825</v>
      </c>
      <c r="O5555" s="5" t="str">
        <f>IFERROR(__xludf.DUMMYFUNCTION("IF(REGEXMATCH(TRIM(I5555), ""^\d+\s*min""), ""Unclassified"", IF(I5555 = """", ""NR"", I5555))"),"TV-MA")</f>
        <v>TV-MA</v>
      </c>
      <c r="R5555" s="5" t="str">
        <f t="shared" si="2"/>
        <v>Bridget Christie: Stand Up For Her</v>
      </c>
      <c r="S5555" s="5" t="str">
        <f>IFERROR(__xludf.DUMMYFUNCTION("""COMPUTED_VALUE"""),"Powder")</f>
        <v>Powder</v>
      </c>
      <c r="V5555" s="5"/>
      <c r="Y5555" s="5" t="str">
        <f>IFERROR(__xludf.DUMMYFUNCTION("REGEXEXTRACT(J5555, ""^\d+"")"),"51")</f>
        <v>51</v>
      </c>
      <c r="Z5555" s="5" t="str">
        <f>IFERROR(__xludf.DUMMYFUNCTION("REGEXEXTRACT(J5555, ""[A-Za-z ]+$"")")," min")</f>
        <v> min</v>
      </c>
      <c r="AA5555" s="5" t="str">
        <f>IFERROR(__xludf.DUMMYFUNCTION("IF(REGEXMATCH(Z5555, ""Season""), ""TV Show"", ""Movie"")"),"Movie")</f>
        <v>Movie</v>
      </c>
    </row>
    <row r="5556">
      <c r="A5556" s="1" t="s">
        <v>28423</v>
      </c>
      <c r="B5556" s="1" t="s">
        <v>37</v>
      </c>
      <c r="C5556" s="1" t="s">
        <v>28424</v>
      </c>
      <c r="D5556" s="1" t="s">
        <v>13453</v>
      </c>
      <c r="E5556" s="1" t="s">
        <v>28425</v>
      </c>
      <c r="G5556" s="1" t="s">
        <v>28421</v>
      </c>
      <c r="H5556" s="1">
        <v>2017.0</v>
      </c>
      <c r="I5556" s="1" t="s">
        <v>42</v>
      </c>
      <c r="J5556" s="1" t="s">
        <v>51</v>
      </c>
      <c r="K5556" s="1" t="s">
        <v>1261</v>
      </c>
      <c r="L5556" s="1" t="s">
        <v>28426</v>
      </c>
      <c r="M5556" s="2" t="s">
        <v>12</v>
      </c>
      <c r="N5556" s="4">
        <f t="shared" si="1"/>
        <v>42825</v>
      </c>
      <c r="O5556" s="5" t="str">
        <f>IFERROR(__xludf.DUMMYFUNCTION("IF(REGEXMATCH(TRIM(I5556), ""^\d+\s*min""), ""Unclassified"", IF(I5556 = """", ""NR"", I5556))"),"TV-MA")</f>
        <v>TV-MA</v>
      </c>
      <c r="R5556" s="5" t="str">
        <f t="shared" si="2"/>
        <v>Five Came Back</v>
      </c>
      <c r="S5556" s="5" t="str">
        <f>IFERROR(__xludf.DUMMYFUNCTION("""COMPUTED_VALUE"""),"Power Battle Watch Car")</f>
        <v>Power Battle Watch Car</v>
      </c>
      <c r="V5556" s="5"/>
      <c r="Y5556" s="5" t="str">
        <f>IFERROR(__xludf.DUMMYFUNCTION("REGEXEXTRACT(J5556, ""^\d+"")"),"1")</f>
        <v>1</v>
      </c>
      <c r="Z5556" s="5" t="str">
        <f>IFERROR(__xludf.DUMMYFUNCTION("REGEXEXTRACT(J5556, ""[A-Za-z ]+$"")")," Season")</f>
        <v> Season</v>
      </c>
      <c r="AA5556" s="5" t="str">
        <f>IFERROR(__xludf.DUMMYFUNCTION("IF(REGEXMATCH(Z5556, ""Season""), ""TV Show"", ""Movie"")"),"TV Show")</f>
        <v>TV Show</v>
      </c>
    </row>
    <row r="5557">
      <c r="A5557" s="1" t="s">
        <v>28427</v>
      </c>
      <c r="B5557" s="1" t="s">
        <v>37</v>
      </c>
      <c r="C5557" s="1" t="s">
        <v>28428</v>
      </c>
      <c r="D5557" s="1" t="s">
        <v>8573</v>
      </c>
      <c r="E5557" s="1" t="s">
        <v>28429</v>
      </c>
      <c r="F5557" s="1" t="s">
        <v>96</v>
      </c>
      <c r="G5557" s="1" t="s">
        <v>28421</v>
      </c>
      <c r="H5557" s="1">
        <v>2016.0</v>
      </c>
      <c r="I5557" s="1" t="s">
        <v>42</v>
      </c>
      <c r="J5557" s="1" t="s">
        <v>43</v>
      </c>
      <c r="K5557" s="1" t="s">
        <v>22840</v>
      </c>
      <c r="L5557" s="1" t="s">
        <v>28430</v>
      </c>
      <c r="M5557" s="2" t="s">
        <v>12</v>
      </c>
      <c r="N5557" s="4">
        <f t="shared" si="1"/>
        <v>42825</v>
      </c>
      <c r="O5557" s="5" t="str">
        <f>IFERROR(__xludf.DUMMYFUNCTION("IF(REGEXMATCH(TRIM(I5557), ""^\d+\s*min""), ""Unclassified"", IF(I5557 = """", ""NR"", I5557))"),"TV-MA")</f>
        <v>TV-MA</v>
      </c>
      <c r="R5557" s="5" t="str">
        <f t="shared" si="2"/>
        <v>Hoff The Record</v>
      </c>
      <c r="S5557" s="5" t="str">
        <f>IFERROR(__xludf.DUMMYFUNCTION("""COMPUTED_VALUE"""),"Power Paandi")</f>
        <v>Power Paandi</v>
      </c>
      <c r="V5557" s="5"/>
      <c r="Y5557" s="5" t="str">
        <f>IFERROR(__xludf.DUMMYFUNCTION("REGEXEXTRACT(J5557, ""^\d+"")"),"2")</f>
        <v>2</v>
      </c>
      <c r="Z5557" s="5" t="str">
        <f>IFERROR(__xludf.DUMMYFUNCTION("REGEXEXTRACT(J5557, ""[A-Za-z ]+$"")")," Seasons")</f>
        <v> Seasons</v>
      </c>
      <c r="AA5557" s="5" t="str">
        <f>IFERROR(__xludf.DUMMYFUNCTION("IF(REGEXMATCH(Z5557, ""Season""), ""TV Show"", ""Movie"")"),"TV Show")</f>
        <v>TV Show</v>
      </c>
    </row>
    <row r="5558">
      <c r="A5558" s="1" t="s">
        <v>28431</v>
      </c>
      <c r="B5558" s="1" t="s">
        <v>27</v>
      </c>
      <c r="C5558" s="1" t="s">
        <v>28432</v>
      </c>
      <c r="D5558" s="1" t="s">
        <v>28433</v>
      </c>
      <c r="E5558" s="1" t="s">
        <v>28434</v>
      </c>
      <c r="F5558" s="1" t="s">
        <v>30</v>
      </c>
      <c r="G5558" s="1" t="s">
        <v>28421</v>
      </c>
      <c r="H5558" s="1">
        <v>2017.0</v>
      </c>
      <c r="I5558" s="1" t="s">
        <v>42</v>
      </c>
      <c r="J5558" s="1" t="s">
        <v>447</v>
      </c>
      <c r="K5558" s="1" t="s">
        <v>1538</v>
      </c>
      <c r="L5558" s="1" t="s">
        <v>28435</v>
      </c>
      <c r="M5558" s="2" t="s">
        <v>12</v>
      </c>
      <c r="N5558" s="4">
        <f t="shared" si="1"/>
        <v>42825</v>
      </c>
      <c r="O5558" s="5" t="str">
        <f>IFERROR(__xludf.DUMMYFUNCTION("IF(REGEXMATCH(TRIM(I5558), ""^\d+\s*min""), ""Unclassified"", IF(I5558 = """", ""NR"", I5558))"),"TV-MA")</f>
        <v>TV-MA</v>
      </c>
      <c r="R5558" s="5" t="str">
        <f t="shared" si="2"/>
        <v>The Discovery</v>
      </c>
      <c r="S5558" s="5" t="str">
        <f>IFERROR(__xludf.DUMMYFUNCTION("""COMPUTED_VALUE"""),"Power Players")</f>
        <v>Power Players</v>
      </c>
      <c r="V5558" s="5"/>
      <c r="Y5558" s="5" t="str">
        <f>IFERROR(__xludf.DUMMYFUNCTION("REGEXEXTRACT(J5558, ""^\d+"")"),"102")</f>
        <v>102</v>
      </c>
      <c r="Z5558" s="5" t="str">
        <f>IFERROR(__xludf.DUMMYFUNCTION("REGEXEXTRACT(J5558, ""[A-Za-z ]+$"")")," min")</f>
        <v> min</v>
      </c>
      <c r="AA5558" s="5" t="str">
        <f>IFERROR(__xludf.DUMMYFUNCTION("IF(REGEXMATCH(Z5558, ""Season""), ""TV Show"", ""Movie"")"),"Movie")</f>
        <v>Movie</v>
      </c>
    </row>
    <row r="5559">
      <c r="A5559" s="1" t="s">
        <v>28436</v>
      </c>
      <c r="B5559" s="1" t="s">
        <v>27</v>
      </c>
      <c r="C5559" s="1" t="s">
        <v>28437</v>
      </c>
      <c r="D5559" s="1" t="s">
        <v>16570</v>
      </c>
      <c r="E5559" s="1" t="s">
        <v>610</v>
      </c>
      <c r="F5559" s="1" t="s">
        <v>30</v>
      </c>
      <c r="G5559" s="1" t="s">
        <v>28438</v>
      </c>
      <c r="H5559" s="1">
        <v>2017.0</v>
      </c>
      <c r="I5559" s="1" t="s">
        <v>42</v>
      </c>
      <c r="J5559" s="1" t="s">
        <v>919</v>
      </c>
      <c r="K5559" s="1" t="s">
        <v>1839</v>
      </c>
      <c r="L5559" s="1" t="s">
        <v>28439</v>
      </c>
      <c r="M5559" s="2" t="s">
        <v>12</v>
      </c>
      <c r="N5559" s="4">
        <f t="shared" si="1"/>
        <v>42822</v>
      </c>
      <c r="O5559" s="5" t="str">
        <f>IFERROR(__xludf.DUMMYFUNCTION("IF(REGEXMATCH(TRIM(I5559), ""^\d+\s*min""), ""Unclassified"", IF(I5559 = """", ""NR"", I5559))"),"TV-MA")</f>
        <v>TV-MA</v>
      </c>
      <c r="R5559" s="5" t="str">
        <f t="shared" si="2"/>
        <v>Jo Koy: Live From Seattle</v>
      </c>
      <c r="S5559" s="5" t="str">
        <f>IFERROR(__xludf.DUMMYFUNCTION("""COMPUTED_VALUE"""),"Power Rangers Beast Morphers")</f>
        <v>Power Rangers Beast Morphers</v>
      </c>
      <c r="V5559" s="5"/>
      <c r="Y5559" s="5" t="str">
        <f>IFERROR(__xludf.DUMMYFUNCTION("REGEXEXTRACT(J5559, ""^\d+"")"),"63")</f>
        <v>63</v>
      </c>
      <c r="Z5559" s="5" t="str">
        <f>IFERROR(__xludf.DUMMYFUNCTION("REGEXEXTRACT(J5559, ""[A-Za-z ]+$"")")," min")</f>
        <v> min</v>
      </c>
      <c r="AA5559" s="5" t="str">
        <f>IFERROR(__xludf.DUMMYFUNCTION("IF(REGEXMATCH(Z5559, ""Season""), ""TV Show"", ""Movie"")"),"Movie")</f>
        <v>Movie</v>
      </c>
    </row>
    <row r="5560">
      <c r="A5560" s="1" t="s">
        <v>28440</v>
      </c>
      <c r="B5560" s="1" t="s">
        <v>37</v>
      </c>
      <c r="C5560" s="1" t="s">
        <v>28441</v>
      </c>
      <c r="E5560" s="1" t="s">
        <v>28442</v>
      </c>
      <c r="F5560" s="1" t="s">
        <v>28443</v>
      </c>
      <c r="G5560" s="1" t="s">
        <v>28444</v>
      </c>
      <c r="H5560" s="1">
        <v>2017.0</v>
      </c>
      <c r="I5560" s="1" t="s">
        <v>289</v>
      </c>
      <c r="J5560" s="1" t="s">
        <v>43</v>
      </c>
      <c r="K5560" s="1" t="s">
        <v>712</v>
      </c>
      <c r="L5560" s="1" t="s">
        <v>28445</v>
      </c>
      <c r="M5560" s="2" t="s">
        <v>12</v>
      </c>
      <c r="N5560" s="4">
        <f t="shared" si="1"/>
        <v>42818</v>
      </c>
      <c r="O5560" s="5" t="str">
        <f>IFERROR(__xludf.DUMMYFUNCTION("IF(REGEXMATCH(TRIM(I5560), ""^\d+\s*min""), ""Unclassified"", IF(I5560 = """", ""NR"", I5560))"),"TV-Y7")</f>
        <v>TV-Y7</v>
      </c>
      <c r="R5560" s="5" t="str">
        <f t="shared" si="2"/>
        <v>Bottersnikes &amp; Gumbles</v>
      </c>
      <c r="S5560" s="5" t="str">
        <f>IFERROR(__xludf.DUMMYFUNCTION("""COMPUTED_VALUE"""),"Power Rangers Dino Charge")</f>
        <v>Power Rangers Dino Charge</v>
      </c>
      <c r="V5560" s="5"/>
      <c r="Y5560" s="5" t="str">
        <f>IFERROR(__xludf.DUMMYFUNCTION("REGEXEXTRACT(J5560, ""^\d+"")"),"2")</f>
        <v>2</v>
      </c>
      <c r="Z5560" s="5" t="str">
        <f>IFERROR(__xludf.DUMMYFUNCTION("REGEXEXTRACT(J5560, ""[A-Za-z ]+$"")")," Seasons")</f>
        <v> Seasons</v>
      </c>
      <c r="AA5560" s="5" t="str">
        <f>IFERROR(__xludf.DUMMYFUNCTION("IF(REGEXMATCH(Z5560, ""Season""), ""TV Show"", ""Movie"")"),"TV Show")</f>
        <v>TV Show</v>
      </c>
    </row>
    <row r="5561">
      <c r="A5561" s="1" t="s">
        <v>28446</v>
      </c>
      <c r="B5561" s="1" t="s">
        <v>27</v>
      </c>
      <c r="C5561" s="1" t="s">
        <v>28447</v>
      </c>
      <c r="D5561" s="1" t="s">
        <v>6505</v>
      </c>
      <c r="E5561" s="1" t="s">
        <v>28448</v>
      </c>
      <c r="F5561" s="1" t="s">
        <v>1992</v>
      </c>
      <c r="G5561" s="1" t="s">
        <v>28444</v>
      </c>
      <c r="H5561" s="1">
        <v>2017.0</v>
      </c>
      <c r="I5561" s="1" t="s">
        <v>42</v>
      </c>
      <c r="J5561" s="1" t="s">
        <v>79</v>
      </c>
      <c r="K5561" s="1" t="s">
        <v>1839</v>
      </c>
      <c r="L5561" s="1" t="s">
        <v>28449</v>
      </c>
      <c r="M5561" s="2" t="s">
        <v>12</v>
      </c>
      <c r="N5561" s="4">
        <f t="shared" si="1"/>
        <v>42818</v>
      </c>
      <c r="O5561" s="5" t="str">
        <f>IFERROR(__xludf.DUMMYFUNCTION("IF(REGEXMATCH(TRIM(I5561), ""^\d+\s*min""), ""Unclassified"", IF(I5561 = """", ""NR"", I5561))"),"TV-MA")</f>
        <v>TV-MA</v>
      </c>
      <c r="R5561" s="5" t="str">
        <f t="shared" si="2"/>
        <v>Felipe Neto: My Life Makes No Sense</v>
      </c>
      <c r="S5561" s="5" t="str">
        <f>IFERROR(__xludf.DUMMYFUNCTION("""COMPUTED_VALUE"""),"Power Rangers Dino Fury")</f>
        <v>Power Rangers Dino Fury</v>
      </c>
      <c r="V5561" s="5"/>
      <c r="Y5561" s="5" t="str">
        <f>IFERROR(__xludf.DUMMYFUNCTION("REGEXEXTRACT(J5561, ""^\d+"")"),"91")</f>
        <v>91</v>
      </c>
      <c r="Z5561" s="5" t="str">
        <f>IFERROR(__xludf.DUMMYFUNCTION("REGEXEXTRACT(J5561, ""[A-Za-z ]+$"")")," min")</f>
        <v> min</v>
      </c>
      <c r="AA5561" s="5" t="str">
        <f>IFERROR(__xludf.DUMMYFUNCTION("IF(REGEXMATCH(Z5561, ""Season""), ""TV Show"", ""Movie"")"),"Movie")</f>
        <v>Movie</v>
      </c>
    </row>
    <row r="5562">
      <c r="A5562" s="1" t="s">
        <v>28450</v>
      </c>
      <c r="B5562" s="1" t="s">
        <v>27</v>
      </c>
      <c r="C5562" s="1" t="s">
        <v>28451</v>
      </c>
      <c r="D5562" s="1" t="s">
        <v>15446</v>
      </c>
      <c r="E5562" s="1" t="s">
        <v>28452</v>
      </c>
      <c r="F5562" s="1" t="s">
        <v>30</v>
      </c>
      <c r="G5562" s="1" t="s">
        <v>28444</v>
      </c>
      <c r="H5562" s="1">
        <v>2016.0</v>
      </c>
      <c r="I5562" s="1" t="s">
        <v>97</v>
      </c>
      <c r="J5562" s="1" t="s">
        <v>454</v>
      </c>
      <c r="K5562" s="1" t="s">
        <v>34</v>
      </c>
      <c r="L5562" s="1" t="s">
        <v>28453</v>
      </c>
      <c r="M5562" s="2" t="s">
        <v>12</v>
      </c>
      <c r="N5562" s="4">
        <f t="shared" si="1"/>
        <v>42818</v>
      </c>
      <c r="O5562" s="5" t="str">
        <f>IFERROR(__xludf.DUMMYFUNCTION("IF(REGEXMATCH(TRIM(I5562), ""^\d+\s*min""), ""Unclassified"", IF(I5562 = """", ""NR"", I5562))"),"TV-14")</f>
        <v>TV-14</v>
      </c>
      <c r="R5562" s="5" t="str">
        <f t="shared" si="2"/>
        <v>The C Word</v>
      </c>
      <c r="S5562" s="5" t="str">
        <f>IFERROR(__xludf.DUMMYFUNCTION("""COMPUTED_VALUE"""),"Power Rangers Dino Super Charge")</f>
        <v>Power Rangers Dino Super Charge</v>
      </c>
      <c r="V5562" s="5"/>
      <c r="Y5562" s="5" t="str">
        <f>IFERROR(__xludf.DUMMYFUNCTION("REGEXEXTRACT(J5562, ""^\d+"")"),"93")</f>
        <v>93</v>
      </c>
      <c r="Z5562" s="5" t="str">
        <f>IFERROR(__xludf.DUMMYFUNCTION("REGEXEXTRACT(J5562, ""[A-Za-z ]+$"")")," min")</f>
        <v> min</v>
      </c>
      <c r="AA5562" s="5" t="str">
        <f>IFERROR(__xludf.DUMMYFUNCTION("IF(REGEXMATCH(Z5562, ""Season""), ""TV Show"", ""Movie"")"),"Movie")</f>
        <v>Movie</v>
      </c>
    </row>
    <row r="5563">
      <c r="A5563" s="1" t="s">
        <v>28454</v>
      </c>
      <c r="B5563" s="1" t="s">
        <v>27</v>
      </c>
      <c r="C5563" s="1" t="s">
        <v>28455</v>
      </c>
      <c r="D5563" s="1" t="s">
        <v>22790</v>
      </c>
      <c r="E5563" s="1" t="s">
        <v>28456</v>
      </c>
      <c r="F5563" s="1" t="s">
        <v>30</v>
      </c>
      <c r="G5563" s="1" t="s">
        <v>28444</v>
      </c>
      <c r="H5563" s="1">
        <v>2017.0</v>
      </c>
      <c r="I5563" s="1" t="s">
        <v>42</v>
      </c>
      <c r="J5563" s="1" t="s">
        <v>454</v>
      </c>
      <c r="K5563" s="1" t="s">
        <v>805</v>
      </c>
      <c r="L5563" s="1" t="s">
        <v>28457</v>
      </c>
      <c r="M5563" s="2" t="s">
        <v>12</v>
      </c>
      <c r="N5563" s="4">
        <f t="shared" si="1"/>
        <v>42818</v>
      </c>
      <c r="O5563" s="5" t="str">
        <f>IFERROR(__xludf.DUMMYFUNCTION("IF(REGEXMATCH(TRIM(I5563), ""^\d+\s*min""), ""Unclassified"", IF(I5563 = """", ""NR"", I5563))"),"TV-MA")</f>
        <v>TV-MA</v>
      </c>
      <c r="R5563" s="5" t="str">
        <f t="shared" si="2"/>
        <v>The Most Hated Woman In America</v>
      </c>
      <c r="S5563" s="5" t="str">
        <f>IFERROR(__xludf.DUMMYFUNCTION("""COMPUTED_VALUE"""),"Power Rangers Dino Thunder")</f>
        <v>Power Rangers Dino Thunder</v>
      </c>
      <c r="V5563" s="5"/>
      <c r="Y5563" s="5" t="str">
        <f>IFERROR(__xludf.DUMMYFUNCTION("REGEXEXTRACT(J5563, ""^\d+"")"),"93")</f>
        <v>93</v>
      </c>
      <c r="Z5563" s="5" t="str">
        <f>IFERROR(__xludf.DUMMYFUNCTION("REGEXEXTRACT(J5563, ""[A-Za-z ]+$"")")," min")</f>
        <v> min</v>
      </c>
      <c r="AA5563" s="5" t="str">
        <f>IFERROR(__xludf.DUMMYFUNCTION("IF(REGEXMATCH(Z5563, ""Season""), ""TV Show"", ""Movie"")"),"Movie")</f>
        <v>Movie</v>
      </c>
    </row>
    <row r="5564">
      <c r="A5564" s="1" t="s">
        <v>28458</v>
      </c>
      <c r="B5564" s="1" t="s">
        <v>37</v>
      </c>
      <c r="C5564" s="1" t="s">
        <v>7749</v>
      </c>
      <c r="D5564" s="1" t="s">
        <v>19463</v>
      </c>
      <c r="E5564" s="1" t="s">
        <v>7749</v>
      </c>
      <c r="F5564" s="1" t="s">
        <v>30</v>
      </c>
      <c r="G5564" s="1" t="s">
        <v>28459</v>
      </c>
      <c r="H5564" s="1">
        <v>2017.0</v>
      </c>
      <c r="I5564" s="1" t="s">
        <v>42</v>
      </c>
      <c r="J5564" s="1" t="s">
        <v>51</v>
      </c>
      <c r="K5564" s="1" t="s">
        <v>2512</v>
      </c>
      <c r="L5564" s="1" t="s">
        <v>28460</v>
      </c>
      <c r="M5564" s="2" t="s">
        <v>12</v>
      </c>
      <c r="N5564" s="4">
        <f t="shared" si="1"/>
        <v>42815</v>
      </c>
      <c r="O5564" s="5" t="str">
        <f>IFERROR(__xludf.DUMMYFUNCTION("IF(REGEXMATCH(TRIM(I5564), ""^\d+\s*min""), ""Unclassified"", IF(I5564 = """", ""NR"", I5564))"),"TV-MA")</f>
        <v>TV-MA</v>
      </c>
      <c r="R5564" s="5" t="str">
        <f t="shared" si="2"/>
        <v>Dave Chappelle</v>
      </c>
      <c r="S5564" s="5" t="str">
        <f>IFERROR(__xludf.DUMMYFUNCTION("""COMPUTED_VALUE"""),"Power Rangers In Space")</f>
        <v>Power Rangers In Space</v>
      </c>
      <c r="V5564" s="5"/>
      <c r="Y5564" s="5" t="str">
        <f>IFERROR(__xludf.DUMMYFUNCTION("REGEXEXTRACT(J5564, ""^\d+"")"),"1")</f>
        <v>1</v>
      </c>
      <c r="Z5564" s="5" t="str">
        <f>IFERROR(__xludf.DUMMYFUNCTION("REGEXEXTRACT(J5564, ""[A-Za-z ]+$"")")," Season")</f>
        <v> Season</v>
      </c>
      <c r="AA5564" s="5" t="str">
        <f>IFERROR(__xludf.DUMMYFUNCTION("IF(REGEXMATCH(Z5564, ""Season""), ""TV Show"", ""Movie"")"),"TV Show")</f>
        <v>TV Show</v>
      </c>
    </row>
    <row r="5565">
      <c r="A5565" s="1" t="s">
        <v>28461</v>
      </c>
      <c r="B5565" s="1" t="s">
        <v>37</v>
      </c>
      <c r="C5565" s="1" t="s">
        <v>28462</v>
      </c>
      <c r="E5565" s="1" t="s">
        <v>28463</v>
      </c>
      <c r="F5565" s="1" t="s">
        <v>415</v>
      </c>
      <c r="G5565" s="1" t="s">
        <v>28464</v>
      </c>
      <c r="H5565" s="1">
        <v>2015.0</v>
      </c>
      <c r="I5565" s="1" t="s">
        <v>97</v>
      </c>
      <c r="J5565" s="1" t="s">
        <v>51</v>
      </c>
      <c r="K5565" s="1" t="s">
        <v>3858</v>
      </c>
      <c r="L5565" s="1" t="s">
        <v>28465</v>
      </c>
      <c r="M5565" s="2" t="s">
        <v>12</v>
      </c>
      <c r="N5565" s="4">
        <f t="shared" si="1"/>
        <v>42814</v>
      </c>
      <c r="O5565" s="5" t="str">
        <f>IFERROR(__xludf.DUMMYFUNCTION("IF(REGEXMATCH(TRIM(I5565), ""^\d+\s*min""), ""Unclassified"", IF(I5565 = """", ""NR"", I5565))"),"TV-14")</f>
        <v>TV-14</v>
      </c>
      <c r="R5565" s="5" t="str">
        <f t="shared" si="2"/>
        <v>One-Punch Man</v>
      </c>
      <c r="S5565" s="5" t="str">
        <f>IFERROR(__xludf.DUMMYFUNCTION("""COMPUTED_VALUE"""),"Power Rangers Jungle Fury")</f>
        <v>Power Rangers Jungle Fury</v>
      </c>
      <c r="V5565" s="5"/>
      <c r="Y5565" s="5" t="str">
        <f>IFERROR(__xludf.DUMMYFUNCTION("REGEXEXTRACT(J5565, ""^\d+"")"),"1")</f>
        <v>1</v>
      </c>
      <c r="Z5565" s="5" t="str">
        <f>IFERROR(__xludf.DUMMYFUNCTION("REGEXEXTRACT(J5565, ""[A-Za-z ]+$"")")," Season")</f>
        <v> Season</v>
      </c>
      <c r="AA5565" s="5" t="str">
        <f>IFERROR(__xludf.DUMMYFUNCTION("IF(REGEXMATCH(Z5565, ""Season""), ""TV Show"", ""Movie"")"),"TV Show")</f>
        <v>TV Show</v>
      </c>
    </row>
    <row r="5566">
      <c r="A5566" s="1" t="s">
        <v>28466</v>
      </c>
      <c r="B5566" s="1" t="s">
        <v>27</v>
      </c>
      <c r="C5566" s="1" t="s">
        <v>28467</v>
      </c>
      <c r="D5566" s="1" t="s">
        <v>13911</v>
      </c>
      <c r="E5566" s="1" t="s">
        <v>28468</v>
      </c>
      <c r="F5566" s="1" t="s">
        <v>30</v>
      </c>
      <c r="G5566" s="1" t="s">
        <v>28469</v>
      </c>
      <c r="H5566" s="1">
        <v>2016.0</v>
      </c>
      <c r="I5566" s="1" t="s">
        <v>42</v>
      </c>
      <c r="J5566" s="1" t="s">
        <v>247</v>
      </c>
      <c r="K5566" s="1" t="s">
        <v>34</v>
      </c>
      <c r="L5566" s="1" t="s">
        <v>28470</v>
      </c>
      <c r="M5566" s="2" t="s">
        <v>12</v>
      </c>
      <c r="N5566" s="4">
        <f t="shared" si="1"/>
        <v>42812</v>
      </c>
      <c r="O5566" s="5" t="str">
        <f>IFERROR(__xludf.DUMMYFUNCTION("IF(REGEXMATCH(TRIM(I5566), ""^\d+\s*min""), ""Unclassified"", IF(I5566 = """", ""NR"", I5566))"),"TV-MA")</f>
        <v>TV-MA</v>
      </c>
      <c r="R5566" s="5" t="str">
        <f t="shared" si="2"/>
        <v>Best Worst Thing That Ever Could Have Happened</v>
      </c>
      <c r="S5566" s="5" t="str">
        <f>IFERROR(__xludf.DUMMYFUNCTION("""COMPUTED_VALUE"""),"Power Rangers Lightspeed Rescue")</f>
        <v>Power Rangers Lightspeed Rescue</v>
      </c>
      <c r="V5566" s="5"/>
      <c r="Y5566" s="5" t="str">
        <f>IFERROR(__xludf.DUMMYFUNCTION("REGEXEXTRACT(J5566, ""^\d+"")"),"97")</f>
        <v>97</v>
      </c>
      <c r="Z5566" s="5" t="str">
        <f>IFERROR(__xludf.DUMMYFUNCTION("REGEXEXTRACT(J5566, ""[A-Za-z ]+$"")")," min")</f>
        <v> min</v>
      </c>
      <c r="AA5566" s="5" t="str">
        <f>IFERROR(__xludf.DUMMYFUNCTION("IF(REGEXMATCH(Z5566, ""Season""), ""TV Show"", ""Movie"")"),"Movie")</f>
        <v>Movie</v>
      </c>
    </row>
    <row r="5567">
      <c r="A5567" s="1" t="s">
        <v>28471</v>
      </c>
      <c r="B5567" s="1" t="s">
        <v>27</v>
      </c>
      <c r="C5567" s="1" t="s">
        <v>28472</v>
      </c>
      <c r="D5567" s="1" t="s">
        <v>22045</v>
      </c>
      <c r="E5567" s="1" t="s">
        <v>28473</v>
      </c>
      <c r="F5567" s="1" t="s">
        <v>30</v>
      </c>
      <c r="G5567" s="1" t="s">
        <v>28474</v>
      </c>
      <c r="H5567" s="1">
        <v>2017.0</v>
      </c>
      <c r="I5567" s="1" t="s">
        <v>97</v>
      </c>
      <c r="J5567" s="1" t="s">
        <v>665</v>
      </c>
      <c r="K5567" s="1" t="s">
        <v>836</v>
      </c>
      <c r="L5567" s="1" t="s">
        <v>28475</v>
      </c>
      <c r="M5567" s="2" t="s">
        <v>12</v>
      </c>
      <c r="N5567" s="4">
        <f t="shared" si="1"/>
        <v>42811</v>
      </c>
      <c r="O5567" s="5" t="str">
        <f>IFERROR(__xludf.DUMMYFUNCTION("IF(REGEXMATCH(TRIM(I5567), ""^\d+\s*min""), ""Unclassified"", IF(I5567 = """", ""NR"", I5567))"),"TV-14")</f>
        <v>TV-14</v>
      </c>
      <c r="R5567" s="5" t="str">
        <f t="shared" si="2"/>
        <v>Deidra &amp; Laney Rob A Train</v>
      </c>
      <c r="S5567" s="5" t="str">
        <f>IFERROR(__xludf.DUMMYFUNCTION("""COMPUTED_VALUE"""),"Power Rangers Lost Galaxy")</f>
        <v>Power Rangers Lost Galaxy</v>
      </c>
      <c r="V5567" s="5"/>
      <c r="Y5567" s="5" t="str">
        <f>IFERROR(__xludf.DUMMYFUNCTION("REGEXEXTRACT(J5567, ""^\d+"")"),"92")</f>
        <v>92</v>
      </c>
      <c r="Z5567" s="5" t="str">
        <f>IFERROR(__xludf.DUMMYFUNCTION("REGEXEXTRACT(J5567, ""[A-Za-z ]+$"")")," min")</f>
        <v> min</v>
      </c>
      <c r="AA5567" s="5" t="str">
        <f>IFERROR(__xludf.DUMMYFUNCTION("IF(REGEXMATCH(Z5567, ""Season""), ""TV Show"", ""Movie"")"),"Movie")</f>
        <v>Movie</v>
      </c>
    </row>
    <row r="5568">
      <c r="A5568" s="1" t="s">
        <v>28476</v>
      </c>
      <c r="B5568" s="1" t="s">
        <v>37</v>
      </c>
      <c r="C5568" s="1" t="s">
        <v>28477</v>
      </c>
      <c r="E5568" s="1" t="s">
        <v>28478</v>
      </c>
      <c r="F5568" s="1" t="s">
        <v>30</v>
      </c>
      <c r="G5568" s="1" t="s">
        <v>28474</v>
      </c>
      <c r="H5568" s="1">
        <v>2017.0</v>
      </c>
      <c r="I5568" s="1" t="s">
        <v>206</v>
      </c>
      <c r="J5568" s="1" t="s">
        <v>51</v>
      </c>
      <c r="K5568" s="1" t="s">
        <v>290</v>
      </c>
      <c r="L5568" s="1" t="s">
        <v>28479</v>
      </c>
      <c r="M5568" s="2" t="s">
        <v>12</v>
      </c>
      <c r="N5568" s="4">
        <f t="shared" si="1"/>
        <v>42811</v>
      </c>
      <c r="O5568" s="5" t="str">
        <f>IFERROR(__xludf.DUMMYFUNCTION("IF(REGEXMATCH(TRIM(I5568), ""^\d+\s*min""), ""Unclassified"", IF(I5568 = """", ""NR"", I5568))"),"TV-Y")</f>
        <v>TV-Y</v>
      </c>
      <c r="R5568" s="5" t="str">
        <f t="shared" si="2"/>
        <v>Julie'S Greenroom</v>
      </c>
      <c r="S5568" s="5" t="str">
        <f>IFERROR(__xludf.DUMMYFUNCTION("""COMPUTED_VALUE"""),"Power Rangers Mystic Force")</f>
        <v>Power Rangers Mystic Force</v>
      </c>
      <c r="V5568" s="5"/>
      <c r="Y5568" s="5" t="str">
        <f>IFERROR(__xludf.DUMMYFUNCTION("REGEXEXTRACT(J5568, ""^\d+"")"),"1")</f>
        <v>1</v>
      </c>
      <c r="Z5568" s="5" t="str">
        <f>IFERROR(__xludf.DUMMYFUNCTION("REGEXEXTRACT(J5568, ""[A-Za-z ]+$"")")," Season")</f>
        <v> Season</v>
      </c>
      <c r="AA5568" s="5" t="str">
        <f>IFERROR(__xludf.DUMMYFUNCTION("IF(REGEXMATCH(Z5568, ""Season""), ""TV Show"", ""Movie"")"),"TV Show")</f>
        <v>TV Show</v>
      </c>
    </row>
    <row r="5569">
      <c r="A5569" s="1" t="s">
        <v>28480</v>
      </c>
      <c r="B5569" s="1" t="s">
        <v>37</v>
      </c>
      <c r="C5569" s="1" t="s">
        <v>28481</v>
      </c>
      <c r="F5569" s="1" t="s">
        <v>221</v>
      </c>
      <c r="G5569" s="1" t="s">
        <v>28474</v>
      </c>
      <c r="H5569" s="1">
        <v>2015.0</v>
      </c>
      <c r="I5569" s="1" t="s">
        <v>42</v>
      </c>
      <c r="J5569" s="1" t="s">
        <v>276</v>
      </c>
      <c r="K5569" s="1" t="s">
        <v>440</v>
      </c>
      <c r="L5569" s="1" t="s">
        <v>28482</v>
      </c>
      <c r="M5569" s="2" t="s">
        <v>12</v>
      </c>
      <c r="N5569" s="4">
        <f t="shared" si="1"/>
        <v>42811</v>
      </c>
      <c r="O5569" s="5" t="str">
        <f>IFERROR(__xludf.DUMMYFUNCTION("IF(REGEXMATCH(TRIM(I5569), ""^\d+\s*min""), ""Unclassified"", IF(I5569 = """", ""NR"", I5569))"),"TV-MA")</f>
        <v>TV-MA</v>
      </c>
      <c r="R5569" s="5" t="str">
        <f t="shared" si="2"/>
        <v>Outback Truckers</v>
      </c>
      <c r="S5569" s="5" t="str">
        <f>IFERROR(__xludf.DUMMYFUNCTION("""COMPUTED_VALUE"""),"Power Rangers Ninja Steel")</f>
        <v>Power Rangers Ninja Steel</v>
      </c>
      <c r="V5569" s="5"/>
      <c r="Y5569" s="5" t="str">
        <f>IFERROR(__xludf.DUMMYFUNCTION("REGEXEXTRACT(J5569, ""^\d+"")"),"3")</f>
        <v>3</v>
      </c>
      <c r="Z5569" s="5" t="str">
        <f>IFERROR(__xludf.DUMMYFUNCTION("REGEXEXTRACT(J5569, ""[A-Za-z ]+$"")")," Seasons")</f>
        <v> Seasons</v>
      </c>
      <c r="AA5569" s="5" t="str">
        <f>IFERROR(__xludf.DUMMYFUNCTION("IF(REGEXMATCH(Z5569, ""Season""), ""TV Show"", ""Movie"")"),"TV Show")</f>
        <v>TV Show</v>
      </c>
    </row>
    <row r="5570">
      <c r="A5570" s="1" t="s">
        <v>28483</v>
      </c>
      <c r="B5570" s="1" t="s">
        <v>27</v>
      </c>
      <c r="C5570" s="1" t="s">
        <v>28484</v>
      </c>
      <c r="D5570" s="1" t="s">
        <v>28485</v>
      </c>
      <c r="E5570" s="1" t="s">
        <v>28486</v>
      </c>
      <c r="F5570" s="1" t="s">
        <v>749</v>
      </c>
      <c r="G5570" s="1" t="s">
        <v>28474</v>
      </c>
      <c r="H5570" s="1">
        <v>2016.0</v>
      </c>
      <c r="I5570" s="1" t="s">
        <v>42</v>
      </c>
      <c r="J5570" s="1" t="s">
        <v>4242</v>
      </c>
      <c r="K5570" s="1" t="s">
        <v>298</v>
      </c>
      <c r="L5570" s="1" t="s">
        <v>28487</v>
      </c>
      <c r="M5570" s="2" t="s">
        <v>12</v>
      </c>
      <c r="N5570" s="4">
        <f t="shared" si="1"/>
        <v>42811</v>
      </c>
      <c r="O5570" s="5" t="str">
        <f>IFERROR(__xludf.DUMMYFUNCTION("IF(REGEXMATCH(TRIM(I5570), ""^\d+\s*min""), ""Unclassified"", IF(I5570 = """", ""NR"", I5570))"),"TV-MA")</f>
        <v>TV-MA</v>
      </c>
      <c r="R5570" s="5" t="str">
        <f t="shared" si="2"/>
        <v>Pandora</v>
      </c>
      <c r="S5570" s="5" t="str">
        <f>IFERROR(__xludf.DUMMYFUNCTION("""COMPUTED_VALUE"""),"Power Rangers Ninja Storm")</f>
        <v>Power Rangers Ninja Storm</v>
      </c>
      <c r="V5570" s="5"/>
      <c r="Y5570" s="5" t="str">
        <f>IFERROR(__xludf.DUMMYFUNCTION("REGEXEXTRACT(J5570, ""^\d+"")"),"137")</f>
        <v>137</v>
      </c>
      <c r="Z5570" s="5" t="str">
        <f>IFERROR(__xludf.DUMMYFUNCTION("REGEXEXTRACT(J5570, ""[A-Za-z ]+$"")")," min")</f>
        <v> min</v>
      </c>
      <c r="AA5570" s="5" t="str">
        <f>IFERROR(__xludf.DUMMYFUNCTION("IF(REGEXMATCH(Z5570, ""Season""), ""TV Show"", ""Movie"")"),"Movie")</f>
        <v>Movie</v>
      </c>
    </row>
    <row r="5571">
      <c r="A5571" s="1" t="s">
        <v>28488</v>
      </c>
      <c r="B5571" s="1" t="s">
        <v>37</v>
      </c>
      <c r="C5571" s="1" t="s">
        <v>28489</v>
      </c>
      <c r="E5571" s="1" t="s">
        <v>28490</v>
      </c>
      <c r="F5571" s="1" t="s">
        <v>415</v>
      </c>
      <c r="G5571" s="1" t="s">
        <v>28474</v>
      </c>
      <c r="H5571" s="1">
        <v>2017.0</v>
      </c>
      <c r="I5571" s="1" t="s">
        <v>136</v>
      </c>
      <c r="J5571" s="1" t="s">
        <v>51</v>
      </c>
      <c r="K5571" s="1" t="s">
        <v>402</v>
      </c>
      <c r="L5571" s="1" t="s">
        <v>28491</v>
      </c>
      <c r="M5571" s="2" t="s">
        <v>12</v>
      </c>
      <c r="N5571" s="4">
        <f t="shared" si="1"/>
        <v>42811</v>
      </c>
      <c r="O5571" s="5" t="str">
        <f>IFERROR(__xludf.DUMMYFUNCTION("IF(REGEXMATCH(TRIM(I5571), ""^\d+\s*min""), ""Unclassified"", IF(I5571 = """", ""NR"", I5571))"),"TV-PG")</f>
        <v>TV-PG</v>
      </c>
      <c r="R5571" s="5" t="str">
        <f t="shared" si="2"/>
        <v>Samurai Gourmet</v>
      </c>
      <c r="S5571" s="5" t="str">
        <f>IFERROR(__xludf.DUMMYFUNCTION("""COMPUTED_VALUE"""),"Power Rangers Operation Overdrive")</f>
        <v>Power Rangers Operation Overdrive</v>
      </c>
      <c r="V5571" s="5"/>
      <c r="Y5571" s="5" t="str">
        <f>IFERROR(__xludf.DUMMYFUNCTION("REGEXEXTRACT(J5571, ""^\d+"")"),"1")</f>
        <v>1</v>
      </c>
      <c r="Z5571" s="5" t="str">
        <f>IFERROR(__xludf.DUMMYFUNCTION("REGEXEXTRACT(J5571, ""[A-Za-z ]+$"")")," Season")</f>
        <v> Season</v>
      </c>
      <c r="AA5571" s="5" t="str">
        <f>IFERROR(__xludf.DUMMYFUNCTION("IF(REGEXMATCH(Z5571, ""Season""), ""TV Show"", ""Movie"")"),"TV Show")</f>
        <v>TV Show</v>
      </c>
    </row>
    <row r="5572">
      <c r="A5572" s="1" t="s">
        <v>28492</v>
      </c>
      <c r="B5572" s="1" t="s">
        <v>27</v>
      </c>
      <c r="C5572" s="1" t="s">
        <v>28493</v>
      </c>
      <c r="D5572" s="1" t="s">
        <v>10020</v>
      </c>
      <c r="E5572" s="1" t="s">
        <v>28494</v>
      </c>
      <c r="F5572" s="1" t="s">
        <v>18023</v>
      </c>
      <c r="G5572" s="1" t="s">
        <v>28495</v>
      </c>
      <c r="H5572" s="1">
        <v>1992.0</v>
      </c>
      <c r="I5572" s="1" t="s">
        <v>78</v>
      </c>
      <c r="J5572" s="1" t="s">
        <v>820</v>
      </c>
      <c r="K5572" s="1" t="s">
        <v>1767</v>
      </c>
      <c r="L5572" s="1" t="s">
        <v>28496</v>
      </c>
      <c r="M5572" s="2" t="s">
        <v>12</v>
      </c>
      <c r="N5572" s="4">
        <f t="shared" si="1"/>
        <v>42810</v>
      </c>
      <c r="O5572" s="5" t="str">
        <f>IFERROR(__xludf.DUMMYFUNCTION("IF(REGEXMATCH(TRIM(I5572), ""^\d+\s*min""), ""Unclassified"", IF(I5572 = """", ""NR"", I5572))"),"PG")</f>
        <v>PG</v>
      </c>
      <c r="R5572" s="5" t="str">
        <f t="shared" si="2"/>
        <v>Howards End</v>
      </c>
      <c r="S5572" s="5" t="str">
        <f>IFERROR(__xludf.DUMMYFUNCTION("""COMPUTED_VALUE"""),"Power Rangers Rpm")</f>
        <v>Power Rangers Rpm</v>
      </c>
      <c r="V5572" s="5"/>
      <c r="Y5572" s="5" t="str">
        <f>IFERROR(__xludf.DUMMYFUNCTION("REGEXEXTRACT(J5572, ""^\d+"")"),"143")</f>
        <v>143</v>
      </c>
      <c r="Z5572" s="5" t="str">
        <f>IFERROR(__xludf.DUMMYFUNCTION("REGEXEXTRACT(J5572, ""[A-Za-z ]+$"")")," min")</f>
        <v> min</v>
      </c>
      <c r="AA5572" s="5" t="str">
        <f>IFERROR(__xludf.DUMMYFUNCTION("IF(REGEXMATCH(Z5572, ""Season""), ""TV Show"", ""Movie"")"),"Movie")</f>
        <v>Movie</v>
      </c>
    </row>
    <row r="5573">
      <c r="A5573" s="1" t="s">
        <v>28497</v>
      </c>
      <c r="B5573" s="1" t="s">
        <v>27</v>
      </c>
      <c r="C5573" s="1" t="s">
        <v>28498</v>
      </c>
      <c r="D5573" s="1" t="s">
        <v>20428</v>
      </c>
      <c r="E5573" s="1" t="s">
        <v>28499</v>
      </c>
      <c r="F5573" s="1" t="s">
        <v>63</v>
      </c>
      <c r="G5573" s="1" t="s">
        <v>28500</v>
      </c>
      <c r="H5573" s="1">
        <v>2001.0</v>
      </c>
      <c r="I5573" s="1" t="s">
        <v>378</v>
      </c>
      <c r="J5573" s="1" t="s">
        <v>21080</v>
      </c>
      <c r="K5573" s="1" t="s">
        <v>306</v>
      </c>
      <c r="L5573" s="1" t="s">
        <v>28501</v>
      </c>
      <c r="M5573" s="2" t="s">
        <v>12</v>
      </c>
      <c r="N5573" s="4">
        <f t="shared" si="1"/>
        <v>42809</v>
      </c>
      <c r="O5573" s="5" t="str">
        <f>IFERROR(__xludf.DUMMYFUNCTION("IF(REGEXMATCH(TRIM(I5573), ""^\d+\s*min""), ""Unclassified"", IF(I5573 = """", ""NR"", I5573))"),"R")</f>
        <v>R</v>
      </c>
      <c r="R5573" s="5" t="str">
        <f t="shared" si="2"/>
        <v>Asoka</v>
      </c>
      <c r="S5573" s="5" t="str">
        <f>IFERROR(__xludf.DUMMYFUNCTION("""COMPUTED_VALUE"""),"Power Rangers S.P.D.")</f>
        <v>Power Rangers S.P.D.</v>
      </c>
      <c r="V5573" s="5"/>
      <c r="Y5573" s="5" t="str">
        <f>IFERROR(__xludf.DUMMYFUNCTION("REGEXEXTRACT(J5573, ""^\d+"")"),"168")</f>
        <v>168</v>
      </c>
      <c r="Z5573" s="5" t="str">
        <f>IFERROR(__xludf.DUMMYFUNCTION("REGEXEXTRACT(J5573, ""[A-Za-z ]+$"")")," min")</f>
        <v> min</v>
      </c>
      <c r="AA5573" s="5" t="str">
        <f>IFERROR(__xludf.DUMMYFUNCTION("IF(REGEXMATCH(Z5573, ""Season""), ""TV Show"", ""Movie"")"),"Movie")</f>
        <v>Movie</v>
      </c>
    </row>
    <row r="5574">
      <c r="A5574" s="1" t="s">
        <v>28502</v>
      </c>
      <c r="B5574" s="1" t="s">
        <v>27</v>
      </c>
      <c r="C5574" s="1" t="s">
        <v>28503</v>
      </c>
      <c r="D5574" s="1" t="s">
        <v>7237</v>
      </c>
      <c r="E5574" s="1" t="s">
        <v>28504</v>
      </c>
      <c r="F5574" s="1" t="s">
        <v>1106</v>
      </c>
      <c r="G5574" s="1" t="s">
        <v>28500</v>
      </c>
      <c r="H5574" s="1">
        <v>2006.0</v>
      </c>
      <c r="I5574" s="1" t="s">
        <v>42</v>
      </c>
      <c r="J5574" s="1" t="s">
        <v>743</v>
      </c>
      <c r="K5574" s="1" t="s">
        <v>1328</v>
      </c>
      <c r="L5574" s="1" t="s">
        <v>28505</v>
      </c>
      <c r="M5574" s="2" t="s">
        <v>12</v>
      </c>
      <c r="N5574" s="4">
        <f t="shared" si="1"/>
        <v>42809</v>
      </c>
      <c r="O5574" s="5" t="str">
        <f>IFERROR(__xludf.DUMMYFUNCTION("IF(REGEXMATCH(TRIM(I5574), ""^\d+\s*min""), ""Unclassified"", IF(I5574 = """", ""NR"", I5574))"),"TV-MA")</f>
        <v>TV-MA</v>
      </c>
      <c r="R5574" s="5" t="str">
        <f t="shared" si="2"/>
        <v>Bon Cop, Bad Cop</v>
      </c>
      <c r="S5574" s="5" t="str">
        <f>IFERROR(__xludf.DUMMYFUNCTION("""COMPUTED_VALUE"""),"Power Rangers Samurai")</f>
        <v>Power Rangers Samurai</v>
      </c>
      <c r="V5574" s="5"/>
      <c r="Y5574" s="5" t="str">
        <f>IFERROR(__xludf.DUMMYFUNCTION("REGEXEXTRACT(J5574, ""^\d+"")"),"117")</f>
        <v>117</v>
      </c>
      <c r="Z5574" s="5" t="str">
        <f>IFERROR(__xludf.DUMMYFUNCTION("REGEXEXTRACT(J5574, ""[A-Za-z ]+$"")")," min")</f>
        <v> min</v>
      </c>
      <c r="AA5574" s="5" t="str">
        <f>IFERROR(__xludf.DUMMYFUNCTION("IF(REGEXMATCH(Z5574, ""Season""), ""TV Show"", ""Movie"")"),"Movie")</f>
        <v>Movie</v>
      </c>
    </row>
    <row r="5575">
      <c r="A5575" s="1" t="s">
        <v>28506</v>
      </c>
      <c r="B5575" s="1" t="s">
        <v>27</v>
      </c>
      <c r="C5575" s="1" t="s">
        <v>28507</v>
      </c>
      <c r="D5575" s="1" t="s">
        <v>18025</v>
      </c>
      <c r="E5575" s="1" t="s">
        <v>28508</v>
      </c>
      <c r="F5575" s="1" t="s">
        <v>96</v>
      </c>
      <c r="G5575" s="1" t="s">
        <v>28500</v>
      </c>
      <c r="H5575" s="1">
        <v>2016.0</v>
      </c>
      <c r="I5575" s="1" t="s">
        <v>136</v>
      </c>
      <c r="J5575" s="1" t="s">
        <v>630</v>
      </c>
      <c r="K5575" s="1" t="s">
        <v>28509</v>
      </c>
      <c r="L5575" s="1" t="s">
        <v>28510</v>
      </c>
      <c r="M5575" s="2" t="s">
        <v>12</v>
      </c>
      <c r="N5575" s="4">
        <f t="shared" si="1"/>
        <v>42809</v>
      </c>
      <c r="O5575" s="5" t="str">
        <f>IFERROR(__xludf.DUMMYFUNCTION("IF(REGEXMATCH(TRIM(I5575), ""^\d+\s*min""), ""Unclassified"", IF(I5575 = """", ""NR"", I5575))"),"TV-PG")</f>
        <v>TV-PG</v>
      </c>
      <c r="R5575" s="5" t="str">
        <f t="shared" si="2"/>
        <v>Notes On Blindness</v>
      </c>
      <c r="S5575" s="5" t="str">
        <f>IFERROR(__xludf.DUMMYFUNCTION("""COMPUTED_VALUE"""),"Power Rangers Samurai: Christmas Together, Friends Forever (Christmas Special)")</f>
        <v>Power Rangers Samurai: Christmas Together, Friends Forever (Christmas Special)</v>
      </c>
      <c r="V5575" s="5"/>
      <c r="Y5575" s="5" t="str">
        <f>IFERROR(__xludf.DUMMYFUNCTION("REGEXEXTRACT(J5575, ""^\d+"")"),"87")</f>
        <v>87</v>
      </c>
      <c r="Z5575" s="5" t="str">
        <f>IFERROR(__xludf.DUMMYFUNCTION("REGEXEXTRACT(J5575, ""[A-Za-z ]+$"")")," min")</f>
        <v> min</v>
      </c>
      <c r="AA5575" s="5" t="str">
        <f>IFERROR(__xludf.DUMMYFUNCTION("IF(REGEXMATCH(Z5575, ""Season""), ""TV Show"", ""Movie"")"),"Movie")</f>
        <v>Movie</v>
      </c>
    </row>
    <row r="5576">
      <c r="A5576" s="1" t="s">
        <v>28511</v>
      </c>
      <c r="B5576" s="1" t="s">
        <v>27</v>
      </c>
      <c r="C5576" s="1" t="s">
        <v>28512</v>
      </c>
      <c r="D5576" s="1" t="s">
        <v>20965</v>
      </c>
      <c r="E5576" s="1" t="s">
        <v>28513</v>
      </c>
      <c r="F5576" s="1" t="s">
        <v>63</v>
      </c>
      <c r="G5576" s="1" t="s">
        <v>28500</v>
      </c>
      <c r="H5576" s="1">
        <v>2001.0</v>
      </c>
      <c r="I5576" s="1" t="s">
        <v>97</v>
      </c>
      <c r="J5576" s="1" t="s">
        <v>14332</v>
      </c>
      <c r="K5576" s="1" t="s">
        <v>617</v>
      </c>
      <c r="L5576" s="1" t="s">
        <v>28514</v>
      </c>
      <c r="M5576" s="2" t="s">
        <v>12</v>
      </c>
      <c r="N5576" s="4">
        <f t="shared" si="1"/>
        <v>42809</v>
      </c>
      <c r="O5576" s="5" t="str">
        <f>IFERROR(__xludf.DUMMYFUNCTION("IF(REGEXMATCH(TRIM(I5576), ""^\d+\s*min""), ""Unclassified"", IF(I5576 = """", ""NR"", I5576))"),"TV-14")</f>
        <v>TV-14</v>
      </c>
      <c r="R5576" s="5" t="str">
        <f t="shared" si="2"/>
        <v>One 2 Ka 4</v>
      </c>
      <c r="S5576" s="5" t="str">
        <f>IFERROR(__xludf.DUMMYFUNCTION("""COMPUTED_VALUE"""),"Power Rangers Samurai: Clash Of The Red Rangers")</f>
        <v>Power Rangers Samurai: Clash Of The Red Rangers</v>
      </c>
      <c r="V5576" s="5"/>
      <c r="Y5576" s="5" t="str">
        <f>IFERROR(__xludf.DUMMYFUNCTION("REGEXEXTRACT(J5576, ""^\d+"")"),"160")</f>
        <v>160</v>
      </c>
      <c r="Z5576" s="5" t="str">
        <f>IFERROR(__xludf.DUMMYFUNCTION("REGEXEXTRACT(J5576, ""[A-Za-z ]+$"")")," min")</f>
        <v> min</v>
      </c>
      <c r="AA5576" s="5" t="str">
        <f>IFERROR(__xludf.DUMMYFUNCTION("IF(REGEXMATCH(Z5576, ""Season""), ""TV Show"", ""Movie"")"),"Movie")</f>
        <v>Movie</v>
      </c>
    </row>
    <row r="5577">
      <c r="A5577" s="1" t="s">
        <v>28515</v>
      </c>
      <c r="B5577" s="1" t="s">
        <v>37</v>
      </c>
      <c r="C5577" s="1" t="s">
        <v>28516</v>
      </c>
      <c r="F5577" s="1" t="s">
        <v>30</v>
      </c>
      <c r="G5577" s="1" t="s">
        <v>28517</v>
      </c>
      <c r="H5577" s="1">
        <v>2016.0</v>
      </c>
      <c r="I5577" s="1" t="s">
        <v>136</v>
      </c>
      <c r="J5577" s="1" t="s">
        <v>51</v>
      </c>
      <c r="K5577" s="1" t="s">
        <v>1485</v>
      </c>
      <c r="L5577" s="1" t="s">
        <v>28518</v>
      </c>
      <c r="M5577" s="2" t="s">
        <v>12</v>
      </c>
      <c r="N5577" s="4">
        <f t="shared" si="1"/>
        <v>42808</v>
      </c>
      <c r="O5577" s="5" t="str">
        <f>IFERROR(__xludf.DUMMYFUNCTION("IF(REGEXMATCH(TRIM(I5577), ""^\d+\s*min""), ""Unclassified"", IF(I5577 = """", ""NR"", I5577))"),"TV-PG")</f>
        <v>TV-PG</v>
      </c>
      <c r="R5577" s="5" t="str">
        <f t="shared" si="2"/>
        <v>Cheer Squad</v>
      </c>
      <c r="S5577" s="5" t="str">
        <f>IFERROR(__xludf.DUMMYFUNCTION("""COMPUTED_VALUE"""),"Power Rangers Samurai: Party Monsters (Halloween Special)")</f>
        <v>Power Rangers Samurai: Party Monsters (Halloween Special)</v>
      </c>
      <c r="V5577" s="5"/>
      <c r="Y5577" s="5" t="str">
        <f>IFERROR(__xludf.DUMMYFUNCTION("REGEXEXTRACT(J5577, ""^\d+"")"),"1")</f>
        <v>1</v>
      </c>
      <c r="Z5577" s="5" t="str">
        <f>IFERROR(__xludf.DUMMYFUNCTION("REGEXEXTRACT(J5577, ""[A-Za-z ]+$"")")," Season")</f>
        <v> Season</v>
      </c>
      <c r="AA5577" s="5" t="str">
        <f>IFERROR(__xludf.DUMMYFUNCTION("IF(REGEXMATCH(Z5577, ""Season""), ""TV Show"", ""Movie"")"),"TV Show")</f>
        <v>TV Show</v>
      </c>
    </row>
    <row r="5578">
      <c r="A5578" s="1" t="s">
        <v>28519</v>
      </c>
      <c r="B5578" s="1" t="s">
        <v>27</v>
      </c>
      <c r="C5578" s="1" t="s">
        <v>28520</v>
      </c>
      <c r="D5578" s="1" t="s">
        <v>16570</v>
      </c>
      <c r="E5578" s="1" t="s">
        <v>28521</v>
      </c>
      <c r="F5578" s="1" t="s">
        <v>30</v>
      </c>
      <c r="G5578" s="1" t="s">
        <v>28517</v>
      </c>
      <c r="H5578" s="1">
        <v>2017.0</v>
      </c>
      <c r="I5578" s="1" t="s">
        <v>42</v>
      </c>
      <c r="J5578" s="1" t="s">
        <v>2670</v>
      </c>
      <c r="K5578" s="1" t="s">
        <v>1839</v>
      </c>
      <c r="L5578" s="1" t="s">
        <v>28522</v>
      </c>
      <c r="M5578" s="2" t="s">
        <v>12</v>
      </c>
      <c r="N5578" s="4">
        <f t="shared" si="1"/>
        <v>42808</v>
      </c>
      <c r="O5578" s="5" t="str">
        <f>IFERROR(__xludf.DUMMYFUNCTION("IF(REGEXMATCH(TRIM(I5578), ""^\d+\s*min""), ""Unclassified"", IF(I5578 = """", ""NR"", I5578))"),"TV-MA")</f>
        <v>TV-MA</v>
      </c>
      <c r="R5578" s="5" t="str">
        <f t="shared" si="2"/>
        <v>Jim Norton: Mouthful Of Shame</v>
      </c>
      <c r="S5578" s="5" t="str">
        <f>IFERROR(__xludf.DUMMYFUNCTION("""COMPUTED_VALUE"""),"Power Rangers Super Megaforce")</f>
        <v>Power Rangers Super Megaforce</v>
      </c>
      <c r="V5578" s="5"/>
      <c r="Y5578" s="5" t="str">
        <f>IFERROR(__xludf.DUMMYFUNCTION("REGEXEXTRACT(J5578, ""^\d+"")"),"62")</f>
        <v>62</v>
      </c>
      <c r="Z5578" s="5" t="str">
        <f>IFERROR(__xludf.DUMMYFUNCTION("REGEXEXTRACT(J5578, ""[A-Za-z ]+$"")")," min")</f>
        <v> min</v>
      </c>
      <c r="AA5578" s="5" t="str">
        <f>IFERROR(__xludf.DUMMYFUNCTION("IF(REGEXMATCH(Z5578, ""Season""), ""TV Show"", ""Movie"")"),"Movie")</f>
        <v>Movie</v>
      </c>
    </row>
    <row r="5579">
      <c r="A5579" s="1" t="s">
        <v>28523</v>
      </c>
      <c r="B5579" s="1" t="s">
        <v>27</v>
      </c>
      <c r="C5579" s="1" t="s">
        <v>28524</v>
      </c>
      <c r="D5579" s="1" t="s">
        <v>14571</v>
      </c>
      <c r="E5579" s="1" t="s">
        <v>28525</v>
      </c>
      <c r="F5579" s="1" t="s">
        <v>8159</v>
      </c>
      <c r="G5579" s="1" t="s">
        <v>28526</v>
      </c>
      <c r="H5579" s="1">
        <v>2016.0</v>
      </c>
      <c r="I5579" s="1" t="s">
        <v>42</v>
      </c>
      <c r="J5579" s="1" t="s">
        <v>1065</v>
      </c>
      <c r="K5579" s="1" t="s">
        <v>5099</v>
      </c>
      <c r="L5579" s="1" t="s">
        <v>28527</v>
      </c>
      <c r="M5579" s="2" t="s">
        <v>12</v>
      </c>
      <c r="N5579" s="4">
        <f t="shared" si="1"/>
        <v>42804</v>
      </c>
      <c r="O5579" s="5" t="str">
        <f>IFERROR(__xludf.DUMMYFUNCTION("IF(REGEXMATCH(TRIM(I5579), ""^\d+\s*min""), ""Unclassified"", IF(I5579 = """", ""NR"", I5579))"),"TV-MA")</f>
        <v>TV-MA</v>
      </c>
      <c r="R5579" s="5" t="str">
        <f t="shared" si="2"/>
        <v>100 Meters</v>
      </c>
      <c r="S5579" s="5" t="str">
        <f>IFERROR(__xludf.DUMMYFUNCTION("""COMPUTED_VALUE"""),"Power Rangers Super Megaforce: The Legendary Battle (Extended)")</f>
        <v>Power Rangers Super Megaforce: The Legendary Battle (Extended)</v>
      </c>
      <c r="V5579" s="5"/>
      <c r="Y5579" s="5" t="str">
        <f>IFERROR(__xludf.DUMMYFUNCTION("REGEXEXTRACT(J5579, ""^\d+"")"),"109")</f>
        <v>109</v>
      </c>
      <c r="Z5579" s="5" t="str">
        <f>IFERROR(__xludf.DUMMYFUNCTION("REGEXEXTRACT(J5579, ""[A-Za-z ]+$"")")," min")</f>
        <v> min</v>
      </c>
      <c r="AA5579" s="5" t="str">
        <f>IFERROR(__xludf.DUMMYFUNCTION("IF(REGEXMATCH(Z5579, ""Season""), ""TV Show"", ""Movie"")"),"Movie")</f>
        <v>Movie</v>
      </c>
    </row>
    <row r="5580">
      <c r="A5580" s="1" t="s">
        <v>28528</v>
      </c>
      <c r="B5580" s="1" t="s">
        <v>37</v>
      </c>
      <c r="C5580" s="1" t="s">
        <v>28529</v>
      </c>
      <c r="E5580" s="1" t="s">
        <v>28530</v>
      </c>
      <c r="F5580" s="1" t="s">
        <v>30</v>
      </c>
      <c r="G5580" s="1" t="s">
        <v>28526</v>
      </c>
      <c r="H5580" s="1">
        <v>2017.0</v>
      </c>
      <c r="I5580" s="1" t="s">
        <v>289</v>
      </c>
      <c r="J5580" s="1" t="s">
        <v>51</v>
      </c>
      <c r="K5580" s="1" t="s">
        <v>314</v>
      </c>
      <c r="L5580" s="1" t="s">
        <v>28531</v>
      </c>
      <c r="M5580" s="2" t="s">
        <v>12</v>
      </c>
      <c r="N5580" s="4">
        <f t="shared" si="1"/>
        <v>42804</v>
      </c>
      <c r="O5580" s="5" t="str">
        <f>IFERROR(__xludf.DUMMYFUNCTION("IF(REGEXMATCH(TRIM(I5580), ""^\d+\s*min""), ""Unclassified"", IF(I5580 = """", ""NR"", I5580))"),"TV-Y7")</f>
        <v>TV-Y7</v>
      </c>
      <c r="R5580" s="5" t="str">
        <f t="shared" si="2"/>
        <v>Buddy Thunderstruck</v>
      </c>
      <c r="S5580" s="5" t="str">
        <f>IFERROR(__xludf.DUMMYFUNCTION("""COMPUTED_VALUE"""),"Power Rangers Super Samurai")</f>
        <v>Power Rangers Super Samurai</v>
      </c>
      <c r="V5580" s="5"/>
      <c r="Y5580" s="5" t="str">
        <f>IFERROR(__xludf.DUMMYFUNCTION("REGEXEXTRACT(J5580, ""^\d+"")"),"1")</f>
        <v>1</v>
      </c>
      <c r="Z5580" s="5" t="str">
        <f>IFERROR(__xludf.DUMMYFUNCTION("REGEXEXTRACT(J5580, ""[A-Za-z ]+$"")")," Season")</f>
        <v> Season</v>
      </c>
      <c r="AA5580" s="5" t="str">
        <f>IFERROR(__xludf.DUMMYFUNCTION("IF(REGEXMATCH(Z5580, ""Season""), ""TV Show"", ""Movie"")"),"TV Show")</f>
        <v>TV Show</v>
      </c>
    </row>
    <row r="5581">
      <c r="A5581" s="1" t="s">
        <v>28532</v>
      </c>
      <c r="B5581" s="1" t="s">
        <v>27</v>
      </c>
      <c r="C5581" s="1" t="s">
        <v>28533</v>
      </c>
      <c r="D5581" s="1" t="s">
        <v>28534</v>
      </c>
      <c r="E5581" s="1" t="s">
        <v>28535</v>
      </c>
      <c r="F5581" s="1" t="s">
        <v>30</v>
      </c>
      <c r="G5581" s="1" t="s">
        <v>28526</v>
      </c>
      <c r="H5581" s="1">
        <v>2017.0</v>
      </c>
      <c r="I5581" s="1" t="s">
        <v>42</v>
      </c>
      <c r="J5581" s="1" t="s">
        <v>447</v>
      </c>
      <c r="K5581" s="1" t="s">
        <v>1320</v>
      </c>
      <c r="L5581" s="1" t="s">
        <v>28536</v>
      </c>
      <c r="M5581" s="2" t="s">
        <v>12</v>
      </c>
      <c r="N5581" s="4">
        <f t="shared" si="1"/>
        <v>42804</v>
      </c>
      <c r="O5581" s="5" t="str">
        <f>IFERROR(__xludf.DUMMYFUNCTION("IF(REGEXMATCH(TRIM(I5581), ""^\d+\s*min""), ""Unclassified"", IF(I5581 = """", ""NR"", I5581))"),"TV-MA")</f>
        <v>TV-MA</v>
      </c>
      <c r="R5581" s="5" t="str">
        <f t="shared" si="2"/>
        <v>Burning Sands</v>
      </c>
      <c r="S5581" s="5" t="str">
        <f>IFERROR(__xludf.DUMMYFUNCTION("""COMPUTED_VALUE"""),"Power Rangers Super Samurai: Stuck On Christmas")</f>
        <v>Power Rangers Super Samurai: Stuck On Christmas</v>
      </c>
      <c r="V5581" s="5"/>
      <c r="Y5581" s="5" t="str">
        <f>IFERROR(__xludf.DUMMYFUNCTION("REGEXEXTRACT(J5581, ""^\d+"")"),"102")</f>
        <v>102</v>
      </c>
      <c r="Z5581" s="5" t="str">
        <f>IFERROR(__xludf.DUMMYFUNCTION("REGEXEXTRACT(J5581, ""[A-Za-z ]+$"")")," min")</f>
        <v> min</v>
      </c>
      <c r="AA5581" s="5" t="str">
        <f>IFERROR(__xludf.DUMMYFUNCTION("IF(REGEXMATCH(Z5581, ""Season""), ""TV Show"", ""Movie"")"),"Movie")</f>
        <v>Movie</v>
      </c>
    </row>
    <row r="5582">
      <c r="A5582" s="1" t="s">
        <v>28537</v>
      </c>
      <c r="B5582" s="1" t="s">
        <v>37</v>
      </c>
      <c r="C5582" s="1" t="s">
        <v>28538</v>
      </c>
      <c r="E5582" s="1" t="s">
        <v>28539</v>
      </c>
      <c r="F5582" s="1" t="s">
        <v>749</v>
      </c>
      <c r="G5582" s="1" t="s">
        <v>28526</v>
      </c>
      <c r="H5582" s="1">
        <v>2016.0</v>
      </c>
      <c r="I5582" s="1" t="s">
        <v>97</v>
      </c>
      <c r="J5582" s="1" t="s">
        <v>51</v>
      </c>
      <c r="K5582" s="1" t="s">
        <v>7164</v>
      </c>
      <c r="L5582" s="1" t="s">
        <v>28540</v>
      </c>
      <c r="M5582" s="2" t="s">
        <v>12</v>
      </c>
      <c r="N5582" s="4">
        <f t="shared" si="1"/>
        <v>42804</v>
      </c>
      <c r="O5582" s="5" t="str">
        <f>IFERROR(__xludf.DUMMYFUNCTION("IF(REGEXMATCH(TRIM(I5582), ""^\d+\s*min""), ""Unclassified"", IF(I5582 = """", ""NR"", I5582))"),"TV-14")</f>
        <v>TV-14</v>
      </c>
      <c r="R5582" s="5" t="str">
        <f t="shared" si="2"/>
        <v>One More Time</v>
      </c>
      <c r="S5582" s="5" t="str">
        <f>IFERROR(__xludf.DUMMYFUNCTION("""COMPUTED_VALUE"""),"Power Rangers Super Samurai: Trickster Treat")</f>
        <v>Power Rangers Super Samurai: Trickster Treat</v>
      </c>
      <c r="V5582" s="5"/>
      <c r="Y5582" s="5" t="str">
        <f>IFERROR(__xludf.DUMMYFUNCTION("REGEXEXTRACT(J5582, ""^\d+"")"),"1")</f>
        <v>1</v>
      </c>
      <c r="Z5582" s="5" t="str">
        <f>IFERROR(__xludf.DUMMYFUNCTION("REGEXEXTRACT(J5582, ""[A-Za-z ]+$"")")," Season")</f>
        <v> Season</v>
      </c>
      <c r="AA5582" s="5" t="str">
        <f>IFERROR(__xludf.DUMMYFUNCTION("IF(REGEXMATCH(Z5582, ""Season""), ""TV Show"", ""Movie"")"),"TV Show")</f>
        <v>TV Show</v>
      </c>
    </row>
    <row r="5583">
      <c r="A5583" s="1" t="s">
        <v>28541</v>
      </c>
      <c r="B5583" s="1" t="s">
        <v>27</v>
      </c>
      <c r="C5583" s="1" t="s">
        <v>28542</v>
      </c>
      <c r="D5583" s="1" t="s">
        <v>5463</v>
      </c>
      <c r="E5583" s="1" t="s">
        <v>28543</v>
      </c>
      <c r="F5583" s="1" t="s">
        <v>188</v>
      </c>
      <c r="G5583" s="1" t="s">
        <v>28526</v>
      </c>
      <c r="H5583" s="1">
        <v>2013.0</v>
      </c>
      <c r="I5583" s="1" t="s">
        <v>136</v>
      </c>
      <c r="J5583" s="1" t="s">
        <v>870</v>
      </c>
      <c r="K5583" s="1" t="s">
        <v>679</v>
      </c>
      <c r="L5583" s="1" t="s">
        <v>28544</v>
      </c>
      <c r="M5583" s="2" t="s">
        <v>12</v>
      </c>
      <c r="N5583" s="4">
        <f t="shared" si="1"/>
        <v>42804</v>
      </c>
      <c r="O5583" s="5" t="str">
        <f>IFERROR(__xludf.DUMMYFUNCTION("IF(REGEXMATCH(TRIM(I5583), ""^\d+\s*min""), ""Unclassified"", IF(I5583 = """", ""NR"", I5583))"),"TV-PG")</f>
        <v>TV-PG</v>
      </c>
      <c r="R5583" s="5" t="str">
        <f t="shared" si="2"/>
        <v>The Butterfly'S Dream</v>
      </c>
      <c r="S5583" s="5" t="str">
        <f>IFERROR(__xludf.DUMMYFUNCTION("""COMPUTED_VALUE"""),"Power Rangers Time Force")</f>
        <v>Power Rangers Time Force</v>
      </c>
      <c r="V5583" s="5"/>
      <c r="Y5583" s="5" t="str">
        <f>IFERROR(__xludf.DUMMYFUNCTION("REGEXEXTRACT(J5583, ""^\d+"")"),"118")</f>
        <v>118</v>
      </c>
      <c r="Z5583" s="5" t="str">
        <f>IFERROR(__xludf.DUMMYFUNCTION("REGEXEXTRACT(J5583, ""[A-Za-z ]+$"")")," min")</f>
        <v> min</v>
      </c>
      <c r="AA5583" s="5" t="str">
        <f>IFERROR(__xludf.DUMMYFUNCTION("IF(REGEXMATCH(Z5583, ""Season""), ""TV Show"", ""Movie"")"),"Movie")</f>
        <v>Movie</v>
      </c>
    </row>
    <row r="5584">
      <c r="A5584" s="1" t="s">
        <v>28545</v>
      </c>
      <c r="B5584" s="1" t="s">
        <v>27</v>
      </c>
      <c r="C5584" s="1" t="s">
        <v>28546</v>
      </c>
      <c r="D5584" s="1" t="s">
        <v>1670</v>
      </c>
      <c r="E5584" s="1" t="s">
        <v>1670</v>
      </c>
      <c r="F5584" s="1" t="s">
        <v>30</v>
      </c>
      <c r="G5584" s="1" t="s">
        <v>28547</v>
      </c>
      <c r="H5584" s="1">
        <v>2017.0</v>
      </c>
      <c r="I5584" s="1" t="s">
        <v>42</v>
      </c>
      <c r="J5584" s="1" t="s">
        <v>8832</v>
      </c>
      <c r="K5584" s="1" t="s">
        <v>1839</v>
      </c>
      <c r="L5584" s="1" t="s">
        <v>28548</v>
      </c>
      <c r="M5584" s="2" t="s">
        <v>12</v>
      </c>
      <c r="N5584" s="4">
        <f t="shared" si="1"/>
        <v>42801</v>
      </c>
      <c r="O5584" s="5" t="str">
        <f>IFERROR(__xludf.DUMMYFUNCTION("IF(REGEXMATCH(TRIM(I5584), ""^\d+\s*min""), ""Unclassified"", IF(I5584 = """", ""NR"", I5584))"),"TV-MA")</f>
        <v>TV-MA</v>
      </c>
      <c r="R5584" s="5" t="str">
        <f t="shared" si="2"/>
        <v>Amy Schumer: The Leather Special</v>
      </c>
      <c r="S5584" s="5" t="str">
        <f>IFERROR(__xludf.DUMMYFUNCTION("""COMPUTED_VALUE"""),"Power Rangers Turbo")</f>
        <v>Power Rangers Turbo</v>
      </c>
      <c r="V5584" s="5"/>
      <c r="Y5584" s="5" t="str">
        <f>IFERROR(__xludf.DUMMYFUNCTION("REGEXEXTRACT(J5584, ""^\d+"")"),"57")</f>
        <v>57</v>
      </c>
      <c r="Z5584" s="5" t="str">
        <f>IFERROR(__xludf.DUMMYFUNCTION("REGEXEXTRACT(J5584, ""[A-Za-z ]+$"")")," min")</f>
        <v> min</v>
      </c>
      <c r="AA5584" s="5" t="str">
        <f>IFERROR(__xludf.DUMMYFUNCTION("IF(REGEXMATCH(Z5584, ""Season""), ""TV Show"", ""Movie"")"),"Movie")</f>
        <v>Movie</v>
      </c>
    </row>
    <row r="5585">
      <c r="A5585" s="1" t="s">
        <v>28549</v>
      </c>
      <c r="B5585" s="1" t="s">
        <v>37</v>
      </c>
      <c r="C5585" s="1" t="s">
        <v>28550</v>
      </c>
      <c r="E5585" s="1" t="s">
        <v>28551</v>
      </c>
      <c r="F5585" s="1" t="s">
        <v>96</v>
      </c>
      <c r="G5585" s="1" t="s">
        <v>28552</v>
      </c>
      <c r="H5585" s="1">
        <v>2010.0</v>
      </c>
      <c r="I5585" s="1" t="s">
        <v>97</v>
      </c>
      <c r="J5585" s="1" t="s">
        <v>51</v>
      </c>
      <c r="K5585" s="1" t="s">
        <v>402</v>
      </c>
      <c r="L5585" s="1" t="s">
        <v>28553</v>
      </c>
      <c r="M5585" s="2" t="s">
        <v>12</v>
      </c>
      <c r="N5585" s="4">
        <f t="shared" si="1"/>
        <v>42795</v>
      </c>
      <c r="O5585" s="5" t="str">
        <f>IFERROR(__xludf.DUMMYFUNCTION("IF(REGEXMATCH(TRIM(I5585), ""^\d+\s*min""), ""Unclassified"", IF(I5585 = """", ""NR"", I5585))"),"TV-14")</f>
        <v>TV-14</v>
      </c>
      <c r="R5585" s="5" t="str">
        <f t="shared" si="2"/>
        <v>Love Is In The Air</v>
      </c>
      <c r="S5585" s="5" t="str">
        <f>IFERROR(__xludf.DUMMYFUNCTION("""COMPUTED_VALUE"""),"Power Rangers Wild Force")</f>
        <v>Power Rangers Wild Force</v>
      </c>
      <c r="V5585" s="5"/>
      <c r="Y5585" s="5" t="str">
        <f>IFERROR(__xludf.DUMMYFUNCTION("REGEXEXTRACT(J5585, ""^\d+"")"),"1")</f>
        <v>1</v>
      </c>
      <c r="Z5585" s="5" t="str">
        <f>IFERROR(__xludf.DUMMYFUNCTION("REGEXEXTRACT(J5585, ""[A-Za-z ]+$"")")," Season")</f>
        <v> Season</v>
      </c>
      <c r="AA5585" s="5" t="str">
        <f>IFERROR(__xludf.DUMMYFUNCTION("IF(REGEXMATCH(Z5585, ""Season""), ""TV Show"", ""Movie"")"),"TV Show")</f>
        <v>TV Show</v>
      </c>
    </row>
    <row r="5586">
      <c r="A5586" s="1" t="s">
        <v>28554</v>
      </c>
      <c r="B5586" s="1" t="s">
        <v>27</v>
      </c>
      <c r="C5586" s="1" t="s">
        <v>28555</v>
      </c>
      <c r="D5586" s="1" t="s">
        <v>20765</v>
      </c>
      <c r="E5586" s="1" t="s">
        <v>28556</v>
      </c>
      <c r="F5586" s="1" t="s">
        <v>63</v>
      </c>
      <c r="G5586" s="1" t="s">
        <v>28552</v>
      </c>
      <c r="H5586" s="1">
        <v>2016.0</v>
      </c>
      <c r="I5586" s="1" t="s">
        <v>42</v>
      </c>
      <c r="J5586" s="1" t="s">
        <v>170</v>
      </c>
      <c r="K5586" s="1" t="s">
        <v>679</v>
      </c>
      <c r="L5586" s="1" t="s">
        <v>28557</v>
      </c>
      <c r="M5586" s="2" t="s">
        <v>12</v>
      </c>
      <c r="N5586" s="4">
        <f t="shared" si="1"/>
        <v>42795</v>
      </c>
      <c r="O5586" s="5" t="str">
        <f>IFERROR(__xludf.DUMMYFUNCTION("IF(REGEXMATCH(TRIM(I5586), ""^\d+\s*min""), ""Unclassified"", IF(I5586 = """", ""NR"", I5586))"),"TV-MA")</f>
        <v>TV-MA</v>
      </c>
      <c r="R5586" s="5" t="str">
        <f t="shared" si="2"/>
        <v>Nila</v>
      </c>
      <c r="S5586" s="5" t="str">
        <f>IFERROR(__xludf.DUMMYFUNCTION("""COMPUTED_VALUE"""),"Power Rangers Zeo")</f>
        <v>Power Rangers Zeo</v>
      </c>
      <c r="V5586" s="5"/>
      <c r="Y5586" s="5" t="str">
        <f>IFERROR(__xludf.DUMMYFUNCTION("REGEXEXTRACT(J5586, ""^\d+"")"),"94")</f>
        <v>94</v>
      </c>
      <c r="Z5586" s="5" t="str">
        <f>IFERROR(__xludf.DUMMYFUNCTION("REGEXEXTRACT(J5586, ""[A-Za-z ]+$"")")," min")</f>
        <v> min</v>
      </c>
      <c r="AA5586" s="5" t="str">
        <f>IFERROR(__xludf.DUMMYFUNCTION("IF(REGEXMATCH(Z5586, ""Season""), ""TV Show"", ""Movie"")"),"Movie")</f>
        <v>Movie</v>
      </c>
    </row>
    <row r="5587">
      <c r="A5587" s="1" t="s">
        <v>28558</v>
      </c>
      <c r="B5587" s="1" t="s">
        <v>37</v>
      </c>
      <c r="C5587" s="1" t="s">
        <v>28559</v>
      </c>
      <c r="E5587" s="1" t="s">
        <v>28560</v>
      </c>
      <c r="F5587" s="1" t="s">
        <v>749</v>
      </c>
      <c r="G5587" s="1" t="s">
        <v>28552</v>
      </c>
      <c r="H5587" s="1">
        <v>2016.0</v>
      </c>
      <c r="I5587" s="1" t="s">
        <v>42</v>
      </c>
      <c r="J5587" s="1" t="s">
        <v>51</v>
      </c>
      <c r="K5587" s="1" t="s">
        <v>14196</v>
      </c>
      <c r="L5587" s="1" t="s">
        <v>28561</v>
      </c>
      <c r="M5587" s="2" t="s">
        <v>12</v>
      </c>
      <c r="N5587" s="4">
        <f t="shared" si="1"/>
        <v>42795</v>
      </c>
      <c r="O5587" s="5" t="str">
        <f>IFERROR(__xludf.DUMMYFUNCTION("IF(REGEXMATCH(TRIM(I5587), ""^\d+\s*min""), ""Unclassified"", IF(I5587 = """", ""NR"", I5587))"),"TV-MA")</f>
        <v>TV-MA</v>
      </c>
      <c r="R5587" s="5" t="str">
        <f t="shared" si="2"/>
        <v>Tong: Memories</v>
      </c>
      <c r="S5587" s="5" t="str">
        <f>IFERROR(__xludf.DUMMYFUNCTION("""COMPUTED_VALUE"""),"Power Rangers: Megaforce")</f>
        <v>Power Rangers: Megaforce</v>
      </c>
      <c r="V5587" s="5"/>
      <c r="Y5587" s="5" t="str">
        <f>IFERROR(__xludf.DUMMYFUNCTION("REGEXEXTRACT(J5587, ""^\d+"")"),"1")</f>
        <v>1</v>
      </c>
      <c r="Z5587" s="5" t="str">
        <f>IFERROR(__xludf.DUMMYFUNCTION("REGEXEXTRACT(J5587, ""[A-Za-z ]+$"")")," Season")</f>
        <v> Season</v>
      </c>
      <c r="AA5587" s="5" t="str">
        <f>IFERROR(__xludf.DUMMYFUNCTION("IF(REGEXMATCH(Z5587, ""Season""), ""TV Show"", ""Movie"")"),"TV Show")</f>
        <v>TV Show</v>
      </c>
    </row>
    <row r="5588">
      <c r="A5588" s="1" t="s">
        <v>28562</v>
      </c>
      <c r="B5588" s="1" t="s">
        <v>27</v>
      </c>
      <c r="C5588" s="1" t="s">
        <v>28563</v>
      </c>
      <c r="D5588" s="1" t="s">
        <v>20816</v>
      </c>
      <c r="E5588" s="1" t="s">
        <v>14462</v>
      </c>
      <c r="F5588" s="1" t="s">
        <v>30</v>
      </c>
      <c r="G5588" s="1" t="s">
        <v>28564</v>
      </c>
      <c r="H5588" s="1">
        <v>2017.0</v>
      </c>
      <c r="I5588" s="1" t="s">
        <v>42</v>
      </c>
      <c r="J5588" s="1" t="s">
        <v>5650</v>
      </c>
      <c r="K5588" s="1" t="s">
        <v>1839</v>
      </c>
      <c r="L5588" s="1" t="s">
        <v>28565</v>
      </c>
      <c r="M5588" s="2" t="s">
        <v>12</v>
      </c>
      <c r="N5588" s="4">
        <f t="shared" si="1"/>
        <v>42794</v>
      </c>
      <c r="O5588" s="5" t="str">
        <f>IFERROR(__xludf.DUMMYFUNCTION("IF(REGEXMATCH(TRIM(I5588), ""^\d+\s*min""), ""Unclassified"", IF(I5588 = """", ""NR"", I5588))"),"TV-MA")</f>
        <v>TV-MA</v>
      </c>
      <c r="R5588" s="5" t="str">
        <f t="shared" si="2"/>
        <v>Mike Birbiglia: Thank God For Jokes</v>
      </c>
      <c r="S5588" s="5" t="str">
        <f>IFERROR(__xludf.DUMMYFUNCTION("""COMPUTED_VALUE"""),"Power Rangers: Megaforce: Raising Spirits")</f>
        <v>Power Rangers: Megaforce: Raising Spirits</v>
      </c>
      <c r="V5588" s="5"/>
      <c r="Y5588" s="5" t="str">
        <f>IFERROR(__xludf.DUMMYFUNCTION("REGEXEXTRACT(J5588, ""^\d+"")"),"71")</f>
        <v>71</v>
      </c>
      <c r="Z5588" s="5" t="str">
        <f>IFERROR(__xludf.DUMMYFUNCTION("REGEXEXTRACT(J5588, ""[A-Za-z ]+$"")")," min")</f>
        <v> min</v>
      </c>
      <c r="AA5588" s="5" t="str">
        <f>IFERROR(__xludf.DUMMYFUNCTION("IF(REGEXMATCH(Z5588, ""Season""), ""TV Show"", ""Movie"")"),"Movie")</f>
        <v>Movie</v>
      </c>
    </row>
    <row r="5589">
      <c r="A5589" s="1" t="s">
        <v>28566</v>
      </c>
      <c r="B5589" s="1" t="s">
        <v>27</v>
      </c>
      <c r="C5589" s="1" t="s">
        <v>28567</v>
      </c>
      <c r="D5589" s="1" t="s">
        <v>258</v>
      </c>
      <c r="E5589" s="1" t="s">
        <v>28568</v>
      </c>
      <c r="F5589" s="1" t="s">
        <v>63</v>
      </c>
      <c r="G5589" s="1" t="s">
        <v>28569</v>
      </c>
      <c r="H5589" s="1">
        <v>2016.0</v>
      </c>
      <c r="I5589" s="1" t="s">
        <v>97</v>
      </c>
      <c r="J5589" s="1" t="s">
        <v>2566</v>
      </c>
      <c r="K5589" s="1" t="s">
        <v>1066</v>
      </c>
      <c r="L5589" s="1" t="s">
        <v>28570</v>
      </c>
      <c r="M5589" s="2" t="s">
        <v>12</v>
      </c>
      <c r="N5589" s="4">
        <f t="shared" si="1"/>
        <v>42793</v>
      </c>
      <c r="O5589" s="5" t="str">
        <f>IFERROR(__xludf.DUMMYFUNCTION("IF(REGEXMATCH(TRIM(I5589), ""^\d+\s*min""), ""Unclassified"", IF(I5589 = """", ""NR"", I5589))"),"TV-14")</f>
        <v>TV-14</v>
      </c>
      <c r="R5589" s="5" t="str">
        <f t="shared" si="2"/>
        <v>Force 2</v>
      </c>
      <c r="S5589" s="5" t="str">
        <f>IFERROR(__xludf.DUMMYFUNCTION("""COMPUTED_VALUE"""),"Power Rangers: Megaforce: The Robo Knight Before Christmas")</f>
        <v>Power Rangers: Megaforce: The Robo Knight Before Christmas</v>
      </c>
      <c r="V5589" s="5"/>
      <c r="Y5589" s="5" t="str">
        <f>IFERROR(__xludf.DUMMYFUNCTION("REGEXEXTRACT(J5589, ""^\d+"")"),"123")</f>
        <v>123</v>
      </c>
      <c r="Z5589" s="5" t="str">
        <f>IFERROR(__xludf.DUMMYFUNCTION("REGEXEXTRACT(J5589, ""[A-Za-z ]+$"")")," min")</f>
        <v> min</v>
      </c>
      <c r="AA5589" s="5" t="str">
        <f>IFERROR(__xludf.DUMMYFUNCTION("IF(REGEXMATCH(Z5589, ""Season""), ""TV Show"", ""Movie"")"),"Movie")</f>
        <v>Movie</v>
      </c>
    </row>
    <row r="5590">
      <c r="A5590" s="1" t="s">
        <v>28571</v>
      </c>
      <c r="B5590" s="1" t="s">
        <v>27</v>
      </c>
      <c r="C5590" s="1" t="s">
        <v>28572</v>
      </c>
      <c r="D5590" s="1" t="s">
        <v>13896</v>
      </c>
      <c r="E5590" s="1" t="s">
        <v>28573</v>
      </c>
      <c r="F5590" s="1" t="s">
        <v>1992</v>
      </c>
      <c r="G5590" s="1" t="s">
        <v>28574</v>
      </c>
      <c r="H5590" s="1">
        <v>2015.0</v>
      </c>
      <c r="I5590" s="1" t="s">
        <v>42</v>
      </c>
      <c r="J5590" s="1" t="s">
        <v>247</v>
      </c>
      <c r="K5590" s="1" t="s">
        <v>128</v>
      </c>
      <c r="L5590" s="1" t="s">
        <v>28575</v>
      </c>
      <c r="M5590" s="2" t="s">
        <v>12</v>
      </c>
      <c r="N5590" s="4">
        <f t="shared" si="1"/>
        <v>42792</v>
      </c>
      <c r="O5590" s="5" t="str">
        <f>IFERROR(__xludf.DUMMYFUNCTION("IF(REGEXMATCH(TRIM(I5590), ""^\d+\s*min""), ""Unclassified"", IF(I5590 = """", ""NR"", I5590))"),"TV-MA")</f>
        <v>TV-MA</v>
      </c>
      <c r="R5590" s="5" t="str">
        <f t="shared" si="2"/>
        <v>Jonas</v>
      </c>
      <c r="S5590" s="5" t="str">
        <f>IFERROR(__xludf.DUMMYFUNCTION("""COMPUTED_VALUE"""),"Prague")</f>
        <v>Prague</v>
      </c>
      <c r="V5590" s="5"/>
      <c r="Y5590" s="5" t="str">
        <f>IFERROR(__xludf.DUMMYFUNCTION("REGEXEXTRACT(J5590, ""^\d+"")"),"97")</f>
        <v>97</v>
      </c>
      <c r="Z5590" s="5" t="str">
        <f>IFERROR(__xludf.DUMMYFUNCTION("REGEXEXTRACT(J5590, ""[A-Za-z ]+$"")")," min")</f>
        <v> min</v>
      </c>
      <c r="AA5590" s="5" t="str">
        <f>IFERROR(__xludf.DUMMYFUNCTION("IF(REGEXMATCH(Z5590, ""Season""), ""TV Show"", ""Movie"")"),"Movie")</f>
        <v>Movie</v>
      </c>
    </row>
    <row r="5591">
      <c r="A5591" s="1" t="s">
        <v>28576</v>
      </c>
      <c r="B5591" s="1" t="s">
        <v>27</v>
      </c>
      <c r="C5591" s="1" t="s">
        <v>28577</v>
      </c>
      <c r="D5591" s="1" t="s">
        <v>22764</v>
      </c>
      <c r="E5591" s="1" t="s">
        <v>28578</v>
      </c>
      <c r="F5591" s="1" t="s">
        <v>1992</v>
      </c>
      <c r="G5591" s="1" t="s">
        <v>28579</v>
      </c>
      <c r="H5591" s="1">
        <v>2015.0</v>
      </c>
      <c r="I5591" s="1" t="s">
        <v>42</v>
      </c>
      <c r="J5591" s="1" t="s">
        <v>416</v>
      </c>
      <c r="K5591" s="1" t="s">
        <v>1066</v>
      </c>
      <c r="L5591" s="1" t="s">
        <v>28580</v>
      </c>
      <c r="M5591" s="2" t="s">
        <v>12</v>
      </c>
      <c r="N5591" s="4">
        <f t="shared" si="1"/>
        <v>42791</v>
      </c>
      <c r="O5591" s="5" t="str">
        <f>IFERROR(__xludf.DUMMYFUNCTION("IF(REGEXMATCH(TRIM(I5591), ""^\d+\s*min""), ""Unclassified"", IF(I5591 = """", ""NR"", I5591))"),"TV-MA")</f>
        <v>TV-MA</v>
      </c>
      <c r="R5591" s="5" t="str">
        <f t="shared" si="2"/>
        <v>Operações Especiais</v>
      </c>
      <c r="S5591" s="5" t="str">
        <f>IFERROR(__xludf.DUMMYFUNCTION("""COMPUTED_VALUE"""),"Pranaam")</f>
        <v>Pranaam</v>
      </c>
      <c r="V5591" s="5"/>
      <c r="Y5591" s="5" t="str">
        <f>IFERROR(__xludf.DUMMYFUNCTION("REGEXEXTRACT(J5591, ""^\d+"")"),"99")</f>
        <v>99</v>
      </c>
      <c r="Z5591" s="5" t="str">
        <f>IFERROR(__xludf.DUMMYFUNCTION("REGEXEXTRACT(J5591, ""[A-Za-z ]+$"")")," min")</f>
        <v> min</v>
      </c>
      <c r="AA5591" s="5" t="str">
        <f>IFERROR(__xludf.DUMMYFUNCTION("IF(REGEXMATCH(Z5591, ""Season""), ""TV Show"", ""Movie"")"),"Movie")</f>
        <v>Movie</v>
      </c>
    </row>
    <row r="5592">
      <c r="A5592" s="1" t="s">
        <v>28581</v>
      </c>
      <c r="B5592" s="1" t="s">
        <v>27</v>
      </c>
      <c r="C5592" s="1" t="s">
        <v>28582</v>
      </c>
      <c r="D5592" s="1" t="s">
        <v>14204</v>
      </c>
      <c r="E5592" s="1" t="s">
        <v>28583</v>
      </c>
      <c r="F5592" s="1" t="s">
        <v>30</v>
      </c>
      <c r="G5592" s="1" t="s">
        <v>28584</v>
      </c>
      <c r="H5592" s="1">
        <v>2017.0</v>
      </c>
      <c r="I5592" s="1" t="s">
        <v>42</v>
      </c>
      <c r="J5592" s="1" t="s">
        <v>247</v>
      </c>
      <c r="K5592" s="1" t="s">
        <v>2327</v>
      </c>
      <c r="L5592" s="1" t="s">
        <v>28585</v>
      </c>
      <c r="M5592" s="2" t="s">
        <v>12</v>
      </c>
      <c r="N5592" s="4">
        <f t="shared" si="1"/>
        <v>42790</v>
      </c>
      <c r="O5592" s="5" t="str">
        <f>IFERROR(__xludf.DUMMYFUNCTION("IF(REGEXMATCH(TRIM(I5592), ""^\d+\s*min""), ""Unclassified"", IF(I5592 = """", ""NR"", I5592))"),"TV-MA")</f>
        <v>TV-MA</v>
      </c>
      <c r="R5592" s="5" t="str">
        <f t="shared" si="2"/>
        <v>I Don'T Feel At Home In This World Anymore</v>
      </c>
      <c r="S5592" s="5" t="str">
        <f>IFERROR(__xludf.DUMMYFUNCTION("""COMPUTED_VALUE"""),"Prank Encounters")</f>
        <v>Prank Encounters</v>
      </c>
      <c r="V5592" s="5"/>
      <c r="Y5592" s="5" t="str">
        <f>IFERROR(__xludf.DUMMYFUNCTION("REGEXEXTRACT(J5592, ""^\d+"")"),"97")</f>
        <v>97</v>
      </c>
      <c r="Z5592" s="5" t="str">
        <f>IFERROR(__xludf.DUMMYFUNCTION("REGEXEXTRACT(J5592, ""[A-Za-z ]+$"")")," min")</f>
        <v> min</v>
      </c>
      <c r="AA5592" s="5" t="str">
        <f>IFERROR(__xludf.DUMMYFUNCTION("IF(REGEXMATCH(Z5592, ""Season""), ""TV Show"", ""Movie"")"),"Movie")</f>
        <v>Movie</v>
      </c>
    </row>
    <row r="5593">
      <c r="A5593" s="1" t="s">
        <v>28586</v>
      </c>
      <c r="B5593" s="1" t="s">
        <v>37</v>
      </c>
      <c r="C5593" s="1" t="s">
        <v>28587</v>
      </c>
      <c r="E5593" s="1" t="s">
        <v>28588</v>
      </c>
      <c r="F5593" s="1" t="s">
        <v>162</v>
      </c>
      <c r="G5593" s="1" t="s">
        <v>28584</v>
      </c>
      <c r="H5593" s="1">
        <v>2017.0</v>
      </c>
      <c r="I5593" s="1" t="s">
        <v>289</v>
      </c>
      <c r="J5593" s="1" t="s">
        <v>51</v>
      </c>
      <c r="K5593" s="1" t="s">
        <v>290</v>
      </c>
      <c r="L5593" s="1" t="s">
        <v>28589</v>
      </c>
      <c r="M5593" s="2" t="s">
        <v>12</v>
      </c>
      <c r="N5593" s="4">
        <f t="shared" si="1"/>
        <v>42790</v>
      </c>
      <c r="O5593" s="5" t="str">
        <f>IFERROR(__xludf.DUMMYFUNCTION("IF(REGEXMATCH(TRIM(I5593), ""^\d+\s*min""), ""Unclassified"", IF(I5593 = """", ""NR"", I5593))"),"TV-Y7")</f>
        <v>TV-Y7</v>
      </c>
      <c r="R5593" s="5" t="str">
        <f t="shared" si="2"/>
        <v>Legend Quest</v>
      </c>
      <c r="S5593" s="5" t="str">
        <f>IFERROR(__xludf.DUMMYFUNCTION("""COMPUTED_VALUE"""),"Pray Away")</f>
        <v>Pray Away</v>
      </c>
      <c r="V5593" s="5"/>
      <c r="Y5593" s="5" t="str">
        <f>IFERROR(__xludf.DUMMYFUNCTION("REGEXEXTRACT(J5593, ""^\d+"")"),"1")</f>
        <v>1</v>
      </c>
      <c r="Z5593" s="5" t="str">
        <f>IFERROR(__xludf.DUMMYFUNCTION("REGEXEXTRACT(J5593, ""[A-Za-z ]+$"")")," Season")</f>
        <v> Season</v>
      </c>
      <c r="AA5593" s="5" t="str">
        <f>IFERROR(__xludf.DUMMYFUNCTION("IF(REGEXMATCH(Z5593, ""Season""), ""TV Show"", ""Movie"")"),"TV Show")</f>
        <v>TV Show</v>
      </c>
    </row>
    <row r="5594">
      <c r="A5594" s="1" t="s">
        <v>28590</v>
      </c>
      <c r="B5594" s="1" t="s">
        <v>37</v>
      </c>
      <c r="C5594" s="1" t="s">
        <v>28591</v>
      </c>
      <c r="E5594" s="1" t="s">
        <v>28592</v>
      </c>
      <c r="F5594" s="1" t="s">
        <v>749</v>
      </c>
      <c r="G5594" s="1" t="s">
        <v>28584</v>
      </c>
      <c r="H5594" s="1">
        <v>2016.0</v>
      </c>
      <c r="I5594" s="1" t="s">
        <v>97</v>
      </c>
      <c r="J5594" s="1" t="s">
        <v>51</v>
      </c>
      <c r="K5594" s="1" t="s">
        <v>4219</v>
      </c>
      <c r="L5594" s="1" t="s">
        <v>28593</v>
      </c>
      <c r="M5594" s="2" t="s">
        <v>12</v>
      </c>
      <c r="N5594" s="4">
        <f t="shared" si="1"/>
        <v>42790</v>
      </c>
      <c r="O5594" s="5" t="str">
        <f>IFERROR(__xludf.DUMMYFUNCTION("IF(REGEXMATCH(TRIM(I5594), ""^\d+\s*min""), ""Unclassified"", IF(I5594 = """", ""NR"", I5594))"),"TV-14")</f>
        <v>TV-14</v>
      </c>
      <c r="R5594" s="5" t="str">
        <f t="shared" si="2"/>
        <v>The Sound Of Your Heart</v>
      </c>
      <c r="S5594" s="5" t="str">
        <f>IFERROR(__xludf.DUMMYFUNCTION("""COMPUTED_VALUE"""),"Prelude To War")</f>
        <v>Prelude To War</v>
      </c>
      <c r="V5594" s="5"/>
      <c r="Y5594" s="5" t="str">
        <f>IFERROR(__xludf.DUMMYFUNCTION("REGEXEXTRACT(J5594, ""^\d+"")"),"1")</f>
        <v>1</v>
      </c>
      <c r="Z5594" s="5" t="str">
        <f>IFERROR(__xludf.DUMMYFUNCTION("REGEXEXTRACT(J5594, ""[A-Za-z ]+$"")")," Season")</f>
        <v> Season</v>
      </c>
      <c r="AA5594" s="5" t="str">
        <f>IFERROR(__xludf.DUMMYFUNCTION("IF(REGEXMATCH(Z5594, ""Season""), ""TV Show"", ""Movie"")"),"TV Show")</f>
        <v>TV Show</v>
      </c>
    </row>
    <row r="5595">
      <c r="A5595" s="1" t="s">
        <v>28594</v>
      </c>
      <c r="B5595" s="1" t="s">
        <v>37</v>
      </c>
      <c r="C5595" s="1" t="s">
        <v>28595</v>
      </c>
      <c r="E5595" s="1" t="s">
        <v>28596</v>
      </c>
      <c r="F5595" s="1" t="s">
        <v>188</v>
      </c>
      <c r="G5595" s="1" t="s">
        <v>28597</v>
      </c>
      <c r="H5595" s="1">
        <v>2015.0</v>
      </c>
      <c r="I5595" s="1" t="s">
        <v>136</v>
      </c>
      <c r="J5595" s="1" t="s">
        <v>276</v>
      </c>
      <c r="K5595" s="1" t="s">
        <v>64</v>
      </c>
      <c r="L5595" s="1" t="s">
        <v>28598</v>
      </c>
      <c r="M5595" s="2" t="s">
        <v>12</v>
      </c>
      <c r="N5595" s="4">
        <f t="shared" si="1"/>
        <v>42788</v>
      </c>
      <c r="O5595" s="5" t="str">
        <f>IFERROR(__xludf.DUMMYFUNCTION("IF(REGEXMATCH(TRIM(I5595), ""^\d+\s*min""), ""Unclassified"", IF(I5595 = """", ""NR"", I5595))"),"TV-PG")</f>
        <v>TV-PG</v>
      </c>
      <c r="R5595" s="5" t="str">
        <f t="shared" si="2"/>
        <v>Love Me As I Am</v>
      </c>
      <c r="S5595" s="5" t="str">
        <f>IFERROR(__xludf.DUMMYFUNCTION("""COMPUTED_VALUE"""),"Prem Ratan Dhan Payo")</f>
        <v>Prem Ratan Dhan Payo</v>
      </c>
      <c r="V5595" s="5"/>
      <c r="Y5595" s="5" t="str">
        <f>IFERROR(__xludf.DUMMYFUNCTION("REGEXEXTRACT(J5595, ""^\d+"")"),"3")</f>
        <v>3</v>
      </c>
      <c r="Z5595" s="5" t="str">
        <f>IFERROR(__xludf.DUMMYFUNCTION("REGEXEXTRACT(J5595, ""[A-Za-z ]+$"")")," Seasons")</f>
        <v> Seasons</v>
      </c>
      <c r="AA5595" s="5" t="str">
        <f>IFERROR(__xludf.DUMMYFUNCTION("IF(REGEXMATCH(Z5595, ""Season""), ""TV Show"", ""Movie"")"),"TV Show")</f>
        <v>TV Show</v>
      </c>
    </row>
    <row r="5596">
      <c r="A5596" s="1" t="s">
        <v>28599</v>
      </c>
      <c r="B5596" s="1" t="s">
        <v>27</v>
      </c>
      <c r="C5596" s="1" t="s">
        <v>28600</v>
      </c>
      <c r="D5596" s="1" t="s">
        <v>6096</v>
      </c>
      <c r="E5596" s="1" t="s">
        <v>23360</v>
      </c>
      <c r="F5596" s="1" t="s">
        <v>30</v>
      </c>
      <c r="G5596" s="1" t="s">
        <v>28601</v>
      </c>
      <c r="H5596" s="1">
        <v>2017.0</v>
      </c>
      <c r="I5596" s="1" t="s">
        <v>97</v>
      </c>
      <c r="J5596" s="1" t="s">
        <v>155</v>
      </c>
      <c r="K5596" s="1" t="s">
        <v>1839</v>
      </c>
      <c r="L5596" s="1" t="s">
        <v>28602</v>
      </c>
      <c r="M5596" s="2" t="s">
        <v>12</v>
      </c>
      <c r="N5596" s="4">
        <f t="shared" si="1"/>
        <v>42787</v>
      </c>
      <c r="O5596" s="5" t="str">
        <f>IFERROR(__xludf.DUMMYFUNCTION("IF(REGEXMATCH(TRIM(I5596), ""^\d+\s*min""), ""Unclassified"", IF(I5596 = """", ""NR"", I5596))"),"TV-14")</f>
        <v>TV-14</v>
      </c>
      <c r="R5596" s="5" t="str">
        <f t="shared" si="2"/>
        <v>Trevor Noah: Afraid Of The Dark</v>
      </c>
      <c r="S5596" s="5" t="str">
        <f>IFERROR(__xludf.DUMMYFUNCTION("""COMPUTED_VALUE"""),"Premachi Goshta")</f>
        <v>Premachi Goshta</v>
      </c>
      <c r="V5596" s="5"/>
      <c r="Y5596" s="5" t="str">
        <f>IFERROR(__xludf.DUMMYFUNCTION("REGEXEXTRACT(J5596, ""^\d+"")"),"67")</f>
        <v>67</v>
      </c>
      <c r="Z5596" s="5" t="str">
        <f>IFERROR(__xludf.DUMMYFUNCTION("REGEXEXTRACT(J5596, ""[A-Za-z ]+$"")")," min")</f>
        <v> min</v>
      </c>
      <c r="AA5596" s="5" t="str">
        <f>IFERROR(__xludf.DUMMYFUNCTION("IF(REGEXMATCH(Z5596, ""Season""), ""TV Show"", ""Movie"")"),"Movie")</f>
        <v>Movie</v>
      </c>
    </row>
    <row r="5597">
      <c r="A5597" s="1" t="s">
        <v>28603</v>
      </c>
      <c r="B5597" s="1" t="s">
        <v>27</v>
      </c>
      <c r="C5597" s="1" t="s">
        <v>28604</v>
      </c>
      <c r="D5597" s="1" t="s">
        <v>14528</v>
      </c>
      <c r="E5597" s="1" t="s">
        <v>28605</v>
      </c>
      <c r="F5597" s="1" t="s">
        <v>784</v>
      </c>
      <c r="G5597" s="1" t="s">
        <v>28606</v>
      </c>
      <c r="H5597" s="1">
        <v>2016.0</v>
      </c>
      <c r="I5597" s="1" t="s">
        <v>42</v>
      </c>
      <c r="J5597" s="1" t="s">
        <v>305</v>
      </c>
      <c r="K5597" s="1" t="s">
        <v>631</v>
      </c>
      <c r="L5597" s="1" t="s">
        <v>28607</v>
      </c>
      <c r="M5597" s="2" t="s">
        <v>12</v>
      </c>
      <c r="N5597" s="4">
        <f t="shared" si="1"/>
        <v>42785</v>
      </c>
      <c r="O5597" s="5" t="str">
        <f>IFERROR(__xludf.DUMMYFUNCTION("IF(REGEXMATCH(TRIM(I5597), ""^\d+\s*min""), ""Unclassified"", IF(I5597 = """", ""NR"", I5597))"),"TV-MA")</f>
        <v>TV-MA</v>
      </c>
      <c r="R5597" s="5" t="str">
        <f t="shared" si="2"/>
        <v>Boy Missing</v>
      </c>
      <c r="S5597" s="5" t="str">
        <f>IFERROR(__xludf.DUMMYFUNCTION("""COMPUTED_VALUE"""),"Prescription Thugs")</f>
        <v>Prescription Thugs</v>
      </c>
      <c r="V5597" s="5"/>
      <c r="Y5597" s="5" t="str">
        <f>IFERROR(__xludf.DUMMYFUNCTION("REGEXEXTRACT(J5597, ""^\d+"")"),"105")</f>
        <v>105</v>
      </c>
      <c r="Z5597" s="5" t="str">
        <f>IFERROR(__xludf.DUMMYFUNCTION("REGEXEXTRACT(J5597, ""[A-Za-z ]+$"")")," min")</f>
        <v> min</v>
      </c>
      <c r="AA5597" s="5" t="str">
        <f>IFERROR(__xludf.DUMMYFUNCTION("IF(REGEXMATCH(Z5597, ""Season""), ""TV Show"", ""Movie"")"),"Movie")</f>
        <v>Movie</v>
      </c>
    </row>
    <row r="5598">
      <c r="A5598" s="1" t="s">
        <v>28608</v>
      </c>
      <c r="B5598" s="1" t="s">
        <v>27</v>
      </c>
      <c r="C5598" s="1" t="s">
        <v>28609</v>
      </c>
      <c r="D5598" s="1" t="s">
        <v>12654</v>
      </c>
      <c r="E5598" s="1" t="s">
        <v>28610</v>
      </c>
      <c r="F5598" s="1" t="s">
        <v>30</v>
      </c>
      <c r="G5598" s="1" t="s">
        <v>28606</v>
      </c>
      <c r="H5598" s="1">
        <v>2016.0</v>
      </c>
      <c r="I5598" s="1" t="s">
        <v>770</v>
      </c>
      <c r="J5598" s="1" t="s">
        <v>1737</v>
      </c>
      <c r="K5598" s="1" t="s">
        <v>9544</v>
      </c>
      <c r="L5598" s="1" t="s">
        <v>28611</v>
      </c>
      <c r="M5598" s="2" t="s">
        <v>12</v>
      </c>
      <c r="N5598" s="4">
        <f t="shared" si="1"/>
        <v>42785</v>
      </c>
      <c r="O5598" s="5" t="str">
        <f>IFERROR(__xludf.DUMMYFUNCTION("IF(REGEXMATCH(TRIM(I5598), ""^\d+\s*min""), ""Unclassified"", IF(I5598 = """", ""NR"", I5598))"),"G")</f>
        <v>G</v>
      </c>
      <c r="R5598" s="5" t="str">
        <f t="shared" si="2"/>
        <v>Growing Up Wild</v>
      </c>
      <c r="S5598" s="5" t="str">
        <f>IFERROR(__xludf.DUMMYFUNCTION("""COMPUTED_VALUE"""),"President")</f>
        <v>President</v>
      </c>
      <c r="V5598" s="5"/>
      <c r="Y5598" s="5" t="str">
        <f>IFERROR(__xludf.DUMMYFUNCTION("REGEXEXTRACT(J5598, ""^\d+"")"),"78")</f>
        <v>78</v>
      </c>
      <c r="Z5598" s="5" t="str">
        <f>IFERROR(__xludf.DUMMYFUNCTION("REGEXEXTRACT(J5598, ""[A-Za-z ]+$"")")," min")</f>
        <v> min</v>
      </c>
      <c r="AA5598" s="5" t="str">
        <f>IFERROR(__xludf.DUMMYFUNCTION("IF(REGEXMATCH(Z5598, ""Season""), ""TV Show"", ""Movie"")"),"Movie")</f>
        <v>Movie</v>
      </c>
    </row>
    <row r="5599">
      <c r="A5599" s="1" t="s">
        <v>28612</v>
      </c>
      <c r="B5599" s="1" t="s">
        <v>27</v>
      </c>
      <c r="C5599" s="1" t="s">
        <v>28613</v>
      </c>
      <c r="D5599" s="1" t="s">
        <v>12004</v>
      </c>
      <c r="E5599" s="1" t="s">
        <v>28614</v>
      </c>
      <c r="F5599" s="1" t="s">
        <v>28615</v>
      </c>
      <c r="G5599" s="1" t="s">
        <v>28606</v>
      </c>
      <c r="H5599" s="1">
        <v>2016.0</v>
      </c>
      <c r="I5599" s="1" t="s">
        <v>770</v>
      </c>
      <c r="J5599" s="1" t="s">
        <v>416</v>
      </c>
      <c r="K5599" s="1" t="s">
        <v>920</v>
      </c>
      <c r="L5599" s="1" t="s">
        <v>28616</v>
      </c>
      <c r="M5599" s="2" t="s">
        <v>12</v>
      </c>
      <c r="N5599" s="4">
        <f t="shared" si="1"/>
        <v>42785</v>
      </c>
      <c r="O5599" s="5" t="str">
        <f>IFERROR(__xludf.DUMMYFUNCTION("IF(REGEXMATCH(TRIM(I5599), ""^\d+\s*min""), ""Unclassified"", IF(I5599 = """", ""NR"", I5599))"),"G")</f>
        <v>G</v>
      </c>
      <c r="R5599" s="5" t="str">
        <f t="shared" si="2"/>
        <v>Tini: The New Life Of Violetta</v>
      </c>
      <c r="S5599" s="5" t="str">
        <f>IFERROR(__xludf.DUMMYFUNCTION("""COMPUTED_VALUE"""),"Pretend It’S A City")</f>
        <v>Pretend It’S A City</v>
      </c>
      <c r="V5599" s="5"/>
      <c r="Y5599" s="5" t="str">
        <f>IFERROR(__xludf.DUMMYFUNCTION("REGEXEXTRACT(J5599, ""^\d+"")"),"99")</f>
        <v>99</v>
      </c>
      <c r="Z5599" s="5" t="str">
        <f>IFERROR(__xludf.DUMMYFUNCTION("REGEXEXTRACT(J5599, ""[A-Za-z ]+$"")")," min")</f>
        <v> min</v>
      </c>
      <c r="AA5599" s="5" t="str">
        <f>IFERROR(__xludf.DUMMYFUNCTION("IF(REGEXMATCH(Z5599, ""Season""), ""TV Show"", ""Movie"")"),"Movie")</f>
        <v>Movie</v>
      </c>
    </row>
    <row r="5600">
      <c r="A5600" s="1" t="s">
        <v>28617</v>
      </c>
      <c r="B5600" s="1" t="s">
        <v>37</v>
      </c>
      <c r="C5600" s="1" t="s">
        <v>28618</v>
      </c>
      <c r="E5600" s="1" t="s">
        <v>28619</v>
      </c>
      <c r="F5600" s="1" t="s">
        <v>749</v>
      </c>
      <c r="G5600" s="1" t="s">
        <v>28620</v>
      </c>
      <c r="H5600" s="1">
        <v>2013.0</v>
      </c>
      <c r="I5600" s="1" t="s">
        <v>97</v>
      </c>
      <c r="J5600" s="1" t="s">
        <v>51</v>
      </c>
      <c r="K5600" s="1" t="s">
        <v>7164</v>
      </c>
      <c r="L5600" s="1" t="s">
        <v>28621</v>
      </c>
      <c r="M5600" s="2" t="s">
        <v>12</v>
      </c>
      <c r="N5600" s="4">
        <f t="shared" si="1"/>
        <v>42783</v>
      </c>
      <c r="O5600" s="5" t="str">
        <f>IFERROR(__xludf.DUMMYFUNCTION("IF(REGEXMATCH(TRIM(I5600), ""^\d+\s*min""), ""Unclassified"", IF(I5600 = """", ""NR"", I5600))"),"TV-14")</f>
        <v>TV-14</v>
      </c>
      <c r="R5600" s="5" t="str">
        <f t="shared" si="2"/>
        <v>Love For Ten: Generation Of Youth</v>
      </c>
      <c r="S5600" s="5" t="str">
        <f>IFERROR(__xludf.DUMMYFUNCTION("""COMPUTED_VALUE"""),"Pretty Guardian Sailor Moon Eternal The Movie")</f>
        <v>Pretty Guardian Sailor Moon Eternal The Movie</v>
      </c>
      <c r="V5600" s="5"/>
      <c r="Y5600" s="5" t="str">
        <f>IFERROR(__xludf.DUMMYFUNCTION("REGEXEXTRACT(J5600, ""^\d+"")"),"1")</f>
        <v>1</v>
      </c>
      <c r="Z5600" s="5" t="str">
        <f>IFERROR(__xludf.DUMMYFUNCTION("REGEXEXTRACT(J5600, ""[A-Za-z ]+$"")")," Season")</f>
        <v> Season</v>
      </c>
      <c r="AA5600" s="5" t="str">
        <f>IFERROR(__xludf.DUMMYFUNCTION("IF(REGEXMATCH(Z5600, ""Season""), ""TV Show"", ""Movie"")"),"TV Show")</f>
        <v>TV Show</v>
      </c>
    </row>
    <row r="5601">
      <c r="A5601" s="1" t="s">
        <v>28622</v>
      </c>
      <c r="B5601" s="1" t="s">
        <v>27</v>
      </c>
      <c r="C5601" s="1" t="s">
        <v>28623</v>
      </c>
      <c r="D5601" s="1" t="s">
        <v>12917</v>
      </c>
      <c r="E5601" s="1" t="s">
        <v>28624</v>
      </c>
      <c r="F5601" s="1" t="s">
        <v>63</v>
      </c>
      <c r="G5601" s="1" t="s">
        <v>28620</v>
      </c>
      <c r="H5601" s="1">
        <v>2016.0</v>
      </c>
      <c r="I5601" s="1" t="s">
        <v>42</v>
      </c>
      <c r="J5601" s="1" t="s">
        <v>804</v>
      </c>
      <c r="K5601" s="1" t="s">
        <v>1066</v>
      </c>
      <c r="L5601" s="1" t="s">
        <v>28625</v>
      </c>
      <c r="M5601" s="2" t="s">
        <v>12</v>
      </c>
      <c r="N5601" s="4">
        <f t="shared" si="1"/>
        <v>42783</v>
      </c>
      <c r="O5601" s="5" t="str">
        <f>IFERROR(__xludf.DUMMYFUNCTION("IF(REGEXMATCH(TRIM(I5601), ""^\d+\s*min""), ""Unclassified"", IF(I5601 = """", ""NR"", I5601))"),"TV-MA")</f>
        <v>TV-MA</v>
      </c>
      <c r="R5601" s="5" t="str">
        <f t="shared" si="2"/>
        <v>Rocky Handsome</v>
      </c>
      <c r="S5601" s="5" t="str">
        <f>IFERROR(__xludf.DUMMYFUNCTION("""COMPUTED_VALUE"""),"Pretty Little Stalker")</f>
        <v>Pretty Little Stalker</v>
      </c>
      <c r="V5601" s="5"/>
      <c r="Y5601" s="5" t="str">
        <f>IFERROR(__xludf.DUMMYFUNCTION("REGEXEXTRACT(J5601, ""^\d+"")"),"119")</f>
        <v>119</v>
      </c>
      <c r="Z5601" s="5" t="str">
        <f>IFERROR(__xludf.DUMMYFUNCTION("REGEXEXTRACT(J5601, ""[A-Za-z ]+$"")")," min")</f>
        <v> min</v>
      </c>
      <c r="AA5601" s="5" t="str">
        <f>IFERROR(__xludf.DUMMYFUNCTION("IF(REGEXMATCH(Z5601, ""Season""), ""TV Show"", ""Movie"")"),"Movie")</f>
        <v>Movie</v>
      </c>
    </row>
    <row r="5602">
      <c r="A5602" s="1" t="s">
        <v>28626</v>
      </c>
      <c r="B5602" s="1" t="s">
        <v>27</v>
      </c>
      <c r="C5602" s="1" t="s">
        <v>28627</v>
      </c>
      <c r="D5602" s="1" t="s">
        <v>22449</v>
      </c>
      <c r="E5602" s="1" t="s">
        <v>28628</v>
      </c>
      <c r="F5602" s="1" t="s">
        <v>2492</v>
      </c>
      <c r="G5602" s="1" t="s">
        <v>28629</v>
      </c>
      <c r="H5602" s="1">
        <v>2015.0</v>
      </c>
      <c r="I5602" s="1" t="s">
        <v>42</v>
      </c>
      <c r="J5602" s="1" t="s">
        <v>1065</v>
      </c>
      <c r="K5602" s="1" t="s">
        <v>89</v>
      </c>
      <c r="L5602" s="1" t="s">
        <v>28630</v>
      </c>
      <c r="M5602" s="2" t="s">
        <v>12</v>
      </c>
      <c r="N5602" s="4">
        <f t="shared" si="1"/>
        <v>42781</v>
      </c>
      <c r="O5602" s="5" t="str">
        <f>IFERROR(__xludf.DUMMYFUNCTION("IF(REGEXMATCH(TRIM(I5602), ""^\d+\s*min""), ""Unclassified"", IF(I5602 = """", ""NR"", I5602))"),"TV-MA")</f>
        <v>TV-MA</v>
      </c>
      <c r="R5602" s="5" t="str">
        <f t="shared" si="2"/>
        <v>A Heavy Heart</v>
      </c>
      <c r="S5602" s="5" t="str">
        <f>IFERROR(__xludf.DUMMYFUNCTION("""COMPUTED_VALUE"""),"Pretty Man")</f>
        <v>Pretty Man</v>
      </c>
      <c r="V5602" s="5"/>
      <c r="Y5602" s="5" t="str">
        <f>IFERROR(__xludf.DUMMYFUNCTION("REGEXEXTRACT(J5602, ""^\d+"")"),"109")</f>
        <v>109</v>
      </c>
      <c r="Z5602" s="5" t="str">
        <f>IFERROR(__xludf.DUMMYFUNCTION("REGEXEXTRACT(J5602, ""[A-Za-z ]+$"")")," min")</f>
        <v> min</v>
      </c>
      <c r="AA5602" s="5" t="str">
        <f>IFERROR(__xludf.DUMMYFUNCTION("IF(REGEXMATCH(Z5602, ""Season""), ""TV Show"", ""Movie"")"),"Movie")</f>
        <v>Movie</v>
      </c>
    </row>
    <row r="5603">
      <c r="A5603" s="1" t="s">
        <v>28631</v>
      </c>
      <c r="B5603" s="1" t="s">
        <v>37</v>
      </c>
      <c r="C5603" s="1" t="s">
        <v>28632</v>
      </c>
      <c r="E5603" s="1" t="s">
        <v>28633</v>
      </c>
      <c r="F5603" s="1" t="s">
        <v>749</v>
      </c>
      <c r="G5603" s="1" t="s">
        <v>28629</v>
      </c>
      <c r="H5603" s="1">
        <v>2016.0</v>
      </c>
      <c r="I5603" s="1" t="s">
        <v>97</v>
      </c>
      <c r="J5603" s="1" t="s">
        <v>51</v>
      </c>
      <c r="K5603" s="1" t="s">
        <v>13832</v>
      </c>
      <c r="L5603" s="1" t="s">
        <v>28634</v>
      </c>
      <c r="M5603" s="2" t="s">
        <v>12</v>
      </c>
      <c r="N5603" s="4">
        <f t="shared" si="1"/>
        <v>42781</v>
      </c>
      <c r="O5603" s="5" t="str">
        <f>IFERROR(__xludf.DUMMYFUNCTION("IF(REGEXMATCH(TRIM(I5603), ""^\d+\s*min""), ""Unclassified"", IF(I5603 = """", ""NR"", I5603))"),"TV-14")</f>
        <v>TV-14</v>
      </c>
      <c r="R5603" s="5" t="str">
        <f t="shared" si="2"/>
        <v>Nightmare High</v>
      </c>
      <c r="S5603" s="5" t="str">
        <f>IFERROR(__xludf.DUMMYFUNCTION("""COMPUTED_VALUE"""),"Pretville")</f>
        <v>Pretville</v>
      </c>
      <c r="V5603" s="5"/>
      <c r="Y5603" s="5" t="str">
        <f>IFERROR(__xludf.DUMMYFUNCTION("REGEXEXTRACT(J5603, ""^\d+"")"),"1")</f>
        <v>1</v>
      </c>
      <c r="Z5603" s="5" t="str">
        <f>IFERROR(__xludf.DUMMYFUNCTION("REGEXEXTRACT(J5603, ""[A-Za-z ]+$"")")," Season")</f>
        <v> Season</v>
      </c>
      <c r="AA5603" s="5" t="str">
        <f>IFERROR(__xludf.DUMMYFUNCTION("IF(REGEXMATCH(Z5603, ""Season""), ""TV Show"", ""Movie"")"),"TV Show")</f>
        <v>TV Show</v>
      </c>
    </row>
    <row r="5604">
      <c r="A5604" s="1" t="s">
        <v>28635</v>
      </c>
      <c r="B5604" s="1" t="s">
        <v>27</v>
      </c>
      <c r="C5604" s="1" t="s">
        <v>28636</v>
      </c>
      <c r="D5604" s="1" t="s">
        <v>28637</v>
      </c>
      <c r="F5604" s="1" t="s">
        <v>1106</v>
      </c>
      <c r="G5604" s="1" t="s">
        <v>28629</v>
      </c>
      <c r="H5604" s="1">
        <v>2010.0</v>
      </c>
      <c r="I5604" s="1" t="s">
        <v>42</v>
      </c>
      <c r="J5604" s="1" t="s">
        <v>1256</v>
      </c>
      <c r="K5604" s="1" t="s">
        <v>700</v>
      </c>
      <c r="L5604" s="1" t="s">
        <v>28638</v>
      </c>
      <c r="M5604" s="2" t="s">
        <v>12</v>
      </c>
      <c r="N5604" s="4">
        <f t="shared" si="1"/>
        <v>42781</v>
      </c>
      <c r="O5604" s="5" t="str">
        <f>IFERROR(__xludf.DUMMYFUNCTION("IF(REGEXMATCH(TRIM(I5604), ""^\d+\s*min""), ""Unclassified"", IF(I5604 = """", ""NR"", I5604))"),"TV-MA")</f>
        <v>TV-MA</v>
      </c>
      <c r="R5604" s="5" t="str">
        <f t="shared" si="2"/>
        <v>Rush: Beyond The Lighted Stage</v>
      </c>
      <c r="S5604" s="5" t="str">
        <f>IFERROR(__xludf.DUMMYFUNCTION("""COMPUTED_VALUE"""),"Prey")</f>
        <v>Prey</v>
      </c>
      <c r="V5604" s="5"/>
      <c r="Y5604" s="5" t="str">
        <f>IFERROR(__xludf.DUMMYFUNCTION("REGEXEXTRACT(J5604, ""^\d+"")"),"107")</f>
        <v>107</v>
      </c>
      <c r="Z5604" s="5" t="str">
        <f>IFERROR(__xludf.DUMMYFUNCTION("REGEXEXTRACT(J5604, ""[A-Za-z ]+$"")")," min")</f>
        <v> min</v>
      </c>
      <c r="AA5604" s="5" t="str">
        <f>IFERROR(__xludf.DUMMYFUNCTION("IF(REGEXMATCH(Z5604, ""Season""), ""TV Show"", ""Movie"")"),"Movie")</f>
        <v>Movie</v>
      </c>
    </row>
    <row r="5605">
      <c r="A5605" s="1" t="s">
        <v>28639</v>
      </c>
      <c r="B5605" s="1" t="s">
        <v>37</v>
      </c>
      <c r="C5605" s="1" t="s">
        <v>28640</v>
      </c>
      <c r="E5605" s="1" t="s">
        <v>28641</v>
      </c>
      <c r="F5605" s="1" t="s">
        <v>749</v>
      </c>
      <c r="G5605" s="1" t="s">
        <v>28629</v>
      </c>
      <c r="H5605" s="1">
        <v>2016.0</v>
      </c>
      <c r="I5605" s="1" t="s">
        <v>136</v>
      </c>
      <c r="J5605" s="1" t="s">
        <v>51</v>
      </c>
      <c r="K5605" s="1" t="s">
        <v>7164</v>
      </c>
      <c r="L5605" s="1" t="s">
        <v>28642</v>
      </c>
      <c r="M5605" s="2" t="s">
        <v>12</v>
      </c>
      <c r="N5605" s="4">
        <f t="shared" si="1"/>
        <v>42781</v>
      </c>
      <c r="O5605" s="5" t="str">
        <f>IFERROR(__xludf.DUMMYFUNCTION("IF(REGEXMATCH(TRIM(I5605), ""^\d+\s*min""), ""Unclassified"", IF(I5605 = """", ""NR"", I5605))"),"TV-PG")</f>
        <v>TV-PG</v>
      </c>
      <c r="R5605" s="5" t="str">
        <f t="shared" si="2"/>
        <v>Spark</v>
      </c>
      <c r="S5605" s="5" t="str">
        <f>IFERROR(__xludf.DUMMYFUNCTION("""COMPUTED_VALUE"""),"Primal Fear")</f>
        <v>Primal Fear</v>
      </c>
      <c r="V5605" s="5"/>
      <c r="Y5605" s="5" t="str">
        <f>IFERROR(__xludf.DUMMYFUNCTION("REGEXEXTRACT(J5605, ""^\d+"")"),"1")</f>
        <v>1</v>
      </c>
      <c r="Z5605" s="5" t="str">
        <f>IFERROR(__xludf.DUMMYFUNCTION("REGEXEXTRACT(J5605, ""[A-Za-z ]+$"")")," Season")</f>
        <v> Season</v>
      </c>
      <c r="AA5605" s="5" t="str">
        <f>IFERROR(__xludf.DUMMYFUNCTION("IF(REGEXMATCH(Z5605, ""Season""), ""TV Show"", ""Movie"")"),"TV Show")</f>
        <v>TV Show</v>
      </c>
    </row>
    <row r="5606">
      <c r="A5606" s="1" t="s">
        <v>28643</v>
      </c>
      <c r="B5606" s="1" t="s">
        <v>27</v>
      </c>
      <c r="C5606" s="1" t="s">
        <v>28644</v>
      </c>
      <c r="D5606" s="1" t="s">
        <v>18879</v>
      </c>
      <c r="E5606" s="1" t="s">
        <v>28645</v>
      </c>
      <c r="F5606" s="1" t="s">
        <v>784</v>
      </c>
      <c r="G5606" s="1" t="s">
        <v>28629</v>
      </c>
      <c r="H5606" s="1">
        <v>2016.0</v>
      </c>
      <c r="I5606" s="1" t="s">
        <v>42</v>
      </c>
      <c r="J5606" s="1" t="s">
        <v>665</v>
      </c>
      <c r="K5606" s="1" t="s">
        <v>631</v>
      </c>
      <c r="L5606" s="1" t="s">
        <v>28646</v>
      </c>
      <c r="M5606" s="2" t="s">
        <v>12</v>
      </c>
      <c r="N5606" s="4">
        <f t="shared" si="1"/>
        <v>42781</v>
      </c>
      <c r="O5606" s="5" t="str">
        <f>IFERROR(__xludf.DUMMYFUNCTION("IF(REGEXMATCH(TRIM(I5606), ""^\d+\s*min""), ""Unclassified"", IF(I5606 = """", ""NR"", I5606))"),"TV-MA")</f>
        <v>TV-MA</v>
      </c>
      <c r="R5606" s="5" t="str">
        <f t="shared" si="2"/>
        <v>The Fury Of A Patient Man</v>
      </c>
      <c r="S5606" s="5" t="str">
        <f>IFERROR(__xludf.DUMMYFUNCTION("""COMPUTED_VALUE"""),"Prime Time")</f>
        <v>Prime Time</v>
      </c>
      <c r="V5606" s="5"/>
      <c r="Y5606" s="5" t="str">
        <f>IFERROR(__xludf.DUMMYFUNCTION("REGEXEXTRACT(J5606, ""^\d+"")"),"92")</f>
        <v>92</v>
      </c>
      <c r="Z5606" s="5" t="str">
        <f>IFERROR(__xludf.DUMMYFUNCTION("REGEXEXTRACT(J5606, ""[A-Za-z ]+$"")")," min")</f>
        <v> min</v>
      </c>
      <c r="AA5606" s="5" t="str">
        <f>IFERROR(__xludf.DUMMYFUNCTION("IF(REGEXMATCH(Z5606, ""Season""), ""TV Show"", ""Movie"")"),"Movie")</f>
        <v>Movie</v>
      </c>
    </row>
    <row r="5607">
      <c r="A5607" s="1" t="s">
        <v>28647</v>
      </c>
      <c r="B5607" s="1" t="s">
        <v>27</v>
      </c>
      <c r="C5607" s="1" t="s">
        <v>28648</v>
      </c>
      <c r="D5607" s="1" t="s">
        <v>15177</v>
      </c>
      <c r="E5607" s="1" t="s">
        <v>28649</v>
      </c>
      <c r="F5607" s="1" t="s">
        <v>28650</v>
      </c>
      <c r="G5607" s="1" t="s">
        <v>28629</v>
      </c>
      <c r="H5607" s="1">
        <v>2015.0</v>
      </c>
      <c r="I5607" s="1" t="s">
        <v>42</v>
      </c>
      <c r="J5607" s="1" t="s">
        <v>428</v>
      </c>
      <c r="K5607" s="1" t="s">
        <v>128</v>
      </c>
      <c r="L5607" s="1" t="s">
        <v>28651</v>
      </c>
      <c r="M5607" s="2" t="s">
        <v>12</v>
      </c>
      <c r="N5607" s="4">
        <f t="shared" si="1"/>
        <v>42781</v>
      </c>
      <c r="O5607" s="5" t="str">
        <f>IFERROR(__xludf.DUMMYFUNCTION("IF(REGEXMATCH(TRIM(I5607), ""^\d+\s*min""), ""Unclassified"", IF(I5607 = """", ""NR"", I5607))"),"TV-MA")</f>
        <v>TV-MA</v>
      </c>
      <c r="R5607" s="5" t="str">
        <f t="shared" si="2"/>
        <v>The Memory Of Water</v>
      </c>
      <c r="S5607" s="5" t="str">
        <f>IFERROR(__xludf.DUMMYFUNCTION("""COMPUTED_VALUE"""),"Prince")</f>
        <v>Prince</v>
      </c>
      <c r="V5607" s="5"/>
      <c r="Y5607" s="5" t="str">
        <f>IFERROR(__xludf.DUMMYFUNCTION("REGEXEXTRACT(J5607, ""^\d+"")"),"88")</f>
        <v>88</v>
      </c>
      <c r="Z5607" s="5" t="str">
        <f>IFERROR(__xludf.DUMMYFUNCTION("REGEXEXTRACT(J5607, ""[A-Za-z ]+$"")")," min")</f>
        <v> min</v>
      </c>
      <c r="AA5607" s="5" t="str">
        <f>IFERROR(__xludf.DUMMYFUNCTION("IF(REGEXMATCH(Z5607, ""Season""), ""TV Show"", ""Movie"")"),"Movie")</f>
        <v>Movie</v>
      </c>
    </row>
    <row r="5608">
      <c r="A5608" s="1" t="s">
        <v>28652</v>
      </c>
      <c r="B5608" s="1" t="s">
        <v>27</v>
      </c>
      <c r="C5608" s="1" t="s">
        <v>28653</v>
      </c>
      <c r="D5608" s="1" t="s">
        <v>15760</v>
      </c>
      <c r="E5608" s="1" t="s">
        <v>28654</v>
      </c>
      <c r="F5608" s="1" t="s">
        <v>30</v>
      </c>
      <c r="G5608" s="1" t="s">
        <v>28655</v>
      </c>
      <c r="H5608" s="1">
        <v>2017.0</v>
      </c>
      <c r="I5608" s="1" t="s">
        <v>42</v>
      </c>
      <c r="J5608" s="1" t="s">
        <v>5650</v>
      </c>
      <c r="K5608" s="1" t="s">
        <v>1749</v>
      </c>
      <c r="L5608" s="1" t="s">
        <v>28656</v>
      </c>
      <c r="M5608" s="2" t="s">
        <v>12</v>
      </c>
      <c r="N5608" s="4">
        <f t="shared" si="1"/>
        <v>42780</v>
      </c>
      <c r="O5608" s="5" t="str">
        <f>IFERROR(__xludf.DUMMYFUNCTION("IF(REGEXMATCH(TRIM(I5608), ""^\d+\s*min""), ""Unclassified"", IF(I5608 = """", ""NR"", I5608))"),"TV-MA")</f>
        <v>TV-MA</v>
      </c>
      <c r="R5608" s="5" t="str">
        <f t="shared" si="2"/>
        <v>Girlfriend'S Day</v>
      </c>
      <c r="S5608" s="5" t="str">
        <f>IFERROR(__xludf.DUMMYFUNCTION("""COMPUTED_VALUE"""),"Prince Charming")</f>
        <v>Prince Charming</v>
      </c>
      <c r="V5608" s="5"/>
      <c r="Y5608" s="5" t="str">
        <f>IFERROR(__xludf.DUMMYFUNCTION("REGEXEXTRACT(J5608, ""^\d+"")"),"71")</f>
        <v>71</v>
      </c>
      <c r="Z5608" s="5" t="str">
        <f>IFERROR(__xludf.DUMMYFUNCTION("REGEXEXTRACT(J5608, ""[A-Za-z ]+$"")")," min")</f>
        <v> min</v>
      </c>
      <c r="AA5608" s="5" t="str">
        <f>IFERROR(__xludf.DUMMYFUNCTION("IF(REGEXMATCH(Z5608, ""Season""), ""TV Show"", ""Movie"")"),"Movie")</f>
        <v>Movie</v>
      </c>
    </row>
    <row r="5609">
      <c r="A5609" s="1" t="s">
        <v>28657</v>
      </c>
      <c r="B5609" s="1" t="s">
        <v>27</v>
      </c>
      <c r="C5609" s="1" t="s">
        <v>28658</v>
      </c>
      <c r="D5609" s="1" t="s">
        <v>5128</v>
      </c>
      <c r="E5609" s="1" t="s">
        <v>20120</v>
      </c>
      <c r="F5609" s="1" t="s">
        <v>96</v>
      </c>
      <c r="G5609" s="1" t="s">
        <v>28655</v>
      </c>
      <c r="H5609" s="1">
        <v>2017.0</v>
      </c>
      <c r="I5609" s="1" t="s">
        <v>42</v>
      </c>
      <c r="J5609" s="1" t="s">
        <v>1838</v>
      </c>
      <c r="K5609" s="1" t="s">
        <v>1839</v>
      </c>
      <c r="L5609" s="1" t="s">
        <v>28659</v>
      </c>
      <c r="M5609" s="2" t="s">
        <v>12</v>
      </c>
      <c r="N5609" s="4">
        <f t="shared" si="1"/>
        <v>42780</v>
      </c>
      <c r="O5609" s="5" t="str">
        <f>IFERROR(__xludf.DUMMYFUNCTION("IF(REGEXMATCH(TRIM(I5609), ""^\d+\s*min""), ""Unclassified"", IF(I5609 = """", ""NR"", I5609))"),"TV-MA")</f>
        <v>TV-MA</v>
      </c>
      <c r="R5609" s="5" t="str">
        <f t="shared" si="2"/>
        <v>Katherine Ryan: In Trouble</v>
      </c>
      <c r="S5609" s="5" t="str">
        <f>IFERROR(__xludf.DUMMYFUNCTION("""COMPUTED_VALUE"""),"Prince Jai Aur Dumdaar Viru")</f>
        <v>Prince Jai Aur Dumdaar Viru</v>
      </c>
      <c r="V5609" s="5"/>
      <c r="Y5609" s="5" t="str">
        <f>IFERROR(__xludf.DUMMYFUNCTION("REGEXEXTRACT(J5609, ""^\d+"")"),"64")</f>
        <v>64</v>
      </c>
      <c r="Z5609" s="5" t="str">
        <f>IFERROR(__xludf.DUMMYFUNCTION("REGEXEXTRACT(J5609, ""[A-Za-z ]+$"")")," min")</f>
        <v> min</v>
      </c>
      <c r="AA5609" s="5" t="str">
        <f>IFERROR(__xludf.DUMMYFUNCTION("IF(REGEXMATCH(Z5609, ""Season""), ""TV Show"", ""Movie"")"),"Movie")</f>
        <v>Movie</v>
      </c>
    </row>
    <row r="5610">
      <c r="A5610" s="1" t="s">
        <v>28660</v>
      </c>
      <c r="B5610" s="1" t="s">
        <v>37</v>
      </c>
      <c r="C5610" s="1" t="s">
        <v>28661</v>
      </c>
      <c r="E5610" s="1" t="s">
        <v>28662</v>
      </c>
      <c r="F5610" s="1" t="s">
        <v>749</v>
      </c>
      <c r="G5610" s="1" t="s">
        <v>28655</v>
      </c>
      <c r="H5610" s="1">
        <v>2016.0</v>
      </c>
      <c r="I5610" s="1" t="s">
        <v>97</v>
      </c>
      <c r="J5610" s="1" t="s">
        <v>51</v>
      </c>
      <c r="K5610" s="1" t="s">
        <v>13832</v>
      </c>
      <c r="L5610" s="1" t="s">
        <v>28663</v>
      </c>
      <c r="M5610" s="2" t="s">
        <v>12</v>
      </c>
      <c r="N5610" s="4">
        <f t="shared" si="1"/>
        <v>42780</v>
      </c>
      <c r="O5610" s="5" t="str">
        <f>IFERROR(__xludf.DUMMYFUNCTION("IF(REGEXMATCH(TRIM(I5610), ""^\d+\s*min""), ""Unclassified"", IF(I5610 = """", ""NR"", I5610))"),"TV-14")</f>
        <v>TV-14</v>
      </c>
      <c r="R5610" s="5" t="str">
        <f t="shared" si="2"/>
        <v>White Nights</v>
      </c>
      <c r="S5610" s="5" t="str">
        <f>IFERROR(__xludf.DUMMYFUNCTION("""COMPUTED_VALUE"""),"Prince Of Peoria")</f>
        <v>Prince Of Peoria</v>
      </c>
      <c r="V5610" s="5"/>
      <c r="Y5610" s="5" t="str">
        <f>IFERROR(__xludf.DUMMYFUNCTION("REGEXEXTRACT(J5610, ""^\d+"")"),"1")</f>
        <v>1</v>
      </c>
      <c r="Z5610" s="5" t="str">
        <f>IFERROR(__xludf.DUMMYFUNCTION("REGEXEXTRACT(J5610, ""[A-Za-z ]+$"")")," Season")</f>
        <v> Season</v>
      </c>
      <c r="AA5610" s="5" t="str">
        <f>IFERROR(__xludf.DUMMYFUNCTION("IF(REGEXMATCH(Z5610, ""Season""), ""TV Show"", ""Movie"")"),"TV Show")</f>
        <v>TV Show</v>
      </c>
    </row>
    <row r="5611">
      <c r="A5611" s="1" t="s">
        <v>28664</v>
      </c>
      <c r="B5611" s="1" t="s">
        <v>37</v>
      </c>
      <c r="C5611" s="1" t="s">
        <v>28665</v>
      </c>
      <c r="E5611" s="1" t="s">
        <v>28666</v>
      </c>
      <c r="F5611" s="1" t="s">
        <v>415</v>
      </c>
      <c r="G5611" s="1" t="s">
        <v>28667</v>
      </c>
      <c r="H5611" s="1">
        <v>2017.0</v>
      </c>
      <c r="I5611" s="1" t="s">
        <v>97</v>
      </c>
      <c r="J5611" s="1" t="s">
        <v>51</v>
      </c>
      <c r="K5611" s="1" t="s">
        <v>567</v>
      </c>
      <c r="L5611" s="1" t="s">
        <v>28668</v>
      </c>
      <c r="M5611" s="2" t="s">
        <v>12</v>
      </c>
      <c r="N5611" s="4">
        <f t="shared" si="1"/>
        <v>42776</v>
      </c>
      <c r="O5611" s="5" t="str">
        <f>IFERROR(__xludf.DUMMYFUNCTION("IF(REGEXMATCH(TRIM(I5611), ""^\d+\s*min""), ""Unclassified"", IF(I5611 = """", ""NR"", I5611))"),"TV-14")</f>
        <v>TV-14</v>
      </c>
      <c r="R5611" s="5" t="str">
        <f t="shared" si="2"/>
        <v>Cyborg 009: Call Of Justice</v>
      </c>
      <c r="S5611" s="5" t="str">
        <f>IFERROR(__xludf.DUMMYFUNCTION("""COMPUTED_VALUE"""),"Prince Of Peoria: A Christmas Moose Miracle")</f>
        <v>Prince Of Peoria: A Christmas Moose Miracle</v>
      </c>
      <c r="V5611" s="5"/>
      <c r="Y5611" s="5" t="str">
        <f>IFERROR(__xludf.DUMMYFUNCTION("REGEXEXTRACT(J5611, ""^\d+"")"),"1")</f>
        <v>1</v>
      </c>
      <c r="Z5611" s="5" t="str">
        <f>IFERROR(__xludf.DUMMYFUNCTION("REGEXEXTRACT(J5611, ""[A-Za-z ]+$"")")," Season")</f>
        <v> Season</v>
      </c>
      <c r="AA5611" s="5" t="str">
        <f>IFERROR(__xludf.DUMMYFUNCTION("IF(REGEXMATCH(Z5611, ""Season""), ""TV Show"", ""Movie"")"),"TV Show")</f>
        <v>TV Show</v>
      </c>
    </row>
    <row r="5612">
      <c r="A5612" s="1" t="s">
        <v>28669</v>
      </c>
      <c r="B5612" s="1" t="s">
        <v>27</v>
      </c>
      <c r="C5612" s="1" t="s">
        <v>28670</v>
      </c>
      <c r="D5612" s="1" t="s">
        <v>19239</v>
      </c>
      <c r="E5612" s="1" t="s">
        <v>28671</v>
      </c>
      <c r="F5612" s="1" t="s">
        <v>686</v>
      </c>
      <c r="G5612" s="1" t="s">
        <v>28667</v>
      </c>
      <c r="H5612" s="1">
        <v>2016.0</v>
      </c>
      <c r="I5612" s="1" t="s">
        <v>42</v>
      </c>
      <c r="J5612" s="1" t="s">
        <v>247</v>
      </c>
      <c r="K5612" s="1" t="s">
        <v>230</v>
      </c>
      <c r="L5612" s="1" t="s">
        <v>28672</v>
      </c>
      <c r="M5612" s="2" t="s">
        <v>12</v>
      </c>
      <c r="N5612" s="4">
        <f t="shared" si="1"/>
        <v>42776</v>
      </c>
      <c r="O5612" s="5" t="str">
        <f>IFERROR(__xludf.DUMMYFUNCTION("IF(REGEXMATCH(TRIM(I5612), ""^\d+\s*min""), ""Unclassified"", IF(I5612 = """", ""NR"", I5612))"),"TV-MA")</f>
        <v>TV-MA</v>
      </c>
      <c r="R5612" s="5" t="str">
        <f t="shared" si="2"/>
        <v>David Brent: Life On The Road</v>
      </c>
      <c r="S5612" s="5" t="str">
        <f>IFERROR(__xludf.DUMMYFUNCTION("""COMPUTED_VALUE"""),"Princess Cyd")</f>
        <v>Princess Cyd</v>
      </c>
      <c r="V5612" s="5"/>
      <c r="Y5612" s="5" t="str">
        <f>IFERROR(__xludf.DUMMYFUNCTION("REGEXEXTRACT(J5612, ""^\d+"")"),"97")</f>
        <v>97</v>
      </c>
      <c r="Z5612" s="5" t="str">
        <f>IFERROR(__xludf.DUMMYFUNCTION("REGEXEXTRACT(J5612, ""[A-Za-z ]+$"")")," min")</f>
        <v> min</v>
      </c>
      <c r="AA5612" s="5" t="str">
        <f>IFERROR(__xludf.DUMMYFUNCTION("IF(REGEXMATCH(Z5612, ""Season""), ""TV Show"", ""Movie"")"),"Movie")</f>
        <v>Movie</v>
      </c>
    </row>
    <row r="5613">
      <c r="A5613" s="1" t="s">
        <v>28673</v>
      </c>
      <c r="B5613" s="1" t="s">
        <v>27</v>
      </c>
      <c r="C5613" s="1" t="s">
        <v>28674</v>
      </c>
      <c r="E5613" s="1" t="s">
        <v>28675</v>
      </c>
      <c r="F5613" s="1" t="s">
        <v>1779</v>
      </c>
      <c r="G5613" s="1" t="s">
        <v>28667</v>
      </c>
      <c r="H5613" s="1">
        <v>2017.0</v>
      </c>
      <c r="I5613" s="1" t="s">
        <v>42</v>
      </c>
      <c r="J5613" s="1" t="s">
        <v>322</v>
      </c>
      <c r="K5613" s="1" t="s">
        <v>1839</v>
      </c>
      <c r="L5613" s="1" t="s">
        <v>28676</v>
      </c>
      <c r="M5613" s="2" t="s">
        <v>12</v>
      </c>
      <c r="N5613" s="4">
        <f t="shared" si="1"/>
        <v>42776</v>
      </c>
      <c r="O5613" s="5" t="str">
        <f>IFERROR(__xludf.DUMMYFUNCTION("IF(REGEXMATCH(TRIM(I5613), ""^\d+\s*min""), ""Unclassified"", IF(I5613 = """", ""NR"", I5613))"),"TV-MA")</f>
        <v>TV-MA</v>
      </c>
      <c r="R5613" s="5" t="str">
        <f t="shared" si="2"/>
        <v>Grillo Vs Grillo</v>
      </c>
      <c r="S5613" s="5" t="str">
        <f>IFERROR(__xludf.DUMMYFUNCTION("""COMPUTED_VALUE"""),"Print The Legend")</f>
        <v>Print The Legend</v>
      </c>
      <c r="V5613" s="5"/>
      <c r="Y5613" s="5" t="str">
        <f>IFERROR(__xludf.DUMMYFUNCTION("REGEXEXTRACT(J5613, ""^\d+"")"),"96")</f>
        <v>96</v>
      </c>
      <c r="Z5613" s="5" t="str">
        <f>IFERROR(__xludf.DUMMYFUNCTION("REGEXEXTRACT(J5613, ""[A-Za-z ]+$"")")," min")</f>
        <v> min</v>
      </c>
      <c r="AA5613" s="5" t="str">
        <f>IFERROR(__xludf.DUMMYFUNCTION("IF(REGEXMATCH(Z5613, ""Season""), ""TV Show"", ""Movie"")"),"Movie")</f>
        <v>Movie</v>
      </c>
    </row>
    <row r="5614">
      <c r="A5614" s="1" t="s">
        <v>28677</v>
      </c>
      <c r="B5614" s="1" t="s">
        <v>27</v>
      </c>
      <c r="C5614" s="1" t="s">
        <v>28678</v>
      </c>
      <c r="D5614" s="1" t="s">
        <v>11014</v>
      </c>
      <c r="F5614" s="1" t="s">
        <v>28679</v>
      </c>
      <c r="G5614" s="1" t="s">
        <v>28667</v>
      </c>
      <c r="H5614" s="1">
        <v>1977.0</v>
      </c>
      <c r="I5614" s="1" t="s">
        <v>42</v>
      </c>
      <c r="J5614" s="1" t="s">
        <v>1407</v>
      </c>
      <c r="K5614" s="1" t="s">
        <v>156</v>
      </c>
      <c r="L5614" s="1" t="s">
        <v>28680</v>
      </c>
      <c r="M5614" s="2" t="s">
        <v>12</v>
      </c>
      <c r="N5614" s="4">
        <f t="shared" si="1"/>
        <v>42776</v>
      </c>
      <c r="O5614" s="5" t="str">
        <f>IFERROR(__xludf.DUMMYFUNCTION("IF(REGEXMATCH(TRIM(I5614), ""^\d+\s*min""), ""Unclassified"", IF(I5614 = """", ""NR"", I5614))"),"TV-MA")</f>
        <v>TV-MA</v>
      </c>
      <c r="R5614" s="5" t="str">
        <f t="shared" si="2"/>
        <v>Hitler - A Career</v>
      </c>
      <c r="S5614" s="5" t="str">
        <f>IFERROR(__xludf.DUMMYFUNCTION("""COMPUTED_VALUE"""),"Prison Playbook")</f>
        <v>Prison Playbook</v>
      </c>
      <c r="V5614" s="5"/>
      <c r="Y5614" s="5" t="str">
        <f>IFERROR(__xludf.DUMMYFUNCTION("REGEXEXTRACT(J5614, ""^\d+"")"),"150")</f>
        <v>150</v>
      </c>
      <c r="Z5614" s="5" t="str">
        <f>IFERROR(__xludf.DUMMYFUNCTION("REGEXEXTRACT(J5614, ""[A-Za-z ]+$"")")," min")</f>
        <v> min</v>
      </c>
      <c r="AA5614" s="5" t="str">
        <f>IFERROR(__xludf.DUMMYFUNCTION("IF(REGEXMATCH(Z5614, ""Season""), ""TV Show"", ""Movie"")"),"Movie")</f>
        <v>Movie</v>
      </c>
    </row>
    <row r="5615">
      <c r="A5615" s="1" t="s">
        <v>28681</v>
      </c>
      <c r="B5615" s="1" t="s">
        <v>27</v>
      </c>
      <c r="C5615" s="1" t="s">
        <v>28682</v>
      </c>
      <c r="D5615" s="1" t="s">
        <v>20585</v>
      </c>
      <c r="E5615" s="1" t="s">
        <v>28683</v>
      </c>
      <c r="F5615" s="1" t="s">
        <v>30</v>
      </c>
      <c r="G5615" s="1" t="s">
        <v>28684</v>
      </c>
      <c r="H5615" s="1">
        <v>2017.0</v>
      </c>
      <c r="I5615" s="1" t="s">
        <v>42</v>
      </c>
      <c r="J5615" s="1" t="s">
        <v>5941</v>
      </c>
      <c r="K5615" s="1" t="s">
        <v>13224</v>
      </c>
      <c r="L5615" s="1" t="s">
        <v>28685</v>
      </c>
      <c r="M5615" s="2" t="s">
        <v>12</v>
      </c>
      <c r="N5615" s="4">
        <f t="shared" si="1"/>
        <v>42773</v>
      </c>
      <c r="O5615" s="5" t="str">
        <f>IFERROR(__xludf.DUMMYFUNCTION("IF(REGEXMATCH(TRIM(I5615), ""^\d+\s*min""), ""Unclassified"", IF(I5615 = """", ""NR"", I5615))"),"TV-MA")</f>
        <v>TV-MA</v>
      </c>
      <c r="R5615" s="5" t="str">
        <f t="shared" si="2"/>
        <v>Michael Bolton'S Big, Sexy Valentine'S Day Special</v>
      </c>
      <c r="S5615" s="5" t="str">
        <f>IFERROR(__xludf.DUMMYFUNCTION("""COMPUTED_VALUE"""),"Private Life")</f>
        <v>Private Life</v>
      </c>
      <c r="V5615" s="5"/>
      <c r="Y5615" s="5" t="str">
        <f>IFERROR(__xludf.DUMMYFUNCTION("REGEXEXTRACT(J5615, ""^\d+"")"),"54")</f>
        <v>54</v>
      </c>
      <c r="Z5615" s="5" t="str">
        <f>IFERROR(__xludf.DUMMYFUNCTION("REGEXEXTRACT(J5615, ""[A-Za-z ]+$"")")," min")</f>
        <v> min</v>
      </c>
      <c r="AA5615" s="5" t="str">
        <f>IFERROR(__xludf.DUMMYFUNCTION("IF(REGEXMATCH(Z5615, ""Season""), ""TV Show"", ""Movie"")"),"Movie")</f>
        <v>Movie</v>
      </c>
    </row>
    <row r="5616">
      <c r="A5616" s="1" t="s">
        <v>28686</v>
      </c>
      <c r="B5616" s="1" t="s">
        <v>27</v>
      </c>
      <c r="C5616" s="1" t="s">
        <v>28687</v>
      </c>
      <c r="D5616" s="1" t="s">
        <v>18885</v>
      </c>
      <c r="E5616" s="1" t="s">
        <v>20206</v>
      </c>
      <c r="F5616" s="1" t="s">
        <v>162</v>
      </c>
      <c r="G5616" s="1" t="s">
        <v>28688</v>
      </c>
      <c r="H5616" s="1">
        <v>2017.0</v>
      </c>
      <c r="I5616" s="1" t="s">
        <v>42</v>
      </c>
      <c r="J5616" s="1" t="s">
        <v>1737</v>
      </c>
      <c r="K5616" s="1" t="s">
        <v>1839</v>
      </c>
      <c r="L5616" s="1" t="s">
        <v>28689</v>
      </c>
      <c r="M5616" s="2" t="s">
        <v>12</v>
      </c>
      <c r="N5616" s="4">
        <f t="shared" si="1"/>
        <v>42769</v>
      </c>
      <c r="O5616" s="5" t="str">
        <f>IFERROR(__xludf.DUMMYFUNCTION("IF(REGEXMATCH(TRIM(I5616), ""^\d+\s*min""), ""Unclassified"", IF(I5616 = """", ""NR"", I5616))"),"TV-MA")</f>
        <v>TV-MA</v>
      </c>
      <c r="R5616" s="5" t="str">
        <f t="shared" si="2"/>
        <v>Daniel Sosa: Sosafado</v>
      </c>
      <c r="S5616" s="5" t="str">
        <f>IFERROR(__xludf.DUMMYFUNCTION("""COMPUTED_VALUE"""),"Private Lives")</f>
        <v>Private Lives</v>
      </c>
      <c r="V5616" s="5"/>
      <c r="Y5616" s="5" t="str">
        <f>IFERROR(__xludf.DUMMYFUNCTION("REGEXEXTRACT(J5616, ""^\d+"")"),"78")</f>
        <v>78</v>
      </c>
      <c r="Z5616" s="5" t="str">
        <f>IFERROR(__xludf.DUMMYFUNCTION("REGEXEXTRACT(J5616, ""[A-Za-z ]+$"")")," min")</f>
        <v> min</v>
      </c>
      <c r="AA5616" s="5" t="str">
        <f>IFERROR(__xludf.DUMMYFUNCTION("IF(REGEXMATCH(Z5616, ""Season""), ""TV Show"", ""Movie"")"),"Movie")</f>
        <v>Movie</v>
      </c>
    </row>
    <row r="5617">
      <c r="A5617" s="1" t="s">
        <v>28690</v>
      </c>
      <c r="B5617" s="1" t="s">
        <v>27</v>
      </c>
      <c r="C5617" s="1" t="s">
        <v>28691</v>
      </c>
      <c r="D5617" s="1" t="s">
        <v>14367</v>
      </c>
      <c r="E5617" s="1" t="s">
        <v>28692</v>
      </c>
      <c r="F5617" s="1" t="s">
        <v>30</v>
      </c>
      <c r="G5617" s="1" t="s">
        <v>28688</v>
      </c>
      <c r="H5617" s="1">
        <v>2014.0</v>
      </c>
      <c r="I5617" s="1" t="s">
        <v>42</v>
      </c>
      <c r="J5617" s="1" t="s">
        <v>1144</v>
      </c>
      <c r="K5617" s="1" t="s">
        <v>805</v>
      </c>
      <c r="L5617" s="1" t="s">
        <v>28693</v>
      </c>
      <c r="M5617" s="2" t="s">
        <v>12</v>
      </c>
      <c r="N5617" s="4">
        <f t="shared" si="1"/>
        <v>42769</v>
      </c>
      <c r="O5617" s="5" t="str">
        <f>IFERROR(__xludf.DUMMYFUNCTION("IF(REGEXMATCH(TRIM(I5617), ""^\d+\s*min""), ""Unclassified"", IF(I5617 = """", ""NR"", I5617))"),"TV-MA")</f>
        <v>TV-MA</v>
      </c>
      <c r="R5617" s="5" t="str">
        <f t="shared" si="2"/>
        <v>Imperial Dreams</v>
      </c>
      <c r="S5617" s="5" t="str">
        <f>IFERROR(__xludf.DUMMYFUNCTION("""COMPUTED_VALUE"""),"Private Network: Who Killed Manuel Buendía?")</f>
        <v>Private Network: Who Killed Manuel Buendía?</v>
      </c>
      <c r="V5617" s="5"/>
      <c r="Y5617" s="5" t="str">
        <f>IFERROR(__xludf.DUMMYFUNCTION("REGEXEXTRACT(J5617, ""^\d+"")"),"86")</f>
        <v>86</v>
      </c>
      <c r="Z5617" s="5" t="str">
        <f>IFERROR(__xludf.DUMMYFUNCTION("REGEXEXTRACT(J5617, ""[A-Za-z ]+$"")")," min")</f>
        <v> min</v>
      </c>
      <c r="AA5617" s="5" t="str">
        <f>IFERROR(__xludf.DUMMYFUNCTION("IF(REGEXMATCH(Z5617, ""Season""), ""TV Show"", ""Movie"")"),"Movie")</f>
        <v>Movie</v>
      </c>
    </row>
    <row r="5618">
      <c r="A5618" s="1" t="s">
        <v>28694</v>
      </c>
      <c r="B5618" s="1" t="s">
        <v>27</v>
      </c>
      <c r="C5618" s="1" t="s">
        <v>28695</v>
      </c>
      <c r="D5618" s="1" t="s">
        <v>1984</v>
      </c>
      <c r="E5618" s="1" t="s">
        <v>28696</v>
      </c>
      <c r="F5618" s="1" t="s">
        <v>63</v>
      </c>
      <c r="G5618" s="1" t="s">
        <v>28697</v>
      </c>
      <c r="H5618" s="1">
        <v>2015.0</v>
      </c>
      <c r="I5618" s="1" t="s">
        <v>136</v>
      </c>
      <c r="J5618" s="1" t="s">
        <v>965</v>
      </c>
      <c r="K5618" s="1" t="s">
        <v>306</v>
      </c>
      <c r="L5618" s="1" t="s">
        <v>28698</v>
      </c>
      <c r="M5618" s="2" t="s">
        <v>12</v>
      </c>
      <c r="N5618" s="4">
        <f t="shared" si="1"/>
        <v>42767</v>
      </c>
      <c r="O5618" s="5" t="str">
        <f>IFERROR(__xludf.DUMMYFUNCTION("IF(REGEXMATCH(TRIM(I5618), ""^\d+\s*min""), ""Unclassified"", IF(I5618 = """", ""NR"", I5618))"),"TV-PG")</f>
        <v>TV-PG</v>
      </c>
      <c r="R5618" s="5" t="str">
        <f t="shared" si="2"/>
        <v>Dilwale</v>
      </c>
      <c r="S5618" s="5" t="str">
        <f>IFERROR(__xludf.DUMMYFUNCTION("""COMPUTED_VALUE"""),"Private Practice")</f>
        <v>Private Practice</v>
      </c>
      <c r="V5618" s="5"/>
      <c r="Y5618" s="5" t="str">
        <f>IFERROR(__xludf.DUMMYFUNCTION("REGEXEXTRACT(J5618, ""^\d+"")"),"154")</f>
        <v>154</v>
      </c>
      <c r="Z5618" s="5" t="str">
        <f>IFERROR(__xludf.DUMMYFUNCTION("REGEXEXTRACT(J5618, ""[A-Za-z ]+$"")")," min")</f>
        <v> min</v>
      </c>
      <c r="AA5618" s="5" t="str">
        <f>IFERROR(__xludf.DUMMYFUNCTION("IF(REGEXMATCH(Z5618, ""Season""), ""TV Show"", ""Movie"")"),"Movie")</f>
        <v>Movie</v>
      </c>
    </row>
    <row r="5619">
      <c r="A5619" s="1" t="s">
        <v>28699</v>
      </c>
      <c r="B5619" s="1" t="s">
        <v>27</v>
      </c>
      <c r="C5619" s="1" t="s">
        <v>28700</v>
      </c>
      <c r="D5619" s="1" t="s">
        <v>7477</v>
      </c>
      <c r="E5619" s="1" t="s">
        <v>28701</v>
      </c>
      <c r="F5619" s="1" t="s">
        <v>63</v>
      </c>
      <c r="G5619" s="1" t="s">
        <v>28697</v>
      </c>
      <c r="H5619" s="1">
        <v>2014.0</v>
      </c>
      <c r="I5619" s="1" t="s">
        <v>97</v>
      </c>
      <c r="J5619" s="1" t="s">
        <v>28702</v>
      </c>
      <c r="K5619" s="1" t="s">
        <v>617</v>
      </c>
      <c r="L5619" s="1" t="s">
        <v>28703</v>
      </c>
      <c r="M5619" s="2" t="s">
        <v>12</v>
      </c>
      <c r="N5619" s="4">
        <f t="shared" si="1"/>
        <v>42767</v>
      </c>
      <c r="O5619" s="5" t="str">
        <f>IFERROR(__xludf.DUMMYFUNCTION("IF(REGEXMATCH(TRIM(I5619), ""^\d+\s*min""), ""Unclassified"", IF(I5619 = """", ""NR"", I5619))"),"TV-14")</f>
        <v>TV-14</v>
      </c>
      <c r="R5619" s="5" t="str">
        <f t="shared" si="2"/>
        <v>Happy New Year</v>
      </c>
      <c r="S5619" s="5" t="str">
        <f>IFERROR(__xludf.DUMMYFUNCTION("""COMPUTED_VALUE"""),"Professor")</f>
        <v>Professor</v>
      </c>
      <c r="V5619" s="5"/>
      <c r="Y5619" s="5" t="str">
        <f>IFERROR(__xludf.DUMMYFUNCTION("REGEXEXTRACT(J5619, ""^\d+"")"),"179")</f>
        <v>179</v>
      </c>
      <c r="Z5619" s="5" t="str">
        <f>IFERROR(__xludf.DUMMYFUNCTION("REGEXEXTRACT(J5619, ""[A-Za-z ]+$"")")," min")</f>
        <v> min</v>
      </c>
      <c r="AA5619" s="5" t="str">
        <f>IFERROR(__xludf.DUMMYFUNCTION("IF(REGEXMATCH(Z5619, ""Season""), ""TV Show"", ""Movie"")"),"Movie")</f>
        <v>Movie</v>
      </c>
    </row>
    <row r="5620">
      <c r="A5620" s="1" t="s">
        <v>28704</v>
      </c>
      <c r="B5620" s="1" t="s">
        <v>27</v>
      </c>
      <c r="C5620" s="1" t="s">
        <v>28705</v>
      </c>
      <c r="D5620" s="1" t="s">
        <v>21100</v>
      </c>
      <c r="E5620" s="1" t="s">
        <v>28706</v>
      </c>
      <c r="F5620" s="1" t="s">
        <v>63</v>
      </c>
      <c r="G5620" s="1" t="s">
        <v>28697</v>
      </c>
      <c r="H5620" s="1">
        <v>2015.0</v>
      </c>
      <c r="I5620" s="1" t="s">
        <v>97</v>
      </c>
      <c r="J5620" s="1" t="s">
        <v>454</v>
      </c>
      <c r="K5620" s="1" t="s">
        <v>89</v>
      </c>
      <c r="L5620" s="1" t="s">
        <v>28707</v>
      </c>
      <c r="M5620" s="2" t="s">
        <v>12</v>
      </c>
      <c r="N5620" s="4">
        <f t="shared" si="1"/>
        <v>42767</v>
      </c>
      <c r="O5620" s="5" t="str">
        <f>IFERROR(__xludf.DUMMYFUNCTION("IF(REGEXMATCH(TRIM(I5620), ""^\d+\s*min""), ""Unclassified"", IF(I5620 = """", ""NR"", I5620))"),"TV-14")</f>
        <v>TV-14</v>
      </c>
      <c r="R5620" s="5" t="str">
        <f t="shared" si="2"/>
        <v>Haraamkhor</v>
      </c>
      <c r="S5620" s="5" t="str">
        <f>IFERROR(__xludf.DUMMYFUNCTION("""COMPUTED_VALUE"""),"Professor Mack")</f>
        <v>Professor Mack</v>
      </c>
      <c r="V5620" s="5"/>
      <c r="Y5620" s="5" t="str">
        <f>IFERROR(__xludf.DUMMYFUNCTION("REGEXEXTRACT(J5620, ""^\d+"")"),"93")</f>
        <v>93</v>
      </c>
      <c r="Z5620" s="5" t="str">
        <f>IFERROR(__xludf.DUMMYFUNCTION("REGEXEXTRACT(J5620, ""[A-Za-z ]+$"")")," min")</f>
        <v> min</v>
      </c>
      <c r="AA5620" s="5" t="str">
        <f>IFERROR(__xludf.DUMMYFUNCTION("IF(REGEXMATCH(Z5620, ""Season""), ""TV Show"", ""Movie"")"),"Movie")</f>
        <v>Movie</v>
      </c>
    </row>
    <row r="5621">
      <c r="A5621" s="1" t="s">
        <v>28708</v>
      </c>
      <c r="B5621" s="1" t="s">
        <v>27</v>
      </c>
      <c r="C5621" s="1" t="s">
        <v>28709</v>
      </c>
      <c r="D5621" s="1" t="s">
        <v>11029</v>
      </c>
      <c r="E5621" s="1" t="s">
        <v>28710</v>
      </c>
      <c r="F5621" s="1" t="s">
        <v>784</v>
      </c>
      <c r="G5621" s="1" t="s">
        <v>28697</v>
      </c>
      <c r="H5621" s="1">
        <v>2016.0</v>
      </c>
      <c r="I5621" s="1" t="s">
        <v>42</v>
      </c>
      <c r="J5621" s="1" t="s">
        <v>247</v>
      </c>
      <c r="K5621" s="1" t="s">
        <v>1328</v>
      </c>
      <c r="L5621" s="1" t="s">
        <v>28711</v>
      </c>
      <c r="M5621" s="2" t="s">
        <v>12</v>
      </c>
      <c r="N5621" s="4">
        <f t="shared" si="1"/>
        <v>42767</v>
      </c>
      <c r="O5621" s="5" t="str">
        <f>IFERROR(__xludf.DUMMYFUNCTION("IF(REGEXMATCH(TRIM(I5621), ""^\d+\s*min""), ""Unclassified"", IF(I5621 = """", ""NR"", I5621))"),"TV-MA")</f>
        <v>TV-MA</v>
      </c>
      <c r="R5621" s="5" t="str">
        <f t="shared" si="2"/>
        <v>Heroes Wanted</v>
      </c>
      <c r="S5621" s="5" t="str">
        <f>IFERROR(__xludf.DUMMYFUNCTION("""COMPUTED_VALUE"""),"Prohibition: A Film By Ken Burns And Lynn Novick")</f>
        <v>Prohibition: A Film By Ken Burns And Lynn Novick</v>
      </c>
      <c r="V5621" s="5"/>
      <c r="Y5621" s="5" t="str">
        <f>IFERROR(__xludf.DUMMYFUNCTION("REGEXEXTRACT(J5621, ""^\d+"")"),"97")</f>
        <v>97</v>
      </c>
      <c r="Z5621" s="5" t="str">
        <f>IFERROR(__xludf.DUMMYFUNCTION("REGEXEXTRACT(J5621, ""[A-Za-z ]+$"")")," min")</f>
        <v> min</v>
      </c>
      <c r="AA5621" s="5" t="str">
        <f>IFERROR(__xludf.DUMMYFUNCTION("IF(REGEXMATCH(Z5621, ""Season""), ""TV Show"", ""Movie"")"),"Movie")</f>
        <v>Movie</v>
      </c>
    </row>
    <row r="5622">
      <c r="A5622" s="1" t="s">
        <v>28712</v>
      </c>
      <c r="B5622" s="1" t="s">
        <v>27</v>
      </c>
      <c r="C5622" s="1" t="s">
        <v>28713</v>
      </c>
      <c r="D5622" s="1" t="s">
        <v>11651</v>
      </c>
      <c r="E5622" s="1" t="s">
        <v>28714</v>
      </c>
      <c r="F5622" s="1" t="s">
        <v>784</v>
      </c>
      <c r="G5622" s="1" t="s">
        <v>28697</v>
      </c>
      <c r="H5622" s="1">
        <v>2016.0</v>
      </c>
      <c r="I5622" s="1" t="s">
        <v>42</v>
      </c>
      <c r="J5622" s="1" t="s">
        <v>912</v>
      </c>
      <c r="K5622" s="1" t="s">
        <v>679</v>
      </c>
      <c r="L5622" s="1" t="s">
        <v>28715</v>
      </c>
      <c r="M5622" s="2" t="s">
        <v>12</v>
      </c>
      <c r="N5622" s="4">
        <f t="shared" si="1"/>
        <v>42767</v>
      </c>
      <c r="O5622" s="5" t="str">
        <f>IFERROR(__xludf.DUMMYFUNCTION("IF(REGEXMATCH(TRIM(I5622), ""^\d+\s*min""), ""Unclassified"", IF(I5622 = """", ""NR"", I5622))"),"TV-MA")</f>
        <v>TV-MA</v>
      </c>
      <c r="R5622" s="5" t="str">
        <f t="shared" si="2"/>
        <v>The Reconquest</v>
      </c>
      <c r="S5622" s="5" t="str">
        <f>IFERROR(__xludf.DUMMYFUNCTION("""COMPUTED_VALUE"""),"Project Marathwada")</f>
        <v>Project Marathwada</v>
      </c>
      <c r="V5622" s="5"/>
      <c r="Y5622" s="5" t="str">
        <f>IFERROR(__xludf.DUMMYFUNCTION("REGEXEXTRACT(J5622, ""^\d+"")"),"108")</f>
        <v>108</v>
      </c>
      <c r="Z5622" s="5" t="str">
        <f>IFERROR(__xludf.DUMMYFUNCTION("REGEXEXTRACT(J5622, ""[A-Za-z ]+$"")")," min")</f>
        <v> min</v>
      </c>
      <c r="AA5622" s="5" t="str">
        <f>IFERROR(__xludf.DUMMYFUNCTION("IF(REGEXMATCH(Z5622, ""Season""), ""TV Show"", ""Movie"")"),"Movie")</f>
        <v>Movie</v>
      </c>
    </row>
    <row r="5623">
      <c r="A5623" s="1" t="s">
        <v>28716</v>
      </c>
      <c r="B5623" s="1" t="s">
        <v>27</v>
      </c>
      <c r="C5623" s="1" t="s">
        <v>28717</v>
      </c>
      <c r="D5623" s="1" t="s">
        <v>28718</v>
      </c>
      <c r="E5623" s="1" t="s">
        <v>28719</v>
      </c>
      <c r="F5623" s="1" t="s">
        <v>1979</v>
      </c>
      <c r="G5623" s="1" t="s">
        <v>28697</v>
      </c>
      <c r="H5623" s="1">
        <v>2014.0</v>
      </c>
      <c r="I5623" s="1" t="s">
        <v>206</v>
      </c>
      <c r="J5623" s="1" t="s">
        <v>665</v>
      </c>
      <c r="K5623" s="1" t="s">
        <v>137</v>
      </c>
      <c r="L5623" s="1" t="s">
        <v>28720</v>
      </c>
      <c r="M5623" s="2" t="s">
        <v>12</v>
      </c>
      <c r="N5623" s="4">
        <f t="shared" si="1"/>
        <v>42767</v>
      </c>
      <c r="O5623" s="5" t="str">
        <f>IFERROR(__xludf.DUMMYFUNCTION("IF(REGEXMATCH(TRIM(I5623), ""^\d+\s*min""), ""Unclassified"", IF(I5623 = """", ""NR"", I5623))"),"TV-Y")</f>
        <v>TV-Y</v>
      </c>
      <c r="R5623" s="5" t="str">
        <f t="shared" si="2"/>
        <v>Zapped</v>
      </c>
      <c r="S5623" s="5" t="str">
        <f>IFERROR(__xludf.DUMMYFUNCTION("""COMPUTED_VALUE"""),"Project Mc²")</f>
        <v>Project Mc²</v>
      </c>
      <c r="V5623" s="5"/>
      <c r="Y5623" s="5" t="str">
        <f>IFERROR(__xludf.DUMMYFUNCTION("REGEXEXTRACT(J5623, ""^\d+"")"),"92")</f>
        <v>92</v>
      </c>
      <c r="Z5623" s="5" t="str">
        <f>IFERROR(__xludf.DUMMYFUNCTION("REGEXEXTRACT(J5623, ""[A-Za-z ]+$"")")," min")</f>
        <v> min</v>
      </c>
      <c r="AA5623" s="5" t="str">
        <f>IFERROR(__xludf.DUMMYFUNCTION("IF(REGEXMATCH(Z5623, ""Season""), ""TV Show"", ""Movie"")"),"Movie")</f>
        <v>Movie</v>
      </c>
    </row>
    <row r="5624">
      <c r="A5624" s="1" t="s">
        <v>28721</v>
      </c>
      <c r="B5624" s="1" t="s">
        <v>27</v>
      </c>
      <c r="C5624" s="1" t="s">
        <v>28722</v>
      </c>
      <c r="D5624" s="1" t="s">
        <v>10401</v>
      </c>
      <c r="E5624" s="1" t="s">
        <v>19306</v>
      </c>
      <c r="F5624" s="1" t="s">
        <v>30</v>
      </c>
      <c r="G5624" s="1" t="s">
        <v>28723</v>
      </c>
      <c r="H5624" s="1">
        <v>2017.0</v>
      </c>
      <c r="I5624" s="1" t="s">
        <v>42</v>
      </c>
      <c r="J5624" s="1" t="s">
        <v>1737</v>
      </c>
      <c r="K5624" s="1" t="s">
        <v>1839</v>
      </c>
      <c r="L5624" s="1" t="s">
        <v>28724</v>
      </c>
      <c r="M5624" s="2" t="s">
        <v>12</v>
      </c>
      <c r="N5624" s="4">
        <f t="shared" si="1"/>
        <v>42766</v>
      </c>
      <c r="O5624" s="5" t="str">
        <f>IFERROR(__xludf.DUMMYFUNCTION("IF(REGEXMATCH(TRIM(I5624), ""^\d+\s*min""), ""Unclassified"", IF(I5624 = """", ""NR"", I5624))"),"TV-MA")</f>
        <v>TV-MA</v>
      </c>
      <c r="R5624" s="5" t="str">
        <f t="shared" si="2"/>
        <v>Bill Burr: Walk Your Way Out</v>
      </c>
      <c r="S5624" s="5" t="str">
        <f>IFERROR(__xludf.DUMMYFUNCTION("""COMPUTED_VALUE"""),"Project Papa")</f>
        <v>Project Papa</v>
      </c>
      <c r="V5624" s="5"/>
      <c r="Y5624" s="5" t="str">
        <f>IFERROR(__xludf.DUMMYFUNCTION("REGEXEXTRACT(J5624, ""^\d+"")"),"78")</f>
        <v>78</v>
      </c>
      <c r="Z5624" s="5" t="str">
        <f>IFERROR(__xludf.DUMMYFUNCTION("REGEXEXTRACT(J5624, ""[A-Za-z ]+$"")")," min")</f>
        <v> min</v>
      </c>
      <c r="AA5624" s="5" t="str">
        <f>IFERROR(__xludf.DUMMYFUNCTION("IF(REGEXMATCH(Z5624, ""Season""), ""TV Show"", ""Movie"")"),"Movie")</f>
        <v>Movie</v>
      </c>
    </row>
    <row r="5625">
      <c r="A5625" s="1" t="s">
        <v>28725</v>
      </c>
      <c r="B5625" s="1" t="s">
        <v>27</v>
      </c>
      <c r="C5625" s="1" t="s">
        <v>28726</v>
      </c>
      <c r="D5625" s="1" t="s">
        <v>944</v>
      </c>
      <c r="E5625" s="1" t="s">
        <v>28727</v>
      </c>
      <c r="F5625" s="1" t="s">
        <v>162</v>
      </c>
      <c r="G5625" s="1" t="s">
        <v>28723</v>
      </c>
      <c r="H5625" s="1">
        <v>2015.0</v>
      </c>
      <c r="I5625" s="1" t="s">
        <v>42</v>
      </c>
      <c r="J5625" s="1" t="s">
        <v>630</v>
      </c>
      <c r="K5625" s="1" t="s">
        <v>128</v>
      </c>
      <c r="L5625" s="1" t="s">
        <v>28728</v>
      </c>
      <c r="M5625" s="2" t="s">
        <v>12</v>
      </c>
      <c r="N5625" s="4">
        <f t="shared" si="1"/>
        <v>42766</v>
      </c>
      <c r="O5625" s="5" t="str">
        <f>IFERROR(__xludf.DUMMYFUNCTION("IF(REGEXMATCH(TRIM(I5625), ""^\d+\s*min""), ""Unclassified"", IF(I5625 = """", ""NR"", I5625))"),"TV-MA")</f>
        <v>TV-MA</v>
      </c>
      <c r="R5625" s="5" t="str">
        <f t="shared" si="2"/>
        <v>Semana Santa</v>
      </c>
      <c r="S5625" s="5" t="str">
        <f>IFERROR(__xludf.DUMMYFUNCTION("""COMPUTED_VALUE"""),"Project Power")</f>
        <v>Project Power</v>
      </c>
      <c r="V5625" s="5"/>
      <c r="Y5625" s="5" t="str">
        <f>IFERROR(__xludf.DUMMYFUNCTION("REGEXEXTRACT(J5625, ""^\d+"")"),"87")</f>
        <v>87</v>
      </c>
      <c r="Z5625" s="5" t="str">
        <f>IFERROR(__xludf.DUMMYFUNCTION("REGEXEXTRACT(J5625, ""[A-Za-z ]+$"")")," min")</f>
        <v> min</v>
      </c>
      <c r="AA5625" s="5" t="str">
        <f>IFERROR(__xludf.DUMMYFUNCTION("IF(REGEXMATCH(Z5625, ""Season""), ""TV Show"", ""Movie"")"),"Movie")</f>
        <v>Movie</v>
      </c>
    </row>
    <row r="5626">
      <c r="A5626" s="1" t="s">
        <v>28729</v>
      </c>
      <c r="B5626" s="1" t="s">
        <v>27</v>
      </c>
      <c r="C5626" s="1" t="s">
        <v>28730</v>
      </c>
      <c r="D5626" s="1" t="s">
        <v>20725</v>
      </c>
      <c r="E5626" s="1" t="s">
        <v>28731</v>
      </c>
      <c r="F5626" s="1" t="s">
        <v>664</v>
      </c>
      <c r="G5626" s="1" t="s">
        <v>28732</v>
      </c>
      <c r="H5626" s="1">
        <v>2016.0</v>
      </c>
      <c r="I5626" s="1" t="s">
        <v>97</v>
      </c>
      <c r="J5626" s="1" t="s">
        <v>416</v>
      </c>
      <c r="K5626" s="1" t="s">
        <v>199</v>
      </c>
      <c r="L5626" s="1" t="s">
        <v>28733</v>
      </c>
      <c r="M5626" s="2" t="s">
        <v>12</v>
      </c>
      <c r="N5626" s="4">
        <f t="shared" si="1"/>
        <v>42764</v>
      </c>
      <c r="O5626" s="5" t="str">
        <f>IFERROR(__xludf.DUMMYFUNCTION("IF(REGEXMATCH(TRIM(I5626), ""^\d+\s*min""), ""Unclassified"", IF(I5626 = """", ""NR"", I5626))"),"TV-14")</f>
        <v>TV-14</v>
      </c>
      <c r="R5626" s="5" t="str">
        <f t="shared" si="2"/>
        <v>Journey To Greenland</v>
      </c>
      <c r="S5626" s="5" t="str">
        <f>IFERROR(__xludf.DUMMYFUNCTION("""COMPUTED_VALUE"""),"Project S The Series")</f>
        <v>Project S The Series</v>
      </c>
      <c r="V5626" s="5"/>
      <c r="Y5626" s="5" t="str">
        <f>IFERROR(__xludf.DUMMYFUNCTION("REGEXEXTRACT(J5626, ""^\d+"")"),"99")</f>
        <v>99</v>
      </c>
      <c r="Z5626" s="5" t="str">
        <f>IFERROR(__xludf.DUMMYFUNCTION("REGEXEXTRACT(J5626, ""[A-Za-z ]+$"")")," min")</f>
        <v> min</v>
      </c>
      <c r="AA5626" s="5" t="str">
        <f>IFERROR(__xludf.DUMMYFUNCTION("IF(REGEXMATCH(Z5626, ""Season""), ""TV Show"", ""Movie"")"),"Movie")</f>
        <v>Movie</v>
      </c>
    </row>
    <row r="5627">
      <c r="A5627" s="1" t="s">
        <v>28734</v>
      </c>
      <c r="B5627" s="1" t="s">
        <v>27</v>
      </c>
      <c r="C5627" s="1" t="s">
        <v>28735</v>
      </c>
      <c r="D5627" s="1" t="s">
        <v>424</v>
      </c>
      <c r="E5627" s="1" t="s">
        <v>28736</v>
      </c>
      <c r="F5627" s="1" t="s">
        <v>96</v>
      </c>
      <c r="G5627" s="1" t="s">
        <v>28737</v>
      </c>
      <c r="H5627" s="1">
        <v>2017.0</v>
      </c>
      <c r="I5627" s="1" t="s">
        <v>42</v>
      </c>
      <c r="J5627" s="1" t="s">
        <v>79</v>
      </c>
      <c r="K5627" s="1" t="s">
        <v>14389</v>
      </c>
      <c r="L5627" s="1" t="s">
        <v>28738</v>
      </c>
      <c r="M5627" s="2" t="s">
        <v>12</v>
      </c>
      <c r="N5627" s="4">
        <f t="shared" si="1"/>
        <v>42762</v>
      </c>
      <c r="O5627" s="5" t="str">
        <f>IFERROR(__xludf.DUMMYFUNCTION("IF(REGEXMATCH(TRIM(I5627), ""^\d+\s*min""), ""Unclassified"", IF(I5627 = """", ""NR"", I5627))"),"TV-MA")</f>
        <v>TV-MA</v>
      </c>
      <c r="R5627" s="5" t="str">
        <f t="shared" si="2"/>
        <v>Iboy</v>
      </c>
      <c r="S5627" s="5" t="str">
        <f>IFERROR(__xludf.DUMMYFUNCTION("""COMPUTED_VALUE"""),"Prom Night")</f>
        <v>Prom Night</v>
      </c>
      <c r="V5627" s="5"/>
      <c r="Y5627" s="5" t="str">
        <f>IFERROR(__xludf.DUMMYFUNCTION("REGEXEXTRACT(J5627, ""^\d+"")"),"91")</f>
        <v>91</v>
      </c>
      <c r="Z5627" s="5" t="str">
        <f>IFERROR(__xludf.DUMMYFUNCTION("REGEXEXTRACT(J5627, ""[A-Za-z ]+$"")")," min")</f>
        <v> min</v>
      </c>
      <c r="AA5627" s="5" t="str">
        <f>IFERROR(__xludf.DUMMYFUNCTION("IF(REGEXMATCH(Z5627, ""Season""), ""TV Show"", ""Movie"")"),"Movie")</f>
        <v>Movie</v>
      </c>
    </row>
    <row r="5628">
      <c r="A5628" s="1" t="s">
        <v>28739</v>
      </c>
      <c r="B5628" s="1" t="s">
        <v>27</v>
      </c>
      <c r="C5628" s="1" t="s">
        <v>28740</v>
      </c>
      <c r="D5628" s="1" t="s">
        <v>14608</v>
      </c>
      <c r="E5628" s="1" t="s">
        <v>28741</v>
      </c>
      <c r="F5628" s="1" t="s">
        <v>1992</v>
      </c>
      <c r="G5628" s="1" t="s">
        <v>28742</v>
      </c>
      <c r="H5628" s="1">
        <v>2016.0</v>
      </c>
      <c r="I5628" s="1" t="s">
        <v>42</v>
      </c>
      <c r="J5628" s="1" t="s">
        <v>447</v>
      </c>
      <c r="K5628" s="1" t="s">
        <v>128</v>
      </c>
      <c r="L5628" s="1" t="s">
        <v>28743</v>
      </c>
      <c r="M5628" s="2" t="s">
        <v>12</v>
      </c>
      <c r="N5628" s="4">
        <f t="shared" si="1"/>
        <v>42760</v>
      </c>
      <c r="O5628" s="5" t="str">
        <f>IFERROR(__xludf.DUMMYFUNCTION("IF(REGEXMATCH(TRIM(I5628), ""^\d+\s*min""), ""Unclassified"", IF(I5628 = """", ""NR"", I5628))"),"TV-MA")</f>
        <v>TV-MA</v>
      </c>
      <c r="R5628" s="5" t="str">
        <f t="shared" si="2"/>
        <v>O Silêncio Do Céu</v>
      </c>
      <c r="S5628" s="5" t="str">
        <f>IFERROR(__xludf.DUMMYFUNCTION("""COMPUTED_VALUE"""),"Prosecuting Evil: The Extraordinary World Of Ben Ferencz")</f>
        <v>Prosecuting Evil: The Extraordinary World Of Ben Ferencz</v>
      </c>
      <c r="V5628" s="5"/>
      <c r="Y5628" s="5" t="str">
        <f>IFERROR(__xludf.DUMMYFUNCTION("REGEXEXTRACT(J5628, ""^\d+"")"),"102")</f>
        <v>102</v>
      </c>
      <c r="Z5628" s="5" t="str">
        <f>IFERROR(__xludf.DUMMYFUNCTION("REGEXEXTRACT(J5628, ""[A-Za-z ]+$"")")," min")</f>
        <v> min</v>
      </c>
      <c r="AA5628" s="5" t="str">
        <f>IFERROR(__xludf.DUMMYFUNCTION("IF(REGEXMATCH(Z5628, ""Season""), ""TV Show"", ""Movie"")"),"Movie")</f>
        <v>Movie</v>
      </c>
    </row>
    <row r="5629">
      <c r="A5629" s="1" t="s">
        <v>28744</v>
      </c>
      <c r="B5629" s="1" t="s">
        <v>27</v>
      </c>
      <c r="C5629" s="1" t="s">
        <v>28745</v>
      </c>
      <c r="D5629" s="1" t="s">
        <v>14140</v>
      </c>
      <c r="E5629" s="1" t="s">
        <v>28746</v>
      </c>
      <c r="F5629" s="1" t="s">
        <v>30</v>
      </c>
      <c r="G5629" s="1" t="s">
        <v>28747</v>
      </c>
      <c r="H5629" s="1">
        <v>2017.0</v>
      </c>
      <c r="I5629" s="1" t="s">
        <v>42</v>
      </c>
      <c r="J5629" s="1" t="s">
        <v>155</v>
      </c>
      <c r="K5629" s="1" t="s">
        <v>1839</v>
      </c>
      <c r="L5629" s="1" t="s">
        <v>28748</v>
      </c>
      <c r="M5629" s="2" t="s">
        <v>12</v>
      </c>
      <c r="N5629" s="4">
        <f t="shared" si="1"/>
        <v>42759</v>
      </c>
      <c r="O5629" s="5" t="str">
        <f>IFERROR(__xludf.DUMMYFUNCTION("IF(REGEXMATCH(TRIM(I5629), ""^\d+\s*min""), ""Unclassified"", IF(I5629 = """", ""NR"", I5629))"),"TV-MA")</f>
        <v>TV-MA</v>
      </c>
      <c r="R5629" s="5" t="str">
        <f t="shared" si="2"/>
        <v>Cristela Alonzo: Lower Classy</v>
      </c>
      <c r="S5629" s="5" t="str">
        <f>IFERROR(__xludf.DUMMYFUNCTION("""COMPUTED_VALUE"""),"Prospect")</f>
        <v>Prospect</v>
      </c>
      <c r="V5629" s="5"/>
      <c r="Y5629" s="5" t="str">
        <f>IFERROR(__xludf.DUMMYFUNCTION("REGEXEXTRACT(J5629, ""^\d+"")"),"67")</f>
        <v>67</v>
      </c>
      <c r="Z5629" s="5" t="str">
        <f>IFERROR(__xludf.DUMMYFUNCTION("REGEXEXTRACT(J5629, ""[A-Za-z ]+$"")")," min")</f>
        <v> min</v>
      </c>
      <c r="AA5629" s="5" t="str">
        <f>IFERROR(__xludf.DUMMYFUNCTION("IF(REGEXMATCH(Z5629, ""Season""), ""TV Show"", ""Movie"")"),"Movie")</f>
        <v>Movie</v>
      </c>
    </row>
    <row r="5630">
      <c r="A5630" s="1" t="s">
        <v>28749</v>
      </c>
      <c r="B5630" s="1" t="s">
        <v>27</v>
      </c>
      <c r="C5630" s="1" t="s">
        <v>28750</v>
      </c>
      <c r="D5630" s="1" t="s">
        <v>14778</v>
      </c>
      <c r="E5630" s="1" t="s">
        <v>26064</v>
      </c>
      <c r="F5630" s="1" t="s">
        <v>664</v>
      </c>
      <c r="G5630" s="1" t="s">
        <v>28751</v>
      </c>
      <c r="H5630" s="1">
        <v>2017.0</v>
      </c>
      <c r="I5630" s="1" t="s">
        <v>42</v>
      </c>
      <c r="J5630" s="1" t="s">
        <v>8832</v>
      </c>
      <c r="K5630" s="1" t="s">
        <v>1839</v>
      </c>
      <c r="L5630" s="1" t="s">
        <v>28752</v>
      </c>
      <c r="M5630" s="2" t="s">
        <v>12</v>
      </c>
      <c r="N5630" s="4">
        <f t="shared" si="1"/>
        <v>42758</v>
      </c>
      <c r="O5630" s="5" t="str">
        <f>IFERROR(__xludf.DUMMYFUNCTION("IF(REGEXMATCH(TRIM(I5630), ""^\d+\s*min""), ""Unclassified"", IF(I5630 = """", ""NR"", I5630))"),"TV-MA")</f>
        <v>TV-MA</v>
      </c>
      <c r="R5630" s="5" t="str">
        <f t="shared" si="2"/>
        <v>Gad Gone Wild</v>
      </c>
      <c r="S5630" s="5" t="str">
        <f>IFERROR(__xludf.DUMMYFUNCTION("""COMPUTED_VALUE"""),"Psiconautas")</f>
        <v>Psiconautas</v>
      </c>
      <c r="V5630" s="5"/>
      <c r="Y5630" s="5" t="str">
        <f>IFERROR(__xludf.DUMMYFUNCTION("REGEXEXTRACT(J5630, ""^\d+"")"),"57")</f>
        <v>57</v>
      </c>
      <c r="Z5630" s="5" t="str">
        <f>IFERROR(__xludf.DUMMYFUNCTION("REGEXEXTRACT(J5630, ""[A-Za-z ]+$"")")," min")</f>
        <v> min</v>
      </c>
      <c r="AA5630" s="5" t="str">
        <f>IFERROR(__xludf.DUMMYFUNCTION("IF(REGEXMATCH(Z5630, ""Season""), ""TV Show"", ""Movie"")"),"Movie")</f>
        <v>Movie</v>
      </c>
    </row>
    <row r="5631">
      <c r="A5631" s="1" t="s">
        <v>28753</v>
      </c>
      <c r="B5631" s="1" t="s">
        <v>27</v>
      </c>
      <c r="C5631" s="1" t="s">
        <v>28754</v>
      </c>
      <c r="D5631" s="1" t="s">
        <v>2132</v>
      </c>
      <c r="E5631" s="1" t="s">
        <v>28755</v>
      </c>
      <c r="F5631" s="1" t="s">
        <v>63</v>
      </c>
      <c r="G5631" s="1" t="s">
        <v>28756</v>
      </c>
      <c r="H5631" s="1">
        <v>2016.0</v>
      </c>
      <c r="I5631" s="1" t="s">
        <v>97</v>
      </c>
      <c r="J5631" s="1" t="s">
        <v>2281</v>
      </c>
      <c r="K5631" s="1" t="s">
        <v>128</v>
      </c>
      <c r="L5631" s="1" t="s">
        <v>28757</v>
      </c>
      <c r="M5631" s="2" t="s">
        <v>12</v>
      </c>
      <c r="N5631" s="4">
        <f t="shared" si="1"/>
        <v>42755</v>
      </c>
      <c r="O5631" s="5" t="str">
        <f>IFERROR(__xludf.DUMMYFUNCTION("IF(REGEXMATCH(TRIM(I5631), ""^\d+\s*min""), ""Unclassified"", IF(I5631 = """", ""NR"", I5631))"),"TV-14")</f>
        <v>TV-14</v>
      </c>
      <c r="R5631" s="5" t="str">
        <f t="shared" si="2"/>
        <v>Pink</v>
      </c>
      <c r="S5631" s="5" t="str">
        <f>IFERROR(__xludf.DUMMYFUNCTION("""COMPUTED_VALUE"""),"Psycho")</f>
        <v>Psycho</v>
      </c>
      <c r="V5631" s="5"/>
      <c r="Y5631" s="5" t="str">
        <f>IFERROR(__xludf.DUMMYFUNCTION("REGEXEXTRACT(J5631, ""^\d+"")"),"130")</f>
        <v>130</v>
      </c>
      <c r="Z5631" s="5" t="str">
        <f>IFERROR(__xludf.DUMMYFUNCTION("REGEXEXTRACT(J5631, ""[A-Za-z ]+$"")")," min")</f>
        <v> min</v>
      </c>
      <c r="AA5631" s="5" t="str">
        <f>IFERROR(__xludf.DUMMYFUNCTION("IF(REGEXMATCH(Z5631, ""Season""), ""TV Show"", ""Movie"")"),"Movie")</f>
        <v>Movie</v>
      </c>
    </row>
    <row r="5632">
      <c r="A5632" s="1" t="s">
        <v>28758</v>
      </c>
      <c r="B5632" s="1" t="s">
        <v>27</v>
      </c>
      <c r="C5632" s="1" t="s">
        <v>28759</v>
      </c>
      <c r="D5632" s="1" t="s">
        <v>4546</v>
      </c>
      <c r="E5632" s="1" t="s">
        <v>28760</v>
      </c>
      <c r="F5632" s="1" t="s">
        <v>30</v>
      </c>
      <c r="G5632" s="1" t="s">
        <v>28756</v>
      </c>
      <c r="H5632" s="1">
        <v>2017.0</v>
      </c>
      <c r="I5632" s="1" t="s">
        <v>42</v>
      </c>
      <c r="J5632" s="1" t="s">
        <v>729</v>
      </c>
      <c r="K5632" s="1" t="s">
        <v>239</v>
      </c>
      <c r="L5632" s="1" t="s">
        <v>28761</v>
      </c>
      <c r="M5632" s="2" t="s">
        <v>12</v>
      </c>
      <c r="N5632" s="4">
        <f t="shared" si="1"/>
        <v>42755</v>
      </c>
      <c r="O5632" s="5" t="str">
        <f>IFERROR(__xludf.DUMMYFUNCTION("IF(REGEXMATCH(TRIM(I5632), ""^\d+\s*min""), ""Unclassified"", IF(I5632 = """", ""NR"", I5632))"),"TV-MA")</f>
        <v>TV-MA</v>
      </c>
      <c r="R5632" s="5" t="str">
        <f t="shared" si="2"/>
        <v>Take The 10</v>
      </c>
      <c r="S5632" s="5" t="str">
        <f>IFERROR(__xludf.DUMMYFUNCTION("""COMPUTED_VALUE"""),"Psychokinesis")</f>
        <v>Psychokinesis</v>
      </c>
      <c r="V5632" s="5"/>
      <c r="Y5632" s="5" t="str">
        <f>IFERROR(__xludf.DUMMYFUNCTION("REGEXEXTRACT(J5632, ""^\d+"")"),"80")</f>
        <v>80</v>
      </c>
      <c r="Z5632" s="5" t="str">
        <f>IFERROR(__xludf.DUMMYFUNCTION("REGEXEXTRACT(J5632, ""[A-Za-z ]+$"")")," min")</f>
        <v> min</v>
      </c>
      <c r="AA5632" s="5" t="str">
        <f>IFERROR(__xludf.DUMMYFUNCTION("IF(REGEXMATCH(Z5632, ""Season""), ""TV Show"", ""Movie"")"),"Movie")</f>
        <v>Movie</v>
      </c>
    </row>
    <row r="5633">
      <c r="A5633" s="1" t="s">
        <v>28762</v>
      </c>
      <c r="B5633" s="1" t="s">
        <v>27</v>
      </c>
      <c r="C5633" s="1" t="s">
        <v>28763</v>
      </c>
      <c r="D5633" s="1" t="s">
        <v>16659</v>
      </c>
      <c r="E5633" s="1" t="s">
        <v>16659</v>
      </c>
      <c r="F5633" s="1" t="s">
        <v>30</v>
      </c>
      <c r="G5633" s="1" t="s">
        <v>28764</v>
      </c>
      <c r="H5633" s="1">
        <v>2017.0</v>
      </c>
      <c r="I5633" s="1" t="s">
        <v>42</v>
      </c>
      <c r="J5633" s="1" t="s">
        <v>2636</v>
      </c>
      <c r="K5633" s="1" t="s">
        <v>1839</v>
      </c>
      <c r="L5633" s="1" t="s">
        <v>28765</v>
      </c>
      <c r="M5633" s="2" t="s">
        <v>12</v>
      </c>
      <c r="N5633" s="4">
        <f t="shared" si="1"/>
        <v>42752</v>
      </c>
      <c r="O5633" s="5" t="str">
        <f>IFERROR(__xludf.DUMMYFUNCTION("IF(REGEXMATCH(TRIM(I5633), ""^\d+\s*min""), ""Unclassified"", IF(I5633 = """", ""NR"", I5633))"),"TV-MA")</f>
        <v>TV-MA</v>
      </c>
      <c r="R5633" s="5" t="str">
        <f t="shared" si="2"/>
        <v>Neal Brennan: 3 Mics</v>
      </c>
      <c r="S5633" s="5" t="str">
        <f>IFERROR(__xludf.DUMMYFUNCTION("""COMPUTED_VALUE"""),"Pucca: Love Recipe")</f>
        <v>Pucca: Love Recipe</v>
      </c>
      <c r="V5633" s="5"/>
      <c r="Y5633" s="5" t="str">
        <f>IFERROR(__xludf.DUMMYFUNCTION("REGEXEXTRACT(J5633, ""^\d+"")"),"66")</f>
        <v>66</v>
      </c>
      <c r="Z5633" s="5" t="str">
        <f>IFERROR(__xludf.DUMMYFUNCTION("REGEXEXTRACT(J5633, ""[A-Za-z ]+$"")")," min")</f>
        <v> min</v>
      </c>
      <c r="AA5633" s="5" t="str">
        <f>IFERROR(__xludf.DUMMYFUNCTION("IF(REGEXMATCH(Z5633, ""Season""), ""TV Show"", ""Movie"")"),"Movie")</f>
        <v>Movie</v>
      </c>
    </row>
    <row r="5634">
      <c r="A5634" s="1" t="s">
        <v>28766</v>
      </c>
      <c r="B5634" s="1" t="s">
        <v>27</v>
      </c>
      <c r="C5634" s="1" t="s">
        <v>28767</v>
      </c>
      <c r="D5634" s="1" t="s">
        <v>8986</v>
      </c>
      <c r="E5634" s="1" t="s">
        <v>28768</v>
      </c>
      <c r="F5634" s="1" t="s">
        <v>2492</v>
      </c>
      <c r="G5634" s="1" t="s">
        <v>28769</v>
      </c>
      <c r="H5634" s="1">
        <v>2008.0</v>
      </c>
      <c r="I5634" s="1" t="s">
        <v>42</v>
      </c>
      <c r="J5634" s="1" t="s">
        <v>305</v>
      </c>
      <c r="K5634" s="1" t="s">
        <v>1429</v>
      </c>
      <c r="L5634" s="1" t="s">
        <v>28770</v>
      </c>
      <c r="M5634" s="2" t="s">
        <v>12</v>
      </c>
      <c r="N5634" s="4">
        <f t="shared" si="1"/>
        <v>42750</v>
      </c>
      <c r="O5634" s="5" t="str">
        <f>IFERROR(__xludf.DUMMYFUNCTION("IF(REGEXMATCH(TRIM(I5634), ""^\d+\s*min""), ""Unclassified"", IF(I5634 = """", ""NR"", I5634))"),"TV-MA")</f>
        <v>TV-MA</v>
      </c>
      <c r="R5634" s="5" t="str">
        <f t="shared" si="2"/>
        <v>Berlin Calling</v>
      </c>
      <c r="S5634" s="5" t="str">
        <f>IFERROR(__xludf.DUMMYFUNCTION("""COMPUTED_VALUE"""),"Puella Magi Madoka Magica")</f>
        <v>Puella Magi Madoka Magica</v>
      </c>
      <c r="V5634" s="5"/>
      <c r="Y5634" s="5" t="str">
        <f>IFERROR(__xludf.DUMMYFUNCTION("REGEXEXTRACT(J5634, ""^\d+"")"),"105")</f>
        <v>105</v>
      </c>
      <c r="Z5634" s="5" t="str">
        <f>IFERROR(__xludf.DUMMYFUNCTION("REGEXEXTRACT(J5634, ""[A-Za-z ]+$"")")," min")</f>
        <v> min</v>
      </c>
      <c r="AA5634" s="5" t="str">
        <f>IFERROR(__xludf.DUMMYFUNCTION("IF(REGEXMATCH(Z5634, ""Season""), ""TV Show"", ""Movie"")"),"Movie")</f>
        <v>Movie</v>
      </c>
    </row>
    <row r="5635">
      <c r="A5635" s="1" t="s">
        <v>28771</v>
      </c>
      <c r="B5635" s="1" t="s">
        <v>27</v>
      </c>
      <c r="C5635" s="1" t="s">
        <v>28772</v>
      </c>
      <c r="D5635" s="1" t="s">
        <v>1805</v>
      </c>
      <c r="E5635" s="1" t="s">
        <v>28773</v>
      </c>
      <c r="F5635" s="1" t="s">
        <v>28774</v>
      </c>
      <c r="G5635" s="1" t="s">
        <v>28769</v>
      </c>
      <c r="H5635" s="1">
        <v>2014.0</v>
      </c>
      <c r="I5635" s="1" t="s">
        <v>136</v>
      </c>
      <c r="J5635" s="1" t="s">
        <v>357</v>
      </c>
      <c r="K5635" s="1" t="s">
        <v>128</v>
      </c>
      <c r="L5635" s="1" t="s">
        <v>28775</v>
      </c>
      <c r="M5635" s="2" t="s">
        <v>12</v>
      </c>
      <c r="N5635" s="4">
        <f t="shared" si="1"/>
        <v>42750</v>
      </c>
      <c r="O5635" s="5" t="str">
        <f>IFERROR(__xludf.DUMMYFUNCTION("IF(REGEXMATCH(TRIM(I5635), ""^\d+\s*min""), ""Unclassified"", IF(I5635 = """", ""NR"", I5635))"),"TV-PG")</f>
        <v>TV-PG</v>
      </c>
      <c r="R5635" s="5" t="str">
        <f t="shared" si="2"/>
        <v>Sarajevo</v>
      </c>
      <c r="S5635" s="5" t="str">
        <f>IFERROR(__xludf.DUMMYFUNCTION("""COMPUTED_VALUE"""),"Puerta 7")</f>
        <v>Puerta 7</v>
      </c>
      <c r="V5635" s="5"/>
      <c r="Y5635" s="5" t="str">
        <f>IFERROR(__xludf.DUMMYFUNCTION("REGEXEXTRACT(J5635, ""^\d+"")"),"98")</f>
        <v>98</v>
      </c>
      <c r="Z5635" s="5" t="str">
        <f>IFERROR(__xludf.DUMMYFUNCTION("REGEXEXTRACT(J5635, ""[A-Za-z ]+$"")")," min")</f>
        <v> min</v>
      </c>
      <c r="AA5635" s="5" t="str">
        <f>IFERROR(__xludf.DUMMYFUNCTION("IF(REGEXMATCH(Z5635, ""Season""), ""TV Show"", ""Movie"")"),"Movie")</f>
        <v>Movie</v>
      </c>
    </row>
    <row r="5636">
      <c r="A5636" s="1" t="s">
        <v>28776</v>
      </c>
      <c r="B5636" s="1" t="s">
        <v>27</v>
      </c>
      <c r="C5636" s="1" t="s">
        <v>28777</v>
      </c>
      <c r="D5636" s="1" t="s">
        <v>15392</v>
      </c>
      <c r="E5636" s="1" t="s">
        <v>28778</v>
      </c>
      <c r="F5636" s="1" t="s">
        <v>2492</v>
      </c>
      <c r="G5636" s="1" t="s">
        <v>28769</v>
      </c>
      <c r="H5636" s="1">
        <v>2014.0</v>
      </c>
      <c r="I5636" s="1" t="s">
        <v>42</v>
      </c>
      <c r="J5636" s="1" t="s">
        <v>79</v>
      </c>
      <c r="K5636" s="1" t="s">
        <v>631</v>
      </c>
      <c r="L5636" s="1" t="s">
        <v>28779</v>
      </c>
      <c r="M5636" s="2" t="s">
        <v>12</v>
      </c>
      <c r="N5636" s="4">
        <f t="shared" si="1"/>
        <v>42750</v>
      </c>
      <c r="O5636" s="5" t="str">
        <f>IFERROR(__xludf.DUMMYFUNCTION("IF(REGEXMATCH(TRIM(I5636), ""^\d+\s*min""), ""Unclassified"", IF(I5636 = """", ""NR"", I5636))"),"TV-MA")</f>
        <v>TV-MA</v>
      </c>
      <c r="R5636" s="5" t="str">
        <f t="shared" si="2"/>
        <v>Stereo</v>
      </c>
      <c r="S5636" s="5" t="str">
        <f>IFERROR(__xludf.DUMMYFUNCTION("""COMPUTED_VALUE"""),"Puerto Ricans In Paris")</f>
        <v>Puerto Ricans In Paris</v>
      </c>
      <c r="V5636" s="5"/>
      <c r="Y5636" s="5" t="str">
        <f>IFERROR(__xludf.DUMMYFUNCTION("REGEXEXTRACT(J5636, ""^\d+"")"),"91")</f>
        <v>91</v>
      </c>
      <c r="Z5636" s="5" t="str">
        <f>IFERROR(__xludf.DUMMYFUNCTION("REGEXEXTRACT(J5636, ""[A-Za-z ]+$"")")," min")</f>
        <v> min</v>
      </c>
      <c r="AA5636" s="5" t="str">
        <f>IFERROR(__xludf.DUMMYFUNCTION("IF(REGEXMATCH(Z5636, ""Season""), ""TV Show"", ""Movie"")"),"Movie")</f>
        <v>Movie</v>
      </c>
    </row>
    <row r="5637">
      <c r="A5637" s="1" t="s">
        <v>28780</v>
      </c>
      <c r="B5637" s="1" t="s">
        <v>27</v>
      </c>
      <c r="C5637" s="1" t="s">
        <v>28781</v>
      </c>
      <c r="D5637" s="1" t="s">
        <v>4004</v>
      </c>
      <c r="E5637" s="1" t="s">
        <v>28782</v>
      </c>
      <c r="F5637" s="1" t="s">
        <v>2492</v>
      </c>
      <c r="G5637" s="1" t="s">
        <v>28769</v>
      </c>
      <c r="H5637" s="1">
        <v>2014.0</v>
      </c>
      <c r="I5637" s="1" t="s">
        <v>42</v>
      </c>
      <c r="J5637" s="1" t="s">
        <v>2566</v>
      </c>
      <c r="K5637" s="1" t="s">
        <v>128</v>
      </c>
      <c r="L5637" s="1" t="s">
        <v>28783</v>
      </c>
      <c r="M5637" s="2" t="s">
        <v>12</v>
      </c>
      <c r="N5637" s="4">
        <f t="shared" si="1"/>
        <v>42750</v>
      </c>
      <c r="O5637" s="5" t="str">
        <f>IFERROR(__xludf.DUMMYFUNCTION("IF(REGEXMATCH(TRIM(I5637), ""^\d+\s*min""), ""Unclassified"", IF(I5637 = """", ""NR"", I5637))"),"TV-MA")</f>
        <v>TV-MA</v>
      </c>
      <c r="R5637" s="5" t="str">
        <f t="shared" si="2"/>
        <v>We Are Young. We Are Strong.</v>
      </c>
      <c r="S5637" s="5" t="str">
        <f>IFERROR(__xludf.DUMMYFUNCTION("""COMPUTED_VALUE"""),"Puffin Rock")</f>
        <v>Puffin Rock</v>
      </c>
      <c r="V5637" s="5"/>
      <c r="Y5637" s="5" t="str">
        <f>IFERROR(__xludf.DUMMYFUNCTION("REGEXEXTRACT(J5637, ""^\d+"")"),"123")</f>
        <v>123</v>
      </c>
      <c r="Z5637" s="5" t="str">
        <f>IFERROR(__xludf.DUMMYFUNCTION("REGEXEXTRACT(J5637, ""[A-Za-z ]+$"")")," min")</f>
        <v> min</v>
      </c>
      <c r="AA5637" s="5" t="str">
        <f>IFERROR(__xludf.DUMMYFUNCTION("IF(REGEXMATCH(Z5637, ""Season""), ""TV Show"", ""Movie"")"),"Movie")</f>
        <v>Movie</v>
      </c>
    </row>
    <row r="5638">
      <c r="A5638" s="1" t="s">
        <v>28784</v>
      </c>
      <c r="B5638" s="1" t="s">
        <v>27</v>
      </c>
      <c r="C5638" s="1" t="s">
        <v>28785</v>
      </c>
      <c r="D5638" s="1" t="s">
        <v>9459</v>
      </c>
      <c r="F5638" s="1" t="s">
        <v>664</v>
      </c>
      <c r="G5638" s="1" t="s">
        <v>28786</v>
      </c>
      <c r="H5638" s="1">
        <v>2016.0</v>
      </c>
      <c r="I5638" s="1" t="s">
        <v>97</v>
      </c>
      <c r="J5638" s="1" t="s">
        <v>1001</v>
      </c>
      <c r="K5638" s="1" t="s">
        <v>156</v>
      </c>
      <c r="L5638" s="1" t="s">
        <v>28787</v>
      </c>
      <c r="M5638" s="2" t="s">
        <v>12</v>
      </c>
      <c r="N5638" s="4">
        <f t="shared" si="1"/>
        <v>42748</v>
      </c>
      <c r="O5638" s="5" t="str">
        <f>IFERROR(__xludf.DUMMYFUNCTION("IF(REGEXMATCH(TRIM(I5638), ""^\d+\s*min""), ""Unclassified"", IF(I5638 = """", ""NR"", I5638))"),"TV-14")</f>
        <v>TV-14</v>
      </c>
      <c r="R5638" s="5" t="str">
        <f t="shared" si="2"/>
        <v>Casablancas: The Man Who Loved Women</v>
      </c>
      <c r="S5638" s="5" t="str">
        <f>IFERROR(__xludf.DUMMYFUNCTION("""COMPUTED_VALUE"""),"Pui Pui Molcar")</f>
        <v>Pui Pui Molcar</v>
      </c>
      <c r="V5638" s="5"/>
      <c r="Y5638" s="5" t="str">
        <f>IFERROR(__xludf.DUMMYFUNCTION("REGEXEXTRACT(J5638, ""^\d+"")"),"82")</f>
        <v>82</v>
      </c>
      <c r="Z5638" s="5" t="str">
        <f>IFERROR(__xludf.DUMMYFUNCTION("REGEXEXTRACT(J5638, ""[A-Za-z ]+$"")")," min")</f>
        <v> min</v>
      </c>
      <c r="AA5638" s="5" t="str">
        <f>IFERROR(__xludf.DUMMYFUNCTION("IF(REGEXMATCH(Z5638, ""Season""), ""TV Show"", ""Movie"")"),"Movie")</f>
        <v>Movie</v>
      </c>
    </row>
    <row r="5639">
      <c r="A5639" s="1" t="s">
        <v>28788</v>
      </c>
      <c r="B5639" s="1" t="s">
        <v>27</v>
      </c>
      <c r="C5639" s="1" t="s">
        <v>28789</v>
      </c>
      <c r="D5639" s="1" t="s">
        <v>1443</v>
      </c>
      <c r="E5639" s="1" t="s">
        <v>28790</v>
      </c>
      <c r="F5639" s="1" t="s">
        <v>30</v>
      </c>
      <c r="G5639" s="1" t="s">
        <v>28786</v>
      </c>
      <c r="H5639" s="1">
        <v>2017.0</v>
      </c>
      <c r="I5639" s="1" t="s">
        <v>42</v>
      </c>
      <c r="J5639" s="1" t="s">
        <v>106</v>
      </c>
      <c r="K5639" s="1" t="s">
        <v>3768</v>
      </c>
      <c r="L5639" s="1" t="s">
        <v>28791</v>
      </c>
      <c r="M5639" s="2" t="s">
        <v>12</v>
      </c>
      <c r="N5639" s="4">
        <f t="shared" si="1"/>
        <v>42748</v>
      </c>
      <c r="O5639" s="5" t="str">
        <f>IFERROR(__xludf.DUMMYFUNCTION("IF(REGEXMATCH(TRIM(I5639), ""^\d+\s*min""), ""Unclassified"", IF(I5639 = """", ""NR"", I5639))"),"TV-MA")</f>
        <v>TV-MA</v>
      </c>
      <c r="R5639" s="5" t="str">
        <f t="shared" si="2"/>
        <v>Clinical</v>
      </c>
      <c r="S5639" s="5" t="str">
        <f>IFERROR(__xludf.DUMMYFUNCTION("""COMPUTED_VALUE"""),"Pukar")</f>
        <v>Pukar</v>
      </c>
      <c r="V5639" s="5"/>
      <c r="Y5639" s="5" t="str">
        <f>IFERROR(__xludf.DUMMYFUNCTION("REGEXEXTRACT(J5639, ""^\d+"")"),"104")</f>
        <v>104</v>
      </c>
      <c r="Z5639" s="5" t="str">
        <f>IFERROR(__xludf.DUMMYFUNCTION("REGEXEXTRACT(J5639, ""[A-Za-z ]+$"")")," min")</f>
        <v> min</v>
      </c>
      <c r="AA5639" s="5" t="str">
        <f>IFERROR(__xludf.DUMMYFUNCTION("IF(REGEXMATCH(Z5639, ""Season""), ""TV Show"", ""Movie"")"),"Movie")</f>
        <v>Movie</v>
      </c>
    </row>
    <row r="5640">
      <c r="A5640" s="1" t="s">
        <v>28792</v>
      </c>
      <c r="B5640" s="1" t="s">
        <v>27</v>
      </c>
      <c r="C5640" s="1" t="s">
        <v>28793</v>
      </c>
      <c r="D5640" s="1" t="s">
        <v>16163</v>
      </c>
      <c r="E5640" s="1" t="s">
        <v>28794</v>
      </c>
      <c r="F5640" s="1" t="s">
        <v>28795</v>
      </c>
      <c r="G5640" s="1" t="s">
        <v>28796</v>
      </c>
      <c r="H5640" s="1">
        <v>2015.0</v>
      </c>
      <c r="I5640" s="1" t="s">
        <v>42</v>
      </c>
      <c r="J5640" s="1" t="s">
        <v>1065</v>
      </c>
      <c r="K5640" s="1" t="s">
        <v>583</v>
      </c>
      <c r="L5640" s="1" t="s">
        <v>28797</v>
      </c>
      <c r="M5640" s="2" t="s">
        <v>12</v>
      </c>
      <c r="N5640" s="4">
        <f t="shared" si="1"/>
        <v>42747</v>
      </c>
      <c r="O5640" s="5" t="str">
        <f>IFERROR(__xludf.DUMMYFUNCTION("IF(REGEXMATCH(TRIM(I5640), ""^\d+\s*min""), ""Unclassified"", IF(I5640 = """", ""NR"", I5640))"),"TV-MA")</f>
        <v>TV-MA</v>
      </c>
      <c r="R5640" s="5" t="str">
        <f t="shared" si="2"/>
        <v>Very Big Shot</v>
      </c>
      <c r="S5640" s="5" t="str">
        <f>IFERROR(__xludf.DUMMYFUNCTION("""COMPUTED_VALUE"""),"Pulang")</f>
        <v>Pulang</v>
      </c>
      <c r="V5640" s="5"/>
      <c r="Y5640" s="5" t="str">
        <f>IFERROR(__xludf.DUMMYFUNCTION("REGEXEXTRACT(J5640, ""^\d+"")"),"109")</f>
        <v>109</v>
      </c>
      <c r="Z5640" s="5" t="str">
        <f>IFERROR(__xludf.DUMMYFUNCTION("REGEXEXTRACT(J5640, ""[A-Za-z ]+$"")")," min")</f>
        <v> min</v>
      </c>
      <c r="AA5640" s="5" t="str">
        <f>IFERROR(__xludf.DUMMYFUNCTION("IF(REGEXMATCH(Z5640, ""Season""), ""TV Show"", ""Movie"")"),"Movie")</f>
        <v>Movie</v>
      </c>
    </row>
    <row r="5641">
      <c r="A5641" s="1" t="s">
        <v>28798</v>
      </c>
      <c r="B5641" s="1" t="s">
        <v>27</v>
      </c>
      <c r="C5641" s="1" t="s">
        <v>28799</v>
      </c>
      <c r="D5641" s="1" t="s">
        <v>10538</v>
      </c>
      <c r="E5641" s="1" t="s">
        <v>28800</v>
      </c>
      <c r="F5641" s="1" t="s">
        <v>30</v>
      </c>
      <c r="G5641" s="1" t="s">
        <v>28801</v>
      </c>
      <c r="H5641" s="1">
        <v>2017.0</v>
      </c>
      <c r="I5641" s="1" t="s">
        <v>97</v>
      </c>
      <c r="J5641" s="1" t="s">
        <v>2699</v>
      </c>
      <c r="K5641" s="1" t="s">
        <v>1839</v>
      </c>
      <c r="L5641" s="1" t="s">
        <v>28802</v>
      </c>
      <c r="M5641" s="2" t="s">
        <v>12</v>
      </c>
      <c r="N5641" s="4">
        <f t="shared" si="1"/>
        <v>42745</v>
      </c>
      <c r="O5641" s="5" t="str">
        <f>IFERROR(__xludf.DUMMYFUNCTION("IF(REGEXMATCH(TRIM(I5641), ""^\d+\s*min""), ""Unclassified"", IF(I5641 = """", ""NR"", I5641))"),"TV-14")</f>
        <v>TV-14</v>
      </c>
      <c r="R5641" s="5" t="str">
        <f t="shared" si="2"/>
        <v>Jim Gaffigan: Cinco</v>
      </c>
      <c r="S5641" s="5" t="str">
        <f>IFERROR(__xludf.DUMMYFUNCTION("""COMPUTED_VALUE"""),"Pulp Fiction")</f>
        <v>Pulp Fiction</v>
      </c>
      <c r="V5641" s="5"/>
      <c r="Y5641" s="5" t="str">
        <f>IFERROR(__xludf.DUMMYFUNCTION("REGEXEXTRACT(J5641, ""^\d+"")"),"74")</f>
        <v>74</v>
      </c>
      <c r="Z5641" s="5" t="str">
        <f>IFERROR(__xludf.DUMMYFUNCTION("REGEXEXTRACT(J5641, ""[A-Za-z ]+$"")")," min")</f>
        <v> min</v>
      </c>
      <c r="AA5641" s="5" t="str">
        <f>IFERROR(__xludf.DUMMYFUNCTION("IF(REGEXMATCH(Z5641, ""Season""), ""TV Show"", ""Movie"")"),"Movie")</f>
        <v>Movie</v>
      </c>
    </row>
    <row r="5642">
      <c r="A5642" s="1" t="s">
        <v>28803</v>
      </c>
      <c r="B5642" s="1" t="s">
        <v>37</v>
      </c>
      <c r="C5642" s="1" t="s">
        <v>28804</v>
      </c>
      <c r="E5642" s="1" t="s">
        <v>28805</v>
      </c>
      <c r="F5642" s="1" t="s">
        <v>30</v>
      </c>
      <c r="G5642" s="1" t="s">
        <v>28801</v>
      </c>
      <c r="H5642" s="1">
        <v>2017.0</v>
      </c>
      <c r="I5642" s="1" t="s">
        <v>206</v>
      </c>
      <c r="J5642" s="1" t="s">
        <v>51</v>
      </c>
      <c r="K5642" s="1" t="s">
        <v>314</v>
      </c>
      <c r="L5642" s="1" t="s">
        <v>28806</v>
      </c>
      <c r="M5642" s="2" t="s">
        <v>12</v>
      </c>
      <c r="N5642" s="4">
        <f t="shared" si="1"/>
        <v>42745</v>
      </c>
      <c r="O5642" s="5" t="str">
        <f>IFERROR(__xludf.DUMMYFUNCTION("IF(REGEXMATCH(TRIM(I5642), ""^\d+\s*min""), ""Unclassified"", IF(I5642 = """", ""NR"", I5642))"),"TV-Y")</f>
        <v>TV-Y</v>
      </c>
      <c r="R5642" s="5" t="str">
        <f t="shared" si="2"/>
        <v>We'Re Lalaloopsy</v>
      </c>
      <c r="S5642" s="5" t="str">
        <f>IFERROR(__xludf.DUMMYFUNCTION("""COMPUTED_VALUE"""),"Punjab 1984")</f>
        <v>Punjab 1984</v>
      </c>
      <c r="V5642" s="5"/>
      <c r="Y5642" s="5" t="str">
        <f>IFERROR(__xludf.DUMMYFUNCTION("REGEXEXTRACT(J5642, ""^\d+"")"),"1")</f>
        <v>1</v>
      </c>
      <c r="Z5642" s="5" t="str">
        <f>IFERROR(__xludf.DUMMYFUNCTION("REGEXEXTRACT(J5642, ""[A-Za-z ]+$"")")," Season")</f>
        <v> Season</v>
      </c>
      <c r="AA5642" s="5" t="str">
        <f>IFERROR(__xludf.DUMMYFUNCTION("IF(REGEXMATCH(Z5642, ""Season""), ""TV Show"", ""Movie"")"),"TV Show")</f>
        <v>TV Show</v>
      </c>
    </row>
    <row r="5643">
      <c r="A5643" s="1" t="s">
        <v>28807</v>
      </c>
      <c r="B5643" s="1" t="s">
        <v>27</v>
      </c>
      <c r="C5643" s="1" t="s">
        <v>28808</v>
      </c>
      <c r="D5643" s="1" t="s">
        <v>2917</v>
      </c>
      <c r="E5643" s="1" t="s">
        <v>28809</v>
      </c>
      <c r="F5643" s="1" t="s">
        <v>28810</v>
      </c>
      <c r="G5643" s="1" t="s">
        <v>28811</v>
      </c>
      <c r="H5643" s="1">
        <v>2016.0</v>
      </c>
      <c r="I5643" s="1" t="s">
        <v>32</v>
      </c>
      <c r="J5643" s="1" t="s">
        <v>1608</v>
      </c>
      <c r="K5643" s="1" t="s">
        <v>1592</v>
      </c>
      <c r="L5643" s="1" t="s">
        <v>28812</v>
      </c>
      <c r="M5643" s="2" t="s">
        <v>12</v>
      </c>
      <c r="N5643" s="4">
        <f t="shared" si="1"/>
        <v>42742</v>
      </c>
      <c r="O5643" s="5" t="str">
        <f>IFERROR(__xludf.DUMMYFUNCTION("IF(REGEXMATCH(TRIM(I5643), ""^\d+\s*min""), ""Unclassified"", IF(I5643 = """", ""NR"", I5643))"),"PG-13")</f>
        <v>PG-13</v>
      </c>
      <c r="R5643" s="5" t="str">
        <f t="shared" si="2"/>
        <v>Under The Shadow</v>
      </c>
      <c r="S5643" s="5" t="str">
        <f>IFERROR(__xludf.DUMMYFUNCTION("""COMPUTED_VALUE"""),"Pup Academy")</f>
        <v>Pup Academy</v>
      </c>
      <c r="V5643" s="5"/>
      <c r="Y5643" s="5" t="str">
        <f>IFERROR(__xludf.DUMMYFUNCTION("REGEXEXTRACT(J5643, ""^\d+"")"),"84")</f>
        <v>84</v>
      </c>
      <c r="Z5643" s="5" t="str">
        <f>IFERROR(__xludf.DUMMYFUNCTION("REGEXEXTRACT(J5643, ""[A-Za-z ]+$"")")," min")</f>
        <v> min</v>
      </c>
      <c r="AA5643" s="5" t="str">
        <f>IFERROR(__xludf.DUMMYFUNCTION("IF(REGEXMATCH(Z5643, ""Season""), ""TV Show"", ""Movie"")"),"Movie")</f>
        <v>Movie</v>
      </c>
    </row>
    <row r="5644">
      <c r="A5644" s="1" t="s">
        <v>28813</v>
      </c>
      <c r="B5644" s="1" t="s">
        <v>27</v>
      </c>
      <c r="C5644" s="1" t="s">
        <v>28814</v>
      </c>
      <c r="D5644" s="1" t="s">
        <v>7060</v>
      </c>
      <c r="E5644" s="1" t="s">
        <v>28815</v>
      </c>
      <c r="F5644" s="1" t="s">
        <v>30</v>
      </c>
      <c r="G5644" s="1" t="s">
        <v>28816</v>
      </c>
      <c r="H5644" s="1">
        <v>2017.0</v>
      </c>
      <c r="I5644" s="1" t="s">
        <v>97</v>
      </c>
      <c r="J5644" s="1" t="s">
        <v>357</v>
      </c>
      <c r="K5644" s="1" t="s">
        <v>771</v>
      </c>
      <c r="L5644" s="1" t="s">
        <v>28817</v>
      </c>
      <c r="M5644" s="2" t="s">
        <v>12</v>
      </c>
      <c r="N5644" s="4">
        <f t="shared" si="1"/>
        <v>42741</v>
      </c>
      <c r="O5644" s="5" t="str">
        <f>IFERROR(__xludf.DUMMYFUNCTION("IF(REGEXMATCH(TRIM(I5644), ""^\d+\s*min""), ""Unclassified"", IF(I5644 = """", ""NR"", I5644))"),"TV-14")</f>
        <v>TV-14</v>
      </c>
      <c r="R5644" s="5" t="str">
        <f t="shared" si="2"/>
        <v>Coin Heist</v>
      </c>
      <c r="S5644" s="5" t="str">
        <f>IFERROR(__xludf.DUMMYFUNCTION("""COMPUTED_VALUE"""),"Pup Star")</f>
        <v>Pup Star</v>
      </c>
      <c r="V5644" s="5"/>
      <c r="Y5644" s="5" t="str">
        <f>IFERROR(__xludf.DUMMYFUNCTION("REGEXEXTRACT(J5644, ""^\d+"")"),"98")</f>
        <v>98</v>
      </c>
      <c r="Z5644" s="5" t="str">
        <f>IFERROR(__xludf.DUMMYFUNCTION("REGEXEXTRACT(J5644, ""[A-Za-z ]+$"")")," min")</f>
        <v> min</v>
      </c>
      <c r="AA5644" s="5" t="str">
        <f>IFERROR(__xludf.DUMMYFUNCTION("IF(REGEXMATCH(Z5644, ""Season""), ""TV Show"", ""Movie"")"),"Movie")</f>
        <v>Movie</v>
      </c>
    </row>
    <row r="5645">
      <c r="A5645" s="1" t="s">
        <v>28818</v>
      </c>
      <c r="B5645" s="1" t="s">
        <v>27</v>
      </c>
      <c r="C5645" s="1" t="s">
        <v>28819</v>
      </c>
      <c r="D5645" s="1" t="s">
        <v>8693</v>
      </c>
      <c r="E5645" s="1" t="s">
        <v>28820</v>
      </c>
      <c r="F5645" s="1" t="s">
        <v>30</v>
      </c>
      <c r="G5645" s="1" t="s">
        <v>28816</v>
      </c>
      <c r="H5645" s="1">
        <v>2013.0</v>
      </c>
      <c r="I5645" s="1" t="s">
        <v>289</v>
      </c>
      <c r="J5645" s="1" t="s">
        <v>7407</v>
      </c>
      <c r="K5645" s="1" t="s">
        <v>80</v>
      </c>
      <c r="L5645" s="1" t="s">
        <v>28821</v>
      </c>
      <c r="M5645" s="2" t="s">
        <v>12</v>
      </c>
      <c r="N5645" s="4">
        <f t="shared" si="1"/>
        <v>42741</v>
      </c>
      <c r="O5645" s="5" t="str">
        <f>IFERROR(__xludf.DUMMYFUNCTION("IF(REGEXMATCH(TRIM(I5645), ""^\d+\s*min""), ""Unclassified"", IF(I5645 = """", ""NR"", I5645))"),"TV-Y7")</f>
        <v>TV-Y7</v>
      </c>
      <c r="R5645" s="5" t="str">
        <f t="shared" si="2"/>
        <v>Lego: Marvel Super Heroes: Maximum Overload</v>
      </c>
      <c r="S5645" s="5" t="str">
        <f>IFERROR(__xludf.DUMMYFUNCTION("""COMPUTED_VALUE"""),"Pup Star: Better 2Gether")</f>
        <v>Pup Star: Better 2Gether</v>
      </c>
      <c r="V5645" s="5"/>
      <c r="Y5645" s="5" t="str">
        <f>IFERROR(__xludf.DUMMYFUNCTION("REGEXEXTRACT(J5645, ""^\d+"")"),"22")</f>
        <v>22</v>
      </c>
      <c r="Z5645" s="5" t="str">
        <f>IFERROR(__xludf.DUMMYFUNCTION("REGEXEXTRACT(J5645, ""[A-Za-z ]+$"")")," min")</f>
        <v> min</v>
      </c>
      <c r="AA5645" s="5" t="str">
        <f>IFERROR(__xludf.DUMMYFUNCTION("IF(REGEXMATCH(Z5645, ""Season""), ""TV Show"", ""Movie"")"),"Movie")</f>
        <v>Movie</v>
      </c>
    </row>
    <row r="5646">
      <c r="A5646" s="1" t="s">
        <v>28822</v>
      </c>
      <c r="B5646" s="1" t="s">
        <v>27</v>
      </c>
      <c r="C5646" s="1" t="s">
        <v>28823</v>
      </c>
      <c r="D5646" s="1" t="s">
        <v>23072</v>
      </c>
      <c r="E5646" s="1" t="s">
        <v>28824</v>
      </c>
      <c r="F5646" s="1" t="s">
        <v>1106</v>
      </c>
      <c r="G5646" s="1" t="s">
        <v>28825</v>
      </c>
      <c r="H5646" s="1">
        <v>2016.0</v>
      </c>
      <c r="I5646" s="1" t="s">
        <v>42</v>
      </c>
      <c r="J5646" s="1" t="s">
        <v>433</v>
      </c>
      <c r="K5646" s="1" t="s">
        <v>1066</v>
      </c>
      <c r="L5646" s="1" t="s">
        <v>28826</v>
      </c>
      <c r="M5646" s="2" t="s">
        <v>12</v>
      </c>
      <c r="N5646" s="4">
        <f t="shared" si="1"/>
        <v>42740</v>
      </c>
      <c r="O5646" s="5" t="str">
        <f>IFERROR(__xludf.DUMMYFUNCTION("IF(REGEXMATCH(TRIM(I5646), ""^\d+\s*min""), ""Unclassified"", IF(I5646 = """", ""NR"", I5646))"),"TV-MA")</f>
        <v>TV-MA</v>
      </c>
      <c r="R5646" s="5" t="str">
        <f t="shared" si="2"/>
        <v>Rampage: President Down</v>
      </c>
      <c r="S5646" s="5" t="str">
        <f>IFERROR(__xludf.DUMMYFUNCTION("""COMPUTED_VALUE"""),"Pup Star: World Tour")</f>
        <v>Pup Star: World Tour</v>
      </c>
      <c r="V5646" s="5"/>
      <c r="Y5646" s="5" t="str">
        <f>IFERROR(__xludf.DUMMYFUNCTION("REGEXEXTRACT(J5646, ""^\d+"")"),"100")</f>
        <v>100</v>
      </c>
      <c r="Z5646" s="5" t="str">
        <f>IFERROR(__xludf.DUMMYFUNCTION("REGEXEXTRACT(J5646, ""[A-Za-z ]+$"")")," min")</f>
        <v> min</v>
      </c>
      <c r="AA5646" s="5" t="str">
        <f>IFERROR(__xludf.DUMMYFUNCTION("IF(REGEXMATCH(Z5646, ""Season""), ""TV Show"", ""Movie"")"),"Movie")</f>
        <v>Movie</v>
      </c>
    </row>
    <row r="5647">
      <c r="A5647" s="1" t="s">
        <v>28827</v>
      </c>
      <c r="B5647" s="1" t="s">
        <v>27</v>
      </c>
      <c r="C5647" s="1" t="s">
        <v>28828</v>
      </c>
      <c r="D5647" s="1" t="s">
        <v>16193</v>
      </c>
      <c r="E5647" s="1" t="s">
        <v>28829</v>
      </c>
      <c r="F5647" s="1" t="s">
        <v>30</v>
      </c>
      <c r="G5647" s="1" t="s">
        <v>28830</v>
      </c>
      <c r="H5647" s="1">
        <v>2016.0</v>
      </c>
      <c r="I5647" s="1" t="s">
        <v>78</v>
      </c>
      <c r="J5647" s="1" t="s">
        <v>6281</v>
      </c>
      <c r="K5647" s="1" t="s">
        <v>8035</v>
      </c>
      <c r="L5647" s="1" t="s">
        <v>28831</v>
      </c>
      <c r="M5647" s="2" t="s">
        <v>12</v>
      </c>
      <c r="N5647" s="4">
        <f t="shared" si="1"/>
        <v>42739</v>
      </c>
      <c r="O5647" s="5" t="str">
        <f>IFERROR(__xludf.DUMMYFUNCTION("IF(REGEXMATCH(TRIM(I5647), ""^\d+\s*min""), ""Unclassified"", IF(I5647 = """", ""NR"", I5647))"),"PG")</f>
        <v>PG</v>
      </c>
      <c r="R5647" s="5" t="str">
        <f t="shared" si="2"/>
        <v>Marvel'S Hulk: Where Monsters Dwell</v>
      </c>
      <c r="S5647" s="5" t="str">
        <f>IFERROR(__xludf.DUMMYFUNCTION("""COMPUTED_VALUE"""),"Puppy Star Christmas")</f>
        <v>Puppy Star Christmas</v>
      </c>
      <c r="V5647" s="5"/>
      <c r="Y5647" s="5" t="str">
        <f>IFERROR(__xludf.DUMMYFUNCTION("REGEXEXTRACT(J5647, ""^\d+"")"),"75")</f>
        <v>75</v>
      </c>
      <c r="Z5647" s="5" t="str">
        <f>IFERROR(__xludf.DUMMYFUNCTION("REGEXEXTRACT(J5647, ""[A-Za-z ]+$"")")," min")</f>
        <v> min</v>
      </c>
      <c r="AA5647" s="5" t="str">
        <f>IFERROR(__xludf.DUMMYFUNCTION("IF(REGEXMATCH(Z5647, ""Season""), ""TV Show"", ""Movie"")"),"Movie")</f>
        <v>Movie</v>
      </c>
    </row>
    <row r="5648">
      <c r="A5648" s="1" t="s">
        <v>28832</v>
      </c>
      <c r="B5648" s="1" t="s">
        <v>27</v>
      </c>
      <c r="C5648" s="1" t="s">
        <v>28833</v>
      </c>
      <c r="D5648" s="1" t="s">
        <v>13344</v>
      </c>
      <c r="E5648" s="1" t="s">
        <v>28834</v>
      </c>
      <c r="F5648" s="1" t="s">
        <v>30</v>
      </c>
      <c r="G5648" s="1" t="s">
        <v>28835</v>
      </c>
      <c r="H5648" s="1">
        <v>2017.0</v>
      </c>
      <c r="I5648" s="1" t="s">
        <v>42</v>
      </c>
      <c r="J5648" s="1" t="s">
        <v>1993</v>
      </c>
      <c r="K5648" s="1" t="s">
        <v>1839</v>
      </c>
      <c r="L5648" s="1" t="s">
        <v>28836</v>
      </c>
      <c r="M5648" s="2" t="s">
        <v>12</v>
      </c>
      <c r="N5648" s="4">
        <f t="shared" si="1"/>
        <v>42738</v>
      </c>
      <c r="O5648" s="5" t="str">
        <f>IFERROR(__xludf.DUMMYFUNCTION("IF(REGEXMATCH(TRIM(I5648), ""^\d+\s*min""), ""Unclassified"", IF(I5648 = """", ""NR"", I5648))"),"TV-MA")</f>
        <v>TV-MA</v>
      </c>
      <c r="R5648" s="5" t="str">
        <f t="shared" si="2"/>
        <v>Jen Kirkman: Just Keep Livin’?</v>
      </c>
      <c r="S5648" s="5" t="str">
        <f>IFERROR(__xludf.DUMMYFUNCTION("""COMPUTED_VALUE"""),"Puriyatha Puthir")</f>
        <v>Puriyatha Puthir</v>
      </c>
      <c r="V5648" s="5"/>
      <c r="Y5648" s="5" t="str">
        <f>IFERROR(__xludf.DUMMYFUNCTION("REGEXEXTRACT(J5648, ""^\d+"")"),"69")</f>
        <v>69</v>
      </c>
      <c r="Z5648" s="5" t="str">
        <f>IFERROR(__xludf.DUMMYFUNCTION("REGEXEXTRACT(J5648, ""[A-Za-z ]+$"")")," min")</f>
        <v> min</v>
      </c>
      <c r="AA5648" s="5" t="str">
        <f>IFERROR(__xludf.DUMMYFUNCTION("IF(REGEXMATCH(Z5648, ""Season""), ""TV Show"", ""Movie"")"),"Movie")</f>
        <v>Movie</v>
      </c>
    </row>
    <row r="5649">
      <c r="A5649" s="1" t="s">
        <v>28837</v>
      </c>
      <c r="B5649" s="1" t="s">
        <v>27</v>
      </c>
      <c r="C5649" s="1" t="s">
        <v>28838</v>
      </c>
      <c r="D5649" s="1" t="s">
        <v>19729</v>
      </c>
      <c r="E5649" s="1" t="s">
        <v>28839</v>
      </c>
      <c r="F5649" s="1" t="s">
        <v>63</v>
      </c>
      <c r="G5649" s="1" t="s">
        <v>28840</v>
      </c>
      <c r="H5649" s="1">
        <v>2016.0</v>
      </c>
      <c r="I5649" s="1" t="s">
        <v>42</v>
      </c>
      <c r="J5649" s="1" t="s">
        <v>247</v>
      </c>
      <c r="K5649" s="1" t="s">
        <v>298</v>
      </c>
      <c r="L5649" s="1" t="s">
        <v>28841</v>
      </c>
      <c r="M5649" s="2" t="s">
        <v>12</v>
      </c>
      <c r="N5649" s="4">
        <f t="shared" si="1"/>
        <v>42736</v>
      </c>
      <c r="O5649" s="5" t="str">
        <f>IFERROR(__xludf.DUMMYFUNCTION("IF(REGEXMATCH(TRIM(I5649), ""^\d+\s*min""), ""Unclassified"", IF(I5649 = """", ""NR"", I5649))"),"TV-MA")</f>
        <v>TV-MA</v>
      </c>
      <c r="R5649" s="5" t="str">
        <f t="shared" si="2"/>
        <v>Autohead</v>
      </c>
      <c r="S5649" s="5" t="str">
        <f>IFERROR(__xludf.DUMMYFUNCTION("""COMPUTED_VALUE"""),"Pusher")</f>
        <v>Pusher</v>
      </c>
      <c r="V5649" s="5"/>
      <c r="Y5649" s="5" t="str">
        <f>IFERROR(__xludf.DUMMYFUNCTION("REGEXEXTRACT(J5649, ""^\d+"")"),"97")</f>
        <v>97</v>
      </c>
      <c r="Z5649" s="5" t="str">
        <f>IFERROR(__xludf.DUMMYFUNCTION("REGEXEXTRACT(J5649, ""[A-Za-z ]+$"")")," min")</f>
        <v> min</v>
      </c>
      <c r="AA5649" s="5" t="str">
        <f>IFERROR(__xludf.DUMMYFUNCTION("IF(REGEXMATCH(Z5649, ""Season""), ""TV Show"", ""Movie"")"),"Movie")</f>
        <v>Movie</v>
      </c>
    </row>
    <row r="5650">
      <c r="A5650" s="1" t="s">
        <v>28842</v>
      </c>
      <c r="B5650" s="1" t="s">
        <v>27</v>
      </c>
      <c r="C5650" s="1" t="s">
        <v>28843</v>
      </c>
      <c r="D5650" s="1" t="s">
        <v>21660</v>
      </c>
      <c r="E5650" s="1" t="s">
        <v>28844</v>
      </c>
      <c r="F5650" s="1" t="s">
        <v>30</v>
      </c>
      <c r="G5650" s="1" t="s">
        <v>28840</v>
      </c>
      <c r="H5650" s="1">
        <v>2007.0</v>
      </c>
      <c r="I5650" s="1" t="s">
        <v>78</v>
      </c>
      <c r="J5650" s="1" t="s">
        <v>665</v>
      </c>
      <c r="K5650" s="1" t="s">
        <v>137</v>
      </c>
      <c r="L5650" s="1" t="s">
        <v>28845</v>
      </c>
      <c r="M5650" s="2" t="s">
        <v>12</v>
      </c>
      <c r="N5650" s="4">
        <f t="shared" si="1"/>
        <v>42736</v>
      </c>
      <c r="O5650" s="5" t="str">
        <f>IFERROR(__xludf.DUMMYFUNCTION("IF(REGEXMATCH(TRIM(I5650), ""^\d+\s*min""), ""Unclassified"", IF(I5650 = """", ""NR"", I5650))"),"PG")</f>
        <v>PG</v>
      </c>
      <c r="R5650" s="5" t="str">
        <f t="shared" si="2"/>
        <v>Bee Movie</v>
      </c>
      <c r="S5650" s="5" t="str">
        <f>IFERROR(__xludf.DUMMYFUNCTION("""COMPUTED_VALUE"""),"Puss In Book: Trapped In An Epic Tale")</f>
        <v>Puss In Book: Trapped In An Epic Tale</v>
      </c>
      <c r="V5650" s="5"/>
      <c r="Y5650" s="5" t="str">
        <f>IFERROR(__xludf.DUMMYFUNCTION("REGEXEXTRACT(J5650, ""^\d+"")"),"92")</f>
        <v>92</v>
      </c>
      <c r="Z5650" s="5" t="str">
        <f>IFERROR(__xludf.DUMMYFUNCTION("REGEXEXTRACT(J5650, ""[A-Za-z ]+$"")")," min")</f>
        <v> min</v>
      </c>
      <c r="AA5650" s="5" t="str">
        <f>IFERROR(__xludf.DUMMYFUNCTION("IF(REGEXMATCH(Z5650, ""Season""), ""TV Show"", ""Movie"")"),"Movie")</f>
        <v>Movie</v>
      </c>
    </row>
    <row r="5651">
      <c r="A5651" s="1" t="s">
        <v>28846</v>
      </c>
      <c r="B5651" s="1" t="s">
        <v>27</v>
      </c>
      <c r="C5651" s="1" t="s">
        <v>28847</v>
      </c>
      <c r="D5651" s="1" t="s">
        <v>9273</v>
      </c>
      <c r="E5651" s="1" t="s">
        <v>28848</v>
      </c>
      <c r="F5651" s="1" t="s">
        <v>3217</v>
      </c>
      <c r="G5651" s="1" t="s">
        <v>28840</v>
      </c>
      <c r="H5651" s="1">
        <v>2011.0</v>
      </c>
      <c r="I5651" s="1" t="s">
        <v>42</v>
      </c>
      <c r="J5651" s="1" t="s">
        <v>665</v>
      </c>
      <c r="K5651" s="1" t="s">
        <v>89</v>
      </c>
      <c r="L5651" s="1" t="s">
        <v>28849</v>
      </c>
      <c r="M5651" s="2" t="s">
        <v>12</v>
      </c>
      <c r="N5651" s="4">
        <f t="shared" si="1"/>
        <v>42736</v>
      </c>
      <c r="O5651" s="5" t="str">
        <f>IFERROR(__xludf.DUMMYFUNCTION("IF(REGEXMATCH(TRIM(I5651), ""^\d+\s*min""), ""Unclassified"", IF(I5651 = """", ""NR"", I5651))"),"TV-MA")</f>
        <v>TV-MA</v>
      </c>
      <c r="R5651" s="5" t="str">
        <f t="shared" si="2"/>
        <v>Headwinds</v>
      </c>
      <c r="S5651" s="5" t="str">
        <f>IFERROR(__xludf.DUMMYFUNCTION("""COMPUTED_VALUE"""),"Puss In Boots")</f>
        <v>Puss In Boots</v>
      </c>
      <c r="V5651" s="5"/>
      <c r="Y5651" s="5" t="str">
        <f>IFERROR(__xludf.DUMMYFUNCTION("REGEXEXTRACT(J5651, ""^\d+"")"),"92")</f>
        <v>92</v>
      </c>
      <c r="Z5651" s="5" t="str">
        <f>IFERROR(__xludf.DUMMYFUNCTION("REGEXEXTRACT(J5651, ""[A-Za-z ]+$"")")," min")</f>
        <v> min</v>
      </c>
      <c r="AA5651" s="5" t="str">
        <f>IFERROR(__xludf.DUMMYFUNCTION("IF(REGEXMATCH(Z5651, ""Season""), ""TV Show"", ""Movie"")"),"Movie")</f>
        <v>Movie</v>
      </c>
    </row>
    <row r="5652">
      <c r="A5652" s="1" t="s">
        <v>28850</v>
      </c>
      <c r="B5652" s="1" t="s">
        <v>37</v>
      </c>
      <c r="C5652" s="1" t="s">
        <v>28851</v>
      </c>
      <c r="E5652" s="1" t="s">
        <v>28852</v>
      </c>
      <c r="F5652" s="1" t="s">
        <v>30</v>
      </c>
      <c r="G5652" s="1" t="s">
        <v>28840</v>
      </c>
      <c r="H5652" s="1">
        <v>1999.0</v>
      </c>
      <c r="I5652" s="1" t="s">
        <v>97</v>
      </c>
      <c r="J5652" s="1" t="s">
        <v>1809</v>
      </c>
      <c r="K5652" s="1" t="s">
        <v>2583</v>
      </c>
      <c r="L5652" s="1" t="s">
        <v>28853</v>
      </c>
      <c r="M5652" s="2" t="s">
        <v>12</v>
      </c>
      <c r="N5652" s="4">
        <f t="shared" si="1"/>
        <v>42736</v>
      </c>
      <c r="O5652" s="5" t="str">
        <f>IFERROR(__xludf.DUMMYFUNCTION("IF(REGEXMATCH(TRIM(I5652), ""^\d+\s*min""), ""Unclassified"", IF(I5652 = """", ""NR"", I5652))"),"TV-14")</f>
        <v>TV-14</v>
      </c>
      <c r="R5652" s="5" t="str">
        <f t="shared" si="2"/>
        <v>Star Trek: Deep Space Nine</v>
      </c>
      <c r="S5652" s="5" t="str">
        <f>IFERROR(__xludf.DUMMYFUNCTION("""COMPUTED_VALUE"""),"Put Your Head On My Shoulder")</f>
        <v>Put Your Head On My Shoulder</v>
      </c>
      <c r="V5652" s="5"/>
      <c r="Y5652" s="5" t="str">
        <f>IFERROR(__xludf.DUMMYFUNCTION("REGEXEXTRACT(J5652, ""^\d+"")"),"7")</f>
        <v>7</v>
      </c>
      <c r="Z5652" s="5" t="str">
        <f>IFERROR(__xludf.DUMMYFUNCTION("REGEXEXTRACT(J5652, ""[A-Za-z ]+$"")")," Seasons")</f>
        <v> Seasons</v>
      </c>
      <c r="AA5652" s="5" t="str">
        <f>IFERROR(__xludf.DUMMYFUNCTION("IF(REGEXMATCH(Z5652, ""Season""), ""TV Show"", ""Movie"")"),"TV Show")</f>
        <v>TV Show</v>
      </c>
    </row>
    <row r="5653">
      <c r="A5653" s="1" t="s">
        <v>28854</v>
      </c>
      <c r="B5653" s="1" t="s">
        <v>27</v>
      </c>
      <c r="C5653" s="1" t="s">
        <v>28855</v>
      </c>
      <c r="D5653" s="1" t="s">
        <v>266</v>
      </c>
      <c r="E5653" s="1" t="s">
        <v>28856</v>
      </c>
      <c r="F5653" s="1" t="s">
        <v>63</v>
      </c>
      <c r="G5653" s="1" t="s">
        <v>28840</v>
      </c>
      <c r="H5653" s="1">
        <v>2016.0</v>
      </c>
      <c r="I5653" s="1" t="s">
        <v>42</v>
      </c>
      <c r="J5653" s="1" t="s">
        <v>11162</v>
      </c>
      <c r="K5653" s="1" t="s">
        <v>128</v>
      </c>
      <c r="L5653" s="1" t="s">
        <v>28857</v>
      </c>
      <c r="M5653" s="2" t="s">
        <v>12</v>
      </c>
      <c r="N5653" s="4">
        <f t="shared" si="1"/>
        <v>42736</v>
      </c>
      <c r="O5653" s="5" t="str">
        <f>IFERROR(__xludf.DUMMYFUNCTION("IF(REGEXMATCH(TRIM(I5653), ""^\d+\s*min""), ""Unclassified"", IF(I5653 = """", ""NR"", I5653))"),"TV-MA")</f>
        <v>TV-MA</v>
      </c>
      <c r="R5653" s="5" t="str">
        <f t="shared" si="2"/>
        <v>Udta Punjab</v>
      </c>
      <c r="S5653" s="5" t="str">
        <f>IFERROR(__xludf.DUMMYFUNCTION("""COMPUTED_VALUE"""),"Pyaar Ka Punchnama")</f>
        <v>Pyaar Ka Punchnama</v>
      </c>
      <c r="V5653" s="5"/>
      <c r="Y5653" s="5" t="str">
        <f>IFERROR(__xludf.DUMMYFUNCTION("REGEXEXTRACT(J5653, ""^\d+"")"),"146")</f>
        <v>146</v>
      </c>
      <c r="Z5653" s="5" t="str">
        <f>IFERROR(__xludf.DUMMYFUNCTION("REGEXEXTRACT(J5653, ""[A-Za-z ]+$"")")," min")</f>
        <v> min</v>
      </c>
      <c r="AA5653" s="5" t="str">
        <f>IFERROR(__xludf.DUMMYFUNCTION("IF(REGEXMATCH(Z5653, ""Season""), ""TV Show"", ""Movie"")"),"Movie")</f>
        <v>Movie</v>
      </c>
    </row>
    <row r="5654">
      <c r="A5654" s="1" t="s">
        <v>28858</v>
      </c>
      <c r="B5654" s="1" t="s">
        <v>27</v>
      </c>
      <c r="C5654" s="1" t="s">
        <v>28859</v>
      </c>
      <c r="D5654" s="1" t="s">
        <v>6500</v>
      </c>
      <c r="E5654" s="1" t="s">
        <v>28860</v>
      </c>
      <c r="F5654" s="1" t="s">
        <v>162</v>
      </c>
      <c r="G5654" s="1" t="s">
        <v>28861</v>
      </c>
      <c r="H5654" s="1">
        <v>2016.0</v>
      </c>
      <c r="I5654" s="1" t="s">
        <v>42</v>
      </c>
      <c r="J5654" s="1" t="s">
        <v>247</v>
      </c>
      <c r="K5654" s="1" t="s">
        <v>89</v>
      </c>
      <c r="L5654" s="1" t="s">
        <v>28862</v>
      </c>
      <c r="M5654" s="2" t="s">
        <v>12</v>
      </c>
      <c r="N5654" s="4">
        <f t="shared" si="1"/>
        <v>42735</v>
      </c>
      <c r="O5654" s="5" t="str">
        <f>IFERROR(__xludf.DUMMYFUNCTION("IF(REGEXMATCH(TRIM(I5654), ""^\d+\s*min""), ""Unclassified"", IF(I5654 = """", ""NR"", I5654))"),"TV-MA")</f>
        <v>TV-MA</v>
      </c>
      <c r="R5654" s="5" t="str">
        <f t="shared" si="2"/>
        <v>Mr. Pig</v>
      </c>
      <c r="S5654" s="5" t="str">
        <f>IFERROR(__xludf.DUMMYFUNCTION("""COMPUTED_VALUE"""),"Pyaar Ka Punchnama 2")</f>
        <v>Pyaar Ka Punchnama 2</v>
      </c>
      <c r="V5654" s="5"/>
      <c r="Y5654" s="5" t="str">
        <f>IFERROR(__xludf.DUMMYFUNCTION("REGEXEXTRACT(J5654, ""^\d+"")"),"97")</f>
        <v>97</v>
      </c>
      <c r="Z5654" s="5" t="str">
        <f>IFERROR(__xludf.DUMMYFUNCTION("REGEXEXTRACT(J5654, ""[A-Za-z ]+$"")")," min")</f>
        <v> min</v>
      </c>
      <c r="AA5654" s="5" t="str">
        <f>IFERROR(__xludf.DUMMYFUNCTION("IF(REGEXMATCH(Z5654, ""Season""), ""TV Show"", ""Movie"")"),"Movie")</f>
        <v>Movie</v>
      </c>
    </row>
    <row r="5655">
      <c r="A5655" s="1" t="s">
        <v>28863</v>
      </c>
      <c r="B5655" s="1" t="s">
        <v>37</v>
      </c>
      <c r="C5655" s="1" t="s">
        <v>28864</v>
      </c>
      <c r="E5655" s="1" t="s">
        <v>28865</v>
      </c>
      <c r="F5655" s="1" t="s">
        <v>749</v>
      </c>
      <c r="G5655" s="1" t="s">
        <v>28866</v>
      </c>
      <c r="H5655" s="1">
        <v>2016.0</v>
      </c>
      <c r="I5655" s="1" t="s">
        <v>97</v>
      </c>
      <c r="J5655" s="1" t="s">
        <v>51</v>
      </c>
      <c r="K5655" s="1" t="s">
        <v>7164</v>
      </c>
      <c r="L5655" s="1" t="s">
        <v>28867</v>
      </c>
      <c r="M5655" s="2" t="s">
        <v>12</v>
      </c>
      <c r="N5655" s="4">
        <f t="shared" si="1"/>
        <v>42734</v>
      </c>
      <c r="O5655" s="5" t="str">
        <f>IFERROR(__xludf.DUMMYFUNCTION("IF(REGEXMATCH(TRIM(I5655), ""^\d+\s*min""), ""Unclassified"", IF(I5655 = """", ""NR"", I5655))"),"TV-14")</f>
        <v>TV-14</v>
      </c>
      <c r="R5655" s="5" t="str">
        <f t="shared" si="2"/>
        <v>My Runway</v>
      </c>
      <c r="S5655" s="5" t="str">
        <f>IFERROR(__xludf.DUMMYFUNCTION("""COMPUTED_VALUE"""),"Pyaar Ke Side Effects")</f>
        <v>Pyaar Ke Side Effects</v>
      </c>
      <c r="V5655" s="5"/>
      <c r="Y5655" s="5" t="str">
        <f>IFERROR(__xludf.DUMMYFUNCTION("REGEXEXTRACT(J5655, ""^\d+"")"),"1")</f>
        <v>1</v>
      </c>
      <c r="Z5655" s="5" t="str">
        <f>IFERROR(__xludf.DUMMYFUNCTION("REGEXEXTRACT(J5655, ""[A-Za-z ]+$"")")," Season")</f>
        <v> Season</v>
      </c>
      <c r="AA5655" s="5" t="str">
        <f>IFERROR(__xludf.DUMMYFUNCTION("IF(REGEXMATCH(Z5655, ""Season""), ""TV Show"", ""Movie"")"),"TV Show")</f>
        <v>TV Show</v>
      </c>
    </row>
    <row r="5656">
      <c r="A5656" s="1" t="s">
        <v>28868</v>
      </c>
      <c r="B5656" s="1" t="s">
        <v>37</v>
      </c>
      <c r="C5656" s="1" t="s">
        <v>28869</v>
      </c>
      <c r="E5656" s="1" t="s">
        <v>28870</v>
      </c>
      <c r="F5656" s="1" t="s">
        <v>415</v>
      </c>
      <c r="G5656" s="1" t="s">
        <v>28871</v>
      </c>
      <c r="H5656" s="1">
        <v>2016.0</v>
      </c>
      <c r="I5656" s="1" t="s">
        <v>42</v>
      </c>
      <c r="J5656" s="1" t="s">
        <v>43</v>
      </c>
      <c r="K5656" s="1" t="s">
        <v>567</v>
      </c>
      <c r="L5656" s="1" t="s">
        <v>28872</v>
      </c>
      <c r="M5656" s="2" t="s">
        <v>12</v>
      </c>
      <c r="N5656" s="4">
        <f t="shared" si="1"/>
        <v>42731</v>
      </c>
      <c r="O5656" s="5" t="str">
        <f>IFERROR(__xludf.DUMMYFUNCTION("IF(REGEXMATCH(TRIM(I5656), ""^\d+\s*min""), ""Unclassified"", IF(I5656 = """", ""NR"", I5656))"),"TV-MA")</f>
        <v>TV-MA</v>
      </c>
      <c r="R5656" s="5" t="str">
        <f t="shared" si="2"/>
        <v>Ajin: Demi-Human</v>
      </c>
      <c r="S5656" s="5" t="str">
        <f>IFERROR(__xludf.DUMMYFUNCTION("""COMPUTED_VALUE"""),"Pyaar Tune Kya Kiya")</f>
        <v>Pyaar Tune Kya Kiya</v>
      </c>
      <c r="V5656" s="5"/>
      <c r="Y5656" s="5" t="str">
        <f>IFERROR(__xludf.DUMMYFUNCTION("REGEXEXTRACT(J5656, ""^\d+"")"),"2")</f>
        <v>2</v>
      </c>
      <c r="Z5656" s="5" t="str">
        <f>IFERROR(__xludf.DUMMYFUNCTION("REGEXEXTRACT(J5656, ""[A-Za-z ]+$"")")," Seasons")</f>
        <v> Seasons</v>
      </c>
      <c r="AA5656" s="5" t="str">
        <f>IFERROR(__xludf.DUMMYFUNCTION("IF(REGEXMATCH(Z5656, ""Season""), ""TV Show"", ""Movie"")"),"TV Show")</f>
        <v>TV Show</v>
      </c>
    </row>
    <row r="5657">
      <c r="A5657" s="1" t="s">
        <v>28873</v>
      </c>
      <c r="B5657" s="1" t="s">
        <v>37</v>
      </c>
      <c r="C5657" s="1" t="s">
        <v>28874</v>
      </c>
      <c r="E5657" s="1" t="s">
        <v>28875</v>
      </c>
      <c r="F5657" s="1" t="s">
        <v>30</v>
      </c>
      <c r="G5657" s="1" t="s">
        <v>28871</v>
      </c>
      <c r="H5657" s="1">
        <v>2016.0</v>
      </c>
      <c r="I5657" s="1" t="s">
        <v>97</v>
      </c>
      <c r="J5657" s="1" t="s">
        <v>51</v>
      </c>
      <c r="K5657" s="1" t="s">
        <v>1485</v>
      </c>
      <c r="L5657" s="1" t="s">
        <v>28876</v>
      </c>
      <c r="M5657" s="2" t="s">
        <v>12</v>
      </c>
      <c r="N5657" s="4">
        <f t="shared" si="1"/>
        <v>42731</v>
      </c>
      <c r="O5657" s="5" t="str">
        <f>IFERROR(__xludf.DUMMYFUNCTION("IF(REGEXMATCH(TRIM(I5657), ""^\d+\s*min""), ""Unclassified"", IF(I5657 = """", ""NR"", I5657))"),"TV-14")</f>
        <v>TV-14</v>
      </c>
      <c r="R5657" s="5" t="str">
        <f t="shared" si="2"/>
        <v>Chasing Cameron</v>
      </c>
      <c r="S5657" s="5" t="str">
        <f>IFERROR(__xludf.DUMMYFUNCTION("""COMPUTED_VALUE"""),"Pyar Ke Do Pal")</f>
        <v>Pyar Ke Do Pal</v>
      </c>
      <c r="V5657" s="5"/>
      <c r="Y5657" s="5" t="str">
        <f>IFERROR(__xludf.DUMMYFUNCTION("REGEXEXTRACT(J5657, ""^\d+"")"),"1")</f>
        <v>1</v>
      </c>
      <c r="Z5657" s="5" t="str">
        <f>IFERROR(__xludf.DUMMYFUNCTION("REGEXEXTRACT(J5657, ""[A-Za-z ]+$"")")," Season")</f>
        <v> Season</v>
      </c>
      <c r="AA5657" s="5" t="str">
        <f>IFERROR(__xludf.DUMMYFUNCTION("IF(REGEXMATCH(Z5657, ""Season""), ""TV Show"", ""Movie"")"),"TV Show")</f>
        <v>TV Show</v>
      </c>
    </row>
    <row r="5658">
      <c r="A5658" s="1" t="s">
        <v>28877</v>
      </c>
      <c r="B5658" s="1" t="s">
        <v>27</v>
      </c>
      <c r="C5658" s="13">
        <v>0.30486111111111114</v>
      </c>
      <c r="D5658" s="1" t="s">
        <v>11793</v>
      </c>
      <c r="E5658" s="1" t="s">
        <v>28878</v>
      </c>
      <c r="F5658" s="1" t="s">
        <v>162</v>
      </c>
      <c r="G5658" s="1" t="s">
        <v>28879</v>
      </c>
      <c r="H5658" s="1">
        <v>2016.0</v>
      </c>
      <c r="I5658" s="1" t="s">
        <v>42</v>
      </c>
      <c r="J5658" s="1" t="s">
        <v>454</v>
      </c>
      <c r="K5658" s="1" t="s">
        <v>128</v>
      </c>
      <c r="L5658" s="1" t="s">
        <v>28880</v>
      </c>
      <c r="M5658" s="2" t="s">
        <v>12</v>
      </c>
      <c r="N5658" s="4">
        <f t="shared" si="1"/>
        <v>42727</v>
      </c>
      <c r="O5658" s="5" t="str">
        <f>IFERROR(__xludf.DUMMYFUNCTION("IF(REGEXMATCH(TRIM(I5658), ""^\d+\s*min""), ""Unclassified"", IF(I5658 = """", ""NR"", I5658))"),"TV-MA")</f>
        <v>TV-MA</v>
      </c>
      <c r="R5658" s="5" t="str">
        <f t="shared" si="2"/>
        <v>7:19</v>
      </c>
      <c r="S5658" s="5" t="str">
        <f>IFERROR(__xludf.DUMMYFUNCTION("""COMPUTED_VALUE"""),"Q Ball")</f>
        <v>Q Ball</v>
      </c>
      <c r="V5658" s="5"/>
      <c r="Y5658" s="5" t="str">
        <f>IFERROR(__xludf.DUMMYFUNCTION("REGEXEXTRACT(J5658, ""^\d+"")"),"93")</f>
        <v>93</v>
      </c>
      <c r="Z5658" s="5" t="str">
        <f>IFERROR(__xludf.DUMMYFUNCTION("REGEXEXTRACT(J5658, ""[A-Za-z ]+$"")")," min")</f>
        <v> min</v>
      </c>
      <c r="AA5658" s="5" t="str">
        <f>IFERROR(__xludf.DUMMYFUNCTION("IF(REGEXMATCH(Z5658, ""Season""), ""TV Show"", ""Movie"")"),"Movie")</f>
        <v>Movie</v>
      </c>
    </row>
    <row r="5659">
      <c r="A5659" s="1" t="s">
        <v>28881</v>
      </c>
      <c r="B5659" s="1" t="s">
        <v>27</v>
      </c>
      <c r="C5659" s="1" t="s">
        <v>28882</v>
      </c>
      <c r="D5659" s="1" t="s">
        <v>19265</v>
      </c>
      <c r="E5659" s="1" t="s">
        <v>28883</v>
      </c>
      <c r="F5659" s="1" t="s">
        <v>30</v>
      </c>
      <c r="G5659" s="1" t="s">
        <v>28879</v>
      </c>
      <c r="H5659" s="1">
        <v>2016.0</v>
      </c>
      <c r="I5659" s="1" t="s">
        <v>42</v>
      </c>
      <c r="J5659" s="1" t="s">
        <v>2670</v>
      </c>
      <c r="K5659" s="1" t="s">
        <v>22754</v>
      </c>
      <c r="L5659" s="1" t="s">
        <v>28884</v>
      </c>
      <c r="M5659" s="2" t="s">
        <v>12</v>
      </c>
      <c r="N5659" s="4">
        <f t="shared" si="1"/>
        <v>42727</v>
      </c>
      <c r="O5659" s="5" t="str">
        <f>IFERROR(__xludf.DUMMYFUNCTION("IF(REGEXMATCH(TRIM(I5659), ""^\d+\s*min""), ""Unclassified"", IF(I5659 = """", ""NR"", I5659))"),"TV-MA")</f>
        <v>TV-MA</v>
      </c>
      <c r="R5659" s="5" t="str">
        <f t="shared" si="2"/>
        <v>Garfunkel And Oates: Trying To Be Special</v>
      </c>
      <c r="S5659" s="5" t="str">
        <f>IFERROR(__xludf.DUMMYFUNCTION("""COMPUTED_VALUE"""),"Q-Force")</f>
        <v>Q-Force</v>
      </c>
      <c r="V5659" s="5"/>
      <c r="Y5659" s="5" t="str">
        <f>IFERROR(__xludf.DUMMYFUNCTION("REGEXEXTRACT(J5659, ""^\d+"")"),"62")</f>
        <v>62</v>
      </c>
      <c r="Z5659" s="5" t="str">
        <f>IFERROR(__xludf.DUMMYFUNCTION("REGEXEXTRACT(J5659, ""[A-Za-z ]+$"")")," min")</f>
        <v> min</v>
      </c>
      <c r="AA5659" s="5" t="str">
        <f>IFERROR(__xludf.DUMMYFUNCTION("IF(REGEXMATCH(Z5659, ""Season""), ""TV Show"", ""Movie"")"),"Movie")</f>
        <v>Movie</v>
      </c>
    </row>
    <row r="5660">
      <c r="A5660" s="1" t="s">
        <v>28885</v>
      </c>
      <c r="B5660" s="1" t="s">
        <v>37</v>
      </c>
      <c r="C5660" s="1" t="s">
        <v>28886</v>
      </c>
      <c r="E5660" s="1" t="s">
        <v>28887</v>
      </c>
      <c r="F5660" s="1" t="s">
        <v>30</v>
      </c>
      <c r="G5660" s="1" t="s">
        <v>28879</v>
      </c>
      <c r="H5660" s="1">
        <v>2018.0</v>
      </c>
      <c r="I5660" s="1" t="s">
        <v>42</v>
      </c>
      <c r="J5660" s="1" t="s">
        <v>43</v>
      </c>
      <c r="K5660" s="1" t="s">
        <v>1510</v>
      </c>
      <c r="L5660" s="1" t="s">
        <v>28888</v>
      </c>
      <c r="M5660" s="2" t="s">
        <v>12</v>
      </c>
      <c r="N5660" s="4">
        <f t="shared" si="1"/>
        <v>42727</v>
      </c>
      <c r="O5660" s="5" t="str">
        <f>IFERROR(__xludf.DUMMYFUNCTION("IF(REGEXMATCH(TRIM(I5660), ""^\d+\s*min""), ""Unclassified"", IF(I5660 = """", ""NR"", I5660))"),"TV-MA")</f>
        <v>TV-MA</v>
      </c>
      <c r="R5660" s="5" t="str">
        <f t="shared" si="2"/>
        <v>Sense8</v>
      </c>
      <c r="S5660" s="5" t="str">
        <f>IFERROR(__xludf.DUMMYFUNCTION("""COMPUTED_VALUE"""),"Qarib Qarib Singlle")</f>
        <v>Qarib Qarib Singlle</v>
      </c>
      <c r="V5660" s="5"/>
      <c r="Y5660" s="5" t="str">
        <f>IFERROR(__xludf.DUMMYFUNCTION("REGEXEXTRACT(J5660, ""^\d+"")"),"2")</f>
        <v>2</v>
      </c>
      <c r="Z5660" s="5" t="str">
        <f>IFERROR(__xludf.DUMMYFUNCTION("REGEXEXTRACT(J5660, ""[A-Za-z ]+$"")")," Seasons")</f>
        <v> Seasons</v>
      </c>
      <c r="AA5660" s="5" t="str">
        <f>IFERROR(__xludf.DUMMYFUNCTION("IF(REGEXMATCH(Z5660, ""Season""), ""TV Show"", ""Movie"")"),"TV Show")</f>
        <v>TV Show</v>
      </c>
    </row>
    <row r="5661">
      <c r="A5661" s="1" t="s">
        <v>28889</v>
      </c>
      <c r="B5661" s="1" t="s">
        <v>27</v>
      </c>
      <c r="C5661" s="1" t="s">
        <v>28890</v>
      </c>
      <c r="D5661" s="1" t="s">
        <v>16490</v>
      </c>
      <c r="E5661" s="1" t="s">
        <v>28891</v>
      </c>
      <c r="F5661" s="1" t="s">
        <v>28892</v>
      </c>
      <c r="G5661" s="1" t="s">
        <v>28893</v>
      </c>
      <c r="H5661" s="1">
        <v>2016.0</v>
      </c>
      <c r="I5661" s="1" t="s">
        <v>289</v>
      </c>
      <c r="J5661" s="1" t="s">
        <v>7407</v>
      </c>
      <c r="K5661" s="1" t="s">
        <v>2032</v>
      </c>
      <c r="L5661" s="1" t="s">
        <v>28894</v>
      </c>
      <c r="M5661" s="2" t="s">
        <v>12</v>
      </c>
      <c r="N5661" s="4">
        <f t="shared" si="1"/>
        <v>42724</v>
      </c>
      <c r="O5661" s="5" t="str">
        <f>IFERROR(__xludf.DUMMYFUNCTION("IF(REGEXMATCH(TRIM(I5661), ""^\d+\s*min""), ""Unclassified"", IF(I5661 = """", ""NR"", I5661))"),"TV-Y7")</f>
        <v>TV-Y7</v>
      </c>
      <c r="R5661" s="5" t="str">
        <f t="shared" si="2"/>
        <v>A Christmas Special: Miraculous: Tales Of Ladybug &amp; Cat Noir</v>
      </c>
      <c r="S5661" s="5" t="str">
        <f>IFERROR(__xludf.DUMMYFUNCTION("""COMPUTED_VALUE"""),"Qb1: Beyond The Lights")</f>
        <v>Qb1: Beyond The Lights</v>
      </c>
      <c r="V5661" s="5"/>
      <c r="Y5661" s="5" t="str">
        <f>IFERROR(__xludf.DUMMYFUNCTION("REGEXEXTRACT(J5661, ""^\d+"")"),"22")</f>
        <v>22</v>
      </c>
      <c r="Z5661" s="5" t="str">
        <f>IFERROR(__xludf.DUMMYFUNCTION("REGEXEXTRACT(J5661, ""[A-Za-z ]+$"")")," min")</f>
        <v> min</v>
      </c>
      <c r="AA5661" s="5" t="str">
        <f>IFERROR(__xludf.DUMMYFUNCTION("IF(REGEXMATCH(Z5661, ""Season""), ""TV Show"", ""Movie"")"),"Movie")</f>
        <v>Movie</v>
      </c>
    </row>
    <row r="5662">
      <c r="A5662" s="1" t="s">
        <v>28895</v>
      </c>
      <c r="B5662" s="1" t="s">
        <v>27</v>
      </c>
      <c r="C5662" s="1" t="s">
        <v>28896</v>
      </c>
      <c r="D5662" s="1" t="s">
        <v>14480</v>
      </c>
      <c r="E5662" s="1" t="s">
        <v>7050</v>
      </c>
      <c r="F5662" s="1" t="s">
        <v>30</v>
      </c>
      <c r="G5662" s="1" t="s">
        <v>28893</v>
      </c>
      <c r="H5662" s="1">
        <v>2016.0</v>
      </c>
      <c r="I5662" s="1" t="s">
        <v>97</v>
      </c>
      <c r="J5662" s="1" t="s">
        <v>428</v>
      </c>
      <c r="K5662" s="1" t="s">
        <v>1839</v>
      </c>
      <c r="L5662" s="1" t="s">
        <v>28897</v>
      </c>
      <c r="M5662" s="2" t="s">
        <v>12</v>
      </c>
      <c r="N5662" s="4">
        <f t="shared" si="1"/>
        <v>42724</v>
      </c>
      <c r="O5662" s="5" t="str">
        <f>IFERROR(__xludf.DUMMYFUNCTION("IF(REGEXMATCH(TRIM(I5662), ""^\d+\s*min""), ""Unclassified"", IF(I5662 = """", ""NR"", I5662))"),"TV-14")</f>
        <v>TV-14</v>
      </c>
      <c r="R5662" s="5" t="str">
        <f t="shared" si="2"/>
        <v>Gabriel Lglesias: I’M Sorry For What I Said When I Was Hungry</v>
      </c>
      <c r="S5662" s="5" t="str">
        <f>IFERROR(__xludf.DUMMYFUNCTION("""COMPUTED_VALUE"""),"Qila")</f>
        <v>Qila</v>
      </c>
      <c r="V5662" s="5"/>
      <c r="Y5662" s="5" t="str">
        <f>IFERROR(__xludf.DUMMYFUNCTION("REGEXEXTRACT(J5662, ""^\d+"")"),"88")</f>
        <v>88</v>
      </c>
      <c r="Z5662" s="5" t="str">
        <f>IFERROR(__xludf.DUMMYFUNCTION("REGEXEXTRACT(J5662, ""[A-Za-z ]+$"")")," min")</f>
        <v> min</v>
      </c>
      <c r="AA5662" s="5" t="str">
        <f>IFERROR(__xludf.DUMMYFUNCTION("IF(REGEXMATCH(Z5662, ""Season""), ""TV Show"", ""Movie"")"),"Movie")</f>
        <v>Movie</v>
      </c>
    </row>
    <row r="5663">
      <c r="A5663" s="1" t="s">
        <v>28898</v>
      </c>
      <c r="B5663" s="1" t="s">
        <v>27</v>
      </c>
      <c r="C5663" s="1" t="s">
        <v>28899</v>
      </c>
      <c r="D5663" s="1" t="s">
        <v>23300</v>
      </c>
      <c r="E5663" s="1" t="s">
        <v>28900</v>
      </c>
      <c r="F5663" s="1" t="s">
        <v>30</v>
      </c>
      <c r="G5663" s="1" t="s">
        <v>28901</v>
      </c>
      <c r="H5663" s="1">
        <v>2016.0</v>
      </c>
      <c r="I5663" s="1" t="s">
        <v>42</v>
      </c>
      <c r="J5663" s="1" t="s">
        <v>305</v>
      </c>
      <c r="K5663" s="1" t="s">
        <v>805</v>
      </c>
      <c r="L5663" s="1" t="s">
        <v>28902</v>
      </c>
      <c r="M5663" s="2" t="s">
        <v>12</v>
      </c>
      <c r="N5663" s="4">
        <f t="shared" si="1"/>
        <v>42720</v>
      </c>
      <c r="O5663" s="5" t="str">
        <f>IFERROR(__xludf.DUMMYFUNCTION("IF(REGEXMATCH(TRIM(I5663), ""^\d+\s*min""), ""Unclassified"", IF(I5663 = """", ""NR"", I5663))"),"TV-MA")</f>
        <v>TV-MA</v>
      </c>
      <c r="R5663" s="5" t="str">
        <f t="shared" si="2"/>
        <v>Barry</v>
      </c>
      <c r="S5663" s="5" t="str">
        <f>IFERROR(__xludf.DUMMYFUNCTION("""COMPUTED_VALUE"""),"Qin Empire: Alliance")</f>
        <v>Qin Empire: Alliance</v>
      </c>
      <c r="V5663" s="5"/>
      <c r="Y5663" s="5" t="str">
        <f>IFERROR(__xludf.DUMMYFUNCTION("REGEXEXTRACT(J5663, ""^\d+"")"),"105")</f>
        <v>105</v>
      </c>
      <c r="Z5663" s="5" t="str">
        <f>IFERROR(__xludf.DUMMYFUNCTION("REGEXEXTRACT(J5663, ""[A-Za-z ]+$"")")," min")</f>
        <v> min</v>
      </c>
      <c r="AA5663" s="5" t="str">
        <f>IFERROR(__xludf.DUMMYFUNCTION("IF(REGEXMATCH(Z5663, ""Season""), ""TV Show"", ""Movie"")"),"Movie")</f>
        <v>Movie</v>
      </c>
    </row>
    <row r="5664">
      <c r="A5664" s="1" t="s">
        <v>28903</v>
      </c>
      <c r="B5664" s="1" t="s">
        <v>37</v>
      </c>
      <c r="C5664" s="1" t="s">
        <v>28904</v>
      </c>
      <c r="E5664" s="1" t="s">
        <v>28905</v>
      </c>
      <c r="F5664" s="1" t="s">
        <v>96</v>
      </c>
      <c r="G5664" s="1" t="s">
        <v>28901</v>
      </c>
      <c r="H5664" s="1">
        <v>2016.0</v>
      </c>
      <c r="I5664" s="1" t="s">
        <v>42</v>
      </c>
      <c r="J5664" s="1" t="s">
        <v>51</v>
      </c>
      <c r="K5664" s="1" t="s">
        <v>277</v>
      </c>
      <c r="L5664" s="1" t="s">
        <v>28906</v>
      </c>
      <c r="M5664" s="2" t="s">
        <v>12</v>
      </c>
      <c r="N5664" s="4">
        <f t="shared" si="1"/>
        <v>42720</v>
      </c>
      <c r="O5664" s="5" t="str">
        <f>IFERROR(__xludf.DUMMYFUNCTION("IF(REGEXMATCH(TRIM(I5664), ""^\d+\s*min""), ""Unclassified"", IF(I5664 = """", ""NR"", I5664))"),"TV-MA")</f>
        <v>TV-MA</v>
      </c>
      <c r="R5664" s="5" t="str">
        <f t="shared" si="2"/>
        <v>Crazyhead</v>
      </c>
      <c r="S5664" s="5" t="str">
        <f>IFERROR(__xludf.DUMMYFUNCTION("""COMPUTED_VALUE"""),"Qismat")</f>
        <v>Qismat</v>
      </c>
      <c r="V5664" s="5"/>
      <c r="Y5664" s="5" t="str">
        <f>IFERROR(__xludf.DUMMYFUNCTION("REGEXEXTRACT(J5664, ""^\d+"")"),"1")</f>
        <v>1</v>
      </c>
      <c r="Z5664" s="5" t="str">
        <f>IFERROR(__xludf.DUMMYFUNCTION("REGEXEXTRACT(J5664, ""[A-Za-z ]+$"")")," Season")</f>
        <v> Season</v>
      </c>
      <c r="AA5664" s="5" t="str">
        <f>IFERROR(__xludf.DUMMYFUNCTION("IF(REGEXMATCH(Z5664, ""Season""), ""TV Show"", ""Movie"")"),"TV Show")</f>
        <v>TV Show</v>
      </c>
    </row>
    <row r="5665">
      <c r="A5665" s="1" t="s">
        <v>28907</v>
      </c>
      <c r="B5665" s="1" t="s">
        <v>27</v>
      </c>
      <c r="C5665" s="1" t="s">
        <v>28908</v>
      </c>
      <c r="D5665" s="1" t="s">
        <v>20682</v>
      </c>
      <c r="E5665" s="1" t="s">
        <v>28909</v>
      </c>
      <c r="F5665" s="1" t="s">
        <v>30</v>
      </c>
      <c r="G5665" s="1" t="s">
        <v>28901</v>
      </c>
      <c r="H5665" s="1">
        <v>2016.0</v>
      </c>
      <c r="I5665" s="1" t="s">
        <v>42</v>
      </c>
      <c r="J5665" s="1" t="s">
        <v>428</v>
      </c>
      <c r="K5665" s="1" t="s">
        <v>805</v>
      </c>
      <c r="L5665" s="1" t="s">
        <v>28910</v>
      </c>
      <c r="M5665" s="2" t="s">
        <v>12</v>
      </c>
      <c r="N5665" s="4">
        <f t="shared" si="1"/>
        <v>42720</v>
      </c>
      <c r="O5665" s="5" t="str">
        <f>IFERROR(__xludf.DUMMYFUNCTION("IF(REGEXMATCH(TRIM(I5665), ""^\d+\s*min""), ""Unclassified"", IF(I5665 = """", ""NR"", I5665))"),"TV-MA")</f>
        <v>TV-MA</v>
      </c>
      <c r="R5665" s="5" t="str">
        <f t="shared" si="2"/>
        <v>Sister Cities</v>
      </c>
      <c r="S5665" s="5" t="str">
        <f>IFERROR(__xludf.DUMMYFUNCTION("""COMPUTED_VALUE"""),"Qlimax The Source")</f>
        <v>Qlimax The Source</v>
      </c>
      <c r="V5665" s="5"/>
      <c r="Y5665" s="5" t="str">
        <f>IFERROR(__xludf.DUMMYFUNCTION("REGEXEXTRACT(J5665, ""^\d+"")"),"88")</f>
        <v>88</v>
      </c>
      <c r="Z5665" s="5" t="str">
        <f>IFERROR(__xludf.DUMMYFUNCTION("REGEXEXTRACT(J5665, ""[A-Za-z ]+$"")")," min")</f>
        <v> min</v>
      </c>
      <c r="AA5665" s="5" t="str">
        <f>IFERROR(__xludf.DUMMYFUNCTION("IF(REGEXMATCH(Z5665, ""Season""), ""TV Show"", ""Movie"")"),"Movie")</f>
        <v>Movie</v>
      </c>
    </row>
    <row r="5666">
      <c r="A5666" s="1" t="s">
        <v>28911</v>
      </c>
      <c r="B5666" s="1" t="s">
        <v>27</v>
      </c>
      <c r="C5666" s="1" t="s">
        <v>28912</v>
      </c>
      <c r="D5666" s="1" t="s">
        <v>21259</v>
      </c>
      <c r="E5666" s="1" t="s">
        <v>28913</v>
      </c>
      <c r="F5666" s="1" t="s">
        <v>2492</v>
      </c>
      <c r="G5666" s="1" t="s">
        <v>28914</v>
      </c>
      <c r="H5666" s="1">
        <v>2015.0</v>
      </c>
      <c r="I5666" s="1" t="s">
        <v>42</v>
      </c>
      <c r="J5666" s="1" t="s">
        <v>454</v>
      </c>
      <c r="K5666" s="1" t="s">
        <v>199</v>
      </c>
      <c r="L5666" s="1" t="s">
        <v>28915</v>
      </c>
      <c r="M5666" s="2" t="s">
        <v>12</v>
      </c>
      <c r="N5666" s="4">
        <f t="shared" si="1"/>
        <v>42719</v>
      </c>
      <c r="O5666" s="5" t="str">
        <f>IFERROR(__xludf.DUMMYFUNCTION("IF(REGEXMATCH(TRIM(I5666), ""^\d+\s*min""), ""Unclassified"", IF(I5666 = """", ""NR"", I5666))"),"TV-MA")</f>
        <v>TV-MA</v>
      </c>
      <c r="R5666" s="5" t="str">
        <f t="shared" si="2"/>
        <v>3 Türken &amp; Ein Baby</v>
      </c>
      <c r="S5666" s="5" t="str">
        <f>IFERROR(__xludf.DUMMYFUNCTION("""COMPUTED_VALUE"""),"Quam'S Money")</f>
        <v>Quam'S Money</v>
      </c>
      <c r="V5666" s="5"/>
      <c r="Y5666" s="5" t="str">
        <f>IFERROR(__xludf.DUMMYFUNCTION("REGEXEXTRACT(J5666, ""^\d+"")"),"93")</f>
        <v>93</v>
      </c>
      <c r="Z5666" s="5" t="str">
        <f>IFERROR(__xludf.DUMMYFUNCTION("REGEXEXTRACT(J5666, ""[A-Za-z ]+$"")")," min")</f>
        <v> min</v>
      </c>
      <c r="AA5666" s="5" t="str">
        <f>IFERROR(__xludf.DUMMYFUNCTION("IF(REGEXMATCH(Z5666, ""Season""), ""TV Show"", ""Movie"")"),"Movie")</f>
        <v>Movie</v>
      </c>
    </row>
    <row r="5667">
      <c r="A5667" s="1" t="s">
        <v>28916</v>
      </c>
      <c r="B5667" s="1" t="s">
        <v>37</v>
      </c>
      <c r="C5667" s="1" t="s">
        <v>28917</v>
      </c>
      <c r="E5667" s="1" t="s">
        <v>28918</v>
      </c>
      <c r="F5667" s="1" t="s">
        <v>749</v>
      </c>
      <c r="G5667" s="1" t="s">
        <v>28914</v>
      </c>
      <c r="H5667" s="1">
        <v>2012.0</v>
      </c>
      <c r="I5667" s="1" t="s">
        <v>136</v>
      </c>
      <c r="J5667" s="1" t="s">
        <v>51</v>
      </c>
      <c r="K5667" s="1" t="s">
        <v>7164</v>
      </c>
      <c r="L5667" s="1" t="s">
        <v>28919</v>
      </c>
      <c r="M5667" s="2" t="s">
        <v>12</v>
      </c>
      <c r="N5667" s="4">
        <f t="shared" si="1"/>
        <v>42719</v>
      </c>
      <c r="O5667" s="5" t="str">
        <f>IFERROR(__xludf.DUMMYFUNCTION("IF(REGEXMATCH(TRIM(I5667), ""^\d+\s*min""), ""Unclassified"", IF(I5667 = """", ""NR"", I5667))"),"TV-PG")</f>
        <v>TV-PG</v>
      </c>
      <c r="R5667" s="5" t="str">
        <f t="shared" si="2"/>
        <v>Color Of Woman</v>
      </c>
      <c r="S5667" s="5" t="str">
        <f>IFERROR(__xludf.DUMMYFUNCTION("""COMPUTED_VALUE"""),"Quantico")</f>
        <v>Quantico</v>
      </c>
      <c r="V5667" s="5"/>
      <c r="Y5667" s="5" t="str">
        <f>IFERROR(__xludf.DUMMYFUNCTION("REGEXEXTRACT(J5667, ""^\d+"")"),"1")</f>
        <v>1</v>
      </c>
      <c r="Z5667" s="5" t="str">
        <f>IFERROR(__xludf.DUMMYFUNCTION("REGEXEXTRACT(J5667, ""[A-Za-z ]+$"")")," Season")</f>
        <v> Season</v>
      </c>
      <c r="AA5667" s="5" t="str">
        <f>IFERROR(__xludf.DUMMYFUNCTION("IF(REGEXMATCH(Z5667, ""Season""), ""TV Show"", ""Movie"")"),"TV Show")</f>
        <v>TV Show</v>
      </c>
    </row>
    <row r="5668">
      <c r="A5668" s="1" t="s">
        <v>28920</v>
      </c>
      <c r="B5668" s="1" t="s">
        <v>27</v>
      </c>
      <c r="C5668" s="1" t="s">
        <v>28921</v>
      </c>
      <c r="D5668" s="1" t="s">
        <v>15210</v>
      </c>
      <c r="E5668" s="1" t="s">
        <v>28922</v>
      </c>
      <c r="F5668" s="1" t="s">
        <v>96</v>
      </c>
      <c r="G5668" s="1" t="s">
        <v>28914</v>
      </c>
      <c r="H5668" s="1">
        <v>2015.0</v>
      </c>
      <c r="I5668" s="1" t="s">
        <v>42</v>
      </c>
      <c r="J5668" s="1" t="s">
        <v>357</v>
      </c>
      <c r="K5668" s="1" t="s">
        <v>645</v>
      </c>
      <c r="L5668" s="1" t="s">
        <v>28923</v>
      </c>
      <c r="M5668" s="2" t="s">
        <v>12</v>
      </c>
      <c r="N5668" s="4">
        <f t="shared" si="1"/>
        <v>42719</v>
      </c>
      <c r="O5668" s="5" t="str">
        <f>IFERROR(__xludf.DUMMYFUNCTION("IF(REGEXMATCH(TRIM(I5668), ""^\d+\s*min""), ""Unclassified"", IF(I5668 = """", ""NR"", I5668))"),"TV-MA")</f>
        <v>TV-MA</v>
      </c>
      <c r="R5668" s="5" t="str">
        <f t="shared" si="2"/>
        <v>Eddie - Strongman</v>
      </c>
      <c r="S5668" s="5" t="str">
        <f>IFERROR(__xludf.DUMMYFUNCTION("""COMPUTED_VALUE"""),"Quantum Of Solace")</f>
        <v>Quantum Of Solace</v>
      </c>
      <c r="V5668" s="5"/>
      <c r="Y5668" s="5" t="str">
        <f>IFERROR(__xludf.DUMMYFUNCTION("REGEXEXTRACT(J5668, ""^\d+"")"),"98")</f>
        <v>98</v>
      </c>
      <c r="Z5668" s="5" t="str">
        <f>IFERROR(__xludf.DUMMYFUNCTION("REGEXEXTRACT(J5668, ""[A-Za-z ]+$"")")," min")</f>
        <v> min</v>
      </c>
      <c r="AA5668" s="5" t="str">
        <f>IFERROR(__xludf.DUMMYFUNCTION("IF(REGEXMATCH(Z5668, ""Season""), ""TV Show"", ""Movie"")"),"Movie")</f>
        <v>Movie</v>
      </c>
    </row>
    <row r="5669">
      <c r="A5669" s="1" t="s">
        <v>28924</v>
      </c>
      <c r="B5669" s="1" t="s">
        <v>37</v>
      </c>
      <c r="C5669" s="1" t="s">
        <v>28925</v>
      </c>
      <c r="E5669" s="1" t="s">
        <v>28926</v>
      </c>
      <c r="F5669" s="1" t="s">
        <v>749</v>
      </c>
      <c r="G5669" s="1" t="s">
        <v>28914</v>
      </c>
      <c r="H5669" s="1">
        <v>2012.0</v>
      </c>
      <c r="I5669" s="1" t="s">
        <v>97</v>
      </c>
      <c r="J5669" s="1" t="s">
        <v>51</v>
      </c>
      <c r="K5669" s="1" t="s">
        <v>7164</v>
      </c>
      <c r="L5669" s="1" t="s">
        <v>28927</v>
      </c>
      <c r="M5669" s="2" t="s">
        <v>12</v>
      </c>
      <c r="N5669" s="4">
        <f t="shared" si="1"/>
        <v>42719</v>
      </c>
      <c r="O5669" s="5" t="str">
        <f>IFERROR(__xludf.DUMMYFUNCTION("IF(REGEXMATCH(TRIM(I5669), ""^\d+\s*min""), ""Unclassified"", IF(I5669 = """", ""NR"", I5669))"),"TV-14")</f>
        <v>TV-14</v>
      </c>
      <c r="R5669" s="5" t="str">
        <f t="shared" si="2"/>
        <v>Goodbye My Wife</v>
      </c>
      <c r="S5669" s="5" t="str">
        <f>IFERROR(__xludf.DUMMYFUNCTION("""COMPUTED_VALUE"""),"Quarantine Tales")</f>
        <v>Quarantine Tales</v>
      </c>
      <c r="V5669" s="5"/>
      <c r="Y5669" s="5" t="str">
        <f>IFERROR(__xludf.DUMMYFUNCTION("REGEXEXTRACT(J5669, ""^\d+"")"),"1")</f>
        <v>1</v>
      </c>
      <c r="Z5669" s="5" t="str">
        <f>IFERROR(__xludf.DUMMYFUNCTION("REGEXEXTRACT(J5669, ""[A-Za-z ]+$"")")," Season")</f>
        <v> Season</v>
      </c>
      <c r="AA5669" s="5" t="str">
        <f>IFERROR(__xludf.DUMMYFUNCTION("IF(REGEXMATCH(Z5669, ""Season""), ""TV Show"", ""Movie"")"),"TV Show")</f>
        <v>TV Show</v>
      </c>
    </row>
    <row r="5670">
      <c r="A5670" s="1" t="s">
        <v>28928</v>
      </c>
      <c r="B5670" s="1" t="s">
        <v>37</v>
      </c>
      <c r="C5670" s="1" t="s">
        <v>28929</v>
      </c>
      <c r="E5670" s="1" t="s">
        <v>28930</v>
      </c>
      <c r="F5670" s="1" t="s">
        <v>749</v>
      </c>
      <c r="G5670" s="1" t="s">
        <v>28914</v>
      </c>
      <c r="H5670" s="1">
        <v>2012.0</v>
      </c>
      <c r="I5670" s="1" t="s">
        <v>97</v>
      </c>
      <c r="J5670" s="1" t="s">
        <v>51</v>
      </c>
      <c r="K5670" s="1" t="s">
        <v>13832</v>
      </c>
      <c r="L5670" s="1" t="s">
        <v>28931</v>
      </c>
      <c r="M5670" s="2" t="s">
        <v>12</v>
      </c>
      <c r="N5670" s="4">
        <f t="shared" si="1"/>
        <v>42719</v>
      </c>
      <c r="O5670" s="5" t="str">
        <f>IFERROR(__xludf.DUMMYFUNCTION("IF(REGEXMATCH(TRIM(I5670), ""^\d+\s*min""), ""Unclassified"", IF(I5670 = """", ""NR"", I5670))"),"TV-14")</f>
        <v>TV-14</v>
      </c>
      <c r="R5670" s="5" t="str">
        <f t="shared" si="2"/>
        <v>Happy And</v>
      </c>
      <c r="S5670" s="5" t="str">
        <f>IFERROR(__xludf.DUMMYFUNCTION("""COMPUTED_VALUE"""),"Quartet")</f>
        <v>Quartet</v>
      </c>
      <c r="V5670" s="5"/>
      <c r="Y5670" s="5" t="str">
        <f>IFERROR(__xludf.DUMMYFUNCTION("REGEXEXTRACT(J5670, ""^\d+"")"),"1")</f>
        <v>1</v>
      </c>
      <c r="Z5670" s="5" t="str">
        <f>IFERROR(__xludf.DUMMYFUNCTION("REGEXEXTRACT(J5670, ""[A-Za-z ]+$"")")," Season")</f>
        <v> Season</v>
      </c>
      <c r="AA5670" s="5" t="str">
        <f>IFERROR(__xludf.DUMMYFUNCTION("IF(REGEXMATCH(Z5670, ""Season""), ""TV Show"", ""Movie"")"),"TV Show")</f>
        <v>TV Show</v>
      </c>
    </row>
    <row r="5671">
      <c r="A5671" s="1" t="s">
        <v>28932</v>
      </c>
      <c r="B5671" s="1" t="s">
        <v>37</v>
      </c>
      <c r="C5671" s="1" t="s">
        <v>28933</v>
      </c>
      <c r="E5671" s="1" t="s">
        <v>28934</v>
      </c>
      <c r="F5671" s="1" t="s">
        <v>749</v>
      </c>
      <c r="G5671" s="1" t="s">
        <v>28914</v>
      </c>
      <c r="H5671" s="1">
        <v>2011.0</v>
      </c>
      <c r="I5671" s="1" t="s">
        <v>42</v>
      </c>
      <c r="J5671" s="1" t="s">
        <v>51</v>
      </c>
      <c r="K5671" s="1" t="s">
        <v>13832</v>
      </c>
      <c r="L5671" s="1" t="s">
        <v>28935</v>
      </c>
      <c r="M5671" s="2" t="s">
        <v>12</v>
      </c>
      <c r="N5671" s="4">
        <f t="shared" si="1"/>
        <v>42719</v>
      </c>
      <c r="O5671" s="5" t="str">
        <f>IFERROR(__xludf.DUMMYFUNCTION("IF(REGEXMATCH(TRIM(I5671), ""^\d+\s*min""), ""Unclassified"", IF(I5671 = """", ""NR"", I5671))"),"TV-MA")</f>
        <v>TV-MA</v>
      </c>
      <c r="R5671" s="5" t="str">
        <f t="shared" si="2"/>
        <v>Heaven'S Garden</v>
      </c>
      <c r="S5671" s="5" t="str">
        <f>IFERROR(__xludf.DUMMYFUNCTION("""COMPUTED_VALUE"""),"Qué Pena Tu Serie")</f>
        <v>Qué Pena Tu Serie</v>
      </c>
      <c r="V5671" s="5"/>
      <c r="Y5671" s="5" t="str">
        <f>IFERROR(__xludf.DUMMYFUNCTION("REGEXEXTRACT(J5671, ""^\d+"")"),"1")</f>
        <v>1</v>
      </c>
      <c r="Z5671" s="5" t="str">
        <f>IFERROR(__xludf.DUMMYFUNCTION("REGEXEXTRACT(J5671, ""[A-Za-z ]+$"")")," Season")</f>
        <v> Season</v>
      </c>
      <c r="AA5671" s="5" t="str">
        <f>IFERROR(__xludf.DUMMYFUNCTION("IF(REGEXMATCH(Z5671, ""Season""), ""TV Show"", ""Movie"")"),"TV Show")</f>
        <v>TV Show</v>
      </c>
    </row>
    <row r="5672">
      <c r="A5672" s="1" t="s">
        <v>28936</v>
      </c>
      <c r="B5672" s="1" t="s">
        <v>37</v>
      </c>
      <c r="C5672" s="1" t="s">
        <v>28937</v>
      </c>
      <c r="E5672" s="1" t="s">
        <v>28938</v>
      </c>
      <c r="F5672" s="1" t="s">
        <v>3892</v>
      </c>
      <c r="G5672" s="1" t="s">
        <v>28914</v>
      </c>
      <c r="H5672" s="1">
        <v>2016.0</v>
      </c>
      <c r="I5672" s="1" t="s">
        <v>97</v>
      </c>
      <c r="J5672" s="1" t="s">
        <v>51</v>
      </c>
      <c r="K5672" s="1" t="s">
        <v>20026</v>
      </c>
      <c r="L5672" s="1" t="s">
        <v>28939</v>
      </c>
      <c r="M5672" s="2" t="s">
        <v>12</v>
      </c>
      <c r="N5672" s="4">
        <f t="shared" si="1"/>
        <v>42719</v>
      </c>
      <c r="O5672" s="5" t="str">
        <f>IFERROR(__xludf.DUMMYFUNCTION("IF(REGEXMATCH(TRIM(I5672), ""^\d+\s*min""), ""Unclassified"", IF(I5672 = """", ""NR"", I5672))"),"TV-14")</f>
        <v>TV-14</v>
      </c>
      <c r="R5672" s="5" t="str">
        <f t="shared" si="2"/>
        <v>Ice Fantasy</v>
      </c>
      <c r="S5672" s="5" t="str">
        <f>IFERROR(__xludf.DUMMYFUNCTION("""COMPUTED_VALUE"""),"Queen")</f>
        <v>Queen</v>
      </c>
      <c r="V5672" s="5"/>
      <c r="Y5672" s="5" t="str">
        <f>IFERROR(__xludf.DUMMYFUNCTION("REGEXEXTRACT(J5672, ""^\d+"")"),"1")</f>
        <v>1</v>
      </c>
      <c r="Z5672" s="5" t="str">
        <f>IFERROR(__xludf.DUMMYFUNCTION("REGEXEXTRACT(J5672, ""[A-Za-z ]+$"")")," Season")</f>
        <v> Season</v>
      </c>
      <c r="AA5672" s="5" t="str">
        <f>IFERROR(__xludf.DUMMYFUNCTION("IF(REGEXMATCH(Z5672, ""Season""), ""TV Show"", ""Movie"")"),"TV Show")</f>
        <v>TV Show</v>
      </c>
    </row>
    <row r="5673">
      <c r="A5673" s="1" t="s">
        <v>28940</v>
      </c>
      <c r="B5673" s="1" t="s">
        <v>37</v>
      </c>
      <c r="C5673" s="1" t="s">
        <v>28941</v>
      </c>
      <c r="E5673" s="1" t="s">
        <v>28942</v>
      </c>
      <c r="F5673" s="1" t="s">
        <v>749</v>
      </c>
      <c r="G5673" s="1" t="s">
        <v>28914</v>
      </c>
      <c r="H5673" s="1">
        <v>2012.0</v>
      </c>
      <c r="I5673" s="1" t="s">
        <v>97</v>
      </c>
      <c r="J5673" s="1" t="s">
        <v>51</v>
      </c>
      <c r="K5673" s="1" t="s">
        <v>13832</v>
      </c>
      <c r="L5673" s="1" t="s">
        <v>28943</v>
      </c>
      <c r="M5673" s="2" t="s">
        <v>12</v>
      </c>
      <c r="N5673" s="4">
        <f t="shared" si="1"/>
        <v>42719</v>
      </c>
      <c r="O5673" s="5" t="str">
        <f>IFERROR(__xludf.DUMMYFUNCTION("IF(REGEXMATCH(TRIM(I5673), ""^\d+\s*min""), ""Unclassified"", IF(I5673 = """", ""NR"", I5673))"),"TV-14")</f>
        <v>TV-14</v>
      </c>
      <c r="R5673" s="5" t="str">
        <f t="shared" si="2"/>
        <v>Immortal Classic</v>
      </c>
      <c r="S5673" s="5" t="str">
        <f>IFERROR(__xludf.DUMMYFUNCTION("""COMPUTED_VALUE"""),"Queen Of No Marriage")</f>
        <v>Queen Of No Marriage</v>
      </c>
      <c r="V5673" s="5"/>
      <c r="Y5673" s="5" t="str">
        <f>IFERROR(__xludf.DUMMYFUNCTION("REGEXEXTRACT(J5673, ""^\d+"")"),"1")</f>
        <v>1</v>
      </c>
      <c r="Z5673" s="5" t="str">
        <f>IFERROR(__xludf.DUMMYFUNCTION("REGEXEXTRACT(J5673, ""[A-Za-z ]+$"")")," Season")</f>
        <v> Season</v>
      </c>
      <c r="AA5673" s="5" t="str">
        <f>IFERROR(__xludf.DUMMYFUNCTION("IF(REGEXMATCH(Z5673, ""Season""), ""TV Show"", ""Movie"")"),"TV Show")</f>
        <v>TV Show</v>
      </c>
    </row>
    <row r="5674">
      <c r="A5674" s="1" t="s">
        <v>28944</v>
      </c>
      <c r="B5674" s="1" t="s">
        <v>37</v>
      </c>
      <c r="C5674" s="1" t="s">
        <v>28945</v>
      </c>
      <c r="E5674" s="1" t="s">
        <v>28946</v>
      </c>
      <c r="F5674" s="1" t="s">
        <v>415</v>
      </c>
      <c r="G5674" s="1" t="s">
        <v>28914</v>
      </c>
      <c r="H5674" s="1">
        <v>2001.0</v>
      </c>
      <c r="I5674" s="1" t="s">
        <v>97</v>
      </c>
      <c r="J5674" s="1" t="s">
        <v>43</v>
      </c>
      <c r="K5674" s="1" t="s">
        <v>567</v>
      </c>
      <c r="L5674" s="1" t="s">
        <v>28947</v>
      </c>
      <c r="M5674" s="2" t="s">
        <v>12</v>
      </c>
      <c r="N5674" s="4">
        <f t="shared" si="1"/>
        <v>42719</v>
      </c>
      <c r="O5674" s="5" t="str">
        <f>IFERROR(__xludf.DUMMYFUNCTION("IF(REGEXMATCH(TRIM(I5674), ""^\d+\s*min""), ""Unclassified"", IF(I5674 = """", ""NR"", I5674))"),"TV-14")</f>
        <v>TV-14</v>
      </c>
      <c r="R5674" s="5" t="str">
        <f t="shared" si="2"/>
        <v>Inuyasha</v>
      </c>
      <c r="S5674" s="5" t="str">
        <f>IFERROR(__xludf.DUMMYFUNCTION("""COMPUTED_VALUE"""),"Queen Of The Desert")</f>
        <v>Queen Of The Desert</v>
      </c>
      <c r="V5674" s="5"/>
      <c r="Y5674" s="5" t="str">
        <f>IFERROR(__xludf.DUMMYFUNCTION("REGEXEXTRACT(J5674, ""^\d+"")"),"2")</f>
        <v>2</v>
      </c>
      <c r="Z5674" s="5" t="str">
        <f>IFERROR(__xludf.DUMMYFUNCTION("REGEXEXTRACT(J5674, ""[A-Za-z ]+$"")")," Seasons")</f>
        <v> Seasons</v>
      </c>
      <c r="AA5674" s="5" t="str">
        <f>IFERROR(__xludf.DUMMYFUNCTION("IF(REGEXMATCH(Z5674, ""Season""), ""TV Show"", ""Movie"")"),"TV Show")</f>
        <v>TV Show</v>
      </c>
    </row>
    <row r="5675">
      <c r="A5675" s="1" t="s">
        <v>28948</v>
      </c>
      <c r="B5675" s="1" t="s">
        <v>37</v>
      </c>
      <c r="C5675" s="1" t="s">
        <v>28949</v>
      </c>
      <c r="E5675" s="1" t="s">
        <v>28950</v>
      </c>
      <c r="F5675" s="1" t="s">
        <v>749</v>
      </c>
      <c r="G5675" s="1" t="s">
        <v>28914</v>
      </c>
      <c r="H5675" s="1">
        <v>2012.0</v>
      </c>
      <c r="I5675" s="1" t="s">
        <v>97</v>
      </c>
      <c r="J5675" s="1" t="s">
        <v>51</v>
      </c>
      <c r="K5675" s="1" t="s">
        <v>7164</v>
      </c>
      <c r="L5675" s="1" t="s">
        <v>28951</v>
      </c>
      <c r="M5675" s="2" t="s">
        <v>12</v>
      </c>
      <c r="N5675" s="4">
        <f t="shared" si="1"/>
        <v>42719</v>
      </c>
      <c r="O5675" s="5" t="str">
        <f>IFERROR(__xludf.DUMMYFUNCTION("IF(REGEXMATCH(TRIM(I5675), ""^\d+\s*min""), ""Unclassified"", IF(I5675 = """", ""NR"", I5675))"),"TV-14")</f>
        <v>TV-14</v>
      </c>
      <c r="R5675" s="5" t="str">
        <f t="shared" si="2"/>
        <v>K-Pop Extreme Survival</v>
      </c>
      <c r="S5675" s="5" t="str">
        <f>IFERROR(__xludf.DUMMYFUNCTION("""COMPUTED_VALUE"""),"Queen Of The South")</f>
        <v>Queen Of The South</v>
      </c>
      <c r="V5675" s="5"/>
      <c r="Y5675" s="5" t="str">
        <f>IFERROR(__xludf.DUMMYFUNCTION("REGEXEXTRACT(J5675, ""^\d+"")"),"1")</f>
        <v>1</v>
      </c>
      <c r="Z5675" s="5" t="str">
        <f>IFERROR(__xludf.DUMMYFUNCTION("REGEXEXTRACT(J5675, ""[A-Za-z ]+$"")")," Season")</f>
        <v> Season</v>
      </c>
      <c r="AA5675" s="5" t="str">
        <f>IFERROR(__xludf.DUMMYFUNCTION("IF(REGEXMATCH(Z5675, ""Season""), ""TV Show"", ""Movie"")"),"TV Show")</f>
        <v>TV Show</v>
      </c>
    </row>
    <row r="5676">
      <c r="A5676" s="1" t="s">
        <v>28952</v>
      </c>
      <c r="B5676" s="1" t="s">
        <v>37</v>
      </c>
      <c r="C5676" s="1" t="s">
        <v>28953</v>
      </c>
      <c r="D5676" s="1" t="s">
        <v>10016</v>
      </c>
      <c r="E5676" s="1" t="s">
        <v>28954</v>
      </c>
      <c r="F5676" s="1" t="s">
        <v>96</v>
      </c>
      <c r="G5676" s="1" t="s">
        <v>28914</v>
      </c>
      <c r="H5676" s="1">
        <v>2012.0</v>
      </c>
      <c r="I5676" s="1" t="s">
        <v>136</v>
      </c>
      <c r="J5676" s="1" t="s">
        <v>189</v>
      </c>
      <c r="K5676" s="1" t="s">
        <v>14753</v>
      </c>
      <c r="L5676" s="1" t="s">
        <v>28955</v>
      </c>
      <c r="M5676" s="2" t="s">
        <v>12</v>
      </c>
      <c r="N5676" s="4">
        <f t="shared" si="1"/>
        <v>42719</v>
      </c>
      <c r="O5676" s="5" t="str">
        <f>IFERROR(__xludf.DUMMYFUNCTION("IF(REGEXMATCH(TRIM(I5676), ""^\d+\s*min""), ""Unclassified"", IF(I5676 = """", ""NR"", I5676))"),"TV-PG")</f>
        <v>TV-PG</v>
      </c>
      <c r="R5676" s="5" t="str">
        <f t="shared" si="2"/>
        <v>Merlin</v>
      </c>
      <c r="S5676" s="5" t="str">
        <f>IFERROR(__xludf.DUMMYFUNCTION("""COMPUTED_VALUE"""),"Queen Sono")</f>
        <v>Queen Sono</v>
      </c>
      <c r="V5676" s="5"/>
      <c r="Y5676" s="5" t="str">
        <f>IFERROR(__xludf.DUMMYFUNCTION("REGEXEXTRACT(J5676, ""^\d+"")"),"5")</f>
        <v>5</v>
      </c>
      <c r="Z5676" s="5" t="str">
        <f>IFERROR(__xludf.DUMMYFUNCTION("REGEXEXTRACT(J5676, ""[A-Za-z ]+$"")")," Seasons")</f>
        <v> Seasons</v>
      </c>
      <c r="AA5676" s="5" t="str">
        <f>IFERROR(__xludf.DUMMYFUNCTION("IF(REGEXMATCH(Z5676, ""Season""), ""TV Show"", ""Movie"")"),"TV Show")</f>
        <v>TV Show</v>
      </c>
    </row>
    <row r="5677">
      <c r="A5677" s="1" t="s">
        <v>28956</v>
      </c>
      <c r="B5677" s="1" t="s">
        <v>37</v>
      </c>
      <c r="C5677" s="1" t="s">
        <v>28957</v>
      </c>
      <c r="E5677" s="1" t="s">
        <v>28958</v>
      </c>
      <c r="F5677" s="1" t="s">
        <v>749</v>
      </c>
      <c r="G5677" s="1" t="s">
        <v>28914</v>
      </c>
      <c r="H5677" s="1">
        <v>2012.0</v>
      </c>
      <c r="I5677" s="1" t="s">
        <v>136</v>
      </c>
      <c r="J5677" s="1" t="s">
        <v>51</v>
      </c>
      <c r="K5677" s="1" t="s">
        <v>7164</v>
      </c>
      <c r="L5677" s="1" t="s">
        <v>28959</v>
      </c>
      <c r="M5677" s="2" t="s">
        <v>12</v>
      </c>
      <c r="N5677" s="4">
        <f t="shared" si="1"/>
        <v>42719</v>
      </c>
      <c r="O5677" s="5" t="str">
        <f>IFERROR(__xludf.DUMMYFUNCTION("IF(REGEXMATCH(TRIM(I5677), ""^\d+\s*min""), ""Unclassified"", IF(I5677 = """", ""NR"", I5677))"),"TV-PG")</f>
        <v>TV-PG</v>
      </c>
      <c r="R5677" s="5" t="str">
        <f t="shared" si="2"/>
        <v>Miss Panda &amp; Mr. Hedgehog</v>
      </c>
      <c r="S5677" s="5" t="str">
        <f>IFERROR(__xludf.DUMMYFUNCTION("""COMPUTED_VALUE"""),"Queens Of Comedy")</f>
        <v>Queens Of Comedy</v>
      </c>
      <c r="V5677" s="5"/>
      <c r="Y5677" s="5" t="str">
        <f>IFERROR(__xludf.DUMMYFUNCTION("REGEXEXTRACT(J5677, ""^\d+"")"),"1")</f>
        <v>1</v>
      </c>
      <c r="Z5677" s="5" t="str">
        <f>IFERROR(__xludf.DUMMYFUNCTION("REGEXEXTRACT(J5677, ""[A-Za-z ]+$"")")," Season")</f>
        <v> Season</v>
      </c>
      <c r="AA5677" s="5" t="str">
        <f>IFERROR(__xludf.DUMMYFUNCTION("IF(REGEXMATCH(Z5677, ""Season""), ""TV Show"", ""Movie"")"),"TV Show")</f>
        <v>TV Show</v>
      </c>
    </row>
    <row r="5678">
      <c r="A5678" s="1" t="s">
        <v>28960</v>
      </c>
      <c r="B5678" s="1" t="s">
        <v>27</v>
      </c>
      <c r="C5678" s="1" t="s">
        <v>28961</v>
      </c>
      <c r="D5678" s="1" t="s">
        <v>6958</v>
      </c>
      <c r="E5678" s="1" t="s">
        <v>28962</v>
      </c>
      <c r="F5678" s="1" t="s">
        <v>28963</v>
      </c>
      <c r="G5678" s="1" t="s">
        <v>28914</v>
      </c>
      <c r="H5678" s="1">
        <v>2016.0</v>
      </c>
      <c r="I5678" s="1" t="s">
        <v>136</v>
      </c>
      <c r="J5678" s="1" t="s">
        <v>428</v>
      </c>
      <c r="K5678" s="1" t="s">
        <v>89</v>
      </c>
      <c r="L5678" s="1" t="s">
        <v>28964</v>
      </c>
      <c r="M5678" s="2" t="s">
        <v>12</v>
      </c>
      <c r="N5678" s="4">
        <f t="shared" si="1"/>
        <v>42719</v>
      </c>
      <c r="O5678" s="5" t="str">
        <f>IFERROR(__xludf.DUMMYFUNCTION("IF(REGEXMATCH(TRIM(I5678), ""^\d+\s*min""), ""Unclassified"", IF(I5678 = """", ""NR"", I5678))"),"TV-PG")</f>
        <v>TV-PG</v>
      </c>
      <c r="R5678" s="5" t="str">
        <f t="shared" si="2"/>
        <v>Sand Storm</v>
      </c>
      <c r="S5678" s="5" t="str">
        <f>IFERROR(__xludf.DUMMYFUNCTION("""COMPUTED_VALUE"""),"Queens Vs. Kings")</f>
        <v>Queens Vs. Kings</v>
      </c>
      <c r="V5678" s="5"/>
      <c r="Y5678" s="5" t="str">
        <f>IFERROR(__xludf.DUMMYFUNCTION("REGEXEXTRACT(J5678, ""^\d+"")"),"88")</f>
        <v>88</v>
      </c>
      <c r="Z5678" s="5" t="str">
        <f>IFERROR(__xludf.DUMMYFUNCTION("REGEXEXTRACT(J5678, ""[A-Za-z ]+$"")")," min")</f>
        <v> min</v>
      </c>
      <c r="AA5678" s="5" t="str">
        <f>IFERROR(__xludf.DUMMYFUNCTION("IF(REGEXMATCH(Z5678, ""Season""), ""TV Show"", ""Movie"")"),"Movie")</f>
        <v>Movie</v>
      </c>
    </row>
    <row r="5679">
      <c r="A5679" s="1" t="s">
        <v>28965</v>
      </c>
      <c r="B5679" s="1" t="s">
        <v>37</v>
      </c>
      <c r="C5679" s="1" t="s">
        <v>28966</v>
      </c>
      <c r="E5679" s="1" t="s">
        <v>28967</v>
      </c>
      <c r="F5679" s="1" t="s">
        <v>28968</v>
      </c>
      <c r="G5679" s="1" t="s">
        <v>28969</v>
      </c>
      <c r="H5679" s="1">
        <v>2017.0</v>
      </c>
      <c r="I5679" s="1" t="s">
        <v>42</v>
      </c>
      <c r="J5679" s="1" t="s">
        <v>51</v>
      </c>
      <c r="K5679" s="1" t="s">
        <v>402</v>
      </c>
      <c r="L5679" s="1" t="s">
        <v>28970</v>
      </c>
      <c r="M5679" s="2" t="s">
        <v>12</v>
      </c>
      <c r="N5679" s="4">
        <f t="shared" si="1"/>
        <v>42717</v>
      </c>
      <c r="O5679" s="5" t="str">
        <f>IFERROR(__xludf.DUMMYFUNCTION("IF(REGEXMATCH(TRIM(I5679), ""^\d+\s*min""), ""Unclassified"", IF(I5679 = """", ""NR"", I5679))"),"TV-MA")</f>
        <v>TV-MA</v>
      </c>
      <c r="R5679" s="5" t="str">
        <f t="shared" si="2"/>
        <v>Tokyo Trial</v>
      </c>
      <c r="S5679" s="5" t="str">
        <f>IFERROR(__xludf.DUMMYFUNCTION("""COMPUTED_VALUE"""),"Queer Eye")</f>
        <v>Queer Eye</v>
      </c>
      <c r="V5679" s="5"/>
      <c r="Y5679" s="5" t="str">
        <f>IFERROR(__xludf.DUMMYFUNCTION("REGEXEXTRACT(J5679, ""^\d+"")"),"1")</f>
        <v>1</v>
      </c>
      <c r="Z5679" s="5" t="str">
        <f>IFERROR(__xludf.DUMMYFUNCTION("REGEXEXTRACT(J5679, ""[A-Za-z ]+$"")")," Season")</f>
        <v> Season</v>
      </c>
      <c r="AA5679" s="5" t="str">
        <f>IFERROR(__xludf.DUMMYFUNCTION("IF(REGEXMATCH(Z5679, ""Season""), ""TV Show"", ""Movie"")"),"TV Show")</f>
        <v>TV Show</v>
      </c>
    </row>
    <row r="5680">
      <c r="A5680" s="1" t="s">
        <v>28971</v>
      </c>
      <c r="B5680" s="1" t="s">
        <v>27</v>
      </c>
      <c r="C5680" s="1" t="s">
        <v>28972</v>
      </c>
      <c r="D5680" s="1" t="s">
        <v>18885</v>
      </c>
      <c r="E5680" s="1" t="s">
        <v>28973</v>
      </c>
      <c r="F5680" s="1" t="s">
        <v>162</v>
      </c>
      <c r="G5680" s="1" t="s">
        <v>28974</v>
      </c>
      <c r="H5680" s="1">
        <v>2016.0</v>
      </c>
      <c r="I5680" s="1" t="s">
        <v>42</v>
      </c>
      <c r="J5680" s="1" t="s">
        <v>24743</v>
      </c>
      <c r="K5680" s="1" t="s">
        <v>1839</v>
      </c>
      <c r="L5680" s="1" t="s">
        <v>28975</v>
      </c>
      <c r="M5680" s="2" t="s">
        <v>12</v>
      </c>
      <c r="N5680" s="4">
        <f t="shared" si="1"/>
        <v>42716</v>
      </c>
      <c r="O5680" s="5" t="str">
        <f>IFERROR(__xludf.DUMMYFUNCTION("IF(REGEXMATCH(TRIM(I5680), ""^\d+\s*min""), ""Unclassified"", IF(I5680 = """", ""NR"", I5680))"),"TV-MA")</f>
        <v>TV-MA</v>
      </c>
      <c r="R5680" s="5" t="str">
        <f t="shared" si="2"/>
        <v>Ricardo O'Farrill: Abrazo Navideño</v>
      </c>
      <c r="S5680" s="5" t="str">
        <f>IFERROR(__xludf.DUMMYFUNCTION("""COMPUTED_VALUE"""),"Queer Eye: We'Re In Japan!")</f>
        <v>Queer Eye: We'Re In Japan!</v>
      </c>
      <c r="V5680" s="5"/>
      <c r="Y5680" s="5" t="str">
        <f>IFERROR(__xludf.DUMMYFUNCTION("REGEXEXTRACT(J5680, ""^\d+"")"),"31")</f>
        <v>31</v>
      </c>
      <c r="Z5680" s="5" t="str">
        <f>IFERROR(__xludf.DUMMYFUNCTION("REGEXEXTRACT(J5680, ""[A-Za-z ]+$"")")," min")</f>
        <v> min</v>
      </c>
      <c r="AA5680" s="5" t="str">
        <f>IFERROR(__xludf.DUMMYFUNCTION("IF(REGEXMATCH(Z5680, ""Season""), ""TV Show"", ""Movie"")"),"Movie")</f>
        <v>Movie</v>
      </c>
    </row>
    <row r="5681">
      <c r="A5681" s="1" t="s">
        <v>28976</v>
      </c>
      <c r="B5681" s="1" t="s">
        <v>27</v>
      </c>
      <c r="C5681" s="1" t="s">
        <v>28977</v>
      </c>
      <c r="D5681" s="1" t="s">
        <v>1133</v>
      </c>
      <c r="E5681" s="1" t="s">
        <v>28978</v>
      </c>
      <c r="F5681" s="1" t="s">
        <v>30</v>
      </c>
      <c r="G5681" s="1" t="s">
        <v>28979</v>
      </c>
      <c r="H5681" s="1">
        <v>2016.0</v>
      </c>
      <c r="I5681" s="1" t="s">
        <v>42</v>
      </c>
      <c r="J5681" s="1" t="s">
        <v>490</v>
      </c>
      <c r="K5681" s="1" t="s">
        <v>34</v>
      </c>
      <c r="L5681" s="1" t="s">
        <v>28980</v>
      </c>
      <c r="M5681" s="2" t="s">
        <v>12</v>
      </c>
      <c r="N5681" s="4">
        <f t="shared" si="1"/>
        <v>42715</v>
      </c>
      <c r="O5681" s="5" t="str">
        <f>IFERROR(__xludf.DUMMYFUNCTION("IF(REGEXMATCH(TRIM(I5681), ""^\d+\s*min""), ""Unclassified"", IF(I5681 = """", ""NR"", I5681))"),"TV-MA")</f>
        <v>TV-MA</v>
      </c>
      <c r="R5681" s="5" t="str">
        <f t="shared" si="2"/>
        <v>Asperger'S Are Us</v>
      </c>
      <c r="S5681" s="5" t="str">
        <f>IFERROR(__xludf.DUMMYFUNCTION("""COMPUTED_VALUE"""),"Quicksand")</f>
        <v>Quicksand</v>
      </c>
      <c r="V5681" s="5"/>
      <c r="Y5681" s="5" t="str">
        <f>IFERROR(__xludf.DUMMYFUNCTION("REGEXEXTRACT(J5681, ""^\d+"")"),"83")</f>
        <v>83</v>
      </c>
      <c r="Z5681" s="5" t="str">
        <f>IFERROR(__xludf.DUMMYFUNCTION("REGEXEXTRACT(J5681, ""[A-Za-z ]+$"")")," min")</f>
        <v> min</v>
      </c>
      <c r="AA5681" s="5" t="str">
        <f>IFERROR(__xludf.DUMMYFUNCTION("IF(REGEXMATCH(Z5681, ""Season""), ""TV Show"", ""Movie"")"),"Movie")</f>
        <v>Movie</v>
      </c>
    </row>
    <row r="5682">
      <c r="A5682" s="1" t="s">
        <v>28981</v>
      </c>
      <c r="B5682" s="1" t="s">
        <v>37</v>
      </c>
      <c r="C5682" s="1" t="s">
        <v>28982</v>
      </c>
      <c r="F5682" s="1" t="s">
        <v>96</v>
      </c>
      <c r="G5682" s="1" t="s">
        <v>28983</v>
      </c>
      <c r="H5682" s="1">
        <v>2016.0</v>
      </c>
      <c r="I5682" s="1" t="s">
        <v>42</v>
      </c>
      <c r="J5682" s="1" t="s">
        <v>51</v>
      </c>
      <c r="K5682" s="1" t="s">
        <v>2043</v>
      </c>
      <c r="L5682" s="1" t="s">
        <v>28984</v>
      </c>
      <c r="M5682" s="2" t="s">
        <v>12</v>
      </c>
      <c r="N5682" s="4">
        <f t="shared" si="1"/>
        <v>42713</v>
      </c>
      <c r="O5682" s="5" t="str">
        <f>IFERROR(__xludf.DUMMYFUNCTION("IF(REGEXMATCH(TRIM(I5682), ""^\d+\s*min""), ""Unclassified"", IF(I5682 = """", ""NR"", I5682))"),"TV-MA")</f>
        <v>TV-MA</v>
      </c>
      <c r="R5682" s="5" t="str">
        <f t="shared" si="2"/>
        <v>Captive</v>
      </c>
      <c r="S5682" s="5" t="str">
        <f>IFERROR(__xludf.DUMMYFUNCTION("""COMPUTED_VALUE"""),"Quién Te Cantará")</f>
        <v>Quién Te Cantará</v>
      </c>
      <c r="V5682" s="5"/>
      <c r="Y5682" s="5" t="str">
        <f>IFERROR(__xludf.DUMMYFUNCTION("REGEXEXTRACT(J5682, ""^\d+"")"),"1")</f>
        <v>1</v>
      </c>
      <c r="Z5682" s="5" t="str">
        <f>IFERROR(__xludf.DUMMYFUNCTION("REGEXEXTRACT(J5682, ""[A-Za-z ]+$"")")," Season")</f>
        <v> Season</v>
      </c>
      <c r="AA5682" s="5" t="str">
        <f>IFERROR(__xludf.DUMMYFUNCTION("IF(REGEXMATCH(Z5682, ""Season""), ""TV Show"", ""Movie"")"),"TV Show")</f>
        <v>TV Show</v>
      </c>
    </row>
    <row r="5683">
      <c r="A5683" s="1" t="s">
        <v>28985</v>
      </c>
      <c r="B5683" s="1" t="s">
        <v>27</v>
      </c>
      <c r="C5683" s="1" t="s">
        <v>28986</v>
      </c>
      <c r="D5683" s="1" t="s">
        <v>10114</v>
      </c>
      <c r="E5683" s="1" t="s">
        <v>28987</v>
      </c>
      <c r="F5683" s="1" t="s">
        <v>30</v>
      </c>
      <c r="G5683" s="1" t="s">
        <v>28983</v>
      </c>
      <c r="H5683" s="1">
        <v>2015.0</v>
      </c>
      <c r="I5683" s="1" t="s">
        <v>506</v>
      </c>
      <c r="J5683" s="1" t="s">
        <v>3123</v>
      </c>
      <c r="K5683" s="1" t="s">
        <v>920</v>
      </c>
      <c r="L5683" s="1" t="s">
        <v>28988</v>
      </c>
      <c r="M5683" s="2" t="s">
        <v>12</v>
      </c>
      <c r="N5683" s="4">
        <f t="shared" si="1"/>
        <v>42713</v>
      </c>
      <c r="O5683" s="5" t="str">
        <f>IFERROR(__xludf.DUMMYFUNCTION("IF(REGEXMATCH(TRIM(I5683), ""^\d+\s*min""), ""Unclassified"", IF(I5683 = """", ""NR"", I5683))"),"TV-G")</f>
        <v>TV-G</v>
      </c>
      <c r="R5683" s="5" t="str">
        <f t="shared" si="2"/>
        <v>Mariah Carey'S Merriest Christmas</v>
      </c>
      <c r="S5683" s="5" t="str">
        <f>IFERROR(__xludf.DUMMYFUNCTION("""COMPUTED_VALUE"""),"Quiet")</f>
        <v>Quiet</v>
      </c>
      <c r="V5683" s="5"/>
      <c r="Y5683" s="5" t="str">
        <f>IFERROR(__xludf.DUMMYFUNCTION("REGEXEXTRACT(J5683, ""^\d+"")"),"38")</f>
        <v>38</v>
      </c>
      <c r="Z5683" s="5" t="str">
        <f>IFERROR(__xludf.DUMMYFUNCTION("REGEXEXTRACT(J5683, ""[A-Za-z ]+$"")")," min")</f>
        <v> min</v>
      </c>
      <c r="AA5683" s="5" t="str">
        <f>IFERROR(__xludf.DUMMYFUNCTION("IF(REGEXMATCH(Z5683, ""Season""), ""TV Show"", ""Movie"")"),"Movie")</f>
        <v>Movie</v>
      </c>
    </row>
    <row r="5684">
      <c r="A5684" s="1" t="s">
        <v>28989</v>
      </c>
      <c r="B5684" s="1" t="s">
        <v>27</v>
      </c>
      <c r="C5684" s="1" t="s">
        <v>28990</v>
      </c>
      <c r="D5684" s="1" t="s">
        <v>16754</v>
      </c>
      <c r="E5684" s="1" t="s">
        <v>28991</v>
      </c>
      <c r="F5684" s="1" t="s">
        <v>28992</v>
      </c>
      <c r="G5684" s="1" t="s">
        <v>28983</v>
      </c>
      <c r="H5684" s="1">
        <v>2016.0</v>
      </c>
      <c r="I5684" s="1" t="s">
        <v>97</v>
      </c>
      <c r="J5684" s="1" t="s">
        <v>912</v>
      </c>
      <c r="K5684" s="1" t="s">
        <v>942</v>
      </c>
      <c r="L5684" s="1" t="s">
        <v>28993</v>
      </c>
      <c r="M5684" s="2" t="s">
        <v>12</v>
      </c>
      <c r="N5684" s="4">
        <f t="shared" si="1"/>
        <v>42713</v>
      </c>
      <c r="O5684" s="5" t="str">
        <f>IFERROR(__xludf.DUMMYFUNCTION("IF(REGEXMATCH(TRIM(I5684), ""^\d+\s*min""), ""Unclassified"", IF(I5684 = """", ""NR"", I5684))"),"TV-14")</f>
        <v>TV-14</v>
      </c>
      <c r="R5684" s="5" t="str">
        <f t="shared" si="2"/>
        <v>Spectral</v>
      </c>
      <c r="S5684" s="5" t="str">
        <f>IFERROR(__xludf.DUMMYFUNCTION("""COMPUTED_VALUE"""),"Quiet Victory: The Charlie Wedemeyer Story")</f>
        <v>Quiet Victory: The Charlie Wedemeyer Story</v>
      </c>
      <c r="V5684" s="5"/>
      <c r="Y5684" s="5" t="str">
        <f>IFERROR(__xludf.DUMMYFUNCTION("REGEXEXTRACT(J5684, ""^\d+"")"),"108")</f>
        <v>108</v>
      </c>
      <c r="Z5684" s="5" t="str">
        <f>IFERROR(__xludf.DUMMYFUNCTION("REGEXEXTRACT(J5684, ""[A-Za-z ]+$"")")," min")</f>
        <v> min</v>
      </c>
      <c r="AA5684" s="5" t="str">
        <f>IFERROR(__xludf.DUMMYFUNCTION("IF(REGEXMATCH(Z5684, ""Season""), ""TV Show"", ""Movie"")"),"Movie")</f>
        <v>Movie</v>
      </c>
    </row>
    <row r="5685">
      <c r="A5685" s="1" t="s">
        <v>28994</v>
      </c>
      <c r="B5685" s="1" t="s">
        <v>37</v>
      </c>
      <c r="C5685" s="1" t="s">
        <v>28995</v>
      </c>
      <c r="E5685" s="1" t="s">
        <v>28996</v>
      </c>
      <c r="F5685" s="1" t="s">
        <v>30</v>
      </c>
      <c r="G5685" s="1" t="s">
        <v>28983</v>
      </c>
      <c r="H5685" s="1">
        <v>2016.0</v>
      </c>
      <c r="I5685" s="1" t="s">
        <v>97</v>
      </c>
      <c r="J5685" s="1" t="s">
        <v>51</v>
      </c>
      <c r="K5685" s="1" t="s">
        <v>222</v>
      </c>
      <c r="L5685" s="1" t="s">
        <v>28997</v>
      </c>
      <c r="M5685" s="2" t="s">
        <v>12</v>
      </c>
      <c r="N5685" s="4">
        <f t="shared" si="1"/>
        <v>42713</v>
      </c>
      <c r="O5685" s="5" t="str">
        <f>IFERROR(__xludf.DUMMYFUNCTION("IF(REGEXMATCH(TRIM(I5685), ""^\d+\s*min""), ""Unclassified"", IF(I5685 = """", ""NR"", I5685))"),"TV-14")</f>
        <v>TV-14</v>
      </c>
      <c r="R5685" s="5" t="str">
        <f t="shared" si="2"/>
        <v>White Rabbit Project</v>
      </c>
      <c r="S5685" s="5" t="str">
        <f>IFERROR(__xludf.DUMMYFUNCTION("""COMPUTED_VALUE"""),"Quigley Down Under")</f>
        <v>Quigley Down Under</v>
      </c>
      <c r="V5685" s="5"/>
      <c r="Y5685" s="5" t="str">
        <f>IFERROR(__xludf.DUMMYFUNCTION("REGEXEXTRACT(J5685, ""^\d+"")"),"1")</f>
        <v>1</v>
      </c>
      <c r="Z5685" s="5" t="str">
        <f>IFERROR(__xludf.DUMMYFUNCTION("REGEXEXTRACT(J5685, ""[A-Za-z ]+$"")")," Season")</f>
        <v> Season</v>
      </c>
      <c r="AA5685" s="5" t="str">
        <f>IFERROR(__xludf.DUMMYFUNCTION("IF(REGEXMATCH(Z5685, ""Season""), ""TV Show"", ""Movie"")"),"TV Show")</f>
        <v>TV Show</v>
      </c>
    </row>
    <row r="5686">
      <c r="A5686" s="1" t="s">
        <v>28998</v>
      </c>
      <c r="B5686" s="1" t="s">
        <v>37</v>
      </c>
      <c r="C5686" s="1" t="s">
        <v>28999</v>
      </c>
      <c r="E5686" s="1" t="s">
        <v>29000</v>
      </c>
      <c r="F5686" s="1" t="s">
        <v>2059</v>
      </c>
      <c r="G5686" s="1" t="s">
        <v>29001</v>
      </c>
      <c r="H5686" s="1">
        <v>2016.0</v>
      </c>
      <c r="I5686" s="1" t="s">
        <v>97</v>
      </c>
      <c r="J5686" s="1" t="s">
        <v>51</v>
      </c>
      <c r="K5686" s="1" t="s">
        <v>64</v>
      </c>
      <c r="L5686" s="1" t="s">
        <v>29002</v>
      </c>
      <c r="M5686" s="2" t="s">
        <v>12</v>
      </c>
      <c r="N5686" s="4">
        <f t="shared" si="1"/>
        <v>42712</v>
      </c>
      <c r="O5686" s="5" t="str">
        <f>IFERROR(__xludf.DUMMYFUNCTION("IF(REGEXMATCH(TRIM(I5686), ""^\d+\s*min""), ""Unclassified"", IF(I5686 = """", ""NR"", I5686))"),"TV-14")</f>
        <v>TV-14</v>
      </c>
      <c r="R5686" s="5" t="str">
        <f t="shared" si="2"/>
        <v>Miss In Kiss</v>
      </c>
      <c r="S5686" s="5" t="str">
        <f>IFERROR(__xludf.DUMMYFUNCTION("""COMPUTED_VALUE"""),"Quincy")</f>
        <v>Quincy</v>
      </c>
      <c r="V5686" s="5"/>
      <c r="Y5686" s="5" t="str">
        <f>IFERROR(__xludf.DUMMYFUNCTION("REGEXEXTRACT(J5686, ""^\d+"")"),"1")</f>
        <v>1</v>
      </c>
      <c r="Z5686" s="5" t="str">
        <f>IFERROR(__xludf.DUMMYFUNCTION("REGEXEXTRACT(J5686, ""[A-Za-z ]+$"")")," Season")</f>
        <v> Season</v>
      </c>
      <c r="AA5686" s="5" t="str">
        <f>IFERROR(__xludf.DUMMYFUNCTION("IF(REGEXMATCH(Z5686, ""Season""), ""TV Show"", ""Movie"")"),"TV Show")</f>
        <v>TV Show</v>
      </c>
    </row>
    <row r="5687">
      <c r="A5687" s="1" t="s">
        <v>29003</v>
      </c>
      <c r="B5687" s="1" t="s">
        <v>27</v>
      </c>
      <c r="C5687" s="1" t="s">
        <v>29004</v>
      </c>
      <c r="D5687" s="1" t="s">
        <v>4732</v>
      </c>
      <c r="E5687" s="1" t="s">
        <v>29005</v>
      </c>
      <c r="F5687" s="1" t="s">
        <v>30</v>
      </c>
      <c r="G5687" s="1" t="s">
        <v>29001</v>
      </c>
      <c r="H5687" s="1">
        <v>2016.0</v>
      </c>
      <c r="I5687" s="1" t="s">
        <v>42</v>
      </c>
      <c r="J5687" s="1" t="s">
        <v>247</v>
      </c>
      <c r="K5687" s="1" t="s">
        <v>836</v>
      </c>
      <c r="L5687" s="1" t="s">
        <v>29006</v>
      </c>
      <c r="M5687" s="2" t="s">
        <v>12</v>
      </c>
      <c r="N5687" s="4">
        <f t="shared" si="1"/>
        <v>42712</v>
      </c>
      <c r="O5687" s="5" t="str">
        <f>IFERROR(__xludf.DUMMYFUNCTION("IF(REGEXMATCH(TRIM(I5687), ""^\d+\s*min""), ""Unclassified"", IF(I5687 = """", ""NR"", I5687))"),"TV-MA")</f>
        <v>TV-MA</v>
      </c>
      <c r="R5687" s="5" t="str">
        <f t="shared" si="2"/>
        <v>Other People</v>
      </c>
      <c r="S5687" s="5" t="str">
        <f>IFERROR(__xludf.DUMMYFUNCTION("""COMPUTED_VALUE"""),"Qurious Como")</f>
        <v>Qurious Como</v>
      </c>
      <c r="V5687" s="5"/>
      <c r="Y5687" s="5" t="str">
        <f>IFERROR(__xludf.DUMMYFUNCTION("REGEXEXTRACT(J5687, ""^\d+"")"),"97")</f>
        <v>97</v>
      </c>
      <c r="Z5687" s="5" t="str">
        <f>IFERROR(__xludf.DUMMYFUNCTION("REGEXEXTRACT(J5687, ""[A-Za-z ]+$"")")," min")</f>
        <v> min</v>
      </c>
      <c r="AA5687" s="5" t="str">
        <f>IFERROR(__xludf.DUMMYFUNCTION("IF(REGEXMATCH(Z5687, ""Season""), ""TV Show"", ""Movie"")"),"Movie")</f>
        <v>Movie</v>
      </c>
    </row>
    <row r="5688">
      <c r="A5688" s="1" t="s">
        <v>29007</v>
      </c>
      <c r="B5688" s="1" t="s">
        <v>37</v>
      </c>
      <c r="C5688" s="1" t="s">
        <v>29008</v>
      </c>
      <c r="F5688" s="1" t="s">
        <v>29009</v>
      </c>
      <c r="G5688" s="1" t="s">
        <v>29001</v>
      </c>
      <c r="H5688" s="1">
        <v>2015.0</v>
      </c>
      <c r="I5688" s="1" t="s">
        <v>97</v>
      </c>
      <c r="J5688" s="1" t="s">
        <v>51</v>
      </c>
      <c r="K5688" s="1" t="s">
        <v>507</v>
      </c>
      <c r="L5688" s="1" t="s">
        <v>29010</v>
      </c>
      <c r="M5688" s="2" t="s">
        <v>12</v>
      </c>
      <c r="N5688" s="4">
        <f t="shared" si="1"/>
        <v>42712</v>
      </c>
      <c r="O5688" s="5" t="str">
        <f>IFERROR(__xludf.DUMMYFUNCTION("IF(REGEXMATCH(TRIM(I5688), ""^\d+\s*min""), ""Unclassified"", IF(I5688 = """", ""NR"", I5688))"),"TV-14")</f>
        <v>TV-14</v>
      </c>
      <c r="R5688" s="5" t="str">
        <f t="shared" si="2"/>
        <v>The Cuba Libre Story</v>
      </c>
      <c r="S5688" s="5" t="str">
        <f>IFERROR(__xludf.DUMMYFUNCTION("""COMPUTED_VALUE"""),"R.K.Nagar")</f>
        <v>R.K.Nagar</v>
      </c>
      <c r="V5688" s="5"/>
      <c r="Y5688" s="5" t="str">
        <f>IFERROR(__xludf.DUMMYFUNCTION("REGEXEXTRACT(J5688, ""^\d+"")"),"1")</f>
        <v>1</v>
      </c>
      <c r="Z5688" s="5" t="str">
        <f>IFERROR(__xludf.DUMMYFUNCTION("REGEXEXTRACT(J5688, ""[A-Za-z ]+$"")")," Season")</f>
        <v> Season</v>
      </c>
      <c r="AA5688" s="5" t="str">
        <f>IFERROR(__xludf.DUMMYFUNCTION("IF(REGEXMATCH(Z5688, ""Season""), ""TV Show"", ""Movie"")"),"TV Show")</f>
        <v>TV Show</v>
      </c>
    </row>
    <row r="5689">
      <c r="A5689" s="1" t="s">
        <v>29011</v>
      </c>
      <c r="B5689" s="1" t="s">
        <v>27</v>
      </c>
      <c r="C5689" s="1" t="s">
        <v>29012</v>
      </c>
      <c r="D5689" s="1" t="s">
        <v>1133</v>
      </c>
      <c r="E5689" s="1" t="s">
        <v>29013</v>
      </c>
      <c r="F5689" s="1" t="s">
        <v>30</v>
      </c>
      <c r="G5689" s="1" t="s">
        <v>29014</v>
      </c>
      <c r="H5689" s="1">
        <v>2016.0</v>
      </c>
      <c r="I5689" s="1" t="s">
        <v>42</v>
      </c>
      <c r="J5689" s="1" t="s">
        <v>2452</v>
      </c>
      <c r="K5689" s="1" t="s">
        <v>1538</v>
      </c>
      <c r="L5689" s="1" t="s">
        <v>29015</v>
      </c>
      <c r="M5689" s="2" t="s">
        <v>12</v>
      </c>
      <c r="N5689" s="4">
        <f t="shared" si="1"/>
        <v>42710</v>
      </c>
      <c r="O5689" s="5" t="str">
        <f>IFERROR(__xludf.DUMMYFUNCTION("IF(REGEXMATCH(TRIM(I5689), ""^\d+\s*min""), ""Unclassified"", IF(I5689 = """", ""NR"", I5689))"),"TV-MA")</f>
        <v>TV-MA</v>
      </c>
      <c r="R5689" s="5" t="str">
        <f t="shared" si="2"/>
        <v>Blue Jay</v>
      </c>
      <c r="S5689" s="5" t="str">
        <f>IFERROR(__xludf.DUMMYFUNCTION("""COMPUTED_VALUE"""),"R.L. Stine'S Mostly Ghostly")</f>
        <v>R.L. Stine'S Mostly Ghostly</v>
      </c>
      <c r="V5689" s="5"/>
      <c r="Y5689" s="5" t="str">
        <f>IFERROR(__xludf.DUMMYFUNCTION("REGEXEXTRACT(J5689, ""^\d+"")"),"81")</f>
        <v>81</v>
      </c>
      <c r="Z5689" s="5" t="str">
        <f>IFERROR(__xludf.DUMMYFUNCTION("REGEXEXTRACT(J5689, ""[A-Za-z ]+$"")")," min")</f>
        <v> min</v>
      </c>
      <c r="AA5689" s="5" t="str">
        <f>IFERROR(__xludf.DUMMYFUNCTION("IF(REGEXMATCH(Z5689, ""Season""), ""TV Show"", ""Movie"")"),"Movie")</f>
        <v>Movie</v>
      </c>
    </row>
    <row r="5690">
      <c r="A5690" s="1" t="s">
        <v>29016</v>
      </c>
      <c r="B5690" s="1" t="s">
        <v>27</v>
      </c>
      <c r="C5690" s="1" t="s">
        <v>29017</v>
      </c>
      <c r="D5690" s="1" t="s">
        <v>19764</v>
      </c>
      <c r="E5690" s="1" t="s">
        <v>29018</v>
      </c>
      <c r="F5690" s="1" t="s">
        <v>30</v>
      </c>
      <c r="G5690" s="1" t="s">
        <v>29014</v>
      </c>
      <c r="H5690" s="1">
        <v>2016.0</v>
      </c>
      <c r="I5690" s="1" t="s">
        <v>97</v>
      </c>
      <c r="J5690" s="1" t="s">
        <v>1583</v>
      </c>
      <c r="K5690" s="1" t="s">
        <v>645</v>
      </c>
      <c r="L5690" s="1" t="s">
        <v>29019</v>
      </c>
      <c r="M5690" s="2" t="s">
        <v>12</v>
      </c>
      <c r="N5690" s="4">
        <f t="shared" si="1"/>
        <v>42710</v>
      </c>
      <c r="O5690" s="5" t="str">
        <f>IFERROR(__xludf.DUMMYFUNCTION("IF(REGEXMATCH(TRIM(I5690), ""^\d+\s*min""), ""Unclassified"", IF(I5690 = """", ""NR"", I5690))"),"TV-14")</f>
        <v>TV-14</v>
      </c>
      <c r="R5690" s="5" t="str">
        <f t="shared" si="2"/>
        <v>One In A Billion</v>
      </c>
      <c r="S5690" s="5" t="str">
        <f>IFERROR(__xludf.DUMMYFUNCTION("""COMPUTED_VALUE"""),"Raajneeti")</f>
        <v>Raajneeti</v>
      </c>
      <c r="V5690" s="5"/>
      <c r="Y5690" s="5" t="str">
        <f>IFERROR(__xludf.DUMMYFUNCTION("REGEXEXTRACT(J5690, ""^\d+"")"),"70")</f>
        <v>70</v>
      </c>
      <c r="Z5690" s="5" t="str">
        <f>IFERROR(__xludf.DUMMYFUNCTION("REGEXEXTRACT(J5690, ""[A-Za-z ]+$"")")," min")</f>
        <v> min</v>
      </c>
      <c r="AA5690" s="5" t="str">
        <f>IFERROR(__xludf.DUMMYFUNCTION("IF(REGEXMATCH(Z5690, ""Season""), ""TV Show"", ""Movie"")"),"Movie")</f>
        <v>Movie</v>
      </c>
    </row>
    <row r="5691">
      <c r="A5691" s="1" t="s">
        <v>29020</v>
      </c>
      <c r="B5691" s="1" t="s">
        <v>27</v>
      </c>
      <c r="C5691" s="1" t="s">
        <v>29021</v>
      </c>
      <c r="D5691" s="1" t="s">
        <v>3230</v>
      </c>
      <c r="E5691" s="1" t="s">
        <v>29022</v>
      </c>
      <c r="F5691" s="1" t="s">
        <v>30</v>
      </c>
      <c r="G5691" s="1" t="s">
        <v>29014</v>
      </c>
      <c r="H5691" s="1">
        <v>2016.0</v>
      </c>
      <c r="I5691" s="1" t="s">
        <v>42</v>
      </c>
      <c r="J5691" s="1" t="s">
        <v>2670</v>
      </c>
      <c r="K5691" s="1" t="s">
        <v>22754</v>
      </c>
      <c r="L5691" s="1" t="s">
        <v>29023</v>
      </c>
      <c r="M5691" s="2" t="s">
        <v>12</v>
      </c>
      <c r="N5691" s="4">
        <f t="shared" si="1"/>
        <v>42710</v>
      </c>
      <c r="O5691" s="5" t="str">
        <f>IFERROR(__xludf.DUMMYFUNCTION("IF(REGEXMATCH(TRIM(I5691), ""^\d+\s*min""), ""Unclassified"", IF(I5691 = """", ""NR"", I5691))"),"TV-MA")</f>
        <v>TV-MA</v>
      </c>
      <c r="R5691" s="5" t="str">
        <f t="shared" si="2"/>
        <v>Reggie Watts: Spatial</v>
      </c>
      <c r="S5691" s="5" t="str">
        <f>IFERROR(__xludf.DUMMYFUNCTION("""COMPUTED_VALUE"""),"Raat Akeli Hai")</f>
        <v>Raat Akeli Hai</v>
      </c>
      <c r="V5691" s="5"/>
      <c r="Y5691" s="5" t="str">
        <f>IFERROR(__xludf.DUMMYFUNCTION("REGEXEXTRACT(J5691, ""^\d+"")"),"62")</f>
        <v>62</v>
      </c>
      <c r="Z5691" s="5" t="str">
        <f>IFERROR(__xludf.DUMMYFUNCTION("REGEXEXTRACT(J5691, ""[A-Za-z ]+$"")")," min")</f>
        <v> min</v>
      </c>
      <c r="AA5691" s="5" t="str">
        <f>IFERROR(__xludf.DUMMYFUNCTION("IF(REGEXMATCH(Z5691, ""Season""), ""TV Show"", ""Movie"")"),"Movie")</f>
        <v>Movie</v>
      </c>
    </row>
    <row r="5692">
      <c r="A5692" s="1" t="s">
        <v>29024</v>
      </c>
      <c r="B5692" s="1" t="s">
        <v>37</v>
      </c>
      <c r="C5692" s="1" t="s">
        <v>29025</v>
      </c>
      <c r="E5692" s="1" t="s">
        <v>29026</v>
      </c>
      <c r="F5692" s="1" t="s">
        <v>30</v>
      </c>
      <c r="G5692" s="1" t="s">
        <v>29027</v>
      </c>
      <c r="H5692" s="1">
        <v>2016.0</v>
      </c>
      <c r="I5692" s="1" t="s">
        <v>42</v>
      </c>
      <c r="J5692" s="1" t="s">
        <v>276</v>
      </c>
      <c r="K5692" s="1" t="s">
        <v>13708</v>
      </c>
      <c r="L5692" s="1" t="s">
        <v>29028</v>
      </c>
      <c r="M5692" s="2" t="s">
        <v>12</v>
      </c>
      <c r="N5692" s="4">
        <f t="shared" si="1"/>
        <v>42709</v>
      </c>
      <c r="O5692" s="5" t="str">
        <f>IFERROR(__xludf.DUMMYFUNCTION("IF(REGEXMATCH(TRIM(I5692), ""^\d+\s*min""), ""Unclassified"", IF(I5692 = """", ""NR"", I5692))"),"TV-MA")</f>
        <v>TV-MA</v>
      </c>
      <c r="R5692" s="5" t="str">
        <f t="shared" si="2"/>
        <v>From Dusk Till Dawn</v>
      </c>
      <c r="S5692" s="5" t="str">
        <f>IFERROR(__xludf.DUMMYFUNCTION("""COMPUTED_VALUE"""),"Rab Se Sohna Isshq")</f>
        <v>Rab Se Sohna Isshq</v>
      </c>
      <c r="V5692" s="5"/>
      <c r="Y5692" s="5" t="str">
        <f>IFERROR(__xludf.DUMMYFUNCTION("REGEXEXTRACT(J5692, ""^\d+"")"),"3")</f>
        <v>3</v>
      </c>
      <c r="Z5692" s="5" t="str">
        <f>IFERROR(__xludf.DUMMYFUNCTION("REGEXEXTRACT(J5692, ""[A-Za-z ]+$"")")," Seasons")</f>
        <v> Seasons</v>
      </c>
      <c r="AA5692" s="5" t="str">
        <f>IFERROR(__xludf.DUMMYFUNCTION("IF(REGEXMATCH(Z5692, ""Season""), ""TV Show"", ""Movie"")"),"TV Show")</f>
        <v>TV Show</v>
      </c>
    </row>
    <row r="5693">
      <c r="A5693" s="1" t="s">
        <v>29029</v>
      </c>
      <c r="B5693" s="1" t="s">
        <v>27</v>
      </c>
      <c r="C5693" s="1" t="s">
        <v>29030</v>
      </c>
      <c r="D5693" s="1" t="s">
        <v>20033</v>
      </c>
      <c r="E5693" s="1" t="s">
        <v>29031</v>
      </c>
      <c r="F5693" s="1" t="s">
        <v>664</v>
      </c>
      <c r="G5693" s="1" t="s">
        <v>29032</v>
      </c>
      <c r="H5693" s="1">
        <v>2016.0</v>
      </c>
      <c r="I5693" s="1" t="s">
        <v>42</v>
      </c>
      <c r="J5693" s="1" t="s">
        <v>416</v>
      </c>
      <c r="K5693" s="1" t="s">
        <v>5099</v>
      </c>
      <c r="L5693" s="1" t="s">
        <v>29033</v>
      </c>
      <c r="M5693" s="2" t="s">
        <v>12</v>
      </c>
      <c r="N5693" s="4">
        <f t="shared" si="1"/>
        <v>42708</v>
      </c>
      <c r="O5693" s="5" t="str">
        <f>IFERROR(__xludf.DUMMYFUNCTION("IF(REGEXMATCH(TRIM(I5693), ""^\d+\s*min""), ""Unclassified"", IF(I5693 = """", ""NR"", I5693))"),"TV-MA")</f>
        <v>TV-MA</v>
      </c>
      <c r="R5693" s="5" t="str">
        <f t="shared" si="2"/>
        <v>Mercenary</v>
      </c>
      <c r="S5693" s="5" t="str">
        <f>IFERROR(__xludf.DUMMYFUNCTION("""COMPUTED_VALUE"""),"Rabbids Invasion")</f>
        <v>Rabbids Invasion</v>
      </c>
      <c r="V5693" s="5"/>
      <c r="Y5693" s="5" t="str">
        <f>IFERROR(__xludf.DUMMYFUNCTION("REGEXEXTRACT(J5693, ""^\d+"")"),"99")</f>
        <v>99</v>
      </c>
      <c r="Z5693" s="5" t="str">
        <f>IFERROR(__xludf.DUMMYFUNCTION("REGEXEXTRACT(J5693, ""[A-Za-z ]+$"")")," min")</f>
        <v> min</v>
      </c>
      <c r="AA5693" s="5" t="str">
        <f>IFERROR(__xludf.DUMMYFUNCTION("IF(REGEXMATCH(Z5693, ""Season""), ""TV Show"", ""Movie"")"),"Movie")</f>
        <v>Movie</v>
      </c>
    </row>
    <row r="5694">
      <c r="A5694" s="1" t="s">
        <v>29034</v>
      </c>
      <c r="B5694" s="1" t="s">
        <v>37</v>
      </c>
      <c r="C5694" s="1" t="s">
        <v>29035</v>
      </c>
      <c r="E5694" s="1" t="s">
        <v>29036</v>
      </c>
      <c r="F5694" s="1" t="s">
        <v>1106</v>
      </c>
      <c r="G5694" s="1" t="s">
        <v>29037</v>
      </c>
      <c r="H5694" s="1">
        <v>2016.0</v>
      </c>
      <c r="I5694" s="1" t="s">
        <v>506</v>
      </c>
      <c r="J5694" s="1" t="s">
        <v>43</v>
      </c>
      <c r="K5694" s="1" t="s">
        <v>15403</v>
      </c>
      <c r="L5694" s="1" t="s">
        <v>29038</v>
      </c>
      <c r="M5694" s="2" t="s">
        <v>12</v>
      </c>
      <c r="N5694" s="4">
        <f t="shared" si="1"/>
        <v>42707</v>
      </c>
      <c r="O5694" s="5" t="str">
        <f>IFERROR(__xludf.DUMMYFUNCTION("IF(REGEXMATCH(TRIM(I5694), ""^\d+\s*min""), ""Unclassified"", IF(I5694 = """", ""NR"", I5694))"),"TV-G")</f>
        <v>TV-G</v>
      </c>
      <c r="R5694" s="5" t="str">
        <f t="shared" si="2"/>
        <v>Lost &amp; Found Music Studios</v>
      </c>
      <c r="S5694" s="5" t="str">
        <f>IFERROR(__xludf.DUMMYFUNCTION("""COMPUTED_VALUE"""),"Rabun")</f>
        <v>Rabun</v>
      </c>
      <c r="V5694" s="5"/>
      <c r="Y5694" s="5" t="str">
        <f>IFERROR(__xludf.DUMMYFUNCTION("REGEXEXTRACT(J5694, ""^\d+"")"),"2")</f>
        <v>2</v>
      </c>
      <c r="Z5694" s="5" t="str">
        <f>IFERROR(__xludf.DUMMYFUNCTION("REGEXEXTRACT(J5694, ""[A-Za-z ]+$"")")," Seasons")</f>
        <v> Seasons</v>
      </c>
      <c r="AA5694" s="5" t="str">
        <f>IFERROR(__xludf.DUMMYFUNCTION("IF(REGEXMATCH(Z5694, ""Season""), ""TV Show"", ""Movie"")"),"TV Show")</f>
        <v>TV Show</v>
      </c>
    </row>
    <row r="5695">
      <c r="A5695" s="1" t="s">
        <v>29039</v>
      </c>
      <c r="B5695" s="1" t="s">
        <v>27</v>
      </c>
      <c r="C5695" s="1" t="s">
        <v>29040</v>
      </c>
      <c r="D5695" s="1" t="s">
        <v>419</v>
      </c>
      <c r="E5695" s="1" t="s">
        <v>29041</v>
      </c>
      <c r="F5695" s="1" t="s">
        <v>1979</v>
      </c>
      <c r="G5695" s="1" t="s">
        <v>29042</v>
      </c>
      <c r="H5695" s="1">
        <v>2016.0</v>
      </c>
      <c r="I5695" s="1" t="s">
        <v>97</v>
      </c>
      <c r="J5695" s="1" t="s">
        <v>1243</v>
      </c>
      <c r="K5695" s="1" t="s">
        <v>34</v>
      </c>
      <c r="L5695" s="1" t="s">
        <v>29043</v>
      </c>
      <c r="M5695" s="2" t="s">
        <v>12</v>
      </c>
      <c r="N5695" s="4">
        <f t="shared" si="1"/>
        <v>42706</v>
      </c>
      <c r="O5695" s="5" t="str">
        <f>IFERROR(__xludf.DUMMYFUNCTION("IF(REGEXMATCH(TRIM(I5695), ""^\d+\s*min""), ""Unclassified"", IF(I5695 = """", ""NR"", I5695))"),"TV-14")</f>
        <v>TV-14</v>
      </c>
      <c r="R5695" s="5" t="str">
        <f t="shared" si="2"/>
        <v>For The Love Of Spock</v>
      </c>
      <c r="S5695" s="5" t="str">
        <f>IFERROR(__xludf.DUMMYFUNCTION("""COMPUTED_VALUE"""),"Race")</f>
        <v>Race</v>
      </c>
      <c r="V5695" s="5"/>
      <c r="Y5695" s="5" t="str">
        <f>IFERROR(__xludf.DUMMYFUNCTION("REGEXEXTRACT(J5695, ""^\d+"")"),"112")</f>
        <v>112</v>
      </c>
      <c r="Z5695" s="5" t="str">
        <f>IFERROR(__xludf.DUMMYFUNCTION("REGEXEXTRACT(J5695, ""[A-Za-z ]+$"")")," min")</f>
        <v> min</v>
      </c>
      <c r="AA5695" s="5" t="str">
        <f>IFERROR(__xludf.DUMMYFUNCTION("IF(REGEXMATCH(Z5695, ""Season""), ""TV Show"", ""Movie"")"),"Movie")</f>
        <v>Movie</v>
      </c>
    </row>
    <row r="5696">
      <c r="A5696" s="1" t="s">
        <v>29044</v>
      </c>
      <c r="B5696" s="1" t="s">
        <v>27</v>
      </c>
      <c r="C5696" s="1" t="s">
        <v>29045</v>
      </c>
      <c r="D5696" s="1" t="s">
        <v>6972</v>
      </c>
      <c r="E5696" s="1" t="s">
        <v>29046</v>
      </c>
      <c r="F5696" s="1" t="s">
        <v>30</v>
      </c>
      <c r="G5696" s="1" t="s">
        <v>29042</v>
      </c>
      <c r="H5696" s="1">
        <v>2016.0</v>
      </c>
      <c r="I5696" s="1" t="s">
        <v>42</v>
      </c>
      <c r="J5696" s="1" t="s">
        <v>33</v>
      </c>
      <c r="K5696" s="1" t="s">
        <v>1320</v>
      </c>
      <c r="L5696" s="1" t="s">
        <v>29047</v>
      </c>
      <c r="M5696" s="2" t="s">
        <v>12</v>
      </c>
      <c r="N5696" s="4">
        <f t="shared" si="1"/>
        <v>42706</v>
      </c>
      <c r="O5696" s="5" t="str">
        <f>IFERROR(__xludf.DUMMYFUNCTION("IF(REGEXMATCH(TRIM(I5696), ""^\d+\s*min""), ""Unclassified"", IF(I5696 = """", ""NR"", I5696))"),"TV-MA")</f>
        <v>TV-MA</v>
      </c>
      <c r="R5696" s="5" t="str">
        <f t="shared" si="2"/>
        <v>White Girl</v>
      </c>
      <c r="S5696" s="5" t="str">
        <f>IFERROR(__xludf.DUMMYFUNCTION("""COMPUTED_VALUE"""),"Race 2")</f>
        <v>Race 2</v>
      </c>
      <c r="V5696" s="5"/>
      <c r="Y5696" s="5" t="str">
        <f>IFERROR(__xludf.DUMMYFUNCTION("REGEXEXTRACT(J5696, ""^\d+"")"),"90")</f>
        <v>90</v>
      </c>
      <c r="Z5696" s="5" t="str">
        <f>IFERROR(__xludf.DUMMYFUNCTION("REGEXEXTRACT(J5696, ""[A-Za-z ]+$"")")," min")</f>
        <v> min</v>
      </c>
      <c r="AA5696" s="5" t="str">
        <f>IFERROR(__xludf.DUMMYFUNCTION("IF(REGEXMATCH(Z5696, ""Season""), ""TV Show"", ""Movie"")"),"Movie")</f>
        <v>Movie</v>
      </c>
    </row>
    <row r="5697">
      <c r="A5697" s="1" t="s">
        <v>29048</v>
      </c>
      <c r="B5697" s="1" t="s">
        <v>27</v>
      </c>
      <c r="C5697" s="1" t="s">
        <v>29049</v>
      </c>
      <c r="D5697" s="1" t="s">
        <v>29050</v>
      </c>
      <c r="F5697" s="1" t="s">
        <v>30</v>
      </c>
      <c r="G5697" s="1" t="s">
        <v>29051</v>
      </c>
      <c r="H5697" s="1">
        <v>2016.0</v>
      </c>
      <c r="I5697" s="1" t="s">
        <v>136</v>
      </c>
      <c r="J5697" s="1" t="s">
        <v>16845</v>
      </c>
      <c r="K5697" s="1" t="s">
        <v>645</v>
      </c>
      <c r="L5697" s="1" t="s">
        <v>29052</v>
      </c>
      <c r="M5697" s="2" t="s">
        <v>12</v>
      </c>
      <c r="N5697" s="4">
        <f t="shared" si="1"/>
        <v>42705</v>
      </c>
      <c r="O5697" s="5" t="str">
        <f>IFERROR(__xludf.DUMMYFUNCTION("IF(REGEXMATCH(TRIM(I5697), ""^\d+\s*min""), ""Unclassified"", IF(I5697 = """", ""NR"", I5697))"),"TV-PG")</f>
        <v>TV-PG</v>
      </c>
      <c r="R5697" s="5" t="str">
        <f t="shared" si="2"/>
        <v>#Rucker50</v>
      </c>
      <c r="S5697" s="5" t="str">
        <f>IFERROR(__xludf.DUMMYFUNCTION("""COMPUTED_VALUE"""),"Race To Witch Mountain")</f>
        <v>Race To Witch Mountain</v>
      </c>
      <c r="V5697" s="5"/>
      <c r="Y5697" s="5" t="str">
        <f>IFERROR(__xludf.DUMMYFUNCTION("REGEXEXTRACT(J5697, ""^\d+"")"),"56")</f>
        <v>56</v>
      </c>
      <c r="Z5697" s="5" t="str">
        <f>IFERROR(__xludf.DUMMYFUNCTION("REGEXEXTRACT(J5697, ""[A-Za-z ]+$"")")," min")</f>
        <v> min</v>
      </c>
      <c r="AA5697" s="5" t="str">
        <f>IFERROR(__xludf.DUMMYFUNCTION("IF(REGEXMATCH(Z5697, ""Season""), ""TV Show"", ""Movie"")"),"Movie")</f>
        <v>Movie</v>
      </c>
    </row>
    <row r="5698">
      <c r="A5698" s="1" t="s">
        <v>29053</v>
      </c>
      <c r="B5698" s="1" t="s">
        <v>27</v>
      </c>
      <c r="C5698" s="1" t="s">
        <v>29054</v>
      </c>
      <c r="D5698" s="1" t="s">
        <v>21134</v>
      </c>
      <c r="E5698" s="1" t="s">
        <v>29055</v>
      </c>
      <c r="F5698" s="1" t="s">
        <v>63</v>
      </c>
      <c r="G5698" s="1" t="s">
        <v>29051</v>
      </c>
      <c r="H5698" s="1">
        <v>2014.0</v>
      </c>
      <c r="I5698" s="1" t="s">
        <v>97</v>
      </c>
      <c r="J5698" s="1" t="s">
        <v>1191</v>
      </c>
      <c r="K5698" s="1" t="s">
        <v>128</v>
      </c>
      <c r="L5698" s="1" t="s">
        <v>29056</v>
      </c>
      <c r="M5698" s="2" t="s">
        <v>12</v>
      </c>
      <c r="N5698" s="4">
        <f t="shared" si="1"/>
        <v>42705</v>
      </c>
      <c r="O5698" s="5" t="str">
        <f>IFERROR(__xludf.DUMMYFUNCTION("IF(REGEXMATCH(TRIM(I5698), ""^\d+\s*min""), ""Unclassified"", IF(I5698 = """", ""NR"", I5698))"),"TV-14")</f>
        <v>TV-14</v>
      </c>
      <c r="R5698" s="5" t="str">
        <f t="shared" si="2"/>
        <v>1000 Rupee Note</v>
      </c>
      <c r="S5698" s="5" t="str">
        <f>IFERROR(__xludf.DUMMYFUNCTION("""COMPUTED_VALUE"""),"Rachel Getting Married")</f>
        <v>Rachel Getting Married</v>
      </c>
      <c r="V5698" s="5"/>
      <c r="Y5698" s="5" t="str">
        <f>IFERROR(__xludf.DUMMYFUNCTION("REGEXEXTRACT(J5698, ""^\d+"")"),"89")</f>
        <v>89</v>
      </c>
      <c r="Z5698" s="5" t="str">
        <f>IFERROR(__xludf.DUMMYFUNCTION("REGEXEXTRACT(J5698, ""[A-Za-z ]+$"")")," min")</f>
        <v> min</v>
      </c>
      <c r="AA5698" s="5" t="str">
        <f>IFERROR(__xludf.DUMMYFUNCTION("IF(REGEXMATCH(Z5698, ""Season""), ""TV Show"", ""Movie"")"),"Movie")</f>
        <v>Movie</v>
      </c>
    </row>
    <row r="5699">
      <c r="A5699" s="1" t="s">
        <v>29057</v>
      </c>
      <c r="B5699" s="1" t="s">
        <v>27</v>
      </c>
      <c r="C5699" s="1" t="s">
        <v>29058</v>
      </c>
      <c r="D5699" s="1" t="s">
        <v>18756</v>
      </c>
      <c r="E5699" s="1" t="s">
        <v>29059</v>
      </c>
      <c r="F5699" s="1" t="s">
        <v>30</v>
      </c>
      <c r="G5699" s="1" t="s">
        <v>29051</v>
      </c>
      <c r="H5699" s="1">
        <v>2013.0</v>
      </c>
      <c r="I5699" s="1" t="s">
        <v>136</v>
      </c>
      <c r="J5699" s="1" t="s">
        <v>7058</v>
      </c>
      <c r="K5699" s="1" t="s">
        <v>805</v>
      </c>
      <c r="L5699" s="1" t="s">
        <v>29060</v>
      </c>
      <c r="M5699" s="2" t="s">
        <v>12</v>
      </c>
      <c r="N5699" s="4">
        <f t="shared" si="1"/>
        <v>42705</v>
      </c>
      <c r="O5699" s="5" t="str">
        <f>IFERROR(__xludf.DUMMYFUNCTION("IF(REGEXMATCH(TRIM(I5699), ""^\d+\s*min""), ""Unclassified"", IF(I5699 = """", ""NR"", I5699))"),"TV-PG")</f>
        <v>TV-PG</v>
      </c>
      <c r="R5699" s="5" t="str">
        <f t="shared" si="2"/>
        <v>Across Grace Alley</v>
      </c>
      <c r="S5699" s="5" t="str">
        <f>IFERROR(__xludf.DUMMYFUNCTION("""COMPUTED_VALUE"""),"Racket Boys")</f>
        <v>Racket Boys</v>
      </c>
      <c r="V5699" s="5"/>
      <c r="Y5699" s="5" t="str">
        <f>IFERROR(__xludf.DUMMYFUNCTION("REGEXEXTRACT(J5699, ""^\d+"")"),"24")</f>
        <v>24</v>
      </c>
      <c r="Z5699" s="5" t="str">
        <f>IFERROR(__xludf.DUMMYFUNCTION("REGEXEXTRACT(J5699, ""[A-Za-z ]+$"")")," min")</f>
        <v> min</v>
      </c>
      <c r="AA5699" s="5" t="str">
        <f>IFERROR(__xludf.DUMMYFUNCTION("IF(REGEXMATCH(Z5699, ""Season""), ""TV Show"", ""Movie"")"),"Movie")</f>
        <v>Movie</v>
      </c>
    </row>
    <row r="5700">
      <c r="A5700" s="1" t="s">
        <v>29061</v>
      </c>
      <c r="B5700" s="1" t="s">
        <v>27</v>
      </c>
      <c r="C5700" s="1" t="s">
        <v>29062</v>
      </c>
      <c r="D5700" s="1" t="s">
        <v>19074</v>
      </c>
      <c r="E5700" s="1" t="s">
        <v>29063</v>
      </c>
      <c r="F5700" s="1" t="s">
        <v>23874</v>
      </c>
      <c r="G5700" s="1" t="s">
        <v>29051</v>
      </c>
      <c r="H5700" s="1">
        <v>2015.0</v>
      </c>
      <c r="I5700" s="1" t="s">
        <v>97</v>
      </c>
      <c r="J5700" s="1" t="s">
        <v>433</v>
      </c>
      <c r="K5700" s="1" t="s">
        <v>199</v>
      </c>
      <c r="L5700" s="1" t="s">
        <v>29064</v>
      </c>
      <c r="M5700" s="2" t="s">
        <v>12</v>
      </c>
      <c r="N5700" s="4">
        <f t="shared" si="1"/>
        <v>42705</v>
      </c>
      <c r="O5700" s="5" t="str">
        <f>IFERROR(__xludf.DUMMYFUNCTION("IF(REGEXMATCH(TRIM(I5700), ""^\d+\s*min""), ""Unclassified"", IF(I5700 = """", ""NR"", I5700))"),"TV-14")</f>
        <v>TV-14</v>
      </c>
      <c r="R5700" s="5" t="str">
        <f t="shared" si="2"/>
        <v>Asu Mare 2</v>
      </c>
      <c r="S5700" s="5" t="str">
        <f>IFERROR(__xludf.DUMMYFUNCTION("""COMPUTED_VALUE"""),"Radical: The Controversial Saga Of Dada Figueiredo")</f>
        <v>Radical: The Controversial Saga Of Dada Figueiredo</v>
      </c>
      <c r="V5700" s="5"/>
      <c r="Y5700" s="5" t="str">
        <f>IFERROR(__xludf.DUMMYFUNCTION("REGEXEXTRACT(J5700, ""^\d+"")"),"100")</f>
        <v>100</v>
      </c>
      <c r="Z5700" s="5" t="str">
        <f>IFERROR(__xludf.DUMMYFUNCTION("REGEXEXTRACT(J5700, ""[A-Za-z ]+$"")")," min")</f>
        <v> min</v>
      </c>
      <c r="AA5700" s="5" t="str">
        <f>IFERROR(__xludf.DUMMYFUNCTION("IF(REGEXMATCH(Z5700, ""Season""), ""TV Show"", ""Movie"")"),"Movie")</f>
        <v>Movie</v>
      </c>
    </row>
    <row r="5701">
      <c r="A5701" s="1" t="s">
        <v>29065</v>
      </c>
      <c r="B5701" s="1" t="s">
        <v>37</v>
      </c>
      <c r="C5701" s="1" t="s">
        <v>29066</v>
      </c>
      <c r="E5701" s="1" t="s">
        <v>29067</v>
      </c>
      <c r="F5701" s="1" t="s">
        <v>2059</v>
      </c>
      <c r="G5701" s="1" t="s">
        <v>29051</v>
      </c>
      <c r="H5701" s="1">
        <v>2016.0</v>
      </c>
      <c r="I5701" s="1" t="s">
        <v>136</v>
      </c>
      <c r="J5701" s="1" t="s">
        <v>51</v>
      </c>
      <c r="K5701" s="1" t="s">
        <v>64</v>
      </c>
      <c r="L5701" s="1" t="s">
        <v>29068</v>
      </c>
      <c r="M5701" s="2" t="s">
        <v>12</v>
      </c>
      <c r="N5701" s="4">
        <f t="shared" si="1"/>
        <v>42705</v>
      </c>
      <c r="O5701" s="5" t="str">
        <f>IFERROR(__xludf.DUMMYFUNCTION("IF(REGEXMATCH(TRIM(I5701), ""^\d+\s*min""), ""Unclassified"", IF(I5701 = """", ""NR"", I5701))"),"TV-PG")</f>
        <v>TV-PG</v>
      </c>
      <c r="R5701" s="5" t="str">
        <f t="shared" si="2"/>
        <v>Back To 1989</v>
      </c>
      <c r="S5701" s="5" t="str">
        <f>IFERROR(__xludf.DUMMYFUNCTION("""COMPUTED_VALUE"""),"Radio Rebel")</f>
        <v>Radio Rebel</v>
      </c>
      <c r="V5701" s="5"/>
      <c r="Y5701" s="5" t="str">
        <f>IFERROR(__xludf.DUMMYFUNCTION("REGEXEXTRACT(J5701, ""^\d+"")"),"1")</f>
        <v>1</v>
      </c>
      <c r="Z5701" s="5" t="str">
        <f>IFERROR(__xludf.DUMMYFUNCTION("REGEXEXTRACT(J5701, ""[A-Za-z ]+$"")")," Season")</f>
        <v> Season</v>
      </c>
      <c r="AA5701" s="5" t="str">
        <f>IFERROR(__xludf.DUMMYFUNCTION("IF(REGEXMATCH(Z5701, ""Season""), ""TV Show"", ""Movie"")"),"TV Show")</f>
        <v>TV Show</v>
      </c>
    </row>
    <row r="5702">
      <c r="A5702" s="1" t="s">
        <v>29069</v>
      </c>
      <c r="B5702" s="1" t="s">
        <v>37</v>
      </c>
      <c r="C5702" s="1" t="s">
        <v>29070</v>
      </c>
      <c r="E5702" s="1" t="s">
        <v>29071</v>
      </c>
      <c r="F5702" s="1" t="s">
        <v>2059</v>
      </c>
      <c r="G5702" s="1" t="s">
        <v>29051</v>
      </c>
      <c r="H5702" s="1">
        <v>2015.0</v>
      </c>
      <c r="I5702" s="1" t="s">
        <v>136</v>
      </c>
      <c r="J5702" s="1" t="s">
        <v>51</v>
      </c>
      <c r="K5702" s="1" t="s">
        <v>64</v>
      </c>
      <c r="L5702" s="1" t="s">
        <v>29072</v>
      </c>
      <c r="M5702" s="2" t="s">
        <v>12</v>
      </c>
      <c r="N5702" s="4">
        <f t="shared" si="1"/>
        <v>42705</v>
      </c>
      <c r="O5702" s="5" t="str">
        <f>IFERROR(__xludf.DUMMYFUNCTION("IF(REGEXMATCH(TRIM(I5702), ""^\d+\s*min""), ""Unclassified"", IF(I5702 = """", ""NR"", I5702))"),"TV-PG")</f>
        <v>TV-PG</v>
      </c>
      <c r="R5702" s="5" t="str">
        <f t="shared" si="2"/>
        <v>Bromance</v>
      </c>
      <c r="S5702" s="5" t="str">
        <f>IFERROR(__xludf.DUMMYFUNCTION("""COMPUTED_VALUE"""),"Radiopetti")</f>
        <v>Radiopetti</v>
      </c>
      <c r="V5702" s="5"/>
      <c r="Y5702" s="5" t="str">
        <f>IFERROR(__xludf.DUMMYFUNCTION("REGEXEXTRACT(J5702, ""^\d+"")"),"1")</f>
        <v>1</v>
      </c>
      <c r="Z5702" s="5" t="str">
        <f>IFERROR(__xludf.DUMMYFUNCTION("REGEXEXTRACT(J5702, ""[A-Za-z ]+$"")")," Season")</f>
        <v> Season</v>
      </c>
      <c r="AA5702" s="5" t="str">
        <f>IFERROR(__xludf.DUMMYFUNCTION("IF(REGEXMATCH(Z5702, ""Season""), ""TV Show"", ""Movie"")"),"TV Show")</f>
        <v>TV Show</v>
      </c>
    </row>
    <row r="5703">
      <c r="A5703" s="1" t="s">
        <v>29073</v>
      </c>
      <c r="B5703" s="1" t="s">
        <v>27</v>
      </c>
      <c r="C5703" s="1" t="s">
        <v>29074</v>
      </c>
      <c r="D5703" s="1" t="s">
        <v>23157</v>
      </c>
      <c r="E5703" s="1" t="s">
        <v>29075</v>
      </c>
      <c r="F5703" s="1" t="s">
        <v>63</v>
      </c>
      <c r="G5703" s="1" t="s">
        <v>29051</v>
      </c>
      <c r="H5703" s="1">
        <v>2015.0</v>
      </c>
      <c r="I5703" s="1" t="s">
        <v>42</v>
      </c>
      <c r="J5703" s="1" t="s">
        <v>349</v>
      </c>
      <c r="K5703" s="1" t="s">
        <v>298</v>
      </c>
      <c r="L5703" s="1" t="s">
        <v>29076</v>
      </c>
      <c r="M5703" s="2" t="s">
        <v>12</v>
      </c>
      <c r="N5703" s="4">
        <f t="shared" si="1"/>
        <v>42705</v>
      </c>
      <c r="O5703" s="5" t="str">
        <f>IFERROR(__xludf.DUMMYFUNCTION("IF(REGEXMATCH(TRIM(I5703), ""^\d+\s*min""), ""Unclassified"", IF(I5703 = """", ""NR"", I5703))"),"TV-MA")</f>
        <v>TV-MA</v>
      </c>
      <c r="R5703" s="5" t="str">
        <f t="shared" si="2"/>
        <v>Interrogation</v>
      </c>
      <c r="S5703" s="5" t="str">
        <f>IFERROR(__xludf.DUMMYFUNCTION("""COMPUTED_VALUE"""),"Radium Girls")</f>
        <v>Radium Girls</v>
      </c>
      <c r="V5703" s="5"/>
      <c r="Y5703" s="5" t="str">
        <f>IFERROR(__xludf.DUMMYFUNCTION("REGEXEXTRACT(J5703, ""^\d+"")"),"116")</f>
        <v>116</v>
      </c>
      <c r="Z5703" s="5" t="str">
        <f>IFERROR(__xludf.DUMMYFUNCTION("REGEXEXTRACT(J5703, ""[A-Za-z ]+$"")")," min")</f>
        <v> min</v>
      </c>
      <c r="AA5703" s="5" t="str">
        <f>IFERROR(__xludf.DUMMYFUNCTION("IF(REGEXMATCH(Z5703, ""Season""), ""TV Show"", ""Movie"")"),"Movie")</f>
        <v>Movie</v>
      </c>
    </row>
    <row r="5704">
      <c r="A5704" s="1" t="s">
        <v>29077</v>
      </c>
      <c r="B5704" s="1" t="s">
        <v>27</v>
      </c>
      <c r="C5704" s="1" t="s">
        <v>29078</v>
      </c>
      <c r="D5704" s="1" t="s">
        <v>13804</v>
      </c>
      <c r="E5704" s="1" t="s">
        <v>29079</v>
      </c>
      <c r="F5704" s="1" t="s">
        <v>30</v>
      </c>
      <c r="G5704" s="1" t="s">
        <v>29051</v>
      </c>
      <c r="H5704" s="1">
        <v>2016.0</v>
      </c>
      <c r="I5704" s="1" t="s">
        <v>42</v>
      </c>
      <c r="J5704" s="1" t="s">
        <v>665</v>
      </c>
      <c r="K5704" s="1" t="s">
        <v>836</v>
      </c>
      <c r="L5704" s="1" t="s">
        <v>29080</v>
      </c>
      <c r="M5704" s="2" t="s">
        <v>12</v>
      </c>
      <c r="N5704" s="4">
        <f t="shared" si="1"/>
        <v>42705</v>
      </c>
      <c r="O5704" s="5" t="str">
        <f>IFERROR(__xludf.DUMMYFUNCTION("IF(REGEXMATCH(TRIM(I5704), ""^\d+\s*min""), ""Unclassified"", IF(I5704 = """", ""NR"", I5704))"),"TV-MA")</f>
        <v>TV-MA</v>
      </c>
      <c r="R5704" s="5" t="str">
        <f t="shared" si="2"/>
        <v>Rainbow Time</v>
      </c>
      <c r="S5704" s="5" t="str">
        <f>IFERROR(__xludf.DUMMYFUNCTION("""COMPUTED_VALUE"""),"Raees")</f>
        <v>Raees</v>
      </c>
      <c r="V5704" s="5"/>
      <c r="Y5704" s="5" t="str">
        <f>IFERROR(__xludf.DUMMYFUNCTION("REGEXEXTRACT(J5704, ""^\d+"")"),"92")</f>
        <v>92</v>
      </c>
      <c r="Z5704" s="5" t="str">
        <f>IFERROR(__xludf.DUMMYFUNCTION("REGEXEXTRACT(J5704, ""[A-Za-z ]+$"")")," min")</f>
        <v> min</v>
      </c>
      <c r="AA5704" s="5" t="str">
        <f>IFERROR(__xludf.DUMMYFUNCTION("IF(REGEXMATCH(Z5704, ""Season""), ""TV Show"", ""Movie"")"),"Movie")</f>
        <v>Movie</v>
      </c>
    </row>
    <row r="5705">
      <c r="A5705" s="1" t="s">
        <v>29081</v>
      </c>
      <c r="B5705" s="1" t="s">
        <v>37</v>
      </c>
      <c r="C5705" s="1" t="s">
        <v>29082</v>
      </c>
      <c r="E5705" s="1" t="s">
        <v>29083</v>
      </c>
      <c r="F5705" s="1" t="s">
        <v>2059</v>
      </c>
      <c r="G5705" s="1" t="s">
        <v>29051</v>
      </c>
      <c r="H5705" s="1">
        <v>2016.0</v>
      </c>
      <c r="I5705" s="1" t="s">
        <v>97</v>
      </c>
      <c r="J5705" s="1" t="s">
        <v>51</v>
      </c>
      <c r="K5705" s="1" t="s">
        <v>64</v>
      </c>
      <c r="L5705" s="1" t="s">
        <v>29084</v>
      </c>
      <c r="M5705" s="2" t="s">
        <v>12</v>
      </c>
      <c r="N5705" s="4">
        <f t="shared" si="1"/>
        <v>42705</v>
      </c>
      <c r="O5705" s="5" t="str">
        <f>IFERROR(__xludf.DUMMYFUNCTION("IF(REGEXMATCH(TRIM(I5705), ""^\d+\s*min""), ""Unclassified"", IF(I5705 = """", ""NR"", I5705))"),"TV-14")</f>
        <v>TV-14</v>
      </c>
      <c r="R5705" s="5" t="str">
        <f t="shared" si="2"/>
        <v>Refresh Man</v>
      </c>
      <c r="S5705" s="5" t="str">
        <f>IFERROR(__xludf.DUMMYFUNCTION("""COMPUTED_VALUE"""),"Rafał Banaś, Michał Leja Laugh Out Loud")</f>
        <v>Rafał Banaś, Michał Leja Laugh Out Loud</v>
      </c>
      <c r="V5705" s="5"/>
      <c r="Y5705" s="5" t="str">
        <f>IFERROR(__xludf.DUMMYFUNCTION("REGEXEXTRACT(J5705, ""^\d+"")"),"1")</f>
        <v>1</v>
      </c>
      <c r="Z5705" s="5" t="str">
        <f>IFERROR(__xludf.DUMMYFUNCTION("REGEXEXTRACT(J5705, ""[A-Za-z ]+$"")")," Season")</f>
        <v> Season</v>
      </c>
      <c r="AA5705" s="5" t="str">
        <f>IFERROR(__xludf.DUMMYFUNCTION("IF(REGEXMATCH(Z5705, ""Season""), ""TV Show"", ""Movie"")"),"TV Show")</f>
        <v>TV Show</v>
      </c>
    </row>
    <row r="5706">
      <c r="A5706" s="1" t="s">
        <v>29085</v>
      </c>
      <c r="B5706" s="1" t="s">
        <v>27</v>
      </c>
      <c r="C5706" s="1" t="s">
        <v>29086</v>
      </c>
      <c r="D5706" s="1" t="s">
        <v>10600</v>
      </c>
      <c r="E5706" s="1" t="s">
        <v>29087</v>
      </c>
      <c r="F5706" s="1" t="s">
        <v>30</v>
      </c>
      <c r="G5706" s="1" t="s">
        <v>29051</v>
      </c>
      <c r="H5706" s="1">
        <v>1979.0</v>
      </c>
      <c r="I5706" s="1" t="s">
        <v>42</v>
      </c>
      <c r="J5706" s="1" t="s">
        <v>6391</v>
      </c>
      <c r="K5706" s="1" t="s">
        <v>1839</v>
      </c>
      <c r="L5706" s="1" t="s">
        <v>29088</v>
      </c>
      <c r="M5706" s="2" t="s">
        <v>12</v>
      </c>
      <c r="N5706" s="4">
        <f t="shared" si="1"/>
        <v>42705</v>
      </c>
      <c r="O5706" s="5" t="str">
        <f>IFERROR(__xludf.DUMMYFUNCTION("IF(REGEXMATCH(TRIM(I5706), ""^\d+\s*min""), ""Unclassified"", IF(I5706 = """", ""NR"", I5706))"),"TV-MA")</f>
        <v>TV-MA</v>
      </c>
      <c r="R5706" s="5" t="str">
        <f t="shared" si="2"/>
        <v>Richard Pryor: Live In Concert</v>
      </c>
      <c r="S5706" s="5" t="str">
        <f>IFERROR(__xludf.DUMMYFUNCTION("""COMPUTED_VALUE"""),"Rafinha Bastos: Ultimatum")</f>
        <v>Rafinha Bastos: Ultimatum</v>
      </c>
      <c r="V5706" s="5"/>
      <c r="Y5706" s="5" t="str">
        <f>IFERROR(__xludf.DUMMYFUNCTION("REGEXEXTRACT(J5706, ""^\d+"")"),"79")</f>
        <v>79</v>
      </c>
      <c r="Z5706" s="5" t="str">
        <f>IFERROR(__xludf.DUMMYFUNCTION("REGEXEXTRACT(J5706, ""[A-Za-z ]+$"")")," min")</f>
        <v> min</v>
      </c>
      <c r="AA5706" s="5" t="str">
        <f>IFERROR(__xludf.DUMMYFUNCTION("IF(REGEXMATCH(Z5706, ""Season""), ""TV Show"", ""Movie"")"),"Movie")</f>
        <v>Movie</v>
      </c>
    </row>
    <row r="5707">
      <c r="A5707" s="1" t="s">
        <v>29089</v>
      </c>
      <c r="B5707" s="1" t="s">
        <v>27</v>
      </c>
      <c r="C5707" s="1" t="s">
        <v>29090</v>
      </c>
      <c r="D5707" s="1" t="s">
        <v>3079</v>
      </c>
      <c r="E5707" s="1" t="s">
        <v>29091</v>
      </c>
      <c r="F5707" s="1" t="s">
        <v>63</v>
      </c>
      <c r="G5707" s="1" t="s">
        <v>29051</v>
      </c>
      <c r="H5707" s="1">
        <v>2016.0</v>
      </c>
      <c r="I5707" s="1" t="s">
        <v>97</v>
      </c>
      <c r="J5707" s="1" t="s">
        <v>4699</v>
      </c>
      <c r="K5707" s="1" t="s">
        <v>89</v>
      </c>
      <c r="L5707" s="1" t="s">
        <v>29092</v>
      </c>
      <c r="M5707" s="2" t="s">
        <v>12</v>
      </c>
      <c r="N5707" s="4">
        <f t="shared" si="1"/>
        <v>42705</v>
      </c>
      <c r="O5707" s="5" t="str">
        <f>IFERROR(__xludf.DUMMYFUNCTION("IF(REGEXMATCH(TRIM(I5707), ""^\d+\s*min""), ""Unclassified"", IF(I5707 = """", ""NR"", I5707))"),"TV-14")</f>
        <v>TV-14</v>
      </c>
      <c r="R5707" s="5" t="str">
        <f t="shared" si="2"/>
        <v>The Violin Player</v>
      </c>
      <c r="S5707" s="5" t="str">
        <f>IFERROR(__xludf.DUMMYFUNCTION("""COMPUTED_VALUE"""),"Raging Bull")</f>
        <v>Raging Bull</v>
      </c>
      <c r="V5707" s="5"/>
      <c r="Y5707" s="5" t="str">
        <f>IFERROR(__xludf.DUMMYFUNCTION("REGEXEXTRACT(J5707, ""^\d+"")"),"72")</f>
        <v>72</v>
      </c>
      <c r="Z5707" s="5" t="str">
        <f>IFERROR(__xludf.DUMMYFUNCTION("REGEXEXTRACT(J5707, ""[A-Za-z ]+$"")")," min")</f>
        <v> min</v>
      </c>
      <c r="AA5707" s="5" t="str">
        <f>IFERROR(__xludf.DUMMYFUNCTION("IF(REGEXMATCH(Z5707, ""Season""), ""TV Show"", ""Movie"")"),"Movie")</f>
        <v>Movie</v>
      </c>
    </row>
    <row r="5708">
      <c r="A5708" s="1" t="s">
        <v>29093</v>
      </c>
      <c r="B5708" s="1" t="s">
        <v>27</v>
      </c>
      <c r="C5708" s="1" t="s">
        <v>29094</v>
      </c>
      <c r="D5708" s="1" t="s">
        <v>14683</v>
      </c>
      <c r="E5708" s="1" t="s">
        <v>29095</v>
      </c>
      <c r="F5708" s="1" t="s">
        <v>162</v>
      </c>
      <c r="G5708" s="1" t="s">
        <v>29096</v>
      </c>
      <c r="H5708" s="1">
        <v>2016.0</v>
      </c>
      <c r="I5708" s="1" t="s">
        <v>42</v>
      </c>
      <c r="J5708" s="1" t="s">
        <v>665</v>
      </c>
      <c r="K5708" s="1" t="s">
        <v>156</v>
      </c>
      <c r="L5708" s="1" t="s">
        <v>29097</v>
      </c>
      <c r="M5708" s="2" t="s">
        <v>12</v>
      </c>
      <c r="N5708" s="4">
        <f t="shared" si="1"/>
        <v>42699</v>
      </c>
      <c r="O5708" s="5" t="str">
        <f>IFERROR(__xludf.DUMMYFUNCTION("IF(REGEXMATCH(TRIM(I5708), ""^\d+\s*min""), ""Unclassified"", IF(I5708 = """", ""NR"", I5708))"),"TV-MA")</f>
        <v>TV-MA</v>
      </c>
      <c r="R5708" s="5" t="str">
        <f t="shared" si="2"/>
        <v>Beauties Of The Night</v>
      </c>
      <c r="S5708" s="5" t="str">
        <f>IFERROR(__xludf.DUMMYFUNCTION("""COMPUTED_VALUE"""),"Ragini Mms")</f>
        <v>Ragini Mms</v>
      </c>
      <c r="V5708" s="5"/>
      <c r="Y5708" s="5" t="str">
        <f>IFERROR(__xludf.DUMMYFUNCTION("REGEXEXTRACT(J5708, ""^\d+"")"),"92")</f>
        <v>92</v>
      </c>
      <c r="Z5708" s="5" t="str">
        <f>IFERROR(__xludf.DUMMYFUNCTION("REGEXEXTRACT(J5708, ""[A-Za-z ]+$"")")," min")</f>
        <v> min</v>
      </c>
      <c r="AA5708" s="5" t="str">
        <f>IFERROR(__xludf.DUMMYFUNCTION("IF(REGEXMATCH(Z5708, ""Season""), ""TV Show"", ""Movie"")"),"Movie")</f>
        <v>Movie</v>
      </c>
    </row>
    <row r="5709">
      <c r="A5709" s="1" t="s">
        <v>29098</v>
      </c>
      <c r="B5709" s="1" t="s">
        <v>37</v>
      </c>
      <c r="C5709" s="1" t="s">
        <v>29099</v>
      </c>
      <c r="E5709" s="1" t="s">
        <v>29100</v>
      </c>
      <c r="F5709" s="1" t="s">
        <v>30</v>
      </c>
      <c r="G5709" s="1" t="s">
        <v>29096</v>
      </c>
      <c r="H5709" s="1">
        <v>2016.0</v>
      </c>
      <c r="I5709" s="1" t="s">
        <v>97</v>
      </c>
      <c r="J5709" s="1" t="s">
        <v>51</v>
      </c>
      <c r="K5709" s="1" t="s">
        <v>2915</v>
      </c>
      <c r="L5709" s="1" t="s">
        <v>29101</v>
      </c>
      <c r="M5709" s="2" t="s">
        <v>12</v>
      </c>
      <c r="N5709" s="4">
        <f t="shared" si="1"/>
        <v>42699</v>
      </c>
      <c r="O5709" s="5" t="str">
        <f>IFERROR(__xludf.DUMMYFUNCTION("IF(REGEXMATCH(TRIM(I5709), ""^\d+\s*min""), ""Unclassified"", IF(I5709 = """", ""NR"", I5709))"),"TV-14")</f>
        <v>TV-14</v>
      </c>
      <c r="R5709" s="5" t="str">
        <f t="shared" si="2"/>
        <v>Gilmore Girls: A Year In The Life</v>
      </c>
      <c r="S5709" s="5" t="str">
        <f>IFERROR(__xludf.DUMMYFUNCTION("""COMPUTED_VALUE"""),"Ragini Mms 2")</f>
        <v>Ragini Mms 2</v>
      </c>
      <c r="V5709" s="5"/>
      <c r="Y5709" s="5" t="str">
        <f>IFERROR(__xludf.DUMMYFUNCTION("REGEXEXTRACT(J5709, ""^\d+"")"),"1")</f>
        <v>1</v>
      </c>
      <c r="Z5709" s="5" t="str">
        <f>IFERROR(__xludf.DUMMYFUNCTION("REGEXEXTRACT(J5709, ""[A-Za-z ]+$"")")," Season")</f>
        <v> Season</v>
      </c>
      <c r="AA5709" s="5" t="str">
        <f>IFERROR(__xludf.DUMMYFUNCTION("IF(REGEXMATCH(Z5709, ""Season""), ""TV Show"", ""Movie"")"),"TV Show")</f>
        <v>TV Show</v>
      </c>
    </row>
    <row r="5710">
      <c r="A5710" s="1" t="s">
        <v>29102</v>
      </c>
      <c r="B5710" s="1" t="s">
        <v>27</v>
      </c>
      <c r="C5710" s="1" t="s">
        <v>29103</v>
      </c>
      <c r="D5710" s="1" t="s">
        <v>10957</v>
      </c>
      <c r="E5710" s="1" t="s">
        <v>29104</v>
      </c>
      <c r="F5710" s="1" t="s">
        <v>30</v>
      </c>
      <c r="G5710" s="1" t="s">
        <v>29096</v>
      </c>
      <c r="H5710" s="1">
        <v>2016.0</v>
      </c>
      <c r="I5710" s="1" t="s">
        <v>42</v>
      </c>
      <c r="J5710" s="1" t="s">
        <v>207</v>
      </c>
      <c r="K5710" s="1" t="s">
        <v>1839</v>
      </c>
      <c r="L5710" s="1" t="s">
        <v>29105</v>
      </c>
      <c r="M5710" s="2" t="s">
        <v>12</v>
      </c>
      <c r="N5710" s="4">
        <f t="shared" si="1"/>
        <v>42699</v>
      </c>
      <c r="O5710" s="5" t="str">
        <f>IFERROR(__xludf.DUMMYFUNCTION("IF(REGEXMATCH(TRIM(I5710), ""^\d+\s*min""), ""Unclassified"", IF(I5710 = """", ""NR"", I5710))"),"TV-MA")</f>
        <v>TV-MA</v>
      </c>
      <c r="R5710" s="5" t="str">
        <f t="shared" si="2"/>
        <v>Michael Che Matters</v>
      </c>
      <c r="S5710" s="5" t="str">
        <f>IFERROR(__xludf.DUMMYFUNCTION("""COMPUTED_VALUE"""),"Ragnarok")</f>
        <v>Ragnarok</v>
      </c>
      <c r="V5710" s="5"/>
      <c r="Y5710" s="5" t="str">
        <f>IFERROR(__xludf.DUMMYFUNCTION("REGEXEXTRACT(J5710, ""^\d+"")"),"61")</f>
        <v>61</v>
      </c>
      <c r="Z5710" s="5" t="str">
        <f>IFERROR(__xludf.DUMMYFUNCTION("REGEXEXTRACT(J5710, ""[A-Za-z ]+$"")")," min")</f>
        <v> min</v>
      </c>
      <c r="AA5710" s="5" t="str">
        <f>IFERROR(__xludf.DUMMYFUNCTION("IF(REGEXMATCH(Z5710, ""Season""), ""TV Show"", ""Movie"")"),"Movie")</f>
        <v>Movie</v>
      </c>
    </row>
    <row r="5711">
      <c r="A5711" s="1" t="s">
        <v>29106</v>
      </c>
      <c r="B5711" s="1" t="s">
        <v>27</v>
      </c>
      <c r="C5711" s="1" t="s">
        <v>29107</v>
      </c>
      <c r="D5711" s="1" t="s">
        <v>4815</v>
      </c>
      <c r="E5711" s="1" t="s">
        <v>29108</v>
      </c>
      <c r="F5711" s="1" t="s">
        <v>30</v>
      </c>
      <c r="G5711" s="1" t="s">
        <v>29109</v>
      </c>
      <c r="H5711" s="1">
        <v>2016.0</v>
      </c>
      <c r="I5711" s="1" t="s">
        <v>42</v>
      </c>
      <c r="J5711" s="1" t="s">
        <v>428</v>
      </c>
      <c r="K5711" s="1" t="s">
        <v>394</v>
      </c>
      <c r="L5711" s="1" t="s">
        <v>29110</v>
      </c>
      <c r="M5711" s="2" t="s">
        <v>12</v>
      </c>
      <c r="N5711" s="4">
        <f t="shared" si="1"/>
        <v>42696</v>
      </c>
      <c r="O5711" s="5" t="str">
        <f>IFERROR(__xludf.DUMMYFUNCTION("IF(REGEXMATCH(TRIM(I5711), ""^\d+\s*min""), ""Unclassified"", IF(I5711 = """", ""NR"", I5711))"),"TV-MA")</f>
        <v>TV-MA</v>
      </c>
      <c r="R5711" s="5" t="str">
        <f t="shared" si="2"/>
        <v>Mercy</v>
      </c>
      <c r="S5711" s="5" t="str">
        <f>IFERROR(__xludf.DUMMYFUNCTION("""COMPUTED_VALUE"""),"Rahasya")</f>
        <v>Rahasya</v>
      </c>
      <c r="V5711" s="5"/>
      <c r="Y5711" s="5" t="str">
        <f>IFERROR(__xludf.DUMMYFUNCTION("REGEXEXTRACT(J5711, ""^\d+"")"),"88")</f>
        <v>88</v>
      </c>
      <c r="Z5711" s="5" t="str">
        <f>IFERROR(__xludf.DUMMYFUNCTION("REGEXEXTRACT(J5711, ""[A-Za-z ]+$"")")," min")</f>
        <v> min</v>
      </c>
      <c r="AA5711" s="5" t="str">
        <f>IFERROR(__xludf.DUMMYFUNCTION("IF(REGEXMATCH(Z5711, ""Season""), ""TV Show"", ""Movie"")"),"Movie")</f>
        <v>Movie</v>
      </c>
    </row>
    <row r="5712">
      <c r="A5712" s="1" t="s">
        <v>29111</v>
      </c>
      <c r="B5712" s="1" t="s">
        <v>27</v>
      </c>
      <c r="C5712" s="1" t="s">
        <v>29112</v>
      </c>
      <c r="D5712" s="1" t="s">
        <v>18448</v>
      </c>
      <c r="E5712" s="1" t="s">
        <v>29113</v>
      </c>
      <c r="F5712" s="1" t="s">
        <v>63</v>
      </c>
      <c r="G5712" s="1" t="s">
        <v>29109</v>
      </c>
      <c r="H5712" s="1">
        <v>2012.0</v>
      </c>
      <c r="I5712" s="1" t="s">
        <v>97</v>
      </c>
      <c r="J5712" s="1" t="s">
        <v>519</v>
      </c>
      <c r="K5712" s="1" t="s">
        <v>89</v>
      </c>
      <c r="L5712" s="1" t="s">
        <v>29114</v>
      </c>
      <c r="M5712" s="2" t="s">
        <v>12</v>
      </c>
      <c r="N5712" s="4">
        <f t="shared" si="1"/>
        <v>42696</v>
      </c>
      <c r="O5712" s="5" t="str">
        <f>IFERROR(__xludf.DUMMYFUNCTION("IF(REGEXMATCH(TRIM(I5712), ""^\d+\s*min""), ""Unclassified"", IF(I5712 = """", ""NR"", I5712))"),"TV-14")</f>
        <v>TV-14</v>
      </c>
      <c r="R5712" s="5" t="str">
        <f t="shared" si="2"/>
        <v>The Land Of Cards</v>
      </c>
      <c r="S5712" s="5" t="str">
        <f>IFERROR(__xludf.DUMMYFUNCTION("""COMPUTED_VALUE"""),"Raiders!: The Story Of The Greatest Fan Film Ever Made")</f>
        <v>Raiders!: The Story Of The Greatest Fan Film Ever Made</v>
      </c>
      <c r="V5712" s="5"/>
      <c r="Y5712" s="5" t="str">
        <f>IFERROR(__xludf.DUMMYFUNCTION("REGEXEXTRACT(J5712, ""^\d+"")"),"113")</f>
        <v>113</v>
      </c>
      <c r="Z5712" s="5" t="str">
        <f>IFERROR(__xludf.DUMMYFUNCTION("REGEXEXTRACT(J5712, ""[A-Za-z ]+$"")")," min")</f>
        <v> min</v>
      </c>
      <c r="AA5712" s="5" t="str">
        <f>IFERROR(__xludf.DUMMYFUNCTION("IF(REGEXMATCH(Z5712, ""Season""), ""TV Show"", ""Movie"")"),"Movie")</f>
        <v>Movie</v>
      </c>
    </row>
    <row r="5713">
      <c r="A5713" s="1" t="s">
        <v>29115</v>
      </c>
      <c r="B5713" s="1" t="s">
        <v>27</v>
      </c>
      <c r="C5713" s="1" t="s">
        <v>29116</v>
      </c>
      <c r="D5713" s="1" t="s">
        <v>10159</v>
      </c>
      <c r="E5713" s="1" t="s">
        <v>25495</v>
      </c>
      <c r="F5713" s="1" t="s">
        <v>162</v>
      </c>
      <c r="G5713" s="1" t="s">
        <v>29117</v>
      </c>
      <c r="H5713" s="1">
        <v>2016.0</v>
      </c>
      <c r="I5713" s="1" t="s">
        <v>42</v>
      </c>
      <c r="J5713" s="1" t="s">
        <v>155</v>
      </c>
      <c r="K5713" s="1" t="s">
        <v>1839</v>
      </c>
      <c r="L5713" s="1" t="s">
        <v>29118</v>
      </c>
      <c r="M5713" s="2" t="s">
        <v>12</v>
      </c>
      <c r="N5713" s="4">
        <f t="shared" si="1"/>
        <v>42695</v>
      </c>
      <c r="O5713" s="5" t="str">
        <f>IFERROR(__xludf.DUMMYFUNCTION("IF(REGEXMATCH(TRIM(I5713), ""^\d+\s*min""), ""Unclassified"", IF(I5713 = """", ""NR"", I5713))"),"TV-MA")</f>
        <v>TV-MA</v>
      </c>
      <c r="R5713" s="5" t="str">
        <f t="shared" si="2"/>
        <v>Carlos Ballarta: El Amor Es De Putos</v>
      </c>
      <c r="S5713" s="5" t="str">
        <f>IFERROR(__xludf.DUMMYFUNCTION("""COMPUTED_VALUE"""),"Railroad Tigers")</f>
        <v>Railroad Tigers</v>
      </c>
      <c r="V5713" s="5"/>
      <c r="Y5713" s="5" t="str">
        <f>IFERROR(__xludf.DUMMYFUNCTION("REGEXEXTRACT(J5713, ""^\d+"")"),"67")</f>
        <v>67</v>
      </c>
      <c r="Z5713" s="5" t="str">
        <f>IFERROR(__xludf.DUMMYFUNCTION("REGEXEXTRACT(J5713, ""[A-Za-z ]+$"")")," min")</f>
        <v> min</v>
      </c>
      <c r="AA5713" s="5" t="str">
        <f>IFERROR(__xludf.DUMMYFUNCTION("IF(REGEXMATCH(Z5713, ""Season""), ""TV Show"", ""Movie"")"),"Movie")</f>
        <v>Movie</v>
      </c>
    </row>
    <row r="5714">
      <c r="A5714" s="1" t="s">
        <v>29119</v>
      </c>
      <c r="B5714" s="1" t="s">
        <v>27</v>
      </c>
      <c r="C5714" s="1" t="s">
        <v>29120</v>
      </c>
      <c r="D5714" s="1" t="s">
        <v>20919</v>
      </c>
      <c r="E5714" s="1" t="s">
        <v>29121</v>
      </c>
      <c r="F5714" s="1" t="s">
        <v>30</v>
      </c>
      <c r="G5714" s="1" t="s">
        <v>29122</v>
      </c>
      <c r="H5714" s="1">
        <v>2012.0</v>
      </c>
      <c r="I5714" s="1" t="s">
        <v>42</v>
      </c>
      <c r="J5714" s="1" t="s">
        <v>2616</v>
      </c>
      <c r="K5714" s="1" t="s">
        <v>1839</v>
      </c>
      <c r="L5714" s="1" t="s">
        <v>29123</v>
      </c>
      <c r="M5714" s="2" t="s">
        <v>12</v>
      </c>
      <c r="N5714" s="4">
        <f t="shared" si="1"/>
        <v>42693</v>
      </c>
      <c r="O5714" s="5" t="str">
        <f>IFERROR(__xludf.DUMMYFUNCTION("IF(REGEXMATCH(TRIM(I5714), ""^\d+\s*min""), ""Unclassified"", IF(I5714 = """", ""NR"", I5714))"),"TV-MA")</f>
        <v>TV-MA</v>
      </c>
      <c r="R5714" s="5" t="str">
        <f t="shared" si="2"/>
        <v>Donald Glover: Weirdo</v>
      </c>
      <c r="S5714" s="5" t="str">
        <f>IFERROR(__xludf.DUMMYFUNCTION("""COMPUTED_VALUE"""),"Rain Man")</f>
        <v>Rain Man</v>
      </c>
      <c r="V5714" s="5"/>
      <c r="Y5714" s="5" t="str">
        <f>IFERROR(__xludf.DUMMYFUNCTION("REGEXEXTRACT(J5714, ""^\d+"")"),"65")</f>
        <v>65</v>
      </c>
      <c r="Z5714" s="5" t="str">
        <f>IFERROR(__xludf.DUMMYFUNCTION("REGEXEXTRACT(J5714, ""[A-Za-z ]+$"")")," min")</f>
        <v> min</v>
      </c>
      <c r="AA5714" s="5" t="str">
        <f>IFERROR(__xludf.DUMMYFUNCTION("IF(REGEXMATCH(Z5714, ""Season""), ""TV Show"", ""Movie"")"),"Movie")</f>
        <v>Movie</v>
      </c>
    </row>
    <row r="5715">
      <c r="A5715" s="1" t="s">
        <v>29124</v>
      </c>
      <c r="B5715" s="1" t="s">
        <v>27</v>
      </c>
      <c r="C5715" s="1" t="s">
        <v>29125</v>
      </c>
      <c r="D5715" s="1" t="s">
        <v>10861</v>
      </c>
      <c r="E5715" s="1" t="s">
        <v>19658</v>
      </c>
      <c r="F5715" s="1" t="s">
        <v>30</v>
      </c>
      <c r="G5715" s="1" t="s">
        <v>29126</v>
      </c>
      <c r="H5715" s="1">
        <v>2016.0</v>
      </c>
      <c r="I5715" s="1" t="s">
        <v>42</v>
      </c>
      <c r="J5715" s="1" t="s">
        <v>2670</v>
      </c>
      <c r="K5715" s="1" t="s">
        <v>1839</v>
      </c>
      <c r="L5715" s="1" t="s">
        <v>29127</v>
      </c>
      <c r="M5715" s="2" t="s">
        <v>12</v>
      </c>
      <c r="N5715" s="4">
        <f t="shared" si="1"/>
        <v>42692</v>
      </c>
      <c r="O5715" s="5" t="str">
        <f>IFERROR(__xludf.DUMMYFUNCTION("IF(REGEXMATCH(TRIM(I5715), ""^\d+\s*min""), ""Unclassified"", IF(I5715 = """", ""NR"", I5715))"),"TV-MA")</f>
        <v>TV-MA</v>
      </c>
      <c r="R5715" s="5" t="str">
        <f t="shared" si="2"/>
        <v>Colin Quinn: The New York Story</v>
      </c>
      <c r="S5715" s="5" t="str">
        <f>IFERROR(__xludf.DUMMYFUNCTION("""COMPUTED_VALUE"""),"Rainbow High")</f>
        <v>Rainbow High</v>
      </c>
      <c r="V5715" s="5"/>
      <c r="Y5715" s="5" t="str">
        <f>IFERROR(__xludf.DUMMYFUNCTION("REGEXEXTRACT(J5715, ""^\d+"")"),"62")</f>
        <v>62</v>
      </c>
      <c r="Z5715" s="5" t="str">
        <f>IFERROR(__xludf.DUMMYFUNCTION("REGEXEXTRACT(J5715, ""[A-Za-z ]+$"")")," min")</f>
        <v> min</v>
      </c>
      <c r="AA5715" s="5" t="str">
        <f>IFERROR(__xludf.DUMMYFUNCTION("IF(REGEXMATCH(Z5715, ""Season""), ""TV Show"", ""Movie"")"),"Movie")</f>
        <v>Movie</v>
      </c>
    </row>
    <row r="5716">
      <c r="A5716" s="1" t="s">
        <v>29128</v>
      </c>
      <c r="B5716" s="1" t="s">
        <v>27</v>
      </c>
      <c r="C5716" s="1" t="s">
        <v>29129</v>
      </c>
      <c r="D5716" s="1" t="s">
        <v>9398</v>
      </c>
      <c r="E5716" s="1" t="s">
        <v>29130</v>
      </c>
      <c r="F5716" s="1" t="s">
        <v>29131</v>
      </c>
      <c r="G5716" s="1" t="s">
        <v>29126</v>
      </c>
      <c r="H5716" s="1">
        <v>2016.0</v>
      </c>
      <c r="I5716" s="1" t="s">
        <v>42</v>
      </c>
      <c r="J5716" s="1" t="s">
        <v>1256</v>
      </c>
      <c r="K5716" s="1" t="s">
        <v>89</v>
      </c>
      <c r="L5716" s="1" t="s">
        <v>29132</v>
      </c>
      <c r="M5716" s="2" t="s">
        <v>12</v>
      </c>
      <c r="N5716" s="4">
        <f t="shared" si="1"/>
        <v>42692</v>
      </c>
      <c r="O5716" s="5" t="str">
        <f>IFERROR(__xludf.DUMMYFUNCTION("IF(REGEXMATCH(TRIM(I5716), ""^\d+\s*min""), ""Unclassified"", IF(I5716 = """", ""NR"", I5716))"),"TV-MA")</f>
        <v>TV-MA</v>
      </c>
      <c r="R5716" s="5" t="str">
        <f t="shared" si="2"/>
        <v>Divines</v>
      </c>
      <c r="S5716" s="5" t="str">
        <f>IFERROR(__xludf.DUMMYFUNCTION("""COMPUTED_VALUE"""),"Rainbow Jelly")</f>
        <v>Rainbow Jelly</v>
      </c>
      <c r="V5716" s="5"/>
      <c r="Y5716" s="5" t="str">
        <f>IFERROR(__xludf.DUMMYFUNCTION("REGEXEXTRACT(J5716, ""^\d+"")"),"107")</f>
        <v>107</v>
      </c>
      <c r="Z5716" s="5" t="str">
        <f>IFERROR(__xludf.DUMMYFUNCTION("REGEXEXTRACT(J5716, ""[A-Za-z ]+$"")")," min")</f>
        <v> min</v>
      </c>
      <c r="AA5716" s="5" t="str">
        <f>IFERROR(__xludf.DUMMYFUNCTION("IF(REGEXMATCH(Z5716, ""Season""), ""TV Show"", ""Movie"")"),"Movie")</f>
        <v>Movie</v>
      </c>
    </row>
    <row r="5717">
      <c r="A5717" s="1" t="s">
        <v>29133</v>
      </c>
      <c r="B5717" s="1" t="s">
        <v>37</v>
      </c>
      <c r="C5717" s="1" t="s">
        <v>29134</v>
      </c>
      <c r="E5717" s="1" t="s">
        <v>29135</v>
      </c>
      <c r="F5717" s="1" t="s">
        <v>1837</v>
      </c>
      <c r="G5717" s="1" t="s">
        <v>29126</v>
      </c>
      <c r="H5717" s="1">
        <v>2016.0</v>
      </c>
      <c r="I5717" s="1" t="s">
        <v>42</v>
      </c>
      <c r="J5717" s="1" t="s">
        <v>51</v>
      </c>
      <c r="K5717" s="1" t="s">
        <v>785</v>
      </c>
      <c r="L5717" s="1" t="s">
        <v>29136</v>
      </c>
      <c r="M5717" s="2" t="s">
        <v>12</v>
      </c>
      <c r="N5717" s="4">
        <f t="shared" si="1"/>
        <v>42692</v>
      </c>
      <c r="O5717" s="5" t="str">
        <f>IFERROR(__xludf.DUMMYFUNCTION("IF(REGEXMATCH(TRIM(I5717), ""^\d+\s*min""), ""Unclassified"", IF(I5717 = """", ""NR"", I5717))"),"TV-MA")</f>
        <v>TV-MA</v>
      </c>
      <c r="R5717" s="5" t="str">
        <f t="shared" si="2"/>
        <v>La Niña</v>
      </c>
      <c r="S5717" s="5" t="str">
        <f>IFERROR(__xludf.DUMMYFUNCTION("""COMPUTED_VALUE"""),"Rainbow Rangers")</f>
        <v>Rainbow Rangers</v>
      </c>
      <c r="V5717" s="5"/>
      <c r="Y5717" s="5" t="str">
        <f>IFERROR(__xludf.DUMMYFUNCTION("REGEXEXTRACT(J5717, ""^\d+"")"),"1")</f>
        <v>1</v>
      </c>
      <c r="Z5717" s="5" t="str">
        <f>IFERROR(__xludf.DUMMYFUNCTION("REGEXEXTRACT(J5717, ""[A-Za-z ]+$"")")," Season")</f>
        <v> Season</v>
      </c>
      <c r="AA5717" s="5" t="str">
        <f>IFERROR(__xludf.DUMMYFUNCTION("IF(REGEXMATCH(Z5717, ""Season""), ""TV Show"", ""Movie"")"),"TV Show")</f>
        <v>TV Show</v>
      </c>
    </row>
    <row r="5718">
      <c r="A5718" s="1" t="s">
        <v>29137</v>
      </c>
      <c r="B5718" s="1" t="s">
        <v>37</v>
      </c>
      <c r="C5718" s="1" t="s">
        <v>29138</v>
      </c>
      <c r="E5718" s="1" t="s">
        <v>29139</v>
      </c>
      <c r="F5718" s="1" t="s">
        <v>96</v>
      </c>
      <c r="G5718" s="1" t="s">
        <v>29140</v>
      </c>
      <c r="H5718" s="1">
        <v>2016.0</v>
      </c>
      <c r="I5718" s="1" t="s">
        <v>42</v>
      </c>
      <c r="J5718" s="1" t="s">
        <v>51</v>
      </c>
      <c r="K5718" s="1" t="s">
        <v>3274</v>
      </c>
      <c r="L5718" s="1" t="s">
        <v>29141</v>
      </c>
      <c r="M5718" s="2" t="s">
        <v>12</v>
      </c>
      <c r="N5718" s="4">
        <f t="shared" si="1"/>
        <v>42691</v>
      </c>
      <c r="O5718" s="5" t="str">
        <f>IFERROR(__xludf.DUMMYFUNCTION("IF(REGEXMATCH(TRIM(I5718), ""^\d+\s*min""), ""Unclassified"", IF(I5718 = """", ""NR"", I5718))"),"TV-MA")</f>
        <v>TV-MA</v>
      </c>
      <c r="R5718" s="5" t="str">
        <f t="shared" si="2"/>
        <v>Paranoid</v>
      </c>
      <c r="S5718" s="5" t="str">
        <f>IFERROR(__xludf.DUMMYFUNCTION("""COMPUTED_VALUE"""),"Rainbow Ruby")</f>
        <v>Rainbow Ruby</v>
      </c>
      <c r="V5718" s="5"/>
      <c r="Y5718" s="5" t="str">
        <f>IFERROR(__xludf.DUMMYFUNCTION("REGEXEXTRACT(J5718, ""^\d+"")"),"1")</f>
        <v>1</v>
      </c>
      <c r="Z5718" s="5" t="str">
        <f>IFERROR(__xludf.DUMMYFUNCTION("REGEXEXTRACT(J5718, ""[A-Za-z ]+$"")")," Season")</f>
        <v> Season</v>
      </c>
      <c r="AA5718" s="5" t="str">
        <f>IFERROR(__xludf.DUMMYFUNCTION("IF(REGEXMATCH(Z5718, ""Season""), ""TV Show"", ""Movie"")"),"TV Show")</f>
        <v>TV Show</v>
      </c>
    </row>
    <row r="5719">
      <c r="A5719" s="1" t="s">
        <v>29142</v>
      </c>
      <c r="B5719" s="1" t="s">
        <v>27</v>
      </c>
      <c r="C5719" s="1" t="s">
        <v>29143</v>
      </c>
      <c r="D5719" s="1" t="s">
        <v>23445</v>
      </c>
      <c r="E5719" s="1" t="s">
        <v>29144</v>
      </c>
      <c r="F5719" s="1" t="s">
        <v>2492</v>
      </c>
      <c r="G5719" s="1" t="s">
        <v>29145</v>
      </c>
      <c r="H5719" s="1">
        <v>2016.0</v>
      </c>
      <c r="I5719" s="1" t="s">
        <v>42</v>
      </c>
      <c r="J5719" s="1" t="s">
        <v>1993</v>
      </c>
      <c r="K5719" s="1" t="s">
        <v>1839</v>
      </c>
      <c r="L5719" s="1" t="s">
        <v>29146</v>
      </c>
      <c r="M5719" s="2" t="s">
        <v>12</v>
      </c>
      <c r="N5719" s="4">
        <f t="shared" si="1"/>
        <v>42689</v>
      </c>
      <c r="O5719" s="5" t="str">
        <f>IFERROR(__xludf.DUMMYFUNCTION("IF(REGEXMATCH(TRIM(I5719), ""^\d+\s*min""), ""Unclassified"", IF(I5719 = """", ""NR"", I5719))"),"TV-MA")</f>
        <v>TV-MA</v>
      </c>
      <c r="R5719" s="5" t="str">
        <f t="shared" si="2"/>
        <v>Dieter Nuhr: Nuhr In Berlin</v>
      </c>
      <c r="S5719" s="5" t="str">
        <f>IFERROR(__xludf.DUMMYFUNCTION("""COMPUTED_VALUE"""),"Rainbow Time")</f>
        <v>Rainbow Time</v>
      </c>
      <c r="V5719" s="5"/>
      <c r="Y5719" s="5" t="str">
        <f>IFERROR(__xludf.DUMMYFUNCTION("REGEXEXTRACT(J5719, ""^\d+"")"),"69")</f>
        <v>69</v>
      </c>
      <c r="Z5719" s="5" t="str">
        <f>IFERROR(__xludf.DUMMYFUNCTION("REGEXEXTRACT(J5719, ""[A-Za-z ]+$"")")," min")</f>
        <v> min</v>
      </c>
      <c r="AA5719" s="5" t="str">
        <f>IFERROR(__xludf.DUMMYFUNCTION("IF(REGEXMATCH(Z5719, ""Season""), ""TV Show"", ""Movie"")"),"Movie")</f>
        <v>Movie</v>
      </c>
    </row>
    <row r="5720">
      <c r="A5720" s="1" t="s">
        <v>29147</v>
      </c>
      <c r="B5720" s="1" t="s">
        <v>27</v>
      </c>
      <c r="C5720" s="1" t="s">
        <v>29148</v>
      </c>
      <c r="D5720" s="1" t="s">
        <v>14470</v>
      </c>
      <c r="E5720" s="1" t="s">
        <v>29149</v>
      </c>
      <c r="F5720" s="1" t="s">
        <v>63</v>
      </c>
      <c r="G5720" s="1" t="s">
        <v>29145</v>
      </c>
      <c r="H5720" s="1">
        <v>2012.0</v>
      </c>
      <c r="I5720" s="1" t="s">
        <v>42</v>
      </c>
      <c r="J5720" s="1" t="s">
        <v>4558</v>
      </c>
      <c r="K5720" s="1" t="s">
        <v>89</v>
      </c>
      <c r="L5720" s="1" t="s">
        <v>29150</v>
      </c>
      <c r="M5720" s="2" t="s">
        <v>12</v>
      </c>
      <c r="N5720" s="4">
        <f t="shared" si="1"/>
        <v>42689</v>
      </c>
      <c r="O5720" s="5" t="str">
        <f>IFERROR(__xludf.DUMMYFUNCTION("IF(REGEXMATCH(TRIM(I5720), ""^\d+\s*min""), ""Unclassified"", IF(I5720 = """", ""NR"", I5720))"),"TV-MA")</f>
        <v>TV-MA</v>
      </c>
      <c r="R5720" s="5" t="str">
        <f t="shared" si="2"/>
        <v>Mumbai Cha Raja</v>
      </c>
      <c r="S5720" s="5" t="str">
        <f>IFERROR(__xludf.DUMMYFUNCTION("""COMPUTED_VALUE"""),"Raising Dion")</f>
        <v>Raising Dion</v>
      </c>
      <c r="V5720" s="5"/>
      <c r="Y5720" s="5" t="str">
        <f>IFERROR(__xludf.DUMMYFUNCTION("REGEXEXTRACT(J5720, ""^\d+"")"),"77")</f>
        <v>77</v>
      </c>
      <c r="Z5720" s="5" t="str">
        <f>IFERROR(__xludf.DUMMYFUNCTION("REGEXEXTRACT(J5720, ""[A-Za-z ]+$"")")," min")</f>
        <v> min</v>
      </c>
      <c r="AA5720" s="5" t="str">
        <f>IFERROR(__xludf.DUMMYFUNCTION("IF(REGEXMATCH(Z5720, ""Season""), ""TV Show"", ""Movie"")"),"Movie")</f>
        <v>Movie</v>
      </c>
    </row>
    <row r="5721">
      <c r="A5721" s="1" t="s">
        <v>29151</v>
      </c>
      <c r="B5721" s="1" t="s">
        <v>27</v>
      </c>
      <c r="C5721" s="1" t="s">
        <v>29152</v>
      </c>
      <c r="D5721" s="1" t="s">
        <v>5661</v>
      </c>
      <c r="E5721" s="1" t="s">
        <v>29153</v>
      </c>
      <c r="F5721" s="1" t="s">
        <v>30</v>
      </c>
      <c r="G5721" s="1" t="s">
        <v>29154</v>
      </c>
      <c r="H5721" s="1">
        <v>2016.0</v>
      </c>
      <c r="I5721" s="1" t="s">
        <v>97</v>
      </c>
      <c r="J5721" s="1" t="s">
        <v>357</v>
      </c>
      <c r="K5721" s="1" t="s">
        <v>973</v>
      </c>
      <c r="L5721" s="1" t="s">
        <v>29155</v>
      </c>
      <c r="M5721" s="2" t="s">
        <v>12</v>
      </c>
      <c r="N5721" s="4">
        <f t="shared" si="1"/>
        <v>42685</v>
      </c>
      <c r="O5721" s="5" t="str">
        <f>IFERROR(__xludf.DUMMYFUNCTION("IF(REGEXMATCH(TRIM(I5721), ""^\d+\s*min""), ""Unclassified"", IF(I5721 = """", ""NR"", I5721))"),"TV-14")</f>
        <v>TV-14</v>
      </c>
      <c r="R5721" s="5" t="str">
        <f t="shared" si="2"/>
        <v>True Memoirs Of An International Assassin</v>
      </c>
      <c r="S5721" s="5" t="str">
        <f>IFERROR(__xludf.DUMMYFUNCTION("""COMPUTED_VALUE"""),"Raising The Bar")</f>
        <v>Raising The Bar</v>
      </c>
      <c r="V5721" s="5"/>
      <c r="Y5721" s="5" t="str">
        <f>IFERROR(__xludf.DUMMYFUNCTION("REGEXEXTRACT(J5721, ""^\d+"")"),"98")</f>
        <v>98</v>
      </c>
      <c r="Z5721" s="5" t="str">
        <f>IFERROR(__xludf.DUMMYFUNCTION("REGEXEXTRACT(J5721, ""[A-Za-z ]+$"")")," min")</f>
        <v> min</v>
      </c>
      <c r="AA5721" s="5" t="str">
        <f>IFERROR(__xludf.DUMMYFUNCTION("IF(REGEXMATCH(Z5721, ""Season""), ""TV Show"", ""Movie"")"),"Movie")</f>
        <v>Movie</v>
      </c>
    </row>
    <row r="5722">
      <c r="A5722" s="1" t="s">
        <v>29156</v>
      </c>
      <c r="B5722" s="1" t="s">
        <v>37</v>
      </c>
      <c r="C5722" s="1" t="s">
        <v>29157</v>
      </c>
      <c r="E5722" s="1" t="s">
        <v>29158</v>
      </c>
      <c r="F5722" s="1" t="s">
        <v>664</v>
      </c>
      <c r="G5722" s="1" t="s">
        <v>29159</v>
      </c>
      <c r="H5722" s="1">
        <v>2009.0</v>
      </c>
      <c r="I5722" s="1" t="s">
        <v>42</v>
      </c>
      <c r="J5722" s="1" t="s">
        <v>51</v>
      </c>
      <c r="K5722" s="1" t="s">
        <v>507</v>
      </c>
      <c r="L5722" s="1" t="s">
        <v>29160</v>
      </c>
      <c r="M5722" s="2" t="s">
        <v>12</v>
      </c>
      <c r="N5722" s="4">
        <f t="shared" si="1"/>
        <v>42684</v>
      </c>
      <c r="O5722" s="5" t="str">
        <f>IFERROR(__xludf.DUMMYFUNCTION("IF(REGEXMATCH(TRIM(I5722), ""^\d+\s*min""), ""Unclassified"", IF(I5722 = """", ""NR"", I5722))"),"TV-MA")</f>
        <v>TV-MA</v>
      </c>
      <c r="R5722" s="5" t="str">
        <f t="shared" si="2"/>
        <v>Einsatzgruppen: The Nazi Death Squads</v>
      </c>
      <c r="S5722" s="5" t="str">
        <f>IFERROR(__xludf.DUMMYFUNCTION("""COMPUTED_VALUE"""),"Raising Victor Vargas")</f>
        <v>Raising Victor Vargas</v>
      </c>
      <c r="V5722" s="5"/>
      <c r="Y5722" s="5" t="str">
        <f>IFERROR(__xludf.DUMMYFUNCTION("REGEXEXTRACT(J5722, ""^\d+"")"),"1")</f>
        <v>1</v>
      </c>
      <c r="Z5722" s="5" t="str">
        <f>IFERROR(__xludf.DUMMYFUNCTION("REGEXEXTRACT(J5722, ""[A-Za-z ]+$"")")," Season")</f>
        <v> Season</v>
      </c>
      <c r="AA5722" s="5" t="str">
        <f>IFERROR(__xludf.DUMMYFUNCTION("IF(REGEXMATCH(Z5722, ""Season""), ""TV Show"", ""Movie"")"),"TV Show")</f>
        <v>TV Show</v>
      </c>
    </row>
    <row r="5723">
      <c r="A5723" s="1" t="s">
        <v>29161</v>
      </c>
      <c r="B5723" s="1" t="s">
        <v>27</v>
      </c>
      <c r="C5723" s="1" t="s">
        <v>29162</v>
      </c>
      <c r="D5723" s="1" t="s">
        <v>13926</v>
      </c>
      <c r="E5723" s="1" t="s">
        <v>29163</v>
      </c>
      <c r="F5723" s="1" t="s">
        <v>30</v>
      </c>
      <c r="G5723" s="1" t="s">
        <v>29159</v>
      </c>
      <c r="H5723" s="1">
        <v>2016.0</v>
      </c>
      <c r="I5723" s="1" t="s">
        <v>42</v>
      </c>
      <c r="J5723" s="1" t="s">
        <v>5650</v>
      </c>
      <c r="K5723" s="1" t="s">
        <v>1839</v>
      </c>
      <c r="L5723" s="1" t="s">
        <v>29164</v>
      </c>
      <c r="M5723" s="2" t="s">
        <v>12</v>
      </c>
      <c r="N5723" s="4">
        <f t="shared" si="1"/>
        <v>42684</v>
      </c>
      <c r="O5723" s="5" t="str">
        <f>IFERROR(__xludf.DUMMYFUNCTION("IF(REGEXMATCH(TRIM(I5723), ""^\d+\s*min""), ""Unclassified"", IF(I5723 = """", ""NR"", I5723))"),"TV-MA")</f>
        <v>TV-MA</v>
      </c>
      <c r="R5723" s="5" t="str">
        <f t="shared" si="2"/>
        <v>Kathleen Madigan: Bothering Jesus</v>
      </c>
      <c r="S5723" s="5" t="str">
        <f>IFERROR(__xludf.DUMMYFUNCTION("""COMPUTED_VALUE"""),"Raja Hindustani")</f>
        <v>Raja Hindustani</v>
      </c>
      <c r="V5723" s="5"/>
      <c r="Y5723" s="5" t="str">
        <f>IFERROR(__xludf.DUMMYFUNCTION("REGEXEXTRACT(J5723, ""^\d+"")"),"71")</f>
        <v>71</v>
      </c>
      <c r="Z5723" s="5" t="str">
        <f>IFERROR(__xludf.DUMMYFUNCTION("REGEXEXTRACT(J5723, ""[A-Za-z ]+$"")")," min")</f>
        <v> min</v>
      </c>
      <c r="AA5723" s="5" t="str">
        <f>IFERROR(__xludf.DUMMYFUNCTION("IF(REGEXMATCH(Z5723, ""Season""), ""TV Show"", ""Movie"")"),"Movie")</f>
        <v>Movie</v>
      </c>
    </row>
    <row r="5724">
      <c r="A5724" s="1" t="s">
        <v>29165</v>
      </c>
      <c r="B5724" s="1" t="s">
        <v>37</v>
      </c>
      <c r="C5724" s="1" t="s">
        <v>29166</v>
      </c>
      <c r="E5724" s="1" t="s">
        <v>29167</v>
      </c>
      <c r="F5724" s="1" t="s">
        <v>4292</v>
      </c>
      <c r="G5724" s="1" t="s">
        <v>29168</v>
      </c>
      <c r="H5724" s="1">
        <v>2015.0</v>
      </c>
      <c r="I5724" s="1" t="s">
        <v>42</v>
      </c>
      <c r="J5724" s="1" t="s">
        <v>51</v>
      </c>
      <c r="K5724" s="1" t="s">
        <v>1362</v>
      </c>
      <c r="L5724" s="1" t="s">
        <v>29169</v>
      </c>
      <c r="M5724" s="2" t="s">
        <v>12</v>
      </c>
      <c r="N5724" s="4">
        <f t="shared" si="1"/>
        <v>42683</v>
      </c>
      <c r="O5724" s="5" t="str">
        <f>IFERROR(__xludf.DUMMYFUNCTION("IF(REGEXMATCH(TRIM(I5724), ""^\d+\s*min""), ""Unclassified"", IF(I5724 = """", ""NR"", I5724))"),"TV-MA")</f>
        <v>TV-MA</v>
      </c>
      <c r="R5724" s="5" t="str">
        <f t="shared" si="2"/>
        <v>Case</v>
      </c>
      <c r="S5724" s="5" t="str">
        <f>IFERROR(__xludf.DUMMYFUNCTION("""COMPUTED_VALUE"""),"Raja Natwarlal")</f>
        <v>Raja Natwarlal</v>
      </c>
      <c r="V5724" s="5"/>
      <c r="Y5724" s="5" t="str">
        <f>IFERROR(__xludf.DUMMYFUNCTION("REGEXEXTRACT(J5724, ""^\d+"")"),"1")</f>
        <v>1</v>
      </c>
      <c r="Z5724" s="5" t="str">
        <f>IFERROR(__xludf.DUMMYFUNCTION("REGEXEXTRACT(J5724, ""[A-Za-z ]+$"")")," Season")</f>
        <v> Season</v>
      </c>
      <c r="AA5724" s="5" t="str">
        <f>IFERROR(__xludf.DUMMYFUNCTION("IF(REGEXMATCH(Z5724, ""Season""), ""TV Show"", ""Movie"")"),"TV Show")</f>
        <v>TV Show</v>
      </c>
    </row>
    <row r="5725">
      <c r="A5725" s="1" t="s">
        <v>29170</v>
      </c>
      <c r="B5725" s="1" t="s">
        <v>37</v>
      </c>
      <c r="C5725" s="1" t="s">
        <v>29171</v>
      </c>
      <c r="E5725" s="1" t="s">
        <v>29172</v>
      </c>
      <c r="F5725" s="1" t="s">
        <v>96</v>
      </c>
      <c r="G5725" s="1" t="s">
        <v>29168</v>
      </c>
      <c r="H5725" s="1">
        <v>2016.0</v>
      </c>
      <c r="I5725" s="1" t="s">
        <v>289</v>
      </c>
      <c r="J5725" s="1" t="s">
        <v>43</v>
      </c>
      <c r="K5725" s="1" t="s">
        <v>712</v>
      </c>
      <c r="L5725" s="1" t="s">
        <v>29173</v>
      </c>
      <c r="M5725" s="2" t="s">
        <v>12</v>
      </c>
      <c r="N5725" s="4">
        <f t="shared" si="1"/>
        <v>42683</v>
      </c>
      <c r="O5725" s="5" t="str">
        <f>IFERROR(__xludf.DUMMYFUNCTION("IF(REGEXMATCH(TRIM(I5725), ""^\d+\s*min""), ""Unclassified"", IF(I5725 = """", ""NR"", I5725))"),"TV-Y7")</f>
        <v>TV-Y7</v>
      </c>
      <c r="R5725" s="5" t="str">
        <f t="shared" si="2"/>
        <v>Danger Mouse</v>
      </c>
      <c r="S5725" s="5" t="str">
        <f>IFERROR(__xludf.DUMMYFUNCTION("""COMPUTED_VALUE"""),"Raja Rasoi Aur Anya Kahaniyan")</f>
        <v>Raja Rasoi Aur Anya Kahaniyan</v>
      </c>
      <c r="V5725" s="5"/>
      <c r="Y5725" s="5" t="str">
        <f>IFERROR(__xludf.DUMMYFUNCTION("REGEXEXTRACT(J5725, ""^\d+"")"),"2")</f>
        <v>2</v>
      </c>
      <c r="Z5725" s="5" t="str">
        <f>IFERROR(__xludf.DUMMYFUNCTION("REGEXEXTRACT(J5725, ""[A-Za-z ]+$"")")," Seasons")</f>
        <v> Seasons</v>
      </c>
      <c r="AA5725" s="5" t="str">
        <f>IFERROR(__xludf.DUMMYFUNCTION("IF(REGEXMATCH(Z5725, ""Season""), ""TV Show"", ""Movie"")"),"TV Show")</f>
        <v>TV Show</v>
      </c>
    </row>
    <row r="5726">
      <c r="A5726" s="1" t="s">
        <v>29174</v>
      </c>
      <c r="B5726" s="1" t="s">
        <v>27</v>
      </c>
      <c r="C5726" s="1" t="s">
        <v>29175</v>
      </c>
      <c r="D5726" s="1" t="s">
        <v>14140</v>
      </c>
      <c r="E5726" s="1" t="s">
        <v>29176</v>
      </c>
      <c r="F5726" s="1" t="s">
        <v>30</v>
      </c>
      <c r="G5726" s="1" t="s">
        <v>29177</v>
      </c>
      <c r="H5726" s="1">
        <v>2016.0</v>
      </c>
      <c r="I5726" s="1" t="s">
        <v>42</v>
      </c>
      <c r="J5726" s="1" t="s">
        <v>1838</v>
      </c>
      <c r="K5726" s="1" t="s">
        <v>1839</v>
      </c>
      <c r="L5726" s="1" t="s">
        <v>29178</v>
      </c>
      <c r="M5726" s="2" t="s">
        <v>12</v>
      </c>
      <c r="N5726" s="4">
        <f t="shared" si="1"/>
        <v>42678</v>
      </c>
      <c r="O5726" s="5" t="str">
        <f>IFERROR(__xludf.DUMMYFUNCTION("IF(REGEXMATCH(TRIM(I5726), ""^\d+\s*min""), ""Unclassified"", IF(I5726 = """", ""NR"", I5726))"),"TV-MA")</f>
        <v>TV-MA</v>
      </c>
      <c r="R5726" s="5" t="str">
        <f t="shared" si="2"/>
        <v>Dana Carvey: Straight White Male, 60</v>
      </c>
      <c r="S5726" s="5" t="str">
        <f>IFERROR(__xludf.DUMMYFUNCTION("""COMPUTED_VALUE"""),"Rajma Chawal")</f>
        <v>Rajma Chawal</v>
      </c>
      <c r="V5726" s="5"/>
      <c r="Y5726" s="5" t="str">
        <f>IFERROR(__xludf.DUMMYFUNCTION("REGEXEXTRACT(J5726, ""^\d+"")"),"64")</f>
        <v>64</v>
      </c>
      <c r="Z5726" s="5" t="str">
        <f>IFERROR(__xludf.DUMMYFUNCTION("REGEXEXTRACT(J5726, ""[A-Za-z ]+$"")")," min")</f>
        <v> min</v>
      </c>
      <c r="AA5726" s="5" t="str">
        <f>IFERROR(__xludf.DUMMYFUNCTION("IF(REGEXMATCH(Z5726, ""Season""), ""TV Show"", ""Movie"")"),"Movie")</f>
        <v>Movie</v>
      </c>
    </row>
    <row r="5727">
      <c r="A5727" s="1" t="s">
        <v>29179</v>
      </c>
      <c r="B5727" s="1" t="s">
        <v>27</v>
      </c>
      <c r="C5727" s="1" t="s">
        <v>29180</v>
      </c>
      <c r="D5727" s="1" t="s">
        <v>12940</v>
      </c>
      <c r="F5727" s="1" t="s">
        <v>5356</v>
      </c>
      <c r="G5727" s="1" t="s">
        <v>29177</v>
      </c>
      <c r="H5727" s="1">
        <v>2016.0</v>
      </c>
      <c r="I5727" s="1" t="s">
        <v>97</v>
      </c>
      <c r="J5727" s="1" t="s">
        <v>1243</v>
      </c>
      <c r="K5727" s="1" t="s">
        <v>34</v>
      </c>
      <c r="L5727" s="1" t="s">
        <v>29181</v>
      </c>
      <c r="M5727" s="2" t="s">
        <v>12</v>
      </c>
      <c r="N5727" s="4">
        <f t="shared" si="1"/>
        <v>42678</v>
      </c>
      <c r="O5727" s="5" t="str">
        <f>IFERROR(__xludf.DUMMYFUNCTION("IF(REGEXMATCH(TRIM(I5727), ""^\d+\s*min""), ""Unclassified"", IF(I5727 = """", ""NR"", I5727))"),"TV-14")</f>
        <v>TV-14</v>
      </c>
      <c r="R5727" s="5" t="str">
        <f t="shared" si="2"/>
        <v>The Ivory Game</v>
      </c>
      <c r="S5727" s="5" t="str">
        <f>IFERROR(__xludf.DUMMYFUNCTION("""COMPUTED_VALUE"""),"Rajnigandha")</f>
        <v>Rajnigandha</v>
      </c>
      <c r="V5727" s="5"/>
      <c r="Y5727" s="5" t="str">
        <f>IFERROR(__xludf.DUMMYFUNCTION("REGEXEXTRACT(J5727, ""^\d+"")"),"112")</f>
        <v>112</v>
      </c>
      <c r="Z5727" s="5" t="str">
        <f>IFERROR(__xludf.DUMMYFUNCTION("REGEXEXTRACT(J5727, ""[A-Za-z ]+$"")")," min")</f>
        <v> min</v>
      </c>
      <c r="AA5727" s="5" t="str">
        <f>IFERROR(__xludf.DUMMYFUNCTION("IF(REGEXMATCH(Z5727, ""Season""), ""TV Show"", ""Movie"")"),"Movie")</f>
        <v>Movie</v>
      </c>
    </row>
    <row r="5728">
      <c r="A5728" s="1" t="s">
        <v>29182</v>
      </c>
      <c r="B5728" s="1" t="s">
        <v>27</v>
      </c>
      <c r="C5728" s="1" t="s">
        <v>29183</v>
      </c>
      <c r="D5728" s="1" t="s">
        <v>19183</v>
      </c>
      <c r="E5728" s="1" t="s">
        <v>29184</v>
      </c>
      <c r="F5728" s="1" t="s">
        <v>96</v>
      </c>
      <c r="G5728" s="1" t="s">
        <v>29185</v>
      </c>
      <c r="H5728" s="1">
        <v>2015.0</v>
      </c>
      <c r="I5728" s="1" t="s">
        <v>136</v>
      </c>
      <c r="J5728" s="1" t="s">
        <v>1847</v>
      </c>
      <c r="K5728" s="1" t="s">
        <v>34</v>
      </c>
      <c r="L5728" s="1" t="s">
        <v>29186</v>
      </c>
      <c r="M5728" s="2" t="s">
        <v>12</v>
      </c>
      <c r="N5728" s="4">
        <f t="shared" si="1"/>
        <v>42675</v>
      </c>
      <c r="O5728" s="5" t="str">
        <f>IFERROR(__xludf.DUMMYFUNCTION("IF(REGEXMATCH(TRIM(I5728), ""^\d+\s*min""), ""Unclassified"", IF(I5728 = """", ""NR"", I5728))"),"TV-PG")</f>
        <v>TV-PG</v>
      </c>
      <c r="R5728" s="5" t="str">
        <f t="shared" si="2"/>
        <v>A Grand Night In: The Story Of Aardman</v>
      </c>
      <c r="S5728" s="5" t="str">
        <f>IFERROR(__xludf.DUMMYFUNCTION("""COMPUTED_VALUE"""),"Rake")</f>
        <v>Rake</v>
      </c>
      <c r="V5728" s="5"/>
      <c r="Y5728" s="5" t="str">
        <f>IFERROR(__xludf.DUMMYFUNCTION("REGEXEXTRACT(J5728, ""^\d+"")"),"59")</f>
        <v>59</v>
      </c>
      <c r="Z5728" s="5" t="str">
        <f>IFERROR(__xludf.DUMMYFUNCTION("REGEXEXTRACT(J5728, ""[A-Za-z ]+$"")")," min")</f>
        <v> min</v>
      </c>
      <c r="AA5728" s="5" t="str">
        <f>IFERROR(__xludf.DUMMYFUNCTION("IF(REGEXMATCH(Z5728, ""Season""), ""TV Show"", ""Movie"")"),"Movie")</f>
        <v>Movie</v>
      </c>
    </row>
    <row r="5729">
      <c r="A5729" s="1" t="s">
        <v>29187</v>
      </c>
      <c r="B5729" s="1" t="s">
        <v>37</v>
      </c>
      <c r="C5729" s="1" t="s">
        <v>29188</v>
      </c>
      <c r="E5729" s="1" t="s">
        <v>29189</v>
      </c>
      <c r="F5729" s="1" t="s">
        <v>2059</v>
      </c>
      <c r="G5729" s="1" t="s">
        <v>29185</v>
      </c>
      <c r="H5729" s="1">
        <v>2011.0</v>
      </c>
      <c r="I5729" s="1" t="s">
        <v>97</v>
      </c>
      <c r="J5729" s="1" t="s">
        <v>51</v>
      </c>
      <c r="K5729" s="1" t="s">
        <v>64</v>
      </c>
      <c r="L5729" s="1" t="s">
        <v>29190</v>
      </c>
      <c r="M5729" s="2" t="s">
        <v>12</v>
      </c>
      <c r="N5729" s="4">
        <f t="shared" si="1"/>
        <v>42675</v>
      </c>
      <c r="O5729" s="5" t="str">
        <f>IFERROR(__xludf.DUMMYFUNCTION("IF(REGEXMATCH(TRIM(I5729), ""^\d+\s*min""), ""Unclassified"", IF(I5729 = """", ""NR"", I5729))"),"TV-14")</f>
        <v>TV-14</v>
      </c>
      <c r="R5729" s="5" t="str">
        <f t="shared" si="2"/>
        <v>Inborn Pair</v>
      </c>
      <c r="S5729" s="5" t="str">
        <f>IFERROR(__xludf.DUMMYFUNCTION("""COMPUTED_VALUE"""),"Rakkhosh")</f>
        <v>Rakkhosh</v>
      </c>
      <c r="V5729" s="5"/>
      <c r="Y5729" s="5" t="str">
        <f>IFERROR(__xludf.DUMMYFUNCTION("REGEXEXTRACT(J5729, ""^\d+"")"),"1")</f>
        <v>1</v>
      </c>
      <c r="Z5729" s="5" t="str">
        <f>IFERROR(__xludf.DUMMYFUNCTION("REGEXEXTRACT(J5729, ""[A-Za-z ]+$"")")," Season")</f>
        <v> Season</v>
      </c>
      <c r="AA5729" s="5" t="str">
        <f>IFERROR(__xludf.DUMMYFUNCTION("IF(REGEXMATCH(Z5729, ""Season""), ""TV Show"", ""Movie"")"),"TV Show")</f>
        <v>TV Show</v>
      </c>
    </row>
    <row r="5730">
      <c r="A5730" s="1" t="s">
        <v>29191</v>
      </c>
      <c r="B5730" s="1" t="s">
        <v>37</v>
      </c>
      <c r="C5730" s="1" t="s">
        <v>29192</v>
      </c>
      <c r="E5730" s="1" t="s">
        <v>29193</v>
      </c>
      <c r="F5730" s="1" t="s">
        <v>2059</v>
      </c>
      <c r="G5730" s="1" t="s">
        <v>29185</v>
      </c>
      <c r="H5730" s="1">
        <v>2013.0</v>
      </c>
      <c r="I5730" s="1" t="s">
        <v>97</v>
      </c>
      <c r="J5730" s="1" t="s">
        <v>51</v>
      </c>
      <c r="K5730" s="1" t="s">
        <v>64</v>
      </c>
      <c r="L5730" s="1" t="s">
        <v>29194</v>
      </c>
      <c r="M5730" s="2" t="s">
        <v>12</v>
      </c>
      <c r="N5730" s="4">
        <f t="shared" si="1"/>
        <v>42675</v>
      </c>
      <c r="O5730" s="5" t="str">
        <f>IFERROR(__xludf.DUMMYFUNCTION("IF(REGEXMATCH(TRIM(I5730), ""^\d+\s*min""), ""Unclassified"", IF(I5730 = """", ""NR"", I5730))"),"TV-14")</f>
        <v>TV-14</v>
      </c>
      <c r="R5730" s="5" t="str">
        <f t="shared" si="2"/>
        <v>Just You</v>
      </c>
      <c r="S5730" s="5" t="str">
        <f>IFERROR(__xludf.DUMMYFUNCTION("""COMPUTED_VALUE"""),"Ralph Breaks The Internet: Wreck-It Ralph 2")</f>
        <v>Ralph Breaks The Internet: Wreck-It Ralph 2</v>
      </c>
      <c r="V5730" s="5"/>
      <c r="Y5730" s="5" t="str">
        <f>IFERROR(__xludf.DUMMYFUNCTION("REGEXEXTRACT(J5730, ""^\d+"")"),"1")</f>
        <v>1</v>
      </c>
      <c r="Z5730" s="5" t="str">
        <f>IFERROR(__xludf.DUMMYFUNCTION("REGEXEXTRACT(J5730, ""[A-Za-z ]+$"")")," Season")</f>
        <v> Season</v>
      </c>
      <c r="AA5730" s="5" t="str">
        <f>IFERROR(__xludf.DUMMYFUNCTION("IF(REGEXMATCH(Z5730, ""Season""), ""TV Show"", ""Movie"")"),"TV Show")</f>
        <v>TV Show</v>
      </c>
    </row>
    <row r="5731">
      <c r="A5731" s="1" t="s">
        <v>29195</v>
      </c>
      <c r="B5731" s="1" t="s">
        <v>37</v>
      </c>
      <c r="C5731" s="1" t="s">
        <v>29196</v>
      </c>
      <c r="E5731" s="1" t="s">
        <v>29197</v>
      </c>
      <c r="F5731" s="1" t="s">
        <v>2059</v>
      </c>
      <c r="G5731" s="1" t="s">
        <v>29185</v>
      </c>
      <c r="H5731" s="1">
        <v>2013.0</v>
      </c>
      <c r="I5731" s="1" t="s">
        <v>97</v>
      </c>
      <c r="J5731" s="1" t="s">
        <v>51</v>
      </c>
      <c r="K5731" s="1" t="s">
        <v>64</v>
      </c>
      <c r="L5731" s="1" t="s">
        <v>29198</v>
      </c>
      <c r="M5731" s="2" t="s">
        <v>12</v>
      </c>
      <c r="N5731" s="4">
        <f t="shared" si="1"/>
        <v>42675</v>
      </c>
      <c r="O5731" s="5" t="str">
        <f>IFERROR(__xludf.DUMMYFUNCTION("IF(REGEXMATCH(TRIM(I5731), ""^\d+\s*min""), ""Unclassified"", IF(I5731 = """", ""NR"", I5731))"),"TV-14")</f>
        <v>TV-14</v>
      </c>
      <c r="R5731" s="5" t="str">
        <f t="shared" si="2"/>
        <v>Love Around</v>
      </c>
      <c r="S5731" s="5" t="str">
        <f>IFERROR(__xludf.DUMMYFUNCTION("""COMPUTED_VALUE"""),"Ralphie May: Imperfectly Yours")</f>
        <v>Ralphie May: Imperfectly Yours</v>
      </c>
      <c r="V5731" s="5"/>
      <c r="Y5731" s="5" t="str">
        <f>IFERROR(__xludf.DUMMYFUNCTION("REGEXEXTRACT(J5731, ""^\d+"")"),"1")</f>
        <v>1</v>
      </c>
      <c r="Z5731" s="5" t="str">
        <f>IFERROR(__xludf.DUMMYFUNCTION("REGEXEXTRACT(J5731, ""[A-Za-z ]+$"")")," Season")</f>
        <v> Season</v>
      </c>
      <c r="AA5731" s="5" t="str">
        <f>IFERROR(__xludf.DUMMYFUNCTION("IF(REGEXMATCH(Z5731, ""Season""), ""TV Show"", ""Movie"")"),"TV Show")</f>
        <v>TV Show</v>
      </c>
    </row>
    <row r="5732">
      <c r="A5732" s="1" t="s">
        <v>29199</v>
      </c>
      <c r="B5732" s="1" t="s">
        <v>37</v>
      </c>
      <c r="C5732" s="1" t="s">
        <v>29200</v>
      </c>
      <c r="E5732" s="1" t="s">
        <v>29201</v>
      </c>
      <c r="F5732" s="1" t="s">
        <v>2059</v>
      </c>
      <c r="G5732" s="1" t="s">
        <v>29185</v>
      </c>
      <c r="H5732" s="1">
        <v>2013.0</v>
      </c>
      <c r="I5732" s="1" t="s">
        <v>42</v>
      </c>
      <c r="J5732" s="1" t="s">
        <v>51</v>
      </c>
      <c r="K5732" s="1" t="s">
        <v>64</v>
      </c>
      <c r="L5732" s="1" t="s">
        <v>29202</v>
      </c>
      <c r="M5732" s="2" t="s">
        <v>12</v>
      </c>
      <c r="N5732" s="4">
        <f t="shared" si="1"/>
        <v>42675</v>
      </c>
      <c r="O5732" s="5" t="str">
        <f>IFERROR(__xludf.DUMMYFUNCTION("IF(REGEXMATCH(TRIM(I5732), ""^\d+\s*min""), ""Unclassified"", IF(I5732 = """", ""NR"", I5732))"),"TV-MA")</f>
        <v>TV-MA</v>
      </c>
      <c r="R5732" s="5" t="str">
        <f t="shared" si="2"/>
        <v>Love Family</v>
      </c>
      <c r="S5732" s="5" t="str">
        <f>IFERROR(__xludf.DUMMYFUNCTION("""COMPUTED_VALUE"""),"Ralphie May: Unruly")</f>
        <v>Ralphie May: Unruly</v>
      </c>
      <c r="V5732" s="5"/>
      <c r="Y5732" s="5" t="str">
        <f>IFERROR(__xludf.DUMMYFUNCTION("REGEXEXTRACT(J5732, ""^\d+"")"),"1")</f>
        <v>1</v>
      </c>
      <c r="Z5732" s="5" t="str">
        <f>IFERROR(__xludf.DUMMYFUNCTION("REGEXEXTRACT(J5732, ""[A-Za-z ]+$"")")," Season")</f>
        <v> Season</v>
      </c>
      <c r="AA5732" s="5" t="str">
        <f>IFERROR(__xludf.DUMMYFUNCTION("IF(REGEXMATCH(Z5732, ""Season""), ""TV Show"", ""Movie"")"),"TV Show")</f>
        <v>TV Show</v>
      </c>
    </row>
    <row r="5733">
      <c r="A5733" s="1" t="s">
        <v>29203</v>
      </c>
      <c r="B5733" s="1" t="s">
        <v>37</v>
      </c>
      <c r="C5733" s="1" t="s">
        <v>29204</v>
      </c>
      <c r="E5733" s="1" t="s">
        <v>29205</v>
      </c>
      <c r="F5733" s="1" t="s">
        <v>2059</v>
      </c>
      <c r="G5733" s="1" t="s">
        <v>29185</v>
      </c>
      <c r="H5733" s="1">
        <v>2012.0</v>
      </c>
      <c r="I5733" s="1" t="s">
        <v>97</v>
      </c>
      <c r="J5733" s="1" t="s">
        <v>51</v>
      </c>
      <c r="K5733" s="1" t="s">
        <v>64</v>
      </c>
      <c r="L5733" s="1" t="s">
        <v>29206</v>
      </c>
      <c r="M5733" s="2" t="s">
        <v>12</v>
      </c>
      <c r="N5733" s="4">
        <f t="shared" si="1"/>
        <v>42675</v>
      </c>
      <c r="O5733" s="5" t="str">
        <f>IFERROR(__xludf.DUMMYFUNCTION("IF(REGEXMATCH(TRIM(I5733), ""^\d+\s*min""), ""Unclassified"", IF(I5733 = """", ""NR"", I5733))"),"TV-14")</f>
        <v>TV-14</v>
      </c>
      <c r="R5733" s="5" t="str">
        <f t="shared" si="2"/>
        <v>Love Me Or Leave Me</v>
      </c>
      <c r="S5733" s="5" t="str">
        <f>IFERROR(__xludf.DUMMYFUNCTION("""COMPUTED_VALUE"""),"Ram Dass, Going Home")</f>
        <v>Ram Dass, Going Home</v>
      </c>
      <c r="V5733" s="5"/>
      <c r="Y5733" s="5" t="str">
        <f>IFERROR(__xludf.DUMMYFUNCTION("REGEXEXTRACT(J5733, ""^\d+"")"),"1")</f>
        <v>1</v>
      </c>
      <c r="Z5733" s="5" t="str">
        <f>IFERROR(__xludf.DUMMYFUNCTION("REGEXEXTRACT(J5733, ""[A-Za-z ]+$"")")," Season")</f>
        <v> Season</v>
      </c>
      <c r="AA5733" s="5" t="str">
        <f>IFERROR(__xludf.DUMMYFUNCTION("IF(REGEXMATCH(Z5733, ""Season""), ""TV Show"", ""Movie"")"),"TV Show")</f>
        <v>TV Show</v>
      </c>
    </row>
    <row r="5734">
      <c r="A5734" s="1" t="s">
        <v>29207</v>
      </c>
      <c r="B5734" s="1" t="s">
        <v>37</v>
      </c>
      <c r="C5734" s="1" t="s">
        <v>29208</v>
      </c>
      <c r="E5734" s="1" t="s">
        <v>29209</v>
      </c>
      <c r="F5734" s="1" t="s">
        <v>2059</v>
      </c>
      <c r="G5734" s="1" t="s">
        <v>29185</v>
      </c>
      <c r="H5734" s="1">
        <v>2012.0</v>
      </c>
      <c r="I5734" s="1" t="s">
        <v>97</v>
      </c>
      <c r="J5734" s="1" t="s">
        <v>51</v>
      </c>
      <c r="K5734" s="1" t="s">
        <v>64</v>
      </c>
      <c r="L5734" s="1" t="s">
        <v>29210</v>
      </c>
      <c r="M5734" s="2" t="s">
        <v>12</v>
      </c>
      <c r="N5734" s="4">
        <f t="shared" si="1"/>
        <v>42675</v>
      </c>
      <c r="O5734" s="5" t="str">
        <f>IFERROR(__xludf.DUMMYFUNCTION("IF(REGEXMATCH(TRIM(I5734), ""^\d+\s*min""), ""Unclassified"", IF(I5734 = """", ""NR"", I5734))"),"TV-14")</f>
        <v>TV-14</v>
      </c>
      <c r="R5734" s="5" t="str">
        <f t="shared" si="2"/>
        <v>Love Now</v>
      </c>
      <c r="S5734" s="5" t="str">
        <f>IFERROR(__xludf.DUMMYFUNCTION("""COMPUTED_VALUE"""),"Ram Jaane")</f>
        <v>Ram Jaane</v>
      </c>
      <c r="V5734" s="5"/>
      <c r="Y5734" s="5" t="str">
        <f>IFERROR(__xludf.DUMMYFUNCTION("REGEXEXTRACT(J5734, ""^\d+"")"),"1")</f>
        <v>1</v>
      </c>
      <c r="Z5734" s="5" t="str">
        <f>IFERROR(__xludf.DUMMYFUNCTION("REGEXEXTRACT(J5734, ""[A-Za-z ]+$"")")," Season")</f>
        <v> Season</v>
      </c>
      <c r="AA5734" s="5" t="str">
        <f>IFERROR(__xludf.DUMMYFUNCTION("IF(REGEXMATCH(Z5734, ""Season""), ""TV Show"", ""Movie"")"),"TV Show")</f>
        <v>TV Show</v>
      </c>
    </row>
    <row r="5735">
      <c r="A5735" s="1" t="s">
        <v>29211</v>
      </c>
      <c r="B5735" s="1" t="s">
        <v>27</v>
      </c>
      <c r="C5735" s="1" t="s">
        <v>29212</v>
      </c>
      <c r="D5735" s="1" t="s">
        <v>9210</v>
      </c>
      <c r="E5735" s="1" t="s">
        <v>29213</v>
      </c>
      <c r="F5735" s="1" t="s">
        <v>30</v>
      </c>
      <c r="G5735" s="1" t="s">
        <v>29185</v>
      </c>
      <c r="H5735" s="1">
        <v>2016.0</v>
      </c>
      <c r="I5735" s="1" t="s">
        <v>42</v>
      </c>
      <c r="J5735" s="1" t="s">
        <v>79</v>
      </c>
      <c r="K5735" s="1" t="s">
        <v>34</v>
      </c>
      <c r="L5735" s="1" t="s">
        <v>29214</v>
      </c>
      <c r="M5735" s="2" t="s">
        <v>12</v>
      </c>
      <c r="N5735" s="4">
        <f t="shared" si="1"/>
        <v>42675</v>
      </c>
      <c r="O5735" s="5" t="str">
        <f>IFERROR(__xludf.DUMMYFUNCTION("IF(REGEXMATCH(TRIM(I5735), ""^\d+\s*min""), ""Unclassified"", IF(I5735 = """", ""NR"", I5735))"),"TV-MA")</f>
        <v>TV-MA</v>
      </c>
      <c r="R5735" s="5" t="str">
        <f t="shared" si="2"/>
        <v>Norman Lear: Just Another Version Of You</v>
      </c>
      <c r="S5735" s="5" t="str">
        <f>IFERROR(__xludf.DUMMYFUNCTION("""COMPUTED_VALUE"""),"Ram Prasad Ki Tehrvi")</f>
        <v>Ram Prasad Ki Tehrvi</v>
      </c>
      <c r="V5735" s="5"/>
      <c r="Y5735" s="5" t="str">
        <f>IFERROR(__xludf.DUMMYFUNCTION("REGEXEXTRACT(J5735, ""^\d+"")"),"91")</f>
        <v>91</v>
      </c>
      <c r="Z5735" s="5" t="str">
        <f>IFERROR(__xludf.DUMMYFUNCTION("REGEXEXTRACT(J5735, ""[A-Za-z ]+$"")")," min")</f>
        <v> min</v>
      </c>
      <c r="AA5735" s="5" t="str">
        <f>IFERROR(__xludf.DUMMYFUNCTION("IF(REGEXMATCH(Z5735, ""Season""), ""TV Show"", ""Movie"")"),"Movie")</f>
        <v>Movie</v>
      </c>
    </row>
    <row r="5736">
      <c r="A5736" s="1" t="s">
        <v>29215</v>
      </c>
      <c r="B5736" s="1" t="s">
        <v>27</v>
      </c>
      <c r="C5736" s="1" t="s">
        <v>29216</v>
      </c>
      <c r="D5736" s="1" t="s">
        <v>16340</v>
      </c>
      <c r="E5736" s="1" t="s">
        <v>29217</v>
      </c>
      <c r="G5736" s="1" t="s">
        <v>29185</v>
      </c>
      <c r="H5736" s="1">
        <v>2016.0</v>
      </c>
      <c r="I5736" s="1" t="s">
        <v>206</v>
      </c>
      <c r="J5736" s="1" t="s">
        <v>10890</v>
      </c>
      <c r="K5736" s="1" t="s">
        <v>2032</v>
      </c>
      <c r="L5736" s="1" t="s">
        <v>29218</v>
      </c>
      <c r="M5736" s="2" t="s">
        <v>12</v>
      </c>
      <c r="N5736" s="4">
        <f t="shared" si="1"/>
        <v>42675</v>
      </c>
      <c r="O5736" s="5" t="str">
        <f>IFERROR(__xludf.DUMMYFUNCTION("IF(REGEXMATCH(TRIM(I5736), ""^\d+\s*min""), ""Unclassified"", IF(I5736 = """", ""NR"", I5736))"),"TV-Y")</f>
        <v>TV-Y</v>
      </c>
      <c r="R5736" s="5" t="str">
        <f t="shared" si="2"/>
        <v>Santa Pac'S Merry Berry Day</v>
      </c>
      <c r="S5736" s="5" t="str">
        <f>IFERROR(__xludf.DUMMYFUNCTION("""COMPUTED_VALUE"""),"Ram Teri Ganga Maili")</f>
        <v>Ram Teri Ganga Maili</v>
      </c>
      <c r="V5736" s="5"/>
      <c r="Y5736" s="5" t="str">
        <f>IFERROR(__xludf.DUMMYFUNCTION("REGEXEXTRACT(J5736, ""^\d+"")"),"44")</f>
        <v>44</v>
      </c>
      <c r="Z5736" s="5" t="str">
        <f>IFERROR(__xludf.DUMMYFUNCTION("REGEXEXTRACT(J5736, ""[A-Za-z ]+$"")")," min")</f>
        <v> min</v>
      </c>
      <c r="AA5736" s="5" t="str">
        <f>IFERROR(__xludf.DUMMYFUNCTION("IF(REGEXMATCH(Z5736, ""Season""), ""TV Show"", ""Movie"")"),"Movie")</f>
        <v>Movie</v>
      </c>
    </row>
    <row r="5737">
      <c r="A5737" s="1" t="s">
        <v>29219</v>
      </c>
      <c r="B5737" s="1" t="s">
        <v>27</v>
      </c>
      <c r="C5737" s="1" t="s">
        <v>29220</v>
      </c>
      <c r="D5737" s="1" t="s">
        <v>7052</v>
      </c>
      <c r="E5737" s="1" t="s">
        <v>29221</v>
      </c>
      <c r="F5737" s="1" t="s">
        <v>784</v>
      </c>
      <c r="G5737" s="1" t="s">
        <v>29185</v>
      </c>
      <c r="H5737" s="1">
        <v>2015.0</v>
      </c>
      <c r="I5737" s="1" t="s">
        <v>42</v>
      </c>
      <c r="J5737" s="1" t="s">
        <v>1256</v>
      </c>
      <c r="K5737" s="1" t="s">
        <v>215</v>
      </c>
      <c r="L5737" s="1" t="s">
        <v>29222</v>
      </c>
      <c r="M5737" s="2" t="s">
        <v>12</v>
      </c>
      <c r="N5737" s="4">
        <f t="shared" si="1"/>
        <v>42675</v>
      </c>
      <c r="O5737" s="5" t="str">
        <f>IFERROR(__xludf.DUMMYFUNCTION("IF(REGEXMATCH(TRIM(I5737), ""^\d+\s*min""), ""Unclassified"", IF(I5737 = """", ""NR"", I5737))"),"TV-MA")</f>
        <v>TV-MA</v>
      </c>
      <c r="R5737" s="5" t="str">
        <f t="shared" si="2"/>
        <v>Spanish Affair 2</v>
      </c>
      <c r="S5737" s="5" t="str">
        <f>IFERROR(__xludf.DUMMYFUNCTION("""COMPUTED_VALUE"""),"Raman Raghav 2.0")</f>
        <v>Raman Raghav 2.0</v>
      </c>
      <c r="V5737" s="5"/>
      <c r="Y5737" s="5" t="str">
        <f>IFERROR(__xludf.DUMMYFUNCTION("REGEXEXTRACT(J5737, ""^\d+"")"),"107")</f>
        <v>107</v>
      </c>
      <c r="Z5737" s="5" t="str">
        <f>IFERROR(__xludf.DUMMYFUNCTION("REGEXEXTRACT(J5737, ""[A-Za-z ]+$"")")," min")</f>
        <v> min</v>
      </c>
      <c r="AA5737" s="5" t="str">
        <f>IFERROR(__xludf.DUMMYFUNCTION("IF(REGEXMATCH(Z5737, ""Season""), ""TV Show"", ""Movie"")"),"Movie")</f>
        <v>Movie</v>
      </c>
    </row>
    <row r="5738">
      <c r="A5738" s="1" t="s">
        <v>29223</v>
      </c>
      <c r="B5738" s="1" t="s">
        <v>27</v>
      </c>
      <c r="C5738" s="1" t="s">
        <v>29224</v>
      </c>
      <c r="D5738" s="1" t="s">
        <v>19533</v>
      </c>
      <c r="E5738" s="1" t="s">
        <v>29225</v>
      </c>
      <c r="F5738" s="1" t="s">
        <v>1106</v>
      </c>
      <c r="G5738" s="1" t="s">
        <v>29226</v>
      </c>
      <c r="H5738" s="1">
        <v>2016.0</v>
      </c>
      <c r="I5738" s="1" t="s">
        <v>770</v>
      </c>
      <c r="J5738" s="1" t="s">
        <v>665</v>
      </c>
      <c r="K5738" s="1" t="s">
        <v>137</v>
      </c>
      <c r="L5738" s="1" t="s">
        <v>29227</v>
      </c>
      <c r="M5738" s="2" t="s">
        <v>12</v>
      </c>
      <c r="N5738" s="4">
        <f t="shared" si="1"/>
        <v>42672</v>
      </c>
      <c r="O5738" s="5" t="str">
        <f>IFERROR(__xludf.DUMMYFUNCTION("IF(REGEXMATCH(TRIM(I5738), ""^\d+\s*min""), ""Unclassified"", IF(I5738 = """", ""NR"", I5738))"),"G")</f>
        <v>G</v>
      </c>
      <c r="R5738" s="5" t="str">
        <f t="shared" si="2"/>
        <v>Pup Star</v>
      </c>
      <c r="S5738" s="5" t="str">
        <f>IFERROR(__xludf.DUMMYFUNCTION("""COMPUTED_VALUE"""),"Ramayan")</f>
        <v>Ramayan</v>
      </c>
      <c r="V5738" s="5"/>
      <c r="Y5738" s="5" t="str">
        <f>IFERROR(__xludf.DUMMYFUNCTION("REGEXEXTRACT(J5738, ""^\d+"")"),"92")</f>
        <v>92</v>
      </c>
      <c r="Z5738" s="5" t="str">
        <f>IFERROR(__xludf.DUMMYFUNCTION("REGEXEXTRACT(J5738, ""[A-Za-z ]+$"")")," min")</f>
        <v> min</v>
      </c>
      <c r="AA5738" s="5" t="str">
        <f>IFERROR(__xludf.DUMMYFUNCTION("IF(REGEXMATCH(Z5738, ""Season""), ""TV Show"", ""Movie"")"),"Movie")</f>
        <v>Movie</v>
      </c>
    </row>
    <row r="5739">
      <c r="A5739" s="1" t="s">
        <v>29228</v>
      </c>
      <c r="B5739" s="1" t="s">
        <v>27</v>
      </c>
      <c r="C5739" s="1" t="s">
        <v>29229</v>
      </c>
      <c r="D5739" s="1" t="s">
        <v>17350</v>
      </c>
      <c r="E5739" s="1" t="s">
        <v>29230</v>
      </c>
      <c r="F5739" s="1" t="s">
        <v>1979</v>
      </c>
      <c r="G5739" s="1" t="s">
        <v>29231</v>
      </c>
      <c r="H5739" s="1">
        <v>2016.0</v>
      </c>
      <c r="I5739" s="1" t="s">
        <v>97</v>
      </c>
      <c r="J5739" s="1" t="s">
        <v>1191</v>
      </c>
      <c r="K5739" s="1" t="s">
        <v>1592</v>
      </c>
      <c r="L5739" s="1" t="s">
        <v>29232</v>
      </c>
      <c r="M5739" s="2" t="s">
        <v>12</v>
      </c>
      <c r="N5739" s="4">
        <f t="shared" si="1"/>
        <v>42671</v>
      </c>
      <c r="O5739" s="5" t="str">
        <f>IFERROR(__xludf.DUMMYFUNCTION("IF(REGEXMATCH(TRIM(I5739), ""^\d+\s*min""), ""Unclassified"", IF(I5739 = """", ""NR"", I5739))"),"TV-14")</f>
        <v>TV-14</v>
      </c>
      <c r="R5739" s="5" t="str">
        <f t="shared" si="2"/>
        <v>I Am The Pretty Thing That Lives In The House</v>
      </c>
      <c r="S5739" s="5" t="str">
        <f>IFERROR(__xludf.DUMMYFUNCTION("""COMPUTED_VALUE"""),"Ramen Shop")</f>
        <v>Ramen Shop</v>
      </c>
      <c r="V5739" s="5"/>
      <c r="Y5739" s="5" t="str">
        <f>IFERROR(__xludf.DUMMYFUNCTION("REGEXEXTRACT(J5739, ""^\d+"")"),"89")</f>
        <v>89</v>
      </c>
      <c r="Z5739" s="5" t="str">
        <f>IFERROR(__xludf.DUMMYFUNCTION("REGEXEXTRACT(J5739, ""[A-Za-z ]+$"")")," min")</f>
        <v> min</v>
      </c>
      <c r="AA5739" s="5" t="str">
        <f>IFERROR(__xludf.DUMMYFUNCTION("IF(REGEXMATCH(Z5739, ""Season""), ""TV Show"", ""Movie"")"),"Movie")</f>
        <v>Movie</v>
      </c>
    </row>
    <row r="5740">
      <c r="A5740" s="1" t="s">
        <v>29233</v>
      </c>
      <c r="B5740" s="1" t="s">
        <v>27</v>
      </c>
      <c r="C5740" s="1" t="s">
        <v>29234</v>
      </c>
      <c r="D5740" s="1" t="s">
        <v>23542</v>
      </c>
      <c r="E5740" s="1" t="s">
        <v>23542</v>
      </c>
      <c r="F5740" s="1" t="s">
        <v>29235</v>
      </c>
      <c r="G5740" s="1" t="s">
        <v>29231</v>
      </c>
      <c r="H5740" s="1">
        <v>2016.0</v>
      </c>
      <c r="I5740" s="1" t="s">
        <v>136</v>
      </c>
      <c r="J5740" s="1" t="s">
        <v>1256</v>
      </c>
      <c r="K5740" s="1" t="s">
        <v>34</v>
      </c>
      <c r="L5740" s="1" t="s">
        <v>29236</v>
      </c>
      <c r="M5740" s="2" t="s">
        <v>12</v>
      </c>
      <c r="N5740" s="4">
        <f t="shared" si="1"/>
        <v>42671</v>
      </c>
      <c r="O5740" s="5" t="str">
        <f>IFERROR(__xludf.DUMMYFUNCTION("IF(REGEXMATCH(TRIM(I5740), ""^\d+\s*min""), ""Unclassified"", IF(I5740 = """", ""NR"", I5740))"),"TV-PG")</f>
        <v>TV-PG</v>
      </c>
      <c r="R5740" s="5" t="str">
        <f t="shared" si="2"/>
        <v>Into The Inferno</v>
      </c>
      <c r="S5740" s="5" t="str">
        <f>IFERROR(__xludf.DUMMYFUNCTION("""COMPUTED_VALUE"""),"Ramji Londonwaley")</f>
        <v>Ramji Londonwaley</v>
      </c>
      <c r="V5740" s="5"/>
      <c r="Y5740" s="5" t="str">
        <f>IFERROR(__xludf.DUMMYFUNCTION("REGEXEXTRACT(J5740, ""^\d+"")"),"107")</f>
        <v>107</v>
      </c>
      <c r="Z5740" s="5" t="str">
        <f>IFERROR(__xludf.DUMMYFUNCTION("REGEXEXTRACT(J5740, ""[A-Za-z ]+$"")")," min")</f>
        <v> min</v>
      </c>
      <c r="AA5740" s="5" t="str">
        <f>IFERROR(__xludf.DUMMYFUNCTION("IF(REGEXMATCH(Z5740, ""Season""), ""TV Show"", ""Movie"")"),"Movie")</f>
        <v>Movie</v>
      </c>
    </row>
    <row r="5741">
      <c r="A5741" s="1" t="s">
        <v>29237</v>
      </c>
      <c r="B5741" s="1" t="s">
        <v>27</v>
      </c>
      <c r="C5741" s="1" t="s">
        <v>29238</v>
      </c>
      <c r="D5741" s="1" t="s">
        <v>12109</v>
      </c>
      <c r="E5741" s="1" t="s">
        <v>29239</v>
      </c>
      <c r="F5741" s="1" t="s">
        <v>664</v>
      </c>
      <c r="G5741" s="1" t="s">
        <v>29231</v>
      </c>
      <c r="H5741" s="1">
        <v>2016.0</v>
      </c>
      <c r="I5741" s="1" t="s">
        <v>97</v>
      </c>
      <c r="J5741" s="1" t="s">
        <v>170</v>
      </c>
      <c r="K5741" s="1" t="s">
        <v>583</v>
      </c>
      <c r="L5741" s="1" t="s">
        <v>29240</v>
      </c>
      <c r="M5741" s="2" t="s">
        <v>12</v>
      </c>
      <c r="N5741" s="4">
        <f t="shared" si="1"/>
        <v>42671</v>
      </c>
      <c r="O5741" s="5" t="str">
        <f>IFERROR(__xludf.DUMMYFUNCTION("IF(REGEXMATCH(TRIM(I5741), ""^\d+\s*min""), ""Unclassified"", IF(I5741 = """", ""NR"", I5741))"),"TV-14")</f>
        <v>TV-14</v>
      </c>
      <c r="R5741" s="5" t="str">
        <f t="shared" si="2"/>
        <v>The African Doctor</v>
      </c>
      <c r="S5741" s="5" t="str">
        <f>IFERROR(__xludf.DUMMYFUNCTION("""COMPUTED_VALUE"""),"Rampage: President Down")</f>
        <v>Rampage: President Down</v>
      </c>
      <c r="V5741" s="5"/>
      <c r="Y5741" s="5" t="str">
        <f>IFERROR(__xludf.DUMMYFUNCTION("REGEXEXTRACT(J5741, ""^\d+"")"),"94")</f>
        <v>94</v>
      </c>
      <c r="Z5741" s="5" t="str">
        <f>IFERROR(__xludf.DUMMYFUNCTION("REGEXEXTRACT(J5741, ""[A-Za-z ]+$"")")," min")</f>
        <v> min</v>
      </c>
      <c r="AA5741" s="5" t="str">
        <f>IFERROR(__xludf.DUMMYFUNCTION("IF(REGEXMATCH(Z5741, ""Season""), ""TV Show"", ""Movie"")"),"Movie")</f>
        <v>Movie</v>
      </c>
    </row>
    <row r="5742">
      <c r="A5742" s="1" t="s">
        <v>29241</v>
      </c>
      <c r="B5742" s="1" t="s">
        <v>27</v>
      </c>
      <c r="C5742" s="1" t="s">
        <v>29242</v>
      </c>
      <c r="D5742" s="1" t="s">
        <v>23951</v>
      </c>
      <c r="E5742" s="1" t="s">
        <v>29243</v>
      </c>
      <c r="F5742" s="1" t="s">
        <v>3217</v>
      </c>
      <c r="G5742" s="1" t="s">
        <v>29231</v>
      </c>
      <c r="H5742" s="1">
        <v>2016.0</v>
      </c>
      <c r="I5742" s="1" t="s">
        <v>42</v>
      </c>
      <c r="J5742" s="1" t="s">
        <v>297</v>
      </c>
      <c r="K5742" s="1" t="s">
        <v>199</v>
      </c>
      <c r="L5742" s="1" t="s">
        <v>29244</v>
      </c>
      <c r="M5742" s="2" t="s">
        <v>12</v>
      </c>
      <c r="N5742" s="4">
        <f t="shared" si="1"/>
        <v>42671</v>
      </c>
      <c r="O5742" s="5" t="str">
        <f>IFERROR(__xludf.DUMMYFUNCTION("IF(REGEXMATCH(TRIM(I5742), ""^\d+\s*min""), ""Unclassified"", IF(I5742 = """", ""NR"", I5742))"),"TV-MA")</f>
        <v>TV-MA</v>
      </c>
      <c r="R5742" s="5" t="str">
        <f t="shared" si="2"/>
        <v>They Are Everywhere</v>
      </c>
      <c r="S5742" s="5" t="str">
        <f>IFERROR(__xludf.DUMMYFUNCTION("""COMPUTED_VALUE"""),"Rampant")</f>
        <v>Rampant</v>
      </c>
      <c r="V5742" s="5"/>
      <c r="Y5742" s="5" t="str">
        <f>IFERROR(__xludf.DUMMYFUNCTION("REGEXEXTRACT(J5742, ""^\d+"")"),"110")</f>
        <v>110</v>
      </c>
      <c r="Z5742" s="5" t="str">
        <f>IFERROR(__xludf.DUMMYFUNCTION("REGEXEXTRACT(J5742, ""[A-Za-z ]+$"")")," min")</f>
        <v> min</v>
      </c>
      <c r="AA5742" s="5" t="str">
        <f>IFERROR(__xludf.DUMMYFUNCTION("IF(REGEXMATCH(Z5742, ""Season""), ""TV Show"", ""Movie"")"),"Movie")</f>
        <v>Movie</v>
      </c>
    </row>
    <row r="5743">
      <c r="A5743" s="1" t="s">
        <v>29245</v>
      </c>
      <c r="B5743" s="1" t="s">
        <v>37</v>
      </c>
      <c r="C5743" s="1" t="s">
        <v>29246</v>
      </c>
      <c r="E5743" s="1" t="s">
        <v>16094</v>
      </c>
      <c r="F5743" s="1" t="s">
        <v>1106</v>
      </c>
      <c r="G5743" s="1" t="s">
        <v>29231</v>
      </c>
      <c r="H5743" s="1">
        <v>2016.0</v>
      </c>
      <c r="I5743" s="1" t="s">
        <v>42</v>
      </c>
      <c r="J5743" s="1" t="s">
        <v>51</v>
      </c>
      <c r="K5743" s="1" t="s">
        <v>1294</v>
      </c>
      <c r="L5743" s="1" t="s">
        <v>29247</v>
      </c>
      <c r="M5743" s="2" t="s">
        <v>12</v>
      </c>
      <c r="N5743" s="4">
        <f t="shared" si="1"/>
        <v>42671</v>
      </c>
      <c r="O5743" s="5" t="str">
        <f>IFERROR(__xludf.DUMMYFUNCTION("IF(REGEXMATCH(TRIM(I5743), ""^\d+\s*min""), ""Unclassified"", IF(I5743 = """", ""NR"", I5743))"),"TV-MA")</f>
        <v>TV-MA</v>
      </c>
      <c r="R5743" s="5" t="str">
        <f t="shared" si="2"/>
        <v>Trailer Park Boys: Out Of The Park: Europe</v>
      </c>
      <c r="S5743" s="5" t="str">
        <f>IFERROR(__xludf.DUMMYFUNCTION("""COMPUTED_VALUE"""),"Ranbhool")</f>
        <v>Ranbhool</v>
      </c>
      <c r="V5743" s="5"/>
      <c r="Y5743" s="5" t="str">
        <f>IFERROR(__xludf.DUMMYFUNCTION("REGEXEXTRACT(J5743, ""^\d+"")"),"1")</f>
        <v>1</v>
      </c>
      <c r="Z5743" s="5" t="str">
        <f>IFERROR(__xludf.DUMMYFUNCTION("REGEXEXTRACT(J5743, ""[A-Za-z ]+$"")")," Season")</f>
        <v> Season</v>
      </c>
      <c r="AA5743" s="5" t="str">
        <f>IFERROR(__xludf.DUMMYFUNCTION("IF(REGEXMATCH(Z5743, ""Season""), ""TV Show"", ""Movie"")"),"TV Show")</f>
        <v>TV Show</v>
      </c>
    </row>
    <row r="5744">
      <c r="A5744" s="1" t="s">
        <v>29248</v>
      </c>
      <c r="B5744" s="1" t="s">
        <v>27</v>
      </c>
      <c r="C5744" s="1" t="s">
        <v>29249</v>
      </c>
      <c r="D5744" s="1" t="s">
        <v>3255</v>
      </c>
      <c r="E5744" s="1" t="s">
        <v>29250</v>
      </c>
      <c r="F5744" s="1" t="s">
        <v>664</v>
      </c>
      <c r="G5744" s="1" t="s">
        <v>29231</v>
      </c>
      <c r="H5744" s="1">
        <v>2016.0</v>
      </c>
      <c r="I5744" s="1" t="s">
        <v>42</v>
      </c>
      <c r="J5744" s="1" t="s">
        <v>2452</v>
      </c>
      <c r="K5744" s="1" t="s">
        <v>583</v>
      </c>
      <c r="L5744" s="1" t="s">
        <v>29251</v>
      </c>
      <c r="M5744" s="2" t="s">
        <v>12</v>
      </c>
      <c r="N5744" s="4">
        <f t="shared" si="1"/>
        <v>42671</v>
      </c>
      <c r="O5744" s="5" t="str">
        <f>IFERROR(__xludf.DUMMYFUNCTION("IF(REGEXMATCH(TRIM(I5744), ""^\d+\s*min""), ""Unclassified"", IF(I5744 = """", ""NR"", I5744))"),"TV-MA")</f>
        <v>TV-MA</v>
      </c>
      <c r="R5744" s="5" t="str">
        <f t="shared" si="2"/>
        <v>West Coast</v>
      </c>
      <c r="S5744" s="5" t="str">
        <f>IFERROR(__xludf.DUMMYFUNCTION("""COMPUTED_VALUE"""),"Rang De Basanti")</f>
        <v>Rang De Basanti</v>
      </c>
      <c r="V5744" s="5"/>
      <c r="Y5744" s="5" t="str">
        <f>IFERROR(__xludf.DUMMYFUNCTION("REGEXEXTRACT(J5744, ""^\d+"")"),"81")</f>
        <v>81</v>
      </c>
      <c r="Z5744" s="5" t="str">
        <f>IFERROR(__xludf.DUMMYFUNCTION("REGEXEXTRACT(J5744, ""[A-Za-z ]+$"")")," min")</f>
        <v> min</v>
      </c>
      <c r="AA5744" s="5" t="str">
        <f>IFERROR(__xludf.DUMMYFUNCTION("IF(REGEXMATCH(Z5744, ""Season""), ""TV Show"", ""Movie"")"),"Movie")</f>
        <v>Movie</v>
      </c>
    </row>
    <row r="5745">
      <c r="A5745" s="1" t="s">
        <v>29252</v>
      </c>
      <c r="B5745" s="1" t="s">
        <v>27</v>
      </c>
      <c r="C5745" s="1" t="s">
        <v>29253</v>
      </c>
      <c r="D5745" s="1" t="s">
        <v>19690</v>
      </c>
      <c r="E5745" s="1" t="s">
        <v>29254</v>
      </c>
      <c r="F5745" s="1" t="s">
        <v>784</v>
      </c>
      <c r="G5745" s="1" t="s">
        <v>29255</v>
      </c>
      <c r="H5745" s="1">
        <v>2016.0</v>
      </c>
      <c r="I5745" s="1" t="s">
        <v>42</v>
      </c>
      <c r="J5745" s="1" t="s">
        <v>4558</v>
      </c>
      <c r="K5745" s="1" t="s">
        <v>128</v>
      </c>
      <c r="L5745" s="1" t="s">
        <v>29256</v>
      </c>
      <c r="M5745" s="2" t="s">
        <v>12</v>
      </c>
      <c r="N5745" s="4">
        <f t="shared" si="1"/>
        <v>42670</v>
      </c>
      <c r="O5745" s="5" t="str">
        <f>IFERROR(__xludf.DUMMYFUNCTION("IF(REGEXMATCH(TRIM(I5745), ""^\d+\s*min""), ""Unclassified"", IF(I5745 = """", ""NR"", I5745))"),"TV-MA")</f>
        <v>TV-MA</v>
      </c>
      <c r="R5745" s="5" t="str">
        <f t="shared" si="2"/>
        <v>7 Años</v>
      </c>
      <c r="S5745" s="5" t="str">
        <f>IFERROR(__xludf.DUMMYFUNCTION("""COMPUTED_VALUE"""),"Rango")</f>
        <v>Rango</v>
      </c>
      <c r="V5745" s="5"/>
      <c r="Y5745" s="5" t="str">
        <f>IFERROR(__xludf.DUMMYFUNCTION("REGEXEXTRACT(J5745, ""^\d+"")"),"77")</f>
        <v>77</v>
      </c>
      <c r="Z5745" s="5" t="str">
        <f>IFERROR(__xludf.DUMMYFUNCTION("REGEXEXTRACT(J5745, ""[A-Za-z ]+$"")")," min")</f>
        <v> min</v>
      </c>
      <c r="AA5745" s="5" t="str">
        <f>IFERROR(__xludf.DUMMYFUNCTION("IF(REGEXMATCH(Z5745, ""Season""), ""TV Show"", ""Movie"")"),"Movie")</f>
        <v>Movie</v>
      </c>
    </row>
    <row r="5746">
      <c r="A5746" s="1" t="s">
        <v>29257</v>
      </c>
      <c r="B5746" s="1" t="s">
        <v>37</v>
      </c>
      <c r="C5746" s="1" t="s">
        <v>29258</v>
      </c>
      <c r="E5746" s="1" t="s">
        <v>29259</v>
      </c>
      <c r="F5746" s="1" t="s">
        <v>30</v>
      </c>
      <c r="G5746" s="1" t="s">
        <v>29260</v>
      </c>
      <c r="H5746" s="1">
        <v>2016.0</v>
      </c>
      <c r="I5746" s="1" t="s">
        <v>42</v>
      </c>
      <c r="J5746" s="1" t="s">
        <v>51</v>
      </c>
      <c r="K5746" s="1" t="s">
        <v>6314</v>
      </c>
      <c r="L5746" s="1" t="s">
        <v>29261</v>
      </c>
      <c r="M5746" s="2" t="s">
        <v>12</v>
      </c>
      <c r="N5746" s="4">
        <f t="shared" si="1"/>
        <v>42664</v>
      </c>
      <c r="O5746" s="5" t="str">
        <f>IFERROR(__xludf.DUMMYFUNCTION("IF(REGEXMATCH(TRIM(I5746), ""^\d+\s*min""), ""Unclassified"", IF(I5746 = """", ""NR"", I5746))"),"TV-MA")</f>
        <v>TV-MA</v>
      </c>
      <c r="R5746" s="5" t="str">
        <f t="shared" si="2"/>
        <v>Containment</v>
      </c>
      <c r="S5746" s="5" t="str">
        <f>IFERROR(__xludf.DUMMYFUNCTION("""COMPUTED_VALUE"""),"Rangoon")</f>
        <v>Rangoon</v>
      </c>
      <c r="V5746" s="5"/>
      <c r="Y5746" s="5" t="str">
        <f>IFERROR(__xludf.DUMMYFUNCTION("REGEXEXTRACT(J5746, ""^\d+"")"),"1")</f>
        <v>1</v>
      </c>
      <c r="Z5746" s="5" t="str">
        <f>IFERROR(__xludf.DUMMYFUNCTION("REGEXEXTRACT(J5746, ""[A-Za-z ]+$"")")," Season")</f>
        <v> Season</v>
      </c>
      <c r="AA5746" s="5" t="str">
        <f>IFERROR(__xludf.DUMMYFUNCTION("IF(REGEXMATCH(Z5746, ""Season""), ""TV Show"", ""Movie"")"),"TV Show")</f>
        <v>TV Show</v>
      </c>
    </row>
    <row r="5747">
      <c r="A5747" s="1" t="s">
        <v>29262</v>
      </c>
      <c r="B5747" s="1" t="s">
        <v>27</v>
      </c>
      <c r="C5747" s="1" t="s">
        <v>29263</v>
      </c>
      <c r="D5747" s="1" t="s">
        <v>2256</v>
      </c>
      <c r="E5747" s="1" t="s">
        <v>24137</v>
      </c>
      <c r="F5747" s="1" t="s">
        <v>30</v>
      </c>
      <c r="G5747" s="1" t="s">
        <v>29260</v>
      </c>
      <c r="H5747" s="1">
        <v>2016.0</v>
      </c>
      <c r="I5747" s="1" t="s">
        <v>42</v>
      </c>
      <c r="J5747" s="1" t="s">
        <v>1838</v>
      </c>
      <c r="K5747" s="1" t="s">
        <v>1839</v>
      </c>
      <c r="L5747" s="1" t="s">
        <v>29264</v>
      </c>
      <c r="M5747" s="2" t="s">
        <v>12</v>
      </c>
      <c r="N5747" s="4">
        <f t="shared" si="1"/>
        <v>42664</v>
      </c>
      <c r="O5747" s="5" t="str">
        <f>IFERROR(__xludf.DUMMYFUNCTION("IF(REGEXMATCH(TRIM(I5747), ""^\d+\s*min""), ""Unclassified"", IF(I5747 = """", ""NR"", I5747))"),"TV-MA")</f>
        <v>TV-MA</v>
      </c>
      <c r="R5747" s="5" t="str">
        <f t="shared" si="2"/>
        <v>Joe Rogan: Triggered</v>
      </c>
      <c r="S5747" s="5" t="str">
        <f>IFERROR(__xludf.DUMMYFUNCTION("""COMPUTED_VALUE"""),"Rangreza")</f>
        <v>Rangreza</v>
      </c>
      <c r="V5747" s="5"/>
      <c r="Y5747" s="5" t="str">
        <f>IFERROR(__xludf.DUMMYFUNCTION("REGEXEXTRACT(J5747, ""^\d+"")"),"64")</f>
        <v>64</v>
      </c>
      <c r="Z5747" s="5" t="str">
        <f>IFERROR(__xludf.DUMMYFUNCTION("REGEXEXTRACT(J5747, ""[A-Za-z ]+$"")")," min")</f>
        <v> min</v>
      </c>
      <c r="AA5747" s="5" t="str">
        <f>IFERROR(__xludf.DUMMYFUNCTION("IF(REGEXMATCH(Z5747, ""Season""), ""TV Show"", ""Movie"")"),"Movie")</f>
        <v>Movie</v>
      </c>
    </row>
    <row r="5748">
      <c r="A5748" s="1" t="s">
        <v>29265</v>
      </c>
      <c r="B5748" s="1" t="s">
        <v>27</v>
      </c>
      <c r="C5748" s="1" t="s">
        <v>29266</v>
      </c>
      <c r="D5748" s="1" t="s">
        <v>22444</v>
      </c>
      <c r="E5748" s="1" t="s">
        <v>29267</v>
      </c>
      <c r="F5748" s="1" t="s">
        <v>664</v>
      </c>
      <c r="G5748" s="1" t="s">
        <v>29268</v>
      </c>
      <c r="H5748" s="1">
        <v>2016.0</v>
      </c>
      <c r="I5748" s="1" t="s">
        <v>42</v>
      </c>
      <c r="J5748" s="1" t="s">
        <v>247</v>
      </c>
      <c r="K5748" s="1" t="s">
        <v>6624</v>
      </c>
      <c r="L5748" s="1" t="s">
        <v>29269</v>
      </c>
      <c r="M5748" s="2" t="s">
        <v>12</v>
      </c>
      <c r="N5748" s="4">
        <f t="shared" si="1"/>
        <v>42658</v>
      </c>
      <c r="O5748" s="5" t="str">
        <f>IFERROR(__xludf.DUMMYFUNCTION("IF(REGEXMATCH(TRIM(I5748), ""^\d+\s*min""), ""Unclassified"", IF(I5748 = """", ""NR"", I5748))"),"TV-MA")</f>
        <v>TV-MA</v>
      </c>
      <c r="R5748" s="5" t="str">
        <f t="shared" si="2"/>
        <v>A Mighty Team</v>
      </c>
      <c r="S5748" s="5" t="str">
        <f>IFERROR(__xludf.DUMMYFUNCTION("""COMPUTED_VALUE"""),"Rapture")</f>
        <v>Rapture</v>
      </c>
      <c r="V5748" s="5"/>
      <c r="Y5748" s="5" t="str">
        <f>IFERROR(__xludf.DUMMYFUNCTION("REGEXEXTRACT(J5748, ""^\d+"")"),"97")</f>
        <v>97</v>
      </c>
      <c r="Z5748" s="5" t="str">
        <f>IFERROR(__xludf.DUMMYFUNCTION("REGEXEXTRACT(J5748, ""[A-Za-z ]+$"")")," min")</f>
        <v> min</v>
      </c>
      <c r="AA5748" s="5" t="str">
        <f>IFERROR(__xludf.DUMMYFUNCTION("IF(REGEXMATCH(Z5748, ""Season""), ""TV Show"", ""Movie"")"),"Movie")</f>
        <v>Movie</v>
      </c>
    </row>
    <row r="5749">
      <c r="A5749" s="1" t="s">
        <v>29270</v>
      </c>
      <c r="B5749" s="1" t="s">
        <v>27</v>
      </c>
      <c r="C5749" s="1" t="s">
        <v>29271</v>
      </c>
      <c r="D5749" s="1" t="s">
        <v>22864</v>
      </c>
      <c r="E5749" s="1" t="s">
        <v>29272</v>
      </c>
      <c r="F5749" s="1" t="s">
        <v>415</v>
      </c>
      <c r="G5749" s="1" t="s">
        <v>29268</v>
      </c>
      <c r="H5749" s="1">
        <v>2012.0</v>
      </c>
      <c r="I5749" s="1" t="s">
        <v>42</v>
      </c>
      <c r="J5749" s="1" t="s">
        <v>4558</v>
      </c>
      <c r="K5749" s="1" t="s">
        <v>417</v>
      </c>
      <c r="L5749" s="1" t="s">
        <v>29273</v>
      </c>
      <c r="M5749" s="2" t="s">
        <v>12</v>
      </c>
      <c r="N5749" s="4">
        <f t="shared" si="1"/>
        <v>42658</v>
      </c>
      <c r="O5749" s="5" t="str">
        <f>IFERROR(__xludf.DUMMYFUNCTION("IF(REGEXMATCH(TRIM(I5749), ""^\d+\s*min""), ""Unclassified"", IF(I5749 = """", ""NR"", I5749))"),"TV-MA")</f>
        <v>TV-MA</v>
      </c>
      <c r="R5749" s="5" t="str">
        <f t="shared" si="2"/>
        <v>Berserk: The Golden Age Arc I - The Egg Of The King</v>
      </c>
      <c r="S5749" s="5" t="str">
        <f>IFERROR(__xludf.DUMMYFUNCTION("""COMPUTED_VALUE"""),"Rascal Does Not Dream Of Bunny Girl Senpai")</f>
        <v>Rascal Does Not Dream Of Bunny Girl Senpai</v>
      </c>
      <c r="V5749" s="5"/>
      <c r="Y5749" s="5" t="str">
        <f>IFERROR(__xludf.DUMMYFUNCTION("REGEXEXTRACT(J5749, ""^\d+"")"),"77")</f>
        <v>77</v>
      </c>
      <c r="Z5749" s="5" t="str">
        <f>IFERROR(__xludf.DUMMYFUNCTION("REGEXEXTRACT(J5749, ""[A-Za-z ]+$"")")," min")</f>
        <v> min</v>
      </c>
      <c r="AA5749" s="5" t="str">
        <f>IFERROR(__xludf.DUMMYFUNCTION("IF(REGEXMATCH(Z5749, ""Season""), ""TV Show"", ""Movie"")"),"Movie")</f>
        <v>Movie</v>
      </c>
    </row>
    <row r="5750">
      <c r="A5750" s="1" t="s">
        <v>29274</v>
      </c>
      <c r="B5750" s="1" t="s">
        <v>27</v>
      </c>
      <c r="C5750" s="1" t="s">
        <v>29275</v>
      </c>
      <c r="D5750" s="1" t="s">
        <v>17064</v>
      </c>
      <c r="E5750" s="1" t="s">
        <v>29276</v>
      </c>
      <c r="F5750" s="1" t="s">
        <v>415</v>
      </c>
      <c r="G5750" s="1" t="s">
        <v>29268</v>
      </c>
      <c r="H5750" s="1">
        <v>2008.0</v>
      </c>
      <c r="I5750" s="1" t="s">
        <v>136</v>
      </c>
      <c r="J5750" s="1" t="s">
        <v>170</v>
      </c>
      <c r="K5750" s="1" t="s">
        <v>25292</v>
      </c>
      <c r="L5750" s="1" t="s">
        <v>29277</v>
      </c>
      <c r="M5750" s="2" t="s">
        <v>12</v>
      </c>
      <c r="N5750" s="4">
        <f t="shared" si="1"/>
        <v>42658</v>
      </c>
      <c r="O5750" s="5" t="str">
        <f>IFERROR(__xludf.DUMMYFUNCTION("IF(REGEXMATCH(TRIM(I5750), ""^\d+\s*min""), ""Unclassified"", IF(I5750 = """", ""NR"", I5750))"),"TV-PG")</f>
        <v>TV-PG</v>
      </c>
      <c r="R5750" s="5" t="str">
        <f t="shared" si="2"/>
        <v>Bleach The Movie: Fade To Black</v>
      </c>
      <c r="S5750" s="5" t="str">
        <f>IFERROR(__xludf.DUMMYFUNCTION("""COMPUTED_VALUE"""),"Ratched")</f>
        <v>Ratched</v>
      </c>
      <c r="V5750" s="5"/>
      <c r="Y5750" s="5" t="str">
        <f>IFERROR(__xludf.DUMMYFUNCTION("REGEXEXTRACT(J5750, ""^\d+"")"),"94")</f>
        <v>94</v>
      </c>
      <c r="Z5750" s="5" t="str">
        <f>IFERROR(__xludf.DUMMYFUNCTION("REGEXEXTRACT(J5750, ""[A-Za-z ]+$"")")," min")</f>
        <v> min</v>
      </c>
      <c r="AA5750" s="5" t="str">
        <f>IFERROR(__xludf.DUMMYFUNCTION("IF(REGEXMATCH(Z5750, ""Season""), ""TV Show"", ""Movie"")"),"Movie")</f>
        <v>Movie</v>
      </c>
    </row>
    <row r="5751">
      <c r="A5751" s="1" t="s">
        <v>29278</v>
      </c>
      <c r="B5751" s="1" t="s">
        <v>27</v>
      </c>
      <c r="C5751" s="1" t="s">
        <v>29279</v>
      </c>
      <c r="D5751" s="1" t="s">
        <v>17064</v>
      </c>
      <c r="E5751" s="1" t="s">
        <v>29280</v>
      </c>
      <c r="F5751" s="1" t="s">
        <v>415</v>
      </c>
      <c r="G5751" s="1" t="s">
        <v>29268</v>
      </c>
      <c r="H5751" s="1">
        <v>2010.0</v>
      </c>
      <c r="I5751" s="1" t="s">
        <v>97</v>
      </c>
      <c r="J5751" s="1" t="s">
        <v>170</v>
      </c>
      <c r="K5751" s="1" t="s">
        <v>25292</v>
      </c>
      <c r="L5751" s="1" t="s">
        <v>29281</v>
      </c>
      <c r="M5751" s="2" t="s">
        <v>12</v>
      </c>
      <c r="N5751" s="4">
        <f t="shared" si="1"/>
        <v>42658</v>
      </c>
      <c r="O5751" s="5" t="str">
        <f>IFERROR(__xludf.DUMMYFUNCTION("IF(REGEXMATCH(TRIM(I5751), ""^\d+\s*min""), ""Unclassified"", IF(I5751 = """", ""NR"", I5751))"),"TV-14")</f>
        <v>TV-14</v>
      </c>
      <c r="R5751" s="5" t="str">
        <f t="shared" si="2"/>
        <v>Bleach The Movie: Hell Verse</v>
      </c>
      <c r="S5751" s="5" t="str">
        <f>IFERROR(__xludf.DUMMYFUNCTION("""COMPUTED_VALUE"""),"Ratchet And Clank")</f>
        <v>Ratchet And Clank</v>
      </c>
      <c r="V5751" s="5"/>
      <c r="Y5751" s="5" t="str">
        <f>IFERROR(__xludf.DUMMYFUNCTION("REGEXEXTRACT(J5751, ""^\d+"")"),"94")</f>
        <v>94</v>
      </c>
      <c r="Z5751" s="5" t="str">
        <f>IFERROR(__xludf.DUMMYFUNCTION("REGEXEXTRACT(J5751, ""[A-Za-z ]+$"")")," min")</f>
        <v> min</v>
      </c>
      <c r="AA5751" s="5" t="str">
        <f>IFERROR(__xludf.DUMMYFUNCTION("IF(REGEXMATCH(Z5751, ""Season""), ""TV Show"", ""Movie"")"),"Movie")</f>
        <v>Movie</v>
      </c>
    </row>
    <row r="5752">
      <c r="A5752" s="1" t="s">
        <v>29282</v>
      </c>
      <c r="B5752" s="1" t="s">
        <v>27</v>
      </c>
      <c r="C5752" s="1" t="s">
        <v>29283</v>
      </c>
      <c r="D5752" s="1" t="s">
        <v>5107</v>
      </c>
      <c r="E5752" s="1" t="s">
        <v>29284</v>
      </c>
      <c r="F5752" s="1" t="s">
        <v>664</v>
      </c>
      <c r="G5752" s="1" t="s">
        <v>29268</v>
      </c>
      <c r="H5752" s="1">
        <v>2015.0</v>
      </c>
      <c r="I5752" s="1" t="s">
        <v>97</v>
      </c>
      <c r="J5752" s="1" t="s">
        <v>79</v>
      </c>
      <c r="K5752" s="1" t="s">
        <v>230</v>
      </c>
      <c r="L5752" s="1" t="s">
        <v>29285</v>
      </c>
      <c r="M5752" s="2" t="s">
        <v>12</v>
      </c>
      <c r="N5752" s="4">
        <f t="shared" si="1"/>
        <v>42658</v>
      </c>
      <c r="O5752" s="5" t="str">
        <f>IFERROR(__xludf.DUMMYFUNCTION("IF(REGEXMATCH(TRIM(I5752), ""^\d+\s*min""), ""Unclassified"", IF(I5752 = """", ""NR"", I5752))"),"TV-14")</f>
        <v>TV-14</v>
      </c>
      <c r="R5752" s="5" t="str">
        <f t="shared" si="2"/>
        <v>Blind Date</v>
      </c>
      <c r="S5752" s="5" t="str">
        <f>IFERROR(__xludf.DUMMYFUNCTION("""COMPUTED_VALUE"""),"Ratones Paranoicos: The Band That Rocked Argentina")</f>
        <v>Ratones Paranoicos: The Band That Rocked Argentina</v>
      </c>
      <c r="V5752" s="5"/>
      <c r="Y5752" s="5" t="str">
        <f>IFERROR(__xludf.DUMMYFUNCTION("REGEXEXTRACT(J5752, ""^\d+"")"),"91")</f>
        <v>91</v>
      </c>
      <c r="Z5752" s="5" t="str">
        <f>IFERROR(__xludf.DUMMYFUNCTION("REGEXEXTRACT(J5752, ""[A-Za-z ]+$"")")," min")</f>
        <v> min</v>
      </c>
      <c r="AA5752" s="5" t="str">
        <f>IFERROR(__xludf.DUMMYFUNCTION("IF(REGEXMATCH(Z5752, ""Season""), ""TV Show"", ""Movie"")"),"Movie")</f>
        <v>Movie</v>
      </c>
    </row>
    <row r="5753">
      <c r="A5753" s="1" t="s">
        <v>29286</v>
      </c>
      <c r="B5753" s="1" t="s">
        <v>37</v>
      </c>
      <c r="C5753" s="1" t="s">
        <v>29287</v>
      </c>
      <c r="E5753" s="1" t="s">
        <v>29288</v>
      </c>
      <c r="F5753" s="1" t="s">
        <v>415</v>
      </c>
      <c r="G5753" s="1" t="s">
        <v>29268</v>
      </c>
      <c r="H5753" s="1">
        <v>2006.0</v>
      </c>
      <c r="I5753" s="1" t="s">
        <v>97</v>
      </c>
      <c r="J5753" s="1" t="s">
        <v>51</v>
      </c>
      <c r="K5753" s="1" t="s">
        <v>3858</v>
      </c>
      <c r="L5753" s="1" t="s">
        <v>29289</v>
      </c>
      <c r="M5753" s="2" t="s">
        <v>12</v>
      </c>
      <c r="N5753" s="4">
        <f t="shared" si="1"/>
        <v>42658</v>
      </c>
      <c r="O5753" s="5" t="str">
        <f>IFERROR(__xludf.DUMMYFUNCTION("IF(REGEXMATCH(TRIM(I5753), ""^\d+\s*min""), ""Unclassified"", IF(I5753 = """", ""NR"", I5753))"),"TV-14")</f>
        <v>TV-14</v>
      </c>
      <c r="R5753" s="5" t="str">
        <f t="shared" si="2"/>
        <v>Death Note</v>
      </c>
      <c r="S5753" s="5" t="str">
        <f>IFERROR(__xludf.DUMMYFUNCTION("""COMPUTED_VALUE"""),"Rats")</f>
        <v>Rats</v>
      </c>
      <c r="V5753" s="5"/>
      <c r="Y5753" s="5" t="str">
        <f>IFERROR(__xludf.DUMMYFUNCTION("REGEXEXTRACT(J5753, ""^\d+"")"),"1")</f>
        <v>1</v>
      </c>
      <c r="Z5753" s="5" t="str">
        <f>IFERROR(__xludf.DUMMYFUNCTION("REGEXEXTRACT(J5753, ""[A-Za-z ]+$"")")," Season")</f>
        <v> Season</v>
      </c>
      <c r="AA5753" s="5" t="str">
        <f>IFERROR(__xludf.DUMMYFUNCTION("IF(REGEXMATCH(Z5753, ""Season""), ""TV Show"", ""Movie"")"),"TV Show")</f>
        <v>TV Show</v>
      </c>
    </row>
    <row r="5754">
      <c r="A5754" s="1" t="s">
        <v>29290</v>
      </c>
      <c r="B5754" s="1" t="s">
        <v>37</v>
      </c>
      <c r="C5754" s="1" t="s">
        <v>29291</v>
      </c>
      <c r="E5754" s="1" t="s">
        <v>29292</v>
      </c>
      <c r="F5754" s="1" t="s">
        <v>18004</v>
      </c>
      <c r="G5754" s="1" t="s">
        <v>29268</v>
      </c>
      <c r="H5754" s="1">
        <v>2015.0</v>
      </c>
      <c r="I5754" s="1" t="s">
        <v>42</v>
      </c>
      <c r="J5754" s="1" t="s">
        <v>51</v>
      </c>
      <c r="K5754" s="1" t="s">
        <v>1362</v>
      </c>
      <c r="L5754" s="1" t="s">
        <v>29293</v>
      </c>
      <c r="M5754" s="2" t="s">
        <v>12</v>
      </c>
      <c r="N5754" s="4">
        <f t="shared" si="1"/>
        <v>42658</v>
      </c>
      <c r="O5754" s="5" t="str">
        <f>IFERROR(__xludf.DUMMYFUNCTION("IF(REGEXMATCH(TRIM(I5754), ""^\d+\s*min""), ""Unclassified"", IF(I5754 = """", ""NR"", I5754))"),"TV-MA")</f>
        <v>TV-MA</v>
      </c>
      <c r="R5754" s="5" t="str">
        <f t="shared" si="2"/>
        <v>Spotless</v>
      </c>
      <c r="S5754" s="5" t="str">
        <f>IFERROR(__xludf.DUMMYFUNCTION("""COMPUTED_VALUE"""),"Rattlesnake")</f>
        <v>Rattlesnake</v>
      </c>
      <c r="V5754" s="5"/>
      <c r="Y5754" s="5" t="str">
        <f>IFERROR(__xludf.DUMMYFUNCTION("REGEXEXTRACT(J5754, ""^\d+"")"),"1")</f>
        <v>1</v>
      </c>
      <c r="Z5754" s="5" t="str">
        <f>IFERROR(__xludf.DUMMYFUNCTION("REGEXEXTRACT(J5754, ""[A-Za-z ]+$"")")," Season")</f>
        <v> Season</v>
      </c>
      <c r="AA5754" s="5" t="str">
        <f>IFERROR(__xludf.DUMMYFUNCTION("IF(REGEXMATCH(Z5754, ""Season""), ""TV Show"", ""Movie"")"),"TV Show")</f>
        <v>TV Show</v>
      </c>
    </row>
    <row r="5755">
      <c r="A5755" s="1" t="s">
        <v>29294</v>
      </c>
      <c r="B5755" s="1" t="s">
        <v>37</v>
      </c>
      <c r="C5755" s="1" t="s">
        <v>29295</v>
      </c>
      <c r="E5755" s="1" t="s">
        <v>29296</v>
      </c>
      <c r="F5755" s="1" t="s">
        <v>415</v>
      </c>
      <c r="G5755" s="1" t="s">
        <v>29268</v>
      </c>
      <c r="H5755" s="1">
        <v>2008.0</v>
      </c>
      <c r="I5755" s="1" t="s">
        <v>97</v>
      </c>
      <c r="J5755" s="1" t="s">
        <v>43</v>
      </c>
      <c r="K5755" s="1" t="s">
        <v>1756</v>
      </c>
      <c r="L5755" s="1" t="s">
        <v>29297</v>
      </c>
      <c r="M5755" s="2" t="s">
        <v>12</v>
      </c>
      <c r="N5755" s="4">
        <f t="shared" si="1"/>
        <v>42658</v>
      </c>
      <c r="O5755" s="5" t="str">
        <f>IFERROR(__xludf.DUMMYFUNCTION("IF(REGEXMATCH(TRIM(I5755), ""^\d+\s*min""), ""Unclassified"", IF(I5755 = """", ""NR"", I5755))"),"TV-14")</f>
        <v>TV-14</v>
      </c>
      <c r="R5755" s="5" t="str">
        <f t="shared" si="2"/>
        <v>Vampire Knight</v>
      </c>
      <c r="S5755" s="5" t="str">
        <f>IFERROR(__xludf.DUMMYFUNCTION("""COMPUTED_VALUE"""),"Rattlesnake - The Ahanna Story")</f>
        <v>Rattlesnake - The Ahanna Story</v>
      </c>
      <c r="V5755" s="5"/>
      <c r="Y5755" s="5" t="str">
        <f>IFERROR(__xludf.DUMMYFUNCTION("REGEXEXTRACT(J5755, ""^\d+"")"),"2")</f>
        <v>2</v>
      </c>
      <c r="Z5755" s="5" t="str">
        <f>IFERROR(__xludf.DUMMYFUNCTION("REGEXEXTRACT(J5755, ""[A-Za-z ]+$"")")," Seasons")</f>
        <v> Seasons</v>
      </c>
      <c r="AA5755" s="5" t="str">
        <f>IFERROR(__xludf.DUMMYFUNCTION("IF(REGEXMATCH(Z5755, ""Season""), ""TV Show"", ""Movie"")"),"TV Show")</f>
        <v>TV Show</v>
      </c>
    </row>
    <row r="5756">
      <c r="A5756" s="1" t="s">
        <v>29298</v>
      </c>
      <c r="B5756" s="1" t="s">
        <v>27</v>
      </c>
      <c r="C5756" s="1" t="s">
        <v>29299</v>
      </c>
      <c r="D5756" s="1" t="s">
        <v>22048</v>
      </c>
      <c r="E5756" s="1" t="s">
        <v>29300</v>
      </c>
      <c r="F5756" s="1" t="s">
        <v>30</v>
      </c>
      <c r="G5756" s="1" t="s">
        <v>29301</v>
      </c>
      <c r="H5756" s="1">
        <v>2016.0</v>
      </c>
      <c r="I5756" s="1" t="s">
        <v>42</v>
      </c>
      <c r="J5756" s="1" t="s">
        <v>729</v>
      </c>
      <c r="K5756" s="1" t="s">
        <v>34</v>
      </c>
      <c r="L5756" s="1" t="s">
        <v>29302</v>
      </c>
      <c r="M5756" s="2" t="s">
        <v>12</v>
      </c>
      <c r="N5756" s="4">
        <f t="shared" si="1"/>
        <v>42657</v>
      </c>
      <c r="O5756" s="5" t="str">
        <f>IFERROR(__xludf.DUMMYFUNCTION("IF(REGEXMATCH(TRIM(I5756), ""^\d+\s*min""), ""Unclassified"", IF(I5756 = """", ""NR"", I5756))"),"TV-MA")</f>
        <v>TV-MA</v>
      </c>
      <c r="R5756" s="5" t="str">
        <f t="shared" si="2"/>
        <v>Sky Ladder: The Art Of Cai Guo-Qiang</v>
      </c>
      <c r="S5756" s="5" t="str">
        <f>IFERROR(__xludf.DUMMYFUNCTION("""COMPUTED_VALUE"""),"Ravenous")</f>
        <v>Ravenous</v>
      </c>
      <c r="V5756" s="5"/>
      <c r="Y5756" s="5" t="str">
        <f>IFERROR(__xludf.DUMMYFUNCTION("REGEXEXTRACT(J5756, ""^\d+"")"),"80")</f>
        <v>80</v>
      </c>
      <c r="Z5756" s="5" t="str">
        <f>IFERROR(__xludf.DUMMYFUNCTION("REGEXEXTRACT(J5756, ""[A-Za-z ]+$"")")," min")</f>
        <v> min</v>
      </c>
      <c r="AA5756" s="5" t="str">
        <f>IFERROR(__xludf.DUMMYFUNCTION("IF(REGEXMATCH(Z5756, ""Season""), ""TV Show"", ""Movie"")"),"Movie")</f>
        <v>Movie</v>
      </c>
    </row>
    <row r="5757">
      <c r="A5757" s="1" t="s">
        <v>29303</v>
      </c>
      <c r="B5757" s="1" t="s">
        <v>27</v>
      </c>
      <c r="C5757" s="1" t="s">
        <v>29304</v>
      </c>
      <c r="D5757" s="1" t="s">
        <v>4943</v>
      </c>
      <c r="E5757" s="1" t="s">
        <v>29305</v>
      </c>
      <c r="F5757" s="1" t="s">
        <v>30</v>
      </c>
      <c r="G5757" s="1" t="s">
        <v>29306</v>
      </c>
      <c r="H5757" s="1">
        <v>2016.0</v>
      </c>
      <c r="I5757" s="1" t="s">
        <v>42</v>
      </c>
      <c r="J5757" s="1" t="s">
        <v>465</v>
      </c>
      <c r="K5757" s="1" t="s">
        <v>239</v>
      </c>
      <c r="L5757" s="1" t="s">
        <v>29307</v>
      </c>
      <c r="M5757" s="2" t="s">
        <v>12</v>
      </c>
      <c r="N5757" s="4">
        <f t="shared" si="1"/>
        <v>42656</v>
      </c>
      <c r="O5757" s="5" t="str">
        <f>IFERROR(__xludf.DUMMYFUNCTION("IF(REGEXMATCH(TRIM(I5757), ""^\d+\s*min""), ""Unclassified"", IF(I5757 = """", ""NR"", I5757))"),"TV-MA")</f>
        <v>TV-MA</v>
      </c>
      <c r="R5757" s="5" t="str">
        <f t="shared" si="2"/>
        <v>Mascots</v>
      </c>
      <c r="S5757" s="5" t="str">
        <f>IFERROR(__xludf.DUMMYFUNCTION("""COMPUTED_VALUE"""),"Ray")</f>
        <v>Ray</v>
      </c>
      <c r="V5757" s="5"/>
      <c r="Y5757" s="5" t="str">
        <f>IFERROR(__xludf.DUMMYFUNCTION("REGEXEXTRACT(J5757, ""^\d+"")"),"95")</f>
        <v>95</v>
      </c>
      <c r="Z5757" s="5" t="str">
        <f>IFERROR(__xludf.DUMMYFUNCTION("REGEXEXTRACT(J5757, ""[A-Za-z ]+$"")")," min")</f>
        <v> min</v>
      </c>
      <c r="AA5757" s="5" t="str">
        <f>IFERROR(__xludf.DUMMYFUNCTION("IF(REGEXMATCH(Z5757, ""Season""), ""TV Show"", ""Movie"")"),"Movie")</f>
        <v>Movie</v>
      </c>
    </row>
    <row r="5758">
      <c r="A5758" s="1" t="s">
        <v>29308</v>
      </c>
      <c r="B5758" s="1" t="s">
        <v>27</v>
      </c>
      <c r="C5758" s="1" t="s">
        <v>29309</v>
      </c>
      <c r="D5758" s="1" t="s">
        <v>11676</v>
      </c>
      <c r="E5758" s="1" t="s">
        <v>29310</v>
      </c>
      <c r="F5758" s="1" t="s">
        <v>30</v>
      </c>
      <c r="G5758" s="1" t="s">
        <v>29311</v>
      </c>
      <c r="H5758" s="1">
        <v>2016.0</v>
      </c>
      <c r="I5758" s="1" t="s">
        <v>42</v>
      </c>
      <c r="J5758" s="1" t="s">
        <v>33</v>
      </c>
      <c r="K5758" s="1" t="s">
        <v>8833</v>
      </c>
      <c r="L5758" s="1" t="s">
        <v>29312</v>
      </c>
      <c r="M5758" s="2" t="s">
        <v>12</v>
      </c>
      <c r="N5758" s="4">
        <f t="shared" si="1"/>
        <v>42655</v>
      </c>
      <c r="O5758" s="5" t="str">
        <f>IFERROR(__xludf.DUMMYFUNCTION("IF(REGEXMATCH(TRIM(I5758), ""^\d+\s*min""), ""Unclassified"", IF(I5758 = """", ""NR"", I5758))"),"TV-MA")</f>
        <v>TV-MA</v>
      </c>
      <c r="R5758" s="5" t="str">
        <f t="shared" si="2"/>
        <v>Justin Timberlake + The Tennessee Kids</v>
      </c>
      <c r="S5758" s="5" t="str">
        <f>IFERROR(__xludf.DUMMYFUNCTION("""COMPUTED_VALUE"""),"Ray Romano: Right Here, Around The Corner")</f>
        <v>Ray Romano: Right Here, Around The Corner</v>
      </c>
      <c r="V5758" s="5"/>
      <c r="Y5758" s="5" t="str">
        <f>IFERROR(__xludf.DUMMYFUNCTION("REGEXEXTRACT(J5758, ""^\d+"")"),"90")</f>
        <v>90</v>
      </c>
      <c r="Z5758" s="5" t="str">
        <f>IFERROR(__xludf.DUMMYFUNCTION("REGEXEXTRACT(J5758, ""[A-Za-z ]+$"")")," min")</f>
        <v> min</v>
      </c>
      <c r="AA5758" s="5" t="str">
        <f>IFERROR(__xludf.DUMMYFUNCTION("IF(REGEXMATCH(Z5758, ""Season""), ""TV Show"", ""Movie"")"),"Movie")</f>
        <v>Movie</v>
      </c>
    </row>
    <row r="5759">
      <c r="A5759" s="1" t="s">
        <v>29313</v>
      </c>
      <c r="B5759" s="1" t="s">
        <v>27</v>
      </c>
      <c r="C5759" s="1" t="s">
        <v>29314</v>
      </c>
      <c r="D5759" s="1" t="s">
        <v>7805</v>
      </c>
      <c r="F5759" s="1" t="s">
        <v>30</v>
      </c>
      <c r="G5759" s="1" t="s">
        <v>29315</v>
      </c>
      <c r="H5759" s="1">
        <v>2016.0</v>
      </c>
      <c r="I5759" s="1" t="s">
        <v>42</v>
      </c>
      <c r="J5759" s="1" t="s">
        <v>1091</v>
      </c>
      <c r="K5759" s="1" t="s">
        <v>34</v>
      </c>
      <c r="L5759" s="1" t="s">
        <v>29316</v>
      </c>
      <c r="M5759" s="2" t="s">
        <v>12</v>
      </c>
      <c r="N5759" s="4">
        <f t="shared" si="1"/>
        <v>42650</v>
      </c>
      <c r="O5759" s="5" t="str">
        <f>IFERROR(__xludf.DUMMYFUNCTION("IF(REGEXMATCH(TRIM(I5759), ""^\d+\s*min""), ""Unclassified"", IF(I5759 = """", ""NR"", I5759))"),"TV-MA")</f>
        <v>TV-MA</v>
      </c>
      <c r="R5759" s="5" t="str">
        <f t="shared" si="2"/>
        <v>13Th</v>
      </c>
      <c r="S5759" s="5" t="str">
        <f>IFERROR(__xludf.DUMMYFUNCTION("""COMPUTED_VALUE"""),"Raya And Sakina")</f>
        <v>Raya And Sakina</v>
      </c>
      <c r="V5759" s="5"/>
      <c r="Y5759" s="5" t="str">
        <f>IFERROR(__xludf.DUMMYFUNCTION("REGEXEXTRACT(J5759, ""^\d+"")"),"101")</f>
        <v>101</v>
      </c>
      <c r="Z5759" s="5" t="str">
        <f>IFERROR(__xludf.DUMMYFUNCTION("REGEXEXTRACT(J5759, ""[A-Za-z ]+$"")")," min")</f>
        <v> min</v>
      </c>
      <c r="AA5759" s="5" t="str">
        <f>IFERROR(__xludf.DUMMYFUNCTION("IF(REGEXMATCH(Z5759, ""Season""), ""TV Show"", ""Movie"")"),"Movie")</f>
        <v>Movie</v>
      </c>
    </row>
    <row r="5760">
      <c r="A5760" s="1" t="s">
        <v>29317</v>
      </c>
      <c r="B5760" s="1" t="s">
        <v>27</v>
      </c>
      <c r="C5760" s="1" t="s">
        <v>29318</v>
      </c>
      <c r="D5760" s="1" t="s">
        <v>5768</v>
      </c>
      <c r="E5760" s="1" t="s">
        <v>29319</v>
      </c>
      <c r="F5760" s="1" t="s">
        <v>30</v>
      </c>
      <c r="G5760" s="1" t="s">
        <v>29315</v>
      </c>
      <c r="H5760" s="1">
        <v>2016.0</v>
      </c>
      <c r="I5760" s="1" t="s">
        <v>42</v>
      </c>
      <c r="J5760" s="1" t="s">
        <v>5120</v>
      </c>
      <c r="K5760" s="1" t="s">
        <v>1839</v>
      </c>
      <c r="L5760" s="1" t="s">
        <v>29320</v>
      </c>
      <c r="M5760" s="2" t="s">
        <v>12</v>
      </c>
      <c r="N5760" s="4">
        <f t="shared" si="1"/>
        <v>42650</v>
      </c>
      <c r="O5760" s="5" t="str">
        <f>IFERROR(__xludf.DUMMYFUNCTION("IF(REGEXMATCH(TRIM(I5760), ""^\d+\s*min""), ""Unclassified"", IF(I5760 = """", ""NR"", I5760))"),"TV-MA")</f>
        <v>TV-MA</v>
      </c>
      <c r="R5760" s="5" t="str">
        <f t="shared" si="2"/>
        <v>Russell Peters: Almost Famous</v>
      </c>
      <c r="S5760" s="5" t="str">
        <f>IFERROR(__xludf.DUMMYFUNCTION("""COMPUTED_VALUE"""),"Razia Sultan")</f>
        <v>Razia Sultan</v>
      </c>
      <c r="V5760" s="5"/>
      <c r="Y5760" s="5" t="str">
        <f>IFERROR(__xludf.DUMMYFUNCTION("REGEXEXTRACT(J5760, ""^\d+"")"),"73")</f>
        <v>73</v>
      </c>
      <c r="Z5760" s="5" t="str">
        <f>IFERROR(__xludf.DUMMYFUNCTION("REGEXEXTRACT(J5760, ""[A-Za-z ]+$"")")," min")</f>
        <v> min</v>
      </c>
      <c r="AA5760" s="5" t="str">
        <f>IFERROR(__xludf.DUMMYFUNCTION("IF(REGEXMATCH(Z5760, ""Season""), ""TV Show"", ""Movie"")"),"Movie")</f>
        <v>Movie</v>
      </c>
    </row>
    <row r="5761">
      <c r="A5761" s="1" t="s">
        <v>29321</v>
      </c>
      <c r="B5761" s="1" t="s">
        <v>37</v>
      </c>
      <c r="C5761" s="1" t="s">
        <v>29322</v>
      </c>
      <c r="E5761" s="1" t="s">
        <v>29323</v>
      </c>
      <c r="F5761" s="1" t="s">
        <v>30</v>
      </c>
      <c r="G5761" s="1" t="s">
        <v>29315</v>
      </c>
      <c r="H5761" s="1">
        <v>2016.0</v>
      </c>
      <c r="I5761" s="1" t="s">
        <v>206</v>
      </c>
      <c r="J5761" s="1" t="s">
        <v>51</v>
      </c>
      <c r="K5761" s="1" t="s">
        <v>290</v>
      </c>
      <c r="L5761" s="1" t="s">
        <v>29324</v>
      </c>
      <c r="M5761" s="2" t="s">
        <v>12</v>
      </c>
      <c r="N5761" s="4">
        <f t="shared" si="1"/>
        <v>42650</v>
      </c>
      <c r="O5761" s="5" t="str">
        <f>IFERROR(__xludf.DUMMYFUNCTION("IF(REGEXMATCH(TRIM(I5761), ""^\d+\s*min""), ""Unclassified"", IF(I5761 = """", ""NR"", I5761))"),"TV-Y")</f>
        <v>TV-Y</v>
      </c>
      <c r="R5761" s="5" t="str">
        <f t="shared" si="2"/>
        <v>Storybots Super Songs</v>
      </c>
      <c r="S5761" s="5" t="str">
        <f>IFERROR(__xludf.DUMMYFUNCTION("""COMPUTED_VALUE"""),"Re:Mind")</f>
        <v>Re:Mind</v>
      </c>
      <c r="V5761" s="5"/>
      <c r="Y5761" s="5" t="str">
        <f>IFERROR(__xludf.DUMMYFUNCTION("REGEXEXTRACT(J5761, ""^\d+"")"),"1")</f>
        <v>1</v>
      </c>
      <c r="Z5761" s="5" t="str">
        <f>IFERROR(__xludf.DUMMYFUNCTION("REGEXEXTRACT(J5761, ""[A-Za-z ]+$"")")," Season")</f>
        <v> Season</v>
      </c>
      <c r="AA5761" s="5" t="str">
        <f>IFERROR(__xludf.DUMMYFUNCTION("IF(REGEXMATCH(Z5761, ""Season""), ""TV Show"", ""Movie"")"),"TV Show")</f>
        <v>TV Show</v>
      </c>
    </row>
    <row r="5762">
      <c r="A5762" s="1" t="s">
        <v>29325</v>
      </c>
      <c r="B5762" s="1" t="s">
        <v>27</v>
      </c>
      <c r="C5762" s="1" t="s">
        <v>29326</v>
      </c>
      <c r="D5762" s="1" t="s">
        <v>19228</v>
      </c>
      <c r="E5762" s="1" t="s">
        <v>29327</v>
      </c>
      <c r="F5762" s="1" t="s">
        <v>29328</v>
      </c>
      <c r="G5762" s="1" t="s">
        <v>29315</v>
      </c>
      <c r="H5762" s="1">
        <v>2016.0</v>
      </c>
      <c r="I5762" s="1" t="s">
        <v>42</v>
      </c>
      <c r="J5762" s="1" t="s">
        <v>912</v>
      </c>
      <c r="K5762" s="1" t="s">
        <v>306</v>
      </c>
      <c r="L5762" s="1" t="s">
        <v>29329</v>
      </c>
      <c r="M5762" s="2" t="s">
        <v>12</v>
      </c>
      <c r="N5762" s="4">
        <f t="shared" si="1"/>
        <v>42650</v>
      </c>
      <c r="O5762" s="5" t="str">
        <f>IFERROR(__xludf.DUMMYFUNCTION("IF(REGEXMATCH(TRIM(I5762), ""^\d+\s*min""), ""Unclassified"", IF(I5762 = """", ""NR"", I5762))"),"TV-MA")</f>
        <v>TV-MA</v>
      </c>
      <c r="R5762" s="5" t="str">
        <f t="shared" si="2"/>
        <v>The Siege Of Jadotville</v>
      </c>
      <c r="S5762" s="5" t="str">
        <f>IFERROR(__xludf.DUMMYFUNCTION("""COMPUTED_VALUE"""),"Rea(L)Ove")</f>
        <v>Rea(L)Ove</v>
      </c>
      <c r="V5762" s="5"/>
      <c r="Y5762" s="5" t="str">
        <f>IFERROR(__xludf.DUMMYFUNCTION("REGEXEXTRACT(J5762, ""^\d+"")"),"108")</f>
        <v>108</v>
      </c>
      <c r="Z5762" s="5" t="str">
        <f>IFERROR(__xludf.DUMMYFUNCTION("REGEXEXTRACT(J5762, ""[A-Za-z ]+$"")")," min")</f>
        <v> min</v>
      </c>
      <c r="AA5762" s="5" t="str">
        <f>IFERROR(__xludf.DUMMYFUNCTION("IF(REGEXMATCH(Z5762, ""Season""), ""TV Show"", ""Movie"")"),"Movie")</f>
        <v>Movie</v>
      </c>
    </row>
    <row r="5763">
      <c r="A5763" s="1" t="s">
        <v>29330</v>
      </c>
      <c r="B5763" s="1" t="s">
        <v>27</v>
      </c>
      <c r="C5763" s="1" t="s">
        <v>29331</v>
      </c>
      <c r="D5763" s="1" t="s">
        <v>15601</v>
      </c>
      <c r="E5763" s="1" t="s">
        <v>29332</v>
      </c>
      <c r="F5763" s="1" t="s">
        <v>30</v>
      </c>
      <c r="G5763" s="1" t="s">
        <v>29333</v>
      </c>
      <c r="H5763" s="1">
        <v>2016.0</v>
      </c>
      <c r="I5763" s="1" t="s">
        <v>289</v>
      </c>
      <c r="J5763" s="1" t="s">
        <v>4935</v>
      </c>
      <c r="K5763" s="1" t="s">
        <v>137</v>
      </c>
      <c r="L5763" s="1" t="s">
        <v>29334</v>
      </c>
      <c r="M5763" s="2" t="s">
        <v>12</v>
      </c>
      <c r="N5763" s="4">
        <f t="shared" si="1"/>
        <v>42647</v>
      </c>
      <c r="O5763" s="5" t="str">
        <f>IFERROR(__xludf.DUMMYFUNCTION("IF(REGEXMATCH(TRIM(I5763), ""^\d+\s*min""), ""Unclassified"", IF(I5763 = """", ""NR"", I5763))"),"TV-Y7")</f>
        <v>TV-Y7</v>
      </c>
      <c r="R5763" s="5" t="str">
        <f t="shared" si="2"/>
        <v>Lego Jurassic World: The Indominus Escape</v>
      </c>
      <c r="S5763" s="5" t="str">
        <f>IFERROR(__xludf.DUMMYFUNCTION("""COMPUTED_VALUE"""),"Reaction")</f>
        <v>Reaction</v>
      </c>
      <c r="V5763" s="5"/>
      <c r="Y5763" s="5" t="str">
        <f>IFERROR(__xludf.DUMMYFUNCTION("REGEXEXTRACT(J5763, ""^\d+"")"),"25")</f>
        <v>25</v>
      </c>
      <c r="Z5763" s="5" t="str">
        <f>IFERROR(__xludf.DUMMYFUNCTION("REGEXEXTRACT(J5763, ""[A-Za-z ]+$"")")," min")</f>
        <v> min</v>
      </c>
      <c r="AA5763" s="5" t="str">
        <f>IFERROR(__xludf.DUMMYFUNCTION("IF(REGEXMATCH(Z5763, ""Season""), ""TV Show"", ""Movie"")"),"Movie")</f>
        <v>Movie</v>
      </c>
    </row>
    <row r="5764">
      <c r="A5764" s="1" t="s">
        <v>29335</v>
      </c>
      <c r="B5764" s="1" t="s">
        <v>37</v>
      </c>
      <c r="C5764" s="1" t="s">
        <v>29336</v>
      </c>
      <c r="E5764" s="1" t="s">
        <v>29337</v>
      </c>
      <c r="F5764" s="1" t="s">
        <v>2059</v>
      </c>
      <c r="G5764" s="1" t="s">
        <v>29338</v>
      </c>
      <c r="H5764" s="1">
        <v>2015.0</v>
      </c>
      <c r="I5764" s="1" t="s">
        <v>136</v>
      </c>
      <c r="J5764" s="1" t="s">
        <v>51</v>
      </c>
      <c r="K5764" s="1" t="s">
        <v>1907</v>
      </c>
      <c r="L5764" s="1" t="s">
        <v>29339</v>
      </c>
      <c r="M5764" s="2" t="s">
        <v>12</v>
      </c>
      <c r="N5764" s="4">
        <f t="shared" si="1"/>
        <v>42644</v>
      </c>
      <c r="O5764" s="5" t="str">
        <f>IFERROR(__xludf.DUMMYFUNCTION("IF(REGEXMATCH(TRIM(I5764), ""^\d+\s*min""), ""Unclassified"", IF(I5764 = """", ""NR"", I5764))"),"TV-PG")</f>
        <v>TV-PG</v>
      </c>
      <c r="R5764" s="5" t="str">
        <f t="shared" si="2"/>
        <v>Be With Me</v>
      </c>
      <c r="S5764" s="5" t="str">
        <f>IFERROR(__xludf.DUMMYFUNCTION("""COMPUTED_VALUE"""),"Ready")</f>
        <v>Ready</v>
      </c>
      <c r="V5764" s="5"/>
      <c r="Y5764" s="5" t="str">
        <f>IFERROR(__xludf.DUMMYFUNCTION("REGEXEXTRACT(J5764, ""^\d+"")"),"1")</f>
        <v>1</v>
      </c>
      <c r="Z5764" s="5" t="str">
        <f>IFERROR(__xludf.DUMMYFUNCTION("REGEXEXTRACT(J5764, ""[A-Za-z ]+$"")")," Season")</f>
        <v> Season</v>
      </c>
      <c r="AA5764" s="5" t="str">
        <f>IFERROR(__xludf.DUMMYFUNCTION("IF(REGEXMATCH(Z5764, ""Season""), ""TV Show"", ""Movie"")"),"TV Show")</f>
        <v>TV Show</v>
      </c>
    </row>
    <row r="5765">
      <c r="A5765" s="1" t="s">
        <v>29340</v>
      </c>
      <c r="B5765" s="1" t="s">
        <v>37</v>
      </c>
      <c r="C5765" s="1" t="s">
        <v>29341</v>
      </c>
      <c r="E5765" s="1" t="s">
        <v>29342</v>
      </c>
      <c r="F5765" s="1" t="s">
        <v>2059</v>
      </c>
      <c r="G5765" s="1" t="s">
        <v>29338</v>
      </c>
      <c r="H5765" s="1">
        <v>2015.0</v>
      </c>
      <c r="I5765" s="1" t="s">
        <v>97</v>
      </c>
      <c r="J5765" s="1" t="s">
        <v>51</v>
      </c>
      <c r="K5765" s="1" t="s">
        <v>1907</v>
      </c>
      <c r="L5765" s="1" t="s">
        <v>29343</v>
      </c>
      <c r="M5765" s="2" t="s">
        <v>12</v>
      </c>
      <c r="N5765" s="4">
        <f t="shared" si="1"/>
        <v>42644</v>
      </c>
      <c r="O5765" s="5" t="str">
        <f>IFERROR(__xludf.DUMMYFUNCTION("IF(REGEXMATCH(TRIM(I5765), ""^\d+\s*min""), ""Unclassified"", IF(I5765 = """", ""NR"", I5765))"),"TV-14")</f>
        <v>TV-14</v>
      </c>
      <c r="R5765" s="5" t="str">
        <f t="shared" si="2"/>
        <v>Be With You</v>
      </c>
      <c r="S5765" s="5" t="str">
        <f>IFERROR(__xludf.DUMMYFUNCTION("""COMPUTED_VALUE"""),"Ready To Mingle")</f>
        <v>Ready To Mingle</v>
      </c>
      <c r="V5765" s="5"/>
      <c r="Y5765" s="5" t="str">
        <f>IFERROR(__xludf.DUMMYFUNCTION("REGEXEXTRACT(J5765, ""^\d+"")"),"1")</f>
        <v>1</v>
      </c>
      <c r="Z5765" s="5" t="str">
        <f>IFERROR(__xludf.DUMMYFUNCTION("REGEXEXTRACT(J5765, ""[A-Za-z ]+$"")")," Season")</f>
        <v> Season</v>
      </c>
      <c r="AA5765" s="5" t="str">
        <f>IFERROR(__xludf.DUMMYFUNCTION("IF(REGEXMATCH(Z5765, ""Season""), ""TV Show"", ""Movie"")"),"TV Show")</f>
        <v>TV Show</v>
      </c>
    </row>
    <row r="5766">
      <c r="A5766" s="1" t="s">
        <v>29344</v>
      </c>
      <c r="B5766" s="1" t="s">
        <v>27</v>
      </c>
      <c r="C5766" s="1" t="s">
        <v>29345</v>
      </c>
      <c r="D5766" s="1" t="s">
        <v>19089</v>
      </c>
      <c r="E5766" s="1" t="s">
        <v>29346</v>
      </c>
      <c r="F5766" s="1" t="s">
        <v>2715</v>
      </c>
      <c r="G5766" s="1" t="s">
        <v>29338</v>
      </c>
      <c r="H5766" s="1">
        <v>2016.0</v>
      </c>
      <c r="I5766" s="1" t="s">
        <v>42</v>
      </c>
      <c r="J5766" s="1" t="s">
        <v>1144</v>
      </c>
      <c r="K5766" s="1" t="s">
        <v>805</v>
      </c>
      <c r="L5766" s="1" t="s">
        <v>29347</v>
      </c>
      <c r="M5766" s="2" t="s">
        <v>12</v>
      </c>
      <c r="N5766" s="4">
        <f t="shared" si="1"/>
        <v>42644</v>
      </c>
      <c r="O5766" s="5" t="str">
        <f>IFERROR(__xludf.DUMMYFUNCTION("IF(REGEXMATCH(TRIM(I5766), ""^\d+\s*min""), ""Unclassified"", IF(I5766 = """", ""NR"", I5766))"),"TV-MA")</f>
        <v>TV-MA</v>
      </c>
      <c r="R5766" s="5" t="str">
        <f t="shared" si="2"/>
        <v>Bombshell</v>
      </c>
      <c r="S5766" s="5" t="str">
        <f>IFERROR(__xludf.DUMMYFUNCTION("""COMPUTED_VALUE"""),"Real Crime: Diamond Geezers")</f>
        <v>Real Crime: Diamond Geezers</v>
      </c>
      <c r="V5766" s="5"/>
      <c r="Y5766" s="5" t="str">
        <f>IFERROR(__xludf.DUMMYFUNCTION("REGEXEXTRACT(J5766, ""^\d+"")"),"86")</f>
        <v>86</v>
      </c>
      <c r="Z5766" s="5" t="str">
        <f>IFERROR(__xludf.DUMMYFUNCTION("REGEXEXTRACT(J5766, ""[A-Za-z ]+$"")")," min")</f>
        <v> min</v>
      </c>
      <c r="AA5766" s="5" t="str">
        <f>IFERROR(__xludf.DUMMYFUNCTION("IF(REGEXMATCH(Z5766, ""Season""), ""TV Show"", ""Movie"")"),"Movie")</f>
        <v>Movie</v>
      </c>
    </row>
    <row r="5767">
      <c r="A5767" s="1" t="s">
        <v>29348</v>
      </c>
      <c r="B5767" s="1" t="s">
        <v>27</v>
      </c>
      <c r="C5767" s="1" t="s">
        <v>29349</v>
      </c>
      <c r="D5767" s="1" t="s">
        <v>8753</v>
      </c>
      <c r="E5767" s="1" t="s">
        <v>29350</v>
      </c>
      <c r="F5767" s="1" t="s">
        <v>1992</v>
      </c>
      <c r="G5767" s="1" t="s">
        <v>29338</v>
      </c>
      <c r="H5767" s="1">
        <v>2015.0</v>
      </c>
      <c r="I5767" s="1" t="s">
        <v>42</v>
      </c>
      <c r="J5767" s="1" t="s">
        <v>305</v>
      </c>
      <c r="K5767" s="1" t="s">
        <v>128</v>
      </c>
      <c r="L5767" s="1" t="s">
        <v>29351</v>
      </c>
      <c r="M5767" s="2" t="s">
        <v>12</v>
      </c>
      <c r="N5767" s="4">
        <f t="shared" si="1"/>
        <v>42644</v>
      </c>
      <c r="O5767" s="5" t="str">
        <f>IFERROR(__xludf.DUMMYFUNCTION("IF(REGEXMATCH(TRIM(I5767), ""^\d+\s*min""), ""Unclassified"", IF(I5767 = """", ""NR"", I5767))"),"TV-MA")</f>
        <v>TV-MA</v>
      </c>
      <c r="R5767" s="5" t="str">
        <f t="shared" si="2"/>
        <v>Chatô: The King Of Brazil</v>
      </c>
      <c r="S5767" s="5" t="str">
        <f>IFERROR(__xludf.DUMMYFUNCTION("""COMPUTED_VALUE"""),"Real Crime: Supermarket Heist (Tesco Bomber)")</f>
        <v>Real Crime: Supermarket Heist (Tesco Bomber)</v>
      </c>
      <c r="V5767" s="5"/>
      <c r="Y5767" s="5" t="str">
        <f>IFERROR(__xludf.DUMMYFUNCTION("REGEXEXTRACT(J5767, ""^\d+"")"),"105")</f>
        <v>105</v>
      </c>
      <c r="Z5767" s="5" t="str">
        <f>IFERROR(__xludf.DUMMYFUNCTION("REGEXEXTRACT(J5767, ""[A-Za-z ]+$"")")," min")</f>
        <v> min</v>
      </c>
      <c r="AA5767" s="5" t="str">
        <f>IFERROR(__xludf.DUMMYFUNCTION("IF(REGEXMATCH(Z5767, ""Season""), ""TV Show"", ""Movie"")"),"Movie")</f>
        <v>Movie</v>
      </c>
    </row>
    <row r="5768">
      <c r="A5768" s="1" t="s">
        <v>29352</v>
      </c>
      <c r="B5768" s="1" t="s">
        <v>37</v>
      </c>
      <c r="C5768" s="1" t="s">
        <v>29353</v>
      </c>
      <c r="E5768" s="1" t="s">
        <v>29354</v>
      </c>
      <c r="F5768" s="1" t="s">
        <v>2059</v>
      </c>
      <c r="G5768" s="1" t="s">
        <v>29338</v>
      </c>
      <c r="H5768" s="1">
        <v>2014.0</v>
      </c>
      <c r="I5768" s="1" t="s">
        <v>97</v>
      </c>
      <c r="J5768" s="1" t="s">
        <v>51</v>
      </c>
      <c r="K5768" s="1" t="s">
        <v>64</v>
      </c>
      <c r="L5768" s="1" t="s">
        <v>29355</v>
      </c>
      <c r="M5768" s="2" t="s">
        <v>12</v>
      </c>
      <c r="N5768" s="4">
        <f t="shared" si="1"/>
        <v>42644</v>
      </c>
      <c r="O5768" s="5" t="str">
        <f>IFERROR(__xludf.DUMMYFUNCTION("IF(REGEXMATCH(TRIM(I5768), ""^\d+\s*min""), ""Unclassified"", IF(I5768 = """", ""NR"", I5768))"),"TV-14")</f>
        <v>TV-14</v>
      </c>
      <c r="R5768" s="5" t="str">
        <f t="shared" si="2"/>
        <v>Fall In Love With Me</v>
      </c>
      <c r="S5768" s="5" t="str">
        <f>IFERROR(__xludf.DUMMYFUNCTION("""COMPUTED_VALUE"""),"Real Rob")</f>
        <v>Real Rob</v>
      </c>
      <c r="V5768" s="5"/>
      <c r="Y5768" s="5" t="str">
        <f>IFERROR(__xludf.DUMMYFUNCTION("REGEXEXTRACT(J5768, ""^\d+"")"),"1")</f>
        <v>1</v>
      </c>
      <c r="Z5768" s="5" t="str">
        <f>IFERROR(__xludf.DUMMYFUNCTION("REGEXEXTRACT(J5768, ""[A-Za-z ]+$"")")," Season")</f>
        <v> Season</v>
      </c>
      <c r="AA5768" s="5" t="str">
        <f>IFERROR(__xludf.DUMMYFUNCTION("IF(REGEXMATCH(Z5768, ""Season""), ""TV Show"", ""Movie"")"),"TV Show")</f>
        <v>TV Show</v>
      </c>
    </row>
    <row r="5769">
      <c r="A5769" s="1" t="s">
        <v>29356</v>
      </c>
      <c r="B5769" s="1" t="s">
        <v>27</v>
      </c>
      <c r="C5769" s="1" t="s">
        <v>29357</v>
      </c>
      <c r="D5769" s="1" t="s">
        <v>73</v>
      </c>
      <c r="E5769" s="1" t="s">
        <v>29358</v>
      </c>
      <c r="F5769" s="1" t="s">
        <v>63</v>
      </c>
      <c r="G5769" s="1" t="s">
        <v>29338</v>
      </c>
      <c r="H5769" s="1">
        <v>2010.0</v>
      </c>
      <c r="I5769" s="1" t="s">
        <v>42</v>
      </c>
      <c r="J5769" s="1" t="s">
        <v>433</v>
      </c>
      <c r="K5769" s="1" t="s">
        <v>128</v>
      </c>
      <c r="L5769" s="1" t="s">
        <v>29359</v>
      </c>
      <c r="M5769" s="2" t="s">
        <v>12</v>
      </c>
      <c r="N5769" s="4">
        <f t="shared" si="1"/>
        <v>42644</v>
      </c>
      <c r="O5769" s="5" t="str">
        <f>IFERROR(__xludf.DUMMYFUNCTION("IF(REGEXMATCH(TRIM(I5769), ""^\d+\s*min""), ""Unclassified"", IF(I5769 = """", ""NR"", I5769))"),"TV-MA")</f>
        <v>TV-MA</v>
      </c>
      <c r="R5769" s="5" t="str">
        <f t="shared" si="2"/>
        <v>Harud</v>
      </c>
      <c r="S5769" s="5" t="str">
        <f>IFERROR(__xludf.DUMMYFUNCTION("""COMPUTED_VALUE"""),"Real Steel")</f>
        <v>Real Steel</v>
      </c>
      <c r="V5769" s="5"/>
      <c r="Y5769" s="5" t="str">
        <f>IFERROR(__xludf.DUMMYFUNCTION("REGEXEXTRACT(J5769, ""^\d+"")"),"100")</f>
        <v>100</v>
      </c>
      <c r="Z5769" s="5" t="str">
        <f>IFERROR(__xludf.DUMMYFUNCTION("REGEXEXTRACT(J5769, ""[A-Za-z ]+$"")")," min")</f>
        <v> min</v>
      </c>
      <c r="AA5769" s="5" t="str">
        <f>IFERROR(__xludf.DUMMYFUNCTION("IF(REGEXMATCH(Z5769, ""Season""), ""TV Show"", ""Movie"")"),"Movie")</f>
        <v>Movie</v>
      </c>
    </row>
    <row r="5770">
      <c r="A5770" s="1" t="s">
        <v>29360</v>
      </c>
      <c r="B5770" s="1" t="s">
        <v>37</v>
      </c>
      <c r="C5770" s="1" t="s">
        <v>29361</v>
      </c>
      <c r="E5770" s="1" t="s">
        <v>29362</v>
      </c>
      <c r="F5770" s="1" t="s">
        <v>2059</v>
      </c>
      <c r="G5770" s="1" t="s">
        <v>29338</v>
      </c>
      <c r="H5770" s="1">
        <v>2014.0</v>
      </c>
      <c r="I5770" s="1" t="s">
        <v>97</v>
      </c>
      <c r="J5770" s="1" t="s">
        <v>51</v>
      </c>
      <c r="K5770" s="1" t="s">
        <v>64</v>
      </c>
      <c r="L5770" s="1" t="s">
        <v>29363</v>
      </c>
      <c r="M5770" s="2" t="s">
        <v>12</v>
      </c>
      <c r="N5770" s="4">
        <f t="shared" si="1"/>
        <v>42644</v>
      </c>
      <c r="O5770" s="5" t="str">
        <f>IFERROR(__xludf.DUMMYFUNCTION("IF(REGEXMATCH(TRIM(I5770), ""^\d+\s*min""), ""Unclassified"", IF(I5770 = """", ""NR"", I5770))"),"TV-14")</f>
        <v>TV-14</v>
      </c>
      <c r="R5770" s="5" t="str">
        <f t="shared" si="2"/>
        <v>Love Cheque Charge</v>
      </c>
      <c r="S5770" s="5" t="str">
        <f>IFERROR(__xludf.DUMMYFUNCTION("""COMPUTED_VALUE"""),"Reality Of Dream")</f>
        <v>Reality Of Dream</v>
      </c>
      <c r="V5770" s="5"/>
      <c r="Y5770" s="5" t="str">
        <f>IFERROR(__xludf.DUMMYFUNCTION("REGEXEXTRACT(J5770, ""^\d+"")"),"1")</f>
        <v>1</v>
      </c>
      <c r="Z5770" s="5" t="str">
        <f>IFERROR(__xludf.DUMMYFUNCTION("REGEXEXTRACT(J5770, ""[A-Za-z ]+$"")")," Season")</f>
        <v> Season</v>
      </c>
      <c r="AA5770" s="5" t="str">
        <f>IFERROR(__xludf.DUMMYFUNCTION("IF(REGEXMATCH(Z5770, ""Season""), ""TV Show"", ""Movie"")"),"TV Show")</f>
        <v>TV Show</v>
      </c>
    </row>
    <row r="5771">
      <c r="A5771" s="1" t="s">
        <v>29364</v>
      </c>
      <c r="B5771" s="1" t="s">
        <v>37</v>
      </c>
      <c r="C5771" s="1" t="s">
        <v>29365</v>
      </c>
      <c r="F5771" s="1" t="s">
        <v>5696</v>
      </c>
      <c r="G5771" s="1" t="s">
        <v>29338</v>
      </c>
      <c r="H5771" s="1">
        <v>2012.0</v>
      </c>
      <c r="I5771" s="1" t="s">
        <v>206</v>
      </c>
      <c r="J5771" s="1" t="s">
        <v>51</v>
      </c>
      <c r="K5771" s="1" t="s">
        <v>290</v>
      </c>
      <c r="L5771" s="1" t="s">
        <v>29366</v>
      </c>
      <c r="M5771" s="2" t="s">
        <v>12</v>
      </c>
      <c r="N5771" s="4">
        <f t="shared" si="1"/>
        <v>42644</v>
      </c>
      <c r="O5771" s="5" t="str">
        <f>IFERROR(__xludf.DUMMYFUNCTION("IF(REGEXMATCH(TRIM(I5771), ""^\d+\s*min""), ""Unclassified"", IF(I5771 = """", ""NR"", I5771))"),"TV-Y")</f>
        <v>TV-Y</v>
      </c>
      <c r="R5771" s="5" t="str">
        <f t="shared" si="2"/>
        <v>Masha'S Spooky Stories</v>
      </c>
      <c r="S5771" s="5" t="str">
        <f>IFERROR(__xludf.DUMMYFUNCTION("""COMPUTED_VALUE"""),"Reality Z")</f>
        <v>Reality Z</v>
      </c>
      <c r="V5771" s="5"/>
      <c r="Y5771" s="5" t="str">
        <f>IFERROR(__xludf.DUMMYFUNCTION("REGEXEXTRACT(J5771, ""^\d+"")"),"1")</f>
        <v>1</v>
      </c>
      <c r="Z5771" s="5" t="str">
        <f>IFERROR(__xludf.DUMMYFUNCTION("REGEXEXTRACT(J5771, ""[A-Za-z ]+$"")")," Season")</f>
        <v> Season</v>
      </c>
      <c r="AA5771" s="5" t="str">
        <f>IFERROR(__xludf.DUMMYFUNCTION("IF(REGEXMATCH(Z5771, ""Season""), ""TV Show"", ""Movie"")"),"TV Show")</f>
        <v>TV Show</v>
      </c>
    </row>
    <row r="5772">
      <c r="A5772" s="1" t="s">
        <v>29367</v>
      </c>
      <c r="B5772" s="1" t="s">
        <v>27</v>
      </c>
      <c r="C5772" s="1" t="s">
        <v>29368</v>
      </c>
      <c r="D5772" s="1" t="s">
        <v>975</v>
      </c>
      <c r="E5772" s="1" t="s">
        <v>29369</v>
      </c>
      <c r="F5772" s="1" t="s">
        <v>29370</v>
      </c>
      <c r="G5772" s="1" t="s">
        <v>29338</v>
      </c>
      <c r="H5772" s="1">
        <v>2016.0</v>
      </c>
      <c r="I5772" s="1" t="s">
        <v>42</v>
      </c>
      <c r="J5772" s="1" t="s">
        <v>322</v>
      </c>
      <c r="K5772" s="1" t="s">
        <v>89</v>
      </c>
      <c r="L5772" s="1" t="s">
        <v>29371</v>
      </c>
      <c r="M5772" s="2" t="s">
        <v>12</v>
      </c>
      <c r="N5772" s="4">
        <f t="shared" si="1"/>
        <v>42644</v>
      </c>
      <c r="O5772" s="5" t="str">
        <f>IFERROR(__xludf.DUMMYFUNCTION("IF(REGEXMATCH(TRIM(I5772), ""^\d+\s*min""), ""Unclassified"", IF(I5772 = """", ""NR"", I5772))"),"TV-MA")</f>
        <v>TV-MA</v>
      </c>
      <c r="R5772" s="5" t="str">
        <f t="shared" si="2"/>
        <v>Much Ado About Nothing</v>
      </c>
      <c r="S5772" s="5" t="str">
        <f>IFERROR(__xludf.DUMMYFUNCTION("""COMPUTED_VALUE"""),"Really Love")</f>
        <v>Really Love</v>
      </c>
      <c r="V5772" s="5"/>
      <c r="Y5772" s="5" t="str">
        <f>IFERROR(__xludf.DUMMYFUNCTION("REGEXEXTRACT(J5772, ""^\d+"")"),"96")</f>
        <v>96</v>
      </c>
      <c r="Z5772" s="5" t="str">
        <f>IFERROR(__xludf.DUMMYFUNCTION("REGEXEXTRACT(J5772, ""[A-Za-z ]+$"")")," min")</f>
        <v> min</v>
      </c>
      <c r="AA5772" s="5" t="str">
        <f>IFERROR(__xludf.DUMMYFUNCTION("IF(REGEXMATCH(Z5772, ""Season""), ""TV Show"", ""Movie"")"),"Movie")</f>
        <v>Movie</v>
      </c>
    </row>
    <row r="5773">
      <c r="A5773" s="1" t="s">
        <v>29372</v>
      </c>
      <c r="B5773" s="1" t="s">
        <v>37</v>
      </c>
      <c r="C5773" s="1" t="s">
        <v>29373</v>
      </c>
      <c r="E5773" s="1" t="s">
        <v>29374</v>
      </c>
      <c r="F5773" s="1" t="s">
        <v>2059</v>
      </c>
      <c r="G5773" s="1" t="s">
        <v>29338</v>
      </c>
      <c r="H5773" s="1">
        <v>2015.0</v>
      </c>
      <c r="I5773" s="1" t="s">
        <v>136</v>
      </c>
      <c r="J5773" s="1" t="s">
        <v>51</v>
      </c>
      <c r="K5773" s="1" t="s">
        <v>64</v>
      </c>
      <c r="L5773" s="1" t="s">
        <v>29375</v>
      </c>
      <c r="M5773" s="2" t="s">
        <v>12</v>
      </c>
      <c r="N5773" s="4">
        <f t="shared" si="1"/>
        <v>42644</v>
      </c>
      <c r="O5773" s="5" t="str">
        <f>IFERROR(__xludf.DUMMYFUNCTION("IF(REGEXMATCH(TRIM(I5773), ""^\d+\s*min""), ""Unclassified"", IF(I5773 = """", ""NR"", I5773))"),"TV-PG")</f>
        <v>TV-PG</v>
      </c>
      <c r="R5773" s="5" t="str">
        <f t="shared" si="2"/>
        <v>Murphy'S Law Of Love</v>
      </c>
      <c r="S5773" s="5" t="str">
        <f>IFERROR(__xludf.DUMMYFUNCTION("""COMPUTED_VALUE"""),"Rebecca")</f>
        <v>Rebecca</v>
      </c>
      <c r="V5773" s="5"/>
      <c r="Y5773" s="5" t="str">
        <f>IFERROR(__xludf.DUMMYFUNCTION("REGEXEXTRACT(J5773, ""^\d+"")"),"1")</f>
        <v>1</v>
      </c>
      <c r="Z5773" s="5" t="str">
        <f>IFERROR(__xludf.DUMMYFUNCTION("REGEXEXTRACT(J5773, ""[A-Za-z ]+$"")")," Season")</f>
        <v> Season</v>
      </c>
      <c r="AA5773" s="5" t="str">
        <f>IFERROR(__xludf.DUMMYFUNCTION("IF(REGEXMATCH(Z5773, ""Season""), ""TV Show"", ""Movie"")"),"TV Show")</f>
        <v>TV Show</v>
      </c>
    </row>
    <row r="5774">
      <c r="A5774" s="1" t="s">
        <v>29376</v>
      </c>
      <c r="B5774" s="1" t="s">
        <v>27</v>
      </c>
      <c r="C5774" s="1" t="s">
        <v>29377</v>
      </c>
      <c r="D5774" s="1" t="s">
        <v>27223</v>
      </c>
      <c r="E5774" s="1" t="s">
        <v>29378</v>
      </c>
      <c r="F5774" s="1" t="s">
        <v>784</v>
      </c>
      <c r="G5774" s="1" t="s">
        <v>29338</v>
      </c>
      <c r="H5774" s="1">
        <v>2015.0</v>
      </c>
      <c r="I5774" s="1" t="s">
        <v>42</v>
      </c>
      <c r="J5774" s="1" t="s">
        <v>247</v>
      </c>
      <c r="K5774" s="1" t="s">
        <v>230</v>
      </c>
      <c r="L5774" s="1" t="s">
        <v>29379</v>
      </c>
      <c r="M5774" s="2" t="s">
        <v>12</v>
      </c>
      <c r="N5774" s="4">
        <f t="shared" si="1"/>
        <v>42644</v>
      </c>
      <c r="O5774" s="5" t="str">
        <f>IFERROR(__xludf.DUMMYFUNCTION("IF(REGEXMATCH(TRIM(I5774), ""^\d+\s*min""), ""Unclassified"", IF(I5774 = """", ""NR"", I5774))"),"TV-MA")</f>
        <v>TV-MA</v>
      </c>
      <c r="R5774" s="5" t="str">
        <f t="shared" si="2"/>
        <v>My Big Night</v>
      </c>
      <c r="S5774" s="5" t="str">
        <f>IFERROR(__xludf.DUMMYFUNCTION("""COMPUTED_VALUE"""),"Rebel Without A Cause")</f>
        <v>Rebel Without A Cause</v>
      </c>
      <c r="V5774" s="5"/>
      <c r="Y5774" s="5" t="str">
        <f>IFERROR(__xludf.DUMMYFUNCTION("REGEXEXTRACT(J5774, ""^\d+"")"),"97")</f>
        <v>97</v>
      </c>
      <c r="Z5774" s="5" t="str">
        <f>IFERROR(__xludf.DUMMYFUNCTION("REGEXEXTRACT(J5774, ""[A-Za-z ]+$"")")," min")</f>
        <v> min</v>
      </c>
      <c r="AA5774" s="5" t="str">
        <f>IFERROR(__xludf.DUMMYFUNCTION("IF(REGEXMATCH(Z5774, ""Season""), ""TV Show"", ""Movie"")"),"Movie")</f>
        <v>Movie</v>
      </c>
    </row>
    <row r="5775">
      <c r="A5775" s="1" t="s">
        <v>29380</v>
      </c>
      <c r="B5775" s="1" t="s">
        <v>27</v>
      </c>
      <c r="C5775" s="1" t="s">
        <v>29381</v>
      </c>
      <c r="D5775" s="1" t="s">
        <v>9715</v>
      </c>
      <c r="E5775" s="1" t="s">
        <v>29382</v>
      </c>
      <c r="F5775" s="1" t="s">
        <v>897</v>
      </c>
      <c r="G5775" s="1" t="s">
        <v>29338</v>
      </c>
      <c r="H5775" s="1">
        <v>2016.0</v>
      </c>
      <c r="I5775" s="1" t="s">
        <v>289</v>
      </c>
      <c r="J5775" s="1" t="s">
        <v>5120</v>
      </c>
      <c r="K5775" s="1" t="s">
        <v>137</v>
      </c>
      <c r="L5775" s="1" t="s">
        <v>29383</v>
      </c>
      <c r="M5775" s="2" t="s">
        <v>12</v>
      </c>
      <c r="N5775" s="4">
        <f t="shared" si="1"/>
        <v>42644</v>
      </c>
      <c r="O5775" s="5" t="str">
        <f>IFERROR(__xludf.DUMMYFUNCTION("IF(REGEXMATCH(TRIM(I5775), ""^\d+\s*min""), ""Unclassified"", IF(I5775 = """", ""NR"", I5775))"),"TV-Y7")</f>
        <v>TV-Y7</v>
      </c>
      <c r="R5775" s="5" t="str">
        <f t="shared" si="2"/>
        <v>My Little Pony Equestria Girls: Legend Of Everfree</v>
      </c>
      <c r="S5775" s="5" t="str">
        <f>IFERROR(__xludf.DUMMYFUNCTION("""COMPUTED_VALUE"""),"Rebelde")</f>
        <v>Rebelde</v>
      </c>
      <c r="V5775" s="5"/>
      <c r="Y5775" s="5" t="str">
        <f>IFERROR(__xludf.DUMMYFUNCTION("REGEXEXTRACT(J5775, ""^\d+"")"),"73")</f>
        <v>73</v>
      </c>
      <c r="Z5775" s="5" t="str">
        <f>IFERROR(__xludf.DUMMYFUNCTION("REGEXEXTRACT(J5775, ""[A-Za-z ]+$"")")," min")</f>
        <v> min</v>
      </c>
      <c r="AA5775" s="5" t="str">
        <f>IFERROR(__xludf.DUMMYFUNCTION("IF(REGEXMATCH(Z5775, ""Season""), ""TV Show"", ""Movie"")"),"Movie")</f>
        <v>Movie</v>
      </c>
    </row>
    <row r="5776">
      <c r="A5776" s="1" t="s">
        <v>29384</v>
      </c>
      <c r="B5776" s="1" t="s">
        <v>37</v>
      </c>
      <c r="C5776" s="1" t="s">
        <v>29385</v>
      </c>
      <c r="D5776" s="1" t="s">
        <v>6125</v>
      </c>
      <c r="E5776" s="1" t="s">
        <v>29386</v>
      </c>
      <c r="F5776" s="1" t="s">
        <v>30</v>
      </c>
      <c r="G5776" s="1" t="s">
        <v>29338</v>
      </c>
      <c r="H5776" s="1">
        <v>2015.0</v>
      </c>
      <c r="I5776" s="1" t="s">
        <v>42</v>
      </c>
      <c r="J5776" s="1" t="s">
        <v>51</v>
      </c>
      <c r="K5776" s="1" t="s">
        <v>1531</v>
      </c>
      <c r="L5776" s="1" t="s">
        <v>29387</v>
      </c>
      <c r="M5776" s="2" t="s">
        <v>12</v>
      </c>
      <c r="N5776" s="4">
        <f t="shared" si="1"/>
        <v>42644</v>
      </c>
      <c r="O5776" s="5" t="str">
        <f>IFERROR(__xludf.DUMMYFUNCTION("IF(REGEXMATCH(TRIM(I5776), ""^\d+\s*min""), ""Unclassified"", IF(I5776 = """", ""NR"", I5776))"),"TV-MA")</f>
        <v>TV-MA</v>
      </c>
      <c r="R5776" s="5" t="str">
        <f t="shared" si="2"/>
        <v>Old Money</v>
      </c>
      <c r="S5776" s="5" t="str">
        <f>IFERROR(__xludf.DUMMYFUNCTION("""COMPUTED_VALUE"""),"Rebellcomedy: Straight Outta The Zoo")</f>
        <v>Rebellcomedy: Straight Outta The Zoo</v>
      </c>
      <c r="V5776" s="5"/>
      <c r="Y5776" s="5" t="str">
        <f>IFERROR(__xludf.DUMMYFUNCTION("REGEXEXTRACT(J5776, ""^\d+"")"),"1")</f>
        <v>1</v>
      </c>
      <c r="Z5776" s="5" t="str">
        <f>IFERROR(__xludf.DUMMYFUNCTION("REGEXEXTRACT(J5776, ""[A-Za-z ]+$"")")," Season")</f>
        <v> Season</v>
      </c>
      <c r="AA5776" s="5" t="str">
        <f>IFERROR(__xludf.DUMMYFUNCTION("IF(REGEXMATCH(Z5776, ""Season""), ""TV Show"", ""Movie"")"),"TV Show")</f>
        <v>TV Show</v>
      </c>
    </row>
    <row r="5777">
      <c r="A5777" s="1" t="s">
        <v>29388</v>
      </c>
      <c r="B5777" s="1" t="s">
        <v>27</v>
      </c>
      <c r="C5777" s="1" t="s">
        <v>29389</v>
      </c>
      <c r="E5777" s="1" t="s">
        <v>27879</v>
      </c>
      <c r="G5777" s="1" t="s">
        <v>29338</v>
      </c>
      <c r="H5777" s="1">
        <v>2016.0</v>
      </c>
      <c r="I5777" s="1" t="s">
        <v>289</v>
      </c>
      <c r="J5777" s="1" t="s">
        <v>10890</v>
      </c>
      <c r="K5777" s="1" t="s">
        <v>2032</v>
      </c>
      <c r="L5777" s="1" t="s">
        <v>29390</v>
      </c>
      <c r="M5777" s="2" t="s">
        <v>12</v>
      </c>
      <c r="N5777" s="4">
        <f t="shared" si="1"/>
        <v>42644</v>
      </c>
      <c r="O5777" s="5" t="str">
        <f>IFERROR(__xludf.DUMMYFUNCTION("IF(REGEXMATCH(TRIM(I5777), ""^\d+\s*min""), ""Unclassified"", IF(I5777 = """", ""NR"", I5777))"),"TV-Y7")</f>
        <v>TV-Y7</v>
      </c>
      <c r="R5777" s="5" t="str">
        <f t="shared" si="2"/>
        <v>Pac'S Scary Halloween</v>
      </c>
      <c r="S5777" s="5" t="str">
        <f>IFERROR(__xludf.DUMMYFUNCTION("""COMPUTED_VALUE"""),"Rebellion")</f>
        <v>Rebellion</v>
      </c>
      <c r="V5777" s="5"/>
      <c r="Y5777" s="5" t="str">
        <f>IFERROR(__xludf.DUMMYFUNCTION("REGEXEXTRACT(J5777, ""^\d+"")"),"44")</f>
        <v>44</v>
      </c>
      <c r="Z5777" s="5" t="str">
        <f>IFERROR(__xludf.DUMMYFUNCTION("REGEXEXTRACT(J5777, ""[A-Za-z ]+$"")")," min")</f>
        <v> min</v>
      </c>
      <c r="AA5777" s="5" t="str">
        <f>IFERROR(__xludf.DUMMYFUNCTION("IF(REGEXMATCH(Z5777, ""Season""), ""TV Show"", ""Movie"")"),"Movie")</f>
        <v>Movie</v>
      </c>
    </row>
    <row r="5778">
      <c r="A5778" s="1" t="s">
        <v>29391</v>
      </c>
      <c r="B5778" s="1" t="s">
        <v>27</v>
      </c>
      <c r="C5778" s="1" t="s">
        <v>29392</v>
      </c>
      <c r="D5778" s="1" t="s">
        <v>18276</v>
      </c>
      <c r="E5778" s="1" t="s">
        <v>29393</v>
      </c>
      <c r="F5778" s="1" t="s">
        <v>4615</v>
      </c>
      <c r="G5778" s="1" t="s">
        <v>29338</v>
      </c>
      <c r="H5778" s="1">
        <v>2016.0</v>
      </c>
      <c r="I5778" s="1" t="s">
        <v>97</v>
      </c>
      <c r="J5778" s="1" t="s">
        <v>2505</v>
      </c>
      <c r="K5778" s="1" t="s">
        <v>128</v>
      </c>
      <c r="L5778" s="1" t="s">
        <v>29394</v>
      </c>
      <c r="M5778" s="2" t="s">
        <v>12</v>
      </c>
      <c r="N5778" s="4">
        <f t="shared" si="1"/>
        <v>42644</v>
      </c>
      <c r="O5778" s="5" t="str">
        <f>IFERROR(__xludf.DUMMYFUNCTION("IF(REGEXMATCH(TRIM(I5778), ""^\d+\s*min""), ""Unclassified"", IF(I5778 = """", ""NR"", I5778))"),"TV-14")</f>
        <v>TV-14</v>
      </c>
      <c r="R5778" s="5" t="str">
        <f t="shared" si="2"/>
        <v>Riphagen - The Untouchable</v>
      </c>
      <c r="S5778" s="5" t="str">
        <f>IFERROR(__xludf.DUMMYFUNCTION("""COMPUTED_VALUE"""),"Rebirth")</f>
        <v>Rebirth</v>
      </c>
      <c r="V5778" s="5"/>
      <c r="Y5778" s="5" t="str">
        <f>IFERROR(__xludf.DUMMYFUNCTION("REGEXEXTRACT(J5778, ""^\d+"")"),"132")</f>
        <v>132</v>
      </c>
      <c r="Z5778" s="5" t="str">
        <f>IFERROR(__xludf.DUMMYFUNCTION("REGEXEXTRACT(J5778, ""[A-Za-z ]+$"")")," min")</f>
        <v> min</v>
      </c>
      <c r="AA5778" s="5" t="str">
        <f>IFERROR(__xludf.DUMMYFUNCTION("IF(REGEXMATCH(Z5778, ""Season""), ""TV Show"", ""Movie"")"),"Movie")</f>
        <v>Movie</v>
      </c>
    </row>
    <row r="5779">
      <c r="A5779" s="1" t="s">
        <v>29395</v>
      </c>
      <c r="B5779" s="1" t="s">
        <v>37</v>
      </c>
      <c r="C5779" s="1" t="s">
        <v>29396</v>
      </c>
      <c r="E5779" s="1" t="s">
        <v>29397</v>
      </c>
      <c r="F5779" s="1" t="s">
        <v>2059</v>
      </c>
      <c r="G5779" s="1" t="s">
        <v>29338</v>
      </c>
      <c r="H5779" s="1">
        <v>2015.0</v>
      </c>
      <c r="I5779" s="1" t="s">
        <v>97</v>
      </c>
      <c r="J5779" s="1" t="s">
        <v>51</v>
      </c>
      <c r="K5779" s="1" t="s">
        <v>1907</v>
      </c>
      <c r="L5779" s="1" t="s">
        <v>29398</v>
      </c>
      <c r="M5779" s="2" t="s">
        <v>12</v>
      </c>
      <c r="N5779" s="4">
        <f t="shared" si="1"/>
        <v>42644</v>
      </c>
      <c r="O5779" s="5" t="str">
        <f>IFERROR(__xludf.DUMMYFUNCTION("IF(REGEXMATCH(TRIM(I5779), ""^\d+\s*min""), ""Unclassified"", IF(I5779 = """", ""NR"", I5779))"),"TV-14")</f>
        <v>TV-14</v>
      </c>
      <c r="R5779" s="5" t="str">
        <f t="shared" si="2"/>
        <v>Someone Like You</v>
      </c>
      <c r="S5779" s="5" t="str">
        <f>IFERROR(__xludf.DUMMYFUNCTION("""COMPUTED_VALUE"""),"Reboot: The Guardian Code")</f>
        <v>Reboot: The Guardian Code</v>
      </c>
      <c r="V5779" s="5"/>
      <c r="Y5779" s="5" t="str">
        <f>IFERROR(__xludf.DUMMYFUNCTION("REGEXEXTRACT(J5779, ""^\d+"")"),"1")</f>
        <v>1</v>
      </c>
      <c r="Z5779" s="5" t="str">
        <f>IFERROR(__xludf.DUMMYFUNCTION("REGEXEXTRACT(J5779, ""[A-Za-z ]+$"")")," Season")</f>
        <v> Season</v>
      </c>
      <c r="AA5779" s="5" t="str">
        <f>IFERROR(__xludf.DUMMYFUNCTION("IF(REGEXMATCH(Z5779, ""Season""), ""TV Show"", ""Movie"")"),"TV Show")</f>
        <v>TV Show</v>
      </c>
    </row>
    <row r="5780">
      <c r="A5780" s="1" t="s">
        <v>29399</v>
      </c>
      <c r="B5780" s="1" t="s">
        <v>27</v>
      </c>
      <c r="C5780" s="1" t="s">
        <v>29400</v>
      </c>
      <c r="D5780" s="1" t="s">
        <v>18365</v>
      </c>
      <c r="E5780" s="1" t="s">
        <v>29401</v>
      </c>
      <c r="F5780" s="1" t="s">
        <v>63</v>
      </c>
      <c r="G5780" s="1" t="s">
        <v>29338</v>
      </c>
      <c r="H5780" s="1">
        <v>2015.0</v>
      </c>
      <c r="I5780" s="1" t="s">
        <v>42</v>
      </c>
      <c r="J5780" s="1" t="s">
        <v>322</v>
      </c>
      <c r="K5780" s="1" t="s">
        <v>89</v>
      </c>
      <c r="L5780" s="1" t="s">
        <v>29402</v>
      </c>
      <c r="M5780" s="2" t="s">
        <v>12</v>
      </c>
      <c r="N5780" s="4">
        <f t="shared" si="1"/>
        <v>42644</v>
      </c>
      <c r="O5780" s="5" t="str">
        <f>IFERROR(__xludf.DUMMYFUNCTION("IF(REGEXMATCH(TRIM(I5780), ""^\d+\s*min""), ""Unclassified"", IF(I5780 = """", ""NR"", I5780))"),"TV-MA")</f>
        <v>TV-MA</v>
      </c>
      <c r="R5780" s="5" t="str">
        <f t="shared" si="2"/>
        <v>Umrika</v>
      </c>
      <c r="S5780" s="5" t="str">
        <f>IFERROR(__xludf.DUMMYFUNCTION("""COMPUTED_VALUE"""),"Recall")</f>
        <v>Recall</v>
      </c>
      <c r="V5780" s="5"/>
      <c r="Y5780" s="5" t="str">
        <f>IFERROR(__xludf.DUMMYFUNCTION("REGEXEXTRACT(J5780, ""^\d+"")"),"96")</f>
        <v>96</v>
      </c>
      <c r="Z5780" s="5" t="str">
        <f>IFERROR(__xludf.DUMMYFUNCTION("REGEXEXTRACT(J5780, ""[A-Za-z ]+$"")")," min")</f>
        <v> min</v>
      </c>
      <c r="AA5780" s="5" t="str">
        <f>IFERROR(__xludf.DUMMYFUNCTION("IF(REGEXMATCH(Z5780, ""Season""), ""TV Show"", ""Movie"")"),"Movie")</f>
        <v>Movie</v>
      </c>
    </row>
    <row r="5781">
      <c r="A5781" s="1" t="s">
        <v>29403</v>
      </c>
      <c r="B5781" s="1" t="s">
        <v>27</v>
      </c>
      <c r="C5781" s="1" t="s">
        <v>29404</v>
      </c>
      <c r="D5781" s="1" t="s">
        <v>17808</v>
      </c>
      <c r="E5781" s="1" t="s">
        <v>29405</v>
      </c>
      <c r="F5781" s="1" t="s">
        <v>30</v>
      </c>
      <c r="G5781" s="1" t="s">
        <v>29338</v>
      </c>
      <c r="H5781" s="1">
        <v>2016.0</v>
      </c>
      <c r="I5781" s="1" t="s">
        <v>42</v>
      </c>
      <c r="J5781" s="1" t="s">
        <v>665</v>
      </c>
      <c r="K5781" s="1" t="s">
        <v>645</v>
      </c>
      <c r="L5781" s="1" t="s">
        <v>29406</v>
      </c>
      <c r="M5781" s="2" t="s">
        <v>12</v>
      </c>
      <c r="N5781" s="4">
        <f t="shared" si="1"/>
        <v>42644</v>
      </c>
      <c r="O5781" s="5" t="str">
        <f>IFERROR(__xludf.DUMMYFUNCTION("IF(REGEXMATCH(TRIM(I5781), ""^\d+\s*min""), ""Unclassified"", IF(I5781 = """", ""NR"", I5781))"),"TV-MA")</f>
        <v>TV-MA</v>
      </c>
      <c r="R5781" s="5" t="str">
        <f t="shared" si="2"/>
        <v>Unchained: The Untold Story Of Freestyle Motocross</v>
      </c>
      <c r="S5781" s="5" t="str">
        <f>IFERROR(__xludf.DUMMYFUNCTION("""COMPUTED_VALUE"""),"Reckoning")</f>
        <v>Reckoning</v>
      </c>
      <c r="V5781" s="5"/>
      <c r="Y5781" s="5" t="str">
        <f>IFERROR(__xludf.DUMMYFUNCTION("REGEXEXTRACT(J5781, ""^\d+"")"),"92")</f>
        <v>92</v>
      </c>
      <c r="Z5781" s="5" t="str">
        <f>IFERROR(__xludf.DUMMYFUNCTION("REGEXEXTRACT(J5781, ""[A-Za-z ]+$"")")," min")</f>
        <v> min</v>
      </c>
      <c r="AA5781" s="5" t="str">
        <f>IFERROR(__xludf.DUMMYFUNCTION("IF(REGEXMATCH(Z5781, ""Season""), ""TV Show"", ""Movie"")"),"Movie")</f>
        <v>Movie</v>
      </c>
    </row>
    <row r="5782">
      <c r="A5782" s="1" t="s">
        <v>29407</v>
      </c>
      <c r="B5782" s="1" t="s">
        <v>27</v>
      </c>
      <c r="C5782" s="1" t="s">
        <v>29408</v>
      </c>
      <c r="D5782" s="1" t="s">
        <v>19084</v>
      </c>
      <c r="E5782" s="1" t="s">
        <v>29409</v>
      </c>
      <c r="F5782" s="1" t="s">
        <v>1779</v>
      </c>
      <c r="G5782" s="1" t="s">
        <v>29338</v>
      </c>
      <c r="H5782" s="1">
        <v>2013.0</v>
      </c>
      <c r="I5782" s="1" t="s">
        <v>42</v>
      </c>
      <c r="J5782" s="1" t="s">
        <v>416</v>
      </c>
      <c r="K5782" s="1" t="s">
        <v>199</v>
      </c>
      <c r="L5782" s="1" t="s">
        <v>29410</v>
      </c>
      <c r="M5782" s="2" t="s">
        <v>12</v>
      </c>
      <c r="N5782" s="4">
        <f t="shared" si="1"/>
        <v>42644</v>
      </c>
      <c r="O5782" s="5" t="str">
        <f>IFERROR(__xludf.DUMMYFUNCTION("IF(REGEXMATCH(TRIM(I5782), ""^\d+\s*min""), ""Unclassified"", IF(I5782 = """", ""NR"", I5782))"),"TV-MA")</f>
        <v>TV-MA</v>
      </c>
      <c r="R5782" s="5" t="str">
        <f t="shared" si="2"/>
        <v>Welcome Mr. President</v>
      </c>
      <c r="S5782" s="5" t="str">
        <f>IFERROR(__xludf.DUMMYFUNCTION("""COMPUTED_VALUE"""),"Record Of Grancrest War")</f>
        <v>Record Of Grancrest War</v>
      </c>
      <c r="V5782" s="5"/>
      <c r="Y5782" s="5" t="str">
        <f>IFERROR(__xludf.DUMMYFUNCTION("REGEXEXTRACT(J5782, ""^\d+"")"),"99")</f>
        <v>99</v>
      </c>
      <c r="Z5782" s="5" t="str">
        <f>IFERROR(__xludf.DUMMYFUNCTION("REGEXEXTRACT(J5782, ""[A-Za-z ]+$"")")," min")</f>
        <v> min</v>
      </c>
      <c r="AA5782" s="5" t="str">
        <f>IFERROR(__xludf.DUMMYFUNCTION("IF(REGEXMATCH(Z5782, ""Season""), ""TV Show"", ""Movie"")"),"Movie")</f>
        <v>Movie</v>
      </c>
    </row>
    <row r="5783">
      <c r="A5783" s="1" t="s">
        <v>29411</v>
      </c>
      <c r="B5783" s="1" t="s">
        <v>37</v>
      </c>
      <c r="C5783" s="1" t="s">
        <v>29412</v>
      </c>
      <c r="E5783" s="1" t="s">
        <v>29413</v>
      </c>
      <c r="F5783" s="1" t="s">
        <v>2059</v>
      </c>
      <c r="G5783" s="1" t="s">
        <v>29338</v>
      </c>
      <c r="H5783" s="1">
        <v>2015.0</v>
      </c>
      <c r="I5783" s="1" t="s">
        <v>97</v>
      </c>
      <c r="J5783" s="1" t="s">
        <v>51</v>
      </c>
      <c r="K5783" s="1" t="s">
        <v>64</v>
      </c>
      <c r="L5783" s="1" t="s">
        <v>29414</v>
      </c>
      <c r="M5783" s="2" t="s">
        <v>12</v>
      </c>
      <c r="N5783" s="4">
        <f t="shared" si="1"/>
        <v>42644</v>
      </c>
      <c r="O5783" s="5" t="str">
        <f>IFERROR(__xludf.DUMMYFUNCTION("IF(REGEXMATCH(TRIM(I5783), ""^\d+\s*min""), ""Unclassified"", IF(I5783 = """", ""NR"", I5783))"),"TV-14")</f>
        <v>TV-14</v>
      </c>
      <c r="R5783" s="5" t="str">
        <f t="shared" si="2"/>
        <v>When I See You Again</v>
      </c>
      <c r="S5783" s="5" t="str">
        <f>IFERROR(__xludf.DUMMYFUNCTION("""COMPUTED_VALUE"""),"Record Of Ragnarok")</f>
        <v>Record Of Ragnarok</v>
      </c>
      <c r="V5783" s="5"/>
      <c r="Y5783" s="5" t="str">
        <f>IFERROR(__xludf.DUMMYFUNCTION("REGEXEXTRACT(J5783, ""^\d+"")"),"1")</f>
        <v>1</v>
      </c>
      <c r="Z5783" s="5" t="str">
        <f>IFERROR(__xludf.DUMMYFUNCTION("REGEXEXTRACT(J5783, ""[A-Za-z ]+$"")")," Season")</f>
        <v> Season</v>
      </c>
      <c r="AA5783" s="5" t="str">
        <f>IFERROR(__xludf.DUMMYFUNCTION("IF(REGEXMATCH(Z5783, ""Season""), ""TV Show"", ""Movie"")"),"TV Show")</f>
        <v>TV Show</v>
      </c>
    </row>
    <row r="5784">
      <c r="A5784" s="1" t="s">
        <v>29415</v>
      </c>
      <c r="B5784" s="1" t="s">
        <v>27</v>
      </c>
      <c r="C5784" s="1" t="s">
        <v>29416</v>
      </c>
      <c r="D5784" s="1" t="s">
        <v>29417</v>
      </c>
      <c r="F5784" s="1" t="s">
        <v>8686</v>
      </c>
      <c r="G5784" s="1" t="s">
        <v>29418</v>
      </c>
      <c r="H5784" s="1">
        <v>2016.0</v>
      </c>
      <c r="I5784" s="1" t="s">
        <v>42</v>
      </c>
      <c r="J5784" s="1" t="s">
        <v>665</v>
      </c>
      <c r="K5784" s="1" t="s">
        <v>34</v>
      </c>
      <c r="L5784" s="1" t="s">
        <v>29419</v>
      </c>
      <c r="M5784" s="2" t="s">
        <v>12</v>
      </c>
      <c r="N5784" s="4">
        <f t="shared" si="1"/>
        <v>42643</v>
      </c>
      <c r="O5784" s="5" t="str">
        <f>IFERROR(__xludf.DUMMYFUNCTION("IF(REGEXMATCH(TRIM(I5784), ""^\d+\s*min""), ""Unclassified"", IF(I5784 = """", ""NR"", I5784))"),"TV-MA")</f>
        <v>TV-MA</v>
      </c>
      <c r="R5784" s="5" t="str">
        <f t="shared" si="2"/>
        <v>Amanda Knox</v>
      </c>
      <c r="S5784" s="5" t="str">
        <f>IFERROR(__xludf.DUMMYFUNCTION("""COMPUTED_VALUE"""),"Record Of Youth")</f>
        <v>Record Of Youth</v>
      </c>
      <c r="V5784" s="5"/>
      <c r="Y5784" s="5" t="str">
        <f>IFERROR(__xludf.DUMMYFUNCTION("REGEXEXTRACT(J5784, ""^\d+"")"),"92")</f>
        <v>92</v>
      </c>
      <c r="Z5784" s="5" t="str">
        <f>IFERROR(__xludf.DUMMYFUNCTION("REGEXEXTRACT(J5784, ""[A-Za-z ]+$"")")," min")</f>
        <v> min</v>
      </c>
      <c r="AA5784" s="5" t="str">
        <f>IFERROR(__xludf.DUMMYFUNCTION("IF(REGEXMATCH(Z5784, ""Season""), ""TV Show"", ""Movie"")"),"Movie")</f>
        <v>Movie</v>
      </c>
    </row>
    <row r="5785">
      <c r="A5785" s="1" t="s">
        <v>29420</v>
      </c>
      <c r="B5785" s="1" t="s">
        <v>27</v>
      </c>
      <c r="C5785" s="1" t="s">
        <v>29421</v>
      </c>
      <c r="D5785" s="1" t="s">
        <v>3579</v>
      </c>
      <c r="F5785" s="1" t="s">
        <v>30</v>
      </c>
      <c r="G5785" s="1" t="s">
        <v>29422</v>
      </c>
      <c r="H5785" s="1">
        <v>2016.0</v>
      </c>
      <c r="I5785" s="1" t="s">
        <v>42</v>
      </c>
      <c r="J5785" s="1" t="s">
        <v>416</v>
      </c>
      <c r="K5785" s="1" t="s">
        <v>34</v>
      </c>
      <c r="L5785" s="1" t="s">
        <v>29423</v>
      </c>
      <c r="M5785" s="2" t="s">
        <v>12</v>
      </c>
      <c r="N5785" s="4">
        <f t="shared" si="1"/>
        <v>42636</v>
      </c>
      <c r="O5785" s="5" t="str">
        <f>IFERROR(__xludf.DUMMYFUNCTION("IF(REGEXMATCH(TRIM(I5785), ""^\d+\s*min""), ""Unclassified"", IF(I5785 = """", ""NR"", I5785))"),"TV-MA")</f>
        <v>TV-MA</v>
      </c>
      <c r="R5785" s="5" t="str">
        <f t="shared" si="2"/>
        <v>Audrie &amp; Daisy</v>
      </c>
      <c r="S5785" s="5" t="str">
        <f>IFERROR(__xludf.DUMMYFUNCTION("""COMPUTED_VALUE"""),"Recovery Boys")</f>
        <v>Recovery Boys</v>
      </c>
      <c r="V5785" s="5"/>
      <c r="Y5785" s="5" t="str">
        <f>IFERROR(__xludf.DUMMYFUNCTION("REGEXEXTRACT(J5785, ""^\d+"")"),"99")</f>
        <v>99</v>
      </c>
      <c r="Z5785" s="5" t="str">
        <f>IFERROR(__xludf.DUMMYFUNCTION("REGEXEXTRACT(J5785, ""[A-Za-z ]+$"")")," min")</f>
        <v> min</v>
      </c>
      <c r="AA5785" s="5" t="str">
        <f>IFERROR(__xludf.DUMMYFUNCTION("IF(REGEXMATCH(Z5785, ""Season""), ""TV Show"", ""Movie"")"),"Movie")</f>
        <v>Movie</v>
      </c>
    </row>
    <row r="5786">
      <c r="A5786" s="1" t="s">
        <v>29424</v>
      </c>
      <c r="B5786" s="1" t="s">
        <v>27</v>
      </c>
      <c r="C5786" s="1" t="s">
        <v>29425</v>
      </c>
      <c r="D5786" s="1" t="s">
        <v>3562</v>
      </c>
      <c r="E5786" s="1" t="s">
        <v>17976</v>
      </c>
      <c r="F5786" s="1" t="s">
        <v>30</v>
      </c>
      <c r="G5786" s="1" t="s">
        <v>29422</v>
      </c>
      <c r="H5786" s="1">
        <v>2016.0</v>
      </c>
      <c r="I5786" s="1" t="s">
        <v>42</v>
      </c>
      <c r="J5786" s="1" t="s">
        <v>1737</v>
      </c>
      <c r="K5786" s="1" t="s">
        <v>1839</v>
      </c>
      <c r="L5786" s="1" t="s">
        <v>29426</v>
      </c>
      <c r="M5786" s="2" t="s">
        <v>12</v>
      </c>
      <c r="N5786" s="4">
        <f t="shared" si="1"/>
        <v>42636</v>
      </c>
      <c r="O5786" s="5" t="str">
        <f>IFERROR(__xludf.DUMMYFUNCTION("IF(REGEXMATCH(TRIM(I5786), ""^\d+\s*min""), ""Unclassified"", IF(I5786 = """", ""NR"", I5786))"),"TV-MA")</f>
        <v>TV-MA</v>
      </c>
      <c r="R5786" s="5" t="str">
        <f t="shared" si="2"/>
        <v>Iliza Shlesinger: Confirmed Kills</v>
      </c>
      <c r="S5786" s="5" t="str">
        <f>IFERROR(__xludf.DUMMYFUNCTION("""COMPUTED_VALUE"""),"Rectify")</f>
        <v>Rectify</v>
      </c>
      <c r="V5786" s="5"/>
      <c r="Y5786" s="5" t="str">
        <f>IFERROR(__xludf.DUMMYFUNCTION("REGEXEXTRACT(J5786, ""^\d+"")"),"78")</f>
        <v>78</v>
      </c>
      <c r="Z5786" s="5" t="str">
        <f>IFERROR(__xludf.DUMMYFUNCTION("REGEXEXTRACT(J5786, ""[A-Za-z ]+$"")")," min")</f>
        <v> min</v>
      </c>
      <c r="AA5786" s="5" t="str">
        <f>IFERROR(__xludf.DUMMYFUNCTION("IF(REGEXMATCH(Z5786, ""Season""), ""TV Show"", ""Movie"")"),"Movie")</f>
        <v>Movie</v>
      </c>
    </row>
    <row r="5787">
      <c r="A5787" s="1" t="s">
        <v>29427</v>
      </c>
      <c r="B5787" s="1" t="s">
        <v>37</v>
      </c>
      <c r="C5787" s="1" t="s">
        <v>29428</v>
      </c>
      <c r="E5787" s="1" t="s">
        <v>27256</v>
      </c>
      <c r="F5787" s="1" t="s">
        <v>30</v>
      </c>
      <c r="G5787" s="1" t="s">
        <v>29422</v>
      </c>
      <c r="H5787" s="1">
        <v>2016.0</v>
      </c>
      <c r="I5787" s="1" t="s">
        <v>206</v>
      </c>
      <c r="J5787" s="1" t="s">
        <v>148</v>
      </c>
      <c r="K5787" s="1" t="s">
        <v>290</v>
      </c>
      <c r="L5787" s="1" t="s">
        <v>29429</v>
      </c>
      <c r="M5787" s="2" t="s">
        <v>12</v>
      </c>
      <c r="N5787" s="4">
        <f t="shared" si="1"/>
        <v>42636</v>
      </c>
      <c r="O5787" s="5" t="str">
        <f>IFERROR(__xludf.DUMMYFUNCTION("IF(REGEXMATCH(TRIM(I5787), ""^\d+\s*min""), ""Unclassified"", IF(I5787 = """", ""NR"", I5787))"),"TV-Y")</f>
        <v>TV-Y</v>
      </c>
      <c r="R5787" s="5" t="str">
        <f t="shared" si="2"/>
        <v>Veggietales In The House</v>
      </c>
      <c r="S5787" s="5" t="str">
        <f>IFERROR(__xludf.DUMMYFUNCTION("""COMPUTED_VALUE"""),"Red")</f>
        <v>Red</v>
      </c>
      <c r="V5787" s="5"/>
      <c r="Y5787" s="5" t="str">
        <f>IFERROR(__xludf.DUMMYFUNCTION("REGEXEXTRACT(J5787, ""^\d+"")"),"4")</f>
        <v>4</v>
      </c>
      <c r="Z5787" s="5" t="str">
        <f>IFERROR(__xludf.DUMMYFUNCTION("REGEXEXTRACT(J5787, ""[A-Za-z ]+$"")")," Seasons")</f>
        <v> Seasons</v>
      </c>
      <c r="AA5787" s="5" t="str">
        <f>IFERROR(__xludf.DUMMYFUNCTION("IF(REGEXMATCH(Z5787, ""Season""), ""TV Show"", ""Movie"")"),"TV Show")</f>
        <v>TV Show</v>
      </c>
    </row>
    <row r="5788">
      <c r="A5788" s="1" t="s">
        <v>29430</v>
      </c>
      <c r="B5788" s="1" t="s">
        <v>27</v>
      </c>
      <c r="C5788" s="1" t="s">
        <v>29431</v>
      </c>
      <c r="E5788" s="1" t="s">
        <v>29432</v>
      </c>
      <c r="G5788" s="1" t="s">
        <v>29433</v>
      </c>
      <c r="H5788" s="1">
        <v>2016.0</v>
      </c>
      <c r="I5788" s="1" t="s">
        <v>42</v>
      </c>
      <c r="J5788" s="1" t="s">
        <v>2616</v>
      </c>
      <c r="K5788" s="1" t="s">
        <v>1839</v>
      </c>
      <c r="L5788" s="1" t="s">
        <v>29434</v>
      </c>
      <c r="M5788" s="2" t="s">
        <v>12</v>
      </c>
      <c r="N5788" s="4">
        <f t="shared" si="1"/>
        <v>42632</v>
      </c>
      <c r="O5788" s="5" t="str">
        <f>IFERROR(__xludf.DUMMYFUNCTION("IF(REGEXMATCH(TRIM(I5788), ""^\d+\s*min""), ""Unclassified"", IF(I5788 = """", ""NR"", I5788))"),"TV-MA")</f>
        <v>TV-MA</v>
      </c>
      <c r="R5788" s="5" t="str">
        <f t="shared" si="2"/>
        <v>Karol Modzelewski, Łukasz „Lotek” Lodkowski No Offense</v>
      </c>
      <c r="S5788" s="5" t="str">
        <f>IFERROR(__xludf.DUMMYFUNCTION("""COMPUTED_VALUE"""),"Red Christmas")</f>
        <v>Red Christmas</v>
      </c>
      <c r="V5788" s="5"/>
      <c r="Y5788" s="5" t="str">
        <f>IFERROR(__xludf.DUMMYFUNCTION("REGEXEXTRACT(J5788, ""^\d+"")"),"65")</f>
        <v>65</v>
      </c>
      <c r="Z5788" s="5" t="str">
        <f>IFERROR(__xludf.DUMMYFUNCTION("REGEXEXTRACT(J5788, ""[A-Za-z ]+$"")")," min")</f>
        <v> min</v>
      </c>
      <c r="AA5788" s="5" t="str">
        <f>IFERROR(__xludf.DUMMYFUNCTION("IF(REGEXMATCH(Z5788, ""Season""), ""TV Show"", ""Movie"")"),"Movie")</f>
        <v>Movie</v>
      </c>
    </row>
    <row r="5789">
      <c r="A5789" s="1" t="s">
        <v>29435</v>
      </c>
      <c r="B5789" s="1" t="s">
        <v>27</v>
      </c>
      <c r="C5789" s="1" t="s">
        <v>29436</v>
      </c>
      <c r="E5789" s="1" t="s">
        <v>29437</v>
      </c>
      <c r="G5789" s="1" t="s">
        <v>29433</v>
      </c>
      <c r="H5789" s="1">
        <v>2016.0</v>
      </c>
      <c r="I5789" s="1" t="s">
        <v>42</v>
      </c>
      <c r="J5789" s="1" t="s">
        <v>2616</v>
      </c>
      <c r="K5789" s="1" t="s">
        <v>1839</v>
      </c>
      <c r="L5789" s="1" t="s">
        <v>29438</v>
      </c>
      <c r="M5789" s="2" t="s">
        <v>12</v>
      </c>
      <c r="N5789" s="4">
        <f t="shared" si="1"/>
        <v>42632</v>
      </c>
      <c r="O5789" s="5" t="str">
        <f>IFERROR(__xludf.DUMMYFUNCTION("IF(REGEXMATCH(TRIM(I5789), ""^\d+\s*min""), ""Unclassified"", IF(I5789 = """", ""NR"", I5789))"),"TV-MA")</f>
        <v>TV-MA</v>
      </c>
      <c r="R5789" s="5" t="str">
        <f t="shared" si="2"/>
        <v>Katarzyna Piasecka, Rafał Pacześ Seriously Funny</v>
      </c>
      <c r="S5789" s="5" t="str">
        <f>IFERROR(__xludf.DUMMYFUNCTION("""COMPUTED_VALUE"""),"Red Dawn")</f>
        <v>Red Dawn</v>
      </c>
      <c r="V5789" s="5"/>
      <c r="Y5789" s="5" t="str">
        <f>IFERROR(__xludf.DUMMYFUNCTION("REGEXEXTRACT(J5789, ""^\d+"")"),"65")</f>
        <v>65</v>
      </c>
      <c r="Z5789" s="5" t="str">
        <f>IFERROR(__xludf.DUMMYFUNCTION("REGEXEXTRACT(J5789, ""[A-Za-z ]+$"")")," min")</f>
        <v> min</v>
      </c>
      <c r="AA5789" s="5" t="str">
        <f>IFERROR(__xludf.DUMMYFUNCTION("IF(REGEXMATCH(Z5789, ""Season""), ""TV Show"", ""Movie"")"),"Movie")</f>
        <v>Movie</v>
      </c>
    </row>
    <row r="5790">
      <c r="A5790" s="1" t="s">
        <v>29439</v>
      </c>
      <c r="B5790" s="1" t="s">
        <v>27</v>
      </c>
      <c r="C5790" s="1" t="s">
        <v>29440</v>
      </c>
      <c r="E5790" s="1" t="s">
        <v>29441</v>
      </c>
      <c r="G5790" s="1" t="s">
        <v>29433</v>
      </c>
      <c r="H5790" s="1">
        <v>2016.0</v>
      </c>
      <c r="I5790" s="1" t="s">
        <v>42</v>
      </c>
      <c r="J5790" s="1" t="s">
        <v>1993</v>
      </c>
      <c r="K5790" s="1" t="s">
        <v>1839</v>
      </c>
      <c r="L5790" s="1" t="s">
        <v>29442</v>
      </c>
      <c r="M5790" s="2" t="s">
        <v>12</v>
      </c>
      <c r="N5790" s="4">
        <f t="shared" si="1"/>
        <v>42632</v>
      </c>
      <c r="O5790" s="5" t="str">
        <f>IFERROR(__xludf.DUMMYFUNCTION("IF(REGEXMATCH(TRIM(I5790), ""^\d+\s*min""), ""Unclassified"", IF(I5790 = """", ""NR"", I5790))"),"TV-MA")</f>
        <v>TV-MA</v>
      </c>
      <c r="R5790" s="5" t="str">
        <f t="shared" si="2"/>
        <v>Mariusz Kałamaga, Karol Kopiec, Wiolka Walaszczyk Hilarious Trio</v>
      </c>
      <c r="S5790" s="5" t="str">
        <f>IFERROR(__xludf.DUMMYFUNCTION("""COMPUTED_VALUE"""),"Red Dot")</f>
        <v>Red Dot</v>
      </c>
      <c r="V5790" s="5"/>
      <c r="Y5790" s="5" t="str">
        <f>IFERROR(__xludf.DUMMYFUNCTION("REGEXEXTRACT(J5790, ""^\d+"")"),"69")</f>
        <v>69</v>
      </c>
      <c r="Z5790" s="5" t="str">
        <f>IFERROR(__xludf.DUMMYFUNCTION("REGEXEXTRACT(J5790, ""[A-Za-z ]+$"")")," min")</f>
        <v> min</v>
      </c>
      <c r="AA5790" s="5" t="str">
        <f>IFERROR(__xludf.DUMMYFUNCTION("IF(REGEXMATCH(Z5790, ""Season""), ""TV Show"", ""Movie"")"),"Movie")</f>
        <v>Movie</v>
      </c>
    </row>
    <row r="5791">
      <c r="A5791" s="1" t="s">
        <v>29443</v>
      </c>
      <c r="B5791" s="1" t="s">
        <v>27</v>
      </c>
      <c r="C5791" s="1" t="s">
        <v>29444</v>
      </c>
      <c r="E5791" s="1" t="s">
        <v>29445</v>
      </c>
      <c r="G5791" s="1" t="s">
        <v>29433</v>
      </c>
      <c r="H5791" s="1">
        <v>2016.0</v>
      </c>
      <c r="I5791" s="1" t="s">
        <v>42</v>
      </c>
      <c r="J5791" s="1" t="s">
        <v>1838</v>
      </c>
      <c r="K5791" s="1" t="s">
        <v>1839</v>
      </c>
      <c r="L5791" s="1" t="s">
        <v>29446</v>
      </c>
      <c r="M5791" s="2" t="s">
        <v>12</v>
      </c>
      <c r="N5791" s="4">
        <f t="shared" si="1"/>
        <v>42632</v>
      </c>
      <c r="O5791" s="5" t="str">
        <f>IFERROR(__xludf.DUMMYFUNCTION("IF(REGEXMATCH(TRIM(I5791), ""^\d+\s*min""), ""Unclassified"", IF(I5791 = """", ""NR"", I5791))"),"TV-MA")</f>
        <v>TV-MA</v>
      </c>
      <c r="R5791" s="5" t="str">
        <f t="shared" si="2"/>
        <v>Rafał Banaś, Michał Leja Laugh Out Loud</v>
      </c>
      <c r="S5791" s="5" t="str">
        <f>IFERROR(__xludf.DUMMYFUNCTION("""COMPUTED_VALUE"""),"Red Joan")</f>
        <v>Red Joan</v>
      </c>
      <c r="V5791" s="5"/>
      <c r="Y5791" s="5" t="str">
        <f>IFERROR(__xludf.DUMMYFUNCTION("REGEXEXTRACT(J5791, ""^\d+"")"),"64")</f>
        <v>64</v>
      </c>
      <c r="Z5791" s="5" t="str">
        <f>IFERROR(__xludf.DUMMYFUNCTION("REGEXEXTRACT(J5791, ""[A-Za-z ]+$"")")," min")</f>
        <v> min</v>
      </c>
      <c r="AA5791" s="5" t="str">
        <f>IFERROR(__xludf.DUMMYFUNCTION("IF(REGEXMATCH(Z5791, ""Season""), ""TV Show"", ""Movie"")"),"Movie")</f>
        <v>Movie</v>
      </c>
    </row>
    <row r="5792">
      <c r="A5792" s="1" t="s">
        <v>29447</v>
      </c>
      <c r="B5792" s="1" t="s">
        <v>27</v>
      </c>
      <c r="C5792" s="1" t="s">
        <v>29448</v>
      </c>
      <c r="E5792" s="1" t="s">
        <v>29449</v>
      </c>
      <c r="G5792" s="1" t="s">
        <v>29433</v>
      </c>
      <c r="H5792" s="1">
        <v>2016.0</v>
      </c>
      <c r="I5792" s="1" t="s">
        <v>42</v>
      </c>
      <c r="J5792" s="1" t="s">
        <v>919</v>
      </c>
      <c r="K5792" s="1" t="s">
        <v>1839</v>
      </c>
      <c r="L5792" s="1" t="s">
        <v>29450</v>
      </c>
      <c r="M5792" s="2" t="s">
        <v>12</v>
      </c>
      <c r="N5792" s="4">
        <f t="shared" si="1"/>
        <v>42632</v>
      </c>
      <c r="O5792" s="5" t="str">
        <f>IFERROR(__xludf.DUMMYFUNCTION("IF(REGEXMATCH(TRIM(I5792), ""^\d+\s*min""), ""Unclassified"", IF(I5792 = """", ""NR"", I5792))"),"TV-MA")</f>
        <v>TV-MA</v>
      </c>
      <c r="R5792" s="5" t="str">
        <f t="shared" si="2"/>
        <v>The Best Of Rafał Rutkowski Olka Szczęśniak</v>
      </c>
      <c r="S5792" s="5" t="str">
        <f>IFERROR(__xludf.DUMMYFUNCTION("""COMPUTED_VALUE"""),"Red Oleanders Raktokarobi")</f>
        <v>Red Oleanders Raktokarobi</v>
      </c>
      <c r="V5792" s="5"/>
      <c r="Y5792" s="5" t="str">
        <f>IFERROR(__xludf.DUMMYFUNCTION("REGEXEXTRACT(J5792, ""^\d+"")"),"63")</f>
        <v>63</v>
      </c>
      <c r="Z5792" s="5" t="str">
        <f>IFERROR(__xludf.DUMMYFUNCTION("REGEXEXTRACT(J5792, ""[A-Za-z ]+$"")")," min")</f>
        <v> min</v>
      </c>
      <c r="AA5792" s="5" t="str">
        <f>IFERROR(__xludf.DUMMYFUNCTION("IF(REGEXMATCH(Z5792, ""Season""), ""TV Show"", ""Movie"")"),"Movie")</f>
        <v>Movie</v>
      </c>
    </row>
    <row r="5793">
      <c r="A5793" s="1" t="s">
        <v>29451</v>
      </c>
      <c r="B5793" s="1" t="s">
        <v>27</v>
      </c>
      <c r="C5793" s="1" t="s">
        <v>29452</v>
      </c>
      <c r="E5793" s="1" t="s">
        <v>29453</v>
      </c>
      <c r="G5793" s="1" t="s">
        <v>29433</v>
      </c>
      <c r="H5793" s="1">
        <v>2016.0</v>
      </c>
      <c r="I5793" s="1" t="s">
        <v>42</v>
      </c>
      <c r="J5793" s="1" t="s">
        <v>919</v>
      </c>
      <c r="K5793" s="1" t="s">
        <v>1839</v>
      </c>
      <c r="L5793" s="1" t="s">
        <v>29454</v>
      </c>
      <c r="M5793" s="2" t="s">
        <v>12</v>
      </c>
      <c r="N5793" s="4">
        <f t="shared" si="1"/>
        <v>42632</v>
      </c>
      <c r="O5793" s="5" t="str">
        <f>IFERROR(__xludf.DUMMYFUNCTION("IF(REGEXMATCH(TRIM(I5793), ""^\d+\s*min""), ""Unclassified"", IF(I5793 = """", ""NR"", I5793))"),"TV-MA")</f>
        <v>TV-MA</v>
      </c>
      <c r="R5793" s="5" t="str">
        <f t="shared" si="2"/>
        <v>Tomasz Jachimek, Jacek Stramik Laugh At Live</v>
      </c>
      <c r="S5793" s="5" t="str">
        <f>IFERROR(__xludf.DUMMYFUNCTION("""COMPUTED_VALUE"""),"Red Snow")</f>
        <v>Red Snow</v>
      </c>
      <c r="V5793" s="5"/>
      <c r="Y5793" s="5" t="str">
        <f>IFERROR(__xludf.DUMMYFUNCTION("REGEXEXTRACT(J5793, ""^\d+"")"),"63")</f>
        <v>63</v>
      </c>
      <c r="Z5793" s="5" t="str">
        <f>IFERROR(__xludf.DUMMYFUNCTION("REGEXEXTRACT(J5793, ""[A-Za-z ]+$"")")," min")</f>
        <v> min</v>
      </c>
      <c r="AA5793" s="5" t="str">
        <f>IFERROR(__xludf.DUMMYFUNCTION("IF(REGEXMATCH(Z5793, ""Season""), ""TV Show"", ""Movie"")"),"Movie")</f>
        <v>Movie</v>
      </c>
    </row>
    <row r="5794">
      <c r="A5794" s="1" t="s">
        <v>29455</v>
      </c>
      <c r="B5794" s="1" t="s">
        <v>27</v>
      </c>
      <c r="C5794" s="1" t="s">
        <v>29456</v>
      </c>
      <c r="D5794" s="1" t="s">
        <v>22815</v>
      </c>
      <c r="E5794" s="1" t="s">
        <v>29457</v>
      </c>
      <c r="F5794" s="1" t="s">
        <v>1979</v>
      </c>
      <c r="G5794" s="1" t="s">
        <v>29458</v>
      </c>
      <c r="H5794" s="1">
        <v>2016.0</v>
      </c>
      <c r="I5794" s="1" t="s">
        <v>42</v>
      </c>
      <c r="J5794" s="1" t="s">
        <v>1191</v>
      </c>
      <c r="K5794" s="1" t="s">
        <v>14389</v>
      </c>
      <c r="L5794" s="1" t="s">
        <v>29459</v>
      </c>
      <c r="M5794" s="2" t="s">
        <v>12</v>
      </c>
      <c r="N5794" s="4">
        <f t="shared" si="1"/>
        <v>42629</v>
      </c>
      <c r="O5794" s="5" t="str">
        <f>IFERROR(__xludf.DUMMYFUNCTION("IF(REGEXMATCH(TRIM(I5794), ""^\d+\s*min""), ""Unclassified"", IF(I5794 = """", ""NR"", I5794))"),"TV-MA")</f>
        <v>TV-MA</v>
      </c>
      <c r="R5794" s="5" t="str">
        <f t="shared" si="2"/>
        <v>Arq</v>
      </c>
      <c r="S5794" s="5" t="str">
        <f>IFERROR(__xludf.DUMMYFUNCTION("""COMPUTED_VALUE"""),"Red Trees")</f>
        <v>Red Trees</v>
      </c>
      <c r="V5794" s="5"/>
      <c r="Y5794" s="5" t="str">
        <f>IFERROR(__xludf.DUMMYFUNCTION("REGEXEXTRACT(J5794, ""^\d+"")"),"89")</f>
        <v>89</v>
      </c>
      <c r="Z5794" s="5" t="str">
        <f>IFERROR(__xludf.DUMMYFUNCTION("REGEXEXTRACT(J5794, ""[A-Za-z ]+$"")")," min")</f>
        <v> min</v>
      </c>
      <c r="AA5794" s="5" t="str">
        <f>IFERROR(__xludf.DUMMYFUNCTION("IF(REGEXMATCH(Z5794, ""Season""), ""TV Show"", ""Movie"")"),"Movie")</f>
        <v>Movie</v>
      </c>
    </row>
    <row r="5795">
      <c r="A5795" s="1" t="s">
        <v>29460</v>
      </c>
      <c r="B5795" s="1" t="s">
        <v>27</v>
      </c>
      <c r="C5795" s="1" t="s">
        <v>29461</v>
      </c>
      <c r="D5795" s="1" t="s">
        <v>7037</v>
      </c>
      <c r="E5795" s="1" t="s">
        <v>29462</v>
      </c>
      <c r="F5795" s="1" t="s">
        <v>30</v>
      </c>
      <c r="G5795" s="1" t="s">
        <v>29458</v>
      </c>
      <c r="H5795" s="1">
        <v>2016.0</v>
      </c>
      <c r="I5795" s="1" t="s">
        <v>42</v>
      </c>
      <c r="J5795" s="1" t="s">
        <v>4639</v>
      </c>
      <c r="K5795" s="1" t="s">
        <v>1839</v>
      </c>
      <c r="L5795" s="1" t="s">
        <v>29463</v>
      </c>
      <c r="M5795" s="2" t="s">
        <v>12</v>
      </c>
      <c r="N5795" s="4">
        <f t="shared" si="1"/>
        <v>42629</v>
      </c>
      <c r="O5795" s="5" t="str">
        <f>IFERROR(__xludf.DUMMYFUNCTION("IF(REGEXMATCH(TRIM(I5795), ""^\d+\s*min""), ""Unclassified"", IF(I5795 = """", ""NR"", I5795))"),"TV-MA")</f>
        <v>TV-MA</v>
      </c>
      <c r="R5795" s="5" t="str">
        <f t="shared" si="2"/>
        <v>Cedric The Entertainer: Live From The Ville</v>
      </c>
      <c r="S5795" s="5" t="str">
        <f>IFERROR(__xludf.DUMMYFUNCTION("""COMPUTED_VALUE"""),"Red Vs. Blue")</f>
        <v>Red Vs. Blue</v>
      </c>
      <c r="V5795" s="5"/>
      <c r="Y5795" s="5" t="str">
        <f>IFERROR(__xludf.DUMMYFUNCTION("REGEXEXTRACT(J5795, ""^\d+"")"),"60")</f>
        <v>60</v>
      </c>
      <c r="Z5795" s="5" t="str">
        <f>IFERROR(__xludf.DUMMYFUNCTION("REGEXEXTRACT(J5795, ""[A-Za-z ]+$"")")," min")</f>
        <v> min</v>
      </c>
      <c r="AA5795" s="5" t="str">
        <f>IFERROR(__xludf.DUMMYFUNCTION("IF(REGEXMATCH(Z5795, ""Season""), ""TV Show"", ""Movie"")"),"Movie")</f>
        <v>Movie</v>
      </c>
    </row>
    <row r="5796">
      <c r="A5796" s="1" t="s">
        <v>29464</v>
      </c>
      <c r="B5796" s="1" t="s">
        <v>27</v>
      </c>
      <c r="C5796" s="1" t="s">
        <v>29465</v>
      </c>
      <c r="D5796" s="1" t="s">
        <v>13952</v>
      </c>
      <c r="E5796" s="1" t="s">
        <v>13952</v>
      </c>
      <c r="F5796" s="1" t="s">
        <v>30</v>
      </c>
      <c r="G5796" s="1" t="s">
        <v>29458</v>
      </c>
      <c r="H5796" s="1">
        <v>2010.0</v>
      </c>
      <c r="I5796" s="1" t="s">
        <v>1608</v>
      </c>
      <c r="K5796" s="1" t="s">
        <v>2032</v>
      </c>
      <c r="L5796" s="1" t="s">
        <v>29466</v>
      </c>
      <c r="M5796" s="2" t="s">
        <v>12</v>
      </c>
      <c r="N5796" s="4">
        <f t="shared" si="1"/>
        <v>42629</v>
      </c>
      <c r="O5796" s="5" t="str">
        <f>IFERROR(__xludf.DUMMYFUNCTION("IF(REGEXMATCH(TRIM(I5796), ""^\d+\s*min""), ""Unclassified"", IF(I5796 = """", ""NR"", I5796))"),"Unclassified")</f>
        <v>Unclassified</v>
      </c>
      <c r="R5796" s="5" t="str">
        <f t="shared" si="2"/>
        <v>Louis C.K.: Hilarious</v>
      </c>
      <c r="S5796" s="5" t="str">
        <f>IFERROR(__xludf.DUMMYFUNCTION("""COMPUTED_VALUE"""),"Redemption")</f>
        <v>Redemption</v>
      </c>
      <c r="V5796" s="5"/>
      <c r="Y5796" s="5" t="str">
        <f>IFERROR(__xludf.DUMMYFUNCTION("REGEXEXTRACT(J5796, ""^\d+"")"),"#N/A")</f>
        <v>#N/A</v>
      </c>
      <c r="Z5796" s="5" t="str">
        <f>IFERROR(__xludf.DUMMYFUNCTION("REGEXEXTRACT(J5796, ""[A-Za-z ]+$"")"),"#N/A")</f>
        <v>#N/A</v>
      </c>
      <c r="AA5796" s="5" t="str">
        <f>IFERROR(__xludf.DUMMYFUNCTION("IF(REGEXMATCH(Z5796, ""Season""), ""TV Show"", ""Movie"")"),"#N/A")</f>
        <v>#N/A</v>
      </c>
    </row>
    <row r="5797">
      <c r="A5797" s="1" t="s">
        <v>29467</v>
      </c>
      <c r="B5797" s="1" t="s">
        <v>27</v>
      </c>
      <c r="C5797" s="1" t="s">
        <v>29468</v>
      </c>
      <c r="D5797" s="1" t="s">
        <v>19312</v>
      </c>
      <c r="F5797" s="1" t="s">
        <v>96</v>
      </c>
      <c r="G5797" s="1" t="s">
        <v>29458</v>
      </c>
      <c r="H5797" s="1">
        <v>2016.0</v>
      </c>
      <c r="I5797" s="1" t="s">
        <v>136</v>
      </c>
      <c r="J5797" s="1" t="s">
        <v>12531</v>
      </c>
      <c r="K5797" s="1" t="s">
        <v>34</v>
      </c>
      <c r="L5797" s="1" t="s">
        <v>29469</v>
      </c>
      <c r="M5797" s="2" t="s">
        <v>12</v>
      </c>
      <c r="N5797" s="4">
        <f t="shared" si="1"/>
        <v>42629</v>
      </c>
      <c r="O5797" s="5" t="str">
        <f>IFERROR(__xludf.DUMMYFUNCTION("IF(REGEXMATCH(TRIM(I5797), ""^\d+\s*min""), ""Unclassified"", IF(I5797 = """", ""NR"", I5797))"),"TV-PG")</f>
        <v>TV-PG</v>
      </c>
      <c r="R5797" s="5" t="str">
        <f t="shared" si="2"/>
        <v>The White Helmets</v>
      </c>
      <c r="S5797" s="5" t="str">
        <f>IFERROR(__xludf.DUMMYFUNCTION("""COMPUTED_VALUE"""),"Reframe Theater Experience With You")</f>
        <v>Reframe Theater Experience With You</v>
      </c>
      <c r="V5797" s="5"/>
      <c r="Y5797" s="5" t="str">
        <f>IFERROR(__xludf.DUMMYFUNCTION("REGEXEXTRACT(J5797, ""^\d+"")"),"41")</f>
        <v>41</v>
      </c>
      <c r="Z5797" s="5" t="str">
        <f>IFERROR(__xludf.DUMMYFUNCTION("REGEXEXTRACT(J5797, ""[A-Za-z ]+$"")")," min")</f>
        <v> min</v>
      </c>
      <c r="AA5797" s="5" t="str">
        <f>IFERROR(__xludf.DUMMYFUNCTION("IF(REGEXMATCH(Z5797, ""Season""), ""TV Show"", ""Movie"")"),"Movie")</f>
        <v>Movie</v>
      </c>
    </row>
    <row r="5798">
      <c r="A5798" s="1" t="s">
        <v>29470</v>
      </c>
      <c r="B5798" s="1" t="s">
        <v>27</v>
      </c>
      <c r="C5798" s="1" t="s">
        <v>29471</v>
      </c>
      <c r="D5798" s="1" t="s">
        <v>5404</v>
      </c>
      <c r="E5798" s="1" t="s">
        <v>29472</v>
      </c>
      <c r="F5798" s="1" t="s">
        <v>30</v>
      </c>
      <c r="G5798" s="1" t="s">
        <v>29473</v>
      </c>
      <c r="H5798" s="1">
        <v>2012.0</v>
      </c>
      <c r="I5798" s="1" t="s">
        <v>97</v>
      </c>
      <c r="J5798" s="1" t="s">
        <v>490</v>
      </c>
      <c r="K5798" s="1" t="s">
        <v>700</v>
      </c>
      <c r="L5798" s="1" t="s">
        <v>29474</v>
      </c>
      <c r="M5798" s="2" t="s">
        <v>12</v>
      </c>
      <c r="N5798" s="4">
        <f t="shared" si="1"/>
        <v>42628</v>
      </c>
      <c r="O5798" s="5" t="str">
        <f>IFERROR(__xludf.DUMMYFUNCTION("IF(REGEXMATCH(TRIM(I5798), ""^\d+\s*min""), ""Unclassified"", IF(I5798 = """", ""NR"", I5798))"),"TV-14")</f>
        <v>TV-14</v>
      </c>
      <c r="R5798" s="5" t="str">
        <f t="shared" si="2"/>
        <v>Sample This</v>
      </c>
      <c r="S5798" s="5" t="str">
        <f>IFERROR(__xludf.DUMMYFUNCTION("""COMPUTED_VALUE"""),"Refresh Man")</f>
        <v>Refresh Man</v>
      </c>
      <c r="V5798" s="5"/>
      <c r="Y5798" s="5" t="str">
        <f>IFERROR(__xludf.DUMMYFUNCTION("REGEXEXTRACT(J5798, ""^\d+"")"),"83")</f>
        <v>83</v>
      </c>
      <c r="Z5798" s="5" t="str">
        <f>IFERROR(__xludf.DUMMYFUNCTION("REGEXEXTRACT(J5798, ""[A-Za-z ]+$"")")," min")</f>
        <v> min</v>
      </c>
      <c r="AA5798" s="5" t="str">
        <f>IFERROR(__xludf.DUMMYFUNCTION("IF(REGEXMATCH(Z5798, ""Season""), ""TV Show"", ""Movie"")"),"Movie")</f>
        <v>Movie</v>
      </c>
    </row>
    <row r="5799">
      <c r="A5799" s="1" t="s">
        <v>29475</v>
      </c>
      <c r="B5799" s="1" t="s">
        <v>27</v>
      </c>
      <c r="C5799" s="1" t="s">
        <v>29476</v>
      </c>
      <c r="D5799" s="1" t="s">
        <v>5426</v>
      </c>
      <c r="F5799" s="1" t="s">
        <v>30</v>
      </c>
      <c r="G5799" s="1" t="s">
        <v>29477</v>
      </c>
      <c r="H5799" s="1">
        <v>2016.0</v>
      </c>
      <c r="I5799" s="1" t="s">
        <v>136</v>
      </c>
      <c r="J5799" s="1" t="s">
        <v>4935</v>
      </c>
      <c r="K5799" s="1" t="s">
        <v>34</v>
      </c>
      <c r="L5799" s="1" t="s">
        <v>29478</v>
      </c>
      <c r="M5799" s="2" t="s">
        <v>12</v>
      </c>
      <c r="N5799" s="4">
        <f t="shared" si="1"/>
        <v>42626</v>
      </c>
      <c r="O5799" s="5" t="str">
        <f>IFERROR(__xludf.DUMMYFUNCTION("IF(REGEXMATCH(TRIM(I5799), ""^\d+\s*min""), ""Unclassified"", IF(I5799 = """", ""NR"", I5799))"),"TV-PG")</f>
        <v>TV-PG</v>
      </c>
      <c r="R5799" s="5" t="str">
        <f t="shared" si="2"/>
        <v>Extremis</v>
      </c>
      <c r="S5799" s="5" t="str">
        <f>IFERROR(__xludf.DUMMYFUNCTION("""COMPUTED_VALUE"""),"Refugee")</f>
        <v>Refugee</v>
      </c>
      <c r="V5799" s="5"/>
      <c r="Y5799" s="5" t="str">
        <f>IFERROR(__xludf.DUMMYFUNCTION("REGEXEXTRACT(J5799, ""^\d+"")"),"25")</f>
        <v>25</v>
      </c>
      <c r="Z5799" s="5" t="str">
        <f>IFERROR(__xludf.DUMMYFUNCTION("REGEXEXTRACT(J5799, ""[A-Za-z ]+$"")")," min")</f>
        <v> min</v>
      </c>
      <c r="AA5799" s="5" t="str">
        <f>IFERROR(__xludf.DUMMYFUNCTION("IF(REGEXMATCH(Z5799, ""Season""), ""TV Show"", ""Movie"")"),"Movie")</f>
        <v>Movie</v>
      </c>
    </row>
    <row r="5800">
      <c r="A5800" s="1" t="s">
        <v>29479</v>
      </c>
      <c r="B5800" s="1" t="s">
        <v>27</v>
      </c>
      <c r="C5800" s="1" t="s">
        <v>29480</v>
      </c>
      <c r="E5800" s="1" t="s">
        <v>29481</v>
      </c>
      <c r="F5800" s="1" t="s">
        <v>96</v>
      </c>
      <c r="G5800" s="1" t="s">
        <v>29482</v>
      </c>
      <c r="H5800" s="1">
        <v>2016.0</v>
      </c>
      <c r="I5800" s="1" t="s">
        <v>42</v>
      </c>
      <c r="J5800" s="1" t="s">
        <v>170</v>
      </c>
      <c r="K5800" s="1" t="s">
        <v>1839</v>
      </c>
      <c r="L5800" s="1" t="s">
        <v>29483</v>
      </c>
      <c r="M5800" s="2" t="s">
        <v>12</v>
      </c>
      <c r="N5800" s="4">
        <f t="shared" si="1"/>
        <v>42622</v>
      </c>
      <c r="O5800" s="5" t="str">
        <f>IFERROR(__xludf.DUMMYFUNCTION("IF(REGEXMATCH(TRIM(I5800), ""^\d+\s*min""), ""Unclassified"", IF(I5800 = """", ""NR"", I5800))"),"TV-MA")</f>
        <v>TV-MA</v>
      </c>
      <c r="R5800" s="5" t="str">
        <f t="shared" si="2"/>
        <v>Jandino: Whatever It Takes</v>
      </c>
      <c r="S5800" s="5" t="str">
        <f>IFERROR(__xludf.DUMMYFUNCTION("""COMPUTED_VALUE"""),"Regatta")</f>
        <v>Regatta</v>
      </c>
      <c r="V5800" s="5"/>
      <c r="Y5800" s="5" t="str">
        <f>IFERROR(__xludf.DUMMYFUNCTION("REGEXEXTRACT(J5800, ""^\d+"")"),"94")</f>
        <v>94</v>
      </c>
      <c r="Z5800" s="5" t="str">
        <f>IFERROR(__xludf.DUMMYFUNCTION("REGEXEXTRACT(J5800, ""[A-Za-z ]+$"")")," min")</f>
        <v> min</v>
      </c>
      <c r="AA5800" s="5" t="str">
        <f>IFERROR(__xludf.DUMMYFUNCTION("IF(REGEXMATCH(Z5800, ""Season""), ""TV Show"", ""Movie"")"),"Movie")</f>
        <v>Movie</v>
      </c>
    </row>
    <row r="5801">
      <c r="A5801" s="1" t="s">
        <v>29484</v>
      </c>
      <c r="B5801" s="1" t="s">
        <v>37</v>
      </c>
      <c r="C5801" s="1" t="s">
        <v>29485</v>
      </c>
      <c r="G5801" s="1" t="s">
        <v>29486</v>
      </c>
      <c r="H5801" s="1">
        <v>2016.0</v>
      </c>
      <c r="I5801" s="1" t="s">
        <v>97</v>
      </c>
      <c r="J5801" s="1" t="s">
        <v>51</v>
      </c>
      <c r="K5801" s="1" t="s">
        <v>1261</v>
      </c>
      <c r="L5801" s="1" t="s">
        <v>29487</v>
      </c>
      <c r="M5801" s="2" t="s">
        <v>12</v>
      </c>
      <c r="N5801" s="4">
        <f t="shared" si="1"/>
        <v>42615</v>
      </c>
      <c r="O5801" s="5" t="str">
        <f>IFERROR(__xludf.DUMMYFUNCTION("IF(REGEXMATCH(TRIM(I5801), ""^\d+\s*min""), ""Unclassified"", IF(I5801 = """", ""NR"", I5801))"),"TV-14")</f>
        <v>TV-14</v>
      </c>
      <c r="R5801" s="5" t="str">
        <f t="shared" si="2"/>
        <v>Chef'S Table: France</v>
      </c>
      <c r="S5801" s="5" t="str">
        <f>IFERROR(__xludf.DUMMYFUNCTION("""COMPUTED_VALUE"""),"Reggie Watts: Spatial")</f>
        <v>Reggie Watts: Spatial</v>
      </c>
      <c r="V5801" s="5"/>
      <c r="Y5801" s="5" t="str">
        <f>IFERROR(__xludf.DUMMYFUNCTION("REGEXEXTRACT(J5801, ""^\d+"")"),"1")</f>
        <v>1</v>
      </c>
      <c r="Z5801" s="5" t="str">
        <f>IFERROR(__xludf.DUMMYFUNCTION("REGEXEXTRACT(J5801, ""[A-Za-z ]+$"")")," Season")</f>
        <v> Season</v>
      </c>
      <c r="AA5801" s="5" t="str">
        <f>IFERROR(__xludf.DUMMYFUNCTION("IF(REGEXMATCH(Z5801, ""Season""), ""TV Show"", ""Movie"")"),"TV Show")</f>
        <v>TV Show</v>
      </c>
    </row>
    <row r="5802">
      <c r="A5802" s="1" t="s">
        <v>29488</v>
      </c>
      <c r="B5802" s="1" t="s">
        <v>37</v>
      </c>
      <c r="C5802" s="1" t="s">
        <v>29489</v>
      </c>
      <c r="E5802" s="1" t="s">
        <v>29490</v>
      </c>
      <c r="F5802" s="1" t="s">
        <v>30</v>
      </c>
      <c r="G5802" s="1" t="s">
        <v>29486</v>
      </c>
      <c r="H5802" s="1">
        <v>2016.0</v>
      </c>
      <c r="I5802" s="1" t="s">
        <v>289</v>
      </c>
      <c r="J5802" s="1" t="s">
        <v>51</v>
      </c>
      <c r="K5802" s="1" t="s">
        <v>290</v>
      </c>
      <c r="L5802" s="1" t="s">
        <v>29491</v>
      </c>
      <c r="M5802" s="2" t="s">
        <v>12</v>
      </c>
      <c r="N5802" s="4">
        <f t="shared" si="1"/>
        <v>42615</v>
      </c>
      <c r="O5802" s="5" t="str">
        <f>IFERROR(__xludf.DUMMYFUNCTION("IF(REGEXMATCH(TRIM(I5802), ""^\d+\s*min""), ""Unclassified"", IF(I5802 = """", ""NR"", I5802))"),"TV-Y7")</f>
        <v>TV-Y7</v>
      </c>
      <c r="R5802" s="5" t="str">
        <f t="shared" si="2"/>
        <v>Kulipari: An Army Of Frogs</v>
      </c>
      <c r="S5802" s="5" t="str">
        <f>IFERROR(__xludf.DUMMYFUNCTION("""COMPUTED_VALUE"""),"Reggie Yates Outside Man")</f>
        <v>Reggie Yates Outside Man</v>
      </c>
      <c r="V5802" s="5"/>
      <c r="Y5802" s="5" t="str">
        <f>IFERROR(__xludf.DUMMYFUNCTION("REGEXEXTRACT(J5802, ""^\d+"")"),"1")</f>
        <v>1</v>
      </c>
      <c r="Z5802" s="5" t="str">
        <f>IFERROR(__xludf.DUMMYFUNCTION("REGEXEXTRACT(J5802, ""[A-Za-z ]+$"")")," Season")</f>
        <v> Season</v>
      </c>
      <c r="AA5802" s="5" t="str">
        <f>IFERROR(__xludf.DUMMYFUNCTION("IF(REGEXMATCH(Z5802, ""Season""), ""TV Show"", ""Movie"")"),"TV Show")</f>
        <v>TV Show</v>
      </c>
    </row>
    <row r="5803">
      <c r="A5803" s="1" t="s">
        <v>29492</v>
      </c>
      <c r="B5803" s="1" t="s">
        <v>37</v>
      </c>
      <c r="C5803" s="1" t="s">
        <v>29493</v>
      </c>
      <c r="E5803" s="1" t="s">
        <v>29494</v>
      </c>
      <c r="F5803" s="1" t="s">
        <v>96</v>
      </c>
      <c r="G5803" s="1" t="s">
        <v>29495</v>
      </c>
      <c r="H5803" s="1">
        <v>2015.0</v>
      </c>
      <c r="I5803" s="1" t="s">
        <v>97</v>
      </c>
      <c r="J5803" s="1" t="s">
        <v>51</v>
      </c>
      <c r="K5803" s="1" t="s">
        <v>4190</v>
      </c>
      <c r="L5803" s="1" t="s">
        <v>29496</v>
      </c>
      <c r="M5803" s="2" t="s">
        <v>12</v>
      </c>
      <c r="N5803" s="4">
        <f t="shared" si="1"/>
        <v>42614</v>
      </c>
      <c r="O5803" s="5" t="str">
        <f>IFERROR(__xludf.DUMMYFUNCTION("IF(REGEXMATCH(TRIM(I5803), ""^\d+\s*min""), ""Unclassified"", IF(I5803 = """", ""NR"", I5803))"),"TV-14")</f>
        <v>TV-14</v>
      </c>
      <c r="R5803" s="5" t="str">
        <f t="shared" si="2"/>
        <v>Conspiracy</v>
      </c>
      <c r="S5803" s="5" t="str">
        <f>IFERROR(__xludf.DUMMYFUNCTION("""COMPUTED_VALUE"""),"Regiment Diaries")</f>
        <v>Regiment Diaries</v>
      </c>
      <c r="V5803" s="5"/>
      <c r="Y5803" s="5" t="str">
        <f>IFERROR(__xludf.DUMMYFUNCTION("REGEXEXTRACT(J5803, ""^\d+"")"),"1")</f>
        <v>1</v>
      </c>
      <c r="Z5803" s="5" t="str">
        <f>IFERROR(__xludf.DUMMYFUNCTION("REGEXEXTRACT(J5803, ""[A-Za-z ]+$"")")," Season")</f>
        <v> Season</v>
      </c>
      <c r="AA5803" s="5" t="str">
        <f>IFERROR(__xludf.DUMMYFUNCTION("IF(REGEXMATCH(Z5803, ""Season""), ""TV Show"", ""Movie"")"),"TV Show")</f>
        <v>TV Show</v>
      </c>
    </row>
    <row r="5804">
      <c r="A5804" s="1" t="s">
        <v>29497</v>
      </c>
      <c r="B5804" s="1" t="s">
        <v>37</v>
      </c>
      <c r="C5804" s="1" t="s">
        <v>29498</v>
      </c>
      <c r="E5804" s="1" t="s">
        <v>29499</v>
      </c>
      <c r="F5804" s="1" t="s">
        <v>96</v>
      </c>
      <c r="G5804" s="1" t="s">
        <v>29495</v>
      </c>
      <c r="H5804" s="1">
        <v>2008.0</v>
      </c>
      <c r="I5804" s="1" t="s">
        <v>42</v>
      </c>
      <c r="J5804" s="1" t="s">
        <v>51</v>
      </c>
      <c r="K5804" s="1" t="s">
        <v>29500</v>
      </c>
      <c r="L5804" s="1" t="s">
        <v>29501</v>
      </c>
      <c r="M5804" s="2" t="s">
        <v>12</v>
      </c>
      <c r="N5804" s="4">
        <f t="shared" si="1"/>
        <v>42614</v>
      </c>
      <c r="O5804" s="5" t="str">
        <f>IFERROR(__xludf.DUMMYFUNCTION("IF(REGEXMATCH(TRIM(I5804), ""^\d+\s*min""), ""Unclassified"", IF(I5804 = """", ""NR"", I5804))"),"TV-MA")</f>
        <v>TV-MA</v>
      </c>
      <c r="R5804" s="5" t="str">
        <f t="shared" si="2"/>
        <v>Dead Set</v>
      </c>
      <c r="S5804" s="5" t="str">
        <f>IFERROR(__xludf.DUMMYFUNCTION("""COMPUTED_VALUE"""),"Rehmataan")</f>
        <v>Rehmataan</v>
      </c>
      <c r="V5804" s="5"/>
      <c r="Y5804" s="5" t="str">
        <f>IFERROR(__xludf.DUMMYFUNCTION("REGEXEXTRACT(J5804, ""^\d+"")"),"1")</f>
        <v>1</v>
      </c>
      <c r="Z5804" s="5" t="str">
        <f>IFERROR(__xludf.DUMMYFUNCTION("REGEXEXTRACT(J5804, ""[A-Za-z ]+$"")")," Season")</f>
        <v> Season</v>
      </c>
      <c r="AA5804" s="5" t="str">
        <f>IFERROR(__xludf.DUMMYFUNCTION("IF(REGEXMATCH(Z5804, ""Season""), ""TV Show"", ""Movie"")"),"TV Show")</f>
        <v>TV Show</v>
      </c>
    </row>
    <row r="5805">
      <c r="A5805" s="1" t="s">
        <v>29502</v>
      </c>
      <c r="B5805" s="1" t="s">
        <v>37</v>
      </c>
      <c r="C5805" s="1" t="s">
        <v>29503</v>
      </c>
      <c r="E5805" s="1" t="s">
        <v>29504</v>
      </c>
      <c r="F5805" s="1" t="s">
        <v>30</v>
      </c>
      <c r="G5805" s="1" t="s">
        <v>29495</v>
      </c>
      <c r="H5805" s="1">
        <v>2011.0</v>
      </c>
      <c r="I5805" s="1" t="s">
        <v>42</v>
      </c>
      <c r="J5805" s="1" t="s">
        <v>98</v>
      </c>
      <c r="K5805" s="1" t="s">
        <v>20175</v>
      </c>
      <c r="L5805" s="1" t="s">
        <v>29505</v>
      </c>
      <c r="M5805" s="2" t="s">
        <v>12</v>
      </c>
      <c r="N5805" s="4">
        <f t="shared" si="1"/>
        <v>42614</v>
      </c>
      <c r="O5805" s="5" t="str">
        <f>IFERROR(__xludf.DUMMYFUNCTION("IF(REGEXMATCH(TRIM(I5805), ""^\d+\s*min""), ""Unclassified"", IF(I5805 = """", ""NR"", I5805))"),"TV-MA")</f>
        <v>TV-MA</v>
      </c>
      <c r="R5805" s="5" t="str">
        <f t="shared" si="2"/>
        <v>Forensic Files</v>
      </c>
      <c r="S5805" s="5" t="str">
        <f>IFERROR(__xludf.DUMMYFUNCTION("""COMPUTED_VALUE"""),"Reign")</f>
        <v>Reign</v>
      </c>
      <c r="V5805" s="5"/>
      <c r="Y5805" s="5" t="str">
        <f>IFERROR(__xludf.DUMMYFUNCTION("REGEXEXTRACT(J5805, ""^\d+"")"),"9")</f>
        <v>9</v>
      </c>
      <c r="Z5805" s="5" t="str">
        <f>IFERROR(__xludf.DUMMYFUNCTION("REGEXEXTRACT(J5805, ""[A-Za-z ]+$"")")," Seasons")</f>
        <v> Seasons</v>
      </c>
      <c r="AA5805" s="5" t="str">
        <f>IFERROR(__xludf.DUMMYFUNCTION("IF(REGEXMATCH(Z5805, ""Season""), ""TV Show"", ""Movie"")"),"TV Show")</f>
        <v>TV Show</v>
      </c>
    </row>
    <row r="5806">
      <c r="A5806" s="1" t="s">
        <v>29506</v>
      </c>
      <c r="B5806" s="1" t="s">
        <v>27</v>
      </c>
      <c r="C5806" s="1" t="s">
        <v>29507</v>
      </c>
      <c r="F5806" s="1" t="s">
        <v>96</v>
      </c>
      <c r="G5806" s="1" t="s">
        <v>29495</v>
      </c>
      <c r="H5806" s="1">
        <v>2016.0</v>
      </c>
      <c r="I5806" s="1" t="s">
        <v>97</v>
      </c>
      <c r="J5806" s="1" t="s">
        <v>8095</v>
      </c>
      <c r="K5806" s="1" t="s">
        <v>34</v>
      </c>
      <c r="L5806" s="1" t="s">
        <v>29508</v>
      </c>
      <c r="M5806" s="2" t="s">
        <v>12</v>
      </c>
      <c r="N5806" s="4">
        <f t="shared" si="1"/>
        <v>42614</v>
      </c>
      <c r="O5806" s="5" t="str">
        <f>IFERROR(__xludf.DUMMYFUNCTION("IF(REGEXMATCH(TRIM(I5806), ""^\d+\s*min""), ""Unclassified"", IF(I5806 = """", ""NR"", I5806))"),"TV-14")</f>
        <v>TV-14</v>
      </c>
      <c r="R5806" s="5" t="str">
        <f t="shared" si="2"/>
        <v>Saudi Arabia Uncovered</v>
      </c>
      <c r="S5806" s="5" t="str">
        <f>IFERROR(__xludf.DUMMYFUNCTION("""COMPUTED_VALUE"""),"Reincarnated")</f>
        <v>Reincarnated</v>
      </c>
      <c r="V5806" s="5"/>
      <c r="Y5806" s="5" t="str">
        <f>IFERROR(__xludf.DUMMYFUNCTION("REGEXEXTRACT(J5806, ""^\d+"")"),"52")</f>
        <v>52</v>
      </c>
      <c r="Z5806" s="5" t="str">
        <f>IFERROR(__xludf.DUMMYFUNCTION("REGEXEXTRACT(J5806, ""[A-Za-z ]+$"")")," min")</f>
        <v> min</v>
      </c>
      <c r="AA5806" s="5" t="str">
        <f>IFERROR(__xludf.DUMMYFUNCTION("IF(REGEXMATCH(Z5806, ""Season""), ""TV Show"", ""Movie"")"),"Movie")</f>
        <v>Movie</v>
      </c>
    </row>
    <row r="5807">
      <c r="A5807" s="1" t="s">
        <v>29509</v>
      </c>
      <c r="B5807" s="1" t="s">
        <v>37</v>
      </c>
      <c r="C5807" s="1" t="s">
        <v>29510</v>
      </c>
      <c r="E5807" s="1" t="s">
        <v>29511</v>
      </c>
      <c r="F5807" s="1" t="s">
        <v>2059</v>
      </c>
      <c r="G5807" s="1" t="s">
        <v>29495</v>
      </c>
      <c r="H5807" s="1">
        <v>2010.0</v>
      </c>
      <c r="I5807" s="1" t="s">
        <v>42</v>
      </c>
      <c r="J5807" s="1" t="s">
        <v>51</v>
      </c>
      <c r="K5807" s="1" t="s">
        <v>1907</v>
      </c>
      <c r="L5807" s="1" t="s">
        <v>29512</v>
      </c>
      <c r="M5807" s="2" t="s">
        <v>12</v>
      </c>
      <c r="N5807" s="4">
        <f t="shared" si="1"/>
        <v>42614</v>
      </c>
      <c r="O5807" s="5" t="str">
        <f>IFERROR(__xludf.DUMMYFUNCTION("IF(REGEXMATCH(TRIM(I5807), ""^\d+\s*min""), ""Unclassified"", IF(I5807 = """", ""NR"", I5807))"),"TV-MA")</f>
        <v>TV-MA</v>
      </c>
      <c r="R5807" s="5" t="str">
        <f t="shared" si="2"/>
        <v>The Fierce Wife</v>
      </c>
      <c r="S5807" s="5" t="str">
        <f>IFERROR(__xludf.DUMMYFUNCTION("""COMPUTED_VALUE"""),"Remastered: Devil At The Crossroads")</f>
        <v>Remastered: Devil At The Crossroads</v>
      </c>
      <c r="V5807" s="5"/>
      <c r="Y5807" s="5" t="str">
        <f>IFERROR(__xludf.DUMMYFUNCTION("REGEXEXTRACT(J5807, ""^\d+"")"),"1")</f>
        <v>1</v>
      </c>
      <c r="Z5807" s="5" t="str">
        <f>IFERROR(__xludf.DUMMYFUNCTION("REGEXEXTRACT(J5807, ""[A-Za-z ]+$"")")," Season")</f>
        <v> Season</v>
      </c>
      <c r="AA5807" s="5" t="str">
        <f>IFERROR(__xludf.DUMMYFUNCTION("IF(REGEXMATCH(Z5807, ""Season""), ""TV Show"", ""Movie"")"),"TV Show")</f>
        <v>TV Show</v>
      </c>
    </row>
    <row r="5808">
      <c r="A5808" s="1" t="s">
        <v>29513</v>
      </c>
      <c r="B5808" s="1" t="s">
        <v>37</v>
      </c>
      <c r="C5808" s="1" t="s">
        <v>29514</v>
      </c>
      <c r="E5808" s="1" t="s">
        <v>29515</v>
      </c>
      <c r="F5808" s="1" t="s">
        <v>96</v>
      </c>
      <c r="G5808" s="1" t="s">
        <v>29495</v>
      </c>
      <c r="H5808" s="1">
        <v>2015.0</v>
      </c>
      <c r="I5808" s="1" t="s">
        <v>97</v>
      </c>
      <c r="J5808" s="1" t="s">
        <v>51</v>
      </c>
      <c r="K5808" s="1" t="s">
        <v>142</v>
      </c>
      <c r="L5808" s="1" t="s">
        <v>29516</v>
      </c>
      <c r="M5808" s="2" t="s">
        <v>12</v>
      </c>
      <c r="N5808" s="4">
        <f t="shared" si="1"/>
        <v>42614</v>
      </c>
      <c r="O5808" s="5" t="str">
        <f>IFERROR(__xludf.DUMMYFUNCTION("IF(REGEXMATCH(TRIM(I5808), ""^\d+\s*min""), ""Unclassified"", IF(I5808 = """", ""NR"", I5808))"),"TV-14")</f>
        <v>TV-14</v>
      </c>
      <c r="R5808" s="5" t="str">
        <f t="shared" si="2"/>
        <v>Witches: A Century Of Murder</v>
      </c>
      <c r="S5808" s="5" t="str">
        <f>IFERROR(__xludf.DUMMYFUNCTION("""COMPUTED_VALUE"""),"Remastered: Massacre At The Stadium")</f>
        <v>Remastered: Massacre At The Stadium</v>
      </c>
      <c r="V5808" s="5"/>
      <c r="Y5808" s="5" t="str">
        <f>IFERROR(__xludf.DUMMYFUNCTION("REGEXEXTRACT(J5808, ""^\d+"")"),"1")</f>
        <v>1</v>
      </c>
      <c r="Z5808" s="5" t="str">
        <f>IFERROR(__xludf.DUMMYFUNCTION("REGEXEXTRACT(J5808, ""[A-Za-z ]+$"")")," Season")</f>
        <v> Season</v>
      </c>
      <c r="AA5808" s="5" t="str">
        <f>IFERROR(__xludf.DUMMYFUNCTION("IF(REGEXMATCH(Z5808, ""Season""), ""TV Show"", ""Movie"")"),"TV Show")</f>
        <v>TV Show</v>
      </c>
    </row>
    <row r="5809">
      <c r="A5809" s="1" t="s">
        <v>29517</v>
      </c>
      <c r="B5809" s="1" t="s">
        <v>37</v>
      </c>
      <c r="C5809" s="1" t="s">
        <v>29518</v>
      </c>
      <c r="E5809" s="1" t="s">
        <v>29519</v>
      </c>
      <c r="F5809" s="1" t="s">
        <v>415</v>
      </c>
      <c r="G5809" s="1" t="s">
        <v>29520</v>
      </c>
      <c r="H5809" s="1">
        <v>2016.0</v>
      </c>
      <c r="I5809" s="1" t="s">
        <v>289</v>
      </c>
      <c r="J5809" s="1" t="s">
        <v>43</v>
      </c>
      <c r="K5809" s="1" t="s">
        <v>623</v>
      </c>
      <c r="L5809" s="1" t="s">
        <v>29521</v>
      </c>
      <c r="M5809" s="2" t="s">
        <v>12</v>
      </c>
      <c r="N5809" s="4">
        <f t="shared" si="1"/>
        <v>42608</v>
      </c>
      <c r="O5809" s="5" t="str">
        <f>IFERROR(__xludf.DUMMYFUNCTION("IF(REGEXMATCH(TRIM(I5809), ""^\d+\s*min""), ""Unclassified"", IF(I5809 = """", ""NR"", I5809))"),"TV-Y7")</f>
        <v>TV-Y7</v>
      </c>
      <c r="R5809" s="5" t="str">
        <f t="shared" si="2"/>
        <v>Glitter Force</v>
      </c>
      <c r="S5809" s="5" t="str">
        <f>IFERROR(__xludf.DUMMYFUNCTION("""COMPUTED_VALUE"""),"Remastered: The Lion'S Share")</f>
        <v>Remastered: The Lion'S Share</v>
      </c>
      <c r="V5809" s="5"/>
      <c r="Y5809" s="5" t="str">
        <f>IFERROR(__xludf.DUMMYFUNCTION("REGEXEXTRACT(J5809, ""^\d+"")"),"2")</f>
        <v>2</v>
      </c>
      <c r="Z5809" s="5" t="str">
        <f>IFERROR(__xludf.DUMMYFUNCTION("REGEXEXTRACT(J5809, ""[A-Za-z ]+$"")")," Seasons")</f>
        <v> Seasons</v>
      </c>
      <c r="AA5809" s="5" t="str">
        <f>IFERROR(__xludf.DUMMYFUNCTION("IF(REGEXMATCH(Z5809, ""Season""), ""TV Show"", ""Movie"")"),"TV Show")</f>
        <v>TV Show</v>
      </c>
    </row>
    <row r="5810">
      <c r="A5810" s="1" t="s">
        <v>29522</v>
      </c>
      <c r="B5810" s="1" t="s">
        <v>27</v>
      </c>
      <c r="C5810" s="1" t="s">
        <v>29523</v>
      </c>
      <c r="D5810" s="1" t="s">
        <v>10401</v>
      </c>
      <c r="E5810" s="1" t="s">
        <v>29524</v>
      </c>
      <c r="F5810" s="1" t="s">
        <v>30</v>
      </c>
      <c r="G5810" s="1" t="s">
        <v>29520</v>
      </c>
      <c r="H5810" s="1">
        <v>2016.0</v>
      </c>
      <c r="I5810" s="1" t="s">
        <v>97</v>
      </c>
      <c r="J5810" s="1" t="s">
        <v>6281</v>
      </c>
      <c r="K5810" s="1" t="s">
        <v>1839</v>
      </c>
      <c r="L5810" s="1" t="s">
        <v>29525</v>
      </c>
      <c r="M5810" s="2" t="s">
        <v>12</v>
      </c>
      <c r="N5810" s="4">
        <f t="shared" si="1"/>
        <v>42608</v>
      </c>
      <c r="O5810" s="5" t="str">
        <f>IFERROR(__xludf.DUMMYFUNCTION("IF(REGEXMATCH(TRIM(I5810), ""^\d+\s*min""), ""Unclassified"", IF(I5810 = """", ""NR"", I5810))"),"TV-14")</f>
        <v>TV-14</v>
      </c>
      <c r="R5810" s="5" t="str">
        <f t="shared" si="2"/>
        <v>Jeff Foxworthy And Larry The Cable Guy: We’Ve Been Thinking...</v>
      </c>
      <c r="S5810" s="5" t="str">
        <f>IFERROR(__xludf.DUMMYFUNCTION("""COMPUTED_VALUE"""),"Remastered: The Miami Showband Massacre")</f>
        <v>Remastered: The Miami Showband Massacre</v>
      </c>
      <c r="V5810" s="5"/>
      <c r="Y5810" s="5" t="str">
        <f>IFERROR(__xludf.DUMMYFUNCTION("REGEXEXTRACT(J5810, ""^\d+"")"),"75")</f>
        <v>75</v>
      </c>
      <c r="Z5810" s="5" t="str">
        <f>IFERROR(__xludf.DUMMYFUNCTION("REGEXEXTRACT(J5810, ""[A-Za-z ]+$"")")," min")</f>
        <v> min</v>
      </c>
      <c r="AA5810" s="5" t="str">
        <f>IFERROR(__xludf.DUMMYFUNCTION("IF(REGEXMATCH(Z5810, ""Season""), ""TV Show"", ""Movie"")"),"Movie")</f>
        <v>Movie</v>
      </c>
    </row>
    <row r="5811">
      <c r="A5811" s="1" t="s">
        <v>29526</v>
      </c>
      <c r="B5811" s="1" t="s">
        <v>27</v>
      </c>
      <c r="C5811" s="1" t="s">
        <v>29527</v>
      </c>
      <c r="D5811" s="1" t="s">
        <v>4948</v>
      </c>
      <c r="E5811" s="1" t="s">
        <v>29528</v>
      </c>
      <c r="F5811" s="1" t="s">
        <v>30</v>
      </c>
      <c r="G5811" s="1" t="s">
        <v>29520</v>
      </c>
      <c r="H5811" s="1">
        <v>2016.0</v>
      </c>
      <c r="I5811" s="1" t="s">
        <v>42</v>
      </c>
      <c r="J5811" s="1" t="s">
        <v>665</v>
      </c>
      <c r="K5811" s="1" t="s">
        <v>7087</v>
      </c>
      <c r="L5811" s="1" t="s">
        <v>29529</v>
      </c>
      <c r="M5811" s="2" t="s">
        <v>12</v>
      </c>
      <c r="N5811" s="4">
        <f t="shared" si="1"/>
        <v>42608</v>
      </c>
      <c r="O5811" s="5" t="str">
        <f>IFERROR(__xludf.DUMMYFUNCTION("IF(REGEXMATCH(TRIM(I5811), ""^\d+\s*min""), ""Unclassified"", IF(I5811 = """", ""NR"", I5811))"),"TV-MA")</f>
        <v>TV-MA</v>
      </c>
      <c r="R5811" s="5" t="str">
        <f t="shared" si="2"/>
        <v>Xoxo</v>
      </c>
      <c r="S5811" s="5" t="str">
        <f>IFERROR(__xludf.DUMMYFUNCTION("""COMPUTED_VALUE"""),"Remastered: The Two Killings Of Sam Cooke")</f>
        <v>Remastered: The Two Killings Of Sam Cooke</v>
      </c>
      <c r="V5811" s="5"/>
      <c r="Y5811" s="5" t="str">
        <f>IFERROR(__xludf.DUMMYFUNCTION("REGEXEXTRACT(J5811, ""^\d+"")"),"92")</f>
        <v>92</v>
      </c>
      <c r="Z5811" s="5" t="str">
        <f>IFERROR(__xludf.DUMMYFUNCTION("REGEXEXTRACT(J5811, ""[A-Za-z ]+$"")")," min")</f>
        <v> min</v>
      </c>
      <c r="AA5811" s="5" t="str">
        <f>IFERROR(__xludf.DUMMYFUNCTION("IF(REGEXMATCH(Z5811, ""Season""), ""TV Show"", ""Movie"")"),"Movie")</f>
        <v>Movie</v>
      </c>
    </row>
    <row r="5812">
      <c r="A5812" s="1" t="s">
        <v>29530</v>
      </c>
      <c r="B5812" s="1" t="s">
        <v>27</v>
      </c>
      <c r="C5812" s="1" t="s">
        <v>29531</v>
      </c>
      <c r="D5812" s="1" t="s">
        <v>12254</v>
      </c>
      <c r="E5812" s="1" t="s">
        <v>29532</v>
      </c>
      <c r="F5812" s="1" t="s">
        <v>30</v>
      </c>
      <c r="G5812" s="1" t="s">
        <v>29533</v>
      </c>
      <c r="H5812" s="1">
        <v>2016.0</v>
      </c>
      <c r="I5812" s="1" t="s">
        <v>42</v>
      </c>
      <c r="J5812" s="1" t="s">
        <v>729</v>
      </c>
      <c r="K5812" s="1" t="s">
        <v>700</v>
      </c>
      <c r="L5812" s="1" t="s">
        <v>29534</v>
      </c>
      <c r="M5812" s="2" t="s">
        <v>12</v>
      </c>
      <c r="N5812" s="4">
        <f t="shared" si="1"/>
        <v>42601</v>
      </c>
      <c r="O5812" s="5" t="str">
        <f>IFERROR(__xludf.DUMMYFUNCTION("IF(REGEXMATCH(TRIM(I5812), ""^\d+\s*min""), ""Unclassified"", IF(I5812 = """", ""NR"", I5812))"),"TV-MA")</f>
        <v>TV-MA</v>
      </c>
      <c r="R5812" s="5" t="str">
        <f t="shared" si="2"/>
        <v>I'Ll Sleep When I'M Dead</v>
      </c>
      <c r="S5812" s="5" t="str">
        <f>IFERROR(__xludf.DUMMYFUNCTION("""COMPUTED_VALUE"""),"Remastered: Tricky Dick &amp; The Man In Black")</f>
        <v>Remastered: Tricky Dick &amp; The Man In Black</v>
      </c>
      <c r="V5812" s="5"/>
      <c r="Y5812" s="5" t="str">
        <f>IFERROR(__xludf.DUMMYFUNCTION("REGEXEXTRACT(J5812, ""^\d+"")"),"80")</f>
        <v>80</v>
      </c>
      <c r="Z5812" s="5" t="str">
        <f>IFERROR(__xludf.DUMMYFUNCTION("REGEXEXTRACT(J5812, ""[A-Za-z ]+$"")")," min")</f>
        <v> min</v>
      </c>
      <c r="AA5812" s="5" t="str">
        <f>IFERROR(__xludf.DUMMYFUNCTION("IF(REGEXMATCH(Z5812, ""Season""), ""TV Show"", ""Movie"")"),"Movie")</f>
        <v>Movie</v>
      </c>
    </row>
    <row r="5813">
      <c r="A5813" s="1" t="s">
        <v>29535</v>
      </c>
      <c r="B5813" s="1" t="s">
        <v>37</v>
      </c>
      <c r="C5813" s="1" t="s">
        <v>29536</v>
      </c>
      <c r="F5813" s="1" t="s">
        <v>30</v>
      </c>
      <c r="G5813" s="1" t="s">
        <v>29537</v>
      </c>
      <c r="H5813" s="1">
        <v>2001.0</v>
      </c>
      <c r="I5813" s="1" t="s">
        <v>97</v>
      </c>
      <c r="J5813" s="1" t="s">
        <v>51</v>
      </c>
      <c r="K5813" s="1" t="s">
        <v>4190</v>
      </c>
      <c r="L5813" s="1" t="s">
        <v>29538</v>
      </c>
      <c r="M5813" s="2" t="s">
        <v>12</v>
      </c>
      <c r="N5813" s="4">
        <f t="shared" si="1"/>
        <v>42597</v>
      </c>
      <c r="O5813" s="5" t="str">
        <f>IFERROR(__xludf.DUMMYFUNCTION("IF(REGEXMATCH(TRIM(I5813), ""^\d+\s*min""), ""Unclassified"", IF(I5813 = """", ""NR"", I5813))"),"TV-14")</f>
        <v>TV-14</v>
      </c>
      <c r="R5813" s="5" t="str">
        <f t="shared" si="2"/>
        <v>Behind Enemy Lines</v>
      </c>
      <c r="S5813" s="5" t="str">
        <f>IFERROR(__xludf.DUMMYFUNCTION("""COMPUTED_VALUE"""),"Remastered: Who Killed Jam Master Jay?")</f>
        <v>Remastered: Who Killed Jam Master Jay?</v>
      </c>
      <c r="V5813" s="5"/>
      <c r="Y5813" s="5" t="str">
        <f>IFERROR(__xludf.DUMMYFUNCTION("REGEXEXTRACT(J5813, ""^\d+"")"),"1")</f>
        <v>1</v>
      </c>
      <c r="Z5813" s="5" t="str">
        <f>IFERROR(__xludf.DUMMYFUNCTION("REGEXEXTRACT(J5813, ""[A-Za-z ]+$"")")," Season")</f>
        <v> Season</v>
      </c>
      <c r="AA5813" s="5" t="str">
        <f>IFERROR(__xludf.DUMMYFUNCTION("IF(REGEXMATCH(Z5813, ""Season""), ""TV Show"", ""Movie"")"),"TV Show")</f>
        <v>TV Show</v>
      </c>
    </row>
    <row r="5814">
      <c r="A5814" s="1" t="s">
        <v>29539</v>
      </c>
      <c r="B5814" s="1" t="s">
        <v>37</v>
      </c>
      <c r="C5814" s="1" t="s">
        <v>29540</v>
      </c>
      <c r="E5814" s="1" t="s">
        <v>29541</v>
      </c>
      <c r="F5814" s="1" t="s">
        <v>96</v>
      </c>
      <c r="G5814" s="1" t="s">
        <v>29537</v>
      </c>
      <c r="H5814" s="1">
        <v>2015.0</v>
      </c>
      <c r="I5814" s="1" t="s">
        <v>42</v>
      </c>
      <c r="J5814" s="1" t="s">
        <v>276</v>
      </c>
      <c r="K5814" s="1" t="s">
        <v>142</v>
      </c>
      <c r="L5814" s="1" t="s">
        <v>29542</v>
      </c>
      <c r="M5814" s="2" t="s">
        <v>12</v>
      </c>
      <c r="N5814" s="4">
        <f t="shared" si="1"/>
        <v>42597</v>
      </c>
      <c r="O5814" s="5" t="str">
        <f>IFERROR(__xludf.DUMMYFUNCTION("IF(REGEXMATCH(TRIM(I5814), ""^\d+\s*min""), ""Unclassified"", IF(I5814 = """", ""NR"", I5814))"),"TV-MA")</f>
        <v>TV-MA</v>
      </c>
      <c r="R5814" s="5" t="str">
        <f t="shared" si="2"/>
        <v>Caught On Camera</v>
      </c>
      <c r="S5814" s="5" t="str">
        <f>IFERROR(__xludf.DUMMYFUNCTION("""COMPUTED_VALUE"""),"Remastered: Who Shot The Sheriff")</f>
        <v>Remastered: Who Shot The Sheriff</v>
      </c>
      <c r="V5814" s="5"/>
      <c r="Y5814" s="5" t="str">
        <f>IFERROR(__xludf.DUMMYFUNCTION("REGEXEXTRACT(J5814, ""^\d+"")"),"3")</f>
        <v>3</v>
      </c>
      <c r="Z5814" s="5" t="str">
        <f>IFERROR(__xludf.DUMMYFUNCTION("REGEXEXTRACT(J5814, ""[A-Za-z ]+$"")")," Seasons")</f>
        <v> Seasons</v>
      </c>
      <c r="AA5814" s="5" t="str">
        <f>IFERROR(__xludf.DUMMYFUNCTION("IF(REGEXMATCH(Z5814, ""Season""), ""TV Show"", ""Movie"")"),"TV Show")</f>
        <v>TV Show</v>
      </c>
    </row>
    <row r="5815">
      <c r="A5815" s="1" t="s">
        <v>29543</v>
      </c>
      <c r="B5815" s="1" t="s">
        <v>27</v>
      </c>
      <c r="C5815" s="1" t="s">
        <v>29544</v>
      </c>
      <c r="D5815" s="1" t="s">
        <v>13952</v>
      </c>
      <c r="E5815" s="1" t="s">
        <v>13952</v>
      </c>
      <c r="F5815" s="1" t="s">
        <v>30</v>
      </c>
      <c r="G5815" s="1" t="s">
        <v>29537</v>
      </c>
      <c r="H5815" s="1">
        <v>2015.0</v>
      </c>
      <c r="I5815" s="1" t="s">
        <v>2636</v>
      </c>
      <c r="K5815" s="1" t="s">
        <v>2032</v>
      </c>
      <c r="L5815" s="1" t="s">
        <v>29545</v>
      </c>
      <c r="M5815" s="2" t="s">
        <v>12</v>
      </c>
      <c r="N5815" s="4">
        <f t="shared" si="1"/>
        <v>42597</v>
      </c>
      <c r="O5815" s="5" t="str">
        <f>IFERROR(__xludf.DUMMYFUNCTION("IF(REGEXMATCH(TRIM(I5815), ""^\d+\s*min""), ""Unclassified"", IF(I5815 = """", ""NR"", I5815))"),"Unclassified")</f>
        <v>Unclassified</v>
      </c>
      <c r="R5815" s="5" t="str">
        <f t="shared" si="2"/>
        <v>Louis C.K.: Live At The Comedy Store</v>
      </c>
      <c r="S5815" s="5" t="str">
        <f>IFERROR(__xludf.DUMMYFUNCTION("""COMPUTED_VALUE"""),"Rembat")</f>
        <v>Rembat</v>
      </c>
      <c r="V5815" s="5"/>
      <c r="Y5815" s="5" t="str">
        <f>IFERROR(__xludf.DUMMYFUNCTION("REGEXEXTRACT(J5815, ""^\d+"")"),"#N/A")</f>
        <v>#N/A</v>
      </c>
      <c r="Z5815" s="5" t="str">
        <f>IFERROR(__xludf.DUMMYFUNCTION("REGEXEXTRACT(J5815, ""[A-Za-z ]+$"")"),"#N/A")</f>
        <v>#N/A</v>
      </c>
      <c r="AA5815" s="5" t="str">
        <f>IFERROR(__xludf.DUMMYFUNCTION("IF(REGEXMATCH(Z5815, ""Season""), ""TV Show"", ""Movie"")"),"#N/A")</f>
        <v>#N/A</v>
      </c>
    </row>
    <row r="5816">
      <c r="A5816" s="1" t="s">
        <v>29546</v>
      </c>
      <c r="B5816" s="1" t="s">
        <v>27</v>
      </c>
      <c r="C5816" s="1" t="s">
        <v>29547</v>
      </c>
      <c r="F5816" s="1" t="s">
        <v>96</v>
      </c>
      <c r="G5816" s="1" t="s">
        <v>29537</v>
      </c>
      <c r="H5816" s="1">
        <v>2010.0</v>
      </c>
      <c r="I5816" s="1" t="s">
        <v>97</v>
      </c>
      <c r="J5816" s="1" t="s">
        <v>3060</v>
      </c>
      <c r="K5816" s="1" t="s">
        <v>34</v>
      </c>
      <c r="L5816" s="1" t="s">
        <v>29548</v>
      </c>
      <c r="M5816" s="2" t="s">
        <v>12</v>
      </c>
      <c r="N5816" s="4">
        <f t="shared" si="1"/>
        <v>42597</v>
      </c>
      <c r="O5816" s="5" t="str">
        <f>IFERROR(__xludf.DUMMYFUNCTION("IF(REGEXMATCH(TRIM(I5816), ""^\d+\s*min""), ""Unclassified"", IF(I5816 = """", ""NR"", I5816))"),"TV-14")</f>
        <v>TV-14</v>
      </c>
      <c r="R5816" s="5" t="str">
        <f t="shared" si="2"/>
        <v>Real Crime: Supermarket Heist (Tesco Bomber)</v>
      </c>
      <c r="S5816" s="5" t="str">
        <f>IFERROR(__xludf.DUMMYFUNCTION("""COMPUTED_VALUE"""),"Remember")</f>
        <v>Remember</v>
      </c>
      <c r="V5816" s="5"/>
      <c r="Y5816" s="5" t="str">
        <f>IFERROR(__xludf.DUMMYFUNCTION("REGEXEXTRACT(J5816, ""^\d+"")"),"46")</f>
        <v>46</v>
      </c>
      <c r="Z5816" s="5" t="str">
        <f>IFERROR(__xludf.DUMMYFUNCTION("REGEXEXTRACT(J5816, ""[A-Za-z ]+$"")")," min")</f>
        <v> min</v>
      </c>
      <c r="AA5816" s="5" t="str">
        <f>IFERROR(__xludf.DUMMYFUNCTION("IF(REGEXMATCH(Z5816, ""Season""), ""TV Show"", ""Movie"")"),"Movie")</f>
        <v>Movie</v>
      </c>
    </row>
    <row r="5817">
      <c r="A5817" s="1" t="s">
        <v>29549</v>
      </c>
      <c r="B5817" s="1" t="s">
        <v>27</v>
      </c>
      <c r="C5817" s="1" t="s">
        <v>29550</v>
      </c>
      <c r="D5817" s="1" t="s">
        <v>15624</v>
      </c>
      <c r="E5817" s="1" t="s">
        <v>28800</v>
      </c>
      <c r="F5817" s="1" t="s">
        <v>30</v>
      </c>
      <c r="G5817" s="1" t="s">
        <v>29551</v>
      </c>
      <c r="H5817" s="1">
        <v>2005.0</v>
      </c>
      <c r="I5817" s="1" t="s">
        <v>97</v>
      </c>
      <c r="J5817" s="1" t="s">
        <v>4699</v>
      </c>
      <c r="K5817" s="1" t="s">
        <v>1839</v>
      </c>
      <c r="L5817" s="1" t="s">
        <v>29552</v>
      </c>
      <c r="M5817" s="2" t="s">
        <v>12</v>
      </c>
      <c r="N5817" s="4">
        <f t="shared" si="1"/>
        <v>42593</v>
      </c>
      <c r="O5817" s="5" t="str">
        <f>IFERROR(__xludf.DUMMYFUNCTION("IF(REGEXMATCH(TRIM(I5817), ""^\d+\s*min""), ""Unclassified"", IF(I5817 = """", ""NR"", I5817))"),"TV-14")</f>
        <v>TV-14</v>
      </c>
      <c r="R5817" s="5" t="str">
        <f t="shared" si="2"/>
        <v>Jim Gaffigan: Beyond The Pale</v>
      </c>
      <c r="S5817" s="5" t="str">
        <f>IFERROR(__xludf.DUMMYFUNCTION("""COMPUTED_VALUE"""),"Remember Me")</f>
        <v>Remember Me</v>
      </c>
      <c r="V5817" s="5"/>
      <c r="Y5817" s="5" t="str">
        <f>IFERROR(__xludf.DUMMYFUNCTION("REGEXEXTRACT(J5817, ""^\d+"")"),"72")</f>
        <v>72</v>
      </c>
      <c r="Z5817" s="5" t="str">
        <f>IFERROR(__xludf.DUMMYFUNCTION("REGEXEXTRACT(J5817, ""[A-Za-z ]+$"")")," min")</f>
        <v> min</v>
      </c>
      <c r="AA5817" s="5" t="str">
        <f>IFERROR(__xludf.DUMMYFUNCTION("IF(REGEXMATCH(Z5817, ""Season""), ""TV Show"", ""Movie"")"),"Movie")</f>
        <v>Movie</v>
      </c>
    </row>
    <row r="5818">
      <c r="A5818" s="1" t="s">
        <v>29553</v>
      </c>
      <c r="B5818" s="1" t="s">
        <v>27</v>
      </c>
      <c r="C5818" s="1" t="s">
        <v>29554</v>
      </c>
      <c r="D5818" s="1" t="s">
        <v>7037</v>
      </c>
      <c r="E5818" s="1" t="s">
        <v>28800</v>
      </c>
      <c r="F5818" s="1" t="s">
        <v>30</v>
      </c>
      <c r="G5818" s="1" t="s">
        <v>29551</v>
      </c>
      <c r="H5818" s="1">
        <v>2009.0</v>
      </c>
      <c r="I5818" s="1" t="s">
        <v>136</v>
      </c>
      <c r="J5818" s="1" t="s">
        <v>5650</v>
      </c>
      <c r="K5818" s="1" t="s">
        <v>1839</v>
      </c>
      <c r="L5818" s="1" t="s">
        <v>29555</v>
      </c>
      <c r="M5818" s="2" t="s">
        <v>12</v>
      </c>
      <c r="N5818" s="4">
        <f t="shared" si="1"/>
        <v>42593</v>
      </c>
      <c r="O5818" s="5" t="str">
        <f>IFERROR(__xludf.DUMMYFUNCTION("IF(REGEXMATCH(TRIM(I5818), ""^\d+\s*min""), ""Unclassified"", IF(I5818 = """", ""NR"", I5818))"),"TV-PG")</f>
        <v>TV-PG</v>
      </c>
      <c r="R5818" s="5" t="str">
        <f t="shared" si="2"/>
        <v>Jim Gaffigan: King Baby</v>
      </c>
      <c r="S5818" s="5" t="str">
        <f>IFERROR(__xludf.DUMMYFUNCTION("""COMPUTED_VALUE"""),"Rememory")</f>
        <v>Rememory</v>
      </c>
      <c r="V5818" s="5"/>
      <c r="Y5818" s="5" t="str">
        <f>IFERROR(__xludf.DUMMYFUNCTION("REGEXEXTRACT(J5818, ""^\d+"")"),"71")</f>
        <v>71</v>
      </c>
      <c r="Z5818" s="5" t="str">
        <f>IFERROR(__xludf.DUMMYFUNCTION("REGEXEXTRACT(J5818, ""[A-Za-z ]+$"")")," min")</f>
        <v> min</v>
      </c>
      <c r="AA5818" s="5" t="str">
        <f>IFERROR(__xludf.DUMMYFUNCTION("IF(REGEXMATCH(Z5818, ""Season""), ""TV Show"", ""Movie"")"),"Movie")</f>
        <v>Movie</v>
      </c>
    </row>
    <row r="5819">
      <c r="A5819" s="1" t="s">
        <v>29556</v>
      </c>
      <c r="B5819" s="1" t="s">
        <v>27</v>
      </c>
      <c r="C5819" s="1" t="s">
        <v>29557</v>
      </c>
      <c r="D5819" s="1" t="s">
        <v>10401</v>
      </c>
      <c r="E5819" s="1" t="s">
        <v>28800</v>
      </c>
      <c r="F5819" s="1" t="s">
        <v>30</v>
      </c>
      <c r="G5819" s="1" t="s">
        <v>29551</v>
      </c>
      <c r="H5819" s="1">
        <v>2012.0</v>
      </c>
      <c r="I5819" s="1" t="s">
        <v>97</v>
      </c>
      <c r="J5819" s="1" t="s">
        <v>4558</v>
      </c>
      <c r="K5819" s="1" t="s">
        <v>1839</v>
      </c>
      <c r="L5819" s="1" t="s">
        <v>29558</v>
      </c>
      <c r="M5819" s="2" t="s">
        <v>12</v>
      </c>
      <c r="N5819" s="4">
        <f t="shared" si="1"/>
        <v>42593</v>
      </c>
      <c r="O5819" s="5" t="str">
        <f>IFERROR(__xludf.DUMMYFUNCTION("IF(REGEXMATCH(TRIM(I5819), ""^\d+\s*min""), ""Unclassified"", IF(I5819 = """", ""NR"", I5819))"),"TV-14")</f>
        <v>TV-14</v>
      </c>
      <c r="R5819" s="5" t="str">
        <f t="shared" si="2"/>
        <v>Jim Gaffigan: Mr. Universe</v>
      </c>
      <c r="S5819" s="5" t="str">
        <f>IFERROR(__xludf.DUMMYFUNCTION("""COMPUTED_VALUE"""),"Rencor Tatuado")</f>
        <v>Rencor Tatuado</v>
      </c>
      <c r="V5819" s="5"/>
      <c r="Y5819" s="5" t="str">
        <f>IFERROR(__xludf.DUMMYFUNCTION("REGEXEXTRACT(J5819, ""^\d+"")"),"77")</f>
        <v>77</v>
      </c>
      <c r="Z5819" s="5" t="str">
        <f>IFERROR(__xludf.DUMMYFUNCTION("REGEXEXTRACT(J5819, ""[A-Za-z ]+$"")")," min")</f>
        <v> min</v>
      </c>
      <c r="AA5819" s="5" t="str">
        <f>IFERROR(__xludf.DUMMYFUNCTION("IF(REGEXMATCH(Z5819, ""Season""), ""TV Show"", ""Movie"")"),"Movie")</f>
        <v>Movie</v>
      </c>
    </row>
    <row r="5820">
      <c r="A5820" s="1" t="s">
        <v>29559</v>
      </c>
      <c r="B5820" s="1" t="s">
        <v>27</v>
      </c>
      <c r="C5820" s="1" t="s">
        <v>29560</v>
      </c>
      <c r="D5820" s="1" t="s">
        <v>10379</v>
      </c>
      <c r="E5820" s="1" t="s">
        <v>28800</v>
      </c>
      <c r="F5820" s="1" t="s">
        <v>30</v>
      </c>
      <c r="G5820" s="1" t="s">
        <v>29551</v>
      </c>
      <c r="H5820" s="1">
        <v>2014.0</v>
      </c>
      <c r="I5820" s="1" t="s">
        <v>97</v>
      </c>
      <c r="J5820" s="1" t="s">
        <v>1583</v>
      </c>
      <c r="K5820" s="1" t="s">
        <v>1839</v>
      </c>
      <c r="L5820" s="1" t="s">
        <v>29561</v>
      </c>
      <c r="M5820" s="2" t="s">
        <v>12</v>
      </c>
      <c r="N5820" s="4">
        <f t="shared" si="1"/>
        <v>42593</v>
      </c>
      <c r="O5820" s="5" t="str">
        <f>IFERROR(__xludf.DUMMYFUNCTION("IF(REGEXMATCH(TRIM(I5820), ""^\d+\s*min""), ""Unclassified"", IF(I5820 = """", ""NR"", I5820))"),"TV-14")</f>
        <v>TV-14</v>
      </c>
      <c r="R5820" s="5" t="str">
        <f t="shared" si="2"/>
        <v>Jim Gaffigan: Obsessed</v>
      </c>
      <c r="S5820" s="5" t="str">
        <f>IFERROR(__xludf.DUMMYFUNCTION("""COMPUTED_VALUE"""),"Reply 1988")</f>
        <v>Reply 1988</v>
      </c>
      <c r="V5820" s="5"/>
      <c r="Y5820" s="5" t="str">
        <f>IFERROR(__xludf.DUMMYFUNCTION("REGEXEXTRACT(J5820, ""^\d+"")"),"70")</f>
        <v>70</v>
      </c>
      <c r="Z5820" s="5" t="str">
        <f>IFERROR(__xludf.DUMMYFUNCTION("REGEXEXTRACT(J5820, ""[A-Za-z ]+$"")")," min")</f>
        <v> min</v>
      </c>
      <c r="AA5820" s="5" t="str">
        <f>IFERROR(__xludf.DUMMYFUNCTION("IF(REGEXMATCH(Z5820, ""Season""), ""TV Show"", ""Movie"")"),"Movie")</f>
        <v>Movie</v>
      </c>
    </row>
    <row r="5821">
      <c r="A5821" s="1" t="s">
        <v>29562</v>
      </c>
      <c r="B5821" s="1" t="s">
        <v>27</v>
      </c>
      <c r="C5821" s="1" t="s">
        <v>29563</v>
      </c>
      <c r="D5821" s="1" t="s">
        <v>1068</v>
      </c>
      <c r="E5821" s="1" t="s">
        <v>29564</v>
      </c>
      <c r="F5821" s="1" t="s">
        <v>30</v>
      </c>
      <c r="G5821" s="1" t="s">
        <v>29565</v>
      </c>
      <c r="H5821" s="1">
        <v>2016.0</v>
      </c>
      <c r="I5821" s="1" t="s">
        <v>42</v>
      </c>
      <c r="J5821" s="1" t="s">
        <v>5120</v>
      </c>
      <c r="K5821" s="1" t="s">
        <v>1839</v>
      </c>
      <c r="L5821" s="1" t="s">
        <v>29566</v>
      </c>
      <c r="M5821" s="2" t="s">
        <v>12</v>
      </c>
      <c r="N5821" s="4">
        <f t="shared" si="1"/>
        <v>42587</v>
      </c>
      <c r="O5821" s="5" t="str">
        <f>IFERROR(__xludf.DUMMYFUNCTION("IF(REGEXMATCH(TRIM(I5821), ""^\d+\s*min""), ""Unclassified"", IF(I5821 = """", ""NR"", I5821))"),"TV-MA")</f>
        <v>TV-MA</v>
      </c>
      <c r="R5821" s="5" t="str">
        <f t="shared" si="2"/>
        <v>David Cross: Making America Great Again!</v>
      </c>
      <c r="S5821" s="5" t="str">
        <f>IFERROR(__xludf.DUMMYFUNCTION("""COMPUTED_VALUE"""),"Reply 1994")</f>
        <v>Reply 1994</v>
      </c>
      <c r="V5821" s="5"/>
      <c r="Y5821" s="5" t="str">
        <f>IFERROR(__xludf.DUMMYFUNCTION("REGEXEXTRACT(J5821, ""^\d+"")"),"73")</f>
        <v>73</v>
      </c>
      <c r="Z5821" s="5" t="str">
        <f>IFERROR(__xludf.DUMMYFUNCTION("REGEXEXTRACT(J5821, ""[A-Za-z ]+$"")")," min")</f>
        <v> min</v>
      </c>
      <c r="AA5821" s="5" t="str">
        <f>IFERROR(__xludf.DUMMYFUNCTION("IF(REGEXMATCH(Z5821, ""Season""), ""TV Show"", ""Movie"")"),"Movie")</f>
        <v>Movie</v>
      </c>
    </row>
    <row r="5822">
      <c r="A5822" s="1" t="s">
        <v>29567</v>
      </c>
      <c r="B5822" s="1" t="s">
        <v>27</v>
      </c>
      <c r="C5822" s="1" t="s">
        <v>29568</v>
      </c>
      <c r="D5822" s="1" t="s">
        <v>15624</v>
      </c>
      <c r="E5822" s="1" t="s">
        <v>29569</v>
      </c>
      <c r="F5822" s="1" t="s">
        <v>30</v>
      </c>
      <c r="G5822" s="1" t="s">
        <v>29570</v>
      </c>
      <c r="H5822" s="1">
        <v>2011.0</v>
      </c>
      <c r="I5822" s="1" t="s">
        <v>42</v>
      </c>
      <c r="J5822" s="1" t="s">
        <v>2452</v>
      </c>
      <c r="K5822" s="1" t="s">
        <v>1839</v>
      </c>
      <c r="L5822" s="1" t="s">
        <v>29571</v>
      </c>
      <c r="M5822" s="2" t="s">
        <v>12</v>
      </c>
      <c r="N5822" s="4">
        <f t="shared" si="1"/>
        <v>42584</v>
      </c>
      <c r="O5822" s="5" t="str">
        <f>IFERROR(__xludf.DUMMYFUNCTION("IF(REGEXMATCH(TRIM(I5822), ""^\d+\s*min""), ""Unclassified"", IF(I5822 = """", ""NR"", I5822))"),"TV-MA")</f>
        <v>TV-MA</v>
      </c>
      <c r="R5822" s="5" t="str">
        <f t="shared" si="2"/>
        <v>Lavell Crawford: Can A Brother Get Some Love?</v>
      </c>
      <c r="S5822" s="5" t="str">
        <f>IFERROR(__xludf.DUMMYFUNCTION("""COMPUTED_VALUE"""),"Reply 1997")</f>
        <v>Reply 1997</v>
      </c>
      <c r="V5822" s="5"/>
      <c r="Y5822" s="5" t="str">
        <f>IFERROR(__xludf.DUMMYFUNCTION("REGEXEXTRACT(J5822, ""^\d+"")"),"81")</f>
        <v>81</v>
      </c>
      <c r="Z5822" s="5" t="str">
        <f>IFERROR(__xludf.DUMMYFUNCTION("REGEXEXTRACT(J5822, ""[A-Za-z ]+$"")")," min")</f>
        <v> min</v>
      </c>
      <c r="AA5822" s="5" t="str">
        <f>IFERROR(__xludf.DUMMYFUNCTION("IF(REGEXMATCH(Z5822, ""Season""), ""TV Show"", ""Movie"")"),"Movie")</f>
        <v>Movie</v>
      </c>
    </row>
    <row r="5823">
      <c r="A5823" s="1" t="s">
        <v>29572</v>
      </c>
      <c r="B5823" s="1" t="s">
        <v>27</v>
      </c>
      <c r="C5823" s="1" t="s">
        <v>29573</v>
      </c>
      <c r="D5823" s="1" t="s">
        <v>11455</v>
      </c>
      <c r="F5823" s="1" t="s">
        <v>96</v>
      </c>
      <c r="G5823" s="1" t="s">
        <v>29574</v>
      </c>
      <c r="H5823" s="1">
        <v>1994.0</v>
      </c>
      <c r="I5823" s="1" t="s">
        <v>42</v>
      </c>
      <c r="J5823" s="1" t="s">
        <v>919</v>
      </c>
      <c r="K5823" s="1" t="s">
        <v>34</v>
      </c>
      <c r="L5823" s="1" t="s">
        <v>29575</v>
      </c>
      <c r="M5823" s="2" t="s">
        <v>12</v>
      </c>
      <c r="N5823" s="4">
        <f t="shared" si="1"/>
        <v>42583</v>
      </c>
      <c r="O5823" s="5" t="str">
        <f>IFERROR(__xludf.DUMMYFUNCTION("IF(REGEXMATCH(TRIM(I5823), ""^\d+\s*min""), ""Unclassified"", IF(I5823 = """", ""NR"", I5823))"),"TV-MA")</f>
        <v>TV-MA</v>
      </c>
      <c r="R5823" s="5" t="str">
        <f t="shared" si="2"/>
        <v>Children Of God</v>
      </c>
      <c r="S5823" s="5" t="str">
        <f>IFERROR(__xludf.DUMMYFUNCTION("""COMPUTED_VALUE"""),"Republic Of Doyle")</f>
        <v>Republic Of Doyle</v>
      </c>
      <c r="V5823" s="5"/>
      <c r="Y5823" s="5" t="str">
        <f>IFERROR(__xludf.DUMMYFUNCTION("REGEXEXTRACT(J5823, ""^\d+"")"),"63")</f>
        <v>63</v>
      </c>
      <c r="Z5823" s="5" t="str">
        <f>IFERROR(__xludf.DUMMYFUNCTION("REGEXEXTRACT(J5823, ""[A-Za-z ]+$"")")," min")</f>
        <v> min</v>
      </c>
      <c r="AA5823" s="5" t="str">
        <f>IFERROR(__xludf.DUMMYFUNCTION("IF(REGEXMATCH(Z5823, ""Season""), ""TV Show"", ""Movie"")"),"Movie")</f>
        <v>Movie</v>
      </c>
    </row>
    <row r="5824">
      <c r="A5824" s="1" t="s">
        <v>29576</v>
      </c>
      <c r="B5824" s="1" t="s">
        <v>37</v>
      </c>
      <c r="C5824" s="1" t="s">
        <v>29577</v>
      </c>
      <c r="F5824" s="1" t="s">
        <v>96</v>
      </c>
      <c r="G5824" s="1" t="s">
        <v>29574</v>
      </c>
      <c r="H5824" s="1">
        <v>2005.0</v>
      </c>
      <c r="I5824" s="1" t="s">
        <v>97</v>
      </c>
      <c r="J5824" s="1" t="s">
        <v>51</v>
      </c>
      <c r="K5824" s="1" t="s">
        <v>142</v>
      </c>
      <c r="L5824" s="1" t="s">
        <v>29578</v>
      </c>
      <c r="M5824" s="2" t="s">
        <v>12</v>
      </c>
      <c r="N5824" s="4">
        <f t="shared" si="1"/>
        <v>42583</v>
      </c>
      <c r="O5824" s="5" t="str">
        <f>IFERROR(__xludf.DUMMYFUNCTION("IF(REGEXMATCH(TRIM(I5824), ""^\d+\s*min""), ""Unclassified"", IF(I5824 = """", ""NR"", I5824))"),"TV-14")</f>
        <v>TV-14</v>
      </c>
      <c r="R5824" s="5" t="str">
        <f t="shared" si="2"/>
        <v>Cocaine</v>
      </c>
      <c r="S5824" s="5" t="str">
        <f>IFERROR(__xludf.DUMMYFUNCTION("""COMPUTED_VALUE"""),"Requiem")</f>
        <v>Requiem</v>
      </c>
      <c r="V5824" s="5"/>
      <c r="Y5824" s="5" t="str">
        <f>IFERROR(__xludf.DUMMYFUNCTION("REGEXEXTRACT(J5824, ""^\d+"")"),"1")</f>
        <v>1</v>
      </c>
      <c r="Z5824" s="5" t="str">
        <f>IFERROR(__xludf.DUMMYFUNCTION("REGEXEXTRACT(J5824, ""[A-Za-z ]+$"")")," Season")</f>
        <v> Season</v>
      </c>
      <c r="AA5824" s="5" t="str">
        <f>IFERROR(__xludf.DUMMYFUNCTION("IF(REGEXMATCH(Z5824, ""Season""), ""TV Show"", ""Movie"")"),"TV Show")</f>
        <v>TV Show</v>
      </c>
    </row>
    <row r="5825">
      <c r="A5825" s="1" t="s">
        <v>29579</v>
      </c>
      <c r="B5825" s="1" t="s">
        <v>37</v>
      </c>
      <c r="C5825" s="1" t="s">
        <v>29580</v>
      </c>
      <c r="F5825" s="1" t="s">
        <v>96</v>
      </c>
      <c r="G5825" s="1" t="s">
        <v>29574</v>
      </c>
      <c r="H5825" s="1">
        <v>2008.0</v>
      </c>
      <c r="I5825" s="1" t="s">
        <v>506</v>
      </c>
      <c r="J5825" s="1" t="s">
        <v>51</v>
      </c>
      <c r="K5825" s="1" t="s">
        <v>29581</v>
      </c>
      <c r="L5825" s="1" t="s">
        <v>29582</v>
      </c>
      <c r="M5825" s="2" t="s">
        <v>12</v>
      </c>
      <c r="N5825" s="4">
        <f t="shared" si="1"/>
        <v>42583</v>
      </c>
      <c r="O5825" s="5" t="str">
        <f>IFERROR(__xludf.DUMMYFUNCTION("IF(REGEXMATCH(TRIM(I5825), ""^\d+\s*min""), ""Unclassified"", IF(I5825 = """", ""NR"", I5825))"),"TV-G")</f>
        <v>TV-G</v>
      </c>
      <c r="R5825" s="5" t="str">
        <f t="shared" si="2"/>
        <v>Edge Of The Universe</v>
      </c>
      <c r="S5825" s="5" t="str">
        <f>IFERROR(__xludf.DUMMYFUNCTION("""COMPUTED_VALUE"""),"Resident Evil: Afterlife")</f>
        <v>Resident Evil: Afterlife</v>
      </c>
      <c r="V5825" s="5"/>
      <c r="Y5825" s="5" t="str">
        <f>IFERROR(__xludf.DUMMYFUNCTION("REGEXEXTRACT(J5825, ""^\d+"")"),"1")</f>
        <v>1</v>
      </c>
      <c r="Z5825" s="5" t="str">
        <f>IFERROR(__xludf.DUMMYFUNCTION("REGEXEXTRACT(J5825, ""[A-Za-z ]+$"")")," Season")</f>
        <v> Season</v>
      </c>
      <c r="AA5825" s="5" t="str">
        <f>IFERROR(__xludf.DUMMYFUNCTION("IF(REGEXMATCH(Z5825, ""Season""), ""TV Show"", ""Movie"")"),"TV Show")</f>
        <v>TV Show</v>
      </c>
    </row>
    <row r="5826">
      <c r="A5826" s="1" t="s">
        <v>29583</v>
      </c>
      <c r="B5826" s="1" t="s">
        <v>27</v>
      </c>
      <c r="C5826" s="1" t="s">
        <v>29584</v>
      </c>
      <c r="D5826" s="1" t="s">
        <v>4953</v>
      </c>
      <c r="E5826" s="1" t="s">
        <v>29585</v>
      </c>
      <c r="F5826" s="1" t="s">
        <v>30</v>
      </c>
      <c r="G5826" s="1" t="s">
        <v>29574</v>
      </c>
      <c r="H5826" s="1">
        <v>2008.0</v>
      </c>
      <c r="I5826" s="1" t="s">
        <v>42</v>
      </c>
      <c r="J5826" s="1" t="s">
        <v>9520</v>
      </c>
      <c r="K5826" s="1" t="s">
        <v>34</v>
      </c>
      <c r="L5826" s="1" t="s">
        <v>29586</v>
      </c>
      <c r="M5826" s="2" t="s">
        <v>12</v>
      </c>
      <c r="N5826" s="4">
        <f t="shared" si="1"/>
        <v>42583</v>
      </c>
      <c r="O5826" s="5" t="str">
        <f>IFERROR(__xludf.DUMMYFUNCTION("IF(REGEXMATCH(TRIM(I5826), ""^\d+\s*min""), ""Unclassified"", IF(I5826 = """", ""NR"", I5826))"),"TV-MA")</f>
        <v>TV-MA</v>
      </c>
      <c r="R5826" s="5" t="str">
        <f t="shared" si="2"/>
        <v>Interview With A Serial Killer</v>
      </c>
      <c r="S5826" s="5" t="str">
        <f>IFERROR(__xludf.DUMMYFUNCTION("""COMPUTED_VALUE"""),"Resident Evil: Infinite Darkness")</f>
        <v>Resident Evil: Infinite Darkness</v>
      </c>
      <c r="V5826" s="5"/>
      <c r="Y5826" s="5" t="str">
        <f>IFERROR(__xludf.DUMMYFUNCTION("REGEXEXTRACT(J5826, ""^\d+"")"),"45")</f>
        <v>45</v>
      </c>
      <c r="Z5826" s="5" t="str">
        <f>IFERROR(__xludf.DUMMYFUNCTION("REGEXEXTRACT(J5826, ""[A-Za-z ]+$"")")," min")</f>
        <v> min</v>
      </c>
      <c r="AA5826" s="5" t="str">
        <f>IFERROR(__xludf.DUMMYFUNCTION("IF(REGEXMATCH(Z5826, ""Season""), ""TV Show"", ""Movie"")"),"Movie")</f>
        <v>Movie</v>
      </c>
    </row>
    <row r="5827">
      <c r="A5827" s="1" t="s">
        <v>29587</v>
      </c>
      <c r="B5827" s="1" t="s">
        <v>37</v>
      </c>
      <c r="C5827" s="1" t="s">
        <v>29588</v>
      </c>
      <c r="E5827" s="1" t="s">
        <v>29589</v>
      </c>
      <c r="F5827" s="1" t="s">
        <v>1837</v>
      </c>
      <c r="G5827" s="1" t="s">
        <v>29574</v>
      </c>
      <c r="H5827" s="1">
        <v>2016.0</v>
      </c>
      <c r="I5827" s="1" t="s">
        <v>42</v>
      </c>
      <c r="J5827" s="1" t="s">
        <v>51</v>
      </c>
      <c r="K5827" s="1" t="s">
        <v>1339</v>
      </c>
      <c r="L5827" s="1" t="s">
        <v>29590</v>
      </c>
      <c r="M5827" s="2" t="s">
        <v>12</v>
      </c>
      <c r="N5827" s="4">
        <f t="shared" si="1"/>
        <v>42583</v>
      </c>
      <c r="O5827" s="5" t="str">
        <f>IFERROR(__xludf.DUMMYFUNCTION("IF(REGEXMATCH(TRIM(I5827), ""^\d+\s*min""), ""Unclassified"", IF(I5827 = """", ""NR"", I5827))"),"TV-MA")</f>
        <v>TV-MA</v>
      </c>
      <c r="R5827" s="5" t="str">
        <f t="shared" si="2"/>
        <v>La Esclava Blanca</v>
      </c>
      <c r="S5827" s="5" t="str">
        <f>IFERROR(__xludf.DUMMYFUNCTION("""COMPUTED_VALUE"""),"Residente")</f>
        <v>Residente</v>
      </c>
      <c r="V5827" s="5"/>
      <c r="Y5827" s="5" t="str">
        <f>IFERROR(__xludf.DUMMYFUNCTION("REGEXEXTRACT(J5827, ""^\d+"")"),"1")</f>
        <v>1</v>
      </c>
      <c r="Z5827" s="5" t="str">
        <f>IFERROR(__xludf.DUMMYFUNCTION("REGEXEXTRACT(J5827, ""[A-Za-z ]+$"")")," Season")</f>
        <v> Season</v>
      </c>
      <c r="AA5827" s="5" t="str">
        <f>IFERROR(__xludf.DUMMYFUNCTION("IF(REGEXMATCH(Z5827, ""Season""), ""TV Show"", ""Movie"")"),"TV Show")</f>
        <v>TV Show</v>
      </c>
    </row>
    <row r="5828">
      <c r="A5828" s="1" t="s">
        <v>29591</v>
      </c>
      <c r="B5828" s="1" t="s">
        <v>27</v>
      </c>
      <c r="C5828" s="1" t="s">
        <v>29592</v>
      </c>
      <c r="D5828" s="1" t="s">
        <v>22750</v>
      </c>
      <c r="E5828" s="1" t="s">
        <v>29593</v>
      </c>
      <c r="F5828" s="1" t="s">
        <v>96</v>
      </c>
      <c r="G5828" s="1" t="s">
        <v>29574</v>
      </c>
      <c r="H5828" s="1">
        <v>2008.0</v>
      </c>
      <c r="I5828" s="1" t="s">
        <v>97</v>
      </c>
      <c r="J5828" s="1" t="s">
        <v>3060</v>
      </c>
      <c r="K5828" s="1" t="s">
        <v>34</v>
      </c>
      <c r="L5828" s="1" t="s">
        <v>29594</v>
      </c>
      <c r="M5828" s="2" t="s">
        <v>12</v>
      </c>
      <c r="N5828" s="4">
        <f t="shared" si="1"/>
        <v>42583</v>
      </c>
      <c r="O5828" s="5" t="str">
        <f>IFERROR(__xludf.DUMMYFUNCTION("IF(REGEXMATCH(TRIM(I5828), ""^\d+\s*min""), ""Unclassified"", IF(I5828 = """", ""NR"", I5828))"),"TV-14")</f>
        <v>TV-14</v>
      </c>
      <c r="R5828" s="5" t="str">
        <f t="shared" si="2"/>
        <v>Real Crime: Diamond Geezers</v>
      </c>
      <c r="S5828" s="5" t="str">
        <f>IFERROR(__xludf.DUMMYFUNCTION("""COMPUTED_VALUE"""),"Residue")</f>
        <v>Residue</v>
      </c>
      <c r="V5828" s="5"/>
      <c r="Y5828" s="5" t="str">
        <f>IFERROR(__xludf.DUMMYFUNCTION("REGEXEXTRACT(J5828, ""^\d+"")"),"46")</f>
        <v>46</v>
      </c>
      <c r="Z5828" s="5" t="str">
        <f>IFERROR(__xludf.DUMMYFUNCTION("REGEXEXTRACT(J5828, ""[A-Za-z ]+$"")")," min")</f>
        <v> min</v>
      </c>
      <c r="AA5828" s="5" t="str">
        <f>IFERROR(__xludf.DUMMYFUNCTION("IF(REGEXMATCH(Z5828, ""Season""), ""TV Show"", ""Movie"")"),"Movie")</f>
        <v>Movie</v>
      </c>
    </row>
    <row r="5829">
      <c r="A5829" s="1" t="s">
        <v>29595</v>
      </c>
      <c r="B5829" s="1" t="s">
        <v>37</v>
      </c>
      <c r="C5829" s="1" t="s">
        <v>29596</v>
      </c>
      <c r="E5829" s="1" t="s">
        <v>29597</v>
      </c>
      <c r="F5829" s="1" t="s">
        <v>30</v>
      </c>
      <c r="G5829" s="1" t="s">
        <v>29598</v>
      </c>
      <c r="H5829" s="1">
        <v>2016.0</v>
      </c>
      <c r="I5829" s="1" t="s">
        <v>289</v>
      </c>
      <c r="J5829" s="1" t="s">
        <v>43</v>
      </c>
      <c r="K5829" s="1" t="s">
        <v>290</v>
      </c>
      <c r="L5829" s="1" t="s">
        <v>29599</v>
      </c>
      <c r="M5829" s="2" t="s">
        <v>12</v>
      </c>
      <c r="N5829" s="4">
        <f t="shared" si="1"/>
        <v>42580</v>
      </c>
      <c r="O5829" s="5" t="str">
        <f>IFERROR(__xludf.DUMMYFUNCTION("IF(REGEXMATCH(TRIM(I5829), ""^\d+\s*min""), ""Unclassified"", IF(I5829 = """", ""NR"", I5829))"),"TV-Y7")</f>
        <v>TV-Y7</v>
      </c>
      <c r="R5829" s="5" t="str">
        <f t="shared" si="2"/>
        <v>Lego Bionicle: The Journey To One</v>
      </c>
      <c r="S5829" s="5" t="str">
        <f>IFERROR(__xludf.DUMMYFUNCTION("""COMPUTED_VALUE"""),"Resort To Love")</f>
        <v>Resort To Love</v>
      </c>
      <c r="V5829" s="5"/>
      <c r="Y5829" s="5" t="str">
        <f>IFERROR(__xludf.DUMMYFUNCTION("REGEXEXTRACT(J5829, ""^\d+"")"),"2")</f>
        <v>2</v>
      </c>
      <c r="Z5829" s="5" t="str">
        <f>IFERROR(__xludf.DUMMYFUNCTION("REGEXEXTRACT(J5829, ""[A-Za-z ]+$"")")," Seasons")</f>
        <v> Seasons</v>
      </c>
      <c r="AA5829" s="5" t="str">
        <f>IFERROR(__xludf.DUMMYFUNCTION("IF(REGEXMATCH(Z5829, ""Season""), ""TV Show"", ""Movie"")"),"TV Show")</f>
        <v>TV Show</v>
      </c>
    </row>
    <row r="5830">
      <c r="A5830" s="1" t="s">
        <v>29600</v>
      </c>
      <c r="B5830" s="1" t="s">
        <v>27</v>
      </c>
      <c r="C5830" s="1" t="s">
        <v>29601</v>
      </c>
      <c r="D5830" s="1" t="s">
        <v>21167</v>
      </c>
      <c r="E5830" s="1" t="s">
        <v>29602</v>
      </c>
      <c r="F5830" s="1" t="s">
        <v>30</v>
      </c>
      <c r="G5830" s="1" t="s">
        <v>29598</v>
      </c>
      <c r="H5830" s="1">
        <v>2016.0</v>
      </c>
      <c r="I5830" s="1" t="s">
        <v>42</v>
      </c>
      <c r="J5830" s="1" t="s">
        <v>1243</v>
      </c>
      <c r="K5830" s="1" t="s">
        <v>1320</v>
      </c>
      <c r="L5830" s="1" t="s">
        <v>29603</v>
      </c>
      <c r="M5830" s="2" t="s">
        <v>12</v>
      </c>
      <c r="N5830" s="4">
        <f t="shared" si="1"/>
        <v>42580</v>
      </c>
      <c r="O5830" s="5" t="str">
        <f>IFERROR(__xludf.DUMMYFUNCTION("IF(REGEXMATCH(TRIM(I5830), ""^\d+\s*min""), ""Unclassified"", IF(I5830 = """", ""NR"", I5830))"),"TV-MA")</f>
        <v>TV-MA</v>
      </c>
      <c r="R5830" s="5" t="str">
        <f t="shared" si="2"/>
        <v>Tallulah</v>
      </c>
      <c r="S5830" s="5" t="str">
        <f>IFERROR(__xludf.DUMMYFUNCTION("""COMPUTED_VALUE"""),"Restaurants On The Edge")</f>
        <v>Restaurants On The Edge</v>
      </c>
      <c r="V5830" s="5"/>
      <c r="Y5830" s="5" t="str">
        <f>IFERROR(__xludf.DUMMYFUNCTION("REGEXEXTRACT(J5830, ""^\d+"")"),"112")</f>
        <v>112</v>
      </c>
      <c r="Z5830" s="5" t="str">
        <f>IFERROR(__xludf.DUMMYFUNCTION("REGEXEXTRACT(J5830, ""[A-Za-z ]+$"")")," min")</f>
        <v> min</v>
      </c>
      <c r="AA5830" s="5" t="str">
        <f>IFERROR(__xludf.DUMMYFUNCTION("IF(REGEXMATCH(Z5830, ""Season""), ""TV Show"", ""Movie"")"),"Movie")</f>
        <v>Movie</v>
      </c>
    </row>
    <row r="5831">
      <c r="A5831" s="1" t="s">
        <v>29604</v>
      </c>
      <c r="B5831" s="1" t="s">
        <v>37</v>
      </c>
      <c r="C5831" s="1" t="s">
        <v>29605</v>
      </c>
      <c r="E5831" s="1" t="s">
        <v>29606</v>
      </c>
      <c r="F5831" s="1" t="s">
        <v>2321</v>
      </c>
      <c r="G5831" s="1" t="s">
        <v>29607</v>
      </c>
      <c r="H5831" s="1">
        <v>2016.0</v>
      </c>
      <c r="I5831" s="1" t="s">
        <v>206</v>
      </c>
      <c r="J5831" s="1" t="s">
        <v>276</v>
      </c>
      <c r="K5831" s="1" t="s">
        <v>290</v>
      </c>
      <c r="L5831" s="1" t="s">
        <v>29608</v>
      </c>
      <c r="M5831" s="2" t="s">
        <v>12</v>
      </c>
      <c r="N5831" s="4">
        <f t="shared" si="1"/>
        <v>42575</v>
      </c>
      <c r="O5831" s="5" t="str">
        <f>IFERROR(__xludf.DUMMYFUNCTION("IF(REGEXMATCH(TRIM(I5831), ""^\d+\s*min""), ""Unclassified"", IF(I5831 = """", ""NR"", I5831))"),"TV-Y")</f>
        <v>TV-Y</v>
      </c>
      <c r="R5831" s="5" t="str">
        <f t="shared" si="2"/>
        <v>Popples</v>
      </c>
      <c r="S5831" s="5" t="str">
        <f>IFERROR(__xludf.DUMMYFUNCTION("""COMPUTED_VALUE"""),"Restless Creature: Wendy Whelan")</f>
        <v>Restless Creature: Wendy Whelan</v>
      </c>
      <c r="V5831" s="5"/>
      <c r="Y5831" s="5" t="str">
        <f>IFERROR(__xludf.DUMMYFUNCTION("REGEXEXTRACT(J5831, ""^\d+"")"),"3")</f>
        <v>3</v>
      </c>
      <c r="Z5831" s="5" t="str">
        <f>IFERROR(__xludf.DUMMYFUNCTION("REGEXEXTRACT(J5831, ""[A-Za-z ]+$"")")," Seasons")</f>
        <v> Seasons</v>
      </c>
      <c r="AA5831" s="5" t="str">
        <f>IFERROR(__xludf.DUMMYFUNCTION("IF(REGEXMATCH(Z5831, ""Season""), ""TV Show"", ""Movie"")"),"TV Show")</f>
        <v>TV Show</v>
      </c>
    </row>
    <row r="5832">
      <c r="A5832" s="1" t="s">
        <v>29609</v>
      </c>
      <c r="B5832" s="1" t="s">
        <v>27</v>
      </c>
      <c r="C5832" s="1" t="s">
        <v>29610</v>
      </c>
      <c r="D5832" s="1" t="s">
        <v>12447</v>
      </c>
      <c r="E5832" s="1" t="s">
        <v>29611</v>
      </c>
      <c r="F5832" s="1" t="s">
        <v>30</v>
      </c>
      <c r="G5832" s="1" t="s">
        <v>29612</v>
      </c>
      <c r="H5832" s="1">
        <v>2016.0</v>
      </c>
      <c r="I5832" s="1" t="s">
        <v>42</v>
      </c>
      <c r="J5832" s="1" t="s">
        <v>1091</v>
      </c>
      <c r="K5832" s="1" t="s">
        <v>394</v>
      </c>
      <c r="L5832" s="1" t="s">
        <v>29613</v>
      </c>
      <c r="M5832" s="2" t="s">
        <v>12</v>
      </c>
      <c r="N5832" s="4">
        <f t="shared" si="1"/>
        <v>42566</v>
      </c>
      <c r="O5832" s="5" t="str">
        <f>IFERROR(__xludf.DUMMYFUNCTION("IF(REGEXMATCH(TRIM(I5832), ""^\d+\s*min""), ""Unclassified"", IF(I5832 = """", ""NR"", I5832))"),"TV-MA")</f>
        <v>TV-MA</v>
      </c>
      <c r="R5832" s="5" t="str">
        <f t="shared" si="2"/>
        <v>Rebirth</v>
      </c>
      <c r="S5832" s="5" t="str">
        <f>IFERROR(__xludf.DUMMYFUNCTION("""COMPUTED_VALUE"""),"Results")</f>
        <v>Results</v>
      </c>
      <c r="V5832" s="5"/>
      <c r="Y5832" s="5" t="str">
        <f>IFERROR(__xludf.DUMMYFUNCTION("REGEXEXTRACT(J5832, ""^\d+"")"),"101")</f>
        <v>101</v>
      </c>
      <c r="Z5832" s="5" t="str">
        <f>IFERROR(__xludf.DUMMYFUNCTION("REGEXEXTRACT(J5832, ""[A-Za-z ]+$"")")," min")</f>
        <v> min</v>
      </c>
      <c r="AA5832" s="5" t="str">
        <f>IFERROR(__xludf.DUMMYFUNCTION("IF(REGEXMATCH(Z5832, ""Season""), ""TV Show"", ""Movie"")"),"Movie")</f>
        <v>Movie</v>
      </c>
    </row>
    <row r="5833">
      <c r="A5833" s="1" t="s">
        <v>29614</v>
      </c>
      <c r="B5833" s="1" t="s">
        <v>27</v>
      </c>
      <c r="C5833" s="1" t="s">
        <v>29615</v>
      </c>
      <c r="D5833" s="1" t="s">
        <v>7826</v>
      </c>
      <c r="E5833" s="1" t="s">
        <v>29616</v>
      </c>
      <c r="F5833" s="1" t="s">
        <v>30</v>
      </c>
      <c r="G5833" s="1" t="s">
        <v>29612</v>
      </c>
      <c r="H5833" s="1">
        <v>2016.0</v>
      </c>
      <c r="I5833" s="1" t="s">
        <v>42</v>
      </c>
      <c r="J5833" s="1" t="s">
        <v>743</v>
      </c>
      <c r="K5833" s="1" t="s">
        <v>34</v>
      </c>
      <c r="L5833" s="1" t="s">
        <v>29617</v>
      </c>
      <c r="M5833" s="2" t="s">
        <v>12</v>
      </c>
      <c r="N5833" s="4">
        <f t="shared" si="1"/>
        <v>42566</v>
      </c>
      <c r="O5833" s="5" t="str">
        <f>IFERROR(__xludf.DUMMYFUNCTION("IF(REGEXMATCH(TRIM(I5833), ""^\d+\s*min""), ""Unclassified"", IF(I5833 = """", ""NR"", I5833))"),"TV-MA")</f>
        <v>TV-MA</v>
      </c>
      <c r="R5833" s="5" t="str">
        <f t="shared" si="2"/>
        <v>Tony Robbins: I Am Not Your Guru</v>
      </c>
      <c r="S5833" s="5" t="str">
        <f>IFERROR(__xludf.DUMMYFUNCTION("""COMPUTED_VALUE"""),"Resurface")</f>
        <v>Resurface</v>
      </c>
      <c r="V5833" s="5"/>
      <c r="Y5833" s="5" t="str">
        <f>IFERROR(__xludf.DUMMYFUNCTION("REGEXEXTRACT(J5833, ""^\d+"")"),"117")</f>
        <v>117</v>
      </c>
      <c r="Z5833" s="5" t="str">
        <f>IFERROR(__xludf.DUMMYFUNCTION("REGEXEXTRACT(J5833, ""[A-Za-z ]+$"")")," min")</f>
        <v> min</v>
      </c>
      <c r="AA5833" s="5" t="str">
        <f>IFERROR(__xludf.DUMMYFUNCTION("IF(REGEXMATCH(Z5833, ""Season""), ""TV Show"", ""Movie"")"),"Movie")</f>
        <v>Movie</v>
      </c>
    </row>
    <row r="5834">
      <c r="A5834" s="1" t="s">
        <v>29618</v>
      </c>
      <c r="B5834" s="1" t="s">
        <v>27</v>
      </c>
      <c r="C5834" s="1" t="s">
        <v>29619</v>
      </c>
      <c r="D5834" s="1" t="s">
        <v>1449</v>
      </c>
      <c r="E5834" s="1" t="s">
        <v>29620</v>
      </c>
      <c r="F5834" s="1" t="s">
        <v>1106</v>
      </c>
      <c r="G5834" s="1" t="s">
        <v>29621</v>
      </c>
      <c r="H5834" s="1">
        <v>2015.0</v>
      </c>
      <c r="I5834" s="1" t="s">
        <v>378</v>
      </c>
      <c r="J5834" s="1" t="s">
        <v>835</v>
      </c>
      <c r="K5834" s="1" t="s">
        <v>380</v>
      </c>
      <c r="L5834" s="1" t="s">
        <v>29622</v>
      </c>
      <c r="M5834" s="2" t="s">
        <v>12</v>
      </c>
      <c r="N5834" s="4">
        <f t="shared" si="1"/>
        <v>42565</v>
      </c>
      <c r="O5834" s="5" t="str">
        <f>IFERROR(__xludf.DUMMYFUNCTION("IF(REGEXMATCH(TRIM(I5834), ""^\d+\s*min""), ""Unclassified"", IF(I5834 = """", ""NR"", I5834))"),"R")</f>
        <v>R</v>
      </c>
      <c r="R5834" s="5" t="str">
        <f t="shared" si="2"/>
        <v>Gridlocked</v>
      </c>
      <c r="S5834" s="5" t="str">
        <f>IFERROR(__xludf.DUMMYFUNCTION("""COMPUTED_VALUE"""),"Resurrection: Ertugrul")</f>
        <v>Resurrection: Ertugrul</v>
      </c>
      <c r="V5834" s="5"/>
      <c r="Y5834" s="5" t="str">
        <f>IFERROR(__xludf.DUMMYFUNCTION("REGEXEXTRACT(J5834, ""^\d+"")"),"114")</f>
        <v>114</v>
      </c>
      <c r="Z5834" s="5" t="str">
        <f>IFERROR(__xludf.DUMMYFUNCTION("REGEXEXTRACT(J5834, ""[A-Za-z ]+$"")")," min")</f>
        <v> min</v>
      </c>
      <c r="AA5834" s="5" t="str">
        <f>IFERROR(__xludf.DUMMYFUNCTION("IF(REGEXMATCH(Z5834, ""Season""), ""TV Show"", ""Movie"")"),"Movie")</f>
        <v>Movie</v>
      </c>
    </row>
    <row r="5835">
      <c r="A5835" s="1" t="s">
        <v>29623</v>
      </c>
      <c r="B5835" s="1" t="s">
        <v>27</v>
      </c>
      <c r="C5835" s="1" t="s">
        <v>29624</v>
      </c>
      <c r="D5835" s="1" t="s">
        <v>18448</v>
      </c>
      <c r="E5835" s="1" t="s">
        <v>29625</v>
      </c>
      <c r="F5835" s="1" t="s">
        <v>6088</v>
      </c>
      <c r="G5835" s="1" t="s">
        <v>29626</v>
      </c>
      <c r="H5835" s="1">
        <v>2016.0</v>
      </c>
      <c r="I5835" s="1" t="s">
        <v>42</v>
      </c>
      <c r="J5835" s="1" t="s">
        <v>322</v>
      </c>
      <c r="K5835" s="1" t="s">
        <v>5295</v>
      </c>
      <c r="L5835" s="1" t="s">
        <v>29627</v>
      </c>
      <c r="M5835" s="2" t="s">
        <v>12</v>
      </c>
      <c r="N5835" s="4">
        <f t="shared" si="1"/>
        <v>42557</v>
      </c>
      <c r="O5835" s="5" t="str">
        <f>IFERROR(__xludf.DUMMYFUNCTION("IF(REGEXMATCH(TRIM(I5835), ""^\d+\s*min""), ""Unclassified"", IF(I5835 = """", ""NR"", I5835))"),"TV-MA")</f>
        <v>TV-MA</v>
      </c>
      <c r="R5835" s="5" t="str">
        <f t="shared" si="2"/>
        <v>Brahman Naman</v>
      </c>
      <c r="S5835" s="5" t="str">
        <f>IFERROR(__xludf.DUMMYFUNCTION("""COMPUTED_VALUE"""),"Retablo")</f>
        <v>Retablo</v>
      </c>
      <c r="V5835" s="5"/>
      <c r="Y5835" s="5" t="str">
        <f>IFERROR(__xludf.DUMMYFUNCTION("REGEXEXTRACT(J5835, ""^\d+"")"),"96")</f>
        <v>96</v>
      </c>
      <c r="Z5835" s="5" t="str">
        <f>IFERROR(__xludf.DUMMYFUNCTION("REGEXEXTRACT(J5835, ""[A-Za-z ]+$"")")," min")</f>
        <v> min</v>
      </c>
      <c r="AA5835" s="5" t="str">
        <f>IFERROR(__xludf.DUMMYFUNCTION("IF(REGEXMATCH(Z5835, ""Season""), ""TV Show"", ""Movie"")"),"Movie")</f>
        <v>Movie</v>
      </c>
    </row>
    <row r="5836">
      <c r="A5836" s="1" t="s">
        <v>29628</v>
      </c>
      <c r="B5836" s="1" t="s">
        <v>37</v>
      </c>
      <c r="C5836" s="1" t="s">
        <v>29629</v>
      </c>
      <c r="D5836" s="1" t="s">
        <v>488</v>
      </c>
      <c r="E5836" s="1" t="s">
        <v>29630</v>
      </c>
      <c r="F5836" s="1" t="s">
        <v>415</v>
      </c>
      <c r="G5836" s="1" t="s">
        <v>29631</v>
      </c>
      <c r="H5836" s="1">
        <v>2016.0</v>
      </c>
      <c r="I5836" s="1" t="s">
        <v>97</v>
      </c>
      <c r="J5836" s="1" t="s">
        <v>43</v>
      </c>
      <c r="K5836" s="1" t="s">
        <v>567</v>
      </c>
      <c r="L5836" s="1" t="s">
        <v>29632</v>
      </c>
      <c r="M5836" s="2" t="s">
        <v>12</v>
      </c>
      <c r="N5836" s="4">
        <f t="shared" si="1"/>
        <v>42555</v>
      </c>
      <c r="O5836" s="5" t="str">
        <f>IFERROR(__xludf.DUMMYFUNCTION("IF(REGEXMATCH(TRIM(I5836), ""^\d+\s*min""), ""Unclassified"", IF(I5836 = """", ""NR"", I5836))"),"TV-14")</f>
        <v>TV-14</v>
      </c>
      <c r="R5836" s="5" t="str">
        <f t="shared" si="2"/>
        <v>Kuromukuro</v>
      </c>
      <c r="S5836" s="5" t="str">
        <f>IFERROR(__xludf.DUMMYFUNCTION("""COMPUTED_VALUE"""),"Retribution")</f>
        <v>Retribution</v>
      </c>
      <c r="V5836" s="5"/>
      <c r="Y5836" s="5" t="str">
        <f>IFERROR(__xludf.DUMMYFUNCTION("REGEXEXTRACT(J5836, ""^\d+"")"),"2")</f>
        <v>2</v>
      </c>
      <c r="Z5836" s="5" t="str">
        <f>IFERROR(__xludf.DUMMYFUNCTION("REGEXEXTRACT(J5836, ""[A-Za-z ]+$"")")," Seasons")</f>
        <v> Seasons</v>
      </c>
      <c r="AA5836" s="5" t="str">
        <f>IFERROR(__xludf.DUMMYFUNCTION("IF(REGEXMATCH(Z5836, ""Season""), ""TV Show"", ""Movie"")"),"TV Show")</f>
        <v>TV Show</v>
      </c>
    </row>
    <row r="5837">
      <c r="A5837" s="1" t="s">
        <v>29633</v>
      </c>
      <c r="B5837" s="1" t="s">
        <v>27</v>
      </c>
      <c r="C5837" s="1" t="s">
        <v>29634</v>
      </c>
      <c r="D5837" s="1" t="s">
        <v>14919</v>
      </c>
      <c r="E5837" s="1" t="s">
        <v>12858</v>
      </c>
      <c r="F5837" s="1" t="s">
        <v>30</v>
      </c>
      <c r="G5837" s="1" t="s">
        <v>29635</v>
      </c>
      <c r="H5837" s="1">
        <v>2016.0</v>
      </c>
      <c r="I5837" s="1" t="s">
        <v>42</v>
      </c>
      <c r="J5837" s="1" t="s">
        <v>630</v>
      </c>
      <c r="K5837" s="1" t="s">
        <v>1839</v>
      </c>
      <c r="L5837" s="1" t="s">
        <v>29636</v>
      </c>
      <c r="M5837" s="2" t="s">
        <v>12</v>
      </c>
      <c r="N5837" s="4">
        <f t="shared" si="1"/>
        <v>42552</v>
      </c>
      <c r="O5837" s="5" t="str">
        <f>IFERROR(__xludf.DUMMYFUNCTION("IF(REGEXMATCH(TRIM(I5837), ""^\d+\s*min""), ""Unclassified"", IF(I5837 = """", ""NR"", I5837))"),"TV-MA")</f>
        <v>TV-MA</v>
      </c>
      <c r="R5837" s="5" t="str">
        <f t="shared" si="2"/>
        <v>Jim Jefferies: Freedumb</v>
      </c>
      <c r="S5837" s="5" t="str">
        <f>IFERROR(__xludf.DUMMYFUNCTION("""COMPUTED_VALUE"""),"Return Of The Prodigal Son")</f>
        <v>Return Of The Prodigal Son</v>
      </c>
      <c r="V5837" s="5"/>
      <c r="Y5837" s="5" t="str">
        <f>IFERROR(__xludf.DUMMYFUNCTION("REGEXEXTRACT(J5837, ""^\d+"")"),"87")</f>
        <v>87</v>
      </c>
      <c r="Z5837" s="5" t="str">
        <f>IFERROR(__xludf.DUMMYFUNCTION("REGEXEXTRACT(J5837, ""[A-Za-z ]+$"")")," min")</f>
        <v> min</v>
      </c>
      <c r="AA5837" s="5" t="str">
        <f>IFERROR(__xludf.DUMMYFUNCTION("IF(REGEXMATCH(Z5837, ""Season""), ""TV Show"", ""Movie"")"),"Movie")</f>
        <v>Movie</v>
      </c>
    </row>
    <row r="5838">
      <c r="A5838" s="1" t="s">
        <v>29637</v>
      </c>
      <c r="B5838" s="1" t="s">
        <v>37</v>
      </c>
      <c r="C5838" s="1" t="s">
        <v>29638</v>
      </c>
      <c r="E5838" s="1" t="s">
        <v>29639</v>
      </c>
      <c r="F5838" s="1" t="s">
        <v>30</v>
      </c>
      <c r="G5838" s="1" t="s">
        <v>29635</v>
      </c>
      <c r="H5838" s="1">
        <v>2016.0</v>
      </c>
      <c r="I5838" s="1" t="s">
        <v>42</v>
      </c>
      <c r="J5838" s="1" t="s">
        <v>43</v>
      </c>
      <c r="K5838" s="1" t="s">
        <v>9973</v>
      </c>
      <c r="L5838" s="1" t="s">
        <v>29640</v>
      </c>
      <c r="M5838" s="2" t="s">
        <v>12</v>
      </c>
      <c r="N5838" s="4">
        <f t="shared" si="1"/>
        <v>42552</v>
      </c>
      <c r="O5838" s="5" t="str">
        <f>IFERROR(__xludf.DUMMYFUNCTION("IF(REGEXMATCH(TRIM(I5838), ""^\d+\s*min""), ""Unclassified"", IF(I5838 = """", ""NR"", I5838))"),"TV-MA")</f>
        <v>TV-MA</v>
      </c>
      <c r="R5838" s="5" t="str">
        <f t="shared" si="2"/>
        <v>Marco Polo</v>
      </c>
      <c r="S5838" s="5" t="str">
        <f>IFERROR(__xludf.DUMMYFUNCTION("""COMPUTED_VALUE"""),"Return To The 36Th Chamber")</f>
        <v>Return To The 36Th Chamber</v>
      </c>
      <c r="V5838" s="5"/>
      <c r="Y5838" s="5" t="str">
        <f>IFERROR(__xludf.DUMMYFUNCTION("REGEXEXTRACT(J5838, ""^\d+"")"),"2")</f>
        <v>2</v>
      </c>
      <c r="Z5838" s="5" t="str">
        <f>IFERROR(__xludf.DUMMYFUNCTION("REGEXEXTRACT(J5838, ""[A-Za-z ]+$"")")," Seasons")</f>
        <v> Seasons</v>
      </c>
      <c r="AA5838" s="5" t="str">
        <f>IFERROR(__xludf.DUMMYFUNCTION("IF(REGEXMATCH(Z5838, ""Season""), ""TV Show"", ""Movie"")"),"TV Show")</f>
        <v>TV Show</v>
      </c>
    </row>
    <row r="5839">
      <c r="A5839" s="1" t="s">
        <v>29641</v>
      </c>
      <c r="B5839" s="1" t="s">
        <v>27</v>
      </c>
      <c r="C5839" s="1" t="s">
        <v>29642</v>
      </c>
      <c r="D5839" s="1" t="s">
        <v>9240</v>
      </c>
      <c r="E5839" s="1" t="s">
        <v>29643</v>
      </c>
      <c r="F5839" s="1" t="s">
        <v>63</v>
      </c>
      <c r="G5839" s="1" t="s">
        <v>29635</v>
      </c>
      <c r="H5839" s="1">
        <v>2015.0</v>
      </c>
      <c r="I5839" s="1" t="s">
        <v>42</v>
      </c>
      <c r="J5839" s="1" t="s">
        <v>305</v>
      </c>
      <c r="K5839" s="1" t="s">
        <v>89</v>
      </c>
      <c r="L5839" s="1" t="s">
        <v>29644</v>
      </c>
      <c r="M5839" s="2" t="s">
        <v>12</v>
      </c>
      <c r="N5839" s="4">
        <f t="shared" si="1"/>
        <v>42552</v>
      </c>
      <c r="O5839" s="5" t="str">
        <f>IFERROR(__xludf.DUMMYFUNCTION("IF(REGEXMATCH(TRIM(I5839), ""^\d+\s*min""), ""Unclassified"", IF(I5839 = """", ""NR"", I5839))"),"TV-MA")</f>
        <v>TV-MA</v>
      </c>
      <c r="R5839" s="5" t="str">
        <f t="shared" si="2"/>
        <v>X: Past Is Present</v>
      </c>
      <c r="S5839" s="5" t="str">
        <f>IFERROR(__xludf.DUMMYFUNCTION("""COMPUTED_VALUE"""),"Revelations")</f>
        <v>Revelations</v>
      </c>
      <c r="V5839" s="5"/>
      <c r="Y5839" s="5" t="str">
        <f>IFERROR(__xludf.DUMMYFUNCTION("REGEXEXTRACT(J5839, ""^\d+"")"),"105")</f>
        <v>105</v>
      </c>
      <c r="Z5839" s="5" t="str">
        <f>IFERROR(__xludf.DUMMYFUNCTION("REGEXEXTRACT(J5839, ""[A-Za-z ]+$"")")," min")</f>
        <v> min</v>
      </c>
      <c r="AA5839" s="5" t="str">
        <f>IFERROR(__xludf.DUMMYFUNCTION("IF(REGEXMATCH(Z5839, ""Season""), ""TV Show"", ""Movie"")"),"Movie")</f>
        <v>Movie</v>
      </c>
    </row>
    <row r="5840">
      <c r="A5840" s="1" t="s">
        <v>29645</v>
      </c>
      <c r="B5840" s="1" t="s">
        <v>37</v>
      </c>
      <c r="C5840" s="1" t="s">
        <v>29646</v>
      </c>
      <c r="E5840" s="1" t="s">
        <v>29647</v>
      </c>
      <c r="G5840" s="1" t="s">
        <v>29648</v>
      </c>
      <c r="H5840" s="1">
        <v>2016.0</v>
      </c>
      <c r="I5840" s="1" t="s">
        <v>206</v>
      </c>
      <c r="J5840" s="1" t="s">
        <v>51</v>
      </c>
      <c r="K5840" s="1" t="s">
        <v>290</v>
      </c>
      <c r="L5840" s="1" t="s">
        <v>29649</v>
      </c>
      <c r="M5840" s="2" t="s">
        <v>12</v>
      </c>
      <c r="N5840" s="4">
        <f t="shared" si="1"/>
        <v>42545</v>
      </c>
      <c r="O5840" s="5" t="str">
        <f>IFERROR(__xludf.DUMMYFUNCTION("IF(REGEXMATCH(TRIM(I5840), ""^\d+\s*min""), ""Unclassified"", IF(I5840 = """", ""NR"", I5840))"),"TV-Y")</f>
        <v>TV-Y</v>
      </c>
      <c r="R5840" s="5" t="str">
        <f t="shared" si="2"/>
        <v>Justin Time Go!</v>
      </c>
      <c r="S5840" s="5" t="str">
        <f>IFERROR(__xludf.DUMMYFUNCTION("""COMPUTED_VALUE"""),"Revelations: The Masters Of The Universe: Revelation Aftershow")</f>
        <v>Revelations: The Masters Of The Universe: Revelation Aftershow</v>
      </c>
      <c r="V5840" s="5"/>
      <c r="Y5840" s="5" t="str">
        <f>IFERROR(__xludf.DUMMYFUNCTION("REGEXEXTRACT(J5840, ""^\d+"")"),"1")</f>
        <v>1</v>
      </c>
      <c r="Z5840" s="5" t="str">
        <f>IFERROR(__xludf.DUMMYFUNCTION("REGEXEXTRACT(J5840, ""[A-Za-z ]+$"")")," Season")</f>
        <v> Season</v>
      </c>
      <c r="AA5840" s="5" t="str">
        <f>IFERROR(__xludf.DUMMYFUNCTION("IF(REGEXMATCH(Z5840, ""Season""), ""TV Show"", ""Movie"")"),"TV Show")</f>
        <v>TV Show</v>
      </c>
    </row>
    <row r="5841">
      <c r="A5841" s="1" t="s">
        <v>29650</v>
      </c>
      <c r="B5841" s="1" t="s">
        <v>27</v>
      </c>
      <c r="C5841" s="1" t="s">
        <v>29651</v>
      </c>
      <c r="D5841" s="1" t="s">
        <v>18885</v>
      </c>
      <c r="E5841" s="1" t="s">
        <v>25903</v>
      </c>
      <c r="F5841" s="1" t="s">
        <v>162</v>
      </c>
      <c r="G5841" s="1" t="s">
        <v>29648</v>
      </c>
      <c r="H5841" s="1">
        <v>2016.0</v>
      </c>
      <c r="I5841" s="1" t="s">
        <v>42</v>
      </c>
      <c r="J5841" s="1" t="s">
        <v>729</v>
      </c>
      <c r="K5841" s="1" t="s">
        <v>1839</v>
      </c>
      <c r="L5841" s="1" t="s">
        <v>29652</v>
      </c>
      <c r="M5841" s="2" t="s">
        <v>12</v>
      </c>
      <c r="N5841" s="4">
        <f t="shared" si="1"/>
        <v>42545</v>
      </c>
      <c r="O5841" s="5" t="str">
        <f>IFERROR(__xludf.DUMMYFUNCTION("IF(REGEXMATCH(TRIM(I5841), ""^\d+\s*min""), ""Unclassified"", IF(I5841 = """", ""NR"", I5841))"),"TV-MA")</f>
        <v>TV-MA</v>
      </c>
      <c r="R5841" s="5" t="str">
        <f t="shared" si="2"/>
        <v>Sofía Niño De Rivera: Exposed</v>
      </c>
      <c r="S5841" s="5" t="str">
        <f>IFERROR(__xludf.DUMMYFUNCTION("""COMPUTED_VALUE"""),"Revenge")</f>
        <v>Revenge</v>
      </c>
      <c r="V5841" s="5"/>
      <c r="Y5841" s="5" t="str">
        <f>IFERROR(__xludf.DUMMYFUNCTION("REGEXEXTRACT(J5841, ""^\d+"")"),"80")</f>
        <v>80</v>
      </c>
      <c r="Z5841" s="5" t="str">
        <f>IFERROR(__xludf.DUMMYFUNCTION("REGEXEXTRACT(J5841, ""[A-Za-z ]+$"")")," min")</f>
        <v> min</v>
      </c>
      <c r="AA5841" s="5" t="str">
        <f>IFERROR(__xludf.DUMMYFUNCTION("IF(REGEXMATCH(Z5841, ""Season""), ""TV Show"", ""Movie"")"),"Movie")</f>
        <v>Movie</v>
      </c>
    </row>
    <row r="5842">
      <c r="A5842" s="1" t="s">
        <v>29653</v>
      </c>
      <c r="B5842" s="1" t="s">
        <v>27</v>
      </c>
      <c r="C5842" s="1" t="s">
        <v>29654</v>
      </c>
      <c r="D5842" s="1" t="s">
        <v>19309</v>
      </c>
      <c r="E5842" s="1" t="s">
        <v>29655</v>
      </c>
      <c r="F5842" s="1" t="s">
        <v>30</v>
      </c>
      <c r="G5842" s="1" t="s">
        <v>29648</v>
      </c>
      <c r="H5842" s="1">
        <v>2016.0</v>
      </c>
      <c r="I5842" s="1" t="s">
        <v>42</v>
      </c>
      <c r="J5842" s="1" t="s">
        <v>247</v>
      </c>
      <c r="K5842" s="1" t="s">
        <v>836</v>
      </c>
      <c r="L5842" s="1" t="s">
        <v>29656</v>
      </c>
      <c r="M5842" s="2" t="s">
        <v>12</v>
      </c>
      <c r="N5842" s="4">
        <f t="shared" si="1"/>
        <v>42545</v>
      </c>
      <c r="O5842" s="5" t="str">
        <f>IFERROR(__xludf.DUMMYFUNCTION("IF(REGEXMATCH(TRIM(I5842), ""^\d+\s*min""), ""Unclassified"", IF(I5842 = """", ""NR"", I5842))"),"TV-MA")</f>
        <v>TV-MA</v>
      </c>
      <c r="R5842" s="5" t="str">
        <f t="shared" si="2"/>
        <v>The Fundamentals Of Caring</v>
      </c>
      <c r="S5842" s="5" t="str">
        <f>IFERROR(__xludf.DUMMYFUNCTION("""COMPUTED_VALUE"""),"Revenge Of The Green Dragons")</f>
        <v>Revenge Of The Green Dragons</v>
      </c>
      <c r="V5842" s="5"/>
      <c r="Y5842" s="5" t="str">
        <f>IFERROR(__xludf.DUMMYFUNCTION("REGEXEXTRACT(J5842, ""^\d+"")"),"97")</f>
        <v>97</v>
      </c>
      <c r="Z5842" s="5" t="str">
        <f>IFERROR(__xludf.DUMMYFUNCTION("REGEXEXTRACT(J5842, ""[A-Za-z ]+$"")")," min")</f>
        <v> min</v>
      </c>
      <c r="AA5842" s="5" t="str">
        <f>IFERROR(__xludf.DUMMYFUNCTION("IF(REGEXMATCH(Z5842, ""Season""), ""TV Show"", ""Movie"")"),"Movie")</f>
        <v>Movie</v>
      </c>
    </row>
    <row r="5843">
      <c r="A5843" s="1" t="s">
        <v>29657</v>
      </c>
      <c r="B5843" s="1" t="s">
        <v>27</v>
      </c>
      <c r="C5843" s="1" t="s">
        <v>29658</v>
      </c>
      <c r="D5843" s="1" t="s">
        <v>12644</v>
      </c>
      <c r="E5843" s="1" t="s">
        <v>29659</v>
      </c>
      <c r="F5843" s="1" t="s">
        <v>1064</v>
      </c>
      <c r="G5843" s="1" t="s">
        <v>29660</v>
      </c>
      <c r="H5843" s="1">
        <v>2015.0</v>
      </c>
      <c r="I5843" s="1" t="s">
        <v>32</v>
      </c>
      <c r="J5843" s="1" t="s">
        <v>305</v>
      </c>
      <c r="K5843" s="1" t="s">
        <v>306</v>
      </c>
      <c r="L5843" s="1" t="s">
        <v>29661</v>
      </c>
      <c r="M5843" s="2" t="s">
        <v>12</v>
      </c>
      <c r="N5843" s="4">
        <f t="shared" si="1"/>
        <v>42539</v>
      </c>
      <c r="O5843" s="5" t="str">
        <f>IFERROR(__xludf.DUMMYFUNCTION("IF(REGEXMATCH(TRIM(I5843), ""^\d+\s*min""), ""Unclassified"", IF(I5843 = """", ""NR"", I5843))"),"PG-13")</f>
        <v>PG-13</v>
      </c>
      <c r="R5843" s="5" t="str">
        <f t="shared" si="2"/>
        <v>Ip Man 3</v>
      </c>
      <c r="S5843" s="5" t="str">
        <f>IFERROR(__xludf.DUMMYFUNCTION("""COMPUTED_VALUE"""),"Revenge Of The Pontianak")</f>
        <v>Revenge Of The Pontianak</v>
      </c>
      <c r="V5843" s="5"/>
      <c r="Y5843" s="5" t="str">
        <f>IFERROR(__xludf.DUMMYFUNCTION("REGEXEXTRACT(J5843, ""^\d+"")"),"105")</f>
        <v>105</v>
      </c>
      <c r="Z5843" s="5" t="str">
        <f>IFERROR(__xludf.DUMMYFUNCTION("REGEXEXTRACT(J5843, ""[A-Za-z ]+$"")")," min")</f>
        <v> min</v>
      </c>
      <c r="AA5843" s="5" t="str">
        <f>IFERROR(__xludf.DUMMYFUNCTION("IF(REGEXMATCH(Z5843, ""Season""), ""TV Show"", ""Movie"")"),"Movie")</f>
        <v>Movie</v>
      </c>
    </row>
    <row r="5844">
      <c r="A5844" s="1" t="s">
        <v>29662</v>
      </c>
      <c r="B5844" s="1" t="s">
        <v>27</v>
      </c>
      <c r="C5844" s="1" t="s">
        <v>29663</v>
      </c>
      <c r="D5844" s="1" t="s">
        <v>3513</v>
      </c>
      <c r="E5844" s="1" t="s">
        <v>3507</v>
      </c>
      <c r="F5844" s="1" t="s">
        <v>30</v>
      </c>
      <c r="G5844" s="1" t="s">
        <v>29664</v>
      </c>
      <c r="H5844" s="1">
        <v>2016.0</v>
      </c>
      <c r="I5844" s="1" t="s">
        <v>42</v>
      </c>
      <c r="J5844" s="1" t="s">
        <v>4639</v>
      </c>
      <c r="K5844" s="1" t="s">
        <v>22754</v>
      </c>
      <c r="L5844" s="1" t="s">
        <v>29665</v>
      </c>
      <c r="M5844" s="2" t="s">
        <v>12</v>
      </c>
      <c r="N5844" s="4">
        <f t="shared" si="1"/>
        <v>42524</v>
      </c>
      <c r="O5844" s="5" t="str">
        <f>IFERROR(__xludf.DUMMYFUNCTION("IF(REGEXMATCH(TRIM(I5844), ""^\d+\s*min""), ""Unclassified"", IF(I5844 = """", ""NR"", I5844))"),"TV-MA")</f>
        <v>TV-MA</v>
      </c>
      <c r="R5844" s="5" t="str">
        <f t="shared" si="2"/>
        <v>Bo Burnham: Make Happy</v>
      </c>
      <c r="S5844" s="5" t="str">
        <f>IFERROR(__xludf.DUMMYFUNCTION("""COMPUTED_VALUE"""),"Revenger")</f>
        <v>Revenger</v>
      </c>
      <c r="V5844" s="5"/>
      <c r="Y5844" s="5" t="str">
        <f>IFERROR(__xludf.DUMMYFUNCTION("REGEXEXTRACT(J5844, ""^\d+"")"),"60")</f>
        <v>60</v>
      </c>
      <c r="Z5844" s="5" t="str">
        <f>IFERROR(__xludf.DUMMYFUNCTION("REGEXEXTRACT(J5844, ""[A-Za-z ]+$"")")," min")</f>
        <v> min</v>
      </c>
      <c r="AA5844" s="5" t="str">
        <f>IFERROR(__xludf.DUMMYFUNCTION("IF(REGEXMATCH(Z5844, ""Season""), ""TV Show"", ""Movie"")"),"Movie")</f>
        <v>Movie</v>
      </c>
    </row>
    <row r="5845">
      <c r="A5845" s="1" t="s">
        <v>29666</v>
      </c>
      <c r="B5845" s="1" t="s">
        <v>37</v>
      </c>
      <c r="C5845" s="1" t="s">
        <v>29667</v>
      </c>
      <c r="E5845" s="1" t="s">
        <v>29668</v>
      </c>
      <c r="F5845" s="1" t="s">
        <v>415</v>
      </c>
      <c r="G5845" s="1" t="s">
        <v>29669</v>
      </c>
      <c r="H5845" s="1">
        <v>2016.0</v>
      </c>
      <c r="I5845" s="1" t="s">
        <v>42</v>
      </c>
      <c r="J5845" s="1" t="s">
        <v>51</v>
      </c>
      <c r="K5845" s="1" t="s">
        <v>402</v>
      </c>
      <c r="L5845" s="1" t="s">
        <v>29670</v>
      </c>
      <c r="M5845" s="2" t="s">
        <v>12</v>
      </c>
      <c r="N5845" s="4">
        <f t="shared" si="1"/>
        <v>42523</v>
      </c>
      <c r="O5845" s="5" t="str">
        <f>IFERROR(__xludf.DUMMYFUNCTION("IF(REGEXMATCH(TRIM(I5845), ""^\d+\s*min""), ""Unclassified"", IF(I5845 = """", ""NR"", I5845))"),"TV-MA")</f>
        <v>TV-MA</v>
      </c>
      <c r="R5845" s="5" t="str">
        <f t="shared" si="2"/>
        <v>Hibana: Spark</v>
      </c>
      <c r="S5845" s="5" t="str">
        <f>IFERROR(__xludf.DUMMYFUNCTION("""COMPUTED_VALUE"""),"Reversing Roe")</f>
        <v>Reversing Roe</v>
      </c>
      <c r="V5845" s="5"/>
      <c r="Y5845" s="5" t="str">
        <f>IFERROR(__xludf.DUMMYFUNCTION("REGEXEXTRACT(J5845, ""^\d+"")"),"1")</f>
        <v>1</v>
      </c>
      <c r="Z5845" s="5" t="str">
        <f>IFERROR(__xludf.DUMMYFUNCTION("REGEXEXTRACT(J5845, ""[A-Za-z ]+$"")")," Season")</f>
        <v> Season</v>
      </c>
      <c r="AA5845" s="5" t="str">
        <f>IFERROR(__xludf.DUMMYFUNCTION("IF(REGEXMATCH(Z5845, ""Season""), ""TV Show"", ""Movie"")"),"TV Show")</f>
        <v>TV Show</v>
      </c>
    </row>
    <row r="5846">
      <c r="A5846" s="1" t="s">
        <v>29671</v>
      </c>
      <c r="B5846" s="1" t="s">
        <v>37</v>
      </c>
      <c r="C5846" s="1" t="s">
        <v>29672</v>
      </c>
      <c r="F5846" s="1" t="s">
        <v>221</v>
      </c>
      <c r="G5846" s="1" t="s">
        <v>29673</v>
      </c>
      <c r="H5846" s="1">
        <v>2016.0</v>
      </c>
      <c r="I5846" s="1" t="s">
        <v>136</v>
      </c>
      <c r="J5846" s="1" t="s">
        <v>51</v>
      </c>
      <c r="K5846" s="1" t="s">
        <v>3350</v>
      </c>
      <c r="L5846" s="1" t="s">
        <v>29674</v>
      </c>
      <c r="M5846" s="2" t="s">
        <v>12</v>
      </c>
      <c r="N5846" s="4">
        <f t="shared" si="1"/>
        <v>42522</v>
      </c>
      <c r="O5846" s="5" t="str">
        <f>IFERROR(__xludf.DUMMYFUNCTION("IF(REGEXMATCH(TRIM(I5846), ""^\d+\s*min""), ""Unclassified"", IF(I5846 = """", ""NR"", I5846))"),"TV-PG")</f>
        <v>TV-PG</v>
      </c>
      <c r="R5846" s="5" t="str">
        <f t="shared" si="2"/>
        <v>72 Cutest Animals</v>
      </c>
      <c r="S5846" s="5" t="str">
        <f>IFERROR(__xludf.DUMMYFUNCTION("""COMPUTED_VALUE"""),"Revisions")</f>
        <v>Revisions</v>
      </c>
      <c r="V5846" s="5"/>
      <c r="Y5846" s="5" t="str">
        <f>IFERROR(__xludf.DUMMYFUNCTION("REGEXEXTRACT(J5846, ""^\d+"")"),"1")</f>
        <v>1</v>
      </c>
      <c r="Z5846" s="5" t="str">
        <f>IFERROR(__xludf.DUMMYFUNCTION("REGEXEXTRACT(J5846, ""[A-Za-z ]+$"")")," Season")</f>
        <v> Season</v>
      </c>
      <c r="AA5846" s="5" t="str">
        <f>IFERROR(__xludf.DUMMYFUNCTION("IF(REGEXMATCH(Z5846, ""Season""), ""TV Show"", ""Movie"")"),"TV Show")</f>
        <v>TV Show</v>
      </c>
    </row>
    <row r="5847">
      <c r="A5847" s="1" t="s">
        <v>29675</v>
      </c>
      <c r="B5847" s="1" t="s">
        <v>37</v>
      </c>
      <c r="C5847" s="1" t="s">
        <v>29676</v>
      </c>
      <c r="E5847" s="1" t="s">
        <v>29677</v>
      </c>
      <c r="F5847" s="1" t="s">
        <v>221</v>
      </c>
      <c r="G5847" s="1" t="s">
        <v>29673</v>
      </c>
      <c r="H5847" s="1">
        <v>2016.0</v>
      </c>
      <c r="I5847" s="1" t="s">
        <v>136</v>
      </c>
      <c r="J5847" s="1" t="s">
        <v>51</v>
      </c>
      <c r="K5847" s="1" t="s">
        <v>3350</v>
      </c>
      <c r="L5847" s="1" t="s">
        <v>29678</v>
      </c>
      <c r="M5847" s="2" t="s">
        <v>12</v>
      </c>
      <c r="N5847" s="4">
        <f t="shared" si="1"/>
        <v>42522</v>
      </c>
      <c r="O5847" s="5" t="str">
        <f>IFERROR(__xludf.DUMMYFUNCTION("IF(REGEXMATCH(TRIM(I5847), ""^\d+\s*min""), ""Unclassified"", IF(I5847 = """", ""NR"", I5847))"),"TV-PG")</f>
        <v>TV-PG</v>
      </c>
      <c r="R5847" s="5" t="str">
        <f t="shared" si="2"/>
        <v>72 Dangerous Places To Live</v>
      </c>
      <c r="S5847" s="5" t="str">
        <f>IFERROR(__xludf.DUMMYFUNCTION("""COMPUTED_VALUE"""),"Revolt")</f>
        <v>Revolt</v>
      </c>
      <c r="V5847" s="5"/>
      <c r="Y5847" s="5" t="str">
        <f>IFERROR(__xludf.DUMMYFUNCTION("REGEXEXTRACT(J5847, ""^\d+"")"),"1")</f>
        <v>1</v>
      </c>
      <c r="Z5847" s="5" t="str">
        <f>IFERROR(__xludf.DUMMYFUNCTION("REGEXEXTRACT(J5847, ""[A-Za-z ]+$"")")," Season")</f>
        <v> Season</v>
      </c>
      <c r="AA5847" s="5" t="str">
        <f>IFERROR(__xludf.DUMMYFUNCTION("IF(REGEXMATCH(Z5847, ""Season""), ""TV Show"", ""Movie"")"),"TV Show")</f>
        <v>TV Show</v>
      </c>
    </row>
    <row r="5848">
      <c r="A5848" s="1" t="s">
        <v>29679</v>
      </c>
      <c r="B5848" s="1" t="s">
        <v>27</v>
      </c>
      <c r="C5848" s="1" t="s">
        <v>29680</v>
      </c>
      <c r="D5848" s="1" t="s">
        <v>21706</v>
      </c>
      <c r="E5848" s="1" t="s">
        <v>29681</v>
      </c>
      <c r="F5848" s="1" t="s">
        <v>30</v>
      </c>
      <c r="G5848" s="7">
        <v>42517.0</v>
      </c>
      <c r="H5848" s="1">
        <v>2016.0</v>
      </c>
      <c r="I5848" s="1" t="s">
        <v>42</v>
      </c>
      <c r="J5848" s="1" t="s">
        <v>1065</v>
      </c>
      <c r="K5848" s="1" t="s">
        <v>973</v>
      </c>
      <c r="L5848" s="1" t="s">
        <v>29682</v>
      </c>
      <c r="M5848" s="2" t="s">
        <v>12</v>
      </c>
      <c r="N5848" s="4">
        <f t="shared" si="1"/>
        <v>42517</v>
      </c>
      <c r="O5848" s="5" t="str">
        <f>IFERROR(__xludf.DUMMYFUNCTION("IF(REGEXMATCH(TRIM(I5848), ""^\d+\s*min""), ""Unclassified"", IF(I5848 = """", ""NR"", I5848))"),"TV-MA")</f>
        <v>TV-MA</v>
      </c>
      <c r="R5848" s="5" t="str">
        <f t="shared" si="2"/>
        <v>The Do-Over</v>
      </c>
      <c r="S5848" s="5" t="str">
        <f>IFERROR(__xludf.DUMMYFUNCTION("""COMPUTED_VALUE"""),"Revolting Rhymes")</f>
        <v>Revolting Rhymes</v>
      </c>
      <c r="V5848" s="5"/>
      <c r="Y5848" s="5" t="str">
        <f>IFERROR(__xludf.DUMMYFUNCTION("REGEXEXTRACT(J5848, ""^\d+"")"),"109")</f>
        <v>109</v>
      </c>
      <c r="Z5848" s="5" t="str">
        <f>IFERROR(__xludf.DUMMYFUNCTION("REGEXEXTRACT(J5848, ""[A-Za-z ]+$"")")," min")</f>
        <v> min</v>
      </c>
      <c r="AA5848" s="5" t="str">
        <f>IFERROR(__xludf.DUMMYFUNCTION("IF(REGEXMATCH(Z5848, ""Season""), ""TV Show"", ""Movie"")"),"Movie")</f>
        <v>Movie</v>
      </c>
    </row>
    <row r="5849">
      <c r="A5849" s="1" t="s">
        <v>29683</v>
      </c>
      <c r="B5849" s="1" t="s">
        <v>27</v>
      </c>
      <c r="C5849" s="1" t="s">
        <v>29684</v>
      </c>
      <c r="D5849" s="1" t="s">
        <v>10401</v>
      </c>
      <c r="E5849" s="1" t="s">
        <v>25483</v>
      </c>
      <c r="F5849" s="1" t="s">
        <v>30</v>
      </c>
      <c r="G5849" s="7">
        <v>42496.0</v>
      </c>
      <c r="H5849" s="1">
        <v>2016.0</v>
      </c>
      <c r="I5849" s="1" t="s">
        <v>42</v>
      </c>
      <c r="J5849" s="1" t="s">
        <v>4639</v>
      </c>
      <c r="K5849" s="1" t="s">
        <v>1839</v>
      </c>
      <c r="L5849" s="1" t="s">
        <v>29685</v>
      </c>
      <c r="M5849" s="2" t="s">
        <v>12</v>
      </c>
      <c r="N5849" s="4">
        <f t="shared" si="1"/>
        <v>42496</v>
      </c>
      <c r="O5849" s="5" t="str">
        <f>IFERROR(__xludf.DUMMYFUNCTION("IF(REGEXMATCH(TRIM(I5849), ""^\d+\s*min""), ""Unclassified"", IF(I5849 = """", ""NR"", I5849))"),"TV-MA")</f>
        <v>TV-MA</v>
      </c>
      <c r="R5849" s="5" t="str">
        <f t="shared" si="2"/>
        <v>Ali Wong: Baby Cobra</v>
      </c>
      <c r="S5849" s="5" t="str">
        <f>IFERROR(__xludf.DUMMYFUNCTION("""COMPUTED_VALUE"""),"Revolutionary Love")</f>
        <v>Revolutionary Love</v>
      </c>
      <c r="V5849" s="5"/>
      <c r="Y5849" s="5" t="str">
        <f>IFERROR(__xludf.DUMMYFUNCTION("REGEXEXTRACT(J5849, ""^\d+"")"),"60")</f>
        <v>60</v>
      </c>
      <c r="Z5849" s="5" t="str">
        <f>IFERROR(__xludf.DUMMYFUNCTION("REGEXEXTRACT(J5849, ""[A-Za-z ]+$"")")," min")</f>
        <v> min</v>
      </c>
      <c r="AA5849" s="5" t="str">
        <f>IFERROR(__xludf.DUMMYFUNCTION("IF(REGEXMATCH(Z5849, ""Season""), ""TV Show"", ""Movie"")"),"Movie")</f>
        <v>Movie</v>
      </c>
    </row>
    <row r="5850">
      <c r="A5850" s="1" t="s">
        <v>29686</v>
      </c>
      <c r="B5850" s="1" t="s">
        <v>27</v>
      </c>
      <c r="C5850" s="1" t="s">
        <v>29687</v>
      </c>
      <c r="D5850" s="1" t="s">
        <v>19239</v>
      </c>
      <c r="E5850" s="1" t="s">
        <v>29688</v>
      </c>
      <c r="F5850" s="1" t="s">
        <v>8599</v>
      </c>
      <c r="G5850" s="1" t="s">
        <v>29689</v>
      </c>
      <c r="H5850" s="1">
        <v>2016.0</v>
      </c>
      <c r="I5850" s="1" t="s">
        <v>42</v>
      </c>
      <c r="J5850" s="1" t="s">
        <v>1091</v>
      </c>
      <c r="K5850" s="1" t="s">
        <v>239</v>
      </c>
      <c r="L5850" s="1" t="s">
        <v>29690</v>
      </c>
      <c r="M5850" s="2" t="s">
        <v>12</v>
      </c>
      <c r="N5850" s="4">
        <f t="shared" si="1"/>
        <v>42489</v>
      </c>
      <c r="O5850" s="5" t="str">
        <f>IFERROR(__xludf.DUMMYFUNCTION("IF(REGEXMATCH(TRIM(I5850), ""^\d+\s*min""), ""Unclassified"", IF(I5850 = """", ""NR"", I5850))"),"TV-MA")</f>
        <v>TV-MA</v>
      </c>
      <c r="R5850" s="5" t="str">
        <f t="shared" si="2"/>
        <v>Special Correspondents</v>
      </c>
      <c r="S5850" s="5" t="str">
        <f>IFERROR(__xludf.DUMMYFUNCTION("""COMPUTED_VALUE"""),"Revolutionary Road")</f>
        <v>Revolutionary Road</v>
      </c>
      <c r="V5850" s="5"/>
      <c r="Y5850" s="5" t="str">
        <f>IFERROR(__xludf.DUMMYFUNCTION("REGEXEXTRACT(J5850, ""^\d+"")"),"101")</f>
        <v>101</v>
      </c>
      <c r="Z5850" s="5" t="str">
        <f>IFERROR(__xludf.DUMMYFUNCTION("REGEXEXTRACT(J5850, ""[A-Za-z ]+$"")")," min")</f>
        <v> min</v>
      </c>
      <c r="AA5850" s="5" t="str">
        <f>IFERROR(__xludf.DUMMYFUNCTION("IF(REGEXMATCH(Z5850, ""Season""), ""TV Show"", ""Movie"")"),"Movie")</f>
        <v>Movie</v>
      </c>
    </row>
    <row r="5851">
      <c r="A5851" s="1" t="s">
        <v>29691</v>
      </c>
      <c r="B5851" s="1" t="s">
        <v>27</v>
      </c>
      <c r="C5851" s="1" t="s">
        <v>29692</v>
      </c>
      <c r="D5851" s="1" t="s">
        <v>11573</v>
      </c>
      <c r="F5851" s="1" t="s">
        <v>30</v>
      </c>
      <c r="G5851" s="1" t="s">
        <v>29689</v>
      </c>
      <c r="H5851" s="1">
        <v>2016.0</v>
      </c>
      <c r="I5851" s="1" t="s">
        <v>42</v>
      </c>
      <c r="J5851" s="1" t="s">
        <v>79</v>
      </c>
      <c r="K5851" s="1" t="s">
        <v>645</v>
      </c>
      <c r="L5851" s="1" t="s">
        <v>29693</v>
      </c>
      <c r="M5851" s="2" t="s">
        <v>12</v>
      </c>
      <c r="N5851" s="4">
        <f t="shared" si="1"/>
        <v>42489</v>
      </c>
      <c r="O5851" s="5" t="str">
        <f>IFERROR(__xludf.DUMMYFUNCTION("IF(REGEXMATCH(TRIM(I5851), ""^\d+\s*min""), ""Unclassified"", IF(I5851 = """", ""NR"", I5851))"),"TV-MA")</f>
        <v>TV-MA</v>
      </c>
      <c r="R5851" s="5" t="str">
        <f t="shared" si="2"/>
        <v>Team Foxcatcher</v>
      </c>
      <c r="S5851" s="5" t="str">
        <f>IFERROR(__xludf.DUMMYFUNCTION("""COMPUTED_VALUE"""),"Rezeta")</f>
        <v>Rezeta</v>
      </c>
      <c r="V5851" s="5"/>
      <c r="Y5851" s="5" t="str">
        <f>IFERROR(__xludf.DUMMYFUNCTION("REGEXEXTRACT(J5851, ""^\d+"")"),"91")</f>
        <v>91</v>
      </c>
      <c r="Z5851" s="5" t="str">
        <f>IFERROR(__xludf.DUMMYFUNCTION("REGEXEXTRACT(J5851, ""[A-Za-z ]+$"")")," min")</f>
        <v> min</v>
      </c>
      <c r="AA5851" s="5" t="str">
        <f>IFERROR(__xludf.DUMMYFUNCTION("IF(REGEXMATCH(Z5851, ""Season""), ""TV Show"", ""Movie"")"),"Movie")</f>
        <v>Movie</v>
      </c>
    </row>
    <row r="5852">
      <c r="A5852" s="1" t="s">
        <v>29694</v>
      </c>
      <c r="B5852" s="1" t="s">
        <v>27</v>
      </c>
      <c r="C5852" s="1" t="s">
        <v>29695</v>
      </c>
      <c r="E5852" s="1" t="s">
        <v>26998</v>
      </c>
      <c r="F5852" s="1" t="s">
        <v>30</v>
      </c>
      <c r="G5852" s="1" t="s">
        <v>29696</v>
      </c>
      <c r="H5852" s="1">
        <v>2016.0</v>
      </c>
      <c r="I5852" s="1" t="s">
        <v>42</v>
      </c>
      <c r="J5852" s="1" t="s">
        <v>2636</v>
      </c>
      <c r="K5852" s="1" t="s">
        <v>1839</v>
      </c>
      <c r="L5852" s="1" t="s">
        <v>29697</v>
      </c>
      <c r="M5852" s="2" t="s">
        <v>12</v>
      </c>
      <c r="N5852" s="4">
        <f t="shared" si="1"/>
        <v>42482</v>
      </c>
      <c r="O5852" s="5" t="str">
        <f>IFERROR(__xludf.DUMMYFUNCTION("IF(REGEXMATCH(TRIM(I5852), ""^\d+\s*min""), ""Unclassified"", IF(I5852 = """", ""NR"", I5852))"),"TV-MA")</f>
        <v>TV-MA</v>
      </c>
      <c r="R5852" s="5" t="str">
        <f t="shared" si="2"/>
        <v>Patton Oswalt: Talking For Clapping</v>
      </c>
      <c r="S5852" s="5" t="str">
        <f>IFERROR(__xludf.DUMMYFUNCTION("""COMPUTED_VALUE"""),"Rhyme &amp; Reason")</f>
        <v>Rhyme &amp; Reason</v>
      </c>
      <c r="V5852" s="5"/>
      <c r="Y5852" s="5" t="str">
        <f>IFERROR(__xludf.DUMMYFUNCTION("REGEXEXTRACT(J5852, ""^\d+"")"),"66")</f>
        <v>66</v>
      </c>
      <c r="Z5852" s="5" t="str">
        <f>IFERROR(__xludf.DUMMYFUNCTION("REGEXEXTRACT(J5852, ""[A-Za-z ]+$"")")," min")</f>
        <v> min</v>
      </c>
      <c r="AA5852" s="5" t="str">
        <f>IFERROR(__xludf.DUMMYFUNCTION("IF(REGEXMATCH(Z5852, ""Season""), ""TV Show"", ""Movie"")"),"Movie")</f>
        <v>Movie</v>
      </c>
    </row>
    <row r="5853">
      <c r="A5853" s="1" t="s">
        <v>29698</v>
      </c>
      <c r="B5853" s="1" t="s">
        <v>27</v>
      </c>
      <c r="C5853" s="1" t="s">
        <v>29699</v>
      </c>
      <c r="D5853" s="1" t="s">
        <v>29700</v>
      </c>
      <c r="E5853" s="1" t="s">
        <v>29701</v>
      </c>
      <c r="F5853" s="1" t="s">
        <v>29702</v>
      </c>
      <c r="G5853" s="1" t="s">
        <v>29703</v>
      </c>
      <c r="H5853" s="1">
        <v>2016.0</v>
      </c>
      <c r="I5853" s="1" t="s">
        <v>42</v>
      </c>
      <c r="J5853" s="1" t="s">
        <v>127</v>
      </c>
      <c r="K5853" s="1" t="s">
        <v>128</v>
      </c>
      <c r="L5853" s="1" t="s">
        <v>29704</v>
      </c>
      <c r="M5853" s="2" t="s">
        <v>12</v>
      </c>
      <c r="N5853" s="4">
        <f t="shared" si="1"/>
        <v>42475</v>
      </c>
      <c r="O5853" s="5" t="str">
        <f>IFERROR(__xludf.DUMMYFUNCTION("IF(REGEXMATCH(TRIM(I5853), ""^\d+\s*min""), ""Unclassified"", IF(I5853 = """", ""NR"", I5853))"),"TV-MA")</f>
        <v>TV-MA</v>
      </c>
      <c r="R5853" s="5" t="str">
        <f t="shared" si="2"/>
        <v>Belgica</v>
      </c>
      <c r="S5853" s="5" t="str">
        <f>IFERROR(__xludf.DUMMYFUNCTION("""COMPUTED_VALUE"""),"Rhyme Time Town")</f>
        <v>Rhyme Time Town</v>
      </c>
      <c r="V5853" s="5"/>
      <c r="Y5853" s="5" t="str">
        <f>IFERROR(__xludf.DUMMYFUNCTION("REGEXEXTRACT(J5853, ""^\d+"")"),"127")</f>
        <v>127</v>
      </c>
      <c r="Z5853" s="5" t="str">
        <f>IFERROR(__xludf.DUMMYFUNCTION("REGEXEXTRACT(J5853, ""[A-Za-z ]+$"")")," min")</f>
        <v> min</v>
      </c>
      <c r="AA5853" s="5" t="str">
        <f>IFERROR(__xludf.DUMMYFUNCTION("IF(REGEXMATCH(Z5853, ""Season""), ""TV Show"", ""Movie"")"),"Movie")</f>
        <v>Movie</v>
      </c>
    </row>
    <row r="5854">
      <c r="A5854" s="1" t="s">
        <v>29705</v>
      </c>
      <c r="B5854" s="1" t="s">
        <v>27</v>
      </c>
      <c r="C5854" s="1" t="s">
        <v>29706</v>
      </c>
      <c r="D5854" s="1" t="s">
        <v>69</v>
      </c>
      <c r="E5854" s="1" t="s">
        <v>29707</v>
      </c>
      <c r="F5854" s="1" t="s">
        <v>30</v>
      </c>
      <c r="G5854" s="1" t="s">
        <v>29708</v>
      </c>
      <c r="H5854" s="1">
        <v>2016.0</v>
      </c>
      <c r="I5854" s="1" t="s">
        <v>378</v>
      </c>
      <c r="J5854" s="1" t="s">
        <v>1001</v>
      </c>
      <c r="K5854" s="1" t="s">
        <v>3768</v>
      </c>
      <c r="L5854" s="1" t="s">
        <v>29709</v>
      </c>
      <c r="M5854" s="2" t="s">
        <v>12</v>
      </c>
      <c r="N5854" s="4">
        <f t="shared" si="1"/>
        <v>42468</v>
      </c>
      <c r="O5854" s="5" t="str">
        <f>IFERROR(__xludf.DUMMYFUNCTION("IF(REGEXMATCH(TRIM(I5854), ""^\d+\s*min""), ""Unclassified"", IF(I5854 = """", ""NR"", I5854))"),"R")</f>
        <v>R</v>
      </c>
      <c r="R5854" s="5" t="str">
        <f t="shared" si="2"/>
        <v>Hush</v>
      </c>
      <c r="S5854" s="5" t="str">
        <f>IFERROR(__xludf.DUMMYFUNCTION("""COMPUTED_VALUE"""),"Rhyme Time Town Singalongs")</f>
        <v>Rhyme Time Town Singalongs</v>
      </c>
      <c r="V5854" s="5"/>
      <c r="Y5854" s="5" t="str">
        <f>IFERROR(__xludf.DUMMYFUNCTION("REGEXEXTRACT(J5854, ""^\d+"")"),"82")</f>
        <v>82</v>
      </c>
      <c r="Z5854" s="5" t="str">
        <f>IFERROR(__xludf.DUMMYFUNCTION("REGEXEXTRACT(J5854, ""[A-Za-z ]+$"")")," min")</f>
        <v> min</v>
      </c>
      <c r="AA5854" s="5" t="str">
        <f>IFERROR(__xludf.DUMMYFUNCTION("IF(REGEXMATCH(Z5854, ""Season""), ""TV Show"", ""Movie"")"),"Movie")</f>
        <v>Movie</v>
      </c>
    </row>
    <row r="5855">
      <c r="A5855" s="1" t="s">
        <v>29710</v>
      </c>
      <c r="B5855" s="1" t="s">
        <v>37</v>
      </c>
      <c r="C5855" s="1" t="s">
        <v>29711</v>
      </c>
      <c r="E5855" s="1" t="s">
        <v>29712</v>
      </c>
      <c r="F5855" s="1" t="s">
        <v>6651</v>
      </c>
      <c r="G5855" s="1" t="s">
        <v>29713</v>
      </c>
      <c r="H5855" s="1">
        <v>2015.0</v>
      </c>
      <c r="I5855" s="1" t="s">
        <v>42</v>
      </c>
      <c r="J5855" s="1" t="s">
        <v>51</v>
      </c>
      <c r="K5855" s="1" t="s">
        <v>567</v>
      </c>
      <c r="L5855" s="1" t="s">
        <v>29714</v>
      </c>
      <c r="M5855" s="2" t="s">
        <v>12</v>
      </c>
      <c r="N5855" s="4">
        <f t="shared" si="1"/>
        <v>42461</v>
      </c>
      <c r="O5855" s="5" t="str">
        <f>IFERROR(__xludf.DUMMYFUNCTION("IF(REGEXMATCH(TRIM(I5855), ""^\d+\s*min""), ""Unclassified"", IF(I5855 = """", ""NR"", I5855))"),"TV-MA")</f>
        <v>TV-MA</v>
      </c>
      <c r="R5855" s="5" t="str">
        <f t="shared" si="2"/>
        <v>Cyborg 009 Vs Devilman</v>
      </c>
      <c r="S5855" s="5" t="str">
        <f>IFERROR(__xludf.DUMMYFUNCTION("""COMPUTED_VALUE"""),"Rhys Nicholson Live At The Athenaeum")</f>
        <v>Rhys Nicholson Live At The Athenaeum</v>
      </c>
      <c r="V5855" s="5"/>
      <c r="Y5855" s="5" t="str">
        <f>IFERROR(__xludf.DUMMYFUNCTION("REGEXEXTRACT(J5855, ""^\d+"")"),"1")</f>
        <v>1</v>
      </c>
      <c r="Z5855" s="5" t="str">
        <f>IFERROR(__xludf.DUMMYFUNCTION("REGEXEXTRACT(J5855, ""[A-Za-z ]+$"")")," Season")</f>
        <v> Season</v>
      </c>
      <c r="AA5855" s="5" t="str">
        <f>IFERROR(__xludf.DUMMYFUNCTION("IF(REGEXMATCH(Z5855, ""Season""), ""TV Show"", ""Movie"")"),"TV Show")</f>
        <v>TV Show</v>
      </c>
    </row>
    <row r="5856">
      <c r="A5856" s="1" t="s">
        <v>29715</v>
      </c>
      <c r="B5856" s="1" t="s">
        <v>27</v>
      </c>
      <c r="C5856" s="1" t="s">
        <v>29716</v>
      </c>
      <c r="D5856" s="1" t="s">
        <v>8007</v>
      </c>
      <c r="F5856" s="1" t="s">
        <v>30</v>
      </c>
      <c r="G5856" s="1" t="s">
        <v>29713</v>
      </c>
      <c r="H5856" s="1">
        <v>2007.0</v>
      </c>
      <c r="I5856" s="1" t="s">
        <v>42</v>
      </c>
      <c r="J5856" s="1" t="s">
        <v>1583</v>
      </c>
      <c r="K5856" s="1" t="s">
        <v>700</v>
      </c>
      <c r="L5856" s="1" t="s">
        <v>29717</v>
      </c>
      <c r="M5856" s="2" t="s">
        <v>12</v>
      </c>
      <c r="N5856" s="4">
        <f t="shared" si="1"/>
        <v>42461</v>
      </c>
      <c r="O5856" s="5" t="str">
        <f>IFERROR(__xludf.DUMMYFUNCTION("IF(REGEXMATCH(TRIM(I5856), ""^\d+\s*min""), ""Unclassified"", IF(I5856 = """", ""NR"", I5856))"),"TV-MA")</f>
        <v>TV-MA</v>
      </c>
      <c r="R5856" s="5" t="str">
        <f t="shared" si="2"/>
        <v>Frank And Cindy</v>
      </c>
      <c r="S5856" s="5" t="str">
        <f>IFERROR(__xludf.DUMMYFUNCTION("""COMPUTED_VALUE"""),"Rhythm + Flow")</f>
        <v>Rhythm + Flow</v>
      </c>
      <c r="V5856" s="5"/>
      <c r="Y5856" s="5" t="str">
        <f>IFERROR(__xludf.DUMMYFUNCTION("REGEXEXTRACT(J5856, ""^\d+"")"),"70")</f>
        <v>70</v>
      </c>
      <c r="Z5856" s="5" t="str">
        <f>IFERROR(__xludf.DUMMYFUNCTION("REGEXEXTRACT(J5856, ""[A-Za-z ]+$"")")," min")</f>
        <v> min</v>
      </c>
      <c r="AA5856" s="5" t="str">
        <f>IFERROR(__xludf.DUMMYFUNCTION("IF(REGEXMATCH(Z5856, ""Season""), ""TV Show"", ""Movie"")"),"Movie")</f>
        <v>Movie</v>
      </c>
    </row>
    <row r="5857">
      <c r="A5857" s="1" t="s">
        <v>29718</v>
      </c>
      <c r="B5857" s="1" t="s">
        <v>37</v>
      </c>
      <c r="C5857" s="1" t="s">
        <v>29719</v>
      </c>
      <c r="E5857" s="1" t="s">
        <v>29720</v>
      </c>
      <c r="F5857" s="1" t="s">
        <v>1106</v>
      </c>
      <c r="G5857" s="1" t="s">
        <v>29713</v>
      </c>
      <c r="H5857" s="1">
        <v>2012.0</v>
      </c>
      <c r="I5857" s="1" t="s">
        <v>206</v>
      </c>
      <c r="J5857" s="1" t="s">
        <v>43</v>
      </c>
      <c r="K5857" s="1" t="s">
        <v>290</v>
      </c>
      <c r="L5857" s="1" t="s">
        <v>29721</v>
      </c>
      <c r="M5857" s="2" t="s">
        <v>12</v>
      </c>
      <c r="N5857" s="4">
        <f t="shared" si="1"/>
        <v>42461</v>
      </c>
      <c r="O5857" s="5" t="str">
        <f>IFERROR(__xludf.DUMMYFUNCTION("IF(REGEXMATCH(TRIM(I5857), ""^\d+\s*min""), ""Unclassified"", IF(I5857 = """", ""NR"", I5857))"),"TV-Y")</f>
        <v>TV-Y</v>
      </c>
      <c r="R5857" s="5" t="str">
        <f t="shared" si="2"/>
        <v>Justin Time</v>
      </c>
      <c r="S5857" s="5" t="str">
        <f>IFERROR(__xludf.DUMMYFUNCTION("""COMPUTED_VALUE"""),"Rica, Famosa, Latina")</f>
        <v>Rica, Famosa, Latina</v>
      </c>
      <c r="V5857" s="5"/>
      <c r="Y5857" s="5" t="str">
        <f>IFERROR(__xludf.DUMMYFUNCTION("REGEXEXTRACT(J5857, ""^\d+"")"),"2")</f>
        <v>2</v>
      </c>
      <c r="Z5857" s="5" t="str">
        <f>IFERROR(__xludf.DUMMYFUNCTION("REGEXEXTRACT(J5857, ""[A-Za-z ]+$"")")," Seasons")</f>
        <v> Seasons</v>
      </c>
      <c r="AA5857" s="5" t="str">
        <f>IFERROR(__xludf.DUMMYFUNCTION("IF(REGEXMATCH(Z5857, ""Season""), ""TV Show"", ""Movie"")"),"TV Show")</f>
        <v>TV Show</v>
      </c>
    </row>
    <row r="5858">
      <c r="A5858" s="1" t="s">
        <v>29722</v>
      </c>
      <c r="B5858" s="1" t="s">
        <v>37</v>
      </c>
      <c r="C5858" s="1" t="s">
        <v>29723</v>
      </c>
      <c r="E5858" s="1" t="s">
        <v>29724</v>
      </c>
      <c r="F5858" s="1" t="s">
        <v>415</v>
      </c>
      <c r="G5858" s="1" t="s">
        <v>29713</v>
      </c>
      <c r="H5858" s="1">
        <v>2016.0</v>
      </c>
      <c r="I5858" s="1" t="s">
        <v>97</v>
      </c>
      <c r="J5858" s="1" t="s">
        <v>43</v>
      </c>
      <c r="K5858" s="1" t="s">
        <v>1520</v>
      </c>
      <c r="L5858" s="1" t="s">
        <v>29725</v>
      </c>
      <c r="M5858" s="2" t="s">
        <v>12</v>
      </c>
      <c r="N5858" s="4">
        <f t="shared" si="1"/>
        <v>42461</v>
      </c>
      <c r="O5858" s="5" t="str">
        <f>IFERROR(__xludf.DUMMYFUNCTION("IF(REGEXMATCH(TRIM(I5858), ""^\d+\s*min""), ""Unclassified"", IF(I5858 = """", ""NR"", I5858))"),"TV-14")</f>
        <v>TV-14</v>
      </c>
      <c r="R5858" s="5" t="str">
        <f t="shared" si="2"/>
        <v>Terrace House: Boys &amp; Girls In The City</v>
      </c>
      <c r="S5858" s="5" t="str">
        <f>IFERROR(__xludf.DUMMYFUNCTION("""COMPUTED_VALUE"""),"Ricardo O'Farrill Abrazo Genial")</f>
        <v>Ricardo O'Farrill Abrazo Genial</v>
      </c>
      <c r="V5858" s="5"/>
      <c r="Y5858" s="5" t="str">
        <f>IFERROR(__xludf.DUMMYFUNCTION("REGEXEXTRACT(J5858, ""^\d+"")"),"2")</f>
        <v>2</v>
      </c>
      <c r="Z5858" s="5" t="str">
        <f>IFERROR(__xludf.DUMMYFUNCTION("REGEXEXTRACT(J5858, ""[A-Za-z ]+$"")")," Seasons")</f>
        <v> Seasons</v>
      </c>
      <c r="AA5858" s="5" t="str">
        <f>IFERROR(__xludf.DUMMYFUNCTION("IF(REGEXMATCH(Z5858, ""Season""), ""TV Show"", ""Movie"")"),"TV Show")</f>
        <v>TV Show</v>
      </c>
    </row>
    <row r="5859">
      <c r="A5859" s="1" t="s">
        <v>29726</v>
      </c>
      <c r="B5859" s="1" t="s">
        <v>27</v>
      </c>
      <c r="C5859" s="1" t="s">
        <v>29727</v>
      </c>
      <c r="D5859" s="1" t="s">
        <v>19625</v>
      </c>
      <c r="E5859" s="1" t="s">
        <v>29728</v>
      </c>
      <c r="F5859" s="1" t="s">
        <v>30</v>
      </c>
      <c r="G5859" s="1" t="s">
        <v>29729</v>
      </c>
      <c r="H5859" s="1">
        <v>2016.0</v>
      </c>
      <c r="I5859" s="1" t="s">
        <v>136</v>
      </c>
      <c r="J5859" s="1" t="s">
        <v>370</v>
      </c>
      <c r="K5859" s="1" t="s">
        <v>137</v>
      </c>
      <c r="L5859" s="1" t="s">
        <v>29730</v>
      </c>
      <c r="M5859" s="2" t="s">
        <v>12</v>
      </c>
      <c r="N5859" s="4">
        <f t="shared" si="1"/>
        <v>42454</v>
      </c>
      <c r="O5859" s="5" t="str">
        <f>IFERROR(__xludf.DUMMYFUNCTION("IF(REGEXMATCH(TRIM(I5859), ""^\d+\s*min""), ""Unclassified"", IF(I5859 = """", ""NR"", I5859))"),"TV-PG")</f>
        <v>TV-PG</v>
      </c>
      <c r="R5859" s="5" t="str">
        <f t="shared" si="2"/>
        <v>Kung Fu Panda: Secrets Of The Scroll</v>
      </c>
      <c r="S5859" s="5" t="str">
        <f>IFERROR(__xludf.DUMMYFUNCTION("""COMPUTED_VALUE"""),"Ricardo O'Farrill: Abrazo Navideño")</f>
        <v>Ricardo O'Farrill: Abrazo Navideño</v>
      </c>
      <c r="V5859" s="5"/>
      <c r="Y5859" s="5" t="str">
        <f>IFERROR(__xludf.DUMMYFUNCTION("REGEXEXTRACT(J5859, ""^\d+"")"),"23")</f>
        <v>23</v>
      </c>
      <c r="Z5859" s="5" t="str">
        <f>IFERROR(__xludf.DUMMYFUNCTION("REGEXEXTRACT(J5859, ""[A-Za-z ]+$"")")," min")</f>
        <v> min</v>
      </c>
      <c r="AA5859" s="5" t="str">
        <f>IFERROR(__xludf.DUMMYFUNCTION("IF(REGEXMATCH(Z5859, ""Season""), ""TV Show"", ""Movie"")"),"Movie")</f>
        <v>Movie</v>
      </c>
    </row>
    <row r="5860">
      <c r="A5860" s="1" t="s">
        <v>29731</v>
      </c>
      <c r="B5860" s="1" t="s">
        <v>27</v>
      </c>
      <c r="C5860" s="1" t="s">
        <v>29732</v>
      </c>
      <c r="D5860" s="1" t="s">
        <v>10260</v>
      </c>
      <c r="E5860" s="1" t="s">
        <v>29733</v>
      </c>
      <c r="F5860" s="1" t="s">
        <v>1106</v>
      </c>
      <c r="G5860" s="1" t="s">
        <v>29734</v>
      </c>
      <c r="H5860" s="1">
        <v>2015.0</v>
      </c>
      <c r="I5860" s="1" t="s">
        <v>378</v>
      </c>
      <c r="J5860" s="1" t="s">
        <v>247</v>
      </c>
      <c r="K5860" s="1" t="s">
        <v>4525</v>
      </c>
      <c r="L5860" s="1" t="s">
        <v>29735</v>
      </c>
      <c r="M5860" s="2" t="s">
        <v>12</v>
      </c>
      <c r="N5860" s="4">
        <f t="shared" si="1"/>
        <v>42447</v>
      </c>
      <c r="O5860" s="5" t="str">
        <f>IFERROR(__xludf.DUMMYFUNCTION("IF(REGEXMATCH(TRIM(I5860), ""^\d+\s*min""), ""Unclassified"", IF(I5860 = """", ""NR"", I5860))"),"R")</f>
        <v>R</v>
      </c>
      <c r="R5860" s="5" t="str">
        <f t="shared" si="2"/>
        <v>He Never Died</v>
      </c>
      <c r="S5860" s="5" t="str">
        <f>IFERROR(__xludf.DUMMYFUNCTION("""COMPUTED_VALUE"""),"Ricardo Quevedo: Hay Gente Así")</f>
        <v>Ricardo Quevedo: Hay Gente Así</v>
      </c>
      <c r="V5860" s="5"/>
      <c r="Y5860" s="5" t="str">
        <f>IFERROR(__xludf.DUMMYFUNCTION("REGEXEXTRACT(J5860, ""^\d+"")"),"97")</f>
        <v>97</v>
      </c>
      <c r="Z5860" s="5" t="str">
        <f>IFERROR(__xludf.DUMMYFUNCTION("REGEXEXTRACT(J5860, ""[A-Za-z ]+$"")")," min")</f>
        <v> min</v>
      </c>
      <c r="AA5860" s="5" t="str">
        <f>IFERROR(__xludf.DUMMYFUNCTION("IF(REGEXMATCH(Z5860, ""Season""), ""TV Show"", ""Movie"")"),"Movie")</f>
        <v>Movie</v>
      </c>
    </row>
    <row r="5861">
      <c r="A5861" s="1" t="s">
        <v>29736</v>
      </c>
      <c r="B5861" s="1" t="s">
        <v>27</v>
      </c>
      <c r="C5861" s="1" t="s">
        <v>29737</v>
      </c>
      <c r="D5861" s="1" t="s">
        <v>20255</v>
      </c>
      <c r="E5861" s="1" t="s">
        <v>21709</v>
      </c>
      <c r="F5861" s="1" t="s">
        <v>96</v>
      </c>
      <c r="G5861" s="1" t="s">
        <v>29734</v>
      </c>
      <c r="H5861" s="1">
        <v>2016.0</v>
      </c>
      <c r="I5861" s="1" t="s">
        <v>42</v>
      </c>
      <c r="J5861" s="1" t="s">
        <v>2670</v>
      </c>
      <c r="K5861" s="1" t="s">
        <v>1839</v>
      </c>
      <c r="L5861" s="1" t="s">
        <v>29738</v>
      </c>
      <c r="M5861" s="2" t="s">
        <v>12</v>
      </c>
      <c r="N5861" s="4">
        <f t="shared" si="1"/>
        <v>42447</v>
      </c>
      <c r="O5861" s="5" t="str">
        <f>IFERROR(__xludf.DUMMYFUNCTION("IF(REGEXMATCH(TRIM(I5861), ""^\d+\s*min""), ""Unclassified"", IF(I5861 = """", ""NR"", I5861))"),"TV-MA")</f>
        <v>TV-MA</v>
      </c>
      <c r="R5861" s="5" t="str">
        <f t="shared" si="2"/>
        <v>Jimmy Carr: Funny Business</v>
      </c>
      <c r="S5861" s="5" t="str">
        <f>IFERROR(__xludf.DUMMYFUNCTION("""COMPUTED_VALUE"""),"Ricardo Quevedo: Los Amargados Somos Más")</f>
        <v>Ricardo Quevedo: Los Amargados Somos Más</v>
      </c>
      <c r="V5861" s="5"/>
      <c r="Y5861" s="5" t="str">
        <f>IFERROR(__xludf.DUMMYFUNCTION("REGEXEXTRACT(J5861, ""^\d+"")"),"62")</f>
        <v>62</v>
      </c>
      <c r="Z5861" s="5" t="str">
        <f>IFERROR(__xludf.DUMMYFUNCTION("REGEXEXTRACT(J5861, ""[A-Za-z ]+$"")")," min")</f>
        <v> min</v>
      </c>
      <c r="AA5861" s="5" t="str">
        <f>IFERROR(__xludf.DUMMYFUNCTION("IF(REGEXMATCH(Z5861, ""Season""), ""TV Show"", ""Movie"")"),"Movie")</f>
        <v>Movie</v>
      </c>
    </row>
    <row r="5862">
      <c r="A5862" s="1" t="s">
        <v>29739</v>
      </c>
      <c r="B5862" s="1" t="s">
        <v>27</v>
      </c>
      <c r="C5862" s="1" t="s">
        <v>29740</v>
      </c>
      <c r="D5862" s="1" t="s">
        <v>21357</v>
      </c>
      <c r="E5862" s="1" t="s">
        <v>21357</v>
      </c>
      <c r="F5862" s="1" t="s">
        <v>96</v>
      </c>
      <c r="G5862" s="1" t="s">
        <v>29734</v>
      </c>
      <c r="H5862" s="1">
        <v>2016.0</v>
      </c>
      <c r="I5862" s="1" t="s">
        <v>97</v>
      </c>
      <c r="J5862" s="1" t="s">
        <v>1608</v>
      </c>
      <c r="K5862" s="1" t="s">
        <v>156</v>
      </c>
      <c r="L5862" s="1" t="s">
        <v>29741</v>
      </c>
      <c r="M5862" s="2" t="s">
        <v>12</v>
      </c>
      <c r="N5862" s="4">
        <f t="shared" si="1"/>
        <v>42447</v>
      </c>
      <c r="O5862" s="5" t="str">
        <f>IFERROR(__xludf.DUMMYFUNCTION("IF(REGEXMATCH(TRIM(I5862), ""^\d+\s*min""), ""Unclassified"", IF(I5862 = """", ""NR"", I5862))"),"TV-14")</f>
        <v>TV-14</v>
      </c>
      <c r="R5862" s="5" t="str">
        <f t="shared" si="2"/>
        <v>My Beautiful Broken Brain</v>
      </c>
      <c r="S5862" s="5" t="str">
        <f>IFERROR(__xludf.DUMMYFUNCTION("""COMPUTED_VALUE"""),"Rich In Love")</f>
        <v>Rich In Love</v>
      </c>
      <c r="V5862" s="5"/>
      <c r="Y5862" s="5" t="str">
        <f>IFERROR(__xludf.DUMMYFUNCTION("REGEXEXTRACT(J5862, ""^\d+"")"),"84")</f>
        <v>84</v>
      </c>
      <c r="Z5862" s="5" t="str">
        <f>IFERROR(__xludf.DUMMYFUNCTION("REGEXEXTRACT(J5862, ""[A-Za-z ]+$"")")," min")</f>
        <v> min</v>
      </c>
      <c r="AA5862" s="5" t="str">
        <f>IFERROR(__xludf.DUMMYFUNCTION("IF(REGEXMATCH(Z5862, ""Season""), ""TV Show"", ""Movie"")"),"Movie")</f>
        <v>Movie</v>
      </c>
    </row>
    <row r="5863">
      <c r="A5863" s="1" t="s">
        <v>29742</v>
      </c>
      <c r="B5863" s="1" t="s">
        <v>27</v>
      </c>
      <c r="C5863" s="1" t="s">
        <v>29743</v>
      </c>
      <c r="D5863" s="1" t="s">
        <v>11366</v>
      </c>
      <c r="E5863" s="1" t="s">
        <v>29744</v>
      </c>
      <c r="F5863" s="1" t="s">
        <v>30</v>
      </c>
      <c r="G5863" s="1" t="s">
        <v>29734</v>
      </c>
      <c r="H5863" s="1">
        <v>2016.0</v>
      </c>
      <c r="I5863" s="1" t="s">
        <v>136</v>
      </c>
      <c r="J5863" s="1" t="s">
        <v>33</v>
      </c>
      <c r="K5863" s="1" t="s">
        <v>29745</v>
      </c>
      <c r="L5863" s="1" t="s">
        <v>29746</v>
      </c>
      <c r="M5863" s="2" t="s">
        <v>12</v>
      </c>
      <c r="N5863" s="4">
        <f t="shared" si="1"/>
        <v>42447</v>
      </c>
      <c r="O5863" s="5" t="str">
        <f>IFERROR(__xludf.DUMMYFUNCTION("IF(REGEXMATCH(TRIM(I5863), ""^\d+\s*min""), ""Unclassified"", IF(I5863 = """", ""NR"", I5863))"),"TV-PG")</f>
        <v>TV-PG</v>
      </c>
      <c r="R5863" s="5" t="str">
        <f t="shared" si="2"/>
        <v>Pee-Wee'S Big Holiday</v>
      </c>
      <c r="S5863" s="5" t="str">
        <f>IFERROR(__xludf.DUMMYFUNCTION("""COMPUTED_VALUE"""),"Richard Pryor: Live In Concert")</f>
        <v>Richard Pryor: Live In Concert</v>
      </c>
      <c r="V5863" s="5"/>
      <c r="Y5863" s="5" t="str">
        <f>IFERROR(__xludf.DUMMYFUNCTION("REGEXEXTRACT(J5863, ""^\d+"")"),"90")</f>
        <v>90</v>
      </c>
      <c r="Z5863" s="5" t="str">
        <f>IFERROR(__xludf.DUMMYFUNCTION("REGEXEXTRACT(J5863, ""[A-Za-z ]+$"")")," min")</f>
        <v> min</v>
      </c>
      <c r="AA5863" s="5" t="str">
        <f>IFERROR(__xludf.DUMMYFUNCTION("IF(REGEXMATCH(Z5863, ""Season""), ""TV Show"", ""Movie"")"),"Movie")</f>
        <v>Movie</v>
      </c>
    </row>
    <row r="5864">
      <c r="A5864" s="1" t="s">
        <v>29747</v>
      </c>
      <c r="B5864" s="1" t="s">
        <v>37</v>
      </c>
      <c r="C5864" s="1" t="s">
        <v>29748</v>
      </c>
      <c r="E5864" s="1" t="s">
        <v>29749</v>
      </c>
      <c r="F5864" s="1" t="s">
        <v>30</v>
      </c>
      <c r="G5864" s="1" t="s">
        <v>29750</v>
      </c>
      <c r="H5864" s="1">
        <v>2016.0</v>
      </c>
      <c r="I5864" s="1" t="s">
        <v>42</v>
      </c>
      <c r="J5864" s="1" t="s">
        <v>51</v>
      </c>
      <c r="K5864" s="1" t="s">
        <v>270</v>
      </c>
      <c r="L5864" s="1" t="s">
        <v>29751</v>
      </c>
      <c r="M5864" s="2" t="s">
        <v>12</v>
      </c>
      <c r="N5864" s="4">
        <f t="shared" si="1"/>
        <v>42440</v>
      </c>
      <c r="O5864" s="5" t="str">
        <f>IFERROR(__xludf.DUMMYFUNCTION("IF(REGEXMATCH(TRIM(I5864), ""^\d+\s*min""), ""Unclassified"", IF(I5864 = """", ""NR"", I5864))"),"TV-MA")</f>
        <v>TV-MA</v>
      </c>
      <c r="R5864" s="5" t="str">
        <f t="shared" si="2"/>
        <v>Netflix Presents: The Characters</v>
      </c>
      <c r="S5864" s="5" t="str">
        <f>IFERROR(__xludf.DUMMYFUNCTION("""COMPUTED_VALUE"""),"Richie Rich")</f>
        <v>Richie Rich</v>
      </c>
      <c r="V5864" s="5"/>
      <c r="Y5864" s="5" t="str">
        <f>IFERROR(__xludf.DUMMYFUNCTION("REGEXEXTRACT(J5864, ""^\d+"")"),"1")</f>
        <v>1</v>
      </c>
      <c r="Z5864" s="5" t="str">
        <f>IFERROR(__xludf.DUMMYFUNCTION("REGEXEXTRACT(J5864, ""[A-Za-z ]+$"")")," Season")</f>
        <v> Season</v>
      </c>
      <c r="AA5864" s="5" t="str">
        <f>IFERROR(__xludf.DUMMYFUNCTION("IF(REGEXMATCH(Z5864, ""Season""), ""TV Show"", ""Movie"")"),"TV Show")</f>
        <v>TV Show</v>
      </c>
    </row>
    <row r="5865">
      <c r="A5865" s="1" t="s">
        <v>29752</v>
      </c>
      <c r="B5865" s="1" t="s">
        <v>37</v>
      </c>
      <c r="C5865" s="1" t="s">
        <v>29753</v>
      </c>
      <c r="E5865" s="1" t="s">
        <v>29754</v>
      </c>
      <c r="F5865" s="1" t="s">
        <v>415</v>
      </c>
      <c r="G5865" s="1" t="s">
        <v>29755</v>
      </c>
      <c r="H5865" s="1">
        <v>2014.0</v>
      </c>
      <c r="I5865" s="1" t="s">
        <v>97</v>
      </c>
      <c r="J5865" s="1" t="s">
        <v>51</v>
      </c>
      <c r="K5865" s="1" t="s">
        <v>1756</v>
      </c>
      <c r="L5865" s="1" t="s">
        <v>29756</v>
      </c>
      <c r="M5865" s="2" t="s">
        <v>12</v>
      </c>
      <c r="N5865" s="4">
        <f t="shared" si="1"/>
        <v>42430</v>
      </c>
      <c r="O5865" s="5" t="str">
        <f>IFERROR(__xludf.DUMMYFUNCTION("IF(REGEXMATCH(TRIM(I5865), ""^\d+\s*min""), ""Unclassified"", IF(I5865 = """", ""NR"", I5865))"),"TV-14")</f>
        <v>TV-14</v>
      </c>
      <c r="R5865" s="5" t="str">
        <f t="shared" si="2"/>
        <v>Your Lie In April</v>
      </c>
      <c r="S5865" s="5" t="str">
        <f>IFERROR(__xludf.DUMMYFUNCTION("""COMPUTED_VALUE"""),"Ricky Gervais: Humanity")</f>
        <v>Ricky Gervais: Humanity</v>
      </c>
      <c r="V5865" s="5"/>
      <c r="Y5865" s="5" t="str">
        <f>IFERROR(__xludf.DUMMYFUNCTION("REGEXEXTRACT(J5865, ""^\d+"")"),"1")</f>
        <v>1</v>
      </c>
      <c r="Z5865" s="5" t="str">
        <f>IFERROR(__xludf.DUMMYFUNCTION("REGEXEXTRACT(J5865, ""[A-Za-z ]+$"")")," Season")</f>
        <v> Season</v>
      </c>
      <c r="AA5865" s="5" t="str">
        <f>IFERROR(__xludf.DUMMYFUNCTION("IF(REGEXMATCH(Z5865, ""Season""), ""TV Show"", ""Movie"")"),"TV Show")</f>
        <v>TV Show</v>
      </c>
    </row>
    <row r="5866">
      <c r="A5866" s="1" t="s">
        <v>29757</v>
      </c>
      <c r="B5866" s="1" t="s">
        <v>27</v>
      </c>
      <c r="C5866" s="1" t="s">
        <v>29758</v>
      </c>
      <c r="D5866" s="1" t="s">
        <v>23918</v>
      </c>
      <c r="E5866" s="1" t="s">
        <v>29759</v>
      </c>
      <c r="F5866" s="1" t="s">
        <v>10425</v>
      </c>
      <c r="G5866" s="1" t="s">
        <v>29760</v>
      </c>
      <c r="H5866" s="1">
        <v>2016.0</v>
      </c>
      <c r="I5866" s="1" t="s">
        <v>32</v>
      </c>
      <c r="J5866" s="1" t="s">
        <v>1091</v>
      </c>
      <c r="K5866" s="1" t="s">
        <v>3783</v>
      </c>
      <c r="L5866" s="1" t="s">
        <v>29761</v>
      </c>
      <c r="M5866" s="2" t="s">
        <v>12</v>
      </c>
      <c r="N5866" s="4">
        <f t="shared" si="1"/>
        <v>42426</v>
      </c>
      <c r="O5866" s="5" t="str">
        <f>IFERROR(__xludf.DUMMYFUNCTION("IF(REGEXMATCH(TRIM(I5866), ""^\d+\s*min""), ""Unclassified"", IF(I5866 = """", ""NR"", I5866))"),"PG-13")</f>
        <v>PG-13</v>
      </c>
      <c r="R5866" s="5" t="str">
        <f t="shared" si="2"/>
        <v>Crouching Tiger, Hidden Dragon: Sword Of Destiny</v>
      </c>
      <c r="S5866" s="5" t="str">
        <f>IFERROR(__xludf.DUMMYFUNCTION("""COMPUTED_VALUE"""),"Ricky Zoom")</f>
        <v>Ricky Zoom</v>
      </c>
      <c r="V5866" s="5"/>
      <c r="Y5866" s="5" t="str">
        <f>IFERROR(__xludf.DUMMYFUNCTION("REGEXEXTRACT(J5866, ""^\d+"")"),"101")</f>
        <v>101</v>
      </c>
      <c r="Z5866" s="5" t="str">
        <f>IFERROR(__xludf.DUMMYFUNCTION("REGEXEXTRACT(J5866, ""[A-Za-z ]+$"")")," min")</f>
        <v> min</v>
      </c>
      <c r="AA5866" s="5" t="str">
        <f>IFERROR(__xludf.DUMMYFUNCTION("IF(REGEXMATCH(Z5866, ""Season""), ""TV Show"", ""Movie"")"),"Movie")</f>
        <v>Movie</v>
      </c>
    </row>
    <row r="5867">
      <c r="A5867" s="1" t="s">
        <v>29762</v>
      </c>
      <c r="B5867" s="1" t="s">
        <v>27</v>
      </c>
      <c r="C5867" s="1" t="s">
        <v>29763</v>
      </c>
      <c r="D5867" s="1" t="s">
        <v>16193</v>
      </c>
      <c r="E5867" s="1" t="s">
        <v>29764</v>
      </c>
      <c r="F5867" s="1" t="s">
        <v>30</v>
      </c>
      <c r="G5867" s="1" t="s">
        <v>29765</v>
      </c>
      <c r="H5867" s="1">
        <v>2015.0</v>
      </c>
      <c r="I5867" s="1" t="s">
        <v>78</v>
      </c>
      <c r="J5867" s="1" t="s">
        <v>2699</v>
      </c>
      <c r="K5867" s="1" t="s">
        <v>8035</v>
      </c>
      <c r="L5867" s="1" t="s">
        <v>29766</v>
      </c>
      <c r="M5867" s="2" t="s">
        <v>12</v>
      </c>
      <c r="N5867" s="4">
        <f t="shared" si="1"/>
        <v>42424</v>
      </c>
      <c r="O5867" s="5" t="str">
        <f>IFERROR(__xludf.DUMMYFUNCTION("IF(REGEXMATCH(TRIM(I5867), ""^\d+\s*min""), ""Unclassified"", IF(I5867 = """", ""NR"", I5867))"),"PG")</f>
        <v>PG</v>
      </c>
      <c r="R5867" s="5" t="str">
        <f t="shared" si="2"/>
        <v>Marvel Super Hero Adventures: Frost Fight!</v>
      </c>
      <c r="S5867" s="5" t="str">
        <f>IFERROR(__xludf.DUMMYFUNCTION("""COMPUTED_VALUE"""),"Ride Like A Girl")</f>
        <v>Ride Like A Girl</v>
      </c>
      <c r="V5867" s="5"/>
      <c r="Y5867" s="5" t="str">
        <f>IFERROR(__xludf.DUMMYFUNCTION("REGEXEXTRACT(J5867, ""^\d+"")"),"74")</f>
        <v>74</v>
      </c>
      <c r="Z5867" s="5" t="str">
        <f>IFERROR(__xludf.DUMMYFUNCTION("REGEXEXTRACT(J5867, ""[A-Za-z ]+$"")")," min")</f>
        <v> min</v>
      </c>
      <c r="AA5867" s="5" t="str">
        <f>IFERROR(__xludf.DUMMYFUNCTION("IF(REGEXMATCH(Z5867, ""Season""), ""TV Show"", ""Movie"")"),"Movie")</f>
        <v>Movie</v>
      </c>
    </row>
    <row r="5868">
      <c r="A5868" s="1" t="s">
        <v>29767</v>
      </c>
      <c r="B5868" s="1" t="s">
        <v>37</v>
      </c>
      <c r="C5868" s="1" t="s">
        <v>29768</v>
      </c>
      <c r="E5868" s="1" t="s">
        <v>29769</v>
      </c>
      <c r="F5868" s="1" t="s">
        <v>30</v>
      </c>
      <c r="G5868" s="1" t="s">
        <v>29770</v>
      </c>
      <c r="H5868" s="1">
        <v>2016.0</v>
      </c>
      <c r="I5868" s="1" t="s">
        <v>97</v>
      </c>
      <c r="J5868" s="1" t="s">
        <v>51</v>
      </c>
      <c r="K5868" s="1" t="s">
        <v>1261</v>
      </c>
      <c r="L5868" s="1" t="s">
        <v>29771</v>
      </c>
      <c r="M5868" s="2" t="s">
        <v>12</v>
      </c>
      <c r="N5868" s="4">
        <f t="shared" si="1"/>
        <v>42419</v>
      </c>
      <c r="O5868" s="5" t="str">
        <f>IFERROR(__xludf.DUMMYFUNCTION("IF(REGEXMATCH(TRIM(I5868), ""^\d+\s*min""), ""Unclassified"", IF(I5868 = """", ""NR"", I5868))"),"TV-14")</f>
        <v>TV-14</v>
      </c>
      <c r="R5868" s="5" t="str">
        <f t="shared" si="2"/>
        <v>Cooked</v>
      </c>
      <c r="S5868" s="5" t="str">
        <f>IFERROR(__xludf.DUMMYFUNCTION("""COMPUTED_VALUE"""),"Ride On Time")</f>
        <v>Ride On Time</v>
      </c>
      <c r="V5868" s="5"/>
      <c r="Y5868" s="5" t="str">
        <f>IFERROR(__xludf.DUMMYFUNCTION("REGEXEXTRACT(J5868, ""^\d+"")"),"1")</f>
        <v>1</v>
      </c>
      <c r="Z5868" s="5" t="str">
        <f>IFERROR(__xludf.DUMMYFUNCTION("REGEXEXTRACT(J5868, ""[A-Za-z ]+$"")")," Season")</f>
        <v> Season</v>
      </c>
      <c r="AA5868" s="5" t="str">
        <f>IFERROR(__xludf.DUMMYFUNCTION("IF(REGEXMATCH(Z5868, ""Season""), ""TV Show"", ""Movie"")"),"TV Show")</f>
        <v>TV Show</v>
      </c>
    </row>
    <row r="5869">
      <c r="A5869" s="1" t="s">
        <v>29772</v>
      </c>
      <c r="B5869" s="1" t="s">
        <v>37</v>
      </c>
      <c r="C5869" s="1" t="s">
        <v>29773</v>
      </c>
      <c r="E5869" s="1" t="s">
        <v>29774</v>
      </c>
      <c r="F5869" s="1" t="s">
        <v>30</v>
      </c>
      <c r="G5869" s="1" t="s">
        <v>29775</v>
      </c>
      <c r="H5869" s="1">
        <v>2016.0</v>
      </c>
      <c r="I5869" s="1" t="s">
        <v>206</v>
      </c>
      <c r="J5869" s="1" t="s">
        <v>43</v>
      </c>
      <c r="K5869" s="1" t="s">
        <v>290</v>
      </c>
      <c r="L5869" s="1" t="s">
        <v>29776</v>
      </c>
      <c r="M5869" s="2" t="s">
        <v>12</v>
      </c>
      <c r="N5869" s="4">
        <f t="shared" si="1"/>
        <v>42405</v>
      </c>
      <c r="O5869" s="5" t="str">
        <f>IFERROR(__xludf.DUMMYFUNCTION("IF(REGEXMATCH(TRIM(I5869), ""^\d+\s*min""), ""Unclassified"", IF(I5869 = """", ""NR"", I5869))"),"TV-Y")</f>
        <v>TV-Y</v>
      </c>
      <c r="R5869" s="5" t="str">
        <f t="shared" si="2"/>
        <v>Care Bears &amp; Cousins</v>
      </c>
      <c r="S5869" s="5" t="str">
        <f>IFERROR(__xludf.DUMMYFUNCTION("""COMPUTED_VALUE"""),"Ride Or Die")</f>
        <v>Ride Or Die</v>
      </c>
      <c r="V5869" s="5"/>
      <c r="Y5869" s="5" t="str">
        <f>IFERROR(__xludf.DUMMYFUNCTION("REGEXEXTRACT(J5869, ""^\d+"")"),"2")</f>
        <v>2</v>
      </c>
      <c r="Z5869" s="5" t="str">
        <f>IFERROR(__xludf.DUMMYFUNCTION("REGEXEXTRACT(J5869, ""[A-Za-z ]+$"")")," Seasons")</f>
        <v> Seasons</v>
      </c>
      <c r="AA5869" s="5" t="str">
        <f>IFERROR(__xludf.DUMMYFUNCTION("IF(REGEXMATCH(Z5869, ""Season""), ""TV Show"", ""Movie"")"),"TV Show")</f>
        <v>TV Show</v>
      </c>
    </row>
    <row r="5870">
      <c r="A5870" s="1" t="s">
        <v>29777</v>
      </c>
      <c r="B5870" s="1" t="s">
        <v>27</v>
      </c>
      <c r="C5870" s="1" t="s">
        <v>29778</v>
      </c>
      <c r="D5870" s="1" t="s">
        <v>13344</v>
      </c>
      <c r="E5870" s="1" t="s">
        <v>29779</v>
      </c>
      <c r="F5870" s="1" t="s">
        <v>30</v>
      </c>
      <c r="G5870" s="1" t="s">
        <v>29775</v>
      </c>
      <c r="H5870" s="1">
        <v>2016.0</v>
      </c>
      <c r="I5870" s="1" t="s">
        <v>42</v>
      </c>
      <c r="J5870" s="1" t="s">
        <v>2626</v>
      </c>
      <c r="K5870" s="1" t="s">
        <v>1839</v>
      </c>
      <c r="L5870" s="1" t="s">
        <v>29780</v>
      </c>
      <c r="M5870" s="2" t="s">
        <v>12</v>
      </c>
      <c r="N5870" s="4">
        <f t="shared" si="1"/>
        <v>42405</v>
      </c>
      <c r="O5870" s="5" t="str">
        <f>IFERROR(__xludf.DUMMYFUNCTION("IF(REGEXMATCH(TRIM(I5870), ""^\d+\s*min""), ""Unclassified"", IF(I5870 = """", ""NR"", I5870))"),"TV-MA")</f>
        <v>TV-MA</v>
      </c>
      <c r="R5870" s="5" t="str">
        <f t="shared" si="2"/>
        <v>Hannibal Buress: Comedy Camisado</v>
      </c>
      <c r="S5870" s="5" t="str">
        <f>IFERROR(__xludf.DUMMYFUNCTION("""COMPUTED_VALUE"""),"Riding Faith")</f>
        <v>Riding Faith</v>
      </c>
      <c r="V5870" s="5"/>
      <c r="Y5870" s="5" t="str">
        <f>IFERROR(__xludf.DUMMYFUNCTION("REGEXEXTRACT(J5870, ""^\d+"")"),"68")</f>
        <v>68</v>
      </c>
      <c r="Z5870" s="5" t="str">
        <f>IFERROR(__xludf.DUMMYFUNCTION("REGEXEXTRACT(J5870, ""[A-Za-z ]+$"")")," min")</f>
        <v> min</v>
      </c>
      <c r="AA5870" s="5" t="str">
        <f>IFERROR(__xludf.DUMMYFUNCTION("IF(REGEXMATCH(Z5870, ""Season""), ""TV Show"", ""Movie"")"),"Movie")</f>
        <v>Movie</v>
      </c>
    </row>
    <row r="5871">
      <c r="A5871" s="1" t="s">
        <v>29781</v>
      </c>
      <c r="B5871" s="1" t="s">
        <v>37</v>
      </c>
      <c r="C5871" s="1" t="s">
        <v>29782</v>
      </c>
      <c r="E5871" s="1" t="s">
        <v>29783</v>
      </c>
      <c r="F5871" s="1" t="s">
        <v>30</v>
      </c>
      <c r="G5871" s="1" t="s">
        <v>29775</v>
      </c>
      <c r="H5871" s="1">
        <v>2016.0</v>
      </c>
      <c r="I5871" s="1" t="s">
        <v>289</v>
      </c>
      <c r="J5871" s="1" t="s">
        <v>276</v>
      </c>
      <c r="K5871" s="1" t="s">
        <v>290</v>
      </c>
      <c r="L5871" s="1" t="s">
        <v>29784</v>
      </c>
      <c r="M5871" s="2" t="s">
        <v>12</v>
      </c>
      <c r="N5871" s="4">
        <f t="shared" si="1"/>
        <v>42405</v>
      </c>
      <c r="O5871" s="5" t="str">
        <f>IFERROR(__xludf.DUMMYFUNCTION("IF(REGEXMATCH(TRIM(I5871), ""^\d+\s*min""), ""Unclassified"", IF(I5871 = """", ""NR"", I5871))"),"TV-Y7")</f>
        <v>TV-Y7</v>
      </c>
      <c r="R5871" s="5" t="str">
        <f t="shared" si="2"/>
        <v>Turbo Fast</v>
      </c>
      <c r="S5871" s="5" t="str">
        <f>IFERROR(__xludf.DUMMYFUNCTION("""COMPUTED_VALUE"""),"Ridley Jones")</f>
        <v>Ridley Jones</v>
      </c>
      <c r="V5871" s="5"/>
      <c r="Y5871" s="5" t="str">
        <f>IFERROR(__xludf.DUMMYFUNCTION("REGEXEXTRACT(J5871, ""^\d+"")"),"3")</f>
        <v>3</v>
      </c>
      <c r="Z5871" s="5" t="str">
        <f>IFERROR(__xludf.DUMMYFUNCTION("REGEXEXTRACT(J5871, ""[A-Za-z ]+$"")")," Seasons")</f>
        <v> Seasons</v>
      </c>
      <c r="AA5871" s="5" t="str">
        <f>IFERROR(__xludf.DUMMYFUNCTION("IF(REGEXMATCH(Z5871, ""Season""), ""TV Show"", ""Movie"")"),"TV Show")</f>
        <v>TV Show</v>
      </c>
    </row>
    <row r="5872">
      <c r="A5872" s="1" t="s">
        <v>29785</v>
      </c>
      <c r="B5872" s="1" t="s">
        <v>37</v>
      </c>
      <c r="C5872" s="1" t="s">
        <v>29786</v>
      </c>
      <c r="G5872" s="1" t="s">
        <v>29787</v>
      </c>
      <c r="H5872" s="1">
        <v>2012.0</v>
      </c>
      <c r="I5872" s="1" t="s">
        <v>206</v>
      </c>
      <c r="J5872" s="1" t="s">
        <v>51</v>
      </c>
      <c r="K5872" s="1" t="s">
        <v>290</v>
      </c>
      <c r="L5872" s="1" t="s">
        <v>29788</v>
      </c>
      <c r="M5872" s="2" t="s">
        <v>12</v>
      </c>
      <c r="N5872" s="4">
        <f t="shared" si="1"/>
        <v>42401</v>
      </c>
      <c r="O5872" s="5" t="str">
        <f>IFERROR(__xludf.DUMMYFUNCTION("IF(REGEXMATCH(TRIM(I5872), ""^\d+\s*min""), ""Unclassified"", IF(I5872 = """", ""NR"", I5872))"),"TV-Y")</f>
        <v>TV-Y</v>
      </c>
      <c r="R5872" s="5" t="str">
        <f t="shared" si="2"/>
        <v>Masha'S Tales</v>
      </c>
      <c r="S5872" s="5" t="str">
        <f>IFERROR(__xludf.DUMMYFUNCTION("""COMPUTED_VALUE"""),"Right Here Right Now")</f>
        <v>Right Here Right Now</v>
      </c>
      <c r="V5872" s="5"/>
      <c r="Y5872" s="5" t="str">
        <f>IFERROR(__xludf.DUMMYFUNCTION("REGEXEXTRACT(J5872, ""^\d+"")"),"1")</f>
        <v>1</v>
      </c>
      <c r="Z5872" s="5" t="str">
        <f>IFERROR(__xludf.DUMMYFUNCTION("REGEXEXTRACT(J5872, ""[A-Za-z ]+$"")")," Season")</f>
        <v> Season</v>
      </c>
      <c r="AA5872" s="5" t="str">
        <f>IFERROR(__xludf.DUMMYFUNCTION("IF(REGEXMATCH(Z5872, ""Season""), ""TV Show"", ""Movie"")"),"TV Show")</f>
        <v>TV Show</v>
      </c>
    </row>
    <row r="5873">
      <c r="A5873" s="1" t="s">
        <v>29789</v>
      </c>
      <c r="B5873" s="1" t="s">
        <v>37</v>
      </c>
      <c r="C5873" s="1" t="s">
        <v>29790</v>
      </c>
      <c r="E5873" s="1" t="s">
        <v>19258</v>
      </c>
      <c r="F5873" s="1" t="s">
        <v>30</v>
      </c>
      <c r="G5873" s="1" t="s">
        <v>29791</v>
      </c>
      <c r="H5873" s="1">
        <v>2016.0</v>
      </c>
      <c r="I5873" s="1" t="s">
        <v>42</v>
      </c>
      <c r="J5873" s="1" t="s">
        <v>51</v>
      </c>
      <c r="K5873" s="1" t="s">
        <v>736</v>
      </c>
      <c r="L5873" s="1" t="s">
        <v>29792</v>
      </c>
      <c r="M5873" s="2" t="s">
        <v>12</v>
      </c>
      <c r="N5873" s="4">
        <f t="shared" si="1"/>
        <v>42392</v>
      </c>
      <c r="O5873" s="5" t="str">
        <f>IFERROR(__xludf.DUMMYFUNCTION("IF(REGEXMATCH(TRIM(I5873), ""^\d+\s*min""), ""Unclassified"", IF(I5873 = """", ""NR"", I5873))"),"TV-MA")</f>
        <v>TV-MA</v>
      </c>
      <c r="R5873" s="5" t="str">
        <f t="shared" si="2"/>
        <v>Chelsea Does</v>
      </c>
      <c r="S5873" s="5" t="str">
        <f>IFERROR(__xludf.DUMMYFUNCTION("""COMPUTED_VALUE"""),"Righteous Kill")</f>
        <v>Righteous Kill</v>
      </c>
      <c r="V5873" s="5"/>
      <c r="Y5873" s="5" t="str">
        <f>IFERROR(__xludf.DUMMYFUNCTION("REGEXEXTRACT(J5873, ""^\d+"")"),"1")</f>
        <v>1</v>
      </c>
      <c r="Z5873" s="5" t="str">
        <f>IFERROR(__xludf.DUMMYFUNCTION("REGEXEXTRACT(J5873, ""[A-Za-z ]+$"")")," Season")</f>
        <v> Season</v>
      </c>
      <c r="AA5873" s="5" t="str">
        <f>IFERROR(__xludf.DUMMYFUNCTION("IF(REGEXMATCH(Z5873, ""Season""), ""TV Show"", ""Movie"")"),"TV Show")</f>
        <v>TV Show</v>
      </c>
    </row>
    <row r="5874">
      <c r="A5874" s="1" t="s">
        <v>29793</v>
      </c>
      <c r="B5874" s="1" t="s">
        <v>27</v>
      </c>
      <c r="C5874" s="1" t="s">
        <v>29794</v>
      </c>
      <c r="D5874" s="1" t="s">
        <v>18885</v>
      </c>
      <c r="E5874" s="1" t="s">
        <v>29795</v>
      </c>
      <c r="F5874" s="1" t="s">
        <v>162</v>
      </c>
      <c r="G5874" s="1" t="s">
        <v>29796</v>
      </c>
      <c r="H5874" s="1">
        <v>2016.0</v>
      </c>
      <c r="I5874" s="1" t="s">
        <v>42</v>
      </c>
      <c r="J5874" s="1" t="s">
        <v>665</v>
      </c>
      <c r="K5874" s="1" t="s">
        <v>1839</v>
      </c>
      <c r="L5874" s="1" t="s">
        <v>29797</v>
      </c>
      <c r="M5874" s="2" t="s">
        <v>12</v>
      </c>
      <c r="N5874" s="4">
        <f t="shared" si="1"/>
        <v>42391</v>
      </c>
      <c r="O5874" s="5" t="str">
        <f>IFERROR(__xludf.DUMMYFUNCTION("IF(REGEXMATCH(TRIM(I5874), ""^\d+\s*min""), ""Unclassified"", IF(I5874 = """", ""NR"", I5874))"),"TV-MA")</f>
        <v>TV-MA</v>
      </c>
      <c r="R5874" s="5" t="str">
        <f t="shared" si="2"/>
        <v>Ricardo O'Farrill Abrazo Genial</v>
      </c>
      <c r="S5874" s="5" t="str">
        <f>IFERROR(__xludf.DUMMYFUNCTION("""COMPUTED_VALUE"""),"Rilakkuma And Kaoru")</f>
        <v>Rilakkuma And Kaoru</v>
      </c>
      <c r="V5874" s="5"/>
      <c r="Y5874" s="5" t="str">
        <f>IFERROR(__xludf.DUMMYFUNCTION("REGEXEXTRACT(J5874, ""^\d+"")"),"92")</f>
        <v>92</v>
      </c>
      <c r="Z5874" s="5" t="str">
        <f>IFERROR(__xludf.DUMMYFUNCTION("REGEXEXTRACT(J5874, ""[A-Za-z ]+$"")")," min")</f>
        <v> min</v>
      </c>
      <c r="AA5874" s="5" t="str">
        <f>IFERROR(__xludf.DUMMYFUNCTION("IF(REGEXMATCH(Z5874, ""Season""), ""TV Show"", ""Movie"")"),"Movie")</f>
        <v>Movie</v>
      </c>
    </row>
    <row r="5875">
      <c r="A5875" s="1" t="s">
        <v>29798</v>
      </c>
      <c r="B5875" s="1" t="s">
        <v>27</v>
      </c>
      <c r="C5875" s="1" t="s">
        <v>29799</v>
      </c>
      <c r="D5875" s="1" t="s">
        <v>12644</v>
      </c>
      <c r="E5875" s="1" t="s">
        <v>29800</v>
      </c>
      <c r="F5875" s="1" t="s">
        <v>12646</v>
      </c>
      <c r="G5875" s="1" t="s">
        <v>29801</v>
      </c>
      <c r="H5875" s="1">
        <v>2008.0</v>
      </c>
      <c r="I5875" s="1" t="s">
        <v>378</v>
      </c>
      <c r="J5875" s="1" t="s">
        <v>1256</v>
      </c>
      <c r="K5875" s="1" t="s">
        <v>306</v>
      </c>
      <c r="L5875" s="1" t="s">
        <v>29802</v>
      </c>
      <c r="M5875" s="2" t="s">
        <v>12</v>
      </c>
      <c r="N5875" s="4">
        <f t="shared" si="1"/>
        <v>42384</v>
      </c>
      <c r="O5875" s="5" t="str">
        <f>IFERROR(__xludf.DUMMYFUNCTION("IF(REGEXMATCH(TRIM(I5875), ""^\d+\s*min""), ""Unclassified"", IF(I5875 = """", ""NR"", I5875))"),"R")</f>
        <v>R</v>
      </c>
      <c r="R5875" s="5" t="str">
        <f t="shared" si="2"/>
        <v>Ip Man</v>
      </c>
      <c r="S5875" s="5" t="str">
        <f>IFERROR(__xludf.DUMMYFUNCTION("""COMPUTED_VALUE"""),"Rim Of The World")</f>
        <v>Rim Of The World</v>
      </c>
      <c r="V5875" s="5"/>
      <c r="Y5875" s="5" t="str">
        <f>IFERROR(__xludf.DUMMYFUNCTION("REGEXEXTRACT(J5875, ""^\d+"")"),"107")</f>
        <v>107</v>
      </c>
      <c r="Z5875" s="5" t="str">
        <f>IFERROR(__xludf.DUMMYFUNCTION("REGEXEXTRACT(J5875, ""[A-Za-z ]+$"")")," min")</f>
        <v> min</v>
      </c>
      <c r="AA5875" s="5" t="str">
        <f>IFERROR(__xludf.DUMMYFUNCTION("IF(REGEXMATCH(Z5875, ""Season""), ""TV Show"", ""Movie"")"),"Movie")</f>
        <v>Movie</v>
      </c>
    </row>
    <row r="5876">
      <c r="A5876" s="1" t="s">
        <v>29803</v>
      </c>
      <c r="B5876" s="1" t="s">
        <v>27</v>
      </c>
      <c r="C5876" s="1" t="s">
        <v>29804</v>
      </c>
      <c r="D5876" s="1" t="s">
        <v>12644</v>
      </c>
      <c r="E5876" s="1" t="s">
        <v>29805</v>
      </c>
      <c r="F5876" s="1" t="s">
        <v>12646</v>
      </c>
      <c r="G5876" s="1" t="s">
        <v>29801</v>
      </c>
      <c r="H5876" s="1">
        <v>2010.0</v>
      </c>
      <c r="I5876" s="1" t="s">
        <v>378</v>
      </c>
      <c r="J5876" s="1" t="s">
        <v>912</v>
      </c>
      <c r="K5876" s="1" t="s">
        <v>1066</v>
      </c>
      <c r="L5876" s="1" t="s">
        <v>29806</v>
      </c>
      <c r="M5876" s="2" t="s">
        <v>12</v>
      </c>
      <c r="N5876" s="4">
        <f t="shared" si="1"/>
        <v>42384</v>
      </c>
      <c r="O5876" s="5" t="str">
        <f>IFERROR(__xludf.DUMMYFUNCTION("IF(REGEXMATCH(TRIM(I5876), ""^\d+\s*min""), ""Unclassified"", IF(I5876 = """", ""NR"", I5876))"),"R")</f>
        <v>R</v>
      </c>
      <c r="R5876" s="5" t="str">
        <f t="shared" si="2"/>
        <v>Ip Man 2</v>
      </c>
      <c r="S5876" s="5" t="str">
        <f>IFERROR(__xludf.DUMMYFUNCTION("""COMPUTED_VALUE"""),"Rimba Racer")</f>
        <v>Rimba Racer</v>
      </c>
      <c r="V5876" s="5"/>
      <c r="Y5876" s="5" t="str">
        <f>IFERROR(__xludf.DUMMYFUNCTION("REGEXEXTRACT(J5876, ""^\d+"")"),"108")</f>
        <v>108</v>
      </c>
      <c r="Z5876" s="5" t="str">
        <f>IFERROR(__xludf.DUMMYFUNCTION("REGEXEXTRACT(J5876, ""[A-Za-z ]+$"")")," min")</f>
        <v> min</v>
      </c>
      <c r="AA5876" s="5" t="str">
        <f>IFERROR(__xludf.DUMMYFUNCTION("IF(REGEXMATCH(Z5876, ""Season""), ""TV Show"", ""Movie"")"),"Movie")</f>
        <v>Movie</v>
      </c>
    </row>
    <row r="5877">
      <c r="A5877" s="1" t="s">
        <v>29807</v>
      </c>
      <c r="B5877" s="1" t="s">
        <v>27</v>
      </c>
      <c r="C5877" s="1" t="s">
        <v>29808</v>
      </c>
      <c r="D5877" s="1" t="s">
        <v>10401</v>
      </c>
      <c r="E5877" s="1" t="s">
        <v>15567</v>
      </c>
      <c r="F5877" s="1" t="s">
        <v>30</v>
      </c>
      <c r="G5877" s="1" t="s">
        <v>29809</v>
      </c>
      <c r="H5877" s="1">
        <v>2016.0</v>
      </c>
      <c r="I5877" s="1" t="s">
        <v>42</v>
      </c>
      <c r="J5877" s="1" t="s">
        <v>2699</v>
      </c>
      <c r="K5877" s="1" t="s">
        <v>1839</v>
      </c>
      <c r="L5877" s="1" t="s">
        <v>29810</v>
      </c>
      <c r="M5877" s="2" t="s">
        <v>12</v>
      </c>
      <c r="N5877" s="4">
        <f t="shared" si="1"/>
        <v>42377</v>
      </c>
      <c r="O5877" s="5" t="str">
        <f>IFERROR(__xludf.DUMMYFUNCTION("IF(REGEXMATCH(TRIM(I5877), ""^\d+\s*min""), ""Unclassified"", IF(I5877 = """", ""NR"", I5877))"),"TV-MA")</f>
        <v>TV-MA</v>
      </c>
      <c r="R5877" s="5" t="str">
        <f t="shared" si="2"/>
        <v>Tom Segura: Mostly Stories</v>
      </c>
      <c r="S5877" s="5" t="str">
        <f>IFERROR(__xludf.DUMMYFUNCTION("""COMPUTED_VALUE"""),"Ringan")</f>
        <v>Ringan</v>
      </c>
      <c r="V5877" s="5"/>
      <c r="Y5877" s="5" t="str">
        <f>IFERROR(__xludf.DUMMYFUNCTION("REGEXEXTRACT(J5877, ""^\d+"")"),"74")</f>
        <v>74</v>
      </c>
      <c r="Z5877" s="5" t="str">
        <f>IFERROR(__xludf.DUMMYFUNCTION("REGEXEXTRACT(J5877, ""[A-Za-z ]+$"")")," min")</f>
        <v> min</v>
      </c>
      <c r="AA5877" s="5" t="str">
        <f>IFERROR(__xludf.DUMMYFUNCTION("IF(REGEXMATCH(Z5877, ""Season""), ""TV Show"", ""Movie"")"),"Movie")</f>
        <v>Movie</v>
      </c>
    </row>
    <row r="5878">
      <c r="A5878" s="1" t="s">
        <v>29811</v>
      </c>
      <c r="B5878" s="1" t="s">
        <v>27</v>
      </c>
      <c r="C5878" s="1" t="s">
        <v>29812</v>
      </c>
      <c r="D5878" s="1" t="s">
        <v>1410</v>
      </c>
      <c r="E5878" s="1" t="s">
        <v>29813</v>
      </c>
      <c r="F5878" s="1" t="s">
        <v>30</v>
      </c>
      <c r="G5878" s="1" t="s">
        <v>29814</v>
      </c>
      <c r="H5878" s="1">
        <v>2015.0</v>
      </c>
      <c r="I5878" s="1" t="s">
        <v>42</v>
      </c>
      <c r="J5878" s="1" t="s">
        <v>5170</v>
      </c>
      <c r="K5878" s="1" t="s">
        <v>2032</v>
      </c>
      <c r="L5878" s="1" t="s">
        <v>29815</v>
      </c>
      <c r="M5878" s="2" t="s">
        <v>12</v>
      </c>
      <c r="N5878" s="4">
        <f t="shared" si="1"/>
        <v>42364</v>
      </c>
      <c r="O5878" s="5" t="str">
        <f>IFERROR(__xludf.DUMMYFUNCTION("IF(REGEXMATCH(TRIM(I5878), ""^\d+\s*min""), ""Unclassified"", IF(I5878 = """", ""NR"", I5878))"),"TV-MA")</f>
        <v>TV-MA</v>
      </c>
      <c r="R5878" s="5" t="str">
        <f t="shared" si="2"/>
        <v>Marco Polo: One Hundred Eyes</v>
      </c>
      <c r="S5878" s="5" t="str">
        <f>IFERROR(__xludf.DUMMYFUNCTION("""COMPUTED_VALUE"""),"Riot")</f>
        <v>Riot</v>
      </c>
      <c r="V5878" s="5"/>
      <c r="Y5878" s="5" t="str">
        <f>IFERROR(__xludf.DUMMYFUNCTION("REGEXEXTRACT(J5878, ""^\d+"")"),"29")</f>
        <v>29</v>
      </c>
      <c r="Z5878" s="5" t="str">
        <f>IFERROR(__xludf.DUMMYFUNCTION("REGEXEXTRACT(J5878, ""[A-Za-z ]+$"")")," min")</f>
        <v> min</v>
      </c>
      <c r="AA5878" s="5" t="str">
        <f>IFERROR(__xludf.DUMMYFUNCTION("IF(REGEXMATCH(Z5878, ""Season""), ""TV Show"", ""Movie"")"),"Movie")</f>
        <v>Movie</v>
      </c>
    </row>
    <row r="5879">
      <c r="A5879" s="1" t="s">
        <v>29816</v>
      </c>
      <c r="B5879" s="1" t="s">
        <v>37</v>
      </c>
      <c r="C5879" s="1" t="s">
        <v>29817</v>
      </c>
      <c r="F5879" s="1" t="s">
        <v>664</v>
      </c>
      <c r="G5879" s="1" t="s">
        <v>29818</v>
      </c>
      <c r="H5879" s="1">
        <v>2014.0</v>
      </c>
      <c r="I5879" s="1" t="s">
        <v>206</v>
      </c>
      <c r="J5879" s="1" t="s">
        <v>51</v>
      </c>
      <c r="K5879" s="1" t="s">
        <v>314</v>
      </c>
      <c r="L5879" s="1" t="s">
        <v>29819</v>
      </c>
      <c r="M5879" s="2" t="s">
        <v>12</v>
      </c>
      <c r="N5879" s="4">
        <f t="shared" si="1"/>
        <v>42363</v>
      </c>
      <c r="O5879" s="5" t="str">
        <f>IFERROR(__xludf.DUMMYFUNCTION("IF(REGEXMATCH(TRIM(I5879), ""^\d+\s*min""), ""Unclassified"", IF(I5879 = """", ""NR"", I5879))"),"TV-Y")</f>
        <v>TV-Y</v>
      </c>
      <c r="R5879" s="5" t="str">
        <f t="shared" si="2"/>
        <v>Sammy &amp; Co</v>
      </c>
      <c r="S5879" s="5" t="str">
        <f>IFERROR(__xludf.DUMMYFUNCTION("""COMPUTED_VALUE"""),"Rip Tide")</f>
        <v>Rip Tide</v>
      </c>
      <c r="V5879" s="5"/>
      <c r="Y5879" s="5" t="str">
        <f>IFERROR(__xludf.DUMMYFUNCTION("REGEXEXTRACT(J5879, ""^\d+"")"),"1")</f>
        <v>1</v>
      </c>
      <c r="Z5879" s="5" t="str">
        <f>IFERROR(__xludf.DUMMYFUNCTION("REGEXEXTRACT(J5879, ""[A-Za-z ]+$"")")," Season")</f>
        <v> Season</v>
      </c>
      <c r="AA5879" s="5" t="str">
        <f>IFERROR(__xludf.DUMMYFUNCTION("IF(REGEXMATCH(Z5879, ""Season""), ""TV Show"", ""Movie"")"),"TV Show")</f>
        <v>TV Show</v>
      </c>
    </row>
    <row r="5880">
      <c r="A5880" s="1" t="s">
        <v>29820</v>
      </c>
      <c r="B5880" s="1" t="s">
        <v>27</v>
      </c>
      <c r="C5880" s="1" t="s">
        <v>29821</v>
      </c>
      <c r="D5880" s="1" t="s">
        <v>13318</v>
      </c>
      <c r="E5880" s="1" t="s">
        <v>20227</v>
      </c>
      <c r="F5880" s="1" t="s">
        <v>30</v>
      </c>
      <c r="G5880" s="1" t="s">
        <v>29822</v>
      </c>
      <c r="H5880" s="1">
        <v>2015.0</v>
      </c>
      <c r="I5880" s="1" t="s">
        <v>42</v>
      </c>
      <c r="J5880" s="1" t="s">
        <v>4639</v>
      </c>
      <c r="K5880" s="1" t="s">
        <v>1839</v>
      </c>
      <c r="L5880" s="1" t="s">
        <v>29823</v>
      </c>
      <c r="M5880" s="2" t="s">
        <v>12</v>
      </c>
      <c r="N5880" s="4">
        <f t="shared" si="1"/>
        <v>42356</v>
      </c>
      <c r="O5880" s="5" t="str">
        <f>IFERROR(__xludf.DUMMYFUNCTION("IF(REGEXMATCH(TRIM(I5880), ""^\d+\s*min""), ""Unclassified"", IF(I5880 = """", ""NR"", I5880))"),"TV-MA")</f>
        <v>TV-MA</v>
      </c>
      <c r="R5880" s="5" t="str">
        <f t="shared" si="2"/>
        <v>Mike Epps: Don'T Take It Personal</v>
      </c>
      <c r="S5880" s="5" t="str">
        <f>IFERROR(__xludf.DUMMYFUNCTION("""COMPUTED_VALUE"""),"Riphagen - The Untouchable")</f>
        <v>Riphagen - The Untouchable</v>
      </c>
      <c r="V5880" s="5"/>
      <c r="Y5880" s="5" t="str">
        <f>IFERROR(__xludf.DUMMYFUNCTION("REGEXEXTRACT(J5880, ""^\d+"")"),"60")</f>
        <v>60</v>
      </c>
      <c r="Z5880" s="5" t="str">
        <f>IFERROR(__xludf.DUMMYFUNCTION("REGEXEXTRACT(J5880, ""[A-Za-z ]+$"")")," min")</f>
        <v> min</v>
      </c>
      <c r="AA5880" s="5" t="str">
        <f>IFERROR(__xludf.DUMMYFUNCTION("IF(REGEXMATCH(Z5880, ""Season""), ""TV Show"", ""Movie"")"),"Movie")</f>
        <v>Movie</v>
      </c>
    </row>
    <row r="5881">
      <c r="A5881" s="1" t="s">
        <v>29824</v>
      </c>
      <c r="B5881" s="1" t="s">
        <v>27</v>
      </c>
      <c r="C5881" s="1" t="s">
        <v>29825</v>
      </c>
      <c r="D5881" s="1" t="s">
        <v>7864</v>
      </c>
      <c r="E5881" s="1" t="s">
        <v>29826</v>
      </c>
      <c r="F5881" s="1" t="s">
        <v>30</v>
      </c>
      <c r="G5881" s="1" t="s">
        <v>29827</v>
      </c>
      <c r="H5881" s="1">
        <v>2015.0</v>
      </c>
      <c r="I5881" s="1" t="s">
        <v>97</v>
      </c>
      <c r="J5881" s="1" t="s">
        <v>985</v>
      </c>
      <c r="K5881" s="1" t="s">
        <v>973</v>
      </c>
      <c r="L5881" s="1" t="s">
        <v>29828</v>
      </c>
      <c r="M5881" s="2" t="s">
        <v>12</v>
      </c>
      <c r="N5881" s="4">
        <f t="shared" si="1"/>
        <v>42349</v>
      </c>
      <c r="O5881" s="5" t="str">
        <f>IFERROR(__xludf.DUMMYFUNCTION("IF(REGEXMATCH(TRIM(I5881), ""^\d+\s*min""), ""Unclassified"", IF(I5881 = """", ""NR"", I5881))"),"TV-14")</f>
        <v>TV-14</v>
      </c>
      <c r="R5881" s="5" t="str">
        <f t="shared" si="2"/>
        <v>The Ridiculous 6</v>
      </c>
      <c r="S5881" s="5" t="str">
        <f>IFERROR(__xludf.DUMMYFUNCTION("""COMPUTED_VALUE"""),"Ripper Street")</f>
        <v>Ripper Street</v>
      </c>
      <c r="V5881" s="5"/>
      <c r="Y5881" s="5" t="str">
        <f>IFERROR(__xludf.DUMMYFUNCTION("REGEXEXTRACT(J5881, ""^\d+"")"),"120")</f>
        <v>120</v>
      </c>
      <c r="Z5881" s="5" t="str">
        <f>IFERROR(__xludf.DUMMYFUNCTION("REGEXEXTRACT(J5881, ""[A-Za-z ]+$"")")," min")</f>
        <v> min</v>
      </c>
      <c r="AA5881" s="5" t="str">
        <f>IFERROR(__xludf.DUMMYFUNCTION("IF(REGEXMATCH(Z5881, ""Season""), ""TV Show"", ""Movie"")"),"Movie")</f>
        <v>Movie</v>
      </c>
    </row>
    <row r="5882">
      <c r="A5882" s="1" t="s">
        <v>29829</v>
      </c>
      <c r="B5882" s="1" t="s">
        <v>27</v>
      </c>
      <c r="C5882" s="1" t="s">
        <v>29830</v>
      </c>
      <c r="D5882" s="1" t="s">
        <v>8162</v>
      </c>
      <c r="E5882" s="1" t="s">
        <v>29831</v>
      </c>
      <c r="F5882" s="1" t="s">
        <v>1106</v>
      </c>
      <c r="G5882" s="1" t="s">
        <v>29832</v>
      </c>
      <c r="H5882" s="1">
        <v>2015.0</v>
      </c>
      <c r="I5882" s="1" t="s">
        <v>42</v>
      </c>
      <c r="J5882" s="1" t="s">
        <v>2699</v>
      </c>
      <c r="K5882" s="1" t="s">
        <v>199</v>
      </c>
      <c r="L5882" s="1" t="s">
        <v>29833</v>
      </c>
      <c r="M5882" s="2" t="s">
        <v>12</v>
      </c>
      <c r="N5882" s="4">
        <f t="shared" si="1"/>
        <v>42347</v>
      </c>
      <c r="O5882" s="5" t="str">
        <f>IFERROR(__xludf.DUMMYFUNCTION("IF(REGEXMATCH(TRIM(I5882), ""^\d+\s*min""), ""Unclassified"", IF(I5882 = """", ""NR"", I5882))"),"TV-MA")</f>
        <v>TV-MA</v>
      </c>
      <c r="R5882" s="5" t="str">
        <f t="shared" si="2"/>
        <v>Trailer Park Boys: Drunk, High And Unemployed: Live In Austin</v>
      </c>
      <c r="S5882" s="5" t="str">
        <f>IFERROR(__xludf.DUMMYFUNCTION("""COMPUTED_VALUE"""),"Rise Of Empires: Ottoman")</f>
        <v>Rise Of Empires: Ottoman</v>
      </c>
      <c r="V5882" s="5"/>
      <c r="Y5882" s="5" t="str">
        <f>IFERROR(__xludf.DUMMYFUNCTION("REGEXEXTRACT(J5882, ""^\d+"")"),"74")</f>
        <v>74</v>
      </c>
      <c r="Z5882" s="5" t="str">
        <f>IFERROR(__xludf.DUMMYFUNCTION("REGEXEXTRACT(J5882, ""[A-Za-z ]+$"")")," min")</f>
        <v> min</v>
      </c>
      <c r="AA5882" s="5" t="str">
        <f>IFERROR(__xludf.DUMMYFUNCTION("IF(REGEXMATCH(Z5882, ""Season""), ""TV Show"", ""Movie"")"),"Movie")</f>
        <v>Movie</v>
      </c>
    </row>
    <row r="5883">
      <c r="A5883" s="1" t="s">
        <v>29834</v>
      </c>
      <c r="B5883" s="1" t="s">
        <v>27</v>
      </c>
      <c r="C5883" s="1" t="s">
        <v>29835</v>
      </c>
      <c r="D5883" s="1" t="s">
        <v>2828</v>
      </c>
      <c r="E5883" s="1" t="s">
        <v>29836</v>
      </c>
      <c r="F5883" s="1" t="s">
        <v>30</v>
      </c>
      <c r="G5883" s="1" t="s">
        <v>29837</v>
      </c>
      <c r="H5883" s="1">
        <v>2015.0</v>
      </c>
      <c r="I5883" s="1" t="s">
        <v>97</v>
      </c>
      <c r="J5883" s="1" t="s">
        <v>8832</v>
      </c>
      <c r="K5883" s="1" t="s">
        <v>1034</v>
      </c>
      <c r="L5883" s="1" t="s">
        <v>29838</v>
      </c>
      <c r="M5883" s="2" t="s">
        <v>12</v>
      </c>
      <c r="N5883" s="4">
        <f t="shared" si="1"/>
        <v>42342</v>
      </c>
      <c r="O5883" s="5" t="str">
        <f>IFERROR(__xludf.DUMMYFUNCTION("IF(REGEXMATCH(TRIM(I5883), ""^\d+\s*min""), ""Unclassified"", IF(I5883 = """", ""NR"", I5883))"),"TV-14")</f>
        <v>TV-14</v>
      </c>
      <c r="R5883" s="5" t="str">
        <f t="shared" si="2"/>
        <v>A Very Murray Christmas</v>
      </c>
      <c r="S5883" s="5" t="str">
        <f>IFERROR(__xludf.DUMMYFUNCTION("""COMPUTED_VALUE"""),"Rise Of The Zombie")</f>
        <v>Rise Of The Zombie</v>
      </c>
      <c r="V5883" s="5"/>
      <c r="Y5883" s="5" t="str">
        <f>IFERROR(__xludf.DUMMYFUNCTION("REGEXEXTRACT(J5883, ""^\d+"")"),"57")</f>
        <v>57</v>
      </c>
      <c r="Z5883" s="5" t="str">
        <f>IFERROR(__xludf.DUMMYFUNCTION("REGEXEXTRACT(J5883, ""[A-Za-z ]+$"")")," min")</f>
        <v> min</v>
      </c>
      <c r="AA5883" s="5" t="str">
        <f>IFERROR(__xludf.DUMMYFUNCTION("IF(REGEXMATCH(Z5883, ""Season""), ""TV Show"", ""Movie"")"),"Movie")</f>
        <v>Movie</v>
      </c>
    </row>
    <row r="5884">
      <c r="A5884" s="1" t="s">
        <v>29839</v>
      </c>
      <c r="B5884" s="1" t="s">
        <v>37</v>
      </c>
      <c r="C5884" s="1" t="s">
        <v>29840</v>
      </c>
      <c r="E5884" s="1" t="s">
        <v>29841</v>
      </c>
      <c r="F5884" s="1" t="s">
        <v>415</v>
      </c>
      <c r="G5884" s="1" t="s">
        <v>29842</v>
      </c>
      <c r="H5884" s="1">
        <v>2015.0</v>
      </c>
      <c r="I5884" s="1" t="s">
        <v>136</v>
      </c>
      <c r="J5884" s="1" t="s">
        <v>51</v>
      </c>
      <c r="K5884" s="1" t="s">
        <v>402</v>
      </c>
      <c r="L5884" s="1" t="s">
        <v>29843</v>
      </c>
      <c r="M5884" s="2" t="s">
        <v>12</v>
      </c>
      <c r="N5884" s="4">
        <f t="shared" si="1"/>
        <v>42339</v>
      </c>
      <c r="O5884" s="5" t="str">
        <f>IFERROR(__xludf.DUMMYFUNCTION("IF(REGEXMATCH(TRIM(I5884), ""^\d+\s*min""), ""Unclassified"", IF(I5884 = """", ""NR"", I5884))"),"TV-PG")</f>
        <v>TV-PG</v>
      </c>
      <c r="R5884" s="5" t="str">
        <f t="shared" si="2"/>
        <v>Atelier</v>
      </c>
      <c r="S5884" s="5" t="str">
        <f>IFERROR(__xludf.DUMMYFUNCTION("""COMPUTED_VALUE"""),"Rise: Ini Kalilah")</f>
        <v>Rise: Ini Kalilah</v>
      </c>
      <c r="V5884" s="5"/>
      <c r="Y5884" s="5" t="str">
        <f>IFERROR(__xludf.DUMMYFUNCTION("REGEXEXTRACT(J5884, ""^\d+"")"),"1")</f>
        <v>1</v>
      </c>
      <c r="Z5884" s="5" t="str">
        <f>IFERROR(__xludf.DUMMYFUNCTION("REGEXEXTRACT(J5884, ""[A-Za-z ]+$"")")," Season")</f>
        <v> Season</v>
      </c>
      <c r="AA5884" s="5" t="str">
        <f>IFERROR(__xludf.DUMMYFUNCTION("IF(REGEXMATCH(Z5884, ""Season""), ""TV Show"", ""Movie"")"),"TV Show")</f>
        <v>TV Show</v>
      </c>
    </row>
    <row r="5885">
      <c r="A5885" s="1" t="s">
        <v>29844</v>
      </c>
      <c r="B5885" s="1" t="s">
        <v>27</v>
      </c>
      <c r="C5885" s="1" t="s">
        <v>29845</v>
      </c>
      <c r="D5885" s="1" t="s">
        <v>13164</v>
      </c>
      <c r="E5885" s="1" t="s">
        <v>29846</v>
      </c>
      <c r="F5885" s="1" t="s">
        <v>30</v>
      </c>
      <c r="G5885" s="1" t="s">
        <v>29847</v>
      </c>
      <c r="H5885" s="1">
        <v>2015.0</v>
      </c>
      <c r="I5885" s="1" t="s">
        <v>42</v>
      </c>
      <c r="J5885" s="1" t="s">
        <v>79</v>
      </c>
      <c r="K5885" s="1" t="s">
        <v>14564</v>
      </c>
      <c r="L5885" s="1" t="s">
        <v>29848</v>
      </c>
      <c r="M5885" s="2" t="s">
        <v>12</v>
      </c>
      <c r="N5885" s="4">
        <f t="shared" si="1"/>
        <v>42326</v>
      </c>
      <c r="O5885" s="5" t="str">
        <f>IFERROR(__xludf.DUMMYFUNCTION("IF(REGEXMATCH(TRIM(I5885), ""^\d+\s*min""), ""Unclassified"", IF(I5885 = """", ""NR"", I5885))"),"TV-MA")</f>
        <v>TV-MA</v>
      </c>
      <c r="R5885" s="5" t="str">
        <f t="shared" si="2"/>
        <v>Naomi And Ely'S No Kiss List</v>
      </c>
      <c r="S5885" s="9" t="str">
        <f>IFERROR(__xludf.DUMMYFUNCTION("""COMPUTED_VALUE"""),"Rishta.Com")</f>
        <v>Rishta.Com</v>
      </c>
      <c r="V5885" s="5"/>
      <c r="Y5885" s="5" t="str">
        <f>IFERROR(__xludf.DUMMYFUNCTION("REGEXEXTRACT(J5885, ""^\d+"")"),"91")</f>
        <v>91</v>
      </c>
      <c r="Z5885" s="5" t="str">
        <f>IFERROR(__xludf.DUMMYFUNCTION("REGEXEXTRACT(J5885, ""[A-Za-z ]+$"")")," min")</f>
        <v> min</v>
      </c>
      <c r="AA5885" s="5" t="str">
        <f>IFERROR(__xludf.DUMMYFUNCTION("IF(REGEXMATCH(Z5885, ""Season""), ""TV Show"", ""Movie"")"),"Movie")</f>
        <v>Movie</v>
      </c>
    </row>
    <row r="5886">
      <c r="A5886" s="1" t="s">
        <v>29849</v>
      </c>
      <c r="B5886" s="1" t="s">
        <v>27</v>
      </c>
      <c r="C5886" s="1" t="s">
        <v>29850</v>
      </c>
      <c r="D5886" s="1" t="s">
        <v>17226</v>
      </c>
      <c r="E5886" s="1" t="s">
        <v>25594</v>
      </c>
      <c r="F5886" s="1" t="s">
        <v>30</v>
      </c>
      <c r="G5886" s="1" t="s">
        <v>29851</v>
      </c>
      <c r="H5886" s="1">
        <v>2015.0</v>
      </c>
      <c r="I5886" s="1" t="s">
        <v>42</v>
      </c>
      <c r="J5886" s="1" t="s">
        <v>2670</v>
      </c>
      <c r="K5886" s="1" t="s">
        <v>1839</v>
      </c>
      <c r="L5886" s="1" t="s">
        <v>29852</v>
      </c>
      <c r="M5886" s="2" t="s">
        <v>12</v>
      </c>
      <c r="N5886" s="4">
        <f t="shared" si="1"/>
        <v>42321</v>
      </c>
      <c r="O5886" s="5" t="str">
        <f>IFERROR(__xludf.DUMMYFUNCTION("IF(REGEXMATCH(TRIM(I5886), ""^\d+\s*min""), ""Unclassified"", IF(I5886 = """", ""NR"", I5886))"),"TV-MA")</f>
        <v>TV-MA</v>
      </c>
      <c r="R5886" s="5" t="str">
        <f t="shared" si="2"/>
        <v>John Mulaney: The Comeback Kid</v>
      </c>
      <c r="S5886" s="5" t="str">
        <f>IFERROR(__xludf.DUMMYFUNCTION("""COMPUTED_VALUE"""),"Rising High")</f>
        <v>Rising High</v>
      </c>
      <c r="V5886" s="5"/>
      <c r="Y5886" s="5" t="str">
        <f>IFERROR(__xludf.DUMMYFUNCTION("REGEXEXTRACT(J5886, ""^\d+"")"),"62")</f>
        <v>62</v>
      </c>
      <c r="Z5886" s="5" t="str">
        <f>IFERROR(__xludf.DUMMYFUNCTION("REGEXEXTRACT(J5886, ""[A-Za-z ]+$"")")," min")</f>
        <v> min</v>
      </c>
      <c r="AA5886" s="5" t="str">
        <f>IFERROR(__xludf.DUMMYFUNCTION("IF(REGEXMATCH(Z5886, ""Season""), ""TV Show"", ""Movie"")"),"Movie")</f>
        <v>Movie</v>
      </c>
    </row>
    <row r="5887">
      <c r="A5887" s="1" t="s">
        <v>29853</v>
      </c>
      <c r="B5887" s="1" t="s">
        <v>37</v>
      </c>
      <c r="C5887" s="1" t="s">
        <v>29854</v>
      </c>
      <c r="E5887" s="1" t="s">
        <v>29855</v>
      </c>
      <c r="F5887" s="1" t="s">
        <v>30</v>
      </c>
      <c r="G5887" s="1" t="s">
        <v>29851</v>
      </c>
      <c r="H5887" s="1">
        <v>2015.0</v>
      </c>
      <c r="I5887" s="1" t="s">
        <v>42</v>
      </c>
      <c r="J5887" s="1" t="s">
        <v>51</v>
      </c>
      <c r="K5887" s="1" t="s">
        <v>270</v>
      </c>
      <c r="L5887" s="1" t="s">
        <v>29856</v>
      </c>
      <c r="M5887" s="2" t="s">
        <v>12</v>
      </c>
      <c r="N5887" s="4">
        <f t="shared" si="1"/>
        <v>42321</v>
      </c>
      <c r="O5887" s="5" t="str">
        <f>IFERROR(__xludf.DUMMYFUNCTION("IF(REGEXMATCH(TRIM(I5887), ""^\d+\s*min""), ""Unclassified"", IF(I5887 = """", ""NR"", I5887))"),"TV-MA")</f>
        <v>TV-MA</v>
      </c>
      <c r="R5887" s="5" t="str">
        <f t="shared" si="2"/>
        <v>W/ Bob &amp; David</v>
      </c>
      <c r="S5887" s="5" t="str">
        <f>IFERROR(__xludf.DUMMYFUNCTION("""COMPUTED_VALUE"""),"Rising Phoenix")</f>
        <v>Rising Phoenix</v>
      </c>
      <c r="V5887" s="5"/>
      <c r="Y5887" s="5" t="str">
        <f>IFERROR(__xludf.DUMMYFUNCTION("REGEXEXTRACT(J5887, ""^\d+"")"),"1")</f>
        <v>1</v>
      </c>
      <c r="Z5887" s="5" t="str">
        <f>IFERROR(__xludf.DUMMYFUNCTION("REGEXEXTRACT(J5887, ""[A-Za-z ]+$"")")," Season")</f>
        <v> Season</v>
      </c>
      <c r="AA5887" s="5" t="str">
        <f>IFERROR(__xludf.DUMMYFUNCTION("IF(REGEXMATCH(Z5887, ""Season""), ""TV Show"", ""Movie"")"),"TV Show")</f>
        <v>TV Show</v>
      </c>
    </row>
    <row r="5888">
      <c r="A5888" s="1" t="s">
        <v>29857</v>
      </c>
      <c r="B5888" s="1" t="s">
        <v>27</v>
      </c>
      <c r="C5888" s="1" t="s">
        <v>29858</v>
      </c>
      <c r="D5888" s="1" t="s">
        <v>9797</v>
      </c>
      <c r="E5888" s="1" t="s">
        <v>29859</v>
      </c>
      <c r="F5888" s="1" t="s">
        <v>30</v>
      </c>
      <c r="G5888" s="1" t="s">
        <v>29860</v>
      </c>
      <c r="H5888" s="1">
        <v>2015.0</v>
      </c>
      <c r="I5888" s="1" t="s">
        <v>42</v>
      </c>
      <c r="J5888" s="1" t="s">
        <v>471</v>
      </c>
      <c r="K5888" s="1" t="s">
        <v>836</v>
      </c>
      <c r="L5888" s="1" t="s">
        <v>29861</v>
      </c>
      <c r="M5888" s="2" t="s">
        <v>12</v>
      </c>
      <c r="N5888" s="4">
        <f t="shared" si="1"/>
        <v>42304</v>
      </c>
      <c r="O5888" s="5" t="str">
        <f>IFERROR(__xludf.DUMMYFUNCTION("IF(REGEXMATCH(TRIM(I5888), ""^\d+\s*min""), ""Unclassified"", IF(I5888 = """", ""NR"", I5888))"),"TV-MA")</f>
        <v>TV-MA</v>
      </c>
      <c r="R5888" s="5" t="str">
        <f t="shared" si="2"/>
        <v>Manson Family Vacation</v>
      </c>
      <c r="S5888" s="5" t="str">
        <f>IFERROR(__xludf.DUMMYFUNCTION("""COMPUTED_VALUE"""),"Rita")</f>
        <v>Rita</v>
      </c>
      <c r="V5888" s="5"/>
      <c r="Y5888" s="5" t="str">
        <f>IFERROR(__xludf.DUMMYFUNCTION("REGEXEXTRACT(J5888, ""^\d+"")"),"85")</f>
        <v>85</v>
      </c>
      <c r="Z5888" s="5" t="str">
        <f>IFERROR(__xludf.DUMMYFUNCTION("REGEXEXTRACT(J5888, ""[A-Za-z ]+$"")")," min")</f>
        <v> min</v>
      </c>
      <c r="AA5888" s="5" t="str">
        <f>IFERROR(__xludf.DUMMYFUNCTION("IF(REGEXMATCH(Z5888, ""Season""), ""TV Show"", ""Movie"")"),"Movie")</f>
        <v>Movie</v>
      </c>
    </row>
    <row r="5889">
      <c r="A5889" s="1" t="s">
        <v>29862</v>
      </c>
      <c r="B5889" s="1" t="s">
        <v>27</v>
      </c>
      <c r="C5889" s="1" t="s">
        <v>29863</v>
      </c>
      <c r="D5889" s="1" t="s">
        <v>29864</v>
      </c>
      <c r="E5889" s="1" t="s">
        <v>29865</v>
      </c>
      <c r="F5889" s="1" t="s">
        <v>30</v>
      </c>
      <c r="G5889" s="1" t="s">
        <v>29866</v>
      </c>
      <c r="H5889" s="1">
        <v>2015.0</v>
      </c>
      <c r="I5889" s="1" t="s">
        <v>206</v>
      </c>
      <c r="J5889" s="1" t="s">
        <v>33</v>
      </c>
      <c r="K5889" s="1" t="s">
        <v>80</v>
      </c>
      <c r="L5889" s="1" t="s">
        <v>29867</v>
      </c>
      <c r="M5889" s="2" t="s">
        <v>12</v>
      </c>
      <c r="N5889" s="4">
        <f t="shared" si="1"/>
        <v>42302</v>
      </c>
      <c r="O5889" s="5" t="str">
        <f>IFERROR(__xludf.DUMMYFUNCTION("IF(REGEXMATCH(TRIM(I5889), ""^\d+\s*min""), ""Unclassified"", IF(I5889 = """", ""NR"", I5889))"),"TV-Y")</f>
        <v>TV-Y</v>
      </c>
      <c r="R5889" s="5" t="str">
        <f t="shared" si="2"/>
        <v>Walt Disney Animation Studios Short Films Collection</v>
      </c>
      <c r="S5889" s="5" t="str">
        <f>IFERROR(__xludf.DUMMYFUNCTION("""COMPUTED_VALUE"""),"Rivaaz")</f>
        <v>Rivaaz</v>
      </c>
      <c r="V5889" s="5"/>
      <c r="Y5889" s="5" t="str">
        <f>IFERROR(__xludf.DUMMYFUNCTION("REGEXEXTRACT(J5889, ""^\d+"")"),"90")</f>
        <v>90</v>
      </c>
      <c r="Z5889" s="5" t="str">
        <f>IFERROR(__xludf.DUMMYFUNCTION("REGEXEXTRACT(J5889, ""[A-Za-z ]+$"")")," min")</f>
        <v> min</v>
      </c>
      <c r="AA5889" s="5" t="str">
        <f>IFERROR(__xludf.DUMMYFUNCTION("IF(REGEXMATCH(Z5889, ""Season""), ""TV Show"", ""Movie"")"),"Movie")</f>
        <v>Movie</v>
      </c>
    </row>
    <row r="5890">
      <c r="A5890" s="1" t="s">
        <v>29868</v>
      </c>
      <c r="B5890" s="1" t="s">
        <v>37</v>
      </c>
      <c r="C5890" s="1" t="s">
        <v>29869</v>
      </c>
      <c r="D5890" s="1" t="s">
        <v>6928</v>
      </c>
      <c r="E5890" s="1" t="s">
        <v>29870</v>
      </c>
      <c r="F5890" s="1" t="s">
        <v>30</v>
      </c>
      <c r="G5890" s="1" t="s">
        <v>29871</v>
      </c>
      <c r="H5890" s="1">
        <v>2015.0</v>
      </c>
      <c r="I5890" s="1" t="s">
        <v>42</v>
      </c>
      <c r="J5890" s="1" t="s">
        <v>276</v>
      </c>
      <c r="K5890" s="1" t="s">
        <v>6344</v>
      </c>
      <c r="L5890" s="1" t="s">
        <v>29872</v>
      </c>
      <c r="M5890" s="2" t="s">
        <v>12</v>
      </c>
      <c r="N5890" s="4">
        <f t="shared" si="1"/>
        <v>42300</v>
      </c>
      <c r="O5890" s="5" t="str">
        <f>IFERROR(__xludf.DUMMYFUNCTION("IF(REGEXMATCH(TRIM(I5890), ""^\d+\s*min""), ""Unclassified"", IF(I5890 = """", ""NR"", I5890))"),"TV-MA")</f>
        <v>TV-MA</v>
      </c>
      <c r="R5890" s="5" t="str">
        <f t="shared" si="2"/>
        <v>Hemlock Grove</v>
      </c>
      <c r="S5890" s="5" t="str">
        <f>IFERROR(__xludf.DUMMYFUNCTION("""COMPUTED_VALUE"""),"River, El Más Grande Siempre")</f>
        <v>River, El Más Grande Siempre</v>
      </c>
      <c r="V5890" s="5"/>
      <c r="Y5890" s="5" t="str">
        <f>IFERROR(__xludf.DUMMYFUNCTION("REGEXEXTRACT(J5890, ""^\d+"")"),"3")</f>
        <v>3</v>
      </c>
      <c r="Z5890" s="5" t="str">
        <f>IFERROR(__xludf.DUMMYFUNCTION("REGEXEXTRACT(J5890, ""[A-Za-z ]+$"")")," Seasons")</f>
        <v> Seasons</v>
      </c>
      <c r="AA5890" s="5" t="str">
        <f>IFERROR(__xludf.DUMMYFUNCTION("IF(REGEXMATCH(Z5890, ""Season""), ""TV Show"", ""Movie"")"),"TV Show")</f>
        <v>TV Show</v>
      </c>
    </row>
    <row r="5891">
      <c r="A5891" s="1" t="s">
        <v>29873</v>
      </c>
      <c r="B5891" s="1" t="s">
        <v>27</v>
      </c>
      <c r="C5891" s="1" t="s">
        <v>29874</v>
      </c>
      <c r="D5891" s="1" t="s">
        <v>1841</v>
      </c>
      <c r="E5891" s="1" t="s">
        <v>29875</v>
      </c>
      <c r="F5891" s="1" t="s">
        <v>30</v>
      </c>
      <c r="G5891" s="1" t="s">
        <v>29876</v>
      </c>
      <c r="H5891" s="1">
        <v>2015.0</v>
      </c>
      <c r="I5891" s="1" t="s">
        <v>378</v>
      </c>
      <c r="J5891" s="1" t="s">
        <v>305</v>
      </c>
      <c r="K5891" s="1" t="s">
        <v>1749</v>
      </c>
      <c r="L5891" s="1" t="s">
        <v>29877</v>
      </c>
      <c r="M5891" s="2" t="s">
        <v>12</v>
      </c>
      <c r="N5891" s="4">
        <f t="shared" si="1"/>
        <v>42299</v>
      </c>
      <c r="O5891" s="5" t="str">
        <f>IFERROR(__xludf.DUMMYFUNCTION("IF(REGEXMATCH(TRIM(I5891), ""^\d+\s*min""), ""Unclassified"", IF(I5891 = """", ""NR"", I5891))"),"R")</f>
        <v>R</v>
      </c>
      <c r="R5891" s="5" t="str">
        <f t="shared" si="2"/>
        <v>Results</v>
      </c>
      <c r="S5891" s="5" t="str">
        <f>IFERROR(__xludf.DUMMYFUNCTION("""COMPUTED_VALUE"""),"River'S Edge")</f>
        <v>River'S Edge</v>
      </c>
      <c r="V5891" s="5"/>
      <c r="Y5891" s="5" t="str">
        <f>IFERROR(__xludf.DUMMYFUNCTION("REGEXEXTRACT(J5891, ""^\d+"")"),"105")</f>
        <v>105</v>
      </c>
      <c r="Z5891" s="5" t="str">
        <f>IFERROR(__xludf.DUMMYFUNCTION("REGEXEXTRACT(J5891, ""[A-Za-z ]+$"")")," min")</f>
        <v> min</v>
      </c>
      <c r="AA5891" s="5" t="str">
        <f>IFERROR(__xludf.DUMMYFUNCTION("IF(REGEXMATCH(Z5891, ""Season""), ""TV Show"", ""Movie"")"),"Movie")</f>
        <v>Movie</v>
      </c>
    </row>
    <row r="5892">
      <c r="A5892" s="1" t="s">
        <v>29878</v>
      </c>
      <c r="B5892" s="1" t="s">
        <v>27</v>
      </c>
      <c r="C5892" s="1" t="s">
        <v>29879</v>
      </c>
      <c r="D5892" s="1" t="s">
        <v>382</v>
      </c>
      <c r="E5892" s="1" t="s">
        <v>20997</v>
      </c>
      <c r="F5892" s="1" t="s">
        <v>30</v>
      </c>
      <c r="G5892" s="1" t="s">
        <v>29880</v>
      </c>
      <c r="H5892" s="1">
        <v>2015.0</v>
      </c>
      <c r="I5892" s="1" t="s">
        <v>42</v>
      </c>
      <c r="J5892" s="1" t="s">
        <v>1847</v>
      </c>
      <c r="K5892" s="1" t="s">
        <v>1839</v>
      </c>
      <c r="L5892" s="1" t="s">
        <v>29881</v>
      </c>
      <c r="M5892" s="2" t="s">
        <v>12</v>
      </c>
      <c r="N5892" s="4">
        <f t="shared" si="1"/>
        <v>42293</v>
      </c>
      <c r="O5892" s="5" t="str">
        <f>IFERROR(__xludf.DUMMYFUNCTION("IF(REGEXMATCH(TRIM(I5892), ""^\d+\s*min""), ""Unclassified"", IF(I5892 = """", ""NR"", I5892))"),"TV-MA")</f>
        <v>TV-MA</v>
      </c>
      <c r="R5892" s="5" t="str">
        <f t="shared" si="2"/>
        <v>Anthony Jeselnik: Thoughts And Prayers</v>
      </c>
      <c r="S5892" s="5" t="str">
        <f>IFERROR(__xludf.DUMMYFUNCTION("""COMPUTED_VALUE"""),"Riverdale")</f>
        <v>Riverdale</v>
      </c>
      <c r="V5892" s="5"/>
      <c r="Y5892" s="5" t="str">
        <f>IFERROR(__xludf.DUMMYFUNCTION("REGEXEXTRACT(J5892, ""^\d+"")"),"59")</f>
        <v>59</v>
      </c>
      <c r="Z5892" s="5" t="str">
        <f>IFERROR(__xludf.DUMMYFUNCTION("REGEXEXTRACT(J5892, ""[A-Za-z ]+$"")")," min")</f>
        <v> min</v>
      </c>
      <c r="AA5892" s="5" t="str">
        <f>IFERROR(__xludf.DUMMYFUNCTION("IF(REGEXMATCH(Z5892, ""Season""), ""TV Show"", ""Movie"")"),"Movie")</f>
        <v>Movie</v>
      </c>
    </row>
    <row r="5893">
      <c r="A5893" s="1" t="s">
        <v>29882</v>
      </c>
      <c r="B5893" s="1" t="s">
        <v>27</v>
      </c>
      <c r="C5893" s="1" t="s">
        <v>29883</v>
      </c>
      <c r="D5893" s="1" t="s">
        <v>4215</v>
      </c>
      <c r="E5893" s="1" t="s">
        <v>29884</v>
      </c>
      <c r="F5893" s="1" t="s">
        <v>30</v>
      </c>
      <c r="G5893" s="1" t="s">
        <v>29880</v>
      </c>
      <c r="H5893" s="1">
        <v>2015.0</v>
      </c>
      <c r="I5893" s="1" t="s">
        <v>42</v>
      </c>
      <c r="J5893" s="1" t="s">
        <v>4242</v>
      </c>
      <c r="K5893" s="1" t="s">
        <v>1320</v>
      </c>
      <c r="L5893" s="1" t="s">
        <v>29885</v>
      </c>
      <c r="M5893" s="2" t="s">
        <v>12</v>
      </c>
      <c r="N5893" s="4">
        <f t="shared" si="1"/>
        <v>42293</v>
      </c>
      <c r="O5893" s="5" t="str">
        <f>IFERROR(__xludf.DUMMYFUNCTION("IF(REGEXMATCH(TRIM(I5893), ""^\d+\s*min""), ""Unclassified"", IF(I5893 = """", ""NR"", I5893))"),"TV-MA")</f>
        <v>TV-MA</v>
      </c>
      <c r="R5893" s="5" t="str">
        <f t="shared" si="2"/>
        <v>Beasts Of No Nation</v>
      </c>
      <c r="S5893" s="5" t="str">
        <f>IFERROR(__xludf.DUMMYFUNCTION("""COMPUTED_VALUE"""),"Rize")</f>
        <v>Rize</v>
      </c>
      <c r="V5893" s="5"/>
      <c r="Y5893" s="5" t="str">
        <f>IFERROR(__xludf.DUMMYFUNCTION("REGEXEXTRACT(J5893, ""^\d+"")"),"137")</f>
        <v>137</v>
      </c>
      <c r="Z5893" s="5" t="str">
        <f>IFERROR(__xludf.DUMMYFUNCTION("REGEXEXTRACT(J5893, ""[A-Za-z ]+$"")")," min")</f>
        <v> min</v>
      </c>
      <c r="AA5893" s="5" t="str">
        <f>IFERROR(__xludf.DUMMYFUNCTION("IF(REGEXMATCH(Z5893, ""Season""), ""TV Show"", ""Movie"")"),"Movie")</f>
        <v>Movie</v>
      </c>
    </row>
    <row r="5894">
      <c r="A5894" s="1" t="s">
        <v>29886</v>
      </c>
      <c r="B5894" s="1" t="s">
        <v>27</v>
      </c>
      <c r="C5894" s="1" t="s">
        <v>29887</v>
      </c>
      <c r="D5894" s="1" t="s">
        <v>114</v>
      </c>
      <c r="E5894" s="1" t="s">
        <v>29888</v>
      </c>
      <c r="F5894" s="1" t="s">
        <v>30</v>
      </c>
      <c r="G5894" s="1" t="s">
        <v>29880</v>
      </c>
      <c r="H5894" s="1">
        <v>2015.0</v>
      </c>
      <c r="I5894" s="1" t="s">
        <v>42</v>
      </c>
      <c r="J5894" s="1" t="s">
        <v>1144</v>
      </c>
      <c r="K5894" s="1" t="s">
        <v>5269</v>
      </c>
      <c r="L5894" s="1" t="s">
        <v>29889</v>
      </c>
      <c r="M5894" s="2" t="s">
        <v>12</v>
      </c>
      <c r="N5894" s="4">
        <f t="shared" si="1"/>
        <v>42293</v>
      </c>
      <c r="O5894" s="5" t="str">
        <f>IFERROR(__xludf.DUMMYFUNCTION("IF(REGEXMATCH(TRIM(I5894), ""^\d+\s*min""), ""Unclassified"", IF(I5894 = """", ""NR"", I5894))"),"TV-MA")</f>
        <v>TV-MA</v>
      </c>
      <c r="R5894" s="5" t="str">
        <f t="shared" si="2"/>
        <v>Circle</v>
      </c>
      <c r="S5894" s="5" t="str">
        <f>IFERROR(__xludf.DUMMYFUNCTION("""COMPUTED_VALUE"""),"Road To High &amp; Low")</f>
        <v>Road To High &amp; Low</v>
      </c>
      <c r="V5894" s="5"/>
      <c r="Y5894" s="5" t="str">
        <f>IFERROR(__xludf.DUMMYFUNCTION("REGEXEXTRACT(J5894, ""^\d+"")"),"86")</f>
        <v>86</v>
      </c>
      <c r="Z5894" s="5" t="str">
        <f>IFERROR(__xludf.DUMMYFUNCTION("REGEXEXTRACT(J5894, ""[A-Za-z ]+$"")")," min")</f>
        <v> min</v>
      </c>
      <c r="AA5894" s="5" t="str">
        <f>IFERROR(__xludf.DUMMYFUNCTION("IF(REGEXMATCH(Z5894, ""Season""), ""TV Show"", ""Movie"")"),"Movie")</f>
        <v>Movie</v>
      </c>
    </row>
    <row r="5895">
      <c r="A5895" s="1" t="s">
        <v>29890</v>
      </c>
      <c r="B5895" s="1" t="s">
        <v>27</v>
      </c>
      <c r="C5895" s="1" t="s">
        <v>29891</v>
      </c>
      <c r="D5895" s="1" t="s">
        <v>7392</v>
      </c>
      <c r="F5895" s="1" t="s">
        <v>29892</v>
      </c>
      <c r="G5895" s="1" t="s">
        <v>29893</v>
      </c>
      <c r="H5895" s="1">
        <v>2015.0</v>
      </c>
      <c r="I5895" s="1" t="s">
        <v>42</v>
      </c>
      <c r="J5895" s="1" t="s">
        <v>416</v>
      </c>
      <c r="K5895" s="1" t="s">
        <v>156</v>
      </c>
      <c r="L5895" s="1" t="s">
        <v>29894</v>
      </c>
      <c r="M5895" s="2" t="s">
        <v>12</v>
      </c>
      <c r="N5895" s="4">
        <f t="shared" si="1"/>
        <v>42286</v>
      </c>
      <c r="O5895" s="5" t="str">
        <f>IFERROR(__xludf.DUMMYFUNCTION("IF(REGEXMATCH(TRIM(I5895), ""^\d+\s*min""), ""Unclassified"", IF(I5895 = """", ""NR"", I5895))"),"TV-MA")</f>
        <v>TV-MA</v>
      </c>
      <c r="R5895" s="5" t="str">
        <f t="shared" si="2"/>
        <v>Winter On Fire: Ukraine'S Fight For Freedom</v>
      </c>
      <c r="S5895" s="5" t="str">
        <f>IFERROR(__xludf.DUMMYFUNCTION("""COMPUTED_VALUE"""),"Road To Roma")</f>
        <v>Road To Roma</v>
      </c>
      <c r="V5895" s="5"/>
      <c r="Y5895" s="5" t="str">
        <f>IFERROR(__xludf.DUMMYFUNCTION("REGEXEXTRACT(J5895, ""^\d+"")"),"99")</f>
        <v>99</v>
      </c>
      <c r="Z5895" s="5" t="str">
        <f>IFERROR(__xludf.DUMMYFUNCTION("REGEXEXTRACT(J5895, ""[A-Za-z ]+$"")")," min")</f>
        <v> min</v>
      </c>
      <c r="AA5895" s="5" t="str">
        <f>IFERROR(__xludf.DUMMYFUNCTION("IF(REGEXMATCH(Z5895, ""Season""), ""TV Show"", ""Movie"")"),"Movie")</f>
        <v>Movie</v>
      </c>
    </row>
    <row r="5896">
      <c r="A5896" s="1" t="s">
        <v>29895</v>
      </c>
      <c r="B5896" s="1" t="s">
        <v>27</v>
      </c>
      <c r="C5896" s="1" t="s">
        <v>29896</v>
      </c>
      <c r="D5896" s="1" t="s">
        <v>10401</v>
      </c>
      <c r="E5896" s="1" t="s">
        <v>29897</v>
      </c>
      <c r="F5896" s="1" t="s">
        <v>30</v>
      </c>
      <c r="G5896" s="1" t="s">
        <v>29898</v>
      </c>
      <c r="H5896" s="1">
        <v>2015.0</v>
      </c>
      <c r="I5896" s="1" t="s">
        <v>97</v>
      </c>
      <c r="J5896" s="1" t="s">
        <v>1838</v>
      </c>
      <c r="K5896" s="1" t="s">
        <v>1839</v>
      </c>
      <c r="L5896" s="1" t="s">
        <v>29899</v>
      </c>
      <c r="M5896" s="2" t="s">
        <v>12</v>
      </c>
      <c r="N5896" s="4">
        <f t="shared" si="1"/>
        <v>42279</v>
      </c>
      <c r="O5896" s="5" t="str">
        <f>IFERROR(__xludf.DUMMYFUNCTION("IF(REGEXMATCH(TRIM(I5896), ""^\d+\s*min""), ""Unclassified"", IF(I5896 = """", ""NR"", I5896))"),"TV-14")</f>
        <v>TV-14</v>
      </c>
      <c r="R5896" s="5" t="str">
        <f t="shared" si="2"/>
        <v>Anjelah Johnson: Not Fancy</v>
      </c>
      <c r="S5896" s="5" t="str">
        <f>IFERROR(__xludf.DUMMYFUNCTION("""COMPUTED_VALUE"""),"Road To Sangam")</f>
        <v>Road To Sangam</v>
      </c>
      <c r="V5896" s="5"/>
      <c r="Y5896" s="5" t="str">
        <f>IFERROR(__xludf.DUMMYFUNCTION("REGEXEXTRACT(J5896, ""^\d+"")"),"64")</f>
        <v>64</v>
      </c>
      <c r="Z5896" s="5" t="str">
        <f>IFERROR(__xludf.DUMMYFUNCTION("REGEXEXTRACT(J5896, ""[A-Za-z ]+$"")")," min")</f>
        <v> min</v>
      </c>
      <c r="AA5896" s="5" t="str">
        <f>IFERROR(__xludf.DUMMYFUNCTION("IF(REGEXMATCH(Z5896, ""Season""), ""TV Show"", ""Movie"")"),"Movie")</f>
        <v>Movie</v>
      </c>
    </row>
    <row r="5897">
      <c r="A5897" s="1" t="s">
        <v>29900</v>
      </c>
      <c r="B5897" s="1" t="s">
        <v>37</v>
      </c>
      <c r="C5897" s="1" t="s">
        <v>29901</v>
      </c>
      <c r="E5897" s="1" t="s">
        <v>29902</v>
      </c>
      <c r="G5897" s="1" t="s">
        <v>29903</v>
      </c>
      <c r="H5897" s="1">
        <v>2014.0</v>
      </c>
      <c r="I5897" s="1" t="s">
        <v>136</v>
      </c>
      <c r="J5897" s="1" t="s">
        <v>51</v>
      </c>
      <c r="K5897" s="1" t="s">
        <v>290</v>
      </c>
      <c r="L5897" s="1" t="s">
        <v>29904</v>
      </c>
      <c r="M5897" s="2" t="s">
        <v>12</v>
      </c>
      <c r="N5897" s="4">
        <f t="shared" si="1"/>
        <v>42278</v>
      </c>
      <c r="O5897" s="5" t="str">
        <f>IFERROR(__xludf.DUMMYFUNCTION("IF(REGEXMATCH(TRIM(I5897), ""^\d+\s*min""), ""Unclassified"", IF(I5897 = """", ""NR"", I5897))"),"TV-PG")</f>
        <v>TV-PG</v>
      </c>
      <c r="R5897" s="5" t="str">
        <f t="shared" si="2"/>
        <v>Wakfu: The Quest For The Six Eliatrope Dofus</v>
      </c>
      <c r="S5897" s="5" t="str">
        <f>IFERROR(__xludf.DUMMYFUNCTION("""COMPUTED_VALUE"""),"Road To Yesterday")</f>
        <v>Road To Yesterday</v>
      </c>
      <c r="V5897" s="5"/>
      <c r="Y5897" s="5" t="str">
        <f>IFERROR(__xludf.DUMMYFUNCTION("REGEXEXTRACT(J5897, ""^\d+"")"),"1")</f>
        <v>1</v>
      </c>
      <c r="Z5897" s="5" t="str">
        <f>IFERROR(__xludf.DUMMYFUNCTION("REGEXEXTRACT(J5897, ""[A-Za-z ]+$"")")," Season")</f>
        <v> Season</v>
      </c>
      <c r="AA5897" s="5" t="str">
        <f>IFERROR(__xludf.DUMMYFUNCTION("IF(REGEXMATCH(Z5897, ""Season""), ""TV Show"", ""Movie"")"),"TV Show")</f>
        <v>TV Show</v>
      </c>
    </row>
    <row r="5898">
      <c r="A5898" s="1" t="s">
        <v>29905</v>
      </c>
      <c r="B5898" s="1" t="s">
        <v>27</v>
      </c>
      <c r="C5898" s="1" t="s">
        <v>29906</v>
      </c>
      <c r="D5898" s="1" t="s">
        <v>16317</v>
      </c>
      <c r="E5898" s="1" t="s">
        <v>29907</v>
      </c>
      <c r="F5898" s="1" t="s">
        <v>30</v>
      </c>
      <c r="G5898" s="1" t="s">
        <v>29908</v>
      </c>
      <c r="H5898" s="1">
        <v>2015.0</v>
      </c>
      <c r="I5898" s="1" t="s">
        <v>97</v>
      </c>
      <c r="J5898" s="1" t="s">
        <v>1001</v>
      </c>
      <c r="K5898" s="1" t="s">
        <v>700</v>
      </c>
      <c r="L5898" s="1" t="s">
        <v>29909</v>
      </c>
      <c r="M5898" s="2" t="s">
        <v>12</v>
      </c>
      <c r="N5898" s="4">
        <f t="shared" si="1"/>
        <v>42265</v>
      </c>
      <c r="O5898" s="5" t="str">
        <f>IFERROR(__xludf.DUMMYFUNCTION("IF(REGEXMATCH(TRIM(I5898), ""^\d+\s*min""), ""Unclassified"", IF(I5898 = """", ""NR"", I5898))"),"TV-14")</f>
        <v>TV-14</v>
      </c>
      <c r="R5898" s="5" t="str">
        <f t="shared" si="2"/>
        <v>Keith Richards: Under The Influence</v>
      </c>
      <c r="S5898" s="5" t="str">
        <f>IFERROR(__xludf.DUMMYFUNCTION("""COMPUTED_VALUE"""),"Road Trip: Beer Pong")</f>
        <v>Road Trip: Beer Pong</v>
      </c>
      <c r="V5898" s="5"/>
      <c r="Y5898" s="5" t="str">
        <f>IFERROR(__xludf.DUMMYFUNCTION("REGEXEXTRACT(J5898, ""^\d+"")"),"82")</f>
        <v>82</v>
      </c>
      <c r="Z5898" s="5" t="str">
        <f>IFERROR(__xludf.DUMMYFUNCTION("REGEXEXTRACT(J5898, ""[A-Za-z ]+$"")")," min")</f>
        <v> min</v>
      </c>
      <c r="AA5898" s="5" t="str">
        <f>IFERROR(__xludf.DUMMYFUNCTION("IF(REGEXMATCH(Z5898, ""Season""), ""TV Show"", ""Movie"")"),"Movie")</f>
        <v>Movie</v>
      </c>
    </row>
    <row r="5899">
      <c r="A5899" s="1" t="s">
        <v>29910</v>
      </c>
      <c r="B5899" s="1" t="s">
        <v>27</v>
      </c>
      <c r="C5899" s="1" t="s">
        <v>29911</v>
      </c>
      <c r="D5899" s="1" t="s">
        <v>13025</v>
      </c>
      <c r="E5899" s="1" t="s">
        <v>29912</v>
      </c>
      <c r="F5899" s="1" t="s">
        <v>30</v>
      </c>
      <c r="G5899" s="1" t="s">
        <v>29913</v>
      </c>
      <c r="H5899" s="1">
        <v>2014.0</v>
      </c>
      <c r="I5899" s="1" t="s">
        <v>136</v>
      </c>
      <c r="J5899" s="1" t="s">
        <v>33</v>
      </c>
      <c r="K5899" s="1" t="s">
        <v>34</v>
      </c>
      <c r="L5899" s="1" t="s">
        <v>29914</v>
      </c>
      <c r="M5899" s="2" t="s">
        <v>12</v>
      </c>
      <c r="N5899" s="4">
        <f t="shared" si="1"/>
        <v>42262</v>
      </c>
      <c r="O5899" s="5" t="str">
        <f>IFERROR(__xludf.DUMMYFUNCTION("IF(REGEXMATCH(TRIM(I5899), ""^\d+\s*min""), ""Unclassified"", IF(I5899 = """", ""NR"", I5899))"),"TV-PG")</f>
        <v>TV-PG</v>
      </c>
      <c r="R5899" s="5" t="str">
        <f t="shared" si="2"/>
        <v>Cowspiracy: The Sustainability Secret</v>
      </c>
      <c r="S5899" s="5" t="str">
        <f>IFERROR(__xludf.DUMMYFUNCTION("""COMPUTED_VALUE"""),"Rob Schneider: Asian Momma, Mexican Kids")</f>
        <v>Rob Schneider: Asian Momma, Mexican Kids</v>
      </c>
      <c r="V5899" s="5"/>
      <c r="Y5899" s="5" t="str">
        <f>IFERROR(__xludf.DUMMYFUNCTION("REGEXEXTRACT(J5899, ""^\d+"")"),"90")</f>
        <v>90</v>
      </c>
      <c r="Z5899" s="5" t="str">
        <f>IFERROR(__xludf.DUMMYFUNCTION("REGEXEXTRACT(J5899, ""[A-Za-z ]+$"")")," min")</f>
        <v> min</v>
      </c>
      <c r="AA5899" s="5" t="str">
        <f>IFERROR(__xludf.DUMMYFUNCTION("IF(REGEXMATCH(Z5899, ""Season""), ""TV Show"", ""Movie"")"),"Movie")</f>
        <v>Movie</v>
      </c>
    </row>
    <row r="5900">
      <c r="A5900" s="1" t="s">
        <v>29915</v>
      </c>
      <c r="B5900" s="1" t="s">
        <v>27</v>
      </c>
      <c r="C5900" s="1" t="s">
        <v>29916</v>
      </c>
      <c r="D5900" s="1" t="s">
        <v>8980</v>
      </c>
      <c r="E5900" s="1" t="s">
        <v>29917</v>
      </c>
      <c r="F5900" s="1" t="s">
        <v>30</v>
      </c>
      <c r="G5900" s="1" t="s">
        <v>29918</v>
      </c>
      <c r="H5900" s="1">
        <v>2015.0</v>
      </c>
      <c r="I5900" s="1" t="s">
        <v>42</v>
      </c>
      <c r="J5900" s="1" t="s">
        <v>729</v>
      </c>
      <c r="K5900" s="1" t="s">
        <v>1538</v>
      </c>
      <c r="L5900" s="1" t="s">
        <v>29919</v>
      </c>
      <c r="M5900" s="2" t="s">
        <v>12</v>
      </c>
      <c r="N5900" s="4">
        <f t="shared" si="1"/>
        <v>42255</v>
      </c>
      <c r="O5900" s="5" t="str">
        <f>IFERROR(__xludf.DUMMYFUNCTION("IF(REGEXMATCH(TRIM(I5900), ""^\d+\s*min""), ""Unclassified"", IF(I5900 = """", ""NR"", I5900))"),"TV-MA")</f>
        <v>TV-MA</v>
      </c>
      <c r="R5900" s="5" t="str">
        <f t="shared" si="2"/>
        <v>6 Years</v>
      </c>
      <c r="S5900" s="5" t="str">
        <f>IFERROR(__xludf.DUMMYFUNCTION("""COMPUTED_VALUE"""),"Roberto Saviano: Writing Under Police Protection")</f>
        <v>Roberto Saviano: Writing Under Police Protection</v>
      </c>
      <c r="V5900" s="5"/>
      <c r="Y5900" s="5" t="str">
        <f>IFERROR(__xludf.DUMMYFUNCTION("REGEXEXTRACT(J5900, ""^\d+"")"),"80")</f>
        <v>80</v>
      </c>
      <c r="Z5900" s="5" t="str">
        <f>IFERROR(__xludf.DUMMYFUNCTION("REGEXEXTRACT(J5900, ""[A-Za-z ]+$"")")," min")</f>
        <v> min</v>
      </c>
      <c r="AA5900" s="5" t="str">
        <f>IFERROR(__xludf.DUMMYFUNCTION("IF(REGEXMATCH(Z5900, ""Season""), ""TV Show"", ""Movie"")"),"Movie")</f>
        <v>Movie</v>
      </c>
    </row>
    <row r="5901">
      <c r="A5901" s="1" t="s">
        <v>29920</v>
      </c>
      <c r="B5901" s="1" t="s">
        <v>27</v>
      </c>
      <c r="C5901" s="1" t="s">
        <v>29921</v>
      </c>
      <c r="D5901" s="1" t="s">
        <v>10401</v>
      </c>
      <c r="E5901" s="1" t="s">
        <v>6310</v>
      </c>
      <c r="F5901" s="1" t="s">
        <v>30</v>
      </c>
      <c r="G5901" s="1" t="s">
        <v>29922</v>
      </c>
      <c r="H5901" s="1">
        <v>2015.0</v>
      </c>
      <c r="I5901" s="1" t="s">
        <v>42</v>
      </c>
      <c r="J5901" s="1" t="s">
        <v>2670</v>
      </c>
      <c r="K5901" s="1" t="s">
        <v>1839</v>
      </c>
      <c r="L5901" s="1" t="s">
        <v>29923</v>
      </c>
      <c r="M5901" s="2" t="s">
        <v>12</v>
      </c>
      <c r="N5901" s="4">
        <f t="shared" si="1"/>
        <v>42230</v>
      </c>
      <c r="O5901" s="5" t="str">
        <f>IFERROR(__xludf.DUMMYFUNCTION("IF(REGEXMATCH(TRIM(I5901), ""^\d+\s*min""), ""Unclassified"", IF(I5901 = """", ""NR"", I5901))"),"TV-MA")</f>
        <v>TV-MA</v>
      </c>
      <c r="R5901" s="5" t="str">
        <f t="shared" si="2"/>
        <v>Demetri Martin: Live (At The Time)</v>
      </c>
      <c r="S5901" s="5" t="str">
        <f>IFERROR(__xludf.DUMMYFUNCTION("""COMPUTED_VALUE"""),"Robin Hood: The Rebellion")</f>
        <v>Robin Hood: The Rebellion</v>
      </c>
      <c r="V5901" s="5"/>
      <c r="Y5901" s="5" t="str">
        <f>IFERROR(__xludf.DUMMYFUNCTION("REGEXEXTRACT(J5901, ""^\d+"")"),"62")</f>
        <v>62</v>
      </c>
      <c r="Z5901" s="5" t="str">
        <f>IFERROR(__xludf.DUMMYFUNCTION("REGEXEXTRACT(J5901, ""[A-Za-z ]+$"")")," min")</f>
        <v> min</v>
      </c>
      <c r="AA5901" s="5" t="str">
        <f>IFERROR(__xludf.DUMMYFUNCTION("IF(REGEXMATCH(Z5901, ""Season""), ""TV Show"", ""Movie"")"),"Movie")</f>
        <v>Movie</v>
      </c>
    </row>
    <row r="5902">
      <c r="A5902" s="1" t="s">
        <v>29924</v>
      </c>
      <c r="B5902" s="1" t="s">
        <v>37</v>
      </c>
      <c r="C5902" s="1" t="s">
        <v>29925</v>
      </c>
      <c r="E5902" s="1" t="s">
        <v>29926</v>
      </c>
      <c r="F5902" s="1" t="s">
        <v>30</v>
      </c>
      <c r="G5902" s="1" t="s">
        <v>29927</v>
      </c>
      <c r="H5902" s="1">
        <v>2015.0</v>
      </c>
      <c r="I5902" s="1" t="s">
        <v>42</v>
      </c>
      <c r="J5902" s="1" t="s">
        <v>51</v>
      </c>
      <c r="K5902" s="1" t="s">
        <v>270</v>
      </c>
      <c r="L5902" s="1" t="s">
        <v>29928</v>
      </c>
      <c r="M5902" s="2" t="s">
        <v>12</v>
      </c>
      <c r="N5902" s="4">
        <f t="shared" si="1"/>
        <v>42216</v>
      </c>
      <c r="O5902" s="5" t="str">
        <f>IFERROR(__xludf.DUMMYFUNCTION("IF(REGEXMATCH(TRIM(I5902), ""^\d+\s*min""), ""Unclassified"", IF(I5902 = """", ""NR"", I5902))"),"TV-MA")</f>
        <v>TV-MA</v>
      </c>
      <c r="R5902" s="5" t="str">
        <f t="shared" si="2"/>
        <v>Wet Hot American Summer</v>
      </c>
      <c r="S5902" s="5" t="str">
        <f>IFERROR(__xludf.DUMMYFUNCTION("""COMPUTED_VALUE"""),"Robocar Poli")</f>
        <v>Robocar Poli</v>
      </c>
      <c r="V5902" s="5"/>
      <c r="Y5902" s="5" t="str">
        <f>IFERROR(__xludf.DUMMYFUNCTION("REGEXEXTRACT(J5902, ""^\d+"")"),"1")</f>
        <v>1</v>
      </c>
      <c r="Z5902" s="5" t="str">
        <f>IFERROR(__xludf.DUMMYFUNCTION("REGEXEXTRACT(J5902, ""[A-Za-z ]+$"")")," Season")</f>
        <v> Season</v>
      </c>
      <c r="AA5902" s="5" t="str">
        <f>IFERROR(__xludf.DUMMYFUNCTION("IF(REGEXMATCH(Z5902, ""Season""), ""TV Show"", ""Movie"")"),"TV Show")</f>
        <v>TV Show</v>
      </c>
    </row>
    <row r="5903">
      <c r="A5903" s="1" t="s">
        <v>29929</v>
      </c>
      <c r="B5903" s="1" t="s">
        <v>27</v>
      </c>
      <c r="C5903" s="1" t="s">
        <v>29930</v>
      </c>
      <c r="D5903" s="1" t="s">
        <v>13170</v>
      </c>
      <c r="E5903" s="1" t="s">
        <v>22487</v>
      </c>
      <c r="F5903" s="1" t="s">
        <v>30</v>
      </c>
      <c r="G5903" s="1" t="s">
        <v>29931</v>
      </c>
      <c r="H5903" s="1">
        <v>2015.0</v>
      </c>
      <c r="I5903" s="1" t="s">
        <v>97</v>
      </c>
      <c r="J5903" s="1" t="s">
        <v>665</v>
      </c>
      <c r="K5903" s="1" t="s">
        <v>18640</v>
      </c>
      <c r="L5903" s="1" t="s">
        <v>29932</v>
      </c>
      <c r="M5903" s="2" t="s">
        <v>12</v>
      </c>
      <c r="N5903" s="4">
        <f t="shared" si="1"/>
        <v>42202</v>
      </c>
      <c r="O5903" s="5" t="str">
        <f>IFERROR(__xludf.DUMMYFUNCTION("IF(REGEXMATCH(TRIM(I5903), ""^\d+\s*min""), ""Unclassified"", IF(I5903 = """", ""NR"", I5903))"),"TV-14")</f>
        <v>TV-14</v>
      </c>
      <c r="R5903" s="5" t="str">
        <f t="shared" si="2"/>
        <v>Tig</v>
      </c>
      <c r="S5903" s="5" t="str">
        <f>IFERROR(__xludf.DUMMYFUNCTION("""COMPUTED_VALUE"""),"Robot Trains")</f>
        <v>Robot Trains</v>
      </c>
      <c r="V5903" s="5"/>
      <c r="Y5903" s="5" t="str">
        <f>IFERROR(__xludf.DUMMYFUNCTION("REGEXEXTRACT(J5903, ""^\d+"")"),"92")</f>
        <v>92</v>
      </c>
      <c r="Z5903" s="5" t="str">
        <f>IFERROR(__xludf.DUMMYFUNCTION("REGEXEXTRACT(J5903, ""[A-Za-z ]+$"")")," min")</f>
        <v> min</v>
      </c>
      <c r="AA5903" s="5" t="str">
        <f>IFERROR(__xludf.DUMMYFUNCTION("IF(REGEXMATCH(Z5903, ""Season""), ""TV Show"", ""Movie"")"),"Movie")</f>
        <v>Movie</v>
      </c>
    </row>
    <row r="5904">
      <c r="A5904" s="1" t="s">
        <v>29933</v>
      </c>
      <c r="B5904" s="1" t="s">
        <v>37</v>
      </c>
      <c r="C5904" s="1" t="s">
        <v>29934</v>
      </c>
      <c r="E5904" s="1" t="s">
        <v>29935</v>
      </c>
      <c r="F5904" s="1" t="s">
        <v>29936</v>
      </c>
      <c r="G5904" s="1" t="s">
        <v>29937</v>
      </c>
      <c r="H5904" s="1">
        <v>2015.0</v>
      </c>
      <c r="I5904" s="1" t="s">
        <v>289</v>
      </c>
      <c r="J5904" s="1" t="s">
        <v>43</v>
      </c>
      <c r="K5904" s="1" t="s">
        <v>290</v>
      </c>
      <c r="L5904" s="1" t="s">
        <v>29938</v>
      </c>
      <c r="M5904" s="2" t="s">
        <v>12</v>
      </c>
      <c r="N5904" s="4">
        <f t="shared" si="1"/>
        <v>42200</v>
      </c>
      <c r="O5904" s="5" t="str">
        <f>IFERROR(__xludf.DUMMYFUNCTION("IF(REGEXMATCH(TRIM(I5904), ""^\d+\s*min""), ""Unclassified"", IF(I5904 = """", ""NR"", I5904))"),"TV-Y7")</f>
        <v>TV-Y7</v>
      </c>
      <c r="R5904" s="5" t="str">
        <f t="shared" si="2"/>
        <v>H2O: Mermaid Adventures</v>
      </c>
      <c r="S5904" s="5" t="str">
        <f>IFERROR(__xludf.DUMMYFUNCTION("""COMPUTED_VALUE"""),"Robotech")</f>
        <v>Robotech</v>
      </c>
      <c r="V5904" s="5"/>
      <c r="Y5904" s="5" t="str">
        <f>IFERROR(__xludf.DUMMYFUNCTION("REGEXEXTRACT(J5904, ""^\d+"")"),"2")</f>
        <v>2</v>
      </c>
      <c r="Z5904" s="5" t="str">
        <f>IFERROR(__xludf.DUMMYFUNCTION("REGEXEXTRACT(J5904, ""[A-Za-z ]+$"")")," Seasons")</f>
        <v> Seasons</v>
      </c>
      <c r="AA5904" s="5" t="str">
        <f>IFERROR(__xludf.DUMMYFUNCTION("IF(REGEXMATCH(Z5904, ""Season""), ""TV Show"", ""Movie"")"),"TV Show")</f>
        <v>TV Show</v>
      </c>
    </row>
    <row r="5905">
      <c r="A5905" s="1" t="s">
        <v>29939</v>
      </c>
      <c r="B5905" s="1" t="s">
        <v>27</v>
      </c>
      <c r="C5905" s="1" t="s">
        <v>29940</v>
      </c>
      <c r="D5905" s="1" t="s">
        <v>17666</v>
      </c>
      <c r="E5905" s="1" t="s">
        <v>29941</v>
      </c>
      <c r="F5905" s="1" t="s">
        <v>30</v>
      </c>
      <c r="G5905" s="1" t="s">
        <v>29942</v>
      </c>
      <c r="H5905" s="1">
        <v>2014.0</v>
      </c>
      <c r="I5905" s="1" t="s">
        <v>378</v>
      </c>
      <c r="J5905" s="1" t="s">
        <v>1737</v>
      </c>
      <c r="K5905" s="1" t="s">
        <v>18588</v>
      </c>
      <c r="L5905" s="1" t="s">
        <v>29943</v>
      </c>
      <c r="M5905" s="2" t="s">
        <v>12</v>
      </c>
      <c r="N5905" s="4">
        <f t="shared" si="1"/>
        <v>42199</v>
      </c>
      <c r="O5905" s="5" t="str">
        <f>IFERROR(__xludf.DUMMYFUNCTION("IF(REGEXMATCH(TRIM(I5905), ""^\d+\s*min""), ""Unclassified"", IF(I5905 = """", ""NR"", I5905))"),"R")</f>
        <v>R</v>
      </c>
      <c r="R5905" s="5" t="str">
        <f t="shared" si="2"/>
        <v>Creep</v>
      </c>
      <c r="S5905" s="5" t="str">
        <f>IFERROR(__xludf.DUMMYFUNCTION("""COMPUTED_VALUE"""),"Robozuna")</f>
        <v>Robozuna</v>
      </c>
      <c r="V5905" s="5"/>
      <c r="Y5905" s="5" t="str">
        <f>IFERROR(__xludf.DUMMYFUNCTION("REGEXEXTRACT(J5905, ""^\d+"")"),"78")</f>
        <v>78</v>
      </c>
      <c r="Z5905" s="5" t="str">
        <f>IFERROR(__xludf.DUMMYFUNCTION("REGEXEXTRACT(J5905, ""[A-Za-z ]+$"")")," min")</f>
        <v> min</v>
      </c>
      <c r="AA5905" s="5" t="str">
        <f>IFERROR(__xludf.DUMMYFUNCTION("IF(REGEXMATCH(Z5905, ""Season""), ""TV Show"", ""Movie"")"),"Movie")</f>
        <v>Movie</v>
      </c>
    </row>
    <row r="5906">
      <c r="A5906" s="1" t="s">
        <v>29944</v>
      </c>
      <c r="B5906" s="1" t="s">
        <v>27</v>
      </c>
      <c r="C5906" s="1" t="s">
        <v>29945</v>
      </c>
      <c r="D5906" s="1" t="s">
        <v>18138</v>
      </c>
      <c r="E5906" s="1" t="s">
        <v>29946</v>
      </c>
      <c r="F5906" s="1" t="s">
        <v>30</v>
      </c>
      <c r="G5906" s="1" t="s">
        <v>29947</v>
      </c>
      <c r="H5906" s="1">
        <v>2015.0</v>
      </c>
      <c r="I5906" s="1" t="s">
        <v>42</v>
      </c>
      <c r="J5906" s="1" t="s">
        <v>665</v>
      </c>
      <c r="K5906" s="1" t="s">
        <v>1839</v>
      </c>
      <c r="L5906" s="1" t="s">
        <v>29948</v>
      </c>
      <c r="M5906" s="2" t="s">
        <v>12</v>
      </c>
      <c r="N5906" s="4">
        <f t="shared" si="1"/>
        <v>42195</v>
      </c>
      <c r="O5906" s="5" t="str">
        <f>IFERROR(__xludf.DUMMYFUNCTION("IF(REGEXMATCH(TRIM(I5906), ""^\d+\s*min""), ""Unclassified"", IF(I5906 = """", ""NR"", I5906))"),"TV-MA")</f>
        <v>TV-MA</v>
      </c>
      <c r="R5906" s="5" t="str">
        <f t="shared" si="2"/>
        <v>Chris Tucker Live</v>
      </c>
      <c r="S5906" s="5" t="str">
        <f>IFERROR(__xludf.DUMMYFUNCTION("""COMPUTED_VALUE"""),"Rocco")</f>
        <v>Rocco</v>
      </c>
      <c r="V5906" s="5"/>
      <c r="Y5906" s="5" t="str">
        <f>IFERROR(__xludf.DUMMYFUNCTION("REGEXEXTRACT(J5906, ""^\d+"")"),"92")</f>
        <v>92</v>
      </c>
      <c r="Z5906" s="5" t="str">
        <f>IFERROR(__xludf.DUMMYFUNCTION("REGEXEXTRACT(J5906, ""[A-Za-z ]+$"")")," min")</f>
        <v> min</v>
      </c>
      <c r="AA5906" s="5" t="str">
        <f>IFERROR(__xludf.DUMMYFUNCTION("IF(REGEXMATCH(Z5906, ""Season""), ""TV Show"", ""Movie"")"),"Movie")</f>
        <v>Movie</v>
      </c>
    </row>
    <row r="5907">
      <c r="A5907" s="1" t="s">
        <v>29949</v>
      </c>
      <c r="B5907" s="1" t="s">
        <v>27</v>
      </c>
      <c r="C5907" s="1" t="s">
        <v>29950</v>
      </c>
      <c r="D5907" s="1" t="s">
        <v>2284</v>
      </c>
      <c r="E5907" s="1" t="s">
        <v>29951</v>
      </c>
      <c r="F5907" s="1" t="s">
        <v>30</v>
      </c>
      <c r="G5907" s="1" t="s">
        <v>29952</v>
      </c>
      <c r="H5907" s="1">
        <v>2015.0</v>
      </c>
      <c r="I5907" s="1" t="s">
        <v>42</v>
      </c>
      <c r="J5907" s="1" t="s">
        <v>1993</v>
      </c>
      <c r="K5907" s="1" t="s">
        <v>1839</v>
      </c>
      <c r="L5907" s="1" t="s">
        <v>29953</v>
      </c>
      <c r="M5907" s="2" t="s">
        <v>12</v>
      </c>
      <c r="N5907" s="4">
        <f t="shared" si="1"/>
        <v>42184</v>
      </c>
      <c r="O5907" s="5" t="str">
        <f>IFERROR(__xludf.DUMMYFUNCTION("IF(REGEXMATCH(TRIM(I5907), ""^\d+\s*min""), ""Unclassified"", IF(I5907 = """", ""NR"", I5907))"),"TV-MA")</f>
        <v>TV-MA</v>
      </c>
      <c r="R5907" s="5" t="str">
        <f t="shared" si="2"/>
        <v>Ralphie May: Imperfectly Yours</v>
      </c>
      <c r="S5907" s="5" t="str">
        <f>IFERROR(__xludf.DUMMYFUNCTION("""COMPUTED_VALUE"""),"Rock My Heart")</f>
        <v>Rock My Heart</v>
      </c>
      <c r="V5907" s="5"/>
      <c r="Y5907" s="5" t="str">
        <f>IFERROR(__xludf.DUMMYFUNCTION("REGEXEXTRACT(J5907, ""^\d+"")"),"69")</f>
        <v>69</v>
      </c>
      <c r="Z5907" s="5" t="str">
        <f>IFERROR(__xludf.DUMMYFUNCTION("REGEXEXTRACT(J5907, ""[A-Za-z ]+$"")")," min")</f>
        <v> min</v>
      </c>
      <c r="AA5907" s="5" t="str">
        <f>IFERROR(__xludf.DUMMYFUNCTION("IF(REGEXMATCH(Z5907, ""Season""), ""TV Show"", ""Movie"")"),"Movie")</f>
        <v>Movie</v>
      </c>
    </row>
    <row r="5908">
      <c r="A5908" s="1" t="s">
        <v>29954</v>
      </c>
      <c r="B5908" s="1" t="s">
        <v>27</v>
      </c>
      <c r="C5908" s="1" t="s">
        <v>29955</v>
      </c>
      <c r="D5908" s="1" t="s">
        <v>13875</v>
      </c>
      <c r="F5908" s="1" t="s">
        <v>30</v>
      </c>
      <c r="G5908" s="1" t="s">
        <v>29956</v>
      </c>
      <c r="H5908" s="1">
        <v>2015.0</v>
      </c>
      <c r="I5908" s="1" t="s">
        <v>97</v>
      </c>
      <c r="J5908" s="1" t="s">
        <v>238</v>
      </c>
      <c r="K5908" s="1" t="s">
        <v>700</v>
      </c>
      <c r="L5908" s="1" t="s">
        <v>29957</v>
      </c>
      <c r="M5908" s="2" t="s">
        <v>12</v>
      </c>
      <c r="N5908" s="4">
        <f t="shared" si="1"/>
        <v>42181</v>
      </c>
      <c r="O5908" s="5" t="str">
        <f>IFERROR(__xludf.DUMMYFUNCTION("IF(REGEXMATCH(TRIM(I5908), ""^\d+\s*min""), ""Unclassified"", IF(I5908 = """", ""NR"", I5908))"),"TV-14")</f>
        <v>TV-14</v>
      </c>
      <c r="R5908" s="5" t="str">
        <f t="shared" si="2"/>
        <v>What Happened, Miss Simone?</v>
      </c>
      <c r="S5908" s="5" t="str">
        <f>IFERROR(__xludf.DUMMYFUNCTION("""COMPUTED_VALUE"""),"Rock On!!")</f>
        <v>Rock On!!</v>
      </c>
      <c r="V5908" s="5"/>
      <c r="Y5908" s="5" t="str">
        <f>IFERROR(__xludf.DUMMYFUNCTION("REGEXEXTRACT(J5908, ""^\d+"")"),"103")</f>
        <v>103</v>
      </c>
      <c r="Z5908" s="5" t="str">
        <f>IFERROR(__xludf.DUMMYFUNCTION("REGEXEXTRACT(J5908, ""[A-Za-z ]+$"")")," min")</f>
        <v> min</v>
      </c>
      <c r="AA5908" s="5" t="str">
        <f>IFERROR(__xludf.DUMMYFUNCTION("IF(REGEXMATCH(Z5908, ""Season""), ""TV Show"", ""Movie"")"),"Movie")</f>
        <v>Movie</v>
      </c>
    </row>
    <row r="5909">
      <c r="A5909" s="1" t="s">
        <v>29958</v>
      </c>
      <c r="B5909" s="1" t="s">
        <v>27</v>
      </c>
      <c r="C5909" s="1" t="s">
        <v>29959</v>
      </c>
      <c r="D5909" s="1" t="s">
        <v>10746</v>
      </c>
      <c r="E5909" s="1" t="s">
        <v>29960</v>
      </c>
      <c r="F5909" s="1" t="s">
        <v>30</v>
      </c>
      <c r="G5909" s="1" t="s">
        <v>29961</v>
      </c>
      <c r="H5909" s="1">
        <v>2015.0</v>
      </c>
      <c r="I5909" s="1" t="s">
        <v>42</v>
      </c>
      <c r="J5909" s="1" t="s">
        <v>665</v>
      </c>
      <c r="K5909" s="1" t="s">
        <v>5269</v>
      </c>
      <c r="L5909" s="1" t="s">
        <v>29962</v>
      </c>
      <c r="M5909" s="2" t="s">
        <v>12</v>
      </c>
      <c r="N5909" s="4">
        <f t="shared" si="1"/>
        <v>42178</v>
      </c>
      <c r="O5909" s="5" t="str">
        <f>IFERROR(__xludf.DUMMYFUNCTION("IF(REGEXMATCH(TRIM(I5909), ""^\d+\s*min""), ""Unclassified"", IF(I5909 = """", ""NR"", I5909))"),"TV-MA")</f>
        <v>TV-MA</v>
      </c>
      <c r="R5909" s="5" t="str">
        <f t="shared" si="2"/>
        <v>Advantageous</v>
      </c>
      <c r="S5909" s="5" t="str">
        <f>IFERROR(__xludf.DUMMYFUNCTION("""COMPUTED_VALUE"""),"Rock The Kasbah")</f>
        <v>Rock The Kasbah</v>
      </c>
      <c r="V5909" s="5"/>
      <c r="Y5909" s="5" t="str">
        <f>IFERROR(__xludf.DUMMYFUNCTION("REGEXEXTRACT(J5909, ""^\d+"")"),"92")</f>
        <v>92</v>
      </c>
      <c r="Z5909" s="5" t="str">
        <f>IFERROR(__xludf.DUMMYFUNCTION("REGEXEXTRACT(J5909, ""[A-Za-z ]+$"")")," min")</f>
        <v> min</v>
      </c>
      <c r="AA5909" s="5" t="str">
        <f>IFERROR(__xludf.DUMMYFUNCTION("IF(REGEXMATCH(Z5909, ""Season""), ""TV Show"", ""Movie"")"),"Movie")</f>
        <v>Movie</v>
      </c>
    </row>
    <row r="5910">
      <c r="A5910" s="1" t="s">
        <v>29963</v>
      </c>
      <c r="B5910" s="1" t="s">
        <v>37</v>
      </c>
      <c r="C5910" s="1" t="s">
        <v>29964</v>
      </c>
      <c r="E5910" s="1" t="s">
        <v>29965</v>
      </c>
      <c r="F5910" s="1" t="s">
        <v>96</v>
      </c>
      <c r="G5910" s="1" t="s">
        <v>29966</v>
      </c>
      <c r="H5910" s="1">
        <v>1992.0</v>
      </c>
      <c r="I5910" s="1" t="s">
        <v>206</v>
      </c>
      <c r="J5910" s="1" t="s">
        <v>2526</v>
      </c>
      <c r="K5910" s="1" t="s">
        <v>8845</v>
      </c>
      <c r="L5910" s="1" t="s">
        <v>29967</v>
      </c>
      <c r="M5910" s="2" t="s">
        <v>12</v>
      </c>
      <c r="N5910" s="4">
        <f t="shared" si="1"/>
        <v>42170</v>
      </c>
      <c r="O5910" s="5" t="str">
        <f>IFERROR(__xludf.DUMMYFUNCTION("IF(REGEXMATCH(TRIM(I5910), ""^\d+\s*min""), ""Unclassified"", IF(I5910 = """", ""NR"", I5910))"),"TV-Y")</f>
        <v>TV-Y</v>
      </c>
      <c r="R5910" s="5" t="str">
        <f t="shared" si="2"/>
        <v>Danger Mouse: Classic Collection</v>
      </c>
      <c r="S5910" s="5" t="str">
        <f>IFERROR(__xludf.DUMMYFUNCTION("""COMPUTED_VALUE"""),"Rocko'S Modern Life: Static Cling")</f>
        <v>Rocko'S Modern Life: Static Cling</v>
      </c>
      <c r="V5910" s="5"/>
      <c r="Y5910" s="5" t="str">
        <f>IFERROR(__xludf.DUMMYFUNCTION("REGEXEXTRACT(J5910, ""^\d+"")"),"10")</f>
        <v>10</v>
      </c>
      <c r="Z5910" s="5" t="str">
        <f>IFERROR(__xludf.DUMMYFUNCTION("REGEXEXTRACT(J5910, ""[A-Za-z ]+$"")")," Seasons")</f>
        <v> Seasons</v>
      </c>
      <c r="AA5910" s="5" t="str">
        <f>IFERROR(__xludf.DUMMYFUNCTION("IF(REGEXMATCH(Z5910, ""Season""), ""TV Show"", ""Movie"")"),"TV Show")</f>
        <v>TV Show</v>
      </c>
    </row>
    <row r="5911">
      <c r="A5911" s="1" t="s">
        <v>29968</v>
      </c>
      <c r="B5911" s="1" t="s">
        <v>27</v>
      </c>
      <c r="C5911" s="1" t="s">
        <v>29969</v>
      </c>
      <c r="D5911" s="1" t="s">
        <v>2817</v>
      </c>
      <c r="E5911" s="1" t="s">
        <v>29970</v>
      </c>
      <c r="F5911" s="1" t="s">
        <v>162</v>
      </c>
      <c r="G5911" s="1" t="s">
        <v>29971</v>
      </c>
      <c r="H5911" s="1">
        <v>2014.0</v>
      </c>
      <c r="I5911" s="1" t="s">
        <v>42</v>
      </c>
      <c r="J5911" s="1" t="s">
        <v>820</v>
      </c>
      <c r="K5911" s="1" t="s">
        <v>583</v>
      </c>
      <c r="L5911" s="1" t="s">
        <v>29972</v>
      </c>
      <c r="M5911" s="2" t="s">
        <v>12</v>
      </c>
      <c r="N5911" s="4">
        <f t="shared" si="1"/>
        <v>42156</v>
      </c>
      <c r="O5911" s="5" t="str">
        <f>IFERROR(__xludf.DUMMYFUNCTION("IF(REGEXMATCH(TRIM(I5911), ""^\d+\s*min""), ""Unclassified"", IF(I5911 = """", ""NR"", I5911))"),"TV-MA")</f>
        <v>TV-MA</v>
      </c>
      <c r="R5911" s="5" t="str">
        <f t="shared" si="2"/>
        <v>The Perfect Dictatorship</v>
      </c>
      <c r="S5911" s="5" t="str">
        <f>IFERROR(__xludf.DUMMYFUNCTION("""COMPUTED_VALUE"""),"Rocks")</f>
        <v>Rocks</v>
      </c>
      <c r="V5911" s="5"/>
      <c r="Y5911" s="5" t="str">
        <f>IFERROR(__xludf.DUMMYFUNCTION("REGEXEXTRACT(J5911, ""^\d+"")"),"143")</f>
        <v>143</v>
      </c>
      <c r="Z5911" s="5" t="str">
        <f>IFERROR(__xludf.DUMMYFUNCTION("REGEXEXTRACT(J5911, ""[A-Za-z ]+$"")")," min")</f>
        <v> min</v>
      </c>
      <c r="AA5911" s="5" t="str">
        <f>IFERROR(__xludf.DUMMYFUNCTION("IF(REGEXMATCH(Z5911, ""Season""), ""TV Show"", ""Movie"")"),"Movie")</f>
        <v>Movie</v>
      </c>
    </row>
    <row r="5912">
      <c r="A5912" s="1" t="s">
        <v>29973</v>
      </c>
      <c r="B5912" s="1" t="s">
        <v>27</v>
      </c>
      <c r="C5912" s="1" t="s">
        <v>29974</v>
      </c>
      <c r="D5912" s="1" t="s">
        <v>10938</v>
      </c>
      <c r="F5912" s="1" t="s">
        <v>30</v>
      </c>
      <c r="G5912" s="7">
        <v>42153.0</v>
      </c>
      <c r="H5912" s="1">
        <v>2015.0</v>
      </c>
      <c r="I5912" s="1" t="s">
        <v>42</v>
      </c>
      <c r="J5912" s="1" t="s">
        <v>490</v>
      </c>
      <c r="K5912" s="1" t="s">
        <v>34</v>
      </c>
      <c r="L5912" s="1" t="s">
        <v>29975</v>
      </c>
      <c r="M5912" s="2" t="s">
        <v>12</v>
      </c>
      <c r="N5912" s="4">
        <f t="shared" si="1"/>
        <v>42153</v>
      </c>
      <c r="O5912" s="5" t="str">
        <f>IFERROR(__xludf.DUMMYFUNCTION("IF(REGEXMATCH(TRIM(I5912), ""^\d+\s*min""), ""Unclassified"", IF(I5912 = """", ""NR"", I5912))"),"TV-MA")</f>
        <v>TV-MA</v>
      </c>
      <c r="R5912" s="5" t="str">
        <f t="shared" si="2"/>
        <v>Hot Girls Wanted</v>
      </c>
      <c r="S5912" s="5" t="str">
        <f>IFERROR(__xludf.DUMMYFUNCTION("""COMPUTED_VALUE"""),"Rocky")</f>
        <v>Rocky</v>
      </c>
      <c r="V5912" s="5"/>
      <c r="Y5912" s="5" t="str">
        <f>IFERROR(__xludf.DUMMYFUNCTION("REGEXEXTRACT(J5912, ""^\d+"")"),"83")</f>
        <v>83</v>
      </c>
      <c r="Z5912" s="5" t="str">
        <f>IFERROR(__xludf.DUMMYFUNCTION("REGEXEXTRACT(J5912, ""[A-Za-z ]+$"")")," min")</f>
        <v> min</v>
      </c>
      <c r="AA5912" s="5" t="str">
        <f>IFERROR(__xludf.DUMMYFUNCTION("IF(REGEXMATCH(Z5912, ""Season""), ""TV Show"", ""Movie"")"),"Movie")</f>
        <v>Movie</v>
      </c>
    </row>
    <row r="5913">
      <c r="A5913" s="1" t="s">
        <v>29976</v>
      </c>
      <c r="B5913" s="1" t="s">
        <v>27</v>
      </c>
      <c r="C5913" s="1" t="s">
        <v>29977</v>
      </c>
      <c r="D5913" s="1" t="s">
        <v>13344</v>
      </c>
      <c r="E5913" s="1" t="s">
        <v>28834</v>
      </c>
      <c r="F5913" s="1" t="s">
        <v>30</v>
      </c>
      <c r="G5913" s="7">
        <v>42146.0</v>
      </c>
      <c r="H5913" s="1">
        <v>2015.0</v>
      </c>
      <c r="I5913" s="1" t="s">
        <v>42</v>
      </c>
      <c r="J5913" s="1" t="s">
        <v>1737</v>
      </c>
      <c r="K5913" s="1" t="s">
        <v>1839</v>
      </c>
      <c r="L5913" s="1" t="s">
        <v>29978</v>
      </c>
      <c r="M5913" s="2" t="s">
        <v>12</v>
      </c>
      <c r="N5913" s="4">
        <f t="shared" si="1"/>
        <v>42146</v>
      </c>
      <c r="O5913" s="5" t="str">
        <f>IFERROR(__xludf.DUMMYFUNCTION("IF(REGEXMATCH(TRIM(I5913), ""^\d+\s*min""), ""Unclassified"", IF(I5913 = """", ""NR"", I5913))"),"TV-MA")</f>
        <v>TV-MA</v>
      </c>
      <c r="R5913" s="5" t="str">
        <f t="shared" si="2"/>
        <v>Jen Kirkman: I'M Gonna Die Alone (And I Feel Fine)</v>
      </c>
      <c r="S5913" s="5" t="str">
        <f>IFERROR(__xludf.DUMMYFUNCTION("""COMPUTED_VALUE"""),"Rocky Handsome")</f>
        <v>Rocky Handsome</v>
      </c>
      <c r="V5913" s="5"/>
      <c r="Y5913" s="5" t="str">
        <f>IFERROR(__xludf.DUMMYFUNCTION("REGEXEXTRACT(J5913, ""^\d+"")"),"78")</f>
        <v>78</v>
      </c>
      <c r="Z5913" s="5" t="str">
        <f>IFERROR(__xludf.DUMMYFUNCTION("REGEXEXTRACT(J5913, ""[A-Za-z ]+$"")")," min")</f>
        <v> min</v>
      </c>
      <c r="AA5913" s="5" t="str">
        <f>IFERROR(__xludf.DUMMYFUNCTION("IF(REGEXMATCH(Z5913, ""Season""), ""TV Show"", ""Movie"")"),"Movie")</f>
        <v>Movie</v>
      </c>
    </row>
    <row r="5914">
      <c r="A5914" s="1" t="s">
        <v>29979</v>
      </c>
      <c r="B5914" s="1" t="s">
        <v>27</v>
      </c>
      <c r="C5914" s="1" t="s">
        <v>29980</v>
      </c>
      <c r="D5914" s="1" t="s">
        <v>16039</v>
      </c>
      <c r="E5914" s="1" t="s">
        <v>29981</v>
      </c>
      <c r="F5914" s="1" t="s">
        <v>30</v>
      </c>
      <c r="G5914" s="7">
        <v>42146.0</v>
      </c>
      <c r="H5914" s="1">
        <v>2015.0</v>
      </c>
      <c r="I5914" s="1" t="s">
        <v>97</v>
      </c>
      <c r="J5914" s="1" t="s">
        <v>1608</v>
      </c>
      <c r="K5914" s="1" t="s">
        <v>700</v>
      </c>
      <c r="L5914" s="1" t="s">
        <v>29982</v>
      </c>
      <c r="M5914" s="2" t="s">
        <v>12</v>
      </c>
      <c r="N5914" s="4">
        <f t="shared" si="1"/>
        <v>42146</v>
      </c>
      <c r="O5914" s="5" t="str">
        <f>IFERROR(__xludf.DUMMYFUNCTION("IF(REGEXMATCH(TRIM(I5914), ""^\d+\s*min""), ""Unclassified"", IF(I5914 = """", ""NR"", I5914))"),"TV-14")</f>
        <v>TV-14</v>
      </c>
      <c r="R5914" s="5" t="str">
        <f t="shared" si="2"/>
        <v>The Other One: The Long Strange Trip Of Bob Weir</v>
      </c>
      <c r="S5914" s="5" t="str">
        <f>IFERROR(__xludf.DUMMYFUNCTION("""COMPUTED_VALUE"""),"Rocky Ii")</f>
        <v>Rocky Ii</v>
      </c>
      <c r="V5914" s="5"/>
      <c r="Y5914" s="5" t="str">
        <f>IFERROR(__xludf.DUMMYFUNCTION("REGEXEXTRACT(J5914, ""^\d+"")"),"84")</f>
        <v>84</v>
      </c>
      <c r="Z5914" s="5" t="str">
        <f>IFERROR(__xludf.DUMMYFUNCTION("REGEXEXTRACT(J5914, ""[A-Za-z ]+$"")")," min")</f>
        <v> min</v>
      </c>
      <c r="AA5914" s="5" t="str">
        <f>IFERROR(__xludf.DUMMYFUNCTION("IF(REGEXMATCH(Z5914, ""Season""), ""TV Show"", ""Movie"")"),"Movie")</f>
        <v>Movie</v>
      </c>
    </row>
    <row r="5915">
      <c r="A5915" s="1" t="s">
        <v>29983</v>
      </c>
      <c r="B5915" s="1" t="s">
        <v>27</v>
      </c>
      <c r="C5915" s="1" t="s">
        <v>29984</v>
      </c>
      <c r="D5915" s="1" t="s">
        <v>3397</v>
      </c>
      <c r="E5915" s="1" t="s">
        <v>15054</v>
      </c>
      <c r="F5915" s="1" t="s">
        <v>30</v>
      </c>
      <c r="G5915" s="1" t="s">
        <v>29985</v>
      </c>
      <c r="H5915" s="1">
        <v>2015.0</v>
      </c>
      <c r="I5915" s="1" t="s">
        <v>42</v>
      </c>
      <c r="J5915" s="1" t="s">
        <v>1608</v>
      </c>
      <c r="K5915" s="1" t="s">
        <v>1839</v>
      </c>
      <c r="L5915" s="1" t="s">
        <v>29986</v>
      </c>
      <c r="M5915" s="2" t="s">
        <v>12</v>
      </c>
      <c r="N5915" s="4">
        <f t="shared" si="1"/>
        <v>42111</v>
      </c>
      <c r="O5915" s="5" t="str">
        <f>IFERROR(__xludf.DUMMYFUNCTION("IF(REGEXMATCH(TRIM(I5915), ""^\d+\s*min""), ""Unclassified"", IF(I5915 = """", ""NR"", I5915))"),"TV-MA")</f>
        <v>TV-MA</v>
      </c>
      <c r="R5915" s="5" t="str">
        <f t="shared" si="2"/>
        <v>Chris D'Elia: Incorrigible</v>
      </c>
      <c r="S5915" s="5" t="str">
        <f>IFERROR(__xludf.DUMMYFUNCTION("""COMPUTED_VALUE"""),"Rocky Iii")</f>
        <v>Rocky Iii</v>
      </c>
      <c r="V5915" s="5"/>
      <c r="Y5915" s="5" t="str">
        <f>IFERROR(__xludf.DUMMYFUNCTION("REGEXEXTRACT(J5915, ""^\d+"")"),"84")</f>
        <v>84</v>
      </c>
      <c r="Z5915" s="5" t="str">
        <f>IFERROR(__xludf.DUMMYFUNCTION("REGEXEXTRACT(J5915, ""[A-Za-z ]+$"")")," min")</f>
        <v> min</v>
      </c>
      <c r="AA5915" s="5" t="str">
        <f>IFERROR(__xludf.DUMMYFUNCTION("IF(REGEXMATCH(Z5915, ""Season""), ""TV Show"", ""Movie"")"),"Movie")</f>
        <v>Movie</v>
      </c>
    </row>
    <row r="5916">
      <c r="A5916" s="1" t="s">
        <v>29987</v>
      </c>
      <c r="B5916" s="1" t="s">
        <v>37</v>
      </c>
      <c r="C5916" s="1" t="s">
        <v>29988</v>
      </c>
      <c r="F5916" s="1" t="s">
        <v>664</v>
      </c>
      <c r="G5916" s="1" t="s">
        <v>29989</v>
      </c>
      <c r="H5916" s="1">
        <v>2011.0</v>
      </c>
      <c r="I5916" s="1" t="s">
        <v>206</v>
      </c>
      <c r="J5916" s="1" t="s">
        <v>51</v>
      </c>
      <c r="K5916" s="1" t="s">
        <v>290</v>
      </c>
      <c r="L5916" s="1" t="s">
        <v>29990</v>
      </c>
      <c r="M5916" s="2" t="s">
        <v>12</v>
      </c>
      <c r="N5916" s="4">
        <f t="shared" si="1"/>
        <v>42078</v>
      </c>
      <c r="O5916" s="5" t="str">
        <f>IFERROR(__xludf.DUMMYFUNCTION("IF(REGEXMATCH(TRIM(I5916), ""^\d+\s*min""), ""Unclassified"", IF(I5916 = """", ""NR"", I5916))"),"TV-Y")</f>
        <v>TV-Y</v>
      </c>
      <c r="R5916" s="5" t="str">
        <f t="shared" si="2"/>
        <v>Oscar'S Oasis</v>
      </c>
      <c r="S5916" s="5" t="str">
        <f>IFERROR(__xludf.DUMMYFUNCTION("""COMPUTED_VALUE"""),"Rocky Iv")</f>
        <v>Rocky Iv</v>
      </c>
      <c r="V5916" s="5"/>
      <c r="Y5916" s="5" t="str">
        <f>IFERROR(__xludf.DUMMYFUNCTION("REGEXEXTRACT(J5916, ""^\d+"")"),"1")</f>
        <v>1</v>
      </c>
      <c r="Z5916" s="5" t="str">
        <f>IFERROR(__xludf.DUMMYFUNCTION("REGEXEXTRACT(J5916, ""[A-Za-z ]+$"")")," Season")</f>
        <v> Season</v>
      </c>
      <c r="AA5916" s="5" t="str">
        <f>IFERROR(__xludf.DUMMYFUNCTION("IF(REGEXMATCH(Z5916, ""Season""), ""TV Show"", ""Movie"")"),"TV Show")</f>
        <v>TV Show</v>
      </c>
    </row>
    <row r="5917">
      <c r="A5917" s="1" t="s">
        <v>29991</v>
      </c>
      <c r="B5917" s="1" t="s">
        <v>27</v>
      </c>
      <c r="C5917" s="1" t="s">
        <v>29992</v>
      </c>
      <c r="D5917" s="1" t="s">
        <v>2876</v>
      </c>
      <c r="E5917" s="1" t="s">
        <v>2876</v>
      </c>
      <c r="F5917" s="1" t="s">
        <v>30</v>
      </c>
      <c r="G5917" s="1" t="s">
        <v>29993</v>
      </c>
      <c r="H5917" s="1">
        <v>2015.0</v>
      </c>
      <c r="I5917" s="1" t="s">
        <v>42</v>
      </c>
      <c r="J5917" s="1" t="s">
        <v>4693</v>
      </c>
      <c r="K5917" s="1" t="s">
        <v>1839</v>
      </c>
      <c r="L5917" s="1" t="s">
        <v>29994</v>
      </c>
      <c r="M5917" s="2" t="s">
        <v>12</v>
      </c>
      <c r="N5917" s="4">
        <f t="shared" si="1"/>
        <v>42069</v>
      </c>
      <c r="O5917" s="5" t="str">
        <f>IFERROR(__xludf.DUMMYFUNCTION("IF(REGEXMATCH(TRIM(I5917), ""^\d+\s*min""), ""Unclassified"", IF(I5917 = """", ""NR"", I5917))"),"TV-MA")</f>
        <v>TV-MA</v>
      </c>
      <c r="R5917" s="5" t="str">
        <f t="shared" si="2"/>
        <v>Aziz Ansari Live At Madison Square Garden</v>
      </c>
      <c r="S5917" s="5" t="str">
        <f>IFERROR(__xludf.DUMMYFUNCTION("""COMPUTED_VALUE"""),"Rocky V")</f>
        <v>Rocky V</v>
      </c>
      <c r="V5917" s="5"/>
      <c r="Y5917" s="5" t="str">
        <f>IFERROR(__xludf.DUMMYFUNCTION("REGEXEXTRACT(J5917, ""^\d+"")"),"58")</f>
        <v>58</v>
      </c>
      <c r="Z5917" s="5" t="str">
        <f>IFERROR(__xludf.DUMMYFUNCTION("REGEXEXTRACT(J5917, ""[A-Za-z ]+$"")")," min")</f>
        <v> min</v>
      </c>
      <c r="AA5917" s="5" t="str">
        <f>IFERROR(__xludf.DUMMYFUNCTION("IF(REGEXMATCH(Z5917, ""Season""), ""TV Show"", ""Movie"")"),"Movie")</f>
        <v>Movie</v>
      </c>
    </row>
    <row r="5918">
      <c r="A5918" s="1" t="s">
        <v>29995</v>
      </c>
      <c r="B5918" s="1" t="s">
        <v>27</v>
      </c>
      <c r="C5918" s="1" t="s">
        <v>29996</v>
      </c>
      <c r="D5918" s="1" t="s">
        <v>6120</v>
      </c>
      <c r="E5918" s="1" t="s">
        <v>6120</v>
      </c>
      <c r="F5918" s="1" t="s">
        <v>30</v>
      </c>
      <c r="G5918" s="1" t="s">
        <v>29993</v>
      </c>
      <c r="H5918" s="1">
        <v>2015.0</v>
      </c>
      <c r="I5918" s="1" t="s">
        <v>42</v>
      </c>
      <c r="J5918" s="1" t="s">
        <v>1001</v>
      </c>
      <c r="K5918" s="1" t="s">
        <v>34</v>
      </c>
      <c r="L5918" s="1" t="s">
        <v>29997</v>
      </c>
      <c r="M5918" s="2" t="s">
        <v>12</v>
      </c>
      <c r="N5918" s="4">
        <f t="shared" si="1"/>
        <v>42069</v>
      </c>
      <c r="O5918" s="5" t="str">
        <f>IFERROR(__xludf.DUMMYFUNCTION("IF(REGEXMATCH(TRIM(I5918), ""^\d+\s*min""), ""Unclassified"", IF(I5918 = """", ""NR"", I5918))"),"TV-MA")</f>
        <v>TV-MA</v>
      </c>
      <c r="R5918" s="5" t="str">
        <f t="shared" si="2"/>
        <v>My Own Man</v>
      </c>
      <c r="S5918" s="5" t="str">
        <f>IFERROR(__xludf.DUMMYFUNCTION("""COMPUTED_VALUE"""),"Rodney Carrington: Here Comes The Truth")</f>
        <v>Rodney Carrington: Here Comes The Truth</v>
      </c>
      <c r="V5918" s="5"/>
      <c r="Y5918" s="5" t="str">
        <f>IFERROR(__xludf.DUMMYFUNCTION("REGEXEXTRACT(J5918, ""^\d+"")"),"82")</f>
        <v>82</v>
      </c>
      <c r="Z5918" s="5" t="str">
        <f>IFERROR(__xludf.DUMMYFUNCTION("REGEXEXTRACT(J5918, ""[A-Za-z ]+$"")")," min")</f>
        <v> min</v>
      </c>
      <c r="AA5918" s="5" t="str">
        <f>IFERROR(__xludf.DUMMYFUNCTION("IF(REGEXMATCH(Z5918, ""Season""), ""TV Show"", ""Movie"")"),"Movie")</f>
        <v>Movie</v>
      </c>
    </row>
    <row r="5919">
      <c r="A5919" s="1" t="s">
        <v>29998</v>
      </c>
      <c r="B5919" s="1" t="s">
        <v>27</v>
      </c>
      <c r="C5919" s="1" t="s">
        <v>29999</v>
      </c>
      <c r="D5919" s="1" t="s">
        <v>11227</v>
      </c>
      <c r="E5919" s="1" t="s">
        <v>29951</v>
      </c>
      <c r="F5919" s="1" t="s">
        <v>30</v>
      </c>
      <c r="G5919" s="1" t="s">
        <v>30000</v>
      </c>
      <c r="H5919" s="1">
        <v>2015.0</v>
      </c>
      <c r="I5919" s="1" t="s">
        <v>42</v>
      </c>
      <c r="J5919" s="1" t="s">
        <v>490</v>
      </c>
      <c r="K5919" s="1" t="s">
        <v>1839</v>
      </c>
      <c r="L5919" s="1" t="s">
        <v>30001</v>
      </c>
      <c r="M5919" s="2" t="s">
        <v>12</v>
      </c>
      <c r="N5919" s="4">
        <f t="shared" si="1"/>
        <v>42062</v>
      </c>
      <c r="O5919" s="5" t="str">
        <f>IFERROR(__xludf.DUMMYFUNCTION("IF(REGEXMATCH(TRIM(I5919), ""^\d+\s*min""), ""Unclassified"", IF(I5919 = """", ""NR"", I5919))"),"TV-MA")</f>
        <v>TV-MA</v>
      </c>
      <c r="R5919" s="5" t="str">
        <f t="shared" si="2"/>
        <v>Ralphie May: Unruly</v>
      </c>
      <c r="S5919" s="5" t="str">
        <f>IFERROR(__xludf.DUMMYFUNCTION("""COMPUTED_VALUE"""),"Rodney King")</f>
        <v>Rodney King</v>
      </c>
      <c r="V5919" s="5"/>
      <c r="Y5919" s="5" t="str">
        <f>IFERROR(__xludf.DUMMYFUNCTION("REGEXEXTRACT(J5919, ""^\d+"")"),"83")</f>
        <v>83</v>
      </c>
      <c r="Z5919" s="5" t="str">
        <f>IFERROR(__xludf.DUMMYFUNCTION("REGEXEXTRACT(J5919, ""[A-Za-z ]+$"")")," min")</f>
        <v> min</v>
      </c>
      <c r="AA5919" s="5" t="str">
        <f>IFERROR(__xludf.DUMMYFUNCTION("IF(REGEXMATCH(Z5919, ""Season""), ""TV Show"", ""Movie"")"),"Movie")</f>
        <v>Movie</v>
      </c>
    </row>
    <row r="5920">
      <c r="A5920" s="1" t="s">
        <v>30002</v>
      </c>
      <c r="B5920" s="1" t="s">
        <v>27</v>
      </c>
      <c r="C5920" s="1" t="s">
        <v>30003</v>
      </c>
      <c r="F5920" s="1" t="s">
        <v>30</v>
      </c>
      <c r="G5920" s="1" t="s">
        <v>30004</v>
      </c>
      <c r="H5920" s="1">
        <v>2015.0</v>
      </c>
      <c r="I5920" s="1" t="s">
        <v>97</v>
      </c>
      <c r="J5920" s="1" t="s">
        <v>5170</v>
      </c>
      <c r="K5920" s="1" t="s">
        <v>34</v>
      </c>
      <c r="L5920" s="1" t="s">
        <v>30005</v>
      </c>
      <c r="M5920" s="2" t="s">
        <v>12</v>
      </c>
      <c r="N5920" s="4">
        <f t="shared" si="1"/>
        <v>42048</v>
      </c>
      <c r="O5920" s="5" t="str">
        <f>IFERROR(__xludf.DUMMYFUNCTION("IF(REGEXMATCH(TRIM(I5920), ""^\d+\s*min""), ""Unclassified"", IF(I5920 = """", ""NR"", I5920))"),"TV-14")</f>
        <v>TV-14</v>
      </c>
      <c r="R5920" s="5" t="str">
        <f t="shared" si="2"/>
        <v>Virunga: Gorillas In Peril</v>
      </c>
      <c r="S5920" s="5" t="str">
        <f>IFERROR(__xludf.DUMMYFUNCTION("""COMPUTED_VALUE"""),"Roger Corman'S Death Race 2050")</f>
        <v>Roger Corman'S Death Race 2050</v>
      </c>
      <c r="V5920" s="5"/>
      <c r="Y5920" s="5" t="str">
        <f>IFERROR(__xludf.DUMMYFUNCTION("REGEXEXTRACT(J5920, ""^\d+"")"),"29")</f>
        <v>29</v>
      </c>
      <c r="Z5920" s="5" t="str">
        <f>IFERROR(__xludf.DUMMYFUNCTION("REGEXEXTRACT(J5920, ""[A-Za-z ]+$"")")," min")</f>
        <v> min</v>
      </c>
      <c r="AA5920" s="5" t="str">
        <f>IFERROR(__xludf.DUMMYFUNCTION("IF(REGEXMATCH(Z5920, ""Season""), ""TV Show"", ""Movie"")"),"Movie")</f>
        <v>Movie</v>
      </c>
    </row>
    <row r="5921">
      <c r="A5921" s="1" t="s">
        <v>30006</v>
      </c>
      <c r="B5921" s="1" t="s">
        <v>27</v>
      </c>
      <c r="C5921" s="1" t="s">
        <v>30007</v>
      </c>
      <c r="E5921" s="1" t="s">
        <v>17976</v>
      </c>
      <c r="G5921" s="1" t="s">
        <v>30008</v>
      </c>
      <c r="H5921" s="1">
        <v>2015.0</v>
      </c>
      <c r="I5921" s="1" t="s">
        <v>42</v>
      </c>
      <c r="J5921" s="1" t="s">
        <v>4699</v>
      </c>
      <c r="K5921" s="1" t="s">
        <v>1839</v>
      </c>
      <c r="L5921" s="1" t="s">
        <v>30009</v>
      </c>
      <c r="M5921" s="2" t="s">
        <v>12</v>
      </c>
      <c r="N5921" s="4">
        <f t="shared" si="1"/>
        <v>42027</v>
      </c>
      <c r="O5921" s="5" t="str">
        <f>IFERROR(__xludf.DUMMYFUNCTION("IF(REGEXMATCH(TRIM(I5921), ""^\d+\s*min""), ""Unclassified"", IF(I5921 = """", ""NR"", I5921))"),"TV-MA")</f>
        <v>TV-MA</v>
      </c>
      <c r="R5921" s="5" t="str">
        <f t="shared" si="2"/>
        <v>Iliza Shlesinger: Freezing Hot</v>
      </c>
      <c r="S5921" s="5" t="str">
        <f>IFERROR(__xludf.DUMMYFUNCTION("""COMPUTED_VALUE"""),"Rogue City")</f>
        <v>Rogue City</v>
      </c>
      <c r="V5921" s="5"/>
      <c r="Y5921" s="5" t="str">
        <f>IFERROR(__xludf.DUMMYFUNCTION("REGEXEXTRACT(J5921, ""^\d+"")"),"72")</f>
        <v>72</v>
      </c>
      <c r="Z5921" s="5" t="str">
        <f>IFERROR(__xludf.DUMMYFUNCTION("REGEXEXTRACT(J5921, ""[A-Za-z ]+$"")")," min")</f>
        <v> min</v>
      </c>
      <c r="AA5921" s="5" t="str">
        <f>IFERROR(__xludf.DUMMYFUNCTION("IF(REGEXMATCH(Z5921, ""Season""), ""TV Show"", ""Movie"")"),"Movie")</f>
        <v>Movie</v>
      </c>
    </row>
    <row r="5922">
      <c r="A5922" s="1" t="s">
        <v>30010</v>
      </c>
      <c r="B5922" s="1" t="s">
        <v>27</v>
      </c>
      <c r="C5922" s="1" t="s">
        <v>30011</v>
      </c>
      <c r="E5922" s="1" t="s">
        <v>30012</v>
      </c>
      <c r="F5922" s="1" t="s">
        <v>30</v>
      </c>
      <c r="G5922" s="1" t="s">
        <v>30013</v>
      </c>
      <c r="H5922" s="1">
        <v>2014.0</v>
      </c>
      <c r="I5922" s="1" t="s">
        <v>42</v>
      </c>
      <c r="J5922" s="1" t="s">
        <v>9287</v>
      </c>
      <c r="K5922" s="1" t="s">
        <v>2032</v>
      </c>
      <c r="L5922" s="1" t="s">
        <v>30014</v>
      </c>
      <c r="M5922" s="2" t="s">
        <v>12</v>
      </c>
      <c r="N5922" s="4">
        <f t="shared" si="1"/>
        <v>41992</v>
      </c>
      <c r="O5922" s="5" t="str">
        <f>IFERROR(__xludf.DUMMYFUNCTION("IF(REGEXMATCH(TRIM(I5922), ""^\d+\s*min""), ""Unclassified"", IF(I5922 = """", ""NR"", I5922))"),"TV-MA")</f>
        <v>TV-MA</v>
      </c>
      <c r="R5922" s="5" t="str">
        <f t="shared" si="2"/>
        <v>Bojack Horseman Christmas Special: Sabrina'S Christmas Wish</v>
      </c>
      <c r="S5922" s="5" t="str">
        <f>IFERROR(__xludf.DUMMYFUNCTION("""COMPUTED_VALUE"""),"Rogue Warfare")</f>
        <v>Rogue Warfare</v>
      </c>
      <c r="V5922" s="5"/>
      <c r="Y5922" s="5" t="str">
        <f>IFERROR(__xludf.DUMMYFUNCTION("REGEXEXTRACT(J5922, ""^\d+"")"),"26")</f>
        <v>26</v>
      </c>
      <c r="Z5922" s="5" t="str">
        <f>IFERROR(__xludf.DUMMYFUNCTION("REGEXEXTRACT(J5922, ""[A-Za-z ]+$"")")," min")</f>
        <v> min</v>
      </c>
      <c r="AA5922" s="5" t="str">
        <f>IFERROR(__xludf.DUMMYFUNCTION("IF(REGEXMATCH(Z5922, ""Season""), ""TV Show"", ""Movie"")"),"Movie")</f>
        <v>Movie</v>
      </c>
    </row>
    <row r="5923">
      <c r="A5923" s="1" t="s">
        <v>30015</v>
      </c>
      <c r="B5923" s="1" t="s">
        <v>27</v>
      </c>
      <c r="C5923" s="1" t="s">
        <v>30016</v>
      </c>
      <c r="D5923" s="1" t="s">
        <v>10401</v>
      </c>
      <c r="E5923" s="1" t="s">
        <v>19306</v>
      </c>
      <c r="F5923" s="1" t="s">
        <v>30</v>
      </c>
      <c r="G5923" s="1" t="s">
        <v>30017</v>
      </c>
      <c r="H5923" s="1">
        <v>2014.0</v>
      </c>
      <c r="I5923" s="1" t="s">
        <v>42</v>
      </c>
      <c r="J5923" s="1" t="s">
        <v>2452</v>
      </c>
      <c r="K5923" s="1" t="s">
        <v>1839</v>
      </c>
      <c r="L5923" s="1" t="s">
        <v>30018</v>
      </c>
      <c r="M5923" s="2" t="s">
        <v>12</v>
      </c>
      <c r="N5923" s="4">
        <f t="shared" si="1"/>
        <v>41978</v>
      </c>
      <c r="O5923" s="5" t="str">
        <f>IFERROR(__xludf.DUMMYFUNCTION("IF(REGEXMATCH(TRIM(I5923), ""^\d+\s*min""), ""Unclassified"", IF(I5923 = """", ""NR"", I5923))"),"TV-MA")</f>
        <v>TV-MA</v>
      </c>
      <c r="R5923" s="5" t="str">
        <f t="shared" si="2"/>
        <v>Bill Burr: I'M Sorry You Feel That Way</v>
      </c>
      <c r="S5923" s="5" t="str">
        <f>IFERROR(__xludf.DUMMYFUNCTION("""COMPUTED_VALUE"""),"Rogue Warfare: Death Of A Nation")</f>
        <v>Rogue Warfare: Death Of A Nation</v>
      </c>
      <c r="V5923" s="5"/>
      <c r="Y5923" s="5" t="str">
        <f>IFERROR(__xludf.DUMMYFUNCTION("REGEXEXTRACT(J5923, ""^\d+"")"),"81")</f>
        <v>81</v>
      </c>
      <c r="Z5923" s="5" t="str">
        <f>IFERROR(__xludf.DUMMYFUNCTION("REGEXEXTRACT(J5923, ""[A-Za-z ]+$"")")," min")</f>
        <v> min</v>
      </c>
      <c r="AA5923" s="5" t="str">
        <f>IFERROR(__xludf.DUMMYFUNCTION("IF(REGEXMATCH(Z5923, ""Season""), ""TV Show"", ""Movie"")"),"Movie")</f>
        <v>Movie</v>
      </c>
    </row>
    <row r="5924">
      <c r="A5924" s="1" t="s">
        <v>30019</v>
      </c>
      <c r="B5924" s="1" t="s">
        <v>37</v>
      </c>
      <c r="C5924" s="1" t="s">
        <v>30020</v>
      </c>
      <c r="E5924" s="1" t="s">
        <v>30021</v>
      </c>
      <c r="F5924" s="1" t="s">
        <v>30022</v>
      </c>
      <c r="G5924" s="1" t="s">
        <v>30023</v>
      </c>
      <c r="H5924" s="1">
        <v>2014.0</v>
      </c>
      <c r="I5924" s="1" t="s">
        <v>42</v>
      </c>
      <c r="J5924" s="1" t="s">
        <v>276</v>
      </c>
      <c r="K5924" s="1" t="s">
        <v>605</v>
      </c>
      <c r="L5924" s="1" t="s">
        <v>30024</v>
      </c>
      <c r="M5924" s="2" t="s">
        <v>12</v>
      </c>
      <c r="N5924" s="4">
        <f t="shared" si="1"/>
        <v>41964</v>
      </c>
      <c r="O5924" s="5" t="str">
        <f>IFERROR(__xludf.DUMMYFUNCTION("IF(REGEXMATCH(TRIM(I5924), ""^\d+\s*min""), ""Unclassified"", IF(I5924 = """", ""NR"", I5924))"),"TV-MA")</f>
        <v>TV-MA</v>
      </c>
      <c r="R5924" s="5" t="str">
        <f t="shared" si="2"/>
        <v>Lilyhammer</v>
      </c>
      <c r="S5924" s="5" t="str">
        <f>IFERROR(__xludf.DUMMYFUNCTION("""COMPUTED_VALUE"""),"Rogue Warfare: The Hunt")</f>
        <v>Rogue Warfare: The Hunt</v>
      </c>
      <c r="V5924" s="5"/>
      <c r="Y5924" s="5" t="str">
        <f>IFERROR(__xludf.DUMMYFUNCTION("REGEXEXTRACT(J5924, ""^\d+"")"),"3")</f>
        <v>3</v>
      </c>
      <c r="Z5924" s="5" t="str">
        <f>IFERROR(__xludf.DUMMYFUNCTION("REGEXEXTRACT(J5924, ""[A-Za-z ]+$"")")," Seasons")</f>
        <v> Seasons</v>
      </c>
      <c r="AA5924" s="5" t="str">
        <f>IFERROR(__xludf.DUMMYFUNCTION("IF(REGEXMATCH(Z5924, ""Season""), ""TV Show"", ""Movie"")"),"TV Show")</f>
        <v>TV Show</v>
      </c>
    </row>
    <row r="5925">
      <c r="A5925" s="1" t="s">
        <v>30025</v>
      </c>
      <c r="B5925" s="1" t="s">
        <v>37</v>
      </c>
      <c r="C5925" s="1" t="s">
        <v>30026</v>
      </c>
      <c r="E5925" s="1" t="s">
        <v>30027</v>
      </c>
      <c r="F5925" s="1" t="s">
        <v>1106</v>
      </c>
      <c r="G5925" s="1" t="s">
        <v>30028</v>
      </c>
      <c r="H5925" s="1">
        <v>1998.0</v>
      </c>
      <c r="I5925" s="1" t="s">
        <v>506</v>
      </c>
      <c r="J5925" s="1" t="s">
        <v>189</v>
      </c>
      <c r="K5925" s="1" t="s">
        <v>8248</v>
      </c>
      <c r="L5925" s="1" t="s">
        <v>30029</v>
      </c>
      <c r="M5925" s="2" t="s">
        <v>12</v>
      </c>
      <c r="N5925" s="4">
        <f t="shared" si="1"/>
        <v>41962</v>
      </c>
      <c r="O5925" s="5" t="str">
        <f>IFERROR(__xludf.DUMMYFUNCTION("IF(REGEXMATCH(TRIM(I5925), ""^\d+\s*min""), ""Unclassified"", IF(I5925 = """", ""NR"", I5925))"),"TV-G")</f>
        <v>TV-G</v>
      </c>
      <c r="R5925" s="5" t="str">
        <f t="shared" si="2"/>
        <v>Goosebumps</v>
      </c>
      <c r="S5925" s="5" t="str">
        <f>IFERROR(__xludf.DUMMYFUNCTION("""COMPUTED_VALUE"""),"Roh'S Beauty")</f>
        <v>Roh'S Beauty</v>
      </c>
      <c r="V5925" s="5"/>
      <c r="Y5925" s="5" t="str">
        <f>IFERROR(__xludf.DUMMYFUNCTION("REGEXEXTRACT(J5925, ""^\d+"")"),"5")</f>
        <v>5</v>
      </c>
      <c r="Z5925" s="5" t="str">
        <f>IFERROR(__xludf.DUMMYFUNCTION("REGEXEXTRACT(J5925, ""[A-Za-z ]+$"")")," Seasons")</f>
        <v> Seasons</v>
      </c>
      <c r="AA5925" s="5" t="str">
        <f>IFERROR(__xludf.DUMMYFUNCTION("IF(REGEXMATCH(Z5925, ""Season""), ""TV Show"", ""Movie"")"),"TV Show")</f>
        <v>TV Show</v>
      </c>
    </row>
    <row r="5926">
      <c r="A5926" s="1" t="s">
        <v>30030</v>
      </c>
      <c r="B5926" s="1" t="s">
        <v>27</v>
      </c>
      <c r="C5926" s="1" t="s">
        <v>30031</v>
      </c>
      <c r="D5926" s="1" t="s">
        <v>13344</v>
      </c>
      <c r="E5926" s="1" t="s">
        <v>30032</v>
      </c>
      <c r="F5926" s="1" t="s">
        <v>30</v>
      </c>
      <c r="G5926" s="1" t="s">
        <v>30033</v>
      </c>
      <c r="H5926" s="1">
        <v>2014.0</v>
      </c>
      <c r="I5926" s="1" t="s">
        <v>42</v>
      </c>
      <c r="J5926" s="1" t="s">
        <v>6281</v>
      </c>
      <c r="K5926" s="1" t="s">
        <v>1839</v>
      </c>
      <c r="L5926" s="1" t="s">
        <v>30034</v>
      </c>
      <c r="M5926" s="2" t="s">
        <v>12</v>
      </c>
      <c r="N5926" s="4">
        <f t="shared" si="1"/>
        <v>41957</v>
      </c>
      <c r="O5926" s="5" t="str">
        <f>IFERROR(__xludf.DUMMYFUNCTION("IF(REGEXMATCH(TRIM(I5926), ""^\d+\s*min""), ""Unclassified"", IF(I5926 = """", ""NR"", I5926))"),"TV-MA")</f>
        <v>TV-MA</v>
      </c>
      <c r="R5926" s="5" t="str">
        <f t="shared" si="2"/>
        <v>Chelsea Peretti: One Of The Greats</v>
      </c>
      <c r="S5926" s="5" t="str">
        <f>IFERROR(__xludf.DUMMYFUNCTION("""COMPUTED_VALUE"""),"Roll Red Roll")</f>
        <v>Roll Red Roll</v>
      </c>
      <c r="V5926" s="5"/>
      <c r="Y5926" s="5" t="str">
        <f>IFERROR(__xludf.DUMMYFUNCTION("REGEXEXTRACT(J5926, ""^\d+"")"),"75")</f>
        <v>75</v>
      </c>
      <c r="Z5926" s="5" t="str">
        <f>IFERROR(__xludf.DUMMYFUNCTION("REGEXEXTRACT(J5926, ""[A-Za-z ]+$"")")," min")</f>
        <v> min</v>
      </c>
      <c r="AA5926" s="5" t="str">
        <f>IFERROR(__xludf.DUMMYFUNCTION("IF(REGEXMATCH(Z5926, ""Season""), ""TV Show"", ""Movie"")"),"Movie")</f>
        <v>Movie</v>
      </c>
    </row>
    <row r="5927">
      <c r="A5927" s="1" t="s">
        <v>30035</v>
      </c>
      <c r="B5927" s="1" t="s">
        <v>27</v>
      </c>
      <c r="C5927" s="1" t="s">
        <v>30036</v>
      </c>
      <c r="D5927" s="1" t="s">
        <v>19312</v>
      </c>
      <c r="F5927" s="1" t="s">
        <v>7057</v>
      </c>
      <c r="G5927" s="1" t="s">
        <v>30037</v>
      </c>
      <c r="H5927" s="1">
        <v>2014.0</v>
      </c>
      <c r="I5927" s="1" t="s">
        <v>42</v>
      </c>
      <c r="J5927" s="1" t="s">
        <v>433</v>
      </c>
      <c r="K5927" s="1" t="s">
        <v>156</v>
      </c>
      <c r="L5927" s="1" t="s">
        <v>30038</v>
      </c>
      <c r="M5927" s="2" t="s">
        <v>12</v>
      </c>
      <c r="N5927" s="4">
        <f t="shared" si="1"/>
        <v>41950</v>
      </c>
      <c r="O5927" s="5" t="str">
        <f>IFERROR(__xludf.DUMMYFUNCTION("IF(REGEXMATCH(TRIM(I5927), ""^\d+\s*min""), ""Unclassified"", IF(I5927 = """", ""NR"", I5927))"),"TV-MA")</f>
        <v>TV-MA</v>
      </c>
      <c r="R5927" s="5" t="str">
        <f t="shared" si="2"/>
        <v>Virunga</v>
      </c>
      <c r="S5927" s="5" t="str">
        <f>IFERROR(__xludf.DUMMYFUNCTION("""COMPUTED_VALUE"""),"Roll With Me")</f>
        <v>Roll With Me</v>
      </c>
      <c r="V5927" s="5"/>
      <c r="Y5927" s="5" t="str">
        <f>IFERROR(__xludf.DUMMYFUNCTION("REGEXEXTRACT(J5927, ""^\d+"")"),"100")</f>
        <v>100</v>
      </c>
      <c r="Z5927" s="5" t="str">
        <f>IFERROR(__xludf.DUMMYFUNCTION("REGEXEXTRACT(J5927, ""[A-Za-z ]+$"")")," min")</f>
        <v> min</v>
      </c>
      <c r="AA5927" s="5" t="str">
        <f>IFERROR(__xludf.DUMMYFUNCTION("IF(REGEXMATCH(Z5927, ""Season""), ""TV Show"", ""Movie"")"),"Movie")</f>
        <v>Movie</v>
      </c>
    </row>
    <row r="5928">
      <c r="A5928" s="1" t="s">
        <v>30039</v>
      </c>
      <c r="B5928" s="1" t="s">
        <v>27</v>
      </c>
      <c r="C5928" s="1" t="s">
        <v>30040</v>
      </c>
      <c r="D5928" s="1" t="s">
        <v>12548</v>
      </c>
      <c r="F5928" s="1" t="s">
        <v>30</v>
      </c>
      <c r="G5928" s="1" t="s">
        <v>30041</v>
      </c>
      <c r="H5928" s="1">
        <v>2014.0</v>
      </c>
      <c r="I5928" s="1" t="s">
        <v>42</v>
      </c>
      <c r="J5928" s="1" t="s">
        <v>33</v>
      </c>
      <c r="K5928" s="1" t="s">
        <v>34</v>
      </c>
      <c r="L5928" s="1" t="s">
        <v>30042</v>
      </c>
      <c r="M5928" s="2" t="s">
        <v>12</v>
      </c>
      <c r="N5928" s="4">
        <f t="shared" si="1"/>
        <v>41936</v>
      </c>
      <c r="O5928" s="5" t="str">
        <f>IFERROR(__xludf.DUMMYFUNCTION("IF(REGEXMATCH(TRIM(I5928), ""^\d+\s*min""), ""Unclassified"", IF(I5928 = """", ""NR"", I5928))"),"TV-MA")</f>
        <v>TV-MA</v>
      </c>
      <c r="R5928" s="5" t="str">
        <f t="shared" si="2"/>
        <v>E-Team</v>
      </c>
      <c r="S5928" s="5" t="str">
        <f>IFERROR(__xludf.DUMMYFUNCTION("""COMPUTED_VALUE"""),"Rolling Papers")</f>
        <v>Rolling Papers</v>
      </c>
      <c r="V5928" s="5"/>
      <c r="Y5928" s="5" t="str">
        <f>IFERROR(__xludf.DUMMYFUNCTION("REGEXEXTRACT(J5928, ""^\d+"")"),"90")</f>
        <v>90</v>
      </c>
      <c r="Z5928" s="5" t="str">
        <f>IFERROR(__xludf.DUMMYFUNCTION("REGEXEXTRACT(J5928, ""[A-Za-z ]+$"")")," min")</f>
        <v> min</v>
      </c>
      <c r="AA5928" s="5" t="str">
        <f>IFERROR(__xludf.DUMMYFUNCTION("IF(REGEXMATCH(Z5928, ""Season""), ""TV Show"", ""Movie"")"),"Movie")</f>
        <v>Movie</v>
      </c>
    </row>
    <row r="5929">
      <c r="A5929" s="1" t="s">
        <v>30043</v>
      </c>
      <c r="B5929" s="1" t="s">
        <v>27</v>
      </c>
      <c r="C5929" s="1" t="s">
        <v>30044</v>
      </c>
      <c r="D5929" s="1" t="s">
        <v>23718</v>
      </c>
      <c r="E5929" s="1" t="s">
        <v>23718</v>
      </c>
      <c r="F5929" s="1" t="s">
        <v>30</v>
      </c>
      <c r="G5929" s="1" t="s">
        <v>30045</v>
      </c>
      <c r="H5929" s="1">
        <v>2014.0</v>
      </c>
      <c r="I5929" s="1" t="s">
        <v>42</v>
      </c>
      <c r="J5929" s="1" t="s">
        <v>2626</v>
      </c>
      <c r="K5929" s="1" t="s">
        <v>1839</v>
      </c>
      <c r="L5929" s="1" t="s">
        <v>30046</v>
      </c>
      <c r="M5929" s="2" t="s">
        <v>12</v>
      </c>
      <c r="N5929" s="4">
        <f t="shared" si="1"/>
        <v>41933</v>
      </c>
      <c r="O5929" s="5" t="str">
        <f>IFERROR(__xludf.DUMMYFUNCTION("IF(REGEXMATCH(TRIM(I5929), ""^\d+\s*min""), ""Unclassified"", IF(I5929 = """", ""NR"", I5929))"),"TV-MA")</f>
        <v>TV-MA</v>
      </c>
      <c r="R5929" s="5" t="str">
        <f t="shared" si="2"/>
        <v>Wyatt Cenac: Brooklyn</v>
      </c>
      <c r="S5929" s="5" t="str">
        <f>IFERROR(__xludf.DUMMYFUNCTION("""COMPUTED_VALUE"""),"Rolling Thunder Revue: A Bob Dylan Story By Martin Scorsese")</f>
        <v>Rolling Thunder Revue: A Bob Dylan Story By Martin Scorsese</v>
      </c>
      <c r="V5929" s="5"/>
      <c r="Y5929" s="5" t="str">
        <f>IFERROR(__xludf.DUMMYFUNCTION("REGEXEXTRACT(J5929, ""^\d+"")"),"68")</f>
        <v>68</v>
      </c>
      <c r="Z5929" s="5" t="str">
        <f>IFERROR(__xludf.DUMMYFUNCTION("REGEXEXTRACT(J5929, ""[A-Za-z ]+$"")")," min")</f>
        <v> min</v>
      </c>
      <c r="AA5929" s="5" t="str">
        <f>IFERROR(__xludf.DUMMYFUNCTION("IF(REGEXMATCH(Z5929, ""Season""), ""TV Show"", ""Movie"")"),"Movie")</f>
        <v>Movie</v>
      </c>
    </row>
    <row r="5930">
      <c r="A5930" s="1" t="s">
        <v>30047</v>
      </c>
      <c r="B5930" s="1" t="s">
        <v>27</v>
      </c>
      <c r="C5930" s="1" t="s">
        <v>30048</v>
      </c>
      <c r="D5930" s="1" t="s">
        <v>10114</v>
      </c>
      <c r="E5930" s="1" t="s">
        <v>19258</v>
      </c>
      <c r="F5930" s="1" t="s">
        <v>30</v>
      </c>
      <c r="G5930" s="1" t="s">
        <v>30049</v>
      </c>
      <c r="H5930" s="1">
        <v>2014.0</v>
      </c>
      <c r="I5930" s="1" t="s">
        <v>42</v>
      </c>
      <c r="J5930" s="1" t="s">
        <v>5650</v>
      </c>
      <c r="K5930" s="1" t="s">
        <v>1839</v>
      </c>
      <c r="L5930" s="1" t="s">
        <v>30050</v>
      </c>
      <c r="M5930" s="2" t="s">
        <v>12</v>
      </c>
      <c r="N5930" s="4">
        <f t="shared" si="1"/>
        <v>41922</v>
      </c>
      <c r="O5930" s="5" t="str">
        <f>IFERROR(__xludf.DUMMYFUNCTION("IF(REGEXMATCH(TRIM(I5930), ""^\d+\s*min""), ""Unclassified"", IF(I5930 = """", ""NR"", I5930))"),"TV-MA")</f>
        <v>TV-MA</v>
      </c>
      <c r="R5930" s="5" t="str">
        <f t="shared" si="2"/>
        <v>Chelsea Handler: Uganda Be Kidding Me Live</v>
      </c>
      <c r="S5930" s="5" t="str">
        <f>IFERROR(__xludf.DUMMYFUNCTION("""COMPUTED_VALUE"""),"Roma")</f>
        <v>Roma</v>
      </c>
      <c r="V5930" s="5"/>
      <c r="Y5930" s="5" t="str">
        <f>IFERROR(__xludf.DUMMYFUNCTION("REGEXEXTRACT(J5930, ""^\d+"")"),"71")</f>
        <v>71</v>
      </c>
      <c r="Z5930" s="5" t="str">
        <f>IFERROR(__xludf.DUMMYFUNCTION("REGEXEXTRACT(J5930, ""[A-Za-z ]+$"")")," min")</f>
        <v> min</v>
      </c>
      <c r="AA5930" s="5" t="str">
        <f>IFERROR(__xludf.DUMMYFUNCTION("IF(REGEXMATCH(Z5930, ""Season""), ""TV Show"", ""Movie"")"),"Movie")</f>
        <v>Movie</v>
      </c>
    </row>
    <row r="5931">
      <c r="A5931" s="1" t="s">
        <v>30051</v>
      </c>
      <c r="B5931" s="1" t="s">
        <v>27</v>
      </c>
      <c r="C5931" s="1" t="s">
        <v>30052</v>
      </c>
      <c r="D5931" s="1" t="s">
        <v>14097</v>
      </c>
      <c r="F5931" s="1" t="s">
        <v>30</v>
      </c>
      <c r="G5931" s="1" t="s">
        <v>30053</v>
      </c>
      <c r="H5931" s="1">
        <v>2014.0</v>
      </c>
      <c r="I5931" s="1" t="s">
        <v>97</v>
      </c>
      <c r="J5931" s="1" t="s">
        <v>433</v>
      </c>
      <c r="K5931" s="1" t="s">
        <v>34</v>
      </c>
      <c r="L5931" s="1" t="s">
        <v>30054</v>
      </c>
      <c r="M5931" s="2" t="s">
        <v>12</v>
      </c>
      <c r="N5931" s="4">
        <f t="shared" si="1"/>
        <v>41908</v>
      </c>
      <c r="O5931" s="5" t="str">
        <f>IFERROR(__xludf.DUMMYFUNCTION("IF(REGEXMATCH(TRIM(I5931), ""^\d+\s*min""), ""Unclassified"", IF(I5931 = """", ""NR"", I5931))"),"TV-14")</f>
        <v>TV-14</v>
      </c>
      <c r="R5931" s="5" t="str">
        <f t="shared" si="2"/>
        <v>Print The Legend</v>
      </c>
      <c r="S5931" s="5" t="str">
        <f>IFERROR(__xludf.DUMMYFUNCTION("""COMPUTED_VALUE"""),"Roman Empire: Reign Of Blood")</f>
        <v>Roman Empire: Reign Of Blood</v>
      </c>
      <c r="V5931" s="5"/>
      <c r="Y5931" s="5" t="str">
        <f>IFERROR(__xludf.DUMMYFUNCTION("REGEXEXTRACT(J5931, ""^\d+"")"),"100")</f>
        <v>100</v>
      </c>
      <c r="Z5931" s="5" t="str">
        <f>IFERROR(__xludf.DUMMYFUNCTION("REGEXEXTRACT(J5931, ""[A-Za-z ]+$"")")," min")</f>
        <v> min</v>
      </c>
      <c r="AA5931" s="5" t="str">
        <f>IFERROR(__xludf.DUMMYFUNCTION("IF(REGEXMATCH(Z5931, ""Season""), ""TV Show"", ""Movie"")"),"Movie")</f>
        <v>Movie</v>
      </c>
    </row>
    <row r="5932">
      <c r="A5932" s="1" t="s">
        <v>30055</v>
      </c>
      <c r="B5932" s="1" t="s">
        <v>27</v>
      </c>
      <c r="C5932" s="1" t="s">
        <v>30056</v>
      </c>
      <c r="D5932" s="1" t="s">
        <v>19484</v>
      </c>
      <c r="E5932" s="1" t="s">
        <v>30057</v>
      </c>
      <c r="F5932" s="1" t="s">
        <v>30058</v>
      </c>
      <c r="G5932" s="1" t="s">
        <v>30059</v>
      </c>
      <c r="H5932" s="1">
        <v>2014.0</v>
      </c>
      <c r="I5932" s="1" t="s">
        <v>136</v>
      </c>
      <c r="J5932" s="1" t="s">
        <v>170</v>
      </c>
      <c r="K5932" s="1" t="s">
        <v>34</v>
      </c>
      <c r="L5932" s="1" t="s">
        <v>30060</v>
      </c>
      <c r="M5932" s="2" t="s">
        <v>12</v>
      </c>
      <c r="N5932" s="4">
        <f t="shared" si="1"/>
        <v>41866</v>
      </c>
      <c r="O5932" s="5" t="str">
        <f>IFERROR(__xludf.DUMMYFUNCTION("IF(REGEXMATCH(TRIM(I5932), ""^\d+\s*min""), ""Unclassified"", IF(I5932 = """", ""NR"", I5932))"),"TV-PG")</f>
        <v>TV-PG</v>
      </c>
      <c r="R5932" s="5" t="str">
        <f t="shared" si="2"/>
        <v>Mission Blue</v>
      </c>
      <c r="S5932" s="5" t="str">
        <f>IFERROR(__xludf.DUMMYFUNCTION("""COMPUTED_VALUE"""),"Romance Doll")</f>
        <v>Romance Doll</v>
      </c>
      <c r="V5932" s="5"/>
      <c r="Y5932" s="5" t="str">
        <f>IFERROR(__xludf.DUMMYFUNCTION("REGEXEXTRACT(J5932, ""^\d+"")"),"94")</f>
        <v>94</v>
      </c>
      <c r="Z5932" s="5" t="str">
        <f>IFERROR(__xludf.DUMMYFUNCTION("REGEXEXTRACT(J5932, ""[A-Za-z ]+$"")")," min")</f>
        <v> min</v>
      </c>
      <c r="AA5932" s="5" t="str">
        <f>IFERROR(__xludf.DUMMYFUNCTION("IF(REGEXMATCH(Z5932, ""Season""), ""TV Show"", ""Movie"")"),"Movie")</f>
        <v>Movie</v>
      </c>
    </row>
    <row r="5933">
      <c r="A5933" s="1" t="s">
        <v>30061</v>
      </c>
      <c r="B5933" s="1" t="s">
        <v>27</v>
      </c>
      <c r="C5933" s="1" t="s">
        <v>30062</v>
      </c>
      <c r="D5933" s="1" t="s">
        <v>728</v>
      </c>
      <c r="E5933" s="1" t="s">
        <v>30063</v>
      </c>
      <c r="F5933" s="1" t="s">
        <v>30</v>
      </c>
      <c r="G5933" s="1" t="s">
        <v>30064</v>
      </c>
      <c r="H5933" s="1">
        <v>2014.0</v>
      </c>
      <c r="I5933" s="1" t="s">
        <v>42</v>
      </c>
      <c r="J5933" s="1" t="s">
        <v>729</v>
      </c>
      <c r="K5933" s="1" t="s">
        <v>645</v>
      </c>
      <c r="L5933" s="1" t="s">
        <v>30065</v>
      </c>
      <c r="M5933" s="2" t="s">
        <v>12</v>
      </c>
      <c r="N5933" s="4">
        <f t="shared" si="1"/>
        <v>41831</v>
      </c>
      <c r="O5933" s="5" t="str">
        <f>IFERROR(__xludf.DUMMYFUNCTION("IF(REGEXMATCH(TRIM(I5933), ""^\d+\s*min""), ""Unclassified"", IF(I5933 = """", ""NR"", I5933))"),"TV-MA")</f>
        <v>TV-MA</v>
      </c>
      <c r="R5933" s="5" t="str">
        <f t="shared" si="2"/>
        <v>The Battered Bastards Of Baseball</v>
      </c>
      <c r="S5933" s="5" t="str">
        <f>IFERROR(__xludf.DUMMYFUNCTION("""COMPUTED_VALUE"""),"Romance Is A Bonus Book")</f>
        <v>Romance Is A Bonus Book</v>
      </c>
      <c r="V5933" s="5"/>
      <c r="Y5933" s="5" t="str">
        <f>IFERROR(__xludf.DUMMYFUNCTION("REGEXEXTRACT(J5933, ""^\d+"")"),"80")</f>
        <v>80</v>
      </c>
      <c r="Z5933" s="5" t="str">
        <f>IFERROR(__xludf.DUMMYFUNCTION("REGEXEXTRACT(J5933, ""[A-Za-z ]+$"")")," min")</f>
        <v> min</v>
      </c>
      <c r="AA5933" s="5" t="str">
        <f>IFERROR(__xludf.DUMMYFUNCTION("IF(REGEXMATCH(Z5933, ""Season""), ""TV Show"", ""Movie"")"),"Movie")</f>
        <v>Movie</v>
      </c>
    </row>
    <row r="5934">
      <c r="A5934" s="1" t="s">
        <v>30066</v>
      </c>
      <c r="B5934" s="1" t="s">
        <v>27</v>
      </c>
      <c r="C5934" s="1" t="s">
        <v>30067</v>
      </c>
      <c r="D5934" s="1" t="s">
        <v>23542</v>
      </c>
      <c r="F5934" s="1" t="s">
        <v>30</v>
      </c>
      <c r="G5934" s="1" t="s">
        <v>30068</v>
      </c>
      <c r="H5934" s="1">
        <v>2013.0</v>
      </c>
      <c r="I5934" s="1" t="s">
        <v>97</v>
      </c>
      <c r="J5934" s="1" t="s">
        <v>5494</v>
      </c>
      <c r="K5934" s="1" t="s">
        <v>34</v>
      </c>
      <c r="L5934" s="1" t="s">
        <v>30069</v>
      </c>
      <c r="M5934" s="2" t="s">
        <v>12</v>
      </c>
      <c r="N5934" s="4">
        <f t="shared" si="1"/>
        <v>41744</v>
      </c>
      <c r="O5934" s="5" t="str">
        <f>IFERROR(__xludf.DUMMYFUNCTION("IF(REGEXMATCH(TRIM(I5934), ""^\d+\s*min""), ""Unclassified"", IF(I5934 = """", ""NR"", I5934))"),"TV-14")</f>
        <v>TV-14</v>
      </c>
      <c r="R5934" s="5" t="str">
        <f t="shared" si="2"/>
        <v>From One Second To The Next</v>
      </c>
      <c r="S5934" s="5" t="str">
        <f>IFERROR(__xludf.DUMMYFUNCTION("""COMPUTED_VALUE"""),"Romantik Komedi")</f>
        <v>Romantik Komedi</v>
      </c>
      <c r="V5934" s="5"/>
      <c r="Y5934" s="5" t="str">
        <f>IFERROR(__xludf.DUMMYFUNCTION("REGEXEXTRACT(J5934, ""^\d+"")"),"35")</f>
        <v>35</v>
      </c>
      <c r="Z5934" s="5" t="str">
        <f>IFERROR(__xludf.DUMMYFUNCTION("REGEXEXTRACT(J5934, ""[A-Za-z ]+$"")")," min")</f>
        <v> min</v>
      </c>
      <c r="AA5934" s="5" t="str">
        <f>IFERROR(__xludf.DUMMYFUNCTION("IF(REGEXMATCH(Z5934, ""Season""), ""TV Show"", ""Movie"")"),"Movie")</f>
        <v>Movie</v>
      </c>
    </row>
    <row r="5935">
      <c r="A5935" s="1" t="s">
        <v>30070</v>
      </c>
      <c r="B5935" s="1" t="s">
        <v>37</v>
      </c>
      <c r="C5935" s="1" t="s">
        <v>30071</v>
      </c>
      <c r="E5935" s="1" t="s">
        <v>30072</v>
      </c>
      <c r="F5935" s="1" t="s">
        <v>30073</v>
      </c>
      <c r="G5935" s="1" t="s">
        <v>30074</v>
      </c>
      <c r="H5935" s="1">
        <v>2013.0</v>
      </c>
      <c r="I5935" s="1" t="s">
        <v>42</v>
      </c>
      <c r="J5935" s="1" t="s">
        <v>276</v>
      </c>
      <c r="K5935" s="1" t="s">
        <v>2709</v>
      </c>
      <c r="L5935" s="1" t="s">
        <v>30075</v>
      </c>
      <c r="M5935" s="2" t="s">
        <v>12</v>
      </c>
      <c r="N5935" s="4">
        <f t="shared" si="1"/>
        <v>41671</v>
      </c>
      <c r="O5935" s="5" t="str">
        <f>IFERROR(__xludf.DUMMYFUNCTION("IF(REGEXMATCH(TRIM(I5935), ""^\d+\s*min""), ""Unclassified"", IF(I5935 = """", ""NR"", I5935))"),"TV-MA")</f>
        <v>TV-MA</v>
      </c>
      <c r="R5935" s="5" t="str">
        <f t="shared" si="2"/>
        <v>The Borgias</v>
      </c>
      <c r="S5935" s="5" t="str">
        <f>IFERROR(__xludf.DUMMYFUNCTION("""COMPUTED_VALUE"""),"Romantik Komedi 2: Bekarlığa Veda")</f>
        <v>Romantik Komedi 2: Bekarlığa Veda</v>
      </c>
      <c r="V5935" s="5"/>
      <c r="Y5935" s="5" t="str">
        <f>IFERROR(__xludf.DUMMYFUNCTION("REGEXEXTRACT(J5935, ""^\d+"")"),"3")</f>
        <v>3</v>
      </c>
      <c r="Z5935" s="5" t="str">
        <f>IFERROR(__xludf.DUMMYFUNCTION("REGEXEXTRACT(J5935, ""[A-Za-z ]+$"")")," Seasons")</f>
        <v> Seasons</v>
      </c>
      <c r="AA5935" s="5" t="str">
        <f>IFERROR(__xludf.DUMMYFUNCTION("IF(REGEXMATCH(Z5935, ""Season""), ""TV Show"", ""Movie"")"),"TV Show")</f>
        <v>TV Show</v>
      </c>
    </row>
    <row r="5936">
      <c r="A5936" s="1" t="s">
        <v>30076</v>
      </c>
      <c r="B5936" s="1" t="s">
        <v>27</v>
      </c>
      <c r="C5936" s="1" t="s">
        <v>30077</v>
      </c>
      <c r="D5936" s="1" t="s">
        <v>8705</v>
      </c>
      <c r="E5936" s="1" t="s">
        <v>30078</v>
      </c>
      <c r="F5936" s="1" t="s">
        <v>30</v>
      </c>
      <c r="G5936" s="1" t="s">
        <v>30079</v>
      </c>
      <c r="H5936" s="1">
        <v>2014.0</v>
      </c>
      <c r="I5936" s="1" t="s">
        <v>136</v>
      </c>
      <c r="J5936" s="1" t="s">
        <v>454</v>
      </c>
      <c r="K5936" s="1" t="s">
        <v>34</v>
      </c>
      <c r="L5936" s="1" t="s">
        <v>30080</v>
      </c>
      <c r="M5936" s="2" t="s">
        <v>12</v>
      </c>
      <c r="N5936" s="4">
        <f t="shared" si="1"/>
        <v>41663</v>
      </c>
      <c r="O5936" s="5" t="str">
        <f>IFERROR(__xludf.DUMMYFUNCTION("IF(REGEXMATCH(TRIM(I5936), ""^\d+\s*min""), ""Unclassified"", IF(I5936 = """", ""NR"", I5936))"),"TV-PG")</f>
        <v>TV-PG</v>
      </c>
      <c r="R5936" s="5" t="str">
        <f t="shared" si="2"/>
        <v>Mitt</v>
      </c>
      <c r="S5936" s="5" t="str">
        <f>IFERROR(__xludf.DUMMYFUNCTION("""COMPUTED_VALUE"""),"Romeo Akbar Walter")</f>
        <v>Romeo Akbar Walter</v>
      </c>
      <c r="V5936" s="5"/>
      <c r="Y5936" s="5" t="str">
        <f>IFERROR(__xludf.DUMMYFUNCTION("REGEXEXTRACT(J5936, ""^\d+"")"),"93")</f>
        <v>93</v>
      </c>
      <c r="Z5936" s="5" t="str">
        <f>IFERROR(__xludf.DUMMYFUNCTION("REGEXEXTRACT(J5936, ""[A-Za-z ]+$"")")," min")</f>
        <v> min</v>
      </c>
      <c r="AA5936" s="5" t="str">
        <f>IFERROR(__xludf.DUMMYFUNCTION("IF(REGEXMATCH(Z5936, ""Season""), ""TV Show"", ""Movie"")"),"Movie")</f>
        <v>Movie</v>
      </c>
    </row>
    <row r="5937">
      <c r="A5937" s="1" t="s">
        <v>30081</v>
      </c>
      <c r="B5937" s="1" t="s">
        <v>27</v>
      </c>
      <c r="C5937" s="1" t="s">
        <v>30082</v>
      </c>
      <c r="D5937" s="1" t="s">
        <v>10672</v>
      </c>
      <c r="E5937" s="1" t="s">
        <v>30083</v>
      </c>
      <c r="F5937" s="1" t="s">
        <v>30084</v>
      </c>
      <c r="G5937" s="1" t="s">
        <v>30085</v>
      </c>
      <c r="H5937" s="1">
        <v>2013.0</v>
      </c>
      <c r="I5937" s="1" t="s">
        <v>42</v>
      </c>
      <c r="J5937" s="1" t="s">
        <v>305</v>
      </c>
      <c r="K5937" s="1" t="s">
        <v>156</v>
      </c>
      <c r="L5937" s="1" t="s">
        <v>30086</v>
      </c>
      <c r="M5937" s="2" t="s">
        <v>12</v>
      </c>
      <c r="N5937" s="4">
        <f t="shared" si="1"/>
        <v>41656</v>
      </c>
      <c r="O5937" s="5" t="str">
        <f>IFERROR(__xludf.DUMMYFUNCTION("IF(REGEXMATCH(TRIM(I5937), ""^\d+\s*min""), ""Unclassified"", IF(I5937 = """", ""NR"", I5937))"),"TV-MA")</f>
        <v>TV-MA</v>
      </c>
      <c r="R5937" s="5" t="str">
        <f t="shared" si="2"/>
        <v>The Square</v>
      </c>
      <c r="S5937" s="5" t="str">
        <f>IFERROR(__xludf.DUMMYFUNCTION("""COMPUTED_VALUE"""),"Romeo Ranjha")</f>
        <v>Romeo Ranjha</v>
      </c>
      <c r="V5937" s="5"/>
      <c r="Y5937" s="5" t="str">
        <f>IFERROR(__xludf.DUMMYFUNCTION("REGEXEXTRACT(J5937, ""^\d+"")"),"105")</f>
        <v>105</v>
      </c>
      <c r="Z5937" s="5" t="str">
        <f>IFERROR(__xludf.DUMMYFUNCTION("REGEXEXTRACT(J5937, ""[A-Za-z ]+$"")")," min")</f>
        <v> min</v>
      </c>
      <c r="AA5937" s="5" t="str">
        <f>IFERROR(__xludf.DUMMYFUNCTION("IF(REGEXMATCH(Z5937, ""Season""), ""TV Show"", ""Movie"")"),"Movie")</f>
        <v>Movie</v>
      </c>
    </row>
    <row r="5938">
      <c r="A5938" s="1" t="s">
        <v>30087</v>
      </c>
      <c r="B5938" s="1" t="s">
        <v>27</v>
      </c>
      <c r="C5938" s="1" t="s">
        <v>30088</v>
      </c>
      <c r="D5938" s="1" t="s">
        <v>10270</v>
      </c>
      <c r="E5938" s="1" t="s">
        <v>30089</v>
      </c>
      <c r="F5938" s="1" t="s">
        <v>30</v>
      </c>
      <c r="G5938" s="1" t="s">
        <v>30090</v>
      </c>
      <c r="H5938" s="1">
        <v>2013.0</v>
      </c>
      <c r="I5938" s="1" t="s">
        <v>506</v>
      </c>
      <c r="J5938" s="1" t="s">
        <v>2281</v>
      </c>
      <c r="K5938" s="1" t="s">
        <v>1662</v>
      </c>
      <c r="L5938" s="1" t="s">
        <v>30091</v>
      </c>
      <c r="M5938" s="2" t="s">
        <v>12</v>
      </c>
      <c r="N5938" s="4">
        <f t="shared" si="1"/>
        <v>41637</v>
      </c>
      <c r="O5938" s="5" t="str">
        <f>IFERROR(__xludf.DUMMYFUNCTION("IF(REGEXMATCH(TRIM(I5938), ""^\d+\s*min""), ""Unclassified"", IF(I5938 = """", ""NR"", I5938))"),"TV-G")</f>
        <v>TV-G</v>
      </c>
      <c r="R5938" s="5" t="str">
        <f t="shared" si="2"/>
        <v>Shrek The Musical</v>
      </c>
      <c r="S5938" s="5" t="str">
        <f>IFERROR(__xludf.DUMMYFUNCTION("""COMPUTED_VALUE"""),"Romina")</f>
        <v>Romina</v>
      </c>
      <c r="V5938" s="5"/>
      <c r="Y5938" s="5" t="str">
        <f>IFERROR(__xludf.DUMMYFUNCTION("REGEXEXTRACT(J5938, ""^\d+"")"),"130")</f>
        <v>130</v>
      </c>
      <c r="Z5938" s="5" t="str">
        <f>IFERROR(__xludf.DUMMYFUNCTION("REGEXEXTRACT(J5938, ""[A-Za-z ]+$"")")," min")</f>
        <v> min</v>
      </c>
      <c r="AA5938" s="5" t="str">
        <f>IFERROR(__xludf.DUMMYFUNCTION("IF(REGEXMATCH(Z5938, ""Season""), ""TV Show"", ""Movie"")"),"Movie")</f>
        <v>Movie</v>
      </c>
    </row>
    <row r="5939">
      <c r="A5939" s="1" t="s">
        <v>30092</v>
      </c>
      <c r="B5939" s="1" t="s">
        <v>27</v>
      </c>
      <c r="C5939" s="1" t="s">
        <v>30093</v>
      </c>
      <c r="D5939" s="1" t="s">
        <v>11873</v>
      </c>
      <c r="E5939" s="1" t="s">
        <v>30094</v>
      </c>
      <c r="F5939" s="1" t="s">
        <v>30</v>
      </c>
      <c r="G5939" s="1" t="s">
        <v>30095</v>
      </c>
      <c r="H5939" s="1">
        <v>2013.0</v>
      </c>
      <c r="I5939" s="1" t="s">
        <v>78</v>
      </c>
      <c r="J5939" s="1" t="s">
        <v>433</v>
      </c>
      <c r="K5939" s="1" t="s">
        <v>15546</v>
      </c>
      <c r="L5939" s="1" t="s">
        <v>30096</v>
      </c>
      <c r="M5939" s="2" t="s">
        <v>12</v>
      </c>
      <c r="N5939" s="4">
        <f t="shared" si="1"/>
        <v>41620</v>
      </c>
      <c r="O5939" s="5" t="str">
        <f>IFERROR(__xludf.DUMMYFUNCTION("IF(REGEXMATCH(TRIM(I5939), ""^\d+\s*min""), ""Unclassified"", IF(I5939 = """", ""NR"", I5939))"),"PG")</f>
        <v>PG</v>
      </c>
      <c r="R5939" s="5" t="str">
        <f t="shared" si="2"/>
        <v>The Short Game</v>
      </c>
      <c r="S5939" s="5" t="str">
        <f>IFERROR(__xludf.DUMMYFUNCTION("""COMPUTED_VALUE"""),"Ron White: If You Quit Listening, I'Ll Shut Up")</f>
        <v>Ron White: If You Quit Listening, I'Ll Shut Up</v>
      </c>
      <c r="V5939" s="5"/>
      <c r="Y5939" s="5" t="str">
        <f>IFERROR(__xludf.DUMMYFUNCTION("REGEXEXTRACT(J5939, ""^\d+"")"),"100")</f>
        <v>100</v>
      </c>
      <c r="Z5939" s="5" t="str">
        <f>IFERROR(__xludf.DUMMYFUNCTION("REGEXEXTRACT(J5939, ""[A-Za-z ]+$"")")," min")</f>
        <v> min</v>
      </c>
      <c r="AA5939" s="5" t="str">
        <f>IFERROR(__xludf.DUMMYFUNCTION("IF(REGEXMATCH(Z5939, ""Season""), ""TV Show"", ""Movie"")"),"Movie")</f>
        <v>Movie</v>
      </c>
    </row>
    <row r="5940">
      <c r="A5940" s="1" t="s">
        <v>30097</v>
      </c>
      <c r="B5940" s="1" t="s">
        <v>27</v>
      </c>
      <c r="C5940" s="1" t="s">
        <v>30098</v>
      </c>
      <c r="D5940" s="1" t="s">
        <v>23589</v>
      </c>
      <c r="E5940" s="1" t="s">
        <v>2876</v>
      </c>
      <c r="F5940" s="1" t="s">
        <v>30</v>
      </c>
      <c r="G5940" s="1" t="s">
        <v>30099</v>
      </c>
      <c r="H5940" s="1">
        <v>2013.0</v>
      </c>
      <c r="I5940" s="1" t="s">
        <v>42</v>
      </c>
      <c r="J5940" s="1" t="s">
        <v>729</v>
      </c>
      <c r="K5940" s="1" t="s">
        <v>1839</v>
      </c>
      <c r="L5940" s="1" t="s">
        <v>30100</v>
      </c>
      <c r="M5940" s="2" t="s">
        <v>12</v>
      </c>
      <c r="N5940" s="4">
        <f t="shared" si="1"/>
        <v>41579</v>
      </c>
      <c r="O5940" s="5" t="str">
        <f>IFERROR(__xludf.DUMMYFUNCTION("IF(REGEXMATCH(TRIM(I5940), ""^\d+\s*min""), ""Unclassified"", IF(I5940 = """", ""NR"", I5940))"),"TV-MA")</f>
        <v>TV-MA</v>
      </c>
      <c r="R5940" s="5" t="str">
        <f t="shared" si="2"/>
        <v>Aziz Ansari: Buried Alive</v>
      </c>
      <c r="S5940" s="5" t="str">
        <f>IFERROR(__xludf.DUMMYFUNCTION("""COMPUTED_VALUE"""),"Ronnie Coleman: The King")</f>
        <v>Ronnie Coleman: The King</v>
      </c>
      <c r="V5940" s="5"/>
      <c r="Y5940" s="5" t="str">
        <f>IFERROR(__xludf.DUMMYFUNCTION("REGEXEXTRACT(J5940, ""^\d+"")"),"80")</f>
        <v>80</v>
      </c>
      <c r="Z5940" s="5" t="str">
        <f>IFERROR(__xludf.DUMMYFUNCTION("REGEXEXTRACT(J5940, ""[A-Za-z ]+$"")")," min")</f>
        <v> min</v>
      </c>
      <c r="AA5940" s="5" t="str">
        <f>IFERROR(__xludf.DUMMYFUNCTION("IF(REGEXMATCH(Z5940, ""Season""), ""TV Show"", ""Movie"")"),"Movie")</f>
        <v>Movie</v>
      </c>
    </row>
    <row r="5941">
      <c r="A5941" s="1" t="s">
        <v>30101</v>
      </c>
      <c r="B5941" s="1" t="s">
        <v>37</v>
      </c>
      <c r="C5941" s="1" t="s">
        <v>30102</v>
      </c>
      <c r="E5941" s="1" t="s">
        <v>30103</v>
      </c>
      <c r="F5941" s="1" t="s">
        <v>692</v>
      </c>
      <c r="G5941" s="1" t="s">
        <v>30104</v>
      </c>
      <c r="H5941" s="1">
        <v>2007.0</v>
      </c>
      <c r="I5941" s="1" t="s">
        <v>97</v>
      </c>
      <c r="J5941" s="1" t="s">
        <v>148</v>
      </c>
      <c r="K5941" s="1" t="s">
        <v>1616</v>
      </c>
      <c r="L5941" s="1" t="s">
        <v>30105</v>
      </c>
      <c r="M5941" s="2" t="s">
        <v>12</v>
      </c>
      <c r="N5941" s="4">
        <f t="shared" si="1"/>
        <v>41518</v>
      </c>
      <c r="O5941" s="5" t="str">
        <f>IFERROR(__xludf.DUMMYFUNCTION("IF(REGEXMATCH(TRIM(I5941), ""^\d+\s*min""), ""Unclassified"", IF(I5941 = """", ""NR"", I5941))"),"TV-14")</f>
        <v>TV-14</v>
      </c>
      <c r="R5941" s="5" t="str">
        <f t="shared" si="2"/>
        <v>The 4400</v>
      </c>
      <c r="S5941" s="5" t="str">
        <f>IFERROR(__xludf.DUMMYFUNCTION("""COMPUTED_VALUE"""),"Ronny Chieng: Asian Comedian Destroys America!")</f>
        <v>Ronny Chieng: Asian Comedian Destroys America!</v>
      </c>
      <c r="V5941" s="5"/>
      <c r="Y5941" s="5" t="str">
        <f>IFERROR(__xludf.DUMMYFUNCTION("REGEXEXTRACT(J5941, ""^\d+"")"),"4")</f>
        <v>4</v>
      </c>
      <c r="Z5941" s="5" t="str">
        <f>IFERROR(__xludf.DUMMYFUNCTION("REGEXEXTRACT(J5941, ""[A-Za-z ]+$"")")," Seasons")</f>
        <v> Seasons</v>
      </c>
      <c r="AA5941" s="5" t="str">
        <f>IFERROR(__xludf.DUMMYFUNCTION("IF(REGEXMATCH(Z5941, ""Season""), ""TV Show"", ""Movie"")"),"TV Show")</f>
        <v>TV Show</v>
      </c>
    </row>
    <row r="5942">
      <c r="A5942" s="1" t="s">
        <v>30106</v>
      </c>
      <c r="B5942" s="1" t="s">
        <v>37</v>
      </c>
      <c r="C5942" s="1" t="s">
        <v>30107</v>
      </c>
      <c r="E5942" s="1" t="s">
        <v>30108</v>
      </c>
      <c r="F5942" s="1" t="s">
        <v>30</v>
      </c>
      <c r="G5942" s="1" t="s">
        <v>30109</v>
      </c>
      <c r="H5942" s="1">
        <v>2013.0</v>
      </c>
      <c r="I5942" s="1" t="s">
        <v>42</v>
      </c>
      <c r="J5942" s="1" t="s">
        <v>189</v>
      </c>
      <c r="K5942" s="1" t="s">
        <v>4173</v>
      </c>
      <c r="L5942" s="1" t="s">
        <v>30110</v>
      </c>
      <c r="M5942" s="2" t="s">
        <v>12</v>
      </c>
      <c r="N5942" s="4">
        <f t="shared" si="1"/>
        <v>41488</v>
      </c>
      <c r="O5942" s="5" t="str">
        <f>IFERROR(__xludf.DUMMYFUNCTION("IF(REGEXMATCH(TRIM(I5942), ""^\d+\s*min""), ""Unclassified"", IF(I5942 = """", ""NR"", I5942))"),"TV-MA")</f>
        <v>TV-MA</v>
      </c>
      <c r="R5942" s="5" t="str">
        <f t="shared" si="2"/>
        <v>Breaking Bad</v>
      </c>
      <c r="S5942" s="5" t="str">
        <f>IFERROR(__xludf.DUMMYFUNCTION("""COMPUTED_VALUE"""),"Roohi")</f>
        <v>Roohi</v>
      </c>
      <c r="V5942" s="5"/>
      <c r="Y5942" s="5" t="str">
        <f>IFERROR(__xludf.DUMMYFUNCTION("REGEXEXTRACT(J5942, ""^\d+"")"),"5")</f>
        <v>5</v>
      </c>
      <c r="Z5942" s="5" t="str">
        <f>IFERROR(__xludf.DUMMYFUNCTION("REGEXEXTRACT(J5942, ""[A-Za-z ]+$"")")," Seasons")</f>
        <v> Seasons</v>
      </c>
      <c r="AA5942" s="5" t="str">
        <f>IFERROR(__xludf.DUMMYFUNCTION("IF(REGEXMATCH(Z5942, ""Season""), ""TV Show"", ""Movie"")"),"TV Show")</f>
        <v>TV Show</v>
      </c>
    </row>
    <row r="5943">
      <c r="A5943" s="1" t="s">
        <v>30111</v>
      </c>
      <c r="B5943" s="1" t="s">
        <v>27</v>
      </c>
      <c r="C5943" s="1" t="s">
        <v>30112</v>
      </c>
      <c r="D5943" s="1" t="s">
        <v>5167</v>
      </c>
      <c r="E5943" s="1" t="s">
        <v>30113</v>
      </c>
      <c r="F5943" s="1" t="s">
        <v>30</v>
      </c>
      <c r="G5943" s="1" t="s">
        <v>30114</v>
      </c>
      <c r="H5943" s="1">
        <v>2011.0</v>
      </c>
      <c r="I5943" s="1" t="s">
        <v>78</v>
      </c>
      <c r="J5943" s="1" t="s">
        <v>1171</v>
      </c>
      <c r="K5943" s="1" t="s">
        <v>34</v>
      </c>
      <c r="L5943" s="1" t="s">
        <v>30115</v>
      </c>
      <c r="M5943" s="2" t="s">
        <v>12</v>
      </c>
      <c r="N5943" s="4">
        <f t="shared" si="1"/>
        <v>40960</v>
      </c>
      <c r="O5943" s="5" t="str">
        <f>IFERROR(__xludf.DUMMYFUNCTION("IF(REGEXMATCH(TRIM(I5943), ""^\d+\s*min""), ""Unclassified"", IF(I5943 = """", ""NR"", I5943))"),"PG")</f>
        <v>PG</v>
      </c>
      <c r="R5943" s="5" t="str">
        <f t="shared" si="2"/>
        <v>Being Elmo: A Puppeteer'S Journey</v>
      </c>
      <c r="S5943" s="5" t="str">
        <f>IFERROR(__xludf.DUMMYFUNCTION("""COMPUTED_VALUE"""),"Rookie Historian Goo Hae-Ryung")</f>
        <v>Rookie Historian Goo Hae-Ryung</v>
      </c>
      <c r="V5943" s="5"/>
      <c r="Y5943" s="5" t="str">
        <f>IFERROR(__xludf.DUMMYFUNCTION("REGEXEXTRACT(J5943, ""^\d+"")"),"76")</f>
        <v>76</v>
      </c>
      <c r="Z5943" s="5" t="str">
        <f>IFERROR(__xludf.DUMMYFUNCTION("REGEXEXTRACT(J5943, ""[A-Za-z ]+$"")")," min")</f>
        <v> min</v>
      </c>
      <c r="AA5943" s="5" t="str">
        <f>IFERROR(__xludf.DUMMYFUNCTION("IF(REGEXMATCH(Z5943, ""Season""), ""TV Show"", ""Movie"")"),"Movie")</f>
        <v>Movie</v>
      </c>
    </row>
    <row r="5944">
      <c r="A5944" s="1" t="s">
        <v>30116</v>
      </c>
      <c r="B5944" s="1" t="s">
        <v>27</v>
      </c>
      <c r="C5944" s="1" t="s">
        <v>30117</v>
      </c>
      <c r="D5944" s="1" t="s">
        <v>13365</v>
      </c>
      <c r="E5944" s="1" t="s">
        <v>30118</v>
      </c>
      <c r="F5944" s="1" t="s">
        <v>30</v>
      </c>
      <c r="G5944" s="1" t="s">
        <v>30119</v>
      </c>
      <c r="H5944" s="1">
        <v>1988.0</v>
      </c>
      <c r="I5944" s="1" t="s">
        <v>97</v>
      </c>
      <c r="J5944" s="1" t="s">
        <v>465</v>
      </c>
      <c r="K5944" s="1" t="s">
        <v>805</v>
      </c>
      <c r="L5944" s="1" t="s">
        <v>30120</v>
      </c>
      <c r="M5944" s="2" t="s">
        <v>12</v>
      </c>
      <c r="N5944" s="4">
        <f t="shared" si="1"/>
        <v>40817</v>
      </c>
      <c r="O5944" s="5" t="str">
        <f>IFERROR(__xludf.DUMMYFUNCTION("IF(REGEXMATCH(TRIM(I5944), ""^\d+\s*min""), ""Unclassified"", IF(I5944 = """", ""NR"", I5944))"),"TV-14")</f>
        <v>TV-14</v>
      </c>
      <c r="R5944" s="5" t="str">
        <f t="shared" si="2"/>
        <v>A Stoning In Fulham County</v>
      </c>
      <c r="S5944" s="5" t="str">
        <f>IFERROR(__xludf.DUMMYFUNCTION("""COMPUTED_VALUE"""),"Room")</f>
        <v>Room</v>
      </c>
      <c r="V5944" s="5"/>
      <c r="Y5944" s="5" t="str">
        <f>IFERROR(__xludf.DUMMYFUNCTION("REGEXEXTRACT(J5944, ""^\d+"")"),"95")</f>
        <v>95</v>
      </c>
      <c r="Z5944" s="5" t="str">
        <f>IFERROR(__xludf.DUMMYFUNCTION("REGEXEXTRACT(J5944, ""[A-Za-z ]+$"")")," min")</f>
        <v> min</v>
      </c>
      <c r="AA5944" s="5" t="str">
        <f>IFERROR(__xludf.DUMMYFUNCTION("IF(REGEXMATCH(Z5944, ""Season""), ""TV Show"", ""Movie"")"),"Movie")</f>
        <v>Movie</v>
      </c>
    </row>
    <row r="5945">
      <c r="A5945" s="1" t="s">
        <v>30121</v>
      </c>
      <c r="B5945" s="1" t="s">
        <v>27</v>
      </c>
      <c r="C5945" s="1" t="s">
        <v>30122</v>
      </c>
      <c r="D5945" s="1" t="s">
        <v>19466</v>
      </c>
      <c r="E5945" s="1" t="s">
        <v>30123</v>
      </c>
      <c r="F5945" s="1" t="s">
        <v>30</v>
      </c>
      <c r="G5945" s="1" t="s">
        <v>30119</v>
      </c>
      <c r="H5945" s="1">
        <v>1986.0</v>
      </c>
      <c r="I5945" s="1" t="s">
        <v>42</v>
      </c>
      <c r="J5945" s="1" t="s">
        <v>322</v>
      </c>
      <c r="K5945" s="1" t="s">
        <v>805</v>
      </c>
      <c r="L5945" s="1" t="s">
        <v>30124</v>
      </c>
      <c r="M5945" s="2" t="s">
        <v>12</v>
      </c>
      <c r="N5945" s="4">
        <f t="shared" si="1"/>
        <v>40817</v>
      </c>
      <c r="O5945" s="5" t="str">
        <f>IFERROR(__xludf.DUMMYFUNCTION("IF(REGEXMATCH(TRIM(I5945), ""^\d+\s*min""), ""Unclassified"", IF(I5945 = """", ""NR"", I5945))"),"TV-MA")</f>
        <v>TV-MA</v>
      </c>
      <c r="R5945" s="5" t="str">
        <f t="shared" si="2"/>
        <v>Adam: His Song Continues</v>
      </c>
      <c r="S5945" s="5" t="str">
        <f>IFERROR(__xludf.DUMMYFUNCTION("""COMPUTED_VALUE"""),"Room 2806: The Accusation")</f>
        <v>Room 2806: The Accusation</v>
      </c>
      <c r="V5945" s="5"/>
      <c r="Y5945" s="5" t="str">
        <f>IFERROR(__xludf.DUMMYFUNCTION("REGEXEXTRACT(J5945, ""^\d+"")"),"96")</f>
        <v>96</v>
      </c>
      <c r="Z5945" s="5" t="str">
        <f>IFERROR(__xludf.DUMMYFUNCTION("REGEXEXTRACT(J5945, ""[A-Za-z ]+$"")")," min")</f>
        <v> min</v>
      </c>
      <c r="AA5945" s="5" t="str">
        <f>IFERROR(__xludf.DUMMYFUNCTION("IF(REGEXMATCH(Z5945, ""Season""), ""TV Show"", ""Movie"")"),"Movie")</f>
        <v>Movie</v>
      </c>
    </row>
    <row r="5946">
      <c r="A5946" s="1" t="s">
        <v>30125</v>
      </c>
      <c r="B5946" s="1" t="s">
        <v>27</v>
      </c>
      <c r="C5946" s="1" t="s">
        <v>30126</v>
      </c>
      <c r="D5946" s="1" t="s">
        <v>7200</v>
      </c>
      <c r="E5946" s="1" t="s">
        <v>30127</v>
      </c>
      <c r="F5946" s="1" t="s">
        <v>30</v>
      </c>
      <c r="G5946" s="1" t="s">
        <v>30119</v>
      </c>
      <c r="H5946" s="1">
        <v>1986.0</v>
      </c>
      <c r="I5946" s="1" t="s">
        <v>97</v>
      </c>
      <c r="J5946" s="1" t="s">
        <v>170</v>
      </c>
      <c r="K5946" s="1" t="s">
        <v>805</v>
      </c>
      <c r="L5946" s="1" t="s">
        <v>30128</v>
      </c>
      <c r="M5946" s="2" t="s">
        <v>12</v>
      </c>
      <c r="N5946" s="4">
        <f t="shared" si="1"/>
        <v>40817</v>
      </c>
      <c r="O5946" s="5" t="str">
        <f>IFERROR(__xludf.DUMMYFUNCTION("IF(REGEXMATCH(TRIM(I5946), ""^\d+\s*min""), ""Unclassified"", IF(I5946 = """", ""NR"", I5946))"),"TV-14")</f>
        <v>TV-14</v>
      </c>
      <c r="R5946" s="5" t="str">
        <f t="shared" si="2"/>
        <v>Hard Lessons</v>
      </c>
      <c r="S5946" s="5" t="str">
        <f>IFERROR(__xludf.DUMMYFUNCTION("""COMPUTED_VALUE"""),"Room For Rent")</f>
        <v>Room For Rent</v>
      </c>
      <c r="V5946" s="5"/>
      <c r="Y5946" s="5" t="str">
        <f>IFERROR(__xludf.DUMMYFUNCTION("REGEXEXTRACT(J5946, ""^\d+"")"),"94")</f>
        <v>94</v>
      </c>
      <c r="Z5946" s="5" t="str">
        <f>IFERROR(__xludf.DUMMYFUNCTION("REGEXEXTRACT(J5946, ""[A-Za-z ]+$"")")," min")</f>
        <v> min</v>
      </c>
      <c r="AA5946" s="5" t="str">
        <f>IFERROR(__xludf.DUMMYFUNCTION("IF(REGEXMATCH(Z5946, ""Season""), ""TV Show"", ""Movie"")"),"Movie")</f>
        <v>Movie</v>
      </c>
    </row>
    <row r="5947">
      <c r="A5947" s="1" t="s">
        <v>30129</v>
      </c>
      <c r="B5947" s="1" t="s">
        <v>27</v>
      </c>
      <c r="C5947" s="1" t="s">
        <v>30130</v>
      </c>
      <c r="D5947" s="1" t="s">
        <v>11177</v>
      </c>
      <c r="E5947" s="1" t="s">
        <v>30131</v>
      </c>
      <c r="F5947" s="1" t="s">
        <v>30</v>
      </c>
      <c r="G5947" s="1" t="s">
        <v>30119</v>
      </c>
      <c r="H5947" s="1">
        <v>1990.0</v>
      </c>
      <c r="I5947" s="1" t="s">
        <v>97</v>
      </c>
      <c r="J5947" s="1" t="s">
        <v>170</v>
      </c>
      <c r="K5947" s="1" t="s">
        <v>805</v>
      </c>
      <c r="L5947" s="1" t="s">
        <v>30132</v>
      </c>
      <c r="M5947" s="2" t="s">
        <v>12</v>
      </c>
      <c r="N5947" s="4">
        <f t="shared" si="1"/>
        <v>40817</v>
      </c>
      <c r="O5947" s="5" t="str">
        <f>IFERROR(__xludf.DUMMYFUNCTION("IF(REGEXMATCH(TRIM(I5947), ""^\d+\s*min""), ""Unclassified"", IF(I5947 = """", ""NR"", I5947))"),"TV-14")</f>
        <v>TV-14</v>
      </c>
      <c r="R5947" s="5" t="str">
        <f t="shared" si="2"/>
        <v>In Defense Of A Married Man</v>
      </c>
      <c r="S5947" s="5" t="str">
        <f>IFERROR(__xludf.DUMMYFUNCTION("""COMPUTED_VALUE"""),"Room On The Broom")</f>
        <v>Room On The Broom</v>
      </c>
      <c r="V5947" s="5"/>
      <c r="Y5947" s="5" t="str">
        <f>IFERROR(__xludf.DUMMYFUNCTION("REGEXEXTRACT(J5947, ""^\d+"")"),"94")</f>
        <v>94</v>
      </c>
      <c r="Z5947" s="5" t="str">
        <f>IFERROR(__xludf.DUMMYFUNCTION("REGEXEXTRACT(J5947, ""[A-Za-z ]+$"")")," min")</f>
        <v> min</v>
      </c>
      <c r="AA5947" s="5" t="str">
        <f>IFERROR(__xludf.DUMMYFUNCTION("IF(REGEXMATCH(Z5947, ""Season""), ""TV Show"", ""Movie"")"),"Movie")</f>
        <v>Movie</v>
      </c>
    </row>
    <row r="5948">
      <c r="A5948" s="1" t="s">
        <v>30133</v>
      </c>
      <c r="B5948" s="1" t="s">
        <v>27</v>
      </c>
      <c r="C5948" s="1" t="s">
        <v>30134</v>
      </c>
      <c r="D5948" s="1" t="s">
        <v>30135</v>
      </c>
      <c r="E5948" s="1" t="s">
        <v>30136</v>
      </c>
      <c r="F5948" s="1" t="s">
        <v>30</v>
      </c>
      <c r="G5948" s="1" t="s">
        <v>30119</v>
      </c>
      <c r="H5948" s="1">
        <v>1988.0</v>
      </c>
      <c r="I5948" s="1" t="s">
        <v>136</v>
      </c>
      <c r="J5948" s="1" t="s">
        <v>454</v>
      </c>
      <c r="K5948" s="1" t="s">
        <v>2275</v>
      </c>
      <c r="L5948" s="1" t="s">
        <v>30137</v>
      </c>
      <c r="M5948" s="2" t="s">
        <v>12</v>
      </c>
      <c r="N5948" s="4">
        <f t="shared" si="1"/>
        <v>40817</v>
      </c>
      <c r="O5948" s="5" t="str">
        <f>IFERROR(__xludf.DUMMYFUNCTION("IF(REGEXMATCH(TRIM(I5948), ""^\d+\s*min""), ""Unclassified"", IF(I5948 = """", ""NR"", I5948))"),"TV-PG")</f>
        <v>TV-PG</v>
      </c>
      <c r="R5948" s="5" t="str">
        <f t="shared" si="2"/>
        <v>Quiet Victory: The Charlie Wedemeyer Story</v>
      </c>
      <c r="S5948" s="5" t="str">
        <f>IFERROR(__xludf.DUMMYFUNCTION("""COMPUTED_VALUE"""),"Roonpi Secret Love")</f>
        <v>Roonpi Secret Love</v>
      </c>
      <c r="V5948" s="5"/>
      <c r="Y5948" s="5" t="str">
        <f>IFERROR(__xludf.DUMMYFUNCTION("REGEXEXTRACT(J5948, ""^\d+"")"),"93")</f>
        <v>93</v>
      </c>
      <c r="Z5948" s="5" t="str">
        <f>IFERROR(__xludf.DUMMYFUNCTION("REGEXEXTRACT(J5948, ""[A-Za-z ]+$"")")," min")</f>
        <v> min</v>
      </c>
      <c r="AA5948" s="5" t="str">
        <f>IFERROR(__xludf.DUMMYFUNCTION("IF(REGEXMATCH(Z5948, ""Season""), ""TV Show"", ""Movie"")"),"Movie")</f>
        <v>Movie</v>
      </c>
    </row>
    <row r="5949">
      <c r="A5949" s="1" t="s">
        <v>30138</v>
      </c>
      <c r="B5949" s="1" t="s">
        <v>27</v>
      </c>
      <c r="C5949" s="1" t="s">
        <v>30139</v>
      </c>
      <c r="D5949" s="1" t="s">
        <v>2568</v>
      </c>
      <c r="E5949" s="1" t="s">
        <v>30140</v>
      </c>
      <c r="F5949" s="1" t="s">
        <v>30</v>
      </c>
      <c r="G5949" s="1" t="s">
        <v>30119</v>
      </c>
      <c r="H5949" s="1">
        <v>1987.0</v>
      </c>
      <c r="I5949" s="1" t="s">
        <v>136</v>
      </c>
      <c r="J5949" s="1" t="s">
        <v>322</v>
      </c>
      <c r="K5949" s="1" t="s">
        <v>805</v>
      </c>
      <c r="L5949" s="1" t="s">
        <v>30141</v>
      </c>
      <c r="M5949" s="2" t="s">
        <v>12</v>
      </c>
      <c r="N5949" s="4">
        <f t="shared" si="1"/>
        <v>40817</v>
      </c>
      <c r="O5949" s="5" t="str">
        <f>IFERROR(__xludf.DUMMYFUNCTION("IF(REGEXMATCH(TRIM(I5949), ""^\d+\s*min""), ""Unclassified"", IF(I5949 = """", ""NR"", I5949))"),"TV-PG")</f>
        <v>TV-PG</v>
      </c>
      <c r="R5949" s="5" t="str">
        <f t="shared" si="2"/>
        <v>Strange Voices</v>
      </c>
      <c r="S5949" s="5" t="str">
        <f>IFERROR(__xludf.DUMMYFUNCTION("""COMPUTED_VALUE"""),"Rooting For Roona")</f>
        <v>Rooting For Roona</v>
      </c>
      <c r="V5949" s="5"/>
      <c r="Y5949" s="5" t="str">
        <f>IFERROR(__xludf.DUMMYFUNCTION("REGEXEXTRACT(J5949, ""^\d+"")"),"96")</f>
        <v>96</v>
      </c>
      <c r="Z5949" s="5" t="str">
        <f>IFERROR(__xludf.DUMMYFUNCTION("REGEXEXTRACT(J5949, ""[A-Za-z ]+$"")")," min")</f>
        <v> min</v>
      </c>
      <c r="AA5949" s="5" t="str">
        <f>IFERROR(__xludf.DUMMYFUNCTION("IF(REGEXMATCH(Z5949, ""Season""), ""TV Show"", ""Movie"")"),"Movie")</f>
        <v>Movie</v>
      </c>
    </row>
    <row r="5950">
      <c r="A5950" s="1" t="s">
        <v>30142</v>
      </c>
      <c r="B5950" s="1" t="s">
        <v>27</v>
      </c>
      <c r="C5950" s="1" t="s">
        <v>30143</v>
      </c>
      <c r="D5950" s="1" t="s">
        <v>11327</v>
      </c>
      <c r="E5950" s="1" t="s">
        <v>30144</v>
      </c>
      <c r="F5950" s="1" t="s">
        <v>30</v>
      </c>
      <c r="G5950" s="1" t="s">
        <v>30119</v>
      </c>
      <c r="H5950" s="1">
        <v>1989.0</v>
      </c>
      <c r="I5950" s="1" t="s">
        <v>136</v>
      </c>
      <c r="J5950" s="1" t="s">
        <v>170</v>
      </c>
      <c r="K5950" s="1" t="s">
        <v>805</v>
      </c>
      <c r="L5950" s="1" t="s">
        <v>30145</v>
      </c>
      <c r="M5950" s="2" t="s">
        <v>12</v>
      </c>
      <c r="N5950" s="4">
        <f t="shared" si="1"/>
        <v>40817</v>
      </c>
      <c r="O5950" s="5" t="str">
        <f>IFERROR(__xludf.DUMMYFUNCTION("IF(REGEXMATCH(TRIM(I5950), ""^\d+\s*min""), ""Unclassified"", IF(I5950 = """", ""NR"", I5950))"),"TV-PG")</f>
        <v>TV-PG</v>
      </c>
      <c r="R5950" s="5" t="str">
        <f t="shared" si="2"/>
        <v>The Ryan White Story</v>
      </c>
      <c r="S5950" s="5" t="str">
        <f>IFERROR(__xludf.DUMMYFUNCTION("""COMPUTED_VALUE"""),"Roots")</f>
        <v>Roots</v>
      </c>
      <c r="V5950" s="5"/>
      <c r="Y5950" s="5" t="str">
        <f>IFERROR(__xludf.DUMMYFUNCTION("REGEXEXTRACT(J5950, ""^\d+"")"),"94")</f>
        <v>94</v>
      </c>
      <c r="Z5950" s="5" t="str">
        <f>IFERROR(__xludf.DUMMYFUNCTION("REGEXEXTRACT(J5950, ""[A-Za-z ]+$"")")," min")</f>
        <v> min</v>
      </c>
      <c r="AA5950" s="5" t="str">
        <f>IFERROR(__xludf.DUMMYFUNCTION("IF(REGEXMATCH(Z5950, ""Season""), ""TV Show"", ""Movie"")"),"Movie")</f>
        <v>Movie</v>
      </c>
    </row>
    <row r="5951">
      <c r="A5951" s="1" t="s">
        <v>30146</v>
      </c>
      <c r="B5951" s="1" t="s">
        <v>27</v>
      </c>
      <c r="C5951" s="1" t="s">
        <v>30147</v>
      </c>
      <c r="D5951" s="1" t="s">
        <v>4028</v>
      </c>
      <c r="E5951" s="1" t="s">
        <v>30148</v>
      </c>
      <c r="F5951" s="1" t="s">
        <v>30</v>
      </c>
      <c r="G5951" s="1" t="s">
        <v>30119</v>
      </c>
      <c r="H5951" s="1">
        <v>1988.0</v>
      </c>
      <c r="I5951" s="1" t="s">
        <v>42</v>
      </c>
      <c r="J5951" s="1" t="s">
        <v>170</v>
      </c>
      <c r="K5951" s="1" t="s">
        <v>805</v>
      </c>
      <c r="L5951" s="1" t="s">
        <v>30149</v>
      </c>
      <c r="M5951" s="2" t="s">
        <v>12</v>
      </c>
      <c r="N5951" s="4">
        <f t="shared" si="1"/>
        <v>40817</v>
      </c>
      <c r="O5951" s="5" t="str">
        <f>IFERROR(__xludf.DUMMYFUNCTION("IF(REGEXMATCH(TRIM(I5951), ""^\d+\s*min""), ""Unclassified"", IF(I5951 = """", ""NR"", I5951))"),"TV-MA")</f>
        <v>TV-MA</v>
      </c>
      <c r="R5951" s="5" t="str">
        <f t="shared" si="2"/>
        <v>Too Young The Hero</v>
      </c>
      <c r="S5951" s="5" t="str">
        <f>IFERROR(__xludf.DUMMYFUNCTION("""COMPUTED_VALUE"""),"Roped")</f>
        <v>Roped</v>
      </c>
      <c r="V5951" s="5"/>
      <c r="Y5951" s="5" t="str">
        <f>IFERROR(__xludf.DUMMYFUNCTION("REGEXEXTRACT(J5951, ""^\d+"")"),"94")</f>
        <v>94</v>
      </c>
      <c r="Z5951" s="5" t="str">
        <f>IFERROR(__xludf.DUMMYFUNCTION("REGEXEXTRACT(J5951, ""[A-Za-z ]+$"")")," min")</f>
        <v> min</v>
      </c>
      <c r="AA5951" s="5" t="str">
        <f>IFERROR(__xludf.DUMMYFUNCTION("IF(REGEXMATCH(Z5951, ""Season""), ""TV Show"", ""Movie"")"),"Movie")</f>
        <v>Movie</v>
      </c>
    </row>
    <row r="5952">
      <c r="A5952" s="1" t="s">
        <v>30150</v>
      </c>
      <c r="B5952" s="1" t="s">
        <v>27</v>
      </c>
      <c r="C5952" s="1" t="s">
        <v>30151</v>
      </c>
      <c r="D5952" s="1" t="s">
        <v>19188</v>
      </c>
      <c r="E5952" s="1" t="s">
        <v>30152</v>
      </c>
      <c r="F5952" s="1" t="s">
        <v>30</v>
      </c>
      <c r="G5952" s="1" t="s">
        <v>30119</v>
      </c>
      <c r="H5952" s="1">
        <v>1991.0</v>
      </c>
      <c r="I5952" s="1" t="s">
        <v>136</v>
      </c>
      <c r="J5952" s="1" t="s">
        <v>454</v>
      </c>
      <c r="K5952" s="1" t="s">
        <v>2275</v>
      </c>
      <c r="L5952" s="1" t="s">
        <v>30153</v>
      </c>
      <c r="M5952" s="2" t="s">
        <v>12</v>
      </c>
      <c r="N5952" s="4">
        <f t="shared" si="1"/>
        <v>40817</v>
      </c>
      <c r="O5952" s="5" t="str">
        <f>IFERROR(__xludf.DUMMYFUNCTION("IF(REGEXMATCH(TRIM(I5952), ""^\d+\s*min""), ""Unclassified"", IF(I5952 = """", ""NR"", I5952))"),"TV-PG")</f>
        <v>TV-PG</v>
      </c>
      <c r="R5952" s="5" t="str">
        <f t="shared" si="2"/>
        <v>Triumph Of The Heart</v>
      </c>
      <c r="S5952" s="5" t="str">
        <f>IFERROR(__xludf.DUMMYFUNCTION("""COMPUTED_VALUE"""),"Rory Scovel Tries Stand-Up For The First Time")</f>
        <v>Rory Scovel Tries Stand-Up For The First Time</v>
      </c>
      <c r="V5952" s="5"/>
      <c r="Y5952" s="5" t="str">
        <f>IFERROR(__xludf.DUMMYFUNCTION("REGEXEXTRACT(J5952, ""^\d+"")"),"93")</f>
        <v>93</v>
      </c>
      <c r="Z5952" s="5" t="str">
        <f>IFERROR(__xludf.DUMMYFUNCTION("REGEXEXTRACT(J5952, ""[A-Za-z ]+$"")")," min")</f>
        <v> min</v>
      </c>
      <c r="AA5952" s="5" t="str">
        <f>IFERROR(__xludf.DUMMYFUNCTION("IF(REGEXMATCH(Z5952, ""Season""), ""TV Show"", ""Movie"")"),"Movie")</f>
        <v>Movie</v>
      </c>
    </row>
    <row r="5953">
      <c r="A5953" s="1" t="s">
        <v>30154</v>
      </c>
      <c r="B5953" s="1" t="s">
        <v>27</v>
      </c>
      <c r="C5953" s="1" t="s">
        <v>30155</v>
      </c>
      <c r="D5953" s="1" t="s">
        <v>13821</v>
      </c>
      <c r="E5953" s="1" t="s">
        <v>30156</v>
      </c>
      <c r="F5953" s="1" t="s">
        <v>30</v>
      </c>
      <c r="G5953" s="1" t="s">
        <v>30119</v>
      </c>
      <c r="H5953" s="1">
        <v>1990.0</v>
      </c>
      <c r="I5953" s="1" t="s">
        <v>97</v>
      </c>
      <c r="J5953" s="1" t="s">
        <v>465</v>
      </c>
      <c r="K5953" s="1" t="s">
        <v>805</v>
      </c>
      <c r="L5953" s="1" t="s">
        <v>30157</v>
      </c>
      <c r="M5953" s="2" t="s">
        <v>12</v>
      </c>
      <c r="N5953" s="4">
        <f t="shared" si="1"/>
        <v>40817</v>
      </c>
      <c r="O5953" s="5" t="str">
        <f>IFERROR(__xludf.DUMMYFUNCTION("IF(REGEXMATCH(TRIM(I5953), ""^\d+\s*min""), ""Unclassified"", IF(I5953 = """", ""NR"", I5953))"),"TV-14")</f>
        <v>TV-14</v>
      </c>
      <c r="R5953" s="5" t="str">
        <f t="shared" si="2"/>
        <v>Unspeakable Acts</v>
      </c>
      <c r="S5953" s="5" t="str">
        <f>IFERROR(__xludf.DUMMYFUNCTION("""COMPUTED_VALUE"""),"Rosario Tijeras")</f>
        <v>Rosario Tijeras</v>
      </c>
      <c r="V5953" s="5"/>
      <c r="Y5953" s="5" t="str">
        <f>IFERROR(__xludf.DUMMYFUNCTION("REGEXEXTRACT(J5953, ""^\d+"")"),"95")</f>
        <v>95</v>
      </c>
      <c r="Z5953" s="5" t="str">
        <f>IFERROR(__xludf.DUMMYFUNCTION("REGEXEXTRACT(J5953, ""[A-Za-z ]+$"")")," min")</f>
        <v> min</v>
      </c>
      <c r="AA5953" s="5" t="str">
        <f>IFERROR(__xludf.DUMMYFUNCTION("IF(REGEXMATCH(Z5953, ""Season""), ""TV Show"", ""Movie"")"),"Movie")</f>
        <v>Movie</v>
      </c>
    </row>
    <row r="5954">
      <c r="A5954" s="1" t="s">
        <v>30158</v>
      </c>
      <c r="B5954" s="1" t="s">
        <v>27</v>
      </c>
      <c r="C5954" s="1" t="s">
        <v>30159</v>
      </c>
      <c r="D5954" s="1" t="s">
        <v>19710</v>
      </c>
      <c r="E5954" s="1" t="s">
        <v>30160</v>
      </c>
      <c r="F5954" s="1" t="s">
        <v>30</v>
      </c>
      <c r="G5954" s="1" t="s">
        <v>30119</v>
      </c>
      <c r="H5954" s="1">
        <v>1991.0</v>
      </c>
      <c r="I5954" s="1" t="s">
        <v>97</v>
      </c>
      <c r="J5954" s="1" t="s">
        <v>454</v>
      </c>
      <c r="K5954" s="1" t="s">
        <v>394</v>
      </c>
      <c r="L5954" s="1" t="s">
        <v>30161</v>
      </c>
      <c r="M5954" s="2" t="s">
        <v>12</v>
      </c>
      <c r="N5954" s="4">
        <f t="shared" si="1"/>
        <v>40817</v>
      </c>
      <c r="O5954" s="5" t="str">
        <f>IFERROR(__xludf.DUMMYFUNCTION("IF(REGEXMATCH(TRIM(I5954), ""^\d+\s*min""), ""Unclassified"", IF(I5954 = """", ""NR"", I5954))"),"TV-14")</f>
        <v>TV-14</v>
      </c>
      <c r="R5954" s="5" t="str">
        <f t="shared" si="2"/>
        <v>Victim Of Beauty</v>
      </c>
      <c r="S5954" s="5" t="str">
        <f>IFERROR(__xludf.DUMMYFUNCTION("""COMPUTED_VALUE"""),"Rose Island")</f>
        <v>Rose Island</v>
      </c>
      <c r="V5954" s="5"/>
      <c r="Y5954" s="5" t="str">
        <f>IFERROR(__xludf.DUMMYFUNCTION("REGEXEXTRACT(J5954, ""^\d+"")"),"93")</f>
        <v>93</v>
      </c>
      <c r="Z5954" s="5" t="str">
        <f>IFERROR(__xludf.DUMMYFUNCTION("REGEXEXTRACT(J5954, ""[A-Za-z ]+$"")")," min")</f>
        <v> min</v>
      </c>
      <c r="AA5954" s="5" t="str">
        <f>IFERROR(__xludf.DUMMYFUNCTION("IF(REGEXMATCH(Z5954, ""Season""), ""TV Show"", ""Movie"")"),"Movie")</f>
        <v>Movie</v>
      </c>
    </row>
    <row r="5955">
      <c r="A5955" s="1" t="s">
        <v>30162</v>
      </c>
      <c r="B5955" s="1" t="s">
        <v>27</v>
      </c>
      <c r="C5955" s="1" t="s">
        <v>30163</v>
      </c>
      <c r="D5955" s="1" t="s">
        <v>30164</v>
      </c>
      <c r="E5955" s="1" t="s">
        <v>30165</v>
      </c>
      <c r="F5955" s="1" t="s">
        <v>30166</v>
      </c>
      <c r="G5955" s="1" t="s">
        <v>30167</v>
      </c>
      <c r="H5955" s="1">
        <v>2000.0</v>
      </c>
      <c r="I5955" s="1" t="s">
        <v>136</v>
      </c>
      <c r="J5955" s="1" t="s">
        <v>6281</v>
      </c>
      <c r="K5955" s="1" t="s">
        <v>5064</v>
      </c>
      <c r="L5955" s="1" t="s">
        <v>30168</v>
      </c>
      <c r="M5955" s="2" t="s">
        <v>12</v>
      </c>
      <c r="N5955" s="4">
        <f t="shared" si="1"/>
        <v>40813</v>
      </c>
      <c r="O5955" s="5" t="str">
        <f>IFERROR(__xludf.DUMMYFUNCTION("IF(REGEXMATCH(TRIM(I5955), ""^\d+\s*min""), ""Unclassified"", IF(I5955 = """", ""NR"", I5955))"),"TV-PG")</f>
        <v>TV-PG</v>
      </c>
      <c r="R5955" s="5" t="str">
        <f t="shared" si="2"/>
        <v>Joseph: King Of Dreams</v>
      </c>
      <c r="S5955" s="5" t="str">
        <f>IFERROR(__xludf.DUMMYFUNCTION("""COMPUTED_VALUE"""),"Rosemary'S Baby")</f>
        <v>Rosemary'S Baby</v>
      </c>
      <c r="V5955" s="5"/>
      <c r="Y5955" s="5" t="str">
        <f>IFERROR(__xludf.DUMMYFUNCTION("REGEXEXTRACT(J5955, ""^\d+"")"),"75")</f>
        <v>75</v>
      </c>
      <c r="Z5955" s="5" t="str">
        <f>IFERROR(__xludf.DUMMYFUNCTION("REGEXEXTRACT(J5955, ""[A-Za-z ]+$"")")," min")</f>
        <v> min</v>
      </c>
      <c r="AA5955" s="5" t="str">
        <f>IFERROR(__xludf.DUMMYFUNCTION("IF(REGEXMATCH(Z5955, ""Season""), ""TV Show"", ""Movie"")"),"Movie")</f>
        <v>Movie</v>
      </c>
    </row>
    <row r="5956">
      <c r="A5956" s="1" t="s">
        <v>30169</v>
      </c>
      <c r="B5956" s="1" t="s">
        <v>27</v>
      </c>
      <c r="C5956" s="1" t="s">
        <v>30170</v>
      </c>
      <c r="D5956" s="1" t="s">
        <v>9560</v>
      </c>
      <c r="E5956" s="1" t="s">
        <v>30171</v>
      </c>
      <c r="F5956" s="1" t="s">
        <v>30172</v>
      </c>
      <c r="G5956" s="7">
        <v>40680.0</v>
      </c>
      <c r="H5956" s="1">
        <v>2010.0</v>
      </c>
      <c r="I5956" s="1" t="s">
        <v>42</v>
      </c>
      <c r="J5956" s="1" t="s">
        <v>238</v>
      </c>
      <c r="K5956" s="1" t="s">
        <v>128</v>
      </c>
      <c r="L5956" s="1" t="s">
        <v>30173</v>
      </c>
      <c r="M5956" s="2" t="s">
        <v>12</v>
      </c>
      <c r="N5956" s="4">
        <f t="shared" si="1"/>
        <v>40680</v>
      </c>
      <c r="O5956" s="5" t="str">
        <f>IFERROR(__xludf.DUMMYFUNCTION("IF(REGEXMATCH(TRIM(I5956), ""^\d+\s*min""), ""Unclassified"", IF(I5956 = """", ""NR"", I5956))"),"TV-MA")</f>
        <v>TV-MA</v>
      </c>
      <c r="R5956" s="5" t="str">
        <f t="shared" si="2"/>
        <v>Even The Rain</v>
      </c>
      <c r="S5956" s="5" t="str">
        <f>IFERROR(__xludf.DUMMYFUNCTION("""COMPUTED_VALUE"""),"Roswell, New Mexico")</f>
        <v>Roswell, New Mexico</v>
      </c>
      <c r="V5956" s="5"/>
      <c r="Y5956" s="5" t="str">
        <f>IFERROR(__xludf.DUMMYFUNCTION("REGEXEXTRACT(J5956, ""^\d+"")"),"103")</f>
        <v>103</v>
      </c>
      <c r="Z5956" s="5" t="str">
        <f>IFERROR(__xludf.DUMMYFUNCTION("REGEXEXTRACT(J5956, ""[A-Za-z ]+$"")")," min")</f>
        <v> min</v>
      </c>
      <c r="AA5956" s="5" t="str">
        <f>IFERROR(__xludf.DUMMYFUNCTION("IF(REGEXMATCH(Z5956, ""Season""), ""TV Show"", ""Movie"")"),"Movie")</f>
        <v>Movie</v>
      </c>
    </row>
    <row r="5957">
      <c r="A5957" s="1" t="s">
        <v>30174</v>
      </c>
      <c r="B5957" s="1" t="s">
        <v>27</v>
      </c>
      <c r="C5957" s="1" t="s">
        <v>30175</v>
      </c>
      <c r="D5957" s="1" t="s">
        <v>11074</v>
      </c>
      <c r="E5957" s="1" t="s">
        <v>30176</v>
      </c>
      <c r="F5957" s="1" t="s">
        <v>30</v>
      </c>
      <c r="G5957" s="1" t="s">
        <v>30177</v>
      </c>
      <c r="H5957" s="1">
        <v>2009.0</v>
      </c>
      <c r="I5957" s="1" t="s">
        <v>42</v>
      </c>
      <c r="J5957" s="1" t="s">
        <v>5170</v>
      </c>
      <c r="K5957" s="1" t="s">
        <v>1551</v>
      </c>
      <c r="L5957" s="1" t="s">
        <v>30178</v>
      </c>
      <c r="M5957" s="2" t="s">
        <v>12</v>
      </c>
      <c r="N5957" s="4">
        <f t="shared" si="1"/>
        <v>40135</v>
      </c>
      <c r="O5957" s="5" t="str">
        <f>IFERROR(__xludf.DUMMYFUNCTION("IF(REGEXMATCH(TRIM(I5957), ""^\d+\s*min""), ""Unclassified"", IF(I5957 = """", ""NR"", I5957))"),"TV-MA")</f>
        <v>TV-MA</v>
      </c>
      <c r="R5957" s="5" t="str">
        <f t="shared" si="2"/>
        <v>Splatter</v>
      </c>
      <c r="S5957" s="5" t="str">
        <f>IFERROR(__xludf.DUMMYFUNCTION("""COMPUTED_VALUE"""),"Rotten")</f>
        <v>Rotten</v>
      </c>
      <c r="V5957" s="5"/>
      <c r="Y5957" s="5" t="str">
        <f>IFERROR(__xludf.DUMMYFUNCTION("REGEXEXTRACT(J5957, ""^\d+"")"),"29")</f>
        <v>29</v>
      </c>
      <c r="Z5957" s="5" t="str">
        <f>IFERROR(__xludf.DUMMYFUNCTION("REGEXEXTRACT(J5957, ""[A-Za-z ]+$"")")," min")</f>
        <v> min</v>
      </c>
      <c r="AA5957" s="5" t="str">
        <f>IFERROR(__xludf.DUMMYFUNCTION("IF(REGEXMATCH(Z5957, ""Season""), ""TV Show"", ""Movie"")"),"Movie")</f>
        <v>Movie</v>
      </c>
    </row>
    <row r="5958">
      <c r="A5958" s="1" t="s">
        <v>30179</v>
      </c>
      <c r="B5958" s="1" t="s">
        <v>27</v>
      </c>
      <c r="C5958" s="1" t="s">
        <v>30180</v>
      </c>
      <c r="D5958" s="1" t="s">
        <v>17162</v>
      </c>
      <c r="E5958" s="1" t="s">
        <v>30181</v>
      </c>
      <c r="F5958" s="1" t="s">
        <v>4478</v>
      </c>
      <c r="G5958" s="7">
        <v>39938.0</v>
      </c>
      <c r="H5958" s="1">
        <v>2007.0</v>
      </c>
      <c r="I5958" s="1" t="s">
        <v>42</v>
      </c>
      <c r="J5958" s="1" t="s">
        <v>106</v>
      </c>
      <c r="K5958" s="1" t="s">
        <v>128</v>
      </c>
      <c r="L5958" s="1" t="s">
        <v>30182</v>
      </c>
      <c r="M5958" s="2" t="s">
        <v>12</v>
      </c>
      <c r="N5958" s="4">
        <f t="shared" si="1"/>
        <v>39938</v>
      </c>
      <c r="O5958" s="5" t="str">
        <f>IFERROR(__xludf.DUMMYFUNCTION("IF(REGEXMATCH(TRIM(I5958), ""^\d+\s*min""), ""Unclassified"", IF(I5958 = """", ""NR"", I5958))"),"TV-MA")</f>
        <v>TV-MA</v>
      </c>
      <c r="R5958" s="5" t="str">
        <f t="shared" si="2"/>
        <v>Just Another Love Story</v>
      </c>
      <c r="S5958" s="5" t="str">
        <f>IFERROR(__xludf.DUMMYFUNCTION("""COMPUTED_VALUE"""),"Rounders")</f>
        <v>Rounders</v>
      </c>
      <c r="V5958" s="5"/>
      <c r="Y5958" s="5" t="str">
        <f>IFERROR(__xludf.DUMMYFUNCTION("REGEXEXTRACT(J5958, ""^\d+"")"),"104")</f>
        <v>104</v>
      </c>
      <c r="Z5958" s="5" t="str">
        <f>IFERROR(__xludf.DUMMYFUNCTION("REGEXEXTRACT(J5958, ""[A-Za-z ]+$"")")," min")</f>
        <v> min</v>
      </c>
      <c r="AA5958" s="5" t="str">
        <f>IFERROR(__xludf.DUMMYFUNCTION("IF(REGEXMATCH(Z5958, ""Season""), ""TV Show"", ""Movie"")"),"Movie")</f>
        <v>Movie</v>
      </c>
    </row>
    <row r="5959">
      <c r="A5959" s="1" t="s">
        <v>30183</v>
      </c>
      <c r="B5959" s="1" t="s">
        <v>27</v>
      </c>
      <c r="C5959" s="1" t="s">
        <v>30184</v>
      </c>
      <c r="D5959" s="1" t="s">
        <v>21369</v>
      </c>
      <c r="E5959" s="1" t="s">
        <v>30185</v>
      </c>
      <c r="F5959" s="1" t="s">
        <v>30</v>
      </c>
      <c r="G5959" s="1" t="s">
        <v>30186</v>
      </c>
      <c r="H5959" s="1">
        <v>2006.0</v>
      </c>
      <c r="I5959" s="1" t="s">
        <v>42</v>
      </c>
      <c r="J5959" s="1" t="s">
        <v>2452</v>
      </c>
      <c r="K5959" s="1" t="s">
        <v>2327</v>
      </c>
      <c r="L5959" s="1" t="s">
        <v>30187</v>
      </c>
      <c r="M5959" s="2" t="s">
        <v>12</v>
      </c>
      <c r="N5959" s="4">
        <f t="shared" si="1"/>
        <v>39448</v>
      </c>
      <c r="O5959" s="5" t="str">
        <f>IFERROR(__xludf.DUMMYFUNCTION("IF(REGEXMATCH(TRIM(I5959), ""^\d+\s*min""), ""Unclassified"", IF(I5959 = """", ""NR"", I5959))"),"TV-MA")</f>
        <v>TV-MA</v>
      </c>
      <c r="R5959" s="5" t="str">
        <f t="shared" si="2"/>
        <v>To And From New York</v>
      </c>
      <c r="S5959" s="5" t="str">
        <f>IFERROR(__xludf.DUMMYFUNCTION("""COMPUTED_VALUE"""),"Rowdy Rathore")</f>
        <v>Rowdy Rathore</v>
      </c>
      <c r="V5959" s="5"/>
      <c r="Y5959" s="5" t="str">
        <f>IFERROR(__xludf.DUMMYFUNCTION("REGEXEXTRACT(J5959, ""^\d+"")"),"81")</f>
        <v>81</v>
      </c>
      <c r="Z5959" s="5" t="str">
        <f>IFERROR(__xludf.DUMMYFUNCTION("REGEXEXTRACT(J5959, ""[A-Za-z ]+$"")")," min")</f>
        <v> min</v>
      </c>
      <c r="AA5959" s="5" t="str">
        <f>IFERROR(__xludf.DUMMYFUNCTION("IF(REGEXMATCH(Z5959, ""Season""), ""TV Show"", ""Movie"")"),"Movie")</f>
        <v>Movie</v>
      </c>
    </row>
    <row r="5960">
      <c r="A5960" s="1" t="s">
        <v>30188</v>
      </c>
      <c r="B5960" s="1" t="s">
        <v>27</v>
      </c>
      <c r="C5960" s="1">
        <v>9.0</v>
      </c>
      <c r="D5960" s="1" t="s">
        <v>20901</v>
      </c>
      <c r="E5960" s="1" t="s">
        <v>30189</v>
      </c>
      <c r="F5960" s="1" t="s">
        <v>30</v>
      </c>
      <c r="G5960" s="1" t="s">
        <v>30190</v>
      </c>
      <c r="H5960" s="1">
        <v>2009.0</v>
      </c>
      <c r="I5960" s="1" t="s">
        <v>32</v>
      </c>
      <c r="J5960" s="1" t="s">
        <v>729</v>
      </c>
      <c r="K5960" s="1" t="s">
        <v>20638</v>
      </c>
      <c r="L5960" s="1" t="s">
        <v>30191</v>
      </c>
      <c r="M5960" s="2" t="s">
        <v>12</v>
      </c>
      <c r="N5960" s="4">
        <f t="shared" si="1"/>
        <v>43055</v>
      </c>
      <c r="O5960" s="5" t="str">
        <f>IFERROR(__xludf.DUMMYFUNCTION("IF(REGEXMATCH(TRIM(I5960), ""^\d+\s*min""), ""Unclassified"", IF(I5960 = """", ""NR"", I5960))"),"PG-13")</f>
        <v>PG-13</v>
      </c>
      <c r="R5960" s="5" t="str">
        <f t="shared" si="2"/>
        <v>9</v>
      </c>
      <c r="S5960" s="5" t="str">
        <f>IFERROR(__xludf.DUMMYFUNCTION("""COMPUTED_VALUE"""),"Roxanne Roxanne")</f>
        <v>Roxanne Roxanne</v>
      </c>
      <c r="V5960" s="5"/>
      <c r="Y5960" s="5" t="str">
        <f>IFERROR(__xludf.DUMMYFUNCTION("REGEXEXTRACT(J5960, ""^\d+"")"),"80")</f>
        <v>80</v>
      </c>
      <c r="Z5960" s="5" t="str">
        <f>IFERROR(__xludf.DUMMYFUNCTION("REGEXEXTRACT(J5960, ""[A-Za-z ]+$"")")," min")</f>
        <v> min</v>
      </c>
      <c r="AA5960" s="5" t="str">
        <f>IFERROR(__xludf.DUMMYFUNCTION("IF(REGEXMATCH(Z5960, ""Season""), ""TV Show"", ""Movie"")"),"Movie")</f>
        <v>Movie</v>
      </c>
    </row>
    <row r="5961">
      <c r="A5961" s="1" t="s">
        <v>30192</v>
      </c>
      <c r="B5961" s="1" t="s">
        <v>27</v>
      </c>
      <c r="C5961" s="1">
        <v>21.0</v>
      </c>
      <c r="D5961" s="1" t="s">
        <v>253</v>
      </c>
      <c r="E5961" s="1" t="s">
        <v>30193</v>
      </c>
      <c r="F5961" s="1" t="s">
        <v>30</v>
      </c>
      <c r="G5961" s="1" t="s">
        <v>16947</v>
      </c>
      <c r="H5961" s="1">
        <v>2008.0</v>
      </c>
      <c r="I5961" s="1" t="s">
        <v>32</v>
      </c>
      <c r="J5961" s="1" t="s">
        <v>2566</v>
      </c>
      <c r="K5961" s="1" t="s">
        <v>805</v>
      </c>
      <c r="L5961" s="1" t="s">
        <v>30194</v>
      </c>
      <c r="M5961" s="2" t="s">
        <v>12</v>
      </c>
      <c r="N5961" s="4">
        <f t="shared" si="1"/>
        <v>43831</v>
      </c>
      <c r="O5961" s="5" t="str">
        <f>IFERROR(__xludf.DUMMYFUNCTION("IF(REGEXMATCH(TRIM(I5961), ""^\d+\s*min""), ""Unclassified"", IF(I5961 = """", ""NR"", I5961))"),"PG-13")</f>
        <v>PG-13</v>
      </c>
      <c r="R5961" s="5" t="str">
        <f t="shared" si="2"/>
        <v>21</v>
      </c>
      <c r="S5961" s="5" t="str">
        <f>IFERROR(__xludf.DUMMYFUNCTION("""COMPUTED_VALUE"""),"Royal Pains")</f>
        <v>Royal Pains</v>
      </c>
      <c r="V5961" s="5"/>
      <c r="Y5961" s="5" t="str">
        <f>IFERROR(__xludf.DUMMYFUNCTION("REGEXEXTRACT(J5961, ""^\d+"")"),"123")</f>
        <v>123</v>
      </c>
      <c r="Z5961" s="5" t="str">
        <f>IFERROR(__xludf.DUMMYFUNCTION("REGEXEXTRACT(J5961, ""[A-Za-z ]+$"")")," min")</f>
        <v> min</v>
      </c>
      <c r="AA5961" s="5" t="str">
        <f>IFERROR(__xludf.DUMMYFUNCTION("IF(REGEXMATCH(Z5961, ""Season""), ""TV Show"", ""Movie"")"),"Movie")</f>
        <v>Movie</v>
      </c>
    </row>
    <row r="5962">
      <c r="A5962" s="1" t="s">
        <v>30195</v>
      </c>
      <c r="B5962" s="1" t="s">
        <v>27</v>
      </c>
      <c r="C5962" s="1">
        <v>187.0</v>
      </c>
      <c r="D5962" s="1" t="s">
        <v>12890</v>
      </c>
      <c r="E5962" s="1" t="s">
        <v>30196</v>
      </c>
      <c r="F5962" s="1" t="s">
        <v>30</v>
      </c>
      <c r="G5962" s="1" t="s">
        <v>18333</v>
      </c>
      <c r="H5962" s="1">
        <v>1997.0</v>
      </c>
      <c r="I5962" s="1" t="s">
        <v>378</v>
      </c>
      <c r="J5962" s="1" t="s">
        <v>804</v>
      </c>
      <c r="K5962" s="1" t="s">
        <v>805</v>
      </c>
      <c r="L5962" s="1" t="s">
        <v>30197</v>
      </c>
      <c r="M5962" s="2" t="s">
        <v>12</v>
      </c>
      <c r="N5962" s="4">
        <f t="shared" si="1"/>
        <v>43770</v>
      </c>
      <c r="O5962" s="5" t="str">
        <f>IFERROR(__xludf.DUMMYFUNCTION("IF(REGEXMATCH(TRIM(I5962), ""^\d+\s*min""), ""Unclassified"", IF(I5962 = """", ""NR"", I5962))"),"R")</f>
        <v>R</v>
      </c>
      <c r="R5962" s="5" t="str">
        <f t="shared" si="2"/>
        <v>187</v>
      </c>
      <c r="S5962" s="5" t="str">
        <f>IFERROR(__xludf.DUMMYFUNCTION("""COMPUTED_VALUE"""),"Rubi")</f>
        <v>Rubi</v>
      </c>
      <c r="V5962" s="5"/>
      <c r="Y5962" s="5" t="str">
        <f>IFERROR(__xludf.DUMMYFUNCTION("REGEXEXTRACT(J5962, ""^\d+"")"),"119")</f>
        <v>119</v>
      </c>
      <c r="Z5962" s="5" t="str">
        <f>IFERROR(__xludf.DUMMYFUNCTION("REGEXEXTRACT(J5962, ""[A-Za-z ]+$"")")," min")</f>
        <v> min</v>
      </c>
      <c r="AA5962" s="5" t="str">
        <f>IFERROR(__xludf.DUMMYFUNCTION("IF(REGEXMATCH(Z5962, ""Season""), ""TV Show"", ""Movie"")"),"Movie")</f>
        <v>Movie</v>
      </c>
    </row>
    <row r="5963">
      <c r="A5963" s="1" t="s">
        <v>30198</v>
      </c>
      <c r="B5963" s="1" t="s">
        <v>27</v>
      </c>
      <c r="C5963" s="1">
        <v>706.0</v>
      </c>
      <c r="D5963" s="1" t="s">
        <v>21117</v>
      </c>
      <c r="E5963" s="1" t="s">
        <v>30199</v>
      </c>
      <c r="F5963" s="1" t="s">
        <v>63</v>
      </c>
      <c r="G5963" s="1" t="s">
        <v>21360</v>
      </c>
      <c r="H5963" s="1">
        <v>2019.0</v>
      </c>
      <c r="I5963" s="1" t="s">
        <v>97</v>
      </c>
      <c r="J5963" s="1" t="s">
        <v>870</v>
      </c>
      <c r="K5963" s="1" t="s">
        <v>1441</v>
      </c>
      <c r="L5963" s="1" t="s">
        <v>30200</v>
      </c>
      <c r="M5963" s="2" t="s">
        <v>12</v>
      </c>
      <c r="N5963" s="4">
        <f t="shared" si="1"/>
        <v>43556</v>
      </c>
      <c r="O5963" s="5" t="str">
        <f>IFERROR(__xludf.DUMMYFUNCTION("IF(REGEXMATCH(TRIM(I5963), ""^\d+\s*min""), ""Unclassified"", IF(I5963 = """", ""NR"", I5963))"),"TV-14")</f>
        <v>TV-14</v>
      </c>
      <c r="R5963" s="5" t="str">
        <f t="shared" si="2"/>
        <v>706</v>
      </c>
      <c r="S5963" s="5" t="str">
        <f>IFERROR(__xludf.DUMMYFUNCTION("""COMPUTED_VALUE"""),"Rudra: Secret Of The Black Moon")</f>
        <v>Rudra: Secret Of The Black Moon</v>
      </c>
      <c r="V5963" s="5"/>
      <c r="Y5963" s="5" t="str">
        <f>IFERROR(__xludf.DUMMYFUNCTION("REGEXEXTRACT(J5963, ""^\d+"")"),"118")</f>
        <v>118</v>
      </c>
      <c r="Z5963" s="5" t="str">
        <f>IFERROR(__xludf.DUMMYFUNCTION("REGEXEXTRACT(J5963, ""[A-Za-z ]+$"")")," min")</f>
        <v> min</v>
      </c>
      <c r="AA5963" s="5" t="str">
        <f>IFERROR(__xludf.DUMMYFUNCTION("IF(REGEXMATCH(Z5963, ""Season""), ""TV Show"", ""Movie"")"),"Movie")</f>
        <v>Movie</v>
      </c>
    </row>
    <row r="5964">
      <c r="A5964" s="1" t="s">
        <v>30201</v>
      </c>
      <c r="B5964" s="1" t="s">
        <v>27</v>
      </c>
      <c r="C5964" s="1">
        <v>1920.0</v>
      </c>
      <c r="D5964" s="1" t="s">
        <v>7699</v>
      </c>
      <c r="E5964" s="1" t="s">
        <v>30202</v>
      </c>
      <c r="F5964" s="1" t="s">
        <v>63</v>
      </c>
      <c r="G5964" s="1" t="s">
        <v>26596</v>
      </c>
      <c r="H5964" s="1">
        <v>2008.0</v>
      </c>
      <c r="I5964" s="1" t="s">
        <v>42</v>
      </c>
      <c r="J5964" s="1" t="s">
        <v>820</v>
      </c>
      <c r="K5964" s="1" t="s">
        <v>1592</v>
      </c>
      <c r="L5964" s="1" t="s">
        <v>30203</v>
      </c>
      <c r="M5964" s="2" t="s">
        <v>12</v>
      </c>
      <c r="N5964" s="4">
        <f t="shared" si="1"/>
        <v>43084</v>
      </c>
      <c r="O5964" s="5" t="str">
        <f>IFERROR(__xludf.DUMMYFUNCTION("IF(REGEXMATCH(TRIM(I5964), ""^\d+\s*min""), ""Unclassified"", IF(I5964 = """", ""NR"", I5964))"),"TV-MA")</f>
        <v>TV-MA</v>
      </c>
      <c r="R5964" s="5" t="str">
        <f t="shared" si="2"/>
        <v>1920</v>
      </c>
      <c r="S5964" s="5" t="str">
        <f>IFERROR(__xludf.DUMMYFUNCTION("""COMPUTED_VALUE"""),"Rudra: The Rise Of King Pharaoh")</f>
        <v>Rudra: The Rise Of King Pharaoh</v>
      </c>
      <c r="V5964" s="5"/>
      <c r="Y5964" s="5" t="str">
        <f>IFERROR(__xludf.DUMMYFUNCTION("REGEXEXTRACT(J5964, ""^\d+"")"),"143")</f>
        <v>143</v>
      </c>
      <c r="Z5964" s="5" t="str">
        <f>IFERROR(__xludf.DUMMYFUNCTION("REGEXEXTRACT(J5964, ""[A-Za-z ]+$"")")," min")</f>
        <v> min</v>
      </c>
      <c r="AA5964" s="5" t="str">
        <f>IFERROR(__xludf.DUMMYFUNCTION("IF(REGEXMATCH(Z5964, ""Season""), ""TV Show"", ""Movie"")"),"Movie")</f>
        <v>Movie</v>
      </c>
    </row>
    <row r="5965">
      <c r="A5965" s="1" t="s">
        <v>30204</v>
      </c>
      <c r="B5965" s="1" t="s">
        <v>27</v>
      </c>
      <c r="C5965" s="14">
        <v>45931.0</v>
      </c>
      <c r="D5965" s="1" t="s">
        <v>10013</v>
      </c>
      <c r="E5965" s="1" t="s">
        <v>30205</v>
      </c>
      <c r="F5965" s="1" t="s">
        <v>400</v>
      </c>
      <c r="G5965" s="1" t="s">
        <v>19361</v>
      </c>
      <c r="H5965" s="1">
        <v>2014.0</v>
      </c>
      <c r="I5965" s="1" t="s">
        <v>97</v>
      </c>
      <c r="J5965" s="1" t="s">
        <v>5833</v>
      </c>
      <c r="K5965" s="1" t="s">
        <v>298</v>
      </c>
      <c r="L5965" s="1" t="s">
        <v>30206</v>
      </c>
      <c r="M5965" s="2" t="s">
        <v>12</v>
      </c>
      <c r="N5965" s="4">
        <f t="shared" si="1"/>
        <v>43709</v>
      </c>
      <c r="O5965" s="5" t="str">
        <f>IFERROR(__xludf.DUMMYFUNCTION("IF(REGEXMATCH(TRIM(I5965), ""^\d+\s*min""), ""Unclassified"", IF(I5965 = """", ""NR"", I5965))"),"TV-14")</f>
        <v>TV-14</v>
      </c>
      <c r="R5965" s="5" t="str">
        <f t="shared" si="2"/>
        <v>Oct-01</v>
      </c>
      <c r="S5965" s="5" t="str">
        <f>IFERROR(__xludf.DUMMYFUNCTION("""COMPUTED_VALUE"""),"Rudy Habibie")</f>
        <v>Rudy Habibie</v>
      </c>
      <c r="V5965" s="5"/>
      <c r="Y5965" s="5" t="str">
        <f>IFERROR(__xludf.DUMMYFUNCTION("REGEXEXTRACT(J5965, ""^\d+"")"),"149")</f>
        <v>149</v>
      </c>
      <c r="Z5965" s="5" t="str">
        <f>IFERROR(__xludf.DUMMYFUNCTION("REGEXEXTRACT(J5965, ""[A-Za-z ]+$"")")," min")</f>
        <v> min</v>
      </c>
      <c r="AA5965" s="5" t="str">
        <f>IFERROR(__xludf.DUMMYFUNCTION("IF(REGEXMATCH(Z5965, ""Season""), ""TV Show"", ""Movie"")"),"Movie")</f>
        <v>Movie</v>
      </c>
    </row>
    <row r="5966">
      <c r="A5966" s="1" t="s">
        <v>30207</v>
      </c>
      <c r="B5966" s="1" t="s">
        <v>37</v>
      </c>
      <c r="C5966" s="14">
        <v>45697.0</v>
      </c>
      <c r="E5966" s="1" t="s">
        <v>21573</v>
      </c>
      <c r="G5966" s="1" t="s">
        <v>21568</v>
      </c>
      <c r="H5966" s="1">
        <v>2018.0</v>
      </c>
      <c r="I5966" s="1" t="s">
        <v>97</v>
      </c>
      <c r="J5966" s="1" t="s">
        <v>51</v>
      </c>
      <c r="K5966" s="1" t="s">
        <v>402</v>
      </c>
      <c r="L5966" s="1" t="s">
        <v>21574</v>
      </c>
      <c r="M5966" s="2" t="s">
        <v>12</v>
      </c>
      <c r="N5966" s="4">
        <f t="shared" si="1"/>
        <v>43544</v>
      </c>
      <c r="O5966" s="5" t="str">
        <f>IFERROR(__xludf.DUMMYFUNCTION("IF(REGEXMATCH(TRIM(I5966), ""^\d+\s*min""), ""Unclassified"", IF(I5966 = """", ""NR"", I5966))"),"TV-14")</f>
        <v>TV-14</v>
      </c>
      <c r="R5966" s="5" t="str">
        <f t="shared" si="2"/>
        <v>Feb-09</v>
      </c>
      <c r="S5966" s="5" t="str">
        <f>IFERROR(__xludf.DUMMYFUNCTION("""COMPUTED_VALUE"""),"Rugal")</f>
        <v>Rugal</v>
      </c>
      <c r="V5966" s="5"/>
      <c r="Y5966" s="5" t="str">
        <f>IFERROR(__xludf.DUMMYFUNCTION("REGEXEXTRACT(J5966, ""^\d+"")"),"1")</f>
        <v>1</v>
      </c>
      <c r="Z5966" s="5" t="str">
        <f>IFERROR(__xludf.DUMMYFUNCTION("REGEXEXTRACT(J5966, ""[A-Za-z ]+$"")")," Season")</f>
        <v> Season</v>
      </c>
      <c r="AA5966" s="5" t="str">
        <f>IFERROR(__xludf.DUMMYFUNCTION("IF(REGEXMATCH(Z5966, ""Season""), ""TV Show"", ""Movie"")"),"TV Show")</f>
        <v>TV Show</v>
      </c>
    </row>
    <row r="5967">
      <c r="A5967" s="1" t="s">
        <v>30208</v>
      </c>
      <c r="B5967" s="1" t="s">
        <v>27</v>
      </c>
      <c r="C5967" s="15">
        <v>45860.0</v>
      </c>
      <c r="D5967" s="1" t="s">
        <v>5605</v>
      </c>
      <c r="E5967" s="1" t="s">
        <v>24047</v>
      </c>
      <c r="F5967" s="1" t="s">
        <v>24048</v>
      </c>
      <c r="G5967" s="1" t="s">
        <v>24049</v>
      </c>
      <c r="H5967" s="1">
        <v>2018.0</v>
      </c>
      <c r="I5967" s="1" t="s">
        <v>378</v>
      </c>
      <c r="J5967" s="1" t="s">
        <v>14942</v>
      </c>
      <c r="K5967" s="1" t="s">
        <v>394</v>
      </c>
      <c r="L5967" s="1" t="s">
        <v>24050</v>
      </c>
      <c r="M5967" s="2" t="s">
        <v>12</v>
      </c>
      <c r="N5967" s="4">
        <f t="shared" si="1"/>
        <v>43383</v>
      </c>
      <c r="O5967" s="5" t="str">
        <f>IFERROR(__xludf.DUMMYFUNCTION("IF(REGEXMATCH(TRIM(I5967), ""^\d+\s*min""), ""Unclassified"", IF(I5967 = """", ""NR"", I5967))"),"R")</f>
        <v>R</v>
      </c>
      <c r="R5967" s="5" t="str">
        <f t="shared" si="2"/>
        <v>22-Jul</v>
      </c>
      <c r="S5967" s="5" t="str">
        <f>IFERROR(__xludf.DUMMYFUNCTION("""COMPUTED_VALUE"""),"Rugrats In Paris: The Movie")</f>
        <v>Rugrats In Paris: The Movie</v>
      </c>
      <c r="V5967" s="5"/>
      <c r="Y5967" s="5" t="str">
        <f>IFERROR(__xludf.DUMMYFUNCTION("REGEXEXTRACT(J5967, ""^\d+"")"),"144")</f>
        <v>144</v>
      </c>
      <c r="Z5967" s="5" t="str">
        <f>IFERROR(__xludf.DUMMYFUNCTION("REGEXEXTRACT(J5967, ""[A-Za-z ]+$"")")," min")</f>
        <v> min</v>
      </c>
      <c r="AA5967" s="5" t="str">
        <f>IFERROR(__xludf.DUMMYFUNCTION("IF(REGEXMATCH(Z5967, ""Season""), ""TV Show"", ""Movie"")"),"Movie")</f>
        <v>Movie</v>
      </c>
    </row>
    <row r="5968">
      <c r="A5968" s="1" t="s">
        <v>30209</v>
      </c>
      <c r="B5968" s="1" t="s">
        <v>27</v>
      </c>
      <c r="C5968" s="1" t="s">
        <v>30210</v>
      </c>
      <c r="D5968" s="1" t="s">
        <v>21405</v>
      </c>
      <c r="E5968" s="1" t="s">
        <v>21406</v>
      </c>
      <c r="F5968" s="1" t="s">
        <v>63</v>
      </c>
      <c r="G5968" s="1" t="s">
        <v>21407</v>
      </c>
      <c r="H5968" s="1">
        <v>2019.0</v>
      </c>
      <c r="I5968" s="1" t="s">
        <v>97</v>
      </c>
      <c r="J5968" s="1" t="s">
        <v>341</v>
      </c>
      <c r="K5968" s="1" t="s">
        <v>836</v>
      </c>
      <c r="L5968" s="1" t="s">
        <v>21408</v>
      </c>
      <c r="M5968" s="2" t="s">
        <v>12</v>
      </c>
      <c r="N5968" s="4">
        <f t="shared" si="1"/>
        <v>43553</v>
      </c>
      <c r="O5968" s="5" t="str">
        <f>IFERROR(__xludf.DUMMYFUNCTION("IF(REGEXMATCH(TRIM(I5968), ""^\d+\s*min""), ""Unclassified"", IF(I5968 = """", ""NR"", I5968))"),"TV-14")</f>
        <v>TV-14</v>
      </c>
      <c r="R5968" s="5" t="str">
        <f t="shared" si="2"/>
        <v>15-Aug</v>
      </c>
      <c r="S5968" s="5" t="str">
        <f>IFERROR(__xludf.DUMMYFUNCTION("""COMPUTED_VALUE"""),"Rukh")</f>
        <v>Rukh</v>
      </c>
      <c r="V5968" s="5"/>
      <c r="Y5968" s="5" t="str">
        <f>IFERROR(__xludf.DUMMYFUNCTION("REGEXEXTRACT(J5968, ""^\d+"")"),"124")</f>
        <v>124</v>
      </c>
      <c r="Z5968" s="5" t="str">
        <f>IFERROR(__xludf.DUMMYFUNCTION("REGEXEXTRACT(J5968, ""[A-Za-z ]+$"")")," min")</f>
        <v> min</v>
      </c>
      <c r="AA5968" s="5" t="str">
        <f>IFERROR(__xludf.DUMMYFUNCTION("IF(REGEXMATCH(Z5968, ""Season""), ""TV Show"", ""Movie"")"),"Movie")</f>
        <v>Movie</v>
      </c>
    </row>
    <row r="5969">
      <c r="A5969" s="1" t="s">
        <v>30211</v>
      </c>
      <c r="B5969" s="1" t="s">
        <v>27</v>
      </c>
      <c r="C5969" s="6" t="s">
        <v>30212</v>
      </c>
      <c r="E5969" s="1" t="s">
        <v>30213</v>
      </c>
      <c r="F5969" s="1" t="s">
        <v>96</v>
      </c>
      <c r="G5969" s="7">
        <v>43236.0</v>
      </c>
      <c r="H5969" s="1">
        <v>2017.0</v>
      </c>
      <c r="I5969" s="1" t="s">
        <v>136</v>
      </c>
      <c r="J5969" s="1" t="s">
        <v>630</v>
      </c>
      <c r="K5969" s="1" t="s">
        <v>30214</v>
      </c>
      <c r="L5969" s="1" t="s">
        <v>30215</v>
      </c>
      <c r="M5969" s="2" t="s">
        <v>12</v>
      </c>
      <c r="N5969" s="4">
        <f t="shared" si="1"/>
        <v>43236</v>
      </c>
      <c r="O5969" s="5" t="str">
        <f>IFERROR(__xludf.DUMMYFUNCTION("IF(REGEXMATCH(TRIM(I5969), ""^\d+\s*min""), ""Unclassified"", IF(I5969 = """", ""NR"", I5969))"),"TV-PG")</f>
        <v>TV-PG</v>
      </c>
      <c r="R5969" s="5" t="str">
        <f t="shared" si="2"/>
        <v>89</v>
      </c>
      <c r="S5969" s="5" t="str">
        <f>IFERROR(__xludf.DUMMYFUNCTION("""COMPUTED_VALUE"""),"Rumble")</f>
        <v>Rumble</v>
      </c>
      <c r="V5969" s="5"/>
      <c r="Y5969" s="5" t="str">
        <f>IFERROR(__xludf.DUMMYFUNCTION("REGEXEXTRACT(J5969, ""^\d+"")"),"87")</f>
        <v>87</v>
      </c>
      <c r="Z5969" s="5" t="str">
        <f>IFERROR(__xludf.DUMMYFUNCTION("REGEXEXTRACT(J5969, ""[A-Za-z ]+$"")")," min")</f>
        <v> min</v>
      </c>
      <c r="AA5969" s="5" t="str">
        <f>IFERROR(__xludf.DUMMYFUNCTION("IF(REGEXMATCH(Z5969, ""Season""), ""TV Show"", ""Movie"")"),"Movie")</f>
        <v>Movie</v>
      </c>
    </row>
    <row r="5970">
      <c r="A5970" s="1" t="s">
        <v>30216</v>
      </c>
      <c r="B5970" s="1" t="s">
        <v>27</v>
      </c>
      <c r="C5970" s="1" t="s">
        <v>30217</v>
      </c>
      <c r="D5970" s="1" t="s">
        <v>23265</v>
      </c>
      <c r="E5970" s="1" t="s">
        <v>30218</v>
      </c>
      <c r="F5970" s="1" t="s">
        <v>63</v>
      </c>
      <c r="G5970" s="1" t="s">
        <v>24523</v>
      </c>
      <c r="H5970" s="1">
        <v>2018.0</v>
      </c>
      <c r="I5970" s="1" t="s">
        <v>97</v>
      </c>
      <c r="J5970" s="1" t="s">
        <v>757</v>
      </c>
      <c r="K5970" s="1" t="s">
        <v>306</v>
      </c>
      <c r="L5970" s="1" t="s">
        <v>30219</v>
      </c>
      <c r="M5970" s="2" t="s">
        <v>12</v>
      </c>
      <c r="N5970" s="4">
        <f t="shared" si="1"/>
        <v>43358</v>
      </c>
      <c r="O5970" s="5" t="str">
        <f>IFERROR(__xludf.DUMMYFUNCTION("IF(REGEXMATCH(TRIM(I5970), ""^\d+\s*min""), ""Unclassified"", IF(I5970 = """", ""NR"", I5970))"),"TV-14")</f>
        <v>TV-14</v>
      </c>
      <c r="R5970" s="5" t="str">
        <f t="shared" si="2"/>
        <v>​Goli Soda 2</v>
      </c>
      <c r="S5970" s="5" t="str">
        <f>IFERROR(__xludf.DUMMYFUNCTION("""COMPUTED_VALUE"""),"Rumble In The Bronx")</f>
        <v>Rumble In The Bronx</v>
      </c>
      <c r="V5970" s="5"/>
      <c r="Y5970" s="5" t="str">
        <f>IFERROR(__xludf.DUMMYFUNCTION("REGEXEXTRACT(J5970, ""^\d+"")"),"128")</f>
        <v>128</v>
      </c>
      <c r="Z5970" s="5" t="str">
        <f>IFERROR(__xludf.DUMMYFUNCTION("REGEXEXTRACT(J5970, ""[A-Za-z ]+$"")")," min")</f>
        <v> min</v>
      </c>
      <c r="AA5970" s="5" t="str">
        <f>IFERROR(__xludf.DUMMYFUNCTION("IF(REGEXMATCH(Z5970, ""Season""), ""TV Show"", ""Movie"")"),"Movie")</f>
        <v>Movie</v>
      </c>
    </row>
    <row r="5971">
      <c r="A5971" s="1" t="s">
        <v>30220</v>
      </c>
      <c r="B5971" s="1" t="s">
        <v>27</v>
      </c>
      <c r="C5971" s="1" t="s">
        <v>30221</v>
      </c>
      <c r="D5971" s="1" t="s">
        <v>20437</v>
      </c>
      <c r="E5971" s="1" t="s">
        <v>30222</v>
      </c>
      <c r="F5971" s="1" t="s">
        <v>63</v>
      </c>
      <c r="G5971" s="1" t="s">
        <v>24523</v>
      </c>
      <c r="H5971" s="1">
        <v>2017.0</v>
      </c>
      <c r="I5971" s="1" t="s">
        <v>97</v>
      </c>
      <c r="J5971" s="1" t="s">
        <v>743</v>
      </c>
      <c r="K5971" s="1" t="s">
        <v>128</v>
      </c>
      <c r="L5971" s="1" t="s">
        <v>30223</v>
      </c>
      <c r="M5971" s="2" t="s">
        <v>12</v>
      </c>
      <c r="N5971" s="4">
        <f t="shared" si="1"/>
        <v>43358</v>
      </c>
      <c r="O5971" s="5" t="str">
        <f>IFERROR(__xludf.DUMMYFUNCTION("IF(REGEXMATCH(TRIM(I5971), ""^\d+\s*min""), ""Unclassified"", IF(I5971 = """", ""NR"", I5971))"),"TV-14")</f>
        <v>TV-14</v>
      </c>
      <c r="R5971" s="5" t="str">
        <f t="shared" si="2"/>
        <v>​Maj Rati ​​Keteki</v>
      </c>
      <c r="S5971" s="5" t="str">
        <f>IFERROR(__xludf.DUMMYFUNCTION("""COMPUTED_VALUE"""),"Rumor Has It")</f>
        <v>Rumor Has It</v>
      </c>
      <c r="V5971" s="5"/>
      <c r="Y5971" s="5" t="str">
        <f>IFERROR(__xludf.DUMMYFUNCTION("REGEXEXTRACT(J5971, ""^\d+"")"),"117")</f>
        <v>117</v>
      </c>
      <c r="Z5971" s="5" t="str">
        <f>IFERROR(__xludf.DUMMYFUNCTION("REGEXEXTRACT(J5971, ""[A-Za-z ]+$"")")," min")</f>
        <v> min</v>
      </c>
      <c r="AA5971" s="5" t="str">
        <f>IFERROR(__xludf.DUMMYFUNCTION("IF(REGEXMATCH(Z5971, ""Season""), ""TV Show"", ""Movie"")"),"Movie")</f>
        <v>Movie</v>
      </c>
    </row>
    <row r="5972">
      <c r="A5972" s="1" t="s">
        <v>30224</v>
      </c>
      <c r="B5972" s="1" t="s">
        <v>27</v>
      </c>
      <c r="C5972" s="1" t="s">
        <v>30225</v>
      </c>
      <c r="D5972" s="1" t="s">
        <v>2681</v>
      </c>
      <c r="E5972" s="1" t="s">
        <v>30226</v>
      </c>
      <c r="F5972" s="1" t="s">
        <v>63</v>
      </c>
      <c r="G5972" s="1" t="s">
        <v>24523</v>
      </c>
      <c r="H5972" s="1">
        <v>2017.0</v>
      </c>
      <c r="I5972" s="1" t="s">
        <v>97</v>
      </c>
      <c r="J5972" s="1" t="s">
        <v>433</v>
      </c>
      <c r="K5972" s="1" t="s">
        <v>128</v>
      </c>
      <c r="L5972" s="1" t="s">
        <v>30227</v>
      </c>
      <c r="M5972" s="2" t="s">
        <v>12</v>
      </c>
      <c r="N5972" s="4">
        <f t="shared" si="1"/>
        <v>43358</v>
      </c>
      <c r="O5972" s="5" t="str">
        <f>IFERROR(__xludf.DUMMYFUNCTION("IF(REGEXMATCH(TRIM(I5972), ""^\d+\s*min""), ""Unclassified"", IF(I5972 = """", ""NR"", I5972))"),"TV-14")</f>
        <v>TV-14</v>
      </c>
      <c r="R5972" s="5" t="str">
        <f t="shared" si="2"/>
        <v>​Mayurakshi</v>
      </c>
      <c r="S5972" s="5" t="str">
        <f>IFERROR(__xludf.DUMMYFUNCTION("""COMPUTED_VALUE"""),"Run")</f>
        <v>Run</v>
      </c>
      <c r="V5972" s="5"/>
      <c r="Y5972" s="5" t="str">
        <f>IFERROR(__xludf.DUMMYFUNCTION("REGEXEXTRACT(J5972, ""^\d+"")"),"100")</f>
        <v>100</v>
      </c>
      <c r="Z5972" s="5" t="str">
        <f>IFERROR(__xludf.DUMMYFUNCTION("REGEXEXTRACT(J5972, ""[A-Za-z ]+$"")")," min")</f>
        <v> min</v>
      </c>
      <c r="AA5972" s="5" t="str">
        <f>IFERROR(__xludf.DUMMYFUNCTION("IF(REGEXMATCH(Z5972, ""Season""), ""TV Show"", ""Movie"")"),"Movie")</f>
        <v>Movie</v>
      </c>
    </row>
    <row r="5973">
      <c r="A5973" s="1" t="s">
        <v>30228</v>
      </c>
      <c r="B5973" s="1" t="s">
        <v>27</v>
      </c>
      <c r="C5973" s="1" t="s">
        <v>30229</v>
      </c>
      <c r="D5973" s="1" t="s">
        <v>14176</v>
      </c>
      <c r="F5973" s="1" t="s">
        <v>30</v>
      </c>
      <c r="G5973" s="1" t="s">
        <v>30230</v>
      </c>
      <c r="H5973" s="1">
        <v>2015.0</v>
      </c>
      <c r="I5973" s="1" t="s">
        <v>30231</v>
      </c>
      <c r="J5973" s="1" t="s">
        <v>1608</v>
      </c>
      <c r="K5973" s="1" t="s">
        <v>34</v>
      </c>
      <c r="L5973" s="1" t="s">
        <v>30232</v>
      </c>
      <c r="M5973" s="2" t="s">
        <v>12</v>
      </c>
      <c r="N5973" s="4">
        <f t="shared" si="1"/>
        <v>42551</v>
      </c>
      <c r="O5973" s="5" t="str">
        <f>IFERROR(__xludf.DUMMYFUNCTION("IF(REGEXMATCH(TRIM(I5973), ""^\d+\s*min""), ""Unclassified"", IF(I5973 = """", ""NR"", I5973))"),"NR")</f>
        <v>NR</v>
      </c>
      <c r="R5973" s="5" t="str">
        <f t="shared" si="2"/>
        <v>(T)Error</v>
      </c>
      <c r="S5973" s="5" t="str">
        <f>IFERROR(__xludf.DUMMYFUNCTION("""COMPUTED_VALUE"""),"Run On")</f>
        <v>Run On</v>
      </c>
      <c r="V5973" s="5"/>
      <c r="Y5973" s="5" t="str">
        <f>IFERROR(__xludf.DUMMYFUNCTION("REGEXEXTRACT(J5973, ""^\d+"")"),"84")</f>
        <v>84</v>
      </c>
      <c r="Z5973" s="5" t="str">
        <f>IFERROR(__xludf.DUMMYFUNCTION("REGEXEXTRACT(J5973, ""[A-Za-z ]+$"")")," min")</f>
        <v> min</v>
      </c>
      <c r="AA5973" s="5" t="str">
        <f>IFERROR(__xludf.DUMMYFUNCTION("IF(REGEXMATCH(Z5973, ""Season""), ""TV Show"", ""Movie"")"),"Movie")</f>
        <v>Movie</v>
      </c>
    </row>
    <row r="5974">
      <c r="A5974" s="1" t="s">
        <v>30233</v>
      </c>
      <c r="B5974" s="1" t="s">
        <v>27</v>
      </c>
      <c r="C5974" s="1" t="s">
        <v>30234</v>
      </c>
      <c r="D5974" s="1" t="s">
        <v>15722</v>
      </c>
      <c r="F5974" s="1" t="s">
        <v>1106</v>
      </c>
      <c r="G5974" s="1" t="s">
        <v>16413</v>
      </c>
      <c r="H5974" s="1">
        <v>2020.0</v>
      </c>
      <c r="I5974" s="1" t="s">
        <v>97</v>
      </c>
      <c r="J5974" s="1" t="s">
        <v>33</v>
      </c>
      <c r="K5974" s="1" t="s">
        <v>156</v>
      </c>
      <c r="L5974" s="1" t="s">
        <v>30235</v>
      </c>
      <c r="M5974" s="2" t="s">
        <v>12</v>
      </c>
      <c r="N5974" s="4">
        <f t="shared" si="1"/>
        <v>43866</v>
      </c>
      <c r="O5974" s="5" t="str">
        <f>IFERROR(__xludf.DUMMYFUNCTION("IF(REGEXMATCH(TRIM(I5974), ""^\d+\s*min""), ""Unclassified"", IF(I5974 = """", ""NR"", I5974))"),"TV-14")</f>
        <v>TV-14</v>
      </c>
      <c r="R5974" s="5" t="str">
        <f t="shared" si="2"/>
        <v>#Cats_The_Mewvie</v>
      </c>
      <c r="S5974" s="5" t="str">
        <f>IFERROR(__xludf.DUMMYFUNCTION("""COMPUTED_VALUE"""),"Runaway Bride")</f>
        <v>Runaway Bride</v>
      </c>
      <c r="V5974" s="5"/>
      <c r="Y5974" s="5" t="str">
        <f>IFERROR(__xludf.DUMMYFUNCTION("REGEXEXTRACT(J5974, ""^\d+"")"),"90")</f>
        <v>90</v>
      </c>
      <c r="Z5974" s="5" t="str">
        <f>IFERROR(__xludf.DUMMYFUNCTION("REGEXEXTRACT(J5974, ""[A-Za-z ]+$"")")," min")</f>
        <v> min</v>
      </c>
      <c r="AA5974" s="5" t="str">
        <f>IFERROR(__xludf.DUMMYFUNCTION("IF(REGEXMATCH(Z5974, ""Season""), ""TV Show"", ""Movie"")"),"Movie")</f>
        <v>Movie</v>
      </c>
    </row>
    <row r="5975">
      <c r="A5975" s="1" t="s">
        <v>30236</v>
      </c>
      <c r="B5975" s="1" t="s">
        <v>27</v>
      </c>
      <c r="C5975" s="1" t="s">
        <v>30237</v>
      </c>
      <c r="D5975" s="1" t="s">
        <v>15695</v>
      </c>
      <c r="E5975" s="1" t="s">
        <v>30238</v>
      </c>
      <c r="F5975" s="1" t="s">
        <v>1106</v>
      </c>
      <c r="G5975" s="1" t="s">
        <v>21251</v>
      </c>
      <c r="H5975" s="1">
        <v>2018.0</v>
      </c>
      <c r="I5975" s="1" t="s">
        <v>97</v>
      </c>
      <c r="J5975" s="1" t="s">
        <v>305</v>
      </c>
      <c r="K5975" s="1" t="s">
        <v>813</v>
      </c>
      <c r="L5975" s="1" t="s">
        <v>30239</v>
      </c>
      <c r="M5975" s="2" t="s">
        <v>12</v>
      </c>
      <c r="N5975" s="4">
        <f t="shared" si="1"/>
        <v>43565</v>
      </c>
      <c r="O5975" s="5" t="str">
        <f>IFERROR(__xludf.DUMMYFUNCTION("IF(REGEXMATCH(TRIM(I5975), ""^\d+\s*min""), ""Unclassified"", IF(I5975 = """", ""NR"", I5975))"),"TV-14")</f>
        <v>TV-14</v>
      </c>
      <c r="R5975" s="5" t="str">
        <f t="shared" si="2"/>
        <v>#Roxy</v>
      </c>
      <c r="S5975" s="5" t="str">
        <f>IFERROR(__xludf.DUMMYFUNCTION("""COMPUTED_VALUE"""),"Running For Grace")</f>
        <v>Running For Grace</v>
      </c>
      <c r="V5975" s="5"/>
      <c r="Y5975" s="5" t="str">
        <f>IFERROR(__xludf.DUMMYFUNCTION("REGEXEXTRACT(J5975, ""^\d+"")"),"105")</f>
        <v>105</v>
      </c>
      <c r="Z5975" s="5" t="str">
        <f>IFERROR(__xludf.DUMMYFUNCTION("REGEXEXTRACT(J5975, ""[A-Za-z ]+$"")")," min")</f>
        <v> min</v>
      </c>
      <c r="AA5975" s="5" t="str">
        <f>IFERROR(__xludf.DUMMYFUNCTION("IF(REGEXMATCH(Z5975, ""Season""), ""TV Show"", ""Movie"")"),"Movie")</f>
        <v>Movie</v>
      </c>
    </row>
    <row r="5976">
      <c r="A5976" s="1" t="s">
        <v>30240</v>
      </c>
      <c r="B5976" s="1" t="s">
        <v>37</v>
      </c>
      <c r="C5976" s="1" t="s">
        <v>30241</v>
      </c>
      <c r="E5976" s="1" t="s">
        <v>30242</v>
      </c>
      <c r="G5976" s="1" t="s">
        <v>21400</v>
      </c>
      <c r="H5976" s="1">
        <v>2016.0</v>
      </c>
      <c r="I5976" s="1" t="s">
        <v>97</v>
      </c>
      <c r="J5976" s="1" t="s">
        <v>51</v>
      </c>
      <c r="K5976" s="1" t="s">
        <v>64</v>
      </c>
      <c r="L5976" s="1" t="s">
        <v>30243</v>
      </c>
      <c r="M5976" s="2" t="s">
        <v>12</v>
      </c>
      <c r="N5976" s="4">
        <f t="shared" si="1"/>
        <v>43554</v>
      </c>
      <c r="O5976" s="5" t="str">
        <f>IFERROR(__xludf.DUMMYFUNCTION("IF(REGEXMATCH(TRIM(I5976), ""^\d+\s*min""), ""Unclassified"", IF(I5976 = """", ""NR"", I5976))"),"TV-14")</f>
        <v>TV-14</v>
      </c>
      <c r="R5976" s="5" t="str">
        <f t="shared" si="2"/>
        <v>แผนร้ายนายเจ้าเล่ห์</v>
      </c>
      <c r="S5976" s="5" t="str">
        <f>IFERROR(__xludf.DUMMYFUNCTION("""COMPUTED_VALUE"""),"Running Man")</f>
        <v>Running Man</v>
      </c>
      <c r="V5976" s="5"/>
      <c r="Y5976" s="5" t="str">
        <f>IFERROR(__xludf.DUMMYFUNCTION("REGEXEXTRACT(J5976, ""^\d+"")"),"1")</f>
        <v>1</v>
      </c>
      <c r="Z5976" s="5" t="str">
        <f>IFERROR(__xludf.DUMMYFUNCTION("REGEXEXTRACT(J5976, ""[A-Za-z ]+$"")")," Season")</f>
        <v> Season</v>
      </c>
      <c r="AA5976" s="5" t="str">
        <f>IFERROR(__xludf.DUMMYFUNCTION("IF(REGEXMATCH(Z5976, ""Season""), ""TV Show"", ""Movie"")"),"TV Show")</f>
        <v>TV Show</v>
      </c>
    </row>
    <row r="5977">
      <c r="A5977" s="1" t="s">
        <v>30244</v>
      </c>
      <c r="B5977" s="1" t="s">
        <v>27</v>
      </c>
      <c r="C5977" s="1" t="s">
        <v>30245</v>
      </c>
      <c r="D5977" s="1" t="s">
        <v>17360</v>
      </c>
      <c r="E5977" s="1" t="s">
        <v>30246</v>
      </c>
      <c r="F5977" s="1" t="s">
        <v>4292</v>
      </c>
      <c r="G5977" s="1" t="s">
        <v>25930</v>
      </c>
      <c r="H5977" s="1">
        <v>2017.0</v>
      </c>
      <c r="I5977" s="1" t="s">
        <v>42</v>
      </c>
      <c r="J5977" s="1" t="s">
        <v>256</v>
      </c>
      <c r="K5977" s="1" t="s">
        <v>1441</v>
      </c>
      <c r="L5977" s="1" t="s">
        <v>30247</v>
      </c>
      <c r="M5977" s="2" t="s">
        <v>12</v>
      </c>
      <c r="N5977" s="4">
        <f t="shared" si="1"/>
        <v>43186</v>
      </c>
      <c r="O5977" s="5" t="str">
        <f>IFERROR(__xludf.DUMMYFUNCTION("IF(REGEXMATCH(TRIM(I5977), ""^\d+\s*min""), ""Unclassified"", IF(I5977 = """", ""NR"", I5977))"),"TV-MA")</f>
        <v>TV-MA</v>
      </c>
      <c r="R5977" s="5" t="str">
        <f t="shared" si="2"/>
        <v>Ég Man Þig</v>
      </c>
      <c r="S5977" s="5" t="str">
        <f>IFERROR(__xludf.DUMMYFUNCTION("""COMPUTED_VALUE"""),"Running Out Of Time")</f>
        <v>Running Out Of Time</v>
      </c>
      <c r="V5977" s="5"/>
      <c r="Y5977" s="5" t="str">
        <f>IFERROR(__xludf.DUMMYFUNCTION("REGEXEXTRACT(J5977, ""^\d+"")"),"106")</f>
        <v>106</v>
      </c>
      <c r="Z5977" s="5" t="str">
        <f>IFERROR(__xludf.DUMMYFUNCTION("REGEXEXTRACT(J5977, ""[A-Za-z ]+$"")")," min")</f>
        <v> min</v>
      </c>
      <c r="AA5977" s="5" t="str">
        <f>IFERROR(__xludf.DUMMYFUNCTION("IF(REGEXMATCH(Z5977, ""Season""), ""TV Show"", ""Movie"")"),"Movie")</f>
        <v>Movie</v>
      </c>
    </row>
    <row r="5978">
      <c r="A5978" s="1" t="s">
        <v>30248</v>
      </c>
      <c r="B5978" s="1" t="s">
        <v>27</v>
      </c>
      <c r="C5978" s="1" t="s">
        <v>30249</v>
      </c>
      <c r="D5978" s="1" t="s">
        <v>5851</v>
      </c>
      <c r="E5978" s="1" t="s">
        <v>30250</v>
      </c>
      <c r="F5978" s="1" t="s">
        <v>188</v>
      </c>
      <c r="G5978" s="1" t="s">
        <v>28526</v>
      </c>
      <c r="H5978" s="1">
        <v>2010.0</v>
      </c>
      <c r="I5978" s="1" t="s">
        <v>42</v>
      </c>
      <c r="J5978" s="1" t="s">
        <v>416</v>
      </c>
      <c r="K5978" s="1" t="s">
        <v>199</v>
      </c>
      <c r="L5978" s="1" t="s">
        <v>30251</v>
      </c>
      <c r="M5978" s="2" t="s">
        <v>12</v>
      </c>
      <c r="N5978" s="4">
        <f t="shared" si="1"/>
        <v>42804</v>
      </c>
      <c r="O5978" s="5" t="str">
        <f>IFERROR(__xludf.DUMMYFUNCTION("IF(REGEXMATCH(TRIM(I5978), ""^\d+\s*min""), ""Unclassified"", IF(I5978 = """", ""NR"", I5978))"),"TV-MA")</f>
        <v>TV-MA</v>
      </c>
      <c r="R5978" s="5" t="str">
        <f t="shared" si="2"/>
        <v>Çok Filim Hareketler Bunlar</v>
      </c>
      <c r="S5978" s="5" t="str">
        <f>IFERROR(__xludf.DUMMYFUNCTION("""COMPUTED_VALUE"""),"Running Shaadi")</f>
        <v>Running Shaadi</v>
      </c>
      <c r="V5978" s="5"/>
      <c r="Y5978" s="5" t="str">
        <f>IFERROR(__xludf.DUMMYFUNCTION("REGEXEXTRACT(J5978, ""^\d+"")"),"99")</f>
        <v>99</v>
      </c>
      <c r="Z5978" s="5" t="str">
        <f>IFERROR(__xludf.DUMMYFUNCTION("REGEXEXTRACT(J5978, ""[A-Za-z ]+$"")")," min")</f>
        <v> min</v>
      </c>
      <c r="AA5978" s="5" t="str">
        <f>IFERROR(__xludf.DUMMYFUNCTION("IF(REGEXMATCH(Z5978, ""Season""), ""TV Show"", ""Movie"")"),"Movie")</f>
        <v>Movie</v>
      </c>
    </row>
    <row r="5979">
      <c r="A5979" s="1" t="s">
        <v>30252</v>
      </c>
      <c r="B5979" s="1" t="s">
        <v>27</v>
      </c>
      <c r="C5979" s="1" t="s">
        <v>30253</v>
      </c>
      <c r="D5979" s="1" t="s">
        <v>12457</v>
      </c>
      <c r="E5979" s="1" t="s">
        <v>30254</v>
      </c>
      <c r="F5979" s="1" t="s">
        <v>30</v>
      </c>
      <c r="G5979" s="1" t="s">
        <v>26295</v>
      </c>
      <c r="H5979" s="1">
        <v>2005.0</v>
      </c>
      <c r="I5979" s="1" t="s">
        <v>32</v>
      </c>
      <c r="J5979" s="1" t="s">
        <v>454</v>
      </c>
      <c r="K5979" s="1" t="s">
        <v>942</v>
      </c>
      <c r="L5979" s="1" t="s">
        <v>30255</v>
      </c>
      <c r="M5979" s="2" t="s">
        <v>12</v>
      </c>
      <c r="N5979" s="4">
        <f t="shared" si="1"/>
        <v>43132</v>
      </c>
      <c r="O5979" s="5" t="str">
        <f>IFERROR(__xludf.DUMMYFUNCTION("IF(REGEXMATCH(TRIM(I5979), ""^\d+\s*min""), ""Unclassified"", IF(I5979 = """", ""NR"", I5979))"),"PG-13")</f>
        <v>PG-13</v>
      </c>
      <c r="R5979" s="5" t="str">
        <f t="shared" si="2"/>
        <v>Æon Flux</v>
      </c>
      <c r="S5979" s="5" t="str">
        <f>IFERROR(__xludf.DUMMYFUNCTION("""COMPUTED_VALUE"""),"Rurouni Kenshin")</f>
        <v>Rurouni Kenshin</v>
      </c>
      <c r="V5979" s="5"/>
      <c r="Y5979" s="5" t="str">
        <f>IFERROR(__xludf.DUMMYFUNCTION("REGEXEXTRACT(J5979, ""^\d+"")"),"93")</f>
        <v>93</v>
      </c>
      <c r="Z5979" s="5" t="str">
        <f>IFERROR(__xludf.DUMMYFUNCTION("REGEXEXTRACT(J5979, ""[A-Za-z ]+$"")")," min")</f>
        <v> min</v>
      </c>
      <c r="AA5979" s="5" t="str">
        <f>IFERROR(__xludf.DUMMYFUNCTION("IF(REGEXMATCH(Z5979, ""Season""), ""TV Show"", ""Movie"")"),"Movie")</f>
        <v>Movie</v>
      </c>
    </row>
    <row r="5980">
      <c r="A5980" s="1" t="s">
        <v>30256</v>
      </c>
      <c r="B5980" s="1" t="s">
        <v>37</v>
      </c>
      <c r="C5980" s="1" t="s">
        <v>30257</v>
      </c>
      <c r="E5980" s="1" t="s">
        <v>30258</v>
      </c>
      <c r="F5980" s="1" t="s">
        <v>188</v>
      </c>
      <c r="G5980" s="1" t="s">
        <v>28764</v>
      </c>
      <c r="H5980" s="1">
        <v>2013.0</v>
      </c>
      <c r="I5980" s="1" t="s">
        <v>42</v>
      </c>
      <c r="J5980" s="1" t="s">
        <v>51</v>
      </c>
      <c r="K5980" s="1" t="s">
        <v>1362</v>
      </c>
      <c r="L5980" s="1" t="s">
        <v>30259</v>
      </c>
      <c r="M5980" s="2" t="s">
        <v>12</v>
      </c>
      <c r="N5980" s="4">
        <f t="shared" si="1"/>
        <v>42752</v>
      </c>
      <c r="O5980" s="5" t="str">
        <f>IFERROR(__xludf.DUMMYFUNCTION("IF(REGEXMATCH(TRIM(I5980), ""^\d+\s*min""), ""Unclassified"", IF(I5980 = """", ""NR"", I5980))"),"TV-MA")</f>
        <v>TV-MA</v>
      </c>
      <c r="R5980" s="5" t="str">
        <f t="shared" si="2"/>
        <v>Şubat</v>
      </c>
      <c r="S5980" s="5" t="str">
        <f>IFERROR(__xludf.DUMMYFUNCTION("""COMPUTED_VALUE"""),"Rurouni Kenshin: The Beginning")</f>
        <v>Rurouni Kenshin: The Beginning</v>
      </c>
      <c r="V5980" s="5"/>
      <c r="Y5980" s="5" t="str">
        <f>IFERROR(__xludf.DUMMYFUNCTION("REGEXEXTRACT(J5980, ""^\d+"")"),"1")</f>
        <v>1</v>
      </c>
      <c r="Z5980" s="5" t="str">
        <f>IFERROR(__xludf.DUMMYFUNCTION("REGEXEXTRACT(J5980, ""[A-Za-z ]+$"")")," Season")</f>
        <v> Season</v>
      </c>
      <c r="AA5980" s="5" t="str">
        <f>IFERROR(__xludf.DUMMYFUNCTION("IF(REGEXMATCH(Z5980, ""Season""), ""TV Show"", ""Movie"")"),"TV Show")</f>
        <v>TV Show</v>
      </c>
    </row>
    <row r="5981">
      <c r="A5981" s="1" t="s">
        <v>30260</v>
      </c>
      <c r="B5981" s="1" t="s">
        <v>27</v>
      </c>
      <c r="C5981" s="1" t="s">
        <v>30261</v>
      </c>
      <c r="D5981" s="1" t="s">
        <v>372</v>
      </c>
      <c r="E5981" s="1" t="s">
        <v>30262</v>
      </c>
      <c r="F5981" s="1" t="s">
        <v>30</v>
      </c>
      <c r="G5981" s="1" t="s">
        <v>27735</v>
      </c>
      <c r="H5981" s="1">
        <v>2014.0</v>
      </c>
      <c r="I5981" s="1" t="s">
        <v>136</v>
      </c>
      <c r="J5981" s="1" t="s">
        <v>1191</v>
      </c>
      <c r="K5981" s="1" t="s">
        <v>828</v>
      </c>
      <c r="L5981" s="1" t="s">
        <v>30263</v>
      </c>
      <c r="M5981" s="2" t="s">
        <v>12</v>
      </c>
      <c r="N5981" s="4">
        <f t="shared" si="1"/>
        <v>42917</v>
      </c>
      <c r="O5981" s="5" t="str">
        <f>IFERROR(__xludf.DUMMYFUNCTION("IF(REGEXMATCH(TRIM(I5981), ""^\d+\s*min""), ""Unclassified"", IF(I5981 = """", ""NR"", I5981))"),"TV-PG")</f>
        <v>TV-PG</v>
      </c>
      <c r="R5981" s="5" t="str">
        <f t="shared" si="2"/>
        <v>1 Chance 2 Dance</v>
      </c>
      <c r="S5981" s="5" t="str">
        <f>IFERROR(__xludf.DUMMYFUNCTION("""COMPUTED_VALUE"""),"Rurouni Kenshin: The Final")</f>
        <v>Rurouni Kenshin: The Final</v>
      </c>
      <c r="V5981" s="5"/>
      <c r="Y5981" s="5" t="str">
        <f>IFERROR(__xludf.DUMMYFUNCTION("REGEXEXTRACT(J5981, ""^\d+"")"),"89")</f>
        <v>89</v>
      </c>
      <c r="Z5981" s="5" t="str">
        <f>IFERROR(__xludf.DUMMYFUNCTION("REGEXEXTRACT(J5981, ""[A-Za-z ]+$"")")," min")</f>
        <v> min</v>
      </c>
      <c r="AA5981" s="5" t="str">
        <f>IFERROR(__xludf.DUMMYFUNCTION("IF(REGEXMATCH(Z5981, ""Season""), ""TV Show"", ""Movie"")"),"Movie")</f>
        <v>Movie</v>
      </c>
    </row>
    <row r="5982">
      <c r="A5982" s="1" t="s">
        <v>30264</v>
      </c>
      <c r="B5982" s="1" t="s">
        <v>27</v>
      </c>
      <c r="C5982" s="1" t="s">
        <v>30265</v>
      </c>
      <c r="D5982" s="1" t="s">
        <v>13587</v>
      </c>
      <c r="E5982" s="1" t="s">
        <v>30266</v>
      </c>
      <c r="F5982" s="1" t="s">
        <v>30</v>
      </c>
      <c r="G5982" s="1" t="s">
        <v>27706</v>
      </c>
      <c r="H5982" s="1">
        <v>2017.0</v>
      </c>
      <c r="I5982" s="1" t="s">
        <v>97</v>
      </c>
      <c r="J5982" s="1" t="s">
        <v>305</v>
      </c>
      <c r="K5982" s="1" t="s">
        <v>26933</v>
      </c>
      <c r="L5982" s="1" t="s">
        <v>30267</v>
      </c>
      <c r="M5982" s="2" t="s">
        <v>12</v>
      </c>
      <c r="N5982" s="4">
        <f t="shared" si="1"/>
        <v>42923</v>
      </c>
      <c r="O5982" s="5" t="str">
        <f>IFERROR(__xludf.DUMMYFUNCTION("IF(REGEXMATCH(TRIM(I5982), ""^\d+\s*min""), ""Unclassified"", IF(I5982 = """", ""NR"", I5982))"),"TV-14")</f>
        <v>TV-14</v>
      </c>
      <c r="R5982" s="5" t="str">
        <f t="shared" si="2"/>
        <v>1 Mile To You</v>
      </c>
      <c r="S5982" s="5" t="str">
        <f>IFERROR(__xludf.DUMMYFUNCTION("""COMPUTED_VALUE"""),"Rush")</f>
        <v>Rush</v>
      </c>
      <c r="V5982" s="5"/>
      <c r="Y5982" s="5" t="str">
        <f>IFERROR(__xludf.DUMMYFUNCTION("REGEXEXTRACT(J5982, ""^\d+"")"),"105")</f>
        <v>105</v>
      </c>
      <c r="Z5982" s="5" t="str">
        <f>IFERROR(__xludf.DUMMYFUNCTION("REGEXEXTRACT(J5982, ""[A-Za-z ]+$"")")," min")</f>
        <v> min</v>
      </c>
      <c r="AA5982" s="5" t="str">
        <f>IFERROR(__xludf.DUMMYFUNCTION("IF(REGEXMATCH(Z5982, ""Season""), ""TV Show"", ""Movie"")"),"Movie")</f>
        <v>Movie</v>
      </c>
    </row>
    <row r="5983">
      <c r="A5983" s="1" t="s">
        <v>30268</v>
      </c>
      <c r="B5983" s="1" t="s">
        <v>27</v>
      </c>
      <c r="C5983" s="1" t="s">
        <v>30269</v>
      </c>
      <c r="D5983" s="1" t="s">
        <v>5677</v>
      </c>
      <c r="E5983" s="1" t="s">
        <v>30270</v>
      </c>
      <c r="F5983" s="1" t="s">
        <v>30271</v>
      </c>
      <c r="G5983" s="1" t="s">
        <v>20561</v>
      </c>
      <c r="H5983" s="1">
        <v>2008.0</v>
      </c>
      <c r="I5983" s="1" t="s">
        <v>32</v>
      </c>
      <c r="J5983" s="1" t="s">
        <v>1065</v>
      </c>
      <c r="K5983" s="1" t="s">
        <v>380</v>
      </c>
      <c r="L5983" s="1" t="s">
        <v>30272</v>
      </c>
      <c r="M5983" s="2" t="s">
        <v>12</v>
      </c>
      <c r="N5983" s="4">
        <f t="shared" si="1"/>
        <v>43617</v>
      </c>
      <c r="O5983" s="5" t="str">
        <f>IFERROR(__xludf.DUMMYFUNCTION("IF(REGEXMATCH(TRIM(I5983), ""^\d+\s*min""), ""Unclassified"", IF(I5983 = """", ""NR"", I5983))"),"PG-13")</f>
        <v>PG-13</v>
      </c>
      <c r="R5983" s="5" t="str">
        <f t="shared" si="2"/>
        <v>10,000 B.C.</v>
      </c>
      <c r="S5983" s="5" t="str">
        <f>IFERROR(__xludf.DUMMYFUNCTION("""COMPUTED_VALUE"""),"Rush: Beyond The Lighted Stage")</f>
        <v>Rush: Beyond The Lighted Stage</v>
      </c>
      <c r="V5983" s="5"/>
      <c r="Y5983" s="5" t="str">
        <f>IFERROR(__xludf.DUMMYFUNCTION("REGEXEXTRACT(J5983, ""^\d+"")"),"109")</f>
        <v>109</v>
      </c>
      <c r="Z5983" s="5" t="str">
        <f>IFERROR(__xludf.DUMMYFUNCTION("REGEXEXTRACT(J5983, ""[A-Za-z ]+$"")")," min")</f>
        <v> min</v>
      </c>
      <c r="AA5983" s="5" t="str">
        <f>IFERROR(__xludf.DUMMYFUNCTION("IF(REGEXMATCH(Z5983, ""Season""), ""TV Show"", ""Movie"")"),"Movie")</f>
        <v>Movie</v>
      </c>
    </row>
    <row r="5984">
      <c r="A5984" s="1" t="s">
        <v>30273</v>
      </c>
      <c r="B5984" s="1" t="s">
        <v>27</v>
      </c>
      <c r="C5984" s="1" t="s">
        <v>30274</v>
      </c>
      <c r="F5984" s="1" t="s">
        <v>784</v>
      </c>
      <c r="G5984" s="1" t="s">
        <v>25141</v>
      </c>
      <c r="H5984" s="1">
        <v>2018.0</v>
      </c>
      <c r="I5984" s="1" t="s">
        <v>42</v>
      </c>
      <c r="J5984" s="1" t="s">
        <v>454</v>
      </c>
      <c r="K5984" s="1" t="s">
        <v>156</v>
      </c>
      <c r="L5984" s="1" t="s">
        <v>30275</v>
      </c>
      <c r="M5984" s="2" t="s">
        <v>12</v>
      </c>
      <c r="N5984" s="4">
        <f t="shared" si="1"/>
        <v>43287</v>
      </c>
      <c r="O5984" s="5" t="str">
        <f>IFERROR(__xludf.DUMMYFUNCTION("IF(REGEXMATCH(TRIM(I5984), ""^\d+\s*min""), ""Unclassified"", IF(I5984 = """", ""NR"", I5984))"),"TV-MA")</f>
        <v>TV-MA</v>
      </c>
      <c r="R5984" s="5" t="str">
        <f t="shared" si="2"/>
        <v>100 Days Of Solitude</v>
      </c>
      <c r="S5984" s="5" t="str">
        <f>IFERROR(__xludf.DUMMYFUNCTION("""COMPUTED_VALUE"""),"Russell Brand: Re:Birth")</f>
        <v>Russell Brand: Re:Birth</v>
      </c>
      <c r="V5984" s="5"/>
      <c r="Y5984" s="5" t="str">
        <f>IFERROR(__xludf.DUMMYFUNCTION("REGEXEXTRACT(J5984, ""^\d+"")"),"93")</f>
        <v>93</v>
      </c>
      <c r="Z5984" s="5" t="str">
        <f>IFERROR(__xludf.DUMMYFUNCTION("REGEXEXTRACT(J5984, ""[A-Za-z ]+$"")")," min")</f>
        <v> min</v>
      </c>
      <c r="AA5984" s="5" t="str">
        <f>IFERROR(__xludf.DUMMYFUNCTION("IF(REGEXMATCH(Z5984, ""Season""), ""TV Show"", ""Movie"")"),"Movie")</f>
        <v>Movie</v>
      </c>
    </row>
    <row r="5985">
      <c r="A5985" s="1" t="s">
        <v>30276</v>
      </c>
      <c r="B5985" s="1" t="s">
        <v>27</v>
      </c>
      <c r="C5985" s="1" t="s">
        <v>30277</v>
      </c>
      <c r="D5985" s="1" t="s">
        <v>15473</v>
      </c>
      <c r="F5985" s="1" t="s">
        <v>30</v>
      </c>
      <c r="G5985" s="1" t="s">
        <v>25969</v>
      </c>
      <c r="H5985" s="1">
        <v>2016.0</v>
      </c>
      <c r="I5985" s="1" t="s">
        <v>97</v>
      </c>
      <c r="J5985" s="1" t="s">
        <v>6281</v>
      </c>
      <c r="K5985" s="1" t="s">
        <v>34</v>
      </c>
      <c r="L5985" s="1" t="s">
        <v>30278</v>
      </c>
      <c r="M5985" s="2" t="s">
        <v>12</v>
      </c>
      <c r="N5985" s="4">
        <f t="shared" si="1"/>
        <v>43179</v>
      </c>
      <c r="O5985" s="5" t="str">
        <f>IFERROR(__xludf.DUMMYFUNCTION("IF(REGEXMATCH(TRIM(I5985), ""^\d+\s*min""), ""Unclassified"", IF(I5985 = """", ""NR"", I5985))"),"TV-14")</f>
        <v>TV-14</v>
      </c>
      <c r="R5985" s="5" t="str">
        <f t="shared" si="2"/>
        <v>100 Years: One Woman'S Fight For Justice</v>
      </c>
      <c r="S5985" s="5" t="str">
        <f>IFERROR(__xludf.DUMMYFUNCTION("""COMPUTED_VALUE"""),"Russell Howard: Recalibrate")</f>
        <v>Russell Howard: Recalibrate</v>
      </c>
      <c r="V5985" s="5"/>
      <c r="Y5985" s="5" t="str">
        <f>IFERROR(__xludf.DUMMYFUNCTION("REGEXEXTRACT(J5985, ""^\d+"")"),"75")</f>
        <v>75</v>
      </c>
      <c r="Z5985" s="5" t="str">
        <f>IFERROR(__xludf.DUMMYFUNCTION("REGEXEXTRACT(J5985, ""[A-Za-z ]+$"")")," min")</f>
        <v> min</v>
      </c>
      <c r="AA5985" s="5" t="str">
        <f>IFERROR(__xludf.DUMMYFUNCTION("IF(REGEXMATCH(Z5985, ""Season""), ""TV Show"", ""Movie"")"),"Movie")</f>
        <v>Movie</v>
      </c>
    </row>
    <row r="5986">
      <c r="A5986" s="1" t="s">
        <v>30279</v>
      </c>
      <c r="B5986" s="1" t="s">
        <v>37</v>
      </c>
      <c r="C5986" s="1" t="s">
        <v>30280</v>
      </c>
      <c r="E5986" s="1" t="s">
        <v>30281</v>
      </c>
      <c r="F5986" s="1" t="s">
        <v>96</v>
      </c>
      <c r="G5986" s="1" t="s">
        <v>18333</v>
      </c>
      <c r="H5986" s="1">
        <v>2017.0</v>
      </c>
      <c r="I5986" s="1" t="s">
        <v>97</v>
      </c>
      <c r="J5986" s="1" t="s">
        <v>51</v>
      </c>
      <c r="K5986" s="1" t="s">
        <v>2382</v>
      </c>
      <c r="L5986" s="1" t="s">
        <v>30282</v>
      </c>
      <c r="M5986" s="2" t="s">
        <v>12</v>
      </c>
      <c r="N5986" s="4">
        <f t="shared" si="1"/>
        <v>43770</v>
      </c>
      <c r="O5986" s="5" t="str">
        <f>IFERROR(__xludf.DUMMYFUNCTION("IF(REGEXMATCH(TRIM(I5986), ""^\d+\s*min""), ""Unclassified"", IF(I5986 = """", ""NR"", I5986))"),"TV-14")</f>
        <v>TV-14</v>
      </c>
      <c r="R5986" s="5" t="str">
        <f t="shared" si="2"/>
        <v>100% Hotter</v>
      </c>
      <c r="S5986" s="5" t="str">
        <f>IFERROR(__xludf.DUMMYFUNCTION("""COMPUTED_VALUE"""),"Russell Madness")</f>
        <v>Russell Madness</v>
      </c>
      <c r="V5986" s="5"/>
      <c r="Y5986" s="5" t="str">
        <f>IFERROR(__xludf.DUMMYFUNCTION("REGEXEXTRACT(J5986, ""^\d+"")"),"1")</f>
        <v>1</v>
      </c>
      <c r="Z5986" s="5" t="str">
        <f>IFERROR(__xludf.DUMMYFUNCTION("REGEXEXTRACT(J5986, ""[A-Za-z ]+$"")")," Season")</f>
        <v> Season</v>
      </c>
      <c r="AA5986" s="5" t="str">
        <f>IFERROR(__xludf.DUMMYFUNCTION("IF(REGEXMATCH(Z5986, ""Season""), ""TV Show"", ""Movie"")"),"TV Show")</f>
        <v>TV Show</v>
      </c>
    </row>
    <row r="5987">
      <c r="A5987" s="1" t="s">
        <v>30283</v>
      </c>
      <c r="B5987" s="1" t="s">
        <v>27</v>
      </c>
      <c r="C5987" s="1" t="s">
        <v>30284</v>
      </c>
      <c r="D5987" s="1" t="s">
        <v>20243</v>
      </c>
      <c r="E5987" s="1" t="s">
        <v>30285</v>
      </c>
      <c r="F5987" s="1" t="s">
        <v>30</v>
      </c>
      <c r="G5987" s="1" t="s">
        <v>21673</v>
      </c>
      <c r="H5987" s="1">
        <v>2017.0</v>
      </c>
      <c r="I5987" s="1" t="s">
        <v>42</v>
      </c>
      <c r="J5987" s="1" t="s">
        <v>33</v>
      </c>
      <c r="K5987" s="1" t="s">
        <v>9047</v>
      </c>
      <c r="L5987" s="1" t="s">
        <v>30286</v>
      </c>
      <c r="M5987" s="2" t="s">
        <v>12</v>
      </c>
      <c r="N5987" s="4">
        <f t="shared" si="1"/>
        <v>43538</v>
      </c>
      <c r="O5987" s="5" t="str">
        <f>IFERROR(__xludf.DUMMYFUNCTION("IF(REGEXMATCH(TRIM(I5987), ""^\d+\s*min""), ""Unclassified"", IF(I5987 = """", ""NR"", I5987))"),"TV-MA")</f>
        <v>TV-MA</v>
      </c>
      <c r="R5987" s="5" t="str">
        <f t="shared" si="2"/>
        <v>12 Round Gun</v>
      </c>
      <c r="S5987" s="5" t="str">
        <f>IFERROR(__xludf.DUMMYFUNCTION("""COMPUTED_VALUE"""),"Russell Peters Vs. The World")</f>
        <v>Russell Peters Vs. The World</v>
      </c>
      <c r="V5987" s="5"/>
      <c r="Y5987" s="5" t="str">
        <f>IFERROR(__xludf.DUMMYFUNCTION("REGEXEXTRACT(J5987, ""^\d+"")"),"90")</f>
        <v>90</v>
      </c>
      <c r="Z5987" s="5" t="str">
        <f>IFERROR(__xludf.DUMMYFUNCTION("REGEXEXTRACT(J5987, ""[A-Za-z ]+$"")")," min")</f>
        <v> min</v>
      </c>
      <c r="AA5987" s="5" t="str">
        <f>IFERROR(__xludf.DUMMYFUNCTION("IF(REGEXMATCH(Z5987, ""Season""), ""TV Show"", ""Movie"")"),"Movie")</f>
        <v>Movie</v>
      </c>
    </row>
    <row r="5988">
      <c r="A5988" s="1" t="s">
        <v>30287</v>
      </c>
      <c r="B5988" s="1" t="s">
        <v>37</v>
      </c>
      <c r="C5988" s="1" t="s">
        <v>30288</v>
      </c>
      <c r="E5988" s="1" t="s">
        <v>30289</v>
      </c>
      <c r="F5988" s="1" t="s">
        <v>749</v>
      </c>
      <c r="G5988" s="7">
        <v>42877.0</v>
      </c>
      <c r="H5988" s="1">
        <v>2014.0</v>
      </c>
      <c r="I5988" s="1" t="s">
        <v>97</v>
      </c>
      <c r="J5988" s="1" t="s">
        <v>51</v>
      </c>
      <c r="K5988" s="1" t="s">
        <v>7164</v>
      </c>
      <c r="L5988" s="1" t="s">
        <v>30290</v>
      </c>
      <c r="M5988" s="2" t="s">
        <v>12</v>
      </c>
      <c r="N5988" s="4">
        <f t="shared" si="1"/>
        <v>42877</v>
      </c>
      <c r="O5988" s="5" t="str">
        <f>IFERROR(__xludf.DUMMYFUNCTION("IF(REGEXMATCH(TRIM(I5988), ""^\d+\s*min""), ""Unclassified"", IF(I5988 = """", ""NR"", I5988))"),"TV-14")</f>
        <v>TV-14</v>
      </c>
      <c r="R5988" s="5" t="str">
        <f t="shared" si="2"/>
        <v>12 Years Promise</v>
      </c>
      <c r="S5988" s="5" t="str">
        <f>IFERROR(__xludf.DUMMYFUNCTION("""COMPUTED_VALUE"""),"Russell Peters: Almost Famous")</f>
        <v>Russell Peters: Almost Famous</v>
      </c>
      <c r="V5988" s="5"/>
      <c r="Y5988" s="5" t="str">
        <f>IFERROR(__xludf.DUMMYFUNCTION("REGEXEXTRACT(J5988, ""^\d+"")"),"1")</f>
        <v>1</v>
      </c>
      <c r="Z5988" s="5" t="str">
        <f>IFERROR(__xludf.DUMMYFUNCTION("REGEXEXTRACT(J5988, ""[A-Za-z ]+$"")")," Season")</f>
        <v> Season</v>
      </c>
      <c r="AA5988" s="5" t="str">
        <f>IFERROR(__xludf.DUMMYFUNCTION("IF(REGEXMATCH(Z5988, ""Season""), ""TV Show"", ""Movie"")"),"TV Show")</f>
        <v>TV Show</v>
      </c>
    </row>
    <row r="5989">
      <c r="A5989" s="1" t="s">
        <v>30291</v>
      </c>
      <c r="B5989" s="1" t="s">
        <v>27</v>
      </c>
      <c r="C5989" s="1" t="s">
        <v>30292</v>
      </c>
      <c r="D5989" s="1" t="s">
        <v>23223</v>
      </c>
      <c r="E5989" s="1" t="s">
        <v>30293</v>
      </c>
      <c r="F5989" s="1" t="s">
        <v>30</v>
      </c>
      <c r="G5989" s="1" t="s">
        <v>30294</v>
      </c>
      <c r="H5989" s="1">
        <v>2015.0</v>
      </c>
      <c r="I5989" s="1" t="s">
        <v>30231</v>
      </c>
      <c r="J5989" s="1" t="s">
        <v>33</v>
      </c>
      <c r="K5989" s="1" t="s">
        <v>18588</v>
      </c>
      <c r="L5989" s="1" t="s">
        <v>30295</v>
      </c>
      <c r="M5989" s="2" t="s">
        <v>12</v>
      </c>
      <c r="N5989" s="4">
        <f t="shared" si="1"/>
        <v>42595</v>
      </c>
      <c r="O5989" s="5" t="str">
        <f>IFERROR(__xludf.DUMMYFUNCTION("IF(REGEXMATCH(TRIM(I5989), ""^\d+\s*min""), ""Unclassified"", IF(I5989 = """", ""NR"", I5989))"),"NR")</f>
        <v>NR</v>
      </c>
      <c r="R5989" s="5" t="str">
        <f t="shared" si="2"/>
        <v>13 Cameras</v>
      </c>
      <c r="S5989" s="5" t="str">
        <f>IFERROR(__xludf.DUMMYFUNCTION("""COMPUTED_VALUE"""),"Russell Peters: Notorious")</f>
        <v>Russell Peters: Notorious</v>
      </c>
      <c r="V5989" s="5"/>
      <c r="Y5989" s="5" t="str">
        <f>IFERROR(__xludf.DUMMYFUNCTION("REGEXEXTRACT(J5989, ""^\d+"")"),"90")</f>
        <v>90</v>
      </c>
      <c r="Z5989" s="5" t="str">
        <f>IFERROR(__xludf.DUMMYFUNCTION("REGEXEXTRACT(J5989, ""[A-Za-z ]+$"")")," min")</f>
        <v> min</v>
      </c>
      <c r="AA5989" s="5" t="str">
        <f>IFERROR(__xludf.DUMMYFUNCTION("IF(REGEXMATCH(Z5989, ""Season""), ""TV Show"", ""Movie"")"),"Movie")</f>
        <v>Movie</v>
      </c>
    </row>
    <row r="5990">
      <c r="A5990" s="1" t="s">
        <v>30296</v>
      </c>
      <c r="B5990" s="1" t="s">
        <v>27</v>
      </c>
      <c r="C5990" s="1" t="s">
        <v>30297</v>
      </c>
      <c r="D5990" s="1" t="s">
        <v>5637</v>
      </c>
      <c r="E5990" s="1" t="s">
        <v>30298</v>
      </c>
      <c r="F5990" s="1" t="s">
        <v>30</v>
      </c>
      <c r="G5990" s="1" t="s">
        <v>22527</v>
      </c>
      <c r="H5990" s="1">
        <v>2014.0</v>
      </c>
      <c r="I5990" s="1" t="s">
        <v>378</v>
      </c>
      <c r="J5990" s="1" t="s">
        <v>454</v>
      </c>
      <c r="K5990" s="1" t="s">
        <v>3768</v>
      </c>
      <c r="L5990" s="1" t="s">
        <v>30299</v>
      </c>
      <c r="M5990" s="2" t="s">
        <v>12</v>
      </c>
      <c r="N5990" s="4">
        <f t="shared" si="1"/>
        <v>43478</v>
      </c>
      <c r="O5990" s="5" t="str">
        <f>IFERROR(__xludf.DUMMYFUNCTION("IF(REGEXMATCH(TRIM(I5990), ""^\d+\s*min""), ""Unclassified"", IF(I5990 = """", ""NR"", I5990))"),"R")</f>
        <v>R</v>
      </c>
      <c r="R5990" s="5" t="str">
        <f t="shared" si="2"/>
        <v>13 Sins</v>
      </c>
      <c r="S5990" s="5" t="str">
        <f>IFERROR(__xludf.DUMMYFUNCTION("""COMPUTED_VALUE"""),"Russian Doll")</f>
        <v>Russian Doll</v>
      </c>
      <c r="V5990" s="5"/>
      <c r="Y5990" s="5" t="str">
        <f>IFERROR(__xludf.DUMMYFUNCTION("REGEXEXTRACT(J5990, ""^\d+"")"),"93")</f>
        <v>93</v>
      </c>
      <c r="Z5990" s="5" t="str">
        <f>IFERROR(__xludf.DUMMYFUNCTION("REGEXEXTRACT(J5990, ""[A-Za-z ]+$"")")," min")</f>
        <v> min</v>
      </c>
      <c r="AA5990" s="5" t="str">
        <f>IFERROR(__xludf.DUMMYFUNCTION("IF(REGEXMATCH(Z5990, ""Season""), ""TV Show"", ""Movie"")"),"Movie")</f>
        <v>Movie</v>
      </c>
    </row>
    <row r="5991">
      <c r="A5991" s="1" t="s">
        <v>30300</v>
      </c>
      <c r="B5991" s="1" t="s">
        <v>27</v>
      </c>
      <c r="C5991" s="1" t="s">
        <v>30301</v>
      </c>
      <c r="E5991" s="1" t="s">
        <v>20431</v>
      </c>
      <c r="G5991" s="1" t="s">
        <v>30302</v>
      </c>
      <c r="H5991" s="1">
        <v>2017.0</v>
      </c>
      <c r="J5991" s="1" t="s">
        <v>6142</v>
      </c>
      <c r="K5991" s="1" t="s">
        <v>2032</v>
      </c>
      <c r="L5991" s="1" t="s">
        <v>30303</v>
      </c>
      <c r="M5991" s="2" t="s">
        <v>12</v>
      </c>
      <c r="N5991" s="4">
        <f t="shared" si="1"/>
        <v>42761</v>
      </c>
      <c r="O5991" s="5" t="str">
        <f>IFERROR(__xludf.DUMMYFUNCTION("IF(REGEXMATCH(TRIM(I5991), ""^\d+\s*min""), ""Unclassified"", IF(I5991 = """", ""NR"", I5991))"),"NR")</f>
        <v>NR</v>
      </c>
      <c r="R5991" s="5" t="str">
        <f t="shared" si="2"/>
        <v>13Th: A Conversation With Oprah Winfrey &amp; Ava Duvernay</v>
      </c>
      <c r="S5991" s="5" t="str">
        <f>IFERROR(__xludf.DUMMYFUNCTION("""COMPUTED_VALUE"""),"Rust Creek")</f>
        <v>Rust Creek</v>
      </c>
      <c r="V5991" s="5"/>
      <c r="Y5991" s="5" t="str">
        <f>IFERROR(__xludf.DUMMYFUNCTION("REGEXEXTRACT(J5991, ""^\d+"")"),"37")</f>
        <v>37</v>
      </c>
      <c r="Z5991" s="5" t="str">
        <f>IFERROR(__xludf.DUMMYFUNCTION("REGEXEXTRACT(J5991, ""[A-Za-z ]+$"")")," min")</f>
        <v> min</v>
      </c>
      <c r="AA5991" s="5" t="str">
        <f>IFERROR(__xludf.DUMMYFUNCTION("IF(REGEXMATCH(Z5991, ""Season""), ""TV Show"", ""Movie"")"),"Movie")</f>
        <v>Movie</v>
      </c>
    </row>
    <row r="5992">
      <c r="A5992" s="1" t="s">
        <v>30304</v>
      </c>
      <c r="B5992" s="1" t="s">
        <v>27</v>
      </c>
      <c r="C5992" s="1" t="s">
        <v>30305</v>
      </c>
      <c r="D5992" s="1" t="s">
        <v>5554</v>
      </c>
      <c r="E5992" s="1" t="s">
        <v>30306</v>
      </c>
      <c r="F5992" s="1" t="s">
        <v>30307</v>
      </c>
      <c r="G5992" s="1" t="s">
        <v>21333</v>
      </c>
      <c r="H5992" s="1">
        <v>2010.0</v>
      </c>
      <c r="I5992" s="1" t="s">
        <v>378</v>
      </c>
      <c r="J5992" s="1" t="s">
        <v>519</v>
      </c>
      <c r="K5992" s="1" t="s">
        <v>1066</v>
      </c>
      <c r="L5992" s="1" t="s">
        <v>30308</v>
      </c>
      <c r="M5992" s="2" t="s">
        <v>12</v>
      </c>
      <c r="N5992" s="4">
        <f t="shared" si="1"/>
        <v>43558</v>
      </c>
      <c r="O5992" s="5" t="str">
        <f>IFERROR(__xludf.DUMMYFUNCTION("IF(REGEXMATCH(TRIM(I5992), ""^\d+\s*min""), ""Unclassified"", IF(I5992 = """", ""NR"", I5992))"),"R")</f>
        <v>R</v>
      </c>
      <c r="R5992" s="5" t="str">
        <f t="shared" si="2"/>
        <v>14 Blades</v>
      </c>
      <c r="S5992" s="5" t="str">
        <f>IFERROR(__xludf.DUMMYFUNCTION("""COMPUTED_VALUE"""),"Rust Valley Restorers")</f>
        <v>Rust Valley Restorers</v>
      </c>
      <c r="V5992" s="5"/>
      <c r="Y5992" s="5" t="str">
        <f>IFERROR(__xludf.DUMMYFUNCTION("REGEXEXTRACT(J5992, ""^\d+"")"),"113")</f>
        <v>113</v>
      </c>
      <c r="Z5992" s="5" t="str">
        <f>IFERROR(__xludf.DUMMYFUNCTION("REGEXEXTRACT(J5992, ""[A-Za-z ]+$"")")," min")</f>
        <v> min</v>
      </c>
      <c r="AA5992" s="5" t="str">
        <f>IFERROR(__xludf.DUMMYFUNCTION("IF(REGEXMATCH(Z5992, ""Season""), ""TV Show"", ""Movie"")"),"Movie")</f>
        <v>Movie</v>
      </c>
    </row>
    <row r="5993">
      <c r="A5993" s="1" t="s">
        <v>30309</v>
      </c>
      <c r="B5993" s="1" t="s">
        <v>27</v>
      </c>
      <c r="C5993" s="1" t="s">
        <v>30310</v>
      </c>
      <c r="D5993" s="1" t="s">
        <v>20599</v>
      </c>
      <c r="E5993" s="1" t="s">
        <v>30311</v>
      </c>
      <c r="F5993" s="1" t="s">
        <v>30</v>
      </c>
      <c r="G5993" s="1" t="s">
        <v>23800</v>
      </c>
      <c r="H5993" s="1">
        <v>2018.0</v>
      </c>
      <c r="I5993" s="1" t="s">
        <v>42</v>
      </c>
      <c r="J5993" s="1" t="s">
        <v>1191</v>
      </c>
      <c r="K5993" s="1" t="s">
        <v>3768</v>
      </c>
      <c r="L5993" s="1" t="s">
        <v>30312</v>
      </c>
      <c r="M5993" s="2" t="s">
        <v>12</v>
      </c>
      <c r="N5993" s="4">
        <f t="shared" si="1"/>
        <v>43400</v>
      </c>
      <c r="O5993" s="5" t="str">
        <f>IFERROR(__xludf.DUMMYFUNCTION("IF(REGEXMATCH(TRIM(I5993), ""^\d+\s*min""), ""Unclassified"", IF(I5993 = """", ""NR"", I5993))"),"TV-MA")</f>
        <v>TV-MA</v>
      </c>
      <c r="R5993" s="5" t="str">
        <f t="shared" si="2"/>
        <v>14 Cameras</v>
      </c>
      <c r="S5993" s="5" t="str">
        <f>IFERROR(__xludf.DUMMYFUNCTION("""COMPUTED_VALUE"""),"Rustom")</f>
        <v>Rustom</v>
      </c>
      <c r="V5993" s="5"/>
      <c r="Y5993" s="5" t="str">
        <f>IFERROR(__xludf.DUMMYFUNCTION("REGEXEXTRACT(J5993, ""^\d+"")"),"89")</f>
        <v>89</v>
      </c>
      <c r="Z5993" s="5" t="str">
        <f>IFERROR(__xludf.DUMMYFUNCTION("REGEXEXTRACT(J5993, ""[A-Za-z ]+$"")")," min")</f>
        <v> min</v>
      </c>
      <c r="AA5993" s="5" t="str">
        <f>IFERROR(__xludf.DUMMYFUNCTION("IF(REGEXMATCH(Z5993, ""Season""), ""TV Show"", ""Movie"")"),"Movie")</f>
        <v>Movie</v>
      </c>
    </row>
    <row r="5994">
      <c r="A5994" s="1" t="s">
        <v>30313</v>
      </c>
      <c r="B5994" s="1" t="s">
        <v>27</v>
      </c>
      <c r="C5994" s="1" t="s">
        <v>30314</v>
      </c>
      <c r="D5994" s="1" t="s">
        <v>19137</v>
      </c>
      <c r="E5994" s="1" t="s">
        <v>30315</v>
      </c>
      <c r="F5994" s="1" t="s">
        <v>1205</v>
      </c>
      <c r="G5994" s="1" t="s">
        <v>18333</v>
      </c>
      <c r="H5994" s="1">
        <v>2006.0</v>
      </c>
      <c r="I5994" s="1" t="s">
        <v>32</v>
      </c>
      <c r="J5994" s="1" t="s">
        <v>447</v>
      </c>
      <c r="K5994" s="1" t="s">
        <v>380</v>
      </c>
      <c r="L5994" s="1" t="s">
        <v>30316</v>
      </c>
      <c r="M5994" s="2" t="s">
        <v>12</v>
      </c>
      <c r="N5994" s="4">
        <f t="shared" si="1"/>
        <v>43770</v>
      </c>
      <c r="O5994" s="5" t="str">
        <f>IFERROR(__xludf.DUMMYFUNCTION("IF(REGEXMATCH(TRIM(I5994), ""^\d+\s*min""), ""Unclassified"", IF(I5994 = """", ""NR"", I5994))"),"PG-13")</f>
        <v>PG-13</v>
      </c>
      <c r="R5994" s="5" t="str">
        <f t="shared" si="2"/>
        <v>16 Blocks</v>
      </c>
      <c r="S5994" s="5" t="str">
        <f>IFERROR(__xludf.DUMMYFUNCTION("""COMPUTED_VALUE"""),"Ryan Hamilton: Happy Face")</f>
        <v>Ryan Hamilton: Happy Face</v>
      </c>
      <c r="V5994" s="5"/>
      <c r="Y5994" s="5" t="str">
        <f>IFERROR(__xludf.DUMMYFUNCTION("REGEXEXTRACT(J5994, ""^\d+"")"),"102")</f>
        <v>102</v>
      </c>
      <c r="Z5994" s="5" t="str">
        <f>IFERROR(__xludf.DUMMYFUNCTION("REGEXEXTRACT(J5994, ""[A-Za-z ]+$"")")," min")</f>
        <v> min</v>
      </c>
      <c r="AA5994" s="5" t="str">
        <f>IFERROR(__xludf.DUMMYFUNCTION("IF(REGEXMATCH(Z5994, ""Season""), ""TV Show"", ""Movie"")"),"Movie")</f>
        <v>Movie</v>
      </c>
    </row>
    <row r="5995">
      <c r="A5995" s="1" t="s">
        <v>30317</v>
      </c>
      <c r="B5995" s="1" t="s">
        <v>27</v>
      </c>
      <c r="C5995" s="1" t="s">
        <v>30318</v>
      </c>
      <c r="D5995" s="1" t="s">
        <v>4010</v>
      </c>
      <c r="E5995" s="1" t="s">
        <v>30319</v>
      </c>
      <c r="F5995" s="1" t="s">
        <v>30</v>
      </c>
      <c r="G5995" s="1" t="s">
        <v>8506</v>
      </c>
      <c r="H5995" s="1">
        <v>2009.0</v>
      </c>
      <c r="I5995" s="1" t="s">
        <v>32</v>
      </c>
      <c r="J5995" s="1" t="s">
        <v>447</v>
      </c>
      <c r="K5995" s="1" t="s">
        <v>239</v>
      </c>
      <c r="L5995" s="1" t="s">
        <v>30320</v>
      </c>
      <c r="M5995" s="2" t="s">
        <v>12</v>
      </c>
      <c r="N5995" s="4">
        <f t="shared" si="1"/>
        <v>44197</v>
      </c>
      <c r="O5995" s="5" t="str">
        <f>IFERROR(__xludf.DUMMYFUNCTION("IF(REGEXMATCH(TRIM(I5995), ""^\d+\s*min""), ""Unclassified"", IF(I5995 = """", ""NR"", I5995))"),"PG-13")</f>
        <v>PG-13</v>
      </c>
      <c r="R5995" s="5" t="str">
        <f t="shared" si="2"/>
        <v>17 Again</v>
      </c>
      <c r="S5995" s="5" t="str">
        <f>IFERROR(__xludf.DUMMYFUNCTION("""COMPUTED_VALUE"""),"S Is For Stanley")</f>
        <v>S Is For Stanley</v>
      </c>
      <c r="V5995" s="5"/>
      <c r="Y5995" s="5" t="str">
        <f>IFERROR(__xludf.DUMMYFUNCTION("REGEXEXTRACT(J5995, ""^\d+"")"),"102")</f>
        <v>102</v>
      </c>
      <c r="Z5995" s="5" t="str">
        <f>IFERROR(__xludf.DUMMYFUNCTION("REGEXEXTRACT(J5995, ""[A-Za-z ]+$"")")," min")</f>
        <v> min</v>
      </c>
      <c r="AA5995" s="5" t="str">
        <f>IFERROR(__xludf.DUMMYFUNCTION("IF(REGEXMATCH(Z5995, ""Season""), ""TV Show"", ""Movie"")"),"Movie")</f>
        <v>Movie</v>
      </c>
    </row>
    <row r="5996">
      <c r="A5996" s="1" t="s">
        <v>30321</v>
      </c>
      <c r="B5996" s="1" t="s">
        <v>27</v>
      </c>
      <c r="C5996" s="1" t="s">
        <v>30322</v>
      </c>
      <c r="D5996" s="1" t="s">
        <v>6035</v>
      </c>
      <c r="E5996" s="1" t="s">
        <v>30323</v>
      </c>
      <c r="F5996" s="1" t="s">
        <v>30</v>
      </c>
      <c r="G5996" s="1" t="s">
        <v>30324</v>
      </c>
      <c r="H5996" s="1">
        <v>2019.0</v>
      </c>
      <c r="I5996" s="1" t="s">
        <v>42</v>
      </c>
      <c r="J5996" s="1" t="s">
        <v>33</v>
      </c>
      <c r="K5996" s="1" t="s">
        <v>18588</v>
      </c>
      <c r="L5996" s="1" t="s">
        <v>30325</v>
      </c>
      <c r="M5996" s="2" t="s">
        <v>12</v>
      </c>
      <c r="N5996" s="4">
        <f t="shared" si="1"/>
        <v>44066</v>
      </c>
      <c r="O5996" s="5" t="str">
        <f>IFERROR(__xludf.DUMMYFUNCTION("IF(REGEXMATCH(TRIM(I5996), ""^\d+\s*min""), ""Unclassified"", IF(I5996 = """", ""NR"", I5996))"),"TV-MA")</f>
        <v>TV-MA</v>
      </c>
      <c r="R5996" s="5" t="str">
        <f t="shared" si="2"/>
        <v>1Br</v>
      </c>
      <c r="S5996" s="5" t="str">
        <f>IFERROR(__xludf.DUMMYFUNCTION("""COMPUTED_VALUE"""),"S Storm")</f>
        <v>S Storm</v>
      </c>
      <c r="V5996" s="5"/>
      <c r="Y5996" s="5" t="str">
        <f>IFERROR(__xludf.DUMMYFUNCTION("REGEXEXTRACT(J5996, ""^\d+"")"),"90")</f>
        <v>90</v>
      </c>
      <c r="Z5996" s="5" t="str">
        <f>IFERROR(__xludf.DUMMYFUNCTION("REGEXEXTRACT(J5996, ""[A-Za-z ]+$"")")," min")</f>
        <v> min</v>
      </c>
      <c r="AA5996" s="5" t="str">
        <f>IFERROR(__xludf.DUMMYFUNCTION("IF(REGEXMATCH(Z5996, ""Season""), ""TV Show"", ""Movie"")"),"Movie")</f>
        <v>Movie</v>
      </c>
    </row>
    <row r="5997">
      <c r="A5997" s="1" t="s">
        <v>30326</v>
      </c>
      <c r="B5997" s="1" t="s">
        <v>27</v>
      </c>
      <c r="C5997" s="1" t="s">
        <v>30327</v>
      </c>
      <c r="D5997" s="1" t="s">
        <v>18933</v>
      </c>
      <c r="E5997" s="1" t="s">
        <v>30328</v>
      </c>
      <c r="F5997" s="1" t="s">
        <v>30</v>
      </c>
      <c r="G5997" s="1" t="s">
        <v>19844</v>
      </c>
      <c r="H5997" s="1">
        <v>2018.0</v>
      </c>
      <c r="I5997" s="1" t="s">
        <v>42</v>
      </c>
      <c r="J5997" s="1" t="s">
        <v>170</v>
      </c>
      <c r="K5997" s="1" t="s">
        <v>7235</v>
      </c>
      <c r="L5997" s="1" t="s">
        <v>30329</v>
      </c>
      <c r="M5997" s="2" t="s">
        <v>12</v>
      </c>
      <c r="N5997" s="4">
        <f t="shared" si="1"/>
        <v>43672</v>
      </c>
      <c r="O5997" s="5" t="str">
        <f>IFERROR(__xludf.DUMMYFUNCTION("IF(REGEXMATCH(TRIM(I5997), ""^\d+\s*min""), ""Unclassified"", IF(I5997 = """", ""NR"", I5997))"),"TV-MA")</f>
        <v>TV-MA</v>
      </c>
      <c r="R5997" s="5" t="str">
        <f t="shared" si="2"/>
        <v>1St Summoning</v>
      </c>
      <c r="S5997" s="5" t="str">
        <f>IFERROR(__xludf.DUMMYFUNCTION("""COMPUTED_VALUE"""),"S.M.A.R.T Chase")</f>
        <v>S.M.A.R.T Chase</v>
      </c>
      <c r="V5997" s="5"/>
      <c r="Y5997" s="5" t="str">
        <f>IFERROR(__xludf.DUMMYFUNCTION("REGEXEXTRACT(J5997, ""^\d+"")"),"94")</f>
        <v>94</v>
      </c>
      <c r="Z5997" s="5" t="str">
        <f>IFERROR(__xludf.DUMMYFUNCTION("REGEXEXTRACT(J5997, ""[A-Za-z ]+$"")")," min")</f>
        <v> min</v>
      </c>
      <c r="AA5997" s="5" t="str">
        <f>IFERROR(__xludf.DUMMYFUNCTION("IF(REGEXMATCH(Z5997, ""Season""), ""TV Show"", ""Movie"")"),"Movie")</f>
        <v>Movie</v>
      </c>
    </row>
    <row r="5998">
      <c r="A5998" s="1" t="s">
        <v>30330</v>
      </c>
      <c r="B5998" s="1" t="s">
        <v>27</v>
      </c>
      <c r="C5998" s="1" t="s">
        <v>30331</v>
      </c>
      <c r="D5998" s="1" t="s">
        <v>16317</v>
      </c>
      <c r="E5998" s="1" t="s">
        <v>30332</v>
      </c>
      <c r="F5998" s="1" t="s">
        <v>30</v>
      </c>
      <c r="G5998" s="1" t="s">
        <v>24482</v>
      </c>
      <c r="H5998" s="1">
        <v>2013.0</v>
      </c>
      <c r="I5998" s="1" t="s">
        <v>32</v>
      </c>
      <c r="J5998" s="1" t="s">
        <v>79</v>
      </c>
      <c r="K5998" s="1" t="s">
        <v>700</v>
      </c>
      <c r="L5998" s="1" t="s">
        <v>30333</v>
      </c>
      <c r="M5998" s="2" t="s">
        <v>12</v>
      </c>
      <c r="N5998" s="4">
        <f t="shared" si="1"/>
        <v>43365</v>
      </c>
      <c r="O5998" s="5" t="str">
        <f>IFERROR(__xludf.DUMMYFUNCTION("IF(REGEXMATCH(TRIM(I5998), ""^\d+\s*min""), ""Unclassified"", IF(I5998 = """", ""NR"", I5998))"),"PG-13")</f>
        <v>PG-13</v>
      </c>
      <c r="R5998" s="5" t="str">
        <f t="shared" si="2"/>
        <v>20 Feet From Stardom</v>
      </c>
      <c r="S5998" s="5" t="str">
        <f>IFERROR(__xludf.DUMMYFUNCTION("""COMPUTED_VALUE"""),"S.W.A.T.")</f>
        <v>S.W.A.T.</v>
      </c>
      <c r="V5998" s="5"/>
      <c r="Y5998" s="5" t="str">
        <f>IFERROR(__xludf.DUMMYFUNCTION("REGEXEXTRACT(J5998, ""^\d+"")"),"91")</f>
        <v>91</v>
      </c>
      <c r="Z5998" s="5" t="str">
        <f>IFERROR(__xludf.DUMMYFUNCTION("REGEXEXTRACT(J5998, ""[A-Za-z ]+$"")")," min")</f>
        <v> min</v>
      </c>
      <c r="AA5998" s="5" t="str">
        <f>IFERROR(__xludf.DUMMYFUNCTION("IF(REGEXMATCH(Z5998, ""Season""), ""TV Show"", ""Movie"")"),"Movie")</f>
        <v>Movie</v>
      </c>
    </row>
    <row r="5999">
      <c r="A5999" s="1" t="s">
        <v>30334</v>
      </c>
      <c r="B5999" s="1" t="s">
        <v>27</v>
      </c>
      <c r="C5999" s="1" t="s">
        <v>30335</v>
      </c>
      <c r="E5999" s="1" t="s">
        <v>30336</v>
      </c>
      <c r="F5999" s="1" t="s">
        <v>749</v>
      </c>
      <c r="G5999" s="1" t="s">
        <v>28230</v>
      </c>
      <c r="H5999" s="1">
        <v>2015.0</v>
      </c>
      <c r="I5999" s="1" t="s">
        <v>136</v>
      </c>
      <c r="J5999" s="1" t="s">
        <v>1256</v>
      </c>
      <c r="K5999" s="1" t="s">
        <v>1939</v>
      </c>
      <c r="L5999" s="1" t="s">
        <v>30337</v>
      </c>
      <c r="M5999" s="2" t="s">
        <v>12</v>
      </c>
      <c r="N5999" s="4">
        <f t="shared" si="1"/>
        <v>42853</v>
      </c>
      <c r="O5999" s="5" t="str">
        <f>IFERROR(__xludf.DUMMYFUNCTION("IF(REGEXMATCH(TRIM(I5999), ""^\d+\s*min""), ""Unclassified"", IF(I5999 = """", ""NR"", I5999))"),"TV-PG")</f>
        <v>TV-PG</v>
      </c>
      <c r="R5999" s="5" t="str">
        <f t="shared" si="2"/>
        <v>2015 Dream Concert</v>
      </c>
      <c r="S5999" s="5" t="str">
        <f>IFERROR(__xludf.DUMMYFUNCTION("""COMPUTED_VALUE"""),"S.W.A.T.: Under Siege")</f>
        <v>S.W.A.T.: Under Siege</v>
      </c>
      <c r="V5999" s="5"/>
      <c r="Y5999" s="5" t="str">
        <f>IFERROR(__xludf.DUMMYFUNCTION("REGEXEXTRACT(J5999, ""^\d+"")"),"107")</f>
        <v>107</v>
      </c>
      <c r="Z5999" s="5" t="str">
        <f>IFERROR(__xludf.DUMMYFUNCTION("REGEXEXTRACT(J5999, ""[A-Za-z ]+$"")")," min")</f>
        <v> min</v>
      </c>
      <c r="AA5999" s="5" t="str">
        <f>IFERROR(__xludf.DUMMYFUNCTION("IF(REGEXMATCH(Z5999, ""Season""), ""TV Show"", ""Movie"")"),"Movie")</f>
        <v>Movie</v>
      </c>
    </row>
    <row r="6000">
      <c r="A6000" s="1" t="s">
        <v>30338</v>
      </c>
      <c r="B6000" s="1" t="s">
        <v>27</v>
      </c>
      <c r="C6000" s="1" t="s">
        <v>30339</v>
      </c>
      <c r="D6000" s="1" t="s">
        <v>9143</v>
      </c>
      <c r="E6000" s="1" t="s">
        <v>30340</v>
      </c>
      <c r="F6000" s="1" t="s">
        <v>96</v>
      </c>
      <c r="G6000" s="1" t="s">
        <v>22894</v>
      </c>
      <c r="H6000" s="1">
        <v>2018.0</v>
      </c>
      <c r="I6000" s="1" t="s">
        <v>97</v>
      </c>
      <c r="J6000" s="1" t="s">
        <v>465</v>
      </c>
      <c r="K6000" s="1" t="s">
        <v>30341</v>
      </c>
      <c r="L6000" s="1" t="s">
        <v>30342</v>
      </c>
      <c r="M6000" s="2" t="s">
        <v>12</v>
      </c>
      <c r="N6000" s="4">
        <f t="shared" si="1"/>
        <v>43454</v>
      </c>
      <c r="O6000" s="5" t="str">
        <f>IFERROR(__xludf.DUMMYFUNCTION("IF(REGEXMATCH(TRIM(I6000), ""^\d+\s*min""), ""Unclassified"", IF(I6000 = """", ""NR"", I6000))"),"TV-14")</f>
        <v>TV-14</v>
      </c>
      <c r="R6000" s="5" t="str">
        <f t="shared" si="2"/>
        <v>2036 Origin Unknown</v>
      </c>
      <c r="S6000" s="5" t="str">
        <f>IFERROR(__xludf.DUMMYFUNCTION("""COMPUTED_VALUE"""),"Saadey Cm Saab")</f>
        <v>Saadey Cm Saab</v>
      </c>
      <c r="V6000" s="5"/>
      <c r="Y6000" s="5" t="str">
        <f>IFERROR(__xludf.DUMMYFUNCTION("REGEXEXTRACT(J6000, ""^\d+"")"),"95")</f>
        <v>95</v>
      </c>
      <c r="Z6000" s="5" t="str">
        <f>IFERROR(__xludf.DUMMYFUNCTION("REGEXEXTRACT(J6000, ""[A-Za-z ]+$"")")," min")</f>
        <v> min</v>
      </c>
      <c r="AA6000" s="5" t="str">
        <f>IFERROR(__xludf.DUMMYFUNCTION("IF(REGEXMATCH(Z6000, ""Season""), ""TV Show"", ""Movie"")"),"Movie")</f>
        <v>Movie</v>
      </c>
    </row>
    <row r="6001">
      <c r="A6001" s="1" t="s">
        <v>30343</v>
      </c>
      <c r="B6001" s="1" t="s">
        <v>27</v>
      </c>
      <c r="C6001" s="1" t="s">
        <v>30344</v>
      </c>
      <c r="D6001" s="1" t="s">
        <v>16065</v>
      </c>
      <c r="E6001" s="1" t="s">
        <v>30345</v>
      </c>
      <c r="F6001" s="1" t="s">
        <v>30</v>
      </c>
      <c r="G6001" s="1" t="s">
        <v>20166</v>
      </c>
      <c r="H6001" s="1">
        <v>2016.0</v>
      </c>
      <c r="I6001" s="1" t="s">
        <v>378</v>
      </c>
      <c r="J6001" s="1" t="s">
        <v>804</v>
      </c>
      <c r="K6001" s="1" t="s">
        <v>1320</v>
      </c>
      <c r="L6001" s="1" t="s">
        <v>30346</v>
      </c>
      <c r="M6001" s="2" t="s">
        <v>12</v>
      </c>
      <c r="N6001" s="4">
        <f t="shared" si="1"/>
        <v>43644</v>
      </c>
      <c r="O6001" s="5" t="str">
        <f>IFERROR(__xludf.DUMMYFUNCTION("IF(REGEXMATCH(TRIM(I6001), ""^\d+\s*min""), ""Unclassified"", IF(I6001 = """", ""NR"", I6001))"),"R")</f>
        <v>R</v>
      </c>
      <c r="R6001" s="5" t="str">
        <f t="shared" si="2"/>
        <v>20Th Century Women</v>
      </c>
      <c r="S6001" s="5" t="str">
        <f>IFERROR(__xludf.DUMMYFUNCTION("""COMPUTED_VALUE"""),"Saaho")</f>
        <v>Saaho</v>
      </c>
      <c r="V6001" s="5"/>
      <c r="Y6001" s="5" t="str">
        <f>IFERROR(__xludf.DUMMYFUNCTION("REGEXEXTRACT(J6001, ""^\d+"")"),"119")</f>
        <v>119</v>
      </c>
      <c r="Z6001" s="5" t="str">
        <f>IFERROR(__xludf.DUMMYFUNCTION("REGEXEXTRACT(J6001, ""[A-Za-z ]+$"")")," min")</f>
        <v> min</v>
      </c>
      <c r="AA6001" s="5" t="str">
        <f>IFERROR(__xludf.DUMMYFUNCTION("IF(REGEXMATCH(Z6001, ""Season""), ""TV Show"", ""Movie"")"),"Movie")</f>
        <v>Movie</v>
      </c>
    </row>
    <row r="6002">
      <c r="A6002" s="1" t="s">
        <v>30347</v>
      </c>
      <c r="B6002" s="1" t="s">
        <v>27</v>
      </c>
      <c r="C6002" s="1" t="s">
        <v>30348</v>
      </c>
      <c r="D6002" s="1" t="s">
        <v>11600</v>
      </c>
      <c r="E6002" s="1" t="s">
        <v>30349</v>
      </c>
      <c r="F6002" s="1" t="s">
        <v>30</v>
      </c>
      <c r="G6002" s="1" t="s">
        <v>21146</v>
      </c>
      <c r="H6002" s="1">
        <v>2013.0</v>
      </c>
      <c r="I6002" s="1" t="s">
        <v>378</v>
      </c>
      <c r="J6002" s="1" t="s">
        <v>454</v>
      </c>
      <c r="K6002" s="1" t="s">
        <v>239</v>
      </c>
      <c r="L6002" s="1" t="s">
        <v>30350</v>
      </c>
      <c r="M6002" s="2" t="s">
        <v>12</v>
      </c>
      <c r="N6002" s="4">
        <f t="shared" si="1"/>
        <v>43571</v>
      </c>
      <c r="O6002" s="5" t="str">
        <f>IFERROR(__xludf.DUMMYFUNCTION("IF(REGEXMATCH(TRIM(I6002), ""^\d+\s*min""), ""Unclassified"", IF(I6002 = """", ""NR"", I6002))"),"R")</f>
        <v>R</v>
      </c>
      <c r="R6002" s="5" t="str">
        <f t="shared" si="2"/>
        <v>21 &amp; Over</v>
      </c>
      <c r="S6002" s="5" t="str">
        <f>IFERROR(__xludf.DUMMYFUNCTION("""COMPUTED_VALUE"""),"Saath Saath")</f>
        <v>Saath Saath</v>
      </c>
      <c r="V6002" s="5"/>
      <c r="Y6002" s="5" t="str">
        <f>IFERROR(__xludf.DUMMYFUNCTION("REGEXEXTRACT(J6002, ""^\d+"")"),"93")</f>
        <v>93</v>
      </c>
      <c r="Z6002" s="5" t="str">
        <f>IFERROR(__xludf.DUMMYFUNCTION("REGEXEXTRACT(J6002, ""[A-Za-z ]+$"")")," min")</f>
        <v> min</v>
      </c>
      <c r="AA6002" s="5" t="str">
        <f>IFERROR(__xludf.DUMMYFUNCTION("IF(REGEXMATCH(Z6002, ""Season""), ""TV Show"", ""Movie"")"),"Movie")</f>
        <v>Movie</v>
      </c>
    </row>
    <row r="6003">
      <c r="A6003" s="1" t="s">
        <v>30351</v>
      </c>
      <c r="B6003" s="1" t="s">
        <v>37</v>
      </c>
      <c r="C6003" s="1" t="s">
        <v>30352</v>
      </c>
      <c r="E6003" s="1" t="s">
        <v>30353</v>
      </c>
      <c r="F6003" s="1" t="s">
        <v>63</v>
      </c>
      <c r="G6003" s="1" t="s">
        <v>23134</v>
      </c>
      <c r="H6003" s="1">
        <v>2018.0</v>
      </c>
      <c r="I6003" s="1" t="s">
        <v>97</v>
      </c>
      <c r="J6003" s="1" t="s">
        <v>51</v>
      </c>
      <c r="K6003" s="1" t="s">
        <v>402</v>
      </c>
      <c r="L6003" s="1" t="s">
        <v>30354</v>
      </c>
      <c r="M6003" s="2" t="s">
        <v>12</v>
      </c>
      <c r="N6003" s="4">
        <f t="shared" si="1"/>
        <v>43435</v>
      </c>
      <c r="O6003" s="5" t="str">
        <f>IFERROR(__xludf.DUMMYFUNCTION("IF(REGEXMATCH(TRIM(I6003), ""^\d+\s*min""), ""Unclassified"", IF(I6003 = """", ""NR"", I6003))"),"TV-14")</f>
        <v>TV-14</v>
      </c>
      <c r="R6003" s="5" t="str">
        <f t="shared" si="2"/>
        <v>21 Sarfarosh: Saragarhi 1897</v>
      </c>
      <c r="S6003" s="5" t="str">
        <f>IFERROR(__xludf.DUMMYFUNCTION("""COMPUTED_VALUE"""),"Saavat")</f>
        <v>Saavat</v>
      </c>
      <c r="V6003" s="5"/>
      <c r="Y6003" s="5" t="str">
        <f>IFERROR(__xludf.DUMMYFUNCTION("REGEXEXTRACT(J6003, ""^\d+"")"),"1")</f>
        <v>1</v>
      </c>
      <c r="Z6003" s="5" t="str">
        <f>IFERROR(__xludf.DUMMYFUNCTION("REGEXEXTRACT(J6003, ""[A-Za-z ]+$"")")," Season")</f>
        <v> Season</v>
      </c>
      <c r="AA6003" s="5" t="str">
        <f>IFERROR(__xludf.DUMMYFUNCTION("IF(REGEXMATCH(Z6003, ""Season""), ""TV Show"", ""Movie"")"),"TV Show")</f>
        <v>TV Show</v>
      </c>
    </row>
    <row r="6004">
      <c r="A6004" s="1" t="s">
        <v>30355</v>
      </c>
      <c r="B6004" s="1" t="s">
        <v>27</v>
      </c>
      <c r="C6004" s="1" t="s">
        <v>30356</v>
      </c>
      <c r="D6004" s="1" t="s">
        <v>11187</v>
      </c>
      <c r="E6004" s="1" t="s">
        <v>30357</v>
      </c>
      <c r="F6004" s="1" t="s">
        <v>30</v>
      </c>
      <c r="G6004" s="1" t="s">
        <v>26089</v>
      </c>
      <c r="H6004" s="1">
        <v>2016.0</v>
      </c>
      <c r="I6004" s="1" t="s">
        <v>42</v>
      </c>
      <c r="J6004" s="1" t="s">
        <v>1091</v>
      </c>
      <c r="K6004" s="1" t="s">
        <v>20638</v>
      </c>
      <c r="L6004" s="1" t="s">
        <v>30358</v>
      </c>
      <c r="M6004" s="2" t="s">
        <v>12</v>
      </c>
      <c r="N6004" s="4">
        <f t="shared" si="1"/>
        <v>43160</v>
      </c>
      <c r="O6004" s="5" t="str">
        <f>IFERROR(__xludf.DUMMYFUNCTION("IF(REGEXMATCH(TRIM(I6004), ""^\d+\s*min""), ""Unclassified"", IF(I6004 = """", ""NR"", I6004))"),"TV-MA")</f>
        <v>TV-MA</v>
      </c>
      <c r="R6004" s="5" t="str">
        <f t="shared" si="2"/>
        <v>2307: Winter'S Dream</v>
      </c>
      <c r="S6004" s="5" t="str">
        <f>IFERROR(__xludf.DUMMYFUNCTION("""COMPUTED_VALUE"""),"Saawan")</f>
        <v>Saawan</v>
      </c>
      <c r="V6004" s="5"/>
      <c r="Y6004" s="5" t="str">
        <f>IFERROR(__xludf.DUMMYFUNCTION("REGEXEXTRACT(J6004, ""^\d+"")"),"101")</f>
        <v>101</v>
      </c>
      <c r="Z6004" s="5" t="str">
        <f>IFERROR(__xludf.DUMMYFUNCTION("REGEXEXTRACT(J6004, ""[A-Za-z ]+$"")")," min")</f>
        <v> min</v>
      </c>
      <c r="AA6004" s="5" t="str">
        <f>IFERROR(__xludf.DUMMYFUNCTION("IF(REGEXMATCH(Z6004, ""Season""), ""TV Show"", ""Movie"")"),"Movie")</f>
        <v>Movie</v>
      </c>
    </row>
    <row r="6005">
      <c r="A6005" s="1" t="s">
        <v>30359</v>
      </c>
      <c r="B6005" s="1" t="s">
        <v>27</v>
      </c>
      <c r="C6005" s="1" t="s">
        <v>30360</v>
      </c>
      <c r="D6005" s="1" t="s">
        <v>3843</v>
      </c>
      <c r="E6005" s="1" t="s">
        <v>30361</v>
      </c>
      <c r="F6005" s="1" t="s">
        <v>30362</v>
      </c>
      <c r="G6005" s="1" t="s">
        <v>30363</v>
      </c>
      <c r="H6005" s="1">
        <v>2017.0</v>
      </c>
      <c r="I6005" s="1" t="s">
        <v>378</v>
      </c>
      <c r="J6005" s="1" t="s">
        <v>454</v>
      </c>
      <c r="K6005" s="1" t="s">
        <v>380</v>
      </c>
      <c r="L6005" s="1" t="s">
        <v>30364</v>
      </c>
      <c r="M6005" s="2" t="s">
        <v>12</v>
      </c>
      <c r="N6005" s="4">
        <f t="shared" si="1"/>
        <v>43197</v>
      </c>
      <c r="O6005" s="5" t="str">
        <f>IFERROR(__xludf.DUMMYFUNCTION("IF(REGEXMATCH(TRIM(I6005), ""^\d+\s*min""), ""Unclassified"", IF(I6005 = """", ""NR"", I6005))"),"R")</f>
        <v>R</v>
      </c>
      <c r="R6005" s="5" t="str">
        <f t="shared" si="2"/>
        <v>24 Hours To Live</v>
      </c>
      <c r="S6005" s="5" t="str">
        <f>IFERROR(__xludf.DUMMYFUNCTION("""COMPUTED_VALUE"""),"Sab Jholmaal Hai")</f>
        <v>Sab Jholmaal Hai</v>
      </c>
      <c r="V6005" s="5"/>
      <c r="Y6005" s="5" t="str">
        <f>IFERROR(__xludf.DUMMYFUNCTION("REGEXEXTRACT(J6005, ""^\d+"")"),"93")</f>
        <v>93</v>
      </c>
      <c r="Z6005" s="5" t="str">
        <f>IFERROR(__xludf.DUMMYFUNCTION("REGEXEXTRACT(J6005, ""[A-Za-z ]+$"")")," min")</f>
        <v> min</v>
      </c>
      <c r="AA6005" s="5" t="str">
        <f>IFERROR(__xludf.DUMMYFUNCTION("IF(REGEXMATCH(Z6005, ""Season""), ""TV Show"", ""Movie"")"),"Movie")</f>
        <v>Movie</v>
      </c>
    </row>
    <row r="6006">
      <c r="A6006" s="1" t="s">
        <v>30365</v>
      </c>
      <c r="B6006" s="1" t="s">
        <v>27</v>
      </c>
      <c r="C6006" s="1" t="s">
        <v>30366</v>
      </c>
      <c r="D6006" s="1" t="s">
        <v>16761</v>
      </c>
      <c r="E6006" s="1" t="s">
        <v>30367</v>
      </c>
      <c r="F6006" s="1" t="s">
        <v>1815</v>
      </c>
      <c r="G6006" s="7">
        <v>43221.0</v>
      </c>
      <c r="H6006" s="1">
        <v>2018.0</v>
      </c>
      <c r="I6006" s="1" t="s">
        <v>42</v>
      </c>
      <c r="J6006" s="1" t="s">
        <v>1001</v>
      </c>
      <c r="K6006" s="1" t="s">
        <v>1328</v>
      </c>
      <c r="L6006" s="1" t="s">
        <v>30368</v>
      </c>
      <c r="M6006" s="2" t="s">
        <v>12</v>
      </c>
      <c r="N6006" s="4">
        <f t="shared" si="1"/>
        <v>43221</v>
      </c>
      <c r="O6006" s="5" t="str">
        <f>IFERROR(__xludf.DUMMYFUNCTION("IF(REGEXMATCH(TRIM(I6006), ""^\d+\s*min""), ""Unclassified"", IF(I6006 = """", ""NR"", I6006))"),"TV-MA")</f>
        <v>TV-MA</v>
      </c>
      <c r="R6006" s="5" t="str">
        <f t="shared" si="2"/>
        <v>27, El Club De Los Malditos</v>
      </c>
      <c r="S6006" s="5" t="str">
        <f>IFERROR(__xludf.DUMMYFUNCTION("""COMPUTED_VALUE"""),"Sabotage")</f>
        <v>Sabotage</v>
      </c>
      <c r="V6006" s="5"/>
      <c r="Y6006" s="5" t="str">
        <f>IFERROR(__xludf.DUMMYFUNCTION("REGEXEXTRACT(J6006, ""^\d+"")"),"82")</f>
        <v>82</v>
      </c>
      <c r="Z6006" s="5" t="str">
        <f>IFERROR(__xludf.DUMMYFUNCTION("REGEXEXTRACT(J6006, ""[A-Za-z ]+$"")")," min")</f>
        <v> min</v>
      </c>
      <c r="AA6006" s="5" t="str">
        <f>IFERROR(__xludf.DUMMYFUNCTION("IF(REGEXMATCH(Z6006, ""Season""), ""TV Show"", ""Movie"")"),"Movie")</f>
        <v>Movie</v>
      </c>
    </row>
    <row r="6007">
      <c r="A6007" s="1" t="s">
        <v>30369</v>
      </c>
      <c r="B6007" s="1" t="s">
        <v>27</v>
      </c>
      <c r="C6007" s="1" t="s">
        <v>30370</v>
      </c>
      <c r="D6007" s="1" t="s">
        <v>21222</v>
      </c>
      <c r="E6007" s="1" t="s">
        <v>30371</v>
      </c>
      <c r="F6007" s="1" t="s">
        <v>96</v>
      </c>
      <c r="G6007" s="7">
        <v>43221.0</v>
      </c>
      <c r="H6007" s="1">
        <v>2017.0</v>
      </c>
      <c r="I6007" s="1" t="s">
        <v>42</v>
      </c>
      <c r="J6007" s="1" t="s">
        <v>1583</v>
      </c>
      <c r="K6007" s="1" t="s">
        <v>34</v>
      </c>
      <c r="L6007" s="1" t="s">
        <v>30372</v>
      </c>
      <c r="M6007" s="2" t="s">
        <v>12</v>
      </c>
      <c r="N6007" s="4">
        <f t="shared" si="1"/>
        <v>43221</v>
      </c>
      <c r="O6007" s="5" t="str">
        <f>IFERROR(__xludf.DUMMYFUNCTION("IF(REGEXMATCH(TRIM(I6007), ""^\d+\s*min""), ""Unclassified"", IF(I6007 = """", ""NR"", I6007))"),"TV-MA")</f>
        <v>TV-MA</v>
      </c>
      <c r="R6007" s="5" t="str">
        <f t="shared" si="2"/>
        <v>27: Gone Too Soon</v>
      </c>
      <c r="S6007" s="5" t="str">
        <f>IFERROR(__xludf.DUMMYFUNCTION("""COMPUTED_VALUE"""),"Sabrina")</f>
        <v>Sabrina</v>
      </c>
      <c r="V6007" s="5"/>
      <c r="Y6007" s="5" t="str">
        <f>IFERROR(__xludf.DUMMYFUNCTION("REGEXEXTRACT(J6007, ""^\d+"")"),"70")</f>
        <v>70</v>
      </c>
      <c r="Z6007" s="5" t="str">
        <f>IFERROR(__xludf.DUMMYFUNCTION("REGEXEXTRACT(J6007, ""[A-Za-z ]+$"")")," min")</f>
        <v> min</v>
      </c>
      <c r="AA6007" s="5" t="str">
        <f>IFERROR(__xludf.DUMMYFUNCTION("IF(REGEXMATCH(Z6007, ""Season""), ""TV Show"", ""Movie"")"),"Movie")</f>
        <v>Movie</v>
      </c>
    </row>
    <row r="6008">
      <c r="A6008" s="1" t="s">
        <v>30373</v>
      </c>
      <c r="B6008" s="1" t="s">
        <v>27</v>
      </c>
      <c r="C6008" s="1" t="s">
        <v>30374</v>
      </c>
      <c r="D6008" s="1" t="s">
        <v>3335</v>
      </c>
      <c r="E6008" s="1" t="s">
        <v>30375</v>
      </c>
      <c r="F6008" s="1" t="s">
        <v>30</v>
      </c>
      <c r="G6008" s="1" t="s">
        <v>11093</v>
      </c>
      <c r="H6008" s="1">
        <v>2000.0</v>
      </c>
      <c r="I6008" s="1" t="s">
        <v>32</v>
      </c>
      <c r="J6008" s="1" t="s">
        <v>106</v>
      </c>
      <c r="K6008" s="1" t="s">
        <v>107</v>
      </c>
      <c r="L6008" s="1" t="s">
        <v>30376</v>
      </c>
      <c r="M6008" s="2" t="s">
        <v>12</v>
      </c>
      <c r="N6008" s="4">
        <f t="shared" si="1"/>
        <v>44104</v>
      </c>
      <c r="O6008" s="5" t="str">
        <f>IFERROR(__xludf.DUMMYFUNCTION("IF(REGEXMATCH(TRIM(I6008), ""^\d+\s*min""), ""Unclassified"", IF(I6008 = """", ""NR"", I6008))"),"PG-13")</f>
        <v>PG-13</v>
      </c>
      <c r="R6008" s="5" t="str">
        <f t="shared" si="2"/>
        <v>28 Days</v>
      </c>
      <c r="S6008" s="5" t="str">
        <f>IFERROR(__xludf.DUMMYFUNCTION("""COMPUTED_VALUE"""),"Sacred Games")</f>
        <v>Sacred Games</v>
      </c>
      <c r="V6008" s="5"/>
      <c r="Y6008" s="5" t="str">
        <f>IFERROR(__xludf.DUMMYFUNCTION("REGEXEXTRACT(J6008, ""^\d+"")"),"104")</f>
        <v>104</v>
      </c>
      <c r="Z6008" s="5" t="str">
        <f>IFERROR(__xludf.DUMMYFUNCTION("REGEXEXTRACT(J6008, ""[A-Za-z ]+$"")")," min")</f>
        <v> min</v>
      </c>
      <c r="AA6008" s="5" t="str">
        <f>IFERROR(__xludf.DUMMYFUNCTION("IF(REGEXMATCH(Z6008, ""Season""), ""TV Show"", ""Movie"")"),"Movie")</f>
        <v>Movie</v>
      </c>
    </row>
    <row r="6009">
      <c r="A6009" s="1" t="s">
        <v>30377</v>
      </c>
      <c r="B6009" s="1" t="s">
        <v>27</v>
      </c>
      <c r="C6009" s="1" t="s">
        <v>30378</v>
      </c>
      <c r="D6009" s="1" t="s">
        <v>833</v>
      </c>
      <c r="E6009" s="1" t="s">
        <v>30379</v>
      </c>
      <c r="G6009" s="1" t="s">
        <v>17078</v>
      </c>
      <c r="H6009" s="1">
        <v>2003.0</v>
      </c>
      <c r="I6009" s="1" t="s">
        <v>42</v>
      </c>
      <c r="J6009" s="1" t="s">
        <v>941</v>
      </c>
      <c r="K6009" s="1" t="s">
        <v>298</v>
      </c>
      <c r="L6009" s="1" t="s">
        <v>30380</v>
      </c>
      <c r="M6009" s="2" t="s">
        <v>12</v>
      </c>
      <c r="N6009" s="4">
        <f t="shared" si="1"/>
        <v>43830</v>
      </c>
      <c r="O6009" s="5" t="str">
        <f>IFERROR(__xludf.DUMMYFUNCTION("IF(REGEXMATCH(TRIM(I6009), ""^\d+\s*min""), ""Unclassified"", IF(I6009 = """", ""NR"", I6009))"),"TV-MA")</f>
        <v>TV-MA</v>
      </c>
      <c r="R6009" s="5" t="str">
        <f t="shared" si="2"/>
        <v>3 Deewarein</v>
      </c>
      <c r="S6009" s="5" t="str">
        <f>IFERROR(__xludf.DUMMYFUNCTION("""COMPUTED_VALUE"""),"Sacro Gra")</f>
        <v>Sacro Gra</v>
      </c>
      <c r="V6009" s="5"/>
      <c r="Y6009" s="5" t="str">
        <f>IFERROR(__xludf.DUMMYFUNCTION("REGEXEXTRACT(J6009, ""^\d+"")"),"121")</f>
        <v>121</v>
      </c>
      <c r="Z6009" s="5" t="str">
        <f>IFERROR(__xludf.DUMMYFUNCTION("REGEXEXTRACT(J6009, ""[A-Za-z ]+$"")")," min")</f>
        <v> min</v>
      </c>
      <c r="AA6009" s="5" t="str">
        <f>IFERROR(__xludf.DUMMYFUNCTION("IF(REGEXMATCH(Z6009, ""Season""), ""TV Show"", ""Movie"")"),"Movie")</f>
        <v>Movie</v>
      </c>
    </row>
    <row r="6010">
      <c r="A6010" s="1" t="s">
        <v>30381</v>
      </c>
      <c r="B6010" s="1" t="s">
        <v>27</v>
      </c>
      <c r="C6010" s="1" t="s">
        <v>30382</v>
      </c>
      <c r="D6010" s="1" t="s">
        <v>8061</v>
      </c>
      <c r="E6010" s="1" t="s">
        <v>30383</v>
      </c>
      <c r="F6010" s="1" t="s">
        <v>30</v>
      </c>
      <c r="G6010" s="1" t="s">
        <v>30384</v>
      </c>
      <c r="H6010" s="1">
        <v>2015.0</v>
      </c>
      <c r="I6010" s="1" t="s">
        <v>32</v>
      </c>
      <c r="J6010" s="1" t="s">
        <v>665</v>
      </c>
      <c r="K6010" s="1" t="s">
        <v>8641</v>
      </c>
      <c r="L6010" s="1" t="s">
        <v>30385</v>
      </c>
      <c r="M6010" s="2" t="s">
        <v>12</v>
      </c>
      <c r="N6010" s="4">
        <f t="shared" si="1"/>
        <v>42975</v>
      </c>
      <c r="O6010" s="5" t="str">
        <f>IFERROR(__xludf.DUMMYFUNCTION("IF(REGEXMATCH(TRIM(I6010), ""^\d+\s*min""), ""Unclassified"", IF(I6010 = """", ""NR"", I6010))"),"PG-13")</f>
        <v>PG-13</v>
      </c>
      <c r="R6010" s="5" t="str">
        <f t="shared" si="2"/>
        <v>3 Generations</v>
      </c>
      <c r="S6010" s="5" t="str">
        <f>IFERROR(__xludf.DUMMYFUNCTION("""COMPUTED_VALUE"""),"Sad Hill Unearthed")</f>
        <v>Sad Hill Unearthed</v>
      </c>
      <c r="V6010" s="5"/>
      <c r="Y6010" s="5" t="str">
        <f>IFERROR(__xludf.DUMMYFUNCTION("REGEXEXTRACT(J6010, ""^\d+"")"),"92")</f>
        <v>92</v>
      </c>
      <c r="Z6010" s="5" t="str">
        <f>IFERROR(__xludf.DUMMYFUNCTION("REGEXEXTRACT(J6010, ""[A-Za-z ]+$"")")," min")</f>
        <v> min</v>
      </c>
      <c r="AA6010" s="5" t="str">
        <f>IFERROR(__xludf.DUMMYFUNCTION("IF(REGEXMATCH(Z6010, ""Season""), ""TV Show"", ""Movie"")"),"Movie")</f>
        <v>Movie</v>
      </c>
    </row>
    <row r="6011">
      <c r="A6011" s="1" t="s">
        <v>30386</v>
      </c>
      <c r="B6011" s="1" t="s">
        <v>27</v>
      </c>
      <c r="C6011" s="1" t="s">
        <v>30387</v>
      </c>
      <c r="D6011" s="1" t="s">
        <v>9603</v>
      </c>
      <c r="E6011" s="1" t="s">
        <v>30388</v>
      </c>
      <c r="F6011" s="1" t="s">
        <v>2873</v>
      </c>
      <c r="G6011" s="1" t="s">
        <v>22597</v>
      </c>
      <c r="H6011" s="1">
        <v>2016.0</v>
      </c>
      <c r="I6011" s="1" t="s">
        <v>136</v>
      </c>
      <c r="J6011" s="1" t="s">
        <v>341</v>
      </c>
      <c r="K6011" s="1" t="s">
        <v>5099</v>
      </c>
      <c r="L6011" s="1" t="s">
        <v>30389</v>
      </c>
      <c r="M6011" s="2" t="s">
        <v>12</v>
      </c>
      <c r="N6011" s="4">
        <f t="shared" si="1"/>
        <v>43470</v>
      </c>
      <c r="O6011" s="5" t="str">
        <f>IFERROR(__xludf.DUMMYFUNCTION("IF(REGEXMATCH(TRIM(I6011), ""^\d+\s*min""), ""Unclassified"", IF(I6011 = """", ""NR"", I6011))"),"TV-PG")</f>
        <v>TV-PG</v>
      </c>
      <c r="R6011" s="5" t="str">
        <f t="shared" si="2"/>
        <v>3 Heroines</v>
      </c>
      <c r="S6011" s="5" t="str">
        <f>IFERROR(__xludf.DUMMYFUNCTION("""COMPUTED_VALUE"""),"Sadece Sen")</f>
        <v>Sadece Sen</v>
      </c>
      <c r="V6011" s="5"/>
      <c r="Y6011" s="5" t="str">
        <f>IFERROR(__xludf.DUMMYFUNCTION("REGEXEXTRACT(J6011, ""^\d+"")"),"124")</f>
        <v>124</v>
      </c>
      <c r="Z6011" s="5" t="str">
        <f>IFERROR(__xludf.DUMMYFUNCTION("REGEXEXTRACT(J6011, ""[A-Za-z ]+$"")")," min")</f>
        <v> min</v>
      </c>
      <c r="AA6011" s="5" t="str">
        <f>IFERROR(__xludf.DUMMYFUNCTION("IF(REGEXMATCH(Z6011, ""Season""), ""TV Show"", ""Movie"")"),"Movie")</f>
        <v>Movie</v>
      </c>
    </row>
    <row r="6012">
      <c r="A6012" s="1" t="s">
        <v>30390</v>
      </c>
      <c r="B6012" s="1" t="s">
        <v>27</v>
      </c>
      <c r="C6012" s="1" t="s">
        <v>30391</v>
      </c>
      <c r="D6012" s="1" t="s">
        <v>21012</v>
      </c>
      <c r="F6012" s="1" t="s">
        <v>1106</v>
      </c>
      <c r="G6012" s="1" t="s">
        <v>20334</v>
      </c>
      <c r="H6012" s="1">
        <v>2018.0</v>
      </c>
      <c r="I6012" s="1" t="s">
        <v>136</v>
      </c>
      <c r="J6012" s="1" t="s">
        <v>8606</v>
      </c>
      <c r="K6012" s="1" t="s">
        <v>25796</v>
      </c>
      <c r="L6012" s="1" t="s">
        <v>30392</v>
      </c>
      <c r="M6012" s="2" t="s">
        <v>12</v>
      </c>
      <c r="N6012" s="4">
        <f t="shared" si="1"/>
        <v>43631</v>
      </c>
      <c r="O6012" s="5" t="str">
        <f>IFERROR(__xludf.DUMMYFUNCTION("IF(REGEXMATCH(TRIM(I6012), ""^\d+\s*min""), ""Unclassified"", IF(I6012 = """", ""NR"", I6012))"),"TV-PG")</f>
        <v>TV-PG</v>
      </c>
      <c r="R6012" s="5" t="str">
        <f t="shared" si="2"/>
        <v>3 Seconds Divorce</v>
      </c>
      <c r="S6012" s="5" t="str">
        <f>IFERROR(__xludf.DUMMYFUNCTION("""COMPUTED_VALUE"""),"Sadie'S Last Days On Earth")</f>
        <v>Sadie'S Last Days On Earth</v>
      </c>
      <c r="V6012" s="5"/>
      <c r="Y6012" s="5" t="str">
        <f>IFERROR(__xludf.DUMMYFUNCTION("REGEXEXTRACT(J6012, ""^\d+"")"),"53")</f>
        <v>53</v>
      </c>
      <c r="Z6012" s="5" t="str">
        <f>IFERROR(__xludf.DUMMYFUNCTION("REGEXEXTRACT(J6012, ""[A-Za-z ]+$"")")," min")</f>
        <v> min</v>
      </c>
      <c r="AA6012" s="5" t="str">
        <f>IFERROR(__xludf.DUMMYFUNCTION("IF(REGEXMATCH(Z6012, ""Season""), ""TV Show"", ""Movie"")"),"Movie")</f>
        <v>Movie</v>
      </c>
    </row>
    <row r="6013">
      <c r="A6013" s="1" t="s">
        <v>30393</v>
      </c>
      <c r="B6013" s="1" t="s">
        <v>27</v>
      </c>
      <c r="C6013" s="1" t="s">
        <v>30394</v>
      </c>
      <c r="D6013" s="1" t="s">
        <v>8975</v>
      </c>
      <c r="E6013" s="1" t="s">
        <v>30395</v>
      </c>
      <c r="F6013" s="1" t="s">
        <v>3309</v>
      </c>
      <c r="G6013" s="1" t="s">
        <v>30396</v>
      </c>
      <c r="H6013" s="1">
        <v>2016.0</v>
      </c>
      <c r="I6013" s="1" t="s">
        <v>97</v>
      </c>
      <c r="J6013" s="1" t="s">
        <v>79</v>
      </c>
      <c r="K6013" s="1" t="s">
        <v>199</v>
      </c>
      <c r="L6013" s="1" t="s">
        <v>30397</v>
      </c>
      <c r="M6013" s="2" t="s">
        <v>12</v>
      </c>
      <c r="N6013" s="4">
        <f t="shared" si="1"/>
        <v>43573</v>
      </c>
      <c r="O6013" s="5" t="str">
        <f>IFERROR(__xludf.DUMMYFUNCTION("IF(REGEXMATCH(TRIM(I6013), ""^\d+\s*min""), ""Unclassified"", IF(I6013 = """", ""NR"", I6013))"),"TV-14")</f>
        <v>TV-14</v>
      </c>
      <c r="R6013" s="5" t="str">
        <f t="shared" si="2"/>
        <v>30 Days Of Luxury</v>
      </c>
      <c r="S6013" s="5" t="str">
        <f>IFERROR(__xludf.DUMMYFUNCTION("""COMPUTED_VALUE"""),"Sadma")</f>
        <v>Sadma</v>
      </c>
      <c r="V6013" s="5"/>
      <c r="Y6013" s="5" t="str">
        <f>IFERROR(__xludf.DUMMYFUNCTION("REGEXEXTRACT(J6013, ""^\d+"")"),"91")</f>
        <v>91</v>
      </c>
      <c r="Z6013" s="5" t="str">
        <f>IFERROR(__xludf.DUMMYFUNCTION("REGEXEXTRACT(J6013, ""[A-Za-z ]+$"")")," min")</f>
        <v> min</v>
      </c>
      <c r="AA6013" s="5" t="str">
        <f>IFERROR(__xludf.DUMMYFUNCTION("IF(REGEXMATCH(Z6013, ""Season""), ""TV Show"", ""Movie"")"),"Movie")</f>
        <v>Movie</v>
      </c>
    </row>
    <row r="6014">
      <c r="A6014" s="1" t="s">
        <v>30398</v>
      </c>
      <c r="B6014" s="1" t="s">
        <v>27</v>
      </c>
      <c r="C6014" s="1" t="s">
        <v>30399</v>
      </c>
      <c r="D6014" s="1" t="s">
        <v>19860</v>
      </c>
      <c r="E6014" s="1" t="s">
        <v>30400</v>
      </c>
      <c r="F6014" s="1" t="s">
        <v>30</v>
      </c>
      <c r="G6014" s="1" t="s">
        <v>8506</v>
      </c>
      <c r="H6014" s="1">
        <v>2011.0</v>
      </c>
      <c r="I6014" s="1" t="s">
        <v>378</v>
      </c>
      <c r="J6014" s="1" t="s">
        <v>490</v>
      </c>
      <c r="K6014" s="1" t="s">
        <v>973</v>
      </c>
      <c r="L6014" s="1" t="s">
        <v>30401</v>
      </c>
      <c r="M6014" s="2" t="s">
        <v>12</v>
      </c>
      <c r="N6014" s="4">
        <f t="shared" si="1"/>
        <v>44197</v>
      </c>
      <c r="O6014" s="5" t="str">
        <f>IFERROR(__xludf.DUMMYFUNCTION("IF(REGEXMATCH(TRIM(I6014), ""^\d+\s*min""), ""Unclassified"", IF(I6014 = """", ""NR"", I6014))"),"R")</f>
        <v>R</v>
      </c>
      <c r="R6014" s="5" t="str">
        <f t="shared" si="2"/>
        <v>30 Minutes Or Less</v>
      </c>
      <c r="S6014" s="5" t="str">
        <f>IFERROR(__xludf.DUMMYFUNCTION("""COMPUTED_VALUE"""),"Sadqay Tumhare")</f>
        <v>Sadqay Tumhare</v>
      </c>
      <c r="V6014" s="5"/>
      <c r="Y6014" s="5" t="str">
        <f>IFERROR(__xludf.DUMMYFUNCTION("REGEXEXTRACT(J6014, ""^\d+"")"),"83")</f>
        <v>83</v>
      </c>
      <c r="Z6014" s="5" t="str">
        <f>IFERROR(__xludf.DUMMYFUNCTION("REGEXEXTRACT(J6014, ""[A-Za-z ]+$"")")," min")</f>
        <v> min</v>
      </c>
      <c r="AA6014" s="5" t="str">
        <f>IFERROR(__xludf.DUMMYFUNCTION("IF(REGEXMATCH(Z6014, ""Season""), ""TV Show"", ""Movie"")"),"Movie")</f>
        <v>Movie</v>
      </c>
    </row>
    <row r="6015">
      <c r="A6015" s="1" t="s">
        <v>30402</v>
      </c>
      <c r="B6015" s="1" t="s">
        <v>27</v>
      </c>
      <c r="C6015" s="1" t="s">
        <v>30403</v>
      </c>
      <c r="D6015" s="1" t="s">
        <v>14198</v>
      </c>
      <c r="E6015" s="1" t="s">
        <v>30404</v>
      </c>
      <c r="F6015" s="1" t="s">
        <v>30405</v>
      </c>
      <c r="G6015" s="1" t="s">
        <v>18985</v>
      </c>
      <c r="H6015" s="1">
        <v>1989.0</v>
      </c>
      <c r="I6015" s="1" t="s">
        <v>97</v>
      </c>
      <c r="J6015" s="1" t="s">
        <v>454</v>
      </c>
      <c r="K6015" s="1" t="s">
        <v>128</v>
      </c>
      <c r="L6015" s="1" t="s">
        <v>30406</v>
      </c>
      <c r="M6015" s="2" t="s">
        <v>12</v>
      </c>
      <c r="N6015" s="4">
        <f t="shared" si="1"/>
        <v>43739</v>
      </c>
      <c r="O6015" s="5" t="str">
        <f>IFERROR(__xludf.DUMMYFUNCTION("IF(REGEXMATCH(TRIM(I6015), ""^\d+\s*min""), ""Unclassified"", IF(I6015 = """", ""NR"", I6015))"),"TV-14")</f>
        <v>TV-14</v>
      </c>
      <c r="R6015" s="5" t="str">
        <f t="shared" si="2"/>
        <v>300 Miles To Heaven</v>
      </c>
      <c r="S6015" s="5" t="str">
        <f>IFERROR(__xludf.DUMMYFUNCTION("""COMPUTED_VALUE"""),"Saeed Mirza: The Leftist Sufi")</f>
        <v>Saeed Mirza: The Leftist Sufi</v>
      </c>
      <c r="V6015" s="5"/>
      <c r="Y6015" s="5" t="str">
        <f>IFERROR(__xludf.DUMMYFUNCTION("REGEXEXTRACT(J6015, ""^\d+"")"),"93")</f>
        <v>93</v>
      </c>
      <c r="Z6015" s="5" t="str">
        <f>IFERROR(__xludf.DUMMYFUNCTION("REGEXEXTRACT(J6015, ""[A-Za-z ]+$"")")," min")</f>
        <v> min</v>
      </c>
      <c r="AA6015" s="5" t="str">
        <f>IFERROR(__xludf.DUMMYFUNCTION("IF(REGEXMATCH(Z6015, ""Season""), ""TV Show"", ""Movie"")"),"Movie")</f>
        <v>Movie</v>
      </c>
    </row>
    <row r="6016">
      <c r="A6016" s="1" t="s">
        <v>30407</v>
      </c>
      <c r="B6016" s="1" t="s">
        <v>27</v>
      </c>
      <c r="C6016" s="1" t="s">
        <v>30408</v>
      </c>
      <c r="D6016" s="1" t="s">
        <v>9856</v>
      </c>
      <c r="E6016" s="1" t="s">
        <v>30409</v>
      </c>
      <c r="F6016" s="1" t="s">
        <v>30</v>
      </c>
      <c r="G6016" s="1" t="s">
        <v>26295</v>
      </c>
      <c r="H6016" s="1">
        <v>2017.0</v>
      </c>
      <c r="I6016" s="1" t="s">
        <v>42</v>
      </c>
      <c r="J6016" s="1" t="s">
        <v>2452</v>
      </c>
      <c r="K6016" s="1" t="s">
        <v>34</v>
      </c>
      <c r="L6016" s="1" t="s">
        <v>30410</v>
      </c>
      <c r="M6016" s="2" t="s">
        <v>12</v>
      </c>
      <c r="N6016" s="4">
        <f t="shared" si="1"/>
        <v>43132</v>
      </c>
      <c r="O6016" s="5" t="str">
        <f>IFERROR(__xludf.DUMMYFUNCTION("IF(REGEXMATCH(TRIM(I6016), ""^\d+\s*min""), ""Unclassified"", IF(I6016 = """", ""NR"", I6016))"),"TV-MA")</f>
        <v>TV-MA</v>
      </c>
      <c r="R6016" s="5" t="str">
        <f t="shared" si="2"/>
        <v>42 Grams</v>
      </c>
      <c r="S6016" s="5" t="str">
        <f>IFERROR(__xludf.DUMMYFUNCTION("""COMPUTED_VALUE"""),"Safe")</f>
        <v>Safe</v>
      </c>
      <c r="V6016" s="5"/>
      <c r="Y6016" s="5" t="str">
        <f>IFERROR(__xludf.DUMMYFUNCTION("REGEXEXTRACT(J6016, ""^\d+"")"),"81")</f>
        <v>81</v>
      </c>
      <c r="Z6016" s="5" t="str">
        <f>IFERROR(__xludf.DUMMYFUNCTION("REGEXEXTRACT(J6016, ""[A-Za-z ]+$"")")," min")</f>
        <v> min</v>
      </c>
      <c r="AA6016" s="5" t="str">
        <f>IFERROR(__xludf.DUMMYFUNCTION("IF(REGEXMATCH(Z6016, ""Season""), ""TV Show"", ""Movie"")"),"Movie")</f>
        <v>Movie</v>
      </c>
    </row>
    <row r="6017">
      <c r="A6017" s="1" t="s">
        <v>30411</v>
      </c>
      <c r="B6017" s="1" t="s">
        <v>27</v>
      </c>
      <c r="C6017" s="1" t="s">
        <v>30412</v>
      </c>
      <c r="D6017" s="1" t="s">
        <v>1920</v>
      </c>
      <c r="E6017" s="1" t="s">
        <v>30413</v>
      </c>
      <c r="F6017" s="1" t="s">
        <v>30</v>
      </c>
      <c r="G6017" s="7">
        <v>42495.0</v>
      </c>
      <c r="H6017" s="1">
        <v>2015.0</v>
      </c>
      <c r="I6017" s="1" t="s">
        <v>30231</v>
      </c>
      <c r="J6017" s="1" t="s">
        <v>1144</v>
      </c>
      <c r="K6017" s="1" t="s">
        <v>30414</v>
      </c>
      <c r="L6017" s="1" t="s">
        <v>30415</v>
      </c>
      <c r="M6017" s="2" t="s">
        <v>12</v>
      </c>
      <c r="N6017" s="4">
        <f t="shared" si="1"/>
        <v>42495</v>
      </c>
      <c r="O6017" s="5" t="str">
        <f>IFERROR(__xludf.DUMMYFUNCTION("IF(REGEXMATCH(TRIM(I6017), ""^\d+\s*min""), ""Unclassified"", IF(I6017 = """", ""NR"", I6017))"),"NR")</f>
        <v>NR</v>
      </c>
      <c r="R6017" s="5" t="str">
        <f t="shared" si="2"/>
        <v>4Th Man Out</v>
      </c>
      <c r="S6017" s="5" t="str">
        <f>IFERROR(__xludf.DUMMYFUNCTION("""COMPUTED_VALUE"""),"Safe Haven")</f>
        <v>Safe Haven</v>
      </c>
      <c r="V6017" s="5"/>
      <c r="Y6017" s="5" t="str">
        <f>IFERROR(__xludf.DUMMYFUNCTION("REGEXEXTRACT(J6017, ""^\d+"")"),"86")</f>
        <v>86</v>
      </c>
      <c r="Z6017" s="5" t="str">
        <f>IFERROR(__xludf.DUMMYFUNCTION("REGEXEXTRACT(J6017, ""[A-Za-z ]+$"")")," min")</f>
        <v> min</v>
      </c>
      <c r="AA6017" s="5" t="str">
        <f>IFERROR(__xludf.DUMMYFUNCTION("IF(REGEXMATCH(Z6017, ""Season""), ""TV Show"", ""Movie"")"),"Movie")</f>
        <v>Movie</v>
      </c>
    </row>
    <row r="6018">
      <c r="A6018" s="1" t="s">
        <v>30416</v>
      </c>
      <c r="B6018" s="1" t="s">
        <v>27</v>
      </c>
      <c r="C6018" s="1" t="s">
        <v>30417</v>
      </c>
      <c r="D6018" s="1" t="s">
        <v>2085</v>
      </c>
      <c r="E6018" s="1" t="s">
        <v>30418</v>
      </c>
      <c r="G6018" s="1" t="s">
        <v>22597</v>
      </c>
      <c r="H6018" s="1">
        <v>2017.0</v>
      </c>
      <c r="I6018" s="1" t="s">
        <v>42</v>
      </c>
      <c r="J6018" s="1" t="s">
        <v>256</v>
      </c>
      <c r="K6018" s="1" t="s">
        <v>1328</v>
      </c>
      <c r="L6018" s="1" t="s">
        <v>30419</v>
      </c>
      <c r="M6018" s="2" t="s">
        <v>12</v>
      </c>
      <c r="N6018" s="4">
        <f t="shared" si="1"/>
        <v>43470</v>
      </c>
      <c r="O6018" s="5" t="str">
        <f>IFERROR(__xludf.DUMMYFUNCTION("IF(REGEXMATCH(TRIM(I6018), ""^\d+\s*min""), ""Unclassified"", IF(I6018 = """", ""NR"", I6018))"),"TV-MA")</f>
        <v>TV-MA</v>
      </c>
      <c r="R6018" s="5" t="str">
        <f t="shared" si="2"/>
        <v>5 Cowok Jagoan</v>
      </c>
      <c r="S6018" s="5" t="str">
        <f>IFERROR(__xludf.DUMMYFUNCTION("""COMPUTED_VALUE"""),"Safe House")</f>
        <v>Safe House</v>
      </c>
      <c r="V6018" s="5"/>
      <c r="Y6018" s="5" t="str">
        <f>IFERROR(__xludf.DUMMYFUNCTION("REGEXEXTRACT(J6018, ""^\d+"")"),"106")</f>
        <v>106</v>
      </c>
      <c r="Z6018" s="5" t="str">
        <f>IFERROR(__xludf.DUMMYFUNCTION("REGEXEXTRACT(J6018, ""[A-Za-z ]+$"")")," min")</f>
        <v> min</v>
      </c>
      <c r="AA6018" s="5" t="str">
        <f>IFERROR(__xludf.DUMMYFUNCTION("IF(REGEXMATCH(Z6018, ""Season""), ""TV Show"", ""Movie"")"),"Movie")</f>
        <v>Movie</v>
      </c>
    </row>
    <row r="6019">
      <c r="A6019" s="1" t="s">
        <v>30420</v>
      </c>
      <c r="B6019" s="1" t="s">
        <v>27</v>
      </c>
      <c r="C6019" s="1" t="s">
        <v>30421</v>
      </c>
      <c r="D6019" s="1" t="s">
        <v>23215</v>
      </c>
      <c r="E6019" s="1" t="s">
        <v>30422</v>
      </c>
      <c r="F6019" s="1" t="s">
        <v>30</v>
      </c>
      <c r="G6019" s="1" t="s">
        <v>28495</v>
      </c>
      <c r="H6019" s="1">
        <v>2014.0</v>
      </c>
      <c r="I6019" s="1" t="s">
        <v>378</v>
      </c>
      <c r="J6019" s="1" t="s">
        <v>247</v>
      </c>
      <c r="K6019" s="1" t="s">
        <v>1099</v>
      </c>
      <c r="L6019" s="1" t="s">
        <v>30423</v>
      </c>
      <c r="M6019" s="2" t="s">
        <v>12</v>
      </c>
      <c r="N6019" s="4">
        <f t="shared" si="1"/>
        <v>42810</v>
      </c>
      <c r="O6019" s="5" t="str">
        <f>IFERROR(__xludf.DUMMYFUNCTION("IF(REGEXMATCH(TRIM(I6019), ""^\d+\s*min""), ""Unclassified"", IF(I6019 = """", ""NR"", I6019))"),"R")</f>
        <v>R</v>
      </c>
      <c r="R6019" s="5" t="str">
        <f t="shared" si="2"/>
        <v>5 To 7</v>
      </c>
      <c r="S6019" s="5" t="str">
        <f>IFERROR(__xludf.DUMMYFUNCTION("""COMPUTED_VALUE"""),"Safety Not Guaranteed")</f>
        <v>Safety Not Guaranteed</v>
      </c>
      <c r="V6019" s="5"/>
      <c r="Y6019" s="5" t="str">
        <f>IFERROR(__xludf.DUMMYFUNCTION("REGEXEXTRACT(J6019, ""^\d+"")"),"97")</f>
        <v>97</v>
      </c>
      <c r="Z6019" s="5" t="str">
        <f>IFERROR(__xludf.DUMMYFUNCTION("REGEXEXTRACT(J6019, ""[A-Za-z ]+$"")")," min")</f>
        <v> min</v>
      </c>
      <c r="AA6019" s="5" t="str">
        <f>IFERROR(__xludf.DUMMYFUNCTION("IF(REGEXMATCH(Z6019, ""Season""), ""TV Show"", ""Movie"")"),"Movie")</f>
        <v>Movie</v>
      </c>
    </row>
    <row r="6020">
      <c r="A6020" s="1" t="s">
        <v>30424</v>
      </c>
      <c r="B6020" s="1" t="s">
        <v>27</v>
      </c>
      <c r="C6020" s="1" t="s">
        <v>30425</v>
      </c>
      <c r="D6020" s="1" t="s">
        <v>1254</v>
      </c>
      <c r="E6020" s="1" t="s">
        <v>30426</v>
      </c>
      <c r="F6020" s="1" t="s">
        <v>30</v>
      </c>
      <c r="G6020" s="1" t="s">
        <v>9391</v>
      </c>
      <c r="H6020" s="1">
        <v>2004.0</v>
      </c>
      <c r="I6020" s="1" t="s">
        <v>32</v>
      </c>
      <c r="J6020" s="1" t="s">
        <v>416</v>
      </c>
      <c r="K6020" s="1" t="s">
        <v>813</v>
      </c>
      <c r="L6020" s="1" t="s">
        <v>30427</v>
      </c>
      <c r="M6020" s="2" t="s">
        <v>12</v>
      </c>
      <c r="N6020" s="4">
        <f t="shared" si="1"/>
        <v>44166</v>
      </c>
      <c r="O6020" s="5" t="str">
        <f>IFERROR(__xludf.DUMMYFUNCTION("IF(REGEXMATCH(TRIM(I6020), ""^\d+\s*min""), ""Unclassified"", IF(I6020 = """", ""NR"", I6020))"),"PG-13")</f>
        <v>PG-13</v>
      </c>
      <c r="R6020" s="5" t="str">
        <f t="shared" si="2"/>
        <v>50 First Dates</v>
      </c>
      <c r="S6020" s="5" t="str">
        <f>IFERROR(__xludf.DUMMYFUNCTION("""COMPUTED_VALUE"""),"Sahara")</f>
        <v>Sahara</v>
      </c>
      <c r="V6020" s="5"/>
      <c r="Y6020" s="5" t="str">
        <f>IFERROR(__xludf.DUMMYFUNCTION("REGEXEXTRACT(J6020, ""^\d+"")"),"99")</f>
        <v>99</v>
      </c>
      <c r="Z6020" s="5" t="str">
        <f>IFERROR(__xludf.DUMMYFUNCTION("REGEXEXTRACT(J6020, ""[A-Za-z ]+$"")")," min")</f>
        <v> min</v>
      </c>
      <c r="AA6020" s="5" t="str">
        <f>IFERROR(__xludf.DUMMYFUNCTION("IF(REGEXMATCH(Z6020, ""Season""), ""TV Show"", ""Movie"")"),"Movie")</f>
        <v>Movie</v>
      </c>
    </row>
    <row r="6021">
      <c r="A6021" s="1" t="s">
        <v>30428</v>
      </c>
      <c r="B6021" s="1" t="s">
        <v>27</v>
      </c>
      <c r="C6021" s="1" t="s">
        <v>30429</v>
      </c>
      <c r="D6021" s="1" t="s">
        <v>11703</v>
      </c>
      <c r="E6021" s="1" t="s">
        <v>30430</v>
      </c>
      <c r="F6021" s="1" t="s">
        <v>30</v>
      </c>
      <c r="G6021" s="1" t="s">
        <v>20561</v>
      </c>
      <c r="H6021" s="1">
        <v>2011.0</v>
      </c>
      <c r="I6021" s="1" t="s">
        <v>378</v>
      </c>
      <c r="J6021" s="1" t="s">
        <v>433</v>
      </c>
      <c r="K6021" s="1" t="s">
        <v>836</v>
      </c>
      <c r="L6021" s="1" t="s">
        <v>30431</v>
      </c>
      <c r="M6021" s="2" t="s">
        <v>12</v>
      </c>
      <c r="N6021" s="4">
        <f t="shared" si="1"/>
        <v>43617</v>
      </c>
      <c r="O6021" s="5" t="str">
        <f>IFERROR(__xludf.DUMMYFUNCTION("IF(REGEXMATCH(TRIM(I6021), ""^\d+\s*min""), ""Unclassified"", IF(I6021 = """", ""NR"", I6021))"),"R")</f>
        <v>R</v>
      </c>
      <c r="R6021" s="5" t="str">
        <f t="shared" si="2"/>
        <v>50/50</v>
      </c>
      <c r="S6021" s="5" t="str">
        <f>IFERROR(__xludf.DUMMYFUNCTION("""COMPUTED_VALUE"""),"Saheb Bibi Golaam")</f>
        <v>Saheb Bibi Golaam</v>
      </c>
      <c r="V6021" s="5"/>
      <c r="Y6021" s="5" t="str">
        <f>IFERROR(__xludf.DUMMYFUNCTION("REGEXEXTRACT(J6021, ""^\d+"")"),"100")</f>
        <v>100</v>
      </c>
      <c r="Z6021" s="5" t="str">
        <f>IFERROR(__xludf.DUMMYFUNCTION("REGEXEXTRACT(J6021, ""[A-Za-z ]+$"")")," min")</f>
        <v> min</v>
      </c>
      <c r="AA6021" s="5" t="str">
        <f>IFERROR(__xludf.DUMMYFUNCTION("IF(REGEXMATCH(Z6021, ""Season""), ""TV Show"", ""Movie"")"),"Movie")</f>
        <v>Movie</v>
      </c>
    </row>
    <row r="6022">
      <c r="A6022" s="1" t="s">
        <v>30432</v>
      </c>
      <c r="B6022" s="1" t="s">
        <v>27</v>
      </c>
      <c r="C6022" s="1" t="s">
        <v>30433</v>
      </c>
      <c r="D6022" s="1" t="s">
        <v>19299</v>
      </c>
      <c r="E6022" s="1" t="s">
        <v>30434</v>
      </c>
      <c r="F6022" s="1" t="s">
        <v>2873</v>
      </c>
      <c r="G6022" s="1" t="s">
        <v>24452</v>
      </c>
      <c r="H6022" s="1">
        <v>2012.0</v>
      </c>
      <c r="I6022" s="1" t="s">
        <v>97</v>
      </c>
      <c r="J6022" s="1" t="s">
        <v>3458</v>
      </c>
      <c r="K6022" s="1" t="s">
        <v>128</v>
      </c>
      <c r="L6022" s="1" t="s">
        <v>30435</v>
      </c>
      <c r="M6022" s="2" t="s">
        <v>12</v>
      </c>
      <c r="N6022" s="4">
        <f t="shared" si="1"/>
        <v>43371</v>
      </c>
      <c r="O6022" s="5" t="str">
        <f>IFERROR(__xludf.DUMMYFUNCTION("IF(REGEXMATCH(TRIM(I6022), ""^\d+\s*min""), ""Unclassified"", IF(I6022 = """", ""NR"", I6022))"),"TV-14")</f>
        <v>TV-14</v>
      </c>
      <c r="R6022" s="5" t="str">
        <f t="shared" si="2"/>
        <v>5Cm</v>
      </c>
      <c r="S6022" s="5" t="str">
        <f>IFERROR(__xludf.DUMMYFUNCTION("""COMPUTED_VALUE"""),"Saheb Biwi Aur Gangster Returns")</f>
        <v>Saheb Biwi Aur Gangster Returns</v>
      </c>
      <c r="V6022" s="5"/>
      <c r="Y6022" s="5" t="str">
        <f>IFERROR(__xludf.DUMMYFUNCTION("REGEXEXTRACT(J6022, ""^\d+"")"),"126")</f>
        <v>126</v>
      </c>
      <c r="Z6022" s="5" t="str">
        <f>IFERROR(__xludf.DUMMYFUNCTION("REGEXEXTRACT(J6022, ""[A-Za-z ]+$"")")," min")</f>
        <v> min</v>
      </c>
      <c r="AA6022" s="5" t="str">
        <f>IFERROR(__xludf.DUMMYFUNCTION("IF(REGEXMATCH(Z6022, ""Season""), ""TV Show"", ""Movie"")"),"Movie")</f>
        <v>Movie</v>
      </c>
    </row>
    <row r="6023">
      <c r="A6023" s="1" t="s">
        <v>30436</v>
      </c>
      <c r="B6023" s="1" t="s">
        <v>27</v>
      </c>
      <c r="C6023" s="1" t="s">
        <v>30437</v>
      </c>
      <c r="D6023" s="1" t="s">
        <v>22606</v>
      </c>
      <c r="E6023" s="1" t="s">
        <v>30438</v>
      </c>
      <c r="F6023" s="1" t="s">
        <v>30439</v>
      </c>
      <c r="G6023" s="1" t="s">
        <v>30440</v>
      </c>
      <c r="H6023" s="1">
        <v>2017.0</v>
      </c>
      <c r="I6023" s="1" t="s">
        <v>378</v>
      </c>
      <c r="J6023" s="1" t="s">
        <v>170</v>
      </c>
      <c r="K6023" s="1" t="s">
        <v>306</v>
      </c>
      <c r="L6023" s="1" t="s">
        <v>30441</v>
      </c>
      <c r="M6023" s="2" t="s">
        <v>12</v>
      </c>
      <c r="N6023" s="4">
        <f t="shared" si="1"/>
        <v>43139</v>
      </c>
      <c r="O6023" s="5" t="str">
        <f>IFERROR(__xludf.DUMMYFUNCTION("IF(REGEXMATCH(TRIM(I6023), ""^\d+\s*min""), ""Unclassified"", IF(I6023 = """", ""NR"", I6023))"),"R")</f>
        <v>R</v>
      </c>
      <c r="R6023" s="5" t="str">
        <f t="shared" si="2"/>
        <v>6 Days</v>
      </c>
      <c r="S6023" s="5" t="str">
        <f>IFERROR(__xludf.DUMMYFUNCTION("""COMPUTED_VALUE"""),"Sailor Moon Crystal")</f>
        <v>Sailor Moon Crystal</v>
      </c>
      <c r="V6023" s="5"/>
      <c r="Y6023" s="5" t="str">
        <f>IFERROR(__xludf.DUMMYFUNCTION("REGEXEXTRACT(J6023, ""^\d+"")"),"94")</f>
        <v>94</v>
      </c>
      <c r="Z6023" s="5" t="str">
        <f>IFERROR(__xludf.DUMMYFUNCTION("REGEXEXTRACT(J6023, ""[A-Za-z ]+$"")")," min")</f>
        <v> min</v>
      </c>
      <c r="AA6023" s="5" t="str">
        <f>IFERROR(__xludf.DUMMYFUNCTION("IF(REGEXMATCH(Z6023, ""Season""), ""TV Show"", ""Movie"")"),"Movie")</f>
        <v>Movie</v>
      </c>
    </row>
    <row r="6024">
      <c r="A6024" s="1" t="s">
        <v>30442</v>
      </c>
      <c r="B6024" s="1" t="s">
        <v>27</v>
      </c>
      <c r="C6024" s="1" t="s">
        <v>30443</v>
      </c>
      <c r="D6024" s="1" t="s">
        <v>3352</v>
      </c>
      <c r="E6024" s="1" t="s">
        <v>30444</v>
      </c>
      <c r="F6024" s="1" t="s">
        <v>63</v>
      </c>
      <c r="G6024" s="1" t="s">
        <v>26883</v>
      </c>
      <c r="H6024" s="1">
        <v>2014.0</v>
      </c>
      <c r="I6024" s="1" t="s">
        <v>42</v>
      </c>
      <c r="J6024" s="1" t="s">
        <v>238</v>
      </c>
      <c r="K6024" s="1" t="s">
        <v>1592</v>
      </c>
      <c r="L6024" s="1" t="s">
        <v>30445</v>
      </c>
      <c r="M6024" s="2" t="s">
        <v>12</v>
      </c>
      <c r="N6024" s="4">
        <f t="shared" si="1"/>
        <v>43040</v>
      </c>
      <c r="O6024" s="5" t="str">
        <f>IFERROR(__xludf.DUMMYFUNCTION("IF(REGEXMATCH(TRIM(I6024), ""^\d+\s*min""), ""Unclassified"", IF(I6024 = """", ""NR"", I6024))"),"TV-MA")</f>
        <v>TV-MA</v>
      </c>
      <c r="R6024" s="5" t="str">
        <f t="shared" si="2"/>
        <v>6-5=2</v>
      </c>
      <c r="S6024" s="5" t="str">
        <f>IFERROR(__xludf.DUMMYFUNCTION("""COMPUTED_VALUE"""),"Saint Seiya")</f>
        <v>Saint Seiya</v>
      </c>
      <c r="V6024" s="5"/>
      <c r="Y6024" s="5" t="str">
        <f>IFERROR(__xludf.DUMMYFUNCTION("REGEXEXTRACT(J6024, ""^\d+"")"),"103")</f>
        <v>103</v>
      </c>
      <c r="Z6024" s="5" t="str">
        <f>IFERROR(__xludf.DUMMYFUNCTION("REGEXEXTRACT(J6024, ""[A-Za-z ]+$"")")," min")</f>
        <v> min</v>
      </c>
      <c r="AA6024" s="5" t="str">
        <f>IFERROR(__xludf.DUMMYFUNCTION("IF(REGEXMATCH(Z6024, ""Season""), ""TV Show"", ""Movie"")"),"Movie")</f>
        <v>Movie</v>
      </c>
    </row>
    <row r="6025">
      <c r="A6025" s="1" t="s">
        <v>30446</v>
      </c>
      <c r="B6025" s="1" t="s">
        <v>27</v>
      </c>
      <c r="C6025" s="1" t="s">
        <v>30447</v>
      </c>
      <c r="D6025" s="1" t="s">
        <v>22896</v>
      </c>
      <c r="E6025" s="1" t="s">
        <v>30448</v>
      </c>
      <c r="F6025" s="1" t="s">
        <v>30</v>
      </c>
      <c r="G6025" s="1" t="s">
        <v>19361</v>
      </c>
      <c r="H6025" s="1">
        <v>2017.0</v>
      </c>
      <c r="I6025" s="1" t="s">
        <v>378</v>
      </c>
      <c r="J6025" s="1" t="s">
        <v>322</v>
      </c>
      <c r="K6025" s="1" t="s">
        <v>30449</v>
      </c>
      <c r="L6025" s="1" t="s">
        <v>30450</v>
      </c>
      <c r="M6025" s="2" t="s">
        <v>12</v>
      </c>
      <c r="N6025" s="4">
        <f t="shared" si="1"/>
        <v>43709</v>
      </c>
      <c r="O6025" s="5" t="str">
        <f>IFERROR(__xludf.DUMMYFUNCTION("IF(REGEXMATCH(TRIM(I6025), ""^\d+\s*min""), ""Unclassified"", IF(I6025 = """", ""NR"", I6025))"),"R")</f>
        <v>R</v>
      </c>
      <c r="R6025" s="5" t="str">
        <f t="shared" si="2"/>
        <v>68 Kill</v>
      </c>
      <c r="S6025" s="5" t="str">
        <f>IFERROR(__xludf.DUMMYFUNCTION("""COMPUTED_VALUE"""),"​Saint Seiya: Knights Of The Zodiac")</f>
        <v>​Saint Seiya: Knights Of The Zodiac</v>
      </c>
      <c r="V6025" s="5"/>
      <c r="Y6025" s="5" t="str">
        <f>IFERROR(__xludf.DUMMYFUNCTION("REGEXEXTRACT(J6025, ""^\d+"")"),"96")</f>
        <v>96</v>
      </c>
      <c r="Z6025" s="5" t="str">
        <f>IFERROR(__xludf.DUMMYFUNCTION("REGEXEXTRACT(J6025, ""[A-Za-z ]+$"")")," min")</f>
        <v> min</v>
      </c>
      <c r="AA6025" s="5" t="str">
        <f>IFERROR(__xludf.DUMMYFUNCTION("IF(REGEXMATCH(Z6025, ""Season""), ""TV Show"", ""Movie"")"),"Movie")</f>
        <v>Movie</v>
      </c>
    </row>
    <row r="6026">
      <c r="A6026" s="1" t="s">
        <v>30451</v>
      </c>
      <c r="B6026" s="1" t="s">
        <v>37</v>
      </c>
      <c r="C6026" s="1" t="s">
        <v>30452</v>
      </c>
      <c r="D6026" s="1" t="s">
        <v>16984</v>
      </c>
      <c r="E6026" s="1" t="s">
        <v>30453</v>
      </c>
      <c r="F6026" s="1" t="s">
        <v>63</v>
      </c>
      <c r="G6026" s="1" t="s">
        <v>19832</v>
      </c>
      <c r="H6026" s="1">
        <v>2019.0</v>
      </c>
      <c r="I6026" s="1" t="s">
        <v>97</v>
      </c>
      <c r="J6026" s="1" t="s">
        <v>51</v>
      </c>
      <c r="K6026" s="1" t="s">
        <v>1045</v>
      </c>
      <c r="L6026" s="1" t="s">
        <v>13243</v>
      </c>
      <c r="M6026" s="2" t="s">
        <v>12</v>
      </c>
      <c r="N6026" s="4">
        <f t="shared" si="1"/>
        <v>43676</v>
      </c>
      <c r="O6026" s="5" t="str">
        <f>IFERROR(__xludf.DUMMYFUNCTION("IF(REGEXMATCH(TRIM(I6026), ""^\d+\s*min""), ""Unclassified"", IF(I6026 = """", ""NR"", I6026))"),"TV-14")</f>
        <v>TV-14</v>
      </c>
      <c r="R6026" s="5" t="str">
        <f t="shared" si="2"/>
        <v>7 (Seven)</v>
      </c>
      <c r="S6026" s="5" t="str">
        <f>IFERROR(__xludf.DUMMYFUNCTION("""COMPUTED_VALUE"""),"Saint Seiya: The Lost Canvas")</f>
        <v>Saint Seiya: The Lost Canvas</v>
      </c>
      <c r="V6026" s="5"/>
      <c r="Y6026" s="5" t="str">
        <f>IFERROR(__xludf.DUMMYFUNCTION("REGEXEXTRACT(J6026, ""^\d+"")"),"1")</f>
        <v>1</v>
      </c>
      <c r="Z6026" s="5" t="str">
        <f>IFERROR(__xludf.DUMMYFUNCTION("REGEXEXTRACT(J6026, ""[A-Za-z ]+$"")")," Season")</f>
        <v> Season</v>
      </c>
      <c r="AA6026" s="5" t="str">
        <f>IFERROR(__xludf.DUMMYFUNCTION("IF(REGEXMATCH(Z6026, ""Season""), ""TV Show"", ""Movie"")"),"TV Show")</f>
        <v>TV Show</v>
      </c>
    </row>
    <row r="6027">
      <c r="A6027" s="1" t="s">
        <v>30454</v>
      </c>
      <c r="B6027" s="1" t="s">
        <v>27</v>
      </c>
      <c r="C6027" s="1" t="s">
        <v>30455</v>
      </c>
      <c r="D6027" s="1" t="s">
        <v>15437</v>
      </c>
      <c r="E6027" s="1" t="s">
        <v>30456</v>
      </c>
      <c r="F6027" s="1" t="s">
        <v>19350</v>
      </c>
      <c r="G6027" s="7">
        <v>43600.0</v>
      </c>
      <c r="H6027" s="1">
        <v>2018.0</v>
      </c>
      <c r="I6027" s="1" t="s">
        <v>136</v>
      </c>
      <c r="J6027" s="1" t="s">
        <v>4242</v>
      </c>
      <c r="K6027" s="1" t="s">
        <v>230</v>
      </c>
      <c r="L6027" s="1" t="s">
        <v>30457</v>
      </c>
      <c r="M6027" s="2" t="s">
        <v>12</v>
      </c>
      <c r="N6027" s="4">
        <f t="shared" si="1"/>
        <v>43600</v>
      </c>
      <c r="O6027" s="5" t="str">
        <f>IFERROR(__xludf.DUMMYFUNCTION("IF(REGEXMATCH(TRIM(I6027), ""^\d+\s*min""), ""Unclassified"", IF(I6027 = """", ""NR"", I6027))"),"TV-PG")</f>
        <v>TV-PG</v>
      </c>
      <c r="R6027" s="5" t="str">
        <f t="shared" si="2"/>
        <v>7 Din Mohabbat In</v>
      </c>
      <c r="S6027" s="5" t="str">
        <f>IFERROR(__xludf.DUMMYFUNCTION("""COMPUTED_VALUE"""),"Sairat")</f>
        <v>Sairat</v>
      </c>
      <c r="V6027" s="5"/>
      <c r="Y6027" s="5" t="str">
        <f>IFERROR(__xludf.DUMMYFUNCTION("REGEXEXTRACT(J6027, ""^\d+"")"),"137")</f>
        <v>137</v>
      </c>
      <c r="Z6027" s="5" t="str">
        <f>IFERROR(__xludf.DUMMYFUNCTION("REGEXEXTRACT(J6027, ""[A-Za-z ]+$"")")," min")</f>
        <v> min</v>
      </c>
      <c r="AA6027" s="5" t="str">
        <f>IFERROR(__xludf.DUMMYFUNCTION("IF(REGEXMATCH(Z6027, ""Season""), ""TV Show"", ""Movie"")"),"Movie")</f>
        <v>Movie</v>
      </c>
    </row>
    <row r="6028">
      <c r="A6028" s="1" t="s">
        <v>30458</v>
      </c>
      <c r="B6028" s="1" t="s">
        <v>37</v>
      </c>
      <c r="C6028" s="1" t="s">
        <v>30459</v>
      </c>
      <c r="E6028" s="1" t="s">
        <v>30460</v>
      </c>
      <c r="F6028" s="1" t="s">
        <v>30</v>
      </c>
      <c r="G6028" s="1" t="s">
        <v>28552</v>
      </c>
      <c r="H6028" s="1">
        <v>2016.0</v>
      </c>
      <c r="I6028" s="1" t="s">
        <v>136</v>
      </c>
      <c r="J6028" s="1" t="s">
        <v>51</v>
      </c>
      <c r="K6028" s="1" t="s">
        <v>29581</v>
      </c>
      <c r="L6028" s="1" t="s">
        <v>30461</v>
      </c>
      <c r="M6028" s="2" t="s">
        <v>12</v>
      </c>
      <c r="N6028" s="4">
        <f t="shared" si="1"/>
        <v>42795</v>
      </c>
      <c r="O6028" s="5" t="str">
        <f>IFERROR(__xludf.DUMMYFUNCTION("IF(REGEXMATCH(TRIM(I6028), ""^\d+\s*min""), ""Unclassified"", IF(I6028 = """", ""NR"", I6028))"),"TV-PG")</f>
        <v>TV-PG</v>
      </c>
      <c r="R6028" s="5" t="str">
        <f t="shared" si="2"/>
        <v>9 Months That Made You</v>
      </c>
      <c r="S6028" s="5" t="str">
        <f>IFERROR(__xludf.DUMMYFUNCTION("""COMPUTED_VALUE"""),"Sakaling Maging Tayo")</f>
        <v>Sakaling Maging Tayo</v>
      </c>
      <c r="V6028" s="5"/>
      <c r="Y6028" s="5" t="str">
        <f>IFERROR(__xludf.DUMMYFUNCTION("REGEXEXTRACT(J6028, ""^\d+"")"),"1")</f>
        <v>1</v>
      </c>
      <c r="Z6028" s="5" t="str">
        <f>IFERROR(__xludf.DUMMYFUNCTION("REGEXEXTRACT(J6028, ""[A-Za-z ]+$"")")," Season")</f>
        <v> Season</v>
      </c>
      <c r="AA6028" s="5" t="str">
        <f>IFERROR(__xludf.DUMMYFUNCTION("IF(REGEXMATCH(Z6028, ""Season""), ""TV Show"", ""Movie"")"),"TV Show")</f>
        <v>TV Show</v>
      </c>
    </row>
    <row r="6029">
      <c r="A6029" s="1" t="s">
        <v>30462</v>
      </c>
      <c r="B6029" s="1" t="s">
        <v>27</v>
      </c>
      <c r="C6029" s="1" t="s">
        <v>30463</v>
      </c>
      <c r="D6029" s="1" t="s">
        <v>11600</v>
      </c>
      <c r="E6029" s="1" t="s">
        <v>30464</v>
      </c>
      <c r="F6029" s="1" t="s">
        <v>2296</v>
      </c>
      <c r="G6029" s="1" t="s">
        <v>16236</v>
      </c>
      <c r="H6029" s="1">
        <v>2017.0</v>
      </c>
      <c r="I6029" s="1" t="s">
        <v>378</v>
      </c>
      <c r="J6029" s="1" t="s">
        <v>106</v>
      </c>
      <c r="K6029" s="1" t="s">
        <v>239</v>
      </c>
      <c r="L6029" s="1" t="s">
        <v>30465</v>
      </c>
      <c r="M6029" s="2" t="s">
        <v>12</v>
      </c>
      <c r="N6029" s="4">
        <f t="shared" si="1"/>
        <v>43875</v>
      </c>
      <c r="O6029" s="5" t="str">
        <f>IFERROR(__xludf.DUMMYFUNCTION("IF(REGEXMATCH(TRIM(I6029), ""^\d+\s*min""), ""Unclassified"", IF(I6029 = """", ""NR"", I6029))"),"R")</f>
        <v>R</v>
      </c>
      <c r="R6029" s="5" t="str">
        <f t="shared" si="2"/>
        <v>A Bad Moms Christmas</v>
      </c>
      <c r="S6029" s="5" t="str">
        <f>IFERROR(__xludf.DUMMYFUNCTION("""COMPUTED_VALUE"""),"Sakhi")</f>
        <v>Sakhi</v>
      </c>
      <c r="V6029" s="5"/>
      <c r="Y6029" s="5" t="str">
        <f>IFERROR(__xludf.DUMMYFUNCTION("REGEXEXTRACT(J6029, ""^\d+"")"),"104")</f>
        <v>104</v>
      </c>
      <c r="Z6029" s="5" t="str">
        <f>IFERROR(__xludf.DUMMYFUNCTION("REGEXEXTRACT(J6029, ""[A-Za-z ]+$"")")," min")</f>
        <v> min</v>
      </c>
      <c r="AA6029" s="5" t="str">
        <f>IFERROR(__xludf.DUMMYFUNCTION("IF(REGEXMATCH(Z6029, ""Season""), ""TV Show"", ""Movie"")"),"Movie")</f>
        <v>Movie</v>
      </c>
    </row>
    <row r="6030">
      <c r="A6030" s="1" t="s">
        <v>30466</v>
      </c>
      <c r="B6030" s="1" t="s">
        <v>27</v>
      </c>
      <c r="C6030" s="1" t="s">
        <v>30467</v>
      </c>
      <c r="D6030" s="1" t="s">
        <v>17491</v>
      </c>
      <c r="E6030" s="1" t="s">
        <v>30468</v>
      </c>
      <c r="F6030" s="1" t="s">
        <v>63</v>
      </c>
      <c r="G6030" s="1" t="s">
        <v>25842</v>
      </c>
      <c r="H6030" s="1">
        <v>2016.0</v>
      </c>
      <c r="I6030" s="1" t="s">
        <v>97</v>
      </c>
      <c r="J6030" s="1" t="s">
        <v>106</v>
      </c>
      <c r="K6030" s="1" t="s">
        <v>89</v>
      </c>
      <c r="L6030" s="1" t="s">
        <v>30469</v>
      </c>
      <c r="M6030" s="2" t="s">
        <v>12</v>
      </c>
      <c r="N6030" s="4">
        <f t="shared" si="1"/>
        <v>43191</v>
      </c>
      <c r="O6030" s="5" t="str">
        <f>IFERROR(__xludf.DUMMYFUNCTION("IF(REGEXMATCH(TRIM(I6030), ""^\d+\s*min""), ""Unclassified"", IF(I6030 = """", ""NR"", I6030))"),"TV-14")</f>
        <v>TV-14</v>
      </c>
      <c r="R6030" s="5" t="str">
        <f t="shared" si="2"/>
        <v>A Billion Colour Story</v>
      </c>
      <c r="S6030" s="5" t="str">
        <f>IFERROR(__xludf.DUMMYFUNCTION("""COMPUTED_VALUE"""),"Sakho &amp; Mangane")</f>
        <v>Sakho &amp; Mangane</v>
      </c>
      <c r="V6030" s="5"/>
      <c r="Y6030" s="5" t="str">
        <f>IFERROR(__xludf.DUMMYFUNCTION("REGEXEXTRACT(J6030, ""^\d+"")"),"104")</f>
        <v>104</v>
      </c>
      <c r="Z6030" s="5" t="str">
        <f>IFERROR(__xludf.DUMMYFUNCTION("REGEXEXTRACT(J6030, ""[A-Za-z ]+$"")")," min")</f>
        <v> min</v>
      </c>
      <c r="AA6030" s="5" t="str">
        <f>IFERROR(__xludf.DUMMYFUNCTION("IF(REGEXMATCH(Z6030, ""Season""), ""TV Show"", ""Movie"")"),"Movie")</f>
        <v>Movie</v>
      </c>
    </row>
    <row r="6031">
      <c r="A6031" s="1" t="s">
        <v>30470</v>
      </c>
      <c r="B6031" s="1" t="s">
        <v>27</v>
      </c>
      <c r="C6031" s="1" t="s">
        <v>30471</v>
      </c>
      <c r="D6031" s="1" t="s">
        <v>11227</v>
      </c>
      <c r="E6031" s="1" t="s">
        <v>30472</v>
      </c>
      <c r="F6031" s="1" t="s">
        <v>30</v>
      </c>
      <c r="G6031" s="1" t="s">
        <v>26413</v>
      </c>
      <c r="H6031" s="1">
        <v>2016.0</v>
      </c>
      <c r="I6031" s="1" t="s">
        <v>78</v>
      </c>
      <c r="J6031" s="1" t="s">
        <v>170</v>
      </c>
      <c r="K6031" s="1" t="s">
        <v>8226</v>
      </c>
      <c r="L6031" s="1" t="s">
        <v>30473</v>
      </c>
      <c r="M6031" s="2" t="s">
        <v>12</v>
      </c>
      <c r="N6031" s="4">
        <f t="shared" si="1"/>
        <v>43115</v>
      </c>
      <c r="O6031" s="5" t="str">
        <f>IFERROR(__xludf.DUMMYFUNCTION("IF(REGEXMATCH(TRIM(I6031), ""^\d+\s*min""), ""Unclassified"", IF(I6031 = """", ""NR"", I6031))"),"PG")</f>
        <v>PG</v>
      </c>
      <c r="R6031" s="5" t="str">
        <f t="shared" si="2"/>
        <v>A Boy Called Po</v>
      </c>
      <c r="S6031" s="5" t="str">
        <f>IFERROR(__xludf.DUMMYFUNCTION("""COMPUTED_VALUE"""),"Salaakhen")</f>
        <v>Salaakhen</v>
      </c>
      <c r="V6031" s="5"/>
      <c r="Y6031" s="5" t="str">
        <f>IFERROR(__xludf.DUMMYFUNCTION("REGEXEXTRACT(J6031, ""^\d+"")"),"94")</f>
        <v>94</v>
      </c>
      <c r="Z6031" s="5" t="str">
        <f>IFERROR(__xludf.DUMMYFUNCTION("REGEXEXTRACT(J6031, ""[A-Za-z ]+$"")")," min")</f>
        <v> min</v>
      </c>
      <c r="AA6031" s="5" t="str">
        <f>IFERROR(__xludf.DUMMYFUNCTION("IF(REGEXMATCH(Z6031, ""Season""), ""TV Show"", ""Movie"")"),"Movie")</f>
        <v>Movie</v>
      </c>
    </row>
    <row r="6032">
      <c r="A6032" s="1" t="s">
        <v>30474</v>
      </c>
      <c r="B6032" s="1" t="s">
        <v>27</v>
      </c>
      <c r="C6032" s="1" t="s">
        <v>30475</v>
      </c>
      <c r="D6032" s="1" t="s">
        <v>19104</v>
      </c>
      <c r="E6032" s="1" t="s">
        <v>30476</v>
      </c>
      <c r="F6032" s="1" t="s">
        <v>692</v>
      </c>
      <c r="G6032" s="1" t="s">
        <v>13089</v>
      </c>
      <c r="H6032" s="1">
        <v>1977.0</v>
      </c>
      <c r="I6032" s="1" t="s">
        <v>78</v>
      </c>
      <c r="J6032" s="1" t="s">
        <v>16526</v>
      </c>
      <c r="K6032" s="1" t="s">
        <v>342</v>
      </c>
      <c r="L6032" s="1" t="s">
        <v>30477</v>
      </c>
      <c r="M6032" s="2" t="s">
        <v>12</v>
      </c>
      <c r="N6032" s="4">
        <f t="shared" si="1"/>
        <v>44013</v>
      </c>
      <c r="O6032" s="5" t="str">
        <f>IFERROR(__xludf.DUMMYFUNCTION("IF(REGEXMATCH(TRIM(I6032), ""^\d+\s*min""), ""Unclassified"", IF(I6032 = """", ""NR"", I6032))"),"PG")</f>
        <v>PG</v>
      </c>
      <c r="R6032" s="5" t="str">
        <f t="shared" si="2"/>
        <v>A Bridge Too Far</v>
      </c>
      <c r="S6032" s="5" t="str">
        <f>IFERROR(__xludf.DUMMYFUNCTION("""COMPUTED_VALUE"""),"Saladin")</f>
        <v>Saladin</v>
      </c>
      <c r="V6032" s="5"/>
      <c r="Y6032" s="5" t="str">
        <f>IFERROR(__xludf.DUMMYFUNCTION("REGEXEXTRACT(J6032, ""^\d+"")"),"176")</f>
        <v>176</v>
      </c>
      <c r="Z6032" s="5" t="str">
        <f>IFERROR(__xludf.DUMMYFUNCTION("REGEXEXTRACT(J6032, ""[A-Za-z ]+$"")")," min")</f>
        <v> min</v>
      </c>
      <c r="AA6032" s="5" t="str">
        <f>IFERROR(__xludf.DUMMYFUNCTION("IF(REGEXMATCH(Z6032, ""Season""), ""TV Show"", ""Movie"")"),"Movie")</f>
        <v>Movie</v>
      </c>
    </row>
    <row r="6033">
      <c r="A6033" s="1" t="s">
        <v>30478</v>
      </c>
      <c r="B6033" s="1" t="s">
        <v>27</v>
      </c>
      <c r="C6033" s="1" t="s">
        <v>30479</v>
      </c>
      <c r="D6033" s="1" t="s">
        <v>21447</v>
      </c>
      <c r="E6033" s="1" t="s">
        <v>30480</v>
      </c>
      <c r="F6033" s="1" t="s">
        <v>686</v>
      </c>
      <c r="G6033" s="1" t="s">
        <v>10136</v>
      </c>
      <c r="H6033" s="1">
        <v>1971.0</v>
      </c>
      <c r="I6033" s="1" t="s">
        <v>378</v>
      </c>
      <c r="J6033" s="1" t="s">
        <v>4242</v>
      </c>
      <c r="K6033" s="1" t="s">
        <v>30481</v>
      </c>
      <c r="L6033" s="1" t="s">
        <v>30482</v>
      </c>
      <c r="M6033" s="2" t="s">
        <v>12</v>
      </c>
      <c r="N6033" s="4">
        <f t="shared" si="1"/>
        <v>44136</v>
      </c>
      <c r="O6033" s="5" t="str">
        <f>IFERROR(__xludf.DUMMYFUNCTION("IF(REGEXMATCH(TRIM(I6033), ""^\d+\s*min""), ""Unclassified"", IF(I6033 = """", ""NR"", I6033))"),"R")</f>
        <v>R</v>
      </c>
      <c r="R6033" s="5" t="str">
        <f t="shared" si="2"/>
        <v>A Clockwork Orange</v>
      </c>
      <c r="S6033" s="5" t="str">
        <f>IFERROR(__xludf.DUMMYFUNCTION("""COMPUTED_VALUE"""),"Salam - The First ****** Nobel Laureate")</f>
        <v>Salam - The First ****** Nobel Laureate</v>
      </c>
      <c r="V6033" s="5"/>
      <c r="Y6033" s="5" t="str">
        <f>IFERROR(__xludf.DUMMYFUNCTION("REGEXEXTRACT(J6033, ""^\d+"")"),"137")</f>
        <v>137</v>
      </c>
      <c r="Z6033" s="5" t="str">
        <f>IFERROR(__xludf.DUMMYFUNCTION("REGEXEXTRACT(J6033, ""[A-Za-z ]+$"")")," min")</f>
        <v> min</v>
      </c>
      <c r="AA6033" s="5" t="str">
        <f>IFERROR(__xludf.DUMMYFUNCTION("IF(REGEXMATCH(Z6033, ""Season""), ""TV Show"", ""Movie"")"),"Movie")</f>
        <v>Movie</v>
      </c>
    </row>
    <row r="6034">
      <c r="A6034" s="1" t="s">
        <v>30483</v>
      </c>
      <c r="B6034" s="1" t="s">
        <v>27</v>
      </c>
      <c r="C6034" s="1" t="s">
        <v>30484</v>
      </c>
      <c r="D6034" s="1" t="s">
        <v>21579</v>
      </c>
      <c r="E6034" s="1" t="s">
        <v>30485</v>
      </c>
      <c r="F6034" s="1" t="s">
        <v>30</v>
      </c>
      <c r="G6034" s="1" t="s">
        <v>25842</v>
      </c>
      <c r="H6034" s="1">
        <v>1993.0</v>
      </c>
      <c r="I6034" s="1" t="s">
        <v>378</v>
      </c>
      <c r="J6034" s="1" t="s">
        <v>1091</v>
      </c>
      <c r="K6034" s="1" t="s">
        <v>828</v>
      </c>
      <c r="L6034" s="1" t="s">
        <v>30486</v>
      </c>
      <c r="M6034" s="2" t="s">
        <v>12</v>
      </c>
      <c r="N6034" s="4">
        <f t="shared" si="1"/>
        <v>43191</v>
      </c>
      <c r="O6034" s="5" t="str">
        <f>IFERROR(__xludf.DUMMYFUNCTION("IF(REGEXMATCH(TRIM(I6034), ""^\d+\s*min""), ""Unclassified"", IF(I6034 = """", ""NR"", I6034))"),"R")</f>
        <v>R</v>
      </c>
      <c r="R6034" s="5" t="str">
        <f t="shared" si="2"/>
        <v>A Dangerous Woman</v>
      </c>
      <c r="S6034" s="5" t="str">
        <f>IFERROR(__xludf.DUMMYFUNCTION("""COMPUTED_VALUE"""),"Salem: His Sister'S Father")</f>
        <v>Salem: His Sister'S Father</v>
      </c>
      <c r="V6034" s="5"/>
      <c r="Y6034" s="5" t="str">
        <f>IFERROR(__xludf.DUMMYFUNCTION("REGEXEXTRACT(J6034, ""^\d+"")"),"101")</f>
        <v>101</v>
      </c>
      <c r="Z6034" s="5" t="str">
        <f>IFERROR(__xludf.DUMMYFUNCTION("REGEXEXTRACT(J6034, ""[A-Za-z ]+$"")")," min")</f>
        <v> min</v>
      </c>
      <c r="AA6034" s="5" t="str">
        <f>IFERROR(__xludf.DUMMYFUNCTION("IF(REGEXMATCH(Z6034, ""Season""), ""TV Show"", ""Movie"")"),"Movie")</f>
        <v>Movie</v>
      </c>
    </row>
    <row r="6035">
      <c r="A6035" s="1" t="s">
        <v>30487</v>
      </c>
      <c r="B6035" s="1" t="s">
        <v>27</v>
      </c>
      <c r="C6035" s="1" t="s">
        <v>30488</v>
      </c>
      <c r="D6035" s="1" t="s">
        <v>22697</v>
      </c>
      <c r="E6035" s="1" t="s">
        <v>22697</v>
      </c>
      <c r="F6035" s="1" t="s">
        <v>30489</v>
      </c>
      <c r="G6035" s="1" t="s">
        <v>30490</v>
      </c>
      <c r="H6035" s="1">
        <v>2015.0</v>
      </c>
      <c r="I6035" s="1" t="s">
        <v>136</v>
      </c>
      <c r="J6035" s="1" t="s">
        <v>264</v>
      </c>
      <c r="K6035" s="1" t="s">
        <v>156</v>
      </c>
      <c r="L6035" s="1" t="s">
        <v>30491</v>
      </c>
      <c r="M6035" s="2" t="s">
        <v>12</v>
      </c>
      <c r="N6035" s="4">
        <f t="shared" si="1"/>
        <v>42659</v>
      </c>
      <c r="O6035" s="5" t="str">
        <f>IFERROR(__xludf.DUMMYFUNCTION("IF(REGEXMATCH(TRIM(I6035), ""^\d+\s*min""), ""Unclassified"", IF(I6035 = """", ""NR"", I6035))"),"TV-PG")</f>
        <v>TV-PG</v>
      </c>
      <c r="R6035" s="5" t="str">
        <f t="shared" si="2"/>
        <v>A Family Affair</v>
      </c>
      <c r="S6035" s="5" t="str">
        <f>IFERROR(__xludf.DUMMYFUNCTION("""COMPUTED_VALUE"""),"Salt Fat Acid Heat")</f>
        <v>Salt Fat Acid Heat</v>
      </c>
      <c r="V6035" s="5"/>
      <c r="Y6035" s="5" t="str">
        <f>IFERROR(__xludf.DUMMYFUNCTION("REGEXEXTRACT(J6035, ""^\d+"")"),"111")</f>
        <v>111</v>
      </c>
      <c r="Z6035" s="5" t="str">
        <f>IFERROR(__xludf.DUMMYFUNCTION("REGEXEXTRACT(J6035, ""[A-Za-z ]+$"")")," min")</f>
        <v> min</v>
      </c>
      <c r="AA6035" s="5" t="str">
        <f>IFERROR(__xludf.DUMMYFUNCTION("IF(REGEXMATCH(Z6035, ""Season""), ""TV Show"", ""Movie"")"),"Movie")</f>
        <v>Movie</v>
      </c>
    </row>
    <row r="6036">
      <c r="A6036" s="1" t="s">
        <v>30492</v>
      </c>
      <c r="B6036" s="1" t="s">
        <v>27</v>
      </c>
      <c r="C6036" s="1" t="s">
        <v>30493</v>
      </c>
      <c r="D6036" s="1" t="s">
        <v>14963</v>
      </c>
      <c r="E6036" s="1" t="s">
        <v>30494</v>
      </c>
      <c r="F6036" s="1" t="s">
        <v>1979</v>
      </c>
      <c r="G6036" s="1" t="s">
        <v>17333</v>
      </c>
      <c r="H6036" s="1">
        <v>2016.0</v>
      </c>
      <c r="I6036" s="1" t="s">
        <v>378</v>
      </c>
      <c r="J6036" s="1" t="s">
        <v>297</v>
      </c>
      <c r="K6036" s="1" t="s">
        <v>805</v>
      </c>
      <c r="L6036" s="1" t="s">
        <v>30495</v>
      </c>
      <c r="M6036" s="2" t="s">
        <v>12</v>
      </c>
      <c r="N6036" s="4">
        <f t="shared" si="1"/>
        <v>43814</v>
      </c>
      <c r="O6036" s="5" t="str">
        <f>IFERROR(__xludf.DUMMYFUNCTION("IF(REGEXMATCH(TRIM(I6036), ""^\d+\s*min""), ""Unclassified"", IF(I6036 = """", ""NR"", I6036))"),"R")</f>
        <v>R</v>
      </c>
      <c r="R6036" s="5" t="str">
        <f t="shared" si="2"/>
        <v>A Family Man</v>
      </c>
      <c r="S6036" s="5" t="str">
        <f>IFERROR(__xludf.DUMMYFUNCTION("""COMPUTED_VALUE"""),"Sam &amp; Cat")</f>
        <v>Sam &amp; Cat</v>
      </c>
      <c r="V6036" s="5"/>
      <c r="Y6036" s="5" t="str">
        <f>IFERROR(__xludf.DUMMYFUNCTION("REGEXEXTRACT(J6036, ""^\d+"")"),"110")</f>
        <v>110</v>
      </c>
      <c r="Z6036" s="5" t="str">
        <f>IFERROR(__xludf.DUMMYFUNCTION("REGEXEXTRACT(J6036, ""[A-Za-z ]+$"")")," min")</f>
        <v> min</v>
      </c>
      <c r="AA6036" s="5" t="str">
        <f>IFERROR(__xludf.DUMMYFUNCTION("IF(REGEXMATCH(Z6036, ""Season""), ""TV Show"", ""Movie"")"),"Movie")</f>
        <v>Movie</v>
      </c>
    </row>
    <row r="6037">
      <c r="A6037" s="1" t="s">
        <v>30496</v>
      </c>
      <c r="B6037" s="1" t="s">
        <v>27</v>
      </c>
      <c r="C6037" s="1" t="s">
        <v>30497</v>
      </c>
      <c r="D6037" s="1" t="s">
        <v>18995</v>
      </c>
      <c r="E6037" s="1" t="s">
        <v>30498</v>
      </c>
      <c r="F6037" s="1" t="s">
        <v>63</v>
      </c>
      <c r="G6037" s="1" t="s">
        <v>26808</v>
      </c>
      <c r="H6037" s="1">
        <v>2016.0</v>
      </c>
      <c r="I6037" s="1" t="s">
        <v>97</v>
      </c>
      <c r="J6037" s="1" t="s">
        <v>950</v>
      </c>
      <c r="K6037" s="1" t="s">
        <v>13636</v>
      </c>
      <c r="L6037" s="1" t="s">
        <v>30499</v>
      </c>
      <c r="M6037" s="2" t="s">
        <v>12</v>
      </c>
      <c r="N6037" s="4">
        <f t="shared" si="1"/>
        <v>43054</v>
      </c>
      <c r="O6037" s="5" t="str">
        <f>IFERROR(__xludf.DUMMYFUNCTION("IF(REGEXMATCH(TRIM(I6037), ""^\d+\s*min""), ""Unclassified"", IF(I6037 = """", ""NR"", I6037))"),"TV-14")</f>
        <v>TV-14</v>
      </c>
      <c r="R6037" s="5" t="str">
        <f t="shared" si="2"/>
        <v>A Flying Jatt</v>
      </c>
      <c r="S6037" s="5" t="str">
        <f>IFERROR(__xludf.DUMMYFUNCTION("""COMPUTED_VALUE"""),"Sam Jay: 3 In The Morning")</f>
        <v>Sam Jay: 3 In The Morning</v>
      </c>
      <c r="V6037" s="5"/>
      <c r="Y6037" s="5" t="str">
        <f>IFERROR(__xludf.DUMMYFUNCTION("REGEXEXTRACT(J6037, ""^\d+"")"),"142")</f>
        <v>142</v>
      </c>
      <c r="Z6037" s="5" t="str">
        <f>IFERROR(__xludf.DUMMYFUNCTION("REGEXEXTRACT(J6037, ""[A-Za-z ]+$"")")," min")</f>
        <v> min</v>
      </c>
      <c r="AA6037" s="5" t="str">
        <f>IFERROR(__xludf.DUMMYFUNCTION("IF(REGEXMATCH(Z6037, ""Season""), ""TV Show"", ""Movie"")"),"Movie")</f>
        <v>Movie</v>
      </c>
    </row>
    <row r="6038">
      <c r="A6038" s="1" t="s">
        <v>30500</v>
      </c>
      <c r="B6038" s="1" t="s">
        <v>27</v>
      </c>
      <c r="C6038" s="1" t="s">
        <v>30501</v>
      </c>
      <c r="D6038" s="1" t="s">
        <v>19760</v>
      </c>
      <c r="E6038" s="1" t="s">
        <v>30502</v>
      </c>
      <c r="F6038" s="1" t="s">
        <v>30</v>
      </c>
      <c r="G6038" s="1" t="s">
        <v>25097</v>
      </c>
      <c r="H6038" s="1">
        <v>2012.0</v>
      </c>
      <c r="I6038" s="1" t="s">
        <v>378</v>
      </c>
      <c r="J6038" s="1" t="s">
        <v>1144</v>
      </c>
      <c r="K6038" s="1" t="s">
        <v>1749</v>
      </c>
      <c r="L6038" s="1" t="s">
        <v>30503</v>
      </c>
      <c r="M6038" s="2" t="s">
        <v>12</v>
      </c>
      <c r="N6038" s="4">
        <f t="shared" si="1"/>
        <v>43296</v>
      </c>
      <c r="O6038" s="5" t="str">
        <f>IFERROR(__xludf.DUMMYFUNCTION("IF(REGEXMATCH(TRIM(I6038), ""^\d+\s*min""), ""Unclassified"", IF(I6038 = """", ""NR"", I6038))"),"R")</f>
        <v>R</v>
      </c>
      <c r="R6038" s="5" t="str">
        <f t="shared" si="2"/>
        <v>A Glimpse Inside The Mind Of Charles Swan Iii</v>
      </c>
      <c r="S6038" s="5" t="str">
        <f>IFERROR(__xludf.DUMMYFUNCTION("""COMPUTED_VALUE"""),"Sam Kinison: Breaking The Rules")</f>
        <v>Sam Kinison: Breaking The Rules</v>
      </c>
      <c r="V6038" s="5"/>
      <c r="Y6038" s="5" t="str">
        <f>IFERROR(__xludf.DUMMYFUNCTION("REGEXEXTRACT(J6038, ""^\d+"")"),"86")</f>
        <v>86</v>
      </c>
      <c r="Z6038" s="5" t="str">
        <f>IFERROR(__xludf.DUMMYFUNCTION("REGEXEXTRACT(J6038, ""[A-Za-z ]+$"")")," min")</f>
        <v> min</v>
      </c>
      <c r="AA6038" s="5" t="str">
        <f>IFERROR(__xludf.DUMMYFUNCTION("IF(REGEXMATCH(Z6038, ""Season""), ""TV Show"", ""Movie"")"),"Movie")</f>
        <v>Movie</v>
      </c>
    </row>
    <row r="6039">
      <c r="A6039" s="1" t="s">
        <v>30504</v>
      </c>
      <c r="B6039" s="1" t="s">
        <v>37</v>
      </c>
      <c r="C6039" s="1" t="s">
        <v>30505</v>
      </c>
      <c r="E6039" s="1" t="s">
        <v>30506</v>
      </c>
      <c r="F6039" s="1" t="s">
        <v>2059</v>
      </c>
      <c r="G6039" s="1" t="s">
        <v>28840</v>
      </c>
      <c r="H6039" s="1">
        <v>2013.0</v>
      </c>
      <c r="I6039" s="1" t="s">
        <v>97</v>
      </c>
      <c r="J6039" s="1" t="s">
        <v>51</v>
      </c>
      <c r="K6039" s="1" t="s">
        <v>1907</v>
      </c>
      <c r="L6039" s="1" t="s">
        <v>30507</v>
      </c>
      <c r="M6039" s="2" t="s">
        <v>12</v>
      </c>
      <c r="N6039" s="4">
        <f t="shared" si="1"/>
        <v>42736</v>
      </c>
      <c r="O6039" s="5" t="str">
        <f>IFERROR(__xludf.DUMMYFUNCTION("IF(REGEXMATCH(TRIM(I6039), ""^\d+\s*min""), ""Unclassified"", IF(I6039 = """", ""NR"", I6039))"),"TV-14")</f>
        <v>TV-14</v>
      </c>
      <c r="R6039" s="5" t="str">
        <f t="shared" si="2"/>
        <v>A Good Wife</v>
      </c>
      <c r="S6039" s="5" t="str">
        <f>IFERROR(__xludf.DUMMYFUNCTION("""COMPUTED_VALUE"""),"Sam Kinison: Family Entertainment Hour")</f>
        <v>Sam Kinison: Family Entertainment Hour</v>
      </c>
      <c r="V6039" s="5"/>
      <c r="Y6039" s="5" t="str">
        <f>IFERROR(__xludf.DUMMYFUNCTION("REGEXEXTRACT(J6039, ""^\d+"")"),"1")</f>
        <v>1</v>
      </c>
      <c r="Z6039" s="5" t="str">
        <f>IFERROR(__xludf.DUMMYFUNCTION("REGEXEXTRACT(J6039, ""[A-Za-z ]+$"")")," Season")</f>
        <v> Season</v>
      </c>
      <c r="AA6039" s="5" t="str">
        <f>IFERROR(__xludf.DUMMYFUNCTION("IF(REGEXMATCH(Z6039, ""Season""), ""TV Show"", ""Movie"")"),"TV Show")</f>
        <v>TV Show</v>
      </c>
    </row>
    <row r="6040">
      <c r="A6040" s="1" t="s">
        <v>30508</v>
      </c>
      <c r="B6040" s="1" t="s">
        <v>27</v>
      </c>
      <c r="C6040" s="1" t="s">
        <v>30509</v>
      </c>
      <c r="D6040" s="1" t="s">
        <v>7251</v>
      </c>
      <c r="F6040" s="1" t="s">
        <v>30</v>
      </c>
      <c r="G6040" s="1" t="s">
        <v>26546</v>
      </c>
      <c r="H6040" s="1">
        <v>2017.0</v>
      </c>
      <c r="I6040" s="1" t="s">
        <v>42</v>
      </c>
      <c r="J6040" s="1" t="s">
        <v>454</v>
      </c>
      <c r="K6040" s="1" t="s">
        <v>34</v>
      </c>
      <c r="L6040" s="1" t="s">
        <v>30510</v>
      </c>
      <c r="M6040" s="2" t="s">
        <v>12</v>
      </c>
      <c r="N6040" s="4">
        <f t="shared" si="1"/>
        <v>43094</v>
      </c>
      <c r="O6040" s="5" t="str">
        <f>IFERROR(__xludf.DUMMYFUNCTION("IF(REGEXMATCH(TRIM(I6040), ""^\d+\s*min""), ""Unclassified"", IF(I6040 = """", ""NR"", I6040))"),"TV-MA")</f>
        <v>TV-MA</v>
      </c>
      <c r="R6040" s="5" t="str">
        <f t="shared" si="2"/>
        <v>A Gray State</v>
      </c>
      <c r="S6040" s="5" t="str">
        <f>IFERROR(__xludf.DUMMYFUNCTION("""COMPUTED_VALUE"""),"Sam Kinison: Live In Vegas")</f>
        <v>Sam Kinison: Live In Vegas</v>
      </c>
      <c r="V6040" s="5"/>
      <c r="Y6040" s="5" t="str">
        <f>IFERROR(__xludf.DUMMYFUNCTION("REGEXEXTRACT(J6040, ""^\d+"")"),"93")</f>
        <v>93</v>
      </c>
      <c r="Z6040" s="5" t="str">
        <f>IFERROR(__xludf.DUMMYFUNCTION("REGEXEXTRACT(J6040, ""[A-Za-z ]+$"")")," min")</f>
        <v> min</v>
      </c>
      <c r="AA6040" s="5" t="str">
        <f>IFERROR(__xludf.DUMMYFUNCTION("IF(REGEXMATCH(Z6040, ""Season""), ""TV Show"", ""Movie"")"),"Movie")</f>
        <v>Movie</v>
      </c>
    </row>
    <row r="6041">
      <c r="A6041" s="1" t="s">
        <v>30511</v>
      </c>
      <c r="B6041" s="1" t="s">
        <v>27</v>
      </c>
      <c r="C6041" s="1" t="s">
        <v>30512</v>
      </c>
      <c r="D6041" s="1" t="s">
        <v>4522</v>
      </c>
      <c r="E6041" s="1" t="s">
        <v>30513</v>
      </c>
      <c r="F6041" s="1" t="s">
        <v>30</v>
      </c>
      <c r="G6041" s="1" t="s">
        <v>16127</v>
      </c>
      <c r="H6041" s="1">
        <v>2013.0</v>
      </c>
      <c r="I6041" s="1" t="s">
        <v>378</v>
      </c>
      <c r="J6041" s="1" t="s">
        <v>1144</v>
      </c>
      <c r="K6041" s="1" t="s">
        <v>4525</v>
      </c>
      <c r="L6041" s="1" t="s">
        <v>30514</v>
      </c>
      <c r="M6041" s="2" t="s">
        <v>12</v>
      </c>
      <c r="N6041" s="4">
        <f t="shared" si="1"/>
        <v>43882</v>
      </c>
      <c r="O6041" s="5" t="str">
        <f>IFERROR(__xludf.DUMMYFUNCTION("IF(REGEXMATCH(TRIM(I6041), ""^\d+\s*min""), ""Unclassified"", IF(I6041 = """", ""NR"", I6041))"),"R")</f>
        <v>R</v>
      </c>
      <c r="R6041" s="5" t="str">
        <f t="shared" si="2"/>
        <v>A Haunted House</v>
      </c>
      <c r="S6041" s="5" t="str">
        <f>IFERROR(__xludf.DUMMYFUNCTION("""COMPUTED_VALUE"""),"Sam Kinison: The Scream Continues")</f>
        <v>Sam Kinison: The Scream Continues</v>
      </c>
      <c r="V6041" s="5"/>
      <c r="Y6041" s="5" t="str">
        <f>IFERROR(__xludf.DUMMYFUNCTION("REGEXEXTRACT(J6041, ""^\d+"")"),"86")</f>
        <v>86</v>
      </c>
      <c r="Z6041" s="5" t="str">
        <f>IFERROR(__xludf.DUMMYFUNCTION("REGEXEXTRACT(J6041, ""[A-Za-z ]+$"")")," min")</f>
        <v> min</v>
      </c>
      <c r="AA6041" s="5" t="str">
        <f>IFERROR(__xludf.DUMMYFUNCTION("IF(REGEXMATCH(Z6041, ""Season""), ""TV Show"", ""Movie"")"),"Movie")</f>
        <v>Movie</v>
      </c>
    </row>
    <row r="6042">
      <c r="A6042" s="1" t="s">
        <v>30515</v>
      </c>
      <c r="B6042" s="1" t="s">
        <v>27</v>
      </c>
      <c r="C6042" s="1" t="s">
        <v>30516</v>
      </c>
      <c r="D6042" s="1" t="s">
        <v>22321</v>
      </c>
      <c r="E6042" s="1" t="s">
        <v>30517</v>
      </c>
      <c r="F6042" s="1" t="s">
        <v>30</v>
      </c>
      <c r="G6042" s="1" t="s">
        <v>19226</v>
      </c>
      <c r="H6042" s="1">
        <v>2019.0</v>
      </c>
      <c r="I6042" s="1" t="s">
        <v>97</v>
      </c>
      <c r="J6042" s="1" t="s">
        <v>729</v>
      </c>
      <c r="K6042" s="1" t="s">
        <v>7235</v>
      </c>
      <c r="L6042" s="1" t="s">
        <v>30518</v>
      </c>
      <c r="M6042" s="2" t="s">
        <v>12</v>
      </c>
      <c r="N6042" s="4">
        <f t="shared" si="1"/>
        <v>43725</v>
      </c>
      <c r="O6042" s="5" t="str">
        <f>IFERROR(__xludf.DUMMYFUNCTION("IF(REGEXMATCH(TRIM(I6042), ""^\d+\s*min""), ""Unclassified"", IF(I6042 = """", ""NR"", I6042))"),"TV-14")</f>
        <v>TV-14</v>
      </c>
      <c r="R6042" s="5" t="str">
        <f t="shared" si="2"/>
        <v>A Haunting At Silver Falls: The Return</v>
      </c>
      <c r="S6042" s="5" t="str">
        <f>IFERROR(__xludf.DUMMYFUNCTION("""COMPUTED_VALUE"""),"Sam Smith: Love Goes - Live At Abbey Road Studios")</f>
        <v>Sam Smith: Love Goes - Live At Abbey Road Studios</v>
      </c>
      <c r="V6042" s="5"/>
      <c r="Y6042" s="5" t="str">
        <f>IFERROR(__xludf.DUMMYFUNCTION("REGEXEXTRACT(J6042, ""^\d+"")"),"80")</f>
        <v>80</v>
      </c>
      <c r="Z6042" s="5" t="str">
        <f>IFERROR(__xludf.DUMMYFUNCTION("REGEXEXTRACT(J6042, ""[A-Za-z ]+$"")")," min")</f>
        <v> min</v>
      </c>
      <c r="AA6042" s="5" t="str">
        <f>IFERROR(__xludf.DUMMYFUNCTION("IF(REGEXMATCH(Z6042, ""Season""), ""TV Show"", ""Movie"")"),"Movie")</f>
        <v>Movie</v>
      </c>
    </row>
    <row r="6043">
      <c r="A6043" s="1" t="s">
        <v>30519</v>
      </c>
      <c r="B6043" s="1" t="s">
        <v>27</v>
      </c>
      <c r="C6043" s="1" t="s">
        <v>30520</v>
      </c>
      <c r="D6043" s="1" t="s">
        <v>10950</v>
      </c>
      <c r="E6043" s="1" t="s">
        <v>30521</v>
      </c>
      <c r="F6043" s="1" t="s">
        <v>30</v>
      </c>
      <c r="G6043" s="1" t="s">
        <v>18253</v>
      </c>
      <c r="H6043" s="1">
        <v>2011.0</v>
      </c>
      <c r="I6043" s="1" t="s">
        <v>506</v>
      </c>
      <c r="J6043" s="1" t="s">
        <v>665</v>
      </c>
      <c r="K6043" s="1" t="s">
        <v>10074</v>
      </c>
      <c r="L6043" s="1" t="s">
        <v>30522</v>
      </c>
      <c r="M6043" s="2" t="s">
        <v>12</v>
      </c>
      <c r="N6043" s="4">
        <f t="shared" si="1"/>
        <v>43773</v>
      </c>
      <c r="O6043" s="5" t="str">
        <f>IFERROR(__xludf.DUMMYFUNCTION("IF(REGEXMATCH(TRIM(I6043), ""^\d+\s*min""), ""Unclassified"", IF(I6043 = """", ""NR"", I6043))"),"TV-G")</f>
        <v>TV-G</v>
      </c>
      <c r="R6043" s="5" t="str">
        <f t="shared" si="2"/>
        <v>A Holiday Engagement</v>
      </c>
      <c r="S6043" s="5" t="str">
        <f>IFERROR(__xludf.DUMMYFUNCTION("""COMPUTED_VALUE"""),"Samantaral")</f>
        <v>Samantaral</v>
      </c>
      <c r="V6043" s="5"/>
      <c r="Y6043" s="5" t="str">
        <f>IFERROR(__xludf.DUMMYFUNCTION("REGEXEXTRACT(J6043, ""^\d+"")"),"92")</f>
        <v>92</v>
      </c>
      <c r="Z6043" s="5" t="str">
        <f>IFERROR(__xludf.DUMMYFUNCTION("REGEXEXTRACT(J6043, ""[A-Za-z ]+$"")")," min")</f>
        <v> min</v>
      </c>
      <c r="AA6043" s="5" t="str">
        <f>IFERROR(__xludf.DUMMYFUNCTION("IF(REGEXMATCH(Z6043, ""Season""), ""TV Show"", ""Movie"")"),"Movie")</f>
        <v>Movie</v>
      </c>
    </row>
    <row r="6044">
      <c r="A6044" s="1" t="s">
        <v>30523</v>
      </c>
      <c r="B6044" s="1" t="s">
        <v>27</v>
      </c>
      <c r="C6044" s="1" t="s">
        <v>30524</v>
      </c>
      <c r="D6044" s="1" t="s">
        <v>2021</v>
      </c>
      <c r="E6044" s="1" t="s">
        <v>30525</v>
      </c>
      <c r="F6044" s="1" t="s">
        <v>30</v>
      </c>
      <c r="G6044" s="7">
        <v>42856.0</v>
      </c>
      <c r="H6044" s="1">
        <v>2016.0</v>
      </c>
      <c r="I6044" s="1" t="s">
        <v>378</v>
      </c>
      <c r="J6044" s="1" t="s">
        <v>322</v>
      </c>
      <c r="K6044" s="1" t="s">
        <v>171</v>
      </c>
      <c r="L6044" s="1" t="s">
        <v>30526</v>
      </c>
      <c r="M6044" s="2" t="s">
        <v>12</v>
      </c>
      <c r="N6044" s="4">
        <f t="shared" si="1"/>
        <v>42856</v>
      </c>
      <c r="O6044" s="5" t="str">
        <f>IFERROR(__xludf.DUMMYFUNCTION("IF(REGEXMATCH(TRIM(I6044), ""^\d+\s*min""), ""Unclassified"", IF(I6044 = """", ""NR"", I6044))"),"R")</f>
        <v>R</v>
      </c>
      <c r="R6044" s="5" t="str">
        <f t="shared" si="2"/>
        <v>A Kind Of Murder</v>
      </c>
      <c r="S6044" s="5" t="str">
        <f>IFERROR(__xludf.DUMMYFUNCTION("""COMPUTED_VALUE"""),"Samantha!")</f>
        <v>Samantha!</v>
      </c>
      <c r="V6044" s="5"/>
      <c r="Y6044" s="5" t="str">
        <f>IFERROR(__xludf.DUMMYFUNCTION("REGEXEXTRACT(J6044, ""^\d+"")"),"96")</f>
        <v>96</v>
      </c>
      <c r="Z6044" s="5" t="str">
        <f>IFERROR(__xludf.DUMMYFUNCTION("REGEXEXTRACT(J6044, ""[A-Za-z ]+$"")")," min")</f>
        <v> min</v>
      </c>
      <c r="AA6044" s="5" t="str">
        <f>IFERROR(__xludf.DUMMYFUNCTION("IF(REGEXMATCH(Z6044, ""Season""), ""TV Show"", ""Movie"")"),"Movie")</f>
        <v>Movie</v>
      </c>
    </row>
    <row r="6045">
      <c r="A6045" s="1" t="s">
        <v>30527</v>
      </c>
      <c r="B6045" s="1" t="s">
        <v>27</v>
      </c>
      <c r="C6045" s="1" t="s">
        <v>30528</v>
      </c>
      <c r="D6045" s="1" t="s">
        <v>4645</v>
      </c>
      <c r="F6045" s="1" t="s">
        <v>30</v>
      </c>
      <c r="G6045" s="1" t="s">
        <v>24725</v>
      </c>
      <c r="H6045" s="1">
        <v>2018.0</v>
      </c>
      <c r="I6045" s="1" t="s">
        <v>42</v>
      </c>
      <c r="J6045" s="1" t="s">
        <v>630</v>
      </c>
      <c r="K6045" s="1" t="s">
        <v>34</v>
      </c>
      <c r="L6045" s="1" t="s">
        <v>30529</v>
      </c>
      <c r="M6045" s="2" t="s">
        <v>12</v>
      </c>
      <c r="N6045" s="4">
        <f t="shared" si="1"/>
        <v>43339</v>
      </c>
      <c r="O6045" s="5" t="str">
        <f>IFERROR(__xludf.DUMMYFUNCTION("IF(REGEXMATCH(TRIM(I6045), ""^\d+\s*min""), ""Unclassified"", IF(I6045 = """", ""NR"", I6045))"),"TV-MA")</f>
        <v>TV-MA</v>
      </c>
      <c r="R6045" s="5" t="str">
        <f t="shared" si="2"/>
        <v>A Leaf Of Faith</v>
      </c>
      <c r="S6045" s="5" t="str">
        <f>IFERROR(__xludf.DUMMYFUNCTION("""COMPUTED_VALUE"""),"Samarppanam")</f>
        <v>Samarppanam</v>
      </c>
      <c r="V6045" s="5"/>
      <c r="Y6045" s="5" t="str">
        <f>IFERROR(__xludf.DUMMYFUNCTION("REGEXEXTRACT(J6045, ""^\d+"")"),"87")</f>
        <v>87</v>
      </c>
      <c r="Z6045" s="5" t="str">
        <f>IFERROR(__xludf.DUMMYFUNCTION("REGEXEXTRACT(J6045, ""[A-Za-z ]+$"")")," min")</f>
        <v> min</v>
      </c>
      <c r="AA6045" s="5" t="str">
        <f>IFERROR(__xludf.DUMMYFUNCTION("IF(REGEXMATCH(Z6045, ""Season""), ""TV Show"", ""Movie"")"),"Movie")</f>
        <v>Movie</v>
      </c>
    </row>
    <row r="6046">
      <c r="A6046" s="1" t="s">
        <v>30530</v>
      </c>
      <c r="B6046" s="1" t="s">
        <v>37</v>
      </c>
      <c r="C6046" s="1" t="s">
        <v>30531</v>
      </c>
      <c r="E6046" s="1" t="s">
        <v>30532</v>
      </c>
      <c r="F6046" s="1" t="s">
        <v>749</v>
      </c>
      <c r="G6046" s="1" t="s">
        <v>21710</v>
      </c>
      <c r="H6046" s="1">
        <v>2010.0</v>
      </c>
      <c r="I6046" s="1" t="s">
        <v>97</v>
      </c>
      <c r="J6046" s="1" t="s">
        <v>51</v>
      </c>
      <c r="K6046" s="1" t="s">
        <v>6338</v>
      </c>
      <c r="L6046" s="1" t="s">
        <v>30533</v>
      </c>
      <c r="M6046" s="2" t="s">
        <v>12</v>
      </c>
      <c r="N6046" s="4">
        <f t="shared" si="1"/>
        <v>43536</v>
      </c>
      <c r="O6046" s="5" t="str">
        <f>IFERROR(__xludf.DUMMYFUNCTION("IF(REGEXMATCH(TRIM(I6046), ""^\d+\s*min""), ""Unclassified"", IF(I6046 = """", ""NR"", I6046))"),"TV-14")</f>
        <v>TV-14</v>
      </c>
      <c r="R6046" s="5" t="str">
        <f t="shared" si="2"/>
        <v>A Man Called God</v>
      </c>
      <c r="S6046" s="5" t="str">
        <f>IFERROR(__xludf.DUMMYFUNCTION("""COMPUTED_VALUE"""),"Same Kind Of Different As Me")</f>
        <v>Same Kind Of Different As Me</v>
      </c>
      <c r="V6046" s="5"/>
      <c r="Y6046" s="5" t="str">
        <f>IFERROR(__xludf.DUMMYFUNCTION("REGEXEXTRACT(J6046, ""^\d+"")"),"1")</f>
        <v>1</v>
      </c>
      <c r="Z6046" s="5" t="str">
        <f>IFERROR(__xludf.DUMMYFUNCTION("REGEXEXTRACT(J6046, ""[A-Za-z ]+$"")")," Season")</f>
        <v> Season</v>
      </c>
      <c r="AA6046" s="5" t="str">
        <f>IFERROR(__xludf.DUMMYFUNCTION("IF(REGEXMATCH(Z6046, ""Season""), ""TV Show"", ""Movie"")"),"TV Show")</f>
        <v>TV Show</v>
      </c>
    </row>
    <row r="6047">
      <c r="A6047" s="1" t="s">
        <v>30534</v>
      </c>
      <c r="B6047" s="1" t="s">
        <v>27</v>
      </c>
      <c r="C6047" s="1" t="s">
        <v>30535</v>
      </c>
      <c r="D6047" s="1" t="s">
        <v>601</v>
      </c>
      <c r="E6047" s="1" t="s">
        <v>30536</v>
      </c>
      <c r="G6047" s="1" t="s">
        <v>21074</v>
      </c>
      <c r="H6047" s="1">
        <v>2012.0</v>
      </c>
      <c r="I6047" s="1" t="s">
        <v>42</v>
      </c>
      <c r="J6047" s="1" t="s">
        <v>357</v>
      </c>
      <c r="K6047" s="1" t="s">
        <v>199</v>
      </c>
      <c r="L6047" s="1" t="s">
        <v>30537</v>
      </c>
      <c r="M6047" s="2" t="s">
        <v>12</v>
      </c>
      <c r="N6047" s="4">
        <f t="shared" si="1"/>
        <v>43580</v>
      </c>
      <c r="O6047" s="5" t="str">
        <f>IFERROR(__xludf.DUMMYFUNCTION("IF(REGEXMATCH(TRIM(I6047), ""^\d+\s*min""), ""Unclassified"", IF(I6047 = """", ""NR"", I6047))"),"TV-MA")</f>
        <v>TV-MA</v>
      </c>
      <c r="R6047" s="5" t="str">
        <f t="shared" si="2"/>
        <v>A Mission In An Old Movie</v>
      </c>
      <c r="S6047" s="5" t="str">
        <f>IFERROR(__xludf.DUMMYFUNCTION("""COMPUTED_VALUE"""),"Sameer Abu Alneel")</f>
        <v>Sameer Abu Alneel</v>
      </c>
      <c r="V6047" s="5"/>
      <c r="Y6047" s="5" t="str">
        <f>IFERROR(__xludf.DUMMYFUNCTION("REGEXEXTRACT(J6047, ""^\d+"")"),"98")</f>
        <v>98</v>
      </c>
      <c r="Z6047" s="5" t="str">
        <f>IFERROR(__xludf.DUMMYFUNCTION("REGEXEXTRACT(J6047, ""[A-Za-z ]+$"")")," min")</f>
        <v> min</v>
      </c>
      <c r="AA6047" s="5" t="str">
        <f>IFERROR(__xludf.DUMMYFUNCTION("IF(REGEXMATCH(Z6047, ""Season""), ""TV Show"", ""Movie"")"),"Movie")</f>
        <v>Movie</v>
      </c>
    </row>
    <row r="6048">
      <c r="A6048" s="1" t="s">
        <v>30538</v>
      </c>
      <c r="B6048" s="1" t="s">
        <v>27</v>
      </c>
      <c r="C6048" s="1" t="s">
        <v>30539</v>
      </c>
      <c r="D6048" s="1" t="s">
        <v>9817</v>
      </c>
      <c r="E6048" s="1" t="s">
        <v>30540</v>
      </c>
      <c r="F6048" s="1" t="s">
        <v>25974</v>
      </c>
      <c r="G6048" s="1" t="s">
        <v>30541</v>
      </c>
      <c r="H6048" s="1">
        <v>2014.0</v>
      </c>
      <c r="I6048" s="1" t="s">
        <v>378</v>
      </c>
      <c r="J6048" s="1" t="s">
        <v>88</v>
      </c>
      <c r="K6048" s="1" t="s">
        <v>394</v>
      </c>
      <c r="L6048" s="1" t="s">
        <v>30542</v>
      </c>
      <c r="M6048" s="2" t="s">
        <v>12</v>
      </c>
      <c r="N6048" s="4">
        <f t="shared" si="1"/>
        <v>43303</v>
      </c>
      <c r="O6048" s="5" t="str">
        <f>IFERROR(__xludf.DUMMYFUNCTION("IF(REGEXMATCH(TRIM(I6048), ""^\d+\s*min""), ""Unclassified"", IF(I6048 = """", ""NR"", I6048))"),"R")</f>
        <v>R</v>
      </c>
      <c r="R6048" s="5" t="str">
        <f t="shared" si="2"/>
        <v>A Most Violent Year</v>
      </c>
      <c r="S6048" s="5" t="str">
        <f>IFERROR(__xludf.DUMMYFUNCTION("""COMPUTED_VALUE"""),"Sammy &amp; Co")</f>
        <v>Sammy &amp; Co</v>
      </c>
      <c r="V6048" s="5"/>
      <c r="Y6048" s="5" t="str">
        <f>IFERROR(__xludf.DUMMYFUNCTION("REGEXEXTRACT(J6048, ""^\d+"")"),"125")</f>
        <v>125</v>
      </c>
      <c r="Z6048" s="5" t="str">
        <f>IFERROR(__xludf.DUMMYFUNCTION("REGEXEXTRACT(J6048, ""[A-Za-z ]+$"")")," min")</f>
        <v> min</v>
      </c>
      <c r="AA6048" s="5" t="str">
        <f>IFERROR(__xludf.DUMMYFUNCTION("IF(REGEXMATCH(Z6048, ""Season""), ""TV Show"", ""Movie"")"),"Movie")</f>
        <v>Movie</v>
      </c>
    </row>
    <row r="6049">
      <c r="A6049" s="1" t="s">
        <v>30543</v>
      </c>
      <c r="B6049" s="1" t="s">
        <v>27</v>
      </c>
      <c r="C6049" s="1" t="s">
        <v>30544</v>
      </c>
      <c r="D6049" s="1" t="s">
        <v>4982</v>
      </c>
      <c r="F6049" s="1" t="s">
        <v>30</v>
      </c>
      <c r="G6049" s="1" t="s">
        <v>28230</v>
      </c>
      <c r="H6049" s="1">
        <v>2014.0</v>
      </c>
      <c r="I6049" s="1" t="s">
        <v>32</v>
      </c>
      <c r="J6049" s="1" t="s">
        <v>79</v>
      </c>
      <c r="K6049" s="1" t="s">
        <v>34</v>
      </c>
      <c r="L6049" s="1" t="s">
        <v>30545</v>
      </c>
      <c r="M6049" s="2" t="s">
        <v>12</v>
      </c>
      <c r="N6049" s="4">
        <f t="shared" si="1"/>
        <v>42853</v>
      </c>
      <c r="O6049" s="5" t="str">
        <f>IFERROR(__xludf.DUMMYFUNCTION("IF(REGEXMATCH(TRIM(I6049), ""^\d+\s*min""), ""Unclassified"", IF(I6049 = """", ""NR"", I6049))"),"PG-13")</f>
        <v>PG-13</v>
      </c>
      <c r="R6049" s="5" t="str">
        <f t="shared" si="2"/>
        <v>A Murder In The Park</v>
      </c>
      <c r="S6049" s="5" t="str">
        <f>IFERROR(__xludf.DUMMYFUNCTION("""COMPUTED_VALUE"""),"Sample This")</f>
        <v>Sample This</v>
      </c>
      <c r="V6049" s="5"/>
      <c r="Y6049" s="5" t="str">
        <f>IFERROR(__xludf.DUMMYFUNCTION("REGEXEXTRACT(J6049, ""^\d+"")"),"91")</f>
        <v>91</v>
      </c>
      <c r="Z6049" s="5" t="str">
        <f>IFERROR(__xludf.DUMMYFUNCTION("REGEXEXTRACT(J6049, ""[A-Za-z ]+$"")")," min")</f>
        <v> min</v>
      </c>
      <c r="AA6049" s="5" t="str">
        <f>IFERROR(__xludf.DUMMYFUNCTION("IF(REGEXMATCH(Z6049, ""Season""), ""TV Show"", ""Movie"")"),"Movie")</f>
        <v>Movie</v>
      </c>
    </row>
    <row r="6050">
      <c r="A6050" s="1" t="s">
        <v>30546</v>
      </c>
      <c r="B6050" s="1" t="s">
        <v>27</v>
      </c>
      <c r="C6050" s="1" t="s">
        <v>30547</v>
      </c>
      <c r="F6050" s="1" t="s">
        <v>1992</v>
      </c>
      <c r="G6050" s="1" t="s">
        <v>30548</v>
      </c>
      <c r="H6050" s="1">
        <v>2017.0</v>
      </c>
      <c r="I6050" s="1" t="s">
        <v>97</v>
      </c>
      <c r="J6050" s="1" t="s">
        <v>1171</v>
      </c>
      <c r="K6050" s="1" t="s">
        <v>156</v>
      </c>
      <c r="L6050" s="1" t="s">
        <v>30549</v>
      </c>
      <c r="M6050" s="2" t="s">
        <v>12</v>
      </c>
      <c r="N6050" s="4">
        <f t="shared" si="1"/>
        <v>43263</v>
      </c>
      <c r="O6050" s="5" t="str">
        <f>IFERROR(__xludf.DUMMYFUNCTION("IF(REGEXMATCH(TRIM(I6050), ""^\d+\s*min""), ""Unclassified"", IF(I6050 = """", ""NR"", I6050))"),"TV-14")</f>
        <v>TV-14</v>
      </c>
      <c r="R6050" s="5" t="str">
        <f t="shared" si="2"/>
        <v>A New Capitalism</v>
      </c>
      <c r="S6050" s="5" t="str">
        <f>IFERROR(__xludf.DUMMYFUNCTION("""COMPUTED_VALUE"""),"Samson")</f>
        <v>Samson</v>
      </c>
      <c r="V6050" s="5"/>
      <c r="Y6050" s="5" t="str">
        <f>IFERROR(__xludf.DUMMYFUNCTION("REGEXEXTRACT(J6050, ""^\d+"")"),"76")</f>
        <v>76</v>
      </c>
      <c r="Z6050" s="5" t="str">
        <f>IFERROR(__xludf.DUMMYFUNCTION("REGEXEXTRACT(J6050, ""[A-Za-z ]+$"")")," min")</f>
        <v> min</v>
      </c>
      <c r="AA6050" s="5" t="str">
        <f>IFERROR(__xludf.DUMMYFUNCTION("IF(REGEXMATCH(Z6050, ""Season""), ""TV Show"", ""Movie"")"),"Movie")</f>
        <v>Movie</v>
      </c>
    </row>
    <row r="6051">
      <c r="A6051" s="1" t="s">
        <v>30550</v>
      </c>
      <c r="B6051" s="1" t="s">
        <v>27</v>
      </c>
      <c r="C6051" s="1" t="s">
        <v>30551</v>
      </c>
      <c r="D6051" s="1" t="s">
        <v>11306</v>
      </c>
      <c r="E6051" s="1" t="s">
        <v>30552</v>
      </c>
      <c r="F6051" s="1" t="s">
        <v>30</v>
      </c>
      <c r="G6051" s="1" t="s">
        <v>17643</v>
      </c>
      <c r="H6051" s="1">
        <v>1998.0</v>
      </c>
      <c r="I6051" s="1" t="s">
        <v>32</v>
      </c>
      <c r="J6051" s="1" t="s">
        <v>1001</v>
      </c>
      <c r="K6051" s="1" t="s">
        <v>1020</v>
      </c>
      <c r="L6051" s="1" t="s">
        <v>30553</v>
      </c>
      <c r="M6051" s="2" t="s">
        <v>12</v>
      </c>
      <c r="N6051" s="4">
        <f t="shared" si="1"/>
        <v>43800</v>
      </c>
      <c r="O6051" s="5" t="str">
        <f>IFERROR(__xludf.DUMMYFUNCTION("IF(REGEXMATCH(TRIM(I6051), ""^\d+\s*min""), ""Unclassified"", IF(I6051 = """", ""NR"", I6051))"),"PG-13")</f>
        <v>PG-13</v>
      </c>
      <c r="R6051" s="5" t="str">
        <f t="shared" si="2"/>
        <v>A Night At The Roxbury</v>
      </c>
      <c r="S6051" s="5" t="str">
        <f>IFERROR(__xludf.DUMMYFUNCTION("""COMPUTED_VALUE"""),"Samudri Lootere")</f>
        <v>Samudri Lootere</v>
      </c>
      <c r="V6051" s="5"/>
      <c r="Y6051" s="5" t="str">
        <f>IFERROR(__xludf.DUMMYFUNCTION("REGEXEXTRACT(J6051, ""^\d+"")"),"82")</f>
        <v>82</v>
      </c>
      <c r="Z6051" s="5" t="str">
        <f>IFERROR(__xludf.DUMMYFUNCTION("REGEXEXTRACT(J6051, ""[A-Za-z ]+$"")")," min")</f>
        <v> min</v>
      </c>
      <c r="AA6051" s="5" t="str">
        <f>IFERROR(__xludf.DUMMYFUNCTION("IF(REGEXMATCH(Z6051, ""Season""), ""TV Show"", ""Movie"")"),"Movie")</f>
        <v>Movie</v>
      </c>
    </row>
    <row r="6052">
      <c r="A6052" s="1" t="s">
        <v>30554</v>
      </c>
      <c r="B6052" s="1" t="s">
        <v>27</v>
      </c>
      <c r="C6052" s="1" t="s">
        <v>30555</v>
      </c>
      <c r="D6052" s="1" t="s">
        <v>11744</v>
      </c>
      <c r="E6052" s="1" t="s">
        <v>30556</v>
      </c>
      <c r="F6052" s="1" t="s">
        <v>4615</v>
      </c>
      <c r="G6052" s="1" t="s">
        <v>29495</v>
      </c>
      <c r="H6052" s="1">
        <v>2015.0</v>
      </c>
      <c r="I6052" s="1" t="s">
        <v>42</v>
      </c>
      <c r="J6052" s="1" t="s">
        <v>264</v>
      </c>
      <c r="K6052" s="1" t="s">
        <v>128</v>
      </c>
      <c r="L6052" s="1" t="s">
        <v>30557</v>
      </c>
      <c r="M6052" s="2" t="s">
        <v>12</v>
      </c>
      <c r="N6052" s="4">
        <f t="shared" si="1"/>
        <v>42614</v>
      </c>
      <c r="O6052" s="5" t="str">
        <f>IFERROR(__xludf.DUMMYFUNCTION("IF(REGEXMATCH(TRIM(I6052), ""^\d+\s*min""), ""Unclassified"", IF(I6052 = """", ""NR"", I6052))"),"TV-MA")</f>
        <v>TV-MA</v>
      </c>
      <c r="R6052" s="5" t="str">
        <f t="shared" si="2"/>
        <v>A Noble Intention</v>
      </c>
      <c r="S6052" s="5" t="str">
        <f>IFERROR(__xludf.DUMMYFUNCTION("""COMPUTED_VALUE"""),"Samurai Gourmet")</f>
        <v>Samurai Gourmet</v>
      </c>
      <c r="V6052" s="5"/>
      <c r="Y6052" s="5" t="str">
        <f>IFERROR(__xludf.DUMMYFUNCTION("REGEXEXTRACT(J6052, ""^\d+"")"),"111")</f>
        <v>111</v>
      </c>
      <c r="Z6052" s="5" t="str">
        <f>IFERROR(__xludf.DUMMYFUNCTION("REGEXEXTRACT(J6052, ""[A-Za-z ]+$"")")," min")</f>
        <v> min</v>
      </c>
      <c r="AA6052" s="5" t="str">
        <f>IFERROR(__xludf.DUMMYFUNCTION("IF(REGEXMATCH(Z6052, ""Season""), ""TV Show"", ""Movie"")"),"Movie")</f>
        <v>Movie</v>
      </c>
    </row>
    <row r="6053">
      <c r="A6053" s="1" t="s">
        <v>30558</v>
      </c>
      <c r="B6053" s="1" t="s">
        <v>27</v>
      </c>
      <c r="C6053" s="1" t="s">
        <v>30559</v>
      </c>
      <c r="D6053" s="1" t="s">
        <v>15707</v>
      </c>
      <c r="E6053" s="1" t="s">
        <v>30560</v>
      </c>
      <c r="F6053" s="1" t="s">
        <v>96</v>
      </c>
      <c r="G6053" s="1" t="s">
        <v>28307</v>
      </c>
      <c r="H6053" s="1">
        <v>2015.0</v>
      </c>
      <c r="I6053" s="1" t="s">
        <v>42</v>
      </c>
      <c r="J6053" s="1" t="s">
        <v>665</v>
      </c>
      <c r="K6053" s="1" t="s">
        <v>394</v>
      </c>
      <c r="L6053" s="1" t="s">
        <v>30561</v>
      </c>
      <c r="M6053" s="2" t="s">
        <v>12</v>
      </c>
      <c r="N6053" s="4">
        <f t="shared" si="1"/>
        <v>42840</v>
      </c>
      <c r="O6053" s="5" t="str">
        <f>IFERROR(__xludf.DUMMYFUNCTION("IF(REGEXMATCH(TRIM(I6053), ""^\d+\s*min""), ""Unclassified"", IF(I6053 = """", ""NR"", I6053))"),"TV-MA")</f>
        <v>TV-MA</v>
      </c>
      <c r="R6053" s="5" t="str">
        <f t="shared" si="2"/>
        <v>A Patch Of Fog</v>
      </c>
      <c r="S6053" s="5" t="str">
        <f>IFERROR(__xludf.DUMMYFUNCTION("""COMPUTED_VALUE"""),"San Pietro")</f>
        <v>San Pietro</v>
      </c>
      <c r="V6053" s="5"/>
      <c r="Y6053" s="5" t="str">
        <f>IFERROR(__xludf.DUMMYFUNCTION("REGEXEXTRACT(J6053, ""^\d+"")"),"92")</f>
        <v>92</v>
      </c>
      <c r="Z6053" s="5" t="str">
        <f>IFERROR(__xludf.DUMMYFUNCTION("REGEXEXTRACT(J6053, ""[A-Za-z ]+$"")")," min")</f>
        <v> min</v>
      </c>
      <c r="AA6053" s="5" t="str">
        <f>IFERROR(__xludf.DUMMYFUNCTION("IF(REGEXMATCH(Z6053, ""Season""), ""TV Show"", ""Movie"")"),"Movie")</f>
        <v>Movie</v>
      </c>
    </row>
    <row r="6054">
      <c r="A6054" s="1" t="s">
        <v>30562</v>
      </c>
      <c r="B6054" s="1" t="s">
        <v>27</v>
      </c>
      <c r="C6054" s="1" t="s">
        <v>30563</v>
      </c>
      <c r="D6054" s="1" t="s">
        <v>12610</v>
      </c>
      <c r="E6054" s="1" t="s">
        <v>30564</v>
      </c>
      <c r="F6054" s="1" t="s">
        <v>30</v>
      </c>
      <c r="G6054" s="1" t="s">
        <v>20510</v>
      </c>
      <c r="H6054" s="1">
        <v>2013.0</v>
      </c>
      <c r="I6054" s="1" t="s">
        <v>378</v>
      </c>
      <c r="J6054" s="1" t="s">
        <v>170</v>
      </c>
      <c r="K6054" s="1" t="s">
        <v>1538</v>
      </c>
      <c r="L6054" s="1" t="s">
        <v>30565</v>
      </c>
      <c r="M6054" s="2" t="s">
        <v>12</v>
      </c>
      <c r="N6054" s="4">
        <f t="shared" si="1"/>
        <v>43622</v>
      </c>
      <c r="O6054" s="5" t="str">
        <f>IFERROR(__xludf.DUMMYFUNCTION("IF(REGEXMATCH(TRIM(I6054), ""^\d+\s*min""), ""Unclassified"", IF(I6054 = """", ""NR"", I6054))"),"R")</f>
        <v>R</v>
      </c>
      <c r="R6054" s="5" t="str">
        <f t="shared" si="2"/>
        <v>A Perfect Man</v>
      </c>
      <c r="S6054" s="5" t="str">
        <f>IFERROR(__xludf.DUMMYFUNCTION("""COMPUTED_VALUE"""),"Sanai Choughade")</f>
        <v>Sanai Choughade</v>
      </c>
      <c r="V6054" s="5"/>
      <c r="Y6054" s="5" t="str">
        <f>IFERROR(__xludf.DUMMYFUNCTION("REGEXEXTRACT(J6054, ""^\d+"")"),"94")</f>
        <v>94</v>
      </c>
      <c r="Z6054" s="5" t="str">
        <f>IFERROR(__xludf.DUMMYFUNCTION("REGEXEXTRACT(J6054, ""[A-Za-z ]+$"")")," min")</f>
        <v> min</v>
      </c>
      <c r="AA6054" s="5" t="str">
        <f>IFERROR(__xludf.DUMMYFUNCTION("IF(REGEXMATCH(Z6054, ""Season""), ""TV Show"", ""Movie"")"),"Movie")</f>
        <v>Movie</v>
      </c>
    </row>
    <row r="6055">
      <c r="A6055" s="1" t="s">
        <v>30566</v>
      </c>
      <c r="B6055" s="1" t="s">
        <v>27</v>
      </c>
      <c r="C6055" s="1" t="s">
        <v>30567</v>
      </c>
      <c r="D6055" s="1" t="s">
        <v>13878</v>
      </c>
      <c r="E6055" s="1" t="s">
        <v>30568</v>
      </c>
      <c r="F6055" s="1" t="s">
        <v>30</v>
      </c>
      <c r="G6055" s="1" t="s">
        <v>11936</v>
      </c>
      <c r="H6055" s="1">
        <v>2011.0</v>
      </c>
      <c r="I6055" s="1" t="s">
        <v>136</v>
      </c>
      <c r="J6055" s="1" t="s">
        <v>79</v>
      </c>
      <c r="K6055" s="1" t="s">
        <v>14468</v>
      </c>
      <c r="L6055" s="1" t="s">
        <v>30569</v>
      </c>
      <c r="M6055" s="2" t="s">
        <v>12</v>
      </c>
      <c r="N6055" s="4">
        <f t="shared" si="1"/>
        <v>44071</v>
      </c>
      <c r="O6055" s="5" t="str">
        <f>IFERROR(__xludf.DUMMYFUNCTION("IF(REGEXMATCH(TRIM(I6055), ""^\d+\s*min""), ""Unclassified"", IF(I6055 = """", ""NR"", I6055))"),"TV-PG")</f>
        <v>TV-PG</v>
      </c>
      <c r="R6055" s="5" t="str">
        <f t="shared" si="2"/>
        <v>A Princess For Christmas</v>
      </c>
      <c r="S6055" s="5" t="str">
        <f>IFERROR(__xludf.DUMMYFUNCTION("""COMPUTED_VALUE"""),"Sand Castle")</f>
        <v>Sand Castle</v>
      </c>
      <c r="V6055" s="5"/>
      <c r="Y6055" s="5" t="str">
        <f>IFERROR(__xludf.DUMMYFUNCTION("REGEXEXTRACT(J6055, ""^\d+"")"),"91")</f>
        <v>91</v>
      </c>
      <c r="Z6055" s="5" t="str">
        <f>IFERROR(__xludf.DUMMYFUNCTION("REGEXEXTRACT(J6055, ""[A-Za-z ]+$"")")," min")</f>
        <v> min</v>
      </c>
      <c r="AA6055" s="5" t="str">
        <f>IFERROR(__xludf.DUMMYFUNCTION("IF(REGEXMATCH(Z6055, ""Season""), ""TV Show"", ""Movie"")"),"Movie")</f>
        <v>Movie</v>
      </c>
    </row>
    <row r="6056">
      <c r="A6056" s="1" t="s">
        <v>30570</v>
      </c>
      <c r="B6056" s="1" t="s">
        <v>27</v>
      </c>
      <c r="C6056" s="1" t="s">
        <v>30571</v>
      </c>
      <c r="D6056" s="1" t="s">
        <v>9270</v>
      </c>
      <c r="E6056" s="1" t="s">
        <v>30572</v>
      </c>
      <c r="F6056" s="1" t="s">
        <v>1106</v>
      </c>
      <c r="G6056" s="1" t="s">
        <v>30099</v>
      </c>
      <c r="H6056" s="1">
        <v>2011.0</v>
      </c>
      <c r="I6056" s="1" t="s">
        <v>30231</v>
      </c>
      <c r="J6056" s="1" t="s">
        <v>10890</v>
      </c>
      <c r="K6056" s="1" t="s">
        <v>1839</v>
      </c>
      <c r="L6056" s="1" t="s">
        <v>30573</v>
      </c>
      <c r="M6056" s="2" t="s">
        <v>12</v>
      </c>
      <c r="N6056" s="4">
        <f t="shared" si="1"/>
        <v>41579</v>
      </c>
      <c r="O6056" s="5" t="str">
        <f>IFERROR(__xludf.DUMMYFUNCTION("IF(REGEXMATCH(TRIM(I6056), ""^\d+\s*min""), ""Unclassified"", IF(I6056 = """", ""NR"", I6056))"),"NR")</f>
        <v>NR</v>
      </c>
      <c r="R6056" s="5" t="str">
        <f t="shared" si="2"/>
        <v>A Russell Peters Christmas</v>
      </c>
      <c r="S6056" s="5" t="str">
        <f>IFERROR(__xludf.DUMMYFUNCTION("""COMPUTED_VALUE"""),"Sand Storm")</f>
        <v>Sand Storm</v>
      </c>
      <c r="V6056" s="5"/>
      <c r="Y6056" s="5" t="str">
        <f>IFERROR(__xludf.DUMMYFUNCTION("REGEXEXTRACT(J6056, ""^\d+"")"),"44")</f>
        <v>44</v>
      </c>
      <c r="Z6056" s="5" t="str">
        <f>IFERROR(__xludf.DUMMYFUNCTION("REGEXEXTRACT(J6056, ""[A-Za-z ]+$"")")," min")</f>
        <v> min</v>
      </c>
      <c r="AA6056" s="5" t="str">
        <f>IFERROR(__xludf.DUMMYFUNCTION("IF(REGEXMATCH(Z6056, ""Season""), ""TV Show"", ""Movie"")"),"Movie")</f>
        <v>Movie</v>
      </c>
    </row>
    <row r="6057">
      <c r="A6057" s="1" t="s">
        <v>30574</v>
      </c>
      <c r="B6057" s="1" t="s">
        <v>27</v>
      </c>
      <c r="C6057" s="1" t="s">
        <v>30575</v>
      </c>
      <c r="D6057" s="1" t="s">
        <v>9705</v>
      </c>
      <c r="E6057" s="1" t="s">
        <v>30576</v>
      </c>
      <c r="F6057" s="1" t="s">
        <v>63</v>
      </c>
      <c r="G6057" s="1" t="s">
        <v>27021</v>
      </c>
      <c r="H6057" s="1">
        <v>2016.0</v>
      </c>
      <c r="I6057" s="1" t="s">
        <v>42</v>
      </c>
      <c r="J6057" s="1" t="s">
        <v>912</v>
      </c>
      <c r="K6057" s="1" t="s">
        <v>631</v>
      </c>
      <c r="L6057" s="1" t="s">
        <v>30577</v>
      </c>
      <c r="M6057" s="2" t="s">
        <v>12</v>
      </c>
      <c r="N6057" s="4">
        <f t="shared" si="1"/>
        <v>43023</v>
      </c>
      <c r="O6057" s="5" t="str">
        <f>IFERROR(__xludf.DUMMYFUNCTION("IF(REGEXMATCH(TRIM(I6057), ""^\d+\s*min""), ""Unclassified"", IF(I6057 = """", ""NR"", I6057))"),"TV-MA")</f>
        <v>TV-MA</v>
      </c>
      <c r="R6057" s="5" t="str">
        <f t="shared" si="2"/>
        <v>A Scandall</v>
      </c>
      <c r="S6057" s="5" t="str">
        <f>IFERROR(__xludf.DUMMYFUNCTION("""COMPUTED_VALUE"""),"Sandy Wexler")</f>
        <v>Sandy Wexler</v>
      </c>
      <c r="V6057" s="5"/>
      <c r="Y6057" s="5" t="str">
        <f>IFERROR(__xludf.DUMMYFUNCTION("REGEXEXTRACT(J6057, ""^\d+"")"),"108")</f>
        <v>108</v>
      </c>
      <c r="Z6057" s="5" t="str">
        <f>IFERROR(__xludf.DUMMYFUNCTION("REGEXEXTRACT(J6057, ""[A-Za-z ]+$"")")," min")</f>
        <v> min</v>
      </c>
      <c r="AA6057" s="5" t="str">
        <f>IFERROR(__xludf.DUMMYFUNCTION("IF(REGEXMATCH(Z6057, ""Season""), ""TV Show"", ""Movie"")"),"Movie")</f>
        <v>Movie</v>
      </c>
    </row>
    <row r="6058">
      <c r="A6058" s="1" t="s">
        <v>30578</v>
      </c>
      <c r="B6058" s="1" t="s">
        <v>27</v>
      </c>
      <c r="C6058" s="1" t="s">
        <v>30579</v>
      </c>
      <c r="D6058" s="1" t="s">
        <v>2602</v>
      </c>
      <c r="E6058" s="1" t="s">
        <v>30580</v>
      </c>
      <c r="F6058" s="1" t="s">
        <v>30581</v>
      </c>
      <c r="G6058" s="1" t="s">
        <v>30582</v>
      </c>
      <c r="H6058" s="1">
        <v>2011.0</v>
      </c>
      <c r="I6058" s="1" t="s">
        <v>32</v>
      </c>
      <c r="J6058" s="1" t="s">
        <v>2566</v>
      </c>
      <c r="K6058" s="1" t="s">
        <v>128</v>
      </c>
      <c r="L6058" s="1" t="s">
        <v>30583</v>
      </c>
      <c r="M6058" s="2" t="s">
        <v>12</v>
      </c>
      <c r="N6058" s="4">
        <f t="shared" si="1"/>
        <v>43540</v>
      </c>
      <c r="O6058" s="5" t="str">
        <f>IFERROR(__xludf.DUMMYFUNCTION("IF(REGEXMATCH(TRIM(I6058), ""^\d+\s*min""), ""Unclassified"", IF(I6058 = """", ""NR"", I6058))"),"PG-13")</f>
        <v>PG-13</v>
      </c>
      <c r="R6058" s="5" t="str">
        <f t="shared" si="2"/>
        <v>A Separation</v>
      </c>
      <c r="S6058" s="5" t="str">
        <f>IFERROR(__xludf.DUMMYFUNCTION("""COMPUTED_VALUE"""),"Sangam")</f>
        <v>Sangam</v>
      </c>
      <c r="V6058" s="5"/>
      <c r="Y6058" s="5" t="str">
        <f>IFERROR(__xludf.DUMMYFUNCTION("REGEXEXTRACT(J6058, ""^\d+"")"),"123")</f>
        <v>123</v>
      </c>
      <c r="Z6058" s="5" t="str">
        <f>IFERROR(__xludf.DUMMYFUNCTION("REGEXEXTRACT(J6058, ""[A-Za-z ]+$"")")," min")</f>
        <v> min</v>
      </c>
      <c r="AA6058" s="5" t="str">
        <f>IFERROR(__xludf.DUMMYFUNCTION("IF(REGEXMATCH(Z6058, ""Season""), ""TV Show"", ""Movie"")"),"Movie")</f>
        <v>Movie</v>
      </c>
    </row>
    <row r="6059">
      <c r="A6059" s="1" t="s">
        <v>30584</v>
      </c>
      <c r="B6059" s="1" t="s">
        <v>27</v>
      </c>
      <c r="C6059" s="1" t="s">
        <v>30585</v>
      </c>
      <c r="D6059" s="1" t="s">
        <v>7324</v>
      </c>
      <c r="E6059" s="1" t="s">
        <v>30586</v>
      </c>
      <c r="F6059" s="1" t="s">
        <v>5685</v>
      </c>
      <c r="G6059" s="1" t="s">
        <v>26407</v>
      </c>
      <c r="H6059" s="1">
        <v>2009.0</v>
      </c>
      <c r="I6059" s="1" t="s">
        <v>378</v>
      </c>
      <c r="J6059" s="1" t="s">
        <v>256</v>
      </c>
      <c r="K6059" s="1" t="s">
        <v>1749</v>
      </c>
      <c r="L6059" s="1" t="s">
        <v>30587</v>
      </c>
      <c r="M6059" s="2" t="s">
        <v>12</v>
      </c>
      <c r="N6059" s="4">
        <f t="shared" si="1"/>
        <v>43116</v>
      </c>
      <c r="O6059" s="5" t="str">
        <f>IFERROR(__xludf.DUMMYFUNCTION("IF(REGEXMATCH(TRIM(I6059), ""^\d+\s*min""), ""Unclassified"", IF(I6059 = """", ""NR"", I6059))"),"R")</f>
        <v>R</v>
      </c>
      <c r="R6059" s="5" t="str">
        <f t="shared" si="2"/>
        <v>A Serious Man</v>
      </c>
      <c r="S6059" s="5" t="str">
        <f>IFERROR(__xludf.DUMMYFUNCTION("""COMPUTED_VALUE"""),"Sanitation Day")</f>
        <v>Sanitation Day</v>
      </c>
      <c r="V6059" s="5"/>
      <c r="Y6059" s="5" t="str">
        <f>IFERROR(__xludf.DUMMYFUNCTION("REGEXEXTRACT(J6059, ""^\d+"")"),"106")</f>
        <v>106</v>
      </c>
      <c r="Z6059" s="5" t="str">
        <f>IFERROR(__xludf.DUMMYFUNCTION("REGEXEXTRACT(J6059, ""[A-Za-z ]+$"")")," min")</f>
        <v> min</v>
      </c>
      <c r="AA6059" s="5" t="str">
        <f>IFERROR(__xludf.DUMMYFUNCTION("IF(REGEXMATCH(Z6059, ""Season""), ""TV Show"", ""Movie"")"),"Movie")</f>
        <v>Movie</v>
      </c>
    </row>
    <row r="6060">
      <c r="A6060" s="1" t="s">
        <v>30588</v>
      </c>
      <c r="B6060" s="1" t="s">
        <v>27</v>
      </c>
      <c r="C6060" s="1" t="s">
        <v>30589</v>
      </c>
      <c r="D6060" s="1" t="s">
        <v>14671</v>
      </c>
      <c r="E6060" s="1" t="s">
        <v>30590</v>
      </c>
      <c r="F6060" s="1" t="s">
        <v>30</v>
      </c>
      <c r="G6060" s="1" t="s">
        <v>27569</v>
      </c>
      <c r="H6060" s="1">
        <v>2015.0</v>
      </c>
      <c r="I6060" s="1" t="s">
        <v>136</v>
      </c>
      <c r="J6060" s="1" t="s">
        <v>1191</v>
      </c>
      <c r="K6060" s="1" t="s">
        <v>1320</v>
      </c>
      <c r="L6060" s="1" t="s">
        <v>30591</v>
      </c>
      <c r="M6060" s="2" t="s">
        <v>12</v>
      </c>
      <c r="N6060" s="4">
        <f t="shared" si="1"/>
        <v>42948</v>
      </c>
      <c r="O6060" s="5" t="str">
        <f>IFERROR(__xludf.DUMMYFUNCTION("IF(REGEXMATCH(TRIM(I6060), ""^\d+\s*min""), ""Unclassified"", IF(I6060 = """", ""NR"", I6060))"),"TV-PG")</f>
        <v>TV-PG</v>
      </c>
      <c r="R6060" s="5" t="str">
        <f t="shared" si="2"/>
        <v>A Sort Of Homecoming</v>
      </c>
      <c r="S6060" s="5" t="str">
        <f>IFERROR(__xludf.DUMMYFUNCTION("""COMPUTED_VALUE"""),"Sanju")</f>
        <v>Sanju</v>
      </c>
      <c r="V6060" s="5"/>
      <c r="Y6060" s="5" t="str">
        <f>IFERROR(__xludf.DUMMYFUNCTION("REGEXEXTRACT(J6060, ""^\d+"")"),"89")</f>
        <v>89</v>
      </c>
      <c r="Z6060" s="5" t="str">
        <f>IFERROR(__xludf.DUMMYFUNCTION("REGEXEXTRACT(J6060, ""[A-Za-z ]+$"")")," min")</f>
        <v> min</v>
      </c>
      <c r="AA6060" s="5" t="str">
        <f>IFERROR(__xludf.DUMMYFUNCTION("IF(REGEXMATCH(Z6060, ""Season""), ""TV Show"", ""Movie"")"),"Movie")</f>
        <v>Movie</v>
      </c>
    </row>
    <row r="6061">
      <c r="A6061" s="1" t="s">
        <v>30592</v>
      </c>
      <c r="B6061" s="1" t="s">
        <v>27</v>
      </c>
      <c r="C6061" s="1" t="s">
        <v>30593</v>
      </c>
      <c r="D6061" s="1" t="s">
        <v>16581</v>
      </c>
      <c r="E6061" s="1" t="s">
        <v>30594</v>
      </c>
      <c r="F6061" s="1" t="s">
        <v>1951</v>
      </c>
      <c r="G6061" s="1" t="s">
        <v>18539</v>
      </c>
      <c r="H6061" s="1">
        <v>2015.0</v>
      </c>
      <c r="I6061" s="1" t="s">
        <v>32</v>
      </c>
      <c r="J6061" s="1" t="s">
        <v>357</v>
      </c>
      <c r="K6061" s="1" t="s">
        <v>128</v>
      </c>
      <c r="L6061" s="1" t="s">
        <v>30595</v>
      </c>
      <c r="M6061" s="2" t="s">
        <v>12</v>
      </c>
      <c r="N6061" s="4">
        <f t="shared" si="1"/>
        <v>43763</v>
      </c>
      <c r="O6061" s="5" t="str">
        <f>IFERROR(__xludf.DUMMYFUNCTION("IF(REGEXMATCH(TRIM(I6061), ""^\d+\s*min""), ""Unclassified"", IF(I6061 = """", ""NR"", I6061))"),"PG-13")</f>
        <v>PG-13</v>
      </c>
      <c r="R6061" s="5" t="str">
        <f t="shared" si="2"/>
        <v>A Tale Of Love And Darkness</v>
      </c>
      <c r="S6061" s="5" t="str">
        <f>IFERROR(__xludf.DUMMYFUNCTION("""COMPUTED_VALUE"""),"Sankofa")</f>
        <v>Sankofa</v>
      </c>
      <c r="V6061" s="5"/>
      <c r="Y6061" s="5" t="str">
        <f>IFERROR(__xludf.DUMMYFUNCTION("REGEXEXTRACT(J6061, ""^\d+"")"),"98")</f>
        <v>98</v>
      </c>
      <c r="Z6061" s="5" t="str">
        <f>IFERROR(__xludf.DUMMYFUNCTION("REGEXEXTRACT(J6061, ""[A-Za-z ]+$"")")," min")</f>
        <v> min</v>
      </c>
      <c r="AA6061" s="5" t="str">
        <f>IFERROR(__xludf.DUMMYFUNCTION("IF(REGEXMATCH(Z6061, ""Season""), ""TV Show"", ""Movie"")"),"Movie")</f>
        <v>Movie</v>
      </c>
    </row>
    <row r="6062">
      <c r="A6062" s="1" t="s">
        <v>30596</v>
      </c>
      <c r="B6062" s="1" t="s">
        <v>27</v>
      </c>
      <c r="C6062" s="1" t="s">
        <v>30597</v>
      </c>
      <c r="D6062" s="1" t="s">
        <v>15024</v>
      </c>
      <c r="E6062" s="1" t="s">
        <v>30598</v>
      </c>
      <c r="F6062" s="1" t="s">
        <v>30</v>
      </c>
      <c r="G6062" s="1" t="s">
        <v>9391</v>
      </c>
      <c r="H6062" s="1">
        <v>1996.0</v>
      </c>
      <c r="I6062" s="1" t="s">
        <v>378</v>
      </c>
      <c r="J6062" s="1" t="s">
        <v>912</v>
      </c>
      <c r="K6062" s="1" t="s">
        <v>813</v>
      </c>
      <c r="L6062" s="1" t="s">
        <v>30599</v>
      </c>
      <c r="M6062" s="2" t="s">
        <v>12</v>
      </c>
      <c r="N6062" s="4">
        <f t="shared" si="1"/>
        <v>44166</v>
      </c>
      <c r="O6062" s="5" t="str">
        <f>IFERROR(__xludf.DUMMYFUNCTION("IF(REGEXMATCH(TRIM(I6062), ""^\d+\s*min""), ""Unclassified"", IF(I6062 = """", ""NR"", I6062))"),"R")</f>
        <v>R</v>
      </c>
      <c r="R6062" s="5" t="str">
        <f t="shared" si="2"/>
        <v>A Thin Line Between Love &amp; Hate</v>
      </c>
      <c r="S6062" s="5" t="str">
        <f>IFERROR(__xludf.DUMMYFUNCTION("""COMPUTED_VALUE"""),"Sanpa: Sins Of The Savior")</f>
        <v>Sanpa: Sins Of The Savior</v>
      </c>
      <c r="V6062" s="5"/>
      <c r="Y6062" s="5" t="str">
        <f>IFERROR(__xludf.DUMMYFUNCTION("REGEXEXTRACT(J6062, ""^\d+"")"),"108")</f>
        <v>108</v>
      </c>
      <c r="Z6062" s="5" t="str">
        <f>IFERROR(__xludf.DUMMYFUNCTION("REGEXEXTRACT(J6062, ""[A-Za-z ]+$"")")," min")</f>
        <v> min</v>
      </c>
      <c r="AA6062" s="5" t="str">
        <f>IFERROR(__xludf.DUMMYFUNCTION("IF(REGEXMATCH(Z6062, ""Season""), ""TV Show"", ""Movie"")"),"Movie")</f>
        <v>Movie</v>
      </c>
    </row>
    <row r="6063">
      <c r="A6063" s="1" t="s">
        <v>30600</v>
      </c>
      <c r="B6063" s="1" t="s">
        <v>27</v>
      </c>
      <c r="C6063" s="1" t="s">
        <v>30601</v>
      </c>
      <c r="D6063" s="1" t="s">
        <v>3824</v>
      </c>
      <c r="E6063" s="1" t="s">
        <v>30602</v>
      </c>
      <c r="F6063" s="1" t="s">
        <v>30</v>
      </c>
      <c r="G6063" s="1" t="s">
        <v>13089</v>
      </c>
      <c r="H6063" s="1">
        <v>2012.0</v>
      </c>
      <c r="I6063" s="1" t="s">
        <v>32</v>
      </c>
      <c r="J6063" s="1" t="s">
        <v>665</v>
      </c>
      <c r="K6063" s="1" t="s">
        <v>239</v>
      </c>
      <c r="L6063" s="1" t="s">
        <v>30603</v>
      </c>
      <c r="M6063" s="2" t="s">
        <v>12</v>
      </c>
      <c r="N6063" s="4">
        <f t="shared" si="1"/>
        <v>44013</v>
      </c>
      <c r="O6063" s="5" t="str">
        <f>IFERROR(__xludf.DUMMYFUNCTION("IF(REGEXMATCH(TRIM(I6063), ""^\d+\s*min""), ""Unclassified"", IF(I6063 = """", ""NR"", I6063))"),"PG-13")</f>
        <v>PG-13</v>
      </c>
      <c r="R6063" s="5" t="str">
        <f t="shared" si="2"/>
        <v>A Thousand Words</v>
      </c>
      <c r="S6063" s="5" t="str">
        <f>IFERROR(__xludf.DUMMYFUNCTION("""COMPUTED_VALUE"""),"Santa Banta Pvt Ltd")</f>
        <v>Santa Banta Pvt Ltd</v>
      </c>
      <c r="V6063" s="5"/>
      <c r="Y6063" s="5" t="str">
        <f>IFERROR(__xludf.DUMMYFUNCTION("REGEXEXTRACT(J6063, ""^\d+"")"),"92")</f>
        <v>92</v>
      </c>
      <c r="Z6063" s="5" t="str">
        <f>IFERROR(__xludf.DUMMYFUNCTION("REGEXEXTRACT(J6063, ""[A-Za-z ]+$"")")," min")</f>
        <v> min</v>
      </c>
      <c r="AA6063" s="5" t="str">
        <f>IFERROR(__xludf.DUMMYFUNCTION("IF(REGEXMATCH(Z6063, ""Season""), ""TV Show"", ""Movie"")"),"Movie")</f>
        <v>Movie</v>
      </c>
    </row>
    <row r="6064">
      <c r="A6064" s="1" t="s">
        <v>30604</v>
      </c>
      <c r="B6064" s="1" t="s">
        <v>27</v>
      </c>
      <c r="C6064" s="1" t="s">
        <v>30605</v>
      </c>
      <c r="D6064" s="1" t="s">
        <v>435</v>
      </c>
      <c r="E6064" s="1" t="s">
        <v>30606</v>
      </c>
      <c r="F6064" s="1" t="s">
        <v>30</v>
      </c>
      <c r="G6064" s="1" t="s">
        <v>13089</v>
      </c>
      <c r="H6064" s="1">
        <v>2002.0</v>
      </c>
      <c r="I6064" s="1" t="s">
        <v>78</v>
      </c>
      <c r="J6064" s="1" t="s">
        <v>447</v>
      </c>
      <c r="K6064" s="1" t="s">
        <v>828</v>
      </c>
      <c r="L6064" s="1" t="s">
        <v>30607</v>
      </c>
      <c r="M6064" s="2" t="s">
        <v>12</v>
      </c>
      <c r="N6064" s="4">
        <f t="shared" si="1"/>
        <v>44013</v>
      </c>
      <c r="O6064" s="5" t="str">
        <f>IFERROR(__xludf.DUMMYFUNCTION("IF(REGEXMATCH(TRIM(I6064), ""^\d+\s*min""), ""Unclassified"", IF(I6064 = """", ""NR"", I6064))"),"PG")</f>
        <v>PG</v>
      </c>
      <c r="R6064" s="5" t="str">
        <f t="shared" si="2"/>
        <v>A Walk To Remember</v>
      </c>
      <c r="S6064" s="5" t="str">
        <f>IFERROR(__xludf.DUMMYFUNCTION("""COMPUTED_VALUE"""),"Santa Clarita Diet")</f>
        <v>Santa Clarita Diet</v>
      </c>
      <c r="V6064" s="5"/>
      <c r="Y6064" s="5" t="str">
        <f>IFERROR(__xludf.DUMMYFUNCTION("REGEXEXTRACT(J6064, ""^\d+"")"),"102")</f>
        <v>102</v>
      </c>
      <c r="Z6064" s="5" t="str">
        <f>IFERROR(__xludf.DUMMYFUNCTION("REGEXEXTRACT(J6064, ""[A-Za-z ]+$"")")," min")</f>
        <v> min</v>
      </c>
      <c r="AA6064" s="5" t="str">
        <f>IFERROR(__xludf.DUMMYFUNCTION("IF(REGEXMATCH(Z6064, ""Season""), ""TV Show"", ""Movie"")"),"Movie")</f>
        <v>Movie</v>
      </c>
    </row>
    <row r="6065">
      <c r="A6065" s="1" t="s">
        <v>30608</v>
      </c>
      <c r="B6065" s="1" t="s">
        <v>27</v>
      </c>
      <c r="C6065" s="1" t="s">
        <v>30609</v>
      </c>
      <c r="D6065" s="1" t="s">
        <v>13009</v>
      </c>
      <c r="E6065" s="1" t="s">
        <v>30610</v>
      </c>
      <c r="F6065" s="1" t="s">
        <v>63</v>
      </c>
      <c r="G6065" s="1" t="s">
        <v>23564</v>
      </c>
      <c r="H6065" s="1">
        <v>2008.0</v>
      </c>
      <c r="I6065" s="1" t="s">
        <v>42</v>
      </c>
      <c r="J6065" s="1" t="s">
        <v>238</v>
      </c>
      <c r="K6065" s="1" t="s">
        <v>306</v>
      </c>
      <c r="L6065" s="1" t="s">
        <v>30611</v>
      </c>
      <c r="M6065" s="2" t="s">
        <v>12</v>
      </c>
      <c r="N6065" s="4">
        <f t="shared" si="1"/>
        <v>43405</v>
      </c>
      <c r="O6065" s="5" t="str">
        <f>IFERROR(__xludf.DUMMYFUNCTION("IF(REGEXMATCH(TRIM(I6065), ""^\d+\s*min""), ""Unclassified"", IF(I6065 = """", ""NR"", I6065))"),"TV-MA")</f>
        <v>TV-MA</v>
      </c>
      <c r="R6065" s="5" t="str">
        <f t="shared" si="2"/>
        <v>A Wednesday</v>
      </c>
      <c r="S6065" s="5" t="str">
        <f>IFERROR(__xludf.DUMMYFUNCTION("""COMPUTED_VALUE"""),"Santa Claws")</f>
        <v>Santa Claws</v>
      </c>
      <c r="V6065" s="5"/>
      <c r="Y6065" s="5" t="str">
        <f>IFERROR(__xludf.DUMMYFUNCTION("REGEXEXTRACT(J6065, ""^\d+"")"),"103")</f>
        <v>103</v>
      </c>
      <c r="Z6065" s="5" t="str">
        <f>IFERROR(__xludf.DUMMYFUNCTION("REGEXEXTRACT(J6065, ""[A-Za-z ]+$"")")," min")</f>
        <v> min</v>
      </c>
      <c r="AA6065" s="5" t="str">
        <f>IFERROR(__xludf.DUMMYFUNCTION("IF(REGEXMATCH(Z6065, ""Season""), ""TV Show"", ""Movie"")"),"Movie")</f>
        <v>Movie</v>
      </c>
    </row>
    <row r="6066">
      <c r="A6066" s="1" t="s">
        <v>30612</v>
      </c>
      <c r="B6066" s="1" t="s">
        <v>27</v>
      </c>
      <c r="C6066" s="1" t="s">
        <v>30613</v>
      </c>
      <c r="D6066" s="1" t="s">
        <v>8715</v>
      </c>
      <c r="F6066" s="1" t="s">
        <v>30</v>
      </c>
      <c r="G6066" s="1" t="s">
        <v>26214</v>
      </c>
      <c r="H6066" s="1">
        <v>2017.0</v>
      </c>
      <c r="I6066" s="1" t="s">
        <v>97</v>
      </c>
      <c r="J6066" s="1" t="s">
        <v>79</v>
      </c>
      <c r="K6066" s="1" t="s">
        <v>34</v>
      </c>
      <c r="L6066" s="1" t="s">
        <v>30614</v>
      </c>
      <c r="M6066" s="2" t="s">
        <v>12</v>
      </c>
      <c r="N6066" s="4">
        <f t="shared" si="1"/>
        <v>43150</v>
      </c>
      <c r="O6066" s="5" t="str">
        <f>IFERROR(__xludf.DUMMYFUNCTION("IF(REGEXMATCH(TRIM(I6066), ""^\d+\s*min""), ""Unclassified"", IF(I6066 = """", ""NR"", I6066))"),"TV-14")</f>
        <v>TV-14</v>
      </c>
      <c r="R6066" s="5" t="str">
        <f t="shared" si="2"/>
        <v>A Week In Watts</v>
      </c>
      <c r="S6066" s="5" t="str">
        <f>IFERROR(__xludf.DUMMYFUNCTION("""COMPUTED_VALUE"""),"Santa Girl")</f>
        <v>Santa Girl</v>
      </c>
      <c r="V6066" s="5"/>
      <c r="Y6066" s="5" t="str">
        <f>IFERROR(__xludf.DUMMYFUNCTION("REGEXEXTRACT(J6066, ""^\d+"")"),"91")</f>
        <v>91</v>
      </c>
      <c r="Z6066" s="5" t="str">
        <f>IFERROR(__xludf.DUMMYFUNCTION("REGEXEXTRACT(J6066, ""[A-Za-z ]+$"")")," min")</f>
        <v> min</v>
      </c>
      <c r="AA6066" s="5" t="str">
        <f>IFERROR(__xludf.DUMMYFUNCTION("IF(REGEXMATCH(Z6066, ""Season""), ""TV Show"", ""Movie"")"),"Movie")</f>
        <v>Movie</v>
      </c>
    </row>
    <row r="6067">
      <c r="A6067" s="1" t="s">
        <v>30615</v>
      </c>
      <c r="B6067" s="1" t="s">
        <v>27</v>
      </c>
      <c r="C6067" s="1" t="s">
        <v>30616</v>
      </c>
      <c r="D6067" s="1" t="s">
        <v>7805</v>
      </c>
      <c r="E6067" s="1" t="s">
        <v>30617</v>
      </c>
      <c r="F6067" s="1" t="s">
        <v>30</v>
      </c>
      <c r="G6067" s="1" t="s">
        <v>30618</v>
      </c>
      <c r="H6067" s="1">
        <v>2018.0</v>
      </c>
      <c r="I6067" s="1" t="s">
        <v>78</v>
      </c>
      <c r="J6067" s="1" t="s">
        <v>297</v>
      </c>
      <c r="K6067" s="1" t="s">
        <v>80</v>
      </c>
      <c r="L6067" s="1" t="s">
        <v>30619</v>
      </c>
      <c r="M6067" s="2" t="s">
        <v>12</v>
      </c>
      <c r="N6067" s="4">
        <f t="shared" si="1"/>
        <v>43368</v>
      </c>
      <c r="O6067" s="5" t="str">
        <f>IFERROR(__xludf.DUMMYFUNCTION("IF(REGEXMATCH(TRIM(I6067), ""^\d+\s*min""), ""Unclassified"", IF(I6067 = """", ""NR"", I6067))"),"PG")</f>
        <v>PG</v>
      </c>
      <c r="R6067" s="5" t="str">
        <f t="shared" si="2"/>
        <v>A Wrinkle In Time</v>
      </c>
      <c r="S6067" s="5" t="str">
        <f>IFERROR(__xludf.DUMMYFUNCTION("""COMPUTED_VALUE"""),"Santa Pac'S Merry Berry Day")</f>
        <v>Santa Pac'S Merry Berry Day</v>
      </c>
      <c r="V6067" s="5"/>
      <c r="Y6067" s="5" t="str">
        <f>IFERROR(__xludf.DUMMYFUNCTION("REGEXEXTRACT(J6067, ""^\d+"")"),"110")</f>
        <v>110</v>
      </c>
      <c r="Z6067" s="5" t="str">
        <f>IFERROR(__xludf.DUMMYFUNCTION("REGEXEXTRACT(J6067, ""[A-Za-z ]+$"")")," min")</f>
        <v> min</v>
      </c>
      <c r="AA6067" s="5" t="str">
        <f>IFERROR(__xludf.DUMMYFUNCTION("IF(REGEXMATCH(Z6067, ""Season""), ""TV Show"", ""Movie"")"),"Movie")</f>
        <v>Movie</v>
      </c>
    </row>
    <row r="6068">
      <c r="A6068" s="1" t="s">
        <v>30620</v>
      </c>
      <c r="B6068" s="1" t="s">
        <v>37</v>
      </c>
      <c r="C6068" s="1" t="s">
        <v>30621</v>
      </c>
      <c r="E6068" s="1" t="s">
        <v>30622</v>
      </c>
      <c r="F6068" s="1" t="s">
        <v>96</v>
      </c>
      <c r="H6068" s="1">
        <v>2013.0</v>
      </c>
      <c r="I6068" s="1" t="s">
        <v>42</v>
      </c>
      <c r="J6068" s="1" t="s">
        <v>43</v>
      </c>
      <c r="K6068" s="1" t="s">
        <v>30623</v>
      </c>
      <c r="L6068" s="1" t="s">
        <v>30624</v>
      </c>
      <c r="M6068" s="2" t="s">
        <v>12</v>
      </c>
      <c r="N6068" s="1" t="str">
        <f t="shared" si="1"/>
        <v>#VALUE!</v>
      </c>
      <c r="O6068" s="5" t="str">
        <f>IFERROR(__xludf.DUMMYFUNCTION("IF(REGEXMATCH(TRIM(I6068), ""^\d+\s*min""), ""Unclassified"", IF(I6068 = """", ""NR"", I6068))"),"TV-MA")</f>
        <v>TV-MA</v>
      </c>
      <c r="R6068" s="5" t="str">
        <f t="shared" si="2"/>
        <v>A Young Doctor'S Notebook And Other Stories</v>
      </c>
      <c r="S6068" s="5" t="str">
        <f>IFERROR(__xludf.DUMMYFUNCTION("""COMPUTED_VALUE"""),"Santa'S Apprentice")</f>
        <v>Santa'S Apprentice</v>
      </c>
      <c r="V6068" s="5"/>
      <c r="Y6068" s="5" t="str">
        <f>IFERROR(__xludf.DUMMYFUNCTION("REGEXEXTRACT(J6068, ""^\d+"")"),"2")</f>
        <v>2</v>
      </c>
      <c r="Z6068" s="5" t="str">
        <f>IFERROR(__xludf.DUMMYFUNCTION("REGEXEXTRACT(J6068, ""[A-Za-z ]+$"")")," Seasons")</f>
        <v> Seasons</v>
      </c>
      <c r="AA6068" s="5" t="str">
        <f>IFERROR(__xludf.DUMMYFUNCTION("IF(REGEXMATCH(Z6068, ""Season""), ""TV Show"", ""Movie"")"),"TV Show")</f>
        <v>TV Show</v>
      </c>
    </row>
    <row r="6069">
      <c r="A6069" s="1" t="s">
        <v>30625</v>
      </c>
      <c r="B6069" s="1" t="s">
        <v>37</v>
      </c>
      <c r="C6069" s="1" t="s">
        <v>30626</v>
      </c>
      <c r="E6069" s="1" t="s">
        <v>30627</v>
      </c>
      <c r="F6069" s="1" t="s">
        <v>30</v>
      </c>
      <c r="G6069" s="1" t="s">
        <v>26596</v>
      </c>
      <c r="H6069" s="1">
        <v>2015.0</v>
      </c>
      <c r="I6069" s="1" t="s">
        <v>97</v>
      </c>
      <c r="J6069" s="1" t="s">
        <v>51</v>
      </c>
      <c r="K6069" s="1" t="s">
        <v>2709</v>
      </c>
      <c r="L6069" s="1" t="s">
        <v>30628</v>
      </c>
      <c r="M6069" s="2" t="s">
        <v>12</v>
      </c>
      <c r="N6069" s="4">
        <f t="shared" si="1"/>
        <v>43084</v>
      </c>
      <c r="O6069" s="5" t="str">
        <f>IFERROR(__xludf.DUMMYFUNCTION("IF(REGEXMATCH(TRIM(I6069), ""^\d+\s*min""), ""Unclassified"", IF(I6069 = """", ""NR"", I6069))"),"TV-14")</f>
        <v>TV-14</v>
      </c>
      <c r="R6069" s="5" t="str">
        <f t="shared" si="2"/>
        <v>A.D. Kingdom And Empire</v>
      </c>
      <c r="S6069" s="5" t="str">
        <f>IFERROR(__xludf.DUMMYFUNCTION("""COMPUTED_VALUE"""),"Santana")</f>
        <v>Santana</v>
      </c>
      <c r="V6069" s="5"/>
      <c r="Y6069" s="5" t="str">
        <f>IFERROR(__xludf.DUMMYFUNCTION("REGEXEXTRACT(J6069, ""^\d+"")"),"1")</f>
        <v>1</v>
      </c>
      <c r="Z6069" s="5" t="str">
        <f>IFERROR(__xludf.DUMMYFUNCTION("REGEXEXTRACT(J6069, ""[A-Za-z ]+$"")")," Season")</f>
        <v> Season</v>
      </c>
      <c r="AA6069" s="5" t="str">
        <f>IFERROR(__xludf.DUMMYFUNCTION("IF(REGEXMATCH(Z6069, ""Season""), ""TV Show"", ""Movie"")"),"TV Show")</f>
        <v>TV Show</v>
      </c>
    </row>
    <row r="6070">
      <c r="A6070" s="1" t="s">
        <v>30629</v>
      </c>
      <c r="B6070" s="1" t="s">
        <v>27</v>
      </c>
      <c r="C6070" s="1" t="s">
        <v>30630</v>
      </c>
      <c r="D6070" s="1" t="s">
        <v>19922</v>
      </c>
      <c r="E6070" s="1" t="s">
        <v>30631</v>
      </c>
      <c r="F6070" s="1" t="s">
        <v>1106</v>
      </c>
      <c r="G6070" s="1" t="s">
        <v>10969</v>
      </c>
      <c r="H6070" s="1">
        <v>2019.0</v>
      </c>
      <c r="I6070" s="1" t="s">
        <v>42</v>
      </c>
      <c r="J6070" s="1" t="s">
        <v>4558</v>
      </c>
      <c r="K6070" s="1" t="s">
        <v>1551</v>
      </c>
      <c r="L6070" s="1" t="s">
        <v>30632</v>
      </c>
      <c r="M6070" s="2" t="s">
        <v>12</v>
      </c>
      <c r="N6070" s="4">
        <f t="shared" si="1"/>
        <v>44105</v>
      </c>
      <c r="O6070" s="5" t="str">
        <f>IFERROR(__xludf.DUMMYFUNCTION("IF(REGEXMATCH(TRIM(I6070), ""^\d+\s*min""), ""Unclassified"", IF(I6070 = """", ""NR"", I6070))"),"TV-MA")</f>
        <v>TV-MA</v>
      </c>
      <c r="R6070" s="5" t="str">
        <f t="shared" si="2"/>
        <v>A.M.I.</v>
      </c>
      <c r="S6070" s="5" t="str">
        <f>IFERROR(__xludf.DUMMYFUNCTION("""COMPUTED_VALUE"""),"Santo Cachón")</f>
        <v>Santo Cachón</v>
      </c>
      <c r="V6070" s="5"/>
      <c r="Y6070" s="5" t="str">
        <f>IFERROR(__xludf.DUMMYFUNCTION("REGEXEXTRACT(J6070, ""^\d+"")"),"77")</f>
        <v>77</v>
      </c>
      <c r="Z6070" s="5" t="str">
        <f>IFERROR(__xludf.DUMMYFUNCTION("REGEXEXTRACT(J6070, ""[A-Za-z ]+$"")")," min")</f>
        <v> min</v>
      </c>
      <c r="AA6070" s="5" t="str">
        <f>IFERROR(__xludf.DUMMYFUNCTION("IF(REGEXMATCH(Z6070, ""Season""), ""TV Show"", ""Movie"")"),"Movie")</f>
        <v>Movie</v>
      </c>
    </row>
    <row r="6071">
      <c r="A6071" s="1" t="s">
        <v>30633</v>
      </c>
      <c r="B6071" s="1" t="s">
        <v>27</v>
      </c>
      <c r="C6071" s="1" t="s">
        <v>30634</v>
      </c>
      <c r="D6071" s="1" t="s">
        <v>17183</v>
      </c>
      <c r="E6071" s="1" t="s">
        <v>30635</v>
      </c>
      <c r="F6071" s="1" t="s">
        <v>30</v>
      </c>
      <c r="G6071" s="1" t="s">
        <v>21568</v>
      </c>
      <c r="H6071" s="1">
        <v>2018.0</v>
      </c>
      <c r="I6071" s="1" t="s">
        <v>78</v>
      </c>
      <c r="J6071" s="1" t="s">
        <v>416</v>
      </c>
      <c r="K6071" s="1" t="s">
        <v>30636</v>
      </c>
      <c r="L6071" s="1" t="s">
        <v>30637</v>
      </c>
      <c r="M6071" s="2" t="s">
        <v>12</v>
      </c>
      <c r="N6071" s="4">
        <f t="shared" si="1"/>
        <v>43544</v>
      </c>
      <c r="O6071" s="5" t="str">
        <f>IFERROR(__xludf.DUMMYFUNCTION("IF(REGEXMATCH(TRIM(I6071), ""^\d+\s*min""), ""Unclassified"", IF(I6071 = """", ""NR"", I6071))"),"PG")</f>
        <v>PG</v>
      </c>
      <c r="R6071" s="5" t="str">
        <f t="shared" si="2"/>
        <v>A.X.L.</v>
      </c>
      <c r="S6071" s="5" t="str">
        <f>IFERROR(__xludf.DUMMYFUNCTION("""COMPUTED_VALUE"""),"Sara'S Notebook")</f>
        <v>Sara'S Notebook</v>
      </c>
      <c r="V6071" s="5"/>
      <c r="Y6071" s="5" t="str">
        <f>IFERROR(__xludf.DUMMYFUNCTION("REGEXEXTRACT(J6071, ""^\d+"")"),"99")</f>
        <v>99</v>
      </c>
      <c r="Z6071" s="5" t="str">
        <f>IFERROR(__xludf.DUMMYFUNCTION("REGEXEXTRACT(J6071, ""[A-Za-z ]+$"")")," min")</f>
        <v> min</v>
      </c>
      <c r="AA6071" s="5" t="str">
        <f>IFERROR(__xludf.DUMMYFUNCTION("IF(REGEXMATCH(Z6071, ""Season""), ""TV Show"", ""Movie"")"),"Movie")</f>
        <v>Movie</v>
      </c>
    </row>
    <row r="6072">
      <c r="A6072" s="1" t="s">
        <v>30638</v>
      </c>
      <c r="B6072" s="1" t="s">
        <v>27</v>
      </c>
      <c r="C6072" s="1" t="s">
        <v>30639</v>
      </c>
      <c r="D6072" s="1" t="s">
        <v>5881</v>
      </c>
      <c r="E6072" s="1" t="s">
        <v>30640</v>
      </c>
      <c r="F6072" s="1" t="s">
        <v>188</v>
      </c>
      <c r="G6072" s="1" t="s">
        <v>30641</v>
      </c>
      <c r="H6072" s="1">
        <v>2011.0</v>
      </c>
      <c r="I6072" s="1" t="s">
        <v>42</v>
      </c>
      <c r="J6072" s="1" t="s">
        <v>393</v>
      </c>
      <c r="K6072" s="1" t="s">
        <v>679</v>
      </c>
      <c r="L6072" s="1" t="s">
        <v>30642</v>
      </c>
      <c r="M6072" s="2" t="s">
        <v>12</v>
      </c>
      <c r="N6072" s="4">
        <f t="shared" si="1"/>
        <v>43194</v>
      </c>
      <c r="O6072" s="5" t="str">
        <f>IFERROR(__xludf.DUMMYFUNCTION("IF(REGEXMATCH(TRIM(I6072), ""^\d+\s*min""), ""Unclassified"", IF(I6072 = """", ""NR"", I6072))"),"TV-MA")</f>
        <v>TV-MA</v>
      </c>
      <c r="R6072" s="5" t="str">
        <f t="shared" si="2"/>
        <v>Aşk Tesadüfleri Sever</v>
      </c>
      <c r="S6072" s="5" t="str">
        <f>IFERROR(__xludf.DUMMYFUNCTION("""COMPUTED_VALUE"""),"Sarah Cooper: Everything'S Fine")</f>
        <v>Sarah Cooper: Everything'S Fine</v>
      </c>
      <c r="V6072" s="5"/>
      <c r="Y6072" s="5" t="str">
        <f>IFERROR(__xludf.DUMMYFUNCTION("REGEXEXTRACT(J6072, ""^\d+"")"),"122")</f>
        <v>122</v>
      </c>
      <c r="Z6072" s="5" t="str">
        <f>IFERROR(__xludf.DUMMYFUNCTION("REGEXEXTRACT(J6072, ""[A-Za-z ]+$"")")," min")</f>
        <v> min</v>
      </c>
      <c r="AA6072" s="5" t="str">
        <f>IFERROR(__xludf.DUMMYFUNCTION("IF(REGEXMATCH(Z6072, ""Season""), ""TV Show"", ""Movie"")"),"Movie")</f>
        <v>Movie</v>
      </c>
    </row>
    <row r="6073">
      <c r="A6073" s="1" t="s">
        <v>30643</v>
      </c>
      <c r="B6073" s="1" t="s">
        <v>27</v>
      </c>
      <c r="C6073" s="1" t="s">
        <v>30644</v>
      </c>
      <c r="D6073" s="1" t="s">
        <v>15943</v>
      </c>
      <c r="E6073" s="1" t="s">
        <v>30645</v>
      </c>
      <c r="F6073" s="1" t="s">
        <v>63</v>
      </c>
      <c r="G6073" s="7">
        <v>43235.0</v>
      </c>
      <c r="H6073" s="1">
        <v>2017.0</v>
      </c>
      <c r="I6073" s="1" t="s">
        <v>42</v>
      </c>
      <c r="J6073" s="1" t="s">
        <v>1407</v>
      </c>
      <c r="K6073" s="1" t="s">
        <v>199</v>
      </c>
      <c r="L6073" s="1" t="s">
        <v>30646</v>
      </c>
      <c r="M6073" s="2" t="s">
        <v>12</v>
      </c>
      <c r="N6073" s="4">
        <f t="shared" si="1"/>
        <v>43235</v>
      </c>
      <c r="O6073" s="5" t="str">
        <f>IFERROR(__xludf.DUMMYFUNCTION("IF(REGEXMATCH(TRIM(I6073), ""^\d+\s*min""), ""Unclassified"", IF(I6073 = """", ""NR"", I6073))"),"TV-MA")</f>
        <v>TV-MA</v>
      </c>
      <c r="R6073" s="5" t="str">
        <f t="shared" si="2"/>
        <v>Aadu 2</v>
      </c>
      <c r="S6073" s="5" t="str">
        <f>IFERROR(__xludf.DUMMYFUNCTION("""COMPUTED_VALUE"""),"Sarah Silverman A Speck Of Dust")</f>
        <v>Sarah Silverman A Speck Of Dust</v>
      </c>
      <c r="V6073" s="5"/>
      <c r="Y6073" s="5" t="str">
        <f>IFERROR(__xludf.DUMMYFUNCTION("REGEXEXTRACT(J6073, ""^\d+"")"),"150")</f>
        <v>150</v>
      </c>
      <c r="Z6073" s="5" t="str">
        <f>IFERROR(__xludf.DUMMYFUNCTION("REGEXEXTRACT(J6073, ""[A-Za-z ]+$"")")," min")</f>
        <v> min</v>
      </c>
      <c r="AA6073" s="5" t="str">
        <f>IFERROR(__xludf.DUMMYFUNCTION("IF(REGEXMATCH(Z6073, ""Season""), ""TV Show"", ""Movie"")"),"Movie")</f>
        <v>Movie</v>
      </c>
    </row>
    <row r="6074">
      <c r="A6074" s="1" t="s">
        <v>30647</v>
      </c>
      <c r="B6074" s="1" t="s">
        <v>27</v>
      </c>
      <c r="C6074" s="1" t="s">
        <v>30648</v>
      </c>
      <c r="D6074" s="1" t="s">
        <v>4388</v>
      </c>
      <c r="E6074" s="1" t="s">
        <v>30649</v>
      </c>
      <c r="F6074" s="1" t="s">
        <v>63</v>
      </c>
      <c r="G6074" s="1" t="s">
        <v>26481</v>
      </c>
      <c r="H6074" s="1">
        <v>2013.0</v>
      </c>
      <c r="I6074" s="1" t="s">
        <v>136</v>
      </c>
      <c r="J6074" s="1" t="s">
        <v>3458</v>
      </c>
      <c r="K6074" s="1" t="s">
        <v>583</v>
      </c>
      <c r="L6074" s="1" t="s">
        <v>30650</v>
      </c>
      <c r="M6074" s="2" t="s">
        <v>12</v>
      </c>
      <c r="N6074" s="4">
        <f t="shared" si="1"/>
        <v>43101</v>
      </c>
      <c r="O6074" s="5" t="str">
        <f>IFERROR(__xludf.DUMMYFUNCTION("IF(REGEXMATCH(TRIM(I6074), ""^\d+\s*min""), ""Unclassified"", IF(I6074 = """", ""NR"", I6074))"),"TV-PG")</f>
        <v>TV-PG</v>
      </c>
      <c r="R6074" s="5" t="str">
        <f t="shared" si="2"/>
        <v>Aajcha Divas Majha</v>
      </c>
      <c r="S6074" s="5" t="str">
        <f>IFERROR(__xludf.DUMMYFUNCTION("""COMPUTED_VALUE"""),"Sarah'S Key")</f>
        <v>Sarah'S Key</v>
      </c>
      <c r="V6074" s="5"/>
      <c r="Y6074" s="5" t="str">
        <f>IFERROR(__xludf.DUMMYFUNCTION("REGEXEXTRACT(J6074, ""^\d+"")"),"126")</f>
        <v>126</v>
      </c>
      <c r="Z6074" s="5" t="str">
        <f>IFERROR(__xludf.DUMMYFUNCTION("REGEXEXTRACT(J6074, ""[A-Za-z ]+$"")")," min")</f>
        <v> min</v>
      </c>
      <c r="AA6074" s="5" t="str">
        <f>IFERROR(__xludf.DUMMYFUNCTION("IF(REGEXMATCH(Z6074, ""Season""), ""TV Show"", ""Movie"")"),"Movie")</f>
        <v>Movie</v>
      </c>
    </row>
    <row r="6075">
      <c r="A6075" s="1" t="s">
        <v>30651</v>
      </c>
      <c r="B6075" s="1" t="s">
        <v>27</v>
      </c>
      <c r="C6075" s="1" t="s">
        <v>30652</v>
      </c>
      <c r="D6075" s="1" t="s">
        <v>8367</v>
      </c>
      <c r="E6075" s="1" t="s">
        <v>30653</v>
      </c>
      <c r="F6075" s="1" t="s">
        <v>63</v>
      </c>
      <c r="G6075" s="1" t="s">
        <v>17078</v>
      </c>
      <c r="H6075" s="1">
        <v>2011.0</v>
      </c>
      <c r="I6075" s="1" t="s">
        <v>97</v>
      </c>
      <c r="J6075" s="1" t="s">
        <v>6617</v>
      </c>
      <c r="K6075" s="1" t="s">
        <v>128</v>
      </c>
      <c r="L6075" s="1" t="s">
        <v>30654</v>
      </c>
      <c r="M6075" s="2" t="s">
        <v>12</v>
      </c>
      <c r="N6075" s="4">
        <f t="shared" si="1"/>
        <v>43830</v>
      </c>
      <c r="O6075" s="5" t="str">
        <f>IFERROR(__xludf.DUMMYFUNCTION("IF(REGEXMATCH(TRIM(I6075), ""^\d+\s*min""), ""Unclassified"", IF(I6075 = """", ""NR"", I6075))"),"TV-14")</f>
        <v>TV-14</v>
      </c>
      <c r="R6075" s="5" t="str">
        <f t="shared" si="2"/>
        <v>Aarakshan</v>
      </c>
      <c r="S6075" s="5" t="str">
        <f>IFERROR(__xludf.DUMMYFUNCTION("""COMPUTED_VALUE"""),"Sarajevo")</f>
        <v>Sarajevo</v>
      </c>
      <c r="V6075" s="5"/>
      <c r="Y6075" s="5" t="str">
        <f>IFERROR(__xludf.DUMMYFUNCTION("REGEXEXTRACT(J6075, ""^\d+"")"),"164")</f>
        <v>164</v>
      </c>
      <c r="Z6075" s="5" t="str">
        <f>IFERROR(__xludf.DUMMYFUNCTION("REGEXEXTRACT(J6075, ""[A-Za-z ]+$"")")," min")</f>
        <v> min</v>
      </c>
      <c r="AA6075" s="5" t="str">
        <f>IFERROR(__xludf.DUMMYFUNCTION("IF(REGEXMATCH(Z6075, ""Season""), ""TV Show"", ""Movie"")"),"Movie")</f>
        <v>Movie</v>
      </c>
    </row>
    <row r="6076">
      <c r="A6076" s="1" t="s">
        <v>30655</v>
      </c>
      <c r="B6076" s="1" t="s">
        <v>27</v>
      </c>
      <c r="C6076" s="1" t="s">
        <v>30656</v>
      </c>
      <c r="D6076" s="1" t="s">
        <v>833</v>
      </c>
      <c r="E6076" s="1" t="s">
        <v>30657</v>
      </c>
      <c r="F6076" s="1" t="s">
        <v>63</v>
      </c>
      <c r="G6076" s="1" t="s">
        <v>30658</v>
      </c>
      <c r="H6076" s="1">
        <v>2010.0</v>
      </c>
      <c r="I6076" s="1" t="s">
        <v>97</v>
      </c>
      <c r="J6076" s="1" t="s">
        <v>379</v>
      </c>
      <c r="K6076" s="1" t="s">
        <v>128</v>
      </c>
      <c r="L6076" s="1" t="s">
        <v>30659</v>
      </c>
      <c r="M6076" s="2" t="s">
        <v>12</v>
      </c>
      <c r="N6076" s="4">
        <f t="shared" si="1"/>
        <v>43030</v>
      </c>
      <c r="O6076" s="5" t="str">
        <f>IFERROR(__xludf.DUMMYFUNCTION("IF(REGEXMATCH(TRIM(I6076), ""^\d+\s*min""), ""Unclassified"", IF(I6076 = """", ""NR"", I6076))"),"TV-14")</f>
        <v>TV-14</v>
      </c>
      <c r="R6076" s="5" t="str">
        <f t="shared" si="2"/>
        <v>Aashayein</v>
      </c>
      <c r="S6076" s="5" t="str">
        <f>IFERROR(__xludf.DUMMYFUNCTION("""COMPUTED_VALUE"""),"Sarbath")</f>
        <v>Sarbath</v>
      </c>
      <c r="V6076" s="5"/>
      <c r="Y6076" s="5" t="str">
        <f>IFERROR(__xludf.DUMMYFUNCTION("REGEXEXTRACT(J6076, ""^\d+"")"),"115")</f>
        <v>115</v>
      </c>
      <c r="Z6076" s="5" t="str">
        <f>IFERROR(__xludf.DUMMYFUNCTION("REGEXEXTRACT(J6076, ""[A-Za-z ]+$"")")," min")</f>
        <v> min</v>
      </c>
      <c r="AA6076" s="5" t="str">
        <f>IFERROR(__xludf.DUMMYFUNCTION("IF(REGEXMATCH(Z6076, ""Season""), ""TV Show"", ""Movie"")"),"Movie")</f>
        <v>Movie</v>
      </c>
    </row>
    <row r="6077">
      <c r="A6077" s="1" t="s">
        <v>30660</v>
      </c>
      <c r="B6077" s="1" t="s">
        <v>27</v>
      </c>
      <c r="C6077" s="1" t="s">
        <v>30661</v>
      </c>
      <c r="D6077" s="1" t="s">
        <v>23067</v>
      </c>
      <c r="E6077" s="1" t="s">
        <v>30662</v>
      </c>
      <c r="F6077" s="1" t="s">
        <v>63</v>
      </c>
      <c r="G6077" s="1" t="s">
        <v>26481</v>
      </c>
      <c r="H6077" s="1">
        <v>2010.0</v>
      </c>
      <c r="I6077" s="1" t="s">
        <v>97</v>
      </c>
      <c r="J6077" s="1" t="s">
        <v>1428</v>
      </c>
      <c r="K6077" s="1" t="s">
        <v>583</v>
      </c>
      <c r="L6077" s="1" t="s">
        <v>30663</v>
      </c>
      <c r="M6077" s="2" t="s">
        <v>12</v>
      </c>
      <c r="N6077" s="4">
        <f t="shared" si="1"/>
        <v>43101</v>
      </c>
      <c r="O6077" s="5" t="str">
        <f>IFERROR(__xludf.DUMMYFUNCTION("IF(REGEXMATCH(TRIM(I6077), ""^\d+\s*min""), ""Unclassified"", IF(I6077 = """", ""NR"", I6077))"),"TV-14")</f>
        <v>TV-14</v>
      </c>
      <c r="R6077" s="5" t="str">
        <f t="shared" si="2"/>
        <v>Aata Pita</v>
      </c>
      <c r="S6077" s="5" t="str">
        <f>IFERROR(__xludf.DUMMYFUNCTION("""COMPUTED_VALUE"""),"Sardaar Ji")</f>
        <v>Sardaar Ji</v>
      </c>
      <c r="V6077" s="5"/>
      <c r="Y6077" s="5" t="str">
        <f>IFERROR(__xludf.DUMMYFUNCTION("REGEXEXTRACT(J6077, ""^\d+"")"),"133")</f>
        <v>133</v>
      </c>
      <c r="Z6077" s="5" t="str">
        <f>IFERROR(__xludf.DUMMYFUNCTION("REGEXEXTRACT(J6077, ""[A-Za-z ]+$"")")," min")</f>
        <v> min</v>
      </c>
      <c r="AA6077" s="5" t="str">
        <f>IFERROR(__xludf.DUMMYFUNCTION("IF(REGEXMATCH(Z6077, ""Season""), ""TV Show"", ""Movie"")"),"Movie")</f>
        <v>Movie</v>
      </c>
    </row>
    <row r="6078">
      <c r="A6078" s="1" t="s">
        <v>30664</v>
      </c>
      <c r="B6078" s="1" t="s">
        <v>27</v>
      </c>
      <c r="C6078" s="1" t="s">
        <v>30665</v>
      </c>
      <c r="D6078" s="1" t="s">
        <v>2681</v>
      </c>
      <c r="E6078" s="1" t="s">
        <v>30666</v>
      </c>
      <c r="F6078" s="1" t="s">
        <v>63</v>
      </c>
      <c r="G6078" s="7">
        <v>42856.0</v>
      </c>
      <c r="H6078" s="1">
        <v>2015.0</v>
      </c>
      <c r="I6078" s="1" t="s">
        <v>136</v>
      </c>
      <c r="J6078" s="1" t="s">
        <v>127</v>
      </c>
      <c r="K6078" s="1" t="s">
        <v>583</v>
      </c>
      <c r="L6078" s="1" t="s">
        <v>30667</v>
      </c>
      <c r="M6078" s="2" t="s">
        <v>12</v>
      </c>
      <c r="N6078" s="4">
        <f t="shared" si="1"/>
        <v>42856</v>
      </c>
      <c r="O6078" s="5" t="str">
        <f>IFERROR(__xludf.DUMMYFUNCTION("IF(REGEXMATCH(TRIM(I6078), ""^\d+\s*min""), ""Unclassified"", IF(I6078 = """", ""NR"", I6078))"),"TV-PG")</f>
        <v>TV-PG</v>
      </c>
      <c r="R6078" s="5" t="str">
        <f t="shared" si="2"/>
        <v>Abby Sen</v>
      </c>
      <c r="S6078" s="5" t="str">
        <f>IFERROR(__xludf.DUMMYFUNCTION("""COMPUTED_VALUE"""),"Sardaarji 2")</f>
        <v>Sardaarji 2</v>
      </c>
      <c r="V6078" s="5"/>
      <c r="Y6078" s="5" t="str">
        <f>IFERROR(__xludf.DUMMYFUNCTION("REGEXEXTRACT(J6078, ""^\d+"")"),"127")</f>
        <v>127</v>
      </c>
      <c r="Z6078" s="5" t="str">
        <f>IFERROR(__xludf.DUMMYFUNCTION("REGEXEXTRACT(J6078, ""[A-Za-z ]+$"")")," min")</f>
        <v> min</v>
      </c>
      <c r="AA6078" s="5" t="str">
        <f>IFERROR(__xludf.DUMMYFUNCTION("IF(REGEXMATCH(Z6078, ""Season""), ""TV Show"", ""Movie"")"),"Movie")</f>
        <v>Movie</v>
      </c>
    </row>
    <row r="6079">
      <c r="A6079" s="1" t="s">
        <v>30668</v>
      </c>
      <c r="B6079" s="1" t="s">
        <v>27</v>
      </c>
      <c r="C6079" s="1" t="s">
        <v>30669</v>
      </c>
      <c r="E6079" s="1" t="s">
        <v>30670</v>
      </c>
      <c r="F6079" s="1" t="s">
        <v>3309</v>
      </c>
      <c r="G6079" s="1" t="s">
        <v>21088</v>
      </c>
      <c r="H6079" s="1">
        <v>2012.0</v>
      </c>
      <c r="I6079" s="1" t="s">
        <v>42</v>
      </c>
      <c r="J6079" s="1" t="s">
        <v>433</v>
      </c>
      <c r="K6079" s="1" t="s">
        <v>306</v>
      </c>
      <c r="L6079" s="1" t="s">
        <v>30671</v>
      </c>
      <c r="M6079" s="2" t="s">
        <v>12</v>
      </c>
      <c r="N6079" s="4">
        <f t="shared" si="1"/>
        <v>43574</v>
      </c>
      <c r="O6079" s="5" t="str">
        <f>IFERROR(__xludf.DUMMYFUNCTION("IF(REGEXMATCH(TRIM(I6079), ""^\d+\s*min""), ""Unclassified"", IF(I6079 = """", ""NR"", I6079))"),"TV-MA")</f>
        <v>TV-MA</v>
      </c>
      <c r="R6079" s="5" t="str">
        <f t="shared" si="2"/>
        <v>Abdo Mota</v>
      </c>
      <c r="S6079" s="5" t="str">
        <f>IFERROR(__xludf.DUMMYFUNCTION("""COMPUTED_VALUE"""),"Sardar Ka Grandson")</f>
        <v>Sardar Ka Grandson</v>
      </c>
      <c r="V6079" s="5"/>
      <c r="Y6079" s="5" t="str">
        <f>IFERROR(__xludf.DUMMYFUNCTION("REGEXEXTRACT(J6079, ""^\d+"")"),"100")</f>
        <v>100</v>
      </c>
      <c r="Z6079" s="5" t="str">
        <f>IFERROR(__xludf.DUMMYFUNCTION("REGEXEXTRACT(J6079, ""[A-Za-z ]+$"")")," min")</f>
        <v> min</v>
      </c>
      <c r="AA6079" s="5" t="str">
        <f>IFERROR(__xludf.DUMMYFUNCTION("IF(REGEXMATCH(Z6079, ""Season""), ""TV Show"", ""Movie"")"),"Movie")</f>
        <v>Movie</v>
      </c>
    </row>
    <row r="6080">
      <c r="A6080" s="1" t="s">
        <v>30672</v>
      </c>
      <c r="B6080" s="1" t="s">
        <v>27</v>
      </c>
      <c r="C6080" s="1" t="s">
        <v>30673</v>
      </c>
      <c r="D6080" s="1" t="s">
        <v>19355</v>
      </c>
      <c r="E6080" s="1" t="s">
        <v>30674</v>
      </c>
      <c r="F6080" s="1" t="s">
        <v>63</v>
      </c>
      <c r="G6080" s="7">
        <v>43221.0</v>
      </c>
      <c r="H6080" s="1">
        <v>2016.0</v>
      </c>
      <c r="I6080" s="1" t="s">
        <v>97</v>
      </c>
      <c r="J6080" s="1" t="s">
        <v>2859</v>
      </c>
      <c r="K6080" s="1" t="s">
        <v>1408</v>
      </c>
      <c r="L6080" s="1" t="s">
        <v>30675</v>
      </c>
      <c r="M6080" s="2" t="s">
        <v>12</v>
      </c>
      <c r="N6080" s="4">
        <f t="shared" si="1"/>
        <v>43221</v>
      </c>
      <c r="O6080" s="5" t="str">
        <f>IFERROR(__xludf.DUMMYFUNCTION("IF(REGEXMATCH(TRIM(I6080), ""^\d+\s*min""), ""Unclassified"", IF(I6080 = """", ""NR"", I6080))"),"TV-14")</f>
        <v>TV-14</v>
      </c>
      <c r="R6080" s="5" t="str">
        <f t="shared" si="2"/>
        <v>Abhinetri</v>
      </c>
      <c r="S6080" s="5" t="str">
        <f>IFERROR(__xludf.DUMMYFUNCTION("""COMPUTED_VALUE"""),"Sarivar Sari")</f>
        <v>Sarivar Sari</v>
      </c>
      <c r="V6080" s="5"/>
      <c r="Y6080" s="5" t="str">
        <f>IFERROR(__xludf.DUMMYFUNCTION("REGEXEXTRACT(J6080, ""^\d+"")"),"131")</f>
        <v>131</v>
      </c>
      <c r="Z6080" s="5" t="str">
        <f>IFERROR(__xludf.DUMMYFUNCTION("REGEXEXTRACT(J6080, ""[A-Za-z ]+$"")")," min")</f>
        <v> min</v>
      </c>
      <c r="AA6080" s="5" t="str">
        <f>IFERROR(__xludf.DUMMYFUNCTION("IF(REGEXMATCH(Z6080, ""Season""), ""TV Show"", ""Movie"")"),"Movie")</f>
        <v>Movie</v>
      </c>
    </row>
    <row r="6081">
      <c r="A6081" s="1" t="s">
        <v>30676</v>
      </c>
      <c r="B6081" s="1" t="s">
        <v>37</v>
      </c>
      <c r="C6081" s="1" t="s">
        <v>30677</v>
      </c>
      <c r="D6081" s="1" t="s">
        <v>30678</v>
      </c>
      <c r="E6081" s="1" t="s">
        <v>30679</v>
      </c>
      <c r="F6081" s="1" t="s">
        <v>749</v>
      </c>
      <c r="G6081" s="1" t="s">
        <v>30680</v>
      </c>
      <c r="H6081" s="1">
        <v>2017.0</v>
      </c>
      <c r="I6081" s="1" t="s">
        <v>136</v>
      </c>
      <c r="J6081" s="1" t="s">
        <v>43</v>
      </c>
      <c r="K6081" s="1" t="s">
        <v>6951</v>
      </c>
      <c r="L6081" s="1" t="s">
        <v>30681</v>
      </c>
      <c r="M6081" s="2" t="s">
        <v>12</v>
      </c>
      <c r="N6081" s="1" t="str">
        <f t="shared" si="1"/>
        <v>#N/A</v>
      </c>
      <c r="O6081" s="5" t="str">
        <f>IFERROR(__xludf.DUMMYFUNCTION("IF(REGEXMATCH(TRIM(I6081), ""^\d+\s*min""), ""Unclassified"", IF(I6081 = """", ""NR"", I6081))"),"TV-PG")</f>
        <v>TV-PG</v>
      </c>
      <c r="R6081" s="5" t="str">
        <f t="shared" si="2"/>
        <v>Abnormal Summit</v>
      </c>
      <c r="S6081" s="5" t="str">
        <f>IFERROR(__xludf.DUMMYFUNCTION("""COMPUTED_VALUE"""),"Sarkar")</f>
        <v>Sarkar</v>
      </c>
      <c r="V6081" s="5"/>
      <c r="Y6081" s="5" t="str">
        <f>IFERROR(__xludf.DUMMYFUNCTION("REGEXEXTRACT(J6081, ""^\d+"")"),"2")</f>
        <v>2</v>
      </c>
      <c r="Z6081" s="5" t="str">
        <f>IFERROR(__xludf.DUMMYFUNCTION("REGEXEXTRACT(J6081, ""[A-Za-z ]+$"")")," Seasons")</f>
        <v> Seasons</v>
      </c>
      <c r="AA6081" s="5" t="str">
        <f>IFERROR(__xludf.DUMMYFUNCTION("IF(REGEXMATCH(Z6081, ""Season""), ""TV Show"", ""Movie"")"),"TV Show")</f>
        <v>TV Show</v>
      </c>
    </row>
    <row r="6082">
      <c r="A6082" s="1" t="s">
        <v>30682</v>
      </c>
      <c r="B6082" s="1" t="s">
        <v>27</v>
      </c>
      <c r="C6082" s="1" t="s">
        <v>30683</v>
      </c>
      <c r="D6082" s="1" t="s">
        <v>4332</v>
      </c>
      <c r="E6082" s="1" t="s">
        <v>30684</v>
      </c>
      <c r="F6082" s="1" t="s">
        <v>30</v>
      </c>
      <c r="G6082" s="1" t="s">
        <v>30685</v>
      </c>
      <c r="H6082" s="1">
        <v>2012.0</v>
      </c>
      <c r="I6082" s="1" t="s">
        <v>289</v>
      </c>
      <c r="J6082" s="1" t="s">
        <v>10890</v>
      </c>
      <c r="K6082" s="1" t="s">
        <v>137</v>
      </c>
      <c r="L6082" s="1" t="s">
        <v>30686</v>
      </c>
      <c r="M6082" s="2" t="s">
        <v>12</v>
      </c>
      <c r="N6082" s="4">
        <f t="shared" si="1"/>
        <v>42418</v>
      </c>
      <c r="O6082" s="5" t="str">
        <f>IFERROR(__xludf.DUMMYFUNCTION("IF(REGEXMATCH(TRIM(I6082), ""^\d+\s*min""), ""Unclassified"", IF(I6082 = """", ""NR"", I6082))"),"TV-Y7")</f>
        <v>TV-Y7</v>
      </c>
      <c r="R6082" s="5" t="str">
        <f t="shared" si="2"/>
        <v>Abominable Christmas</v>
      </c>
      <c r="S6082" s="5" t="str">
        <f>IFERROR(__xludf.DUMMYFUNCTION("""COMPUTED_VALUE"""),"Sarvam Thaala Mayam (Tamil Version)")</f>
        <v>Sarvam Thaala Mayam (Tamil Version)</v>
      </c>
      <c r="V6082" s="5"/>
      <c r="Y6082" s="5" t="str">
        <f>IFERROR(__xludf.DUMMYFUNCTION("REGEXEXTRACT(J6082, ""^\d+"")"),"44")</f>
        <v>44</v>
      </c>
      <c r="Z6082" s="5" t="str">
        <f>IFERROR(__xludf.DUMMYFUNCTION("REGEXEXTRACT(J6082, ""[A-Za-z ]+$"")")," min")</f>
        <v> min</v>
      </c>
      <c r="AA6082" s="5" t="str">
        <f>IFERROR(__xludf.DUMMYFUNCTION("IF(REGEXMATCH(Z6082, ""Season""), ""TV Show"", ""Movie"")"),"Movie")</f>
        <v>Movie</v>
      </c>
    </row>
    <row r="6083">
      <c r="A6083" s="1" t="s">
        <v>30687</v>
      </c>
      <c r="B6083" s="1" t="s">
        <v>27</v>
      </c>
      <c r="C6083" s="1" t="s">
        <v>30688</v>
      </c>
      <c r="D6083" s="1" t="s">
        <v>4831</v>
      </c>
      <c r="E6083" s="1" t="s">
        <v>30689</v>
      </c>
      <c r="F6083" s="1" t="s">
        <v>30690</v>
      </c>
      <c r="G6083" s="1" t="s">
        <v>22239</v>
      </c>
      <c r="H6083" s="1">
        <v>2002.0</v>
      </c>
      <c r="I6083" s="1" t="s">
        <v>32</v>
      </c>
      <c r="J6083" s="1" t="s">
        <v>1091</v>
      </c>
      <c r="K6083" s="1" t="s">
        <v>583</v>
      </c>
      <c r="L6083" s="1" t="s">
        <v>30691</v>
      </c>
      <c r="M6083" s="2" t="s">
        <v>12</v>
      </c>
      <c r="N6083" s="4">
        <f t="shared" si="1"/>
        <v>43497</v>
      </c>
      <c r="O6083" s="5" t="str">
        <f>IFERROR(__xludf.DUMMYFUNCTION("IF(REGEXMATCH(TRIM(I6083), ""^\d+\s*min""), ""Unclassified"", IF(I6083 = """", ""NR"", I6083))"),"PG-13")</f>
        <v>PG-13</v>
      </c>
      <c r="R6083" s="5" t="str">
        <f t="shared" si="2"/>
        <v>About A Boy</v>
      </c>
      <c r="S6083" s="5" t="str">
        <f>IFERROR(__xludf.DUMMYFUNCTION("""COMPUTED_VALUE"""),"Sarvam Thaala Mayam (Telugu Version)")</f>
        <v>Sarvam Thaala Mayam (Telugu Version)</v>
      </c>
      <c r="V6083" s="5"/>
      <c r="Y6083" s="5" t="str">
        <f>IFERROR(__xludf.DUMMYFUNCTION("REGEXEXTRACT(J6083, ""^\d+"")"),"101")</f>
        <v>101</v>
      </c>
      <c r="Z6083" s="5" t="str">
        <f>IFERROR(__xludf.DUMMYFUNCTION("REGEXEXTRACT(J6083, ""[A-Za-z ]+$"")")," min")</f>
        <v> min</v>
      </c>
      <c r="AA6083" s="5" t="str">
        <f>IFERROR(__xludf.DUMMYFUNCTION("IF(REGEXMATCH(Z6083, ""Season""), ""TV Show"", ""Movie"")"),"Movie")</f>
        <v>Movie</v>
      </c>
    </row>
    <row r="6084">
      <c r="A6084" s="1" t="s">
        <v>30692</v>
      </c>
      <c r="B6084" s="1" t="s">
        <v>27</v>
      </c>
      <c r="C6084" s="1" t="s">
        <v>30693</v>
      </c>
      <c r="D6084" s="1" t="s">
        <v>5658</v>
      </c>
      <c r="E6084" s="1" t="s">
        <v>30694</v>
      </c>
      <c r="F6084" s="1" t="s">
        <v>1815</v>
      </c>
      <c r="G6084" s="1" t="s">
        <v>30695</v>
      </c>
      <c r="H6084" s="1">
        <v>2015.0</v>
      </c>
      <c r="I6084" s="1" t="s">
        <v>42</v>
      </c>
      <c r="J6084" s="1" t="s">
        <v>33</v>
      </c>
      <c r="K6084" s="1" t="s">
        <v>128</v>
      </c>
      <c r="L6084" s="1" t="s">
        <v>30696</v>
      </c>
      <c r="M6084" s="2" t="s">
        <v>12</v>
      </c>
      <c r="N6084" s="4">
        <f t="shared" si="1"/>
        <v>42607</v>
      </c>
      <c r="O6084" s="5" t="str">
        <f>IFERROR(__xludf.DUMMYFUNCTION("IF(REGEXMATCH(TRIM(I6084), ""^\d+\s*min""), ""Unclassified"", IF(I6084 = """", ""NR"", I6084))"),"TV-MA")</f>
        <v>TV-MA</v>
      </c>
      <c r="R6084" s="5" t="str">
        <f t="shared" si="2"/>
        <v>Abzurdah</v>
      </c>
      <c r="S6084" s="5" t="str">
        <f>IFERROR(__xludf.DUMMYFUNCTION("""COMPUTED_VALUE"""),"Sarvopari Palakkaran")</f>
        <v>Sarvopari Palakkaran</v>
      </c>
      <c r="V6084" s="5"/>
      <c r="Y6084" s="5" t="str">
        <f>IFERROR(__xludf.DUMMYFUNCTION("REGEXEXTRACT(J6084, ""^\d+"")"),"90")</f>
        <v>90</v>
      </c>
      <c r="Z6084" s="5" t="str">
        <f>IFERROR(__xludf.DUMMYFUNCTION("REGEXEXTRACT(J6084, ""[A-Za-z ]+$"")")," min")</f>
        <v> min</v>
      </c>
      <c r="AA6084" s="5" t="str">
        <f>IFERROR(__xludf.DUMMYFUNCTION("IF(REGEXMATCH(Z6084, ""Season""), ""TV Show"", ""Movie"")"),"Movie")</f>
        <v>Movie</v>
      </c>
    </row>
    <row r="6085">
      <c r="A6085" s="1" t="s">
        <v>30697</v>
      </c>
      <c r="B6085" s="1" t="s">
        <v>27</v>
      </c>
      <c r="C6085" s="1" t="s">
        <v>30698</v>
      </c>
      <c r="D6085" s="1" t="s">
        <v>1314</v>
      </c>
      <c r="E6085" s="1" t="s">
        <v>30699</v>
      </c>
      <c r="F6085" s="1" t="s">
        <v>162</v>
      </c>
      <c r="G6085" s="1" t="s">
        <v>27965</v>
      </c>
      <c r="H6085" s="1">
        <v>2016.0</v>
      </c>
      <c r="I6085" s="1" t="s">
        <v>42</v>
      </c>
      <c r="J6085" s="1" t="s">
        <v>1191</v>
      </c>
      <c r="K6085" s="1" t="s">
        <v>583</v>
      </c>
      <c r="L6085" s="1" t="s">
        <v>30700</v>
      </c>
      <c r="M6085" s="2" t="s">
        <v>12</v>
      </c>
      <c r="N6085" s="4">
        <f t="shared" si="1"/>
        <v>42889</v>
      </c>
      <c r="O6085" s="5" t="str">
        <f>IFERROR(__xludf.DUMMYFUNCTION("IF(REGEXMATCH(TRIM(I6085), ""^\d+\s*min""), ""Unclassified"", IF(I6085 = """", ""NR"", I6085))"),"TV-MA")</f>
        <v>TV-MA</v>
      </c>
      <c r="R6085" s="5" t="str">
        <f t="shared" si="2"/>
        <v>Acapulco La Vida Va</v>
      </c>
      <c r="S6085" s="5" t="str">
        <f>IFERROR(__xludf.DUMMYFUNCTION("""COMPUTED_VALUE"""),"Sas: Rise Of The Black Swan")</f>
        <v>Sas: Rise Of The Black Swan</v>
      </c>
      <c r="V6085" s="5"/>
      <c r="Y6085" s="5" t="str">
        <f>IFERROR(__xludf.DUMMYFUNCTION("REGEXEXTRACT(J6085, ""^\d+"")"),"89")</f>
        <v>89</v>
      </c>
      <c r="Z6085" s="5" t="str">
        <f>IFERROR(__xludf.DUMMYFUNCTION("REGEXEXTRACT(J6085, ""[A-Za-z ]+$"")")," min")</f>
        <v> min</v>
      </c>
      <c r="AA6085" s="5" t="str">
        <f>IFERROR(__xludf.DUMMYFUNCTION("IF(REGEXMATCH(Z6085, ""Season""), ""TV Show"", ""Movie"")"),"Movie")</f>
        <v>Movie</v>
      </c>
    </row>
    <row r="6086">
      <c r="A6086" s="1" t="s">
        <v>30701</v>
      </c>
      <c r="B6086" s="1" t="s">
        <v>27</v>
      </c>
      <c r="C6086" s="1" t="s">
        <v>30702</v>
      </c>
      <c r="D6086" s="1" t="s">
        <v>12098</v>
      </c>
      <c r="E6086" s="1" t="s">
        <v>30703</v>
      </c>
      <c r="F6086" s="1" t="s">
        <v>1106</v>
      </c>
      <c r="G6086" s="1" t="s">
        <v>21360</v>
      </c>
      <c r="H6086" s="1">
        <v>2015.0</v>
      </c>
      <c r="I6086" s="1" t="s">
        <v>42</v>
      </c>
      <c r="J6086" s="1" t="s">
        <v>428</v>
      </c>
      <c r="K6086" s="1" t="s">
        <v>2275</v>
      </c>
      <c r="L6086" s="1" t="s">
        <v>30704</v>
      </c>
      <c r="M6086" s="2" t="s">
        <v>12</v>
      </c>
      <c r="N6086" s="4">
        <f t="shared" si="1"/>
        <v>43556</v>
      </c>
      <c r="O6086" s="5" t="str">
        <f>IFERROR(__xludf.DUMMYFUNCTION("IF(REGEXMATCH(TRIM(I6086), ""^\d+\s*min""), ""Unclassified"", IF(I6086 = """", ""NR"", I6086))"),"TV-MA")</f>
        <v>TV-MA</v>
      </c>
      <c r="R6086" s="5" t="str">
        <f t="shared" si="2"/>
        <v>Across The Line</v>
      </c>
      <c r="S6086" s="5" t="str">
        <f>IFERROR(__xludf.DUMMYFUNCTION("""COMPUTED_VALUE"""),"Sat Shri Akaal England")</f>
        <v>Sat Shri Akaal England</v>
      </c>
      <c r="V6086" s="5"/>
      <c r="Y6086" s="5" t="str">
        <f>IFERROR(__xludf.DUMMYFUNCTION("REGEXEXTRACT(J6086, ""^\d+"")"),"88")</f>
        <v>88</v>
      </c>
      <c r="Z6086" s="5" t="str">
        <f>IFERROR(__xludf.DUMMYFUNCTION("REGEXEXTRACT(J6086, ""[A-Za-z ]+$"")")," min")</f>
        <v> min</v>
      </c>
      <c r="AA6086" s="5" t="str">
        <f>IFERROR(__xludf.DUMMYFUNCTION("IF(REGEXMATCH(Z6086, ""Season""), ""TV Show"", ""Movie"")"),"Movie")</f>
        <v>Movie</v>
      </c>
    </row>
    <row r="6087">
      <c r="A6087" s="1" t="s">
        <v>30705</v>
      </c>
      <c r="B6087" s="1" t="s">
        <v>27</v>
      </c>
      <c r="C6087" s="1" t="s">
        <v>30706</v>
      </c>
      <c r="D6087" s="1" t="s">
        <v>12086</v>
      </c>
      <c r="E6087" s="1" t="s">
        <v>30707</v>
      </c>
      <c r="F6087" s="1" t="s">
        <v>692</v>
      </c>
      <c r="G6087" s="1" t="s">
        <v>22635</v>
      </c>
      <c r="H6087" s="1">
        <v>2007.0</v>
      </c>
      <c r="I6087" s="1" t="s">
        <v>32</v>
      </c>
      <c r="J6087" s="1" t="s">
        <v>1428</v>
      </c>
      <c r="K6087" s="1" t="s">
        <v>3822</v>
      </c>
      <c r="L6087" s="1" t="s">
        <v>30708</v>
      </c>
      <c r="M6087" s="2" t="s">
        <v>12</v>
      </c>
      <c r="N6087" s="4">
        <f t="shared" si="1"/>
        <v>43466</v>
      </c>
      <c r="O6087" s="5" t="str">
        <f>IFERROR(__xludf.DUMMYFUNCTION("IF(REGEXMATCH(TRIM(I6087), ""^\d+\s*min""), ""Unclassified"", IF(I6087 = """", ""NR"", I6087))"),"PG-13")</f>
        <v>PG-13</v>
      </c>
      <c r="R6087" s="5" t="str">
        <f t="shared" si="2"/>
        <v>Across The Universe</v>
      </c>
      <c r="S6087" s="5" t="str">
        <f>IFERROR(__xludf.DUMMYFUNCTION("""COMPUTED_VALUE"""),"Sat Sri Akal")</f>
        <v>Sat Sri Akal</v>
      </c>
      <c r="V6087" s="5"/>
      <c r="Y6087" s="5" t="str">
        <f>IFERROR(__xludf.DUMMYFUNCTION("REGEXEXTRACT(J6087, ""^\d+"")"),"133")</f>
        <v>133</v>
      </c>
      <c r="Z6087" s="5" t="str">
        <f>IFERROR(__xludf.DUMMYFUNCTION("REGEXEXTRACT(J6087, ""[A-Za-z ]+$"")")," min")</f>
        <v> min</v>
      </c>
      <c r="AA6087" s="5" t="str">
        <f>IFERROR(__xludf.DUMMYFUNCTION("IF(REGEXMATCH(Z6087, ""Season""), ""TV Show"", ""Movie"")"),"Movie")</f>
        <v>Movie</v>
      </c>
    </row>
    <row r="6088">
      <c r="A6088" s="1" t="s">
        <v>30709</v>
      </c>
      <c r="B6088" s="1" t="s">
        <v>27</v>
      </c>
      <c r="C6088" s="1" t="s">
        <v>30710</v>
      </c>
      <c r="D6088" s="1" t="s">
        <v>30711</v>
      </c>
      <c r="E6088" s="1" t="s">
        <v>30712</v>
      </c>
      <c r="F6088" s="1" t="s">
        <v>30</v>
      </c>
      <c r="G6088" s="1" t="s">
        <v>13808</v>
      </c>
      <c r="H6088" s="1">
        <v>2012.0</v>
      </c>
      <c r="I6088" s="1" t="s">
        <v>378</v>
      </c>
      <c r="J6088" s="1" t="s">
        <v>297</v>
      </c>
      <c r="K6088" s="1" t="s">
        <v>380</v>
      </c>
      <c r="L6088" s="1" t="s">
        <v>30713</v>
      </c>
      <c r="M6088" s="2" t="s">
        <v>12</v>
      </c>
      <c r="N6088" s="4">
        <f t="shared" si="1"/>
        <v>43983</v>
      </c>
      <c r="O6088" s="5" t="str">
        <f>IFERROR(__xludf.DUMMYFUNCTION("IF(REGEXMATCH(TRIM(I6088), ""^\d+\s*min""), ""Unclassified"", IF(I6088 = """", ""NR"", I6088))"),"R")</f>
        <v>R</v>
      </c>
      <c r="R6088" s="5" t="str">
        <f t="shared" si="2"/>
        <v>Act Of Valor</v>
      </c>
      <c r="S6088" s="5" t="str">
        <f>IFERROR(__xludf.DUMMYFUNCTION("""COMPUTED_VALUE"""),"Satan &amp; Adam")</f>
        <v>Satan &amp; Adam</v>
      </c>
      <c r="V6088" s="5"/>
      <c r="Y6088" s="5" t="str">
        <f>IFERROR(__xludf.DUMMYFUNCTION("REGEXEXTRACT(J6088, ""^\d+"")"),"110")</f>
        <v>110</v>
      </c>
      <c r="Z6088" s="5" t="str">
        <f>IFERROR(__xludf.DUMMYFUNCTION("REGEXEXTRACT(J6088, ""[A-Za-z ]+$"")")," min")</f>
        <v> min</v>
      </c>
      <c r="AA6088" s="5" t="str">
        <f>IFERROR(__xludf.DUMMYFUNCTION("IF(REGEXMATCH(Z6088, ""Season""), ""TV Show"", ""Movie"")"),"Movie")</f>
        <v>Movie</v>
      </c>
    </row>
    <row r="6089">
      <c r="A6089" s="1" t="s">
        <v>30714</v>
      </c>
      <c r="B6089" s="1" t="s">
        <v>27</v>
      </c>
      <c r="C6089" s="1" t="s">
        <v>30715</v>
      </c>
      <c r="D6089" s="1" t="s">
        <v>7169</v>
      </c>
      <c r="E6089" s="1" t="s">
        <v>30716</v>
      </c>
      <c r="F6089" s="1" t="s">
        <v>12418</v>
      </c>
      <c r="G6089" s="1" t="s">
        <v>24447</v>
      </c>
      <c r="H6089" s="1">
        <v>2010.0</v>
      </c>
      <c r="I6089" s="1" t="s">
        <v>30231</v>
      </c>
      <c r="J6089" s="1" t="s">
        <v>1243</v>
      </c>
      <c r="K6089" s="1" t="s">
        <v>1066</v>
      </c>
      <c r="L6089" s="1" t="s">
        <v>30717</v>
      </c>
      <c r="M6089" s="2" t="s">
        <v>12</v>
      </c>
      <c r="N6089" s="4">
        <f t="shared" si="1"/>
        <v>43372</v>
      </c>
      <c r="O6089" s="5" t="str">
        <f>IFERROR(__xludf.DUMMYFUNCTION("IF(REGEXMATCH(TRIM(I6089), ""^\d+\s*min""), ""Unclassified"", IF(I6089 = """", ""NR"", I6089))"),"NR")</f>
        <v>NR</v>
      </c>
      <c r="R6089" s="5" t="str">
        <f t="shared" si="2"/>
        <v>Act Of Vengeance</v>
      </c>
      <c r="S6089" s="5" t="str">
        <f>IFERROR(__xludf.DUMMYFUNCTION("""COMPUTED_VALUE"""),"Satrangi")</f>
        <v>Satrangi</v>
      </c>
      <c r="V6089" s="5"/>
      <c r="Y6089" s="5" t="str">
        <f>IFERROR(__xludf.DUMMYFUNCTION("REGEXEXTRACT(J6089, ""^\d+"")"),"112")</f>
        <v>112</v>
      </c>
      <c r="Z6089" s="5" t="str">
        <f>IFERROR(__xludf.DUMMYFUNCTION("REGEXEXTRACT(J6089, ""[A-Za-z ]+$"")")," min")</f>
        <v> min</v>
      </c>
      <c r="AA6089" s="5" t="str">
        <f>IFERROR(__xludf.DUMMYFUNCTION("IF(REGEXMATCH(Z6089, ""Season""), ""TV Show"", ""Movie"")"),"Movie")</f>
        <v>Movie</v>
      </c>
    </row>
    <row r="6090">
      <c r="A6090" s="1" t="s">
        <v>30718</v>
      </c>
      <c r="B6090" s="1" t="s">
        <v>27</v>
      </c>
      <c r="C6090" s="1" t="s">
        <v>30719</v>
      </c>
      <c r="D6090" s="1" t="s">
        <v>3704</v>
      </c>
      <c r="E6090" s="1" t="s">
        <v>30720</v>
      </c>
      <c r="F6090" s="1" t="s">
        <v>1106</v>
      </c>
      <c r="G6090" s="1" t="s">
        <v>12382</v>
      </c>
      <c r="H6090" s="1">
        <v>2018.0</v>
      </c>
      <c r="I6090" s="1" t="s">
        <v>378</v>
      </c>
      <c r="J6090" s="1" t="s">
        <v>630</v>
      </c>
      <c r="K6090" s="1" t="s">
        <v>380</v>
      </c>
      <c r="L6090" s="1" t="s">
        <v>30721</v>
      </c>
      <c r="M6090" s="2" t="s">
        <v>12</v>
      </c>
      <c r="N6090" s="4">
        <f t="shared" si="1"/>
        <v>44044</v>
      </c>
      <c r="O6090" s="5" t="str">
        <f>IFERROR(__xludf.DUMMYFUNCTION("IF(REGEXMATCH(TRIM(I6090), ""^\d+\s*min""), ""Unclassified"", IF(I6090 = """", ""NR"", I6090))"),"R")</f>
        <v>R</v>
      </c>
      <c r="R6090" s="5" t="str">
        <f t="shared" si="2"/>
        <v>Acts Of Violence</v>
      </c>
      <c r="S6090" s="5" t="str">
        <f>IFERROR(__xludf.DUMMYFUNCTION("""COMPUTED_VALUE"""),"Satrangi Re")</f>
        <v>Satrangi Re</v>
      </c>
      <c r="V6090" s="5"/>
      <c r="Y6090" s="5" t="str">
        <f>IFERROR(__xludf.DUMMYFUNCTION("REGEXEXTRACT(J6090, ""^\d+"")"),"87")</f>
        <v>87</v>
      </c>
      <c r="Z6090" s="5" t="str">
        <f>IFERROR(__xludf.DUMMYFUNCTION("REGEXEXTRACT(J6090, ""[A-Za-z ]+$"")")," min")</f>
        <v> min</v>
      </c>
      <c r="AA6090" s="5" t="str">
        <f>IFERROR(__xludf.DUMMYFUNCTION("IF(REGEXMATCH(Z6090, ""Season""), ""TV Show"", ""Movie"")"),"Movie")</f>
        <v>Movie</v>
      </c>
    </row>
    <row r="6091">
      <c r="A6091" s="1" t="s">
        <v>30722</v>
      </c>
      <c r="B6091" s="1" t="s">
        <v>37</v>
      </c>
      <c r="C6091" s="1" t="s">
        <v>30723</v>
      </c>
      <c r="E6091" s="1" t="s">
        <v>30724</v>
      </c>
      <c r="F6091" s="1" t="s">
        <v>30</v>
      </c>
      <c r="G6091" s="1" t="s">
        <v>24442</v>
      </c>
      <c r="H6091" s="1">
        <v>2018.0</v>
      </c>
      <c r="I6091" s="1" t="s">
        <v>97</v>
      </c>
      <c r="J6091" s="1" t="s">
        <v>51</v>
      </c>
      <c r="K6091" s="1" t="s">
        <v>270</v>
      </c>
      <c r="L6091" s="1" t="s">
        <v>30725</v>
      </c>
      <c r="M6091" s="2" t="s">
        <v>12</v>
      </c>
      <c r="N6091" s="4">
        <f t="shared" si="1"/>
        <v>43373</v>
      </c>
      <c r="O6091" s="5" t="str">
        <f>IFERROR(__xludf.DUMMYFUNCTION("IF(REGEXMATCH(TRIM(I6091), ""^\d+\s*min""), ""Unclassified"", IF(I6091 = """", ""NR"", I6091))"),"TV-14")</f>
        <v>TV-14</v>
      </c>
      <c r="R6091" s="5" t="str">
        <f t="shared" si="2"/>
        <v>Adam Ruins Everything</v>
      </c>
      <c r="S6091" s="5" t="str">
        <f>IFERROR(__xludf.DUMMYFUNCTION("""COMPUTED_VALUE"""),"Satria Heroes: Revenge Of The Darkness")</f>
        <v>Satria Heroes: Revenge Of The Darkness</v>
      </c>
      <c r="V6091" s="5"/>
      <c r="Y6091" s="5" t="str">
        <f>IFERROR(__xludf.DUMMYFUNCTION("REGEXEXTRACT(J6091, ""^\d+"")"),"1")</f>
        <v>1</v>
      </c>
      <c r="Z6091" s="5" t="str">
        <f>IFERROR(__xludf.DUMMYFUNCTION("REGEXEXTRACT(J6091, ""[A-Za-z ]+$"")")," Season")</f>
        <v> Season</v>
      </c>
      <c r="AA6091" s="5" t="str">
        <f>IFERROR(__xludf.DUMMYFUNCTION("IF(REGEXMATCH(Z6091, ""Season""), ""TV Show"", ""Movie"")"),"TV Show")</f>
        <v>TV Show</v>
      </c>
    </row>
    <row r="6092">
      <c r="A6092" s="1" t="s">
        <v>30726</v>
      </c>
      <c r="B6092" s="1" t="s">
        <v>27</v>
      </c>
      <c r="C6092" s="1" t="s">
        <v>30727</v>
      </c>
      <c r="D6092" s="1" t="s">
        <v>22405</v>
      </c>
      <c r="E6092" s="1" t="s">
        <v>30728</v>
      </c>
      <c r="F6092" s="1" t="s">
        <v>664</v>
      </c>
      <c r="G6092" s="1" t="s">
        <v>13543</v>
      </c>
      <c r="H6092" s="1">
        <v>2014.0</v>
      </c>
      <c r="I6092" s="1" t="s">
        <v>97</v>
      </c>
      <c r="J6092" s="1" t="s">
        <v>79</v>
      </c>
      <c r="K6092" s="1" t="s">
        <v>30729</v>
      </c>
      <c r="L6092" s="1" t="s">
        <v>30730</v>
      </c>
      <c r="M6092" s="2" t="s">
        <v>12</v>
      </c>
      <c r="N6092" s="4">
        <f t="shared" si="1"/>
        <v>43994</v>
      </c>
      <c r="O6092" s="5" t="str">
        <f>IFERROR(__xludf.DUMMYFUNCTION("IF(REGEXMATCH(TRIM(I6092), ""^\d+\s*min""), ""Unclassified"", IF(I6092 = """", ""NR"", I6092))"),"TV-14")</f>
        <v>TV-14</v>
      </c>
      <c r="R6092" s="5" t="str">
        <f t="shared" si="2"/>
        <v>Addicted To Life</v>
      </c>
      <c r="S6092" s="5" t="str">
        <f>IFERROR(__xludf.DUMMYFUNCTION("""COMPUTED_VALUE"""),"Satte Pe Satta")</f>
        <v>Satte Pe Satta</v>
      </c>
      <c r="V6092" s="5"/>
      <c r="Y6092" s="5" t="str">
        <f>IFERROR(__xludf.DUMMYFUNCTION("REGEXEXTRACT(J6092, ""^\d+"")"),"91")</f>
        <v>91</v>
      </c>
      <c r="Z6092" s="5" t="str">
        <f>IFERROR(__xludf.DUMMYFUNCTION("REGEXEXTRACT(J6092, ""[A-Za-z ]+$"")")," min")</f>
        <v> min</v>
      </c>
      <c r="AA6092" s="5" t="str">
        <f>IFERROR(__xludf.DUMMYFUNCTION("IF(REGEXMATCH(Z6092, ""Season""), ""TV Show"", ""Movie"")"),"Movie")</f>
        <v>Movie</v>
      </c>
    </row>
    <row r="6093">
      <c r="A6093" s="1" t="s">
        <v>30731</v>
      </c>
      <c r="B6093" s="1" t="s">
        <v>27</v>
      </c>
      <c r="C6093" s="1" t="s">
        <v>30732</v>
      </c>
      <c r="D6093" s="1" t="s">
        <v>2205</v>
      </c>
      <c r="E6093" s="1" t="s">
        <v>30733</v>
      </c>
      <c r="F6093" s="1" t="s">
        <v>30734</v>
      </c>
      <c r="G6093" s="1" t="s">
        <v>17941</v>
      </c>
      <c r="H6093" s="1">
        <v>2013.0</v>
      </c>
      <c r="I6093" s="1" t="s">
        <v>378</v>
      </c>
      <c r="J6093" s="1" t="s">
        <v>264</v>
      </c>
      <c r="K6093" s="1" t="s">
        <v>89</v>
      </c>
      <c r="L6093" s="1" t="s">
        <v>30735</v>
      </c>
      <c r="M6093" s="2" t="s">
        <v>12</v>
      </c>
      <c r="N6093" s="4">
        <f t="shared" si="1"/>
        <v>43789</v>
      </c>
      <c r="O6093" s="5" t="str">
        <f>IFERROR(__xludf.DUMMYFUNCTION("IF(REGEXMATCH(TRIM(I6093), ""^\d+\s*min""), ""Unclassified"", IF(I6093 = """", ""NR"", I6093))"),"R")</f>
        <v>R</v>
      </c>
      <c r="R6093" s="5" t="str">
        <f t="shared" si="2"/>
        <v>Adore</v>
      </c>
      <c r="S6093" s="5" t="str">
        <f>IFERROR(__xludf.DUMMYFUNCTION("""COMPUTED_VALUE"""),"Satu Hari")</f>
        <v>Satu Hari</v>
      </c>
      <c r="V6093" s="5"/>
      <c r="Y6093" s="5" t="str">
        <f>IFERROR(__xludf.DUMMYFUNCTION("REGEXEXTRACT(J6093, ""^\d+"")"),"111")</f>
        <v>111</v>
      </c>
      <c r="Z6093" s="5" t="str">
        <f>IFERROR(__xludf.DUMMYFUNCTION("REGEXEXTRACT(J6093, ""[A-Za-z ]+$"")")," min")</f>
        <v> min</v>
      </c>
      <c r="AA6093" s="5" t="str">
        <f>IFERROR(__xludf.DUMMYFUNCTION("IF(REGEXMATCH(Z6093, ""Season""), ""TV Show"", ""Movie"")"),"Movie")</f>
        <v>Movie</v>
      </c>
    </row>
    <row r="6094">
      <c r="A6094" s="1" t="s">
        <v>30736</v>
      </c>
      <c r="B6094" s="1" t="s">
        <v>27</v>
      </c>
      <c r="C6094" s="1" t="s">
        <v>30737</v>
      </c>
      <c r="D6094" s="1" t="s">
        <v>20330</v>
      </c>
      <c r="E6094" s="1" t="s">
        <v>30738</v>
      </c>
      <c r="F6094" s="1" t="s">
        <v>63</v>
      </c>
      <c r="G6094" s="1" t="s">
        <v>17078</v>
      </c>
      <c r="H6094" s="1">
        <v>2017.0</v>
      </c>
      <c r="I6094" s="1" t="s">
        <v>97</v>
      </c>
      <c r="J6094" s="1" t="s">
        <v>416</v>
      </c>
      <c r="K6094" s="1" t="s">
        <v>1972</v>
      </c>
      <c r="L6094" s="1" t="s">
        <v>30739</v>
      </c>
      <c r="M6094" s="2" t="s">
        <v>12</v>
      </c>
      <c r="N6094" s="4">
        <f t="shared" si="1"/>
        <v>43830</v>
      </c>
      <c r="O6094" s="5" t="str">
        <f>IFERROR(__xludf.DUMMYFUNCTION("IF(REGEXMATCH(TRIM(I6094), ""^\d+\s*min""), ""Unclassified"", IF(I6094 = """", ""NR"", I6094))"),"TV-14")</f>
        <v>TV-14</v>
      </c>
      <c r="R6094" s="5" t="str">
        <f t="shared" si="2"/>
        <v>Adrishya</v>
      </c>
      <c r="S6094" s="5" t="str">
        <f>IFERROR(__xludf.DUMMYFUNCTION("""COMPUTED_VALUE"""),"Saturday Church")</f>
        <v>Saturday Church</v>
      </c>
      <c r="V6094" s="5"/>
      <c r="Y6094" s="5" t="str">
        <f>IFERROR(__xludf.DUMMYFUNCTION("REGEXEXTRACT(J6094, ""^\d+"")"),"99")</f>
        <v>99</v>
      </c>
      <c r="Z6094" s="5" t="str">
        <f>IFERROR(__xludf.DUMMYFUNCTION("REGEXEXTRACT(J6094, ""[A-Za-z ]+$"")")," min")</f>
        <v> min</v>
      </c>
      <c r="AA6094" s="5" t="str">
        <f>IFERROR(__xludf.DUMMYFUNCTION("IF(REGEXMATCH(Z6094, ""Season""), ""TV Show"", ""Movie"")"),"Movie")</f>
        <v>Movie</v>
      </c>
    </row>
    <row r="6095">
      <c r="A6095" s="1" t="s">
        <v>30740</v>
      </c>
      <c r="B6095" s="1" t="s">
        <v>27</v>
      </c>
      <c r="C6095" s="1" t="s">
        <v>30741</v>
      </c>
      <c r="D6095" s="1" t="s">
        <v>13290</v>
      </c>
      <c r="E6095" s="1" t="s">
        <v>30742</v>
      </c>
      <c r="F6095" s="1" t="s">
        <v>1979</v>
      </c>
      <c r="G6095" s="1" t="s">
        <v>24808</v>
      </c>
      <c r="H6095" s="1">
        <v>2018.0</v>
      </c>
      <c r="I6095" s="1" t="s">
        <v>30231</v>
      </c>
      <c r="J6095" s="1" t="s">
        <v>1144</v>
      </c>
      <c r="K6095" s="1" t="s">
        <v>239</v>
      </c>
      <c r="L6095" s="1" t="s">
        <v>30743</v>
      </c>
      <c r="M6095" s="2" t="s">
        <v>12</v>
      </c>
      <c r="N6095" s="4">
        <f t="shared" si="1"/>
        <v>43327</v>
      </c>
      <c r="O6095" s="5" t="str">
        <f>IFERROR(__xludf.DUMMYFUNCTION("IF(REGEXMATCH(TRIM(I6095), ""^\d+\s*min""), ""Unclassified"", IF(I6095 = """", ""NR"", I6095))"),"NR")</f>
        <v>NR</v>
      </c>
      <c r="R6095" s="5" t="str">
        <f t="shared" si="2"/>
        <v>Adventures In Public School</v>
      </c>
      <c r="S6095" s="5" t="str">
        <f>IFERROR(__xludf.DUMMYFUNCTION("""COMPUTED_VALUE"""),"Satyagraha")</f>
        <v>Satyagraha</v>
      </c>
      <c r="V6095" s="5"/>
      <c r="Y6095" s="5" t="str">
        <f>IFERROR(__xludf.DUMMYFUNCTION("REGEXEXTRACT(J6095, ""^\d+"")"),"86")</f>
        <v>86</v>
      </c>
      <c r="Z6095" s="5" t="str">
        <f>IFERROR(__xludf.DUMMYFUNCTION("REGEXEXTRACT(J6095, ""[A-Za-z ]+$"")")," min")</f>
        <v> min</v>
      </c>
      <c r="AA6095" s="5" t="str">
        <f>IFERROR(__xludf.DUMMYFUNCTION("IF(REGEXMATCH(Z6095, ""Season""), ""TV Show"", ""Movie"")"),"Movie")</f>
        <v>Movie</v>
      </c>
    </row>
    <row r="6096">
      <c r="A6096" s="1" t="s">
        <v>30744</v>
      </c>
      <c r="B6096" s="1" t="s">
        <v>37</v>
      </c>
      <c r="C6096" s="1" t="s">
        <v>30745</v>
      </c>
      <c r="E6096" s="1" t="s">
        <v>5968</v>
      </c>
      <c r="F6096" s="1" t="s">
        <v>96</v>
      </c>
      <c r="G6096" s="1" t="s">
        <v>30746</v>
      </c>
      <c r="H6096" s="1">
        <v>2013.0</v>
      </c>
      <c r="I6096" s="1" t="s">
        <v>136</v>
      </c>
      <c r="J6096" s="1" t="s">
        <v>51</v>
      </c>
      <c r="K6096" s="1" t="s">
        <v>544</v>
      </c>
      <c r="L6096" s="1" t="s">
        <v>30747</v>
      </c>
      <c r="M6096" s="2" t="s">
        <v>12</v>
      </c>
      <c r="N6096" s="4">
        <f t="shared" si="1"/>
        <v>42488</v>
      </c>
      <c r="O6096" s="5" t="str">
        <f>IFERROR(__xludf.DUMMYFUNCTION("IF(REGEXMATCH(TRIM(I6096), ""^\d+\s*min""), ""Unclassified"", IF(I6096 = """", ""NR"", I6096))"),"TV-PG")</f>
        <v>TV-PG</v>
      </c>
      <c r="R6096" s="5" t="str">
        <f t="shared" si="2"/>
        <v>Africa</v>
      </c>
      <c r="S6096" s="5" t="str">
        <f>IFERROR(__xludf.DUMMYFUNCTION("""COMPUTED_VALUE"""),"Saudi Arabia Uncovered")</f>
        <v>Saudi Arabia Uncovered</v>
      </c>
      <c r="V6096" s="5"/>
      <c r="Y6096" s="5" t="str">
        <f>IFERROR(__xludf.DUMMYFUNCTION("REGEXEXTRACT(J6096, ""^\d+"")"),"1")</f>
        <v>1</v>
      </c>
      <c r="Z6096" s="5" t="str">
        <f>IFERROR(__xludf.DUMMYFUNCTION("REGEXEXTRACT(J6096, ""[A-Za-z ]+$"")")," Season")</f>
        <v> Season</v>
      </c>
      <c r="AA6096" s="5" t="str">
        <f>IFERROR(__xludf.DUMMYFUNCTION("IF(REGEXMATCH(Z6096, ""Season""), ""TV Show"", ""Movie"")"),"TV Show")</f>
        <v>TV Show</v>
      </c>
    </row>
    <row r="6097">
      <c r="A6097" s="1" t="s">
        <v>30748</v>
      </c>
      <c r="B6097" s="1" t="s">
        <v>27</v>
      </c>
      <c r="C6097" s="1" t="s">
        <v>30749</v>
      </c>
      <c r="D6097" s="1" t="s">
        <v>3967</v>
      </c>
      <c r="F6097" s="1" t="s">
        <v>30</v>
      </c>
      <c r="G6097" s="7">
        <v>43612.0</v>
      </c>
      <c r="H6097" s="1">
        <v>2012.0</v>
      </c>
      <c r="I6097" s="1" t="s">
        <v>30231</v>
      </c>
      <c r="J6097" s="1" t="s">
        <v>454</v>
      </c>
      <c r="K6097" s="1" t="s">
        <v>34</v>
      </c>
      <c r="L6097" s="1" t="s">
        <v>30750</v>
      </c>
      <c r="M6097" s="2" t="s">
        <v>12</v>
      </c>
      <c r="N6097" s="4">
        <f t="shared" si="1"/>
        <v>43612</v>
      </c>
      <c r="O6097" s="5" t="str">
        <f>IFERROR(__xludf.DUMMYFUNCTION("IF(REGEXMATCH(TRIM(I6097), ""^\d+\s*min""), ""Unclassified"", IF(I6097 = """", ""NR"", I6097))"),"NR")</f>
        <v>NR</v>
      </c>
      <c r="R6097" s="5" t="str">
        <f t="shared" si="2"/>
        <v>After Porn Ends</v>
      </c>
      <c r="S6097" s="5" t="str">
        <f>IFERROR(__xludf.DUMMYFUNCTION("""COMPUTED_VALUE"""),"Savage Dog")</f>
        <v>Savage Dog</v>
      </c>
      <c r="V6097" s="5"/>
      <c r="Y6097" s="5" t="str">
        <f>IFERROR(__xludf.DUMMYFUNCTION("REGEXEXTRACT(J6097, ""^\d+"")"),"93")</f>
        <v>93</v>
      </c>
      <c r="Z6097" s="5" t="str">
        <f>IFERROR(__xludf.DUMMYFUNCTION("REGEXEXTRACT(J6097, ""[A-Za-z ]+$"")")," min")</f>
        <v> min</v>
      </c>
      <c r="AA6097" s="5" t="str">
        <f>IFERROR(__xludf.DUMMYFUNCTION("IF(REGEXMATCH(Z6097, ""Season""), ""TV Show"", ""Movie"")"),"Movie")</f>
        <v>Movie</v>
      </c>
    </row>
    <row r="6098">
      <c r="A6098" s="1" t="s">
        <v>30751</v>
      </c>
      <c r="B6098" s="1" t="s">
        <v>27</v>
      </c>
      <c r="C6098" s="1" t="s">
        <v>30752</v>
      </c>
      <c r="D6098" s="1" t="s">
        <v>3872</v>
      </c>
      <c r="F6098" s="1" t="s">
        <v>30</v>
      </c>
      <c r="G6098" s="1" t="s">
        <v>22770</v>
      </c>
      <c r="H6098" s="1">
        <v>2018.0</v>
      </c>
      <c r="I6098" s="1" t="s">
        <v>42</v>
      </c>
      <c r="J6098" s="1" t="s">
        <v>630</v>
      </c>
      <c r="K6098" s="1" t="s">
        <v>34</v>
      </c>
      <c r="L6098" s="1" t="s">
        <v>30753</v>
      </c>
      <c r="M6098" s="2" t="s">
        <v>12</v>
      </c>
      <c r="N6098" s="4">
        <f t="shared" si="1"/>
        <v>43464</v>
      </c>
      <c r="O6098" s="5" t="str">
        <f>IFERROR(__xludf.DUMMYFUNCTION("IF(REGEXMATCH(TRIM(I6098), ""^\d+\s*min""), ""Unclassified"", IF(I6098 = """", ""NR"", I6098))"),"TV-MA")</f>
        <v>TV-MA</v>
      </c>
      <c r="R6098" s="5" t="str">
        <f t="shared" si="2"/>
        <v>After Porn Ends 3</v>
      </c>
      <c r="S6098" s="5" t="str">
        <f>IFERROR(__xludf.DUMMYFUNCTION("""COMPUTED_VALUE"""),"Savage Raghda")</f>
        <v>Savage Raghda</v>
      </c>
      <c r="V6098" s="5"/>
      <c r="Y6098" s="5" t="str">
        <f>IFERROR(__xludf.DUMMYFUNCTION("REGEXEXTRACT(J6098, ""^\d+"")"),"87")</f>
        <v>87</v>
      </c>
      <c r="Z6098" s="5" t="str">
        <f>IFERROR(__xludf.DUMMYFUNCTION("REGEXEXTRACT(J6098, ""[A-Za-z ]+$"")")," min")</f>
        <v> min</v>
      </c>
      <c r="AA6098" s="5" t="str">
        <f>IFERROR(__xludf.DUMMYFUNCTION("IF(REGEXMATCH(Z6098, ""Season""), ""TV Show"", ""Movie"")"),"Movie")</f>
        <v>Movie</v>
      </c>
    </row>
    <row r="6099">
      <c r="A6099" s="1" t="s">
        <v>30754</v>
      </c>
      <c r="B6099" s="1" t="s">
        <v>27</v>
      </c>
      <c r="C6099" s="1" t="s">
        <v>30755</v>
      </c>
      <c r="D6099" s="1" t="s">
        <v>2353</v>
      </c>
      <c r="E6099" s="1" t="s">
        <v>30756</v>
      </c>
      <c r="F6099" s="1" t="s">
        <v>30</v>
      </c>
      <c r="G6099" s="1" t="s">
        <v>12205</v>
      </c>
      <c r="H6099" s="1">
        <v>2008.0</v>
      </c>
      <c r="I6099" s="1" t="s">
        <v>42</v>
      </c>
      <c r="J6099" s="1" t="s">
        <v>1256</v>
      </c>
      <c r="K6099" s="1" t="s">
        <v>1320</v>
      </c>
      <c r="L6099" s="1" t="s">
        <v>30757</v>
      </c>
      <c r="M6099" s="2" t="s">
        <v>12</v>
      </c>
      <c r="N6099" s="4">
        <f t="shared" si="1"/>
        <v>44056</v>
      </c>
      <c r="O6099" s="5" t="str">
        <f>IFERROR(__xludf.DUMMYFUNCTION("IF(REGEXMATCH(TRIM(I6099), ""^\d+\s*min""), ""Unclassified"", IF(I6099 = """", ""NR"", I6099))"),"TV-MA")</f>
        <v>TV-MA</v>
      </c>
      <c r="R6099" s="5" t="str">
        <f t="shared" si="2"/>
        <v>Afterschool</v>
      </c>
      <c r="S6099" s="5" t="str">
        <f>IFERROR(__xludf.DUMMYFUNCTION("""COMPUTED_VALUE"""),"Savages")</f>
        <v>Savages</v>
      </c>
      <c r="V6099" s="5"/>
      <c r="Y6099" s="5" t="str">
        <f>IFERROR(__xludf.DUMMYFUNCTION("REGEXEXTRACT(J6099, ""^\d+"")"),"107")</f>
        <v>107</v>
      </c>
      <c r="Z6099" s="5" t="str">
        <f>IFERROR(__xludf.DUMMYFUNCTION("REGEXEXTRACT(J6099, ""[A-Za-z ]+$"")")," min")</f>
        <v> min</v>
      </c>
      <c r="AA6099" s="5" t="str">
        <f>IFERROR(__xludf.DUMMYFUNCTION("IF(REGEXMATCH(Z6099, ""Season""), ""TV Show"", ""Movie"")"),"Movie")</f>
        <v>Movie</v>
      </c>
    </row>
    <row r="6100">
      <c r="A6100" s="1" t="s">
        <v>30758</v>
      </c>
      <c r="B6100" s="1" t="s">
        <v>27</v>
      </c>
      <c r="C6100" s="1" t="s">
        <v>30759</v>
      </c>
      <c r="D6100" s="1" t="s">
        <v>16866</v>
      </c>
      <c r="E6100" s="1" t="s">
        <v>30760</v>
      </c>
      <c r="F6100" s="1" t="s">
        <v>18009</v>
      </c>
      <c r="G6100" s="1" t="s">
        <v>26054</v>
      </c>
      <c r="H6100" s="1">
        <v>2012.0</v>
      </c>
      <c r="I6100" s="1" t="s">
        <v>378</v>
      </c>
      <c r="J6100" s="1" t="s">
        <v>1191</v>
      </c>
      <c r="K6100" s="1" t="s">
        <v>5165</v>
      </c>
      <c r="L6100" s="1" t="s">
        <v>30761</v>
      </c>
      <c r="M6100" s="2" t="s">
        <v>12</v>
      </c>
      <c r="N6100" s="4">
        <f t="shared" si="1"/>
        <v>43166</v>
      </c>
      <c r="O6100" s="5" t="str">
        <f>IFERROR(__xludf.DUMMYFUNCTION("IF(REGEXMATCH(TRIM(I6100), ""^\d+\s*min""), ""Unclassified"", IF(I6100 = """", ""NR"", I6100))"),"R")</f>
        <v>R</v>
      </c>
      <c r="R6100" s="5" t="str">
        <f t="shared" si="2"/>
        <v>Aftershock</v>
      </c>
      <c r="S6100" s="5" t="str">
        <f>IFERROR(__xludf.DUMMYFUNCTION("""COMPUTED_VALUE"""),"Save Me")</f>
        <v>Save Me</v>
      </c>
      <c r="V6100" s="5"/>
      <c r="Y6100" s="5" t="str">
        <f>IFERROR(__xludf.DUMMYFUNCTION("REGEXEXTRACT(J6100, ""^\d+"")"),"89")</f>
        <v>89</v>
      </c>
      <c r="Z6100" s="5" t="str">
        <f>IFERROR(__xludf.DUMMYFUNCTION("REGEXEXTRACT(J6100, ""[A-Za-z ]+$"")")," min")</f>
        <v> min</v>
      </c>
      <c r="AA6100" s="5" t="str">
        <f>IFERROR(__xludf.DUMMYFUNCTION("IF(REGEXMATCH(Z6100, ""Season""), ""TV Show"", ""Movie"")"),"Movie")</f>
        <v>Movie</v>
      </c>
    </row>
    <row r="6101">
      <c r="A6101" s="1" t="s">
        <v>30762</v>
      </c>
      <c r="B6101" s="1" t="s">
        <v>27</v>
      </c>
      <c r="C6101" s="1" t="s">
        <v>30763</v>
      </c>
      <c r="D6101" s="1" t="s">
        <v>22357</v>
      </c>
      <c r="E6101" s="1" t="s">
        <v>30764</v>
      </c>
      <c r="F6101" s="1" t="s">
        <v>96</v>
      </c>
      <c r="G6101" s="1" t="s">
        <v>22293</v>
      </c>
      <c r="H6101" s="1">
        <v>2018.0</v>
      </c>
      <c r="I6101" s="1" t="s">
        <v>42</v>
      </c>
      <c r="J6101" s="1" t="s">
        <v>665</v>
      </c>
      <c r="K6101" s="1" t="s">
        <v>805</v>
      </c>
      <c r="L6101" s="1" t="s">
        <v>30765</v>
      </c>
      <c r="M6101" s="2" t="s">
        <v>12</v>
      </c>
      <c r="N6101" s="4">
        <f t="shared" si="1"/>
        <v>43496</v>
      </c>
      <c r="O6101" s="5" t="str">
        <f>IFERROR(__xludf.DUMMYFUNCTION("IF(REGEXMATCH(TRIM(I6101), ""^\d+\s*min""), ""Unclassified"", IF(I6101 = """", ""NR"", I6101))"),"TV-MA")</f>
        <v>TV-MA</v>
      </c>
      <c r="R6101" s="5" t="str">
        <f t="shared" si="2"/>
        <v>Agatha And The Truth Of Murder</v>
      </c>
      <c r="S6101" s="5" t="str">
        <f>IFERROR(__xludf.DUMMYFUNCTION("""COMPUTED_VALUE"""),"Save Our Shelter")</f>
        <v>Save Our Shelter</v>
      </c>
      <c r="V6101" s="5"/>
      <c r="Y6101" s="5" t="str">
        <f>IFERROR(__xludf.DUMMYFUNCTION("REGEXEXTRACT(J6101, ""^\d+"")"),"92")</f>
        <v>92</v>
      </c>
      <c r="Z6101" s="5" t="str">
        <f>IFERROR(__xludf.DUMMYFUNCTION("REGEXEXTRACT(J6101, ""[A-Za-z ]+$"")")," min")</f>
        <v> min</v>
      </c>
      <c r="AA6101" s="5" t="str">
        <f>IFERROR(__xludf.DUMMYFUNCTION("IF(REGEXMATCH(Z6101, ""Season""), ""TV Show"", ""Movie"")"),"Movie")</f>
        <v>Movie</v>
      </c>
    </row>
    <row r="6102">
      <c r="A6102" s="1" t="s">
        <v>30766</v>
      </c>
      <c r="B6102" s="1" t="s">
        <v>37</v>
      </c>
      <c r="C6102" s="1" t="s">
        <v>30767</v>
      </c>
      <c r="E6102" s="1" t="s">
        <v>30768</v>
      </c>
      <c r="F6102" s="1" t="s">
        <v>96</v>
      </c>
      <c r="G6102" s="1" t="s">
        <v>19991</v>
      </c>
      <c r="H6102" s="1">
        <v>2017.0</v>
      </c>
      <c r="I6102" s="1" t="s">
        <v>42</v>
      </c>
      <c r="J6102" s="1" t="s">
        <v>51</v>
      </c>
      <c r="K6102" s="1" t="s">
        <v>12020</v>
      </c>
      <c r="L6102" s="1" t="s">
        <v>30769</v>
      </c>
      <c r="M6102" s="2" t="s">
        <v>12</v>
      </c>
      <c r="N6102" s="4">
        <f t="shared" si="1"/>
        <v>43658</v>
      </c>
      <c r="O6102" s="5" t="str">
        <f>IFERROR(__xludf.DUMMYFUNCTION("IF(REGEXMATCH(TRIM(I6102), ""^\d+\s*min""), ""Unclassified"", IF(I6102 = """", ""NR"", I6102))"),"TV-MA")</f>
        <v>TV-MA</v>
      </c>
      <c r="R6102" s="5" t="str">
        <f t="shared" si="2"/>
        <v>Age Gap Love</v>
      </c>
      <c r="S6102" s="5" t="str">
        <f>IFERROR(__xludf.DUMMYFUNCTION("""COMPUTED_VALUE"""),"Saved By The Bell")</f>
        <v>Saved By The Bell</v>
      </c>
      <c r="V6102" s="5"/>
      <c r="Y6102" s="5" t="str">
        <f>IFERROR(__xludf.DUMMYFUNCTION("REGEXEXTRACT(J6102, ""^\d+"")"),"1")</f>
        <v>1</v>
      </c>
      <c r="Z6102" s="5" t="str">
        <f>IFERROR(__xludf.DUMMYFUNCTION("REGEXEXTRACT(J6102, ""[A-Za-z ]+$"")")," Season")</f>
        <v> Season</v>
      </c>
      <c r="AA6102" s="5" t="str">
        <f>IFERROR(__xludf.DUMMYFUNCTION("IF(REGEXMATCH(Z6102, ""Season""), ""TV Show"", ""Movie"")"),"TV Show")</f>
        <v>TV Show</v>
      </c>
    </row>
    <row r="6103">
      <c r="A6103" s="1" t="s">
        <v>30770</v>
      </c>
      <c r="B6103" s="1" t="s">
        <v>37</v>
      </c>
      <c r="C6103" s="1" t="s">
        <v>30771</v>
      </c>
      <c r="E6103" s="1" t="s">
        <v>30772</v>
      </c>
      <c r="G6103" s="1" t="s">
        <v>27488</v>
      </c>
      <c r="H6103" s="1">
        <v>2010.0</v>
      </c>
      <c r="I6103" s="1" t="s">
        <v>42</v>
      </c>
      <c r="J6103" s="1" t="s">
        <v>43</v>
      </c>
      <c r="K6103" s="1" t="s">
        <v>1907</v>
      </c>
      <c r="L6103" s="1" t="s">
        <v>30773</v>
      </c>
      <c r="M6103" s="2" t="s">
        <v>12</v>
      </c>
      <c r="N6103" s="4">
        <f t="shared" si="1"/>
        <v>42961</v>
      </c>
      <c r="O6103" s="5" t="str">
        <f>IFERROR(__xludf.DUMMYFUNCTION("IF(REGEXMATCH(TRIM(I6103), ""^\d+\s*min""), ""Unclassified"", IF(I6103 = """", ""NR"", I6103))"),"TV-MA")</f>
        <v>TV-MA</v>
      </c>
      <c r="R6103" s="5" t="str">
        <f t="shared" si="2"/>
        <v>Age Of Glory</v>
      </c>
      <c r="S6103" s="5" t="str">
        <f>IFERROR(__xludf.DUMMYFUNCTION("""COMPUTED_VALUE"""),"Saverio Raimondo: Il Satiro Parlante")</f>
        <v>Saverio Raimondo: Il Satiro Parlante</v>
      </c>
      <c r="V6103" s="5"/>
      <c r="Y6103" s="5" t="str">
        <f>IFERROR(__xludf.DUMMYFUNCTION("REGEXEXTRACT(J6103, ""^\d+"")"),"2")</f>
        <v>2</v>
      </c>
      <c r="Z6103" s="5" t="str">
        <f>IFERROR(__xludf.DUMMYFUNCTION("REGEXEXTRACT(J6103, ""[A-Za-z ]+$"")")," Seasons")</f>
        <v> Seasons</v>
      </c>
      <c r="AA6103" s="5" t="str">
        <f>IFERROR(__xludf.DUMMYFUNCTION("IF(REGEXMATCH(Z6103, ""Season""), ""TV Show"", ""Movie"")"),"TV Show")</f>
        <v>TV Show</v>
      </c>
    </row>
    <row r="6104">
      <c r="A6104" s="1" t="s">
        <v>30774</v>
      </c>
      <c r="B6104" s="1" t="s">
        <v>37</v>
      </c>
      <c r="C6104" s="1" t="s">
        <v>30775</v>
      </c>
      <c r="E6104" s="1" t="s">
        <v>30776</v>
      </c>
      <c r="F6104" s="1" t="s">
        <v>63</v>
      </c>
      <c r="G6104" s="1" t="s">
        <v>28307</v>
      </c>
      <c r="H6104" s="1">
        <v>2015.0</v>
      </c>
      <c r="I6104" s="1" t="s">
        <v>97</v>
      </c>
      <c r="J6104" s="1" t="s">
        <v>51</v>
      </c>
      <c r="K6104" s="1" t="s">
        <v>52</v>
      </c>
      <c r="L6104" s="1" t="s">
        <v>30777</v>
      </c>
      <c r="M6104" s="2" t="s">
        <v>12</v>
      </c>
      <c r="N6104" s="4">
        <f t="shared" si="1"/>
        <v>42840</v>
      </c>
      <c r="O6104" s="5" t="str">
        <f>IFERROR(__xludf.DUMMYFUNCTION("IF(REGEXMATCH(TRIM(I6104), ""^\d+\s*min""), ""Unclassified"", IF(I6104 = """", ""NR"", I6104))"),"TV-14")</f>
        <v>TV-14</v>
      </c>
      <c r="R6104" s="5" t="str">
        <f t="shared" si="2"/>
        <v>Agent Raghav</v>
      </c>
      <c r="S6104" s="5" t="str">
        <f>IFERROR(__xludf.DUMMYFUNCTION("""COMPUTED_VALUE"""),"Saving Capitalism")</f>
        <v>Saving Capitalism</v>
      </c>
      <c r="V6104" s="5"/>
      <c r="Y6104" s="5" t="str">
        <f>IFERROR(__xludf.DUMMYFUNCTION("REGEXEXTRACT(J6104, ""^\d+"")"),"1")</f>
        <v>1</v>
      </c>
      <c r="Z6104" s="5" t="str">
        <f>IFERROR(__xludf.DUMMYFUNCTION("REGEXEXTRACT(J6104, ""[A-Za-z ]+$"")")," Season")</f>
        <v> Season</v>
      </c>
      <c r="AA6104" s="5" t="str">
        <f>IFERROR(__xludf.DUMMYFUNCTION("IF(REGEXMATCH(Z6104, ""Season""), ""TV Show"", ""Movie"")"),"TV Show")</f>
        <v>TV Show</v>
      </c>
    </row>
    <row r="6105">
      <c r="A6105" s="1" t="s">
        <v>30778</v>
      </c>
      <c r="B6105" s="1" t="s">
        <v>27</v>
      </c>
      <c r="C6105" s="1" t="s">
        <v>30779</v>
      </c>
      <c r="D6105" s="1" t="s">
        <v>21090</v>
      </c>
      <c r="E6105" s="1" t="s">
        <v>30780</v>
      </c>
      <c r="F6105" s="1" t="s">
        <v>63</v>
      </c>
      <c r="G6105" s="1" t="s">
        <v>17078</v>
      </c>
      <c r="H6105" s="1">
        <v>2006.0</v>
      </c>
      <c r="I6105" s="1" t="s">
        <v>97</v>
      </c>
      <c r="J6105" s="1" t="s">
        <v>393</v>
      </c>
      <c r="K6105" s="1" t="s">
        <v>679</v>
      </c>
      <c r="L6105" s="1" t="s">
        <v>30781</v>
      </c>
      <c r="M6105" s="2" t="s">
        <v>12</v>
      </c>
      <c r="N6105" s="4">
        <f t="shared" si="1"/>
        <v>43830</v>
      </c>
      <c r="O6105" s="5" t="str">
        <f>IFERROR(__xludf.DUMMYFUNCTION("IF(REGEXMATCH(TRIM(I6105), ""^\d+\s*min""), ""Unclassified"", IF(I6105 = """", ""NR"", I6105))"),"TV-14")</f>
        <v>TV-14</v>
      </c>
      <c r="R6105" s="5" t="str">
        <f t="shared" si="2"/>
        <v>Ahista Ahista</v>
      </c>
      <c r="S6105" s="5" t="str">
        <f>IFERROR(__xludf.DUMMYFUNCTION("""COMPUTED_VALUE"""),"Saving Mr. Banks")</f>
        <v>Saving Mr. Banks</v>
      </c>
      <c r="V6105" s="5"/>
      <c r="Y6105" s="5" t="str">
        <f>IFERROR(__xludf.DUMMYFUNCTION("REGEXEXTRACT(J6105, ""^\d+"")"),"122")</f>
        <v>122</v>
      </c>
      <c r="Z6105" s="5" t="str">
        <f>IFERROR(__xludf.DUMMYFUNCTION("REGEXEXTRACT(J6105, ""[A-Za-z ]+$"")")," min")</f>
        <v> min</v>
      </c>
      <c r="AA6105" s="5" t="str">
        <f>IFERROR(__xludf.DUMMYFUNCTION("IF(REGEXMATCH(Z6105, ""Season""), ""TV Show"", ""Movie"")"),"Movie")</f>
        <v>Movie</v>
      </c>
    </row>
    <row r="6106">
      <c r="A6106" s="1" t="s">
        <v>30782</v>
      </c>
      <c r="B6106" s="1" t="s">
        <v>27</v>
      </c>
      <c r="C6106" s="1" t="s">
        <v>30783</v>
      </c>
      <c r="D6106" s="1" t="s">
        <v>1431</v>
      </c>
      <c r="E6106" s="1" t="s">
        <v>30784</v>
      </c>
      <c r="F6106" s="1" t="s">
        <v>30</v>
      </c>
      <c r="G6106" s="1" t="s">
        <v>26089</v>
      </c>
      <c r="H6106" s="1">
        <v>2012.0</v>
      </c>
      <c r="I6106" s="1" t="s">
        <v>378</v>
      </c>
      <c r="J6106" s="1" t="s">
        <v>79</v>
      </c>
      <c r="K6106" s="1" t="s">
        <v>34</v>
      </c>
      <c r="L6106" s="1" t="s">
        <v>30785</v>
      </c>
      <c r="M6106" s="2" t="s">
        <v>12</v>
      </c>
      <c r="N6106" s="4">
        <f t="shared" si="1"/>
        <v>43160</v>
      </c>
      <c r="O6106" s="5" t="str">
        <f>IFERROR(__xludf.DUMMYFUNCTION("IF(REGEXMATCH(TRIM(I6106), ""^\d+\s*min""), ""Unclassified"", IF(I6106 = """", ""NR"", I6106))"),"R")</f>
        <v>R</v>
      </c>
      <c r="R6106" s="5" t="str">
        <f t="shared" si="2"/>
        <v>Ai Weiwei: Never Sorry</v>
      </c>
      <c r="S6106" s="5" t="str">
        <f>IFERROR(__xludf.DUMMYFUNCTION("""COMPUTED_VALUE"""),"Saving Zoë")</f>
        <v>Saving Zoë</v>
      </c>
      <c r="V6106" s="5"/>
      <c r="Y6106" s="5" t="str">
        <f>IFERROR(__xludf.DUMMYFUNCTION("REGEXEXTRACT(J6106, ""^\d+"")"),"91")</f>
        <v>91</v>
      </c>
      <c r="Z6106" s="5" t="str">
        <f>IFERROR(__xludf.DUMMYFUNCTION("REGEXEXTRACT(J6106, ""[A-Za-z ]+$"")")," min")</f>
        <v> min</v>
      </c>
      <c r="AA6106" s="5" t="str">
        <f>IFERROR(__xludf.DUMMYFUNCTION("IF(REGEXMATCH(Z6106, ""Season""), ""TV Show"", ""Movie"")"),"Movie")</f>
        <v>Movie</v>
      </c>
    </row>
    <row r="6107">
      <c r="A6107" s="1" t="s">
        <v>30786</v>
      </c>
      <c r="B6107" s="1" t="s">
        <v>37</v>
      </c>
      <c r="C6107" s="1" t="s">
        <v>30787</v>
      </c>
      <c r="E6107" s="1" t="s">
        <v>30788</v>
      </c>
      <c r="F6107" s="1" t="s">
        <v>96</v>
      </c>
      <c r="G6107" s="1" t="s">
        <v>19991</v>
      </c>
      <c r="H6107" s="1">
        <v>2014.0</v>
      </c>
      <c r="I6107" s="1" t="s">
        <v>136</v>
      </c>
      <c r="J6107" s="1" t="s">
        <v>51</v>
      </c>
      <c r="K6107" s="1" t="s">
        <v>544</v>
      </c>
      <c r="L6107" s="1" t="s">
        <v>30789</v>
      </c>
      <c r="M6107" s="2" t="s">
        <v>12</v>
      </c>
      <c r="N6107" s="4">
        <f t="shared" si="1"/>
        <v>43658</v>
      </c>
      <c r="O6107" s="5" t="str">
        <f>IFERROR(__xludf.DUMMYFUNCTION("IF(REGEXMATCH(TRIM(I6107), ""^\d+\s*min""), ""Unclassified"", IF(I6107 = """", ""NR"", I6107))"),"TV-PG")</f>
        <v>TV-PG</v>
      </c>
      <c r="R6107" s="5" t="str">
        <f t="shared" si="2"/>
        <v>Ainsley Eats The Streets</v>
      </c>
      <c r="S6107" s="5" t="str">
        <f>IFERROR(__xludf.DUMMYFUNCTION("""COMPUTED_VALUE"""),"Savita Damodar Paranjpe")</f>
        <v>Savita Damodar Paranjpe</v>
      </c>
      <c r="V6107" s="5"/>
      <c r="Y6107" s="5" t="str">
        <f>IFERROR(__xludf.DUMMYFUNCTION("REGEXEXTRACT(J6107, ""^\d+"")"),"1")</f>
        <v>1</v>
      </c>
      <c r="Z6107" s="5" t="str">
        <f>IFERROR(__xludf.DUMMYFUNCTION("REGEXEXTRACT(J6107, ""[A-Za-z ]+$"")")," Season")</f>
        <v> Season</v>
      </c>
      <c r="AA6107" s="5" t="str">
        <f>IFERROR(__xludf.DUMMYFUNCTION("IF(REGEXMATCH(Z6107, ""Season""), ""TV Show"", ""Movie"")"),"TV Show")</f>
        <v>TV Show</v>
      </c>
    </row>
    <row r="6108">
      <c r="A6108" s="1" t="s">
        <v>30790</v>
      </c>
      <c r="B6108" s="1" t="s">
        <v>27</v>
      </c>
      <c r="C6108" s="1" t="s">
        <v>30791</v>
      </c>
      <c r="D6108" s="1" t="s">
        <v>3473</v>
      </c>
      <c r="E6108" s="1" t="s">
        <v>30792</v>
      </c>
      <c r="F6108" s="1" t="s">
        <v>63</v>
      </c>
      <c r="G6108" s="1" t="s">
        <v>27021</v>
      </c>
      <c r="H6108" s="1">
        <v>2015.0</v>
      </c>
      <c r="I6108" s="1" t="s">
        <v>97</v>
      </c>
      <c r="J6108" s="1" t="s">
        <v>127</v>
      </c>
      <c r="K6108" s="1" t="s">
        <v>89</v>
      </c>
      <c r="L6108" s="1" t="s">
        <v>30793</v>
      </c>
      <c r="M6108" s="2" t="s">
        <v>12</v>
      </c>
      <c r="N6108" s="4">
        <f t="shared" si="1"/>
        <v>43023</v>
      </c>
      <c r="O6108" s="5" t="str">
        <f>IFERROR(__xludf.DUMMYFUNCTION("IF(REGEXMATCH(TRIM(I6108), ""^\d+\s*min""), ""Unclassified"", IF(I6108 = """", ""NR"", I6108))"),"TV-14")</f>
        <v>TV-14</v>
      </c>
      <c r="R6108" s="5" t="str">
        <f t="shared" si="2"/>
        <v>Aisa Yeh Jahaan</v>
      </c>
      <c r="S6108" s="5" t="str">
        <f>IFERROR(__xludf.DUMMYFUNCTION("""COMPUTED_VALUE"""),"Say I Do")</f>
        <v>Say I Do</v>
      </c>
      <c r="V6108" s="5"/>
      <c r="Y6108" s="5" t="str">
        <f>IFERROR(__xludf.DUMMYFUNCTION("REGEXEXTRACT(J6108, ""^\d+"")"),"127")</f>
        <v>127</v>
      </c>
      <c r="Z6108" s="5" t="str">
        <f>IFERROR(__xludf.DUMMYFUNCTION("REGEXEXTRACT(J6108, ""[A-Za-z ]+$"")")," min")</f>
        <v> min</v>
      </c>
      <c r="AA6108" s="5" t="str">
        <f>IFERROR(__xludf.DUMMYFUNCTION("IF(REGEXMATCH(Z6108, ""Season""), ""TV Show"", ""Movie"")"),"Movie")</f>
        <v>Movie</v>
      </c>
    </row>
    <row r="6109">
      <c r="A6109" s="1" t="s">
        <v>30794</v>
      </c>
      <c r="B6109" s="1" t="s">
        <v>27</v>
      </c>
      <c r="C6109" s="1" t="s">
        <v>30795</v>
      </c>
      <c r="D6109" s="1" t="s">
        <v>165</v>
      </c>
      <c r="E6109" s="1" t="s">
        <v>30796</v>
      </c>
      <c r="F6109" s="1" t="s">
        <v>63</v>
      </c>
      <c r="G6109" s="1" t="s">
        <v>26089</v>
      </c>
      <c r="H6109" s="1">
        <v>2004.0</v>
      </c>
      <c r="I6109" s="1" t="s">
        <v>97</v>
      </c>
      <c r="J6109" s="1" t="s">
        <v>22970</v>
      </c>
      <c r="K6109" s="1" t="s">
        <v>4053</v>
      </c>
      <c r="L6109" s="1" t="s">
        <v>30797</v>
      </c>
      <c r="M6109" s="2" t="s">
        <v>12</v>
      </c>
      <c r="N6109" s="4">
        <f t="shared" si="1"/>
        <v>43160</v>
      </c>
      <c r="O6109" s="5" t="str">
        <f>IFERROR(__xludf.DUMMYFUNCTION("IF(REGEXMATCH(TRIM(I6109), ""^\d+\s*min""), ""Unclassified"", IF(I6109 = """", ""NR"", I6109))"),"TV-14")</f>
        <v>TV-14</v>
      </c>
      <c r="R6109" s="5" t="str">
        <f t="shared" si="2"/>
        <v>Aitraaz</v>
      </c>
      <c r="S6109" s="5" t="str">
        <f>IFERROR(__xludf.DUMMYFUNCTION("""COMPUTED_VALUE"""),"Say When")</f>
        <v>Say When</v>
      </c>
      <c r="V6109" s="5"/>
      <c r="Y6109" s="5" t="str">
        <f>IFERROR(__xludf.DUMMYFUNCTION("REGEXEXTRACT(J6109, ""^\d+"")"),"153")</f>
        <v>153</v>
      </c>
      <c r="Z6109" s="5" t="str">
        <f>IFERROR(__xludf.DUMMYFUNCTION("REGEXEXTRACT(J6109, ""[A-Za-z ]+$"")")," min")</f>
        <v> min</v>
      </c>
      <c r="AA6109" s="5" t="str">
        <f>IFERROR(__xludf.DUMMYFUNCTION("IF(REGEXMATCH(Z6109, ""Season""), ""TV Show"", ""Movie"")"),"Movie")</f>
        <v>Movie</v>
      </c>
    </row>
    <row r="6110">
      <c r="A6110" s="1" t="s">
        <v>30798</v>
      </c>
      <c r="B6110" s="1" t="s">
        <v>27</v>
      </c>
      <c r="C6110" s="1" t="s">
        <v>30799</v>
      </c>
      <c r="F6110" s="1" t="s">
        <v>3309</v>
      </c>
      <c r="G6110" s="1" t="s">
        <v>19775</v>
      </c>
      <c r="H6110" s="1">
        <v>2017.0</v>
      </c>
      <c r="I6110" s="1" t="s">
        <v>42</v>
      </c>
      <c r="J6110" s="1" t="s">
        <v>170</v>
      </c>
      <c r="K6110" s="1" t="s">
        <v>199</v>
      </c>
      <c r="L6110" s="1" t="s">
        <v>30800</v>
      </c>
      <c r="M6110" s="2" t="s">
        <v>12</v>
      </c>
      <c r="N6110" s="4">
        <f t="shared" si="1"/>
        <v>43682</v>
      </c>
      <c r="O6110" s="5" t="str">
        <f>IFERROR(__xludf.DUMMYFUNCTION("IF(REGEXMATCH(TRIM(I6110), ""^\d+\s*min""), ""Unclassified"", IF(I6110 = """", ""NR"", I6110))"),"TV-MA")</f>
        <v>TV-MA</v>
      </c>
      <c r="R6110" s="5" t="str">
        <f t="shared" si="2"/>
        <v>Alarmoty In The Land Of Fire</v>
      </c>
      <c r="S6110" s="5" t="str">
        <f>IFERROR(__xludf.DUMMYFUNCTION("""COMPUTED_VALUE"""),"Sayed The Servant")</f>
        <v>Sayed The Servant</v>
      </c>
      <c r="V6110" s="5"/>
      <c r="Y6110" s="5" t="str">
        <f>IFERROR(__xludf.DUMMYFUNCTION("REGEXEXTRACT(J6110, ""^\d+"")"),"94")</f>
        <v>94</v>
      </c>
      <c r="Z6110" s="5" t="str">
        <f>IFERROR(__xludf.DUMMYFUNCTION("REGEXEXTRACT(J6110, ""[A-Za-z ]+$"")")," min")</f>
        <v> min</v>
      </c>
      <c r="AA6110" s="5" t="str">
        <f>IFERROR(__xludf.DUMMYFUNCTION("IF(REGEXMATCH(Z6110, ""Season""), ""TV Show"", ""Movie"")"),"Movie")</f>
        <v>Movie</v>
      </c>
    </row>
    <row r="6111">
      <c r="A6111" s="1" t="s">
        <v>30801</v>
      </c>
      <c r="B6111" s="1" t="s">
        <v>27</v>
      </c>
      <c r="C6111" s="1" t="s">
        <v>30802</v>
      </c>
      <c r="D6111" s="1" t="s">
        <v>4244</v>
      </c>
      <c r="E6111" s="1" t="s">
        <v>30803</v>
      </c>
      <c r="F6111" s="1" t="s">
        <v>4918</v>
      </c>
      <c r="G6111" s="1" t="s">
        <v>27735</v>
      </c>
      <c r="H6111" s="1">
        <v>2016.0</v>
      </c>
      <c r="I6111" s="1" t="s">
        <v>136</v>
      </c>
      <c r="J6111" s="1" t="s">
        <v>256</v>
      </c>
      <c r="K6111" s="1" t="s">
        <v>80</v>
      </c>
      <c r="L6111" s="1" t="s">
        <v>30804</v>
      </c>
      <c r="M6111" s="2" t="s">
        <v>12</v>
      </c>
      <c r="N6111" s="4">
        <f t="shared" si="1"/>
        <v>42917</v>
      </c>
      <c r="O6111" s="5" t="str">
        <f>IFERROR(__xludf.DUMMYFUNCTION("IF(REGEXMATCH(TRIM(I6111), ""^\d+\s*min""), ""Unclassified"", IF(I6111 = """", ""NR"", I6111))"),"TV-PG")</f>
        <v>TV-PG</v>
      </c>
      <c r="R6111" s="5" t="str">
        <f t="shared" si="2"/>
        <v>Albion: The Enchanted Stallion</v>
      </c>
      <c r="S6111" s="5" t="str">
        <f>IFERROR(__xludf.DUMMYFUNCTION("""COMPUTED_VALUE"""),"Scales: Mermaids Are Real")</f>
        <v>Scales: Mermaids Are Real</v>
      </c>
      <c r="V6111" s="5"/>
      <c r="Y6111" s="5" t="str">
        <f>IFERROR(__xludf.DUMMYFUNCTION("REGEXEXTRACT(J6111, ""^\d+"")"),"106")</f>
        <v>106</v>
      </c>
      <c r="Z6111" s="5" t="str">
        <f>IFERROR(__xludf.DUMMYFUNCTION("REGEXEXTRACT(J6111, ""[A-Za-z ]+$"")")," min")</f>
        <v> min</v>
      </c>
      <c r="AA6111" s="5" t="str">
        <f>IFERROR(__xludf.DUMMYFUNCTION("IF(REGEXMATCH(Z6111, ""Season""), ""TV Show"", ""Movie"")"),"Movie")</f>
        <v>Movie</v>
      </c>
    </row>
    <row r="6112">
      <c r="A6112" s="1" t="s">
        <v>30805</v>
      </c>
      <c r="B6112" s="1" t="s">
        <v>27</v>
      </c>
      <c r="C6112" s="1" t="s">
        <v>30806</v>
      </c>
      <c r="D6112" s="1" t="s">
        <v>8425</v>
      </c>
      <c r="E6112" s="1" t="s">
        <v>30807</v>
      </c>
      <c r="F6112" s="1" t="s">
        <v>784</v>
      </c>
      <c r="G6112" s="1" t="s">
        <v>30808</v>
      </c>
      <c r="H6112" s="1">
        <v>2018.0</v>
      </c>
      <c r="I6112" s="1" t="s">
        <v>42</v>
      </c>
      <c r="J6112" s="1" t="s">
        <v>447</v>
      </c>
      <c r="K6112" s="1" t="s">
        <v>2892</v>
      </c>
      <c r="L6112" s="1" t="s">
        <v>30809</v>
      </c>
      <c r="M6112" s="2" t="s">
        <v>12</v>
      </c>
      <c r="N6112" s="4">
        <f t="shared" si="1"/>
        <v>43330</v>
      </c>
      <c r="O6112" s="5" t="str">
        <f>IFERROR(__xludf.DUMMYFUNCTION("IF(REGEXMATCH(TRIM(I6112), ""^\d+\s*min""), ""Unclassified"", IF(I6112 = """", ""NR"", I6112))"),"TV-MA")</f>
        <v>TV-MA</v>
      </c>
      <c r="R6112" s="5" t="str">
        <f t="shared" si="2"/>
        <v>Alejandro Sanz: What I Was Is What I Am</v>
      </c>
      <c r="S6112" s="5" t="str">
        <f>IFERROR(__xludf.DUMMYFUNCTION("""COMPUTED_VALUE"""),"Scams")</f>
        <v>Scams</v>
      </c>
      <c r="V6112" s="5"/>
      <c r="Y6112" s="5" t="str">
        <f>IFERROR(__xludf.DUMMYFUNCTION("REGEXEXTRACT(J6112, ""^\d+"")"),"102")</f>
        <v>102</v>
      </c>
      <c r="Z6112" s="5" t="str">
        <f>IFERROR(__xludf.DUMMYFUNCTION("REGEXEXTRACT(J6112, ""[A-Za-z ]+$"")")," min")</f>
        <v> min</v>
      </c>
      <c r="AA6112" s="5" t="str">
        <f>IFERROR(__xludf.DUMMYFUNCTION("IF(REGEXMATCH(Z6112, ""Season""), ""TV Show"", ""Movie"")"),"Movie")</f>
        <v>Movie</v>
      </c>
    </row>
    <row r="6113">
      <c r="A6113" s="1" t="s">
        <v>30810</v>
      </c>
      <c r="B6113" s="1" t="s">
        <v>27</v>
      </c>
      <c r="C6113" s="1" t="s">
        <v>30811</v>
      </c>
      <c r="D6113" s="1" t="s">
        <v>7998</v>
      </c>
      <c r="E6113" s="1" t="s">
        <v>30812</v>
      </c>
      <c r="F6113" s="1" t="s">
        <v>30</v>
      </c>
      <c r="G6113" s="1" t="s">
        <v>20110</v>
      </c>
      <c r="H6113" s="1">
        <v>1974.0</v>
      </c>
      <c r="I6113" s="1" t="s">
        <v>78</v>
      </c>
      <c r="J6113" s="1" t="s">
        <v>1243</v>
      </c>
      <c r="K6113" s="1" t="s">
        <v>986</v>
      </c>
      <c r="L6113" s="1" t="s">
        <v>30813</v>
      </c>
      <c r="M6113" s="2" t="s">
        <v>12</v>
      </c>
      <c r="N6113" s="4">
        <f t="shared" si="1"/>
        <v>43647</v>
      </c>
      <c r="O6113" s="5" t="str">
        <f>IFERROR(__xludf.DUMMYFUNCTION("IF(REGEXMATCH(TRIM(I6113), ""^\d+\s*min""), ""Unclassified"", IF(I6113 = """", ""NR"", I6113))"),"PG")</f>
        <v>PG</v>
      </c>
      <c r="R6113" s="5" t="str">
        <f t="shared" si="2"/>
        <v>Alice Doesn'T Live Here Anymore</v>
      </c>
      <c r="S6113" s="5" t="str">
        <f>IFERROR(__xludf.DUMMYFUNCTION("""COMPUTED_VALUE"""),"Scandal")</f>
        <v>Scandal</v>
      </c>
      <c r="V6113" s="5"/>
      <c r="Y6113" s="5" t="str">
        <f>IFERROR(__xludf.DUMMYFUNCTION("REGEXEXTRACT(J6113, ""^\d+"")"),"112")</f>
        <v>112</v>
      </c>
      <c r="Z6113" s="5" t="str">
        <f>IFERROR(__xludf.DUMMYFUNCTION("REGEXEXTRACT(J6113, ""[A-Za-z ]+$"")")," min")</f>
        <v> min</v>
      </c>
      <c r="AA6113" s="5" t="str">
        <f>IFERROR(__xludf.DUMMYFUNCTION("IF(REGEXMATCH(Z6113, ""Season""), ""TV Show"", ""Movie"")"),"Movie")</f>
        <v>Movie</v>
      </c>
    </row>
    <row r="6114">
      <c r="A6114" s="1" t="s">
        <v>30814</v>
      </c>
      <c r="B6114" s="1" t="s">
        <v>27</v>
      </c>
      <c r="C6114" s="1" t="s">
        <v>30815</v>
      </c>
      <c r="D6114" s="1" t="s">
        <v>9809</v>
      </c>
      <c r="E6114" s="1" t="s">
        <v>9809</v>
      </c>
      <c r="F6114" s="1" t="s">
        <v>30</v>
      </c>
      <c r="G6114" s="1" t="s">
        <v>26452</v>
      </c>
      <c r="H6114" s="1">
        <v>2017.0</v>
      </c>
      <c r="I6114" s="1" t="s">
        <v>136</v>
      </c>
      <c r="J6114" s="1" t="s">
        <v>919</v>
      </c>
      <c r="K6114" s="1" t="s">
        <v>34</v>
      </c>
      <c r="L6114" s="1" t="s">
        <v>30816</v>
      </c>
      <c r="M6114" s="2" t="s">
        <v>12</v>
      </c>
      <c r="N6114" s="4">
        <f t="shared" si="1"/>
        <v>43109</v>
      </c>
      <c r="O6114" s="5" t="str">
        <f>IFERROR(__xludf.DUMMYFUNCTION("IF(REGEXMATCH(TRIM(I6114), ""^\d+\s*min""), ""Unclassified"", IF(I6114 = """", ""NR"", I6114))"),"TV-PG")</f>
        <v>TV-PG</v>
      </c>
      <c r="R6114" s="5" t="str">
        <f t="shared" si="2"/>
        <v>Alien Contact: Outer Space</v>
      </c>
      <c r="S6114" s="5" t="str">
        <f>IFERROR(__xludf.DUMMYFUNCTION("""COMPUTED_VALUE"""),"Scandal In Sorrento")</f>
        <v>Scandal In Sorrento</v>
      </c>
      <c r="V6114" s="5"/>
      <c r="Y6114" s="5" t="str">
        <f>IFERROR(__xludf.DUMMYFUNCTION("REGEXEXTRACT(J6114, ""^\d+"")"),"63")</f>
        <v>63</v>
      </c>
      <c r="Z6114" s="5" t="str">
        <f>IFERROR(__xludf.DUMMYFUNCTION("REGEXEXTRACT(J6114, ""[A-Za-z ]+$"")")," min")</f>
        <v> min</v>
      </c>
      <c r="AA6114" s="5" t="str">
        <f>IFERROR(__xludf.DUMMYFUNCTION("IF(REGEXMATCH(Z6114, ""Season""), ""TV Show"", ""Movie"")"),"Movie")</f>
        <v>Movie</v>
      </c>
    </row>
    <row r="6115">
      <c r="A6115" s="1" t="s">
        <v>30817</v>
      </c>
      <c r="B6115" s="1" t="s">
        <v>27</v>
      </c>
      <c r="C6115" s="1" t="s">
        <v>30818</v>
      </c>
      <c r="D6115" s="1" t="s">
        <v>5562</v>
      </c>
      <c r="E6115" s="1" t="s">
        <v>30819</v>
      </c>
      <c r="F6115" s="1" t="s">
        <v>30</v>
      </c>
      <c r="G6115" s="1" t="s">
        <v>26060</v>
      </c>
      <c r="H6115" s="1">
        <v>2018.0</v>
      </c>
      <c r="I6115" s="1" t="s">
        <v>78</v>
      </c>
      <c r="J6115" s="1" t="s">
        <v>33</v>
      </c>
      <c r="K6115" s="1" t="s">
        <v>2155</v>
      </c>
      <c r="L6115" s="1" t="s">
        <v>30820</v>
      </c>
      <c r="M6115" s="2" t="s">
        <v>12</v>
      </c>
      <c r="N6115" s="4">
        <f t="shared" si="1"/>
        <v>43165</v>
      </c>
      <c r="O6115" s="5" t="str">
        <f>IFERROR(__xludf.DUMMYFUNCTION("IF(REGEXMATCH(TRIM(I6115), ""^\d+\s*min""), ""Unclassified"", IF(I6115 = """", ""NR"", I6115))"),"PG")</f>
        <v>PG</v>
      </c>
      <c r="R6115" s="5" t="str">
        <f t="shared" si="2"/>
        <v>Aliens Ate My Homework</v>
      </c>
      <c r="S6115" s="5" t="str">
        <f>IFERROR(__xludf.DUMMYFUNCTION("""COMPUTED_VALUE"""),"Scare Tactics")</f>
        <v>Scare Tactics</v>
      </c>
      <c r="V6115" s="5"/>
      <c r="Y6115" s="5" t="str">
        <f>IFERROR(__xludf.DUMMYFUNCTION("REGEXEXTRACT(J6115, ""^\d+"")"),"90")</f>
        <v>90</v>
      </c>
      <c r="Z6115" s="5" t="str">
        <f>IFERROR(__xludf.DUMMYFUNCTION("REGEXEXTRACT(J6115, ""[A-Za-z ]+$"")")," min")</f>
        <v> min</v>
      </c>
      <c r="AA6115" s="5" t="str">
        <f>IFERROR(__xludf.DUMMYFUNCTION("IF(REGEXMATCH(Z6115, ""Season""), ""TV Show"", ""Movie"")"),"Movie")</f>
        <v>Movie</v>
      </c>
    </row>
    <row r="6116">
      <c r="A6116" s="1" t="s">
        <v>30821</v>
      </c>
      <c r="B6116" s="1" t="s">
        <v>27</v>
      </c>
      <c r="C6116" s="1" t="s">
        <v>30822</v>
      </c>
      <c r="D6116" s="1" t="s">
        <v>21965</v>
      </c>
      <c r="F6116" s="1" t="s">
        <v>20343</v>
      </c>
      <c r="G6116" s="1" t="s">
        <v>27507</v>
      </c>
      <c r="H6116" s="1">
        <v>2016.0</v>
      </c>
      <c r="I6116" s="1" t="s">
        <v>97</v>
      </c>
      <c r="J6116" s="1" t="s">
        <v>1191</v>
      </c>
      <c r="K6116" s="1" t="s">
        <v>34</v>
      </c>
      <c r="L6116" s="1" t="s">
        <v>30823</v>
      </c>
      <c r="M6116" s="2" t="s">
        <v>12</v>
      </c>
      <c r="N6116" s="4">
        <f t="shared" si="1"/>
        <v>42957</v>
      </c>
      <c r="O6116" s="5" t="str">
        <f>IFERROR(__xludf.DUMMYFUNCTION("IF(REGEXMATCH(TRIM(I6116), ""^\d+\s*min""), ""Unclassified"", IF(I6116 = """", ""NR"", I6116))"),"TV-14")</f>
        <v>TV-14</v>
      </c>
      <c r="R6116" s="5" t="str">
        <f t="shared" si="2"/>
        <v>Alive And Kicking</v>
      </c>
      <c r="S6116" s="5" t="str">
        <f>IFERROR(__xludf.DUMMYFUNCTION("""COMPUTED_VALUE"""),"Scarecrow")</f>
        <v>Scarecrow</v>
      </c>
      <c r="V6116" s="5"/>
      <c r="Y6116" s="5" t="str">
        <f>IFERROR(__xludf.DUMMYFUNCTION("REGEXEXTRACT(J6116, ""^\d+"")"),"89")</f>
        <v>89</v>
      </c>
      <c r="Z6116" s="5" t="str">
        <f>IFERROR(__xludf.DUMMYFUNCTION("REGEXEXTRACT(J6116, ""[A-Za-z ]+$"")")," min")</f>
        <v> min</v>
      </c>
      <c r="AA6116" s="5" t="str">
        <f>IFERROR(__xludf.DUMMYFUNCTION("IF(REGEXMATCH(Z6116, ""Season""), ""TV Show"", ""Movie"")"),"Movie")</f>
        <v>Movie</v>
      </c>
    </row>
    <row r="6117">
      <c r="A6117" s="1" t="s">
        <v>30824</v>
      </c>
      <c r="B6117" s="1" t="s">
        <v>27</v>
      </c>
      <c r="C6117" s="1" t="s">
        <v>30825</v>
      </c>
      <c r="D6117" s="1" t="s">
        <v>7358</v>
      </c>
      <c r="E6117" s="1" t="s">
        <v>30826</v>
      </c>
      <c r="F6117" s="1" t="s">
        <v>30</v>
      </c>
      <c r="G6117" s="1" t="s">
        <v>30827</v>
      </c>
      <c r="H6117" s="1">
        <v>2018.0</v>
      </c>
      <c r="I6117" s="1" t="s">
        <v>378</v>
      </c>
      <c r="J6117" s="1" t="s">
        <v>1091</v>
      </c>
      <c r="K6117" s="1" t="s">
        <v>836</v>
      </c>
      <c r="L6117" s="1" t="s">
        <v>30828</v>
      </c>
      <c r="M6117" s="2" t="s">
        <v>12</v>
      </c>
      <c r="N6117" s="4">
        <f t="shared" si="1"/>
        <v>43542</v>
      </c>
      <c r="O6117" s="5" t="str">
        <f>IFERROR(__xludf.DUMMYFUNCTION("IF(REGEXMATCH(TRIM(I6117), ""^\d+\s*min""), ""Unclassified"", IF(I6117 = """", ""NR"", I6117))"),"R")</f>
        <v>R</v>
      </c>
      <c r="R6117" s="5" t="str">
        <f t="shared" si="2"/>
        <v>All About Nina</v>
      </c>
      <c r="S6117" s="5" t="str">
        <f>IFERROR(__xludf.DUMMYFUNCTION("""COMPUTED_VALUE"""),"Scary Movie")</f>
        <v>Scary Movie</v>
      </c>
      <c r="V6117" s="5"/>
      <c r="Y6117" s="5" t="str">
        <f>IFERROR(__xludf.DUMMYFUNCTION("REGEXEXTRACT(J6117, ""^\d+"")"),"101")</f>
        <v>101</v>
      </c>
      <c r="Z6117" s="5" t="str">
        <f>IFERROR(__xludf.DUMMYFUNCTION("REGEXEXTRACT(J6117, ""[A-Za-z ]+$"")")," min")</f>
        <v> min</v>
      </c>
      <c r="AA6117" s="5" t="str">
        <f>IFERROR(__xludf.DUMMYFUNCTION("IF(REGEXMATCH(Z6117, ""Season""), ""TV Show"", ""Movie"")"),"Movie")</f>
        <v>Movie</v>
      </c>
    </row>
    <row r="6118">
      <c r="A6118" s="1" t="s">
        <v>30829</v>
      </c>
      <c r="B6118" s="1" t="s">
        <v>27</v>
      </c>
      <c r="C6118" s="1" t="s">
        <v>30830</v>
      </c>
      <c r="D6118" s="1" t="s">
        <v>6602</v>
      </c>
      <c r="E6118" s="1" t="s">
        <v>30831</v>
      </c>
      <c r="F6118" s="1" t="s">
        <v>30832</v>
      </c>
      <c r="G6118" s="1" t="s">
        <v>13808</v>
      </c>
      <c r="H6118" s="1">
        <v>1989.0</v>
      </c>
      <c r="I6118" s="1" t="s">
        <v>770</v>
      </c>
      <c r="J6118" s="1" t="s">
        <v>471</v>
      </c>
      <c r="K6118" s="1" t="s">
        <v>80</v>
      </c>
      <c r="L6118" s="1" t="s">
        <v>30833</v>
      </c>
      <c r="M6118" s="2" t="s">
        <v>12</v>
      </c>
      <c r="N6118" s="4">
        <f t="shared" si="1"/>
        <v>43983</v>
      </c>
      <c r="O6118" s="5" t="str">
        <f>IFERROR(__xludf.DUMMYFUNCTION("IF(REGEXMATCH(TRIM(I6118), ""^\d+\s*min""), ""Unclassified"", IF(I6118 = """", ""NR"", I6118))"),"G")</f>
        <v>G</v>
      </c>
      <c r="R6118" s="5" t="str">
        <f t="shared" si="2"/>
        <v>All Dogs Go To Heaven</v>
      </c>
      <c r="S6118" s="5" t="str">
        <f>IFERROR(__xludf.DUMMYFUNCTION("""COMPUTED_VALUE"""),"Scary Movie 5")</f>
        <v>Scary Movie 5</v>
      </c>
      <c r="V6118" s="5"/>
      <c r="Y6118" s="5" t="str">
        <f>IFERROR(__xludf.DUMMYFUNCTION("REGEXEXTRACT(J6118, ""^\d+"")"),"85")</f>
        <v>85</v>
      </c>
      <c r="Z6118" s="5" t="str">
        <f>IFERROR(__xludf.DUMMYFUNCTION("REGEXEXTRACT(J6118, ""[A-Za-z ]+$"")")," min")</f>
        <v> min</v>
      </c>
      <c r="AA6118" s="5" t="str">
        <f>IFERROR(__xludf.DUMMYFUNCTION("IF(REGEXMATCH(Z6118, ""Season""), ""TV Show"", ""Movie"")"),"Movie")</f>
        <v>Movie</v>
      </c>
    </row>
    <row r="6119">
      <c r="A6119" s="1" t="s">
        <v>30834</v>
      </c>
      <c r="B6119" s="1" t="s">
        <v>27</v>
      </c>
      <c r="C6119" s="1" t="s">
        <v>30835</v>
      </c>
      <c r="D6119" s="1" t="s">
        <v>23206</v>
      </c>
      <c r="E6119" s="1" t="s">
        <v>30836</v>
      </c>
      <c r="F6119" s="1" t="s">
        <v>9423</v>
      </c>
      <c r="G6119" s="1" t="s">
        <v>19832</v>
      </c>
      <c r="H6119" s="1">
        <v>2019.0</v>
      </c>
      <c r="I6119" s="1" t="s">
        <v>42</v>
      </c>
      <c r="J6119" s="1" t="s">
        <v>490</v>
      </c>
      <c r="K6119" s="1" t="s">
        <v>631</v>
      </c>
      <c r="L6119" s="1" t="s">
        <v>30837</v>
      </c>
      <c r="M6119" s="2" t="s">
        <v>12</v>
      </c>
      <c r="N6119" s="4">
        <f t="shared" si="1"/>
        <v>43676</v>
      </c>
      <c r="O6119" s="5" t="str">
        <f>IFERROR(__xludf.DUMMYFUNCTION("IF(REGEXMATCH(TRIM(I6119), ""^\d+\s*min""), ""Unclassified"", IF(I6119 = """", ""NR"", I6119))"),"TV-MA")</f>
        <v>TV-MA</v>
      </c>
      <c r="R6119" s="5" t="str">
        <f t="shared" si="2"/>
        <v>All Good Ones Get Away</v>
      </c>
      <c r="S6119" s="5" t="str">
        <f>IFERROR(__xludf.DUMMYFUNCTION("""COMPUTED_VALUE"""),"Schindler'S List")</f>
        <v>Schindler'S List</v>
      </c>
      <c r="V6119" s="5"/>
      <c r="Y6119" s="5" t="str">
        <f>IFERROR(__xludf.DUMMYFUNCTION("REGEXEXTRACT(J6119, ""^\d+"")"),"83")</f>
        <v>83</v>
      </c>
      <c r="Z6119" s="5" t="str">
        <f>IFERROR(__xludf.DUMMYFUNCTION("REGEXEXTRACT(J6119, ""[A-Za-z ]+$"")")," min")</f>
        <v> min</v>
      </c>
      <c r="AA6119" s="5" t="str">
        <f>IFERROR(__xludf.DUMMYFUNCTION("IF(REGEXMATCH(Z6119, ""Season""), ""TV Show"", ""Movie"")"),"Movie")</f>
        <v>Movie</v>
      </c>
    </row>
    <row r="6120">
      <c r="A6120" s="1" t="s">
        <v>30838</v>
      </c>
      <c r="B6120" s="1" t="s">
        <v>27</v>
      </c>
      <c r="C6120" s="1" t="s">
        <v>30839</v>
      </c>
      <c r="D6120" s="1" t="s">
        <v>4486</v>
      </c>
      <c r="E6120" s="1" t="s">
        <v>30840</v>
      </c>
      <c r="F6120" s="1" t="s">
        <v>30</v>
      </c>
      <c r="G6120" s="1" t="s">
        <v>27569</v>
      </c>
      <c r="H6120" s="1">
        <v>2016.0</v>
      </c>
      <c r="I6120" s="1" t="s">
        <v>506</v>
      </c>
      <c r="J6120" s="1" t="s">
        <v>665</v>
      </c>
      <c r="K6120" s="1" t="s">
        <v>30841</v>
      </c>
      <c r="L6120" s="1" t="s">
        <v>30842</v>
      </c>
      <c r="M6120" s="2" t="s">
        <v>12</v>
      </c>
      <c r="N6120" s="4">
        <f t="shared" si="1"/>
        <v>42948</v>
      </c>
      <c r="O6120" s="5" t="str">
        <f>IFERROR(__xludf.DUMMYFUNCTION("IF(REGEXMATCH(TRIM(I6120), ""^\d+\s*min""), ""Unclassified"", IF(I6120 = """", ""NR"", I6120))"),"TV-G")</f>
        <v>TV-G</v>
      </c>
      <c r="R6120" s="5" t="str">
        <f t="shared" si="2"/>
        <v>All Hallows' Eve</v>
      </c>
      <c r="S6120" s="5" t="str">
        <f>IFERROR(__xludf.DUMMYFUNCTION("""COMPUTED_VALUE"""),"Schitt'S Creek")</f>
        <v>Schitt'S Creek</v>
      </c>
      <c r="V6120" s="5"/>
      <c r="Y6120" s="5" t="str">
        <f>IFERROR(__xludf.DUMMYFUNCTION("REGEXEXTRACT(J6120, ""^\d+"")"),"92")</f>
        <v>92</v>
      </c>
      <c r="Z6120" s="5" t="str">
        <f>IFERROR(__xludf.DUMMYFUNCTION("REGEXEXTRACT(J6120, ""[A-Za-z ]+$"")")," min")</f>
        <v> min</v>
      </c>
      <c r="AA6120" s="5" t="str">
        <f>IFERROR(__xludf.DUMMYFUNCTION("IF(REGEXMATCH(Z6120, ""Season""), ""TV Show"", ""Movie"")"),"Movie")</f>
        <v>Movie</v>
      </c>
    </row>
    <row r="6121">
      <c r="A6121" s="1" t="s">
        <v>30843</v>
      </c>
      <c r="B6121" s="1" t="s">
        <v>27</v>
      </c>
      <c r="C6121" s="1" t="s">
        <v>30844</v>
      </c>
      <c r="D6121" s="1" t="s">
        <v>4655</v>
      </c>
      <c r="E6121" s="1" t="s">
        <v>30845</v>
      </c>
      <c r="F6121" s="1" t="s">
        <v>30</v>
      </c>
      <c r="G6121" s="1" t="s">
        <v>22230</v>
      </c>
      <c r="H6121" s="1">
        <v>2018.0</v>
      </c>
      <c r="I6121" s="1" t="s">
        <v>42</v>
      </c>
      <c r="J6121" s="1" t="s">
        <v>1608</v>
      </c>
      <c r="K6121" s="1" t="s">
        <v>3768</v>
      </c>
      <c r="L6121" s="1" t="s">
        <v>30846</v>
      </c>
      <c r="M6121" s="2" t="s">
        <v>12</v>
      </c>
      <c r="N6121" s="4">
        <f t="shared" si="1"/>
        <v>43498</v>
      </c>
      <c r="O6121" s="5" t="str">
        <f>IFERROR(__xludf.DUMMYFUNCTION("IF(REGEXMATCH(TRIM(I6121), ""^\d+\s*min""), ""Unclassified"", IF(I6121 = """", ""NR"", I6121))"),"TV-MA")</f>
        <v>TV-MA</v>
      </c>
      <c r="R6121" s="5" t="str">
        <f t="shared" si="2"/>
        <v>All Light Will End</v>
      </c>
      <c r="S6121" s="5" t="str">
        <f>IFERROR(__xludf.DUMMYFUNCTION("""COMPUTED_VALUE"""),"School Daze")</f>
        <v>School Daze</v>
      </c>
      <c r="V6121" s="5"/>
      <c r="Y6121" s="5" t="str">
        <f>IFERROR(__xludf.DUMMYFUNCTION("REGEXEXTRACT(J6121, ""^\d+"")"),"84")</f>
        <v>84</v>
      </c>
      <c r="Z6121" s="5" t="str">
        <f>IFERROR(__xludf.DUMMYFUNCTION("REGEXEXTRACT(J6121, ""[A-Za-z ]+$"")")," min")</f>
        <v> min</v>
      </c>
      <c r="AA6121" s="5" t="str">
        <f>IFERROR(__xludf.DUMMYFUNCTION("IF(REGEXMATCH(Z6121, ""Season""), ""TV Show"", ""Movie"")"),"Movie")</f>
        <v>Movie</v>
      </c>
    </row>
    <row r="6122">
      <c r="A6122" s="1" t="s">
        <v>30847</v>
      </c>
      <c r="B6122" s="1" t="s">
        <v>27</v>
      </c>
      <c r="C6122" s="1" t="s">
        <v>30848</v>
      </c>
      <c r="D6122" s="1" t="s">
        <v>11703</v>
      </c>
      <c r="E6122" s="1" t="s">
        <v>30849</v>
      </c>
      <c r="F6122" s="1" t="s">
        <v>30</v>
      </c>
      <c r="G6122" s="1" t="s">
        <v>25166</v>
      </c>
      <c r="H6122" s="1">
        <v>2006.0</v>
      </c>
      <c r="I6122" s="1" t="s">
        <v>378</v>
      </c>
      <c r="J6122" s="1" t="s">
        <v>79</v>
      </c>
      <c r="K6122" s="1" t="s">
        <v>1551</v>
      </c>
      <c r="L6122" s="1" t="s">
        <v>30850</v>
      </c>
      <c r="M6122" s="2" t="s">
        <v>12</v>
      </c>
      <c r="N6122" s="4">
        <f t="shared" si="1"/>
        <v>43284</v>
      </c>
      <c r="O6122" s="5" t="str">
        <f>IFERROR(__xludf.DUMMYFUNCTION("IF(REGEXMATCH(TRIM(I6122), ""^\d+\s*min""), ""Unclassified"", IF(I6122 = """", ""NR"", I6122))"),"R")</f>
        <v>R</v>
      </c>
      <c r="R6122" s="5" t="str">
        <f t="shared" si="2"/>
        <v>All The Boys Love Mandy Lane</v>
      </c>
      <c r="S6122" s="5" t="str">
        <f>IFERROR(__xludf.DUMMYFUNCTION("""COMPUTED_VALUE"""),"School Life")</f>
        <v>School Life</v>
      </c>
      <c r="V6122" s="5"/>
      <c r="Y6122" s="5" t="str">
        <f>IFERROR(__xludf.DUMMYFUNCTION("REGEXEXTRACT(J6122, ""^\d+"")"),"91")</f>
        <v>91</v>
      </c>
      <c r="Z6122" s="5" t="str">
        <f>IFERROR(__xludf.DUMMYFUNCTION("REGEXEXTRACT(J6122, ""[A-Za-z ]+$"")")," min")</f>
        <v> min</v>
      </c>
      <c r="AA6122" s="5" t="str">
        <f>IFERROR(__xludf.DUMMYFUNCTION("IF(REGEXMATCH(Z6122, ""Season""), ""TV Show"", ""Movie"")"),"Movie")</f>
        <v>Movie</v>
      </c>
    </row>
    <row r="6123">
      <c r="A6123" s="1" t="s">
        <v>30851</v>
      </c>
      <c r="B6123" s="1" t="s">
        <v>27</v>
      </c>
      <c r="C6123" s="1" t="s">
        <v>30852</v>
      </c>
      <c r="D6123" s="1" t="s">
        <v>15313</v>
      </c>
      <c r="E6123" s="1" t="s">
        <v>30853</v>
      </c>
      <c r="F6123" s="1" t="s">
        <v>96</v>
      </c>
      <c r="G6123" s="7">
        <v>43600.0</v>
      </c>
      <c r="H6123" s="1">
        <v>2018.0</v>
      </c>
      <c r="I6123" s="1" t="s">
        <v>378</v>
      </c>
      <c r="J6123" s="1" t="s">
        <v>433</v>
      </c>
      <c r="K6123" s="1" t="s">
        <v>380</v>
      </c>
      <c r="L6123" s="1" t="s">
        <v>30854</v>
      </c>
      <c r="M6123" s="2" t="s">
        <v>12</v>
      </c>
      <c r="N6123" s="4">
        <f t="shared" si="1"/>
        <v>43600</v>
      </c>
      <c r="O6123" s="5" t="str">
        <f>IFERROR(__xludf.DUMMYFUNCTION("IF(REGEXMATCH(TRIM(I6123), ""^\d+\s*min""), ""Unclassified"", IF(I6123 = """", ""NR"", I6123))"),"R")</f>
        <v>R</v>
      </c>
      <c r="R6123" s="5" t="str">
        <f t="shared" si="2"/>
        <v>All The Devil'S Men</v>
      </c>
      <c r="S6123" s="5" t="str">
        <f>IFERROR(__xludf.DUMMYFUNCTION("""COMPUTED_VALUE"""),"School Of Rock")</f>
        <v>School Of Rock</v>
      </c>
      <c r="V6123" s="5"/>
      <c r="Y6123" s="5" t="str">
        <f>IFERROR(__xludf.DUMMYFUNCTION("REGEXEXTRACT(J6123, ""^\d+"")"),"100")</f>
        <v>100</v>
      </c>
      <c r="Z6123" s="5" t="str">
        <f>IFERROR(__xludf.DUMMYFUNCTION("REGEXEXTRACT(J6123, ""[A-Za-z ]+$"")")," min")</f>
        <v> min</v>
      </c>
      <c r="AA6123" s="5" t="str">
        <f>IFERROR(__xludf.DUMMYFUNCTION("IF(REGEXMATCH(Z6123, ""Season""), ""TV Show"", ""Movie"")"),"Movie")</f>
        <v>Movie</v>
      </c>
    </row>
    <row r="6124">
      <c r="A6124" s="1" t="s">
        <v>30855</v>
      </c>
      <c r="B6124" s="1" t="s">
        <v>27</v>
      </c>
      <c r="C6124" s="1" t="s">
        <v>30856</v>
      </c>
      <c r="D6124" s="1" t="s">
        <v>23339</v>
      </c>
      <c r="E6124" s="1" t="s">
        <v>30857</v>
      </c>
      <c r="F6124" s="1" t="s">
        <v>30858</v>
      </c>
      <c r="G6124" s="1" t="s">
        <v>22059</v>
      </c>
      <c r="H6124" s="1">
        <v>2016.0</v>
      </c>
      <c r="I6124" s="1" t="s">
        <v>378</v>
      </c>
      <c r="J6124" s="1" t="s">
        <v>238</v>
      </c>
      <c r="K6124" s="1" t="s">
        <v>805</v>
      </c>
      <c r="L6124" s="1" t="s">
        <v>30859</v>
      </c>
      <c r="M6124" s="2" t="s">
        <v>12</v>
      </c>
      <c r="N6124" s="4">
        <f t="shared" si="1"/>
        <v>43511</v>
      </c>
      <c r="O6124" s="5" t="str">
        <f>IFERROR(__xludf.DUMMYFUNCTION("IF(REGEXMATCH(TRIM(I6124), ""^\d+\s*min""), ""Unclassified"", IF(I6124 = """", ""NR"", I6124))"),"R")</f>
        <v>R</v>
      </c>
      <c r="R6124" s="5" t="str">
        <f t="shared" si="2"/>
        <v>Alone In Berlin</v>
      </c>
      <c r="S6124" s="5" t="str">
        <f>IFERROR(__xludf.DUMMYFUNCTION("""COMPUTED_VALUE"""),"Schubert In Love")</f>
        <v>Schubert In Love</v>
      </c>
      <c r="V6124" s="5"/>
      <c r="Y6124" s="5" t="str">
        <f>IFERROR(__xludf.DUMMYFUNCTION("REGEXEXTRACT(J6124, ""^\d+"")"),"103")</f>
        <v>103</v>
      </c>
      <c r="Z6124" s="5" t="str">
        <f>IFERROR(__xludf.DUMMYFUNCTION("REGEXEXTRACT(J6124, ""[A-Za-z ]+$"")")," min")</f>
        <v> min</v>
      </c>
      <c r="AA6124" s="5" t="str">
        <f>IFERROR(__xludf.DUMMYFUNCTION("IF(REGEXMATCH(Z6124, ""Season""), ""TV Show"", ""Movie"")"),"Movie")</f>
        <v>Movie</v>
      </c>
    </row>
    <row r="6125">
      <c r="A6125" s="1" t="s">
        <v>30860</v>
      </c>
      <c r="B6125" s="1" t="s">
        <v>27</v>
      </c>
      <c r="C6125" s="1" t="s">
        <v>30861</v>
      </c>
      <c r="D6125" s="1" t="s">
        <v>13565</v>
      </c>
      <c r="E6125" s="1" t="s">
        <v>30862</v>
      </c>
      <c r="F6125" s="1" t="s">
        <v>3775</v>
      </c>
      <c r="G6125" s="1" t="s">
        <v>18985</v>
      </c>
      <c r="H6125" s="1">
        <v>2001.0</v>
      </c>
      <c r="I6125" s="1" t="s">
        <v>378</v>
      </c>
      <c r="J6125" s="1" t="s">
        <v>238</v>
      </c>
      <c r="K6125" s="1" t="s">
        <v>171</v>
      </c>
      <c r="L6125" s="1" t="s">
        <v>30863</v>
      </c>
      <c r="M6125" s="2" t="s">
        <v>12</v>
      </c>
      <c r="N6125" s="4">
        <f t="shared" si="1"/>
        <v>43739</v>
      </c>
      <c r="O6125" s="5" t="str">
        <f>IFERROR(__xludf.DUMMYFUNCTION("IF(REGEXMATCH(TRIM(I6125), ""^\d+\s*min""), ""Unclassified"", IF(I6125 = """", ""NR"", I6125))"),"R")</f>
        <v>R</v>
      </c>
      <c r="R6125" s="5" t="str">
        <f t="shared" si="2"/>
        <v>Along Came A Spider</v>
      </c>
      <c r="S6125" s="5" t="str">
        <f>IFERROR(__xludf.DUMMYFUNCTION("""COMPUTED_VALUE"""),"Schulz Saves America")</f>
        <v>Schulz Saves America</v>
      </c>
      <c r="V6125" s="5"/>
      <c r="Y6125" s="5" t="str">
        <f>IFERROR(__xludf.DUMMYFUNCTION("REGEXEXTRACT(J6125, ""^\d+"")"),"103")</f>
        <v>103</v>
      </c>
      <c r="Z6125" s="5" t="str">
        <f>IFERROR(__xludf.DUMMYFUNCTION("REGEXEXTRACT(J6125, ""[A-Za-z ]+$"")")," min")</f>
        <v> min</v>
      </c>
      <c r="AA6125" s="5" t="str">
        <f>IFERROR(__xludf.DUMMYFUNCTION("IF(REGEXMATCH(Z6125, ""Season""), ""TV Show"", ""Movie"")"),"Movie")</f>
        <v>Movie</v>
      </c>
    </row>
    <row r="6126">
      <c r="A6126" s="1" t="s">
        <v>30864</v>
      </c>
      <c r="B6126" s="1" t="s">
        <v>27</v>
      </c>
      <c r="C6126" s="1" t="s">
        <v>30865</v>
      </c>
      <c r="D6126" s="1" t="s">
        <v>19201</v>
      </c>
      <c r="E6126" s="1" t="s">
        <v>30866</v>
      </c>
      <c r="F6126" s="1" t="s">
        <v>30</v>
      </c>
      <c r="G6126" s="1" t="s">
        <v>18985</v>
      </c>
      <c r="H6126" s="1">
        <v>2013.0</v>
      </c>
      <c r="I6126" s="1" t="s">
        <v>506</v>
      </c>
      <c r="J6126" s="1" t="s">
        <v>9520</v>
      </c>
      <c r="K6126" s="1" t="s">
        <v>80</v>
      </c>
      <c r="L6126" s="1" t="s">
        <v>30867</v>
      </c>
      <c r="M6126" s="2" t="s">
        <v>12</v>
      </c>
      <c r="N6126" s="4">
        <f t="shared" si="1"/>
        <v>43739</v>
      </c>
      <c r="O6126" s="5" t="str">
        <f>IFERROR(__xludf.DUMMYFUNCTION("IF(REGEXMATCH(TRIM(I6126), ""^\d+\s*min""), ""Unclassified"", IF(I6126 = """", ""NR"", I6126))"),"TV-G")</f>
        <v>TV-G</v>
      </c>
      <c r="R6126" s="5" t="str">
        <f t="shared" si="2"/>
        <v>Alpha And Omega 2: A Howl-Iday Adventure</v>
      </c>
      <c r="S6126" s="5" t="str">
        <f>IFERROR(__xludf.DUMMYFUNCTION("""COMPUTED_VALUE"""),"Schumacher")</f>
        <v>Schumacher</v>
      </c>
      <c r="V6126" s="5"/>
      <c r="Y6126" s="5" t="str">
        <f>IFERROR(__xludf.DUMMYFUNCTION("REGEXEXTRACT(J6126, ""^\d+"")"),"45")</f>
        <v>45</v>
      </c>
      <c r="Z6126" s="5" t="str">
        <f>IFERROR(__xludf.DUMMYFUNCTION("REGEXEXTRACT(J6126, ""[A-Za-z ]+$"")")," min")</f>
        <v> min</v>
      </c>
      <c r="AA6126" s="5" t="str">
        <f>IFERROR(__xludf.DUMMYFUNCTION("IF(REGEXMATCH(Z6126, ""Season""), ""TV Show"", ""Movie"")"),"Movie")</f>
        <v>Movie</v>
      </c>
    </row>
    <row r="6127">
      <c r="A6127" s="1" t="s">
        <v>30868</v>
      </c>
      <c r="B6127" s="1" t="s">
        <v>27</v>
      </c>
      <c r="C6127" s="1" t="s">
        <v>30869</v>
      </c>
      <c r="D6127" s="1" t="s">
        <v>19201</v>
      </c>
      <c r="E6127" s="1" t="s">
        <v>30870</v>
      </c>
      <c r="F6127" s="1" t="s">
        <v>4497</v>
      </c>
      <c r="G6127" s="1" t="s">
        <v>16947</v>
      </c>
      <c r="H6127" s="1">
        <v>2014.0</v>
      </c>
      <c r="I6127" s="1" t="s">
        <v>289</v>
      </c>
      <c r="J6127" s="1" t="s">
        <v>9520</v>
      </c>
      <c r="K6127" s="1" t="s">
        <v>80</v>
      </c>
      <c r="L6127" s="1" t="s">
        <v>30871</v>
      </c>
      <c r="M6127" s="2" t="s">
        <v>12</v>
      </c>
      <c r="N6127" s="4">
        <f t="shared" si="1"/>
        <v>43831</v>
      </c>
      <c r="O6127" s="5" t="str">
        <f>IFERROR(__xludf.DUMMYFUNCTION("IF(REGEXMATCH(TRIM(I6127), ""^\d+\s*min""), ""Unclassified"", IF(I6127 = """", ""NR"", I6127))"),"TV-Y7")</f>
        <v>TV-Y7</v>
      </c>
      <c r="R6127" s="5" t="str">
        <f t="shared" si="2"/>
        <v>Alpha And Omega: The Legend Of The Saw Tooth Cave</v>
      </c>
      <c r="S6127" s="5" t="str">
        <f>IFERROR(__xludf.DUMMYFUNCTION("""COMPUTED_VALUE"""),"Scissor Seven")</f>
        <v>Scissor Seven</v>
      </c>
      <c r="V6127" s="5"/>
      <c r="Y6127" s="5" t="str">
        <f>IFERROR(__xludf.DUMMYFUNCTION("REGEXEXTRACT(J6127, ""^\d+"")"),"45")</f>
        <v>45</v>
      </c>
      <c r="Z6127" s="5" t="str">
        <f>IFERROR(__xludf.DUMMYFUNCTION("REGEXEXTRACT(J6127, ""[A-Za-z ]+$"")")," min")</f>
        <v> min</v>
      </c>
      <c r="AA6127" s="5" t="str">
        <f>IFERROR(__xludf.DUMMYFUNCTION("IF(REGEXMATCH(Z6127, ""Season""), ""TV Show"", ""Movie"")"),"Movie")</f>
        <v>Movie</v>
      </c>
    </row>
    <row r="6128">
      <c r="A6128" s="1" t="s">
        <v>30872</v>
      </c>
      <c r="B6128" s="1" t="s">
        <v>37</v>
      </c>
      <c r="C6128" s="1" t="s">
        <v>30873</v>
      </c>
      <c r="E6128" s="1" t="s">
        <v>30874</v>
      </c>
      <c r="F6128" s="1" t="s">
        <v>96</v>
      </c>
      <c r="G6128" s="7">
        <v>43976.0</v>
      </c>
      <c r="H6128" s="1">
        <v>2014.0</v>
      </c>
      <c r="I6128" s="1" t="s">
        <v>206</v>
      </c>
      <c r="J6128" s="1" t="s">
        <v>189</v>
      </c>
      <c r="K6128" s="1" t="s">
        <v>290</v>
      </c>
      <c r="L6128" s="1" t="s">
        <v>30875</v>
      </c>
      <c r="M6128" s="2" t="s">
        <v>12</v>
      </c>
      <c r="N6128" s="4">
        <f t="shared" si="1"/>
        <v>43976</v>
      </c>
      <c r="O6128" s="5" t="str">
        <f>IFERROR(__xludf.DUMMYFUNCTION("IF(REGEXMATCH(TRIM(I6128), ""^\d+\s*min""), ""Unclassified"", IF(I6128 = """", ""NR"", I6128))"),"TV-Y")</f>
        <v>TV-Y</v>
      </c>
      <c r="R6128" s="5" t="str">
        <f t="shared" si="2"/>
        <v>Alphablocks</v>
      </c>
      <c r="S6128" s="5" t="str">
        <f>IFERROR(__xludf.DUMMYFUNCTION("""COMPUTED_VALUE"""),"Scooby-Doo On Zombie Island")</f>
        <v>Scooby-Doo On Zombie Island</v>
      </c>
      <c r="V6128" s="5"/>
      <c r="Y6128" s="5" t="str">
        <f>IFERROR(__xludf.DUMMYFUNCTION("REGEXEXTRACT(J6128, ""^\d+"")"),"5")</f>
        <v>5</v>
      </c>
      <c r="Z6128" s="5" t="str">
        <f>IFERROR(__xludf.DUMMYFUNCTION("REGEXEXTRACT(J6128, ""[A-Za-z ]+$"")")," Seasons")</f>
        <v> Seasons</v>
      </c>
      <c r="AA6128" s="5" t="str">
        <f>IFERROR(__xludf.DUMMYFUNCTION("IF(REGEXMATCH(Z6128, ""Season""), ""TV Show"", ""Movie"")"),"TV Show")</f>
        <v>TV Show</v>
      </c>
    </row>
    <row r="6129">
      <c r="A6129" s="1" t="s">
        <v>30876</v>
      </c>
      <c r="B6129" s="1" t="s">
        <v>27</v>
      </c>
      <c r="C6129" s="1" t="s">
        <v>30877</v>
      </c>
      <c r="D6129" s="1" t="s">
        <v>8659</v>
      </c>
      <c r="F6129" s="1" t="s">
        <v>30</v>
      </c>
      <c r="G6129" s="1" t="s">
        <v>26481</v>
      </c>
      <c r="H6129" s="1">
        <v>2017.0</v>
      </c>
      <c r="I6129" s="1" t="s">
        <v>506</v>
      </c>
      <c r="J6129" s="1" t="s">
        <v>33</v>
      </c>
      <c r="K6129" s="1" t="s">
        <v>34</v>
      </c>
      <c r="L6129" s="1" t="s">
        <v>30878</v>
      </c>
      <c r="M6129" s="2" t="s">
        <v>12</v>
      </c>
      <c r="N6129" s="4">
        <f t="shared" si="1"/>
        <v>43101</v>
      </c>
      <c r="O6129" s="5" t="str">
        <f>IFERROR(__xludf.DUMMYFUNCTION("IF(REGEXMATCH(TRIM(I6129), ""^\d+\s*min""), ""Unclassified"", IF(I6129 = """", ""NR"", I6129))"),"TV-G")</f>
        <v>TV-G</v>
      </c>
      <c r="R6129" s="5" t="str">
        <f t="shared" si="2"/>
        <v>Alphago</v>
      </c>
      <c r="S6129" s="5" t="str">
        <f>IFERROR(__xludf.DUMMYFUNCTION("""COMPUTED_VALUE"""),"Scooby-Doo!: Mystery Incorporated")</f>
        <v>Scooby-Doo!: Mystery Incorporated</v>
      </c>
      <c r="V6129" s="5"/>
      <c r="Y6129" s="5" t="str">
        <f>IFERROR(__xludf.DUMMYFUNCTION("REGEXEXTRACT(J6129, ""^\d+"")"),"90")</f>
        <v>90</v>
      </c>
      <c r="Z6129" s="5" t="str">
        <f>IFERROR(__xludf.DUMMYFUNCTION("REGEXEXTRACT(J6129, ""[A-Za-z ]+$"")")," min")</f>
        <v> min</v>
      </c>
      <c r="AA6129" s="5" t="str">
        <f>IFERROR(__xludf.DUMMYFUNCTION("IF(REGEXMATCH(Z6129, ""Season""), ""TV Show"", ""Movie"")"),"Movie")</f>
        <v>Movie</v>
      </c>
    </row>
    <row r="6130">
      <c r="A6130" s="1" t="s">
        <v>30879</v>
      </c>
      <c r="B6130" s="1" t="s">
        <v>27</v>
      </c>
      <c r="C6130" s="1" t="s">
        <v>30880</v>
      </c>
      <c r="D6130" s="1" t="s">
        <v>22919</v>
      </c>
      <c r="E6130" s="1" t="s">
        <v>30881</v>
      </c>
      <c r="F6130" s="1" t="s">
        <v>30</v>
      </c>
      <c r="G6130" s="1" t="s">
        <v>15905</v>
      </c>
      <c r="H6130" s="1">
        <v>2019.0</v>
      </c>
      <c r="I6130" s="1" t="s">
        <v>97</v>
      </c>
      <c r="J6130" s="1" t="s">
        <v>357</v>
      </c>
      <c r="K6130" s="1" t="s">
        <v>813</v>
      </c>
      <c r="L6130" s="1" t="s">
        <v>30882</v>
      </c>
      <c r="M6130" s="2" t="s">
        <v>12</v>
      </c>
      <c r="N6130" s="4">
        <f t="shared" si="1"/>
        <v>43893</v>
      </c>
      <c r="O6130" s="5" t="str">
        <f>IFERROR(__xludf.DUMMYFUNCTION("IF(REGEXMATCH(TRIM(I6130), ""^\d+\s*min""), ""Unclassified"", IF(I6130 = """", ""NR"", I6130))"),"TV-14")</f>
        <v>TV-14</v>
      </c>
      <c r="R6130" s="5" t="str">
        <f t="shared" si="2"/>
        <v>Always A Bridesmaid</v>
      </c>
      <c r="S6130" s="5" t="str">
        <f>IFERROR(__xludf.DUMMYFUNCTION("""COMPUTED_VALUE"""),"Scorpion King 5: Book Of Souls")</f>
        <v>Scorpion King 5: Book Of Souls</v>
      </c>
      <c r="V6130" s="5"/>
      <c r="Y6130" s="5" t="str">
        <f>IFERROR(__xludf.DUMMYFUNCTION("REGEXEXTRACT(J6130, ""^\d+"")"),"98")</f>
        <v>98</v>
      </c>
      <c r="Z6130" s="5" t="str">
        <f>IFERROR(__xludf.DUMMYFUNCTION("REGEXEXTRACT(J6130, ""[A-Za-z ]+$"")")," min")</f>
        <v> min</v>
      </c>
      <c r="AA6130" s="5" t="str">
        <f>IFERROR(__xludf.DUMMYFUNCTION("IF(REGEXMATCH(Z6130, ""Season""), ""TV Show"", ""Movie"")"),"Movie")</f>
        <v>Movie</v>
      </c>
    </row>
    <row r="6131">
      <c r="A6131" s="1" t="s">
        <v>30883</v>
      </c>
      <c r="B6131" s="1" t="s">
        <v>27</v>
      </c>
      <c r="C6131" s="1" t="s">
        <v>30884</v>
      </c>
      <c r="D6131" s="1" t="s">
        <v>2730</v>
      </c>
      <c r="E6131" s="1" t="s">
        <v>30885</v>
      </c>
      <c r="F6131" s="1" t="s">
        <v>96</v>
      </c>
      <c r="G6131" s="1" t="s">
        <v>27880</v>
      </c>
      <c r="H6131" s="1">
        <v>2015.0</v>
      </c>
      <c r="I6131" s="1" t="s">
        <v>42</v>
      </c>
      <c r="J6131" s="1" t="s">
        <v>665</v>
      </c>
      <c r="K6131" s="1" t="s">
        <v>583</v>
      </c>
      <c r="L6131" s="1" t="s">
        <v>30886</v>
      </c>
      <c r="M6131" s="2" t="s">
        <v>12</v>
      </c>
      <c r="N6131" s="4">
        <f t="shared" si="1"/>
        <v>42906</v>
      </c>
      <c r="O6131" s="5" t="str">
        <f>IFERROR(__xludf.DUMMYFUNCTION("IF(REGEXMATCH(TRIM(I6131), ""^\d+\s*min""), ""Unclassified"", IF(I6131 = """", ""NR"", I6131))"),"TV-MA")</f>
        <v>TV-MA</v>
      </c>
      <c r="R6131" s="5" t="str">
        <f t="shared" si="2"/>
        <v>Amar Akbar &amp; Tony</v>
      </c>
      <c r="S6131" s="5" t="str">
        <f>IFERROR(__xludf.DUMMYFUNCTION("""COMPUTED_VALUE"""),"Scott Pilgrim Vs. The World")</f>
        <v>Scott Pilgrim Vs. The World</v>
      </c>
      <c r="V6131" s="5"/>
      <c r="Y6131" s="5" t="str">
        <f>IFERROR(__xludf.DUMMYFUNCTION("REGEXEXTRACT(J6131, ""^\d+"")"),"92")</f>
        <v>92</v>
      </c>
      <c r="Z6131" s="5" t="str">
        <f>IFERROR(__xludf.DUMMYFUNCTION("REGEXEXTRACT(J6131, ""[A-Za-z ]+$"")")," min")</f>
        <v> min</v>
      </c>
      <c r="AA6131" s="5" t="str">
        <f>IFERROR(__xludf.DUMMYFUNCTION("IF(REGEXMATCH(Z6131, ""Season""), ""TV Show"", ""Movie"")"),"Movie")</f>
        <v>Movie</v>
      </c>
    </row>
    <row r="6132">
      <c r="A6132" s="1" t="s">
        <v>30887</v>
      </c>
      <c r="B6132" s="1" t="s">
        <v>27</v>
      </c>
      <c r="C6132" s="1" t="s">
        <v>30888</v>
      </c>
      <c r="D6132" s="1" t="s">
        <v>14475</v>
      </c>
      <c r="E6132" s="1" t="s">
        <v>30889</v>
      </c>
      <c r="F6132" s="1" t="s">
        <v>63</v>
      </c>
      <c r="G6132" s="1" t="s">
        <v>17078</v>
      </c>
      <c r="H6132" s="1">
        <v>1977.0</v>
      </c>
      <c r="I6132" s="1" t="s">
        <v>97</v>
      </c>
      <c r="J6132" s="1" t="s">
        <v>15335</v>
      </c>
      <c r="K6132" s="1" t="s">
        <v>3604</v>
      </c>
      <c r="L6132" s="1" t="s">
        <v>30890</v>
      </c>
      <c r="M6132" s="2" t="s">
        <v>12</v>
      </c>
      <c r="N6132" s="4">
        <f t="shared" si="1"/>
        <v>43830</v>
      </c>
      <c r="O6132" s="5" t="str">
        <f>IFERROR(__xludf.DUMMYFUNCTION("IF(REGEXMATCH(TRIM(I6132), ""^\d+\s*min""), ""Unclassified"", IF(I6132 = """", ""NR"", I6132))"),"TV-14")</f>
        <v>TV-14</v>
      </c>
      <c r="R6132" s="5" t="str">
        <f t="shared" si="2"/>
        <v>Amar Akbar Anthony</v>
      </c>
      <c r="S6132" s="5" t="str">
        <f>IFERROR(__xludf.DUMMYFUNCTION("""COMPUTED_VALUE"""),"Scream")</f>
        <v>Scream</v>
      </c>
      <c r="V6132" s="5"/>
      <c r="Y6132" s="5" t="str">
        <f>IFERROR(__xludf.DUMMYFUNCTION("REGEXEXTRACT(J6132, ""^\d+"")"),"172")</f>
        <v>172</v>
      </c>
      <c r="Z6132" s="5" t="str">
        <f>IFERROR(__xludf.DUMMYFUNCTION("REGEXEXTRACT(J6132, ""[A-Za-z ]+$"")")," min")</f>
        <v> min</v>
      </c>
      <c r="AA6132" s="5" t="str">
        <f>IFERROR(__xludf.DUMMYFUNCTION("IF(REGEXMATCH(Z6132, ""Season""), ""TV Show"", ""Movie"")"),"Movie")</f>
        <v>Movie</v>
      </c>
    </row>
    <row r="6133">
      <c r="A6133" s="1" t="s">
        <v>30891</v>
      </c>
      <c r="B6133" s="1" t="s">
        <v>27</v>
      </c>
      <c r="C6133" s="1" t="s">
        <v>30892</v>
      </c>
      <c r="D6133" s="1" t="s">
        <v>12909</v>
      </c>
      <c r="E6133" s="1" t="s">
        <v>30893</v>
      </c>
      <c r="F6133" s="1" t="s">
        <v>3309</v>
      </c>
      <c r="G6133" s="1" t="s">
        <v>21046</v>
      </c>
      <c r="H6133" s="1">
        <v>2011.0</v>
      </c>
      <c r="I6133" s="1" t="s">
        <v>97</v>
      </c>
      <c r="J6133" s="1" t="s">
        <v>88</v>
      </c>
      <c r="K6133" s="1" t="s">
        <v>128</v>
      </c>
      <c r="L6133" s="1" t="s">
        <v>30894</v>
      </c>
      <c r="M6133" s="2" t="s">
        <v>12</v>
      </c>
      <c r="N6133" s="4">
        <f t="shared" si="1"/>
        <v>43581</v>
      </c>
      <c r="O6133" s="5" t="str">
        <f>IFERROR(__xludf.DUMMYFUNCTION("IF(REGEXMATCH(TRIM(I6133), ""^\d+\s*min""), ""Unclassified"", IF(I6133 = """", ""NR"", I6133))"),"TV-14")</f>
        <v>TV-14</v>
      </c>
      <c r="R6133" s="5" t="str">
        <f t="shared" si="2"/>
        <v>Amar'S Hands</v>
      </c>
      <c r="S6133" s="5" t="str">
        <f>IFERROR(__xludf.DUMMYFUNCTION("""COMPUTED_VALUE"""),"Scream 2")</f>
        <v>Scream 2</v>
      </c>
      <c r="V6133" s="5"/>
      <c r="Y6133" s="5" t="str">
        <f>IFERROR(__xludf.DUMMYFUNCTION("REGEXEXTRACT(J6133, ""^\d+"")"),"125")</f>
        <v>125</v>
      </c>
      <c r="Z6133" s="5" t="str">
        <f>IFERROR(__xludf.DUMMYFUNCTION("REGEXEXTRACT(J6133, ""[A-Za-z ]+$"")")," min")</f>
        <v> min</v>
      </c>
      <c r="AA6133" s="5" t="str">
        <f>IFERROR(__xludf.DUMMYFUNCTION("IF(REGEXMATCH(Z6133, ""Season""), ""TV Show"", ""Movie"")"),"Movie")</f>
        <v>Movie</v>
      </c>
    </row>
    <row r="6134">
      <c r="A6134" s="1" t="s">
        <v>30895</v>
      </c>
      <c r="B6134" s="1" t="s">
        <v>37</v>
      </c>
      <c r="C6134" s="1" t="s">
        <v>30896</v>
      </c>
      <c r="E6134" s="1" t="s">
        <v>30897</v>
      </c>
      <c r="F6134" s="1" t="s">
        <v>30</v>
      </c>
      <c r="G6134" s="1" t="s">
        <v>19237</v>
      </c>
      <c r="H6134" s="1">
        <v>2014.0</v>
      </c>
      <c r="I6134" s="1" t="s">
        <v>97</v>
      </c>
      <c r="J6134" s="1" t="s">
        <v>51</v>
      </c>
      <c r="K6134" s="1" t="s">
        <v>1261</v>
      </c>
      <c r="L6134" s="1" t="s">
        <v>30898</v>
      </c>
      <c r="M6134" s="2" t="s">
        <v>12</v>
      </c>
      <c r="N6134" s="4">
        <f t="shared" si="1"/>
        <v>43723</v>
      </c>
      <c r="O6134" s="5" t="str">
        <f>IFERROR(__xludf.DUMMYFUNCTION("IF(REGEXMATCH(TRIM(I6134), ""^\d+\s*min""), ""Unclassified"", IF(I6134 = """", ""NR"", I6134))"),"TV-14")</f>
        <v>TV-14</v>
      </c>
      <c r="R6134" s="5" t="str">
        <f t="shared" si="2"/>
        <v>America'S Book Of Secrets</v>
      </c>
      <c r="S6134" s="5" t="str">
        <f>IFERROR(__xludf.DUMMYFUNCTION("""COMPUTED_VALUE"""),"Scream 3")</f>
        <v>Scream 3</v>
      </c>
      <c r="V6134" s="5"/>
      <c r="Y6134" s="5" t="str">
        <f>IFERROR(__xludf.DUMMYFUNCTION("REGEXEXTRACT(J6134, ""^\d+"")"),"1")</f>
        <v>1</v>
      </c>
      <c r="Z6134" s="5" t="str">
        <f>IFERROR(__xludf.DUMMYFUNCTION("REGEXEXTRACT(J6134, ""[A-Za-z ]+$"")")," Season")</f>
        <v> Season</v>
      </c>
      <c r="AA6134" s="5" t="str">
        <f>IFERROR(__xludf.DUMMYFUNCTION("IF(REGEXMATCH(Z6134, ""Season""), ""TV Show"", ""Movie"")"),"TV Show")</f>
        <v>TV Show</v>
      </c>
    </row>
    <row r="6135">
      <c r="A6135" s="1" t="s">
        <v>30899</v>
      </c>
      <c r="B6135" s="1" t="s">
        <v>27</v>
      </c>
      <c r="C6135" s="1" t="s">
        <v>30900</v>
      </c>
      <c r="D6135" s="1" t="s">
        <v>4481</v>
      </c>
      <c r="E6135" s="1" t="s">
        <v>30901</v>
      </c>
      <c r="F6135" s="1" t="s">
        <v>30</v>
      </c>
      <c r="G6135" s="1" t="s">
        <v>27862</v>
      </c>
      <c r="H6135" s="1">
        <v>2016.0</v>
      </c>
      <c r="I6135" s="1" t="s">
        <v>42</v>
      </c>
      <c r="J6135" s="1" t="s">
        <v>2452</v>
      </c>
      <c r="K6135" s="1" t="s">
        <v>34</v>
      </c>
      <c r="L6135" s="1" t="s">
        <v>30902</v>
      </c>
      <c r="M6135" s="2" t="s">
        <v>12</v>
      </c>
      <c r="N6135" s="4">
        <f t="shared" si="1"/>
        <v>42909</v>
      </c>
      <c r="O6135" s="5" t="str">
        <f>IFERROR(__xludf.DUMMYFUNCTION("IF(REGEXMATCH(TRIM(I6135), ""^\d+\s*min""), ""Unclassified"", IF(I6135 = """", ""NR"", I6135))"),"TV-MA")</f>
        <v>TV-MA</v>
      </c>
      <c r="R6135" s="5" t="str">
        <f t="shared" si="2"/>
        <v>American Anarchist</v>
      </c>
      <c r="S6135" s="5" t="str">
        <f>IFERROR(__xludf.DUMMYFUNCTION("""COMPUTED_VALUE"""),"Screwball")</f>
        <v>Screwball</v>
      </c>
      <c r="V6135" s="5"/>
      <c r="Y6135" s="5" t="str">
        <f>IFERROR(__xludf.DUMMYFUNCTION("REGEXEXTRACT(J6135, ""^\d+"")"),"81")</f>
        <v>81</v>
      </c>
      <c r="Z6135" s="5" t="str">
        <f>IFERROR(__xludf.DUMMYFUNCTION("REGEXEXTRACT(J6135, ""[A-Za-z ]+$"")")," min")</f>
        <v> min</v>
      </c>
      <c r="AA6135" s="5" t="str">
        <f>IFERROR(__xludf.DUMMYFUNCTION("IF(REGEXMATCH(Z6135, ""Season""), ""TV Show"", ""Movie"")"),"Movie")</f>
        <v>Movie</v>
      </c>
    </row>
    <row r="6136">
      <c r="A6136" s="1" t="s">
        <v>30903</v>
      </c>
      <c r="B6136" s="1" t="s">
        <v>27</v>
      </c>
      <c r="C6136" s="1" t="s">
        <v>30904</v>
      </c>
      <c r="D6136" s="1" t="s">
        <v>15587</v>
      </c>
      <c r="E6136" s="1" t="s">
        <v>30905</v>
      </c>
      <c r="F6136" s="1" t="s">
        <v>30</v>
      </c>
      <c r="G6136" s="1" t="s">
        <v>16532</v>
      </c>
      <c r="H6136" s="1">
        <v>2017.0</v>
      </c>
      <c r="I6136" s="1" t="s">
        <v>378</v>
      </c>
      <c r="J6136" s="1" t="s">
        <v>1243</v>
      </c>
      <c r="K6136" s="1" t="s">
        <v>380</v>
      </c>
      <c r="L6136" s="1" t="s">
        <v>30906</v>
      </c>
      <c r="M6136" s="2" t="s">
        <v>12</v>
      </c>
      <c r="N6136" s="4">
        <f t="shared" si="1"/>
        <v>43861</v>
      </c>
      <c r="O6136" s="5" t="str">
        <f>IFERROR(__xludf.DUMMYFUNCTION("IF(REGEXMATCH(TRIM(I6136), ""^\d+\s*min""), ""Unclassified"", IF(I6136 = """", ""NR"", I6136))"),"R")</f>
        <v>R</v>
      </c>
      <c r="R6136" s="5" t="str">
        <f t="shared" si="2"/>
        <v>American Assassin</v>
      </c>
      <c r="S6136" s="5" t="str">
        <f>IFERROR(__xludf.DUMMYFUNCTION("""COMPUTED_VALUE"""),"Sdu: Sex Duties Unit")</f>
        <v>Sdu: Sex Duties Unit</v>
      </c>
      <c r="V6136" s="5"/>
      <c r="Y6136" s="5" t="str">
        <f>IFERROR(__xludf.DUMMYFUNCTION("REGEXEXTRACT(J6136, ""^\d+"")"),"112")</f>
        <v>112</v>
      </c>
      <c r="Z6136" s="5" t="str">
        <f>IFERROR(__xludf.DUMMYFUNCTION("REGEXEXTRACT(J6136, ""[A-Za-z ]+$"")")," min")</f>
        <v> min</v>
      </c>
      <c r="AA6136" s="5" t="str">
        <f>IFERROR(__xludf.DUMMYFUNCTION("IF(REGEXMATCH(Z6136, ""Season""), ""TV Show"", ""Movie"")"),"Movie")</f>
        <v>Movie</v>
      </c>
    </row>
    <row r="6137">
      <c r="A6137" s="1" t="s">
        <v>30907</v>
      </c>
      <c r="B6137" s="1" t="s">
        <v>27</v>
      </c>
      <c r="C6137" s="1" t="s">
        <v>30908</v>
      </c>
      <c r="D6137" s="1" t="s">
        <v>20203</v>
      </c>
      <c r="E6137" s="1" t="s">
        <v>30909</v>
      </c>
      <c r="F6137" s="1" t="s">
        <v>30</v>
      </c>
      <c r="G6137" s="1" t="s">
        <v>16947</v>
      </c>
      <c r="H6137" s="1">
        <v>1999.0</v>
      </c>
      <c r="I6137" s="1" t="s">
        <v>378</v>
      </c>
      <c r="J6137" s="1" t="s">
        <v>393</v>
      </c>
      <c r="K6137" s="1" t="s">
        <v>805</v>
      </c>
      <c r="L6137" s="1" t="s">
        <v>30910</v>
      </c>
      <c r="M6137" s="2" t="s">
        <v>12</v>
      </c>
      <c r="N6137" s="4">
        <f t="shared" si="1"/>
        <v>43831</v>
      </c>
      <c r="O6137" s="5" t="str">
        <f>IFERROR(__xludf.DUMMYFUNCTION("IF(REGEXMATCH(TRIM(I6137), ""^\d+\s*min""), ""Unclassified"", IF(I6137 = """", ""NR"", I6137))"),"R")</f>
        <v>R</v>
      </c>
      <c r="R6137" s="5" t="str">
        <f t="shared" si="2"/>
        <v>American Beauty</v>
      </c>
      <c r="S6137" s="5" t="str">
        <f>IFERROR(__xludf.DUMMYFUNCTION("""COMPUTED_VALUE"""),"Seabiscuit")</f>
        <v>Seabiscuit</v>
      </c>
      <c r="V6137" s="5"/>
      <c r="Y6137" s="5" t="str">
        <f>IFERROR(__xludf.DUMMYFUNCTION("REGEXEXTRACT(J6137, ""^\d+"")"),"122")</f>
        <v>122</v>
      </c>
      <c r="Z6137" s="5" t="str">
        <f>IFERROR(__xludf.DUMMYFUNCTION("REGEXEXTRACT(J6137, ""[A-Za-z ]+$"")")," min")</f>
        <v> min</v>
      </c>
      <c r="AA6137" s="5" t="str">
        <f>IFERROR(__xludf.DUMMYFUNCTION("IF(REGEXMATCH(Z6137, ""Season""), ""TV Show"", ""Movie"")"),"Movie")</f>
        <v>Movie</v>
      </c>
    </row>
    <row r="6138">
      <c r="A6138" s="1" t="s">
        <v>30911</v>
      </c>
      <c r="B6138" s="1" t="s">
        <v>27</v>
      </c>
      <c r="C6138" s="1" t="s">
        <v>30912</v>
      </c>
      <c r="D6138" s="1" t="s">
        <v>3680</v>
      </c>
      <c r="F6138" s="1" t="s">
        <v>30</v>
      </c>
      <c r="G6138" s="1" t="s">
        <v>22942</v>
      </c>
      <c r="H6138" s="1">
        <v>2017.0</v>
      </c>
      <c r="I6138" s="1" t="s">
        <v>97</v>
      </c>
      <c r="J6138" s="1" t="s">
        <v>1091</v>
      </c>
      <c r="K6138" s="1" t="s">
        <v>34</v>
      </c>
      <c r="L6138" s="1" t="s">
        <v>30913</v>
      </c>
      <c r="M6138" s="2" t="s">
        <v>12</v>
      </c>
      <c r="N6138" s="4">
        <f t="shared" si="1"/>
        <v>43450</v>
      </c>
      <c r="O6138" s="5" t="str">
        <f>IFERROR(__xludf.DUMMYFUNCTION("IF(REGEXMATCH(TRIM(I6138), ""^\d+\s*min""), ""Unclassified"", IF(I6138 = """", ""NR"", I6138))"),"TV-14")</f>
        <v>TV-14</v>
      </c>
      <c r="R6138" s="5" t="str">
        <f t="shared" si="2"/>
        <v>American Circumcision</v>
      </c>
      <c r="S6138" s="5" t="str">
        <f>IFERROR(__xludf.DUMMYFUNCTION("""COMPUTED_VALUE"""),"Seal Team Six: The Raid On Osama Bin Laden")</f>
        <v>Seal Team Six: The Raid On Osama Bin Laden</v>
      </c>
      <c r="V6138" s="5"/>
      <c r="Y6138" s="5" t="str">
        <f>IFERROR(__xludf.DUMMYFUNCTION("REGEXEXTRACT(J6138, ""^\d+"")"),"101")</f>
        <v>101</v>
      </c>
      <c r="Z6138" s="5" t="str">
        <f>IFERROR(__xludf.DUMMYFUNCTION("REGEXEXTRACT(J6138, ""[A-Za-z ]+$"")")," min")</f>
        <v> min</v>
      </c>
      <c r="AA6138" s="5" t="str">
        <f>IFERROR(__xludf.DUMMYFUNCTION("IF(REGEXMATCH(Z6138, ""Season""), ""TV Show"", ""Movie"")"),"Movie")</f>
        <v>Movie</v>
      </c>
    </row>
    <row r="6139">
      <c r="A6139" s="1" t="s">
        <v>30914</v>
      </c>
      <c r="B6139" s="1" t="s">
        <v>37</v>
      </c>
      <c r="C6139" s="1" t="s">
        <v>30915</v>
      </c>
      <c r="E6139" s="1" t="s">
        <v>30916</v>
      </c>
      <c r="F6139" s="1" t="s">
        <v>30</v>
      </c>
      <c r="G6139" s="7">
        <v>42885.0</v>
      </c>
      <c r="H6139" s="1">
        <v>2017.0</v>
      </c>
      <c r="I6139" s="1" t="s">
        <v>42</v>
      </c>
      <c r="J6139" s="1" t="s">
        <v>276</v>
      </c>
      <c r="K6139" s="1" t="s">
        <v>4118</v>
      </c>
      <c r="L6139" s="1" t="s">
        <v>30917</v>
      </c>
      <c r="M6139" s="2" t="s">
        <v>12</v>
      </c>
      <c r="N6139" s="4">
        <f t="shared" si="1"/>
        <v>42885</v>
      </c>
      <c r="O6139" s="5" t="str">
        <f>IFERROR(__xludf.DUMMYFUNCTION("IF(REGEXMATCH(TRIM(I6139), ""^\d+\s*min""), ""Unclassified"", IF(I6139 = """", ""NR"", I6139))"),"TV-MA")</f>
        <v>TV-MA</v>
      </c>
      <c r="R6139" s="5" t="str">
        <f t="shared" si="2"/>
        <v>American Crime</v>
      </c>
      <c r="S6139" s="5" t="str">
        <f>IFERROR(__xludf.DUMMYFUNCTION("""COMPUTED_VALUE"""),"Search Party")</f>
        <v>Search Party</v>
      </c>
      <c r="V6139" s="5"/>
      <c r="Y6139" s="5" t="str">
        <f>IFERROR(__xludf.DUMMYFUNCTION("REGEXEXTRACT(J6139, ""^\d+"")"),"3")</f>
        <v>3</v>
      </c>
      <c r="Z6139" s="5" t="str">
        <f>IFERROR(__xludf.DUMMYFUNCTION("REGEXEXTRACT(J6139, ""[A-Za-z ]+$"")")," Seasons")</f>
        <v> Seasons</v>
      </c>
      <c r="AA6139" s="5" t="str">
        <f>IFERROR(__xludf.DUMMYFUNCTION("IF(REGEXMATCH(Z6139, ""Season""), ""TV Show"", ""Movie"")"),"TV Show")</f>
        <v>TV Show</v>
      </c>
    </row>
    <row r="6140">
      <c r="A6140" s="1" t="s">
        <v>30918</v>
      </c>
      <c r="B6140" s="1" t="s">
        <v>27</v>
      </c>
      <c r="C6140" s="1" t="s">
        <v>30919</v>
      </c>
      <c r="D6140" s="1" t="s">
        <v>2966</v>
      </c>
      <c r="E6140" s="1" t="s">
        <v>30920</v>
      </c>
      <c r="F6140" s="1" t="s">
        <v>30</v>
      </c>
      <c r="G6140" s="1" t="s">
        <v>30921</v>
      </c>
      <c r="H6140" s="1">
        <v>2017.0</v>
      </c>
      <c r="I6140" s="1" t="s">
        <v>42</v>
      </c>
      <c r="J6140" s="1" t="s">
        <v>8606</v>
      </c>
      <c r="K6140" s="1" t="s">
        <v>34</v>
      </c>
      <c r="L6140" s="1" t="s">
        <v>30922</v>
      </c>
      <c r="M6140" s="2" t="s">
        <v>12</v>
      </c>
      <c r="N6140" s="4">
        <f t="shared" si="1"/>
        <v>42844</v>
      </c>
      <c r="O6140" s="5" t="str">
        <f>IFERROR(__xludf.DUMMYFUNCTION("IF(REGEXMATCH(TRIM(I6140), ""^\d+\s*min""), ""Unclassified"", IF(I6140 = """", ""NR"", I6140))"),"TV-MA")</f>
        <v>TV-MA</v>
      </c>
      <c r="R6140" s="5" t="str">
        <f t="shared" si="2"/>
        <v>American Experience: Ruby Ridge</v>
      </c>
      <c r="S6140" s="5" t="str">
        <f>IFERROR(__xludf.DUMMYFUNCTION("""COMPUTED_VALUE"""),"Searching For Bobby Fischer")</f>
        <v>Searching For Bobby Fischer</v>
      </c>
      <c r="V6140" s="5"/>
      <c r="Y6140" s="5" t="str">
        <f>IFERROR(__xludf.DUMMYFUNCTION("REGEXEXTRACT(J6140, ""^\d+"")"),"53")</f>
        <v>53</v>
      </c>
      <c r="Z6140" s="5" t="str">
        <f>IFERROR(__xludf.DUMMYFUNCTION("REGEXEXTRACT(J6140, ""[A-Za-z ]+$"")")," min")</f>
        <v> min</v>
      </c>
      <c r="AA6140" s="5" t="str">
        <f>IFERROR(__xludf.DUMMYFUNCTION("IF(REGEXMATCH(Z6140, ""Season""), ""TV Show"", ""Movie"")"),"Movie")</f>
        <v>Movie</v>
      </c>
    </row>
    <row r="6141">
      <c r="A6141" s="1" t="s">
        <v>30923</v>
      </c>
      <c r="B6141" s="1" t="s">
        <v>37</v>
      </c>
      <c r="C6141" s="1" t="s">
        <v>30924</v>
      </c>
      <c r="D6141" s="1" t="s">
        <v>20942</v>
      </c>
      <c r="F6141" s="1" t="s">
        <v>30</v>
      </c>
      <c r="G6141" s="7">
        <v>43587.0</v>
      </c>
      <c r="H6141" s="1">
        <v>2018.0</v>
      </c>
      <c r="I6141" s="1" t="s">
        <v>136</v>
      </c>
      <c r="J6141" s="1" t="s">
        <v>51</v>
      </c>
      <c r="K6141" s="1" t="s">
        <v>1261</v>
      </c>
      <c r="L6141" s="1" t="s">
        <v>30925</v>
      </c>
      <c r="M6141" s="2" t="s">
        <v>12</v>
      </c>
      <c r="N6141" s="4">
        <f t="shared" si="1"/>
        <v>43587</v>
      </c>
      <c r="O6141" s="5" t="str">
        <f>IFERROR(__xludf.DUMMYFUNCTION("IF(REGEXMATCH(TRIM(I6141), ""^\d+\s*min""), ""Unclassified"", IF(I6141 = """", ""NR"", I6141))"),"TV-PG")</f>
        <v>TV-PG</v>
      </c>
      <c r="R6141" s="5" t="str">
        <f t="shared" si="2"/>
        <v>American Experience: The Circus</v>
      </c>
      <c r="S6141" s="5" t="str">
        <f>IFERROR(__xludf.DUMMYFUNCTION("""COMPUTED_VALUE"""),"Searching For Sheela")</f>
        <v>Searching For Sheela</v>
      </c>
      <c r="V6141" s="5"/>
      <c r="Y6141" s="5" t="str">
        <f>IFERROR(__xludf.DUMMYFUNCTION("REGEXEXTRACT(J6141, ""^\d+"")"),"1")</f>
        <v>1</v>
      </c>
      <c r="Z6141" s="5" t="str">
        <f>IFERROR(__xludf.DUMMYFUNCTION("REGEXEXTRACT(J6141, ""[A-Za-z ]+$"")")," Season")</f>
        <v> Season</v>
      </c>
      <c r="AA6141" s="5" t="str">
        <f>IFERROR(__xludf.DUMMYFUNCTION("IF(REGEXMATCH(Z6141, ""Season""), ""TV Show"", ""Movie"")"),"TV Show")</f>
        <v>TV Show</v>
      </c>
    </row>
    <row r="6142">
      <c r="A6142" s="1" t="s">
        <v>30926</v>
      </c>
      <c r="B6142" s="1" t="s">
        <v>27</v>
      </c>
      <c r="C6142" s="1" t="s">
        <v>30927</v>
      </c>
      <c r="D6142" s="1" t="s">
        <v>14968</v>
      </c>
      <c r="E6142" s="1" t="s">
        <v>30928</v>
      </c>
      <c r="F6142" s="1" t="s">
        <v>30</v>
      </c>
      <c r="G6142" s="7">
        <v>43586.0</v>
      </c>
      <c r="H6142" s="1">
        <v>2018.0</v>
      </c>
      <c r="I6142" s="1" t="s">
        <v>97</v>
      </c>
      <c r="J6142" s="1" t="s">
        <v>8606</v>
      </c>
      <c r="K6142" s="1" t="s">
        <v>34</v>
      </c>
      <c r="L6142" s="1" t="s">
        <v>30929</v>
      </c>
      <c r="M6142" s="2" t="s">
        <v>12</v>
      </c>
      <c r="N6142" s="4">
        <f t="shared" si="1"/>
        <v>43586</v>
      </c>
      <c r="O6142" s="5" t="str">
        <f>IFERROR(__xludf.DUMMYFUNCTION("IF(REGEXMATCH(TRIM(I6142), ""^\d+\s*min""), ""Unclassified"", IF(I6142 = """", ""NR"", I6142))"),"TV-14")</f>
        <v>TV-14</v>
      </c>
      <c r="R6142" s="5" t="str">
        <f t="shared" si="2"/>
        <v>American Experience: The Island Murder</v>
      </c>
      <c r="S6142" s="5" t="str">
        <f>IFERROR(__xludf.DUMMYFUNCTION("""COMPUTED_VALUE"""),"Searching For Sugar Man")</f>
        <v>Searching For Sugar Man</v>
      </c>
      <c r="V6142" s="5"/>
      <c r="Y6142" s="5" t="str">
        <f>IFERROR(__xludf.DUMMYFUNCTION("REGEXEXTRACT(J6142, ""^\d+"")"),"53")</f>
        <v>53</v>
      </c>
      <c r="Z6142" s="5" t="str">
        <f>IFERROR(__xludf.DUMMYFUNCTION("REGEXEXTRACT(J6142, ""[A-Za-z ]+$"")")," min")</f>
        <v> min</v>
      </c>
      <c r="AA6142" s="5" t="str">
        <f>IFERROR(__xludf.DUMMYFUNCTION("IF(REGEXMATCH(Z6142, ""Season""), ""TV Show"", ""Movie"")"),"Movie")</f>
        <v>Movie</v>
      </c>
    </row>
    <row r="6143">
      <c r="A6143" s="1" t="s">
        <v>30930</v>
      </c>
      <c r="B6143" s="1" t="s">
        <v>27</v>
      </c>
      <c r="C6143" s="1" t="s">
        <v>30931</v>
      </c>
      <c r="D6143" s="1" t="s">
        <v>23658</v>
      </c>
      <c r="E6143" s="1" t="s">
        <v>30932</v>
      </c>
      <c r="F6143" s="1" t="s">
        <v>1106</v>
      </c>
      <c r="G6143" s="1" t="s">
        <v>19832</v>
      </c>
      <c r="H6143" s="1">
        <v>2019.0</v>
      </c>
      <c r="I6143" s="1" t="s">
        <v>42</v>
      </c>
      <c r="J6143" s="1" t="s">
        <v>416</v>
      </c>
      <c r="K6143" s="1" t="s">
        <v>171</v>
      </c>
      <c r="L6143" s="1" t="s">
        <v>30933</v>
      </c>
      <c r="M6143" s="2" t="s">
        <v>12</v>
      </c>
      <c r="N6143" s="4">
        <f t="shared" si="1"/>
        <v>43676</v>
      </c>
      <c r="O6143" s="5" t="str">
        <f>IFERROR(__xludf.DUMMYFUNCTION("IF(REGEXMATCH(TRIM(I6143), ""^\d+\s*min""), ""Unclassified"", IF(I6143 = """", ""NR"", I6143))"),"TV-MA")</f>
        <v>TV-MA</v>
      </c>
      <c r="R6143" s="5" t="str">
        <f t="shared" si="2"/>
        <v>American Hangman</v>
      </c>
      <c r="S6143" s="5" t="str">
        <f>IFERROR(__xludf.DUMMYFUNCTION("""COMPUTED_VALUE"""),"Season Of The Witch")</f>
        <v>Season Of The Witch</v>
      </c>
      <c r="V6143" s="5"/>
      <c r="Y6143" s="5" t="str">
        <f>IFERROR(__xludf.DUMMYFUNCTION("REGEXEXTRACT(J6143, ""^\d+"")"),"99")</f>
        <v>99</v>
      </c>
      <c r="Z6143" s="5" t="str">
        <f>IFERROR(__xludf.DUMMYFUNCTION("REGEXEXTRACT(J6143, ""[A-Za-z ]+$"")")," min")</f>
        <v> min</v>
      </c>
      <c r="AA6143" s="5" t="str">
        <f>IFERROR(__xludf.DUMMYFUNCTION("IF(REGEXMATCH(Z6143, ""Season""), ""TV Show"", ""Movie"")"),"Movie")</f>
        <v>Movie</v>
      </c>
    </row>
    <row r="6144">
      <c r="A6144" s="1" t="s">
        <v>30934</v>
      </c>
      <c r="B6144" s="1" t="s">
        <v>27</v>
      </c>
      <c r="C6144" s="1" t="s">
        <v>30935</v>
      </c>
      <c r="D6144" s="1" t="s">
        <v>20497</v>
      </c>
      <c r="E6144" s="1" t="s">
        <v>30936</v>
      </c>
      <c r="F6144" s="1" t="s">
        <v>30937</v>
      </c>
      <c r="G6144" s="1" t="s">
        <v>18623</v>
      </c>
      <c r="H6144" s="1">
        <v>2014.0</v>
      </c>
      <c r="I6144" s="1" t="s">
        <v>378</v>
      </c>
      <c r="J6144" s="1" t="s">
        <v>465</v>
      </c>
      <c r="K6144" s="1" t="s">
        <v>323</v>
      </c>
      <c r="L6144" s="1" t="s">
        <v>30938</v>
      </c>
      <c r="M6144" s="2" t="s">
        <v>12</v>
      </c>
      <c r="N6144" s="4">
        <f t="shared" si="1"/>
        <v>43761</v>
      </c>
      <c r="O6144" s="5" t="str">
        <f>IFERROR(__xludf.DUMMYFUNCTION("IF(REGEXMATCH(TRIM(I6144), ""^\d+\s*min""), ""Unclassified"", IF(I6144 = """", ""NR"", I6144))"),"R")</f>
        <v>R</v>
      </c>
      <c r="R6144" s="5" t="str">
        <f t="shared" si="2"/>
        <v>American Heist</v>
      </c>
      <c r="S6144" s="5" t="str">
        <f>IFERROR(__xludf.DUMMYFUNCTION("""COMPUTED_VALUE"""),"Seaspiracy")</f>
        <v>Seaspiracy</v>
      </c>
      <c r="V6144" s="5"/>
      <c r="Y6144" s="5" t="str">
        <f>IFERROR(__xludf.DUMMYFUNCTION("REGEXEXTRACT(J6144, ""^\d+"")"),"95")</f>
        <v>95</v>
      </c>
      <c r="Z6144" s="5" t="str">
        <f>IFERROR(__xludf.DUMMYFUNCTION("REGEXEXTRACT(J6144, ""[A-Za-z ]+$"")")," min")</f>
        <v> min</v>
      </c>
      <c r="AA6144" s="5" t="str">
        <f>IFERROR(__xludf.DUMMYFUNCTION("IF(REGEXMATCH(Z6144, ""Season""), ""TV Show"", ""Movie"")"),"Movie")</f>
        <v>Movie</v>
      </c>
    </row>
    <row r="6145">
      <c r="A6145" s="1" t="s">
        <v>30939</v>
      </c>
      <c r="B6145" s="1" t="s">
        <v>27</v>
      </c>
      <c r="C6145" s="1" t="s">
        <v>30940</v>
      </c>
      <c r="D6145" s="1" t="s">
        <v>22824</v>
      </c>
      <c r="E6145" s="1" t="s">
        <v>30941</v>
      </c>
      <c r="F6145" s="1" t="s">
        <v>30</v>
      </c>
      <c r="G6145" s="1" t="s">
        <v>18333</v>
      </c>
      <c r="H6145" s="1">
        <v>1998.0</v>
      </c>
      <c r="I6145" s="1" t="s">
        <v>378</v>
      </c>
      <c r="J6145" s="1" t="s">
        <v>804</v>
      </c>
      <c r="K6145" s="1" t="s">
        <v>805</v>
      </c>
      <c r="L6145" s="1" t="s">
        <v>30942</v>
      </c>
      <c r="M6145" s="2" t="s">
        <v>12</v>
      </c>
      <c r="N6145" s="4">
        <f t="shared" si="1"/>
        <v>43770</v>
      </c>
      <c r="O6145" s="5" t="str">
        <f>IFERROR(__xludf.DUMMYFUNCTION("IF(REGEXMATCH(TRIM(I6145), ""^\d+\s*min""), ""Unclassified"", IF(I6145 = """", ""NR"", I6145))"),"R")</f>
        <v>R</v>
      </c>
      <c r="R6145" s="5" t="str">
        <f t="shared" si="2"/>
        <v>American History X</v>
      </c>
      <c r="S6145" s="5" t="str">
        <f>IFERROR(__xludf.DUMMYFUNCTION("""COMPUTED_VALUE"""),"Sebastian Maniscalco: Stay Hungry")</f>
        <v>Sebastian Maniscalco: Stay Hungry</v>
      </c>
      <c r="V6145" s="5"/>
      <c r="Y6145" s="5" t="str">
        <f>IFERROR(__xludf.DUMMYFUNCTION("REGEXEXTRACT(J6145, ""^\d+"")"),"119")</f>
        <v>119</v>
      </c>
      <c r="Z6145" s="5" t="str">
        <f>IFERROR(__xludf.DUMMYFUNCTION("REGEXEXTRACT(J6145, ""[A-Za-z ]+$"")")," min")</f>
        <v> min</v>
      </c>
      <c r="AA6145" s="5" t="str">
        <f>IFERROR(__xludf.DUMMYFUNCTION("IF(REGEXMATCH(Z6145, ""Season""), ""TV Show"", ""Movie"")"),"Movie")</f>
        <v>Movie</v>
      </c>
    </row>
    <row r="6146">
      <c r="A6146" s="1" t="s">
        <v>30943</v>
      </c>
      <c r="B6146" s="1" t="s">
        <v>27</v>
      </c>
      <c r="C6146" s="1" t="s">
        <v>30944</v>
      </c>
      <c r="D6146" s="1" t="s">
        <v>1781</v>
      </c>
      <c r="E6146" s="1" t="s">
        <v>30945</v>
      </c>
      <c r="F6146" s="1" t="s">
        <v>686</v>
      </c>
      <c r="G6146" s="1" t="s">
        <v>30946</v>
      </c>
      <c r="H6146" s="1">
        <v>2016.0</v>
      </c>
      <c r="I6146" s="1" t="s">
        <v>378</v>
      </c>
      <c r="J6146" s="1" t="s">
        <v>24904</v>
      </c>
      <c r="K6146" s="1" t="s">
        <v>1320</v>
      </c>
      <c r="L6146" s="1" t="s">
        <v>30947</v>
      </c>
      <c r="M6146" s="2" t="s">
        <v>12</v>
      </c>
      <c r="N6146" s="4">
        <f t="shared" si="1"/>
        <v>43582</v>
      </c>
      <c r="O6146" s="5" t="str">
        <f>IFERROR(__xludf.DUMMYFUNCTION("IF(REGEXMATCH(TRIM(I6146), ""^\d+\s*min""), ""Unclassified"", IF(I6146 = """", ""NR"", I6146))"),"R")</f>
        <v>R</v>
      </c>
      <c r="R6146" s="5" t="str">
        <f t="shared" si="2"/>
        <v>American Honey</v>
      </c>
      <c r="S6146" s="5" t="str">
        <f>IFERROR(__xludf.DUMMYFUNCTION("""COMPUTED_VALUE"""),"Sebastian Maniscalco: What'S Wrong With People?")</f>
        <v>Sebastian Maniscalco: What'S Wrong With People?</v>
      </c>
      <c r="V6146" s="5"/>
      <c r="Y6146" s="5" t="str">
        <f>IFERROR(__xludf.DUMMYFUNCTION("REGEXEXTRACT(J6146, ""^\d+"")"),"163")</f>
        <v>163</v>
      </c>
      <c r="Z6146" s="5" t="str">
        <f>IFERROR(__xludf.DUMMYFUNCTION("REGEXEXTRACT(J6146, ""[A-Za-z ]+$"")")," min")</f>
        <v> min</v>
      </c>
      <c r="AA6146" s="5" t="str">
        <f>IFERROR(__xludf.DUMMYFUNCTION("IF(REGEXMATCH(Z6146, ""Season""), ""TV Show"", ""Movie"")"),"Movie")</f>
        <v>Movie</v>
      </c>
    </row>
    <row r="6147">
      <c r="A6147" s="1" t="s">
        <v>30948</v>
      </c>
      <c r="B6147" s="1" t="s">
        <v>27</v>
      </c>
      <c r="C6147" s="1" t="s">
        <v>30949</v>
      </c>
      <c r="D6147" s="1" t="s">
        <v>16824</v>
      </c>
      <c r="E6147" s="1" t="s">
        <v>30950</v>
      </c>
      <c r="F6147" s="1" t="s">
        <v>30</v>
      </c>
      <c r="G6147" s="1" t="s">
        <v>21360</v>
      </c>
      <c r="H6147" s="1">
        <v>2018.0</v>
      </c>
      <c r="I6147" s="1" t="s">
        <v>42</v>
      </c>
      <c r="J6147" s="1" t="s">
        <v>6490</v>
      </c>
      <c r="K6147" s="1" t="s">
        <v>645</v>
      </c>
      <c r="L6147" s="1" t="s">
        <v>30951</v>
      </c>
      <c r="M6147" s="2" t="s">
        <v>12</v>
      </c>
      <c r="N6147" s="4">
        <f t="shared" si="1"/>
        <v>43556</v>
      </c>
      <c r="O6147" s="5" t="str">
        <f>IFERROR(__xludf.DUMMYFUNCTION("IF(REGEXMATCH(TRIM(I6147), ""^\d+\s*min""), ""Unclassified"", IF(I6147 = """", ""NR"", I6147))"),"TV-MA")</f>
        <v>TV-MA</v>
      </c>
      <c r="R6147" s="5" t="str">
        <f t="shared" si="2"/>
        <v>American Masters: Ted Williams</v>
      </c>
      <c r="S6147" s="5" t="str">
        <f>IFERROR(__xludf.DUMMYFUNCTION("""COMPUTED_VALUE"""),"Sebastian Maniscalco: Why Would You Do That")</f>
        <v>Sebastian Maniscalco: Why Would You Do That</v>
      </c>
      <c r="V6147" s="5"/>
      <c r="Y6147" s="5" t="str">
        <f>IFERROR(__xludf.DUMMYFUNCTION("REGEXEXTRACT(J6147, ""^\d+"")"),"55")</f>
        <v>55</v>
      </c>
      <c r="Z6147" s="5" t="str">
        <f>IFERROR(__xludf.DUMMYFUNCTION("REGEXEXTRACT(J6147, ""[A-Za-z ]+$"")")," min")</f>
        <v> min</v>
      </c>
      <c r="AA6147" s="5" t="str">
        <f>IFERROR(__xludf.DUMMYFUNCTION("IF(REGEXMATCH(Z6147, ""Season""), ""TV Show"", ""Movie"")"),"Movie")</f>
        <v>Movie</v>
      </c>
    </row>
    <row r="6148">
      <c r="A6148" s="1" t="s">
        <v>30952</v>
      </c>
      <c r="B6148" s="1" t="s">
        <v>37</v>
      </c>
      <c r="C6148" s="1" t="s">
        <v>30953</v>
      </c>
      <c r="E6148" s="1" t="s">
        <v>30954</v>
      </c>
      <c r="F6148" s="1" t="s">
        <v>30</v>
      </c>
      <c r="G6148" s="1" t="s">
        <v>30955</v>
      </c>
      <c r="H6148" s="1">
        <v>2015.0</v>
      </c>
      <c r="I6148" s="1" t="s">
        <v>97</v>
      </c>
      <c r="J6148" s="1" t="s">
        <v>51</v>
      </c>
      <c r="K6148" s="1" t="s">
        <v>6314</v>
      </c>
      <c r="L6148" s="1" t="s">
        <v>30956</v>
      </c>
      <c r="M6148" s="2" t="s">
        <v>12</v>
      </c>
      <c r="N6148" s="4">
        <f t="shared" si="1"/>
        <v>42465</v>
      </c>
      <c r="O6148" s="5" t="str">
        <f>IFERROR(__xludf.DUMMYFUNCTION("IF(REGEXMATCH(TRIM(I6148), ""^\d+\s*min""), ""Unclassified"", IF(I6148 = """", ""NR"", I6148))"),"TV-14")</f>
        <v>TV-14</v>
      </c>
      <c r="R6148" s="5" t="str">
        <f t="shared" si="2"/>
        <v>American Odyssey</v>
      </c>
      <c r="S6148" s="5" t="str">
        <f>IFERROR(__xludf.DUMMYFUNCTION("""COMPUTED_VALUE"""),"Sebastián Marcelo Wainraich")</f>
        <v>Sebastián Marcelo Wainraich</v>
      </c>
      <c r="V6148" s="5"/>
      <c r="Y6148" s="5" t="str">
        <f>IFERROR(__xludf.DUMMYFUNCTION("REGEXEXTRACT(J6148, ""^\d+"")"),"1")</f>
        <v>1</v>
      </c>
      <c r="Z6148" s="5" t="str">
        <f>IFERROR(__xludf.DUMMYFUNCTION("REGEXEXTRACT(J6148, ""[A-Za-z ]+$"")")," Season")</f>
        <v> Season</v>
      </c>
      <c r="AA6148" s="5" t="str">
        <f>IFERROR(__xludf.DUMMYFUNCTION("IF(REGEXMATCH(Z6148, ""Season""), ""TV Show"", ""Movie"")"),"TV Show")</f>
        <v>TV Show</v>
      </c>
    </row>
    <row r="6149">
      <c r="A6149" s="1" t="s">
        <v>30957</v>
      </c>
      <c r="B6149" s="1" t="s">
        <v>27</v>
      </c>
      <c r="C6149" s="1" t="s">
        <v>30958</v>
      </c>
      <c r="D6149" s="1" t="s">
        <v>3827</v>
      </c>
      <c r="E6149" s="1" t="s">
        <v>30959</v>
      </c>
      <c r="F6149" s="1" t="s">
        <v>897</v>
      </c>
      <c r="G6149" s="1" t="s">
        <v>19361</v>
      </c>
      <c r="H6149" s="1">
        <v>2000.0</v>
      </c>
      <c r="I6149" s="1" t="s">
        <v>378</v>
      </c>
      <c r="J6149" s="1" t="s">
        <v>447</v>
      </c>
      <c r="K6149" s="1" t="s">
        <v>30960</v>
      </c>
      <c r="L6149" s="1" t="s">
        <v>30961</v>
      </c>
      <c r="M6149" s="2" t="s">
        <v>12</v>
      </c>
      <c r="N6149" s="4">
        <f t="shared" si="1"/>
        <v>43709</v>
      </c>
      <c r="O6149" s="5" t="str">
        <f>IFERROR(__xludf.DUMMYFUNCTION("IF(REGEXMATCH(TRIM(I6149), ""^\d+\s*min""), ""Unclassified"", IF(I6149 = """", ""NR"", I6149))"),"R")</f>
        <v>R</v>
      </c>
      <c r="R6149" s="5" t="str">
        <f t="shared" si="2"/>
        <v>American Psycho</v>
      </c>
      <c r="S6149" s="5" t="str">
        <f>IFERROR(__xludf.DUMMYFUNCTION("""COMPUTED_VALUE"""),"Second 20S")</f>
        <v>Second 20S</v>
      </c>
      <c r="V6149" s="5"/>
      <c r="Y6149" s="5" t="str">
        <f>IFERROR(__xludf.DUMMYFUNCTION("REGEXEXTRACT(J6149, ""^\d+"")"),"102")</f>
        <v>102</v>
      </c>
      <c r="Z6149" s="5" t="str">
        <f>IFERROR(__xludf.DUMMYFUNCTION("REGEXEXTRACT(J6149, ""[A-Za-z ]+$"")")," min")</f>
        <v> min</v>
      </c>
      <c r="AA6149" s="5" t="str">
        <f>IFERROR(__xludf.DUMMYFUNCTION("IF(REGEXMATCH(Z6149, ""Season""), ""TV Show"", ""Movie"")"),"Movie")</f>
        <v>Movie</v>
      </c>
    </row>
    <row r="6150">
      <c r="A6150" s="1" t="s">
        <v>30962</v>
      </c>
      <c r="B6150" s="1" t="s">
        <v>27</v>
      </c>
      <c r="C6150" s="1" t="s">
        <v>30963</v>
      </c>
      <c r="D6150" s="1" t="s">
        <v>10843</v>
      </c>
      <c r="E6150" s="1" t="s">
        <v>30964</v>
      </c>
      <c r="F6150" s="1" t="s">
        <v>30</v>
      </c>
      <c r="G6150" s="1" t="s">
        <v>19259</v>
      </c>
      <c r="H6150" s="1">
        <v>2019.0</v>
      </c>
      <c r="I6150" s="1" t="s">
        <v>42</v>
      </c>
      <c r="J6150" s="1" t="s">
        <v>256</v>
      </c>
      <c r="K6150" s="1" t="s">
        <v>805</v>
      </c>
      <c r="L6150" s="1" t="s">
        <v>30965</v>
      </c>
      <c r="M6150" s="2" t="s">
        <v>12</v>
      </c>
      <c r="N6150" s="4">
        <f t="shared" si="1"/>
        <v>43721</v>
      </c>
      <c r="O6150" s="5" t="str">
        <f>IFERROR(__xludf.DUMMYFUNCTION("IF(REGEXMATCH(TRIM(I6150), ""^\d+\s*min""), ""Unclassified"", IF(I6150 = """", ""NR"", I6150))"),"TV-MA")</f>
        <v>TV-MA</v>
      </c>
      <c r="R6150" s="5" t="str">
        <f t="shared" si="2"/>
        <v>American Warfighter</v>
      </c>
      <c r="S6150" s="5" t="str">
        <f>IFERROR(__xludf.DUMMYFUNCTION("""COMPUTED_VALUE"""),"Secret")</f>
        <v>Secret</v>
      </c>
      <c r="V6150" s="5"/>
      <c r="Y6150" s="5" t="str">
        <f>IFERROR(__xludf.DUMMYFUNCTION("REGEXEXTRACT(J6150, ""^\d+"")"),"106")</f>
        <v>106</v>
      </c>
      <c r="Z6150" s="5" t="str">
        <f>IFERROR(__xludf.DUMMYFUNCTION("REGEXEXTRACT(J6150, ""[A-Za-z ]+$"")")," min")</f>
        <v> min</v>
      </c>
      <c r="AA6150" s="5" t="str">
        <f>IFERROR(__xludf.DUMMYFUNCTION("IF(REGEXMATCH(Z6150, ""Season""), ""TV Show"", ""Movie"")"),"Movie")</f>
        <v>Movie</v>
      </c>
    </row>
    <row r="6151">
      <c r="A6151" s="1" t="s">
        <v>30966</v>
      </c>
      <c r="B6151" s="1" t="s">
        <v>27</v>
      </c>
      <c r="C6151" s="1" t="s">
        <v>30967</v>
      </c>
      <c r="D6151" s="1" t="s">
        <v>2657</v>
      </c>
      <c r="E6151" s="1" t="s">
        <v>30968</v>
      </c>
      <c r="F6151" s="1" t="s">
        <v>96</v>
      </c>
      <c r="G6151" s="1" t="s">
        <v>30969</v>
      </c>
      <c r="H6151" s="1">
        <v>2015.0</v>
      </c>
      <c r="I6151" s="1" t="s">
        <v>378</v>
      </c>
      <c r="J6151" s="1" t="s">
        <v>757</v>
      </c>
      <c r="K6151" s="1" t="s">
        <v>2892</v>
      </c>
      <c r="L6151" s="1" t="s">
        <v>30970</v>
      </c>
      <c r="M6151" s="2" t="s">
        <v>12</v>
      </c>
      <c r="N6151" s="4">
        <f t="shared" si="1"/>
        <v>43307</v>
      </c>
      <c r="O6151" s="5" t="str">
        <f>IFERROR(__xludf.DUMMYFUNCTION("IF(REGEXMATCH(TRIM(I6151), ""^\d+\s*min""), ""Unclassified"", IF(I6151 = """", ""NR"", I6151))"),"R")</f>
        <v>R</v>
      </c>
      <c r="R6151" s="5" t="str">
        <f t="shared" si="2"/>
        <v>Amy</v>
      </c>
      <c r="S6151" s="5" t="str">
        <f>IFERROR(__xludf.DUMMYFUNCTION("""COMPUTED_VALUE"""),"Secret Affair")</f>
        <v>Secret Affair</v>
      </c>
      <c r="V6151" s="5"/>
      <c r="Y6151" s="5" t="str">
        <f>IFERROR(__xludf.DUMMYFUNCTION("REGEXEXTRACT(J6151, ""^\d+"")"),"128")</f>
        <v>128</v>
      </c>
      <c r="Z6151" s="5" t="str">
        <f>IFERROR(__xludf.DUMMYFUNCTION("REGEXEXTRACT(J6151, ""[A-Za-z ]+$"")")," min")</f>
        <v> min</v>
      </c>
      <c r="AA6151" s="5" t="str">
        <f>IFERROR(__xludf.DUMMYFUNCTION("IF(REGEXMATCH(Z6151, ""Season""), ""TV Show"", ""Movie"")"),"Movie")</f>
        <v>Movie</v>
      </c>
    </row>
    <row r="6152">
      <c r="A6152" s="1" t="s">
        <v>30971</v>
      </c>
      <c r="B6152" s="1" t="s">
        <v>27</v>
      </c>
      <c r="C6152" s="1" t="s">
        <v>30972</v>
      </c>
      <c r="D6152" s="1" t="s">
        <v>12384</v>
      </c>
      <c r="F6152" s="1" t="s">
        <v>63</v>
      </c>
      <c r="G6152" s="1" t="s">
        <v>28840</v>
      </c>
      <c r="H6152" s="1">
        <v>2013.0</v>
      </c>
      <c r="I6152" s="1" t="s">
        <v>136</v>
      </c>
      <c r="J6152" s="1" t="s">
        <v>729</v>
      </c>
      <c r="K6152" s="1" t="s">
        <v>156</v>
      </c>
      <c r="L6152" s="1" t="s">
        <v>30973</v>
      </c>
      <c r="M6152" s="2" t="s">
        <v>12</v>
      </c>
      <c r="N6152" s="4">
        <f t="shared" si="1"/>
        <v>42736</v>
      </c>
      <c r="O6152" s="5" t="str">
        <f>IFERROR(__xludf.DUMMYFUNCTION("IF(REGEXMATCH(TRIM(I6152), ""^\d+\s*min""), ""Unclassified"", IF(I6152 = """", ""NR"", I6152))"),"TV-PG")</f>
        <v>TV-PG</v>
      </c>
      <c r="R6152" s="5" t="str">
        <f t="shared" si="2"/>
        <v>An American In Madras</v>
      </c>
      <c r="S6152" s="5" t="str">
        <f>IFERROR(__xludf.DUMMYFUNCTION("""COMPUTED_VALUE"""),"Secret City")</f>
        <v>Secret City</v>
      </c>
      <c r="V6152" s="5"/>
      <c r="Y6152" s="5" t="str">
        <f>IFERROR(__xludf.DUMMYFUNCTION("REGEXEXTRACT(J6152, ""^\d+"")"),"80")</f>
        <v>80</v>
      </c>
      <c r="Z6152" s="5" t="str">
        <f>IFERROR(__xludf.DUMMYFUNCTION("REGEXEXTRACT(J6152, ""[A-Za-z ]+$"")")," min")</f>
        <v> min</v>
      </c>
      <c r="AA6152" s="5" t="str">
        <f>IFERROR(__xludf.DUMMYFUNCTION("IF(REGEXMATCH(Z6152, ""Season""), ""TV Show"", ""Movie"")"),"Movie")</f>
        <v>Movie</v>
      </c>
    </row>
    <row r="6153">
      <c r="A6153" s="1" t="s">
        <v>30974</v>
      </c>
      <c r="B6153" s="1" t="s">
        <v>27</v>
      </c>
      <c r="C6153" s="1" t="s">
        <v>30975</v>
      </c>
      <c r="D6153" s="1" t="s">
        <v>6596</v>
      </c>
      <c r="E6153" s="1" t="s">
        <v>30976</v>
      </c>
      <c r="F6153" s="1" t="s">
        <v>30</v>
      </c>
      <c r="G6153" s="1" t="s">
        <v>25842</v>
      </c>
      <c r="H6153" s="1">
        <v>1986.0</v>
      </c>
      <c r="I6153" s="1" t="s">
        <v>770</v>
      </c>
      <c r="J6153" s="1" t="s">
        <v>729</v>
      </c>
      <c r="K6153" s="1" t="s">
        <v>80</v>
      </c>
      <c r="L6153" s="1" t="s">
        <v>30977</v>
      </c>
      <c r="M6153" s="2" t="s">
        <v>12</v>
      </c>
      <c r="N6153" s="4">
        <f t="shared" si="1"/>
        <v>43191</v>
      </c>
      <c r="O6153" s="5" t="str">
        <f>IFERROR(__xludf.DUMMYFUNCTION("IF(REGEXMATCH(TRIM(I6153), ""^\d+\s*min""), ""Unclassified"", IF(I6153 = """", ""NR"", I6153))"),"G")</f>
        <v>G</v>
      </c>
      <c r="R6153" s="5" t="str">
        <f t="shared" si="2"/>
        <v>An American Tail</v>
      </c>
      <c r="S6153" s="5" t="str">
        <f>IFERROR(__xludf.DUMMYFUNCTION("""COMPUTED_VALUE"""),"Secret In Their Eyes")</f>
        <v>Secret In Their Eyes</v>
      </c>
      <c r="V6153" s="5"/>
      <c r="Y6153" s="5" t="str">
        <f>IFERROR(__xludf.DUMMYFUNCTION("REGEXEXTRACT(J6153, ""^\d+"")"),"80")</f>
        <v>80</v>
      </c>
      <c r="Z6153" s="5" t="str">
        <f>IFERROR(__xludf.DUMMYFUNCTION("REGEXEXTRACT(J6153, ""[A-Za-z ]+$"")")," min")</f>
        <v> min</v>
      </c>
      <c r="AA6153" s="5" t="str">
        <f>IFERROR(__xludf.DUMMYFUNCTION("IF(REGEXMATCH(Z6153, ""Season""), ""TV Show"", ""Movie"")"),"Movie")</f>
        <v>Movie</v>
      </c>
    </row>
    <row r="6154">
      <c r="A6154" s="1" t="s">
        <v>30978</v>
      </c>
      <c r="B6154" s="1" t="s">
        <v>27</v>
      </c>
      <c r="C6154" s="1" t="s">
        <v>30979</v>
      </c>
      <c r="D6154" s="1" t="s">
        <v>18159</v>
      </c>
      <c r="E6154" s="1" t="s">
        <v>30980</v>
      </c>
      <c r="F6154" s="1" t="s">
        <v>30</v>
      </c>
      <c r="G6154" s="1" t="s">
        <v>25842</v>
      </c>
      <c r="H6154" s="1">
        <v>1991.0</v>
      </c>
      <c r="I6154" s="1" t="s">
        <v>770</v>
      </c>
      <c r="J6154" s="1" t="s">
        <v>6281</v>
      </c>
      <c r="K6154" s="1" t="s">
        <v>80</v>
      </c>
      <c r="L6154" s="1" t="s">
        <v>30981</v>
      </c>
      <c r="M6154" s="2" t="s">
        <v>12</v>
      </c>
      <c r="N6154" s="4">
        <f t="shared" si="1"/>
        <v>43191</v>
      </c>
      <c r="O6154" s="5" t="str">
        <f>IFERROR(__xludf.DUMMYFUNCTION("IF(REGEXMATCH(TRIM(I6154), ""^\d+\s*min""), ""Unclassified"", IF(I6154 = """", ""NR"", I6154))"),"G")</f>
        <v>G</v>
      </c>
      <c r="R6154" s="5" t="str">
        <f t="shared" si="2"/>
        <v>An American Tail: Fievel Goes West</v>
      </c>
      <c r="S6154" s="5" t="str">
        <f>IFERROR(__xludf.DUMMYFUNCTION("""COMPUTED_VALUE"""),"Secret Magic Control Agency")</f>
        <v>Secret Magic Control Agency</v>
      </c>
      <c r="V6154" s="5"/>
      <c r="Y6154" s="5" t="str">
        <f>IFERROR(__xludf.DUMMYFUNCTION("REGEXEXTRACT(J6154, ""^\d+"")"),"75")</f>
        <v>75</v>
      </c>
      <c r="Z6154" s="5" t="str">
        <f>IFERROR(__xludf.DUMMYFUNCTION("REGEXEXTRACT(J6154, ""[A-Za-z ]+$"")")," min")</f>
        <v> min</v>
      </c>
      <c r="AA6154" s="5" t="str">
        <f>IFERROR(__xludf.DUMMYFUNCTION("IF(REGEXMATCH(Z6154, ""Season""), ""TV Show"", ""Movie"")"),"Movie")</f>
        <v>Movie</v>
      </c>
    </row>
    <row r="6155">
      <c r="A6155" s="1" t="s">
        <v>30982</v>
      </c>
      <c r="B6155" s="1" t="s">
        <v>27</v>
      </c>
      <c r="C6155" s="1" t="s">
        <v>30983</v>
      </c>
      <c r="D6155" s="1" t="s">
        <v>13370</v>
      </c>
      <c r="E6155" s="1" t="s">
        <v>30984</v>
      </c>
      <c r="F6155" s="1" t="s">
        <v>30</v>
      </c>
      <c r="G6155" s="1" t="s">
        <v>25842</v>
      </c>
      <c r="H6155" s="1">
        <v>1999.0</v>
      </c>
      <c r="I6155" s="1" t="s">
        <v>770</v>
      </c>
      <c r="J6155" s="1" t="s">
        <v>6281</v>
      </c>
      <c r="K6155" s="1" t="s">
        <v>80</v>
      </c>
      <c r="L6155" s="1" t="s">
        <v>30985</v>
      </c>
      <c r="M6155" s="2" t="s">
        <v>12</v>
      </c>
      <c r="N6155" s="4">
        <f t="shared" si="1"/>
        <v>43191</v>
      </c>
      <c r="O6155" s="5" t="str">
        <f>IFERROR(__xludf.DUMMYFUNCTION("IF(REGEXMATCH(TRIM(I6155), ""^\d+\s*min""), ""Unclassified"", IF(I6155 = """", ""NR"", I6155))"),"G")</f>
        <v>G</v>
      </c>
      <c r="R6155" s="5" t="str">
        <f t="shared" si="2"/>
        <v>An American Tail: The Mystery Of The Night Monster</v>
      </c>
      <c r="S6155" s="5" t="str">
        <f>IFERROR(__xludf.DUMMYFUNCTION("""COMPUTED_VALUE"""),"Secret Obsession")</f>
        <v>Secret Obsession</v>
      </c>
      <c r="V6155" s="5"/>
      <c r="Y6155" s="5" t="str">
        <f>IFERROR(__xludf.DUMMYFUNCTION("REGEXEXTRACT(J6155, ""^\d+"")"),"75")</f>
        <v>75</v>
      </c>
      <c r="Z6155" s="5" t="str">
        <f>IFERROR(__xludf.DUMMYFUNCTION("REGEXEXTRACT(J6155, ""[A-Za-z ]+$"")")," min")</f>
        <v> min</v>
      </c>
      <c r="AA6155" s="5" t="str">
        <f>IFERROR(__xludf.DUMMYFUNCTION("IF(REGEXMATCH(Z6155, ""Season""), ""TV Show"", ""Movie"")"),"Movie")</f>
        <v>Movie</v>
      </c>
    </row>
    <row r="6156">
      <c r="A6156" s="1" t="s">
        <v>30986</v>
      </c>
      <c r="B6156" s="1" t="s">
        <v>27</v>
      </c>
      <c r="C6156" s="1" t="s">
        <v>30987</v>
      </c>
      <c r="D6156" s="1" t="s">
        <v>13370</v>
      </c>
      <c r="E6156" s="1" t="s">
        <v>30988</v>
      </c>
      <c r="F6156" s="1" t="s">
        <v>30</v>
      </c>
      <c r="G6156" s="1" t="s">
        <v>25842</v>
      </c>
      <c r="H6156" s="1">
        <v>2000.0</v>
      </c>
      <c r="I6156" s="1" t="s">
        <v>770</v>
      </c>
      <c r="J6156" s="1" t="s">
        <v>6391</v>
      </c>
      <c r="K6156" s="1" t="s">
        <v>80</v>
      </c>
      <c r="L6156" s="1" t="s">
        <v>30989</v>
      </c>
      <c r="M6156" s="2" t="s">
        <v>12</v>
      </c>
      <c r="N6156" s="4">
        <f t="shared" si="1"/>
        <v>43191</v>
      </c>
      <c r="O6156" s="5" t="str">
        <f>IFERROR(__xludf.DUMMYFUNCTION("IF(REGEXMATCH(TRIM(I6156), ""^\d+\s*min""), ""Unclassified"", IF(I6156 = """", ""NR"", I6156))"),"G")</f>
        <v>G</v>
      </c>
      <c r="R6156" s="5" t="str">
        <f t="shared" si="2"/>
        <v>An American Tail: The Treasures Of Manhattan Island</v>
      </c>
      <c r="S6156" s="5" t="str">
        <f>IFERROR(__xludf.DUMMYFUNCTION("""COMPUTED_VALUE"""),"Secret Of Success")</f>
        <v>Secret Of Success</v>
      </c>
      <c r="V6156" s="5"/>
      <c r="Y6156" s="5" t="str">
        <f>IFERROR(__xludf.DUMMYFUNCTION("REGEXEXTRACT(J6156, ""^\d+"")"),"79")</f>
        <v>79</v>
      </c>
      <c r="Z6156" s="5" t="str">
        <f>IFERROR(__xludf.DUMMYFUNCTION("REGEXEXTRACT(J6156, ""[A-Za-z ]+$"")")," min")</f>
        <v> min</v>
      </c>
      <c r="AA6156" s="5" t="str">
        <f>IFERROR(__xludf.DUMMYFUNCTION("IF(REGEXMATCH(Z6156, ""Season""), ""TV Show"", ""Movie"")"),"Movie")</f>
        <v>Movie</v>
      </c>
    </row>
    <row r="6157">
      <c r="A6157" s="1" t="s">
        <v>30990</v>
      </c>
      <c r="B6157" s="1" t="s">
        <v>27</v>
      </c>
      <c r="C6157" s="1" t="s">
        <v>30991</v>
      </c>
      <c r="D6157" s="1" t="s">
        <v>13757</v>
      </c>
      <c r="E6157" s="1" t="s">
        <v>30992</v>
      </c>
      <c r="F6157" s="1" t="s">
        <v>3309</v>
      </c>
      <c r="G6157" s="1" t="s">
        <v>21046</v>
      </c>
      <c r="H6157" s="1">
        <v>2012.0</v>
      </c>
      <c r="I6157" s="1" t="s">
        <v>97</v>
      </c>
      <c r="J6157" s="1" t="s">
        <v>630</v>
      </c>
      <c r="K6157" s="1" t="s">
        <v>128</v>
      </c>
      <c r="L6157" s="1" t="s">
        <v>30993</v>
      </c>
      <c r="M6157" s="2" t="s">
        <v>12</v>
      </c>
      <c r="N6157" s="4">
        <f t="shared" si="1"/>
        <v>43581</v>
      </c>
      <c r="O6157" s="5" t="str">
        <f>IFERROR(__xludf.DUMMYFUNCTION("IF(REGEXMATCH(TRIM(I6157), ""^\d+\s*min""), ""Unclassified"", IF(I6157 = """", ""NR"", I6157))"),"TV-14")</f>
        <v>TV-14</v>
      </c>
      <c r="R6157" s="5" t="str">
        <f t="shared" si="2"/>
        <v>An Hour And A Half</v>
      </c>
      <c r="S6157" s="5" t="str">
        <f>IFERROR(__xludf.DUMMYFUNCTION("""COMPUTED_VALUE"""),"Secret Of The Nile")</f>
        <v>Secret Of The Nile</v>
      </c>
      <c r="V6157" s="5"/>
      <c r="Y6157" s="5" t="str">
        <f>IFERROR(__xludf.DUMMYFUNCTION("REGEXEXTRACT(J6157, ""^\d+"")"),"87")</f>
        <v>87</v>
      </c>
      <c r="Z6157" s="5" t="str">
        <f>IFERROR(__xludf.DUMMYFUNCTION("REGEXEXTRACT(J6157, ""[A-Za-z ]+$"")")," min")</f>
        <v> min</v>
      </c>
      <c r="AA6157" s="5" t="str">
        <f>IFERROR(__xludf.DUMMYFUNCTION("IF(REGEXMATCH(Z6157, ""Season""), ""TV Show"", ""Movie"")"),"Movie")</f>
        <v>Movie</v>
      </c>
    </row>
    <row r="6158">
      <c r="A6158" s="1" t="s">
        <v>30994</v>
      </c>
      <c r="B6158" s="1" t="s">
        <v>37</v>
      </c>
      <c r="C6158" s="1" t="s">
        <v>30995</v>
      </c>
      <c r="E6158" s="1" t="s">
        <v>30996</v>
      </c>
      <c r="F6158" s="1" t="s">
        <v>2059</v>
      </c>
      <c r="G6158" s="1" t="s">
        <v>28840</v>
      </c>
      <c r="H6158" s="1">
        <v>2012.0</v>
      </c>
      <c r="I6158" s="1" t="s">
        <v>97</v>
      </c>
      <c r="J6158" s="1" t="s">
        <v>51</v>
      </c>
      <c r="K6158" s="1" t="s">
        <v>1907</v>
      </c>
      <c r="L6158" s="1" t="s">
        <v>30997</v>
      </c>
      <c r="M6158" s="2" t="s">
        <v>12</v>
      </c>
      <c r="N6158" s="4">
        <f t="shared" si="1"/>
        <v>42736</v>
      </c>
      <c r="O6158" s="5" t="str">
        <f>IFERROR(__xludf.DUMMYFUNCTION("IF(REGEXMATCH(TRIM(I6158), ""^\d+\s*min""), ""Unclassified"", IF(I6158 = """", ""NR"", I6158))"),"TV-14")</f>
        <v>TV-14</v>
      </c>
      <c r="R6158" s="5" t="str">
        <f t="shared" si="2"/>
        <v>An Innocent Mistake</v>
      </c>
      <c r="S6158" s="5" t="str">
        <f>IFERROR(__xludf.DUMMYFUNCTION("""COMPUTED_VALUE"""),"Secret Superstar")</f>
        <v>Secret Superstar</v>
      </c>
      <c r="V6158" s="5"/>
      <c r="Y6158" s="5" t="str">
        <f>IFERROR(__xludf.DUMMYFUNCTION("REGEXEXTRACT(J6158, ""^\d+"")"),"1")</f>
        <v>1</v>
      </c>
      <c r="Z6158" s="5" t="str">
        <f>IFERROR(__xludf.DUMMYFUNCTION("REGEXEXTRACT(J6158, ""[A-Za-z ]+$"")")," Season")</f>
        <v> Season</v>
      </c>
      <c r="AA6158" s="5" t="str">
        <f>IFERROR(__xludf.DUMMYFUNCTION("IF(REGEXMATCH(Z6158, ""Season""), ""TV Show"", ""Movie"")"),"TV Show")</f>
        <v>TV Show</v>
      </c>
    </row>
    <row r="6159">
      <c r="A6159" s="1" t="s">
        <v>30998</v>
      </c>
      <c r="B6159" s="1" t="s">
        <v>27</v>
      </c>
      <c r="C6159" s="1" t="s">
        <v>30999</v>
      </c>
      <c r="D6159" s="1" t="s">
        <v>17918</v>
      </c>
      <c r="E6159" s="1" t="s">
        <v>31000</v>
      </c>
      <c r="F6159" s="1" t="s">
        <v>30</v>
      </c>
      <c r="G6159" s="1" t="s">
        <v>21838</v>
      </c>
      <c r="H6159" s="1">
        <v>2018.0</v>
      </c>
      <c r="I6159" s="1" t="s">
        <v>136</v>
      </c>
      <c r="J6159" s="1" t="s">
        <v>247</v>
      </c>
      <c r="K6159" s="1" t="s">
        <v>1198</v>
      </c>
      <c r="L6159" s="1" t="s">
        <v>31001</v>
      </c>
      <c r="M6159" s="2" t="s">
        <v>12</v>
      </c>
      <c r="N6159" s="4">
        <f t="shared" si="1"/>
        <v>43525</v>
      </c>
      <c r="O6159" s="5" t="str">
        <f>IFERROR(__xludf.DUMMYFUNCTION("IF(REGEXMATCH(TRIM(I6159), ""^\d+\s*min""), ""Unclassified"", IF(I6159 = """", ""NR"", I6159))"),"TV-PG")</f>
        <v>TV-PG</v>
      </c>
      <c r="R6159" s="5" t="str">
        <f t="shared" si="2"/>
        <v>An Interview With God</v>
      </c>
      <c r="S6159" s="5" t="str">
        <f>IFERROR(__xludf.DUMMYFUNCTION("""COMPUTED_VALUE"""),"Secreto Bien Guardado")</f>
        <v>Secreto Bien Guardado</v>
      </c>
      <c r="V6159" s="5"/>
      <c r="Y6159" s="5" t="str">
        <f>IFERROR(__xludf.DUMMYFUNCTION("REGEXEXTRACT(J6159, ""^\d+"")"),"97")</f>
        <v>97</v>
      </c>
      <c r="Z6159" s="5" t="str">
        <f>IFERROR(__xludf.DUMMYFUNCTION("REGEXEXTRACT(J6159, ""[A-Za-z ]+$"")")," min")</f>
        <v> min</v>
      </c>
      <c r="AA6159" s="5" t="str">
        <f>IFERROR(__xludf.DUMMYFUNCTION("IF(REGEXMATCH(Z6159, ""Season""), ""TV Show"", ""Movie"")"),"Movie")</f>
        <v>Movie</v>
      </c>
    </row>
    <row r="6160">
      <c r="A6160" s="1" t="s">
        <v>31002</v>
      </c>
      <c r="B6160" s="1" t="s">
        <v>27</v>
      </c>
      <c r="C6160" s="1" t="s">
        <v>31003</v>
      </c>
      <c r="D6160" s="1" t="s">
        <v>9731</v>
      </c>
      <c r="E6160" s="1" t="s">
        <v>31004</v>
      </c>
      <c r="F6160" s="1" t="s">
        <v>3309</v>
      </c>
      <c r="G6160" s="1" t="s">
        <v>20298</v>
      </c>
      <c r="H6160" s="1">
        <v>2014.0</v>
      </c>
      <c r="I6160" s="1" t="s">
        <v>42</v>
      </c>
      <c r="J6160" s="1" t="s">
        <v>471</v>
      </c>
      <c r="K6160" s="1" t="s">
        <v>583</v>
      </c>
      <c r="L6160" s="1" t="s">
        <v>31005</v>
      </c>
      <c r="M6160" s="2" t="s">
        <v>12</v>
      </c>
      <c r="N6160" s="4">
        <f t="shared" si="1"/>
        <v>43636</v>
      </c>
      <c r="O6160" s="5" t="str">
        <f>IFERROR(__xludf.DUMMYFUNCTION("IF(REGEXMATCH(TRIM(I6160), ""^\d+\s*min""), ""Unclassified"", IF(I6160 = """", ""NR"", I6160))"),"TV-MA")</f>
        <v>TV-MA</v>
      </c>
      <c r="R6160" s="5" t="str">
        <f t="shared" si="2"/>
        <v>An Upper Egyptian</v>
      </c>
      <c r="S6160" s="5" t="str">
        <f>IFERROR(__xludf.DUMMYFUNCTION("""COMPUTED_VALUE"""),"Secrets In The Hot Spring")</f>
        <v>Secrets In The Hot Spring</v>
      </c>
      <c r="V6160" s="5"/>
      <c r="Y6160" s="5" t="str">
        <f>IFERROR(__xludf.DUMMYFUNCTION("REGEXEXTRACT(J6160, ""^\d+"")"),"85")</f>
        <v>85</v>
      </c>
      <c r="Z6160" s="5" t="str">
        <f>IFERROR(__xludf.DUMMYFUNCTION("REGEXEXTRACT(J6160, ""[A-Za-z ]+$"")")," min")</f>
        <v> min</v>
      </c>
      <c r="AA6160" s="5" t="str">
        <f>IFERROR(__xludf.DUMMYFUNCTION("IF(REGEXMATCH(Z6160, ""Season""), ""TV Show"", ""Movie"")"),"Movie")</f>
        <v>Movie</v>
      </c>
    </row>
    <row r="6161">
      <c r="A6161" s="1" t="s">
        <v>31006</v>
      </c>
      <c r="B6161" s="1" t="s">
        <v>27</v>
      </c>
      <c r="C6161" s="1" t="s">
        <v>31007</v>
      </c>
      <c r="D6161" s="1" t="s">
        <v>2809</v>
      </c>
      <c r="E6161" s="1" t="s">
        <v>31008</v>
      </c>
      <c r="F6161" s="1" t="s">
        <v>63</v>
      </c>
      <c r="G6161" s="1" t="s">
        <v>27569</v>
      </c>
      <c r="H6161" s="1">
        <v>2017.0</v>
      </c>
      <c r="I6161" s="1" t="s">
        <v>42</v>
      </c>
      <c r="J6161" s="1" t="s">
        <v>264</v>
      </c>
      <c r="K6161" s="1" t="s">
        <v>89</v>
      </c>
      <c r="L6161" s="1" t="s">
        <v>31009</v>
      </c>
      <c r="M6161" s="2" t="s">
        <v>12</v>
      </c>
      <c r="N6161" s="4">
        <f t="shared" si="1"/>
        <v>42948</v>
      </c>
      <c r="O6161" s="5" t="str">
        <f>IFERROR(__xludf.DUMMYFUNCTION("IF(REGEXMATCH(TRIM(I6161), ""^\d+\s*min""), ""Unclassified"", IF(I6161 = """", ""NR"", I6161))"),"TV-MA")</f>
        <v>TV-MA</v>
      </c>
      <c r="R6161" s="5" t="str">
        <f t="shared" si="2"/>
        <v>Anarkali Of Aarah</v>
      </c>
      <c r="S6161" s="5" t="str">
        <f>IFERROR(__xludf.DUMMYFUNCTION("""COMPUTED_VALUE"""),"Secrets Of Althorp - The Spencers")</f>
        <v>Secrets Of Althorp - The Spencers</v>
      </c>
      <c r="V6161" s="5"/>
      <c r="Y6161" s="5" t="str">
        <f>IFERROR(__xludf.DUMMYFUNCTION("REGEXEXTRACT(J6161, ""^\d+"")"),"111")</f>
        <v>111</v>
      </c>
      <c r="Z6161" s="5" t="str">
        <f>IFERROR(__xludf.DUMMYFUNCTION("REGEXEXTRACT(J6161, ""[A-Za-z ]+$"")")," min")</f>
        <v> min</v>
      </c>
      <c r="AA6161" s="5" t="str">
        <f>IFERROR(__xludf.DUMMYFUNCTION("IF(REGEXMATCH(Z6161, ""Season""), ""TV Show"", ""Movie"")"),"Movie")</f>
        <v>Movie</v>
      </c>
    </row>
    <row r="6162">
      <c r="A6162" s="1" t="s">
        <v>31010</v>
      </c>
      <c r="B6162" s="1" t="s">
        <v>27</v>
      </c>
      <c r="C6162" s="1" t="s">
        <v>31011</v>
      </c>
      <c r="D6162" s="1" t="s">
        <v>4158</v>
      </c>
      <c r="E6162" s="1" t="s">
        <v>31012</v>
      </c>
      <c r="F6162" s="1" t="s">
        <v>784</v>
      </c>
      <c r="G6162" s="1" t="s">
        <v>22059</v>
      </c>
      <c r="H6162" s="1">
        <v>2017.0</v>
      </c>
      <c r="I6162" s="1" t="s">
        <v>42</v>
      </c>
      <c r="J6162" s="1" t="s">
        <v>519</v>
      </c>
      <c r="K6162" s="1" t="s">
        <v>14564</v>
      </c>
      <c r="L6162" s="1" t="s">
        <v>31013</v>
      </c>
      <c r="M6162" s="2" t="s">
        <v>12</v>
      </c>
      <c r="N6162" s="4">
        <f t="shared" si="1"/>
        <v>43511</v>
      </c>
      <c r="O6162" s="5" t="str">
        <f>IFERROR(__xludf.DUMMYFUNCTION("IF(REGEXMATCH(TRIM(I6162), ""^\d+\s*min""), ""Unclassified"", IF(I6162 = """", ""NR"", I6162))"),"TV-MA")</f>
        <v>TV-MA</v>
      </c>
      <c r="R6162" s="5" t="str">
        <f t="shared" si="2"/>
        <v>Anchor And Hope</v>
      </c>
      <c r="S6162" s="5" t="str">
        <f>IFERROR(__xludf.DUMMYFUNCTION("""COMPUTED_VALUE"""),"Secrets Of Chatsworth")</f>
        <v>Secrets Of Chatsworth</v>
      </c>
      <c r="V6162" s="5"/>
      <c r="Y6162" s="5" t="str">
        <f>IFERROR(__xludf.DUMMYFUNCTION("REGEXEXTRACT(J6162, ""^\d+"")"),"113")</f>
        <v>113</v>
      </c>
      <c r="Z6162" s="5" t="str">
        <f>IFERROR(__xludf.DUMMYFUNCTION("REGEXEXTRACT(J6162, ""[A-Za-z ]+$"")")," min")</f>
        <v> min</v>
      </c>
      <c r="AA6162" s="5" t="str">
        <f>IFERROR(__xludf.DUMMYFUNCTION("IF(REGEXMATCH(Z6162, ""Season""), ""TV Show"", ""Movie"")"),"Movie")</f>
        <v>Movie</v>
      </c>
    </row>
    <row r="6163">
      <c r="A6163" s="1" t="s">
        <v>31014</v>
      </c>
      <c r="B6163" s="1" t="s">
        <v>37</v>
      </c>
      <c r="C6163" s="1" t="s">
        <v>31015</v>
      </c>
      <c r="E6163" s="1" t="s">
        <v>31016</v>
      </c>
      <c r="F6163" s="1" t="s">
        <v>30</v>
      </c>
      <c r="G6163" s="1" t="s">
        <v>19226</v>
      </c>
      <c r="H6163" s="1">
        <v>2018.0</v>
      </c>
      <c r="I6163" s="1" t="s">
        <v>97</v>
      </c>
      <c r="J6163" s="1" t="s">
        <v>51</v>
      </c>
      <c r="K6163" s="1" t="s">
        <v>736</v>
      </c>
      <c r="L6163" s="1" t="s">
        <v>31017</v>
      </c>
      <c r="M6163" s="2" t="s">
        <v>12</v>
      </c>
      <c r="N6163" s="4">
        <f t="shared" si="1"/>
        <v>43725</v>
      </c>
      <c r="O6163" s="5" t="str">
        <f>IFERROR(__xludf.DUMMYFUNCTION("IF(REGEXMATCH(TRIM(I6163), ""^\d+\s*min""), ""Unclassified"", IF(I6163 = """", ""NR"", I6163))"),"TV-14")</f>
        <v>TV-14</v>
      </c>
      <c r="R6163" s="5" t="str">
        <f t="shared" si="2"/>
        <v>Ancient Aliens</v>
      </c>
      <c r="S6163" s="5" t="str">
        <f>IFERROR(__xludf.DUMMYFUNCTION("""COMPUTED_VALUE"""),"Secrets Of Great British Castles")</f>
        <v>Secrets Of Great British Castles</v>
      </c>
      <c r="V6163" s="5"/>
      <c r="Y6163" s="5" t="str">
        <f>IFERROR(__xludf.DUMMYFUNCTION("REGEXEXTRACT(J6163, ""^\d+"")"),"1")</f>
        <v>1</v>
      </c>
      <c r="Z6163" s="5" t="str">
        <f>IFERROR(__xludf.DUMMYFUNCTION("REGEXEXTRACT(J6163, ""[A-Za-z ]+$"")")," Season")</f>
        <v> Season</v>
      </c>
      <c r="AA6163" s="5" t="str">
        <f>IFERROR(__xludf.DUMMYFUNCTION("IF(REGEXMATCH(Z6163, ""Season""), ""TV Show"", ""Movie"")"),"TV Show")</f>
        <v>TV Show</v>
      </c>
    </row>
    <row r="6164">
      <c r="A6164" s="1" t="s">
        <v>31018</v>
      </c>
      <c r="B6164" s="1" t="s">
        <v>27</v>
      </c>
      <c r="C6164" s="1" t="s">
        <v>31019</v>
      </c>
      <c r="D6164" s="1" t="s">
        <v>22510</v>
      </c>
      <c r="E6164" s="1" t="s">
        <v>31020</v>
      </c>
      <c r="F6164" s="1" t="s">
        <v>30</v>
      </c>
      <c r="G6164" s="1" t="s">
        <v>22770</v>
      </c>
      <c r="H6164" s="1">
        <v>2015.0</v>
      </c>
      <c r="I6164" s="1" t="s">
        <v>378</v>
      </c>
      <c r="J6164" s="1" t="s">
        <v>33</v>
      </c>
      <c r="K6164" s="1" t="s">
        <v>1320</v>
      </c>
      <c r="L6164" s="1" t="s">
        <v>31021</v>
      </c>
      <c r="M6164" s="2" t="s">
        <v>12</v>
      </c>
      <c r="N6164" s="4">
        <f t="shared" si="1"/>
        <v>43464</v>
      </c>
      <c r="O6164" s="5" t="str">
        <f>IFERROR(__xludf.DUMMYFUNCTION("IF(REGEXMATCH(TRIM(I6164), ""^\d+\s*min""), ""Unclassified"", IF(I6164 = """", ""NR"", I6164))"),"R")</f>
        <v>R</v>
      </c>
      <c r="R6164" s="5" t="str">
        <f t="shared" si="2"/>
        <v>Anesthesia</v>
      </c>
      <c r="S6164" s="5" t="str">
        <f>IFERROR(__xludf.DUMMYFUNCTION("""COMPUTED_VALUE"""),"Secrets Of Henry Viii'S Palace: Hampton Court")</f>
        <v>Secrets Of Henry Viii'S Palace: Hampton Court</v>
      </c>
      <c r="V6164" s="5"/>
      <c r="Y6164" s="5" t="str">
        <f>IFERROR(__xludf.DUMMYFUNCTION("REGEXEXTRACT(J6164, ""^\d+"")"),"90")</f>
        <v>90</v>
      </c>
      <c r="Z6164" s="5" t="str">
        <f>IFERROR(__xludf.DUMMYFUNCTION("REGEXEXTRACT(J6164, ""[A-Za-z ]+$"")")," min")</f>
        <v> min</v>
      </c>
      <c r="AA6164" s="5" t="str">
        <f>IFERROR(__xludf.DUMMYFUNCTION("IF(REGEXMATCH(Z6164, ""Season""), ""TV Show"", ""Movie"")"),"Movie")</f>
        <v>Movie</v>
      </c>
    </row>
    <row r="6165">
      <c r="A6165" s="1" t="s">
        <v>31022</v>
      </c>
      <c r="B6165" s="1" t="s">
        <v>27</v>
      </c>
      <c r="C6165" s="1" t="s">
        <v>31023</v>
      </c>
      <c r="D6165" s="1" t="s">
        <v>14102</v>
      </c>
      <c r="E6165" s="1" t="s">
        <v>31024</v>
      </c>
      <c r="F6165" s="1" t="s">
        <v>30</v>
      </c>
      <c r="G6165" s="1" t="s">
        <v>11711</v>
      </c>
      <c r="H6165" s="1">
        <v>2001.0</v>
      </c>
      <c r="I6165" s="1" t="s">
        <v>378</v>
      </c>
      <c r="J6165" s="1" t="s">
        <v>238</v>
      </c>
      <c r="K6165" s="1" t="s">
        <v>828</v>
      </c>
      <c r="L6165" s="1" t="s">
        <v>31025</v>
      </c>
      <c r="M6165" s="2" t="s">
        <v>12</v>
      </c>
      <c r="N6165" s="4">
        <f t="shared" si="1"/>
        <v>44079</v>
      </c>
      <c r="O6165" s="5" t="str">
        <f>IFERROR(__xludf.DUMMYFUNCTION("IF(REGEXMATCH(TRIM(I6165), ""^\d+\s*min""), ""Unclassified"", IF(I6165 = """", ""NR"", I6165))"),"R")</f>
        <v>R</v>
      </c>
      <c r="R6165" s="5" t="str">
        <f t="shared" si="2"/>
        <v>Angel Eyes</v>
      </c>
      <c r="S6165" s="5" t="str">
        <f>IFERROR(__xludf.DUMMYFUNCTION("""COMPUTED_VALUE"""),"Secrets Of Her Majesty'S Secret Service")</f>
        <v>Secrets Of Her Majesty'S Secret Service</v>
      </c>
      <c r="V6165" s="5"/>
      <c r="Y6165" s="5" t="str">
        <f>IFERROR(__xludf.DUMMYFUNCTION("REGEXEXTRACT(J6165, ""^\d+"")"),"103")</f>
        <v>103</v>
      </c>
      <c r="Z6165" s="5" t="str">
        <f>IFERROR(__xludf.DUMMYFUNCTION("REGEXEXTRACT(J6165, ""[A-Za-z ]+$"")")," min")</f>
        <v> min</v>
      </c>
      <c r="AA6165" s="5" t="str">
        <f>IFERROR(__xludf.DUMMYFUNCTION("IF(REGEXMATCH(Z6165, ""Season""), ""TV Show"", ""Movie"")"),"Movie")</f>
        <v>Movie</v>
      </c>
    </row>
    <row r="6166">
      <c r="A6166" s="1" t="s">
        <v>31026</v>
      </c>
      <c r="B6166" s="1" t="s">
        <v>27</v>
      </c>
      <c r="C6166" s="1" t="s">
        <v>31027</v>
      </c>
      <c r="D6166" s="1" t="s">
        <v>1254</v>
      </c>
      <c r="E6166" s="1" t="s">
        <v>31028</v>
      </c>
      <c r="F6166" s="1" t="s">
        <v>30</v>
      </c>
      <c r="G6166" s="1" t="s">
        <v>18333</v>
      </c>
      <c r="H6166" s="1">
        <v>2003.0</v>
      </c>
      <c r="I6166" s="1" t="s">
        <v>32</v>
      </c>
      <c r="J6166" s="1" t="s">
        <v>305</v>
      </c>
      <c r="K6166" s="1" t="s">
        <v>239</v>
      </c>
      <c r="L6166" s="1" t="s">
        <v>31029</v>
      </c>
      <c r="M6166" s="2" t="s">
        <v>12</v>
      </c>
      <c r="N6166" s="4">
        <f t="shared" si="1"/>
        <v>43770</v>
      </c>
      <c r="O6166" s="5" t="str">
        <f>IFERROR(__xludf.DUMMYFUNCTION("IF(REGEXMATCH(TRIM(I6166), ""^\d+\s*min""), ""Unclassified"", IF(I6166 = """", ""NR"", I6166))"),"PG-13")</f>
        <v>PG-13</v>
      </c>
      <c r="R6166" s="5" t="str">
        <f t="shared" si="2"/>
        <v>Anger Management</v>
      </c>
      <c r="S6166" s="5" t="str">
        <f>IFERROR(__xludf.DUMMYFUNCTION("""COMPUTED_VALUE"""),"Secrets Of Highclere Castle")</f>
        <v>Secrets Of Highclere Castle</v>
      </c>
      <c r="V6166" s="5"/>
      <c r="Y6166" s="5" t="str">
        <f>IFERROR(__xludf.DUMMYFUNCTION("REGEXEXTRACT(J6166, ""^\d+"")"),"105")</f>
        <v>105</v>
      </c>
      <c r="Z6166" s="5" t="str">
        <f>IFERROR(__xludf.DUMMYFUNCTION("REGEXEXTRACT(J6166, ""[A-Za-z ]+$"")")," min")</f>
        <v> min</v>
      </c>
      <c r="AA6166" s="5" t="str">
        <f>IFERROR(__xludf.DUMMYFUNCTION("IF(REGEXMATCH(Z6166, ""Season""), ""TV Show"", ""Movie"")"),"Movie")</f>
        <v>Movie</v>
      </c>
    </row>
    <row r="6167">
      <c r="A6167" s="1" t="s">
        <v>31030</v>
      </c>
      <c r="B6167" s="1" t="s">
        <v>27</v>
      </c>
      <c r="C6167" s="1" t="s">
        <v>31031</v>
      </c>
      <c r="D6167" s="1" t="s">
        <v>17531</v>
      </c>
      <c r="E6167" s="1" t="s">
        <v>31032</v>
      </c>
      <c r="F6167" s="1" t="s">
        <v>17376</v>
      </c>
      <c r="G6167" s="1" t="s">
        <v>28517</v>
      </c>
      <c r="H6167" s="1">
        <v>2015.0</v>
      </c>
      <c r="I6167" s="1" t="s">
        <v>42</v>
      </c>
      <c r="J6167" s="1" t="s">
        <v>106</v>
      </c>
      <c r="K6167" s="1" t="s">
        <v>89</v>
      </c>
      <c r="L6167" s="1" t="s">
        <v>31033</v>
      </c>
      <c r="M6167" s="2" t="s">
        <v>12</v>
      </c>
      <c r="N6167" s="4">
        <f t="shared" si="1"/>
        <v>42808</v>
      </c>
      <c r="O6167" s="5" t="str">
        <f>IFERROR(__xludf.DUMMYFUNCTION("IF(REGEXMATCH(TRIM(I6167), ""^\d+\s*min""), ""Unclassified"", IF(I6167 = """", ""NR"", I6167))"),"TV-MA")</f>
        <v>TV-MA</v>
      </c>
      <c r="R6167" s="5" t="str">
        <f t="shared" si="2"/>
        <v>Angry Indian Goddesses</v>
      </c>
      <c r="S6167" s="5" t="str">
        <f>IFERROR(__xludf.DUMMYFUNCTION("""COMPUTED_VALUE"""),"Secrets Of Scotland Yard")</f>
        <v>Secrets Of Scotland Yard</v>
      </c>
      <c r="V6167" s="5"/>
      <c r="Y6167" s="5" t="str">
        <f>IFERROR(__xludf.DUMMYFUNCTION("REGEXEXTRACT(J6167, ""^\d+"")"),"104")</f>
        <v>104</v>
      </c>
      <c r="Z6167" s="5" t="str">
        <f>IFERROR(__xludf.DUMMYFUNCTION("REGEXEXTRACT(J6167, ""[A-Za-z ]+$"")")," min")</f>
        <v> min</v>
      </c>
      <c r="AA6167" s="5" t="str">
        <f>IFERROR(__xludf.DUMMYFUNCTION("IF(REGEXMATCH(Z6167, ""Season""), ""TV Show"", ""Movie"")"),"Movie")</f>
        <v>Movie</v>
      </c>
    </row>
    <row r="6168">
      <c r="A6168" s="1" t="s">
        <v>31034</v>
      </c>
      <c r="B6168" s="1" t="s">
        <v>37</v>
      </c>
      <c r="C6168" s="1" t="s">
        <v>31035</v>
      </c>
      <c r="F6168" s="1" t="s">
        <v>63</v>
      </c>
      <c r="G6168" s="1" t="s">
        <v>22981</v>
      </c>
      <c r="H6168" s="1">
        <v>2018.0</v>
      </c>
      <c r="I6168" s="1" t="s">
        <v>97</v>
      </c>
      <c r="J6168" s="1" t="s">
        <v>51</v>
      </c>
      <c r="K6168" s="1" t="s">
        <v>31036</v>
      </c>
      <c r="L6168" s="1" t="s">
        <v>31037</v>
      </c>
      <c r="M6168" s="2" t="s">
        <v>12</v>
      </c>
      <c r="N6168" s="4">
        <f t="shared" si="1"/>
        <v>43449</v>
      </c>
      <c r="O6168" s="5" t="str">
        <f>IFERROR(__xludf.DUMMYFUNCTION("IF(REGEXMATCH(TRIM(I6168), ""^\d+\s*min""), ""Unclassified"", IF(I6168 = """", ""NR"", I6168))"),"TV-14")</f>
        <v>TV-14</v>
      </c>
      <c r="R6168" s="5" t="str">
        <f t="shared" si="2"/>
        <v>Anjaan: Rural Myths</v>
      </c>
      <c r="S6168" s="5" t="str">
        <f>IFERROR(__xludf.DUMMYFUNCTION("""COMPUTED_VALUE"""),"Secrets Of Selfridges")</f>
        <v>Secrets Of Selfridges</v>
      </c>
      <c r="V6168" s="5"/>
      <c r="Y6168" s="5" t="str">
        <f>IFERROR(__xludf.DUMMYFUNCTION("REGEXEXTRACT(J6168, ""^\d+"")"),"1")</f>
        <v>1</v>
      </c>
      <c r="Z6168" s="5" t="str">
        <f>IFERROR(__xludf.DUMMYFUNCTION("REGEXEXTRACT(J6168, ""[A-Za-z ]+$"")")," Season")</f>
        <v> Season</v>
      </c>
      <c r="AA6168" s="5" t="str">
        <f>IFERROR(__xludf.DUMMYFUNCTION("IF(REGEXMATCH(Z6168, ""Season""), ""TV Show"", ""Movie"")"),"TV Show")</f>
        <v>TV Show</v>
      </c>
    </row>
    <row r="6169">
      <c r="A6169" s="1" t="s">
        <v>31038</v>
      </c>
      <c r="B6169" s="1" t="s">
        <v>37</v>
      </c>
      <c r="C6169" s="1" t="s">
        <v>31039</v>
      </c>
      <c r="E6169" s="1" t="s">
        <v>31040</v>
      </c>
      <c r="F6169" s="1" t="s">
        <v>63</v>
      </c>
      <c r="G6169" s="7">
        <v>43221.0</v>
      </c>
      <c r="H6169" s="1">
        <v>2018.0</v>
      </c>
      <c r="I6169" s="1" t="s">
        <v>97</v>
      </c>
      <c r="J6169" s="1" t="s">
        <v>51</v>
      </c>
      <c r="K6169" s="1" t="s">
        <v>9484</v>
      </c>
      <c r="L6169" s="1" t="s">
        <v>31041</v>
      </c>
      <c r="M6169" s="2" t="s">
        <v>12</v>
      </c>
      <c r="N6169" s="4">
        <f t="shared" si="1"/>
        <v>43221</v>
      </c>
      <c r="O6169" s="5" t="str">
        <f>IFERROR(__xludf.DUMMYFUNCTION("IF(REGEXMATCH(TRIM(I6169), ""^\d+\s*min""), ""Unclassified"", IF(I6169 = """", ""NR"", I6169))"),"TV-14")</f>
        <v>TV-14</v>
      </c>
      <c r="R6169" s="5" t="str">
        <f t="shared" si="2"/>
        <v>Anjaan: Special Crimes Unit</v>
      </c>
      <c r="S6169" s="5" t="str">
        <f>IFERROR(__xludf.DUMMYFUNCTION("""COMPUTED_VALUE"""),"Secrets Of The Saqqara Tomb")</f>
        <v>Secrets Of The Saqqara Tomb</v>
      </c>
      <c r="V6169" s="5"/>
      <c r="Y6169" s="5" t="str">
        <f>IFERROR(__xludf.DUMMYFUNCTION("REGEXEXTRACT(J6169, ""^\d+"")"),"1")</f>
        <v>1</v>
      </c>
      <c r="Z6169" s="5" t="str">
        <f>IFERROR(__xludf.DUMMYFUNCTION("REGEXEXTRACT(J6169, ""[A-Za-z ]+$"")")," Season")</f>
        <v> Season</v>
      </c>
      <c r="AA6169" s="5" t="str">
        <f>IFERROR(__xludf.DUMMYFUNCTION("IF(REGEXMATCH(Z6169, ""Season""), ""TV Show"", ""Movie"")"),"TV Show")</f>
        <v>TV Show</v>
      </c>
    </row>
    <row r="6170">
      <c r="A6170" s="1" t="s">
        <v>31042</v>
      </c>
      <c r="B6170" s="1" t="s">
        <v>27</v>
      </c>
      <c r="C6170" s="1" t="s">
        <v>31043</v>
      </c>
      <c r="D6170" s="1" t="s">
        <v>21314</v>
      </c>
      <c r="E6170" s="1" t="s">
        <v>31044</v>
      </c>
      <c r="F6170" s="1" t="s">
        <v>63</v>
      </c>
      <c r="G6170" s="1" t="s">
        <v>27021</v>
      </c>
      <c r="H6170" s="1">
        <v>2013.0</v>
      </c>
      <c r="I6170" s="1" t="s">
        <v>97</v>
      </c>
      <c r="J6170" s="1" t="s">
        <v>127</v>
      </c>
      <c r="K6170" s="1" t="s">
        <v>298</v>
      </c>
      <c r="L6170" s="1" t="s">
        <v>31045</v>
      </c>
      <c r="M6170" s="2" t="s">
        <v>12</v>
      </c>
      <c r="N6170" s="4">
        <f t="shared" si="1"/>
        <v>43023</v>
      </c>
      <c r="O6170" s="5" t="str">
        <f>IFERROR(__xludf.DUMMYFUNCTION("IF(REGEXMATCH(TRIM(I6170), ""^\d+\s*min""), ""Unclassified"", IF(I6170 = """", ""NR"", I6170))"),"TV-14")</f>
        <v>TV-14</v>
      </c>
      <c r="R6170" s="5" t="str">
        <f t="shared" si="2"/>
        <v>Ankur Arora Murder Case</v>
      </c>
      <c r="S6170" s="5" t="str">
        <f>IFERROR(__xludf.DUMMYFUNCTION("""COMPUTED_VALUE"""),"Secrets Of The Tower Of London")</f>
        <v>Secrets Of The Tower Of London</v>
      </c>
      <c r="V6170" s="5"/>
      <c r="Y6170" s="5" t="str">
        <f>IFERROR(__xludf.DUMMYFUNCTION("REGEXEXTRACT(J6170, ""^\d+"")"),"127")</f>
        <v>127</v>
      </c>
      <c r="Z6170" s="5" t="str">
        <f>IFERROR(__xludf.DUMMYFUNCTION("REGEXEXTRACT(J6170, ""[A-Za-z ]+$"")")," min")</f>
        <v> min</v>
      </c>
      <c r="AA6170" s="5" t="str">
        <f>IFERROR(__xludf.DUMMYFUNCTION("IF(REGEXMATCH(Z6170, ""Season""), ""TV Show"", ""Movie"")"),"Movie")</f>
        <v>Movie</v>
      </c>
    </row>
    <row r="6171">
      <c r="A6171" s="1" t="s">
        <v>31046</v>
      </c>
      <c r="B6171" s="1" t="s">
        <v>27</v>
      </c>
      <c r="C6171" s="1" t="s">
        <v>31047</v>
      </c>
      <c r="D6171" s="1" t="s">
        <v>17773</v>
      </c>
      <c r="E6171" s="1" t="s">
        <v>31048</v>
      </c>
      <c r="F6171" s="1" t="s">
        <v>30</v>
      </c>
      <c r="G6171" s="1" t="s">
        <v>27569</v>
      </c>
      <c r="H6171" s="1">
        <v>2016.0</v>
      </c>
      <c r="I6171" s="1" t="s">
        <v>136</v>
      </c>
      <c r="J6171" s="1" t="s">
        <v>665</v>
      </c>
      <c r="K6171" s="1" t="s">
        <v>80</v>
      </c>
      <c r="L6171" s="1" t="s">
        <v>31049</v>
      </c>
      <c r="M6171" s="2" t="s">
        <v>12</v>
      </c>
      <c r="N6171" s="4">
        <f t="shared" si="1"/>
        <v>42948</v>
      </c>
      <c r="O6171" s="5" t="str">
        <f>IFERROR(__xludf.DUMMYFUNCTION("IF(REGEXMATCH(TRIM(I6171), ""^\d+\s*min""), ""Unclassified"", IF(I6171 = """", ""NR"", I6171))"),"TV-PG")</f>
        <v>TV-PG</v>
      </c>
      <c r="R6171" s="5" t="str">
        <f t="shared" si="2"/>
        <v>Annabelle Hooper And The Ghosts Of Nantucket</v>
      </c>
      <c r="S6171" s="5" t="str">
        <f>IFERROR(__xludf.DUMMYFUNCTION("""COMPUTED_VALUE"""),"Secrets Of Underground London")</f>
        <v>Secrets Of Underground London</v>
      </c>
      <c r="V6171" s="5"/>
      <c r="Y6171" s="5" t="str">
        <f>IFERROR(__xludf.DUMMYFUNCTION("REGEXEXTRACT(J6171, ""^\d+"")"),"92")</f>
        <v>92</v>
      </c>
      <c r="Z6171" s="5" t="str">
        <f>IFERROR(__xludf.DUMMYFUNCTION("REGEXEXTRACT(J6171, ""[A-Za-z ]+$"")")," min")</f>
        <v> min</v>
      </c>
      <c r="AA6171" s="5" t="str">
        <f>IFERROR(__xludf.DUMMYFUNCTION("IF(REGEXMATCH(Z6171, ""Season""), ""TV Show"", ""Movie"")"),"Movie")</f>
        <v>Movie</v>
      </c>
    </row>
    <row r="6172">
      <c r="A6172" s="1" t="s">
        <v>31050</v>
      </c>
      <c r="B6172" s="1" t="s">
        <v>27</v>
      </c>
      <c r="C6172" s="1" t="s">
        <v>31051</v>
      </c>
      <c r="D6172" s="1" t="s">
        <v>12009</v>
      </c>
      <c r="E6172" s="1" t="s">
        <v>31052</v>
      </c>
      <c r="F6172" s="1" t="s">
        <v>31053</v>
      </c>
      <c r="G6172" s="1" t="s">
        <v>28459</v>
      </c>
      <c r="H6172" s="1">
        <v>2016.0</v>
      </c>
      <c r="I6172" s="1" t="s">
        <v>136</v>
      </c>
      <c r="J6172" s="1" t="s">
        <v>4699</v>
      </c>
      <c r="K6172" s="1" t="s">
        <v>89</v>
      </c>
      <c r="L6172" s="1" t="s">
        <v>31054</v>
      </c>
      <c r="M6172" s="2" t="s">
        <v>12</v>
      </c>
      <c r="N6172" s="4">
        <f t="shared" si="1"/>
        <v>42815</v>
      </c>
      <c r="O6172" s="5" t="str">
        <f>IFERROR(__xludf.DUMMYFUNCTION("IF(REGEXMATCH(TRIM(I6172), ""^\d+\s*min""), ""Unclassified"", IF(I6172 = """", ""NR"", I6172))"),"TV-PG")</f>
        <v>TV-PG</v>
      </c>
      <c r="R6172" s="5" t="str">
        <f t="shared" si="2"/>
        <v>Another Forever</v>
      </c>
      <c r="S6172" s="5" t="str">
        <f>IFERROR(__xludf.DUMMYFUNCTION("""COMPUTED_VALUE"""),"Secrets Of Westminster")</f>
        <v>Secrets Of Westminster</v>
      </c>
      <c r="V6172" s="5"/>
      <c r="Y6172" s="5" t="str">
        <f>IFERROR(__xludf.DUMMYFUNCTION("REGEXEXTRACT(J6172, ""^\d+"")"),"72")</f>
        <v>72</v>
      </c>
      <c r="Z6172" s="5" t="str">
        <f>IFERROR(__xludf.DUMMYFUNCTION("REGEXEXTRACT(J6172, ""[A-Za-z ]+$"")")," min")</f>
        <v> min</v>
      </c>
      <c r="AA6172" s="5" t="str">
        <f>IFERROR(__xludf.DUMMYFUNCTION("IF(REGEXMATCH(Z6172, ""Season""), ""TV Show"", ""Movie"")"),"Movie")</f>
        <v>Movie</v>
      </c>
    </row>
    <row r="6173">
      <c r="A6173" s="1" t="s">
        <v>31055</v>
      </c>
      <c r="B6173" s="1" t="s">
        <v>27</v>
      </c>
      <c r="C6173" s="1" t="s">
        <v>31056</v>
      </c>
      <c r="D6173" s="1" t="s">
        <v>6784</v>
      </c>
      <c r="E6173" s="1" t="s">
        <v>31057</v>
      </c>
      <c r="F6173" s="1" t="s">
        <v>30</v>
      </c>
      <c r="G6173" s="1" t="s">
        <v>22319</v>
      </c>
      <c r="H6173" s="1">
        <v>2018.0</v>
      </c>
      <c r="I6173" s="1" t="s">
        <v>32</v>
      </c>
      <c r="J6173" s="1" t="s">
        <v>870</v>
      </c>
      <c r="K6173" s="1" t="s">
        <v>3505</v>
      </c>
      <c r="L6173" s="1" t="s">
        <v>31058</v>
      </c>
      <c r="M6173" s="2" t="s">
        <v>12</v>
      </c>
      <c r="N6173" s="4">
        <f t="shared" si="1"/>
        <v>43494</v>
      </c>
      <c r="O6173" s="5" t="str">
        <f>IFERROR(__xludf.DUMMYFUNCTION("IF(REGEXMATCH(TRIM(I6173), ""^\d+\s*min""), ""Unclassified"", IF(I6173 = """", ""NR"", I6173))"),"PG-13")</f>
        <v>PG-13</v>
      </c>
      <c r="R6173" s="5" t="str">
        <f t="shared" si="2"/>
        <v>Ant-Man And The Wasp</v>
      </c>
      <c r="S6173" s="5" t="str">
        <f>IFERROR(__xludf.DUMMYFUNCTION("""COMPUTED_VALUE"""),"Security")</f>
        <v>Security</v>
      </c>
      <c r="V6173" s="5"/>
      <c r="Y6173" s="5" t="str">
        <f>IFERROR(__xludf.DUMMYFUNCTION("REGEXEXTRACT(J6173, ""^\d+"")"),"118")</f>
        <v>118</v>
      </c>
      <c r="Z6173" s="5" t="str">
        <f>IFERROR(__xludf.DUMMYFUNCTION("REGEXEXTRACT(J6173, ""[A-Za-z ]+$"")")," min")</f>
        <v> min</v>
      </c>
      <c r="AA6173" s="5" t="str">
        <f>IFERROR(__xludf.DUMMYFUNCTION("IF(REGEXMATCH(Z6173, ""Season""), ""TV Show"", ""Movie"")"),"Movie")</f>
        <v>Movie</v>
      </c>
    </row>
    <row r="6174">
      <c r="A6174" s="1" t="s">
        <v>31059</v>
      </c>
      <c r="B6174" s="1" t="s">
        <v>27</v>
      </c>
      <c r="C6174" s="1" t="s">
        <v>31060</v>
      </c>
      <c r="D6174" s="1" t="s">
        <v>21036</v>
      </c>
      <c r="E6174" s="1" t="s">
        <v>31061</v>
      </c>
      <c r="F6174" s="1" t="s">
        <v>3309</v>
      </c>
      <c r="G6174" s="7">
        <v>43594.0</v>
      </c>
      <c r="H6174" s="1">
        <v>2017.0</v>
      </c>
      <c r="I6174" s="1" t="s">
        <v>42</v>
      </c>
      <c r="J6174" s="1" t="s">
        <v>297</v>
      </c>
      <c r="K6174" s="1" t="s">
        <v>199</v>
      </c>
      <c r="L6174" s="1" t="s">
        <v>31062</v>
      </c>
      <c r="M6174" s="2" t="s">
        <v>12</v>
      </c>
      <c r="N6174" s="4">
        <f t="shared" si="1"/>
        <v>43594</v>
      </c>
      <c r="O6174" s="5" t="str">
        <f>IFERROR(__xludf.DUMMYFUNCTION("IF(REGEXMATCH(TRIM(I6174), ""^\d+\s*min""), ""Unclassified"", IF(I6174 = """", ""NR"", I6174))"),"TV-MA")</f>
        <v>TV-MA</v>
      </c>
      <c r="R6174" s="5" t="str">
        <f t="shared" si="2"/>
        <v>Antar: Son Of Shadad</v>
      </c>
      <c r="S6174" s="5" t="str">
        <f>IFERROR(__xludf.DUMMYFUNCTION("""COMPUTED_VALUE"""),"See You In Time")</f>
        <v>See You In Time</v>
      </c>
      <c r="V6174" s="5"/>
      <c r="Y6174" s="5" t="str">
        <f>IFERROR(__xludf.DUMMYFUNCTION("REGEXEXTRACT(J6174, ""^\d+"")"),"110")</f>
        <v>110</v>
      </c>
      <c r="Z6174" s="5" t="str">
        <f>IFERROR(__xludf.DUMMYFUNCTION("REGEXEXTRACT(J6174, ""[A-Za-z ]+$"")")," min")</f>
        <v> min</v>
      </c>
      <c r="AA6174" s="5" t="str">
        <f>IFERROR(__xludf.DUMMYFUNCTION("IF(REGEXMATCH(Z6174, ""Season""), ""TV Show"", ""Movie"")"),"Movie")</f>
        <v>Movie</v>
      </c>
    </row>
    <row r="6175">
      <c r="A6175" s="1" t="s">
        <v>31063</v>
      </c>
      <c r="B6175" s="1" t="s">
        <v>27</v>
      </c>
      <c r="C6175" s="1" t="s">
        <v>31064</v>
      </c>
      <c r="D6175" s="1" t="s">
        <v>2126</v>
      </c>
      <c r="E6175" s="1" t="s">
        <v>31065</v>
      </c>
      <c r="G6175" s="1" t="s">
        <v>20318</v>
      </c>
      <c r="H6175" s="1">
        <v>2018.0</v>
      </c>
      <c r="I6175" s="1" t="s">
        <v>289</v>
      </c>
      <c r="J6175" s="1" t="s">
        <v>2616</v>
      </c>
      <c r="K6175" s="1" t="s">
        <v>80</v>
      </c>
      <c r="L6175" s="1" t="s">
        <v>31066</v>
      </c>
      <c r="M6175" s="2" t="s">
        <v>12</v>
      </c>
      <c r="N6175" s="4">
        <f t="shared" si="1"/>
        <v>43634</v>
      </c>
      <c r="O6175" s="5" t="str">
        <f>IFERROR(__xludf.DUMMYFUNCTION("IF(REGEXMATCH(TRIM(I6175), ""^\d+\s*min""), ""Unclassified"", IF(I6175 = """", ""NR"", I6175))"),"TV-Y7")</f>
        <v>TV-Y7</v>
      </c>
      <c r="R6175" s="5" t="str">
        <f t="shared" si="2"/>
        <v>Antariksha Ke Rakhwale</v>
      </c>
      <c r="S6175" s="5" t="str">
        <f>IFERROR(__xludf.DUMMYFUNCTION("""COMPUTED_VALUE"""),"See You Yesterday")</f>
        <v>See You Yesterday</v>
      </c>
      <c r="V6175" s="5"/>
      <c r="Y6175" s="5" t="str">
        <f>IFERROR(__xludf.DUMMYFUNCTION("REGEXEXTRACT(J6175, ""^\d+"")"),"65")</f>
        <v>65</v>
      </c>
      <c r="Z6175" s="5" t="str">
        <f>IFERROR(__xludf.DUMMYFUNCTION("REGEXEXTRACT(J6175, ""[A-Za-z ]+$"")")," min")</f>
        <v> min</v>
      </c>
      <c r="AA6175" s="5" t="str">
        <f>IFERROR(__xludf.DUMMYFUNCTION("IF(REGEXMATCH(Z6175, ""Season""), ""TV Show"", ""Movie"")"),"Movie")</f>
        <v>Movie</v>
      </c>
    </row>
    <row r="6176">
      <c r="A6176" s="1" t="s">
        <v>31067</v>
      </c>
      <c r="B6176" s="1" t="s">
        <v>37</v>
      </c>
      <c r="C6176" s="1" t="s">
        <v>31068</v>
      </c>
      <c r="E6176" s="1" t="s">
        <v>31069</v>
      </c>
      <c r="F6176" s="1" t="s">
        <v>30</v>
      </c>
      <c r="H6176" s="1">
        <v>2018.0</v>
      </c>
      <c r="I6176" s="1" t="s">
        <v>136</v>
      </c>
      <c r="J6176" s="1" t="s">
        <v>189</v>
      </c>
      <c r="K6176" s="1" t="s">
        <v>1261</v>
      </c>
      <c r="L6176" s="1" t="s">
        <v>31070</v>
      </c>
      <c r="M6176" s="2" t="s">
        <v>12</v>
      </c>
      <c r="N6176" s="1" t="str">
        <f t="shared" si="1"/>
        <v>#VALUE!</v>
      </c>
      <c r="O6176" s="5" t="str">
        <f>IFERROR(__xludf.DUMMYFUNCTION("IF(REGEXMATCH(TRIM(I6176), ""^\d+\s*min""), ""Unclassified"", IF(I6176 = """", ""NR"", I6176))"),"TV-PG")</f>
        <v>TV-PG</v>
      </c>
      <c r="R6176" s="5" t="str">
        <f t="shared" si="2"/>
        <v>Anthony Bourdain: Parts Unknown</v>
      </c>
      <c r="S6176" s="5" t="str">
        <f>IFERROR(__xludf.DUMMYFUNCTION("""COMPUTED_VALUE"""),"Seeing Allred")</f>
        <v>Seeing Allred</v>
      </c>
      <c r="V6176" s="5"/>
      <c r="Y6176" s="5" t="str">
        <f>IFERROR(__xludf.DUMMYFUNCTION("REGEXEXTRACT(J6176, ""^\d+"")"),"5")</f>
        <v>5</v>
      </c>
      <c r="Z6176" s="5" t="str">
        <f>IFERROR(__xludf.DUMMYFUNCTION("REGEXEXTRACT(J6176, ""[A-Za-z ]+$"")")," Seasons")</f>
        <v> Seasons</v>
      </c>
      <c r="AA6176" s="5" t="str">
        <f>IFERROR(__xludf.DUMMYFUNCTION("IF(REGEXMATCH(Z6176, ""Season""), ""TV Show"", ""Movie"")"),"TV Show")</f>
        <v>TV Show</v>
      </c>
    </row>
    <row r="6177">
      <c r="A6177" s="1" t="s">
        <v>31071</v>
      </c>
      <c r="B6177" s="1" t="s">
        <v>27</v>
      </c>
      <c r="C6177" s="1" t="s">
        <v>31072</v>
      </c>
      <c r="D6177" s="1" t="s">
        <v>12685</v>
      </c>
      <c r="E6177" s="1" t="s">
        <v>31073</v>
      </c>
      <c r="F6177" s="1" t="s">
        <v>30</v>
      </c>
      <c r="G6177" s="1" t="s">
        <v>21198</v>
      </c>
      <c r="H6177" s="1">
        <v>2018.0</v>
      </c>
      <c r="I6177" s="1" t="s">
        <v>42</v>
      </c>
      <c r="J6177" s="1" t="s">
        <v>33</v>
      </c>
      <c r="K6177" s="1" t="s">
        <v>5165</v>
      </c>
      <c r="L6177" s="1" t="s">
        <v>31074</v>
      </c>
      <c r="M6177" s="2" t="s">
        <v>12</v>
      </c>
      <c r="N6177" s="4">
        <f t="shared" si="1"/>
        <v>43569</v>
      </c>
      <c r="O6177" s="5" t="str">
        <f>IFERROR(__xludf.DUMMYFUNCTION("IF(REGEXMATCH(TRIM(I6177), ""^\d+\s*min""), ""Unclassified"", IF(I6177 = """", ""NR"", I6177))"),"TV-MA")</f>
        <v>TV-MA</v>
      </c>
      <c r="R6177" s="5" t="str">
        <f t="shared" si="2"/>
        <v>Antidote</v>
      </c>
      <c r="S6177" s="5" t="str">
        <f>IFERROR(__xludf.DUMMYFUNCTION("""COMPUTED_VALUE"""),"Sei")</f>
        <v>Sei</v>
      </c>
      <c r="V6177" s="5"/>
      <c r="Y6177" s="5" t="str">
        <f>IFERROR(__xludf.DUMMYFUNCTION("REGEXEXTRACT(J6177, ""^\d+"")"),"90")</f>
        <v>90</v>
      </c>
      <c r="Z6177" s="5" t="str">
        <f>IFERROR(__xludf.DUMMYFUNCTION("REGEXEXTRACT(J6177, ""[A-Za-z ]+$"")")," min")</f>
        <v> min</v>
      </c>
      <c r="AA6177" s="5" t="str">
        <f>IFERROR(__xludf.DUMMYFUNCTION("IF(REGEXMATCH(Z6177, ""Season""), ""TV Show"", ""Movie"")"),"Movie")</f>
        <v>Movie</v>
      </c>
    </row>
    <row r="6178">
      <c r="A6178" s="1" t="s">
        <v>31075</v>
      </c>
      <c r="B6178" s="1" t="s">
        <v>27</v>
      </c>
      <c r="C6178" s="1" t="s">
        <v>31076</v>
      </c>
      <c r="D6178" s="1" t="s">
        <v>14447</v>
      </c>
      <c r="E6178" s="1" t="s">
        <v>31077</v>
      </c>
      <c r="F6178" s="1" t="s">
        <v>63</v>
      </c>
      <c r="G6178" s="1" t="s">
        <v>17078</v>
      </c>
      <c r="H6178" s="1">
        <v>2007.0</v>
      </c>
      <c r="I6178" s="1" t="s">
        <v>97</v>
      </c>
      <c r="J6178" s="1" t="s">
        <v>7413</v>
      </c>
      <c r="K6178" s="1" t="s">
        <v>89</v>
      </c>
      <c r="L6178" s="1" t="s">
        <v>31078</v>
      </c>
      <c r="M6178" s="2" t="s">
        <v>12</v>
      </c>
      <c r="N6178" s="4">
        <f t="shared" si="1"/>
        <v>43830</v>
      </c>
      <c r="O6178" s="5" t="str">
        <f>IFERROR(__xludf.DUMMYFUNCTION("IF(REGEXMATCH(TRIM(I6178), ""^\d+\s*min""), ""Unclassified"", IF(I6178 = """", ""NR"", I6178))"),"TV-14")</f>
        <v>TV-14</v>
      </c>
      <c r="R6178" s="5" t="str">
        <f t="shared" si="2"/>
        <v>Anwar</v>
      </c>
      <c r="S6178" s="5" t="str">
        <f>IFERROR(__xludf.DUMMYFUNCTION("""COMPUTED_VALUE"""),"Seis Manos")</f>
        <v>Seis Manos</v>
      </c>
      <c r="V6178" s="5"/>
      <c r="Y6178" s="5" t="str">
        <f>IFERROR(__xludf.DUMMYFUNCTION("REGEXEXTRACT(J6178, ""^\d+"")"),"134")</f>
        <v>134</v>
      </c>
      <c r="Z6178" s="5" t="str">
        <f>IFERROR(__xludf.DUMMYFUNCTION("REGEXEXTRACT(J6178, ""[A-Za-z ]+$"")")," min")</f>
        <v> min</v>
      </c>
      <c r="AA6178" s="5" t="str">
        <f>IFERROR(__xludf.DUMMYFUNCTION("IF(REGEXMATCH(Z6178, ""Season""), ""TV Show"", ""Movie"")"),"Movie")</f>
        <v>Movie</v>
      </c>
    </row>
    <row r="6179">
      <c r="A6179" s="1" t="s">
        <v>31079</v>
      </c>
      <c r="B6179" s="1" t="s">
        <v>37</v>
      </c>
      <c r="C6179" s="1" t="s">
        <v>31080</v>
      </c>
      <c r="F6179" s="1" t="s">
        <v>415</v>
      </c>
      <c r="G6179" s="1" t="s">
        <v>31081</v>
      </c>
      <c r="H6179" s="1">
        <v>2012.0</v>
      </c>
      <c r="I6179" s="1" t="s">
        <v>289</v>
      </c>
      <c r="J6179" s="1" t="s">
        <v>43</v>
      </c>
      <c r="K6179" s="1" t="s">
        <v>623</v>
      </c>
      <c r="L6179" s="1" t="s">
        <v>31082</v>
      </c>
      <c r="M6179" s="2" t="s">
        <v>12</v>
      </c>
      <c r="N6179" s="1" t="str">
        <f t="shared" si="1"/>
        <v>#N/A</v>
      </c>
      <c r="O6179" s="5" t="str">
        <f>IFERROR(__xludf.DUMMYFUNCTION("IF(REGEXMATCH(TRIM(I6179), ""^\d+\s*min""), ""Unclassified"", IF(I6179 = """", ""NR"", I6179))"),"TV-Y7")</f>
        <v>TV-Y7</v>
      </c>
      <c r="R6179" s="5" t="str">
        <f t="shared" si="2"/>
        <v>忍者ハットリくん</v>
      </c>
      <c r="S6179" s="5" t="str">
        <f>IFERROR(__xludf.DUMMYFUNCTION("""COMPUTED_VALUE"""),"Selection Day")</f>
        <v>Selection Day</v>
      </c>
      <c r="V6179" s="5"/>
      <c r="Y6179" s="5" t="str">
        <f>IFERROR(__xludf.DUMMYFUNCTION("REGEXEXTRACT(J6179, ""^\d+"")"),"2")</f>
        <v>2</v>
      </c>
      <c r="Z6179" s="5" t="str">
        <f>IFERROR(__xludf.DUMMYFUNCTION("REGEXEXTRACT(J6179, ""[A-Za-z ]+$"")")," Seasons")</f>
        <v> Seasons</v>
      </c>
      <c r="AA6179" s="5" t="str">
        <f>IFERROR(__xludf.DUMMYFUNCTION("IF(REGEXMATCH(Z6179, ""Season""), ""TV Show"", ""Movie"")"),"TV Show")</f>
        <v>TV Show</v>
      </c>
    </row>
    <row r="6180">
      <c r="A6180" s="1" t="s">
        <v>31083</v>
      </c>
      <c r="B6180" s="1" t="s">
        <v>27</v>
      </c>
      <c r="C6180" s="1" t="s">
        <v>31084</v>
      </c>
      <c r="D6180" s="1" t="s">
        <v>6114</v>
      </c>
      <c r="F6180" s="1" t="s">
        <v>30</v>
      </c>
      <c r="G6180" s="1" t="s">
        <v>18333</v>
      </c>
      <c r="H6180" s="1">
        <v>2017.0</v>
      </c>
      <c r="I6180" s="1" t="s">
        <v>42</v>
      </c>
      <c r="J6180" s="1" t="s">
        <v>1191</v>
      </c>
      <c r="K6180" s="1" t="s">
        <v>34</v>
      </c>
      <c r="L6180" s="1" t="s">
        <v>31085</v>
      </c>
      <c r="M6180" s="2" t="s">
        <v>12</v>
      </c>
      <c r="N6180" s="4">
        <f t="shared" si="1"/>
        <v>43770</v>
      </c>
      <c r="O6180" s="5" t="str">
        <f>IFERROR(__xludf.DUMMYFUNCTION("IF(REGEXMATCH(TRIM(I6180), ""^\d+\s*min""), ""Unclassified"", IF(I6180 = """", ""NR"", I6180))"),"TV-MA")</f>
        <v>TV-MA</v>
      </c>
      <c r="R6180" s="5" t="str">
        <f t="shared" si="2"/>
        <v>Apache Warrior</v>
      </c>
      <c r="S6180" s="5" t="str">
        <f>IFERROR(__xludf.DUMMYFUNCTION("""COMPUTED_VALUE"""),"Selena: The Series")</f>
        <v>Selena: The Series</v>
      </c>
      <c r="V6180" s="5"/>
      <c r="Y6180" s="5" t="str">
        <f>IFERROR(__xludf.DUMMYFUNCTION("REGEXEXTRACT(J6180, ""^\d+"")"),"89")</f>
        <v>89</v>
      </c>
      <c r="Z6180" s="5" t="str">
        <f>IFERROR(__xludf.DUMMYFUNCTION("REGEXEXTRACT(J6180, ""[A-Za-z ]+$"")")," min")</f>
        <v> min</v>
      </c>
      <c r="AA6180" s="5" t="str">
        <f>IFERROR(__xludf.DUMMYFUNCTION("IF(REGEXMATCH(Z6180, ""Season""), ""TV Show"", ""Movie"")"),"Movie")</f>
        <v>Movie</v>
      </c>
    </row>
    <row r="6181">
      <c r="A6181" s="1" t="s">
        <v>31086</v>
      </c>
      <c r="B6181" s="1" t="s">
        <v>27</v>
      </c>
      <c r="C6181" s="1" t="s">
        <v>31087</v>
      </c>
      <c r="D6181" s="1" t="s">
        <v>9836</v>
      </c>
      <c r="E6181" s="1" t="s">
        <v>31088</v>
      </c>
      <c r="F6181" s="1" t="s">
        <v>30</v>
      </c>
      <c r="G6181" s="1" t="s">
        <v>29574</v>
      </c>
      <c r="H6181" s="1">
        <v>2016.0</v>
      </c>
      <c r="I6181" s="1" t="s">
        <v>30231</v>
      </c>
      <c r="J6181" s="1" t="s">
        <v>1144</v>
      </c>
      <c r="K6181" s="1" t="s">
        <v>34</v>
      </c>
      <c r="L6181" s="1" t="s">
        <v>31089</v>
      </c>
      <c r="M6181" s="2" t="s">
        <v>12</v>
      </c>
      <c r="N6181" s="4">
        <f t="shared" si="1"/>
        <v>42583</v>
      </c>
      <c r="O6181" s="5" t="str">
        <f>IFERROR(__xludf.DUMMYFUNCTION("IF(REGEXMATCH(TRIM(I6181), ""^\d+\s*min""), ""Unclassified"", IF(I6181 = """", ""NR"", I6181))"),"NR")</f>
        <v>NR</v>
      </c>
      <c r="R6181" s="5" t="str">
        <f t="shared" si="2"/>
        <v>Apex: The Story Of The Hypercar</v>
      </c>
      <c r="S6181" s="5" t="str">
        <f>IFERROR(__xludf.DUMMYFUNCTION("""COMPUTED_VALUE"""),"Self Made: Inspired By The Life Of Madam C.J. Walker")</f>
        <v>Self Made: Inspired By The Life Of Madam C.J. Walker</v>
      </c>
      <c r="V6181" s="5"/>
      <c r="Y6181" s="5" t="str">
        <f>IFERROR(__xludf.DUMMYFUNCTION("REGEXEXTRACT(J6181, ""^\d+"")"),"86")</f>
        <v>86</v>
      </c>
      <c r="Z6181" s="5" t="str">
        <f>IFERROR(__xludf.DUMMYFUNCTION("REGEXEXTRACT(J6181, ""[A-Za-z ]+$"")")," min")</f>
        <v> min</v>
      </c>
      <c r="AA6181" s="5" t="str">
        <f>IFERROR(__xludf.DUMMYFUNCTION("IF(REGEXMATCH(Z6181, ""Season""), ""TV Show"", ""Movie"")"),"Movie")</f>
        <v>Movie</v>
      </c>
    </row>
    <row r="6182">
      <c r="A6182" s="1" t="s">
        <v>31090</v>
      </c>
      <c r="B6182" s="1" t="s">
        <v>27</v>
      </c>
      <c r="C6182" s="1" t="s">
        <v>31091</v>
      </c>
      <c r="D6182" s="1" t="s">
        <v>8567</v>
      </c>
      <c r="E6182" s="1" t="s">
        <v>31092</v>
      </c>
      <c r="F6182" s="1" t="s">
        <v>897</v>
      </c>
      <c r="G6182" s="1" t="s">
        <v>31093</v>
      </c>
      <c r="H6182" s="1">
        <v>2011.0</v>
      </c>
      <c r="I6182" s="1" t="s">
        <v>32</v>
      </c>
      <c r="J6182" s="1" t="s">
        <v>630</v>
      </c>
      <c r="K6182" s="1" t="s">
        <v>17209</v>
      </c>
      <c r="L6182" s="1" t="s">
        <v>31094</v>
      </c>
      <c r="M6182" s="2" t="s">
        <v>12</v>
      </c>
      <c r="N6182" s="4">
        <f t="shared" si="1"/>
        <v>43533</v>
      </c>
      <c r="O6182" s="5" t="str">
        <f>IFERROR(__xludf.DUMMYFUNCTION("IF(REGEXMATCH(TRIM(I6182), ""^\d+\s*min""), ""Unclassified"", IF(I6182 = """", ""NR"", I6182))"),"PG-13")</f>
        <v>PG-13</v>
      </c>
      <c r="R6182" s="5" t="str">
        <f t="shared" si="2"/>
        <v>Apollo 18</v>
      </c>
      <c r="S6182" s="5" t="str">
        <f>IFERROR(__xludf.DUMMYFUNCTION("""COMPUTED_VALUE"""),"Selfless")</f>
        <v>Selfless</v>
      </c>
      <c r="V6182" s="5"/>
      <c r="Y6182" s="5" t="str">
        <f>IFERROR(__xludf.DUMMYFUNCTION("REGEXEXTRACT(J6182, ""^\d+"")"),"87")</f>
        <v>87</v>
      </c>
      <c r="Z6182" s="5" t="str">
        <f>IFERROR(__xludf.DUMMYFUNCTION("REGEXEXTRACT(J6182, ""[A-Za-z ]+$"")")," min")</f>
        <v> min</v>
      </c>
      <c r="AA6182" s="5" t="str">
        <f>IFERROR(__xludf.DUMMYFUNCTION("IF(REGEXMATCH(Z6182, ""Season""), ""TV Show"", ""Movie"")"),"Movie")</f>
        <v>Movie</v>
      </c>
    </row>
    <row r="6183">
      <c r="A6183" s="1" t="s">
        <v>31095</v>
      </c>
      <c r="B6183" s="1" t="s">
        <v>27</v>
      </c>
      <c r="C6183" s="1" t="s">
        <v>31096</v>
      </c>
      <c r="D6183" s="1" t="s">
        <v>4861</v>
      </c>
      <c r="E6183" s="1" t="s">
        <v>31097</v>
      </c>
      <c r="F6183" s="1" t="s">
        <v>31098</v>
      </c>
      <c r="G6183" s="1" t="s">
        <v>27097</v>
      </c>
      <c r="H6183" s="1">
        <v>2015.0</v>
      </c>
      <c r="I6183" s="1" t="s">
        <v>78</v>
      </c>
      <c r="J6183" s="1" t="s">
        <v>1256</v>
      </c>
      <c r="K6183" s="1" t="s">
        <v>1328</v>
      </c>
      <c r="L6183" s="1" t="s">
        <v>31099</v>
      </c>
      <c r="M6183" s="2" t="s">
        <v>12</v>
      </c>
      <c r="N6183" s="4">
        <f t="shared" si="1"/>
        <v>43009</v>
      </c>
      <c r="O6183" s="5" t="str">
        <f>IFERROR(__xludf.DUMMYFUNCTION("IF(REGEXMATCH(TRIM(I6183), ""^\d+\s*min""), ""Unclassified"", IF(I6183 = """", ""NR"", I6183))"),"PG")</f>
        <v>PG</v>
      </c>
      <c r="R6183" s="5" t="str">
        <f t="shared" si="2"/>
        <v>April And The Extraordinary World</v>
      </c>
      <c r="S6183" s="5" t="str">
        <f>IFERROR(__xludf.DUMMYFUNCTION("""COMPUTED_VALUE"""),"Selling Sunset")</f>
        <v>Selling Sunset</v>
      </c>
      <c r="V6183" s="5"/>
      <c r="Y6183" s="5" t="str">
        <f>IFERROR(__xludf.DUMMYFUNCTION("REGEXEXTRACT(J6183, ""^\d+"")"),"107")</f>
        <v>107</v>
      </c>
      <c r="Z6183" s="5" t="str">
        <f>IFERROR(__xludf.DUMMYFUNCTION("REGEXEXTRACT(J6183, ""[A-Za-z ]+$"")")," min")</f>
        <v> min</v>
      </c>
      <c r="AA6183" s="5" t="str">
        <f>IFERROR(__xludf.DUMMYFUNCTION("IF(REGEXMATCH(Z6183, ""Season""), ""TV Show"", ""Movie"")"),"Movie")</f>
        <v>Movie</v>
      </c>
    </row>
    <row r="6184">
      <c r="A6184" s="1" t="s">
        <v>31100</v>
      </c>
      <c r="B6184" s="1" t="s">
        <v>27</v>
      </c>
      <c r="C6184" s="1" t="s">
        <v>31101</v>
      </c>
      <c r="D6184" s="1" t="s">
        <v>4937</v>
      </c>
      <c r="E6184" s="1" t="s">
        <v>31102</v>
      </c>
      <c r="F6184" s="1" t="s">
        <v>30</v>
      </c>
      <c r="G6184" s="1" t="s">
        <v>28629</v>
      </c>
      <c r="H6184" s="1">
        <v>2015.0</v>
      </c>
      <c r="I6184" s="1" t="s">
        <v>97</v>
      </c>
      <c r="J6184" s="1" t="s">
        <v>6391</v>
      </c>
      <c r="K6184" s="1" t="s">
        <v>1320</v>
      </c>
      <c r="L6184" s="1" t="s">
        <v>31103</v>
      </c>
      <c r="M6184" s="2" t="s">
        <v>12</v>
      </c>
      <c r="N6184" s="4">
        <f t="shared" si="1"/>
        <v>42781</v>
      </c>
      <c r="O6184" s="5" t="str">
        <f>IFERROR(__xludf.DUMMYFUNCTION("IF(REGEXMATCH(TRIM(I6184), ""^\d+\s*min""), ""Unclassified"", IF(I6184 = """", ""NR"", I6184))"),"TV-14")</f>
        <v>TV-14</v>
      </c>
      <c r="R6184" s="5" t="str">
        <f t="shared" si="2"/>
        <v>Aram, Aram</v>
      </c>
      <c r="S6184" s="5" t="str">
        <f>IFERROR(__xludf.DUMMYFUNCTION("""COMPUTED_VALUE"""),"Semana Santa")</f>
        <v>Semana Santa</v>
      </c>
      <c r="V6184" s="5"/>
      <c r="Y6184" s="5" t="str">
        <f>IFERROR(__xludf.DUMMYFUNCTION("REGEXEXTRACT(J6184, ""^\d+"")"),"79")</f>
        <v>79</v>
      </c>
      <c r="Z6184" s="5" t="str">
        <f>IFERROR(__xludf.DUMMYFUNCTION("REGEXEXTRACT(J6184, ""[A-Za-z ]+$"")")," min")</f>
        <v> min</v>
      </c>
      <c r="AA6184" s="5" t="str">
        <f>IFERROR(__xludf.DUMMYFUNCTION("IF(REGEXMATCH(Z6184, ""Season""), ""TV Show"", ""Movie"")"),"Movie")</f>
        <v>Movie</v>
      </c>
    </row>
    <row r="6185">
      <c r="A6185" s="1" t="s">
        <v>31104</v>
      </c>
      <c r="B6185" s="1" t="s">
        <v>27</v>
      </c>
      <c r="C6185" s="1" t="s">
        <v>31105</v>
      </c>
      <c r="D6185" s="1" t="s">
        <v>12899</v>
      </c>
      <c r="E6185" s="1" t="s">
        <v>31106</v>
      </c>
      <c r="F6185" s="1" t="s">
        <v>3309</v>
      </c>
      <c r="G6185" s="1" t="s">
        <v>19813</v>
      </c>
      <c r="H6185" s="1">
        <v>2018.0</v>
      </c>
      <c r="I6185" s="1" t="s">
        <v>97</v>
      </c>
      <c r="J6185" s="1" t="s">
        <v>630</v>
      </c>
      <c r="K6185" s="1" t="s">
        <v>583</v>
      </c>
      <c r="L6185" s="1" t="s">
        <v>31107</v>
      </c>
      <c r="M6185" s="2" t="s">
        <v>12</v>
      </c>
      <c r="N6185" s="4">
        <f t="shared" si="1"/>
        <v>43678</v>
      </c>
      <c r="O6185" s="5" t="str">
        <f>IFERROR(__xludf.DUMMYFUNCTION("IF(REGEXMATCH(TRIM(I6185), ""^\d+\s*min""), ""Unclassified"", IF(I6185 = """", ""NR"", I6185))"),"TV-14")</f>
        <v>TV-14</v>
      </c>
      <c r="R6185" s="5" t="str">
        <f t="shared" si="2"/>
        <v>Are We Done Yet?</v>
      </c>
      <c r="S6185" s="5" t="str">
        <f>IFERROR(__xludf.DUMMYFUNCTION("""COMPUTED_VALUE"""),"Sen Kimsin?")</f>
        <v>Sen Kimsin?</v>
      </c>
      <c r="V6185" s="5"/>
      <c r="Y6185" s="5" t="str">
        <f>IFERROR(__xludf.DUMMYFUNCTION("REGEXEXTRACT(J6185, ""^\d+"")"),"87")</f>
        <v>87</v>
      </c>
      <c r="Z6185" s="5" t="str">
        <f>IFERROR(__xludf.DUMMYFUNCTION("REGEXEXTRACT(J6185, ""[A-Za-z ]+$"")")," min")</f>
        <v> min</v>
      </c>
      <c r="AA6185" s="5" t="str">
        <f>IFERROR(__xludf.DUMMYFUNCTION("IF(REGEXMATCH(Z6185, ""Season""), ""TV Show"", ""Movie"")"),"Movie")</f>
        <v>Movie</v>
      </c>
    </row>
    <row r="6186">
      <c r="A6186" s="1" t="s">
        <v>31108</v>
      </c>
      <c r="B6186" s="1" t="s">
        <v>27</v>
      </c>
      <c r="C6186" s="1" t="s">
        <v>31109</v>
      </c>
      <c r="D6186" s="1" t="s">
        <v>16741</v>
      </c>
      <c r="E6186" s="1" t="s">
        <v>31110</v>
      </c>
      <c r="F6186" s="1" t="s">
        <v>2873</v>
      </c>
      <c r="G6186" s="1" t="s">
        <v>24523</v>
      </c>
      <c r="H6186" s="1">
        <v>2011.0</v>
      </c>
      <c r="I6186" s="1" t="s">
        <v>97</v>
      </c>
      <c r="J6186" s="1" t="s">
        <v>519</v>
      </c>
      <c r="K6186" s="1" t="s">
        <v>583</v>
      </c>
      <c r="L6186" s="1" t="s">
        <v>31111</v>
      </c>
      <c r="M6186" s="2" t="s">
        <v>12</v>
      </c>
      <c r="N6186" s="4">
        <f t="shared" si="1"/>
        <v>43358</v>
      </c>
      <c r="O6186" s="5" t="str">
        <f>IFERROR(__xludf.DUMMYFUNCTION("IF(REGEXMATCH(TRIM(I6186), ""^\d+\s*min""), ""Unclassified"", IF(I6186 = """", ""NR"", I6186))"),"TV-14")</f>
        <v>TV-14</v>
      </c>
      <c r="R6186" s="5" t="str">
        <f t="shared" si="2"/>
        <v>Arisan 2</v>
      </c>
      <c r="S6186" s="5" t="str">
        <f>IFERROR(__xludf.DUMMYFUNCTION("""COMPUTED_VALUE"""),"Senna")</f>
        <v>Senna</v>
      </c>
      <c r="V6186" s="5"/>
      <c r="Y6186" s="5" t="str">
        <f>IFERROR(__xludf.DUMMYFUNCTION("REGEXEXTRACT(J6186, ""^\d+"")"),"113")</f>
        <v>113</v>
      </c>
      <c r="Z6186" s="5" t="str">
        <f>IFERROR(__xludf.DUMMYFUNCTION("REGEXEXTRACT(J6186, ""[A-Za-z ]+$"")")," min")</f>
        <v> min</v>
      </c>
      <c r="AA6186" s="5" t="str">
        <f>IFERROR(__xludf.DUMMYFUNCTION("IF(REGEXMATCH(Z6186, ""Season""), ""TV Show"", ""Movie"")"),"Movie")</f>
        <v>Movie</v>
      </c>
    </row>
    <row r="6187">
      <c r="A6187" s="1" t="s">
        <v>31112</v>
      </c>
      <c r="B6187" s="1" t="s">
        <v>27</v>
      </c>
      <c r="C6187" s="1" t="s">
        <v>31113</v>
      </c>
      <c r="D6187" s="1" t="s">
        <v>10315</v>
      </c>
      <c r="E6187" s="1" t="s">
        <v>31114</v>
      </c>
      <c r="F6187" s="1" t="s">
        <v>30</v>
      </c>
      <c r="G6187" s="1" t="s">
        <v>21360</v>
      </c>
      <c r="H6187" s="1">
        <v>2011.0</v>
      </c>
      <c r="I6187" s="1" t="s">
        <v>32</v>
      </c>
      <c r="J6187" s="1" t="s">
        <v>297</v>
      </c>
      <c r="K6187" s="1" t="s">
        <v>813</v>
      </c>
      <c r="L6187" s="1" t="s">
        <v>31115</v>
      </c>
      <c r="M6187" s="2" t="s">
        <v>12</v>
      </c>
      <c r="N6187" s="4">
        <f t="shared" si="1"/>
        <v>43556</v>
      </c>
      <c r="O6187" s="5" t="str">
        <f>IFERROR(__xludf.DUMMYFUNCTION("IF(REGEXMATCH(TRIM(I6187), ""^\d+\s*min""), ""Unclassified"", IF(I6187 = """", ""NR"", I6187))"),"PG-13")</f>
        <v>PG-13</v>
      </c>
      <c r="R6187" s="5" t="str">
        <f t="shared" si="2"/>
        <v>Arthur</v>
      </c>
      <c r="S6187" s="5" t="str">
        <f>IFERROR(__xludf.DUMMYFUNCTION("""COMPUTED_VALUE"""),"Sense8")</f>
        <v>Sense8</v>
      </c>
      <c r="V6187" s="5"/>
      <c r="Y6187" s="5" t="str">
        <f>IFERROR(__xludf.DUMMYFUNCTION("REGEXEXTRACT(J6187, ""^\d+"")"),"110")</f>
        <v>110</v>
      </c>
      <c r="Z6187" s="5" t="str">
        <f>IFERROR(__xludf.DUMMYFUNCTION("REGEXEXTRACT(J6187, ""[A-Za-z ]+$"")")," min")</f>
        <v> min</v>
      </c>
      <c r="AA6187" s="5" t="str">
        <f>IFERROR(__xludf.DUMMYFUNCTION("IF(REGEXMATCH(Z6187, ""Season""), ""TV Show"", ""Movie"")"),"Movie")</f>
        <v>Movie</v>
      </c>
    </row>
    <row r="6188">
      <c r="A6188" s="1" t="s">
        <v>31116</v>
      </c>
      <c r="B6188" s="1" t="s">
        <v>27</v>
      </c>
      <c r="C6188" s="1" t="s">
        <v>31117</v>
      </c>
      <c r="D6188" s="1" t="s">
        <v>20473</v>
      </c>
      <c r="E6188" s="1" t="s">
        <v>31118</v>
      </c>
      <c r="F6188" s="1" t="s">
        <v>686</v>
      </c>
      <c r="G6188" s="1" t="s">
        <v>16947</v>
      </c>
      <c r="H6188" s="1">
        <v>2011.0</v>
      </c>
      <c r="I6188" s="1" t="s">
        <v>78</v>
      </c>
      <c r="J6188" s="1" t="s">
        <v>357</v>
      </c>
      <c r="K6188" s="1" t="s">
        <v>137</v>
      </c>
      <c r="L6188" s="1" t="s">
        <v>31119</v>
      </c>
      <c r="M6188" s="2" t="s">
        <v>12</v>
      </c>
      <c r="N6188" s="4">
        <f t="shared" si="1"/>
        <v>43831</v>
      </c>
      <c r="O6188" s="5" t="str">
        <f>IFERROR(__xludf.DUMMYFUNCTION("IF(REGEXMATCH(TRIM(I6188), ""^\d+\s*min""), ""Unclassified"", IF(I6188 = """", ""NR"", I6188))"),"PG")</f>
        <v>PG</v>
      </c>
      <c r="R6188" s="5" t="str">
        <f t="shared" si="2"/>
        <v>Arthur Christmas</v>
      </c>
      <c r="S6188" s="5" t="str">
        <f>IFERROR(__xludf.DUMMYFUNCTION("""COMPUTED_VALUE"""),"Sensitive Skin")</f>
        <v>Sensitive Skin</v>
      </c>
      <c r="V6188" s="5"/>
      <c r="Y6188" s="5" t="str">
        <f>IFERROR(__xludf.DUMMYFUNCTION("REGEXEXTRACT(J6188, ""^\d+"")"),"98")</f>
        <v>98</v>
      </c>
      <c r="Z6188" s="5" t="str">
        <f>IFERROR(__xludf.DUMMYFUNCTION("REGEXEXTRACT(J6188, ""[A-Za-z ]+$"")")," min")</f>
        <v> min</v>
      </c>
      <c r="AA6188" s="5" t="str">
        <f>IFERROR(__xludf.DUMMYFUNCTION("IF(REGEXMATCH(Z6188, ""Season""), ""TV Show"", ""Movie"")"),"Movie")</f>
        <v>Movie</v>
      </c>
    </row>
    <row r="6189">
      <c r="A6189" s="1" t="s">
        <v>31120</v>
      </c>
      <c r="B6189" s="1" t="s">
        <v>27</v>
      </c>
      <c r="C6189" s="1" t="s">
        <v>31121</v>
      </c>
      <c r="D6189" s="1" t="s">
        <v>7467</v>
      </c>
      <c r="E6189" s="1" t="s">
        <v>31122</v>
      </c>
      <c r="F6189" s="1" t="s">
        <v>30</v>
      </c>
      <c r="G6189" s="1" t="s">
        <v>31123</v>
      </c>
      <c r="H6189" s="1">
        <v>2014.0</v>
      </c>
      <c r="I6189" s="1" t="s">
        <v>378</v>
      </c>
      <c r="J6189" s="1" t="s">
        <v>454</v>
      </c>
      <c r="K6189" s="1" t="s">
        <v>3768</v>
      </c>
      <c r="L6189" s="1" t="s">
        <v>31124</v>
      </c>
      <c r="M6189" s="2" t="s">
        <v>12</v>
      </c>
      <c r="N6189" s="4">
        <f t="shared" si="1"/>
        <v>43359</v>
      </c>
      <c r="O6189" s="5" t="str">
        <f>IFERROR(__xludf.DUMMYFUNCTION("IF(REGEXMATCH(TRIM(I6189), ""^\d+\s*min""), ""Unclassified"", IF(I6189 = """", ""NR"", I6189))"),"R")</f>
        <v>R</v>
      </c>
      <c r="R6189" s="5" t="str">
        <f t="shared" si="2"/>
        <v>As Above, So Below</v>
      </c>
      <c r="S6189" s="5" t="str">
        <f>IFERROR(__xludf.DUMMYFUNCTION("""COMPUTED_VALUE"""),"Sentinelle")</f>
        <v>Sentinelle</v>
      </c>
      <c r="V6189" s="5"/>
      <c r="Y6189" s="5" t="str">
        <f>IFERROR(__xludf.DUMMYFUNCTION("REGEXEXTRACT(J6189, ""^\d+"")"),"93")</f>
        <v>93</v>
      </c>
      <c r="Z6189" s="5" t="str">
        <f>IFERROR(__xludf.DUMMYFUNCTION("REGEXEXTRACT(J6189, ""[A-Za-z ]+$"")")," min")</f>
        <v> min</v>
      </c>
      <c r="AA6189" s="5" t="str">
        <f>IFERROR(__xludf.DUMMYFUNCTION("IF(REGEXMATCH(Z6189, ""Season""), ""TV Show"", ""Movie"")"),"Movie")</f>
        <v>Movie</v>
      </c>
    </row>
    <row r="6190">
      <c r="A6190" s="1" t="s">
        <v>31125</v>
      </c>
      <c r="B6190" s="1" t="s">
        <v>27</v>
      </c>
      <c r="C6190" s="1" t="s">
        <v>31126</v>
      </c>
      <c r="D6190" s="1" t="s">
        <v>10026</v>
      </c>
      <c r="E6190" s="1" t="s">
        <v>31127</v>
      </c>
      <c r="F6190" s="1" t="s">
        <v>30</v>
      </c>
      <c r="G6190" s="1" t="s">
        <v>16947</v>
      </c>
      <c r="H6190" s="1">
        <v>1997.0</v>
      </c>
      <c r="I6190" s="1" t="s">
        <v>32</v>
      </c>
      <c r="J6190" s="1" t="s">
        <v>1938</v>
      </c>
      <c r="K6190" s="1" t="s">
        <v>813</v>
      </c>
      <c r="L6190" s="1" t="s">
        <v>31128</v>
      </c>
      <c r="M6190" s="2" t="s">
        <v>12</v>
      </c>
      <c r="N6190" s="4">
        <f t="shared" si="1"/>
        <v>43831</v>
      </c>
      <c r="O6190" s="5" t="str">
        <f>IFERROR(__xludf.DUMMYFUNCTION("IF(REGEXMATCH(TRIM(I6190), ""^\d+\s*min""), ""Unclassified"", IF(I6190 = """", ""NR"", I6190))"),"PG-13")</f>
        <v>PG-13</v>
      </c>
      <c r="R6190" s="5" t="str">
        <f t="shared" si="2"/>
        <v>As Good As It Gets</v>
      </c>
      <c r="S6190" s="5" t="str">
        <f>IFERROR(__xludf.DUMMYFUNCTION("""COMPUTED_VALUE"""),"Señora Acero")</f>
        <v>Señora Acero</v>
      </c>
      <c r="V6190" s="5"/>
      <c r="Y6190" s="5" t="str">
        <f>IFERROR(__xludf.DUMMYFUNCTION("REGEXEXTRACT(J6190, ""^\d+"")"),"139")</f>
        <v>139</v>
      </c>
      <c r="Z6190" s="5" t="str">
        <f>IFERROR(__xludf.DUMMYFUNCTION("REGEXEXTRACT(J6190, ""[A-Za-z ]+$"")")," min")</f>
        <v> min</v>
      </c>
      <c r="AA6190" s="5" t="str">
        <f>IFERROR(__xludf.DUMMYFUNCTION("IF(REGEXMATCH(Z6190, ""Season""), ""TV Show"", ""Movie"")"),"Movie")</f>
        <v>Movie</v>
      </c>
    </row>
    <row r="6191">
      <c r="A6191" s="1" t="s">
        <v>31129</v>
      </c>
      <c r="B6191" s="1" t="s">
        <v>27</v>
      </c>
      <c r="C6191" s="1" t="s">
        <v>31130</v>
      </c>
      <c r="D6191" s="1" t="s">
        <v>11414</v>
      </c>
      <c r="E6191" s="1" t="s">
        <v>31131</v>
      </c>
      <c r="F6191" s="1" t="s">
        <v>30</v>
      </c>
      <c r="G6191" s="1" t="s">
        <v>18539</v>
      </c>
      <c r="H6191" s="1">
        <v>2019.0</v>
      </c>
      <c r="I6191" s="1" t="s">
        <v>42</v>
      </c>
      <c r="J6191" s="1" t="s">
        <v>170</v>
      </c>
      <c r="K6191" s="1" t="s">
        <v>17209</v>
      </c>
      <c r="L6191" s="1" t="s">
        <v>31132</v>
      </c>
      <c r="M6191" s="2" t="s">
        <v>12</v>
      </c>
      <c r="N6191" s="4">
        <f t="shared" si="1"/>
        <v>43763</v>
      </c>
      <c r="O6191" s="5" t="str">
        <f>IFERROR(__xludf.DUMMYFUNCTION("IF(REGEXMATCH(TRIM(I6191), ""^\d+\s*min""), ""Unclassified"", IF(I6191 = """", ""NR"", I6191))"),"TV-MA")</f>
        <v>TV-MA</v>
      </c>
      <c r="R6191" s="5" t="str">
        <f t="shared" si="2"/>
        <v>Assimilate</v>
      </c>
      <c r="S6191" s="5" t="str">
        <f>IFERROR(__xludf.DUMMYFUNCTION("""COMPUTED_VALUE"""),"Seoul Searching")</f>
        <v>Seoul Searching</v>
      </c>
      <c r="V6191" s="5"/>
      <c r="Y6191" s="5" t="str">
        <f>IFERROR(__xludf.DUMMYFUNCTION("REGEXEXTRACT(J6191, ""^\d+"")"),"94")</f>
        <v>94</v>
      </c>
      <c r="Z6191" s="5" t="str">
        <f>IFERROR(__xludf.DUMMYFUNCTION("REGEXEXTRACT(J6191, ""[A-Za-z ]+$"")")," min")</f>
        <v> min</v>
      </c>
      <c r="AA6191" s="5" t="str">
        <f>IFERROR(__xludf.DUMMYFUNCTION("IF(REGEXMATCH(Z6191, ""Season""), ""TV Show"", ""Movie"")"),"Movie")</f>
        <v>Movie</v>
      </c>
    </row>
    <row r="6192">
      <c r="A6192" s="1" t="s">
        <v>31133</v>
      </c>
      <c r="B6192" s="1" t="s">
        <v>27</v>
      </c>
      <c r="C6192" s="1" t="s">
        <v>31134</v>
      </c>
      <c r="D6192" s="1" t="s">
        <v>31135</v>
      </c>
      <c r="E6192" s="1" t="s">
        <v>31136</v>
      </c>
      <c r="F6192" s="1" t="s">
        <v>749</v>
      </c>
      <c r="G6192" s="1" t="s">
        <v>26235</v>
      </c>
      <c r="H6192" s="1">
        <v>2016.0</v>
      </c>
      <c r="I6192" s="1" t="s">
        <v>30231</v>
      </c>
      <c r="J6192" s="1" t="s">
        <v>1428</v>
      </c>
      <c r="K6192" s="1" t="s">
        <v>306</v>
      </c>
      <c r="L6192" s="1" t="s">
        <v>31137</v>
      </c>
      <c r="M6192" s="2" t="s">
        <v>12</v>
      </c>
      <c r="N6192" s="4">
        <f t="shared" si="1"/>
        <v>43146</v>
      </c>
      <c r="O6192" s="5" t="str">
        <f>IFERROR(__xludf.DUMMYFUNCTION("IF(REGEXMATCH(TRIM(I6192), ""^\d+\s*min""), ""Unclassified"", IF(I6192 = """", ""NR"", I6192))"),"NR")</f>
        <v>NR</v>
      </c>
      <c r="R6192" s="5" t="str">
        <f t="shared" si="2"/>
        <v>Asura: The City Of Madness</v>
      </c>
      <c r="S6192" s="5" t="str">
        <f>IFERROR(__xludf.DUMMYFUNCTION("""COMPUTED_VALUE"""),"Septembers Of Shiraz")</f>
        <v>Septembers Of Shiraz</v>
      </c>
      <c r="V6192" s="5"/>
      <c r="Y6192" s="5" t="str">
        <f>IFERROR(__xludf.DUMMYFUNCTION("REGEXEXTRACT(J6192, ""^\d+"")"),"133")</f>
        <v>133</v>
      </c>
      <c r="Z6192" s="5" t="str">
        <f>IFERROR(__xludf.DUMMYFUNCTION("REGEXEXTRACT(J6192, ""[A-Za-z ]+$"")")," min")</f>
        <v> min</v>
      </c>
      <c r="AA6192" s="5" t="str">
        <f>IFERROR(__xludf.DUMMYFUNCTION("IF(REGEXMATCH(Z6192, ""Season""), ""TV Show"", ""Movie"")"),"Movie")</f>
        <v>Movie</v>
      </c>
    </row>
    <row r="6193">
      <c r="A6193" s="1" t="s">
        <v>31138</v>
      </c>
      <c r="B6193" s="1" t="s">
        <v>27</v>
      </c>
      <c r="C6193" s="1" t="s">
        <v>31139</v>
      </c>
      <c r="D6193" s="1" t="s">
        <v>16076</v>
      </c>
      <c r="E6193" s="1" t="s">
        <v>31140</v>
      </c>
      <c r="F6193" s="1" t="s">
        <v>30</v>
      </c>
      <c r="G6193" s="1" t="s">
        <v>31141</v>
      </c>
      <c r="H6193" s="1">
        <v>2016.0</v>
      </c>
      <c r="I6193" s="1" t="s">
        <v>42</v>
      </c>
      <c r="J6193" s="1" t="s">
        <v>2452</v>
      </c>
      <c r="K6193" s="1" t="s">
        <v>645</v>
      </c>
      <c r="L6193" s="1" t="s">
        <v>31142</v>
      </c>
      <c r="M6193" s="2" t="s">
        <v>12</v>
      </c>
      <c r="N6193" s="4">
        <f t="shared" si="1"/>
        <v>42718</v>
      </c>
      <c r="O6193" s="5" t="str">
        <f>IFERROR(__xludf.DUMMYFUNCTION("IF(REGEXMATCH(TRIM(I6193), ""^\d+\s*min""), ""Unclassified"", IF(I6193 = """", ""NR"", I6193))"),"TV-MA")</f>
        <v>TV-MA</v>
      </c>
      <c r="R6193" s="5" t="str">
        <f t="shared" si="2"/>
        <v>At All Costs</v>
      </c>
      <c r="S6193" s="5" t="str">
        <f>IFERROR(__xludf.DUMMYFUNCTION("""COMPUTED_VALUE"""),"Septiembre, Un Llanto En Silencio")</f>
        <v>Septiembre, Un Llanto En Silencio</v>
      </c>
      <c r="V6193" s="5"/>
      <c r="Y6193" s="5" t="str">
        <f>IFERROR(__xludf.DUMMYFUNCTION("REGEXEXTRACT(J6193, ""^\d+"")"),"81")</f>
        <v>81</v>
      </c>
      <c r="Z6193" s="5" t="str">
        <f>IFERROR(__xludf.DUMMYFUNCTION("REGEXEXTRACT(J6193, ""[A-Za-z ]+$"")")," min")</f>
        <v> min</v>
      </c>
      <c r="AA6193" s="5" t="str">
        <f>IFERROR(__xludf.DUMMYFUNCTION("IF(REGEXMATCH(Z6193, ""Season""), ""TV Show"", ""Movie"")"),"Movie")</f>
        <v>Movie</v>
      </c>
    </row>
    <row r="6194">
      <c r="A6194" s="1" t="s">
        <v>31143</v>
      </c>
      <c r="B6194" s="1" t="s">
        <v>27</v>
      </c>
      <c r="C6194" s="1" t="s">
        <v>31144</v>
      </c>
      <c r="D6194" s="1" t="s">
        <v>10304</v>
      </c>
      <c r="E6194" s="1" t="s">
        <v>31145</v>
      </c>
      <c r="F6194" s="1" t="s">
        <v>1106</v>
      </c>
      <c r="G6194" s="1" t="s">
        <v>31146</v>
      </c>
      <c r="H6194" s="1">
        <v>2018.0</v>
      </c>
      <c r="I6194" s="1" t="s">
        <v>97</v>
      </c>
      <c r="J6194" s="1" t="s">
        <v>79</v>
      </c>
      <c r="K6194" s="1" t="s">
        <v>8226</v>
      </c>
      <c r="L6194" s="1" t="s">
        <v>31147</v>
      </c>
      <c r="M6194" s="2" t="s">
        <v>12</v>
      </c>
      <c r="N6194" s="4">
        <f t="shared" si="1"/>
        <v>43461</v>
      </c>
      <c r="O6194" s="5" t="str">
        <f>IFERROR(__xludf.DUMMYFUNCTION("IF(REGEXMATCH(TRIM(I6194), ""^\d+\s*min""), ""Unclassified"", IF(I6194 = """", ""NR"", I6194))"),"TV-14")</f>
        <v>TV-14</v>
      </c>
      <c r="R6194" s="5" t="str">
        <f t="shared" si="2"/>
        <v>At First Light</v>
      </c>
      <c r="S6194" s="5" t="str">
        <f>IFERROR(__xludf.DUMMYFUNCTION("""COMPUTED_VALUE"""),"Sergio")</f>
        <v>Sergio</v>
      </c>
      <c r="V6194" s="5"/>
      <c r="Y6194" s="5" t="str">
        <f>IFERROR(__xludf.DUMMYFUNCTION("REGEXEXTRACT(J6194, ""^\d+"")"),"91")</f>
        <v>91</v>
      </c>
      <c r="Z6194" s="5" t="str">
        <f>IFERROR(__xludf.DUMMYFUNCTION("REGEXEXTRACT(J6194, ""[A-Za-z ]+$"")")," min")</f>
        <v> min</v>
      </c>
      <c r="AA6194" s="5" t="str">
        <f>IFERROR(__xludf.DUMMYFUNCTION("IF(REGEXMATCH(Z6194, ""Season""), ""TV Show"", ""Movie"")"),"Movie")</f>
        <v>Movie</v>
      </c>
    </row>
    <row r="6195">
      <c r="A6195" s="1" t="s">
        <v>31148</v>
      </c>
      <c r="B6195" s="1" t="s">
        <v>27</v>
      </c>
      <c r="C6195" s="1" t="s">
        <v>31149</v>
      </c>
      <c r="D6195" s="1" t="s">
        <v>15498</v>
      </c>
      <c r="E6195" s="1" t="s">
        <v>31150</v>
      </c>
      <c r="F6195" s="1" t="s">
        <v>897</v>
      </c>
      <c r="G6195" s="1" t="s">
        <v>31151</v>
      </c>
      <c r="H6195" s="1">
        <v>2012.0</v>
      </c>
      <c r="I6195" s="1" t="s">
        <v>97</v>
      </c>
      <c r="J6195" s="1" t="s">
        <v>393</v>
      </c>
      <c r="K6195" s="1" t="s">
        <v>215</v>
      </c>
      <c r="L6195" s="1" t="s">
        <v>31152</v>
      </c>
      <c r="M6195" s="2" t="s">
        <v>12</v>
      </c>
      <c r="N6195" s="4">
        <f t="shared" si="1"/>
        <v>43348</v>
      </c>
      <c r="O6195" s="5" t="str">
        <f>IFERROR(__xludf.DUMMYFUNCTION("IF(REGEXMATCH(TRIM(I6195), ""^\d+\s*min""), ""Unclassified"", IF(I6195 = """", ""NR"", I6195))"),"TV-14")</f>
        <v>TV-14</v>
      </c>
      <c r="R6195" s="5" t="str">
        <f t="shared" si="2"/>
        <v>Atm</v>
      </c>
      <c r="S6195" s="5" t="str">
        <f>IFERROR(__xludf.DUMMYFUNCTION("""COMPUTED_VALUE"""),"Serial Killer With Piers Morgan")</f>
        <v>Serial Killer With Piers Morgan</v>
      </c>
      <c r="V6195" s="5"/>
      <c r="Y6195" s="5" t="str">
        <f>IFERROR(__xludf.DUMMYFUNCTION("REGEXEXTRACT(J6195, ""^\d+"")"),"122")</f>
        <v>122</v>
      </c>
      <c r="Z6195" s="5" t="str">
        <f>IFERROR(__xludf.DUMMYFUNCTION("REGEXEXTRACT(J6195, ""[A-Za-z ]+$"")")," min")</f>
        <v> min</v>
      </c>
      <c r="AA6195" s="5" t="str">
        <f>IFERROR(__xludf.DUMMYFUNCTION("IF(REGEXMATCH(Z6195, ""Season""), ""TV Show"", ""Movie"")"),"Movie")</f>
        <v>Movie</v>
      </c>
    </row>
    <row r="6196">
      <c r="A6196" s="1" t="s">
        <v>31153</v>
      </c>
      <c r="B6196" s="1" t="s">
        <v>37</v>
      </c>
      <c r="C6196" s="1" t="s">
        <v>31154</v>
      </c>
      <c r="E6196" s="1" t="s">
        <v>31155</v>
      </c>
      <c r="F6196" s="1" t="s">
        <v>31156</v>
      </c>
      <c r="G6196" s="1" t="s">
        <v>26674</v>
      </c>
      <c r="H6196" s="1">
        <v>2016.0</v>
      </c>
      <c r="I6196" s="1" t="s">
        <v>289</v>
      </c>
      <c r="J6196" s="1" t="s">
        <v>51</v>
      </c>
      <c r="K6196" s="1" t="s">
        <v>25458</v>
      </c>
      <c r="L6196" s="1" t="s">
        <v>31157</v>
      </c>
      <c r="M6196" s="2" t="s">
        <v>12</v>
      </c>
      <c r="N6196" s="4">
        <f t="shared" si="1"/>
        <v>43070</v>
      </c>
      <c r="O6196" s="5" t="str">
        <f>IFERROR(__xludf.DUMMYFUNCTION("IF(REGEXMATCH(TRIM(I6196), ""^\d+\s*min""), ""Unclassified"", IF(I6196 = """", ""NR"", I6196))"),"TV-Y7")</f>
        <v>TV-Y7</v>
      </c>
      <c r="R6196" s="5" t="str">
        <f t="shared" si="2"/>
        <v>Atomic Puppet</v>
      </c>
      <c r="S6196" s="5" t="str">
        <f>IFERROR(__xludf.DUMMYFUNCTION("""COMPUTED_VALUE"""),"Serious Men")</f>
        <v>Serious Men</v>
      </c>
      <c r="V6196" s="5"/>
      <c r="Y6196" s="5" t="str">
        <f>IFERROR(__xludf.DUMMYFUNCTION("REGEXEXTRACT(J6196, ""^\d+"")"),"1")</f>
        <v>1</v>
      </c>
      <c r="Z6196" s="5" t="str">
        <f>IFERROR(__xludf.DUMMYFUNCTION("REGEXEXTRACT(J6196, ""[A-Za-z ]+$"")")," Season")</f>
        <v> Season</v>
      </c>
      <c r="AA6196" s="5" t="str">
        <f>IFERROR(__xludf.DUMMYFUNCTION("IF(REGEXMATCH(Z6196, ""Season""), ""TV Show"", ""Movie"")"),"TV Show")</f>
        <v>TV Show</v>
      </c>
    </row>
    <row r="6197">
      <c r="A6197" s="1" t="s">
        <v>31158</v>
      </c>
      <c r="B6197" s="1" t="s">
        <v>27</v>
      </c>
      <c r="C6197" s="1" t="s">
        <v>31159</v>
      </c>
      <c r="D6197" s="1" t="s">
        <v>6063</v>
      </c>
      <c r="E6197" s="1" t="s">
        <v>31160</v>
      </c>
      <c r="F6197" s="1" t="s">
        <v>96</v>
      </c>
      <c r="G6197" s="7">
        <v>42505.0</v>
      </c>
      <c r="H6197" s="1">
        <v>2014.0</v>
      </c>
      <c r="I6197" s="1" t="s">
        <v>97</v>
      </c>
      <c r="J6197" s="1" t="s">
        <v>447</v>
      </c>
      <c r="K6197" s="1" t="s">
        <v>156</v>
      </c>
      <c r="L6197" s="1" t="s">
        <v>31161</v>
      </c>
      <c r="M6197" s="2" t="s">
        <v>12</v>
      </c>
      <c r="N6197" s="4">
        <f t="shared" si="1"/>
        <v>42505</v>
      </c>
      <c r="O6197" s="5" t="str">
        <f>IFERROR(__xludf.DUMMYFUNCTION("IF(REGEXMATCH(TRIM(I6197), ""^\d+\s*min""), ""Unclassified"", IF(I6197 = """", ""NR"", I6197))"),"TV-14")</f>
        <v>TV-14</v>
      </c>
      <c r="R6197" s="5" t="str">
        <f t="shared" si="2"/>
        <v>Attacking The Devil: Harold Evans And The Last Nazi War Crime</v>
      </c>
      <c r="S6197" s="5" t="str">
        <f>IFERROR(__xludf.DUMMYFUNCTION("""COMPUTED_VALUE"""),"Seriously Single")</f>
        <v>Seriously Single</v>
      </c>
      <c r="V6197" s="5"/>
      <c r="Y6197" s="5" t="str">
        <f>IFERROR(__xludf.DUMMYFUNCTION("REGEXEXTRACT(J6197, ""^\d+"")"),"102")</f>
        <v>102</v>
      </c>
      <c r="Z6197" s="5" t="str">
        <f>IFERROR(__xludf.DUMMYFUNCTION("REGEXEXTRACT(J6197, ""[A-Za-z ]+$"")")," min")</f>
        <v> min</v>
      </c>
      <c r="AA6197" s="5" t="str">
        <f>IFERROR(__xludf.DUMMYFUNCTION("IF(REGEXMATCH(Z6197, ""Season""), ""TV Show"", ""Movie"")"),"Movie")</f>
        <v>Movie</v>
      </c>
    </row>
    <row r="6198">
      <c r="A6198" s="1" t="s">
        <v>31162</v>
      </c>
      <c r="B6198" s="1" t="s">
        <v>27</v>
      </c>
      <c r="C6198" s="1" t="s">
        <v>31163</v>
      </c>
      <c r="D6198" s="1" t="s">
        <v>7441</v>
      </c>
      <c r="E6198" s="1" t="s">
        <v>31164</v>
      </c>
      <c r="F6198" s="1" t="s">
        <v>13294</v>
      </c>
      <c r="G6198" s="1" t="s">
        <v>31165</v>
      </c>
      <c r="H6198" s="1">
        <v>2016.0</v>
      </c>
      <c r="I6198" s="1" t="s">
        <v>97</v>
      </c>
      <c r="J6198" s="1" t="s">
        <v>428</v>
      </c>
      <c r="K6198" s="1" t="s">
        <v>5295</v>
      </c>
      <c r="L6198" s="1" t="s">
        <v>31166</v>
      </c>
      <c r="M6198" s="2" t="s">
        <v>12</v>
      </c>
      <c r="N6198" s="4">
        <f t="shared" si="1"/>
        <v>43331</v>
      </c>
      <c r="O6198" s="5" t="str">
        <f>IFERROR(__xludf.DUMMYFUNCTION("IF(REGEXMATCH(TRIM(I6198), ""^\d+\s*min""), ""Unclassified"", IF(I6198 = """", ""NR"", I6198))"),"TV-14")</f>
        <v>TV-14</v>
      </c>
      <c r="R6198" s="5" t="str">
        <f t="shared" si="2"/>
        <v>Attitude Test</v>
      </c>
      <c r="S6198" s="5" t="str">
        <f>IFERROR(__xludf.DUMMYFUNCTION("""COMPUTED_VALUE"""),"Servant Of The People")</f>
        <v>Servant Of The People</v>
      </c>
      <c r="V6198" s="5"/>
      <c r="Y6198" s="5" t="str">
        <f>IFERROR(__xludf.DUMMYFUNCTION("REGEXEXTRACT(J6198, ""^\d+"")"),"88")</f>
        <v>88</v>
      </c>
      <c r="Z6198" s="5" t="str">
        <f>IFERROR(__xludf.DUMMYFUNCTION("REGEXEXTRACT(J6198, ""[A-Za-z ]+$"")")," min")</f>
        <v> min</v>
      </c>
      <c r="AA6198" s="5" t="str">
        <f>IFERROR(__xludf.DUMMYFUNCTION("IF(REGEXMATCH(Z6198, ""Season""), ""TV Show"", ""Movie"")"),"Movie")</f>
        <v>Movie</v>
      </c>
    </row>
    <row r="6199">
      <c r="A6199" s="1" t="s">
        <v>31167</v>
      </c>
      <c r="B6199" s="1" t="s">
        <v>27</v>
      </c>
      <c r="C6199" s="1" t="s">
        <v>31168</v>
      </c>
      <c r="D6199" s="1" t="s">
        <v>16089</v>
      </c>
      <c r="E6199" s="1" t="s">
        <v>31169</v>
      </c>
      <c r="F6199" s="1" t="s">
        <v>96</v>
      </c>
      <c r="G6199" s="1" t="s">
        <v>31170</v>
      </c>
      <c r="H6199" s="1">
        <v>1994.0</v>
      </c>
      <c r="I6199" s="1" t="s">
        <v>136</v>
      </c>
      <c r="J6199" s="1" t="s">
        <v>4677</v>
      </c>
      <c r="K6199" s="1" t="s">
        <v>34</v>
      </c>
      <c r="L6199" s="1" t="s">
        <v>31171</v>
      </c>
      <c r="M6199" s="2" t="s">
        <v>12</v>
      </c>
      <c r="N6199" s="4">
        <f t="shared" si="1"/>
        <v>43484</v>
      </c>
      <c r="O6199" s="5" t="str">
        <f>IFERROR(__xludf.DUMMYFUNCTION("IF(REGEXMATCH(TRIM(I6199), ""^\d+\s*min""), ""Unclassified"", IF(I6199 = """", ""NR"", I6199))"),"TV-PG")</f>
        <v>TV-PG</v>
      </c>
      <c r="R6199" s="5" t="str">
        <f t="shared" si="2"/>
        <v>Auschwitz: Blueprints Of Genocide</v>
      </c>
      <c r="S6199" s="5" t="str">
        <f>IFERROR(__xludf.DUMMYFUNCTION("""COMPUTED_VALUE"""),"Set It Up")</f>
        <v>Set It Up</v>
      </c>
      <c r="V6199" s="5"/>
      <c r="Y6199" s="5" t="str">
        <f>IFERROR(__xludf.DUMMYFUNCTION("REGEXEXTRACT(J6199, ""^\d+"")"),"49")</f>
        <v>49</v>
      </c>
      <c r="Z6199" s="5" t="str">
        <f>IFERROR(__xludf.DUMMYFUNCTION("REGEXEXTRACT(J6199, ""[A-Za-z ]+$"")")," min")</f>
        <v> min</v>
      </c>
      <c r="AA6199" s="5" t="str">
        <f>IFERROR(__xludf.DUMMYFUNCTION("IF(REGEXMATCH(Z6199, ""Season""), ""TV Show"", ""Movie"")"),"Movie")</f>
        <v>Movie</v>
      </c>
    </row>
    <row r="6200">
      <c r="A6200" s="1" t="s">
        <v>31172</v>
      </c>
      <c r="B6200" s="1" t="s">
        <v>37</v>
      </c>
      <c r="C6200" s="1" t="s">
        <v>31173</v>
      </c>
      <c r="F6200" s="1" t="s">
        <v>221</v>
      </c>
      <c r="G6200" s="1" t="s">
        <v>27569</v>
      </c>
      <c r="H6200" s="1">
        <v>2016.0</v>
      </c>
      <c r="I6200" s="1" t="s">
        <v>42</v>
      </c>
      <c r="J6200" s="1" t="s">
        <v>51</v>
      </c>
      <c r="K6200" s="1" t="s">
        <v>222</v>
      </c>
      <c r="L6200" s="1" t="s">
        <v>31174</v>
      </c>
      <c r="M6200" s="2" t="s">
        <v>12</v>
      </c>
      <c r="N6200" s="4">
        <f t="shared" si="1"/>
        <v>42948</v>
      </c>
      <c r="O6200" s="5" t="str">
        <f>IFERROR(__xludf.DUMMYFUNCTION("IF(REGEXMATCH(TRIM(I6200), ""^\d+\s*min""), ""Unclassified"", IF(I6200 = """", ""NR"", I6200))"),"TV-MA")</f>
        <v>TV-MA</v>
      </c>
      <c r="R6200" s="5" t="str">
        <f t="shared" si="2"/>
        <v>Aussie Gold Hunters</v>
      </c>
      <c r="S6200" s="5" t="str">
        <f>IFERROR(__xludf.DUMMYFUNCTION("""COMPUTED_VALUE"""),"Set Off")</f>
        <v>Set Off</v>
      </c>
      <c r="V6200" s="5"/>
      <c r="Y6200" s="5" t="str">
        <f>IFERROR(__xludf.DUMMYFUNCTION("REGEXEXTRACT(J6200, ""^\d+"")"),"1")</f>
        <v>1</v>
      </c>
      <c r="Z6200" s="5" t="str">
        <f>IFERROR(__xludf.DUMMYFUNCTION("REGEXEXTRACT(J6200, ""[A-Za-z ]+$"")")," Season")</f>
        <v> Season</v>
      </c>
      <c r="AA6200" s="5" t="str">
        <f>IFERROR(__xludf.DUMMYFUNCTION("IF(REGEXMATCH(Z6200, ""Season""), ""TV Show"", ""Movie"")"),"TV Show")</f>
        <v>TV Show</v>
      </c>
    </row>
    <row r="6201">
      <c r="A6201" s="1" t="s">
        <v>31175</v>
      </c>
      <c r="B6201" s="1" t="s">
        <v>27</v>
      </c>
      <c r="C6201" s="1" t="s">
        <v>31176</v>
      </c>
      <c r="D6201" s="1" t="s">
        <v>8013</v>
      </c>
      <c r="E6201" s="1" t="s">
        <v>31177</v>
      </c>
      <c r="F6201" s="1" t="s">
        <v>31178</v>
      </c>
      <c r="G6201" s="1" t="s">
        <v>27276</v>
      </c>
      <c r="H6201" s="1">
        <v>2014.0</v>
      </c>
      <c r="I6201" s="1" t="s">
        <v>378</v>
      </c>
      <c r="J6201" s="1" t="s">
        <v>297</v>
      </c>
      <c r="K6201" s="1" t="s">
        <v>14389</v>
      </c>
      <c r="L6201" s="1" t="s">
        <v>31179</v>
      </c>
      <c r="M6201" s="2" t="s">
        <v>12</v>
      </c>
      <c r="N6201" s="4">
        <f t="shared" si="1"/>
        <v>42986</v>
      </c>
      <c r="O6201" s="5" t="str">
        <f>IFERROR(__xludf.DUMMYFUNCTION("IF(REGEXMATCH(TRIM(I6201), ""^\d+\s*min""), ""Unclassified"", IF(I6201 = """", ""NR"", I6201))"),"R")</f>
        <v>R</v>
      </c>
      <c r="R6201" s="5" t="str">
        <f t="shared" si="2"/>
        <v>Automata</v>
      </c>
      <c r="S6201" s="5" t="str">
        <f>IFERROR(__xludf.DUMMYFUNCTION("""COMPUTED_VALUE"""),"Set Up")</f>
        <v>Set Up</v>
      </c>
      <c r="V6201" s="5"/>
      <c r="Y6201" s="5" t="str">
        <f>IFERROR(__xludf.DUMMYFUNCTION("REGEXEXTRACT(J6201, ""^\d+"")"),"110")</f>
        <v>110</v>
      </c>
      <c r="Z6201" s="5" t="str">
        <f>IFERROR(__xludf.DUMMYFUNCTION("REGEXEXTRACT(J6201, ""[A-Za-z ]+$"")")," min")</f>
        <v> min</v>
      </c>
      <c r="AA6201" s="5" t="str">
        <f>IFERROR(__xludf.DUMMYFUNCTION("IF(REGEXMATCH(Z6201, ""Season""), ""TV Show"", ""Movie"")"),"Movie")</f>
        <v>Movie</v>
      </c>
    </row>
    <row r="6202">
      <c r="A6202" s="1" t="s">
        <v>31180</v>
      </c>
      <c r="B6202" s="1" t="s">
        <v>27</v>
      </c>
      <c r="C6202" s="1" t="s">
        <v>31181</v>
      </c>
      <c r="D6202" s="1" t="s">
        <v>2291</v>
      </c>
      <c r="E6202" s="1" t="s">
        <v>31182</v>
      </c>
      <c r="F6202" s="1" t="s">
        <v>30</v>
      </c>
      <c r="G6202" s="1" t="s">
        <v>31183</v>
      </c>
      <c r="H6202" s="1">
        <v>2018.0</v>
      </c>
      <c r="I6202" s="1" t="s">
        <v>32</v>
      </c>
      <c r="J6202" s="1" t="s">
        <v>1407</v>
      </c>
      <c r="K6202" s="1" t="s">
        <v>942</v>
      </c>
      <c r="L6202" s="1" t="s">
        <v>31184</v>
      </c>
      <c r="M6202" s="2" t="s">
        <v>12</v>
      </c>
      <c r="N6202" s="4">
        <f t="shared" si="1"/>
        <v>43459</v>
      </c>
      <c r="O6202" s="5" t="str">
        <f>IFERROR(__xludf.DUMMYFUNCTION("IF(REGEXMATCH(TRIM(I6202), ""^\d+\s*min""), ""Unclassified"", IF(I6202 = """", ""NR"", I6202))"),"PG-13")</f>
        <v>PG-13</v>
      </c>
      <c r="R6202" s="5" t="str">
        <f t="shared" si="2"/>
        <v>Avengers: Infinity War</v>
      </c>
      <c r="S6202" s="5" t="str">
        <f>IFERROR(__xludf.DUMMYFUNCTION("""COMPUTED_VALUE"""),"Seth Meyers: Lobby Baby")</f>
        <v>Seth Meyers: Lobby Baby</v>
      </c>
      <c r="V6202" s="5"/>
      <c r="Y6202" s="5" t="str">
        <f>IFERROR(__xludf.DUMMYFUNCTION("REGEXEXTRACT(J6202, ""^\d+"")"),"150")</f>
        <v>150</v>
      </c>
      <c r="Z6202" s="5" t="str">
        <f>IFERROR(__xludf.DUMMYFUNCTION("REGEXEXTRACT(J6202, ""[A-Za-z ]+$"")")," min")</f>
        <v> min</v>
      </c>
      <c r="AA6202" s="5" t="str">
        <f>IFERROR(__xludf.DUMMYFUNCTION("IF(REGEXMATCH(Z6202, ""Season""), ""TV Show"", ""Movie"")"),"Movie")</f>
        <v>Movie</v>
      </c>
    </row>
    <row r="6203">
      <c r="A6203" s="1" t="s">
        <v>31185</v>
      </c>
      <c r="B6203" s="1" t="s">
        <v>27</v>
      </c>
      <c r="C6203" s="1" t="s">
        <v>31186</v>
      </c>
      <c r="D6203" s="1" t="s">
        <v>13724</v>
      </c>
      <c r="E6203" s="1" t="s">
        <v>31187</v>
      </c>
      <c r="F6203" s="1" t="s">
        <v>31188</v>
      </c>
      <c r="G6203" s="1" t="s">
        <v>22783</v>
      </c>
      <c r="H6203" s="1">
        <v>2017.0</v>
      </c>
      <c r="I6203" s="1" t="s">
        <v>42</v>
      </c>
      <c r="J6203" s="1" t="s">
        <v>247</v>
      </c>
      <c r="K6203" s="1" t="s">
        <v>2892</v>
      </c>
      <c r="L6203" s="1" t="s">
        <v>31189</v>
      </c>
      <c r="M6203" s="2" t="s">
        <v>12</v>
      </c>
      <c r="N6203" s="4">
        <f t="shared" si="1"/>
        <v>43462</v>
      </c>
      <c r="O6203" s="5" t="str">
        <f>IFERROR(__xludf.DUMMYFUNCTION("IF(REGEXMATCH(TRIM(I6203), ""^\d+\s*min""), ""Unclassified"", IF(I6203 = """", ""NR"", I6203))"),"TV-MA")</f>
        <v>TV-MA</v>
      </c>
      <c r="R6203" s="5" t="str">
        <f t="shared" si="2"/>
        <v>Avicii: True Stories</v>
      </c>
      <c r="S6203" s="5" t="str">
        <f>IFERROR(__xludf.DUMMYFUNCTION("""COMPUTED_VALUE"""),"Seth Rogen'S Hilarity For Charity")</f>
        <v>Seth Rogen'S Hilarity For Charity</v>
      </c>
      <c r="V6203" s="5"/>
      <c r="Y6203" s="5" t="str">
        <f>IFERROR(__xludf.DUMMYFUNCTION("REGEXEXTRACT(J6203, ""^\d+"")"),"97")</f>
        <v>97</v>
      </c>
      <c r="Z6203" s="5" t="str">
        <f>IFERROR(__xludf.DUMMYFUNCTION("REGEXEXTRACT(J6203, ""[A-Za-z ]+$"")")," min")</f>
        <v> min</v>
      </c>
      <c r="AA6203" s="5" t="str">
        <f>IFERROR(__xludf.DUMMYFUNCTION("IF(REGEXMATCH(Z6203, ""Season""), ""TV Show"", ""Movie"")"),"Movie")</f>
        <v>Movie</v>
      </c>
    </row>
    <row r="6204">
      <c r="A6204" s="1" t="s">
        <v>31190</v>
      </c>
      <c r="B6204" s="1" t="s">
        <v>27</v>
      </c>
      <c r="C6204" s="1" t="s">
        <v>31191</v>
      </c>
      <c r="D6204" s="1" t="s">
        <v>2250</v>
      </c>
      <c r="E6204" s="1" t="s">
        <v>31192</v>
      </c>
      <c r="F6204" s="1" t="s">
        <v>63</v>
      </c>
      <c r="G6204" s="1" t="s">
        <v>21216</v>
      </c>
      <c r="H6204" s="1">
        <v>2016.0</v>
      </c>
      <c r="I6204" s="1" t="s">
        <v>97</v>
      </c>
      <c r="J6204" s="1" t="s">
        <v>1273</v>
      </c>
      <c r="K6204" s="1" t="s">
        <v>5099</v>
      </c>
      <c r="L6204" s="1" t="s">
        <v>31193</v>
      </c>
      <c r="M6204" s="2" t="s">
        <v>12</v>
      </c>
      <c r="N6204" s="4">
        <f t="shared" si="1"/>
        <v>43567</v>
      </c>
      <c r="O6204" s="5" t="str">
        <f>IFERROR(__xludf.DUMMYFUNCTION("IF(REGEXMATCH(TRIM(I6204), ""^\d+\s*min""), ""Unclassified"", IF(I6204 = """", ""NR"", I6204))"),"TV-14")</f>
        <v>TV-14</v>
      </c>
      <c r="R6204" s="5" t="str">
        <f t="shared" si="2"/>
        <v>Azhar</v>
      </c>
      <c r="S6204" s="5" t="str">
        <f>IFERROR(__xludf.DUMMYFUNCTION("""COMPUTED_VALUE"""),"Sethum Aayiram Pon")</f>
        <v>Sethum Aayiram Pon</v>
      </c>
      <c r="V6204" s="5"/>
      <c r="Y6204" s="5" t="str">
        <f>IFERROR(__xludf.DUMMYFUNCTION("REGEXEXTRACT(J6204, ""^\d+"")"),"129")</f>
        <v>129</v>
      </c>
      <c r="Z6204" s="5" t="str">
        <f>IFERROR(__xludf.DUMMYFUNCTION("REGEXEXTRACT(J6204, ""[A-Za-z ]+$"")")," min")</f>
        <v> min</v>
      </c>
      <c r="AA6204" s="5" t="str">
        <f>IFERROR(__xludf.DUMMYFUNCTION("IF(REGEXMATCH(Z6204, ""Season""), ""TV Show"", ""Movie"")"),"Movie")</f>
        <v>Movie</v>
      </c>
    </row>
    <row r="6205">
      <c r="A6205" s="1" t="s">
        <v>31194</v>
      </c>
      <c r="B6205" s="1" t="s">
        <v>27</v>
      </c>
      <c r="C6205" s="1" t="s">
        <v>31195</v>
      </c>
      <c r="D6205" s="1" t="s">
        <v>720</v>
      </c>
      <c r="E6205" s="1" t="s">
        <v>31196</v>
      </c>
      <c r="F6205" s="1" t="s">
        <v>63</v>
      </c>
      <c r="G6205" s="1" t="s">
        <v>25380</v>
      </c>
      <c r="H6205" s="1">
        <v>2013.0</v>
      </c>
      <c r="I6205" s="1" t="s">
        <v>97</v>
      </c>
      <c r="J6205" s="1" t="s">
        <v>416</v>
      </c>
      <c r="K6205" s="1" t="s">
        <v>89</v>
      </c>
      <c r="L6205" s="1" t="s">
        <v>31197</v>
      </c>
      <c r="M6205" s="2" t="s">
        <v>12</v>
      </c>
      <c r="N6205" s="4">
        <f t="shared" si="1"/>
        <v>43258</v>
      </c>
      <c r="O6205" s="5" t="str">
        <f>IFERROR(__xludf.DUMMYFUNCTION("IF(REGEXMATCH(TRIM(I6205), ""^\d+\s*min""), ""Unclassified"", IF(I6205 = """", ""NR"", I6205))"),"TV-14")</f>
        <v>TV-14</v>
      </c>
      <c r="R6205" s="5" t="str">
        <f t="shared" si="2"/>
        <v>B.A. Pass</v>
      </c>
      <c r="S6205" s="5" t="str">
        <f>IFERROR(__xludf.DUMMYFUNCTION("""COMPUTED_VALUE"""),"Settai")</f>
        <v>Settai</v>
      </c>
      <c r="V6205" s="5"/>
      <c r="Y6205" s="5" t="str">
        <f>IFERROR(__xludf.DUMMYFUNCTION("REGEXEXTRACT(J6205, ""^\d+"")"),"99")</f>
        <v>99</v>
      </c>
      <c r="Z6205" s="5" t="str">
        <f>IFERROR(__xludf.DUMMYFUNCTION("REGEXEXTRACT(J6205, ""[A-Za-z ]+$"")")," min")</f>
        <v> min</v>
      </c>
      <c r="AA6205" s="5" t="str">
        <f>IFERROR(__xludf.DUMMYFUNCTION("IF(REGEXMATCH(Z6205, ""Season""), ""TV Show"", ""Movie"")"),"Movie")</f>
        <v>Movie</v>
      </c>
    </row>
    <row r="6206">
      <c r="A6206" s="1" t="s">
        <v>31198</v>
      </c>
      <c r="B6206" s="1" t="s">
        <v>27</v>
      </c>
      <c r="C6206" s="1" t="s">
        <v>31199</v>
      </c>
      <c r="D6206" s="1" t="s">
        <v>4061</v>
      </c>
      <c r="E6206" s="1" t="s">
        <v>31200</v>
      </c>
      <c r="F6206" s="1" t="s">
        <v>188</v>
      </c>
      <c r="G6206" s="1" t="s">
        <v>25645</v>
      </c>
      <c r="H6206" s="1">
        <v>2005.0</v>
      </c>
      <c r="I6206" s="1" t="s">
        <v>97</v>
      </c>
      <c r="J6206" s="1" t="s">
        <v>1243</v>
      </c>
      <c r="K6206" s="1" t="s">
        <v>128</v>
      </c>
      <c r="L6206" s="1" t="s">
        <v>31201</v>
      </c>
      <c r="M6206" s="2" t="s">
        <v>12</v>
      </c>
      <c r="N6206" s="4">
        <f t="shared" si="1"/>
        <v>43220</v>
      </c>
      <c r="O6206" s="5" t="str">
        <f>IFERROR(__xludf.DUMMYFUNCTION("IF(REGEXMATCH(TRIM(I6206), ""^\d+\s*min""), ""Unclassified"", IF(I6206 = """", ""NR"", I6206))"),"TV-14")</f>
        <v>TV-14</v>
      </c>
      <c r="R6206" s="5" t="str">
        <f t="shared" si="2"/>
        <v>Babam Ve Oğlum</v>
      </c>
      <c r="S6206" s="5" t="str">
        <f>IFERROR(__xludf.DUMMYFUNCTION("""COMPUTED_VALUE"""),"Seven")</f>
        <v>Seven</v>
      </c>
      <c r="V6206" s="5"/>
      <c r="Y6206" s="5" t="str">
        <f>IFERROR(__xludf.DUMMYFUNCTION("REGEXEXTRACT(J6206, ""^\d+"")"),"112")</f>
        <v>112</v>
      </c>
      <c r="Z6206" s="5" t="str">
        <f>IFERROR(__xludf.DUMMYFUNCTION("REGEXEXTRACT(J6206, ""[A-Za-z ]+$"")")," min")</f>
        <v> min</v>
      </c>
      <c r="AA6206" s="5" t="str">
        <f>IFERROR(__xludf.DUMMYFUNCTION("IF(REGEXMATCH(Z6206, ""Season""), ""TV Show"", ""Movie"")"),"Movie")</f>
        <v>Movie</v>
      </c>
    </row>
    <row r="6207">
      <c r="A6207" s="1" t="s">
        <v>31202</v>
      </c>
      <c r="B6207" s="1" t="s">
        <v>27</v>
      </c>
      <c r="C6207" s="1" t="s">
        <v>31203</v>
      </c>
      <c r="D6207" s="1" t="s">
        <v>980</v>
      </c>
      <c r="E6207" s="1" t="s">
        <v>31204</v>
      </c>
      <c r="F6207" s="1" t="s">
        <v>31205</v>
      </c>
      <c r="G6207" s="1" t="s">
        <v>22635</v>
      </c>
      <c r="H6207" s="1">
        <v>2006.0</v>
      </c>
      <c r="I6207" s="1" t="s">
        <v>378</v>
      </c>
      <c r="J6207" s="1" t="s">
        <v>820</v>
      </c>
      <c r="K6207" s="1" t="s">
        <v>1320</v>
      </c>
      <c r="L6207" s="1" t="s">
        <v>31206</v>
      </c>
      <c r="M6207" s="2" t="s">
        <v>12</v>
      </c>
      <c r="N6207" s="4">
        <f t="shared" si="1"/>
        <v>43466</v>
      </c>
      <c r="O6207" s="5" t="str">
        <f>IFERROR(__xludf.DUMMYFUNCTION("IF(REGEXMATCH(TRIM(I6207), ""^\d+\s*min""), ""Unclassified"", IF(I6207 = """", ""NR"", I6207))"),"R")</f>
        <v>R</v>
      </c>
      <c r="R6207" s="5" t="str">
        <f t="shared" si="2"/>
        <v>Babel</v>
      </c>
      <c r="S6207" s="5" t="str">
        <f>IFERROR(__xludf.DUMMYFUNCTION("""COMPUTED_VALUE"""),"Seven (Tamil)")</f>
        <v>Seven (Tamil)</v>
      </c>
      <c r="V6207" s="5"/>
      <c r="Y6207" s="5" t="str">
        <f>IFERROR(__xludf.DUMMYFUNCTION("REGEXEXTRACT(J6207, ""^\d+"")"),"143")</f>
        <v>143</v>
      </c>
      <c r="Z6207" s="5" t="str">
        <f>IFERROR(__xludf.DUMMYFUNCTION("REGEXEXTRACT(J6207, ""[A-Za-z ]+$"")")," min")</f>
        <v> min</v>
      </c>
      <c r="AA6207" s="5" t="str">
        <f>IFERROR(__xludf.DUMMYFUNCTION("IF(REGEXMATCH(Z6207, ""Season""), ""TV Show"", ""Movie"")"),"Movie")</f>
        <v>Movie</v>
      </c>
    </row>
    <row r="6208">
      <c r="A6208" s="1" t="s">
        <v>31207</v>
      </c>
      <c r="B6208" s="1" t="s">
        <v>27</v>
      </c>
      <c r="C6208" s="1" t="s">
        <v>31208</v>
      </c>
      <c r="D6208" s="1" t="s">
        <v>21057</v>
      </c>
      <c r="F6208" s="1" t="s">
        <v>63</v>
      </c>
      <c r="G6208" s="1" t="s">
        <v>26089</v>
      </c>
      <c r="H6208" s="1">
        <v>2016.0</v>
      </c>
      <c r="I6208" s="1" t="s">
        <v>42</v>
      </c>
      <c r="J6208" s="1" t="s">
        <v>207</v>
      </c>
      <c r="K6208" s="1" t="s">
        <v>156</v>
      </c>
      <c r="L6208" s="1" t="s">
        <v>31209</v>
      </c>
      <c r="M6208" s="2" t="s">
        <v>12</v>
      </c>
      <c r="N6208" s="4">
        <f t="shared" si="1"/>
        <v>43160</v>
      </c>
      <c r="O6208" s="5" t="str">
        <f>IFERROR(__xludf.DUMMYFUNCTION("IF(REGEXMATCH(TRIM(I6208), ""^\d+\s*min""), ""Unclassified"", IF(I6208 = """", ""NR"", I6208))"),"TV-MA")</f>
        <v>TV-MA</v>
      </c>
      <c r="R6208" s="5" t="str">
        <f t="shared" si="2"/>
        <v>Bachelor Girls</v>
      </c>
      <c r="S6208" s="5" t="str">
        <f>IFERROR(__xludf.DUMMYFUNCTION("""COMPUTED_VALUE"""),"Seven (Telugu)")</f>
        <v>Seven (Telugu)</v>
      </c>
      <c r="V6208" s="5"/>
      <c r="Y6208" s="5" t="str">
        <f>IFERROR(__xludf.DUMMYFUNCTION("REGEXEXTRACT(J6208, ""^\d+"")"),"61")</f>
        <v>61</v>
      </c>
      <c r="Z6208" s="5" t="str">
        <f>IFERROR(__xludf.DUMMYFUNCTION("REGEXEXTRACT(J6208, ""[A-Za-z ]+$"")")," min")</f>
        <v> min</v>
      </c>
      <c r="AA6208" s="5" t="str">
        <f>IFERROR(__xludf.DUMMYFUNCTION("IF(REGEXMATCH(Z6208, ""Season""), ""TV Show"", ""Movie"")"),"Movie")</f>
        <v>Movie</v>
      </c>
    </row>
    <row r="6209">
      <c r="A6209" s="1" t="s">
        <v>31210</v>
      </c>
      <c r="B6209" s="1" t="s">
        <v>27</v>
      </c>
      <c r="C6209" s="1" t="s">
        <v>31211</v>
      </c>
      <c r="D6209" s="1" t="s">
        <v>11806</v>
      </c>
      <c r="E6209" s="1" t="s">
        <v>31212</v>
      </c>
      <c r="F6209" s="1" t="s">
        <v>1992</v>
      </c>
      <c r="G6209" s="1" t="s">
        <v>28825</v>
      </c>
      <c r="H6209" s="1">
        <v>2016.0</v>
      </c>
      <c r="I6209" s="1" t="s">
        <v>30231</v>
      </c>
      <c r="J6209" s="1" t="s">
        <v>465</v>
      </c>
      <c r="K6209" s="1" t="s">
        <v>583</v>
      </c>
      <c r="L6209" s="1" t="s">
        <v>31213</v>
      </c>
      <c r="M6209" s="2" t="s">
        <v>12</v>
      </c>
      <c r="N6209" s="4">
        <f t="shared" si="1"/>
        <v>42740</v>
      </c>
      <c r="O6209" s="5" t="str">
        <f>IFERROR(__xludf.DUMMYFUNCTION("IF(REGEXMATCH(TRIM(I6209), ""^\d+\s*min""), ""Unclassified"", IF(I6209 = """", ""NR"", I6209))"),"NR")</f>
        <v>NR</v>
      </c>
      <c r="R6209" s="5" t="str">
        <f t="shared" si="2"/>
        <v>Back And Forth</v>
      </c>
      <c r="S6209" s="5" t="str">
        <f>IFERROR(__xludf.DUMMYFUNCTION("""COMPUTED_VALUE"""),"Seven And A Half Dates")</f>
        <v>Seven And A Half Dates</v>
      </c>
      <c r="V6209" s="5"/>
      <c r="Y6209" s="5" t="str">
        <f>IFERROR(__xludf.DUMMYFUNCTION("REGEXEXTRACT(J6209, ""^\d+"")"),"95")</f>
        <v>95</v>
      </c>
      <c r="Z6209" s="5" t="str">
        <f>IFERROR(__xludf.DUMMYFUNCTION("REGEXEXTRACT(J6209, ""[A-Za-z ]+$"")")," min")</f>
        <v> min</v>
      </c>
      <c r="AA6209" s="5" t="str">
        <f>IFERROR(__xludf.DUMMYFUNCTION("IF(REGEXMATCH(Z6209, ""Season""), ""TV Show"", ""Movie"")"),"Movie")</f>
        <v>Movie</v>
      </c>
    </row>
    <row r="6210">
      <c r="A6210" s="1" t="s">
        <v>31214</v>
      </c>
      <c r="B6210" s="1" t="s">
        <v>27</v>
      </c>
      <c r="C6210" s="1" t="s">
        <v>31215</v>
      </c>
      <c r="D6210" s="1" t="s">
        <v>31216</v>
      </c>
      <c r="E6210" s="1" t="s">
        <v>31217</v>
      </c>
      <c r="F6210" s="1" t="s">
        <v>1106</v>
      </c>
      <c r="G6210" s="1" t="s">
        <v>31218</v>
      </c>
      <c r="H6210" s="1">
        <v>2014.0</v>
      </c>
      <c r="I6210" s="1" t="s">
        <v>30231</v>
      </c>
      <c r="J6210" s="1" t="s">
        <v>665</v>
      </c>
      <c r="K6210" s="1" t="s">
        <v>18588</v>
      </c>
      <c r="L6210" s="1" t="s">
        <v>31219</v>
      </c>
      <c r="M6210" s="2" t="s">
        <v>12</v>
      </c>
      <c r="N6210" s="4">
        <f t="shared" si="1"/>
        <v>42824</v>
      </c>
      <c r="O6210" s="5" t="str">
        <f>IFERROR(__xludf.DUMMYFUNCTION("IF(REGEXMATCH(TRIM(I6210), ""^\d+\s*min""), ""Unclassified"", IF(I6210 = """", ""NR"", I6210))"),"NR")</f>
        <v>NR</v>
      </c>
      <c r="R6210" s="5" t="str">
        <f t="shared" si="2"/>
        <v>Backcountry</v>
      </c>
      <c r="S6210" s="5" t="str">
        <f>IFERROR(__xludf.DUMMYFUNCTION("""COMPUTED_VALUE"""),"Seven And Me")</f>
        <v>Seven And Me</v>
      </c>
      <c r="V6210" s="5"/>
      <c r="Y6210" s="5" t="str">
        <f>IFERROR(__xludf.DUMMYFUNCTION("REGEXEXTRACT(J6210, ""^\d+"")"),"92")</f>
        <v>92</v>
      </c>
      <c r="Z6210" s="5" t="str">
        <f>IFERROR(__xludf.DUMMYFUNCTION("REGEXEXTRACT(J6210, ""[A-Za-z ]+$"")")," min")</f>
        <v> min</v>
      </c>
      <c r="AA6210" s="5" t="str">
        <f>IFERROR(__xludf.DUMMYFUNCTION("IF(REGEXMATCH(Z6210, ""Season""), ""TV Show"", ""Movie"")"),"Movie")</f>
        <v>Movie</v>
      </c>
    </row>
    <row r="6211">
      <c r="A6211" s="1" t="s">
        <v>31220</v>
      </c>
      <c r="B6211" s="1" t="s">
        <v>27</v>
      </c>
      <c r="C6211" s="1" t="s">
        <v>31221</v>
      </c>
      <c r="D6211" s="1" t="s">
        <v>5778</v>
      </c>
      <c r="E6211" s="1" t="s">
        <v>31222</v>
      </c>
      <c r="F6211" s="1" t="s">
        <v>30</v>
      </c>
      <c r="G6211" s="1" t="s">
        <v>21281</v>
      </c>
      <c r="H6211" s="1">
        <v>2019.0</v>
      </c>
      <c r="I6211" s="1" t="s">
        <v>42</v>
      </c>
      <c r="J6211" s="1" t="s">
        <v>247</v>
      </c>
      <c r="K6211" s="1" t="s">
        <v>2327</v>
      </c>
      <c r="L6211" s="1" t="s">
        <v>31223</v>
      </c>
      <c r="M6211" s="2" t="s">
        <v>12</v>
      </c>
      <c r="N6211" s="4">
        <f t="shared" si="1"/>
        <v>43560</v>
      </c>
      <c r="O6211" s="5" t="str">
        <f>IFERROR(__xludf.DUMMYFUNCTION("IF(REGEXMATCH(TRIM(I6211), ""^\d+\s*min""), ""Unclassified"", IF(I6211 = """", ""NR"", I6211))"),"TV-MA")</f>
        <v>TV-MA</v>
      </c>
      <c r="R6211" s="5" t="str">
        <f t="shared" si="2"/>
        <v>Backfire</v>
      </c>
      <c r="S6211" s="5" t="str">
        <f>IFERROR(__xludf.DUMMYFUNCTION("""COMPUTED_VALUE"""),"Seven In Heaven")</f>
        <v>Seven In Heaven</v>
      </c>
      <c r="V6211" s="5"/>
      <c r="Y6211" s="5" t="str">
        <f>IFERROR(__xludf.DUMMYFUNCTION("REGEXEXTRACT(J6211, ""^\d+"")"),"97")</f>
        <v>97</v>
      </c>
      <c r="Z6211" s="5" t="str">
        <f>IFERROR(__xludf.DUMMYFUNCTION("REGEXEXTRACT(J6211, ""[A-Za-z ]+$"")")," min")</f>
        <v> min</v>
      </c>
      <c r="AA6211" s="5" t="str">
        <f>IFERROR(__xludf.DUMMYFUNCTION("IF(REGEXMATCH(Z6211, ""Season""), ""TV Show"", ""Movie"")"),"Movie")</f>
        <v>Movie</v>
      </c>
    </row>
    <row r="6212">
      <c r="A6212" s="1" t="s">
        <v>31224</v>
      </c>
      <c r="B6212" s="1" t="s">
        <v>27</v>
      </c>
      <c r="C6212" s="1" t="s">
        <v>31225</v>
      </c>
      <c r="D6212" s="1" t="s">
        <v>15766</v>
      </c>
      <c r="E6212" s="1" t="s">
        <v>31226</v>
      </c>
      <c r="F6212" s="1" t="s">
        <v>31227</v>
      </c>
      <c r="G6212" s="1" t="s">
        <v>31183</v>
      </c>
      <c r="H6212" s="1">
        <v>2015.0</v>
      </c>
      <c r="I6212" s="1" t="s">
        <v>378</v>
      </c>
      <c r="J6212" s="1" t="s">
        <v>33</v>
      </c>
      <c r="K6212" s="1" t="s">
        <v>394</v>
      </c>
      <c r="L6212" s="1" t="s">
        <v>31228</v>
      </c>
      <c r="M6212" s="2" t="s">
        <v>12</v>
      </c>
      <c r="N6212" s="4">
        <f t="shared" si="1"/>
        <v>43459</v>
      </c>
      <c r="O6212" s="5" t="str">
        <f>IFERROR(__xludf.DUMMYFUNCTION("IF(REGEXMATCH(TRIM(I6212), ""^\d+\s*min""), ""Unclassified"", IF(I6212 = """", ""NR"", I6212))"),"R")</f>
        <v>R</v>
      </c>
      <c r="R6212" s="5" t="str">
        <f t="shared" si="2"/>
        <v>Backtrack</v>
      </c>
      <c r="S6212" s="5" t="str">
        <f>IFERROR(__xludf.DUMMYFUNCTION("""COMPUTED_VALUE"""),"Seven Pounds")</f>
        <v>Seven Pounds</v>
      </c>
      <c r="V6212" s="5"/>
      <c r="Y6212" s="5" t="str">
        <f>IFERROR(__xludf.DUMMYFUNCTION("REGEXEXTRACT(J6212, ""^\d+"")"),"90")</f>
        <v>90</v>
      </c>
      <c r="Z6212" s="5" t="str">
        <f>IFERROR(__xludf.DUMMYFUNCTION("REGEXEXTRACT(J6212, ""[A-Za-z ]+$"")")," min")</f>
        <v> min</v>
      </c>
      <c r="AA6212" s="5" t="str">
        <f>IFERROR(__xludf.DUMMYFUNCTION("IF(REGEXMATCH(Z6212, ""Season""), ""TV Show"", ""Movie"")"),"Movie")</f>
        <v>Movie</v>
      </c>
    </row>
    <row r="6213">
      <c r="A6213" s="1" t="s">
        <v>31229</v>
      </c>
      <c r="B6213" s="1" t="s">
        <v>27</v>
      </c>
      <c r="C6213" s="1" t="s">
        <v>31230</v>
      </c>
      <c r="D6213" s="1" t="s">
        <v>15548</v>
      </c>
      <c r="E6213" s="1" t="s">
        <v>31231</v>
      </c>
      <c r="F6213" s="1" t="s">
        <v>30</v>
      </c>
      <c r="G6213" s="1" t="s">
        <v>18985</v>
      </c>
      <c r="H6213" s="1">
        <v>1995.0</v>
      </c>
      <c r="I6213" s="1" t="s">
        <v>378</v>
      </c>
      <c r="J6213" s="1" t="s">
        <v>804</v>
      </c>
      <c r="K6213" s="1" t="s">
        <v>973</v>
      </c>
      <c r="L6213" s="1" t="s">
        <v>31232</v>
      </c>
      <c r="M6213" s="2" t="s">
        <v>12</v>
      </c>
      <c r="N6213" s="4">
        <f t="shared" si="1"/>
        <v>43739</v>
      </c>
      <c r="O6213" s="5" t="str">
        <f>IFERROR(__xludf.DUMMYFUNCTION("IF(REGEXMATCH(TRIM(I6213), ""^\d+\s*min""), ""Unclassified"", IF(I6213 = """", ""NR"", I6213))"),"R")</f>
        <v>R</v>
      </c>
      <c r="R6213" s="5" t="str">
        <f t="shared" si="2"/>
        <v>Bad Boys</v>
      </c>
      <c r="S6213" s="5" t="str">
        <f>IFERROR(__xludf.DUMMYFUNCTION("""COMPUTED_VALUE"""),"Seven Seconds")</f>
        <v>Seven Seconds</v>
      </c>
      <c r="V6213" s="5"/>
      <c r="Y6213" s="5" t="str">
        <f>IFERROR(__xludf.DUMMYFUNCTION("REGEXEXTRACT(J6213, ""^\d+"")"),"119")</f>
        <v>119</v>
      </c>
      <c r="Z6213" s="5" t="str">
        <f>IFERROR(__xludf.DUMMYFUNCTION("REGEXEXTRACT(J6213, ""[A-Za-z ]+$"")")," min")</f>
        <v> min</v>
      </c>
      <c r="AA6213" s="5" t="str">
        <f>IFERROR(__xludf.DUMMYFUNCTION("IF(REGEXMATCH(Z6213, ""Season""), ""TV Show"", ""Movie"")"),"Movie")</f>
        <v>Movie</v>
      </c>
    </row>
    <row r="6214">
      <c r="A6214" s="1" t="s">
        <v>31233</v>
      </c>
      <c r="B6214" s="1" t="s">
        <v>27</v>
      </c>
      <c r="C6214" s="1" t="s">
        <v>31234</v>
      </c>
      <c r="D6214" s="1" t="s">
        <v>15548</v>
      </c>
      <c r="E6214" s="1" t="s">
        <v>31235</v>
      </c>
      <c r="F6214" s="1" t="s">
        <v>30</v>
      </c>
      <c r="G6214" s="1" t="s">
        <v>18985</v>
      </c>
      <c r="H6214" s="1">
        <v>2003.0</v>
      </c>
      <c r="I6214" s="1" t="s">
        <v>378</v>
      </c>
      <c r="J6214" s="1" t="s">
        <v>229</v>
      </c>
      <c r="K6214" s="1" t="s">
        <v>973</v>
      </c>
      <c r="L6214" s="1" t="s">
        <v>31236</v>
      </c>
      <c r="M6214" s="2" t="s">
        <v>12</v>
      </c>
      <c r="N6214" s="4">
        <f t="shared" si="1"/>
        <v>43739</v>
      </c>
      <c r="O6214" s="5" t="str">
        <f>IFERROR(__xludf.DUMMYFUNCTION("IF(REGEXMATCH(TRIM(I6214), ""^\d+\s*min""), ""Unclassified"", IF(I6214 = """", ""NR"", I6214))"),"R")</f>
        <v>R</v>
      </c>
      <c r="R6214" s="5" t="str">
        <f t="shared" si="2"/>
        <v>Bad Boys Ii</v>
      </c>
      <c r="S6214" s="5" t="str">
        <f>IFERROR(__xludf.DUMMYFUNCTION("""COMPUTED_VALUE"""),"Seven Souls In The Skull Castle 2011")</f>
        <v>Seven Souls In The Skull Castle 2011</v>
      </c>
      <c r="V6214" s="5"/>
      <c r="Y6214" s="5" t="str">
        <f>IFERROR(__xludf.DUMMYFUNCTION("REGEXEXTRACT(J6214, ""^\d+"")"),"147")</f>
        <v>147</v>
      </c>
      <c r="Z6214" s="5" t="str">
        <f>IFERROR(__xludf.DUMMYFUNCTION("REGEXEXTRACT(J6214, ""[A-Za-z ]+$"")")," min")</f>
        <v> min</v>
      </c>
      <c r="AA6214" s="5" t="str">
        <f>IFERROR(__xludf.DUMMYFUNCTION("IF(REGEXMATCH(Z6214, ""Season""), ""TV Show"", ""Movie"")"),"Movie")</f>
        <v>Movie</v>
      </c>
    </row>
    <row r="6215">
      <c r="A6215" s="1" t="s">
        <v>31237</v>
      </c>
      <c r="B6215" s="1" t="s">
        <v>37</v>
      </c>
      <c r="C6215" s="1" t="s">
        <v>31238</v>
      </c>
      <c r="E6215" s="1" t="s">
        <v>31239</v>
      </c>
      <c r="F6215" s="1" t="s">
        <v>96</v>
      </c>
      <c r="G6215" s="1" t="s">
        <v>31240</v>
      </c>
      <c r="H6215" s="1">
        <v>2014.0</v>
      </c>
      <c r="I6215" s="1" t="s">
        <v>42</v>
      </c>
      <c r="J6215" s="1" t="s">
        <v>276</v>
      </c>
      <c r="K6215" s="1" t="s">
        <v>22840</v>
      </c>
      <c r="L6215" s="1" t="s">
        <v>31241</v>
      </c>
      <c r="M6215" s="2" t="s">
        <v>12</v>
      </c>
      <c r="N6215" s="1" t="str">
        <f t="shared" si="1"/>
        <v>#N/A</v>
      </c>
      <c r="O6215" s="5" t="str">
        <f>IFERROR(__xludf.DUMMYFUNCTION("IF(REGEXMATCH(TRIM(I6215), ""^\d+\s*min""), ""Unclassified"", IF(I6215 = """", ""NR"", I6215))"),"TV-MA")</f>
        <v>TV-MA</v>
      </c>
      <c r="R6215" s="5" t="str">
        <f t="shared" si="2"/>
        <v>Bad Education</v>
      </c>
      <c r="S6215" s="5" t="str">
        <f>IFERROR(__xludf.DUMMYFUNCTION("""COMPUTED_VALUE"""),"Seven Souls In The Skull Castle: Season Bird")</f>
        <v>Seven Souls In The Skull Castle: Season Bird</v>
      </c>
      <c r="V6215" s="5"/>
      <c r="Y6215" s="5" t="str">
        <f>IFERROR(__xludf.DUMMYFUNCTION("REGEXEXTRACT(J6215, ""^\d+"")"),"3")</f>
        <v>3</v>
      </c>
      <c r="Z6215" s="5" t="str">
        <f>IFERROR(__xludf.DUMMYFUNCTION("REGEXEXTRACT(J6215, ""[A-Za-z ]+$"")")," Seasons")</f>
        <v> Seasons</v>
      </c>
      <c r="AA6215" s="5" t="str">
        <f>IFERROR(__xludf.DUMMYFUNCTION("IF(REGEXMATCH(Z6215, ""Season""), ""TV Show"", ""Movie"")"),"TV Show")</f>
        <v>TV Show</v>
      </c>
    </row>
    <row r="6216">
      <c r="A6216" s="1" t="s">
        <v>31242</v>
      </c>
      <c r="B6216" s="1" t="s">
        <v>27</v>
      </c>
      <c r="C6216" s="1" t="s">
        <v>31243</v>
      </c>
      <c r="D6216" s="1" t="s">
        <v>5860</v>
      </c>
      <c r="E6216" s="1" t="s">
        <v>31244</v>
      </c>
      <c r="F6216" s="1" t="s">
        <v>17922</v>
      </c>
      <c r="G6216" s="1" t="s">
        <v>31245</v>
      </c>
      <c r="H6216" s="1">
        <v>2017.0</v>
      </c>
      <c r="I6216" s="1" t="s">
        <v>42</v>
      </c>
      <c r="J6216" s="1" t="s">
        <v>490</v>
      </c>
      <c r="K6216" s="1" t="s">
        <v>171</v>
      </c>
      <c r="L6216" s="1" t="s">
        <v>31246</v>
      </c>
      <c r="M6216" s="2" t="s">
        <v>12</v>
      </c>
      <c r="N6216" s="4">
        <f t="shared" si="1"/>
        <v>43170</v>
      </c>
      <c r="O6216" s="5" t="str">
        <f>IFERROR(__xludf.DUMMYFUNCTION("IF(REGEXMATCH(TRIM(I6216), ""^\d+\s*min""), ""Unclassified"", IF(I6216 = """", ""NR"", I6216))"),"TV-MA")</f>
        <v>TV-MA</v>
      </c>
      <c r="R6216" s="5" t="str">
        <f t="shared" si="2"/>
        <v>Bad Match</v>
      </c>
      <c r="S6216" s="5" t="str">
        <f>IFERROR(__xludf.DUMMYFUNCTION("""COMPUTED_VALUE"""),"Seven Souls In The Skull Castle: Season Flower")</f>
        <v>Seven Souls In The Skull Castle: Season Flower</v>
      </c>
      <c r="V6216" s="5"/>
      <c r="Y6216" s="5" t="str">
        <f>IFERROR(__xludf.DUMMYFUNCTION("REGEXEXTRACT(J6216, ""^\d+"")"),"83")</f>
        <v>83</v>
      </c>
      <c r="Z6216" s="5" t="str">
        <f>IFERROR(__xludf.DUMMYFUNCTION("REGEXEXTRACT(J6216, ""[A-Za-z ]+$"")")," min")</f>
        <v> min</v>
      </c>
      <c r="AA6216" s="5" t="str">
        <f>IFERROR(__xludf.DUMMYFUNCTION("IF(REGEXMATCH(Z6216, ""Season""), ""TV Show"", ""Movie"")"),"Movie")</f>
        <v>Movie</v>
      </c>
    </row>
    <row r="6217">
      <c r="A6217" s="1" t="s">
        <v>31247</v>
      </c>
      <c r="B6217" s="1" t="s">
        <v>27</v>
      </c>
      <c r="C6217" s="1" t="s">
        <v>31248</v>
      </c>
      <c r="D6217" s="1" t="s">
        <v>20117</v>
      </c>
      <c r="E6217" s="1" t="s">
        <v>31249</v>
      </c>
      <c r="F6217" s="1" t="s">
        <v>897</v>
      </c>
      <c r="G6217" s="1" t="s">
        <v>31250</v>
      </c>
      <c r="H6217" s="1">
        <v>2016.0</v>
      </c>
      <c r="I6217" s="1" t="s">
        <v>42</v>
      </c>
      <c r="J6217" s="1" t="s">
        <v>490</v>
      </c>
      <c r="K6217" s="1" t="s">
        <v>700</v>
      </c>
      <c r="L6217" s="1" t="s">
        <v>31251</v>
      </c>
      <c r="M6217" s="2" t="s">
        <v>12</v>
      </c>
      <c r="N6217" s="4">
        <f t="shared" si="1"/>
        <v>42968</v>
      </c>
      <c r="O6217" s="5" t="str">
        <f>IFERROR(__xludf.DUMMYFUNCTION("IF(REGEXMATCH(TRIM(I6217), ""^\d+\s*min""), ""Unclassified"", IF(I6217 = """", ""NR"", I6217))"),"TV-MA")</f>
        <v>TV-MA</v>
      </c>
      <c r="R6217" s="5" t="str">
        <f t="shared" si="2"/>
        <v>Bad Rap</v>
      </c>
      <c r="S6217" s="5" t="str">
        <f>IFERROR(__xludf.DUMMYFUNCTION("""COMPUTED_VALUE"""),"Seven Souls In The Skull Castle: Season Moon Jogen")</f>
        <v>Seven Souls In The Skull Castle: Season Moon Jogen</v>
      </c>
      <c r="V6217" s="5"/>
      <c r="Y6217" s="5" t="str">
        <f>IFERROR(__xludf.DUMMYFUNCTION("REGEXEXTRACT(J6217, ""^\d+"")"),"83")</f>
        <v>83</v>
      </c>
      <c r="Z6217" s="5" t="str">
        <f>IFERROR(__xludf.DUMMYFUNCTION("REGEXEXTRACT(J6217, ""[A-Za-z ]+$"")")," min")</f>
        <v> min</v>
      </c>
      <c r="AA6217" s="5" t="str">
        <f>IFERROR(__xludf.DUMMYFUNCTION("IF(REGEXMATCH(Z6217, ""Season""), ""TV Show"", ""Movie"")"),"Movie")</f>
        <v>Movie</v>
      </c>
    </row>
    <row r="6218">
      <c r="A6218" s="1" t="s">
        <v>31252</v>
      </c>
      <c r="B6218" s="1" t="s">
        <v>37</v>
      </c>
      <c r="C6218" s="1" t="s">
        <v>31253</v>
      </c>
      <c r="E6218" s="1" t="s">
        <v>31254</v>
      </c>
      <c r="F6218" s="1" t="s">
        <v>63</v>
      </c>
      <c r="G6218" s="1" t="s">
        <v>28377</v>
      </c>
      <c r="H6218" s="1">
        <v>2013.0</v>
      </c>
      <c r="I6218" s="1" t="s">
        <v>97</v>
      </c>
      <c r="J6218" s="1" t="s">
        <v>51</v>
      </c>
      <c r="K6218" s="1" t="s">
        <v>402</v>
      </c>
      <c r="L6218" s="1" t="s">
        <v>31255</v>
      </c>
      <c r="M6218" s="2" t="s">
        <v>12</v>
      </c>
      <c r="N6218" s="4">
        <f t="shared" si="1"/>
        <v>42826</v>
      </c>
      <c r="O6218" s="5" t="str">
        <f>IFERROR(__xludf.DUMMYFUNCTION("IF(REGEXMATCH(TRIM(I6218), ""^\d+\s*min""), ""Unclassified"", IF(I6218 = """", ""NR"", I6218))"),"TV-14")</f>
        <v>TV-14</v>
      </c>
      <c r="R6218" s="5" t="str">
        <f t="shared" si="2"/>
        <v>Badalte Rishton Ki Dastaan</v>
      </c>
      <c r="S6218" s="5" t="str">
        <f>IFERROR(__xludf.DUMMYFUNCTION("""COMPUTED_VALUE"""),"Seven Souls In The Skull Castle: Season Moon Kagen")</f>
        <v>Seven Souls In The Skull Castle: Season Moon Kagen</v>
      </c>
      <c r="V6218" s="5"/>
      <c r="Y6218" s="5" t="str">
        <f>IFERROR(__xludf.DUMMYFUNCTION("REGEXEXTRACT(J6218, ""^\d+"")"),"1")</f>
        <v>1</v>
      </c>
      <c r="Z6218" s="5" t="str">
        <f>IFERROR(__xludf.DUMMYFUNCTION("REGEXEXTRACT(J6218, ""[A-Za-z ]+$"")")," Season")</f>
        <v> Season</v>
      </c>
      <c r="AA6218" s="5" t="str">
        <f>IFERROR(__xludf.DUMMYFUNCTION("IF(REGEXMATCH(Z6218, ""Season""), ""TV Show"", ""Movie"")"),"TV Show")</f>
        <v>TV Show</v>
      </c>
    </row>
    <row r="6219">
      <c r="A6219" s="1" t="s">
        <v>31256</v>
      </c>
      <c r="B6219" s="1" t="s">
        <v>27</v>
      </c>
      <c r="C6219" s="1" t="s">
        <v>31257</v>
      </c>
      <c r="D6219" s="1" t="s">
        <v>21902</v>
      </c>
      <c r="E6219" s="1" t="s">
        <v>31258</v>
      </c>
      <c r="F6219" s="1" t="s">
        <v>63</v>
      </c>
      <c r="G6219" s="1" t="s">
        <v>26481</v>
      </c>
      <c r="H6219" s="1">
        <v>2006.0</v>
      </c>
      <c r="I6219" s="1" t="s">
        <v>97</v>
      </c>
      <c r="J6219" s="1" t="s">
        <v>79</v>
      </c>
      <c r="K6219" s="1" t="s">
        <v>128</v>
      </c>
      <c r="L6219" s="1" t="s">
        <v>31259</v>
      </c>
      <c r="M6219" s="2" t="s">
        <v>12</v>
      </c>
      <c r="N6219" s="4">
        <f t="shared" si="1"/>
        <v>43101</v>
      </c>
      <c r="O6219" s="5" t="str">
        <f>IFERROR(__xludf.DUMMYFUNCTION("IF(REGEXMATCH(TRIM(I6219), ""^\d+\s*min""), ""Unclassified"", IF(I6219 = """", ""NR"", I6219))"),"TV-14")</f>
        <v>TV-14</v>
      </c>
      <c r="R6219" s="5" t="str">
        <f t="shared" si="2"/>
        <v>Badha</v>
      </c>
      <c r="S6219" s="5" t="str">
        <f>IFERROR(__xludf.DUMMYFUNCTION("""COMPUTED_VALUE"""),"Seven Souls In The Skull Castle: Season Wind")</f>
        <v>Seven Souls In The Skull Castle: Season Wind</v>
      </c>
      <c r="V6219" s="5"/>
      <c r="Y6219" s="5" t="str">
        <f>IFERROR(__xludf.DUMMYFUNCTION("REGEXEXTRACT(J6219, ""^\d+"")"),"91")</f>
        <v>91</v>
      </c>
      <c r="Z6219" s="5" t="str">
        <f>IFERROR(__xludf.DUMMYFUNCTION("REGEXEXTRACT(J6219, ""[A-Za-z ]+$"")")," min")</f>
        <v> min</v>
      </c>
      <c r="AA6219" s="5" t="str">
        <f>IFERROR(__xludf.DUMMYFUNCTION("IF(REGEXMATCH(Z6219, ""Season""), ""TV Show"", ""Movie"")"),"Movie")</f>
        <v>Movie</v>
      </c>
    </row>
    <row r="6220">
      <c r="A6220" s="1" t="s">
        <v>31260</v>
      </c>
      <c r="B6220" s="1" t="s">
        <v>27</v>
      </c>
      <c r="C6220" s="1" t="s">
        <v>31261</v>
      </c>
      <c r="D6220" s="1" t="s">
        <v>12259</v>
      </c>
      <c r="E6220" s="1" t="s">
        <v>31262</v>
      </c>
      <c r="F6220" s="1" t="s">
        <v>30</v>
      </c>
      <c r="G6220" s="1" t="s">
        <v>15524</v>
      </c>
      <c r="H6220" s="1">
        <v>2019.0</v>
      </c>
      <c r="I6220" s="1" t="s">
        <v>97</v>
      </c>
      <c r="J6220" s="1" t="s">
        <v>743</v>
      </c>
      <c r="K6220" s="1" t="s">
        <v>805</v>
      </c>
      <c r="L6220" s="1" t="s">
        <v>31263</v>
      </c>
      <c r="M6220" s="2" t="s">
        <v>12</v>
      </c>
      <c r="N6220" s="4">
        <f t="shared" si="1"/>
        <v>43916</v>
      </c>
      <c r="O6220" s="5" t="str">
        <f>IFERROR(__xludf.DUMMYFUNCTION("IF(REGEXMATCH(TRIM(I6220), ""^\d+\s*min""), ""Unclassified"", IF(I6220 = """", ""NR"", I6220))"),"TV-14")</f>
        <v>TV-14</v>
      </c>
      <c r="R6220" s="5" t="str">
        <f t="shared" si="2"/>
        <v>Badland</v>
      </c>
      <c r="S6220" s="5" t="str">
        <f>IFERROR(__xludf.DUMMYFUNCTION("""COMPUTED_VALUE"""),"Seven Sundays")</f>
        <v>Seven Sundays</v>
      </c>
      <c r="V6220" s="5"/>
      <c r="Y6220" s="5" t="str">
        <f>IFERROR(__xludf.DUMMYFUNCTION("REGEXEXTRACT(J6220, ""^\d+"")"),"117")</f>
        <v>117</v>
      </c>
      <c r="Z6220" s="5" t="str">
        <f>IFERROR(__xludf.DUMMYFUNCTION("REGEXEXTRACT(J6220, ""[A-Za-z ]+$"")")," min")</f>
        <v> min</v>
      </c>
      <c r="AA6220" s="5" t="str">
        <f>IFERROR(__xludf.DUMMYFUNCTION("IF(REGEXMATCH(Z6220, ""Season""), ""TV Show"", ""Movie"")"),"Movie")</f>
        <v>Movie</v>
      </c>
    </row>
    <row r="6221">
      <c r="A6221" s="1" t="s">
        <v>31264</v>
      </c>
      <c r="B6221" s="1" t="s">
        <v>37</v>
      </c>
      <c r="C6221" s="1" t="s">
        <v>31265</v>
      </c>
      <c r="E6221" s="1" t="s">
        <v>31266</v>
      </c>
      <c r="F6221" s="1" t="s">
        <v>13294</v>
      </c>
      <c r="G6221" s="1" t="s">
        <v>28377</v>
      </c>
      <c r="H6221" s="1">
        <v>2016.0</v>
      </c>
      <c r="I6221" s="1" t="s">
        <v>42</v>
      </c>
      <c r="J6221" s="1" t="s">
        <v>51</v>
      </c>
      <c r="K6221" s="1" t="s">
        <v>1339</v>
      </c>
      <c r="L6221" s="1" t="s">
        <v>31267</v>
      </c>
      <c r="M6221" s="2" t="s">
        <v>12</v>
      </c>
      <c r="N6221" s="4">
        <f t="shared" si="1"/>
        <v>42826</v>
      </c>
      <c r="O6221" s="5" t="str">
        <f>IFERROR(__xludf.DUMMYFUNCTION("IF(REGEXMATCH(TRIM(I6221), ""^\d+\s*min""), ""Unclassified"", IF(I6221 = """", ""NR"", I6221))"),"TV-MA")</f>
        <v>TV-MA</v>
      </c>
      <c r="R6221" s="5" t="str">
        <f t="shared" si="2"/>
        <v>Bala Loca</v>
      </c>
      <c r="S6221" s="5" t="str">
        <f>IFERROR(__xludf.DUMMYFUNCTION("""COMPUTED_VALUE"""),"Seventeen")</f>
        <v>Seventeen</v>
      </c>
      <c r="V6221" s="5"/>
      <c r="Y6221" s="5" t="str">
        <f>IFERROR(__xludf.DUMMYFUNCTION("REGEXEXTRACT(J6221, ""^\d+"")"),"1")</f>
        <v>1</v>
      </c>
      <c r="Z6221" s="5" t="str">
        <f>IFERROR(__xludf.DUMMYFUNCTION("REGEXEXTRACT(J6221, ""[A-Za-z ]+$"")")," Season")</f>
        <v> Season</v>
      </c>
      <c r="AA6221" s="5" t="str">
        <f>IFERROR(__xludf.DUMMYFUNCTION("IF(REGEXMATCH(Z6221, ""Season""), ""TV Show"", ""Movie"")"),"TV Show")</f>
        <v>TV Show</v>
      </c>
    </row>
    <row r="6222">
      <c r="A6222" s="1" t="s">
        <v>31268</v>
      </c>
      <c r="B6222" s="1" t="s">
        <v>27</v>
      </c>
      <c r="C6222" s="1" t="s">
        <v>31269</v>
      </c>
      <c r="D6222" s="1" t="s">
        <v>21242</v>
      </c>
      <c r="E6222" s="1" t="s">
        <v>31270</v>
      </c>
      <c r="F6222" s="1" t="s">
        <v>30</v>
      </c>
      <c r="G6222" s="1" t="s">
        <v>25842</v>
      </c>
      <c r="H6222" s="1">
        <v>1995.0</v>
      </c>
      <c r="I6222" s="1" t="s">
        <v>770</v>
      </c>
      <c r="J6222" s="1" t="s">
        <v>1737</v>
      </c>
      <c r="K6222" s="1" t="s">
        <v>771</v>
      </c>
      <c r="L6222" s="1" t="s">
        <v>31271</v>
      </c>
      <c r="M6222" s="2" t="s">
        <v>12</v>
      </c>
      <c r="N6222" s="4">
        <f t="shared" si="1"/>
        <v>43191</v>
      </c>
      <c r="O6222" s="5" t="str">
        <f>IFERROR(__xludf.DUMMYFUNCTION("IF(REGEXMATCH(TRIM(I6222), ""^\d+\s*min""), ""Unclassified"", IF(I6222 = """", ""NR"", I6222))"),"G")</f>
        <v>G</v>
      </c>
      <c r="R6222" s="5" t="str">
        <f t="shared" si="2"/>
        <v>Balto</v>
      </c>
      <c r="S6222" s="5" t="str">
        <f>IFERROR(__xludf.DUMMYFUNCTION("""COMPUTED_VALUE"""),"Seventh Son")</f>
        <v>Seventh Son</v>
      </c>
      <c r="V6222" s="5"/>
      <c r="Y6222" s="5" t="str">
        <f>IFERROR(__xludf.DUMMYFUNCTION("REGEXEXTRACT(J6222, ""^\d+"")"),"78")</f>
        <v>78</v>
      </c>
      <c r="Z6222" s="5" t="str">
        <f>IFERROR(__xludf.DUMMYFUNCTION("REGEXEXTRACT(J6222, ""[A-Za-z ]+$"")")," min")</f>
        <v> min</v>
      </c>
      <c r="AA6222" s="5" t="str">
        <f>IFERROR(__xludf.DUMMYFUNCTION("IF(REGEXMATCH(Z6222, ""Season""), ""TV Show"", ""Movie"")"),"Movie")</f>
        <v>Movie</v>
      </c>
    </row>
    <row r="6223">
      <c r="A6223" s="1" t="s">
        <v>31272</v>
      </c>
      <c r="B6223" s="1" t="s">
        <v>27</v>
      </c>
      <c r="C6223" s="1" t="s">
        <v>31273</v>
      </c>
      <c r="D6223" s="1" t="s">
        <v>18173</v>
      </c>
      <c r="E6223" s="1" t="s">
        <v>31274</v>
      </c>
      <c r="F6223" s="1" t="s">
        <v>30</v>
      </c>
      <c r="G6223" s="1" t="s">
        <v>25842</v>
      </c>
      <c r="H6223" s="1">
        <v>2001.0</v>
      </c>
      <c r="I6223" s="1" t="s">
        <v>770</v>
      </c>
      <c r="J6223" s="1" t="s">
        <v>6281</v>
      </c>
      <c r="K6223" s="1" t="s">
        <v>80</v>
      </c>
      <c r="L6223" s="1" t="s">
        <v>31275</v>
      </c>
      <c r="M6223" s="2" t="s">
        <v>12</v>
      </c>
      <c r="N6223" s="4">
        <f t="shared" si="1"/>
        <v>43191</v>
      </c>
      <c r="O6223" s="5" t="str">
        <f>IFERROR(__xludf.DUMMYFUNCTION("IF(REGEXMATCH(TRIM(I6223), ""^\d+\s*min""), ""Unclassified"", IF(I6223 = """", ""NR"", I6223))"),"G")</f>
        <v>G</v>
      </c>
      <c r="R6223" s="5" t="str">
        <f t="shared" si="2"/>
        <v>Balto 2: Wolf Quest</v>
      </c>
      <c r="S6223" s="5" t="str">
        <f>IFERROR(__xludf.DUMMYFUNCTION("""COMPUTED_VALUE"""),"Sex And The City 2")</f>
        <v>Sex And The City 2</v>
      </c>
      <c r="V6223" s="5"/>
      <c r="Y6223" s="5" t="str">
        <f>IFERROR(__xludf.DUMMYFUNCTION("REGEXEXTRACT(J6223, ""^\d+"")"),"75")</f>
        <v>75</v>
      </c>
      <c r="Z6223" s="5" t="str">
        <f>IFERROR(__xludf.DUMMYFUNCTION("REGEXEXTRACT(J6223, ""[A-Za-z ]+$"")")," min")</f>
        <v> min</v>
      </c>
      <c r="AA6223" s="5" t="str">
        <f>IFERROR(__xludf.DUMMYFUNCTION("IF(REGEXMATCH(Z6223, ""Season""), ""TV Show"", ""Movie"")"),"Movie")</f>
        <v>Movie</v>
      </c>
    </row>
    <row r="6224">
      <c r="A6224" s="1" t="s">
        <v>31276</v>
      </c>
      <c r="B6224" s="1" t="s">
        <v>27</v>
      </c>
      <c r="C6224" s="1" t="s">
        <v>31277</v>
      </c>
      <c r="D6224" s="1" t="s">
        <v>18173</v>
      </c>
      <c r="E6224" s="1" t="s">
        <v>31278</v>
      </c>
      <c r="F6224" s="1" t="s">
        <v>30</v>
      </c>
      <c r="G6224" s="1" t="s">
        <v>25842</v>
      </c>
      <c r="H6224" s="1">
        <v>2004.0</v>
      </c>
      <c r="I6224" s="1" t="s">
        <v>770</v>
      </c>
      <c r="J6224" s="1" t="s">
        <v>1737</v>
      </c>
      <c r="K6224" s="1" t="s">
        <v>80</v>
      </c>
      <c r="L6224" s="1" t="s">
        <v>31279</v>
      </c>
      <c r="M6224" s="2" t="s">
        <v>12</v>
      </c>
      <c r="N6224" s="4">
        <f t="shared" si="1"/>
        <v>43191</v>
      </c>
      <c r="O6224" s="5" t="str">
        <f>IFERROR(__xludf.DUMMYFUNCTION("IF(REGEXMATCH(TRIM(I6224), ""^\d+\s*min""), ""Unclassified"", IF(I6224 = """", ""NR"", I6224))"),"G")</f>
        <v>G</v>
      </c>
      <c r="R6224" s="5" t="str">
        <f t="shared" si="2"/>
        <v>Balto 3: Wings Of Change</v>
      </c>
      <c r="S6224" s="5" t="str">
        <f>IFERROR(__xludf.DUMMYFUNCTION("""COMPUTED_VALUE"""),"Sex And The City: The Movie")</f>
        <v>Sex And The City: The Movie</v>
      </c>
      <c r="V6224" s="5"/>
      <c r="Y6224" s="5" t="str">
        <f>IFERROR(__xludf.DUMMYFUNCTION("REGEXEXTRACT(J6224, ""^\d+"")"),"78")</f>
        <v>78</v>
      </c>
      <c r="Z6224" s="5" t="str">
        <f>IFERROR(__xludf.DUMMYFUNCTION("REGEXEXTRACT(J6224, ""[A-Za-z ]+$"")")," min")</f>
        <v> min</v>
      </c>
      <c r="AA6224" s="5" t="str">
        <f>IFERROR(__xludf.DUMMYFUNCTION("IF(REGEXMATCH(Z6224, ""Season""), ""TV Show"", ""Movie"")"),"Movie")</f>
        <v>Movie</v>
      </c>
    </row>
    <row r="6225">
      <c r="A6225" s="1" t="s">
        <v>31280</v>
      </c>
      <c r="B6225" s="1" t="s">
        <v>27</v>
      </c>
      <c r="C6225" s="1" t="s">
        <v>31281</v>
      </c>
      <c r="D6225" s="1" t="s">
        <v>8883</v>
      </c>
      <c r="E6225" s="1" t="s">
        <v>31282</v>
      </c>
      <c r="F6225" s="1" t="s">
        <v>19350</v>
      </c>
      <c r="G6225" s="1" t="s">
        <v>26089</v>
      </c>
      <c r="H6225" s="1">
        <v>2017.0</v>
      </c>
      <c r="I6225" s="1" t="s">
        <v>42</v>
      </c>
      <c r="J6225" s="1" t="s">
        <v>5833</v>
      </c>
      <c r="K6225" s="1" t="s">
        <v>3183</v>
      </c>
      <c r="L6225" s="1" t="s">
        <v>31283</v>
      </c>
      <c r="M6225" s="2" t="s">
        <v>12</v>
      </c>
      <c r="N6225" s="4">
        <f t="shared" si="1"/>
        <v>43160</v>
      </c>
      <c r="O6225" s="5" t="str">
        <f>IFERROR(__xludf.DUMMYFUNCTION("IF(REGEXMATCH(TRIM(I6225), ""^\d+\s*min""), ""Unclassified"", IF(I6225 = """", ""NR"", I6225))"),"TV-MA")</f>
        <v>TV-MA</v>
      </c>
      <c r="R6225" s="5" t="str">
        <f t="shared" si="2"/>
        <v>Balu Mahi</v>
      </c>
      <c r="S6225" s="5" t="str">
        <f>IFERROR(__xludf.DUMMYFUNCTION("""COMPUTED_VALUE"""),"Sex Doll")</f>
        <v>Sex Doll</v>
      </c>
      <c r="V6225" s="5"/>
      <c r="Y6225" s="5" t="str">
        <f>IFERROR(__xludf.DUMMYFUNCTION("REGEXEXTRACT(J6225, ""^\d+"")"),"149")</f>
        <v>149</v>
      </c>
      <c r="Z6225" s="5" t="str">
        <f>IFERROR(__xludf.DUMMYFUNCTION("REGEXEXTRACT(J6225, ""[A-Za-z ]+$"")")," min")</f>
        <v> min</v>
      </c>
      <c r="AA6225" s="5" t="str">
        <f>IFERROR(__xludf.DUMMYFUNCTION("IF(REGEXMATCH(Z6225, ""Season""), ""TV Show"", ""Movie"")"),"Movie")</f>
        <v>Movie</v>
      </c>
    </row>
    <row r="6226">
      <c r="A6226" s="1" t="s">
        <v>31284</v>
      </c>
      <c r="B6226" s="1" t="s">
        <v>27</v>
      </c>
      <c r="C6226" s="1" t="s">
        <v>31285</v>
      </c>
      <c r="D6226" s="1" t="s">
        <v>3999</v>
      </c>
      <c r="E6226" s="1" t="s">
        <v>31286</v>
      </c>
      <c r="F6226" s="1" t="s">
        <v>188</v>
      </c>
      <c r="G6226" s="1" t="s">
        <v>28526</v>
      </c>
      <c r="H6226" s="1">
        <v>2015.0</v>
      </c>
      <c r="I6226" s="1" t="s">
        <v>97</v>
      </c>
      <c r="J6226" s="1" t="s">
        <v>238</v>
      </c>
      <c r="K6226" s="1" t="s">
        <v>215</v>
      </c>
      <c r="L6226" s="1" t="s">
        <v>31287</v>
      </c>
      <c r="M6226" s="2" t="s">
        <v>12</v>
      </c>
      <c r="N6226" s="4">
        <f t="shared" si="1"/>
        <v>42804</v>
      </c>
      <c r="O6226" s="5" t="str">
        <f>IFERROR(__xludf.DUMMYFUNCTION("IF(REGEXMATCH(TRIM(I6226), ""^\d+\s*min""), ""Unclassified"", IF(I6226 = """", ""NR"", I6226))"),"TV-14")</f>
        <v>TV-14</v>
      </c>
      <c r="R6226" s="5" t="str">
        <f t="shared" si="2"/>
        <v>Bana Masal Anlatma</v>
      </c>
      <c r="S6226" s="5" t="str">
        <f>IFERROR(__xludf.DUMMYFUNCTION("""COMPUTED_VALUE"""),"Sex Drive")</f>
        <v>Sex Drive</v>
      </c>
      <c r="V6226" s="5"/>
      <c r="Y6226" s="5" t="str">
        <f>IFERROR(__xludf.DUMMYFUNCTION("REGEXEXTRACT(J6226, ""^\d+"")"),"103")</f>
        <v>103</v>
      </c>
      <c r="Z6226" s="5" t="str">
        <f>IFERROR(__xludf.DUMMYFUNCTION("REGEXEXTRACT(J6226, ""[A-Za-z ]+$"")")," min")</f>
        <v> min</v>
      </c>
      <c r="AA6226" s="5" t="str">
        <f>IFERROR(__xludf.DUMMYFUNCTION("IF(REGEXMATCH(Z6226, ""Season""), ""TV Show"", ""Movie"")"),"Movie")</f>
        <v>Movie</v>
      </c>
    </row>
    <row r="6227">
      <c r="A6227" s="1" t="s">
        <v>31288</v>
      </c>
      <c r="B6227" s="1" t="s">
        <v>27</v>
      </c>
      <c r="C6227" s="1" t="s">
        <v>31289</v>
      </c>
      <c r="D6227" s="1" t="s">
        <v>24044</v>
      </c>
      <c r="E6227" s="1" t="s">
        <v>31290</v>
      </c>
      <c r="F6227" s="1" t="s">
        <v>30</v>
      </c>
      <c r="G6227" s="1" t="s">
        <v>21216</v>
      </c>
      <c r="H6227" s="1">
        <v>2017.0</v>
      </c>
      <c r="I6227" s="1" t="s">
        <v>378</v>
      </c>
      <c r="J6227" s="1" t="s">
        <v>170</v>
      </c>
      <c r="K6227" s="1" t="s">
        <v>836</v>
      </c>
      <c r="L6227" s="1" t="s">
        <v>31291</v>
      </c>
      <c r="M6227" s="2" t="s">
        <v>12</v>
      </c>
      <c r="N6227" s="4">
        <f t="shared" si="1"/>
        <v>43567</v>
      </c>
      <c r="O6227" s="5" t="str">
        <f>IFERROR(__xludf.DUMMYFUNCTION("IF(REGEXMATCH(TRIM(I6227), ""^\d+\s*min""), ""Unclassified"", IF(I6227 = """", ""NR"", I6227))"),"R")</f>
        <v>R</v>
      </c>
      <c r="R6227" s="5" t="str">
        <f t="shared" si="2"/>
        <v>Band Aid</v>
      </c>
      <c r="S6227" s="5" t="str">
        <f>IFERROR(__xludf.DUMMYFUNCTION("""COMPUTED_VALUE"""),"Sex Education")</f>
        <v>Sex Education</v>
      </c>
      <c r="V6227" s="5"/>
      <c r="Y6227" s="5" t="str">
        <f>IFERROR(__xludf.DUMMYFUNCTION("REGEXEXTRACT(J6227, ""^\d+"")"),"94")</f>
        <v>94</v>
      </c>
      <c r="Z6227" s="5" t="str">
        <f>IFERROR(__xludf.DUMMYFUNCTION("REGEXEXTRACT(J6227, ""[A-Za-z ]+$"")")," min")</f>
        <v> min</v>
      </c>
      <c r="AA6227" s="5" t="str">
        <f>IFERROR(__xludf.DUMMYFUNCTION("IF(REGEXMATCH(Z6227, ""Season""), ""TV Show"", ""Movie"")"),"Movie")</f>
        <v>Movie</v>
      </c>
    </row>
    <row r="6228">
      <c r="A6228" s="1" t="s">
        <v>31292</v>
      </c>
      <c r="B6228" s="1" t="s">
        <v>27</v>
      </c>
      <c r="C6228" s="1" t="s">
        <v>31293</v>
      </c>
      <c r="D6228" s="1" t="s">
        <v>130</v>
      </c>
      <c r="E6228" s="1" t="s">
        <v>31294</v>
      </c>
      <c r="F6228" s="1" t="s">
        <v>30</v>
      </c>
      <c r="G6228" s="1" t="s">
        <v>29703</v>
      </c>
      <c r="H6228" s="1">
        <v>2015.0</v>
      </c>
      <c r="I6228" s="1" t="s">
        <v>30231</v>
      </c>
      <c r="J6228" s="1" t="s">
        <v>465</v>
      </c>
      <c r="K6228" s="1" t="s">
        <v>8798</v>
      </c>
      <c r="L6228" s="1" t="s">
        <v>31295</v>
      </c>
      <c r="M6228" s="2" t="s">
        <v>12</v>
      </c>
      <c r="N6228" s="4">
        <f t="shared" si="1"/>
        <v>42475</v>
      </c>
      <c r="O6228" s="5" t="str">
        <f>IFERROR(__xludf.DUMMYFUNCTION("IF(REGEXMATCH(TRIM(I6228), ""^\d+\s*min""), ""Unclassified"", IF(I6228 = """", ""NR"", I6228))"),"NR")</f>
        <v>NR</v>
      </c>
      <c r="R6228" s="5" t="str">
        <f t="shared" si="2"/>
        <v>Band Of Robbers</v>
      </c>
      <c r="S6228" s="5" t="str">
        <f>IFERROR(__xludf.DUMMYFUNCTION("""COMPUTED_VALUE"""),"Sex, Explained")</f>
        <v>Sex, Explained</v>
      </c>
      <c r="V6228" s="5"/>
      <c r="Y6228" s="5" t="str">
        <f>IFERROR(__xludf.DUMMYFUNCTION("REGEXEXTRACT(J6228, ""^\d+"")"),"95")</f>
        <v>95</v>
      </c>
      <c r="Z6228" s="5" t="str">
        <f>IFERROR(__xludf.DUMMYFUNCTION("REGEXEXTRACT(J6228, ""[A-Za-z ]+$"")")," min")</f>
        <v> min</v>
      </c>
      <c r="AA6228" s="5" t="str">
        <f>IFERROR(__xludf.DUMMYFUNCTION("IF(REGEXMATCH(Z6228, ""Season""), ""TV Show"", ""Movie"")"),"Movie")</f>
        <v>Movie</v>
      </c>
    </row>
    <row r="6229">
      <c r="A6229" s="1" t="s">
        <v>31296</v>
      </c>
      <c r="B6229" s="1" t="s">
        <v>27</v>
      </c>
      <c r="C6229" s="1" t="s">
        <v>31297</v>
      </c>
      <c r="D6229" s="1" t="s">
        <v>22181</v>
      </c>
      <c r="E6229" s="1" t="s">
        <v>31298</v>
      </c>
      <c r="F6229" s="1" t="s">
        <v>2796</v>
      </c>
      <c r="G6229" s="1" t="s">
        <v>25035</v>
      </c>
      <c r="H6229" s="1">
        <v>2010.0</v>
      </c>
      <c r="I6229" s="1" t="s">
        <v>42</v>
      </c>
      <c r="J6229" s="1" t="s">
        <v>393</v>
      </c>
      <c r="K6229" s="1" t="s">
        <v>1066</v>
      </c>
      <c r="L6229" s="1" t="s">
        <v>31299</v>
      </c>
      <c r="M6229" s="2" t="s">
        <v>12</v>
      </c>
      <c r="N6229" s="4">
        <f t="shared" si="1"/>
        <v>43306</v>
      </c>
      <c r="O6229" s="5" t="str">
        <f>IFERROR(__xludf.DUMMYFUNCTION("IF(REGEXMATCH(TRIM(I6229), ""^\d+\s*min""), ""Unclassified"", IF(I6229 = """", ""NR"", I6229))"),"TV-MA")</f>
        <v>TV-MA</v>
      </c>
      <c r="R6229" s="5" t="str">
        <f t="shared" si="2"/>
        <v>Bang Rajan 2</v>
      </c>
      <c r="S6229" s="5" t="str">
        <f>IFERROR(__xludf.DUMMYFUNCTION("""COMPUTED_VALUE"""),"Sex/Life")</f>
        <v>Sex/Life</v>
      </c>
      <c r="V6229" s="5"/>
      <c r="Y6229" s="5" t="str">
        <f>IFERROR(__xludf.DUMMYFUNCTION("REGEXEXTRACT(J6229, ""^\d+"")"),"122")</f>
        <v>122</v>
      </c>
      <c r="Z6229" s="5" t="str">
        <f>IFERROR(__xludf.DUMMYFUNCTION("REGEXEXTRACT(J6229, ""[A-Za-z ]+$"")")," min")</f>
        <v> min</v>
      </c>
      <c r="AA6229" s="5" t="str">
        <f>IFERROR(__xludf.DUMMYFUNCTION("IF(REGEXMATCH(Z6229, ""Season""), ""TV Show"", ""Movie"")"),"Movie")</f>
        <v>Movie</v>
      </c>
    </row>
    <row r="6230">
      <c r="A6230" s="1" t="s">
        <v>31300</v>
      </c>
      <c r="B6230" s="1" t="s">
        <v>37</v>
      </c>
      <c r="C6230" s="1" t="s">
        <v>31301</v>
      </c>
      <c r="E6230" s="1" t="s">
        <v>31302</v>
      </c>
      <c r="G6230" s="1" t="s">
        <v>31303</v>
      </c>
      <c r="H6230" s="1">
        <v>2016.0</v>
      </c>
      <c r="I6230" s="1" t="s">
        <v>42</v>
      </c>
      <c r="J6230" s="1" t="s">
        <v>51</v>
      </c>
      <c r="K6230" s="1" t="s">
        <v>64</v>
      </c>
      <c r="L6230" s="1" t="s">
        <v>31304</v>
      </c>
      <c r="M6230" s="2" t="s">
        <v>12</v>
      </c>
      <c r="N6230" s="4">
        <f t="shared" si="1"/>
        <v>43255</v>
      </c>
      <c r="O6230" s="5" t="str">
        <f>IFERROR(__xludf.DUMMYFUNCTION("IF(REGEXMATCH(TRIM(I6230), ""^\d+\s*min""), ""Unclassified"", IF(I6230 = """", ""NR"", I6230))"),"TV-MA")</f>
        <v>TV-MA</v>
      </c>
      <c r="R6230" s="5" t="str">
        <f t="shared" si="2"/>
        <v>Bangkok Bachelors</v>
      </c>
      <c r="S6230" s="5" t="str">
        <f>IFERROR(__xludf.DUMMYFUNCTION("""COMPUTED_VALUE"""),"Sexify")</f>
        <v>Sexify</v>
      </c>
      <c r="V6230" s="5"/>
      <c r="Y6230" s="5" t="str">
        <f>IFERROR(__xludf.DUMMYFUNCTION("REGEXEXTRACT(J6230, ""^\d+"")"),"1")</f>
        <v>1</v>
      </c>
      <c r="Z6230" s="5" t="str">
        <f>IFERROR(__xludf.DUMMYFUNCTION("REGEXEXTRACT(J6230, ""[A-Za-z ]+$"")")," Season")</f>
        <v> Season</v>
      </c>
      <c r="AA6230" s="5" t="str">
        <f>IFERROR(__xludf.DUMMYFUNCTION("IF(REGEXMATCH(Z6230, ""Season""), ""TV Show"", ""Movie"")"),"TV Show")</f>
        <v>TV Show</v>
      </c>
    </row>
    <row r="6231">
      <c r="A6231" s="1" t="s">
        <v>31305</v>
      </c>
      <c r="B6231" s="1" t="s">
        <v>27</v>
      </c>
      <c r="C6231" s="1" t="s">
        <v>31306</v>
      </c>
      <c r="D6231" s="1" t="s">
        <v>14500</v>
      </c>
      <c r="E6231" s="1" t="s">
        <v>31307</v>
      </c>
      <c r="F6231" s="1" t="s">
        <v>2796</v>
      </c>
      <c r="G6231" s="1" t="s">
        <v>24528</v>
      </c>
      <c r="H6231" s="1">
        <v>2002.0</v>
      </c>
      <c r="I6231" s="1" t="s">
        <v>42</v>
      </c>
      <c r="J6231" s="1" t="s">
        <v>1256</v>
      </c>
      <c r="K6231" s="1" t="s">
        <v>128</v>
      </c>
      <c r="L6231" s="1" t="s">
        <v>31308</v>
      </c>
      <c r="M6231" s="2" t="s">
        <v>12</v>
      </c>
      <c r="N6231" s="4">
        <f t="shared" si="1"/>
        <v>43357</v>
      </c>
      <c r="O6231" s="5" t="str">
        <f>IFERROR(__xludf.DUMMYFUNCTION("IF(REGEXMATCH(TRIM(I6231), ""^\d+\s*min""), ""Unclassified"", IF(I6231 = """", ""NR"", I6231))"),"TV-MA")</f>
        <v>TV-MA</v>
      </c>
      <c r="R6231" s="5" t="str">
        <f t="shared" si="2"/>
        <v>Bangkok Hell</v>
      </c>
      <c r="S6231" s="5" t="str">
        <f>IFERROR(__xludf.DUMMYFUNCTION("""COMPUTED_VALUE"""),"Sexo, Pudor Y Lagrimas")</f>
        <v>Sexo, Pudor Y Lagrimas</v>
      </c>
      <c r="V6231" s="5"/>
      <c r="Y6231" s="5" t="str">
        <f>IFERROR(__xludf.DUMMYFUNCTION("REGEXEXTRACT(J6231, ""^\d+"")"),"107")</f>
        <v>107</v>
      </c>
      <c r="Z6231" s="5" t="str">
        <f>IFERROR(__xludf.DUMMYFUNCTION("REGEXEXTRACT(J6231, ""[A-Za-z ]+$"")")," min")</f>
        <v> min</v>
      </c>
      <c r="AA6231" s="5" t="str">
        <f>IFERROR(__xludf.DUMMYFUNCTION("IF(REGEXMATCH(Z6231, ""Season""), ""TV Show"", ""Movie"")"),"Movie")</f>
        <v>Movie</v>
      </c>
    </row>
    <row r="6232">
      <c r="A6232" s="1" t="s">
        <v>31309</v>
      </c>
      <c r="B6232" s="1" t="s">
        <v>27</v>
      </c>
      <c r="C6232" s="1" t="s">
        <v>31310</v>
      </c>
      <c r="D6232" s="1" t="s">
        <v>485</v>
      </c>
      <c r="E6232" s="1" t="s">
        <v>31311</v>
      </c>
      <c r="F6232" s="1" t="s">
        <v>2796</v>
      </c>
      <c r="G6232" s="1" t="s">
        <v>31151</v>
      </c>
      <c r="H6232" s="1">
        <v>2009.0</v>
      </c>
      <c r="I6232" s="1" t="s">
        <v>97</v>
      </c>
      <c r="J6232" s="1" t="s">
        <v>3458</v>
      </c>
      <c r="K6232" s="1" t="s">
        <v>215</v>
      </c>
      <c r="L6232" s="1" t="s">
        <v>31312</v>
      </c>
      <c r="M6232" s="2" t="s">
        <v>12</v>
      </c>
      <c r="N6232" s="4">
        <f t="shared" si="1"/>
        <v>43348</v>
      </c>
      <c r="O6232" s="5" t="str">
        <f>IFERROR(__xludf.DUMMYFUNCTION("IF(REGEXMATCH(TRIM(I6232), ""^\d+\s*min""), ""Unclassified"", IF(I6232 = """", ""NR"", I6232))"),"TV-14")</f>
        <v>TV-14</v>
      </c>
      <c r="R6232" s="5" t="str">
        <f t="shared" si="2"/>
        <v>Bangkok Traffic (Love) Story</v>
      </c>
      <c r="S6232" s="5" t="str">
        <f>IFERROR(__xludf.DUMMYFUNCTION("""COMPUTED_VALUE"""),"Sextuplets")</f>
        <v>Sextuplets</v>
      </c>
      <c r="V6232" s="5"/>
      <c r="Y6232" s="5" t="str">
        <f>IFERROR(__xludf.DUMMYFUNCTION("REGEXEXTRACT(J6232, ""^\d+"")"),"126")</f>
        <v>126</v>
      </c>
      <c r="Z6232" s="5" t="str">
        <f>IFERROR(__xludf.DUMMYFUNCTION("REGEXEXTRACT(J6232, ""[A-Za-z ]+$"")")," min")</f>
        <v> min</v>
      </c>
      <c r="AA6232" s="5" t="str">
        <f>IFERROR(__xludf.DUMMYFUNCTION("IF(REGEXMATCH(Z6232, ""Season""), ""TV Show"", ""Movie"")"),"Movie")</f>
        <v>Movie</v>
      </c>
    </row>
    <row r="6233">
      <c r="A6233" s="1" t="s">
        <v>31313</v>
      </c>
      <c r="B6233" s="1" t="s">
        <v>27</v>
      </c>
      <c r="C6233" s="1" t="s">
        <v>31314</v>
      </c>
      <c r="D6233" s="1" t="s">
        <v>11767</v>
      </c>
      <c r="E6233" s="1" t="s">
        <v>31315</v>
      </c>
      <c r="F6233" s="1" t="s">
        <v>784</v>
      </c>
      <c r="G6233" s="1" t="s">
        <v>24649</v>
      </c>
      <c r="H6233" s="1">
        <v>2015.0</v>
      </c>
      <c r="I6233" s="1" t="s">
        <v>42</v>
      </c>
      <c r="J6233" s="1" t="s">
        <v>393</v>
      </c>
      <c r="K6233" s="1" t="s">
        <v>520</v>
      </c>
      <c r="L6233" s="1" t="s">
        <v>31316</v>
      </c>
      <c r="M6233" s="2" t="s">
        <v>12</v>
      </c>
      <c r="N6233" s="4">
        <f t="shared" si="1"/>
        <v>43344</v>
      </c>
      <c r="O6233" s="5" t="str">
        <f>IFERROR(__xludf.DUMMYFUNCTION("IF(REGEXMATCH(TRIM(I6233), ""^\d+\s*min""), ""Unclassified"", IF(I6233 = """", ""NR"", I6233))"),"TV-MA")</f>
        <v>TV-MA</v>
      </c>
      <c r="R6233" s="5" t="str">
        <f t="shared" si="2"/>
        <v>Barça Dreams</v>
      </c>
      <c r="S6233" s="5" t="str">
        <f>IFERROR(__xludf.DUMMYFUNCTION("""COMPUTED_VALUE"""),"Sexy Beasts")</f>
        <v>Sexy Beasts</v>
      </c>
      <c r="V6233" s="5"/>
      <c r="Y6233" s="5" t="str">
        <f>IFERROR(__xludf.DUMMYFUNCTION("REGEXEXTRACT(J6233, ""^\d+"")"),"122")</f>
        <v>122</v>
      </c>
      <c r="Z6233" s="5" t="str">
        <f>IFERROR(__xludf.DUMMYFUNCTION("REGEXEXTRACT(J6233, ""[A-Za-z ]+$"")")," min")</f>
        <v> min</v>
      </c>
      <c r="AA6233" s="5" t="str">
        <f>IFERROR(__xludf.DUMMYFUNCTION("IF(REGEXMATCH(Z6233, ""Season""), ""TV Show"", ""Movie"")"),"Movie")</f>
        <v>Movie</v>
      </c>
    </row>
    <row r="6234">
      <c r="A6234" s="1" t="s">
        <v>31317</v>
      </c>
      <c r="B6234" s="1" t="s">
        <v>27</v>
      </c>
      <c r="C6234" s="1" t="s">
        <v>31318</v>
      </c>
      <c r="D6234" s="1" t="s">
        <v>18663</v>
      </c>
      <c r="E6234" s="1" t="s">
        <v>31319</v>
      </c>
      <c r="F6234" s="1" t="s">
        <v>63</v>
      </c>
      <c r="G6234" s="1" t="s">
        <v>17078</v>
      </c>
      <c r="H6234" s="1">
        <v>2009.0</v>
      </c>
      <c r="I6234" s="1" t="s">
        <v>97</v>
      </c>
      <c r="J6234" s="1" t="s">
        <v>465</v>
      </c>
      <c r="K6234" s="1" t="s">
        <v>128</v>
      </c>
      <c r="L6234" s="1" t="s">
        <v>31320</v>
      </c>
      <c r="M6234" s="2" t="s">
        <v>12</v>
      </c>
      <c r="N6234" s="4">
        <f t="shared" si="1"/>
        <v>43830</v>
      </c>
      <c r="O6234" s="5" t="str">
        <f>IFERROR(__xludf.DUMMYFUNCTION("IF(REGEXMATCH(TRIM(I6234), ""^\d+\s*min""), ""Unclassified"", IF(I6234 = """", ""NR"", I6234))"),"TV-14")</f>
        <v>TV-14</v>
      </c>
      <c r="R6234" s="5" t="str">
        <f t="shared" si="2"/>
        <v>Barah Aana</v>
      </c>
      <c r="S6234" s="5" t="str">
        <f>IFERROR(__xludf.DUMMYFUNCTION("""COMPUTED_VALUE"""),"Sexy Central")</f>
        <v>Sexy Central</v>
      </c>
      <c r="V6234" s="5"/>
      <c r="Y6234" s="5" t="str">
        <f>IFERROR(__xludf.DUMMYFUNCTION("REGEXEXTRACT(J6234, ""^\d+"")"),"95")</f>
        <v>95</v>
      </c>
      <c r="Z6234" s="5" t="str">
        <f>IFERROR(__xludf.DUMMYFUNCTION("REGEXEXTRACT(J6234, ""[A-Za-z ]+$"")")," min")</f>
        <v> min</v>
      </c>
      <c r="AA6234" s="5" t="str">
        <f>IFERROR(__xludf.DUMMYFUNCTION("IF(REGEXMATCH(Z6234, ""Season""), ""TV Show"", ""Movie"")"),"Movie")</f>
        <v>Movie</v>
      </c>
    </row>
    <row r="6235">
      <c r="A6235" s="1" t="s">
        <v>31321</v>
      </c>
      <c r="B6235" s="1" t="s">
        <v>27</v>
      </c>
      <c r="C6235" s="1" t="s">
        <v>31322</v>
      </c>
      <c r="D6235" s="1" t="s">
        <v>15330</v>
      </c>
      <c r="F6235" s="1" t="s">
        <v>31323</v>
      </c>
      <c r="G6235" s="1" t="s">
        <v>27472</v>
      </c>
      <c r="H6235" s="1">
        <v>2017.0</v>
      </c>
      <c r="I6235" s="1" t="s">
        <v>42</v>
      </c>
      <c r="J6235" s="1" t="s">
        <v>1091</v>
      </c>
      <c r="K6235" s="1" t="s">
        <v>156</v>
      </c>
      <c r="L6235" s="1" t="s">
        <v>31324</v>
      </c>
      <c r="M6235" s="2" t="s">
        <v>12</v>
      </c>
      <c r="N6235" s="4">
        <f t="shared" si="1"/>
        <v>42962</v>
      </c>
      <c r="O6235" s="5" t="str">
        <f>IFERROR(__xludf.DUMMYFUNCTION("IF(REGEXMATCH(TRIM(I6235), ""^\d+\s*min""), ""Unclassified"", IF(I6235 = """", ""NR"", I6235))"),"TV-MA")</f>
        <v>TV-MA</v>
      </c>
      <c r="R6235" s="5" t="str">
        <f t="shared" si="2"/>
        <v>Barbecue</v>
      </c>
      <c r="S6235" s="5" t="str">
        <f>IFERROR(__xludf.DUMMYFUNCTION("""COMPUTED_VALUE"""),"Sgt. Will Gardner")</f>
        <v>Sgt. Will Gardner</v>
      </c>
      <c r="V6235" s="5"/>
      <c r="Y6235" s="5" t="str">
        <f>IFERROR(__xludf.DUMMYFUNCTION("REGEXEXTRACT(J6235, ""^\d+"")"),"101")</f>
        <v>101</v>
      </c>
      <c r="Z6235" s="5" t="str">
        <f>IFERROR(__xludf.DUMMYFUNCTION("REGEXEXTRACT(J6235, ""[A-Za-z ]+$"")")," min")</f>
        <v> min</v>
      </c>
      <c r="AA6235" s="5" t="str">
        <f>IFERROR(__xludf.DUMMYFUNCTION("IF(REGEXMATCH(Z6235, ""Season""), ""TV Show"", ""Movie"")"),"Movie")</f>
        <v>Movie</v>
      </c>
    </row>
    <row r="6236">
      <c r="A6236" s="1" t="s">
        <v>31325</v>
      </c>
      <c r="B6236" s="1" t="s">
        <v>27</v>
      </c>
      <c r="C6236" s="1" t="s">
        <v>31326</v>
      </c>
      <c r="D6236" s="1" t="s">
        <v>13103</v>
      </c>
      <c r="E6236" s="1" t="s">
        <v>31327</v>
      </c>
      <c r="F6236" s="1" t="s">
        <v>30</v>
      </c>
      <c r="G6236" s="1" t="s">
        <v>27097</v>
      </c>
      <c r="H6236" s="1">
        <v>2013.0</v>
      </c>
      <c r="I6236" s="1" t="s">
        <v>206</v>
      </c>
      <c r="J6236" s="1" t="s">
        <v>2699</v>
      </c>
      <c r="K6236" s="1" t="s">
        <v>80</v>
      </c>
      <c r="L6236" s="1" t="s">
        <v>31328</v>
      </c>
      <c r="M6236" s="2" t="s">
        <v>12</v>
      </c>
      <c r="N6236" s="4">
        <f t="shared" si="1"/>
        <v>43009</v>
      </c>
      <c r="O6236" s="5" t="str">
        <f>IFERROR(__xludf.DUMMYFUNCTION("IF(REGEXMATCH(TRIM(I6236), ""^\d+\s*min""), ""Unclassified"", IF(I6236 = """", ""NR"", I6236))"),"TV-Y")</f>
        <v>TV-Y</v>
      </c>
      <c r="R6236" s="5" t="str">
        <f t="shared" si="2"/>
        <v>Barbie &amp; Her Sisters In A Pony Tale</v>
      </c>
      <c r="S6236" s="5" t="str">
        <f>IFERROR(__xludf.DUMMYFUNCTION("""COMPUTED_VALUE"""),"Shabd")</f>
        <v>Shabd</v>
      </c>
      <c r="V6236" s="5"/>
      <c r="Y6236" s="5" t="str">
        <f>IFERROR(__xludf.DUMMYFUNCTION("REGEXEXTRACT(J6236, ""^\d+"")"),"74")</f>
        <v>74</v>
      </c>
      <c r="Z6236" s="5" t="str">
        <f>IFERROR(__xludf.DUMMYFUNCTION("REGEXEXTRACT(J6236, ""[A-Za-z ]+$"")")," min")</f>
        <v> min</v>
      </c>
      <c r="AA6236" s="5" t="str">
        <f>IFERROR(__xludf.DUMMYFUNCTION("IF(REGEXMATCH(Z6236, ""Season""), ""TV Show"", ""Movie"")"),"Movie")</f>
        <v>Movie</v>
      </c>
    </row>
    <row r="6237">
      <c r="A6237" s="1" t="s">
        <v>31329</v>
      </c>
      <c r="B6237" s="1" t="s">
        <v>27</v>
      </c>
      <c r="C6237" s="1" t="s">
        <v>31330</v>
      </c>
      <c r="D6237" s="1" t="s">
        <v>461</v>
      </c>
      <c r="E6237" s="1" t="s">
        <v>31331</v>
      </c>
      <c r="F6237" s="1" t="s">
        <v>30</v>
      </c>
      <c r="G6237" s="1" t="s">
        <v>27097</v>
      </c>
      <c r="H6237" s="1">
        <v>2010.0</v>
      </c>
      <c r="I6237" s="1" t="s">
        <v>206</v>
      </c>
      <c r="J6237" s="1" t="s">
        <v>2699</v>
      </c>
      <c r="K6237" s="1" t="s">
        <v>80</v>
      </c>
      <c r="L6237" s="1" t="s">
        <v>31332</v>
      </c>
      <c r="M6237" s="2" t="s">
        <v>12</v>
      </c>
      <c r="N6237" s="4">
        <f t="shared" si="1"/>
        <v>43009</v>
      </c>
      <c r="O6237" s="5" t="str">
        <f>IFERROR(__xludf.DUMMYFUNCTION("IF(REGEXMATCH(TRIM(I6237), ""^\d+\s*min""), ""Unclassified"", IF(I6237 = """", ""NR"", I6237))"),"TV-Y")</f>
        <v>TV-Y</v>
      </c>
      <c r="R6237" s="5" t="str">
        <f t="shared" si="2"/>
        <v>Barbie In A Mermaid Tale</v>
      </c>
      <c r="S6237" s="5" t="str">
        <f>IFERROR(__xludf.DUMMYFUNCTION("""COMPUTED_VALUE"""),"Shadow")</f>
        <v>Shadow</v>
      </c>
      <c r="V6237" s="5"/>
      <c r="Y6237" s="5" t="str">
        <f>IFERROR(__xludf.DUMMYFUNCTION("REGEXEXTRACT(J6237, ""^\d+"")"),"74")</f>
        <v>74</v>
      </c>
      <c r="Z6237" s="5" t="str">
        <f>IFERROR(__xludf.DUMMYFUNCTION("REGEXEXTRACT(J6237, ""[A-Za-z ]+$"")")," min")</f>
        <v> min</v>
      </c>
      <c r="AA6237" s="5" t="str">
        <f>IFERROR(__xludf.DUMMYFUNCTION("IF(REGEXMATCH(Z6237, ""Season""), ""TV Show"", ""Movie"")"),"Movie")</f>
        <v>Movie</v>
      </c>
    </row>
    <row r="6238">
      <c r="A6238" s="1" t="s">
        <v>31333</v>
      </c>
      <c r="B6238" s="1" t="s">
        <v>27</v>
      </c>
      <c r="C6238" s="1" t="s">
        <v>31334</v>
      </c>
      <c r="D6238" s="1" t="s">
        <v>24007</v>
      </c>
      <c r="E6238" s="1" t="s">
        <v>31335</v>
      </c>
      <c r="F6238" s="1" t="s">
        <v>30</v>
      </c>
      <c r="G6238" s="1" t="s">
        <v>27097</v>
      </c>
      <c r="H6238" s="1">
        <v>2015.0</v>
      </c>
      <c r="I6238" s="1" t="s">
        <v>206</v>
      </c>
      <c r="J6238" s="1" t="s">
        <v>2699</v>
      </c>
      <c r="K6238" s="1" t="s">
        <v>80</v>
      </c>
      <c r="L6238" s="1" t="s">
        <v>31336</v>
      </c>
      <c r="M6238" s="2" t="s">
        <v>12</v>
      </c>
      <c r="N6238" s="4">
        <f t="shared" si="1"/>
        <v>43009</v>
      </c>
      <c r="O6238" s="5" t="str">
        <f>IFERROR(__xludf.DUMMYFUNCTION("IF(REGEXMATCH(TRIM(I6238), ""^\d+\s*min""), ""Unclassified"", IF(I6238 = """", ""NR"", I6238))"),"TV-Y")</f>
        <v>TV-Y</v>
      </c>
      <c r="R6238" s="5" t="str">
        <f t="shared" si="2"/>
        <v>Barbie In Princess Power</v>
      </c>
      <c r="S6238" s="5" t="str">
        <f>IFERROR(__xludf.DUMMYFUNCTION("""COMPUTED_VALUE"""),"Shadow And Bone")</f>
        <v>Shadow And Bone</v>
      </c>
      <c r="V6238" s="5"/>
      <c r="Y6238" s="5" t="str">
        <f>IFERROR(__xludf.DUMMYFUNCTION("REGEXEXTRACT(J6238, ""^\d+"")"),"74")</f>
        <v>74</v>
      </c>
      <c r="Z6238" s="5" t="str">
        <f>IFERROR(__xludf.DUMMYFUNCTION("REGEXEXTRACT(J6238, ""[A-Za-z ]+$"")")," min")</f>
        <v> min</v>
      </c>
      <c r="AA6238" s="5" t="str">
        <f>IFERROR(__xludf.DUMMYFUNCTION("IF(REGEXMATCH(Z6238, ""Season""), ""TV Show"", ""Movie"")"),"Movie")</f>
        <v>Movie</v>
      </c>
    </row>
    <row r="6239">
      <c r="A6239" s="1" t="s">
        <v>31337</v>
      </c>
      <c r="B6239" s="1" t="s">
        <v>27</v>
      </c>
      <c r="C6239" s="1" t="s">
        <v>31338</v>
      </c>
      <c r="D6239" s="1" t="s">
        <v>12409</v>
      </c>
      <c r="E6239" s="1" t="s">
        <v>31339</v>
      </c>
      <c r="F6239" s="1" t="s">
        <v>30</v>
      </c>
      <c r="G6239" s="1" t="s">
        <v>27097</v>
      </c>
      <c r="H6239" s="1">
        <v>2015.0</v>
      </c>
      <c r="I6239" s="1" t="s">
        <v>206</v>
      </c>
      <c r="J6239" s="1" t="s">
        <v>490</v>
      </c>
      <c r="K6239" s="1" t="s">
        <v>80</v>
      </c>
      <c r="L6239" s="1" t="s">
        <v>31340</v>
      </c>
      <c r="M6239" s="2" t="s">
        <v>12</v>
      </c>
      <c r="N6239" s="4">
        <f t="shared" si="1"/>
        <v>43009</v>
      </c>
      <c r="O6239" s="5" t="str">
        <f>IFERROR(__xludf.DUMMYFUNCTION("IF(REGEXMATCH(TRIM(I6239), ""^\d+\s*min""), ""Unclassified"", IF(I6239 = """", ""NR"", I6239))"),"TV-Y")</f>
        <v>TV-Y</v>
      </c>
      <c r="R6239" s="5" t="str">
        <f t="shared" si="2"/>
        <v>Barbie In Rock 'N Royals</v>
      </c>
      <c r="S6239" s="5" t="str">
        <f>IFERROR(__xludf.DUMMYFUNCTION("""COMPUTED_VALUE"""),"Shadow And Bone - The Afterparty")</f>
        <v>Shadow And Bone - The Afterparty</v>
      </c>
      <c r="V6239" s="5"/>
      <c r="Y6239" s="5" t="str">
        <f>IFERROR(__xludf.DUMMYFUNCTION("REGEXEXTRACT(J6239, ""^\d+"")"),"83")</f>
        <v>83</v>
      </c>
      <c r="Z6239" s="5" t="str">
        <f>IFERROR(__xludf.DUMMYFUNCTION("REGEXEXTRACT(J6239, ""[A-Za-z ]+$"")")," min")</f>
        <v> min</v>
      </c>
      <c r="AA6239" s="5" t="str">
        <f>IFERROR(__xludf.DUMMYFUNCTION("IF(REGEXMATCH(Z6239, ""Season""), ""TV Show"", ""Movie"")"),"Movie")</f>
        <v>Movie</v>
      </c>
    </row>
    <row r="6240">
      <c r="A6240" s="1" t="s">
        <v>31341</v>
      </c>
      <c r="B6240" s="1" t="s">
        <v>27</v>
      </c>
      <c r="C6240" s="1" t="s">
        <v>31342</v>
      </c>
      <c r="D6240" s="1" t="s">
        <v>1961</v>
      </c>
      <c r="E6240" s="1" t="s">
        <v>31343</v>
      </c>
      <c r="F6240" s="1" t="s">
        <v>30</v>
      </c>
      <c r="G6240" s="1" t="s">
        <v>27097</v>
      </c>
      <c r="H6240" s="1">
        <v>2016.0</v>
      </c>
      <c r="I6240" s="1" t="s">
        <v>206</v>
      </c>
      <c r="J6240" s="1" t="s">
        <v>6391</v>
      </c>
      <c r="K6240" s="1" t="s">
        <v>80</v>
      </c>
      <c r="L6240" s="1" t="s">
        <v>31344</v>
      </c>
      <c r="M6240" s="2" t="s">
        <v>12</v>
      </c>
      <c r="N6240" s="4">
        <f t="shared" si="1"/>
        <v>43009</v>
      </c>
      <c r="O6240" s="5" t="str">
        <f>IFERROR(__xludf.DUMMYFUNCTION("IF(REGEXMATCH(TRIM(I6240), ""^\d+\s*min""), ""Unclassified"", IF(I6240 = """", ""NR"", I6240))"),"TV-Y")</f>
        <v>TV-Y</v>
      </c>
      <c r="R6240" s="5" t="str">
        <f t="shared" si="2"/>
        <v>Barbie Star Light Adventure</v>
      </c>
      <c r="S6240" s="5" t="str">
        <f>IFERROR(__xludf.DUMMYFUNCTION("""COMPUTED_VALUE"""),"Shadow Of Truth")</f>
        <v>Shadow Of Truth</v>
      </c>
      <c r="V6240" s="5"/>
      <c r="Y6240" s="5" t="str">
        <f>IFERROR(__xludf.DUMMYFUNCTION("REGEXEXTRACT(J6240, ""^\d+"")"),"79")</f>
        <v>79</v>
      </c>
      <c r="Z6240" s="5" t="str">
        <f>IFERROR(__xludf.DUMMYFUNCTION("REGEXEXTRACT(J6240, ""[A-Za-z ]+$"")")," min")</f>
        <v> min</v>
      </c>
      <c r="AA6240" s="5" t="str">
        <f>IFERROR(__xludf.DUMMYFUNCTION("IF(REGEXMATCH(Z6240, ""Season""), ""TV Show"", ""Movie"")"),"Movie")</f>
        <v>Movie</v>
      </c>
    </row>
    <row r="6241">
      <c r="A6241" s="1" t="s">
        <v>31345</v>
      </c>
      <c r="B6241" s="1" t="s">
        <v>27</v>
      </c>
      <c r="C6241" s="1" t="s">
        <v>31346</v>
      </c>
      <c r="D6241" s="1" t="s">
        <v>23633</v>
      </c>
      <c r="E6241" s="1" t="s">
        <v>31347</v>
      </c>
      <c r="F6241" s="1" t="s">
        <v>30</v>
      </c>
      <c r="G6241" s="1" t="s">
        <v>27097</v>
      </c>
      <c r="H6241" s="1">
        <v>2010.0</v>
      </c>
      <c r="I6241" s="1" t="s">
        <v>289</v>
      </c>
      <c r="J6241" s="1" t="s">
        <v>4699</v>
      </c>
      <c r="K6241" s="1" t="s">
        <v>80</v>
      </c>
      <c r="L6241" s="1" t="s">
        <v>31348</v>
      </c>
      <c r="M6241" s="2" t="s">
        <v>12</v>
      </c>
      <c r="N6241" s="4">
        <f t="shared" si="1"/>
        <v>43009</v>
      </c>
      <c r="O6241" s="5" t="str">
        <f>IFERROR(__xludf.DUMMYFUNCTION("IF(REGEXMATCH(TRIM(I6241), ""^\d+\s*min""), ""Unclassified"", IF(I6241 = """", ""NR"", I6241))"),"TV-Y7")</f>
        <v>TV-Y7</v>
      </c>
      <c r="R6241" s="5" t="str">
        <f t="shared" si="2"/>
        <v>Barbie: A Fairy Secret</v>
      </c>
      <c r="S6241" s="5" t="str">
        <f>IFERROR(__xludf.DUMMYFUNCTION("""COMPUTED_VALUE"""),"Shadow Parties")</f>
        <v>Shadow Parties</v>
      </c>
      <c r="V6241" s="5"/>
      <c r="Y6241" s="5" t="str">
        <f>IFERROR(__xludf.DUMMYFUNCTION("REGEXEXTRACT(J6241, ""^\d+"")"),"72")</f>
        <v>72</v>
      </c>
      <c r="Z6241" s="5" t="str">
        <f>IFERROR(__xludf.DUMMYFUNCTION("REGEXEXTRACT(J6241, ""[A-Za-z ]+$"")")," min")</f>
        <v> min</v>
      </c>
      <c r="AA6241" s="5" t="str">
        <f>IFERROR(__xludf.DUMMYFUNCTION("IF(REGEXMATCH(Z6241, ""Season""), ""TV Show"", ""Movie"")"),"Movie")</f>
        <v>Movie</v>
      </c>
    </row>
    <row r="6242">
      <c r="A6242" s="1" t="s">
        <v>31349</v>
      </c>
      <c r="B6242" s="1" t="s">
        <v>27</v>
      </c>
      <c r="C6242" s="1" t="s">
        <v>31350</v>
      </c>
      <c r="D6242" s="1" t="s">
        <v>7403</v>
      </c>
      <c r="E6242" s="1" t="s">
        <v>31351</v>
      </c>
      <c r="F6242" s="1" t="s">
        <v>897</v>
      </c>
      <c r="G6242" s="1" t="s">
        <v>27097</v>
      </c>
      <c r="H6242" s="1">
        <v>2011.0</v>
      </c>
      <c r="I6242" s="1" t="s">
        <v>206</v>
      </c>
      <c r="J6242" s="1" t="s">
        <v>729</v>
      </c>
      <c r="K6242" s="1" t="s">
        <v>80</v>
      </c>
      <c r="L6242" s="1" t="s">
        <v>31352</v>
      </c>
      <c r="M6242" s="2" t="s">
        <v>12</v>
      </c>
      <c r="N6242" s="4">
        <f t="shared" si="1"/>
        <v>43009</v>
      </c>
      <c r="O6242" s="5" t="str">
        <f>IFERROR(__xludf.DUMMYFUNCTION("IF(REGEXMATCH(TRIM(I6242), ""^\d+\s*min""), ""Unclassified"", IF(I6242 = """", ""NR"", I6242))"),"TV-Y")</f>
        <v>TV-Y</v>
      </c>
      <c r="R6242" s="5" t="str">
        <f t="shared" si="2"/>
        <v>Barbie: Princess Charm School</v>
      </c>
      <c r="S6242" s="5" t="str">
        <f>IFERROR(__xludf.DUMMYFUNCTION("""COMPUTED_VALUE"""),"Shahanpan Dega Deva")</f>
        <v>Shahanpan Dega Deva</v>
      </c>
      <c r="V6242" s="5"/>
      <c r="Y6242" s="5" t="str">
        <f>IFERROR(__xludf.DUMMYFUNCTION("REGEXEXTRACT(J6242, ""^\d+"")"),"80")</f>
        <v>80</v>
      </c>
      <c r="Z6242" s="5" t="str">
        <f>IFERROR(__xludf.DUMMYFUNCTION("REGEXEXTRACT(J6242, ""[A-Za-z ]+$"")")," min")</f>
        <v> min</v>
      </c>
      <c r="AA6242" s="5" t="str">
        <f>IFERROR(__xludf.DUMMYFUNCTION("IF(REGEXMATCH(Z6242, ""Season""), ""TV Show"", ""Movie"")"),"Movie")</f>
        <v>Movie</v>
      </c>
    </row>
    <row r="6243">
      <c r="A6243" s="1" t="s">
        <v>31353</v>
      </c>
      <c r="B6243" s="1" t="s">
        <v>27</v>
      </c>
      <c r="C6243" s="1" t="s">
        <v>31354</v>
      </c>
      <c r="D6243" s="1" t="s">
        <v>5157</v>
      </c>
      <c r="E6243" s="1" t="s">
        <v>31355</v>
      </c>
      <c r="F6243" s="1" t="s">
        <v>897</v>
      </c>
      <c r="G6243" s="1" t="s">
        <v>27097</v>
      </c>
      <c r="H6243" s="1">
        <v>2016.0</v>
      </c>
      <c r="I6243" s="1" t="s">
        <v>206</v>
      </c>
      <c r="J6243" s="1" t="s">
        <v>6281</v>
      </c>
      <c r="K6243" s="1" t="s">
        <v>80</v>
      </c>
      <c r="L6243" s="1" t="s">
        <v>31356</v>
      </c>
      <c r="M6243" s="2" t="s">
        <v>12</v>
      </c>
      <c r="N6243" s="4">
        <f t="shared" si="1"/>
        <v>43009</v>
      </c>
      <c r="O6243" s="5" t="str">
        <f>IFERROR(__xludf.DUMMYFUNCTION("IF(REGEXMATCH(TRIM(I6243), ""^\d+\s*min""), ""Unclassified"", IF(I6243 = """", ""NR"", I6243))"),"TV-Y")</f>
        <v>TV-Y</v>
      </c>
      <c r="R6243" s="5" t="str">
        <f t="shared" si="2"/>
        <v>Barbie: Spy Squad</v>
      </c>
      <c r="S6243" s="5" t="str">
        <f>IFERROR(__xludf.DUMMYFUNCTION("""COMPUTED_VALUE"""),"Shaitan")</f>
        <v>Shaitan</v>
      </c>
      <c r="V6243" s="5"/>
      <c r="Y6243" s="5" t="str">
        <f>IFERROR(__xludf.DUMMYFUNCTION("REGEXEXTRACT(J6243, ""^\d+"")"),"75")</f>
        <v>75</v>
      </c>
      <c r="Z6243" s="5" t="str">
        <f>IFERROR(__xludf.DUMMYFUNCTION("REGEXEXTRACT(J6243, ""[A-Za-z ]+$"")")," min")</f>
        <v> min</v>
      </c>
      <c r="AA6243" s="5" t="str">
        <f>IFERROR(__xludf.DUMMYFUNCTION("IF(REGEXMATCH(Z6243, ""Season""), ""TV Show"", ""Movie"")"),"Movie")</f>
        <v>Movie</v>
      </c>
    </row>
    <row r="6244">
      <c r="A6244" s="1" t="s">
        <v>31357</v>
      </c>
      <c r="B6244" s="1" t="s">
        <v>27</v>
      </c>
      <c r="C6244" s="1" t="s">
        <v>31358</v>
      </c>
      <c r="D6244" s="1" t="s">
        <v>7403</v>
      </c>
      <c r="E6244" s="1" t="s">
        <v>31359</v>
      </c>
      <c r="F6244" s="1" t="s">
        <v>30</v>
      </c>
      <c r="G6244" s="1" t="s">
        <v>27097</v>
      </c>
      <c r="H6244" s="1">
        <v>2012.0</v>
      </c>
      <c r="I6244" s="1" t="s">
        <v>206</v>
      </c>
      <c r="J6244" s="1" t="s">
        <v>6281</v>
      </c>
      <c r="K6244" s="1" t="s">
        <v>80</v>
      </c>
      <c r="L6244" s="1" t="s">
        <v>31360</v>
      </c>
      <c r="M6244" s="2" t="s">
        <v>12</v>
      </c>
      <c r="N6244" s="4">
        <f t="shared" si="1"/>
        <v>43009</v>
      </c>
      <c r="O6244" s="5" t="str">
        <f>IFERROR(__xludf.DUMMYFUNCTION("IF(REGEXMATCH(TRIM(I6244), ""^\d+\s*min""), ""Unclassified"", IF(I6244 = """", ""NR"", I6244))"),"TV-Y")</f>
        <v>TV-Y</v>
      </c>
      <c r="R6244" s="5" t="str">
        <f t="shared" si="2"/>
        <v>Barbie: The Princess &amp; The Popstar</v>
      </c>
      <c r="S6244" s="5" t="str">
        <f>IFERROR(__xludf.DUMMYFUNCTION("""COMPUTED_VALUE"""),"Shaka Zulu")</f>
        <v>Shaka Zulu</v>
      </c>
      <c r="V6244" s="5"/>
      <c r="Y6244" s="5" t="str">
        <f>IFERROR(__xludf.DUMMYFUNCTION("REGEXEXTRACT(J6244, ""^\d+"")"),"75")</f>
        <v>75</v>
      </c>
      <c r="Z6244" s="5" t="str">
        <f>IFERROR(__xludf.DUMMYFUNCTION("REGEXEXTRACT(J6244, ""[A-Za-z ]+$"")")," min")</f>
        <v> min</v>
      </c>
      <c r="AA6244" s="5" t="str">
        <f>IFERROR(__xludf.DUMMYFUNCTION("IF(REGEXMATCH(Z6244, ""Season""), ""TV Show"", ""Movie"")"),"Movie")</f>
        <v>Movie</v>
      </c>
    </row>
    <row r="6245">
      <c r="A6245" s="1" t="s">
        <v>31361</v>
      </c>
      <c r="B6245" s="1" t="s">
        <v>27</v>
      </c>
      <c r="C6245" s="1" t="s">
        <v>31362</v>
      </c>
      <c r="D6245" s="1" t="s">
        <v>5160</v>
      </c>
      <c r="E6245" s="1" t="s">
        <v>31363</v>
      </c>
      <c r="F6245" s="1" t="s">
        <v>30</v>
      </c>
      <c r="G6245" s="1" t="s">
        <v>27097</v>
      </c>
      <c r="H6245" s="1">
        <v>2017.0</v>
      </c>
      <c r="I6245" s="1" t="s">
        <v>206</v>
      </c>
      <c r="J6245" s="1" t="s">
        <v>4699</v>
      </c>
      <c r="K6245" s="1" t="s">
        <v>80</v>
      </c>
      <c r="L6245" s="1" t="s">
        <v>31364</v>
      </c>
      <c r="M6245" s="2" t="s">
        <v>12</v>
      </c>
      <c r="N6245" s="4">
        <f t="shared" si="1"/>
        <v>43009</v>
      </c>
      <c r="O6245" s="5" t="str">
        <f>IFERROR(__xludf.DUMMYFUNCTION("IF(REGEXMATCH(TRIM(I6245), ""^\d+\s*min""), ""Unclassified"", IF(I6245 = """", ""NR"", I6245))"),"TV-Y")</f>
        <v>TV-Y</v>
      </c>
      <c r="R6245" s="5" t="str">
        <f t="shared" si="2"/>
        <v>Barbie: Video Game Hero</v>
      </c>
      <c r="S6245" s="5" t="str">
        <f>IFERROR(__xludf.DUMMYFUNCTION("""COMPUTED_VALUE"""),"Shakti: The Power")</f>
        <v>Shakti: The Power</v>
      </c>
      <c r="V6245" s="5"/>
      <c r="Y6245" s="5" t="str">
        <f>IFERROR(__xludf.DUMMYFUNCTION("REGEXEXTRACT(J6245, ""^\d+"")"),"72")</f>
        <v>72</v>
      </c>
      <c r="Z6245" s="5" t="str">
        <f>IFERROR(__xludf.DUMMYFUNCTION("REGEXEXTRACT(J6245, ""[A-Za-z ]+$"")")," min")</f>
        <v> min</v>
      </c>
      <c r="AA6245" s="5" t="str">
        <f>IFERROR(__xludf.DUMMYFUNCTION("IF(REGEXMATCH(Z6245, ""Season""), ""TV Show"", ""Movie"")"),"Movie")</f>
        <v>Movie</v>
      </c>
    </row>
    <row r="6246">
      <c r="A6246" s="1" t="s">
        <v>31365</v>
      </c>
      <c r="B6246" s="1" t="s">
        <v>27</v>
      </c>
      <c r="C6246" s="1" t="s">
        <v>31366</v>
      </c>
      <c r="D6246" s="1" t="s">
        <v>13275</v>
      </c>
      <c r="E6246" s="1" t="s">
        <v>31367</v>
      </c>
      <c r="F6246" s="1" t="s">
        <v>30</v>
      </c>
      <c r="G6246" s="1" t="s">
        <v>30969</v>
      </c>
      <c r="H6246" s="1">
        <v>2015.0</v>
      </c>
      <c r="I6246" s="1" t="s">
        <v>32</v>
      </c>
      <c r="J6246" s="1" t="s">
        <v>416</v>
      </c>
      <c r="K6246" s="1" t="s">
        <v>973</v>
      </c>
      <c r="L6246" s="1" t="s">
        <v>31368</v>
      </c>
      <c r="M6246" s="2" t="s">
        <v>12</v>
      </c>
      <c r="N6246" s="4">
        <f t="shared" si="1"/>
        <v>43307</v>
      </c>
      <c r="O6246" s="5" t="str">
        <f>IFERROR(__xludf.DUMMYFUNCTION("IF(REGEXMATCH(TRIM(I6246), ""^\d+\s*min""), ""Unclassified"", IF(I6246 = """", ""NR"", I6246))"),"PG-13")</f>
        <v>PG-13</v>
      </c>
      <c r="R6246" s="5" t="str">
        <f t="shared" si="2"/>
        <v>Barely Lethal</v>
      </c>
      <c r="S6246" s="5" t="str">
        <f>IFERROR(__xludf.DUMMYFUNCTION("""COMPUTED_VALUE"""),"Shaman King")</f>
        <v>Shaman King</v>
      </c>
      <c r="V6246" s="5"/>
      <c r="Y6246" s="5" t="str">
        <f>IFERROR(__xludf.DUMMYFUNCTION("REGEXEXTRACT(J6246, ""^\d+"")"),"99")</f>
        <v>99</v>
      </c>
      <c r="Z6246" s="5" t="str">
        <f>IFERROR(__xludf.DUMMYFUNCTION("REGEXEXTRACT(J6246, ""[A-Za-z ]+$"")")," min")</f>
        <v> min</v>
      </c>
      <c r="AA6246" s="5" t="str">
        <f>IFERROR(__xludf.DUMMYFUNCTION("IF(REGEXMATCH(Z6246, ""Season""), ""TV Show"", ""Movie"")"),"Movie")</f>
        <v>Movie</v>
      </c>
    </row>
    <row r="6247">
      <c r="A6247" s="1" t="s">
        <v>31369</v>
      </c>
      <c r="B6247" s="1" t="s">
        <v>27</v>
      </c>
      <c r="C6247" s="1" t="s">
        <v>31370</v>
      </c>
      <c r="D6247" s="1" t="s">
        <v>7307</v>
      </c>
      <c r="E6247" s="1" t="s">
        <v>31371</v>
      </c>
      <c r="F6247" s="1" t="s">
        <v>13294</v>
      </c>
      <c r="G6247" s="1" t="s">
        <v>31165</v>
      </c>
      <c r="H6247" s="1">
        <v>2013.0</v>
      </c>
      <c r="I6247" s="1" t="s">
        <v>97</v>
      </c>
      <c r="J6247" s="1" t="s">
        <v>79</v>
      </c>
      <c r="K6247" s="1" t="s">
        <v>199</v>
      </c>
      <c r="L6247" s="1" t="s">
        <v>31372</v>
      </c>
      <c r="M6247" s="2" t="s">
        <v>12</v>
      </c>
      <c r="N6247" s="4">
        <f t="shared" si="1"/>
        <v>43331</v>
      </c>
      <c r="O6247" s="5" t="str">
        <f>IFERROR(__xludf.DUMMYFUNCTION("IF(REGEXMATCH(TRIM(I6247), ""^\d+\s*min""), ""Unclassified"", IF(I6247 = """", ""NR"", I6247))"),"TV-14")</f>
        <v>TV-14</v>
      </c>
      <c r="R6247" s="5" t="str">
        <f t="shared" si="2"/>
        <v>Barrio Universitario</v>
      </c>
      <c r="S6247" s="5" t="str">
        <f>IFERROR(__xludf.DUMMYFUNCTION("""COMPUTED_VALUE"""),"Shameless (U.S.)")</f>
        <v>Shameless (U.S.)</v>
      </c>
      <c r="V6247" s="5"/>
      <c r="Y6247" s="5" t="str">
        <f>IFERROR(__xludf.DUMMYFUNCTION("REGEXEXTRACT(J6247, ""^\d+"")"),"91")</f>
        <v>91</v>
      </c>
      <c r="Z6247" s="5" t="str">
        <f>IFERROR(__xludf.DUMMYFUNCTION("REGEXEXTRACT(J6247, ""[A-Za-z ]+$"")")," min")</f>
        <v> min</v>
      </c>
      <c r="AA6247" s="5" t="str">
        <f>IFERROR(__xludf.DUMMYFUNCTION("IF(REGEXMATCH(Z6247, ""Season""), ""TV Show"", ""Movie"")"),"Movie")</f>
        <v>Movie</v>
      </c>
    </row>
    <row r="6248">
      <c r="A6248" s="1" t="s">
        <v>31373</v>
      </c>
      <c r="B6248" s="1" t="s">
        <v>27</v>
      </c>
      <c r="C6248" s="1" t="s">
        <v>31374</v>
      </c>
      <c r="D6248" s="1" t="s">
        <v>10390</v>
      </c>
      <c r="E6248" s="1" t="s">
        <v>31375</v>
      </c>
      <c r="F6248" s="1" t="s">
        <v>63</v>
      </c>
      <c r="G6248" s="1" t="s">
        <v>25842</v>
      </c>
      <c r="H6248" s="1">
        <v>1995.0</v>
      </c>
      <c r="I6248" s="1" t="s">
        <v>136</v>
      </c>
      <c r="J6248" s="1" t="s">
        <v>214</v>
      </c>
      <c r="K6248" s="1" t="s">
        <v>1421</v>
      </c>
      <c r="L6248" s="1" t="s">
        <v>31376</v>
      </c>
      <c r="M6248" s="2" t="s">
        <v>12</v>
      </c>
      <c r="N6248" s="4">
        <f t="shared" si="1"/>
        <v>43191</v>
      </c>
      <c r="O6248" s="5" t="str">
        <f>IFERROR(__xludf.DUMMYFUNCTION("IF(REGEXMATCH(TRIM(I6248), ""^\d+\s*min""), ""Unclassified"", IF(I6248 = """", ""NR"", I6248))"),"TV-PG")</f>
        <v>TV-PG</v>
      </c>
      <c r="R6248" s="5" t="str">
        <f t="shared" si="2"/>
        <v>Barsaat</v>
      </c>
      <c r="S6248" s="5" t="str">
        <f>IFERROR(__xludf.DUMMYFUNCTION("""COMPUTED_VALUE"""),"Shanghai")</f>
        <v>Shanghai</v>
      </c>
      <c r="V6248" s="5"/>
      <c r="Y6248" s="5" t="str">
        <f>IFERROR(__xludf.DUMMYFUNCTION("REGEXEXTRACT(J6248, ""^\d+"")"),"166")</f>
        <v>166</v>
      </c>
      <c r="Z6248" s="5" t="str">
        <f>IFERROR(__xludf.DUMMYFUNCTION("REGEXEXTRACT(J6248, ""[A-Za-z ]+$"")")," min")</f>
        <v> min</v>
      </c>
      <c r="AA6248" s="5" t="str">
        <f>IFERROR(__xludf.DUMMYFUNCTION("IF(REGEXMATCH(Z6248, ""Season""), ""TV Show"", ""Movie"")"),"Movie")</f>
        <v>Movie</v>
      </c>
    </row>
    <row r="6249">
      <c r="A6249" s="1" t="s">
        <v>31377</v>
      </c>
      <c r="B6249" s="1" t="s">
        <v>27</v>
      </c>
      <c r="C6249" s="1" t="s">
        <v>31378</v>
      </c>
      <c r="D6249" s="1" t="s">
        <v>1142</v>
      </c>
      <c r="E6249" s="1" t="s">
        <v>31379</v>
      </c>
      <c r="F6249" s="1" t="s">
        <v>30</v>
      </c>
      <c r="G6249" s="1" t="s">
        <v>23564</v>
      </c>
      <c r="H6249" s="1">
        <v>1998.0</v>
      </c>
      <c r="I6249" s="1" t="s">
        <v>378</v>
      </c>
      <c r="J6249" s="1" t="s">
        <v>238</v>
      </c>
      <c r="K6249" s="1" t="s">
        <v>10251</v>
      </c>
      <c r="L6249" s="1" t="s">
        <v>31380</v>
      </c>
      <c r="M6249" s="2" t="s">
        <v>12</v>
      </c>
      <c r="N6249" s="4">
        <f t="shared" si="1"/>
        <v>43405</v>
      </c>
      <c r="O6249" s="5" t="str">
        <f>IFERROR(__xludf.DUMMYFUNCTION("IF(REGEXMATCH(TRIM(I6249), ""^\d+\s*min""), ""Unclassified"", IF(I6249 = """", ""NR"", I6249))"),"R")</f>
        <v>R</v>
      </c>
      <c r="R6249" s="5" t="str">
        <f t="shared" si="2"/>
        <v>Baseketball</v>
      </c>
      <c r="S6249" s="5" t="str">
        <f>IFERROR(__xludf.DUMMYFUNCTION("""COMPUTED_VALUE"""),"Shanghai Fortress")</f>
        <v>Shanghai Fortress</v>
      </c>
      <c r="V6249" s="5"/>
      <c r="Y6249" s="5" t="str">
        <f>IFERROR(__xludf.DUMMYFUNCTION("REGEXEXTRACT(J6249, ""^\d+"")"),"103")</f>
        <v>103</v>
      </c>
      <c r="Z6249" s="5" t="str">
        <f>IFERROR(__xludf.DUMMYFUNCTION("REGEXEXTRACT(J6249, ""[A-Za-z ]+$"")")," min")</f>
        <v> min</v>
      </c>
      <c r="AA6249" s="5" t="str">
        <f>IFERROR(__xludf.DUMMYFUNCTION("IF(REGEXMATCH(Z6249, ""Season""), ""TV Show"", ""Movie"")"),"Movie")</f>
        <v>Movie</v>
      </c>
    </row>
    <row r="6250">
      <c r="A6250" s="1" t="s">
        <v>31381</v>
      </c>
      <c r="B6250" s="1" t="s">
        <v>27</v>
      </c>
      <c r="C6250" s="1" t="s">
        <v>31382</v>
      </c>
      <c r="D6250" s="1" t="s">
        <v>13152</v>
      </c>
      <c r="E6250" s="1" t="s">
        <v>31383</v>
      </c>
      <c r="F6250" s="1" t="s">
        <v>2321</v>
      </c>
      <c r="G6250" s="1" t="s">
        <v>10969</v>
      </c>
      <c r="H6250" s="1">
        <v>1992.0</v>
      </c>
      <c r="I6250" s="1" t="s">
        <v>378</v>
      </c>
      <c r="J6250" s="1" t="s">
        <v>757</v>
      </c>
      <c r="K6250" s="1" t="s">
        <v>31384</v>
      </c>
      <c r="L6250" s="1" t="s">
        <v>31385</v>
      </c>
      <c r="M6250" s="2" t="s">
        <v>12</v>
      </c>
      <c r="N6250" s="4">
        <f t="shared" si="1"/>
        <v>44105</v>
      </c>
      <c r="O6250" s="5" t="str">
        <f>IFERROR(__xludf.DUMMYFUNCTION("IF(REGEXMATCH(TRIM(I6250), ""^\d+\s*min""), ""Unclassified"", IF(I6250 = """", ""NR"", I6250))"),"R")</f>
        <v>R</v>
      </c>
      <c r="R6250" s="5" t="str">
        <f t="shared" si="2"/>
        <v>Basic Instinct</v>
      </c>
      <c r="S6250" s="5" t="str">
        <f>IFERROR(__xludf.DUMMYFUNCTION("""COMPUTED_VALUE"""),"Shararat")</f>
        <v>Shararat</v>
      </c>
      <c r="V6250" s="5"/>
      <c r="Y6250" s="5" t="str">
        <f>IFERROR(__xludf.DUMMYFUNCTION("REGEXEXTRACT(J6250, ""^\d+"")"),"128")</f>
        <v>128</v>
      </c>
      <c r="Z6250" s="5" t="str">
        <f>IFERROR(__xludf.DUMMYFUNCTION("REGEXEXTRACT(J6250, ""[A-Za-z ]+$"")")," min")</f>
        <v> min</v>
      </c>
      <c r="AA6250" s="5" t="str">
        <f>IFERROR(__xludf.DUMMYFUNCTION("IF(REGEXMATCH(Z6250, ""Season""), ""TV Show"", ""Movie"")"),"Movie")</f>
        <v>Movie</v>
      </c>
    </row>
    <row r="6251">
      <c r="A6251" s="1" t="s">
        <v>31386</v>
      </c>
      <c r="B6251" s="1" t="s">
        <v>37</v>
      </c>
      <c r="C6251" s="1" t="s">
        <v>31387</v>
      </c>
      <c r="E6251" s="1" t="s">
        <v>31388</v>
      </c>
      <c r="F6251" s="1" t="s">
        <v>1779</v>
      </c>
      <c r="G6251" s="1" t="s">
        <v>26505</v>
      </c>
      <c r="H6251" s="1">
        <v>2016.0</v>
      </c>
      <c r="I6251" s="1" t="s">
        <v>206</v>
      </c>
      <c r="J6251" s="1" t="s">
        <v>51</v>
      </c>
      <c r="K6251" s="1" t="s">
        <v>290</v>
      </c>
      <c r="L6251" s="1" t="s">
        <v>31389</v>
      </c>
      <c r="M6251" s="2" t="s">
        <v>12</v>
      </c>
      <c r="N6251" s="4">
        <f t="shared" si="1"/>
        <v>43100</v>
      </c>
      <c r="O6251" s="5" t="str">
        <f>IFERROR(__xludf.DUMMYFUNCTION("IF(REGEXMATCH(TRIM(I6251), ""^\d+\s*min""), ""Unclassified"", IF(I6251 = """", ""NR"", I6251))"),"TV-Y")</f>
        <v>TV-Y</v>
      </c>
      <c r="R6251" s="5" t="str">
        <f t="shared" si="2"/>
        <v>Bat Pat</v>
      </c>
      <c r="S6251" s="5" t="str">
        <f>IFERROR(__xludf.DUMMYFUNCTION("""COMPUTED_VALUE"""),"Shark Busters")</f>
        <v>Shark Busters</v>
      </c>
      <c r="V6251" s="5"/>
      <c r="Y6251" s="5" t="str">
        <f>IFERROR(__xludf.DUMMYFUNCTION("REGEXEXTRACT(J6251, ""^\d+"")"),"1")</f>
        <v>1</v>
      </c>
      <c r="Z6251" s="5" t="str">
        <f>IFERROR(__xludf.DUMMYFUNCTION("REGEXEXTRACT(J6251, ""[A-Za-z ]+$"")")," Season")</f>
        <v> Season</v>
      </c>
      <c r="AA6251" s="5" t="str">
        <f>IFERROR(__xludf.DUMMYFUNCTION("IF(REGEXMATCH(Z6251, ""Season""), ""TV Show"", ""Movie"")"),"TV Show")</f>
        <v>TV Show</v>
      </c>
    </row>
    <row r="6252">
      <c r="A6252" s="1" t="s">
        <v>31390</v>
      </c>
      <c r="B6252" s="1" t="s">
        <v>37</v>
      </c>
      <c r="C6252" s="1" t="s">
        <v>31391</v>
      </c>
      <c r="E6252" s="1" t="s">
        <v>31392</v>
      </c>
      <c r="F6252" s="1" t="s">
        <v>30</v>
      </c>
      <c r="G6252" s="1" t="s">
        <v>26209</v>
      </c>
      <c r="H6252" s="1">
        <v>2017.0</v>
      </c>
      <c r="I6252" s="1" t="s">
        <v>42</v>
      </c>
      <c r="J6252" s="1" t="s">
        <v>189</v>
      </c>
      <c r="K6252" s="1" t="s">
        <v>31393</v>
      </c>
      <c r="L6252" s="1" t="s">
        <v>31394</v>
      </c>
      <c r="M6252" s="2" t="s">
        <v>12</v>
      </c>
      <c r="N6252" s="4">
        <f t="shared" si="1"/>
        <v>43151</v>
      </c>
      <c r="O6252" s="5" t="str">
        <f>IFERROR(__xludf.DUMMYFUNCTION("IF(REGEXMATCH(TRIM(I6252), ""^\d+\s*min""), ""Unclassified"", IF(I6252 = """", ""NR"", I6252))"),"TV-MA")</f>
        <v>TV-MA</v>
      </c>
      <c r="R6252" s="5" t="str">
        <f t="shared" si="2"/>
        <v>Bates Motel</v>
      </c>
      <c r="S6252" s="5" t="str">
        <f>IFERROR(__xludf.DUMMYFUNCTION("""COMPUTED_VALUE"""),"Shark Night")</f>
        <v>Shark Night</v>
      </c>
      <c r="V6252" s="5"/>
      <c r="Y6252" s="5" t="str">
        <f>IFERROR(__xludf.DUMMYFUNCTION("REGEXEXTRACT(J6252, ""^\d+"")"),"5")</f>
        <v>5</v>
      </c>
      <c r="Z6252" s="5" t="str">
        <f>IFERROR(__xludf.DUMMYFUNCTION("REGEXEXTRACT(J6252, ""[A-Za-z ]+$"")")," Seasons")</f>
        <v> Seasons</v>
      </c>
      <c r="AA6252" s="5" t="str">
        <f>IFERROR(__xludf.DUMMYFUNCTION("IF(REGEXMATCH(Z6252, ""Season""), ""TV Show"", ""Movie"")"),"TV Show")</f>
        <v>TV Show</v>
      </c>
    </row>
    <row r="6253">
      <c r="A6253" s="1" t="s">
        <v>31395</v>
      </c>
      <c r="B6253" s="1" t="s">
        <v>27</v>
      </c>
      <c r="C6253" s="1" t="s">
        <v>31396</v>
      </c>
      <c r="D6253" s="1" t="s">
        <v>5756</v>
      </c>
      <c r="E6253" s="1" t="s">
        <v>31397</v>
      </c>
      <c r="F6253" s="1" t="s">
        <v>30</v>
      </c>
      <c r="G6253" s="7">
        <v>43594.0</v>
      </c>
      <c r="H6253" s="1">
        <v>2018.0</v>
      </c>
      <c r="I6253" s="1" t="s">
        <v>32</v>
      </c>
      <c r="J6253" s="1" t="s">
        <v>630</v>
      </c>
      <c r="K6253" s="1" t="s">
        <v>700</v>
      </c>
      <c r="L6253" s="1" t="s">
        <v>31398</v>
      </c>
      <c r="M6253" s="2" t="s">
        <v>12</v>
      </c>
      <c r="N6253" s="4">
        <f t="shared" si="1"/>
        <v>43594</v>
      </c>
      <c r="O6253" s="5" t="str">
        <f>IFERROR(__xludf.DUMMYFUNCTION("IF(REGEXMATCH(TRIM(I6253), ""^\d+\s*min""), ""Unclassified"", IF(I6253 = """", ""NR"", I6253))"),"PG-13")</f>
        <v>PG-13</v>
      </c>
      <c r="R6253" s="5" t="str">
        <f t="shared" si="2"/>
        <v>Bathtubs Over Broadway</v>
      </c>
      <c r="S6253" s="5" t="str">
        <f>IFERROR(__xludf.DUMMYFUNCTION("""COMPUTED_VALUE"""),"Sharkdog")</f>
        <v>Sharkdog</v>
      </c>
      <c r="V6253" s="5"/>
      <c r="Y6253" s="5" t="str">
        <f>IFERROR(__xludf.DUMMYFUNCTION("REGEXEXTRACT(J6253, ""^\d+"")"),"87")</f>
        <v>87</v>
      </c>
      <c r="Z6253" s="5" t="str">
        <f>IFERROR(__xludf.DUMMYFUNCTION("REGEXEXTRACT(J6253, ""[A-Za-z ]+$"")")," min")</f>
        <v> min</v>
      </c>
      <c r="AA6253" s="5" t="str">
        <f>IFERROR(__xludf.DUMMYFUNCTION("IF(REGEXMATCH(Z6253, ""Season""), ""TV Show"", ""Movie"")"),"Movie")</f>
        <v>Movie</v>
      </c>
    </row>
    <row r="6254">
      <c r="A6254" s="1" t="s">
        <v>31399</v>
      </c>
      <c r="B6254" s="1" t="s">
        <v>37</v>
      </c>
      <c r="C6254" s="1" t="s">
        <v>31400</v>
      </c>
      <c r="E6254" s="1" t="s">
        <v>31401</v>
      </c>
      <c r="F6254" s="1" t="s">
        <v>30</v>
      </c>
      <c r="G6254" s="1" t="s">
        <v>31402</v>
      </c>
      <c r="H6254" s="1">
        <v>2015.0</v>
      </c>
      <c r="I6254" s="1" t="s">
        <v>97</v>
      </c>
      <c r="J6254" s="1" t="s">
        <v>51</v>
      </c>
      <c r="K6254" s="1" t="s">
        <v>605</v>
      </c>
      <c r="L6254" s="1" t="s">
        <v>31403</v>
      </c>
      <c r="M6254" s="2" t="s">
        <v>12</v>
      </c>
      <c r="N6254" s="4">
        <f t="shared" si="1"/>
        <v>42369</v>
      </c>
      <c r="O6254" s="5" t="str">
        <f>IFERROR(__xludf.DUMMYFUNCTION("IF(REGEXMATCH(TRIM(I6254), ""^\d+\s*min""), ""Unclassified"", IF(I6254 = """", ""NR"", I6254))"),"TV-14")</f>
        <v>TV-14</v>
      </c>
      <c r="R6254" s="5" t="str">
        <f t="shared" si="2"/>
        <v>Battle Creek</v>
      </c>
      <c r="S6254" s="5" t="str">
        <f>IFERROR(__xludf.DUMMYFUNCTION("""COMPUTED_VALUE"""),"Shattered Memories")</f>
        <v>Shattered Memories</v>
      </c>
      <c r="V6254" s="5"/>
      <c r="Y6254" s="5" t="str">
        <f>IFERROR(__xludf.DUMMYFUNCTION("REGEXEXTRACT(J6254, ""^\d+"")"),"1")</f>
        <v>1</v>
      </c>
      <c r="Z6254" s="5" t="str">
        <f>IFERROR(__xludf.DUMMYFUNCTION("REGEXEXTRACT(J6254, ""[A-Za-z ]+$"")")," Season")</f>
        <v> Season</v>
      </c>
      <c r="AA6254" s="5" t="str">
        <f>IFERROR(__xludf.DUMMYFUNCTION("IF(REGEXMATCH(Z6254, ""Season""), ""TV Show"", ""Movie"")"),"TV Show")</f>
        <v>TV Show</v>
      </c>
    </row>
    <row r="6255">
      <c r="A6255" s="1" t="s">
        <v>31404</v>
      </c>
      <c r="B6255" s="1" t="s">
        <v>37</v>
      </c>
      <c r="C6255" s="1" t="s">
        <v>31405</v>
      </c>
      <c r="F6255" s="1" t="s">
        <v>96</v>
      </c>
      <c r="G6255" s="1" t="s">
        <v>29574</v>
      </c>
      <c r="H6255" s="1">
        <v>2016.0</v>
      </c>
      <c r="I6255" s="1" t="s">
        <v>136</v>
      </c>
      <c r="J6255" s="1" t="s">
        <v>51</v>
      </c>
      <c r="K6255" s="1" t="s">
        <v>31406</v>
      </c>
      <c r="L6255" s="1" t="s">
        <v>31407</v>
      </c>
      <c r="M6255" s="2" t="s">
        <v>12</v>
      </c>
      <c r="N6255" s="4">
        <f t="shared" si="1"/>
        <v>42583</v>
      </c>
      <c r="O6255" s="5" t="str">
        <f>IFERROR(__xludf.DUMMYFUNCTION("IF(REGEXMATCH(TRIM(I6255), ""^\d+\s*min""), ""Unclassified"", IF(I6255 = """", ""NR"", I6255))"),"TV-PG")</f>
        <v>TV-PG</v>
      </c>
      <c r="R6255" s="5" t="str">
        <f t="shared" si="2"/>
        <v>Battlefield Recovery</v>
      </c>
      <c r="S6255" s="5" t="str">
        <f>IFERROR(__xludf.DUMMYFUNCTION("""COMPUTED_VALUE"""),"Shaun The Sheep")</f>
        <v>Shaun The Sheep</v>
      </c>
      <c r="V6255" s="5"/>
      <c r="Y6255" s="5" t="str">
        <f>IFERROR(__xludf.DUMMYFUNCTION("REGEXEXTRACT(J6255, ""^\d+"")"),"1")</f>
        <v>1</v>
      </c>
      <c r="Z6255" s="5" t="str">
        <f>IFERROR(__xludf.DUMMYFUNCTION("REGEXEXTRACT(J6255, ""[A-Za-z ]+$"")")," Season")</f>
        <v> Season</v>
      </c>
      <c r="AA6255" s="5" t="str">
        <f>IFERROR(__xludf.DUMMYFUNCTION("IF(REGEXMATCH(Z6255, ""Season""), ""TV Show"", ""Movie"")"),"TV Show")</f>
        <v>TV Show</v>
      </c>
    </row>
    <row r="6256">
      <c r="A6256" s="1" t="s">
        <v>31408</v>
      </c>
      <c r="B6256" s="1" t="s">
        <v>27</v>
      </c>
      <c r="C6256" s="1" t="s">
        <v>31409</v>
      </c>
      <c r="D6256" s="1" t="s">
        <v>9419</v>
      </c>
      <c r="E6256" s="1" t="s">
        <v>31410</v>
      </c>
      <c r="F6256" s="1" t="s">
        <v>63</v>
      </c>
      <c r="G6256" s="1" t="s">
        <v>17078</v>
      </c>
      <c r="H6256" s="1">
        <v>1972.0</v>
      </c>
      <c r="I6256" s="1" t="s">
        <v>136</v>
      </c>
      <c r="J6256" s="1" t="s">
        <v>88</v>
      </c>
      <c r="K6256" s="1" t="s">
        <v>986</v>
      </c>
      <c r="L6256" s="1" t="s">
        <v>31411</v>
      </c>
      <c r="M6256" s="2" t="s">
        <v>12</v>
      </c>
      <c r="N6256" s="4">
        <f t="shared" si="1"/>
        <v>43830</v>
      </c>
      <c r="O6256" s="5" t="str">
        <f>IFERROR(__xludf.DUMMYFUNCTION("IF(REGEXMATCH(TRIM(I6256), ""^\d+\s*min""), ""Unclassified"", IF(I6256 = """", ""NR"", I6256))"),"TV-PG")</f>
        <v>TV-PG</v>
      </c>
      <c r="R6256" s="5" t="str">
        <f t="shared" si="2"/>
        <v>Bawarchi</v>
      </c>
      <c r="S6256" s="5" t="str">
        <f>IFERROR(__xludf.DUMMYFUNCTION("""COMPUTED_VALUE"""),"Shaun The Sheep: Adventures From Mossy Bottom")</f>
        <v>Shaun The Sheep: Adventures From Mossy Bottom</v>
      </c>
      <c r="V6256" s="5"/>
      <c r="Y6256" s="5" t="str">
        <f>IFERROR(__xludf.DUMMYFUNCTION("REGEXEXTRACT(J6256, ""^\d+"")"),"125")</f>
        <v>125</v>
      </c>
      <c r="Z6256" s="5" t="str">
        <f>IFERROR(__xludf.DUMMYFUNCTION("REGEXEXTRACT(J6256, ""[A-Za-z ]+$"")")," min")</f>
        <v> min</v>
      </c>
      <c r="AA6256" s="5" t="str">
        <f>IFERROR(__xludf.DUMMYFUNCTION("IF(REGEXMATCH(Z6256, ""Season""), ""TV Show"", ""Movie"")"),"Movie")</f>
        <v>Movie</v>
      </c>
    </row>
    <row r="6257">
      <c r="A6257" s="1" t="s">
        <v>31412</v>
      </c>
      <c r="B6257" s="1" t="s">
        <v>27</v>
      </c>
      <c r="C6257" s="1" t="s">
        <v>31413</v>
      </c>
      <c r="D6257" s="1" t="s">
        <v>20069</v>
      </c>
      <c r="E6257" s="1" t="s">
        <v>31414</v>
      </c>
      <c r="F6257" s="1" t="s">
        <v>63</v>
      </c>
      <c r="G6257" s="1" t="s">
        <v>17078</v>
      </c>
      <c r="H6257" s="1">
        <v>1982.0</v>
      </c>
      <c r="I6257" s="1" t="s">
        <v>97</v>
      </c>
      <c r="J6257" s="1" t="s">
        <v>941</v>
      </c>
      <c r="K6257" s="1" t="s">
        <v>89</v>
      </c>
      <c r="L6257" s="1" t="s">
        <v>31415</v>
      </c>
      <c r="M6257" s="2" t="s">
        <v>12</v>
      </c>
      <c r="N6257" s="4">
        <f t="shared" si="1"/>
        <v>43830</v>
      </c>
      <c r="O6257" s="5" t="str">
        <f>IFERROR(__xludf.DUMMYFUNCTION("IF(REGEXMATCH(TRIM(I6257), ""^\d+\s*min""), ""Unclassified"", IF(I6257 = """", ""NR"", I6257))"),"TV-14")</f>
        <v>TV-14</v>
      </c>
      <c r="R6257" s="5" t="str">
        <f t="shared" si="2"/>
        <v>Bazaar</v>
      </c>
      <c r="S6257" s="5" t="str">
        <f>IFERROR(__xludf.DUMMYFUNCTION("""COMPUTED_VALUE"""),"Shaun The Sheep: The Farmer’S Llamas")</f>
        <v>Shaun The Sheep: The Farmer’S Llamas</v>
      </c>
      <c r="V6257" s="5"/>
      <c r="Y6257" s="5" t="str">
        <f>IFERROR(__xludf.DUMMYFUNCTION("REGEXEXTRACT(J6257, ""^\d+"")"),"121")</f>
        <v>121</v>
      </c>
      <c r="Z6257" s="5" t="str">
        <f>IFERROR(__xludf.DUMMYFUNCTION("REGEXEXTRACT(J6257, ""[A-Za-z ]+$"")")," min")</f>
        <v> min</v>
      </c>
      <c r="AA6257" s="5" t="str">
        <f>IFERROR(__xludf.DUMMYFUNCTION("IF(REGEXMATCH(Z6257, ""Season""), ""TV Show"", ""Movie"")"),"Movie")</f>
        <v>Movie</v>
      </c>
    </row>
    <row r="6258">
      <c r="A6258" s="1" t="s">
        <v>31416</v>
      </c>
      <c r="B6258" s="1" t="s">
        <v>27</v>
      </c>
      <c r="C6258" s="1" t="s">
        <v>31417</v>
      </c>
      <c r="D6258" s="1" t="s">
        <v>13773</v>
      </c>
      <c r="E6258" s="1" t="s">
        <v>31418</v>
      </c>
      <c r="F6258" s="1" t="s">
        <v>5656</v>
      </c>
      <c r="G6258" s="1" t="s">
        <v>28564</v>
      </c>
      <c r="H6258" s="1">
        <v>2015.0</v>
      </c>
      <c r="I6258" s="1" t="s">
        <v>42</v>
      </c>
      <c r="J6258" s="1" t="s">
        <v>297</v>
      </c>
      <c r="K6258" s="1" t="s">
        <v>34</v>
      </c>
      <c r="L6258" s="1" t="s">
        <v>31419</v>
      </c>
      <c r="M6258" s="2" t="s">
        <v>12</v>
      </c>
      <c r="N6258" s="4">
        <f t="shared" si="1"/>
        <v>42794</v>
      </c>
      <c r="O6258" s="5" t="str">
        <f>IFERROR(__xludf.DUMMYFUNCTION("IF(REGEXMATCH(TRIM(I6258), ""^\d+\s*min""), ""Unclassified"", IF(I6258 = """", ""NR"", I6258))"),"TV-MA")</f>
        <v>TV-MA</v>
      </c>
      <c r="R6258" s="5" t="str">
        <f t="shared" si="2"/>
        <v>Be Here Now</v>
      </c>
      <c r="S6258" s="5" t="str">
        <f>IFERROR(__xludf.DUMMYFUNCTION("""COMPUTED_VALUE"""),"Shaurya: It Takes Courage To Make Right... Right")</f>
        <v>Shaurya: It Takes Courage To Make Right... Right</v>
      </c>
      <c r="V6258" s="5"/>
      <c r="Y6258" s="5" t="str">
        <f>IFERROR(__xludf.DUMMYFUNCTION("REGEXEXTRACT(J6258, ""^\d+"")"),"110")</f>
        <v>110</v>
      </c>
      <c r="Z6258" s="5" t="str">
        <f>IFERROR(__xludf.DUMMYFUNCTION("REGEXEXTRACT(J6258, ""[A-Za-z ]+$"")")," min")</f>
        <v> min</v>
      </c>
      <c r="AA6258" s="5" t="str">
        <f>IFERROR(__xludf.DUMMYFUNCTION("IF(REGEXMATCH(Z6258, ""Season""), ""TV Show"", ""Movie"")"),"Movie")</f>
        <v>Movie</v>
      </c>
    </row>
    <row r="6259">
      <c r="A6259" s="1" t="s">
        <v>31420</v>
      </c>
      <c r="B6259" s="1" t="s">
        <v>27</v>
      </c>
      <c r="C6259" s="1" t="s">
        <v>31421</v>
      </c>
      <c r="D6259" s="1" t="s">
        <v>11911</v>
      </c>
      <c r="E6259" s="1" t="s">
        <v>31422</v>
      </c>
      <c r="F6259" s="1" t="s">
        <v>30</v>
      </c>
      <c r="G6259" s="1" t="s">
        <v>17941</v>
      </c>
      <c r="H6259" s="1">
        <v>2016.0</v>
      </c>
      <c r="I6259" s="1" t="s">
        <v>78</v>
      </c>
      <c r="J6259" s="1" t="s">
        <v>428</v>
      </c>
      <c r="K6259" s="1" t="s">
        <v>1099</v>
      </c>
      <c r="L6259" s="1" t="s">
        <v>31423</v>
      </c>
      <c r="M6259" s="2" t="s">
        <v>12</v>
      </c>
      <c r="N6259" s="4">
        <f t="shared" si="1"/>
        <v>43789</v>
      </c>
      <c r="O6259" s="5" t="str">
        <f>IFERROR(__xludf.DUMMYFUNCTION("IF(REGEXMATCH(TRIM(I6259), ""^\d+\s*min""), ""Unclassified"", IF(I6259 = """", ""NR"", I6259))"),"PG")</f>
        <v>PG</v>
      </c>
      <c r="R6259" s="5" t="str">
        <f t="shared" si="2"/>
        <v>Be Somebody</v>
      </c>
      <c r="S6259" s="5" t="str">
        <f>IFERROR(__xludf.DUMMYFUNCTION("""COMPUTED_VALUE"""),"Shawn Mendes: In Wonder")</f>
        <v>Shawn Mendes: In Wonder</v>
      </c>
      <c r="V6259" s="5"/>
      <c r="Y6259" s="5" t="str">
        <f>IFERROR(__xludf.DUMMYFUNCTION("REGEXEXTRACT(J6259, ""^\d+"")"),"88")</f>
        <v>88</v>
      </c>
      <c r="Z6259" s="5" t="str">
        <f>IFERROR(__xludf.DUMMYFUNCTION("REGEXEXTRACT(J6259, ""[A-Za-z ]+$"")")," min")</f>
        <v> min</v>
      </c>
      <c r="AA6259" s="5" t="str">
        <f>IFERROR(__xludf.DUMMYFUNCTION("IF(REGEXMATCH(Z6259, ""Season""), ""TV Show"", ""Movie"")"),"Movie")</f>
        <v>Movie</v>
      </c>
    </row>
    <row r="6260">
      <c r="A6260" s="1" t="s">
        <v>31424</v>
      </c>
      <c r="B6260" s="1" t="s">
        <v>37</v>
      </c>
      <c r="C6260" s="1" t="s">
        <v>31425</v>
      </c>
      <c r="E6260" s="1" t="s">
        <v>31426</v>
      </c>
      <c r="F6260" s="1" t="s">
        <v>1078</v>
      </c>
      <c r="G6260" s="1" t="s">
        <v>31427</v>
      </c>
      <c r="H6260" s="1">
        <v>2018.0</v>
      </c>
      <c r="I6260" s="1" t="s">
        <v>206</v>
      </c>
      <c r="J6260" s="1" t="s">
        <v>51</v>
      </c>
      <c r="K6260" s="1" t="s">
        <v>290</v>
      </c>
      <c r="L6260" s="1" t="s">
        <v>31428</v>
      </c>
      <c r="M6260" s="2" t="s">
        <v>12</v>
      </c>
      <c r="N6260" s="4">
        <f t="shared" si="1"/>
        <v>43341</v>
      </c>
      <c r="O6260" s="5" t="str">
        <f>IFERROR(__xludf.DUMMYFUNCTION("IF(REGEXMATCH(TRIM(I6260), ""^\d+\s*min""), ""Unclassified"", IF(I6260 = """", ""NR"", I6260))"),"TV-Y")</f>
        <v>TV-Y</v>
      </c>
      <c r="R6260" s="5" t="str">
        <f t="shared" si="2"/>
        <v>Be-Be-Bears</v>
      </c>
      <c r="S6260" s="5" t="str">
        <f>IFERROR(__xludf.DUMMYFUNCTION("""COMPUTED_VALUE"""),"Shawn Mendes: Live In Concert")</f>
        <v>Shawn Mendes: Live In Concert</v>
      </c>
      <c r="V6260" s="5"/>
      <c r="Y6260" s="5" t="str">
        <f>IFERROR(__xludf.DUMMYFUNCTION("REGEXEXTRACT(J6260, ""^\d+"")"),"1")</f>
        <v>1</v>
      </c>
      <c r="Z6260" s="5" t="str">
        <f>IFERROR(__xludf.DUMMYFUNCTION("REGEXEXTRACT(J6260, ""[A-Za-z ]+$"")")," Season")</f>
        <v> Season</v>
      </c>
      <c r="AA6260" s="5" t="str">
        <f>IFERROR(__xludf.DUMMYFUNCTION("IF(REGEXMATCH(Z6260, ""Season""), ""TV Show"", ""Movie"")"),"TV Show")</f>
        <v>TV Show</v>
      </c>
    </row>
    <row r="6261">
      <c r="A6261" s="1" t="s">
        <v>31429</v>
      </c>
      <c r="B6261" s="1" t="s">
        <v>27</v>
      </c>
      <c r="C6261" s="1" t="s">
        <v>31430</v>
      </c>
      <c r="D6261" s="1" t="s">
        <v>23440</v>
      </c>
      <c r="F6261" s="1" t="s">
        <v>2492</v>
      </c>
      <c r="G6261" s="1" t="s">
        <v>28552</v>
      </c>
      <c r="H6261" s="1">
        <v>2013.0</v>
      </c>
      <c r="I6261" s="1" t="s">
        <v>506</v>
      </c>
      <c r="J6261" s="1" t="s">
        <v>8095</v>
      </c>
      <c r="K6261" s="1" t="s">
        <v>156</v>
      </c>
      <c r="L6261" s="1" t="s">
        <v>31431</v>
      </c>
      <c r="M6261" s="2" t="s">
        <v>12</v>
      </c>
      <c r="N6261" s="4">
        <f t="shared" si="1"/>
        <v>42795</v>
      </c>
      <c r="O6261" s="5" t="str">
        <f>IFERROR(__xludf.DUMMYFUNCTION("IF(REGEXMATCH(TRIM(I6261), ""^\d+\s*min""), ""Unclassified"", IF(I6261 = """", ""NR"", I6261))"),"TV-G")</f>
        <v>TV-G</v>
      </c>
      <c r="R6261" s="5" t="str">
        <f t="shared" si="2"/>
        <v>Beak &amp; Brain: Genius Birds From Down Under</v>
      </c>
      <c r="S6261" s="5" t="str">
        <f>IFERROR(__xludf.DUMMYFUNCTION("""COMPUTED_VALUE"""),"She")</f>
        <v>She</v>
      </c>
      <c r="V6261" s="5"/>
      <c r="Y6261" s="5" t="str">
        <f>IFERROR(__xludf.DUMMYFUNCTION("REGEXEXTRACT(J6261, ""^\d+"")"),"52")</f>
        <v>52</v>
      </c>
      <c r="Z6261" s="5" t="str">
        <f>IFERROR(__xludf.DUMMYFUNCTION("REGEXEXTRACT(J6261, ""[A-Za-z ]+$"")")," min")</f>
        <v> min</v>
      </c>
      <c r="AA6261" s="5" t="str">
        <f>IFERROR(__xludf.DUMMYFUNCTION("IF(REGEXMATCH(Z6261, ""Season""), ""TV Show"", ""Movie"")"),"Movie")</f>
        <v>Movie</v>
      </c>
    </row>
    <row r="6262">
      <c r="A6262" s="1" t="s">
        <v>31432</v>
      </c>
      <c r="B6262" s="1" t="s">
        <v>27</v>
      </c>
      <c r="C6262" s="1" t="s">
        <v>31433</v>
      </c>
      <c r="D6262" s="1" t="s">
        <v>15457</v>
      </c>
      <c r="E6262" s="1" t="s">
        <v>31434</v>
      </c>
      <c r="F6262" s="1" t="s">
        <v>686</v>
      </c>
      <c r="G6262" s="1" t="s">
        <v>24964</v>
      </c>
      <c r="H6262" s="1">
        <v>1997.0</v>
      </c>
      <c r="I6262" s="1" t="s">
        <v>32</v>
      </c>
      <c r="J6262" s="1" t="s">
        <v>1191</v>
      </c>
      <c r="K6262" s="1" t="s">
        <v>199</v>
      </c>
      <c r="L6262" s="1" t="s">
        <v>31435</v>
      </c>
      <c r="M6262" s="2" t="s">
        <v>12</v>
      </c>
      <c r="N6262" s="4">
        <f t="shared" si="1"/>
        <v>43313</v>
      </c>
      <c r="O6262" s="5" t="str">
        <f>IFERROR(__xludf.DUMMYFUNCTION("IF(REGEXMATCH(TRIM(I6262), ""^\d+\s*min""), ""Unclassified"", IF(I6262 = """", ""NR"", I6262))"),"PG-13")</f>
        <v>PG-13</v>
      </c>
      <c r="R6262" s="5" t="str">
        <f t="shared" si="2"/>
        <v>Bean: The Ultimate Disaster Movie</v>
      </c>
      <c r="S6262" s="5" t="str">
        <f>IFERROR(__xludf.DUMMYFUNCTION("""COMPUTED_VALUE"""),"She Did That")</f>
        <v>She Did That</v>
      </c>
      <c r="V6262" s="5"/>
      <c r="Y6262" s="5" t="str">
        <f>IFERROR(__xludf.DUMMYFUNCTION("REGEXEXTRACT(J6262, ""^\d+"")"),"89")</f>
        <v>89</v>
      </c>
      <c r="Z6262" s="5" t="str">
        <f>IFERROR(__xludf.DUMMYFUNCTION("REGEXEXTRACT(J6262, ""[A-Za-z ]+$"")")," min")</f>
        <v> min</v>
      </c>
      <c r="AA6262" s="5" t="str">
        <f>IFERROR(__xludf.DUMMYFUNCTION("IF(REGEXMATCH(Z6262, ""Season""), ""TV Show"", ""Movie"")"),"Movie")</f>
        <v>Movie</v>
      </c>
    </row>
    <row r="6263">
      <c r="A6263" s="1" t="s">
        <v>31436</v>
      </c>
      <c r="B6263" s="1" t="s">
        <v>27</v>
      </c>
      <c r="C6263" s="1" t="s">
        <v>31437</v>
      </c>
      <c r="F6263" s="1" t="s">
        <v>30</v>
      </c>
      <c r="G6263" s="1" t="s">
        <v>28552</v>
      </c>
      <c r="H6263" s="1">
        <v>2013.0</v>
      </c>
      <c r="I6263" s="1" t="s">
        <v>506</v>
      </c>
      <c r="J6263" s="1" t="s">
        <v>8095</v>
      </c>
      <c r="K6263" s="1" t="s">
        <v>4616</v>
      </c>
      <c r="L6263" s="1" t="s">
        <v>31438</v>
      </c>
      <c r="M6263" s="2" t="s">
        <v>12</v>
      </c>
      <c r="N6263" s="4">
        <f t="shared" si="1"/>
        <v>42795</v>
      </c>
      <c r="O6263" s="5" t="str">
        <f>IFERROR(__xludf.DUMMYFUNCTION("IF(REGEXMATCH(TRIM(I6263), ""^\d+\s*min""), ""Unclassified"", IF(I6263 = """", ""NR"", I6263))"),"TV-G")</f>
        <v>TV-G</v>
      </c>
      <c r="R6263" s="5" t="str">
        <f t="shared" si="2"/>
        <v>Beary Tales</v>
      </c>
      <c r="S6263" s="5" t="str">
        <f>IFERROR(__xludf.DUMMYFUNCTION("""COMPUTED_VALUE"""),"She Is")</f>
        <v>She Is</v>
      </c>
      <c r="V6263" s="5"/>
      <c r="Y6263" s="5" t="str">
        <f>IFERROR(__xludf.DUMMYFUNCTION("REGEXEXTRACT(J6263, ""^\d+"")"),"52")</f>
        <v>52</v>
      </c>
      <c r="Z6263" s="5" t="str">
        <f>IFERROR(__xludf.DUMMYFUNCTION("REGEXEXTRACT(J6263, ""[A-Za-z ]+$"")")," min")</f>
        <v> min</v>
      </c>
      <c r="AA6263" s="5" t="str">
        <f>IFERROR(__xludf.DUMMYFUNCTION("IF(REGEXMATCH(Z6263, ""Season""), ""TV Show"", ""Movie"")"),"Movie")</f>
        <v>Movie</v>
      </c>
    </row>
    <row r="6264">
      <c r="A6264" s="1" t="s">
        <v>31439</v>
      </c>
      <c r="B6264" s="1" t="s">
        <v>37</v>
      </c>
      <c r="C6264" s="1" t="s">
        <v>31440</v>
      </c>
      <c r="E6264" s="1" t="s">
        <v>31441</v>
      </c>
      <c r="F6264" s="1" t="s">
        <v>1106</v>
      </c>
      <c r="G6264" s="1" t="s">
        <v>22239</v>
      </c>
      <c r="H6264" s="1">
        <v>2010.0</v>
      </c>
      <c r="I6264" s="1" t="s">
        <v>136</v>
      </c>
      <c r="J6264" s="1" t="s">
        <v>51</v>
      </c>
      <c r="K6264" s="1" t="s">
        <v>1261</v>
      </c>
      <c r="L6264" s="1" t="s">
        <v>31442</v>
      </c>
      <c r="M6264" s="2" t="s">
        <v>12</v>
      </c>
      <c r="N6264" s="4">
        <f t="shared" si="1"/>
        <v>43497</v>
      </c>
      <c r="O6264" s="5" t="str">
        <f>IFERROR(__xludf.DUMMYFUNCTION("IF(REGEXMATCH(TRIM(I6264), ""^\d+\s*min""), ""Unclassified"", IF(I6264 = """", ""NR"", I6264))"),"TV-PG")</f>
        <v>TV-PG</v>
      </c>
      <c r="R6264" s="5" t="str">
        <f t="shared" si="2"/>
        <v>Beast Legends</v>
      </c>
      <c r="S6264" s="5" t="str">
        <f>IFERROR(__xludf.DUMMYFUNCTION("""COMPUTED_VALUE"""),"She Made Me A Criminal")</f>
        <v>She Made Me A Criminal</v>
      </c>
      <c r="V6264" s="5"/>
      <c r="Y6264" s="5" t="str">
        <f>IFERROR(__xludf.DUMMYFUNCTION("REGEXEXTRACT(J6264, ""^\d+"")"),"1")</f>
        <v>1</v>
      </c>
      <c r="Z6264" s="5" t="str">
        <f>IFERROR(__xludf.DUMMYFUNCTION("REGEXEXTRACT(J6264, ""[A-Za-z ]+$"")")," Season")</f>
        <v> Season</v>
      </c>
      <c r="AA6264" s="5" t="str">
        <f>IFERROR(__xludf.DUMMYFUNCTION("IF(REGEXMATCH(Z6264, ""Season""), ""TV Show"", ""Movie"")"),"TV Show")</f>
        <v>TV Show</v>
      </c>
    </row>
    <row r="6265">
      <c r="A6265" s="1" t="s">
        <v>31443</v>
      </c>
      <c r="B6265" s="1" t="s">
        <v>37</v>
      </c>
      <c r="C6265" s="1" t="s">
        <v>31444</v>
      </c>
      <c r="E6265" s="1" t="s">
        <v>31445</v>
      </c>
      <c r="F6265" s="1" t="s">
        <v>749</v>
      </c>
      <c r="G6265" s="7">
        <v>42877.0</v>
      </c>
      <c r="H6265" s="1">
        <v>2015.0</v>
      </c>
      <c r="I6265" s="1" t="s">
        <v>97</v>
      </c>
      <c r="J6265" s="1" t="s">
        <v>51</v>
      </c>
      <c r="K6265" s="1" t="s">
        <v>7164</v>
      </c>
      <c r="L6265" s="1" t="s">
        <v>31446</v>
      </c>
      <c r="M6265" s="2" t="s">
        <v>12</v>
      </c>
      <c r="N6265" s="4">
        <f t="shared" si="1"/>
        <v>42877</v>
      </c>
      <c r="O6265" s="5" t="str">
        <f>IFERROR(__xludf.DUMMYFUNCTION("IF(REGEXMATCH(TRIM(I6265), ""^\d+\s*min""), ""Unclassified"", IF(I6265 = """", ""NR"", I6265))"),"TV-14")</f>
        <v>TV-14</v>
      </c>
      <c r="R6265" s="5" t="str">
        <f t="shared" si="2"/>
        <v>Beating Again</v>
      </c>
      <c r="S6265" s="5" t="str">
        <f>IFERROR(__xludf.DUMMYFUNCTION("""COMPUTED_VALUE"""),"She-Ra And The Princesses Of Power")</f>
        <v>She-Ra And The Princesses Of Power</v>
      </c>
      <c r="V6265" s="5"/>
      <c r="Y6265" s="5" t="str">
        <f>IFERROR(__xludf.DUMMYFUNCTION("REGEXEXTRACT(J6265, ""^\d+"")"),"1")</f>
        <v>1</v>
      </c>
      <c r="Z6265" s="5" t="str">
        <f>IFERROR(__xludf.DUMMYFUNCTION("REGEXEXTRACT(J6265, ""[A-Za-z ]+$"")")," Season")</f>
        <v> Season</v>
      </c>
      <c r="AA6265" s="5" t="str">
        <f>IFERROR(__xludf.DUMMYFUNCTION("IF(REGEXMATCH(Z6265, ""Season""), ""TV Show"", ""Movie"")"),"TV Show")</f>
        <v>TV Show</v>
      </c>
    </row>
    <row r="6266">
      <c r="A6266" s="1" t="s">
        <v>31447</v>
      </c>
      <c r="B6266" s="1" t="s">
        <v>37</v>
      </c>
      <c r="C6266" s="1" t="s">
        <v>31448</v>
      </c>
      <c r="E6266" s="1" t="s">
        <v>31449</v>
      </c>
      <c r="F6266" s="1" t="s">
        <v>1106</v>
      </c>
      <c r="G6266" s="1" t="s">
        <v>29433</v>
      </c>
      <c r="H6266" s="1">
        <v>2016.0</v>
      </c>
      <c r="I6266" s="1" t="s">
        <v>97</v>
      </c>
      <c r="J6266" s="1" t="s">
        <v>148</v>
      </c>
      <c r="K6266" s="1" t="s">
        <v>17176</v>
      </c>
      <c r="L6266" s="1" t="s">
        <v>31450</v>
      </c>
      <c r="M6266" s="2" t="s">
        <v>12</v>
      </c>
      <c r="N6266" s="4">
        <f t="shared" si="1"/>
        <v>42632</v>
      </c>
      <c r="O6266" s="5" t="str">
        <f>IFERROR(__xludf.DUMMYFUNCTION("IF(REGEXMATCH(TRIM(I6266), ""^\d+\s*min""), ""Unclassified"", IF(I6266 = """", ""NR"", I6266))"),"TV-14")</f>
        <v>TV-14</v>
      </c>
      <c r="R6266" s="5" t="str">
        <f t="shared" si="2"/>
        <v>Beauty &amp; The Beast</v>
      </c>
      <c r="S6266" s="5" t="str">
        <f>IFERROR(__xludf.DUMMYFUNCTION("""COMPUTED_VALUE"""),"She'S Dating The Gangster")</f>
        <v>She'S Dating The Gangster</v>
      </c>
      <c r="V6266" s="5"/>
      <c r="Y6266" s="5" t="str">
        <f>IFERROR(__xludf.DUMMYFUNCTION("REGEXEXTRACT(J6266, ""^\d+"")"),"4")</f>
        <v>4</v>
      </c>
      <c r="Z6266" s="5" t="str">
        <f>IFERROR(__xludf.DUMMYFUNCTION("REGEXEXTRACT(J6266, ""[A-Za-z ]+$"")")," Seasons")</f>
        <v> Seasons</v>
      </c>
      <c r="AA6266" s="5" t="str">
        <f>IFERROR(__xludf.DUMMYFUNCTION("IF(REGEXMATCH(Z6266, ""Season""), ""TV Show"", ""Movie"")"),"TV Show")</f>
        <v>TV Show</v>
      </c>
    </row>
    <row r="6267">
      <c r="A6267" s="1" t="s">
        <v>31451</v>
      </c>
      <c r="B6267" s="1" t="s">
        <v>37</v>
      </c>
      <c r="C6267" s="1" t="s">
        <v>31452</v>
      </c>
      <c r="E6267" s="1" t="s">
        <v>31453</v>
      </c>
      <c r="G6267" s="1" t="s">
        <v>31454</v>
      </c>
      <c r="H6267" s="1">
        <v>2016.0</v>
      </c>
      <c r="I6267" s="1" t="s">
        <v>42</v>
      </c>
      <c r="J6267" s="1" t="s">
        <v>43</v>
      </c>
      <c r="K6267" s="1" t="s">
        <v>64</v>
      </c>
      <c r="L6267" s="1" t="s">
        <v>31455</v>
      </c>
      <c r="M6267" s="2" t="s">
        <v>12</v>
      </c>
      <c r="N6267" s="4">
        <f t="shared" si="1"/>
        <v>43578</v>
      </c>
      <c r="O6267" s="5" t="str">
        <f>IFERROR(__xludf.DUMMYFUNCTION("IF(REGEXMATCH(TRIM(I6267), ""^\d+\s*min""), ""Unclassified"", IF(I6267 = """", ""NR"", I6267))"),"TV-MA")</f>
        <v>TV-MA</v>
      </c>
      <c r="R6267" s="5" t="str">
        <f t="shared" si="2"/>
        <v>Beauty And The Bitches</v>
      </c>
      <c r="S6267" s="5" t="str">
        <f>IFERROR(__xludf.DUMMYFUNCTION("""COMPUTED_VALUE"""),"She'S Gotta Have It")</f>
        <v>She'S Gotta Have It</v>
      </c>
      <c r="V6267" s="5"/>
      <c r="Y6267" s="5" t="str">
        <f>IFERROR(__xludf.DUMMYFUNCTION("REGEXEXTRACT(J6267, ""^\d+"")"),"2")</f>
        <v>2</v>
      </c>
      <c r="Z6267" s="5" t="str">
        <f>IFERROR(__xludf.DUMMYFUNCTION("REGEXEXTRACT(J6267, ""[A-Za-z ]+$"")")," Seasons")</f>
        <v> Seasons</v>
      </c>
      <c r="AA6267" s="5" t="str">
        <f>IFERROR(__xludf.DUMMYFUNCTION("IF(REGEXMATCH(Z6267, ""Season""), ""TV Show"", ""Movie"")"),"TV Show")</f>
        <v>TV Show</v>
      </c>
    </row>
    <row r="6268">
      <c r="A6268" s="1" t="s">
        <v>31456</v>
      </c>
      <c r="B6268" s="1" t="s">
        <v>27</v>
      </c>
      <c r="C6268" s="1" t="s">
        <v>31457</v>
      </c>
      <c r="D6268" s="1" t="s">
        <v>16053</v>
      </c>
      <c r="E6268" s="1" t="s">
        <v>31458</v>
      </c>
      <c r="F6268" s="1" t="s">
        <v>30</v>
      </c>
      <c r="G6268" s="1" t="s">
        <v>17941</v>
      </c>
      <c r="H6268" s="1">
        <v>1996.0</v>
      </c>
      <c r="I6268" s="1" t="s">
        <v>32</v>
      </c>
      <c r="J6268" s="1" t="s">
        <v>2452</v>
      </c>
      <c r="K6268" s="1" t="s">
        <v>1020</v>
      </c>
      <c r="L6268" s="1" t="s">
        <v>31459</v>
      </c>
      <c r="M6268" s="2" t="s">
        <v>12</v>
      </c>
      <c r="N6268" s="4">
        <f t="shared" si="1"/>
        <v>43789</v>
      </c>
      <c r="O6268" s="5" t="str">
        <f>IFERROR(__xludf.DUMMYFUNCTION("IF(REGEXMATCH(TRIM(I6268), ""^\d+\s*min""), ""Unclassified"", IF(I6268 = """", ""NR"", I6268))"),"PG-13")</f>
        <v>PG-13</v>
      </c>
      <c r="R6268" s="5" t="str">
        <f t="shared" si="2"/>
        <v>Beavis And Butt-Head Do America</v>
      </c>
      <c r="S6268" s="5" t="str">
        <f>IFERROR(__xludf.DUMMYFUNCTION("""COMPUTED_VALUE"""),"She'S Out Of My League")</f>
        <v>She'S Out Of My League</v>
      </c>
      <c r="V6268" s="5"/>
      <c r="Y6268" s="5" t="str">
        <f>IFERROR(__xludf.DUMMYFUNCTION("REGEXEXTRACT(J6268, ""^\d+"")"),"81")</f>
        <v>81</v>
      </c>
      <c r="Z6268" s="5" t="str">
        <f>IFERROR(__xludf.DUMMYFUNCTION("REGEXEXTRACT(J6268, ""[A-Za-z ]+$"")")," min")</f>
        <v> min</v>
      </c>
      <c r="AA6268" s="5" t="str">
        <f>IFERROR(__xludf.DUMMYFUNCTION("IF(REGEXMATCH(Z6268, ""Season""), ""TV Show"", ""Movie"")"),"Movie")</f>
        <v>Movie</v>
      </c>
    </row>
    <row r="6269">
      <c r="A6269" s="1" t="s">
        <v>31460</v>
      </c>
      <c r="B6269" s="1" t="s">
        <v>27</v>
      </c>
      <c r="C6269" s="1" t="s">
        <v>31461</v>
      </c>
      <c r="D6269" s="1" t="s">
        <v>3934</v>
      </c>
      <c r="E6269" s="1" t="s">
        <v>31462</v>
      </c>
      <c r="F6269" s="1" t="s">
        <v>30</v>
      </c>
      <c r="G6269" s="1" t="s">
        <v>17941</v>
      </c>
      <c r="H6269" s="1">
        <v>1992.0</v>
      </c>
      <c r="I6269" s="1" t="s">
        <v>32</v>
      </c>
      <c r="J6269" s="1" t="s">
        <v>5120</v>
      </c>
      <c r="K6269" s="1" t="s">
        <v>239</v>
      </c>
      <c r="L6269" s="1" t="s">
        <v>31463</v>
      </c>
      <c r="M6269" s="2" t="s">
        <v>12</v>
      </c>
      <c r="N6269" s="4">
        <f t="shared" si="1"/>
        <v>43789</v>
      </c>
      <c r="O6269" s="5" t="str">
        <f>IFERROR(__xludf.DUMMYFUNCTION("IF(REGEXMATCH(TRIM(I6269), ""^\d+\s*min""), ""Unclassified"", IF(I6269 = """", ""NR"", I6269))"),"PG-13")</f>
        <v>PG-13</v>
      </c>
      <c r="R6269" s="5" t="str">
        <f t="shared" si="2"/>
        <v>Bebe'S Kids</v>
      </c>
      <c r="S6269" s="5" t="str">
        <f>IFERROR(__xludf.DUMMYFUNCTION("""COMPUTED_VALUE"""),"She'S The One")</f>
        <v>She'S The One</v>
      </c>
      <c r="V6269" s="5"/>
      <c r="Y6269" s="5" t="str">
        <f>IFERROR(__xludf.DUMMYFUNCTION("REGEXEXTRACT(J6269, ""^\d+"")"),"73")</f>
        <v>73</v>
      </c>
      <c r="Z6269" s="5" t="str">
        <f>IFERROR(__xludf.DUMMYFUNCTION("REGEXEXTRACT(J6269, ""[A-Za-z ]+$"")")," min")</f>
        <v> min</v>
      </c>
      <c r="AA6269" s="5" t="str">
        <f>IFERROR(__xludf.DUMMYFUNCTION("IF(REGEXMATCH(Z6269, ""Season""), ""TV Show"", ""Movie"")"),"Movie")</f>
        <v>Movie</v>
      </c>
    </row>
    <row r="6270">
      <c r="A6270" s="1" t="s">
        <v>31464</v>
      </c>
      <c r="B6270" s="1" t="s">
        <v>27</v>
      </c>
      <c r="C6270" s="1" t="s">
        <v>31465</v>
      </c>
      <c r="D6270" s="1" t="s">
        <v>569</v>
      </c>
      <c r="E6270" s="1" t="s">
        <v>31466</v>
      </c>
      <c r="F6270" s="1" t="s">
        <v>2873</v>
      </c>
      <c r="G6270" s="1" t="s">
        <v>31467</v>
      </c>
      <c r="H6270" s="1">
        <v>2008.0</v>
      </c>
      <c r="I6270" s="1" t="s">
        <v>97</v>
      </c>
      <c r="J6270" s="1" t="s">
        <v>6281</v>
      </c>
      <c r="K6270" s="1" t="s">
        <v>583</v>
      </c>
      <c r="L6270" s="1" t="s">
        <v>31468</v>
      </c>
      <c r="M6270" s="2" t="s">
        <v>12</v>
      </c>
      <c r="N6270" s="4">
        <f t="shared" si="1"/>
        <v>43442</v>
      </c>
      <c r="O6270" s="5" t="str">
        <f>IFERROR(__xludf.DUMMYFUNCTION("IF(REGEXMATCH(TRIM(I6270), ""^\d+\s*min""), ""Unclassified"", IF(I6270 = """", ""NR"", I6270))"),"TV-14")</f>
        <v>TV-14</v>
      </c>
      <c r="R6270" s="5" t="str">
        <f t="shared" si="2"/>
        <v>Because Of Soccer</v>
      </c>
      <c r="S6270" s="5" t="str">
        <f>IFERROR(__xludf.DUMMYFUNCTION("""COMPUTED_VALUE"""),"Shéhérazade")</f>
        <v>Shéhérazade</v>
      </c>
      <c r="V6270" s="5"/>
      <c r="Y6270" s="5" t="str">
        <f>IFERROR(__xludf.DUMMYFUNCTION("REGEXEXTRACT(J6270, ""^\d+"")"),"75")</f>
        <v>75</v>
      </c>
      <c r="Z6270" s="5" t="str">
        <f>IFERROR(__xludf.DUMMYFUNCTION("REGEXEXTRACT(J6270, ""[A-Za-z ]+$"")")," min")</f>
        <v> min</v>
      </c>
      <c r="AA6270" s="5" t="str">
        <f>IFERROR(__xludf.DUMMYFUNCTION("IF(REGEXMATCH(Z6270, ""Season""), ""TV Show"", ""Movie"")"),"Movie")</f>
        <v>Movie</v>
      </c>
    </row>
    <row r="6271">
      <c r="A6271" s="1" t="s">
        <v>31469</v>
      </c>
      <c r="B6271" s="1" t="s">
        <v>27</v>
      </c>
      <c r="C6271" s="1" t="s">
        <v>31470</v>
      </c>
      <c r="D6271" s="1" t="s">
        <v>12899</v>
      </c>
      <c r="E6271" s="1" t="s">
        <v>31471</v>
      </c>
      <c r="F6271" s="1" t="s">
        <v>3309</v>
      </c>
      <c r="G6271" s="1" t="s">
        <v>30396</v>
      </c>
      <c r="H6271" s="1">
        <v>2016.0</v>
      </c>
      <c r="I6271" s="1" t="s">
        <v>97</v>
      </c>
      <c r="J6271" s="1" t="s">
        <v>416</v>
      </c>
      <c r="K6271" s="1" t="s">
        <v>199</v>
      </c>
      <c r="L6271" s="1" t="s">
        <v>31472</v>
      </c>
      <c r="M6271" s="2" t="s">
        <v>12</v>
      </c>
      <c r="N6271" s="4">
        <f t="shared" si="1"/>
        <v>43573</v>
      </c>
      <c r="O6271" s="5" t="str">
        <f>IFERROR(__xludf.DUMMYFUNCTION("IF(REGEXMATCH(TRIM(I6271), ""^\d+\s*min""), ""Unclassified"", IF(I6271 = """", ""NR"", I6271))"),"TV-14")</f>
        <v>TV-14</v>
      </c>
      <c r="R6271" s="5" t="str">
        <f t="shared" si="2"/>
        <v>Because We'Re Heading Out</v>
      </c>
      <c r="S6271" s="5" t="str">
        <f>IFERROR(__xludf.DUMMYFUNCTION("""COMPUTED_VALUE"""),"Shelby American")</f>
        <v>Shelby American</v>
      </c>
      <c r="V6271" s="5"/>
      <c r="Y6271" s="5" t="str">
        <f>IFERROR(__xludf.DUMMYFUNCTION("REGEXEXTRACT(J6271, ""^\d+"")"),"99")</f>
        <v>99</v>
      </c>
      <c r="Z6271" s="5" t="str">
        <f>IFERROR(__xludf.DUMMYFUNCTION("REGEXEXTRACT(J6271, ""[A-Za-z ]+$"")")," min")</f>
        <v> min</v>
      </c>
      <c r="AA6271" s="5" t="str">
        <f>IFERROR(__xludf.DUMMYFUNCTION("IF(REGEXMATCH(Z6271, ""Season""), ""TV Show"", ""Movie"")"),"Movie")</f>
        <v>Movie</v>
      </c>
    </row>
    <row r="6272">
      <c r="A6272" s="1" t="s">
        <v>31473</v>
      </c>
      <c r="B6272" s="1" t="s">
        <v>27</v>
      </c>
      <c r="C6272" s="1" t="s">
        <v>31474</v>
      </c>
      <c r="D6272" s="1" t="s">
        <v>12069</v>
      </c>
      <c r="E6272" s="1" t="s">
        <v>31475</v>
      </c>
      <c r="F6272" s="1" t="s">
        <v>8186</v>
      </c>
      <c r="G6272" s="1" t="s">
        <v>31476</v>
      </c>
      <c r="H6272" s="1">
        <v>2007.0</v>
      </c>
      <c r="I6272" s="1" t="s">
        <v>32</v>
      </c>
      <c r="J6272" s="1" t="s">
        <v>941</v>
      </c>
      <c r="K6272" s="1" t="s">
        <v>828</v>
      </c>
      <c r="L6272" s="1" t="s">
        <v>31477</v>
      </c>
      <c r="M6272" s="2" t="s">
        <v>12</v>
      </c>
      <c r="N6272" s="4">
        <f t="shared" si="1"/>
        <v>43477</v>
      </c>
      <c r="O6272" s="5" t="str">
        <f>IFERROR(__xludf.DUMMYFUNCTION("IF(REGEXMATCH(TRIM(I6272), ""^\d+\s*min""), ""Unclassified"", IF(I6272 = """", ""NR"", I6272))"),"PG-13")</f>
        <v>PG-13</v>
      </c>
      <c r="R6272" s="5" t="str">
        <f t="shared" si="2"/>
        <v>Becoming Jane</v>
      </c>
      <c r="S6272" s="5" t="str">
        <f>IFERROR(__xludf.DUMMYFUNCTION("""COMPUTED_VALUE"""),"Shelter")</f>
        <v>Shelter</v>
      </c>
      <c r="V6272" s="5"/>
      <c r="Y6272" s="5" t="str">
        <f>IFERROR(__xludf.DUMMYFUNCTION("REGEXEXTRACT(J6272, ""^\d+"")"),"121")</f>
        <v>121</v>
      </c>
      <c r="Z6272" s="5" t="str">
        <f>IFERROR(__xludf.DUMMYFUNCTION("REGEXEXTRACT(J6272, ""[A-Za-z ]+$"")")," min")</f>
        <v> min</v>
      </c>
      <c r="AA6272" s="5" t="str">
        <f>IFERROR(__xludf.DUMMYFUNCTION("IF(REGEXMATCH(Z6272, ""Season""), ""TV Show"", ""Movie"")"),"Movie")</f>
        <v>Movie</v>
      </c>
    </row>
    <row r="6273">
      <c r="A6273" s="1" t="s">
        <v>31478</v>
      </c>
      <c r="B6273" s="1" t="s">
        <v>27</v>
      </c>
      <c r="C6273" s="1" t="s">
        <v>31479</v>
      </c>
      <c r="D6273" s="1" t="s">
        <v>435</v>
      </c>
      <c r="E6273" s="1" t="s">
        <v>31480</v>
      </c>
      <c r="F6273" s="1" t="s">
        <v>30</v>
      </c>
      <c r="G6273" s="1" t="s">
        <v>21804</v>
      </c>
      <c r="H6273" s="1">
        <v>2008.0</v>
      </c>
      <c r="I6273" s="1" t="s">
        <v>78</v>
      </c>
      <c r="J6273" s="1" t="s">
        <v>433</v>
      </c>
      <c r="K6273" s="1" t="s">
        <v>137</v>
      </c>
      <c r="L6273" s="1" t="s">
        <v>31481</v>
      </c>
      <c r="M6273" s="2" t="s">
        <v>12</v>
      </c>
      <c r="N6273" s="4">
        <f t="shared" si="1"/>
        <v>43529</v>
      </c>
      <c r="O6273" s="5" t="str">
        <f>IFERROR(__xludf.DUMMYFUNCTION("IF(REGEXMATCH(TRIM(I6273), ""^\d+\s*min""), ""Unclassified"", IF(I6273 = """", ""NR"", I6273))"),"PG")</f>
        <v>PG</v>
      </c>
      <c r="R6273" s="5" t="str">
        <f t="shared" si="2"/>
        <v>Bedtime Stories</v>
      </c>
      <c r="S6273" s="5" t="str">
        <f>IFERROR(__xludf.DUMMYFUNCTION("""COMPUTED_VALUE"""),"Shepherds And Butchers")</f>
        <v>Shepherds And Butchers</v>
      </c>
      <c r="V6273" s="5"/>
      <c r="Y6273" s="5" t="str">
        <f>IFERROR(__xludf.DUMMYFUNCTION("REGEXEXTRACT(J6273, ""^\d+"")"),"100")</f>
        <v>100</v>
      </c>
      <c r="Z6273" s="5" t="str">
        <f>IFERROR(__xludf.DUMMYFUNCTION("REGEXEXTRACT(J6273, ""[A-Za-z ]+$"")")," min")</f>
        <v> min</v>
      </c>
      <c r="AA6273" s="5" t="str">
        <f>IFERROR(__xludf.DUMMYFUNCTION("IF(REGEXMATCH(Z6273, ""Season""), ""TV Show"", ""Movie"")"),"Movie")</f>
        <v>Movie</v>
      </c>
    </row>
    <row r="6274">
      <c r="A6274" s="1" t="s">
        <v>31482</v>
      </c>
      <c r="B6274" s="1" t="s">
        <v>27</v>
      </c>
      <c r="C6274" s="1" t="s">
        <v>31483</v>
      </c>
      <c r="D6274" s="1" t="s">
        <v>7696</v>
      </c>
      <c r="E6274" s="1" t="s">
        <v>31484</v>
      </c>
      <c r="F6274" s="1" t="s">
        <v>30</v>
      </c>
      <c r="G6274" s="1" t="s">
        <v>26295</v>
      </c>
      <c r="H6274" s="1">
        <v>2016.0</v>
      </c>
      <c r="I6274" s="1" t="s">
        <v>78</v>
      </c>
      <c r="J6274" s="1" t="s">
        <v>247</v>
      </c>
      <c r="K6274" s="1" t="s">
        <v>34</v>
      </c>
      <c r="L6274" s="1" t="s">
        <v>31485</v>
      </c>
      <c r="M6274" s="2" t="s">
        <v>12</v>
      </c>
      <c r="N6274" s="4">
        <f t="shared" si="1"/>
        <v>43132</v>
      </c>
      <c r="O6274" s="5" t="str">
        <f>IFERROR(__xludf.DUMMYFUNCTION("IF(REGEXMATCH(TRIM(I6274), ""^\d+\s*min""), ""Unclassified"", IF(I6274 = """", ""NR"", I6274))"),"PG")</f>
        <v>PG</v>
      </c>
      <c r="R6274" s="5" t="str">
        <f t="shared" si="2"/>
        <v>Before The Flood</v>
      </c>
      <c r="S6274" s="5" t="str">
        <f>IFERROR(__xludf.DUMMYFUNCTION("""COMPUTED_VALUE"""),"Sherlock")</f>
        <v>Sherlock</v>
      </c>
      <c r="V6274" s="5"/>
      <c r="Y6274" s="5" t="str">
        <f>IFERROR(__xludf.DUMMYFUNCTION("REGEXEXTRACT(J6274, ""^\d+"")"),"97")</f>
        <v>97</v>
      </c>
      <c r="Z6274" s="5" t="str">
        <f>IFERROR(__xludf.DUMMYFUNCTION("REGEXEXTRACT(J6274, ""[A-Za-z ]+$"")")," min")</f>
        <v> min</v>
      </c>
      <c r="AA6274" s="5" t="str">
        <f>IFERROR(__xludf.DUMMYFUNCTION("IF(REGEXMATCH(Z6274, ""Season""), ""TV Show"", ""Movie"")"),"Movie")</f>
        <v>Movie</v>
      </c>
    </row>
    <row r="6275">
      <c r="A6275" s="1" t="s">
        <v>31486</v>
      </c>
      <c r="B6275" s="1" t="s">
        <v>27</v>
      </c>
      <c r="C6275" s="1" t="s">
        <v>31487</v>
      </c>
      <c r="D6275" s="1" t="s">
        <v>12627</v>
      </c>
      <c r="F6275" s="1" t="s">
        <v>6651</v>
      </c>
      <c r="G6275" s="1" t="s">
        <v>27440</v>
      </c>
      <c r="H6275" s="1">
        <v>2015.0</v>
      </c>
      <c r="I6275" s="1" t="s">
        <v>97</v>
      </c>
      <c r="J6275" s="1" t="s">
        <v>305</v>
      </c>
      <c r="K6275" s="1" t="s">
        <v>156</v>
      </c>
      <c r="L6275" s="1" t="s">
        <v>31488</v>
      </c>
      <c r="M6275" s="2" t="s">
        <v>12</v>
      </c>
      <c r="N6275" s="4">
        <f t="shared" si="1"/>
        <v>42972</v>
      </c>
      <c r="O6275" s="5" t="str">
        <f>IFERROR(__xludf.DUMMYFUNCTION("IF(REGEXMATCH(TRIM(I6275), ""^\d+\s*min""), ""Unclassified"", IF(I6275 = """", ""NR"", I6275))"),"TV-14")</f>
        <v>TV-14</v>
      </c>
      <c r="R6275" s="5" t="str">
        <f t="shared" si="2"/>
        <v>Behind "The Cove": The Quiet Japanese Speak Out</v>
      </c>
      <c r="S6275" s="5" t="str">
        <f>IFERROR(__xludf.DUMMYFUNCTION("""COMPUTED_VALUE"""),"Sherlock Holmes")</f>
        <v>Sherlock Holmes</v>
      </c>
      <c r="V6275" s="5"/>
      <c r="Y6275" s="5" t="str">
        <f>IFERROR(__xludf.DUMMYFUNCTION("REGEXEXTRACT(J6275, ""^\d+"")"),"105")</f>
        <v>105</v>
      </c>
      <c r="Z6275" s="5" t="str">
        <f>IFERROR(__xludf.DUMMYFUNCTION("REGEXEXTRACT(J6275, ""[A-Za-z ]+$"")")," min")</f>
        <v> min</v>
      </c>
      <c r="AA6275" s="5" t="str">
        <f>IFERROR(__xludf.DUMMYFUNCTION("IF(REGEXMATCH(Z6275, ""Season""), ""TV Show"", ""Movie"")"),"Movie")</f>
        <v>Movie</v>
      </c>
    </row>
    <row r="6276">
      <c r="A6276" s="1" t="s">
        <v>31489</v>
      </c>
      <c r="B6276" s="1" t="s">
        <v>27</v>
      </c>
      <c r="C6276" s="1" t="s">
        <v>31490</v>
      </c>
      <c r="D6276" s="1" t="s">
        <v>12527</v>
      </c>
      <c r="E6276" s="1" t="s">
        <v>31491</v>
      </c>
      <c r="F6276" s="1" t="s">
        <v>30</v>
      </c>
      <c r="G6276" s="1" t="s">
        <v>25823</v>
      </c>
      <c r="H6276" s="1">
        <v>2017.0</v>
      </c>
      <c r="I6276" s="1" t="s">
        <v>42</v>
      </c>
      <c r="J6276" s="1" t="s">
        <v>433</v>
      </c>
      <c r="K6276" s="1" t="s">
        <v>31492</v>
      </c>
      <c r="L6276" s="1" t="s">
        <v>31493</v>
      </c>
      <c r="M6276" s="2" t="s">
        <v>12</v>
      </c>
      <c r="N6276" s="4">
        <f t="shared" si="1"/>
        <v>43195</v>
      </c>
      <c r="O6276" s="5" t="str">
        <f>IFERROR(__xludf.DUMMYFUNCTION("IF(REGEXMATCH(TRIM(I6276), ""^\d+\s*min""), ""Unclassified"", IF(I6276 = """", ""NR"", I6276))"),"TV-MA")</f>
        <v>TV-MA</v>
      </c>
      <c r="R6276" s="5" t="str">
        <f t="shared" si="2"/>
        <v>Behind The Curtain: Todrick Hall</v>
      </c>
      <c r="S6276" s="5" t="str">
        <f>IFERROR(__xludf.DUMMYFUNCTION("""COMPUTED_VALUE"""),"Shikara")</f>
        <v>Shikara</v>
      </c>
      <c r="V6276" s="5"/>
      <c r="Y6276" s="5" t="str">
        <f>IFERROR(__xludf.DUMMYFUNCTION("REGEXEXTRACT(J6276, ""^\d+"")"),"100")</f>
        <v>100</v>
      </c>
      <c r="Z6276" s="5" t="str">
        <f>IFERROR(__xludf.DUMMYFUNCTION("REGEXEXTRACT(J6276, ""[A-Za-z ]+$"")")," min")</f>
        <v> min</v>
      </c>
      <c r="AA6276" s="5" t="str">
        <f>IFERROR(__xludf.DUMMYFUNCTION("IF(REGEXMATCH(Z6276, ""Season""), ""TV Show"", ""Movie"")"),"Movie")</f>
        <v>Movie</v>
      </c>
    </row>
    <row r="6277">
      <c r="A6277" s="1" t="s">
        <v>31494</v>
      </c>
      <c r="B6277" s="1" t="s">
        <v>37</v>
      </c>
      <c r="C6277" s="1" t="s">
        <v>31495</v>
      </c>
      <c r="E6277" s="1" t="s">
        <v>31496</v>
      </c>
      <c r="G6277" s="1" t="s">
        <v>24528</v>
      </c>
      <c r="H6277" s="1">
        <v>2015.0</v>
      </c>
      <c r="I6277" s="1" t="s">
        <v>42</v>
      </c>
      <c r="J6277" s="1" t="s">
        <v>51</v>
      </c>
      <c r="K6277" s="1" t="s">
        <v>1907</v>
      </c>
      <c r="L6277" s="1" t="s">
        <v>31497</v>
      </c>
      <c r="M6277" s="2" t="s">
        <v>12</v>
      </c>
      <c r="N6277" s="4">
        <f t="shared" si="1"/>
        <v>43357</v>
      </c>
      <c r="O6277" s="5" t="str">
        <f>IFERROR(__xludf.DUMMYFUNCTION("IF(REGEXMATCH(TRIM(I6277), ""^\d+\s*min""), ""Unclassified"", IF(I6277 = """", ""NR"", I6277))"),"TV-MA")</f>
        <v>TV-MA</v>
      </c>
      <c r="R6277" s="5" t="str">
        <f t="shared" si="2"/>
        <v>Behind The Newsroom</v>
      </c>
      <c r="S6277" s="5" t="str">
        <f>IFERROR(__xludf.DUMMYFUNCTION("""COMPUTED_VALUE"""),"Shikari")</f>
        <v>Shikari</v>
      </c>
      <c r="V6277" s="5"/>
      <c r="Y6277" s="5" t="str">
        <f>IFERROR(__xludf.DUMMYFUNCTION("REGEXEXTRACT(J6277, ""^\d+"")"),"1")</f>
        <v>1</v>
      </c>
      <c r="Z6277" s="5" t="str">
        <f>IFERROR(__xludf.DUMMYFUNCTION("REGEXEXTRACT(J6277, ""[A-Za-z ]+$"")")," Season")</f>
        <v> Season</v>
      </c>
      <c r="AA6277" s="5" t="str">
        <f>IFERROR(__xludf.DUMMYFUNCTION("IF(REGEXMATCH(Z6277, ""Season""), ""TV Show"", ""Movie"")"),"TV Show")</f>
        <v>TV Show</v>
      </c>
    </row>
    <row r="6278">
      <c r="A6278" s="1" t="s">
        <v>31498</v>
      </c>
      <c r="B6278" s="1" t="s">
        <v>37</v>
      </c>
      <c r="C6278" s="1" t="s">
        <v>31499</v>
      </c>
      <c r="E6278" s="1" t="s">
        <v>31500</v>
      </c>
      <c r="F6278" s="1" t="s">
        <v>188</v>
      </c>
      <c r="G6278" s="7">
        <v>42874.0</v>
      </c>
      <c r="H6278" s="1">
        <v>2010.0</v>
      </c>
      <c r="I6278" s="1" t="s">
        <v>42</v>
      </c>
      <c r="J6278" s="1" t="s">
        <v>51</v>
      </c>
      <c r="K6278" s="1" t="s">
        <v>1362</v>
      </c>
      <c r="L6278" s="1" t="s">
        <v>31501</v>
      </c>
      <c r="M6278" s="2" t="s">
        <v>12</v>
      </c>
      <c r="N6278" s="4">
        <f t="shared" si="1"/>
        <v>42874</v>
      </c>
      <c r="O6278" s="5" t="str">
        <f>IFERROR(__xludf.DUMMYFUNCTION("IF(REGEXMATCH(TRIM(I6278), ""^\d+\s*min""), ""Unclassified"", IF(I6278 = """", ""NR"", I6278))"),"TV-MA")</f>
        <v>TV-MA</v>
      </c>
      <c r="R6278" s="5" t="str">
        <f t="shared" si="2"/>
        <v>Behzat Ç.</v>
      </c>
      <c r="S6278" s="5" t="str">
        <f>IFERROR(__xludf.DUMMYFUNCTION("""COMPUTED_VALUE"""),"Shimla Mirchi")</f>
        <v>Shimla Mirchi</v>
      </c>
      <c r="V6278" s="5"/>
      <c r="Y6278" s="5" t="str">
        <f>IFERROR(__xludf.DUMMYFUNCTION("REGEXEXTRACT(J6278, ""^\d+"")"),"1")</f>
        <v>1</v>
      </c>
      <c r="Z6278" s="5" t="str">
        <f>IFERROR(__xludf.DUMMYFUNCTION("REGEXEXTRACT(J6278, ""[A-Za-z ]+$"")")," Season")</f>
        <v> Season</v>
      </c>
      <c r="AA6278" s="5" t="str">
        <f>IFERROR(__xludf.DUMMYFUNCTION("IF(REGEXMATCH(Z6278, ""Season""), ""TV Show"", ""Movie"")"),"TV Show")</f>
        <v>TV Show</v>
      </c>
    </row>
    <row r="6279">
      <c r="A6279" s="1" t="s">
        <v>31502</v>
      </c>
      <c r="B6279" s="1" t="s">
        <v>27</v>
      </c>
      <c r="C6279" s="1" t="s">
        <v>31503</v>
      </c>
      <c r="D6279" s="1" t="s">
        <v>18673</v>
      </c>
      <c r="E6279" s="1" t="s">
        <v>31504</v>
      </c>
      <c r="F6279" s="1" t="s">
        <v>63</v>
      </c>
      <c r="G6279" s="1" t="s">
        <v>26883</v>
      </c>
      <c r="H6279" s="1">
        <v>2016.0</v>
      </c>
      <c r="I6279" s="1" t="s">
        <v>42</v>
      </c>
      <c r="J6279" s="1" t="s">
        <v>379</v>
      </c>
      <c r="K6279" s="1" t="s">
        <v>679</v>
      </c>
      <c r="L6279" s="1" t="s">
        <v>31505</v>
      </c>
      <c r="M6279" s="2" t="s">
        <v>12</v>
      </c>
      <c r="N6279" s="4">
        <f t="shared" si="1"/>
        <v>43040</v>
      </c>
      <c r="O6279" s="5" t="str">
        <f>IFERROR(__xludf.DUMMYFUNCTION("IF(REGEXMATCH(TRIM(I6279), ""^\d+\s*min""), ""Unclassified"", IF(I6279 = """", ""NR"", I6279))"),"TV-MA")</f>
        <v>TV-MA</v>
      </c>
      <c r="R6279" s="5" t="str">
        <f t="shared" si="2"/>
        <v>Beiimaan Love</v>
      </c>
      <c r="S6279" s="5" t="str">
        <f>IFERROR(__xludf.DUMMYFUNCTION("""COMPUTED_VALUE"""),"Shimmer Lake")</f>
        <v>Shimmer Lake</v>
      </c>
      <c r="V6279" s="5"/>
      <c r="Y6279" s="5" t="str">
        <f>IFERROR(__xludf.DUMMYFUNCTION("REGEXEXTRACT(J6279, ""^\d+"")"),"115")</f>
        <v>115</v>
      </c>
      <c r="Z6279" s="5" t="str">
        <f>IFERROR(__xludf.DUMMYFUNCTION("REGEXEXTRACT(J6279, ""[A-Za-z ]+$"")")," min")</f>
        <v> min</v>
      </c>
      <c r="AA6279" s="5" t="str">
        <f>IFERROR(__xludf.DUMMYFUNCTION("IF(REGEXMATCH(Z6279, ""Season""), ""TV Show"", ""Movie"")"),"Movie")</f>
        <v>Movie</v>
      </c>
    </row>
    <row r="6280">
      <c r="A6280" s="1" t="s">
        <v>31506</v>
      </c>
      <c r="B6280" s="1" t="s">
        <v>27</v>
      </c>
      <c r="C6280" s="1" t="s">
        <v>31507</v>
      </c>
      <c r="D6280" s="1" t="s">
        <v>2310</v>
      </c>
      <c r="E6280" s="1" t="s">
        <v>31508</v>
      </c>
      <c r="F6280" s="1" t="s">
        <v>96</v>
      </c>
      <c r="G6280" s="1" t="s">
        <v>29537</v>
      </c>
      <c r="H6280" s="1">
        <v>2015.0</v>
      </c>
      <c r="I6280" s="1" t="s">
        <v>97</v>
      </c>
      <c r="J6280" s="1" t="s">
        <v>416</v>
      </c>
      <c r="K6280" s="1" t="s">
        <v>520</v>
      </c>
      <c r="L6280" s="1" t="s">
        <v>31509</v>
      </c>
      <c r="M6280" s="2" t="s">
        <v>12</v>
      </c>
      <c r="N6280" s="4">
        <f t="shared" si="1"/>
        <v>42597</v>
      </c>
      <c r="O6280" s="5" t="str">
        <f>IFERROR(__xludf.DUMMYFUNCTION("IF(REGEXMATCH(TRIM(I6280), ""^\d+\s*min""), ""Unclassified"", IF(I6280 = """", ""NR"", I6280))"),"TV-14")</f>
        <v>TV-14</v>
      </c>
      <c r="R6280" s="5" t="str">
        <f t="shared" si="2"/>
        <v>Being Ap</v>
      </c>
      <c r="S6280" s="5" t="str">
        <f>IFERROR(__xludf.DUMMYFUNCTION("""COMPUTED_VALUE"""),"Shine On With Reese")</f>
        <v>Shine On With Reese</v>
      </c>
      <c r="V6280" s="5"/>
      <c r="Y6280" s="5" t="str">
        <f>IFERROR(__xludf.DUMMYFUNCTION("REGEXEXTRACT(J6280, ""^\d+"")"),"99")</f>
        <v>99</v>
      </c>
      <c r="Z6280" s="5" t="str">
        <f>IFERROR(__xludf.DUMMYFUNCTION("REGEXEXTRACT(J6280, ""[A-Za-z ]+$"")")," min")</f>
        <v> min</v>
      </c>
      <c r="AA6280" s="5" t="str">
        <f>IFERROR(__xludf.DUMMYFUNCTION("IF(REGEXMATCH(Z6280, ""Season""), ""TV Show"", ""Movie"")"),"Movie")</f>
        <v>Movie</v>
      </c>
    </row>
    <row r="6281">
      <c r="A6281" s="1" t="s">
        <v>31510</v>
      </c>
      <c r="B6281" s="1" t="s">
        <v>37</v>
      </c>
      <c r="C6281" s="1" t="s">
        <v>31511</v>
      </c>
      <c r="E6281" s="1" t="s">
        <v>31512</v>
      </c>
      <c r="F6281" s="1" t="s">
        <v>30</v>
      </c>
      <c r="G6281" s="1" t="s">
        <v>31513</v>
      </c>
      <c r="H6281" s="1">
        <v>2016.0</v>
      </c>
      <c r="I6281" s="1" t="s">
        <v>97</v>
      </c>
      <c r="J6281" s="1" t="s">
        <v>148</v>
      </c>
      <c r="K6281" s="1" t="s">
        <v>3083</v>
      </c>
      <c r="L6281" s="1" t="s">
        <v>31514</v>
      </c>
      <c r="M6281" s="2" t="s">
        <v>12</v>
      </c>
      <c r="N6281" s="1" t="str">
        <f t="shared" si="1"/>
        <v>#N/A</v>
      </c>
      <c r="O6281" s="5" t="str">
        <f>IFERROR(__xludf.DUMMYFUNCTION("IF(REGEXMATCH(TRIM(I6281), ""^\d+\s*min""), ""Unclassified"", IF(I6281 = """", ""NR"", I6281))"),"TV-14")</f>
        <v>TV-14</v>
      </c>
      <c r="R6281" s="5" t="str">
        <f t="shared" si="2"/>
        <v>Being Mary Jane: The Series</v>
      </c>
      <c r="S6281" s="5" t="str">
        <f>IFERROR(__xludf.DUMMYFUNCTION("""COMPUTED_VALUE"""),"Shine Your Eyes")</f>
        <v>Shine Your Eyes</v>
      </c>
      <c r="V6281" s="5"/>
      <c r="Y6281" s="5" t="str">
        <f>IFERROR(__xludf.DUMMYFUNCTION("REGEXEXTRACT(J6281, ""^\d+"")"),"4")</f>
        <v>4</v>
      </c>
      <c r="Z6281" s="5" t="str">
        <f>IFERROR(__xludf.DUMMYFUNCTION("REGEXEXTRACT(J6281, ""[A-Za-z ]+$"")")," Seasons")</f>
        <v> Seasons</v>
      </c>
      <c r="AA6281" s="5" t="str">
        <f>IFERROR(__xludf.DUMMYFUNCTION("IF(REGEXMATCH(Z6281, ""Season""), ""TV Show"", ""Movie"")"),"TV Show")</f>
        <v>TV Show</v>
      </c>
    </row>
    <row r="6282">
      <c r="A6282" s="1" t="s">
        <v>31515</v>
      </c>
      <c r="B6282" s="1" t="s">
        <v>27</v>
      </c>
      <c r="C6282" s="1" t="s">
        <v>31516</v>
      </c>
      <c r="D6282" s="1" t="s">
        <v>2458</v>
      </c>
      <c r="E6282" s="1" t="s">
        <v>31517</v>
      </c>
      <c r="F6282" s="1" t="s">
        <v>1106</v>
      </c>
      <c r="G6282" s="1" t="s">
        <v>27569</v>
      </c>
      <c r="H6282" s="1">
        <v>2016.0</v>
      </c>
      <c r="I6282" s="1" t="s">
        <v>42</v>
      </c>
      <c r="J6282" s="1" t="s">
        <v>79</v>
      </c>
      <c r="K6282" s="1" t="s">
        <v>89</v>
      </c>
      <c r="L6282" s="1" t="s">
        <v>31518</v>
      </c>
      <c r="M6282" s="2" t="s">
        <v>12</v>
      </c>
      <c r="N6282" s="4">
        <f t="shared" si="1"/>
        <v>42948</v>
      </c>
      <c r="O6282" s="5" t="str">
        <f>IFERROR(__xludf.DUMMYFUNCTION("IF(REGEXMATCH(TRIM(I6282), ""^\d+\s*min""), ""Unclassified"", IF(I6282 = """", ""NR"", I6282))"),"TV-MA")</f>
        <v>TV-MA</v>
      </c>
      <c r="R6282" s="5" t="str">
        <f t="shared" si="2"/>
        <v>Below Her Mouth</v>
      </c>
      <c r="S6282" s="5" t="str">
        <f>IFERROR(__xludf.DUMMYFUNCTION("""COMPUTED_VALUE"""),"Shiny_Flakes: The Teenage Drug Lord")</f>
        <v>Shiny_Flakes: The Teenage Drug Lord</v>
      </c>
      <c r="V6282" s="5"/>
      <c r="Y6282" s="5" t="str">
        <f>IFERROR(__xludf.DUMMYFUNCTION("REGEXEXTRACT(J6282, ""^\d+"")"),"91")</f>
        <v>91</v>
      </c>
      <c r="Z6282" s="5" t="str">
        <f>IFERROR(__xludf.DUMMYFUNCTION("REGEXEXTRACT(J6282, ""[A-Za-z ]+$"")")," min")</f>
        <v> min</v>
      </c>
      <c r="AA6282" s="5" t="str">
        <f>IFERROR(__xludf.DUMMYFUNCTION("IF(REGEXMATCH(Z6282, ""Season""), ""TV Show"", ""Movie"")"),"Movie")</f>
        <v>Movie</v>
      </c>
    </row>
    <row r="6283">
      <c r="A6283" s="1" t="s">
        <v>31519</v>
      </c>
      <c r="B6283" s="1" t="s">
        <v>37</v>
      </c>
      <c r="C6283" s="1" t="s">
        <v>31520</v>
      </c>
      <c r="E6283" s="1" t="s">
        <v>31521</v>
      </c>
      <c r="F6283" s="1" t="s">
        <v>30</v>
      </c>
      <c r="G6283" s="1" t="s">
        <v>24442</v>
      </c>
      <c r="H6283" s="1">
        <v>2016.0</v>
      </c>
      <c r="I6283" s="1" t="s">
        <v>289</v>
      </c>
      <c r="J6283" s="1" t="s">
        <v>51</v>
      </c>
      <c r="K6283" s="1" t="s">
        <v>290</v>
      </c>
      <c r="L6283" s="1" t="s">
        <v>31522</v>
      </c>
      <c r="M6283" s="2" t="s">
        <v>12</v>
      </c>
      <c r="N6283" s="4">
        <f t="shared" si="1"/>
        <v>43373</v>
      </c>
      <c r="O6283" s="5" t="str">
        <f>IFERROR(__xludf.DUMMYFUNCTION("IF(REGEXMATCH(TRIM(I6283), ""^\d+\s*min""), ""Unclassified"", IF(I6283 = """", ""NR"", I6283))"),"TV-Y7")</f>
        <v>TV-Y7</v>
      </c>
      <c r="R6283" s="5" t="str">
        <f t="shared" si="2"/>
        <v>Ben 10</v>
      </c>
      <c r="S6283" s="5" t="str">
        <f>IFERROR(__xludf.DUMMYFUNCTION("""COMPUTED_VALUE"""),"Shirkers")</f>
        <v>Shirkers</v>
      </c>
      <c r="V6283" s="5"/>
      <c r="Y6283" s="5" t="str">
        <f>IFERROR(__xludf.DUMMYFUNCTION("REGEXEXTRACT(J6283, ""^\d+"")"),"1")</f>
        <v>1</v>
      </c>
      <c r="Z6283" s="5" t="str">
        <f>IFERROR(__xludf.DUMMYFUNCTION("REGEXEXTRACT(J6283, ""[A-Za-z ]+$"")")," Season")</f>
        <v> Season</v>
      </c>
      <c r="AA6283" s="5" t="str">
        <f>IFERROR(__xludf.DUMMYFUNCTION("IF(REGEXMATCH(Z6283, ""Season""), ""TV Show"", ""Movie"")"),"TV Show")</f>
        <v>TV Show</v>
      </c>
    </row>
    <row r="6284">
      <c r="A6284" s="1" t="s">
        <v>31523</v>
      </c>
      <c r="B6284" s="1" t="s">
        <v>27</v>
      </c>
      <c r="C6284" s="1" t="s">
        <v>31524</v>
      </c>
      <c r="D6284" s="1" t="s">
        <v>404</v>
      </c>
      <c r="E6284" s="1" t="s">
        <v>31525</v>
      </c>
      <c r="F6284" s="1" t="s">
        <v>30</v>
      </c>
      <c r="G6284" s="1" t="s">
        <v>31526</v>
      </c>
      <c r="H6284" s="1">
        <v>2019.0</v>
      </c>
      <c r="I6284" s="1" t="s">
        <v>42</v>
      </c>
      <c r="J6284" s="1" t="s">
        <v>33</v>
      </c>
      <c r="K6284" s="1" t="s">
        <v>5435</v>
      </c>
      <c r="L6284" s="1" t="s">
        <v>31527</v>
      </c>
      <c r="M6284" s="2" t="s">
        <v>12</v>
      </c>
      <c r="N6284" s="4">
        <f t="shared" si="1"/>
        <v>43624</v>
      </c>
      <c r="O6284" s="5" t="str">
        <f>IFERROR(__xludf.DUMMYFUNCTION("IF(REGEXMATCH(TRIM(I6284), ""^\d+\s*min""), ""Unclassified"", IF(I6284 = """", ""NR"", I6284))"),"TV-MA")</f>
        <v>TV-MA</v>
      </c>
      <c r="R6284" s="5" t="str">
        <f t="shared" si="2"/>
        <v>Beneath The Leaves</v>
      </c>
      <c r="S6284" s="5" t="str">
        <f>IFERROR(__xludf.DUMMYFUNCTION("""COMPUTED_VALUE"""),"Shiva")</f>
        <v>Shiva</v>
      </c>
      <c r="V6284" s="5"/>
      <c r="Y6284" s="5" t="str">
        <f>IFERROR(__xludf.DUMMYFUNCTION("REGEXEXTRACT(J6284, ""^\d+"")"),"90")</f>
        <v>90</v>
      </c>
      <c r="Z6284" s="5" t="str">
        <f>IFERROR(__xludf.DUMMYFUNCTION("REGEXEXTRACT(J6284, ""[A-Za-z ]+$"")")," min")</f>
        <v> min</v>
      </c>
      <c r="AA6284" s="5" t="str">
        <f>IFERROR(__xludf.DUMMYFUNCTION("IF(REGEXMATCH(Z6284, ""Season""), ""TV Show"", ""Movie"")"),"Movie")</f>
        <v>Movie</v>
      </c>
    </row>
    <row r="6285">
      <c r="A6285" s="1" t="s">
        <v>31528</v>
      </c>
      <c r="B6285" s="1" t="s">
        <v>27</v>
      </c>
      <c r="C6285" s="1" t="s">
        <v>31529</v>
      </c>
      <c r="D6285" s="1" t="s">
        <v>11069</v>
      </c>
      <c r="E6285" s="1" t="s">
        <v>31530</v>
      </c>
      <c r="F6285" s="1" t="s">
        <v>30</v>
      </c>
      <c r="G6285" s="1" t="s">
        <v>26060</v>
      </c>
      <c r="H6285" s="1">
        <v>2004.0</v>
      </c>
      <c r="I6285" s="1" t="s">
        <v>78</v>
      </c>
      <c r="J6285" s="1" t="s">
        <v>433</v>
      </c>
      <c r="K6285" s="1" t="s">
        <v>771</v>
      </c>
      <c r="L6285" s="1" t="s">
        <v>31531</v>
      </c>
      <c r="M6285" s="2" t="s">
        <v>12</v>
      </c>
      <c r="N6285" s="4">
        <f t="shared" si="1"/>
        <v>43165</v>
      </c>
      <c r="O6285" s="5" t="str">
        <f>IFERROR(__xludf.DUMMYFUNCTION("IF(REGEXMATCH(TRIM(I6285), ""^\d+\s*min""), ""Unclassified"", IF(I6285 = """", ""NR"", I6285))"),"PG")</f>
        <v>PG</v>
      </c>
      <c r="R6285" s="5" t="str">
        <f t="shared" si="2"/>
        <v>Benji: Off The Leash</v>
      </c>
      <c r="S6285" s="5" t="str">
        <f>IFERROR(__xludf.DUMMYFUNCTION("""COMPUTED_VALUE"""),"Shiva Vs Autobots")</f>
        <v>Shiva Vs Autobots</v>
      </c>
      <c r="V6285" s="5"/>
      <c r="Y6285" s="5" t="str">
        <f>IFERROR(__xludf.DUMMYFUNCTION("REGEXEXTRACT(J6285, ""^\d+"")"),"100")</f>
        <v>100</v>
      </c>
      <c r="Z6285" s="5" t="str">
        <f>IFERROR(__xludf.DUMMYFUNCTION("REGEXEXTRACT(J6285, ""[A-Za-z ]+$"")")," min")</f>
        <v> min</v>
      </c>
      <c r="AA6285" s="5" t="str">
        <f>IFERROR(__xludf.DUMMYFUNCTION("IF(REGEXMATCH(Z6285, ""Season""), ""TV Show"", ""Movie"")"),"Movie")</f>
        <v>Movie</v>
      </c>
    </row>
    <row r="6286">
      <c r="A6286" s="1" t="s">
        <v>31532</v>
      </c>
      <c r="B6286" s="1" t="s">
        <v>27</v>
      </c>
      <c r="C6286" s="1" t="s">
        <v>31533</v>
      </c>
      <c r="D6286" s="1" t="s">
        <v>11069</v>
      </c>
      <c r="E6286" s="1" t="s">
        <v>31534</v>
      </c>
      <c r="F6286" s="1" t="s">
        <v>30</v>
      </c>
      <c r="G6286" s="1" t="s">
        <v>24120</v>
      </c>
      <c r="H6286" s="1">
        <v>1978.0</v>
      </c>
      <c r="I6286" s="1" t="s">
        <v>506</v>
      </c>
      <c r="J6286" s="1" t="s">
        <v>4935</v>
      </c>
      <c r="K6286" s="1" t="s">
        <v>80</v>
      </c>
      <c r="L6286" s="1" t="s">
        <v>31535</v>
      </c>
      <c r="M6286" s="2" t="s">
        <v>12</v>
      </c>
      <c r="N6286" s="4">
        <f t="shared" si="1"/>
        <v>43376</v>
      </c>
      <c r="O6286" s="5" t="str">
        <f>IFERROR(__xludf.DUMMYFUNCTION("IF(REGEXMATCH(TRIM(I6286), ""^\d+\s*min""), ""Unclassified"", IF(I6286 = """", ""NR"", I6286))"),"TV-G")</f>
        <v>TV-G</v>
      </c>
      <c r="R6286" s="5" t="str">
        <f t="shared" si="2"/>
        <v>Benji'S Very Own Christmas Story</v>
      </c>
      <c r="S6286" s="5" t="str">
        <f>IFERROR(__xludf.DUMMYFUNCTION("""COMPUTED_VALUE"""),"Shiva: Journey To Plunotaria")</f>
        <v>Shiva: Journey To Plunotaria</v>
      </c>
      <c r="V6286" s="5"/>
      <c r="Y6286" s="5" t="str">
        <f>IFERROR(__xludf.DUMMYFUNCTION("REGEXEXTRACT(J6286, ""^\d+"")"),"25")</f>
        <v>25</v>
      </c>
      <c r="Z6286" s="5" t="str">
        <f>IFERROR(__xludf.DUMMYFUNCTION("REGEXEXTRACT(J6286, ""[A-Za-z ]+$"")")," min")</f>
        <v> min</v>
      </c>
      <c r="AA6286" s="5" t="str">
        <f>IFERROR(__xludf.DUMMYFUNCTION("IF(REGEXMATCH(Z6286, ""Season""), ""TV Show"", ""Movie"")"),"Movie")</f>
        <v>Movie</v>
      </c>
    </row>
    <row r="6287">
      <c r="A6287" s="1" t="s">
        <v>31536</v>
      </c>
      <c r="B6287" s="1" t="s">
        <v>27</v>
      </c>
      <c r="C6287" s="1" t="s">
        <v>31537</v>
      </c>
      <c r="D6287" s="1" t="s">
        <v>5863</v>
      </c>
      <c r="E6287" s="1" t="s">
        <v>31538</v>
      </c>
      <c r="F6287" s="1" t="s">
        <v>188</v>
      </c>
      <c r="G6287" s="1" t="s">
        <v>28526</v>
      </c>
      <c r="H6287" s="1">
        <v>2012.0</v>
      </c>
      <c r="I6287" s="1" t="s">
        <v>97</v>
      </c>
      <c r="J6287" s="1" t="s">
        <v>416</v>
      </c>
      <c r="K6287" s="1" t="s">
        <v>6624</v>
      </c>
      <c r="L6287" s="1" t="s">
        <v>31539</v>
      </c>
      <c r="M6287" s="2" t="s">
        <v>12</v>
      </c>
      <c r="N6287" s="4">
        <f t="shared" si="1"/>
        <v>42804</v>
      </c>
      <c r="O6287" s="5" t="str">
        <f>IFERROR(__xludf.DUMMYFUNCTION("IF(REGEXMATCH(TRIM(I6287), ""^\d+\s*min""), ""Unclassified"", IF(I6287 = """", ""NR"", I6287))"),"TV-14")</f>
        <v>TV-14</v>
      </c>
      <c r="R6287" s="5" t="str">
        <f t="shared" si="2"/>
        <v>Berlin Kaplani</v>
      </c>
      <c r="S6287" s="5" t="str">
        <f>IFERROR(__xludf.DUMMYFUNCTION("""COMPUTED_VALUE"""),"Shiva: The Secret World Of Vedas City")</f>
        <v>Shiva: The Secret World Of Vedas City</v>
      </c>
      <c r="V6287" s="5"/>
      <c r="Y6287" s="5" t="str">
        <f>IFERROR(__xludf.DUMMYFUNCTION("REGEXEXTRACT(J6287, ""^\d+"")"),"99")</f>
        <v>99</v>
      </c>
      <c r="Z6287" s="5" t="str">
        <f>IFERROR(__xludf.DUMMYFUNCTION("REGEXEXTRACT(J6287, ""[A-Za-z ]+$"")")," min")</f>
        <v> min</v>
      </c>
      <c r="AA6287" s="5" t="str">
        <f>IFERROR(__xludf.DUMMYFUNCTION("IF(REGEXMATCH(Z6287, ""Season""), ""TV Show"", ""Movie"")"),"Movie")</f>
        <v>Movie</v>
      </c>
    </row>
    <row r="6288">
      <c r="A6288" s="1" t="s">
        <v>31540</v>
      </c>
      <c r="B6288" s="1" t="s">
        <v>27</v>
      </c>
      <c r="C6288" s="1" t="s">
        <v>31541</v>
      </c>
      <c r="F6288" s="1" t="s">
        <v>2492</v>
      </c>
      <c r="G6288" s="1" t="s">
        <v>31526</v>
      </c>
      <c r="H6288" s="1">
        <v>2019.0</v>
      </c>
      <c r="I6288" s="1" t="s">
        <v>378</v>
      </c>
      <c r="J6288" s="1" t="s">
        <v>985</v>
      </c>
      <c r="K6288" s="1" t="s">
        <v>679</v>
      </c>
      <c r="L6288" s="1" t="s">
        <v>31542</v>
      </c>
      <c r="M6288" s="2" t="s">
        <v>12</v>
      </c>
      <c r="N6288" s="4">
        <f t="shared" si="1"/>
        <v>43624</v>
      </c>
      <c r="O6288" s="5" t="str">
        <f>IFERROR(__xludf.DUMMYFUNCTION("IF(REGEXMATCH(TRIM(I6288), ""^\d+\s*min""), ""Unclassified"", IF(I6288 = """", ""NR"", I6288))"),"R")</f>
        <v>R</v>
      </c>
      <c r="R6288" s="5" t="str">
        <f t="shared" si="2"/>
        <v>Berlin, I Love You</v>
      </c>
      <c r="S6288" s="5" t="str">
        <f>IFERROR(__xludf.DUMMYFUNCTION("""COMPUTED_VALUE"""),"Shonar Pahar")</f>
        <v>Shonar Pahar</v>
      </c>
      <c r="V6288" s="5"/>
      <c r="Y6288" s="5" t="str">
        <f>IFERROR(__xludf.DUMMYFUNCTION("REGEXEXTRACT(J6288, ""^\d+"")"),"120")</f>
        <v>120</v>
      </c>
      <c r="Z6288" s="5" t="str">
        <f>IFERROR(__xludf.DUMMYFUNCTION("REGEXEXTRACT(J6288, ""[A-Za-z ]+$"")")," min")</f>
        <v> min</v>
      </c>
      <c r="AA6288" s="5" t="str">
        <f>IFERROR(__xludf.DUMMYFUNCTION("IF(REGEXMATCH(Z6288, ""Season""), ""TV Show"", ""Movie"")"),"Movie")</f>
        <v>Movie</v>
      </c>
    </row>
    <row r="6289">
      <c r="A6289" s="1" t="s">
        <v>31543</v>
      </c>
      <c r="B6289" s="1" t="s">
        <v>27</v>
      </c>
      <c r="C6289" s="1" t="s">
        <v>31544</v>
      </c>
      <c r="D6289" s="1" t="s">
        <v>22155</v>
      </c>
      <c r="E6289" s="1" t="s">
        <v>31545</v>
      </c>
      <c r="G6289" s="1" t="s">
        <v>20510</v>
      </c>
      <c r="H6289" s="1">
        <v>2014.0</v>
      </c>
      <c r="I6289" s="1" t="s">
        <v>97</v>
      </c>
      <c r="J6289" s="1" t="s">
        <v>357</v>
      </c>
      <c r="K6289" s="1" t="s">
        <v>199</v>
      </c>
      <c r="L6289" s="1" t="s">
        <v>31546</v>
      </c>
      <c r="M6289" s="2" t="s">
        <v>12</v>
      </c>
      <c r="N6289" s="4">
        <f t="shared" si="1"/>
        <v>43622</v>
      </c>
      <c r="O6289" s="5" t="str">
        <f>IFERROR(__xludf.DUMMYFUNCTION("IF(REGEXMATCH(TRIM(I6289), ""^\d+\s*min""), ""Unclassified"", IF(I6289 = """", ""NR"", I6289))"),"TV-14")</f>
        <v>TV-14</v>
      </c>
      <c r="R6289" s="5" t="str">
        <f t="shared" si="2"/>
        <v>Best Neighbors</v>
      </c>
      <c r="S6289" s="5" t="str">
        <f>IFERROR(__xludf.DUMMYFUNCTION("""COMPUTED_VALUE"""),"Shooter")</f>
        <v>Shooter</v>
      </c>
      <c r="V6289" s="5"/>
      <c r="Y6289" s="5" t="str">
        <f>IFERROR(__xludf.DUMMYFUNCTION("REGEXEXTRACT(J6289, ""^\d+"")"),"98")</f>
        <v>98</v>
      </c>
      <c r="Z6289" s="5" t="str">
        <f>IFERROR(__xludf.DUMMYFUNCTION("REGEXEXTRACT(J6289, ""[A-Za-z ]+$"")")," min")</f>
        <v> min</v>
      </c>
      <c r="AA6289" s="5" t="str">
        <f>IFERROR(__xludf.DUMMYFUNCTION("IF(REGEXMATCH(Z6289, ""Season""), ""TV Show"", ""Movie"")"),"Movie")</f>
        <v>Movie</v>
      </c>
    </row>
    <row r="6290">
      <c r="A6290" s="1" t="s">
        <v>31547</v>
      </c>
      <c r="B6290" s="1" t="s">
        <v>27</v>
      </c>
      <c r="C6290" s="1" t="s">
        <v>31548</v>
      </c>
      <c r="D6290" s="1" t="s">
        <v>22270</v>
      </c>
      <c r="E6290" s="1" t="s">
        <v>31549</v>
      </c>
      <c r="F6290" s="1" t="s">
        <v>30</v>
      </c>
      <c r="G6290" s="1" t="s">
        <v>27988</v>
      </c>
      <c r="H6290" s="1">
        <v>2017.0</v>
      </c>
      <c r="I6290" s="1" t="s">
        <v>136</v>
      </c>
      <c r="J6290" s="1" t="s">
        <v>106</v>
      </c>
      <c r="K6290" s="1" t="s">
        <v>34</v>
      </c>
      <c r="L6290" s="1" t="s">
        <v>31550</v>
      </c>
      <c r="M6290" s="2" t="s">
        <v>12</v>
      </c>
      <c r="N6290" s="4">
        <f t="shared" si="1"/>
        <v>42887</v>
      </c>
      <c r="O6290" s="5" t="str">
        <f>IFERROR(__xludf.DUMMYFUNCTION("IF(REGEXMATCH(TRIM(I6290), ""^\d+\s*min""), ""Unclassified"", IF(I6290 = """", ""NR"", I6290))"),"TV-PG")</f>
        <v>TV-PG</v>
      </c>
      <c r="R6290" s="5" t="str">
        <f t="shared" si="2"/>
        <v>Betting On Zero</v>
      </c>
      <c r="S6290" s="5" t="str">
        <f>IFERROR(__xludf.DUMMYFUNCTION("""COMPUTED_VALUE"""),"Shootout At Lokhandwala")</f>
        <v>Shootout At Lokhandwala</v>
      </c>
      <c r="V6290" s="5"/>
      <c r="Y6290" s="5" t="str">
        <f>IFERROR(__xludf.DUMMYFUNCTION("REGEXEXTRACT(J6290, ""^\d+"")"),"104")</f>
        <v>104</v>
      </c>
      <c r="Z6290" s="5" t="str">
        <f>IFERROR(__xludf.DUMMYFUNCTION("REGEXEXTRACT(J6290, ""[A-Za-z ]+$"")")," min")</f>
        <v> min</v>
      </c>
      <c r="AA6290" s="5" t="str">
        <f>IFERROR(__xludf.DUMMYFUNCTION("IF(REGEXMATCH(Z6290, ""Season""), ""TV Show"", ""Movie"")"),"Movie")</f>
        <v>Movie</v>
      </c>
    </row>
    <row r="6291">
      <c r="A6291" s="1" t="s">
        <v>31551</v>
      </c>
      <c r="B6291" s="1" t="s">
        <v>27</v>
      </c>
      <c r="C6291" s="1" t="s">
        <v>31552</v>
      </c>
      <c r="D6291" s="1" t="s">
        <v>6447</v>
      </c>
      <c r="E6291" s="1" t="s">
        <v>31553</v>
      </c>
      <c r="F6291" s="1" t="s">
        <v>63</v>
      </c>
      <c r="G6291" s="1" t="s">
        <v>19880</v>
      </c>
      <c r="H6291" s="1">
        <v>2005.0</v>
      </c>
      <c r="I6291" s="1" t="s">
        <v>136</v>
      </c>
      <c r="J6291" s="1" t="s">
        <v>5833</v>
      </c>
      <c r="K6291" s="1" t="s">
        <v>679</v>
      </c>
      <c r="L6291" s="1" t="s">
        <v>31554</v>
      </c>
      <c r="M6291" s="2" t="s">
        <v>12</v>
      </c>
      <c r="N6291" s="4">
        <f t="shared" si="1"/>
        <v>43667</v>
      </c>
      <c r="O6291" s="5" t="str">
        <f>IFERROR(__xludf.DUMMYFUNCTION("IF(REGEXMATCH(TRIM(I6291), ""^\d+\s*min""), ""Unclassified"", IF(I6291 = """", ""NR"", I6291))"),"TV-PG")</f>
        <v>TV-PG</v>
      </c>
      <c r="R6291" s="5" t="str">
        <f t="shared" si="2"/>
        <v>Bewafaa</v>
      </c>
      <c r="S6291" s="5" t="str">
        <f>IFERROR(__xludf.DUMMYFUNCTION("""COMPUTED_VALUE"""),"Shopkins")</f>
        <v>Shopkins</v>
      </c>
      <c r="V6291" s="5"/>
      <c r="Y6291" s="5" t="str">
        <f>IFERROR(__xludf.DUMMYFUNCTION("REGEXEXTRACT(J6291, ""^\d+"")"),"149")</f>
        <v>149</v>
      </c>
      <c r="Z6291" s="5" t="str">
        <f>IFERROR(__xludf.DUMMYFUNCTION("REGEXEXTRACT(J6291, ""[A-Za-z ]+$"")")," min")</f>
        <v> min</v>
      </c>
      <c r="AA6291" s="5" t="str">
        <f>IFERROR(__xludf.DUMMYFUNCTION("IF(REGEXMATCH(Z6291, ""Season""), ""TV Show"", ""Movie"")"),"Movie")</f>
        <v>Movie</v>
      </c>
    </row>
    <row r="6292">
      <c r="A6292" s="1" t="s">
        <v>31555</v>
      </c>
      <c r="B6292" s="1" t="s">
        <v>27</v>
      </c>
      <c r="C6292" s="1" t="s">
        <v>31556</v>
      </c>
      <c r="D6292" s="1" t="s">
        <v>12066</v>
      </c>
      <c r="E6292" s="1" t="s">
        <v>31557</v>
      </c>
      <c r="F6292" s="1" t="s">
        <v>3309</v>
      </c>
      <c r="G6292" s="1" t="s">
        <v>20298</v>
      </c>
      <c r="H6292" s="1">
        <v>2010.0</v>
      </c>
      <c r="I6292" s="1" t="s">
        <v>97</v>
      </c>
      <c r="J6292" s="1" t="s">
        <v>1243</v>
      </c>
      <c r="K6292" s="1" t="s">
        <v>215</v>
      </c>
      <c r="L6292" s="1" t="s">
        <v>31558</v>
      </c>
      <c r="M6292" s="2" t="s">
        <v>12</v>
      </c>
      <c r="N6292" s="4">
        <f t="shared" si="1"/>
        <v>43636</v>
      </c>
      <c r="O6292" s="5" t="str">
        <f>IFERROR(__xludf.DUMMYFUNCTION("IF(REGEXMATCH(TRIM(I6292), ""^\d+\s*min""), ""Unclassified"", IF(I6292 = """", ""NR"", I6292))"),"TV-14")</f>
        <v>TV-14</v>
      </c>
      <c r="R6292" s="5" t="str">
        <f t="shared" si="2"/>
        <v>Bewildered Bolbol</v>
      </c>
      <c r="S6292" s="5" t="str">
        <f>IFERROR(__xludf.DUMMYFUNCTION("""COMPUTED_VALUE"""),"Shopkins: Chef Club")</f>
        <v>Shopkins: Chef Club</v>
      </c>
      <c r="V6292" s="5"/>
      <c r="Y6292" s="5" t="str">
        <f>IFERROR(__xludf.DUMMYFUNCTION("REGEXEXTRACT(J6292, ""^\d+"")"),"112")</f>
        <v>112</v>
      </c>
      <c r="Z6292" s="5" t="str">
        <f>IFERROR(__xludf.DUMMYFUNCTION("REGEXEXTRACT(J6292, ""[A-Za-z ]+$"")")," min")</f>
        <v> min</v>
      </c>
      <c r="AA6292" s="5" t="str">
        <f>IFERROR(__xludf.DUMMYFUNCTION("IF(REGEXMATCH(Z6292, ""Season""), ""TV Show"", ""Movie"")"),"Movie")</f>
        <v>Movie</v>
      </c>
    </row>
    <row r="6293">
      <c r="A6293" s="1" t="s">
        <v>31559</v>
      </c>
      <c r="B6293" s="1" t="s">
        <v>37</v>
      </c>
      <c r="C6293" s="1" t="s">
        <v>31560</v>
      </c>
      <c r="E6293" s="1" t="s">
        <v>31561</v>
      </c>
      <c r="F6293" s="1" t="s">
        <v>415</v>
      </c>
      <c r="G6293" s="1" t="s">
        <v>26596</v>
      </c>
      <c r="H6293" s="1">
        <v>2009.0</v>
      </c>
      <c r="I6293" s="1" t="s">
        <v>289</v>
      </c>
      <c r="J6293" s="1" t="s">
        <v>51</v>
      </c>
      <c r="K6293" s="1" t="s">
        <v>623</v>
      </c>
      <c r="L6293" s="1" t="s">
        <v>31562</v>
      </c>
      <c r="M6293" s="2" t="s">
        <v>12</v>
      </c>
      <c r="N6293" s="4">
        <f t="shared" si="1"/>
        <v>43084</v>
      </c>
      <c r="O6293" s="5" t="str">
        <f>IFERROR(__xludf.DUMMYFUNCTION("IF(REGEXMATCH(TRIM(I6293), ""^\d+\s*min""), ""Unclassified"", IF(I6293 = """", ""NR"", I6293))"),"TV-Y7")</f>
        <v>TV-Y7</v>
      </c>
      <c r="R6293" s="5" t="str">
        <f t="shared" si="2"/>
        <v>Beyblade: Metal Fusion</v>
      </c>
      <c r="S6293" s="5" t="str">
        <f>IFERROR(__xludf.DUMMYFUNCTION("""COMPUTED_VALUE"""),"Shopkins: Wild")</f>
        <v>Shopkins: Wild</v>
      </c>
      <c r="V6293" s="5"/>
      <c r="Y6293" s="5" t="str">
        <f>IFERROR(__xludf.DUMMYFUNCTION("REGEXEXTRACT(J6293, ""^\d+"")"),"1")</f>
        <v>1</v>
      </c>
      <c r="Z6293" s="5" t="str">
        <f>IFERROR(__xludf.DUMMYFUNCTION("REGEXEXTRACT(J6293, ""[A-Za-z ]+$"")")," Season")</f>
        <v> Season</v>
      </c>
      <c r="AA6293" s="5" t="str">
        <f>IFERROR(__xludf.DUMMYFUNCTION("IF(REGEXMATCH(Z6293, ""Season""), ""TV Show"", ""Movie"")"),"TV Show")</f>
        <v>TV Show</v>
      </c>
    </row>
    <row r="6294">
      <c r="A6294" s="1" t="s">
        <v>31563</v>
      </c>
      <c r="B6294" s="1" t="s">
        <v>27</v>
      </c>
      <c r="C6294" s="1" t="s">
        <v>31564</v>
      </c>
      <c r="D6294" s="1" t="s">
        <v>22015</v>
      </c>
      <c r="E6294" s="1" t="s">
        <v>31565</v>
      </c>
      <c r="F6294" s="1" t="s">
        <v>4497</v>
      </c>
      <c r="G6294" s="1" t="s">
        <v>28377</v>
      </c>
      <c r="H6294" s="1">
        <v>2013.0</v>
      </c>
      <c r="I6294" s="1" t="s">
        <v>97</v>
      </c>
      <c r="J6294" s="1" t="s">
        <v>357</v>
      </c>
      <c r="K6294" s="1" t="s">
        <v>520</v>
      </c>
      <c r="L6294" s="1" t="s">
        <v>31566</v>
      </c>
      <c r="M6294" s="2" t="s">
        <v>12</v>
      </c>
      <c r="N6294" s="4">
        <f t="shared" si="1"/>
        <v>42826</v>
      </c>
      <c r="O6294" s="5" t="str">
        <f>IFERROR(__xludf.DUMMYFUNCTION("IF(REGEXMATCH(TRIM(I6294), ""^\d+\s*min""), ""Unclassified"", IF(I6294 = """", ""NR"", I6294))"),"TV-14")</f>
        <v>TV-14</v>
      </c>
      <c r="R6294" s="5" t="str">
        <f t="shared" si="2"/>
        <v>Beyond All Boundaries</v>
      </c>
      <c r="S6294" s="5" t="str">
        <f>IFERROR(__xludf.DUMMYFUNCTION("""COMPUTED_VALUE"""),"Shopkins: World Vacation")</f>
        <v>Shopkins: World Vacation</v>
      </c>
      <c r="V6294" s="5"/>
      <c r="Y6294" s="5" t="str">
        <f>IFERROR(__xludf.DUMMYFUNCTION("REGEXEXTRACT(J6294, ""^\d+"")"),"98")</f>
        <v>98</v>
      </c>
      <c r="Z6294" s="5" t="str">
        <f>IFERROR(__xludf.DUMMYFUNCTION("REGEXEXTRACT(J6294, ""[A-Za-z ]+$"")")," min")</f>
        <v> min</v>
      </c>
      <c r="AA6294" s="5" t="str">
        <f>IFERROR(__xludf.DUMMYFUNCTION("IF(REGEXMATCH(Z6294, ""Season""), ""TV Show"", ""Movie"")"),"Movie")</f>
        <v>Movie</v>
      </c>
    </row>
    <row r="6295">
      <c r="A6295" s="1" t="s">
        <v>31567</v>
      </c>
      <c r="B6295" s="1" t="s">
        <v>27</v>
      </c>
      <c r="C6295" s="1" t="s">
        <v>31568</v>
      </c>
      <c r="D6295" s="1" t="s">
        <v>14340</v>
      </c>
      <c r="E6295" s="1" t="s">
        <v>31569</v>
      </c>
      <c r="F6295" s="1" t="s">
        <v>31570</v>
      </c>
      <c r="G6295" s="1" t="s">
        <v>24813</v>
      </c>
      <c r="H6295" s="1">
        <v>2018.0</v>
      </c>
      <c r="I6295" s="1" t="s">
        <v>97</v>
      </c>
      <c r="J6295" s="1" t="s">
        <v>985</v>
      </c>
      <c r="K6295" s="1" t="s">
        <v>89</v>
      </c>
      <c r="L6295" s="1" t="s">
        <v>31571</v>
      </c>
      <c r="M6295" s="2" t="s">
        <v>12</v>
      </c>
      <c r="N6295" s="4">
        <f t="shared" si="1"/>
        <v>43322</v>
      </c>
      <c r="O6295" s="5" t="str">
        <f>IFERROR(__xludf.DUMMYFUNCTION("IF(REGEXMATCH(TRIM(I6295), ""^\d+\s*min""), ""Unclassified"", IF(I6295 = """", ""NR"", I6295))"),"TV-14")</f>
        <v>TV-14</v>
      </c>
      <c r="R6295" s="5" t="str">
        <f t="shared" si="2"/>
        <v>Beyond The Clouds</v>
      </c>
      <c r="S6295" s="5" t="str">
        <f>IFERROR(__xludf.DUMMYFUNCTION("""COMPUTED_VALUE"""),"Shor In The City")</f>
        <v>Shor In The City</v>
      </c>
      <c r="V6295" s="5"/>
      <c r="Y6295" s="5" t="str">
        <f>IFERROR(__xludf.DUMMYFUNCTION("REGEXEXTRACT(J6295, ""^\d+"")"),"120")</f>
        <v>120</v>
      </c>
      <c r="Z6295" s="5" t="str">
        <f>IFERROR(__xludf.DUMMYFUNCTION("REGEXEXTRACT(J6295, ""[A-Za-z ]+$"")")," min")</f>
        <v> min</v>
      </c>
      <c r="AA6295" s="5" t="str">
        <f>IFERROR(__xludf.DUMMYFUNCTION("IF(REGEXMATCH(Z6295, ""Season""), ""TV Show"", ""Movie"")"),"Movie")</f>
        <v>Movie</v>
      </c>
    </row>
    <row r="6296">
      <c r="A6296" s="1" t="s">
        <v>31572</v>
      </c>
      <c r="B6296" s="1" t="s">
        <v>37</v>
      </c>
      <c r="C6296" s="1" t="s">
        <v>31573</v>
      </c>
      <c r="E6296" s="1" t="s">
        <v>31574</v>
      </c>
      <c r="F6296" s="1" t="s">
        <v>63</v>
      </c>
      <c r="G6296" s="1" t="s">
        <v>25842</v>
      </c>
      <c r="H6296" s="1">
        <v>2013.0</v>
      </c>
      <c r="I6296" s="1" t="s">
        <v>136</v>
      </c>
      <c r="J6296" s="1" t="s">
        <v>51</v>
      </c>
      <c r="K6296" s="1" t="s">
        <v>1294</v>
      </c>
      <c r="L6296" s="1" t="s">
        <v>31575</v>
      </c>
      <c r="M6296" s="2" t="s">
        <v>12</v>
      </c>
      <c r="N6296" s="4">
        <f t="shared" si="1"/>
        <v>43191</v>
      </c>
      <c r="O6296" s="5" t="str">
        <f>IFERROR(__xludf.DUMMYFUNCTION("IF(REGEXMATCH(TRIM(I6296), ""^\d+\s*min""), ""Unclassified"", IF(I6296 = """", ""NR"", I6296))"),"TV-PG")</f>
        <v>TV-PG</v>
      </c>
      <c r="R6296" s="5" t="str">
        <f t="shared" si="2"/>
        <v>Bh Se Bhade</v>
      </c>
      <c r="S6296" s="5" t="str">
        <f>IFERROR(__xludf.DUMMYFUNCTION("""COMPUTED_VALUE"""),"Shorgul")</f>
        <v>Shorgul</v>
      </c>
      <c r="V6296" s="5"/>
      <c r="Y6296" s="5" t="str">
        <f>IFERROR(__xludf.DUMMYFUNCTION("REGEXEXTRACT(J6296, ""^\d+"")"),"1")</f>
        <v>1</v>
      </c>
      <c r="Z6296" s="5" t="str">
        <f>IFERROR(__xludf.DUMMYFUNCTION("REGEXEXTRACT(J6296, ""[A-Za-z ]+$"")")," Season")</f>
        <v> Season</v>
      </c>
      <c r="AA6296" s="5" t="str">
        <f>IFERROR(__xludf.DUMMYFUNCTION("IF(REGEXMATCH(Z6296, ""Season""), ""TV Show"", ""Movie"")"),"TV Show")</f>
        <v>TV Show</v>
      </c>
    </row>
    <row r="6297">
      <c r="A6297" s="1" t="s">
        <v>31576</v>
      </c>
      <c r="B6297" s="1" t="s">
        <v>37</v>
      </c>
      <c r="C6297" s="1" t="s">
        <v>31577</v>
      </c>
      <c r="E6297" s="1" t="s">
        <v>31578</v>
      </c>
      <c r="F6297" s="1" t="s">
        <v>63</v>
      </c>
      <c r="G6297" s="1" t="s">
        <v>28307</v>
      </c>
      <c r="H6297" s="1">
        <v>2015.0</v>
      </c>
      <c r="I6297" s="1" t="s">
        <v>97</v>
      </c>
      <c r="J6297" s="1" t="s">
        <v>51</v>
      </c>
      <c r="K6297" s="1" t="s">
        <v>1907</v>
      </c>
      <c r="L6297" s="1" t="s">
        <v>31579</v>
      </c>
      <c r="M6297" s="2" t="s">
        <v>12</v>
      </c>
      <c r="N6297" s="4">
        <f t="shared" si="1"/>
        <v>42840</v>
      </c>
      <c r="O6297" s="5" t="str">
        <f>IFERROR(__xludf.DUMMYFUNCTION("IF(REGEXMATCH(TRIM(I6297), ""^\d+\s*min""), ""Unclassified"", IF(I6297 = """", ""NR"", I6297))"),"TV-14")</f>
        <v>TV-14</v>
      </c>
      <c r="R6297" s="5" t="str">
        <f t="shared" si="2"/>
        <v>Bhaage Re Mann</v>
      </c>
      <c r="S6297" s="5" t="str">
        <f>IFERROR(__xludf.DUMMYFUNCTION("""COMPUTED_VALUE"""),"Short Term 12")</f>
        <v>Short Term 12</v>
      </c>
      <c r="V6297" s="5"/>
      <c r="Y6297" s="5" t="str">
        <f>IFERROR(__xludf.DUMMYFUNCTION("REGEXEXTRACT(J6297, ""^\d+"")"),"1")</f>
        <v>1</v>
      </c>
      <c r="Z6297" s="5" t="str">
        <f>IFERROR(__xludf.DUMMYFUNCTION("REGEXEXTRACT(J6297, ""[A-Za-z ]+$"")")," Season")</f>
        <v> Season</v>
      </c>
      <c r="AA6297" s="5" t="str">
        <f>IFERROR(__xludf.DUMMYFUNCTION("IF(REGEXMATCH(Z6297, ""Season""), ""TV Show"", ""Movie"")"),"TV Show")</f>
        <v>TV Show</v>
      </c>
    </row>
    <row r="6298">
      <c r="A6298" s="1" t="s">
        <v>31580</v>
      </c>
      <c r="B6298" s="1" t="s">
        <v>27</v>
      </c>
      <c r="C6298" s="1" t="s">
        <v>31581</v>
      </c>
      <c r="D6298" s="1" t="s">
        <v>18415</v>
      </c>
      <c r="E6298" s="1" t="s">
        <v>31582</v>
      </c>
      <c r="F6298" s="1" t="s">
        <v>63</v>
      </c>
      <c r="G6298" s="1" t="s">
        <v>17078</v>
      </c>
      <c r="H6298" s="1">
        <v>2006.0</v>
      </c>
      <c r="I6298" s="1" t="s">
        <v>97</v>
      </c>
      <c r="J6298" s="1" t="s">
        <v>7280</v>
      </c>
      <c r="K6298" s="1" t="s">
        <v>215</v>
      </c>
      <c r="L6298" s="1" t="s">
        <v>31583</v>
      </c>
      <c r="M6298" s="2" t="s">
        <v>12</v>
      </c>
      <c r="N6298" s="4">
        <f t="shared" si="1"/>
        <v>43830</v>
      </c>
      <c r="O6298" s="5" t="str">
        <f>IFERROR(__xludf.DUMMYFUNCTION("IF(REGEXMATCH(TRIM(I6298), ""^\d+\s*min""), ""Unclassified"", IF(I6298 = """", ""NR"", I6298))"),"TV-14")</f>
        <v>TV-14</v>
      </c>
      <c r="R6298" s="5" t="str">
        <f t="shared" si="2"/>
        <v>Bhagam Bhag</v>
      </c>
      <c r="S6298" s="5" t="str">
        <f>IFERROR(__xludf.DUMMYFUNCTION("""COMPUTED_VALUE"""),"Shortcut Safari")</f>
        <v>Shortcut Safari</v>
      </c>
      <c r="V6298" s="5"/>
      <c r="Y6298" s="5" t="str">
        <f>IFERROR(__xludf.DUMMYFUNCTION("REGEXEXTRACT(J6298, ""^\d+"")"),"151")</f>
        <v>151</v>
      </c>
      <c r="Z6298" s="5" t="str">
        <f>IFERROR(__xludf.DUMMYFUNCTION("REGEXEXTRACT(J6298, ""[A-Za-z ]+$"")")," min")</f>
        <v> min</v>
      </c>
      <c r="AA6298" s="5" t="str">
        <f>IFERROR(__xludf.DUMMYFUNCTION("IF(REGEXMATCH(Z6298, ""Season""), ""TV Show"", ""Movie"")"),"Movie")</f>
        <v>Movie</v>
      </c>
    </row>
    <row r="6299">
      <c r="A6299" s="1" t="s">
        <v>31584</v>
      </c>
      <c r="B6299" s="1" t="s">
        <v>27</v>
      </c>
      <c r="C6299" s="1" t="s">
        <v>31585</v>
      </c>
      <c r="D6299" s="1" t="s">
        <v>2621</v>
      </c>
      <c r="G6299" s="7">
        <v>43595.0</v>
      </c>
      <c r="H6299" s="1">
        <v>2018.0</v>
      </c>
      <c r="I6299" s="1" t="s">
        <v>206</v>
      </c>
      <c r="J6299" s="1" t="s">
        <v>919</v>
      </c>
      <c r="K6299" s="1" t="s">
        <v>80</v>
      </c>
      <c r="L6299" s="1" t="s">
        <v>31586</v>
      </c>
      <c r="M6299" s="2" t="s">
        <v>12</v>
      </c>
      <c r="N6299" s="4">
        <f t="shared" si="1"/>
        <v>43595</v>
      </c>
      <c r="O6299" s="5" t="str">
        <f>IFERROR(__xludf.DUMMYFUNCTION("IF(REGEXMATCH(TRIM(I6299), ""^\d+\s*min""), ""Unclassified"", IF(I6299 = """", ""NR"", I6299))"),"TV-Y")</f>
        <v>TV-Y</v>
      </c>
      <c r="R6299" s="5" t="str">
        <f t="shared" si="2"/>
        <v>Bheemayan</v>
      </c>
      <c r="S6299" s="5" t="str">
        <f>IFERROR(__xludf.DUMMYFUNCTION("""COMPUTED_VALUE"""),"Shorts")</f>
        <v>Shorts</v>
      </c>
      <c r="V6299" s="5"/>
      <c r="Y6299" s="5" t="str">
        <f>IFERROR(__xludf.DUMMYFUNCTION("REGEXEXTRACT(J6299, ""^\d+"")"),"63")</f>
        <v>63</v>
      </c>
      <c r="Z6299" s="5" t="str">
        <f>IFERROR(__xludf.DUMMYFUNCTION("REGEXEXTRACT(J6299, ""[A-Za-z ]+$"")")," min")</f>
        <v> min</v>
      </c>
      <c r="AA6299" s="5" t="str">
        <f>IFERROR(__xludf.DUMMYFUNCTION("IF(REGEXMATCH(Z6299, ""Season""), ""TV Show"", ""Movie"")"),"Movie")</f>
        <v>Movie</v>
      </c>
    </row>
    <row r="6300">
      <c r="A6300" s="1" t="s">
        <v>31587</v>
      </c>
      <c r="B6300" s="1" t="s">
        <v>27</v>
      </c>
      <c r="C6300" s="1" t="s">
        <v>31588</v>
      </c>
      <c r="D6300" s="1" t="s">
        <v>18415</v>
      </c>
      <c r="E6300" s="1" t="s">
        <v>31589</v>
      </c>
      <c r="F6300" s="1" t="s">
        <v>63</v>
      </c>
      <c r="G6300" s="1" t="s">
        <v>30658</v>
      </c>
      <c r="H6300" s="1">
        <v>2007.0</v>
      </c>
      <c r="I6300" s="1" t="s">
        <v>97</v>
      </c>
      <c r="J6300" s="1" t="s">
        <v>2216</v>
      </c>
      <c r="K6300" s="1" t="s">
        <v>298</v>
      </c>
      <c r="L6300" s="1" t="s">
        <v>31590</v>
      </c>
      <c r="M6300" s="2" t="s">
        <v>12</v>
      </c>
      <c r="N6300" s="4">
        <f t="shared" si="1"/>
        <v>43030</v>
      </c>
      <c r="O6300" s="5" t="str">
        <f>IFERROR(__xludf.DUMMYFUNCTION("IF(REGEXMATCH(TRIM(I6300), ""^\d+\s*min""), ""Unclassified"", IF(I6300 = """", ""NR"", I6300))"),"TV-14")</f>
        <v>TV-14</v>
      </c>
      <c r="R6300" s="5" t="str">
        <f t="shared" si="2"/>
        <v>Bhool Bhulaiyaa</v>
      </c>
      <c r="S6300" s="5" t="str">
        <f>IFERROR(__xludf.DUMMYFUNCTION("""COMPUTED_VALUE"""),"Shot Caller")</f>
        <v>Shot Caller</v>
      </c>
      <c r="V6300" s="5"/>
      <c r="Y6300" s="5" t="str">
        <f>IFERROR(__xludf.DUMMYFUNCTION("REGEXEXTRACT(J6300, ""^\d+"")"),"148")</f>
        <v>148</v>
      </c>
      <c r="Z6300" s="5" t="str">
        <f>IFERROR(__xludf.DUMMYFUNCTION("REGEXEXTRACT(J6300, ""[A-Za-z ]+$"")")," min")</f>
        <v> min</v>
      </c>
      <c r="AA6300" s="5" t="str">
        <f>IFERROR(__xludf.DUMMYFUNCTION("IF(REGEXMATCH(Z6300, ""Season""), ""TV Show"", ""Movie"")"),"Movie")</f>
        <v>Movie</v>
      </c>
    </row>
    <row r="6301">
      <c r="A6301" s="1" t="s">
        <v>31591</v>
      </c>
      <c r="B6301" s="1" t="s">
        <v>27</v>
      </c>
      <c r="C6301" s="1" t="s">
        <v>31592</v>
      </c>
      <c r="D6301" s="1" t="s">
        <v>2479</v>
      </c>
      <c r="E6301" s="1" t="s">
        <v>31593</v>
      </c>
      <c r="F6301" s="1" t="s">
        <v>63</v>
      </c>
      <c r="G6301" s="1" t="s">
        <v>17078</v>
      </c>
      <c r="H6301" s="1">
        <v>2003.0</v>
      </c>
      <c r="I6301" s="1" t="s">
        <v>42</v>
      </c>
      <c r="J6301" s="1" t="s">
        <v>835</v>
      </c>
      <c r="K6301" s="1" t="s">
        <v>1592</v>
      </c>
      <c r="L6301" s="1" t="s">
        <v>31594</v>
      </c>
      <c r="M6301" s="2" t="s">
        <v>12</v>
      </c>
      <c r="N6301" s="4">
        <f t="shared" si="1"/>
        <v>43830</v>
      </c>
      <c r="O6301" s="5" t="str">
        <f>IFERROR(__xludf.DUMMYFUNCTION("IF(REGEXMATCH(TRIM(I6301), ""^\d+\s*min""), ""Unclassified"", IF(I6301 = """", ""NR"", I6301))"),"TV-MA")</f>
        <v>TV-MA</v>
      </c>
      <c r="R6301" s="5" t="str">
        <f t="shared" si="2"/>
        <v>Bhoot</v>
      </c>
      <c r="S6301" s="5" t="str">
        <f>IFERROR(__xludf.DUMMYFUNCTION("""COMPUTED_VALUE"""),"Shot In The Dark")</f>
        <v>Shot In The Dark</v>
      </c>
      <c r="V6301" s="5"/>
      <c r="Y6301" s="5" t="str">
        <f>IFERROR(__xludf.DUMMYFUNCTION("REGEXEXTRACT(J6301, ""^\d+"")"),"114")</f>
        <v>114</v>
      </c>
      <c r="Z6301" s="5" t="str">
        <f>IFERROR(__xludf.DUMMYFUNCTION("REGEXEXTRACT(J6301, ""[A-Za-z ]+$"")")," min")</f>
        <v> min</v>
      </c>
      <c r="AA6301" s="5" t="str">
        <f>IFERROR(__xludf.DUMMYFUNCTION("IF(REGEXMATCH(Z6301, ""Season""), ""TV Show"", ""Movie"")"),"Movie")</f>
        <v>Movie</v>
      </c>
    </row>
    <row r="6302">
      <c r="A6302" s="1" t="s">
        <v>31595</v>
      </c>
      <c r="B6302" s="1" t="s">
        <v>27</v>
      </c>
      <c r="C6302" s="1" t="s">
        <v>31596</v>
      </c>
      <c r="D6302" s="1" t="s">
        <v>10227</v>
      </c>
      <c r="E6302" s="1" t="s">
        <v>31597</v>
      </c>
      <c r="F6302" s="1" t="s">
        <v>63</v>
      </c>
      <c r="G6302" s="1" t="s">
        <v>26674</v>
      </c>
      <c r="H6302" s="1">
        <v>2017.0</v>
      </c>
      <c r="I6302" s="1" t="s">
        <v>97</v>
      </c>
      <c r="J6302" s="1" t="s">
        <v>2566</v>
      </c>
      <c r="K6302" s="1" t="s">
        <v>89</v>
      </c>
      <c r="L6302" s="1" t="s">
        <v>31598</v>
      </c>
      <c r="M6302" s="2" t="s">
        <v>12</v>
      </c>
      <c r="N6302" s="4">
        <f t="shared" si="1"/>
        <v>43070</v>
      </c>
      <c r="O6302" s="5" t="str">
        <f>IFERROR(__xludf.DUMMYFUNCTION("IF(REGEXMATCH(TRIM(I6302), ""^\d+\s*min""), ""Unclassified"", IF(I6302 = """", ""NR"", I6302))"),"TV-14")</f>
        <v>TV-14</v>
      </c>
      <c r="R6302" s="5" t="str">
        <f t="shared" si="2"/>
        <v>Bhouri</v>
      </c>
      <c r="S6302" s="5" t="str">
        <f>IFERROR(__xludf.DUMMYFUNCTION("""COMPUTED_VALUE"""),"Shot! The Psycho-Spiritual Mantra Of Rock")</f>
        <v>Shot! The Psycho-Spiritual Mantra Of Rock</v>
      </c>
      <c r="V6302" s="5"/>
      <c r="Y6302" s="5" t="str">
        <f>IFERROR(__xludf.DUMMYFUNCTION("REGEXEXTRACT(J6302, ""^\d+"")"),"123")</f>
        <v>123</v>
      </c>
      <c r="Z6302" s="5" t="str">
        <f>IFERROR(__xludf.DUMMYFUNCTION("REGEXEXTRACT(J6302, ""[A-Za-z ]+$"")")," min")</f>
        <v> min</v>
      </c>
      <c r="AA6302" s="5" t="str">
        <f>IFERROR(__xludf.DUMMYFUNCTION("IF(REGEXMATCH(Z6302, ""Season""), ""TV Show"", ""Movie"")"),"Movie")</f>
        <v>Movie</v>
      </c>
    </row>
    <row r="6303">
      <c r="A6303" s="1" t="s">
        <v>31599</v>
      </c>
      <c r="B6303" s="1" t="s">
        <v>37</v>
      </c>
      <c r="C6303" s="1" t="s">
        <v>31600</v>
      </c>
      <c r="E6303" s="1" t="s">
        <v>31601</v>
      </c>
      <c r="F6303" s="1" t="s">
        <v>16759</v>
      </c>
      <c r="G6303" s="1" t="s">
        <v>31602</v>
      </c>
      <c r="H6303" s="1">
        <v>1997.0</v>
      </c>
      <c r="I6303" s="1" t="s">
        <v>506</v>
      </c>
      <c r="J6303" s="1" t="s">
        <v>43</v>
      </c>
      <c r="K6303" s="1" t="s">
        <v>314</v>
      </c>
      <c r="L6303" s="1" t="s">
        <v>31603</v>
      </c>
      <c r="M6303" s="2" t="s">
        <v>12</v>
      </c>
      <c r="N6303" s="4">
        <f t="shared" si="1"/>
        <v>42370</v>
      </c>
      <c r="O6303" s="5" t="str">
        <f>IFERROR(__xludf.DUMMYFUNCTION("IF(REGEXMATCH(TRIM(I6303), ""^\d+\s*min""), ""Unclassified"", IF(I6303 = """", ""NR"", I6303))"),"TV-G")</f>
        <v>TV-G</v>
      </c>
      <c r="R6303" s="5" t="str">
        <f t="shared" si="2"/>
        <v>Big Bad Beetleborgs</v>
      </c>
      <c r="S6303" s="5" t="str">
        <f>IFERROR(__xludf.DUMMYFUNCTION("""COMPUTED_VALUE"""),"Show Dogs")</f>
        <v>Show Dogs</v>
      </c>
      <c r="V6303" s="5"/>
      <c r="Y6303" s="5" t="str">
        <f>IFERROR(__xludf.DUMMYFUNCTION("REGEXEXTRACT(J6303, ""^\d+"")"),"2")</f>
        <v>2</v>
      </c>
      <c r="Z6303" s="5" t="str">
        <f>IFERROR(__xludf.DUMMYFUNCTION("REGEXEXTRACT(J6303, ""[A-Za-z ]+$"")")," Seasons")</f>
        <v> Seasons</v>
      </c>
      <c r="AA6303" s="5" t="str">
        <f>IFERROR(__xludf.DUMMYFUNCTION("IF(REGEXMATCH(Z6303, ""Season""), ""TV Show"", ""Movie"")"),"TV Show")</f>
        <v>TV Show</v>
      </c>
    </row>
    <row r="6304">
      <c r="A6304" s="1" t="s">
        <v>31604</v>
      </c>
      <c r="B6304" s="1" t="s">
        <v>27</v>
      </c>
      <c r="C6304" s="1" t="s">
        <v>31605</v>
      </c>
      <c r="D6304" s="1" t="s">
        <v>11193</v>
      </c>
      <c r="E6304" s="1" t="s">
        <v>31606</v>
      </c>
      <c r="F6304" s="1" t="s">
        <v>30</v>
      </c>
      <c r="G6304" s="1" t="s">
        <v>26163</v>
      </c>
      <c r="H6304" s="1">
        <v>2017.0</v>
      </c>
      <c r="I6304" s="1" t="s">
        <v>42</v>
      </c>
      <c r="J6304" s="1" t="s">
        <v>630</v>
      </c>
      <c r="K6304" s="1" t="s">
        <v>239</v>
      </c>
      <c r="L6304" s="1" t="s">
        <v>31607</v>
      </c>
      <c r="M6304" s="2" t="s">
        <v>12</v>
      </c>
      <c r="N6304" s="4">
        <f t="shared" si="1"/>
        <v>43159</v>
      </c>
      <c r="O6304" s="5" t="str">
        <f>IFERROR(__xludf.DUMMYFUNCTION("IF(REGEXMATCH(TRIM(I6304), ""^\d+\s*min""), ""Unclassified"", IF(I6304 = """", ""NR"", I6304))"),"TV-MA")</f>
        <v>TV-MA</v>
      </c>
      <c r="R6304" s="5" t="str">
        <f t="shared" si="2"/>
        <v>Big Bear</v>
      </c>
      <c r="S6304" s="5" t="str">
        <f>IFERROR(__xludf.DUMMYFUNCTION("""COMPUTED_VALUE"""),"Show Me The Money")</f>
        <v>Show Me The Money</v>
      </c>
      <c r="V6304" s="5"/>
      <c r="Y6304" s="5" t="str">
        <f>IFERROR(__xludf.DUMMYFUNCTION("REGEXEXTRACT(J6304, ""^\d+"")"),"87")</f>
        <v>87</v>
      </c>
      <c r="Z6304" s="5" t="str">
        <f>IFERROR(__xludf.DUMMYFUNCTION("REGEXEXTRACT(J6304, ""[A-Za-z ]+$"")")," min")</f>
        <v> min</v>
      </c>
      <c r="AA6304" s="5" t="str">
        <f>IFERROR(__xludf.DUMMYFUNCTION("IF(REGEXMATCH(Z6304, ""Season""), ""TV Show"", ""Movie"")"),"Movie")</f>
        <v>Movie</v>
      </c>
    </row>
    <row r="6305">
      <c r="A6305" s="1" t="s">
        <v>31608</v>
      </c>
      <c r="B6305" s="1" t="s">
        <v>27</v>
      </c>
      <c r="C6305" s="1" t="s">
        <v>31609</v>
      </c>
      <c r="D6305" s="1" t="s">
        <v>235</v>
      </c>
      <c r="E6305" s="1" t="s">
        <v>31610</v>
      </c>
      <c r="F6305" s="1" t="s">
        <v>30</v>
      </c>
      <c r="G6305" s="1" t="s">
        <v>10969</v>
      </c>
      <c r="H6305" s="1">
        <v>1999.0</v>
      </c>
      <c r="I6305" s="1" t="s">
        <v>32</v>
      </c>
      <c r="J6305" s="1" t="s">
        <v>454</v>
      </c>
      <c r="K6305" s="1" t="s">
        <v>239</v>
      </c>
      <c r="L6305" s="1" t="s">
        <v>31611</v>
      </c>
      <c r="M6305" s="2" t="s">
        <v>12</v>
      </c>
      <c r="N6305" s="4">
        <f t="shared" si="1"/>
        <v>44105</v>
      </c>
      <c r="O6305" s="5" t="str">
        <f>IFERROR(__xludf.DUMMYFUNCTION("IF(REGEXMATCH(TRIM(I6305), ""^\d+\s*min""), ""Unclassified"", IF(I6305 = """", ""NR"", I6305))"),"PG-13")</f>
        <v>PG-13</v>
      </c>
      <c r="R6305" s="5" t="str">
        <f t="shared" si="2"/>
        <v>Big Daddy</v>
      </c>
      <c r="S6305" s="5" t="str">
        <f>IFERROR(__xludf.DUMMYFUNCTION("""COMPUTED_VALUE"""),"Shrek The Musical")</f>
        <v>Shrek The Musical</v>
      </c>
      <c r="V6305" s="5"/>
      <c r="Y6305" s="5" t="str">
        <f>IFERROR(__xludf.DUMMYFUNCTION("REGEXEXTRACT(J6305, ""^\d+"")"),"93")</f>
        <v>93</v>
      </c>
      <c r="Z6305" s="5" t="str">
        <f>IFERROR(__xludf.DUMMYFUNCTION("REGEXEXTRACT(J6305, ""[A-Za-z ]+$"")")," min")</f>
        <v> min</v>
      </c>
      <c r="AA6305" s="5" t="str">
        <f>IFERROR(__xludf.DUMMYFUNCTION("IF(REGEXMATCH(Z6305, ""Season""), ""TV Show"", ""Movie"")"),"Movie")</f>
        <v>Movie</v>
      </c>
    </row>
    <row r="6306">
      <c r="A6306" s="1" t="s">
        <v>31612</v>
      </c>
      <c r="B6306" s="1" t="s">
        <v>37</v>
      </c>
      <c r="C6306" s="1" t="s">
        <v>31613</v>
      </c>
      <c r="E6306" s="1" t="s">
        <v>31614</v>
      </c>
      <c r="F6306" s="1" t="s">
        <v>96</v>
      </c>
      <c r="G6306" s="1" t="s">
        <v>31615</v>
      </c>
      <c r="H6306" s="1">
        <v>2017.0</v>
      </c>
      <c r="I6306" s="1" t="s">
        <v>506</v>
      </c>
      <c r="J6306" s="1" t="s">
        <v>276</v>
      </c>
      <c r="K6306" s="1" t="s">
        <v>2382</v>
      </c>
      <c r="L6306" s="1" t="s">
        <v>31616</v>
      </c>
      <c r="M6306" s="2" t="s">
        <v>12</v>
      </c>
      <c r="N6306" s="1" t="str">
        <f t="shared" si="1"/>
        <v>#N/A</v>
      </c>
      <c r="O6306" s="5" t="str">
        <f>IFERROR(__xludf.DUMMYFUNCTION("IF(REGEXMATCH(TRIM(I6306), ""^\d+\s*min""), ""Unclassified"", IF(I6306 = """", ""NR"", I6306))"),"TV-G")</f>
        <v>TV-G</v>
      </c>
      <c r="R6306" s="5" t="str">
        <f t="shared" si="2"/>
        <v>Big Dreams, Small Spaces</v>
      </c>
      <c r="S6306" s="5" t="str">
        <f>IFERROR(__xludf.DUMMYFUNCTION("""COMPUTED_VALUE"""),"Shtisel")</f>
        <v>Shtisel</v>
      </c>
      <c r="V6306" s="5"/>
      <c r="Y6306" s="5" t="str">
        <f>IFERROR(__xludf.DUMMYFUNCTION("REGEXEXTRACT(J6306, ""^\d+"")"),"3")</f>
        <v>3</v>
      </c>
      <c r="Z6306" s="5" t="str">
        <f>IFERROR(__xludf.DUMMYFUNCTION("REGEXEXTRACT(J6306, ""[A-Za-z ]+$"")")," Seasons")</f>
        <v> Seasons</v>
      </c>
      <c r="AA6306" s="5" t="str">
        <f>IFERROR(__xludf.DUMMYFUNCTION("IF(REGEXMATCH(Z6306, ""Season""), ""TV Show"", ""Movie"")"),"TV Show")</f>
        <v>TV Show</v>
      </c>
    </row>
    <row r="6307">
      <c r="A6307" s="1" t="s">
        <v>31617</v>
      </c>
      <c r="B6307" s="1" t="s">
        <v>27</v>
      </c>
      <c r="C6307" s="1" t="s">
        <v>31618</v>
      </c>
      <c r="D6307" s="1" t="s">
        <v>11250</v>
      </c>
      <c r="E6307" s="1" t="s">
        <v>31619</v>
      </c>
      <c r="F6307" s="1" t="s">
        <v>1205</v>
      </c>
      <c r="G6307" s="1" t="s">
        <v>16793</v>
      </c>
      <c r="H6307" s="1">
        <v>2002.0</v>
      </c>
      <c r="I6307" s="1" t="s">
        <v>78</v>
      </c>
      <c r="J6307" s="1" t="s">
        <v>428</v>
      </c>
      <c r="K6307" s="1" t="s">
        <v>137</v>
      </c>
      <c r="L6307" s="1" t="s">
        <v>31620</v>
      </c>
      <c r="M6307" s="2" t="s">
        <v>12</v>
      </c>
      <c r="N6307" s="4">
        <f t="shared" si="1"/>
        <v>43845</v>
      </c>
      <c r="O6307" s="5" t="str">
        <f>IFERROR(__xludf.DUMMYFUNCTION("IF(REGEXMATCH(TRIM(I6307), ""^\d+\s*min""), ""Unclassified"", IF(I6307 = """", ""NR"", I6307))"),"PG")</f>
        <v>PG</v>
      </c>
      <c r="R6307" s="5" t="str">
        <f t="shared" si="2"/>
        <v>Big Fat Liar</v>
      </c>
      <c r="S6307" s="5" t="str">
        <f>IFERROR(__xludf.DUMMYFUNCTION("""COMPUTED_VALUE"""),"Shubh Aarambh")</f>
        <v>Shubh Aarambh</v>
      </c>
      <c r="V6307" s="5"/>
      <c r="Y6307" s="5" t="str">
        <f>IFERROR(__xludf.DUMMYFUNCTION("REGEXEXTRACT(J6307, ""^\d+"")"),"88")</f>
        <v>88</v>
      </c>
      <c r="Z6307" s="5" t="str">
        <f>IFERROR(__xludf.DUMMYFUNCTION("REGEXEXTRACT(J6307, ""[A-Za-z ]+$"")")," min")</f>
        <v> min</v>
      </c>
      <c r="AA6307" s="5" t="str">
        <f>IFERROR(__xludf.DUMMYFUNCTION("IF(REGEXMATCH(Z6307, ""Season""), ""TV Show"", ""Movie"")"),"Movie")</f>
        <v>Movie</v>
      </c>
    </row>
    <row r="6308">
      <c r="A6308" s="1" t="s">
        <v>31621</v>
      </c>
      <c r="B6308" s="1" t="s">
        <v>27</v>
      </c>
      <c r="C6308" s="1" t="s">
        <v>31622</v>
      </c>
      <c r="D6308" s="1" t="s">
        <v>20615</v>
      </c>
      <c r="E6308" s="1" t="s">
        <v>31623</v>
      </c>
      <c r="F6308" s="1" t="s">
        <v>30</v>
      </c>
      <c r="G6308" s="1" t="s">
        <v>20318</v>
      </c>
      <c r="H6308" s="1">
        <v>2018.0</v>
      </c>
      <c r="I6308" s="1" t="s">
        <v>378</v>
      </c>
      <c r="J6308" s="1" t="s">
        <v>3458</v>
      </c>
      <c r="K6308" s="1" t="s">
        <v>380</v>
      </c>
      <c r="L6308" s="1" t="s">
        <v>31624</v>
      </c>
      <c r="M6308" s="2" t="s">
        <v>12</v>
      </c>
      <c r="N6308" s="4">
        <f t="shared" si="1"/>
        <v>43634</v>
      </c>
      <c r="O6308" s="5" t="str">
        <f>IFERROR(__xludf.DUMMYFUNCTION("IF(REGEXMATCH(TRIM(I6308), ""^\d+\s*min""), ""Unclassified"", IF(I6308 = """", ""NR"", I6308))"),"R")</f>
        <v>R</v>
      </c>
      <c r="R6308" s="5" t="str">
        <f t="shared" si="2"/>
        <v>Big Kill</v>
      </c>
      <c r="S6308" s="5" t="str">
        <f>IFERROR(__xludf.DUMMYFUNCTION("""COMPUTED_VALUE"""),"Shuddhi")</f>
        <v>Shuddhi</v>
      </c>
      <c r="V6308" s="5"/>
      <c r="Y6308" s="5" t="str">
        <f>IFERROR(__xludf.DUMMYFUNCTION("REGEXEXTRACT(J6308, ""^\d+"")"),"126")</f>
        <v>126</v>
      </c>
      <c r="Z6308" s="5" t="str">
        <f>IFERROR(__xludf.DUMMYFUNCTION("REGEXEXTRACT(J6308, ""[A-Za-z ]+$"")")," min")</f>
        <v> min</v>
      </c>
      <c r="AA6308" s="5" t="str">
        <f>IFERROR(__xludf.DUMMYFUNCTION("IF(REGEXMATCH(Z6308, ""Season""), ""TV Show"", ""Movie"")"),"Movie")</f>
        <v>Movie</v>
      </c>
    </row>
    <row r="6309">
      <c r="A6309" s="1" t="s">
        <v>31625</v>
      </c>
      <c r="B6309" s="1" t="s">
        <v>27</v>
      </c>
      <c r="C6309" s="1" t="s">
        <v>31626</v>
      </c>
      <c r="D6309" s="1" t="s">
        <v>12468</v>
      </c>
      <c r="E6309" s="1" t="s">
        <v>31627</v>
      </c>
      <c r="F6309" s="1" t="s">
        <v>4478</v>
      </c>
      <c r="G6309" s="1" t="s">
        <v>25842</v>
      </c>
      <c r="H6309" s="1">
        <v>2017.0</v>
      </c>
      <c r="I6309" s="1" t="s">
        <v>42</v>
      </c>
      <c r="J6309" s="1" t="s">
        <v>33</v>
      </c>
      <c r="K6309" s="1" t="s">
        <v>34</v>
      </c>
      <c r="L6309" s="1" t="s">
        <v>31628</v>
      </c>
      <c r="M6309" s="2" t="s">
        <v>12</v>
      </c>
      <c r="N6309" s="4">
        <f t="shared" si="1"/>
        <v>43191</v>
      </c>
      <c r="O6309" s="5" t="str">
        <f>IFERROR(__xludf.DUMMYFUNCTION("IF(REGEXMATCH(TRIM(I6309), ""^\d+\s*min""), ""Unclassified"", IF(I6309 = """", ""NR"", I6309))"),"TV-MA")</f>
        <v>TV-MA</v>
      </c>
      <c r="R6309" s="5" t="str">
        <f t="shared" si="2"/>
        <v>Big Time</v>
      </c>
      <c r="S6309" s="5" t="str">
        <f>IFERROR(__xludf.DUMMYFUNCTION("""COMPUTED_VALUE"""),"Shutter")</f>
        <v>Shutter</v>
      </c>
      <c r="V6309" s="5"/>
      <c r="Y6309" s="5" t="str">
        <f>IFERROR(__xludf.DUMMYFUNCTION("REGEXEXTRACT(J6309, ""^\d+"")"),"90")</f>
        <v>90</v>
      </c>
      <c r="Z6309" s="5" t="str">
        <f>IFERROR(__xludf.DUMMYFUNCTION("REGEXEXTRACT(J6309, ""[A-Za-z ]+$"")")," min")</f>
        <v> min</v>
      </c>
      <c r="AA6309" s="5" t="str">
        <f>IFERROR(__xludf.DUMMYFUNCTION("IF(REGEXMATCH(Z6309, ""Season""), ""TV Show"", ""Movie"")"),"Movie")</f>
        <v>Movie</v>
      </c>
    </row>
    <row r="6310">
      <c r="A6310" s="1" t="s">
        <v>31629</v>
      </c>
      <c r="B6310" s="1" t="s">
        <v>27</v>
      </c>
      <c r="C6310" s="1" t="s">
        <v>31630</v>
      </c>
      <c r="D6310" s="1" t="s">
        <v>17192</v>
      </c>
      <c r="E6310" s="1" t="s">
        <v>31631</v>
      </c>
      <c r="F6310" s="1" t="s">
        <v>30</v>
      </c>
      <c r="G6310" s="1" t="s">
        <v>28302</v>
      </c>
      <c r="H6310" s="1">
        <v>2017.0</v>
      </c>
      <c r="I6310" s="1" t="s">
        <v>78</v>
      </c>
      <c r="J6310" s="1" t="s">
        <v>465</v>
      </c>
      <c r="K6310" s="1" t="s">
        <v>137</v>
      </c>
      <c r="L6310" s="1" t="s">
        <v>31632</v>
      </c>
      <c r="M6310" s="2" t="s">
        <v>12</v>
      </c>
      <c r="N6310" s="4">
        <f t="shared" si="1"/>
        <v>42843</v>
      </c>
      <c r="O6310" s="5" t="str">
        <f>IFERROR(__xludf.DUMMYFUNCTION("IF(REGEXMATCH(TRIM(I6310), ""^\d+\s*min""), ""Unclassified"", IF(I6310 = """", ""NR"", I6310))"),"PG")</f>
        <v>PG</v>
      </c>
      <c r="R6310" s="5" t="str">
        <f t="shared" si="2"/>
        <v>Bigger Fatter Liar</v>
      </c>
      <c r="S6310" s="5" t="str">
        <f>IFERROR(__xludf.DUMMYFUNCTION("""COMPUTED_VALUE"""),"Shutter Island")</f>
        <v>Shutter Island</v>
      </c>
      <c r="V6310" s="5"/>
      <c r="Y6310" s="5" t="str">
        <f>IFERROR(__xludf.DUMMYFUNCTION("REGEXEXTRACT(J6310, ""^\d+"")"),"95")</f>
        <v>95</v>
      </c>
      <c r="Z6310" s="5" t="str">
        <f>IFERROR(__xludf.DUMMYFUNCTION("REGEXEXTRACT(J6310, ""[A-Za-z ]+$"")")," min")</f>
        <v> min</v>
      </c>
      <c r="AA6310" s="5" t="str">
        <f>IFERROR(__xludf.DUMMYFUNCTION("IF(REGEXMATCH(Z6310, ""Season""), ""TV Show"", ""Movie"")"),"Movie")</f>
        <v>Movie</v>
      </c>
    </row>
    <row r="6311">
      <c r="A6311" s="1" t="s">
        <v>31633</v>
      </c>
      <c r="B6311" s="1" t="s">
        <v>27</v>
      </c>
      <c r="C6311" s="1" t="s">
        <v>31634</v>
      </c>
      <c r="D6311" s="1" t="s">
        <v>16807</v>
      </c>
      <c r="E6311" s="1" t="s">
        <v>16807</v>
      </c>
      <c r="F6311" s="1" t="s">
        <v>96</v>
      </c>
      <c r="G6311" s="1" t="s">
        <v>22379</v>
      </c>
      <c r="H6311" s="1">
        <v>2002.0</v>
      </c>
      <c r="I6311" s="1" t="s">
        <v>378</v>
      </c>
      <c r="J6311" s="1" t="s">
        <v>912</v>
      </c>
      <c r="K6311" s="1" t="s">
        <v>700</v>
      </c>
      <c r="L6311" s="1" t="s">
        <v>31635</v>
      </c>
      <c r="M6311" s="2" t="s">
        <v>12</v>
      </c>
      <c r="N6311" s="4">
        <f t="shared" si="1"/>
        <v>43491</v>
      </c>
      <c r="O6311" s="5" t="str">
        <f>IFERROR(__xludf.DUMMYFUNCTION("IF(REGEXMATCH(TRIM(I6311), ""^\d+\s*min""), ""Unclassified"", IF(I6311 = """", ""NR"", I6311))"),"R")</f>
        <v>R</v>
      </c>
      <c r="R6311" s="5" t="str">
        <f t="shared" si="2"/>
        <v>Biggie &amp; Tupac</v>
      </c>
      <c r="S6311" s="5" t="str">
        <f>IFERROR(__xludf.DUMMYFUNCTION("""COMPUTED_VALUE"""),"Si Doel The Movie")</f>
        <v>Si Doel The Movie</v>
      </c>
      <c r="V6311" s="5"/>
      <c r="Y6311" s="5" t="str">
        <f>IFERROR(__xludf.DUMMYFUNCTION("REGEXEXTRACT(J6311, ""^\d+"")"),"108")</f>
        <v>108</v>
      </c>
      <c r="Z6311" s="5" t="str">
        <f>IFERROR(__xludf.DUMMYFUNCTION("REGEXEXTRACT(J6311, ""[A-Za-z ]+$"")")," min")</f>
        <v> min</v>
      </c>
      <c r="AA6311" s="5" t="str">
        <f>IFERROR(__xludf.DUMMYFUNCTION("IF(REGEXMATCH(Z6311, ""Season""), ""TV Show"", ""Movie"")"),"Movie")</f>
        <v>Movie</v>
      </c>
    </row>
    <row r="6312">
      <c r="A6312" s="1" t="s">
        <v>31636</v>
      </c>
      <c r="B6312" s="1" t="s">
        <v>27</v>
      </c>
      <c r="C6312" s="1" t="s">
        <v>31637</v>
      </c>
      <c r="D6312" s="1" t="s">
        <v>16570</v>
      </c>
      <c r="E6312" s="1" t="s">
        <v>19306</v>
      </c>
      <c r="F6312" s="1" t="s">
        <v>30</v>
      </c>
      <c r="G6312" s="1" t="s">
        <v>26827</v>
      </c>
      <c r="H6312" s="1">
        <v>2010.0</v>
      </c>
      <c r="I6312" s="1" t="s">
        <v>30231</v>
      </c>
      <c r="J6312" s="1" t="s">
        <v>2616</v>
      </c>
      <c r="K6312" s="1" t="s">
        <v>1839</v>
      </c>
      <c r="L6312" s="1" t="s">
        <v>31638</v>
      </c>
      <c r="M6312" s="2" t="s">
        <v>12</v>
      </c>
      <c r="N6312" s="4">
        <f t="shared" si="1"/>
        <v>43049</v>
      </c>
      <c r="O6312" s="5" t="str">
        <f>IFERROR(__xludf.DUMMYFUNCTION("IF(REGEXMATCH(TRIM(I6312), ""^\d+\s*min""), ""Unclassified"", IF(I6312 = """", ""NR"", I6312))"),"NR")</f>
        <v>NR</v>
      </c>
      <c r="R6312" s="5" t="str">
        <f t="shared" si="2"/>
        <v>Bill Burr: Let It Go</v>
      </c>
      <c r="S6312" s="5" t="str">
        <f>IFERROR(__xludf.DUMMYFUNCTION("""COMPUTED_VALUE"""),"Si Doel The Movie 2")</f>
        <v>Si Doel The Movie 2</v>
      </c>
      <c r="V6312" s="5"/>
      <c r="Y6312" s="5" t="str">
        <f>IFERROR(__xludf.DUMMYFUNCTION("REGEXEXTRACT(J6312, ""^\d+"")"),"65")</f>
        <v>65</v>
      </c>
      <c r="Z6312" s="5" t="str">
        <f>IFERROR(__xludf.DUMMYFUNCTION("REGEXEXTRACT(J6312, ""[A-Za-z ]+$"")")," min")</f>
        <v> min</v>
      </c>
      <c r="AA6312" s="5" t="str">
        <f>IFERROR(__xludf.DUMMYFUNCTION("IF(REGEXMATCH(Z6312, ""Season""), ""TV Show"", ""Movie"")"),"Movie")</f>
        <v>Movie</v>
      </c>
    </row>
    <row r="6313">
      <c r="A6313" s="1" t="s">
        <v>31639</v>
      </c>
      <c r="B6313" s="1" t="s">
        <v>27</v>
      </c>
      <c r="C6313" s="1" t="s">
        <v>31640</v>
      </c>
      <c r="D6313" s="1" t="s">
        <v>21564</v>
      </c>
      <c r="E6313" s="1" t="s">
        <v>31641</v>
      </c>
      <c r="F6313" s="1" t="s">
        <v>18004</v>
      </c>
      <c r="G6313" s="1" t="s">
        <v>22239</v>
      </c>
      <c r="H6313" s="1">
        <v>2000.0</v>
      </c>
      <c r="I6313" s="1" t="s">
        <v>378</v>
      </c>
      <c r="J6313" s="1" t="s">
        <v>297</v>
      </c>
      <c r="K6313" s="1" t="s">
        <v>89</v>
      </c>
      <c r="L6313" s="1" t="s">
        <v>31642</v>
      </c>
      <c r="M6313" s="2" t="s">
        <v>12</v>
      </c>
      <c r="N6313" s="4">
        <f t="shared" si="1"/>
        <v>43497</v>
      </c>
      <c r="O6313" s="5" t="str">
        <f>IFERROR(__xludf.DUMMYFUNCTION("IF(REGEXMATCH(TRIM(I6313), ""^\d+\s*min""), ""Unclassified"", IF(I6313 = """", ""NR"", I6313))"),"R")</f>
        <v>R</v>
      </c>
      <c r="R6313" s="5" t="str">
        <f t="shared" si="2"/>
        <v>Billy Elliot</v>
      </c>
      <c r="S6313" s="5" t="str">
        <f>IFERROR(__xludf.DUMMYFUNCTION("""COMPUTED_VALUE"""),"Si Doel The Movie 3")</f>
        <v>Si Doel The Movie 3</v>
      </c>
      <c r="V6313" s="5"/>
      <c r="Y6313" s="5" t="str">
        <f>IFERROR(__xludf.DUMMYFUNCTION("REGEXEXTRACT(J6313, ""^\d+"")"),"110")</f>
        <v>110</v>
      </c>
      <c r="Z6313" s="5" t="str">
        <f>IFERROR(__xludf.DUMMYFUNCTION("REGEXEXTRACT(J6313, ""[A-Za-z ]+$"")")," min")</f>
        <v> min</v>
      </c>
      <c r="AA6313" s="5" t="str">
        <f>IFERROR(__xludf.DUMMYFUNCTION("IF(REGEXMATCH(Z6313, ""Season""), ""TV Show"", ""Movie"")"),"Movie")</f>
        <v>Movie</v>
      </c>
    </row>
    <row r="6314">
      <c r="A6314" s="1" t="s">
        <v>31643</v>
      </c>
      <c r="B6314" s="1" t="s">
        <v>27</v>
      </c>
      <c r="C6314" s="1" t="s">
        <v>31644</v>
      </c>
      <c r="D6314" s="1" t="s">
        <v>23450</v>
      </c>
      <c r="E6314" s="1" t="s">
        <v>31645</v>
      </c>
      <c r="F6314" s="1" t="s">
        <v>30</v>
      </c>
      <c r="G6314" s="1" t="s">
        <v>21911</v>
      </c>
      <c r="H6314" s="1">
        <v>2018.0</v>
      </c>
      <c r="I6314" s="1" t="s">
        <v>136</v>
      </c>
      <c r="J6314" s="1" t="s">
        <v>2636</v>
      </c>
      <c r="K6314" s="1" t="s">
        <v>25796</v>
      </c>
      <c r="L6314" s="1" t="s">
        <v>31646</v>
      </c>
      <c r="M6314" s="2" t="s">
        <v>12</v>
      </c>
      <c r="N6314" s="4">
        <f t="shared" si="1"/>
        <v>43524</v>
      </c>
      <c r="O6314" s="5" t="str">
        <f>IFERROR(__xludf.DUMMYFUNCTION("IF(REGEXMATCH(TRIM(I6314), ""^\d+\s*min""), ""Unclassified"", IF(I6314 = """", ""NR"", I6314))"),"TV-PG")</f>
        <v>TV-PG</v>
      </c>
      <c r="R6314" s="5" t="str">
        <f t="shared" si="2"/>
        <v>Billy Graham: An Extraordinary Journey</v>
      </c>
      <c r="S6314" s="5" t="str">
        <f>IFERROR(__xludf.DUMMYFUNCTION("""COMPUTED_VALUE"""),"Si Saben Cómo Me Pongo ¿Pá Qué Me Invitan?")</f>
        <v>Si Saben Cómo Me Pongo ¿Pá Qué Me Invitan?</v>
      </c>
      <c r="V6314" s="5"/>
      <c r="Y6314" s="5" t="str">
        <f>IFERROR(__xludf.DUMMYFUNCTION("REGEXEXTRACT(J6314, ""^\d+"")"),"66")</f>
        <v>66</v>
      </c>
      <c r="Z6314" s="5" t="str">
        <f>IFERROR(__xludf.DUMMYFUNCTION("REGEXEXTRACT(J6314, ""[A-Za-z ]+$"")")," min")</f>
        <v> min</v>
      </c>
      <c r="AA6314" s="5" t="str">
        <f>IFERROR(__xludf.DUMMYFUNCTION("IF(REGEXMATCH(Z6314, ""Season""), ""TV Show"", ""Movie"")"),"Movie")</f>
        <v>Movie</v>
      </c>
    </row>
    <row r="6315">
      <c r="A6315" s="1" t="s">
        <v>31647</v>
      </c>
      <c r="B6315" s="1" t="s">
        <v>27</v>
      </c>
      <c r="C6315" s="1" t="s">
        <v>31648</v>
      </c>
      <c r="D6315" s="1" t="s">
        <v>9632</v>
      </c>
      <c r="E6315" s="1" t="s">
        <v>31649</v>
      </c>
      <c r="F6315" s="1" t="s">
        <v>63</v>
      </c>
      <c r="G6315" s="1" t="s">
        <v>25994</v>
      </c>
      <c r="H6315" s="1">
        <v>2017.0</v>
      </c>
      <c r="I6315" s="1" t="s">
        <v>42</v>
      </c>
      <c r="J6315" s="1" t="s">
        <v>127</v>
      </c>
      <c r="K6315" s="1" t="s">
        <v>128</v>
      </c>
      <c r="L6315" s="1" t="s">
        <v>31650</v>
      </c>
      <c r="M6315" s="2" t="s">
        <v>12</v>
      </c>
      <c r="N6315" s="4">
        <f t="shared" si="1"/>
        <v>43174</v>
      </c>
      <c r="O6315" s="5" t="str">
        <f>IFERROR(__xludf.DUMMYFUNCTION("IF(REGEXMATCH(TRIM(I6315), ""^\d+\s*min""), ""Unclassified"", IF(I6315 = """", ""NR"", I6315))"),"TV-MA")</f>
        <v>TV-MA</v>
      </c>
      <c r="R6315" s="5" t="str">
        <f t="shared" si="2"/>
        <v>Bilu Rakkhosh</v>
      </c>
      <c r="S6315" s="5" t="str">
        <f>IFERROR(__xludf.DUMMYFUNCTION("""COMPUTED_VALUE"""),"Sí, Mi Amor")</f>
        <v>Sí, Mi Amor</v>
      </c>
      <c r="V6315" s="5"/>
      <c r="Y6315" s="5" t="str">
        <f>IFERROR(__xludf.DUMMYFUNCTION("REGEXEXTRACT(J6315, ""^\d+"")"),"127")</f>
        <v>127</v>
      </c>
      <c r="Z6315" s="5" t="str">
        <f>IFERROR(__xludf.DUMMYFUNCTION("REGEXEXTRACT(J6315, ""[A-Za-z ]+$"")")," min")</f>
        <v> min</v>
      </c>
      <c r="AA6315" s="5" t="str">
        <f>IFERROR(__xludf.DUMMYFUNCTION("IF(REGEXMATCH(Z6315, ""Season""), ""TV Show"", ""Movie"")"),"Movie")</f>
        <v>Movie</v>
      </c>
    </row>
    <row r="6316">
      <c r="A6316" s="1" t="s">
        <v>31651</v>
      </c>
      <c r="B6316" s="1" t="s">
        <v>27</v>
      </c>
      <c r="C6316" s="1" t="s">
        <v>31652</v>
      </c>
      <c r="D6316" s="1" t="s">
        <v>8090</v>
      </c>
      <c r="E6316" s="1" t="s">
        <v>31653</v>
      </c>
      <c r="F6316" s="1" t="s">
        <v>63</v>
      </c>
      <c r="G6316" s="1" t="s">
        <v>24808</v>
      </c>
      <c r="H6316" s="1">
        <v>2015.0</v>
      </c>
      <c r="I6316" s="1" t="s">
        <v>97</v>
      </c>
      <c r="J6316" s="1" t="s">
        <v>2859</v>
      </c>
      <c r="K6316" s="1" t="s">
        <v>4958</v>
      </c>
      <c r="L6316" s="1" t="s">
        <v>31654</v>
      </c>
      <c r="M6316" s="2" t="s">
        <v>12</v>
      </c>
      <c r="N6316" s="4">
        <f t="shared" si="1"/>
        <v>43327</v>
      </c>
      <c r="O6316" s="5" t="str">
        <f>IFERROR(__xludf.DUMMYFUNCTION("IF(REGEXMATCH(TRIM(I6316), ""^\d+\s*min""), ""Unclassified"", IF(I6316 = """", ""NR"", I6316))"),"TV-14")</f>
        <v>TV-14</v>
      </c>
      <c r="R6316" s="5" t="str">
        <f t="shared" si="2"/>
        <v>Bioscope</v>
      </c>
      <c r="S6316" s="5" t="str">
        <f>IFERROR(__xludf.DUMMYFUNCTION("""COMPUTED_VALUE"""),"Sicilian Ghost Story")</f>
        <v>Sicilian Ghost Story</v>
      </c>
      <c r="V6316" s="5"/>
      <c r="Y6316" s="5" t="str">
        <f>IFERROR(__xludf.DUMMYFUNCTION("REGEXEXTRACT(J6316, ""^\d+"")"),"131")</f>
        <v>131</v>
      </c>
      <c r="Z6316" s="5" t="str">
        <f>IFERROR(__xludf.DUMMYFUNCTION("REGEXEXTRACT(J6316, ""[A-Za-z ]+$"")")," min")</f>
        <v> min</v>
      </c>
      <c r="AA6316" s="5" t="str">
        <f>IFERROR(__xludf.DUMMYFUNCTION("IF(REGEXMATCH(Z6316, ""Season""), ""TV Show"", ""Movie"")"),"Movie")</f>
        <v>Movie</v>
      </c>
    </row>
    <row r="6317">
      <c r="A6317" s="1" t="s">
        <v>31655</v>
      </c>
      <c r="B6317" s="1" t="s">
        <v>27</v>
      </c>
      <c r="C6317" s="1" t="s">
        <v>31656</v>
      </c>
      <c r="D6317" s="1" t="s">
        <v>7034</v>
      </c>
      <c r="E6317" s="1" t="s">
        <v>31657</v>
      </c>
      <c r="F6317" s="1" t="s">
        <v>1106</v>
      </c>
      <c r="G6317" s="1" t="s">
        <v>31658</v>
      </c>
      <c r="H6317" s="1">
        <v>2018.0</v>
      </c>
      <c r="I6317" s="1" t="s">
        <v>42</v>
      </c>
      <c r="J6317" s="1" t="s">
        <v>428</v>
      </c>
      <c r="K6317" s="1" t="s">
        <v>5295</v>
      </c>
      <c r="L6317" s="1" t="s">
        <v>31659</v>
      </c>
      <c r="M6317" s="2" t="s">
        <v>12</v>
      </c>
      <c r="N6317" s="4">
        <f t="shared" si="1"/>
        <v>43279</v>
      </c>
      <c r="O6317" s="5" t="str">
        <f>IFERROR(__xludf.DUMMYFUNCTION("IF(REGEXMATCH(TRIM(I6317), ""^\d+\s*min""), ""Unclassified"", IF(I6317 = """", ""NR"", I6317))"),"TV-MA")</f>
        <v>TV-MA</v>
      </c>
      <c r="R6317" s="5" t="str">
        <f t="shared" si="2"/>
        <v>Birthmarked</v>
      </c>
      <c r="S6317" s="5" t="str">
        <f>IFERROR(__xludf.DUMMYFUNCTION("""COMPUTED_VALUE"""),"Sick Note")</f>
        <v>Sick Note</v>
      </c>
      <c r="V6317" s="5"/>
      <c r="Y6317" s="5" t="str">
        <f>IFERROR(__xludf.DUMMYFUNCTION("REGEXEXTRACT(J6317, ""^\d+"")"),"88")</f>
        <v>88</v>
      </c>
      <c r="Z6317" s="5" t="str">
        <f>IFERROR(__xludf.DUMMYFUNCTION("REGEXEXTRACT(J6317, ""[A-Za-z ]+$"")")," min")</f>
        <v> min</v>
      </c>
      <c r="AA6317" s="5" t="str">
        <f>IFERROR(__xludf.DUMMYFUNCTION("IF(REGEXMATCH(Z6317, ""Season""), ""TV Show"", ""Movie"")"),"Movie")</f>
        <v>Movie</v>
      </c>
    </row>
    <row r="6318">
      <c r="A6318" s="1" t="s">
        <v>31660</v>
      </c>
      <c r="B6318" s="1" t="s">
        <v>27</v>
      </c>
      <c r="C6318" s="1" t="s">
        <v>31661</v>
      </c>
      <c r="D6318" s="1" t="s">
        <v>14708</v>
      </c>
      <c r="E6318" s="1" t="s">
        <v>31662</v>
      </c>
      <c r="F6318" s="1" t="s">
        <v>30</v>
      </c>
      <c r="G6318" s="1" t="s">
        <v>31245</v>
      </c>
      <c r="H6318" s="1">
        <v>2017.0</v>
      </c>
      <c r="I6318" s="1" t="s">
        <v>378</v>
      </c>
      <c r="J6318" s="1" t="s">
        <v>247</v>
      </c>
      <c r="K6318" s="1" t="s">
        <v>836</v>
      </c>
      <c r="L6318" s="1" t="s">
        <v>31663</v>
      </c>
      <c r="M6318" s="2" t="s">
        <v>12</v>
      </c>
      <c r="N6318" s="4">
        <f t="shared" si="1"/>
        <v>43170</v>
      </c>
      <c r="O6318" s="5" t="str">
        <f>IFERROR(__xludf.DUMMYFUNCTION("IF(REGEXMATCH(TRIM(I6318), ""^\d+\s*min""), ""Unclassified"", IF(I6318 = """", ""NR"", I6318))"),"R")</f>
        <v>R</v>
      </c>
      <c r="R6318" s="5" t="str">
        <f t="shared" si="2"/>
        <v>Bitch</v>
      </c>
      <c r="S6318" s="5" t="str">
        <f>IFERROR(__xludf.DUMMYFUNCTION("""COMPUTED_VALUE"""),"Sid The Science Kid")</f>
        <v>Sid The Science Kid</v>
      </c>
      <c r="V6318" s="5"/>
      <c r="Y6318" s="5" t="str">
        <f>IFERROR(__xludf.DUMMYFUNCTION("REGEXEXTRACT(J6318, ""^\d+"")"),"97")</f>
        <v>97</v>
      </c>
      <c r="Z6318" s="5" t="str">
        <f>IFERROR(__xludf.DUMMYFUNCTION("REGEXEXTRACT(J6318, ""[A-Za-z ]+$"")")," min")</f>
        <v> min</v>
      </c>
      <c r="AA6318" s="5" t="str">
        <f>IFERROR(__xludf.DUMMYFUNCTION("IF(REGEXMATCH(Z6318, ""Season""), ""TV Show"", ""Movie"")"),"Movie")</f>
        <v>Movie</v>
      </c>
    </row>
    <row r="6319">
      <c r="A6319" s="1" t="s">
        <v>31664</v>
      </c>
      <c r="B6319" s="1" t="s">
        <v>27</v>
      </c>
      <c r="C6319" s="1" t="s">
        <v>31665</v>
      </c>
      <c r="D6319" s="1" t="s">
        <v>8924</v>
      </c>
      <c r="E6319" s="1" t="s">
        <v>31666</v>
      </c>
      <c r="F6319" s="1" t="s">
        <v>3543</v>
      </c>
      <c r="G6319" s="1" t="s">
        <v>31667</v>
      </c>
      <c r="H6319" s="1">
        <v>2016.0</v>
      </c>
      <c r="I6319" s="1" t="s">
        <v>97</v>
      </c>
      <c r="J6319" s="1" t="s">
        <v>349</v>
      </c>
      <c r="K6319" s="1" t="s">
        <v>1328</v>
      </c>
      <c r="L6319" s="1" t="s">
        <v>31668</v>
      </c>
      <c r="M6319" s="2" t="s">
        <v>12</v>
      </c>
      <c r="N6319" s="4">
        <f t="shared" si="1"/>
        <v>42980</v>
      </c>
      <c r="O6319" s="5" t="str">
        <f>IFERROR(__xludf.DUMMYFUNCTION("IF(REGEXMATCH(TRIM(I6319), ""^\d+\s*min""), ""Unclassified"", IF(I6319 = """", ""NR"", I6319))"),"TV-14")</f>
        <v>TV-14</v>
      </c>
      <c r="R6319" s="5" t="str">
        <f t="shared" si="2"/>
        <v>Bitcoin Heist</v>
      </c>
      <c r="S6319" s="5" t="str">
        <f>IFERROR(__xludf.DUMMYFUNCTION("""COMPUTED_VALUE"""),"Siddhant")</f>
        <v>Siddhant</v>
      </c>
      <c r="V6319" s="5"/>
      <c r="Y6319" s="5" t="str">
        <f>IFERROR(__xludf.DUMMYFUNCTION("REGEXEXTRACT(J6319, ""^\d+"")"),"116")</f>
        <v>116</v>
      </c>
      <c r="Z6319" s="5" t="str">
        <f>IFERROR(__xludf.DUMMYFUNCTION("REGEXEXTRACT(J6319, ""[A-Za-z ]+$"")")," min")</f>
        <v> min</v>
      </c>
      <c r="AA6319" s="5" t="str">
        <f>IFERROR(__xludf.DUMMYFUNCTION("IF(REGEXMATCH(Z6319, ""Season""), ""TV Show"", ""Movie"")"),"Movie")</f>
        <v>Movie</v>
      </c>
    </row>
    <row r="6320">
      <c r="A6320" s="1" t="s">
        <v>31669</v>
      </c>
      <c r="B6320" s="1" t="s">
        <v>37</v>
      </c>
      <c r="C6320" s="1" t="s">
        <v>31670</v>
      </c>
      <c r="E6320" s="1" t="s">
        <v>31671</v>
      </c>
      <c r="F6320" s="1" t="s">
        <v>1106</v>
      </c>
      <c r="G6320" s="7">
        <v>42516.0</v>
      </c>
      <c r="H6320" s="1">
        <v>2016.0</v>
      </c>
      <c r="I6320" s="1" t="s">
        <v>42</v>
      </c>
      <c r="J6320" s="1" t="s">
        <v>276</v>
      </c>
      <c r="K6320" s="1" t="s">
        <v>9281</v>
      </c>
      <c r="L6320" s="1" t="s">
        <v>31672</v>
      </c>
      <c r="M6320" s="2" t="s">
        <v>12</v>
      </c>
      <c r="N6320" s="4">
        <f t="shared" si="1"/>
        <v>42516</v>
      </c>
      <c r="O6320" s="5" t="str">
        <f>IFERROR(__xludf.DUMMYFUNCTION("IF(REGEXMATCH(TRIM(I6320), ""^\d+\s*min""), ""Unclassified"", IF(I6320 = """", ""NR"", I6320))"),"TV-MA")</f>
        <v>TV-MA</v>
      </c>
      <c r="R6320" s="5" t="str">
        <f t="shared" si="2"/>
        <v>Bitten</v>
      </c>
      <c r="S6320" s="5" t="str">
        <f>IFERROR(__xludf.DUMMYFUNCTION("""COMPUTED_VALUE"""),"Sierra Burgess Is A Loser")</f>
        <v>Sierra Burgess Is A Loser</v>
      </c>
      <c r="V6320" s="5"/>
      <c r="Y6320" s="5" t="str">
        <f>IFERROR(__xludf.DUMMYFUNCTION("REGEXEXTRACT(J6320, ""^\d+"")"),"3")</f>
        <v>3</v>
      </c>
      <c r="Z6320" s="5" t="str">
        <f>IFERROR(__xludf.DUMMYFUNCTION("REGEXEXTRACT(J6320, ""[A-Za-z ]+$"")")," Seasons")</f>
        <v> Seasons</v>
      </c>
      <c r="AA6320" s="5" t="str">
        <f>IFERROR(__xludf.DUMMYFUNCTION("IF(REGEXMATCH(Z6320, ""Season""), ""TV Show"", ""Movie"")"),"TV Show")</f>
        <v>TV Show</v>
      </c>
    </row>
    <row r="6321">
      <c r="A6321" s="1" t="s">
        <v>31673</v>
      </c>
      <c r="B6321" s="1" t="s">
        <v>37</v>
      </c>
      <c r="C6321" s="1" t="s">
        <v>31674</v>
      </c>
      <c r="D6321" s="1" t="s">
        <v>15974</v>
      </c>
      <c r="E6321" s="1" t="s">
        <v>31675</v>
      </c>
      <c r="F6321" s="1" t="s">
        <v>784</v>
      </c>
      <c r="G6321" s="1" t="s">
        <v>21407</v>
      </c>
      <c r="H6321" s="1">
        <v>2018.0</v>
      </c>
      <c r="I6321" s="1" t="s">
        <v>42</v>
      </c>
      <c r="J6321" s="1" t="s">
        <v>51</v>
      </c>
      <c r="K6321" s="1" t="s">
        <v>1362</v>
      </c>
      <c r="L6321" s="1" t="s">
        <v>31676</v>
      </c>
      <c r="M6321" s="2" t="s">
        <v>12</v>
      </c>
      <c r="N6321" s="4">
        <f t="shared" si="1"/>
        <v>43553</v>
      </c>
      <c r="O6321" s="5" t="str">
        <f>IFERROR(__xludf.DUMMYFUNCTION("IF(REGEXMATCH(TRIM(I6321), ""^\d+\s*min""), ""Unclassified"", IF(I6321 = """", ""NR"", I6321))"),"TV-MA")</f>
        <v>TV-MA</v>
      </c>
      <c r="R6321" s="5" t="str">
        <f t="shared" si="2"/>
        <v>Bitter Daisies</v>
      </c>
      <c r="S6321" s="5" t="str">
        <f>IFERROR(__xludf.DUMMYFUNCTION("""COMPUTED_VALUE"""),"Sigaram Thodu")</f>
        <v>Sigaram Thodu</v>
      </c>
      <c r="V6321" s="5"/>
      <c r="Y6321" s="5" t="str">
        <f>IFERROR(__xludf.DUMMYFUNCTION("REGEXEXTRACT(J6321, ""^\d+"")"),"1")</f>
        <v>1</v>
      </c>
      <c r="Z6321" s="5" t="str">
        <f>IFERROR(__xludf.DUMMYFUNCTION("REGEXEXTRACT(J6321, ""[A-Za-z ]+$"")")," Season")</f>
        <v> Season</v>
      </c>
      <c r="AA6321" s="5" t="str">
        <f>IFERROR(__xludf.DUMMYFUNCTION("IF(REGEXMATCH(Z6321, ""Season""), ""TV Show"", ""Movie"")"),"TV Show")</f>
        <v>TV Show</v>
      </c>
    </row>
    <row r="6322">
      <c r="A6322" s="1" t="s">
        <v>31677</v>
      </c>
      <c r="B6322" s="1" t="s">
        <v>27</v>
      </c>
      <c r="C6322" s="1" t="s">
        <v>31678</v>
      </c>
      <c r="D6322" s="1" t="s">
        <v>21950</v>
      </c>
      <c r="E6322" s="1" t="s">
        <v>31679</v>
      </c>
      <c r="F6322" s="1" t="s">
        <v>63</v>
      </c>
      <c r="G6322" s="1" t="s">
        <v>12877</v>
      </c>
      <c r="H6322" s="1">
        <v>2012.0</v>
      </c>
      <c r="I6322" s="1" t="s">
        <v>97</v>
      </c>
      <c r="J6322" s="1" t="s">
        <v>743</v>
      </c>
      <c r="K6322" s="1" t="s">
        <v>583</v>
      </c>
      <c r="L6322" s="1" t="s">
        <v>31680</v>
      </c>
      <c r="M6322" s="2" t="s">
        <v>12</v>
      </c>
      <c r="N6322" s="4">
        <f t="shared" si="1"/>
        <v>44017</v>
      </c>
      <c r="O6322" s="5" t="str">
        <f>IFERROR(__xludf.DUMMYFUNCTION("IF(REGEXMATCH(TRIM(I6322), ""^\d+\s*min""), ""Unclassified"", IF(I6322 = """", ""NR"", I6322))"),"TV-14")</f>
        <v>TV-14</v>
      </c>
      <c r="R6322" s="5" t="str">
        <f t="shared" si="2"/>
        <v>Bittoo Boss</v>
      </c>
      <c r="S6322" s="5" t="str">
        <f>IFERROR(__xludf.DUMMYFUNCTION("""COMPUTED_VALUE"""),"Sightless")</f>
        <v>Sightless</v>
      </c>
      <c r="V6322" s="5"/>
      <c r="Y6322" s="5" t="str">
        <f>IFERROR(__xludf.DUMMYFUNCTION("REGEXEXTRACT(J6322, ""^\d+"")"),"117")</f>
        <v>117</v>
      </c>
      <c r="Z6322" s="5" t="str">
        <f>IFERROR(__xludf.DUMMYFUNCTION("REGEXEXTRACT(J6322, ""[A-Za-z ]+$"")")," min")</f>
        <v> min</v>
      </c>
      <c r="AA6322" s="5" t="str">
        <f>IFERROR(__xludf.DUMMYFUNCTION("IF(REGEXMATCH(Z6322, ""Season""), ""TV Show"", ""Movie"")"),"Movie")</f>
        <v>Movie</v>
      </c>
    </row>
    <row r="6323">
      <c r="A6323" s="1" t="s">
        <v>31681</v>
      </c>
      <c r="B6323" s="1" t="s">
        <v>27</v>
      </c>
      <c r="C6323" s="1" t="s">
        <v>31682</v>
      </c>
      <c r="D6323" s="1" t="s">
        <v>14848</v>
      </c>
      <c r="E6323" s="1" t="s">
        <v>31683</v>
      </c>
      <c r="F6323" s="1" t="s">
        <v>30</v>
      </c>
      <c r="G6323" s="1" t="s">
        <v>19991</v>
      </c>
      <c r="H6323" s="1">
        <v>2019.0</v>
      </c>
      <c r="I6323" s="1" t="s">
        <v>42</v>
      </c>
      <c r="J6323" s="1" t="s">
        <v>6391</v>
      </c>
      <c r="K6323" s="1" t="s">
        <v>805</v>
      </c>
      <c r="L6323" s="1" t="s">
        <v>31684</v>
      </c>
      <c r="M6323" s="2" t="s">
        <v>12</v>
      </c>
      <c r="N6323" s="4">
        <f t="shared" si="1"/>
        <v>43658</v>
      </c>
      <c r="O6323" s="5" t="str">
        <f>IFERROR(__xludf.DUMMYFUNCTION("IF(REGEXMATCH(TRIM(I6323), ""^\d+\s*min""), ""Unclassified"", IF(I6323 = """", ""NR"", I6323))"),"TV-MA")</f>
        <v>TV-MA</v>
      </c>
      <c r="R6323" s="5" t="str">
        <f t="shared" si="2"/>
        <v>Black &amp; Privileged: Volume 1</v>
      </c>
      <c r="S6323" s="5" t="str">
        <f>IFERROR(__xludf.DUMMYFUNCTION("""COMPUTED_VALUE"""),"Signal")</f>
        <v>Signal</v>
      </c>
      <c r="V6323" s="5"/>
      <c r="Y6323" s="5" t="str">
        <f>IFERROR(__xludf.DUMMYFUNCTION("REGEXEXTRACT(J6323, ""^\d+"")"),"79")</f>
        <v>79</v>
      </c>
      <c r="Z6323" s="5" t="str">
        <f>IFERROR(__xludf.DUMMYFUNCTION("REGEXEXTRACT(J6323, ""[A-Za-z ]+$"")")," min")</f>
        <v> min</v>
      </c>
      <c r="AA6323" s="5" t="str">
        <f>IFERROR(__xludf.DUMMYFUNCTION("IF(REGEXMATCH(Z6323, ""Season""), ""TV Show"", ""Movie"")"),"Movie")</f>
        <v>Movie</v>
      </c>
    </row>
    <row r="6324">
      <c r="A6324" s="1" t="s">
        <v>31685</v>
      </c>
      <c r="B6324" s="1" t="s">
        <v>27</v>
      </c>
      <c r="C6324" s="1" t="s">
        <v>31686</v>
      </c>
      <c r="D6324" s="1" t="s">
        <v>925</v>
      </c>
      <c r="E6324" s="1" t="s">
        <v>31687</v>
      </c>
      <c r="F6324" s="1" t="s">
        <v>692</v>
      </c>
      <c r="G6324" s="1" t="s">
        <v>22635</v>
      </c>
      <c r="H6324" s="1">
        <v>2001.0</v>
      </c>
      <c r="I6324" s="1" t="s">
        <v>378</v>
      </c>
      <c r="J6324" s="1" t="s">
        <v>14942</v>
      </c>
      <c r="K6324" s="1" t="s">
        <v>323</v>
      </c>
      <c r="L6324" s="1" t="s">
        <v>31688</v>
      </c>
      <c r="M6324" s="2" t="s">
        <v>12</v>
      </c>
      <c r="N6324" s="4">
        <f t="shared" si="1"/>
        <v>43466</v>
      </c>
      <c r="O6324" s="5" t="str">
        <f>IFERROR(__xludf.DUMMYFUNCTION("IF(REGEXMATCH(TRIM(I6324), ""^\d+\s*min""), ""Unclassified"", IF(I6324 = """", ""NR"", I6324))"),"R")</f>
        <v>R</v>
      </c>
      <c r="R6324" s="5" t="str">
        <f t="shared" si="2"/>
        <v>Black Hawk Down</v>
      </c>
      <c r="S6324" s="5" t="str">
        <f>IFERROR(__xludf.DUMMYFUNCTION("""COMPUTED_VALUE"""),"Signs")</f>
        <v>Signs</v>
      </c>
      <c r="V6324" s="5"/>
      <c r="Y6324" s="5" t="str">
        <f>IFERROR(__xludf.DUMMYFUNCTION("REGEXEXTRACT(J6324, ""^\d+"")"),"144")</f>
        <v>144</v>
      </c>
      <c r="Z6324" s="5" t="str">
        <f>IFERROR(__xludf.DUMMYFUNCTION("REGEXEXTRACT(J6324, ""[A-Za-z ]+$"")")," min")</f>
        <v> min</v>
      </c>
      <c r="AA6324" s="5" t="str">
        <f>IFERROR(__xludf.DUMMYFUNCTION("IF(REGEXMATCH(Z6324, ""Season""), ""TV Show"", ""Movie"")"),"Movie")</f>
        <v>Movie</v>
      </c>
    </row>
    <row r="6325">
      <c r="A6325" s="1" t="s">
        <v>31689</v>
      </c>
      <c r="B6325" s="1" t="s">
        <v>37</v>
      </c>
      <c r="C6325" s="1" t="s">
        <v>31690</v>
      </c>
      <c r="E6325" s="1" t="s">
        <v>31691</v>
      </c>
      <c r="F6325" s="1" t="s">
        <v>188</v>
      </c>
      <c r="G6325" s="1" t="s">
        <v>23991</v>
      </c>
      <c r="H6325" s="1">
        <v>2014.0</v>
      </c>
      <c r="I6325" s="1" t="s">
        <v>97</v>
      </c>
      <c r="J6325" s="1" t="s">
        <v>51</v>
      </c>
      <c r="K6325" s="1" t="s">
        <v>1362</v>
      </c>
      <c r="L6325" s="1" t="s">
        <v>31692</v>
      </c>
      <c r="M6325" s="2" t="s">
        <v>12</v>
      </c>
      <c r="N6325" s="4">
        <f t="shared" si="1"/>
        <v>43385</v>
      </c>
      <c r="O6325" s="5" t="str">
        <f>IFERROR(__xludf.DUMMYFUNCTION("IF(REGEXMATCH(TRIM(I6325), ""^\d+\s*min""), ""Unclassified"", IF(I6325 = """", ""NR"", I6325))"),"TV-14")</f>
        <v>TV-14</v>
      </c>
      <c r="R6325" s="5" t="str">
        <f t="shared" si="2"/>
        <v>Black Heart</v>
      </c>
      <c r="S6325" s="5" t="str">
        <f>IFERROR(__xludf.DUMMYFUNCTION("""COMPUTED_VALUE"""),"Silencer")</f>
        <v>Silencer</v>
      </c>
      <c r="V6325" s="5"/>
      <c r="Y6325" s="5" t="str">
        <f>IFERROR(__xludf.DUMMYFUNCTION("REGEXEXTRACT(J6325, ""^\d+"")"),"1")</f>
        <v>1</v>
      </c>
      <c r="Z6325" s="5" t="str">
        <f>IFERROR(__xludf.DUMMYFUNCTION("REGEXEXTRACT(J6325, ""[A-Za-z ]+$"")")," Season")</f>
        <v> Season</v>
      </c>
      <c r="AA6325" s="5" t="str">
        <f>IFERROR(__xludf.DUMMYFUNCTION("IF(REGEXMATCH(Z6325, ""Season""), ""TV Show"", ""Movie"")"),"TV Show")</f>
        <v>TV Show</v>
      </c>
    </row>
    <row r="6326">
      <c r="A6326" s="1" t="s">
        <v>31693</v>
      </c>
      <c r="B6326" s="1" t="s">
        <v>27</v>
      </c>
      <c r="C6326" s="1" t="s">
        <v>31694</v>
      </c>
      <c r="D6326" s="1" t="s">
        <v>11823</v>
      </c>
      <c r="F6326" s="1" t="s">
        <v>784</v>
      </c>
      <c r="G6326" s="1" t="s">
        <v>29673</v>
      </c>
      <c r="H6326" s="1">
        <v>2015.0</v>
      </c>
      <c r="I6326" s="1" t="s">
        <v>136</v>
      </c>
      <c r="J6326" s="1" t="s">
        <v>6391</v>
      </c>
      <c r="K6326" s="1" t="s">
        <v>156</v>
      </c>
      <c r="L6326" s="1" t="s">
        <v>31695</v>
      </c>
      <c r="M6326" s="2" t="s">
        <v>12</v>
      </c>
      <c r="N6326" s="4">
        <f t="shared" si="1"/>
        <v>42522</v>
      </c>
      <c r="O6326" s="5" t="str">
        <f>IFERROR(__xludf.DUMMYFUNCTION("IF(REGEXMATCH(TRIM(I6326), ""^\d+\s*min""), ""Unclassified"", IF(I6326 = """", ""NR"", I6326))"),"TV-PG")</f>
        <v>TV-PG</v>
      </c>
      <c r="R6326" s="5" t="str">
        <f t="shared" si="2"/>
        <v>Black Man White Skin</v>
      </c>
      <c r="S6326" s="5" t="str">
        <f>IFERROR(__xludf.DUMMYFUNCTION("""COMPUTED_VALUE"""),"Silent")</f>
        <v>Silent</v>
      </c>
      <c r="V6326" s="5"/>
      <c r="Y6326" s="5" t="str">
        <f>IFERROR(__xludf.DUMMYFUNCTION("REGEXEXTRACT(J6326, ""^\d+"")"),"79")</f>
        <v>79</v>
      </c>
      <c r="Z6326" s="5" t="str">
        <f>IFERROR(__xludf.DUMMYFUNCTION("REGEXEXTRACT(J6326, ""[A-Za-z ]+$"")")," min")</f>
        <v> min</v>
      </c>
      <c r="AA6326" s="5" t="str">
        <f>IFERROR(__xludf.DUMMYFUNCTION("IF(REGEXMATCH(Z6326, ""Season""), ""TV Show"", ""Movie"")"),"Movie")</f>
        <v>Movie</v>
      </c>
    </row>
    <row r="6327">
      <c r="A6327" s="1" t="s">
        <v>31696</v>
      </c>
      <c r="B6327" s="1" t="s">
        <v>27</v>
      </c>
      <c r="C6327" s="1" t="s">
        <v>31697</v>
      </c>
      <c r="D6327" s="1" t="s">
        <v>9937</v>
      </c>
      <c r="E6327" s="1" t="s">
        <v>31698</v>
      </c>
      <c r="F6327" s="1" t="s">
        <v>30</v>
      </c>
      <c r="G6327" s="1" t="s">
        <v>31699</v>
      </c>
      <c r="H6327" s="1">
        <v>2018.0</v>
      </c>
      <c r="I6327" s="1" t="s">
        <v>32</v>
      </c>
      <c r="J6327" s="1" t="s">
        <v>1369</v>
      </c>
      <c r="K6327" s="1" t="s">
        <v>942</v>
      </c>
      <c r="L6327" s="1" t="s">
        <v>31700</v>
      </c>
      <c r="M6327" s="2" t="s">
        <v>12</v>
      </c>
      <c r="N6327" s="4">
        <f t="shared" si="1"/>
        <v>43347</v>
      </c>
      <c r="O6327" s="5" t="str">
        <f>IFERROR(__xludf.DUMMYFUNCTION("IF(REGEXMATCH(TRIM(I6327), ""^\d+\s*min""), ""Unclassified"", IF(I6327 = """", ""NR"", I6327))"),"PG-13")</f>
        <v>PG-13</v>
      </c>
      <c r="R6327" s="5" t="str">
        <f t="shared" si="2"/>
        <v>Black Panther</v>
      </c>
      <c r="S6327" s="5" t="str">
        <f>IFERROR(__xludf.DUMMYFUNCTION("""COMPUTED_VALUE"""),"Silent Hill: Revelation")</f>
        <v>Silent Hill: Revelation</v>
      </c>
      <c r="V6327" s="5"/>
      <c r="Y6327" s="5" t="str">
        <f>IFERROR(__xludf.DUMMYFUNCTION("REGEXEXTRACT(J6327, ""^\d+"")"),"135")</f>
        <v>135</v>
      </c>
      <c r="Z6327" s="5" t="str">
        <f>IFERROR(__xludf.DUMMYFUNCTION("REGEXEXTRACT(J6327, ""[A-Za-z ]+$"")")," min")</f>
        <v> min</v>
      </c>
      <c r="AA6327" s="5" t="str">
        <f>IFERROR(__xludf.DUMMYFUNCTION("IF(REGEXMATCH(Z6327, ""Season""), ""TV Show"", ""Movie"")"),"Movie")</f>
        <v>Movie</v>
      </c>
    </row>
    <row r="6328">
      <c r="A6328" s="1" t="s">
        <v>31701</v>
      </c>
      <c r="B6328" s="1" t="s">
        <v>27</v>
      </c>
      <c r="C6328" s="1" t="s">
        <v>31702</v>
      </c>
      <c r="D6328" s="1" t="s">
        <v>10871</v>
      </c>
      <c r="E6328" s="1" t="s">
        <v>31703</v>
      </c>
      <c r="F6328" s="1" t="s">
        <v>30</v>
      </c>
      <c r="G6328" s="1" t="s">
        <v>31704</v>
      </c>
      <c r="H6328" s="1">
        <v>2017.0</v>
      </c>
      <c r="I6328" s="1" t="s">
        <v>42</v>
      </c>
      <c r="J6328" s="1" t="s">
        <v>428</v>
      </c>
      <c r="K6328" s="1" t="s">
        <v>380</v>
      </c>
      <c r="L6328" s="1" t="s">
        <v>31705</v>
      </c>
      <c r="M6328" s="2" t="s">
        <v>12</v>
      </c>
      <c r="N6328" s="4">
        <f t="shared" si="1"/>
        <v>42956</v>
      </c>
      <c r="O6328" s="5" t="str">
        <f>IFERROR(__xludf.DUMMYFUNCTION("IF(REGEXMATCH(TRIM(I6328), ""^\d+\s*min""), ""Unclassified"", IF(I6328 = """", ""NR"", I6328))"),"TV-MA")</f>
        <v>TV-MA</v>
      </c>
      <c r="R6328" s="5" t="str">
        <f t="shared" si="2"/>
        <v>Black Site Delta</v>
      </c>
      <c r="S6328" s="5" t="str">
        <f>IFERROR(__xludf.DUMMYFUNCTION("""COMPUTED_VALUE"""),"Silicon Cowboys")</f>
        <v>Silicon Cowboys</v>
      </c>
      <c r="V6328" s="5"/>
      <c r="Y6328" s="5" t="str">
        <f>IFERROR(__xludf.DUMMYFUNCTION("REGEXEXTRACT(J6328, ""^\d+"")"),"88")</f>
        <v>88</v>
      </c>
      <c r="Z6328" s="5" t="str">
        <f>IFERROR(__xludf.DUMMYFUNCTION("REGEXEXTRACT(J6328, ""[A-Za-z ]+$"")")," min")</f>
        <v> min</v>
      </c>
      <c r="AA6328" s="5" t="str">
        <f>IFERROR(__xludf.DUMMYFUNCTION("IF(REGEXMATCH(Z6328, ""Season""), ""TV Show"", ""Movie"")"),"Movie")</f>
        <v>Movie</v>
      </c>
    </row>
    <row r="6329">
      <c r="A6329" s="1" t="s">
        <v>31706</v>
      </c>
      <c r="B6329" s="1" t="s">
        <v>27</v>
      </c>
      <c r="C6329" s="1" t="s">
        <v>31707</v>
      </c>
      <c r="D6329" s="1" t="s">
        <v>5231</v>
      </c>
      <c r="E6329" s="1" t="s">
        <v>31708</v>
      </c>
      <c r="F6329" s="1" t="s">
        <v>30</v>
      </c>
      <c r="G6329" s="1" t="s">
        <v>17941</v>
      </c>
      <c r="H6329" s="1">
        <v>2007.0</v>
      </c>
      <c r="I6329" s="1" t="s">
        <v>378</v>
      </c>
      <c r="J6329" s="1" t="s">
        <v>349</v>
      </c>
      <c r="K6329" s="1" t="s">
        <v>1320</v>
      </c>
      <c r="L6329" s="1" t="s">
        <v>31709</v>
      </c>
      <c r="M6329" s="2" t="s">
        <v>12</v>
      </c>
      <c r="N6329" s="4">
        <f t="shared" si="1"/>
        <v>43789</v>
      </c>
      <c r="O6329" s="5" t="str">
        <f>IFERROR(__xludf.DUMMYFUNCTION("IF(REGEXMATCH(TRIM(I6329), ""^\d+\s*min""), ""Unclassified"", IF(I6329 = """", ""NR"", I6329))"),"R")</f>
        <v>R</v>
      </c>
      <c r="R6329" s="5" t="str">
        <f t="shared" si="2"/>
        <v>Black Snake Moan</v>
      </c>
      <c r="S6329" s="5" t="str">
        <f>IFERROR(__xludf.DUMMYFUNCTION("""COMPUTED_VALUE"""),"Sillu Karuppatti")</f>
        <v>Sillu Karuppatti</v>
      </c>
      <c r="V6329" s="5"/>
      <c r="Y6329" s="5" t="str">
        <f>IFERROR(__xludf.DUMMYFUNCTION("REGEXEXTRACT(J6329, ""^\d+"")"),"116")</f>
        <v>116</v>
      </c>
      <c r="Z6329" s="5" t="str">
        <f>IFERROR(__xludf.DUMMYFUNCTION("REGEXEXTRACT(J6329, ""[A-Za-z ]+$"")")," min")</f>
        <v> min</v>
      </c>
      <c r="AA6329" s="5" t="str">
        <f>IFERROR(__xludf.DUMMYFUNCTION("IF(REGEXMATCH(Z6329, ""Season""), ""TV Show"", ""Movie"")"),"Movie")</f>
        <v>Movie</v>
      </c>
    </row>
    <row r="6330">
      <c r="A6330" s="1" t="s">
        <v>31710</v>
      </c>
      <c r="B6330" s="1" t="s">
        <v>27</v>
      </c>
      <c r="C6330" s="1" t="s">
        <v>31711</v>
      </c>
      <c r="D6330" s="1" t="s">
        <v>15019</v>
      </c>
      <c r="E6330" s="1" t="s">
        <v>31712</v>
      </c>
      <c r="F6330" s="1" t="s">
        <v>2011</v>
      </c>
      <c r="G6330" s="1" t="s">
        <v>27735</v>
      </c>
      <c r="H6330" s="1">
        <v>2017.0</v>
      </c>
      <c r="I6330" s="1" t="s">
        <v>42</v>
      </c>
      <c r="J6330" s="1" t="s">
        <v>79</v>
      </c>
      <c r="K6330" s="1" t="s">
        <v>298</v>
      </c>
      <c r="L6330" s="1" t="s">
        <v>31713</v>
      </c>
      <c r="M6330" s="2" t="s">
        <v>12</v>
      </c>
      <c r="N6330" s="4">
        <f t="shared" si="1"/>
        <v>42917</v>
      </c>
      <c r="O6330" s="5" t="str">
        <f>IFERROR(__xludf.DUMMYFUNCTION("IF(REGEXMATCH(TRIM(I6330), ""^\d+\s*min""), ""Unclassified"", IF(I6330 = """", ""NR"", I6330))"),"TV-MA")</f>
        <v>TV-MA</v>
      </c>
      <c r="R6330" s="5" t="str">
        <f t="shared" si="2"/>
        <v>Black Snow</v>
      </c>
      <c r="S6330" s="5" t="str">
        <f>IFERROR(__xludf.DUMMYFUNCTION("""COMPUTED_VALUE"""),"Silvana Sin Lana")</f>
        <v>Silvana Sin Lana</v>
      </c>
      <c r="V6330" s="5"/>
      <c r="Y6330" s="5" t="str">
        <f>IFERROR(__xludf.DUMMYFUNCTION("REGEXEXTRACT(J6330, ""^\d+"")"),"91")</f>
        <v>91</v>
      </c>
      <c r="Z6330" s="5" t="str">
        <f>IFERROR(__xludf.DUMMYFUNCTION("REGEXEXTRACT(J6330, ""[A-Za-z ]+$"")")," min")</f>
        <v> min</v>
      </c>
      <c r="AA6330" s="5" t="str">
        <f>IFERROR(__xludf.DUMMYFUNCTION("IF(REGEXMATCH(Z6330, ""Season""), ""TV Show"", ""Movie"")"),"Movie")</f>
        <v>Movie</v>
      </c>
    </row>
    <row r="6331">
      <c r="A6331" s="1" t="s">
        <v>31714</v>
      </c>
      <c r="B6331" s="1" t="s">
        <v>27</v>
      </c>
      <c r="C6331" s="1" t="s">
        <v>31715</v>
      </c>
      <c r="D6331" s="1" t="s">
        <v>8037</v>
      </c>
      <c r="F6331" s="1" t="s">
        <v>30</v>
      </c>
      <c r="G6331" s="7">
        <v>43952.0</v>
      </c>
      <c r="H6331" s="1">
        <v>2013.0</v>
      </c>
      <c r="I6331" s="1" t="s">
        <v>32</v>
      </c>
      <c r="J6331" s="1" t="s">
        <v>490</v>
      </c>
      <c r="K6331" s="1" t="s">
        <v>34</v>
      </c>
      <c r="L6331" s="1" t="s">
        <v>31716</v>
      </c>
      <c r="M6331" s="2" t="s">
        <v>12</v>
      </c>
      <c r="N6331" s="4">
        <f t="shared" si="1"/>
        <v>43952</v>
      </c>
      <c r="O6331" s="5" t="str">
        <f>IFERROR(__xludf.DUMMYFUNCTION("IF(REGEXMATCH(TRIM(I6331), ""^\d+\s*min""), ""Unclassified"", IF(I6331 = """", ""NR"", I6331))"),"PG-13")</f>
        <v>PG-13</v>
      </c>
      <c r="R6331" s="5" t="str">
        <f t="shared" si="2"/>
        <v>Blackfish</v>
      </c>
      <c r="S6331" s="5" t="str">
        <f>IFERROR(__xludf.DUMMYFUNCTION("""COMPUTED_VALUE"""),"Silver Linings Playbook")</f>
        <v>Silver Linings Playbook</v>
      </c>
      <c r="V6331" s="5"/>
      <c r="Y6331" s="5" t="str">
        <f>IFERROR(__xludf.DUMMYFUNCTION("REGEXEXTRACT(J6331, ""^\d+"")"),"83")</f>
        <v>83</v>
      </c>
      <c r="Z6331" s="5" t="str">
        <f>IFERROR(__xludf.DUMMYFUNCTION("REGEXEXTRACT(J6331, ""[A-Za-z ]+$"")")," min")</f>
        <v> min</v>
      </c>
      <c r="AA6331" s="5" t="str">
        <f>IFERROR(__xludf.DUMMYFUNCTION("IF(REGEXMATCH(Z6331, ""Season""), ""TV Show"", ""Movie"")"),"Movie")</f>
        <v>Movie</v>
      </c>
    </row>
    <row r="6332">
      <c r="A6332" s="1" t="s">
        <v>31717</v>
      </c>
      <c r="B6332" s="1" t="s">
        <v>27</v>
      </c>
      <c r="C6332" s="1" t="s">
        <v>31718</v>
      </c>
      <c r="D6332" s="1" t="s">
        <v>5482</v>
      </c>
      <c r="E6332" s="1" t="s">
        <v>31719</v>
      </c>
      <c r="F6332" s="1" t="s">
        <v>30</v>
      </c>
      <c r="G6332" s="1" t="s">
        <v>26596</v>
      </c>
      <c r="H6332" s="1">
        <v>2015.0</v>
      </c>
      <c r="I6332" s="1" t="s">
        <v>32</v>
      </c>
      <c r="J6332" s="1" t="s">
        <v>33</v>
      </c>
      <c r="K6332" s="1" t="s">
        <v>171</v>
      </c>
      <c r="L6332" s="1" t="s">
        <v>31720</v>
      </c>
      <c r="M6332" s="2" t="s">
        <v>12</v>
      </c>
      <c r="N6332" s="4">
        <f t="shared" si="1"/>
        <v>43084</v>
      </c>
      <c r="O6332" s="5" t="str">
        <f>IFERROR(__xludf.DUMMYFUNCTION("IF(REGEXMATCH(TRIM(I6332), ""^\d+\s*min""), ""Unclassified"", IF(I6332 = """", ""NR"", I6332))"),"PG-13")</f>
        <v>PG-13</v>
      </c>
      <c r="R6332" s="5" t="str">
        <f t="shared" si="2"/>
        <v>Blackway</v>
      </c>
      <c r="S6332" s="5" t="str">
        <f>IFERROR(__xludf.DUMMYFUNCTION("""COMPUTED_VALUE"""),"Silver Skates")</f>
        <v>Silver Skates</v>
      </c>
      <c r="V6332" s="5"/>
      <c r="Y6332" s="5" t="str">
        <f>IFERROR(__xludf.DUMMYFUNCTION("REGEXEXTRACT(J6332, ""^\d+"")"),"90")</f>
        <v>90</v>
      </c>
      <c r="Z6332" s="5" t="str">
        <f>IFERROR(__xludf.DUMMYFUNCTION("REGEXEXTRACT(J6332, ""[A-Za-z ]+$"")")," min")</f>
        <v> min</v>
      </c>
      <c r="AA6332" s="5" t="str">
        <f>IFERROR(__xludf.DUMMYFUNCTION("IF(REGEXMATCH(Z6332, ""Season""), ""TV Show"", ""Movie"")"),"Movie")</f>
        <v>Movie</v>
      </c>
    </row>
    <row r="6333">
      <c r="A6333" s="1" t="s">
        <v>31721</v>
      </c>
      <c r="B6333" s="1" t="s">
        <v>27</v>
      </c>
      <c r="C6333" s="1" t="s">
        <v>31722</v>
      </c>
      <c r="D6333" s="1" t="s">
        <v>7330</v>
      </c>
      <c r="E6333" s="1" t="s">
        <v>31723</v>
      </c>
      <c r="F6333" s="1" t="s">
        <v>30</v>
      </c>
      <c r="G6333" s="1" t="s">
        <v>31724</v>
      </c>
      <c r="H6333" s="1">
        <v>2018.0</v>
      </c>
      <c r="I6333" s="1" t="s">
        <v>378</v>
      </c>
      <c r="J6333" s="1" t="s">
        <v>1273</v>
      </c>
      <c r="K6333" s="1" t="s">
        <v>15369</v>
      </c>
      <c r="L6333" s="1" t="s">
        <v>31725</v>
      </c>
      <c r="M6333" s="2" t="s">
        <v>12</v>
      </c>
      <c r="N6333" s="4">
        <f t="shared" si="1"/>
        <v>44073</v>
      </c>
      <c r="O6333" s="5" t="str">
        <f>IFERROR(__xludf.DUMMYFUNCTION("IF(REGEXMATCH(TRIM(I6333), ""^\d+\s*min""), ""Unclassified"", IF(I6333 = """", ""NR"", I6333))"),"R")</f>
        <v>R</v>
      </c>
      <c r="R6333" s="5" t="str">
        <f t="shared" si="2"/>
        <v>Blaze</v>
      </c>
      <c r="S6333" s="5" t="str">
        <f>IFERROR(__xludf.DUMMYFUNCTION("""COMPUTED_VALUE"""),"Silver Spoon")</f>
        <v>Silver Spoon</v>
      </c>
      <c r="V6333" s="5"/>
      <c r="Y6333" s="5" t="str">
        <f>IFERROR(__xludf.DUMMYFUNCTION("REGEXEXTRACT(J6333, ""^\d+"")"),"129")</f>
        <v>129</v>
      </c>
      <c r="Z6333" s="5" t="str">
        <f>IFERROR(__xludf.DUMMYFUNCTION("REGEXEXTRACT(J6333, ""[A-Za-z ]+$"")")," min")</f>
        <v> min</v>
      </c>
      <c r="AA6333" s="5" t="str">
        <f>IFERROR(__xludf.DUMMYFUNCTION("IF(REGEXMATCH(Z6333, ""Season""), ""TV Show"", ""Movie"")"),"Movie")</f>
        <v>Movie</v>
      </c>
    </row>
    <row r="6334">
      <c r="A6334" s="1" t="s">
        <v>31726</v>
      </c>
      <c r="B6334" s="1" t="s">
        <v>27</v>
      </c>
      <c r="C6334" s="1" t="s">
        <v>31727</v>
      </c>
      <c r="D6334" s="1" t="s">
        <v>3209</v>
      </c>
      <c r="E6334" s="1" t="s">
        <v>31728</v>
      </c>
      <c r="F6334" s="1" t="s">
        <v>30</v>
      </c>
      <c r="G6334" s="1" t="s">
        <v>15075</v>
      </c>
      <c r="H6334" s="1">
        <v>2016.0</v>
      </c>
      <c r="I6334" s="1" t="s">
        <v>378</v>
      </c>
      <c r="J6334" s="1" t="s">
        <v>985</v>
      </c>
      <c r="K6334" s="1" t="s">
        <v>2275</v>
      </c>
      <c r="L6334" s="1" t="s">
        <v>31729</v>
      </c>
      <c r="M6334" s="2" t="s">
        <v>12</v>
      </c>
      <c r="N6334" s="4">
        <f t="shared" si="1"/>
        <v>43932</v>
      </c>
      <c r="O6334" s="5" t="str">
        <f>IFERROR(__xludf.DUMMYFUNCTION("IF(REGEXMATCH(TRIM(I6334), ""^\d+\s*min""), ""Unclassified"", IF(I6334 = """", ""NR"", I6334))"),"R")</f>
        <v>R</v>
      </c>
      <c r="R6334" s="5" t="str">
        <f t="shared" si="2"/>
        <v>Bleed For This</v>
      </c>
      <c r="S6334" s="5" t="str">
        <f>IFERROR(__xludf.DUMMYFUNCTION("""COMPUTED_VALUE"""),"Simon")</f>
        <v>Simon</v>
      </c>
      <c r="V6334" s="5"/>
      <c r="Y6334" s="5" t="str">
        <f>IFERROR(__xludf.DUMMYFUNCTION("REGEXEXTRACT(J6334, ""^\d+"")"),"120")</f>
        <v>120</v>
      </c>
      <c r="Z6334" s="5" t="str">
        <f>IFERROR(__xludf.DUMMYFUNCTION("REGEXEXTRACT(J6334, ""[A-Za-z ]+$"")")," min")</f>
        <v> min</v>
      </c>
      <c r="AA6334" s="5" t="str">
        <f>IFERROR(__xludf.DUMMYFUNCTION("IF(REGEXMATCH(Z6334, ""Season""), ""TV Show"", ""Movie"")"),"Movie")</f>
        <v>Movie</v>
      </c>
    </row>
    <row r="6335">
      <c r="A6335" s="1" t="s">
        <v>31730</v>
      </c>
      <c r="B6335" s="1" t="s">
        <v>27</v>
      </c>
      <c r="C6335" s="1" t="s">
        <v>31731</v>
      </c>
      <c r="D6335" s="1" t="s">
        <v>6244</v>
      </c>
      <c r="E6335" s="1" t="s">
        <v>31732</v>
      </c>
      <c r="F6335" s="1" t="s">
        <v>972</v>
      </c>
      <c r="G6335" s="1" t="s">
        <v>31733</v>
      </c>
      <c r="H6335" s="1">
        <v>2015.0</v>
      </c>
      <c r="I6335" s="1" t="s">
        <v>78</v>
      </c>
      <c r="J6335" s="1" t="s">
        <v>79</v>
      </c>
      <c r="K6335" s="1" t="s">
        <v>80</v>
      </c>
      <c r="L6335" s="1" t="s">
        <v>31734</v>
      </c>
      <c r="M6335" s="2" t="s">
        <v>12</v>
      </c>
      <c r="N6335" s="4">
        <f t="shared" si="1"/>
        <v>42774</v>
      </c>
      <c r="O6335" s="5" t="str">
        <f>IFERROR(__xludf.DUMMYFUNCTION("IF(REGEXMATCH(TRIM(I6335), ""^\d+\s*min""), ""Unclassified"", IF(I6335 = """", ""NR"", I6335))"),"PG")</f>
        <v>PG</v>
      </c>
      <c r="R6335" s="5" t="str">
        <f t="shared" si="2"/>
        <v>Blinky Bill: The Movie</v>
      </c>
      <c r="S6335" s="5" t="str">
        <f>IFERROR(__xludf.DUMMYFUNCTION("""COMPUTED_VALUE"""),"Simon Amstell: Set Free")</f>
        <v>Simon Amstell: Set Free</v>
      </c>
      <c r="V6335" s="5"/>
      <c r="Y6335" s="5" t="str">
        <f>IFERROR(__xludf.DUMMYFUNCTION("REGEXEXTRACT(J6335, ""^\d+"")"),"91")</f>
        <v>91</v>
      </c>
      <c r="Z6335" s="5" t="str">
        <f>IFERROR(__xludf.DUMMYFUNCTION("REGEXEXTRACT(J6335, ""[A-Za-z ]+$"")")," min")</f>
        <v> min</v>
      </c>
      <c r="AA6335" s="5" t="str">
        <f>IFERROR(__xludf.DUMMYFUNCTION("IF(REGEXMATCH(Z6335, ""Season""), ""TV Show"", ""Movie"")"),"Movie")</f>
        <v>Movie</v>
      </c>
    </row>
    <row r="6336">
      <c r="A6336" s="1" t="s">
        <v>31735</v>
      </c>
      <c r="B6336" s="1" t="s">
        <v>27</v>
      </c>
      <c r="C6336" s="1" t="s">
        <v>31736</v>
      </c>
      <c r="D6336" s="1" t="s">
        <v>12161</v>
      </c>
      <c r="E6336" s="1" t="s">
        <v>31737</v>
      </c>
      <c r="F6336" s="1" t="s">
        <v>664</v>
      </c>
      <c r="G6336" s="1" t="s">
        <v>26351</v>
      </c>
      <c r="H6336" s="1">
        <v>2017.0</v>
      </c>
      <c r="I6336" s="1" t="s">
        <v>42</v>
      </c>
      <c r="J6336" s="1" t="s">
        <v>471</v>
      </c>
      <c r="K6336" s="1" t="s">
        <v>5295</v>
      </c>
      <c r="L6336" s="1" t="s">
        <v>31738</v>
      </c>
      <c r="M6336" s="2" t="s">
        <v>12</v>
      </c>
      <c r="N6336" s="4">
        <f t="shared" si="1"/>
        <v>43124</v>
      </c>
      <c r="O6336" s="5" t="str">
        <f>IFERROR(__xludf.DUMMYFUNCTION("IF(REGEXMATCH(TRIM(I6336), ""^\d+\s*min""), ""Unclassified"", IF(I6336 = """", ""NR"", I6336))"),"TV-MA")</f>
        <v>TV-MA</v>
      </c>
      <c r="R6336" s="5" t="str">
        <f t="shared" si="2"/>
        <v>Blockbuster</v>
      </c>
      <c r="S6336" s="5" t="str">
        <f>IFERROR(__xludf.DUMMYFUNCTION("""COMPUTED_VALUE"""),"Simon Killer")</f>
        <v>Simon Killer</v>
      </c>
      <c r="V6336" s="5"/>
      <c r="Y6336" s="5" t="str">
        <f>IFERROR(__xludf.DUMMYFUNCTION("REGEXEXTRACT(J6336, ""^\d+"")"),"85")</f>
        <v>85</v>
      </c>
      <c r="Z6336" s="5" t="str">
        <f>IFERROR(__xludf.DUMMYFUNCTION("REGEXEXTRACT(J6336, ""[A-Za-z ]+$"")")," min")</f>
        <v> min</v>
      </c>
      <c r="AA6336" s="5" t="str">
        <f>IFERROR(__xludf.DUMMYFUNCTION("IF(REGEXMATCH(Z6336, ""Season""), ""TV Show"", ""Movie"")"),"Movie")</f>
        <v>Movie</v>
      </c>
    </row>
    <row r="6337">
      <c r="A6337" s="1" t="s">
        <v>31739</v>
      </c>
      <c r="B6337" s="1" t="s">
        <v>37</v>
      </c>
      <c r="C6337" s="1" t="s">
        <v>31740</v>
      </c>
      <c r="E6337" s="1" t="s">
        <v>31741</v>
      </c>
      <c r="F6337" s="1" t="s">
        <v>2796</v>
      </c>
      <c r="G6337" s="1" t="s">
        <v>25106</v>
      </c>
      <c r="H6337" s="1">
        <v>2016.0</v>
      </c>
      <c r="I6337" s="1" t="s">
        <v>97</v>
      </c>
      <c r="J6337" s="1" t="s">
        <v>51</v>
      </c>
      <c r="K6337" s="1" t="s">
        <v>408</v>
      </c>
      <c r="L6337" s="1" t="s">
        <v>31742</v>
      </c>
      <c r="M6337" s="2" t="s">
        <v>12</v>
      </c>
      <c r="N6337" s="4">
        <f t="shared" si="1"/>
        <v>43295</v>
      </c>
      <c r="O6337" s="5" t="str">
        <f>IFERROR(__xludf.DUMMYFUNCTION("IF(REGEXMATCH(TRIM(I6337), ""^\d+\s*min""), ""Unclassified"", IF(I6337 = """", ""NR"", I6337))"),"TV-14")</f>
        <v>TV-14</v>
      </c>
      <c r="R6337" s="5" t="str">
        <f t="shared" si="2"/>
        <v>Blood &amp; Treasures</v>
      </c>
      <c r="S6337" s="5" t="str">
        <f>IFERROR(__xludf.DUMMYFUNCTION("""COMPUTED_VALUE"""),"Simplemente Manu Nna")</f>
        <v>Simplemente Manu Nna</v>
      </c>
      <c r="V6337" s="5"/>
      <c r="Y6337" s="5" t="str">
        <f>IFERROR(__xludf.DUMMYFUNCTION("REGEXEXTRACT(J6337, ""^\d+"")"),"1")</f>
        <v>1</v>
      </c>
      <c r="Z6337" s="5" t="str">
        <f>IFERROR(__xludf.DUMMYFUNCTION("REGEXEXTRACT(J6337, ""[A-Za-z ]+$"")")," Season")</f>
        <v> Season</v>
      </c>
      <c r="AA6337" s="5" t="str">
        <f>IFERROR(__xludf.DUMMYFUNCTION("IF(REGEXMATCH(Z6337, ""Season""), ""TV Show"", ""Movie"")"),"TV Show")</f>
        <v>TV Show</v>
      </c>
    </row>
    <row r="6338">
      <c r="A6338" s="1" t="s">
        <v>31743</v>
      </c>
      <c r="B6338" s="1" t="s">
        <v>27</v>
      </c>
      <c r="C6338" s="1" t="s">
        <v>31744</v>
      </c>
      <c r="D6338" s="1" t="s">
        <v>10498</v>
      </c>
      <c r="E6338" s="1" t="s">
        <v>31745</v>
      </c>
      <c r="F6338" s="1" t="s">
        <v>664</v>
      </c>
      <c r="G6338" s="1" t="s">
        <v>15524</v>
      </c>
      <c r="H6338" s="1">
        <v>2016.0</v>
      </c>
      <c r="I6338" s="1" t="s">
        <v>378</v>
      </c>
      <c r="J6338" s="1" t="s">
        <v>428</v>
      </c>
      <c r="K6338" s="1" t="s">
        <v>1066</v>
      </c>
      <c r="L6338" s="1" t="s">
        <v>31746</v>
      </c>
      <c r="M6338" s="2" t="s">
        <v>12</v>
      </c>
      <c r="N6338" s="4">
        <f t="shared" si="1"/>
        <v>43916</v>
      </c>
      <c r="O6338" s="5" t="str">
        <f>IFERROR(__xludf.DUMMYFUNCTION("IF(REGEXMATCH(TRIM(I6338), ""^\d+\s*min""), ""Unclassified"", IF(I6338 = """", ""NR"", I6338))"),"R")</f>
        <v>R</v>
      </c>
      <c r="R6338" s="5" t="str">
        <f t="shared" si="2"/>
        <v>Blood Father</v>
      </c>
      <c r="S6338" s="5" t="str">
        <f>IFERROR(__xludf.DUMMYFUNCTION("""COMPUTED_VALUE"""),"Sin City")</f>
        <v>Sin City</v>
      </c>
      <c r="V6338" s="5"/>
      <c r="Y6338" s="5" t="str">
        <f>IFERROR(__xludf.DUMMYFUNCTION("REGEXEXTRACT(J6338, ""^\d+"")"),"88")</f>
        <v>88</v>
      </c>
      <c r="Z6338" s="5" t="str">
        <f>IFERROR(__xludf.DUMMYFUNCTION("REGEXEXTRACT(J6338, ""[A-Za-z ]+$"")")," min")</f>
        <v> min</v>
      </c>
      <c r="AA6338" s="5" t="str">
        <f>IFERROR(__xludf.DUMMYFUNCTION("IF(REGEXMATCH(Z6338, ""Season""), ""TV Show"", ""Movie"")"),"Movie")</f>
        <v>Movie</v>
      </c>
    </row>
    <row r="6339">
      <c r="A6339" s="1" t="s">
        <v>31747</v>
      </c>
      <c r="B6339" s="1" t="s">
        <v>27</v>
      </c>
      <c r="C6339" s="1" t="s">
        <v>31748</v>
      </c>
      <c r="D6339" s="1" t="s">
        <v>22275</v>
      </c>
      <c r="E6339" s="1" t="s">
        <v>31749</v>
      </c>
      <c r="F6339" s="1" t="s">
        <v>30</v>
      </c>
      <c r="G6339" s="1" t="s">
        <v>18985</v>
      </c>
      <c r="H6339" s="1">
        <v>2001.0</v>
      </c>
      <c r="I6339" s="1" t="s">
        <v>378</v>
      </c>
      <c r="J6339" s="1" t="s">
        <v>2566</v>
      </c>
      <c r="K6339" s="1" t="s">
        <v>805</v>
      </c>
      <c r="L6339" s="1" t="s">
        <v>31750</v>
      </c>
      <c r="M6339" s="2" t="s">
        <v>12</v>
      </c>
      <c r="N6339" s="4">
        <f t="shared" si="1"/>
        <v>43739</v>
      </c>
      <c r="O6339" s="5" t="str">
        <f>IFERROR(__xludf.DUMMYFUNCTION("IF(REGEXMATCH(TRIM(I6339), ""^\d+\s*min""), ""Unclassified"", IF(I6339 = """", ""NR"", I6339))"),"R")</f>
        <v>R</v>
      </c>
      <c r="R6339" s="5" t="str">
        <f t="shared" si="2"/>
        <v>Blow</v>
      </c>
      <c r="S6339" s="5" t="str">
        <f>IFERROR(__xludf.DUMMYFUNCTION("""COMPUTED_VALUE"""),"Sin Senos No Hay Paraíso")</f>
        <v>Sin Senos No Hay Paraíso</v>
      </c>
      <c r="V6339" s="5"/>
      <c r="Y6339" s="5" t="str">
        <f>IFERROR(__xludf.DUMMYFUNCTION("REGEXEXTRACT(J6339, ""^\d+"")"),"123")</f>
        <v>123</v>
      </c>
      <c r="Z6339" s="5" t="str">
        <f>IFERROR(__xludf.DUMMYFUNCTION("REGEXEXTRACT(J6339, ""[A-Za-z ]+$"")")," min")</f>
        <v> min</v>
      </c>
      <c r="AA6339" s="5" t="str">
        <f>IFERROR(__xludf.DUMMYFUNCTION("IF(REGEXMATCH(Z6339, ""Season""), ""TV Show"", ""Movie"")"),"Movie")</f>
        <v>Movie</v>
      </c>
    </row>
    <row r="6340">
      <c r="A6340" s="1" t="s">
        <v>31751</v>
      </c>
      <c r="B6340" s="1" t="s">
        <v>27</v>
      </c>
      <c r="C6340" s="1" t="s">
        <v>31752</v>
      </c>
      <c r="D6340" s="1" t="s">
        <v>192</v>
      </c>
      <c r="E6340" s="1" t="s">
        <v>31753</v>
      </c>
      <c r="F6340" s="1" t="s">
        <v>31754</v>
      </c>
      <c r="G6340" s="1" t="s">
        <v>29520</v>
      </c>
      <c r="H6340" s="1">
        <v>2013.0</v>
      </c>
      <c r="I6340" s="1" t="s">
        <v>27219</v>
      </c>
      <c r="J6340" s="1" t="s">
        <v>14867</v>
      </c>
      <c r="K6340" s="1" t="s">
        <v>89</v>
      </c>
      <c r="L6340" s="1" t="s">
        <v>31755</v>
      </c>
      <c r="M6340" s="2" t="s">
        <v>12</v>
      </c>
      <c r="N6340" s="4">
        <f t="shared" si="1"/>
        <v>42608</v>
      </c>
      <c r="O6340" s="5" t="str">
        <f>IFERROR(__xludf.DUMMYFUNCTION("IF(REGEXMATCH(TRIM(I6340), ""^\d+\s*min""), ""Unclassified"", IF(I6340 = """", ""NR"", I6340))"),"NC-17")</f>
        <v>NC-17</v>
      </c>
      <c r="R6340" s="5" t="str">
        <f t="shared" si="2"/>
        <v>Blue Is The Warmest Color</v>
      </c>
      <c r="S6340" s="5" t="str">
        <f>IFERROR(__xludf.DUMMYFUNCTION("""COMPUTED_VALUE"""),"Sin Senos Sí Hay Paraíso")</f>
        <v>Sin Senos Sí Hay Paraíso</v>
      </c>
      <c r="V6340" s="5"/>
      <c r="Y6340" s="5" t="str">
        <f>IFERROR(__xludf.DUMMYFUNCTION("REGEXEXTRACT(J6340, ""^\d+"")"),"180")</f>
        <v>180</v>
      </c>
      <c r="Z6340" s="5" t="str">
        <f>IFERROR(__xludf.DUMMYFUNCTION("REGEXEXTRACT(J6340, ""[A-Za-z ]+$"")")," min")</f>
        <v> min</v>
      </c>
      <c r="AA6340" s="5" t="str">
        <f>IFERROR(__xludf.DUMMYFUNCTION("IF(REGEXMATCH(Z6340, ""Season""), ""TV Show"", ""Movie"")"),"Movie")</f>
        <v>Movie</v>
      </c>
    </row>
    <row r="6341">
      <c r="A6341" s="1" t="s">
        <v>31756</v>
      </c>
      <c r="B6341" s="1" t="s">
        <v>27</v>
      </c>
      <c r="C6341" s="1" t="s">
        <v>31757</v>
      </c>
      <c r="D6341" s="1" t="s">
        <v>23709</v>
      </c>
      <c r="E6341" s="1" t="s">
        <v>31758</v>
      </c>
      <c r="F6341" s="1" t="s">
        <v>30</v>
      </c>
      <c r="G6341" s="1" t="s">
        <v>21733</v>
      </c>
      <c r="H6341" s="1">
        <v>2013.0</v>
      </c>
      <c r="I6341" s="1" t="s">
        <v>32</v>
      </c>
      <c r="J6341" s="1" t="s">
        <v>357</v>
      </c>
      <c r="K6341" s="1" t="s">
        <v>836</v>
      </c>
      <c r="L6341" s="1" t="s">
        <v>31759</v>
      </c>
      <c r="M6341" s="2" t="s">
        <v>12</v>
      </c>
      <c r="N6341" s="4">
        <f t="shared" si="1"/>
        <v>43532</v>
      </c>
      <c r="O6341" s="5" t="str">
        <f>IFERROR(__xludf.DUMMYFUNCTION("IF(REGEXMATCH(TRIM(I6341), ""^\d+\s*min""), ""Unclassified"", IF(I6341 = """", ""NR"", I6341))"),"PG-13")</f>
        <v>PG-13</v>
      </c>
      <c r="R6341" s="5" t="str">
        <f t="shared" si="2"/>
        <v>Blue Jasmine</v>
      </c>
      <c r="S6341" s="5" t="str">
        <f>IFERROR(__xludf.DUMMYFUNCTION("""COMPUTED_VALUE"""),"Sinatra: All Or Nothing At All")</f>
        <v>Sinatra: All Or Nothing At All</v>
      </c>
      <c r="V6341" s="5"/>
      <c r="Y6341" s="5" t="str">
        <f>IFERROR(__xludf.DUMMYFUNCTION("REGEXEXTRACT(J6341, ""^\d+"")"),"98")</f>
        <v>98</v>
      </c>
      <c r="Z6341" s="5" t="str">
        <f>IFERROR(__xludf.DUMMYFUNCTION("REGEXEXTRACT(J6341, ""[A-Za-z ]+$"")")," min")</f>
        <v> min</v>
      </c>
      <c r="AA6341" s="5" t="str">
        <f>IFERROR(__xludf.DUMMYFUNCTION("IF(REGEXMATCH(Z6341, ""Season""), ""TV Show"", ""Movie"")"),"Movie")</f>
        <v>Movie</v>
      </c>
    </row>
    <row r="6342">
      <c r="A6342" s="1" t="s">
        <v>31760</v>
      </c>
      <c r="B6342" s="1" t="s">
        <v>27</v>
      </c>
      <c r="C6342" s="1" t="s">
        <v>31761</v>
      </c>
      <c r="D6342" s="1" t="s">
        <v>13715</v>
      </c>
      <c r="E6342" s="1" t="s">
        <v>31762</v>
      </c>
      <c r="F6342" s="1" t="s">
        <v>30</v>
      </c>
      <c r="G6342" s="1" t="s">
        <v>29755</v>
      </c>
      <c r="H6342" s="1">
        <v>2016.0</v>
      </c>
      <c r="I6342" s="1" t="s">
        <v>378</v>
      </c>
      <c r="J6342" s="1" t="s">
        <v>33</v>
      </c>
      <c r="K6342" s="1" t="s">
        <v>239</v>
      </c>
      <c r="L6342" s="1" t="s">
        <v>31763</v>
      </c>
      <c r="M6342" s="2" t="s">
        <v>12</v>
      </c>
      <c r="N6342" s="4">
        <f t="shared" si="1"/>
        <v>42430</v>
      </c>
      <c r="O6342" s="5" t="str">
        <f>IFERROR(__xludf.DUMMYFUNCTION("IF(REGEXMATCH(TRIM(I6342), ""^\d+\s*min""), ""Unclassified"", IF(I6342 = """", ""NR"", I6342))"),"R")</f>
        <v>R</v>
      </c>
      <c r="R6342" s="5" t="str">
        <f t="shared" si="2"/>
        <v>Blue Mountain State: The Rise Of Thadland</v>
      </c>
      <c r="S6342" s="5" t="str">
        <f>IFERROR(__xludf.DUMMYFUNCTION("""COMPUTED_VALUE"""),"Sincerely Yours, Dhaka")</f>
        <v>Sincerely Yours, Dhaka</v>
      </c>
      <c r="V6342" s="5"/>
      <c r="Y6342" s="5" t="str">
        <f>IFERROR(__xludf.DUMMYFUNCTION("REGEXEXTRACT(J6342, ""^\d+"")"),"90")</f>
        <v>90</v>
      </c>
      <c r="Z6342" s="5" t="str">
        <f>IFERROR(__xludf.DUMMYFUNCTION("REGEXEXTRACT(J6342, ""[A-Za-z ]+$"")")," min")</f>
        <v> min</v>
      </c>
      <c r="AA6342" s="5" t="str">
        <f>IFERROR(__xludf.DUMMYFUNCTION("IF(REGEXMATCH(Z6342, ""Season""), ""TV Show"", ""Movie"")"),"Movie")</f>
        <v>Movie</v>
      </c>
    </row>
    <row r="6343">
      <c r="A6343" s="1" t="s">
        <v>31764</v>
      </c>
      <c r="B6343" s="1" t="s">
        <v>37</v>
      </c>
      <c r="C6343" s="1" t="s">
        <v>31765</v>
      </c>
      <c r="E6343" s="1" t="s">
        <v>5968</v>
      </c>
      <c r="F6343" s="1" t="s">
        <v>96</v>
      </c>
      <c r="G6343" s="1" t="s">
        <v>23118</v>
      </c>
      <c r="H6343" s="1">
        <v>2017.0</v>
      </c>
      <c r="I6343" s="1" t="s">
        <v>506</v>
      </c>
      <c r="J6343" s="1" t="s">
        <v>51</v>
      </c>
      <c r="K6343" s="1" t="s">
        <v>29581</v>
      </c>
      <c r="L6343" s="1" t="s">
        <v>31766</v>
      </c>
      <c r="M6343" s="2" t="s">
        <v>12</v>
      </c>
      <c r="N6343" s="4">
        <f t="shared" si="1"/>
        <v>43437</v>
      </c>
      <c r="O6343" s="5" t="str">
        <f>IFERROR(__xludf.DUMMYFUNCTION("IF(REGEXMATCH(TRIM(I6343), ""^\d+\s*min""), ""Unclassified"", IF(I6343 = """", ""NR"", I6343))"),"TV-G")</f>
        <v>TV-G</v>
      </c>
      <c r="R6343" s="5" t="str">
        <f t="shared" si="2"/>
        <v>Blue Planet Ii</v>
      </c>
      <c r="S6343" s="5" t="str">
        <f>IFERROR(__xludf.DUMMYFUNCTION("""COMPUTED_VALUE"""),"Sing On!")</f>
        <v>Sing On!</v>
      </c>
      <c r="V6343" s="5"/>
      <c r="Y6343" s="5" t="str">
        <f>IFERROR(__xludf.DUMMYFUNCTION("REGEXEXTRACT(J6343, ""^\d+"")"),"1")</f>
        <v>1</v>
      </c>
      <c r="Z6343" s="5" t="str">
        <f>IFERROR(__xludf.DUMMYFUNCTION("REGEXEXTRACT(J6343, ""[A-Za-z ]+$"")")," Season")</f>
        <v> Season</v>
      </c>
      <c r="AA6343" s="5" t="str">
        <f>IFERROR(__xludf.DUMMYFUNCTION("IF(REGEXMATCH(Z6343, ""Season""), ""TV Show"", ""Movie"")"),"TV Show")</f>
        <v>TV Show</v>
      </c>
    </row>
    <row r="6344">
      <c r="A6344" s="1" t="s">
        <v>31767</v>
      </c>
      <c r="B6344" s="1" t="s">
        <v>27</v>
      </c>
      <c r="C6344" s="1" t="s">
        <v>31768</v>
      </c>
      <c r="D6344" s="1" t="s">
        <v>10829</v>
      </c>
      <c r="E6344" s="1" t="s">
        <v>31769</v>
      </c>
      <c r="F6344" s="1" t="s">
        <v>2321</v>
      </c>
      <c r="G6344" s="1" t="s">
        <v>21979</v>
      </c>
      <c r="H6344" s="1">
        <v>2013.0</v>
      </c>
      <c r="I6344" s="1" t="s">
        <v>378</v>
      </c>
      <c r="J6344" s="1" t="s">
        <v>33</v>
      </c>
      <c r="K6344" s="1" t="s">
        <v>5435</v>
      </c>
      <c r="L6344" s="1" t="s">
        <v>31770</v>
      </c>
      <c r="M6344" s="2" t="s">
        <v>12</v>
      </c>
      <c r="N6344" s="4">
        <f t="shared" si="1"/>
        <v>43521</v>
      </c>
      <c r="O6344" s="5" t="str">
        <f>IFERROR(__xludf.DUMMYFUNCTION("IF(REGEXMATCH(TRIM(I6344), ""^\d+\s*min""), ""Unclassified"", IF(I6344 = """", ""NR"", I6344))"),"R")</f>
        <v>R</v>
      </c>
      <c r="R6344" s="5" t="str">
        <f t="shared" si="2"/>
        <v>Blue Ruin</v>
      </c>
      <c r="S6344" s="5" t="str">
        <f>IFERROR(__xludf.DUMMYFUNCTION("""COMPUTED_VALUE"""),"Sing On! Germany")</f>
        <v>Sing On! Germany</v>
      </c>
      <c r="V6344" s="5"/>
      <c r="Y6344" s="5" t="str">
        <f>IFERROR(__xludf.DUMMYFUNCTION("REGEXEXTRACT(J6344, ""^\d+"")"),"90")</f>
        <v>90</v>
      </c>
      <c r="Z6344" s="5" t="str">
        <f>IFERROR(__xludf.DUMMYFUNCTION("REGEXEXTRACT(J6344, ""[A-Za-z ]+$"")")," min")</f>
        <v> min</v>
      </c>
      <c r="AA6344" s="5" t="str">
        <f>IFERROR(__xludf.DUMMYFUNCTION("IF(REGEXMATCH(Z6344, ""Season""), ""TV Show"", ""Movie"")"),"Movie")</f>
        <v>Movie</v>
      </c>
    </row>
    <row r="6345">
      <c r="A6345" s="1" t="s">
        <v>31771</v>
      </c>
      <c r="B6345" s="1" t="s">
        <v>27</v>
      </c>
      <c r="C6345" s="1" t="s">
        <v>31772</v>
      </c>
      <c r="D6345" s="1" t="s">
        <v>4735</v>
      </c>
      <c r="E6345" s="1" t="s">
        <v>31773</v>
      </c>
      <c r="F6345" s="1" t="s">
        <v>911</v>
      </c>
      <c r="G6345" s="1" t="s">
        <v>8506</v>
      </c>
      <c r="H6345" s="1">
        <v>1999.0</v>
      </c>
      <c r="I6345" s="1" t="s">
        <v>32</v>
      </c>
      <c r="J6345" s="1" t="s">
        <v>170</v>
      </c>
      <c r="K6345" s="1" t="s">
        <v>973</v>
      </c>
      <c r="L6345" s="1" t="s">
        <v>31774</v>
      </c>
      <c r="M6345" s="2" t="s">
        <v>12</v>
      </c>
      <c r="N6345" s="4">
        <f t="shared" si="1"/>
        <v>44197</v>
      </c>
      <c r="O6345" s="5" t="str">
        <f>IFERROR(__xludf.DUMMYFUNCTION("IF(REGEXMATCH(TRIM(I6345), ""^\d+\s*min""), ""Unclassified"", IF(I6345 = """", ""NR"", I6345))"),"PG-13")</f>
        <v>PG-13</v>
      </c>
      <c r="R6345" s="5" t="str">
        <f t="shared" si="2"/>
        <v>Blue Streak</v>
      </c>
      <c r="S6345" s="5" t="str">
        <f>IFERROR(__xludf.DUMMYFUNCTION("""COMPUTED_VALUE"""),"Sing On! Spain")</f>
        <v>Sing On! Spain</v>
      </c>
      <c r="V6345" s="5"/>
      <c r="Y6345" s="5" t="str">
        <f>IFERROR(__xludf.DUMMYFUNCTION("REGEXEXTRACT(J6345, ""^\d+"")"),"94")</f>
        <v>94</v>
      </c>
      <c r="Z6345" s="5" t="str">
        <f>IFERROR(__xludf.DUMMYFUNCTION("REGEXEXTRACT(J6345, ""[A-Za-z ]+$"")")," min")</f>
        <v> min</v>
      </c>
      <c r="AA6345" s="5" t="str">
        <f>IFERROR(__xludf.DUMMYFUNCTION("IF(REGEXMATCH(Z6345, ""Season""), ""TV Show"", ""Movie"")"),"Movie")</f>
        <v>Movie</v>
      </c>
    </row>
    <row r="6346">
      <c r="A6346" s="1" t="s">
        <v>31775</v>
      </c>
      <c r="B6346" s="1" t="s">
        <v>27</v>
      </c>
      <c r="C6346" s="1" t="s">
        <v>31776</v>
      </c>
      <c r="D6346" s="1" t="s">
        <v>6372</v>
      </c>
      <c r="E6346" s="1" t="s">
        <v>31777</v>
      </c>
      <c r="F6346" s="1" t="s">
        <v>30</v>
      </c>
      <c r="G6346" s="1" t="s">
        <v>31778</v>
      </c>
      <c r="H6346" s="1">
        <v>2010.0</v>
      </c>
      <c r="I6346" s="1" t="s">
        <v>378</v>
      </c>
      <c r="J6346" s="1" t="s">
        <v>1243</v>
      </c>
      <c r="K6346" s="1" t="s">
        <v>1538</v>
      </c>
      <c r="L6346" s="1" t="s">
        <v>31779</v>
      </c>
      <c r="M6346" s="2" t="s">
        <v>12</v>
      </c>
      <c r="N6346" s="4">
        <f t="shared" si="1"/>
        <v>43286</v>
      </c>
      <c r="O6346" s="5" t="str">
        <f>IFERROR(__xludf.DUMMYFUNCTION("IF(REGEXMATCH(TRIM(I6346), ""^\d+\s*min""), ""Unclassified"", IF(I6346 = """", ""NR"", I6346))"),"R")</f>
        <v>R</v>
      </c>
      <c r="R6346" s="5" t="str">
        <f t="shared" si="2"/>
        <v>Blue Valentine</v>
      </c>
      <c r="S6346" s="5" t="str">
        <f>IFERROR(__xludf.DUMMYFUNCTION("""COMPUTED_VALUE"""),"Singapore")</f>
        <v>Singapore</v>
      </c>
      <c r="V6346" s="5"/>
      <c r="Y6346" s="5" t="str">
        <f>IFERROR(__xludf.DUMMYFUNCTION("REGEXEXTRACT(J6346, ""^\d+"")"),"112")</f>
        <v>112</v>
      </c>
      <c r="Z6346" s="5" t="str">
        <f>IFERROR(__xludf.DUMMYFUNCTION("REGEXEXTRACT(J6346, ""[A-Za-z ]+$"")")," min")</f>
        <v> min</v>
      </c>
      <c r="AA6346" s="5" t="str">
        <f>IFERROR(__xludf.DUMMYFUNCTION("IF(REGEXMATCH(Z6346, ""Season""), ""TV Show"", ""Movie"")"),"Movie")</f>
        <v>Movie</v>
      </c>
    </row>
    <row r="6347">
      <c r="A6347" s="1" t="s">
        <v>31780</v>
      </c>
      <c r="B6347" s="1" t="s">
        <v>27</v>
      </c>
      <c r="C6347" s="1" t="s">
        <v>31781</v>
      </c>
      <c r="D6347" s="1" t="s">
        <v>3010</v>
      </c>
      <c r="F6347" s="1" t="s">
        <v>1106</v>
      </c>
      <c r="G6347" s="1" t="s">
        <v>26505</v>
      </c>
      <c r="H6347" s="1">
        <v>2017.0</v>
      </c>
      <c r="I6347" s="1" t="s">
        <v>42</v>
      </c>
      <c r="J6347" s="1" t="s">
        <v>471</v>
      </c>
      <c r="K6347" s="1" t="s">
        <v>34</v>
      </c>
      <c r="L6347" s="1" t="s">
        <v>31782</v>
      </c>
      <c r="M6347" s="2" t="s">
        <v>12</v>
      </c>
      <c r="N6347" s="4">
        <f t="shared" si="1"/>
        <v>43100</v>
      </c>
      <c r="O6347" s="5" t="str">
        <f>IFERROR(__xludf.DUMMYFUNCTION("IF(REGEXMATCH(TRIM(I6347), ""^\d+\s*min""), ""Unclassified"", IF(I6347 = """", ""NR"", I6347))"),"TV-MA")</f>
        <v>TV-MA</v>
      </c>
      <c r="R6347" s="5" t="str">
        <f t="shared" si="2"/>
        <v>Blurred Lines: Inside The Art World</v>
      </c>
      <c r="S6347" s="5" t="str">
        <f>IFERROR(__xludf.DUMMYFUNCTION("""COMPUTED_VALUE"""),"Singapore Social")</f>
        <v>Singapore Social</v>
      </c>
      <c r="V6347" s="5"/>
      <c r="Y6347" s="5" t="str">
        <f>IFERROR(__xludf.DUMMYFUNCTION("REGEXEXTRACT(J6347, ""^\d+"")"),"85")</f>
        <v>85</v>
      </c>
      <c r="Z6347" s="5" t="str">
        <f>IFERROR(__xludf.DUMMYFUNCTION("REGEXEXTRACT(J6347, ""[A-Za-z ]+$"")")," min")</f>
        <v> min</v>
      </c>
      <c r="AA6347" s="5" t="str">
        <f>IFERROR(__xludf.DUMMYFUNCTION("IF(REGEXMATCH(Z6347, ""Season""), ""TV Show"", ""Movie"")"),"Movie")</f>
        <v>Movie</v>
      </c>
    </row>
    <row r="6348">
      <c r="A6348" s="1" t="s">
        <v>31783</v>
      </c>
      <c r="B6348" s="1" t="s">
        <v>27</v>
      </c>
      <c r="C6348" s="1" t="s">
        <v>31784</v>
      </c>
      <c r="D6348" s="1" t="s">
        <v>10818</v>
      </c>
      <c r="E6348" s="1" t="s">
        <v>31785</v>
      </c>
      <c r="F6348" s="1" t="s">
        <v>30</v>
      </c>
      <c r="G6348" s="1" t="s">
        <v>20318</v>
      </c>
      <c r="H6348" s="1">
        <v>2018.0</v>
      </c>
      <c r="I6348" s="1" t="s">
        <v>42</v>
      </c>
      <c r="J6348" s="1" t="s">
        <v>247</v>
      </c>
      <c r="K6348" s="1" t="s">
        <v>34</v>
      </c>
      <c r="L6348" s="1" t="s">
        <v>31786</v>
      </c>
      <c r="M6348" s="2" t="s">
        <v>12</v>
      </c>
      <c r="N6348" s="4">
        <f t="shared" si="1"/>
        <v>43634</v>
      </c>
      <c r="O6348" s="5" t="str">
        <f>IFERROR(__xludf.DUMMYFUNCTION("IF(REGEXMATCH(TRIM(I6348), ""^\d+\s*min""), ""Unclassified"", IF(I6348 = """", ""NR"", I6348))"),"TV-MA")</f>
        <v>TV-MA</v>
      </c>
      <c r="R6348" s="5" t="str">
        <f t="shared" si="2"/>
        <v>Bob Lazar: Area 51 &amp; Flying Saucers</v>
      </c>
      <c r="S6348" s="5" t="str">
        <f>IFERROR(__xludf.DUMMYFUNCTION("""COMPUTED_VALUE"""),"Singh Saab The Great")</f>
        <v>Singh Saab The Great</v>
      </c>
      <c r="V6348" s="5"/>
      <c r="Y6348" s="5" t="str">
        <f>IFERROR(__xludf.DUMMYFUNCTION("REGEXEXTRACT(J6348, ""^\d+"")"),"97")</f>
        <v>97</v>
      </c>
      <c r="Z6348" s="5" t="str">
        <f>IFERROR(__xludf.DUMMYFUNCTION("REGEXEXTRACT(J6348, ""[A-Za-z ]+$"")")," min")</f>
        <v> min</v>
      </c>
      <c r="AA6348" s="5" t="str">
        <f>IFERROR(__xludf.DUMMYFUNCTION("IF(REGEXMATCH(Z6348, ""Season""), ""TV Show"", ""Movie"")"),"Movie")</f>
        <v>Movie</v>
      </c>
    </row>
    <row r="6349">
      <c r="A6349" s="1" t="s">
        <v>31787</v>
      </c>
      <c r="B6349" s="1" t="s">
        <v>37</v>
      </c>
      <c r="C6349" s="1" t="s">
        <v>31788</v>
      </c>
      <c r="E6349" s="1" t="s">
        <v>1502</v>
      </c>
      <c r="G6349" s="1" t="s">
        <v>29673</v>
      </c>
      <c r="H6349" s="1">
        <v>1991.0</v>
      </c>
      <c r="I6349" s="1" t="s">
        <v>506</v>
      </c>
      <c r="J6349" s="1" t="s">
        <v>51</v>
      </c>
      <c r="K6349" s="1" t="s">
        <v>1045</v>
      </c>
      <c r="L6349" s="1" t="s">
        <v>31789</v>
      </c>
      <c r="M6349" s="2" t="s">
        <v>12</v>
      </c>
      <c r="N6349" s="4">
        <f t="shared" si="1"/>
        <v>42522</v>
      </c>
      <c r="O6349" s="5" t="str">
        <f>IFERROR(__xludf.DUMMYFUNCTION("IF(REGEXMATCH(TRIM(I6349), ""^\d+\s*min""), ""Unclassified"", IF(I6349 = """", ""NR"", I6349))"),"TV-G")</f>
        <v>TV-G</v>
      </c>
      <c r="R6349" s="5" t="str">
        <f t="shared" si="2"/>
        <v>Bob Ross: Beauty Is Everywhere</v>
      </c>
      <c r="S6349" s="5" t="str">
        <f>IFERROR(__xludf.DUMMYFUNCTION("""COMPUTED_VALUE"""),"Singham")</f>
        <v>Singham</v>
      </c>
      <c r="V6349" s="5"/>
      <c r="Y6349" s="5" t="str">
        <f>IFERROR(__xludf.DUMMYFUNCTION("REGEXEXTRACT(J6349, ""^\d+"")"),"1")</f>
        <v>1</v>
      </c>
      <c r="Z6349" s="5" t="str">
        <f>IFERROR(__xludf.DUMMYFUNCTION("REGEXEXTRACT(J6349, ""[A-Za-z ]+$"")")," Season")</f>
        <v> Season</v>
      </c>
      <c r="AA6349" s="5" t="str">
        <f>IFERROR(__xludf.DUMMYFUNCTION("IF(REGEXMATCH(Z6349, ""Season""), ""TV Show"", ""Movie"")"),"TV Show")</f>
        <v>TV Show</v>
      </c>
    </row>
    <row r="6350">
      <c r="A6350" s="1" t="s">
        <v>31790</v>
      </c>
      <c r="B6350" s="1" t="s">
        <v>27</v>
      </c>
      <c r="C6350" s="1" t="s">
        <v>31791</v>
      </c>
      <c r="D6350" s="1" t="s">
        <v>10432</v>
      </c>
      <c r="E6350" s="1" t="s">
        <v>31792</v>
      </c>
      <c r="F6350" s="1" t="s">
        <v>1106</v>
      </c>
      <c r="G6350" s="1" t="s">
        <v>31793</v>
      </c>
      <c r="H6350" s="1">
        <v>2015.0</v>
      </c>
      <c r="I6350" s="1" t="s">
        <v>506</v>
      </c>
      <c r="J6350" s="1" t="s">
        <v>5207</v>
      </c>
      <c r="K6350" s="1" t="s">
        <v>80</v>
      </c>
      <c r="L6350" s="1" t="s">
        <v>31794</v>
      </c>
      <c r="M6350" s="2" t="s">
        <v>12</v>
      </c>
      <c r="N6350" s="4">
        <f t="shared" si="1"/>
        <v>42355</v>
      </c>
      <c r="O6350" s="5" t="str">
        <f>IFERROR(__xludf.DUMMYFUNCTION("IF(REGEXMATCH(TRIM(I6350), ""^\d+\s*min""), ""Unclassified"", IF(I6350 = """", ""NR"", I6350))"),"TV-G")</f>
        <v>TV-G</v>
      </c>
      <c r="R6350" s="5" t="str">
        <f t="shared" si="2"/>
        <v>Bob'S Broken Sleigh</v>
      </c>
      <c r="S6350" s="5" t="str">
        <f>IFERROR(__xludf.DUMMYFUNCTION("""COMPUTED_VALUE"""),"Single")</f>
        <v>Single</v>
      </c>
      <c r="V6350" s="5"/>
      <c r="Y6350" s="5" t="str">
        <f>IFERROR(__xludf.DUMMYFUNCTION("REGEXEXTRACT(J6350, ""^\d+"")"),"47")</f>
        <v>47</v>
      </c>
      <c r="Z6350" s="5" t="str">
        <f>IFERROR(__xludf.DUMMYFUNCTION("REGEXEXTRACT(J6350, ""[A-Za-z ]+$"")")," min")</f>
        <v> min</v>
      </c>
      <c r="AA6350" s="5" t="str">
        <f>IFERROR(__xludf.DUMMYFUNCTION("IF(REGEXMATCH(Z6350, ""Season""), ""TV Show"", ""Movie"")"),"Movie")</f>
        <v>Movie</v>
      </c>
    </row>
    <row r="6351">
      <c r="A6351" s="1" t="s">
        <v>31795</v>
      </c>
      <c r="B6351" s="1" t="s">
        <v>27</v>
      </c>
      <c r="C6351" s="1" t="s">
        <v>31796</v>
      </c>
      <c r="D6351" s="1" t="s">
        <v>7028</v>
      </c>
      <c r="E6351" s="1" t="s">
        <v>31797</v>
      </c>
      <c r="F6351" s="1" t="s">
        <v>31798</v>
      </c>
      <c r="G6351" s="1" t="s">
        <v>25390</v>
      </c>
      <c r="H6351" s="1">
        <v>2017.0</v>
      </c>
      <c r="I6351" s="1" t="s">
        <v>42</v>
      </c>
      <c r="J6351" s="1" t="s">
        <v>416</v>
      </c>
      <c r="K6351" s="1" t="s">
        <v>34</v>
      </c>
      <c r="L6351" s="1" t="s">
        <v>31799</v>
      </c>
      <c r="M6351" s="2" t="s">
        <v>12</v>
      </c>
      <c r="N6351" s="4">
        <f t="shared" si="1"/>
        <v>43252</v>
      </c>
      <c r="O6351" s="5" t="str">
        <f>IFERROR(__xludf.DUMMYFUNCTION("IF(REGEXMATCH(TRIM(I6351), ""^\d+\s*min""), ""Unclassified"", IF(I6351 = """", ""NR"", I6351))"),"TV-MA")</f>
        <v>TV-MA</v>
      </c>
      <c r="R6351" s="5" t="str">
        <f t="shared" si="2"/>
        <v>Bobbi Jene</v>
      </c>
      <c r="S6351" s="5" t="str">
        <f>IFERROR(__xludf.DUMMYFUNCTION("""COMPUTED_VALUE"""),"Single Ladies Senior")</f>
        <v>Single Ladies Senior</v>
      </c>
      <c r="V6351" s="5"/>
      <c r="Y6351" s="5" t="str">
        <f>IFERROR(__xludf.DUMMYFUNCTION("REGEXEXTRACT(J6351, ""^\d+"")"),"99")</f>
        <v>99</v>
      </c>
      <c r="Z6351" s="5" t="str">
        <f>IFERROR(__xludf.DUMMYFUNCTION("REGEXEXTRACT(J6351, ""[A-Za-z ]+$"")")," min")</f>
        <v> min</v>
      </c>
      <c r="AA6351" s="5" t="str">
        <f>IFERROR(__xludf.DUMMYFUNCTION("IF(REGEXMATCH(Z6351, ""Season""), ""TV Show"", ""Movie"")"),"Movie")</f>
        <v>Movie</v>
      </c>
    </row>
    <row r="6352">
      <c r="A6352" s="1" t="s">
        <v>31800</v>
      </c>
      <c r="B6352" s="1" t="s">
        <v>27</v>
      </c>
      <c r="C6352" s="1" t="s">
        <v>31801</v>
      </c>
      <c r="D6352" s="1" t="s">
        <v>18613</v>
      </c>
      <c r="E6352" s="1" t="s">
        <v>31802</v>
      </c>
      <c r="F6352" s="1" t="s">
        <v>63</v>
      </c>
      <c r="G6352" s="1" t="s">
        <v>17078</v>
      </c>
      <c r="H6352" s="1">
        <v>1973.0</v>
      </c>
      <c r="I6352" s="1" t="s">
        <v>97</v>
      </c>
      <c r="J6352" s="1" t="s">
        <v>21080</v>
      </c>
      <c r="K6352" s="1" t="s">
        <v>2012</v>
      </c>
      <c r="L6352" s="1" t="s">
        <v>31803</v>
      </c>
      <c r="M6352" s="2" t="s">
        <v>12</v>
      </c>
      <c r="N6352" s="4">
        <f t="shared" si="1"/>
        <v>43830</v>
      </c>
      <c r="O6352" s="5" t="str">
        <f>IFERROR(__xludf.DUMMYFUNCTION("IF(REGEXMATCH(TRIM(I6352), ""^\d+\s*min""), ""Unclassified"", IF(I6352 = """", ""NR"", I6352))"),"TV-14")</f>
        <v>TV-14</v>
      </c>
      <c r="R6352" s="5" t="str">
        <f t="shared" si="2"/>
        <v>Bobby</v>
      </c>
      <c r="S6352" s="5" t="str">
        <f>IFERROR(__xludf.DUMMYFUNCTION("""COMPUTED_VALUE"""),"Single Wives")</f>
        <v>Single Wives</v>
      </c>
      <c r="V6352" s="5"/>
      <c r="Y6352" s="5" t="str">
        <f>IFERROR(__xludf.DUMMYFUNCTION("REGEXEXTRACT(J6352, ""^\d+"")"),"168")</f>
        <v>168</v>
      </c>
      <c r="Z6352" s="5" t="str">
        <f>IFERROR(__xludf.DUMMYFUNCTION("REGEXEXTRACT(J6352, ""[A-Za-z ]+$"")")," min")</f>
        <v> min</v>
      </c>
      <c r="AA6352" s="5" t="str">
        <f>IFERROR(__xludf.DUMMYFUNCTION("IF(REGEXMATCH(Z6352, ""Season""), ""TV Show"", ""Movie"")"),"Movie")</f>
        <v>Movie</v>
      </c>
    </row>
    <row r="6353">
      <c r="A6353" s="1" t="s">
        <v>31804</v>
      </c>
      <c r="B6353" s="1" t="s">
        <v>27</v>
      </c>
      <c r="C6353" s="1" t="s">
        <v>31805</v>
      </c>
      <c r="D6353" s="1" t="s">
        <v>8024</v>
      </c>
      <c r="E6353" s="1" t="s">
        <v>31806</v>
      </c>
      <c r="F6353" s="1" t="s">
        <v>96</v>
      </c>
      <c r="G6353" s="1" t="s">
        <v>23134</v>
      </c>
      <c r="H6353" s="1">
        <v>2018.0</v>
      </c>
      <c r="I6353" s="1" t="s">
        <v>97</v>
      </c>
      <c r="J6353" s="1" t="s">
        <v>416</v>
      </c>
      <c r="K6353" s="1" t="s">
        <v>520</v>
      </c>
      <c r="L6353" s="1" t="s">
        <v>31807</v>
      </c>
      <c r="M6353" s="2" t="s">
        <v>12</v>
      </c>
      <c r="N6353" s="4">
        <f t="shared" si="1"/>
        <v>43435</v>
      </c>
      <c r="O6353" s="5" t="str">
        <f>IFERROR(__xludf.DUMMYFUNCTION("IF(REGEXMATCH(TRIM(I6353), ""^\d+\s*min""), ""Unclassified"", IF(I6353 = """", ""NR"", I6353))"),"TV-14")</f>
        <v>TV-14</v>
      </c>
      <c r="R6353" s="5" t="str">
        <f t="shared" si="2"/>
        <v>Bobby Robson: More Than A Manager</v>
      </c>
      <c r="S6353" s="5" t="str">
        <f>IFERROR(__xludf.DUMMYFUNCTION("""COMPUTED_VALUE"""),"Singles Villa")</f>
        <v>Singles Villa</v>
      </c>
      <c r="V6353" s="5"/>
      <c r="Y6353" s="5" t="str">
        <f>IFERROR(__xludf.DUMMYFUNCTION("REGEXEXTRACT(J6353, ""^\d+"")"),"99")</f>
        <v>99</v>
      </c>
      <c r="Z6353" s="5" t="str">
        <f>IFERROR(__xludf.DUMMYFUNCTION("REGEXEXTRACT(J6353, ""[A-Za-z ]+$"")")," min")</f>
        <v> min</v>
      </c>
      <c r="AA6353" s="5" t="str">
        <f>IFERROR(__xludf.DUMMYFUNCTION("IF(REGEXMATCH(Z6353, ""Season""), ""TV Show"", ""Movie"")"),"Movie")</f>
        <v>Movie</v>
      </c>
    </row>
    <row r="6354">
      <c r="A6354" s="1" t="s">
        <v>31808</v>
      </c>
      <c r="B6354" s="1" t="s">
        <v>27</v>
      </c>
      <c r="C6354" s="1" t="s">
        <v>31809</v>
      </c>
      <c r="D6354" s="1" t="s">
        <v>3663</v>
      </c>
      <c r="F6354" s="1" t="s">
        <v>15164</v>
      </c>
      <c r="G6354" s="1" t="s">
        <v>31810</v>
      </c>
      <c r="H6354" s="1">
        <v>2016.0</v>
      </c>
      <c r="I6354" s="1" t="s">
        <v>97</v>
      </c>
      <c r="J6354" s="1" t="s">
        <v>256</v>
      </c>
      <c r="K6354" s="1" t="s">
        <v>34</v>
      </c>
      <c r="L6354" s="1" t="s">
        <v>31811</v>
      </c>
      <c r="M6354" s="2" t="s">
        <v>12</v>
      </c>
      <c r="N6354" s="4">
        <f t="shared" si="1"/>
        <v>43006</v>
      </c>
      <c r="O6354" s="5" t="str">
        <f>IFERROR(__xludf.DUMMYFUNCTION("IF(REGEXMATCH(TRIM(I6354), ""^\d+\s*min""), ""Unclassified"", IF(I6354 = """", ""NR"", I6354))"),"TV-14")</f>
        <v>TV-14</v>
      </c>
      <c r="R6354" s="5" t="str">
        <f t="shared" si="2"/>
        <v>Bobby Sands: 66 Days</v>
      </c>
      <c r="S6354" s="5" t="str">
        <f>IFERROR(__xludf.DUMMYFUNCTION("""COMPUTED_VALUE"""),"Singularity")</f>
        <v>Singularity</v>
      </c>
      <c r="V6354" s="5"/>
      <c r="Y6354" s="5" t="str">
        <f>IFERROR(__xludf.DUMMYFUNCTION("REGEXEXTRACT(J6354, ""^\d+"")"),"106")</f>
        <v>106</v>
      </c>
      <c r="Z6354" s="5" t="str">
        <f>IFERROR(__xludf.DUMMYFUNCTION("REGEXEXTRACT(J6354, ""[A-Za-z ]+$"")")," min")</f>
        <v> min</v>
      </c>
      <c r="AA6354" s="5" t="str">
        <f>IFERROR(__xludf.DUMMYFUNCTION("IF(REGEXMATCH(Z6354, ""Season""), ""TV Show"", ""Movie"")"),"Movie")</f>
        <v>Movie</v>
      </c>
    </row>
    <row r="6355">
      <c r="A6355" s="1" t="s">
        <v>31812</v>
      </c>
      <c r="B6355" s="1" t="s">
        <v>27</v>
      </c>
      <c r="C6355" s="1" t="s">
        <v>31813</v>
      </c>
      <c r="D6355" s="1" t="s">
        <v>8314</v>
      </c>
      <c r="E6355" s="1" t="s">
        <v>31814</v>
      </c>
      <c r="F6355" s="1" t="s">
        <v>31815</v>
      </c>
      <c r="G6355" s="1" t="s">
        <v>31816</v>
      </c>
      <c r="H6355" s="1">
        <v>2017.0</v>
      </c>
      <c r="I6355" s="1" t="s">
        <v>97</v>
      </c>
      <c r="J6355" s="1" t="s">
        <v>665</v>
      </c>
      <c r="K6355" s="1" t="s">
        <v>5269</v>
      </c>
      <c r="L6355" s="1" t="s">
        <v>31817</v>
      </c>
      <c r="M6355" s="2" t="s">
        <v>12</v>
      </c>
      <c r="N6355" s="4">
        <f t="shared" si="1"/>
        <v>42908</v>
      </c>
      <c r="O6355" s="5" t="str">
        <f>IFERROR(__xludf.DUMMYFUNCTION("IF(REGEXMATCH(TRIM(I6355), ""^\d+\s*min""), ""Unclassified"", IF(I6355 = """", ""NR"", I6355))"),"TV-14")</f>
        <v>TV-14</v>
      </c>
      <c r="R6355" s="5" t="str">
        <f t="shared" si="2"/>
        <v>Bokeh</v>
      </c>
      <c r="S6355" s="5" t="str">
        <f>IFERROR(__xludf.DUMMYFUNCTION("""COMPUTED_VALUE"""),"Sinister 2")</f>
        <v>Sinister 2</v>
      </c>
      <c r="V6355" s="5"/>
      <c r="Y6355" s="5" t="str">
        <f>IFERROR(__xludf.DUMMYFUNCTION("REGEXEXTRACT(J6355, ""^\d+"")"),"92")</f>
        <v>92</v>
      </c>
      <c r="Z6355" s="5" t="str">
        <f>IFERROR(__xludf.DUMMYFUNCTION("REGEXEXTRACT(J6355, ""[A-Za-z ]+$"")")," min")</f>
        <v> min</v>
      </c>
      <c r="AA6355" s="5" t="str">
        <f>IFERROR(__xludf.DUMMYFUNCTION("IF(REGEXMATCH(Z6355, ""Season""), ""TV Show"", ""Movie"")"),"Movie")</f>
        <v>Movie</v>
      </c>
    </row>
    <row r="6356">
      <c r="A6356" s="1" t="s">
        <v>31818</v>
      </c>
      <c r="B6356" s="1" t="s">
        <v>27</v>
      </c>
      <c r="C6356" s="1" t="s">
        <v>31819</v>
      </c>
      <c r="D6356" s="1" t="s">
        <v>4036</v>
      </c>
      <c r="E6356" s="1" t="s">
        <v>31820</v>
      </c>
      <c r="F6356" s="1" t="s">
        <v>30</v>
      </c>
      <c r="G6356" s="1" t="s">
        <v>30541</v>
      </c>
      <c r="H6356" s="1">
        <v>2008.0</v>
      </c>
      <c r="I6356" s="1" t="s">
        <v>78</v>
      </c>
      <c r="J6356" s="1" t="s">
        <v>416</v>
      </c>
      <c r="K6356" s="1" t="s">
        <v>137</v>
      </c>
      <c r="L6356" s="1" t="s">
        <v>31821</v>
      </c>
      <c r="M6356" s="2" t="s">
        <v>12</v>
      </c>
      <c r="N6356" s="4">
        <f t="shared" si="1"/>
        <v>43303</v>
      </c>
      <c r="O6356" s="5" t="str">
        <f>IFERROR(__xludf.DUMMYFUNCTION("IF(REGEXMATCH(TRIM(I6356), ""^\d+\s*min""), ""Unclassified"", IF(I6356 = """", ""NR"", I6356))"),"PG")</f>
        <v>PG</v>
      </c>
      <c r="R6356" s="5" t="str">
        <f t="shared" si="2"/>
        <v>Bolt</v>
      </c>
      <c r="S6356" s="5" t="str">
        <f>IFERROR(__xludf.DUMMYFUNCTION("""COMPUTED_VALUE"""),"Sinister Circle")</f>
        <v>Sinister Circle</v>
      </c>
      <c r="V6356" s="5"/>
      <c r="Y6356" s="5" t="str">
        <f>IFERROR(__xludf.DUMMYFUNCTION("REGEXEXTRACT(J6356, ""^\d+"")"),"99")</f>
        <v>99</v>
      </c>
      <c r="Z6356" s="5" t="str">
        <f>IFERROR(__xludf.DUMMYFUNCTION("REGEXEXTRACT(J6356, ""[A-Za-z ]+$"")")," min")</f>
        <v> min</v>
      </c>
      <c r="AA6356" s="5" t="str">
        <f>IFERROR(__xludf.DUMMYFUNCTION("IF(REGEXMATCH(Z6356, ""Season""), ""TV Show"", ""Movie"")"),"Movie")</f>
        <v>Movie</v>
      </c>
    </row>
    <row r="6357">
      <c r="A6357" s="1" t="s">
        <v>31822</v>
      </c>
      <c r="B6357" s="1" t="s">
        <v>27</v>
      </c>
      <c r="C6357" s="1" t="s">
        <v>31823</v>
      </c>
      <c r="D6357" s="1" t="s">
        <v>1224</v>
      </c>
      <c r="E6357" s="1" t="s">
        <v>31824</v>
      </c>
      <c r="F6357" s="1" t="s">
        <v>30</v>
      </c>
      <c r="G6357" s="7">
        <v>43251.0</v>
      </c>
      <c r="H6357" s="1">
        <v>2017.0</v>
      </c>
      <c r="I6357" s="1" t="s">
        <v>97</v>
      </c>
      <c r="J6357" s="1" t="s">
        <v>1191</v>
      </c>
      <c r="K6357" s="1" t="s">
        <v>34</v>
      </c>
      <c r="L6357" s="1" t="s">
        <v>31825</v>
      </c>
      <c r="M6357" s="2" t="s">
        <v>12</v>
      </c>
      <c r="N6357" s="4">
        <f t="shared" si="1"/>
        <v>43251</v>
      </c>
      <c r="O6357" s="5" t="str">
        <f>IFERROR(__xludf.DUMMYFUNCTION("IF(REGEXMATCH(TRIM(I6357), ""^\d+\s*min""), ""Unclassified"", IF(I6357 = """", ""NR"", I6357))"),"TV-14")</f>
        <v>TV-14</v>
      </c>
      <c r="R6357" s="5" t="str">
        <f t="shared" si="2"/>
        <v>Bombshell: The Hedy Lamarr Story</v>
      </c>
      <c r="S6357" s="5" t="str">
        <f>IFERROR(__xludf.DUMMYFUNCTION("""COMPUTED_VALUE"""),"Sintonia")</f>
        <v>Sintonia</v>
      </c>
      <c r="V6357" s="5"/>
      <c r="Y6357" s="5" t="str">
        <f>IFERROR(__xludf.DUMMYFUNCTION("REGEXEXTRACT(J6357, ""^\d+"")"),"89")</f>
        <v>89</v>
      </c>
      <c r="Z6357" s="5" t="str">
        <f>IFERROR(__xludf.DUMMYFUNCTION("REGEXEXTRACT(J6357, ""[A-Za-z ]+$"")")," min")</f>
        <v> min</v>
      </c>
      <c r="AA6357" s="5" t="str">
        <f>IFERROR(__xludf.DUMMYFUNCTION("IF(REGEXMATCH(Z6357, ""Season""), ""TV Show"", ""Movie"")"),"Movie")</f>
        <v>Movie</v>
      </c>
    </row>
    <row r="6358">
      <c r="A6358" s="1" t="s">
        <v>31826</v>
      </c>
      <c r="B6358" s="1" t="s">
        <v>27</v>
      </c>
      <c r="C6358" s="1" t="s">
        <v>31827</v>
      </c>
      <c r="D6358" s="1" t="s">
        <v>31828</v>
      </c>
      <c r="E6358" s="1" t="s">
        <v>31829</v>
      </c>
      <c r="F6358" s="1" t="s">
        <v>4615</v>
      </c>
      <c r="G6358" s="1" t="s">
        <v>29495</v>
      </c>
      <c r="H6358" s="1">
        <v>2015.0</v>
      </c>
      <c r="I6358" s="1" t="s">
        <v>42</v>
      </c>
      <c r="J6358" s="1" t="s">
        <v>428</v>
      </c>
      <c r="K6358" s="1" t="s">
        <v>199</v>
      </c>
      <c r="L6358" s="1" t="s">
        <v>31830</v>
      </c>
      <c r="M6358" s="2" t="s">
        <v>12</v>
      </c>
      <c r="N6358" s="4">
        <f t="shared" si="1"/>
        <v>42614</v>
      </c>
      <c r="O6358" s="5" t="str">
        <f>IFERROR(__xludf.DUMMYFUNCTION("IF(REGEXMATCH(TRIM(I6358), ""^\d+\s*min""), ""Unclassified"", IF(I6358 = """", ""NR"", I6358))"),"TV-MA")</f>
        <v>TV-MA</v>
      </c>
      <c r="R6358" s="5" t="str">
        <f t="shared" si="2"/>
        <v>Bon Bini Holland</v>
      </c>
      <c r="S6358" s="5" t="str">
        <f>IFERROR(__xludf.DUMMYFUNCTION("""COMPUTED_VALUE"""),"Sir! No Sir!")</f>
        <v>Sir! No Sir!</v>
      </c>
      <c r="V6358" s="5"/>
      <c r="Y6358" s="5" t="str">
        <f>IFERROR(__xludf.DUMMYFUNCTION("REGEXEXTRACT(J6358, ""^\d+"")"),"88")</f>
        <v>88</v>
      </c>
      <c r="Z6358" s="5" t="str">
        <f>IFERROR(__xludf.DUMMYFUNCTION("REGEXEXTRACT(J6358, ""[A-Za-z ]+$"")")," min")</f>
        <v> min</v>
      </c>
      <c r="AA6358" s="5" t="str">
        <f>IFERROR(__xludf.DUMMYFUNCTION("IF(REGEXMATCH(Z6358, ""Season""), ""TV Show"", ""Movie"")"),"Movie")</f>
        <v>Movie</v>
      </c>
    </row>
    <row r="6359">
      <c r="A6359" s="1" t="s">
        <v>31831</v>
      </c>
      <c r="B6359" s="1" t="s">
        <v>37</v>
      </c>
      <c r="C6359" s="1" t="s">
        <v>31832</v>
      </c>
      <c r="E6359" s="1" t="s">
        <v>31833</v>
      </c>
      <c r="F6359" s="1" t="s">
        <v>221</v>
      </c>
      <c r="G6359" s="1" t="s">
        <v>31834</v>
      </c>
      <c r="H6359" s="1">
        <v>2016.0</v>
      </c>
      <c r="I6359" s="1" t="s">
        <v>136</v>
      </c>
      <c r="J6359" s="1" t="s">
        <v>51</v>
      </c>
      <c r="K6359" s="1" t="s">
        <v>440</v>
      </c>
      <c r="L6359" s="1" t="s">
        <v>31835</v>
      </c>
      <c r="M6359" s="2" t="s">
        <v>12</v>
      </c>
      <c r="N6359" s="1" t="str">
        <f t="shared" si="1"/>
        <v>#N/A</v>
      </c>
      <c r="O6359" s="5" t="str">
        <f>IFERROR(__xludf.DUMMYFUNCTION("IF(REGEXMATCH(TRIM(I6359), ""^\d+\s*min""), ""Unclassified"", IF(I6359 = """", ""NR"", I6359))"),"TV-PG")</f>
        <v>TV-PG</v>
      </c>
      <c r="R6359" s="5" t="str">
        <f t="shared" si="2"/>
        <v>Bondi Rescue</v>
      </c>
      <c r="S6359" s="5" t="str">
        <f>IFERROR(__xludf.DUMMYFUNCTION("""COMPUTED_VALUE"""),"Siren")</f>
        <v>Siren</v>
      </c>
      <c r="V6359" s="5"/>
      <c r="Y6359" s="5" t="str">
        <f>IFERROR(__xludf.DUMMYFUNCTION("REGEXEXTRACT(J6359, ""^\d+"")"),"1")</f>
        <v>1</v>
      </c>
      <c r="Z6359" s="5" t="str">
        <f>IFERROR(__xludf.DUMMYFUNCTION("REGEXEXTRACT(J6359, ""[A-Za-z ]+$"")")," Season")</f>
        <v> Season</v>
      </c>
      <c r="AA6359" s="5" t="str">
        <f>IFERROR(__xludf.DUMMYFUNCTION("IF(REGEXMATCH(Z6359, ""Season""), ""TV Show"", ""Movie"")"),"TV Show")</f>
        <v>TV Show</v>
      </c>
    </row>
    <row r="6360">
      <c r="A6360" s="1" t="s">
        <v>31836</v>
      </c>
      <c r="B6360" s="1" t="s">
        <v>27</v>
      </c>
      <c r="C6360" s="1" t="s">
        <v>31837</v>
      </c>
      <c r="D6360" s="1" t="s">
        <v>2579</v>
      </c>
      <c r="E6360" s="1" t="s">
        <v>31838</v>
      </c>
      <c r="F6360" s="1" t="s">
        <v>30</v>
      </c>
      <c r="G6360" s="1" t="s">
        <v>8506</v>
      </c>
      <c r="H6360" s="1">
        <v>1967.0</v>
      </c>
      <c r="I6360" s="1" t="s">
        <v>378</v>
      </c>
      <c r="J6360" s="1" t="s">
        <v>264</v>
      </c>
      <c r="K6360" s="1" t="s">
        <v>342</v>
      </c>
      <c r="L6360" s="1" t="s">
        <v>31839</v>
      </c>
      <c r="M6360" s="2" t="s">
        <v>12</v>
      </c>
      <c r="N6360" s="4">
        <f t="shared" si="1"/>
        <v>44197</v>
      </c>
      <c r="O6360" s="5" t="str">
        <f>IFERROR(__xludf.DUMMYFUNCTION("IF(REGEXMATCH(TRIM(I6360), ""^\d+\s*min""), ""Unclassified"", IF(I6360 = """", ""NR"", I6360))"),"R")</f>
        <v>R</v>
      </c>
      <c r="R6360" s="5" t="str">
        <f t="shared" si="2"/>
        <v>Bonnie And Clyde</v>
      </c>
      <c r="S6360" s="5" t="str">
        <f>IFERROR(__xludf.DUMMYFUNCTION("""COMPUTED_VALUE"""),"Sirius The Jaeger")</f>
        <v>Sirius The Jaeger</v>
      </c>
      <c r="V6360" s="5"/>
      <c r="Y6360" s="5" t="str">
        <f>IFERROR(__xludf.DUMMYFUNCTION("REGEXEXTRACT(J6360, ""^\d+"")"),"111")</f>
        <v>111</v>
      </c>
      <c r="Z6360" s="5" t="str">
        <f>IFERROR(__xludf.DUMMYFUNCTION("REGEXEXTRACT(J6360, ""[A-Za-z ]+$"")")," min")</f>
        <v> min</v>
      </c>
      <c r="AA6360" s="5" t="str">
        <f>IFERROR(__xludf.DUMMYFUNCTION("IF(REGEXMATCH(Z6360, ""Season""), ""TV Show"", ""Movie"")"),"Movie")</f>
        <v>Movie</v>
      </c>
    </row>
    <row r="6361">
      <c r="A6361" s="1" t="s">
        <v>31840</v>
      </c>
      <c r="B6361" s="1" t="s">
        <v>27</v>
      </c>
      <c r="C6361" s="1" t="s">
        <v>31841</v>
      </c>
      <c r="D6361" s="1" t="s">
        <v>12350</v>
      </c>
      <c r="E6361" s="1" t="s">
        <v>31842</v>
      </c>
      <c r="F6361" s="1" t="s">
        <v>63</v>
      </c>
      <c r="G6361" s="1" t="s">
        <v>26089</v>
      </c>
      <c r="H6361" s="1">
        <v>2003.0</v>
      </c>
      <c r="I6361" s="1" t="s">
        <v>42</v>
      </c>
      <c r="J6361" s="1" t="s">
        <v>6391</v>
      </c>
      <c r="K6361" s="1" t="s">
        <v>306</v>
      </c>
      <c r="L6361" s="1" t="s">
        <v>31843</v>
      </c>
      <c r="M6361" s="2" t="s">
        <v>12</v>
      </c>
      <c r="N6361" s="4">
        <f t="shared" si="1"/>
        <v>43160</v>
      </c>
      <c r="O6361" s="5" t="str">
        <f>IFERROR(__xludf.DUMMYFUNCTION("IF(REGEXMATCH(TRIM(I6361), ""^\d+\s*min""), ""Unclassified"", IF(I6361 = """", ""NR"", I6361))"),"TV-MA")</f>
        <v>TV-MA</v>
      </c>
      <c r="R6361" s="5" t="str">
        <f t="shared" si="2"/>
        <v>Boom</v>
      </c>
      <c r="S6361" s="5" t="str">
        <f>IFERROR(__xludf.DUMMYFUNCTION("""COMPUTED_VALUE"""),"Sister Cities")</f>
        <v>Sister Cities</v>
      </c>
      <c r="V6361" s="5"/>
      <c r="Y6361" s="5" t="str">
        <f>IFERROR(__xludf.DUMMYFUNCTION("REGEXEXTRACT(J6361, ""^\d+"")"),"79")</f>
        <v>79</v>
      </c>
      <c r="Z6361" s="5" t="str">
        <f>IFERROR(__xludf.DUMMYFUNCTION("REGEXEXTRACT(J6361, ""[A-Za-z ]+$"")")," min")</f>
        <v> min</v>
      </c>
      <c r="AA6361" s="5" t="str">
        <f>IFERROR(__xludf.DUMMYFUNCTION("IF(REGEXMATCH(Z6361, ""Season""), ""TV Show"", ""Movie"")"),"Movie")</f>
        <v>Movie</v>
      </c>
    </row>
    <row r="6362">
      <c r="A6362" s="1" t="s">
        <v>31844</v>
      </c>
      <c r="B6362" s="1" t="s">
        <v>37</v>
      </c>
      <c r="C6362" s="1" t="s">
        <v>31845</v>
      </c>
      <c r="E6362" s="1" t="s">
        <v>31846</v>
      </c>
      <c r="G6362" s="1" t="s">
        <v>18971</v>
      </c>
      <c r="H6362" s="1">
        <v>2016.0</v>
      </c>
      <c r="I6362" s="1" t="s">
        <v>136</v>
      </c>
      <c r="J6362" s="1" t="s">
        <v>51</v>
      </c>
      <c r="K6362" s="1" t="s">
        <v>440</v>
      </c>
      <c r="L6362" s="1" t="s">
        <v>31847</v>
      </c>
      <c r="M6362" s="2" t="s">
        <v>12</v>
      </c>
      <c r="N6362" s="4">
        <f t="shared" si="1"/>
        <v>43740</v>
      </c>
      <c r="O6362" s="5" t="str">
        <f>IFERROR(__xludf.DUMMYFUNCTION("IF(REGEXMATCH(TRIM(I6362), ""^\d+\s*min""), ""Unclassified"", IF(I6362 = """", ""NR"", I6362))"),"TV-PG")</f>
        <v>TV-PG</v>
      </c>
      <c r="R6362" s="5" t="str">
        <f t="shared" si="2"/>
        <v>Border Patrol</v>
      </c>
      <c r="S6362" s="5" t="str">
        <f>IFERROR(__xludf.DUMMYFUNCTION("""COMPUTED_VALUE"""),"Sister Code")</f>
        <v>Sister Code</v>
      </c>
      <c r="V6362" s="5"/>
      <c r="Y6362" s="5" t="str">
        <f>IFERROR(__xludf.DUMMYFUNCTION("REGEXEXTRACT(J6362, ""^\d+"")"),"1")</f>
        <v>1</v>
      </c>
      <c r="Z6362" s="5" t="str">
        <f>IFERROR(__xludf.DUMMYFUNCTION("REGEXEXTRACT(J6362, ""[A-Za-z ]+$"")")," Season")</f>
        <v> Season</v>
      </c>
      <c r="AA6362" s="5" t="str">
        <f>IFERROR(__xludf.DUMMYFUNCTION("IF(REGEXMATCH(Z6362, ""Season""), ""TV Show"", ""Movie"")"),"TV Show")</f>
        <v>TV Show</v>
      </c>
    </row>
    <row r="6363">
      <c r="A6363" s="1" t="s">
        <v>31848</v>
      </c>
      <c r="B6363" s="1" t="s">
        <v>37</v>
      </c>
      <c r="C6363" s="1" t="s">
        <v>31849</v>
      </c>
      <c r="E6363" s="1" t="s">
        <v>31850</v>
      </c>
      <c r="F6363" s="1" t="s">
        <v>96</v>
      </c>
      <c r="G6363" s="1" t="s">
        <v>31851</v>
      </c>
      <c r="H6363" s="1">
        <v>2017.0</v>
      </c>
      <c r="I6363" s="1" t="s">
        <v>97</v>
      </c>
      <c r="J6363" s="1" t="s">
        <v>43</v>
      </c>
      <c r="K6363" s="1" t="s">
        <v>22840</v>
      </c>
      <c r="L6363" s="1" t="s">
        <v>31852</v>
      </c>
      <c r="M6363" s="2" t="s">
        <v>12</v>
      </c>
      <c r="N6363" s="1" t="str">
        <f t="shared" si="1"/>
        <v>#N/A</v>
      </c>
      <c r="O6363" s="5" t="str">
        <f>IFERROR(__xludf.DUMMYFUNCTION("IF(REGEXMATCH(TRIM(I6363), ""^\d+\s*min""), ""Unclassified"", IF(I6363 = """", ""NR"", I6363))"),"TV-14")</f>
        <v>TV-14</v>
      </c>
      <c r="R6363" s="5" t="str">
        <f t="shared" si="2"/>
        <v>Borderline</v>
      </c>
      <c r="S6363" s="5" t="str">
        <f>IFERROR(__xludf.DUMMYFUNCTION("""COMPUTED_VALUE"""),"Sister, Sister")</f>
        <v>Sister, Sister</v>
      </c>
      <c r="V6363" s="5"/>
      <c r="Y6363" s="5" t="str">
        <f>IFERROR(__xludf.DUMMYFUNCTION("REGEXEXTRACT(J6363, ""^\d+"")"),"2")</f>
        <v>2</v>
      </c>
      <c r="Z6363" s="5" t="str">
        <f>IFERROR(__xludf.DUMMYFUNCTION("REGEXEXTRACT(J6363, ""[A-Za-z ]+$"")")," Seasons")</f>
        <v> Seasons</v>
      </c>
      <c r="AA6363" s="5" t="str">
        <f>IFERROR(__xludf.DUMMYFUNCTION("IF(REGEXMATCH(Z6363, ""Season""), ""TV Show"", ""Movie"")"),"TV Show")</f>
        <v>TV Show</v>
      </c>
    </row>
    <row r="6364">
      <c r="A6364" s="1" t="s">
        <v>31853</v>
      </c>
      <c r="B6364" s="1" t="s">
        <v>27</v>
      </c>
      <c r="C6364" s="1" t="s">
        <v>31854</v>
      </c>
      <c r="D6364" s="1" t="s">
        <v>8145</v>
      </c>
      <c r="E6364" s="1" t="s">
        <v>31855</v>
      </c>
      <c r="F6364" s="1" t="s">
        <v>30</v>
      </c>
      <c r="G6364" s="1" t="s">
        <v>26505</v>
      </c>
      <c r="H6364" s="1">
        <v>2017.0</v>
      </c>
      <c r="I6364" s="1" t="s">
        <v>42</v>
      </c>
      <c r="J6364" s="1" t="s">
        <v>1144</v>
      </c>
      <c r="K6364" s="1" t="s">
        <v>645</v>
      </c>
      <c r="L6364" s="1" t="s">
        <v>31856</v>
      </c>
      <c r="M6364" s="2" t="s">
        <v>12</v>
      </c>
      <c r="N6364" s="4">
        <f t="shared" si="1"/>
        <v>43100</v>
      </c>
      <c r="O6364" s="5" t="str">
        <f>IFERROR(__xludf.DUMMYFUNCTION("IF(REGEXMATCH(TRIM(I6364), ""^\d+\s*min""), ""Unclassified"", IF(I6364 = """", ""NR"", I6364))"),"TV-MA")</f>
        <v>TV-MA</v>
      </c>
      <c r="R6364" s="5" t="str">
        <f t="shared" si="2"/>
        <v>Born Strong</v>
      </c>
      <c r="S6364" s="5" t="str">
        <f>IFERROR(__xludf.DUMMYFUNCTION("""COMPUTED_VALUE"""),"Sisterakas")</f>
        <v>Sisterakas</v>
      </c>
      <c r="V6364" s="5"/>
      <c r="Y6364" s="5" t="str">
        <f>IFERROR(__xludf.DUMMYFUNCTION("REGEXEXTRACT(J6364, ""^\d+"")"),"86")</f>
        <v>86</v>
      </c>
      <c r="Z6364" s="5" t="str">
        <f>IFERROR(__xludf.DUMMYFUNCTION("REGEXEXTRACT(J6364, ""[A-Za-z ]+$"")")," min")</f>
        <v> min</v>
      </c>
      <c r="AA6364" s="5" t="str">
        <f>IFERROR(__xludf.DUMMYFUNCTION("IF(REGEXMATCH(Z6364, ""Season""), ""TV Show"", ""Movie"")"),"Movie")</f>
        <v>Movie</v>
      </c>
    </row>
    <row r="6365">
      <c r="A6365" s="1" t="s">
        <v>31857</v>
      </c>
      <c r="B6365" s="1" t="s">
        <v>27</v>
      </c>
      <c r="C6365" s="1" t="s">
        <v>31858</v>
      </c>
      <c r="D6365" s="1" t="s">
        <v>8278</v>
      </c>
      <c r="E6365" s="1" t="s">
        <v>31859</v>
      </c>
      <c r="F6365" s="1" t="s">
        <v>31860</v>
      </c>
      <c r="G6365" s="1" t="s">
        <v>28377</v>
      </c>
      <c r="H6365" s="1">
        <v>2016.0</v>
      </c>
      <c r="I6365" s="1" t="s">
        <v>97</v>
      </c>
      <c r="J6365" s="1" t="s">
        <v>2699</v>
      </c>
      <c r="K6365" s="1" t="s">
        <v>156</v>
      </c>
      <c r="L6365" s="1" t="s">
        <v>31859</v>
      </c>
      <c r="M6365" s="2" t="s">
        <v>12</v>
      </c>
      <c r="N6365" s="4">
        <f t="shared" si="1"/>
        <v>42826</v>
      </c>
      <c r="O6365" s="5" t="str">
        <f>IFERROR(__xludf.DUMMYFUNCTION("IF(REGEXMATCH(TRIM(I6365), ""^\d+\s*min""), ""Unclassified"", IF(I6365 = """", ""NR"", I6365))"),"TV-14")</f>
        <v>TV-14</v>
      </c>
      <c r="R6365" s="5" t="str">
        <f t="shared" si="2"/>
        <v>Born To Be Free</v>
      </c>
      <c r="S6365" s="5" t="str">
        <f>IFERROR(__xludf.DUMMYFUNCTION("""COMPUTED_VALUE"""),"Sisters")</f>
        <v>Sisters</v>
      </c>
      <c r="V6365" s="5"/>
      <c r="Y6365" s="5" t="str">
        <f>IFERROR(__xludf.DUMMYFUNCTION("REGEXEXTRACT(J6365, ""^\d+"")"),"74")</f>
        <v>74</v>
      </c>
      <c r="Z6365" s="5" t="str">
        <f>IFERROR(__xludf.DUMMYFUNCTION("REGEXEXTRACT(J6365, ""[A-Za-z ]+$"")")," min")</f>
        <v> min</v>
      </c>
      <c r="AA6365" s="5" t="str">
        <f>IFERROR(__xludf.DUMMYFUNCTION("IF(REGEXMATCH(Z6365, ""Season""), ""TV Show"", ""Movie"")"),"Movie")</f>
        <v>Movie</v>
      </c>
    </row>
    <row r="6366">
      <c r="A6366" s="1" t="s">
        <v>31861</v>
      </c>
      <c r="B6366" s="1" t="s">
        <v>37</v>
      </c>
      <c r="C6366" s="1" t="s">
        <v>31862</v>
      </c>
      <c r="E6366" s="1" t="s">
        <v>31863</v>
      </c>
      <c r="F6366" s="1" t="s">
        <v>96</v>
      </c>
      <c r="G6366" s="1" t="s">
        <v>18971</v>
      </c>
      <c r="H6366" s="1">
        <v>2013.0</v>
      </c>
      <c r="I6366" s="1" t="s">
        <v>42</v>
      </c>
      <c r="J6366" s="1" t="s">
        <v>51</v>
      </c>
      <c r="K6366" s="1" t="s">
        <v>544</v>
      </c>
      <c r="L6366" s="1" t="s">
        <v>31864</v>
      </c>
      <c r="M6366" s="2" t="s">
        <v>12</v>
      </c>
      <c r="N6366" s="4">
        <f t="shared" si="1"/>
        <v>43740</v>
      </c>
      <c r="O6366" s="5" t="str">
        <f>IFERROR(__xludf.DUMMYFUNCTION("IF(REGEXMATCH(TRIM(I6366), ""^\d+\s*min""), ""Unclassified"", IF(I6366 = """", ""NR"", I6366))"),"TV-MA")</f>
        <v>TV-MA</v>
      </c>
      <c r="R6366" s="5" t="str">
        <f t="shared" si="2"/>
        <v>Botched Up Bodies</v>
      </c>
      <c r="S6366" s="5" t="str">
        <f>IFERROR(__xludf.DUMMYFUNCTION("""COMPUTED_VALUE"""),"Sisters On Track")</f>
        <v>Sisters On Track</v>
      </c>
      <c r="V6366" s="5"/>
      <c r="Y6366" s="5" t="str">
        <f>IFERROR(__xludf.DUMMYFUNCTION("REGEXEXTRACT(J6366, ""^\d+"")"),"1")</f>
        <v>1</v>
      </c>
      <c r="Z6366" s="5" t="str">
        <f>IFERROR(__xludf.DUMMYFUNCTION("REGEXEXTRACT(J6366, ""[A-Za-z ]+$"")")," Season")</f>
        <v> Season</v>
      </c>
      <c r="AA6366" s="5" t="str">
        <f>IFERROR(__xludf.DUMMYFUNCTION("IF(REGEXMATCH(Z6366, ""Season""), ""TV Show"", ""Movie"")"),"TV Show")</f>
        <v>TV Show</v>
      </c>
    </row>
    <row r="6367">
      <c r="A6367" s="1" t="s">
        <v>31865</v>
      </c>
      <c r="B6367" s="1" t="s">
        <v>27</v>
      </c>
      <c r="C6367" s="1" t="s">
        <v>31866</v>
      </c>
      <c r="D6367" s="1" t="s">
        <v>19206</v>
      </c>
      <c r="E6367" s="1" t="s">
        <v>31867</v>
      </c>
      <c r="F6367" s="1" t="s">
        <v>1979</v>
      </c>
      <c r="G6367" s="7">
        <v>43979.0</v>
      </c>
      <c r="H6367" s="1">
        <v>2017.0</v>
      </c>
      <c r="I6367" s="1" t="s">
        <v>42</v>
      </c>
      <c r="J6367" s="1" t="s">
        <v>1608</v>
      </c>
      <c r="K6367" s="1" t="s">
        <v>2327</v>
      </c>
      <c r="L6367" s="1" t="s">
        <v>31868</v>
      </c>
      <c r="M6367" s="2" t="s">
        <v>12</v>
      </c>
      <c r="N6367" s="4">
        <f t="shared" si="1"/>
        <v>43979</v>
      </c>
      <c r="O6367" s="5" t="str">
        <f>IFERROR(__xludf.DUMMYFUNCTION("IF(REGEXMATCH(TRIM(I6367), ""^\d+\s*min""), ""Unclassified"", IF(I6367 = """", ""NR"", I6367))"),"TV-MA")</f>
        <v>TV-MA</v>
      </c>
      <c r="R6367" s="5" t="str">
        <f t="shared" si="2"/>
        <v>Bottom Of The World</v>
      </c>
      <c r="S6367" s="5" t="str">
        <f>IFERROR(__xludf.DUMMYFUNCTION("""COMPUTED_VALUE"""),"Sisyphus")</f>
        <v>Sisyphus</v>
      </c>
      <c r="V6367" s="5"/>
      <c r="Y6367" s="5" t="str">
        <f>IFERROR(__xludf.DUMMYFUNCTION("REGEXEXTRACT(J6367, ""^\d+"")"),"84")</f>
        <v>84</v>
      </c>
      <c r="Z6367" s="5" t="str">
        <f>IFERROR(__xludf.DUMMYFUNCTION("REGEXEXTRACT(J6367, ""[A-Za-z ]+$"")")," min")</f>
        <v> min</v>
      </c>
      <c r="AA6367" s="5" t="str">
        <f>IFERROR(__xludf.DUMMYFUNCTION("IF(REGEXMATCH(Z6367, ""Season""), ""TV Show"", ""Movie"")"),"Movie")</f>
        <v>Movie</v>
      </c>
    </row>
    <row r="6368">
      <c r="A6368" s="1" t="s">
        <v>31869</v>
      </c>
      <c r="B6368" s="1" t="s">
        <v>27</v>
      </c>
      <c r="C6368" s="1" t="s">
        <v>31870</v>
      </c>
      <c r="D6368" s="1" t="s">
        <v>935</v>
      </c>
      <c r="E6368" s="1" t="s">
        <v>31871</v>
      </c>
      <c r="F6368" s="1" t="s">
        <v>1992</v>
      </c>
      <c r="G6368" s="1" t="s">
        <v>27097</v>
      </c>
      <c r="H6368" s="1">
        <v>2013.0</v>
      </c>
      <c r="I6368" s="1" t="s">
        <v>78</v>
      </c>
      <c r="J6368" s="1" t="s">
        <v>729</v>
      </c>
      <c r="K6368" s="1" t="s">
        <v>80</v>
      </c>
      <c r="L6368" s="1" t="s">
        <v>31872</v>
      </c>
      <c r="M6368" s="2" t="s">
        <v>12</v>
      </c>
      <c r="N6368" s="4">
        <f t="shared" si="1"/>
        <v>43009</v>
      </c>
      <c r="O6368" s="5" t="str">
        <f>IFERROR(__xludf.DUMMYFUNCTION("IF(REGEXMATCH(TRIM(I6368), ""^\d+\s*min""), ""Unclassified"", IF(I6368 = """", ""NR"", I6368))"),"PG")</f>
        <v>PG</v>
      </c>
      <c r="R6368" s="5" t="str">
        <f t="shared" si="2"/>
        <v>Boy And The World</v>
      </c>
      <c r="S6368" s="5" t="str">
        <f>IFERROR(__xludf.DUMMYFUNCTION("""COMPUTED_VALUE"""),"Sitara: Let Girls Dream")</f>
        <v>Sitara: Let Girls Dream</v>
      </c>
      <c r="V6368" s="5"/>
      <c r="Y6368" s="5" t="str">
        <f>IFERROR(__xludf.DUMMYFUNCTION("REGEXEXTRACT(J6368, ""^\d+"")"),"80")</f>
        <v>80</v>
      </c>
      <c r="Z6368" s="5" t="str">
        <f>IFERROR(__xludf.DUMMYFUNCTION("REGEXEXTRACT(J6368, ""[A-Za-z ]+$"")")," min")</f>
        <v> min</v>
      </c>
      <c r="AA6368" s="5" t="str">
        <f>IFERROR(__xludf.DUMMYFUNCTION("IF(REGEXMATCH(Z6368, ""Season""), ""TV Show"", ""Movie"")"),"Movie")</f>
        <v>Movie</v>
      </c>
    </row>
    <row r="6369">
      <c r="A6369" s="1" t="s">
        <v>31873</v>
      </c>
      <c r="B6369" s="1" t="s">
        <v>27</v>
      </c>
      <c r="C6369" s="1" t="s">
        <v>31874</v>
      </c>
      <c r="D6369" s="1" t="s">
        <v>4821</v>
      </c>
      <c r="E6369" s="1" t="s">
        <v>31875</v>
      </c>
      <c r="F6369" s="1" t="s">
        <v>30</v>
      </c>
      <c r="G6369" s="1" t="s">
        <v>21348</v>
      </c>
      <c r="H6369" s="1">
        <v>2016.0</v>
      </c>
      <c r="I6369" s="1" t="s">
        <v>42</v>
      </c>
      <c r="J6369" s="1" t="s">
        <v>1144</v>
      </c>
      <c r="K6369" s="1" t="s">
        <v>813</v>
      </c>
      <c r="L6369" s="1" t="s">
        <v>31876</v>
      </c>
      <c r="M6369" s="2" t="s">
        <v>12</v>
      </c>
      <c r="N6369" s="4">
        <f t="shared" si="1"/>
        <v>43557</v>
      </c>
      <c r="O6369" s="5" t="str">
        <f>IFERROR(__xludf.DUMMYFUNCTION("IF(REGEXMATCH(TRIM(I6369), ""^\d+\s*min""), ""Unclassified"", IF(I6369 = """", ""NR"", I6369))"),"TV-MA")</f>
        <v>TV-MA</v>
      </c>
      <c r="R6369" s="5" t="str">
        <f t="shared" si="2"/>
        <v>Boy Bye</v>
      </c>
      <c r="S6369" s="5" t="str">
        <f>IFERROR(__xludf.DUMMYFUNCTION("""COMPUTED_VALUE"""),"Sitting In Limbo")</f>
        <v>Sitting In Limbo</v>
      </c>
      <c r="V6369" s="5"/>
      <c r="Y6369" s="5" t="str">
        <f>IFERROR(__xludf.DUMMYFUNCTION("REGEXEXTRACT(J6369, ""^\d+"")"),"86")</f>
        <v>86</v>
      </c>
      <c r="Z6369" s="5" t="str">
        <f>IFERROR(__xludf.DUMMYFUNCTION("REGEXEXTRACT(J6369, ""[A-Za-z ]+$"")")," min")</f>
        <v> min</v>
      </c>
      <c r="AA6369" s="5" t="str">
        <f>IFERROR(__xludf.DUMMYFUNCTION("IF(REGEXMATCH(Z6369, ""Season""), ""TV Show"", ""Movie"")"),"Movie")</f>
        <v>Movie</v>
      </c>
    </row>
    <row r="6370">
      <c r="A6370" s="1" t="s">
        <v>31877</v>
      </c>
      <c r="B6370" s="1" t="s">
        <v>37</v>
      </c>
      <c r="C6370" s="1" t="s">
        <v>31878</v>
      </c>
      <c r="E6370" s="1" t="s">
        <v>31879</v>
      </c>
      <c r="F6370" s="1" t="s">
        <v>30</v>
      </c>
      <c r="G6370" s="1" t="s">
        <v>31880</v>
      </c>
      <c r="H6370" s="1">
        <v>2016.0</v>
      </c>
      <c r="I6370" s="1" t="s">
        <v>506</v>
      </c>
      <c r="J6370" s="1" t="s">
        <v>276</v>
      </c>
      <c r="K6370" s="1" t="s">
        <v>736</v>
      </c>
      <c r="L6370" s="1" t="s">
        <v>31881</v>
      </c>
      <c r="M6370" s="2" t="s">
        <v>12</v>
      </c>
      <c r="N6370" s="1" t="str">
        <f t="shared" si="1"/>
        <v>#N/A</v>
      </c>
      <c r="O6370" s="5" t="str">
        <f>IFERROR(__xludf.DUMMYFUNCTION("IF(REGEXMATCH(TRIM(I6370), ""^\d+\s*min""), ""Unclassified"", IF(I6370 = """", ""NR"", I6370))"),"TV-G")</f>
        <v>TV-G</v>
      </c>
      <c r="R6370" s="5" t="str">
        <f t="shared" si="2"/>
        <v>Brain Games</v>
      </c>
      <c r="S6370" s="5" t="str">
        <f>IFERROR(__xludf.DUMMYFUNCTION("""COMPUTED_VALUE"""),"Six Windows In The Desert")</f>
        <v>Six Windows In The Desert</v>
      </c>
      <c r="V6370" s="5"/>
      <c r="Y6370" s="5" t="str">
        <f>IFERROR(__xludf.DUMMYFUNCTION("REGEXEXTRACT(J6370, ""^\d+"")"),"3")</f>
        <v>3</v>
      </c>
      <c r="Z6370" s="5" t="str">
        <f>IFERROR(__xludf.DUMMYFUNCTION("REGEXEXTRACT(J6370, ""[A-Za-z ]+$"")")," Seasons")</f>
        <v> Seasons</v>
      </c>
      <c r="AA6370" s="5" t="str">
        <f>IFERROR(__xludf.DUMMYFUNCTION("IF(REGEXMATCH(Z6370, ""Season""), ""TV Show"", ""Movie"")"),"TV Show")</f>
        <v>TV Show</v>
      </c>
    </row>
    <row r="6371">
      <c r="A6371" s="1" t="s">
        <v>31882</v>
      </c>
      <c r="B6371" s="1" t="s">
        <v>27</v>
      </c>
      <c r="C6371" s="1" t="s">
        <v>31883</v>
      </c>
      <c r="D6371" s="1" t="s">
        <v>15615</v>
      </c>
      <c r="E6371" s="1" t="s">
        <v>31884</v>
      </c>
      <c r="F6371" s="1" t="s">
        <v>30</v>
      </c>
      <c r="G6371" s="1" t="s">
        <v>21088</v>
      </c>
      <c r="H6371" s="1">
        <v>2018.0</v>
      </c>
      <c r="I6371" s="1" t="s">
        <v>42</v>
      </c>
      <c r="J6371" s="1" t="s">
        <v>33</v>
      </c>
      <c r="K6371" s="1" t="s">
        <v>26933</v>
      </c>
      <c r="L6371" s="1" t="s">
        <v>31885</v>
      </c>
      <c r="M6371" s="2" t="s">
        <v>12</v>
      </c>
      <c r="N6371" s="4">
        <f t="shared" si="1"/>
        <v>43574</v>
      </c>
      <c r="O6371" s="5" t="str">
        <f>IFERROR(__xludf.DUMMYFUNCTION("IF(REGEXMATCH(TRIM(I6371), ""^\d+\s*min""), ""Unclassified"", IF(I6371 = """", ""NR"", I6371))"),"TV-MA")</f>
        <v>TV-MA</v>
      </c>
      <c r="R6371" s="5" t="str">
        <f t="shared" si="2"/>
        <v>Brampton'S Own</v>
      </c>
      <c r="S6371" s="5" t="str">
        <f>IFERROR(__xludf.DUMMYFUNCTION("""COMPUTED_VALUE"""),"Skater Girl")</f>
        <v>Skater Girl</v>
      </c>
      <c r="V6371" s="5"/>
      <c r="Y6371" s="5" t="str">
        <f>IFERROR(__xludf.DUMMYFUNCTION("REGEXEXTRACT(J6371, ""^\d+"")"),"90")</f>
        <v>90</v>
      </c>
      <c r="Z6371" s="5" t="str">
        <f>IFERROR(__xludf.DUMMYFUNCTION("REGEXEXTRACT(J6371, ""[A-Za-z ]+$"")")," min")</f>
        <v> min</v>
      </c>
      <c r="AA6371" s="5" t="str">
        <f>IFERROR(__xludf.DUMMYFUNCTION("IF(REGEXMATCH(Z6371, ""Season""), ""TV Show"", ""Movie"")"),"Movie")</f>
        <v>Movie</v>
      </c>
    </row>
    <row r="6372">
      <c r="A6372" s="1" t="s">
        <v>31886</v>
      </c>
      <c r="B6372" s="1" t="s">
        <v>27</v>
      </c>
      <c r="C6372" s="1" t="s">
        <v>31887</v>
      </c>
      <c r="D6372" s="1" t="s">
        <v>5562</v>
      </c>
      <c r="E6372" s="1" t="s">
        <v>31888</v>
      </c>
      <c r="F6372" s="1" t="s">
        <v>30</v>
      </c>
      <c r="G6372" s="1" t="s">
        <v>31889</v>
      </c>
      <c r="H6372" s="1">
        <v>2007.0</v>
      </c>
      <c r="I6372" s="1" t="s">
        <v>78</v>
      </c>
      <c r="J6372" s="1" t="s">
        <v>447</v>
      </c>
      <c r="K6372" s="1" t="s">
        <v>137</v>
      </c>
      <c r="L6372" s="1" t="s">
        <v>31890</v>
      </c>
      <c r="M6372" s="2" t="s">
        <v>12</v>
      </c>
      <c r="N6372" s="4">
        <f t="shared" si="1"/>
        <v>44011</v>
      </c>
      <c r="O6372" s="5" t="str">
        <f>IFERROR(__xludf.DUMMYFUNCTION("IF(REGEXMATCH(TRIM(I6372), ""^\d+\s*min""), ""Unclassified"", IF(I6372 = """", ""NR"", I6372))"),"PG")</f>
        <v>PG</v>
      </c>
      <c r="R6372" s="5" t="str">
        <f t="shared" si="2"/>
        <v>Bratz: The Movie</v>
      </c>
      <c r="S6372" s="5" t="str">
        <f>IFERROR(__xludf.DUMMYFUNCTION("""COMPUTED_VALUE"""),"Skin")</f>
        <v>Skin</v>
      </c>
      <c r="V6372" s="5"/>
      <c r="Y6372" s="5" t="str">
        <f>IFERROR(__xludf.DUMMYFUNCTION("REGEXEXTRACT(J6372, ""^\d+"")"),"102")</f>
        <v>102</v>
      </c>
      <c r="Z6372" s="5" t="str">
        <f>IFERROR(__xludf.DUMMYFUNCTION("REGEXEXTRACT(J6372, ""[A-Za-z ]+$"")")," min")</f>
        <v> min</v>
      </c>
      <c r="AA6372" s="5" t="str">
        <f>IFERROR(__xludf.DUMMYFUNCTION("IF(REGEXMATCH(Z6372, ""Season""), ""TV Show"", ""Movie"")"),"Movie")</f>
        <v>Movie</v>
      </c>
    </row>
    <row r="6373">
      <c r="A6373" s="1" t="s">
        <v>31891</v>
      </c>
      <c r="B6373" s="1" t="s">
        <v>37</v>
      </c>
      <c r="C6373" s="1" t="s">
        <v>31892</v>
      </c>
      <c r="D6373" s="1" t="s">
        <v>4278</v>
      </c>
      <c r="E6373" s="1" t="s">
        <v>31893</v>
      </c>
      <c r="F6373" s="1" t="s">
        <v>31894</v>
      </c>
      <c r="G6373" s="1" t="s">
        <v>31895</v>
      </c>
      <c r="H6373" s="1">
        <v>2013.0</v>
      </c>
      <c r="I6373" s="1" t="s">
        <v>97</v>
      </c>
      <c r="J6373" s="1" t="s">
        <v>51</v>
      </c>
      <c r="K6373" s="1" t="s">
        <v>2043</v>
      </c>
      <c r="L6373" s="1" t="s">
        <v>31896</v>
      </c>
      <c r="M6373" s="2" t="s">
        <v>12</v>
      </c>
      <c r="N6373" s="4">
        <f t="shared" si="1"/>
        <v>43148</v>
      </c>
      <c r="O6373" s="5" t="str">
        <f>IFERROR(__xludf.DUMMYFUNCTION("IF(REGEXMATCH(TRIM(I6373), ""^\d+\s*min""), ""Unclassified"", IF(I6373 = """", ""NR"", I6373))"),"TV-14")</f>
        <v>TV-14</v>
      </c>
      <c r="R6373" s="5" t="str">
        <f t="shared" si="2"/>
        <v>Brave Miss World</v>
      </c>
      <c r="S6373" s="5" t="str">
        <f>IFERROR(__xludf.DUMMYFUNCTION("""COMPUTED_VALUE"""),"Skin Decision: Before And After")</f>
        <v>Skin Decision: Before And After</v>
      </c>
      <c r="V6373" s="5"/>
      <c r="Y6373" s="5" t="str">
        <f>IFERROR(__xludf.DUMMYFUNCTION("REGEXEXTRACT(J6373, ""^\d+"")"),"1")</f>
        <v>1</v>
      </c>
      <c r="Z6373" s="5" t="str">
        <f>IFERROR(__xludf.DUMMYFUNCTION("REGEXEXTRACT(J6373, ""[A-Za-z ]+$"")")," Season")</f>
        <v> Season</v>
      </c>
      <c r="AA6373" s="5" t="str">
        <f>IFERROR(__xludf.DUMMYFUNCTION("IF(REGEXMATCH(Z6373, ""Season""), ""TV Show"", ""Movie"")"),"TV Show")</f>
        <v>TV Show</v>
      </c>
    </row>
    <row r="6374">
      <c r="A6374" s="1" t="s">
        <v>31897</v>
      </c>
      <c r="B6374" s="1" t="s">
        <v>27</v>
      </c>
      <c r="C6374" s="1" t="s">
        <v>31898</v>
      </c>
      <c r="D6374" s="1" t="s">
        <v>11045</v>
      </c>
      <c r="E6374" s="1" t="s">
        <v>31899</v>
      </c>
      <c r="F6374" s="1" t="s">
        <v>30</v>
      </c>
      <c r="G6374" s="1" t="s">
        <v>26596</v>
      </c>
      <c r="H6374" s="1">
        <v>2016.0</v>
      </c>
      <c r="I6374" s="1" t="s">
        <v>42</v>
      </c>
      <c r="J6374" s="1" t="s">
        <v>665</v>
      </c>
      <c r="K6374" s="1" t="s">
        <v>1749</v>
      </c>
      <c r="L6374" s="1" t="s">
        <v>31900</v>
      </c>
      <c r="M6374" s="2" t="s">
        <v>12</v>
      </c>
      <c r="N6374" s="4">
        <f t="shared" si="1"/>
        <v>43084</v>
      </c>
      <c r="O6374" s="5" t="str">
        <f>IFERROR(__xludf.DUMMYFUNCTION("IF(REGEXMATCH(TRIM(I6374), ""^\d+\s*min""), ""Unclassified"", IF(I6374 = """", ""NR"", I6374))"),"TV-MA")</f>
        <v>TV-MA</v>
      </c>
      <c r="R6374" s="5" t="str">
        <f t="shared" si="2"/>
        <v>Brave New Jersey</v>
      </c>
      <c r="S6374" s="5" t="str">
        <f>IFERROR(__xludf.DUMMYFUNCTION("""COMPUTED_VALUE"""),"Skin Trade")</f>
        <v>Skin Trade</v>
      </c>
      <c r="V6374" s="5"/>
      <c r="Y6374" s="5" t="str">
        <f>IFERROR(__xludf.DUMMYFUNCTION("REGEXEXTRACT(J6374, ""^\d+"")"),"92")</f>
        <v>92</v>
      </c>
      <c r="Z6374" s="5" t="str">
        <f>IFERROR(__xludf.DUMMYFUNCTION("REGEXEXTRACT(J6374, ""[A-Za-z ]+$"")")," min")</f>
        <v> min</v>
      </c>
      <c r="AA6374" s="5" t="str">
        <f>IFERROR(__xludf.DUMMYFUNCTION("IF(REGEXMATCH(Z6374, ""Season""), ""TV Show"", ""Movie"")"),"Movie")</f>
        <v>Movie</v>
      </c>
    </row>
    <row r="6375">
      <c r="A6375" s="1" t="s">
        <v>31901</v>
      </c>
      <c r="B6375" s="1" t="s">
        <v>37</v>
      </c>
      <c r="C6375" s="1" t="s">
        <v>31902</v>
      </c>
      <c r="E6375" s="1" t="s">
        <v>31903</v>
      </c>
      <c r="F6375" s="1" t="s">
        <v>30</v>
      </c>
      <c r="G6375" s="1" t="s">
        <v>16223</v>
      </c>
      <c r="H6375" s="1">
        <v>2014.0</v>
      </c>
      <c r="I6375" s="1" t="s">
        <v>136</v>
      </c>
      <c r="J6375" s="1" t="s">
        <v>43</v>
      </c>
      <c r="K6375" s="1" t="s">
        <v>440</v>
      </c>
      <c r="L6375" s="1" t="s">
        <v>31904</v>
      </c>
      <c r="M6375" s="2" t="s">
        <v>12</v>
      </c>
      <c r="N6375" s="4">
        <f t="shared" si="1"/>
        <v>43876</v>
      </c>
      <c r="O6375" s="5" t="str">
        <f>IFERROR(__xludf.DUMMYFUNCTION("IF(REGEXMATCH(TRIM(I6375), ""^\d+\s*min""), ""Unclassified"", IF(I6375 = """", ""NR"", I6375))"),"TV-PG")</f>
        <v>TV-PG</v>
      </c>
      <c r="R6375" s="5" t="str">
        <f t="shared" si="2"/>
        <v>Braxton Family Values</v>
      </c>
      <c r="S6375" s="5" t="str">
        <f>IFERROR(__xludf.DUMMYFUNCTION("""COMPUTED_VALUE"""),"Skin Wars")</f>
        <v>Skin Wars</v>
      </c>
      <c r="V6375" s="5"/>
      <c r="Y6375" s="5" t="str">
        <f>IFERROR(__xludf.DUMMYFUNCTION("REGEXEXTRACT(J6375, ""^\d+"")"),"2")</f>
        <v>2</v>
      </c>
      <c r="Z6375" s="5" t="str">
        <f>IFERROR(__xludf.DUMMYFUNCTION("REGEXEXTRACT(J6375, ""[A-Za-z ]+$"")")," Seasons")</f>
        <v> Seasons</v>
      </c>
      <c r="AA6375" s="5" t="str">
        <f>IFERROR(__xludf.DUMMYFUNCTION("IF(REGEXMATCH(Z6375, ""Season""), ""TV Show"", ""Movie"")"),"TV Show")</f>
        <v>TV Show</v>
      </c>
    </row>
    <row r="6376">
      <c r="A6376" s="1" t="s">
        <v>31905</v>
      </c>
      <c r="B6376" s="1" t="s">
        <v>27</v>
      </c>
      <c r="C6376" s="1" t="s">
        <v>31906</v>
      </c>
      <c r="D6376" s="1" t="s">
        <v>21409</v>
      </c>
      <c r="E6376" s="1" t="s">
        <v>21409</v>
      </c>
      <c r="F6376" s="1" t="s">
        <v>63</v>
      </c>
      <c r="G6376" s="1" t="s">
        <v>26596</v>
      </c>
      <c r="H6376" s="1">
        <v>2015.0</v>
      </c>
      <c r="I6376" s="1" t="s">
        <v>42</v>
      </c>
      <c r="J6376" s="1" t="s">
        <v>2452</v>
      </c>
      <c r="K6376" s="1" t="s">
        <v>5201</v>
      </c>
      <c r="L6376" s="1" t="s">
        <v>31907</v>
      </c>
      <c r="M6376" s="2" t="s">
        <v>12</v>
      </c>
      <c r="N6376" s="4">
        <f t="shared" si="1"/>
        <v>43084</v>
      </c>
      <c r="O6376" s="5" t="str">
        <f>IFERROR(__xludf.DUMMYFUNCTION("IF(REGEXMATCH(TRIM(I6376), ""^\d+\s*min""), ""Unclassified"", IF(I6376 = """", ""NR"", I6376))"),"TV-MA")</f>
        <v>TV-MA</v>
      </c>
      <c r="R6376" s="5" t="str">
        <f t="shared" si="2"/>
        <v>Breaking Free</v>
      </c>
      <c r="S6376" s="5" t="str">
        <f>IFERROR(__xludf.DUMMYFUNCTION("""COMPUTED_VALUE"""),"Skin Wars: Fresh Paint")</f>
        <v>Skin Wars: Fresh Paint</v>
      </c>
      <c r="V6376" s="5"/>
      <c r="Y6376" s="5" t="str">
        <f>IFERROR(__xludf.DUMMYFUNCTION("REGEXEXTRACT(J6376, ""^\d+"")"),"81")</f>
        <v>81</v>
      </c>
      <c r="Z6376" s="5" t="str">
        <f>IFERROR(__xludf.DUMMYFUNCTION("REGEXEXTRACT(J6376, ""[A-Za-z ]+$"")")," min")</f>
        <v> min</v>
      </c>
      <c r="AA6376" s="5" t="str">
        <f>IFERROR(__xludf.DUMMYFUNCTION("IF(REGEXMATCH(Z6376, ""Season""), ""TV Show"", ""Movie"")"),"Movie")</f>
        <v>Movie</v>
      </c>
    </row>
    <row r="6377">
      <c r="A6377" s="1" t="s">
        <v>31908</v>
      </c>
      <c r="B6377" s="1" t="s">
        <v>27</v>
      </c>
      <c r="C6377" s="1" t="s">
        <v>31909</v>
      </c>
      <c r="D6377" s="1" t="s">
        <v>21207</v>
      </c>
      <c r="E6377" s="1" t="s">
        <v>31910</v>
      </c>
      <c r="F6377" s="1" t="s">
        <v>221</v>
      </c>
      <c r="G6377" s="1" t="s">
        <v>31911</v>
      </c>
      <c r="H6377" s="1">
        <v>2018.0</v>
      </c>
      <c r="I6377" s="1" t="s">
        <v>42</v>
      </c>
      <c r="J6377" s="1" t="s">
        <v>349</v>
      </c>
      <c r="K6377" s="1" t="s">
        <v>2275</v>
      </c>
      <c r="L6377" s="1" t="s">
        <v>31912</v>
      </c>
      <c r="M6377" s="2" t="s">
        <v>12</v>
      </c>
      <c r="N6377" s="4">
        <f t="shared" si="1"/>
        <v>43439</v>
      </c>
      <c r="O6377" s="5" t="str">
        <f>IFERROR(__xludf.DUMMYFUNCTION("IF(REGEXMATCH(TRIM(I6377), ""^\d+\s*min""), ""Unclassified"", IF(I6377 = """", ""NR"", I6377))"),"TV-MA")</f>
        <v>TV-MA</v>
      </c>
      <c r="R6377" s="5" t="str">
        <f t="shared" si="2"/>
        <v>Breath</v>
      </c>
      <c r="S6377" s="5" t="str">
        <f>IFERROR(__xludf.DUMMYFUNCTION("""COMPUTED_VALUE"""),"Skins")</f>
        <v>Skins</v>
      </c>
      <c r="V6377" s="5"/>
      <c r="Y6377" s="5" t="str">
        <f>IFERROR(__xludf.DUMMYFUNCTION("REGEXEXTRACT(J6377, ""^\d+"")"),"116")</f>
        <v>116</v>
      </c>
      <c r="Z6377" s="5" t="str">
        <f>IFERROR(__xludf.DUMMYFUNCTION("REGEXEXTRACT(J6377, ""[A-Za-z ]+$"")")," min")</f>
        <v> min</v>
      </c>
      <c r="AA6377" s="5" t="str">
        <f>IFERROR(__xludf.DUMMYFUNCTION("IF(REGEXMATCH(Z6377, ""Season""), ""TV Show"", ""Movie"")"),"Movie")</f>
        <v>Movie</v>
      </c>
    </row>
    <row r="6378">
      <c r="A6378" s="1" t="s">
        <v>31913</v>
      </c>
      <c r="B6378" s="1" t="s">
        <v>27</v>
      </c>
      <c r="C6378" s="1" t="s">
        <v>31914</v>
      </c>
      <c r="D6378" s="1" t="s">
        <v>19055</v>
      </c>
      <c r="E6378" s="1" t="s">
        <v>31915</v>
      </c>
      <c r="F6378" s="1" t="s">
        <v>30</v>
      </c>
      <c r="G6378" s="1" t="s">
        <v>24649</v>
      </c>
      <c r="H6378" s="1">
        <v>2005.0</v>
      </c>
      <c r="I6378" s="1" t="s">
        <v>378</v>
      </c>
      <c r="J6378" s="1" t="s">
        <v>297</v>
      </c>
      <c r="K6378" s="1" t="s">
        <v>5435</v>
      </c>
      <c r="L6378" s="1" t="s">
        <v>31916</v>
      </c>
      <c r="M6378" s="2" t="s">
        <v>12</v>
      </c>
      <c r="N6378" s="4">
        <f t="shared" si="1"/>
        <v>43344</v>
      </c>
      <c r="O6378" s="5" t="str">
        <f>IFERROR(__xludf.DUMMYFUNCTION("IF(REGEXMATCH(TRIM(I6378), ""^\d+\s*min""), ""Unclassified"", IF(I6378 = """", ""NR"", I6378))"),"R")</f>
        <v>R</v>
      </c>
      <c r="R6378" s="5" t="str">
        <f t="shared" si="2"/>
        <v>Brick</v>
      </c>
      <c r="S6378" s="5" t="str">
        <f>IFERROR(__xludf.DUMMYFUNCTION("""COMPUTED_VALUE"""),"Skiptrace")</f>
        <v>Skiptrace</v>
      </c>
      <c r="V6378" s="5"/>
      <c r="Y6378" s="5" t="str">
        <f>IFERROR(__xludf.DUMMYFUNCTION("REGEXEXTRACT(J6378, ""^\d+"")"),"110")</f>
        <v>110</v>
      </c>
      <c r="Z6378" s="5" t="str">
        <f>IFERROR(__xludf.DUMMYFUNCTION("REGEXEXTRACT(J6378, ""[A-Za-z ]+$"")")," min")</f>
        <v> min</v>
      </c>
      <c r="AA6378" s="5" t="str">
        <f>IFERROR(__xludf.DUMMYFUNCTION("IF(REGEXMATCH(Z6378, ""Season""), ""TV Show"", ""Movie"")"),"Movie")</f>
        <v>Movie</v>
      </c>
    </row>
    <row r="6379">
      <c r="A6379" s="1" t="s">
        <v>31917</v>
      </c>
      <c r="B6379" s="1" t="s">
        <v>27</v>
      </c>
      <c r="C6379" s="1" t="s">
        <v>31918</v>
      </c>
      <c r="D6379" s="1" t="s">
        <v>19394</v>
      </c>
      <c r="E6379" s="1" t="s">
        <v>31919</v>
      </c>
      <c r="F6379" s="1" t="s">
        <v>30</v>
      </c>
      <c r="G6379" s="1" t="s">
        <v>27430</v>
      </c>
      <c r="H6379" s="1">
        <v>2017.0</v>
      </c>
      <c r="I6379" s="1" t="s">
        <v>32</v>
      </c>
      <c r="J6379" s="1" t="s">
        <v>465</v>
      </c>
      <c r="K6379" s="1" t="s">
        <v>239</v>
      </c>
      <c r="L6379" s="1" t="s">
        <v>31920</v>
      </c>
      <c r="M6379" s="2" t="s">
        <v>12</v>
      </c>
      <c r="N6379" s="4">
        <f t="shared" si="1"/>
        <v>42976</v>
      </c>
      <c r="O6379" s="5" t="str">
        <f>IFERROR(__xludf.DUMMYFUNCTION("IF(REGEXMATCH(TRIM(I6379), ""^\d+\s*min""), ""Unclassified"", IF(I6379 = """", ""NR"", I6379))"),"PG-13")</f>
        <v>PG-13</v>
      </c>
      <c r="R6379" s="5" t="str">
        <f t="shared" si="2"/>
        <v>Bring It On: Worldwide Showdown</v>
      </c>
      <c r="S6379" s="5" t="str">
        <f>IFERROR(__xludf.DUMMYFUNCTION("""COMPUTED_VALUE"""),"Sky Ladder: The Art Of Cai Guo-Qiang")</f>
        <v>Sky Ladder: The Art Of Cai Guo-Qiang</v>
      </c>
      <c r="V6379" s="5"/>
      <c r="Y6379" s="5" t="str">
        <f>IFERROR(__xludf.DUMMYFUNCTION("REGEXEXTRACT(J6379, ""^\d+"")"),"95")</f>
        <v>95</v>
      </c>
      <c r="Z6379" s="5" t="str">
        <f>IFERROR(__xludf.DUMMYFUNCTION("REGEXEXTRACT(J6379, ""[A-Za-z ]+$"")")," min")</f>
        <v> min</v>
      </c>
      <c r="AA6379" s="5" t="str">
        <f>IFERROR(__xludf.DUMMYFUNCTION("IF(REGEXMATCH(Z6379, ""Season""), ""TV Show"", ""Movie"")"),"Movie")</f>
        <v>Movie</v>
      </c>
    </row>
    <row r="6380">
      <c r="A6380" s="1" t="s">
        <v>31921</v>
      </c>
      <c r="B6380" s="1" t="s">
        <v>37</v>
      </c>
      <c r="C6380" s="1" t="s">
        <v>31922</v>
      </c>
      <c r="E6380" s="1" t="s">
        <v>31923</v>
      </c>
      <c r="G6380" s="1" t="s">
        <v>18971</v>
      </c>
      <c r="H6380" s="1">
        <v>2015.0</v>
      </c>
      <c r="I6380" s="1" t="s">
        <v>97</v>
      </c>
      <c r="J6380" s="1" t="s">
        <v>51</v>
      </c>
      <c r="K6380" s="1" t="s">
        <v>1520</v>
      </c>
      <c r="L6380" s="1" t="s">
        <v>31924</v>
      </c>
      <c r="M6380" s="2" t="s">
        <v>12</v>
      </c>
      <c r="N6380" s="4">
        <f t="shared" si="1"/>
        <v>43740</v>
      </c>
      <c r="O6380" s="5" t="str">
        <f>IFERROR(__xludf.DUMMYFUNCTION("IF(REGEXMATCH(TRIM(I6380), ""^\d+\s*min""), ""Unclassified"", IF(I6380 = """", ""NR"", I6380))"),"TV-14")</f>
        <v>TV-14</v>
      </c>
      <c r="R6380" s="5" t="str">
        <f t="shared" si="2"/>
        <v>Bringing Sexy Back</v>
      </c>
      <c r="S6380" s="5" t="str">
        <f>IFERROR(__xludf.DUMMYFUNCTION("""COMPUTED_VALUE"""),"Sky On Fire")</f>
        <v>Sky On Fire</v>
      </c>
      <c r="V6380" s="5"/>
      <c r="Y6380" s="5" t="str">
        <f>IFERROR(__xludf.DUMMYFUNCTION("REGEXEXTRACT(J6380, ""^\d+"")"),"1")</f>
        <v>1</v>
      </c>
      <c r="Z6380" s="5" t="str">
        <f>IFERROR(__xludf.DUMMYFUNCTION("REGEXEXTRACT(J6380, ""[A-Za-z ]+$"")")," Season")</f>
        <v> Season</v>
      </c>
      <c r="AA6380" s="5" t="str">
        <f>IFERROR(__xludf.DUMMYFUNCTION("IF(REGEXMATCH(Z6380, ""Season""), ""TV Show"", ""Movie"")"),"TV Show")</f>
        <v>TV Show</v>
      </c>
    </row>
    <row r="6381">
      <c r="A6381" s="1" t="s">
        <v>31925</v>
      </c>
      <c r="B6381" s="1" t="s">
        <v>27</v>
      </c>
      <c r="C6381" s="1" t="s">
        <v>31926</v>
      </c>
      <c r="D6381" s="1" t="s">
        <v>391</v>
      </c>
      <c r="E6381" s="1" t="s">
        <v>31927</v>
      </c>
      <c r="F6381" s="1" t="s">
        <v>30</v>
      </c>
      <c r="G6381" s="1" t="s">
        <v>24201</v>
      </c>
      <c r="H6381" s="1">
        <v>2009.0</v>
      </c>
      <c r="I6381" s="1" t="s">
        <v>378</v>
      </c>
      <c r="J6381" s="1" t="s">
        <v>1428</v>
      </c>
      <c r="K6381" s="1" t="s">
        <v>394</v>
      </c>
      <c r="L6381" s="1" t="s">
        <v>31928</v>
      </c>
      <c r="M6381" s="2" t="s">
        <v>12</v>
      </c>
      <c r="N6381" s="4">
        <f t="shared" si="1"/>
        <v>43374</v>
      </c>
      <c r="O6381" s="5" t="str">
        <f>IFERROR(__xludf.DUMMYFUNCTION("IF(REGEXMATCH(TRIM(I6381), ""^\d+\s*min""), ""Unclassified"", IF(I6381 = """", ""NR"", I6381))"),"R")</f>
        <v>R</v>
      </c>
      <c r="R6381" s="5" t="str">
        <f t="shared" si="2"/>
        <v>Brooklyn'S Finest</v>
      </c>
      <c r="S6381" s="5" t="str">
        <f>IFERROR(__xludf.DUMMYFUNCTION("""COMPUTED_VALUE"""),"Sky Rojo")</f>
        <v>Sky Rojo</v>
      </c>
      <c r="V6381" s="5"/>
      <c r="Y6381" s="5" t="str">
        <f>IFERROR(__xludf.DUMMYFUNCTION("REGEXEXTRACT(J6381, ""^\d+"")"),"133")</f>
        <v>133</v>
      </c>
      <c r="Z6381" s="5" t="str">
        <f>IFERROR(__xludf.DUMMYFUNCTION("REGEXEXTRACT(J6381, ""[A-Za-z ]+$"")")," min")</f>
        <v> min</v>
      </c>
      <c r="AA6381" s="5" t="str">
        <f>IFERROR(__xludf.DUMMYFUNCTION("IF(REGEXMATCH(Z6381, ""Season""), ""TV Show"", ""Movie"")"),"Movie")</f>
        <v>Movie</v>
      </c>
    </row>
    <row r="6382">
      <c r="A6382" s="1" t="s">
        <v>31929</v>
      </c>
      <c r="B6382" s="1" t="s">
        <v>27</v>
      </c>
      <c r="C6382" s="1" t="s">
        <v>31930</v>
      </c>
      <c r="D6382" s="1" t="s">
        <v>13982</v>
      </c>
      <c r="E6382" s="1" t="s">
        <v>31931</v>
      </c>
      <c r="F6382" s="1" t="s">
        <v>3892</v>
      </c>
      <c r="G6382" s="1" t="s">
        <v>31932</v>
      </c>
      <c r="H6382" s="1">
        <v>2017.0</v>
      </c>
      <c r="I6382" s="1" t="s">
        <v>42</v>
      </c>
      <c r="J6382" s="1" t="s">
        <v>985</v>
      </c>
      <c r="K6382" s="1" t="s">
        <v>1066</v>
      </c>
      <c r="L6382" s="1" t="s">
        <v>31933</v>
      </c>
      <c r="M6382" s="2" t="s">
        <v>12</v>
      </c>
      <c r="N6382" s="4">
        <f t="shared" si="1"/>
        <v>43432</v>
      </c>
      <c r="O6382" s="5" t="str">
        <f>IFERROR(__xludf.DUMMYFUNCTION("IF(REGEXMATCH(TRIM(I6382), ""^\d+\s*min""), ""Unclassified"", IF(I6382 = """", ""NR"", I6382))"),"TV-MA")</f>
        <v>TV-MA</v>
      </c>
      <c r="R6382" s="5" t="str">
        <f t="shared" si="2"/>
        <v>Brotherhood Of Blades Ii: The Infernal Battlefield</v>
      </c>
      <c r="S6382" s="5" t="str">
        <f>IFERROR(__xludf.DUMMYFUNCTION("""COMPUTED_VALUE"""),"Sky Tour: The Movie")</f>
        <v>Sky Tour: The Movie</v>
      </c>
      <c r="V6382" s="5"/>
      <c r="Y6382" s="5" t="str">
        <f>IFERROR(__xludf.DUMMYFUNCTION("REGEXEXTRACT(J6382, ""^\d+"")"),"120")</f>
        <v>120</v>
      </c>
      <c r="Z6382" s="5" t="str">
        <f>IFERROR(__xludf.DUMMYFUNCTION("REGEXEXTRACT(J6382, ""[A-Za-z ]+$"")")," min")</f>
        <v> min</v>
      </c>
      <c r="AA6382" s="5" t="str">
        <f>IFERROR(__xludf.DUMMYFUNCTION("IF(REGEXMATCH(Z6382, ""Season""), ""TV Show"", ""Movie"")"),"Movie")</f>
        <v>Movie</v>
      </c>
    </row>
    <row r="6383">
      <c r="A6383" s="1" t="s">
        <v>31934</v>
      </c>
      <c r="B6383" s="1" t="s">
        <v>37</v>
      </c>
      <c r="C6383" s="1" t="s">
        <v>31935</v>
      </c>
      <c r="E6383" s="1" t="s">
        <v>31936</v>
      </c>
      <c r="F6383" s="1" t="s">
        <v>30</v>
      </c>
      <c r="G6383" s="1" t="s">
        <v>29145</v>
      </c>
      <c r="H6383" s="1">
        <v>2016.0</v>
      </c>
      <c r="I6383" s="1" t="s">
        <v>97</v>
      </c>
      <c r="J6383" s="1" t="s">
        <v>51</v>
      </c>
      <c r="K6383" s="1" t="s">
        <v>270</v>
      </c>
      <c r="L6383" s="1" t="s">
        <v>31937</v>
      </c>
      <c r="M6383" s="2" t="s">
        <v>12</v>
      </c>
      <c r="N6383" s="4">
        <f t="shared" si="1"/>
        <v>42689</v>
      </c>
      <c r="O6383" s="5" t="str">
        <f>IFERROR(__xludf.DUMMYFUNCTION("IF(REGEXMATCH(TRIM(I6383), ""^\d+\s*min""), ""Unclassified"", IF(I6383 = """", ""NR"", I6383))"),"TV-14")</f>
        <v>TV-14</v>
      </c>
      <c r="R6383" s="5" t="str">
        <f t="shared" si="2"/>
        <v>Brown Nation</v>
      </c>
      <c r="S6383" s="5" t="str">
        <f>IFERROR(__xludf.DUMMYFUNCTION("""COMPUTED_VALUE"""),"Skydancers")</f>
        <v>Skydancers</v>
      </c>
      <c r="V6383" s="5"/>
      <c r="Y6383" s="5" t="str">
        <f>IFERROR(__xludf.DUMMYFUNCTION("REGEXEXTRACT(J6383, ""^\d+"")"),"1")</f>
        <v>1</v>
      </c>
      <c r="Z6383" s="5" t="str">
        <f>IFERROR(__xludf.DUMMYFUNCTION("REGEXEXTRACT(J6383, ""[A-Za-z ]+$"")")," Season")</f>
        <v> Season</v>
      </c>
      <c r="AA6383" s="5" t="str">
        <f>IFERROR(__xludf.DUMMYFUNCTION("IF(REGEXMATCH(Z6383, ""Season""), ""TV Show"", ""Movie"")"),"TV Show")</f>
        <v>TV Show</v>
      </c>
    </row>
    <row r="6384">
      <c r="A6384" s="1" t="s">
        <v>31938</v>
      </c>
      <c r="B6384" s="1" t="s">
        <v>27</v>
      </c>
      <c r="C6384" s="1" t="s">
        <v>31939</v>
      </c>
      <c r="D6384" s="1" t="s">
        <v>23432</v>
      </c>
      <c r="E6384" s="1" t="s">
        <v>31940</v>
      </c>
      <c r="F6384" s="1" t="s">
        <v>1106</v>
      </c>
      <c r="G6384" s="1" t="s">
        <v>31941</v>
      </c>
      <c r="H6384" s="1">
        <v>2016.0</v>
      </c>
      <c r="I6384" s="1" t="s">
        <v>136</v>
      </c>
      <c r="J6384" s="1" t="s">
        <v>79</v>
      </c>
      <c r="K6384" s="1" t="s">
        <v>137</v>
      </c>
      <c r="L6384" s="1" t="s">
        <v>31942</v>
      </c>
      <c r="M6384" s="2" t="s">
        <v>12</v>
      </c>
      <c r="N6384" s="4">
        <f t="shared" si="1"/>
        <v>42910</v>
      </c>
      <c r="O6384" s="5" t="str">
        <f>IFERROR(__xludf.DUMMYFUNCTION("IF(REGEXMATCH(TRIM(I6384), ""^\d+\s*min""), ""Unclassified"", IF(I6384 = """", ""NR"", I6384))"),"TV-PG")</f>
        <v>TV-PG</v>
      </c>
      <c r="R6384" s="5" t="str">
        <f t="shared" si="2"/>
        <v>Bruno And Boots: Go Jump In The Pool</v>
      </c>
      <c r="S6384" s="5" t="str">
        <f>IFERROR(__xludf.DUMMYFUNCTION("""COMPUTED_VALUE"""),"Skylanders Academy")</f>
        <v>Skylanders Academy</v>
      </c>
      <c r="V6384" s="5"/>
      <c r="Y6384" s="5" t="str">
        <f>IFERROR(__xludf.DUMMYFUNCTION("REGEXEXTRACT(J6384, ""^\d+"")"),"91")</f>
        <v>91</v>
      </c>
      <c r="Z6384" s="5" t="str">
        <f>IFERROR(__xludf.DUMMYFUNCTION("REGEXEXTRACT(J6384, ""[A-Za-z ]+$"")")," min")</f>
        <v> min</v>
      </c>
      <c r="AA6384" s="5" t="str">
        <f>IFERROR(__xludf.DUMMYFUNCTION("IF(REGEXMATCH(Z6384, ""Season""), ""TV Show"", ""Movie"")"),"Movie")</f>
        <v>Movie</v>
      </c>
    </row>
    <row r="6385">
      <c r="A6385" s="1" t="s">
        <v>31943</v>
      </c>
      <c r="B6385" s="1" t="s">
        <v>27</v>
      </c>
      <c r="C6385" s="1" t="s">
        <v>31944</v>
      </c>
      <c r="D6385" s="1" t="s">
        <v>23432</v>
      </c>
      <c r="E6385" s="1" t="s">
        <v>31945</v>
      </c>
      <c r="F6385" s="1" t="s">
        <v>1106</v>
      </c>
      <c r="G6385" s="1" t="s">
        <v>27735</v>
      </c>
      <c r="H6385" s="1">
        <v>2017.0</v>
      </c>
      <c r="I6385" s="1" t="s">
        <v>136</v>
      </c>
      <c r="J6385" s="1" t="s">
        <v>33</v>
      </c>
      <c r="K6385" s="1" t="s">
        <v>137</v>
      </c>
      <c r="L6385" s="1" t="s">
        <v>31946</v>
      </c>
      <c r="M6385" s="2" t="s">
        <v>12</v>
      </c>
      <c r="N6385" s="4">
        <f t="shared" si="1"/>
        <v>42917</v>
      </c>
      <c r="O6385" s="5" t="str">
        <f>IFERROR(__xludf.DUMMYFUNCTION("IF(REGEXMATCH(TRIM(I6385), ""^\d+\s*min""), ""Unclassified"", IF(I6385 = """", ""NR"", I6385))"),"TV-PG")</f>
        <v>TV-PG</v>
      </c>
      <c r="R6385" s="5" t="str">
        <f t="shared" si="2"/>
        <v>Bruno And Boots: The Wizzle War</v>
      </c>
      <c r="S6385" s="5" t="str">
        <f>IFERROR(__xludf.DUMMYFUNCTION("""COMPUTED_VALUE"""),"Skyline")</f>
        <v>Skyline</v>
      </c>
      <c r="V6385" s="5"/>
      <c r="Y6385" s="5" t="str">
        <f>IFERROR(__xludf.DUMMYFUNCTION("REGEXEXTRACT(J6385, ""^\d+"")"),"90")</f>
        <v>90</v>
      </c>
      <c r="Z6385" s="5" t="str">
        <f>IFERROR(__xludf.DUMMYFUNCTION("REGEXEXTRACT(J6385, ""[A-Za-z ]+$"")")," min")</f>
        <v> min</v>
      </c>
      <c r="AA6385" s="5" t="str">
        <f>IFERROR(__xludf.DUMMYFUNCTION("IF(REGEXMATCH(Z6385, ""Season""), ""TV Show"", ""Movie"")"),"Movie")</f>
        <v>Movie</v>
      </c>
    </row>
    <row r="6386">
      <c r="A6386" s="1" t="s">
        <v>31947</v>
      </c>
      <c r="B6386" s="1" t="s">
        <v>27</v>
      </c>
      <c r="C6386" s="1" t="s">
        <v>31948</v>
      </c>
      <c r="D6386" s="1" t="s">
        <v>23432</v>
      </c>
      <c r="E6386" s="1" t="s">
        <v>31949</v>
      </c>
      <c r="F6386" s="1" t="s">
        <v>1106</v>
      </c>
      <c r="G6386" s="1" t="s">
        <v>31941</v>
      </c>
      <c r="H6386" s="1">
        <v>2017.0</v>
      </c>
      <c r="I6386" s="1" t="s">
        <v>136</v>
      </c>
      <c r="J6386" s="1" t="s">
        <v>33</v>
      </c>
      <c r="K6386" s="1" t="s">
        <v>137</v>
      </c>
      <c r="L6386" s="1" t="s">
        <v>31950</v>
      </c>
      <c r="M6386" s="2" t="s">
        <v>12</v>
      </c>
      <c r="N6386" s="4">
        <f t="shared" si="1"/>
        <v>42910</v>
      </c>
      <c r="O6386" s="5" t="str">
        <f>IFERROR(__xludf.DUMMYFUNCTION("IF(REGEXMATCH(TRIM(I6386), ""^\d+\s*min""), ""Unclassified"", IF(I6386 = """", ""NR"", I6386))"),"TV-PG")</f>
        <v>TV-PG</v>
      </c>
      <c r="R6386" s="5" t="str">
        <f t="shared" si="2"/>
        <v>Bruno And Boots: This Can'T Be Happening At Macdonald Hall</v>
      </c>
      <c r="S6386" s="5" t="str">
        <f>IFERROR(__xludf.DUMMYFUNCTION("""COMPUTED_VALUE"""),"Skylines")</f>
        <v>Skylines</v>
      </c>
      <c r="V6386" s="5"/>
      <c r="Y6386" s="5" t="str">
        <f>IFERROR(__xludf.DUMMYFUNCTION("REGEXEXTRACT(J6386, ""^\d+"")"),"90")</f>
        <v>90</v>
      </c>
      <c r="Z6386" s="5" t="str">
        <f>IFERROR(__xludf.DUMMYFUNCTION("REGEXEXTRACT(J6386, ""[A-Za-z ]+$"")")," min")</f>
        <v> min</v>
      </c>
      <c r="AA6386" s="5" t="str">
        <f>IFERROR(__xludf.DUMMYFUNCTION("IF(REGEXMATCH(Z6386, ""Season""), ""TV Show"", ""Movie"")"),"Movie")</f>
        <v>Movie</v>
      </c>
    </row>
    <row r="6387">
      <c r="A6387" s="1" t="s">
        <v>31951</v>
      </c>
      <c r="B6387" s="1" t="s">
        <v>37</v>
      </c>
      <c r="C6387" s="1" t="s">
        <v>31952</v>
      </c>
      <c r="E6387" s="1" t="s">
        <v>31953</v>
      </c>
      <c r="G6387" s="1" t="s">
        <v>25842</v>
      </c>
      <c r="H6387" s="1">
        <v>2013.0</v>
      </c>
      <c r="I6387" s="1" t="s">
        <v>136</v>
      </c>
      <c r="J6387" s="1" t="s">
        <v>51</v>
      </c>
      <c r="K6387" s="1" t="s">
        <v>402</v>
      </c>
      <c r="L6387" s="1" t="s">
        <v>31954</v>
      </c>
      <c r="M6387" s="2" t="s">
        <v>12</v>
      </c>
      <c r="N6387" s="4">
        <f t="shared" si="1"/>
        <v>43191</v>
      </c>
      <c r="O6387" s="5" t="str">
        <f>IFERROR(__xludf.DUMMYFUNCTION("IF(REGEXMATCH(TRIM(I6387), ""^\d+\s*min""), ""Unclassified"", IF(I6387 = """", ""NR"", I6387))"),"TV-PG")</f>
        <v>TV-PG</v>
      </c>
      <c r="R6387" s="5" t="str">
        <f t="shared" si="2"/>
        <v>Buddha</v>
      </c>
      <c r="S6387" s="5" t="str">
        <f>IFERROR(__xludf.DUMMYFUNCTION("""COMPUTED_VALUE"""),"Slam")</f>
        <v>Slam</v>
      </c>
      <c r="V6387" s="5"/>
      <c r="Y6387" s="5" t="str">
        <f>IFERROR(__xludf.DUMMYFUNCTION("REGEXEXTRACT(J6387, ""^\d+"")"),"1")</f>
        <v>1</v>
      </c>
      <c r="Z6387" s="5" t="str">
        <f>IFERROR(__xludf.DUMMYFUNCTION("REGEXEXTRACT(J6387, ""[A-Za-z ]+$"")")," Season")</f>
        <v> Season</v>
      </c>
      <c r="AA6387" s="5" t="str">
        <f>IFERROR(__xludf.DUMMYFUNCTION("IF(REGEXMATCH(Z6387, ""Season""), ""TV Show"", ""Movie"")"),"TV Show")</f>
        <v>TV Show</v>
      </c>
    </row>
    <row r="6388">
      <c r="A6388" s="1" t="s">
        <v>31955</v>
      </c>
      <c r="B6388" s="1" t="s">
        <v>27</v>
      </c>
      <c r="C6388" s="1" t="s">
        <v>31956</v>
      </c>
      <c r="D6388" s="1" t="s">
        <v>16100</v>
      </c>
      <c r="E6388" s="1" t="s">
        <v>31957</v>
      </c>
      <c r="F6388" s="1" t="s">
        <v>22345</v>
      </c>
      <c r="G6388" s="1" t="s">
        <v>21216</v>
      </c>
      <c r="H6388" s="1">
        <v>2018.0</v>
      </c>
      <c r="I6388" s="1" t="s">
        <v>42</v>
      </c>
      <c r="J6388" s="1" t="s">
        <v>238</v>
      </c>
      <c r="K6388" s="1" t="s">
        <v>1066</v>
      </c>
      <c r="L6388" s="1" t="s">
        <v>31958</v>
      </c>
      <c r="M6388" s="2" t="s">
        <v>12</v>
      </c>
      <c r="N6388" s="4">
        <f t="shared" si="1"/>
        <v>43567</v>
      </c>
      <c r="O6388" s="5" t="str">
        <f>IFERROR(__xludf.DUMMYFUNCTION("IF(REGEXMATCH(TRIM(I6388), ""^\d+\s*min""), ""Unclassified"", IF(I6388 = """", ""NR"", I6388))"),"TV-MA")</f>
        <v>TV-MA</v>
      </c>
      <c r="R6388" s="5" t="str">
        <f t="shared" si="2"/>
        <v>Buffalo Boys</v>
      </c>
      <c r="S6388" s="5" t="str">
        <f>IFERROR(__xludf.DUMMYFUNCTION("""COMPUTED_VALUE"""),"Slasher")</f>
        <v>Slasher</v>
      </c>
      <c r="V6388" s="5"/>
      <c r="Y6388" s="5" t="str">
        <f>IFERROR(__xludf.DUMMYFUNCTION("REGEXEXTRACT(J6388, ""^\d+"")"),"103")</f>
        <v>103</v>
      </c>
      <c r="Z6388" s="5" t="str">
        <f>IFERROR(__xludf.DUMMYFUNCTION("REGEXEXTRACT(J6388, ""[A-Za-z ]+$"")")," min")</f>
        <v> min</v>
      </c>
      <c r="AA6388" s="5" t="str">
        <f>IFERROR(__xludf.DUMMYFUNCTION("IF(REGEXMATCH(Z6388, ""Season""), ""TV Show"", ""Movie"")"),"Movie")</f>
        <v>Movie</v>
      </c>
    </row>
    <row r="6389">
      <c r="A6389" s="1" t="s">
        <v>31959</v>
      </c>
      <c r="B6389" s="1" t="s">
        <v>27</v>
      </c>
      <c r="C6389" s="1" t="s">
        <v>31960</v>
      </c>
      <c r="D6389" s="1" t="s">
        <v>1794</v>
      </c>
      <c r="F6389" s="1" t="s">
        <v>31961</v>
      </c>
      <c r="G6389" s="1" t="s">
        <v>26209</v>
      </c>
      <c r="H6389" s="1">
        <v>2016.0</v>
      </c>
      <c r="I6389" s="1" t="s">
        <v>506</v>
      </c>
      <c r="J6389" s="1" t="s">
        <v>5120</v>
      </c>
      <c r="K6389" s="1" t="s">
        <v>156</v>
      </c>
      <c r="L6389" s="1" t="s">
        <v>31962</v>
      </c>
      <c r="M6389" s="2" t="s">
        <v>12</v>
      </c>
      <c r="N6389" s="4">
        <f t="shared" si="1"/>
        <v>43151</v>
      </c>
      <c r="O6389" s="5" t="str">
        <f>IFERROR(__xludf.DUMMYFUNCTION("IF(REGEXMATCH(TRIM(I6389), ""^\d+\s*min""), ""Unclassified"", IF(I6389 = """", ""NR"", I6389))"),"TV-G")</f>
        <v>TV-G</v>
      </c>
      <c r="R6389" s="5" t="str">
        <f t="shared" si="2"/>
        <v>Bugs</v>
      </c>
      <c r="S6389" s="5" t="str">
        <f>IFERROR(__xludf.DUMMYFUNCTION("""COMPUTED_VALUE"""),"Slay")</f>
        <v>Slay</v>
      </c>
      <c r="V6389" s="5"/>
      <c r="Y6389" s="5" t="str">
        <f>IFERROR(__xludf.DUMMYFUNCTION("REGEXEXTRACT(J6389, ""^\d+"")"),"73")</f>
        <v>73</v>
      </c>
      <c r="Z6389" s="5" t="str">
        <f>IFERROR(__xludf.DUMMYFUNCTION("REGEXEXTRACT(J6389, ""[A-Za-z ]+$"")")," min")</f>
        <v> min</v>
      </c>
      <c r="AA6389" s="5" t="str">
        <f>IFERROR(__xludf.DUMMYFUNCTION("IF(REGEXMATCH(Z6389, ""Season""), ""TV Show"", ""Movie"")"),"Movie")</f>
        <v>Movie</v>
      </c>
    </row>
    <row r="6390">
      <c r="A6390" s="1" t="s">
        <v>31963</v>
      </c>
      <c r="B6390" s="1" t="s">
        <v>27</v>
      </c>
      <c r="C6390" s="1" t="s">
        <v>31964</v>
      </c>
      <c r="D6390" s="1" t="s">
        <v>31965</v>
      </c>
      <c r="E6390" s="1" t="s">
        <v>31966</v>
      </c>
      <c r="F6390" s="1" t="s">
        <v>30</v>
      </c>
      <c r="G6390" s="1" t="s">
        <v>20561</v>
      </c>
      <c r="H6390" s="1">
        <v>2018.0</v>
      </c>
      <c r="I6390" s="1" t="s">
        <v>42</v>
      </c>
      <c r="J6390" s="1" t="s">
        <v>357</v>
      </c>
      <c r="K6390" s="1" t="s">
        <v>5435</v>
      </c>
      <c r="L6390" s="1" t="s">
        <v>31967</v>
      </c>
      <c r="M6390" s="2" t="s">
        <v>12</v>
      </c>
      <c r="N6390" s="4">
        <f t="shared" si="1"/>
        <v>43617</v>
      </c>
      <c r="O6390" s="5" t="str">
        <f>IFERROR(__xludf.DUMMYFUNCTION("IF(REGEXMATCH(TRIM(I6390), ""^\d+\s*min""), ""Unclassified"", IF(I6390 = """", ""NR"", I6390))"),"TV-MA")</f>
        <v>TV-MA</v>
      </c>
      <c r="R6390" s="5" t="str">
        <f t="shared" si="2"/>
        <v>Bullitt County</v>
      </c>
      <c r="S6390" s="5" t="str">
        <f>IFERROR(__xludf.DUMMYFUNCTION("""COMPUTED_VALUE"""),"Sleeping With Other People")</f>
        <v>Sleeping With Other People</v>
      </c>
      <c r="V6390" s="5"/>
      <c r="Y6390" s="5" t="str">
        <f>IFERROR(__xludf.DUMMYFUNCTION("REGEXEXTRACT(J6390, ""^\d+"")"),"98")</f>
        <v>98</v>
      </c>
      <c r="Z6390" s="5" t="str">
        <f>IFERROR(__xludf.DUMMYFUNCTION("REGEXEXTRACT(J6390, ""[A-Za-z ]+$"")")," min")</f>
        <v> min</v>
      </c>
      <c r="AA6390" s="5" t="str">
        <f>IFERROR(__xludf.DUMMYFUNCTION("IF(REGEXMATCH(Z6390, ""Season""), ""TV Show"", ""Movie"")"),"Movie")</f>
        <v>Movie</v>
      </c>
    </row>
    <row r="6391">
      <c r="A6391" s="1" t="s">
        <v>31968</v>
      </c>
      <c r="B6391" s="1" t="s">
        <v>37</v>
      </c>
      <c r="C6391" s="1" t="s">
        <v>31969</v>
      </c>
      <c r="G6391" s="1" t="s">
        <v>25882</v>
      </c>
      <c r="H6391" s="1">
        <v>2017.0</v>
      </c>
      <c r="I6391" s="1" t="s">
        <v>136</v>
      </c>
      <c r="J6391" s="1" t="s">
        <v>51</v>
      </c>
      <c r="K6391" s="1" t="s">
        <v>290</v>
      </c>
      <c r="L6391" s="1" t="s">
        <v>31970</v>
      </c>
      <c r="M6391" s="2" t="s">
        <v>12</v>
      </c>
      <c r="N6391" s="4">
        <f t="shared" si="1"/>
        <v>43190</v>
      </c>
      <c r="O6391" s="5" t="str">
        <f>IFERROR(__xludf.DUMMYFUNCTION("IF(REGEXMATCH(TRIM(I6391), ""^\d+\s*min""), ""Unclassified"", IF(I6391 = """", ""NR"", I6391))"),"TV-PG")</f>
        <v>TV-PG</v>
      </c>
      <c r="R6391" s="5" t="str">
        <f t="shared" si="2"/>
        <v>Bure Kaam Bura Natija, Kyun Bhai Chacha Haan Bhatija</v>
      </c>
      <c r="S6391" s="5" t="str">
        <f>IFERROR(__xludf.DUMMYFUNCTION("""COMPUTED_VALUE"""),"Sleepless")</f>
        <v>Sleepless</v>
      </c>
      <c r="V6391" s="5"/>
      <c r="Y6391" s="5" t="str">
        <f>IFERROR(__xludf.DUMMYFUNCTION("REGEXEXTRACT(J6391, ""^\d+"")"),"1")</f>
        <v>1</v>
      </c>
      <c r="Z6391" s="5" t="str">
        <f>IFERROR(__xludf.DUMMYFUNCTION("REGEXEXTRACT(J6391, ""[A-Za-z ]+$"")")," Season")</f>
        <v> Season</v>
      </c>
      <c r="AA6391" s="5" t="str">
        <f>IFERROR(__xludf.DUMMYFUNCTION("IF(REGEXMATCH(Z6391, ""Season""), ""TV Show"", ""Movie"")"),"TV Show")</f>
        <v>TV Show</v>
      </c>
    </row>
    <row r="6392">
      <c r="A6392" s="1" t="s">
        <v>31971</v>
      </c>
      <c r="B6392" s="1" t="s">
        <v>27</v>
      </c>
      <c r="C6392" s="1" t="s">
        <v>31972</v>
      </c>
      <c r="D6392" s="1" t="s">
        <v>21604</v>
      </c>
      <c r="E6392" s="1" t="s">
        <v>31973</v>
      </c>
      <c r="F6392" s="1" t="s">
        <v>30</v>
      </c>
      <c r="G6392" s="1" t="s">
        <v>17322</v>
      </c>
      <c r="H6392" s="1">
        <v>2010.0</v>
      </c>
      <c r="I6392" s="1" t="s">
        <v>32</v>
      </c>
      <c r="J6392" s="1" t="s">
        <v>804</v>
      </c>
      <c r="K6392" s="1" t="s">
        <v>828</v>
      </c>
      <c r="L6392" s="1" t="s">
        <v>31974</v>
      </c>
      <c r="M6392" s="2" t="s">
        <v>12</v>
      </c>
      <c r="N6392" s="4">
        <f t="shared" si="1"/>
        <v>43815</v>
      </c>
      <c r="O6392" s="5" t="str">
        <f>IFERROR(__xludf.DUMMYFUNCTION("IF(REGEXMATCH(TRIM(I6392), ""^\d+\s*min""), ""Unclassified"", IF(I6392 = """", ""NR"", I6392))"),"PG-13")</f>
        <v>PG-13</v>
      </c>
      <c r="R6392" s="5" t="str">
        <f t="shared" si="2"/>
        <v>Burlesque</v>
      </c>
      <c r="S6392" s="5" t="str">
        <f>IFERROR(__xludf.DUMMYFUNCTION("""COMPUTED_VALUE"""),"Sleepless Society: Bedtime Wishes")</f>
        <v>Sleepless Society: Bedtime Wishes</v>
      </c>
      <c r="V6392" s="5"/>
      <c r="Y6392" s="5" t="str">
        <f>IFERROR(__xludf.DUMMYFUNCTION("REGEXEXTRACT(J6392, ""^\d+"")"),"119")</f>
        <v>119</v>
      </c>
      <c r="Z6392" s="5" t="str">
        <f>IFERROR(__xludf.DUMMYFUNCTION("REGEXEXTRACT(J6392, ""[A-Za-z ]+$"")")," min")</f>
        <v> min</v>
      </c>
      <c r="AA6392" s="5" t="str">
        <f>IFERROR(__xludf.DUMMYFUNCTION("IF(REGEXMATCH(Z6392, ""Season""), ""TV Show"", ""Movie"")"),"Movie")</f>
        <v>Movie</v>
      </c>
    </row>
    <row r="6393">
      <c r="A6393" s="1" t="s">
        <v>31975</v>
      </c>
      <c r="B6393" s="1" t="s">
        <v>27</v>
      </c>
      <c r="C6393" s="1" t="s">
        <v>31976</v>
      </c>
      <c r="D6393" s="1" t="s">
        <v>11612</v>
      </c>
      <c r="F6393" s="1" t="s">
        <v>30</v>
      </c>
      <c r="G6393" s="1" t="s">
        <v>27988</v>
      </c>
      <c r="H6393" s="1">
        <v>2017.0</v>
      </c>
      <c r="I6393" s="1" t="s">
        <v>42</v>
      </c>
      <c r="J6393" s="1" t="s">
        <v>1171</v>
      </c>
      <c r="K6393" s="1" t="s">
        <v>34</v>
      </c>
      <c r="L6393" s="1" t="s">
        <v>31977</v>
      </c>
      <c r="M6393" s="2" t="s">
        <v>12</v>
      </c>
      <c r="N6393" s="4">
        <f t="shared" si="1"/>
        <v>42887</v>
      </c>
      <c r="O6393" s="5" t="str">
        <f>IFERROR(__xludf.DUMMYFUNCTION("IF(REGEXMATCH(TRIM(I6393), ""^\d+\s*min""), ""Unclassified"", IF(I6393 = """", ""NR"", I6393))"),"TV-MA")</f>
        <v>TV-MA</v>
      </c>
      <c r="R6393" s="5" t="str">
        <f t="shared" si="2"/>
        <v>Burlesque: Heart Of The Glitter Tribe</v>
      </c>
      <c r="S6393" s="5" t="str">
        <f>IFERROR(__xludf.DUMMYFUNCTION("""COMPUTED_VALUE"""),"Sleepless Society: Insomnia")</f>
        <v>Sleepless Society: Insomnia</v>
      </c>
      <c r="V6393" s="5"/>
      <c r="Y6393" s="5" t="str">
        <f>IFERROR(__xludf.DUMMYFUNCTION("REGEXEXTRACT(J6393, ""^\d+"")"),"76")</f>
        <v>76</v>
      </c>
      <c r="Z6393" s="5" t="str">
        <f>IFERROR(__xludf.DUMMYFUNCTION("REGEXEXTRACT(J6393, ""[A-Za-z ]+$"")")," min")</f>
        <v> min</v>
      </c>
      <c r="AA6393" s="5" t="str">
        <f>IFERROR(__xludf.DUMMYFUNCTION("IF(REGEXMATCH(Z6393, ""Season""), ""TV Show"", ""Movie"")"),"Movie")</f>
        <v>Movie</v>
      </c>
    </row>
    <row r="6394">
      <c r="A6394" s="1" t="s">
        <v>31978</v>
      </c>
      <c r="B6394" s="1" t="s">
        <v>27</v>
      </c>
      <c r="C6394" s="1" t="s">
        <v>31979</v>
      </c>
      <c r="D6394" s="1" t="s">
        <v>31980</v>
      </c>
      <c r="E6394" s="1" t="s">
        <v>31981</v>
      </c>
      <c r="F6394" s="1" t="s">
        <v>31982</v>
      </c>
      <c r="G6394" s="1" t="s">
        <v>21030</v>
      </c>
      <c r="H6394" s="1">
        <v>2018.0</v>
      </c>
      <c r="I6394" s="1" t="s">
        <v>42</v>
      </c>
      <c r="J6394" s="1" t="s">
        <v>2216</v>
      </c>
      <c r="K6394" s="1" t="s">
        <v>89</v>
      </c>
      <c r="L6394" s="1" t="s">
        <v>31983</v>
      </c>
      <c r="M6394" s="2" t="s">
        <v>12</v>
      </c>
      <c r="N6394" s="4">
        <f t="shared" si="1"/>
        <v>43584</v>
      </c>
      <c r="O6394" s="5" t="str">
        <f>IFERROR(__xludf.DUMMYFUNCTION("IF(REGEXMATCH(TRIM(I6394), ""^\d+\s*min""), ""Unclassified"", IF(I6394 = """", ""NR"", I6394))"),"TV-MA")</f>
        <v>TV-MA</v>
      </c>
      <c r="R6394" s="5" t="str">
        <f t="shared" si="2"/>
        <v>Burning</v>
      </c>
      <c r="S6394" s="5" t="str">
        <f>IFERROR(__xludf.DUMMYFUNCTION("""COMPUTED_VALUE"""),"Sleepless Society: Nyctophobia")</f>
        <v>Sleepless Society: Nyctophobia</v>
      </c>
      <c r="V6394" s="5"/>
      <c r="Y6394" s="5" t="str">
        <f>IFERROR(__xludf.DUMMYFUNCTION("REGEXEXTRACT(J6394, ""^\d+"")"),"148")</f>
        <v>148</v>
      </c>
      <c r="Z6394" s="5" t="str">
        <f>IFERROR(__xludf.DUMMYFUNCTION("REGEXEXTRACT(J6394, ""[A-Za-z ]+$"")")," min")</f>
        <v> min</v>
      </c>
      <c r="AA6394" s="5" t="str">
        <f>IFERROR(__xludf.DUMMYFUNCTION("IF(REGEXMATCH(Z6394, ""Season""), ""TV Show"", ""Movie"")"),"Movie")</f>
        <v>Movie</v>
      </c>
    </row>
    <row r="6395">
      <c r="A6395" s="1" t="s">
        <v>31984</v>
      </c>
      <c r="B6395" s="1" t="s">
        <v>37</v>
      </c>
      <c r="C6395" s="1" t="s">
        <v>31985</v>
      </c>
      <c r="E6395" s="1" t="s">
        <v>31986</v>
      </c>
      <c r="F6395" s="1" t="s">
        <v>96</v>
      </c>
      <c r="G6395" s="1" t="s">
        <v>31987</v>
      </c>
      <c r="H6395" s="1">
        <v>2012.0</v>
      </c>
      <c r="I6395" s="1" t="s">
        <v>42</v>
      </c>
      <c r="J6395" s="1" t="s">
        <v>43</v>
      </c>
      <c r="K6395" s="1" t="s">
        <v>22840</v>
      </c>
      <c r="L6395" s="1" t="s">
        <v>31988</v>
      </c>
      <c r="M6395" s="2" t="s">
        <v>12</v>
      </c>
      <c r="N6395" s="1" t="str">
        <f t="shared" si="1"/>
        <v>#N/A</v>
      </c>
      <c r="O6395" s="5" t="str">
        <f>IFERROR(__xludf.DUMMYFUNCTION("IF(REGEXMATCH(TRIM(I6395), ""^\d+\s*min""), ""Unclassified"", IF(I6395 = """", ""NR"", I6395))"),"TV-MA")</f>
        <v>TV-MA</v>
      </c>
      <c r="R6395" s="5" t="str">
        <f t="shared" si="2"/>
        <v>Burnistoun</v>
      </c>
      <c r="S6395" s="5" t="str">
        <f>IFERROR(__xludf.DUMMYFUNCTION("""COMPUTED_VALUE"""),"Sleepless Society: Two Pillows &amp; A Lost Soul")</f>
        <v>Sleepless Society: Two Pillows &amp; A Lost Soul</v>
      </c>
      <c r="V6395" s="5"/>
      <c r="Y6395" s="5" t="str">
        <f>IFERROR(__xludf.DUMMYFUNCTION("REGEXEXTRACT(J6395, ""^\d+"")"),"2")</f>
        <v>2</v>
      </c>
      <c r="Z6395" s="5" t="str">
        <f>IFERROR(__xludf.DUMMYFUNCTION("REGEXEXTRACT(J6395, ""[A-Za-z ]+$"")")," Seasons")</f>
        <v> Seasons</v>
      </c>
      <c r="AA6395" s="5" t="str">
        <f>IFERROR(__xludf.DUMMYFUNCTION("IF(REGEXMATCH(Z6395, ""Season""), ""TV Show"", ""Movie"")"),"TV Show")</f>
        <v>TV Show</v>
      </c>
    </row>
    <row r="6396">
      <c r="A6396" s="1" t="s">
        <v>31989</v>
      </c>
      <c r="B6396" s="1" t="s">
        <v>27</v>
      </c>
      <c r="C6396" s="1" t="s">
        <v>31990</v>
      </c>
      <c r="D6396" s="1" t="s">
        <v>4221</v>
      </c>
      <c r="E6396" s="1" t="s">
        <v>31991</v>
      </c>
      <c r="F6396" s="1" t="s">
        <v>30</v>
      </c>
      <c r="G6396" s="1" t="s">
        <v>26739</v>
      </c>
      <c r="H6396" s="1">
        <v>2017.0</v>
      </c>
      <c r="I6396" s="1" t="s">
        <v>42</v>
      </c>
      <c r="J6396" s="1" t="s">
        <v>170</v>
      </c>
      <c r="K6396" s="1" t="s">
        <v>16817</v>
      </c>
      <c r="L6396" s="1" t="s">
        <v>31992</v>
      </c>
      <c r="M6396" s="2" t="s">
        <v>12</v>
      </c>
      <c r="N6396" s="4">
        <f t="shared" si="1"/>
        <v>43063</v>
      </c>
      <c r="O6396" s="5" t="str">
        <f>IFERROR(__xludf.DUMMYFUNCTION("IF(REGEXMATCH(TRIM(I6396), ""^\d+\s*min""), ""Unclassified"", IF(I6396 = """", ""NR"", I6396))"),"TV-MA")</f>
        <v>TV-MA</v>
      </c>
      <c r="R6396" s="5" t="str">
        <f t="shared" si="2"/>
        <v>Bushwick</v>
      </c>
      <c r="S6396" s="5" t="str">
        <f>IFERROR(__xludf.DUMMYFUNCTION("""COMPUTED_VALUE"""),"Sleepover")</f>
        <v>Sleepover</v>
      </c>
      <c r="V6396" s="5"/>
      <c r="Y6396" s="5" t="str">
        <f>IFERROR(__xludf.DUMMYFUNCTION("REGEXEXTRACT(J6396, ""^\d+"")"),"94")</f>
        <v>94</v>
      </c>
      <c r="Z6396" s="5" t="str">
        <f>IFERROR(__xludf.DUMMYFUNCTION("REGEXEXTRACT(J6396, ""[A-Za-z ]+$"")")," min")</f>
        <v> min</v>
      </c>
      <c r="AA6396" s="5" t="str">
        <f>IFERROR(__xludf.DUMMYFUNCTION("IF(REGEXMATCH(Z6396, ""Season""), ""TV Show"", ""Movie"")"),"Movie")</f>
        <v>Movie</v>
      </c>
    </row>
    <row r="6397">
      <c r="A6397" s="1" t="s">
        <v>31993</v>
      </c>
      <c r="B6397" s="1" t="s">
        <v>27</v>
      </c>
      <c r="C6397" s="1" t="s">
        <v>31994</v>
      </c>
      <c r="D6397" s="1" t="s">
        <v>5565</v>
      </c>
      <c r="E6397" s="1" t="s">
        <v>31995</v>
      </c>
      <c r="F6397" s="1" t="s">
        <v>30</v>
      </c>
      <c r="G6397" s="1" t="s">
        <v>18333</v>
      </c>
      <c r="H6397" s="1">
        <v>1960.0</v>
      </c>
      <c r="I6397" s="1" t="s">
        <v>97</v>
      </c>
      <c r="J6397" s="1" t="s">
        <v>912</v>
      </c>
      <c r="K6397" s="1" t="s">
        <v>31996</v>
      </c>
      <c r="L6397" s="1" t="s">
        <v>31997</v>
      </c>
      <c r="M6397" s="2" t="s">
        <v>12</v>
      </c>
      <c r="N6397" s="4">
        <f t="shared" si="1"/>
        <v>43770</v>
      </c>
      <c r="O6397" s="5" t="str">
        <f>IFERROR(__xludf.DUMMYFUNCTION("IF(REGEXMATCH(TRIM(I6397), ""^\d+\s*min""), ""Unclassified"", IF(I6397 = """", ""NR"", I6397))"),"TV-14")</f>
        <v>TV-14</v>
      </c>
      <c r="R6397" s="5" t="str">
        <f t="shared" si="2"/>
        <v>Butterfield 8</v>
      </c>
      <c r="S6397" s="5" t="str">
        <f>IFERROR(__xludf.DUMMYFUNCTION("""COMPUTED_VALUE"""),"Sleight")</f>
        <v>Sleight</v>
      </c>
      <c r="V6397" s="5"/>
      <c r="Y6397" s="5" t="str">
        <f>IFERROR(__xludf.DUMMYFUNCTION("REGEXEXTRACT(J6397, ""^\d+"")"),"108")</f>
        <v>108</v>
      </c>
      <c r="Z6397" s="5" t="str">
        <f>IFERROR(__xludf.DUMMYFUNCTION("REGEXEXTRACT(J6397, ""[A-Za-z ]+$"")")," min")</f>
        <v> min</v>
      </c>
      <c r="AA6397" s="5" t="str">
        <f>IFERROR(__xludf.DUMMYFUNCTION("IF(REGEXMATCH(Z6397, ""Season""), ""TV Show"", ""Movie"")"),"Movie")</f>
        <v>Movie</v>
      </c>
    </row>
    <row r="6398">
      <c r="A6398" s="1" t="s">
        <v>31998</v>
      </c>
      <c r="B6398" s="1" t="s">
        <v>27</v>
      </c>
      <c r="C6398" s="1" t="s">
        <v>31999</v>
      </c>
      <c r="D6398" s="1" t="s">
        <v>5664</v>
      </c>
      <c r="E6398" s="1" t="s">
        <v>32000</v>
      </c>
      <c r="F6398" s="1" t="s">
        <v>7438</v>
      </c>
      <c r="G6398" s="1" t="s">
        <v>32001</v>
      </c>
      <c r="H6398" s="1">
        <v>2016.0</v>
      </c>
      <c r="I6398" s="1" t="s">
        <v>378</v>
      </c>
      <c r="J6398" s="1" t="s">
        <v>835</v>
      </c>
      <c r="K6398" s="1" t="s">
        <v>89</v>
      </c>
      <c r="L6398" s="1" t="s">
        <v>32002</v>
      </c>
      <c r="M6398" s="2" t="s">
        <v>12</v>
      </c>
      <c r="N6398" s="4">
        <f t="shared" si="1"/>
        <v>42985</v>
      </c>
      <c r="O6398" s="5" t="str">
        <f>IFERROR(__xludf.DUMMYFUNCTION("IF(REGEXMATCH(TRIM(I6398), ""^\d+\s*min""), ""Unclassified"", IF(I6398 = """", ""NR"", I6398))"),"R")</f>
        <v>R</v>
      </c>
      <c r="R6398" s="5" t="str">
        <f t="shared" si="2"/>
        <v>Cézanne Et Moi</v>
      </c>
      <c r="S6398" s="5" t="str">
        <f>IFERROR(__xludf.DUMMYFUNCTION("""COMPUTED_VALUE"""),"Sling Blade")</f>
        <v>Sling Blade</v>
      </c>
      <c r="V6398" s="5"/>
      <c r="Y6398" s="5" t="str">
        <f>IFERROR(__xludf.DUMMYFUNCTION("REGEXEXTRACT(J6398, ""^\d+"")"),"114")</f>
        <v>114</v>
      </c>
      <c r="Z6398" s="5" t="str">
        <f>IFERROR(__xludf.DUMMYFUNCTION("REGEXEXTRACT(J6398, ""[A-Za-z ]+$"")")," min")</f>
        <v> min</v>
      </c>
      <c r="AA6398" s="5" t="str">
        <f>IFERROR(__xludf.DUMMYFUNCTION("IF(REGEXMATCH(Z6398, ""Season""), ""TV Show"", ""Movie"")"),"Movie")</f>
        <v>Movie</v>
      </c>
    </row>
    <row r="6399">
      <c r="A6399" s="1" t="s">
        <v>32003</v>
      </c>
      <c r="B6399" s="1" t="s">
        <v>27</v>
      </c>
      <c r="C6399" s="1" t="s">
        <v>32004</v>
      </c>
      <c r="D6399" s="1" t="s">
        <v>22887</v>
      </c>
      <c r="E6399" s="1" t="s">
        <v>32005</v>
      </c>
      <c r="F6399" s="1" t="s">
        <v>30</v>
      </c>
      <c r="G6399" s="1" t="s">
        <v>20510</v>
      </c>
      <c r="H6399" s="1">
        <v>2016.0</v>
      </c>
      <c r="I6399" s="1" t="s">
        <v>378</v>
      </c>
      <c r="J6399" s="1" t="s">
        <v>357</v>
      </c>
      <c r="K6399" s="1" t="s">
        <v>3768</v>
      </c>
      <c r="L6399" s="1" t="s">
        <v>32006</v>
      </c>
      <c r="M6399" s="2" t="s">
        <v>12</v>
      </c>
      <c r="N6399" s="4">
        <f t="shared" si="1"/>
        <v>43622</v>
      </c>
      <c r="O6399" s="5" t="str">
        <f>IFERROR(__xludf.DUMMYFUNCTION("IF(REGEXMATCH(TRIM(I6399), ""^\d+\s*min""), ""Unclassified"", IF(I6399 = """", ""NR"", I6399))"),"R")</f>
        <v>R</v>
      </c>
      <c r="R6399" s="5" t="str">
        <f t="shared" si="2"/>
        <v>Cabin Fever</v>
      </c>
      <c r="S6399" s="5" t="str">
        <f>IFERROR(__xludf.DUMMYFUNCTION("""COMPUTED_VALUE"""),"Sliver")</f>
        <v>Sliver</v>
      </c>
      <c r="V6399" s="5"/>
      <c r="Y6399" s="5" t="str">
        <f>IFERROR(__xludf.DUMMYFUNCTION("REGEXEXTRACT(J6399, ""^\d+"")"),"98")</f>
        <v>98</v>
      </c>
      <c r="Z6399" s="5" t="str">
        <f>IFERROR(__xludf.DUMMYFUNCTION("REGEXEXTRACT(J6399, ""[A-Za-z ]+$"")")," min")</f>
        <v> min</v>
      </c>
      <c r="AA6399" s="5" t="str">
        <f>IFERROR(__xludf.DUMMYFUNCTION("IF(REGEXMATCH(Z6399, ""Season""), ""TV Show"", ""Movie"")"),"Movie")</f>
        <v>Movie</v>
      </c>
    </row>
    <row r="6400">
      <c r="A6400" s="1" t="s">
        <v>32007</v>
      </c>
      <c r="B6400" s="1" t="s">
        <v>37</v>
      </c>
      <c r="C6400" s="1" t="s">
        <v>32008</v>
      </c>
      <c r="E6400" s="1" t="s">
        <v>32009</v>
      </c>
      <c r="F6400" s="1" t="s">
        <v>96</v>
      </c>
      <c r="G6400" s="1" t="s">
        <v>24523</v>
      </c>
      <c r="H6400" s="1">
        <v>2017.0</v>
      </c>
      <c r="I6400" s="1" t="s">
        <v>136</v>
      </c>
      <c r="J6400" s="1" t="s">
        <v>51</v>
      </c>
      <c r="K6400" s="1" t="s">
        <v>2382</v>
      </c>
      <c r="L6400" s="1" t="s">
        <v>32010</v>
      </c>
      <c r="M6400" s="2" t="s">
        <v>12</v>
      </c>
      <c r="N6400" s="4">
        <f t="shared" si="1"/>
        <v>43358</v>
      </c>
      <c r="O6400" s="5" t="str">
        <f>IFERROR(__xludf.DUMMYFUNCTION("IF(REGEXMATCH(TRIM(I6400), ""^\d+\s*min""), ""Unclassified"", IF(I6400 = """", ""NR"", I6400))"),"TV-PG")</f>
        <v>TV-PG</v>
      </c>
      <c r="R6400" s="5" t="str">
        <f t="shared" si="2"/>
        <v>Cabins In The Wild With Dick Strawbridge</v>
      </c>
      <c r="S6400" s="5" t="str">
        <f>IFERROR(__xludf.DUMMYFUNCTION("""COMPUTED_VALUE"""),"Slobby'S World")</f>
        <v>Slobby'S World</v>
      </c>
      <c r="V6400" s="5"/>
      <c r="Y6400" s="5" t="str">
        <f>IFERROR(__xludf.DUMMYFUNCTION("REGEXEXTRACT(J6400, ""^\d+"")"),"1")</f>
        <v>1</v>
      </c>
      <c r="Z6400" s="5" t="str">
        <f>IFERROR(__xludf.DUMMYFUNCTION("REGEXEXTRACT(J6400, ""[A-Za-z ]+$"")")," Season")</f>
        <v> Season</v>
      </c>
      <c r="AA6400" s="5" t="str">
        <f>IFERROR(__xludf.DUMMYFUNCTION("IF(REGEXMATCH(Z6400, ""Season""), ""TV Show"", ""Movie"")"),"TV Show")</f>
        <v>TV Show</v>
      </c>
    </row>
    <row r="6401">
      <c r="A6401" s="1" t="s">
        <v>32011</v>
      </c>
      <c r="B6401" s="1" t="s">
        <v>27</v>
      </c>
      <c r="C6401" s="1" t="s">
        <v>32012</v>
      </c>
      <c r="D6401" s="1" t="s">
        <v>2080</v>
      </c>
      <c r="E6401" s="1" t="s">
        <v>32013</v>
      </c>
      <c r="F6401" s="1" t="s">
        <v>2873</v>
      </c>
      <c r="G6401" s="1" t="s">
        <v>24083</v>
      </c>
      <c r="H6401" s="1">
        <v>2014.0</v>
      </c>
      <c r="I6401" s="1" t="s">
        <v>97</v>
      </c>
      <c r="J6401" s="1" t="s">
        <v>7280</v>
      </c>
      <c r="K6401" s="1" t="s">
        <v>5099</v>
      </c>
      <c r="L6401" s="1" t="s">
        <v>32014</v>
      </c>
      <c r="M6401" s="2" t="s">
        <v>12</v>
      </c>
      <c r="N6401" s="4">
        <f t="shared" si="1"/>
        <v>43378</v>
      </c>
      <c r="O6401" s="5" t="str">
        <f>IFERROR(__xludf.DUMMYFUNCTION("IF(REGEXMATCH(TRIM(I6401), ""^\d+\s*min""), ""Unclassified"", IF(I6401 = """", ""NR"", I6401))"),"TV-14")</f>
        <v>TV-14</v>
      </c>
      <c r="R6401" s="5" t="str">
        <f t="shared" si="2"/>
        <v>Cahaya Dari Timur Beta Maluku</v>
      </c>
      <c r="S6401" s="5" t="str">
        <f>IFERROR(__xludf.DUMMYFUNCTION("""COMPUTED_VALUE"""),"Slow Country")</f>
        <v>Slow Country</v>
      </c>
      <c r="V6401" s="5"/>
      <c r="Y6401" s="5" t="str">
        <f>IFERROR(__xludf.DUMMYFUNCTION("REGEXEXTRACT(J6401, ""^\d+"")"),"151")</f>
        <v>151</v>
      </c>
      <c r="Z6401" s="5" t="str">
        <f>IFERROR(__xludf.DUMMYFUNCTION("REGEXEXTRACT(J6401, ""[A-Za-z ]+$"")")," min")</f>
        <v> min</v>
      </c>
      <c r="AA6401" s="5" t="str">
        <f>IFERROR(__xludf.DUMMYFUNCTION("IF(REGEXMATCH(Z6401, ""Season""), ""TV Show"", ""Movie"")"),"Movie")</f>
        <v>Movie</v>
      </c>
    </row>
    <row r="6402">
      <c r="A6402" s="1" t="s">
        <v>32015</v>
      </c>
      <c r="B6402" s="1" t="s">
        <v>27</v>
      </c>
      <c r="C6402" s="1" t="s">
        <v>32016</v>
      </c>
      <c r="D6402" s="1" t="s">
        <v>16728</v>
      </c>
      <c r="E6402" s="1" t="s">
        <v>32017</v>
      </c>
      <c r="F6402" s="1" t="s">
        <v>1815</v>
      </c>
      <c r="G6402" s="1" t="s">
        <v>28756</v>
      </c>
      <c r="H6402" s="1">
        <v>2016.0</v>
      </c>
      <c r="I6402" s="1" t="s">
        <v>42</v>
      </c>
      <c r="J6402" s="1" t="s">
        <v>1737</v>
      </c>
      <c r="K6402" s="1" t="s">
        <v>215</v>
      </c>
      <c r="L6402" s="1" t="s">
        <v>32018</v>
      </c>
      <c r="M6402" s="2" t="s">
        <v>12</v>
      </c>
      <c r="N6402" s="4">
        <f t="shared" si="1"/>
        <v>42755</v>
      </c>
      <c r="O6402" s="5" t="str">
        <f>IFERROR(__xludf.DUMMYFUNCTION("IF(REGEXMATCH(TRIM(I6402), ""^\d+\s*min""), ""Unclassified"", IF(I6402 = """", ""NR"", I6402))"),"TV-MA")</f>
        <v>TV-MA</v>
      </c>
      <c r="R6402" s="5" t="str">
        <f t="shared" si="2"/>
        <v>Caida Del Cielo</v>
      </c>
      <c r="S6402" s="5" t="str">
        <f>IFERROR(__xludf.DUMMYFUNCTION("""COMPUTED_VALUE"""),"Slow West")</f>
        <v>Slow West</v>
      </c>
      <c r="V6402" s="5"/>
      <c r="Y6402" s="5" t="str">
        <f>IFERROR(__xludf.DUMMYFUNCTION("REGEXEXTRACT(J6402, ""^\d+"")"),"78")</f>
        <v>78</v>
      </c>
      <c r="Z6402" s="5" t="str">
        <f>IFERROR(__xludf.DUMMYFUNCTION("REGEXEXTRACT(J6402, ""[A-Za-z ]+$"")")," min")</f>
        <v> min</v>
      </c>
      <c r="AA6402" s="5" t="str">
        <f>IFERROR(__xludf.DUMMYFUNCTION("IF(REGEXMATCH(Z6402, ""Season""), ""TV Show"", ""Movie"")"),"Movie")</f>
        <v>Movie</v>
      </c>
    </row>
    <row r="6403">
      <c r="A6403" s="1" t="s">
        <v>32019</v>
      </c>
      <c r="B6403" s="1" t="s">
        <v>37</v>
      </c>
      <c r="C6403" s="1" t="s">
        <v>32020</v>
      </c>
      <c r="E6403" s="1" t="s">
        <v>32021</v>
      </c>
      <c r="F6403" s="1" t="s">
        <v>749</v>
      </c>
      <c r="G6403" s="1" t="s">
        <v>21710</v>
      </c>
      <c r="H6403" s="1">
        <v>2009.0</v>
      </c>
      <c r="I6403" s="1" t="s">
        <v>42</v>
      </c>
      <c r="J6403" s="1" t="s">
        <v>51</v>
      </c>
      <c r="K6403" s="1" t="s">
        <v>7164</v>
      </c>
      <c r="L6403" s="1" t="s">
        <v>32022</v>
      </c>
      <c r="M6403" s="2" t="s">
        <v>12</v>
      </c>
      <c r="N6403" s="4">
        <f t="shared" si="1"/>
        <v>43536</v>
      </c>
      <c r="O6403" s="5" t="str">
        <f>IFERROR(__xludf.DUMMYFUNCTION("IF(REGEXMATCH(TRIM(I6403), ""^\d+\s*min""), ""Unclassified"", IF(I6403 = """", ""NR"", I6403))"),"TV-MA")</f>
        <v>TV-MA</v>
      </c>
      <c r="R6403" s="5" t="str">
        <f t="shared" si="2"/>
        <v>Cain And Abel</v>
      </c>
      <c r="S6403" s="5" t="str">
        <f>IFERROR(__xludf.DUMMYFUNCTION("""COMPUTED_VALUE"""),"Small Chops")</f>
        <v>Small Chops</v>
      </c>
      <c r="V6403" s="5"/>
      <c r="Y6403" s="5" t="str">
        <f>IFERROR(__xludf.DUMMYFUNCTION("REGEXEXTRACT(J6403, ""^\d+"")"),"1")</f>
        <v>1</v>
      </c>
      <c r="Z6403" s="5" t="str">
        <f>IFERROR(__xludf.DUMMYFUNCTION("REGEXEXTRACT(J6403, ""[A-Za-z ]+$"")")," Season")</f>
        <v> Season</v>
      </c>
      <c r="AA6403" s="5" t="str">
        <f>IFERROR(__xludf.DUMMYFUNCTION("IF(REGEXMATCH(Z6403, ""Season""), ""TV Show"", ""Movie"")"),"TV Show")</f>
        <v>TV Show</v>
      </c>
    </row>
    <row r="6404">
      <c r="A6404" s="1" t="s">
        <v>32023</v>
      </c>
      <c r="B6404" s="1" t="s">
        <v>27</v>
      </c>
      <c r="C6404" s="1" t="s">
        <v>32024</v>
      </c>
      <c r="D6404" s="1" t="s">
        <v>2661</v>
      </c>
      <c r="E6404" s="1" t="s">
        <v>32025</v>
      </c>
      <c r="F6404" s="1" t="s">
        <v>32026</v>
      </c>
      <c r="G6404" s="7">
        <v>43600.0</v>
      </c>
      <c r="H6404" s="1">
        <v>2018.0</v>
      </c>
      <c r="I6404" s="1" t="s">
        <v>42</v>
      </c>
      <c r="J6404" s="1" t="s">
        <v>88</v>
      </c>
      <c r="K6404" s="1" t="s">
        <v>583</v>
      </c>
      <c r="L6404" s="1" t="s">
        <v>32027</v>
      </c>
      <c r="M6404" s="2" t="s">
        <v>12</v>
      </c>
      <c r="N6404" s="4">
        <f t="shared" si="1"/>
        <v>43600</v>
      </c>
      <c r="O6404" s="5" t="str">
        <f>IFERROR(__xludf.DUMMYFUNCTION("IF(REGEXMATCH(TRIM(I6404), ""^\d+\s*min""), ""Unclassified"", IF(I6404 = """", ""NR"", I6404))"),"TV-MA")</f>
        <v>TV-MA</v>
      </c>
      <c r="R6404" s="5" t="str">
        <f t="shared" si="2"/>
        <v>Cake</v>
      </c>
      <c r="S6404" s="5" t="str">
        <f>IFERROR(__xludf.DUMMYFUNCTION("""COMPUTED_VALUE"""),"Small Crimes")</f>
        <v>Small Crimes</v>
      </c>
      <c r="V6404" s="5"/>
      <c r="Y6404" s="5" t="str">
        <f>IFERROR(__xludf.DUMMYFUNCTION("REGEXEXTRACT(J6404, ""^\d+"")"),"125")</f>
        <v>125</v>
      </c>
      <c r="Z6404" s="5" t="str">
        <f>IFERROR(__xludf.DUMMYFUNCTION("REGEXEXTRACT(J6404, ""[A-Za-z ]+$"")")," min")</f>
        <v> min</v>
      </c>
      <c r="AA6404" s="5" t="str">
        <f>IFERROR(__xludf.DUMMYFUNCTION("IF(REGEXMATCH(Z6404, ""Season""), ""TV Show"", ""Movie"")"),"Movie")</f>
        <v>Movie</v>
      </c>
    </row>
    <row r="6405">
      <c r="A6405" s="1" t="s">
        <v>32028</v>
      </c>
      <c r="B6405" s="1" t="s">
        <v>27</v>
      </c>
      <c r="C6405" s="1" t="s">
        <v>32029</v>
      </c>
      <c r="D6405" s="1" t="s">
        <v>14228</v>
      </c>
      <c r="E6405" s="1" t="s">
        <v>32030</v>
      </c>
      <c r="F6405" s="1" t="s">
        <v>63</v>
      </c>
      <c r="G6405" s="1" t="s">
        <v>27021</v>
      </c>
      <c r="H6405" s="1">
        <v>2015.0</v>
      </c>
      <c r="I6405" s="1" t="s">
        <v>97</v>
      </c>
      <c r="J6405" s="1" t="s">
        <v>3458</v>
      </c>
      <c r="K6405" s="1" t="s">
        <v>128</v>
      </c>
      <c r="L6405" s="1" t="s">
        <v>32031</v>
      </c>
      <c r="M6405" s="2" t="s">
        <v>12</v>
      </c>
      <c r="N6405" s="4">
        <f t="shared" si="1"/>
        <v>43023</v>
      </c>
      <c r="O6405" s="5" t="str">
        <f>IFERROR(__xludf.DUMMYFUNCTION("IF(REGEXMATCH(TRIM(I6405), ""^\d+\s*min""), ""Unclassified"", IF(I6405 = """", ""NR"", I6405))"),"TV-14")</f>
        <v>TV-14</v>
      </c>
      <c r="R6405" s="5" t="str">
        <f t="shared" si="2"/>
        <v>Calendar Girls</v>
      </c>
      <c r="S6405" s="5" t="str">
        <f>IFERROR(__xludf.DUMMYFUNCTION("""COMPUTED_VALUE"""),"Small Soldiers")</f>
        <v>Small Soldiers</v>
      </c>
      <c r="V6405" s="5"/>
      <c r="Y6405" s="5" t="str">
        <f>IFERROR(__xludf.DUMMYFUNCTION("REGEXEXTRACT(J6405, ""^\d+"")"),"126")</f>
        <v>126</v>
      </c>
      <c r="Z6405" s="5" t="str">
        <f>IFERROR(__xludf.DUMMYFUNCTION("REGEXEXTRACT(J6405, ""[A-Za-z ]+$"")")," min")</f>
        <v> min</v>
      </c>
      <c r="AA6405" s="5" t="str">
        <f>IFERROR(__xludf.DUMMYFUNCTION("IF(REGEXMATCH(Z6405, ""Season""), ""TV Show"", ""Movie"")"),"Movie")</f>
        <v>Movie</v>
      </c>
    </row>
    <row r="6406">
      <c r="A6406" s="1" t="s">
        <v>32032</v>
      </c>
      <c r="B6406" s="1" t="s">
        <v>37</v>
      </c>
      <c r="C6406" s="1" t="s">
        <v>32033</v>
      </c>
      <c r="E6406" s="1" t="s">
        <v>32034</v>
      </c>
      <c r="G6406" s="1" t="s">
        <v>23564</v>
      </c>
      <c r="H6406" s="1">
        <v>2018.0</v>
      </c>
      <c r="I6406" s="1" t="s">
        <v>206</v>
      </c>
      <c r="J6406" s="1" t="s">
        <v>51</v>
      </c>
      <c r="K6406" s="1" t="s">
        <v>290</v>
      </c>
      <c r="L6406" s="1" t="s">
        <v>32035</v>
      </c>
      <c r="M6406" s="2" t="s">
        <v>12</v>
      </c>
      <c r="N6406" s="4">
        <f t="shared" si="1"/>
        <v>43405</v>
      </c>
      <c r="O6406" s="5" t="str">
        <f>IFERROR(__xludf.DUMMYFUNCTION("IF(REGEXMATCH(TRIM(I6406), ""^\d+\s*min""), ""Unclassified"", IF(I6406 = """", ""NR"", I6406))"),"TV-Y")</f>
        <v>TV-Y</v>
      </c>
      <c r="R6406" s="5" t="str">
        <f t="shared" si="2"/>
        <v>Calico Critters</v>
      </c>
      <c r="S6406" s="5" t="str">
        <f>IFERROR(__xludf.DUMMYFUNCTION("""COMPUTED_VALUE"""),"Small Town Crime")</f>
        <v>Small Town Crime</v>
      </c>
      <c r="V6406" s="5"/>
      <c r="Y6406" s="5" t="str">
        <f>IFERROR(__xludf.DUMMYFUNCTION("REGEXEXTRACT(J6406, ""^\d+"")"),"1")</f>
        <v>1</v>
      </c>
      <c r="Z6406" s="5" t="str">
        <f>IFERROR(__xludf.DUMMYFUNCTION("REGEXEXTRACT(J6406, ""[A-Za-z ]+$"")")," Season")</f>
        <v> Season</v>
      </c>
      <c r="AA6406" s="5" t="str">
        <f>IFERROR(__xludf.DUMMYFUNCTION("IF(REGEXMATCH(Z6406, ""Season""), ""TV Show"", ""Movie"")"),"TV Show")</f>
        <v>TV Show</v>
      </c>
    </row>
    <row r="6407">
      <c r="A6407" s="1" t="s">
        <v>32036</v>
      </c>
      <c r="B6407" s="1" t="s">
        <v>27</v>
      </c>
      <c r="C6407" s="1" t="s">
        <v>32037</v>
      </c>
      <c r="D6407" s="1" t="s">
        <v>15961</v>
      </c>
      <c r="G6407" s="1" t="s">
        <v>23564</v>
      </c>
      <c r="H6407" s="1">
        <v>2017.0</v>
      </c>
      <c r="I6407" s="1" t="s">
        <v>206</v>
      </c>
      <c r="J6407" s="1" t="s">
        <v>15963</v>
      </c>
      <c r="K6407" s="1" t="s">
        <v>80</v>
      </c>
      <c r="L6407" s="1" t="s">
        <v>32038</v>
      </c>
      <c r="M6407" s="2" t="s">
        <v>12</v>
      </c>
      <c r="N6407" s="4">
        <f t="shared" si="1"/>
        <v>43405</v>
      </c>
      <c r="O6407" s="5" t="str">
        <f>IFERROR(__xludf.DUMMYFUNCTION("IF(REGEXMATCH(TRIM(I6407), ""^\d+\s*min""), ""Unclassified"", IF(I6407 = """", ""NR"", I6407))"),"TV-Y")</f>
        <v>TV-Y</v>
      </c>
      <c r="R6407" s="5" t="str">
        <f t="shared" si="2"/>
        <v>Calico Critters: A Town Of Dreams</v>
      </c>
      <c r="S6407" s="5" t="str">
        <f>IFERROR(__xludf.DUMMYFUNCTION("""COMPUTED_VALUE"""),"Smart People")</f>
        <v>Smart People</v>
      </c>
      <c r="V6407" s="5"/>
      <c r="Y6407" s="5" t="str">
        <f>IFERROR(__xludf.DUMMYFUNCTION("REGEXEXTRACT(J6407, ""^\d+"")"),"11")</f>
        <v>11</v>
      </c>
      <c r="Z6407" s="5" t="str">
        <f>IFERROR(__xludf.DUMMYFUNCTION("REGEXEXTRACT(J6407, ""[A-Za-z ]+$"")")," min")</f>
        <v> min</v>
      </c>
      <c r="AA6407" s="5" t="str">
        <f>IFERROR(__xludf.DUMMYFUNCTION("IF(REGEXMATCH(Z6407, ""Season""), ""TV Show"", ""Movie"")"),"Movie")</f>
        <v>Movie</v>
      </c>
    </row>
    <row r="6408">
      <c r="A6408" s="1" t="s">
        <v>32039</v>
      </c>
      <c r="B6408" s="1" t="s">
        <v>27</v>
      </c>
      <c r="C6408" s="1" t="s">
        <v>32040</v>
      </c>
      <c r="D6408" s="1" t="s">
        <v>15961</v>
      </c>
      <c r="G6408" s="1" t="s">
        <v>23564</v>
      </c>
      <c r="H6408" s="1">
        <v>2017.0</v>
      </c>
      <c r="I6408" s="1" t="s">
        <v>206</v>
      </c>
      <c r="J6408" s="1" t="s">
        <v>7407</v>
      </c>
      <c r="K6408" s="1" t="s">
        <v>80</v>
      </c>
      <c r="L6408" s="1" t="s">
        <v>32041</v>
      </c>
      <c r="M6408" s="2" t="s">
        <v>12</v>
      </c>
      <c r="N6408" s="4">
        <f t="shared" si="1"/>
        <v>43405</v>
      </c>
      <c r="O6408" s="5" t="str">
        <f>IFERROR(__xludf.DUMMYFUNCTION("IF(REGEXMATCH(TRIM(I6408), ""^\d+\s*min""), ""Unclassified"", IF(I6408 = """", ""NR"", I6408))"),"TV-Y")</f>
        <v>TV-Y</v>
      </c>
      <c r="R6408" s="5" t="str">
        <f t="shared" si="2"/>
        <v>Calico Critters: The Treasure Of Calico Village</v>
      </c>
      <c r="S6408" s="5" t="str">
        <f>IFERROR(__xludf.DUMMYFUNCTION("""COMPUTED_VALUE"""),"Smash: Motorized Mayhem")</f>
        <v>Smash: Motorized Mayhem</v>
      </c>
      <c r="V6408" s="5"/>
      <c r="Y6408" s="5" t="str">
        <f>IFERROR(__xludf.DUMMYFUNCTION("REGEXEXTRACT(J6408, ""^\d+"")"),"22")</f>
        <v>22</v>
      </c>
      <c r="Z6408" s="5" t="str">
        <f>IFERROR(__xludf.DUMMYFUNCTION("REGEXEXTRACT(J6408, ""[A-Za-z ]+$"")")," min")</f>
        <v> min</v>
      </c>
      <c r="AA6408" s="5" t="str">
        <f>IFERROR(__xludf.DUMMYFUNCTION("IF(REGEXMATCH(Z6408, ""Season""), ""TV Show"", ""Movie"")"),"Movie")</f>
        <v>Movie</v>
      </c>
    </row>
    <row r="6409">
      <c r="A6409" s="1" t="s">
        <v>32042</v>
      </c>
      <c r="B6409" s="1" t="s">
        <v>37</v>
      </c>
      <c r="C6409" s="1" t="s">
        <v>32043</v>
      </c>
      <c r="E6409" s="1" t="s">
        <v>32044</v>
      </c>
      <c r="F6409" s="1" t="s">
        <v>1779</v>
      </c>
      <c r="G6409" s="1" t="s">
        <v>28901</v>
      </c>
      <c r="H6409" s="1">
        <v>2016.0</v>
      </c>
      <c r="I6409" s="1" t="s">
        <v>97</v>
      </c>
      <c r="J6409" s="1" t="s">
        <v>51</v>
      </c>
      <c r="K6409" s="1" t="s">
        <v>1339</v>
      </c>
      <c r="L6409" s="1" t="s">
        <v>32045</v>
      </c>
      <c r="M6409" s="2" t="s">
        <v>12</v>
      </c>
      <c r="N6409" s="4">
        <f t="shared" si="1"/>
        <v>42720</v>
      </c>
      <c r="O6409" s="5" t="str">
        <f>IFERROR(__xludf.DUMMYFUNCTION("IF(REGEXMATCH(TRIM(I6409), ""^\d+\s*min""), ""Unclassified"", IF(I6409 = """", ""NR"", I6409))"),"TV-14")</f>
        <v>TV-14</v>
      </c>
      <c r="R6409" s="5" t="str">
        <f t="shared" si="2"/>
        <v>Call Me Francis</v>
      </c>
      <c r="S6409" s="5" t="str">
        <f>IFERROR(__xludf.DUMMYFUNCTION("""COMPUTED_VALUE"""),"Smoke &amp; Mirrors")</f>
        <v>Smoke &amp; Mirrors</v>
      </c>
      <c r="V6409" s="5"/>
      <c r="Y6409" s="5" t="str">
        <f>IFERROR(__xludf.DUMMYFUNCTION("REGEXEXTRACT(J6409, ""^\d+"")"),"1")</f>
        <v>1</v>
      </c>
      <c r="Z6409" s="5" t="str">
        <f>IFERROR(__xludf.DUMMYFUNCTION("REGEXEXTRACT(J6409, ""[A-Za-z ]+$"")")," Season")</f>
        <v> Season</v>
      </c>
      <c r="AA6409" s="5" t="str">
        <f>IFERROR(__xludf.DUMMYFUNCTION("IF(REGEXMATCH(Z6409, ""Season""), ""TV Show"", ""Movie"")"),"TV Show")</f>
        <v>TV Show</v>
      </c>
    </row>
    <row r="6410">
      <c r="A6410" s="1" t="s">
        <v>32046</v>
      </c>
      <c r="B6410" s="1" t="s">
        <v>37</v>
      </c>
      <c r="C6410" s="1" t="s">
        <v>32047</v>
      </c>
      <c r="D6410" s="1" t="s">
        <v>4153</v>
      </c>
      <c r="E6410" s="1" t="s">
        <v>32048</v>
      </c>
      <c r="F6410" s="1" t="s">
        <v>5541</v>
      </c>
      <c r="G6410" s="1" t="s">
        <v>28697</v>
      </c>
      <c r="H6410" s="1">
        <v>2014.0</v>
      </c>
      <c r="I6410" s="1" t="s">
        <v>97</v>
      </c>
      <c r="J6410" s="1" t="s">
        <v>51</v>
      </c>
      <c r="K6410" s="1" t="s">
        <v>32049</v>
      </c>
      <c r="L6410" s="1" t="s">
        <v>32050</v>
      </c>
      <c r="M6410" s="2" t="s">
        <v>12</v>
      </c>
      <c r="N6410" s="4">
        <f t="shared" si="1"/>
        <v>42767</v>
      </c>
      <c r="O6410" s="5" t="str">
        <f>IFERROR(__xludf.DUMMYFUNCTION("IF(REGEXMATCH(TRIM(I6410), ""^\d+\s*min""), ""Unclassified"", IF(I6410 = """", ""NR"", I6410))"),"TV-14")</f>
        <v>TV-14</v>
      </c>
      <c r="R6410" s="5" t="str">
        <f t="shared" si="2"/>
        <v>Camelia La Texana</v>
      </c>
      <c r="S6410" s="5" t="str">
        <f>IFERROR(__xludf.DUMMYFUNCTION("""COMPUTED_VALUE"""),"Smoking")</f>
        <v>Smoking</v>
      </c>
      <c r="V6410" s="5"/>
      <c r="Y6410" s="5" t="str">
        <f>IFERROR(__xludf.DUMMYFUNCTION("REGEXEXTRACT(J6410, ""^\d+"")"),"1")</f>
        <v>1</v>
      </c>
      <c r="Z6410" s="5" t="str">
        <f>IFERROR(__xludf.DUMMYFUNCTION("REGEXEXTRACT(J6410, ""[A-Za-z ]+$"")")," Season")</f>
        <v> Season</v>
      </c>
      <c r="AA6410" s="5" t="str">
        <f>IFERROR(__xludf.DUMMYFUNCTION("IF(REGEXMATCH(Z6410, ""Season""), ""TV Show"", ""Movie"")"),"TV Show")</f>
        <v>TV Show</v>
      </c>
    </row>
    <row r="6411">
      <c r="A6411" s="1" t="s">
        <v>32051</v>
      </c>
      <c r="B6411" s="1" t="s">
        <v>27</v>
      </c>
      <c r="C6411" s="1" t="s">
        <v>32052</v>
      </c>
      <c r="D6411" s="1" t="s">
        <v>20609</v>
      </c>
      <c r="E6411" s="1" t="s">
        <v>32053</v>
      </c>
      <c r="F6411" s="1" t="s">
        <v>30</v>
      </c>
      <c r="G6411" s="1" t="s">
        <v>32054</v>
      </c>
      <c r="H6411" s="1">
        <v>2016.0</v>
      </c>
      <c r="I6411" s="1" t="s">
        <v>42</v>
      </c>
      <c r="J6411" s="1" t="s">
        <v>106</v>
      </c>
      <c r="K6411" s="1" t="s">
        <v>107</v>
      </c>
      <c r="L6411" s="1" t="s">
        <v>32055</v>
      </c>
      <c r="M6411" s="2" t="s">
        <v>12</v>
      </c>
      <c r="N6411" s="4">
        <f t="shared" si="1"/>
        <v>42967</v>
      </c>
      <c r="O6411" s="5" t="str">
        <f>IFERROR(__xludf.DUMMYFUNCTION("IF(REGEXMATCH(TRIM(I6411), ""^\d+\s*min""), ""Unclassified"", IF(I6411 = """", ""NR"", I6411))"),"TV-MA")</f>
        <v>TV-MA</v>
      </c>
      <c r="R6411" s="5" t="str">
        <f t="shared" si="2"/>
        <v>Camera Store</v>
      </c>
      <c r="S6411" s="5" t="str">
        <f>IFERROR(__xludf.DUMMYFUNCTION("""COMPUTED_VALUE"""),"Smosh: The Movie")</f>
        <v>Smosh: The Movie</v>
      </c>
      <c r="V6411" s="5"/>
      <c r="Y6411" s="5" t="str">
        <f>IFERROR(__xludf.DUMMYFUNCTION("REGEXEXTRACT(J6411, ""^\d+"")"),"104")</f>
        <v>104</v>
      </c>
      <c r="Z6411" s="5" t="str">
        <f>IFERROR(__xludf.DUMMYFUNCTION("REGEXEXTRACT(J6411, ""[A-Za-z ]+$"")")," min")</f>
        <v> min</v>
      </c>
      <c r="AA6411" s="5" t="str">
        <f>IFERROR(__xludf.DUMMYFUNCTION("IF(REGEXMATCH(Z6411, ""Season""), ""TV Show"", ""Movie"")"),"Movie")</f>
        <v>Movie</v>
      </c>
    </row>
    <row r="6412">
      <c r="A6412" s="1" t="s">
        <v>32056</v>
      </c>
      <c r="B6412" s="1" t="s">
        <v>27</v>
      </c>
      <c r="C6412" s="1" t="s">
        <v>32057</v>
      </c>
      <c r="D6412" s="1" t="s">
        <v>13843</v>
      </c>
      <c r="E6412" s="1" t="s">
        <v>32058</v>
      </c>
      <c r="F6412" s="1" t="s">
        <v>30</v>
      </c>
      <c r="G6412" s="1" t="s">
        <v>26481</v>
      </c>
      <c r="H6412" s="1">
        <v>2017.0</v>
      </c>
      <c r="I6412" s="1" t="s">
        <v>506</v>
      </c>
      <c r="J6412" s="1" t="s">
        <v>106</v>
      </c>
      <c r="K6412" s="1" t="s">
        <v>2242</v>
      </c>
      <c r="L6412" s="1" t="s">
        <v>32059</v>
      </c>
      <c r="M6412" s="2" t="s">
        <v>12</v>
      </c>
      <c r="N6412" s="4">
        <f t="shared" si="1"/>
        <v>43101</v>
      </c>
      <c r="O6412" s="5" t="str">
        <f>IFERROR(__xludf.DUMMYFUNCTION("IF(REGEXMATCH(TRIM(I6412), ""^\d+\s*min""), ""Unclassified"", IF(I6412 = """", ""NR"", I6412))"),"TV-G")</f>
        <v>TV-G</v>
      </c>
      <c r="R6412" s="5" t="str">
        <f t="shared" si="2"/>
        <v>Camp Cool Kids</v>
      </c>
      <c r="S6412" s="5" t="str">
        <f>IFERROR(__xludf.DUMMYFUNCTION("""COMPUTED_VALUE"""),"Sneakerheads")</f>
        <v>Sneakerheads</v>
      </c>
      <c r="V6412" s="5"/>
      <c r="Y6412" s="5" t="str">
        <f>IFERROR(__xludf.DUMMYFUNCTION("REGEXEXTRACT(J6412, ""^\d+"")"),"104")</f>
        <v>104</v>
      </c>
      <c r="Z6412" s="5" t="str">
        <f>IFERROR(__xludf.DUMMYFUNCTION("REGEXEXTRACT(J6412, ""[A-Za-z ]+$"")")," min")</f>
        <v> min</v>
      </c>
      <c r="AA6412" s="5" t="str">
        <f>IFERROR(__xludf.DUMMYFUNCTION("IF(REGEXMATCH(Z6412, ""Season""), ""TV Show"", ""Movie"")"),"Movie")</f>
        <v>Movie</v>
      </c>
    </row>
    <row r="6413">
      <c r="A6413" s="1" t="s">
        <v>32060</v>
      </c>
      <c r="B6413" s="1" t="s">
        <v>37</v>
      </c>
      <c r="C6413" s="1" t="s">
        <v>32061</v>
      </c>
      <c r="F6413" s="1" t="s">
        <v>1106</v>
      </c>
      <c r="G6413" s="1" t="s">
        <v>22239</v>
      </c>
      <c r="H6413" s="1">
        <v>2014.0</v>
      </c>
      <c r="I6413" s="1" t="s">
        <v>42</v>
      </c>
      <c r="J6413" s="1" t="s">
        <v>51</v>
      </c>
      <c r="K6413" s="1" t="s">
        <v>1261</v>
      </c>
      <c r="L6413" s="1" t="s">
        <v>32062</v>
      </c>
      <c r="M6413" s="2" t="s">
        <v>12</v>
      </c>
      <c r="N6413" s="4">
        <f t="shared" si="1"/>
        <v>43497</v>
      </c>
      <c r="O6413" s="5" t="str">
        <f>IFERROR(__xludf.DUMMYFUNCTION("IF(REGEXMATCH(TRIM(I6413), ""^\d+\s*min""), ""Unclassified"", IF(I6413 = """", ""NR"", I6413))"),"TV-MA")</f>
        <v>TV-MA</v>
      </c>
      <c r="R6413" s="5" t="str">
        <f t="shared" si="2"/>
        <v>Camp X</v>
      </c>
      <c r="S6413" s="5" t="str">
        <f>IFERROR(__xludf.DUMMYFUNCTION("""COMPUTED_VALUE"""),"Snervous Tyler Oakley")</f>
        <v>Snervous Tyler Oakley</v>
      </c>
      <c r="V6413" s="5"/>
      <c r="Y6413" s="5" t="str">
        <f>IFERROR(__xludf.DUMMYFUNCTION("REGEXEXTRACT(J6413, ""^\d+"")"),"1")</f>
        <v>1</v>
      </c>
      <c r="Z6413" s="5" t="str">
        <f>IFERROR(__xludf.DUMMYFUNCTION("REGEXEXTRACT(J6413, ""[A-Za-z ]+$"")")," Season")</f>
        <v> Season</v>
      </c>
      <c r="AA6413" s="5" t="str">
        <f>IFERROR(__xludf.DUMMYFUNCTION("IF(REGEXMATCH(Z6413, ""Season""), ""TV Show"", ""Movie"")"),"TV Show")</f>
        <v>TV Show</v>
      </c>
    </row>
    <row r="6414">
      <c r="A6414" s="1" t="s">
        <v>32063</v>
      </c>
      <c r="B6414" s="1" t="s">
        <v>27</v>
      </c>
      <c r="C6414" s="1" t="s">
        <v>32064</v>
      </c>
      <c r="D6414" s="1" t="s">
        <v>18060</v>
      </c>
      <c r="E6414" s="1" t="s">
        <v>32065</v>
      </c>
      <c r="F6414" s="1" t="s">
        <v>30</v>
      </c>
      <c r="G6414" s="1" t="s">
        <v>32066</v>
      </c>
      <c r="H6414" s="1">
        <v>2014.0</v>
      </c>
      <c r="I6414" s="1" t="s">
        <v>378</v>
      </c>
      <c r="J6414" s="1" t="s">
        <v>743</v>
      </c>
      <c r="K6414" s="1" t="s">
        <v>1320</v>
      </c>
      <c r="L6414" s="1" t="s">
        <v>32067</v>
      </c>
      <c r="M6414" s="2" t="s">
        <v>12</v>
      </c>
      <c r="N6414" s="4">
        <f t="shared" si="1"/>
        <v>42749</v>
      </c>
      <c r="O6414" s="5" t="str">
        <f>IFERROR(__xludf.DUMMYFUNCTION("IF(REGEXMATCH(TRIM(I6414), ""^\d+\s*min""), ""Unclassified"", IF(I6414 = """", ""NR"", I6414))"),"R")</f>
        <v>R</v>
      </c>
      <c r="R6414" s="5" t="str">
        <f t="shared" si="2"/>
        <v>Camp X-Ray</v>
      </c>
      <c r="S6414" s="5" t="str">
        <f>IFERROR(__xludf.DUMMYFUNCTION("""COMPUTED_VALUE"""),"Sniper: Ghost Shooter")</f>
        <v>Sniper: Ghost Shooter</v>
      </c>
      <c r="V6414" s="5"/>
      <c r="Y6414" s="5" t="str">
        <f>IFERROR(__xludf.DUMMYFUNCTION("REGEXEXTRACT(J6414, ""^\d+"")"),"117")</f>
        <v>117</v>
      </c>
      <c r="Z6414" s="5" t="str">
        <f>IFERROR(__xludf.DUMMYFUNCTION("REGEXEXTRACT(J6414, ""[A-Za-z ]+$"")")," min")</f>
        <v> min</v>
      </c>
      <c r="AA6414" s="5" t="str">
        <f>IFERROR(__xludf.DUMMYFUNCTION("IF(REGEXMATCH(Z6414, ""Season""), ""TV Show"", ""Movie"")"),"Movie")</f>
        <v>Movie</v>
      </c>
    </row>
    <row r="6415">
      <c r="A6415" s="1" t="s">
        <v>32068</v>
      </c>
      <c r="B6415" s="1" t="s">
        <v>37</v>
      </c>
      <c r="C6415" s="1" t="s">
        <v>32069</v>
      </c>
      <c r="E6415" s="1" t="s">
        <v>32070</v>
      </c>
      <c r="F6415" s="1" t="s">
        <v>749</v>
      </c>
      <c r="G6415" s="7">
        <v>42877.0</v>
      </c>
      <c r="H6415" s="1">
        <v>2012.0</v>
      </c>
      <c r="I6415" s="1" t="s">
        <v>97</v>
      </c>
      <c r="J6415" s="1" t="s">
        <v>51</v>
      </c>
      <c r="K6415" s="1" t="s">
        <v>7164</v>
      </c>
      <c r="L6415" s="1" t="s">
        <v>32071</v>
      </c>
      <c r="M6415" s="2" t="s">
        <v>12</v>
      </c>
      <c r="N6415" s="4">
        <f t="shared" si="1"/>
        <v>42877</v>
      </c>
      <c r="O6415" s="5" t="str">
        <f>IFERROR(__xludf.DUMMYFUNCTION("IF(REGEXMATCH(TRIM(I6415), ""^\d+\s*min""), ""Unclassified"", IF(I6415 = """", ""NR"", I6415))"),"TV-14")</f>
        <v>TV-14</v>
      </c>
      <c r="R6415" s="5" t="str">
        <f t="shared" si="2"/>
        <v>Can We Get Married?</v>
      </c>
      <c r="S6415" s="5" t="str">
        <f>IFERROR(__xludf.DUMMYFUNCTION("""COMPUTED_VALUE"""),"Sniper: Legacy")</f>
        <v>Sniper: Legacy</v>
      </c>
      <c r="V6415" s="5"/>
      <c r="Y6415" s="5" t="str">
        <f>IFERROR(__xludf.DUMMYFUNCTION("REGEXEXTRACT(J6415, ""^\d+"")"),"1")</f>
        <v>1</v>
      </c>
      <c r="Z6415" s="5" t="str">
        <f>IFERROR(__xludf.DUMMYFUNCTION("REGEXEXTRACT(J6415, ""[A-Za-z ]+$"")")," Season")</f>
        <v> Season</v>
      </c>
      <c r="AA6415" s="5" t="str">
        <f>IFERROR(__xludf.DUMMYFUNCTION("IF(REGEXMATCH(Z6415, ""Season""), ""TV Show"", ""Movie"")"),"TV Show")</f>
        <v>TV Show</v>
      </c>
    </row>
    <row r="6416">
      <c r="A6416" s="1" t="s">
        <v>32072</v>
      </c>
      <c r="B6416" s="1" t="s">
        <v>27</v>
      </c>
      <c r="C6416" s="1" t="s">
        <v>32073</v>
      </c>
      <c r="D6416" s="1" t="s">
        <v>9097</v>
      </c>
      <c r="E6416" s="1" t="s">
        <v>32074</v>
      </c>
      <c r="F6416" s="1" t="s">
        <v>30</v>
      </c>
      <c r="G6416" s="1" t="s">
        <v>8506</v>
      </c>
      <c r="H6416" s="1">
        <v>1998.0</v>
      </c>
      <c r="I6416" s="1" t="s">
        <v>32</v>
      </c>
      <c r="J6416" s="1" t="s">
        <v>1091</v>
      </c>
      <c r="K6416" s="1" t="s">
        <v>813</v>
      </c>
      <c r="L6416" s="1" t="s">
        <v>32075</v>
      </c>
      <c r="M6416" s="2" t="s">
        <v>12</v>
      </c>
      <c r="N6416" s="4">
        <f t="shared" si="1"/>
        <v>44197</v>
      </c>
      <c r="O6416" s="5" t="str">
        <f>IFERROR(__xludf.DUMMYFUNCTION("IF(REGEXMATCH(TRIM(I6416), ""^\d+\s*min""), ""Unclassified"", IF(I6416 = """", ""NR"", I6416))"),"PG-13")</f>
        <v>PG-13</v>
      </c>
      <c r="R6416" s="5" t="str">
        <f t="shared" si="2"/>
        <v>Can'T Hardly Wait</v>
      </c>
      <c r="S6416" s="5" t="str">
        <f>IFERROR(__xludf.DUMMYFUNCTION("""COMPUTED_VALUE"""),"Sniper: Special Ops")</f>
        <v>Sniper: Special Ops</v>
      </c>
      <c r="V6416" s="5"/>
      <c r="Y6416" s="5" t="str">
        <f>IFERROR(__xludf.DUMMYFUNCTION("REGEXEXTRACT(J6416, ""^\d+"")"),"101")</f>
        <v>101</v>
      </c>
      <c r="Z6416" s="5" t="str">
        <f>IFERROR(__xludf.DUMMYFUNCTION("REGEXEXTRACT(J6416, ""[A-Za-z ]+$"")")," min")</f>
        <v> min</v>
      </c>
      <c r="AA6416" s="5" t="str">
        <f>IFERROR(__xludf.DUMMYFUNCTION("IF(REGEXMATCH(Z6416, ""Season""), ""TV Show"", ""Movie"")"),"Movie")</f>
        <v>Movie</v>
      </c>
    </row>
    <row r="6417">
      <c r="A6417" s="1" t="s">
        <v>32076</v>
      </c>
      <c r="B6417" s="1" t="s">
        <v>27</v>
      </c>
      <c r="C6417" s="1" t="s">
        <v>32077</v>
      </c>
      <c r="D6417" s="1" t="s">
        <v>3292</v>
      </c>
      <c r="E6417" s="1" t="s">
        <v>32078</v>
      </c>
      <c r="F6417" s="1" t="s">
        <v>692</v>
      </c>
      <c r="G6417" s="1" t="s">
        <v>18985</v>
      </c>
      <c r="H6417" s="1">
        <v>1992.0</v>
      </c>
      <c r="I6417" s="1" t="s">
        <v>378</v>
      </c>
      <c r="J6417" s="1" t="s">
        <v>416</v>
      </c>
      <c r="K6417" s="1" t="s">
        <v>4847</v>
      </c>
      <c r="L6417" s="1" t="s">
        <v>32079</v>
      </c>
      <c r="M6417" s="2" t="s">
        <v>12</v>
      </c>
      <c r="N6417" s="4">
        <f t="shared" si="1"/>
        <v>43739</v>
      </c>
      <c r="O6417" s="5" t="str">
        <f>IFERROR(__xludf.DUMMYFUNCTION("IF(REGEXMATCH(TRIM(I6417), ""^\d+\s*min""), ""Unclassified"", IF(I6417 = """", ""NR"", I6417))"),"R")</f>
        <v>R</v>
      </c>
      <c r="R6417" s="5" t="str">
        <f t="shared" si="2"/>
        <v>Candyman</v>
      </c>
      <c r="S6417" s="5" t="str">
        <f>IFERROR(__xludf.DUMMYFUNCTION("""COMPUTED_VALUE"""),"Snow Day")</f>
        <v>Snow Day</v>
      </c>
      <c r="V6417" s="5"/>
      <c r="Y6417" s="5" t="str">
        <f>IFERROR(__xludf.DUMMYFUNCTION("REGEXEXTRACT(J6417, ""^\d+"")"),"99")</f>
        <v>99</v>
      </c>
      <c r="Z6417" s="5" t="str">
        <f>IFERROR(__xludf.DUMMYFUNCTION("REGEXEXTRACT(J6417, ""[A-Za-z ]+$"")")," min")</f>
        <v> min</v>
      </c>
      <c r="AA6417" s="5" t="str">
        <f>IFERROR(__xludf.DUMMYFUNCTION("IF(REGEXMATCH(Z6417, ""Season""), ""TV Show"", ""Movie"")"),"Movie")</f>
        <v>Movie</v>
      </c>
    </row>
    <row r="6418">
      <c r="A6418" s="1" t="s">
        <v>32080</v>
      </c>
      <c r="B6418" s="1" t="s">
        <v>37</v>
      </c>
      <c r="C6418" s="1" t="s">
        <v>32081</v>
      </c>
      <c r="E6418" s="1" t="s">
        <v>32082</v>
      </c>
      <c r="F6418" s="1" t="s">
        <v>664</v>
      </c>
      <c r="G6418" s="1" t="s">
        <v>28914</v>
      </c>
      <c r="H6418" s="1">
        <v>2016.0</v>
      </c>
      <c r="I6418" s="1" t="s">
        <v>42</v>
      </c>
      <c r="J6418" s="1" t="s">
        <v>51</v>
      </c>
      <c r="K6418" s="1" t="s">
        <v>1362</v>
      </c>
      <c r="L6418" s="1" t="s">
        <v>32083</v>
      </c>
      <c r="M6418" s="2" t="s">
        <v>12</v>
      </c>
      <c r="N6418" s="4">
        <f t="shared" si="1"/>
        <v>42719</v>
      </c>
      <c r="O6418" s="5" t="str">
        <f>IFERROR(__xludf.DUMMYFUNCTION("IF(REGEXMATCH(TRIM(I6418), ""^\d+\s*min""), ""Unclassified"", IF(I6418 = """", ""NR"", I6418))"),"TV-MA")</f>
        <v>TV-MA</v>
      </c>
      <c r="R6418" s="5" t="str">
        <f t="shared" si="2"/>
        <v>Cannabis</v>
      </c>
      <c r="S6418" s="5" t="str">
        <f>IFERROR(__xludf.DUMMYFUNCTION("""COMPUTED_VALUE"""),"Snowden")</f>
        <v>Snowden</v>
      </c>
      <c r="V6418" s="5"/>
      <c r="Y6418" s="5" t="str">
        <f>IFERROR(__xludf.DUMMYFUNCTION("REGEXEXTRACT(J6418, ""^\d+"")"),"1")</f>
        <v>1</v>
      </c>
      <c r="Z6418" s="5" t="str">
        <f>IFERROR(__xludf.DUMMYFUNCTION("REGEXEXTRACT(J6418, ""[A-Za-z ]+$"")")," Season")</f>
        <v> Season</v>
      </c>
      <c r="AA6418" s="5" t="str">
        <f>IFERROR(__xludf.DUMMYFUNCTION("IF(REGEXMATCH(Z6418, ""Season""), ""TV Show"", ""Movie"")"),"TV Show")</f>
        <v>TV Show</v>
      </c>
    </row>
    <row r="6419">
      <c r="A6419" s="1" t="s">
        <v>32084</v>
      </c>
      <c r="B6419" s="1" t="s">
        <v>27</v>
      </c>
      <c r="C6419" s="1" t="s">
        <v>32085</v>
      </c>
      <c r="D6419" s="1" t="s">
        <v>12276</v>
      </c>
      <c r="F6419" s="1" t="s">
        <v>32086</v>
      </c>
      <c r="G6419" s="1" t="s">
        <v>11680</v>
      </c>
      <c r="H6419" s="1">
        <v>2019.0</v>
      </c>
      <c r="I6419" s="1" t="s">
        <v>97</v>
      </c>
      <c r="J6419" s="1" t="s">
        <v>238</v>
      </c>
      <c r="K6419" s="1" t="s">
        <v>34</v>
      </c>
      <c r="L6419" s="1" t="s">
        <v>32087</v>
      </c>
      <c r="M6419" s="2" t="s">
        <v>12</v>
      </c>
      <c r="N6419" s="4">
        <f t="shared" si="1"/>
        <v>44082</v>
      </c>
      <c r="O6419" s="5" t="str">
        <f>IFERROR(__xludf.DUMMYFUNCTION("IF(REGEXMATCH(TRIM(I6419), ""^\d+\s*min""), ""Unclassified"", IF(I6419 = """", ""NR"", I6419))"),"TV-14")</f>
        <v>TV-14</v>
      </c>
      <c r="R6419" s="5" t="str">
        <f t="shared" si="2"/>
        <v>Capital In The Twenty-First Century</v>
      </c>
      <c r="S6419" s="5" t="str">
        <f>IFERROR(__xludf.DUMMYFUNCTION("""COMPUTED_VALUE"""),"Snowpiercer")</f>
        <v>Snowpiercer</v>
      </c>
      <c r="V6419" s="5"/>
      <c r="Y6419" s="5" t="str">
        <f>IFERROR(__xludf.DUMMYFUNCTION("REGEXEXTRACT(J6419, ""^\d+"")"),"103")</f>
        <v>103</v>
      </c>
      <c r="Z6419" s="5" t="str">
        <f>IFERROR(__xludf.DUMMYFUNCTION("REGEXEXTRACT(J6419, ""[A-Za-z ]+$"")")," min")</f>
        <v> min</v>
      </c>
      <c r="AA6419" s="5" t="str">
        <f>IFERROR(__xludf.DUMMYFUNCTION("IF(REGEXMATCH(Z6419, ""Season""), ""TV Show"", ""Movie"")"),"Movie")</f>
        <v>Movie</v>
      </c>
    </row>
    <row r="6420">
      <c r="A6420" s="1" t="s">
        <v>32088</v>
      </c>
      <c r="B6420" s="1" t="s">
        <v>27</v>
      </c>
      <c r="C6420" s="1" t="s">
        <v>32089</v>
      </c>
      <c r="D6420" s="1" t="s">
        <v>17091</v>
      </c>
      <c r="E6420" s="1" t="s">
        <v>32090</v>
      </c>
      <c r="F6420" s="1" t="s">
        <v>63</v>
      </c>
      <c r="G6420" s="1" t="s">
        <v>25185</v>
      </c>
      <c r="H6420" s="1">
        <v>2017.0</v>
      </c>
      <c r="I6420" s="1" t="s">
        <v>136</v>
      </c>
      <c r="J6420" s="1" t="s">
        <v>3458</v>
      </c>
      <c r="K6420" s="1" t="s">
        <v>583</v>
      </c>
      <c r="L6420" s="1" t="s">
        <v>32091</v>
      </c>
      <c r="M6420" s="2" t="s">
        <v>12</v>
      </c>
      <c r="N6420" s="4">
        <f t="shared" si="1"/>
        <v>43282</v>
      </c>
      <c r="O6420" s="5" t="str">
        <f>IFERROR(__xludf.DUMMYFUNCTION("IF(REGEXMATCH(TRIM(I6420), ""^\d+\s*min""), ""Unclassified"", IF(I6420 = """", ""NR"", I6420))"),"TV-PG")</f>
        <v>TV-PG</v>
      </c>
      <c r="R6420" s="5" t="str">
        <f t="shared" si="2"/>
        <v>Cappuccino</v>
      </c>
      <c r="S6420" s="5" t="str">
        <f>IFERROR(__xludf.DUMMYFUNCTION("""COMPUTED_VALUE"""),"So Much Love To Give")</f>
        <v>So Much Love To Give</v>
      </c>
      <c r="V6420" s="5"/>
      <c r="Y6420" s="5" t="str">
        <f>IFERROR(__xludf.DUMMYFUNCTION("REGEXEXTRACT(J6420, ""^\d+"")"),"126")</f>
        <v>126</v>
      </c>
      <c r="Z6420" s="5" t="str">
        <f>IFERROR(__xludf.DUMMYFUNCTION("REGEXEXTRACT(J6420, ""[A-Za-z ]+$"")")," min")</f>
        <v> min</v>
      </c>
      <c r="AA6420" s="5" t="str">
        <f>IFERROR(__xludf.DUMMYFUNCTION("IF(REGEXMATCH(Z6420, ""Season""), ""TV Show"", ""Movie"")"),"Movie")</f>
        <v>Movie</v>
      </c>
    </row>
    <row r="6421">
      <c r="A6421" s="1" t="s">
        <v>32092</v>
      </c>
      <c r="B6421" s="1" t="s">
        <v>27</v>
      </c>
      <c r="C6421" s="1" t="s">
        <v>32093</v>
      </c>
      <c r="D6421" s="1" t="s">
        <v>14902</v>
      </c>
      <c r="E6421" s="1" t="s">
        <v>32094</v>
      </c>
      <c r="F6421" s="1" t="s">
        <v>1453</v>
      </c>
      <c r="G6421" s="1" t="s">
        <v>24523</v>
      </c>
      <c r="H6421" s="1">
        <v>2016.0</v>
      </c>
      <c r="I6421" s="1" t="s">
        <v>42</v>
      </c>
      <c r="J6421" s="1" t="s">
        <v>665</v>
      </c>
      <c r="K6421" s="1" t="s">
        <v>128</v>
      </c>
      <c r="L6421" s="1" t="s">
        <v>32095</v>
      </c>
      <c r="M6421" s="2" t="s">
        <v>12</v>
      </c>
      <c r="N6421" s="4">
        <f t="shared" si="1"/>
        <v>43358</v>
      </c>
      <c r="O6421" s="5" t="str">
        <f>IFERROR(__xludf.DUMMYFUNCTION("IF(REGEXMATCH(TRIM(I6421), ""^\d+\s*min""), ""Unclassified"", IF(I6421 = """", ""NR"", I6421))"),"TV-MA")</f>
        <v>TV-MA</v>
      </c>
      <c r="R6421" s="5" t="str">
        <f t="shared" si="2"/>
        <v>Cardboard Gangsters</v>
      </c>
      <c r="S6421" s="5" t="str">
        <f>IFERROR(__xludf.DUMMYFUNCTION("""COMPUTED_VALUE"""),"So My Grandma’S A Lesbian!")</f>
        <v>So My Grandma’S A Lesbian!</v>
      </c>
      <c r="V6421" s="5"/>
      <c r="Y6421" s="5" t="str">
        <f>IFERROR(__xludf.DUMMYFUNCTION("REGEXEXTRACT(J6421, ""^\d+"")"),"92")</f>
        <v>92</v>
      </c>
      <c r="Z6421" s="5" t="str">
        <f>IFERROR(__xludf.DUMMYFUNCTION("REGEXEXTRACT(J6421, ""[A-Za-z ]+$"")")," min")</f>
        <v> min</v>
      </c>
      <c r="AA6421" s="5" t="str">
        <f>IFERROR(__xludf.DUMMYFUNCTION("IF(REGEXMATCH(Z6421, ""Season""), ""TV Show"", ""Movie"")"),"Movie")</f>
        <v>Movie</v>
      </c>
    </row>
    <row r="6422">
      <c r="A6422" s="1" t="s">
        <v>32096</v>
      </c>
      <c r="B6422" s="1" t="s">
        <v>37</v>
      </c>
      <c r="C6422" s="1" t="s">
        <v>32097</v>
      </c>
      <c r="E6422" s="1" t="s">
        <v>32098</v>
      </c>
      <c r="F6422" s="1" t="s">
        <v>30</v>
      </c>
      <c r="G6422" s="1" t="s">
        <v>19794</v>
      </c>
      <c r="H6422" s="1">
        <v>2012.0</v>
      </c>
      <c r="I6422" s="1" t="s">
        <v>206</v>
      </c>
      <c r="J6422" s="1" t="s">
        <v>51</v>
      </c>
      <c r="K6422" s="1" t="s">
        <v>290</v>
      </c>
      <c r="L6422" s="1" t="s">
        <v>32099</v>
      </c>
      <c r="M6422" s="2" t="s">
        <v>12</v>
      </c>
      <c r="N6422" s="4">
        <f t="shared" si="1"/>
        <v>43679</v>
      </c>
      <c r="O6422" s="5" t="str">
        <f>IFERROR(__xludf.DUMMYFUNCTION("IF(REGEXMATCH(TRIM(I6422), ""^\d+\s*min""), ""Unclassified"", IF(I6422 = """", ""NR"", I6422))"),"TV-Y")</f>
        <v>TV-Y</v>
      </c>
      <c r="R6422" s="5" t="str">
        <f t="shared" si="2"/>
        <v>Care Bears: Welcome To Care-A-Lot</v>
      </c>
      <c r="S6422" s="5" t="str">
        <f>IFERROR(__xludf.DUMMYFUNCTION("""COMPUTED_VALUE"""),"So Not Worth It")</f>
        <v>So Not Worth It</v>
      </c>
      <c r="V6422" s="5"/>
      <c r="Y6422" s="5" t="str">
        <f>IFERROR(__xludf.DUMMYFUNCTION("REGEXEXTRACT(J6422, ""^\d+"")"),"1")</f>
        <v>1</v>
      </c>
      <c r="Z6422" s="5" t="str">
        <f>IFERROR(__xludf.DUMMYFUNCTION("REGEXEXTRACT(J6422, ""[A-Za-z ]+$"")")," Season")</f>
        <v> Season</v>
      </c>
      <c r="AA6422" s="5" t="str">
        <f>IFERROR(__xludf.DUMMYFUNCTION("IF(REGEXMATCH(Z6422, ""Season""), ""TV Show"", ""Movie"")"),"TV Show")</f>
        <v>TV Show</v>
      </c>
    </row>
    <row r="6423">
      <c r="A6423" s="1" t="s">
        <v>32100</v>
      </c>
      <c r="B6423" s="1" t="s">
        <v>27</v>
      </c>
      <c r="C6423" s="1" t="s">
        <v>32101</v>
      </c>
      <c r="D6423" s="1" t="s">
        <v>4598</v>
      </c>
      <c r="E6423" s="1" t="s">
        <v>32102</v>
      </c>
      <c r="F6423" s="1" t="s">
        <v>4287</v>
      </c>
      <c r="G6423" s="1" t="s">
        <v>21804</v>
      </c>
      <c r="H6423" s="1">
        <v>2008.0</v>
      </c>
      <c r="I6423" s="1" t="s">
        <v>97</v>
      </c>
      <c r="J6423" s="1" t="s">
        <v>2859</v>
      </c>
      <c r="K6423" s="1" t="s">
        <v>128</v>
      </c>
      <c r="L6423" s="1" t="s">
        <v>32103</v>
      </c>
      <c r="M6423" s="2" t="s">
        <v>12</v>
      </c>
      <c r="N6423" s="4">
        <f t="shared" si="1"/>
        <v>43529</v>
      </c>
      <c r="O6423" s="5" t="str">
        <f>IFERROR(__xludf.DUMMYFUNCTION("IF(REGEXMATCH(TRIM(I6423), ""^\d+\s*min""), ""Unclassified"", IF(I6423 = """", ""NR"", I6423))"),"TV-14")</f>
        <v>TV-14</v>
      </c>
      <c r="R6423" s="5" t="str">
        <f t="shared" si="2"/>
        <v>Caregiver</v>
      </c>
      <c r="S6423" s="5" t="str">
        <f>IFERROR(__xludf.DUMMYFUNCTION("""COMPUTED_VALUE"""),"Socha Na Tha")</f>
        <v>Socha Na Tha</v>
      </c>
      <c r="V6423" s="5"/>
      <c r="Y6423" s="5" t="str">
        <f>IFERROR(__xludf.DUMMYFUNCTION("REGEXEXTRACT(J6423, ""^\d+"")"),"131")</f>
        <v>131</v>
      </c>
      <c r="Z6423" s="5" t="str">
        <f>IFERROR(__xludf.DUMMYFUNCTION("REGEXEXTRACT(J6423, ""[A-Za-z ]+$"")")," min")</f>
        <v> min</v>
      </c>
      <c r="AA6423" s="5" t="str">
        <f>IFERROR(__xludf.DUMMYFUNCTION("IF(REGEXMATCH(Z6423, ""Season""), ""TV Show"", ""Movie"")"),"Movie")</f>
        <v>Movie</v>
      </c>
    </row>
    <row r="6424">
      <c r="A6424" s="1" t="s">
        <v>32104</v>
      </c>
      <c r="B6424" s="1" t="s">
        <v>27</v>
      </c>
      <c r="C6424" s="1" t="s">
        <v>32105</v>
      </c>
      <c r="D6424" s="1" t="s">
        <v>22627</v>
      </c>
      <c r="E6424" s="1" t="s">
        <v>32106</v>
      </c>
      <c r="F6424" s="1" t="s">
        <v>8005</v>
      </c>
      <c r="G6424" s="1" t="s">
        <v>10502</v>
      </c>
      <c r="H6424" s="1">
        <v>2015.0</v>
      </c>
      <c r="I6424" s="1" t="s">
        <v>378</v>
      </c>
      <c r="J6424" s="1" t="s">
        <v>804</v>
      </c>
      <c r="K6424" s="1" t="s">
        <v>10048</v>
      </c>
      <c r="L6424" s="1" t="s">
        <v>32107</v>
      </c>
      <c r="M6424" s="2" t="s">
        <v>12</v>
      </c>
      <c r="N6424" s="4">
        <f t="shared" si="1"/>
        <v>44124</v>
      </c>
      <c r="O6424" s="5" t="str">
        <f>IFERROR(__xludf.DUMMYFUNCTION("IF(REGEXMATCH(TRIM(I6424), ""^\d+\s*min""), ""Unclassified"", IF(I6424 = """", ""NR"", I6424))"),"R")</f>
        <v>R</v>
      </c>
      <c r="R6424" s="5" t="str">
        <f t="shared" si="2"/>
        <v>Carol</v>
      </c>
      <c r="S6424" s="5" t="str">
        <f>IFERROR(__xludf.DUMMYFUNCTION("""COMPUTED_VALUE"""),"Social Animals")</f>
        <v>Social Animals</v>
      </c>
      <c r="V6424" s="5"/>
      <c r="Y6424" s="5" t="str">
        <f>IFERROR(__xludf.DUMMYFUNCTION("REGEXEXTRACT(J6424, ""^\d+"")"),"119")</f>
        <v>119</v>
      </c>
      <c r="Z6424" s="5" t="str">
        <f>IFERROR(__xludf.DUMMYFUNCTION("REGEXEXTRACT(J6424, ""[A-Za-z ]+$"")")," min")</f>
        <v> min</v>
      </c>
      <c r="AA6424" s="5" t="str">
        <f>IFERROR(__xludf.DUMMYFUNCTION("IF(REGEXMATCH(Z6424, ""Season""), ""TV Show"", ""Movie"")"),"Movie")</f>
        <v>Movie</v>
      </c>
    </row>
    <row r="6425">
      <c r="A6425" s="1" t="s">
        <v>32108</v>
      </c>
      <c r="B6425" s="1" t="s">
        <v>27</v>
      </c>
      <c r="C6425" s="1" t="s">
        <v>32109</v>
      </c>
      <c r="D6425" s="1" t="s">
        <v>3763</v>
      </c>
      <c r="E6425" s="1" t="s">
        <v>32110</v>
      </c>
      <c r="F6425" s="1" t="s">
        <v>30</v>
      </c>
      <c r="G6425" s="1" t="s">
        <v>20561</v>
      </c>
      <c r="H6425" s="1">
        <v>1976.0</v>
      </c>
      <c r="I6425" s="1" t="s">
        <v>378</v>
      </c>
      <c r="J6425" s="1" t="s">
        <v>357</v>
      </c>
      <c r="K6425" s="1" t="s">
        <v>32111</v>
      </c>
      <c r="L6425" s="1" t="s">
        <v>32112</v>
      </c>
      <c r="M6425" s="2" t="s">
        <v>12</v>
      </c>
      <c r="N6425" s="4">
        <f t="shared" si="1"/>
        <v>43617</v>
      </c>
      <c r="O6425" s="5" t="str">
        <f>IFERROR(__xludf.DUMMYFUNCTION("IF(REGEXMATCH(TRIM(I6425), ""^\d+\s*min""), ""Unclassified"", IF(I6425 = """", ""NR"", I6425))"),"R")</f>
        <v>R</v>
      </c>
      <c r="R6425" s="5" t="str">
        <f t="shared" si="2"/>
        <v>Carrie</v>
      </c>
      <c r="S6425" s="5" t="str">
        <f>IFERROR(__xludf.DUMMYFUNCTION("""COMPUTED_VALUE"""),"Social Distance")</f>
        <v>Social Distance</v>
      </c>
      <c r="V6425" s="5"/>
      <c r="Y6425" s="5" t="str">
        <f>IFERROR(__xludf.DUMMYFUNCTION("REGEXEXTRACT(J6425, ""^\d+"")"),"98")</f>
        <v>98</v>
      </c>
      <c r="Z6425" s="5" t="str">
        <f>IFERROR(__xludf.DUMMYFUNCTION("REGEXEXTRACT(J6425, ""[A-Za-z ]+$"")")," min")</f>
        <v> min</v>
      </c>
      <c r="AA6425" s="5" t="str">
        <f>IFERROR(__xludf.DUMMYFUNCTION("IF(REGEXMATCH(Z6425, ""Season""), ""TV Show"", ""Movie"")"),"Movie")</f>
        <v>Movie</v>
      </c>
    </row>
    <row r="6426">
      <c r="A6426" s="1" t="s">
        <v>32113</v>
      </c>
      <c r="B6426" s="1" t="s">
        <v>27</v>
      </c>
      <c r="C6426" s="1" t="s">
        <v>32114</v>
      </c>
      <c r="D6426" s="1" t="s">
        <v>1152</v>
      </c>
      <c r="E6426" s="1" t="s">
        <v>32115</v>
      </c>
      <c r="F6426" s="1" t="s">
        <v>30</v>
      </c>
      <c r="G6426" s="1" t="s">
        <v>17941</v>
      </c>
      <c r="H6426" s="1">
        <v>2009.0</v>
      </c>
      <c r="I6426" s="1" t="s">
        <v>32</v>
      </c>
      <c r="J6426" s="1" t="s">
        <v>471</v>
      </c>
      <c r="K6426" s="1" t="s">
        <v>17209</v>
      </c>
      <c r="L6426" s="1" t="s">
        <v>32116</v>
      </c>
      <c r="M6426" s="2" t="s">
        <v>12</v>
      </c>
      <c r="N6426" s="4">
        <f t="shared" si="1"/>
        <v>43789</v>
      </c>
      <c r="O6426" s="5" t="str">
        <f>IFERROR(__xludf.DUMMYFUNCTION("IF(REGEXMATCH(TRIM(I6426), ""^\d+\s*min""), ""Unclassified"", IF(I6426 = """", ""NR"", I6426))"),"PG-13")</f>
        <v>PG-13</v>
      </c>
      <c r="R6426" s="5" t="str">
        <f t="shared" si="2"/>
        <v>Carriers</v>
      </c>
      <c r="S6426" s="5" t="str">
        <f>IFERROR(__xludf.DUMMYFUNCTION("""COMPUTED_VALUE"""),"Soekarno")</f>
        <v>Soekarno</v>
      </c>
      <c r="V6426" s="5"/>
      <c r="Y6426" s="5" t="str">
        <f>IFERROR(__xludf.DUMMYFUNCTION("REGEXEXTRACT(J6426, ""^\d+"")"),"85")</f>
        <v>85</v>
      </c>
      <c r="Z6426" s="5" t="str">
        <f>IFERROR(__xludf.DUMMYFUNCTION("REGEXEXTRACT(J6426, ""[A-Za-z ]+$"")")," min")</f>
        <v> min</v>
      </c>
      <c r="AA6426" s="5" t="str">
        <f>IFERROR(__xludf.DUMMYFUNCTION("IF(REGEXMATCH(Z6426, ""Season""), ""TV Show"", ""Movie"")"),"Movie")</f>
        <v>Movie</v>
      </c>
    </row>
    <row r="6427">
      <c r="A6427" s="1" t="s">
        <v>32117</v>
      </c>
      <c r="B6427" s="1" t="s">
        <v>27</v>
      </c>
      <c r="C6427" s="1" t="s">
        <v>32118</v>
      </c>
      <c r="D6427" s="1" t="s">
        <v>15253</v>
      </c>
      <c r="E6427" s="1" t="s">
        <v>32119</v>
      </c>
      <c r="F6427" s="1" t="s">
        <v>949</v>
      </c>
      <c r="G6427" s="1" t="s">
        <v>32120</v>
      </c>
      <c r="H6427" s="1">
        <v>2012.0</v>
      </c>
      <c r="I6427" s="1" t="s">
        <v>378</v>
      </c>
      <c r="J6427" s="1" t="s">
        <v>1608</v>
      </c>
      <c r="K6427" s="1" t="s">
        <v>239</v>
      </c>
      <c r="L6427" s="1" t="s">
        <v>32121</v>
      </c>
      <c r="M6427" s="2" t="s">
        <v>12</v>
      </c>
      <c r="N6427" s="4">
        <f t="shared" si="1"/>
        <v>41227</v>
      </c>
      <c r="O6427" s="5" t="str">
        <f>IFERROR(__xludf.DUMMYFUNCTION("IF(REGEXMATCH(TRIM(I6427), ""^\d+\s*min""), ""Unclassified"", IF(I6427 = """", ""NR"", I6427))"),"R")</f>
        <v>R</v>
      </c>
      <c r="R6427" s="5" t="str">
        <f t="shared" si="2"/>
        <v>Casa De Mi Padre</v>
      </c>
      <c r="S6427" s="5" t="str">
        <f>IFERROR(__xludf.DUMMYFUNCTION("""COMPUTED_VALUE"""),"Sofía Niño De Rivera: Exposed")</f>
        <v>Sofía Niño De Rivera: Exposed</v>
      </c>
      <c r="V6427" s="5"/>
      <c r="Y6427" s="5" t="str">
        <f>IFERROR(__xludf.DUMMYFUNCTION("REGEXEXTRACT(J6427, ""^\d+"")"),"84")</f>
        <v>84</v>
      </c>
      <c r="Z6427" s="5" t="str">
        <f>IFERROR(__xludf.DUMMYFUNCTION("REGEXEXTRACT(J6427, ""[A-Za-z ]+$"")")," min")</f>
        <v> min</v>
      </c>
      <c r="AA6427" s="5" t="str">
        <f>IFERROR(__xludf.DUMMYFUNCTION("IF(REGEXMATCH(Z6427, ""Season""), ""TV Show"", ""Movie"")"),"Movie")</f>
        <v>Movie</v>
      </c>
    </row>
    <row r="6428">
      <c r="A6428" s="1" t="s">
        <v>32122</v>
      </c>
      <c r="B6428" s="1" t="s">
        <v>37</v>
      </c>
      <c r="C6428" s="1" t="s">
        <v>32123</v>
      </c>
      <c r="E6428" s="1" t="s">
        <v>32124</v>
      </c>
      <c r="F6428" s="1" t="s">
        <v>415</v>
      </c>
      <c r="G6428" s="1" t="s">
        <v>22604</v>
      </c>
      <c r="H6428" s="1">
        <v>2015.0</v>
      </c>
      <c r="I6428" s="1" t="s">
        <v>97</v>
      </c>
      <c r="J6428" s="1" t="s">
        <v>51</v>
      </c>
      <c r="K6428" s="1" t="s">
        <v>32125</v>
      </c>
      <c r="L6428" s="1" t="s">
        <v>32126</v>
      </c>
      <c r="M6428" s="2" t="s">
        <v>12</v>
      </c>
      <c r="N6428" s="4">
        <f t="shared" si="1"/>
        <v>43469</v>
      </c>
      <c r="O6428" s="5" t="str">
        <f>IFERROR(__xludf.DUMMYFUNCTION("IF(REGEXMATCH(TRIM(I6428), ""^\d+\s*min""), ""Unclassified"", IF(I6428 = """", ""NR"", I6428))"),"TV-14")</f>
        <v>TV-14</v>
      </c>
      <c r="R6428" s="5" t="str">
        <f t="shared" si="2"/>
        <v>Case Closed</v>
      </c>
      <c r="S6428" s="5" t="str">
        <f>IFERROR(__xludf.DUMMYFUNCTION("""COMPUTED_VALUE"""),"Sofía Niño De Rivera: Selección Natural")</f>
        <v>Sofía Niño De Rivera: Selección Natural</v>
      </c>
      <c r="V6428" s="5"/>
      <c r="Y6428" s="5" t="str">
        <f>IFERROR(__xludf.DUMMYFUNCTION("REGEXEXTRACT(J6428, ""^\d+"")"),"1")</f>
        <v>1</v>
      </c>
      <c r="Z6428" s="5" t="str">
        <f>IFERROR(__xludf.DUMMYFUNCTION("REGEXEXTRACT(J6428, ""[A-Za-z ]+$"")")," Season")</f>
        <v> Season</v>
      </c>
      <c r="AA6428" s="5" t="str">
        <f>IFERROR(__xludf.DUMMYFUNCTION("IF(REGEXMATCH(Z6428, ""Season""), ""TV Show"", ""Movie"")"),"TV Show")</f>
        <v>TV Show</v>
      </c>
    </row>
    <row r="6429">
      <c r="A6429" s="1" t="s">
        <v>32127</v>
      </c>
      <c r="B6429" s="1" t="s">
        <v>27</v>
      </c>
      <c r="C6429" s="1" t="s">
        <v>32128</v>
      </c>
      <c r="D6429" s="1" t="s">
        <v>1012</v>
      </c>
      <c r="E6429" s="1" t="s">
        <v>32129</v>
      </c>
      <c r="F6429" s="1" t="s">
        <v>32130</v>
      </c>
      <c r="G6429" s="1" t="s">
        <v>11922</v>
      </c>
      <c r="H6429" s="1">
        <v>2006.0</v>
      </c>
      <c r="I6429" s="1" t="s">
        <v>32</v>
      </c>
      <c r="J6429" s="1" t="s">
        <v>582</v>
      </c>
      <c r="K6429" s="1" t="s">
        <v>380</v>
      </c>
      <c r="L6429" s="1" t="s">
        <v>32131</v>
      </c>
      <c r="M6429" s="2" t="s">
        <v>12</v>
      </c>
      <c r="N6429" s="4">
        <f t="shared" si="1"/>
        <v>44074</v>
      </c>
      <c r="O6429" s="5" t="str">
        <f>IFERROR(__xludf.DUMMYFUNCTION("IF(REGEXMATCH(TRIM(I6429), ""^\d+\s*min""), ""Unclassified"", IF(I6429 = """", ""NR"", I6429))"),"PG-13")</f>
        <v>PG-13</v>
      </c>
      <c r="R6429" s="5" t="str">
        <f t="shared" si="2"/>
        <v>Casino Royale</v>
      </c>
      <c r="S6429" s="5" t="str">
        <f>IFERROR(__xludf.DUMMYFUNCTION("""COMPUTED_VALUE"""),"Sofia The First")</f>
        <v>Sofia The First</v>
      </c>
      <c r="V6429" s="5"/>
      <c r="Y6429" s="5" t="str">
        <f>IFERROR(__xludf.DUMMYFUNCTION("REGEXEXTRACT(J6429, ""^\d+"")"),"145")</f>
        <v>145</v>
      </c>
      <c r="Z6429" s="5" t="str">
        <f>IFERROR(__xludf.DUMMYFUNCTION("REGEXEXTRACT(J6429, ""[A-Za-z ]+$"")")," min")</f>
        <v> min</v>
      </c>
      <c r="AA6429" s="5" t="str">
        <f>IFERROR(__xludf.DUMMYFUNCTION("IF(REGEXMATCH(Z6429, ""Season""), ""TV Show"", ""Movie"")"),"Movie")</f>
        <v>Movie</v>
      </c>
    </row>
    <row r="6430">
      <c r="A6430" s="1" t="s">
        <v>32132</v>
      </c>
      <c r="B6430" s="1" t="s">
        <v>27</v>
      </c>
      <c r="C6430" s="1" t="s">
        <v>32133</v>
      </c>
      <c r="D6430" s="1" t="s">
        <v>23686</v>
      </c>
      <c r="E6430" s="1" t="s">
        <v>23686</v>
      </c>
      <c r="F6430" s="1" t="s">
        <v>1119</v>
      </c>
      <c r="G6430" s="1" t="s">
        <v>24964</v>
      </c>
      <c r="H6430" s="1">
        <v>1992.0</v>
      </c>
      <c r="I6430" s="1" t="s">
        <v>42</v>
      </c>
      <c r="J6430" s="1" t="s">
        <v>88</v>
      </c>
      <c r="K6430" s="1" t="s">
        <v>306</v>
      </c>
      <c r="L6430" s="1" t="s">
        <v>32134</v>
      </c>
      <c r="M6430" s="2" t="s">
        <v>12</v>
      </c>
      <c r="N6430" s="4">
        <f t="shared" si="1"/>
        <v>43313</v>
      </c>
      <c r="O6430" s="5" t="str">
        <f>IFERROR(__xludf.DUMMYFUNCTION("IF(REGEXMATCH(TRIM(I6430), ""^\d+\s*min""), ""Unclassified"", IF(I6430 = """", ""NR"", I6430))"),"TV-MA")</f>
        <v>TV-MA</v>
      </c>
      <c r="R6430" s="5" t="str">
        <f t="shared" si="2"/>
        <v>Casino Tycoon</v>
      </c>
      <c r="S6430" s="5" t="str">
        <f>IFERROR(__xludf.DUMMYFUNCTION("""COMPUTED_VALUE"""),"Sohni Mahiwal")</f>
        <v>Sohni Mahiwal</v>
      </c>
      <c r="V6430" s="5"/>
      <c r="Y6430" s="5" t="str">
        <f>IFERROR(__xludf.DUMMYFUNCTION("REGEXEXTRACT(J6430, ""^\d+"")"),"125")</f>
        <v>125</v>
      </c>
      <c r="Z6430" s="5" t="str">
        <f>IFERROR(__xludf.DUMMYFUNCTION("REGEXEXTRACT(J6430, ""[A-Za-z ]+$"")")," min")</f>
        <v> min</v>
      </c>
      <c r="AA6430" s="5" t="str">
        <f>IFERROR(__xludf.DUMMYFUNCTION("IF(REGEXMATCH(Z6430, ""Season""), ""TV Show"", ""Movie"")"),"Movie")</f>
        <v>Movie</v>
      </c>
    </row>
    <row r="6431">
      <c r="A6431" s="1" t="s">
        <v>32135</v>
      </c>
      <c r="B6431" s="1" t="s">
        <v>27</v>
      </c>
      <c r="C6431" s="1" t="s">
        <v>32136</v>
      </c>
      <c r="D6431" s="1" t="s">
        <v>23686</v>
      </c>
      <c r="E6431" s="1" t="s">
        <v>32137</v>
      </c>
      <c r="F6431" s="1" t="s">
        <v>1119</v>
      </c>
      <c r="G6431" s="1" t="s">
        <v>24803</v>
      </c>
      <c r="H6431" s="1">
        <v>1992.0</v>
      </c>
      <c r="I6431" s="1" t="s">
        <v>42</v>
      </c>
      <c r="J6431" s="1" t="s">
        <v>912</v>
      </c>
      <c r="K6431" s="1" t="s">
        <v>306</v>
      </c>
      <c r="L6431" s="1" t="s">
        <v>32138</v>
      </c>
      <c r="M6431" s="2" t="s">
        <v>12</v>
      </c>
      <c r="N6431" s="4">
        <f t="shared" si="1"/>
        <v>43328</v>
      </c>
      <c r="O6431" s="5" t="str">
        <f>IFERROR(__xludf.DUMMYFUNCTION("IF(REGEXMATCH(TRIM(I6431), ""^\d+\s*min""), ""Unclassified"", IF(I6431 = """", ""NR"", I6431))"),"TV-MA")</f>
        <v>TV-MA</v>
      </c>
      <c r="R6431" s="5" t="str">
        <f t="shared" si="2"/>
        <v>Casino Tycoon 2</v>
      </c>
      <c r="S6431" s="5" t="str">
        <f>IFERROR(__xludf.DUMMYFUNCTION("""COMPUTED_VALUE"""),"Sol Levante")</f>
        <v>Sol Levante</v>
      </c>
      <c r="V6431" s="5"/>
      <c r="Y6431" s="5" t="str">
        <f>IFERROR(__xludf.DUMMYFUNCTION("REGEXEXTRACT(J6431, ""^\d+"")"),"108")</f>
        <v>108</v>
      </c>
      <c r="Z6431" s="5" t="str">
        <f>IFERROR(__xludf.DUMMYFUNCTION("REGEXEXTRACT(J6431, ""[A-Za-z ]+$"")")," min")</f>
        <v> min</v>
      </c>
      <c r="AA6431" s="5" t="str">
        <f>IFERROR(__xludf.DUMMYFUNCTION("IF(REGEXMATCH(Z6431, ""Season""), ""TV Show"", ""Movie"")"),"Movie")</f>
        <v>Movie</v>
      </c>
    </row>
    <row r="6432">
      <c r="A6432" s="1" t="s">
        <v>32139</v>
      </c>
      <c r="B6432" s="1" t="s">
        <v>37</v>
      </c>
      <c r="C6432" s="1" t="s">
        <v>32140</v>
      </c>
      <c r="E6432" s="1" t="s">
        <v>32141</v>
      </c>
      <c r="G6432" s="1" t="s">
        <v>24601</v>
      </c>
      <c r="H6432" s="1">
        <v>2015.0</v>
      </c>
      <c r="I6432" s="1" t="s">
        <v>42</v>
      </c>
      <c r="J6432" s="1" t="s">
        <v>51</v>
      </c>
      <c r="K6432" s="1" t="s">
        <v>64</v>
      </c>
      <c r="L6432" s="1" t="s">
        <v>32142</v>
      </c>
      <c r="M6432" s="2" t="s">
        <v>12</v>
      </c>
      <c r="N6432" s="4">
        <f t="shared" si="1"/>
        <v>43350</v>
      </c>
      <c r="O6432" s="5" t="str">
        <f>IFERROR(__xludf.DUMMYFUNCTION("IF(REGEXMATCH(TRIM(I6432), ""^\d+\s*min""), ""Unclassified"", IF(I6432 = """", ""NR"", I6432))"),"TV-MA")</f>
        <v>TV-MA</v>
      </c>
      <c r="R6432" s="5" t="str">
        <f t="shared" si="2"/>
        <v>Castle Of Stars</v>
      </c>
      <c r="S6432" s="5" t="str">
        <f>IFERROR(__xludf.DUMMYFUNCTION("""COMPUTED_VALUE"""),"Soldier")</f>
        <v>Soldier</v>
      </c>
      <c r="V6432" s="5"/>
      <c r="Y6432" s="5" t="str">
        <f>IFERROR(__xludf.DUMMYFUNCTION("REGEXEXTRACT(J6432, ""^\d+"")"),"1")</f>
        <v>1</v>
      </c>
      <c r="Z6432" s="5" t="str">
        <f>IFERROR(__xludf.DUMMYFUNCTION("REGEXEXTRACT(J6432, ""[A-Za-z ]+$"")")," Season")</f>
        <v> Season</v>
      </c>
      <c r="AA6432" s="5" t="str">
        <f>IFERROR(__xludf.DUMMYFUNCTION("IF(REGEXMATCH(Z6432, ""Season""), ""TV Show"", ""Movie"")"),"TV Show")</f>
        <v>TV Show</v>
      </c>
    </row>
    <row r="6433">
      <c r="A6433" s="1" t="s">
        <v>32143</v>
      </c>
      <c r="B6433" s="1" t="s">
        <v>27</v>
      </c>
      <c r="C6433" s="1" t="s">
        <v>32144</v>
      </c>
      <c r="D6433" s="1" t="s">
        <v>19121</v>
      </c>
      <c r="E6433" s="1" t="s">
        <v>32145</v>
      </c>
      <c r="F6433" s="1" t="s">
        <v>30</v>
      </c>
      <c r="G6433" s="1" t="s">
        <v>18333</v>
      </c>
      <c r="H6433" s="1">
        <v>1958.0</v>
      </c>
      <c r="I6433" s="1" t="s">
        <v>30231</v>
      </c>
      <c r="J6433" s="1" t="s">
        <v>912</v>
      </c>
      <c r="K6433" s="1" t="s">
        <v>1164</v>
      </c>
      <c r="L6433" s="1" t="s">
        <v>32146</v>
      </c>
      <c r="M6433" s="2" t="s">
        <v>12</v>
      </c>
      <c r="N6433" s="4">
        <f t="shared" si="1"/>
        <v>43770</v>
      </c>
      <c r="O6433" s="5" t="str">
        <f>IFERROR(__xludf.DUMMYFUNCTION("IF(REGEXMATCH(TRIM(I6433), ""^\d+\s*min""), ""Unclassified"", IF(I6433 = """", ""NR"", I6433))"),"NR")</f>
        <v>NR</v>
      </c>
      <c r="R6433" s="5" t="str">
        <f t="shared" si="2"/>
        <v>Cat On A Hot Tin Roof</v>
      </c>
      <c r="S6433" s="5" t="str">
        <f>IFERROR(__xludf.DUMMYFUNCTION("""COMPUTED_VALUE"""),"Solo")</f>
        <v>Solo</v>
      </c>
      <c r="V6433" s="5"/>
      <c r="Y6433" s="5" t="str">
        <f>IFERROR(__xludf.DUMMYFUNCTION("REGEXEXTRACT(J6433, ""^\d+"")"),"108")</f>
        <v>108</v>
      </c>
      <c r="Z6433" s="5" t="str">
        <f>IFERROR(__xludf.DUMMYFUNCTION("REGEXEXTRACT(J6433, ""[A-Za-z ]+$"")")," min")</f>
        <v> min</v>
      </c>
      <c r="AA6433" s="5" t="str">
        <f>IFERROR(__xludf.DUMMYFUNCTION("IF(REGEXMATCH(Z6433, ""Season""), ""TV Show"", ""Movie"")"),"Movie")</f>
        <v>Movie</v>
      </c>
    </row>
    <row r="6434">
      <c r="A6434" s="1" t="s">
        <v>32147</v>
      </c>
      <c r="B6434" s="1" t="s">
        <v>27</v>
      </c>
      <c r="C6434" s="1" t="s">
        <v>32148</v>
      </c>
      <c r="D6434" s="1" t="s">
        <v>6515</v>
      </c>
      <c r="F6434" s="1" t="s">
        <v>32149</v>
      </c>
      <c r="G6434" s="1" t="s">
        <v>29696</v>
      </c>
      <c r="H6434" s="1">
        <v>2015.0</v>
      </c>
      <c r="I6434" s="1" t="s">
        <v>97</v>
      </c>
      <c r="J6434" s="1" t="s">
        <v>2699</v>
      </c>
      <c r="K6434" s="1" t="s">
        <v>34</v>
      </c>
      <c r="L6434" s="1" t="s">
        <v>32150</v>
      </c>
      <c r="M6434" s="2" t="s">
        <v>12</v>
      </c>
      <c r="N6434" s="4">
        <f t="shared" si="1"/>
        <v>42482</v>
      </c>
      <c r="O6434" s="5" t="str">
        <f>IFERROR(__xludf.DUMMYFUNCTION("IF(REGEXMATCH(TRIM(I6434), ""^\d+\s*min""), ""Unclassified"", IF(I6434 = """", ""NR"", I6434))"),"TV-14")</f>
        <v>TV-14</v>
      </c>
      <c r="R6434" s="5" t="str">
        <f t="shared" si="2"/>
        <v>Catching The Sun</v>
      </c>
      <c r="S6434" s="5" t="str">
        <f>IFERROR(__xludf.DUMMYFUNCTION("""COMPUTED_VALUE"""),"Solo Con Tu Pareja")</f>
        <v>Solo Con Tu Pareja</v>
      </c>
      <c r="V6434" s="5"/>
      <c r="Y6434" s="5" t="str">
        <f>IFERROR(__xludf.DUMMYFUNCTION("REGEXEXTRACT(J6434, ""^\d+"")"),"74")</f>
        <v>74</v>
      </c>
      <c r="Z6434" s="5" t="str">
        <f>IFERROR(__xludf.DUMMYFUNCTION("REGEXEXTRACT(J6434, ""[A-Za-z ]+$"")")," min")</f>
        <v> min</v>
      </c>
      <c r="AA6434" s="5" t="str">
        <f>IFERROR(__xludf.DUMMYFUNCTION("IF(REGEXMATCH(Z6434, ""Season""), ""TV Show"", ""Movie"")"),"Movie")</f>
        <v>Movie</v>
      </c>
    </row>
    <row r="6435">
      <c r="A6435" s="1" t="s">
        <v>32151</v>
      </c>
      <c r="B6435" s="1" t="s">
        <v>27</v>
      </c>
      <c r="C6435" s="1" t="s">
        <v>32152</v>
      </c>
      <c r="D6435" s="1" t="s">
        <v>3611</v>
      </c>
      <c r="E6435" s="1" t="s">
        <v>32153</v>
      </c>
      <c r="F6435" s="1" t="s">
        <v>5656</v>
      </c>
      <c r="G6435" s="1" t="s">
        <v>22239</v>
      </c>
      <c r="H6435" s="1">
        <v>2010.0</v>
      </c>
      <c r="I6435" s="1" t="s">
        <v>78</v>
      </c>
      <c r="J6435" s="1" t="s">
        <v>1001</v>
      </c>
      <c r="K6435" s="1" t="s">
        <v>137</v>
      </c>
      <c r="L6435" s="1" t="s">
        <v>32154</v>
      </c>
      <c r="M6435" s="2" t="s">
        <v>12</v>
      </c>
      <c r="N6435" s="4">
        <f t="shared" si="1"/>
        <v>43497</v>
      </c>
      <c r="O6435" s="5" t="str">
        <f>IFERROR(__xludf.DUMMYFUNCTION("IF(REGEXMATCH(TRIM(I6435), ""^\d+\s*min""), ""Unclassified"", IF(I6435 = """", ""NR"", I6435))"),"PG")</f>
        <v>PG</v>
      </c>
      <c r="R6435" s="5" t="str">
        <f t="shared" si="2"/>
        <v>Cats &amp; Dogs: The Revenge Of Kitty Galore</v>
      </c>
      <c r="S6435" s="5" t="str">
        <f>IFERROR(__xludf.DUMMYFUNCTION("""COMPUTED_VALUE"""),"Solo: A Star Wars Story")</f>
        <v>Solo: A Star Wars Story</v>
      </c>
      <c r="V6435" s="5"/>
      <c r="Y6435" s="5" t="str">
        <f>IFERROR(__xludf.DUMMYFUNCTION("REGEXEXTRACT(J6435, ""^\d+"")"),"82")</f>
        <v>82</v>
      </c>
      <c r="Z6435" s="5" t="str">
        <f>IFERROR(__xludf.DUMMYFUNCTION("REGEXEXTRACT(J6435, ""[A-Za-z ]+$"")")," min")</f>
        <v> min</v>
      </c>
      <c r="AA6435" s="5" t="str">
        <f>IFERROR(__xludf.DUMMYFUNCTION("IF(REGEXMATCH(Z6435, ""Season""), ""TV Show"", ""Movie"")"),"Movie")</f>
        <v>Movie</v>
      </c>
    </row>
    <row r="6436">
      <c r="A6436" s="1" t="s">
        <v>32155</v>
      </c>
      <c r="B6436" s="1" t="s">
        <v>27</v>
      </c>
      <c r="C6436" s="1" t="s">
        <v>32156</v>
      </c>
      <c r="D6436" s="1" t="s">
        <v>32157</v>
      </c>
      <c r="F6436" s="1" t="s">
        <v>1106</v>
      </c>
      <c r="G6436" s="1" t="s">
        <v>22591</v>
      </c>
      <c r="H6436" s="1">
        <v>2018.0</v>
      </c>
      <c r="I6436" s="1" t="s">
        <v>136</v>
      </c>
      <c r="J6436" s="1" t="s">
        <v>6281</v>
      </c>
      <c r="K6436" s="1" t="s">
        <v>156</v>
      </c>
      <c r="L6436" s="1" t="s">
        <v>32158</v>
      </c>
      <c r="M6436" s="2" t="s">
        <v>12</v>
      </c>
      <c r="N6436" s="4">
        <f t="shared" si="1"/>
        <v>43472</v>
      </c>
      <c r="O6436" s="5" t="str">
        <f>IFERROR(__xludf.DUMMYFUNCTION("IF(REGEXMATCH(TRIM(I6436), ""^\d+\s*min""), ""Unclassified"", IF(I6436 = """", ""NR"", I6436))"),"TV-PG")</f>
        <v>TV-PG</v>
      </c>
      <c r="R6436" s="5" t="str">
        <f t="shared" si="2"/>
        <v>Catwalk: Tales From The Cat Show Circuit</v>
      </c>
      <c r="S6436" s="5" t="str">
        <f>IFERROR(__xludf.DUMMYFUNCTION("""COMPUTED_VALUE"""),"Solo: A Star Wars Story (Spanish Version)")</f>
        <v>Solo: A Star Wars Story (Spanish Version)</v>
      </c>
      <c r="V6436" s="5"/>
      <c r="Y6436" s="5" t="str">
        <f>IFERROR(__xludf.DUMMYFUNCTION("REGEXEXTRACT(J6436, ""^\d+"")"),"75")</f>
        <v>75</v>
      </c>
      <c r="Z6436" s="5" t="str">
        <f>IFERROR(__xludf.DUMMYFUNCTION("REGEXEXTRACT(J6436, ""[A-Za-z ]+$"")")," min")</f>
        <v> min</v>
      </c>
      <c r="AA6436" s="5" t="str">
        <f>IFERROR(__xludf.DUMMYFUNCTION("IF(REGEXMATCH(Z6436, ""Season""), ""TV Show"", ""Movie"")"),"Movie")</f>
        <v>Movie</v>
      </c>
    </row>
    <row r="6437">
      <c r="A6437" s="1" t="s">
        <v>32159</v>
      </c>
      <c r="B6437" s="1" t="s">
        <v>27</v>
      </c>
      <c r="C6437" s="1" t="s">
        <v>32160</v>
      </c>
      <c r="D6437" s="1" t="s">
        <v>9249</v>
      </c>
      <c r="E6437" s="1" t="s">
        <v>32161</v>
      </c>
      <c r="F6437" s="1" t="s">
        <v>8498</v>
      </c>
      <c r="G6437" s="1" t="s">
        <v>27908</v>
      </c>
      <c r="H6437" s="1">
        <v>2016.0</v>
      </c>
      <c r="I6437" s="1" t="s">
        <v>42</v>
      </c>
      <c r="J6437" s="1" t="s">
        <v>4558</v>
      </c>
      <c r="K6437" s="1" t="s">
        <v>2364</v>
      </c>
      <c r="L6437" s="1" t="s">
        <v>32162</v>
      </c>
      <c r="M6437" s="2" t="s">
        <v>12</v>
      </c>
      <c r="N6437" s="4">
        <f t="shared" si="1"/>
        <v>42901</v>
      </c>
      <c r="O6437" s="5" t="str">
        <f>IFERROR(__xludf.DUMMYFUNCTION("IF(REGEXMATCH(TRIM(I6437), ""^\d+\s*min""), ""Unclassified"", IF(I6437 = """", ""NR"", I6437))"),"TV-MA")</f>
        <v>TV-MA</v>
      </c>
      <c r="R6437" s="5" t="str">
        <f t="shared" si="2"/>
        <v>Cave</v>
      </c>
      <c r="S6437" s="5" t="str">
        <f>IFERROR(__xludf.DUMMYFUNCTION("""COMPUTED_VALUE"""),"Solomon Kane")</f>
        <v>Solomon Kane</v>
      </c>
      <c r="V6437" s="5"/>
      <c r="Y6437" s="5" t="str">
        <f>IFERROR(__xludf.DUMMYFUNCTION("REGEXEXTRACT(J6437, ""^\d+"")"),"77")</f>
        <v>77</v>
      </c>
      <c r="Z6437" s="5" t="str">
        <f>IFERROR(__xludf.DUMMYFUNCTION("REGEXEXTRACT(J6437, ""[A-Za-z ]+$"")")," min")</f>
        <v> min</v>
      </c>
      <c r="AA6437" s="5" t="str">
        <f>IFERROR(__xludf.DUMMYFUNCTION("IF(REGEXMATCH(Z6437, ""Season""), ""TV Show"", ""Movie"")"),"Movie")</f>
        <v>Movie</v>
      </c>
    </row>
    <row r="6438">
      <c r="A6438" s="1" t="s">
        <v>32163</v>
      </c>
      <c r="B6438" s="1" t="s">
        <v>27</v>
      </c>
      <c r="C6438" s="1" t="s">
        <v>32164</v>
      </c>
      <c r="D6438" s="1" t="s">
        <v>21095</v>
      </c>
      <c r="E6438" s="1" t="s">
        <v>32165</v>
      </c>
      <c r="F6438" s="1" t="s">
        <v>63</v>
      </c>
      <c r="G6438" s="1" t="s">
        <v>28377</v>
      </c>
      <c r="H6438" s="1">
        <v>2012.0</v>
      </c>
      <c r="I6438" s="1" t="s">
        <v>136</v>
      </c>
      <c r="J6438" s="1" t="s">
        <v>1235</v>
      </c>
      <c r="K6438" s="1" t="s">
        <v>156</v>
      </c>
      <c r="L6438" s="1" t="s">
        <v>32166</v>
      </c>
      <c r="M6438" s="2" t="s">
        <v>12</v>
      </c>
      <c r="N6438" s="4">
        <f t="shared" si="1"/>
        <v>42826</v>
      </c>
      <c r="O6438" s="5" t="str">
        <f>IFERROR(__xludf.DUMMYFUNCTION("IF(REGEXMATCH(TRIM(I6438), ""^\d+\s*min""), ""Unclassified"", IF(I6438 = """", ""NR"", I6438))"),"TV-PG")</f>
        <v>TV-PG</v>
      </c>
      <c r="R6438" s="5" t="str">
        <f t="shared" si="2"/>
        <v>Celluloid Man</v>
      </c>
      <c r="S6438" s="5" t="str">
        <f>IFERROR(__xludf.DUMMYFUNCTION("""COMPUTED_VALUE"""),"Some Assembly Required")</f>
        <v>Some Assembly Required</v>
      </c>
      <c r="V6438" s="5"/>
      <c r="Y6438" s="5" t="str">
        <f>IFERROR(__xludf.DUMMYFUNCTION("REGEXEXTRACT(J6438, ""^\d+"")"),"156")</f>
        <v>156</v>
      </c>
      <c r="Z6438" s="5" t="str">
        <f>IFERROR(__xludf.DUMMYFUNCTION("REGEXEXTRACT(J6438, ""[A-Za-z ]+$"")")," min")</f>
        <v> min</v>
      </c>
      <c r="AA6438" s="5" t="str">
        <f>IFERROR(__xludf.DUMMYFUNCTION("IF(REGEXMATCH(Z6438, ""Season""), ""TV Show"", ""Movie"")"),"Movie")</f>
        <v>Movie</v>
      </c>
    </row>
    <row r="6439">
      <c r="A6439" s="1" t="s">
        <v>32167</v>
      </c>
      <c r="B6439" s="1" t="s">
        <v>27</v>
      </c>
      <c r="C6439" s="1" t="s">
        <v>32168</v>
      </c>
      <c r="D6439" s="1" t="s">
        <v>16767</v>
      </c>
      <c r="E6439" s="1" t="s">
        <v>32169</v>
      </c>
      <c r="F6439" s="1" t="s">
        <v>30</v>
      </c>
      <c r="G6439" s="1" t="s">
        <v>16947</v>
      </c>
      <c r="H6439" s="1">
        <v>2000.0</v>
      </c>
      <c r="I6439" s="1" t="s">
        <v>32</v>
      </c>
      <c r="J6439" s="1" t="s">
        <v>349</v>
      </c>
      <c r="K6439" s="1" t="s">
        <v>805</v>
      </c>
      <c r="L6439" s="1" t="s">
        <v>32170</v>
      </c>
      <c r="M6439" s="2" t="s">
        <v>12</v>
      </c>
      <c r="N6439" s="4">
        <f t="shared" si="1"/>
        <v>43831</v>
      </c>
      <c r="O6439" s="5" t="str">
        <f>IFERROR(__xludf.DUMMYFUNCTION("IF(REGEXMATCH(TRIM(I6439), ""^\d+\s*min""), ""Unclassified"", IF(I6439 = """", ""NR"", I6439))"),"PG-13")</f>
        <v>PG-13</v>
      </c>
      <c r="R6439" s="5" t="str">
        <f t="shared" si="2"/>
        <v>Center Stage</v>
      </c>
      <c r="S6439" s="5" t="str">
        <f>IFERROR(__xludf.DUMMYFUNCTION("""COMPUTED_VALUE"""),"Some Freaks")</f>
        <v>Some Freaks</v>
      </c>
      <c r="V6439" s="5"/>
      <c r="Y6439" s="5" t="str">
        <f>IFERROR(__xludf.DUMMYFUNCTION("REGEXEXTRACT(J6439, ""^\d+"")"),"116")</f>
        <v>116</v>
      </c>
      <c r="Z6439" s="5" t="str">
        <f>IFERROR(__xludf.DUMMYFUNCTION("REGEXEXTRACT(J6439, ""[A-Za-z ]+$"")")," min")</f>
        <v> min</v>
      </c>
      <c r="AA6439" s="5" t="str">
        <f>IFERROR(__xludf.DUMMYFUNCTION("IF(REGEXMATCH(Z6439, ""Season""), ""TV Show"", ""Movie"")"),"Movie")</f>
        <v>Movie</v>
      </c>
    </row>
    <row r="6440">
      <c r="A6440" s="1" t="s">
        <v>32171</v>
      </c>
      <c r="B6440" s="1" t="s">
        <v>27</v>
      </c>
      <c r="C6440" s="1" t="s">
        <v>32172</v>
      </c>
      <c r="D6440" s="1" t="s">
        <v>9081</v>
      </c>
      <c r="E6440" s="1" t="s">
        <v>32173</v>
      </c>
      <c r="F6440" s="1" t="s">
        <v>63</v>
      </c>
      <c r="G6440" s="1" t="s">
        <v>23564</v>
      </c>
      <c r="H6440" s="1">
        <v>2014.0</v>
      </c>
      <c r="I6440" s="1" t="s">
        <v>136</v>
      </c>
      <c r="J6440" s="1" t="s">
        <v>3458</v>
      </c>
      <c r="K6440" s="1" t="s">
        <v>3585</v>
      </c>
      <c r="L6440" s="1" t="s">
        <v>32174</v>
      </c>
      <c r="M6440" s="2" t="s">
        <v>12</v>
      </c>
      <c r="N6440" s="4">
        <f t="shared" si="1"/>
        <v>43405</v>
      </c>
      <c r="O6440" s="5" t="str">
        <f>IFERROR(__xludf.DUMMYFUNCTION("IF(REGEXMATCH(TRIM(I6440), ""^\d+\s*min""), ""Unclassified"", IF(I6440 = """", ""NR"", I6440))"),"TV-PG")</f>
        <v>TV-PG</v>
      </c>
      <c r="R6440" s="5" t="str">
        <f t="shared" si="2"/>
        <v>Chaar Sahibzaade</v>
      </c>
      <c r="S6440" s="5" t="str">
        <f>IFERROR(__xludf.DUMMYFUNCTION("""COMPUTED_VALUE"""),"Somebody Feed Phil")</f>
        <v>Somebody Feed Phil</v>
      </c>
      <c r="V6440" s="5"/>
      <c r="Y6440" s="5" t="str">
        <f>IFERROR(__xludf.DUMMYFUNCTION("REGEXEXTRACT(J6440, ""^\d+"")"),"126")</f>
        <v>126</v>
      </c>
      <c r="Z6440" s="5" t="str">
        <f>IFERROR(__xludf.DUMMYFUNCTION("REGEXEXTRACT(J6440, ""[A-Za-z ]+$"")")," min")</f>
        <v> min</v>
      </c>
      <c r="AA6440" s="5" t="str">
        <f>IFERROR(__xludf.DUMMYFUNCTION("IF(REGEXMATCH(Z6440, ""Season""), ""TV Show"", ""Movie"")"),"Movie")</f>
        <v>Movie</v>
      </c>
    </row>
    <row r="6441">
      <c r="A6441" s="1" t="s">
        <v>32175</v>
      </c>
      <c r="B6441" s="1" t="s">
        <v>27</v>
      </c>
      <c r="C6441" s="1" t="s">
        <v>32176</v>
      </c>
      <c r="D6441" s="1" t="s">
        <v>151</v>
      </c>
      <c r="E6441" s="1" t="s">
        <v>32177</v>
      </c>
      <c r="F6441" s="1" t="s">
        <v>63</v>
      </c>
      <c r="G6441" s="1" t="s">
        <v>25994</v>
      </c>
      <c r="H6441" s="1">
        <v>2010.0</v>
      </c>
      <c r="I6441" s="1" t="s">
        <v>97</v>
      </c>
      <c r="J6441" s="1" t="s">
        <v>1273</v>
      </c>
      <c r="K6441" s="1" t="s">
        <v>583</v>
      </c>
      <c r="L6441" s="1" t="s">
        <v>32178</v>
      </c>
      <c r="M6441" s="2" t="s">
        <v>12</v>
      </c>
      <c r="N6441" s="4">
        <f t="shared" si="1"/>
        <v>43174</v>
      </c>
      <c r="O6441" s="5" t="str">
        <f>IFERROR(__xludf.DUMMYFUNCTION("IF(REGEXMATCH(TRIM(I6441), ""^\d+\s*min""), ""Unclassified"", IF(I6441 = """", ""NR"", I6441))"),"TV-14")</f>
        <v>TV-14</v>
      </c>
      <c r="R6441" s="5" t="str">
        <f t="shared" si="2"/>
        <v>Chal Dhar Pakad</v>
      </c>
      <c r="S6441" s="5" t="str">
        <f>IFERROR(__xludf.DUMMYFUNCTION("""COMPUTED_VALUE"""),"Someone Great")</f>
        <v>Someone Great</v>
      </c>
      <c r="V6441" s="5"/>
      <c r="Y6441" s="5" t="str">
        <f>IFERROR(__xludf.DUMMYFUNCTION("REGEXEXTRACT(J6441, ""^\d+"")"),"129")</f>
        <v>129</v>
      </c>
      <c r="Z6441" s="5" t="str">
        <f>IFERROR(__xludf.DUMMYFUNCTION("REGEXEXTRACT(J6441, ""[A-Za-z ]+$"")")," min")</f>
        <v> min</v>
      </c>
      <c r="AA6441" s="5" t="str">
        <f>IFERROR(__xludf.DUMMYFUNCTION("IF(REGEXMATCH(Z6441, ""Season""), ""TV Show"", ""Movie"")"),"Movie")</f>
        <v>Movie</v>
      </c>
    </row>
    <row r="6442">
      <c r="A6442" s="1" t="s">
        <v>32179</v>
      </c>
      <c r="B6442" s="1" t="s">
        <v>27</v>
      </c>
      <c r="C6442" s="1" t="s">
        <v>32180</v>
      </c>
      <c r="D6442" s="1" t="s">
        <v>1405</v>
      </c>
      <c r="E6442" s="1" t="s">
        <v>32181</v>
      </c>
      <c r="F6442" s="1" t="s">
        <v>63</v>
      </c>
      <c r="G6442" s="1" t="s">
        <v>17078</v>
      </c>
      <c r="H6442" s="1">
        <v>2000.0</v>
      </c>
      <c r="I6442" s="1" t="s">
        <v>97</v>
      </c>
      <c r="J6442" s="1" t="s">
        <v>2505</v>
      </c>
      <c r="K6442" s="1" t="s">
        <v>215</v>
      </c>
      <c r="L6442" s="1" t="s">
        <v>32182</v>
      </c>
      <c r="M6442" s="2" t="s">
        <v>12</v>
      </c>
      <c r="N6442" s="4">
        <f t="shared" si="1"/>
        <v>43830</v>
      </c>
      <c r="O6442" s="5" t="str">
        <f>IFERROR(__xludf.DUMMYFUNCTION("IF(REGEXMATCH(TRIM(I6442), ""^\d+\s*min""), ""Unclassified"", IF(I6442 = """", ""NR"", I6442))"),"TV-14")</f>
        <v>TV-14</v>
      </c>
      <c r="R6442" s="5" t="str">
        <f t="shared" si="2"/>
        <v>Chal Mere Bhai</v>
      </c>
      <c r="S6442" s="5" t="str">
        <f>IFERROR(__xludf.DUMMYFUNCTION("""COMPUTED_VALUE"""),"Someone Has To Die")</f>
        <v>Someone Has To Die</v>
      </c>
      <c r="V6442" s="5"/>
      <c r="Y6442" s="5" t="str">
        <f>IFERROR(__xludf.DUMMYFUNCTION("REGEXEXTRACT(J6442, ""^\d+"")"),"132")</f>
        <v>132</v>
      </c>
      <c r="Z6442" s="5" t="str">
        <f>IFERROR(__xludf.DUMMYFUNCTION("REGEXEXTRACT(J6442, ""[A-Za-z ]+$"")")," min")</f>
        <v> min</v>
      </c>
      <c r="AA6442" s="5" t="str">
        <f>IFERROR(__xludf.DUMMYFUNCTION("IF(REGEXMATCH(Z6442, ""Season""), ""TV Show"", ""Movie"")"),"Movie")</f>
        <v>Movie</v>
      </c>
    </row>
    <row r="6443">
      <c r="A6443" s="1" t="s">
        <v>32183</v>
      </c>
      <c r="B6443" s="1" t="s">
        <v>27</v>
      </c>
      <c r="C6443" s="1" t="s">
        <v>32184</v>
      </c>
      <c r="D6443" s="1" t="s">
        <v>23023</v>
      </c>
      <c r="E6443" s="1" t="s">
        <v>32185</v>
      </c>
      <c r="F6443" s="1" t="s">
        <v>19350</v>
      </c>
      <c r="G6443" s="7">
        <v>43235.0</v>
      </c>
      <c r="H6443" s="1">
        <v>2017.0</v>
      </c>
      <c r="I6443" s="1" t="s">
        <v>97</v>
      </c>
      <c r="J6443" s="1" t="s">
        <v>870</v>
      </c>
      <c r="K6443" s="1" t="s">
        <v>583</v>
      </c>
      <c r="L6443" s="1" t="s">
        <v>32186</v>
      </c>
      <c r="M6443" s="2" t="s">
        <v>12</v>
      </c>
      <c r="N6443" s="4">
        <f t="shared" si="1"/>
        <v>43235</v>
      </c>
      <c r="O6443" s="5" t="str">
        <f>IFERROR(__xludf.DUMMYFUNCTION("IF(REGEXMATCH(TRIM(I6443), ""^\d+\s*min""), ""Unclassified"", IF(I6443 = """", ""NR"", I6443))"),"TV-14")</f>
        <v>TV-14</v>
      </c>
      <c r="R6443" s="5" t="str">
        <f t="shared" si="2"/>
        <v>Chalay Thay Saath</v>
      </c>
      <c r="S6443" s="5" t="str">
        <f>IFERROR(__xludf.DUMMYFUNCTION("""COMPUTED_VALUE"""),"Someone Like You")</f>
        <v>Someone Like You</v>
      </c>
      <c r="V6443" s="5"/>
      <c r="Y6443" s="5" t="str">
        <f>IFERROR(__xludf.DUMMYFUNCTION("REGEXEXTRACT(J6443, ""^\d+"")"),"118")</f>
        <v>118</v>
      </c>
      <c r="Z6443" s="5" t="str">
        <f>IFERROR(__xludf.DUMMYFUNCTION("REGEXEXTRACT(J6443, ""[A-Za-z ]+$"")")," min")</f>
        <v> min</v>
      </c>
      <c r="AA6443" s="5" t="str">
        <f>IFERROR(__xludf.DUMMYFUNCTION("IF(REGEXMATCH(Z6443, ""Season""), ""TV Show"", ""Movie"")"),"Movie")</f>
        <v>Movie</v>
      </c>
    </row>
    <row r="6444">
      <c r="A6444" s="1" t="s">
        <v>32187</v>
      </c>
      <c r="B6444" s="1" t="s">
        <v>27</v>
      </c>
      <c r="C6444" s="1" t="s">
        <v>32188</v>
      </c>
      <c r="D6444" s="1" t="s">
        <v>2549</v>
      </c>
      <c r="E6444" s="1" t="s">
        <v>32189</v>
      </c>
      <c r="F6444" s="1" t="s">
        <v>32190</v>
      </c>
      <c r="G6444" s="1" t="s">
        <v>28552</v>
      </c>
      <c r="H6444" s="1">
        <v>2010.0</v>
      </c>
      <c r="I6444" s="1" t="s">
        <v>506</v>
      </c>
      <c r="J6444" s="1" t="s">
        <v>630</v>
      </c>
      <c r="K6444" s="1" t="s">
        <v>156</v>
      </c>
      <c r="L6444" s="1" t="s">
        <v>32191</v>
      </c>
      <c r="M6444" s="2" t="s">
        <v>12</v>
      </c>
      <c r="N6444" s="4">
        <f t="shared" si="1"/>
        <v>42795</v>
      </c>
      <c r="O6444" s="5" t="str">
        <f>IFERROR(__xludf.DUMMYFUNCTION("IF(REGEXMATCH(TRIM(I6444), ""^\d+\s*min""), ""Unclassified"", IF(I6444 = """", ""NR"", I6444))"),"TV-G")</f>
        <v>TV-G</v>
      </c>
      <c r="R6444" s="5" t="str">
        <f t="shared" si="2"/>
        <v>Chandani: The Daughter Of The Elephant Whisperer</v>
      </c>
      <c r="S6444" s="5" t="str">
        <f>IFERROR(__xludf.DUMMYFUNCTION("""COMPUTED_VALUE"""),"Something Huge")</f>
        <v>Something Huge</v>
      </c>
      <c r="V6444" s="5"/>
      <c r="Y6444" s="5" t="str">
        <f>IFERROR(__xludf.DUMMYFUNCTION("REGEXEXTRACT(J6444, ""^\d+"")"),"87")</f>
        <v>87</v>
      </c>
      <c r="Z6444" s="5" t="str">
        <f>IFERROR(__xludf.DUMMYFUNCTION("REGEXEXTRACT(J6444, ""[A-Za-z ]+$"")")," min")</f>
        <v> min</v>
      </c>
      <c r="AA6444" s="5" t="str">
        <f>IFERROR(__xludf.DUMMYFUNCTION("IF(REGEXMATCH(Z6444, ""Season""), ""TV Show"", ""Movie"")"),"Movie")</f>
        <v>Movie</v>
      </c>
    </row>
    <row r="6445">
      <c r="A6445" s="1" t="s">
        <v>32192</v>
      </c>
      <c r="B6445" s="1" t="s">
        <v>27</v>
      </c>
      <c r="C6445" s="1" t="s">
        <v>32193</v>
      </c>
      <c r="D6445" s="1" t="s">
        <v>6469</v>
      </c>
      <c r="E6445" s="1" t="s">
        <v>32194</v>
      </c>
      <c r="F6445" s="1" t="s">
        <v>30</v>
      </c>
      <c r="G6445" s="1" t="s">
        <v>15941</v>
      </c>
      <c r="H6445" s="1">
        <v>2018.0</v>
      </c>
      <c r="I6445" s="1" t="s">
        <v>78</v>
      </c>
      <c r="J6445" s="1" t="s">
        <v>465</v>
      </c>
      <c r="K6445" s="1" t="s">
        <v>805</v>
      </c>
      <c r="L6445" s="1" t="s">
        <v>32195</v>
      </c>
      <c r="M6445" s="2" t="s">
        <v>12</v>
      </c>
      <c r="N6445" s="4">
        <f t="shared" si="1"/>
        <v>43891</v>
      </c>
      <c r="O6445" s="5" t="str">
        <f>IFERROR(__xludf.DUMMYFUNCTION("IF(REGEXMATCH(TRIM(I6445), ""^\d+\s*min""), ""Unclassified"", IF(I6445 = """", ""NR"", I6445))"),"PG")</f>
        <v>PG</v>
      </c>
      <c r="R6445" s="5" t="str">
        <f t="shared" si="2"/>
        <v>Change In The Air</v>
      </c>
      <c r="S6445" s="5" t="str">
        <f>IFERROR(__xludf.DUMMYFUNCTION("""COMPUTED_VALUE"""),"Something In The Rain")</f>
        <v>Something In The Rain</v>
      </c>
      <c r="V6445" s="5"/>
      <c r="Y6445" s="5" t="str">
        <f>IFERROR(__xludf.DUMMYFUNCTION("REGEXEXTRACT(J6445, ""^\d+"")"),"95")</f>
        <v>95</v>
      </c>
      <c r="Z6445" s="5" t="str">
        <f>IFERROR(__xludf.DUMMYFUNCTION("REGEXEXTRACT(J6445, ""[A-Za-z ]+$"")")," min")</f>
        <v> min</v>
      </c>
      <c r="AA6445" s="5" t="str">
        <f>IFERROR(__xludf.DUMMYFUNCTION("IF(REGEXMATCH(Z6445, ""Season""), ""TV Show"", ""Movie"")"),"Movie")</f>
        <v>Movie</v>
      </c>
    </row>
    <row r="6446">
      <c r="A6446" s="1" t="s">
        <v>32196</v>
      </c>
      <c r="B6446" s="1" t="s">
        <v>27</v>
      </c>
      <c r="C6446" s="1" t="s">
        <v>32197</v>
      </c>
      <c r="D6446" s="1" t="s">
        <v>8114</v>
      </c>
      <c r="E6446" s="1" t="s">
        <v>32198</v>
      </c>
      <c r="F6446" s="1" t="s">
        <v>2873</v>
      </c>
      <c r="G6446" s="1" t="s">
        <v>22597</v>
      </c>
      <c r="H6446" s="1">
        <v>2016.0</v>
      </c>
      <c r="I6446" s="1" t="s">
        <v>97</v>
      </c>
      <c r="J6446" s="1" t="s">
        <v>1144</v>
      </c>
      <c r="K6446" s="1" t="s">
        <v>679</v>
      </c>
      <c r="L6446" s="1" t="s">
        <v>32199</v>
      </c>
      <c r="M6446" s="2" t="s">
        <v>12</v>
      </c>
      <c r="N6446" s="4">
        <f t="shared" si="1"/>
        <v>43470</v>
      </c>
      <c r="O6446" s="5" t="str">
        <f>IFERROR(__xludf.DUMMYFUNCTION("IF(REGEXMATCH(TRIM(I6446), ""^\d+\s*min""), ""Unclassified"", IF(I6446 = """", ""NR"", I6446))"),"TV-14")</f>
        <v>TV-14</v>
      </c>
      <c r="R6446" s="5" t="str">
        <f t="shared" si="2"/>
        <v>Chaotic Love Poems</v>
      </c>
      <c r="S6446" s="5" t="str">
        <f>IFERROR(__xludf.DUMMYFUNCTION("""COMPUTED_VALUE"""),"Something'S Gotta Give")</f>
        <v>Something'S Gotta Give</v>
      </c>
      <c r="V6446" s="5"/>
      <c r="Y6446" s="5" t="str">
        <f>IFERROR(__xludf.DUMMYFUNCTION("REGEXEXTRACT(J6446, ""^\d+"")"),"86")</f>
        <v>86</v>
      </c>
      <c r="Z6446" s="5" t="str">
        <f>IFERROR(__xludf.DUMMYFUNCTION("REGEXEXTRACT(J6446, ""[A-Za-z ]+$"")")," min")</f>
        <v> min</v>
      </c>
      <c r="AA6446" s="5" t="str">
        <f>IFERROR(__xludf.DUMMYFUNCTION("IF(REGEXMATCH(Z6446, ""Season""), ""TV Show"", ""Movie"")"),"Movie")</f>
        <v>Movie</v>
      </c>
    </row>
    <row r="6447">
      <c r="A6447" s="1" t="s">
        <v>32200</v>
      </c>
      <c r="B6447" s="1" t="s">
        <v>27</v>
      </c>
      <c r="C6447" s="1" t="s">
        <v>32201</v>
      </c>
      <c r="D6447" s="1" t="s">
        <v>11266</v>
      </c>
      <c r="E6447" s="1" t="s">
        <v>32202</v>
      </c>
      <c r="F6447" s="1" t="s">
        <v>23293</v>
      </c>
      <c r="G6447" s="1" t="s">
        <v>24201</v>
      </c>
      <c r="H6447" s="1">
        <v>2017.0</v>
      </c>
      <c r="I6447" s="1" t="s">
        <v>32</v>
      </c>
      <c r="J6447" s="1" t="s">
        <v>256</v>
      </c>
      <c r="K6447" s="1" t="s">
        <v>805</v>
      </c>
      <c r="L6447" s="1" t="s">
        <v>32203</v>
      </c>
      <c r="M6447" s="2" t="s">
        <v>12</v>
      </c>
      <c r="N6447" s="4">
        <f t="shared" si="1"/>
        <v>43374</v>
      </c>
      <c r="O6447" s="5" t="str">
        <f>IFERROR(__xludf.DUMMYFUNCTION("IF(REGEXMATCH(TRIM(I6447), ""^\d+\s*min""), ""Unclassified"", IF(I6447 = """", ""NR"", I6447))"),"PG-13")</f>
        <v>PG-13</v>
      </c>
      <c r="R6447" s="5" t="str">
        <f t="shared" si="2"/>
        <v>Chappaquiddick</v>
      </c>
      <c r="S6447" s="5" t="str">
        <f>IFERROR(__xludf.DUMMYFUNCTION("""COMPUTED_VALUE"""),"Sometimes")</f>
        <v>Sometimes</v>
      </c>
      <c r="V6447" s="5"/>
      <c r="Y6447" s="5" t="str">
        <f>IFERROR(__xludf.DUMMYFUNCTION("REGEXEXTRACT(J6447, ""^\d+"")"),"106")</f>
        <v>106</v>
      </c>
      <c r="Z6447" s="5" t="str">
        <f>IFERROR(__xludf.DUMMYFUNCTION("REGEXEXTRACT(J6447, ""[A-Za-z ]+$"")")," min")</f>
        <v> min</v>
      </c>
      <c r="AA6447" s="5" t="str">
        <f>IFERROR(__xludf.DUMMYFUNCTION("IF(REGEXMATCH(Z6447, ""Season""), ""TV Show"", ""Movie"")"),"Movie")</f>
        <v>Movie</v>
      </c>
    </row>
    <row r="6448">
      <c r="A6448" s="1" t="s">
        <v>32204</v>
      </c>
      <c r="B6448" s="1" t="s">
        <v>27</v>
      </c>
      <c r="C6448" s="1" t="s">
        <v>32205</v>
      </c>
      <c r="D6448" s="1" t="s">
        <v>1129</v>
      </c>
      <c r="E6448" s="1" t="s">
        <v>32206</v>
      </c>
      <c r="F6448" s="1" t="s">
        <v>686</v>
      </c>
      <c r="G6448" s="1" t="s">
        <v>16947</v>
      </c>
      <c r="H6448" s="1">
        <v>2005.0</v>
      </c>
      <c r="I6448" s="1" t="s">
        <v>78</v>
      </c>
      <c r="J6448" s="1" t="s">
        <v>379</v>
      </c>
      <c r="K6448" s="1" t="s">
        <v>137</v>
      </c>
      <c r="L6448" s="1" t="s">
        <v>32207</v>
      </c>
      <c r="M6448" s="2" t="s">
        <v>12</v>
      </c>
      <c r="N6448" s="4">
        <f t="shared" si="1"/>
        <v>43831</v>
      </c>
      <c r="O6448" s="5" t="str">
        <f>IFERROR(__xludf.DUMMYFUNCTION("IF(REGEXMATCH(TRIM(I6448), ""^\d+\s*min""), ""Unclassified"", IF(I6448 = """", ""NR"", I6448))"),"PG")</f>
        <v>PG</v>
      </c>
      <c r="R6448" s="5" t="str">
        <f t="shared" si="2"/>
        <v>Charlie And The Chocolate Factory</v>
      </c>
      <c r="S6448" s="5" t="str">
        <f>IFERROR(__xludf.DUMMYFUNCTION("""COMPUTED_VALUE"""),"Somewhere Between")</f>
        <v>Somewhere Between</v>
      </c>
      <c r="V6448" s="5"/>
      <c r="Y6448" s="5" t="str">
        <f>IFERROR(__xludf.DUMMYFUNCTION("REGEXEXTRACT(J6448, ""^\d+"")"),"115")</f>
        <v>115</v>
      </c>
      <c r="Z6448" s="5" t="str">
        <f>IFERROR(__xludf.DUMMYFUNCTION("REGEXEXTRACT(J6448, ""[A-Za-z ]+$"")")," min")</f>
        <v> min</v>
      </c>
      <c r="AA6448" s="5" t="str">
        <f>IFERROR(__xludf.DUMMYFUNCTION("IF(REGEXMATCH(Z6448, ""Season""), ""TV Show"", ""Movie"")"),"Movie")</f>
        <v>Movie</v>
      </c>
    </row>
    <row r="6449">
      <c r="A6449" s="1" t="s">
        <v>32208</v>
      </c>
      <c r="B6449" s="1" t="s">
        <v>27</v>
      </c>
      <c r="C6449" s="1" t="s">
        <v>32209</v>
      </c>
      <c r="D6449" s="1" t="s">
        <v>3523</v>
      </c>
      <c r="E6449" s="1" t="s">
        <v>32210</v>
      </c>
      <c r="F6449" s="1" t="s">
        <v>30</v>
      </c>
      <c r="G6449" s="1" t="s">
        <v>18985</v>
      </c>
      <c r="H6449" s="1">
        <v>2003.0</v>
      </c>
      <c r="I6449" s="1" t="s">
        <v>32</v>
      </c>
      <c r="J6449" s="1" t="s">
        <v>256</v>
      </c>
      <c r="K6449" s="1" t="s">
        <v>973</v>
      </c>
      <c r="L6449" s="1" t="s">
        <v>32211</v>
      </c>
      <c r="M6449" s="2" t="s">
        <v>12</v>
      </c>
      <c r="N6449" s="4">
        <f t="shared" si="1"/>
        <v>43739</v>
      </c>
      <c r="O6449" s="5" t="str">
        <f>IFERROR(__xludf.DUMMYFUNCTION("IF(REGEXMATCH(TRIM(I6449), ""^\d+\s*min""), ""Unclassified"", IF(I6449 = """", ""NR"", I6449))"),"PG-13")</f>
        <v>PG-13</v>
      </c>
      <c r="R6449" s="5" t="str">
        <f t="shared" si="2"/>
        <v>Charlie'S Angels: Full Throttle</v>
      </c>
      <c r="S6449" s="5" t="str">
        <f>IFERROR(__xludf.DUMMYFUNCTION("""COMPUTED_VALUE"""),"Somewhere Only We Know")</f>
        <v>Somewhere Only We Know</v>
      </c>
      <c r="V6449" s="5"/>
      <c r="Y6449" s="5" t="str">
        <f>IFERROR(__xludf.DUMMYFUNCTION("REGEXEXTRACT(J6449, ""^\d+"")"),"106")</f>
        <v>106</v>
      </c>
      <c r="Z6449" s="5" t="str">
        <f>IFERROR(__xludf.DUMMYFUNCTION("REGEXEXTRACT(J6449, ""[A-Za-z ]+$"")")," min")</f>
        <v> min</v>
      </c>
      <c r="AA6449" s="5" t="str">
        <f>IFERROR(__xludf.DUMMYFUNCTION("IF(REGEXMATCH(Z6449, ""Season""), ""TV Show"", ""Movie"")"),"Movie")</f>
        <v>Movie</v>
      </c>
    </row>
    <row r="6450">
      <c r="A6450" s="1" t="s">
        <v>32212</v>
      </c>
      <c r="B6450" s="1" t="s">
        <v>27</v>
      </c>
      <c r="C6450" s="1" t="s">
        <v>32213</v>
      </c>
      <c r="D6450" s="1" t="s">
        <v>4421</v>
      </c>
      <c r="E6450" s="1" t="s">
        <v>32214</v>
      </c>
      <c r="F6450" s="1" t="s">
        <v>30</v>
      </c>
      <c r="G6450" s="1" t="s">
        <v>17882</v>
      </c>
      <c r="H6450" s="1">
        <v>1973.0</v>
      </c>
      <c r="I6450" s="1" t="s">
        <v>770</v>
      </c>
      <c r="J6450" s="1" t="s">
        <v>170</v>
      </c>
      <c r="K6450" s="1" t="s">
        <v>32215</v>
      </c>
      <c r="L6450" s="1" t="s">
        <v>32216</v>
      </c>
      <c r="M6450" s="2" t="s">
        <v>12</v>
      </c>
      <c r="N6450" s="4">
        <f t="shared" si="1"/>
        <v>43792</v>
      </c>
      <c r="O6450" s="5" t="str">
        <f>IFERROR(__xludf.DUMMYFUNCTION("IF(REGEXMATCH(TRIM(I6450), ""^\d+\s*min""), ""Unclassified"", IF(I6450 = """", ""NR"", I6450))"),"G")</f>
        <v>G</v>
      </c>
      <c r="R6450" s="5" t="str">
        <f t="shared" si="2"/>
        <v>Charlotte'S Web</v>
      </c>
      <c r="S6450" s="5" t="str">
        <f>IFERROR(__xludf.DUMMYFUNCTION("""COMPUTED_VALUE"""),"Sommore: Chandelier Status")</f>
        <v>Sommore: Chandelier Status</v>
      </c>
      <c r="V6450" s="5"/>
      <c r="Y6450" s="5" t="str">
        <f>IFERROR(__xludf.DUMMYFUNCTION("REGEXEXTRACT(J6450, ""^\d+"")"),"94")</f>
        <v>94</v>
      </c>
      <c r="Z6450" s="5" t="str">
        <f>IFERROR(__xludf.DUMMYFUNCTION("REGEXEXTRACT(J6450, ""[A-Za-z ]+$"")")," min")</f>
        <v> min</v>
      </c>
      <c r="AA6450" s="5" t="str">
        <f>IFERROR(__xludf.DUMMYFUNCTION("IF(REGEXMATCH(Z6450, ""Season""), ""TV Show"", ""Movie"")"),"Movie")</f>
        <v>Movie</v>
      </c>
    </row>
    <row r="6451">
      <c r="A6451" s="1" t="s">
        <v>32217</v>
      </c>
      <c r="B6451" s="1" t="s">
        <v>27</v>
      </c>
      <c r="C6451" s="1" t="s">
        <v>32218</v>
      </c>
      <c r="D6451" s="1" t="s">
        <v>1405</v>
      </c>
      <c r="E6451" s="1" t="s">
        <v>32219</v>
      </c>
      <c r="F6451" s="1" t="s">
        <v>63</v>
      </c>
      <c r="G6451" s="7">
        <v>42856.0</v>
      </c>
      <c r="H6451" s="1">
        <v>2013.0</v>
      </c>
      <c r="I6451" s="1" t="s">
        <v>136</v>
      </c>
      <c r="J6451" s="1" t="s">
        <v>941</v>
      </c>
      <c r="K6451" s="1" t="s">
        <v>230</v>
      </c>
      <c r="L6451" s="1" t="s">
        <v>12908</v>
      </c>
      <c r="M6451" s="2" t="s">
        <v>12</v>
      </c>
      <c r="N6451" s="4">
        <f t="shared" si="1"/>
        <v>42856</v>
      </c>
      <c r="O6451" s="5" t="str">
        <f>IFERROR(__xludf.DUMMYFUNCTION("IF(REGEXMATCH(TRIM(I6451), ""^\d+\s*min""), ""Unclassified"", IF(I6451 = """", ""NR"", I6451))"),"TV-PG")</f>
        <v>TV-PG</v>
      </c>
      <c r="R6451" s="5" t="str">
        <f t="shared" si="2"/>
        <v>Chashme Buddoor</v>
      </c>
      <c r="S6451" s="5" t="str">
        <f>IFERROR(__xludf.DUMMYFUNCTION("""COMPUTED_VALUE"""),"Sommore: The Reign Continues")</f>
        <v>Sommore: The Reign Continues</v>
      </c>
      <c r="V6451" s="5"/>
      <c r="Y6451" s="5" t="str">
        <f>IFERROR(__xludf.DUMMYFUNCTION("REGEXEXTRACT(J6451, ""^\d+"")"),"121")</f>
        <v>121</v>
      </c>
      <c r="Z6451" s="5" t="str">
        <f>IFERROR(__xludf.DUMMYFUNCTION("REGEXEXTRACT(J6451, ""[A-Za-z ]+$"")")," min")</f>
        <v> min</v>
      </c>
      <c r="AA6451" s="5" t="str">
        <f>IFERROR(__xludf.DUMMYFUNCTION("IF(REGEXMATCH(Z6451, ""Season""), ""TV Show"", ""Movie"")"),"Movie")</f>
        <v>Movie</v>
      </c>
    </row>
    <row r="6452">
      <c r="A6452" s="1" t="s">
        <v>32220</v>
      </c>
      <c r="B6452" s="1" t="s">
        <v>27</v>
      </c>
      <c r="C6452" s="1" t="s">
        <v>32221</v>
      </c>
      <c r="D6452" s="1" t="s">
        <v>5737</v>
      </c>
      <c r="E6452" s="1" t="s">
        <v>32222</v>
      </c>
      <c r="F6452" s="1" t="s">
        <v>30</v>
      </c>
      <c r="G6452" s="1" t="s">
        <v>16947</v>
      </c>
      <c r="H6452" s="1">
        <v>1997.0</v>
      </c>
      <c r="I6452" s="1" t="s">
        <v>378</v>
      </c>
      <c r="J6452" s="1" t="s">
        <v>519</v>
      </c>
      <c r="K6452" s="1" t="s">
        <v>30960</v>
      </c>
      <c r="L6452" s="1" t="s">
        <v>32223</v>
      </c>
      <c r="M6452" s="2" t="s">
        <v>12</v>
      </c>
      <c r="N6452" s="4">
        <f t="shared" si="1"/>
        <v>43831</v>
      </c>
      <c r="O6452" s="5" t="str">
        <f>IFERROR(__xludf.DUMMYFUNCTION("IF(REGEXMATCH(TRIM(I6452), ""^\d+\s*min""), ""Unclassified"", IF(I6452 = """", ""NR"", I6452))"),"R")</f>
        <v>R</v>
      </c>
      <c r="R6452" s="5" t="str">
        <f t="shared" si="2"/>
        <v>Chasing Amy</v>
      </c>
      <c r="S6452" s="5" t="str">
        <f>IFERROR(__xludf.DUMMYFUNCTION("""COMPUTED_VALUE"""),"Somos.")</f>
        <v>Somos.</v>
      </c>
      <c r="V6452" s="5"/>
      <c r="Y6452" s="5" t="str">
        <f>IFERROR(__xludf.DUMMYFUNCTION("REGEXEXTRACT(J6452, ""^\d+"")"),"113")</f>
        <v>113</v>
      </c>
      <c r="Z6452" s="5" t="str">
        <f>IFERROR(__xludf.DUMMYFUNCTION("REGEXEXTRACT(J6452, ""[A-Za-z ]+$"")")," min")</f>
        <v> min</v>
      </c>
      <c r="AA6452" s="5" t="str">
        <f>IFERROR(__xludf.DUMMYFUNCTION("IF(REGEXMATCH(Z6452, ""Season""), ""TV Show"", ""Movie"")"),"Movie")</f>
        <v>Movie</v>
      </c>
    </row>
    <row r="6453">
      <c r="A6453" s="1" t="s">
        <v>32224</v>
      </c>
      <c r="B6453" s="1" t="s">
        <v>37</v>
      </c>
      <c r="C6453" s="1" t="s">
        <v>32225</v>
      </c>
      <c r="E6453" s="1" t="s">
        <v>32226</v>
      </c>
      <c r="F6453" s="1" t="s">
        <v>1106</v>
      </c>
      <c r="G6453" s="1" t="s">
        <v>32227</v>
      </c>
      <c r="H6453" s="1">
        <v>2016.0</v>
      </c>
      <c r="I6453" s="1" t="s">
        <v>136</v>
      </c>
      <c r="J6453" s="1" t="s">
        <v>43</v>
      </c>
      <c r="K6453" s="1" t="s">
        <v>7683</v>
      </c>
      <c r="L6453" s="1" t="s">
        <v>32228</v>
      </c>
      <c r="M6453" s="2" t="s">
        <v>12</v>
      </c>
      <c r="N6453" s="1" t="str">
        <f t="shared" si="1"/>
        <v>#N/A</v>
      </c>
      <c r="O6453" s="5" t="str">
        <f>IFERROR(__xludf.DUMMYFUNCTION("IF(REGEXMATCH(TRIM(I6453), ""^\d+\s*min""), ""Unclassified"", IF(I6453 = """", ""NR"", I6453))"),"TV-PG")</f>
        <v>TV-PG</v>
      </c>
      <c r="R6453" s="5" t="str">
        <f t="shared" si="2"/>
        <v>Chasing Monsters</v>
      </c>
      <c r="S6453" s="5" t="str">
        <f>IFERROR(__xludf.DUMMYFUNCTION("""COMPUTED_VALUE"""),"Son Of A Gun")</f>
        <v>Son Of A Gun</v>
      </c>
      <c r="V6453" s="5"/>
      <c r="Y6453" s="5" t="str">
        <f>IFERROR(__xludf.DUMMYFUNCTION("REGEXEXTRACT(J6453, ""^\d+"")"),"2")</f>
        <v>2</v>
      </c>
      <c r="Z6453" s="5" t="str">
        <f>IFERROR(__xludf.DUMMYFUNCTION("REGEXEXTRACT(J6453, ""[A-Za-z ]+$"")")," Seasons")</f>
        <v> Seasons</v>
      </c>
      <c r="AA6453" s="5" t="str">
        <f>IFERROR(__xludf.DUMMYFUNCTION("IF(REGEXMATCH(Z6453, ""Season""), ""TV Show"", ""Movie"")"),"TV Show")</f>
        <v>TV Show</v>
      </c>
    </row>
    <row r="6454">
      <c r="A6454" s="1" t="s">
        <v>32229</v>
      </c>
      <c r="B6454" s="1" t="s">
        <v>27</v>
      </c>
      <c r="C6454" s="1" t="s">
        <v>32230</v>
      </c>
      <c r="D6454" s="1" t="s">
        <v>23691</v>
      </c>
      <c r="E6454" s="1" t="s">
        <v>32231</v>
      </c>
      <c r="F6454" s="1" t="s">
        <v>12646</v>
      </c>
      <c r="G6454" s="1" t="s">
        <v>25729</v>
      </c>
      <c r="H6454" s="1">
        <v>2017.0</v>
      </c>
      <c r="I6454" s="1" t="s">
        <v>42</v>
      </c>
      <c r="J6454" s="1" t="s">
        <v>1273</v>
      </c>
      <c r="K6454" s="1" t="s">
        <v>306</v>
      </c>
      <c r="L6454" s="1" t="s">
        <v>32232</v>
      </c>
      <c r="M6454" s="2" t="s">
        <v>12</v>
      </c>
      <c r="N6454" s="4">
        <f t="shared" si="1"/>
        <v>43209</v>
      </c>
      <c r="O6454" s="5" t="str">
        <f>IFERROR(__xludf.DUMMYFUNCTION("IF(REGEXMATCH(TRIM(I6454), ""^\d+\s*min""), ""Unclassified"", IF(I6454 = """", ""NR"", I6454))"),"TV-MA")</f>
        <v>TV-MA</v>
      </c>
      <c r="R6454" s="5" t="str">
        <f t="shared" si="2"/>
        <v>Chasing The Dragon</v>
      </c>
      <c r="S6454" s="5" t="str">
        <f>IFERROR(__xludf.DUMMYFUNCTION("""COMPUTED_VALUE"""),"Son Of Adam")</f>
        <v>Son Of Adam</v>
      </c>
      <c r="V6454" s="5"/>
      <c r="Y6454" s="5" t="str">
        <f>IFERROR(__xludf.DUMMYFUNCTION("REGEXEXTRACT(J6454, ""^\d+"")"),"129")</f>
        <v>129</v>
      </c>
      <c r="Z6454" s="5" t="str">
        <f>IFERROR(__xludf.DUMMYFUNCTION("REGEXEXTRACT(J6454, ""[A-Za-z ]+$"")")," min")</f>
        <v> min</v>
      </c>
      <c r="AA6454" s="5" t="str">
        <f>IFERROR(__xludf.DUMMYFUNCTION("IF(REGEXMATCH(Z6454, ""Season""), ""TV Show"", ""Movie"")"),"Movie")</f>
        <v>Movie</v>
      </c>
    </row>
    <row r="6455">
      <c r="A6455" s="1" t="s">
        <v>32233</v>
      </c>
      <c r="B6455" s="1" t="s">
        <v>27</v>
      </c>
      <c r="C6455" s="1" t="s">
        <v>32234</v>
      </c>
      <c r="D6455" s="1" t="s">
        <v>11445</v>
      </c>
      <c r="E6455" s="1" t="s">
        <v>32235</v>
      </c>
      <c r="F6455" s="1" t="s">
        <v>30</v>
      </c>
      <c r="G6455" s="1" t="s">
        <v>32236</v>
      </c>
      <c r="H6455" s="1">
        <v>2016.0</v>
      </c>
      <c r="I6455" s="1" t="s">
        <v>136</v>
      </c>
      <c r="J6455" s="1" t="s">
        <v>416</v>
      </c>
      <c r="K6455" s="1" t="s">
        <v>700</v>
      </c>
      <c r="L6455" s="1" t="s">
        <v>32237</v>
      </c>
      <c r="M6455" s="2" t="s">
        <v>12</v>
      </c>
      <c r="N6455" s="4">
        <f t="shared" si="1"/>
        <v>43052</v>
      </c>
      <c r="O6455" s="5" t="str">
        <f>IFERROR(__xludf.DUMMYFUNCTION("IF(REGEXMATCH(TRIM(I6455), ""^\d+\s*min""), ""Unclassified"", IF(I6455 = """", ""NR"", I6455))"),"TV-PG")</f>
        <v>TV-PG</v>
      </c>
      <c r="R6455" s="5" t="str">
        <f t="shared" si="2"/>
        <v>Chasing Trane</v>
      </c>
      <c r="S6455" s="5" t="str">
        <f>IFERROR(__xludf.DUMMYFUNCTION("""COMPUTED_VALUE"""),"Song Exploder")</f>
        <v>Song Exploder</v>
      </c>
      <c r="V6455" s="5"/>
      <c r="Y6455" s="5" t="str">
        <f>IFERROR(__xludf.DUMMYFUNCTION("REGEXEXTRACT(J6455, ""^\d+"")"),"99")</f>
        <v>99</v>
      </c>
      <c r="Z6455" s="5" t="str">
        <f>IFERROR(__xludf.DUMMYFUNCTION("REGEXEXTRACT(J6455, ""[A-Za-z ]+$"")")," min")</f>
        <v> min</v>
      </c>
      <c r="AA6455" s="5" t="str">
        <f>IFERROR(__xludf.DUMMYFUNCTION("IF(REGEXMATCH(Z6455, ""Season""), ""TV Show"", ""Movie"")"),"Movie")</f>
        <v>Movie</v>
      </c>
    </row>
    <row r="6456">
      <c r="A6456" s="1" t="s">
        <v>32238</v>
      </c>
      <c r="B6456" s="1" t="s">
        <v>27</v>
      </c>
      <c r="C6456" s="1" t="s">
        <v>32239</v>
      </c>
      <c r="D6456" s="1" t="s">
        <v>8823</v>
      </c>
      <c r="E6456" s="1" t="s">
        <v>32240</v>
      </c>
      <c r="F6456" s="1" t="s">
        <v>8402</v>
      </c>
      <c r="G6456" s="1" t="s">
        <v>28697</v>
      </c>
      <c r="H6456" s="1">
        <v>2015.0</v>
      </c>
      <c r="I6456" s="1" t="s">
        <v>97</v>
      </c>
      <c r="J6456" s="1" t="s">
        <v>349</v>
      </c>
      <c r="K6456" s="1" t="s">
        <v>89</v>
      </c>
      <c r="L6456" s="1" t="s">
        <v>32241</v>
      </c>
      <c r="M6456" s="2" t="s">
        <v>12</v>
      </c>
      <c r="N6456" s="4">
        <f t="shared" si="1"/>
        <v>42767</v>
      </c>
      <c r="O6456" s="5" t="str">
        <f>IFERROR(__xludf.DUMMYFUNCTION("IF(REGEXMATCH(TRIM(I6456), ""^\d+\s*min""), ""Unclassified"", IF(I6456 = """", ""NR"", I6456))"),"TV-14")</f>
        <v>TV-14</v>
      </c>
      <c r="R6456" s="5" t="str">
        <f t="shared" si="2"/>
        <v>Chauthi Koot</v>
      </c>
      <c r="S6456" s="5" t="str">
        <f>IFERROR(__xludf.DUMMYFUNCTION("""COMPUTED_VALUE"""),"Soni")</f>
        <v>Soni</v>
      </c>
      <c r="V6456" s="5"/>
      <c r="Y6456" s="5" t="str">
        <f>IFERROR(__xludf.DUMMYFUNCTION("REGEXEXTRACT(J6456, ""^\d+"")"),"116")</f>
        <v>116</v>
      </c>
      <c r="Z6456" s="5" t="str">
        <f>IFERROR(__xludf.DUMMYFUNCTION("REGEXEXTRACT(J6456, ""[A-Za-z ]+$"")")," min")</f>
        <v> min</v>
      </c>
      <c r="AA6456" s="5" t="str">
        <f>IFERROR(__xludf.DUMMYFUNCTION("IF(REGEXMATCH(Z6456, ""Season""), ""TV Show"", ""Movie"")"),"Movie")</f>
        <v>Movie</v>
      </c>
    </row>
    <row r="6457">
      <c r="A6457" s="1" t="s">
        <v>32242</v>
      </c>
      <c r="B6457" s="1" t="s">
        <v>37</v>
      </c>
      <c r="C6457" s="1" t="s">
        <v>32243</v>
      </c>
      <c r="E6457" s="1" t="s">
        <v>32244</v>
      </c>
      <c r="F6457" s="1" t="s">
        <v>221</v>
      </c>
      <c r="G6457" s="1" t="s">
        <v>26674</v>
      </c>
      <c r="H6457" s="1">
        <v>2016.0</v>
      </c>
      <c r="I6457" s="1" t="s">
        <v>97</v>
      </c>
      <c r="J6457" s="1" t="s">
        <v>51</v>
      </c>
      <c r="K6457" s="1" t="s">
        <v>1520</v>
      </c>
      <c r="L6457" s="1" t="s">
        <v>32245</v>
      </c>
      <c r="M6457" s="2" t="s">
        <v>12</v>
      </c>
      <c r="N6457" s="4">
        <f t="shared" si="1"/>
        <v>43070</v>
      </c>
      <c r="O6457" s="5" t="str">
        <f>IFERROR(__xludf.DUMMYFUNCTION("IF(REGEXMATCH(TRIM(I6457), ""^\d+\s*min""), ""Unclassified"", IF(I6457 = """", ""NR"", I6457))"),"TV-14")</f>
        <v>TV-14</v>
      </c>
      <c r="R6457" s="5" t="str">
        <f t="shared" si="2"/>
        <v>Cheapest Weddings</v>
      </c>
      <c r="S6457" s="5" t="str">
        <f>IFERROR(__xludf.DUMMYFUNCTION("""COMPUTED_VALUE"""),"Sonic X")</f>
        <v>Sonic X</v>
      </c>
      <c r="V6457" s="5"/>
      <c r="Y6457" s="5" t="str">
        <f>IFERROR(__xludf.DUMMYFUNCTION("REGEXEXTRACT(J6457, ""^\d+"")"),"1")</f>
        <v>1</v>
      </c>
      <c r="Z6457" s="5" t="str">
        <f>IFERROR(__xludf.DUMMYFUNCTION("REGEXEXTRACT(J6457, ""[A-Za-z ]+$"")")," Season")</f>
        <v> Season</v>
      </c>
      <c r="AA6457" s="5" t="str">
        <f>IFERROR(__xludf.DUMMYFUNCTION("IF(REGEXMATCH(Z6457, ""Season""), ""TV Show"", ""Movie"")"),"TV Show")</f>
        <v>TV Show</v>
      </c>
    </row>
    <row r="6458">
      <c r="A6458" s="1" t="s">
        <v>32246</v>
      </c>
      <c r="B6458" s="1" t="s">
        <v>37</v>
      </c>
      <c r="C6458" s="1" t="s">
        <v>32247</v>
      </c>
      <c r="E6458" s="1" t="s">
        <v>32248</v>
      </c>
      <c r="F6458" s="1" t="s">
        <v>30</v>
      </c>
      <c r="G6458" s="1" t="s">
        <v>31513</v>
      </c>
      <c r="H6458" s="1">
        <v>1992.0</v>
      </c>
      <c r="I6458" s="1" t="s">
        <v>136</v>
      </c>
      <c r="J6458" s="1" t="s">
        <v>32249</v>
      </c>
      <c r="K6458" s="1" t="s">
        <v>26463</v>
      </c>
      <c r="L6458" s="1" t="s">
        <v>32250</v>
      </c>
      <c r="M6458" s="2" t="s">
        <v>12</v>
      </c>
      <c r="N6458" s="1" t="str">
        <f t="shared" si="1"/>
        <v>#N/A</v>
      </c>
      <c r="O6458" s="5" t="str">
        <f>IFERROR(__xludf.DUMMYFUNCTION("IF(REGEXMATCH(TRIM(I6458), ""^\d+\s*min""), ""Unclassified"", IF(I6458 = """", ""NR"", I6458))"),"TV-PG")</f>
        <v>TV-PG</v>
      </c>
      <c r="R6458" s="5" t="str">
        <f t="shared" si="2"/>
        <v>Cheers</v>
      </c>
      <c r="S6458" s="5" t="str">
        <f>IFERROR(__xludf.DUMMYFUNCTION("""COMPUTED_VALUE"""),"Sons Of Ben")</f>
        <v>Sons Of Ben</v>
      </c>
      <c r="V6458" s="5"/>
      <c r="Y6458" s="5" t="str">
        <f>IFERROR(__xludf.DUMMYFUNCTION("REGEXEXTRACT(J6458, ""^\d+"")"),"11")</f>
        <v>11</v>
      </c>
      <c r="Z6458" s="5" t="str">
        <f>IFERROR(__xludf.DUMMYFUNCTION("REGEXEXTRACT(J6458, ""[A-Za-z ]+$"")")," Seasons")</f>
        <v> Seasons</v>
      </c>
      <c r="AA6458" s="5" t="str">
        <f>IFERROR(__xludf.DUMMYFUNCTION("IF(REGEXMATCH(Z6458, ""Season""), ""TV Show"", ""Movie"")"),"TV Show")</f>
        <v>TV Show</v>
      </c>
    </row>
    <row r="6459">
      <c r="A6459" s="1" t="s">
        <v>32251</v>
      </c>
      <c r="B6459" s="1" t="s">
        <v>37</v>
      </c>
      <c r="C6459" s="1" t="s">
        <v>32252</v>
      </c>
      <c r="E6459" s="1" t="s">
        <v>32253</v>
      </c>
      <c r="F6459" s="1" t="s">
        <v>749</v>
      </c>
      <c r="G6459" s="1" t="s">
        <v>30680</v>
      </c>
      <c r="H6459" s="1">
        <v>2017.0</v>
      </c>
      <c r="I6459" s="1" t="s">
        <v>136</v>
      </c>
      <c r="J6459" s="1" t="s">
        <v>43</v>
      </c>
      <c r="K6459" s="1" t="s">
        <v>13255</v>
      </c>
      <c r="L6459" s="1" t="s">
        <v>32254</v>
      </c>
      <c r="M6459" s="2" t="s">
        <v>12</v>
      </c>
      <c r="N6459" s="1" t="str">
        <f t="shared" si="1"/>
        <v>#N/A</v>
      </c>
      <c r="O6459" s="5" t="str">
        <f>IFERROR(__xludf.DUMMYFUNCTION("IF(REGEXMATCH(TRIM(I6459), ""^\d+\s*min""), ""Unclassified"", IF(I6459 = """", ""NR"", I6459))"),"TV-PG")</f>
        <v>TV-PG</v>
      </c>
      <c r="R6459" s="5" t="str">
        <f t="shared" si="2"/>
        <v>Chef &amp; My Fridge</v>
      </c>
      <c r="S6459" s="5" t="str">
        <f>IFERROR(__xludf.DUMMYFUNCTION("""COMPUTED_VALUE"""),"Sons Of The Caliphate")</f>
        <v>Sons Of The Caliphate</v>
      </c>
      <c r="V6459" s="5"/>
      <c r="Y6459" s="5" t="str">
        <f>IFERROR(__xludf.DUMMYFUNCTION("REGEXEXTRACT(J6459, ""^\d+"")"),"2")</f>
        <v>2</v>
      </c>
      <c r="Z6459" s="5" t="str">
        <f>IFERROR(__xludf.DUMMYFUNCTION("REGEXEXTRACT(J6459, ""[A-Za-z ]+$"")")," Seasons")</f>
        <v> Seasons</v>
      </c>
      <c r="AA6459" s="5" t="str">
        <f>IFERROR(__xludf.DUMMYFUNCTION("IF(REGEXMATCH(Z6459, ""Season""), ""TV Show"", ""Movie"")"),"TV Show")</f>
        <v>TV Show</v>
      </c>
    </row>
    <row r="6460">
      <c r="A6460" s="1" t="s">
        <v>32255</v>
      </c>
      <c r="B6460" s="1" t="s">
        <v>27</v>
      </c>
      <c r="C6460" s="1" t="s">
        <v>32256</v>
      </c>
      <c r="D6460" s="1" t="s">
        <v>3628</v>
      </c>
      <c r="E6460" s="1" t="s">
        <v>32257</v>
      </c>
      <c r="F6460" s="1" t="s">
        <v>30</v>
      </c>
      <c r="G6460" s="1" t="s">
        <v>24964</v>
      </c>
      <c r="H6460" s="1">
        <v>2012.0</v>
      </c>
      <c r="I6460" s="1" t="s">
        <v>378</v>
      </c>
      <c r="J6460" s="1" t="s">
        <v>428</v>
      </c>
      <c r="K6460" s="1" t="s">
        <v>3768</v>
      </c>
      <c r="L6460" s="1" t="s">
        <v>32258</v>
      </c>
      <c r="M6460" s="2" t="s">
        <v>12</v>
      </c>
      <c r="N6460" s="4">
        <f t="shared" si="1"/>
        <v>43313</v>
      </c>
      <c r="O6460" s="5" t="str">
        <f>IFERROR(__xludf.DUMMYFUNCTION("IF(REGEXMATCH(TRIM(I6460), ""^\d+\s*min""), ""Unclassified"", IF(I6460 = """", ""NR"", I6460))"),"R")</f>
        <v>R</v>
      </c>
      <c r="R6460" s="5" t="str">
        <f t="shared" si="2"/>
        <v>Chernobyl Diaries</v>
      </c>
      <c r="S6460" s="5" t="str">
        <f>IFERROR(__xludf.DUMMYFUNCTION("""COMPUTED_VALUE"""),"Soorma")</f>
        <v>Soorma</v>
      </c>
      <c r="V6460" s="5"/>
      <c r="Y6460" s="5" t="str">
        <f>IFERROR(__xludf.DUMMYFUNCTION("REGEXEXTRACT(J6460, ""^\d+"")"),"88")</f>
        <v>88</v>
      </c>
      <c r="Z6460" s="5" t="str">
        <f>IFERROR(__xludf.DUMMYFUNCTION("REGEXEXTRACT(J6460, ""[A-Za-z ]+$"")")," min")</f>
        <v> min</v>
      </c>
      <c r="AA6460" s="5" t="str">
        <f>IFERROR(__xludf.DUMMYFUNCTION("IF(REGEXMATCH(Z6460, ""Season""), ""TV Show"", ""Movie"")"),"Movie")</f>
        <v>Movie</v>
      </c>
    </row>
    <row r="6461">
      <c r="A6461" s="1" t="s">
        <v>32259</v>
      </c>
      <c r="B6461" s="1" t="s">
        <v>37</v>
      </c>
      <c r="C6461" s="1" t="s">
        <v>32260</v>
      </c>
      <c r="E6461" s="1" t="s">
        <v>32261</v>
      </c>
      <c r="F6461" s="1" t="s">
        <v>96</v>
      </c>
      <c r="G6461" s="1" t="s">
        <v>29338</v>
      </c>
      <c r="H6461" s="1">
        <v>1999.0</v>
      </c>
      <c r="I6461" s="1" t="s">
        <v>97</v>
      </c>
      <c r="J6461" s="1" t="s">
        <v>51</v>
      </c>
      <c r="K6461" s="1" t="s">
        <v>22840</v>
      </c>
      <c r="L6461" s="1" t="s">
        <v>32262</v>
      </c>
      <c r="M6461" s="2" t="s">
        <v>12</v>
      </c>
      <c r="N6461" s="4">
        <f t="shared" si="1"/>
        <v>42644</v>
      </c>
      <c r="O6461" s="5" t="str">
        <f>IFERROR(__xludf.DUMMYFUNCTION("IF(REGEXMATCH(TRIM(I6461), ""^\d+\s*min""), ""Unclassified"", IF(I6461 = """", ""NR"", I6461))"),"TV-14")</f>
        <v>TV-14</v>
      </c>
      <c r="R6461" s="5" t="str">
        <f t="shared" si="2"/>
        <v>Chewin' The Fat</v>
      </c>
      <c r="S6461" s="5" t="str">
        <f>IFERROR(__xludf.DUMMYFUNCTION("""COMPUTED_VALUE"""),"Sophie: A Murder In West Cork")</f>
        <v>Sophie: A Murder In West Cork</v>
      </c>
      <c r="V6461" s="5"/>
      <c r="Y6461" s="5" t="str">
        <f>IFERROR(__xludf.DUMMYFUNCTION("REGEXEXTRACT(J6461, ""^\d+"")"),"1")</f>
        <v>1</v>
      </c>
      <c r="Z6461" s="5" t="str">
        <f>IFERROR(__xludf.DUMMYFUNCTION("REGEXEXTRACT(J6461, ""[A-Za-z ]+$"")")," Season")</f>
        <v> Season</v>
      </c>
      <c r="AA6461" s="5" t="str">
        <f>IFERROR(__xludf.DUMMYFUNCTION("IF(REGEXMATCH(Z6461, ""Season""), ""TV Show"", ""Movie"")"),"TV Show")</f>
        <v>TV Show</v>
      </c>
    </row>
    <row r="6462">
      <c r="A6462" s="1" t="s">
        <v>32263</v>
      </c>
      <c r="B6462" s="1" t="s">
        <v>37</v>
      </c>
      <c r="C6462" s="1" t="s">
        <v>32264</v>
      </c>
      <c r="E6462" s="1" t="s">
        <v>32265</v>
      </c>
      <c r="F6462" s="1" t="s">
        <v>96</v>
      </c>
      <c r="G6462" s="1" t="s">
        <v>32266</v>
      </c>
      <c r="H6462" s="1">
        <v>2017.0</v>
      </c>
      <c r="I6462" s="1" t="s">
        <v>42</v>
      </c>
      <c r="J6462" s="1" t="s">
        <v>43</v>
      </c>
      <c r="K6462" s="1" t="s">
        <v>23944</v>
      </c>
      <c r="L6462" s="1" t="s">
        <v>32267</v>
      </c>
      <c r="M6462" s="2" t="s">
        <v>12</v>
      </c>
      <c r="N6462" s="1" t="str">
        <f t="shared" si="1"/>
        <v>#N/A</v>
      </c>
      <c r="O6462" s="5" t="str">
        <f>IFERROR(__xludf.DUMMYFUNCTION("IF(REGEXMATCH(TRIM(I6462), ""^\d+\s*min""), ""Unclassified"", IF(I6462 = """", ""NR"", I6462))"),"TV-MA")</f>
        <v>TV-MA</v>
      </c>
      <c r="R6462" s="5" t="str">
        <f t="shared" si="2"/>
        <v>Chewing Gum</v>
      </c>
      <c r="S6462" s="5" t="str">
        <f>IFERROR(__xludf.DUMMYFUNCTION("""COMPUTED_VALUE"""),"Sorry To Disturb")</f>
        <v>Sorry To Disturb</v>
      </c>
      <c r="V6462" s="5"/>
      <c r="Y6462" s="5" t="str">
        <f>IFERROR(__xludf.DUMMYFUNCTION("REGEXEXTRACT(J6462, ""^\d+"")"),"2")</f>
        <v>2</v>
      </c>
      <c r="Z6462" s="5" t="str">
        <f>IFERROR(__xludf.DUMMYFUNCTION("REGEXEXTRACT(J6462, ""[A-Za-z ]+$"")")," Seasons")</f>
        <v> Seasons</v>
      </c>
      <c r="AA6462" s="5" t="str">
        <f>IFERROR(__xludf.DUMMYFUNCTION("IF(REGEXMATCH(Z6462, ""Season""), ""TV Show"", ""Movie"")"),"TV Show")</f>
        <v>TV Show</v>
      </c>
    </row>
    <row r="6463">
      <c r="A6463" s="1" t="s">
        <v>32268</v>
      </c>
      <c r="B6463" s="1" t="s">
        <v>27</v>
      </c>
      <c r="C6463" s="1" t="s">
        <v>32269</v>
      </c>
      <c r="D6463" s="1" t="s">
        <v>21194</v>
      </c>
      <c r="E6463" s="1" t="s">
        <v>32270</v>
      </c>
      <c r="G6463" s="7">
        <v>43595.0</v>
      </c>
      <c r="H6463" s="1">
        <v>2018.0</v>
      </c>
      <c r="I6463" s="1" t="s">
        <v>289</v>
      </c>
      <c r="J6463" s="1" t="s">
        <v>919</v>
      </c>
      <c r="K6463" s="1" t="s">
        <v>2032</v>
      </c>
      <c r="L6463" s="1" t="s">
        <v>32271</v>
      </c>
      <c r="M6463" s="2" t="s">
        <v>12</v>
      </c>
      <c r="N6463" s="4">
        <f t="shared" si="1"/>
        <v>43595</v>
      </c>
      <c r="O6463" s="5" t="str">
        <f>IFERROR(__xludf.DUMMYFUNCTION("IF(REGEXMATCH(TRIM(I6463), ""^\d+\s*min""), ""Unclassified"", IF(I6463 = """", ""NR"", I6463))"),"TV-Y7")</f>
        <v>TV-Y7</v>
      </c>
      <c r="R6463" s="5" t="str">
        <f t="shared" si="2"/>
        <v>Chhota Bheem Aur Kaala Yodha</v>
      </c>
      <c r="S6463" s="5" t="str">
        <f>IFERROR(__xludf.DUMMYFUNCTION("""COMPUTED_VALUE"""),"Sotus The Series")</f>
        <v>Sotus The Series</v>
      </c>
      <c r="V6463" s="5"/>
      <c r="Y6463" s="5" t="str">
        <f>IFERROR(__xludf.DUMMYFUNCTION("REGEXEXTRACT(J6463, ""^\d+"")"),"63")</f>
        <v>63</v>
      </c>
      <c r="Z6463" s="5" t="str">
        <f>IFERROR(__xludf.DUMMYFUNCTION("REGEXEXTRACT(J6463, ""[A-Za-z ]+$"")")," min")</f>
        <v> min</v>
      </c>
      <c r="AA6463" s="5" t="str">
        <f>IFERROR(__xludf.DUMMYFUNCTION("IF(REGEXMATCH(Z6463, ""Season""), ""TV Show"", ""Movie"")"),"Movie")</f>
        <v>Movie</v>
      </c>
    </row>
    <row r="6464">
      <c r="A6464" s="1" t="s">
        <v>32272</v>
      </c>
      <c r="B6464" s="1" t="s">
        <v>27</v>
      </c>
      <c r="C6464" s="1" t="s">
        <v>32273</v>
      </c>
      <c r="D6464" s="1" t="s">
        <v>2672</v>
      </c>
      <c r="E6464" s="1" t="s">
        <v>32270</v>
      </c>
      <c r="G6464" s="7">
        <v>43595.0</v>
      </c>
      <c r="H6464" s="1">
        <v>2018.0</v>
      </c>
      <c r="I6464" s="1" t="s">
        <v>289</v>
      </c>
      <c r="J6464" s="1" t="s">
        <v>2670</v>
      </c>
      <c r="K6464" s="1" t="s">
        <v>80</v>
      </c>
      <c r="L6464" s="1" t="s">
        <v>32274</v>
      </c>
      <c r="M6464" s="2" t="s">
        <v>12</v>
      </c>
      <c r="N6464" s="4">
        <f t="shared" si="1"/>
        <v>43595</v>
      </c>
      <c r="O6464" s="5" t="str">
        <f>IFERROR(__xludf.DUMMYFUNCTION("IF(REGEXMATCH(TRIM(I6464), ""^\d+\s*min""), ""Unclassified"", IF(I6464 = """", ""NR"", I6464))"),"TV-Y7")</f>
        <v>TV-Y7</v>
      </c>
      <c r="R6464" s="5" t="str">
        <f t="shared" si="2"/>
        <v>Chhota Bheem Ka Romani Adventure</v>
      </c>
      <c r="S6464" s="5" t="str">
        <f>IFERROR(__xludf.DUMMYFUNCTION("""COMPUTED_VALUE"""),"Soul Eater")</f>
        <v>Soul Eater</v>
      </c>
      <c r="V6464" s="5"/>
      <c r="Y6464" s="5" t="str">
        <f>IFERROR(__xludf.DUMMYFUNCTION("REGEXEXTRACT(J6464, ""^\d+"")"),"62")</f>
        <v>62</v>
      </c>
      <c r="Z6464" s="5" t="str">
        <f>IFERROR(__xludf.DUMMYFUNCTION("REGEXEXTRACT(J6464, ""[A-Za-z ]+$"")")," min")</f>
        <v> min</v>
      </c>
      <c r="AA6464" s="5" t="str">
        <f>IFERROR(__xludf.DUMMYFUNCTION("IF(REGEXMATCH(Z6464, ""Season""), ""TV Show"", ""Movie"")"),"Movie")</f>
        <v>Movie</v>
      </c>
    </row>
    <row r="6465">
      <c r="A6465" s="1" t="s">
        <v>32275</v>
      </c>
      <c r="B6465" s="1" t="s">
        <v>27</v>
      </c>
      <c r="C6465" s="1" t="s">
        <v>32276</v>
      </c>
      <c r="D6465" s="1" t="s">
        <v>21163</v>
      </c>
      <c r="E6465" s="1" t="s">
        <v>32270</v>
      </c>
      <c r="G6465" s="7">
        <v>43595.0</v>
      </c>
      <c r="H6465" s="1">
        <v>2018.0</v>
      </c>
      <c r="I6465" s="1" t="s">
        <v>289</v>
      </c>
      <c r="J6465" s="1" t="s">
        <v>2670</v>
      </c>
      <c r="K6465" s="1" t="s">
        <v>2032</v>
      </c>
      <c r="L6465" s="1" t="s">
        <v>32277</v>
      </c>
      <c r="M6465" s="2" t="s">
        <v>12</v>
      </c>
      <c r="N6465" s="4">
        <f t="shared" si="1"/>
        <v>43595</v>
      </c>
      <c r="O6465" s="5" t="str">
        <f>IFERROR(__xludf.DUMMYFUNCTION("IF(REGEXMATCH(TRIM(I6465), ""^\d+\s*min""), ""Unclassified"", IF(I6465 = """", ""NR"", I6465))"),"TV-Y7")</f>
        <v>TV-Y7</v>
      </c>
      <c r="R6465" s="5" t="str">
        <f t="shared" si="2"/>
        <v>Chhota Bheem Ka Troll Se Takkar</v>
      </c>
      <c r="S6465" s="5" t="str">
        <f>IFERROR(__xludf.DUMMYFUNCTION("""COMPUTED_VALUE"""),"Soul Robbers")</f>
        <v>Soul Robbers</v>
      </c>
      <c r="V6465" s="5"/>
      <c r="Y6465" s="5" t="str">
        <f>IFERROR(__xludf.DUMMYFUNCTION("REGEXEXTRACT(J6465, ""^\d+"")"),"62")</f>
        <v>62</v>
      </c>
      <c r="Z6465" s="5" t="str">
        <f>IFERROR(__xludf.DUMMYFUNCTION("REGEXEXTRACT(J6465, ""[A-Za-z ]+$"")")," min")</f>
        <v> min</v>
      </c>
      <c r="AA6465" s="5" t="str">
        <f>IFERROR(__xludf.DUMMYFUNCTION("IF(REGEXMATCH(Z6465, ""Season""), ""TV Show"", ""Movie"")"),"Movie")</f>
        <v>Movie</v>
      </c>
    </row>
    <row r="6466">
      <c r="A6466" s="1" t="s">
        <v>32278</v>
      </c>
      <c r="B6466" s="1" t="s">
        <v>27</v>
      </c>
      <c r="C6466" s="1" t="s">
        <v>32279</v>
      </c>
      <c r="D6466" s="1" t="s">
        <v>18701</v>
      </c>
      <c r="E6466" s="1" t="s">
        <v>32280</v>
      </c>
      <c r="F6466" s="1" t="s">
        <v>63</v>
      </c>
      <c r="G6466" s="1" t="s">
        <v>19604</v>
      </c>
      <c r="H6466" s="1">
        <v>2019.0</v>
      </c>
      <c r="I6466" s="1" t="s">
        <v>289</v>
      </c>
      <c r="J6466" s="1" t="s">
        <v>1243</v>
      </c>
      <c r="K6466" s="1" t="s">
        <v>80</v>
      </c>
      <c r="L6466" s="1" t="s">
        <v>32281</v>
      </c>
      <c r="M6466" s="2" t="s">
        <v>12</v>
      </c>
      <c r="N6466" s="4">
        <f t="shared" si="1"/>
        <v>43692</v>
      </c>
      <c r="O6466" s="5" t="str">
        <f>IFERROR(__xludf.DUMMYFUNCTION("IF(REGEXMATCH(TRIM(I6466), ""^\d+\s*min""), ""Unclassified"", IF(I6466 = """", ""NR"", I6466))"),"TV-Y7")</f>
        <v>TV-Y7</v>
      </c>
      <c r="R6466" s="5" t="str">
        <f t="shared" si="2"/>
        <v>Chhota Bheem Kungfu Dhamaka</v>
      </c>
      <c r="S6466" s="5" t="str">
        <f>IFERROR(__xludf.DUMMYFUNCTION("""COMPUTED_VALUE"""),"Soul Surfer")</f>
        <v>Soul Surfer</v>
      </c>
      <c r="V6466" s="5"/>
      <c r="Y6466" s="5" t="str">
        <f>IFERROR(__xludf.DUMMYFUNCTION("REGEXEXTRACT(J6466, ""^\d+"")"),"112")</f>
        <v>112</v>
      </c>
      <c r="Z6466" s="5" t="str">
        <f>IFERROR(__xludf.DUMMYFUNCTION("REGEXEXTRACT(J6466, ""[A-Za-z ]+$"")")," min")</f>
        <v> min</v>
      </c>
      <c r="AA6466" s="5" t="str">
        <f>IFERROR(__xludf.DUMMYFUNCTION("IF(REGEXMATCH(Z6466, ""Season""), ""TV Show"", ""Movie"")"),"Movie")</f>
        <v>Movie</v>
      </c>
    </row>
    <row r="6467">
      <c r="A6467" s="1" t="s">
        <v>32282</v>
      </c>
      <c r="B6467" s="1" t="s">
        <v>27</v>
      </c>
      <c r="C6467" s="1" t="s">
        <v>32283</v>
      </c>
      <c r="D6467" s="1" t="s">
        <v>2416</v>
      </c>
      <c r="E6467" s="1" t="s">
        <v>32284</v>
      </c>
      <c r="F6467" s="1" t="s">
        <v>63</v>
      </c>
      <c r="G6467" s="1" t="s">
        <v>25185</v>
      </c>
      <c r="H6467" s="1">
        <v>2017.0</v>
      </c>
      <c r="I6467" s="1" t="s">
        <v>97</v>
      </c>
      <c r="J6467" s="1" t="s">
        <v>519</v>
      </c>
      <c r="K6467" s="1" t="s">
        <v>199</v>
      </c>
      <c r="L6467" s="1" t="s">
        <v>32285</v>
      </c>
      <c r="M6467" s="2" t="s">
        <v>12</v>
      </c>
      <c r="N6467" s="4">
        <f t="shared" si="1"/>
        <v>43282</v>
      </c>
      <c r="O6467" s="5" t="str">
        <f>IFERROR(__xludf.DUMMYFUNCTION("IF(REGEXMATCH(TRIM(I6467), ""^\d+\s*min""), ""Unclassified"", IF(I6467 = """", ""NR"", I6467))"),"TV-14")</f>
        <v>TV-14</v>
      </c>
      <c r="R6467" s="5" t="str">
        <f t="shared" si="2"/>
        <v>Chicken Kokkachi</v>
      </c>
      <c r="S6467" s="5" t="str">
        <f>IFERROR(__xludf.DUMMYFUNCTION("""COMPUTED_VALUE"""),"Soul To Keep")</f>
        <v>Soul To Keep</v>
      </c>
      <c r="V6467" s="5"/>
      <c r="Y6467" s="5" t="str">
        <f>IFERROR(__xludf.DUMMYFUNCTION("REGEXEXTRACT(J6467, ""^\d+"")"),"113")</f>
        <v>113</v>
      </c>
      <c r="Z6467" s="5" t="str">
        <f>IFERROR(__xludf.DUMMYFUNCTION("REGEXEXTRACT(J6467, ""[A-Za-z ]+$"")")," min")</f>
        <v> min</v>
      </c>
      <c r="AA6467" s="5" t="str">
        <f>IFERROR(__xludf.DUMMYFUNCTION("IF(REGEXMATCH(Z6467, ""Season""), ""TV Show"", ""Movie"")"),"Movie")</f>
        <v>Movie</v>
      </c>
    </row>
    <row r="6468">
      <c r="A6468" s="1" t="s">
        <v>32286</v>
      </c>
      <c r="B6468" s="1" t="s">
        <v>27</v>
      </c>
      <c r="C6468" s="1" t="s">
        <v>32287</v>
      </c>
      <c r="D6468" s="1" t="s">
        <v>14836</v>
      </c>
      <c r="E6468" s="1" t="s">
        <v>32288</v>
      </c>
      <c r="F6468" s="1" t="s">
        <v>30</v>
      </c>
      <c r="G6468" s="1" t="s">
        <v>32289</v>
      </c>
      <c r="H6468" s="1">
        <v>2005.0</v>
      </c>
      <c r="I6468" s="1" t="s">
        <v>770</v>
      </c>
      <c r="J6468" s="1" t="s">
        <v>1001</v>
      </c>
      <c r="K6468" s="1" t="s">
        <v>137</v>
      </c>
      <c r="L6468" s="1" t="s">
        <v>32290</v>
      </c>
      <c r="M6468" s="2" t="s">
        <v>12</v>
      </c>
      <c r="N6468" s="4">
        <f t="shared" si="1"/>
        <v>42445</v>
      </c>
      <c r="O6468" s="5" t="str">
        <f>IFERROR(__xludf.DUMMYFUNCTION("IF(REGEXMATCH(TRIM(I6468), ""^\d+\s*min""), ""Unclassified"", IF(I6468 = """", ""NR"", I6468))"),"G")</f>
        <v>G</v>
      </c>
      <c r="R6468" s="5" t="str">
        <f t="shared" si="2"/>
        <v>Chicken Little</v>
      </c>
      <c r="S6468" s="5" t="str">
        <f>IFERROR(__xludf.DUMMYFUNCTION("""COMPUTED_VALUE"""),"Soundtrack")</f>
        <v>Soundtrack</v>
      </c>
      <c r="V6468" s="5"/>
      <c r="Y6468" s="5" t="str">
        <f>IFERROR(__xludf.DUMMYFUNCTION("REGEXEXTRACT(J6468, ""^\d+"")"),"82")</f>
        <v>82</v>
      </c>
      <c r="Z6468" s="5" t="str">
        <f>IFERROR(__xludf.DUMMYFUNCTION("REGEXEXTRACT(J6468, ""[A-Za-z ]+$"")")," min")</f>
        <v> min</v>
      </c>
      <c r="AA6468" s="5" t="str">
        <f>IFERROR(__xludf.DUMMYFUNCTION("IF(REGEXMATCH(Z6468, ""Season""), ""TV Show"", ""Movie"")"),"Movie")</f>
        <v>Movie</v>
      </c>
    </row>
    <row r="6469">
      <c r="A6469" s="1" t="s">
        <v>32291</v>
      </c>
      <c r="B6469" s="1" t="s">
        <v>27</v>
      </c>
      <c r="C6469" s="1" t="s">
        <v>32292</v>
      </c>
      <c r="D6469" s="1" t="s">
        <v>12095</v>
      </c>
      <c r="E6469" s="1" t="s">
        <v>32293</v>
      </c>
      <c r="F6469" s="1" t="s">
        <v>400</v>
      </c>
      <c r="G6469" s="1" t="s">
        <v>21602</v>
      </c>
      <c r="H6469" s="1">
        <v>2018.0</v>
      </c>
      <c r="I6469" s="1" t="s">
        <v>42</v>
      </c>
      <c r="J6469" s="1" t="s">
        <v>357</v>
      </c>
      <c r="K6469" s="1" t="s">
        <v>583</v>
      </c>
      <c r="L6469" s="1" t="s">
        <v>32294</v>
      </c>
      <c r="M6469" s="2" t="s">
        <v>12</v>
      </c>
      <c r="N6469" s="4">
        <f t="shared" si="1"/>
        <v>43539</v>
      </c>
      <c r="O6469" s="5" t="str">
        <f>IFERROR(__xludf.DUMMYFUNCTION("IF(REGEXMATCH(TRIM(I6469), ""^\d+\s*min""), ""Unclassified"", IF(I6469 = """", ""NR"", I6469))"),"TV-MA")</f>
        <v>TV-MA</v>
      </c>
      <c r="R6469" s="5" t="str">
        <f t="shared" si="2"/>
        <v>Chief Daddy</v>
      </c>
      <c r="S6469" s="5" t="str">
        <f>IFERROR(__xludf.DUMMYFUNCTION("""COMPUTED_VALUE"""),"Sour Grapes")</f>
        <v>Sour Grapes</v>
      </c>
      <c r="V6469" s="5"/>
      <c r="Y6469" s="5" t="str">
        <f>IFERROR(__xludf.DUMMYFUNCTION("REGEXEXTRACT(J6469, ""^\d+"")"),"98")</f>
        <v>98</v>
      </c>
      <c r="Z6469" s="5" t="str">
        <f>IFERROR(__xludf.DUMMYFUNCTION("REGEXEXTRACT(J6469, ""[A-Za-z ]+$"")")," min")</f>
        <v> min</v>
      </c>
      <c r="AA6469" s="5" t="str">
        <f>IFERROR(__xludf.DUMMYFUNCTION("IF(REGEXMATCH(Z6469, ""Season""), ""TV Show"", ""Movie"")"),"Movie")</f>
        <v>Movie</v>
      </c>
    </row>
    <row r="6470">
      <c r="A6470" s="1" t="s">
        <v>32295</v>
      </c>
      <c r="B6470" s="1" t="s">
        <v>27</v>
      </c>
      <c r="C6470" s="1" t="s">
        <v>32296</v>
      </c>
      <c r="D6470" s="1" t="s">
        <v>22718</v>
      </c>
      <c r="E6470" s="1" t="s">
        <v>32297</v>
      </c>
      <c r="F6470" s="1" t="s">
        <v>30</v>
      </c>
      <c r="G6470" s="1" t="s">
        <v>17078</v>
      </c>
      <c r="H6470" s="1">
        <v>1988.0</v>
      </c>
      <c r="I6470" s="1" t="s">
        <v>378</v>
      </c>
      <c r="J6470" s="1" t="s">
        <v>630</v>
      </c>
      <c r="K6470" s="1" t="s">
        <v>4847</v>
      </c>
      <c r="L6470" s="1" t="s">
        <v>32298</v>
      </c>
      <c r="M6470" s="2" t="s">
        <v>12</v>
      </c>
      <c r="N6470" s="4">
        <f t="shared" si="1"/>
        <v>43830</v>
      </c>
      <c r="O6470" s="5" t="str">
        <f>IFERROR(__xludf.DUMMYFUNCTION("IF(REGEXMATCH(TRIM(I6470), ""^\d+\s*min""), ""Unclassified"", IF(I6470 = """", ""NR"", I6470))"),"R")</f>
        <v>R</v>
      </c>
      <c r="R6470" s="5" t="str">
        <f t="shared" si="2"/>
        <v>Child'S Play</v>
      </c>
      <c r="S6470" s="5" t="str">
        <f>IFERROR(__xludf.DUMMYFUNCTION("""COMPUTED_VALUE"""),"Southern Survival")</f>
        <v>Southern Survival</v>
      </c>
      <c r="V6470" s="5"/>
      <c r="Y6470" s="5" t="str">
        <f>IFERROR(__xludf.DUMMYFUNCTION("REGEXEXTRACT(J6470, ""^\d+"")"),"87")</f>
        <v>87</v>
      </c>
      <c r="Z6470" s="5" t="str">
        <f>IFERROR(__xludf.DUMMYFUNCTION("REGEXEXTRACT(J6470, ""[A-Za-z ]+$"")")," min")</f>
        <v> min</v>
      </c>
      <c r="AA6470" s="5" t="str">
        <f>IFERROR(__xludf.DUMMYFUNCTION("IF(REGEXMATCH(Z6470, ""Season""), ""TV Show"", ""Movie"")"),"Movie")</f>
        <v>Movie</v>
      </c>
    </row>
    <row r="6471">
      <c r="A6471" s="1" t="s">
        <v>32299</v>
      </c>
      <c r="B6471" s="1" t="s">
        <v>37</v>
      </c>
      <c r="C6471" s="1" t="s">
        <v>32300</v>
      </c>
      <c r="E6471" s="1" t="s">
        <v>1502</v>
      </c>
      <c r="G6471" s="1" t="s">
        <v>29051</v>
      </c>
      <c r="H6471" s="1">
        <v>1994.0</v>
      </c>
      <c r="I6471" s="1" t="s">
        <v>506</v>
      </c>
      <c r="J6471" s="1" t="s">
        <v>51</v>
      </c>
      <c r="K6471" s="1" t="s">
        <v>1045</v>
      </c>
      <c r="L6471" s="1" t="s">
        <v>32301</v>
      </c>
      <c r="M6471" s="2" t="s">
        <v>12</v>
      </c>
      <c r="N6471" s="4">
        <f t="shared" si="1"/>
        <v>42705</v>
      </c>
      <c r="O6471" s="5" t="str">
        <f>IFERROR(__xludf.DUMMYFUNCTION("IF(REGEXMATCH(TRIM(I6471), ""^\d+\s*min""), ""Unclassified"", IF(I6471 = """", ""NR"", I6471))"),"TV-G")</f>
        <v>TV-G</v>
      </c>
      <c r="R6471" s="5" t="str">
        <f t="shared" si="2"/>
        <v>Chill With Bob Ross</v>
      </c>
      <c r="S6471" s="5" t="str">
        <f>IFERROR(__xludf.DUMMYFUNCTION("""COMPUTED_VALUE"""),"Soy Rada: Serendipity")</f>
        <v>Soy Rada: Serendipity</v>
      </c>
      <c r="V6471" s="5"/>
      <c r="Y6471" s="5" t="str">
        <f>IFERROR(__xludf.DUMMYFUNCTION("REGEXEXTRACT(J6471, ""^\d+"")"),"1")</f>
        <v>1</v>
      </c>
      <c r="Z6471" s="5" t="str">
        <f>IFERROR(__xludf.DUMMYFUNCTION("REGEXEXTRACT(J6471, ""[A-Za-z ]+$"")")," Season")</f>
        <v> Season</v>
      </c>
      <c r="AA6471" s="5" t="str">
        <f>IFERROR(__xludf.DUMMYFUNCTION("IF(REGEXMATCH(Z6471, ""Season""), ""TV Show"", ""Movie"")"),"TV Show")</f>
        <v>TV Show</v>
      </c>
    </row>
    <row r="6472">
      <c r="A6472" s="1" t="s">
        <v>32302</v>
      </c>
      <c r="B6472" s="1" t="s">
        <v>27</v>
      </c>
      <c r="C6472" s="1" t="s">
        <v>32303</v>
      </c>
      <c r="D6472" s="1" t="s">
        <v>22166</v>
      </c>
      <c r="E6472" s="1" t="s">
        <v>32304</v>
      </c>
      <c r="F6472" s="1" t="s">
        <v>3892</v>
      </c>
      <c r="G6472" s="1" t="s">
        <v>32305</v>
      </c>
      <c r="H6472" s="1">
        <v>2017.0</v>
      </c>
      <c r="I6472" s="1" t="s">
        <v>42</v>
      </c>
      <c r="J6472" s="1" t="s">
        <v>264</v>
      </c>
      <c r="K6472" s="1" t="s">
        <v>1066</v>
      </c>
      <c r="L6472" s="1" t="s">
        <v>32306</v>
      </c>
      <c r="M6472" s="2" t="s">
        <v>12</v>
      </c>
      <c r="N6472" s="4">
        <f t="shared" si="1"/>
        <v>43367</v>
      </c>
      <c r="O6472" s="5" t="str">
        <f>IFERROR(__xludf.DUMMYFUNCTION("IF(REGEXMATCH(TRIM(I6472), ""^\d+\s*min""), ""Unclassified"", IF(I6472 = """", ""NR"", I6472))"),"TV-MA")</f>
        <v>TV-MA</v>
      </c>
      <c r="R6472" s="5" t="str">
        <f t="shared" si="2"/>
        <v>China Salesman</v>
      </c>
      <c r="S6472" s="5" t="str">
        <f>IFERROR(__xludf.DUMMYFUNCTION("""COMPUTED_VALUE"""),"Space Cowboys")</f>
        <v>Space Cowboys</v>
      </c>
      <c r="V6472" s="5"/>
      <c r="Y6472" s="5" t="str">
        <f>IFERROR(__xludf.DUMMYFUNCTION("REGEXEXTRACT(J6472, ""^\d+"")"),"111")</f>
        <v>111</v>
      </c>
      <c r="Z6472" s="5" t="str">
        <f>IFERROR(__xludf.DUMMYFUNCTION("REGEXEXTRACT(J6472, ""[A-Za-z ]+$"")")," min")</f>
        <v> min</v>
      </c>
      <c r="AA6472" s="5" t="str">
        <f>IFERROR(__xludf.DUMMYFUNCTION("IF(REGEXMATCH(Z6472, ""Season""), ""TV Show"", ""Movie"")"),"Movie")</f>
        <v>Movie</v>
      </c>
    </row>
    <row r="6473">
      <c r="A6473" s="1" t="s">
        <v>32307</v>
      </c>
      <c r="B6473" s="1" t="s">
        <v>27</v>
      </c>
      <c r="C6473" s="1" t="s">
        <v>32308</v>
      </c>
      <c r="D6473" s="1" t="s">
        <v>14092</v>
      </c>
      <c r="E6473" s="1" t="s">
        <v>32309</v>
      </c>
      <c r="G6473" s="1" t="s">
        <v>27988</v>
      </c>
      <c r="H6473" s="1">
        <v>2017.0</v>
      </c>
      <c r="I6473" s="1" t="s">
        <v>42</v>
      </c>
      <c r="J6473" s="1" t="s">
        <v>919</v>
      </c>
      <c r="K6473" s="1" t="s">
        <v>1839</v>
      </c>
      <c r="L6473" s="1" t="s">
        <v>32310</v>
      </c>
      <c r="M6473" s="2" t="s">
        <v>12</v>
      </c>
      <c r="N6473" s="4">
        <f t="shared" si="1"/>
        <v>42887</v>
      </c>
      <c r="O6473" s="5" t="str">
        <f>IFERROR(__xludf.DUMMYFUNCTION("IF(REGEXMATCH(TRIM(I6473), ""^\d+\s*min""), ""Unclassified"", IF(I6473 = """", ""NR"", I6473))"),"TV-MA")</f>
        <v>TV-MA</v>
      </c>
      <c r="R6473" s="5" t="str">
        <f t="shared" si="2"/>
        <v>Chingo Bling: They Can'T Deport Us All</v>
      </c>
      <c r="S6473" s="5" t="str">
        <f>IFERROR(__xludf.DUMMYFUNCTION("""COMPUTED_VALUE"""),"Space Force")</f>
        <v>Space Force</v>
      </c>
      <c r="V6473" s="5"/>
      <c r="Y6473" s="5" t="str">
        <f>IFERROR(__xludf.DUMMYFUNCTION("REGEXEXTRACT(J6473, ""^\d+"")"),"63")</f>
        <v>63</v>
      </c>
      <c r="Z6473" s="5" t="str">
        <f>IFERROR(__xludf.DUMMYFUNCTION("REGEXEXTRACT(J6473, ""[A-Za-z ]+$"")")," min")</f>
        <v> min</v>
      </c>
      <c r="AA6473" s="5" t="str">
        <f>IFERROR(__xludf.DUMMYFUNCTION("IF(REGEXMATCH(Z6473, ""Season""), ""TV Show"", ""Movie"")"),"Movie")</f>
        <v>Movie</v>
      </c>
    </row>
    <row r="6474">
      <c r="A6474" s="1" t="s">
        <v>32311</v>
      </c>
      <c r="B6474" s="1" t="s">
        <v>27</v>
      </c>
      <c r="C6474" s="1" t="s">
        <v>32312</v>
      </c>
      <c r="D6474" s="1" t="s">
        <v>3096</v>
      </c>
      <c r="E6474" s="1" t="s">
        <v>32313</v>
      </c>
      <c r="F6474" s="1" t="s">
        <v>32314</v>
      </c>
      <c r="G6474" s="1" t="s">
        <v>26481</v>
      </c>
      <c r="H6474" s="1">
        <v>2012.0</v>
      </c>
      <c r="I6474" s="1" t="s">
        <v>30231</v>
      </c>
      <c r="J6474" s="1" t="s">
        <v>305</v>
      </c>
      <c r="K6474" s="1" t="s">
        <v>89</v>
      </c>
      <c r="L6474" s="1" t="s">
        <v>32315</v>
      </c>
      <c r="M6474" s="2" t="s">
        <v>12</v>
      </c>
      <c r="N6474" s="4">
        <f t="shared" si="1"/>
        <v>43101</v>
      </c>
      <c r="O6474" s="5" t="str">
        <f>IFERROR(__xludf.DUMMYFUNCTION("IF(REGEXMATCH(TRIM(I6474), ""^\d+\s*min""), ""Unclassified"", IF(I6474 = """", ""NR"", I6474))"),"NR")</f>
        <v>NR</v>
      </c>
      <c r="R6474" s="5" t="str">
        <f t="shared" si="2"/>
        <v>Chittagong</v>
      </c>
      <c r="S6474" s="5" t="str">
        <f>IFERROR(__xludf.DUMMYFUNCTION("""COMPUTED_VALUE"""),"Space Jungle")</f>
        <v>Space Jungle</v>
      </c>
      <c r="V6474" s="5"/>
      <c r="Y6474" s="5" t="str">
        <f>IFERROR(__xludf.DUMMYFUNCTION("REGEXEXTRACT(J6474, ""^\d+"")"),"105")</f>
        <v>105</v>
      </c>
      <c r="Z6474" s="5" t="str">
        <f>IFERROR(__xludf.DUMMYFUNCTION("REGEXEXTRACT(J6474, ""[A-Za-z ]+$"")")," min")</f>
        <v> min</v>
      </c>
      <c r="AA6474" s="5" t="str">
        <f>IFERROR(__xludf.DUMMYFUNCTION("IF(REGEXMATCH(Z6474, ""Season""), ""TV Show"", ""Movie"")"),"Movie")</f>
        <v>Movie</v>
      </c>
    </row>
    <row r="6475">
      <c r="A6475" s="1" t="s">
        <v>32316</v>
      </c>
      <c r="B6475" s="1" t="s">
        <v>27</v>
      </c>
      <c r="C6475" s="1" t="s">
        <v>32317</v>
      </c>
      <c r="D6475" s="1" t="s">
        <v>12717</v>
      </c>
      <c r="E6475" s="1" t="s">
        <v>32318</v>
      </c>
      <c r="F6475" s="1" t="s">
        <v>686</v>
      </c>
      <c r="G6475" s="1" t="s">
        <v>16947</v>
      </c>
      <c r="H6475" s="1">
        <v>1968.0</v>
      </c>
      <c r="I6475" s="1" t="s">
        <v>770</v>
      </c>
      <c r="J6475" s="1" t="s">
        <v>11162</v>
      </c>
      <c r="K6475" s="1" t="s">
        <v>9877</v>
      </c>
      <c r="L6475" s="1" t="s">
        <v>32319</v>
      </c>
      <c r="M6475" s="2" t="s">
        <v>12</v>
      </c>
      <c r="N6475" s="4">
        <f t="shared" si="1"/>
        <v>43831</v>
      </c>
      <c r="O6475" s="5" t="str">
        <f>IFERROR(__xludf.DUMMYFUNCTION("IF(REGEXMATCH(TRIM(I6475), ""^\d+\s*min""), ""Unclassified"", IF(I6475 = """", ""NR"", I6475))"),"G")</f>
        <v>G</v>
      </c>
      <c r="R6475" s="5" t="str">
        <f t="shared" si="2"/>
        <v>Chitty Chitty Bang Bang</v>
      </c>
      <c r="S6475" s="5" t="str">
        <f>IFERROR(__xludf.DUMMYFUNCTION("""COMPUTED_VALUE"""),"Space Racers")</f>
        <v>Space Racers</v>
      </c>
      <c r="V6475" s="5"/>
      <c r="Y6475" s="5" t="str">
        <f>IFERROR(__xludf.DUMMYFUNCTION("REGEXEXTRACT(J6475, ""^\d+"")"),"146")</f>
        <v>146</v>
      </c>
      <c r="Z6475" s="5" t="str">
        <f>IFERROR(__xludf.DUMMYFUNCTION("REGEXEXTRACT(J6475, ""[A-Za-z ]+$"")")," min")</f>
        <v> min</v>
      </c>
      <c r="AA6475" s="5" t="str">
        <f>IFERROR(__xludf.DUMMYFUNCTION("IF(REGEXMATCH(Z6475, ""Season""), ""TV Show"", ""Movie"")"),"Movie")</f>
        <v>Movie</v>
      </c>
    </row>
    <row r="6476">
      <c r="A6476" s="1" t="s">
        <v>32320</v>
      </c>
      <c r="B6476" s="1" t="s">
        <v>27</v>
      </c>
      <c r="C6476" s="1" t="s">
        <v>32321</v>
      </c>
      <c r="D6476" s="1" t="s">
        <v>2705</v>
      </c>
      <c r="E6476" s="1" t="s">
        <v>32322</v>
      </c>
      <c r="F6476" s="1" t="s">
        <v>32323</v>
      </c>
      <c r="G6476" s="1" t="s">
        <v>16947</v>
      </c>
      <c r="H6476" s="1">
        <v>2009.0</v>
      </c>
      <c r="I6476" s="1" t="s">
        <v>378</v>
      </c>
      <c r="J6476" s="1" t="s">
        <v>322</v>
      </c>
      <c r="K6476" s="1" t="s">
        <v>5435</v>
      </c>
      <c r="L6476" s="1" t="s">
        <v>32324</v>
      </c>
      <c r="M6476" s="2" t="s">
        <v>12</v>
      </c>
      <c r="N6476" s="4">
        <f t="shared" si="1"/>
        <v>43831</v>
      </c>
      <c r="O6476" s="5" t="str">
        <f>IFERROR(__xludf.DUMMYFUNCTION("IF(REGEXMATCH(TRIM(I6476), ""^\d+\s*min""), ""Unclassified"", IF(I6476 = """", ""NR"", I6476))"),"R")</f>
        <v>R</v>
      </c>
      <c r="R6476" s="5" t="str">
        <f t="shared" si="2"/>
        <v>Chloe</v>
      </c>
      <c r="S6476" s="5" t="str">
        <f>IFERROR(__xludf.DUMMYFUNCTION("""COMPUTED_VALUE"""),"Space Sweepers")</f>
        <v>Space Sweepers</v>
      </c>
      <c r="V6476" s="5"/>
      <c r="Y6476" s="5" t="str">
        <f>IFERROR(__xludf.DUMMYFUNCTION("REGEXEXTRACT(J6476, ""^\d+"")"),"96")</f>
        <v>96</v>
      </c>
      <c r="Z6476" s="5" t="str">
        <f>IFERROR(__xludf.DUMMYFUNCTION("REGEXEXTRACT(J6476, ""[A-Za-z ]+$"")")," min")</f>
        <v> min</v>
      </c>
      <c r="AA6476" s="5" t="str">
        <f>IFERROR(__xludf.DUMMYFUNCTION("IF(REGEXMATCH(Z6476, ""Season""), ""TV Show"", ""Movie"")"),"Movie")</f>
        <v>Movie</v>
      </c>
    </row>
    <row r="6477">
      <c r="A6477" s="1" t="s">
        <v>32325</v>
      </c>
      <c r="B6477" s="1" t="s">
        <v>27</v>
      </c>
      <c r="C6477" s="1" t="s">
        <v>32326</v>
      </c>
      <c r="D6477" s="1" t="s">
        <v>1941</v>
      </c>
      <c r="E6477" s="1" t="s">
        <v>32327</v>
      </c>
      <c r="F6477" s="1" t="s">
        <v>30</v>
      </c>
      <c r="G6477" s="1" t="s">
        <v>32328</v>
      </c>
      <c r="H6477" s="1">
        <v>2017.0</v>
      </c>
      <c r="I6477" s="1" t="s">
        <v>42</v>
      </c>
      <c r="J6477" s="1" t="s">
        <v>729</v>
      </c>
      <c r="K6477" s="1" t="s">
        <v>700</v>
      </c>
      <c r="L6477" s="1" t="s">
        <v>32329</v>
      </c>
      <c r="M6477" s="2" t="s">
        <v>12</v>
      </c>
      <c r="N6477" s="4">
        <f t="shared" si="1"/>
        <v>43015</v>
      </c>
      <c r="O6477" s="5" t="str">
        <f>IFERROR(__xludf.DUMMYFUNCTION("IF(REGEXMATCH(TRIM(I6477), ""^\d+\s*min""), ""Unclassified"", IF(I6477 = """", ""NR"", I6477))"),"TV-MA")</f>
        <v>TV-MA</v>
      </c>
      <c r="R6477" s="5" t="str">
        <f t="shared" si="2"/>
        <v>Chris Brown: Welcome To My Life</v>
      </c>
      <c r="S6477" s="5" t="str">
        <f>IFERROR(__xludf.DUMMYFUNCTION("""COMPUTED_VALUE"""),"Spanish Affair 2")</f>
        <v>Spanish Affair 2</v>
      </c>
      <c r="V6477" s="5"/>
      <c r="Y6477" s="5" t="str">
        <f>IFERROR(__xludf.DUMMYFUNCTION("REGEXEXTRACT(J6477, ""^\d+"")"),"80")</f>
        <v>80</v>
      </c>
      <c r="Z6477" s="5" t="str">
        <f>IFERROR(__xludf.DUMMYFUNCTION("REGEXEXTRACT(J6477, ""[A-Za-z ]+$"")")," min")</f>
        <v> min</v>
      </c>
      <c r="AA6477" s="5" t="str">
        <f>IFERROR(__xludf.DUMMYFUNCTION("IF(REGEXMATCH(Z6477, ""Season""), ""TV Show"", ""Movie"")"),"Movie")</f>
        <v>Movie</v>
      </c>
    </row>
    <row r="6478">
      <c r="A6478" s="1" t="s">
        <v>32330</v>
      </c>
      <c r="B6478" s="1" t="s">
        <v>27</v>
      </c>
      <c r="C6478" s="1" t="s">
        <v>32331</v>
      </c>
      <c r="D6478" s="1" t="s">
        <v>5183</v>
      </c>
      <c r="E6478" s="1" t="s">
        <v>32332</v>
      </c>
      <c r="F6478" s="1" t="s">
        <v>30</v>
      </c>
      <c r="G6478" s="1" t="s">
        <v>20510</v>
      </c>
      <c r="H6478" s="1">
        <v>2014.0</v>
      </c>
      <c r="I6478" s="1" t="s">
        <v>78</v>
      </c>
      <c r="J6478" s="1" t="s">
        <v>416</v>
      </c>
      <c r="K6478" s="1" t="s">
        <v>16434</v>
      </c>
      <c r="L6478" s="1" t="s">
        <v>32333</v>
      </c>
      <c r="M6478" s="2" t="s">
        <v>12</v>
      </c>
      <c r="N6478" s="4">
        <f t="shared" si="1"/>
        <v>43622</v>
      </c>
      <c r="O6478" s="5" t="str">
        <f>IFERROR(__xludf.DUMMYFUNCTION("IF(REGEXMATCH(TRIM(I6478), ""^\d+\s*min""), ""Unclassified"", IF(I6478 = """", ""NR"", I6478))"),"PG")</f>
        <v>PG</v>
      </c>
      <c r="R6478" s="5" t="str">
        <f t="shared" si="2"/>
        <v>Christian Mingle</v>
      </c>
      <c r="S6478" s="5" t="str">
        <f>IFERROR(__xludf.DUMMYFUNCTION("""COMPUTED_VALUE"""),"Spark")</f>
        <v>Spark</v>
      </c>
      <c r="V6478" s="5"/>
      <c r="Y6478" s="5" t="str">
        <f>IFERROR(__xludf.DUMMYFUNCTION("REGEXEXTRACT(J6478, ""^\d+"")"),"99")</f>
        <v>99</v>
      </c>
      <c r="Z6478" s="5" t="str">
        <f>IFERROR(__xludf.DUMMYFUNCTION("REGEXEXTRACT(J6478, ""[A-Za-z ]+$"")")," min")</f>
        <v> min</v>
      </c>
      <c r="AA6478" s="5" t="str">
        <f>IFERROR(__xludf.DUMMYFUNCTION("IF(REGEXMATCH(Z6478, ""Season""), ""TV Show"", ""Movie"")"),"Movie")</f>
        <v>Movie</v>
      </c>
    </row>
    <row r="6479">
      <c r="A6479" s="1" t="s">
        <v>32334</v>
      </c>
      <c r="B6479" s="1" t="s">
        <v>37</v>
      </c>
      <c r="C6479" s="1" t="s">
        <v>32335</v>
      </c>
      <c r="F6479" s="1" t="s">
        <v>30</v>
      </c>
      <c r="G6479" s="1" t="s">
        <v>24442</v>
      </c>
      <c r="H6479" s="1">
        <v>2018.0</v>
      </c>
      <c r="I6479" s="1" t="s">
        <v>42</v>
      </c>
      <c r="J6479" s="1" t="s">
        <v>51</v>
      </c>
      <c r="K6479" s="1" t="s">
        <v>1261</v>
      </c>
      <c r="L6479" s="1" t="s">
        <v>32336</v>
      </c>
      <c r="M6479" s="2" t="s">
        <v>12</v>
      </c>
      <c r="N6479" s="4">
        <f t="shared" si="1"/>
        <v>43373</v>
      </c>
      <c r="O6479" s="5" t="str">
        <f>IFERROR(__xludf.DUMMYFUNCTION("IF(REGEXMATCH(TRIM(I6479), ""^\d+\s*min""), ""Unclassified"", IF(I6479 = """", ""NR"", I6479))"),"TV-MA")</f>
        <v>TV-MA</v>
      </c>
      <c r="R6479" s="5" t="str">
        <f t="shared" si="2"/>
        <v>Christiane Amanpour: Sex &amp; Love Around The World</v>
      </c>
      <c r="S6479" s="5" t="str">
        <f>IFERROR(__xludf.DUMMYFUNCTION("""COMPUTED_VALUE"""),"Sparking Joy")</f>
        <v>Sparking Joy</v>
      </c>
      <c r="V6479" s="5"/>
      <c r="Y6479" s="5" t="str">
        <f>IFERROR(__xludf.DUMMYFUNCTION("REGEXEXTRACT(J6479, ""^\d+"")"),"1")</f>
        <v>1</v>
      </c>
      <c r="Z6479" s="5" t="str">
        <f>IFERROR(__xludf.DUMMYFUNCTION("REGEXEXTRACT(J6479, ""[A-Za-z ]+$"")")," Season")</f>
        <v> Season</v>
      </c>
      <c r="AA6479" s="5" t="str">
        <f>IFERROR(__xludf.DUMMYFUNCTION("IF(REGEXMATCH(Z6479, ""Season""), ""TV Show"", ""Movie"")"),"TV Show")</f>
        <v>TV Show</v>
      </c>
    </row>
    <row r="6480">
      <c r="A6480" s="1" t="s">
        <v>32337</v>
      </c>
      <c r="B6480" s="1" t="s">
        <v>27</v>
      </c>
      <c r="C6480" s="1" t="s">
        <v>32338</v>
      </c>
      <c r="D6480" s="1" t="s">
        <v>14795</v>
      </c>
      <c r="E6480" s="1" t="s">
        <v>32339</v>
      </c>
      <c r="F6480" s="1" t="s">
        <v>1979</v>
      </c>
      <c r="G6480" s="1" t="s">
        <v>18253</v>
      </c>
      <c r="H6480" s="1">
        <v>2012.0</v>
      </c>
      <c r="I6480" s="1" t="s">
        <v>136</v>
      </c>
      <c r="J6480" s="1" t="s">
        <v>630</v>
      </c>
      <c r="K6480" s="1" t="s">
        <v>813</v>
      </c>
      <c r="L6480" s="1" t="s">
        <v>32340</v>
      </c>
      <c r="M6480" s="2" t="s">
        <v>12</v>
      </c>
      <c r="N6480" s="4">
        <f t="shared" si="1"/>
        <v>43773</v>
      </c>
      <c r="O6480" s="5" t="str">
        <f>IFERROR(__xludf.DUMMYFUNCTION("IF(REGEXMATCH(TRIM(I6480), ""^\d+\s*min""), ""Unclassified"", IF(I6480 = """", ""NR"", I6480))"),"TV-PG")</f>
        <v>TV-PG</v>
      </c>
      <c r="R6480" s="5" t="str">
        <f t="shared" si="2"/>
        <v>Christmas Crush</v>
      </c>
      <c r="S6480" s="5" t="str">
        <f>IFERROR(__xludf.DUMMYFUNCTION("""COMPUTED_VALUE"""),"Sparkle")</f>
        <v>Sparkle</v>
      </c>
      <c r="V6480" s="5"/>
      <c r="Y6480" s="5" t="str">
        <f>IFERROR(__xludf.DUMMYFUNCTION("REGEXEXTRACT(J6480, ""^\d+"")"),"87")</f>
        <v>87</v>
      </c>
      <c r="Z6480" s="5" t="str">
        <f>IFERROR(__xludf.DUMMYFUNCTION("REGEXEXTRACT(J6480, ""[A-Za-z ]+$"")")," min")</f>
        <v> min</v>
      </c>
      <c r="AA6480" s="5" t="str">
        <f>IFERROR(__xludf.DUMMYFUNCTION("IF(REGEXMATCH(Z6480, ""Season""), ""TV Show"", ""Movie"")"),"Movie")</f>
        <v>Movie</v>
      </c>
    </row>
    <row r="6481">
      <c r="A6481" s="1" t="s">
        <v>32341</v>
      </c>
      <c r="B6481" s="1" t="s">
        <v>27</v>
      </c>
      <c r="C6481" s="1" t="s">
        <v>32342</v>
      </c>
      <c r="D6481" s="1" t="s">
        <v>8204</v>
      </c>
      <c r="E6481" s="1" t="s">
        <v>32343</v>
      </c>
      <c r="F6481" s="1" t="s">
        <v>30</v>
      </c>
      <c r="G6481" s="1" t="s">
        <v>21838</v>
      </c>
      <c r="H6481" s="1">
        <v>2015.0</v>
      </c>
      <c r="I6481" s="1" t="s">
        <v>506</v>
      </c>
      <c r="J6481" s="1" t="s">
        <v>428</v>
      </c>
      <c r="K6481" s="1" t="s">
        <v>14468</v>
      </c>
      <c r="L6481" s="1" t="s">
        <v>32344</v>
      </c>
      <c r="M6481" s="2" t="s">
        <v>12</v>
      </c>
      <c r="N6481" s="4">
        <f t="shared" si="1"/>
        <v>43525</v>
      </c>
      <c r="O6481" s="5" t="str">
        <f>IFERROR(__xludf.DUMMYFUNCTION("IF(REGEXMATCH(TRIM(I6481), ""^\d+\s*min""), ""Unclassified"", IF(I6481 = """", ""NR"", I6481))"),"TV-G")</f>
        <v>TV-G</v>
      </c>
      <c r="R6481" s="5" t="str">
        <f t="shared" si="2"/>
        <v>Christmas In The Smokies</v>
      </c>
      <c r="S6481" s="5" t="str">
        <f>IFERROR(__xludf.DUMMYFUNCTION("""COMPUTED_VALUE"""),"Sparring")</f>
        <v>Sparring</v>
      </c>
      <c r="V6481" s="5"/>
      <c r="Y6481" s="5" t="str">
        <f>IFERROR(__xludf.DUMMYFUNCTION("REGEXEXTRACT(J6481, ""^\d+"")"),"88")</f>
        <v>88</v>
      </c>
      <c r="Z6481" s="5" t="str">
        <f>IFERROR(__xludf.DUMMYFUNCTION("REGEXEXTRACT(J6481, ""[A-Za-z ]+$"")")," min")</f>
        <v> min</v>
      </c>
      <c r="AA6481" s="5" t="str">
        <f>IFERROR(__xludf.DUMMYFUNCTION("IF(REGEXMATCH(Z6481, ""Season""), ""TV Show"", ""Movie"")"),"Movie")</f>
        <v>Movie</v>
      </c>
    </row>
    <row r="6482">
      <c r="A6482" s="1" t="s">
        <v>32345</v>
      </c>
      <c r="B6482" s="1" t="s">
        <v>27</v>
      </c>
      <c r="C6482" s="1" t="s">
        <v>32346</v>
      </c>
      <c r="D6482" s="1" t="s">
        <v>2185</v>
      </c>
      <c r="E6482" s="1" t="s">
        <v>32347</v>
      </c>
      <c r="F6482" s="1" t="s">
        <v>30</v>
      </c>
      <c r="G6482" s="1" t="s">
        <v>22635</v>
      </c>
      <c r="H6482" s="1">
        <v>2004.0</v>
      </c>
      <c r="I6482" s="1" t="s">
        <v>78</v>
      </c>
      <c r="J6482" s="1" t="s">
        <v>416</v>
      </c>
      <c r="K6482" s="1" t="s">
        <v>137</v>
      </c>
      <c r="L6482" s="1" t="s">
        <v>32348</v>
      </c>
      <c r="M6482" s="2" t="s">
        <v>12</v>
      </c>
      <c r="N6482" s="4">
        <f t="shared" si="1"/>
        <v>43466</v>
      </c>
      <c r="O6482" s="5" t="str">
        <f>IFERROR(__xludf.DUMMYFUNCTION("IF(REGEXMATCH(TRIM(I6482), ""^\d+\s*min""), ""Unclassified"", IF(I6482 = """", ""NR"", I6482))"),"PG")</f>
        <v>PG</v>
      </c>
      <c r="R6482" s="5" t="str">
        <f t="shared" si="2"/>
        <v>Christmas With The Kranks</v>
      </c>
      <c r="S6482" s="5" t="str">
        <f>IFERROR(__xludf.DUMMYFUNCTION("""COMPUTED_VALUE"""),"Sparta")</f>
        <v>Sparta</v>
      </c>
      <c r="V6482" s="5"/>
      <c r="Y6482" s="5" t="str">
        <f>IFERROR(__xludf.DUMMYFUNCTION("REGEXEXTRACT(J6482, ""^\d+"")"),"99")</f>
        <v>99</v>
      </c>
      <c r="Z6482" s="5" t="str">
        <f>IFERROR(__xludf.DUMMYFUNCTION("REGEXEXTRACT(J6482, ""[A-Za-z ]+$"")")," min")</f>
        <v> min</v>
      </c>
      <c r="AA6482" s="5" t="str">
        <f>IFERROR(__xludf.DUMMYFUNCTION("IF(REGEXMATCH(Z6482, ""Season""), ""TV Show"", ""Movie"")"),"Movie")</f>
        <v>Movie</v>
      </c>
    </row>
    <row r="6483">
      <c r="A6483" s="1" t="s">
        <v>32349</v>
      </c>
      <c r="B6483" s="1" t="s">
        <v>27</v>
      </c>
      <c r="C6483" s="1" t="s">
        <v>32350</v>
      </c>
      <c r="D6483" s="1" t="s">
        <v>14540</v>
      </c>
      <c r="E6483" s="1" t="s">
        <v>32351</v>
      </c>
      <c r="F6483" s="1" t="s">
        <v>30</v>
      </c>
      <c r="G6483" s="1" t="s">
        <v>21804</v>
      </c>
      <c r="H6483" s="1">
        <v>2018.0</v>
      </c>
      <c r="I6483" s="1" t="s">
        <v>78</v>
      </c>
      <c r="J6483" s="1" t="s">
        <v>106</v>
      </c>
      <c r="K6483" s="1" t="s">
        <v>2242</v>
      </c>
      <c r="L6483" s="1" t="s">
        <v>32352</v>
      </c>
      <c r="M6483" s="2" t="s">
        <v>12</v>
      </c>
      <c r="N6483" s="4">
        <f t="shared" si="1"/>
        <v>43529</v>
      </c>
      <c r="O6483" s="5" t="str">
        <f>IFERROR(__xludf.DUMMYFUNCTION("IF(REGEXMATCH(TRIM(I6483), ""^\d+\s*min""), ""Unclassified"", IF(I6483 = """", ""NR"", I6483))"),"PG")</f>
        <v>PG</v>
      </c>
      <c r="R6483" s="5" t="str">
        <f t="shared" si="2"/>
        <v>Christopher Robin</v>
      </c>
      <c r="S6483" s="5" t="str">
        <f>IFERROR(__xludf.DUMMYFUNCTION("""COMPUTED_VALUE"""),"Spartacus")</f>
        <v>Spartacus</v>
      </c>
      <c r="V6483" s="5"/>
      <c r="Y6483" s="5" t="str">
        <f>IFERROR(__xludf.DUMMYFUNCTION("REGEXEXTRACT(J6483, ""^\d+"")"),"104")</f>
        <v>104</v>
      </c>
      <c r="Z6483" s="5" t="str">
        <f>IFERROR(__xludf.DUMMYFUNCTION("REGEXEXTRACT(J6483, ""[A-Za-z ]+$"")")," min")</f>
        <v> min</v>
      </c>
      <c r="AA6483" s="5" t="str">
        <f>IFERROR(__xludf.DUMMYFUNCTION("IF(REGEXMATCH(Z6483, ""Season""), ""TV Show"", ""Movie"")"),"Movie")</f>
        <v>Movie</v>
      </c>
    </row>
    <row r="6484">
      <c r="A6484" s="1" t="s">
        <v>32353</v>
      </c>
      <c r="B6484" s="1" t="s">
        <v>27</v>
      </c>
      <c r="C6484" s="1" t="s">
        <v>32354</v>
      </c>
      <c r="D6484" s="1" t="s">
        <v>9742</v>
      </c>
      <c r="E6484" s="1" t="s">
        <v>32355</v>
      </c>
      <c r="F6484" s="1" t="s">
        <v>1815</v>
      </c>
      <c r="G6484" s="1" t="s">
        <v>25333</v>
      </c>
      <c r="H6484" s="1">
        <v>2006.0</v>
      </c>
      <c r="I6484" s="1" t="s">
        <v>378</v>
      </c>
      <c r="J6484" s="1" t="s">
        <v>106</v>
      </c>
      <c r="K6484" s="1" t="s">
        <v>298</v>
      </c>
      <c r="L6484" s="1" t="s">
        <v>32356</v>
      </c>
      <c r="M6484" s="2" t="s">
        <v>12</v>
      </c>
      <c r="N6484" s="4">
        <f t="shared" si="1"/>
        <v>43266</v>
      </c>
      <c r="O6484" s="5" t="str">
        <f>IFERROR(__xludf.DUMMYFUNCTION("IF(REGEXMATCH(TRIM(I6484), ""^\d+\s*min""), ""Unclassified"", IF(I6484 = """", ""NR"", I6484))"),"R")</f>
        <v>R</v>
      </c>
      <c r="R6484" s="5" t="str">
        <f t="shared" si="2"/>
        <v>Chronicle Of An Escape</v>
      </c>
      <c r="S6484" s="5" t="str">
        <f>IFERROR(__xludf.DUMMYFUNCTION("""COMPUTED_VALUE"""),"Special")</f>
        <v>Special</v>
      </c>
      <c r="V6484" s="5"/>
      <c r="Y6484" s="5" t="str">
        <f>IFERROR(__xludf.DUMMYFUNCTION("REGEXEXTRACT(J6484, ""^\d+"")"),"104")</f>
        <v>104</v>
      </c>
      <c r="Z6484" s="5" t="str">
        <f>IFERROR(__xludf.DUMMYFUNCTION("REGEXEXTRACT(J6484, ""[A-Za-z ]+$"")")," min")</f>
        <v> min</v>
      </c>
      <c r="AA6484" s="5" t="str">
        <f>IFERROR(__xludf.DUMMYFUNCTION("IF(REGEXMATCH(Z6484, ""Season""), ""TV Show"", ""Movie"")"),"Movie")</f>
        <v>Movie</v>
      </c>
    </row>
    <row r="6485">
      <c r="A6485" s="1" t="s">
        <v>32357</v>
      </c>
      <c r="B6485" s="1" t="s">
        <v>37</v>
      </c>
      <c r="C6485" s="1" t="s">
        <v>32358</v>
      </c>
      <c r="F6485" s="1" t="s">
        <v>3321</v>
      </c>
      <c r="G6485" s="1" t="s">
        <v>26808</v>
      </c>
      <c r="H6485" s="1">
        <v>2017.0</v>
      </c>
      <c r="I6485" s="1" t="s">
        <v>289</v>
      </c>
      <c r="J6485" s="1" t="s">
        <v>51</v>
      </c>
      <c r="K6485" s="1" t="s">
        <v>290</v>
      </c>
      <c r="L6485" s="1" t="s">
        <v>32359</v>
      </c>
      <c r="M6485" s="2" t="s">
        <v>12</v>
      </c>
      <c r="N6485" s="4">
        <f t="shared" si="1"/>
        <v>43054</v>
      </c>
      <c r="O6485" s="5" t="str">
        <f>IFERROR(__xludf.DUMMYFUNCTION("IF(REGEXMATCH(TRIM(I6485), ""^\d+\s*min""), ""Unclassified"", IF(I6485 = """", ""NR"", I6485))"),"TV-Y7")</f>
        <v>TV-Y7</v>
      </c>
      <c r="R6485" s="5" t="str">
        <f t="shared" si="2"/>
        <v>Chuck Chicken</v>
      </c>
      <c r="S6485" s="5" t="str">
        <f>IFERROR(__xludf.DUMMYFUNCTION("""COMPUTED_VALUE"""),"Special 26")</f>
        <v>Special 26</v>
      </c>
      <c r="V6485" s="5"/>
      <c r="Y6485" s="5" t="str">
        <f>IFERROR(__xludf.DUMMYFUNCTION("REGEXEXTRACT(J6485, ""^\d+"")"),"1")</f>
        <v>1</v>
      </c>
      <c r="Z6485" s="5" t="str">
        <f>IFERROR(__xludf.DUMMYFUNCTION("REGEXEXTRACT(J6485, ""[A-Za-z ]+$"")")," Season")</f>
        <v> Season</v>
      </c>
      <c r="AA6485" s="5" t="str">
        <f>IFERROR(__xludf.DUMMYFUNCTION("IF(REGEXMATCH(Z6485, ""Season""), ""TV Show"", ""Movie"")"),"TV Show")</f>
        <v>TV Show</v>
      </c>
    </row>
    <row r="6486">
      <c r="A6486" s="1" t="s">
        <v>32360</v>
      </c>
      <c r="B6486" s="1" t="s">
        <v>27</v>
      </c>
      <c r="C6486" s="1" t="s">
        <v>32361</v>
      </c>
      <c r="D6486" s="1" t="s">
        <v>16271</v>
      </c>
      <c r="E6486" s="1" t="s">
        <v>32362</v>
      </c>
      <c r="F6486" s="1" t="s">
        <v>19350</v>
      </c>
      <c r="G6486" s="1" t="s">
        <v>22472</v>
      </c>
      <c r="H6486" s="1">
        <v>2017.0</v>
      </c>
      <c r="I6486" s="1" t="s">
        <v>97</v>
      </c>
      <c r="J6486" s="1" t="s">
        <v>870</v>
      </c>
      <c r="K6486" s="1" t="s">
        <v>199</v>
      </c>
      <c r="L6486" s="1" t="s">
        <v>32363</v>
      </c>
      <c r="M6486" s="2" t="s">
        <v>12</v>
      </c>
      <c r="N6486" s="4">
        <f t="shared" si="1"/>
        <v>43480</v>
      </c>
      <c r="O6486" s="5" t="str">
        <f>IFERROR(__xludf.DUMMYFUNCTION("IF(REGEXMATCH(TRIM(I6486), ""^\d+\s*min""), ""Unclassified"", IF(I6486 = """", ""NR"", I6486))"),"TV-14")</f>
        <v>TV-14</v>
      </c>
      <c r="R6486" s="5" t="str">
        <f t="shared" si="2"/>
        <v>Chupan Chupai</v>
      </c>
      <c r="S6486" s="5" t="str">
        <f>IFERROR(__xludf.DUMMYFUNCTION("""COMPUTED_VALUE"""),"Special Correspondents")</f>
        <v>Special Correspondents</v>
      </c>
      <c r="V6486" s="5"/>
      <c r="Y6486" s="5" t="str">
        <f>IFERROR(__xludf.DUMMYFUNCTION("REGEXEXTRACT(J6486, ""^\d+"")"),"118")</f>
        <v>118</v>
      </c>
      <c r="Z6486" s="5" t="str">
        <f>IFERROR(__xludf.DUMMYFUNCTION("REGEXEXTRACT(J6486, ""[A-Za-z ]+$"")")," min")</f>
        <v> min</v>
      </c>
      <c r="AA6486" s="5" t="str">
        <f>IFERROR(__xludf.DUMMYFUNCTION("IF(REGEXMATCH(Z6486, ""Season""), ""TV Show"", ""Movie"")"),"Movie")</f>
        <v>Movie</v>
      </c>
    </row>
    <row r="6487">
      <c r="A6487" s="1" t="s">
        <v>32364</v>
      </c>
      <c r="B6487" s="1" t="s">
        <v>27</v>
      </c>
      <c r="C6487" s="1" t="s">
        <v>32365</v>
      </c>
      <c r="D6487" s="1" t="s">
        <v>9419</v>
      </c>
      <c r="E6487" s="1" t="s">
        <v>32366</v>
      </c>
      <c r="F6487" s="1" t="s">
        <v>63</v>
      </c>
      <c r="G6487" s="1" t="s">
        <v>17078</v>
      </c>
      <c r="H6487" s="1">
        <v>1975.0</v>
      </c>
      <c r="I6487" s="1" t="s">
        <v>136</v>
      </c>
      <c r="J6487" s="1" t="s">
        <v>127</v>
      </c>
      <c r="K6487" s="1" t="s">
        <v>32367</v>
      </c>
      <c r="L6487" s="1" t="s">
        <v>32368</v>
      </c>
      <c r="M6487" s="2" t="s">
        <v>12</v>
      </c>
      <c r="N6487" s="4">
        <f t="shared" si="1"/>
        <v>43830</v>
      </c>
      <c r="O6487" s="5" t="str">
        <f>IFERROR(__xludf.DUMMYFUNCTION("IF(REGEXMATCH(TRIM(I6487), ""^\d+\s*min""), ""Unclassified"", IF(I6487 = """", ""NR"", I6487))"),"TV-PG")</f>
        <v>TV-PG</v>
      </c>
      <c r="R6487" s="5" t="str">
        <f t="shared" si="2"/>
        <v>Chupke Chupke</v>
      </c>
      <c r="S6487" s="5" t="str">
        <f>IFERROR(__xludf.DUMMYFUNCTION("""COMPUTED_VALUE"""),"Spectral")</f>
        <v>Spectral</v>
      </c>
      <c r="V6487" s="5"/>
      <c r="Y6487" s="5" t="str">
        <f>IFERROR(__xludf.DUMMYFUNCTION("REGEXEXTRACT(J6487, ""^\d+"")"),"127")</f>
        <v>127</v>
      </c>
      <c r="Z6487" s="5" t="str">
        <f>IFERROR(__xludf.DUMMYFUNCTION("REGEXEXTRACT(J6487, ""[A-Za-z ]+$"")")," min")</f>
        <v> min</v>
      </c>
      <c r="AA6487" s="5" t="str">
        <f>IFERROR(__xludf.DUMMYFUNCTION("IF(REGEXMATCH(Z6487, ""Season""), ""TV Show"", ""Movie"")"),"Movie")</f>
        <v>Movie</v>
      </c>
    </row>
    <row r="6488">
      <c r="A6488" s="1" t="s">
        <v>32369</v>
      </c>
      <c r="B6488" s="1" t="s">
        <v>27</v>
      </c>
      <c r="C6488" s="1" t="s">
        <v>32370</v>
      </c>
      <c r="D6488" s="1" t="s">
        <v>4212</v>
      </c>
      <c r="E6488" s="1" t="s">
        <v>32371</v>
      </c>
      <c r="F6488" s="1" t="s">
        <v>30</v>
      </c>
      <c r="G6488" s="1" t="s">
        <v>32372</v>
      </c>
      <c r="H6488" s="1">
        <v>2009.0</v>
      </c>
      <c r="I6488" s="1" t="s">
        <v>32</v>
      </c>
      <c r="J6488" s="1" t="s">
        <v>1065</v>
      </c>
      <c r="K6488" s="1" t="s">
        <v>2167</v>
      </c>
      <c r="L6488" s="1" t="s">
        <v>32373</v>
      </c>
      <c r="M6488" s="2" t="s">
        <v>12</v>
      </c>
      <c r="N6488" s="4">
        <f t="shared" si="1"/>
        <v>43206</v>
      </c>
      <c r="O6488" s="5" t="str">
        <f>IFERROR(__xludf.DUMMYFUNCTION("IF(REGEXMATCH(TRIM(I6488), ""^\d+\s*min""), ""Unclassified"", IF(I6488 = """", ""NR"", I6488))"),"PG-13")</f>
        <v>PG-13</v>
      </c>
      <c r="R6488" s="5" t="str">
        <f t="shared" si="2"/>
        <v>Cirque Du Freak: The Vampire'S Assistant</v>
      </c>
      <c r="S6488" s="5" t="str">
        <f>IFERROR(__xludf.DUMMYFUNCTION("""COMPUTED_VALUE"""),"Spectros")</f>
        <v>Spectros</v>
      </c>
      <c r="V6488" s="5"/>
      <c r="Y6488" s="5" t="str">
        <f>IFERROR(__xludf.DUMMYFUNCTION("REGEXEXTRACT(J6488, ""^\d+"")"),"109")</f>
        <v>109</v>
      </c>
      <c r="Z6488" s="5" t="str">
        <f>IFERROR(__xludf.DUMMYFUNCTION("REGEXEXTRACT(J6488, ""[A-Za-z ]+$"")")," min")</f>
        <v> min</v>
      </c>
      <c r="AA6488" s="5" t="str">
        <f>IFERROR(__xludf.DUMMYFUNCTION("IF(REGEXMATCH(Z6488, ""Season""), ""TV Show"", ""Movie"")"),"Movie")</f>
        <v>Movie</v>
      </c>
    </row>
    <row r="6489">
      <c r="A6489" s="1" t="s">
        <v>32374</v>
      </c>
      <c r="B6489" s="1" t="s">
        <v>37</v>
      </c>
      <c r="C6489" s="1" t="s">
        <v>32375</v>
      </c>
      <c r="F6489" s="1" t="s">
        <v>96</v>
      </c>
      <c r="G6489" s="1" t="s">
        <v>27097</v>
      </c>
      <c r="H6489" s="1">
        <v>2016.0</v>
      </c>
      <c r="I6489" s="1" t="s">
        <v>136</v>
      </c>
      <c r="J6489" s="1" t="s">
        <v>51</v>
      </c>
      <c r="K6489" s="1" t="s">
        <v>29581</v>
      </c>
      <c r="L6489" s="1" t="s">
        <v>32376</v>
      </c>
      <c r="M6489" s="2" t="s">
        <v>12</v>
      </c>
      <c r="N6489" s="4">
        <f t="shared" si="1"/>
        <v>43009</v>
      </c>
      <c r="O6489" s="5" t="str">
        <f>IFERROR(__xludf.DUMMYFUNCTION("IF(REGEXMATCH(TRIM(I6489), ""^\d+\s*min""), ""Unclassified"", IF(I6489 = """", ""NR"", I6489))"),"TV-PG")</f>
        <v>TV-PG</v>
      </c>
      <c r="R6489" s="5" t="str">
        <f t="shared" si="2"/>
        <v>City In The Sky</v>
      </c>
      <c r="S6489" s="5" t="str">
        <f>IFERROR(__xludf.DUMMYFUNCTION("""COMPUTED_VALUE"""),"Speech &amp; Debate")</f>
        <v>Speech &amp; Debate</v>
      </c>
      <c r="V6489" s="5"/>
      <c r="Y6489" s="5" t="str">
        <f>IFERROR(__xludf.DUMMYFUNCTION("REGEXEXTRACT(J6489, ""^\d+"")"),"1")</f>
        <v>1</v>
      </c>
      <c r="Z6489" s="5" t="str">
        <f>IFERROR(__xludf.DUMMYFUNCTION("REGEXEXTRACT(J6489, ""[A-Za-z ]+$"")")," Season")</f>
        <v> Season</v>
      </c>
      <c r="AA6489" s="5" t="str">
        <f>IFERROR(__xludf.DUMMYFUNCTION("IF(REGEXMATCH(Z6489, ""Season""), ""TV Show"", ""Movie"")"),"TV Show")</f>
        <v>TV Show</v>
      </c>
    </row>
    <row r="6490">
      <c r="A6490" s="1" t="s">
        <v>32377</v>
      </c>
      <c r="B6490" s="1" t="s">
        <v>27</v>
      </c>
      <c r="C6490" s="1" t="s">
        <v>32378</v>
      </c>
      <c r="D6490" s="1" t="s">
        <v>7659</v>
      </c>
      <c r="E6490" s="1" t="s">
        <v>32379</v>
      </c>
      <c r="F6490" s="1" t="s">
        <v>32380</v>
      </c>
      <c r="G6490" s="1" t="s">
        <v>16947</v>
      </c>
      <c r="H6490" s="1">
        <v>2002.0</v>
      </c>
      <c r="I6490" s="1" t="s">
        <v>378</v>
      </c>
      <c r="J6490" s="1" t="s">
        <v>2281</v>
      </c>
      <c r="K6490" s="1" t="s">
        <v>89</v>
      </c>
      <c r="L6490" s="1" t="s">
        <v>32381</v>
      </c>
      <c r="M6490" s="2" t="s">
        <v>12</v>
      </c>
      <c r="N6490" s="4">
        <f t="shared" si="1"/>
        <v>43831</v>
      </c>
      <c r="O6490" s="5" t="str">
        <f>IFERROR(__xludf.DUMMYFUNCTION("IF(REGEXMATCH(TRIM(I6490), ""^\d+\s*min""), ""Unclassified"", IF(I6490 = """", ""NR"", I6490))"),"R")</f>
        <v>R</v>
      </c>
      <c r="R6490" s="5" t="str">
        <f t="shared" si="2"/>
        <v>City Of God</v>
      </c>
      <c r="S6490" s="5" t="str">
        <f>IFERROR(__xludf.DUMMYFUNCTION("""COMPUTED_VALUE"""),"Speed Is My Need")</f>
        <v>Speed Is My Need</v>
      </c>
      <c r="V6490" s="5"/>
      <c r="Y6490" s="5" t="str">
        <f>IFERROR(__xludf.DUMMYFUNCTION("REGEXEXTRACT(J6490, ""^\d+"")"),"130")</f>
        <v>130</v>
      </c>
      <c r="Z6490" s="5" t="str">
        <f>IFERROR(__xludf.DUMMYFUNCTION("REGEXEXTRACT(J6490, ""[A-Za-z ]+$"")")," min")</f>
        <v> min</v>
      </c>
      <c r="AA6490" s="5" t="str">
        <f>IFERROR(__xludf.DUMMYFUNCTION("IF(REGEXMATCH(Z6490, ""Season""), ""TV Show"", ""Movie"")"),"Movie")</f>
        <v>Movie</v>
      </c>
    </row>
    <row r="6491">
      <c r="A6491" s="1" t="s">
        <v>32382</v>
      </c>
      <c r="B6491" s="1" t="s">
        <v>27</v>
      </c>
      <c r="C6491" s="1" t="s">
        <v>32383</v>
      </c>
      <c r="D6491" s="1" t="s">
        <v>17924</v>
      </c>
      <c r="E6491" s="1" t="s">
        <v>32384</v>
      </c>
      <c r="F6491" s="1" t="s">
        <v>96</v>
      </c>
      <c r="G6491" s="1" t="s">
        <v>32385</v>
      </c>
      <c r="H6491" s="1">
        <v>2016.0</v>
      </c>
      <c r="I6491" s="1" t="s">
        <v>42</v>
      </c>
      <c r="J6491" s="1" t="s">
        <v>297</v>
      </c>
      <c r="K6491" s="1" t="s">
        <v>298</v>
      </c>
      <c r="L6491" s="1" t="s">
        <v>32386</v>
      </c>
      <c r="M6491" s="2" t="s">
        <v>12</v>
      </c>
      <c r="N6491" s="4">
        <f t="shared" si="1"/>
        <v>42937</v>
      </c>
      <c r="O6491" s="5" t="str">
        <f>IFERROR(__xludf.DUMMYFUNCTION("IF(REGEXMATCH(TRIM(I6491), ""^\d+\s*min""), ""Unclassified"", IF(I6491 = """", ""NR"", I6491))"),"TV-MA")</f>
        <v>TV-MA</v>
      </c>
      <c r="R6491" s="5" t="str">
        <f t="shared" si="2"/>
        <v>City Of Tiny Lights</v>
      </c>
      <c r="S6491" s="5" t="str">
        <f>IFERROR(__xludf.DUMMYFUNCTION("""COMPUTED_VALUE"""),"Spelling The Dream")</f>
        <v>Spelling The Dream</v>
      </c>
      <c r="V6491" s="5"/>
      <c r="Y6491" s="5" t="str">
        <f>IFERROR(__xludf.DUMMYFUNCTION("REGEXEXTRACT(J6491, ""^\d+"")"),"110")</f>
        <v>110</v>
      </c>
      <c r="Z6491" s="5" t="str">
        <f>IFERROR(__xludf.DUMMYFUNCTION("REGEXEXTRACT(J6491, ""[A-Za-z ]+$"")")," min")</f>
        <v> min</v>
      </c>
      <c r="AA6491" s="5" t="str">
        <f>IFERROR(__xludf.DUMMYFUNCTION("IF(REGEXMATCH(Z6491, ""Season""), ""TV Show"", ""Movie"")"),"Movie")</f>
        <v>Movie</v>
      </c>
    </row>
    <row r="6492">
      <c r="A6492" s="1" t="s">
        <v>32387</v>
      </c>
      <c r="B6492" s="1" t="s">
        <v>37</v>
      </c>
      <c r="C6492" s="1" t="s">
        <v>32388</v>
      </c>
      <c r="F6492" s="1" t="s">
        <v>96</v>
      </c>
      <c r="G6492" s="1" t="s">
        <v>24201</v>
      </c>
      <c r="H6492" s="1">
        <v>2018.0</v>
      </c>
      <c r="I6492" s="1" t="s">
        <v>97</v>
      </c>
      <c r="J6492" s="1" t="s">
        <v>51</v>
      </c>
      <c r="K6492" s="1" t="s">
        <v>4190</v>
      </c>
      <c r="L6492" s="1" t="s">
        <v>32389</v>
      </c>
      <c r="M6492" s="2" t="s">
        <v>12</v>
      </c>
      <c r="N6492" s="4">
        <f t="shared" si="1"/>
        <v>43374</v>
      </c>
      <c r="O6492" s="5" t="str">
        <f>IFERROR(__xludf.DUMMYFUNCTION("IF(REGEXMATCH(TRIM(I6492), ""^\d+\s*min""), ""Unclassified"", IF(I6492 = """", ""NR"", I6492))"),"TV-14")</f>
        <v>TV-14</v>
      </c>
      <c r="R6492" s="5" t="str">
        <f t="shared" si="2"/>
        <v>Civilizations</v>
      </c>
      <c r="S6492" s="5" t="str">
        <f>IFERROR(__xludf.DUMMYFUNCTION("""COMPUTED_VALUE"""),"Spenser Confidential")</f>
        <v>Spenser Confidential</v>
      </c>
      <c r="V6492" s="5"/>
      <c r="Y6492" s="5" t="str">
        <f>IFERROR(__xludf.DUMMYFUNCTION("REGEXEXTRACT(J6492, ""^\d+"")"),"1")</f>
        <v>1</v>
      </c>
      <c r="Z6492" s="5" t="str">
        <f>IFERROR(__xludf.DUMMYFUNCTION("REGEXEXTRACT(J6492, ""[A-Za-z ]+$"")")," Season")</f>
        <v> Season</v>
      </c>
      <c r="AA6492" s="5" t="str">
        <f>IFERROR(__xludf.DUMMYFUNCTION("IF(REGEXMATCH(Z6492, ""Season""), ""TV Show"", ""Movie"")"),"TV Show")</f>
        <v>TV Show</v>
      </c>
    </row>
    <row r="6493">
      <c r="A6493" s="1" t="s">
        <v>32390</v>
      </c>
      <c r="B6493" s="1" t="s">
        <v>27</v>
      </c>
      <c r="C6493" s="1" t="s">
        <v>32391</v>
      </c>
      <c r="D6493" s="1" t="s">
        <v>16834</v>
      </c>
      <c r="E6493" s="1" t="s">
        <v>32392</v>
      </c>
      <c r="F6493" s="1" t="s">
        <v>30</v>
      </c>
      <c r="G6493" s="1" t="s">
        <v>18126</v>
      </c>
      <c r="H6493" s="1">
        <v>2019.0</v>
      </c>
      <c r="I6493" s="1" t="s">
        <v>42</v>
      </c>
      <c r="J6493" s="1" t="s">
        <v>428</v>
      </c>
      <c r="K6493" s="1" t="s">
        <v>700</v>
      </c>
      <c r="L6493" s="1" t="s">
        <v>32393</v>
      </c>
      <c r="M6493" s="2" t="s">
        <v>12</v>
      </c>
      <c r="N6493" s="4">
        <f t="shared" si="1"/>
        <v>43783</v>
      </c>
      <c r="O6493" s="5" t="str">
        <f>IFERROR(__xludf.DUMMYFUNCTION("IF(REGEXMATCH(TRIM(I6493), ""^\d+\s*min""), ""Unclassified"", IF(I6493 = """", ""NR"", I6493))"),"TV-MA")</f>
        <v>TV-MA</v>
      </c>
      <c r="R6493" s="5" t="str">
        <f t="shared" si="2"/>
        <v>Clarence Clemons: Who Do I Think I Am?</v>
      </c>
      <c r="S6493" s="5" t="str">
        <f>IFERROR(__xludf.DUMMYFUNCTION("""COMPUTED_VALUE"""),"Spf-18")</f>
        <v>Spf-18</v>
      </c>
      <c r="V6493" s="5"/>
      <c r="Y6493" s="5" t="str">
        <f>IFERROR(__xludf.DUMMYFUNCTION("REGEXEXTRACT(J6493, ""^\d+"")"),"88")</f>
        <v>88</v>
      </c>
      <c r="Z6493" s="5" t="str">
        <f>IFERROR(__xludf.DUMMYFUNCTION("REGEXEXTRACT(J6493, ""[A-Za-z ]+$"")")," min")</f>
        <v> min</v>
      </c>
      <c r="AA6493" s="5" t="str">
        <f>IFERROR(__xludf.DUMMYFUNCTION("IF(REGEXMATCH(Z6493, ""Season""), ""TV Show"", ""Movie"")"),"Movie")</f>
        <v>Movie</v>
      </c>
    </row>
    <row r="6494">
      <c r="A6494" s="1" t="s">
        <v>32394</v>
      </c>
      <c r="B6494" s="1" t="s">
        <v>27</v>
      </c>
      <c r="C6494" s="1" t="s">
        <v>32395</v>
      </c>
      <c r="D6494" s="1" t="s">
        <v>13963</v>
      </c>
      <c r="E6494" s="1" t="s">
        <v>32396</v>
      </c>
      <c r="F6494" s="1" t="s">
        <v>28443</v>
      </c>
      <c r="G6494" s="1" t="s">
        <v>19813</v>
      </c>
      <c r="H6494" s="1">
        <v>2010.0</v>
      </c>
      <c r="I6494" s="1" t="s">
        <v>32</v>
      </c>
      <c r="J6494" s="1" t="s">
        <v>256</v>
      </c>
      <c r="K6494" s="1" t="s">
        <v>942</v>
      </c>
      <c r="L6494" s="1" t="s">
        <v>32397</v>
      </c>
      <c r="M6494" s="2" t="s">
        <v>12</v>
      </c>
      <c r="N6494" s="4">
        <f t="shared" si="1"/>
        <v>43678</v>
      </c>
      <c r="O6494" s="5" t="str">
        <f>IFERROR(__xludf.DUMMYFUNCTION("IF(REGEXMATCH(TRIM(I6494), ""^\d+\s*min""), ""Unclassified"", IF(I6494 = """", ""NR"", I6494))"),"PG-13")</f>
        <v>PG-13</v>
      </c>
      <c r="R6494" s="5" t="str">
        <f t="shared" si="2"/>
        <v>Clash Of The Titans</v>
      </c>
      <c r="S6494" s="5" t="str">
        <f>IFERROR(__xludf.DUMMYFUNCTION("""COMPUTED_VALUE"""),"Spice Up")</f>
        <v>Spice Up</v>
      </c>
      <c r="V6494" s="5"/>
      <c r="Y6494" s="5" t="str">
        <f>IFERROR(__xludf.DUMMYFUNCTION("REGEXEXTRACT(J6494, ""^\d+"")"),"106")</f>
        <v>106</v>
      </c>
      <c r="Z6494" s="5" t="str">
        <f>IFERROR(__xludf.DUMMYFUNCTION("REGEXEXTRACT(J6494, ""[A-Za-z ]+$"")")," min")</f>
        <v> min</v>
      </c>
      <c r="AA6494" s="5" t="str">
        <f>IFERROR(__xludf.DUMMYFUNCTION("IF(REGEXMATCH(Z6494, ""Season""), ""TV Show"", ""Movie"")"),"Movie")</f>
        <v>Movie</v>
      </c>
    </row>
    <row r="6495">
      <c r="A6495" s="1" t="s">
        <v>32398</v>
      </c>
      <c r="B6495" s="1" t="s">
        <v>27</v>
      </c>
      <c r="C6495" s="1" t="s">
        <v>32399</v>
      </c>
      <c r="D6495" s="1" t="s">
        <v>8721</v>
      </c>
      <c r="E6495" s="1" t="s">
        <v>32400</v>
      </c>
      <c r="F6495" s="1" t="s">
        <v>30</v>
      </c>
      <c r="G6495" s="1" t="s">
        <v>25842</v>
      </c>
      <c r="H6495" s="1">
        <v>1993.0</v>
      </c>
      <c r="I6495" s="1" t="s">
        <v>136</v>
      </c>
      <c r="J6495" s="1" t="s">
        <v>79</v>
      </c>
      <c r="K6495" s="1" t="s">
        <v>805</v>
      </c>
      <c r="L6495" s="1" t="s">
        <v>32401</v>
      </c>
      <c r="M6495" s="2" t="s">
        <v>12</v>
      </c>
      <c r="N6495" s="4">
        <f t="shared" si="1"/>
        <v>43191</v>
      </c>
      <c r="O6495" s="5" t="str">
        <f>IFERROR(__xludf.DUMMYFUNCTION("IF(REGEXMATCH(TRIM(I6495), ""^\d+\s*min""), ""Unclassified"", IF(I6495 = """", ""NR"", I6495))"),"TV-PG")</f>
        <v>TV-PG</v>
      </c>
      <c r="R6495" s="5" t="str">
        <f t="shared" si="2"/>
        <v>Class Of '61</v>
      </c>
      <c r="S6495" s="5" t="str">
        <f>IFERROR(__xludf.DUMMYFUNCTION("""COMPUTED_VALUE"""),"Spider-Man 3")</f>
        <v>Spider-Man 3</v>
      </c>
      <c r="V6495" s="5"/>
      <c r="Y6495" s="5" t="str">
        <f>IFERROR(__xludf.DUMMYFUNCTION("REGEXEXTRACT(J6495, ""^\d+"")"),"91")</f>
        <v>91</v>
      </c>
      <c r="Z6495" s="5" t="str">
        <f>IFERROR(__xludf.DUMMYFUNCTION("REGEXEXTRACT(J6495, ""[A-Za-z ]+$"")")," min")</f>
        <v> min</v>
      </c>
      <c r="AA6495" s="5" t="str">
        <f>IFERROR(__xludf.DUMMYFUNCTION("IF(REGEXMATCH(Z6495, ""Season""), ""TV Show"", ""Movie"")"),"Movie")</f>
        <v>Movie</v>
      </c>
    </row>
    <row r="6496">
      <c r="A6496" s="1" t="s">
        <v>32402</v>
      </c>
      <c r="B6496" s="1" t="s">
        <v>27</v>
      </c>
      <c r="C6496" s="1" t="s">
        <v>32403</v>
      </c>
      <c r="D6496" s="1" t="s">
        <v>7216</v>
      </c>
      <c r="E6496" s="1" t="s">
        <v>32404</v>
      </c>
      <c r="F6496" s="1" t="s">
        <v>30</v>
      </c>
      <c r="G6496" s="1" t="s">
        <v>32405</v>
      </c>
      <c r="H6496" s="1">
        <v>2018.0</v>
      </c>
      <c r="I6496" s="1" t="s">
        <v>42</v>
      </c>
      <c r="J6496" s="1" t="s">
        <v>238</v>
      </c>
      <c r="K6496" s="1" t="s">
        <v>239</v>
      </c>
      <c r="L6496" s="1" t="s">
        <v>32406</v>
      </c>
      <c r="M6496" s="2" t="s">
        <v>12</v>
      </c>
      <c r="N6496" s="4">
        <f t="shared" si="1"/>
        <v>43361</v>
      </c>
      <c r="O6496" s="5" t="str">
        <f>IFERROR(__xludf.DUMMYFUNCTION("IF(REGEXMATCH(TRIM(I6496), ""^\d+\s*min""), ""Unclassified"", IF(I6496 = """", ""NR"", I6496))"),"TV-MA")</f>
        <v>TV-MA</v>
      </c>
      <c r="R6496" s="5" t="str">
        <f t="shared" si="2"/>
        <v>Class Rank</v>
      </c>
      <c r="S6496" s="5" t="str">
        <f>IFERROR(__xludf.DUMMYFUNCTION("""COMPUTED_VALUE"""),"Spider-Man: Into The Spider-Verse")</f>
        <v>Spider-Man: Into The Spider-Verse</v>
      </c>
      <c r="V6496" s="5"/>
      <c r="Y6496" s="5" t="str">
        <f>IFERROR(__xludf.DUMMYFUNCTION("REGEXEXTRACT(J6496, ""^\d+"")"),"103")</f>
        <v>103</v>
      </c>
      <c r="Z6496" s="5" t="str">
        <f>IFERROR(__xludf.DUMMYFUNCTION("REGEXEXTRACT(J6496, ""[A-Za-z ]+$"")")," min")</f>
        <v> min</v>
      </c>
      <c r="AA6496" s="5" t="str">
        <f>IFERROR(__xludf.DUMMYFUNCTION("IF(REGEXMATCH(Z6496, ""Season""), ""TV Show"", ""Movie"")"),"Movie")</f>
        <v>Movie</v>
      </c>
    </row>
    <row r="6497">
      <c r="A6497" s="1" t="s">
        <v>32407</v>
      </c>
      <c r="B6497" s="1" t="s">
        <v>37</v>
      </c>
      <c r="C6497" s="1" t="s">
        <v>32408</v>
      </c>
      <c r="E6497" s="1" t="s">
        <v>32409</v>
      </c>
      <c r="F6497" s="1" t="s">
        <v>63</v>
      </c>
      <c r="G6497" s="7">
        <v>42870.0</v>
      </c>
      <c r="H6497" s="1">
        <v>2012.0</v>
      </c>
      <c r="I6497" s="1" t="s">
        <v>136</v>
      </c>
      <c r="J6497" s="1" t="s">
        <v>51</v>
      </c>
      <c r="K6497" s="1" t="s">
        <v>507</v>
      </c>
      <c r="L6497" s="1" t="s">
        <v>32410</v>
      </c>
      <c r="M6497" s="2" t="s">
        <v>12</v>
      </c>
      <c r="N6497" s="4">
        <f t="shared" si="1"/>
        <v>42870</v>
      </c>
      <c r="O6497" s="5" t="str">
        <f>IFERROR(__xludf.DUMMYFUNCTION("IF(REGEXMATCH(TRIM(I6497), ""^\d+\s*min""), ""Unclassified"", IF(I6497 = """", ""NR"", I6497))"),"TV-PG")</f>
        <v>TV-PG</v>
      </c>
      <c r="R6497" s="5" t="str">
        <f t="shared" si="2"/>
        <v>Classic Legends</v>
      </c>
      <c r="S6497" s="5" t="str">
        <f>IFERROR(__xludf.DUMMYFUNCTION("""COMPUTED_VALUE"""),"Spinning Out")</f>
        <v>Spinning Out</v>
      </c>
      <c r="V6497" s="5"/>
      <c r="Y6497" s="5" t="str">
        <f>IFERROR(__xludf.DUMMYFUNCTION("REGEXEXTRACT(J6497, ""^\d+"")"),"1")</f>
        <v>1</v>
      </c>
      <c r="Z6497" s="5" t="str">
        <f>IFERROR(__xludf.DUMMYFUNCTION("REGEXEXTRACT(J6497, ""[A-Za-z ]+$"")")," Season")</f>
        <v> Season</v>
      </c>
      <c r="AA6497" s="5" t="str">
        <f>IFERROR(__xludf.DUMMYFUNCTION("IF(REGEXMATCH(Z6497, ""Season""), ""TV Show"", ""Movie"")"),"TV Show")</f>
        <v>TV Show</v>
      </c>
    </row>
    <row r="6498">
      <c r="A6498" s="1" t="s">
        <v>32411</v>
      </c>
      <c r="B6498" s="1" t="s">
        <v>27</v>
      </c>
      <c r="C6498" s="1" t="s">
        <v>32412</v>
      </c>
      <c r="D6498" s="1" t="s">
        <v>9862</v>
      </c>
      <c r="E6498" s="1" t="s">
        <v>32413</v>
      </c>
      <c r="F6498" s="1" t="s">
        <v>30</v>
      </c>
      <c r="G6498" s="1" t="s">
        <v>18333</v>
      </c>
      <c r="H6498" s="1">
        <v>1973.0</v>
      </c>
      <c r="I6498" s="1" t="s">
        <v>78</v>
      </c>
      <c r="J6498" s="1" t="s">
        <v>1191</v>
      </c>
      <c r="K6498" s="1" t="s">
        <v>1236</v>
      </c>
      <c r="L6498" s="1" t="s">
        <v>32414</v>
      </c>
      <c r="M6498" s="2" t="s">
        <v>12</v>
      </c>
      <c r="N6498" s="4">
        <f t="shared" si="1"/>
        <v>43770</v>
      </c>
      <c r="O6498" s="5" t="str">
        <f>IFERROR(__xludf.DUMMYFUNCTION("IF(REGEXMATCH(TRIM(I6498), ""^\d+\s*min""), ""Unclassified"", IF(I6498 = """", ""NR"", I6498))"),"PG")</f>
        <v>PG</v>
      </c>
      <c r="R6498" s="5" t="str">
        <f t="shared" si="2"/>
        <v>Cleopatra Jones</v>
      </c>
      <c r="S6498" s="5" t="str">
        <f>IFERROR(__xludf.DUMMYFUNCTION("""COMPUTED_VALUE"""),"Spirit Riding Free: Pony Tales")</f>
        <v>Spirit Riding Free: Pony Tales</v>
      </c>
      <c r="V6498" s="5"/>
      <c r="Y6498" s="5" t="str">
        <f>IFERROR(__xludf.DUMMYFUNCTION("REGEXEXTRACT(J6498, ""^\d+"")"),"89")</f>
        <v>89</v>
      </c>
      <c r="Z6498" s="5" t="str">
        <f>IFERROR(__xludf.DUMMYFUNCTION("REGEXEXTRACT(J6498, ""[A-Za-z ]+$"")")," min")</f>
        <v> min</v>
      </c>
      <c r="AA6498" s="5" t="str">
        <f>IFERROR(__xludf.DUMMYFUNCTION("IF(REGEXMATCH(Z6498, ""Season""), ""TV Show"", ""Movie"")"),"Movie")</f>
        <v>Movie</v>
      </c>
    </row>
    <row r="6499">
      <c r="A6499" s="1" t="s">
        <v>32415</v>
      </c>
      <c r="B6499" s="1" t="s">
        <v>27</v>
      </c>
      <c r="C6499" s="1" t="s">
        <v>32416</v>
      </c>
      <c r="D6499" s="1" t="s">
        <v>7864</v>
      </c>
      <c r="E6499" s="1" t="s">
        <v>32417</v>
      </c>
      <c r="F6499" s="1" t="s">
        <v>30</v>
      </c>
      <c r="G6499" s="1" t="s">
        <v>16947</v>
      </c>
      <c r="H6499" s="1">
        <v>2006.0</v>
      </c>
      <c r="I6499" s="1" t="s">
        <v>32</v>
      </c>
      <c r="J6499" s="1" t="s">
        <v>912</v>
      </c>
      <c r="K6499" s="1" t="s">
        <v>32418</v>
      </c>
      <c r="L6499" s="1" t="s">
        <v>32419</v>
      </c>
      <c r="M6499" s="2" t="s">
        <v>12</v>
      </c>
      <c r="N6499" s="4">
        <f t="shared" si="1"/>
        <v>43831</v>
      </c>
      <c r="O6499" s="5" t="str">
        <f>IFERROR(__xludf.DUMMYFUNCTION("IF(REGEXMATCH(TRIM(I6499), ""^\d+\s*min""), ""Unclassified"", IF(I6499 = """", ""NR"", I6499))"),"PG-13")</f>
        <v>PG-13</v>
      </c>
      <c r="R6499" s="5" t="str">
        <f t="shared" si="2"/>
        <v>Click</v>
      </c>
      <c r="S6499" s="5" t="str">
        <f>IFERROR(__xludf.DUMMYFUNCTION("""COMPUTED_VALUE"""),"Spirit Riding Free: Ride Along Adventure")</f>
        <v>Spirit Riding Free: Ride Along Adventure</v>
      </c>
      <c r="V6499" s="5"/>
      <c r="Y6499" s="5" t="str">
        <f>IFERROR(__xludf.DUMMYFUNCTION("REGEXEXTRACT(J6499, ""^\d+"")"),"108")</f>
        <v>108</v>
      </c>
      <c r="Z6499" s="5" t="str">
        <f>IFERROR(__xludf.DUMMYFUNCTION("REGEXEXTRACT(J6499, ""[A-Za-z ]+$"")")," min")</f>
        <v> min</v>
      </c>
      <c r="AA6499" s="5" t="str">
        <f>IFERROR(__xludf.DUMMYFUNCTION("IF(REGEXMATCH(Z6499, ""Season""), ""TV Show"", ""Movie"")"),"Movie")</f>
        <v>Movie</v>
      </c>
    </row>
    <row r="6500">
      <c r="A6500" s="1" t="s">
        <v>32420</v>
      </c>
      <c r="B6500" s="1" t="s">
        <v>37</v>
      </c>
      <c r="C6500" s="1" t="s">
        <v>32421</v>
      </c>
      <c r="E6500" s="1" t="s">
        <v>32422</v>
      </c>
      <c r="F6500" s="1" t="s">
        <v>96</v>
      </c>
      <c r="G6500" s="1" t="s">
        <v>32423</v>
      </c>
      <c r="H6500" s="1">
        <v>2017.0</v>
      </c>
      <c r="I6500" s="1" t="s">
        <v>97</v>
      </c>
      <c r="J6500" s="1" t="s">
        <v>51</v>
      </c>
      <c r="K6500" s="1" t="s">
        <v>142</v>
      </c>
      <c r="L6500" s="1" t="s">
        <v>32424</v>
      </c>
      <c r="M6500" s="2" t="s">
        <v>12</v>
      </c>
      <c r="N6500" s="4">
        <f t="shared" si="1"/>
        <v>42995</v>
      </c>
      <c r="O6500" s="5" t="str">
        <f>IFERROR(__xludf.DUMMYFUNCTION("IF(REGEXMATCH(TRIM(I6500), ""^\d+\s*min""), ""Unclassified"", IF(I6500 = """", ""NR"", I6500))"),"TV-14")</f>
        <v>TV-14</v>
      </c>
      <c r="R6500" s="5" t="str">
        <f t="shared" si="2"/>
        <v>Click For Murder</v>
      </c>
      <c r="S6500" s="5" t="str">
        <f>IFERROR(__xludf.DUMMYFUNCTION("""COMPUTED_VALUE"""),"Spirit Riding Free: Riding Academy")</f>
        <v>Spirit Riding Free: Riding Academy</v>
      </c>
      <c r="V6500" s="5"/>
      <c r="Y6500" s="5" t="str">
        <f>IFERROR(__xludf.DUMMYFUNCTION("REGEXEXTRACT(J6500, ""^\d+"")"),"1")</f>
        <v>1</v>
      </c>
      <c r="Z6500" s="5" t="str">
        <f>IFERROR(__xludf.DUMMYFUNCTION("REGEXEXTRACT(J6500, ""[A-Za-z ]+$"")")," Season")</f>
        <v> Season</v>
      </c>
      <c r="AA6500" s="5" t="str">
        <f>IFERROR(__xludf.DUMMYFUNCTION("IF(REGEXMATCH(Z6500, ""Season""), ""TV Show"", ""Movie"")"),"TV Show")</f>
        <v>TV Show</v>
      </c>
    </row>
    <row r="6501">
      <c r="A6501" s="1" t="s">
        <v>32425</v>
      </c>
      <c r="B6501" s="1" t="s">
        <v>27</v>
      </c>
      <c r="C6501" s="1" t="s">
        <v>32426</v>
      </c>
      <c r="D6501" s="1" t="s">
        <v>4772</v>
      </c>
      <c r="E6501" s="1" t="s">
        <v>32427</v>
      </c>
      <c r="F6501" s="1" t="s">
        <v>30</v>
      </c>
      <c r="G6501" s="1" t="s">
        <v>19226</v>
      </c>
      <c r="H6501" s="1">
        <v>2017.0</v>
      </c>
      <c r="I6501" s="1" t="s">
        <v>42</v>
      </c>
      <c r="J6501" s="1" t="s">
        <v>341</v>
      </c>
      <c r="K6501" s="1" t="s">
        <v>700</v>
      </c>
      <c r="L6501" s="1" t="s">
        <v>32428</v>
      </c>
      <c r="M6501" s="2" t="s">
        <v>12</v>
      </c>
      <c r="N6501" s="4">
        <f t="shared" si="1"/>
        <v>43725</v>
      </c>
      <c r="O6501" s="5" t="str">
        <f>IFERROR(__xludf.DUMMYFUNCTION("IF(REGEXMATCH(TRIM(I6501), ""^\d+\s*min""), ""Unclassified"", IF(I6501 = """", ""NR"", I6501))"),"TV-MA")</f>
        <v>TV-MA</v>
      </c>
      <c r="R6501" s="5" t="str">
        <f t="shared" si="2"/>
        <v>Clive Davis: The Soundtrack Of Our Lives</v>
      </c>
      <c r="S6501" s="5" t="str">
        <f>IFERROR(__xludf.DUMMYFUNCTION("""COMPUTED_VALUE"""),"Spirit Riding Free: Spirit Of Christmas")</f>
        <v>Spirit Riding Free: Spirit Of Christmas</v>
      </c>
      <c r="V6501" s="5"/>
      <c r="Y6501" s="5" t="str">
        <f>IFERROR(__xludf.DUMMYFUNCTION("REGEXEXTRACT(J6501, ""^\d+"")"),"124")</f>
        <v>124</v>
      </c>
      <c r="Z6501" s="5" t="str">
        <f>IFERROR(__xludf.DUMMYFUNCTION("REGEXEXTRACT(J6501, ""[A-Za-z ]+$"")")," min")</f>
        <v> min</v>
      </c>
      <c r="AA6501" s="5" t="str">
        <f>IFERROR(__xludf.DUMMYFUNCTION("IF(REGEXMATCH(Z6501, ""Season""), ""TV Show"", ""Movie"")"),"Movie")</f>
        <v>Movie</v>
      </c>
    </row>
    <row r="6502">
      <c r="A6502" s="1" t="s">
        <v>32429</v>
      </c>
      <c r="B6502" s="1" t="s">
        <v>27</v>
      </c>
      <c r="C6502" s="1" t="s">
        <v>32430</v>
      </c>
      <c r="D6502" s="1" t="s">
        <v>11260</v>
      </c>
      <c r="E6502" s="1" t="s">
        <v>32431</v>
      </c>
      <c r="F6502" s="1" t="s">
        <v>686</v>
      </c>
      <c r="G6502" s="1" t="s">
        <v>27004</v>
      </c>
      <c r="H6502" s="1">
        <v>2013.0</v>
      </c>
      <c r="I6502" s="1" t="s">
        <v>378</v>
      </c>
      <c r="J6502" s="1" t="s">
        <v>322</v>
      </c>
      <c r="K6502" s="1" t="s">
        <v>394</v>
      </c>
      <c r="L6502" s="1" t="s">
        <v>32432</v>
      </c>
      <c r="M6502" s="2" t="s">
        <v>12</v>
      </c>
      <c r="N6502" s="4">
        <f t="shared" si="1"/>
        <v>43024</v>
      </c>
      <c r="O6502" s="5" t="str">
        <f>IFERROR(__xludf.DUMMYFUNCTION("IF(REGEXMATCH(TRIM(I6502), ""^\d+\s*min""), ""Unclassified"", IF(I6502 = """", ""NR"", I6502))"),"R")</f>
        <v>R</v>
      </c>
      <c r="R6502" s="5" t="str">
        <f t="shared" si="2"/>
        <v>Closed Circuit</v>
      </c>
      <c r="S6502" s="5" t="str">
        <f>IFERROR(__xludf.DUMMYFUNCTION("""COMPUTED_VALUE"""),"Spirit: Riding Free")</f>
        <v>Spirit: Riding Free</v>
      </c>
      <c r="V6502" s="5"/>
      <c r="Y6502" s="5" t="str">
        <f>IFERROR(__xludf.DUMMYFUNCTION("REGEXEXTRACT(J6502, ""^\d+"")"),"96")</f>
        <v>96</v>
      </c>
      <c r="Z6502" s="5" t="str">
        <f>IFERROR(__xludf.DUMMYFUNCTION("REGEXEXTRACT(J6502, ""[A-Za-z ]+$"")")," min")</f>
        <v> min</v>
      </c>
      <c r="AA6502" s="5" t="str">
        <f>IFERROR(__xludf.DUMMYFUNCTION("IF(REGEXMATCH(Z6502, ""Season""), ""TV Show"", ""Movie"")"),"Movie")</f>
        <v>Movie</v>
      </c>
    </row>
    <row r="6503">
      <c r="A6503" s="1" t="s">
        <v>32433</v>
      </c>
      <c r="B6503" s="1" t="s">
        <v>27</v>
      </c>
      <c r="C6503" s="1" t="s">
        <v>32434</v>
      </c>
      <c r="D6503" s="1" t="s">
        <v>13784</v>
      </c>
      <c r="E6503" s="1" t="s">
        <v>32435</v>
      </c>
      <c r="F6503" s="1" t="s">
        <v>32436</v>
      </c>
      <c r="G6503" s="1" t="s">
        <v>27569</v>
      </c>
      <c r="H6503" s="1">
        <v>2012.0</v>
      </c>
      <c r="I6503" s="1" t="s">
        <v>378</v>
      </c>
      <c r="J6503" s="1" t="s">
        <v>15335</v>
      </c>
      <c r="K6503" s="1" t="s">
        <v>32437</v>
      </c>
      <c r="L6503" s="1" t="s">
        <v>32438</v>
      </c>
      <c r="M6503" s="2" t="s">
        <v>12</v>
      </c>
      <c r="N6503" s="4">
        <f t="shared" si="1"/>
        <v>42948</v>
      </c>
      <c r="O6503" s="5" t="str">
        <f>IFERROR(__xludf.DUMMYFUNCTION("IF(REGEXMATCH(TRIM(I6503), ""^\d+\s*min""), ""Unclassified"", IF(I6503 = """", ""NR"", I6503))"),"R")</f>
        <v>R</v>
      </c>
      <c r="R6503" s="5" t="str">
        <f t="shared" si="2"/>
        <v>Cloud Atlas</v>
      </c>
      <c r="S6503" s="5" t="str">
        <f>IFERROR(__xludf.DUMMYFUNCTION("""COMPUTED_VALUE"""),"Spiritual House")</f>
        <v>Spiritual House</v>
      </c>
      <c r="V6503" s="5"/>
      <c r="Y6503" s="5" t="str">
        <f>IFERROR(__xludf.DUMMYFUNCTION("REGEXEXTRACT(J6503, ""^\d+"")"),"172")</f>
        <v>172</v>
      </c>
      <c r="Z6503" s="5" t="str">
        <f>IFERROR(__xludf.DUMMYFUNCTION("REGEXEXTRACT(J6503, ""[A-Za-z ]+$"")")," min")</f>
        <v> min</v>
      </c>
      <c r="AA6503" s="5" t="str">
        <f>IFERROR(__xludf.DUMMYFUNCTION("IF(REGEXMATCH(Z6503, ""Season""), ""TV Show"", ""Movie"")"),"Movie")</f>
        <v>Movie</v>
      </c>
    </row>
    <row r="6504">
      <c r="A6504" s="1" t="s">
        <v>32439</v>
      </c>
      <c r="B6504" s="1" t="s">
        <v>27</v>
      </c>
      <c r="C6504" s="1" t="s">
        <v>32440</v>
      </c>
      <c r="D6504" s="1" t="s">
        <v>13389</v>
      </c>
      <c r="E6504" s="1" t="s">
        <v>32441</v>
      </c>
      <c r="F6504" s="1" t="s">
        <v>32442</v>
      </c>
      <c r="G6504" s="1" t="s">
        <v>32443</v>
      </c>
      <c r="H6504" s="1">
        <v>2014.0</v>
      </c>
      <c r="I6504" s="1" t="s">
        <v>378</v>
      </c>
      <c r="J6504" s="1" t="s">
        <v>341</v>
      </c>
      <c r="K6504" s="1" t="s">
        <v>128</v>
      </c>
      <c r="L6504" s="1" t="s">
        <v>32444</v>
      </c>
      <c r="M6504" s="2" t="s">
        <v>12</v>
      </c>
      <c r="N6504" s="4">
        <f t="shared" si="1"/>
        <v>42778</v>
      </c>
      <c r="O6504" s="5" t="str">
        <f>IFERROR(__xludf.DUMMYFUNCTION("IF(REGEXMATCH(TRIM(I6504), ""^\d+\s*min""), ""Unclassified"", IF(I6504 = """", ""NR"", I6504))"),"R")</f>
        <v>R</v>
      </c>
      <c r="R6504" s="5" t="str">
        <f t="shared" si="2"/>
        <v>Clouds Of Sils Maria</v>
      </c>
      <c r="S6504" s="5" t="str">
        <f>IFERROR(__xludf.DUMMYFUNCTION("""COMPUTED_VALUE"""),"Spitfire: The Plane That Saved The World")</f>
        <v>Spitfire: The Plane That Saved The World</v>
      </c>
      <c r="V6504" s="5"/>
      <c r="Y6504" s="5" t="str">
        <f>IFERROR(__xludf.DUMMYFUNCTION("REGEXEXTRACT(J6504, ""^\d+"")"),"124")</f>
        <v>124</v>
      </c>
      <c r="Z6504" s="5" t="str">
        <f>IFERROR(__xludf.DUMMYFUNCTION("REGEXEXTRACT(J6504, ""[A-Za-z ]+$"")")," min")</f>
        <v> min</v>
      </c>
      <c r="AA6504" s="5" t="str">
        <f>IFERROR(__xludf.DUMMYFUNCTION("IF(REGEXMATCH(Z6504, ""Season""), ""TV Show"", ""Movie"")"),"Movie")</f>
        <v>Movie</v>
      </c>
    </row>
    <row r="6505">
      <c r="A6505" s="1" t="s">
        <v>32445</v>
      </c>
      <c r="B6505" s="1" t="s">
        <v>27</v>
      </c>
      <c r="C6505" s="1" t="s">
        <v>32446</v>
      </c>
      <c r="D6505" s="1" t="s">
        <v>15259</v>
      </c>
      <c r="E6505" s="1" t="s">
        <v>32447</v>
      </c>
      <c r="F6505" s="1" t="s">
        <v>30</v>
      </c>
      <c r="G6505" s="1" t="s">
        <v>16947</v>
      </c>
      <c r="H6505" s="1">
        <v>2008.0</v>
      </c>
      <c r="I6505" s="1" t="s">
        <v>32</v>
      </c>
      <c r="J6505" s="1" t="s">
        <v>471</v>
      </c>
      <c r="K6505" s="1" t="s">
        <v>2167</v>
      </c>
      <c r="L6505" s="1" t="s">
        <v>32448</v>
      </c>
      <c r="M6505" s="2" t="s">
        <v>12</v>
      </c>
      <c r="N6505" s="4">
        <f t="shared" si="1"/>
        <v>43831</v>
      </c>
      <c r="O6505" s="5" t="str">
        <f>IFERROR(__xludf.DUMMYFUNCTION("IF(REGEXMATCH(TRIM(I6505), ""^\d+\s*min""), ""Unclassified"", IF(I6505 = """", ""NR"", I6505))"),"PG-13")</f>
        <v>PG-13</v>
      </c>
      <c r="R6505" s="5" t="str">
        <f t="shared" si="2"/>
        <v>Cloverfield</v>
      </c>
      <c r="S6505" s="5" t="str">
        <f>IFERROR(__xludf.DUMMYFUNCTION("""COMPUTED_VALUE"""),"Spivak")</f>
        <v>Spivak</v>
      </c>
      <c r="V6505" s="5"/>
      <c r="Y6505" s="5" t="str">
        <f>IFERROR(__xludf.DUMMYFUNCTION("REGEXEXTRACT(J6505, ""^\d+"")"),"85")</f>
        <v>85</v>
      </c>
      <c r="Z6505" s="5" t="str">
        <f>IFERROR(__xludf.DUMMYFUNCTION("REGEXEXTRACT(J6505, ""[A-Za-z ]+$"")")," min")</f>
        <v> min</v>
      </c>
      <c r="AA6505" s="5" t="str">
        <f>IFERROR(__xludf.DUMMYFUNCTION("IF(REGEXMATCH(Z6505, ""Season""), ""TV Show"", ""Movie"")"),"Movie")</f>
        <v>Movie</v>
      </c>
    </row>
    <row r="6506">
      <c r="A6506" s="1" t="s">
        <v>32449</v>
      </c>
      <c r="B6506" s="1" t="s">
        <v>37</v>
      </c>
      <c r="C6506" s="1" t="s">
        <v>32450</v>
      </c>
      <c r="E6506" s="1" t="s">
        <v>32451</v>
      </c>
      <c r="G6506" s="1" t="s">
        <v>31093</v>
      </c>
      <c r="H6506" s="1">
        <v>2015.0</v>
      </c>
      <c r="I6506" s="1" t="s">
        <v>42</v>
      </c>
      <c r="J6506" s="1" t="s">
        <v>98</v>
      </c>
      <c r="K6506" s="1" t="s">
        <v>1907</v>
      </c>
      <c r="L6506" s="1" t="s">
        <v>32452</v>
      </c>
      <c r="M6506" s="2" t="s">
        <v>12</v>
      </c>
      <c r="N6506" s="4">
        <f t="shared" si="1"/>
        <v>43533</v>
      </c>
      <c r="O6506" s="5" t="str">
        <f>IFERROR(__xludf.DUMMYFUNCTION("IF(REGEXMATCH(TRIM(I6506), ""^\d+\s*min""), ""Unclassified"", IF(I6506 = """", ""NR"", I6506))"),"TV-MA")</f>
        <v>TV-MA</v>
      </c>
      <c r="R6506" s="5" t="str">
        <f t="shared" si="2"/>
        <v>Club Friday The Series 6</v>
      </c>
      <c r="S6506" s="5" t="str">
        <f>IFERROR(__xludf.DUMMYFUNCTION("""COMPUTED_VALUE"""),"Splash And Bubbles")</f>
        <v>Splash And Bubbles</v>
      </c>
      <c r="V6506" s="5"/>
      <c r="Y6506" s="5" t="str">
        <f>IFERROR(__xludf.DUMMYFUNCTION("REGEXEXTRACT(J6506, ""^\d+"")"),"9")</f>
        <v>9</v>
      </c>
      <c r="Z6506" s="5" t="str">
        <f>IFERROR(__xludf.DUMMYFUNCTION("REGEXEXTRACT(J6506, ""[A-Za-z ]+$"")")," Seasons")</f>
        <v> Seasons</v>
      </c>
      <c r="AA6506" s="5" t="str">
        <f>IFERROR(__xludf.DUMMYFUNCTION("IF(REGEXMATCH(Z6506, ""Season""), ""TV Show"", ""Movie"")"),"TV Show")</f>
        <v>TV Show</v>
      </c>
    </row>
    <row r="6507">
      <c r="A6507" s="1" t="s">
        <v>32453</v>
      </c>
      <c r="B6507" s="1" t="s">
        <v>37</v>
      </c>
      <c r="C6507" s="1" t="s">
        <v>32454</v>
      </c>
      <c r="E6507" s="1" t="s">
        <v>32455</v>
      </c>
      <c r="G6507" s="1" t="s">
        <v>25328</v>
      </c>
      <c r="H6507" s="1">
        <v>2016.0</v>
      </c>
      <c r="I6507" s="1" t="s">
        <v>42</v>
      </c>
      <c r="J6507" s="1" t="s">
        <v>1809</v>
      </c>
      <c r="K6507" s="1" t="s">
        <v>1907</v>
      </c>
      <c r="L6507" s="1" t="s">
        <v>32456</v>
      </c>
      <c r="M6507" s="2" t="s">
        <v>12</v>
      </c>
      <c r="N6507" s="4">
        <f t="shared" si="1"/>
        <v>43269</v>
      </c>
      <c r="O6507" s="5" t="str">
        <f>IFERROR(__xludf.DUMMYFUNCTION("IF(REGEXMATCH(TRIM(I6507), ""^\d+\s*min""), ""Unclassified"", IF(I6507 = """", ""NR"", I6507))"),"TV-MA")</f>
        <v>TV-MA</v>
      </c>
      <c r="R6507" s="5" t="str">
        <f t="shared" si="2"/>
        <v>Club Friday The Series 7</v>
      </c>
      <c r="S6507" s="5" t="str">
        <f>IFERROR(__xludf.DUMMYFUNCTION("""COMPUTED_VALUE"""),"Splatter")</f>
        <v>Splatter</v>
      </c>
      <c r="V6507" s="5"/>
      <c r="Y6507" s="5" t="str">
        <f>IFERROR(__xludf.DUMMYFUNCTION("REGEXEXTRACT(J6507, ""^\d+"")"),"7")</f>
        <v>7</v>
      </c>
      <c r="Z6507" s="5" t="str">
        <f>IFERROR(__xludf.DUMMYFUNCTION("REGEXEXTRACT(J6507, ""[A-Za-z ]+$"")")," Seasons")</f>
        <v> Seasons</v>
      </c>
      <c r="AA6507" s="5" t="str">
        <f>IFERROR(__xludf.DUMMYFUNCTION("IF(REGEXMATCH(Z6507, ""Season""), ""TV Show"", ""Movie"")"),"TV Show")</f>
        <v>TV Show</v>
      </c>
    </row>
    <row r="6508">
      <c r="A6508" s="1" t="s">
        <v>32457</v>
      </c>
      <c r="B6508" s="1" t="s">
        <v>37</v>
      </c>
      <c r="C6508" s="1" t="s">
        <v>32458</v>
      </c>
      <c r="E6508" s="1" t="s">
        <v>32459</v>
      </c>
      <c r="G6508" s="1" t="s">
        <v>22230</v>
      </c>
      <c r="H6508" s="1">
        <v>2017.0</v>
      </c>
      <c r="I6508" s="1" t="s">
        <v>42</v>
      </c>
      <c r="J6508" s="1" t="s">
        <v>3285</v>
      </c>
      <c r="K6508" s="1" t="s">
        <v>64</v>
      </c>
      <c r="L6508" s="1" t="s">
        <v>32460</v>
      </c>
      <c r="M6508" s="2" t="s">
        <v>12</v>
      </c>
      <c r="N6508" s="4">
        <f t="shared" si="1"/>
        <v>43498</v>
      </c>
      <c r="O6508" s="5" t="str">
        <f>IFERROR(__xludf.DUMMYFUNCTION("IF(REGEXMATCH(TRIM(I6508), ""^\d+\s*min""), ""Unclassified"", IF(I6508 = """", ""NR"", I6508))"),"TV-MA")</f>
        <v>TV-MA</v>
      </c>
      <c r="R6508" s="5" t="str">
        <f t="shared" si="2"/>
        <v>Club Friday The Series 8</v>
      </c>
      <c r="S6508" s="5" t="str">
        <f>IFERROR(__xludf.DUMMYFUNCTION("""COMPUTED_VALUE"""),"Spookley And The Christmas Kittens")</f>
        <v>Spookley And The Christmas Kittens</v>
      </c>
      <c r="V6508" s="5"/>
      <c r="Y6508" s="5" t="str">
        <f>IFERROR(__xludf.DUMMYFUNCTION("REGEXEXTRACT(J6508, ""^\d+"")"),"8")</f>
        <v>8</v>
      </c>
      <c r="Z6508" s="5" t="str">
        <f>IFERROR(__xludf.DUMMYFUNCTION("REGEXEXTRACT(J6508, ""[A-Za-z ]+$"")")," Seasons")</f>
        <v> Seasons</v>
      </c>
      <c r="AA6508" s="5" t="str">
        <f>IFERROR(__xludf.DUMMYFUNCTION("IF(REGEXMATCH(Z6508, ""Season""), ""TV Show"", ""Movie"")"),"TV Show")</f>
        <v>TV Show</v>
      </c>
    </row>
    <row r="6509">
      <c r="A6509" s="1" t="s">
        <v>32461</v>
      </c>
      <c r="B6509" s="1" t="s">
        <v>37</v>
      </c>
      <c r="C6509" s="1" t="s">
        <v>32462</v>
      </c>
      <c r="E6509" s="1" t="s">
        <v>32463</v>
      </c>
      <c r="G6509" s="1" t="s">
        <v>25717</v>
      </c>
      <c r="H6509" s="1">
        <v>2016.0</v>
      </c>
      <c r="I6509" s="1" t="s">
        <v>42</v>
      </c>
      <c r="J6509" s="1" t="s">
        <v>51</v>
      </c>
      <c r="K6509" s="1" t="s">
        <v>1907</v>
      </c>
      <c r="L6509" s="1" t="s">
        <v>32464</v>
      </c>
      <c r="M6509" s="2" t="s">
        <v>12</v>
      </c>
      <c r="N6509" s="4">
        <f t="shared" si="1"/>
        <v>43210</v>
      </c>
      <c r="O6509" s="5" t="str">
        <f>IFERROR(__xludf.DUMMYFUNCTION("IF(REGEXMATCH(TRIM(I6509), ""^\d+\s*min""), ""Unclassified"", IF(I6509 = """", ""NR"", I6509))"),"TV-MA")</f>
        <v>TV-MA</v>
      </c>
      <c r="R6509" s="5" t="str">
        <f t="shared" si="2"/>
        <v>Club Friday To Be Continued - Friend &amp; Enemy</v>
      </c>
      <c r="S6509" s="5" t="str">
        <f>IFERROR(__xludf.DUMMYFUNCTION("""COMPUTED_VALUE"""),"Spookley The Square Pumpkin")</f>
        <v>Spookley The Square Pumpkin</v>
      </c>
      <c r="V6509" s="5"/>
      <c r="Y6509" s="5" t="str">
        <f>IFERROR(__xludf.DUMMYFUNCTION("REGEXEXTRACT(J6509, ""^\d+"")"),"1")</f>
        <v>1</v>
      </c>
      <c r="Z6509" s="5" t="str">
        <f>IFERROR(__xludf.DUMMYFUNCTION("REGEXEXTRACT(J6509, ""[A-Za-z ]+$"")")," Season")</f>
        <v> Season</v>
      </c>
      <c r="AA6509" s="5" t="str">
        <f>IFERROR(__xludf.DUMMYFUNCTION("IF(REGEXMATCH(Z6509, ""Season""), ""TV Show"", ""Movie"")"),"TV Show")</f>
        <v>TV Show</v>
      </c>
    </row>
    <row r="6510">
      <c r="A6510" s="1" t="s">
        <v>32465</v>
      </c>
      <c r="B6510" s="1" t="s">
        <v>37</v>
      </c>
      <c r="C6510" s="1" t="s">
        <v>32466</v>
      </c>
      <c r="E6510" s="1" t="s">
        <v>32467</v>
      </c>
      <c r="G6510" s="1" t="s">
        <v>25753</v>
      </c>
      <c r="H6510" s="1">
        <v>2016.0</v>
      </c>
      <c r="I6510" s="1" t="s">
        <v>42</v>
      </c>
      <c r="J6510" s="1" t="s">
        <v>51</v>
      </c>
      <c r="K6510" s="1" t="s">
        <v>64</v>
      </c>
      <c r="L6510" s="1" t="s">
        <v>32468</v>
      </c>
      <c r="M6510" s="2" t="s">
        <v>12</v>
      </c>
      <c r="N6510" s="4">
        <f t="shared" si="1"/>
        <v>43203</v>
      </c>
      <c r="O6510" s="5" t="str">
        <f>IFERROR(__xludf.DUMMYFUNCTION("IF(REGEXMATCH(TRIM(I6510), ""^\d+\s*min""), ""Unclassified"", IF(I6510 = """", ""NR"", I6510))"),"TV-MA")</f>
        <v>TV-MA</v>
      </c>
      <c r="R6510" s="5" t="str">
        <f t="shared" si="2"/>
        <v>Club Friday To Be Continued - My Beautiful Tomboy</v>
      </c>
      <c r="S6510" s="5" t="str">
        <f>IFERROR(__xludf.DUMMYFUNCTION("""COMPUTED_VALUE"""),"Spotless")</f>
        <v>Spotless</v>
      </c>
      <c r="V6510" s="5"/>
      <c r="Y6510" s="5" t="str">
        <f>IFERROR(__xludf.DUMMYFUNCTION("REGEXEXTRACT(J6510, ""^\d+"")"),"1")</f>
        <v>1</v>
      </c>
      <c r="Z6510" s="5" t="str">
        <f>IFERROR(__xludf.DUMMYFUNCTION("REGEXEXTRACT(J6510, ""[A-Za-z ]+$"")")," Season")</f>
        <v> Season</v>
      </c>
      <c r="AA6510" s="5" t="str">
        <f>IFERROR(__xludf.DUMMYFUNCTION("IF(REGEXMATCH(Z6510, ""Season""), ""TV Show"", ""Movie"")"),"TV Show")</f>
        <v>TV Show</v>
      </c>
    </row>
    <row r="6511">
      <c r="A6511" s="1" t="s">
        <v>32469</v>
      </c>
      <c r="B6511" s="1" t="s">
        <v>37</v>
      </c>
      <c r="C6511" s="1" t="s">
        <v>32470</v>
      </c>
      <c r="E6511" s="1" t="s">
        <v>32471</v>
      </c>
      <c r="G6511" s="1" t="s">
        <v>25717</v>
      </c>
      <c r="H6511" s="1">
        <v>2016.0</v>
      </c>
      <c r="I6511" s="1" t="s">
        <v>42</v>
      </c>
      <c r="J6511" s="1" t="s">
        <v>51</v>
      </c>
      <c r="K6511" s="1" t="s">
        <v>1907</v>
      </c>
      <c r="L6511" s="1" t="s">
        <v>32472</v>
      </c>
      <c r="M6511" s="2" t="s">
        <v>12</v>
      </c>
      <c r="N6511" s="4">
        <f t="shared" si="1"/>
        <v>43210</v>
      </c>
      <c r="O6511" s="5" t="str">
        <f>IFERROR(__xludf.DUMMYFUNCTION("IF(REGEXMATCH(TRIM(I6511), ""^\d+\s*min""), ""Unclassified"", IF(I6511 = """", ""NR"", I6511))"),"TV-MA")</f>
        <v>TV-MA</v>
      </c>
      <c r="R6511" s="5" t="str">
        <f t="shared" si="2"/>
        <v>Club Friday To Be Continued - The Promise</v>
      </c>
      <c r="S6511" s="5" t="str">
        <f>IFERROR(__xludf.DUMMYFUNCTION("""COMPUTED_VALUE"""),"Spotlight")</f>
        <v>Spotlight</v>
      </c>
      <c r="V6511" s="5"/>
      <c r="Y6511" s="5" t="str">
        <f>IFERROR(__xludf.DUMMYFUNCTION("REGEXEXTRACT(J6511, ""^\d+"")"),"1")</f>
        <v>1</v>
      </c>
      <c r="Z6511" s="5" t="str">
        <f>IFERROR(__xludf.DUMMYFUNCTION("REGEXEXTRACT(J6511, ""[A-Za-z ]+$"")")," Season")</f>
        <v> Season</v>
      </c>
      <c r="AA6511" s="5" t="str">
        <f>IFERROR(__xludf.DUMMYFUNCTION("IF(REGEXMATCH(Z6511, ""Season""), ""TV Show"", ""Movie"")"),"TV Show")</f>
        <v>TV Show</v>
      </c>
    </row>
    <row r="6512">
      <c r="A6512" s="1" t="s">
        <v>32473</v>
      </c>
      <c r="B6512" s="1" t="s">
        <v>27</v>
      </c>
      <c r="C6512" s="1" t="s">
        <v>32474</v>
      </c>
      <c r="D6512" s="1" t="s">
        <v>22430</v>
      </c>
      <c r="E6512" s="1" t="s">
        <v>32475</v>
      </c>
      <c r="F6512" s="1" t="s">
        <v>1205</v>
      </c>
      <c r="G6512" s="1" t="s">
        <v>16947</v>
      </c>
      <c r="H6512" s="1">
        <v>2005.0</v>
      </c>
      <c r="I6512" s="1" t="s">
        <v>32</v>
      </c>
      <c r="J6512" s="1" t="s">
        <v>4242</v>
      </c>
      <c r="K6512" s="1" t="s">
        <v>2275</v>
      </c>
      <c r="L6512" s="1" t="s">
        <v>32476</v>
      </c>
      <c r="M6512" s="2" t="s">
        <v>12</v>
      </c>
      <c r="N6512" s="4">
        <f t="shared" si="1"/>
        <v>43831</v>
      </c>
      <c r="O6512" s="5" t="str">
        <f>IFERROR(__xludf.DUMMYFUNCTION("IF(REGEXMATCH(TRIM(I6512), ""^\d+\s*min""), ""Unclassified"", IF(I6512 = """", ""NR"", I6512))"),"PG-13")</f>
        <v>PG-13</v>
      </c>
      <c r="R6512" s="5" t="str">
        <f t="shared" si="2"/>
        <v>Coach Carter</v>
      </c>
      <c r="S6512" s="5" t="str">
        <f>IFERROR(__xludf.DUMMYFUNCTION("""COMPUTED_VALUE"""),"Spring Breakers")</f>
        <v>Spring Breakers</v>
      </c>
      <c r="V6512" s="5"/>
      <c r="Y6512" s="5" t="str">
        <f>IFERROR(__xludf.DUMMYFUNCTION("REGEXEXTRACT(J6512, ""^\d+"")"),"137")</f>
        <v>137</v>
      </c>
      <c r="Z6512" s="5" t="str">
        <f>IFERROR(__xludf.DUMMYFUNCTION("REGEXEXTRACT(J6512, ""[A-Za-z ]+$"")")," min")</f>
        <v> min</v>
      </c>
      <c r="AA6512" s="5" t="str">
        <f>IFERROR(__xludf.DUMMYFUNCTION("IF(REGEXMATCH(Z6512, ""Season""), ""TV Show"", ""Movie"")"),"Movie")</f>
        <v>Movie</v>
      </c>
    </row>
    <row r="6513">
      <c r="A6513" s="1" t="s">
        <v>32477</v>
      </c>
      <c r="B6513" s="1" t="s">
        <v>27</v>
      </c>
      <c r="C6513" s="1" t="s">
        <v>32478</v>
      </c>
      <c r="D6513" s="1" t="s">
        <v>4735</v>
      </c>
      <c r="E6513" s="1" t="s">
        <v>32479</v>
      </c>
      <c r="F6513" s="1" t="s">
        <v>30</v>
      </c>
      <c r="G6513" s="1" t="s">
        <v>18333</v>
      </c>
      <c r="H6513" s="1">
        <v>2007.0</v>
      </c>
      <c r="I6513" s="1" t="s">
        <v>32</v>
      </c>
      <c r="J6513" s="1" t="s">
        <v>79</v>
      </c>
      <c r="K6513" s="1" t="s">
        <v>973</v>
      </c>
      <c r="L6513" s="1" t="s">
        <v>32480</v>
      </c>
      <c r="M6513" s="2" t="s">
        <v>12</v>
      </c>
      <c r="N6513" s="4">
        <f t="shared" si="1"/>
        <v>43770</v>
      </c>
      <c r="O6513" s="5" t="str">
        <f>IFERROR(__xludf.DUMMYFUNCTION("IF(REGEXMATCH(TRIM(I6513), ""^\d+\s*min""), ""Unclassified"", IF(I6513 = """", ""NR"", I6513))"),"PG-13")</f>
        <v>PG-13</v>
      </c>
      <c r="R6513" s="5" t="str">
        <f t="shared" si="2"/>
        <v>Code Name: The Cleaner</v>
      </c>
      <c r="S6513" s="5" t="str">
        <f>IFERROR(__xludf.DUMMYFUNCTION("""COMPUTED_VALUE"""),"Springsteen On Broadway")</f>
        <v>Springsteen On Broadway</v>
      </c>
      <c r="V6513" s="5"/>
      <c r="Y6513" s="5" t="str">
        <f>IFERROR(__xludf.DUMMYFUNCTION("REGEXEXTRACT(J6513, ""^\d+"")"),"91")</f>
        <v>91</v>
      </c>
      <c r="Z6513" s="5" t="str">
        <f>IFERROR(__xludf.DUMMYFUNCTION("REGEXEXTRACT(J6513, ""[A-Za-z ]+$"")")," min")</f>
        <v> min</v>
      </c>
      <c r="AA6513" s="5" t="str">
        <f>IFERROR(__xludf.DUMMYFUNCTION("IF(REGEXMATCH(Z6513, ""Season""), ""TV Show"", ""Movie"")"),"Movie")</f>
        <v>Movie</v>
      </c>
    </row>
    <row r="6514">
      <c r="A6514" s="1" t="s">
        <v>32481</v>
      </c>
      <c r="B6514" s="1" t="s">
        <v>27</v>
      </c>
      <c r="C6514" s="1" t="s">
        <v>32482</v>
      </c>
      <c r="D6514" s="1" t="s">
        <v>23404</v>
      </c>
      <c r="E6514" s="1" t="s">
        <v>32483</v>
      </c>
      <c r="F6514" s="1" t="s">
        <v>63</v>
      </c>
      <c r="G6514" s="1" t="s">
        <v>26883</v>
      </c>
      <c r="H6514" s="1">
        <v>2017.0</v>
      </c>
      <c r="I6514" s="1" t="s">
        <v>136</v>
      </c>
      <c r="J6514" s="1" t="s">
        <v>985</v>
      </c>
      <c r="K6514" s="1" t="s">
        <v>5295</v>
      </c>
      <c r="L6514" s="1" t="s">
        <v>32484</v>
      </c>
      <c r="M6514" s="2" t="s">
        <v>12</v>
      </c>
      <c r="N6514" s="4">
        <f t="shared" si="1"/>
        <v>43040</v>
      </c>
      <c r="O6514" s="5" t="str">
        <f>IFERROR(__xludf.DUMMYFUNCTION("IF(REGEXMATCH(TRIM(I6514), ""^\d+\s*min""), ""Unclassified"", IF(I6514 = """", ""NR"", I6514))"),"TV-PG")</f>
        <v>TV-PG</v>
      </c>
      <c r="R6514" s="5" t="str">
        <f t="shared" si="2"/>
        <v>Coffee With D</v>
      </c>
      <c r="S6514" s="5" t="str">
        <f>IFERROR(__xludf.DUMMYFUNCTION("""COMPUTED_VALUE"""),"Sprinter")</f>
        <v>Sprinter</v>
      </c>
      <c r="V6514" s="5"/>
      <c r="Y6514" s="5" t="str">
        <f>IFERROR(__xludf.DUMMYFUNCTION("REGEXEXTRACT(J6514, ""^\d+"")"),"120")</f>
        <v>120</v>
      </c>
      <c r="Z6514" s="5" t="str">
        <f>IFERROR(__xludf.DUMMYFUNCTION("REGEXEXTRACT(J6514, ""[A-Za-z ]+$"")")," min")</f>
        <v> min</v>
      </c>
      <c r="AA6514" s="5" t="str">
        <f>IFERROR(__xludf.DUMMYFUNCTION("IF(REGEXMATCH(Z6514, ""Season""), ""TV Show"", ""Movie"")"),"Movie")</f>
        <v>Movie</v>
      </c>
    </row>
    <row r="6515">
      <c r="A6515" s="1" t="s">
        <v>32485</v>
      </c>
      <c r="B6515" s="1" t="s">
        <v>37</v>
      </c>
      <c r="C6515" s="1" t="s">
        <v>32486</v>
      </c>
      <c r="F6515" s="1" t="s">
        <v>30</v>
      </c>
      <c r="G6515" s="1" t="s">
        <v>19237</v>
      </c>
      <c r="H6515" s="1">
        <v>2017.0</v>
      </c>
      <c r="I6515" s="1" t="s">
        <v>97</v>
      </c>
      <c r="J6515" s="1" t="s">
        <v>51</v>
      </c>
      <c r="K6515" s="1" t="s">
        <v>2043</v>
      </c>
      <c r="L6515" s="1" t="s">
        <v>32487</v>
      </c>
      <c r="M6515" s="2" t="s">
        <v>12</v>
      </c>
      <c r="N6515" s="4">
        <f t="shared" si="1"/>
        <v>43723</v>
      </c>
      <c r="O6515" s="5" t="str">
        <f>IFERROR(__xludf.DUMMYFUNCTION("IF(REGEXMATCH(TRIM(I6515), ""^\d+\s*min""), ""Unclassified"", IF(I6515 = """", ""NR"", I6515))"),"TV-14")</f>
        <v>TV-14</v>
      </c>
      <c r="R6515" s="5" t="str">
        <f t="shared" si="2"/>
        <v>Cold Case Files</v>
      </c>
      <c r="S6515" s="5" t="str">
        <f>IFERROR(__xludf.DUMMYFUNCTION("""COMPUTED_VALUE"""),"Spy Kids")</f>
        <v>Spy Kids</v>
      </c>
      <c r="V6515" s="5"/>
      <c r="Y6515" s="5" t="str">
        <f>IFERROR(__xludf.DUMMYFUNCTION("REGEXEXTRACT(J6515, ""^\d+"")"),"1")</f>
        <v>1</v>
      </c>
      <c r="Z6515" s="5" t="str">
        <f>IFERROR(__xludf.DUMMYFUNCTION("REGEXEXTRACT(J6515, ""[A-Za-z ]+$"")")," Season")</f>
        <v> Season</v>
      </c>
      <c r="AA6515" s="5" t="str">
        <f>IFERROR(__xludf.DUMMYFUNCTION("IF(REGEXMATCH(Z6515, ""Season""), ""TV Show"", ""Movie"")"),"TV Show")</f>
        <v>TV Show</v>
      </c>
    </row>
    <row r="6516">
      <c r="A6516" s="1" t="s">
        <v>32488</v>
      </c>
      <c r="B6516" s="1" t="s">
        <v>37</v>
      </c>
      <c r="C6516" s="1" t="s">
        <v>32489</v>
      </c>
      <c r="E6516" s="1" t="s">
        <v>32490</v>
      </c>
      <c r="F6516" s="1" t="s">
        <v>30</v>
      </c>
      <c r="G6516" s="1" t="s">
        <v>11470</v>
      </c>
      <c r="H6516" s="1">
        <v>1999.0</v>
      </c>
      <c r="I6516" s="1" t="s">
        <v>42</v>
      </c>
      <c r="J6516" s="1" t="s">
        <v>51</v>
      </c>
      <c r="K6516" s="1" t="s">
        <v>2043</v>
      </c>
      <c r="L6516" s="1" t="s">
        <v>32491</v>
      </c>
      <c r="M6516" s="2" t="s">
        <v>12</v>
      </c>
      <c r="N6516" s="4">
        <f t="shared" si="1"/>
        <v>44089</v>
      </c>
      <c r="O6516" s="5" t="str">
        <f>IFERROR(__xludf.DUMMYFUNCTION("IF(REGEXMATCH(TRIM(I6516), ""^\d+\s*min""), ""Unclassified"", IF(I6516 = """", ""NR"", I6516))"),"TV-MA")</f>
        <v>TV-MA</v>
      </c>
      <c r="R6516" s="5" t="str">
        <f t="shared" si="2"/>
        <v>Cold Case Files Classic</v>
      </c>
      <c r="S6516" s="5" t="str">
        <f>IFERROR(__xludf.DUMMYFUNCTION("""COMPUTED_VALUE"""),"Spy Kids 2: The Island Of Lost Dreams")</f>
        <v>Spy Kids 2: The Island Of Lost Dreams</v>
      </c>
      <c r="V6516" s="5"/>
      <c r="Y6516" s="5" t="str">
        <f>IFERROR(__xludf.DUMMYFUNCTION("REGEXEXTRACT(J6516, ""^\d+"")"),"1")</f>
        <v>1</v>
      </c>
      <c r="Z6516" s="5" t="str">
        <f>IFERROR(__xludf.DUMMYFUNCTION("REGEXEXTRACT(J6516, ""[A-Za-z ]+$"")")," Season")</f>
        <v> Season</v>
      </c>
      <c r="AA6516" s="5" t="str">
        <f>IFERROR(__xludf.DUMMYFUNCTION("IF(REGEXMATCH(Z6516, ""Season""), ""TV Show"", ""Movie"")"),"TV Show")</f>
        <v>TV Show</v>
      </c>
    </row>
    <row r="6517">
      <c r="A6517" s="1" t="s">
        <v>32492</v>
      </c>
      <c r="B6517" s="1" t="s">
        <v>27</v>
      </c>
      <c r="C6517" s="1" t="s">
        <v>32493</v>
      </c>
      <c r="D6517" s="1" t="s">
        <v>20563</v>
      </c>
      <c r="E6517" s="1" t="s">
        <v>32494</v>
      </c>
      <c r="F6517" s="1" t="s">
        <v>63</v>
      </c>
      <c r="G6517" s="1" t="s">
        <v>31218</v>
      </c>
      <c r="H6517" s="1">
        <v>2016.0</v>
      </c>
      <c r="I6517" s="1" t="s">
        <v>97</v>
      </c>
      <c r="J6517" s="1" t="s">
        <v>870</v>
      </c>
      <c r="K6517" s="1" t="s">
        <v>836</v>
      </c>
      <c r="L6517" s="1" t="s">
        <v>32495</v>
      </c>
      <c r="M6517" s="2" t="s">
        <v>12</v>
      </c>
      <c r="N6517" s="4">
        <f t="shared" si="1"/>
        <v>42824</v>
      </c>
      <c r="O6517" s="5" t="str">
        <f>IFERROR(__xludf.DUMMYFUNCTION("IF(REGEXMATCH(TRIM(I6517), ""^\d+\s*min""), ""Unclassified"", IF(I6517 = """", ""NR"", I6517))"),"TV-14")</f>
        <v>TV-14</v>
      </c>
      <c r="R6517" s="5" t="str">
        <f t="shared" si="2"/>
        <v>Colkatay Columbus</v>
      </c>
      <c r="S6517" s="5" t="str">
        <f>IFERROR(__xludf.DUMMYFUNCTION("""COMPUTED_VALUE"""),"Spy Kids 3: Game Over")</f>
        <v>Spy Kids 3: Game Over</v>
      </c>
      <c r="V6517" s="5"/>
      <c r="Y6517" s="5" t="str">
        <f>IFERROR(__xludf.DUMMYFUNCTION("REGEXEXTRACT(J6517, ""^\d+"")"),"118")</f>
        <v>118</v>
      </c>
      <c r="Z6517" s="5" t="str">
        <f>IFERROR(__xludf.DUMMYFUNCTION("REGEXEXTRACT(J6517, ""[A-Za-z ]+$"")")," min")</f>
        <v> min</v>
      </c>
      <c r="AA6517" s="5" t="str">
        <f>IFERROR(__xludf.DUMMYFUNCTION("IF(REGEXMATCH(Z6517, ""Season""), ""TV Show"", ""Movie"")"),"Movie")</f>
        <v>Movie</v>
      </c>
    </row>
    <row r="6518">
      <c r="A6518" s="1" t="s">
        <v>32496</v>
      </c>
      <c r="B6518" s="1" t="s">
        <v>27</v>
      </c>
      <c r="C6518" s="1" t="s">
        <v>32497</v>
      </c>
      <c r="D6518" s="1" t="s">
        <v>7712</v>
      </c>
      <c r="E6518" s="1" t="s">
        <v>32498</v>
      </c>
      <c r="F6518" s="1" t="s">
        <v>32499</v>
      </c>
      <c r="G6518" s="1" t="s">
        <v>25106</v>
      </c>
      <c r="H6518" s="1">
        <v>2015.0</v>
      </c>
      <c r="I6518" s="1" t="s">
        <v>378</v>
      </c>
      <c r="J6518" s="1" t="s">
        <v>297</v>
      </c>
      <c r="K6518" s="1" t="s">
        <v>89</v>
      </c>
      <c r="L6518" s="1" t="s">
        <v>32500</v>
      </c>
      <c r="M6518" s="2" t="s">
        <v>12</v>
      </c>
      <c r="N6518" s="4">
        <f t="shared" si="1"/>
        <v>43295</v>
      </c>
      <c r="O6518" s="5" t="str">
        <f>IFERROR(__xludf.DUMMYFUNCTION("IF(REGEXMATCH(TRIM(I6518), ""^\d+\s*min""), ""Unclassified"", IF(I6518 = """", ""NR"", I6518))"),"R")</f>
        <v>R</v>
      </c>
      <c r="R6518" s="5" t="str">
        <f t="shared" si="2"/>
        <v>Colonia</v>
      </c>
      <c r="S6518" s="5" t="str">
        <f>IFERROR(__xludf.DUMMYFUNCTION("""COMPUTED_VALUE"""),"Spy Kids: All The Time In The World")</f>
        <v>Spy Kids: All The Time In The World</v>
      </c>
      <c r="V6518" s="5"/>
      <c r="Y6518" s="5" t="str">
        <f>IFERROR(__xludf.DUMMYFUNCTION("REGEXEXTRACT(J6518, ""^\d+"")"),"110")</f>
        <v>110</v>
      </c>
      <c r="Z6518" s="5" t="str">
        <f>IFERROR(__xludf.DUMMYFUNCTION("REGEXEXTRACT(J6518, ""[A-Za-z ]+$"")")," min")</f>
        <v> min</v>
      </c>
      <c r="AA6518" s="5" t="str">
        <f>IFERROR(__xludf.DUMMYFUNCTION("IF(REGEXMATCH(Z6518, ""Season""), ""TV Show"", ""Movie"")"),"Movie")</f>
        <v>Movie</v>
      </c>
    </row>
    <row r="6519">
      <c r="A6519" s="1" t="s">
        <v>32501</v>
      </c>
      <c r="B6519" s="1" t="s">
        <v>27</v>
      </c>
      <c r="C6519" s="1" t="s">
        <v>32502</v>
      </c>
      <c r="D6519" s="1" t="s">
        <v>12783</v>
      </c>
      <c r="E6519" s="1" t="s">
        <v>32503</v>
      </c>
      <c r="F6519" s="1" t="s">
        <v>63</v>
      </c>
      <c r="G6519" s="7">
        <v>43245.0</v>
      </c>
      <c r="H6519" s="1">
        <v>2008.0</v>
      </c>
      <c r="I6519" s="1" t="s">
        <v>97</v>
      </c>
      <c r="J6519" s="1" t="s">
        <v>835</v>
      </c>
      <c r="K6519" s="1" t="s">
        <v>128</v>
      </c>
      <c r="L6519" s="1" t="s">
        <v>32504</v>
      </c>
      <c r="M6519" s="2" t="s">
        <v>12</v>
      </c>
      <c r="N6519" s="4">
        <f t="shared" si="1"/>
        <v>43245</v>
      </c>
      <c r="O6519" s="5" t="str">
        <f>IFERROR(__xludf.DUMMYFUNCTION("IF(REGEXMATCH(TRIM(I6519), ""^\d+\s*min""), ""Unclassified"", IF(I6519 = """", ""NR"", I6519))"),"TV-14")</f>
        <v>TV-14</v>
      </c>
      <c r="R6519" s="5" t="str">
        <f t="shared" si="2"/>
        <v>Colours Of Passion</v>
      </c>
      <c r="S6519" s="5" t="str">
        <f>IFERROR(__xludf.DUMMYFUNCTION("""COMPUTED_VALUE"""),"Spy Kids: Mission Critical")</f>
        <v>Spy Kids: Mission Critical</v>
      </c>
      <c r="V6519" s="5"/>
      <c r="Y6519" s="5" t="str">
        <f>IFERROR(__xludf.DUMMYFUNCTION("REGEXEXTRACT(J6519, ""^\d+"")"),"114")</f>
        <v>114</v>
      </c>
      <c r="Z6519" s="5" t="str">
        <f>IFERROR(__xludf.DUMMYFUNCTION("REGEXEXTRACT(J6519, ""[A-Za-z ]+$"")")," min")</f>
        <v> min</v>
      </c>
      <c r="AA6519" s="5" t="str">
        <f>IFERROR(__xludf.DUMMYFUNCTION("IF(REGEXMATCH(Z6519, ""Season""), ""TV Show"", ""Movie"")"),"Movie")</f>
        <v>Movie</v>
      </c>
    </row>
    <row r="6520">
      <c r="A6520" s="1" t="s">
        <v>32505</v>
      </c>
      <c r="B6520" s="1" t="s">
        <v>27</v>
      </c>
      <c r="C6520" s="1" t="s">
        <v>32506</v>
      </c>
      <c r="D6520" s="1" t="s">
        <v>23978</v>
      </c>
      <c r="E6520" s="1" t="s">
        <v>32507</v>
      </c>
      <c r="F6520" s="1" t="s">
        <v>7585</v>
      </c>
      <c r="G6520" s="1" t="s">
        <v>19221</v>
      </c>
      <c r="H6520" s="1">
        <v>2016.0</v>
      </c>
      <c r="I6520" s="1" t="s">
        <v>378</v>
      </c>
      <c r="J6520" s="1" t="s">
        <v>1243</v>
      </c>
      <c r="K6520" s="1" t="s">
        <v>394</v>
      </c>
      <c r="L6520" s="1" t="s">
        <v>32508</v>
      </c>
      <c r="M6520" s="2" t="s">
        <v>12</v>
      </c>
      <c r="N6520" s="4">
        <f t="shared" si="1"/>
        <v>43726</v>
      </c>
      <c r="O6520" s="5" t="str">
        <f>IFERROR(__xludf.DUMMYFUNCTION("IF(REGEXMATCH(TRIM(I6520), ""^\d+\s*min""), ""Unclassified"", IF(I6520 = """", ""NR"", I6520))"),"R")</f>
        <v>R</v>
      </c>
      <c r="R6520" s="5" t="str">
        <f t="shared" si="2"/>
        <v>Come And Find Me</v>
      </c>
      <c r="S6520" s="5" t="str">
        <f>IFERROR(__xludf.DUMMYFUNCTION("""COMPUTED_VALUE"""),"Spy Time")</f>
        <v>Spy Time</v>
      </c>
      <c r="V6520" s="5"/>
      <c r="Y6520" s="5" t="str">
        <f>IFERROR(__xludf.DUMMYFUNCTION("REGEXEXTRACT(J6520, ""^\d+"")"),"112")</f>
        <v>112</v>
      </c>
      <c r="Z6520" s="5" t="str">
        <f>IFERROR(__xludf.DUMMYFUNCTION("REGEXEXTRACT(J6520, ""[A-Za-z ]+$"")")," min")</f>
        <v> min</v>
      </c>
      <c r="AA6520" s="5" t="str">
        <f>IFERROR(__xludf.DUMMYFUNCTION("IF(REGEXMATCH(Z6520, ""Season""), ""TV Show"", ""Movie"")"),"Movie")</f>
        <v>Movie</v>
      </c>
    </row>
    <row r="6521">
      <c r="A6521" s="1" t="s">
        <v>32509</v>
      </c>
      <c r="B6521" s="1" t="s">
        <v>37</v>
      </c>
      <c r="C6521" s="1" t="s">
        <v>32510</v>
      </c>
      <c r="E6521" s="1" t="s">
        <v>32511</v>
      </c>
      <c r="F6521" s="1" t="s">
        <v>30</v>
      </c>
      <c r="G6521" s="1" t="s">
        <v>32512</v>
      </c>
      <c r="H6521" s="1">
        <v>2016.0</v>
      </c>
      <c r="I6521" s="1" t="s">
        <v>97</v>
      </c>
      <c r="J6521" s="1" t="s">
        <v>189</v>
      </c>
      <c r="K6521" s="1" t="s">
        <v>2512</v>
      </c>
      <c r="L6521" s="1" t="s">
        <v>32513</v>
      </c>
      <c r="M6521" s="2" t="s">
        <v>12</v>
      </c>
      <c r="N6521" s="1" t="str">
        <f t="shared" si="1"/>
        <v>#N/A</v>
      </c>
      <c r="O6521" s="5" t="str">
        <f>IFERROR(__xludf.DUMMYFUNCTION("IF(REGEXMATCH(TRIM(I6521), ""^\d+\s*min""), ""Unclassified"", IF(I6521 = """", ""NR"", I6521))"),"TV-14")</f>
        <v>TV-14</v>
      </c>
      <c r="R6521" s="5" t="str">
        <f t="shared" si="2"/>
        <v>Comedy Bang! Bang!</v>
      </c>
      <c r="S6521" s="5" t="str">
        <f>IFERROR(__xludf.DUMMYFUNCTION("""COMPUTED_VALUE"""),"Spycraft")</f>
        <v>Spycraft</v>
      </c>
      <c r="V6521" s="5"/>
      <c r="Y6521" s="5" t="str">
        <f>IFERROR(__xludf.DUMMYFUNCTION("REGEXEXTRACT(J6521, ""^\d+"")"),"5")</f>
        <v>5</v>
      </c>
      <c r="Z6521" s="5" t="str">
        <f>IFERROR(__xludf.DUMMYFUNCTION("REGEXEXTRACT(J6521, ""[A-Za-z ]+$"")")," Seasons")</f>
        <v> Seasons</v>
      </c>
      <c r="AA6521" s="5" t="str">
        <f>IFERROR(__xludf.DUMMYFUNCTION("IF(REGEXMATCH(Z6521, ""Season""), ""TV Show"", ""Movie"")"),"TV Show")</f>
        <v>TV Show</v>
      </c>
    </row>
    <row r="6522">
      <c r="A6522" s="1" t="s">
        <v>32514</v>
      </c>
      <c r="B6522" s="1" t="s">
        <v>37</v>
      </c>
      <c r="C6522" s="1" t="s">
        <v>32515</v>
      </c>
      <c r="E6522" s="1" t="s">
        <v>32516</v>
      </c>
      <c r="G6522" s="1" t="s">
        <v>25185</v>
      </c>
      <c r="H6522" s="1">
        <v>2018.0</v>
      </c>
      <c r="I6522" s="1" t="s">
        <v>97</v>
      </c>
      <c r="J6522" s="1" t="s">
        <v>51</v>
      </c>
      <c r="K6522" s="1" t="s">
        <v>1294</v>
      </c>
      <c r="L6522" s="1" t="s">
        <v>32517</v>
      </c>
      <c r="M6522" s="2" t="s">
        <v>12</v>
      </c>
      <c r="N6522" s="4">
        <f t="shared" si="1"/>
        <v>43282</v>
      </c>
      <c r="O6522" s="5" t="str">
        <f>IFERROR(__xludf.DUMMYFUNCTION("IF(REGEXMATCH(TRIM(I6522), ""^\d+\s*min""), ""Unclassified"", IF(I6522 = """", ""NR"", I6522))"),"TV-14")</f>
        <v>TV-14</v>
      </c>
      <c r="R6522" s="5" t="str">
        <f t="shared" si="2"/>
        <v>Comedy High School</v>
      </c>
      <c r="S6522" s="5" t="str">
        <f>IFERROR(__xludf.DUMMYFUNCTION("""COMPUTED_VALUE"""),"Spyder")</f>
        <v>Spyder</v>
      </c>
      <c r="V6522" s="5"/>
      <c r="Y6522" s="5" t="str">
        <f>IFERROR(__xludf.DUMMYFUNCTION("REGEXEXTRACT(J6522, ""^\d+"")"),"1")</f>
        <v>1</v>
      </c>
      <c r="Z6522" s="5" t="str">
        <f>IFERROR(__xludf.DUMMYFUNCTION("REGEXEXTRACT(J6522, ""[A-Za-z ]+$"")")," Season")</f>
        <v> Season</v>
      </c>
      <c r="AA6522" s="5" t="str">
        <f>IFERROR(__xludf.DUMMYFUNCTION("IF(REGEXMATCH(Z6522, ""Season""), ""TV Show"", ""Movie"")"),"TV Show")</f>
        <v>TV Show</v>
      </c>
    </row>
    <row r="6523">
      <c r="A6523" s="1" t="s">
        <v>32518</v>
      </c>
      <c r="B6523" s="1" t="s">
        <v>27</v>
      </c>
      <c r="C6523" s="1" t="s">
        <v>32519</v>
      </c>
      <c r="D6523" s="1" t="s">
        <v>19439</v>
      </c>
      <c r="F6523" s="1" t="s">
        <v>30</v>
      </c>
      <c r="G6523" s="7">
        <v>42870.0</v>
      </c>
      <c r="H6523" s="1">
        <v>2017.0</v>
      </c>
      <c r="I6523" s="1" t="s">
        <v>136</v>
      </c>
      <c r="J6523" s="1" t="s">
        <v>665</v>
      </c>
      <c r="K6523" s="1" t="s">
        <v>34</v>
      </c>
      <c r="L6523" s="1" t="s">
        <v>32520</v>
      </c>
      <c r="M6523" s="2" t="s">
        <v>12</v>
      </c>
      <c r="N6523" s="4">
        <f t="shared" si="1"/>
        <v>42870</v>
      </c>
      <c r="O6523" s="5" t="str">
        <f>IFERROR(__xludf.DUMMYFUNCTION("IF(REGEXMATCH(TRIM(I6523), ""^\d+\s*min""), ""Unclassified"", IF(I6523 = """", ""NR"", I6523))"),"TV-PG")</f>
        <v>TV-PG</v>
      </c>
      <c r="R6523" s="5" t="str">
        <f t="shared" si="2"/>
        <v>Command And Control</v>
      </c>
      <c r="S6523" s="5" t="str">
        <f>IFERROR(__xludf.DUMMYFUNCTION("""COMPUTED_VALUE"""),"Squared Love")</f>
        <v>Squared Love</v>
      </c>
      <c r="V6523" s="5"/>
      <c r="Y6523" s="5" t="str">
        <f>IFERROR(__xludf.DUMMYFUNCTION("REGEXEXTRACT(J6523, ""^\d+"")"),"92")</f>
        <v>92</v>
      </c>
      <c r="Z6523" s="5" t="str">
        <f>IFERROR(__xludf.DUMMYFUNCTION("REGEXEXTRACT(J6523, ""[A-Za-z ]+$"")")," min")</f>
        <v> min</v>
      </c>
      <c r="AA6523" s="5" t="str">
        <f>IFERROR(__xludf.DUMMYFUNCTION("IF(REGEXMATCH(Z6523, ""Season""), ""TV Show"", ""Movie"")"),"Movie")</f>
        <v>Movie</v>
      </c>
    </row>
    <row r="6524">
      <c r="A6524" s="1" t="s">
        <v>32521</v>
      </c>
      <c r="B6524" s="1" t="s">
        <v>27</v>
      </c>
      <c r="C6524" s="1" t="s">
        <v>32522</v>
      </c>
      <c r="D6524" s="1" t="s">
        <v>2479</v>
      </c>
      <c r="E6524" s="1" t="s">
        <v>32523</v>
      </c>
      <c r="F6524" s="1" t="s">
        <v>63</v>
      </c>
      <c r="G6524" s="1" t="s">
        <v>26089</v>
      </c>
      <c r="H6524" s="1">
        <v>2002.0</v>
      </c>
      <c r="I6524" s="1" t="s">
        <v>42</v>
      </c>
      <c r="J6524" s="1" t="s">
        <v>4242</v>
      </c>
      <c r="K6524" s="1" t="s">
        <v>306</v>
      </c>
      <c r="L6524" s="1" t="s">
        <v>32524</v>
      </c>
      <c r="M6524" s="2" t="s">
        <v>12</v>
      </c>
      <c r="N6524" s="4">
        <f t="shared" si="1"/>
        <v>43160</v>
      </c>
      <c r="O6524" s="5" t="str">
        <f>IFERROR(__xludf.DUMMYFUNCTION("IF(REGEXMATCH(TRIM(I6524), ""^\d+\s*min""), ""Unclassified"", IF(I6524 = """", ""NR"", I6524))"),"TV-MA")</f>
        <v>TV-MA</v>
      </c>
      <c r="R6524" s="5" t="str">
        <f t="shared" si="2"/>
        <v>Company</v>
      </c>
      <c r="S6524" s="5" t="str">
        <f>IFERROR(__xludf.DUMMYFUNCTION("""COMPUTED_VALUE"""),"Squid Game")</f>
        <v>Squid Game</v>
      </c>
      <c r="V6524" s="5"/>
      <c r="Y6524" s="5" t="str">
        <f>IFERROR(__xludf.DUMMYFUNCTION("REGEXEXTRACT(J6524, ""^\d+"")"),"137")</f>
        <v>137</v>
      </c>
      <c r="Z6524" s="5" t="str">
        <f>IFERROR(__xludf.DUMMYFUNCTION("REGEXEXTRACT(J6524, ""[A-Za-z ]+$"")")," min")</f>
        <v> min</v>
      </c>
      <c r="AA6524" s="5" t="str">
        <f>IFERROR(__xludf.DUMMYFUNCTION("IF(REGEXMATCH(Z6524, ""Season""), ""TV Show"", ""Movie"")"),"Movie")</f>
        <v>Movie</v>
      </c>
    </row>
    <row r="6525">
      <c r="A6525" s="1" t="s">
        <v>32525</v>
      </c>
      <c r="B6525" s="1" t="s">
        <v>27</v>
      </c>
      <c r="C6525" s="1" t="s">
        <v>32526</v>
      </c>
      <c r="D6525" s="1" t="s">
        <v>5252</v>
      </c>
      <c r="E6525" s="1" t="s">
        <v>32527</v>
      </c>
      <c r="F6525" s="1" t="s">
        <v>32528</v>
      </c>
      <c r="G6525" s="1" t="s">
        <v>24114</v>
      </c>
      <c r="H6525" s="1">
        <v>2016.0</v>
      </c>
      <c r="I6525" s="1" t="s">
        <v>42</v>
      </c>
      <c r="J6525" s="1" t="s">
        <v>1608</v>
      </c>
      <c r="K6525" s="1" t="s">
        <v>394</v>
      </c>
      <c r="L6525" s="1" t="s">
        <v>32529</v>
      </c>
      <c r="M6525" s="2" t="s">
        <v>12</v>
      </c>
      <c r="N6525" s="4">
        <f t="shared" si="1"/>
        <v>43377</v>
      </c>
      <c r="O6525" s="5" t="str">
        <f>IFERROR(__xludf.DUMMYFUNCTION("IF(REGEXMATCH(TRIM(I6525), ""^\d+\s*min""), ""Unclassified"", IF(I6525 = """", ""NR"", I6525))"),"TV-MA")</f>
        <v>TV-MA</v>
      </c>
      <c r="R6525" s="5" t="str">
        <f t="shared" si="2"/>
        <v>Compulsion</v>
      </c>
      <c r="S6525" s="5" t="str">
        <f>IFERROR(__xludf.DUMMYFUNCTION("""COMPUTED_VALUE"""),"St. Agatha")</f>
        <v>St. Agatha</v>
      </c>
      <c r="V6525" s="5"/>
      <c r="Y6525" s="5" t="str">
        <f>IFERROR(__xludf.DUMMYFUNCTION("REGEXEXTRACT(J6525, ""^\d+"")"),"84")</f>
        <v>84</v>
      </c>
      <c r="Z6525" s="5" t="str">
        <f>IFERROR(__xludf.DUMMYFUNCTION("REGEXEXTRACT(J6525, ""[A-Za-z ]+$"")")," min")</f>
        <v> min</v>
      </c>
      <c r="AA6525" s="5" t="str">
        <f>IFERROR(__xludf.DUMMYFUNCTION("IF(REGEXMATCH(Z6525, ""Season""), ""TV Show"", ""Movie"")"),"Movie")</f>
        <v>Movie</v>
      </c>
    </row>
    <row r="6526">
      <c r="A6526" s="1" t="s">
        <v>32530</v>
      </c>
      <c r="B6526" s="1" t="s">
        <v>37</v>
      </c>
      <c r="C6526" s="1" t="s">
        <v>32531</v>
      </c>
      <c r="F6526" s="1" t="s">
        <v>30</v>
      </c>
      <c r="G6526" s="1" t="s">
        <v>22684</v>
      </c>
      <c r="H6526" s="1">
        <v>2018.0</v>
      </c>
      <c r="I6526" s="1" t="s">
        <v>97</v>
      </c>
      <c r="J6526" s="1" t="s">
        <v>51</v>
      </c>
      <c r="K6526" s="1" t="s">
        <v>8465</v>
      </c>
      <c r="L6526" s="1" t="s">
        <v>32532</v>
      </c>
      <c r="M6526" s="2" t="s">
        <v>12</v>
      </c>
      <c r="N6526" s="4">
        <f t="shared" si="1"/>
        <v>43465</v>
      </c>
      <c r="O6526" s="5" t="str">
        <f>IFERROR(__xludf.DUMMYFUNCTION("IF(REGEXMATCH(TRIM(I6526), ""^\d+\s*min""), ""Unclassified"", IF(I6526 = """", ""NR"", I6526))"),"TV-14")</f>
        <v>TV-14</v>
      </c>
      <c r="R6526" s="5" t="str">
        <f t="shared" si="2"/>
        <v>Conan Without Borders</v>
      </c>
      <c r="S6526" s="5" t="str">
        <f>IFERROR(__xludf.DUMMYFUNCTION("""COMPUTED_VALUE"""),"Staged Killer")</f>
        <v>Staged Killer</v>
      </c>
      <c r="V6526" s="5"/>
      <c r="Y6526" s="5" t="str">
        <f>IFERROR(__xludf.DUMMYFUNCTION("REGEXEXTRACT(J6526, ""^\d+"")"),"1")</f>
        <v>1</v>
      </c>
      <c r="Z6526" s="5" t="str">
        <f>IFERROR(__xludf.DUMMYFUNCTION("REGEXEXTRACT(J6526, ""[A-Za-z ]+$"")")," Season")</f>
        <v> Season</v>
      </c>
      <c r="AA6526" s="5" t="str">
        <f>IFERROR(__xludf.DUMMYFUNCTION("IF(REGEXMATCH(Z6526, ""Season""), ""TV Show"", ""Movie"")"),"TV Show")</f>
        <v>TV Show</v>
      </c>
    </row>
    <row r="6527">
      <c r="A6527" s="1" t="s">
        <v>32533</v>
      </c>
      <c r="B6527" s="1" t="s">
        <v>27</v>
      </c>
      <c r="C6527" s="1" t="s">
        <v>32534</v>
      </c>
      <c r="D6527" s="1" t="s">
        <v>10865</v>
      </c>
      <c r="F6527" s="1" t="s">
        <v>32535</v>
      </c>
      <c r="G6527" s="1" t="s">
        <v>27321</v>
      </c>
      <c r="H6527" s="1">
        <v>2016.0</v>
      </c>
      <c r="I6527" s="1" t="s">
        <v>42</v>
      </c>
      <c r="J6527" s="1" t="s">
        <v>8095</v>
      </c>
      <c r="K6527" s="1" t="s">
        <v>520</v>
      </c>
      <c r="L6527" s="1" t="s">
        <v>32536</v>
      </c>
      <c r="M6527" s="2" t="s">
        <v>12</v>
      </c>
      <c r="N6527" s="4">
        <f t="shared" si="1"/>
        <v>42979</v>
      </c>
      <c r="O6527" s="5" t="str">
        <f>IFERROR(__xludf.DUMMYFUNCTION("IF(REGEXMATCH(TRIM(I6527), ""^\d+\s*min""), ""Unclassified"", IF(I6527 = """", ""NR"", I6527))"),"TV-MA")</f>
        <v>TV-MA</v>
      </c>
      <c r="R6527" s="5" t="str">
        <f t="shared" si="2"/>
        <v>Concrete Football</v>
      </c>
      <c r="S6527" s="5" t="str">
        <f>IFERROR(__xludf.DUMMYFUNCTION("""COMPUTED_VALUE"""),"Stand Up And Away! With Brian Regan")</f>
        <v>Stand Up And Away! With Brian Regan</v>
      </c>
      <c r="V6527" s="5"/>
      <c r="Y6527" s="5" t="str">
        <f>IFERROR(__xludf.DUMMYFUNCTION("REGEXEXTRACT(J6527, ""^\d+"")"),"52")</f>
        <v>52</v>
      </c>
      <c r="Z6527" s="5" t="str">
        <f>IFERROR(__xludf.DUMMYFUNCTION("REGEXEXTRACT(J6527, ""[A-Za-z ]+$"")")," min")</f>
        <v> min</v>
      </c>
      <c r="AA6527" s="5" t="str">
        <f>IFERROR(__xludf.DUMMYFUNCTION("IF(REGEXMATCH(Z6527, ""Season""), ""TV Show"", ""Movie"")"),"Movie")</f>
        <v>Movie</v>
      </c>
    </row>
    <row r="6528">
      <c r="A6528" s="1" t="s">
        <v>32537</v>
      </c>
      <c r="B6528" s="1" t="s">
        <v>27</v>
      </c>
      <c r="C6528" s="1" t="s">
        <v>32538</v>
      </c>
      <c r="D6528" s="1" t="s">
        <v>11082</v>
      </c>
      <c r="E6528" s="1" t="s">
        <v>32539</v>
      </c>
      <c r="F6528" s="1" t="s">
        <v>30</v>
      </c>
      <c r="G6528" s="1" t="s">
        <v>24887</v>
      </c>
      <c r="H6528" s="1">
        <v>2013.0</v>
      </c>
      <c r="I6528" s="1" t="s">
        <v>378</v>
      </c>
      <c r="J6528" s="1" t="s">
        <v>322</v>
      </c>
      <c r="K6528" s="1" t="s">
        <v>4730</v>
      </c>
      <c r="L6528" s="1" t="s">
        <v>32540</v>
      </c>
      <c r="M6528" s="2" t="s">
        <v>12</v>
      </c>
      <c r="N6528" s="4">
        <f t="shared" si="1"/>
        <v>43314</v>
      </c>
      <c r="O6528" s="5" t="str">
        <f>IFERROR(__xludf.DUMMYFUNCTION("IF(REGEXMATCH(TRIM(I6528), ""^\d+\s*min""), ""Unclassified"", IF(I6528 = """", ""NR"", I6528))"),"R")</f>
        <v>R</v>
      </c>
      <c r="R6528" s="5" t="str">
        <f t="shared" si="2"/>
        <v>Concussion</v>
      </c>
      <c r="S6528" s="5" t="str">
        <f>IFERROR(__xludf.DUMMYFUNCTION("""COMPUTED_VALUE"""),"Standoff")</f>
        <v>Standoff</v>
      </c>
      <c r="V6528" s="5"/>
      <c r="Y6528" s="5" t="str">
        <f>IFERROR(__xludf.DUMMYFUNCTION("REGEXEXTRACT(J6528, ""^\d+"")"),"96")</f>
        <v>96</v>
      </c>
      <c r="Z6528" s="5" t="str">
        <f>IFERROR(__xludf.DUMMYFUNCTION("REGEXEXTRACT(J6528, ""[A-Za-z ]+$"")")," min")</f>
        <v> min</v>
      </c>
      <c r="AA6528" s="5" t="str">
        <f>IFERROR(__xludf.DUMMYFUNCTION("IF(REGEXMATCH(Z6528, ""Season""), ""TV Show"", ""Movie"")"),"Movie")</f>
        <v>Movie</v>
      </c>
    </row>
    <row r="6529">
      <c r="A6529" s="1" t="s">
        <v>32541</v>
      </c>
      <c r="B6529" s="1" t="s">
        <v>27</v>
      </c>
      <c r="C6529" s="1" t="s">
        <v>32542</v>
      </c>
      <c r="D6529" s="1" t="s">
        <v>23114</v>
      </c>
      <c r="E6529" s="1" t="s">
        <v>32543</v>
      </c>
      <c r="F6529" s="1" t="s">
        <v>3543</v>
      </c>
      <c r="G6529" s="1" t="s">
        <v>24713</v>
      </c>
      <c r="H6529" s="1">
        <v>2014.0</v>
      </c>
      <c r="I6529" s="1" t="s">
        <v>42</v>
      </c>
      <c r="J6529" s="1" t="s">
        <v>1243</v>
      </c>
      <c r="K6529" s="1" t="s">
        <v>1592</v>
      </c>
      <c r="L6529" s="1" t="s">
        <v>32544</v>
      </c>
      <c r="M6529" s="2" t="s">
        <v>12</v>
      </c>
      <c r="N6529" s="4">
        <f t="shared" si="1"/>
        <v>43340</v>
      </c>
      <c r="O6529" s="5" t="str">
        <f>IFERROR(__xludf.DUMMYFUNCTION("IF(REGEXMATCH(TRIM(I6529), ""^\d+\s*min""), ""Unclassified"", IF(I6529 = """", ""NR"", I6529))"),"TV-MA")</f>
        <v>TV-MA</v>
      </c>
      <c r="R6529" s="5" t="str">
        <f t="shared" si="2"/>
        <v>Conjuring Spirit</v>
      </c>
      <c r="S6529" s="5" t="str">
        <f>IFERROR(__xludf.DUMMYFUNCTION("""COMPUTED_VALUE"""),"Star Men")</f>
        <v>Star Men</v>
      </c>
      <c r="V6529" s="5"/>
      <c r="Y6529" s="5" t="str">
        <f>IFERROR(__xludf.DUMMYFUNCTION("REGEXEXTRACT(J6529, ""^\d+"")"),"112")</f>
        <v>112</v>
      </c>
      <c r="Z6529" s="5" t="str">
        <f>IFERROR(__xludf.DUMMYFUNCTION("REGEXEXTRACT(J6529, ""[A-Za-z ]+$"")")," min")</f>
        <v> min</v>
      </c>
      <c r="AA6529" s="5" t="str">
        <f>IFERROR(__xludf.DUMMYFUNCTION("IF(REGEXMATCH(Z6529, ""Season""), ""TV Show"", ""Movie"")"),"Movie")</f>
        <v>Movie</v>
      </c>
    </row>
    <row r="6530">
      <c r="A6530" s="1" t="s">
        <v>32545</v>
      </c>
      <c r="B6530" s="1" t="s">
        <v>27</v>
      </c>
      <c r="C6530" s="1" t="s">
        <v>32546</v>
      </c>
      <c r="D6530" s="1" t="s">
        <v>8266</v>
      </c>
      <c r="E6530" s="1" t="s">
        <v>32547</v>
      </c>
      <c r="F6530" s="1" t="s">
        <v>1453</v>
      </c>
      <c r="G6530" s="1" t="s">
        <v>32548</v>
      </c>
      <c r="H6530" s="1">
        <v>2017.0</v>
      </c>
      <c r="I6530" s="1" t="s">
        <v>378</v>
      </c>
      <c r="J6530" s="1" t="s">
        <v>33</v>
      </c>
      <c r="K6530" s="1" t="s">
        <v>645</v>
      </c>
      <c r="L6530" s="1" t="s">
        <v>32549</v>
      </c>
      <c r="M6530" s="2" t="s">
        <v>12</v>
      </c>
      <c r="N6530" s="4">
        <f t="shared" si="1"/>
        <v>43180</v>
      </c>
      <c r="O6530" s="5" t="str">
        <f>IFERROR(__xludf.DUMMYFUNCTION("IF(REGEXMATCH(TRIM(I6530), ""^\d+\s*min""), ""Unclassified"", IF(I6530 = """", ""NR"", I6530))"),"R")</f>
        <v>R</v>
      </c>
      <c r="R6530" s="5" t="str">
        <f t="shared" si="2"/>
        <v>Conor Mcgregor: Notorious</v>
      </c>
      <c r="S6530" s="5" t="str">
        <f>IFERROR(__xludf.DUMMYFUNCTION("""COMPUTED_VALUE"""),"Star Trek")</f>
        <v>Star Trek</v>
      </c>
      <c r="V6530" s="5"/>
      <c r="Y6530" s="5" t="str">
        <f>IFERROR(__xludf.DUMMYFUNCTION("REGEXEXTRACT(J6530, ""^\d+"")"),"90")</f>
        <v>90</v>
      </c>
      <c r="Z6530" s="5" t="str">
        <f>IFERROR(__xludf.DUMMYFUNCTION("REGEXEXTRACT(J6530, ""[A-Za-z ]+$"")")," min")</f>
        <v> min</v>
      </c>
      <c r="AA6530" s="5" t="str">
        <f>IFERROR(__xludf.DUMMYFUNCTION("IF(REGEXMATCH(Z6530, ""Season""), ""TV Show"", ""Movie"")"),"Movie")</f>
        <v>Movie</v>
      </c>
    </row>
    <row r="6531">
      <c r="A6531" s="1" t="s">
        <v>32550</v>
      </c>
      <c r="B6531" s="1" t="s">
        <v>27</v>
      </c>
      <c r="C6531" s="1" t="s">
        <v>32551</v>
      </c>
      <c r="D6531" s="1" t="s">
        <v>5851</v>
      </c>
      <c r="E6531" s="1" t="s">
        <v>18548</v>
      </c>
      <c r="F6531" s="1" t="s">
        <v>188</v>
      </c>
      <c r="G6531" s="1" t="s">
        <v>18539</v>
      </c>
      <c r="H6531" s="1">
        <v>2014.0</v>
      </c>
      <c r="I6531" s="1" t="s">
        <v>42</v>
      </c>
      <c r="J6531" s="1" t="s">
        <v>256</v>
      </c>
      <c r="K6531" s="1" t="s">
        <v>298</v>
      </c>
      <c r="L6531" s="1" t="s">
        <v>18549</v>
      </c>
      <c r="M6531" s="2" t="s">
        <v>12</v>
      </c>
      <c r="N6531" s="4">
        <f t="shared" si="1"/>
        <v>43763</v>
      </c>
      <c r="O6531" s="5" t="str">
        <f>IFERROR(__xludf.DUMMYFUNCTION("IF(REGEXMATCH(TRIM(I6531), ""^\d+\s*min""), ""Unclassified"", IF(I6531 = """", ""NR"", I6531))"),"TV-MA")</f>
        <v>TV-MA</v>
      </c>
      <c r="R6531" s="5" t="str">
        <f t="shared" si="2"/>
        <v>Consequences </v>
      </c>
      <c r="S6531" s="5" t="str">
        <f>IFERROR(__xludf.DUMMYFUNCTION("""COMPUTED_VALUE"""),"Star Trek: Deep Space Nine")</f>
        <v>Star Trek: Deep Space Nine</v>
      </c>
      <c r="V6531" s="5"/>
      <c r="Y6531" s="5" t="str">
        <f>IFERROR(__xludf.DUMMYFUNCTION("REGEXEXTRACT(J6531, ""^\d+"")"),"106")</f>
        <v>106</v>
      </c>
      <c r="Z6531" s="5" t="str">
        <f>IFERROR(__xludf.DUMMYFUNCTION("REGEXEXTRACT(J6531, ""[A-Za-z ]+$"")")," min")</f>
        <v> min</v>
      </c>
      <c r="AA6531" s="5" t="str">
        <f>IFERROR(__xludf.DUMMYFUNCTION("IF(REGEXMATCH(Z6531, ""Season""), ""TV Show"", ""Movie"")"),"Movie")</f>
        <v>Movie</v>
      </c>
    </row>
    <row r="6532">
      <c r="A6532" s="1" t="s">
        <v>32552</v>
      </c>
      <c r="B6532" s="1" t="s">
        <v>27</v>
      </c>
      <c r="C6532" s="1" t="s">
        <v>32553</v>
      </c>
      <c r="D6532" s="1" t="s">
        <v>2479</v>
      </c>
      <c r="E6532" s="1" t="s">
        <v>32554</v>
      </c>
      <c r="F6532" s="1" t="s">
        <v>63</v>
      </c>
      <c r="G6532" s="1" t="s">
        <v>21824</v>
      </c>
      <c r="H6532" s="1">
        <v>2008.0</v>
      </c>
      <c r="I6532" s="1" t="s">
        <v>97</v>
      </c>
      <c r="J6532" s="1" t="s">
        <v>349</v>
      </c>
      <c r="K6532" s="1" t="s">
        <v>8559</v>
      </c>
      <c r="L6532" s="1" t="s">
        <v>32555</v>
      </c>
      <c r="M6532" s="2" t="s">
        <v>12</v>
      </c>
      <c r="N6532" s="4">
        <f t="shared" si="1"/>
        <v>43526</v>
      </c>
      <c r="O6532" s="5" t="str">
        <f>IFERROR(__xludf.DUMMYFUNCTION("IF(REGEXMATCH(TRIM(I6532), ""^\d+\s*min""), ""Unclassified"", IF(I6532 = """", ""NR"", I6532))"),"TV-14")</f>
        <v>TV-14</v>
      </c>
      <c r="R6532" s="5" t="str">
        <f t="shared" si="2"/>
        <v>Contract</v>
      </c>
      <c r="S6532" s="5" t="str">
        <f>IFERROR(__xludf.DUMMYFUNCTION("""COMPUTED_VALUE"""),"Star Trek: Enterprise")</f>
        <v>Star Trek: Enterprise</v>
      </c>
      <c r="V6532" s="5"/>
      <c r="Y6532" s="5" t="str">
        <f>IFERROR(__xludf.DUMMYFUNCTION("REGEXEXTRACT(J6532, ""^\d+"")"),"116")</f>
        <v>116</v>
      </c>
      <c r="Z6532" s="5" t="str">
        <f>IFERROR(__xludf.DUMMYFUNCTION("REGEXEXTRACT(J6532, ""[A-Za-z ]+$"")")," min")</f>
        <v> min</v>
      </c>
      <c r="AA6532" s="5" t="str">
        <f>IFERROR(__xludf.DUMMYFUNCTION("IF(REGEXMATCH(Z6532, ""Season""), ""TV Show"", ""Movie"")"),"Movie")</f>
        <v>Movie</v>
      </c>
    </row>
    <row r="6533">
      <c r="A6533" s="1" t="s">
        <v>32556</v>
      </c>
      <c r="B6533" s="1" t="s">
        <v>27</v>
      </c>
      <c r="C6533" s="1" t="s">
        <v>32557</v>
      </c>
      <c r="D6533" s="1" t="s">
        <v>201</v>
      </c>
      <c r="E6533" s="1" t="s">
        <v>32558</v>
      </c>
      <c r="G6533" s="1" t="s">
        <v>20426</v>
      </c>
      <c r="H6533" s="1">
        <v>2014.0</v>
      </c>
      <c r="I6533" s="1" t="s">
        <v>97</v>
      </c>
      <c r="J6533" s="1" t="s">
        <v>247</v>
      </c>
      <c r="K6533" s="1" t="s">
        <v>128</v>
      </c>
      <c r="L6533" s="1" t="s">
        <v>32559</v>
      </c>
      <c r="M6533" s="2" t="s">
        <v>12</v>
      </c>
      <c r="N6533" s="4">
        <f t="shared" si="1"/>
        <v>43629</v>
      </c>
      <c r="O6533" s="5" t="str">
        <f>IFERROR(__xludf.DUMMYFUNCTION("IF(REGEXMATCH(TRIM(I6533), ""^\d+\s*min""), ""Unclassified"", IF(I6533 = """", ""NR"", I6533))"),"TV-14")</f>
        <v>TV-14</v>
      </c>
      <c r="R6533" s="5" t="str">
        <f t="shared" si="2"/>
        <v>Convict</v>
      </c>
      <c r="S6533" s="5" t="str">
        <f>IFERROR(__xludf.DUMMYFUNCTION("""COMPUTED_VALUE"""),"Star Trek: The Next Generation")</f>
        <v>Star Trek: The Next Generation</v>
      </c>
      <c r="V6533" s="5"/>
      <c r="Y6533" s="5" t="str">
        <f>IFERROR(__xludf.DUMMYFUNCTION("REGEXEXTRACT(J6533, ""^\d+"")"),"97")</f>
        <v>97</v>
      </c>
      <c r="Z6533" s="5" t="str">
        <f>IFERROR(__xludf.DUMMYFUNCTION("REGEXEXTRACT(J6533, ""[A-Za-z ]+$"")")," min")</f>
        <v> min</v>
      </c>
      <c r="AA6533" s="5" t="str">
        <f>IFERROR(__xludf.DUMMYFUNCTION("IF(REGEXMATCH(Z6533, ""Season""), ""TV Show"", ""Movie"")"),"Movie")</f>
        <v>Movie</v>
      </c>
    </row>
    <row r="6534">
      <c r="A6534" s="1" t="s">
        <v>32560</v>
      </c>
      <c r="B6534" s="1" t="s">
        <v>37</v>
      </c>
      <c r="C6534" s="1" t="s">
        <v>32561</v>
      </c>
      <c r="E6534" s="1" t="s">
        <v>32562</v>
      </c>
      <c r="F6534" s="1" t="s">
        <v>30</v>
      </c>
      <c r="G6534" s="1" t="s">
        <v>25308</v>
      </c>
      <c r="H6534" s="1">
        <v>2018.0</v>
      </c>
      <c r="I6534" s="1" t="s">
        <v>42</v>
      </c>
      <c r="J6534" s="1" t="s">
        <v>51</v>
      </c>
      <c r="K6534" s="1" t="s">
        <v>440</v>
      </c>
      <c r="L6534" s="1" t="s">
        <v>32563</v>
      </c>
      <c r="M6534" s="2" t="s">
        <v>12</v>
      </c>
      <c r="N6534" s="4">
        <f t="shared" si="1"/>
        <v>43273</v>
      </c>
      <c r="O6534" s="5" t="str">
        <f>IFERROR(__xludf.DUMMYFUNCTION("IF(REGEXMATCH(TRIM(I6534), ""^\d+\s*min""), ""Unclassified"", IF(I6534 = """", ""NR"", I6534))"),"TV-MA")</f>
        <v>TV-MA</v>
      </c>
      <c r="R6534" s="5" t="str">
        <f t="shared" si="2"/>
        <v>Cooking On High</v>
      </c>
      <c r="S6534" s="5" t="str">
        <f>IFERROR(__xludf.DUMMYFUNCTION("""COMPUTED_VALUE"""),"Star Trek: Voyager")</f>
        <v>Star Trek: Voyager</v>
      </c>
      <c r="V6534" s="5"/>
      <c r="Y6534" s="5" t="str">
        <f>IFERROR(__xludf.DUMMYFUNCTION("REGEXEXTRACT(J6534, ""^\d+"")"),"1")</f>
        <v>1</v>
      </c>
      <c r="Z6534" s="5" t="str">
        <f>IFERROR(__xludf.DUMMYFUNCTION("REGEXEXTRACT(J6534, ""[A-Za-z ]+$"")")," Season")</f>
        <v> Season</v>
      </c>
      <c r="AA6534" s="5" t="str">
        <f>IFERROR(__xludf.DUMMYFUNCTION("IF(REGEXMATCH(Z6534, ""Season""), ""TV Show"", ""Movie"")"),"TV Show")</f>
        <v>TV Show</v>
      </c>
    </row>
    <row r="6535">
      <c r="A6535" s="1" t="s">
        <v>32564</v>
      </c>
      <c r="B6535" s="1" t="s">
        <v>27</v>
      </c>
      <c r="C6535" s="1" t="s">
        <v>32565</v>
      </c>
      <c r="D6535" s="1" t="s">
        <v>21796</v>
      </c>
      <c r="E6535" s="1" t="s">
        <v>32566</v>
      </c>
      <c r="F6535" s="1" t="s">
        <v>30</v>
      </c>
      <c r="G6535" s="1" t="s">
        <v>8506</v>
      </c>
      <c r="H6535" s="1">
        <v>1967.0</v>
      </c>
      <c r="I6535" s="1" t="s">
        <v>97</v>
      </c>
      <c r="J6535" s="1" t="s">
        <v>127</v>
      </c>
      <c r="K6535" s="1" t="s">
        <v>1164</v>
      </c>
      <c r="L6535" s="1" t="s">
        <v>32567</v>
      </c>
      <c r="M6535" s="2" t="s">
        <v>12</v>
      </c>
      <c r="N6535" s="4">
        <f t="shared" si="1"/>
        <v>44197</v>
      </c>
      <c r="O6535" s="5" t="str">
        <f>IFERROR(__xludf.DUMMYFUNCTION("IF(REGEXMATCH(TRIM(I6535), ""^\d+\s*min""), ""Unclassified"", IF(I6535 = """", ""NR"", I6535))"),"TV-14")</f>
        <v>TV-14</v>
      </c>
      <c r="R6535" s="5" t="str">
        <f t="shared" si="2"/>
        <v>Cool Hand Luke</v>
      </c>
      <c r="S6535" s="5" t="str">
        <f>IFERROR(__xludf.DUMMYFUNCTION("""COMPUTED_VALUE"""),"Star Wars: Episode Viii: The Last Jedi")</f>
        <v>Star Wars: Episode Viii: The Last Jedi</v>
      </c>
      <c r="V6535" s="5"/>
      <c r="Y6535" s="5" t="str">
        <f>IFERROR(__xludf.DUMMYFUNCTION("REGEXEXTRACT(J6535, ""^\d+"")"),"127")</f>
        <v>127</v>
      </c>
      <c r="Z6535" s="5" t="str">
        <f>IFERROR(__xludf.DUMMYFUNCTION("REGEXEXTRACT(J6535, ""[A-Za-z ]+$"")")," min")</f>
        <v> min</v>
      </c>
      <c r="AA6535" s="5" t="str">
        <f>IFERROR(__xludf.DUMMYFUNCTION("IF(REGEXMATCH(Z6535, ""Season""), ""TV Show"", ""Movie"")"),"Movie")</f>
        <v>Movie</v>
      </c>
    </row>
    <row r="6536">
      <c r="A6536" s="1" t="s">
        <v>32568</v>
      </c>
      <c r="B6536" s="1" t="s">
        <v>27</v>
      </c>
      <c r="C6536" s="1" t="s">
        <v>32569</v>
      </c>
      <c r="D6536" s="1" t="s">
        <v>11623</v>
      </c>
      <c r="E6536" s="1" t="s">
        <v>32570</v>
      </c>
      <c r="F6536" s="1" t="s">
        <v>1106</v>
      </c>
      <c r="G6536" s="1" t="s">
        <v>32571</v>
      </c>
      <c r="H6536" s="1">
        <v>2017.0</v>
      </c>
      <c r="I6536" s="1" t="s">
        <v>78</v>
      </c>
      <c r="J6536" s="1" t="s">
        <v>322</v>
      </c>
      <c r="K6536" s="1" t="s">
        <v>137</v>
      </c>
      <c r="L6536" s="1" t="s">
        <v>32572</v>
      </c>
      <c r="M6536" s="2" t="s">
        <v>12</v>
      </c>
      <c r="N6536" s="4">
        <f t="shared" si="1"/>
        <v>42964</v>
      </c>
      <c r="O6536" s="5" t="str">
        <f>IFERROR(__xludf.DUMMYFUNCTION("IF(REGEXMATCH(TRIM(I6536), ""^\d+\s*min""), ""Unclassified"", IF(I6536 = """", ""NR"", I6536))"),"PG")</f>
        <v>PG</v>
      </c>
      <c r="R6536" s="5" t="str">
        <f t="shared" si="2"/>
        <v>Cop And A Half: New Recruit</v>
      </c>
      <c r="S6536" s="5" t="str">
        <f>IFERROR(__xludf.DUMMYFUNCTION("""COMPUTED_VALUE"""),"Star-Crossed")</f>
        <v>Star-Crossed</v>
      </c>
      <c r="V6536" s="5"/>
      <c r="Y6536" s="5" t="str">
        <f>IFERROR(__xludf.DUMMYFUNCTION("REGEXEXTRACT(J6536, ""^\d+"")"),"96")</f>
        <v>96</v>
      </c>
      <c r="Z6536" s="5" t="str">
        <f>IFERROR(__xludf.DUMMYFUNCTION("REGEXEXTRACT(J6536, ""[A-Za-z ]+$"")")," min")</f>
        <v> min</v>
      </c>
      <c r="AA6536" s="5" t="str">
        <f>IFERROR(__xludf.DUMMYFUNCTION("IF(REGEXMATCH(Z6536, ""Season""), ""TV Show"", ""Movie"")"),"Movie")</f>
        <v>Movie</v>
      </c>
    </row>
    <row r="6537">
      <c r="A6537" s="1" t="s">
        <v>32573</v>
      </c>
      <c r="B6537" s="1" t="s">
        <v>27</v>
      </c>
      <c r="C6537" s="1" t="s">
        <v>32574</v>
      </c>
      <c r="D6537" s="1" t="s">
        <v>3185</v>
      </c>
      <c r="G6537" s="1" t="s">
        <v>27569</v>
      </c>
      <c r="H6537" s="1">
        <v>2016.0</v>
      </c>
      <c r="I6537" s="1" t="s">
        <v>42</v>
      </c>
      <c r="J6537" s="1" t="s">
        <v>9520</v>
      </c>
      <c r="K6537" s="1" t="s">
        <v>156</v>
      </c>
      <c r="L6537" s="1" t="s">
        <v>32575</v>
      </c>
      <c r="M6537" s="2" t="s">
        <v>12</v>
      </c>
      <c r="N6537" s="4">
        <f t="shared" si="1"/>
        <v>42948</v>
      </c>
      <c r="O6537" s="5" t="str">
        <f>IFERROR(__xludf.DUMMYFUNCTION("IF(REGEXMATCH(TRIM(I6537), ""^\d+\s*min""), ""Unclassified"", IF(I6537 = """", ""NR"", I6537))"),"TV-MA")</f>
        <v>TV-MA</v>
      </c>
      <c r="R6537" s="5" t="str">
        <f t="shared" si="2"/>
        <v>Cop Watchers</v>
      </c>
      <c r="S6537" s="5" t="str">
        <f>IFERROR(__xludf.DUMMYFUNCTION("""COMPUTED_VALUE"""),"Starbeam")</f>
        <v>Starbeam</v>
      </c>
      <c r="V6537" s="5"/>
      <c r="Y6537" s="5" t="str">
        <f>IFERROR(__xludf.DUMMYFUNCTION("REGEXEXTRACT(J6537, ""^\d+"")"),"45")</f>
        <v>45</v>
      </c>
      <c r="Z6537" s="5" t="str">
        <f>IFERROR(__xludf.DUMMYFUNCTION("REGEXEXTRACT(J6537, ""[A-Za-z ]+$"")")," min")</f>
        <v> min</v>
      </c>
      <c r="AA6537" s="5" t="str">
        <f>IFERROR(__xludf.DUMMYFUNCTION("IF(REGEXMATCH(Z6537, ""Season""), ""TV Show"", ""Movie"")"),"Movie")</f>
        <v>Movie</v>
      </c>
    </row>
    <row r="6538">
      <c r="A6538" s="1" t="s">
        <v>32576</v>
      </c>
      <c r="B6538" s="1" t="s">
        <v>27</v>
      </c>
      <c r="C6538" s="1" t="s">
        <v>32577</v>
      </c>
      <c r="D6538" s="1" t="s">
        <v>9275</v>
      </c>
      <c r="E6538" s="1" t="s">
        <v>32578</v>
      </c>
      <c r="F6538" s="1" t="s">
        <v>30</v>
      </c>
      <c r="G6538" s="1" t="s">
        <v>28495</v>
      </c>
      <c r="H6538" s="1">
        <v>2009.0</v>
      </c>
      <c r="I6538" s="1" t="s">
        <v>78</v>
      </c>
      <c r="J6538" s="1" t="s">
        <v>1091</v>
      </c>
      <c r="K6538" s="1" t="s">
        <v>80</v>
      </c>
      <c r="L6538" s="1" t="s">
        <v>32579</v>
      </c>
      <c r="M6538" s="2" t="s">
        <v>12</v>
      </c>
      <c r="N6538" s="4">
        <f t="shared" si="1"/>
        <v>42810</v>
      </c>
      <c r="O6538" s="5" t="str">
        <f>IFERROR(__xludf.DUMMYFUNCTION("IF(REGEXMATCH(TRIM(I6538), ""^\d+\s*min""), ""Unclassified"", IF(I6538 = """", ""NR"", I6538))"),"PG")</f>
        <v>PG</v>
      </c>
      <c r="R6538" s="5" t="str">
        <f t="shared" si="2"/>
        <v>Coraline</v>
      </c>
      <c r="S6538" s="5" t="str">
        <f>IFERROR(__xludf.DUMMYFUNCTION("""COMPUTED_VALUE"""),"Starbeam: Halloween Hero")</f>
        <v>Starbeam: Halloween Hero</v>
      </c>
      <c r="V6538" s="5"/>
      <c r="Y6538" s="5" t="str">
        <f>IFERROR(__xludf.DUMMYFUNCTION("REGEXEXTRACT(J6538, ""^\d+"")"),"101")</f>
        <v>101</v>
      </c>
      <c r="Z6538" s="5" t="str">
        <f>IFERROR(__xludf.DUMMYFUNCTION("REGEXEXTRACT(J6538, ""[A-Za-z ]+$"")")," min")</f>
        <v> min</v>
      </c>
      <c r="AA6538" s="5" t="str">
        <f>IFERROR(__xludf.DUMMYFUNCTION("IF(REGEXMATCH(Z6538, ""Season""), ""TV Show"", ""Movie"")"),"Movie")</f>
        <v>Movie</v>
      </c>
    </row>
    <row r="6539">
      <c r="A6539" s="1" t="s">
        <v>32580</v>
      </c>
      <c r="B6539" s="1" t="s">
        <v>27</v>
      </c>
      <c r="C6539" s="1" t="s">
        <v>32581</v>
      </c>
      <c r="D6539" s="1" t="s">
        <v>10238</v>
      </c>
      <c r="E6539" s="1" t="s">
        <v>32582</v>
      </c>
      <c r="F6539" s="1" t="s">
        <v>1106</v>
      </c>
      <c r="G6539" s="1" t="s">
        <v>25185</v>
      </c>
      <c r="H6539" s="1">
        <v>2018.0</v>
      </c>
      <c r="I6539" s="1" t="s">
        <v>97</v>
      </c>
      <c r="J6539" s="1" t="s">
        <v>428</v>
      </c>
      <c r="K6539" s="1" t="s">
        <v>394</v>
      </c>
      <c r="L6539" s="1" t="s">
        <v>32583</v>
      </c>
      <c r="M6539" s="2" t="s">
        <v>12</v>
      </c>
      <c r="N6539" s="4">
        <f t="shared" si="1"/>
        <v>43282</v>
      </c>
      <c r="O6539" s="5" t="str">
        <f>IFERROR(__xludf.DUMMYFUNCTION("IF(REGEXMATCH(TRIM(I6539), ""^\d+\s*min""), ""Unclassified"", IF(I6539 = """", ""NR"", I6539))"),"TV-14")</f>
        <v>TV-14</v>
      </c>
      <c r="R6539" s="5" t="str">
        <f t="shared" si="2"/>
        <v>Counterfeiting In Suburbia</v>
      </c>
      <c r="S6539" s="5" t="str">
        <f>IFERROR(__xludf.DUMMYFUNCTION("""COMPUTED_VALUE"""),"Stardust")</f>
        <v>Stardust</v>
      </c>
      <c r="V6539" s="5"/>
      <c r="Y6539" s="5" t="str">
        <f>IFERROR(__xludf.DUMMYFUNCTION("REGEXEXTRACT(J6539, ""^\d+"")"),"88")</f>
        <v>88</v>
      </c>
      <c r="Z6539" s="5" t="str">
        <f>IFERROR(__xludf.DUMMYFUNCTION("REGEXEXTRACT(J6539, ""[A-Za-z ]+$"")")," min")</f>
        <v> min</v>
      </c>
      <c r="AA6539" s="5" t="str">
        <f>IFERROR(__xludf.DUMMYFUNCTION("IF(REGEXMATCH(Z6539, ""Season""), ""TV Show"", ""Movie"")"),"Movie")</f>
        <v>Movie</v>
      </c>
    </row>
    <row r="6540">
      <c r="A6540" s="1" t="s">
        <v>32584</v>
      </c>
      <c r="B6540" s="1" t="s">
        <v>37</v>
      </c>
      <c r="C6540" s="1" t="s">
        <v>32585</v>
      </c>
      <c r="E6540" s="1" t="s">
        <v>32586</v>
      </c>
      <c r="F6540" s="1" t="s">
        <v>221</v>
      </c>
      <c r="G6540" s="1" t="s">
        <v>18971</v>
      </c>
      <c r="H6540" s="1">
        <v>2017.0</v>
      </c>
      <c r="I6540" s="1" t="s">
        <v>42</v>
      </c>
      <c r="J6540" s="1" t="s">
        <v>51</v>
      </c>
      <c r="K6540" s="1" t="s">
        <v>112</v>
      </c>
      <c r="L6540" s="1" t="s">
        <v>32587</v>
      </c>
      <c r="M6540" s="2" t="s">
        <v>12</v>
      </c>
      <c r="N6540" s="4">
        <f t="shared" si="1"/>
        <v>43740</v>
      </c>
      <c r="O6540" s="5" t="str">
        <f>IFERROR(__xludf.DUMMYFUNCTION("IF(REGEXMATCH(TRIM(I6540), ""^\d+\s*min""), ""Unclassified"", IF(I6540 = """", ""NR"", I6540))"),"TV-MA")</f>
        <v>TV-MA</v>
      </c>
      <c r="R6540" s="5" t="str">
        <f t="shared" si="2"/>
        <v>Court Justice</v>
      </c>
      <c r="S6540" s="5" t="str">
        <f>IFERROR(__xludf.DUMMYFUNCTION("""COMPUTED_VALUE"""),"Stargate")</f>
        <v>Stargate</v>
      </c>
      <c r="V6540" s="5"/>
      <c r="Y6540" s="5" t="str">
        <f>IFERROR(__xludf.DUMMYFUNCTION("REGEXEXTRACT(J6540, ""^\d+"")"),"1")</f>
        <v>1</v>
      </c>
      <c r="Z6540" s="5" t="str">
        <f>IFERROR(__xludf.DUMMYFUNCTION("REGEXEXTRACT(J6540, ""[A-Za-z ]+$"")")," Season")</f>
        <v> Season</v>
      </c>
      <c r="AA6540" s="5" t="str">
        <f>IFERROR(__xludf.DUMMYFUNCTION("IF(REGEXMATCH(Z6540, ""Season""), ""TV Show"", ""Movie"")"),"TV Show")</f>
        <v>TV Show</v>
      </c>
    </row>
    <row r="6541">
      <c r="A6541" s="1" t="s">
        <v>32588</v>
      </c>
      <c r="B6541" s="1" t="s">
        <v>27</v>
      </c>
      <c r="C6541" s="1" t="s">
        <v>32589</v>
      </c>
      <c r="D6541" s="1" t="s">
        <v>15513</v>
      </c>
      <c r="E6541" s="1" t="s">
        <v>32590</v>
      </c>
      <c r="F6541" s="1" t="s">
        <v>30</v>
      </c>
      <c r="G6541" s="1" t="s">
        <v>32591</v>
      </c>
      <c r="H6541" s="1">
        <v>2016.0</v>
      </c>
      <c r="I6541" s="1" t="s">
        <v>506</v>
      </c>
      <c r="J6541" s="1" t="s">
        <v>6281</v>
      </c>
      <c r="K6541" s="1" t="s">
        <v>32592</v>
      </c>
      <c r="L6541" s="1" t="s">
        <v>32593</v>
      </c>
      <c r="M6541" s="2" t="s">
        <v>12</v>
      </c>
      <c r="N6541" s="4">
        <f t="shared" si="1"/>
        <v>42460</v>
      </c>
      <c r="O6541" s="5" t="str">
        <f>IFERROR(__xludf.DUMMYFUNCTION("IF(REGEXMATCH(TRIM(I6541), ""^\d+\s*min""), ""Unclassified"", IF(I6541 = """", ""NR"", I6541))"),"TV-G")</f>
        <v>TV-G</v>
      </c>
      <c r="R6541" s="5" t="str">
        <f t="shared" si="2"/>
        <v>Covered: Alive In Asia</v>
      </c>
      <c r="S6541" s="5" t="str">
        <f>IFERROR(__xludf.DUMMYFUNCTION("""COMPUTED_VALUE"""),"Stargate Sg-1")</f>
        <v>Stargate Sg-1</v>
      </c>
      <c r="V6541" s="5"/>
      <c r="Y6541" s="5" t="str">
        <f>IFERROR(__xludf.DUMMYFUNCTION("REGEXEXTRACT(J6541, ""^\d+"")"),"75")</f>
        <v>75</v>
      </c>
      <c r="Z6541" s="5" t="str">
        <f>IFERROR(__xludf.DUMMYFUNCTION("REGEXEXTRACT(J6541, ""[A-Za-z ]+$"")")," min")</f>
        <v> min</v>
      </c>
      <c r="AA6541" s="5" t="str">
        <f>IFERROR(__xludf.DUMMYFUNCTION("IF(REGEXMATCH(Z6541, ""Season""), ""TV Show"", ""Movie"")"),"Movie")</f>
        <v>Movie</v>
      </c>
    </row>
    <row r="6542">
      <c r="A6542" s="1" t="s">
        <v>32594</v>
      </c>
      <c r="B6542" s="1" t="s">
        <v>27</v>
      </c>
      <c r="C6542" s="1" t="s">
        <v>32595</v>
      </c>
      <c r="D6542" s="1" t="s">
        <v>8165</v>
      </c>
      <c r="E6542" s="1" t="s">
        <v>32596</v>
      </c>
      <c r="F6542" s="1" t="s">
        <v>1205</v>
      </c>
      <c r="G6542" s="1" t="s">
        <v>18985</v>
      </c>
      <c r="H6542" s="1">
        <v>2004.0</v>
      </c>
      <c r="I6542" s="1" t="s">
        <v>378</v>
      </c>
      <c r="J6542" s="1" t="s">
        <v>1243</v>
      </c>
      <c r="K6542" s="1" t="s">
        <v>1320</v>
      </c>
      <c r="L6542" s="1" t="s">
        <v>32597</v>
      </c>
      <c r="M6542" s="2" t="s">
        <v>12</v>
      </c>
      <c r="N6542" s="4">
        <f t="shared" si="1"/>
        <v>43739</v>
      </c>
      <c r="O6542" s="5" t="str">
        <f>IFERROR(__xludf.DUMMYFUNCTION("IF(REGEXMATCH(TRIM(I6542), ""^\d+\s*min""), ""Unclassified"", IF(I6542 = """", ""NR"", I6542))"),"R")</f>
        <v>R</v>
      </c>
      <c r="R6542" s="5" t="str">
        <f t="shared" si="2"/>
        <v>Crash</v>
      </c>
      <c r="S6542" s="5" t="str">
        <f>IFERROR(__xludf.DUMMYFUNCTION("""COMPUTED_VALUE"""),"Starred Up")</f>
        <v>Starred Up</v>
      </c>
      <c r="V6542" s="5"/>
      <c r="Y6542" s="5" t="str">
        <f>IFERROR(__xludf.DUMMYFUNCTION("REGEXEXTRACT(J6542, ""^\d+"")"),"112")</f>
        <v>112</v>
      </c>
      <c r="Z6542" s="5" t="str">
        <f>IFERROR(__xludf.DUMMYFUNCTION("REGEXEXTRACT(J6542, ""[A-Za-z ]+$"")")," min")</f>
        <v> min</v>
      </c>
      <c r="AA6542" s="5" t="str">
        <f>IFERROR(__xludf.DUMMYFUNCTION("IF(REGEXMATCH(Z6542, ""Season""), ""TV Show"", ""Movie"")"),"Movie")</f>
        <v>Movie</v>
      </c>
    </row>
    <row r="6543">
      <c r="A6543" s="1" t="s">
        <v>32598</v>
      </c>
      <c r="B6543" s="1" t="s">
        <v>27</v>
      </c>
      <c r="C6543" s="1" t="s">
        <v>32599</v>
      </c>
      <c r="D6543" s="1" t="s">
        <v>13124</v>
      </c>
      <c r="E6543" s="1" t="s">
        <v>32600</v>
      </c>
      <c r="F6543" s="1" t="s">
        <v>63</v>
      </c>
      <c r="G6543" s="1" t="s">
        <v>21030</v>
      </c>
      <c r="H6543" s="1">
        <v>2016.0</v>
      </c>
      <c r="I6543" s="1" t="s">
        <v>42</v>
      </c>
      <c r="J6543" s="1" t="s">
        <v>297</v>
      </c>
      <c r="K6543" s="1" t="s">
        <v>836</v>
      </c>
      <c r="L6543" s="1" t="s">
        <v>32601</v>
      </c>
      <c r="M6543" s="2" t="s">
        <v>12</v>
      </c>
      <c r="N6543" s="4">
        <f t="shared" si="1"/>
        <v>43584</v>
      </c>
      <c r="O6543" s="5" t="str">
        <f>IFERROR(__xludf.DUMMYFUNCTION("IF(REGEXMATCH(TRIM(I6543), ""^\d+\s*min""), ""Unclassified"", IF(I6543 = """", ""NR"", I6543))"),"TV-MA")</f>
        <v>TV-MA</v>
      </c>
      <c r="R6543" s="5" t="str">
        <f t="shared" si="2"/>
        <v>Crd</v>
      </c>
      <c r="S6543" s="5" t="str">
        <f>IFERROR(__xludf.DUMMYFUNCTION("""COMPUTED_VALUE"""),"Stars In The Sky: A Hunting Story")</f>
        <v>Stars In The Sky: A Hunting Story</v>
      </c>
      <c r="V6543" s="5"/>
      <c r="Y6543" s="5" t="str">
        <f>IFERROR(__xludf.DUMMYFUNCTION("REGEXEXTRACT(J6543, ""^\d+"")"),"110")</f>
        <v>110</v>
      </c>
      <c r="Z6543" s="5" t="str">
        <f>IFERROR(__xludf.DUMMYFUNCTION("REGEXEXTRACT(J6543, ""[A-Za-z ]+$"")")," min")</f>
        <v> min</v>
      </c>
      <c r="AA6543" s="5" t="str">
        <f>IFERROR(__xludf.DUMMYFUNCTION("IF(REGEXMATCH(Z6543, ""Season""), ""TV Show"", ""Movie"")"),"Movie")</f>
        <v>Movie</v>
      </c>
    </row>
    <row r="6544">
      <c r="A6544" s="1" t="s">
        <v>32602</v>
      </c>
      <c r="B6544" s="1" t="s">
        <v>37</v>
      </c>
      <c r="C6544" s="1" t="s">
        <v>32603</v>
      </c>
      <c r="E6544" s="1" t="s">
        <v>32604</v>
      </c>
      <c r="F6544" s="1" t="s">
        <v>664</v>
      </c>
      <c r="G6544" s="1" t="s">
        <v>22293</v>
      </c>
      <c r="H6544" s="1">
        <v>2017.0</v>
      </c>
      <c r="I6544" s="1" t="s">
        <v>42</v>
      </c>
      <c r="J6544" s="1" t="s">
        <v>51</v>
      </c>
      <c r="K6544" s="1" t="s">
        <v>52</v>
      </c>
      <c r="L6544" s="1" t="s">
        <v>32605</v>
      </c>
      <c r="M6544" s="2" t="s">
        <v>12</v>
      </c>
      <c r="N6544" s="4">
        <f t="shared" si="1"/>
        <v>43496</v>
      </c>
      <c r="O6544" s="5" t="str">
        <f>IFERROR(__xludf.DUMMYFUNCTION("IF(REGEXMATCH(TRIM(I6544), ""^\d+\s*min""), ""Unclassified"", IF(I6544 = """", ""NR"", I6544))"),"TV-MA")</f>
        <v>TV-MA</v>
      </c>
      <c r="R6544" s="5" t="str">
        <f t="shared" si="2"/>
        <v>Crime Time</v>
      </c>
      <c r="S6544" s="5" t="str">
        <f>IFERROR(__xludf.DUMMYFUNCTION("""COMPUTED_VALUE"""),"Starship Troopers: Traitor Of Mars")</f>
        <v>Starship Troopers: Traitor Of Mars</v>
      </c>
      <c r="V6544" s="5"/>
      <c r="Y6544" s="5" t="str">
        <f>IFERROR(__xludf.DUMMYFUNCTION("REGEXEXTRACT(J6544, ""^\d+"")"),"1")</f>
        <v>1</v>
      </c>
      <c r="Z6544" s="5" t="str">
        <f>IFERROR(__xludf.DUMMYFUNCTION("REGEXEXTRACT(J6544, ""[A-Za-z ]+$"")")," Season")</f>
        <v> Season</v>
      </c>
      <c r="AA6544" s="5" t="str">
        <f>IFERROR(__xludf.DUMMYFUNCTION("IF(REGEXMATCH(Z6544, ""Season""), ""TV Show"", ""Movie"")"),"TV Show")</f>
        <v>TV Show</v>
      </c>
    </row>
    <row r="6545">
      <c r="A6545" s="1" t="s">
        <v>32606</v>
      </c>
      <c r="B6545" s="1" t="s">
        <v>27</v>
      </c>
      <c r="C6545" s="1" t="s">
        <v>32607</v>
      </c>
      <c r="D6545" s="1" t="s">
        <v>2045</v>
      </c>
      <c r="E6545" s="1" t="s">
        <v>32608</v>
      </c>
      <c r="F6545" s="1" t="s">
        <v>32609</v>
      </c>
      <c r="G6545" s="1" t="s">
        <v>21838</v>
      </c>
      <c r="H6545" s="1">
        <v>2000.0</v>
      </c>
      <c r="I6545" s="1" t="s">
        <v>32</v>
      </c>
      <c r="J6545" s="1" t="s">
        <v>985</v>
      </c>
      <c r="K6545" s="1" t="s">
        <v>10724</v>
      </c>
      <c r="L6545" s="1" t="s">
        <v>32610</v>
      </c>
      <c r="M6545" s="2" t="s">
        <v>12</v>
      </c>
      <c r="N6545" s="4">
        <f t="shared" si="1"/>
        <v>43525</v>
      </c>
      <c r="O6545" s="5" t="str">
        <f>IFERROR(__xludf.DUMMYFUNCTION("IF(REGEXMATCH(TRIM(I6545), ""^\d+\s*min""), ""Unclassified"", IF(I6545 = """", ""NR"", I6545))"),"PG-13")</f>
        <v>PG-13</v>
      </c>
      <c r="R6545" s="5" t="str">
        <f t="shared" si="2"/>
        <v>Crouching Tiger, Hidden Dragon</v>
      </c>
      <c r="S6545" s="5" t="str">
        <f>IFERROR(__xludf.DUMMYFUNCTION("""COMPUTED_VALUE"""),"Starsky &amp; Hutch")</f>
        <v>Starsky &amp; Hutch</v>
      </c>
      <c r="V6545" s="5"/>
      <c r="Y6545" s="5" t="str">
        <f>IFERROR(__xludf.DUMMYFUNCTION("REGEXEXTRACT(J6545, ""^\d+"")"),"120")</f>
        <v>120</v>
      </c>
      <c r="Z6545" s="5" t="str">
        <f>IFERROR(__xludf.DUMMYFUNCTION("REGEXEXTRACT(J6545, ""[A-Za-z ]+$"")")," min")</f>
        <v> min</v>
      </c>
      <c r="AA6545" s="5" t="str">
        <f>IFERROR(__xludf.DUMMYFUNCTION("IF(REGEXMATCH(Z6545, ""Season""), ""TV Show"", ""Movie"")"),"Movie")</f>
        <v>Movie</v>
      </c>
    </row>
    <row r="6546">
      <c r="A6546" s="1" t="s">
        <v>32611</v>
      </c>
      <c r="B6546" s="1" t="s">
        <v>27</v>
      </c>
      <c r="C6546" s="1" t="s">
        <v>32612</v>
      </c>
      <c r="D6546" s="1" t="s">
        <v>6607</v>
      </c>
      <c r="E6546" s="1" t="s">
        <v>32613</v>
      </c>
      <c r="F6546" s="1" t="s">
        <v>30</v>
      </c>
      <c r="G6546" s="1" t="s">
        <v>27091</v>
      </c>
      <c r="H6546" s="1">
        <v>2017.0</v>
      </c>
      <c r="I6546" s="1" t="s">
        <v>378</v>
      </c>
      <c r="J6546" s="1" t="s">
        <v>33</v>
      </c>
      <c r="K6546" s="1" t="s">
        <v>1551</v>
      </c>
      <c r="L6546" s="1" t="s">
        <v>32614</v>
      </c>
      <c r="M6546" s="2" t="s">
        <v>12</v>
      </c>
      <c r="N6546" s="4">
        <f t="shared" si="1"/>
        <v>43011</v>
      </c>
      <c r="O6546" s="5" t="str">
        <f>IFERROR(__xludf.DUMMYFUNCTION("IF(REGEXMATCH(TRIM(I6546), ""^\d+\s*min""), ""Unclassified"", IF(I6546 = """", ""NR"", I6546))"),"R")</f>
        <v>R</v>
      </c>
      <c r="R6546" s="5" t="str">
        <f t="shared" si="2"/>
        <v>Cult Of Chucky</v>
      </c>
      <c r="S6546" s="5" t="str">
        <f>IFERROR(__xludf.DUMMYFUNCTION("""COMPUTED_VALUE"""),"Start-Up")</f>
        <v>Start-Up</v>
      </c>
      <c r="V6546" s="5"/>
      <c r="Y6546" s="5" t="str">
        <f>IFERROR(__xludf.DUMMYFUNCTION("REGEXEXTRACT(J6546, ""^\d+"")"),"90")</f>
        <v>90</v>
      </c>
      <c r="Z6546" s="5" t="str">
        <f>IFERROR(__xludf.DUMMYFUNCTION("REGEXEXTRACT(J6546, ""[A-Za-z ]+$"")")," min")</f>
        <v> min</v>
      </c>
      <c r="AA6546" s="5" t="str">
        <f>IFERROR(__xludf.DUMMYFUNCTION("IF(REGEXMATCH(Z6546, ""Season""), ""TV Show"", ""Movie"")"),"Movie")</f>
        <v>Movie</v>
      </c>
    </row>
    <row r="6547">
      <c r="A6547" s="1" t="s">
        <v>32615</v>
      </c>
      <c r="B6547" s="1" t="s">
        <v>27</v>
      </c>
      <c r="C6547" s="1" t="s">
        <v>32616</v>
      </c>
      <c r="D6547" s="1" t="s">
        <v>23968</v>
      </c>
      <c r="E6547" s="1" t="s">
        <v>32617</v>
      </c>
      <c r="F6547" s="1" t="s">
        <v>30</v>
      </c>
      <c r="G6547" s="1" t="s">
        <v>32618</v>
      </c>
      <c r="H6547" s="1">
        <v>2013.0</v>
      </c>
      <c r="I6547" s="1" t="s">
        <v>378</v>
      </c>
      <c r="J6547" s="1" t="s">
        <v>1001</v>
      </c>
      <c r="K6547" s="1" t="s">
        <v>34</v>
      </c>
      <c r="L6547" s="1" t="s">
        <v>32619</v>
      </c>
      <c r="M6547" s="2" t="s">
        <v>12</v>
      </c>
      <c r="N6547" s="4">
        <f t="shared" si="1"/>
        <v>43265</v>
      </c>
      <c r="O6547" s="5" t="str">
        <f>IFERROR(__xludf.DUMMYFUNCTION("IF(REGEXMATCH(TRIM(I6547), ""^\d+\s*min""), ""Unclassified"", IF(I6547 = """", ""NR"", I6547))"),"R")</f>
        <v>R</v>
      </c>
      <c r="R6547" s="5" t="str">
        <f t="shared" si="2"/>
        <v>Cutie And The Boxer</v>
      </c>
      <c r="S6547" s="5" t="str">
        <f>IFERROR(__xludf.DUMMYFUNCTION("""COMPUTED_VALUE"""),"Starting Over Again")</f>
        <v>Starting Over Again</v>
      </c>
      <c r="V6547" s="5"/>
      <c r="Y6547" s="5" t="str">
        <f>IFERROR(__xludf.DUMMYFUNCTION("REGEXEXTRACT(J6547, ""^\d+"")"),"82")</f>
        <v>82</v>
      </c>
      <c r="Z6547" s="5" t="str">
        <f>IFERROR(__xludf.DUMMYFUNCTION("REGEXEXTRACT(J6547, ""[A-Za-z ]+$"")")," min")</f>
        <v> min</v>
      </c>
      <c r="AA6547" s="5" t="str">
        <f>IFERROR(__xludf.DUMMYFUNCTION("IF(REGEXMATCH(Z6547, ""Season""), ""TV Show"", ""Movie"")"),"Movie")</f>
        <v>Movie</v>
      </c>
    </row>
    <row r="6548">
      <c r="A6548" s="1" t="s">
        <v>32620</v>
      </c>
      <c r="B6548" s="1" t="s">
        <v>27</v>
      </c>
      <c r="C6548" s="1" t="s">
        <v>32621</v>
      </c>
      <c r="D6548" s="1" t="s">
        <v>4382</v>
      </c>
      <c r="E6548" s="1" t="s">
        <v>32622</v>
      </c>
      <c r="F6548" s="1" t="s">
        <v>63</v>
      </c>
      <c r="G6548" s="1" t="s">
        <v>26235</v>
      </c>
      <c r="H6548" s="1">
        <v>2015.0</v>
      </c>
      <c r="I6548" s="1" t="s">
        <v>97</v>
      </c>
      <c r="J6548" s="1" t="s">
        <v>870</v>
      </c>
      <c r="K6548" s="1" t="s">
        <v>306</v>
      </c>
      <c r="L6548" s="1" t="s">
        <v>32623</v>
      </c>
      <c r="M6548" s="2" t="s">
        <v>12</v>
      </c>
      <c r="N6548" s="4">
        <f t="shared" si="1"/>
        <v>43146</v>
      </c>
      <c r="O6548" s="5" t="str">
        <f>IFERROR(__xludf.DUMMYFUNCTION("IF(REGEXMATCH(TRIM(I6548), ""^\d+\s*min""), ""Unclassified"", IF(I6548 = """", ""NR"", I6548))"),"TV-14")</f>
        <v>TV-14</v>
      </c>
      <c r="R6548" s="5" t="str">
        <f t="shared" si="2"/>
        <v>Daagdi Chaawl</v>
      </c>
      <c r="S6548" s="5" t="str">
        <f>IFERROR(__xludf.DUMMYFUNCTION("""COMPUTED_VALUE"""),"Startup")</f>
        <v>Startup</v>
      </c>
      <c r="V6548" s="5"/>
      <c r="Y6548" s="5" t="str">
        <f>IFERROR(__xludf.DUMMYFUNCTION("REGEXEXTRACT(J6548, ""^\d+"")"),"118")</f>
        <v>118</v>
      </c>
      <c r="Z6548" s="5" t="str">
        <f>IFERROR(__xludf.DUMMYFUNCTION("REGEXEXTRACT(J6548, ""[A-Za-z ]+$"")")," min")</f>
        <v> min</v>
      </c>
      <c r="AA6548" s="5" t="str">
        <f>IFERROR(__xludf.DUMMYFUNCTION("IF(REGEXMATCH(Z6548, ""Season""), ""TV Show"", ""Movie"")"),"Movie")</f>
        <v>Movie</v>
      </c>
    </row>
    <row r="6549">
      <c r="A6549" s="1" t="s">
        <v>32624</v>
      </c>
      <c r="B6549" s="1" t="s">
        <v>27</v>
      </c>
      <c r="C6549" s="1" t="s">
        <v>32625</v>
      </c>
      <c r="D6549" s="1" t="s">
        <v>9131</v>
      </c>
      <c r="E6549" s="1" t="s">
        <v>32626</v>
      </c>
      <c r="F6549" s="1" t="s">
        <v>188</v>
      </c>
      <c r="G6549" s="1" t="s">
        <v>21132</v>
      </c>
      <c r="H6549" s="1">
        <v>2015.0</v>
      </c>
      <c r="I6549" s="1" t="s">
        <v>42</v>
      </c>
      <c r="J6549" s="1" t="s">
        <v>22970</v>
      </c>
      <c r="K6549" s="1" t="s">
        <v>1441</v>
      </c>
      <c r="L6549" s="1" t="s">
        <v>32627</v>
      </c>
      <c r="M6549" s="2" t="s">
        <v>12</v>
      </c>
      <c r="N6549" s="4">
        <f t="shared" si="1"/>
        <v>43572</v>
      </c>
      <c r="O6549" s="5" t="str">
        <f>IFERROR(__xludf.DUMMYFUNCTION("IF(REGEXMATCH(TRIM(I6549), ""^\d+\s*min""), ""Unclassified"", IF(I6549 = """", ""NR"", I6549))"),"TV-MA")</f>
        <v>TV-MA</v>
      </c>
      <c r="R6549" s="5" t="str">
        <f t="shared" si="2"/>
        <v>Dabbe 6: The Return</v>
      </c>
      <c r="S6549" s="5" t="str">
        <f>IFERROR(__xludf.DUMMYFUNCTION("""COMPUTED_VALUE"""),"State Of Play")</f>
        <v>State Of Play</v>
      </c>
      <c r="V6549" s="5"/>
      <c r="Y6549" s="5" t="str">
        <f>IFERROR(__xludf.DUMMYFUNCTION("REGEXEXTRACT(J6549, ""^\d+"")"),"153")</f>
        <v>153</v>
      </c>
      <c r="Z6549" s="5" t="str">
        <f>IFERROR(__xludf.DUMMYFUNCTION("REGEXEXTRACT(J6549, ""[A-Za-z ]+$"")")," min")</f>
        <v> min</v>
      </c>
      <c r="AA6549" s="5" t="str">
        <f>IFERROR(__xludf.DUMMYFUNCTION("IF(REGEXMATCH(Z6549, ""Season""), ""TV Show"", ""Movie"")"),"Movie")</f>
        <v>Movie</v>
      </c>
    </row>
    <row r="6550">
      <c r="A6550" s="1" t="s">
        <v>32628</v>
      </c>
      <c r="B6550" s="1" t="s">
        <v>27</v>
      </c>
      <c r="C6550" s="1" t="s">
        <v>32629</v>
      </c>
      <c r="D6550" s="1" t="s">
        <v>8150</v>
      </c>
      <c r="E6550" s="1" t="s">
        <v>32630</v>
      </c>
      <c r="F6550" s="1" t="s">
        <v>30</v>
      </c>
      <c r="G6550" s="1" t="s">
        <v>25842</v>
      </c>
      <c r="H6550" s="1">
        <v>1989.0</v>
      </c>
      <c r="I6550" s="1" t="s">
        <v>78</v>
      </c>
      <c r="J6550" s="1" t="s">
        <v>743</v>
      </c>
      <c r="K6550" s="1" t="s">
        <v>805</v>
      </c>
      <c r="L6550" s="1" t="s">
        <v>32631</v>
      </c>
      <c r="M6550" s="2" t="s">
        <v>12</v>
      </c>
      <c r="N6550" s="4">
        <f t="shared" si="1"/>
        <v>43191</v>
      </c>
      <c r="O6550" s="5" t="str">
        <f>IFERROR(__xludf.DUMMYFUNCTION("IF(REGEXMATCH(TRIM(I6550), ""^\d+\s*min""), ""Unclassified"", IF(I6550 = """", ""NR"", I6550))"),"PG")</f>
        <v>PG</v>
      </c>
      <c r="R6550" s="5" t="str">
        <f t="shared" si="2"/>
        <v>Dad</v>
      </c>
      <c r="S6550" s="5" t="str">
        <f>IFERROR(__xludf.DUMMYFUNCTION("""COMPUTED_VALUE"""),"Stateless")</f>
        <v>Stateless</v>
      </c>
      <c r="V6550" s="5"/>
      <c r="Y6550" s="5" t="str">
        <f>IFERROR(__xludf.DUMMYFUNCTION("REGEXEXTRACT(J6550, ""^\d+"")"),"117")</f>
        <v>117</v>
      </c>
      <c r="Z6550" s="5" t="str">
        <f>IFERROR(__xludf.DUMMYFUNCTION("REGEXEXTRACT(J6550, ""[A-Za-z ]+$"")")," min")</f>
        <v> min</v>
      </c>
      <c r="AA6550" s="5" t="str">
        <f>IFERROR(__xludf.DUMMYFUNCTION("IF(REGEXMATCH(Z6550, ""Season""), ""TV Show"", ""Movie"")"),"Movie")</f>
        <v>Movie</v>
      </c>
    </row>
    <row r="6551">
      <c r="A6551" s="1" t="s">
        <v>32632</v>
      </c>
      <c r="B6551" s="1" t="s">
        <v>37</v>
      </c>
      <c r="C6551" s="1" t="s">
        <v>32633</v>
      </c>
      <c r="E6551" s="1" t="s">
        <v>32634</v>
      </c>
      <c r="F6551" s="1" t="s">
        <v>96</v>
      </c>
      <c r="G6551" s="1" t="s">
        <v>32635</v>
      </c>
      <c r="H6551" s="1">
        <v>1977.0</v>
      </c>
      <c r="I6551" s="1" t="s">
        <v>136</v>
      </c>
      <c r="J6551" s="1" t="s">
        <v>2526</v>
      </c>
      <c r="K6551" s="1" t="s">
        <v>32636</v>
      </c>
      <c r="L6551" s="1" t="s">
        <v>32637</v>
      </c>
      <c r="M6551" s="2" t="s">
        <v>12</v>
      </c>
      <c r="N6551" s="1" t="str">
        <f t="shared" si="1"/>
        <v>#N/A</v>
      </c>
      <c r="O6551" s="5" t="str">
        <f>IFERROR(__xludf.DUMMYFUNCTION("IF(REGEXMATCH(TRIM(I6551), ""^\d+\s*min""), ""Unclassified"", IF(I6551 = """", ""NR"", I6551))"),"TV-PG")</f>
        <v>TV-PG</v>
      </c>
      <c r="R6551" s="5" t="str">
        <f t="shared" si="2"/>
        <v>Dad'S Army</v>
      </c>
      <c r="S6551" s="5" t="str">
        <f>IFERROR(__xludf.DUMMYFUNCTION("""COMPUTED_VALUE"""),"Station Horizon")</f>
        <v>Station Horizon</v>
      </c>
      <c r="V6551" s="5"/>
      <c r="Y6551" s="5" t="str">
        <f>IFERROR(__xludf.DUMMYFUNCTION("REGEXEXTRACT(J6551, ""^\d+"")"),"10")</f>
        <v>10</v>
      </c>
      <c r="Z6551" s="5" t="str">
        <f>IFERROR(__xludf.DUMMYFUNCTION("REGEXEXTRACT(J6551, ""[A-Za-z ]+$"")")," Seasons")</f>
        <v> Seasons</v>
      </c>
      <c r="AA6551" s="5" t="str">
        <f>IFERROR(__xludf.DUMMYFUNCTION("IF(REGEXMATCH(Z6551, ""Season""), ""TV Show"", ""Movie"")"),"TV Show")</f>
        <v>TV Show</v>
      </c>
    </row>
    <row r="6552">
      <c r="A6552" s="1" t="s">
        <v>32638</v>
      </c>
      <c r="B6552" s="1" t="s">
        <v>27</v>
      </c>
      <c r="C6552" s="1" t="s">
        <v>32639</v>
      </c>
      <c r="D6552" s="1" t="s">
        <v>21640</v>
      </c>
      <c r="E6552" s="1" t="s">
        <v>32640</v>
      </c>
      <c r="F6552" s="1" t="s">
        <v>30</v>
      </c>
      <c r="G6552" s="1" t="s">
        <v>22635</v>
      </c>
      <c r="H6552" s="1">
        <v>2003.0</v>
      </c>
      <c r="I6552" s="1" t="s">
        <v>78</v>
      </c>
      <c r="J6552" s="1" t="s">
        <v>454</v>
      </c>
      <c r="K6552" s="1" t="s">
        <v>137</v>
      </c>
      <c r="L6552" s="1" t="s">
        <v>32641</v>
      </c>
      <c r="M6552" s="2" t="s">
        <v>12</v>
      </c>
      <c r="N6552" s="4">
        <f t="shared" si="1"/>
        <v>43466</v>
      </c>
      <c r="O6552" s="5" t="str">
        <f>IFERROR(__xludf.DUMMYFUNCTION("IF(REGEXMATCH(TRIM(I6552), ""^\d+\s*min""), ""Unclassified"", IF(I6552 = """", ""NR"", I6552))"),"PG")</f>
        <v>PG</v>
      </c>
      <c r="R6552" s="5" t="str">
        <f t="shared" si="2"/>
        <v>Daddy Day Care</v>
      </c>
      <c r="S6552" s="5" t="str">
        <f>IFERROR(__xludf.DUMMYFUNCTION("""COMPUTED_VALUE"""),"Stay Here")</f>
        <v>Stay Here</v>
      </c>
      <c r="V6552" s="5"/>
      <c r="Y6552" s="5" t="str">
        <f>IFERROR(__xludf.DUMMYFUNCTION("REGEXEXTRACT(J6552, ""^\d+"")"),"93")</f>
        <v>93</v>
      </c>
      <c r="Z6552" s="5" t="str">
        <f>IFERROR(__xludf.DUMMYFUNCTION("REGEXEXTRACT(J6552, ""[A-Za-z ]+$"")")," min")</f>
        <v> min</v>
      </c>
      <c r="AA6552" s="5" t="str">
        <f>IFERROR(__xludf.DUMMYFUNCTION("IF(REGEXMATCH(Z6552, ""Season""), ""TV Show"", ""Movie"")"),"Movie")</f>
        <v>Movie</v>
      </c>
    </row>
    <row r="6553">
      <c r="A6553" s="1" t="s">
        <v>32642</v>
      </c>
      <c r="B6553" s="1" t="s">
        <v>27</v>
      </c>
      <c r="C6553" s="1" t="s">
        <v>32643</v>
      </c>
      <c r="D6553" s="1" t="s">
        <v>1546</v>
      </c>
      <c r="E6553" s="1" t="s">
        <v>32644</v>
      </c>
      <c r="F6553" s="1" t="s">
        <v>30</v>
      </c>
      <c r="G6553" s="1" t="s">
        <v>19172</v>
      </c>
      <c r="H6553" s="1">
        <v>2019.0</v>
      </c>
      <c r="I6553" s="1" t="s">
        <v>42</v>
      </c>
      <c r="J6553" s="1" t="s">
        <v>1001</v>
      </c>
      <c r="K6553" s="1" t="s">
        <v>4730</v>
      </c>
      <c r="L6553" s="1" t="s">
        <v>32645</v>
      </c>
      <c r="M6553" s="2" t="s">
        <v>12</v>
      </c>
      <c r="N6553" s="4">
        <f t="shared" si="1"/>
        <v>43728</v>
      </c>
      <c r="O6553" s="5" t="str">
        <f>IFERROR(__xludf.DUMMYFUNCTION("IF(REGEXMATCH(TRIM(I6553), ""^\d+\s*min""), ""Unclassified"", IF(I6553 = """", ""NR"", I6553))"),"TV-MA")</f>
        <v>TV-MA</v>
      </c>
      <c r="R6553" s="5" t="str">
        <f t="shared" si="2"/>
        <v>Daddy Issues</v>
      </c>
      <c r="S6553" s="5" t="str">
        <f>IFERROR(__xludf.DUMMYFUNCTION("""COMPUTED_VALUE"""),"Stay Tuned!")</f>
        <v>Stay Tuned!</v>
      </c>
      <c r="V6553" s="5"/>
      <c r="Y6553" s="5" t="str">
        <f>IFERROR(__xludf.DUMMYFUNCTION("REGEXEXTRACT(J6553, ""^\d+"")"),"82")</f>
        <v>82</v>
      </c>
      <c r="Z6553" s="5" t="str">
        <f>IFERROR(__xludf.DUMMYFUNCTION("REGEXEXTRACT(J6553, ""[A-Za-z ]+$"")")," min")</f>
        <v> min</v>
      </c>
      <c r="AA6553" s="5" t="str">
        <f>IFERROR(__xludf.DUMMYFUNCTION("IF(REGEXMATCH(Z6553, ""Season""), ""TV Show"", ""Movie"")"),"Movie")</f>
        <v>Movie</v>
      </c>
    </row>
    <row r="6554">
      <c r="A6554" s="1" t="s">
        <v>32646</v>
      </c>
      <c r="B6554" s="1" t="s">
        <v>27</v>
      </c>
      <c r="C6554" s="1" t="s">
        <v>32647</v>
      </c>
      <c r="D6554" s="1" t="s">
        <v>17461</v>
      </c>
      <c r="E6554" s="1" t="s">
        <v>32648</v>
      </c>
      <c r="F6554" s="1" t="s">
        <v>1815</v>
      </c>
      <c r="G6554" s="1" t="s">
        <v>28893</v>
      </c>
      <c r="H6554" s="1">
        <v>2015.0</v>
      </c>
      <c r="I6554" s="1" t="s">
        <v>30231</v>
      </c>
      <c r="J6554" s="1" t="s">
        <v>379</v>
      </c>
      <c r="K6554" s="1" t="s">
        <v>1376</v>
      </c>
      <c r="L6554" s="1" t="s">
        <v>32649</v>
      </c>
      <c r="M6554" s="2" t="s">
        <v>12</v>
      </c>
      <c r="N6554" s="4">
        <f t="shared" si="1"/>
        <v>42724</v>
      </c>
      <c r="O6554" s="5" t="str">
        <f>IFERROR(__xludf.DUMMYFUNCTION("IF(REGEXMATCH(TRIM(I6554), ""^\d+\s*min""), ""Unclassified"", IF(I6554 = """", ""NR"", I6554))"),"NR")</f>
        <v>NR</v>
      </c>
      <c r="R6554" s="5" t="str">
        <f t="shared" si="2"/>
        <v>Daemonium</v>
      </c>
      <c r="S6554" s="5" t="str">
        <f>IFERROR(__xludf.DUMMYFUNCTION("""COMPUTED_VALUE"""),"Steal A Pencil For Me")</f>
        <v>Steal A Pencil For Me</v>
      </c>
      <c r="V6554" s="5"/>
      <c r="Y6554" s="5" t="str">
        <f>IFERROR(__xludf.DUMMYFUNCTION("REGEXEXTRACT(J6554, ""^\d+"")"),"115")</f>
        <v>115</v>
      </c>
      <c r="Z6554" s="5" t="str">
        <f>IFERROR(__xludf.DUMMYFUNCTION("REGEXEXTRACT(J6554, ""[A-Za-z ]+$"")")," min")</f>
        <v> min</v>
      </c>
      <c r="AA6554" s="5" t="str">
        <f>IFERROR(__xludf.DUMMYFUNCTION("IF(REGEXMATCH(Z6554, ""Season""), ""TV Show"", ""Movie"")"),"Movie")</f>
        <v>Movie</v>
      </c>
    </row>
    <row r="6555">
      <c r="A6555" s="1" t="s">
        <v>32650</v>
      </c>
      <c r="B6555" s="1" t="s">
        <v>27</v>
      </c>
      <c r="C6555" s="1" t="s">
        <v>32651</v>
      </c>
      <c r="D6555" s="1" t="s">
        <v>11545</v>
      </c>
      <c r="E6555" s="1" t="s">
        <v>32652</v>
      </c>
      <c r="F6555" s="1" t="s">
        <v>63</v>
      </c>
      <c r="G6555" s="1" t="s">
        <v>25185</v>
      </c>
      <c r="H6555" s="1">
        <v>2017.0</v>
      </c>
      <c r="I6555" s="1" t="s">
        <v>97</v>
      </c>
      <c r="J6555" s="1" t="s">
        <v>7280</v>
      </c>
      <c r="K6555" s="1" t="s">
        <v>128</v>
      </c>
      <c r="L6555" s="1" t="s">
        <v>32653</v>
      </c>
      <c r="M6555" s="2" t="s">
        <v>12</v>
      </c>
      <c r="N6555" s="4">
        <f t="shared" si="1"/>
        <v>43282</v>
      </c>
      <c r="O6555" s="5" t="str">
        <f>IFERROR(__xludf.DUMMYFUNCTION("IF(REGEXMATCH(TRIM(I6555), ""^\d+\s*min""), ""Unclassified"", IF(I6555 = """", ""NR"", I6555))"),"TV-14")</f>
        <v>TV-14</v>
      </c>
      <c r="R6555" s="5" t="str">
        <f t="shared" si="2"/>
        <v>Daffedar</v>
      </c>
      <c r="S6555" s="5" t="str">
        <f>IFERROR(__xludf.DUMMYFUNCTION("""COMPUTED_VALUE"""),"Stealing History")</f>
        <v>Stealing History</v>
      </c>
      <c r="V6555" s="5"/>
      <c r="Y6555" s="5" t="str">
        <f>IFERROR(__xludf.DUMMYFUNCTION("REGEXEXTRACT(J6555, ""^\d+"")"),"151")</f>
        <v>151</v>
      </c>
      <c r="Z6555" s="5" t="str">
        <f>IFERROR(__xludf.DUMMYFUNCTION("REGEXEXTRACT(J6555, ""[A-Za-z ]+$"")")," min")</f>
        <v> min</v>
      </c>
      <c r="AA6555" s="5" t="str">
        <f>IFERROR(__xludf.DUMMYFUNCTION("IF(REGEXMATCH(Z6555, ""Season""), ""TV Show"", ""Movie"")"),"Movie")</f>
        <v>Movie</v>
      </c>
    </row>
    <row r="6556">
      <c r="A6556" s="1" t="s">
        <v>32654</v>
      </c>
      <c r="B6556" s="1" t="s">
        <v>27</v>
      </c>
      <c r="C6556" s="1" t="s">
        <v>32655</v>
      </c>
      <c r="D6556" s="1" t="s">
        <v>18590</v>
      </c>
      <c r="E6556" s="1" t="s">
        <v>32656</v>
      </c>
      <c r="F6556" s="1" t="s">
        <v>4497</v>
      </c>
      <c r="G6556" s="1" t="s">
        <v>25842</v>
      </c>
      <c r="H6556" s="1">
        <v>2015.0</v>
      </c>
      <c r="I6556" s="1" t="s">
        <v>42</v>
      </c>
      <c r="J6556" s="1" t="s">
        <v>238</v>
      </c>
      <c r="K6556" s="1" t="s">
        <v>89</v>
      </c>
      <c r="L6556" s="1" t="s">
        <v>32657</v>
      </c>
      <c r="M6556" s="2" t="s">
        <v>12</v>
      </c>
      <c r="N6556" s="4">
        <f t="shared" si="1"/>
        <v>43191</v>
      </c>
      <c r="O6556" s="5" t="str">
        <f>IFERROR(__xludf.DUMMYFUNCTION("IF(REGEXMATCH(TRIM(I6556), ""^\d+\s*min""), ""Unclassified"", IF(I6556 = """", ""NR"", I6556))"),"TV-MA")</f>
        <v>TV-MA</v>
      </c>
      <c r="R6556" s="5" t="str">
        <f t="shared" si="2"/>
        <v>Dagh Ujala</v>
      </c>
      <c r="S6556" s="5" t="str">
        <f>IFERROR(__xludf.DUMMYFUNCTION("""COMPUTED_VALUE"""),"Steam Team To The Rescue")</f>
        <v>Steam Team To The Rescue</v>
      </c>
      <c r="V6556" s="5"/>
      <c r="Y6556" s="5" t="str">
        <f>IFERROR(__xludf.DUMMYFUNCTION("REGEXEXTRACT(J6556, ""^\d+"")"),"103")</f>
        <v>103</v>
      </c>
      <c r="Z6556" s="5" t="str">
        <f>IFERROR(__xludf.DUMMYFUNCTION("REGEXEXTRACT(J6556, ""[A-Za-z ]+$"")")," min")</f>
        <v> min</v>
      </c>
      <c r="AA6556" s="5" t="str">
        <f>IFERROR(__xludf.DUMMYFUNCTION("IF(REGEXMATCH(Z6556, ""Season""), ""TV Show"", ""Movie"")"),"Movie")</f>
        <v>Movie</v>
      </c>
    </row>
    <row r="6557">
      <c r="A6557" s="1" t="s">
        <v>32658</v>
      </c>
      <c r="B6557" s="1" t="s">
        <v>27</v>
      </c>
      <c r="C6557" s="1" t="s">
        <v>32659</v>
      </c>
      <c r="D6557" s="1" t="s">
        <v>10509</v>
      </c>
      <c r="E6557" s="1" t="s">
        <v>32660</v>
      </c>
      <c r="F6557" s="1" t="s">
        <v>30</v>
      </c>
      <c r="G6557" s="1" t="s">
        <v>26407</v>
      </c>
      <c r="H6557" s="1">
        <v>2013.0</v>
      </c>
      <c r="I6557" s="1" t="s">
        <v>378</v>
      </c>
      <c r="J6557" s="1" t="s">
        <v>743</v>
      </c>
      <c r="K6557" s="1" t="s">
        <v>4730</v>
      </c>
      <c r="L6557" s="1" t="s">
        <v>32661</v>
      </c>
      <c r="M6557" s="2" t="s">
        <v>12</v>
      </c>
      <c r="N6557" s="4">
        <f t="shared" si="1"/>
        <v>43116</v>
      </c>
      <c r="O6557" s="5" t="str">
        <f>IFERROR(__xludf.DUMMYFUNCTION("IF(REGEXMATCH(TRIM(I6557), ""^\d+\s*min""), ""Unclassified"", IF(I6557 = """", ""NR"", I6557))"),"R")</f>
        <v>R</v>
      </c>
      <c r="R6557" s="5" t="str">
        <f t="shared" si="2"/>
        <v>Dallas Buyers Club</v>
      </c>
      <c r="S6557" s="5" t="str">
        <f>IFERROR(__xludf.DUMMYFUNCTION("""COMPUTED_VALUE"""),"Steel Rain")</f>
        <v>Steel Rain</v>
      </c>
      <c r="V6557" s="5"/>
      <c r="Y6557" s="5" t="str">
        <f>IFERROR(__xludf.DUMMYFUNCTION("REGEXEXTRACT(J6557, ""^\d+"")"),"117")</f>
        <v>117</v>
      </c>
      <c r="Z6557" s="5" t="str">
        <f>IFERROR(__xludf.DUMMYFUNCTION("REGEXEXTRACT(J6557, ""[A-Za-z ]+$"")")," min")</f>
        <v> min</v>
      </c>
      <c r="AA6557" s="5" t="str">
        <f>IFERROR(__xludf.DUMMYFUNCTION("IF(REGEXMATCH(Z6557, ""Season""), ""TV Show"", ""Movie"")"),"Movie")</f>
        <v>Movie</v>
      </c>
    </row>
    <row r="6558">
      <c r="A6558" s="1" t="s">
        <v>32662</v>
      </c>
      <c r="B6558" s="1" t="s">
        <v>37</v>
      </c>
      <c r="C6558" s="1" t="s">
        <v>32663</v>
      </c>
      <c r="E6558" s="1" t="s">
        <v>32664</v>
      </c>
      <c r="F6558" s="1" t="s">
        <v>221</v>
      </c>
      <c r="G6558" s="1" t="s">
        <v>26572</v>
      </c>
      <c r="H6558" s="1">
        <v>2013.0</v>
      </c>
      <c r="I6558" s="1" t="s">
        <v>136</v>
      </c>
      <c r="J6558" s="1" t="s">
        <v>51</v>
      </c>
      <c r="K6558" s="1" t="s">
        <v>1907</v>
      </c>
      <c r="L6558" s="1" t="s">
        <v>32665</v>
      </c>
      <c r="M6558" s="2" t="s">
        <v>12</v>
      </c>
      <c r="N6558" s="4">
        <f t="shared" si="1"/>
        <v>43089</v>
      </c>
      <c r="O6558" s="5" t="str">
        <f>IFERROR(__xludf.DUMMYFUNCTION("IF(REGEXMATCH(TRIM(I6558), ""^\d+\s*min""), ""Unclassified"", IF(I6558 = """", ""NR"", I6558))"),"TV-PG")</f>
        <v>TV-PG</v>
      </c>
      <c r="R6558" s="5" t="str">
        <f t="shared" si="2"/>
        <v>Dance Academy</v>
      </c>
      <c r="S6558" s="5" t="str">
        <f>IFERROR(__xludf.DUMMYFUNCTION("""COMPUTED_VALUE"""),"Step Brothers")</f>
        <v>Step Brothers</v>
      </c>
      <c r="V6558" s="5"/>
      <c r="Y6558" s="5" t="str">
        <f>IFERROR(__xludf.DUMMYFUNCTION("REGEXEXTRACT(J6558, ""^\d+"")"),"1")</f>
        <v>1</v>
      </c>
      <c r="Z6558" s="5" t="str">
        <f>IFERROR(__xludf.DUMMYFUNCTION("REGEXEXTRACT(J6558, ""[A-Za-z ]+$"")")," Season")</f>
        <v> Season</v>
      </c>
      <c r="AA6558" s="5" t="str">
        <f>IFERROR(__xludf.DUMMYFUNCTION("IF(REGEXMATCH(Z6558, ""Season""), ""TV Show"", ""Movie"")"),"TV Show")</f>
        <v>TV Show</v>
      </c>
    </row>
    <row r="6559">
      <c r="A6559" s="1" t="s">
        <v>32666</v>
      </c>
      <c r="B6559" s="1" t="s">
        <v>27</v>
      </c>
      <c r="C6559" s="1" t="s">
        <v>32667</v>
      </c>
      <c r="D6559" s="1" t="s">
        <v>10666</v>
      </c>
      <c r="E6559" s="1" t="s">
        <v>32668</v>
      </c>
      <c r="F6559" s="1" t="s">
        <v>32669</v>
      </c>
      <c r="G6559" s="1" t="s">
        <v>25180</v>
      </c>
      <c r="H6559" s="1">
        <v>2017.0</v>
      </c>
      <c r="I6559" s="1" t="s">
        <v>136</v>
      </c>
      <c r="J6559" s="1" t="s">
        <v>433</v>
      </c>
      <c r="K6559" s="1" t="s">
        <v>128</v>
      </c>
      <c r="L6559" s="1" t="s">
        <v>32670</v>
      </c>
      <c r="M6559" s="2" t="s">
        <v>12</v>
      </c>
      <c r="N6559" s="4">
        <f t="shared" si="1"/>
        <v>43283</v>
      </c>
      <c r="O6559" s="5" t="str">
        <f>IFERROR(__xludf.DUMMYFUNCTION("IF(REGEXMATCH(TRIM(I6559), ""^\d+\s*min""), ""Unclassified"", IF(I6559 = """", ""NR"", I6559))"),"TV-PG")</f>
        <v>TV-PG</v>
      </c>
      <c r="R6559" s="5" t="str">
        <f t="shared" si="2"/>
        <v>Dance Academy: The Comeback</v>
      </c>
      <c r="S6559" s="5" t="str">
        <f>IFERROR(__xludf.DUMMYFUNCTION("""COMPUTED_VALUE"""),"Step Outside")</f>
        <v>Step Outside</v>
      </c>
      <c r="V6559" s="5"/>
      <c r="Y6559" s="5" t="str">
        <f>IFERROR(__xludf.DUMMYFUNCTION("REGEXEXTRACT(J6559, ""^\d+"")"),"100")</f>
        <v>100</v>
      </c>
      <c r="Z6559" s="5" t="str">
        <f>IFERROR(__xludf.DUMMYFUNCTION("REGEXEXTRACT(J6559, ""[A-Za-z ]+$"")")," min")</f>
        <v> min</v>
      </c>
      <c r="AA6559" s="5" t="str">
        <f>IFERROR(__xludf.DUMMYFUNCTION("IF(REGEXMATCH(Z6559, ""Season""), ""TV Show"", ""Movie"")"),"Movie")</f>
        <v>Movie</v>
      </c>
    </row>
    <row r="6560">
      <c r="A6560" s="1" t="s">
        <v>32671</v>
      </c>
      <c r="B6560" s="1" t="s">
        <v>27</v>
      </c>
      <c r="C6560" s="1" t="s">
        <v>32672</v>
      </c>
      <c r="D6560" s="1" t="s">
        <v>18206</v>
      </c>
      <c r="E6560" s="1" t="s">
        <v>32673</v>
      </c>
      <c r="F6560" s="1" t="s">
        <v>2492</v>
      </c>
      <c r="G6560" s="1" t="s">
        <v>28377</v>
      </c>
      <c r="H6560" s="1">
        <v>2016.0</v>
      </c>
      <c r="I6560" s="1" t="s">
        <v>42</v>
      </c>
      <c r="J6560" s="1" t="s">
        <v>1583</v>
      </c>
      <c r="K6560" s="1" t="s">
        <v>89</v>
      </c>
      <c r="L6560" s="1" t="s">
        <v>32674</v>
      </c>
      <c r="M6560" s="2" t="s">
        <v>12</v>
      </c>
      <c r="N6560" s="4">
        <f t="shared" si="1"/>
        <v>42826</v>
      </c>
      <c r="O6560" s="5" t="str">
        <f>IFERROR(__xludf.DUMMYFUNCTION("IF(REGEXMATCH(TRIM(I6560), ""^\d+\s*min""), ""Unclassified"", IF(I6560 = """", ""NR"", I6560))"),"TV-MA")</f>
        <v>TV-MA</v>
      </c>
      <c r="R6560" s="5" t="str">
        <f t="shared" si="2"/>
        <v>Dancing Quietly</v>
      </c>
      <c r="S6560" s="5" t="str">
        <f>IFERROR(__xludf.DUMMYFUNCTION("""COMPUTED_VALUE"""),"Step Sisters")</f>
        <v>Step Sisters</v>
      </c>
      <c r="V6560" s="5"/>
      <c r="Y6560" s="5" t="str">
        <f>IFERROR(__xludf.DUMMYFUNCTION("REGEXEXTRACT(J6560, ""^\d+"")"),"70")</f>
        <v>70</v>
      </c>
      <c r="Z6560" s="5" t="str">
        <f>IFERROR(__xludf.DUMMYFUNCTION("REGEXEXTRACT(J6560, ""[A-Za-z ]+$"")")," min")</f>
        <v> min</v>
      </c>
      <c r="AA6560" s="5" t="str">
        <f>IFERROR(__xludf.DUMMYFUNCTION("IF(REGEXMATCH(Z6560, ""Season""), ""TV Show"", ""Movie"")"),"Movie")</f>
        <v>Movie</v>
      </c>
    </row>
    <row r="6561">
      <c r="A6561" s="1" t="s">
        <v>32675</v>
      </c>
      <c r="B6561" s="1" t="s">
        <v>37</v>
      </c>
      <c r="C6561" s="1" t="s">
        <v>32676</v>
      </c>
      <c r="E6561" s="1" t="s">
        <v>32677</v>
      </c>
      <c r="F6561" s="1" t="s">
        <v>162</v>
      </c>
      <c r="G6561" s="1" t="s">
        <v>25882</v>
      </c>
      <c r="H6561" s="1">
        <v>2016.0</v>
      </c>
      <c r="I6561" s="1" t="s">
        <v>42</v>
      </c>
      <c r="J6561" s="1" t="s">
        <v>51</v>
      </c>
      <c r="K6561" s="1" t="s">
        <v>785</v>
      </c>
      <c r="L6561" s="1" t="s">
        <v>32678</v>
      </c>
      <c r="M6561" s="2" t="s">
        <v>12</v>
      </c>
      <c r="N6561" s="4">
        <f t="shared" si="1"/>
        <v>43190</v>
      </c>
      <c r="O6561" s="5" t="str">
        <f>IFERROR(__xludf.DUMMYFUNCTION("IF(REGEXMATCH(TRIM(I6561), ""^\d+\s*min""), ""Unclassified"", IF(I6561 = """", ""NR"", I6561))"),"TV-MA")</f>
        <v>TV-MA</v>
      </c>
      <c r="R6561" s="5" t="str">
        <f t="shared" si="2"/>
        <v>Dandy</v>
      </c>
      <c r="S6561" s="5" t="str">
        <f>IFERROR(__xludf.DUMMYFUNCTION("""COMPUTED_VALUE"""),"Stephanie")</f>
        <v>Stephanie</v>
      </c>
      <c r="V6561" s="5"/>
      <c r="Y6561" s="5" t="str">
        <f>IFERROR(__xludf.DUMMYFUNCTION("REGEXEXTRACT(J6561, ""^\d+"")"),"1")</f>
        <v>1</v>
      </c>
      <c r="Z6561" s="5" t="str">
        <f>IFERROR(__xludf.DUMMYFUNCTION("REGEXEXTRACT(J6561, ""[A-Za-z ]+$"")")," Season")</f>
        <v> Season</v>
      </c>
      <c r="AA6561" s="5" t="str">
        <f>IFERROR(__xludf.DUMMYFUNCTION("IF(REGEXMATCH(Z6561, ""Season""), ""TV Show"", ""Movie"")"),"TV Show")</f>
        <v>TV Show</v>
      </c>
    </row>
    <row r="6562">
      <c r="A6562" s="1" t="s">
        <v>32679</v>
      </c>
      <c r="B6562" s="1" t="s">
        <v>37</v>
      </c>
      <c r="C6562" s="1" t="s">
        <v>32680</v>
      </c>
      <c r="E6562" s="1" t="s">
        <v>32681</v>
      </c>
      <c r="F6562" s="1" t="s">
        <v>96</v>
      </c>
      <c r="G6562" s="1" t="s">
        <v>32682</v>
      </c>
      <c r="H6562" s="1">
        <v>2012.0</v>
      </c>
      <c r="I6562" s="1" t="s">
        <v>42</v>
      </c>
      <c r="J6562" s="1" t="s">
        <v>43</v>
      </c>
      <c r="K6562" s="1" t="s">
        <v>4190</v>
      </c>
      <c r="L6562" s="1" t="s">
        <v>32683</v>
      </c>
      <c r="M6562" s="2" t="s">
        <v>12</v>
      </c>
      <c r="N6562" s="1" t="str">
        <f t="shared" si="1"/>
        <v>#N/A</v>
      </c>
      <c r="O6562" s="5" t="str">
        <f>IFERROR(__xludf.DUMMYFUNCTION("IF(REGEXMATCH(TRIM(I6562), ""^\d+\s*min""), ""Unclassified"", IF(I6562 = """", ""NR"", I6562))"),"TV-MA")</f>
        <v>TV-MA</v>
      </c>
      <c r="R6562" s="5" t="str">
        <f t="shared" si="2"/>
        <v>Dangerous Roads</v>
      </c>
      <c r="S6562" s="5" t="str">
        <f>IFERROR(__xludf.DUMMYFUNCTION("""COMPUTED_VALUE"""),"Stereo")</f>
        <v>Stereo</v>
      </c>
      <c r="V6562" s="5"/>
      <c r="Y6562" s="5" t="str">
        <f>IFERROR(__xludf.DUMMYFUNCTION("REGEXEXTRACT(J6562, ""^\d+"")"),"2")</f>
        <v>2</v>
      </c>
      <c r="Z6562" s="5" t="str">
        <f>IFERROR(__xludf.DUMMYFUNCTION("REGEXEXTRACT(J6562, ""[A-Za-z ]+$"")")," Seasons")</f>
        <v> Seasons</v>
      </c>
      <c r="AA6562" s="5" t="str">
        <f>IFERROR(__xludf.DUMMYFUNCTION("IF(REGEXMATCH(Z6562, ""Season""), ""TV Show"", ""Movie"")"),"TV Show")</f>
        <v>TV Show</v>
      </c>
    </row>
    <row r="6563">
      <c r="A6563" s="1" t="s">
        <v>32684</v>
      </c>
      <c r="B6563" s="1" t="s">
        <v>27</v>
      </c>
      <c r="C6563" s="1" t="s">
        <v>32685</v>
      </c>
      <c r="D6563" s="1" t="s">
        <v>3674</v>
      </c>
      <c r="E6563" s="1" t="s">
        <v>32686</v>
      </c>
      <c r="F6563" s="1" t="s">
        <v>30</v>
      </c>
      <c r="G6563" s="1" t="s">
        <v>32687</v>
      </c>
      <c r="H6563" s="1">
        <v>2015.0</v>
      </c>
      <c r="I6563" s="1" t="s">
        <v>42</v>
      </c>
      <c r="J6563" s="1" t="s">
        <v>238</v>
      </c>
      <c r="K6563" s="1" t="s">
        <v>700</v>
      </c>
      <c r="L6563" s="1" t="s">
        <v>32688</v>
      </c>
      <c r="M6563" s="2" t="s">
        <v>12</v>
      </c>
      <c r="N6563" s="4">
        <f t="shared" si="1"/>
        <v>42796</v>
      </c>
      <c r="O6563" s="5" t="str">
        <f>IFERROR(__xludf.DUMMYFUNCTION("IF(REGEXMATCH(TRIM(I6563), ""^\d+\s*min""), ""Unclassified"", IF(I6563 = """", ""NR"", I6563))"),"TV-MA")</f>
        <v>TV-MA</v>
      </c>
      <c r="R6563" s="5" t="str">
        <f t="shared" si="2"/>
        <v>Danny Says</v>
      </c>
      <c r="S6563" s="5" t="str">
        <f>IFERROR(__xludf.DUMMYFUNCTION("""COMPUTED_VALUE"""),"Steve Jobs")</f>
        <v>Steve Jobs</v>
      </c>
      <c r="V6563" s="5"/>
      <c r="Y6563" s="5" t="str">
        <f>IFERROR(__xludf.DUMMYFUNCTION("REGEXEXTRACT(J6563, ""^\d+"")"),"103")</f>
        <v>103</v>
      </c>
      <c r="Z6563" s="5" t="str">
        <f>IFERROR(__xludf.DUMMYFUNCTION("REGEXEXTRACT(J6563, ""[A-Za-z ]+$"")")," min")</f>
        <v> min</v>
      </c>
      <c r="AA6563" s="5" t="str">
        <f>IFERROR(__xludf.DUMMYFUNCTION("IF(REGEXMATCH(Z6563, ""Season""), ""TV Show"", ""Movie"")"),"Movie")</f>
        <v>Movie</v>
      </c>
    </row>
    <row r="6564">
      <c r="A6564" s="1" t="s">
        <v>32689</v>
      </c>
      <c r="B6564" s="1" t="s">
        <v>27</v>
      </c>
      <c r="C6564" s="1" t="s">
        <v>32690</v>
      </c>
      <c r="D6564" s="1" t="s">
        <v>1543</v>
      </c>
      <c r="E6564" s="1" t="s">
        <v>32691</v>
      </c>
      <c r="F6564" s="1" t="s">
        <v>30</v>
      </c>
      <c r="G6564" s="1" t="s">
        <v>19361</v>
      </c>
      <c r="H6564" s="1">
        <v>1997.0</v>
      </c>
      <c r="I6564" s="1" t="s">
        <v>32</v>
      </c>
      <c r="J6564" s="1" t="s">
        <v>912</v>
      </c>
      <c r="K6564" s="1" t="s">
        <v>380</v>
      </c>
      <c r="L6564" s="1" t="s">
        <v>32692</v>
      </c>
      <c r="M6564" s="2" t="s">
        <v>12</v>
      </c>
      <c r="N6564" s="4">
        <f t="shared" si="1"/>
        <v>43709</v>
      </c>
      <c r="O6564" s="5" t="str">
        <f>IFERROR(__xludf.DUMMYFUNCTION("IF(REGEXMATCH(TRIM(I6564), ""^\d+\s*min""), ""Unclassified"", IF(I6564 = """", ""NR"", I6564))"),"PG-13")</f>
        <v>PG-13</v>
      </c>
      <c r="R6564" s="5" t="str">
        <f t="shared" si="2"/>
        <v>Dante'S Peak</v>
      </c>
      <c r="S6564" s="5" t="str">
        <f>IFERROR(__xludf.DUMMYFUNCTION("""COMPUTED_VALUE"""),"Steve Martin And Martin Short: An Evening You Will Forget For The Rest Of Your Life")</f>
        <v>Steve Martin And Martin Short: An Evening You Will Forget For The Rest Of Your Life</v>
      </c>
      <c r="V6564" s="5"/>
      <c r="Y6564" s="5" t="str">
        <f>IFERROR(__xludf.DUMMYFUNCTION("REGEXEXTRACT(J6564, ""^\d+"")"),"108")</f>
        <v>108</v>
      </c>
      <c r="Z6564" s="5" t="str">
        <f>IFERROR(__xludf.DUMMYFUNCTION("REGEXEXTRACT(J6564, ""[A-Za-z ]+$"")")," min")</f>
        <v> min</v>
      </c>
      <c r="AA6564" s="5" t="str">
        <f>IFERROR(__xludf.DUMMYFUNCTION("IF(REGEXMATCH(Z6564, ""Season""), ""TV Show"", ""Movie"")"),"Movie")</f>
        <v>Movie</v>
      </c>
    </row>
    <row r="6565">
      <c r="A6565" s="1" t="s">
        <v>32693</v>
      </c>
      <c r="B6565" s="1" t="s">
        <v>27</v>
      </c>
      <c r="C6565" s="1" t="s">
        <v>32694</v>
      </c>
      <c r="F6565" s="1" t="s">
        <v>1453</v>
      </c>
      <c r="G6565" s="1" t="s">
        <v>25842</v>
      </c>
      <c r="H6565" s="1">
        <v>2015.0</v>
      </c>
      <c r="I6565" s="1" t="s">
        <v>136</v>
      </c>
      <c r="J6565" s="1" t="s">
        <v>433</v>
      </c>
      <c r="K6565" s="1" t="s">
        <v>1538</v>
      </c>
      <c r="L6565" s="1" t="s">
        <v>32695</v>
      </c>
      <c r="M6565" s="2" t="s">
        <v>12</v>
      </c>
      <c r="N6565" s="4">
        <f t="shared" si="1"/>
        <v>43191</v>
      </c>
      <c r="O6565" s="5" t="str">
        <f>IFERROR(__xludf.DUMMYFUNCTION("IF(REGEXMATCH(TRIM(I6565), ""^\d+\s*min""), ""Unclassified"", IF(I6565 = """", ""NR"", I6565))"),"TV-PG")</f>
        <v>TV-PG</v>
      </c>
      <c r="R6565" s="5" t="str">
        <f t="shared" si="2"/>
        <v>Dare To Be Wild</v>
      </c>
      <c r="S6565" s="5" t="str">
        <f>IFERROR(__xludf.DUMMYFUNCTION("""COMPUTED_VALUE"""),"Sthaniya Sambaad")</f>
        <v>Sthaniya Sambaad</v>
      </c>
      <c r="V6565" s="5"/>
      <c r="Y6565" s="5" t="str">
        <f>IFERROR(__xludf.DUMMYFUNCTION("REGEXEXTRACT(J6565, ""^\d+"")"),"100")</f>
        <v>100</v>
      </c>
      <c r="Z6565" s="5" t="str">
        <f>IFERROR(__xludf.DUMMYFUNCTION("REGEXEXTRACT(J6565, ""[A-Za-z ]+$"")")," min")</f>
        <v> min</v>
      </c>
      <c r="AA6565" s="5" t="str">
        <f>IFERROR(__xludf.DUMMYFUNCTION("IF(REGEXMATCH(Z6565, ""Season""), ""TV Show"", ""Movie"")"),"Movie")</f>
        <v>Movie</v>
      </c>
    </row>
    <row r="6566">
      <c r="A6566" s="1" t="s">
        <v>32696</v>
      </c>
      <c r="B6566" s="1" t="s">
        <v>27</v>
      </c>
      <c r="C6566" s="1" t="s">
        <v>32697</v>
      </c>
      <c r="D6566" s="1" t="s">
        <v>577</v>
      </c>
      <c r="E6566" s="1" t="s">
        <v>32698</v>
      </c>
      <c r="F6566" s="1" t="s">
        <v>63</v>
      </c>
      <c r="G6566" s="1" t="s">
        <v>26596</v>
      </c>
      <c r="H6566" s="1">
        <v>2016.0</v>
      </c>
      <c r="I6566" s="1" t="s">
        <v>42</v>
      </c>
      <c r="J6566" s="1" t="s">
        <v>79</v>
      </c>
      <c r="K6566" s="1" t="s">
        <v>298</v>
      </c>
      <c r="L6566" s="1" t="s">
        <v>32699</v>
      </c>
      <c r="M6566" s="2" t="s">
        <v>12</v>
      </c>
      <c r="N6566" s="4">
        <f t="shared" si="1"/>
        <v>43084</v>
      </c>
      <c r="O6566" s="5" t="str">
        <f>IFERROR(__xludf.DUMMYFUNCTION("IF(REGEXMATCH(TRIM(I6566), ""^\d+\s*min""), ""Unclassified"", IF(I6566 = """", ""NR"", I6566))"),"TV-MA")</f>
        <v>TV-MA</v>
      </c>
      <c r="R6566" s="5" t="str">
        <f t="shared" si="2"/>
        <v>Dark Chocolate (Bengali Version)</v>
      </c>
      <c r="S6566" s="5" t="str">
        <f>IFERROR(__xludf.DUMMYFUNCTION("""COMPUTED_VALUE"""),"Still")</f>
        <v>Still</v>
      </c>
      <c r="V6566" s="5"/>
      <c r="Y6566" s="5" t="str">
        <f>IFERROR(__xludf.DUMMYFUNCTION("REGEXEXTRACT(J6566, ""^\d+"")"),"91")</f>
        <v>91</v>
      </c>
      <c r="Z6566" s="5" t="str">
        <f>IFERROR(__xludf.DUMMYFUNCTION("REGEXEXTRACT(J6566, ""[A-Za-z ]+$"")")," min")</f>
        <v> min</v>
      </c>
      <c r="AA6566" s="5" t="str">
        <f>IFERROR(__xludf.DUMMYFUNCTION("IF(REGEXMATCH(Z6566, ""Season""), ""TV Show"", ""Movie"")"),"Movie")</f>
        <v>Movie</v>
      </c>
    </row>
    <row r="6567">
      <c r="A6567" s="1" t="s">
        <v>32700</v>
      </c>
      <c r="B6567" s="1" t="s">
        <v>27</v>
      </c>
      <c r="C6567" s="1" t="s">
        <v>32701</v>
      </c>
      <c r="D6567" s="1" t="s">
        <v>1263</v>
      </c>
      <c r="E6567" s="1" t="s">
        <v>32702</v>
      </c>
      <c r="F6567" s="1" t="s">
        <v>32703</v>
      </c>
      <c r="G6567" s="1" t="s">
        <v>18794</v>
      </c>
      <c r="H6567" s="1">
        <v>2016.0</v>
      </c>
      <c r="I6567" s="1" t="s">
        <v>378</v>
      </c>
      <c r="J6567" s="1" t="s">
        <v>454</v>
      </c>
      <c r="K6567" s="1" t="s">
        <v>394</v>
      </c>
      <c r="L6567" s="1" t="s">
        <v>32704</v>
      </c>
      <c r="M6567" s="2" t="s">
        <v>12</v>
      </c>
      <c r="N6567" s="4">
        <f t="shared" si="1"/>
        <v>43753</v>
      </c>
      <c r="O6567" s="5" t="str">
        <f>IFERROR(__xludf.DUMMYFUNCTION("IF(REGEXMATCH(TRIM(I6567), ""^\d+\s*min""), ""Unclassified"", IF(I6567 = """", ""NR"", I6567))"),"R")</f>
        <v>R</v>
      </c>
      <c r="R6567" s="5" t="str">
        <f t="shared" si="2"/>
        <v>Dark Crimes</v>
      </c>
      <c r="S6567" s="5" t="str">
        <f>IFERROR(__xludf.DUMMYFUNCTION("""COMPUTED_VALUE"""),"Still Game")</f>
        <v>Still Game</v>
      </c>
      <c r="V6567" s="5"/>
      <c r="Y6567" s="5" t="str">
        <f>IFERROR(__xludf.DUMMYFUNCTION("REGEXEXTRACT(J6567, ""^\d+"")"),"93")</f>
        <v>93</v>
      </c>
      <c r="Z6567" s="5" t="str">
        <f>IFERROR(__xludf.DUMMYFUNCTION("REGEXEXTRACT(J6567, ""[A-Za-z ]+$"")")," min")</f>
        <v> min</v>
      </c>
      <c r="AA6567" s="5" t="str">
        <f>IFERROR(__xludf.DUMMYFUNCTION("IF(REGEXMATCH(Z6567, ""Season""), ""TV Show"", ""Movie"")"),"Movie")</f>
        <v>Movie</v>
      </c>
    </row>
    <row r="6568">
      <c r="A6568" s="1" t="s">
        <v>32705</v>
      </c>
      <c r="B6568" s="1" t="s">
        <v>27</v>
      </c>
      <c r="C6568" s="1" t="s">
        <v>32706</v>
      </c>
      <c r="D6568" s="1" t="s">
        <v>903</v>
      </c>
      <c r="E6568" s="1" t="s">
        <v>32707</v>
      </c>
      <c r="F6568" s="1" t="s">
        <v>5685</v>
      </c>
      <c r="G6568" s="1" t="s">
        <v>30969</v>
      </c>
      <c r="H6568" s="1">
        <v>2015.0</v>
      </c>
      <c r="I6568" s="1" t="s">
        <v>378</v>
      </c>
      <c r="J6568" s="1" t="s">
        <v>519</v>
      </c>
      <c r="K6568" s="1" t="s">
        <v>298</v>
      </c>
      <c r="L6568" s="1" t="s">
        <v>32708</v>
      </c>
      <c r="M6568" s="2" t="s">
        <v>12</v>
      </c>
      <c r="N6568" s="4">
        <f t="shared" si="1"/>
        <v>43307</v>
      </c>
      <c r="O6568" s="5" t="str">
        <f>IFERROR(__xludf.DUMMYFUNCTION("IF(REGEXMATCH(TRIM(I6568), ""^\d+\s*min""), ""Unclassified"", IF(I6568 = """", ""NR"", I6568))"),"R")</f>
        <v>R</v>
      </c>
      <c r="R6568" s="5" t="str">
        <f t="shared" si="2"/>
        <v>Dark Places</v>
      </c>
      <c r="S6568" s="5" t="str">
        <f>IFERROR(__xludf.DUMMYFUNCTION("""COMPUTED_VALUE"""),"Still Laugh-In: The Stars Celebrate")</f>
        <v>Still Laugh-In: The Stars Celebrate</v>
      </c>
      <c r="V6568" s="5"/>
      <c r="Y6568" s="5" t="str">
        <f>IFERROR(__xludf.DUMMYFUNCTION("REGEXEXTRACT(J6568, ""^\d+"")"),"113")</f>
        <v>113</v>
      </c>
      <c r="Z6568" s="5" t="str">
        <f>IFERROR(__xludf.DUMMYFUNCTION("REGEXEXTRACT(J6568, ""[A-Za-z ]+$"")")," min")</f>
        <v> min</v>
      </c>
      <c r="AA6568" s="5" t="str">
        <f>IFERROR(__xludf.DUMMYFUNCTION("IF(REGEXMATCH(Z6568, ""Season""), ""TV Show"", ""Movie"")"),"Movie")</f>
        <v>Movie</v>
      </c>
    </row>
    <row r="6569">
      <c r="A6569" s="1" t="s">
        <v>32709</v>
      </c>
      <c r="B6569" s="1" t="s">
        <v>27</v>
      </c>
      <c r="C6569" s="1" t="s">
        <v>32710</v>
      </c>
      <c r="D6569" s="1" t="s">
        <v>18392</v>
      </c>
      <c r="E6569" s="1" t="s">
        <v>32711</v>
      </c>
      <c r="F6569" s="1" t="s">
        <v>63</v>
      </c>
      <c r="G6569" s="1" t="s">
        <v>19813</v>
      </c>
      <c r="H6569" s="1">
        <v>2003.0</v>
      </c>
      <c r="I6569" s="1" t="s">
        <v>42</v>
      </c>
      <c r="J6569" s="1" t="s">
        <v>349</v>
      </c>
      <c r="K6569" s="1" t="s">
        <v>1592</v>
      </c>
      <c r="L6569" s="1" t="s">
        <v>32712</v>
      </c>
      <c r="M6569" s="2" t="s">
        <v>12</v>
      </c>
      <c r="N6569" s="4">
        <f t="shared" si="1"/>
        <v>43678</v>
      </c>
      <c r="O6569" s="5" t="str">
        <f>IFERROR(__xludf.DUMMYFUNCTION("IF(REGEXMATCH(TRIM(I6569), ""^\d+\s*min""), ""Unclassified"", IF(I6569 = """", ""NR"", I6569))"),"TV-MA")</f>
        <v>TV-MA</v>
      </c>
      <c r="R6569" s="5" t="str">
        <f t="shared" si="2"/>
        <v>Darna Mana Hai</v>
      </c>
      <c r="S6569" s="5" t="str">
        <f>IFERROR(__xludf.DUMMYFUNCTION("""COMPUTED_VALUE"""),"Stink!")</f>
        <v>Stink!</v>
      </c>
      <c r="V6569" s="5"/>
      <c r="Y6569" s="5" t="str">
        <f>IFERROR(__xludf.DUMMYFUNCTION("REGEXEXTRACT(J6569, ""^\d+"")"),"116")</f>
        <v>116</v>
      </c>
      <c r="Z6569" s="5" t="str">
        <f>IFERROR(__xludf.DUMMYFUNCTION("REGEXEXTRACT(J6569, ""[A-Za-z ]+$"")")," min")</f>
        <v> min</v>
      </c>
      <c r="AA6569" s="5" t="str">
        <f>IFERROR(__xludf.DUMMYFUNCTION("IF(REGEXMATCH(Z6569, ""Season""), ""TV Show"", ""Movie"")"),"Movie")</f>
        <v>Movie</v>
      </c>
    </row>
    <row r="6570">
      <c r="A6570" s="1" t="s">
        <v>32713</v>
      </c>
      <c r="B6570" s="1" t="s">
        <v>37</v>
      </c>
      <c r="C6570" s="1" t="s">
        <v>32714</v>
      </c>
      <c r="E6570" s="1" t="s">
        <v>32715</v>
      </c>
      <c r="F6570" s="1" t="s">
        <v>63</v>
      </c>
      <c r="G6570" s="1" t="s">
        <v>26089</v>
      </c>
      <c r="H6570" s="1">
        <v>2015.0</v>
      </c>
      <c r="I6570" s="1" t="s">
        <v>42</v>
      </c>
      <c r="J6570" s="1" t="s">
        <v>51</v>
      </c>
      <c r="K6570" s="1" t="s">
        <v>31036</v>
      </c>
      <c r="L6570" s="1" t="s">
        <v>32716</v>
      </c>
      <c r="M6570" s="2" t="s">
        <v>12</v>
      </c>
      <c r="N6570" s="4">
        <f t="shared" si="1"/>
        <v>43160</v>
      </c>
      <c r="O6570" s="5" t="str">
        <f>IFERROR(__xludf.DUMMYFUNCTION("IF(REGEXMATCH(TRIM(I6570), ""^\d+\s*min""), ""Unclassified"", IF(I6570 = """", ""NR"", I6570))"),"TV-MA")</f>
        <v>TV-MA</v>
      </c>
      <c r="R6570" s="5" t="str">
        <f t="shared" si="2"/>
        <v>Darr Sabko Lagta Hai</v>
      </c>
      <c r="S6570" s="5" t="str">
        <f>IFERROR(__xludf.DUMMYFUNCTION("""COMPUTED_VALUE"""),"Stoked")</f>
        <v>Stoked</v>
      </c>
      <c r="V6570" s="5"/>
      <c r="Y6570" s="5" t="str">
        <f>IFERROR(__xludf.DUMMYFUNCTION("REGEXEXTRACT(J6570, ""^\d+"")"),"1")</f>
        <v>1</v>
      </c>
      <c r="Z6570" s="5" t="str">
        <f>IFERROR(__xludf.DUMMYFUNCTION("REGEXEXTRACT(J6570, ""[A-Za-z ]+$"")")," Season")</f>
        <v> Season</v>
      </c>
      <c r="AA6570" s="5" t="str">
        <f>IFERROR(__xludf.DUMMYFUNCTION("IF(REGEXMATCH(Z6570, ""Season""), ""TV Show"", ""Movie"")"),"TV Show")</f>
        <v>TV Show</v>
      </c>
    </row>
    <row r="6571">
      <c r="A6571" s="1" t="s">
        <v>32717</v>
      </c>
      <c r="B6571" s="1" t="s">
        <v>27</v>
      </c>
      <c r="C6571" s="1" t="s">
        <v>32718</v>
      </c>
      <c r="D6571" s="1" t="s">
        <v>17610</v>
      </c>
      <c r="E6571" s="1" t="s">
        <v>32719</v>
      </c>
      <c r="F6571" s="1" t="s">
        <v>63</v>
      </c>
      <c r="G6571" s="1" t="s">
        <v>27021</v>
      </c>
      <c r="H6571" s="1">
        <v>2016.0</v>
      </c>
      <c r="I6571" s="1" t="s">
        <v>97</v>
      </c>
      <c r="J6571" s="1" t="s">
        <v>941</v>
      </c>
      <c r="K6571" s="1" t="s">
        <v>128</v>
      </c>
      <c r="L6571" s="1" t="s">
        <v>32720</v>
      </c>
      <c r="M6571" s="2" t="s">
        <v>12</v>
      </c>
      <c r="N6571" s="4">
        <f t="shared" si="1"/>
        <v>43023</v>
      </c>
      <c r="O6571" s="5" t="str">
        <f>IFERROR(__xludf.DUMMYFUNCTION("IF(REGEXMATCH(TRIM(I6571), ""^\d+\s*min""), ""Unclassified"", IF(I6571 = """", ""NR"", I6571))"),"TV-14")</f>
        <v>TV-14</v>
      </c>
      <c r="R6571" s="5" t="str">
        <f t="shared" si="2"/>
        <v>Darra</v>
      </c>
      <c r="S6571" s="5" t="str">
        <f>IFERROR(__xludf.DUMMYFUNCTION("""COMPUTED_VALUE"""),"Stolen Away")</f>
        <v>Stolen Away</v>
      </c>
      <c r="V6571" s="5"/>
      <c r="Y6571" s="5" t="str">
        <f>IFERROR(__xludf.DUMMYFUNCTION("REGEXEXTRACT(J6571, ""^\d+"")"),"121")</f>
        <v>121</v>
      </c>
      <c r="Z6571" s="5" t="str">
        <f>IFERROR(__xludf.DUMMYFUNCTION("REGEXEXTRACT(J6571, ""[A-Za-z ]+$"")")," min")</f>
        <v> min</v>
      </c>
      <c r="AA6571" s="5" t="str">
        <f>IFERROR(__xludf.DUMMYFUNCTION("IF(REGEXMATCH(Z6571, ""Season""), ""TV Show"", ""Movie"")"),"Movie")</f>
        <v>Movie</v>
      </c>
    </row>
    <row r="6572">
      <c r="A6572" s="1" t="s">
        <v>32721</v>
      </c>
      <c r="B6572" s="1" t="s">
        <v>27</v>
      </c>
      <c r="C6572" s="1" t="s">
        <v>32722</v>
      </c>
      <c r="D6572" s="1" t="s">
        <v>12081</v>
      </c>
      <c r="E6572" s="1" t="s">
        <v>32723</v>
      </c>
      <c r="F6572" s="1" t="s">
        <v>686</v>
      </c>
      <c r="G6572" s="1" t="s">
        <v>27926</v>
      </c>
      <c r="H6572" s="1">
        <v>1991.0</v>
      </c>
      <c r="I6572" s="1" t="s">
        <v>30231</v>
      </c>
      <c r="J6572" s="1" t="s">
        <v>1243</v>
      </c>
      <c r="K6572" s="1" t="s">
        <v>1767</v>
      </c>
      <c r="L6572" s="1" t="s">
        <v>32724</v>
      </c>
      <c r="M6572" s="2" t="s">
        <v>12</v>
      </c>
      <c r="N6572" s="4">
        <f t="shared" si="1"/>
        <v>42896</v>
      </c>
      <c r="O6572" s="5" t="str">
        <f>IFERROR(__xludf.DUMMYFUNCTION("IF(REGEXMATCH(TRIM(I6572), ""^\d+\s*min""), ""Unclassified"", IF(I6572 = """", ""NR"", I6572))"),"NR")</f>
        <v>NR</v>
      </c>
      <c r="R6572" s="5" t="str">
        <f t="shared" si="2"/>
        <v>Daughters Of The Dust</v>
      </c>
      <c r="S6572" s="5" t="str">
        <f>IFERROR(__xludf.DUMMYFUNCTION("""COMPUTED_VALUE"""),"Stone Age")</f>
        <v>Stone Age</v>
      </c>
      <c r="V6572" s="5"/>
      <c r="Y6572" s="5" t="str">
        <f>IFERROR(__xludf.DUMMYFUNCTION("REGEXEXTRACT(J6572, ""^\d+"")"),"112")</f>
        <v>112</v>
      </c>
      <c r="Z6572" s="5" t="str">
        <f>IFERROR(__xludf.DUMMYFUNCTION("REGEXEXTRACT(J6572, ""[A-Za-z ]+$"")")," min")</f>
        <v> min</v>
      </c>
      <c r="AA6572" s="5" t="str">
        <f>IFERROR(__xludf.DUMMYFUNCTION("IF(REGEXMATCH(Z6572, ""Season""), ""TV Show"", ""Movie"")"),"Movie")</f>
        <v>Movie</v>
      </c>
    </row>
    <row r="6573">
      <c r="A6573" s="1" t="s">
        <v>32725</v>
      </c>
      <c r="B6573" s="1" t="s">
        <v>37</v>
      </c>
      <c r="C6573" s="1" t="s">
        <v>32726</v>
      </c>
      <c r="E6573" s="1" t="s">
        <v>32727</v>
      </c>
      <c r="F6573" s="1" t="s">
        <v>3892</v>
      </c>
      <c r="G6573" s="1" t="s">
        <v>25942</v>
      </c>
      <c r="H6573" s="1">
        <v>2017.0</v>
      </c>
      <c r="I6573" s="1" t="s">
        <v>42</v>
      </c>
      <c r="J6573" s="1" t="s">
        <v>51</v>
      </c>
      <c r="K6573" s="1" t="s">
        <v>1362</v>
      </c>
      <c r="L6573" s="1" t="s">
        <v>32728</v>
      </c>
      <c r="M6573" s="2" t="s">
        <v>12</v>
      </c>
      <c r="N6573" s="4">
        <f t="shared" si="1"/>
        <v>43182</v>
      </c>
      <c r="O6573" s="5" t="str">
        <f>IFERROR(__xludf.DUMMYFUNCTION("IF(REGEXMATCH(TRIM(I6573), ""^\d+\s*min""), ""Unclassified"", IF(I6573 = """", ""NR"", I6573))"),"TV-MA")</f>
        <v>TV-MA</v>
      </c>
      <c r="R6573" s="5" t="str">
        <f t="shared" si="2"/>
        <v>Day And Night</v>
      </c>
      <c r="S6573" s="5" t="str">
        <f>IFERROR(__xludf.DUMMYFUNCTION("""COMPUTED_VALUE"""),"Stonehearst Asylum")</f>
        <v>Stonehearst Asylum</v>
      </c>
      <c r="V6573" s="5"/>
      <c r="Y6573" s="5" t="str">
        <f>IFERROR(__xludf.DUMMYFUNCTION("REGEXEXTRACT(J6573, ""^\d+"")"),"1")</f>
        <v>1</v>
      </c>
      <c r="Z6573" s="5" t="str">
        <f>IFERROR(__xludf.DUMMYFUNCTION("REGEXEXTRACT(J6573, ""[A-Za-z ]+$"")")," Season")</f>
        <v> Season</v>
      </c>
      <c r="AA6573" s="5" t="str">
        <f>IFERROR(__xludf.DUMMYFUNCTION("IF(REGEXMATCH(Z6573, ""Season""), ""TV Show"", ""Movie"")"),"TV Show")</f>
        <v>TV Show</v>
      </c>
    </row>
    <row r="6574">
      <c r="A6574" s="1" t="s">
        <v>32729</v>
      </c>
      <c r="B6574" s="1" t="s">
        <v>37</v>
      </c>
      <c r="C6574" s="1" t="s">
        <v>32730</v>
      </c>
      <c r="E6574" s="1" t="s">
        <v>32731</v>
      </c>
      <c r="F6574" s="1" t="s">
        <v>2059</v>
      </c>
      <c r="G6574" s="1" t="s">
        <v>25882</v>
      </c>
      <c r="H6574" s="1">
        <v>2017.0</v>
      </c>
      <c r="I6574" s="1" t="s">
        <v>42</v>
      </c>
      <c r="J6574" s="1" t="s">
        <v>43</v>
      </c>
      <c r="K6574" s="1" t="s">
        <v>402</v>
      </c>
      <c r="L6574" s="1" t="s">
        <v>32732</v>
      </c>
      <c r="M6574" s="2" t="s">
        <v>12</v>
      </c>
      <c r="N6574" s="4">
        <f t="shared" si="1"/>
        <v>43190</v>
      </c>
      <c r="O6574" s="5" t="str">
        <f>IFERROR(__xludf.DUMMYFUNCTION("IF(REGEXMATCH(TRIM(I6574), ""^\d+\s*min""), ""Unclassified"", IF(I6574 = """", ""NR"", I6574))"),"TV-MA")</f>
        <v>TV-MA</v>
      </c>
      <c r="R6574" s="5" t="str">
        <f t="shared" si="2"/>
        <v>Days We Stared At The Sun</v>
      </c>
      <c r="S6574" s="5" t="str">
        <f>IFERROR(__xludf.DUMMYFUNCTION("""COMPUTED_VALUE"""),"Stop At Nothing: The Lance Armstrong Story")</f>
        <v>Stop At Nothing: The Lance Armstrong Story</v>
      </c>
      <c r="V6574" s="5"/>
      <c r="Y6574" s="5" t="str">
        <f>IFERROR(__xludf.DUMMYFUNCTION("REGEXEXTRACT(J6574, ""^\d+"")"),"2")</f>
        <v>2</v>
      </c>
      <c r="Z6574" s="5" t="str">
        <f>IFERROR(__xludf.DUMMYFUNCTION("REGEXEXTRACT(J6574, ""[A-Za-z ]+$"")")," Seasons")</f>
        <v> Seasons</v>
      </c>
      <c r="AA6574" s="5" t="str">
        <f>IFERROR(__xludf.DUMMYFUNCTION("IF(REGEXMATCH(Z6574, ""Season""), ""TV Show"", ""Movie"")"),"TV Show")</f>
        <v>TV Show</v>
      </c>
    </row>
    <row r="6575">
      <c r="A6575" s="1" t="s">
        <v>32733</v>
      </c>
      <c r="B6575" s="1" t="s">
        <v>27</v>
      </c>
      <c r="C6575" s="1" t="s">
        <v>32734</v>
      </c>
      <c r="D6575" s="1" t="s">
        <v>1623</v>
      </c>
      <c r="E6575" s="1" t="s">
        <v>32735</v>
      </c>
      <c r="F6575" s="1" t="s">
        <v>30</v>
      </c>
      <c r="G6575" s="1" t="s">
        <v>32736</v>
      </c>
      <c r="H6575" s="1">
        <v>2017.0</v>
      </c>
      <c r="I6575" s="1" t="s">
        <v>42</v>
      </c>
      <c r="J6575" s="1" t="s">
        <v>1171</v>
      </c>
      <c r="K6575" s="1" t="s">
        <v>1320</v>
      </c>
      <c r="L6575" s="1" t="s">
        <v>32737</v>
      </c>
      <c r="M6575" s="2" t="s">
        <v>12</v>
      </c>
      <c r="N6575" s="4">
        <f t="shared" si="1"/>
        <v>43111</v>
      </c>
      <c r="O6575" s="5" t="str">
        <f>IFERROR(__xludf.DUMMYFUNCTION("IF(REGEXMATCH(TRIM(I6575), ""^\d+\s*min""), ""Unclassified"", IF(I6575 = """", ""NR"", I6575))"),"TV-MA")</f>
        <v>TV-MA</v>
      </c>
      <c r="R6575" s="5" t="str">
        <f t="shared" si="2"/>
        <v>Dayveon</v>
      </c>
      <c r="S6575" s="5" t="str">
        <f>IFERROR(__xludf.DUMMYFUNCTION("""COMPUTED_VALUE"""),"Storage Wars: Northern Treasures")</f>
        <v>Storage Wars: Northern Treasures</v>
      </c>
      <c r="V6575" s="5"/>
      <c r="Y6575" s="5" t="str">
        <f>IFERROR(__xludf.DUMMYFUNCTION("REGEXEXTRACT(J6575, ""^\d+"")"),"76")</f>
        <v>76</v>
      </c>
      <c r="Z6575" s="5" t="str">
        <f>IFERROR(__xludf.DUMMYFUNCTION("REGEXEXTRACT(J6575, ""[A-Za-z ]+$"")")," min")</f>
        <v> min</v>
      </c>
      <c r="AA6575" s="5" t="str">
        <f>IFERROR(__xludf.DUMMYFUNCTION("IF(REGEXMATCH(Z6575, ""Season""), ""TV Show"", ""Movie"")"),"Movie")</f>
        <v>Movie</v>
      </c>
    </row>
    <row r="6576">
      <c r="A6576" s="1" t="s">
        <v>32738</v>
      </c>
      <c r="B6576" s="1" t="s">
        <v>27</v>
      </c>
      <c r="C6576" s="1" t="s">
        <v>32739</v>
      </c>
      <c r="D6576" s="1" t="s">
        <v>32740</v>
      </c>
      <c r="E6576" s="1" t="s">
        <v>32741</v>
      </c>
      <c r="F6576" s="1" t="s">
        <v>4615</v>
      </c>
      <c r="G6576" s="1" t="s">
        <v>21132</v>
      </c>
      <c r="H6576" s="1">
        <v>2018.0</v>
      </c>
      <c r="I6576" s="1" t="s">
        <v>136</v>
      </c>
      <c r="J6576" s="1" t="s">
        <v>2452</v>
      </c>
      <c r="K6576" s="1" t="s">
        <v>199</v>
      </c>
      <c r="L6576" s="1" t="s">
        <v>32742</v>
      </c>
      <c r="M6576" s="2" t="s">
        <v>12</v>
      </c>
      <c r="N6576" s="4">
        <f t="shared" si="1"/>
        <v>43572</v>
      </c>
      <c r="O6576" s="5" t="str">
        <f>IFERROR(__xludf.DUMMYFUNCTION("IF(REGEXMATCH(TRIM(I6576), ""^\d+\s*min""), ""Unclassified"", IF(I6576 = """", ""NR"", I6576))"),"TV-PG")</f>
        <v>TV-PG</v>
      </c>
      <c r="R6576" s="5" t="str">
        <f t="shared" si="2"/>
        <v>De Film Van Dylan Haegens</v>
      </c>
      <c r="S6576" s="5" t="str">
        <f>IFERROR(__xludf.DUMMYFUNCTION("""COMPUTED_VALUE"""),"Stories By Rabindranath Tagore")</f>
        <v>Stories By Rabindranath Tagore</v>
      </c>
      <c r="V6576" s="5"/>
      <c r="Y6576" s="5" t="str">
        <f>IFERROR(__xludf.DUMMYFUNCTION("REGEXEXTRACT(J6576, ""^\d+"")"),"81")</f>
        <v>81</v>
      </c>
      <c r="Z6576" s="5" t="str">
        <f>IFERROR(__xludf.DUMMYFUNCTION("REGEXEXTRACT(J6576, ""[A-Za-z ]+$"")")," min")</f>
        <v> min</v>
      </c>
      <c r="AA6576" s="5" t="str">
        <f>IFERROR(__xludf.DUMMYFUNCTION("IF(REGEXMATCH(Z6576, ""Season""), ""TV Show"", ""Movie"")"),"Movie")</f>
        <v>Movie</v>
      </c>
    </row>
    <row r="6577">
      <c r="A6577" s="1" t="s">
        <v>32743</v>
      </c>
      <c r="B6577" s="1" t="s">
        <v>27</v>
      </c>
      <c r="C6577" s="1" t="s">
        <v>32744</v>
      </c>
      <c r="D6577" s="1" t="s">
        <v>16994</v>
      </c>
      <c r="E6577" s="1" t="s">
        <v>3763</v>
      </c>
      <c r="F6577" s="1" t="s">
        <v>30</v>
      </c>
      <c r="G6577" s="1" t="s">
        <v>23328</v>
      </c>
      <c r="H6577" s="1">
        <v>2015.0</v>
      </c>
      <c r="I6577" s="1" t="s">
        <v>378</v>
      </c>
      <c r="J6577" s="1" t="s">
        <v>297</v>
      </c>
      <c r="K6577" s="1" t="s">
        <v>34</v>
      </c>
      <c r="L6577" s="1" t="s">
        <v>32745</v>
      </c>
      <c r="M6577" s="2" t="s">
        <v>12</v>
      </c>
      <c r="N6577" s="4">
        <f t="shared" si="1"/>
        <v>43425</v>
      </c>
      <c r="O6577" s="5" t="str">
        <f>IFERROR(__xludf.DUMMYFUNCTION("IF(REGEXMATCH(TRIM(I6577), ""^\d+\s*min""), ""Unclassified"", IF(I6577 = """", ""NR"", I6577))"),"R")</f>
        <v>R</v>
      </c>
      <c r="R6577" s="5" t="str">
        <f t="shared" si="2"/>
        <v>De Palma</v>
      </c>
      <c r="S6577" s="5" t="str">
        <f>IFERROR(__xludf.DUMMYFUNCTION("""COMPUTED_VALUE"""),"Story Of An Egg")</f>
        <v>Story Of An Egg</v>
      </c>
      <c r="V6577" s="5"/>
      <c r="Y6577" s="5" t="str">
        <f>IFERROR(__xludf.DUMMYFUNCTION("REGEXEXTRACT(J6577, ""^\d+"")"),"110")</f>
        <v>110</v>
      </c>
      <c r="Z6577" s="5" t="str">
        <f>IFERROR(__xludf.DUMMYFUNCTION("REGEXEXTRACT(J6577, ""[A-Za-z ]+$"")")," min")</f>
        <v> min</v>
      </c>
      <c r="AA6577" s="5" t="str">
        <f>IFERROR(__xludf.DUMMYFUNCTION("IF(REGEXMATCH(Z6577, ""Season""), ""TV Show"", ""Movie"")"),"Movie")</f>
        <v>Movie</v>
      </c>
    </row>
    <row r="6578">
      <c r="A6578" s="1" t="s">
        <v>32746</v>
      </c>
      <c r="B6578" s="1" t="s">
        <v>27</v>
      </c>
      <c r="C6578" s="1" t="s">
        <v>32747</v>
      </c>
      <c r="D6578" s="1" t="s">
        <v>22690</v>
      </c>
      <c r="E6578" s="1" t="s">
        <v>32748</v>
      </c>
      <c r="F6578" s="1" t="s">
        <v>96</v>
      </c>
      <c r="G6578" s="1" t="s">
        <v>21838</v>
      </c>
      <c r="H6578" s="1">
        <v>2018.0</v>
      </c>
      <c r="I6578" s="1" t="s">
        <v>42</v>
      </c>
      <c r="J6578" s="1" t="s">
        <v>33</v>
      </c>
      <c r="K6578" s="1" t="s">
        <v>239</v>
      </c>
      <c r="L6578" s="1" t="s">
        <v>32749</v>
      </c>
      <c r="M6578" s="2" t="s">
        <v>12</v>
      </c>
      <c r="N6578" s="4">
        <f t="shared" si="1"/>
        <v>43525</v>
      </c>
      <c r="O6578" s="5" t="str">
        <f>IFERROR(__xludf.DUMMYFUNCTION("IF(REGEXMATCH(TRIM(I6578), ""^\d+\s*min""), ""Unclassified"", IF(I6578 = """", ""NR"", I6578))"),"TV-MA")</f>
        <v>TV-MA</v>
      </c>
      <c r="R6578" s="5" t="str">
        <f t="shared" si="2"/>
        <v>Dead In A Week (Or Your Money Back)</v>
      </c>
      <c r="S6578" s="5" t="str">
        <f>IFERROR(__xludf.DUMMYFUNCTION("""COMPUTED_VALUE"""),"Story Of Kale: When Someone'S In Love")</f>
        <v>Story Of Kale: When Someone'S In Love</v>
      </c>
      <c r="V6578" s="5"/>
      <c r="Y6578" s="5" t="str">
        <f>IFERROR(__xludf.DUMMYFUNCTION("REGEXEXTRACT(J6578, ""^\d+"")"),"90")</f>
        <v>90</v>
      </c>
      <c r="Z6578" s="5" t="str">
        <f>IFERROR(__xludf.DUMMYFUNCTION("REGEXEXTRACT(J6578, ""[A-Za-z ]+$"")")," min")</f>
        <v> min</v>
      </c>
      <c r="AA6578" s="5" t="str">
        <f>IFERROR(__xludf.DUMMYFUNCTION("IF(REGEXMATCH(Z6578, ""Season""), ""TV Show"", ""Movie"")"),"Movie")</f>
        <v>Movie</v>
      </c>
    </row>
    <row r="6579">
      <c r="A6579" s="1" t="s">
        <v>32750</v>
      </c>
      <c r="B6579" s="1" t="s">
        <v>27</v>
      </c>
      <c r="C6579" s="1" t="s">
        <v>32751</v>
      </c>
      <c r="D6579" s="1" t="s">
        <v>22202</v>
      </c>
      <c r="E6579" s="1" t="s">
        <v>32752</v>
      </c>
      <c r="F6579" s="1" t="s">
        <v>63</v>
      </c>
      <c r="G6579" s="1" t="s">
        <v>17078</v>
      </c>
      <c r="H6579" s="1">
        <v>2006.0</v>
      </c>
      <c r="I6579" s="1" t="s">
        <v>97</v>
      </c>
      <c r="J6579" s="1" t="s">
        <v>247</v>
      </c>
      <c r="K6579" s="1" t="s">
        <v>5380</v>
      </c>
      <c r="L6579" s="1" t="s">
        <v>32753</v>
      </c>
      <c r="M6579" s="2" t="s">
        <v>12</v>
      </c>
      <c r="N6579" s="4">
        <f t="shared" si="1"/>
        <v>43830</v>
      </c>
      <c r="O6579" s="5" t="str">
        <f>IFERROR(__xludf.DUMMYFUNCTION("IF(REGEXMATCH(TRIM(I6579), ""^\d+\s*min""), ""Unclassified"", IF(I6579 = """", ""NR"", I6579))"),"TV-14")</f>
        <v>TV-14</v>
      </c>
      <c r="R6579" s="5" t="str">
        <f t="shared" si="2"/>
        <v>Deadline: Sirf 24 Ghante</v>
      </c>
      <c r="S6579" s="5" t="str">
        <f>IFERROR(__xludf.DUMMYFUNCTION("""COMPUTED_VALUE"""),"Storybots Super Songs")</f>
        <v>Storybots Super Songs</v>
      </c>
      <c r="V6579" s="5"/>
      <c r="Y6579" s="5" t="str">
        <f>IFERROR(__xludf.DUMMYFUNCTION("REGEXEXTRACT(J6579, ""^\d+"")"),"97")</f>
        <v>97</v>
      </c>
      <c r="Z6579" s="5" t="str">
        <f>IFERROR(__xludf.DUMMYFUNCTION("REGEXEXTRACT(J6579, ""[A-Za-z ]+$"")")," min")</f>
        <v> min</v>
      </c>
      <c r="AA6579" s="5" t="str">
        <f>IFERROR(__xludf.DUMMYFUNCTION("IF(REGEXMATCH(Z6579, ""Season""), ""TV Show"", ""Movie"")"),"Movie")</f>
        <v>Movie</v>
      </c>
    </row>
    <row r="6580">
      <c r="A6580" s="1" t="s">
        <v>32754</v>
      </c>
      <c r="B6580" s="1" t="s">
        <v>27</v>
      </c>
      <c r="C6580" s="1" t="s">
        <v>32755</v>
      </c>
      <c r="D6580" s="1" t="s">
        <v>5692</v>
      </c>
      <c r="E6580" s="1" t="s">
        <v>32756</v>
      </c>
      <c r="F6580" s="1" t="s">
        <v>30</v>
      </c>
      <c r="G6580" s="1" t="s">
        <v>22059</v>
      </c>
      <c r="H6580" s="1">
        <v>2018.0</v>
      </c>
      <c r="I6580" s="1" t="s">
        <v>97</v>
      </c>
      <c r="J6580" s="1" t="s">
        <v>1144</v>
      </c>
      <c r="K6580" s="1" t="s">
        <v>394</v>
      </c>
      <c r="L6580" s="1" t="s">
        <v>32757</v>
      </c>
      <c r="M6580" s="2" t="s">
        <v>12</v>
      </c>
      <c r="N6580" s="4">
        <f t="shared" si="1"/>
        <v>43511</v>
      </c>
      <c r="O6580" s="5" t="str">
        <f>IFERROR(__xludf.DUMMYFUNCTION("IF(REGEXMATCH(TRIM(I6580), ""^\d+\s*min""), ""Unclassified"", IF(I6580 = """", ""NR"", I6580))"),"TV-14")</f>
        <v>TV-14</v>
      </c>
      <c r="R6580" s="5" t="str">
        <f t="shared" si="2"/>
        <v>Deadly Scholars</v>
      </c>
      <c r="S6580" s="5" t="str">
        <f>IFERROR(__xludf.DUMMYFUNCTION("""COMPUTED_VALUE"""),"Stowaway")</f>
        <v>Stowaway</v>
      </c>
      <c r="V6580" s="5"/>
      <c r="Y6580" s="5" t="str">
        <f>IFERROR(__xludf.DUMMYFUNCTION("REGEXEXTRACT(J6580, ""^\d+"")"),"86")</f>
        <v>86</v>
      </c>
      <c r="Z6580" s="5" t="str">
        <f>IFERROR(__xludf.DUMMYFUNCTION("REGEXEXTRACT(J6580, ""[A-Za-z ]+$"")")," min")</f>
        <v> min</v>
      </c>
      <c r="AA6580" s="5" t="str">
        <f>IFERROR(__xludf.DUMMYFUNCTION("IF(REGEXMATCH(Z6580, ""Season""), ""TV Show"", ""Movie"")"),"Movie")</f>
        <v>Movie</v>
      </c>
    </row>
    <row r="6581">
      <c r="A6581" s="1" t="s">
        <v>32758</v>
      </c>
      <c r="B6581" s="1" t="s">
        <v>27</v>
      </c>
      <c r="C6581" s="1" t="s">
        <v>32759</v>
      </c>
      <c r="D6581" s="1" t="s">
        <v>6310</v>
      </c>
      <c r="E6581" s="1" t="s">
        <v>32760</v>
      </c>
      <c r="F6581" s="1" t="s">
        <v>30</v>
      </c>
      <c r="G6581" s="1" t="s">
        <v>15712</v>
      </c>
      <c r="H6581" s="1">
        <v>2016.0</v>
      </c>
      <c r="I6581" s="1" t="s">
        <v>32</v>
      </c>
      <c r="J6581" s="1" t="s">
        <v>170</v>
      </c>
      <c r="K6581" s="1" t="s">
        <v>836</v>
      </c>
      <c r="L6581" s="1" t="s">
        <v>32761</v>
      </c>
      <c r="M6581" s="2" t="s">
        <v>12</v>
      </c>
      <c r="N6581" s="4">
        <f t="shared" si="1"/>
        <v>43905</v>
      </c>
      <c r="O6581" s="5" t="str">
        <f>IFERROR(__xludf.DUMMYFUNCTION("IF(REGEXMATCH(TRIM(I6581), ""^\d+\s*min""), ""Unclassified"", IF(I6581 = """", ""NR"", I6581))"),"PG-13")</f>
        <v>PG-13</v>
      </c>
      <c r="R6581" s="5" t="str">
        <f t="shared" si="2"/>
        <v>Dean</v>
      </c>
      <c r="S6581" s="5" t="str">
        <f>IFERROR(__xludf.DUMMYFUNCTION("""COMPUTED_VALUE"""),"Straight Up")</f>
        <v>Straight Up</v>
      </c>
      <c r="V6581" s="5"/>
      <c r="Y6581" s="5" t="str">
        <f>IFERROR(__xludf.DUMMYFUNCTION("REGEXEXTRACT(J6581, ""^\d+"")"),"94")</f>
        <v>94</v>
      </c>
      <c r="Z6581" s="5" t="str">
        <f>IFERROR(__xludf.DUMMYFUNCTION("REGEXEXTRACT(J6581, ""[A-Za-z ]+$"")")," min")</f>
        <v> min</v>
      </c>
      <c r="AA6581" s="5" t="str">
        <f>IFERROR(__xludf.DUMMYFUNCTION("IF(REGEXMATCH(Z6581, ""Season""), ""TV Show"", ""Movie"")"),"Movie")</f>
        <v>Movie</v>
      </c>
    </row>
    <row r="6582">
      <c r="A6582" s="1" t="s">
        <v>32762</v>
      </c>
      <c r="B6582" s="1" t="s">
        <v>27</v>
      </c>
      <c r="C6582" s="1" t="s">
        <v>32763</v>
      </c>
      <c r="D6582" s="1" t="s">
        <v>22186</v>
      </c>
      <c r="E6582" s="1" t="s">
        <v>32764</v>
      </c>
      <c r="F6582" s="1" t="s">
        <v>63</v>
      </c>
      <c r="G6582" s="1" t="s">
        <v>21824</v>
      </c>
      <c r="H6582" s="1">
        <v>2016.0</v>
      </c>
      <c r="I6582" s="1" t="s">
        <v>97</v>
      </c>
      <c r="J6582" s="1" t="s">
        <v>490</v>
      </c>
      <c r="K6582" s="1" t="s">
        <v>836</v>
      </c>
      <c r="L6582" s="1" t="s">
        <v>32765</v>
      </c>
      <c r="M6582" s="2" t="s">
        <v>12</v>
      </c>
      <c r="N6582" s="4">
        <f t="shared" si="1"/>
        <v>43526</v>
      </c>
      <c r="O6582" s="5" t="str">
        <f>IFERROR(__xludf.DUMMYFUNCTION("IF(REGEXMATCH(TRIM(I6582), ""^\d+\s*min""), ""Unclassified"", IF(I6582 = """", ""NR"", I6582))"),"TV-14")</f>
        <v>TV-14</v>
      </c>
      <c r="R6582" s="5" t="str">
        <f t="shared" si="2"/>
        <v>Dear Dad</v>
      </c>
      <c r="S6582" s="5" t="str">
        <f>IFERROR(__xludf.DUMMYFUNCTION("""COMPUTED_VALUE"""),"Strain")</f>
        <v>Strain</v>
      </c>
      <c r="V6582" s="5"/>
      <c r="Y6582" s="5" t="str">
        <f>IFERROR(__xludf.DUMMYFUNCTION("REGEXEXTRACT(J6582, ""^\d+"")"),"83")</f>
        <v>83</v>
      </c>
      <c r="Z6582" s="5" t="str">
        <f>IFERROR(__xludf.DUMMYFUNCTION("REGEXEXTRACT(J6582, ""[A-Za-z ]+$"")")," min")</f>
        <v> min</v>
      </c>
      <c r="AA6582" s="5" t="str">
        <f>IFERROR(__xludf.DUMMYFUNCTION("IF(REGEXMATCH(Z6582, ""Season""), ""TV Show"", ""Movie"")"),"Movie")</f>
        <v>Movie</v>
      </c>
    </row>
    <row r="6583">
      <c r="A6583" s="1" t="s">
        <v>32766</v>
      </c>
      <c r="B6583" s="1" t="s">
        <v>27</v>
      </c>
      <c r="C6583" s="1" t="s">
        <v>32767</v>
      </c>
      <c r="D6583" s="1" t="s">
        <v>4332</v>
      </c>
      <c r="E6583" s="1" t="s">
        <v>32768</v>
      </c>
      <c r="F6583" s="1" t="s">
        <v>30</v>
      </c>
      <c r="G6583" s="1" t="s">
        <v>30685</v>
      </c>
      <c r="H6583" s="1">
        <v>2012.0</v>
      </c>
      <c r="I6583" s="1" t="s">
        <v>32769</v>
      </c>
      <c r="J6583" s="1" t="s">
        <v>32770</v>
      </c>
      <c r="K6583" s="1" t="s">
        <v>137</v>
      </c>
      <c r="L6583" s="1" t="s">
        <v>32771</v>
      </c>
      <c r="M6583" s="2" t="s">
        <v>12</v>
      </c>
      <c r="N6583" s="4">
        <f t="shared" si="1"/>
        <v>42418</v>
      </c>
      <c r="O6583" s="5" t="str">
        <f>IFERROR(__xludf.DUMMYFUNCTION("IF(REGEXMATCH(TRIM(I6583), ""^\d+\s*min""), ""Unclassified"", IF(I6583 = """", ""NR"", I6583))"),"TV-Y7-FV")</f>
        <v>TV-Y7-FV</v>
      </c>
      <c r="R6583" s="5" t="str">
        <f t="shared" si="2"/>
        <v>Dear Dracula</v>
      </c>
      <c r="S6583" s="5" t="str">
        <f>IFERROR(__xludf.DUMMYFUNCTION("""COMPUTED_VALUE"""),"Strange But True")</f>
        <v>Strange But True</v>
      </c>
      <c r="V6583" s="5"/>
      <c r="Y6583" s="5" t="str">
        <f>IFERROR(__xludf.DUMMYFUNCTION("REGEXEXTRACT(J6583, ""^\d+"")"),"43")</f>
        <v>43</v>
      </c>
      <c r="Z6583" s="5" t="str">
        <f>IFERROR(__xludf.DUMMYFUNCTION("REGEXEXTRACT(J6583, ""[A-Za-z ]+$"")")," min")</f>
        <v> min</v>
      </c>
      <c r="AA6583" s="5" t="str">
        <f>IFERROR(__xludf.DUMMYFUNCTION("IF(REGEXMATCH(Z6583, ""Season""), ""TV Show"", ""Movie"")"),"Movie")</f>
        <v>Movie</v>
      </c>
    </row>
    <row r="6584">
      <c r="A6584" s="1" t="s">
        <v>32772</v>
      </c>
      <c r="B6584" s="1" t="s">
        <v>27</v>
      </c>
      <c r="C6584" s="1" t="s">
        <v>32773</v>
      </c>
      <c r="D6584" s="1" t="s">
        <v>10288</v>
      </c>
      <c r="E6584" s="1" t="s">
        <v>32774</v>
      </c>
      <c r="F6584" s="1" t="s">
        <v>1106</v>
      </c>
      <c r="G6584" s="1" t="s">
        <v>18253</v>
      </c>
      <c r="H6584" s="1">
        <v>2011.0</v>
      </c>
      <c r="I6584" s="1" t="s">
        <v>136</v>
      </c>
      <c r="J6584" s="1" t="s">
        <v>665</v>
      </c>
      <c r="K6584" s="1" t="s">
        <v>813</v>
      </c>
      <c r="L6584" s="1" t="s">
        <v>32775</v>
      </c>
      <c r="M6584" s="2" t="s">
        <v>12</v>
      </c>
      <c r="N6584" s="4">
        <f t="shared" si="1"/>
        <v>43773</v>
      </c>
      <c r="O6584" s="5" t="str">
        <f>IFERROR(__xludf.DUMMYFUNCTION("IF(REGEXMATCH(TRIM(I6584), ""^\d+\s*min""), ""Unclassified"", IF(I6584 = """", ""NR"", I6584))"),"TV-PG")</f>
        <v>TV-PG</v>
      </c>
      <c r="R6584" s="5" t="str">
        <f t="shared" si="2"/>
        <v>Dear Santa</v>
      </c>
      <c r="S6584" s="5" t="str">
        <f>IFERROR(__xludf.DUMMYFUNCTION("""COMPUTED_VALUE"""),"Strange Voices")</f>
        <v>Strange Voices</v>
      </c>
      <c r="V6584" s="5"/>
      <c r="Y6584" s="5" t="str">
        <f>IFERROR(__xludf.DUMMYFUNCTION("REGEXEXTRACT(J6584, ""^\d+"")"),"92")</f>
        <v>92</v>
      </c>
      <c r="Z6584" s="5" t="str">
        <f>IFERROR(__xludf.DUMMYFUNCTION("REGEXEXTRACT(J6584, ""[A-Za-z ]+$"")")," min")</f>
        <v> min</v>
      </c>
      <c r="AA6584" s="5" t="str">
        <f>IFERROR(__xludf.DUMMYFUNCTION("IF(REGEXMATCH(Z6584, ""Season""), ""TV Show"", ""Movie"")"),"Movie")</f>
        <v>Movie</v>
      </c>
    </row>
    <row r="6585">
      <c r="A6585" s="1" t="s">
        <v>32776</v>
      </c>
      <c r="B6585" s="1" t="s">
        <v>27</v>
      </c>
      <c r="C6585" s="1" t="s">
        <v>32777</v>
      </c>
      <c r="D6585" s="1" t="s">
        <v>32778</v>
      </c>
      <c r="E6585" s="1" t="s">
        <v>32779</v>
      </c>
      <c r="F6585" s="1" t="s">
        <v>30</v>
      </c>
      <c r="G6585" s="1" t="s">
        <v>12382</v>
      </c>
      <c r="H6585" s="1">
        <v>2010.0</v>
      </c>
      <c r="I6585" s="1" t="s">
        <v>378</v>
      </c>
      <c r="J6585" s="1" t="s">
        <v>454</v>
      </c>
      <c r="K6585" s="1" t="s">
        <v>239</v>
      </c>
      <c r="L6585" s="1" t="s">
        <v>32780</v>
      </c>
      <c r="M6585" s="2" t="s">
        <v>12</v>
      </c>
      <c r="N6585" s="4">
        <f t="shared" si="1"/>
        <v>44044</v>
      </c>
      <c r="O6585" s="5" t="str">
        <f>IFERROR(__xludf.DUMMYFUNCTION("IF(REGEXMATCH(TRIM(I6585), ""^\d+\s*min""), ""Unclassified"", IF(I6585 = """", ""NR"", I6585))"),"R")</f>
        <v>R</v>
      </c>
      <c r="R6585" s="5" t="str">
        <f t="shared" si="2"/>
        <v>Death At A Funeral</v>
      </c>
      <c r="S6585" s="5" t="str">
        <f>IFERROR(__xludf.DUMMYFUNCTION("""COMPUTED_VALUE"""),"Strange Weather")</f>
        <v>Strange Weather</v>
      </c>
      <c r="V6585" s="5"/>
      <c r="Y6585" s="5" t="str">
        <f>IFERROR(__xludf.DUMMYFUNCTION("REGEXEXTRACT(J6585, ""^\d+"")"),"93")</f>
        <v>93</v>
      </c>
      <c r="Z6585" s="5" t="str">
        <f>IFERROR(__xludf.DUMMYFUNCTION("REGEXEXTRACT(J6585, ""[A-Za-z ]+$"")")," min")</f>
        <v> min</v>
      </c>
      <c r="AA6585" s="5" t="str">
        <f>IFERROR(__xludf.DUMMYFUNCTION("IF(REGEXMATCH(Z6585, ""Season""), ""TV Show"", ""Movie"")"),"Movie")</f>
        <v>Movie</v>
      </c>
    </row>
    <row r="6586">
      <c r="A6586" s="1" t="s">
        <v>32781</v>
      </c>
      <c r="B6586" s="1" t="s">
        <v>27</v>
      </c>
      <c r="C6586" s="1" t="s">
        <v>32782</v>
      </c>
      <c r="D6586" s="1" t="s">
        <v>9074</v>
      </c>
      <c r="E6586" s="1" t="s">
        <v>32783</v>
      </c>
      <c r="F6586" s="1" t="s">
        <v>30</v>
      </c>
      <c r="G6586" s="7">
        <v>43590.0</v>
      </c>
      <c r="H6586" s="1">
        <v>2017.0</v>
      </c>
      <c r="I6586" s="1" t="s">
        <v>378</v>
      </c>
      <c r="J6586" s="1" t="s">
        <v>428</v>
      </c>
      <c r="K6586" s="1" t="s">
        <v>1551</v>
      </c>
      <c r="L6586" s="1" t="s">
        <v>32784</v>
      </c>
      <c r="M6586" s="2" t="s">
        <v>12</v>
      </c>
      <c r="N6586" s="4">
        <f t="shared" si="1"/>
        <v>43590</v>
      </c>
      <c r="O6586" s="5" t="str">
        <f>IFERROR(__xludf.DUMMYFUNCTION("IF(REGEXMATCH(TRIM(I6586), ""^\d+\s*min""), ""Unclassified"", IF(I6586 = """", ""NR"", I6586))"),"R")</f>
        <v>R</v>
      </c>
      <c r="R6586" s="5" t="str">
        <f t="shared" si="2"/>
        <v>Death House</v>
      </c>
      <c r="S6586" s="5" t="str">
        <f>IFERROR(__xludf.DUMMYFUNCTION("""COMPUTED_VALUE"""),"Stranger")</f>
        <v>Stranger</v>
      </c>
      <c r="V6586" s="5"/>
      <c r="Y6586" s="5" t="str">
        <f>IFERROR(__xludf.DUMMYFUNCTION("REGEXEXTRACT(J6586, ""^\d+"")"),"88")</f>
        <v>88</v>
      </c>
      <c r="Z6586" s="5" t="str">
        <f>IFERROR(__xludf.DUMMYFUNCTION("REGEXEXTRACT(J6586, ""[A-Za-z ]+$"")")," min")</f>
        <v> min</v>
      </c>
      <c r="AA6586" s="5" t="str">
        <f>IFERROR(__xludf.DUMMYFUNCTION("IF(REGEXMATCH(Z6586, ""Season""), ""TV Show"", ""Movie"")"),"Movie")</f>
        <v>Movie</v>
      </c>
    </row>
    <row r="6587">
      <c r="A6587" s="1" t="s">
        <v>32785</v>
      </c>
      <c r="B6587" s="1" t="s">
        <v>27</v>
      </c>
      <c r="C6587" s="1" t="s">
        <v>32786</v>
      </c>
      <c r="D6587" s="1" t="s">
        <v>5071</v>
      </c>
      <c r="E6587" s="1" t="s">
        <v>32787</v>
      </c>
      <c r="F6587" s="1" t="s">
        <v>96</v>
      </c>
      <c r="G6587" s="1" t="s">
        <v>26089</v>
      </c>
      <c r="H6587" s="1">
        <v>2017.0</v>
      </c>
      <c r="I6587" s="1" t="s">
        <v>42</v>
      </c>
      <c r="J6587" s="1" t="s">
        <v>8606</v>
      </c>
      <c r="K6587" s="1" t="s">
        <v>32788</v>
      </c>
      <c r="L6587" s="1" t="s">
        <v>32789</v>
      </c>
      <c r="M6587" s="2" t="s">
        <v>12</v>
      </c>
      <c r="N6587" s="4">
        <f t="shared" si="1"/>
        <v>43160</v>
      </c>
      <c r="O6587" s="5" t="str">
        <f>IFERROR(__xludf.DUMMYFUNCTION("IF(REGEXMATCH(TRIM(I6587), ""^\d+\s*min""), ""Unclassified"", IF(I6587 = """", ""NR"", I6587))"),"TV-MA")</f>
        <v>TV-MA</v>
      </c>
      <c r="R6587" s="5" t="str">
        <f t="shared" si="2"/>
        <v>Deathgrip</v>
      </c>
      <c r="S6587" s="5" t="str">
        <f>IFERROR(__xludf.DUMMYFUNCTION("""COMPUTED_VALUE"""),"Stranger Than Fiction")</f>
        <v>Stranger Than Fiction</v>
      </c>
      <c r="V6587" s="5"/>
      <c r="Y6587" s="5" t="str">
        <f>IFERROR(__xludf.DUMMYFUNCTION("REGEXEXTRACT(J6587, ""^\d+"")"),"53")</f>
        <v>53</v>
      </c>
      <c r="Z6587" s="5" t="str">
        <f>IFERROR(__xludf.DUMMYFUNCTION("REGEXEXTRACT(J6587, ""[A-Za-z ]+$"")")," min")</f>
        <v> min</v>
      </c>
      <c r="AA6587" s="5" t="str">
        <f>IFERROR(__xludf.DUMMYFUNCTION("IF(REGEXMATCH(Z6587, ""Season""), ""TV Show"", ""Movie"")"),"Movie")</f>
        <v>Movie</v>
      </c>
    </row>
    <row r="6588">
      <c r="A6588" s="1" t="s">
        <v>32790</v>
      </c>
      <c r="B6588" s="1" t="s">
        <v>37</v>
      </c>
      <c r="C6588" s="1" t="s">
        <v>32791</v>
      </c>
      <c r="E6588" s="1" t="s">
        <v>32792</v>
      </c>
      <c r="F6588" s="1" t="s">
        <v>30</v>
      </c>
      <c r="G6588" s="1" t="s">
        <v>25047</v>
      </c>
      <c r="H6588" s="1">
        <v>2017.0</v>
      </c>
      <c r="I6588" s="1" t="s">
        <v>42</v>
      </c>
      <c r="J6588" s="1" t="s">
        <v>276</v>
      </c>
      <c r="K6588" s="1" t="s">
        <v>2043</v>
      </c>
      <c r="L6588" s="1" t="s">
        <v>32793</v>
      </c>
      <c r="M6588" s="2" t="s">
        <v>12</v>
      </c>
      <c r="N6588" s="4">
        <f t="shared" si="1"/>
        <v>43301</v>
      </c>
      <c r="O6588" s="5" t="str">
        <f>IFERROR(__xludf.DUMMYFUNCTION("IF(REGEXMATCH(TRIM(I6588), ""^\d+\s*min""), ""Unclassified"", IF(I6588 = """", ""NR"", I6588))"),"TV-MA")</f>
        <v>TV-MA</v>
      </c>
      <c r="R6588" s="5" t="str">
        <f t="shared" si="2"/>
        <v>Deep Undercover Collection</v>
      </c>
      <c r="S6588" s="5" t="str">
        <f>IFERROR(__xludf.DUMMYFUNCTION("""COMPUTED_VALUE"""),"Stranger Things")</f>
        <v>Stranger Things</v>
      </c>
      <c r="V6588" s="5"/>
      <c r="Y6588" s="5" t="str">
        <f>IFERROR(__xludf.DUMMYFUNCTION("REGEXEXTRACT(J6588, ""^\d+"")"),"3")</f>
        <v>3</v>
      </c>
      <c r="Z6588" s="5" t="str">
        <f>IFERROR(__xludf.DUMMYFUNCTION("REGEXEXTRACT(J6588, ""[A-Za-z ]+$"")")," Seasons")</f>
        <v> Seasons</v>
      </c>
      <c r="AA6588" s="5" t="str">
        <f>IFERROR(__xludf.DUMMYFUNCTION("IF(REGEXMATCH(Z6588, ""Season""), ""TV Show"", ""Movie"")"),"TV Show")</f>
        <v>TV Show</v>
      </c>
    </row>
    <row r="6589">
      <c r="A6589" s="1" t="s">
        <v>32794</v>
      </c>
      <c r="B6589" s="1" t="s">
        <v>37</v>
      </c>
      <c r="C6589" s="1" t="s">
        <v>32795</v>
      </c>
      <c r="E6589" s="1" t="s">
        <v>32796</v>
      </c>
      <c r="F6589" s="1" t="s">
        <v>221</v>
      </c>
      <c r="G6589" s="1" t="s">
        <v>27735</v>
      </c>
      <c r="H6589" s="1">
        <v>2016.0</v>
      </c>
      <c r="I6589" s="1" t="s">
        <v>42</v>
      </c>
      <c r="J6589" s="1" t="s">
        <v>51</v>
      </c>
      <c r="K6589" s="1" t="s">
        <v>1362</v>
      </c>
      <c r="L6589" s="1" t="s">
        <v>32797</v>
      </c>
      <c r="M6589" s="2" t="s">
        <v>12</v>
      </c>
      <c r="N6589" s="4">
        <f t="shared" si="1"/>
        <v>42917</v>
      </c>
      <c r="O6589" s="5" t="str">
        <f>IFERROR(__xludf.DUMMYFUNCTION("IF(REGEXMATCH(TRIM(I6589), ""^\d+\s*min""), ""Unclassified"", IF(I6589 = """", ""NR"", I6589))"),"TV-MA")</f>
        <v>TV-MA</v>
      </c>
      <c r="R6589" s="5" t="str">
        <f t="shared" si="2"/>
        <v>Deep Water</v>
      </c>
      <c r="S6589" s="5" t="str">
        <f>IFERROR(__xludf.DUMMYFUNCTION("""COMPUTED_VALUE"""),"Strangers From Hell")</f>
        <v>Strangers From Hell</v>
      </c>
      <c r="V6589" s="5"/>
      <c r="Y6589" s="5" t="str">
        <f>IFERROR(__xludf.DUMMYFUNCTION("REGEXEXTRACT(J6589, ""^\d+"")"),"1")</f>
        <v>1</v>
      </c>
      <c r="Z6589" s="5" t="str">
        <f>IFERROR(__xludf.DUMMYFUNCTION("REGEXEXTRACT(J6589, ""[A-Za-z ]+$"")")," Season")</f>
        <v> Season</v>
      </c>
      <c r="AA6589" s="5" t="str">
        <f>IFERROR(__xludf.DUMMYFUNCTION("IF(REGEXMATCH(Z6589, ""Season""), ""TV Show"", ""Movie"")"),"TV Show")</f>
        <v>TV Show</v>
      </c>
    </row>
    <row r="6590">
      <c r="A6590" s="1" t="s">
        <v>32798</v>
      </c>
      <c r="B6590" s="1" t="s">
        <v>27</v>
      </c>
      <c r="C6590" s="1" t="s">
        <v>32799</v>
      </c>
      <c r="D6590" s="1" t="s">
        <v>2039</v>
      </c>
      <c r="E6590" s="1" t="s">
        <v>32800</v>
      </c>
      <c r="F6590" s="1" t="s">
        <v>63</v>
      </c>
      <c r="G6590" s="1" t="s">
        <v>16922</v>
      </c>
      <c r="H6590" s="1">
        <v>2002.0</v>
      </c>
      <c r="I6590" s="1" t="s">
        <v>42</v>
      </c>
      <c r="J6590" s="1" t="s">
        <v>1235</v>
      </c>
      <c r="K6590" s="1" t="s">
        <v>631</v>
      </c>
      <c r="L6590" s="1" t="s">
        <v>32801</v>
      </c>
      <c r="M6590" s="2" t="s">
        <v>12</v>
      </c>
      <c r="N6590" s="4">
        <f t="shared" si="1"/>
        <v>43833</v>
      </c>
      <c r="O6590" s="5" t="str">
        <f>IFERROR(__xludf.DUMMYFUNCTION("IF(REGEXMATCH(TRIM(I6590), ""^\d+\s*min""), ""Unclassified"", IF(I6590 = """", ""NR"", I6590))"),"TV-MA")</f>
        <v>TV-MA</v>
      </c>
      <c r="R6590" s="5" t="str">
        <f t="shared" si="2"/>
        <v>Deewangee</v>
      </c>
      <c r="S6590" s="5" t="str">
        <f>IFERROR(__xludf.DUMMYFUNCTION("""COMPUTED_VALUE"""),"Strawberry Shortcake: Berry Bitty Adventures")</f>
        <v>Strawberry Shortcake: Berry Bitty Adventures</v>
      </c>
      <c r="V6590" s="5"/>
      <c r="Y6590" s="5" t="str">
        <f>IFERROR(__xludf.DUMMYFUNCTION("REGEXEXTRACT(J6590, ""^\d+"")"),"156")</f>
        <v>156</v>
      </c>
      <c r="Z6590" s="5" t="str">
        <f>IFERROR(__xludf.DUMMYFUNCTION("REGEXEXTRACT(J6590, ""[A-Za-z ]+$"")")," min")</f>
        <v> min</v>
      </c>
      <c r="AA6590" s="5" t="str">
        <f>IFERROR(__xludf.DUMMYFUNCTION("IF(REGEXMATCH(Z6590, ""Season""), ""TV Show"", ""Movie"")"),"Movie")</f>
        <v>Movie</v>
      </c>
    </row>
    <row r="6591">
      <c r="A6591" s="1" t="s">
        <v>32802</v>
      </c>
      <c r="B6591" s="1" t="s">
        <v>27</v>
      </c>
      <c r="C6591" s="1" t="s">
        <v>32803</v>
      </c>
      <c r="D6591" s="1" t="s">
        <v>12695</v>
      </c>
      <c r="E6591" s="1" t="s">
        <v>32804</v>
      </c>
      <c r="F6591" s="1" t="s">
        <v>30</v>
      </c>
      <c r="G6591" s="7">
        <v>42856.0</v>
      </c>
      <c r="H6591" s="1">
        <v>2016.0</v>
      </c>
      <c r="I6591" s="1" t="s">
        <v>97</v>
      </c>
      <c r="J6591" s="1" t="s">
        <v>6391</v>
      </c>
      <c r="K6591" s="1" t="s">
        <v>34</v>
      </c>
      <c r="L6591" s="1" t="s">
        <v>32805</v>
      </c>
      <c r="M6591" s="2" t="s">
        <v>12</v>
      </c>
      <c r="N6591" s="4">
        <f t="shared" si="1"/>
        <v>42856</v>
      </c>
      <c r="O6591" s="5" t="str">
        <f>IFERROR(__xludf.DUMMYFUNCTION("IF(REGEXMATCH(TRIM(I6591), ""^\d+\s*min""), ""Unclassified"", IF(I6591 = """", ""NR"", I6591))"),"TV-14")</f>
        <v>TV-14</v>
      </c>
      <c r="R6591" s="5" t="str">
        <f t="shared" si="2"/>
        <v>Defying The Nazis: The Sharps' War</v>
      </c>
      <c r="S6591" s="5" t="str">
        <f>IFERROR(__xludf.DUMMYFUNCTION("""COMPUTED_VALUE"""),"Stray Bullet")</f>
        <v>Stray Bullet</v>
      </c>
      <c r="V6591" s="5"/>
      <c r="Y6591" s="5" t="str">
        <f>IFERROR(__xludf.DUMMYFUNCTION("REGEXEXTRACT(J6591, ""^\d+"")"),"79")</f>
        <v>79</v>
      </c>
      <c r="Z6591" s="5" t="str">
        <f>IFERROR(__xludf.DUMMYFUNCTION("REGEXEXTRACT(J6591, ""[A-Za-z ]+$"")")," min")</f>
        <v> min</v>
      </c>
      <c r="AA6591" s="5" t="str">
        <f>IFERROR(__xludf.DUMMYFUNCTION("IF(REGEXMATCH(Z6591, ""Season""), ""TV Show"", ""Movie"")"),"Movie")</f>
        <v>Movie</v>
      </c>
    </row>
    <row r="6592">
      <c r="A6592" s="1" t="s">
        <v>32806</v>
      </c>
      <c r="B6592" s="1" t="s">
        <v>27</v>
      </c>
      <c r="C6592" s="1" t="s">
        <v>32807</v>
      </c>
      <c r="D6592" s="1" t="s">
        <v>6352</v>
      </c>
      <c r="E6592" s="1" t="s">
        <v>32808</v>
      </c>
      <c r="F6592" s="1" t="s">
        <v>30</v>
      </c>
      <c r="G6592" s="1" t="s">
        <v>24649</v>
      </c>
      <c r="H6592" s="1">
        <v>2018.0</v>
      </c>
      <c r="I6592" s="1" t="s">
        <v>378</v>
      </c>
      <c r="J6592" s="1" t="s">
        <v>322</v>
      </c>
      <c r="K6592" s="1" t="s">
        <v>3768</v>
      </c>
      <c r="L6592" s="1" t="s">
        <v>32809</v>
      </c>
      <c r="M6592" s="2" t="s">
        <v>12</v>
      </c>
      <c r="N6592" s="4">
        <f t="shared" si="1"/>
        <v>43344</v>
      </c>
      <c r="O6592" s="5" t="str">
        <f>IFERROR(__xludf.DUMMYFUNCTION("IF(REGEXMATCH(TRIM(I6592), ""^\d+\s*min""), ""Unclassified"", IF(I6592 = """", ""NR"", I6592))"),"R")</f>
        <v>R</v>
      </c>
      <c r="R6592" s="5" t="str">
        <f t="shared" si="2"/>
        <v>Delirium</v>
      </c>
      <c r="S6592" s="5" t="str">
        <f>IFERROR(__xludf.DUMMYFUNCTION("""COMPUTED_VALUE"""),"Stree")</f>
        <v>Stree</v>
      </c>
      <c r="V6592" s="5"/>
      <c r="Y6592" s="5" t="str">
        <f>IFERROR(__xludf.DUMMYFUNCTION("REGEXEXTRACT(J6592, ""^\d+"")"),"96")</f>
        <v>96</v>
      </c>
      <c r="Z6592" s="5" t="str">
        <f>IFERROR(__xludf.DUMMYFUNCTION("REGEXEXTRACT(J6592, ""[A-Za-z ]+$"")")," min")</f>
        <v> min</v>
      </c>
      <c r="AA6592" s="5" t="str">
        <f>IFERROR(__xludf.DUMMYFUNCTION("IF(REGEXMATCH(Z6592, ""Season""), ""TV Show"", ""Movie"")"),"Movie")</f>
        <v>Movie</v>
      </c>
    </row>
    <row r="6593">
      <c r="A6593" s="1" t="s">
        <v>32810</v>
      </c>
      <c r="B6593" s="1" t="s">
        <v>27</v>
      </c>
      <c r="C6593" s="1" t="s">
        <v>32811</v>
      </c>
      <c r="D6593" s="1" t="s">
        <v>4098</v>
      </c>
      <c r="F6593" s="1" t="s">
        <v>32812</v>
      </c>
      <c r="G6593" s="1" t="s">
        <v>32813</v>
      </c>
      <c r="H6593" s="1">
        <v>2014.0</v>
      </c>
      <c r="I6593" s="1" t="s">
        <v>30231</v>
      </c>
      <c r="J6593" s="1" t="s">
        <v>416</v>
      </c>
      <c r="K6593" s="1" t="s">
        <v>156</v>
      </c>
      <c r="L6593" s="1" t="s">
        <v>32814</v>
      </c>
      <c r="M6593" s="2" t="s">
        <v>12</v>
      </c>
      <c r="N6593" s="4">
        <f t="shared" si="1"/>
        <v>42485</v>
      </c>
      <c r="O6593" s="5" t="str">
        <f>IFERROR(__xludf.DUMMYFUNCTION("IF(REGEXMATCH(TRIM(I6593), ""^\d+\s*min""), ""Unclassified"", IF(I6593 = """", ""NR"", I6593))"),"NR")</f>
        <v>NR</v>
      </c>
      <c r="R6593" s="5" t="str">
        <f t="shared" si="2"/>
        <v>Democrats</v>
      </c>
      <c r="S6593" s="5" t="str">
        <f>IFERROR(__xludf.DUMMYFUNCTION("""COMPUTED_VALUE"""),"Street Flow")</f>
        <v>Street Flow</v>
      </c>
      <c r="V6593" s="5"/>
      <c r="Y6593" s="5" t="str">
        <f>IFERROR(__xludf.DUMMYFUNCTION("REGEXEXTRACT(J6593, ""^\d+"")"),"99")</f>
        <v>99</v>
      </c>
      <c r="Z6593" s="5" t="str">
        <f>IFERROR(__xludf.DUMMYFUNCTION("REGEXEXTRACT(J6593, ""[A-Za-z ]+$"")")," min")</f>
        <v> min</v>
      </c>
      <c r="AA6593" s="5" t="str">
        <f>IFERROR(__xludf.DUMMYFUNCTION("IF(REGEXMATCH(Z6593, ""Season""), ""TV Show"", ""Movie"")"),"Movie")</f>
        <v>Movie</v>
      </c>
    </row>
    <row r="6594">
      <c r="A6594" s="1" t="s">
        <v>32815</v>
      </c>
      <c r="B6594" s="1" t="s">
        <v>27</v>
      </c>
      <c r="C6594" s="1" t="s">
        <v>32816</v>
      </c>
      <c r="D6594" s="1" t="s">
        <v>4885</v>
      </c>
      <c r="E6594" s="1" t="s">
        <v>32817</v>
      </c>
      <c r="F6594" s="1" t="s">
        <v>30</v>
      </c>
      <c r="G6594" s="7">
        <v>43952.0</v>
      </c>
      <c r="H6594" s="1">
        <v>2018.0</v>
      </c>
      <c r="I6594" s="1" t="s">
        <v>378</v>
      </c>
      <c r="J6594" s="1" t="s">
        <v>1704</v>
      </c>
      <c r="K6594" s="1" t="s">
        <v>380</v>
      </c>
      <c r="L6594" s="1" t="s">
        <v>32818</v>
      </c>
      <c r="M6594" s="2" t="s">
        <v>12</v>
      </c>
      <c r="N6594" s="4">
        <f t="shared" si="1"/>
        <v>43952</v>
      </c>
      <c r="O6594" s="5" t="str">
        <f>IFERROR(__xludf.DUMMYFUNCTION("IF(REGEXMATCH(TRIM(I6594), ""^\d+\s*min""), ""Unclassified"", IF(I6594 = """", ""NR"", I6594))"),"R")</f>
        <v>R</v>
      </c>
      <c r="R6594" s="5" t="str">
        <f t="shared" si="2"/>
        <v>Den Of Thieves</v>
      </c>
      <c r="S6594" s="5" t="str">
        <f>IFERROR(__xludf.DUMMYFUNCTION("""COMPUTED_VALUE"""),"Street Food")</f>
        <v>Street Food</v>
      </c>
      <c r="V6594" s="5"/>
      <c r="Y6594" s="5" t="str">
        <f>IFERROR(__xludf.DUMMYFUNCTION("REGEXEXTRACT(J6594, ""^\d+"")"),"140")</f>
        <v>140</v>
      </c>
      <c r="Z6594" s="5" t="str">
        <f>IFERROR(__xludf.DUMMYFUNCTION("REGEXEXTRACT(J6594, ""[A-Za-z ]+$"")")," min")</f>
        <v> min</v>
      </c>
      <c r="AA6594" s="5" t="str">
        <f>IFERROR(__xludf.DUMMYFUNCTION("IF(REGEXMATCH(Z6594, ""Season""), ""TV Show"", ""Movie"")"),"Movie")</f>
        <v>Movie</v>
      </c>
    </row>
    <row r="6595">
      <c r="A6595" s="1" t="s">
        <v>32819</v>
      </c>
      <c r="B6595" s="1" t="s">
        <v>27</v>
      </c>
      <c r="C6595" s="1" t="s">
        <v>32820</v>
      </c>
      <c r="D6595" s="1" t="s">
        <v>22275</v>
      </c>
      <c r="E6595" s="1" t="s">
        <v>32821</v>
      </c>
      <c r="F6595" s="1" t="s">
        <v>30</v>
      </c>
      <c r="G6595" s="1" t="s">
        <v>32822</v>
      </c>
      <c r="H6595" s="1">
        <v>1992.0</v>
      </c>
      <c r="I6595" s="1" t="s">
        <v>378</v>
      </c>
      <c r="J6595" s="1" t="s">
        <v>2670</v>
      </c>
      <c r="K6595" s="1" t="s">
        <v>1839</v>
      </c>
      <c r="L6595" s="1" t="s">
        <v>32823</v>
      </c>
      <c r="M6595" s="2" t="s">
        <v>12</v>
      </c>
      <c r="N6595" s="4">
        <f t="shared" si="1"/>
        <v>42955</v>
      </c>
      <c r="O6595" s="5" t="str">
        <f>IFERROR(__xludf.DUMMYFUNCTION("IF(REGEXMATCH(TRIM(I6595), ""^\d+\s*min""), ""Unclassified"", IF(I6595 = """", ""NR"", I6595))"),"R")</f>
        <v>R</v>
      </c>
      <c r="R6595" s="5" t="str">
        <f t="shared" si="2"/>
        <v>Denis Leary: No Cure For Cancer</v>
      </c>
      <c r="S6595" s="5" t="str">
        <f>IFERROR(__xludf.DUMMYFUNCTION("""COMPUTED_VALUE"""),"Street Food: Latin America")</f>
        <v>Street Food: Latin America</v>
      </c>
      <c r="V6595" s="5"/>
      <c r="Y6595" s="5" t="str">
        <f>IFERROR(__xludf.DUMMYFUNCTION("REGEXEXTRACT(J6595, ""^\d+"")"),"62")</f>
        <v>62</v>
      </c>
      <c r="Z6595" s="5" t="str">
        <f>IFERROR(__xludf.DUMMYFUNCTION("REGEXEXTRACT(J6595, ""[A-Za-z ]+$"")")," min")</f>
        <v> min</v>
      </c>
      <c r="AA6595" s="5" t="str">
        <f>IFERROR(__xludf.DUMMYFUNCTION("IF(REGEXMATCH(Z6595, ""Season""), ""TV Show"", ""Movie"")"),"Movie")</f>
        <v>Movie</v>
      </c>
    </row>
    <row r="6596">
      <c r="A6596" s="1" t="s">
        <v>32824</v>
      </c>
      <c r="B6596" s="1" t="s">
        <v>27</v>
      </c>
      <c r="C6596" s="1" t="s">
        <v>32825</v>
      </c>
      <c r="D6596" s="1" t="s">
        <v>7961</v>
      </c>
      <c r="E6596" s="1" t="s">
        <v>32826</v>
      </c>
      <c r="G6596" s="1" t="s">
        <v>16401</v>
      </c>
      <c r="H6596" s="1">
        <v>2018.0</v>
      </c>
      <c r="I6596" s="1" t="s">
        <v>42</v>
      </c>
      <c r="J6596" s="1" t="s">
        <v>428</v>
      </c>
      <c r="K6596" s="1" t="s">
        <v>394</v>
      </c>
      <c r="L6596" s="1" t="s">
        <v>32827</v>
      </c>
      <c r="M6596" s="2" t="s">
        <v>12</v>
      </c>
      <c r="N6596" s="4">
        <f t="shared" si="1"/>
        <v>43867</v>
      </c>
      <c r="O6596" s="5" t="str">
        <f>IFERROR(__xludf.DUMMYFUNCTION("IF(REGEXMATCH(TRIM(I6596), ""^\d+\s*min""), ""Unclassified"", IF(I6596 = """", ""NR"", I6596))"),"TV-MA")</f>
        <v>TV-MA</v>
      </c>
      <c r="R6596" s="5" t="str">
        <f t="shared" si="2"/>
        <v>Desolate</v>
      </c>
      <c r="S6596" s="5" t="str">
        <f>IFERROR(__xludf.DUMMYFUNCTION("""COMPUTED_VALUE"""),"Streets Of Fire")</f>
        <v>Streets Of Fire</v>
      </c>
      <c r="V6596" s="5"/>
      <c r="Y6596" s="5" t="str">
        <f>IFERROR(__xludf.DUMMYFUNCTION("REGEXEXTRACT(J6596, ""^\d+"")"),"88")</f>
        <v>88</v>
      </c>
      <c r="Z6596" s="5" t="str">
        <f>IFERROR(__xludf.DUMMYFUNCTION("REGEXEXTRACT(J6596, ""[A-Za-z ]+$"")")," min")</f>
        <v> min</v>
      </c>
      <c r="AA6596" s="5" t="str">
        <f>IFERROR(__xludf.DUMMYFUNCTION("IF(REGEXMATCH(Z6596, ""Season""), ""TV Show"", ""Movie"")"),"Movie")</f>
        <v>Movie</v>
      </c>
    </row>
    <row r="6597">
      <c r="A6597" s="1" t="s">
        <v>32828</v>
      </c>
      <c r="B6597" s="1" t="s">
        <v>27</v>
      </c>
      <c r="C6597" s="1" t="s">
        <v>32829</v>
      </c>
      <c r="D6597" s="1" t="s">
        <v>20214</v>
      </c>
      <c r="E6597" s="1" t="s">
        <v>32830</v>
      </c>
      <c r="F6597" s="1" t="s">
        <v>30</v>
      </c>
      <c r="G6597" s="7">
        <v>43228.0</v>
      </c>
      <c r="H6597" s="1">
        <v>2017.0</v>
      </c>
      <c r="I6597" s="1" t="s">
        <v>42</v>
      </c>
      <c r="J6597" s="1" t="s">
        <v>1171</v>
      </c>
      <c r="K6597" s="1" t="s">
        <v>3768</v>
      </c>
      <c r="L6597" s="1" t="s">
        <v>32831</v>
      </c>
      <c r="M6597" s="2" t="s">
        <v>12</v>
      </c>
      <c r="N6597" s="4">
        <f t="shared" si="1"/>
        <v>43228</v>
      </c>
      <c r="O6597" s="5" t="str">
        <f>IFERROR(__xludf.DUMMYFUNCTION("IF(REGEXMATCH(TRIM(I6597), ""^\d+\s*min""), ""Unclassified"", IF(I6597 = """", ""NR"", I6597))"),"TV-MA")</f>
        <v>TV-MA</v>
      </c>
      <c r="R6597" s="5" t="str">
        <f t="shared" si="2"/>
        <v>Desolation</v>
      </c>
      <c r="S6597" s="5" t="str">
        <f>IFERROR(__xludf.DUMMYFUNCTION("""COMPUTED_VALUE"""),"Stretch Armstrong &amp; The Flex Fighters")</f>
        <v>Stretch Armstrong &amp; The Flex Fighters</v>
      </c>
      <c r="V6597" s="5"/>
      <c r="Y6597" s="5" t="str">
        <f>IFERROR(__xludf.DUMMYFUNCTION("REGEXEXTRACT(J6597, ""^\d+"")"),"76")</f>
        <v>76</v>
      </c>
      <c r="Z6597" s="5" t="str">
        <f>IFERROR(__xludf.DUMMYFUNCTION("REGEXEXTRACT(J6597, ""[A-Za-z ]+$"")")," min")</f>
        <v> min</v>
      </c>
      <c r="AA6597" s="5" t="str">
        <f>IFERROR(__xludf.DUMMYFUNCTION("IF(REGEXMATCH(Z6597, ""Season""), ""TV Show"", ""Movie"")"),"Movie")</f>
        <v>Movie</v>
      </c>
    </row>
    <row r="6598">
      <c r="A6598" s="1" t="s">
        <v>32832</v>
      </c>
      <c r="B6598" s="1" t="s">
        <v>27</v>
      </c>
      <c r="C6598" s="1" t="s">
        <v>32833</v>
      </c>
      <c r="D6598" s="1" t="s">
        <v>16225</v>
      </c>
      <c r="E6598" s="1" t="s">
        <v>32834</v>
      </c>
      <c r="F6598" s="1" t="s">
        <v>3309</v>
      </c>
      <c r="G6598" s="1" t="s">
        <v>19775</v>
      </c>
      <c r="H6598" s="1">
        <v>2017.0</v>
      </c>
      <c r="I6598" s="1" t="s">
        <v>97</v>
      </c>
      <c r="J6598" s="1" t="s">
        <v>416</v>
      </c>
      <c r="K6598" s="1" t="s">
        <v>1066</v>
      </c>
      <c r="L6598" s="1" t="s">
        <v>32835</v>
      </c>
      <c r="M6598" s="2" t="s">
        <v>12</v>
      </c>
      <c r="N6598" s="4">
        <f t="shared" si="1"/>
        <v>43682</v>
      </c>
      <c r="O6598" s="5" t="str">
        <f>IFERROR(__xludf.DUMMYFUNCTION("IF(REGEXMATCH(TRIM(I6598), ""^\d+\s*min""), ""Unclassified"", IF(I6598 = """", ""NR"", I6598))"),"TV-14")</f>
        <v>TV-14</v>
      </c>
      <c r="R6598" s="5" t="str">
        <f t="shared" si="2"/>
        <v>Detention Letter</v>
      </c>
      <c r="S6598" s="5" t="str">
        <f>IFERROR(__xludf.DUMMYFUNCTION("""COMPUTED_VALUE"""),"Stretch Armstrong: The Breakout")</f>
        <v>Stretch Armstrong: The Breakout</v>
      </c>
      <c r="V6598" s="5"/>
      <c r="Y6598" s="5" t="str">
        <f>IFERROR(__xludf.DUMMYFUNCTION("REGEXEXTRACT(J6598, ""^\d+"")"),"99")</f>
        <v>99</v>
      </c>
      <c r="Z6598" s="5" t="str">
        <f>IFERROR(__xludf.DUMMYFUNCTION("REGEXEXTRACT(J6598, ""[A-Za-z ]+$"")")," min")</f>
        <v> min</v>
      </c>
      <c r="AA6598" s="5" t="str">
        <f>IFERROR(__xludf.DUMMYFUNCTION("IF(REGEXMATCH(Z6598, ""Season""), ""TV Show"", ""Movie"")"),"Movie")</f>
        <v>Movie</v>
      </c>
    </row>
    <row r="6599">
      <c r="A6599" s="1" t="s">
        <v>32836</v>
      </c>
      <c r="B6599" s="1" t="s">
        <v>27</v>
      </c>
      <c r="C6599" s="1" t="s">
        <v>32837</v>
      </c>
      <c r="D6599" s="1" t="s">
        <v>4987</v>
      </c>
      <c r="E6599" s="1" t="s">
        <v>32838</v>
      </c>
      <c r="F6599" s="1" t="s">
        <v>32839</v>
      </c>
      <c r="G6599" s="7">
        <v>42880.0</v>
      </c>
      <c r="H6599" s="1">
        <v>2016.0</v>
      </c>
      <c r="I6599" s="1" t="s">
        <v>378</v>
      </c>
      <c r="J6599" s="1" t="s">
        <v>247</v>
      </c>
      <c r="K6599" s="1" t="s">
        <v>171</v>
      </c>
      <c r="L6599" s="1" t="s">
        <v>32840</v>
      </c>
      <c r="M6599" s="2" t="s">
        <v>12</v>
      </c>
      <c r="N6599" s="4">
        <f t="shared" si="1"/>
        <v>42880</v>
      </c>
      <c r="O6599" s="5" t="str">
        <f>IFERROR(__xludf.DUMMYFUNCTION("IF(REGEXMATCH(TRIM(I6599), ""^\d+\s*min""), ""Unclassified"", IF(I6599 = """", ""NR"", I6599))"),"R")</f>
        <v>R</v>
      </c>
      <c r="R6599" s="5" t="str">
        <f t="shared" si="2"/>
        <v>Detour</v>
      </c>
      <c r="S6599" s="5" t="str">
        <f>IFERROR(__xludf.DUMMYFUNCTION("""COMPUTED_VALUE"""),"Strictly Ballroom")</f>
        <v>Strictly Ballroom</v>
      </c>
      <c r="V6599" s="5"/>
      <c r="Y6599" s="5" t="str">
        <f>IFERROR(__xludf.DUMMYFUNCTION("REGEXEXTRACT(J6599, ""^\d+"")"),"97")</f>
        <v>97</v>
      </c>
      <c r="Z6599" s="5" t="str">
        <f>IFERROR(__xludf.DUMMYFUNCTION("REGEXEXTRACT(J6599, ""[A-Za-z ]+$"")")," min")</f>
        <v> min</v>
      </c>
      <c r="AA6599" s="5" t="str">
        <f>IFERROR(__xludf.DUMMYFUNCTION("IF(REGEXMATCH(Z6599, ""Season""), ""TV Show"", ""Movie"")"),"Movie")</f>
        <v>Movie</v>
      </c>
    </row>
    <row r="6600">
      <c r="A6600" s="1" t="s">
        <v>32841</v>
      </c>
      <c r="B6600" s="1" t="s">
        <v>27</v>
      </c>
      <c r="C6600" s="1" t="s">
        <v>32842</v>
      </c>
      <c r="D6600" s="1" t="s">
        <v>15642</v>
      </c>
      <c r="E6600" s="1" t="s">
        <v>32843</v>
      </c>
      <c r="F6600" s="1" t="s">
        <v>30</v>
      </c>
      <c r="G6600" s="1" t="s">
        <v>19259</v>
      </c>
      <c r="H6600" s="1">
        <v>2019.0</v>
      </c>
      <c r="I6600" s="1" t="s">
        <v>97</v>
      </c>
      <c r="J6600" s="1" t="s">
        <v>630</v>
      </c>
      <c r="K6600" s="1" t="s">
        <v>171</v>
      </c>
      <c r="L6600" s="1" t="s">
        <v>32844</v>
      </c>
      <c r="M6600" s="2" t="s">
        <v>12</v>
      </c>
      <c r="N6600" s="4">
        <f t="shared" si="1"/>
        <v>43721</v>
      </c>
      <c r="O6600" s="5" t="str">
        <f>IFERROR(__xludf.DUMMYFUNCTION("IF(REGEXMATCH(TRIM(I6600), ""^\d+\s*min""), ""Unclassified"", IF(I6600 = """", ""NR"", I6600))"),"TV-14")</f>
        <v>TV-14</v>
      </c>
      <c r="R6600" s="5" t="str">
        <f t="shared" si="2"/>
        <v>Deviant Love</v>
      </c>
      <c r="S6600" s="5" t="str">
        <f>IFERROR(__xludf.DUMMYFUNCTION("""COMPUTED_VALUE"""),"Strike A Pose")</f>
        <v>Strike A Pose</v>
      </c>
      <c r="V6600" s="5"/>
      <c r="Y6600" s="5" t="str">
        <f>IFERROR(__xludf.DUMMYFUNCTION("REGEXEXTRACT(J6600, ""^\d+"")"),"87")</f>
        <v>87</v>
      </c>
      <c r="Z6600" s="5" t="str">
        <f>IFERROR(__xludf.DUMMYFUNCTION("REGEXEXTRACT(J6600, ""[A-Za-z ]+$"")")," min")</f>
        <v> min</v>
      </c>
      <c r="AA6600" s="5" t="str">
        <f>IFERROR(__xludf.DUMMYFUNCTION("IF(REGEXMATCH(Z6600, ""Season""), ""TV Show"", ""Movie"")"),"Movie")</f>
        <v>Movie</v>
      </c>
    </row>
    <row r="6601">
      <c r="A6601" s="1" t="s">
        <v>32845</v>
      </c>
      <c r="B6601" s="1" t="s">
        <v>27</v>
      </c>
      <c r="C6601" s="1" t="s">
        <v>32846</v>
      </c>
      <c r="D6601" s="1" t="s">
        <v>19993</v>
      </c>
      <c r="E6601" s="1" t="s">
        <v>32847</v>
      </c>
      <c r="F6601" s="1" t="s">
        <v>32848</v>
      </c>
      <c r="G6601" s="1" t="s">
        <v>27988</v>
      </c>
      <c r="H6601" s="1">
        <v>2016.0</v>
      </c>
      <c r="I6601" s="1" t="s">
        <v>42</v>
      </c>
      <c r="J6601" s="1" t="s">
        <v>912</v>
      </c>
      <c r="K6601" s="1" t="s">
        <v>128</v>
      </c>
      <c r="L6601" s="1" t="s">
        <v>32849</v>
      </c>
      <c r="M6601" s="2" t="s">
        <v>12</v>
      </c>
      <c r="N6601" s="4">
        <f t="shared" si="1"/>
        <v>42887</v>
      </c>
      <c r="O6601" s="5" t="str">
        <f>IFERROR(__xludf.DUMMYFUNCTION("IF(REGEXMATCH(TRIM(I6601), ""^\d+\s*min""), ""Unclassified"", IF(I6601 = """", ""NR"", I6601))"),"TV-MA")</f>
        <v>TV-MA</v>
      </c>
      <c r="R6601" s="5" t="str">
        <f t="shared" si="2"/>
        <v>Devil'S Bride</v>
      </c>
      <c r="S6601" s="5" t="str">
        <f>IFERROR(__xludf.DUMMYFUNCTION("""COMPUTED_VALUE"""),"Strip Down, Rise Up")</f>
        <v>Strip Down, Rise Up</v>
      </c>
      <c r="V6601" s="5"/>
      <c r="Y6601" s="5" t="str">
        <f>IFERROR(__xludf.DUMMYFUNCTION("REGEXEXTRACT(J6601, ""^\d+"")"),"108")</f>
        <v>108</v>
      </c>
      <c r="Z6601" s="5" t="str">
        <f>IFERROR(__xludf.DUMMYFUNCTION("REGEXEXTRACT(J6601, ""[A-Za-z ]+$"")")," min")</f>
        <v> min</v>
      </c>
      <c r="AA6601" s="5" t="str">
        <f>IFERROR(__xludf.DUMMYFUNCTION("IF(REGEXMATCH(Z6601, ""Season""), ""TV Show"", ""Movie"")"),"Movie")</f>
        <v>Movie</v>
      </c>
    </row>
    <row r="6602">
      <c r="A6602" s="1" t="s">
        <v>32850</v>
      </c>
      <c r="B6602" s="1" t="s">
        <v>27</v>
      </c>
      <c r="C6602" s="1" t="s">
        <v>32851</v>
      </c>
      <c r="D6602" s="1" t="s">
        <v>5077</v>
      </c>
      <c r="E6602" s="1" t="s">
        <v>32852</v>
      </c>
      <c r="F6602" s="1" t="s">
        <v>1106</v>
      </c>
      <c r="G6602" s="1" t="s">
        <v>12711</v>
      </c>
      <c r="H6602" s="1">
        <v>2017.0</v>
      </c>
      <c r="I6602" s="1" t="s">
        <v>42</v>
      </c>
      <c r="J6602" s="1" t="s">
        <v>170</v>
      </c>
      <c r="K6602" s="1" t="s">
        <v>17209</v>
      </c>
      <c r="L6602" s="1" t="s">
        <v>32853</v>
      </c>
      <c r="M6602" s="2" t="s">
        <v>12</v>
      </c>
      <c r="N6602" s="4">
        <f t="shared" si="1"/>
        <v>44028</v>
      </c>
      <c r="O6602" s="5" t="str">
        <f>IFERROR(__xludf.DUMMYFUNCTION("IF(REGEXMATCH(TRIM(I6602), ""^\d+\s*min""), ""Unclassified"", IF(I6602 = """", ""NR"", I6602))"),"TV-MA")</f>
        <v>TV-MA</v>
      </c>
      <c r="R6602" s="5" t="str">
        <f t="shared" si="2"/>
        <v>Devil'S Gate</v>
      </c>
      <c r="S6602" s="5" t="str">
        <f>IFERROR(__xludf.DUMMYFUNCTION("""COMPUTED_VALUE"""),"Stripes")</f>
        <v>Stripes</v>
      </c>
      <c r="V6602" s="5"/>
      <c r="Y6602" s="5" t="str">
        <f>IFERROR(__xludf.DUMMYFUNCTION("REGEXEXTRACT(J6602, ""^\d+"")"),"94")</f>
        <v>94</v>
      </c>
      <c r="Z6602" s="5" t="str">
        <f>IFERROR(__xludf.DUMMYFUNCTION("REGEXEXTRACT(J6602, ""[A-Za-z ]+$"")")," min")</f>
        <v> min</v>
      </c>
      <c r="AA6602" s="5" t="str">
        <f>IFERROR(__xludf.DUMMYFUNCTION("IF(REGEXMATCH(Z6602, ""Season""), ""TV Show"", ""Movie"")"),"Movie")</f>
        <v>Movie</v>
      </c>
    </row>
    <row r="6603">
      <c r="A6603" s="1" t="s">
        <v>32854</v>
      </c>
      <c r="B6603" s="1" t="s">
        <v>37</v>
      </c>
      <c r="C6603" s="1" t="s">
        <v>32855</v>
      </c>
      <c r="E6603" s="1" t="s">
        <v>32856</v>
      </c>
      <c r="F6603" s="1" t="s">
        <v>63</v>
      </c>
      <c r="G6603" s="1" t="s">
        <v>23972</v>
      </c>
      <c r="H6603" s="1">
        <v>2017.0</v>
      </c>
      <c r="I6603" s="1" t="s">
        <v>136</v>
      </c>
      <c r="J6603" s="1" t="s">
        <v>51</v>
      </c>
      <c r="K6603" s="1" t="s">
        <v>32857</v>
      </c>
      <c r="L6603" s="1" t="s">
        <v>32858</v>
      </c>
      <c r="M6603" s="2" t="s">
        <v>12</v>
      </c>
      <c r="N6603" s="4">
        <f t="shared" si="1"/>
        <v>43388</v>
      </c>
      <c r="O6603" s="5" t="str">
        <f>IFERROR(__xludf.DUMMYFUNCTION("IF(REGEXMATCH(TRIM(I6603), ""^\d+\s*min""), ""Unclassified"", IF(I6603 = """", ""NR"", I6603))"),"TV-PG")</f>
        <v>TV-PG</v>
      </c>
      <c r="R6603" s="5" t="str">
        <f t="shared" si="2"/>
        <v>Devlok With Devdutt Pattanaik</v>
      </c>
      <c r="S6603" s="5" t="str">
        <f>IFERROR(__xludf.DUMMYFUNCTION("""COMPUTED_VALUE"""),"Striptease")</f>
        <v>Striptease</v>
      </c>
      <c r="V6603" s="5"/>
      <c r="Y6603" s="5" t="str">
        <f>IFERROR(__xludf.DUMMYFUNCTION("REGEXEXTRACT(J6603, ""^\d+"")"),"1")</f>
        <v>1</v>
      </c>
      <c r="Z6603" s="5" t="str">
        <f>IFERROR(__xludf.DUMMYFUNCTION("REGEXEXTRACT(J6603, ""[A-Za-z ]+$"")")," Season")</f>
        <v> Season</v>
      </c>
      <c r="AA6603" s="5" t="str">
        <f>IFERROR(__xludf.DUMMYFUNCTION("IF(REGEXMATCH(Z6603, ""Season""), ""TV Show"", ""Movie"")"),"TV Show")</f>
        <v>TV Show</v>
      </c>
    </row>
    <row r="6604">
      <c r="A6604" s="1" t="s">
        <v>32859</v>
      </c>
      <c r="B6604" s="1" t="s">
        <v>27</v>
      </c>
      <c r="C6604" s="1" t="s">
        <v>32860</v>
      </c>
      <c r="D6604" s="1" t="s">
        <v>21902</v>
      </c>
      <c r="E6604" s="1" t="s">
        <v>32861</v>
      </c>
      <c r="F6604" s="1" t="s">
        <v>63</v>
      </c>
      <c r="G6604" s="1" t="s">
        <v>26481</v>
      </c>
      <c r="H6604" s="1">
        <v>2004.0</v>
      </c>
      <c r="I6604" s="1" t="s">
        <v>136</v>
      </c>
      <c r="J6604" s="1" t="s">
        <v>2566</v>
      </c>
      <c r="K6604" s="1" t="s">
        <v>128</v>
      </c>
      <c r="L6604" s="1" t="s">
        <v>32862</v>
      </c>
      <c r="M6604" s="2" t="s">
        <v>12</v>
      </c>
      <c r="N6604" s="4">
        <f t="shared" si="1"/>
        <v>43101</v>
      </c>
      <c r="O6604" s="5" t="str">
        <f>IFERROR(__xludf.DUMMYFUNCTION("IF(REGEXMATCH(TRIM(I6604), ""^\d+\s*min""), ""Unclassified"", IF(I6604 = """", ""NR"", I6604))"),"TV-PG")</f>
        <v>TV-PG</v>
      </c>
      <c r="R6604" s="5" t="str">
        <f t="shared" si="2"/>
        <v>Devrai</v>
      </c>
      <c r="S6604" s="5" t="str">
        <f>IFERROR(__xludf.DUMMYFUNCTION("""COMPUTED_VALUE"""),"Strong")</f>
        <v>Strong</v>
      </c>
      <c r="V6604" s="5"/>
      <c r="Y6604" s="5" t="str">
        <f>IFERROR(__xludf.DUMMYFUNCTION("REGEXEXTRACT(J6604, ""^\d+"")"),"123")</f>
        <v>123</v>
      </c>
      <c r="Z6604" s="5" t="str">
        <f>IFERROR(__xludf.DUMMYFUNCTION("REGEXEXTRACT(J6604, ""[A-Za-z ]+$"")")," min")</f>
        <v> min</v>
      </c>
      <c r="AA6604" s="5" t="str">
        <f>IFERROR(__xludf.DUMMYFUNCTION("IF(REGEXMATCH(Z6604, ""Season""), ""TV Show"", ""Movie"")"),"Movie")</f>
        <v>Movie</v>
      </c>
    </row>
    <row r="6605">
      <c r="A6605" s="1" t="s">
        <v>32863</v>
      </c>
      <c r="B6605" s="1" t="s">
        <v>37</v>
      </c>
      <c r="C6605" s="1" t="s">
        <v>32864</v>
      </c>
      <c r="E6605" s="1" t="s">
        <v>32865</v>
      </c>
      <c r="F6605" s="1" t="s">
        <v>30</v>
      </c>
      <c r="G6605" s="1" t="s">
        <v>32866</v>
      </c>
      <c r="H6605" s="1">
        <v>2013.0</v>
      </c>
      <c r="I6605" s="1" t="s">
        <v>42</v>
      </c>
      <c r="J6605" s="1" t="s">
        <v>3285</v>
      </c>
      <c r="K6605" s="1" t="s">
        <v>1510</v>
      </c>
      <c r="L6605" s="1" t="s">
        <v>32867</v>
      </c>
      <c r="M6605" s="2" t="s">
        <v>12</v>
      </c>
      <c r="N6605" s="1" t="str">
        <f t="shared" si="1"/>
        <v>#N/A</v>
      </c>
      <c r="O6605" s="5" t="str">
        <f>IFERROR(__xludf.DUMMYFUNCTION("IF(REGEXMATCH(TRIM(I6605), ""^\d+\s*min""), ""Unclassified"", IF(I6605 = """", ""NR"", I6605))"),"TV-MA")</f>
        <v>TV-MA</v>
      </c>
      <c r="R6605" s="5" t="str">
        <f t="shared" si="2"/>
        <v>Dexter</v>
      </c>
      <c r="S6605" s="5" t="str">
        <f>IFERROR(__xludf.DUMMYFUNCTION("""COMPUTED_VALUE"""),"Strong Girl Bong-Soon")</f>
        <v>Strong Girl Bong-Soon</v>
      </c>
      <c r="V6605" s="5"/>
      <c r="Y6605" s="5" t="str">
        <f>IFERROR(__xludf.DUMMYFUNCTION("REGEXEXTRACT(J6605, ""^\d+"")"),"8")</f>
        <v>8</v>
      </c>
      <c r="Z6605" s="5" t="str">
        <f>IFERROR(__xludf.DUMMYFUNCTION("REGEXEXTRACT(J6605, ""[A-Za-z ]+$"")")," Seasons")</f>
        <v> Seasons</v>
      </c>
      <c r="AA6605" s="5" t="str">
        <f>IFERROR(__xludf.DUMMYFUNCTION("IF(REGEXMATCH(Z6605, ""Season""), ""TV Show"", ""Movie"")"),"TV Show")</f>
        <v>TV Show</v>
      </c>
    </row>
    <row r="6606">
      <c r="A6606" s="1" t="s">
        <v>32868</v>
      </c>
      <c r="B6606" s="1" t="s">
        <v>27</v>
      </c>
      <c r="C6606" s="1" t="s">
        <v>32869</v>
      </c>
      <c r="D6606" s="1" t="s">
        <v>9619</v>
      </c>
      <c r="E6606" s="1" t="s">
        <v>32870</v>
      </c>
      <c r="F6606" s="1" t="s">
        <v>63</v>
      </c>
      <c r="G6606" s="1" t="s">
        <v>17078</v>
      </c>
      <c r="H6606" s="1">
        <v>2007.0</v>
      </c>
      <c r="I6606" s="1" t="s">
        <v>97</v>
      </c>
      <c r="J6606" s="1" t="s">
        <v>757</v>
      </c>
      <c r="K6606" s="1" t="s">
        <v>1328</v>
      </c>
      <c r="L6606" s="1" t="s">
        <v>32871</v>
      </c>
      <c r="M6606" s="2" t="s">
        <v>12</v>
      </c>
      <c r="N6606" s="4">
        <f t="shared" si="1"/>
        <v>43830</v>
      </c>
      <c r="O6606" s="5" t="str">
        <f>IFERROR(__xludf.DUMMYFUNCTION("IF(REGEXMATCH(TRIM(I6606), ""^\d+\s*min""), ""Unclassified"", IF(I6606 = """", ""NR"", I6606))"),"TV-14")</f>
        <v>TV-14</v>
      </c>
      <c r="R6606" s="5" t="str">
        <f t="shared" si="2"/>
        <v>Dhamaal</v>
      </c>
      <c r="S6606" s="5" t="str">
        <f>IFERROR(__xludf.DUMMYFUNCTION("""COMPUTED_VALUE"""),"Strong Island")</f>
        <v>Strong Island</v>
      </c>
      <c r="V6606" s="5"/>
      <c r="Y6606" s="5" t="str">
        <f>IFERROR(__xludf.DUMMYFUNCTION("REGEXEXTRACT(J6606, ""^\d+"")"),"128")</f>
        <v>128</v>
      </c>
      <c r="Z6606" s="5" t="str">
        <f>IFERROR(__xludf.DUMMYFUNCTION("REGEXEXTRACT(J6606, ""[A-Za-z ]+$"")")," min")</f>
        <v> min</v>
      </c>
      <c r="AA6606" s="5" t="str">
        <f>IFERROR(__xludf.DUMMYFUNCTION("IF(REGEXMATCH(Z6606, ""Season""), ""TV Show"", ""Movie"")"),"Movie")</f>
        <v>Movie</v>
      </c>
    </row>
    <row r="6607">
      <c r="A6607" s="1" t="s">
        <v>32872</v>
      </c>
      <c r="B6607" s="1" t="s">
        <v>27</v>
      </c>
      <c r="C6607" s="1" t="s">
        <v>32873</v>
      </c>
      <c r="D6607" s="1" t="s">
        <v>9054</v>
      </c>
      <c r="E6607" s="1" t="s">
        <v>32874</v>
      </c>
      <c r="F6607" s="1" t="s">
        <v>1064</v>
      </c>
      <c r="G6607" s="1" t="s">
        <v>32875</v>
      </c>
      <c r="H6607" s="1">
        <v>2018.0</v>
      </c>
      <c r="I6607" s="1" t="s">
        <v>97</v>
      </c>
      <c r="J6607" s="1" t="s">
        <v>2505</v>
      </c>
      <c r="K6607" s="1" t="s">
        <v>13636</v>
      </c>
      <c r="L6607" s="1" t="s">
        <v>32876</v>
      </c>
      <c r="M6607" s="2" t="s">
        <v>12</v>
      </c>
      <c r="N6607" s="4">
        <f t="shared" si="1"/>
        <v>43502</v>
      </c>
      <c r="O6607" s="5" t="str">
        <f>IFERROR(__xludf.DUMMYFUNCTION("IF(REGEXMATCH(TRIM(I6607), ""^\d+\s*min""), ""Unclassified"", IF(I6607 = """", ""NR"", I6607))"),"TV-14")</f>
        <v>TV-14</v>
      </c>
      <c r="R6607" s="5" t="str">
        <f t="shared" si="2"/>
        <v>Di Renjie Zhi Sidatianwang</v>
      </c>
      <c r="S6607" s="5" t="str">
        <f>IFERROR(__xludf.DUMMYFUNCTION("""COMPUTED_VALUE"""),"Stronger Than The World")</f>
        <v>Stronger Than The World</v>
      </c>
      <c r="V6607" s="5"/>
      <c r="Y6607" s="5" t="str">
        <f>IFERROR(__xludf.DUMMYFUNCTION("REGEXEXTRACT(J6607, ""^\d+"")"),"132")</f>
        <v>132</v>
      </c>
      <c r="Z6607" s="5" t="str">
        <f>IFERROR(__xludf.DUMMYFUNCTION("REGEXEXTRACT(J6607, ""[A-Za-z ]+$"")")," min")</f>
        <v> min</v>
      </c>
      <c r="AA6607" s="5" t="str">
        <f>IFERROR(__xludf.DUMMYFUNCTION("IF(REGEXMATCH(Z6607, ""Season""), ""TV Show"", ""Movie"")"),"Movie")</f>
        <v>Movie</v>
      </c>
    </row>
    <row r="6608">
      <c r="A6608" s="1" t="s">
        <v>32877</v>
      </c>
      <c r="B6608" s="1" t="s">
        <v>27</v>
      </c>
      <c r="C6608" s="1" t="s">
        <v>32878</v>
      </c>
      <c r="D6608" s="1" t="s">
        <v>3169</v>
      </c>
      <c r="E6608" s="1" t="s">
        <v>32879</v>
      </c>
      <c r="F6608" s="1" t="s">
        <v>96</v>
      </c>
      <c r="G6608" s="1" t="s">
        <v>27650</v>
      </c>
      <c r="H6608" s="1">
        <v>2017.0</v>
      </c>
      <c r="I6608" s="1" t="s">
        <v>136</v>
      </c>
      <c r="J6608" s="1" t="s">
        <v>454</v>
      </c>
      <c r="K6608" s="1" t="s">
        <v>34</v>
      </c>
      <c r="L6608" s="1" t="s">
        <v>32880</v>
      </c>
      <c r="M6608" s="2" t="s">
        <v>12</v>
      </c>
      <c r="N6608" s="4">
        <f t="shared" si="1"/>
        <v>42944</v>
      </c>
      <c r="O6608" s="5" t="str">
        <f>IFERROR(__xludf.DUMMYFUNCTION("IF(REGEXMATCH(TRIM(I6608), ""^\d+\s*min""), ""Unclassified"", IF(I6608 = """", ""NR"", I6608))"),"TV-PG")</f>
        <v>TV-PG</v>
      </c>
      <c r="R6608" s="5" t="str">
        <f t="shared" si="2"/>
        <v>Diana: 7 Days That Shook The World</v>
      </c>
      <c r="S6608" s="5" t="str">
        <f>IFERROR(__xludf.DUMMYFUNCTION("""COMPUTED_VALUE"""),"Strongest Deliveryman")</f>
        <v>Strongest Deliveryman</v>
      </c>
      <c r="V6608" s="5"/>
      <c r="Y6608" s="5" t="str">
        <f>IFERROR(__xludf.DUMMYFUNCTION("REGEXEXTRACT(J6608, ""^\d+"")"),"93")</f>
        <v>93</v>
      </c>
      <c r="Z6608" s="5" t="str">
        <f>IFERROR(__xludf.DUMMYFUNCTION("REGEXEXTRACT(J6608, ""[A-Za-z ]+$"")")," min")</f>
        <v> min</v>
      </c>
      <c r="AA6608" s="5" t="str">
        <f>IFERROR(__xludf.DUMMYFUNCTION("IF(REGEXMATCH(Z6608, ""Season""), ""TV Show"", ""Movie"")"),"Movie")</f>
        <v>Movie</v>
      </c>
    </row>
    <row r="6609">
      <c r="A6609" s="1" t="s">
        <v>32881</v>
      </c>
      <c r="B6609" s="1" t="s">
        <v>27</v>
      </c>
      <c r="C6609" s="1" t="s">
        <v>32882</v>
      </c>
      <c r="F6609" s="1" t="s">
        <v>96</v>
      </c>
      <c r="G6609" s="1" t="s">
        <v>26674</v>
      </c>
      <c r="H6609" s="1">
        <v>2017.0</v>
      </c>
      <c r="I6609" s="1" t="s">
        <v>136</v>
      </c>
      <c r="J6609" s="1" t="s">
        <v>519</v>
      </c>
      <c r="K6609" s="1" t="s">
        <v>156</v>
      </c>
      <c r="L6609" s="1" t="s">
        <v>32883</v>
      </c>
      <c r="M6609" s="2" t="s">
        <v>12</v>
      </c>
      <c r="N6609" s="4">
        <f t="shared" si="1"/>
        <v>43070</v>
      </c>
      <c r="O6609" s="5" t="str">
        <f>IFERROR(__xludf.DUMMYFUNCTION("IF(REGEXMATCH(TRIM(I6609), ""^\d+\s*min""), ""Unclassified"", IF(I6609 = """", ""NR"", I6609))"),"TV-PG")</f>
        <v>TV-PG</v>
      </c>
      <c r="R6609" s="5" t="str">
        <f t="shared" si="2"/>
        <v>Diana: In Her Own Words</v>
      </c>
      <c r="S6609" s="5" t="str">
        <f>IFERROR(__xludf.DUMMYFUNCTION("""COMPUTED_VALUE"""),"Strongland")</f>
        <v>Strongland</v>
      </c>
      <c r="V6609" s="5"/>
      <c r="Y6609" s="5" t="str">
        <f>IFERROR(__xludf.DUMMYFUNCTION("REGEXEXTRACT(J6609, ""^\d+"")"),"113")</f>
        <v>113</v>
      </c>
      <c r="Z6609" s="5" t="str">
        <f>IFERROR(__xludf.DUMMYFUNCTION("REGEXEXTRACT(J6609, ""[A-Za-z ]+$"")")," min")</f>
        <v> min</v>
      </c>
      <c r="AA6609" s="5" t="str">
        <f>IFERROR(__xludf.DUMMYFUNCTION("IF(REGEXMATCH(Z6609, ""Season""), ""TV Show"", ""Movie"")"),"Movie")</f>
        <v>Movie</v>
      </c>
    </row>
    <row r="6610">
      <c r="A6610" s="1" t="s">
        <v>32884</v>
      </c>
      <c r="B6610" s="1" t="s">
        <v>27</v>
      </c>
      <c r="C6610" s="1" t="s">
        <v>32885</v>
      </c>
      <c r="D6610" s="1" t="s">
        <v>3276</v>
      </c>
      <c r="E6610" s="1" t="s">
        <v>32886</v>
      </c>
      <c r="F6610" s="1" t="s">
        <v>3217</v>
      </c>
      <c r="G6610" s="1" t="s">
        <v>29037</v>
      </c>
      <c r="H6610" s="1">
        <v>2015.0</v>
      </c>
      <c r="I6610" s="1" t="s">
        <v>30231</v>
      </c>
      <c r="J6610" s="1" t="s">
        <v>322</v>
      </c>
      <c r="K6610" s="1" t="s">
        <v>128</v>
      </c>
      <c r="L6610" s="1" t="s">
        <v>32887</v>
      </c>
      <c r="M6610" s="2" t="s">
        <v>12</v>
      </c>
      <c r="N6610" s="4">
        <f t="shared" si="1"/>
        <v>42707</v>
      </c>
      <c r="O6610" s="5" t="str">
        <f>IFERROR(__xludf.DUMMYFUNCTION("IF(REGEXMATCH(TRIM(I6610), ""^\d+\s*min""), ""Unclassified"", IF(I6610 = """", ""NR"", I6610))"),"NR")</f>
        <v>NR</v>
      </c>
      <c r="R6610" s="5" t="str">
        <f t="shared" si="2"/>
        <v>Diary Of A Chambermaid</v>
      </c>
      <c r="S6610" s="5" t="str">
        <f>IFERROR(__xludf.DUMMYFUNCTION("""COMPUTED_VALUE"""),"Struggle: The Life And Lost Art Of Szukalski")</f>
        <v>Struggle: The Life And Lost Art Of Szukalski</v>
      </c>
      <c r="V6610" s="5"/>
      <c r="Y6610" s="5" t="str">
        <f>IFERROR(__xludf.DUMMYFUNCTION("REGEXEXTRACT(J6610, ""^\d+"")"),"96")</f>
        <v>96</v>
      </c>
      <c r="Z6610" s="5" t="str">
        <f>IFERROR(__xludf.DUMMYFUNCTION("REGEXEXTRACT(J6610, ""[A-Za-z ]+$"")")," min")</f>
        <v> min</v>
      </c>
      <c r="AA6610" s="5" t="str">
        <f>IFERROR(__xludf.DUMMYFUNCTION("IF(REGEXMATCH(Z6610, ""Season""), ""TV Show"", ""Movie"")"),"Movie")</f>
        <v>Movie</v>
      </c>
    </row>
    <row r="6611">
      <c r="A6611" s="1" t="s">
        <v>32888</v>
      </c>
      <c r="B6611" s="1" t="s">
        <v>27</v>
      </c>
      <c r="C6611" s="1" t="s">
        <v>32889</v>
      </c>
      <c r="D6611" s="1" t="s">
        <v>13565</v>
      </c>
      <c r="E6611" s="1" t="s">
        <v>32890</v>
      </c>
      <c r="F6611" s="1" t="s">
        <v>686</v>
      </c>
      <c r="G6611" s="1" t="s">
        <v>17078</v>
      </c>
      <c r="H6611" s="1">
        <v>2002.0</v>
      </c>
      <c r="I6611" s="1" t="s">
        <v>32</v>
      </c>
      <c r="J6611" s="1" t="s">
        <v>1428</v>
      </c>
      <c r="K6611" s="1" t="s">
        <v>380</v>
      </c>
      <c r="L6611" s="1" t="s">
        <v>32891</v>
      </c>
      <c r="M6611" s="2" t="s">
        <v>12</v>
      </c>
      <c r="N6611" s="4">
        <f t="shared" si="1"/>
        <v>43830</v>
      </c>
      <c r="O6611" s="5" t="str">
        <f>IFERROR(__xludf.DUMMYFUNCTION("IF(REGEXMATCH(TRIM(I6611), ""^\d+\s*min""), ""Unclassified"", IF(I6611 = """", ""NR"", I6611))"),"PG-13")</f>
        <v>PG-13</v>
      </c>
      <c r="R6611" s="5" t="str">
        <f t="shared" si="2"/>
        <v>Die Another Day</v>
      </c>
      <c r="S6611" s="5" t="str">
        <f>IFERROR(__xludf.DUMMYFUNCTION("""COMPUTED_VALUE"""),"Stuart Little")</f>
        <v>Stuart Little</v>
      </c>
      <c r="V6611" s="5"/>
      <c r="Y6611" s="5" t="str">
        <f>IFERROR(__xludf.DUMMYFUNCTION("REGEXEXTRACT(J6611, ""^\d+"")"),"133")</f>
        <v>133</v>
      </c>
      <c r="Z6611" s="5" t="str">
        <f>IFERROR(__xludf.DUMMYFUNCTION("REGEXEXTRACT(J6611, ""[A-Za-z ]+$"")")," min")</f>
        <v> min</v>
      </c>
      <c r="AA6611" s="5" t="str">
        <f>IFERROR(__xludf.DUMMYFUNCTION("IF(REGEXMATCH(Z6611, ""Season""), ""TV Show"", ""Movie"")"),"Movie")</f>
        <v>Movie</v>
      </c>
    </row>
    <row r="6612">
      <c r="A6612" s="1" t="s">
        <v>32892</v>
      </c>
      <c r="B6612" s="1" t="s">
        <v>27</v>
      </c>
      <c r="C6612" s="1" t="s">
        <v>32893</v>
      </c>
      <c r="D6612" s="1" t="s">
        <v>13220</v>
      </c>
      <c r="E6612" s="1" t="s">
        <v>32894</v>
      </c>
      <c r="F6612" s="1" t="s">
        <v>63</v>
      </c>
      <c r="G6612" s="1" t="s">
        <v>25842</v>
      </c>
      <c r="H6612" s="1">
        <v>2002.0</v>
      </c>
      <c r="I6612" s="1" t="s">
        <v>97</v>
      </c>
      <c r="J6612" s="1" t="s">
        <v>16526</v>
      </c>
      <c r="K6612" s="1" t="s">
        <v>1429</v>
      </c>
      <c r="L6612" s="1" t="s">
        <v>32895</v>
      </c>
      <c r="M6612" s="2" t="s">
        <v>12</v>
      </c>
      <c r="N6612" s="4">
        <f t="shared" si="1"/>
        <v>43191</v>
      </c>
      <c r="O6612" s="5" t="str">
        <f>IFERROR(__xludf.DUMMYFUNCTION("IF(REGEXMATCH(TRIM(I6612), ""^\d+\s*min""), ""Unclassified"", IF(I6612 = """", ""NR"", I6612))"),"TV-14")</f>
        <v>TV-14</v>
      </c>
      <c r="R6612" s="5" t="str">
        <f t="shared" si="2"/>
        <v>Dil Hai Tumhaara</v>
      </c>
      <c r="S6612" s="5" t="str">
        <f>IFERROR(__xludf.DUMMYFUNCTION("""COMPUTED_VALUE"""),"Stuart Little 2")</f>
        <v>Stuart Little 2</v>
      </c>
      <c r="V6612" s="5"/>
      <c r="Y6612" s="5" t="str">
        <f>IFERROR(__xludf.DUMMYFUNCTION("REGEXEXTRACT(J6612, ""^\d+"")"),"176")</f>
        <v>176</v>
      </c>
      <c r="Z6612" s="5" t="str">
        <f>IFERROR(__xludf.DUMMYFUNCTION("REGEXEXTRACT(J6612, ""[A-Za-z ]+$"")")," min")</f>
        <v> min</v>
      </c>
      <c r="AA6612" s="5" t="str">
        <f>IFERROR(__xludf.DUMMYFUNCTION("IF(REGEXMATCH(Z6612, ""Season""), ""TV Show"", ""Movie"")"),"Movie")</f>
        <v>Movie</v>
      </c>
    </row>
    <row r="6613">
      <c r="A6613" s="1" t="s">
        <v>32896</v>
      </c>
      <c r="B6613" s="1" t="s">
        <v>37</v>
      </c>
      <c r="C6613" s="1" t="s">
        <v>32897</v>
      </c>
      <c r="F6613" s="1" t="s">
        <v>30</v>
      </c>
      <c r="G6613" s="1" t="s">
        <v>32898</v>
      </c>
      <c r="H6613" s="1">
        <v>2007.0</v>
      </c>
      <c r="I6613" s="1" t="s">
        <v>42</v>
      </c>
      <c r="J6613" s="1" t="s">
        <v>51</v>
      </c>
      <c r="K6613" s="1" t="s">
        <v>10491</v>
      </c>
      <c r="L6613" s="1" t="s">
        <v>32899</v>
      </c>
      <c r="M6613" s="2" t="s">
        <v>12</v>
      </c>
      <c r="N6613" s="4">
        <f t="shared" si="1"/>
        <v>39482</v>
      </c>
      <c r="O6613" s="5" t="str">
        <f>IFERROR(__xludf.DUMMYFUNCTION("IF(REGEXMATCH(TRIM(I6613), ""^\d+\s*min""), ""Unclassified"", IF(I6613 = """", ""NR"", I6613))"),"TV-MA")</f>
        <v>TV-MA</v>
      </c>
      <c r="R6613" s="5" t="str">
        <f t="shared" si="2"/>
        <v>Dinner For Five</v>
      </c>
      <c r="S6613" s="5" t="str">
        <f>IFERROR(__xludf.DUMMYFUNCTION("""COMPUTED_VALUE"""),"Stuck Apart")</f>
        <v>Stuck Apart</v>
      </c>
      <c r="V6613" s="5"/>
      <c r="Y6613" s="5" t="str">
        <f>IFERROR(__xludf.DUMMYFUNCTION("REGEXEXTRACT(J6613, ""^\d+"")"),"1")</f>
        <v>1</v>
      </c>
      <c r="Z6613" s="5" t="str">
        <f>IFERROR(__xludf.DUMMYFUNCTION("REGEXEXTRACT(J6613, ""[A-Za-z ]+$"")")," Season")</f>
        <v> Season</v>
      </c>
      <c r="AA6613" s="5" t="str">
        <f>IFERROR(__xludf.DUMMYFUNCTION("IF(REGEXMATCH(Z6613, ""Season""), ""TV Show"", ""Movie"")"),"TV Show")</f>
        <v>TV Show</v>
      </c>
    </row>
    <row r="6614">
      <c r="A6614" s="1" t="s">
        <v>32900</v>
      </c>
      <c r="B6614" s="1" t="s">
        <v>27</v>
      </c>
      <c r="C6614" s="1" t="s">
        <v>32901</v>
      </c>
      <c r="D6614" s="1" t="s">
        <v>3493</v>
      </c>
      <c r="E6614" s="1" t="s">
        <v>32902</v>
      </c>
      <c r="F6614" s="1" t="s">
        <v>30</v>
      </c>
      <c r="G6614" s="1" t="s">
        <v>16947</v>
      </c>
      <c r="H6614" s="1">
        <v>2010.0</v>
      </c>
      <c r="I6614" s="1" t="s">
        <v>32</v>
      </c>
      <c r="J6614" s="1" t="s">
        <v>379</v>
      </c>
      <c r="K6614" s="1" t="s">
        <v>239</v>
      </c>
      <c r="L6614" s="1" t="s">
        <v>32903</v>
      </c>
      <c r="M6614" s="2" t="s">
        <v>12</v>
      </c>
      <c r="N6614" s="4">
        <f t="shared" si="1"/>
        <v>43831</v>
      </c>
      <c r="O6614" s="5" t="str">
        <f>IFERROR(__xludf.DUMMYFUNCTION("IF(REGEXMATCH(TRIM(I6614), ""^\d+\s*min""), ""Unclassified"", IF(I6614 = """", ""NR"", I6614))"),"PG-13")</f>
        <v>PG-13</v>
      </c>
      <c r="R6614" s="5" t="str">
        <f t="shared" si="2"/>
        <v>Dinner For Schmucks</v>
      </c>
      <c r="S6614" s="5" t="str">
        <f>IFERROR(__xludf.DUMMYFUNCTION("""COMPUTED_VALUE"""),"Studio 54")</f>
        <v>Studio 54</v>
      </c>
      <c r="V6614" s="5"/>
      <c r="Y6614" s="5" t="str">
        <f>IFERROR(__xludf.DUMMYFUNCTION("REGEXEXTRACT(J6614, ""^\d+"")"),"115")</f>
        <v>115</v>
      </c>
      <c r="Z6614" s="5" t="str">
        <f>IFERROR(__xludf.DUMMYFUNCTION("REGEXEXTRACT(J6614, ""[A-Za-z ]+$"")")," min")</f>
        <v> min</v>
      </c>
      <c r="AA6614" s="5" t="str">
        <f>IFERROR(__xludf.DUMMYFUNCTION("IF(REGEXMATCH(Z6614, ""Season""), ""TV Show"", ""Movie"")"),"Movie")</f>
        <v>Movie</v>
      </c>
    </row>
    <row r="6615">
      <c r="A6615" s="1" t="s">
        <v>32904</v>
      </c>
      <c r="B6615" s="1" t="s">
        <v>37</v>
      </c>
      <c r="C6615" s="1" t="s">
        <v>32905</v>
      </c>
      <c r="F6615" s="1" t="s">
        <v>1106</v>
      </c>
      <c r="G6615" s="1" t="s">
        <v>27546</v>
      </c>
      <c r="H6615" s="1">
        <v>2016.0</v>
      </c>
      <c r="I6615" s="1" t="s">
        <v>506</v>
      </c>
      <c r="J6615" s="1" t="s">
        <v>51</v>
      </c>
      <c r="K6615" s="1" t="s">
        <v>736</v>
      </c>
      <c r="L6615" s="1" t="s">
        <v>32906</v>
      </c>
      <c r="M6615" s="2" t="s">
        <v>12</v>
      </c>
      <c r="N6615" s="4">
        <f t="shared" si="1"/>
        <v>42951</v>
      </c>
      <c r="O6615" s="5" t="str">
        <f>IFERROR(__xludf.DUMMYFUNCTION("IF(REGEXMATCH(TRIM(I6615), ""^\d+\s*min""), ""Unclassified"", IF(I6615 = """", ""NR"", I6615))"),"TV-G")</f>
        <v>TV-G</v>
      </c>
      <c r="R6615" s="5" t="str">
        <f t="shared" si="2"/>
        <v>Dino Hunt</v>
      </c>
      <c r="S6615" s="5" t="str">
        <f>IFERROR(__xludf.DUMMYFUNCTION("""COMPUTED_VALUE"""),"Stunt School")</f>
        <v>Stunt School</v>
      </c>
      <c r="V6615" s="5"/>
      <c r="Y6615" s="5" t="str">
        <f>IFERROR(__xludf.DUMMYFUNCTION("REGEXEXTRACT(J6615, ""^\d+"")"),"1")</f>
        <v>1</v>
      </c>
      <c r="Z6615" s="5" t="str">
        <f>IFERROR(__xludf.DUMMYFUNCTION("REGEXEXTRACT(J6615, ""[A-Za-z ]+$"")")," Season")</f>
        <v> Season</v>
      </c>
      <c r="AA6615" s="5" t="str">
        <f>IFERROR(__xludf.DUMMYFUNCTION("IF(REGEXMATCH(Z6615, ""Season""), ""TV Show"", ""Movie"")"),"TV Show")</f>
        <v>TV Show</v>
      </c>
    </row>
    <row r="6616">
      <c r="A6616" s="1" t="s">
        <v>32907</v>
      </c>
      <c r="B6616" s="1" t="s">
        <v>27</v>
      </c>
      <c r="C6616" s="1" t="s">
        <v>32908</v>
      </c>
      <c r="D6616" s="1" t="s">
        <v>4575</v>
      </c>
      <c r="E6616" s="1" t="s">
        <v>32909</v>
      </c>
      <c r="F6616" s="1" t="s">
        <v>1119</v>
      </c>
      <c r="G6616" s="1" t="s">
        <v>24803</v>
      </c>
      <c r="H6616" s="1">
        <v>1985.0</v>
      </c>
      <c r="I6616" s="1" t="s">
        <v>97</v>
      </c>
      <c r="J6616" s="1" t="s">
        <v>33</v>
      </c>
      <c r="K6616" s="1" t="s">
        <v>1066</v>
      </c>
      <c r="L6616" s="1" t="s">
        <v>32910</v>
      </c>
      <c r="M6616" s="2" t="s">
        <v>12</v>
      </c>
      <c r="N6616" s="4">
        <f t="shared" si="1"/>
        <v>43328</v>
      </c>
      <c r="O6616" s="5" t="str">
        <f>IFERROR(__xludf.DUMMYFUNCTION("IF(REGEXMATCH(TRIM(I6616), ""^\d+\s*min""), ""Unclassified"", IF(I6616 = """", ""NR"", I6616))"),"TV-14")</f>
        <v>TV-14</v>
      </c>
      <c r="R6616" s="5" t="str">
        <f t="shared" si="2"/>
        <v>Disciples Of The 36Th Chamber</v>
      </c>
      <c r="S6616" s="5" t="str">
        <f>IFERROR(__xludf.DUMMYFUNCTION("""COMPUTED_VALUE"""),"Stunt Science")</f>
        <v>Stunt Science</v>
      </c>
      <c r="V6616" s="5"/>
      <c r="Y6616" s="5" t="str">
        <f>IFERROR(__xludf.DUMMYFUNCTION("REGEXEXTRACT(J6616, ""^\d+"")"),"90")</f>
        <v>90</v>
      </c>
      <c r="Z6616" s="5" t="str">
        <f>IFERROR(__xludf.DUMMYFUNCTION("REGEXEXTRACT(J6616, ""[A-Za-z ]+$"")")," min")</f>
        <v> min</v>
      </c>
      <c r="AA6616" s="5" t="str">
        <f>IFERROR(__xludf.DUMMYFUNCTION("IF(REGEXMATCH(Z6616, ""Season""), ""TV Show"", ""Movie"")"),"Movie")</f>
        <v>Movie</v>
      </c>
    </row>
    <row r="6617">
      <c r="A6617" s="1" t="s">
        <v>32911</v>
      </c>
      <c r="B6617" s="1" t="s">
        <v>27</v>
      </c>
      <c r="C6617" s="1" t="s">
        <v>32912</v>
      </c>
      <c r="D6617" s="1" t="s">
        <v>22647</v>
      </c>
      <c r="E6617" s="1" t="s">
        <v>22647</v>
      </c>
      <c r="F6617" s="1" t="s">
        <v>30</v>
      </c>
      <c r="G6617" s="1" t="s">
        <v>26596</v>
      </c>
      <c r="H6617" s="1">
        <v>2017.0</v>
      </c>
      <c r="I6617" s="1" t="s">
        <v>42</v>
      </c>
      <c r="J6617" s="1" t="s">
        <v>264</v>
      </c>
      <c r="K6617" s="1" t="s">
        <v>34</v>
      </c>
      <c r="L6617" s="1" t="s">
        <v>32913</v>
      </c>
      <c r="M6617" s="2" t="s">
        <v>12</v>
      </c>
      <c r="N6617" s="4">
        <f t="shared" si="1"/>
        <v>43084</v>
      </c>
      <c r="O6617" s="5" t="str">
        <f>IFERROR(__xludf.DUMMYFUNCTION("IF(REGEXMATCH(TRIM(I6617), ""^\d+\s*min""), ""Unclassified"", IF(I6617 = """", ""NR"", I6617))"),"TV-MA")</f>
        <v>TV-MA</v>
      </c>
      <c r="R6617" s="5" t="str">
        <f t="shared" si="2"/>
        <v>Discovering Bigfoot</v>
      </c>
      <c r="S6617" s="5" t="str">
        <f>IFERROR(__xludf.DUMMYFUNCTION("""COMPUTED_VALUE"""),"Sturgill Simpson Presents Sound &amp; Fury")</f>
        <v>Sturgill Simpson Presents Sound &amp; Fury</v>
      </c>
      <c r="V6617" s="5"/>
      <c r="Y6617" s="5" t="str">
        <f>IFERROR(__xludf.DUMMYFUNCTION("REGEXEXTRACT(J6617, ""^\d+"")"),"111")</f>
        <v>111</v>
      </c>
      <c r="Z6617" s="5" t="str">
        <f>IFERROR(__xludf.DUMMYFUNCTION("REGEXEXTRACT(J6617, ""[A-Za-z ]+$"")")," min")</f>
        <v> min</v>
      </c>
      <c r="AA6617" s="5" t="str">
        <f>IFERROR(__xludf.DUMMYFUNCTION("IF(REGEXMATCH(Z6617, ""Season""), ""TV Show"", ""Movie"")"),"Movie")</f>
        <v>Movie</v>
      </c>
    </row>
    <row r="6618">
      <c r="A6618" s="1" t="s">
        <v>32914</v>
      </c>
      <c r="B6618" s="1" t="s">
        <v>27</v>
      </c>
      <c r="C6618" s="1" t="s">
        <v>32915</v>
      </c>
      <c r="D6618" s="1" t="s">
        <v>3219</v>
      </c>
      <c r="E6618" s="1" t="s">
        <v>32916</v>
      </c>
      <c r="F6618" s="1" t="s">
        <v>30</v>
      </c>
      <c r="G6618" s="1" t="s">
        <v>26214</v>
      </c>
      <c r="H6618" s="1">
        <v>2017.0</v>
      </c>
      <c r="I6618" s="1" t="s">
        <v>97</v>
      </c>
      <c r="J6618" s="1" t="s">
        <v>630</v>
      </c>
      <c r="K6618" s="1" t="s">
        <v>171</v>
      </c>
      <c r="L6618" s="1" t="s">
        <v>32917</v>
      </c>
      <c r="M6618" s="2" t="s">
        <v>12</v>
      </c>
      <c r="N6618" s="4">
        <f t="shared" si="1"/>
        <v>43150</v>
      </c>
      <c r="O6618" s="5" t="str">
        <f>IFERROR(__xludf.DUMMYFUNCTION("IF(REGEXMATCH(TRIM(I6618), ""^\d+\s*min""), ""Unclassified"", IF(I6618 = """", ""NR"", I6618))"),"TV-14")</f>
        <v>TV-14</v>
      </c>
      <c r="R6618" s="5" t="str">
        <f t="shared" si="2"/>
        <v>Dismissed</v>
      </c>
      <c r="S6618" s="5" t="str">
        <f>IFERROR(__xludf.DUMMYFUNCTION("""COMPUTED_VALUE"""),"Styling Hollywood")</f>
        <v>Styling Hollywood</v>
      </c>
      <c r="V6618" s="5"/>
      <c r="Y6618" s="5" t="str">
        <f>IFERROR(__xludf.DUMMYFUNCTION("REGEXEXTRACT(J6618, ""^\d+"")"),"87")</f>
        <v>87</v>
      </c>
      <c r="Z6618" s="5" t="str">
        <f>IFERROR(__xludf.DUMMYFUNCTION("REGEXEXTRACT(J6618, ""[A-Za-z ]+$"")")," min")</f>
        <v> min</v>
      </c>
      <c r="AA6618" s="5" t="str">
        <f>IFERROR(__xludf.DUMMYFUNCTION("IF(REGEXMATCH(Z6618, ""Season""), ""TV Show"", ""Movie"")"),"Movie")</f>
        <v>Movie</v>
      </c>
    </row>
    <row r="6619">
      <c r="A6619" s="1" t="s">
        <v>32918</v>
      </c>
      <c r="B6619" s="1" t="s">
        <v>27</v>
      </c>
      <c r="C6619" s="1" t="s">
        <v>32919</v>
      </c>
      <c r="D6619" s="1" t="s">
        <v>938</v>
      </c>
      <c r="E6619" s="1" t="s">
        <v>32920</v>
      </c>
      <c r="F6619" s="1" t="s">
        <v>32921</v>
      </c>
      <c r="G6619" s="1" t="s">
        <v>18253</v>
      </c>
      <c r="H6619" s="1">
        <v>2009.0</v>
      </c>
      <c r="I6619" s="1" t="s">
        <v>378</v>
      </c>
      <c r="J6619" s="1" t="s">
        <v>1243</v>
      </c>
      <c r="K6619" s="1" t="s">
        <v>13636</v>
      </c>
      <c r="L6619" s="1" t="s">
        <v>32922</v>
      </c>
      <c r="M6619" s="2" t="s">
        <v>12</v>
      </c>
      <c r="N6619" s="4">
        <f t="shared" si="1"/>
        <v>43773</v>
      </c>
      <c r="O6619" s="5" t="str">
        <f>IFERROR(__xludf.DUMMYFUNCTION("IF(REGEXMATCH(TRIM(I6619), ""^\d+\s*min""), ""Unclassified"", IF(I6619 = """", ""NR"", I6619))"),"R")</f>
        <v>R</v>
      </c>
      <c r="R6619" s="5" t="str">
        <f t="shared" si="2"/>
        <v>District 9</v>
      </c>
      <c r="S6619" s="5" t="str">
        <f>IFERROR(__xludf.DUMMYFUNCTION("""COMPUTED_VALUE"""),"Şubat")</f>
        <v>Şubat</v>
      </c>
      <c r="V6619" s="5"/>
      <c r="Y6619" s="5" t="str">
        <f>IFERROR(__xludf.DUMMYFUNCTION("REGEXEXTRACT(J6619, ""^\d+"")"),"112")</f>
        <v>112</v>
      </c>
      <c r="Z6619" s="5" t="str">
        <f>IFERROR(__xludf.DUMMYFUNCTION("REGEXEXTRACT(J6619, ""[A-Za-z ]+$"")")," min")</f>
        <v> min</v>
      </c>
      <c r="AA6619" s="5" t="str">
        <f>IFERROR(__xludf.DUMMYFUNCTION("IF(REGEXMATCH(Z6619, ""Season""), ""TV Show"", ""Movie"")"),"Movie")</f>
        <v>Movie</v>
      </c>
    </row>
    <row r="6620">
      <c r="A6620" s="1" t="s">
        <v>32923</v>
      </c>
      <c r="B6620" s="1" t="s">
        <v>37</v>
      </c>
      <c r="C6620" s="1" t="s">
        <v>32924</v>
      </c>
      <c r="G6620" s="1" t="s">
        <v>18971</v>
      </c>
      <c r="H6620" s="1">
        <v>2017.0</v>
      </c>
      <c r="I6620" s="1" t="s">
        <v>42</v>
      </c>
      <c r="J6620" s="1" t="s">
        <v>51</v>
      </c>
      <c r="K6620" s="1" t="s">
        <v>99</v>
      </c>
      <c r="L6620" s="1" t="s">
        <v>32925</v>
      </c>
      <c r="M6620" s="2" t="s">
        <v>12</v>
      </c>
      <c r="N6620" s="4">
        <f t="shared" si="1"/>
        <v>43740</v>
      </c>
      <c r="O6620" s="5" t="str">
        <f>IFERROR(__xludf.DUMMYFUNCTION("IF(REGEXMATCH(TRIM(I6620), ""^\d+\s*min""), ""Unclassified"", IF(I6620 = """", ""NR"", I6620))"),"TV-MA")</f>
        <v>TV-MA</v>
      </c>
      <c r="R6620" s="5" t="str">
        <f t="shared" si="2"/>
        <v>Diva Brides</v>
      </c>
      <c r="S6620" s="5" t="str">
        <f>IFERROR(__xludf.DUMMYFUNCTION("""COMPUTED_VALUE"""),"Submission")</f>
        <v>Submission</v>
      </c>
      <c r="V6620" s="5"/>
      <c r="Y6620" s="5" t="str">
        <f>IFERROR(__xludf.DUMMYFUNCTION("REGEXEXTRACT(J6620, ""^\d+"")"),"1")</f>
        <v>1</v>
      </c>
      <c r="Z6620" s="5" t="str">
        <f>IFERROR(__xludf.DUMMYFUNCTION("REGEXEXTRACT(J6620, ""[A-Za-z ]+$"")")," Season")</f>
        <v> Season</v>
      </c>
      <c r="AA6620" s="5" t="str">
        <f>IFERROR(__xludf.DUMMYFUNCTION("IF(REGEXMATCH(Z6620, ""Season""), ""TV Show"", ""Movie"")"),"TV Show")</f>
        <v>TV Show</v>
      </c>
    </row>
    <row r="6621">
      <c r="A6621" s="1" t="s">
        <v>32926</v>
      </c>
      <c r="B6621" s="1" t="s">
        <v>27</v>
      </c>
      <c r="C6621" s="1" t="s">
        <v>32927</v>
      </c>
      <c r="D6621" s="1" t="s">
        <v>6000</v>
      </c>
      <c r="E6621" s="1" t="s">
        <v>32928</v>
      </c>
      <c r="F6621" s="1" t="s">
        <v>32929</v>
      </c>
      <c r="G6621" s="1" t="s">
        <v>18333</v>
      </c>
      <c r="H6621" s="1">
        <v>1965.0</v>
      </c>
      <c r="I6621" s="1" t="s">
        <v>32</v>
      </c>
      <c r="J6621" s="1" t="s">
        <v>32930</v>
      </c>
      <c r="K6621" s="1" t="s">
        <v>31996</v>
      </c>
      <c r="L6621" s="1" t="s">
        <v>32931</v>
      </c>
      <c r="M6621" s="2" t="s">
        <v>12</v>
      </c>
      <c r="N6621" s="4">
        <f t="shared" si="1"/>
        <v>43770</v>
      </c>
      <c r="O6621" s="5" t="str">
        <f>IFERROR(__xludf.DUMMYFUNCTION("IF(REGEXMATCH(TRIM(I6621), ""^\d+\s*min""), ""Unclassified"", IF(I6621 = """", ""NR"", I6621))"),"PG-13")</f>
        <v>PG-13</v>
      </c>
      <c r="R6621" s="5" t="str">
        <f t="shared" si="2"/>
        <v>Doctor Zhivago</v>
      </c>
      <c r="S6621" s="5" t="str">
        <f>IFERROR(__xludf.DUMMYFUNCTION("""COMPUTED_VALUE"""),"Suburra")</f>
        <v>Suburra</v>
      </c>
      <c r="V6621" s="5"/>
      <c r="Y6621" s="5" t="str">
        <f>IFERROR(__xludf.DUMMYFUNCTION("REGEXEXTRACT(J6621, ""^\d+"")"),"200")</f>
        <v>200</v>
      </c>
      <c r="Z6621" s="5" t="str">
        <f>IFERROR(__xludf.DUMMYFUNCTION("REGEXEXTRACT(J6621, ""[A-Za-z ]+$"")")," min")</f>
        <v> min</v>
      </c>
      <c r="AA6621" s="5" t="str">
        <f>IFERROR(__xludf.DUMMYFUNCTION("IF(REGEXMATCH(Z6621, ""Season""), ""TV Show"", ""Movie"")"),"Movie")</f>
        <v>Movie</v>
      </c>
    </row>
    <row r="6622">
      <c r="A6622" s="1" t="s">
        <v>32932</v>
      </c>
      <c r="B6622" s="1" t="s">
        <v>27</v>
      </c>
      <c r="C6622" s="1" t="s">
        <v>32933</v>
      </c>
      <c r="D6622" s="1" t="s">
        <v>17768</v>
      </c>
      <c r="E6622" s="1" t="s">
        <v>32934</v>
      </c>
      <c r="F6622" s="1" t="s">
        <v>30</v>
      </c>
      <c r="G6622" s="1" t="s">
        <v>28861</v>
      </c>
      <c r="H6622" s="1">
        <v>2016.0</v>
      </c>
      <c r="I6622" s="1" t="s">
        <v>42</v>
      </c>
      <c r="J6622" s="1" t="s">
        <v>454</v>
      </c>
      <c r="K6622" s="1" t="s">
        <v>394</v>
      </c>
      <c r="L6622" s="1" t="s">
        <v>32935</v>
      </c>
      <c r="M6622" s="2" t="s">
        <v>12</v>
      </c>
      <c r="N6622" s="4">
        <f t="shared" si="1"/>
        <v>42735</v>
      </c>
      <c r="O6622" s="5" t="str">
        <f>IFERROR(__xludf.DUMMYFUNCTION("IF(REGEXMATCH(TRIM(I6622), ""^\d+\s*min""), ""Unclassified"", IF(I6622 = """", ""NR"", I6622))"),"TV-MA")</f>
        <v>TV-MA</v>
      </c>
      <c r="R6622" s="5" t="str">
        <f t="shared" si="2"/>
        <v>Dog Eat Dog</v>
      </c>
      <c r="S6622" s="5" t="str">
        <f>IFERROR(__xludf.DUMMYFUNCTION("""COMPUTED_VALUE"""),"Suburra: Blood On Rome")</f>
        <v>Suburra: Blood On Rome</v>
      </c>
      <c r="V6622" s="5"/>
      <c r="Y6622" s="5" t="str">
        <f>IFERROR(__xludf.DUMMYFUNCTION("REGEXEXTRACT(J6622, ""^\d+"")"),"93")</f>
        <v>93</v>
      </c>
      <c r="Z6622" s="5" t="str">
        <f>IFERROR(__xludf.DUMMYFUNCTION("REGEXEXTRACT(J6622, ""[A-Za-z ]+$"")")," min")</f>
        <v> min</v>
      </c>
      <c r="AA6622" s="5" t="str">
        <f>IFERROR(__xludf.DUMMYFUNCTION("IF(REGEXMATCH(Z6622, ""Season""), ""TV Show"", ""Movie"")"),"Movie")</f>
        <v>Movie</v>
      </c>
    </row>
    <row r="6623">
      <c r="A6623" s="1" t="s">
        <v>32936</v>
      </c>
      <c r="B6623" s="1" t="s">
        <v>27</v>
      </c>
      <c r="C6623" s="1" t="s">
        <v>32937</v>
      </c>
      <c r="D6623" s="1" t="s">
        <v>18193</v>
      </c>
      <c r="E6623" s="1" t="s">
        <v>32938</v>
      </c>
      <c r="F6623" s="1" t="s">
        <v>30</v>
      </c>
      <c r="G6623" s="1" t="s">
        <v>20516</v>
      </c>
      <c r="H6623" s="1">
        <v>2019.0</v>
      </c>
      <c r="I6623" s="1" t="s">
        <v>136</v>
      </c>
      <c r="J6623" s="1" t="s">
        <v>33</v>
      </c>
      <c r="K6623" s="1" t="s">
        <v>80</v>
      </c>
      <c r="L6623" s="1" t="s">
        <v>32939</v>
      </c>
      <c r="M6623" s="2" t="s">
        <v>12</v>
      </c>
      <c r="N6623" s="4">
        <f t="shared" si="1"/>
        <v>43621</v>
      </c>
      <c r="O6623" s="5" t="str">
        <f>IFERROR(__xludf.DUMMYFUNCTION("IF(REGEXMATCH(TRIM(I6623), ""^\d+\s*min""), ""Unclassified"", IF(I6623 = """", ""NR"", I6623))"),"TV-PG")</f>
        <v>TV-PG</v>
      </c>
      <c r="R6623" s="5" t="str">
        <f t="shared" si="2"/>
        <v>Dolphin Kick</v>
      </c>
      <c r="S6623" s="5" t="str">
        <f>IFERROR(__xludf.DUMMYFUNCTION("""COMPUTED_VALUE"""),"Suckseed")</f>
        <v>Suckseed</v>
      </c>
      <c r="V6623" s="5"/>
      <c r="Y6623" s="5" t="str">
        <f>IFERROR(__xludf.DUMMYFUNCTION("REGEXEXTRACT(J6623, ""^\d+"")"),"90")</f>
        <v>90</v>
      </c>
      <c r="Z6623" s="5" t="str">
        <f>IFERROR(__xludf.DUMMYFUNCTION("REGEXEXTRACT(J6623, ""[A-Za-z ]+$"")")," min")</f>
        <v> min</v>
      </c>
      <c r="AA6623" s="5" t="str">
        <f>IFERROR(__xludf.DUMMYFUNCTION("IF(REGEXMATCH(Z6623, ""Season""), ""TV Show"", ""Movie"")"),"Movie")</f>
        <v>Movie</v>
      </c>
    </row>
    <row r="6624">
      <c r="A6624" s="1" t="s">
        <v>32940</v>
      </c>
      <c r="B6624" s="1" t="s">
        <v>27</v>
      </c>
      <c r="C6624" s="1" t="s">
        <v>32941</v>
      </c>
      <c r="D6624" s="1" t="s">
        <v>4438</v>
      </c>
      <c r="E6624" s="1" t="s">
        <v>32942</v>
      </c>
      <c r="F6624" s="1" t="s">
        <v>30</v>
      </c>
      <c r="G6624" s="1" t="s">
        <v>21979</v>
      </c>
      <c r="H6624" s="1">
        <v>2014.0</v>
      </c>
      <c r="I6624" s="1" t="s">
        <v>78</v>
      </c>
      <c r="J6624" s="1" t="s">
        <v>1256</v>
      </c>
      <c r="K6624" s="1" t="s">
        <v>771</v>
      </c>
      <c r="L6624" s="1" t="s">
        <v>32943</v>
      </c>
      <c r="M6624" s="2" t="s">
        <v>12</v>
      </c>
      <c r="N6624" s="4">
        <f t="shared" si="1"/>
        <v>43521</v>
      </c>
      <c r="O6624" s="5" t="str">
        <f>IFERROR(__xludf.DUMMYFUNCTION("IF(REGEXMATCH(TRIM(I6624), ""^\d+\s*min""), ""Unclassified"", IF(I6624 = """", ""NR"", I6624))"),"PG")</f>
        <v>PG</v>
      </c>
      <c r="R6624" s="5" t="str">
        <f t="shared" si="2"/>
        <v>Dolphin Tale 2</v>
      </c>
      <c r="S6624" s="5" t="str">
        <f>IFERROR(__xludf.DUMMYFUNCTION("""COMPUTED_VALUE"""),"Sudani From Nigeria")</f>
        <v>Sudani From Nigeria</v>
      </c>
      <c r="V6624" s="5"/>
      <c r="Y6624" s="5" t="str">
        <f>IFERROR(__xludf.DUMMYFUNCTION("REGEXEXTRACT(J6624, ""^\d+"")"),"107")</f>
        <v>107</v>
      </c>
      <c r="Z6624" s="5" t="str">
        <f>IFERROR(__xludf.DUMMYFUNCTION("REGEXEXTRACT(J6624, ""[A-Za-z ]+$"")")," min")</f>
        <v> min</v>
      </c>
      <c r="AA6624" s="5" t="str">
        <f>IFERROR(__xludf.DUMMYFUNCTION("IF(REGEXMATCH(Z6624, ""Season""), ""TV Show"", ""Movie"")"),"Movie")</f>
        <v>Movie</v>
      </c>
    </row>
    <row r="6625">
      <c r="A6625" s="1" t="s">
        <v>32944</v>
      </c>
      <c r="B6625" s="1" t="s">
        <v>27</v>
      </c>
      <c r="C6625" s="1" t="s">
        <v>32945</v>
      </c>
      <c r="D6625" s="1" t="s">
        <v>3763</v>
      </c>
      <c r="E6625" s="1" t="s">
        <v>32946</v>
      </c>
      <c r="F6625" s="1" t="s">
        <v>32947</v>
      </c>
      <c r="G6625" s="1" t="s">
        <v>19067</v>
      </c>
      <c r="H6625" s="1">
        <v>2019.0</v>
      </c>
      <c r="I6625" s="1" t="s">
        <v>378</v>
      </c>
      <c r="J6625" s="1" t="s">
        <v>1191</v>
      </c>
      <c r="K6625" s="1" t="s">
        <v>631</v>
      </c>
      <c r="L6625" s="1" t="s">
        <v>32948</v>
      </c>
      <c r="M6625" s="2" t="s">
        <v>12</v>
      </c>
      <c r="N6625" s="4">
        <f t="shared" si="1"/>
        <v>43736</v>
      </c>
      <c r="O6625" s="5" t="str">
        <f>IFERROR(__xludf.DUMMYFUNCTION("IF(REGEXMATCH(TRIM(I6625), ""^\d+\s*min""), ""Unclassified"", IF(I6625 = """", ""NR"", I6625))"),"R")</f>
        <v>R</v>
      </c>
      <c r="R6625" s="5" t="str">
        <f t="shared" si="2"/>
        <v>Domino</v>
      </c>
      <c r="S6625" s="5" t="str">
        <f>IFERROR(__xludf.DUMMYFUNCTION("""COMPUTED_VALUE"""),"Sudden")</f>
        <v>Sudden</v>
      </c>
      <c r="V6625" s="5"/>
      <c r="Y6625" s="5" t="str">
        <f>IFERROR(__xludf.DUMMYFUNCTION("REGEXEXTRACT(J6625, ""^\d+"")"),"89")</f>
        <v>89</v>
      </c>
      <c r="Z6625" s="5" t="str">
        <f>IFERROR(__xludf.DUMMYFUNCTION("REGEXEXTRACT(J6625, ""[A-Za-z ]+$"")")," min")</f>
        <v> min</v>
      </c>
      <c r="AA6625" s="5" t="str">
        <f>IFERROR(__xludf.DUMMYFUNCTION("IF(REGEXMATCH(Z6625, ""Season""), ""TV Show"", ""Movie"")"),"Movie")</f>
        <v>Movie</v>
      </c>
    </row>
    <row r="6626">
      <c r="A6626" s="1" t="s">
        <v>32949</v>
      </c>
      <c r="B6626" s="1" t="s">
        <v>27</v>
      </c>
      <c r="C6626" s="1" t="s">
        <v>32950</v>
      </c>
      <c r="D6626" s="1" t="s">
        <v>32951</v>
      </c>
      <c r="E6626" s="1" t="s">
        <v>32952</v>
      </c>
      <c r="F6626" s="1" t="s">
        <v>30</v>
      </c>
      <c r="G6626" s="1" t="s">
        <v>26468</v>
      </c>
      <c r="H6626" s="1">
        <v>2015.0</v>
      </c>
      <c r="I6626" s="1" t="s">
        <v>97</v>
      </c>
      <c r="J6626" s="1" t="s">
        <v>490</v>
      </c>
      <c r="K6626" s="1" t="s">
        <v>1749</v>
      </c>
      <c r="L6626" s="1" t="s">
        <v>32953</v>
      </c>
      <c r="M6626" s="2" t="s">
        <v>12</v>
      </c>
      <c r="N6626" s="4">
        <f t="shared" si="1"/>
        <v>43105</v>
      </c>
      <c r="O6626" s="5" t="str">
        <f>IFERROR(__xludf.DUMMYFUNCTION("IF(REGEXMATCH(TRIM(I6626), ""^\d+\s*min""), ""Unclassified"", IF(I6626 = """", ""NR"", I6626))"),"TV-14")</f>
        <v>TV-14</v>
      </c>
      <c r="R6626" s="5" t="str">
        <f t="shared" si="2"/>
        <v>Don Quixote: The Ingenious Gentleman Of La Mancha</v>
      </c>
      <c r="S6626" s="5" t="str">
        <f>IFERROR(__xludf.DUMMYFUNCTION("""COMPUTED_VALUE"""),"Suffragette")</f>
        <v>Suffragette</v>
      </c>
      <c r="V6626" s="5"/>
      <c r="Y6626" s="5" t="str">
        <f>IFERROR(__xludf.DUMMYFUNCTION("REGEXEXTRACT(J6626, ""^\d+"")"),"83")</f>
        <v>83</v>
      </c>
      <c r="Z6626" s="5" t="str">
        <f>IFERROR(__xludf.DUMMYFUNCTION("REGEXEXTRACT(J6626, ""[A-Za-z ]+$"")")," min")</f>
        <v> min</v>
      </c>
      <c r="AA6626" s="5" t="str">
        <f>IFERROR(__xludf.DUMMYFUNCTION("IF(REGEXMATCH(Z6626, ""Season""), ""TV Show"", ""Movie"")"),"Movie")</f>
        <v>Movie</v>
      </c>
    </row>
    <row r="6627">
      <c r="A6627" s="1" t="s">
        <v>32954</v>
      </c>
      <c r="B6627" s="1" t="s">
        <v>27</v>
      </c>
      <c r="C6627" s="1" t="s">
        <v>32955</v>
      </c>
      <c r="D6627" s="1" t="s">
        <v>10199</v>
      </c>
      <c r="E6627" s="1" t="s">
        <v>32956</v>
      </c>
      <c r="F6627" s="1" t="s">
        <v>30</v>
      </c>
      <c r="G6627" s="1" t="s">
        <v>15941</v>
      </c>
      <c r="H6627" s="1">
        <v>2015.0</v>
      </c>
      <c r="I6627" s="1" t="s">
        <v>32</v>
      </c>
      <c r="J6627" s="1" t="s">
        <v>322</v>
      </c>
      <c r="K6627" s="1" t="s">
        <v>239</v>
      </c>
      <c r="L6627" s="1" t="s">
        <v>32957</v>
      </c>
      <c r="M6627" s="2" t="s">
        <v>12</v>
      </c>
      <c r="N6627" s="4">
        <f t="shared" si="1"/>
        <v>43891</v>
      </c>
      <c r="O6627" s="5" t="str">
        <f>IFERROR(__xludf.DUMMYFUNCTION("IF(REGEXMATCH(TRIM(I6627), ""^\d+\s*min""), ""Unclassified"", IF(I6627 = """", ""NR"", I6627))"),"PG-13")</f>
        <v>PG-13</v>
      </c>
      <c r="R6627" s="5" t="str">
        <f t="shared" si="2"/>
        <v>Don Verdean</v>
      </c>
      <c r="S6627" s="5" t="str">
        <f>IFERROR(__xludf.DUMMYFUNCTION("""COMPUTED_VALUE"""),"Sugar High")</f>
        <v>Sugar High</v>
      </c>
      <c r="V6627" s="5"/>
      <c r="Y6627" s="5" t="str">
        <f>IFERROR(__xludf.DUMMYFUNCTION("REGEXEXTRACT(J6627, ""^\d+"")"),"96")</f>
        <v>96</v>
      </c>
      <c r="Z6627" s="5" t="str">
        <f>IFERROR(__xludf.DUMMYFUNCTION("REGEXEXTRACT(J6627, ""[A-Za-z ]+$"")")," min")</f>
        <v> min</v>
      </c>
      <c r="AA6627" s="5" t="str">
        <f>IFERROR(__xludf.DUMMYFUNCTION("IF(REGEXMATCH(Z6627, ""Season""), ""TV Show"", ""Movie"")"),"Movie")</f>
        <v>Movie</v>
      </c>
    </row>
    <row r="6628">
      <c r="A6628" s="1" t="s">
        <v>32958</v>
      </c>
      <c r="B6628" s="1" t="s">
        <v>27</v>
      </c>
      <c r="C6628" s="1" t="s">
        <v>32959</v>
      </c>
      <c r="D6628" s="1" t="s">
        <v>22956</v>
      </c>
      <c r="E6628" s="1" t="s">
        <v>32960</v>
      </c>
      <c r="F6628" s="1" t="s">
        <v>32961</v>
      </c>
      <c r="G6628" s="1" t="s">
        <v>18270</v>
      </c>
      <c r="H6628" s="1">
        <v>2010.0</v>
      </c>
      <c r="I6628" s="1" t="s">
        <v>378</v>
      </c>
      <c r="J6628" s="1" t="s">
        <v>416</v>
      </c>
      <c r="K6628" s="1" t="s">
        <v>1551</v>
      </c>
      <c r="L6628" s="1" t="s">
        <v>32962</v>
      </c>
      <c r="M6628" s="2" t="s">
        <v>12</v>
      </c>
      <c r="N6628" s="4">
        <f t="shared" si="1"/>
        <v>43771</v>
      </c>
      <c r="O6628" s="5" t="str">
        <f>IFERROR(__xludf.DUMMYFUNCTION("IF(REGEXMATCH(TRIM(I6628), ""^\d+\s*min""), ""Unclassified"", IF(I6628 = """", ""NR"", I6628))"),"R")</f>
        <v>R</v>
      </c>
      <c r="R6628" s="5" t="str">
        <f t="shared" si="2"/>
        <v>Don'T Be Afraid Of The Dark</v>
      </c>
      <c r="S6628" s="5" t="str">
        <f>IFERROR(__xludf.DUMMYFUNCTION("""COMPUTED_VALUE"""),"Sugar Rush")</f>
        <v>Sugar Rush</v>
      </c>
      <c r="V6628" s="5"/>
      <c r="Y6628" s="5" t="str">
        <f>IFERROR(__xludf.DUMMYFUNCTION("REGEXEXTRACT(J6628, ""^\d+"")"),"99")</f>
        <v>99</v>
      </c>
      <c r="Z6628" s="5" t="str">
        <f>IFERROR(__xludf.DUMMYFUNCTION("REGEXEXTRACT(J6628, ""[A-Za-z ]+$"")")," min")</f>
        <v> min</v>
      </c>
      <c r="AA6628" s="5" t="str">
        <f>IFERROR(__xludf.DUMMYFUNCTION("IF(REGEXMATCH(Z6628, ""Season""), ""TV Show"", ""Movie"")"),"Movie")</f>
        <v>Movie</v>
      </c>
    </row>
    <row r="6629">
      <c r="A6629" s="1" t="s">
        <v>32963</v>
      </c>
      <c r="B6629" s="1" t="s">
        <v>27</v>
      </c>
      <c r="C6629" s="1" t="s">
        <v>32964</v>
      </c>
      <c r="D6629" s="1" t="s">
        <v>22405</v>
      </c>
      <c r="E6629" s="1" t="s">
        <v>32965</v>
      </c>
      <c r="F6629" s="1" t="s">
        <v>664</v>
      </c>
      <c r="G6629" s="1" t="s">
        <v>13543</v>
      </c>
      <c r="H6629" s="1">
        <v>2015.0</v>
      </c>
      <c r="I6629" s="1" t="s">
        <v>42</v>
      </c>
      <c r="J6629" s="1" t="s">
        <v>465</v>
      </c>
      <c r="K6629" s="1" t="s">
        <v>30729</v>
      </c>
      <c r="L6629" s="1" t="s">
        <v>32966</v>
      </c>
      <c r="M6629" s="2" t="s">
        <v>12</v>
      </c>
      <c r="N6629" s="4">
        <f t="shared" si="1"/>
        <v>43994</v>
      </c>
      <c r="O6629" s="5" t="str">
        <f>IFERROR(__xludf.DUMMYFUNCTION("IF(REGEXMATCH(TRIM(I6629), ""^\d+\s*min""), ""Unclassified"", IF(I6629 = """", ""NR"", I6629))"),"TV-MA")</f>
        <v>TV-MA</v>
      </c>
      <c r="R6629" s="5" t="str">
        <f t="shared" si="2"/>
        <v>Don'T Crack Under Pressure</v>
      </c>
      <c r="S6629" s="5" t="str">
        <f>IFERROR(__xludf.DUMMYFUNCTION("""COMPUTED_VALUE"""),"Sugar Rush Christmas")</f>
        <v>Sugar Rush Christmas</v>
      </c>
      <c r="V6629" s="5"/>
      <c r="Y6629" s="5" t="str">
        <f>IFERROR(__xludf.DUMMYFUNCTION("REGEXEXTRACT(J6629, ""^\d+"")"),"95")</f>
        <v>95</v>
      </c>
      <c r="Z6629" s="5" t="str">
        <f>IFERROR(__xludf.DUMMYFUNCTION("REGEXEXTRACT(J6629, ""[A-Za-z ]+$"")")," min")</f>
        <v> min</v>
      </c>
      <c r="AA6629" s="5" t="str">
        <f>IFERROR(__xludf.DUMMYFUNCTION("IF(REGEXMATCH(Z6629, ""Season""), ""TV Show"", ""Movie"")"),"Movie")</f>
        <v>Movie</v>
      </c>
    </row>
    <row r="6630">
      <c r="A6630" s="1" t="s">
        <v>32967</v>
      </c>
      <c r="B6630" s="1" t="s">
        <v>27</v>
      </c>
      <c r="C6630" s="1" t="s">
        <v>32968</v>
      </c>
      <c r="D6630" s="1" t="s">
        <v>22405</v>
      </c>
      <c r="E6630" s="1" t="s">
        <v>32969</v>
      </c>
      <c r="F6630" s="1" t="s">
        <v>664</v>
      </c>
      <c r="G6630" s="1" t="s">
        <v>13543</v>
      </c>
      <c r="H6630" s="1">
        <v>2016.0</v>
      </c>
      <c r="I6630" s="1" t="s">
        <v>42</v>
      </c>
      <c r="J6630" s="1" t="s">
        <v>428</v>
      </c>
      <c r="K6630" s="1" t="s">
        <v>30729</v>
      </c>
      <c r="L6630" s="1" t="s">
        <v>32970</v>
      </c>
      <c r="M6630" s="2" t="s">
        <v>12</v>
      </c>
      <c r="N6630" s="4">
        <f t="shared" si="1"/>
        <v>43994</v>
      </c>
      <c r="O6630" s="5" t="str">
        <f>IFERROR(__xludf.DUMMYFUNCTION("IF(REGEXMATCH(TRIM(I6630), ""^\d+\s*min""), ""Unclassified"", IF(I6630 = """", ""NR"", I6630))"),"TV-MA")</f>
        <v>TV-MA</v>
      </c>
      <c r="R6630" s="5" t="str">
        <f t="shared" si="2"/>
        <v>Don'T Crack Under Pressure Ii</v>
      </c>
      <c r="S6630" s="5" t="str">
        <f>IFERROR(__xludf.DUMMYFUNCTION("""COMPUTED_VALUE"""),"Suicide (Hitabdut)")</f>
        <v>Suicide (Hitabdut)</v>
      </c>
      <c r="V6630" s="5"/>
      <c r="Y6630" s="5" t="str">
        <f>IFERROR(__xludf.DUMMYFUNCTION("REGEXEXTRACT(J6630, ""^\d+"")"),"88")</f>
        <v>88</v>
      </c>
      <c r="Z6630" s="5" t="str">
        <f>IFERROR(__xludf.DUMMYFUNCTION("REGEXEXTRACT(J6630, ""[A-Za-z ]+$"")")," min")</f>
        <v> min</v>
      </c>
      <c r="AA6630" s="5" t="str">
        <f>IFERROR(__xludf.DUMMYFUNCTION("IF(REGEXMATCH(Z6630, ""Season""), ""TV Show"", ""Movie"")"),"Movie")</f>
        <v>Movie</v>
      </c>
    </row>
    <row r="6631">
      <c r="A6631" s="1" t="s">
        <v>32971</v>
      </c>
      <c r="B6631" s="1" t="s">
        <v>27</v>
      </c>
      <c r="C6631" s="1" t="s">
        <v>32972</v>
      </c>
      <c r="D6631" s="1" t="s">
        <v>22405</v>
      </c>
      <c r="E6631" s="1" t="s">
        <v>32973</v>
      </c>
      <c r="F6631" s="1" t="s">
        <v>664</v>
      </c>
      <c r="G6631" s="1" t="s">
        <v>13543</v>
      </c>
      <c r="H6631" s="1">
        <v>2017.0</v>
      </c>
      <c r="I6631" s="1" t="s">
        <v>97</v>
      </c>
      <c r="J6631" s="1" t="s">
        <v>170</v>
      </c>
      <c r="K6631" s="1" t="s">
        <v>30729</v>
      </c>
      <c r="L6631" s="1" t="s">
        <v>32974</v>
      </c>
      <c r="M6631" s="2" t="s">
        <v>12</v>
      </c>
      <c r="N6631" s="4">
        <f t="shared" si="1"/>
        <v>43994</v>
      </c>
      <c r="O6631" s="5" t="str">
        <f>IFERROR(__xludf.DUMMYFUNCTION("IF(REGEXMATCH(TRIM(I6631), ""^\d+\s*min""), ""Unclassified"", IF(I6631 = """", ""NR"", I6631))"),"TV-14")</f>
        <v>TV-14</v>
      </c>
      <c r="R6631" s="5" t="str">
        <f t="shared" si="2"/>
        <v>Don'T Crack Under Pressure Iii</v>
      </c>
      <c r="S6631" s="5" t="str">
        <f>IFERROR(__xludf.DUMMYFUNCTION("""COMPUTED_VALUE"""),"Suite Française")</f>
        <v>Suite Française</v>
      </c>
      <c r="V6631" s="5"/>
      <c r="Y6631" s="5" t="str">
        <f>IFERROR(__xludf.DUMMYFUNCTION("REGEXEXTRACT(J6631, ""^\d+"")"),"94")</f>
        <v>94</v>
      </c>
      <c r="Z6631" s="5" t="str">
        <f>IFERROR(__xludf.DUMMYFUNCTION("REGEXEXTRACT(J6631, ""[A-Za-z ]+$"")")," min")</f>
        <v> min</v>
      </c>
      <c r="AA6631" s="5" t="str">
        <f>IFERROR(__xludf.DUMMYFUNCTION("IF(REGEXMATCH(Z6631, ""Season""), ""TV Show"", ""Movie"")"),"Movie")</f>
        <v>Movie</v>
      </c>
    </row>
    <row r="6632">
      <c r="A6632" s="1" t="s">
        <v>32975</v>
      </c>
      <c r="B6632" s="1" t="s">
        <v>27</v>
      </c>
      <c r="C6632" s="1" t="s">
        <v>32976</v>
      </c>
      <c r="D6632" s="1" t="s">
        <v>4120</v>
      </c>
      <c r="E6632" s="1" t="s">
        <v>32977</v>
      </c>
      <c r="F6632" s="1" t="s">
        <v>96</v>
      </c>
      <c r="G6632" s="1" t="s">
        <v>22164</v>
      </c>
      <c r="H6632" s="1">
        <v>2016.0</v>
      </c>
      <c r="I6632" s="1" t="s">
        <v>378</v>
      </c>
      <c r="J6632" s="1" t="s">
        <v>454</v>
      </c>
      <c r="K6632" s="1" t="s">
        <v>1441</v>
      </c>
      <c r="L6632" s="1" t="s">
        <v>32978</v>
      </c>
      <c r="M6632" s="2" t="s">
        <v>12</v>
      </c>
      <c r="N6632" s="4">
        <f t="shared" si="1"/>
        <v>43504</v>
      </c>
      <c r="O6632" s="5" t="str">
        <f>IFERROR(__xludf.DUMMYFUNCTION("IF(REGEXMATCH(TRIM(I6632), ""^\d+\s*min""), ""Unclassified"", IF(I6632 = """", ""NR"", I6632))"),"R")</f>
        <v>R</v>
      </c>
      <c r="R6632" s="5" t="str">
        <f t="shared" si="2"/>
        <v>Don'T Knock Twice</v>
      </c>
      <c r="S6632" s="5" t="str">
        <f>IFERROR(__xludf.DUMMYFUNCTION("""COMPUTED_VALUE"""),"Suits")</f>
        <v>Suits</v>
      </c>
      <c r="V6632" s="5"/>
      <c r="Y6632" s="5" t="str">
        <f>IFERROR(__xludf.DUMMYFUNCTION("REGEXEXTRACT(J6632, ""^\d+"")"),"93")</f>
        <v>93</v>
      </c>
      <c r="Z6632" s="5" t="str">
        <f>IFERROR(__xludf.DUMMYFUNCTION("REGEXEXTRACT(J6632, ""[A-Za-z ]+$"")")," min")</f>
        <v> min</v>
      </c>
      <c r="AA6632" s="5" t="str">
        <f>IFERROR(__xludf.DUMMYFUNCTION("IF(REGEXMATCH(Z6632, ""Season""), ""TV Show"", ""Movie"")"),"Movie")</f>
        <v>Movie</v>
      </c>
    </row>
    <row r="6633">
      <c r="A6633" s="1" t="s">
        <v>32979</v>
      </c>
      <c r="B6633" s="1" t="s">
        <v>27</v>
      </c>
      <c r="C6633" s="1" t="s">
        <v>32980</v>
      </c>
      <c r="D6633" s="1" t="s">
        <v>5527</v>
      </c>
      <c r="E6633" s="1" t="s">
        <v>32981</v>
      </c>
      <c r="F6633" s="1" t="s">
        <v>96</v>
      </c>
      <c r="G6633" s="1" t="s">
        <v>28377</v>
      </c>
      <c r="H6633" s="1">
        <v>2016.0</v>
      </c>
      <c r="I6633" s="1" t="s">
        <v>42</v>
      </c>
      <c r="J6633" s="1" t="s">
        <v>454</v>
      </c>
      <c r="K6633" s="1" t="s">
        <v>156</v>
      </c>
      <c r="L6633" s="1" t="s">
        <v>32982</v>
      </c>
      <c r="M6633" s="2" t="s">
        <v>12</v>
      </c>
      <c r="N6633" s="4">
        <f t="shared" si="1"/>
        <v>42826</v>
      </c>
      <c r="O6633" s="5" t="str">
        <f>IFERROR(__xludf.DUMMYFUNCTION("IF(REGEXMATCH(TRIM(I6633), ""^\d+\s*min""), ""Unclassified"", IF(I6633 = """", ""NR"", I6633))"),"TV-MA")</f>
        <v>TV-MA</v>
      </c>
      <c r="R6633" s="5" t="str">
        <f t="shared" si="2"/>
        <v>Don'T Look Down</v>
      </c>
      <c r="S6633" s="5" t="str">
        <f>IFERROR(__xludf.DUMMYFUNCTION("""COMPUTED_VALUE"""),"Summer Night")</f>
        <v>Summer Night</v>
      </c>
      <c r="V6633" s="5"/>
      <c r="Y6633" s="5" t="str">
        <f>IFERROR(__xludf.DUMMYFUNCTION("REGEXEXTRACT(J6633, ""^\d+"")"),"93")</f>
        <v>93</v>
      </c>
      <c r="Z6633" s="5" t="str">
        <f>IFERROR(__xludf.DUMMYFUNCTION("REGEXEXTRACT(J6633, ""[A-Za-z ]+$"")")," min")</f>
        <v> min</v>
      </c>
      <c r="AA6633" s="5" t="str">
        <f>IFERROR(__xludf.DUMMYFUNCTION("IF(REGEXMATCH(Z6633, ""Season""), ""TV Show"", ""Movie"")"),"Movie")</f>
        <v>Movie</v>
      </c>
    </row>
    <row r="6634">
      <c r="A6634" s="1" t="s">
        <v>32983</v>
      </c>
      <c r="B6634" s="1" t="s">
        <v>27</v>
      </c>
      <c r="C6634" s="1" t="s">
        <v>32984</v>
      </c>
      <c r="D6634" s="1" t="s">
        <v>14462</v>
      </c>
      <c r="E6634" s="1" t="s">
        <v>32985</v>
      </c>
      <c r="F6634" s="1" t="s">
        <v>30</v>
      </c>
      <c r="G6634" s="7">
        <v>42856.0</v>
      </c>
      <c r="H6634" s="1">
        <v>2016.0</v>
      </c>
      <c r="I6634" s="1" t="s">
        <v>378</v>
      </c>
      <c r="J6634" s="1" t="s">
        <v>665</v>
      </c>
      <c r="K6634" s="1" t="s">
        <v>836</v>
      </c>
      <c r="L6634" s="1" t="s">
        <v>32986</v>
      </c>
      <c r="M6634" s="2" t="s">
        <v>12</v>
      </c>
      <c r="N6634" s="4">
        <f t="shared" si="1"/>
        <v>42856</v>
      </c>
      <c r="O6634" s="5" t="str">
        <f>IFERROR(__xludf.DUMMYFUNCTION("IF(REGEXMATCH(TRIM(I6634), ""^\d+\s*min""), ""Unclassified"", IF(I6634 = """", ""NR"", I6634))"),"R")</f>
        <v>R</v>
      </c>
      <c r="R6634" s="5" t="str">
        <f t="shared" si="2"/>
        <v>Don'T Think Twice</v>
      </c>
      <c r="S6634" s="5" t="str">
        <f>IFERROR(__xludf.DUMMYFUNCTION("""COMPUTED_VALUE"""),"Summer Of '92")</f>
        <v>Summer Of '92</v>
      </c>
      <c r="V6634" s="5"/>
      <c r="Y6634" s="5" t="str">
        <f>IFERROR(__xludf.DUMMYFUNCTION("REGEXEXTRACT(J6634, ""^\d+"")"),"92")</f>
        <v>92</v>
      </c>
      <c r="Z6634" s="5" t="str">
        <f>IFERROR(__xludf.DUMMYFUNCTION("REGEXEXTRACT(J6634, ""[A-Za-z ]+$"")")," min")</f>
        <v> min</v>
      </c>
      <c r="AA6634" s="5" t="str">
        <f>IFERROR(__xludf.DUMMYFUNCTION("IF(REGEXMATCH(Z6634, ""Season""), ""TV Show"", ""Movie"")"),"Movie")</f>
        <v>Movie</v>
      </c>
    </row>
    <row r="6635">
      <c r="A6635" s="1" t="s">
        <v>32987</v>
      </c>
      <c r="B6635" s="1" t="s">
        <v>27</v>
      </c>
      <c r="C6635" s="1" t="s">
        <v>32988</v>
      </c>
      <c r="D6635" s="1" t="s">
        <v>16071</v>
      </c>
      <c r="E6635" s="1" t="s">
        <v>32989</v>
      </c>
      <c r="F6635" s="1" t="s">
        <v>30</v>
      </c>
      <c r="G6635" s="1" t="s">
        <v>16947</v>
      </c>
      <c r="H6635" s="1">
        <v>1997.0</v>
      </c>
      <c r="I6635" s="1" t="s">
        <v>378</v>
      </c>
      <c r="J6635" s="1" t="s">
        <v>127</v>
      </c>
      <c r="K6635" s="1" t="s">
        <v>394</v>
      </c>
      <c r="L6635" s="1" t="s">
        <v>32990</v>
      </c>
      <c r="M6635" s="2" t="s">
        <v>12</v>
      </c>
      <c r="N6635" s="4">
        <f t="shared" si="1"/>
        <v>43831</v>
      </c>
      <c r="O6635" s="5" t="str">
        <f>IFERROR(__xludf.DUMMYFUNCTION("IF(REGEXMATCH(TRIM(I6635), ""^\d+\s*min""), ""Unclassified"", IF(I6635 = """", ""NR"", I6635))"),"R")</f>
        <v>R</v>
      </c>
      <c r="R6635" s="5" t="str">
        <f t="shared" si="2"/>
        <v>Donnie Brasco</v>
      </c>
      <c r="S6635" s="5" t="str">
        <f>IFERROR(__xludf.DUMMYFUNCTION("""COMPUTED_VALUE"""),"Summertime")</f>
        <v>Summertime</v>
      </c>
      <c r="V6635" s="5"/>
      <c r="Y6635" s="5" t="str">
        <f>IFERROR(__xludf.DUMMYFUNCTION("REGEXEXTRACT(J6635, ""^\d+"")"),"127")</f>
        <v>127</v>
      </c>
      <c r="Z6635" s="5" t="str">
        <f>IFERROR(__xludf.DUMMYFUNCTION("REGEXEXTRACT(J6635, ""[A-Za-z ]+$"")")," min")</f>
        <v> min</v>
      </c>
      <c r="AA6635" s="5" t="str">
        <f>IFERROR(__xludf.DUMMYFUNCTION("IF(REGEXMATCH(Z6635, ""Season""), ""TV Show"", ""Movie"")"),"Movie")</f>
        <v>Movie</v>
      </c>
    </row>
    <row r="6636">
      <c r="A6636" s="1" t="s">
        <v>32991</v>
      </c>
      <c r="B6636" s="1" t="s">
        <v>27</v>
      </c>
      <c r="C6636" s="1" t="s">
        <v>32992</v>
      </c>
      <c r="D6636" s="1" t="s">
        <v>1988</v>
      </c>
      <c r="E6636" s="1" t="s">
        <v>32993</v>
      </c>
      <c r="F6636" s="1" t="s">
        <v>32994</v>
      </c>
      <c r="G6636" s="1" t="s">
        <v>10136</v>
      </c>
      <c r="H6636" s="1">
        <v>2005.0</v>
      </c>
      <c r="I6636" s="1" t="s">
        <v>378</v>
      </c>
      <c r="J6636" s="1" t="s">
        <v>305</v>
      </c>
      <c r="K6636" s="1" t="s">
        <v>2167</v>
      </c>
      <c r="L6636" s="1" t="s">
        <v>32995</v>
      </c>
      <c r="M6636" s="2" t="s">
        <v>12</v>
      </c>
      <c r="N6636" s="4">
        <f t="shared" si="1"/>
        <v>44136</v>
      </c>
      <c r="O6636" s="5" t="str">
        <f>IFERROR(__xludf.DUMMYFUNCTION("IF(REGEXMATCH(TRIM(I6636), ""^\d+\s*min""), ""Unclassified"", IF(I6636 = """", ""NR"", I6636))"),"R")</f>
        <v>R</v>
      </c>
      <c r="R6636" s="5" t="str">
        <f t="shared" si="2"/>
        <v>Doom</v>
      </c>
      <c r="S6636" s="5" t="str">
        <f>IFERROR(__xludf.DUMMYFUNCTION("""COMPUTED_VALUE"""),"Sun Dogs")</f>
        <v>Sun Dogs</v>
      </c>
      <c r="V6636" s="5"/>
      <c r="Y6636" s="5" t="str">
        <f>IFERROR(__xludf.DUMMYFUNCTION("REGEXEXTRACT(J6636, ""^\d+"")"),"105")</f>
        <v>105</v>
      </c>
      <c r="Z6636" s="5" t="str">
        <f>IFERROR(__xludf.DUMMYFUNCTION("REGEXEXTRACT(J6636, ""[A-Za-z ]+$"")")," min")</f>
        <v> min</v>
      </c>
      <c r="AA6636" s="5" t="str">
        <f>IFERROR(__xludf.DUMMYFUNCTION("IF(REGEXMATCH(Z6636, ""Season""), ""TV Show"", ""Movie"")"),"Movie")</f>
        <v>Movie</v>
      </c>
    </row>
    <row r="6637">
      <c r="A6637" s="1" t="s">
        <v>32996</v>
      </c>
      <c r="B6637" s="1" t="s">
        <v>37</v>
      </c>
      <c r="C6637" s="1" t="s">
        <v>32997</v>
      </c>
      <c r="E6637" s="1" t="s">
        <v>32998</v>
      </c>
      <c r="F6637" s="1" t="s">
        <v>30</v>
      </c>
      <c r="G6637" s="1" t="s">
        <v>21838</v>
      </c>
      <c r="H6637" s="1">
        <v>2013.0</v>
      </c>
      <c r="I6637" s="1" t="s">
        <v>97</v>
      </c>
      <c r="J6637" s="1" t="s">
        <v>51</v>
      </c>
      <c r="K6637" s="1" t="s">
        <v>12735</v>
      </c>
      <c r="L6637" s="1" t="s">
        <v>32999</v>
      </c>
      <c r="M6637" s="2" t="s">
        <v>12</v>
      </c>
      <c r="N6637" s="4">
        <f t="shared" si="1"/>
        <v>43525</v>
      </c>
      <c r="O6637" s="5" t="str">
        <f>IFERROR(__xludf.DUMMYFUNCTION("IF(REGEXMATCH(TRIM(I6637), ""^\d+\s*min""), ""Unclassified"", IF(I6637 = """", ""NR"", I6637))"),"TV-14")</f>
        <v>TV-14</v>
      </c>
      <c r="R6637" s="5" t="str">
        <f t="shared" si="2"/>
        <v>Doomsday Preppers</v>
      </c>
      <c r="S6637" s="5" t="str">
        <f>IFERROR(__xludf.DUMMYFUNCTION("""COMPUTED_VALUE"""),"Sunday'S Illness")</f>
        <v>Sunday'S Illness</v>
      </c>
      <c r="V6637" s="5"/>
      <c r="Y6637" s="5" t="str">
        <f>IFERROR(__xludf.DUMMYFUNCTION("REGEXEXTRACT(J6637, ""^\d+"")"),"1")</f>
        <v>1</v>
      </c>
      <c r="Z6637" s="5" t="str">
        <f>IFERROR(__xludf.DUMMYFUNCTION("REGEXEXTRACT(J6637, ""[A-Za-z ]+$"")")," Season")</f>
        <v> Season</v>
      </c>
      <c r="AA6637" s="5" t="str">
        <f>IFERROR(__xludf.DUMMYFUNCTION("IF(REGEXMATCH(Z6637, ""Season""), ""TV Show"", ""Movie"")"),"TV Show")</f>
        <v>TV Show</v>
      </c>
    </row>
    <row r="6638">
      <c r="A6638" s="1" t="s">
        <v>33000</v>
      </c>
      <c r="B6638" s="1" t="s">
        <v>27</v>
      </c>
      <c r="C6638" s="1" t="s">
        <v>33001</v>
      </c>
      <c r="D6638" s="1" t="s">
        <v>23686</v>
      </c>
      <c r="E6638" s="1" t="s">
        <v>33002</v>
      </c>
      <c r="F6638" s="1" t="s">
        <v>1119</v>
      </c>
      <c r="G6638" s="1" t="s">
        <v>24964</v>
      </c>
      <c r="H6638" s="1">
        <v>1989.0</v>
      </c>
      <c r="I6638" s="1" t="s">
        <v>97</v>
      </c>
      <c r="J6638" s="1" t="s">
        <v>170</v>
      </c>
      <c r="K6638" s="1" t="s">
        <v>1328</v>
      </c>
      <c r="L6638" s="1" t="s">
        <v>33003</v>
      </c>
      <c r="M6638" s="2" t="s">
        <v>12</v>
      </c>
      <c r="N6638" s="4">
        <f t="shared" si="1"/>
        <v>43313</v>
      </c>
      <c r="O6638" s="5" t="str">
        <f>IFERROR(__xludf.DUMMYFUNCTION("IF(REGEXMATCH(TRIM(I6638), ""^\d+\s*min""), ""Unclassified"", IF(I6638 = """", ""NR"", I6638))"),"TV-14")</f>
        <v>TV-14</v>
      </c>
      <c r="R6638" s="5" t="str">
        <f t="shared" si="2"/>
        <v>Doubles Cause Troubles</v>
      </c>
      <c r="S6638" s="5" t="str">
        <f>IFERROR(__xludf.DUMMYFUNCTION("""COMPUTED_VALUE"""),"Sunderland 'Til I Die")</f>
        <v>Sunderland 'Til I Die</v>
      </c>
      <c r="V6638" s="5"/>
      <c r="Y6638" s="5" t="str">
        <f>IFERROR(__xludf.DUMMYFUNCTION("REGEXEXTRACT(J6638, ""^\d+"")"),"94")</f>
        <v>94</v>
      </c>
      <c r="Z6638" s="5" t="str">
        <f>IFERROR(__xludf.DUMMYFUNCTION("REGEXEXTRACT(J6638, ""[A-Za-z ]+$"")")," min")</f>
        <v> min</v>
      </c>
      <c r="AA6638" s="5" t="str">
        <f>IFERROR(__xludf.DUMMYFUNCTION("IF(REGEXMATCH(Z6638, ""Season""), ""TV Show"", ""Movie"")"),"Movie")</f>
        <v>Movie</v>
      </c>
    </row>
    <row r="6639">
      <c r="A6639" s="1" t="s">
        <v>33004</v>
      </c>
      <c r="B6639" s="1" t="s">
        <v>27</v>
      </c>
      <c r="C6639" s="1" t="s">
        <v>33005</v>
      </c>
      <c r="D6639" s="1" t="s">
        <v>11425</v>
      </c>
      <c r="E6639" s="1" t="s">
        <v>33006</v>
      </c>
      <c r="F6639" s="1" t="s">
        <v>30</v>
      </c>
      <c r="G6639" s="1" t="s">
        <v>21768</v>
      </c>
      <c r="H6639" s="1">
        <v>2008.0</v>
      </c>
      <c r="I6639" s="1" t="s">
        <v>32</v>
      </c>
      <c r="J6639" s="1" t="s">
        <v>106</v>
      </c>
      <c r="K6639" s="1" t="s">
        <v>1198</v>
      </c>
      <c r="L6639" s="1" t="s">
        <v>33007</v>
      </c>
      <c r="M6639" s="2" t="s">
        <v>12</v>
      </c>
      <c r="N6639" s="4">
        <f t="shared" si="1"/>
        <v>43531</v>
      </c>
      <c r="O6639" s="5" t="str">
        <f>IFERROR(__xludf.DUMMYFUNCTION("IF(REGEXMATCH(TRIM(I6639), ""^\d+\s*min""), ""Unclassified"", IF(I6639 = """", ""NR"", I6639))"),"PG-13")</f>
        <v>PG-13</v>
      </c>
      <c r="R6639" s="5" t="str">
        <f t="shared" si="2"/>
        <v>Doubt</v>
      </c>
      <c r="S6639" s="5" t="str">
        <f>IFERROR(__xludf.DUMMYFUNCTION("""COMPUTED_VALUE"""),"Sunganges")</f>
        <v>Sunganges</v>
      </c>
      <c r="V6639" s="5"/>
      <c r="Y6639" s="5" t="str">
        <f>IFERROR(__xludf.DUMMYFUNCTION("REGEXEXTRACT(J6639, ""^\d+"")"),"104")</f>
        <v>104</v>
      </c>
      <c r="Z6639" s="5" t="str">
        <f>IFERROR(__xludf.DUMMYFUNCTION("REGEXEXTRACT(J6639, ""[A-Za-z ]+$"")")," min")</f>
        <v> min</v>
      </c>
      <c r="AA6639" s="5" t="str">
        <f>IFERROR(__xludf.DUMMYFUNCTION("IF(REGEXMATCH(Z6639, ""Season""), ""TV Show"", ""Movie"")"),"Movie")</f>
        <v>Movie</v>
      </c>
    </row>
    <row r="6640">
      <c r="A6640" s="1" t="s">
        <v>33008</v>
      </c>
      <c r="B6640" s="1" t="s">
        <v>27</v>
      </c>
      <c r="C6640" s="1" t="s">
        <v>33009</v>
      </c>
      <c r="D6640" s="1" t="s">
        <v>14192</v>
      </c>
      <c r="F6640" s="1" t="s">
        <v>30</v>
      </c>
      <c r="G6640" s="1" t="s">
        <v>26413</v>
      </c>
      <c r="H6640" s="1">
        <v>2017.0</v>
      </c>
      <c r="I6640" s="1" t="s">
        <v>136</v>
      </c>
      <c r="J6640" s="1" t="s">
        <v>170</v>
      </c>
      <c r="K6640" s="1" t="s">
        <v>34</v>
      </c>
      <c r="L6640" s="1" t="s">
        <v>33010</v>
      </c>
      <c r="M6640" s="2" t="s">
        <v>12</v>
      </c>
      <c r="N6640" s="4">
        <f t="shared" si="1"/>
        <v>43115</v>
      </c>
      <c r="O6640" s="5" t="str">
        <f>IFERROR(__xludf.DUMMYFUNCTION("IF(REGEXMATCH(TRIM(I6640), ""^\d+\s*min""), ""Unclassified"", IF(I6640 = """", ""NR"", I6640))"),"TV-PG")</f>
        <v>TV-PG</v>
      </c>
      <c r="R6640" s="5" t="str">
        <f t="shared" si="2"/>
        <v>Down The Fence</v>
      </c>
      <c r="S6640" s="5" t="str">
        <f>IFERROR(__xludf.DUMMYFUNCTION("""COMPUTED_VALUE"""),"Sunny Bunnies")</f>
        <v>Sunny Bunnies</v>
      </c>
      <c r="V6640" s="5"/>
      <c r="Y6640" s="5" t="str">
        <f>IFERROR(__xludf.DUMMYFUNCTION("REGEXEXTRACT(J6640, ""^\d+"")"),"94")</f>
        <v>94</v>
      </c>
      <c r="Z6640" s="5" t="str">
        <f>IFERROR(__xludf.DUMMYFUNCTION("REGEXEXTRACT(J6640, ""[A-Za-z ]+$"")")," min")</f>
        <v> min</v>
      </c>
      <c r="AA6640" s="5" t="str">
        <f>IFERROR(__xludf.DUMMYFUNCTION("IF(REGEXMATCH(Z6640, ""Season""), ""TV Show"", ""Movie"")"),"Movie")</f>
        <v>Movie</v>
      </c>
    </row>
    <row r="6641">
      <c r="A6641" s="1" t="s">
        <v>33011</v>
      </c>
      <c r="B6641" s="1" t="s">
        <v>27</v>
      </c>
      <c r="C6641" s="1" t="s">
        <v>33012</v>
      </c>
      <c r="D6641" s="1" t="s">
        <v>3520</v>
      </c>
      <c r="E6641" s="1" t="s">
        <v>33013</v>
      </c>
      <c r="F6641" s="1" t="s">
        <v>30</v>
      </c>
      <c r="G6641" s="7">
        <v>43586.0</v>
      </c>
      <c r="H6641" s="1">
        <v>2003.0</v>
      </c>
      <c r="I6641" s="1" t="s">
        <v>78</v>
      </c>
      <c r="J6641" s="1" t="s">
        <v>1001</v>
      </c>
      <c r="K6641" s="1" t="s">
        <v>137</v>
      </c>
      <c r="L6641" s="1" t="s">
        <v>33014</v>
      </c>
      <c r="M6641" s="2" t="s">
        <v>12</v>
      </c>
      <c r="N6641" s="4">
        <f t="shared" si="1"/>
        <v>43586</v>
      </c>
      <c r="O6641" s="5" t="str">
        <f>IFERROR(__xludf.DUMMYFUNCTION("IF(REGEXMATCH(TRIM(I6641), ""^\d+\s*min""), ""Unclassified"", IF(I6641 = """", ""NR"", I6641))"),"PG")</f>
        <v>PG</v>
      </c>
      <c r="R6641" s="5" t="str">
        <f t="shared" si="2"/>
        <v>Dr. Seuss' The Cat In The Hat</v>
      </c>
      <c r="S6641" s="5" t="str">
        <f>IFERROR(__xludf.DUMMYFUNCTION("""COMPUTED_VALUE"""),"Sunrise")</f>
        <v>Sunrise</v>
      </c>
      <c r="V6641" s="5"/>
      <c r="Y6641" s="5" t="str">
        <f>IFERROR(__xludf.DUMMYFUNCTION("REGEXEXTRACT(J6641, ""^\d+"")"),"82")</f>
        <v>82</v>
      </c>
      <c r="Z6641" s="5" t="str">
        <f>IFERROR(__xludf.DUMMYFUNCTION("REGEXEXTRACT(J6641, ""[A-Za-z ]+$"")")," min")</f>
        <v> min</v>
      </c>
      <c r="AA6641" s="5" t="str">
        <f>IFERROR(__xludf.DUMMYFUNCTION("IF(REGEXMATCH(Z6641, ""Season""), ""TV Show"", ""Movie"")"),"Movie")</f>
        <v>Movie</v>
      </c>
    </row>
    <row r="6642">
      <c r="A6642" s="1" t="s">
        <v>33015</v>
      </c>
      <c r="B6642" s="1" t="s">
        <v>27</v>
      </c>
      <c r="C6642" s="1" t="s">
        <v>33016</v>
      </c>
      <c r="D6642" s="1" t="s">
        <v>20629</v>
      </c>
      <c r="E6642" s="1" t="s">
        <v>33017</v>
      </c>
      <c r="F6642" s="1" t="s">
        <v>33018</v>
      </c>
      <c r="G6642" s="1" t="s">
        <v>20516</v>
      </c>
      <c r="H6642" s="1">
        <v>2018.0</v>
      </c>
      <c r="I6642" s="1" t="s">
        <v>78</v>
      </c>
      <c r="J6642" s="1" t="s">
        <v>1144</v>
      </c>
      <c r="K6642" s="1" t="s">
        <v>137</v>
      </c>
      <c r="L6642" s="1" t="s">
        <v>33019</v>
      </c>
      <c r="M6642" s="2" t="s">
        <v>12</v>
      </c>
      <c r="N6642" s="4">
        <f t="shared" si="1"/>
        <v>43621</v>
      </c>
      <c r="O6642" s="5" t="str">
        <f>IFERROR(__xludf.DUMMYFUNCTION("IF(REGEXMATCH(TRIM(I6642), ""^\d+\s*min""), ""Unclassified"", IF(I6642 = """", ""NR"", I6642))"),"PG")</f>
        <v>PG</v>
      </c>
      <c r="R6642" s="5" t="str">
        <f t="shared" si="2"/>
        <v>Dr. Seuss' The Grinch</v>
      </c>
      <c r="S6642" s="5" t="str">
        <f>IFERROR(__xludf.DUMMYFUNCTION("""COMPUTED_VALUE"""),"Super Bheem")</f>
        <v>Super Bheem</v>
      </c>
      <c r="V6642" s="5"/>
      <c r="Y6642" s="5" t="str">
        <f>IFERROR(__xludf.DUMMYFUNCTION("REGEXEXTRACT(J6642, ""^\d+"")"),"86")</f>
        <v>86</v>
      </c>
      <c r="Z6642" s="5" t="str">
        <f>IFERROR(__xludf.DUMMYFUNCTION("REGEXEXTRACT(J6642, ""[A-Za-z ]+$"")")," min")</f>
        <v> min</v>
      </c>
      <c r="AA6642" s="5" t="str">
        <f>IFERROR(__xludf.DUMMYFUNCTION("IF(REGEXMATCH(Z6642, ""Season""), ""TV Show"", ""Movie"")"),"Movie")</f>
        <v>Movie</v>
      </c>
    </row>
    <row r="6643">
      <c r="A6643" s="1" t="s">
        <v>33020</v>
      </c>
      <c r="B6643" s="1" t="s">
        <v>27</v>
      </c>
      <c r="C6643" s="1" t="s">
        <v>33021</v>
      </c>
      <c r="D6643" s="1" t="s">
        <v>19314</v>
      </c>
      <c r="E6643" s="1" t="s">
        <v>33022</v>
      </c>
      <c r="F6643" s="1" t="s">
        <v>30</v>
      </c>
      <c r="G6643" s="1" t="s">
        <v>16947</v>
      </c>
      <c r="H6643" s="1">
        <v>1996.0</v>
      </c>
      <c r="I6643" s="1" t="s">
        <v>32</v>
      </c>
      <c r="J6643" s="1" t="s">
        <v>238</v>
      </c>
      <c r="K6643" s="1" t="s">
        <v>942</v>
      </c>
      <c r="L6643" s="1" t="s">
        <v>33023</v>
      </c>
      <c r="M6643" s="2" t="s">
        <v>12</v>
      </c>
      <c r="N6643" s="4">
        <f t="shared" si="1"/>
        <v>43831</v>
      </c>
      <c r="O6643" s="5" t="str">
        <f>IFERROR(__xludf.DUMMYFUNCTION("IF(REGEXMATCH(TRIM(I6643), ""^\d+\s*min""), ""Unclassified"", IF(I6643 = """", ""NR"", I6643))"),"PG-13")</f>
        <v>PG-13</v>
      </c>
      <c r="R6643" s="5" t="str">
        <f t="shared" si="2"/>
        <v>Dragonheart</v>
      </c>
      <c r="S6643" s="5" t="str">
        <f>IFERROR(__xludf.DUMMYFUNCTION("""COMPUTED_VALUE"""),"Super Bheem Bana Vajraveer")</f>
        <v>Super Bheem Bana Vajraveer</v>
      </c>
      <c r="V6643" s="5"/>
      <c r="Y6643" s="5" t="str">
        <f>IFERROR(__xludf.DUMMYFUNCTION("REGEXEXTRACT(J6643, ""^\d+"")"),"103")</f>
        <v>103</v>
      </c>
      <c r="Z6643" s="5" t="str">
        <f>IFERROR(__xludf.DUMMYFUNCTION("REGEXEXTRACT(J6643, ""[A-Za-z ]+$"")")," min")</f>
        <v> min</v>
      </c>
      <c r="AA6643" s="5" t="str">
        <f>IFERROR(__xludf.DUMMYFUNCTION("IF(REGEXMATCH(Z6643, ""Season""), ""TV Show"", ""Movie"")"),"Movie")</f>
        <v>Movie</v>
      </c>
    </row>
    <row r="6644">
      <c r="A6644" s="1" t="s">
        <v>33024</v>
      </c>
      <c r="B6644" s="1" t="s">
        <v>27</v>
      </c>
      <c r="C6644" s="1" t="s">
        <v>33025</v>
      </c>
      <c r="D6644" s="1" t="s">
        <v>5144</v>
      </c>
      <c r="E6644" s="1" t="s">
        <v>33026</v>
      </c>
      <c r="F6644" s="1" t="s">
        <v>30</v>
      </c>
      <c r="G6644" s="1" t="s">
        <v>16947</v>
      </c>
      <c r="H6644" s="1">
        <v>2015.0</v>
      </c>
      <c r="I6644" s="1" t="s">
        <v>32</v>
      </c>
      <c r="J6644" s="1" t="s">
        <v>247</v>
      </c>
      <c r="K6644" s="1" t="s">
        <v>942</v>
      </c>
      <c r="L6644" s="1" t="s">
        <v>33027</v>
      </c>
      <c r="M6644" s="2" t="s">
        <v>12</v>
      </c>
      <c r="N6644" s="4">
        <f t="shared" si="1"/>
        <v>43831</v>
      </c>
      <c r="O6644" s="5" t="str">
        <f>IFERROR(__xludf.DUMMYFUNCTION("IF(REGEXMATCH(TRIM(I6644), ""^\d+\s*min""), ""Unclassified"", IF(I6644 = """", ""NR"", I6644))"),"PG-13")</f>
        <v>PG-13</v>
      </c>
      <c r="R6644" s="5" t="str">
        <f t="shared" si="2"/>
        <v>Dragonheart 3: The Sorcerer</v>
      </c>
      <c r="S6644" s="5" t="str">
        <f>IFERROR(__xludf.DUMMYFUNCTION("""COMPUTED_VALUE"""),"Super Dark Times")</f>
        <v>Super Dark Times</v>
      </c>
      <c r="V6644" s="5"/>
      <c r="Y6644" s="5" t="str">
        <f>IFERROR(__xludf.DUMMYFUNCTION("REGEXEXTRACT(J6644, ""^\d+"")"),"97")</f>
        <v>97</v>
      </c>
      <c r="Z6644" s="5" t="str">
        <f>IFERROR(__xludf.DUMMYFUNCTION("REGEXEXTRACT(J6644, ""[A-Za-z ]+$"")")," min")</f>
        <v> min</v>
      </c>
      <c r="AA6644" s="5" t="str">
        <f>IFERROR(__xludf.DUMMYFUNCTION("IF(REGEXMATCH(Z6644, ""Season""), ""TV Show"", ""Movie"")"),"Movie")</f>
        <v>Movie</v>
      </c>
    </row>
    <row r="6645">
      <c r="A6645" s="1" t="s">
        <v>33028</v>
      </c>
      <c r="B6645" s="1" t="s">
        <v>27</v>
      </c>
      <c r="C6645" s="1" t="s">
        <v>33029</v>
      </c>
      <c r="D6645" s="1" t="s">
        <v>6658</v>
      </c>
      <c r="E6645" s="1" t="s">
        <v>33030</v>
      </c>
      <c r="F6645" s="1" t="s">
        <v>30</v>
      </c>
      <c r="G6645" s="1" t="s">
        <v>16947</v>
      </c>
      <c r="H6645" s="1">
        <v>2000.0</v>
      </c>
      <c r="I6645" s="1" t="s">
        <v>78</v>
      </c>
      <c r="J6645" s="1" t="s">
        <v>1608</v>
      </c>
      <c r="K6645" s="1" t="s">
        <v>942</v>
      </c>
      <c r="L6645" s="1" t="s">
        <v>33031</v>
      </c>
      <c r="M6645" s="2" t="s">
        <v>12</v>
      </c>
      <c r="N6645" s="4">
        <f t="shared" si="1"/>
        <v>43831</v>
      </c>
      <c r="O6645" s="5" t="str">
        <f>IFERROR(__xludf.DUMMYFUNCTION("IF(REGEXMATCH(TRIM(I6645), ""^\d+\s*min""), ""Unclassified"", IF(I6645 = """", ""NR"", I6645))"),"PG")</f>
        <v>PG</v>
      </c>
      <c r="R6645" s="5" t="str">
        <f t="shared" si="2"/>
        <v>Dragonheart: A New Beginning</v>
      </c>
      <c r="S6645" s="5" t="str">
        <f>IFERROR(__xludf.DUMMYFUNCTION("""COMPUTED_VALUE"""),"Super Deluxe")</f>
        <v>Super Deluxe</v>
      </c>
      <c r="V6645" s="5"/>
      <c r="Y6645" s="5" t="str">
        <f>IFERROR(__xludf.DUMMYFUNCTION("REGEXEXTRACT(J6645, ""^\d+"")"),"84")</f>
        <v>84</v>
      </c>
      <c r="Z6645" s="5" t="str">
        <f>IFERROR(__xludf.DUMMYFUNCTION("REGEXEXTRACT(J6645, ""[A-Za-z ]+$"")")," min")</f>
        <v> min</v>
      </c>
      <c r="AA6645" s="5" t="str">
        <f>IFERROR(__xludf.DUMMYFUNCTION("IF(REGEXMATCH(Z6645, ""Season""), ""TV Show"", ""Movie"")"),"Movie")</f>
        <v>Movie</v>
      </c>
    </row>
    <row r="6646">
      <c r="A6646" s="1" t="s">
        <v>33032</v>
      </c>
      <c r="B6646" s="1" t="s">
        <v>27</v>
      </c>
      <c r="C6646" s="1" t="s">
        <v>33033</v>
      </c>
      <c r="D6646" s="1" t="s">
        <v>17684</v>
      </c>
      <c r="E6646" s="1" t="s">
        <v>33034</v>
      </c>
      <c r="F6646" s="1" t="s">
        <v>30</v>
      </c>
      <c r="G6646" s="1" t="s">
        <v>27921</v>
      </c>
      <c r="H6646" s="1">
        <v>2017.0</v>
      </c>
      <c r="I6646" s="1" t="s">
        <v>32</v>
      </c>
      <c r="J6646" s="1" t="s">
        <v>357</v>
      </c>
      <c r="K6646" s="1" t="s">
        <v>942</v>
      </c>
      <c r="L6646" s="1" t="s">
        <v>33035</v>
      </c>
      <c r="M6646" s="2" t="s">
        <v>12</v>
      </c>
      <c r="N6646" s="4">
        <f t="shared" si="1"/>
        <v>42899</v>
      </c>
      <c r="O6646" s="5" t="str">
        <f>IFERROR(__xludf.DUMMYFUNCTION("IF(REGEXMATCH(TRIM(I6646), ""^\d+\s*min""), ""Unclassified"", IF(I6646 = """", ""NR"", I6646))"),"PG-13")</f>
        <v>PG-13</v>
      </c>
      <c r="R6646" s="5" t="str">
        <f t="shared" si="2"/>
        <v>Dragonheart: Battle For The Heartfire</v>
      </c>
      <c r="S6646" s="5" t="str">
        <f>IFERROR(__xludf.DUMMYFUNCTION("""COMPUTED_VALUE"""),"Super Drags")</f>
        <v>Super Drags</v>
      </c>
      <c r="V6646" s="5"/>
      <c r="Y6646" s="5" t="str">
        <f>IFERROR(__xludf.DUMMYFUNCTION("REGEXEXTRACT(J6646, ""^\d+"")"),"98")</f>
        <v>98</v>
      </c>
      <c r="Z6646" s="5" t="str">
        <f>IFERROR(__xludf.DUMMYFUNCTION("REGEXEXTRACT(J6646, ""[A-Za-z ]+$"")")," min")</f>
        <v> min</v>
      </c>
      <c r="AA6646" s="5" t="str">
        <f>IFERROR(__xludf.DUMMYFUNCTION("IF(REGEXMATCH(Z6646, ""Season""), ""TV Show"", ""Movie"")"),"Movie")</f>
        <v>Movie</v>
      </c>
    </row>
    <row r="6647">
      <c r="A6647" s="1" t="s">
        <v>33036</v>
      </c>
      <c r="B6647" s="1" t="s">
        <v>27</v>
      </c>
      <c r="C6647" s="1" t="s">
        <v>33037</v>
      </c>
      <c r="D6647" s="1" t="s">
        <v>2621</v>
      </c>
      <c r="G6647" s="1" t="s">
        <v>20318</v>
      </c>
      <c r="H6647" s="1">
        <v>2018.0</v>
      </c>
      <c r="I6647" s="1" t="s">
        <v>206</v>
      </c>
      <c r="J6647" s="1" t="s">
        <v>2626</v>
      </c>
      <c r="K6647" s="1" t="s">
        <v>80</v>
      </c>
      <c r="L6647" s="1" t="s">
        <v>33038</v>
      </c>
      <c r="M6647" s="2" t="s">
        <v>12</v>
      </c>
      <c r="N6647" s="4">
        <f t="shared" si="1"/>
        <v>43634</v>
      </c>
      <c r="O6647" s="5" t="str">
        <f>IFERROR(__xludf.DUMMYFUNCTION("IF(REGEXMATCH(TRIM(I6647), ""^\d+\s*min""), ""Unclassified"", IF(I6647 = """", ""NR"", I6647))"),"TV-Y")</f>
        <v>TV-Y</v>
      </c>
      <c r="R6647" s="5" t="str">
        <f t="shared" si="2"/>
        <v>Dragonkala Ka Rahasya</v>
      </c>
      <c r="S6647" s="5" t="str">
        <f>IFERROR(__xludf.DUMMYFUNCTION("""COMPUTED_VALUE"""),"Super Me")</f>
        <v>Super Me</v>
      </c>
      <c r="V6647" s="5"/>
      <c r="Y6647" s="5" t="str">
        <f>IFERROR(__xludf.DUMMYFUNCTION("REGEXEXTRACT(J6647, ""^\d+"")"),"68")</f>
        <v>68</v>
      </c>
      <c r="Z6647" s="5" t="str">
        <f>IFERROR(__xludf.DUMMYFUNCTION("REGEXEXTRACT(J6647, ""[A-Za-z ]+$"")")," min")</f>
        <v> min</v>
      </c>
      <c r="AA6647" s="5" t="str">
        <f>IFERROR(__xludf.DUMMYFUNCTION("IF(REGEXMATCH(Z6647, ""Season""), ""TV Show"", ""Movie"")"),"Movie")</f>
        <v>Movie</v>
      </c>
    </row>
    <row r="6648">
      <c r="A6648" s="1" t="s">
        <v>33039</v>
      </c>
      <c r="B6648" s="1" t="s">
        <v>37</v>
      </c>
      <c r="C6648" s="1" t="s">
        <v>33040</v>
      </c>
      <c r="E6648" s="1" t="s">
        <v>33041</v>
      </c>
      <c r="F6648" s="1" t="s">
        <v>33042</v>
      </c>
      <c r="G6648" s="7">
        <v>42513.0</v>
      </c>
      <c r="H6648" s="1">
        <v>2016.0</v>
      </c>
      <c r="I6648" s="1" t="s">
        <v>97</v>
      </c>
      <c r="J6648" s="1" t="s">
        <v>51</v>
      </c>
      <c r="K6648" s="1" t="s">
        <v>4634</v>
      </c>
      <c r="L6648" s="1" t="s">
        <v>33043</v>
      </c>
      <c r="M6648" s="2" t="s">
        <v>12</v>
      </c>
      <c r="N6648" s="4">
        <f t="shared" si="1"/>
        <v>42513</v>
      </c>
      <c r="O6648" s="5" t="str">
        <f>IFERROR(__xludf.DUMMYFUNCTION("IF(REGEXMATCH(TRIM(I6648), ""^\d+\s*min""), ""Unclassified"", IF(I6648 = """", ""NR"", I6648))"),"TV-14")</f>
        <v>TV-14</v>
      </c>
      <c r="R6648" s="5" t="str">
        <f t="shared" si="2"/>
        <v>Dramaworld</v>
      </c>
      <c r="S6648" s="5" t="str">
        <f>IFERROR(__xludf.DUMMYFUNCTION("""COMPUTED_VALUE"""),"Super Monsters")</f>
        <v>Super Monsters</v>
      </c>
      <c r="V6648" s="5"/>
      <c r="Y6648" s="5" t="str">
        <f>IFERROR(__xludf.DUMMYFUNCTION("REGEXEXTRACT(J6648, ""^\d+"")"),"1")</f>
        <v>1</v>
      </c>
      <c r="Z6648" s="5" t="str">
        <f>IFERROR(__xludf.DUMMYFUNCTION("REGEXEXTRACT(J6648, ""[A-Za-z ]+$"")")," Season")</f>
        <v> Season</v>
      </c>
      <c r="AA6648" s="5" t="str">
        <f>IFERROR(__xludf.DUMMYFUNCTION("IF(REGEXMATCH(Z6648, ""Season""), ""TV Show"", ""Movie"")"),"TV Show")</f>
        <v>TV Show</v>
      </c>
    </row>
    <row r="6649">
      <c r="A6649" s="1" t="s">
        <v>33044</v>
      </c>
      <c r="B6649" s="1" t="s">
        <v>27</v>
      </c>
      <c r="C6649" s="1" t="s">
        <v>33045</v>
      </c>
      <c r="D6649" s="1" t="s">
        <v>33046</v>
      </c>
      <c r="E6649" s="1" t="s">
        <v>33047</v>
      </c>
      <c r="F6649" s="1" t="s">
        <v>30</v>
      </c>
      <c r="G6649" s="1" t="s">
        <v>25185</v>
      </c>
      <c r="H6649" s="1">
        <v>2017.0</v>
      </c>
      <c r="I6649" s="1" t="s">
        <v>506</v>
      </c>
      <c r="J6649" s="1" t="s">
        <v>7390</v>
      </c>
      <c r="K6649" s="1" t="s">
        <v>34</v>
      </c>
      <c r="L6649" s="1" t="s">
        <v>33048</v>
      </c>
      <c r="M6649" s="2" t="s">
        <v>12</v>
      </c>
      <c r="N6649" s="4">
        <f t="shared" si="1"/>
        <v>43282</v>
      </c>
      <c r="O6649" s="5" t="str">
        <f>IFERROR(__xludf.DUMMYFUNCTION("IF(REGEXMATCH(TRIM(I6649), ""^\d+\s*min""), ""Unclassified"", IF(I6649 = """", ""NR"", I6649))"),"TV-G")</f>
        <v>TV-G</v>
      </c>
      <c r="R6649" s="5" t="str">
        <f t="shared" si="2"/>
        <v>Dream Big: Engineering Our World</v>
      </c>
      <c r="S6649" s="5" t="str">
        <f>IFERROR(__xludf.DUMMYFUNCTION("""COMPUTED_VALUE"""),"Super Monsters And The Wish Star")</f>
        <v>Super Monsters And The Wish Star</v>
      </c>
      <c r="V6649" s="5"/>
      <c r="Y6649" s="5" t="str">
        <f>IFERROR(__xludf.DUMMYFUNCTION("REGEXEXTRACT(J6649, ""^\d+"")"),"42")</f>
        <v>42</v>
      </c>
      <c r="Z6649" s="5" t="str">
        <f>IFERROR(__xludf.DUMMYFUNCTION("REGEXEXTRACT(J6649, ""[A-Za-z ]+$"")")," min")</f>
        <v> min</v>
      </c>
      <c r="AA6649" s="5" t="str">
        <f>IFERROR(__xludf.DUMMYFUNCTION("IF(REGEXMATCH(Z6649, ""Season""), ""TV Show"", ""Movie"")"),"Movie")</f>
        <v>Movie</v>
      </c>
    </row>
    <row r="6650">
      <c r="A6650" s="1" t="s">
        <v>33049</v>
      </c>
      <c r="B6650" s="1" t="s">
        <v>27</v>
      </c>
      <c r="C6650" s="1" t="s">
        <v>33050</v>
      </c>
      <c r="D6650" s="1" t="s">
        <v>22938</v>
      </c>
      <c r="F6650" s="1" t="s">
        <v>2492</v>
      </c>
      <c r="G6650" s="1" t="s">
        <v>26674</v>
      </c>
      <c r="H6650" s="1">
        <v>2017.0</v>
      </c>
      <c r="I6650" s="1" t="s">
        <v>42</v>
      </c>
      <c r="J6650" s="1" t="s">
        <v>665</v>
      </c>
      <c r="K6650" s="1" t="s">
        <v>5201</v>
      </c>
      <c r="L6650" s="1" t="s">
        <v>33051</v>
      </c>
      <c r="M6650" s="2" t="s">
        <v>12</v>
      </c>
      <c r="N6650" s="4">
        <f t="shared" si="1"/>
        <v>43070</v>
      </c>
      <c r="O6650" s="5" t="str">
        <f>IFERROR(__xludf.DUMMYFUNCTION("IF(REGEXMATCH(TRIM(I6650), ""^\d+\s*min""), ""Unclassified"", IF(I6650 = """", ""NR"", I6650))"),"TV-MA")</f>
        <v>TV-MA</v>
      </c>
      <c r="R6650" s="5" t="str">
        <f t="shared" si="2"/>
        <v>Dream Boat</v>
      </c>
      <c r="S6650" s="5" t="str">
        <f>IFERROR(__xludf.DUMMYFUNCTION("""COMPUTED_VALUE"""),"Super Monsters Back To School")</f>
        <v>Super Monsters Back To School</v>
      </c>
      <c r="V6650" s="5"/>
      <c r="Y6650" s="5" t="str">
        <f>IFERROR(__xludf.DUMMYFUNCTION("REGEXEXTRACT(J6650, ""^\d+"")"),"92")</f>
        <v>92</v>
      </c>
      <c r="Z6650" s="5" t="str">
        <f>IFERROR(__xludf.DUMMYFUNCTION("REGEXEXTRACT(J6650, ""[A-Za-z ]+$"")")," min")</f>
        <v> min</v>
      </c>
      <c r="AA6650" s="5" t="str">
        <f>IFERROR(__xludf.DUMMYFUNCTION("IF(REGEXMATCH(Z6650, ""Season""), ""TV Show"", ""Movie"")"),"Movie")</f>
        <v>Movie</v>
      </c>
    </row>
    <row r="6651">
      <c r="A6651" s="1" t="s">
        <v>33052</v>
      </c>
      <c r="B6651" s="1" t="s">
        <v>27</v>
      </c>
      <c r="C6651" s="1" t="s">
        <v>33053</v>
      </c>
      <c r="D6651" s="1" t="s">
        <v>18980</v>
      </c>
      <c r="E6651" s="1" t="s">
        <v>33054</v>
      </c>
      <c r="F6651" s="1" t="s">
        <v>33055</v>
      </c>
      <c r="G6651" s="1" t="s">
        <v>26481</v>
      </c>
      <c r="H6651" s="1">
        <v>2017.0</v>
      </c>
      <c r="I6651" s="1" t="s">
        <v>136</v>
      </c>
      <c r="J6651" s="1" t="s">
        <v>1191</v>
      </c>
      <c r="K6651" s="1" t="s">
        <v>156</v>
      </c>
      <c r="L6651" s="1" t="s">
        <v>33056</v>
      </c>
      <c r="M6651" s="2" t="s">
        <v>12</v>
      </c>
      <c r="N6651" s="4">
        <f t="shared" si="1"/>
        <v>43101</v>
      </c>
      <c r="O6651" s="5" t="str">
        <f>IFERROR(__xludf.DUMMYFUNCTION("IF(REGEXMATCH(TRIM(I6651), ""^\d+\s*min""), ""Unclassified"", IF(I6651 = """", ""NR"", I6651))"),"TV-PG")</f>
        <v>TV-PG</v>
      </c>
      <c r="R6651" s="5" t="str">
        <f t="shared" si="2"/>
        <v>Dries</v>
      </c>
      <c r="S6651" s="5" t="str">
        <f>IFERROR(__xludf.DUMMYFUNCTION("""COMPUTED_VALUE"""),"Super Monsters Furever Friends")</f>
        <v>Super Monsters Furever Friends</v>
      </c>
      <c r="V6651" s="5"/>
      <c r="Y6651" s="5" t="str">
        <f>IFERROR(__xludf.DUMMYFUNCTION("REGEXEXTRACT(J6651, ""^\d+"")"),"89")</f>
        <v>89</v>
      </c>
      <c r="Z6651" s="5" t="str">
        <f>IFERROR(__xludf.DUMMYFUNCTION("REGEXEXTRACT(J6651, ""[A-Za-z ]+$"")")," min")</f>
        <v> min</v>
      </c>
      <c r="AA6651" s="5" t="str">
        <f>IFERROR(__xludf.DUMMYFUNCTION("IF(REGEXMATCH(Z6651, ""Season""), ""TV Show"", ""Movie"")"),"Movie")</f>
        <v>Movie</v>
      </c>
    </row>
    <row r="6652">
      <c r="A6652" s="1" t="s">
        <v>33057</v>
      </c>
      <c r="B6652" s="1" t="s">
        <v>27</v>
      </c>
      <c r="C6652" s="1" t="s">
        <v>33058</v>
      </c>
      <c r="E6652" s="1" t="s">
        <v>33059</v>
      </c>
      <c r="F6652" s="1" t="s">
        <v>30</v>
      </c>
      <c r="G6652" s="1" t="s">
        <v>33060</v>
      </c>
      <c r="H6652" s="1">
        <v>2018.0</v>
      </c>
      <c r="I6652" s="1" t="s">
        <v>136</v>
      </c>
      <c r="J6652" s="1" t="s">
        <v>416</v>
      </c>
      <c r="K6652" s="1" t="s">
        <v>805</v>
      </c>
      <c r="L6652" s="1" t="s">
        <v>33061</v>
      </c>
      <c r="M6652" s="2" t="s">
        <v>12</v>
      </c>
      <c r="N6652" s="4">
        <f t="shared" si="1"/>
        <v>43481</v>
      </c>
      <c r="O6652" s="5" t="str">
        <f>IFERROR(__xludf.DUMMYFUNCTION("IF(REGEXMATCH(TRIM(I6652), ""^\d+\s*min""), ""Unclassified"", IF(I6652 = """", ""NR"", I6652))"),"TV-PG")</f>
        <v>TV-PG</v>
      </c>
      <c r="R6652" s="5" t="str">
        <f t="shared" si="2"/>
        <v>Driven To Dance</v>
      </c>
      <c r="S6652" s="5" t="str">
        <f>IFERROR(__xludf.DUMMYFUNCTION("""COMPUTED_VALUE"""),"Super Monsters Monster Party")</f>
        <v>Super Monsters Monster Party</v>
      </c>
      <c r="V6652" s="5"/>
      <c r="Y6652" s="5" t="str">
        <f>IFERROR(__xludf.DUMMYFUNCTION("REGEXEXTRACT(J6652, ""^\d+"")"),"99")</f>
        <v>99</v>
      </c>
      <c r="Z6652" s="5" t="str">
        <f>IFERROR(__xludf.DUMMYFUNCTION("REGEXEXTRACT(J6652, ""[A-Za-z ]+$"")")," min")</f>
        <v> min</v>
      </c>
      <c r="AA6652" s="5" t="str">
        <f>IFERROR(__xludf.DUMMYFUNCTION("IF(REGEXMATCH(Z6652, ""Season""), ""TV Show"", ""Movie"")"),"Movie")</f>
        <v>Movie</v>
      </c>
    </row>
    <row r="6653">
      <c r="A6653" s="1" t="s">
        <v>33062</v>
      </c>
      <c r="B6653" s="1" t="s">
        <v>37</v>
      </c>
      <c r="C6653" s="1" t="s">
        <v>33063</v>
      </c>
      <c r="E6653" s="1" t="s">
        <v>33064</v>
      </c>
      <c r="F6653" s="1" t="s">
        <v>30</v>
      </c>
      <c r="G6653" s="1" t="s">
        <v>21486</v>
      </c>
      <c r="H6653" s="1">
        <v>2015.0</v>
      </c>
      <c r="I6653" s="1" t="s">
        <v>42</v>
      </c>
      <c r="J6653" s="1" t="s">
        <v>51</v>
      </c>
      <c r="K6653" s="1" t="s">
        <v>2043</v>
      </c>
      <c r="L6653" s="1" t="s">
        <v>33065</v>
      </c>
      <c r="M6653" s="2" t="s">
        <v>12</v>
      </c>
      <c r="N6653" s="4">
        <f t="shared" si="1"/>
        <v>43547</v>
      </c>
      <c r="O6653" s="5" t="str">
        <f>IFERROR(__xludf.DUMMYFUNCTION("IF(REGEXMATCH(TRIM(I6653), ""^\d+\s*min""), ""Unclassified"", IF(I6653 = """", ""NR"", I6653))"),"TV-MA")</f>
        <v>TV-MA</v>
      </c>
      <c r="R6653" s="5" t="str">
        <f t="shared" si="2"/>
        <v>Drugs, Inc.</v>
      </c>
      <c r="S6653" s="5" t="str">
        <f>IFERROR(__xludf.DUMMYFUNCTION("""COMPUTED_VALUE"""),"Super Monsters Monster Pets")</f>
        <v>Super Monsters Monster Pets</v>
      </c>
      <c r="V6653" s="5"/>
      <c r="Y6653" s="5" t="str">
        <f>IFERROR(__xludf.DUMMYFUNCTION("REGEXEXTRACT(J6653, ""^\d+"")"),"1")</f>
        <v>1</v>
      </c>
      <c r="Z6653" s="5" t="str">
        <f>IFERROR(__xludf.DUMMYFUNCTION("REGEXEXTRACT(J6653, ""[A-Za-z ]+$"")")," Season")</f>
        <v> Season</v>
      </c>
      <c r="AA6653" s="5" t="str">
        <f>IFERROR(__xludf.DUMMYFUNCTION("IF(REGEXMATCH(Z6653, ""Season""), ""TV Show"", ""Movie"")"),"TV Show")</f>
        <v>TV Show</v>
      </c>
    </row>
    <row r="6654">
      <c r="A6654" s="1" t="s">
        <v>33066</v>
      </c>
      <c r="B6654" s="1" t="s">
        <v>37</v>
      </c>
      <c r="C6654" s="1" t="s">
        <v>33067</v>
      </c>
      <c r="E6654" s="1" t="s">
        <v>33068</v>
      </c>
      <c r="F6654" s="1" t="s">
        <v>18009</v>
      </c>
      <c r="G6654" s="1" t="s">
        <v>28579</v>
      </c>
      <c r="H6654" s="1">
        <v>2015.0</v>
      </c>
      <c r="I6654" s="1" t="s">
        <v>97</v>
      </c>
      <c r="J6654" s="1" t="s">
        <v>51</v>
      </c>
      <c r="K6654" s="1" t="s">
        <v>785</v>
      </c>
      <c r="L6654" s="1" t="s">
        <v>33069</v>
      </c>
      <c r="M6654" s="2" t="s">
        <v>12</v>
      </c>
      <c r="N6654" s="4">
        <f t="shared" si="1"/>
        <v>42791</v>
      </c>
      <c r="O6654" s="5" t="str">
        <f>IFERROR(__xludf.DUMMYFUNCTION("IF(REGEXMATCH(TRIM(I6654), ""^\d+\s*min""), ""Unclassified"", IF(I6654 = """", ""NR"", I6654))"),"TV-14")</f>
        <v>TV-14</v>
      </c>
      <c r="R6654" s="5" t="str">
        <f t="shared" si="2"/>
        <v>Dueños Del Paraíso</v>
      </c>
      <c r="S6654" s="5" t="str">
        <f>IFERROR(__xludf.DUMMYFUNCTION("""COMPUTED_VALUE"""),"Super Monsters Save Christmas")</f>
        <v>Super Monsters Save Christmas</v>
      </c>
      <c r="V6654" s="5"/>
      <c r="Y6654" s="5" t="str">
        <f>IFERROR(__xludf.DUMMYFUNCTION("REGEXEXTRACT(J6654, ""^\d+"")"),"1")</f>
        <v>1</v>
      </c>
      <c r="Z6654" s="5" t="str">
        <f>IFERROR(__xludf.DUMMYFUNCTION("REGEXEXTRACT(J6654, ""[A-Za-z ]+$"")")," Season")</f>
        <v> Season</v>
      </c>
      <c r="AA6654" s="5" t="str">
        <f>IFERROR(__xludf.DUMMYFUNCTION("IF(REGEXMATCH(Z6654, ""Season""), ""TV Show"", ""Movie"")"),"TV Show")</f>
        <v>TV Show</v>
      </c>
    </row>
    <row r="6655">
      <c r="A6655" s="1" t="s">
        <v>33070</v>
      </c>
      <c r="B6655" s="1" t="s">
        <v>27</v>
      </c>
      <c r="C6655" s="1" t="s">
        <v>33071</v>
      </c>
      <c r="D6655" s="1" t="s">
        <v>557</v>
      </c>
      <c r="E6655" s="1" t="s">
        <v>33072</v>
      </c>
      <c r="F6655" s="1" t="s">
        <v>33073</v>
      </c>
      <c r="G6655" s="1" t="s">
        <v>29495</v>
      </c>
      <c r="H6655" s="1">
        <v>2014.0</v>
      </c>
      <c r="I6655" s="1" t="s">
        <v>97</v>
      </c>
      <c r="J6655" s="1" t="s">
        <v>454</v>
      </c>
      <c r="K6655" s="1" t="s">
        <v>89</v>
      </c>
      <c r="L6655" s="1" t="s">
        <v>33074</v>
      </c>
      <c r="M6655" s="2" t="s">
        <v>12</v>
      </c>
      <c r="N6655" s="4">
        <f t="shared" si="1"/>
        <v>42614</v>
      </c>
      <c r="O6655" s="5" t="str">
        <f>IFERROR(__xludf.DUMMYFUNCTION("IF(REGEXMATCH(TRIM(I6655), ""^\d+\s*min""), ""Unclassified"", IF(I6655 = """", ""NR"", I6655))"),"TV-14")</f>
        <v>TV-14</v>
      </c>
      <c r="R6655" s="5" t="str">
        <f t="shared" si="2"/>
        <v>Dukhtar</v>
      </c>
      <c r="S6655" s="5" t="str">
        <f>IFERROR(__xludf.DUMMYFUNCTION("""COMPUTED_VALUE"""),"Super Monsters Save Halloween")</f>
        <v>Super Monsters Save Halloween</v>
      </c>
      <c r="V6655" s="5"/>
      <c r="Y6655" s="5" t="str">
        <f>IFERROR(__xludf.DUMMYFUNCTION("REGEXEXTRACT(J6655, ""^\d+"")"),"93")</f>
        <v>93</v>
      </c>
      <c r="Z6655" s="5" t="str">
        <f>IFERROR(__xludf.DUMMYFUNCTION("REGEXEXTRACT(J6655, ""[A-Za-z ]+$"")")," min")</f>
        <v> min</v>
      </c>
      <c r="AA6655" s="5" t="str">
        <f>IFERROR(__xludf.DUMMYFUNCTION("IF(REGEXMATCH(Z6655, ""Season""), ""TV Show"", ""Movie"")"),"Movie")</f>
        <v>Movie</v>
      </c>
    </row>
    <row r="6656">
      <c r="A6656" s="1" t="s">
        <v>33075</v>
      </c>
      <c r="B6656" s="1" t="s">
        <v>27</v>
      </c>
      <c r="C6656" s="1" t="s">
        <v>33076</v>
      </c>
      <c r="D6656" s="1" t="s">
        <v>6882</v>
      </c>
      <c r="E6656" s="1" t="s">
        <v>33077</v>
      </c>
      <c r="F6656" s="1" t="s">
        <v>63</v>
      </c>
      <c r="G6656" s="1" t="s">
        <v>26089</v>
      </c>
      <c r="H6656" s="1">
        <v>2003.0</v>
      </c>
      <c r="I6656" s="1" t="s">
        <v>97</v>
      </c>
      <c r="J6656" s="1" t="s">
        <v>6105</v>
      </c>
      <c r="K6656" s="1" t="s">
        <v>306</v>
      </c>
      <c r="L6656" s="1" t="s">
        <v>33078</v>
      </c>
      <c r="M6656" s="2" t="s">
        <v>12</v>
      </c>
      <c r="N6656" s="4">
        <f t="shared" si="1"/>
        <v>43160</v>
      </c>
      <c r="O6656" s="5" t="str">
        <f>IFERROR(__xludf.DUMMYFUNCTION("IF(REGEXMATCH(TRIM(I6656), ""^\d+\s*min""), ""Unclassified"", IF(I6656 = """", ""NR"", I6656))"),"TV-14")</f>
        <v>TV-14</v>
      </c>
      <c r="R6656" s="5" t="str">
        <f t="shared" si="2"/>
        <v>Dum</v>
      </c>
      <c r="S6656" s="5" t="str">
        <f>IFERROR(__xludf.DUMMYFUNCTION("""COMPUTED_VALUE"""),"Super Monsters: Dia De Los Monsters")</f>
        <v>Super Monsters: Dia De Los Monsters</v>
      </c>
      <c r="V6656" s="5"/>
      <c r="Y6656" s="5" t="str">
        <f>IFERROR(__xludf.DUMMYFUNCTION("REGEXEXTRACT(J6656, ""^\d+"")"),"162")</f>
        <v>162</v>
      </c>
      <c r="Z6656" s="5" t="str">
        <f>IFERROR(__xludf.DUMMYFUNCTION("REGEXEXTRACT(J6656, ""[A-Za-z ]+$"")")," min")</f>
        <v> min</v>
      </c>
      <c r="AA6656" s="5" t="str">
        <f>IFERROR(__xludf.DUMMYFUNCTION("IF(REGEXMATCH(Z6656, ""Season""), ""TV Show"", ""Movie"")"),"Movie")</f>
        <v>Movie</v>
      </c>
    </row>
    <row r="6657">
      <c r="A6657" s="1" t="s">
        <v>33079</v>
      </c>
      <c r="B6657" s="1" t="s">
        <v>27</v>
      </c>
      <c r="C6657" s="1" t="s">
        <v>33080</v>
      </c>
      <c r="D6657" s="1" t="s">
        <v>7037</v>
      </c>
      <c r="E6657" s="1" t="s">
        <v>33081</v>
      </c>
      <c r="F6657" s="1" t="s">
        <v>30</v>
      </c>
      <c r="G6657" s="1" t="s">
        <v>18985</v>
      </c>
      <c r="H6657" s="1">
        <v>2003.0</v>
      </c>
      <c r="I6657" s="1" t="s">
        <v>32</v>
      </c>
      <c r="J6657" s="1" t="s">
        <v>471</v>
      </c>
      <c r="K6657" s="1" t="s">
        <v>239</v>
      </c>
      <c r="L6657" s="1" t="s">
        <v>33082</v>
      </c>
      <c r="M6657" s="2" t="s">
        <v>12</v>
      </c>
      <c r="N6657" s="4">
        <f t="shared" si="1"/>
        <v>43739</v>
      </c>
      <c r="O6657" s="5" t="str">
        <f>IFERROR(__xludf.DUMMYFUNCTION("IF(REGEXMATCH(TRIM(I6657), ""^\d+\s*min""), ""Unclassified"", IF(I6657 = """", ""NR"", I6657))"),"PG-13")</f>
        <v>PG-13</v>
      </c>
      <c r="R6657" s="5" t="str">
        <f t="shared" si="2"/>
        <v>Dumb And Dumberer: When Harry Met Lloyd</v>
      </c>
      <c r="S6657" s="5" t="str">
        <f>IFERROR(__xludf.DUMMYFUNCTION("""COMPUTED_VALUE"""),"Super Monsters: Once Upon A Rhyme")</f>
        <v>Super Monsters: Once Upon A Rhyme</v>
      </c>
      <c r="V6657" s="5"/>
      <c r="Y6657" s="5" t="str">
        <f>IFERROR(__xludf.DUMMYFUNCTION("REGEXEXTRACT(J6657, ""^\d+"")"),"85")</f>
        <v>85</v>
      </c>
      <c r="Z6657" s="5" t="str">
        <f>IFERROR(__xludf.DUMMYFUNCTION("REGEXEXTRACT(J6657, ""[A-Za-z ]+$"")")," min")</f>
        <v> min</v>
      </c>
      <c r="AA6657" s="5" t="str">
        <f>IFERROR(__xludf.DUMMYFUNCTION("IF(REGEXMATCH(Z6657, ""Season""), ""TV Show"", ""Movie"")"),"Movie")</f>
        <v>Movie</v>
      </c>
    </row>
    <row r="6658">
      <c r="A6658" s="1" t="s">
        <v>33083</v>
      </c>
      <c r="B6658" s="1" t="s">
        <v>27</v>
      </c>
      <c r="C6658" s="1" t="s">
        <v>33084</v>
      </c>
      <c r="D6658" s="1" t="s">
        <v>7073</v>
      </c>
      <c r="E6658" s="1" t="s">
        <v>33085</v>
      </c>
      <c r="F6658" s="1" t="s">
        <v>96</v>
      </c>
      <c r="G6658" s="1" t="s">
        <v>22239</v>
      </c>
      <c r="H6658" s="1">
        <v>2016.0</v>
      </c>
      <c r="I6658" s="1" t="s">
        <v>97</v>
      </c>
      <c r="J6658" s="1" t="s">
        <v>8095</v>
      </c>
      <c r="K6658" s="1" t="s">
        <v>34</v>
      </c>
      <c r="L6658" s="1" t="s">
        <v>33086</v>
      </c>
      <c r="M6658" s="2" t="s">
        <v>12</v>
      </c>
      <c r="N6658" s="4">
        <f t="shared" si="1"/>
        <v>43497</v>
      </c>
      <c r="O6658" s="5" t="str">
        <f>IFERROR(__xludf.DUMMYFUNCTION("IF(REGEXMATCH(TRIM(I6658), ""^\d+\s*min""), ""Unclassified"", IF(I6658 = """", ""NR"", I6658))"),"TV-14")</f>
        <v>TV-14</v>
      </c>
      <c r="R6658" s="5" t="str">
        <f t="shared" si="2"/>
        <v>E-Cigarettes: Miracle Or Menace?</v>
      </c>
      <c r="S6658" s="5" t="str">
        <f>IFERROR(__xludf.DUMMYFUNCTION("""COMPUTED_VALUE"""),"Super Monsters: Santa’S Super Monster Helpers")</f>
        <v>Super Monsters: Santa’S Super Monster Helpers</v>
      </c>
      <c r="V6658" s="5"/>
      <c r="Y6658" s="5" t="str">
        <f>IFERROR(__xludf.DUMMYFUNCTION("REGEXEXTRACT(J6658, ""^\d+"")"),"52")</f>
        <v>52</v>
      </c>
      <c r="Z6658" s="5" t="str">
        <f>IFERROR(__xludf.DUMMYFUNCTION("REGEXEXTRACT(J6658, ""[A-Za-z ]+$"")")," min")</f>
        <v> min</v>
      </c>
      <c r="AA6658" s="5" t="str">
        <f>IFERROR(__xludf.DUMMYFUNCTION("IF(REGEXMATCH(Z6658, ""Season""), ""TV Show"", ""Movie"")"),"Movie")</f>
        <v>Movie</v>
      </c>
    </row>
    <row r="6659">
      <c r="A6659" s="1" t="s">
        <v>33087</v>
      </c>
      <c r="B6659" s="1" t="s">
        <v>27</v>
      </c>
      <c r="C6659" s="1" t="s">
        <v>33088</v>
      </c>
      <c r="D6659" s="1" t="s">
        <v>5762</v>
      </c>
      <c r="E6659" s="1" t="s">
        <v>33089</v>
      </c>
      <c r="F6659" s="1" t="s">
        <v>30</v>
      </c>
      <c r="G6659" s="1" t="s">
        <v>18985</v>
      </c>
      <c r="H6659" s="1">
        <v>2014.0</v>
      </c>
      <c r="I6659" s="1" t="s">
        <v>78</v>
      </c>
      <c r="J6659" s="1" t="s">
        <v>79</v>
      </c>
      <c r="K6659" s="1" t="s">
        <v>8035</v>
      </c>
      <c r="L6659" s="1" t="s">
        <v>33090</v>
      </c>
      <c r="M6659" s="2" t="s">
        <v>12</v>
      </c>
      <c r="N6659" s="4">
        <f t="shared" si="1"/>
        <v>43739</v>
      </c>
      <c r="O6659" s="5" t="str">
        <f>IFERROR(__xludf.DUMMYFUNCTION("IF(REGEXMATCH(TRIM(I6659), ""^\d+\s*min""), ""Unclassified"", IF(I6659 = """", ""NR"", I6659))"),"PG")</f>
        <v>PG</v>
      </c>
      <c r="R6659" s="5" t="str">
        <f t="shared" si="2"/>
        <v>Earth To Echo</v>
      </c>
      <c r="S6659" s="5" t="str">
        <f>IFERROR(__xludf.DUMMYFUNCTION("""COMPUTED_VALUE"""),"Super Monsters: The New Class")</f>
        <v>Super Monsters: The New Class</v>
      </c>
      <c r="V6659" s="5"/>
      <c r="Y6659" s="5" t="str">
        <f>IFERROR(__xludf.DUMMYFUNCTION("REGEXEXTRACT(J6659, ""^\d+"")"),"91")</f>
        <v>91</v>
      </c>
      <c r="Z6659" s="5" t="str">
        <f>IFERROR(__xludf.DUMMYFUNCTION("REGEXEXTRACT(J6659, ""[A-Za-z ]+$"")")," min")</f>
        <v> min</v>
      </c>
      <c r="AA6659" s="5" t="str">
        <f>IFERROR(__xludf.DUMMYFUNCTION("IF(REGEXMATCH(Z6659, ""Season""), ""TV Show"", ""Movie"")"),"Movie")</f>
        <v>Movie</v>
      </c>
    </row>
    <row r="6660">
      <c r="A6660" s="1" t="s">
        <v>33091</v>
      </c>
      <c r="B6660" s="1" t="s">
        <v>37</v>
      </c>
      <c r="C6660" s="1" t="s">
        <v>33092</v>
      </c>
      <c r="E6660" s="1" t="s">
        <v>33093</v>
      </c>
      <c r="F6660" s="1" t="s">
        <v>1992</v>
      </c>
      <c r="G6660" s="1" t="s">
        <v>15081</v>
      </c>
      <c r="H6660" s="1">
        <v>2014.0</v>
      </c>
      <c r="I6660" s="1" t="s">
        <v>206</v>
      </c>
      <c r="J6660" s="1" t="s">
        <v>51</v>
      </c>
      <c r="K6660" s="1" t="s">
        <v>290</v>
      </c>
      <c r="L6660" s="1" t="s">
        <v>33094</v>
      </c>
      <c r="M6660" s="2" t="s">
        <v>12</v>
      </c>
      <c r="N6660" s="4">
        <f t="shared" si="1"/>
        <v>43931</v>
      </c>
      <c r="O6660" s="5" t="str">
        <f>IFERROR(__xludf.DUMMYFUNCTION("IF(REGEXMATCH(TRIM(I6660), ""^\d+\s*min""), ""Unclassified"", IF(I6660 = """", ""NR"", I6660))"),"TV-Y")</f>
        <v>TV-Y</v>
      </c>
      <c r="R6660" s="5" t="str">
        <f t="shared" si="2"/>
        <v>Earth To Luna!</v>
      </c>
      <c r="S6660" s="5" t="str">
        <f>IFERROR(__xludf.DUMMYFUNCTION("""COMPUTED_VALUE"""),"Super Monsters: Vida'S First Halloween")</f>
        <v>Super Monsters: Vida'S First Halloween</v>
      </c>
      <c r="V6660" s="5"/>
      <c r="Y6660" s="5" t="str">
        <f>IFERROR(__xludf.DUMMYFUNCTION("REGEXEXTRACT(J6660, ""^\d+"")"),"1")</f>
        <v>1</v>
      </c>
      <c r="Z6660" s="5" t="str">
        <f>IFERROR(__xludf.DUMMYFUNCTION("REGEXEXTRACT(J6660, ""[A-Za-z ]+$"")")," Season")</f>
        <v> Season</v>
      </c>
      <c r="AA6660" s="5" t="str">
        <f>IFERROR(__xludf.DUMMYFUNCTION("IF(REGEXMATCH(Z6660, ""Season""), ""TV Show"", ""Movie"")"),"TV Show")</f>
        <v>TV Show</v>
      </c>
    </row>
    <row r="6661">
      <c r="A6661" s="1" t="s">
        <v>33095</v>
      </c>
      <c r="B6661" s="1" t="s">
        <v>37</v>
      </c>
      <c r="C6661" s="1" t="s">
        <v>33096</v>
      </c>
      <c r="E6661" s="1" t="s">
        <v>33097</v>
      </c>
      <c r="F6661" s="1" t="s">
        <v>96</v>
      </c>
      <c r="G6661" s="1" t="s">
        <v>28552</v>
      </c>
      <c r="H6661" s="1">
        <v>2015.0</v>
      </c>
      <c r="I6661" s="1" t="s">
        <v>136</v>
      </c>
      <c r="J6661" s="1" t="s">
        <v>51</v>
      </c>
      <c r="K6661" s="1" t="s">
        <v>29581</v>
      </c>
      <c r="L6661" s="1" t="s">
        <v>33098</v>
      </c>
      <c r="M6661" s="2" t="s">
        <v>12</v>
      </c>
      <c r="N6661" s="4">
        <f t="shared" si="1"/>
        <v>42795</v>
      </c>
      <c r="O6661" s="5" t="str">
        <f>IFERROR(__xludf.DUMMYFUNCTION("IF(REGEXMATCH(TRIM(I6661), ""^\d+\s*min""), ""Unclassified"", IF(I6661 = """", ""NR"", I6661))"),"TV-PG")</f>
        <v>TV-PG</v>
      </c>
      <c r="R6661" s="5" t="str">
        <f t="shared" si="2"/>
        <v>Earth'S Natural Wonders</v>
      </c>
      <c r="S6661" s="5" t="str">
        <f>IFERROR(__xludf.DUMMYFUNCTION("""COMPUTED_VALUE"""),"Super Nani")</f>
        <v>Super Nani</v>
      </c>
      <c r="V6661" s="5"/>
      <c r="Y6661" s="5" t="str">
        <f>IFERROR(__xludf.DUMMYFUNCTION("REGEXEXTRACT(J6661, ""^\d+"")"),"1")</f>
        <v>1</v>
      </c>
      <c r="Z6661" s="5" t="str">
        <f>IFERROR(__xludf.DUMMYFUNCTION("REGEXEXTRACT(J6661, ""[A-Za-z ]+$"")")," Season")</f>
        <v> Season</v>
      </c>
      <c r="AA6661" s="5" t="str">
        <f>IFERROR(__xludf.DUMMYFUNCTION("IF(REGEXMATCH(Z6661, ""Season""), ""TV Show"", ""Movie"")"),"TV Show")</f>
        <v>TV Show</v>
      </c>
    </row>
    <row r="6662">
      <c r="A6662" s="1" t="s">
        <v>33099</v>
      </c>
      <c r="B6662" s="1" t="s">
        <v>37</v>
      </c>
      <c r="C6662" s="1" t="s">
        <v>33100</v>
      </c>
      <c r="E6662" s="1" t="s">
        <v>33101</v>
      </c>
      <c r="G6662" s="1" t="s">
        <v>24201</v>
      </c>
      <c r="H6662" s="1">
        <v>2018.0</v>
      </c>
      <c r="I6662" s="1" t="s">
        <v>97</v>
      </c>
      <c r="J6662" s="1" t="s">
        <v>51</v>
      </c>
      <c r="K6662" s="1" t="s">
        <v>29581</v>
      </c>
      <c r="L6662" s="1" t="s">
        <v>33102</v>
      </c>
      <c r="M6662" s="2" t="s">
        <v>12</v>
      </c>
      <c r="N6662" s="4">
        <f t="shared" si="1"/>
        <v>43374</v>
      </c>
      <c r="O6662" s="5" t="str">
        <f>IFERROR(__xludf.DUMMYFUNCTION("IF(REGEXMATCH(TRIM(I6662), ""^\d+\s*min""), ""Unclassified"", IF(I6662 = """", ""NR"", I6662))"),"TV-14")</f>
        <v>TV-14</v>
      </c>
      <c r="R6662" s="5" t="str">
        <f t="shared" si="2"/>
        <v>Earth'S Natural Wonders: Life At The Extremes</v>
      </c>
      <c r="S6662" s="5" t="str">
        <f>IFERROR(__xludf.DUMMYFUNCTION("""COMPUTED_VALUE"""),"Super Wings")</f>
        <v>Super Wings</v>
      </c>
      <c r="V6662" s="5"/>
      <c r="Y6662" s="5" t="str">
        <f>IFERROR(__xludf.DUMMYFUNCTION("REGEXEXTRACT(J6662, ""^\d+"")"),"1")</f>
        <v>1</v>
      </c>
      <c r="Z6662" s="5" t="str">
        <f>IFERROR(__xludf.DUMMYFUNCTION("REGEXEXTRACT(J6662, ""[A-Za-z ]+$"")")," Season")</f>
        <v> Season</v>
      </c>
      <c r="AA6662" s="5" t="str">
        <f>IFERROR(__xludf.DUMMYFUNCTION("IF(REGEXMATCH(Z6662, ""Season""), ""TV Show"", ""Movie"")"),"TV Show")</f>
        <v>TV Show</v>
      </c>
    </row>
    <row r="6663">
      <c r="A6663" s="1" t="s">
        <v>33103</v>
      </c>
      <c r="B6663" s="1" t="s">
        <v>27</v>
      </c>
      <c r="C6663" s="1" t="s">
        <v>33104</v>
      </c>
      <c r="D6663" s="1" t="s">
        <v>2263</v>
      </c>
      <c r="E6663" s="1" t="s">
        <v>33105</v>
      </c>
      <c r="F6663" s="1" t="s">
        <v>30</v>
      </c>
      <c r="G6663" s="1" t="s">
        <v>11470</v>
      </c>
      <c r="H6663" s="1">
        <v>2015.0</v>
      </c>
      <c r="I6663" s="1" t="s">
        <v>78</v>
      </c>
      <c r="J6663" s="1" t="s">
        <v>256</v>
      </c>
      <c r="K6663" s="1" t="s">
        <v>805</v>
      </c>
      <c r="L6663" s="1" t="s">
        <v>33106</v>
      </c>
      <c r="M6663" s="2" t="s">
        <v>12</v>
      </c>
      <c r="N6663" s="4">
        <f t="shared" si="1"/>
        <v>44089</v>
      </c>
      <c r="O6663" s="5" t="str">
        <f>IFERROR(__xludf.DUMMYFUNCTION("IF(REGEXMATCH(TRIM(I6663), ""^\d+\s*min""), ""Unclassified"", IF(I6663 = """", ""NR"", I6663))"),"PG")</f>
        <v>PG</v>
      </c>
      <c r="R6663" s="5" t="str">
        <f t="shared" si="2"/>
        <v>East Side Sushi</v>
      </c>
      <c r="S6663" s="5" t="str">
        <f>IFERROR(__xludf.DUMMYFUNCTION("""COMPUTED_VALUE"""),"Superbad")</f>
        <v>Superbad</v>
      </c>
      <c r="V6663" s="5"/>
      <c r="Y6663" s="5" t="str">
        <f>IFERROR(__xludf.DUMMYFUNCTION("REGEXEXTRACT(J6663, ""^\d+"")"),"106")</f>
        <v>106</v>
      </c>
      <c r="Z6663" s="5" t="str">
        <f>IFERROR(__xludf.DUMMYFUNCTION("REGEXEXTRACT(J6663, ""[A-Za-z ]+$"")")," min")</f>
        <v> min</v>
      </c>
      <c r="AA6663" s="5" t="str">
        <f>IFERROR(__xludf.DUMMYFUNCTION("IF(REGEXMATCH(Z6663, ""Season""), ""TV Show"", ""Movie"")"),"Movie")</f>
        <v>Movie</v>
      </c>
    </row>
    <row r="6664">
      <c r="A6664" s="1" t="s">
        <v>33107</v>
      </c>
      <c r="B6664" s="1" t="s">
        <v>27</v>
      </c>
      <c r="C6664" s="1" t="s">
        <v>33108</v>
      </c>
      <c r="D6664" s="1" t="s">
        <v>23579</v>
      </c>
      <c r="E6664" s="1" t="s">
        <v>33109</v>
      </c>
      <c r="F6664" s="1" t="s">
        <v>30</v>
      </c>
      <c r="G6664" s="1" t="s">
        <v>10136</v>
      </c>
      <c r="H6664" s="1">
        <v>2010.0</v>
      </c>
      <c r="I6664" s="1" t="s">
        <v>32</v>
      </c>
      <c r="J6664" s="1" t="s">
        <v>665</v>
      </c>
      <c r="K6664" s="1" t="s">
        <v>813</v>
      </c>
      <c r="L6664" s="1" t="s">
        <v>33110</v>
      </c>
      <c r="M6664" s="2" t="s">
        <v>12</v>
      </c>
      <c r="N6664" s="4">
        <f t="shared" si="1"/>
        <v>44136</v>
      </c>
      <c r="O6664" s="5" t="str">
        <f>IFERROR(__xludf.DUMMYFUNCTION("IF(REGEXMATCH(TRIM(I6664), ""^\d+\s*min""), ""Unclassified"", IF(I6664 = """", ""NR"", I6664))"),"PG-13")</f>
        <v>PG-13</v>
      </c>
      <c r="R6664" s="5" t="str">
        <f t="shared" si="2"/>
        <v>Easy A</v>
      </c>
      <c r="S6664" s="5" t="str">
        <f>IFERROR(__xludf.DUMMYFUNCTION("""COMPUTED_VALUE"""),"Superfly")</f>
        <v>Superfly</v>
      </c>
      <c r="V6664" s="5"/>
      <c r="Y6664" s="5" t="str">
        <f>IFERROR(__xludf.DUMMYFUNCTION("REGEXEXTRACT(J6664, ""^\d+"")"),"92")</f>
        <v>92</v>
      </c>
      <c r="Z6664" s="5" t="str">
        <f>IFERROR(__xludf.DUMMYFUNCTION("REGEXEXTRACT(J6664, ""[A-Za-z ]+$"")")," min")</f>
        <v> min</v>
      </c>
      <c r="AA6664" s="5" t="str">
        <f>IFERROR(__xludf.DUMMYFUNCTION("IF(REGEXMATCH(Z6664, ""Season""), ""TV Show"", ""Movie"")"),"Movie")</f>
        <v>Movie</v>
      </c>
    </row>
    <row r="6665">
      <c r="A6665" s="1" t="s">
        <v>33111</v>
      </c>
      <c r="B6665" s="1" t="s">
        <v>37</v>
      </c>
      <c r="C6665" s="1" t="s">
        <v>33112</v>
      </c>
      <c r="E6665" s="1" t="s">
        <v>33113</v>
      </c>
      <c r="F6665" s="1" t="s">
        <v>2059</v>
      </c>
      <c r="G6665" s="1" t="s">
        <v>29495</v>
      </c>
      <c r="H6665" s="1">
        <v>2009.0</v>
      </c>
      <c r="I6665" s="1" t="s">
        <v>42</v>
      </c>
      <c r="J6665" s="1" t="s">
        <v>51</v>
      </c>
      <c r="K6665" s="1" t="s">
        <v>64</v>
      </c>
      <c r="L6665" s="1" t="s">
        <v>33114</v>
      </c>
      <c r="M6665" s="2" t="s">
        <v>12</v>
      </c>
      <c r="N6665" s="4">
        <f t="shared" si="1"/>
        <v>42614</v>
      </c>
      <c r="O6665" s="5" t="str">
        <f>IFERROR(__xludf.DUMMYFUNCTION("IF(REGEXMATCH(TRIM(I6665), ""^\d+\s*min""), ""Unclassified"", IF(I6665 = """", ""NR"", I6665))"),"TV-MA")</f>
        <v>TV-MA</v>
      </c>
      <c r="R6665" s="5" t="str">
        <f t="shared" si="2"/>
        <v>Easy Fortune Happy Life</v>
      </c>
      <c r="S6665" s="5" t="str">
        <f>IFERROR(__xludf.DUMMYFUNCTION("""COMPUTED_VALUE"""),"Supergirl")</f>
        <v>Supergirl</v>
      </c>
      <c r="V6665" s="5"/>
      <c r="Y6665" s="5" t="str">
        <f>IFERROR(__xludf.DUMMYFUNCTION("REGEXEXTRACT(J6665, ""^\d+"")"),"1")</f>
        <v>1</v>
      </c>
      <c r="Z6665" s="5" t="str">
        <f>IFERROR(__xludf.DUMMYFUNCTION("REGEXEXTRACT(J6665, ""[A-Za-z ]+$"")")," Season")</f>
        <v> Season</v>
      </c>
      <c r="AA6665" s="5" t="str">
        <f>IFERROR(__xludf.DUMMYFUNCTION("IF(REGEXMATCH(Z6665, ""Season""), ""TV Show"", ""Movie"")"),"TV Show")</f>
        <v>TV Show</v>
      </c>
    </row>
    <row r="6666">
      <c r="A6666" s="1" t="s">
        <v>33115</v>
      </c>
      <c r="B6666" s="1" t="s">
        <v>27</v>
      </c>
      <c r="C6666" s="1" t="s">
        <v>33116</v>
      </c>
      <c r="D6666" s="1" t="s">
        <v>9134</v>
      </c>
      <c r="E6666" s="1" t="s">
        <v>33117</v>
      </c>
      <c r="F6666" s="1" t="s">
        <v>30</v>
      </c>
      <c r="G6666" s="1" t="s">
        <v>19307</v>
      </c>
      <c r="H6666" s="1">
        <v>2010.0</v>
      </c>
      <c r="I6666" s="1" t="s">
        <v>32</v>
      </c>
      <c r="J6666" s="1" t="s">
        <v>1704</v>
      </c>
      <c r="K6666" s="1" t="s">
        <v>828</v>
      </c>
      <c r="L6666" s="1" t="s">
        <v>33118</v>
      </c>
      <c r="M6666" s="2" t="s">
        <v>12</v>
      </c>
      <c r="N6666" s="4">
        <f t="shared" si="1"/>
        <v>43718</v>
      </c>
      <c r="O6666" s="5" t="str">
        <f>IFERROR(__xludf.DUMMYFUNCTION("IF(REGEXMATCH(TRIM(I6666), ""^\d+\s*min""), ""Unclassified"", IF(I6666 = """", ""NR"", I6666))"),"PG-13")</f>
        <v>PG-13</v>
      </c>
      <c r="R6666" s="5" t="str">
        <f t="shared" si="2"/>
        <v>Eat Pray Love</v>
      </c>
      <c r="S6666" s="5" t="str">
        <f>IFERROR(__xludf.DUMMYFUNCTION("""COMPUTED_VALUE"""),"Superlopez")</f>
        <v>Superlopez</v>
      </c>
      <c r="V6666" s="5"/>
      <c r="Y6666" s="5" t="str">
        <f>IFERROR(__xludf.DUMMYFUNCTION("REGEXEXTRACT(J6666, ""^\d+"")"),"140")</f>
        <v>140</v>
      </c>
      <c r="Z6666" s="5" t="str">
        <f>IFERROR(__xludf.DUMMYFUNCTION("REGEXEXTRACT(J6666, ""[A-Za-z ]+$"")")," min")</f>
        <v> min</v>
      </c>
      <c r="AA6666" s="5" t="str">
        <f>IFERROR(__xludf.DUMMYFUNCTION("IF(REGEXMATCH(Z6666, ""Season""), ""TV Show"", ""Movie"")"),"Movie")</f>
        <v>Movie</v>
      </c>
    </row>
    <row r="6667">
      <c r="A6667" s="1" t="s">
        <v>33119</v>
      </c>
      <c r="B6667" s="1" t="s">
        <v>27</v>
      </c>
      <c r="C6667" s="1" t="s">
        <v>33120</v>
      </c>
      <c r="D6667" s="1" t="s">
        <v>3900</v>
      </c>
      <c r="E6667" s="1" t="s">
        <v>8526</v>
      </c>
      <c r="F6667" s="1" t="s">
        <v>30</v>
      </c>
      <c r="G6667" s="1" t="s">
        <v>25748</v>
      </c>
      <c r="H6667" s="1">
        <v>1983.0</v>
      </c>
      <c r="I6667" s="1" t="s">
        <v>42</v>
      </c>
      <c r="J6667" s="1" t="s">
        <v>1993</v>
      </c>
      <c r="K6667" s="1" t="s">
        <v>1839</v>
      </c>
      <c r="L6667" s="1" t="s">
        <v>33121</v>
      </c>
      <c r="M6667" s="2" t="s">
        <v>12</v>
      </c>
      <c r="N6667" s="4">
        <f t="shared" si="1"/>
        <v>43205</v>
      </c>
      <c r="O6667" s="5" t="str">
        <f>IFERROR(__xludf.DUMMYFUNCTION("IF(REGEXMATCH(TRIM(I6667), ""^\d+\s*min""), ""Unclassified"", IF(I6667 = """", ""NR"", I6667))"),"TV-MA")</f>
        <v>TV-MA</v>
      </c>
      <c r="R6667" s="5" t="str">
        <f t="shared" si="2"/>
        <v>Eddie Murphy: Delirious</v>
      </c>
      <c r="S6667" s="5" t="str">
        <f>IFERROR(__xludf.DUMMYFUNCTION("""COMPUTED_VALUE"""),"Superman Returns")</f>
        <v>Superman Returns</v>
      </c>
      <c r="V6667" s="5"/>
      <c r="Y6667" s="5" t="str">
        <f>IFERROR(__xludf.DUMMYFUNCTION("REGEXEXTRACT(J6667, ""^\d+"")"),"69")</f>
        <v>69</v>
      </c>
      <c r="Z6667" s="5" t="str">
        <f>IFERROR(__xludf.DUMMYFUNCTION("REGEXEXTRACT(J6667, ""[A-Za-z ]+$"")")," min")</f>
        <v> min</v>
      </c>
      <c r="AA6667" s="5" t="str">
        <f>IFERROR(__xludf.DUMMYFUNCTION("IF(REGEXMATCH(Z6667, ""Season""), ""TV Show"", ""Movie"")"),"Movie")</f>
        <v>Movie</v>
      </c>
    </row>
    <row r="6668">
      <c r="A6668" s="1" t="s">
        <v>33122</v>
      </c>
      <c r="B6668" s="1" t="s">
        <v>27</v>
      </c>
      <c r="C6668" s="1" t="s">
        <v>33123</v>
      </c>
      <c r="D6668" s="1" t="s">
        <v>738</v>
      </c>
      <c r="E6668" s="1" t="s">
        <v>33124</v>
      </c>
      <c r="F6668" s="1" t="s">
        <v>63</v>
      </c>
      <c r="G6668" s="1" t="s">
        <v>24523</v>
      </c>
      <c r="H6668" s="1">
        <v>2018.0</v>
      </c>
      <c r="I6668" s="1" t="s">
        <v>97</v>
      </c>
      <c r="J6668" s="1" t="s">
        <v>22970</v>
      </c>
      <c r="K6668" s="1" t="s">
        <v>679</v>
      </c>
      <c r="L6668" s="1" t="s">
        <v>33125</v>
      </c>
      <c r="M6668" s="2" t="s">
        <v>12</v>
      </c>
      <c r="N6668" s="4">
        <f t="shared" si="1"/>
        <v>43358</v>
      </c>
      <c r="O6668" s="5" t="str">
        <f>IFERROR(__xludf.DUMMYFUNCTION("IF(REGEXMATCH(TRIM(I6668), ""^\d+\s*min""), ""Unclassified"", IF(I6668 = """", ""NR"", I6668))"),"TV-14")</f>
        <v>TV-14</v>
      </c>
      <c r="R6668" s="5" t="str">
        <f t="shared" si="2"/>
        <v>Eeda</v>
      </c>
      <c r="S6668" s="5" t="str">
        <f>IFERROR(__xludf.DUMMYFUNCTION("""COMPUTED_VALUE"""),"Supermarket Sweep")</f>
        <v>Supermarket Sweep</v>
      </c>
      <c r="V6668" s="5"/>
      <c r="Y6668" s="5" t="str">
        <f>IFERROR(__xludf.DUMMYFUNCTION("REGEXEXTRACT(J6668, ""^\d+"")"),"153")</f>
        <v>153</v>
      </c>
      <c r="Z6668" s="5" t="str">
        <f>IFERROR(__xludf.DUMMYFUNCTION("REGEXEXTRACT(J6668, ""[A-Za-z ]+$"")")," min")</f>
        <v> min</v>
      </c>
      <c r="AA6668" s="5" t="str">
        <f>IFERROR(__xludf.DUMMYFUNCTION("IF(REGEXMATCH(Z6668, ""Season""), ""TV Show"", ""Movie"")"),"Movie")</f>
        <v>Movie</v>
      </c>
    </row>
    <row r="6669">
      <c r="A6669" s="1" t="s">
        <v>33126</v>
      </c>
      <c r="B6669" s="1" t="s">
        <v>27</v>
      </c>
      <c r="C6669" s="1" t="s">
        <v>33127</v>
      </c>
      <c r="D6669" s="1" t="s">
        <v>9049</v>
      </c>
      <c r="E6669" s="1" t="s">
        <v>33128</v>
      </c>
      <c r="F6669" s="1" t="s">
        <v>63</v>
      </c>
      <c r="G6669" s="1" t="s">
        <v>26674</v>
      </c>
      <c r="H6669" s="1">
        <v>2015.0</v>
      </c>
      <c r="I6669" s="1" t="s">
        <v>97</v>
      </c>
      <c r="J6669" s="1" t="s">
        <v>341</v>
      </c>
      <c r="K6669" s="1" t="s">
        <v>128</v>
      </c>
      <c r="L6669" s="1" t="s">
        <v>33129</v>
      </c>
      <c r="M6669" s="2" t="s">
        <v>12</v>
      </c>
      <c r="N6669" s="4">
        <f t="shared" si="1"/>
        <v>43070</v>
      </c>
      <c r="O6669" s="5" t="str">
        <f>IFERROR(__xludf.DUMMYFUNCTION("IF(REGEXMATCH(TRIM(I6669), ""^\d+\s*min""), ""Unclassified"", IF(I6669 = """", ""NR"", I6669))"),"TV-14")</f>
        <v>TV-14</v>
      </c>
      <c r="R6669" s="5" t="str">
        <f t="shared" si="2"/>
        <v>Eh Janam Tumhare Lekhe</v>
      </c>
      <c r="S6669" s="5" t="str">
        <f>IFERROR(__xludf.DUMMYFUNCTION("""COMPUTED_VALUE"""),"Supernatural")</f>
        <v>Supernatural</v>
      </c>
      <c r="V6669" s="5"/>
      <c r="Y6669" s="5" t="str">
        <f>IFERROR(__xludf.DUMMYFUNCTION("REGEXEXTRACT(J6669, ""^\d+"")"),"124")</f>
        <v>124</v>
      </c>
      <c r="Z6669" s="5" t="str">
        <f>IFERROR(__xludf.DUMMYFUNCTION("REGEXEXTRACT(J6669, ""[A-Za-z ]+$"")")," min")</f>
        <v> min</v>
      </c>
      <c r="AA6669" s="5" t="str">
        <f>IFERROR(__xludf.DUMMYFUNCTION("IF(REGEXMATCH(Z6669, ""Season""), ""TV Show"", ""Movie"")"),"Movie")</f>
        <v>Movie</v>
      </c>
    </row>
    <row r="6670">
      <c r="A6670" s="1" t="s">
        <v>33130</v>
      </c>
      <c r="B6670" s="1" t="s">
        <v>27</v>
      </c>
      <c r="C6670" s="1" t="s">
        <v>33131</v>
      </c>
      <c r="D6670" s="1" t="s">
        <v>21902</v>
      </c>
      <c r="E6670" s="1" t="s">
        <v>33132</v>
      </c>
      <c r="F6670" s="1" t="s">
        <v>63</v>
      </c>
      <c r="G6670" s="1" t="s">
        <v>25994</v>
      </c>
      <c r="H6670" s="1">
        <v>2009.0</v>
      </c>
      <c r="I6670" s="1" t="s">
        <v>136</v>
      </c>
      <c r="J6670" s="1" t="s">
        <v>985</v>
      </c>
      <c r="K6670" s="1" t="s">
        <v>89</v>
      </c>
      <c r="L6670" s="1" t="s">
        <v>33133</v>
      </c>
      <c r="M6670" s="2" t="s">
        <v>12</v>
      </c>
      <c r="N6670" s="4">
        <f t="shared" si="1"/>
        <v>43174</v>
      </c>
      <c r="O6670" s="5" t="str">
        <f>IFERROR(__xludf.DUMMYFUNCTION("IF(REGEXMATCH(TRIM(I6670), ""^\d+\s*min""), ""Unclassified"", IF(I6670 = """", ""NR"", I6670))"),"TV-PG")</f>
        <v>TV-PG</v>
      </c>
      <c r="R6670" s="5" t="str">
        <f t="shared" si="2"/>
        <v>Ek Cup Chya</v>
      </c>
      <c r="S6670" s="5" t="str">
        <f>IFERROR(__xludf.DUMMYFUNCTION("""COMPUTED_VALUE"""),"Supernature: Wild Flyers")</f>
        <v>Supernature: Wild Flyers</v>
      </c>
      <c r="V6670" s="5"/>
      <c r="Y6670" s="5" t="str">
        <f>IFERROR(__xludf.DUMMYFUNCTION("REGEXEXTRACT(J6670, ""^\d+"")"),"120")</f>
        <v>120</v>
      </c>
      <c r="Z6670" s="5" t="str">
        <f>IFERROR(__xludf.DUMMYFUNCTION("REGEXEXTRACT(J6670, ""[A-Za-z ]+$"")")," min")</f>
        <v> min</v>
      </c>
      <c r="AA6670" s="5" t="str">
        <f>IFERROR(__xludf.DUMMYFUNCTION("IF(REGEXMATCH(Z6670, ""Season""), ""TV Show"", ""Movie"")"),"Movie")</f>
        <v>Movie</v>
      </c>
    </row>
    <row r="6671">
      <c r="A6671" s="1" t="s">
        <v>33134</v>
      </c>
      <c r="B6671" s="1" t="s">
        <v>27</v>
      </c>
      <c r="C6671" s="1" t="s">
        <v>33135</v>
      </c>
      <c r="D6671" s="1" t="s">
        <v>21419</v>
      </c>
      <c r="E6671" s="1" t="s">
        <v>33136</v>
      </c>
      <c r="F6671" s="1" t="s">
        <v>63</v>
      </c>
      <c r="G6671" s="1" t="s">
        <v>19813</v>
      </c>
      <c r="H6671" s="1">
        <v>2004.0</v>
      </c>
      <c r="I6671" s="1" t="s">
        <v>42</v>
      </c>
      <c r="J6671" s="1" t="s">
        <v>7413</v>
      </c>
      <c r="K6671" s="1" t="s">
        <v>298</v>
      </c>
      <c r="L6671" s="1" t="s">
        <v>33137</v>
      </c>
      <c r="M6671" s="2" t="s">
        <v>12</v>
      </c>
      <c r="N6671" s="4">
        <f t="shared" si="1"/>
        <v>43678</v>
      </c>
      <c r="O6671" s="5" t="str">
        <f>IFERROR(__xludf.DUMMYFUNCTION("IF(REGEXMATCH(TRIM(I6671), ""^\d+\s*min""), ""Unclassified"", IF(I6671 = """", ""NR"", I6671))"),"TV-MA")</f>
        <v>TV-MA</v>
      </c>
      <c r="R6671" s="5" t="str">
        <f t="shared" si="2"/>
        <v>Ek Hasina Thi</v>
      </c>
      <c r="S6671" s="5" t="str">
        <f>IFERROR(__xludf.DUMMYFUNCTION("""COMPUTED_VALUE"""),"Superstar")</f>
        <v>Superstar</v>
      </c>
      <c r="V6671" s="5"/>
      <c r="Y6671" s="5" t="str">
        <f>IFERROR(__xludf.DUMMYFUNCTION("REGEXEXTRACT(J6671, ""^\d+"")"),"134")</f>
        <v>134</v>
      </c>
      <c r="Z6671" s="5" t="str">
        <f>IFERROR(__xludf.DUMMYFUNCTION("REGEXEXTRACT(J6671, ""[A-Za-z ]+$"")")," min")</f>
        <v> min</v>
      </c>
      <c r="AA6671" s="5" t="str">
        <f>IFERROR(__xludf.DUMMYFUNCTION("IF(REGEXMATCH(Z6671, ""Season""), ""TV Show"", ""Movie"")"),"Movie")</f>
        <v>Movie</v>
      </c>
    </row>
    <row r="6672">
      <c r="A6672" s="1" t="s">
        <v>33138</v>
      </c>
      <c r="B6672" s="1" t="s">
        <v>27</v>
      </c>
      <c r="C6672" s="1" t="s">
        <v>33139</v>
      </c>
      <c r="D6672" s="1" t="s">
        <v>18211</v>
      </c>
      <c r="E6672" s="1" t="s">
        <v>33140</v>
      </c>
      <c r="F6672" s="1" t="s">
        <v>33141</v>
      </c>
      <c r="G6672" s="1" t="s">
        <v>33142</v>
      </c>
      <c r="H6672" s="1">
        <v>2012.0</v>
      </c>
      <c r="I6672" s="1" t="s">
        <v>378</v>
      </c>
      <c r="J6672" s="1" t="s">
        <v>305</v>
      </c>
      <c r="K6672" s="1" t="s">
        <v>380</v>
      </c>
      <c r="L6672" s="1" t="s">
        <v>33143</v>
      </c>
      <c r="M6672" s="2" t="s">
        <v>12</v>
      </c>
      <c r="N6672" s="4">
        <f t="shared" si="1"/>
        <v>43135</v>
      </c>
      <c r="O6672" s="5" t="str">
        <f>IFERROR(__xludf.DUMMYFUNCTION("IF(REGEXMATCH(TRIM(I6672), ""^\d+\s*min""), ""Unclassified"", IF(I6672 = """", ""NR"", I6672))"),"R")</f>
        <v>R</v>
      </c>
      <c r="R6672" s="5" t="str">
        <f t="shared" si="2"/>
        <v>El Último Testigo</v>
      </c>
      <c r="S6672" s="5" t="str">
        <f>IFERROR(__xludf.DUMMYFUNCTION("""COMPUTED_VALUE"""),"Sur Sapata")</f>
        <v>Sur Sapata</v>
      </c>
      <c r="V6672" s="5"/>
      <c r="Y6672" s="5" t="str">
        <f>IFERROR(__xludf.DUMMYFUNCTION("REGEXEXTRACT(J6672, ""^\d+"")"),"105")</f>
        <v>105</v>
      </c>
      <c r="Z6672" s="5" t="str">
        <f>IFERROR(__xludf.DUMMYFUNCTION("REGEXEXTRACT(J6672, ""[A-Za-z ]+$"")")," min")</f>
        <v> min</v>
      </c>
      <c r="AA6672" s="5" t="str">
        <f>IFERROR(__xludf.DUMMYFUNCTION("IF(REGEXMATCH(Z6672, ""Season""), ""TV Show"", ""Movie"")"),"Movie")</f>
        <v>Movie</v>
      </c>
    </row>
    <row r="6673">
      <c r="A6673" s="1" t="s">
        <v>33144</v>
      </c>
      <c r="B6673" s="1" t="s">
        <v>37</v>
      </c>
      <c r="C6673" s="1" t="s">
        <v>33145</v>
      </c>
      <c r="E6673" s="1" t="s">
        <v>33146</v>
      </c>
      <c r="F6673" s="1" t="s">
        <v>784</v>
      </c>
      <c r="G6673" s="1" t="s">
        <v>31513</v>
      </c>
      <c r="H6673" s="1">
        <v>2013.0</v>
      </c>
      <c r="I6673" s="1" t="s">
        <v>30231</v>
      </c>
      <c r="J6673" s="1" t="s">
        <v>276</v>
      </c>
      <c r="K6673" s="1" t="s">
        <v>1822</v>
      </c>
      <c r="L6673" s="1" t="s">
        <v>33147</v>
      </c>
      <c r="M6673" s="2" t="s">
        <v>12</v>
      </c>
      <c r="N6673" s="1" t="str">
        <f t="shared" si="1"/>
        <v>#N/A</v>
      </c>
      <c r="O6673" s="5" t="str">
        <f>IFERROR(__xludf.DUMMYFUNCTION("IF(REGEXMATCH(TRIM(I6673), ""^\d+\s*min""), ""Unclassified"", IF(I6673 = """", ""NR"", I6673))"),"NR")</f>
        <v>NR</v>
      </c>
      <c r="R6673" s="5" t="str">
        <f t="shared" si="2"/>
        <v>El Barco</v>
      </c>
      <c r="S6673" s="5" t="str">
        <f>IFERROR(__xludf.DUMMYFUNCTION("""COMPUTED_VALUE"""),"Sur: The Melody Of Life")</f>
        <v>Sur: The Melody Of Life</v>
      </c>
      <c r="V6673" s="5"/>
      <c r="Y6673" s="5" t="str">
        <f>IFERROR(__xludf.DUMMYFUNCTION("REGEXEXTRACT(J6673, ""^\d+"")"),"3")</f>
        <v>3</v>
      </c>
      <c r="Z6673" s="5" t="str">
        <f>IFERROR(__xludf.DUMMYFUNCTION("REGEXEXTRACT(J6673, ""[A-Za-z ]+$"")")," Seasons")</f>
        <v> Seasons</v>
      </c>
      <c r="AA6673" s="5" t="str">
        <f>IFERROR(__xludf.DUMMYFUNCTION("IF(REGEXMATCH(Z6673, ""Season""), ""TV Show"", ""Movie"")"),"TV Show")</f>
        <v>TV Show</v>
      </c>
    </row>
    <row r="6674">
      <c r="A6674" s="1" t="s">
        <v>33148</v>
      </c>
      <c r="B6674" s="1" t="s">
        <v>37</v>
      </c>
      <c r="C6674" s="1" t="s">
        <v>33149</v>
      </c>
      <c r="E6674" s="1" t="s">
        <v>33150</v>
      </c>
      <c r="F6674" s="1" t="s">
        <v>1837</v>
      </c>
      <c r="G6674" s="1" t="s">
        <v>24734</v>
      </c>
      <c r="H6674" s="1">
        <v>2008.0</v>
      </c>
      <c r="I6674" s="1" t="s">
        <v>42</v>
      </c>
      <c r="J6674" s="1" t="s">
        <v>51</v>
      </c>
      <c r="K6674" s="1" t="s">
        <v>785</v>
      </c>
      <c r="L6674" s="1" t="s">
        <v>33151</v>
      </c>
      <c r="M6674" s="2" t="s">
        <v>12</v>
      </c>
      <c r="N6674" s="4">
        <f t="shared" si="1"/>
        <v>43336</v>
      </c>
      <c r="O6674" s="5" t="str">
        <f>IFERROR(__xludf.DUMMYFUNCTION("IF(REGEXMATCH(TRIM(I6674), ""^\d+\s*min""), ""Unclassified"", IF(I6674 = """", ""NR"", I6674))"),"TV-MA")</f>
        <v>TV-MA</v>
      </c>
      <c r="R6674" s="5" t="str">
        <f t="shared" si="2"/>
        <v>El Cartel</v>
      </c>
      <c r="S6674" s="5" t="str">
        <f>IFERROR(__xludf.DUMMYFUNCTION("""COMPUTED_VALUE"""),"Surat Dari Praha")</f>
        <v>Surat Dari Praha</v>
      </c>
      <c r="V6674" s="5"/>
      <c r="Y6674" s="5" t="str">
        <f>IFERROR(__xludf.DUMMYFUNCTION("REGEXEXTRACT(J6674, ""^\d+"")"),"1")</f>
        <v>1</v>
      </c>
      <c r="Z6674" s="5" t="str">
        <f>IFERROR(__xludf.DUMMYFUNCTION("REGEXEXTRACT(J6674, ""[A-Za-z ]+$"")")," Season")</f>
        <v> Season</v>
      </c>
      <c r="AA6674" s="5" t="str">
        <f>IFERROR(__xludf.DUMMYFUNCTION("IF(REGEXMATCH(Z6674, ""Season""), ""TV Show"", ""Movie"")"),"TV Show")</f>
        <v>TV Show</v>
      </c>
    </row>
    <row r="6675">
      <c r="A6675" s="1" t="s">
        <v>33152</v>
      </c>
      <c r="B6675" s="1" t="s">
        <v>37</v>
      </c>
      <c r="C6675" s="1" t="s">
        <v>33153</v>
      </c>
      <c r="E6675" s="1" t="s">
        <v>33154</v>
      </c>
      <c r="F6675" s="1" t="s">
        <v>1837</v>
      </c>
      <c r="G6675" s="1" t="s">
        <v>24734</v>
      </c>
      <c r="H6675" s="1">
        <v>2010.0</v>
      </c>
      <c r="I6675" s="1" t="s">
        <v>42</v>
      </c>
      <c r="J6675" s="1" t="s">
        <v>51</v>
      </c>
      <c r="K6675" s="1" t="s">
        <v>785</v>
      </c>
      <c r="L6675" s="1" t="s">
        <v>33155</v>
      </c>
      <c r="M6675" s="2" t="s">
        <v>12</v>
      </c>
      <c r="N6675" s="4">
        <f t="shared" si="1"/>
        <v>43336</v>
      </c>
      <c r="O6675" s="5" t="str">
        <f>IFERROR(__xludf.DUMMYFUNCTION("IF(REGEXMATCH(TRIM(I6675), ""^\d+\s*min""), ""Unclassified"", IF(I6675 = """", ""NR"", I6675))"),"TV-MA")</f>
        <v>TV-MA</v>
      </c>
      <c r="R6675" s="5" t="str">
        <f t="shared" si="2"/>
        <v>El Cartel 2</v>
      </c>
      <c r="S6675" s="5" t="str">
        <f>IFERROR(__xludf.DUMMYFUNCTION("""COMPUTED_VALUE"""),"Surf'S Up")</f>
        <v>Surf'S Up</v>
      </c>
      <c r="V6675" s="5"/>
      <c r="Y6675" s="5" t="str">
        <f>IFERROR(__xludf.DUMMYFUNCTION("REGEXEXTRACT(J6675, ""^\d+"")"),"1")</f>
        <v>1</v>
      </c>
      <c r="Z6675" s="5" t="str">
        <f>IFERROR(__xludf.DUMMYFUNCTION("REGEXEXTRACT(J6675, ""[A-Za-z ]+$"")")," Season")</f>
        <v> Season</v>
      </c>
      <c r="AA6675" s="5" t="str">
        <f>IFERROR(__xludf.DUMMYFUNCTION("IF(REGEXMATCH(Z6675, ""Season""), ""TV Show"", ""Movie"")"),"TV Show")</f>
        <v>TV Show</v>
      </c>
    </row>
    <row r="6676">
      <c r="A6676" s="1" t="s">
        <v>33156</v>
      </c>
      <c r="B6676" s="1" t="s">
        <v>37</v>
      </c>
      <c r="C6676" s="1" t="s">
        <v>33157</v>
      </c>
      <c r="E6676" s="1" t="s">
        <v>33158</v>
      </c>
      <c r="F6676" s="1" t="s">
        <v>162</v>
      </c>
      <c r="G6676" s="1" t="s">
        <v>26505</v>
      </c>
      <c r="H6676" s="1">
        <v>1979.0</v>
      </c>
      <c r="I6676" s="1" t="s">
        <v>136</v>
      </c>
      <c r="J6676" s="1" t="s">
        <v>51</v>
      </c>
      <c r="K6676" s="1" t="s">
        <v>33159</v>
      </c>
      <c r="L6676" s="1" t="s">
        <v>33160</v>
      </c>
      <c r="M6676" s="2" t="s">
        <v>12</v>
      </c>
      <c r="N6676" s="4">
        <f t="shared" si="1"/>
        <v>43100</v>
      </c>
      <c r="O6676" s="5" t="str">
        <f>IFERROR(__xludf.DUMMYFUNCTION("IF(REGEXMATCH(TRIM(I6676), ""^\d+\s*min""), ""Unclassified"", IF(I6676 = """", ""NR"", I6676))"),"TV-PG")</f>
        <v>TV-PG</v>
      </c>
      <c r="R6676" s="5" t="str">
        <f t="shared" si="2"/>
        <v>El Chavo</v>
      </c>
      <c r="S6676" s="5" t="str">
        <f>IFERROR(__xludf.DUMMYFUNCTION("""COMPUTED_VALUE"""),"Surga Yang Tak Dirindukan")</f>
        <v>Surga Yang Tak Dirindukan</v>
      </c>
      <c r="V6676" s="5"/>
      <c r="Y6676" s="5" t="str">
        <f>IFERROR(__xludf.DUMMYFUNCTION("REGEXEXTRACT(J6676, ""^\d+"")"),"1")</f>
        <v>1</v>
      </c>
      <c r="Z6676" s="5" t="str">
        <f>IFERROR(__xludf.DUMMYFUNCTION("REGEXEXTRACT(J6676, ""[A-Za-z ]+$"")")," Season")</f>
        <v> Season</v>
      </c>
      <c r="AA6676" s="5" t="str">
        <f>IFERROR(__xludf.DUMMYFUNCTION("IF(REGEXMATCH(Z6676, ""Season""), ""TV Show"", ""Movie"")"),"TV Show")</f>
        <v>TV Show</v>
      </c>
    </row>
    <row r="6677">
      <c r="A6677" s="1" t="s">
        <v>33161</v>
      </c>
      <c r="B6677" s="1" t="s">
        <v>27</v>
      </c>
      <c r="C6677" s="1" t="s">
        <v>33162</v>
      </c>
      <c r="D6677" s="1" t="s">
        <v>10371</v>
      </c>
      <c r="E6677" s="1" t="s">
        <v>22111</v>
      </c>
      <c r="F6677" s="1" t="s">
        <v>33163</v>
      </c>
      <c r="G6677" s="1" t="s">
        <v>27021</v>
      </c>
      <c r="H6677" s="1">
        <v>2017.0</v>
      </c>
      <c r="I6677" s="1" t="s">
        <v>97</v>
      </c>
      <c r="J6677" s="1" t="s">
        <v>804</v>
      </c>
      <c r="K6677" s="1" t="s">
        <v>156</v>
      </c>
      <c r="L6677" s="1" t="s">
        <v>33164</v>
      </c>
      <c r="M6677" s="2" t="s">
        <v>12</v>
      </c>
      <c r="N6677" s="4">
        <f t="shared" si="1"/>
        <v>43023</v>
      </c>
      <c r="O6677" s="5" t="str">
        <f>IFERROR(__xludf.DUMMYFUNCTION("IF(REGEXMATCH(TRIM(I6677), ""^\d+\s*min""), ""Unclassified"", IF(I6677 = """", ""NR"", I6677))"),"TV-14")</f>
        <v>TV-14</v>
      </c>
      <c r="R6677" s="5" t="str">
        <f t="shared" si="2"/>
        <v>El Che</v>
      </c>
      <c r="S6677" s="5" t="str">
        <f>IFERROR(__xludf.DUMMYFUNCTION("""COMPUTED_VALUE"""),"Surga Yang Tak Dirindukan 2")</f>
        <v>Surga Yang Tak Dirindukan 2</v>
      </c>
      <c r="V6677" s="5"/>
      <c r="Y6677" s="5" t="str">
        <f>IFERROR(__xludf.DUMMYFUNCTION("REGEXEXTRACT(J6677, ""^\d+"")"),"119")</f>
        <v>119</v>
      </c>
      <c r="Z6677" s="5" t="str">
        <f>IFERROR(__xludf.DUMMYFUNCTION("REGEXEXTRACT(J6677, ""[A-Za-z ]+$"")")," min")</f>
        <v> min</v>
      </c>
      <c r="AA6677" s="5" t="str">
        <f>IFERROR(__xludf.DUMMYFUNCTION("IF(REGEXMATCH(Z6677, ""Season""), ""TV Show"", ""Movie"")"),"Movie")</f>
        <v>Movie</v>
      </c>
    </row>
    <row r="6678">
      <c r="A6678" s="1" t="s">
        <v>33165</v>
      </c>
      <c r="B6678" s="1" t="s">
        <v>37</v>
      </c>
      <c r="C6678" s="1" t="s">
        <v>33166</v>
      </c>
      <c r="E6678" s="1" t="s">
        <v>33167</v>
      </c>
      <c r="F6678" s="1" t="s">
        <v>30</v>
      </c>
      <c r="G6678" s="7">
        <v>42873.0</v>
      </c>
      <c r="H6678" s="1">
        <v>2010.0</v>
      </c>
      <c r="I6678" s="1" t="s">
        <v>97</v>
      </c>
      <c r="J6678" s="1" t="s">
        <v>51</v>
      </c>
      <c r="K6678" s="1" t="s">
        <v>33168</v>
      </c>
      <c r="L6678" s="1" t="s">
        <v>33169</v>
      </c>
      <c r="M6678" s="2" t="s">
        <v>12</v>
      </c>
      <c r="N6678" s="4">
        <f t="shared" si="1"/>
        <v>42873</v>
      </c>
      <c r="O6678" s="5" t="str">
        <f>IFERROR(__xludf.DUMMYFUNCTION("IF(REGEXMATCH(TRIM(I6678), ""^\d+\s*min""), ""Unclassified"", IF(I6678 = """", ""NR"", I6678))"),"TV-14")</f>
        <v>TV-14</v>
      </c>
      <c r="R6678" s="5" t="str">
        <f t="shared" si="2"/>
        <v>El Clon</v>
      </c>
      <c r="S6678" s="5" t="str">
        <f>IFERROR(__xludf.DUMMYFUNCTION("""COMPUTED_VALUE"""),"Surviving Death")</f>
        <v>Surviving Death</v>
      </c>
      <c r="V6678" s="5"/>
      <c r="Y6678" s="5" t="str">
        <f>IFERROR(__xludf.DUMMYFUNCTION("REGEXEXTRACT(J6678, ""^\d+"")"),"1")</f>
        <v>1</v>
      </c>
      <c r="Z6678" s="5" t="str">
        <f>IFERROR(__xludf.DUMMYFUNCTION("REGEXEXTRACT(J6678, ""[A-Za-z ]+$"")")," Season")</f>
        <v> Season</v>
      </c>
      <c r="AA6678" s="5" t="str">
        <f>IFERROR(__xludf.DUMMYFUNCTION("IF(REGEXMATCH(Z6678, ""Season""), ""TV Show"", ""Movie"")"),"TV Show")</f>
        <v>TV Show</v>
      </c>
    </row>
    <row r="6679">
      <c r="A6679" s="1" t="s">
        <v>33170</v>
      </c>
      <c r="B6679" s="1" t="s">
        <v>27</v>
      </c>
      <c r="C6679" s="1" t="s">
        <v>33171</v>
      </c>
      <c r="D6679" s="1" t="s">
        <v>12280</v>
      </c>
      <c r="F6679" s="1" t="s">
        <v>784</v>
      </c>
      <c r="G6679" s="1" t="s">
        <v>33172</v>
      </c>
      <c r="H6679" s="1">
        <v>2017.0</v>
      </c>
      <c r="I6679" s="1" t="s">
        <v>97</v>
      </c>
      <c r="J6679" s="1" t="s">
        <v>256</v>
      </c>
      <c r="K6679" s="1" t="s">
        <v>156</v>
      </c>
      <c r="L6679" s="1" t="s">
        <v>33173</v>
      </c>
      <c r="M6679" s="2" t="s">
        <v>12</v>
      </c>
      <c r="N6679" s="4">
        <f t="shared" si="1"/>
        <v>42833</v>
      </c>
      <c r="O6679" s="5" t="str">
        <f>IFERROR(__xludf.DUMMYFUNCTION("IF(REGEXMATCH(TRIM(I6679), ""^\d+\s*min""), ""Unclassified"", IF(I6679 = """", ""NR"", I6679))"),"TV-14")</f>
        <v>TV-14</v>
      </c>
      <c r="R6679" s="5" t="str">
        <f t="shared" si="2"/>
        <v>El Fin De Eta</v>
      </c>
      <c r="S6679" s="5" t="str">
        <f>IFERROR(__xludf.DUMMYFUNCTION("""COMPUTED_VALUE"""),"Surviving Escobar - Alias Jj")</f>
        <v>Surviving Escobar - Alias Jj</v>
      </c>
      <c r="V6679" s="5"/>
      <c r="Y6679" s="5" t="str">
        <f>IFERROR(__xludf.DUMMYFUNCTION("REGEXEXTRACT(J6679, ""^\d+"")"),"106")</f>
        <v>106</v>
      </c>
      <c r="Z6679" s="5" t="str">
        <f>IFERROR(__xludf.DUMMYFUNCTION("REGEXEXTRACT(J6679, ""[A-Za-z ]+$"")")," min")</f>
        <v> min</v>
      </c>
      <c r="AA6679" s="5" t="str">
        <f>IFERROR(__xludf.DUMMYFUNCTION("IF(REGEXMATCH(Z6679, ""Season""), ""TV Show"", ""Movie"")"),"Movie")</f>
        <v>Movie</v>
      </c>
    </row>
    <row r="6680">
      <c r="A6680" s="1" t="s">
        <v>33174</v>
      </c>
      <c r="B6680" s="1" t="s">
        <v>37</v>
      </c>
      <c r="C6680" s="1" t="s">
        <v>33175</v>
      </c>
      <c r="E6680" s="1" t="s">
        <v>33176</v>
      </c>
      <c r="F6680" s="1" t="s">
        <v>30</v>
      </c>
      <c r="G6680" s="1" t="s">
        <v>33177</v>
      </c>
      <c r="H6680" s="1">
        <v>2017.0</v>
      </c>
      <c r="I6680" s="1" t="s">
        <v>42</v>
      </c>
      <c r="J6680" s="1" t="s">
        <v>43</v>
      </c>
      <c r="K6680" s="1" t="s">
        <v>1627</v>
      </c>
      <c r="L6680" s="1" t="s">
        <v>33178</v>
      </c>
      <c r="M6680" s="2" t="s">
        <v>12</v>
      </c>
      <c r="N6680" s="1" t="str">
        <f t="shared" si="1"/>
        <v>#N/A</v>
      </c>
      <c r="O6680" s="5" t="str">
        <f>IFERROR(__xludf.DUMMYFUNCTION("IF(REGEXMATCH(TRIM(I6680), ""^\d+\s*min""), ""Unclassified"", IF(I6680 = """", ""NR"", I6680))"),"TV-MA")</f>
        <v>TV-MA</v>
      </c>
      <c r="R6680" s="5" t="str">
        <f t="shared" si="2"/>
        <v>El Vato</v>
      </c>
      <c r="S6680" s="5" t="str">
        <f>IFERROR(__xludf.DUMMYFUNCTION("""COMPUTED_VALUE"""),"Surviving R. Kelly")</f>
        <v>Surviving R. Kelly</v>
      </c>
      <c r="V6680" s="5"/>
      <c r="Y6680" s="5" t="str">
        <f>IFERROR(__xludf.DUMMYFUNCTION("REGEXEXTRACT(J6680, ""^\d+"")"),"2")</f>
        <v>2</v>
      </c>
      <c r="Z6680" s="5" t="str">
        <f>IFERROR(__xludf.DUMMYFUNCTION("REGEXEXTRACT(J6680, ""[A-Za-z ]+$"")")," Seasons")</f>
        <v> Seasons</v>
      </c>
      <c r="AA6680" s="5" t="str">
        <f>IFERROR(__xludf.DUMMYFUNCTION("IF(REGEXMATCH(Z6680, ""Season""), ""TV Show"", ""Movie"")"),"TV Show")</f>
        <v>TV Show</v>
      </c>
    </row>
    <row r="6681">
      <c r="A6681" s="1" t="s">
        <v>33179</v>
      </c>
      <c r="B6681" s="1" t="s">
        <v>27</v>
      </c>
      <c r="C6681" s="1" t="s">
        <v>33180</v>
      </c>
      <c r="D6681" s="1" t="s">
        <v>7533</v>
      </c>
      <c r="G6681" s="1" t="s">
        <v>33181</v>
      </c>
      <c r="H6681" s="1">
        <v>2016.0</v>
      </c>
      <c r="I6681" s="1" t="s">
        <v>136</v>
      </c>
      <c r="J6681" s="1" t="s">
        <v>6391</v>
      </c>
      <c r="K6681" s="1" t="s">
        <v>4616</v>
      </c>
      <c r="L6681" s="1" t="s">
        <v>33182</v>
      </c>
      <c r="M6681" s="2" t="s">
        <v>12</v>
      </c>
      <c r="N6681" s="4">
        <f t="shared" si="1"/>
        <v>43026</v>
      </c>
      <c r="O6681" s="5" t="str">
        <f>IFERROR(__xludf.DUMMYFUNCTION("IF(REGEXMATCH(TRIM(I6681), ""^\d+\s*min""), ""Unclassified"", IF(I6681 = """", ""NR"", I6681))"),"TV-PG")</f>
        <v>TV-PG</v>
      </c>
      <c r="R6681" s="5" t="str">
        <f t="shared" si="2"/>
        <v>El Viaje: Márama Y Rombai</v>
      </c>
      <c r="S6681" s="5" t="str">
        <f>IFERROR(__xludf.DUMMYFUNCTION("""COMPUTED_VALUE"""),"Surviving R. Kelly Part Ii: The Reckoning")</f>
        <v>Surviving R. Kelly Part Ii: The Reckoning</v>
      </c>
      <c r="V6681" s="5"/>
      <c r="Y6681" s="5" t="str">
        <f>IFERROR(__xludf.DUMMYFUNCTION("REGEXEXTRACT(J6681, ""^\d+"")"),"79")</f>
        <v>79</v>
      </c>
      <c r="Z6681" s="5" t="str">
        <f>IFERROR(__xludf.DUMMYFUNCTION("REGEXEXTRACT(J6681, ""[A-Za-z ]+$"")")," min")</f>
        <v> min</v>
      </c>
      <c r="AA6681" s="5" t="str">
        <f>IFERROR(__xludf.DUMMYFUNCTION("IF(REGEXMATCH(Z6681, ""Season""), ""TV Show"", ""Movie"")"),"Movie")</f>
        <v>Movie</v>
      </c>
    </row>
    <row r="6682">
      <c r="A6682" s="1" t="s">
        <v>33183</v>
      </c>
      <c r="B6682" s="1" t="s">
        <v>27</v>
      </c>
      <c r="C6682" s="1" t="s">
        <v>33184</v>
      </c>
      <c r="D6682" s="1" t="s">
        <v>3062</v>
      </c>
      <c r="E6682" s="1" t="s">
        <v>33185</v>
      </c>
      <c r="F6682" s="1" t="s">
        <v>4615</v>
      </c>
      <c r="G6682" s="1" t="s">
        <v>33186</v>
      </c>
      <c r="H6682" s="1">
        <v>2006.0</v>
      </c>
      <c r="I6682" s="1" t="s">
        <v>42</v>
      </c>
      <c r="J6682" s="1" t="s">
        <v>33187</v>
      </c>
      <c r="K6682" s="1" t="s">
        <v>14382</v>
      </c>
      <c r="L6682" s="1" t="s">
        <v>33188</v>
      </c>
      <c r="M6682" s="2" t="s">
        <v>12</v>
      </c>
      <c r="N6682" s="4">
        <f t="shared" si="1"/>
        <v>43335</v>
      </c>
      <c r="O6682" s="5" t="str">
        <f>IFERROR(__xludf.DUMMYFUNCTION("IF(REGEXMATCH(TRIM(I6682), ""^\d+\s*min""), ""Unclassified"", IF(I6682 = """", ""NR"", I6682))"),"TV-MA")</f>
        <v>TV-MA</v>
      </c>
      <c r="R6682" s="5" t="str">
        <f t="shared" si="2"/>
        <v>Elephants Dream 4 Hour</v>
      </c>
      <c r="S6682" s="5" t="str">
        <f>IFERROR(__xludf.DUMMYFUNCTION("""COMPUTED_VALUE"""),"Surviving R. Kelly: The Impact")</f>
        <v>Surviving R. Kelly: The Impact</v>
      </c>
      <c r="V6682" s="5"/>
      <c r="Y6682" s="5" t="str">
        <f>IFERROR(__xludf.DUMMYFUNCTION("REGEXEXTRACT(J6682, ""^\d+"")"),"196")</f>
        <v>196</v>
      </c>
      <c r="Z6682" s="5" t="str">
        <f>IFERROR(__xludf.DUMMYFUNCTION("REGEXEXTRACT(J6682, ""[A-Za-z ]+$"")")," min")</f>
        <v> min</v>
      </c>
      <c r="AA6682" s="5" t="str">
        <f>IFERROR(__xludf.DUMMYFUNCTION("IF(REGEXMATCH(Z6682, ""Season""), ""TV Show"", ""Movie"")"),"Movie")</f>
        <v>Movie</v>
      </c>
    </row>
    <row r="6683">
      <c r="A6683" s="1" t="s">
        <v>33189</v>
      </c>
      <c r="B6683" s="1" t="s">
        <v>27</v>
      </c>
      <c r="C6683" s="1" t="s">
        <v>33190</v>
      </c>
      <c r="D6683" s="1" t="s">
        <v>11242</v>
      </c>
      <c r="F6683" s="1" t="s">
        <v>96</v>
      </c>
      <c r="G6683" s="7">
        <v>42877.0</v>
      </c>
      <c r="H6683" s="1">
        <v>2016.0</v>
      </c>
      <c r="I6683" s="1" t="s">
        <v>506</v>
      </c>
      <c r="J6683" s="1" t="s">
        <v>33</v>
      </c>
      <c r="K6683" s="1" t="s">
        <v>34</v>
      </c>
      <c r="L6683" s="1" t="s">
        <v>33191</v>
      </c>
      <c r="M6683" s="2" t="s">
        <v>12</v>
      </c>
      <c r="N6683" s="4">
        <f t="shared" si="1"/>
        <v>42877</v>
      </c>
      <c r="O6683" s="5" t="str">
        <f>IFERROR(__xludf.DUMMYFUNCTION("IF(REGEXMATCH(TRIM(I6683), ""^\d+\s*min""), ""Unclassified"", IF(I6683 = """", ""NR"", I6683))"),"TV-G")</f>
        <v>TV-G</v>
      </c>
      <c r="R6683" s="5" t="str">
        <f t="shared" si="2"/>
        <v>Elizabeth At 90: A Family Tribute</v>
      </c>
      <c r="S6683" s="5" t="str">
        <f>IFERROR(__xludf.DUMMYFUNCTION("""COMPUTED_VALUE"""),"Survivor")</f>
        <v>Survivor</v>
      </c>
      <c r="V6683" s="5"/>
      <c r="Y6683" s="5" t="str">
        <f>IFERROR(__xludf.DUMMYFUNCTION("REGEXEXTRACT(J6683, ""^\d+"")"),"90")</f>
        <v>90</v>
      </c>
      <c r="Z6683" s="5" t="str">
        <f>IFERROR(__xludf.DUMMYFUNCTION("REGEXEXTRACT(J6683, ""[A-Za-z ]+$"")")," min")</f>
        <v> min</v>
      </c>
      <c r="AA6683" s="5" t="str">
        <f>IFERROR(__xludf.DUMMYFUNCTION("IF(REGEXMATCH(Z6683, ""Season""), ""TV Show"", ""Movie"")"),"Movie")</f>
        <v>Movie</v>
      </c>
    </row>
    <row r="6684">
      <c r="A6684" s="1" t="s">
        <v>33192</v>
      </c>
      <c r="B6684" s="1" t="s">
        <v>27</v>
      </c>
      <c r="C6684" s="1" t="s">
        <v>33193</v>
      </c>
      <c r="D6684" s="1" t="s">
        <v>20707</v>
      </c>
      <c r="E6684" s="1" t="s">
        <v>33194</v>
      </c>
      <c r="F6684" s="1" t="s">
        <v>30</v>
      </c>
      <c r="G6684" s="1" t="s">
        <v>12382</v>
      </c>
      <c r="H6684" s="1">
        <v>2019.0</v>
      </c>
      <c r="I6684" s="1" t="s">
        <v>378</v>
      </c>
      <c r="J6684" s="1" t="s">
        <v>1065</v>
      </c>
      <c r="K6684" s="1" t="s">
        <v>8226</v>
      </c>
      <c r="L6684" s="1" t="s">
        <v>33195</v>
      </c>
      <c r="M6684" s="2" t="s">
        <v>12</v>
      </c>
      <c r="N6684" s="4">
        <f t="shared" si="1"/>
        <v>44044</v>
      </c>
      <c r="O6684" s="5" t="str">
        <f>IFERROR(__xludf.DUMMYFUNCTION("IF(REGEXMATCH(TRIM(I6684), ""^\d+\s*min""), ""Unclassified"", IF(I6684 = """", ""NR"", I6684))"),"R")</f>
        <v>R</v>
      </c>
      <c r="R6684" s="5" t="str">
        <f t="shared" si="2"/>
        <v>Elizabeth Harvest</v>
      </c>
      <c r="S6684" s="5" t="str">
        <f>IFERROR(__xludf.DUMMYFUNCTION("""COMPUTED_VALUE"""),"Survivors Guide To Prison")</f>
        <v>Survivors Guide To Prison</v>
      </c>
      <c r="V6684" s="5"/>
      <c r="Y6684" s="5" t="str">
        <f>IFERROR(__xludf.DUMMYFUNCTION("REGEXEXTRACT(J6684, ""^\d+"")"),"109")</f>
        <v>109</v>
      </c>
      <c r="Z6684" s="5" t="str">
        <f>IFERROR(__xludf.DUMMYFUNCTION("REGEXEXTRACT(J6684, ""[A-Za-z ]+$"")")," min")</f>
        <v> min</v>
      </c>
      <c r="AA6684" s="5" t="str">
        <f>IFERROR(__xludf.DUMMYFUNCTION("IF(REGEXMATCH(Z6684, ""Season""), ""TV Show"", ""Movie"")"),"Movie")</f>
        <v>Movie</v>
      </c>
    </row>
    <row r="6685">
      <c r="A6685" s="1" t="s">
        <v>33196</v>
      </c>
      <c r="B6685" s="1" t="s">
        <v>27</v>
      </c>
      <c r="C6685" s="1" t="s">
        <v>33197</v>
      </c>
      <c r="D6685" s="1" t="s">
        <v>7415</v>
      </c>
      <c r="E6685" s="1" t="s">
        <v>33198</v>
      </c>
      <c r="F6685" s="1" t="s">
        <v>664</v>
      </c>
      <c r="G6685" s="1" t="s">
        <v>26505</v>
      </c>
      <c r="H6685" s="1">
        <v>2014.0</v>
      </c>
      <c r="I6685" s="1" t="s">
        <v>97</v>
      </c>
      <c r="J6685" s="1" t="s">
        <v>454</v>
      </c>
      <c r="K6685" s="1" t="s">
        <v>156</v>
      </c>
      <c r="L6685" s="1" t="s">
        <v>33199</v>
      </c>
      <c r="M6685" s="2" t="s">
        <v>12</v>
      </c>
      <c r="N6685" s="4">
        <f t="shared" si="1"/>
        <v>43100</v>
      </c>
      <c r="O6685" s="5" t="str">
        <f>IFERROR(__xludf.DUMMYFUNCTION("IF(REGEXMATCH(TRIM(I6685), ""^\d+\s*min""), ""Unclassified"", IF(I6685 = """", ""NR"", I6685))"),"TV-14")</f>
        <v>TV-14</v>
      </c>
      <c r="R6685" s="5" t="str">
        <f t="shared" si="2"/>
        <v>Elles Étaient En Guerre (1914-1918)</v>
      </c>
      <c r="S6685" s="5" t="str">
        <f>IFERROR(__xludf.DUMMYFUNCTION("""COMPUTED_VALUE"""),"Susanne Bartsch: On Top")</f>
        <v>Susanne Bartsch: On Top</v>
      </c>
      <c r="V6685" s="5"/>
      <c r="Y6685" s="5" t="str">
        <f>IFERROR(__xludf.DUMMYFUNCTION("REGEXEXTRACT(J6685, ""^\d+"")"),"93")</f>
        <v>93</v>
      </c>
      <c r="Z6685" s="5" t="str">
        <f>IFERROR(__xludf.DUMMYFUNCTION("REGEXEXTRACT(J6685, ""[A-Za-z ]+$"")")," min")</f>
        <v> min</v>
      </c>
      <c r="AA6685" s="5" t="str">
        <f>IFERROR(__xludf.DUMMYFUNCTION("IF(REGEXMATCH(Z6685, ""Season""), ""TV Show"", ""Movie"")"),"Movie")</f>
        <v>Movie</v>
      </c>
    </row>
    <row r="6686">
      <c r="A6686" s="1" t="s">
        <v>33200</v>
      </c>
      <c r="B6686" s="1" t="s">
        <v>27</v>
      </c>
      <c r="C6686" s="1" t="s">
        <v>33201</v>
      </c>
      <c r="D6686" s="1" t="s">
        <v>9474</v>
      </c>
      <c r="G6686" s="1" t="s">
        <v>26089</v>
      </c>
      <c r="H6686" s="1">
        <v>2015.0</v>
      </c>
      <c r="I6686" s="1" t="s">
        <v>42</v>
      </c>
      <c r="J6686" s="1" t="s">
        <v>665</v>
      </c>
      <c r="K6686" s="1" t="s">
        <v>156</v>
      </c>
      <c r="L6686" s="1" t="s">
        <v>33202</v>
      </c>
      <c r="M6686" s="2" t="s">
        <v>12</v>
      </c>
      <c r="N6686" s="4">
        <f t="shared" si="1"/>
        <v>43160</v>
      </c>
      <c r="O6686" s="5" t="str">
        <f>IFERROR(__xludf.DUMMYFUNCTION("IF(REGEXMATCH(TRIM(I6686), ""^\d+\s*min""), ""Unclassified"", IF(I6686 = """", ""NR"", I6686))"),"TV-MA")</f>
        <v>TV-MA</v>
      </c>
      <c r="R6686" s="5" t="str">
        <f t="shared" si="2"/>
        <v>Elles Étaient En Guerre 1939-1945</v>
      </c>
      <c r="S6686" s="5" t="str">
        <f>IFERROR(__xludf.DUMMYFUNCTION("""COMPUTED_VALUE"""),"Sustainable")</f>
        <v>Sustainable</v>
      </c>
      <c r="V6686" s="5"/>
      <c r="Y6686" s="5" t="str">
        <f>IFERROR(__xludf.DUMMYFUNCTION("REGEXEXTRACT(J6686, ""^\d+"")"),"92")</f>
        <v>92</v>
      </c>
      <c r="Z6686" s="5" t="str">
        <f>IFERROR(__xludf.DUMMYFUNCTION("REGEXEXTRACT(J6686, ""[A-Za-z ]+$"")")," min")</f>
        <v> min</v>
      </c>
      <c r="AA6686" s="5" t="str">
        <f>IFERROR(__xludf.DUMMYFUNCTION("IF(REGEXMATCH(Z6686, ""Season""), ""TV Show"", ""Movie"")"),"Movie")</f>
        <v>Movie</v>
      </c>
    </row>
    <row r="6687">
      <c r="A6687" s="1" t="s">
        <v>33203</v>
      </c>
      <c r="B6687" s="1" t="s">
        <v>27</v>
      </c>
      <c r="C6687" s="1" t="s">
        <v>33204</v>
      </c>
      <c r="D6687" s="1" t="s">
        <v>16934</v>
      </c>
      <c r="G6687" s="1" t="s">
        <v>26505</v>
      </c>
      <c r="H6687" s="1">
        <v>2016.0</v>
      </c>
      <c r="I6687" s="1" t="s">
        <v>136</v>
      </c>
      <c r="J6687" s="1" t="s">
        <v>4677</v>
      </c>
      <c r="K6687" s="1" t="s">
        <v>156</v>
      </c>
      <c r="L6687" s="1" t="s">
        <v>33205</v>
      </c>
      <c r="M6687" s="2" t="s">
        <v>12</v>
      </c>
      <c r="N6687" s="4">
        <f t="shared" si="1"/>
        <v>43100</v>
      </c>
      <c r="O6687" s="5" t="str">
        <f>IFERROR(__xludf.DUMMYFUNCTION("IF(REGEXMATCH(TRIM(I6687), ""^\d+\s*min""), ""Unclassified"", IF(I6687 = """", ""NR"", I6687))"),"TV-PG")</f>
        <v>TV-PG</v>
      </c>
      <c r="R6687" s="5" t="str">
        <f t="shared" si="2"/>
        <v>Elles Ont Toutes Une Histoire</v>
      </c>
      <c r="S6687" s="5" t="str">
        <f>IFERROR(__xludf.DUMMYFUNCTION("""COMPUTED_VALUE"""),"Suzzanna: Buried Alive")</f>
        <v>Suzzanna: Buried Alive</v>
      </c>
      <c r="V6687" s="5"/>
      <c r="Y6687" s="5" t="str">
        <f>IFERROR(__xludf.DUMMYFUNCTION("REGEXEXTRACT(J6687, ""^\d+"")"),"49")</f>
        <v>49</v>
      </c>
      <c r="Z6687" s="5" t="str">
        <f>IFERROR(__xludf.DUMMYFUNCTION("REGEXEXTRACT(J6687, ""[A-Za-z ]+$"")")," min")</f>
        <v> min</v>
      </c>
      <c r="AA6687" s="5" t="str">
        <f>IFERROR(__xludf.DUMMYFUNCTION("IF(REGEXMATCH(Z6687, ""Season""), ""TV Show"", ""Movie"")"),"Movie")</f>
        <v>Movie</v>
      </c>
    </row>
    <row r="6688">
      <c r="A6688" s="1" t="s">
        <v>33206</v>
      </c>
      <c r="B6688" s="1" t="s">
        <v>27</v>
      </c>
      <c r="C6688" s="1" t="s">
        <v>33207</v>
      </c>
      <c r="D6688" s="1" t="s">
        <v>11635</v>
      </c>
      <c r="E6688" s="1" t="s">
        <v>33208</v>
      </c>
      <c r="F6688" s="1" t="s">
        <v>96</v>
      </c>
      <c r="G6688" s="1" t="s">
        <v>33209</v>
      </c>
      <c r="H6688" s="1">
        <v>2015.0</v>
      </c>
      <c r="I6688" s="1" t="s">
        <v>136</v>
      </c>
      <c r="J6688" s="1" t="s">
        <v>447</v>
      </c>
      <c r="K6688" s="1" t="s">
        <v>34</v>
      </c>
      <c r="L6688" s="1" t="s">
        <v>33210</v>
      </c>
      <c r="M6688" s="2" t="s">
        <v>12</v>
      </c>
      <c r="N6688" s="4">
        <f t="shared" si="1"/>
        <v>42619</v>
      </c>
      <c r="O6688" s="5" t="str">
        <f>IFERROR(__xludf.DUMMYFUNCTION("IF(REGEXMATCH(TRIM(I6688), ""^\d+\s*min""), ""Unclassified"", IF(I6688 = """", ""NR"", I6688))"),"TV-PG")</f>
        <v>TV-PG</v>
      </c>
      <c r="R6688" s="5" t="str">
        <f t="shared" si="2"/>
        <v>Elstree 1976</v>
      </c>
      <c r="S6688" s="5" t="str">
        <f>IFERROR(__xludf.DUMMYFUNCTION("""COMPUTED_VALUE"""),"Svaha: The Sixth Finger")</f>
        <v>Svaha: The Sixth Finger</v>
      </c>
      <c r="V6688" s="5"/>
      <c r="Y6688" s="5" t="str">
        <f>IFERROR(__xludf.DUMMYFUNCTION("REGEXEXTRACT(J6688, ""^\d+"")"),"102")</f>
        <v>102</v>
      </c>
      <c r="Z6688" s="5" t="str">
        <f>IFERROR(__xludf.DUMMYFUNCTION("REGEXEXTRACT(J6688, ""[A-Za-z ]+$"")")," min")</f>
        <v> min</v>
      </c>
      <c r="AA6688" s="5" t="str">
        <f>IFERROR(__xludf.DUMMYFUNCTION("IF(REGEXMATCH(Z6688, ""Season""), ""TV Show"", ""Movie"")"),"Movie")</f>
        <v>Movie</v>
      </c>
    </row>
    <row r="6689">
      <c r="A6689" s="1" t="s">
        <v>33211</v>
      </c>
      <c r="B6689" s="1" t="s">
        <v>27</v>
      </c>
      <c r="C6689" s="1" t="s">
        <v>33212</v>
      </c>
      <c r="D6689" s="1" t="s">
        <v>15845</v>
      </c>
      <c r="E6689" s="1" t="s">
        <v>33213</v>
      </c>
      <c r="F6689" s="1" t="s">
        <v>30</v>
      </c>
      <c r="G6689" s="1" t="s">
        <v>24887</v>
      </c>
      <c r="H6689" s="1">
        <v>2016.0</v>
      </c>
      <c r="I6689" s="1" t="s">
        <v>42</v>
      </c>
      <c r="J6689" s="1" t="s">
        <v>1001</v>
      </c>
      <c r="K6689" s="1" t="s">
        <v>3768</v>
      </c>
      <c r="L6689" s="1" t="s">
        <v>33214</v>
      </c>
      <c r="M6689" s="2" t="s">
        <v>12</v>
      </c>
      <c r="N6689" s="4">
        <f t="shared" si="1"/>
        <v>43314</v>
      </c>
      <c r="O6689" s="5" t="str">
        <f>IFERROR(__xludf.DUMMYFUNCTION("IF(REGEXMATCH(TRIM(I6689), ""^\d+\s*min""), ""Unclassified"", IF(I6689 = """", ""NR"", I6689))"),"TV-MA")</f>
        <v>TV-MA</v>
      </c>
      <c r="R6689" s="5" t="str">
        <f t="shared" si="2"/>
        <v>Emelie</v>
      </c>
      <c r="S6689" s="5" t="str">
        <f>IFERROR(__xludf.DUMMYFUNCTION("""COMPUTED_VALUE"""),"Swades")</f>
        <v>Swades</v>
      </c>
      <c r="V6689" s="5"/>
      <c r="Y6689" s="5" t="str">
        <f>IFERROR(__xludf.DUMMYFUNCTION("REGEXEXTRACT(J6689, ""^\d+"")"),"82")</f>
        <v>82</v>
      </c>
      <c r="Z6689" s="5" t="str">
        <f>IFERROR(__xludf.DUMMYFUNCTION("REGEXEXTRACT(J6689, ""[A-Za-z ]+$"")")," min")</f>
        <v> min</v>
      </c>
      <c r="AA6689" s="5" t="str">
        <f>IFERROR(__xludf.DUMMYFUNCTION("IF(REGEXMATCH(Z6689, ""Season""), ""TV Show"", ""Movie"")"),"Movie")</f>
        <v>Movie</v>
      </c>
    </row>
    <row r="6690">
      <c r="A6690" s="1" t="s">
        <v>33215</v>
      </c>
      <c r="B6690" s="1" t="s">
        <v>27</v>
      </c>
      <c r="C6690" s="1" t="s">
        <v>33216</v>
      </c>
      <c r="D6690" s="1" t="s">
        <v>19283</v>
      </c>
      <c r="E6690" s="1" t="s">
        <v>33217</v>
      </c>
      <c r="F6690" s="1" t="s">
        <v>2873</v>
      </c>
      <c r="G6690" s="1" t="s">
        <v>24083</v>
      </c>
      <c r="H6690" s="1">
        <v>2016.0</v>
      </c>
      <c r="I6690" s="1" t="s">
        <v>136</v>
      </c>
      <c r="J6690" s="1" t="s">
        <v>2699</v>
      </c>
      <c r="K6690" s="1" t="s">
        <v>128</v>
      </c>
      <c r="L6690" s="1" t="s">
        <v>33218</v>
      </c>
      <c r="M6690" s="2" t="s">
        <v>12</v>
      </c>
      <c r="N6690" s="4">
        <f t="shared" si="1"/>
        <v>43378</v>
      </c>
      <c r="O6690" s="5" t="str">
        <f>IFERROR(__xludf.DUMMYFUNCTION("IF(REGEXMATCH(TRIM(I6690), ""^\d+\s*min""), ""Unclassified"", IF(I6690 = """", ""NR"", I6690))"),"TV-PG")</f>
        <v>TV-PG</v>
      </c>
      <c r="R6690" s="5" t="str">
        <f t="shared" si="2"/>
        <v>Emma' (Mother)</v>
      </c>
      <c r="S6690" s="5" t="str">
        <f>IFERROR(__xludf.DUMMYFUNCTION("""COMPUTED_VALUE"""),"Swami")</f>
        <v>Swami</v>
      </c>
      <c r="V6690" s="5"/>
      <c r="Y6690" s="5" t="str">
        <f>IFERROR(__xludf.DUMMYFUNCTION("REGEXEXTRACT(J6690, ""^\d+"")"),"74")</f>
        <v>74</v>
      </c>
      <c r="Z6690" s="5" t="str">
        <f>IFERROR(__xludf.DUMMYFUNCTION("REGEXEXTRACT(J6690, ""[A-Za-z ]+$"")")," min")</f>
        <v> min</v>
      </c>
      <c r="AA6690" s="5" t="str">
        <f>IFERROR(__xludf.DUMMYFUNCTION("IF(REGEXMATCH(Z6690, ""Season""), ""TV Show"", ""Movie"")"),"Movie")</f>
        <v>Movie</v>
      </c>
    </row>
    <row r="6691">
      <c r="A6691" s="1" t="s">
        <v>33219</v>
      </c>
      <c r="B6691" s="1" t="s">
        <v>27</v>
      </c>
      <c r="C6691" s="1" t="s">
        <v>33220</v>
      </c>
      <c r="D6691" s="1" t="s">
        <v>16701</v>
      </c>
      <c r="E6691" s="1" t="s">
        <v>33221</v>
      </c>
      <c r="F6691" s="1" t="s">
        <v>221</v>
      </c>
      <c r="G6691" s="1" t="s">
        <v>26295</v>
      </c>
      <c r="H6691" s="1">
        <v>2016.0</v>
      </c>
      <c r="I6691" s="1" t="s">
        <v>42</v>
      </c>
      <c r="J6691" s="1" t="s">
        <v>170</v>
      </c>
      <c r="K6691" s="1" t="s">
        <v>1429</v>
      </c>
      <c r="L6691" s="1" t="s">
        <v>33222</v>
      </c>
      <c r="M6691" s="2" t="s">
        <v>12</v>
      </c>
      <c r="N6691" s="4">
        <f t="shared" si="1"/>
        <v>43132</v>
      </c>
      <c r="O6691" s="5" t="str">
        <f>IFERROR(__xludf.DUMMYFUNCTION("IF(REGEXMATCH(TRIM(I6691), ""^\d+\s*min""), ""Unclassified"", IF(I6691 = """", ""NR"", I6691))"),"TV-MA")</f>
        <v>TV-MA</v>
      </c>
      <c r="R6691" s="5" t="str">
        <f t="shared" si="2"/>
        <v>Emo The Musical</v>
      </c>
      <c r="S6691" s="5" t="str">
        <f>IFERROR(__xludf.DUMMYFUNCTION("""COMPUTED_VALUE"""),"Swami Baba Ramdev: The Untold Story")</f>
        <v>Swami Baba Ramdev: The Untold Story</v>
      </c>
      <c r="V6691" s="5"/>
      <c r="Y6691" s="5" t="str">
        <f>IFERROR(__xludf.DUMMYFUNCTION("REGEXEXTRACT(J6691, ""^\d+"")"),"94")</f>
        <v>94</v>
      </c>
      <c r="Z6691" s="5" t="str">
        <f>IFERROR(__xludf.DUMMYFUNCTION("REGEXEXTRACT(J6691, ""[A-Za-z ]+$"")")," min")</f>
        <v> min</v>
      </c>
      <c r="AA6691" s="5" t="str">
        <f>IFERROR(__xludf.DUMMYFUNCTION("IF(REGEXMATCH(Z6691, ""Season""), ""TV Show"", ""Movie"")"),"Movie")</f>
        <v>Movie</v>
      </c>
    </row>
    <row r="6692">
      <c r="A6692" s="1" t="s">
        <v>33223</v>
      </c>
      <c r="B6692" s="1" t="s">
        <v>37</v>
      </c>
      <c r="C6692" s="1" t="s">
        <v>33224</v>
      </c>
      <c r="E6692" s="1" t="s">
        <v>12466</v>
      </c>
      <c r="F6692" s="1" t="s">
        <v>30</v>
      </c>
      <c r="G6692" s="1" t="s">
        <v>22981</v>
      </c>
      <c r="H6692" s="1">
        <v>2017.0</v>
      </c>
      <c r="I6692" s="1" t="s">
        <v>136</v>
      </c>
      <c r="J6692" s="1" t="s">
        <v>51</v>
      </c>
      <c r="K6692" s="1" t="s">
        <v>440</v>
      </c>
      <c r="L6692" s="1" t="s">
        <v>33225</v>
      </c>
      <c r="M6692" s="2" t="s">
        <v>12</v>
      </c>
      <c r="N6692" s="4">
        <f t="shared" si="1"/>
        <v>43449</v>
      </c>
      <c r="O6692" s="5" t="str">
        <f>IFERROR(__xludf.DUMMYFUNCTION("IF(REGEXMATCH(TRIM(I6692), ""^\d+\s*min""), ""Unclassified"", IF(I6692 = """", ""NR"", I6692))"),"TV-PG")</f>
        <v>TV-PG</v>
      </c>
      <c r="R6692" s="5" t="str">
        <f t="shared" si="2"/>
        <v>Emogenius</v>
      </c>
      <c r="S6692" s="5" t="str">
        <f>IFERROR(__xludf.DUMMYFUNCTION("""COMPUTED_VALUE"""),"Swearnet Live")</f>
        <v>Swearnet Live</v>
      </c>
      <c r="V6692" s="5"/>
      <c r="Y6692" s="5" t="str">
        <f>IFERROR(__xludf.DUMMYFUNCTION("REGEXEXTRACT(J6692, ""^\d+"")"),"1")</f>
        <v>1</v>
      </c>
      <c r="Z6692" s="5" t="str">
        <f>IFERROR(__xludf.DUMMYFUNCTION("REGEXEXTRACT(J6692, ""[A-Za-z ]+$"")")," Season")</f>
        <v> Season</v>
      </c>
      <c r="AA6692" s="5" t="str">
        <f>IFERROR(__xludf.DUMMYFUNCTION("IF(REGEXMATCH(Z6692, ""Season""), ""TV Show"", ""Movie"")"),"TV Show")</f>
        <v>TV Show</v>
      </c>
    </row>
    <row r="6693">
      <c r="A6693" s="1" t="s">
        <v>33226</v>
      </c>
      <c r="B6693" s="1" t="s">
        <v>27</v>
      </c>
      <c r="C6693" s="1" t="s">
        <v>33227</v>
      </c>
      <c r="D6693" s="1" t="s">
        <v>10469</v>
      </c>
      <c r="F6693" s="1" t="s">
        <v>33228</v>
      </c>
      <c r="G6693" s="1" t="s">
        <v>26481</v>
      </c>
      <c r="H6693" s="1">
        <v>2014.0</v>
      </c>
      <c r="I6693" s="1" t="s">
        <v>97</v>
      </c>
      <c r="J6693" s="1" t="s">
        <v>630</v>
      </c>
      <c r="K6693" s="1" t="s">
        <v>156</v>
      </c>
      <c r="L6693" s="1" t="s">
        <v>33229</v>
      </c>
      <c r="M6693" s="2" t="s">
        <v>12</v>
      </c>
      <c r="N6693" s="4">
        <f t="shared" si="1"/>
        <v>43101</v>
      </c>
      <c r="O6693" s="5" t="str">
        <f>IFERROR(__xludf.DUMMYFUNCTION("IF(REGEXMATCH(TRIM(I6693), ""^\d+\s*min""), ""Unclassified"", IF(I6693 = """", ""NR"", I6693))"),"TV-14")</f>
        <v>TV-14</v>
      </c>
      <c r="R6693" s="5" t="str">
        <f t="shared" si="2"/>
        <v>Empire Of Scents</v>
      </c>
      <c r="S6693" s="5" t="str">
        <f>IFERROR(__xludf.DUMMYFUNCTION("""COMPUTED_VALUE"""),"Swearnet: The Movie")</f>
        <v>Swearnet: The Movie</v>
      </c>
      <c r="V6693" s="5"/>
      <c r="Y6693" s="5" t="str">
        <f>IFERROR(__xludf.DUMMYFUNCTION("REGEXEXTRACT(J6693, ""^\d+"")"),"87")</f>
        <v>87</v>
      </c>
      <c r="Z6693" s="5" t="str">
        <f>IFERROR(__xludf.DUMMYFUNCTION("REGEXEXTRACT(J6693, ""[A-Za-z ]+$"")")," min")</f>
        <v> min</v>
      </c>
      <c r="AA6693" s="5" t="str">
        <f>IFERROR(__xludf.DUMMYFUNCTION("IF(REGEXMATCH(Z6693, ""Season""), ""TV Show"", ""Movie"")"),"Movie")</f>
        <v>Movie</v>
      </c>
    </row>
    <row r="6694">
      <c r="A6694" s="1" t="s">
        <v>33230</v>
      </c>
      <c r="B6694" s="1" t="s">
        <v>27</v>
      </c>
      <c r="C6694" s="1" t="s">
        <v>33231</v>
      </c>
      <c r="D6694" s="1" t="s">
        <v>8653</v>
      </c>
      <c r="E6694" s="1" t="s">
        <v>33232</v>
      </c>
      <c r="F6694" s="1" t="s">
        <v>30</v>
      </c>
      <c r="G6694" s="1" t="s">
        <v>10969</v>
      </c>
      <c r="H6694" s="1">
        <v>2006.0</v>
      </c>
      <c r="I6694" s="1" t="s">
        <v>32</v>
      </c>
      <c r="J6694" s="1" t="s">
        <v>912</v>
      </c>
      <c r="K6694" s="1" t="s">
        <v>813</v>
      </c>
      <c r="L6694" s="1" t="s">
        <v>33233</v>
      </c>
      <c r="M6694" s="2" t="s">
        <v>12</v>
      </c>
      <c r="N6694" s="4">
        <f t="shared" si="1"/>
        <v>44105</v>
      </c>
      <c r="O6694" s="5" t="str">
        <f>IFERROR(__xludf.DUMMYFUNCTION("IF(REGEXMATCH(TRIM(I6694), ""^\d+\s*min""), ""Unclassified"", IF(I6694 = """", ""NR"", I6694))"),"PG-13")</f>
        <v>PG-13</v>
      </c>
      <c r="R6694" s="5" t="str">
        <f t="shared" si="2"/>
        <v>Employee Of The Month</v>
      </c>
      <c r="S6694" s="5" t="str">
        <f>IFERROR(__xludf.DUMMYFUNCTION("""COMPUTED_VALUE"""),"Sweeney Todd: The Demon Barber Of Fleet Street")</f>
        <v>Sweeney Todd: The Demon Barber Of Fleet Street</v>
      </c>
      <c r="V6694" s="5"/>
      <c r="Y6694" s="5" t="str">
        <f>IFERROR(__xludf.DUMMYFUNCTION("REGEXEXTRACT(J6694, ""^\d+"")"),"108")</f>
        <v>108</v>
      </c>
      <c r="Z6694" s="5" t="str">
        <f>IFERROR(__xludf.DUMMYFUNCTION("REGEXEXTRACT(J6694, ""[A-Za-z ]+$"")")," min")</f>
        <v> min</v>
      </c>
      <c r="AA6694" s="5" t="str">
        <f>IFERROR(__xludf.DUMMYFUNCTION("IF(REGEXMATCH(Z6694, ""Season""), ""TV Show"", ""Movie"")"),"Movie")</f>
        <v>Movie</v>
      </c>
    </row>
    <row r="6695">
      <c r="A6695" s="1" t="s">
        <v>33234</v>
      </c>
      <c r="B6695" s="1" t="s">
        <v>37</v>
      </c>
      <c r="C6695" s="1" t="s">
        <v>33235</v>
      </c>
      <c r="E6695" s="1" t="s">
        <v>33236</v>
      </c>
      <c r="G6695" s="1" t="s">
        <v>25328</v>
      </c>
      <c r="H6695" s="1">
        <v>2018.0</v>
      </c>
      <c r="I6695" s="1" t="s">
        <v>42</v>
      </c>
      <c r="J6695" s="1" t="s">
        <v>51</v>
      </c>
      <c r="K6695" s="1" t="s">
        <v>1627</v>
      </c>
      <c r="L6695" s="1" t="s">
        <v>33237</v>
      </c>
      <c r="M6695" s="2" t="s">
        <v>12</v>
      </c>
      <c r="N6695" s="4">
        <f t="shared" si="1"/>
        <v>43269</v>
      </c>
      <c r="O6695" s="5" t="str">
        <f>IFERROR(__xludf.DUMMYFUNCTION("IF(REGEXMATCH(TRIM(I6695), ""^\d+\s*min""), ""Unclassified"", IF(I6695 = """", ""NR"", I6695))"),"TV-MA")</f>
        <v>TV-MA</v>
      </c>
      <c r="R6695" s="5" t="str">
        <f t="shared" si="2"/>
        <v>Encerrados</v>
      </c>
      <c r="S6695" s="5" t="str">
        <f>IFERROR(__xludf.DUMMYFUNCTION("""COMPUTED_VALUE"""),"Sweet &amp; Sour")</f>
        <v>Sweet &amp; Sour</v>
      </c>
      <c r="V6695" s="5"/>
      <c r="Y6695" s="5" t="str">
        <f>IFERROR(__xludf.DUMMYFUNCTION("REGEXEXTRACT(J6695, ""^\d+"")"),"1")</f>
        <v>1</v>
      </c>
      <c r="Z6695" s="5" t="str">
        <f>IFERROR(__xludf.DUMMYFUNCTION("REGEXEXTRACT(J6695, ""[A-Za-z ]+$"")")," Season")</f>
        <v> Season</v>
      </c>
      <c r="AA6695" s="5" t="str">
        <f>IFERROR(__xludf.DUMMYFUNCTION("IF(REGEXMATCH(Z6695, ""Season""), ""TV Show"", ""Movie"")"),"TV Show")</f>
        <v>TV Show</v>
      </c>
    </row>
    <row r="6696">
      <c r="A6696" s="1" t="s">
        <v>33238</v>
      </c>
      <c r="B6696" s="1" t="s">
        <v>27</v>
      </c>
      <c r="C6696" s="1" t="s">
        <v>33239</v>
      </c>
      <c r="D6696" s="1" t="s">
        <v>731</v>
      </c>
      <c r="E6696" s="1" t="s">
        <v>33240</v>
      </c>
      <c r="F6696" s="1" t="s">
        <v>63</v>
      </c>
      <c r="G6696" s="1" t="s">
        <v>17078</v>
      </c>
      <c r="H6696" s="1">
        <v>2002.0</v>
      </c>
      <c r="I6696" s="1" t="s">
        <v>97</v>
      </c>
      <c r="J6696" s="1" t="s">
        <v>7280</v>
      </c>
      <c r="K6696" s="1" t="s">
        <v>89</v>
      </c>
      <c r="L6696" s="1" t="s">
        <v>33241</v>
      </c>
      <c r="M6696" s="2" t="s">
        <v>12</v>
      </c>
      <c r="N6696" s="4">
        <f t="shared" si="1"/>
        <v>43830</v>
      </c>
      <c r="O6696" s="5" t="str">
        <f>IFERROR(__xludf.DUMMYFUNCTION("IF(REGEXMATCH(TRIM(I6696), ""^\d+\s*min""), ""Unclassified"", IF(I6696 = """", ""NR"", I6696))"),"TV-14")</f>
        <v>TV-14</v>
      </c>
      <c r="R6696" s="5" t="str">
        <f t="shared" si="2"/>
        <v>Encounter: The Killing</v>
      </c>
      <c r="S6696" s="5" t="str">
        <f>IFERROR(__xludf.DUMMYFUNCTION("""COMPUTED_VALUE"""),"Sweet Girl")</f>
        <v>Sweet Girl</v>
      </c>
      <c r="V6696" s="5"/>
      <c r="Y6696" s="5" t="str">
        <f>IFERROR(__xludf.DUMMYFUNCTION("REGEXEXTRACT(J6696, ""^\d+"")"),"151")</f>
        <v>151</v>
      </c>
      <c r="Z6696" s="5" t="str">
        <f>IFERROR(__xludf.DUMMYFUNCTION("REGEXEXTRACT(J6696, ""[A-Za-z ]+$"")")," min")</f>
        <v> min</v>
      </c>
      <c r="AA6696" s="5" t="str">
        <f>IFERROR(__xludf.DUMMYFUNCTION("IF(REGEXMATCH(Z6696, ""Season""), ""TV Show"", ""Movie"")"),"Movie")</f>
        <v>Movie</v>
      </c>
    </row>
    <row r="6697">
      <c r="A6697" s="1" t="s">
        <v>33242</v>
      </c>
      <c r="B6697" s="1" t="s">
        <v>37</v>
      </c>
      <c r="C6697" s="1" t="s">
        <v>33243</v>
      </c>
      <c r="E6697" s="1" t="s">
        <v>33244</v>
      </c>
      <c r="F6697" s="1" t="s">
        <v>96</v>
      </c>
      <c r="G6697" s="1" t="s">
        <v>19991</v>
      </c>
      <c r="H6697" s="1">
        <v>2016.0</v>
      </c>
      <c r="I6697" s="1" t="s">
        <v>97</v>
      </c>
      <c r="J6697" s="1" t="s">
        <v>51</v>
      </c>
      <c r="K6697" s="1" t="s">
        <v>142</v>
      </c>
      <c r="L6697" s="1" t="s">
        <v>33245</v>
      </c>
      <c r="M6697" s="2" t="s">
        <v>12</v>
      </c>
      <c r="N6697" s="4">
        <f t="shared" si="1"/>
        <v>43658</v>
      </c>
      <c r="O6697" s="5" t="str">
        <f>IFERROR(__xludf.DUMMYFUNCTION("IF(REGEXMATCH(TRIM(I6697), ""^\d+\s*min""), ""Unclassified"", IF(I6697 = """", ""NR"", I6697))"),"TV-14")</f>
        <v>TV-14</v>
      </c>
      <c r="R6697" s="5" t="str">
        <f t="shared" si="2"/>
        <v>Encounters With Evil</v>
      </c>
      <c r="S6697" s="5" t="str">
        <f>IFERROR(__xludf.DUMMYFUNCTION("""COMPUTED_VALUE"""),"Sweet Magnolias")</f>
        <v>Sweet Magnolias</v>
      </c>
      <c r="V6697" s="5"/>
      <c r="Y6697" s="5" t="str">
        <f>IFERROR(__xludf.DUMMYFUNCTION("REGEXEXTRACT(J6697, ""^\d+"")"),"1")</f>
        <v>1</v>
      </c>
      <c r="Z6697" s="5" t="str">
        <f>IFERROR(__xludf.DUMMYFUNCTION("REGEXEXTRACT(J6697, ""[A-Za-z ]+$"")")," Season")</f>
        <v> Season</v>
      </c>
      <c r="AA6697" s="5" t="str">
        <f>IFERROR(__xludf.DUMMYFUNCTION("IF(REGEXMATCH(Z6697, ""Season""), ""TV Show"", ""Movie"")"),"TV Show")</f>
        <v>TV Show</v>
      </c>
    </row>
    <row r="6698">
      <c r="A6698" s="1" t="s">
        <v>33246</v>
      </c>
      <c r="B6698" s="1" t="s">
        <v>27</v>
      </c>
      <c r="C6698" s="1" t="s">
        <v>33247</v>
      </c>
      <c r="D6698" s="1" t="s">
        <v>5228</v>
      </c>
      <c r="E6698" s="1" t="s">
        <v>33248</v>
      </c>
      <c r="F6698" s="1" t="s">
        <v>30</v>
      </c>
      <c r="G6698" s="1" t="s">
        <v>17882</v>
      </c>
      <c r="H6698" s="1">
        <v>2012.0</v>
      </c>
      <c r="I6698" s="1" t="s">
        <v>378</v>
      </c>
      <c r="J6698" s="1" t="s">
        <v>1065</v>
      </c>
      <c r="K6698" s="1" t="s">
        <v>380</v>
      </c>
      <c r="L6698" s="1" t="s">
        <v>33249</v>
      </c>
      <c r="M6698" s="2" t="s">
        <v>12</v>
      </c>
      <c r="N6698" s="4">
        <f t="shared" si="1"/>
        <v>43792</v>
      </c>
      <c r="O6698" s="5" t="str">
        <f>IFERROR(__xludf.DUMMYFUNCTION("IF(REGEXMATCH(TRIM(I6698), ""^\d+\s*min""), ""Unclassified"", IF(I6698 = """", ""NR"", I6698))"),"R")</f>
        <v>R</v>
      </c>
      <c r="R6698" s="5" t="str">
        <f t="shared" si="2"/>
        <v>End Of Watch</v>
      </c>
      <c r="S6698" s="5" t="str">
        <f>IFERROR(__xludf.DUMMYFUNCTION("""COMPUTED_VALUE"""),"Sweet Tooth")</f>
        <v>Sweet Tooth</v>
      </c>
      <c r="V6698" s="5"/>
      <c r="Y6698" s="5" t="str">
        <f>IFERROR(__xludf.DUMMYFUNCTION("REGEXEXTRACT(J6698, ""^\d+"")"),"109")</f>
        <v>109</v>
      </c>
      <c r="Z6698" s="5" t="str">
        <f>IFERROR(__xludf.DUMMYFUNCTION("REGEXEXTRACT(J6698, ""[A-Za-z ]+$"")")," min")</f>
        <v> min</v>
      </c>
      <c r="AA6698" s="5" t="str">
        <f>IFERROR(__xludf.DUMMYFUNCTION("IF(REGEXMATCH(Z6698, ""Season""), ""TV Show"", ""Movie"")"),"Movie")</f>
        <v>Movie</v>
      </c>
    </row>
    <row r="6699">
      <c r="A6699" s="1" t="s">
        <v>33250</v>
      </c>
      <c r="B6699" s="1" t="s">
        <v>37</v>
      </c>
      <c r="C6699" s="1" t="s">
        <v>33251</v>
      </c>
      <c r="E6699" s="1" t="s">
        <v>33252</v>
      </c>
      <c r="G6699" s="1" t="s">
        <v>24846</v>
      </c>
      <c r="H6699" s="1">
        <v>2018.0</v>
      </c>
      <c r="I6699" s="1" t="s">
        <v>42</v>
      </c>
      <c r="J6699" s="1" t="s">
        <v>51</v>
      </c>
      <c r="K6699" s="1" t="s">
        <v>163</v>
      </c>
      <c r="L6699" s="1" t="s">
        <v>33253</v>
      </c>
      <c r="M6699" s="2" t="s">
        <v>12</v>
      </c>
      <c r="N6699" s="4">
        <f t="shared" si="1"/>
        <v>43320</v>
      </c>
      <c r="O6699" s="5" t="str">
        <f>IFERROR(__xludf.DUMMYFUNCTION("IF(REGEXMATCH(TRIM(I6699), ""^\d+\s*min""), ""Unclassified"", IF(I6699 = """", ""NR"", I6699))"),"TV-MA")</f>
        <v>TV-MA</v>
      </c>
      <c r="R6699" s="5" t="str">
        <f t="shared" si="2"/>
        <v>Enemigo Íntimo</v>
      </c>
      <c r="S6699" s="5" t="str">
        <f>IFERROR(__xludf.DUMMYFUNCTION("""COMPUTED_VALUE"""),"Sweet Virginia")</f>
        <v>Sweet Virginia</v>
      </c>
      <c r="V6699" s="5"/>
      <c r="Y6699" s="5" t="str">
        <f>IFERROR(__xludf.DUMMYFUNCTION("REGEXEXTRACT(J6699, ""^\d+"")"),"1")</f>
        <v>1</v>
      </c>
      <c r="Z6699" s="5" t="str">
        <f>IFERROR(__xludf.DUMMYFUNCTION("REGEXEXTRACT(J6699, ""[A-Za-z ]+$"")")," Season")</f>
        <v> Season</v>
      </c>
      <c r="AA6699" s="5" t="str">
        <f>IFERROR(__xludf.DUMMYFUNCTION("IF(REGEXMATCH(Z6699, ""Season""), ""TV Show"", ""Movie"")"),"TV Show")</f>
        <v>TV Show</v>
      </c>
    </row>
    <row r="6700">
      <c r="A6700" s="1" t="s">
        <v>33254</v>
      </c>
      <c r="B6700" s="1" t="s">
        <v>27</v>
      </c>
      <c r="C6700" s="1" t="s">
        <v>33255</v>
      </c>
      <c r="D6700" s="1" t="s">
        <v>6324</v>
      </c>
      <c r="E6700" s="1" t="s">
        <v>33256</v>
      </c>
      <c r="F6700" s="1" t="s">
        <v>33257</v>
      </c>
      <c r="G6700" s="1" t="s">
        <v>25097</v>
      </c>
      <c r="H6700" s="1">
        <v>2013.0</v>
      </c>
      <c r="I6700" s="1" t="s">
        <v>378</v>
      </c>
      <c r="J6700" s="1" t="s">
        <v>79</v>
      </c>
      <c r="K6700" s="1" t="s">
        <v>5435</v>
      </c>
      <c r="L6700" s="1" t="s">
        <v>33258</v>
      </c>
      <c r="M6700" s="2" t="s">
        <v>12</v>
      </c>
      <c r="N6700" s="4">
        <f t="shared" si="1"/>
        <v>43296</v>
      </c>
      <c r="O6700" s="5" t="str">
        <f>IFERROR(__xludf.DUMMYFUNCTION("IF(REGEXMATCH(TRIM(I6700), ""^\d+\s*min""), ""Unclassified"", IF(I6700 = """", ""NR"", I6700))"),"R")</f>
        <v>R</v>
      </c>
      <c r="R6700" s="5" t="str">
        <f t="shared" si="2"/>
        <v>Enemy</v>
      </c>
      <c r="S6700" s="5" t="str">
        <f>IFERROR(__xludf.DUMMYFUNCTION("""COMPUTED_VALUE"""),"Sweetheart")</f>
        <v>Sweetheart</v>
      </c>
      <c r="V6700" s="5"/>
      <c r="Y6700" s="5" t="str">
        <f>IFERROR(__xludf.DUMMYFUNCTION("REGEXEXTRACT(J6700, ""^\d+"")"),"91")</f>
        <v>91</v>
      </c>
      <c r="Z6700" s="5" t="str">
        <f>IFERROR(__xludf.DUMMYFUNCTION("REGEXEXTRACT(J6700, ""[A-Za-z ]+$"")")," min")</f>
        <v> min</v>
      </c>
      <c r="AA6700" s="5" t="str">
        <f>IFERROR(__xludf.DUMMYFUNCTION("IF(REGEXMATCH(Z6700, ""Season""), ""TV Show"", ""Movie"")"),"Movie")</f>
        <v>Movie</v>
      </c>
    </row>
    <row r="6701">
      <c r="A6701" s="1" t="s">
        <v>33259</v>
      </c>
      <c r="B6701" s="1" t="s">
        <v>27</v>
      </c>
      <c r="C6701" s="1" t="s">
        <v>33260</v>
      </c>
      <c r="D6701" s="1" t="s">
        <v>10767</v>
      </c>
      <c r="E6701" s="1" t="s">
        <v>33261</v>
      </c>
      <c r="F6701" s="1" t="s">
        <v>30</v>
      </c>
      <c r="G6701" s="1" t="s">
        <v>33262</v>
      </c>
      <c r="H6701" s="1">
        <v>2016.0</v>
      </c>
      <c r="I6701" s="1" t="s">
        <v>97</v>
      </c>
      <c r="J6701" s="1" t="s">
        <v>454</v>
      </c>
      <c r="K6701" s="1" t="s">
        <v>34</v>
      </c>
      <c r="L6701" s="1" t="s">
        <v>33263</v>
      </c>
      <c r="M6701" s="2" t="s">
        <v>12</v>
      </c>
      <c r="N6701" s="4">
        <f t="shared" si="1"/>
        <v>42753</v>
      </c>
      <c r="O6701" s="5" t="str">
        <f>IFERROR(__xludf.DUMMYFUNCTION("IF(REGEXMATCH(TRIM(I6701), ""^\d+\s*min""), ""Unclassified"", IF(I6701 = """", ""NR"", I6701))"),"TV-14")</f>
        <v>TV-14</v>
      </c>
      <c r="R6701" s="5" t="str">
        <f t="shared" si="2"/>
        <v>Enlighten Us</v>
      </c>
      <c r="S6701" s="5" t="str">
        <f>IFERROR(__xludf.DUMMYFUNCTION("""COMPUTED_VALUE"""),"Swiped")</f>
        <v>Swiped</v>
      </c>
      <c r="V6701" s="5"/>
      <c r="Y6701" s="5" t="str">
        <f>IFERROR(__xludf.DUMMYFUNCTION("REGEXEXTRACT(J6701, ""^\d+"")"),"93")</f>
        <v>93</v>
      </c>
      <c r="Z6701" s="5" t="str">
        <f>IFERROR(__xludf.DUMMYFUNCTION("REGEXEXTRACT(J6701, ""[A-Za-z ]+$"")")," min")</f>
        <v> min</v>
      </c>
      <c r="AA6701" s="5" t="str">
        <f>IFERROR(__xludf.DUMMYFUNCTION("IF(REGEXMATCH(Z6701, ""Season""), ""TV Show"", ""Movie"")"),"Movie")</f>
        <v>Movie</v>
      </c>
    </row>
    <row r="6702">
      <c r="A6702" s="1" t="s">
        <v>33264</v>
      </c>
      <c r="B6702" s="1" t="s">
        <v>27</v>
      </c>
      <c r="C6702" s="1" t="s">
        <v>33265</v>
      </c>
      <c r="D6702" s="1" t="s">
        <v>10253</v>
      </c>
      <c r="E6702" s="1" t="s">
        <v>33266</v>
      </c>
      <c r="F6702" s="1" t="s">
        <v>1106</v>
      </c>
      <c r="G6702" s="1" t="s">
        <v>33267</v>
      </c>
      <c r="H6702" s="1">
        <v>2018.0</v>
      </c>
      <c r="I6702" s="1" t="s">
        <v>42</v>
      </c>
      <c r="J6702" s="1" t="s">
        <v>471</v>
      </c>
      <c r="K6702" s="1" t="s">
        <v>1538</v>
      </c>
      <c r="L6702" s="1" t="s">
        <v>33268</v>
      </c>
      <c r="M6702" s="2" t="s">
        <v>12</v>
      </c>
      <c r="N6702" s="4">
        <f t="shared" si="1"/>
        <v>43443</v>
      </c>
      <c r="O6702" s="5" t="str">
        <f>IFERROR(__xludf.DUMMYFUNCTION("IF(REGEXMATCH(TRIM(I6702), ""^\d+\s*min""), ""Unclassified"", IF(I6702 = """", ""NR"", I6702))"),"TV-MA")</f>
        <v>TV-MA</v>
      </c>
      <c r="R6702" s="5" t="str">
        <f t="shared" si="2"/>
        <v>Entanglement</v>
      </c>
      <c r="S6702" s="5" t="str">
        <f>IFERROR(__xludf.DUMMYFUNCTION("""COMPUTED_VALUE"""),"Swiss Army Man")</f>
        <v>Swiss Army Man</v>
      </c>
      <c r="V6702" s="5"/>
      <c r="Y6702" s="5" t="str">
        <f>IFERROR(__xludf.DUMMYFUNCTION("REGEXEXTRACT(J6702, ""^\d+"")"),"85")</f>
        <v>85</v>
      </c>
      <c r="Z6702" s="5" t="str">
        <f>IFERROR(__xludf.DUMMYFUNCTION("REGEXEXTRACT(J6702, ""[A-Za-z ]+$"")")," min")</f>
        <v> min</v>
      </c>
      <c r="AA6702" s="5" t="str">
        <f>IFERROR(__xludf.DUMMYFUNCTION("IF(REGEXMATCH(Z6702, ""Season""), ""TV Show"", ""Movie"")"),"Movie")</f>
        <v>Movie</v>
      </c>
    </row>
    <row r="6703">
      <c r="A6703" s="1" t="s">
        <v>33269</v>
      </c>
      <c r="B6703" s="1" t="s">
        <v>27</v>
      </c>
      <c r="C6703" s="1" t="s">
        <v>33270</v>
      </c>
      <c r="D6703" s="1" t="s">
        <v>19421</v>
      </c>
      <c r="E6703" s="1" t="s">
        <v>33271</v>
      </c>
      <c r="F6703" s="1" t="s">
        <v>9457</v>
      </c>
      <c r="G6703" s="1" t="s">
        <v>8506</v>
      </c>
      <c r="H6703" s="1">
        <v>1973.0</v>
      </c>
      <c r="I6703" s="1" t="s">
        <v>378</v>
      </c>
      <c r="J6703" s="1" t="s">
        <v>238</v>
      </c>
      <c r="K6703" s="1" t="s">
        <v>1236</v>
      </c>
      <c r="L6703" s="1" t="s">
        <v>33272</v>
      </c>
      <c r="M6703" s="2" t="s">
        <v>12</v>
      </c>
      <c r="N6703" s="4">
        <f t="shared" si="1"/>
        <v>44197</v>
      </c>
      <c r="O6703" s="5" t="str">
        <f>IFERROR(__xludf.DUMMYFUNCTION("IF(REGEXMATCH(TRIM(I6703), ""^\d+\s*min""), ""Unclassified"", IF(I6703 = """", ""NR"", I6703))"),"R")</f>
        <v>R</v>
      </c>
      <c r="R6703" s="5" t="str">
        <f t="shared" si="2"/>
        <v>Enter The Dragon</v>
      </c>
      <c r="S6703" s="5" t="str">
        <f>IFERROR(__xludf.DUMMYFUNCTION("""COMPUTED_VALUE"""),"Switched")</f>
        <v>Switched</v>
      </c>
      <c r="V6703" s="5"/>
      <c r="Y6703" s="5" t="str">
        <f>IFERROR(__xludf.DUMMYFUNCTION("REGEXEXTRACT(J6703, ""^\d+"")"),"103")</f>
        <v>103</v>
      </c>
      <c r="Z6703" s="5" t="str">
        <f>IFERROR(__xludf.DUMMYFUNCTION("REGEXEXTRACT(J6703, ""[A-Za-z ]+$"")")," min")</f>
        <v> min</v>
      </c>
      <c r="AA6703" s="5" t="str">
        <f>IFERROR(__xludf.DUMMYFUNCTION("IF(REGEXMATCH(Z6703, ""Season""), ""TV Show"", ""Movie"")"),"Movie")</f>
        <v>Movie</v>
      </c>
    </row>
    <row r="6704">
      <c r="A6704" s="1" t="s">
        <v>33273</v>
      </c>
      <c r="B6704" s="1" t="s">
        <v>27</v>
      </c>
      <c r="C6704" s="1" t="s">
        <v>33274</v>
      </c>
      <c r="D6704" s="1" t="s">
        <v>1673</v>
      </c>
      <c r="E6704" s="1" t="s">
        <v>33275</v>
      </c>
      <c r="F6704" s="1" t="s">
        <v>33276</v>
      </c>
      <c r="G6704" s="1" t="s">
        <v>33277</v>
      </c>
      <c r="H6704" s="1">
        <v>2015.0</v>
      </c>
      <c r="I6704" s="1" t="s">
        <v>32</v>
      </c>
      <c r="J6704" s="1" t="s">
        <v>447</v>
      </c>
      <c r="K6704" s="1" t="s">
        <v>3815</v>
      </c>
      <c r="L6704" s="1" t="s">
        <v>33278</v>
      </c>
      <c r="M6704" s="2" t="s">
        <v>12</v>
      </c>
      <c r="N6704" s="4">
        <f t="shared" si="1"/>
        <v>43401</v>
      </c>
      <c r="O6704" s="5" t="str">
        <f>IFERROR(__xludf.DUMMYFUNCTION("IF(REGEXMATCH(TRIM(I6704), ""^\d+\s*min""), ""Unclassified"", IF(I6704 = """", ""NR"", I6704))"),"PG-13")</f>
        <v>PG-13</v>
      </c>
      <c r="R6704" s="5" t="str">
        <f t="shared" si="2"/>
        <v>Equals</v>
      </c>
      <c r="S6704" s="5" t="str">
        <f>IFERROR(__xludf.DUMMYFUNCTION("""COMPUTED_VALUE"""),"Sword Art Online")</f>
        <v>Sword Art Online</v>
      </c>
      <c r="V6704" s="5"/>
      <c r="Y6704" s="5" t="str">
        <f>IFERROR(__xludf.DUMMYFUNCTION("REGEXEXTRACT(J6704, ""^\d+"")"),"102")</f>
        <v>102</v>
      </c>
      <c r="Z6704" s="5" t="str">
        <f>IFERROR(__xludf.DUMMYFUNCTION("REGEXEXTRACT(J6704, ""[A-Za-z ]+$"")")," min")</f>
        <v> min</v>
      </c>
      <c r="AA6704" s="5" t="str">
        <f>IFERROR(__xludf.DUMMYFUNCTION("IF(REGEXMATCH(Z6704, ""Season""), ""TV Show"", ""Movie"")"),"Movie")</f>
        <v>Movie</v>
      </c>
    </row>
    <row r="6705">
      <c r="A6705" s="1" t="s">
        <v>33279</v>
      </c>
      <c r="B6705" s="1" t="s">
        <v>27</v>
      </c>
      <c r="C6705" s="1" t="s">
        <v>33280</v>
      </c>
      <c r="D6705" s="1" t="s">
        <v>13247</v>
      </c>
      <c r="E6705" s="1" t="s">
        <v>33281</v>
      </c>
      <c r="F6705" s="1" t="s">
        <v>30</v>
      </c>
      <c r="G6705" s="1" t="s">
        <v>31526</v>
      </c>
      <c r="H6705" s="1">
        <v>2002.0</v>
      </c>
      <c r="I6705" s="1" t="s">
        <v>378</v>
      </c>
      <c r="J6705" s="1" t="s">
        <v>1256</v>
      </c>
      <c r="K6705" s="1" t="s">
        <v>2282</v>
      </c>
      <c r="L6705" s="1" t="s">
        <v>33282</v>
      </c>
      <c r="M6705" s="2" t="s">
        <v>12</v>
      </c>
      <c r="N6705" s="4">
        <f t="shared" si="1"/>
        <v>43624</v>
      </c>
      <c r="O6705" s="5" t="str">
        <f>IFERROR(__xludf.DUMMYFUNCTION("IF(REGEXMATCH(TRIM(I6705), ""^\d+\s*min""), ""Unclassified"", IF(I6705 = """", ""NR"", I6705))"),"R")</f>
        <v>R</v>
      </c>
      <c r="R6705" s="5" t="str">
        <f t="shared" si="2"/>
        <v>Equilibrium</v>
      </c>
      <c r="S6705" s="5" t="str">
        <f>IFERROR(__xludf.DUMMYFUNCTION("""COMPUTED_VALUE"""),"Sword Art Online Alternative: Gun Gale Online")</f>
        <v>Sword Art Online Alternative: Gun Gale Online</v>
      </c>
      <c r="V6705" s="5"/>
      <c r="Y6705" s="5" t="str">
        <f>IFERROR(__xludf.DUMMYFUNCTION("REGEXEXTRACT(J6705, ""^\d+"")"),"107")</f>
        <v>107</v>
      </c>
      <c r="Z6705" s="5" t="str">
        <f>IFERROR(__xludf.DUMMYFUNCTION("REGEXEXTRACT(J6705, ""[A-Za-z ]+$"")")," min")</f>
        <v> min</v>
      </c>
      <c r="AA6705" s="5" t="str">
        <f>IFERROR(__xludf.DUMMYFUNCTION("IF(REGEXMATCH(Z6705, ""Season""), ""TV Show"", ""Movie"")"),"Movie")</f>
        <v>Movie</v>
      </c>
    </row>
    <row r="6706">
      <c r="A6706" s="1" t="s">
        <v>33283</v>
      </c>
      <c r="B6706" s="1" t="s">
        <v>27</v>
      </c>
      <c r="C6706" s="1" t="s">
        <v>33284</v>
      </c>
      <c r="D6706" s="1" t="s">
        <v>23677</v>
      </c>
      <c r="E6706" s="1" t="s">
        <v>33285</v>
      </c>
      <c r="F6706" s="1" t="s">
        <v>2446</v>
      </c>
      <c r="G6706" s="1" t="s">
        <v>18985</v>
      </c>
      <c r="H6706" s="1">
        <v>1990.0</v>
      </c>
      <c r="I6706" s="1" t="s">
        <v>42</v>
      </c>
      <c r="J6706" s="1" t="s">
        <v>428</v>
      </c>
      <c r="K6706" s="1" t="s">
        <v>836</v>
      </c>
      <c r="L6706" s="1" t="s">
        <v>33286</v>
      </c>
      <c r="M6706" s="2" t="s">
        <v>12</v>
      </c>
      <c r="N6706" s="4">
        <f t="shared" si="1"/>
        <v>43739</v>
      </c>
      <c r="O6706" s="5" t="str">
        <f>IFERROR(__xludf.DUMMYFUNCTION("IF(REGEXMATCH(TRIM(I6706), ""^\d+\s*min""), ""Unclassified"", IF(I6706 = """", ""NR"", I6706))"),"TV-MA")</f>
        <v>TV-MA</v>
      </c>
      <c r="R6706" s="5" t="str">
        <f t="shared" si="2"/>
        <v>Escape From The "Liberty" Cinema</v>
      </c>
      <c r="S6706" s="5" t="str">
        <f>IFERROR(__xludf.DUMMYFUNCTION("""COMPUTED_VALUE"""),"Sword Master")</f>
        <v>Sword Master</v>
      </c>
      <c r="V6706" s="5"/>
      <c r="Y6706" s="5" t="str">
        <f>IFERROR(__xludf.DUMMYFUNCTION("REGEXEXTRACT(J6706, ""^\d+"")"),"88")</f>
        <v>88</v>
      </c>
      <c r="Z6706" s="5" t="str">
        <f>IFERROR(__xludf.DUMMYFUNCTION("REGEXEXTRACT(J6706, ""[A-Za-z ]+$"")")," min")</f>
        <v> min</v>
      </c>
      <c r="AA6706" s="5" t="str">
        <f>IFERROR(__xludf.DUMMYFUNCTION("IF(REGEXMATCH(Z6706, ""Season""), ""TV Show"", ""Movie"")"),"Movie")</f>
        <v>Movie</v>
      </c>
    </row>
    <row r="6707">
      <c r="A6707" s="1" t="s">
        <v>33287</v>
      </c>
      <c r="B6707" s="1" t="s">
        <v>27</v>
      </c>
      <c r="C6707" s="1" t="s">
        <v>33288</v>
      </c>
      <c r="D6707" s="1" t="s">
        <v>967</v>
      </c>
      <c r="E6707" s="1" t="s">
        <v>1998</v>
      </c>
      <c r="F6707" s="1" t="s">
        <v>1815</v>
      </c>
      <c r="G6707" s="1" t="s">
        <v>25097</v>
      </c>
      <c r="H6707" s="1">
        <v>1985.0</v>
      </c>
      <c r="I6707" s="1" t="s">
        <v>30231</v>
      </c>
      <c r="J6707" s="1" t="s">
        <v>465</v>
      </c>
      <c r="K6707" s="1" t="s">
        <v>1999</v>
      </c>
      <c r="L6707" s="1" t="s">
        <v>2000</v>
      </c>
      <c r="M6707" s="2" t="s">
        <v>12</v>
      </c>
      <c r="N6707" s="4">
        <f t="shared" si="1"/>
        <v>43296</v>
      </c>
      <c r="O6707" s="5" t="str">
        <f>IFERROR(__xludf.DUMMYFUNCTION("IF(REGEXMATCH(TRIM(I6707), ""^\d+\s*min""), ""Unclassified"", IF(I6707 = """", ""NR"", I6707))"),"NR")</f>
        <v>NR</v>
      </c>
      <c r="R6707" s="5" t="str">
        <f t="shared" si="2"/>
        <v>Esperando La Carroza</v>
      </c>
      <c r="S6707" s="5" t="str">
        <f>IFERROR(__xludf.DUMMYFUNCTION("""COMPUTED_VALUE"""),"Sword Masters: Two Champions Of Shaolin")</f>
        <v>Sword Masters: Two Champions Of Shaolin</v>
      </c>
      <c r="V6707" s="5"/>
      <c r="Y6707" s="5" t="str">
        <f>IFERROR(__xludf.DUMMYFUNCTION("REGEXEXTRACT(J6707, ""^\d+"")"),"95")</f>
        <v>95</v>
      </c>
      <c r="Z6707" s="5" t="str">
        <f>IFERROR(__xludf.DUMMYFUNCTION("REGEXEXTRACT(J6707, ""[A-Za-z ]+$"")")," min")</f>
        <v> min</v>
      </c>
      <c r="AA6707" s="5" t="str">
        <f>IFERROR(__xludf.DUMMYFUNCTION("IF(REGEXMATCH(Z6707, ""Season""), ""TV Show"", ""Movie"")"),"Movie")</f>
        <v>Movie</v>
      </c>
    </row>
    <row r="6708">
      <c r="A6708" s="1" t="s">
        <v>33289</v>
      </c>
      <c r="B6708" s="1" t="s">
        <v>27</v>
      </c>
      <c r="C6708" s="1" t="s">
        <v>33290</v>
      </c>
      <c r="D6708" s="1" t="s">
        <v>14586</v>
      </c>
      <c r="E6708" s="1" t="s">
        <v>33291</v>
      </c>
      <c r="F6708" s="1" t="s">
        <v>162</v>
      </c>
      <c r="G6708" s="1" t="s">
        <v>32066</v>
      </c>
      <c r="H6708" s="1">
        <v>2016.0</v>
      </c>
      <c r="I6708" s="1" t="s">
        <v>97</v>
      </c>
      <c r="J6708" s="1" t="s">
        <v>433</v>
      </c>
      <c r="K6708" s="1" t="s">
        <v>679</v>
      </c>
      <c r="L6708" s="1" t="s">
        <v>33292</v>
      </c>
      <c r="M6708" s="2" t="s">
        <v>12</v>
      </c>
      <c r="N6708" s="4">
        <f t="shared" si="1"/>
        <v>42749</v>
      </c>
      <c r="O6708" s="5" t="str">
        <f>IFERROR(__xludf.DUMMYFUNCTION("IF(REGEXMATCH(TRIM(I6708), ""^\d+\s*min""), ""Unclassified"", IF(I6708 = """", ""NR"", I6708))"),"TV-14")</f>
        <v>TV-14</v>
      </c>
      <c r="R6708" s="5" t="str">
        <f t="shared" si="2"/>
        <v>Estar O No Estar</v>
      </c>
      <c r="S6708" s="5" t="str">
        <f>IFERROR(__xludf.DUMMYFUNCTION("""COMPUTED_VALUE"""),"Sword Of Trust")</f>
        <v>Sword Of Trust</v>
      </c>
      <c r="V6708" s="5"/>
      <c r="Y6708" s="5" t="str">
        <f>IFERROR(__xludf.DUMMYFUNCTION("REGEXEXTRACT(J6708, ""^\d+"")"),"100")</f>
        <v>100</v>
      </c>
      <c r="Z6708" s="5" t="str">
        <f>IFERROR(__xludf.DUMMYFUNCTION("REGEXEXTRACT(J6708, ""[A-Za-z ]+$"")")," min")</f>
        <v> min</v>
      </c>
      <c r="AA6708" s="5" t="str">
        <f>IFERROR(__xludf.DUMMYFUNCTION("IF(REGEXMATCH(Z6708, ""Season""), ""TV Show"", ""Movie"")"),"Movie")</f>
        <v>Movie</v>
      </c>
    </row>
    <row r="6709">
      <c r="A6709" s="1" t="s">
        <v>33293</v>
      </c>
      <c r="B6709" s="1" t="s">
        <v>27</v>
      </c>
      <c r="C6709" s="1" t="s">
        <v>33294</v>
      </c>
      <c r="E6709" s="1" t="s">
        <v>33295</v>
      </c>
      <c r="F6709" s="1" t="s">
        <v>63</v>
      </c>
      <c r="G6709" s="1" t="s">
        <v>25842</v>
      </c>
      <c r="H6709" s="1">
        <v>2018.0</v>
      </c>
      <c r="I6709" s="1" t="s">
        <v>97</v>
      </c>
      <c r="J6709" s="1" t="s">
        <v>79</v>
      </c>
      <c r="K6709" s="1" t="s">
        <v>20218</v>
      </c>
      <c r="L6709" s="1" t="s">
        <v>33296</v>
      </c>
      <c r="M6709" s="2" t="s">
        <v>12</v>
      </c>
      <c r="N6709" s="4">
        <f t="shared" si="1"/>
        <v>43191</v>
      </c>
      <c r="O6709" s="5" t="str">
        <f>IFERROR(__xludf.DUMMYFUNCTION("IF(REGEXMATCH(TRIM(I6709), ""^\d+\s*min""), ""Unclassified"", IF(I6709 = """", ""NR"", I6709))"),"TV-14")</f>
        <v>TV-14</v>
      </c>
      <c r="R6709" s="5" t="str">
        <f t="shared" si="2"/>
        <v>Ethirmarai</v>
      </c>
      <c r="S6709" s="5" t="str">
        <f>IFERROR(__xludf.DUMMYFUNCTION("""COMPUTED_VALUE"""),"Swordfish")</f>
        <v>Swordfish</v>
      </c>
      <c r="V6709" s="5"/>
      <c r="Y6709" s="5" t="str">
        <f>IFERROR(__xludf.DUMMYFUNCTION("REGEXEXTRACT(J6709, ""^\d+"")"),"91")</f>
        <v>91</v>
      </c>
      <c r="Z6709" s="5" t="str">
        <f>IFERROR(__xludf.DUMMYFUNCTION("REGEXEXTRACT(J6709, ""[A-Za-z ]+$"")")," min")</f>
        <v> min</v>
      </c>
      <c r="AA6709" s="5" t="str">
        <f>IFERROR(__xludf.DUMMYFUNCTION("IF(REGEXMATCH(Z6709, ""Season""), ""TV Show"", ""Movie"")"),"Movie")</f>
        <v>Movie</v>
      </c>
    </row>
    <row r="6710">
      <c r="A6710" s="1" t="s">
        <v>33297</v>
      </c>
      <c r="B6710" s="1" t="s">
        <v>27</v>
      </c>
      <c r="C6710" s="1" t="s">
        <v>33298</v>
      </c>
      <c r="D6710" s="1" t="s">
        <v>23104</v>
      </c>
      <c r="E6710" s="1" t="s">
        <v>33299</v>
      </c>
      <c r="F6710" s="1" t="s">
        <v>1779</v>
      </c>
      <c r="G6710" s="1" t="s">
        <v>18333</v>
      </c>
      <c r="H6710" s="1">
        <v>2018.0</v>
      </c>
      <c r="I6710" s="1" t="s">
        <v>378</v>
      </c>
      <c r="J6710" s="1" t="s">
        <v>297</v>
      </c>
      <c r="K6710" s="1" t="s">
        <v>4958</v>
      </c>
      <c r="L6710" s="1" t="s">
        <v>33300</v>
      </c>
      <c r="M6710" s="2" t="s">
        <v>12</v>
      </c>
      <c r="N6710" s="4">
        <f t="shared" si="1"/>
        <v>43770</v>
      </c>
      <c r="O6710" s="5" t="str">
        <f>IFERROR(__xludf.DUMMYFUNCTION("IF(REGEXMATCH(TRIM(I6710), ""^\d+\s*min""), ""Unclassified"", IF(I6710 = """", ""NR"", I6710))"),"R")</f>
        <v>R</v>
      </c>
      <c r="R6710" s="5" t="str">
        <f t="shared" si="2"/>
        <v>Euphoria</v>
      </c>
      <c r="S6710" s="5" t="str">
        <f>IFERROR(__xludf.DUMMYFUNCTION("""COMPUTED_VALUE"""),"Swordgai The Animation")</f>
        <v>Swordgai The Animation</v>
      </c>
      <c r="V6710" s="5"/>
      <c r="Y6710" s="5" t="str">
        <f>IFERROR(__xludf.DUMMYFUNCTION("REGEXEXTRACT(J6710, ""^\d+"")"),"110")</f>
        <v>110</v>
      </c>
      <c r="Z6710" s="5" t="str">
        <f>IFERROR(__xludf.DUMMYFUNCTION("REGEXEXTRACT(J6710, ""[A-Za-z ]+$"")")," min")</f>
        <v> min</v>
      </c>
      <c r="AA6710" s="5" t="str">
        <f>IFERROR(__xludf.DUMMYFUNCTION("IF(REGEXMATCH(Z6710, ""Season""), ""TV Show"", ""Movie"")"),"Movie")</f>
        <v>Movie</v>
      </c>
    </row>
    <row r="6711">
      <c r="A6711" s="1" t="s">
        <v>33301</v>
      </c>
      <c r="B6711" s="1" t="s">
        <v>37</v>
      </c>
      <c r="C6711" s="1" t="s">
        <v>33302</v>
      </c>
      <c r="E6711" s="1" t="s">
        <v>33303</v>
      </c>
      <c r="G6711" s="1" t="s">
        <v>33304</v>
      </c>
      <c r="H6711" s="1">
        <v>2019.0</v>
      </c>
      <c r="I6711" s="1" t="s">
        <v>136</v>
      </c>
      <c r="J6711" s="1" t="s">
        <v>51</v>
      </c>
      <c r="K6711" s="1" t="s">
        <v>32857</v>
      </c>
      <c r="L6711" s="1" t="s">
        <v>33305</v>
      </c>
      <c r="M6711" s="2" t="s">
        <v>12</v>
      </c>
      <c r="N6711" s="4">
        <f t="shared" si="1"/>
        <v>43669</v>
      </c>
      <c r="O6711" s="5" t="str">
        <f>IFERROR(__xludf.DUMMYFUNCTION("IF(REGEXMATCH(TRIM(I6711), ""^\d+\s*min""), ""Unclassified"", IF(I6711 = """", ""NR"", I6711))"),"TV-PG")</f>
        <v>TV-PG</v>
      </c>
      <c r="R6711" s="5" t="str">
        <f t="shared" si="2"/>
        <v>Eurovision Song Contest</v>
      </c>
      <c r="S6711" s="5" t="str">
        <f>IFERROR(__xludf.DUMMYFUNCTION("""COMPUTED_VALUE"""),"Sylvia")</f>
        <v>Sylvia</v>
      </c>
      <c r="V6711" s="5"/>
      <c r="Y6711" s="5" t="str">
        <f>IFERROR(__xludf.DUMMYFUNCTION("REGEXEXTRACT(J6711, ""^\d+"")"),"1")</f>
        <v>1</v>
      </c>
      <c r="Z6711" s="5" t="str">
        <f>IFERROR(__xludf.DUMMYFUNCTION("REGEXEXTRACT(J6711, ""[A-Za-z ]+$"")")," Season")</f>
        <v> Season</v>
      </c>
      <c r="AA6711" s="5" t="str">
        <f>IFERROR(__xludf.DUMMYFUNCTION("IF(REGEXMATCH(Z6711, ""Season""), ""TV Show"", ""Movie"")"),"TV Show")</f>
        <v>TV Show</v>
      </c>
    </row>
    <row r="6712">
      <c r="A6712" s="1" t="s">
        <v>33306</v>
      </c>
      <c r="B6712" s="1" t="s">
        <v>27</v>
      </c>
      <c r="C6712" s="1" t="s">
        <v>33307</v>
      </c>
      <c r="D6712" s="1" t="s">
        <v>1248</v>
      </c>
      <c r="E6712" s="1" t="s">
        <v>33308</v>
      </c>
      <c r="F6712" s="1" t="s">
        <v>30</v>
      </c>
      <c r="G6712" s="1" t="s">
        <v>21146</v>
      </c>
      <c r="H6712" s="1">
        <v>2007.0</v>
      </c>
      <c r="I6712" s="1" t="s">
        <v>78</v>
      </c>
      <c r="J6712" s="1" t="s">
        <v>322</v>
      </c>
      <c r="K6712" s="1" t="s">
        <v>33309</v>
      </c>
      <c r="L6712" s="1" t="s">
        <v>33310</v>
      </c>
      <c r="M6712" s="2" t="s">
        <v>12</v>
      </c>
      <c r="N6712" s="4">
        <f t="shared" si="1"/>
        <v>43571</v>
      </c>
      <c r="O6712" s="5" t="str">
        <f>IFERROR(__xludf.DUMMYFUNCTION("IF(REGEXMATCH(TRIM(I6712), ""^\d+\s*min""), ""Unclassified"", IF(I6712 = """", ""NR"", I6712))"),"PG")</f>
        <v>PG</v>
      </c>
      <c r="R6712" s="5" t="str">
        <f t="shared" si="2"/>
        <v>Evan Almighty</v>
      </c>
      <c r="S6712" s="5" t="str">
        <f>IFERROR(__xludf.DUMMYFUNCTION("""COMPUTED_VALUE"""),"Sym-Bionic Titan")</f>
        <v>Sym-Bionic Titan</v>
      </c>
      <c r="V6712" s="5"/>
      <c r="Y6712" s="5" t="str">
        <f>IFERROR(__xludf.DUMMYFUNCTION("REGEXEXTRACT(J6712, ""^\d+"")"),"96")</f>
        <v>96</v>
      </c>
      <c r="Z6712" s="5" t="str">
        <f>IFERROR(__xludf.DUMMYFUNCTION("REGEXEXTRACT(J6712, ""[A-Za-z ]+$"")")," min")</f>
        <v> min</v>
      </c>
      <c r="AA6712" s="5" t="str">
        <f>IFERROR(__xludf.DUMMYFUNCTION("IF(REGEXMATCH(Z6712, ""Season""), ""TV Show"", ""Movie"")"),"Movie")</f>
        <v>Movie</v>
      </c>
    </row>
    <row r="6713">
      <c r="A6713" s="1" t="s">
        <v>33311</v>
      </c>
      <c r="B6713" s="1" t="s">
        <v>27</v>
      </c>
      <c r="C6713" s="1" t="s">
        <v>33312</v>
      </c>
      <c r="D6713" s="1" t="s">
        <v>3614</v>
      </c>
      <c r="E6713" s="1" t="s">
        <v>33313</v>
      </c>
      <c r="F6713" s="1" t="s">
        <v>686</v>
      </c>
      <c r="G6713" s="1" t="s">
        <v>16947</v>
      </c>
      <c r="H6713" s="1">
        <v>1997.0</v>
      </c>
      <c r="I6713" s="1" t="s">
        <v>378</v>
      </c>
      <c r="J6713" s="1" t="s">
        <v>322</v>
      </c>
      <c r="K6713" s="1" t="s">
        <v>248</v>
      </c>
      <c r="L6713" s="1" t="s">
        <v>33314</v>
      </c>
      <c r="M6713" s="2" t="s">
        <v>12</v>
      </c>
      <c r="N6713" s="4">
        <f t="shared" si="1"/>
        <v>43831</v>
      </c>
      <c r="O6713" s="5" t="str">
        <f>IFERROR(__xludf.DUMMYFUNCTION("IF(REGEXMATCH(TRIM(I6713), ""^\d+\s*min""), ""Unclassified"", IF(I6713 = """", ""NR"", I6713))"),"R")</f>
        <v>R</v>
      </c>
      <c r="R6713" s="5" t="str">
        <f t="shared" si="2"/>
        <v>Event Horizon</v>
      </c>
      <c r="S6713" s="5" t="str">
        <f>IFERROR(__xludf.DUMMYFUNCTION("""COMPUTED_VALUE"""),"Synchronic")</f>
        <v>Synchronic</v>
      </c>
      <c r="V6713" s="5"/>
      <c r="Y6713" s="5" t="str">
        <f>IFERROR(__xludf.DUMMYFUNCTION("REGEXEXTRACT(J6713, ""^\d+"")"),"96")</f>
        <v>96</v>
      </c>
      <c r="Z6713" s="5" t="str">
        <f>IFERROR(__xludf.DUMMYFUNCTION("REGEXEXTRACT(J6713, ""[A-Za-z ]+$"")")," min")</f>
        <v> min</v>
      </c>
      <c r="AA6713" s="5" t="str">
        <f>IFERROR(__xludf.DUMMYFUNCTION("IF(REGEXMATCH(Z6713, ""Season""), ""TV Show"", ""Movie"")"),"Movie")</f>
        <v>Movie</v>
      </c>
    </row>
    <row r="6714">
      <c r="A6714" s="1" t="s">
        <v>33315</v>
      </c>
      <c r="B6714" s="1" t="s">
        <v>27</v>
      </c>
      <c r="C6714" s="1" t="s">
        <v>33316</v>
      </c>
      <c r="D6714" s="1" t="s">
        <v>19561</v>
      </c>
      <c r="E6714" s="1" t="s">
        <v>33317</v>
      </c>
      <c r="F6714" s="1" t="s">
        <v>30</v>
      </c>
      <c r="G6714" s="1" t="s">
        <v>16098</v>
      </c>
      <c r="H6714" s="1">
        <v>2019.0</v>
      </c>
      <c r="I6714" s="1" t="s">
        <v>42</v>
      </c>
      <c r="J6714" s="1" t="s">
        <v>357</v>
      </c>
      <c r="K6714" s="1" t="s">
        <v>2327</v>
      </c>
      <c r="L6714" s="1" t="s">
        <v>33318</v>
      </c>
      <c r="M6714" s="2" t="s">
        <v>12</v>
      </c>
      <c r="N6714" s="4">
        <f t="shared" si="1"/>
        <v>43886</v>
      </c>
      <c r="O6714" s="5" t="str">
        <f>IFERROR(__xludf.DUMMYFUNCTION("IF(REGEXMATCH(TRIM(I6714), ""^\d+\s*min""), ""Unclassified"", IF(I6714 = """", ""NR"", I6714))"),"TV-MA")</f>
        <v>TV-MA</v>
      </c>
      <c r="R6714" s="5" t="str">
        <f t="shared" si="2"/>
        <v>Every Time I Die</v>
      </c>
      <c r="S6714" s="5" t="str">
        <f>IFERROR(__xludf.DUMMYFUNCTION("""COMPUTED_VALUE"""),"System Crasher")</f>
        <v>System Crasher</v>
      </c>
      <c r="V6714" s="5"/>
      <c r="Y6714" s="5" t="str">
        <f>IFERROR(__xludf.DUMMYFUNCTION("REGEXEXTRACT(J6714, ""^\d+"")"),"98")</f>
        <v>98</v>
      </c>
      <c r="Z6714" s="5" t="str">
        <f>IFERROR(__xludf.DUMMYFUNCTION("REGEXEXTRACT(J6714, ""[A-Za-z ]+$"")")," min")</f>
        <v> min</v>
      </c>
      <c r="AA6714" s="5" t="str">
        <f>IFERROR(__xludf.DUMMYFUNCTION("IF(REGEXMATCH(Z6714, ""Season""), ""TV Show"", ""Movie"")"),"Movie")</f>
        <v>Movie</v>
      </c>
    </row>
    <row r="6715">
      <c r="A6715" s="1" t="s">
        <v>33319</v>
      </c>
      <c r="B6715" s="1" t="s">
        <v>27</v>
      </c>
      <c r="C6715" s="1" t="s">
        <v>33320</v>
      </c>
      <c r="D6715" s="1" t="s">
        <v>2602</v>
      </c>
      <c r="E6715" s="1" t="s">
        <v>33321</v>
      </c>
      <c r="F6715" s="1" t="s">
        <v>33322</v>
      </c>
      <c r="G6715" s="1" t="s">
        <v>20510</v>
      </c>
      <c r="H6715" s="1">
        <v>2019.0</v>
      </c>
      <c r="I6715" s="1" t="s">
        <v>378</v>
      </c>
      <c r="J6715" s="1" t="s">
        <v>1428</v>
      </c>
      <c r="K6715" s="1" t="s">
        <v>298</v>
      </c>
      <c r="L6715" s="1" t="s">
        <v>33323</v>
      </c>
      <c r="M6715" s="2" t="s">
        <v>12</v>
      </c>
      <c r="N6715" s="4">
        <f t="shared" si="1"/>
        <v>43622</v>
      </c>
      <c r="O6715" s="5" t="str">
        <f>IFERROR(__xludf.DUMMYFUNCTION("IF(REGEXMATCH(TRIM(I6715), ""^\d+\s*min""), ""Unclassified"", IF(I6715 = """", ""NR"", I6715))"),"R")</f>
        <v>R</v>
      </c>
      <c r="R6715" s="5" t="str">
        <f t="shared" si="2"/>
        <v>Everybody Knows</v>
      </c>
      <c r="S6715" s="5" t="str">
        <f>IFERROR(__xludf.DUMMYFUNCTION("""COMPUTED_VALUE"""),"Taal")</f>
        <v>Taal</v>
      </c>
      <c r="V6715" s="5"/>
      <c r="Y6715" s="5" t="str">
        <f>IFERROR(__xludf.DUMMYFUNCTION("REGEXEXTRACT(J6715, ""^\d+"")"),"133")</f>
        <v>133</v>
      </c>
      <c r="Z6715" s="5" t="str">
        <f>IFERROR(__xludf.DUMMYFUNCTION("REGEXEXTRACT(J6715, ""[A-Za-z ]+$"")")," min")</f>
        <v> min</v>
      </c>
      <c r="AA6715" s="5" t="str">
        <f>IFERROR(__xludf.DUMMYFUNCTION("IF(REGEXMATCH(Z6715, ""Season""), ""TV Show"", ""Movie"")"),"Movie")</f>
        <v>Movie</v>
      </c>
    </row>
    <row r="6716">
      <c r="A6716" s="1" t="s">
        <v>33324</v>
      </c>
      <c r="B6716" s="1" t="s">
        <v>37</v>
      </c>
      <c r="C6716" s="1" t="s">
        <v>33325</v>
      </c>
      <c r="E6716" s="1" t="s">
        <v>33326</v>
      </c>
      <c r="F6716" s="1" t="s">
        <v>96</v>
      </c>
      <c r="G6716" s="1" t="s">
        <v>27569</v>
      </c>
      <c r="H6716" s="1">
        <v>2014.0</v>
      </c>
      <c r="I6716" s="1" t="s">
        <v>136</v>
      </c>
      <c r="J6716" s="1" t="s">
        <v>51</v>
      </c>
      <c r="K6716" s="1" t="s">
        <v>544</v>
      </c>
      <c r="L6716" s="1" t="s">
        <v>33327</v>
      </c>
      <c r="M6716" s="2" t="s">
        <v>12</v>
      </c>
      <c r="N6716" s="4">
        <f t="shared" si="1"/>
        <v>42948</v>
      </c>
      <c r="O6716" s="5" t="str">
        <f>IFERROR(__xludf.DUMMYFUNCTION("IF(REGEXMATCH(TRIM(I6716), ""^\d+\s*min""), ""Unclassified"", IF(I6716 = """", ""NR"", I6716))"),"TV-PG")</f>
        <v>TV-PG</v>
      </c>
      <c r="R6716" s="5" t="str">
        <f t="shared" si="2"/>
        <v>Everyday Miracles</v>
      </c>
      <c r="S6716" s="5" t="str">
        <f>IFERROR(__xludf.DUMMYFUNCTION("""COMPUTED_VALUE"""),"Taare Zameen Par")</f>
        <v>Taare Zameen Par</v>
      </c>
      <c r="V6716" s="5"/>
      <c r="Y6716" s="5" t="str">
        <f>IFERROR(__xludf.DUMMYFUNCTION("REGEXEXTRACT(J6716, ""^\d+"")"),"1")</f>
        <v>1</v>
      </c>
      <c r="Z6716" s="5" t="str">
        <f>IFERROR(__xludf.DUMMYFUNCTION("REGEXEXTRACT(J6716, ""[A-Za-z ]+$"")")," Season")</f>
        <v> Season</v>
      </c>
      <c r="AA6716" s="5" t="str">
        <f>IFERROR(__xludf.DUMMYFUNCTION("IF(REGEXMATCH(Z6716, ""Season""), ""TV Show"", ""Movie"")"),"TV Show")</f>
        <v>TV Show</v>
      </c>
    </row>
    <row r="6717">
      <c r="A6717" s="1" t="s">
        <v>33328</v>
      </c>
      <c r="B6717" s="1" t="s">
        <v>27</v>
      </c>
      <c r="C6717" s="1" t="s">
        <v>33329</v>
      </c>
      <c r="D6717" s="1" t="s">
        <v>3625</v>
      </c>
      <c r="E6717" s="1" t="s">
        <v>33330</v>
      </c>
      <c r="F6717" s="1" t="s">
        <v>30</v>
      </c>
      <c r="G6717" s="1" t="s">
        <v>17941</v>
      </c>
      <c r="H6717" s="1">
        <v>2001.0</v>
      </c>
      <c r="I6717" s="1" t="s">
        <v>32</v>
      </c>
      <c r="J6717" s="1" t="s">
        <v>447</v>
      </c>
      <c r="K6717" s="1" t="s">
        <v>32418</v>
      </c>
      <c r="L6717" s="1" t="s">
        <v>33331</v>
      </c>
      <c r="M6717" s="2" t="s">
        <v>12</v>
      </c>
      <c r="N6717" s="4">
        <f t="shared" si="1"/>
        <v>43789</v>
      </c>
      <c r="O6717" s="5" t="str">
        <f>IFERROR(__xludf.DUMMYFUNCTION("IF(REGEXMATCH(TRIM(I6717), ""^\d+\s*min""), ""Unclassified"", IF(I6717 = """", ""NR"", I6717))"),"PG-13")</f>
        <v>PG-13</v>
      </c>
      <c r="R6717" s="5" t="str">
        <f t="shared" si="2"/>
        <v>Evolution</v>
      </c>
      <c r="S6717" s="5" t="str">
        <f>IFERROR(__xludf.DUMMYFUNCTION("""COMPUTED_VALUE"""),"Table Manners")</f>
        <v>Table Manners</v>
      </c>
      <c r="V6717" s="5"/>
      <c r="Y6717" s="5" t="str">
        <f>IFERROR(__xludf.DUMMYFUNCTION("REGEXEXTRACT(J6717, ""^\d+"")"),"102")</f>
        <v>102</v>
      </c>
      <c r="Z6717" s="5" t="str">
        <f>IFERROR(__xludf.DUMMYFUNCTION("REGEXEXTRACT(J6717, ""[A-Za-z ]+$"")")," min")</f>
        <v> min</v>
      </c>
      <c r="AA6717" s="5" t="str">
        <f>IFERROR(__xludf.DUMMYFUNCTION("IF(REGEXMATCH(Z6717, ""Season""), ""TV Show"", ""Movie"")"),"Movie")</f>
        <v>Movie</v>
      </c>
    </row>
    <row r="6718">
      <c r="A6718" s="1" t="s">
        <v>33332</v>
      </c>
      <c r="B6718" s="1" t="s">
        <v>27</v>
      </c>
      <c r="C6718" s="1" t="s">
        <v>33333</v>
      </c>
      <c r="D6718" s="1" t="s">
        <v>1094</v>
      </c>
      <c r="E6718" s="1" t="s">
        <v>33334</v>
      </c>
      <c r="F6718" s="1" t="s">
        <v>96</v>
      </c>
      <c r="G6718" s="1" t="s">
        <v>30969</v>
      </c>
      <c r="H6718" s="1">
        <v>2015.0</v>
      </c>
      <c r="I6718" s="1" t="s">
        <v>378</v>
      </c>
      <c r="J6718" s="1" t="s">
        <v>912</v>
      </c>
      <c r="K6718" s="1" t="s">
        <v>89</v>
      </c>
      <c r="L6718" s="1" t="s">
        <v>33335</v>
      </c>
      <c r="M6718" s="2" t="s">
        <v>12</v>
      </c>
      <c r="N6718" s="4">
        <f t="shared" si="1"/>
        <v>43307</v>
      </c>
      <c r="O6718" s="5" t="str">
        <f>IFERROR(__xludf.DUMMYFUNCTION("IF(REGEXMATCH(TRIM(I6718), ""^\d+\s*min""), ""Unclassified"", IF(I6718 = """", ""NR"", I6718))"),"R")</f>
        <v>R</v>
      </c>
      <c r="R6718" s="5" t="str">
        <f t="shared" si="2"/>
        <v>Ex Machina</v>
      </c>
      <c r="S6718" s="5" t="str">
        <f>IFERROR(__xludf.DUMMYFUNCTION("""COMPUTED_VALUE"""),"Tabula Rasa")</f>
        <v>Tabula Rasa</v>
      </c>
      <c r="V6718" s="5"/>
      <c r="Y6718" s="5" t="str">
        <f>IFERROR(__xludf.DUMMYFUNCTION("REGEXEXTRACT(J6718, ""^\d+"")"),"108")</f>
        <v>108</v>
      </c>
      <c r="Z6718" s="5" t="str">
        <f>IFERROR(__xludf.DUMMYFUNCTION("REGEXEXTRACT(J6718, ""[A-Za-z ]+$"")")," min")</f>
        <v> min</v>
      </c>
      <c r="AA6718" s="5" t="str">
        <f>IFERROR(__xludf.DUMMYFUNCTION("IF(REGEXMATCH(Z6718, ""Season""), ""TV Show"", ""Movie"")"),"Movie")</f>
        <v>Movie</v>
      </c>
    </row>
    <row r="6719">
      <c r="A6719" s="1" t="s">
        <v>33336</v>
      </c>
      <c r="B6719" s="1" t="s">
        <v>37</v>
      </c>
      <c r="C6719" s="1" t="s">
        <v>33337</v>
      </c>
      <c r="E6719" s="1" t="s">
        <v>33338</v>
      </c>
      <c r="F6719" s="1" t="s">
        <v>3892</v>
      </c>
      <c r="G6719" s="1" t="s">
        <v>28840</v>
      </c>
      <c r="H6719" s="1">
        <v>2011.0</v>
      </c>
      <c r="I6719" s="1" t="s">
        <v>97</v>
      </c>
      <c r="J6719" s="1" t="s">
        <v>51</v>
      </c>
      <c r="K6719" s="1" t="s">
        <v>64</v>
      </c>
      <c r="L6719" s="1" t="s">
        <v>33339</v>
      </c>
      <c r="M6719" s="2" t="s">
        <v>12</v>
      </c>
      <c r="N6719" s="4">
        <f t="shared" si="1"/>
        <v>42736</v>
      </c>
      <c r="O6719" s="5" t="str">
        <f>IFERROR(__xludf.DUMMYFUNCTION("IF(REGEXMATCH(TRIM(I6719), ""^\d+\s*min""), ""Unclassified"", IF(I6719 = """", ""NR"", I6719))"),"TV-14")</f>
        <v>TV-14</v>
      </c>
      <c r="R6719" s="5" t="str">
        <f t="shared" si="2"/>
        <v>Ex-Boyfriend</v>
      </c>
      <c r="S6719" s="5" t="str">
        <f>IFERROR(__xludf.DUMMYFUNCTION("""COMPUTED_VALUE"""),"Taco Chronicles")</f>
        <v>Taco Chronicles</v>
      </c>
      <c r="V6719" s="5"/>
      <c r="Y6719" s="5" t="str">
        <f>IFERROR(__xludf.DUMMYFUNCTION("REGEXEXTRACT(J6719, ""^\d+"")"),"1")</f>
        <v>1</v>
      </c>
      <c r="Z6719" s="5" t="str">
        <f>IFERROR(__xludf.DUMMYFUNCTION("REGEXEXTRACT(J6719, ""[A-Za-z ]+$"")")," Season")</f>
        <v> Season</v>
      </c>
      <c r="AA6719" s="5" t="str">
        <f>IFERROR(__xludf.DUMMYFUNCTION("IF(REGEXMATCH(Z6719, ""Season""), ""TV Show"", ""Movie"")"),"TV Show")</f>
        <v>TV Show</v>
      </c>
    </row>
    <row r="6720">
      <c r="A6720" s="1" t="s">
        <v>33340</v>
      </c>
      <c r="B6720" s="1" t="s">
        <v>37</v>
      </c>
      <c r="C6720" s="1" t="s">
        <v>33341</v>
      </c>
      <c r="D6720" s="1" t="s">
        <v>10032</v>
      </c>
      <c r="E6720" s="1" t="s">
        <v>33342</v>
      </c>
      <c r="G6720" s="1" t="s">
        <v>27488</v>
      </c>
      <c r="H6720" s="1">
        <v>2008.0</v>
      </c>
      <c r="I6720" s="1" t="s">
        <v>97</v>
      </c>
      <c r="J6720" s="1" t="s">
        <v>51</v>
      </c>
      <c r="K6720" s="1" t="s">
        <v>402</v>
      </c>
      <c r="L6720" s="1" t="s">
        <v>33343</v>
      </c>
      <c r="M6720" s="2" t="s">
        <v>12</v>
      </c>
      <c r="N6720" s="4">
        <f t="shared" si="1"/>
        <v>42961</v>
      </c>
      <c r="O6720" s="5" t="str">
        <f>IFERROR(__xludf.DUMMYFUNCTION("IF(REGEXMATCH(TRIM(I6720), ""^\d+\s*min""), ""Unclassified"", IF(I6720 = """", ""NR"", I6720))"),"TV-14")</f>
        <v>TV-14</v>
      </c>
      <c r="R6720" s="5" t="str">
        <f t="shared" si="2"/>
        <v>Exclusive Edition</v>
      </c>
      <c r="S6720" s="5" t="str">
        <f>IFERROR(__xludf.DUMMYFUNCTION("""COMPUTED_VALUE"""),"Tahaan")</f>
        <v>Tahaan</v>
      </c>
      <c r="V6720" s="5"/>
      <c r="Y6720" s="5" t="str">
        <f>IFERROR(__xludf.DUMMYFUNCTION("REGEXEXTRACT(J6720, ""^\d+"")"),"1")</f>
        <v>1</v>
      </c>
      <c r="Z6720" s="5" t="str">
        <f>IFERROR(__xludf.DUMMYFUNCTION("REGEXEXTRACT(J6720, ""[A-Za-z ]+$"")")," Season")</f>
        <v> Season</v>
      </c>
      <c r="AA6720" s="5" t="str">
        <f>IFERROR(__xludf.DUMMYFUNCTION("IF(REGEXMATCH(Z6720, ""Season""), ""TV Show"", ""Movie"")"),"TV Show")</f>
        <v>TV Show</v>
      </c>
    </row>
    <row r="6721">
      <c r="A6721" s="1" t="s">
        <v>33344</v>
      </c>
      <c r="B6721" s="1" t="s">
        <v>27</v>
      </c>
      <c r="C6721" s="1" t="s">
        <v>33345</v>
      </c>
      <c r="D6721" s="1" t="s">
        <v>21780</v>
      </c>
      <c r="E6721" s="1" t="s">
        <v>33346</v>
      </c>
      <c r="F6721" s="1" t="s">
        <v>30</v>
      </c>
      <c r="G6721" s="1" t="s">
        <v>18333</v>
      </c>
      <c r="H6721" s="1">
        <v>1996.0</v>
      </c>
      <c r="I6721" s="1" t="s">
        <v>378</v>
      </c>
      <c r="J6721" s="1" t="s">
        <v>1428</v>
      </c>
      <c r="K6721" s="1" t="s">
        <v>380</v>
      </c>
      <c r="L6721" s="1" t="s">
        <v>33347</v>
      </c>
      <c r="M6721" s="2" t="s">
        <v>12</v>
      </c>
      <c r="N6721" s="4">
        <f t="shared" si="1"/>
        <v>43770</v>
      </c>
      <c r="O6721" s="5" t="str">
        <f>IFERROR(__xludf.DUMMYFUNCTION("IF(REGEXMATCH(TRIM(I6721), ""^\d+\s*min""), ""Unclassified"", IF(I6721 = """", ""NR"", I6721))"),"R")</f>
        <v>R</v>
      </c>
      <c r="R6721" s="5" t="str">
        <f t="shared" si="2"/>
        <v>Executive Decision</v>
      </c>
      <c r="S6721" s="5" t="str">
        <f>IFERROR(__xludf.DUMMYFUNCTION("""COMPUTED_VALUE"""),"Taj Mahal 1989")</f>
        <v>Taj Mahal 1989</v>
      </c>
      <c r="V6721" s="5"/>
      <c r="Y6721" s="5" t="str">
        <f>IFERROR(__xludf.DUMMYFUNCTION("REGEXEXTRACT(J6721, ""^\d+"")"),"133")</f>
        <v>133</v>
      </c>
      <c r="Z6721" s="5" t="str">
        <f>IFERROR(__xludf.DUMMYFUNCTION("REGEXEXTRACT(J6721, ""[A-Za-z ]+$"")")," min")</f>
        <v> min</v>
      </c>
      <c r="AA6721" s="5" t="str">
        <f>IFERROR(__xludf.DUMMYFUNCTION("IF(REGEXMATCH(Z6721, ""Season""), ""TV Show"", ""Movie"")"),"Movie")</f>
        <v>Movie</v>
      </c>
    </row>
    <row r="6722">
      <c r="A6722" s="1" t="s">
        <v>33348</v>
      </c>
      <c r="B6722" s="1" t="s">
        <v>27</v>
      </c>
      <c r="C6722" s="1" t="s">
        <v>33349</v>
      </c>
      <c r="D6722" s="1" t="s">
        <v>1751</v>
      </c>
      <c r="F6722" s="1" t="s">
        <v>8498</v>
      </c>
      <c r="G6722" s="1" t="s">
        <v>29635</v>
      </c>
      <c r="H6722" s="1">
        <v>2013.0</v>
      </c>
      <c r="I6722" s="1" t="s">
        <v>42</v>
      </c>
      <c r="J6722" s="1" t="s">
        <v>4693</v>
      </c>
      <c r="K6722" s="1" t="s">
        <v>156</v>
      </c>
      <c r="L6722" s="1" t="s">
        <v>33350</v>
      </c>
      <c r="M6722" s="2" t="s">
        <v>12</v>
      </c>
      <c r="N6722" s="4">
        <f t="shared" si="1"/>
        <v>42552</v>
      </c>
      <c r="O6722" s="5" t="str">
        <f>IFERROR(__xludf.DUMMYFUNCTION("IF(REGEXMATCH(TRIM(I6722), ""^\d+\s*min""), ""Unclassified"", IF(I6722 = """", ""NR"", I6722))"),"TV-MA")</f>
        <v>TV-MA</v>
      </c>
      <c r="R6722" s="5" t="str">
        <f t="shared" si="2"/>
        <v>Exit Afghanistan</v>
      </c>
      <c r="S6722" s="5" t="str">
        <f>IFERROR(__xludf.DUMMYFUNCTION("""COMPUTED_VALUE"""),"Take Me")</f>
        <v>Take Me</v>
      </c>
      <c r="V6722" s="5"/>
      <c r="Y6722" s="5" t="str">
        <f>IFERROR(__xludf.DUMMYFUNCTION("REGEXEXTRACT(J6722, ""^\d+"")"),"58")</f>
        <v>58</v>
      </c>
      <c r="Z6722" s="5" t="str">
        <f>IFERROR(__xludf.DUMMYFUNCTION("REGEXEXTRACT(J6722, ""[A-Za-z ]+$"")")," min")</f>
        <v> min</v>
      </c>
      <c r="AA6722" s="5" t="str">
        <f>IFERROR(__xludf.DUMMYFUNCTION("IF(REGEXMATCH(Z6722, ""Season""), ""TV Show"", ""Movie"")"),"Movie")</f>
        <v>Movie</v>
      </c>
    </row>
    <row r="6723">
      <c r="A6723" s="1" t="s">
        <v>33351</v>
      </c>
      <c r="B6723" s="1" t="s">
        <v>27</v>
      </c>
      <c r="C6723" s="1" t="s">
        <v>33352</v>
      </c>
      <c r="D6723" s="1" t="s">
        <v>15859</v>
      </c>
      <c r="E6723" s="1" t="s">
        <v>33353</v>
      </c>
      <c r="F6723" s="1" t="s">
        <v>30</v>
      </c>
      <c r="G6723" s="1" t="s">
        <v>33354</v>
      </c>
      <c r="H6723" s="1">
        <v>2012.0</v>
      </c>
      <c r="I6723" s="1" t="s">
        <v>30231</v>
      </c>
      <c r="J6723" s="1" t="s">
        <v>6391</v>
      </c>
      <c r="K6723" s="1" t="s">
        <v>813</v>
      </c>
      <c r="L6723" s="1" t="s">
        <v>33355</v>
      </c>
      <c r="M6723" s="2" t="s">
        <v>12</v>
      </c>
      <c r="N6723" s="4">
        <f t="shared" si="1"/>
        <v>43527</v>
      </c>
      <c r="O6723" s="5" t="str">
        <f>IFERROR(__xludf.DUMMYFUNCTION("IF(REGEXMATCH(TRIM(I6723), ""^\d+\s*min""), ""Unclassified"", IF(I6723 = """", ""NR"", I6723))"),"NR")</f>
        <v>NR</v>
      </c>
      <c r="R6723" s="5" t="str">
        <f t="shared" si="2"/>
        <v>Exit Strategy</v>
      </c>
      <c r="S6723" s="5" t="str">
        <f>IFERROR(__xludf.DUMMYFUNCTION("""COMPUTED_VALUE"""),"Take Me Home Tonight")</f>
        <v>Take Me Home Tonight</v>
      </c>
      <c r="V6723" s="5"/>
      <c r="Y6723" s="5" t="str">
        <f>IFERROR(__xludf.DUMMYFUNCTION("REGEXEXTRACT(J6723, ""^\d+"")"),"79")</f>
        <v>79</v>
      </c>
      <c r="Z6723" s="5" t="str">
        <f>IFERROR(__xludf.DUMMYFUNCTION("REGEXEXTRACT(J6723, ""[A-Za-z ]+$"")")," min")</f>
        <v> min</v>
      </c>
      <c r="AA6723" s="5" t="str">
        <f>IFERROR(__xludf.DUMMYFUNCTION("IF(REGEXMATCH(Z6723, ""Season""), ""TV Show"", ""Movie"")"),"Movie")</f>
        <v>Movie</v>
      </c>
    </row>
    <row r="6724">
      <c r="A6724" s="1" t="s">
        <v>33356</v>
      </c>
      <c r="B6724" s="1" t="s">
        <v>27</v>
      </c>
      <c r="C6724" s="1" t="s">
        <v>33357</v>
      </c>
      <c r="D6724" s="1" t="s">
        <v>1988</v>
      </c>
      <c r="E6724" s="1" t="s">
        <v>33358</v>
      </c>
      <c r="F6724" s="1" t="s">
        <v>30</v>
      </c>
      <c r="G6724" s="1" t="s">
        <v>18985</v>
      </c>
      <c r="H6724" s="1">
        <v>2001.0</v>
      </c>
      <c r="I6724" s="1" t="s">
        <v>378</v>
      </c>
      <c r="J6724" s="1" t="s">
        <v>1091</v>
      </c>
      <c r="K6724" s="1" t="s">
        <v>380</v>
      </c>
      <c r="L6724" s="1" t="s">
        <v>33359</v>
      </c>
      <c r="M6724" s="2" t="s">
        <v>12</v>
      </c>
      <c r="N6724" s="4">
        <f t="shared" si="1"/>
        <v>43739</v>
      </c>
      <c r="O6724" s="5" t="str">
        <f>IFERROR(__xludf.DUMMYFUNCTION("IF(REGEXMATCH(TRIM(I6724), ""^\d+\s*min""), ""Unclassified"", IF(I6724 = """", ""NR"", I6724))"),"R")</f>
        <v>R</v>
      </c>
      <c r="R6724" s="5" t="str">
        <f t="shared" si="2"/>
        <v>Exit Wounds</v>
      </c>
      <c r="S6724" s="5" t="str">
        <f>IFERROR(__xludf.DUMMYFUNCTION("""COMPUTED_VALUE"""),"Take My Brother Away")</f>
        <v>Take My Brother Away</v>
      </c>
      <c r="V6724" s="5"/>
      <c r="Y6724" s="5" t="str">
        <f>IFERROR(__xludf.DUMMYFUNCTION("REGEXEXTRACT(J6724, ""^\d+"")"),"101")</f>
        <v>101</v>
      </c>
      <c r="Z6724" s="5" t="str">
        <f>IFERROR(__xludf.DUMMYFUNCTION("REGEXEXTRACT(J6724, ""[A-Za-z ]+$"")")," min")</f>
        <v> min</v>
      </c>
      <c r="AA6724" s="5" t="str">
        <f>IFERROR(__xludf.DUMMYFUNCTION("IF(REGEXMATCH(Z6724, ""Season""), ""TV Show"", ""Movie"")"),"Movie")</f>
        <v>Movie</v>
      </c>
    </row>
    <row r="6725">
      <c r="A6725" s="1" t="s">
        <v>33360</v>
      </c>
      <c r="B6725" s="1" t="s">
        <v>27</v>
      </c>
      <c r="C6725" s="1" t="s">
        <v>33361</v>
      </c>
      <c r="D6725" s="1" t="s">
        <v>11852</v>
      </c>
      <c r="E6725" s="1" t="s">
        <v>33362</v>
      </c>
      <c r="F6725" s="1" t="s">
        <v>30</v>
      </c>
      <c r="G6725" s="1" t="s">
        <v>19443</v>
      </c>
      <c r="H6725" s="1">
        <v>2019.0</v>
      </c>
      <c r="I6725" s="1" t="s">
        <v>97</v>
      </c>
      <c r="J6725" s="1" t="s">
        <v>2452</v>
      </c>
      <c r="K6725" s="1" t="s">
        <v>8559</v>
      </c>
      <c r="L6725" s="1" t="s">
        <v>33363</v>
      </c>
      <c r="M6725" s="2" t="s">
        <v>12</v>
      </c>
      <c r="N6725" s="4">
        <f t="shared" si="1"/>
        <v>43706</v>
      </c>
      <c r="O6725" s="5" t="str">
        <f>IFERROR(__xludf.DUMMYFUNCTION("IF(REGEXMATCH(TRIM(I6725), ""^\d+\s*min""), ""Unclassified"", IF(I6725 = """", ""NR"", I6725))"),"TV-14")</f>
        <v>TV-14</v>
      </c>
      <c r="R6725" s="5" t="str">
        <f t="shared" si="2"/>
        <v>Expo</v>
      </c>
      <c r="S6725" s="5" t="str">
        <f>IFERROR(__xludf.DUMMYFUNCTION("""COMPUTED_VALUE"""),"Take The 10")</f>
        <v>Take The 10</v>
      </c>
      <c r="V6725" s="5"/>
      <c r="Y6725" s="5" t="str">
        <f>IFERROR(__xludf.DUMMYFUNCTION("REGEXEXTRACT(J6725, ""^\d+"")"),"81")</f>
        <v>81</v>
      </c>
      <c r="Z6725" s="5" t="str">
        <f>IFERROR(__xludf.DUMMYFUNCTION("REGEXEXTRACT(J6725, ""[A-Za-z ]+$"")")," min")</f>
        <v> min</v>
      </c>
      <c r="AA6725" s="5" t="str">
        <f>IFERROR(__xludf.DUMMYFUNCTION("IF(REGEXMATCH(Z6725, ""Season""), ""TV Show"", ""Movie"")"),"Movie")</f>
        <v>Movie</v>
      </c>
    </row>
    <row r="6726">
      <c r="A6726" s="1" t="s">
        <v>33364</v>
      </c>
      <c r="B6726" s="1" t="s">
        <v>37</v>
      </c>
      <c r="C6726" s="1" t="s">
        <v>33365</v>
      </c>
      <c r="E6726" s="1" t="s">
        <v>33366</v>
      </c>
      <c r="F6726" s="1" t="s">
        <v>686</v>
      </c>
      <c r="G6726" s="1" t="s">
        <v>28421</v>
      </c>
      <c r="H6726" s="1">
        <v>2006.0</v>
      </c>
      <c r="I6726" s="1" t="s">
        <v>42</v>
      </c>
      <c r="J6726" s="1" t="s">
        <v>43</v>
      </c>
      <c r="K6726" s="1" t="s">
        <v>22840</v>
      </c>
      <c r="L6726" s="1" t="s">
        <v>33367</v>
      </c>
      <c r="M6726" s="2" t="s">
        <v>12</v>
      </c>
      <c r="N6726" s="4">
        <f t="shared" si="1"/>
        <v>42825</v>
      </c>
      <c r="O6726" s="5" t="str">
        <f>IFERROR(__xludf.DUMMYFUNCTION("IF(REGEXMATCH(TRIM(I6726), ""^\d+\s*min""), ""Unclassified"", IF(I6726 = """", ""NR"", I6726))"),"TV-MA")</f>
        <v>TV-MA</v>
      </c>
      <c r="R6726" s="5" t="str">
        <f t="shared" si="2"/>
        <v>Extras</v>
      </c>
      <c r="S6726" s="5" t="str">
        <f>IFERROR(__xludf.DUMMYFUNCTION("""COMPUTED_VALUE"""),"Take The Ball, Pass The Ball")</f>
        <v>Take The Ball, Pass The Ball</v>
      </c>
      <c r="V6726" s="5"/>
      <c r="Y6726" s="5" t="str">
        <f>IFERROR(__xludf.DUMMYFUNCTION("REGEXEXTRACT(J6726, ""^\d+"")"),"2")</f>
        <v>2</v>
      </c>
      <c r="Z6726" s="5" t="str">
        <f>IFERROR(__xludf.DUMMYFUNCTION("REGEXEXTRACT(J6726, ""[A-Za-z ]+$"")")," Seasons")</f>
        <v> Seasons</v>
      </c>
      <c r="AA6726" s="5" t="str">
        <f>IFERROR(__xludf.DUMMYFUNCTION("IF(REGEXMATCH(Z6726, ""Season""), ""TV Show"", ""Movie"")"),"TV Show")</f>
        <v>TV Show</v>
      </c>
    </row>
    <row r="6727">
      <c r="A6727" s="1" t="s">
        <v>33368</v>
      </c>
      <c r="B6727" s="1" t="s">
        <v>27</v>
      </c>
      <c r="C6727" s="1" t="s">
        <v>33369</v>
      </c>
      <c r="D6727" s="1" t="s">
        <v>5863</v>
      </c>
      <c r="E6727" s="1" t="s">
        <v>33370</v>
      </c>
      <c r="F6727" s="1" t="s">
        <v>188</v>
      </c>
      <c r="G6727" s="1" t="s">
        <v>28526</v>
      </c>
      <c r="H6727" s="1">
        <v>2010.0</v>
      </c>
      <c r="I6727" s="1" t="s">
        <v>42</v>
      </c>
      <c r="J6727" s="1" t="s">
        <v>416</v>
      </c>
      <c r="K6727" s="1" t="s">
        <v>199</v>
      </c>
      <c r="L6727" s="1" t="s">
        <v>33371</v>
      </c>
      <c r="M6727" s="2" t="s">
        <v>12</v>
      </c>
      <c r="N6727" s="4">
        <f t="shared" si="1"/>
        <v>42804</v>
      </c>
      <c r="O6727" s="5" t="str">
        <f>IFERROR(__xludf.DUMMYFUNCTION("IF(REGEXMATCH(TRIM(I6727), ""^\d+\s*min""), ""Unclassified"", IF(I6727 = """", ""NR"", I6727))"),"TV-MA")</f>
        <v>TV-MA</v>
      </c>
      <c r="R6727" s="5" t="str">
        <f t="shared" si="2"/>
        <v>Eyyvah Eyyvah</v>
      </c>
      <c r="S6727" s="5" t="str">
        <f>IFERROR(__xludf.DUMMYFUNCTION("""COMPUTED_VALUE"""),"Take Your Pills")</f>
        <v>Take Your Pills</v>
      </c>
      <c r="V6727" s="5"/>
      <c r="Y6727" s="5" t="str">
        <f>IFERROR(__xludf.DUMMYFUNCTION("REGEXEXTRACT(J6727, ""^\d+"")"),"99")</f>
        <v>99</v>
      </c>
      <c r="Z6727" s="5" t="str">
        <f>IFERROR(__xludf.DUMMYFUNCTION("REGEXEXTRACT(J6727, ""[A-Za-z ]+$"")")," min")</f>
        <v> min</v>
      </c>
      <c r="AA6727" s="5" t="str">
        <f>IFERROR(__xludf.DUMMYFUNCTION("IF(REGEXMATCH(Z6727, ""Season""), ""TV Show"", ""Movie"")"),"Movie")</f>
        <v>Movie</v>
      </c>
    </row>
    <row r="6728">
      <c r="A6728" s="1" t="s">
        <v>33372</v>
      </c>
      <c r="B6728" s="1" t="s">
        <v>27</v>
      </c>
      <c r="C6728" s="1" t="s">
        <v>33373</v>
      </c>
      <c r="D6728" s="1" t="s">
        <v>5863</v>
      </c>
      <c r="E6728" s="1" t="s">
        <v>33374</v>
      </c>
      <c r="F6728" s="1" t="s">
        <v>188</v>
      </c>
      <c r="G6728" s="1" t="s">
        <v>28526</v>
      </c>
      <c r="H6728" s="1">
        <v>2011.0</v>
      </c>
      <c r="I6728" s="1" t="s">
        <v>136</v>
      </c>
      <c r="J6728" s="1" t="s">
        <v>256</v>
      </c>
      <c r="K6728" s="1" t="s">
        <v>215</v>
      </c>
      <c r="L6728" s="1" t="s">
        <v>33375</v>
      </c>
      <c r="M6728" s="2" t="s">
        <v>12</v>
      </c>
      <c r="N6728" s="4">
        <f t="shared" si="1"/>
        <v>42804</v>
      </c>
      <c r="O6728" s="5" t="str">
        <f>IFERROR(__xludf.DUMMYFUNCTION("IF(REGEXMATCH(TRIM(I6728), ""^\d+\s*min""), ""Unclassified"", IF(I6728 = """", ""NR"", I6728))"),"TV-PG")</f>
        <v>TV-PG</v>
      </c>
      <c r="R6728" s="5" t="str">
        <f t="shared" si="2"/>
        <v>Eyyvah Eyyvah 2</v>
      </c>
      <c r="S6728" s="5" t="str">
        <f>IFERROR(__xludf.DUMMYFUNCTION("""COMPUTED_VALUE"""),"Taken")</f>
        <v>Taken</v>
      </c>
      <c r="V6728" s="5"/>
      <c r="Y6728" s="5" t="str">
        <f>IFERROR(__xludf.DUMMYFUNCTION("REGEXEXTRACT(J6728, ""^\d+"")"),"106")</f>
        <v>106</v>
      </c>
      <c r="Z6728" s="5" t="str">
        <f>IFERROR(__xludf.DUMMYFUNCTION("REGEXEXTRACT(J6728, ""[A-Za-z ]+$"")")," min")</f>
        <v> min</v>
      </c>
      <c r="AA6728" s="5" t="str">
        <f>IFERROR(__xludf.DUMMYFUNCTION("IF(REGEXMATCH(Z6728, ""Season""), ""TV Show"", ""Movie"")"),"Movie")</f>
        <v>Movie</v>
      </c>
    </row>
    <row r="6729">
      <c r="A6729" s="1" t="s">
        <v>33376</v>
      </c>
      <c r="B6729" s="1" t="s">
        <v>27</v>
      </c>
      <c r="C6729" s="1" t="s">
        <v>33377</v>
      </c>
      <c r="D6729" s="1" t="s">
        <v>5863</v>
      </c>
      <c r="E6729" s="1" t="s">
        <v>33378</v>
      </c>
      <c r="F6729" s="1" t="s">
        <v>188</v>
      </c>
      <c r="G6729" s="1" t="s">
        <v>28526</v>
      </c>
      <c r="H6729" s="1">
        <v>2014.0</v>
      </c>
      <c r="I6729" s="1" t="s">
        <v>136</v>
      </c>
      <c r="J6729" s="1" t="s">
        <v>238</v>
      </c>
      <c r="K6729" s="1" t="s">
        <v>199</v>
      </c>
      <c r="L6729" s="1" t="s">
        <v>33379</v>
      </c>
      <c r="M6729" s="2" t="s">
        <v>12</v>
      </c>
      <c r="N6729" s="4">
        <f t="shared" si="1"/>
        <v>42804</v>
      </c>
      <c r="O6729" s="5" t="str">
        <f>IFERROR(__xludf.DUMMYFUNCTION("IF(REGEXMATCH(TRIM(I6729), ""^\d+\s*min""), ""Unclassified"", IF(I6729 = """", ""NR"", I6729))"),"TV-PG")</f>
        <v>TV-PG</v>
      </c>
      <c r="R6729" s="5" t="str">
        <f t="shared" si="2"/>
        <v>Eyyvah Eyyvah 3</v>
      </c>
      <c r="S6729" s="5" t="str">
        <f>IFERROR(__xludf.DUMMYFUNCTION("""COMPUTED_VALUE"""),"Takers")</f>
        <v>Takers</v>
      </c>
      <c r="V6729" s="5"/>
      <c r="Y6729" s="5" t="str">
        <f>IFERROR(__xludf.DUMMYFUNCTION("REGEXEXTRACT(J6729, ""^\d+"")"),"103")</f>
        <v>103</v>
      </c>
      <c r="Z6729" s="5" t="str">
        <f>IFERROR(__xludf.DUMMYFUNCTION("REGEXEXTRACT(J6729, ""[A-Za-z ]+$"")")," min")</f>
        <v> min</v>
      </c>
      <c r="AA6729" s="5" t="str">
        <f>IFERROR(__xludf.DUMMYFUNCTION("IF(REGEXMATCH(Z6729, ""Season""), ""TV Show"", ""Movie"")"),"Movie")</f>
        <v>Movie</v>
      </c>
    </row>
    <row r="6730">
      <c r="A6730" s="1" t="s">
        <v>33380</v>
      </c>
      <c r="B6730" s="1" t="s">
        <v>37</v>
      </c>
      <c r="C6730" s="1" t="s">
        <v>33381</v>
      </c>
      <c r="E6730" s="1" t="s">
        <v>33382</v>
      </c>
      <c r="F6730" s="1" t="s">
        <v>188</v>
      </c>
      <c r="G6730" s="1" t="s">
        <v>33383</v>
      </c>
      <c r="H6730" s="1">
        <v>2009.0</v>
      </c>
      <c r="I6730" s="1" t="s">
        <v>97</v>
      </c>
      <c r="J6730" s="1" t="s">
        <v>51</v>
      </c>
      <c r="K6730" s="1" t="s">
        <v>1362</v>
      </c>
      <c r="L6730" s="1" t="s">
        <v>33384</v>
      </c>
      <c r="M6730" s="2" t="s">
        <v>12</v>
      </c>
      <c r="N6730" s="4">
        <f t="shared" si="1"/>
        <v>42730</v>
      </c>
      <c r="O6730" s="5" t="str">
        <f>IFERROR(__xludf.DUMMYFUNCTION("IF(REGEXMATCH(TRIM(I6730), ""^\d+\s*min""), ""Unclassified"", IF(I6730 = """", ""NR"", I6730))"),"TV-14")</f>
        <v>TV-14</v>
      </c>
      <c r="R6730" s="5" t="str">
        <f t="shared" si="2"/>
        <v>Ezel</v>
      </c>
      <c r="S6730" s="5" t="str">
        <f>IFERROR(__xludf.DUMMYFUNCTION("""COMPUTED_VALUE"""),"Takizawa Kabuki Zero 2020 The Movie")</f>
        <v>Takizawa Kabuki Zero 2020 The Movie</v>
      </c>
      <c r="V6730" s="5"/>
      <c r="Y6730" s="5" t="str">
        <f>IFERROR(__xludf.DUMMYFUNCTION("REGEXEXTRACT(J6730, ""^\d+"")"),"1")</f>
        <v>1</v>
      </c>
      <c r="Z6730" s="5" t="str">
        <f>IFERROR(__xludf.DUMMYFUNCTION("REGEXEXTRACT(J6730, ""[A-Za-z ]+$"")")," Season")</f>
        <v> Season</v>
      </c>
      <c r="AA6730" s="5" t="str">
        <f>IFERROR(__xludf.DUMMYFUNCTION("IF(REGEXMATCH(Z6730, ""Season""), ""TV Show"", ""Movie"")"),"TV Show")</f>
        <v>TV Show</v>
      </c>
    </row>
    <row r="6731">
      <c r="A6731" s="1" t="s">
        <v>33385</v>
      </c>
      <c r="B6731" s="1" t="s">
        <v>27</v>
      </c>
      <c r="C6731" s="1" t="s">
        <v>33386</v>
      </c>
      <c r="D6731" s="1" t="s">
        <v>3260</v>
      </c>
      <c r="E6731" s="1" t="s">
        <v>33387</v>
      </c>
      <c r="F6731" s="1" t="s">
        <v>30</v>
      </c>
      <c r="G6731" s="1" t="s">
        <v>33388</v>
      </c>
      <c r="H6731" s="1">
        <v>2017.0</v>
      </c>
      <c r="I6731" s="1" t="s">
        <v>42</v>
      </c>
      <c r="J6731" s="1" t="s">
        <v>665</v>
      </c>
      <c r="K6731" s="1" t="s">
        <v>813</v>
      </c>
      <c r="L6731" s="1" t="s">
        <v>33389</v>
      </c>
      <c r="M6731" s="2" t="s">
        <v>12</v>
      </c>
      <c r="N6731" s="4">
        <f t="shared" si="1"/>
        <v>43164</v>
      </c>
      <c r="O6731" s="5" t="str">
        <f>IFERROR(__xludf.DUMMYFUNCTION("IF(REGEXMATCH(TRIM(I6731), ""^\d+\s*min""), ""Unclassified"", IF(I6731 = """", ""NR"", I6731))"),"TV-MA")</f>
        <v>TV-MA</v>
      </c>
      <c r="R6731" s="5" t="str">
        <f t="shared" si="2"/>
        <v>F The Prom</v>
      </c>
      <c r="S6731" s="5" t="str">
        <f>IFERROR(__xludf.DUMMYFUNCTION("""COMPUTED_VALUE"""),"Takki")</f>
        <v>Takki</v>
      </c>
      <c r="V6731" s="5"/>
      <c r="Y6731" s="5" t="str">
        <f>IFERROR(__xludf.DUMMYFUNCTION("REGEXEXTRACT(J6731, ""^\d+"")"),"92")</f>
        <v>92</v>
      </c>
      <c r="Z6731" s="5" t="str">
        <f>IFERROR(__xludf.DUMMYFUNCTION("REGEXEXTRACT(J6731, ""[A-Za-z ]+$"")")," min")</f>
        <v> min</v>
      </c>
      <c r="AA6731" s="5" t="str">
        <f>IFERROR(__xludf.DUMMYFUNCTION("IF(REGEXMATCH(Z6731, ""Season""), ""TV Show"", ""Movie"")"),"Movie")</f>
        <v>Movie</v>
      </c>
    </row>
    <row r="6732">
      <c r="A6732" s="1" t="s">
        <v>33390</v>
      </c>
      <c r="B6732" s="1" t="s">
        <v>27</v>
      </c>
      <c r="C6732" s="1" t="s">
        <v>33391</v>
      </c>
      <c r="D6732" s="1" t="s">
        <v>15277</v>
      </c>
      <c r="E6732" s="1" t="s">
        <v>33392</v>
      </c>
      <c r="F6732" s="1" t="s">
        <v>30</v>
      </c>
      <c r="G6732" s="1" t="s">
        <v>26413</v>
      </c>
      <c r="H6732" s="1">
        <v>2017.0</v>
      </c>
      <c r="I6732" s="1" t="s">
        <v>42</v>
      </c>
      <c r="J6732" s="1" t="s">
        <v>1191</v>
      </c>
      <c r="K6732" s="1" t="s">
        <v>1320</v>
      </c>
      <c r="L6732" s="1" t="s">
        <v>33393</v>
      </c>
      <c r="M6732" s="2" t="s">
        <v>12</v>
      </c>
      <c r="N6732" s="4">
        <f t="shared" si="1"/>
        <v>43115</v>
      </c>
      <c r="O6732" s="5" t="str">
        <f>IFERROR(__xludf.DUMMYFUNCTION("IF(REGEXMATCH(TRIM(I6732), ""^\d+\s*min""), ""Unclassified"", IF(I6732 = """", ""NR"", I6732))"),"TV-MA")</f>
        <v>TV-MA</v>
      </c>
      <c r="R6732" s="5" t="str">
        <f t="shared" si="2"/>
        <v>Face 2 Face</v>
      </c>
      <c r="S6732" s="5" t="str">
        <f>IFERROR(__xludf.DUMMYFUNCTION("""COMPUTED_VALUE"""),"Talaash")</f>
        <v>Talaash</v>
      </c>
      <c r="V6732" s="5"/>
      <c r="Y6732" s="5" t="str">
        <f>IFERROR(__xludf.DUMMYFUNCTION("REGEXEXTRACT(J6732, ""^\d+"")"),"89")</f>
        <v>89</v>
      </c>
      <c r="Z6732" s="5" t="str">
        <f>IFERROR(__xludf.DUMMYFUNCTION("REGEXEXTRACT(J6732, ""[A-Za-z ]+$"")")," min")</f>
        <v> min</v>
      </c>
      <c r="AA6732" s="5" t="str">
        <f>IFERROR(__xludf.DUMMYFUNCTION("IF(REGEXMATCH(Z6732, ""Season""), ""TV Show"", ""Movie"")"),"Movie")</f>
        <v>Movie</v>
      </c>
    </row>
    <row r="6733">
      <c r="A6733" s="1" t="s">
        <v>33394</v>
      </c>
      <c r="B6733" s="1" t="s">
        <v>37</v>
      </c>
      <c r="C6733" s="1" t="s">
        <v>33395</v>
      </c>
      <c r="E6733" s="1" t="s">
        <v>33396</v>
      </c>
      <c r="F6733" s="1" t="s">
        <v>415</v>
      </c>
      <c r="G6733" s="1" t="s">
        <v>28377</v>
      </c>
      <c r="H6733" s="1">
        <v>2009.0</v>
      </c>
      <c r="I6733" s="1" t="s">
        <v>42</v>
      </c>
      <c r="J6733" s="1" t="s">
        <v>51</v>
      </c>
      <c r="K6733" s="1" t="s">
        <v>567</v>
      </c>
      <c r="L6733" s="1" t="s">
        <v>33397</v>
      </c>
      <c r="M6733" s="2" t="s">
        <v>12</v>
      </c>
      <c r="N6733" s="4">
        <f t="shared" si="1"/>
        <v>42826</v>
      </c>
      <c r="O6733" s="5" t="str">
        <f>IFERROR(__xludf.DUMMYFUNCTION("IF(REGEXMATCH(TRIM(I6733), ""^\d+\s*min""), ""Unclassified"", IF(I6733 = """", ""NR"", I6733))"),"TV-MA")</f>
        <v>TV-MA</v>
      </c>
      <c r="R6733" s="5" t="str">
        <f t="shared" si="2"/>
        <v>Fairy Tail</v>
      </c>
      <c r="S6733" s="5" t="str">
        <f>IFERROR(__xludf.DUMMYFUNCTION("""COMPUTED_VALUE"""),"Talentime")</f>
        <v>Talentime</v>
      </c>
      <c r="V6733" s="5"/>
      <c r="Y6733" s="5" t="str">
        <f>IFERROR(__xludf.DUMMYFUNCTION("REGEXEXTRACT(J6733, ""^\d+"")"),"1")</f>
        <v>1</v>
      </c>
      <c r="Z6733" s="5" t="str">
        <f>IFERROR(__xludf.DUMMYFUNCTION("REGEXEXTRACT(J6733, ""[A-Za-z ]+$"")")," Season")</f>
        <v> Season</v>
      </c>
      <c r="AA6733" s="5" t="str">
        <f>IFERROR(__xludf.DUMMYFUNCTION("IF(REGEXMATCH(Z6733, ""Season""), ""TV Show"", ""Movie"")"),"TV Show")</f>
        <v>TV Show</v>
      </c>
    </row>
    <row r="6734">
      <c r="A6734" s="1" t="s">
        <v>33398</v>
      </c>
      <c r="B6734" s="1" t="s">
        <v>37</v>
      </c>
      <c r="C6734" s="1" t="s">
        <v>33399</v>
      </c>
      <c r="E6734" s="1" t="s">
        <v>33400</v>
      </c>
      <c r="F6734" s="1" t="s">
        <v>96</v>
      </c>
      <c r="G6734" s="1" t="s">
        <v>19844</v>
      </c>
      <c r="H6734" s="1">
        <v>2015.0</v>
      </c>
      <c r="I6734" s="1" t="s">
        <v>506</v>
      </c>
      <c r="J6734" s="1" t="s">
        <v>51</v>
      </c>
      <c r="K6734" s="1" t="s">
        <v>142</v>
      </c>
      <c r="L6734" s="1" t="s">
        <v>33401</v>
      </c>
      <c r="M6734" s="2" t="s">
        <v>12</v>
      </c>
      <c r="N6734" s="4">
        <f t="shared" si="1"/>
        <v>43672</v>
      </c>
      <c r="O6734" s="5" t="str">
        <f>IFERROR(__xludf.DUMMYFUNCTION("IF(REGEXMATCH(TRIM(I6734), ""^\d+\s*min""), ""Unclassified"", IF(I6734 = """", ""NR"", I6734))"),"TV-G")</f>
        <v>TV-G</v>
      </c>
      <c r="R6734" s="5" t="str">
        <f t="shared" si="2"/>
        <v>Fake Or Fortune?</v>
      </c>
      <c r="S6734" s="5" t="str">
        <f>IFERROR(__xludf.DUMMYFUNCTION("""COMPUTED_VALUE"""),"Tales By Light")</f>
        <v>Tales By Light</v>
      </c>
      <c r="V6734" s="5"/>
      <c r="Y6734" s="5" t="str">
        <f>IFERROR(__xludf.DUMMYFUNCTION("REGEXEXTRACT(J6734, ""^\d+"")"),"1")</f>
        <v>1</v>
      </c>
      <c r="Z6734" s="5" t="str">
        <f>IFERROR(__xludf.DUMMYFUNCTION("REGEXEXTRACT(J6734, ""[A-Za-z ]+$"")")," Season")</f>
        <v> Season</v>
      </c>
      <c r="AA6734" s="5" t="str">
        <f>IFERROR(__xludf.DUMMYFUNCTION("IF(REGEXMATCH(Z6734, ""Season""), ""TV Show"", ""Movie"")"),"TV Show")</f>
        <v>TV Show</v>
      </c>
    </row>
    <row r="6735">
      <c r="A6735" s="1" t="s">
        <v>33402</v>
      </c>
      <c r="B6735" s="1" t="s">
        <v>27</v>
      </c>
      <c r="C6735" s="1" t="s">
        <v>33403</v>
      </c>
      <c r="D6735" s="1" t="s">
        <v>20348</v>
      </c>
      <c r="E6735" s="1" t="s">
        <v>33404</v>
      </c>
      <c r="F6735" s="1" t="s">
        <v>63</v>
      </c>
      <c r="G6735" s="1" t="s">
        <v>26235</v>
      </c>
      <c r="H6735" s="1">
        <v>2011.0</v>
      </c>
      <c r="I6735" s="1" t="s">
        <v>97</v>
      </c>
      <c r="J6735" s="1" t="s">
        <v>1407</v>
      </c>
      <c r="K6735" s="1" t="s">
        <v>306</v>
      </c>
      <c r="L6735" s="1" t="s">
        <v>33405</v>
      </c>
      <c r="M6735" s="2" t="s">
        <v>12</v>
      </c>
      <c r="N6735" s="4">
        <f t="shared" si="1"/>
        <v>43146</v>
      </c>
      <c r="O6735" s="5" t="str">
        <f>IFERROR(__xludf.DUMMYFUNCTION("IF(REGEXMATCH(TRIM(I6735), ""^\d+\s*min""), ""Unclassified"", IF(I6735 = """", ""NR"", I6735))"),"TV-14")</f>
        <v>TV-14</v>
      </c>
      <c r="R6735" s="5" t="str">
        <f t="shared" si="2"/>
        <v>Fakta Ladh Mhana</v>
      </c>
      <c r="S6735" s="5" t="str">
        <f>IFERROR(__xludf.DUMMYFUNCTION("""COMPUTED_VALUE"""),"Tales From The Hood 2")</f>
        <v>Tales From The Hood 2</v>
      </c>
      <c r="V6735" s="5"/>
      <c r="Y6735" s="5" t="str">
        <f>IFERROR(__xludf.DUMMYFUNCTION("REGEXEXTRACT(J6735, ""^\d+"")"),"150")</f>
        <v>150</v>
      </c>
      <c r="Z6735" s="5" t="str">
        <f>IFERROR(__xludf.DUMMYFUNCTION("REGEXEXTRACT(J6735, ""[A-Za-z ]+$"")")," min")</f>
        <v> min</v>
      </c>
      <c r="AA6735" s="5" t="str">
        <f>IFERROR(__xludf.DUMMYFUNCTION("IF(REGEXMATCH(Z6735, ""Season""), ""TV Show"", ""Movie"")"),"Movie")</f>
        <v>Movie</v>
      </c>
    </row>
    <row r="6736">
      <c r="A6736" s="1" t="s">
        <v>33406</v>
      </c>
      <c r="B6736" s="1" t="s">
        <v>27</v>
      </c>
      <c r="C6736" s="1" t="s">
        <v>33407</v>
      </c>
      <c r="D6736" s="1" t="s">
        <v>4821</v>
      </c>
      <c r="E6736" s="1" t="s">
        <v>33408</v>
      </c>
      <c r="F6736" s="1" t="s">
        <v>30</v>
      </c>
      <c r="G6736" s="1" t="s">
        <v>16947</v>
      </c>
      <c r="H6736" s="1">
        <v>2019.0</v>
      </c>
      <c r="I6736" s="1" t="s">
        <v>97</v>
      </c>
      <c r="J6736" s="1" t="s">
        <v>729</v>
      </c>
      <c r="K6736" s="1" t="s">
        <v>239</v>
      </c>
      <c r="L6736" s="1" t="s">
        <v>33409</v>
      </c>
      <c r="M6736" s="2" t="s">
        <v>12</v>
      </c>
      <c r="N6736" s="4">
        <f t="shared" si="1"/>
        <v>43831</v>
      </c>
      <c r="O6736" s="5" t="str">
        <f>IFERROR(__xludf.DUMMYFUNCTION("IF(REGEXMATCH(TRIM(I6736), ""^\d+\s*min""), ""Unclassified"", IF(I6736 = """", ""NR"", I6736))"),"TV-14")</f>
        <v>TV-14</v>
      </c>
      <c r="R6736" s="5" t="str">
        <f t="shared" si="2"/>
        <v>Fall Girls</v>
      </c>
      <c r="S6736" s="5" t="str">
        <f>IFERROR(__xludf.DUMMYFUNCTION("""COMPUTED_VALUE"""),"Tales Of The City")</f>
        <v>Tales Of The City</v>
      </c>
      <c r="V6736" s="5"/>
      <c r="Y6736" s="5" t="str">
        <f>IFERROR(__xludf.DUMMYFUNCTION("REGEXEXTRACT(J6736, ""^\d+"")"),"80")</f>
        <v>80</v>
      </c>
      <c r="Z6736" s="5" t="str">
        <f>IFERROR(__xludf.DUMMYFUNCTION("REGEXEXTRACT(J6736, ""[A-Za-z ]+$"")")," min")</f>
        <v> min</v>
      </c>
      <c r="AA6736" s="5" t="str">
        <f>IFERROR(__xludf.DUMMYFUNCTION("IF(REGEXMATCH(Z6736, ""Season""), ""TV Show"", ""Movie"")"),"Movie")</f>
        <v>Movie</v>
      </c>
    </row>
    <row r="6737">
      <c r="A6737" s="1" t="s">
        <v>33410</v>
      </c>
      <c r="B6737" s="1" t="s">
        <v>27</v>
      </c>
      <c r="C6737" s="1" t="s">
        <v>33411</v>
      </c>
      <c r="D6737" s="1" t="s">
        <v>8721</v>
      </c>
      <c r="E6737" s="1" t="s">
        <v>33412</v>
      </c>
      <c r="F6737" s="1" t="s">
        <v>30</v>
      </c>
      <c r="G6737" s="1" t="s">
        <v>18333</v>
      </c>
      <c r="H6737" s="1">
        <v>1998.0</v>
      </c>
      <c r="I6737" s="1" t="s">
        <v>378</v>
      </c>
      <c r="J6737" s="1" t="s">
        <v>341</v>
      </c>
      <c r="K6737" s="1" t="s">
        <v>171</v>
      </c>
      <c r="L6737" s="1" t="s">
        <v>33413</v>
      </c>
      <c r="M6737" s="2" t="s">
        <v>12</v>
      </c>
      <c r="N6737" s="4">
        <f t="shared" si="1"/>
        <v>43770</v>
      </c>
      <c r="O6737" s="5" t="str">
        <f>IFERROR(__xludf.DUMMYFUNCTION("IF(REGEXMATCH(TRIM(I6737), ""^\d+\s*min""), ""Unclassified"", IF(I6737 = """", ""NR"", I6737))"),"R")</f>
        <v>R</v>
      </c>
      <c r="R6737" s="5" t="str">
        <f t="shared" si="2"/>
        <v>Fallen</v>
      </c>
      <c r="S6737" s="5" t="str">
        <f>IFERROR(__xludf.DUMMYFUNCTION("""COMPUTED_VALUE"""),"Tales Of The City (1993)")</f>
        <v>Tales Of The City (1993)</v>
      </c>
      <c r="V6737" s="5"/>
      <c r="Y6737" s="5" t="str">
        <f>IFERROR(__xludf.DUMMYFUNCTION("REGEXEXTRACT(J6737, ""^\d+"")"),"124")</f>
        <v>124</v>
      </c>
      <c r="Z6737" s="5" t="str">
        <f>IFERROR(__xludf.DUMMYFUNCTION("REGEXEXTRACT(J6737, ""[A-Za-z ]+$"")")," min")</f>
        <v> min</v>
      </c>
      <c r="AA6737" s="5" t="str">
        <f>IFERROR(__xludf.DUMMYFUNCTION("IF(REGEXMATCH(Z6737, ""Season""), ""TV Show"", ""Movie"")"),"Movie")</f>
        <v>Movie</v>
      </c>
    </row>
    <row r="6738">
      <c r="A6738" s="1" t="s">
        <v>33414</v>
      </c>
      <c r="B6738" s="1" t="s">
        <v>27</v>
      </c>
      <c r="C6738" s="1" t="s">
        <v>33415</v>
      </c>
      <c r="D6738" s="1" t="s">
        <v>20730</v>
      </c>
      <c r="E6738" s="1" t="s">
        <v>33416</v>
      </c>
      <c r="F6738" s="1" t="s">
        <v>2492</v>
      </c>
      <c r="G6738" s="7">
        <v>43586.0</v>
      </c>
      <c r="H6738" s="1">
        <v>2017.0</v>
      </c>
      <c r="I6738" s="1" t="s">
        <v>42</v>
      </c>
      <c r="J6738" s="1" t="s">
        <v>416</v>
      </c>
      <c r="K6738" s="1" t="s">
        <v>89</v>
      </c>
      <c r="L6738" s="1" t="s">
        <v>33417</v>
      </c>
      <c r="M6738" s="2" t="s">
        <v>12</v>
      </c>
      <c r="N6738" s="4">
        <f t="shared" si="1"/>
        <v>43586</v>
      </c>
      <c r="O6738" s="5" t="str">
        <f>IFERROR(__xludf.DUMMYFUNCTION("IF(REGEXMATCH(TRIM(I6738), ""^\d+\s*min""), ""Unclassified"", IF(I6738 = """", ""NR"", I6738))"),"TV-MA")</f>
        <v>TV-MA</v>
      </c>
      <c r="R6738" s="5" t="str">
        <f t="shared" si="2"/>
        <v>Familiye</v>
      </c>
      <c r="S6738" s="5" t="str">
        <f>IFERROR(__xludf.DUMMYFUNCTION("""COMPUTED_VALUE"""),"Talking Tom And Friends")</f>
        <v>Talking Tom And Friends</v>
      </c>
      <c r="V6738" s="5"/>
      <c r="Y6738" s="5" t="str">
        <f>IFERROR(__xludf.DUMMYFUNCTION("REGEXEXTRACT(J6738, ""^\d+"")"),"99")</f>
        <v>99</v>
      </c>
      <c r="Z6738" s="5" t="str">
        <f>IFERROR(__xludf.DUMMYFUNCTION("REGEXEXTRACT(J6738, ""[A-Za-z ]+$"")")," min")</f>
        <v> min</v>
      </c>
      <c r="AA6738" s="5" t="str">
        <f>IFERROR(__xludf.DUMMYFUNCTION("IF(REGEXMATCH(Z6738, ""Season""), ""TV Show"", ""Movie"")"),"Movie")</f>
        <v>Movie</v>
      </c>
    </row>
    <row r="6739">
      <c r="A6739" s="1" t="s">
        <v>33418</v>
      </c>
      <c r="B6739" s="1" t="s">
        <v>27</v>
      </c>
      <c r="C6739" s="1" t="s">
        <v>33419</v>
      </c>
      <c r="D6739" s="1" t="s">
        <v>3248</v>
      </c>
      <c r="F6739" s="1" t="s">
        <v>63</v>
      </c>
      <c r="G6739" s="1" t="s">
        <v>28914</v>
      </c>
      <c r="H6739" s="1">
        <v>2015.0</v>
      </c>
      <c r="I6739" s="1" t="s">
        <v>97</v>
      </c>
      <c r="J6739" s="1" t="s">
        <v>5170</v>
      </c>
      <c r="K6739" s="1" t="s">
        <v>156</v>
      </c>
      <c r="L6739" s="1" t="s">
        <v>33420</v>
      </c>
      <c r="M6739" s="2" t="s">
        <v>12</v>
      </c>
      <c r="N6739" s="4">
        <f t="shared" si="1"/>
        <v>42719</v>
      </c>
      <c r="O6739" s="5" t="str">
        <f>IFERROR(__xludf.DUMMYFUNCTION("IF(REGEXMATCH(TRIM(I6739), ""^\d+\s*min""), ""Unclassified"", IF(I6739 = """", ""NR"", I6739))"),"TV-14")</f>
        <v>TV-14</v>
      </c>
      <c r="R6739" s="5" t="str">
        <f t="shared" si="2"/>
        <v>Famous In Ahmedabad</v>
      </c>
      <c r="S6739" s="5" t="str">
        <f>IFERROR(__xludf.DUMMYFUNCTION("""COMPUTED_VALUE"""),"Tall Girl")</f>
        <v>Tall Girl</v>
      </c>
      <c r="V6739" s="5"/>
      <c r="Y6739" s="5" t="str">
        <f>IFERROR(__xludf.DUMMYFUNCTION("REGEXEXTRACT(J6739, ""^\d+"")"),"29")</f>
        <v>29</v>
      </c>
      <c r="Z6739" s="5" t="str">
        <f>IFERROR(__xludf.DUMMYFUNCTION("REGEXEXTRACT(J6739, ""[A-Za-z ]+$"")")," min")</f>
        <v> min</v>
      </c>
      <c r="AA6739" s="5" t="str">
        <f>IFERROR(__xludf.DUMMYFUNCTION("IF(REGEXMATCH(Z6739, ""Season""), ""TV Show"", ""Movie"")"),"Movie")</f>
        <v>Movie</v>
      </c>
    </row>
    <row r="6740">
      <c r="A6740" s="1" t="s">
        <v>33421</v>
      </c>
      <c r="B6740" s="1" t="s">
        <v>27</v>
      </c>
      <c r="C6740" s="1" t="s">
        <v>33422</v>
      </c>
      <c r="D6740" s="1" t="s">
        <v>12641</v>
      </c>
      <c r="E6740" s="1" t="s">
        <v>33423</v>
      </c>
      <c r="F6740" s="1" t="s">
        <v>30</v>
      </c>
      <c r="G6740" s="1" t="s">
        <v>19471</v>
      </c>
      <c r="H6740" s="1">
        <v>2019.0</v>
      </c>
      <c r="I6740" s="1" t="s">
        <v>97</v>
      </c>
      <c r="J6740" s="1" t="s">
        <v>79</v>
      </c>
      <c r="K6740" s="1" t="s">
        <v>171</v>
      </c>
      <c r="L6740" s="1" t="s">
        <v>33424</v>
      </c>
      <c r="M6740" s="2" t="s">
        <v>12</v>
      </c>
      <c r="N6740" s="4">
        <f t="shared" si="1"/>
        <v>43701</v>
      </c>
      <c r="O6740" s="5" t="str">
        <f>IFERROR(__xludf.DUMMYFUNCTION("IF(REGEXMATCH(TRIM(I6740), ""^\d+\s*min""), ""Unclassified"", IF(I6740 = """", ""NR"", I6740))"),"TV-14")</f>
        <v>TV-14</v>
      </c>
      <c r="R6740" s="5" t="str">
        <f t="shared" si="2"/>
        <v>Fanatic</v>
      </c>
      <c r="S6740" s="5" t="str">
        <f>IFERROR(__xludf.DUMMYFUNCTION("""COMPUTED_VALUE"""),"Talladega Nights: The Ballad Of Ricky Bobby")</f>
        <v>Talladega Nights: The Ballad Of Ricky Bobby</v>
      </c>
      <c r="V6740" s="5"/>
      <c r="Y6740" s="5" t="str">
        <f>IFERROR(__xludf.DUMMYFUNCTION("REGEXEXTRACT(J6740, ""^\d+"")"),"91")</f>
        <v>91</v>
      </c>
      <c r="Z6740" s="5" t="str">
        <f>IFERROR(__xludf.DUMMYFUNCTION("REGEXEXTRACT(J6740, ""[A-Za-z ]+$"")")," min")</f>
        <v> min</v>
      </c>
      <c r="AA6740" s="5" t="str">
        <f>IFERROR(__xludf.DUMMYFUNCTION("IF(REGEXMATCH(Z6740, ""Season""), ""TV Show"", ""Movie"")"),"Movie")</f>
        <v>Movie</v>
      </c>
    </row>
    <row r="6741">
      <c r="A6741" s="1" t="s">
        <v>33425</v>
      </c>
      <c r="B6741" s="1" t="s">
        <v>27</v>
      </c>
      <c r="C6741" s="1" t="s">
        <v>33426</v>
      </c>
      <c r="D6741" s="1" t="s">
        <v>16500</v>
      </c>
      <c r="E6741" s="1" t="s">
        <v>33427</v>
      </c>
      <c r="F6741" s="1" t="s">
        <v>63</v>
      </c>
      <c r="G6741" s="1" t="s">
        <v>26481</v>
      </c>
      <c r="H6741" s="1">
        <v>2014.0</v>
      </c>
      <c r="I6741" s="1" t="s">
        <v>30231</v>
      </c>
      <c r="J6741" s="1" t="s">
        <v>447</v>
      </c>
      <c r="K6741" s="1" t="s">
        <v>89</v>
      </c>
      <c r="L6741" s="1" t="s">
        <v>33428</v>
      </c>
      <c r="M6741" s="2" t="s">
        <v>12</v>
      </c>
      <c r="N6741" s="4">
        <f t="shared" si="1"/>
        <v>43101</v>
      </c>
      <c r="O6741" s="5" t="str">
        <f>IFERROR(__xludf.DUMMYFUNCTION("IF(REGEXMATCH(TRIM(I6741), ""^\d+\s*min""), ""Unclassified"", IF(I6741 = """", ""NR"", I6741))"),"NR")</f>
        <v>NR</v>
      </c>
      <c r="R6741" s="5" t="str">
        <f t="shared" si="2"/>
        <v>Fandry</v>
      </c>
      <c r="S6741" s="5" t="str">
        <f>IFERROR(__xludf.DUMMYFUNCTION("""COMPUTED_VALUE"""),"Tallulah")</f>
        <v>Tallulah</v>
      </c>
      <c r="V6741" s="5"/>
      <c r="Y6741" s="5" t="str">
        <f>IFERROR(__xludf.DUMMYFUNCTION("REGEXEXTRACT(J6741, ""^\d+"")"),"102")</f>
        <v>102</v>
      </c>
      <c r="Z6741" s="5" t="str">
        <f>IFERROR(__xludf.DUMMYFUNCTION("REGEXEXTRACT(J6741, ""[A-Za-z ]+$"")")," min")</f>
        <v> min</v>
      </c>
      <c r="AA6741" s="5" t="str">
        <f>IFERROR(__xludf.DUMMYFUNCTION("IF(REGEXMATCH(Z6741, ""Season""), ""TV Show"", ""Movie"")"),"Movie")</f>
        <v>Movie</v>
      </c>
    </row>
    <row r="6742">
      <c r="A6742" s="1" t="s">
        <v>33429</v>
      </c>
      <c r="B6742" s="1" t="s">
        <v>27</v>
      </c>
      <c r="C6742" s="1" t="s">
        <v>33430</v>
      </c>
      <c r="D6742" s="1" t="s">
        <v>20846</v>
      </c>
      <c r="E6742" s="1" t="s">
        <v>33431</v>
      </c>
      <c r="F6742" s="1" t="s">
        <v>3309</v>
      </c>
      <c r="G6742" s="1" t="s">
        <v>20510</v>
      </c>
      <c r="H6742" s="1">
        <v>2017.0</v>
      </c>
      <c r="I6742" s="1" t="s">
        <v>42</v>
      </c>
      <c r="J6742" s="1" t="s">
        <v>170</v>
      </c>
      <c r="K6742" s="1" t="s">
        <v>199</v>
      </c>
      <c r="L6742" s="1" t="s">
        <v>33432</v>
      </c>
      <c r="M6742" s="2" t="s">
        <v>12</v>
      </c>
      <c r="N6742" s="4">
        <f t="shared" si="1"/>
        <v>43622</v>
      </c>
      <c r="O6742" s="5" t="str">
        <f>IFERROR(__xludf.DUMMYFUNCTION("IF(REGEXMATCH(TRIM(I6742), ""^\d+\s*min""), ""Unclassified"", IF(I6742 = """", ""NR"", I6742))"),"TV-MA")</f>
        <v>TV-MA</v>
      </c>
      <c r="R6742" s="5" t="str">
        <f t="shared" si="2"/>
        <v>Farce</v>
      </c>
      <c r="S6742" s="5" t="str">
        <f>IFERROR(__xludf.DUMMYFUNCTION("""COMPUTED_VALUE"""),"Tamanchey")</f>
        <v>Tamanchey</v>
      </c>
      <c r="V6742" s="5"/>
      <c r="Y6742" s="5" t="str">
        <f>IFERROR(__xludf.DUMMYFUNCTION("REGEXEXTRACT(J6742, ""^\d+"")"),"94")</f>
        <v>94</v>
      </c>
      <c r="Z6742" s="5" t="str">
        <f>IFERROR(__xludf.DUMMYFUNCTION("REGEXEXTRACT(J6742, ""[A-Za-z ]+$"")")," min")</f>
        <v> min</v>
      </c>
      <c r="AA6742" s="5" t="str">
        <f>IFERROR(__xludf.DUMMYFUNCTION("IF(REGEXMATCH(Z6742, ""Season""), ""TV Show"", ""Movie"")"),"Movie")</f>
        <v>Movie</v>
      </c>
    </row>
    <row r="6743">
      <c r="A6743" s="1" t="s">
        <v>33433</v>
      </c>
      <c r="B6743" s="1" t="s">
        <v>37</v>
      </c>
      <c r="C6743" s="1" t="s">
        <v>33434</v>
      </c>
      <c r="E6743" s="1" t="s">
        <v>33435</v>
      </c>
      <c r="G6743" s="1" t="s">
        <v>25111</v>
      </c>
      <c r="H6743" s="1">
        <v>2016.0</v>
      </c>
      <c r="I6743" s="1" t="s">
        <v>42</v>
      </c>
      <c r="J6743" s="1" t="s">
        <v>51</v>
      </c>
      <c r="K6743" s="1" t="s">
        <v>52</v>
      </c>
      <c r="L6743" s="1" t="s">
        <v>33436</v>
      </c>
      <c r="M6743" s="2" t="s">
        <v>12</v>
      </c>
      <c r="N6743" s="4">
        <f t="shared" si="1"/>
        <v>43294</v>
      </c>
      <c r="O6743" s="5" t="str">
        <f>IFERROR(__xludf.DUMMYFUNCTION("IF(REGEXMATCH(TRIM(I6743), ""^\d+\s*min""), ""Unclassified"", IF(I6743 = """", ""NR"", I6743))"),"TV-MA")</f>
        <v>TV-MA</v>
      </c>
      <c r="R6743" s="5" t="str">
        <f t="shared" si="2"/>
        <v>Fatal Destiny</v>
      </c>
      <c r="S6743" s="5" t="str">
        <f>IFERROR(__xludf.DUMMYFUNCTION("""COMPUTED_VALUE"""),"Tamasha")</f>
        <v>Tamasha</v>
      </c>
      <c r="V6743" s="5"/>
      <c r="Y6743" s="5" t="str">
        <f>IFERROR(__xludf.DUMMYFUNCTION("REGEXEXTRACT(J6743, ""^\d+"")"),"1")</f>
        <v>1</v>
      </c>
      <c r="Z6743" s="5" t="str">
        <f>IFERROR(__xludf.DUMMYFUNCTION("REGEXEXTRACT(J6743, ""[A-Za-z ]+$"")")," Season")</f>
        <v> Season</v>
      </c>
      <c r="AA6743" s="5" t="str">
        <f>IFERROR(__xludf.DUMMYFUNCTION("IF(REGEXMATCH(Z6743, ""Season""), ""TV Show"", ""Movie"")"),"TV Show")</f>
        <v>TV Show</v>
      </c>
    </row>
    <row r="6744">
      <c r="A6744" s="1" t="s">
        <v>33437</v>
      </c>
      <c r="B6744" s="1" t="s">
        <v>37</v>
      </c>
      <c r="C6744" s="1" t="s">
        <v>33438</v>
      </c>
      <c r="D6744" s="1" t="s">
        <v>9505</v>
      </c>
      <c r="E6744" s="1" t="s">
        <v>33439</v>
      </c>
      <c r="F6744" s="1" t="s">
        <v>96</v>
      </c>
      <c r="G6744" s="1" t="s">
        <v>32635</v>
      </c>
      <c r="H6744" s="1">
        <v>2017.0</v>
      </c>
      <c r="I6744" s="1" t="s">
        <v>97</v>
      </c>
      <c r="J6744" s="1" t="s">
        <v>439</v>
      </c>
      <c r="K6744" s="1" t="s">
        <v>33440</v>
      </c>
      <c r="L6744" s="1" t="s">
        <v>33441</v>
      </c>
      <c r="M6744" s="2" t="s">
        <v>12</v>
      </c>
      <c r="N6744" s="1" t="str">
        <f t="shared" si="1"/>
        <v>#N/A</v>
      </c>
      <c r="O6744" s="5" t="str">
        <f>IFERROR(__xludf.DUMMYFUNCTION("IF(REGEXMATCH(TRIM(I6744), ""^\d+\s*min""), ""Unclassified"", IF(I6744 = """", ""NR"", I6744))"),"TV-14")</f>
        <v>TV-14</v>
      </c>
      <c r="R6744" s="5" t="str">
        <f t="shared" si="2"/>
        <v>Father Brown</v>
      </c>
      <c r="S6744" s="5" t="str">
        <f>IFERROR(__xludf.DUMMYFUNCTION("""COMPUTED_VALUE"""),"Tanda Tanya")</f>
        <v>Tanda Tanya</v>
      </c>
      <c r="V6744" s="5"/>
      <c r="Y6744" s="5" t="str">
        <f>IFERROR(__xludf.DUMMYFUNCTION("REGEXEXTRACT(J6744, ""^\d+"")"),"6")</f>
        <v>6</v>
      </c>
      <c r="Z6744" s="5" t="str">
        <f>IFERROR(__xludf.DUMMYFUNCTION("REGEXEXTRACT(J6744, ""[A-Za-z ]+$"")")," Seasons")</f>
        <v> Seasons</v>
      </c>
      <c r="AA6744" s="5" t="str">
        <f>IFERROR(__xludf.DUMMYFUNCTION("IF(REGEXMATCH(Z6744, ""Season""), ""TV Show"", ""Movie"")"),"TV Show")</f>
        <v>TV Show</v>
      </c>
    </row>
    <row r="6745">
      <c r="A6745" s="1" t="s">
        <v>33442</v>
      </c>
      <c r="B6745" s="1" t="s">
        <v>27</v>
      </c>
      <c r="C6745" s="1" t="s">
        <v>33443</v>
      </c>
      <c r="D6745" s="1" t="s">
        <v>22335</v>
      </c>
      <c r="E6745" s="1" t="s">
        <v>33444</v>
      </c>
      <c r="F6745" s="1" t="s">
        <v>30</v>
      </c>
      <c r="G6745" s="1" t="s">
        <v>18333</v>
      </c>
      <c r="H6745" s="1">
        <v>1998.0</v>
      </c>
      <c r="I6745" s="1" t="s">
        <v>378</v>
      </c>
      <c r="J6745" s="1" t="s">
        <v>870</v>
      </c>
      <c r="K6745" s="1" t="s">
        <v>30960</v>
      </c>
      <c r="L6745" s="1" t="s">
        <v>33445</v>
      </c>
      <c r="M6745" s="2" t="s">
        <v>12</v>
      </c>
      <c r="N6745" s="4">
        <f t="shared" si="1"/>
        <v>43770</v>
      </c>
      <c r="O6745" s="5" t="str">
        <f>IFERROR(__xludf.DUMMYFUNCTION("IF(REGEXMATCH(TRIM(I6745), ""^\d+\s*min""), ""Unclassified"", IF(I6745 = """", ""NR"", I6745))"),"R")</f>
        <v>R</v>
      </c>
      <c r="R6745" s="5" t="str">
        <f t="shared" si="2"/>
        <v>Fear And Loathing In Las Vegas</v>
      </c>
      <c r="S6745" s="5" t="str">
        <f>IFERROR(__xludf.DUMMYFUNCTION("""COMPUTED_VALUE"""),"Tango")</f>
        <v>Tango</v>
      </c>
      <c r="V6745" s="5"/>
      <c r="Y6745" s="5" t="str">
        <f>IFERROR(__xludf.DUMMYFUNCTION("REGEXEXTRACT(J6745, ""^\d+"")"),"118")</f>
        <v>118</v>
      </c>
      <c r="Z6745" s="5" t="str">
        <f>IFERROR(__xludf.DUMMYFUNCTION("REGEXEXTRACT(J6745, ""[A-Za-z ]+$"")")," min")</f>
        <v> min</v>
      </c>
      <c r="AA6745" s="5" t="str">
        <f>IFERROR(__xludf.DUMMYFUNCTION("IF(REGEXMATCH(Z6745, ""Season""), ""TV Show"", ""Movie"")"),"Movie")</f>
        <v>Movie</v>
      </c>
    </row>
    <row r="6746">
      <c r="A6746" s="1" t="s">
        <v>33446</v>
      </c>
      <c r="B6746" s="1" t="s">
        <v>37</v>
      </c>
      <c r="C6746" s="1" t="s">
        <v>33447</v>
      </c>
      <c r="F6746" s="1" t="s">
        <v>63</v>
      </c>
      <c r="G6746" s="1" t="s">
        <v>27988</v>
      </c>
      <c r="H6746" s="1">
        <v>2015.0</v>
      </c>
      <c r="I6746" s="1" t="s">
        <v>42</v>
      </c>
      <c r="J6746" s="1" t="s">
        <v>51</v>
      </c>
      <c r="K6746" s="1" t="s">
        <v>31036</v>
      </c>
      <c r="L6746" s="1" t="s">
        <v>33448</v>
      </c>
      <c r="M6746" s="2" t="s">
        <v>12</v>
      </c>
      <c r="N6746" s="4">
        <f t="shared" si="1"/>
        <v>42887</v>
      </c>
      <c r="O6746" s="5" t="str">
        <f>IFERROR(__xludf.DUMMYFUNCTION("IF(REGEXMATCH(TRIM(I6746), ""^\d+\s*min""), ""Unclassified"", IF(I6746 = """", ""NR"", I6746))"),"TV-MA")</f>
        <v>TV-MA</v>
      </c>
      <c r="R6746" s="5" t="str">
        <f t="shared" si="2"/>
        <v>Fear Files... Har Mod Pe Darr</v>
      </c>
      <c r="S6746" s="5" t="str">
        <f>IFERROR(__xludf.DUMMYFUNCTION("""COMPUTED_VALUE"""),"Tango Feroz")</f>
        <v>Tango Feroz</v>
      </c>
      <c r="V6746" s="5"/>
      <c r="Y6746" s="5" t="str">
        <f>IFERROR(__xludf.DUMMYFUNCTION("REGEXEXTRACT(J6746, ""^\d+"")"),"1")</f>
        <v>1</v>
      </c>
      <c r="Z6746" s="5" t="str">
        <f>IFERROR(__xludf.DUMMYFUNCTION("REGEXEXTRACT(J6746, ""[A-Za-z ]+$"")")," Season")</f>
        <v> Season</v>
      </c>
      <c r="AA6746" s="5" t="str">
        <f>IFERROR(__xludf.DUMMYFUNCTION("IF(REGEXMATCH(Z6746, ""Season""), ""TV Show"", ""Movie"")"),"TV Show")</f>
        <v>TV Show</v>
      </c>
    </row>
    <row r="6747">
      <c r="A6747" s="1" t="s">
        <v>33449</v>
      </c>
      <c r="B6747" s="1" t="s">
        <v>27</v>
      </c>
      <c r="C6747" s="1" t="s">
        <v>33450</v>
      </c>
      <c r="D6747" s="1" t="s">
        <v>1189</v>
      </c>
      <c r="E6747" s="1" t="s">
        <v>33451</v>
      </c>
      <c r="F6747" s="1" t="s">
        <v>30</v>
      </c>
      <c r="G6747" s="1" t="s">
        <v>33452</v>
      </c>
      <c r="H6747" s="1">
        <v>2017.0</v>
      </c>
      <c r="I6747" s="1" t="s">
        <v>42</v>
      </c>
      <c r="J6747" s="1" t="s">
        <v>1583</v>
      </c>
      <c r="K6747" s="1" t="s">
        <v>34</v>
      </c>
      <c r="L6747" s="1" t="s">
        <v>33453</v>
      </c>
      <c r="M6747" s="2" t="s">
        <v>12</v>
      </c>
      <c r="N6747" s="4">
        <f t="shared" si="1"/>
        <v>42970</v>
      </c>
      <c r="O6747" s="5" t="str">
        <f>IFERROR(__xludf.DUMMYFUNCTION("IF(REGEXMATCH(TRIM(I6747), ""^\d+\s*min""), ""Unclassified"", IF(I6747 = """", ""NR"", I6747))"),"TV-MA")</f>
        <v>TV-MA</v>
      </c>
      <c r="R6747" s="5" t="str">
        <f t="shared" si="2"/>
        <v>Feel Rich</v>
      </c>
      <c r="S6747" s="5" t="str">
        <f>IFERROR(__xludf.DUMMYFUNCTION("""COMPUTED_VALUE"""),"Tango With Me")</f>
        <v>Tango With Me</v>
      </c>
      <c r="V6747" s="5"/>
      <c r="Y6747" s="5" t="str">
        <f>IFERROR(__xludf.DUMMYFUNCTION("REGEXEXTRACT(J6747, ""^\d+"")"),"70")</f>
        <v>70</v>
      </c>
      <c r="Z6747" s="5" t="str">
        <f>IFERROR(__xludf.DUMMYFUNCTION("REGEXEXTRACT(J6747, ""[A-Za-z ]+$"")")," min")</f>
        <v> min</v>
      </c>
      <c r="AA6747" s="5" t="str">
        <f>IFERROR(__xludf.DUMMYFUNCTION("IF(REGEXMATCH(Z6747, ""Season""), ""TV Show"", ""Movie"")"),"Movie")</f>
        <v>Movie</v>
      </c>
    </row>
    <row r="6748">
      <c r="A6748" s="1" t="s">
        <v>33454</v>
      </c>
      <c r="B6748" s="1" t="s">
        <v>27</v>
      </c>
      <c r="C6748" s="1" t="s">
        <v>33455</v>
      </c>
      <c r="D6748" s="1" t="s">
        <v>17073</v>
      </c>
      <c r="E6748" s="1" t="s">
        <v>33456</v>
      </c>
      <c r="F6748" s="1" t="s">
        <v>30</v>
      </c>
      <c r="G6748" s="1" t="s">
        <v>13089</v>
      </c>
      <c r="H6748" s="1">
        <v>1971.0</v>
      </c>
      <c r="I6748" s="1" t="s">
        <v>770</v>
      </c>
      <c r="J6748" s="1" t="s">
        <v>6712</v>
      </c>
      <c r="K6748" s="1" t="s">
        <v>33457</v>
      </c>
      <c r="L6748" s="1" t="s">
        <v>33458</v>
      </c>
      <c r="M6748" s="2" t="s">
        <v>12</v>
      </c>
      <c r="N6748" s="4">
        <f t="shared" si="1"/>
        <v>44013</v>
      </c>
      <c r="O6748" s="5" t="str">
        <f>IFERROR(__xludf.DUMMYFUNCTION("IF(REGEXMATCH(TRIM(I6748), ""^\d+\s*min""), ""Unclassified"", IF(I6748 = """", ""NR"", I6748))"),"G")</f>
        <v>G</v>
      </c>
      <c r="R6748" s="5" t="str">
        <f t="shared" si="2"/>
        <v>Fiddler On The Roof</v>
      </c>
      <c r="S6748" s="5" t="str">
        <f>IFERROR(__xludf.DUMMYFUNCTION("""COMPUTED_VALUE"""),"Tanu Weds Manu")</f>
        <v>Tanu Weds Manu</v>
      </c>
      <c r="V6748" s="5"/>
      <c r="Y6748" s="5" t="str">
        <f>IFERROR(__xludf.DUMMYFUNCTION("REGEXEXTRACT(J6748, ""^\d+"")"),"181")</f>
        <v>181</v>
      </c>
      <c r="Z6748" s="5" t="str">
        <f>IFERROR(__xludf.DUMMYFUNCTION("REGEXEXTRACT(J6748, ""[A-Za-z ]+$"")")," min")</f>
        <v> min</v>
      </c>
      <c r="AA6748" s="5" t="str">
        <f>IFERROR(__xludf.DUMMYFUNCTION("IF(REGEXMATCH(Z6748, ""Season""), ""TV Show"", ""Movie"")"),"Movie")</f>
        <v>Movie</v>
      </c>
    </row>
    <row r="6749">
      <c r="A6749" s="1" t="s">
        <v>33459</v>
      </c>
      <c r="B6749" s="1" t="s">
        <v>27</v>
      </c>
      <c r="C6749" s="1" t="s">
        <v>33460</v>
      </c>
      <c r="D6749" s="1" t="s">
        <v>3480</v>
      </c>
      <c r="E6749" s="1" t="s">
        <v>33461</v>
      </c>
      <c r="F6749" s="1" t="s">
        <v>400</v>
      </c>
      <c r="G6749" s="1" t="s">
        <v>33462</v>
      </c>
      <c r="H6749" s="1">
        <v>2015.0</v>
      </c>
      <c r="I6749" s="1" t="s">
        <v>30231</v>
      </c>
      <c r="J6749" s="1" t="s">
        <v>1091</v>
      </c>
      <c r="K6749" s="1" t="s">
        <v>128</v>
      </c>
      <c r="L6749" s="1" t="s">
        <v>33463</v>
      </c>
      <c r="M6749" s="2" t="s">
        <v>12</v>
      </c>
      <c r="N6749" s="4">
        <f t="shared" si="1"/>
        <v>42366</v>
      </c>
      <c r="O6749" s="5" t="str">
        <f>IFERROR(__xludf.DUMMYFUNCTION("IF(REGEXMATCH(TRIM(I6749), ""^\d+\s*min""), ""Unclassified"", IF(I6749 = """", ""NR"", I6749))"),"NR")</f>
        <v>NR</v>
      </c>
      <c r="R6749" s="5" t="str">
        <f t="shared" si="2"/>
        <v>Fifty</v>
      </c>
      <c r="S6749" s="5" t="str">
        <f>IFERROR(__xludf.DUMMYFUNCTION("""COMPUTED_VALUE"""),"Taramani")</f>
        <v>Taramani</v>
      </c>
      <c r="V6749" s="5"/>
      <c r="Y6749" s="5" t="str">
        <f>IFERROR(__xludf.DUMMYFUNCTION("REGEXEXTRACT(J6749, ""^\d+"")"),"101")</f>
        <v>101</v>
      </c>
      <c r="Z6749" s="5" t="str">
        <f>IFERROR(__xludf.DUMMYFUNCTION("REGEXEXTRACT(J6749, ""[A-Za-z ]+$"")")," min")</f>
        <v> min</v>
      </c>
      <c r="AA6749" s="5" t="str">
        <f>IFERROR(__xludf.DUMMYFUNCTION("IF(REGEXMATCH(Z6749, ""Season""), ""TV Show"", ""Movie"")"),"Movie")</f>
        <v>Movie</v>
      </c>
    </row>
    <row r="6750">
      <c r="A6750" s="1" t="s">
        <v>33464</v>
      </c>
      <c r="B6750" s="1" t="s">
        <v>27</v>
      </c>
      <c r="C6750" s="1" t="s">
        <v>33465</v>
      </c>
      <c r="D6750" s="1" t="s">
        <v>14132</v>
      </c>
      <c r="E6750" s="1" t="s">
        <v>14132</v>
      </c>
      <c r="F6750" s="1" t="s">
        <v>96</v>
      </c>
      <c r="G6750" s="1" t="s">
        <v>29495</v>
      </c>
      <c r="H6750" s="1">
        <v>2008.0</v>
      </c>
      <c r="I6750" s="1" t="s">
        <v>289</v>
      </c>
      <c r="J6750" s="1" t="s">
        <v>5170</v>
      </c>
      <c r="K6750" s="1" t="s">
        <v>137</v>
      </c>
      <c r="L6750" s="1" t="s">
        <v>33466</v>
      </c>
      <c r="M6750" s="2" t="s">
        <v>12</v>
      </c>
      <c r="N6750" s="4">
        <f t="shared" si="1"/>
        <v>42614</v>
      </c>
      <c r="O6750" s="5" t="str">
        <f>IFERROR(__xludf.DUMMYFUNCTION("IF(REGEXMATCH(TRIM(I6750), ""^\d+\s*min""), ""Unclassified"", IF(I6750 = """", ""NR"", I6750))"),"TV-Y7")</f>
        <v>TV-Y7</v>
      </c>
      <c r="R6750" s="5" t="str">
        <f t="shared" si="2"/>
        <v>Figaro Pho</v>
      </c>
      <c r="S6750" s="5" t="str">
        <f>IFERROR(__xludf.DUMMYFUNCTION("""COMPUTED_VALUE"""),"Tarek'S Situation")</f>
        <v>Tarek'S Situation</v>
      </c>
      <c r="V6750" s="5"/>
      <c r="Y6750" s="5" t="str">
        <f>IFERROR(__xludf.DUMMYFUNCTION("REGEXEXTRACT(J6750, ""^\d+"")"),"29")</f>
        <v>29</v>
      </c>
      <c r="Z6750" s="5" t="str">
        <f>IFERROR(__xludf.DUMMYFUNCTION("REGEXEXTRACT(J6750, ""[A-Za-z ]+$"")")," min")</f>
        <v> min</v>
      </c>
      <c r="AA6750" s="5" t="str">
        <f>IFERROR(__xludf.DUMMYFUNCTION("IF(REGEXMATCH(Z6750, ""Season""), ""TV Show"", ""Movie"")"),"Movie")</f>
        <v>Movie</v>
      </c>
    </row>
    <row r="6751">
      <c r="A6751" s="1" t="s">
        <v>33467</v>
      </c>
      <c r="B6751" s="1" t="s">
        <v>27</v>
      </c>
      <c r="C6751" s="1" t="s">
        <v>33468</v>
      </c>
      <c r="D6751" s="1" t="s">
        <v>2495</v>
      </c>
      <c r="E6751" s="1" t="s">
        <v>33469</v>
      </c>
      <c r="F6751" s="1" t="s">
        <v>30</v>
      </c>
      <c r="G6751" s="1" t="s">
        <v>33470</v>
      </c>
      <c r="H6751" s="1">
        <v>2016.0</v>
      </c>
      <c r="I6751" s="1" t="s">
        <v>136</v>
      </c>
      <c r="J6751" s="1" t="s">
        <v>665</v>
      </c>
      <c r="K6751" s="1" t="s">
        <v>34</v>
      </c>
      <c r="L6751" s="1" t="s">
        <v>33471</v>
      </c>
      <c r="M6751" s="2" t="s">
        <v>12</v>
      </c>
      <c r="N6751" s="4">
        <f t="shared" si="1"/>
        <v>42725</v>
      </c>
      <c r="O6751" s="5" t="str">
        <f>IFERROR(__xludf.DUMMYFUNCTION("IF(REGEXMATCH(TRIM(I6751), ""^\d+\s*min""), ""Unclassified"", IF(I6751 = """", ""NR"", I6751))"),"TV-PG")</f>
        <v>TV-PG</v>
      </c>
      <c r="R6751" s="5" t="str">
        <f t="shared" si="2"/>
        <v>Figures Of Speech</v>
      </c>
      <c r="S6751" s="5" t="str">
        <f>IFERROR(__xludf.DUMMYFUNCTION("""COMPUTED_VALUE"""),"Target")</f>
        <v>Target</v>
      </c>
      <c r="V6751" s="5"/>
      <c r="Y6751" s="5" t="str">
        <f>IFERROR(__xludf.DUMMYFUNCTION("REGEXEXTRACT(J6751, ""^\d+"")"),"92")</f>
        <v>92</v>
      </c>
      <c r="Z6751" s="5" t="str">
        <f>IFERROR(__xludf.DUMMYFUNCTION("REGEXEXTRACT(J6751, ""[A-Za-z ]+$"")")," min")</f>
        <v> min</v>
      </c>
      <c r="AA6751" s="5" t="str">
        <f>IFERROR(__xludf.DUMMYFUNCTION("IF(REGEXMATCH(Z6751, ""Season""), ""TV Show"", ""Movie"")"),"Movie")</f>
        <v>Movie</v>
      </c>
    </row>
    <row r="6752">
      <c r="A6752" s="1" t="s">
        <v>33472</v>
      </c>
      <c r="B6752" s="1" t="s">
        <v>37</v>
      </c>
      <c r="C6752" s="1" t="s">
        <v>33473</v>
      </c>
      <c r="E6752" s="1" t="s">
        <v>33474</v>
      </c>
      <c r="F6752" s="1" t="s">
        <v>188</v>
      </c>
      <c r="G6752" s="1" t="s">
        <v>28307</v>
      </c>
      <c r="H6752" s="1">
        <v>2015.0</v>
      </c>
      <c r="I6752" s="1" t="s">
        <v>97</v>
      </c>
      <c r="J6752" s="1" t="s">
        <v>43</v>
      </c>
      <c r="K6752" s="1" t="s">
        <v>52</v>
      </c>
      <c r="L6752" s="1" t="s">
        <v>33475</v>
      </c>
      <c r="M6752" s="2" t="s">
        <v>12</v>
      </c>
      <c r="N6752" s="4">
        <f t="shared" si="1"/>
        <v>42840</v>
      </c>
      <c r="O6752" s="5" t="str">
        <f>IFERROR(__xludf.DUMMYFUNCTION("IF(REGEXMATCH(TRIM(I6752), ""^\d+\s*min""), ""Unclassified"", IF(I6752 = """", ""NR"", I6752))"),"TV-14")</f>
        <v>TV-14</v>
      </c>
      <c r="R6752" s="5" t="str">
        <f t="shared" si="2"/>
        <v>Filinta</v>
      </c>
      <c r="S6752" s="5" t="str">
        <f>IFERROR(__xludf.DUMMYFUNCTION("""COMPUTED_VALUE"""),"Tarif De Nuit")</f>
        <v>Tarif De Nuit</v>
      </c>
      <c r="V6752" s="5"/>
      <c r="Y6752" s="5" t="str">
        <f>IFERROR(__xludf.DUMMYFUNCTION("REGEXEXTRACT(J6752, ""^\d+"")"),"2")</f>
        <v>2</v>
      </c>
      <c r="Z6752" s="5" t="str">
        <f>IFERROR(__xludf.DUMMYFUNCTION("REGEXEXTRACT(J6752, ""[A-Za-z ]+$"")")," Seasons")</f>
        <v> Seasons</v>
      </c>
      <c r="AA6752" s="5" t="str">
        <f>IFERROR(__xludf.DUMMYFUNCTION("IF(REGEXMATCH(Z6752, ""Season""), ""TV Show"", ""Movie"")"),"TV Show")</f>
        <v>TV Show</v>
      </c>
    </row>
    <row r="6753">
      <c r="A6753" s="1" t="s">
        <v>33476</v>
      </c>
      <c r="B6753" s="1" t="s">
        <v>27</v>
      </c>
      <c r="C6753" s="1" t="s">
        <v>33477</v>
      </c>
      <c r="D6753" s="1" t="s">
        <v>22847</v>
      </c>
      <c r="E6753" s="1" t="s">
        <v>33478</v>
      </c>
      <c r="F6753" s="1" t="s">
        <v>30</v>
      </c>
      <c r="G6753" s="1" t="s">
        <v>23564</v>
      </c>
      <c r="H6753" s="1">
        <v>2017.0</v>
      </c>
      <c r="I6753" s="1" t="s">
        <v>42</v>
      </c>
      <c r="J6753" s="1" t="s">
        <v>170</v>
      </c>
      <c r="K6753" s="1" t="s">
        <v>34</v>
      </c>
      <c r="L6753" s="1" t="s">
        <v>33479</v>
      </c>
      <c r="M6753" s="2" t="s">
        <v>12</v>
      </c>
      <c r="N6753" s="4">
        <f t="shared" si="1"/>
        <v>43405</v>
      </c>
      <c r="O6753" s="5" t="str">
        <f>IFERROR(__xludf.DUMMYFUNCTION("IF(REGEXMATCH(TRIM(I6753), ""^\d+\s*min""), ""Unclassified"", IF(I6753 = """", ""NR"", I6753))"),"TV-MA")</f>
        <v>TV-MA</v>
      </c>
      <c r="R6753" s="5" t="str">
        <f t="shared" si="2"/>
        <v>Filmworker</v>
      </c>
      <c r="S6753" s="5" t="str">
        <f>IFERROR(__xludf.DUMMYFUNCTION("""COMPUTED_VALUE"""),"Tarung Sarung")</f>
        <v>Tarung Sarung</v>
      </c>
      <c r="V6753" s="5"/>
      <c r="Y6753" s="5" t="str">
        <f>IFERROR(__xludf.DUMMYFUNCTION("REGEXEXTRACT(J6753, ""^\d+"")"),"94")</f>
        <v>94</v>
      </c>
      <c r="Z6753" s="5" t="str">
        <f>IFERROR(__xludf.DUMMYFUNCTION("REGEXEXTRACT(J6753, ""[A-Za-z ]+$"")")," min")</f>
        <v> min</v>
      </c>
      <c r="AA6753" s="5" t="str">
        <f>IFERROR(__xludf.DUMMYFUNCTION("IF(REGEXMATCH(Z6753, ""Season""), ""TV Show"", ""Movie"")"),"Movie")</f>
        <v>Movie</v>
      </c>
    </row>
    <row r="6754">
      <c r="A6754" s="1" t="s">
        <v>33480</v>
      </c>
      <c r="B6754" s="1" t="s">
        <v>27</v>
      </c>
      <c r="C6754" s="1" t="s">
        <v>33481</v>
      </c>
      <c r="D6754" s="1" t="s">
        <v>2080</v>
      </c>
      <c r="E6754" s="1" t="s">
        <v>33482</v>
      </c>
      <c r="F6754" s="1" t="s">
        <v>2873</v>
      </c>
      <c r="G6754" s="1" t="s">
        <v>24038</v>
      </c>
      <c r="H6754" s="1">
        <v>2015.0</v>
      </c>
      <c r="I6754" s="1" t="s">
        <v>136</v>
      </c>
      <c r="J6754" s="1" t="s">
        <v>870</v>
      </c>
      <c r="K6754" s="1" t="s">
        <v>128</v>
      </c>
      <c r="L6754" s="1" t="s">
        <v>33483</v>
      </c>
      <c r="M6754" s="2" t="s">
        <v>12</v>
      </c>
      <c r="N6754" s="4">
        <f t="shared" si="1"/>
        <v>43384</v>
      </c>
      <c r="O6754" s="5" t="str">
        <f>IFERROR(__xludf.DUMMYFUNCTION("IF(REGEXMATCH(TRIM(I6754), ""^\d+\s*min""), ""Unclassified"", IF(I6754 = """", ""NR"", I6754))"),"TV-PG")</f>
        <v>TV-PG</v>
      </c>
      <c r="R6754" s="5" t="str">
        <f t="shared" si="2"/>
        <v>Filosofi Kopi The Movie</v>
      </c>
      <c r="S6754" s="5" t="str">
        <f>IFERROR(__xludf.DUMMYFUNCTION("""COMPUTED_VALUE"""),"Tarzan")</f>
        <v>Tarzan</v>
      </c>
      <c r="V6754" s="5"/>
      <c r="Y6754" s="5" t="str">
        <f>IFERROR(__xludf.DUMMYFUNCTION("REGEXEXTRACT(J6754, ""^\d+"")"),"118")</f>
        <v>118</v>
      </c>
      <c r="Z6754" s="5" t="str">
        <f>IFERROR(__xludf.DUMMYFUNCTION("REGEXEXTRACT(J6754, ""[A-Za-z ]+$"")")," min")</f>
        <v> min</v>
      </c>
      <c r="AA6754" s="5" t="str">
        <f>IFERROR(__xludf.DUMMYFUNCTION("IF(REGEXMATCH(Z6754, ""Season""), ""TV Show"", ""Movie"")"),"Movie")</f>
        <v>Movie</v>
      </c>
    </row>
    <row r="6755">
      <c r="A6755" s="1" t="s">
        <v>33484</v>
      </c>
      <c r="B6755" s="1" t="s">
        <v>27</v>
      </c>
      <c r="C6755" s="1" t="s">
        <v>33485</v>
      </c>
      <c r="D6755" s="1" t="s">
        <v>10101</v>
      </c>
      <c r="E6755" s="1" t="s">
        <v>33486</v>
      </c>
      <c r="F6755" s="1" t="s">
        <v>30</v>
      </c>
      <c r="G6755" s="1" t="s">
        <v>16947</v>
      </c>
      <c r="H6755" s="1">
        <v>2000.0</v>
      </c>
      <c r="I6755" s="1" t="s">
        <v>378</v>
      </c>
      <c r="J6755" s="1" t="s">
        <v>357</v>
      </c>
      <c r="K6755" s="1" t="s">
        <v>33487</v>
      </c>
      <c r="L6755" s="1" t="s">
        <v>33488</v>
      </c>
      <c r="M6755" s="2" t="s">
        <v>12</v>
      </c>
      <c r="N6755" s="4">
        <f t="shared" si="1"/>
        <v>43831</v>
      </c>
      <c r="O6755" s="5" t="str">
        <f>IFERROR(__xludf.DUMMYFUNCTION("IF(REGEXMATCH(TRIM(I6755), ""^\d+\s*min""), ""Unclassified"", IF(I6755 = """", ""NR"", I6755))"),"R")</f>
        <v>R</v>
      </c>
      <c r="R6755" s="5" t="str">
        <f t="shared" si="2"/>
        <v>Final Destination</v>
      </c>
      <c r="S6755" s="5" t="str">
        <f>IFERROR(__xludf.DUMMYFUNCTION("""COMPUTED_VALUE"""),"Tarzan 2")</f>
        <v>Tarzan 2</v>
      </c>
      <c r="V6755" s="5"/>
      <c r="Y6755" s="5" t="str">
        <f>IFERROR(__xludf.DUMMYFUNCTION("REGEXEXTRACT(J6755, ""^\d+"")"),"98")</f>
        <v>98</v>
      </c>
      <c r="Z6755" s="5" t="str">
        <f>IFERROR(__xludf.DUMMYFUNCTION("REGEXEXTRACT(J6755, ""[A-Za-z ]+$"")")," min")</f>
        <v> min</v>
      </c>
      <c r="AA6755" s="5" t="str">
        <f>IFERROR(__xludf.DUMMYFUNCTION("IF(REGEXMATCH(Z6755, ""Season""), ""TV Show"", ""Movie"")"),"Movie")</f>
        <v>Movie</v>
      </c>
    </row>
    <row r="6756">
      <c r="A6756" s="1" t="s">
        <v>33489</v>
      </c>
      <c r="B6756" s="1" t="s">
        <v>27</v>
      </c>
      <c r="C6756" s="1" t="s">
        <v>33490</v>
      </c>
      <c r="D6756" s="1" t="s">
        <v>6101</v>
      </c>
      <c r="E6756" s="1" t="s">
        <v>33491</v>
      </c>
      <c r="F6756" s="1" t="s">
        <v>897</v>
      </c>
      <c r="G6756" s="1" t="s">
        <v>16947</v>
      </c>
      <c r="H6756" s="1">
        <v>2003.0</v>
      </c>
      <c r="I6756" s="1" t="s">
        <v>378</v>
      </c>
      <c r="J6756" s="1" t="s">
        <v>33</v>
      </c>
      <c r="K6756" s="1" t="s">
        <v>3768</v>
      </c>
      <c r="L6756" s="1" t="s">
        <v>33492</v>
      </c>
      <c r="M6756" s="2" t="s">
        <v>12</v>
      </c>
      <c r="N6756" s="4">
        <f t="shared" si="1"/>
        <v>43831</v>
      </c>
      <c r="O6756" s="5" t="str">
        <f>IFERROR(__xludf.DUMMYFUNCTION("IF(REGEXMATCH(TRIM(I6756), ""^\d+\s*min""), ""Unclassified"", IF(I6756 = """", ""NR"", I6756))"),"R")</f>
        <v>R</v>
      </c>
      <c r="R6756" s="5" t="str">
        <f t="shared" si="2"/>
        <v>Final Destination 2</v>
      </c>
      <c r="S6756" s="5" t="str">
        <f>IFERROR(__xludf.DUMMYFUNCTION("""COMPUTED_VALUE"""),"Tattah")</f>
        <v>Tattah</v>
      </c>
      <c r="V6756" s="5"/>
      <c r="Y6756" s="5" t="str">
        <f>IFERROR(__xludf.DUMMYFUNCTION("REGEXEXTRACT(J6756, ""^\d+"")"),"90")</f>
        <v>90</v>
      </c>
      <c r="Z6756" s="5" t="str">
        <f>IFERROR(__xludf.DUMMYFUNCTION("REGEXEXTRACT(J6756, ""[A-Za-z ]+$"")")," min")</f>
        <v> min</v>
      </c>
      <c r="AA6756" s="5" t="str">
        <f>IFERROR(__xludf.DUMMYFUNCTION("IF(REGEXMATCH(Z6756, ""Season""), ""TV Show"", ""Movie"")"),"Movie")</f>
        <v>Movie</v>
      </c>
    </row>
    <row r="6757">
      <c r="A6757" s="1" t="s">
        <v>33493</v>
      </c>
      <c r="B6757" s="1" t="s">
        <v>27</v>
      </c>
      <c r="C6757" s="1" t="s">
        <v>33494</v>
      </c>
      <c r="D6757" s="1" t="s">
        <v>10101</v>
      </c>
      <c r="E6757" s="1" t="s">
        <v>33495</v>
      </c>
      <c r="F6757" s="1" t="s">
        <v>1205</v>
      </c>
      <c r="G6757" s="1" t="s">
        <v>16947</v>
      </c>
      <c r="H6757" s="1">
        <v>2006.0</v>
      </c>
      <c r="I6757" s="1" t="s">
        <v>378</v>
      </c>
      <c r="J6757" s="1" t="s">
        <v>454</v>
      </c>
      <c r="K6757" s="1" t="s">
        <v>1551</v>
      </c>
      <c r="L6757" s="1" t="s">
        <v>33496</v>
      </c>
      <c r="M6757" s="2" t="s">
        <v>12</v>
      </c>
      <c r="N6757" s="4">
        <f t="shared" si="1"/>
        <v>43831</v>
      </c>
      <c r="O6757" s="5" t="str">
        <f>IFERROR(__xludf.DUMMYFUNCTION("IF(REGEXMATCH(TRIM(I6757), ""^\d+\s*min""), ""Unclassified"", IF(I6757 = """", ""NR"", I6757))"),"R")</f>
        <v>R</v>
      </c>
      <c r="R6757" s="5" t="str">
        <f t="shared" si="2"/>
        <v>Final Destination 3</v>
      </c>
      <c r="S6757" s="5" t="str">
        <f>IFERROR(__xludf.DUMMYFUNCTION("""COMPUTED_VALUE"""),"Tattoo Redo")</f>
        <v>Tattoo Redo</v>
      </c>
      <c r="V6757" s="5"/>
      <c r="Y6757" s="5" t="str">
        <f>IFERROR(__xludf.DUMMYFUNCTION("REGEXEXTRACT(J6757, ""^\d+"")"),"93")</f>
        <v>93</v>
      </c>
      <c r="Z6757" s="5" t="str">
        <f>IFERROR(__xludf.DUMMYFUNCTION("REGEXEXTRACT(J6757, ""[A-Za-z ]+$"")")," min")</f>
        <v> min</v>
      </c>
      <c r="AA6757" s="5" t="str">
        <f>IFERROR(__xludf.DUMMYFUNCTION("IF(REGEXMATCH(Z6757, ""Season""), ""TV Show"", ""Movie"")"),"Movie")</f>
        <v>Movie</v>
      </c>
    </row>
    <row r="6758">
      <c r="A6758" s="1" t="s">
        <v>33497</v>
      </c>
      <c r="B6758" s="1" t="s">
        <v>27</v>
      </c>
      <c r="C6758" s="1" t="s">
        <v>33498</v>
      </c>
      <c r="D6758" s="1" t="s">
        <v>8445</v>
      </c>
      <c r="E6758" s="1" t="s">
        <v>33499</v>
      </c>
      <c r="F6758" s="1" t="s">
        <v>21126</v>
      </c>
      <c r="G6758" s="1" t="s">
        <v>28459</v>
      </c>
      <c r="H6758" s="1">
        <v>2016.0</v>
      </c>
      <c r="I6758" s="1" t="s">
        <v>97</v>
      </c>
      <c r="J6758" s="1" t="s">
        <v>835</v>
      </c>
      <c r="K6758" s="1" t="s">
        <v>156</v>
      </c>
      <c r="L6758" s="1" t="s">
        <v>33500</v>
      </c>
      <c r="M6758" s="2" t="s">
        <v>12</v>
      </c>
      <c r="N6758" s="4">
        <f t="shared" si="1"/>
        <v>42815</v>
      </c>
      <c r="O6758" s="5" t="str">
        <f>IFERROR(__xludf.DUMMYFUNCTION("IF(REGEXMATCH(TRIM(I6758), ""^\d+\s*min""), ""Unclassified"", IF(I6758 = """", ""NR"", I6758))"),"TV-14")</f>
        <v>TV-14</v>
      </c>
      <c r="R6758" s="5" t="str">
        <f t="shared" si="2"/>
        <v>Fire At Sea</v>
      </c>
      <c r="S6758" s="5" t="str">
        <f>IFERROR(__xludf.DUMMYFUNCTION("""COMPUTED_VALUE"""),"Tatu")</f>
        <v>Tatu</v>
      </c>
      <c r="V6758" s="5"/>
      <c r="Y6758" s="5" t="str">
        <f>IFERROR(__xludf.DUMMYFUNCTION("REGEXEXTRACT(J6758, ""^\d+"")"),"114")</f>
        <v>114</v>
      </c>
      <c r="Z6758" s="5" t="str">
        <f>IFERROR(__xludf.DUMMYFUNCTION("REGEXEXTRACT(J6758, ""[A-Za-z ]+$"")")," min")</f>
        <v> min</v>
      </c>
      <c r="AA6758" s="5" t="str">
        <f>IFERROR(__xludf.DUMMYFUNCTION("IF(REGEXMATCH(Z6758, ""Season""), ""TV Show"", ""Movie"")"),"Movie")</f>
        <v>Movie</v>
      </c>
    </row>
    <row r="6759">
      <c r="A6759" s="1" t="s">
        <v>33501</v>
      </c>
      <c r="B6759" s="1" t="s">
        <v>27</v>
      </c>
      <c r="C6759" s="1" t="s">
        <v>33502</v>
      </c>
      <c r="D6759" s="1" t="s">
        <v>20002</v>
      </c>
      <c r="E6759" s="1" t="s">
        <v>33503</v>
      </c>
      <c r="F6759" s="1" t="s">
        <v>63</v>
      </c>
      <c r="G6759" s="1" t="s">
        <v>33504</v>
      </c>
      <c r="H6759" s="1">
        <v>2013.0</v>
      </c>
      <c r="I6759" s="1" t="s">
        <v>42</v>
      </c>
      <c r="J6759" s="1" t="s">
        <v>416</v>
      </c>
      <c r="K6759" s="1" t="s">
        <v>89</v>
      </c>
      <c r="L6759" s="1" t="s">
        <v>33505</v>
      </c>
      <c r="M6759" s="2" t="s">
        <v>12</v>
      </c>
      <c r="N6759" s="4">
        <f t="shared" si="1"/>
        <v>43579</v>
      </c>
      <c r="O6759" s="5" t="str">
        <f>IFERROR(__xludf.DUMMYFUNCTION("IF(REGEXMATCH(TRIM(I6759), ""^\d+\s*min""), ""Unclassified"", IF(I6759 = """", ""NR"", I6759))"),"TV-MA")</f>
        <v>TV-MA</v>
      </c>
      <c r="R6759" s="5" t="str">
        <f t="shared" si="2"/>
        <v>Fireflies</v>
      </c>
      <c r="S6759" s="5" t="str">
        <f>IFERROR(__xludf.DUMMYFUNCTION("""COMPUTED_VALUE"""),"Tau")</f>
        <v>Tau</v>
      </c>
      <c r="V6759" s="5"/>
      <c r="Y6759" s="5" t="str">
        <f>IFERROR(__xludf.DUMMYFUNCTION("REGEXEXTRACT(J6759, ""^\d+"")"),"99")</f>
        <v>99</v>
      </c>
      <c r="Z6759" s="5" t="str">
        <f>IFERROR(__xludf.DUMMYFUNCTION("REGEXEXTRACT(J6759, ""[A-Za-z ]+$"")")," min")</f>
        <v> min</v>
      </c>
      <c r="AA6759" s="5" t="str">
        <f>IFERROR(__xludf.DUMMYFUNCTION("IF(REGEXMATCH(Z6759, ""Season""), ""TV Show"", ""Movie"")"),"Movie")</f>
        <v>Movie</v>
      </c>
    </row>
    <row r="6760">
      <c r="A6760" s="1" t="s">
        <v>33506</v>
      </c>
      <c r="B6760" s="1" t="s">
        <v>27</v>
      </c>
      <c r="C6760" s="1" t="s">
        <v>33507</v>
      </c>
      <c r="D6760" s="1" t="s">
        <v>2573</v>
      </c>
      <c r="E6760" s="1" t="s">
        <v>33508</v>
      </c>
      <c r="F6760" s="1" t="s">
        <v>30</v>
      </c>
      <c r="G6760" s="7">
        <v>43602.0</v>
      </c>
      <c r="H6760" s="1">
        <v>2018.0</v>
      </c>
      <c r="I6760" s="1" t="s">
        <v>97</v>
      </c>
      <c r="J6760" s="1" t="s">
        <v>322</v>
      </c>
      <c r="K6760" s="1" t="s">
        <v>813</v>
      </c>
      <c r="L6760" s="1" t="s">
        <v>33509</v>
      </c>
      <c r="M6760" s="2" t="s">
        <v>12</v>
      </c>
      <c r="N6760" s="4">
        <f t="shared" si="1"/>
        <v>43602</v>
      </c>
      <c r="O6760" s="5" t="str">
        <f>IFERROR(__xludf.DUMMYFUNCTION("IF(REGEXMATCH(TRIM(I6760), ""^\d+\s*min""), ""Unclassified"", IF(I6760 = """", ""NR"", I6760))"),"TV-14")</f>
        <v>TV-14</v>
      </c>
      <c r="R6760" s="5" t="str">
        <f t="shared" si="2"/>
        <v>First Impression</v>
      </c>
      <c r="S6760" s="5" t="str">
        <f>IFERROR(__xludf.DUMMYFUNCTION("""COMPUTED_VALUE"""),"Taxi Ballad")</f>
        <v>Taxi Ballad</v>
      </c>
      <c r="V6760" s="5"/>
      <c r="Y6760" s="5" t="str">
        <f>IFERROR(__xludf.DUMMYFUNCTION("REGEXEXTRACT(J6760, ""^\d+"")"),"96")</f>
        <v>96</v>
      </c>
      <c r="Z6760" s="5" t="str">
        <f>IFERROR(__xludf.DUMMYFUNCTION("REGEXEXTRACT(J6760, ""[A-Za-z ]+$"")")," min")</f>
        <v> min</v>
      </c>
      <c r="AA6760" s="5" t="str">
        <f>IFERROR(__xludf.DUMMYFUNCTION("IF(REGEXMATCH(Z6760, ""Season""), ""TV Show"", ""Movie"")"),"Movie")</f>
        <v>Movie</v>
      </c>
    </row>
    <row r="6761">
      <c r="A6761" s="1" t="s">
        <v>33510</v>
      </c>
      <c r="B6761" s="1" t="s">
        <v>27</v>
      </c>
      <c r="C6761" s="1" t="s">
        <v>33511</v>
      </c>
      <c r="D6761" s="1" t="s">
        <v>998</v>
      </c>
      <c r="E6761" s="1" t="s">
        <v>33512</v>
      </c>
      <c r="F6761" s="1" t="s">
        <v>1319</v>
      </c>
      <c r="G6761" s="1" t="s">
        <v>19361</v>
      </c>
      <c r="H6761" s="1">
        <v>2017.0</v>
      </c>
      <c r="I6761" s="1" t="s">
        <v>378</v>
      </c>
      <c r="J6761" s="1" t="s">
        <v>447</v>
      </c>
      <c r="K6761" s="1" t="s">
        <v>380</v>
      </c>
      <c r="L6761" s="1" t="s">
        <v>33513</v>
      </c>
      <c r="M6761" s="2" t="s">
        <v>12</v>
      </c>
      <c r="N6761" s="4">
        <f t="shared" si="1"/>
        <v>43709</v>
      </c>
      <c r="O6761" s="5" t="str">
        <f>IFERROR(__xludf.DUMMYFUNCTION("IF(REGEXMATCH(TRIM(I6761), ""^\d+\s*min""), ""Unclassified"", IF(I6761 = """", ""NR"", I6761))"),"R")</f>
        <v>R</v>
      </c>
      <c r="R6761" s="5" t="str">
        <f t="shared" si="2"/>
        <v>First Kill</v>
      </c>
      <c r="S6761" s="5" t="str">
        <f>IFERROR(__xludf.DUMMYFUNCTION("""COMPUTED_VALUE"""),"Taxi Driver")</f>
        <v>Taxi Driver</v>
      </c>
      <c r="V6761" s="5"/>
      <c r="Y6761" s="5" t="str">
        <f>IFERROR(__xludf.DUMMYFUNCTION("REGEXEXTRACT(J6761, ""^\d+"")"),"102")</f>
        <v>102</v>
      </c>
      <c r="Z6761" s="5" t="str">
        <f>IFERROR(__xludf.DUMMYFUNCTION("REGEXEXTRACT(J6761, ""[A-Za-z ]+$"")")," min")</f>
        <v> min</v>
      </c>
      <c r="AA6761" s="5" t="str">
        <f>IFERROR(__xludf.DUMMYFUNCTION("IF(REGEXMATCH(Z6761, ""Season""), ""TV Show"", ""Movie"")"),"Movie")</f>
        <v>Movie</v>
      </c>
    </row>
    <row r="6762">
      <c r="A6762" s="1" t="s">
        <v>33514</v>
      </c>
      <c r="B6762" s="1" t="s">
        <v>27</v>
      </c>
      <c r="C6762" s="1" t="s">
        <v>33515</v>
      </c>
      <c r="D6762" s="1" t="s">
        <v>16949</v>
      </c>
      <c r="E6762" s="1" t="s">
        <v>33516</v>
      </c>
      <c r="F6762" s="1" t="s">
        <v>96</v>
      </c>
      <c r="G6762" s="1" t="s">
        <v>28421</v>
      </c>
      <c r="H6762" s="1">
        <v>2016.0</v>
      </c>
      <c r="I6762" s="1" t="s">
        <v>42</v>
      </c>
      <c r="J6762" s="1" t="s">
        <v>33</v>
      </c>
      <c r="K6762" s="1" t="s">
        <v>1441</v>
      </c>
      <c r="L6762" s="1" t="s">
        <v>33517</v>
      </c>
      <c r="M6762" s="2" t="s">
        <v>12</v>
      </c>
      <c r="N6762" s="4">
        <f t="shared" si="1"/>
        <v>42825</v>
      </c>
      <c r="O6762" s="5" t="str">
        <f>IFERROR(__xludf.DUMMYFUNCTION("IF(REGEXMATCH(TRIM(I6762), ""^\d+\s*min""), ""Unclassified"", IF(I6762 = """", ""NR"", I6762))"),"TV-MA")</f>
        <v>TV-MA</v>
      </c>
      <c r="R6762" s="5" t="str">
        <f t="shared" si="2"/>
        <v>Firstborn</v>
      </c>
      <c r="S6762" s="5" t="str">
        <f>IFERROR(__xludf.DUMMYFUNCTION("""COMPUTED_VALUE"""),"Taxi No. 9211")</f>
        <v>Taxi No. 9211</v>
      </c>
      <c r="V6762" s="5"/>
      <c r="Y6762" s="5" t="str">
        <f>IFERROR(__xludf.DUMMYFUNCTION("REGEXEXTRACT(J6762, ""^\d+"")"),"90")</f>
        <v>90</v>
      </c>
      <c r="Z6762" s="5" t="str">
        <f>IFERROR(__xludf.DUMMYFUNCTION("REGEXEXTRACT(J6762, ""[A-Za-z ]+$"")")," min")</f>
        <v> min</v>
      </c>
      <c r="AA6762" s="5" t="str">
        <f>IFERROR(__xludf.DUMMYFUNCTION("IF(REGEXMATCH(Z6762, ""Season""), ""TV Show"", ""Movie"")"),"Movie")</f>
        <v>Movie</v>
      </c>
    </row>
    <row r="6763">
      <c r="A6763" s="1" t="s">
        <v>33518</v>
      </c>
      <c r="B6763" s="1" t="s">
        <v>27</v>
      </c>
      <c r="C6763" s="1" t="s">
        <v>33519</v>
      </c>
      <c r="D6763" s="1" t="s">
        <v>12649</v>
      </c>
      <c r="G6763" s="1" t="s">
        <v>25842</v>
      </c>
      <c r="H6763" s="1">
        <v>2017.0</v>
      </c>
      <c r="I6763" s="1" t="s">
        <v>97</v>
      </c>
      <c r="J6763" s="1" t="s">
        <v>4677</v>
      </c>
      <c r="K6763" s="1" t="s">
        <v>645</v>
      </c>
      <c r="L6763" s="1" t="s">
        <v>33520</v>
      </c>
      <c r="M6763" s="2" t="s">
        <v>12</v>
      </c>
      <c r="N6763" s="4">
        <f t="shared" si="1"/>
        <v>43191</v>
      </c>
      <c r="O6763" s="5" t="str">
        <f>IFERROR(__xludf.DUMMYFUNCTION("IF(REGEXMATCH(TRIM(I6763), ""^\d+\s*min""), ""Unclassified"", IF(I6763 = """", ""NR"", I6763))"),"TV-14")</f>
        <v>TV-14</v>
      </c>
      <c r="R6763" s="5" t="str">
        <f t="shared" si="2"/>
        <v>Fishpeople</v>
      </c>
      <c r="S6763" s="5" t="str">
        <f>IFERROR(__xludf.DUMMYFUNCTION("""COMPUTED_VALUE"""),"Tayee")</f>
        <v>Tayee</v>
      </c>
      <c r="V6763" s="5"/>
      <c r="Y6763" s="5" t="str">
        <f>IFERROR(__xludf.DUMMYFUNCTION("REGEXEXTRACT(J6763, ""^\d+"")"),"49")</f>
        <v>49</v>
      </c>
      <c r="Z6763" s="5" t="str">
        <f>IFERROR(__xludf.DUMMYFUNCTION("REGEXEXTRACT(J6763, ""[A-Za-z ]+$"")")," min")</f>
        <v> min</v>
      </c>
      <c r="AA6763" s="5" t="str">
        <f>IFERROR(__xludf.DUMMYFUNCTION("IF(REGEXMATCH(Z6763, ""Season""), ""TV Show"", ""Movie"")"),"Movie")</f>
        <v>Movie</v>
      </c>
    </row>
    <row r="6764">
      <c r="A6764" s="1" t="s">
        <v>33521</v>
      </c>
      <c r="B6764" s="1" t="s">
        <v>27</v>
      </c>
      <c r="C6764" s="1" t="s">
        <v>33522</v>
      </c>
      <c r="D6764" s="1" t="s">
        <v>1932</v>
      </c>
      <c r="E6764" s="1" t="s">
        <v>33523</v>
      </c>
      <c r="F6764" s="1" t="s">
        <v>30</v>
      </c>
      <c r="G6764" s="1" t="s">
        <v>24201</v>
      </c>
      <c r="H6764" s="1">
        <v>2015.0</v>
      </c>
      <c r="I6764" s="1" t="s">
        <v>30231</v>
      </c>
      <c r="J6764" s="1" t="s">
        <v>207</v>
      </c>
      <c r="K6764" s="1" t="s">
        <v>34</v>
      </c>
      <c r="L6764" s="1" t="s">
        <v>33524</v>
      </c>
      <c r="M6764" s="2" t="s">
        <v>12</v>
      </c>
      <c r="N6764" s="4">
        <f t="shared" si="1"/>
        <v>43374</v>
      </c>
      <c r="O6764" s="5" t="str">
        <f>IFERROR(__xludf.DUMMYFUNCTION("IF(REGEXMATCH(TRIM(I6764), ""^\d+\s*min""), ""Unclassified"", IF(I6764 = """", ""NR"", I6764))"),"NR")</f>
        <v>NR</v>
      </c>
      <c r="R6764" s="5" t="str">
        <f t="shared" si="2"/>
        <v>Fishtail</v>
      </c>
      <c r="S6764" s="5" t="str">
        <f>IFERROR(__xludf.DUMMYFUNCTION("""COMPUTED_VALUE"""),"Taylor Swift Reputation Stadium Tour")</f>
        <v>Taylor Swift Reputation Stadium Tour</v>
      </c>
      <c r="V6764" s="5"/>
      <c r="Y6764" s="5" t="str">
        <f>IFERROR(__xludf.DUMMYFUNCTION("REGEXEXTRACT(J6764, ""^\d+"")"),"61")</f>
        <v>61</v>
      </c>
      <c r="Z6764" s="5" t="str">
        <f>IFERROR(__xludf.DUMMYFUNCTION("REGEXEXTRACT(J6764, ""[A-Za-z ]+$"")")," min")</f>
        <v> min</v>
      </c>
      <c r="AA6764" s="5" t="str">
        <f>IFERROR(__xludf.DUMMYFUNCTION("IF(REGEXMATCH(Z6764, ""Season""), ""TV Show"", ""Movie"")"),"Movie")</f>
        <v>Movie</v>
      </c>
    </row>
    <row r="6765">
      <c r="A6765" s="1" t="s">
        <v>33525</v>
      </c>
      <c r="B6765" s="1" t="s">
        <v>37</v>
      </c>
      <c r="C6765" s="1" t="s">
        <v>33526</v>
      </c>
      <c r="E6765" s="1" t="s">
        <v>33527</v>
      </c>
      <c r="G6765" s="1" t="s">
        <v>33528</v>
      </c>
      <c r="H6765" s="1">
        <v>2015.0</v>
      </c>
      <c r="I6765" s="1" t="s">
        <v>97</v>
      </c>
      <c r="J6765" s="1" t="s">
        <v>43</v>
      </c>
      <c r="K6765" s="1" t="s">
        <v>1520</v>
      </c>
      <c r="L6765" s="1" t="s">
        <v>33529</v>
      </c>
      <c r="M6765" s="2" t="s">
        <v>12</v>
      </c>
      <c r="N6765" s="1" t="str">
        <f t="shared" si="1"/>
        <v>#N/A</v>
      </c>
      <c r="O6765" s="5" t="str">
        <f>IFERROR(__xludf.DUMMYFUNCTION("IF(REGEXMATCH(TRIM(I6765), ""^\d+\s*min""), ""Unclassified"", IF(I6765 = """", ""NR"", I6765))"),"TV-14")</f>
        <v>TV-14</v>
      </c>
      <c r="R6765" s="5" t="str">
        <f t="shared" si="2"/>
        <v>Fit For Fashion</v>
      </c>
      <c r="S6765" s="5" t="str">
        <f>IFERROR(__xludf.DUMMYFUNCTION("""COMPUTED_VALUE"""),"Taylor Tomlinson: Quarter-Life Crisis")</f>
        <v>Taylor Tomlinson: Quarter-Life Crisis</v>
      </c>
      <c r="V6765" s="5"/>
      <c r="Y6765" s="5" t="str">
        <f>IFERROR(__xludf.DUMMYFUNCTION("REGEXEXTRACT(J6765, ""^\d+"")"),"2")</f>
        <v>2</v>
      </c>
      <c r="Z6765" s="5" t="str">
        <f>IFERROR(__xludf.DUMMYFUNCTION("REGEXEXTRACT(J6765, ""[A-Za-z ]+$"")")," Seasons")</f>
        <v> Seasons</v>
      </c>
      <c r="AA6765" s="5" t="str">
        <f>IFERROR(__xludf.DUMMYFUNCTION("IF(REGEXMATCH(Z6765, ""Season""), ""TV Show"", ""Movie"")"),"TV Show")</f>
        <v>TV Show</v>
      </c>
    </row>
    <row r="6766">
      <c r="A6766" s="1" t="s">
        <v>33530</v>
      </c>
      <c r="B6766" s="1" t="s">
        <v>27</v>
      </c>
      <c r="C6766" s="1" t="s">
        <v>33531</v>
      </c>
      <c r="D6766" s="1" t="s">
        <v>8413</v>
      </c>
      <c r="F6766" s="1" t="s">
        <v>4557</v>
      </c>
      <c r="G6766" s="1" t="s">
        <v>15037</v>
      </c>
      <c r="H6766" s="1">
        <v>2019.0</v>
      </c>
      <c r="I6766" s="1" t="s">
        <v>97</v>
      </c>
      <c r="J6766" s="1" t="s">
        <v>4639</v>
      </c>
      <c r="K6766" s="1" t="s">
        <v>520</v>
      </c>
      <c r="L6766" s="1" t="s">
        <v>33532</v>
      </c>
      <c r="M6766" s="2" t="s">
        <v>12</v>
      </c>
      <c r="N6766" s="4">
        <f t="shared" si="1"/>
        <v>43936</v>
      </c>
      <c r="O6766" s="5" t="str">
        <f>IFERROR(__xludf.DUMMYFUNCTION("IF(REGEXMATCH(TRIM(I6766), ""^\d+\s*min""), ""Unclassified"", IF(I6766 = """", ""NR"", I6766))"),"TV-14")</f>
        <v>TV-14</v>
      </c>
      <c r="R6766" s="5" t="str">
        <f t="shared" si="2"/>
        <v>Fittest In Dubai</v>
      </c>
      <c r="S6766" s="5" t="str">
        <f>IFERROR(__xludf.DUMMYFUNCTION("""COMPUTED_VALUE"""),"Tayo And Little Wizards")</f>
        <v>Tayo And Little Wizards</v>
      </c>
      <c r="V6766" s="5"/>
      <c r="Y6766" s="5" t="str">
        <f>IFERROR(__xludf.DUMMYFUNCTION("REGEXEXTRACT(J6766, ""^\d+"")"),"60")</f>
        <v>60</v>
      </c>
      <c r="Z6766" s="5" t="str">
        <f>IFERROR(__xludf.DUMMYFUNCTION("REGEXEXTRACT(J6766, ""[A-Za-z ]+$"")")," min")</f>
        <v> min</v>
      </c>
      <c r="AA6766" s="5" t="str">
        <f>IFERROR(__xludf.DUMMYFUNCTION("IF(REGEXMATCH(Z6766, ""Season""), ""TV Show"", ""Movie"")"),"Movie")</f>
        <v>Movie</v>
      </c>
    </row>
    <row r="6767">
      <c r="A6767" s="1" t="s">
        <v>33533</v>
      </c>
      <c r="B6767" s="1" t="s">
        <v>27</v>
      </c>
      <c r="C6767" s="1" t="s">
        <v>33534</v>
      </c>
      <c r="D6767" s="1" t="s">
        <v>4534</v>
      </c>
      <c r="E6767" s="1" t="s">
        <v>33535</v>
      </c>
      <c r="F6767" s="1" t="s">
        <v>1119</v>
      </c>
      <c r="G6767" s="1" t="s">
        <v>19226</v>
      </c>
      <c r="H6767" s="1">
        <v>1982.0</v>
      </c>
      <c r="I6767" s="1" t="s">
        <v>378</v>
      </c>
      <c r="J6767" s="1" t="s">
        <v>106</v>
      </c>
      <c r="K6767" s="1" t="s">
        <v>1066</v>
      </c>
      <c r="L6767" s="1" t="s">
        <v>33536</v>
      </c>
      <c r="M6767" s="2" t="s">
        <v>12</v>
      </c>
      <c r="N6767" s="4">
        <f t="shared" si="1"/>
        <v>43725</v>
      </c>
      <c r="O6767" s="5" t="str">
        <f>IFERROR(__xludf.DUMMYFUNCTION("IF(REGEXMATCH(TRIM(I6767), ""^\d+\s*min""), ""Unclassified"", IF(I6767 = """", ""NR"", I6767))"),"R")</f>
        <v>R</v>
      </c>
      <c r="R6767" s="5" t="str">
        <f t="shared" si="2"/>
        <v>Five Elements Ninjas</v>
      </c>
      <c r="S6767" s="5" t="str">
        <f>IFERROR(__xludf.DUMMYFUNCTION("""COMPUTED_VALUE"""),"Tayo The Little Bus")</f>
        <v>Tayo The Little Bus</v>
      </c>
      <c r="V6767" s="5"/>
      <c r="Y6767" s="5" t="str">
        <f>IFERROR(__xludf.DUMMYFUNCTION("REGEXEXTRACT(J6767, ""^\d+"")"),"104")</f>
        <v>104</v>
      </c>
      <c r="Z6767" s="5" t="str">
        <f>IFERROR(__xludf.DUMMYFUNCTION("REGEXEXTRACT(J6767, ""[A-Za-z ]+$"")")," min")</f>
        <v> min</v>
      </c>
      <c r="AA6767" s="5" t="str">
        <f>IFERROR(__xludf.DUMMYFUNCTION("IF(REGEXMATCH(Z6767, ""Season""), ""TV Show"", ""Movie"")"),"Movie")</f>
        <v>Movie</v>
      </c>
    </row>
    <row r="6768">
      <c r="A6768" s="1" t="s">
        <v>33537</v>
      </c>
      <c r="B6768" s="1" t="s">
        <v>37</v>
      </c>
      <c r="C6768" s="1" t="s">
        <v>33538</v>
      </c>
      <c r="E6768" s="1" t="s">
        <v>33539</v>
      </c>
      <c r="F6768" s="1" t="s">
        <v>30</v>
      </c>
      <c r="G6768" s="1" t="s">
        <v>33540</v>
      </c>
      <c r="H6768" s="1">
        <v>2014.0</v>
      </c>
      <c r="I6768" s="1" t="s">
        <v>506</v>
      </c>
      <c r="J6768" s="1" t="s">
        <v>276</v>
      </c>
      <c r="K6768" s="1" t="s">
        <v>440</v>
      </c>
      <c r="L6768" s="1" t="s">
        <v>33541</v>
      </c>
      <c r="M6768" s="2" t="s">
        <v>12</v>
      </c>
      <c r="N6768" s="1" t="str">
        <f t="shared" si="1"/>
        <v>#N/A</v>
      </c>
      <c r="O6768" s="5" t="str">
        <f>IFERROR(__xludf.DUMMYFUNCTION("IF(REGEXMATCH(TRIM(I6768), ""^\d+\s*min""), ""Unclassified"", IF(I6768 = """", ""NR"", I6768))"),"TV-G")</f>
        <v>TV-G</v>
      </c>
      <c r="R6768" s="5" t="str">
        <f t="shared" si="2"/>
        <v>Fix It And Finish It</v>
      </c>
      <c r="S6768" s="5" t="str">
        <f>IFERROR(__xludf.DUMMYFUNCTION("""COMPUTED_VALUE"""),"Tayo The Little Bus Movie: Mission Ace")</f>
        <v>Tayo The Little Bus Movie: Mission Ace</v>
      </c>
      <c r="V6768" s="5"/>
      <c r="Y6768" s="5" t="str">
        <f>IFERROR(__xludf.DUMMYFUNCTION("REGEXEXTRACT(J6768, ""^\d+"")"),"3")</f>
        <v>3</v>
      </c>
      <c r="Z6768" s="5" t="str">
        <f>IFERROR(__xludf.DUMMYFUNCTION("REGEXEXTRACT(J6768, ""[A-Za-z ]+$"")")," Seasons")</f>
        <v> Seasons</v>
      </c>
      <c r="AA6768" s="5" t="str">
        <f>IFERROR(__xludf.DUMMYFUNCTION("IF(REGEXMATCH(Z6768, ""Season""), ""TV Show"", ""Movie"")"),"TV Show")</f>
        <v>TV Show</v>
      </c>
    </row>
    <row r="6769">
      <c r="A6769" s="1" t="s">
        <v>33542</v>
      </c>
      <c r="B6769" s="1" t="s">
        <v>27</v>
      </c>
      <c r="C6769" s="1" t="s">
        <v>33543</v>
      </c>
      <c r="D6769" s="1" t="s">
        <v>14534</v>
      </c>
      <c r="E6769" s="1" t="s">
        <v>33544</v>
      </c>
      <c r="F6769" s="1" t="s">
        <v>1979</v>
      </c>
      <c r="G6769" s="1" t="s">
        <v>33545</v>
      </c>
      <c r="H6769" s="1">
        <v>2008.0</v>
      </c>
      <c r="I6769" s="1" t="s">
        <v>32</v>
      </c>
      <c r="J6769" s="1" t="s">
        <v>804</v>
      </c>
      <c r="K6769" s="1" t="s">
        <v>805</v>
      </c>
      <c r="L6769" s="1" t="s">
        <v>33546</v>
      </c>
      <c r="M6769" s="2" t="s">
        <v>12</v>
      </c>
      <c r="N6769" s="4">
        <f t="shared" si="1"/>
        <v>42751</v>
      </c>
      <c r="O6769" s="5" t="str">
        <f>IFERROR(__xludf.DUMMYFUNCTION("IF(REGEXMATCH(TRIM(I6769), ""^\d+\s*min""), ""Unclassified"", IF(I6769 = """", ""NR"", I6769))"),"PG-13")</f>
        <v>PG-13</v>
      </c>
      <c r="R6769" s="5" t="str">
        <f t="shared" si="2"/>
        <v>Flash Of Genius</v>
      </c>
      <c r="S6769" s="5" t="str">
        <f>IFERROR(__xludf.DUMMYFUNCTION("""COMPUTED_VALUE"""),"Te3N")</f>
        <v>Te3N</v>
      </c>
      <c r="V6769" s="5"/>
      <c r="Y6769" s="5" t="str">
        <f>IFERROR(__xludf.DUMMYFUNCTION("REGEXEXTRACT(J6769, ""^\d+"")"),"119")</f>
        <v>119</v>
      </c>
      <c r="Z6769" s="5" t="str">
        <f>IFERROR(__xludf.DUMMYFUNCTION("REGEXEXTRACT(J6769, ""[A-Za-z ]+$"")")," min")</f>
        <v> min</v>
      </c>
      <c r="AA6769" s="5" t="str">
        <f>IFERROR(__xludf.DUMMYFUNCTION("IF(REGEXMATCH(Z6769, ""Season""), ""TV Show"", ""Movie"")"),"Movie")</f>
        <v>Movie</v>
      </c>
    </row>
    <row r="6770">
      <c r="A6770" s="1" t="s">
        <v>33547</v>
      </c>
      <c r="B6770" s="1" t="s">
        <v>27</v>
      </c>
      <c r="C6770" s="1" t="s">
        <v>33548</v>
      </c>
      <c r="D6770" s="1" t="s">
        <v>12066</v>
      </c>
      <c r="E6770" s="1" t="s">
        <v>33549</v>
      </c>
      <c r="F6770" s="1" t="s">
        <v>3309</v>
      </c>
      <c r="G6770" s="1" t="s">
        <v>20426</v>
      </c>
      <c r="H6770" s="1">
        <v>2016.0</v>
      </c>
      <c r="I6770" s="1" t="s">
        <v>97</v>
      </c>
      <c r="J6770" s="1" t="s">
        <v>447</v>
      </c>
      <c r="K6770" s="1" t="s">
        <v>199</v>
      </c>
      <c r="L6770" s="1" t="s">
        <v>33550</v>
      </c>
      <c r="M6770" s="2" t="s">
        <v>12</v>
      </c>
      <c r="N6770" s="4">
        <f t="shared" si="1"/>
        <v>43629</v>
      </c>
      <c r="O6770" s="5" t="str">
        <f>IFERROR(__xludf.DUMMYFUNCTION("IF(REGEXMATCH(TRIM(I6770), ""^\d+\s*min""), ""Unclassified"", IF(I6770 = """", ""NR"", I6770))"),"TV-14")</f>
        <v>TV-14</v>
      </c>
      <c r="R6770" s="5" t="str">
        <f t="shared" si="2"/>
        <v>Flimflam</v>
      </c>
      <c r="S6770" s="5" t="str">
        <f>IFERROR(__xludf.DUMMYFUNCTION("""COMPUTED_VALUE"""),"Teach Us All")</f>
        <v>Teach Us All</v>
      </c>
      <c r="V6770" s="5"/>
      <c r="Y6770" s="5" t="str">
        <f>IFERROR(__xludf.DUMMYFUNCTION("REGEXEXTRACT(J6770, ""^\d+"")"),"102")</f>
        <v>102</v>
      </c>
      <c r="Z6770" s="5" t="str">
        <f>IFERROR(__xludf.DUMMYFUNCTION("REGEXEXTRACT(J6770, ""[A-Za-z ]+$"")")," min")</f>
        <v> min</v>
      </c>
      <c r="AA6770" s="5" t="str">
        <f>IFERROR(__xludf.DUMMYFUNCTION("IF(REGEXMATCH(Z6770, ""Season""), ""TV Show"", ""Movie"")"),"Movie")</f>
        <v>Movie</v>
      </c>
    </row>
    <row r="6771">
      <c r="A6771" s="1" t="s">
        <v>33551</v>
      </c>
      <c r="B6771" s="1" t="s">
        <v>27</v>
      </c>
      <c r="C6771" s="1" t="s">
        <v>33552</v>
      </c>
      <c r="D6771" s="1" t="s">
        <v>8715</v>
      </c>
      <c r="E6771" s="1" t="s">
        <v>33553</v>
      </c>
      <c r="F6771" s="1" t="s">
        <v>30</v>
      </c>
      <c r="G6771" s="1" t="s">
        <v>24964</v>
      </c>
      <c r="H6771" s="1">
        <v>2018.0</v>
      </c>
      <c r="I6771" s="1" t="s">
        <v>42</v>
      </c>
      <c r="J6771" s="1" t="s">
        <v>490</v>
      </c>
      <c r="K6771" s="1" t="s">
        <v>15369</v>
      </c>
      <c r="L6771" s="1" t="s">
        <v>33554</v>
      </c>
      <c r="M6771" s="2" t="s">
        <v>12</v>
      </c>
      <c r="N6771" s="4">
        <f t="shared" si="1"/>
        <v>43313</v>
      </c>
      <c r="O6771" s="5" t="str">
        <f>IFERROR(__xludf.DUMMYFUNCTION("IF(REGEXMATCH(TRIM(I6771), ""^\d+\s*min""), ""Unclassified"", IF(I6771 = """", ""NR"", I6771))"),"TV-MA")</f>
        <v>TV-MA</v>
      </c>
      <c r="R6771" s="5" t="str">
        <f t="shared" si="2"/>
        <v>Flock Of Four</v>
      </c>
      <c r="S6771" s="5" t="str">
        <f>IFERROR(__xludf.DUMMYFUNCTION("""COMPUTED_VALUE"""),"Team America: World Police")</f>
        <v>Team America: World Police</v>
      </c>
      <c r="V6771" s="5"/>
      <c r="Y6771" s="5" t="str">
        <f>IFERROR(__xludf.DUMMYFUNCTION("REGEXEXTRACT(J6771, ""^\d+"")"),"83")</f>
        <v>83</v>
      </c>
      <c r="Z6771" s="5" t="str">
        <f>IFERROR(__xludf.DUMMYFUNCTION("REGEXEXTRACT(J6771, ""[A-Za-z ]+$"")")," min")</f>
        <v> min</v>
      </c>
      <c r="AA6771" s="5" t="str">
        <f>IFERROR(__xludf.DUMMYFUNCTION("IF(REGEXMATCH(Z6771, ""Season""), ""TV Show"", ""Movie"")"),"Movie")</f>
        <v>Movie</v>
      </c>
    </row>
    <row r="6772">
      <c r="A6772" s="1" t="s">
        <v>33555</v>
      </c>
      <c r="B6772" s="1" t="s">
        <v>37</v>
      </c>
      <c r="C6772" s="1" t="s">
        <v>33556</v>
      </c>
      <c r="E6772" s="1" t="s">
        <v>33557</v>
      </c>
      <c r="F6772" s="1" t="s">
        <v>749</v>
      </c>
      <c r="G6772" s="1" t="s">
        <v>20110</v>
      </c>
      <c r="H6772" s="1">
        <v>2016.0</v>
      </c>
      <c r="I6772" s="1" t="s">
        <v>289</v>
      </c>
      <c r="J6772" s="1" t="s">
        <v>51</v>
      </c>
      <c r="K6772" s="1" t="s">
        <v>637</v>
      </c>
      <c r="L6772" s="1" t="s">
        <v>33558</v>
      </c>
      <c r="M6772" s="2" t="s">
        <v>12</v>
      </c>
      <c r="N6772" s="4">
        <f t="shared" si="1"/>
        <v>43647</v>
      </c>
      <c r="O6772" s="5" t="str">
        <f>IFERROR(__xludf.DUMMYFUNCTION("IF(REGEXMATCH(TRIM(I6772), ""^\d+\s*min""), ""Unclassified"", IF(I6772 = """", ""NR"", I6772))"),"TV-Y7")</f>
        <v>TV-Y7</v>
      </c>
      <c r="R6772" s="5" t="str">
        <f t="shared" si="2"/>
        <v>Flowering Heart</v>
      </c>
      <c r="S6772" s="5" t="str">
        <f>IFERROR(__xludf.DUMMYFUNCTION("""COMPUTED_VALUE"""),"Team Foxcatcher")</f>
        <v>Team Foxcatcher</v>
      </c>
      <c r="V6772" s="5"/>
      <c r="Y6772" s="5" t="str">
        <f>IFERROR(__xludf.DUMMYFUNCTION("REGEXEXTRACT(J6772, ""^\d+"")"),"1")</f>
        <v>1</v>
      </c>
      <c r="Z6772" s="5" t="str">
        <f>IFERROR(__xludf.DUMMYFUNCTION("REGEXEXTRACT(J6772, ""[A-Za-z ]+$"")")," Season")</f>
        <v> Season</v>
      </c>
      <c r="AA6772" s="5" t="str">
        <f>IFERROR(__xludf.DUMMYFUNCTION("IF(REGEXMATCH(Z6772, ""Season""), ""TV Show"", ""Movie"")"),"TV Show")</f>
        <v>TV Show</v>
      </c>
    </row>
    <row r="6773">
      <c r="A6773" s="1" t="s">
        <v>33559</v>
      </c>
      <c r="B6773" s="1" t="s">
        <v>27</v>
      </c>
      <c r="C6773" s="1" t="s">
        <v>33560</v>
      </c>
      <c r="D6773" s="1" t="s">
        <v>12361</v>
      </c>
      <c r="E6773" s="1" t="s">
        <v>33561</v>
      </c>
      <c r="F6773" s="1" t="s">
        <v>1119</v>
      </c>
      <c r="G6773" s="1" t="s">
        <v>33562</v>
      </c>
      <c r="H6773" s="1">
        <v>1978.0</v>
      </c>
      <c r="I6773" s="1" t="s">
        <v>42</v>
      </c>
      <c r="J6773" s="1" t="s">
        <v>428</v>
      </c>
      <c r="K6773" s="1" t="s">
        <v>1066</v>
      </c>
      <c r="L6773" s="1" t="s">
        <v>33563</v>
      </c>
      <c r="M6773" s="2" t="s">
        <v>12</v>
      </c>
      <c r="N6773" s="4">
        <f t="shared" si="1"/>
        <v>43312</v>
      </c>
      <c r="O6773" s="5" t="str">
        <f>IFERROR(__xludf.DUMMYFUNCTION("IF(REGEXMATCH(TRIM(I6773), ""^\d+\s*min""), ""Unclassified"", IF(I6773 = """", ""NR"", I6773))"),"TV-MA")</f>
        <v>TV-MA</v>
      </c>
      <c r="R6773" s="5" t="str">
        <f t="shared" si="2"/>
        <v>Flying Guillotine 2</v>
      </c>
      <c r="S6773" s="5" t="str">
        <f>IFERROR(__xludf.DUMMYFUNCTION("""COMPUTED_VALUE"""),"Team Kaylie")</f>
        <v>Team Kaylie</v>
      </c>
      <c r="V6773" s="5"/>
      <c r="Y6773" s="5" t="str">
        <f>IFERROR(__xludf.DUMMYFUNCTION("REGEXEXTRACT(J6773, ""^\d+"")"),"88")</f>
        <v>88</v>
      </c>
      <c r="Z6773" s="5" t="str">
        <f>IFERROR(__xludf.DUMMYFUNCTION("REGEXEXTRACT(J6773, ""[A-Za-z ]+$"")")," min")</f>
        <v> min</v>
      </c>
      <c r="AA6773" s="5" t="str">
        <f>IFERROR(__xludf.DUMMYFUNCTION("IF(REGEXMATCH(Z6773, ""Season""), ""TV Show"", ""Movie"")"),"Movie")</f>
        <v>Movie</v>
      </c>
    </row>
    <row r="6774">
      <c r="A6774" s="1" t="s">
        <v>33564</v>
      </c>
      <c r="B6774" s="1" t="s">
        <v>27</v>
      </c>
      <c r="C6774" s="1" t="s">
        <v>33565</v>
      </c>
      <c r="D6774" s="1" t="s">
        <v>2677</v>
      </c>
      <c r="E6774" s="1" t="s">
        <v>2677</v>
      </c>
      <c r="F6774" s="1" t="s">
        <v>33566</v>
      </c>
      <c r="G6774" s="1" t="s">
        <v>23385</v>
      </c>
      <c r="H6774" s="1">
        <v>2017.0</v>
      </c>
      <c r="I6774" s="1" t="s">
        <v>42</v>
      </c>
      <c r="J6774" s="1" t="s">
        <v>1144</v>
      </c>
      <c r="K6774" s="1" t="s">
        <v>156</v>
      </c>
      <c r="L6774" s="1" t="s">
        <v>33567</v>
      </c>
      <c r="M6774" s="2" t="s">
        <v>12</v>
      </c>
      <c r="N6774" s="4">
        <f t="shared" si="1"/>
        <v>43420</v>
      </c>
      <c r="O6774" s="5" t="str">
        <f>IFERROR(__xludf.DUMMYFUNCTION("IF(REGEXMATCH(TRIM(I6774), ""^\d+\s*min""), ""Unclassified"", IF(I6774 = """", ""NR"", I6774))"),"TV-MA")</f>
        <v>TV-MA</v>
      </c>
      <c r="R6774" s="5" t="str">
        <f t="shared" si="2"/>
        <v>Follow Me</v>
      </c>
      <c r="S6774" s="5" t="str">
        <f>IFERROR(__xludf.DUMMYFUNCTION("""COMPUTED_VALUE"""),"Tears Of The Sun")</f>
        <v>Tears Of The Sun</v>
      </c>
      <c r="V6774" s="5"/>
      <c r="Y6774" s="5" t="str">
        <f>IFERROR(__xludf.DUMMYFUNCTION("REGEXEXTRACT(J6774, ""^\d+"")"),"86")</f>
        <v>86</v>
      </c>
      <c r="Z6774" s="5" t="str">
        <f>IFERROR(__xludf.DUMMYFUNCTION("REGEXEXTRACT(J6774, ""[A-Za-z ]+$"")")," min")</f>
        <v> min</v>
      </c>
      <c r="AA6774" s="5" t="str">
        <f>IFERROR(__xludf.DUMMYFUNCTION("IF(REGEXMATCH(Z6774, ""Season""), ""TV Show"", ""Movie"")"),"Movie")</f>
        <v>Movie</v>
      </c>
    </row>
    <row r="6775">
      <c r="A6775" s="1" t="s">
        <v>33568</v>
      </c>
      <c r="B6775" s="1" t="s">
        <v>37</v>
      </c>
      <c r="C6775" s="1" t="s">
        <v>33569</v>
      </c>
      <c r="E6775" s="1" t="s">
        <v>33570</v>
      </c>
      <c r="G6775" s="1" t="s">
        <v>27097</v>
      </c>
      <c r="H6775" s="1">
        <v>2017.0</v>
      </c>
      <c r="I6775" s="1" t="s">
        <v>136</v>
      </c>
      <c r="J6775" s="1" t="s">
        <v>51</v>
      </c>
      <c r="K6775" s="1" t="s">
        <v>736</v>
      </c>
      <c r="L6775" s="1" t="s">
        <v>33571</v>
      </c>
      <c r="M6775" s="2" t="s">
        <v>12</v>
      </c>
      <c r="N6775" s="4">
        <f t="shared" si="1"/>
        <v>43009</v>
      </c>
      <c r="O6775" s="5" t="str">
        <f>IFERROR(__xludf.DUMMYFUNCTION("IF(REGEXMATCH(TRIM(I6775), ""^\d+\s*min""), ""Unclassified"", IF(I6775 = """", ""NR"", I6775))"),"TV-PG")</f>
        <v>TV-PG</v>
      </c>
      <c r="R6775" s="5" t="str">
        <f t="shared" si="2"/>
        <v>Food: Delicious Science</v>
      </c>
      <c r="S6775" s="5" t="str">
        <f>IFERROR(__xludf.DUMMYFUNCTION("""COMPUTED_VALUE"""),"Teasing Master Takagi-San")</f>
        <v>Teasing Master Takagi-San</v>
      </c>
      <c r="V6775" s="5"/>
      <c r="Y6775" s="5" t="str">
        <f>IFERROR(__xludf.DUMMYFUNCTION("REGEXEXTRACT(J6775, ""^\d+"")"),"1")</f>
        <v>1</v>
      </c>
      <c r="Z6775" s="5" t="str">
        <f>IFERROR(__xludf.DUMMYFUNCTION("REGEXEXTRACT(J6775, ""[A-Za-z ]+$"")")," Season")</f>
        <v> Season</v>
      </c>
      <c r="AA6775" s="5" t="str">
        <f>IFERROR(__xludf.DUMMYFUNCTION("IF(REGEXMATCH(Z6775, ""Season""), ""TV Show"", ""Movie"")"),"TV Show")</f>
        <v>TV Show</v>
      </c>
    </row>
    <row r="6776">
      <c r="A6776" s="1" t="s">
        <v>33572</v>
      </c>
      <c r="B6776" s="1" t="s">
        <v>37</v>
      </c>
      <c r="C6776" s="1" t="s">
        <v>33573</v>
      </c>
      <c r="E6776" s="1" t="s">
        <v>33574</v>
      </c>
      <c r="F6776" s="1" t="s">
        <v>30</v>
      </c>
      <c r="G6776" s="1" t="s">
        <v>27004</v>
      </c>
      <c r="H6776" s="1">
        <v>2011.0</v>
      </c>
      <c r="I6776" s="1" t="s">
        <v>97</v>
      </c>
      <c r="J6776" s="1" t="s">
        <v>51</v>
      </c>
      <c r="K6776" s="1" t="s">
        <v>402</v>
      </c>
      <c r="L6776" s="1" t="s">
        <v>33575</v>
      </c>
      <c r="M6776" s="2" t="s">
        <v>12</v>
      </c>
      <c r="N6776" s="4">
        <f t="shared" si="1"/>
        <v>43024</v>
      </c>
      <c r="O6776" s="5" t="str">
        <f>IFERROR(__xludf.DUMMYFUNCTION("IF(REGEXMATCH(TRIM(I6776), ""^\d+\s*min""), ""Unclassified"", IF(I6776 = """", ""NR"", I6776))"),"TV-14")</f>
        <v>TV-14</v>
      </c>
      <c r="R6776" s="5" t="str">
        <f t="shared" si="2"/>
        <v>Footprints In The Sand</v>
      </c>
      <c r="S6776" s="5" t="str">
        <f>IFERROR(__xludf.DUMMYFUNCTION("""COMPUTED_VALUE"""),"Tee Shot: Ariya Jutanugarn")</f>
        <v>Tee Shot: Ariya Jutanugarn</v>
      </c>
      <c r="V6776" s="5"/>
      <c r="Y6776" s="5" t="str">
        <f>IFERROR(__xludf.DUMMYFUNCTION("REGEXEXTRACT(J6776, ""^\d+"")"),"1")</f>
        <v>1</v>
      </c>
      <c r="Z6776" s="5" t="str">
        <f>IFERROR(__xludf.DUMMYFUNCTION("REGEXEXTRACT(J6776, ""[A-Za-z ]+$"")")," Season")</f>
        <v> Season</v>
      </c>
      <c r="AA6776" s="5" t="str">
        <f>IFERROR(__xludf.DUMMYFUNCTION("IF(REGEXMATCH(Z6776, ""Season""), ""TV Show"", ""Movie"")"),"TV Show")</f>
        <v>TV Show</v>
      </c>
    </row>
    <row r="6777">
      <c r="A6777" s="1" t="s">
        <v>33576</v>
      </c>
      <c r="B6777" s="1" t="s">
        <v>27</v>
      </c>
      <c r="C6777" s="1" t="s">
        <v>33577</v>
      </c>
      <c r="D6777" s="1" t="s">
        <v>11998</v>
      </c>
      <c r="F6777" s="1" t="s">
        <v>784</v>
      </c>
      <c r="G6777" s="1" t="s">
        <v>27835</v>
      </c>
      <c r="H6777" s="1">
        <v>2015.0</v>
      </c>
      <c r="I6777" s="1" t="s">
        <v>78</v>
      </c>
      <c r="J6777" s="1" t="s">
        <v>33</v>
      </c>
      <c r="K6777" s="1" t="s">
        <v>12112</v>
      </c>
      <c r="L6777" s="1" t="s">
        <v>33578</v>
      </c>
      <c r="M6777" s="2" t="s">
        <v>12</v>
      </c>
      <c r="N6777" s="4">
        <f t="shared" si="1"/>
        <v>42916</v>
      </c>
      <c r="O6777" s="5" t="str">
        <f>IFERROR(__xludf.DUMMYFUNCTION("IF(REGEXMATCH(TRIM(I6777), ""^\d+\s*min""), ""Unclassified"", IF(I6777 = """", ""NR"", I6777))"),"PG")</f>
        <v>PG</v>
      </c>
      <c r="R6777" s="5" t="str">
        <f t="shared" si="2"/>
        <v>Footprints: The Path Of Your Life</v>
      </c>
      <c r="S6777" s="5" t="str">
        <f>IFERROR(__xludf.DUMMYFUNCTION("""COMPUTED_VALUE"""),"Teefa In Trouble")</f>
        <v>Teefa In Trouble</v>
      </c>
      <c r="V6777" s="5"/>
      <c r="Y6777" s="5" t="str">
        <f>IFERROR(__xludf.DUMMYFUNCTION("REGEXEXTRACT(J6777, ""^\d+"")"),"90")</f>
        <v>90</v>
      </c>
      <c r="Z6777" s="5" t="str">
        <f>IFERROR(__xludf.DUMMYFUNCTION("REGEXEXTRACT(J6777, ""[A-Za-z ]+$"")")," min")</f>
        <v> min</v>
      </c>
      <c r="AA6777" s="5" t="str">
        <f>IFERROR(__xludf.DUMMYFUNCTION("IF(REGEXMATCH(Z6777, ""Season""), ""TV Show"", ""Movie"")"),"Movie")</f>
        <v>Movie</v>
      </c>
    </row>
    <row r="6778">
      <c r="A6778" s="1" t="s">
        <v>33579</v>
      </c>
      <c r="B6778" s="1" t="s">
        <v>27</v>
      </c>
      <c r="C6778" s="1" t="s">
        <v>33580</v>
      </c>
      <c r="D6778" s="1" t="s">
        <v>16724</v>
      </c>
      <c r="E6778" s="1" t="s">
        <v>33581</v>
      </c>
      <c r="F6778" s="1" t="s">
        <v>30</v>
      </c>
      <c r="G6778" s="7">
        <v>43952.0</v>
      </c>
      <c r="H6778" s="1">
        <v>2010.0</v>
      </c>
      <c r="I6778" s="1" t="s">
        <v>378</v>
      </c>
      <c r="J6778" s="1" t="s">
        <v>7413</v>
      </c>
      <c r="K6778" s="1" t="s">
        <v>805</v>
      </c>
      <c r="L6778" s="1" t="s">
        <v>33582</v>
      </c>
      <c r="M6778" s="2" t="s">
        <v>12</v>
      </c>
      <c r="N6778" s="4">
        <f t="shared" si="1"/>
        <v>43952</v>
      </c>
      <c r="O6778" s="5" t="str">
        <f>IFERROR(__xludf.DUMMYFUNCTION("IF(REGEXMATCH(TRIM(I6778), ""^\d+\s*min""), ""Unclassified"", IF(I6778 = """", ""NR"", I6778))"),"R")</f>
        <v>R</v>
      </c>
      <c r="R6778" s="5" t="str">
        <f t="shared" si="2"/>
        <v>For Colored Girls</v>
      </c>
      <c r="S6778" s="5" t="str">
        <f>IFERROR(__xludf.DUMMYFUNCTION("""COMPUTED_VALUE"""),"Teen Aur Aadha")</f>
        <v>Teen Aur Aadha</v>
      </c>
      <c r="V6778" s="5"/>
      <c r="Y6778" s="5" t="str">
        <f>IFERROR(__xludf.DUMMYFUNCTION("REGEXEXTRACT(J6778, ""^\d+"")"),"134")</f>
        <v>134</v>
      </c>
      <c r="Z6778" s="5" t="str">
        <f>IFERROR(__xludf.DUMMYFUNCTION("REGEXEXTRACT(J6778, ""[A-Za-z ]+$"")")," min")</f>
        <v> min</v>
      </c>
      <c r="AA6778" s="5" t="str">
        <f>IFERROR(__xludf.DUMMYFUNCTION("IF(REGEXMATCH(Z6778, ""Season""), ""TV Show"", ""Movie"")"),"Movie")</f>
        <v>Movie</v>
      </c>
    </row>
    <row r="6779">
      <c r="A6779" s="1" t="s">
        <v>33583</v>
      </c>
      <c r="B6779" s="1" t="s">
        <v>27</v>
      </c>
      <c r="C6779" s="1" t="s">
        <v>33584</v>
      </c>
      <c r="D6779" s="1" t="s">
        <v>14854</v>
      </c>
      <c r="F6779" s="1" t="s">
        <v>30</v>
      </c>
      <c r="G6779" s="1" t="s">
        <v>33585</v>
      </c>
      <c r="H6779" s="1">
        <v>2015.0</v>
      </c>
      <c r="I6779" s="1" t="s">
        <v>136</v>
      </c>
      <c r="J6779" s="1" t="s">
        <v>665</v>
      </c>
      <c r="K6779" s="1" t="s">
        <v>34</v>
      </c>
      <c r="L6779" s="1" t="s">
        <v>33586</v>
      </c>
      <c r="M6779" s="2" t="s">
        <v>12</v>
      </c>
      <c r="N6779" s="4">
        <f t="shared" si="1"/>
        <v>42431</v>
      </c>
      <c r="O6779" s="5" t="str">
        <f>IFERROR(__xludf.DUMMYFUNCTION("IF(REGEXMATCH(TRIM(I6779), ""^\d+\s*min""), ""Unclassified"", IF(I6779 = """", ""NR"", I6779))"),"TV-PG")</f>
        <v>TV-PG</v>
      </c>
      <c r="R6779" s="5" t="str">
        <f t="shared" si="2"/>
        <v>For Grace</v>
      </c>
      <c r="S6779" s="5" t="str">
        <f>IFERROR(__xludf.DUMMYFUNCTION("""COMPUTED_VALUE"""),"Teen Mom 2")</f>
        <v>Teen Mom 2</v>
      </c>
      <c r="V6779" s="5"/>
      <c r="Y6779" s="5" t="str">
        <f>IFERROR(__xludf.DUMMYFUNCTION("REGEXEXTRACT(J6779, ""^\d+"")"),"92")</f>
        <v>92</v>
      </c>
      <c r="Z6779" s="5" t="str">
        <f>IFERROR(__xludf.DUMMYFUNCTION("REGEXEXTRACT(J6779, ""[A-Za-z ]+$"")")," min")</f>
        <v> min</v>
      </c>
      <c r="AA6779" s="5" t="str">
        <f>IFERROR(__xludf.DUMMYFUNCTION("IF(REGEXMATCH(Z6779, ""Season""), ""TV Show"", ""Movie"")"),"Movie")</f>
        <v>Movie</v>
      </c>
    </row>
    <row r="6780">
      <c r="A6780" s="1" t="s">
        <v>33587</v>
      </c>
      <c r="B6780" s="1" t="s">
        <v>27</v>
      </c>
      <c r="C6780" s="1" t="s">
        <v>33588</v>
      </c>
      <c r="D6780" s="1" t="s">
        <v>6238</v>
      </c>
      <c r="E6780" s="1" t="s">
        <v>33589</v>
      </c>
      <c r="F6780" s="1" t="s">
        <v>162</v>
      </c>
      <c r="G6780" s="1" t="s">
        <v>19794</v>
      </c>
      <c r="H6780" s="1">
        <v>2012.0</v>
      </c>
      <c r="I6780" s="1" t="s">
        <v>378</v>
      </c>
      <c r="J6780" s="1" t="s">
        <v>582</v>
      </c>
      <c r="K6780" s="1" t="s">
        <v>128</v>
      </c>
      <c r="L6780" s="1" t="s">
        <v>33590</v>
      </c>
      <c r="M6780" s="2" t="s">
        <v>12</v>
      </c>
      <c r="N6780" s="4">
        <f t="shared" si="1"/>
        <v>43679</v>
      </c>
      <c r="O6780" s="5" t="str">
        <f>IFERROR(__xludf.DUMMYFUNCTION("IF(REGEXMATCH(TRIM(I6780), ""^\d+\s*min""), ""Unclassified"", IF(I6780 = """", ""NR"", I6780))"),"R")</f>
        <v>R</v>
      </c>
      <c r="R6780" s="5" t="str">
        <f t="shared" si="2"/>
        <v>For Greater Glory</v>
      </c>
      <c r="S6780" s="5" t="str">
        <f>IFERROR(__xludf.DUMMYFUNCTION("""COMPUTED_VALUE"""),"Teen Patti")</f>
        <v>Teen Patti</v>
      </c>
      <c r="V6780" s="5"/>
      <c r="Y6780" s="5" t="str">
        <f>IFERROR(__xludf.DUMMYFUNCTION("REGEXEXTRACT(J6780, ""^\d+"")"),"145")</f>
        <v>145</v>
      </c>
      <c r="Z6780" s="5" t="str">
        <f>IFERROR(__xludf.DUMMYFUNCTION("REGEXEXTRACT(J6780, ""[A-Za-z ]+$"")")," min")</f>
        <v> min</v>
      </c>
      <c r="AA6780" s="5" t="str">
        <f>IFERROR(__xludf.DUMMYFUNCTION("IF(REGEXMATCH(Z6780, ""Season""), ""TV Show"", ""Movie"")"),"Movie")</f>
        <v>Movie</v>
      </c>
    </row>
    <row r="6781">
      <c r="A6781" s="1" t="s">
        <v>33591</v>
      </c>
      <c r="B6781" s="1" t="s">
        <v>27</v>
      </c>
      <c r="C6781" s="1" t="s">
        <v>33592</v>
      </c>
      <c r="D6781" s="1" t="s">
        <v>14892</v>
      </c>
      <c r="E6781" s="1" t="s">
        <v>33593</v>
      </c>
      <c r="F6781" s="1" t="s">
        <v>96</v>
      </c>
      <c r="G6781" s="1" t="s">
        <v>19541</v>
      </c>
      <c r="H6781" s="1">
        <v>2019.0</v>
      </c>
      <c r="I6781" s="1" t="s">
        <v>42</v>
      </c>
      <c r="J6781" s="1" t="s">
        <v>465</v>
      </c>
      <c r="K6781" s="1" t="s">
        <v>239</v>
      </c>
      <c r="L6781" s="1" t="s">
        <v>33594</v>
      </c>
      <c r="M6781" s="2" t="s">
        <v>12</v>
      </c>
      <c r="N6781" s="4">
        <f t="shared" si="1"/>
        <v>43693</v>
      </c>
      <c r="O6781" s="5" t="str">
        <f>IFERROR(__xludf.DUMMYFUNCTION("IF(REGEXMATCH(TRIM(I6781), ""^\d+\s*min""), ""Unclassified"", IF(I6781 = """", ""NR"", I6781))"),"TV-MA")</f>
        <v>TV-MA</v>
      </c>
      <c r="R6781" s="5" t="str">
        <f t="shared" si="2"/>
        <v>For Love Or Money</v>
      </c>
      <c r="S6781" s="5" t="str">
        <f>IFERROR(__xludf.DUMMYFUNCTION("""COMPUTED_VALUE"""),"Teenage Bounty Hunters")</f>
        <v>Teenage Bounty Hunters</v>
      </c>
      <c r="V6781" s="5"/>
      <c r="Y6781" s="5" t="str">
        <f>IFERROR(__xludf.DUMMYFUNCTION("REGEXEXTRACT(J6781, ""^\d+"")"),"95")</f>
        <v>95</v>
      </c>
      <c r="Z6781" s="5" t="str">
        <f>IFERROR(__xludf.DUMMYFUNCTION("REGEXEXTRACT(J6781, ""[A-Za-z ]+$"")")," min")</f>
        <v> min</v>
      </c>
      <c r="AA6781" s="5" t="str">
        <f>IFERROR(__xludf.DUMMYFUNCTION("IF(REGEXMATCH(Z6781, ""Season""), ""TV Show"", ""Movie"")"),"Movie")</f>
        <v>Movie</v>
      </c>
    </row>
    <row r="6782">
      <c r="A6782" s="1" t="s">
        <v>33595</v>
      </c>
      <c r="B6782" s="1" t="s">
        <v>27</v>
      </c>
      <c r="C6782" s="1" t="s">
        <v>33596</v>
      </c>
      <c r="D6782" s="1" t="s">
        <v>19192</v>
      </c>
      <c r="E6782" s="1" t="s">
        <v>33597</v>
      </c>
      <c r="F6782" s="1" t="s">
        <v>30</v>
      </c>
      <c r="G6782" s="1" t="s">
        <v>19361</v>
      </c>
      <c r="H6782" s="1">
        <v>2018.0</v>
      </c>
      <c r="I6782" s="1" t="s">
        <v>42</v>
      </c>
      <c r="J6782" s="1" t="s">
        <v>454</v>
      </c>
      <c r="K6782" s="1" t="s">
        <v>34</v>
      </c>
      <c r="L6782" s="1" t="s">
        <v>33598</v>
      </c>
      <c r="M6782" s="2" t="s">
        <v>12</v>
      </c>
      <c r="N6782" s="4">
        <f t="shared" si="1"/>
        <v>43709</v>
      </c>
      <c r="O6782" s="5" t="str">
        <f>IFERROR(__xludf.DUMMYFUNCTION("IF(REGEXMATCH(TRIM(I6782), ""^\d+\s*min""), ""Unclassified"", IF(I6782 = """", ""NR"", I6782))"),"TV-MA")</f>
        <v>TV-MA</v>
      </c>
      <c r="R6782" s="5" t="str">
        <f t="shared" si="2"/>
        <v>For The Birds</v>
      </c>
      <c r="S6782" s="5" t="str">
        <f>IFERROR(__xludf.DUMMYFUNCTION("""COMPUTED_VALUE"""),"Teenage Cocktail")</f>
        <v>Teenage Cocktail</v>
      </c>
      <c r="V6782" s="5"/>
      <c r="Y6782" s="5" t="str">
        <f>IFERROR(__xludf.DUMMYFUNCTION("REGEXEXTRACT(J6782, ""^\d+"")"),"93")</f>
        <v>93</v>
      </c>
      <c r="Z6782" s="5" t="str">
        <f>IFERROR(__xludf.DUMMYFUNCTION("REGEXEXTRACT(J6782, ""[A-Za-z ]+$"")")," min")</f>
        <v> min</v>
      </c>
      <c r="AA6782" s="5" t="str">
        <f>IFERROR(__xludf.DUMMYFUNCTION("IF(REGEXMATCH(Z6782, ""Season""), ""TV Show"", ""Movie"")"),"Movie")</f>
        <v>Movie</v>
      </c>
    </row>
    <row r="6783">
      <c r="A6783" s="1" t="s">
        <v>33599</v>
      </c>
      <c r="B6783" s="1" t="s">
        <v>27</v>
      </c>
      <c r="C6783" s="1" t="s">
        <v>33600</v>
      </c>
      <c r="D6783" s="1" t="s">
        <v>11069</v>
      </c>
      <c r="E6783" s="1" t="s">
        <v>33601</v>
      </c>
      <c r="F6783" s="1" t="s">
        <v>30</v>
      </c>
      <c r="G6783" s="1" t="s">
        <v>26060</v>
      </c>
      <c r="H6783" s="1">
        <v>1977.0</v>
      </c>
      <c r="I6783" s="1" t="s">
        <v>770</v>
      </c>
      <c r="J6783" s="1" t="s">
        <v>1608</v>
      </c>
      <c r="K6783" s="1" t="s">
        <v>80</v>
      </c>
      <c r="L6783" s="1" t="s">
        <v>33602</v>
      </c>
      <c r="M6783" s="2" t="s">
        <v>12</v>
      </c>
      <c r="N6783" s="4">
        <f t="shared" si="1"/>
        <v>43165</v>
      </c>
      <c r="O6783" s="5" t="str">
        <f>IFERROR(__xludf.DUMMYFUNCTION("IF(REGEXMATCH(TRIM(I6783), ""^\d+\s*min""), ""Unclassified"", IF(I6783 = """", ""NR"", I6783))"),"G")</f>
        <v>G</v>
      </c>
      <c r="R6783" s="5" t="str">
        <f t="shared" si="2"/>
        <v>For The Love Of Benji</v>
      </c>
      <c r="S6783" s="5" t="str">
        <f>IFERROR(__xludf.DUMMYFUNCTION("""COMPUTED_VALUE"""),"Teenage Mutant Ninja Turtles")</f>
        <v>Teenage Mutant Ninja Turtles</v>
      </c>
      <c r="V6783" s="5"/>
      <c r="Y6783" s="5" t="str">
        <f>IFERROR(__xludf.DUMMYFUNCTION("REGEXEXTRACT(J6783, ""^\d+"")"),"84")</f>
        <v>84</v>
      </c>
      <c r="Z6783" s="5" t="str">
        <f>IFERROR(__xludf.DUMMYFUNCTION("REGEXEXTRACT(J6783, ""[A-Za-z ]+$"")")," min")</f>
        <v> min</v>
      </c>
      <c r="AA6783" s="5" t="str">
        <f>IFERROR(__xludf.DUMMYFUNCTION("IF(REGEXMATCH(Z6783, ""Season""), ""TV Show"", ""Movie"")"),"Movie")</f>
        <v>Movie</v>
      </c>
    </row>
    <row r="6784">
      <c r="A6784" s="1" t="s">
        <v>33603</v>
      </c>
      <c r="B6784" s="1" t="s">
        <v>37</v>
      </c>
      <c r="C6784" s="1" t="s">
        <v>33604</v>
      </c>
      <c r="E6784" s="1" t="s">
        <v>33605</v>
      </c>
      <c r="F6784" s="1" t="s">
        <v>30</v>
      </c>
      <c r="G6784" s="1" t="s">
        <v>22684</v>
      </c>
      <c r="H6784" s="1">
        <v>2017.0</v>
      </c>
      <c r="I6784" s="1" t="s">
        <v>97</v>
      </c>
      <c r="J6784" s="1" t="s">
        <v>51</v>
      </c>
      <c r="K6784" s="1" t="s">
        <v>440</v>
      </c>
      <c r="L6784" s="1" t="s">
        <v>33606</v>
      </c>
      <c r="M6784" s="2" t="s">
        <v>12</v>
      </c>
      <c r="N6784" s="4">
        <f t="shared" si="1"/>
        <v>43465</v>
      </c>
      <c r="O6784" s="5" t="str">
        <f>IFERROR(__xludf.DUMMYFUNCTION("IF(REGEXMATCH(TRIM(I6784), ""^\d+\s*min""), ""Unclassified"", IF(I6784 = """", ""NR"", I6784))"),"TV-14")</f>
        <v>TV-14</v>
      </c>
      <c r="R6784" s="5" t="str">
        <f t="shared" si="2"/>
        <v>For The Win</v>
      </c>
      <c r="S6784" s="5" t="str">
        <f>IFERROR(__xludf.DUMMYFUNCTION("""COMPUTED_VALUE"""),"Teenage Mutant Ninja Turtles Ii: The Secret Of The Ooze")</f>
        <v>Teenage Mutant Ninja Turtles Ii: The Secret Of The Ooze</v>
      </c>
      <c r="V6784" s="5"/>
      <c r="Y6784" s="5" t="str">
        <f>IFERROR(__xludf.DUMMYFUNCTION("REGEXEXTRACT(J6784, ""^\d+"")"),"1")</f>
        <v>1</v>
      </c>
      <c r="Z6784" s="5" t="str">
        <f>IFERROR(__xludf.DUMMYFUNCTION("REGEXEXTRACT(J6784, ""[A-Za-z ]+$"")")," Season")</f>
        <v> Season</v>
      </c>
      <c r="AA6784" s="5" t="str">
        <f>IFERROR(__xludf.DUMMYFUNCTION("IF(REGEXMATCH(Z6784, ""Season""), ""TV Show"", ""Movie"")"),"TV Show")</f>
        <v>TV Show</v>
      </c>
    </row>
    <row r="6785">
      <c r="A6785" s="1" t="s">
        <v>33607</v>
      </c>
      <c r="B6785" s="1" t="s">
        <v>27</v>
      </c>
      <c r="C6785" s="1" t="s">
        <v>33608</v>
      </c>
      <c r="D6785" s="1" t="s">
        <v>11561</v>
      </c>
      <c r="E6785" s="1" t="s">
        <v>33609</v>
      </c>
      <c r="F6785" s="1" t="s">
        <v>96</v>
      </c>
      <c r="G6785" s="1" t="s">
        <v>26674</v>
      </c>
      <c r="H6785" s="1">
        <v>2017.0</v>
      </c>
      <c r="I6785" s="1" t="s">
        <v>97</v>
      </c>
      <c r="J6785" s="1" t="s">
        <v>2452</v>
      </c>
      <c r="K6785" s="1" t="s">
        <v>5201</v>
      </c>
      <c r="L6785" s="1" t="s">
        <v>33610</v>
      </c>
      <c r="M6785" s="2" t="s">
        <v>12</v>
      </c>
      <c r="N6785" s="4">
        <f t="shared" si="1"/>
        <v>43070</v>
      </c>
      <c r="O6785" s="5" t="str">
        <f>IFERROR(__xludf.DUMMYFUNCTION("IF(REGEXMATCH(TRIM(I6785), ""^\d+\s*min""), ""Unclassified"", IF(I6785 = """", ""NR"", I6785))"),"TV-14")</f>
        <v>TV-14</v>
      </c>
      <c r="R6785" s="5" t="str">
        <f t="shared" si="2"/>
        <v>Forbidden Games: The Justin Fashanu Story</v>
      </c>
      <c r="S6785" s="5" t="str">
        <f>IFERROR(__xludf.DUMMYFUNCTION("""COMPUTED_VALUE"""),"Teenage Mutant Ninja Turtles: The Movie")</f>
        <v>Teenage Mutant Ninja Turtles: The Movie</v>
      </c>
      <c r="V6785" s="5"/>
      <c r="Y6785" s="5" t="str">
        <f>IFERROR(__xludf.DUMMYFUNCTION("REGEXEXTRACT(J6785, ""^\d+"")"),"81")</f>
        <v>81</v>
      </c>
      <c r="Z6785" s="5" t="str">
        <f>IFERROR(__xludf.DUMMYFUNCTION("REGEXEXTRACT(J6785, ""[A-Za-z ]+$"")")," min")</f>
        <v> min</v>
      </c>
      <c r="AA6785" s="5" t="str">
        <f>IFERROR(__xludf.DUMMYFUNCTION("IF(REGEXMATCH(Z6785, ""Season""), ""TV Show"", ""Movie"")"),"Movie")</f>
        <v>Movie</v>
      </c>
    </row>
    <row r="6786">
      <c r="A6786" s="1" t="s">
        <v>33611</v>
      </c>
      <c r="B6786" s="1" t="s">
        <v>27</v>
      </c>
      <c r="C6786" s="1" t="s">
        <v>33612</v>
      </c>
      <c r="D6786" s="1" t="s">
        <v>7934</v>
      </c>
      <c r="E6786" s="1" t="s">
        <v>33613</v>
      </c>
      <c r="F6786" s="1" t="s">
        <v>30</v>
      </c>
      <c r="G6786" s="1" t="s">
        <v>18333</v>
      </c>
      <c r="H6786" s="1">
        <v>1956.0</v>
      </c>
      <c r="I6786" s="1" t="s">
        <v>770</v>
      </c>
      <c r="J6786" s="1" t="s">
        <v>357</v>
      </c>
      <c r="K6786" s="1" t="s">
        <v>33614</v>
      </c>
      <c r="L6786" s="1" t="s">
        <v>33615</v>
      </c>
      <c r="M6786" s="2" t="s">
        <v>12</v>
      </c>
      <c r="N6786" s="4">
        <f t="shared" si="1"/>
        <v>43770</v>
      </c>
      <c r="O6786" s="5" t="str">
        <f>IFERROR(__xludf.DUMMYFUNCTION("IF(REGEXMATCH(TRIM(I6786), ""^\d+\s*min""), ""Unclassified"", IF(I6786 = """", ""NR"", I6786))"),"G")</f>
        <v>G</v>
      </c>
      <c r="R6786" s="5" t="str">
        <f t="shared" si="2"/>
        <v>Forbidden Planet</v>
      </c>
      <c r="S6786" s="5" t="str">
        <f>IFERROR(__xludf.DUMMYFUNCTION("""COMPUTED_VALUE"""),"Tees Maar Khan")</f>
        <v>Tees Maar Khan</v>
      </c>
      <c r="V6786" s="5"/>
      <c r="Y6786" s="5" t="str">
        <f>IFERROR(__xludf.DUMMYFUNCTION("REGEXEXTRACT(J6786, ""^\d+"")"),"98")</f>
        <v>98</v>
      </c>
      <c r="Z6786" s="5" t="str">
        <f>IFERROR(__xludf.DUMMYFUNCTION("REGEXEXTRACT(J6786, ""[A-Za-z ]+$"")")," min")</f>
        <v> min</v>
      </c>
      <c r="AA6786" s="5" t="str">
        <f>IFERROR(__xludf.DUMMYFUNCTION("IF(REGEXMATCH(Z6786, ""Season""), ""TV Show"", ""Movie"")"),"Movie")</f>
        <v>Movie</v>
      </c>
    </row>
    <row r="6787">
      <c r="A6787" s="1" t="s">
        <v>33616</v>
      </c>
      <c r="B6787" s="1" t="s">
        <v>37</v>
      </c>
      <c r="C6787" s="1" t="s">
        <v>33617</v>
      </c>
      <c r="F6787" s="1" t="s">
        <v>96</v>
      </c>
      <c r="G6787" s="1" t="s">
        <v>28552</v>
      </c>
      <c r="H6787" s="1">
        <v>2016.0</v>
      </c>
      <c r="I6787" s="1" t="s">
        <v>136</v>
      </c>
      <c r="J6787" s="1" t="s">
        <v>51</v>
      </c>
      <c r="K6787" s="1" t="s">
        <v>29581</v>
      </c>
      <c r="L6787" s="1" t="s">
        <v>33618</v>
      </c>
      <c r="M6787" s="2" t="s">
        <v>12</v>
      </c>
      <c r="N6787" s="4">
        <f t="shared" si="1"/>
        <v>42795</v>
      </c>
      <c r="O6787" s="5" t="str">
        <f>IFERROR(__xludf.DUMMYFUNCTION("IF(REGEXMATCH(TRIM(I6787), ""^\d+\s*min""), ""Unclassified"", IF(I6787 = """", ""NR"", I6787))"),"TV-PG")</f>
        <v>TV-PG</v>
      </c>
      <c r="R6787" s="5" t="str">
        <f t="shared" si="2"/>
        <v>Forces Of Nature</v>
      </c>
      <c r="S6787" s="5" t="str">
        <f>IFERROR(__xludf.DUMMYFUNCTION("""COMPUTED_VALUE"""),"Tell Me When")</f>
        <v>Tell Me When</v>
      </c>
      <c r="V6787" s="5"/>
      <c r="Y6787" s="5" t="str">
        <f>IFERROR(__xludf.DUMMYFUNCTION("REGEXEXTRACT(J6787, ""^\d+"")"),"1")</f>
        <v>1</v>
      </c>
      <c r="Z6787" s="5" t="str">
        <f>IFERROR(__xludf.DUMMYFUNCTION("REGEXEXTRACT(J6787, ""[A-Za-z ]+$"")")," Season")</f>
        <v> Season</v>
      </c>
      <c r="AA6787" s="5" t="str">
        <f>IFERROR(__xludf.DUMMYFUNCTION("IF(REGEXMATCH(Z6787, ""Season""), ""TV Show"", ""Movie"")"),"TV Show")</f>
        <v>TV Show</v>
      </c>
    </row>
    <row r="6788">
      <c r="A6788" s="1" t="s">
        <v>33619</v>
      </c>
      <c r="B6788" s="1" t="s">
        <v>27</v>
      </c>
      <c r="C6788" s="1" t="s">
        <v>33620</v>
      </c>
      <c r="D6788" s="1" t="s">
        <v>7628</v>
      </c>
      <c r="F6788" s="1" t="s">
        <v>1992</v>
      </c>
      <c r="G6788" s="1" t="s">
        <v>24887</v>
      </c>
      <c r="H6788" s="1">
        <v>2018.0</v>
      </c>
      <c r="I6788" s="1" t="s">
        <v>42</v>
      </c>
      <c r="J6788" s="1" t="s">
        <v>2699</v>
      </c>
      <c r="K6788" s="1" t="s">
        <v>520</v>
      </c>
      <c r="L6788" s="1" t="s">
        <v>33621</v>
      </c>
      <c r="M6788" s="2" t="s">
        <v>12</v>
      </c>
      <c r="N6788" s="4">
        <f t="shared" si="1"/>
        <v>43314</v>
      </c>
      <c r="O6788" s="5" t="str">
        <f>IFERROR(__xludf.DUMMYFUNCTION("IF(REGEXMATCH(TRIM(I6788), ""^\d+\s*min""), ""Unclassified"", IF(I6788 = """", ""NR"", I6788))"),"TV-MA")</f>
        <v>TV-MA</v>
      </c>
      <c r="R6788" s="5" t="str">
        <f t="shared" si="2"/>
        <v>Forever Chape</v>
      </c>
      <c r="S6788" s="5" t="str">
        <f>IFERROR(__xludf.DUMMYFUNCTION("""COMPUTED_VALUE"""),"Tell Me Who I Am")</f>
        <v>Tell Me Who I Am</v>
      </c>
      <c r="V6788" s="5"/>
      <c r="Y6788" s="5" t="str">
        <f>IFERROR(__xludf.DUMMYFUNCTION("REGEXEXTRACT(J6788, ""^\d+"")"),"74")</f>
        <v>74</v>
      </c>
      <c r="Z6788" s="5" t="str">
        <f>IFERROR(__xludf.DUMMYFUNCTION("REGEXEXTRACT(J6788, ""[A-Za-z ]+$"")")," min")</f>
        <v> min</v>
      </c>
      <c r="AA6788" s="5" t="str">
        <f>IFERROR(__xludf.DUMMYFUNCTION("IF(REGEXMATCH(Z6788, ""Season""), ""TV Show"", ""Movie"")"),"Movie")</f>
        <v>Movie</v>
      </c>
    </row>
    <row r="6789">
      <c r="A6789" s="1" t="s">
        <v>33622</v>
      </c>
      <c r="B6789" s="1" t="s">
        <v>27</v>
      </c>
      <c r="C6789" s="1" t="s">
        <v>33623</v>
      </c>
      <c r="D6789" s="1" t="s">
        <v>15415</v>
      </c>
      <c r="F6789" s="1" t="s">
        <v>33624</v>
      </c>
      <c r="G6789" s="7">
        <v>42884.0</v>
      </c>
      <c r="H6789" s="1">
        <v>2016.0</v>
      </c>
      <c r="I6789" s="1" t="s">
        <v>42</v>
      </c>
      <c r="J6789" s="1" t="s">
        <v>630</v>
      </c>
      <c r="K6789" s="1" t="s">
        <v>520</v>
      </c>
      <c r="L6789" s="1" t="s">
        <v>33625</v>
      </c>
      <c r="M6789" s="2" t="s">
        <v>12</v>
      </c>
      <c r="N6789" s="4">
        <f t="shared" si="1"/>
        <v>42884</v>
      </c>
      <c r="O6789" s="5" t="str">
        <f>IFERROR(__xludf.DUMMYFUNCTION("IF(REGEXMATCH(TRIM(I6789), ""^\d+\s*min""), ""Unclassified"", IF(I6789 = """", ""NR"", I6789))"),"TV-MA")</f>
        <v>TV-MA</v>
      </c>
      <c r="R6789" s="5" t="str">
        <f t="shared" si="2"/>
        <v>Forever Pure</v>
      </c>
      <c r="S6789" s="5" t="str">
        <f>IFERROR(__xludf.DUMMYFUNCTION("""COMPUTED_VALUE"""),"Tellur Aliens")</f>
        <v>Tellur Aliens</v>
      </c>
      <c r="V6789" s="5"/>
      <c r="Y6789" s="5" t="str">
        <f>IFERROR(__xludf.DUMMYFUNCTION("REGEXEXTRACT(J6789, ""^\d+"")"),"87")</f>
        <v>87</v>
      </c>
      <c r="Z6789" s="5" t="str">
        <f>IFERROR(__xludf.DUMMYFUNCTION("REGEXEXTRACT(J6789, ""[A-Za-z ]+$"")")," min")</f>
        <v> min</v>
      </c>
      <c r="AA6789" s="5" t="str">
        <f>IFERROR(__xludf.DUMMYFUNCTION("IF(REGEXMATCH(Z6789, ""Season""), ""TV Show"", ""Movie"")"),"Movie")</f>
        <v>Movie</v>
      </c>
    </row>
    <row r="6790">
      <c r="A6790" s="1" t="s">
        <v>33626</v>
      </c>
      <c r="B6790" s="1" t="s">
        <v>37</v>
      </c>
      <c r="C6790" s="1" t="s">
        <v>33627</v>
      </c>
      <c r="F6790" s="1" t="s">
        <v>96</v>
      </c>
      <c r="G6790" s="1" t="s">
        <v>27242</v>
      </c>
      <c r="H6790" s="1">
        <v>2011.0</v>
      </c>
      <c r="I6790" s="1" t="s">
        <v>42</v>
      </c>
      <c r="J6790" s="1" t="s">
        <v>51</v>
      </c>
      <c r="K6790" s="1" t="s">
        <v>402</v>
      </c>
      <c r="L6790" s="1" t="s">
        <v>33628</v>
      </c>
      <c r="M6790" s="2" t="s">
        <v>12</v>
      </c>
      <c r="N6790" s="4">
        <f t="shared" si="1"/>
        <v>42996</v>
      </c>
      <c r="O6790" s="5" t="str">
        <f>IFERROR(__xludf.DUMMYFUNCTION("IF(REGEXMATCH(TRIM(I6790), ""^\d+\s*min""), ""Unclassified"", IF(I6790 = """", ""NR"", I6790))"),"TV-MA")</f>
        <v>TV-MA</v>
      </c>
      <c r="R6790" s="5" t="str">
        <f t="shared" si="2"/>
        <v>Forget Me Not</v>
      </c>
      <c r="S6790" s="5" t="str">
        <f>IFERROR(__xludf.DUMMYFUNCTION("""COMPUTED_VALUE"""),"Temple")</f>
        <v>Temple</v>
      </c>
      <c r="V6790" s="5"/>
      <c r="Y6790" s="5" t="str">
        <f>IFERROR(__xludf.DUMMYFUNCTION("REGEXEXTRACT(J6790, ""^\d+"")"),"1")</f>
        <v>1</v>
      </c>
      <c r="Z6790" s="5" t="str">
        <f>IFERROR(__xludf.DUMMYFUNCTION("REGEXEXTRACT(J6790, ""[A-Za-z ]+$"")")," Season")</f>
        <v> Season</v>
      </c>
      <c r="AA6790" s="5" t="str">
        <f>IFERROR(__xludf.DUMMYFUNCTION("IF(REGEXMATCH(Z6790, ""Season""), ""TV Show"", ""Movie"")"),"TV Show")</f>
        <v>TV Show</v>
      </c>
    </row>
    <row r="6791">
      <c r="A6791" s="1" t="s">
        <v>33629</v>
      </c>
      <c r="B6791" s="1" t="s">
        <v>27</v>
      </c>
      <c r="C6791" s="1" t="s">
        <v>33630</v>
      </c>
      <c r="D6791" s="1" t="s">
        <v>13529</v>
      </c>
      <c r="F6791" s="1" t="s">
        <v>30</v>
      </c>
      <c r="G6791" s="1" t="s">
        <v>18966</v>
      </c>
      <c r="H6791" s="1">
        <v>2011.0</v>
      </c>
      <c r="I6791" s="1" t="s">
        <v>78</v>
      </c>
      <c r="J6791" s="1" t="s">
        <v>322</v>
      </c>
      <c r="K6791" s="1" t="s">
        <v>34</v>
      </c>
      <c r="L6791" s="1" t="s">
        <v>33631</v>
      </c>
      <c r="M6791" s="2" t="s">
        <v>12</v>
      </c>
      <c r="N6791" s="4">
        <f t="shared" si="1"/>
        <v>43741</v>
      </c>
      <c r="O6791" s="5" t="str">
        <f>IFERROR(__xludf.DUMMYFUNCTION("IF(REGEXMATCH(TRIM(I6791), ""^\d+\s*min""), ""Unclassified"", IF(I6791 = """", ""NR"", I6791))"),"PG")</f>
        <v>PG</v>
      </c>
      <c r="R6791" s="5" t="str">
        <f t="shared" si="2"/>
        <v>Forks Over Knives</v>
      </c>
      <c r="S6791" s="5" t="str">
        <f>IFERROR(__xludf.DUMMYFUNCTION("""COMPUTED_VALUE"""),"Temporada De Caza")</f>
        <v>Temporada De Caza</v>
      </c>
      <c r="V6791" s="5"/>
      <c r="Y6791" s="5" t="str">
        <f>IFERROR(__xludf.DUMMYFUNCTION("REGEXEXTRACT(J6791, ""^\d+"")"),"96")</f>
        <v>96</v>
      </c>
      <c r="Z6791" s="5" t="str">
        <f>IFERROR(__xludf.DUMMYFUNCTION("REGEXEXTRACT(J6791, ""[A-Za-z ]+$"")")," min")</f>
        <v> min</v>
      </c>
      <c r="AA6791" s="5" t="str">
        <f>IFERROR(__xludf.DUMMYFUNCTION("IF(REGEXMATCH(Z6791, ""Season""), ""TV Show"", ""Movie"")"),"Movie")</f>
        <v>Movie</v>
      </c>
    </row>
    <row r="6792">
      <c r="A6792" s="1" t="s">
        <v>33632</v>
      </c>
      <c r="B6792" s="1" t="s">
        <v>27</v>
      </c>
      <c r="C6792" s="1" t="s">
        <v>33633</v>
      </c>
      <c r="D6792" s="1" t="s">
        <v>20821</v>
      </c>
      <c r="E6792" s="1" t="s">
        <v>33634</v>
      </c>
      <c r="F6792" s="1" t="s">
        <v>911</v>
      </c>
      <c r="G6792" s="1" t="s">
        <v>8506</v>
      </c>
      <c r="H6792" s="1">
        <v>2008.0</v>
      </c>
      <c r="I6792" s="1" t="s">
        <v>32</v>
      </c>
      <c r="J6792" s="1" t="s">
        <v>428</v>
      </c>
      <c r="K6792" s="1" t="s">
        <v>813</v>
      </c>
      <c r="L6792" s="1" t="s">
        <v>33635</v>
      </c>
      <c r="M6792" s="2" t="s">
        <v>12</v>
      </c>
      <c r="N6792" s="4">
        <f t="shared" si="1"/>
        <v>44197</v>
      </c>
      <c r="O6792" s="5" t="str">
        <f>IFERROR(__xludf.DUMMYFUNCTION("IF(REGEXMATCH(TRIM(I6792), ""^\d+\s*min""), ""Unclassified"", IF(I6792 = """", ""NR"", I6792))"),"PG-13")</f>
        <v>PG-13</v>
      </c>
      <c r="R6792" s="5" t="str">
        <f t="shared" si="2"/>
        <v>Four Christmases</v>
      </c>
      <c r="S6792" s="5" t="str">
        <f>IFERROR(__xludf.DUMMYFUNCTION("""COMPUTED_VALUE"""),"Ten Years")</f>
        <v>Ten Years</v>
      </c>
      <c r="V6792" s="5"/>
      <c r="Y6792" s="5" t="str">
        <f>IFERROR(__xludf.DUMMYFUNCTION("REGEXEXTRACT(J6792, ""^\d+"")"),"88")</f>
        <v>88</v>
      </c>
      <c r="Z6792" s="5" t="str">
        <f>IFERROR(__xludf.DUMMYFUNCTION("REGEXEXTRACT(J6792, ""[A-Za-z ]+$"")")," min")</f>
        <v> min</v>
      </c>
      <c r="AA6792" s="5" t="str">
        <f>IFERROR(__xludf.DUMMYFUNCTION("IF(REGEXMATCH(Z6792, ""Season""), ""TV Show"", ""Movie"")"),"Movie")</f>
        <v>Movie</v>
      </c>
    </row>
    <row r="6793">
      <c r="A6793" s="1" t="s">
        <v>33636</v>
      </c>
      <c r="B6793" s="1" t="s">
        <v>37</v>
      </c>
      <c r="C6793" s="1" t="s">
        <v>33637</v>
      </c>
      <c r="E6793" s="1" t="s">
        <v>33638</v>
      </c>
      <c r="F6793" s="1" t="s">
        <v>33639</v>
      </c>
      <c r="G6793" s="1" t="s">
        <v>28983</v>
      </c>
      <c r="H6793" s="1">
        <v>2016.0</v>
      </c>
      <c r="I6793" s="1" t="s">
        <v>42</v>
      </c>
      <c r="J6793" s="1" t="s">
        <v>51</v>
      </c>
      <c r="K6793" s="1" t="s">
        <v>785</v>
      </c>
      <c r="L6793" s="1" t="s">
        <v>33640</v>
      </c>
      <c r="M6793" s="2" t="s">
        <v>12</v>
      </c>
      <c r="N6793" s="4">
        <f t="shared" si="1"/>
        <v>42713</v>
      </c>
      <c r="O6793" s="5" t="str">
        <f>IFERROR(__xludf.DUMMYFUNCTION("IF(REGEXMATCH(TRIM(I6793), ""^\d+\s*min""), ""Unclassified"", IF(I6793 = """", ""NR"", I6793))"),"TV-MA")</f>
        <v>TV-MA</v>
      </c>
      <c r="R6793" s="5" t="str">
        <f t="shared" si="2"/>
        <v>Four Seasons In Havana</v>
      </c>
      <c r="S6793" s="5" t="str">
        <f>IFERROR(__xludf.DUMMYFUNCTION("""COMPUTED_VALUE"""),"Tenacious D In The Pick Of Destiny")</f>
        <v>Tenacious D In The Pick Of Destiny</v>
      </c>
      <c r="V6793" s="5"/>
      <c r="Y6793" s="5" t="str">
        <f>IFERROR(__xludf.DUMMYFUNCTION("REGEXEXTRACT(J6793, ""^\d+"")"),"1")</f>
        <v>1</v>
      </c>
      <c r="Z6793" s="5" t="str">
        <f>IFERROR(__xludf.DUMMYFUNCTION("REGEXEXTRACT(J6793, ""[A-Za-z ]+$"")")," Season")</f>
        <v> Season</v>
      </c>
      <c r="AA6793" s="5" t="str">
        <f>IFERROR(__xludf.DUMMYFUNCTION("IF(REGEXMATCH(Z6793, ""Season""), ""TV Show"", ""Movie"")"),"TV Show")</f>
        <v>TV Show</v>
      </c>
    </row>
    <row r="6794">
      <c r="A6794" s="1" t="s">
        <v>33641</v>
      </c>
      <c r="B6794" s="1" t="s">
        <v>27</v>
      </c>
      <c r="C6794" s="1" t="s">
        <v>33642</v>
      </c>
      <c r="D6794" s="1" t="s">
        <v>16071</v>
      </c>
      <c r="E6794" s="1" t="s">
        <v>33643</v>
      </c>
      <c r="F6794" s="1" t="s">
        <v>96</v>
      </c>
      <c r="G6794" s="1" t="s">
        <v>19813</v>
      </c>
      <c r="H6794" s="1">
        <v>1994.0</v>
      </c>
      <c r="I6794" s="1" t="s">
        <v>378</v>
      </c>
      <c r="J6794" s="1" t="s">
        <v>870</v>
      </c>
      <c r="K6794" s="1" t="s">
        <v>32367</v>
      </c>
      <c r="L6794" s="1" t="s">
        <v>33644</v>
      </c>
      <c r="M6794" s="2" t="s">
        <v>12</v>
      </c>
      <c r="N6794" s="4">
        <f t="shared" si="1"/>
        <v>43678</v>
      </c>
      <c r="O6794" s="5" t="str">
        <f>IFERROR(__xludf.DUMMYFUNCTION("IF(REGEXMATCH(TRIM(I6794), ""^\d+\s*min""), ""Unclassified"", IF(I6794 = """", ""NR"", I6794))"),"R")</f>
        <v>R</v>
      </c>
      <c r="R6794" s="5" t="str">
        <f t="shared" si="2"/>
        <v>Four Weddings And A Funeral</v>
      </c>
      <c r="S6794" s="5" t="str">
        <f>IFERROR(__xludf.DUMMYFUNCTION("""COMPUTED_VALUE"""),"Tere Naal Love Ho Gaya")</f>
        <v>Tere Naal Love Ho Gaya</v>
      </c>
      <c r="V6794" s="5"/>
      <c r="Y6794" s="5" t="str">
        <f>IFERROR(__xludf.DUMMYFUNCTION("REGEXEXTRACT(J6794, ""^\d+"")"),"118")</f>
        <v>118</v>
      </c>
      <c r="Z6794" s="5" t="str">
        <f>IFERROR(__xludf.DUMMYFUNCTION("REGEXEXTRACT(J6794, ""[A-Za-z ]+$"")")," min")</f>
        <v> min</v>
      </c>
      <c r="AA6794" s="5" t="str">
        <f>IFERROR(__xludf.DUMMYFUNCTION("IF(REGEXMATCH(Z6794, ""Season""), ""TV Show"", ""Movie"")"),"Movie")</f>
        <v>Movie</v>
      </c>
    </row>
    <row r="6795">
      <c r="A6795" s="1" t="s">
        <v>33645</v>
      </c>
      <c r="B6795" s="1" t="s">
        <v>27</v>
      </c>
      <c r="C6795" s="1" t="s">
        <v>33646</v>
      </c>
      <c r="D6795" s="1" t="s">
        <v>8721</v>
      </c>
      <c r="E6795" s="1" t="s">
        <v>33647</v>
      </c>
      <c r="F6795" s="1" t="s">
        <v>1205</v>
      </c>
      <c r="G6795" s="1" t="s">
        <v>21360</v>
      </c>
      <c r="H6795" s="1">
        <v>2007.0</v>
      </c>
      <c r="I6795" s="1" t="s">
        <v>378</v>
      </c>
      <c r="J6795" s="1" t="s">
        <v>519</v>
      </c>
      <c r="K6795" s="1" t="s">
        <v>394</v>
      </c>
      <c r="L6795" s="1" t="s">
        <v>33648</v>
      </c>
      <c r="M6795" s="2" t="s">
        <v>12</v>
      </c>
      <c r="N6795" s="4">
        <f t="shared" si="1"/>
        <v>43556</v>
      </c>
      <c r="O6795" s="5" t="str">
        <f>IFERROR(__xludf.DUMMYFUNCTION("IF(REGEXMATCH(TRIM(I6795), ""^\d+\s*min""), ""Unclassified"", IF(I6795 = """", ""NR"", I6795))"),"R")</f>
        <v>R</v>
      </c>
      <c r="R6795" s="5" t="str">
        <f t="shared" si="2"/>
        <v>Fracture</v>
      </c>
      <c r="S6795" s="5" t="str">
        <f>IFERROR(__xludf.DUMMYFUNCTION("""COMPUTED_VALUE"""),"Teresa")</f>
        <v>Teresa</v>
      </c>
      <c r="V6795" s="5"/>
      <c r="Y6795" s="5" t="str">
        <f>IFERROR(__xludf.DUMMYFUNCTION("REGEXEXTRACT(J6795, ""^\d+"")"),"113")</f>
        <v>113</v>
      </c>
      <c r="Z6795" s="5" t="str">
        <f>IFERROR(__xludf.DUMMYFUNCTION("REGEXEXTRACT(J6795, ""[A-Za-z ]+$"")")," min")</f>
        <v> min</v>
      </c>
      <c r="AA6795" s="5" t="str">
        <f>IFERROR(__xludf.DUMMYFUNCTION("IF(REGEXMATCH(Z6795, ""Season""), ""TV Show"", ""Movie"")"),"Movie")</f>
        <v>Movie</v>
      </c>
    </row>
    <row r="6796">
      <c r="A6796" s="1" t="s">
        <v>33649</v>
      </c>
      <c r="B6796" s="1" t="s">
        <v>27</v>
      </c>
      <c r="C6796" s="1" t="s">
        <v>33650</v>
      </c>
      <c r="D6796" s="1" t="s">
        <v>16989</v>
      </c>
      <c r="E6796" s="1" t="s">
        <v>33651</v>
      </c>
      <c r="F6796" s="1" t="s">
        <v>33652</v>
      </c>
      <c r="G6796" s="1" t="s">
        <v>27097</v>
      </c>
      <c r="H6796" s="1">
        <v>2012.0</v>
      </c>
      <c r="I6796" s="1" t="s">
        <v>378</v>
      </c>
      <c r="J6796" s="1" t="s">
        <v>1144</v>
      </c>
      <c r="K6796" s="1" t="s">
        <v>836</v>
      </c>
      <c r="L6796" s="1" t="s">
        <v>33653</v>
      </c>
      <c r="M6796" s="2" t="s">
        <v>12</v>
      </c>
      <c r="N6796" s="4">
        <f t="shared" si="1"/>
        <v>43009</v>
      </c>
      <c r="O6796" s="5" t="str">
        <f>IFERROR(__xludf.DUMMYFUNCTION("IF(REGEXMATCH(TRIM(I6796), ""^\d+\s*min""), ""Unclassified"", IF(I6796 = """", ""NR"", I6796))"),"R")</f>
        <v>R</v>
      </c>
      <c r="R6796" s="5" t="str">
        <f t="shared" si="2"/>
        <v>Frances Ha</v>
      </c>
      <c r="S6796" s="5" t="str">
        <f>IFERROR(__xludf.DUMMYFUNCTION("""COMPUTED_VALUE"""),"Term Life")</f>
        <v>Term Life</v>
      </c>
      <c r="V6796" s="5"/>
      <c r="Y6796" s="5" t="str">
        <f>IFERROR(__xludf.DUMMYFUNCTION("REGEXEXTRACT(J6796, ""^\d+"")"),"86")</f>
        <v>86</v>
      </c>
      <c r="Z6796" s="5" t="str">
        <f>IFERROR(__xludf.DUMMYFUNCTION("REGEXEXTRACT(J6796, ""[A-Za-z ]+$"")")," min")</f>
        <v> min</v>
      </c>
      <c r="AA6796" s="5" t="str">
        <f>IFERROR(__xludf.DUMMYFUNCTION("IF(REGEXMATCH(Z6796, ""Season""), ""TV Show"", ""Movie"")"),"Movie")</f>
        <v>Movie</v>
      </c>
    </row>
    <row r="6797">
      <c r="A6797" s="1" t="s">
        <v>33654</v>
      </c>
      <c r="B6797" s="1" t="s">
        <v>37</v>
      </c>
      <c r="C6797" s="1" t="s">
        <v>33655</v>
      </c>
      <c r="E6797" s="1" t="s">
        <v>33656</v>
      </c>
      <c r="F6797" s="1" t="s">
        <v>30</v>
      </c>
      <c r="H6797" s="1">
        <v>2003.0</v>
      </c>
      <c r="I6797" s="1" t="s">
        <v>136</v>
      </c>
      <c r="J6797" s="1" t="s">
        <v>32249</v>
      </c>
      <c r="K6797" s="1" t="s">
        <v>26463</v>
      </c>
      <c r="L6797" s="1" t="s">
        <v>33657</v>
      </c>
      <c r="M6797" s="2" t="s">
        <v>12</v>
      </c>
      <c r="N6797" s="1" t="str">
        <f t="shared" si="1"/>
        <v>#VALUE!</v>
      </c>
      <c r="O6797" s="5" t="str">
        <f>IFERROR(__xludf.DUMMYFUNCTION("IF(REGEXMATCH(TRIM(I6797), ""^\d+\s*min""), ""Unclassified"", IF(I6797 = """", ""NR"", I6797))"),"TV-PG")</f>
        <v>TV-PG</v>
      </c>
      <c r="R6797" s="5" t="str">
        <f t="shared" si="2"/>
        <v>Frasier</v>
      </c>
      <c r="S6797" s="5" t="str">
        <f>IFERROR(__xludf.DUMMYFUNCTION("""COMPUTED_VALUE"""),"Terminator 3: Rise Of The Machines")</f>
        <v>Terminator 3: Rise Of The Machines</v>
      </c>
      <c r="V6797" s="5"/>
      <c r="Y6797" s="5" t="str">
        <f>IFERROR(__xludf.DUMMYFUNCTION("REGEXEXTRACT(J6797, ""^\d+"")"),"11")</f>
        <v>11</v>
      </c>
      <c r="Z6797" s="5" t="str">
        <f>IFERROR(__xludf.DUMMYFUNCTION("REGEXEXTRACT(J6797, ""[A-Za-z ]+$"")")," Seasons")</f>
        <v> Seasons</v>
      </c>
      <c r="AA6797" s="5" t="str">
        <f>IFERROR(__xludf.DUMMYFUNCTION("IF(REGEXMATCH(Z6797, ""Season""), ""TV Show"", ""Movie"")"),"TV Show")</f>
        <v>TV Show</v>
      </c>
    </row>
    <row r="6798">
      <c r="A6798" s="1" t="s">
        <v>33658</v>
      </c>
      <c r="B6798" s="1" t="s">
        <v>27</v>
      </c>
      <c r="C6798" s="1" t="s">
        <v>33659</v>
      </c>
      <c r="D6798" s="1" t="s">
        <v>22961</v>
      </c>
      <c r="E6798" s="1" t="s">
        <v>33660</v>
      </c>
      <c r="F6798" s="1" t="s">
        <v>30</v>
      </c>
      <c r="G6798" s="1" t="s">
        <v>12205</v>
      </c>
      <c r="H6798" s="1">
        <v>2018.0</v>
      </c>
      <c r="I6798" s="1" t="s">
        <v>42</v>
      </c>
      <c r="J6798" s="1" t="s">
        <v>79</v>
      </c>
      <c r="K6798" s="1" t="s">
        <v>836</v>
      </c>
      <c r="L6798" s="1" t="s">
        <v>33661</v>
      </c>
      <c r="M6798" s="2" t="s">
        <v>12</v>
      </c>
      <c r="N6798" s="4">
        <f t="shared" si="1"/>
        <v>44056</v>
      </c>
      <c r="O6798" s="5" t="str">
        <f>IFERROR(__xludf.DUMMYFUNCTION("IF(REGEXMATCH(TRIM(I6798), ""^\d+\s*min""), ""Unclassified"", IF(I6798 = """", ""NR"", I6798))"),"TV-MA")</f>
        <v>TV-MA</v>
      </c>
      <c r="R6798" s="5" t="str">
        <f t="shared" si="2"/>
        <v>Freak Show</v>
      </c>
      <c r="S6798" s="5" t="str">
        <f>IFERROR(__xludf.DUMMYFUNCTION("""COMPUTED_VALUE"""),"Terminator Salvation")</f>
        <v>Terminator Salvation</v>
      </c>
      <c r="V6798" s="5"/>
      <c r="Y6798" s="5" t="str">
        <f>IFERROR(__xludf.DUMMYFUNCTION("REGEXEXTRACT(J6798, ""^\d+"")"),"91")</f>
        <v>91</v>
      </c>
      <c r="Z6798" s="5" t="str">
        <f>IFERROR(__xludf.DUMMYFUNCTION("REGEXEXTRACT(J6798, ""[A-Za-z ]+$"")")," min")</f>
        <v> min</v>
      </c>
      <c r="AA6798" s="5" t="str">
        <f>IFERROR(__xludf.DUMMYFUNCTION("IF(REGEXMATCH(Z6798, ""Season""), ""TV Show"", ""Movie"")"),"Movie")</f>
        <v>Movie</v>
      </c>
    </row>
    <row r="6799">
      <c r="A6799" s="1" t="s">
        <v>33662</v>
      </c>
      <c r="B6799" s="1" t="s">
        <v>27</v>
      </c>
      <c r="C6799" s="1" t="s">
        <v>33663</v>
      </c>
      <c r="D6799" s="1" t="s">
        <v>5889</v>
      </c>
      <c r="E6799" s="1" t="s">
        <v>33664</v>
      </c>
      <c r="F6799" s="1" t="s">
        <v>30</v>
      </c>
      <c r="G6799" s="1" t="s">
        <v>8506</v>
      </c>
      <c r="H6799" s="1">
        <v>2007.0</v>
      </c>
      <c r="I6799" s="1" t="s">
        <v>78</v>
      </c>
      <c r="J6799" s="1" t="s">
        <v>379</v>
      </c>
      <c r="K6799" s="1" t="s">
        <v>137</v>
      </c>
      <c r="L6799" s="1" t="s">
        <v>33665</v>
      </c>
      <c r="M6799" s="2" t="s">
        <v>12</v>
      </c>
      <c r="N6799" s="4">
        <f t="shared" si="1"/>
        <v>44197</v>
      </c>
      <c r="O6799" s="5" t="str">
        <f>IFERROR(__xludf.DUMMYFUNCTION("IF(REGEXMATCH(TRIM(I6799), ""^\d+\s*min""), ""Unclassified"", IF(I6799 = """", ""NR"", I6799))"),"PG")</f>
        <v>PG</v>
      </c>
      <c r="R6799" s="5" t="str">
        <f t="shared" si="2"/>
        <v>Fred Claus</v>
      </c>
      <c r="S6799" s="5" t="str">
        <f>IFERROR(__xludf.DUMMYFUNCTION("""COMPUTED_VALUE"""),"Terra")</f>
        <v>Terra</v>
      </c>
      <c r="V6799" s="5"/>
      <c r="Y6799" s="5" t="str">
        <f>IFERROR(__xludf.DUMMYFUNCTION("REGEXEXTRACT(J6799, ""^\d+"")"),"115")</f>
        <v>115</v>
      </c>
      <c r="Z6799" s="5" t="str">
        <f>IFERROR(__xludf.DUMMYFUNCTION("REGEXEXTRACT(J6799, ""[A-Za-z ]+$"")")," min")</f>
        <v> min</v>
      </c>
      <c r="AA6799" s="5" t="str">
        <f>IFERROR(__xludf.DUMMYFUNCTION("IF(REGEXMATCH(Z6799, ""Season""), ""TV Show"", ""Movie"")"),"Movie")</f>
        <v>Movie</v>
      </c>
    </row>
    <row r="6800">
      <c r="A6800" s="1" t="s">
        <v>33666</v>
      </c>
      <c r="B6800" s="1" t="s">
        <v>27</v>
      </c>
      <c r="C6800" s="1" t="s">
        <v>33667</v>
      </c>
      <c r="D6800" s="1" t="s">
        <v>970</v>
      </c>
      <c r="E6800" s="1" t="s">
        <v>33668</v>
      </c>
      <c r="F6800" s="1" t="s">
        <v>33669</v>
      </c>
      <c r="G6800" s="1" t="s">
        <v>16947</v>
      </c>
      <c r="H6800" s="1">
        <v>1993.0</v>
      </c>
      <c r="I6800" s="1" t="s">
        <v>78</v>
      </c>
      <c r="J6800" s="1" t="s">
        <v>1243</v>
      </c>
      <c r="K6800" s="1" t="s">
        <v>771</v>
      </c>
      <c r="L6800" s="1" t="s">
        <v>33670</v>
      </c>
      <c r="M6800" s="2" t="s">
        <v>12</v>
      </c>
      <c r="N6800" s="4">
        <f t="shared" si="1"/>
        <v>43831</v>
      </c>
      <c r="O6800" s="5" t="str">
        <f>IFERROR(__xludf.DUMMYFUNCTION("IF(REGEXMATCH(TRIM(I6800), ""^\d+\s*min""), ""Unclassified"", IF(I6800 = """", ""NR"", I6800))"),"PG")</f>
        <v>PG</v>
      </c>
      <c r="R6800" s="5" t="str">
        <f t="shared" si="2"/>
        <v>Free Willy</v>
      </c>
      <c r="S6800" s="5" t="str">
        <f>IFERROR(__xludf.DUMMYFUNCTION("""COMPUTED_VALUE"""),"Terrace House: Aloha State")</f>
        <v>Terrace House: Aloha State</v>
      </c>
      <c r="V6800" s="5"/>
      <c r="Y6800" s="5" t="str">
        <f>IFERROR(__xludf.DUMMYFUNCTION("REGEXEXTRACT(J6800, ""^\d+"")"),"112")</f>
        <v>112</v>
      </c>
      <c r="Z6800" s="5" t="str">
        <f>IFERROR(__xludf.DUMMYFUNCTION("REGEXEXTRACT(J6800, ""[A-Za-z ]+$"")")," min")</f>
        <v> min</v>
      </c>
      <c r="AA6800" s="5" t="str">
        <f>IFERROR(__xludf.DUMMYFUNCTION("IF(REGEXMATCH(Z6800, ""Season""), ""TV Show"", ""Movie"")"),"Movie")</f>
        <v>Movie</v>
      </c>
    </row>
    <row r="6801">
      <c r="A6801" s="1" t="s">
        <v>33671</v>
      </c>
      <c r="B6801" s="1" t="s">
        <v>27</v>
      </c>
      <c r="C6801" s="1" t="s">
        <v>33672</v>
      </c>
      <c r="D6801" s="1" t="s">
        <v>14556</v>
      </c>
      <c r="E6801" s="1" t="s">
        <v>33673</v>
      </c>
      <c r="F6801" s="1" t="s">
        <v>33674</v>
      </c>
      <c r="G6801" s="1" t="s">
        <v>26596</v>
      </c>
      <c r="H6801" s="1">
        <v>2015.0</v>
      </c>
      <c r="I6801" s="1" t="s">
        <v>378</v>
      </c>
      <c r="J6801" s="1" t="s">
        <v>238</v>
      </c>
      <c r="K6801" s="1" t="s">
        <v>34</v>
      </c>
      <c r="L6801" s="1" t="s">
        <v>33675</v>
      </c>
      <c r="M6801" s="2" t="s">
        <v>12</v>
      </c>
      <c r="N6801" s="4">
        <f t="shared" si="1"/>
        <v>43084</v>
      </c>
      <c r="O6801" s="5" t="str">
        <f>IFERROR(__xludf.DUMMYFUNCTION("IF(REGEXMATCH(TRIM(I6801), ""^\d+\s*min""), ""Unclassified"", IF(I6801 = """", ""NR"", I6801))"),"R")</f>
        <v>R</v>
      </c>
      <c r="R6801" s="5" t="str">
        <f t="shared" si="2"/>
        <v>Freeway: Crack In The System</v>
      </c>
      <c r="S6801" s="5" t="str">
        <f>IFERROR(__xludf.DUMMYFUNCTION("""COMPUTED_VALUE"""),"Terrace House: Boys &amp; Girls In The City")</f>
        <v>Terrace House: Boys &amp; Girls In The City</v>
      </c>
      <c r="V6801" s="5"/>
      <c r="Y6801" s="5" t="str">
        <f>IFERROR(__xludf.DUMMYFUNCTION("REGEXEXTRACT(J6801, ""^\d+"")"),"103")</f>
        <v>103</v>
      </c>
      <c r="Z6801" s="5" t="str">
        <f>IFERROR(__xludf.DUMMYFUNCTION("REGEXEXTRACT(J6801, ""[A-Za-z ]+$"")")," min")</f>
        <v> min</v>
      </c>
      <c r="AA6801" s="5" t="str">
        <f>IFERROR(__xludf.DUMMYFUNCTION("IF(REGEXMATCH(Z6801, ""Season""), ""TV Show"", ""Movie"")"),"Movie")</f>
        <v>Movie</v>
      </c>
    </row>
    <row r="6802">
      <c r="A6802" s="1" t="s">
        <v>33676</v>
      </c>
      <c r="B6802" s="1" t="s">
        <v>27</v>
      </c>
      <c r="C6802" s="1" t="s">
        <v>33677</v>
      </c>
      <c r="D6802" s="1" t="s">
        <v>13776</v>
      </c>
      <c r="E6802" s="1" t="s">
        <v>33678</v>
      </c>
      <c r="F6802" s="1" t="s">
        <v>3309</v>
      </c>
      <c r="G6802" s="1" t="s">
        <v>20510</v>
      </c>
      <c r="H6802" s="1">
        <v>2016.0</v>
      </c>
      <c r="I6802" s="1" t="s">
        <v>42</v>
      </c>
      <c r="J6802" s="1" t="s">
        <v>349</v>
      </c>
      <c r="K6802" s="1" t="s">
        <v>199</v>
      </c>
      <c r="L6802" s="1" t="s">
        <v>33679</v>
      </c>
      <c r="M6802" s="2" t="s">
        <v>12</v>
      </c>
      <c r="N6802" s="4">
        <f t="shared" si="1"/>
        <v>43622</v>
      </c>
      <c r="O6802" s="5" t="str">
        <f>IFERROR(__xludf.DUMMYFUNCTION("IF(REGEXMATCH(TRIM(I6802), ""^\d+\s*min""), ""Unclassified"", IF(I6802 = """", ""NR"", I6802))"),"TV-MA")</f>
        <v>TV-MA</v>
      </c>
      <c r="R6802" s="5" t="str">
        <f t="shared" si="2"/>
        <v>Freezer'S Campaign</v>
      </c>
      <c r="S6802" s="5" t="str">
        <f>IFERROR(__xludf.DUMMYFUNCTION("""COMPUTED_VALUE"""),"Terrace House: Opening New Doors")</f>
        <v>Terrace House: Opening New Doors</v>
      </c>
      <c r="V6802" s="5"/>
      <c r="Y6802" s="5" t="str">
        <f>IFERROR(__xludf.DUMMYFUNCTION("REGEXEXTRACT(J6802, ""^\d+"")"),"116")</f>
        <v>116</v>
      </c>
      <c r="Z6802" s="5" t="str">
        <f>IFERROR(__xludf.DUMMYFUNCTION("REGEXEXTRACT(J6802, ""[A-Za-z ]+$"")")," min")</f>
        <v> min</v>
      </c>
      <c r="AA6802" s="5" t="str">
        <f>IFERROR(__xludf.DUMMYFUNCTION("IF(REGEXMATCH(Z6802, ""Season""), ""TV Show"", ""Movie"")"),"Movie")</f>
        <v>Movie</v>
      </c>
    </row>
    <row r="6803">
      <c r="A6803" s="1" t="s">
        <v>33680</v>
      </c>
      <c r="B6803" s="1" t="s">
        <v>27</v>
      </c>
      <c r="C6803" s="1" t="s">
        <v>33681</v>
      </c>
      <c r="D6803" s="1" t="s">
        <v>23464</v>
      </c>
      <c r="E6803" s="1" t="s">
        <v>33682</v>
      </c>
      <c r="F6803" s="1" t="s">
        <v>30</v>
      </c>
      <c r="G6803" s="1" t="s">
        <v>33683</v>
      </c>
      <c r="H6803" s="1">
        <v>2015.0</v>
      </c>
      <c r="I6803" s="1" t="s">
        <v>42</v>
      </c>
      <c r="J6803" s="1" t="s">
        <v>4699</v>
      </c>
      <c r="K6803" s="1" t="s">
        <v>1320</v>
      </c>
      <c r="L6803" s="1" t="s">
        <v>33684</v>
      </c>
      <c r="M6803" s="2" t="s">
        <v>12</v>
      </c>
      <c r="N6803" s="4">
        <f t="shared" si="1"/>
        <v>42404</v>
      </c>
      <c r="O6803" s="5" t="str">
        <f>IFERROR(__xludf.DUMMYFUNCTION("IF(REGEXMATCH(TRIM(I6803), ""^\d+\s*min""), ""Unclassified"", IF(I6803 = """", ""NR"", I6803))"),"TV-MA")</f>
        <v>TV-MA</v>
      </c>
      <c r="R6803" s="5" t="str">
        <f t="shared" si="2"/>
        <v>French Dirty</v>
      </c>
      <c r="S6803" s="5" t="str">
        <f>IFERROR(__xludf.DUMMYFUNCTION("""COMPUTED_VALUE"""),"Terrace House: Tokyo 2019-2020")</f>
        <v>Terrace House: Tokyo 2019-2020</v>
      </c>
      <c r="V6803" s="5"/>
      <c r="Y6803" s="5" t="str">
        <f>IFERROR(__xludf.DUMMYFUNCTION("REGEXEXTRACT(J6803, ""^\d+"")"),"72")</f>
        <v>72</v>
      </c>
      <c r="Z6803" s="5" t="str">
        <f>IFERROR(__xludf.DUMMYFUNCTION("REGEXEXTRACT(J6803, ""[A-Za-z ]+$"")")," min")</f>
        <v> min</v>
      </c>
      <c r="AA6803" s="5" t="str">
        <f>IFERROR(__xludf.DUMMYFUNCTION("IF(REGEXMATCH(Z6803, ""Season""), ""TV Show"", ""Movie"")"),"Movie")</f>
        <v>Movie</v>
      </c>
    </row>
    <row r="6804">
      <c r="A6804" s="1" t="s">
        <v>33685</v>
      </c>
      <c r="B6804" s="1" t="s">
        <v>27</v>
      </c>
      <c r="C6804" s="1" t="s">
        <v>33686</v>
      </c>
      <c r="D6804" s="1" t="s">
        <v>12027</v>
      </c>
      <c r="E6804" s="1" t="s">
        <v>33687</v>
      </c>
      <c r="F6804" s="1" t="s">
        <v>30</v>
      </c>
      <c r="G6804" s="1" t="s">
        <v>15905</v>
      </c>
      <c r="H6804" s="1">
        <v>2019.0</v>
      </c>
      <c r="I6804" s="1" t="s">
        <v>136</v>
      </c>
      <c r="J6804" s="1" t="s">
        <v>106</v>
      </c>
      <c r="K6804" s="1" t="s">
        <v>1198</v>
      </c>
      <c r="L6804" s="1" t="s">
        <v>33688</v>
      </c>
      <c r="M6804" s="2" t="s">
        <v>12</v>
      </c>
      <c r="N6804" s="4">
        <f t="shared" si="1"/>
        <v>43893</v>
      </c>
      <c r="O6804" s="5" t="str">
        <f>IFERROR(__xludf.DUMMYFUNCTION("IF(REGEXMATCH(TRIM(I6804), ""^\d+\s*min""), ""Unclassified"", IF(I6804 = """", ""NR"", I6804))"),"TV-PG")</f>
        <v>TV-PG</v>
      </c>
      <c r="R6804" s="5" t="str">
        <f t="shared" si="2"/>
        <v>Freshman Year</v>
      </c>
      <c r="S6804" s="5" t="str">
        <f>IFERROR(__xludf.DUMMYFUNCTION("""COMPUTED_VALUE"""),"Terrifier")</f>
        <v>Terrifier</v>
      </c>
      <c r="V6804" s="5"/>
      <c r="Y6804" s="5" t="str">
        <f>IFERROR(__xludf.DUMMYFUNCTION("REGEXEXTRACT(J6804, ""^\d+"")"),"104")</f>
        <v>104</v>
      </c>
      <c r="Z6804" s="5" t="str">
        <f>IFERROR(__xludf.DUMMYFUNCTION("REGEXEXTRACT(J6804, ""[A-Za-z ]+$"")")," min")</f>
        <v> min</v>
      </c>
      <c r="AA6804" s="5" t="str">
        <f>IFERROR(__xludf.DUMMYFUNCTION("IF(REGEXMATCH(Z6804, ""Season""), ""TV Show"", ""Movie"")"),"Movie")</f>
        <v>Movie</v>
      </c>
    </row>
    <row r="6805">
      <c r="A6805" s="1" t="s">
        <v>33689</v>
      </c>
      <c r="B6805" s="1" t="s">
        <v>37</v>
      </c>
      <c r="C6805" s="1" t="s">
        <v>33690</v>
      </c>
      <c r="F6805" s="1" t="s">
        <v>30</v>
      </c>
      <c r="G6805" s="1" t="s">
        <v>26399</v>
      </c>
      <c r="H6805" s="1">
        <v>2017.0</v>
      </c>
      <c r="I6805" s="1" t="s">
        <v>136</v>
      </c>
      <c r="J6805" s="1" t="s">
        <v>148</v>
      </c>
      <c r="K6805" s="1" t="s">
        <v>57</v>
      </c>
      <c r="L6805" s="1" t="s">
        <v>33691</v>
      </c>
      <c r="M6805" s="2" t="s">
        <v>12</v>
      </c>
      <c r="N6805" s="4">
        <f t="shared" si="1"/>
        <v>43117</v>
      </c>
      <c r="O6805" s="5" t="str">
        <f>IFERROR(__xludf.DUMMYFUNCTION("IF(REGEXMATCH(TRIM(I6805), ""^\d+\s*min""), ""Unclassified"", IF(I6805 = """", ""NR"", I6805))"),"TV-PG")</f>
        <v>TV-PG</v>
      </c>
      <c r="R6805" s="5" t="str">
        <f t="shared" si="2"/>
        <v>Friday Night Tykes</v>
      </c>
      <c r="S6805" s="5" t="str">
        <f>IFERROR(__xludf.DUMMYFUNCTION("""COMPUTED_VALUE"""),"Terrorism Close Calls")</f>
        <v>Terrorism Close Calls</v>
      </c>
      <c r="V6805" s="5"/>
      <c r="Y6805" s="5" t="str">
        <f>IFERROR(__xludf.DUMMYFUNCTION("REGEXEXTRACT(J6805, ""^\d+"")"),"4")</f>
        <v>4</v>
      </c>
      <c r="Z6805" s="5" t="str">
        <f>IFERROR(__xludf.DUMMYFUNCTION("REGEXEXTRACT(J6805, ""[A-Za-z ]+$"")")," Seasons")</f>
        <v> Seasons</v>
      </c>
      <c r="AA6805" s="5" t="str">
        <f>IFERROR(__xludf.DUMMYFUNCTION("IF(REGEXMATCH(Z6805, ""Season""), ""TV Show"", ""Movie"")"),"TV Show")</f>
        <v>TV Show</v>
      </c>
    </row>
    <row r="6806">
      <c r="A6806" s="1" t="s">
        <v>33692</v>
      </c>
      <c r="B6806" s="1" t="s">
        <v>27</v>
      </c>
      <c r="C6806" s="1" t="s">
        <v>33693</v>
      </c>
      <c r="D6806" s="1" t="s">
        <v>14646</v>
      </c>
      <c r="E6806" s="1" t="s">
        <v>33694</v>
      </c>
      <c r="F6806" s="1" t="s">
        <v>30</v>
      </c>
      <c r="G6806" s="1" t="s">
        <v>16947</v>
      </c>
      <c r="H6806" s="1">
        <v>2009.0</v>
      </c>
      <c r="I6806" s="1" t="s">
        <v>378</v>
      </c>
      <c r="J6806" s="1" t="s">
        <v>247</v>
      </c>
      <c r="K6806" s="1" t="s">
        <v>1551</v>
      </c>
      <c r="L6806" s="1" t="s">
        <v>33695</v>
      </c>
      <c r="M6806" s="2" t="s">
        <v>12</v>
      </c>
      <c r="N6806" s="4">
        <f t="shared" si="1"/>
        <v>43831</v>
      </c>
      <c r="O6806" s="5" t="str">
        <f>IFERROR(__xludf.DUMMYFUNCTION("IF(REGEXMATCH(TRIM(I6806), ""^\d+\s*min""), ""Unclassified"", IF(I6806 = """", ""NR"", I6806))"),"R")</f>
        <v>R</v>
      </c>
      <c r="R6806" s="5" t="str">
        <f t="shared" si="2"/>
        <v>Friday The 13Th</v>
      </c>
      <c r="S6806" s="5" t="str">
        <f>IFERROR(__xludf.DUMMYFUNCTION("""COMPUTED_VALUE"""),"Tersanjung The Movie")</f>
        <v>Tersanjung The Movie</v>
      </c>
      <c r="V6806" s="5"/>
      <c r="Y6806" s="5" t="str">
        <f>IFERROR(__xludf.DUMMYFUNCTION("REGEXEXTRACT(J6806, ""^\d+"")"),"97")</f>
        <v>97</v>
      </c>
      <c r="Z6806" s="5" t="str">
        <f>IFERROR(__xludf.DUMMYFUNCTION("REGEXEXTRACT(J6806, ""[A-Za-z ]+$"")")," min")</f>
        <v> min</v>
      </c>
      <c r="AA6806" s="5" t="str">
        <f>IFERROR(__xludf.DUMMYFUNCTION("IF(REGEXMATCH(Z6806, ""Season""), ""TV Show"", ""Movie"")"),"Movie")</f>
        <v>Movie</v>
      </c>
    </row>
    <row r="6807">
      <c r="A6807" s="1" t="s">
        <v>33696</v>
      </c>
      <c r="B6807" s="1" t="s">
        <v>27</v>
      </c>
      <c r="C6807" s="1" t="s">
        <v>33697</v>
      </c>
      <c r="D6807" s="1" t="s">
        <v>21236</v>
      </c>
      <c r="E6807" s="1" t="s">
        <v>33698</v>
      </c>
      <c r="F6807" s="1" t="s">
        <v>2492</v>
      </c>
      <c r="G6807" s="1" t="s">
        <v>33699</v>
      </c>
      <c r="H6807" s="1">
        <v>2016.0</v>
      </c>
      <c r="I6807" s="1" t="s">
        <v>378</v>
      </c>
      <c r="J6807" s="1" t="s">
        <v>665</v>
      </c>
      <c r="K6807" s="1" t="s">
        <v>1441</v>
      </c>
      <c r="L6807" s="1" t="s">
        <v>33700</v>
      </c>
      <c r="M6807" s="2" t="s">
        <v>12</v>
      </c>
      <c r="N6807" s="4">
        <f t="shared" si="1"/>
        <v>43208</v>
      </c>
      <c r="O6807" s="5" t="str">
        <f>IFERROR(__xludf.DUMMYFUNCTION("IF(REGEXMATCH(TRIM(I6807), ""^\d+\s*min""), ""Unclassified"", IF(I6807 = """", ""NR"", I6807))"),"R")</f>
        <v>R</v>
      </c>
      <c r="R6807" s="5" t="str">
        <f t="shared" si="2"/>
        <v>Friend Request</v>
      </c>
      <c r="S6807" s="5" t="str">
        <f>IFERROR(__xludf.DUMMYFUNCTION("""COMPUTED_VALUE"""),"Teshan")</f>
        <v>Teshan</v>
      </c>
      <c r="V6807" s="5"/>
      <c r="Y6807" s="5" t="str">
        <f>IFERROR(__xludf.DUMMYFUNCTION("REGEXEXTRACT(J6807, ""^\d+"")"),"92")</f>
        <v>92</v>
      </c>
      <c r="Z6807" s="5" t="str">
        <f>IFERROR(__xludf.DUMMYFUNCTION("REGEXEXTRACT(J6807, ""[A-Za-z ]+$"")")," min")</f>
        <v> min</v>
      </c>
      <c r="AA6807" s="5" t="str">
        <f>IFERROR(__xludf.DUMMYFUNCTION("IF(REGEXMATCH(Z6807, ""Season""), ""TV Show"", ""Movie"")"),"Movie")</f>
        <v>Movie</v>
      </c>
    </row>
    <row r="6808">
      <c r="A6808" s="1" t="s">
        <v>33701</v>
      </c>
      <c r="B6808" s="1" t="s">
        <v>37</v>
      </c>
      <c r="C6808" s="1" t="s">
        <v>33702</v>
      </c>
      <c r="E6808" s="1" t="s">
        <v>33703</v>
      </c>
      <c r="F6808" s="1" t="s">
        <v>30</v>
      </c>
      <c r="H6808" s="1">
        <v>2003.0</v>
      </c>
      <c r="I6808" s="1" t="s">
        <v>97</v>
      </c>
      <c r="J6808" s="1" t="s">
        <v>2526</v>
      </c>
      <c r="K6808" s="1" t="s">
        <v>26463</v>
      </c>
      <c r="L6808" s="1" t="s">
        <v>33704</v>
      </c>
      <c r="M6808" s="2" t="s">
        <v>12</v>
      </c>
      <c r="N6808" s="1" t="str">
        <f t="shared" si="1"/>
        <v>#VALUE!</v>
      </c>
      <c r="O6808" s="5" t="str">
        <f>IFERROR(__xludf.DUMMYFUNCTION("IF(REGEXMATCH(TRIM(I6808), ""^\d+\s*min""), ""Unclassified"", IF(I6808 = """", ""NR"", I6808))"),"TV-14")</f>
        <v>TV-14</v>
      </c>
      <c r="R6808" s="5" t="str">
        <f t="shared" si="2"/>
        <v>Friends</v>
      </c>
      <c r="S6808" s="5" t="str">
        <f>IFERROR(__xludf.DUMMYFUNCTION("""COMPUTED_VALUE"""),"Tezz")</f>
        <v>Tezz</v>
      </c>
      <c r="V6808" s="5"/>
      <c r="Y6808" s="5" t="str">
        <f>IFERROR(__xludf.DUMMYFUNCTION("REGEXEXTRACT(J6808, ""^\d+"")"),"10")</f>
        <v>10</v>
      </c>
      <c r="Z6808" s="5" t="str">
        <f>IFERROR(__xludf.DUMMYFUNCTION("REGEXEXTRACT(J6808, ""[A-Za-z ]+$"")")," Seasons")</f>
        <v> Seasons</v>
      </c>
      <c r="AA6808" s="5" t="str">
        <f>IFERROR(__xludf.DUMMYFUNCTION("IF(REGEXMATCH(Z6808, ""Season""), ""TV Show"", ""Movie"")"),"TV Show")</f>
        <v>TV Show</v>
      </c>
    </row>
    <row r="6809">
      <c r="A6809" s="1" t="s">
        <v>33705</v>
      </c>
      <c r="B6809" s="1" t="s">
        <v>27</v>
      </c>
      <c r="C6809" s="1" t="s">
        <v>33706</v>
      </c>
      <c r="D6809" s="1" t="s">
        <v>2720</v>
      </c>
      <c r="E6809" s="1" t="s">
        <v>33707</v>
      </c>
      <c r="F6809" s="1" t="s">
        <v>3309</v>
      </c>
      <c r="G6809" s="1" t="s">
        <v>20510</v>
      </c>
      <c r="H6809" s="1">
        <v>2017.0</v>
      </c>
      <c r="I6809" s="1" t="s">
        <v>97</v>
      </c>
      <c r="J6809" s="1" t="s">
        <v>454</v>
      </c>
      <c r="K6809" s="1" t="s">
        <v>2242</v>
      </c>
      <c r="L6809" s="1" t="s">
        <v>33708</v>
      </c>
      <c r="M6809" s="2" t="s">
        <v>12</v>
      </c>
      <c r="N6809" s="4">
        <f t="shared" si="1"/>
        <v>43622</v>
      </c>
      <c r="O6809" s="5" t="str">
        <f>IFERROR(__xludf.DUMMYFUNCTION("IF(REGEXMATCH(TRIM(I6809), ""^\d+\s*min""), ""Unclassified"", IF(I6809 = """", ""NR"", I6809))"),"TV-14")</f>
        <v>TV-14</v>
      </c>
      <c r="R6809" s="5" t="str">
        <f t="shared" si="2"/>
        <v>From Japan To Egypt</v>
      </c>
      <c r="S6809" s="5" t="str">
        <f>IFERROR(__xludf.DUMMYFUNCTION("""COMPUTED_VALUE"""),"Th Eena Meena Deeka Chase Comedy Show")</f>
        <v>Th Eena Meena Deeka Chase Comedy Show</v>
      </c>
      <c r="V6809" s="5"/>
      <c r="Y6809" s="5" t="str">
        <f>IFERROR(__xludf.DUMMYFUNCTION("REGEXEXTRACT(J6809, ""^\d+"")"),"93")</f>
        <v>93</v>
      </c>
      <c r="Z6809" s="5" t="str">
        <f>IFERROR(__xludf.DUMMYFUNCTION("REGEXEXTRACT(J6809, ""[A-Za-z ]+$"")")," min")</f>
        <v> min</v>
      </c>
      <c r="AA6809" s="5" t="str">
        <f>IFERROR(__xludf.DUMMYFUNCTION("IF(REGEXMATCH(Z6809, ""Season""), ""TV Show"", ""Movie"")"),"Movie")</f>
        <v>Movie</v>
      </c>
    </row>
    <row r="6810">
      <c r="A6810" s="1" t="s">
        <v>33709</v>
      </c>
      <c r="B6810" s="1" t="s">
        <v>27</v>
      </c>
      <c r="C6810" s="1" t="s">
        <v>33710</v>
      </c>
      <c r="D6810" s="1" t="s">
        <v>9455</v>
      </c>
      <c r="E6810" s="1" t="s">
        <v>33711</v>
      </c>
      <c r="F6810" s="1" t="s">
        <v>27127</v>
      </c>
      <c r="G6810" s="1" t="s">
        <v>11680</v>
      </c>
      <c r="H6810" s="1">
        <v>2010.0</v>
      </c>
      <c r="I6810" s="1" t="s">
        <v>378</v>
      </c>
      <c r="J6810" s="1" t="s">
        <v>454</v>
      </c>
      <c r="K6810" s="1" t="s">
        <v>1066</v>
      </c>
      <c r="L6810" s="1" t="s">
        <v>33712</v>
      </c>
      <c r="M6810" s="2" t="s">
        <v>12</v>
      </c>
      <c r="N6810" s="4">
        <f t="shared" si="1"/>
        <v>44082</v>
      </c>
      <c r="O6810" s="5" t="str">
        <f>IFERROR(__xludf.DUMMYFUNCTION("IF(REGEXMATCH(TRIM(I6810), ""^\d+\s*min""), ""Unclassified"", IF(I6810 = """", ""NR"", I6810))"),"R")</f>
        <v>R</v>
      </c>
      <c r="R6810" s="5" t="str">
        <f t="shared" si="2"/>
        <v>From Paris With Love</v>
      </c>
      <c r="S6810" s="5" t="str">
        <f>IFERROR(__xludf.DUMMYFUNCTION("""COMPUTED_VALUE"""),"Thaandavam")</f>
        <v>Thaandavam</v>
      </c>
      <c r="V6810" s="5"/>
      <c r="Y6810" s="5" t="str">
        <f>IFERROR(__xludf.DUMMYFUNCTION("REGEXEXTRACT(J6810, ""^\d+"")"),"93")</f>
        <v>93</v>
      </c>
      <c r="Z6810" s="5" t="str">
        <f>IFERROR(__xludf.DUMMYFUNCTION("REGEXEXTRACT(J6810, ""[A-Za-z ]+$"")")," min")</f>
        <v> min</v>
      </c>
      <c r="AA6810" s="5" t="str">
        <f>IFERROR(__xludf.DUMMYFUNCTION("IF(REGEXMATCH(Z6810, ""Season""), ""TV Show"", ""Movie"")"),"Movie")</f>
        <v>Movie</v>
      </c>
    </row>
    <row r="6811">
      <c r="A6811" s="1" t="s">
        <v>33713</v>
      </c>
      <c r="B6811" s="1" t="s">
        <v>27</v>
      </c>
      <c r="C6811" s="1" t="s">
        <v>33714</v>
      </c>
      <c r="D6811" s="1" t="s">
        <v>9188</v>
      </c>
      <c r="E6811" s="1" t="s">
        <v>33715</v>
      </c>
      <c r="F6811" s="1" t="s">
        <v>30</v>
      </c>
      <c r="G6811" s="1" t="s">
        <v>25097</v>
      </c>
      <c r="H6811" s="1">
        <v>2016.0</v>
      </c>
      <c r="I6811" s="1" t="s">
        <v>78</v>
      </c>
      <c r="J6811" s="1" t="s">
        <v>416</v>
      </c>
      <c r="K6811" s="1" t="s">
        <v>520</v>
      </c>
      <c r="L6811" s="1" t="s">
        <v>33716</v>
      </c>
      <c r="M6811" s="2" t="s">
        <v>12</v>
      </c>
      <c r="N6811" s="4">
        <f t="shared" si="1"/>
        <v>43296</v>
      </c>
      <c r="O6811" s="5" t="str">
        <f>IFERROR(__xludf.DUMMYFUNCTION("IF(REGEXMATCH(TRIM(I6811), ""^\d+\s*min""), ""Unclassified"", IF(I6811 = """", ""NR"", I6811))"),"PG")</f>
        <v>PG</v>
      </c>
      <c r="R6811" s="5" t="str">
        <f t="shared" si="2"/>
        <v>Froning: The Fittest Man In History</v>
      </c>
      <c r="S6811" s="5" t="str">
        <f>IFERROR(__xludf.DUMMYFUNCTION("""COMPUTED_VALUE"""),"Thackeray")</f>
        <v>Thackeray</v>
      </c>
      <c r="V6811" s="5"/>
      <c r="Y6811" s="5" t="str">
        <f>IFERROR(__xludf.DUMMYFUNCTION("REGEXEXTRACT(J6811, ""^\d+"")"),"99")</f>
        <v>99</v>
      </c>
      <c r="Z6811" s="5" t="str">
        <f>IFERROR(__xludf.DUMMYFUNCTION("REGEXEXTRACT(J6811, ""[A-Za-z ]+$"")")," min")</f>
        <v> min</v>
      </c>
      <c r="AA6811" s="5" t="str">
        <f>IFERROR(__xludf.DUMMYFUNCTION("IF(REGEXMATCH(Z6811, ""Season""), ""TV Show"", ""Movie"")"),"Movie")</f>
        <v>Movie</v>
      </c>
    </row>
    <row r="6812">
      <c r="A6812" s="1" t="s">
        <v>33717</v>
      </c>
      <c r="B6812" s="1" t="s">
        <v>37</v>
      </c>
      <c r="C6812" s="1" t="s">
        <v>33718</v>
      </c>
      <c r="D6812" s="1" t="s">
        <v>892</v>
      </c>
      <c r="E6812" s="1" t="s">
        <v>5968</v>
      </c>
      <c r="F6812" s="1" t="s">
        <v>33719</v>
      </c>
      <c r="G6812" s="1" t="s">
        <v>33720</v>
      </c>
      <c r="H6812" s="1">
        <v>2011.0</v>
      </c>
      <c r="I6812" s="1" t="s">
        <v>136</v>
      </c>
      <c r="J6812" s="1" t="s">
        <v>51</v>
      </c>
      <c r="K6812" s="1" t="s">
        <v>544</v>
      </c>
      <c r="L6812" s="1" t="s">
        <v>33721</v>
      </c>
      <c r="M6812" s="2" t="s">
        <v>12</v>
      </c>
      <c r="N6812" s="4">
        <f t="shared" si="1"/>
        <v>42397</v>
      </c>
      <c r="O6812" s="5" t="str">
        <f>IFERROR(__xludf.DUMMYFUNCTION("IF(REGEXMATCH(TRIM(I6812), ""^\d+\s*min""), ""Unclassified"", IF(I6812 = """", ""NR"", I6812))"),"TV-PG")</f>
        <v>TV-PG</v>
      </c>
      <c r="R6812" s="5" t="str">
        <f t="shared" si="2"/>
        <v>Frozen Planet</v>
      </c>
      <c r="S6812" s="5" t="str">
        <f>IFERROR(__xludf.DUMMYFUNCTION("""COMPUTED_VALUE"""),"Thackeray (Hindi)")</f>
        <v>Thackeray (Hindi)</v>
      </c>
      <c r="V6812" s="5"/>
      <c r="Y6812" s="5" t="str">
        <f>IFERROR(__xludf.DUMMYFUNCTION("REGEXEXTRACT(J6812, ""^\d+"")"),"1")</f>
        <v>1</v>
      </c>
      <c r="Z6812" s="5" t="str">
        <f>IFERROR(__xludf.DUMMYFUNCTION("REGEXEXTRACT(J6812, ""[A-Za-z ]+$"")")," Season")</f>
        <v> Season</v>
      </c>
      <c r="AA6812" s="5" t="str">
        <f>IFERROR(__xludf.DUMMYFUNCTION("IF(REGEXMATCH(Z6812, ""Season""), ""TV Show"", ""Movie"")"),"TV Show")</f>
        <v>TV Show</v>
      </c>
    </row>
    <row r="6813">
      <c r="A6813" s="1" t="s">
        <v>33722</v>
      </c>
      <c r="B6813" s="1" t="s">
        <v>27</v>
      </c>
      <c r="C6813" s="1" t="s">
        <v>33723</v>
      </c>
      <c r="E6813" s="1" t="s">
        <v>5968</v>
      </c>
      <c r="F6813" s="1" t="s">
        <v>33719</v>
      </c>
      <c r="G6813" s="1" t="s">
        <v>33720</v>
      </c>
      <c r="H6813" s="1">
        <v>2011.0</v>
      </c>
      <c r="I6813" s="1" t="s">
        <v>136</v>
      </c>
      <c r="J6813" s="1" t="s">
        <v>5207</v>
      </c>
      <c r="K6813" s="1" t="s">
        <v>2032</v>
      </c>
      <c r="L6813" s="1" t="s">
        <v>33724</v>
      </c>
      <c r="M6813" s="2" t="s">
        <v>12</v>
      </c>
      <c r="N6813" s="4">
        <f t="shared" si="1"/>
        <v>42397</v>
      </c>
      <c r="O6813" s="5" t="str">
        <f>IFERROR(__xludf.DUMMYFUNCTION("IF(REGEXMATCH(TRIM(I6813), ""^\d+\s*min""), ""Unclassified"", IF(I6813 = """", ""NR"", I6813))"),"TV-PG")</f>
        <v>TV-PG</v>
      </c>
      <c r="R6813" s="5" t="str">
        <f t="shared" si="2"/>
        <v>Frozen Planet: On Thin Ice</v>
      </c>
      <c r="S6813" s="5" t="str">
        <f>IFERROR(__xludf.DUMMYFUNCTION("""COMPUTED_VALUE"""),"Thackeray (Marathi)")</f>
        <v>Thackeray (Marathi)</v>
      </c>
      <c r="V6813" s="5"/>
      <c r="Y6813" s="5" t="str">
        <f>IFERROR(__xludf.DUMMYFUNCTION("REGEXEXTRACT(J6813, ""^\d+"")"),"47")</f>
        <v>47</v>
      </c>
      <c r="Z6813" s="5" t="str">
        <f>IFERROR(__xludf.DUMMYFUNCTION("REGEXEXTRACT(J6813, ""[A-Za-z ]+$"")")," min")</f>
        <v> min</v>
      </c>
      <c r="AA6813" s="5" t="str">
        <f>IFERROR(__xludf.DUMMYFUNCTION("IF(REGEXMATCH(Z6813, ""Season""), ""TV Show"", ""Movie"")"),"Movie")</f>
        <v>Movie</v>
      </c>
    </row>
    <row r="6814">
      <c r="A6814" s="1" t="s">
        <v>33725</v>
      </c>
      <c r="B6814" s="1" t="s">
        <v>27</v>
      </c>
      <c r="C6814" s="1" t="s">
        <v>33726</v>
      </c>
      <c r="E6814" s="1" t="s">
        <v>5968</v>
      </c>
      <c r="F6814" s="1" t="s">
        <v>33719</v>
      </c>
      <c r="G6814" s="1" t="s">
        <v>33720</v>
      </c>
      <c r="H6814" s="1">
        <v>2011.0</v>
      </c>
      <c r="I6814" s="1" t="s">
        <v>136</v>
      </c>
      <c r="J6814" s="1" t="s">
        <v>8095</v>
      </c>
      <c r="K6814" s="1" t="s">
        <v>2032</v>
      </c>
      <c r="L6814" s="1" t="s">
        <v>33727</v>
      </c>
      <c r="M6814" s="2" t="s">
        <v>12</v>
      </c>
      <c r="N6814" s="4">
        <f t="shared" si="1"/>
        <v>42397</v>
      </c>
      <c r="O6814" s="5" t="str">
        <f>IFERROR(__xludf.DUMMYFUNCTION("IF(REGEXMATCH(TRIM(I6814), ""^\d+\s*min""), ""Unclassified"", IF(I6814 = """", ""NR"", I6814))"),"TV-PG")</f>
        <v>TV-PG</v>
      </c>
      <c r="R6814" s="5" t="str">
        <f t="shared" si="2"/>
        <v>Frozen Planet: The Epic Journey</v>
      </c>
      <c r="S6814" s="5" t="str">
        <f>IFERROR(__xludf.DUMMYFUNCTION("""COMPUTED_VALUE"""),"Thambi")</f>
        <v>Thambi</v>
      </c>
      <c r="V6814" s="5"/>
      <c r="Y6814" s="5" t="str">
        <f>IFERROR(__xludf.DUMMYFUNCTION("REGEXEXTRACT(J6814, ""^\d+"")"),"52")</f>
        <v>52</v>
      </c>
      <c r="Z6814" s="5" t="str">
        <f>IFERROR(__xludf.DUMMYFUNCTION("REGEXEXTRACT(J6814, ""[A-Za-z ]+$"")")," min")</f>
        <v> min</v>
      </c>
      <c r="AA6814" s="5" t="str">
        <f>IFERROR(__xludf.DUMMYFUNCTION("IF(REGEXMATCH(Z6814, ""Season""), ""TV Show"", ""Movie"")"),"Movie")</f>
        <v>Movie</v>
      </c>
    </row>
    <row r="6815">
      <c r="A6815" s="1" t="s">
        <v>33728</v>
      </c>
      <c r="B6815" s="1" t="s">
        <v>27</v>
      </c>
      <c r="C6815" s="1" t="s">
        <v>33729</v>
      </c>
      <c r="D6815" s="1" t="s">
        <v>5220</v>
      </c>
      <c r="E6815" s="1" t="s">
        <v>33730</v>
      </c>
      <c r="F6815" s="1" t="s">
        <v>30</v>
      </c>
      <c r="G6815" s="1" t="s">
        <v>20110</v>
      </c>
      <c r="H6815" s="1">
        <v>2008.0</v>
      </c>
      <c r="I6815" s="1" t="s">
        <v>378</v>
      </c>
      <c r="J6815" s="1" t="s">
        <v>247</v>
      </c>
      <c r="K6815" s="1" t="s">
        <v>1320</v>
      </c>
      <c r="L6815" s="1" t="s">
        <v>33731</v>
      </c>
      <c r="M6815" s="2" t="s">
        <v>12</v>
      </c>
      <c r="N6815" s="4">
        <f t="shared" si="1"/>
        <v>43647</v>
      </c>
      <c r="O6815" s="5" t="str">
        <f>IFERROR(__xludf.DUMMYFUNCTION("IF(REGEXMATCH(TRIM(I6815), ""^\d+\s*min""), ""Unclassified"", IF(I6815 = """", ""NR"", I6815))"),"R")</f>
        <v>R</v>
      </c>
      <c r="R6815" s="5" t="str">
        <f t="shared" si="2"/>
        <v>Frozen River</v>
      </c>
      <c r="S6815" s="5" t="str">
        <f>IFERROR(__xludf.DUMMYFUNCTION("""COMPUTED_VALUE"""),"Thank You")</f>
        <v>Thank You</v>
      </c>
      <c r="V6815" s="5"/>
      <c r="Y6815" s="5" t="str">
        <f>IFERROR(__xludf.DUMMYFUNCTION("REGEXEXTRACT(J6815, ""^\d+"")"),"97")</f>
        <v>97</v>
      </c>
      <c r="Z6815" s="5" t="str">
        <f>IFERROR(__xludf.DUMMYFUNCTION("REGEXEXTRACT(J6815, ""[A-Za-z ]+$"")")," min")</f>
        <v> min</v>
      </c>
      <c r="AA6815" s="5" t="str">
        <f>IFERROR(__xludf.DUMMYFUNCTION("IF(REGEXMATCH(Z6815, ""Season""), ""TV Show"", ""Movie"")"),"Movie")</f>
        <v>Movie</v>
      </c>
    </row>
    <row r="6816">
      <c r="A6816" s="1" t="s">
        <v>33732</v>
      </c>
      <c r="B6816" s="1" t="s">
        <v>27</v>
      </c>
      <c r="C6816" s="1" t="s">
        <v>33733</v>
      </c>
      <c r="D6816" s="1" t="s">
        <v>20672</v>
      </c>
      <c r="E6816" s="1" t="s">
        <v>33734</v>
      </c>
      <c r="F6816" s="1" t="s">
        <v>1979</v>
      </c>
      <c r="G6816" s="1" t="s">
        <v>29495</v>
      </c>
      <c r="H6816" s="1">
        <v>2015.0</v>
      </c>
      <c r="I6816" s="1" t="s">
        <v>136</v>
      </c>
      <c r="J6816" s="1" t="s">
        <v>428</v>
      </c>
      <c r="K6816" s="1" t="s">
        <v>8533</v>
      </c>
      <c r="L6816" s="1" t="s">
        <v>33735</v>
      </c>
      <c r="M6816" s="2" t="s">
        <v>12</v>
      </c>
      <c r="N6816" s="4">
        <f t="shared" si="1"/>
        <v>42614</v>
      </c>
      <c r="O6816" s="5" t="str">
        <f>IFERROR(__xludf.DUMMYFUNCTION("IF(REGEXMATCH(TRIM(I6816), ""^\d+\s*min""), ""Unclassified"", IF(I6816 = """", ""NR"", I6816))"),"TV-PG")</f>
        <v>TV-PG</v>
      </c>
      <c r="R6816" s="5" t="str">
        <f t="shared" si="2"/>
        <v>Full Out</v>
      </c>
      <c r="S6816" s="5" t="str">
        <f>IFERROR(__xludf.DUMMYFUNCTION("""COMPUTED_VALUE"""),"That '70S Show")</f>
        <v>That '70S Show</v>
      </c>
      <c r="V6816" s="5"/>
      <c r="Y6816" s="5" t="str">
        <f>IFERROR(__xludf.DUMMYFUNCTION("REGEXEXTRACT(J6816, ""^\d+"")"),"88")</f>
        <v>88</v>
      </c>
      <c r="Z6816" s="5" t="str">
        <f>IFERROR(__xludf.DUMMYFUNCTION("REGEXEXTRACT(J6816, ""[A-Za-z ]+$"")")," min")</f>
        <v> min</v>
      </c>
      <c r="AA6816" s="5" t="str">
        <f>IFERROR(__xludf.DUMMYFUNCTION("IF(REGEXMATCH(Z6816, ""Season""), ""TV Show"", ""Movie"")"),"Movie")</f>
        <v>Movie</v>
      </c>
    </row>
    <row r="6817">
      <c r="A6817" s="1" t="s">
        <v>33736</v>
      </c>
      <c r="B6817" s="1" t="s">
        <v>27</v>
      </c>
      <c r="C6817" s="1" t="s">
        <v>33737</v>
      </c>
      <c r="D6817" s="1" t="s">
        <v>3545</v>
      </c>
      <c r="F6817" s="1" t="s">
        <v>30</v>
      </c>
      <c r="G6817" s="1" t="s">
        <v>26481</v>
      </c>
      <c r="H6817" s="1">
        <v>2016.0</v>
      </c>
      <c r="I6817" s="1" t="s">
        <v>42</v>
      </c>
      <c r="J6817" s="1" t="s">
        <v>256</v>
      </c>
      <c r="K6817" s="1" t="s">
        <v>34</v>
      </c>
      <c r="L6817" s="1" t="s">
        <v>33738</v>
      </c>
      <c r="M6817" s="2" t="s">
        <v>12</v>
      </c>
      <c r="N6817" s="4">
        <f t="shared" si="1"/>
        <v>43101</v>
      </c>
      <c r="O6817" s="5" t="str">
        <f>IFERROR(__xludf.DUMMYFUNCTION("IF(REGEXMATCH(TRIM(I6817), ""^\d+\s*min""), ""Unclassified"", IF(I6817 = """", ""NR"", I6817))"),"TV-MA")</f>
        <v>TV-MA</v>
      </c>
      <c r="R6817" s="5" t="str">
        <f t="shared" si="2"/>
        <v>Functional Fitness</v>
      </c>
      <c r="S6817" s="5" t="str">
        <f>IFERROR(__xludf.DUMMYFUNCTION("""COMPUTED_VALUE"""),"That Thing Called Tadhana")</f>
        <v>That Thing Called Tadhana</v>
      </c>
      <c r="V6817" s="5"/>
      <c r="Y6817" s="5" t="str">
        <f>IFERROR(__xludf.DUMMYFUNCTION("REGEXEXTRACT(J6817, ""^\d+"")"),"106")</f>
        <v>106</v>
      </c>
      <c r="Z6817" s="5" t="str">
        <f>IFERROR(__xludf.DUMMYFUNCTION("REGEXEXTRACT(J6817, ""[A-Za-z ]+$"")")," min")</f>
        <v> min</v>
      </c>
      <c r="AA6817" s="5" t="str">
        <f>IFERROR(__xludf.DUMMYFUNCTION("IF(REGEXMATCH(Z6817, ""Season""), ""TV Show"", ""Movie"")"),"Movie")</f>
        <v>Movie</v>
      </c>
    </row>
    <row r="6818">
      <c r="A6818" s="1" t="s">
        <v>33739</v>
      </c>
      <c r="B6818" s="1" t="s">
        <v>27</v>
      </c>
      <c r="C6818" s="1" t="s">
        <v>33740</v>
      </c>
      <c r="D6818" s="1" t="s">
        <v>13488</v>
      </c>
      <c r="E6818" s="1" t="s">
        <v>33741</v>
      </c>
      <c r="F6818" s="1" t="s">
        <v>3543</v>
      </c>
      <c r="G6818" s="1" t="s">
        <v>19119</v>
      </c>
      <c r="H6818" s="1">
        <v>2019.0</v>
      </c>
      <c r="I6818" s="1" t="s">
        <v>42</v>
      </c>
      <c r="J6818" s="1" t="s">
        <v>247</v>
      </c>
      <c r="K6818" s="1" t="s">
        <v>306</v>
      </c>
      <c r="L6818" s="1" t="s">
        <v>33742</v>
      </c>
      <c r="M6818" s="2" t="s">
        <v>12</v>
      </c>
      <c r="N6818" s="4">
        <f t="shared" si="1"/>
        <v>43733</v>
      </c>
      <c r="O6818" s="5" t="str">
        <f>IFERROR(__xludf.DUMMYFUNCTION("IF(REGEXMATCH(TRIM(I6818), ""^\d+\s*min""), ""Unclassified"", IF(I6818 = """", ""NR"", I6818))"),"TV-MA")</f>
        <v>TV-MA</v>
      </c>
      <c r="R6818" s="5" t="str">
        <f t="shared" si="2"/>
        <v>Furie</v>
      </c>
      <c r="S6818" s="5" t="str">
        <f>IFERROR(__xludf.DUMMYFUNCTION("""COMPUTED_VALUE"""),"That Winter, The Wind Blows")</f>
        <v>That Winter, The Wind Blows</v>
      </c>
      <c r="V6818" s="5"/>
      <c r="Y6818" s="5" t="str">
        <f>IFERROR(__xludf.DUMMYFUNCTION("REGEXEXTRACT(J6818, ""^\d+"")"),"97")</f>
        <v>97</v>
      </c>
      <c r="Z6818" s="5" t="str">
        <f>IFERROR(__xludf.DUMMYFUNCTION("REGEXEXTRACT(J6818, ""[A-Za-z ]+$"")")," min")</f>
        <v> min</v>
      </c>
      <c r="AA6818" s="5" t="str">
        <f>IFERROR(__xludf.DUMMYFUNCTION("IF(REGEXMATCH(Z6818, ""Season""), ""TV Show"", ""Movie"")"),"Movie")</f>
        <v>Movie</v>
      </c>
    </row>
    <row r="6819">
      <c r="A6819" s="1" t="s">
        <v>33743</v>
      </c>
      <c r="B6819" s="1" t="s">
        <v>27</v>
      </c>
      <c r="C6819" s="1" t="s">
        <v>33744</v>
      </c>
      <c r="D6819" s="1" t="s">
        <v>366</v>
      </c>
      <c r="E6819" s="1" t="s">
        <v>33745</v>
      </c>
      <c r="F6819" s="1" t="s">
        <v>692</v>
      </c>
      <c r="G6819" s="1" t="s">
        <v>33504</v>
      </c>
      <c r="H6819" s="1">
        <v>2017.0</v>
      </c>
      <c r="I6819" s="1" t="s">
        <v>42</v>
      </c>
      <c r="J6819" s="1" t="s">
        <v>428</v>
      </c>
      <c r="K6819" s="1" t="s">
        <v>394</v>
      </c>
      <c r="L6819" s="1" t="s">
        <v>33746</v>
      </c>
      <c r="M6819" s="2" t="s">
        <v>12</v>
      </c>
      <c r="N6819" s="4">
        <f t="shared" si="1"/>
        <v>43579</v>
      </c>
      <c r="O6819" s="5" t="str">
        <f>IFERROR(__xludf.DUMMYFUNCTION("IF(REGEXMATCH(TRIM(I6819), ""^\d+\s*min""), ""Unclassified"", IF(I6819 = """", ""NR"", I6819))"),"TV-MA")</f>
        <v>TV-MA</v>
      </c>
      <c r="R6819" s="5" t="str">
        <f t="shared" si="2"/>
        <v>Furthest Witness</v>
      </c>
      <c r="S6819" s="5" t="str">
        <f>IFERROR(__xludf.DUMMYFUNCTION("""COMPUTED_VALUE"""),"The 10 Sins")</f>
        <v>The 10 Sins</v>
      </c>
      <c r="V6819" s="5"/>
      <c r="Y6819" s="5" t="str">
        <f>IFERROR(__xludf.DUMMYFUNCTION("REGEXEXTRACT(J6819, ""^\d+"")"),"88")</f>
        <v>88</v>
      </c>
      <c r="Z6819" s="5" t="str">
        <f>IFERROR(__xludf.DUMMYFUNCTION("REGEXEXTRACT(J6819, ""[A-Za-z ]+$"")")," min")</f>
        <v> min</v>
      </c>
      <c r="AA6819" s="5" t="str">
        <f>IFERROR(__xludf.DUMMYFUNCTION("IF(REGEXMATCH(Z6819, ""Season""), ""TV Show"", ""Movie"")"),"Movie")</f>
        <v>Movie</v>
      </c>
    </row>
    <row r="6820">
      <c r="A6820" s="1" t="s">
        <v>33747</v>
      </c>
      <c r="B6820" s="1" t="s">
        <v>27</v>
      </c>
      <c r="C6820" s="1" t="s">
        <v>33748</v>
      </c>
      <c r="D6820" s="1" t="s">
        <v>9413</v>
      </c>
      <c r="E6820" s="1" t="s">
        <v>33749</v>
      </c>
      <c r="F6820" s="1" t="s">
        <v>30</v>
      </c>
      <c r="G6820" s="1" t="s">
        <v>21602</v>
      </c>
      <c r="H6820" s="1">
        <v>2009.0</v>
      </c>
      <c r="I6820" s="1" t="s">
        <v>78</v>
      </c>
      <c r="J6820" s="1" t="s">
        <v>428</v>
      </c>
      <c r="K6820" s="1" t="s">
        <v>137</v>
      </c>
      <c r="L6820" s="1" t="s">
        <v>33750</v>
      </c>
      <c r="M6820" s="2" t="s">
        <v>12</v>
      </c>
      <c r="N6820" s="4">
        <f t="shared" si="1"/>
        <v>43539</v>
      </c>
      <c r="O6820" s="5" t="str">
        <f>IFERROR(__xludf.DUMMYFUNCTION("IF(REGEXMATCH(TRIM(I6820), ""^\d+\s*min""), ""Unclassified"", IF(I6820 = """", ""NR"", I6820))"),"PG")</f>
        <v>PG</v>
      </c>
      <c r="R6820" s="5" t="str">
        <f t="shared" si="2"/>
        <v>G-Force</v>
      </c>
      <c r="S6820" s="5" t="str">
        <f>IFERROR(__xludf.DUMMYFUNCTION("""COMPUTED_VALUE"""),"The 100")</f>
        <v>The 100</v>
      </c>
      <c r="V6820" s="5"/>
      <c r="Y6820" s="5" t="str">
        <f>IFERROR(__xludf.DUMMYFUNCTION("REGEXEXTRACT(J6820, ""^\d+"")"),"88")</f>
        <v>88</v>
      </c>
      <c r="Z6820" s="5" t="str">
        <f>IFERROR(__xludf.DUMMYFUNCTION("REGEXEXTRACT(J6820, ""[A-Za-z ]+$"")")," min")</f>
        <v> min</v>
      </c>
      <c r="AA6820" s="5" t="str">
        <f>IFERROR(__xludf.DUMMYFUNCTION("IF(REGEXMATCH(Z6820, ""Season""), ""TV Show"", ""Movie"")"),"Movie")</f>
        <v>Movie</v>
      </c>
    </row>
    <row r="6821">
      <c r="A6821" s="1" t="s">
        <v>33751</v>
      </c>
      <c r="B6821" s="1" t="s">
        <v>27</v>
      </c>
      <c r="C6821" s="1" t="s">
        <v>33752</v>
      </c>
      <c r="D6821" s="1" t="s">
        <v>7581</v>
      </c>
      <c r="E6821" s="1" t="s">
        <v>33753</v>
      </c>
      <c r="F6821" s="1" t="s">
        <v>12520</v>
      </c>
      <c r="G6821" s="1" t="s">
        <v>23473</v>
      </c>
      <c r="H6821" s="1">
        <v>2017.0</v>
      </c>
      <c r="I6821" s="1" t="s">
        <v>42</v>
      </c>
      <c r="J6821" s="1" t="s">
        <v>2505</v>
      </c>
      <c r="K6821" s="1" t="s">
        <v>89</v>
      </c>
      <c r="L6821" s="1" t="s">
        <v>33754</v>
      </c>
      <c r="M6821" s="2" t="s">
        <v>12</v>
      </c>
      <c r="N6821" s="4">
        <f t="shared" si="1"/>
        <v>43413</v>
      </c>
      <c r="O6821" s="5" t="str">
        <f>IFERROR(__xludf.DUMMYFUNCTION("IF(REGEXMATCH(TRIM(I6821), ""^\d+\s*min""), ""Unclassified"", IF(I6821 = """", ""NR"", I6821))"),"TV-MA")</f>
        <v>TV-MA</v>
      </c>
      <c r="R6821" s="5" t="str">
        <f t="shared" si="2"/>
        <v>Gabriel And The Mountain</v>
      </c>
      <c r="S6821" s="5" t="str">
        <f>IFERROR(__xludf.DUMMYFUNCTION("""COMPUTED_VALUE"""),"The 101-Year-Old Man Who Skipped Out On The Bill And Disappeared")</f>
        <v>The 101-Year-Old Man Who Skipped Out On The Bill And Disappeared</v>
      </c>
      <c r="V6821" s="5"/>
      <c r="Y6821" s="5" t="str">
        <f>IFERROR(__xludf.DUMMYFUNCTION("REGEXEXTRACT(J6821, ""^\d+"")"),"132")</f>
        <v>132</v>
      </c>
      <c r="Z6821" s="5" t="str">
        <f>IFERROR(__xludf.DUMMYFUNCTION("REGEXEXTRACT(J6821, ""[A-Za-z ]+$"")")," min")</f>
        <v> min</v>
      </c>
      <c r="AA6821" s="5" t="str">
        <f>IFERROR(__xludf.DUMMYFUNCTION("IF(REGEXMATCH(Z6821, ""Season""), ""TV Show"", ""Movie"")"),"Movie")</f>
        <v>Movie</v>
      </c>
    </row>
    <row r="6822">
      <c r="A6822" s="1" t="s">
        <v>33755</v>
      </c>
      <c r="B6822" s="1" t="s">
        <v>37</v>
      </c>
      <c r="C6822" s="1" t="s">
        <v>33756</v>
      </c>
      <c r="E6822" s="1" t="s">
        <v>33757</v>
      </c>
      <c r="F6822" s="1" t="s">
        <v>63</v>
      </c>
      <c r="G6822" s="1" t="s">
        <v>25390</v>
      </c>
      <c r="H6822" s="1">
        <v>2018.0</v>
      </c>
      <c r="I6822" s="1" t="s">
        <v>97</v>
      </c>
      <c r="J6822" s="1" t="s">
        <v>51</v>
      </c>
      <c r="K6822" s="1" t="s">
        <v>402</v>
      </c>
      <c r="L6822" s="1" t="s">
        <v>33758</v>
      </c>
      <c r="M6822" s="2" t="s">
        <v>12</v>
      </c>
      <c r="N6822" s="4">
        <f t="shared" si="1"/>
        <v>43252</v>
      </c>
      <c r="O6822" s="5" t="str">
        <f>IFERROR(__xludf.DUMMYFUNCTION("IF(REGEXMATCH(TRIM(I6822), ""^\d+\s*min""), ""Unclassified"", IF(I6822 = """", ""NR"", I6822))"),"TV-14")</f>
        <v>TV-14</v>
      </c>
      <c r="R6822" s="5" t="str">
        <f t="shared" si="2"/>
        <v>Gabru: Hip Hop Revolution</v>
      </c>
      <c r="S6822" s="5" t="str">
        <f>IFERROR(__xludf.DUMMYFUNCTION("""COMPUTED_VALUE"""),"The 12Th Man")</f>
        <v>The 12Th Man</v>
      </c>
      <c r="V6822" s="5"/>
      <c r="Y6822" s="5" t="str">
        <f>IFERROR(__xludf.DUMMYFUNCTION("REGEXEXTRACT(J6822, ""^\d+"")"),"1")</f>
        <v>1</v>
      </c>
      <c r="Z6822" s="5" t="str">
        <f>IFERROR(__xludf.DUMMYFUNCTION("REGEXEXTRACT(J6822, ""[A-Za-z ]+$"")")," Season")</f>
        <v> Season</v>
      </c>
      <c r="AA6822" s="5" t="str">
        <f>IFERROR(__xludf.DUMMYFUNCTION("IF(REGEXMATCH(Z6822, ""Season""), ""TV Show"", ""Movie"")"),"TV Show")</f>
        <v>TV Show</v>
      </c>
    </row>
    <row r="6823">
      <c r="A6823" s="1" t="s">
        <v>33759</v>
      </c>
      <c r="B6823" s="1" t="s">
        <v>27</v>
      </c>
      <c r="C6823" s="1" t="s">
        <v>33760</v>
      </c>
      <c r="D6823" s="1" t="s">
        <v>17850</v>
      </c>
      <c r="E6823" s="1" t="s">
        <v>33761</v>
      </c>
      <c r="F6823" s="1" t="s">
        <v>1078</v>
      </c>
      <c r="G6823" s="1" t="s">
        <v>27248</v>
      </c>
      <c r="H6823" s="1">
        <v>2013.0</v>
      </c>
      <c r="I6823" s="1" t="s">
        <v>97</v>
      </c>
      <c r="J6823" s="1" t="s">
        <v>912</v>
      </c>
      <c r="K6823" s="1" t="s">
        <v>128</v>
      </c>
      <c r="L6823" s="1" t="s">
        <v>33762</v>
      </c>
      <c r="M6823" s="2" t="s">
        <v>12</v>
      </c>
      <c r="N6823" s="4">
        <f t="shared" si="1"/>
        <v>42993</v>
      </c>
      <c r="O6823" s="5" t="str">
        <f>IFERROR(__xludf.DUMMYFUNCTION("IF(REGEXMATCH(TRIM(I6823), ""^\d+\s*min""), ""Unclassified"", IF(I6823 = """", ""NR"", I6823))"),"TV-14")</f>
        <v>TV-14</v>
      </c>
      <c r="R6823" s="5" t="str">
        <f t="shared" si="2"/>
        <v>Gagarin: First In Space</v>
      </c>
      <c r="S6823" s="5" t="str">
        <f>IFERROR(__xludf.DUMMYFUNCTION("""COMPUTED_VALUE"""),"The 2000S")</f>
        <v>The 2000S</v>
      </c>
      <c r="V6823" s="5"/>
      <c r="Y6823" s="5" t="str">
        <f>IFERROR(__xludf.DUMMYFUNCTION("REGEXEXTRACT(J6823, ""^\d+"")"),"108")</f>
        <v>108</v>
      </c>
      <c r="Z6823" s="5" t="str">
        <f>IFERROR(__xludf.DUMMYFUNCTION("REGEXEXTRACT(J6823, ""[A-Za-z ]+$"")")," min")</f>
        <v> min</v>
      </c>
      <c r="AA6823" s="5" t="str">
        <f>IFERROR(__xludf.DUMMYFUNCTION("IF(REGEXMATCH(Z6823, ""Season""), ""TV Show"", ""Movie"")"),"Movie")</f>
        <v>Movie</v>
      </c>
    </row>
    <row r="6824">
      <c r="A6824" s="1" t="s">
        <v>33763</v>
      </c>
      <c r="B6824" s="1" t="s">
        <v>37</v>
      </c>
      <c r="C6824" s="1" t="s">
        <v>33764</v>
      </c>
      <c r="E6824" s="1" t="s">
        <v>33765</v>
      </c>
      <c r="F6824" s="1" t="s">
        <v>30</v>
      </c>
      <c r="G6824" s="1" t="s">
        <v>33766</v>
      </c>
      <c r="H6824" s="1">
        <v>2016.0</v>
      </c>
      <c r="I6824" s="1" t="s">
        <v>136</v>
      </c>
      <c r="J6824" s="1" t="s">
        <v>43</v>
      </c>
      <c r="K6824" s="1" t="s">
        <v>33767</v>
      </c>
      <c r="L6824" s="1" t="s">
        <v>33768</v>
      </c>
      <c r="M6824" s="2" t="s">
        <v>12</v>
      </c>
      <c r="N6824" s="1" t="str">
        <f t="shared" si="1"/>
        <v>#N/A</v>
      </c>
      <c r="O6824" s="5" t="str">
        <f>IFERROR(__xludf.DUMMYFUNCTION("IF(REGEXMATCH(TRIM(I6824), ""^\d+\s*min""), ""Unclassified"", IF(I6824 = """", ""NR"", I6824))"),"TV-PG")</f>
        <v>TV-PG</v>
      </c>
      <c r="R6824" s="5" t="str">
        <f t="shared" si="2"/>
        <v>Galavant</v>
      </c>
      <c r="S6824" s="5" t="str">
        <f>IFERROR(__xludf.DUMMYFUNCTION("""COMPUTED_VALUE"""),"The 24 Hour War")</f>
        <v>The 24 Hour War</v>
      </c>
      <c r="V6824" s="5"/>
      <c r="Y6824" s="5" t="str">
        <f>IFERROR(__xludf.DUMMYFUNCTION("REGEXEXTRACT(J6824, ""^\d+"")"),"2")</f>
        <v>2</v>
      </c>
      <c r="Z6824" s="5" t="str">
        <f>IFERROR(__xludf.DUMMYFUNCTION("REGEXEXTRACT(J6824, ""[A-Za-z ]+$"")")," Seasons")</f>
        <v> Seasons</v>
      </c>
      <c r="AA6824" s="5" t="str">
        <f>IFERROR(__xludf.DUMMYFUNCTION("IF(REGEXMATCH(Z6824, ""Season""), ""TV Show"", ""Movie"")"),"TV Show")</f>
        <v>TV Show</v>
      </c>
    </row>
    <row r="6825">
      <c r="A6825" s="1" t="s">
        <v>33769</v>
      </c>
      <c r="B6825" s="1" t="s">
        <v>27</v>
      </c>
      <c r="C6825" s="1" t="s">
        <v>33770</v>
      </c>
      <c r="D6825" s="1" t="s">
        <v>4256</v>
      </c>
      <c r="E6825" s="1" t="s">
        <v>33771</v>
      </c>
      <c r="F6825" s="1" t="s">
        <v>2873</v>
      </c>
      <c r="G6825" s="1" t="s">
        <v>24523</v>
      </c>
      <c r="H6825" s="1">
        <v>2017.0</v>
      </c>
      <c r="I6825" s="1" t="s">
        <v>136</v>
      </c>
      <c r="J6825" s="1" t="s">
        <v>264</v>
      </c>
      <c r="K6825" s="1" t="s">
        <v>679</v>
      </c>
      <c r="L6825" s="1" t="s">
        <v>33772</v>
      </c>
      <c r="M6825" s="2" t="s">
        <v>12</v>
      </c>
      <c r="N6825" s="4">
        <f t="shared" si="1"/>
        <v>43358</v>
      </c>
      <c r="O6825" s="5" t="str">
        <f>IFERROR(__xludf.DUMMYFUNCTION("IF(REGEXMATCH(TRIM(I6825), ""^\d+\s*min""), ""Unclassified"", IF(I6825 = """", ""NR"", I6825))"),"TV-PG")</f>
        <v>TV-PG</v>
      </c>
      <c r="R6825" s="5" t="str">
        <f t="shared" si="2"/>
        <v>Galih Dan Ratna</v>
      </c>
      <c r="S6825" s="5" t="str">
        <f>IFERROR(__xludf.DUMMYFUNCTION("""COMPUTED_VALUE"""),"The 2Nd")</f>
        <v>The 2Nd</v>
      </c>
      <c r="V6825" s="5"/>
      <c r="Y6825" s="5" t="str">
        <f>IFERROR(__xludf.DUMMYFUNCTION("REGEXEXTRACT(J6825, ""^\d+"")"),"111")</f>
        <v>111</v>
      </c>
      <c r="Z6825" s="5" t="str">
        <f>IFERROR(__xludf.DUMMYFUNCTION("REGEXEXTRACT(J6825, ""[A-Za-z ]+$"")")," min")</f>
        <v> min</v>
      </c>
      <c r="AA6825" s="5" t="str">
        <f>IFERROR(__xludf.DUMMYFUNCTION("IF(REGEXMATCH(Z6825, ""Season""), ""TV Show"", ""Movie"")"),"Movie")</f>
        <v>Movie</v>
      </c>
    </row>
    <row r="6826">
      <c r="A6826" s="1" t="s">
        <v>33773</v>
      </c>
      <c r="B6826" s="1" t="s">
        <v>37</v>
      </c>
      <c r="C6826" s="1" t="s">
        <v>33774</v>
      </c>
      <c r="E6826" s="1" t="s">
        <v>33775</v>
      </c>
      <c r="F6826" s="1" t="s">
        <v>2059</v>
      </c>
      <c r="G6826" s="1" t="s">
        <v>29495</v>
      </c>
      <c r="H6826" s="1">
        <v>2009.0</v>
      </c>
      <c r="I6826" s="1" t="s">
        <v>42</v>
      </c>
      <c r="J6826" s="1" t="s">
        <v>51</v>
      </c>
      <c r="K6826" s="1" t="s">
        <v>1531</v>
      </c>
      <c r="L6826" s="1" t="s">
        <v>33776</v>
      </c>
      <c r="M6826" s="2" t="s">
        <v>12</v>
      </c>
      <c r="N6826" s="4">
        <f t="shared" si="1"/>
        <v>42614</v>
      </c>
      <c r="O6826" s="5" t="str">
        <f>IFERROR(__xludf.DUMMYFUNCTION("IF(REGEXMATCH(TRIM(I6826), ""^\d+\s*min""), ""Unclassified"", IF(I6826 = """", ""NR"", I6826))"),"TV-MA")</f>
        <v>TV-MA</v>
      </c>
      <c r="R6826" s="5" t="str">
        <f t="shared" si="2"/>
        <v>Game Winning Hit</v>
      </c>
      <c r="S6826" s="5" t="str">
        <f>IFERROR(__xludf.DUMMYFUNCTION("""COMPUTED_VALUE"""),"The 3Rd Eye")</f>
        <v>The 3Rd Eye</v>
      </c>
      <c r="V6826" s="5"/>
      <c r="Y6826" s="5" t="str">
        <f>IFERROR(__xludf.DUMMYFUNCTION("REGEXEXTRACT(J6826, ""^\d+"")"),"1")</f>
        <v>1</v>
      </c>
      <c r="Z6826" s="5" t="str">
        <f>IFERROR(__xludf.DUMMYFUNCTION("REGEXEXTRACT(J6826, ""[A-Za-z ]+$"")")," Season")</f>
        <v> Season</v>
      </c>
      <c r="AA6826" s="5" t="str">
        <f>IFERROR(__xludf.DUMMYFUNCTION("IF(REGEXMATCH(Z6826, ""Season""), ""TV Show"", ""Movie"")"),"TV Show")</f>
        <v>TV Show</v>
      </c>
    </row>
    <row r="6827">
      <c r="A6827" s="1" t="s">
        <v>33777</v>
      </c>
      <c r="B6827" s="1" t="s">
        <v>37</v>
      </c>
      <c r="C6827" s="1" t="s">
        <v>33778</v>
      </c>
      <c r="E6827" s="1" t="s">
        <v>33779</v>
      </c>
      <c r="F6827" s="1" t="s">
        <v>63</v>
      </c>
      <c r="G6827" s="1" t="s">
        <v>28307</v>
      </c>
      <c r="H6827" s="1">
        <v>2014.0</v>
      </c>
      <c r="I6827" s="1" t="s">
        <v>136</v>
      </c>
      <c r="J6827" s="1" t="s">
        <v>51</v>
      </c>
      <c r="K6827" s="1" t="s">
        <v>15002</v>
      </c>
      <c r="L6827" s="1" t="s">
        <v>33780</v>
      </c>
      <c r="M6827" s="2" t="s">
        <v>12</v>
      </c>
      <c r="N6827" s="4">
        <f t="shared" si="1"/>
        <v>42840</v>
      </c>
      <c r="O6827" s="5" t="str">
        <f>IFERROR(__xludf.DUMMYFUNCTION("IF(REGEXMATCH(TRIM(I6827), ""^\d+\s*min""), ""Unclassified"", IF(I6827 = """", ""NR"", I6827))"),"TV-PG")</f>
        <v>TV-PG</v>
      </c>
      <c r="R6827" s="5" t="str">
        <f t="shared" si="2"/>
        <v>Gangs Of Hassepur</v>
      </c>
      <c r="S6827" s="5" t="str">
        <f>IFERROR(__xludf.DUMMYFUNCTION("""COMPUTED_VALUE"""),"The 3Rd Eye 2")</f>
        <v>The 3Rd Eye 2</v>
      </c>
      <c r="V6827" s="5"/>
      <c r="Y6827" s="5" t="str">
        <f>IFERROR(__xludf.DUMMYFUNCTION("REGEXEXTRACT(J6827, ""^\d+"")"),"1")</f>
        <v>1</v>
      </c>
      <c r="Z6827" s="5" t="str">
        <f>IFERROR(__xludf.DUMMYFUNCTION("REGEXEXTRACT(J6827, ""[A-Za-z ]+$"")")," Season")</f>
        <v> Season</v>
      </c>
      <c r="AA6827" s="5" t="str">
        <f>IFERROR(__xludf.DUMMYFUNCTION("IF(REGEXMATCH(Z6827, ""Season""), ""TV Show"", ""Movie"")"),"TV Show")</f>
        <v>TV Show</v>
      </c>
    </row>
    <row r="6828">
      <c r="A6828" s="1" t="s">
        <v>33781</v>
      </c>
      <c r="B6828" s="1" t="s">
        <v>27</v>
      </c>
      <c r="C6828" s="1" t="s">
        <v>33782</v>
      </c>
      <c r="D6828" s="1" t="s">
        <v>7998</v>
      </c>
      <c r="E6828" s="1" t="s">
        <v>33783</v>
      </c>
      <c r="F6828" s="1" t="s">
        <v>9402</v>
      </c>
      <c r="G6828" s="1" t="s">
        <v>19531</v>
      </c>
      <c r="H6828" s="1">
        <v>2002.0</v>
      </c>
      <c r="I6828" s="1" t="s">
        <v>378</v>
      </c>
      <c r="J6828" s="1" t="s">
        <v>33784</v>
      </c>
      <c r="K6828" s="1" t="s">
        <v>805</v>
      </c>
      <c r="L6828" s="1" t="s">
        <v>33785</v>
      </c>
      <c r="M6828" s="2" t="s">
        <v>12</v>
      </c>
      <c r="N6828" s="4">
        <f t="shared" si="1"/>
        <v>43697</v>
      </c>
      <c r="O6828" s="5" t="str">
        <f>IFERROR(__xludf.DUMMYFUNCTION("IF(REGEXMATCH(TRIM(I6828), ""^\d+\s*min""), ""Unclassified"", IF(I6828 = """", ""NR"", I6828))"),"R")</f>
        <v>R</v>
      </c>
      <c r="R6828" s="5" t="str">
        <f t="shared" si="2"/>
        <v>Gangs Of New York</v>
      </c>
      <c r="S6828" s="5" t="str">
        <f>IFERROR(__xludf.DUMMYFUNCTION("""COMPUTED_VALUE"""),"The 43")</f>
        <v>The 43</v>
      </c>
      <c r="V6828" s="5"/>
      <c r="Y6828" s="5" t="str">
        <f>IFERROR(__xludf.DUMMYFUNCTION("REGEXEXTRACT(J6828, ""^\d+"")"),"167")</f>
        <v>167</v>
      </c>
      <c r="Z6828" s="5" t="str">
        <f>IFERROR(__xludf.DUMMYFUNCTION("REGEXEXTRACT(J6828, ""[A-Za-z ]+$"")")," min")</f>
        <v> min</v>
      </c>
      <c r="AA6828" s="5" t="str">
        <f>IFERROR(__xludf.DUMMYFUNCTION("IF(REGEXMATCH(Z6828, ""Season""), ""TV Show"", ""Movie"")"),"Movie")</f>
        <v>Movie</v>
      </c>
    </row>
    <row r="6829">
      <c r="A6829" s="1" t="s">
        <v>33786</v>
      </c>
      <c r="B6829" s="1" t="s">
        <v>37</v>
      </c>
      <c r="C6829" s="1" t="s">
        <v>33787</v>
      </c>
      <c r="E6829" s="1" t="s">
        <v>33788</v>
      </c>
      <c r="F6829" s="1" t="s">
        <v>415</v>
      </c>
      <c r="G6829" s="1" t="s">
        <v>29051</v>
      </c>
      <c r="H6829" s="1">
        <v>2013.0</v>
      </c>
      <c r="J6829" s="1" t="s">
        <v>51</v>
      </c>
      <c r="K6829" s="1" t="s">
        <v>567</v>
      </c>
      <c r="L6829" s="1" t="s">
        <v>33789</v>
      </c>
      <c r="M6829" s="2" t="s">
        <v>12</v>
      </c>
      <c r="N6829" s="4">
        <f t="shared" si="1"/>
        <v>42705</v>
      </c>
      <c r="O6829" s="5" t="str">
        <f>IFERROR(__xludf.DUMMYFUNCTION("IF(REGEXMATCH(TRIM(I6829), ""^\d+\s*min""), ""Unclassified"", IF(I6829 = """", ""NR"", I6829))"),"NR")</f>
        <v>NR</v>
      </c>
      <c r="R6829" s="5" t="str">
        <f t="shared" si="2"/>
        <v>Gargantia On The Verdurous Planet</v>
      </c>
      <c r="S6829" s="5" t="str">
        <f>IFERROR(__xludf.DUMMYFUNCTION("""COMPUTED_VALUE"""),"The 4400")</f>
        <v>The 4400</v>
      </c>
      <c r="V6829" s="5"/>
      <c r="Y6829" s="5" t="str">
        <f>IFERROR(__xludf.DUMMYFUNCTION("REGEXEXTRACT(J6829, ""^\d+"")"),"1")</f>
        <v>1</v>
      </c>
      <c r="Z6829" s="5" t="str">
        <f>IFERROR(__xludf.DUMMYFUNCTION("REGEXEXTRACT(J6829, ""[A-Za-z ]+$"")")," Season")</f>
        <v> Season</v>
      </c>
      <c r="AA6829" s="5" t="str">
        <f>IFERROR(__xludf.DUMMYFUNCTION("IF(REGEXMATCH(Z6829, ""Season""), ""TV Show"", ""Movie"")"),"TV Show")</f>
        <v>TV Show</v>
      </c>
    </row>
    <row r="6830">
      <c r="A6830" s="1" t="s">
        <v>33790</v>
      </c>
      <c r="B6830" s="1" t="s">
        <v>27</v>
      </c>
      <c r="C6830" s="1" t="s">
        <v>33791</v>
      </c>
      <c r="D6830" s="1" t="s">
        <v>9565</v>
      </c>
      <c r="E6830" s="1" t="s">
        <v>33792</v>
      </c>
      <c r="F6830" s="1" t="s">
        <v>2873</v>
      </c>
      <c r="G6830" s="1" t="s">
        <v>24064</v>
      </c>
      <c r="H6830" s="1">
        <v>2009.0</v>
      </c>
      <c r="I6830" s="1" t="s">
        <v>136</v>
      </c>
      <c r="J6830" s="1" t="s">
        <v>322</v>
      </c>
      <c r="K6830" s="1" t="s">
        <v>8533</v>
      </c>
      <c r="L6830" s="1" t="s">
        <v>33793</v>
      </c>
      <c r="M6830" s="2" t="s">
        <v>12</v>
      </c>
      <c r="N6830" s="4">
        <f t="shared" si="1"/>
        <v>43382</v>
      </c>
      <c r="O6830" s="5" t="str">
        <f>IFERROR(__xludf.DUMMYFUNCTION("IF(REGEXMATCH(TRIM(I6830), ""^\d+\s*min""), ""Unclassified"", IF(I6830 = """", ""NR"", I6830))"),"TV-PG")</f>
        <v>TV-PG</v>
      </c>
      <c r="R6830" s="5" t="str">
        <f t="shared" si="2"/>
        <v>Garuda Di Dadaku</v>
      </c>
      <c r="S6830" s="5" t="str">
        <f>IFERROR(__xludf.DUMMYFUNCTION("""COMPUTED_VALUE"""),"The 4Th Company")</f>
        <v>The 4Th Company</v>
      </c>
      <c r="V6830" s="5"/>
      <c r="Y6830" s="5" t="str">
        <f>IFERROR(__xludf.DUMMYFUNCTION("REGEXEXTRACT(J6830, ""^\d+"")"),"96")</f>
        <v>96</v>
      </c>
      <c r="Z6830" s="5" t="str">
        <f>IFERROR(__xludf.DUMMYFUNCTION("REGEXEXTRACT(J6830, ""[A-Za-z ]+$"")")," min")</f>
        <v> min</v>
      </c>
      <c r="AA6830" s="5" t="str">
        <f>IFERROR(__xludf.DUMMYFUNCTION("IF(REGEXMATCH(Z6830, ""Season""), ""TV Show"", ""Movie"")"),"Movie")</f>
        <v>Movie</v>
      </c>
    </row>
    <row r="6831">
      <c r="A6831" s="1" t="s">
        <v>33794</v>
      </c>
      <c r="B6831" s="1" t="s">
        <v>27</v>
      </c>
      <c r="C6831" s="1" t="s">
        <v>33795</v>
      </c>
      <c r="D6831" s="1" t="s">
        <v>19882</v>
      </c>
      <c r="E6831" s="1" t="s">
        <v>33796</v>
      </c>
      <c r="F6831" s="1" t="s">
        <v>2873</v>
      </c>
      <c r="G6831" s="1" t="s">
        <v>23231</v>
      </c>
      <c r="H6831" s="1">
        <v>2011.0</v>
      </c>
      <c r="I6831" s="1" t="s">
        <v>136</v>
      </c>
      <c r="J6831" s="1" t="s">
        <v>465</v>
      </c>
      <c r="K6831" s="1" t="s">
        <v>8533</v>
      </c>
      <c r="L6831" s="1" t="s">
        <v>33797</v>
      </c>
      <c r="M6831" s="2" t="s">
        <v>12</v>
      </c>
      <c r="N6831" s="4">
        <f t="shared" si="1"/>
        <v>43434</v>
      </c>
      <c r="O6831" s="5" t="str">
        <f>IFERROR(__xludf.DUMMYFUNCTION("IF(REGEXMATCH(TRIM(I6831), ""^\d+\s*min""), ""Unclassified"", IF(I6831 = """", ""NR"", I6831))"),"TV-PG")</f>
        <v>TV-PG</v>
      </c>
      <c r="R6831" s="5" t="str">
        <f t="shared" si="2"/>
        <v>Garuda In My Heart 2</v>
      </c>
      <c r="S6831" s="5" t="str">
        <f>IFERROR(__xludf.DUMMYFUNCTION("""COMPUTED_VALUE"""),"The 8Th Night")</f>
        <v>The 8Th Night</v>
      </c>
      <c r="V6831" s="5"/>
      <c r="Y6831" s="5" t="str">
        <f>IFERROR(__xludf.DUMMYFUNCTION("REGEXEXTRACT(J6831, ""^\d+"")"),"95")</f>
        <v>95</v>
      </c>
      <c r="Z6831" s="5" t="str">
        <f>IFERROR(__xludf.DUMMYFUNCTION("REGEXEXTRACT(J6831, ""[A-Za-z ]+$"")")," min")</f>
        <v> min</v>
      </c>
      <c r="AA6831" s="5" t="str">
        <f>IFERROR(__xludf.DUMMYFUNCTION("IF(REGEXMATCH(Z6831, ""Season""), ""TV Show"", ""Movie"")"),"Movie")</f>
        <v>Movie</v>
      </c>
    </row>
    <row r="6832">
      <c r="A6832" s="1" t="s">
        <v>33798</v>
      </c>
      <c r="B6832" s="1" t="s">
        <v>27</v>
      </c>
      <c r="C6832" s="1" t="s">
        <v>33799</v>
      </c>
      <c r="D6832" s="1" t="s">
        <v>9352</v>
      </c>
      <c r="E6832" s="1" t="s">
        <v>33800</v>
      </c>
      <c r="F6832" s="1" t="s">
        <v>6651</v>
      </c>
      <c r="G6832" s="1" t="s">
        <v>33801</v>
      </c>
      <c r="H6832" s="1">
        <v>2016.0</v>
      </c>
      <c r="I6832" s="1" t="s">
        <v>42</v>
      </c>
      <c r="J6832" s="1" t="s">
        <v>1256</v>
      </c>
      <c r="K6832" s="1" t="s">
        <v>3768</v>
      </c>
      <c r="L6832" s="1" t="s">
        <v>33802</v>
      </c>
      <c r="M6832" s="2" t="s">
        <v>12</v>
      </c>
      <c r="N6832" s="4">
        <f t="shared" si="1"/>
        <v>43444</v>
      </c>
      <c r="O6832" s="5" t="str">
        <f>IFERROR(__xludf.DUMMYFUNCTION("IF(REGEXMATCH(TRIM(I6832), ""^\d+\s*min""), ""Unclassified"", IF(I6832 = """", ""NR"", I6832))"),"TV-MA")</f>
        <v>TV-MA</v>
      </c>
      <c r="R6832" s="5" t="str">
        <f t="shared" si="2"/>
        <v>Gehenna: Where Death Lives</v>
      </c>
      <c r="S6832" s="5" t="str">
        <f>IFERROR(__xludf.DUMMYFUNCTION("""COMPUTED_VALUE"""),"The 9Th Precinct")</f>
        <v>The 9Th Precinct</v>
      </c>
      <c r="V6832" s="5"/>
      <c r="Y6832" s="5" t="str">
        <f>IFERROR(__xludf.DUMMYFUNCTION("REGEXEXTRACT(J6832, ""^\d+"")"),"107")</f>
        <v>107</v>
      </c>
      <c r="Z6832" s="5" t="str">
        <f>IFERROR(__xludf.DUMMYFUNCTION("REGEXEXTRACT(J6832, ""[A-Za-z ]+$"")")," min")</f>
        <v> min</v>
      </c>
      <c r="AA6832" s="5" t="str">
        <f>IFERROR(__xludf.DUMMYFUNCTION("IF(REGEXMATCH(Z6832, ""Season""), ""TV Show"", ""Movie"")"),"Movie")</f>
        <v>Movie</v>
      </c>
    </row>
    <row r="6833">
      <c r="A6833" s="1" t="s">
        <v>33803</v>
      </c>
      <c r="B6833" s="1" t="s">
        <v>27</v>
      </c>
      <c r="C6833" s="1" t="s">
        <v>33804</v>
      </c>
      <c r="D6833" s="1" t="s">
        <v>14400</v>
      </c>
      <c r="E6833" s="1" t="s">
        <v>33805</v>
      </c>
      <c r="F6833" s="1" t="s">
        <v>63</v>
      </c>
      <c r="G6833" s="1" t="s">
        <v>26596</v>
      </c>
      <c r="H6833" s="1">
        <v>2016.0</v>
      </c>
      <c r="I6833" s="1" t="s">
        <v>42</v>
      </c>
      <c r="J6833" s="1" t="s">
        <v>870</v>
      </c>
      <c r="K6833" s="1" t="s">
        <v>128</v>
      </c>
      <c r="L6833" s="1" t="s">
        <v>33806</v>
      </c>
      <c r="M6833" s="2" t="s">
        <v>12</v>
      </c>
      <c r="N6833" s="4">
        <f t="shared" si="1"/>
        <v>43084</v>
      </c>
      <c r="O6833" s="5" t="str">
        <f>IFERROR(__xludf.DUMMYFUNCTION("IF(REGEXMATCH(TRIM(I6833), ""^\d+\s*min""), ""Unclassified"", IF(I6833 = """", ""NR"", I6833))"),"TV-MA")</f>
        <v>TV-MA</v>
      </c>
      <c r="R6833" s="5" t="str">
        <f t="shared" si="2"/>
        <v>Gelo</v>
      </c>
      <c r="S6833" s="5" t="str">
        <f>IFERROR(__xludf.DUMMYFUNCTION("""COMPUTED_VALUE"""),"The A List")</f>
        <v>The A List</v>
      </c>
      <c r="V6833" s="5"/>
      <c r="Y6833" s="5" t="str">
        <f>IFERROR(__xludf.DUMMYFUNCTION("REGEXEXTRACT(J6833, ""^\d+"")"),"118")</f>
        <v>118</v>
      </c>
      <c r="Z6833" s="5" t="str">
        <f>IFERROR(__xludf.DUMMYFUNCTION("REGEXEXTRACT(J6833, ""[A-Za-z ]+$"")")," min")</f>
        <v> min</v>
      </c>
      <c r="AA6833" s="5" t="str">
        <f>IFERROR(__xludf.DUMMYFUNCTION("IF(REGEXMATCH(Z6833, ""Season""), ""TV Show"", ""Movie"")"),"Movie")</f>
        <v>Movie</v>
      </c>
    </row>
    <row r="6834">
      <c r="A6834" s="1" t="s">
        <v>33807</v>
      </c>
      <c r="B6834" s="1" t="s">
        <v>27</v>
      </c>
      <c r="C6834" s="1" t="s">
        <v>33808</v>
      </c>
      <c r="D6834" s="1" t="s">
        <v>17411</v>
      </c>
      <c r="E6834" s="1" t="s">
        <v>33809</v>
      </c>
      <c r="F6834" s="1" t="s">
        <v>63</v>
      </c>
      <c r="G6834" s="1" t="s">
        <v>25185</v>
      </c>
      <c r="H6834" s="1">
        <v>2018.0</v>
      </c>
      <c r="I6834" s="1" t="s">
        <v>136</v>
      </c>
      <c r="J6834" s="1" t="s">
        <v>2281</v>
      </c>
      <c r="K6834" s="1" t="s">
        <v>805</v>
      </c>
      <c r="L6834" s="1" t="s">
        <v>33810</v>
      </c>
      <c r="M6834" s="2" t="s">
        <v>12</v>
      </c>
      <c r="N6834" s="4">
        <f t="shared" si="1"/>
        <v>43282</v>
      </c>
      <c r="O6834" s="5" t="str">
        <f>IFERROR(__xludf.DUMMYFUNCTION("IF(REGEXMATCH(TRIM(I6834), ""^\d+\s*min""), ""Unclassified"", IF(I6834 = """", ""NR"", I6834))"),"TV-PG")</f>
        <v>TV-PG</v>
      </c>
      <c r="R6834" s="5" t="str">
        <f t="shared" si="2"/>
        <v>Gemini</v>
      </c>
      <c r="S6834" s="5" t="str">
        <f>IFERROR(__xludf.DUMMYFUNCTION("""COMPUTED_VALUE"""),"The Accidental Spy")</f>
        <v>The Accidental Spy</v>
      </c>
      <c r="V6834" s="5"/>
      <c r="Y6834" s="5" t="str">
        <f>IFERROR(__xludf.DUMMYFUNCTION("REGEXEXTRACT(J6834, ""^\d+"")"),"130")</f>
        <v>130</v>
      </c>
      <c r="Z6834" s="5" t="str">
        <f>IFERROR(__xludf.DUMMYFUNCTION("REGEXEXTRACT(J6834, ""[A-Za-z ]+$"")")," min")</f>
        <v> min</v>
      </c>
      <c r="AA6834" s="5" t="str">
        <f>IFERROR(__xludf.DUMMYFUNCTION("IF(REGEXMATCH(Z6834, ""Season""), ""TV Show"", ""Movie"")"),"Movie")</f>
        <v>Movie</v>
      </c>
    </row>
    <row r="6835">
      <c r="A6835" s="1" t="s">
        <v>33811</v>
      </c>
      <c r="B6835" s="1" t="s">
        <v>27</v>
      </c>
      <c r="C6835" s="1" t="s">
        <v>33812</v>
      </c>
      <c r="E6835" s="1" t="s">
        <v>33813</v>
      </c>
      <c r="F6835" s="1" t="s">
        <v>30</v>
      </c>
      <c r="G6835" s="1" t="s">
        <v>26295</v>
      </c>
      <c r="H6835" s="1">
        <v>2017.0</v>
      </c>
      <c r="I6835" s="1" t="s">
        <v>136</v>
      </c>
      <c r="J6835" s="1" t="s">
        <v>33</v>
      </c>
      <c r="K6835" s="1" t="s">
        <v>1212</v>
      </c>
      <c r="L6835" s="1" t="s">
        <v>33814</v>
      </c>
      <c r="M6835" s="2" t="s">
        <v>12</v>
      </c>
      <c r="N6835" s="4">
        <f t="shared" si="1"/>
        <v>43132</v>
      </c>
      <c r="O6835" s="5" t="str">
        <f>IFERROR(__xludf.DUMMYFUNCTION("IF(REGEXMATCH(TRIM(I6835), ""^\d+\s*min""), ""Unclassified"", IF(I6835 = """", ""NR"", I6835))"),"TV-PG")</f>
        <v>TV-PG</v>
      </c>
      <c r="R6835" s="5" t="str">
        <f t="shared" si="2"/>
        <v>Gender Revolution: A Journey With Katie Couric</v>
      </c>
      <c r="S6835" s="5" t="str">
        <f>IFERROR(__xludf.DUMMYFUNCTION("""COMPUTED_VALUE"""),"The Accountant Of Auschwitz")</f>
        <v>The Accountant Of Auschwitz</v>
      </c>
      <c r="V6835" s="5"/>
      <c r="Y6835" s="5" t="str">
        <f>IFERROR(__xludf.DUMMYFUNCTION("REGEXEXTRACT(J6835, ""^\d+"")"),"90")</f>
        <v>90</v>
      </c>
      <c r="Z6835" s="5" t="str">
        <f>IFERROR(__xludf.DUMMYFUNCTION("REGEXEXTRACT(J6835, ""[A-Za-z ]+$"")")," min")</f>
        <v> min</v>
      </c>
      <c r="AA6835" s="5" t="str">
        <f>IFERROR(__xludf.DUMMYFUNCTION("IF(REGEXMATCH(Z6835, ""Season""), ""TV Show"", ""Movie"")"),"Movie")</f>
        <v>Movie</v>
      </c>
    </row>
    <row r="6836">
      <c r="A6836" s="1" t="s">
        <v>33815</v>
      </c>
      <c r="B6836" s="1" t="s">
        <v>37</v>
      </c>
      <c r="C6836" s="1" t="s">
        <v>33816</v>
      </c>
      <c r="E6836" s="1" t="s">
        <v>33817</v>
      </c>
      <c r="F6836" s="1" t="s">
        <v>96</v>
      </c>
      <c r="G6836" s="1" t="s">
        <v>27569</v>
      </c>
      <c r="H6836" s="1">
        <v>2015.0</v>
      </c>
      <c r="I6836" s="1" t="s">
        <v>136</v>
      </c>
      <c r="J6836" s="1" t="s">
        <v>51</v>
      </c>
      <c r="K6836" s="1" t="s">
        <v>544</v>
      </c>
      <c r="L6836" s="1" t="s">
        <v>33818</v>
      </c>
      <c r="M6836" s="2" t="s">
        <v>12</v>
      </c>
      <c r="N6836" s="4">
        <f t="shared" si="1"/>
        <v>42948</v>
      </c>
      <c r="O6836" s="5" t="str">
        <f>IFERROR(__xludf.DUMMYFUNCTION("IF(REGEXMATCH(TRIM(I6836), ""^\d+\s*min""), ""Unclassified"", IF(I6836 = """", ""NR"", I6836))"),"TV-PG")</f>
        <v>TV-PG</v>
      </c>
      <c r="R6836" s="5" t="str">
        <f t="shared" si="2"/>
        <v>Genius Of The Ancient World</v>
      </c>
      <c r="S6836" s="5" t="str">
        <f>IFERROR(__xludf.DUMMYFUNCTION("""COMPUTED_VALUE"""),"The Adderall Diaries")</f>
        <v>The Adderall Diaries</v>
      </c>
      <c r="V6836" s="5"/>
      <c r="Y6836" s="5" t="str">
        <f>IFERROR(__xludf.DUMMYFUNCTION("REGEXEXTRACT(J6836, ""^\d+"")"),"1")</f>
        <v>1</v>
      </c>
      <c r="Z6836" s="5" t="str">
        <f>IFERROR(__xludf.DUMMYFUNCTION("REGEXEXTRACT(J6836, ""[A-Za-z ]+$"")")," Season")</f>
        <v> Season</v>
      </c>
      <c r="AA6836" s="5" t="str">
        <f>IFERROR(__xludf.DUMMYFUNCTION("IF(REGEXMATCH(Z6836, ""Season""), ""TV Show"", ""Movie"")"),"TV Show")</f>
        <v>TV Show</v>
      </c>
    </row>
    <row r="6837">
      <c r="A6837" s="1" t="s">
        <v>33819</v>
      </c>
      <c r="B6837" s="1" t="s">
        <v>37</v>
      </c>
      <c r="C6837" s="1" t="s">
        <v>33820</v>
      </c>
      <c r="E6837" s="1" t="s">
        <v>33817</v>
      </c>
      <c r="F6837" s="1" t="s">
        <v>96</v>
      </c>
      <c r="G6837" s="1" t="s">
        <v>27569</v>
      </c>
      <c r="H6837" s="1">
        <v>2016.0</v>
      </c>
      <c r="I6837" s="1" t="s">
        <v>136</v>
      </c>
      <c r="J6837" s="1" t="s">
        <v>51</v>
      </c>
      <c r="K6837" s="1" t="s">
        <v>544</v>
      </c>
      <c r="L6837" s="1" t="s">
        <v>33821</v>
      </c>
      <c r="M6837" s="2" t="s">
        <v>12</v>
      </c>
      <c r="N6837" s="4">
        <f t="shared" si="1"/>
        <v>42948</v>
      </c>
      <c r="O6837" s="5" t="str">
        <f>IFERROR(__xludf.DUMMYFUNCTION("IF(REGEXMATCH(TRIM(I6837), ""^\d+\s*min""), ""Unclassified"", IF(I6837 = """", ""NR"", I6837))"),"TV-PG")</f>
        <v>TV-PG</v>
      </c>
      <c r="R6837" s="5" t="str">
        <f t="shared" si="2"/>
        <v>Genius Of The Modern World</v>
      </c>
      <c r="S6837" s="5" t="str">
        <f>IFERROR(__xludf.DUMMYFUNCTION("""COMPUTED_VALUE"""),"The Adjusters")</f>
        <v>The Adjusters</v>
      </c>
      <c r="V6837" s="5"/>
      <c r="Y6837" s="5" t="str">
        <f>IFERROR(__xludf.DUMMYFUNCTION("REGEXEXTRACT(J6837, ""^\d+"")"),"1")</f>
        <v>1</v>
      </c>
      <c r="Z6837" s="5" t="str">
        <f>IFERROR(__xludf.DUMMYFUNCTION("REGEXEXTRACT(J6837, ""[A-Za-z ]+$"")")," Season")</f>
        <v> Season</v>
      </c>
      <c r="AA6837" s="5" t="str">
        <f>IFERROR(__xludf.DUMMYFUNCTION("IF(REGEXMATCH(Z6837, ""Season""), ""TV Show"", ""Movie"")"),"TV Show")</f>
        <v>TV Show</v>
      </c>
    </row>
    <row r="6838">
      <c r="A6838" s="1" t="s">
        <v>33822</v>
      </c>
      <c r="B6838" s="1" t="s">
        <v>37</v>
      </c>
      <c r="C6838" s="1" t="s">
        <v>33823</v>
      </c>
      <c r="E6838" s="1" t="s">
        <v>33824</v>
      </c>
      <c r="F6838" s="1" t="s">
        <v>3834</v>
      </c>
      <c r="G6838" s="1" t="s">
        <v>29673</v>
      </c>
      <c r="H6838" s="1">
        <v>2016.0</v>
      </c>
      <c r="I6838" s="1" t="s">
        <v>42</v>
      </c>
      <c r="J6838" s="1" t="s">
        <v>51</v>
      </c>
      <c r="K6838" s="1" t="s">
        <v>2768</v>
      </c>
      <c r="L6838" s="1" t="s">
        <v>33825</v>
      </c>
      <c r="M6838" s="2" t="s">
        <v>12</v>
      </c>
      <c r="N6838" s="4">
        <f t="shared" si="1"/>
        <v>42522</v>
      </c>
      <c r="O6838" s="5" t="str">
        <f>IFERROR(__xludf.DUMMYFUNCTION("IF(REGEXMATCH(TRIM(I6838), ""^\d+\s*min""), ""Unclassified"", IF(I6838 = """", ""NR"", I6838))"),"TV-MA")</f>
        <v>TV-MA</v>
      </c>
      <c r="R6838" s="5" t="str">
        <f t="shared" si="2"/>
        <v>Gentlemen And Gangsters</v>
      </c>
      <c r="S6838" s="5" t="str">
        <f>IFERROR(__xludf.DUMMYFUNCTION("""COMPUTED_VALUE"""),"The Adventure Club")</f>
        <v>The Adventure Club</v>
      </c>
      <c r="V6838" s="5"/>
      <c r="Y6838" s="5" t="str">
        <f>IFERROR(__xludf.DUMMYFUNCTION("REGEXEXTRACT(J6838, ""^\d+"")"),"1")</f>
        <v>1</v>
      </c>
      <c r="Z6838" s="5" t="str">
        <f>IFERROR(__xludf.DUMMYFUNCTION("REGEXEXTRACT(J6838, ""[A-Za-z ]+$"")")," Season")</f>
        <v> Season</v>
      </c>
      <c r="AA6838" s="5" t="str">
        <f>IFERROR(__xludf.DUMMYFUNCTION("IF(REGEXMATCH(Z6838, ""Season""), ""TV Show"", ""Movie"")"),"TV Show")</f>
        <v>TV Show</v>
      </c>
    </row>
    <row r="6839">
      <c r="A6839" s="1" t="s">
        <v>33826</v>
      </c>
      <c r="B6839" s="1" t="s">
        <v>27</v>
      </c>
      <c r="C6839" s="1" t="s">
        <v>33827</v>
      </c>
      <c r="D6839" s="1" t="s">
        <v>5947</v>
      </c>
      <c r="E6839" s="1" t="s">
        <v>33828</v>
      </c>
      <c r="F6839" s="1" t="s">
        <v>5656</v>
      </c>
      <c r="G6839" s="1" t="s">
        <v>28893</v>
      </c>
      <c r="H6839" s="1">
        <v>2003.0</v>
      </c>
      <c r="I6839" s="1" t="s">
        <v>78</v>
      </c>
      <c r="J6839" s="1" t="s">
        <v>630</v>
      </c>
      <c r="K6839" s="1" t="s">
        <v>137</v>
      </c>
      <c r="L6839" s="1" t="s">
        <v>33829</v>
      </c>
      <c r="M6839" s="2" t="s">
        <v>12</v>
      </c>
      <c r="N6839" s="4">
        <f t="shared" si="1"/>
        <v>42724</v>
      </c>
      <c r="O6839" s="5" t="str">
        <f>IFERROR(__xludf.DUMMYFUNCTION("IF(REGEXMATCH(TRIM(I6839), ""^\d+\s*min""), ""Unclassified"", IF(I6839 = """", ""NR"", I6839))"),"PG")</f>
        <v>PG</v>
      </c>
      <c r="R6839" s="5" t="str">
        <f t="shared" si="2"/>
        <v>George Of The Jungle 2</v>
      </c>
      <c r="S6839" s="5" t="str">
        <f>IFERROR(__xludf.DUMMYFUNCTION("""COMPUTED_VALUE"""),"The Adventures Of Figaro Pho")</f>
        <v>The Adventures Of Figaro Pho</v>
      </c>
      <c r="V6839" s="5"/>
      <c r="Y6839" s="5" t="str">
        <f>IFERROR(__xludf.DUMMYFUNCTION("REGEXEXTRACT(J6839, ""^\d+"")"),"87")</f>
        <v>87</v>
      </c>
      <c r="Z6839" s="5" t="str">
        <f>IFERROR(__xludf.DUMMYFUNCTION("REGEXEXTRACT(J6839, ""[A-Za-z ]+$"")")," min")</f>
        <v> min</v>
      </c>
      <c r="AA6839" s="5" t="str">
        <f>IFERROR(__xludf.DUMMYFUNCTION("IF(REGEXMATCH(Z6839, ""Season""), ""TV Show"", ""Movie"")"),"Movie")</f>
        <v>Movie</v>
      </c>
    </row>
    <row r="6840">
      <c r="A6840" s="1" t="s">
        <v>33830</v>
      </c>
      <c r="B6840" s="1" t="s">
        <v>37</v>
      </c>
      <c r="C6840" s="1" t="s">
        <v>33831</v>
      </c>
      <c r="D6840" s="1" t="s">
        <v>8847</v>
      </c>
      <c r="E6840" s="1" t="s">
        <v>33832</v>
      </c>
      <c r="F6840" s="1" t="s">
        <v>33833</v>
      </c>
      <c r="G6840" s="1" t="s">
        <v>26505</v>
      </c>
      <c r="H6840" s="1">
        <v>2011.0</v>
      </c>
      <c r="I6840" s="1" t="s">
        <v>206</v>
      </c>
      <c r="J6840" s="1" t="s">
        <v>51</v>
      </c>
      <c r="K6840" s="1" t="s">
        <v>314</v>
      </c>
      <c r="L6840" s="1" t="s">
        <v>33834</v>
      </c>
      <c r="M6840" s="2" t="s">
        <v>12</v>
      </c>
      <c r="N6840" s="4">
        <f t="shared" si="1"/>
        <v>43100</v>
      </c>
      <c r="O6840" s="5" t="str">
        <f>IFERROR(__xludf.DUMMYFUNCTION("IF(REGEXMATCH(TRIM(I6840), ""^\d+\s*min""), ""Unclassified"", IF(I6840 = """", ""NR"", I6840))"),"TV-Y")</f>
        <v>TV-Y</v>
      </c>
      <c r="R6840" s="5" t="str">
        <f t="shared" si="2"/>
        <v>Geronimo Stilton</v>
      </c>
      <c r="S6840" s="5" t="str">
        <f>IFERROR(__xludf.DUMMYFUNCTION("""COMPUTED_VALUE"""),"The Adventures Of Puss In Boots")</f>
        <v>The Adventures Of Puss In Boots</v>
      </c>
      <c r="V6840" s="5"/>
      <c r="Y6840" s="5" t="str">
        <f>IFERROR(__xludf.DUMMYFUNCTION("REGEXEXTRACT(J6840, ""^\d+"")"),"1")</f>
        <v>1</v>
      </c>
      <c r="Z6840" s="5" t="str">
        <f>IFERROR(__xludf.DUMMYFUNCTION("REGEXEXTRACT(J6840, ""[A-Za-z ]+$"")")," Season")</f>
        <v> Season</v>
      </c>
      <c r="AA6840" s="5" t="str">
        <f>IFERROR(__xludf.DUMMYFUNCTION("IF(REGEXMATCH(Z6840, ""Season""), ""TV Show"", ""Movie"")"),"TV Show")</f>
        <v>TV Show</v>
      </c>
    </row>
    <row r="6841">
      <c r="A6841" s="1" t="s">
        <v>33835</v>
      </c>
      <c r="B6841" s="1" t="s">
        <v>27</v>
      </c>
      <c r="C6841" s="1" t="s">
        <v>33836</v>
      </c>
      <c r="D6841" s="1" t="s">
        <v>16783</v>
      </c>
      <c r="E6841" s="1" t="s">
        <v>33837</v>
      </c>
      <c r="F6841" s="1" t="s">
        <v>30</v>
      </c>
      <c r="G6841" s="1" t="s">
        <v>16748</v>
      </c>
      <c r="H6841" s="1">
        <v>2010.0</v>
      </c>
      <c r="I6841" s="1" t="s">
        <v>378</v>
      </c>
      <c r="J6841" s="1" t="s">
        <v>1065</v>
      </c>
      <c r="K6841" s="1" t="s">
        <v>1034</v>
      </c>
      <c r="L6841" s="1" t="s">
        <v>33838</v>
      </c>
      <c r="M6841" s="2" t="s">
        <v>12</v>
      </c>
      <c r="N6841" s="4">
        <f t="shared" si="1"/>
        <v>43846</v>
      </c>
      <c r="O6841" s="5" t="str">
        <f>IFERROR(__xludf.DUMMYFUNCTION("IF(REGEXMATCH(TRIM(I6841), ""^\d+\s*min""), ""Unclassified"", IF(I6841 = """", ""NR"", I6841))"),"R")</f>
        <v>R</v>
      </c>
      <c r="R6841" s="5" t="str">
        <f t="shared" si="2"/>
        <v>Get Him To The Greek</v>
      </c>
      <c r="S6841" s="5" t="str">
        <f>IFERROR(__xludf.DUMMYFUNCTION("""COMPUTED_VALUE"""),"The Adventures Of Sharkboy And Lavagirl")</f>
        <v>The Adventures Of Sharkboy And Lavagirl</v>
      </c>
      <c r="V6841" s="5"/>
      <c r="Y6841" s="5" t="str">
        <f>IFERROR(__xludf.DUMMYFUNCTION("REGEXEXTRACT(J6841, ""^\d+"")"),"109")</f>
        <v>109</v>
      </c>
      <c r="Z6841" s="5" t="str">
        <f>IFERROR(__xludf.DUMMYFUNCTION("REGEXEXTRACT(J6841, ""[A-Za-z ]+$"")")," min")</f>
        <v> min</v>
      </c>
      <c r="AA6841" s="5" t="str">
        <f>IFERROR(__xludf.DUMMYFUNCTION("IF(REGEXMATCH(Z6841, ""Season""), ""TV Show"", ""Movie"")"),"Movie")</f>
        <v>Movie</v>
      </c>
    </row>
    <row r="6842">
      <c r="A6842" s="1" t="s">
        <v>33839</v>
      </c>
      <c r="B6842" s="1" t="s">
        <v>27</v>
      </c>
      <c r="C6842" s="1" t="s">
        <v>33840</v>
      </c>
      <c r="D6842" s="1" t="s">
        <v>4987</v>
      </c>
      <c r="E6842" s="1" t="s">
        <v>33841</v>
      </c>
      <c r="F6842" s="1" t="s">
        <v>686</v>
      </c>
      <c r="G6842" s="1" t="s">
        <v>33842</v>
      </c>
      <c r="H6842" s="1">
        <v>2014.0</v>
      </c>
      <c r="I6842" s="1" t="s">
        <v>78</v>
      </c>
      <c r="J6842" s="1" t="s">
        <v>238</v>
      </c>
      <c r="K6842" s="1" t="s">
        <v>137</v>
      </c>
      <c r="L6842" s="1" t="s">
        <v>33843</v>
      </c>
      <c r="M6842" s="2" t="s">
        <v>12</v>
      </c>
      <c r="N6842" s="4">
        <f t="shared" si="1"/>
        <v>41985</v>
      </c>
      <c r="O6842" s="5" t="str">
        <f>IFERROR(__xludf.DUMMYFUNCTION("IF(REGEXMATCH(TRIM(I6842), ""^\d+\s*min""), ""Unclassified"", IF(I6842 = """", ""NR"", I6842))"),"PG")</f>
        <v>PG</v>
      </c>
      <c r="R6842" s="5" t="str">
        <f t="shared" si="2"/>
        <v>Get Santa</v>
      </c>
      <c r="S6842" s="5" t="str">
        <f>IFERROR(__xludf.DUMMYFUNCTION("""COMPUTED_VALUE"""),"The Adventures Of Sonic The Hedgehog")</f>
        <v>The Adventures Of Sonic The Hedgehog</v>
      </c>
      <c r="V6842" s="5"/>
      <c r="Y6842" s="5" t="str">
        <f>IFERROR(__xludf.DUMMYFUNCTION("REGEXEXTRACT(J6842, ""^\d+"")"),"103")</f>
        <v>103</v>
      </c>
      <c r="Z6842" s="5" t="str">
        <f>IFERROR(__xludf.DUMMYFUNCTION("REGEXEXTRACT(J6842, ""[A-Za-z ]+$"")")," min")</f>
        <v> min</v>
      </c>
      <c r="AA6842" s="5" t="str">
        <f>IFERROR(__xludf.DUMMYFUNCTION("IF(REGEXMATCH(Z6842, ""Season""), ""TV Show"", ""Movie"")"),"Movie")</f>
        <v>Movie</v>
      </c>
    </row>
    <row r="6843">
      <c r="A6843" s="1" t="s">
        <v>33844</v>
      </c>
      <c r="B6843" s="1" t="s">
        <v>37</v>
      </c>
      <c r="C6843" s="1" t="s">
        <v>33845</v>
      </c>
      <c r="E6843" s="1" t="s">
        <v>33846</v>
      </c>
      <c r="F6843" s="1" t="s">
        <v>30</v>
      </c>
      <c r="G6843" s="1" t="s">
        <v>23564</v>
      </c>
      <c r="H6843" s="1">
        <v>2017.0</v>
      </c>
      <c r="I6843" s="1" t="s">
        <v>42</v>
      </c>
      <c r="J6843" s="1" t="s">
        <v>51</v>
      </c>
      <c r="K6843" s="1" t="s">
        <v>605</v>
      </c>
      <c r="L6843" s="1" t="s">
        <v>33847</v>
      </c>
      <c r="M6843" s="2" t="s">
        <v>12</v>
      </c>
      <c r="N6843" s="4">
        <f t="shared" si="1"/>
        <v>43405</v>
      </c>
      <c r="O6843" s="5" t="str">
        <f>IFERROR(__xludf.DUMMYFUNCTION("IF(REGEXMATCH(TRIM(I6843), ""^\d+\s*min""), ""Unclassified"", IF(I6843 = """", ""NR"", I6843))"),"TV-MA")</f>
        <v>TV-MA</v>
      </c>
      <c r="R6843" s="5" t="str">
        <f t="shared" si="2"/>
        <v>Get Shorty</v>
      </c>
      <c r="S6843" s="5" t="str">
        <f>IFERROR(__xludf.DUMMYFUNCTION("""COMPUTED_VALUE"""),"The Adventures Of Tintin")</f>
        <v>The Adventures Of Tintin</v>
      </c>
      <c r="V6843" s="5"/>
      <c r="Y6843" s="5" t="str">
        <f>IFERROR(__xludf.DUMMYFUNCTION("REGEXEXTRACT(J6843, ""^\d+"")"),"1")</f>
        <v>1</v>
      </c>
      <c r="Z6843" s="5" t="str">
        <f>IFERROR(__xludf.DUMMYFUNCTION("REGEXEXTRACT(J6843, ""[A-Za-z ]+$"")")," Season")</f>
        <v> Season</v>
      </c>
      <c r="AA6843" s="5" t="str">
        <f>IFERROR(__xludf.DUMMYFUNCTION("IF(REGEXMATCH(Z6843, ""Season""), ""TV Show"", ""Movie"")"),"TV Show")</f>
        <v>TV Show</v>
      </c>
    </row>
    <row r="6844">
      <c r="A6844" s="1" t="s">
        <v>33848</v>
      </c>
      <c r="B6844" s="1" t="s">
        <v>27</v>
      </c>
      <c r="C6844" s="1" t="s">
        <v>33849</v>
      </c>
      <c r="D6844" s="1" t="s">
        <v>1254</v>
      </c>
      <c r="E6844" s="1" t="s">
        <v>33850</v>
      </c>
      <c r="F6844" s="1" t="s">
        <v>30</v>
      </c>
      <c r="G6844" s="1" t="s">
        <v>21360</v>
      </c>
      <c r="H6844" s="1">
        <v>2008.0</v>
      </c>
      <c r="I6844" s="1" t="s">
        <v>32</v>
      </c>
      <c r="J6844" s="1" t="s">
        <v>297</v>
      </c>
      <c r="K6844" s="1" t="s">
        <v>973</v>
      </c>
      <c r="L6844" s="1" t="s">
        <v>33851</v>
      </c>
      <c r="M6844" s="2" t="s">
        <v>12</v>
      </c>
      <c r="N6844" s="4">
        <f t="shared" si="1"/>
        <v>43556</v>
      </c>
      <c r="O6844" s="5" t="str">
        <f>IFERROR(__xludf.DUMMYFUNCTION("IF(REGEXMATCH(TRIM(I6844), ""^\d+\s*min""), ""Unclassified"", IF(I6844 = """", ""NR"", I6844))"),"PG-13")</f>
        <v>PG-13</v>
      </c>
      <c r="R6844" s="5" t="str">
        <f t="shared" si="2"/>
        <v>Get Smart</v>
      </c>
      <c r="S6844" s="5" t="str">
        <f>IFERROR(__xludf.DUMMYFUNCTION("""COMPUTED_VALUE"""),"The Aerial")</f>
        <v>The Aerial</v>
      </c>
      <c r="V6844" s="5"/>
      <c r="Y6844" s="5" t="str">
        <f>IFERROR(__xludf.DUMMYFUNCTION("REGEXEXTRACT(J6844, ""^\d+"")"),"110")</f>
        <v>110</v>
      </c>
      <c r="Z6844" s="5" t="str">
        <f>IFERROR(__xludf.DUMMYFUNCTION("REGEXEXTRACT(J6844, ""[A-Za-z ]+$"")")," min")</f>
        <v> min</v>
      </c>
      <c r="AA6844" s="5" t="str">
        <f>IFERROR(__xludf.DUMMYFUNCTION("IF(REGEXMATCH(Z6844, ""Season""), ""TV Show"", ""Movie"")"),"Movie")</f>
        <v>Movie</v>
      </c>
    </row>
    <row r="6845">
      <c r="A6845" s="1" t="s">
        <v>33852</v>
      </c>
      <c r="B6845" s="1" t="s">
        <v>27</v>
      </c>
      <c r="C6845" s="1" t="s">
        <v>33853</v>
      </c>
      <c r="D6845" s="1" t="s">
        <v>6144</v>
      </c>
      <c r="E6845" s="1" t="s">
        <v>33854</v>
      </c>
      <c r="F6845" s="1" t="s">
        <v>30</v>
      </c>
      <c r="G6845" s="1" t="s">
        <v>18333</v>
      </c>
      <c r="H6845" s="1">
        <v>2005.0</v>
      </c>
      <c r="I6845" s="1" t="s">
        <v>32</v>
      </c>
      <c r="J6845" s="1" t="s">
        <v>471</v>
      </c>
      <c r="K6845" s="1" t="s">
        <v>813</v>
      </c>
      <c r="L6845" s="1" t="s">
        <v>33855</v>
      </c>
      <c r="M6845" s="2" t="s">
        <v>12</v>
      </c>
      <c r="N6845" s="4">
        <f t="shared" si="1"/>
        <v>43770</v>
      </c>
      <c r="O6845" s="5" t="str">
        <f>IFERROR(__xludf.DUMMYFUNCTION("IF(REGEXMATCH(TRIM(I6845), ""^\d+\s*min""), ""Unclassified"", IF(I6845 = """", ""NR"", I6845))"),"PG-13")</f>
        <v>PG-13</v>
      </c>
      <c r="R6845" s="5" t="str">
        <f t="shared" si="2"/>
        <v>Getting Played</v>
      </c>
      <c r="S6845" s="5" t="str">
        <f>IFERROR(__xludf.DUMMYFUNCTION("""COMPUTED_VALUE"""),"The African Doctor")</f>
        <v>The African Doctor</v>
      </c>
      <c r="V6845" s="5"/>
      <c r="Y6845" s="5" t="str">
        <f>IFERROR(__xludf.DUMMYFUNCTION("REGEXEXTRACT(J6845, ""^\d+"")"),"85")</f>
        <v>85</v>
      </c>
      <c r="Z6845" s="5" t="str">
        <f>IFERROR(__xludf.DUMMYFUNCTION("REGEXEXTRACT(J6845, ""[A-Za-z ]+$"")")," min")</f>
        <v> min</v>
      </c>
      <c r="AA6845" s="5" t="str">
        <f>IFERROR(__xludf.DUMMYFUNCTION("IF(REGEXMATCH(Z6845, ""Season""), ""TV Show"", ""Movie"")"),"Movie")</f>
        <v>Movie</v>
      </c>
    </row>
    <row r="6846">
      <c r="A6846" s="1" t="s">
        <v>33856</v>
      </c>
      <c r="B6846" s="1" t="s">
        <v>27</v>
      </c>
      <c r="C6846" s="1" t="s">
        <v>33857</v>
      </c>
      <c r="D6846" s="1" t="s">
        <v>10390</v>
      </c>
      <c r="E6846" s="1" t="s">
        <v>33858</v>
      </c>
      <c r="F6846" s="1" t="s">
        <v>63</v>
      </c>
      <c r="G6846" s="1" t="s">
        <v>17078</v>
      </c>
      <c r="H6846" s="1">
        <v>1990.0</v>
      </c>
      <c r="I6846" s="1" t="s">
        <v>97</v>
      </c>
      <c r="J6846" s="1" t="s">
        <v>24904</v>
      </c>
      <c r="K6846" s="1" t="s">
        <v>306</v>
      </c>
      <c r="L6846" s="1" t="s">
        <v>33859</v>
      </c>
      <c r="M6846" s="2" t="s">
        <v>12</v>
      </c>
      <c r="N6846" s="4">
        <f t="shared" si="1"/>
        <v>43830</v>
      </c>
      <c r="O6846" s="5" t="str">
        <f>IFERROR(__xludf.DUMMYFUNCTION("IF(REGEXMATCH(TRIM(I6846), ""^\d+\s*min""), ""Unclassified"", IF(I6846 = """", ""NR"", I6846))"),"TV-14")</f>
        <v>TV-14</v>
      </c>
      <c r="R6846" s="5" t="str">
        <f t="shared" si="2"/>
        <v>Ghayal</v>
      </c>
      <c r="S6846" s="5" t="str">
        <f>IFERROR(__xludf.DUMMYFUNCTION("""COMPUTED_VALUE"""),"The After Party")</f>
        <v>The After Party</v>
      </c>
      <c r="V6846" s="5"/>
      <c r="Y6846" s="5" t="str">
        <f>IFERROR(__xludf.DUMMYFUNCTION("REGEXEXTRACT(J6846, ""^\d+"")"),"163")</f>
        <v>163</v>
      </c>
      <c r="Z6846" s="5" t="str">
        <f>IFERROR(__xludf.DUMMYFUNCTION("REGEXEXTRACT(J6846, ""[A-Za-z ]+$"")")," min")</f>
        <v> min</v>
      </c>
      <c r="AA6846" s="5" t="str">
        <f>IFERROR(__xludf.DUMMYFUNCTION("IF(REGEXMATCH(Z6846, ""Season""), ""TV Show"", ""Movie"")"),"Movie")</f>
        <v>Movie</v>
      </c>
    </row>
    <row r="6847">
      <c r="A6847" s="1" t="s">
        <v>33860</v>
      </c>
      <c r="B6847" s="1" t="s">
        <v>27</v>
      </c>
      <c r="C6847" s="1" t="s">
        <v>33861</v>
      </c>
      <c r="D6847" s="1" t="s">
        <v>19095</v>
      </c>
      <c r="E6847" s="1" t="s">
        <v>33862</v>
      </c>
      <c r="F6847" s="1" t="s">
        <v>11476</v>
      </c>
      <c r="G6847" s="1" t="s">
        <v>26505</v>
      </c>
      <c r="H6847" s="1">
        <v>2017.0</v>
      </c>
      <c r="I6847" s="1" t="s">
        <v>42</v>
      </c>
      <c r="J6847" s="1" t="s">
        <v>433</v>
      </c>
      <c r="K6847" s="1" t="s">
        <v>1551</v>
      </c>
      <c r="L6847" s="1" t="s">
        <v>33863</v>
      </c>
      <c r="M6847" s="2" t="s">
        <v>12</v>
      </c>
      <c r="N6847" s="4">
        <f t="shared" si="1"/>
        <v>43100</v>
      </c>
      <c r="O6847" s="5" t="str">
        <f>IFERROR(__xludf.DUMMYFUNCTION("IF(REGEXMATCH(TRIM(I6847), ""^\d+\s*min""), ""Unclassified"", IF(I6847 = """", ""NR"", I6847))"),"TV-MA")</f>
        <v>TV-MA</v>
      </c>
      <c r="R6847" s="5" t="str">
        <f t="shared" si="2"/>
        <v>Ghost House</v>
      </c>
      <c r="S6847" s="5" t="str">
        <f>IFERROR(__xludf.DUMMYFUNCTION("""COMPUTED_VALUE"""),"The Age Of Shadows")</f>
        <v>The Age Of Shadows</v>
      </c>
      <c r="V6847" s="5"/>
      <c r="Y6847" s="5" t="str">
        <f>IFERROR(__xludf.DUMMYFUNCTION("REGEXEXTRACT(J6847, ""^\d+"")"),"100")</f>
        <v>100</v>
      </c>
      <c r="Z6847" s="5" t="str">
        <f>IFERROR(__xludf.DUMMYFUNCTION("REGEXEXTRACT(J6847, ""[A-Za-z ]+$"")")," min")</f>
        <v> min</v>
      </c>
      <c r="AA6847" s="5" t="str">
        <f>IFERROR(__xludf.DUMMYFUNCTION("IF(REGEXMATCH(Z6847, ""Season""), ""TV Show"", ""Movie"")"),"Movie")</f>
        <v>Movie</v>
      </c>
    </row>
    <row r="6848">
      <c r="A6848" s="1" t="s">
        <v>33864</v>
      </c>
      <c r="B6848" s="1" t="s">
        <v>27</v>
      </c>
      <c r="C6848" s="1" t="s">
        <v>33865</v>
      </c>
      <c r="D6848" s="1" t="s">
        <v>12577</v>
      </c>
      <c r="E6848" s="1" t="s">
        <v>33866</v>
      </c>
      <c r="F6848" s="1" t="s">
        <v>415</v>
      </c>
      <c r="G6848" s="1" t="s">
        <v>33867</v>
      </c>
      <c r="H6848" s="1">
        <v>2013.0</v>
      </c>
      <c r="I6848" s="1" t="s">
        <v>42</v>
      </c>
      <c r="J6848" s="1" t="s">
        <v>4693</v>
      </c>
      <c r="K6848" s="1" t="s">
        <v>417</v>
      </c>
      <c r="L6848" s="1" t="s">
        <v>33868</v>
      </c>
      <c r="M6848" s="2" t="s">
        <v>12</v>
      </c>
      <c r="N6848" s="4">
        <f t="shared" si="1"/>
        <v>43520</v>
      </c>
      <c r="O6848" s="5" t="str">
        <f>IFERROR(__xludf.DUMMYFUNCTION("IF(REGEXMATCH(TRIM(I6848), ""^\d+\s*min""), ""Unclassified"", IF(I6848 = """", ""NR"", I6848))"),"TV-MA")</f>
        <v>TV-MA</v>
      </c>
      <c r="R6848" s="5" t="str">
        <f t="shared" si="2"/>
        <v>Ghost Pain</v>
      </c>
      <c r="S6848" s="5" t="str">
        <f>IFERROR(__xludf.DUMMYFUNCTION("""COMPUTED_VALUE"""),"The Alcàsser Murders")</f>
        <v>The Alcàsser Murders</v>
      </c>
      <c r="V6848" s="5"/>
      <c r="Y6848" s="5" t="str">
        <f>IFERROR(__xludf.DUMMYFUNCTION("REGEXEXTRACT(J6848, ""^\d+"")"),"58")</f>
        <v>58</v>
      </c>
      <c r="Z6848" s="5" t="str">
        <f>IFERROR(__xludf.DUMMYFUNCTION("REGEXEXTRACT(J6848, ""[A-Za-z ]+$"")")," min")</f>
        <v> min</v>
      </c>
      <c r="AA6848" s="5" t="str">
        <f>IFERROR(__xludf.DUMMYFUNCTION("IF(REGEXMATCH(Z6848, ""Season""), ""TV Show"", ""Movie"")"),"Movie")</f>
        <v>Movie</v>
      </c>
    </row>
    <row r="6849">
      <c r="A6849" s="1" t="s">
        <v>33869</v>
      </c>
      <c r="B6849" s="1" t="s">
        <v>27</v>
      </c>
      <c r="C6849" s="1" t="s">
        <v>33870</v>
      </c>
      <c r="D6849" s="1" t="s">
        <v>11764</v>
      </c>
      <c r="E6849" s="1" t="s">
        <v>33871</v>
      </c>
      <c r="F6849" s="1" t="s">
        <v>5656</v>
      </c>
      <c r="G6849" s="1" t="s">
        <v>10969</v>
      </c>
      <c r="H6849" s="1">
        <v>2007.0</v>
      </c>
      <c r="I6849" s="1" t="s">
        <v>32</v>
      </c>
      <c r="J6849" s="1" t="s">
        <v>297</v>
      </c>
      <c r="K6849" s="1" t="s">
        <v>942</v>
      </c>
      <c r="L6849" s="1" t="s">
        <v>33872</v>
      </c>
      <c r="M6849" s="2" t="s">
        <v>12</v>
      </c>
      <c r="N6849" s="4">
        <f t="shared" si="1"/>
        <v>44105</v>
      </c>
      <c r="O6849" s="5" t="str">
        <f>IFERROR(__xludf.DUMMYFUNCTION("IF(REGEXMATCH(TRIM(I6849), ""^\d+\s*min""), ""Unclassified"", IF(I6849 = """", ""NR"", I6849))"),"PG-13")</f>
        <v>PG-13</v>
      </c>
      <c r="R6849" s="5" t="str">
        <f t="shared" si="2"/>
        <v>Ghost Rider</v>
      </c>
      <c r="S6849" s="5" t="str">
        <f>IFERROR(__xludf.DUMMYFUNCTION("""COMPUTED_VALUE"""),"The Amazing Praybeyt Benjamin")</f>
        <v>The Amazing Praybeyt Benjamin</v>
      </c>
      <c r="V6849" s="5"/>
      <c r="Y6849" s="5" t="str">
        <f>IFERROR(__xludf.DUMMYFUNCTION("REGEXEXTRACT(J6849, ""^\d+"")"),"110")</f>
        <v>110</v>
      </c>
      <c r="Z6849" s="5" t="str">
        <f>IFERROR(__xludf.DUMMYFUNCTION("REGEXEXTRACT(J6849, ""[A-Za-z ]+$"")")," min")</f>
        <v> min</v>
      </c>
      <c r="AA6849" s="5" t="str">
        <f>IFERROR(__xludf.DUMMYFUNCTION("IF(REGEXMATCH(Z6849, ""Season""), ""TV Show"", ""Movie"")"),"Movie")</f>
        <v>Movie</v>
      </c>
    </row>
    <row r="6850">
      <c r="A6850" s="1" t="s">
        <v>33873</v>
      </c>
      <c r="B6850" s="1" t="s">
        <v>27</v>
      </c>
      <c r="C6850" s="1" t="s">
        <v>33874</v>
      </c>
      <c r="D6850" s="1" t="s">
        <v>12569</v>
      </c>
      <c r="E6850" s="1" t="s">
        <v>33875</v>
      </c>
      <c r="F6850" s="1" t="s">
        <v>415</v>
      </c>
      <c r="G6850" s="1" t="s">
        <v>33867</v>
      </c>
      <c r="H6850" s="1">
        <v>2014.0</v>
      </c>
      <c r="I6850" s="1" t="s">
        <v>42</v>
      </c>
      <c r="J6850" s="1" t="s">
        <v>4693</v>
      </c>
      <c r="K6850" s="1" t="s">
        <v>417</v>
      </c>
      <c r="L6850" s="1" t="s">
        <v>33876</v>
      </c>
      <c r="M6850" s="2" t="s">
        <v>12</v>
      </c>
      <c r="N6850" s="4">
        <f t="shared" si="1"/>
        <v>43520</v>
      </c>
      <c r="O6850" s="5" t="str">
        <f>IFERROR(__xludf.DUMMYFUNCTION("IF(REGEXMATCH(TRIM(I6850), ""^\d+\s*min""), ""Unclassified"", IF(I6850 = """", ""NR"", I6850))"),"TV-MA")</f>
        <v>TV-MA</v>
      </c>
      <c r="R6850" s="5" t="str">
        <f t="shared" si="2"/>
        <v>Ghost Tears</v>
      </c>
      <c r="S6850" s="5" t="str">
        <f>IFERROR(__xludf.DUMMYFUNCTION("""COMPUTED_VALUE"""),"The American")</f>
        <v>The American</v>
      </c>
      <c r="V6850" s="5"/>
      <c r="Y6850" s="5" t="str">
        <f>IFERROR(__xludf.DUMMYFUNCTION("REGEXEXTRACT(J6850, ""^\d+"")"),"58")</f>
        <v>58</v>
      </c>
      <c r="Z6850" s="5" t="str">
        <f>IFERROR(__xludf.DUMMYFUNCTION("REGEXEXTRACT(J6850, ""[A-Za-z ]+$"")")," min")</f>
        <v> min</v>
      </c>
      <c r="AA6850" s="5" t="str">
        <f>IFERROR(__xludf.DUMMYFUNCTION("IF(REGEXMATCH(Z6850, ""Season""), ""TV Show"", ""Movie"")"),"Movie")</f>
        <v>Movie</v>
      </c>
    </row>
    <row r="6851">
      <c r="A6851" s="1" t="s">
        <v>33877</v>
      </c>
      <c r="B6851" s="1" t="s">
        <v>37</v>
      </c>
      <c r="C6851" s="1" t="s">
        <v>33878</v>
      </c>
      <c r="E6851" s="1" t="s">
        <v>33879</v>
      </c>
      <c r="F6851" s="1" t="s">
        <v>30</v>
      </c>
      <c r="G6851" s="1" t="s">
        <v>18971</v>
      </c>
      <c r="H6851" s="1">
        <v>2012.0</v>
      </c>
      <c r="I6851" s="1" t="s">
        <v>97</v>
      </c>
      <c r="J6851" s="1" t="s">
        <v>51</v>
      </c>
      <c r="K6851" s="1" t="s">
        <v>440</v>
      </c>
      <c r="L6851" s="1" t="s">
        <v>33880</v>
      </c>
      <c r="M6851" s="2" t="s">
        <v>12</v>
      </c>
      <c r="N6851" s="4">
        <f t="shared" si="1"/>
        <v>43740</v>
      </c>
      <c r="O6851" s="5" t="str">
        <f>IFERROR(__xludf.DUMMYFUNCTION("IF(REGEXMATCH(TRIM(I6851), ""^\d+\s*min""), ""Unclassified"", IF(I6851 = """", ""NR"", I6851))"),"TV-14")</f>
        <v>TV-14</v>
      </c>
      <c r="R6851" s="5" t="str">
        <f t="shared" si="2"/>
        <v>Ghost Town Gold</v>
      </c>
      <c r="S6851" s="5" t="str">
        <f>IFERROR(__xludf.DUMMYFUNCTION("""COMPUTED_VALUE"""),"The American Barbecue Showdown")</f>
        <v>The American Barbecue Showdown</v>
      </c>
      <c r="V6851" s="5"/>
      <c r="Y6851" s="5" t="str">
        <f>IFERROR(__xludf.DUMMYFUNCTION("REGEXEXTRACT(J6851, ""^\d+"")"),"1")</f>
        <v>1</v>
      </c>
      <c r="Z6851" s="5" t="str">
        <f>IFERROR(__xludf.DUMMYFUNCTION("REGEXEXTRACT(J6851, ""[A-Za-z ]+$"")")," Season")</f>
        <v> Season</v>
      </c>
      <c r="AA6851" s="5" t="str">
        <f>IFERROR(__xludf.DUMMYFUNCTION("IF(REGEXMATCH(Z6851, ""Season""), ""TV Show"", ""Movie"")"),"TV Show")</f>
        <v>TV Show</v>
      </c>
    </row>
    <row r="6852">
      <c r="A6852" s="1" t="s">
        <v>33881</v>
      </c>
      <c r="B6852" s="1" t="s">
        <v>27</v>
      </c>
      <c r="C6852" s="1" t="s">
        <v>33882</v>
      </c>
      <c r="D6852" s="1" t="s">
        <v>12569</v>
      </c>
      <c r="E6852" s="1" t="s">
        <v>33883</v>
      </c>
      <c r="F6852" s="1" t="s">
        <v>415</v>
      </c>
      <c r="G6852" s="1" t="s">
        <v>33867</v>
      </c>
      <c r="H6852" s="1">
        <v>2013.0</v>
      </c>
      <c r="I6852" s="1" t="s">
        <v>97</v>
      </c>
      <c r="J6852" s="1" t="s">
        <v>16845</v>
      </c>
      <c r="K6852" s="1" t="s">
        <v>417</v>
      </c>
      <c r="L6852" s="1" t="s">
        <v>33884</v>
      </c>
      <c r="M6852" s="2" t="s">
        <v>12</v>
      </c>
      <c r="N6852" s="4">
        <f t="shared" si="1"/>
        <v>43520</v>
      </c>
      <c r="O6852" s="5" t="str">
        <f>IFERROR(__xludf.DUMMYFUNCTION("IF(REGEXMATCH(TRIM(I6852), ""^\d+\s*min""), ""Unclassified"", IF(I6852 = """", ""NR"", I6852))"),"TV-14")</f>
        <v>TV-14</v>
      </c>
      <c r="R6852" s="5" t="str">
        <f t="shared" si="2"/>
        <v>Ghost Whispers</v>
      </c>
      <c r="S6852" s="5" t="str">
        <f>IFERROR(__xludf.DUMMYFUNCTION("""COMPUTED_VALUE"""),"The American Bible Challenge")</f>
        <v>The American Bible Challenge</v>
      </c>
      <c r="V6852" s="5"/>
      <c r="Y6852" s="5" t="str">
        <f>IFERROR(__xludf.DUMMYFUNCTION("REGEXEXTRACT(J6852, ""^\d+"")"),"56")</f>
        <v>56</v>
      </c>
      <c r="Z6852" s="5" t="str">
        <f>IFERROR(__xludf.DUMMYFUNCTION("REGEXEXTRACT(J6852, ""[A-Za-z ]+$"")")," min")</f>
        <v> min</v>
      </c>
      <c r="AA6852" s="5" t="str">
        <f>IFERROR(__xludf.DUMMYFUNCTION("IF(REGEXMATCH(Z6852, ""Season""), ""TV Show"", ""Movie"")"),"Movie")</f>
        <v>Movie</v>
      </c>
    </row>
    <row r="6853">
      <c r="A6853" s="1" t="s">
        <v>33885</v>
      </c>
      <c r="B6853" s="1" t="s">
        <v>27</v>
      </c>
      <c r="C6853" s="1" t="s">
        <v>33886</v>
      </c>
      <c r="D6853" s="1" t="s">
        <v>17595</v>
      </c>
      <c r="E6853" s="1" t="s">
        <v>33887</v>
      </c>
      <c r="F6853" s="1" t="s">
        <v>63</v>
      </c>
      <c r="G6853" s="1" t="s">
        <v>17078</v>
      </c>
      <c r="H6853" s="1">
        <v>1997.0</v>
      </c>
      <c r="I6853" s="1" t="s">
        <v>42</v>
      </c>
      <c r="J6853" s="1" t="s">
        <v>198</v>
      </c>
      <c r="K6853" s="1" t="s">
        <v>306</v>
      </c>
      <c r="L6853" s="1" t="s">
        <v>33888</v>
      </c>
      <c r="M6853" s="2" t="s">
        <v>12</v>
      </c>
      <c r="N6853" s="4">
        <f t="shared" si="1"/>
        <v>43830</v>
      </c>
      <c r="O6853" s="5" t="str">
        <f>IFERROR(__xludf.DUMMYFUNCTION("IF(REGEXMATCH(TRIM(I6853), ""^\d+\s*min""), ""Unclassified"", IF(I6853 = """", ""NR"", I6853))"),"TV-MA")</f>
        <v>TV-MA</v>
      </c>
      <c r="R6853" s="5" t="str">
        <f t="shared" si="2"/>
        <v>Ghulam-E-Musthafa</v>
      </c>
      <c r="S6853" s="5" t="str">
        <f>IFERROR(__xludf.DUMMYFUNCTION("""COMPUTED_VALUE"""),"The American Game")</f>
        <v>The American Game</v>
      </c>
      <c r="V6853" s="5"/>
      <c r="Y6853" s="5" t="str">
        <f>IFERROR(__xludf.DUMMYFUNCTION("REGEXEXTRACT(J6853, ""^\d+"")"),"161")</f>
        <v>161</v>
      </c>
      <c r="Z6853" s="5" t="str">
        <f>IFERROR(__xludf.DUMMYFUNCTION("REGEXEXTRACT(J6853, ""[A-Za-z ]+$"")")," min")</f>
        <v> min</v>
      </c>
      <c r="AA6853" s="5" t="str">
        <f>IFERROR(__xludf.DUMMYFUNCTION("IF(REGEXMATCH(Z6853, ""Season""), ""TV Show"", ""Movie"")"),"Movie")</f>
        <v>Movie</v>
      </c>
    </row>
    <row r="6854">
      <c r="A6854" s="1" t="s">
        <v>33889</v>
      </c>
      <c r="B6854" s="1" t="s">
        <v>27</v>
      </c>
      <c r="C6854" s="1" t="s">
        <v>33890</v>
      </c>
      <c r="D6854" s="1" t="s">
        <v>19283</v>
      </c>
      <c r="E6854" s="1" t="s">
        <v>33891</v>
      </c>
      <c r="F6854" s="1" t="s">
        <v>2873</v>
      </c>
      <c r="G6854" s="1" t="s">
        <v>24523</v>
      </c>
      <c r="H6854" s="1">
        <v>2005.0</v>
      </c>
      <c r="I6854" s="1" t="s">
        <v>97</v>
      </c>
      <c r="J6854" s="1" t="s">
        <v>2274</v>
      </c>
      <c r="K6854" s="1" t="s">
        <v>128</v>
      </c>
      <c r="L6854" s="1" t="s">
        <v>33892</v>
      </c>
      <c r="M6854" s="2" t="s">
        <v>12</v>
      </c>
      <c r="N6854" s="4">
        <f t="shared" si="1"/>
        <v>43358</v>
      </c>
      <c r="O6854" s="5" t="str">
        <f>IFERROR(__xludf.DUMMYFUNCTION("IF(REGEXMATCH(TRIM(I6854), ""^\d+\s*min""), ""Unclassified"", IF(I6854 = """", ""NR"", I6854))"),"TV-14")</f>
        <v>TV-14</v>
      </c>
      <c r="R6854" s="5" t="str">
        <f t="shared" si="2"/>
        <v>Gie</v>
      </c>
      <c r="S6854" s="5" t="str">
        <f>IFERROR(__xludf.DUMMYFUNCTION("""COMPUTED_VALUE"""),"The American Meme")</f>
        <v>The American Meme</v>
      </c>
      <c r="V6854" s="5"/>
      <c r="Y6854" s="5" t="str">
        <f>IFERROR(__xludf.DUMMYFUNCTION("REGEXEXTRACT(J6854, ""^\d+"")"),"141")</f>
        <v>141</v>
      </c>
      <c r="Z6854" s="5" t="str">
        <f>IFERROR(__xludf.DUMMYFUNCTION("REGEXEXTRACT(J6854, ""[A-Za-z ]+$"")")," min")</f>
        <v> min</v>
      </c>
      <c r="AA6854" s="5" t="str">
        <f>IFERROR(__xludf.DUMMYFUNCTION("IF(REGEXMATCH(Z6854, ""Season""), ""TV Show"", ""Movie"")"),"Movie")</f>
        <v>Movie</v>
      </c>
    </row>
    <row r="6855">
      <c r="A6855" s="1" t="s">
        <v>33893</v>
      </c>
      <c r="B6855" s="1" t="s">
        <v>27</v>
      </c>
      <c r="C6855" s="1" t="s">
        <v>33894</v>
      </c>
      <c r="D6855" s="1" t="s">
        <v>23348</v>
      </c>
      <c r="E6855" s="1" t="s">
        <v>33895</v>
      </c>
      <c r="F6855" s="1" t="s">
        <v>30</v>
      </c>
      <c r="G6855" s="1" t="s">
        <v>18333</v>
      </c>
      <c r="H6855" s="1">
        <v>1958.0</v>
      </c>
      <c r="I6855" s="1" t="s">
        <v>770</v>
      </c>
      <c r="J6855" s="1" t="s">
        <v>379</v>
      </c>
      <c r="K6855" s="1" t="s">
        <v>33896</v>
      </c>
      <c r="L6855" s="1" t="s">
        <v>33897</v>
      </c>
      <c r="M6855" s="2" t="s">
        <v>12</v>
      </c>
      <c r="N6855" s="4">
        <f t="shared" si="1"/>
        <v>43770</v>
      </c>
      <c r="O6855" s="5" t="str">
        <f>IFERROR(__xludf.DUMMYFUNCTION("IF(REGEXMATCH(TRIM(I6855), ""^\d+\s*min""), ""Unclassified"", IF(I6855 = """", ""NR"", I6855))"),"G")</f>
        <v>G</v>
      </c>
      <c r="R6855" s="5" t="str">
        <f t="shared" si="2"/>
        <v>Gigi</v>
      </c>
      <c r="S6855" s="5" t="str">
        <f>IFERROR(__xludf.DUMMYFUNCTION("""COMPUTED_VALUE"""),"The American President")</f>
        <v>The American President</v>
      </c>
      <c r="V6855" s="5"/>
      <c r="Y6855" s="5" t="str">
        <f>IFERROR(__xludf.DUMMYFUNCTION("REGEXEXTRACT(J6855, ""^\d+"")"),"115")</f>
        <v>115</v>
      </c>
      <c r="Z6855" s="5" t="str">
        <f>IFERROR(__xludf.DUMMYFUNCTION("REGEXEXTRACT(J6855, ""[A-Za-z ]+$"")")," min")</f>
        <v> min</v>
      </c>
      <c r="AA6855" s="5" t="str">
        <f>IFERROR(__xludf.DUMMYFUNCTION("IF(REGEXMATCH(Z6855, ""Season""), ""TV Show"", ""Movie"")"),"Movie")</f>
        <v>Movie</v>
      </c>
    </row>
    <row r="6856">
      <c r="A6856" s="1" t="s">
        <v>33898</v>
      </c>
      <c r="B6856" s="1" t="s">
        <v>27</v>
      </c>
      <c r="C6856" s="1" t="s">
        <v>33899</v>
      </c>
      <c r="D6856" s="1" t="s">
        <v>20122</v>
      </c>
      <c r="E6856" s="1" t="s">
        <v>33900</v>
      </c>
      <c r="F6856" s="1" t="s">
        <v>33901</v>
      </c>
      <c r="G6856" s="1" t="s">
        <v>25097</v>
      </c>
      <c r="H6856" s="1">
        <v>2012.0</v>
      </c>
      <c r="I6856" s="1" t="s">
        <v>32</v>
      </c>
      <c r="J6856" s="1" t="s">
        <v>33</v>
      </c>
      <c r="K6856" s="1" t="s">
        <v>1320</v>
      </c>
      <c r="L6856" s="1" t="s">
        <v>33902</v>
      </c>
      <c r="M6856" s="2" t="s">
        <v>12</v>
      </c>
      <c r="N6856" s="4">
        <f t="shared" si="1"/>
        <v>43296</v>
      </c>
      <c r="O6856" s="5" t="str">
        <f>IFERROR(__xludf.DUMMYFUNCTION("IF(REGEXMATCH(TRIM(I6856), ""^\d+\s*min""), ""Unclassified"", IF(I6856 = """", ""NR"", I6856))"),"PG-13")</f>
        <v>PG-13</v>
      </c>
      <c r="R6856" s="5" t="str">
        <f t="shared" si="2"/>
        <v>Ginger &amp; Rosa</v>
      </c>
      <c r="S6856" s="5" t="str">
        <f>IFERROR(__xludf.DUMMYFUNCTION("""COMPUTED_VALUE"""),"The Amityville Horror")</f>
        <v>The Amityville Horror</v>
      </c>
      <c r="V6856" s="5"/>
      <c r="Y6856" s="5" t="str">
        <f>IFERROR(__xludf.DUMMYFUNCTION("REGEXEXTRACT(J6856, ""^\d+"")"),"90")</f>
        <v>90</v>
      </c>
      <c r="Z6856" s="5" t="str">
        <f>IFERROR(__xludf.DUMMYFUNCTION("REGEXEXTRACT(J6856, ""[A-Za-z ]+$"")")," min")</f>
        <v> min</v>
      </c>
      <c r="AA6856" s="5" t="str">
        <f>IFERROR(__xludf.DUMMYFUNCTION("IF(REGEXMATCH(Z6856, ""Season""), ""TV Show"", ""Movie"")"),"Movie")</f>
        <v>Movie</v>
      </c>
    </row>
    <row r="6857">
      <c r="A6857" s="1" t="s">
        <v>33903</v>
      </c>
      <c r="B6857" s="1" t="s">
        <v>27</v>
      </c>
      <c r="C6857" s="1" t="s">
        <v>33904</v>
      </c>
      <c r="D6857" s="1" t="s">
        <v>21541</v>
      </c>
      <c r="E6857" s="1" t="s">
        <v>33905</v>
      </c>
      <c r="F6857" s="1" t="s">
        <v>4287</v>
      </c>
      <c r="G6857" s="1" t="s">
        <v>21917</v>
      </c>
      <c r="H6857" s="1">
        <v>2013.0</v>
      </c>
      <c r="I6857" s="1" t="s">
        <v>97</v>
      </c>
      <c r="J6857" s="1" t="s">
        <v>238</v>
      </c>
      <c r="K6857" s="1" t="s">
        <v>199</v>
      </c>
      <c r="L6857" s="1" t="s">
        <v>33906</v>
      </c>
      <c r="M6857" s="2" t="s">
        <v>12</v>
      </c>
      <c r="N6857" s="4">
        <f t="shared" si="1"/>
        <v>43523</v>
      </c>
      <c r="O6857" s="5" t="str">
        <f>IFERROR(__xludf.DUMMYFUNCTION("IF(REGEXMATCH(TRIM(I6857), ""^\d+\s*min""), ""Unclassified"", IF(I6857 = """", ""NR"", I6857))"),"TV-14")</f>
        <v>TV-14</v>
      </c>
      <c r="R6857" s="5" t="str">
        <f t="shared" si="2"/>
        <v>Girl, Boy, Bakla, Tomboy</v>
      </c>
      <c r="S6857" s="5" t="str">
        <f>IFERROR(__xludf.DUMMYFUNCTION("""COMPUTED_VALUE"""),"The Andy Griffith Show")</f>
        <v>The Andy Griffith Show</v>
      </c>
      <c r="V6857" s="5"/>
      <c r="Y6857" s="5" t="str">
        <f>IFERROR(__xludf.DUMMYFUNCTION("REGEXEXTRACT(J6857, ""^\d+"")"),"103")</f>
        <v>103</v>
      </c>
      <c r="Z6857" s="5" t="str">
        <f>IFERROR(__xludf.DUMMYFUNCTION("REGEXEXTRACT(J6857, ""[A-Za-z ]+$"")")," min")</f>
        <v> min</v>
      </c>
      <c r="AA6857" s="5" t="str">
        <f>IFERROR(__xludf.DUMMYFUNCTION("IF(REGEXMATCH(Z6857, ""Season""), ""TV Show"", ""Movie"")"),"Movie")</f>
        <v>Movie</v>
      </c>
    </row>
    <row r="6858">
      <c r="A6858" s="1" t="s">
        <v>33907</v>
      </c>
      <c r="B6858" s="1" t="s">
        <v>27</v>
      </c>
      <c r="C6858" s="1" t="s">
        <v>33908</v>
      </c>
      <c r="D6858" s="1" t="s">
        <v>3740</v>
      </c>
      <c r="F6858" s="1" t="s">
        <v>30</v>
      </c>
      <c r="G6858" s="1" t="s">
        <v>28421</v>
      </c>
      <c r="H6858" s="1">
        <v>2012.0</v>
      </c>
      <c r="I6858" s="1" t="s">
        <v>30231</v>
      </c>
      <c r="J6858" s="1" t="s">
        <v>4558</v>
      </c>
      <c r="K6858" s="1" t="s">
        <v>645</v>
      </c>
      <c r="L6858" s="1" t="s">
        <v>33909</v>
      </c>
      <c r="M6858" s="2" t="s">
        <v>12</v>
      </c>
      <c r="N6858" s="4">
        <f t="shared" si="1"/>
        <v>42825</v>
      </c>
      <c r="O6858" s="5" t="str">
        <f>IFERROR(__xludf.DUMMYFUNCTION("IF(REGEXMATCH(TRIM(I6858), ""^\d+\s*min""), ""Unclassified"", IF(I6858 = """", ""NR"", I6858))"),"NR")</f>
        <v>NR</v>
      </c>
      <c r="R6858" s="5" t="str">
        <f t="shared" si="2"/>
        <v>Glow: The Story Of The Gorgeous Ladies Of Wrestling</v>
      </c>
      <c r="S6858" s="5" t="str">
        <f>IFERROR(__xludf.DUMMYFUNCTION("""COMPUTED_VALUE"""),"The Angel")</f>
        <v>The Angel</v>
      </c>
      <c r="V6858" s="5"/>
      <c r="Y6858" s="5" t="str">
        <f>IFERROR(__xludf.DUMMYFUNCTION("REGEXEXTRACT(J6858, ""^\d+"")"),"77")</f>
        <v>77</v>
      </c>
      <c r="Z6858" s="5" t="str">
        <f>IFERROR(__xludf.DUMMYFUNCTION("REGEXEXTRACT(J6858, ""[A-Za-z ]+$"")")," min")</f>
        <v> min</v>
      </c>
      <c r="AA6858" s="5" t="str">
        <f>IFERROR(__xludf.DUMMYFUNCTION("IF(REGEXMATCH(Z6858, ""Season""), ""TV Show"", ""Movie"")"),"Movie")</f>
        <v>Movie</v>
      </c>
    </row>
    <row r="6859">
      <c r="A6859" s="1" t="s">
        <v>33910</v>
      </c>
      <c r="B6859" s="1" t="s">
        <v>37</v>
      </c>
      <c r="C6859" s="1" t="s">
        <v>33911</v>
      </c>
      <c r="E6859" s="1" t="s">
        <v>33912</v>
      </c>
      <c r="G6859" s="1" t="s">
        <v>27488</v>
      </c>
      <c r="H6859" s="1">
        <v>2010.0</v>
      </c>
      <c r="I6859" s="1" t="s">
        <v>97</v>
      </c>
      <c r="J6859" s="1" t="s">
        <v>51</v>
      </c>
      <c r="K6859" s="1" t="s">
        <v>402</v>
      </c>
      <c r="L6859" s="1" t="s">
        <v>33913</v>
      </c>
      <c r="M6859" s="2" t="s">
        <v>12</v>
      </c>
      <c r="N6859" s="4">
        <f t="shared" si="1"/>
        <v>42961</v>
      </c>
      <c r="O6859" s="5" t="str">
        <f>IFERROR(__xludf.DUMMYFUNCTION("IF(REGEXMATCH(TRIM(I6859), ""^\d+\s*min""), ""Unclassified"", IF(I6859 = """", ""NR"", I6859))"),"TV-14")</f>
        <v>TV-14</v>
      </c>
      <c r="R6859" s="5" t="str">
        <f t="shared" si="2"/>
        <v>Glowing Embers</v>
      </c>
      <c r="S6859" s="5" t="str">
        <f>IFERROR(__xludf.DUMMYFUNCTION("""COMPUTED_VALUE"""),"The Angry Birds Movie 2")</f>
        <v>The Angry Birds Movie 2</v>
      </c>
      <c r="V6859" s="5"/>
      <c r="Y6859" s="5" t="str">
        <f>IFERROR(__xludf.DUMMYFUNCTION("REGEXEXTRACT(J6859, ""^\d+"")"),"1")</f>
        <v>1</v>
      </c>
      <c r="Z6859" s="5" t="str">
        <f>IFERROR(__xludf.DUMMYFUNCTION("REGEXEXTRACT(J6859, ""[A-Za-z ]+$"")")," Season")</f>
        <v> Season</v>
      </c>
      <c r="AA6859" s="5" t="str">
        <f>IFERROR(__xludf.DUMMYFUNCTION("IF(REGEXMATCH(Z6859, ""Season""), ""TV Show"", ""Movie"")"),"TV Show")</f>
        <v>TV Show</v>
      </c>
    </row>
    <row r="6860">
      <c r="A6860" s="1" t="s">
        <v>33914</v>
      </c>
      <c r="B6860" s="1" t="s">
        <v>27</v>
      </c>
      <c r="C6860" s="1" t="s">
        <v>33915</v>
      </c>
      <c r="D6860" s="1" t="s">
        <v>9068</v>
      </c>
      <c r="E6860" s="1" t="s">
        <v>33916</v>
      </c>
      <c r="F6860" s="1" t="s">
        <v>30</v>
      </c>
      <c r="G6860" s="1" t="s">
        <v>22153</v>
      </c>
      <c r="H6860" s="1">
        <v>2018.0</v>
      </c>
      <c r="I6860" s="1" t="s">
        <v>78</v>
      </c>
      <c r="J6860" s="1" t="s">
        <v>264</v>
      </c>
      <c r="K6860" s="1" t="s">
        <v>5064</v>
      </c>
      <c r="L6860" s="1" t="s">
        <v>33917</v>
      </c>
      <c r="M6860" s="2" t="s">
        <v>12</v>
      </c>
      <c r="N6860" s="4">
        <f t="shared" si="1"/>
        <v>43505</v>
      </c>
      <c r="O6860" s="5" t="str">
        <f>IFERROR(__xludf.DUMMYFUNCTION("IF(REGEXMATCH(TRIM(I6860), ""^\d+\s*min""), ""Unclassified"", IF(I6860 = """", ""NR"", I6860))"),"PG")</f>
        <v>PG</v>
      </c>
      <c r="R6860" s="5" t="str">
        <f t="shared" si="2"/>
        <v>God Bless The Broken Road</v>
      </c>
      <c r="S6860" s="5" t="str">
        <f>IFERROR(__xludf.DUMMYFUNCTION("""COMPUTED_VALUE"""),"The Animal People")</f>
        <v>The Animal People</v>
      </c>
      <c r="V6860" s="5"/>
      <c r="Y6860" s="5" t="str">
        <f>IFERROR(__xludf.DUMMYFUNCTION("REGEXEXTRACT(J6860, ""^\d+"")"),"111")</f>
        <v>111</v>
      </c>
      <c r="Z6860" s="5" t="str">
        <f>IFERROR(__xludf.DUMMYFUNCTION("REGEXEXTRACT(J6860, ""[A-Za-z ]+$"")")," min")</f>
        <v> min</v>
      </c>
      <c r="AA6860" s="5" t="str">
        <f>IFERROR(__xludf.DUMMYFUNCTION("IF(REGEXMATCH(Z6860, ""Season""), ""TV Show"", ""Movie"")"),"Movie")</f>
        <v>Movie</v>
      </c>
    </row>
    <row r="6861">
      <c r="A6861" s="1" t="s">
        <v>33918</v>
      </c>
      <c r="B6861" s="1" t="s">
        <v>27</v>
      </c>
      <c r="C6861" s="1" t="s">
        <v>33919</v>
      </c>
      <c r="D6861" s="1" t="s">
        <v>10548</v>
      </c>
      <c r="E6861" s="1" t="s">
        <v>33920</v>
      </c>
      <c r="F6861" s="1" t="s">
        <v>30</v>
      </c>
      <c r="G6861" s="1" t="s">
        <v>33921</v>
      </c>
      <c r="H6861" s="1">
        <v>2016.0</v>
      </c>
      <c r="I6861" s="1" t="s">
        <v>136</v>
      </c>
      <c r="J6861" s="1" t="s">
        <v>238</v>
      </c>
      <c r="K6861" s="1" t="s">
        <v>34</v>
      </c>
      <c r="L6861" s="1" t="s">
        <v>33922</v>
      </c>
      <c r="M6861" s="2" t="s">
        <v>12</v>
      </c>
      <c r="N6861" s="4">
        <f t="shared" si="1"/>
        <v>43395</v>
      </c>
      <c r="O6861" s="5" t="str">
        <f>IFERROR(__xludf.DUMMYFUNCTION("IF(REGEXMATCH(TRIM(I6861), ""^\d+\s*min""), ""Unclassified"", IF(I6861 = """", ""NR"", I6861))"),"TV-PG")</f>
        <v>TV-PG</v>
      </c>
      <c r="R6861" s="5" t="str">
        <f t="shared" si="2"/>
        <v>God Knows Where I Am</v>
      </c>
      <c r="S6861" s="5" t="str">
        <f>IFERROR(__xludf.DUMMYFUNCTION("""COMPUTED_VALUE"""),"The Ant'S Scream")</f>
        <v>The Ant'S Scream</v>
      </c>
      <c r="V6861" s="5"/>
      <c r="Y6861" s="5" t="str">
        <f>IFERROR(__xludf.DUMMYFUNCTION("REGEXEXTRACT(J6861, ""^\d+"")"),"103")</f>
        <v>103</v>
      </c>
      <c r="Z6861" s="5" t="str">
        <f>IFERROR(__xludf.DUMMYFUNCTION("REGEXEXTRACT(J6861, ""[A-Za-z ]+$"")")," min")</f>
        <v> min</v>
      </c>
      <c r="AA6861" s="5" t="str">
        <f>IFERROR(__xludf.DUMMYFUNCTION("IF(REGEXMATCH(Z6861, ""Season""), ""TV Show"", ""Movie"")"),"Movie")</f>
        <v>Movie</v>
      </c>
    </row>
    <row r="6862">
      <c r="A6862" s="1" t="s">
        <v>33923</v>
      </c>
      <c r="B6862" s="1" t="s">
        <v>27</v>
      </c>
      <c r="C6862" s="1" t="s">
        <v>33924</v>
      </c>
      <c r="D6862" s="1" t="s">
        <v>8579</v>
      </c>
      <c r="E6862" s="1" t="s">
        <v>33925</v>
      </c>
      <c r="F6862" s="1" t="s">
        <v>1064</v>
      </c>
      <c r="G6862" s="1" t="s">
        <v>33926</v>
      </c>
      <c r="H6862" s="1">
        <v>2017.0</v>
      </c>
      <c r="I6862" s="1" t="s">
        <v>30231</v>
      </c>
      <c r="J6862" s="1" t="s">
        <v>1273</v>
      </c>
      <c r="K6862" s="1" t="s">
        <v>1066</v>
      </c>
      <c r="L6862" s="1" t="s">
        <v>33927</v>
      </c>
      <c r="M6862" s="2" t="s">
        <v>12</v>
      </c>
      <c r="N6862" s="4">
        <f t="shared" si="1"/>
        <v>43085</v>
      </c>
      <c r="O6862" s="5" t="str">
        <f>IFERROR(__xludf.DUMMYFUNCTION("IF(REGEXMATCH(TRIM(I6862), ""^\d+\s*min""), ""Unclassified"", IF(I6862 = """", ""NR"", I6862))"),"NR")</f>
        <v>NR</v>
      </c>
      <c r="R6862" s="5" t="str">
        <f t="shared" si="2"/>
        <v>God Of War</v>
      </c>
      <c r="S6862" s="5" t="str">
        <f>IFERROR(__xludf.DUMMYFUNCTION("""COMPUTED_VALUE"""),"The Apartment")</f>
        <v>The Apartment</v>
      </c>
      <c r="V6862" s="5"/>
      <c r="Y6862" s="5" t="str">
        <f>IFERROR(__xludf.DUMMYFUNCTION("REGEXEXTRACT(J6862, ""^\d+"")"),"129")</f>
        <v>129</v>
      </c>
      <c r="Z6862" s="5" t="str">
        <f>IFERROR(__xludf.DUMMYFUNCTION("REGEXEXTRACT(J6862, ""[A-Za-z ]+$"")")," min")</f>
        <v> min</v>
      </c>
      <c r="AA6862" s="5" t="str">
        <f>IFERROR(__xludf.DUMMYFUNCTION("IF(REGEXMATCH(Z6862, ""Season""), ""TV Show"", ""Movie"")"),"Movie")</f>
        <v>Movie</v>
      </c>
    </row>
    <row r="6863">
      <c r="A6863" s="1" t="s">
        <v>33928</v>
      </c>
      <c r="B6863" s="1" t="s">
        <v>27</v>
      </c>
      <c r="C6863" s="1" t="s">
        <v>33929</v>
      </c>
      <c r="D6863" s="1" t="s">
        <v>9068</v>
      </c>
      <c r="E6863" s="1" t="s">
        <v>33930</v>
      </c>
      <c r="F6863" s="1" t="s">
        <v>30</v>
      </c>
      <c r="G6863" s="1" t="s">
        <v>15215</v>
      </c>
      <c r="H6863" s="1">
        <v>2014.0</v>
      </c>
      <c r="I6863" s="1" t="s">
        <v>78</v>
      </c>
      <c r="J6863" s="1" t="s">
        <v>519</v>
      </c>
      <c r="K6863" s="1" t="s">
        <v>1198</v>
      </c>
      <c r="L6863" s="1" t="s">
        <v>33931</v>
      </c>
      <c r="M6863" s="2" t="s">
        <v>12</v>
      </c>
      <c r="N6863" s="4">
        <f t="shared" si="1"/>
        <v>43922</v>
      </c>
      <c r="O6863" s="5" t="str">
        <f>IFERROR(__xludf.DUMMYFUNCTION("IF(REGEXMATCH(TRIM(I6863), ""^\d+\s*min""), ""Unclassified"", IF(I6863 = """", ""NR"", I6863))"),"PG")</f>
        <v>PG</v>
      </c>
      <c r="R6863" s="5" t="str">
        <f t="shared" si="2"/>
        <v>God'S Not Dead</v>
      </c>
      <c r="S6863" s="5" t="str">
        <f>IFERROR(__xludf.DUMMYFUNCTION("""COMPUTED_VALUE"""),"The Apostate")</f>
        <v>The Apostate</v>
      </c>
      <c r="V6863" s="5"/>
      <c r="Y6863" s="5" t="str">
        <f>IFERROR(__xludf.DUMMYFUNCTION("REGEXEXTRACT(J6863, ""^\d+"")"),"113")</f>
        <v>113</v>
      </c>
      <c r="Z6863" s="5" t="str">
        <f>IFERROR(__xludf.DUMMYFUNCTION("REGEXEXTRACT(J6863, ""[A-Za-z ]+$"")")," min")</f>
        <v> min</v>
      </c>
      <c r="AA6863" s="5" t="str">
        <f>IFERROR(__xludf.DUMMYFUNCTION("IF(REGEXMATCH(Z6863, ""Season""), ""TV Show"", ""Movie"")"),"Movie")</f>
        <v>Movie</v>
      </c>
    </row>
    <row r="6864">
      <c r="A6864" s="1" t="s">
        <v>33932</v>
      </c>
      <c r="B6864" s="1" t="s">
        <v>27</v>
      </c>
      <c r="C6864" s="1" t="s">
        <v>33933</v>
      </c>
      <c r="D6864" s="1" t="s">
        <v>15730</v>
      </c>
      <c r="E6864" s="1" t="s">
        <v>33934</v>
      </c>
      <c r="F6864" s="1" t="s">
        <v>30</v>
      </c>
      <c r="G6864" s="1" t="s">
        <v>23112</v>
      </c>
      <c r="H6864" s="1">
        <v>2018.0</v>
      </c>
      <c r="I6864" s="1" t="s">
        <v>78</v>
      </c>
      <c r="J6864" s="1" t="s">
        <v>256</v>
      </c>
      <c r="K6864" s="1" t="s">
        <v>1198</v>
      </c>
      <c r="L6864" s="1" t="s">
        <v>33935</v>
      </c>
      <c r="M6864" s="2" t="s">
        <v>12</v>
      </c>
      <c r="N6864" s="4">
        <f t="shared" si="1"/>
        <v>43438</v>
      </c>
      <c r="O6864" s="5" t="str">
        <f>IFERROR(__xludf.DUMMYFUNCTION("IF(REGEXMATCH(TRIM(I6864), ""^\d+\s*min""), ""Unclassified"", IF(I6864 = """", ""NR"", I6864))"),"PG")</f>
        <v>PG</v>
      </c>
      <c r="R6864" s="5" t="str">
        <f t="shared" si="2"/>
        <v>God'S Not Dead: A Light In Darkness</v>
      </c>
      <c r="S6864" s="5" t="str">
        <f>IFERROR(__xludf.DUMMYFUNCTION("""COMPUTED_VALUE"""),"The App")</f>
        <v>The App</v>
      </c>
      <c r="V6864" s="5"/>
      <c r="Y6864" s="5" t="str">
        <f>IFERROR(__xludf.DUMMYFUNCTION("REGEXEXTRACT(J6864, ""^\d+"")"),"106")</f>
        <v>106</v>
      </c>
      <c r="Z6864" s="5" t="str">
        <f>IFERROR(__xludf.DUMMYFUNCTION("REGEXEXTRACT(J6864, ""[A-Za-z ]+$"")")," min")</f>
        <v> min</v>
      </c>
      <c r="AA6864" s="5" t="str">
        <f>IFERROR(__xludf.DUMMYFUNCTION("IF(REGEXMATCH(Z6864, ""Season""), ""TV Show"", ""Movie"")"),"Movie")</f>
        <v>Movie</v>
      </c>
    </row>
    <row r="6865">
      <c r="A6865" s="1" t="s">
        <v>33936</v>
      </c>
      <c r="B6865" s="1" t="s">
        <v>27</v>
      </c>
      <c r="C6865" s="1" t="s">
        <v>33937</v>
      </c>
      <c r="D6865" s="1" t="s">
        <v>7796</v>
      </c>
      <c r="E6865" s="1" t="s">
        <v>33938</v>
      </c>
      <c r="F6865" s="1" t="s">
        <v>96</v>
      </c>
      <c r="G6865" s="7">
        <v>43221.0</v>
      </c>
      <c r="H6865" s="1">
        <v>2017.0</v>
      </c>
      <c r="I6865" s="1" t="s">
        <v>42</v>
      </c>
      <c r="J6865" s="1" t="s">
        <v>305</v>
      </c>
      <c r="K6865" s="1" t="s">
        <v>89</v>
      </c>
      <c r="L6865" s="1" t="s">
        <v>33939</v>
      </c>
      <c r="M6865" s="2" t="s">
        <v>12</v>
      </c>
      <c r="N6865" s="4">
        <f t="shared" si="1"/>
        <v>43221</v>
      </c>
      <c r="O6865" s="5" t="str">
        <f>IFERROR(__xludf.DUMMYFUNCTION("IF(REGEXMATCH(TRIM(I6865), ""^\d+\s*min""), ""Unclassified"", IF(I6865 = """", ""NR"", I6865))"),"TV-MA")</f>
        <v>TV-MA</v>
      </c>
      <c r="R6865" s="5" t="str">
        <f t="shared" si="2"/>
        <v>God'S Own Country</v>
      </c>
      <c r="S6865" s="5" t="str">
        <f>IFERROR(__xludf.DUMMYFUNCTION("""COMPUTED_VALUE"""),"The App That Stole Christmas")</f>
        <v>The App That Stole Christmas</v>
      </c>
      <c r="V6865" s="5"/>
      <c r="Y6865" s="5" t="str">
        <f>IFERROR(__xludf.DUMMYFUNCTION("REGEXEXTRACT(J6865, ""^\d+"")"),"105")</f>
        <v>105</v>
      </c>
      <c r="Z6865" s="5" t="str">
        <f>IFERROR(__xludf.DUMMYFUNCTION("REGEXEXTRACT(J6865, ""[A-Za-z ]+$"")")," min")</f>
        <v> min</v>
      </c>
      <c r="AA6865" s="5" t="str">
        <f>IFERROR(__xludf.DUMMYFUNCTION("IF(REGEXMATCH(Z6865, ""Season""), ""TV Show"", ""Movie"")"),"Movie")</f>
        <v>Movie</v>
      </c>
    </row>
    <row r="6866">
      <c r="A6866" s="1" t="s">
        <v>33940</v>
      </c>
      <c r="B6866" s="1" t="s">
        <v>27</v>
      </c>
      <c r="C6866" s="1" t="s">
        <v>33941</v>
      </c>
      <c r="D6866" s="1" t="s">
        <v>9419</v>
      </c>
      <c r="E6866" s="1" t="s">
        <v>33942</v>
      </c>
      <c r="F6866" s="1" t="s">
        <v>63</v>
      </c>
      <c r="G6866" s="1" t="s">
        <v>17078</v>
      </c>
      <c r="H6866" s="1">
        <v>1979.0</v>
      </c>
      <c r="I6866" s="1" t="s">
        <v>136</v>
      </c>
      <c r="J6866" s="1" t="s">
        <v>4242</v>
      </c>
      <c r="K6866" s="1" t="s">
        <v>32367</v>
      </c>
      <c r="L6866" s="1" t="s">
        <v>33943</v>
      </c>
      <c r="M6866" s="2" t="s">
        <v>12</v>
      </c>
      <c r="N6866" s="4">
        <f t="shared" si="1"/>
        <v>43830</v>
      </c>
      <c r="O6866" s="5" t="str">
        <f>IFERROR(__xludf.DUMMYFUNCTION("IF(REGEXMATCH(TRIM(I6866), ""^\d+\s*min""), ""Unclassified"", IF(I6866 = """", ""NR"", I6866))"),"TV-PG")</f>
        <v>TV-PG</v>
      </c>
      <c r="R6866" s="5" t="str">
        <f t="shared" si="2"/>
        <v>Gol Maal</v>
      </c>
      <c r="S6866" s="5" t="str">
        <f>IFERROR(__xludf.DUMMYFUNCTION("""COMPUTED_VALUE"""),"The Arbitration")</f>
        <v>The Arbitration</v>
      </c>
      <c r="V6866" s="5"/>
      <c r="Y6866" s="5" t="str">
        <f>IFERROR(__xludf.DUMMYFUNCTION("REGEXEXTRACT(J6866, ""^\d+"")"),"137")</f>
        <v>137</v>
      </c>
      <c r="Z6866" s="5" t="str">
        <f>IFERROR(__xludf.DUMMYFUNCTION("REGEXEXTRACT(J6866, ""[A-Za-z ]+$"")")," min")</f>
        <v> min</v>
      </c>
      <c r="AA6866" s="5" t="str">
        <f>IFERROR(__xludf.DUMMYFUNCTION("IF(REGEXMATCH(Z6866, ""Season""), ""TV Show"", ""Movie"")"),"Movie")</f>
        <v>Movie</v>
      </c>
    </row>
    <row r="6867">
      <c r="A6867" s="1" t="s">
        <v>33944</v>
      </c>
      <c r="B6867" s="1" t="s">
        <v>27</v>
      </c>
      <c r="C6867" s="1" t="s">
        <v>33945</v>
      </c>
      <c r="D6867" s="1" t="s">
        <v>22140</v>
      </c>
      <c r="F6867" s="1" t="s">
        <v>415</v>
      </c>
      <c r="G6867" s="1" t="s">
        <v>26883</v>
      </c>
      <c r="H6867" s="1">
        <v>2013.0</v>
      </c>
      <c r="I6867" s="1" t="s">
        <v>206</v>
      </c>
      <c r="J6867" s="1" t="s">
        <v>7407</v>
      </c>
      <c r="K6867" s="1" t="s">
        <v>14382</v>
      </c>
      <c r="L6867" s="1" t="s">
        <v>33946</v>
      </c>
      <c r="M6867" s="2" t="s">
        <v>12</v>
      </c>
      <c r="N6867" s="4">
        <f t="shared" si="1"/>
        <v>43040</v>
      </c>
      <c r="O6867" s="5" t="str">
        <f>IFERROR(__xludf.DUMMYFUNCTION("IF(REGEXMATCH(TRIM(I6867), ""^\d+\s*min""), ""Unclassified"", IF(I6867 = """", ""NR"", I6867))"),"TV-Y")</f>
        <v>TV-Y</v>
      </c>
      <c r="R6867" s="5" t="str">
        <f t="shared" si="2"/>
        <v>Golden Time</v>
      </c>
      <c r="S6867" s="5" t="str">
        <f>IFERROR(__xludf.DUMMYFUNCTION("""COMPUTED_VALUE"""),"The Art Of Loving")</f>
        <v>The Art Of Loving</v>
      </c>
      <c r="V6867" s="5"/>
      <c r="Y6867" s="5" t="str">
        <f>IFERROR(__xludf.DUMMYFUNCTION("REGEXEXTRACT(J6867, ""^\d+"")"),"22")</f>
        <v>22</v>
      </c>
      <c r="Z6867" s="5" t="str">
        <f>IFERROR(__xludf.DUMMYFUNCTION("REGEXEXTRACT(J6867, ""[A-Za-z ]+$"")")," min")</f>
        <v> min</v>
      </c>
      <c r="AA6867" s="5" t="str">
        <f>IFERROR(__xludf.DUMMYFUNCTION("IF(REGEXMATCH(Z6867, ""Season""), ""TV Show"", ""Movie"")"),"Movie")</f>
        <v>Movie</v>
      </c>
    </row>
    <row r="6868">
      <c r="A6868" s="1" t="s">
        <v>33947</v>
      </c>
      <c r="B6868" s="1" t="s">
        <v>27</v>
      </c>
      <c r="C6868" s="1" t="s">
        <v>33948</v>
      </c>
      <c r="D6868" s="1" t="s">
        <v>1012</v>
      </c>
      <c r="E6868" s="1" t="s">
        <v>33949</v>
      </c>
      <c r="F6868" s="1" t="s">
        <v>686</v>
      </c>
      <c r="G6868" s="1" t="s">
        <v>17078</v>
      </c>
      <c r="H6868" s="1">
        <v>1995.0</v>
      </c>
      <c r="I6868" s="1" t="s">
        <v>32</v>
      </c>
      <c r="J6868" s="1" t="s">
        <v>2281</v>
      </c>
      <c r="K6868" s="1" t="s">
        <v>380</v>
      </c>
      <c r="L6868" s="1" t="s">
        <v>33950</v>
      </c>
      <c r="M6868" s="2" t="s">
        <v>12</v>
      </c>
      <c r="N6868" s="4">
        <f t="shared" si="1"/>
        <v>43830</v>
      </c>
      <c r="O6868" s="5" t="str">
        <f>IFERROR(__xludf.DUMMYFUNCTION("IF(REGEXMATCH(TRIM(I6868), ""^\d+\s*min""), ""Unclassified"", IF(I6868 = """", ""NR"", I6868))"),"PG-13")</f>
        <v>PG-13</v>
      </c>
      <c r="R6868" s="5" t="str">
        <f t="shared" si="2"/>
        <v>Goldeneye</v>
      </c>
      <c r="S6868" s="5" t="str">
        <f>IFERROR(__xludf.DUMMYFUNCTION("""COMPUTED_VALUE"""),"The Art Of The Steal")</f>
        <v>The Art Of The Steal</v>
      </c>
      <c r="V6868" s="5"/>
      <c r="Y6868" s="5" t="str">
        <f>IFERROR(__xludf.DUMMYFUNCTION("REGEXEXTRACT(J6868, ""^\d+"")"),"130")</f>
        <v>130</v>
      </c>
      <c r="Z6868" s="5" t="str">
        <f>IFERROR(__xludf.DUMMYFUNCTION("REGEXEXTRACT(J6868, ""[A-Za-z ]+$"")")," min")</f>
        <v> min</v>
      </c>
      <c r="AA6868" s="5" t="str">
        <f>IFERROR(__xludf.DUMMYFUNCTION("IF(REGEXMATCH(Z6868, ""Season""), ""TV Show"", ""Movie"")"),"Movie")</f>
        <v>Movie</v>
      </c>
    </row>
    <row r="6869">
      <c r="A6869" s="1" t="s">
        <v>33951</v>
      </c>
      <c r="B6869" s="1" t="s">
        <v>27</v>
      </c>
      <c r="C6869" s="1" t="s">
        <v>33952</v>
      </c>
      <c r="D6869" s="1" t="s">
        <v>33953</v>
      </c>
      <c r="E6869" s="1" t="s">
        <v>33954</v>
      </c>
      <c r="F6869" s="1" t="s">
        <v>30</v>
      </c>
      <c r="G6869" s="1" t="s">
        <v>13311</v>
      </c>
      <c r="H6869" s="1">
        <v>2019.0</v>
      </c>
      <c r="I6869" s="1" t="s">
        <v>42</v>
      </c>
      <c r="J6869" s="1" t="s">
        <v>1191</v>
      </c>
      <c r="K6869" s="1" t="s">
        <v>805</v>
      </c>
      <c r="L6869" s="1" t="s">
        <v>33955</v>
      </c>
      <c r="M6869" s="2" t="s">
        <v>12</v>
      </c>
      <c r="N6869" s="4">
        <f t="shared" si="1"/>
        <v>44004</v>
      </c>
      <c r="O6869" s="5" t="str">
        <f>IFERROR(__xludf.DUMMYFUNCTION("IF(REGEXMATCH(TRIM(I6869), ""^\d+\s*min""), ""Unclassified"", IF(I6869 = """", ""NR"", I6869))"),"TV-MA")</f>
        <v>TV-MA</v>
      </c>
      <c r="R6869" s="5" t="str">
        <f t="shared" si="2"/>
        <v>Goldie</v>
      </c>
      <c r="S6869" s="5" t="str">
        <f>IFERROR(__xludf.DUMMYFUNCTION("""COMPUTED_VALUE"""),"The Art Of War")</f>
        <v>The Art Of War</v>
      </c>
      <c r="V6869" s="5"/>
      <c r="Y6869" s="5" t="str">
        <f>IFERROR(__xludf.DUMMYFUNCTION("REGEXEXTRACT(J6869, ""^\d+"")"),"89")</f>
        <v>89</v>
      </c>
      <c r="Z6869" s="5" t="str">
        <f>IFERROR(__xludf.DUMMYFUNCTION("REGEXEXTRACT(J6869, ""[A-Za-z ]+$"")")," min")</f>
        <v> min</v>
      </c>
      <c r="AA6869" s="5" t="str">
        <f>IFERROR(__xludf.DUMMYFUNCTION("IF(REGEXMATCH(Z6869, ""Season""), ""TV Show"", ""Movie"")"),"Movie")</f>
        <v>Movie</v>
      </c>
    </row>
    <row r="6870">
      <c r="A6870" s="1" t="s">
        <v>33956</v>
      </c>
      <c r="B6870" s="1" t="s">
        <v>37</v>
      </c>
      <c r="C6870" s="1" t="s">
        <v>33957</v>
      </c>
      <c r="E6870" s="1" t="s">
        <v>33958</v>
      </c>
      <c r="F6870" s="1" t="s">
        <v>30</v>
      </c>
      <c r="G6870" s="1" t="s">
        <v>33959</v>
      </c>
      <c r="H6870" s="1">
        <v>2017.0</v>
      </c>
      <c r="I6870" s="1" t="s">
        <v>206</v>
      </c>
      <c r="J6870" s="1" t="s">
        <v>43</v>
      </c>
      <c r="K6870" s="1" t="s">
        <v>290</v>
      </c>
      <c r="L6870" s="1" t="s">
        <v>33960</v>
      </c>
      <c r="M6870" s="2" t="s">
        <v>12</v>
      </c>
      <c r="N6870" s="1" t="str">
        <f t="shared" si="1"/>
        <v>#N/A</v>
      </c>
      <c r="O6870" s="5" t="str">
        <f>IFERROR(__xludf.DUMMYFUNCTION("IF(REGEXMATCH(TRIM(I6870), ""^\d+\s*min""), ""Unclassified"", IF(I6870 = """", ""NR"", I6870))"),"TV-Y")</f>
        <v>TV-Y</v>
      </c>
      <c r="R6870" s="5" t="str">
        <f t="shared" si="2"/>
        <v>Goldie &amp; Bear</v>
      </c>
      <c r="S6870" s="5" t="str">
        <f>IFERROR(__xludf.DUMMYFUNCTION("""COMPUTED_VALUE"""),"The Artist")</f>
        <v>The Artist</v>
      </c>
      <c r="V6870" s="5"/>
      <c r="Y6870" s="5" t="str">
        <f>IFERROR(__xludf.DUMMYFUNCTION("REGEXEXTRACT(J6870, ""^\d+"")"),"2")</f>
        <v>2</v>
      </c>
      <c r="Z6870" s="5" t="str">
        <f>IFERROR(__xludf.DUMMYFUNCTION("REGEXEXTRACT(J6870, ""[A-Za-z ]+$"")")," Seasons")</f>
        <v> Seasons</v>
      </c>
      <c r="AA6870" s="5" t="str">
        <f>IFERROR(__xludf.DUMMYFUNCTION("IF(REGEXMATCH(Z6870, ""Season""), ""TV Show"", ""Movie"")"),"TV Show")</f>
        <v>TV Show</v>
      </c>
    </row>
    <row r="6871">
      <c r="A6871" s="1" t="s">
        <v>33961</v>
      </c>
      <c r="B6871" s="1" t="s">
        <v>27</v>
      </c>
      <c r="C6871" s="1" t="s">
        <v>33962</v>
      </c>
      <c r="D6871" s="1" t="s">
        <v>9766</v>
      </c>
      <c r="E6871" s="1" t="s">
        <v>33963</v>
      </c>
      <c r="F6871" s="1" t="s">
        <v>221</v>
      </c>
      <c r="G6871" s="1" t="s">
        <v>33801</v>
      </c>
      <c r="H6871" s="1">
        <v>2016.0</v>
      </c>
      <c r="I6871" s="1" t="s">
        <v>378</v>
      </c>
      <c r="J6871" s="1" t="s">
        <v>297</v>
      </c>
      <c r="K6871" s="1" t="s">
        <v>171</v>
      </c>
      <c r="L6871" s="1" t="s">
        <v>33964</v>
      </c>
      <c r="M6871" s="2" t="s">
        <v>12</v>
      </c>
      <c r="N6871" s="4">
        <f t="shared" si="1"/>
        <v>43444</v>
      </c>
      <c r="O6871" s="5" t="str">
        <f>IFERROR(__xludf.DUMMYFUNCTION("IF(REGEXMATCH(TRIM(I6871), ""^\d+\s*min""), ""Unclassified"", IF(I6871 = """", ""NR"", I6871))"),"R")</f>
        <v>R</v>
      </c>
      <c r="R6871" s="5" t="str">
        <f t="shared" si="2"/>
        <v>Goldstone</v>
      </c>
      <c r="S6871" s="5" t="str">
        <f>IFERROR(__xludf.DUMMYFUNCTION("""COMPUTED_VALUE"""),"The Assassination Of Gianni Versace")</f>
        <v>The Assassination Of Gianni Versace</v>
      </c>
      <c r="V6871" s="5"/>
      <c r="Y6871" s="5" t="str">
        <f>IFERROR(__xludf.DUMMYFUNCTION("REGEXEXTRACT(J6871, ""^\d+"")"),"110")</f>
        <v>110</v>
      </c>
      <c r="Z6871" s="5" t="str">
        <f>IFERROR(__xludf.DUMMYFUNCTION("REGEXEXTRACT(J6871, ""[A-Za-z ]+$"")")," min")</f>
        <v> min</v>
      </c>
      <c r="AA6871" s="5" t="str">
        <f>IFERROR(__xludf.DUMMYFUNCTION("IF(REGEXMATCH(Z6871, ""Season""), ""TV Show"", ""Movie"")"),"Movie")</f>
        <v>Movie</v>
      </c>
    </row>
    <row r="6872">
      <c r="A6872" s="1" t="s">
        <v>33965</v>
      </c>
      <c r="B6872" s="1" t="s">
        <v>27</v>
      </c>
      <c r="C6872" s="1" t="s">
        <v>33966</v>
      </c>
      <c r="D6872" s="1" t="s">
        <v>1984</v>
      </c>
      <c r="E6872" s="1" t="s">
        <v>33967</v>
      </c>
      <c r="F6872" s="1" t="s">
        <v>63</v>
      </c>
      <c r="G6872" s="1" t="s">
        <v>17078</v>
      </c>
      <c r="H6872" s="1">
        <v>2006.0</v>
      </c>
      <c r="I6872" s="1" t="s">
        <v>97</v>
      </c>
      <c r="J6872" s="1" t="s">
        <v>2216</v>
      </c>
      <c r="K6872" s="1" t="s">
        <v>199</v>
      </c>
      <c r="L6872" s="1" t="s">
        <v>33968</v>
      </c>
      <c r="M6872" s="2" t="s">
        <v>12</v>
      </c>
      <c r="N6872" s="4">
        <f t="shared" si="1"/>
        <v>43830</v>
      </c>
      <c r="O6872" s="5" t="str">
        <f>IFERROR(__xludf.DUMMYFUNCTION("IF(REGEXMATCH(TRIM(I6872), ""^\d+\s*min""), ""Unclassified"", IF(I6872 = """", ""NR"", I6872))"),"TV-14")</f>
        <v>TV-14</v>
      </c>
      <c r="R6872" s="5" t="str">
        <f t="shared" si="2"/>
        <v>Golmaal: Fun Unlimited</v>
      </c>
      <c r="S6872" s="5" t="str">
        <f>IFERROR(__xludf.DUMMYFUNCTION("""COMPUTED_VALUE"""),"The Assignment")</f>
        <v>The Assignment</v>
      </c>
      <c r="V6872" s="5"/>
      <c r="Y6872" s="5" t="str">
        <f>IFERROR(__xludf.DUMMYFUNCTION("REGEXEXTRACT(J6872, ""^\d+"")"),"148")</f>
        <v>148</v>
      </c>
      <c r="Z6872" s="5" t="str">
        <f>IFERROR(__xludf.DUMMYFUNCTION("REGEXEXTRACT(J6872, ""[A-Za-z ]+$"")")," min")</f>
        <v> min</v>
      </c>
      <c r="AA6872" s="5" t="str">
        <f>IFERROR(__xludf.DUMMYFUNCTION("IF(REGEXMATCH(Z6872, ""Season""), ""TV Show"", ""Movie"")"),"Movie")</f>
        <v>Movie</v>
      </c>
    </row>
    <row r="6873">
      <c r="A6873" s="1" t="s">
        <v>33969</v>
      </c>
      <c r="B6873" s="1" t="s">
        <v>37</v>
      </c>
      <c r="C6873" s="1" t="s">
        <v>33970</v>
      </c>
      <c r="E6873" s="1" t="s">
        <v>33971</v>
      </c>
      <c r="F6873" s="1" t="s">
        <v>33972</v>
      </c>
      <c r="G6873" s="1" t="s">
        <v>33973</v>
      </c>
      <c r="H6873" s="1">
        <v>2016.0</v>
      </c>
      <c r="I6873" s="1" t="s">
        <v>42</v>
      </c>
      <c r="J6873" s="1" t="s">
        <v>43</v>
      </c>
      <c r="K6873" s="1" t="s">
        <v>1362</v>
      </c>
      <c r="L6873" s="1" t="s">
        <v>33974</v>
      </c>
      <c r="M6873" s="2" t="s">
        <v>12</v>
      </c>
      <c r="N6873" s="1" t="str">
        <f t="shared" si="1"/>
        <v>#N/A</v>
      </c>
      <c r="O6873" s="5" t="str">
        <f>IFERROR(__xludf.DUMMYFUNCTION("IF(REGEXMATCH(TRIM(I6873), ""^\d+\s*min""), ""Unclassified"", IF(I6873 = """", ""NR"", I6873))"),"TV-MA")</f>
        <v>TV-MA</v>
      </c>
      <c r="R6873" s="5" t="str">
        <f t="shared" si="2"/>
        <v>Gomorrah</v>
      </c>
      <c r="S6873" s="5" t="str">
        <f>IFERROR(__xludf.DUMMYFUNCTION("""COMPUTED_VALUE"""),"The Autopsy Of Jane Doe")</f>
        <v>The Autopsy Of Jane Doe</v>
      </c>
      <c r="V6873" s="5"/>
      <c r="Y6873" s="5" t="str">
        <f>IFERROR(__xludf.DUMMYFUNCTION("REGEXEXTRACT(J6873, ""^\d+"")"),"2")</f>
        <v>2</v>
      </c>
      <c r="Z6873" s="5" t="str">
        <f>IFERROR(__xludf.DUMMYFUNCTION("REGEXEXTRACT(J6873, ""[A-Za-z ]+$"")")," Seasons")</f>
        <v> Seasons</v>
      </c>
      <c r="AA6873" s="5" t="str">
        <f>IFERROR(__xludf.DUMMYFUNCTION("IF(REGEXMATCH(Z6873, ""Season""), ""TV Show"", ""Movie"")"),"TV Show")</f>
        <v>TV Show</v>
      </c>
    </row>
    <row r="6874">
      <c r="A6874" s="1" t="s">
        <v>33975</v>
      </c>
      <c r="B6874" s="1" t="s">
        <v>27</v>
      </c>
      <c r="C6874" s="1" t="s">
        <v>33976</v>
      </c>
      <c r="D6874" s="1" t="s">
        <v>14869</v>
      </c>
      <c r="E6874" s="1" t="s">
        <v>33977</v>
      </c>
      <c r="F6874" s="1" t="s">
        <v>30</v>
      </c>
      <c r="G6874" s="1" t="s">
        <v>22635</v>
      </c>
      <c r="H6874" s="1">
        <v>2018.0</v>
      </c>
      <c r="I6874" s="1" t="s">
        <v>378</v>
      </c>
      <c r="J6874" s="1" t="s">
        <v>433</v>
      </c>
      <c r="K6874" s="1" t="s">
        <v>33978</v>
      </c>
      <c r="L6874" s="1" t="s">
        <v>33979</v>
      </c>
      <c r="M6874" s="2" t="s">
        <v>12</v>
      </c>
      <c r="N6874" s="4">
        <f t="shared" si="1"/>
        <v>43466</v>
      </c>
      <c r="O6874" s="5" t="str">
        <f>IFERROR(__xludf.DUMMYFUNCTION("IF(REGEXMATCH(TRIM(I6874), ""^\d+\s*min""), ""Unclassified"", IF(I6874 = """", ""NR"", I6874))"),"R")</f>
        <v>R</v>
      </c>
      <c r="R6874" s="5" t="str">
        <f t="shared" si="2"/>
        <v>Gone Are The Days</v>
      </c>
      <c r="S6874" s="5" t="str">
        <f>IFERROR(__xludf.DUMMYFUNCTION("""COMPUTED_VALUE"""),"The Awakening Of Motti Wolkenbruch")</f>
        <v>The Awakening Of Motti Wolkenbruch</v>
      </c>
      <c r="V6874" s="5"/>
      <c r="Y6874" s="5" t="str">
        <f>IFERROR(__xludf.DUMMYFUNCTION("REGEXEXTRACT(J6874, ""^\d+"")"),"100")</f>
        <v>100</v>
      </c>
      <c r="Z6874" s="5" t="str">
        <f>IFERROR(__xludf.DUMMYFUNCTION("REGEXEXTRACT(J6874, ""[A-Za-z ]+$"")")," min")</f>
        <v> min</v>
      </c>
      <c r="AA6874" s="5" t="str">
        <f>IFERROR(__xludf.DUMMYFUNCTION("IF(REGEXMATCH(Z6874, ""Season""), ""TV Show"", ""Movie"")"),"Movie")</f>
        <v>Movie</v>
      </c>
    </row>
    <row r="6875">
      <c r="A6875" s="1" t="s">
        <v>33980</v>
      </c>
      <c r="B6875" s="1" t="s">
        <v>37</v>
      </c>
      <c r="C6875" s="1" t="s">
        <v>33981</v>
      </c>
      <c r="D6875" s="1" t="s">
        <v>16721</v>
      </c>
      <c r="E6875" s="1" t="s">
        <v>33982</v>
      </c>
      <c r="F6875" s="1" t="s">
        <v>188</v>
      </c>
      <c r="G6875" s="1" t="s">
        <v>33983</v>
      </c>
      <c r="H6875" s="1">
        <v>2015.0</v>
      </c>
      <c r="I6875" s="1" t="s">
        <v>97</v>
      </c>
      <c r="J6875" s="1" t="s">
        <v>51</v>
      </c>
      <c r="K6875" s="1" t="s">
        <v>283</v>
      </c>
      <c r="L6875" s="1" t="s">
        <v>33984</v>
      </c>
      <c r="M6875" s="2" t="s">
        <v>12</v>
      </c>
      <c r="N6875" s="4">
        <f t="shared" si="1"/>
        <v>42928</v>
      </c>
      <c r="O6875" s="5" t="str">
        <f>IFERROR(__xludf.DUMMYFUNCTION("IF(REGEXMATCH(TRIM(I6875), ""^\d+\s*min""), ""Unclassified"", IF(I6875 = """", ""NR"", I6875))"),"TV-14")</f>
        <v>TV-14</v>
      </c>
      <c r="R6875" s="5" t="str">
        <f t="shared" si="2"/>
        <v>Gonul</v>
      </c>
      <c r="S6875" s="5" t="str">
        <f>IFERROR(__xludf.DUMMYFUNCTION("""COMPUTED_VALUE"""),"The B-Side: Elsa Dorfman'S Portrait Photography")</f>
        <v>The B-Side: Elsa Dorfman'S Portrait Photography</v>
      </c>
      <c r="V6875" s="5"/>
      <c r="Y6875" s="5" t="str">
        <f>IFERROR(__xludf.DUMMYFUNCTION("REGEXEXTRACT(J6875, ""^\d+"")"),"1")</f>
        <v>1</v>
      </c>
      <c r="Z6875" s="5" t="str">
        <f>IFERROR(__xludf.DUMMYFUNCTION("REGEXEXTRACT(J6875, ""[A-Za-z ]+$"")")," Season")</f>
        <v> Season</v>
      </c>
      <c r="AA6875" s="5" t="str">
        <f>IFERROR(__xludf.DUMMYFUNCTION("IF(REGEXMATCH(Z6875, ""Season""), ""TV Show"", ""Movie"")"),"TV Show")</f>
        <v>TV Show</v>
      </c>
    </row>
    <row r="6876">
      <c r="A6876" s="1" t="s">
        <v>33985</v>
      </c>
      <c r="B6876" s="1" t="s">
        <v>27</v>
      </c>
      <c r="C6876" s="1" t="s">
        <v>33986</v>
      </c>
      <c r="D6876" s="1" t="s">
        <v>33987</v>
      </c>
      <c r="E6876" s="1" t="s">
        <v>33988</v>
      </c>
      <c r="F6876" s="1" t="s">
        <v>30</v>
      </c>
      <c r="G6876" s="1" t="s">
        <v>33989</v>
      </c>
      <c r="H6876" s="1">
        <v>2016.0</v>
      </c>
      <c r="I6876" s="1" t="s">
        <v>378</v>
      </c>
      <c r="J6876" s="1" t="s">
        <v>33</v>
      </c>
      <c r="K6876" s="1" t="s">
        <v>1749</v>
      </c>
      <c r="L6876" s="1" t="s">
        <v>33990</v>
      </c>
      <c r="M6876" s="2" t="s">
        <v>12</v>
      </c>
      <c r="N6876" s="4">
        <f t="shared" si="1"/>
        <v>42754</v>
      </c>
      <c r="O6876" s="5" t="str">
        <f>IFERROR(__xludf.DUMMYFUNCTION("IF(REGEXMATCH(TRIM(I6876), ""^\d+\s*min""), ""Unclassified"", IF(I6876 = """", ""NR"", I6876))"),"R")</f>
        <v>R</v>
      </c>
      <c r="R6876" s="5" t="str">
        <f t="shared" si="2"/>
        <v>Good Kids</v>
      </c>
      <c r="S6876" s="5" t="str">
        <f>IFERROR(__xludf.DUMMYFUNCTION("""COMPUTED_VALUE"""),"The Baby-Sitters Club")</f>
        <v>The Baby-Sitters Club</v>
      </c>
      <c r="V6876" s="5"/>
      <c r="Y6876" s="5" t="str">
        <f>IFERROR(__xludf.DUMMYFUNCTION("REGEXEXTRACT(J6876, ""^\d+"")"),"90")</f>
        <v>90</v>
      </c>
      <c r="Z6876" s="5" t="str">
        <f>IFERROR(__xludf.DUMMYFUNCTION("REGEXEXTRACT(J6876, ""[A-Za-z ]+$"")")," min")</f>
        <v> min</v>
      </c>
      <c r="AA6876" s="5" t="str">
        <f>IFERROR(__xludf.DUMMYFUNCTION("IF(REGEXMATCH(Z6876, ""Season""), ""TV Show"", ""Movie"")"),"Movie")</f>
        <v>Movie</v>
      </c>
    </row>
    <row r="6877">
      <c r="A6877" s="1" t="s">
        <v>33991</v>
      </c>
      <c r="B6877" s="1" t="s">
        <v>27</v>
      </c>
      <c r="C6877" s="1" t="s">
        <v>33992</v>
      </c>
      <c r="D6877" s="1" t="s">
        <v>1927</v>
      </c>
      <c r="E6877" s="1" t="s">
        <v>33993</v>
      </c>
      <c r="F6877" s="1" t="s">
        <v>30</v>
      </c>
      <c r="G6877" s="1" t="s">
        <v>33994</v>
      </c>
      <c r="H6877" s="1">
        <v>2014.0</v>
      </c>
      <c r="I6877" s="1" t="s">
        <v>378</v>
      </c>
      <c r="J6877" s="1" t="s">
        <v>238</v>
      </c>
      <c r="K6877" s="1" t="s">
        <v>805</v>
      </c>
      <c r="L6877" s="1" t="s">
        <v>33995</v>
      </c>
      <c r="M6877" s="2" t="s">
        <v>12</v>
      </c>
      <c r="N6877" s="4">
        <f t="shared" si="1"/>
        <v>42827</v>
      </c>
      <c r="O6877" s="5" t="str">
        <f>IFERROR(__xludf.DUMMYFUNCTION("IF(REGEXMATCH(TRIM(I6877), ""^\d+\s*min""), ""Unclassified"", IF(I6877 = """", ""NR"", I6877))"),"R")</f>
        <v>R</v>
      </c>
      <c r="R6877" s="5" t="str">
        <f t="shared" si="2"/>
        <v>Good Kill</v>
      </c>
      <c r="S6877" s="5" t="str">
        <f>IFERROR(__xludf.DUMMYFUNCTION("""COMPUTED_VALUE"""),"The Babysitter")</f>
        <v>The Babysitter</v>
      </c>
      <c r="V6877" s="5"/>
      <c r="Y6877" s="5" t="str">
        <f>IFERROR(__xludf.DUMMYFUNCTION("REGEXEXTRACT(J6877, ""^\d+"")"),"103")</f>
        <v>103</v>
      </c>
      <c r="Z6877" s="5" t="str">
        <f>IFERROR(__xludf.DUMMYFUNCTION("REGEXEXTRACT(J6877, ""[A-Za-z ]+$"")")," min")</f>
        <v> min</v>
      </c>
      <c r="AA6877" s="5" t="str">
        <f>IFERROR(__xludf.DUMMYFUNCTION("IF(REGEXMATCH(Z6877, ""Season""), ""TV Show"", ""Movie"")"),"Movie")</f>
        <v>Movie</v>
      </c>
    </row>
    <row r="6878">
      <c r="A6878" s="1" t="s">
        <v>33996</v>
      </c>
      <c r="B6878" s="1" t="s">
        <v>27</v>
      </c>
      <c r="C6878" s="1" t="s">
        <v>33997</v>
      </c>
      <c r="D6878" s="1" t="s">
        <v>23532</v>
      </c>
      <c r="E6878" s="1" t="s">
        <v>33998</v>
      </c>
      <c r="F6878" s="1" t="s">
        <v>30</v>
      </c>
      <c r="G6878" s="1" t="s">
        <v>12058</v>
      </c>
      <c r="H6878" s="1">
        <v>2019.0</v>
      </c>
      <c r="I6878" s="1" t="s">
        <v>42</v>
      </c>
      <c r="J6878" s="1" t="s">
        <v>6281</v>
      </c>
      <c r="K6878" s="1" t="s">
        <v>836</v>
      </c>
      <c r="L6878" s="1" t="s">
        <v>33999</v>
      </c>
      <c r="M6878" s="2" t="s">
        <v>12</v>
      </c>
      <c r="N6878" s="4">
        <f t="shared" si="1"/>
        <v>44063</v>
      </c>
      <c r="O6878" s="5" t="str">
        <f>IFERROR(__xludf.DUMMYFUNCTION("IF(REGEXMATCH(TRIM(I6878), ""^\d+\s*min""), ""Unclassified"", IF(I6878 = """", ""NR"", I6878))"),"TV-MA")</f>
        <v>TV-MA</v>
      </c>
      <c r="R6878" s="5" t="str">
        <f t="shared" si="2"/>
        <v>Good Kisser</v>
      </c>
      <c r="S6878" s="5" t="str">
        <f>IFERROR(__xludf.DUMMYFUNCTION("""COMPUTED_VALUE"""),"The Babysitter: Killer Queen")</f>
        <v>The Babysitter: Killer Queen</v>
      </c>
      <c r="V6878" s="5"/>
      <c r="Y6878" s="5" t="str">
        <f>IFERROR(__xludf.DUMMYFUNCTION("REGEXEXTRACT(J6878, ""^\d+"")"),"75")</f>
        <v>75</v>
      </c>
      <c r="Z6878" s="5" t="str">
        <f>IFERROR(__xludf.DUMMYFUNCTION("REGEXEXTRACT(J6878, ""[A-Za-z ]+$"")")," min")</f>
        <v> min</v>
      </c>
      <c r="AA6878" s="5" t="str">
        <f>IFERROR(__xludf.DUMMYFUNCTION("IF(REGEXMATCH(Z6878, ""Season""), ""TV Show"", ""Movie"")"),"Movie")</f>
        <v>Movie</v>
      </c>
    </row>
    <row r="6879">
      <c r="A6879" s="1" t="s">
        <v>34000</v>
      </c>
      <c r="B6879" s="1" t="s">
        <v>27</v>
      </c>
      <c r="C6879" s="1" t="s">
        <v>34001</v>
      </c>
      <c r="D6879" s="1" t="s">
        <v>22211</v>
      </c>
      <c r="E6879" s="1" t="s">
        <v>34002</v>
      </c>
      <c r="F6879" s="1" t="s">
        <v>3309</v>
      </c>
      <c r="G6879" s="1" t="s">
        <v>20248</v>
      </c>
      <c r="H6879" s="1">
        <v>2012.0</v>
      </c>
      <c r="I6879" s="1" t="s">
        <v>42</v>
      </c>
      <c r="J6879" s="1" t="s">
        <v>416</v>
      </c>
      <c r="K6879" s="1" t="s">
        <v>128</v>
      </c>
      <c r="L6879" s="1" t="s">
        <v>34003</v>
      </c>
      <c r="M6879" s="2" t="s">
        <v>12</v>
      </c>
      <c r="N6879" s="4">
        <f t="shared" si="1"/>
        <v>43637</v>
      </c>
      <c r="O6879" s="5" t="str">
        <f>IFERROR(__xludf.DUMMYFUNCTION("IF(REGEXMATCH(TRIM(I6879), ""^\d+\s*min""), ""Unclassified"", IF(I6879 = """", ""NR"", I6879))"),"TV-MA")</f>
        <v>TV-MA</v>
      </c>
      <c r="R6879" s="5" t="str">
        <f t="shared" si="2"/>
        <v>Good Luck</v>
      </c>
      <c r="S6879" s="5" t="str">
        <f>IFERROR(__xludf.DUMMYFUNCTION("""COMPUTED_VALUE"""),"The Bachelor")</f>
        <v>The Bachelor</v>
      </c>
      <c r="V6879" s="5"/>
      <c r="Y6879" s="5" t="str">
        <f>IFERROR(__xludf.DUMMYFUNCTION("REGEXEXTRACT(J6879, ""^\d+"")"),"99")</f>
        <v>99</v>
      </c>
      <c r="Z6879" s="5" t="str">
        <f>IFERROR(__xludf.DUMMYFUNCTION("REGEXEXTRACT(J6879, ""[A-Za-z ]+$"")")," min")</f>
        <v> min</v>
      </c>
      <c r="AA6879" s="5" t="str">
        <f>IFERROR(__xludf.DUMMYFUNCTION("IF(REGEXMATCH(Z6879, ""Season""), ""TV Show"", ""Movie"")"),"Movie")</f>
        <v>Movie</v>
      </c>
    </row>
    <row r="6880">
      <c r="A6880" s="1" t="s">
        <v>34004</v>
      </c>
      <c r="B6880" s="1" t="s">
        <v>27</v>
      </c>
      <c r="C6880" s="1" t="s">
        <v>34005</v>
      </c>
      <c r="D6880" s="1" t="s">
        <v>8326</v>
      </c>
      <c r="E6880" s="1" t="s">
        <v>34006</v>
      </c>
      <c r="F6880" s="1" t="s">
        <v>34007</v>
      </c>
      <c r="G6880" s="1" t="s">
        <v>20552</v>
      </c>
      <c r="H6880" s="1">
        <v>2005.0</v>
      </c>
      <c r="I6880" s="1" t="s">
        <v>78</v>
      </c>
      <c r="J6880" s="1" t="s">
        <v>454</v>
      </c>
      <c r="K6880" s="1" t="s">
        <v>805</v>
      </c>
      <c r="L6880" s="1" t="s">
        <v>34008</v>
      </c>
      <c r="M6880" s="2" t="s">
        <v>12</v>
      </c>
      <c r="N6880" s="4">
        <f t="shared" si="1"/>
        <v>43618</v>
      </c>
      <c r="O6880" s="5" t="str">
        <f>IFERROR(__xludf.DUMMYFUNCTION("IF(REGEXMATCH(TRIM(I6880), ""^\d+\s*min""), ""Unclassified"", IF(I6880 = """", ""NR"", I6880))"),"PG")</f>
        <v>PG</v>
      </c>
      <c r="R6880" s="5" t="str">
        <f t="shared" si="2"/>
        <v>Good Night, And Good Luck</v>
      </c>
      <c r="S6880" s="5" t="str">
        <f>IFERROR(__xludf.DUMMYFUNCTION("""COMPUTED_VALUE"""),"The Bachelorette")</f>
        <v>The Bachelorette</v>
      </c>
      <c r="V6880" s="5"/>
      <c r="Y6880" s="5" t="str">
        <f>IFERROR(__xludf.DUMMYFUNCTION("REGEXEXTRACT(J6880, ""^\d+"")"),"93")</f>
        <v>93</v>
      </c>
      <c r="Z6880" s="5" t="str">
        <f>IFERROR(__xludf.DUMMYFUNCTION("REGEXEXTRACT(J6880, ""[A-Za-z ]+$"")")," min")</f>
        <v> min</v>
      </c>
      <c r="AA6880" s="5" t="str">
        <f>IFERROR(__xludf.DUMMYFUNCTION("IF(REGEXMATCH(Z6880, ""Season""), ""TV Show"", ""Movie"")"),"Movie")</f>
        <v>Movie</v>
      </c>
    </row>
    <row r="6881">
      <c r="A6881" s="1" t="s">
        <v>34009</v>
      </c>
      <c r="B6881" s="1" t="s">
        <v>27</v>
      </c>
      <c r="C6881" s="1" t="s">
        <v>34010</v>
      </c>
      <c r="D6881" s="1" t="s">
        <v>9254</v>
      </c>
      <c r="E6881" s="1" t="s">
        <v>34011</v>
      </c>
      <c r="F6881" s="1" t="s">
        <v>34012</v>
      </c>
      <c r="G6881" s="1" t="s">
        <v>27276</v>
      </c>
      <c r="H6881" s="1">
        <v>2014.0</v>
      </c>
      <c r="I6881" s="1" t="s">
        <v>378</v>
      </c>
      <c r="J6881" s="1" t="s">
        <v>33</v>
      </c>
      <c r="K6881" s="1" t="s">
        <v>3531</v>
      </c>
      <c r="L6881" s="1" t="s">
        <v>34013</v>
      </c>
      <c r="M6881" s="2" t="s">
        <v>12</v>
      </c>
      <c r="N6881" s="4">
        <f t="shared" si="1"/>
        <v>42986</v>
      </c>
      <c r="O6881" s="5" t="str">
        <f>IFERROR(__xludf.DUMMYFUNCTION("IF(REGEXMATCH(TRIM(I6881), ""^\d+\s*min""), ""Unclassified"", IF(I6881 = """", ""NR"", I6881))"),"R")</f>
        <v>R</v>
      </c>
      <c r="R6881" s="5" t="str">
        <f t="shared" si="2"/>
        <v>Good People</v>
      </c>
      <c r="S6881" s="5" t="str">
        <f>IFERROR(__xludf.DUMMYFUNCTION("""COMPUTED_VALUE"""),"The Bachelors")</f>
        <v>The Bachelors</v>
      </c>
      <c r="V6881" s="5"/>
      <c r="Y6881" s="5" t="str">
        <f>IFERROR(__xludf.DUMMYFUNCTION("REGEXEXTRACT(J6881, ""^\d+"")"),"90")</f>
        <v>90</v>
      </c>
      <c r="Z6881" s="5" t="str">
        <f>IFERROR(__xludf.DUMMYFUNCTION("REGEXEXTRACT(J6881, ""[A-Za-z ]+$"")")," min")</f>
        <v> min</v>
      </c>
      <c r="AA6881" s="5" t="str">
        <f>IFERROR(__xludf.DUMMYFUNCTION("IF(REGEXMATCH(Z6881, ""Season""), ""TV Show"", ""Movie"")"),"Movie")</f>
        <v>Movie</v>
      </c>
    </row>
    <row r="6882">
      <c r="A6882" s="1" t="s">
        <v>34014</v>
      </c>
      <c r="B6882" s="1" t="s">
        <v>27</v>
      </c>
      <c r="C6882" s="1" t="s">
        <v>34015</v>
      </c>
      <c r="D6882" s="1" t="s">
        <v>7998</v>
      </c>
      <c r="E6882" s="1" t="s">
        <v>34016</v>
      </c>
      <c r="F6882" s="1" t="s">
        <v>30</v>
      </c>
      <c r="G6882" s="1" t="s">
        <v>8506</v>
      </c>
      <c r="H6882" s="1">
        <v>1990.0</v>
      </c>
      <c r="I6882" s="1" t="s">
        <v>378</v>
      </c>
      <c r="J6882" s="1" t="s">
        <v>582</v>
      </c>
      <c r="K6882" s="1" t="s">
        <v>1164</v>
      </c>
      <c r="L6882" s="1" t="s">
        <v>34017</v>
      </c>
      <c r="M6882" s="2" t="s">
        <v>12</v>
      </c>
      <c r="N6882" s="4">
        <f t="shared" si="1"/>
        <v>44197</v>
      </c>
      <c r="O6882" s="5" t="str">
        <f>IFERROR(__xludf.DUMMYFUNCTION("IF(REGEXMATCH(TRIM(I6882), ""^\d+\s*min""), ""Unclassified"", IF(I6882 = """", ""NR"", I6882))"),"R")</f>
        <v>R</v>
      </c>
      <c r="R6882" s="5" t="str">
        <f t="shared" si="2"/>
        <v>Goodfellas</v>
      </c>
      <c r="S6882" s="5" t="str">
        <f>IFERROR(__xludf.DUMMYFUNCTION("""COMPUTED_VALUE"""),"The Bad Batch")</f>
        <v>The Bad Batch</v>
      </c>
      <c r="V6882" s="5"/>
      <c r="Y6882" s="5" t="str">
        <f>IFERROR(__xludf.DUMMYFUNCTION("REGEXEXTRACT(J6882, ""^\d+"")"),"145")</f>
        <v>145</v>
      </c>
      <c r="Z6882" s="5" t="str">
        <f>IFERROR(__xludf.DUMMYFUNCTION("REGEXEXTRACT(J6882, ""[A-Za-z ]+$"")")," min")</f>
        <v> min</v>
      </c>
      <c r="AA6882" s="5" t="str">
        <f>IFERROR(__xludf.DUMMYFUNCTION("IF(REGEXMATCH(Z6882, ""Season""), ""TV Show"", ""Movie"")"),"Movie")</f>
        <v>Movie</v>
      </c>
    </row>
    <row r="6883">
      <c r="A6883" s="1" t="s">
        <v>34018</v>
      </c>
      <c r="B6883" s="1" t="s">
        <v>27</v>
      </c>
      <c r="C6883" s="1" t="s">
        <v>34019</v>
      </c>
      <c r="D6883" s="1" t="s">
        <v>12240</v>
      </c>
      <c r="E6883" s="1" t="s">
        <v>34020</v>
      </c>
      <c r="F6883" s="1" t="s">
        <v>30</v>
      </c>
      <c r="G6883" s="1" t="s">
        <v>26060</v>
      </c>
      <c r="H6883" s="1">
        <v>2017.0</v>
      </c>
      <c r="I6883" s="1" t="s">
        <v>42</v>
      </c>
      <c r="J6883" s="1" t="s">
        <v>465</v>
      </c>
      <c r="K6883" s="1" t="s">
        <v>1320</v>
      </c>
      <c r="L6883" s="1" t="s">
        <v>34021</v>
      </c>
      <c r="M6883" s="2" t="s">
        <v>12</v>
      </c>
      <c r="N6883" s="4">
        <f t="shared" si="1"/>
        <v>43165</v>
      </c>
      <c r="O6883" s="5" t="str">
        <f>IFERROR(__xludf.DUMMYFUNCTION("IF(REGEXMATCH(TRIM(I6883), ""^\d+\s*min""), ""Unclassified"", IF(I6883 = """", ""NR"", I6883))"),"TV-MA")</f>
        <v>TV-MA</v>
      </c>
      <c r="R6883" s="5" t="str">
        <f t="shared" si="2"/>
        <v>Gook</v>
      </c>
      <c r="S6883" s="5" t="str">
        <f>IFERROR(__xludf.DUMMYFUNCTION("""COMPUTED_VALUE"""),"The Bad Education Movie")</f>
        <v>The Bad Education Movie</v>
      </c>
      <c r="V6883" s="5"/>
      <c r="Y6883" s="5" t="str">
        <f>IFERROR(__xludf.DUMMYFUNCTION("REGEXEXTRACT(J6883, ""^\d+"")"),"95")</f>
        <v>95</v>
      </c>
      <c r="Z6883" s="5" t="str">
        <f>IFERROR(__xludf.DUMMYFUNCTION("REGEXEXTRACT(J6883, ""[A-Za-z ]+$"")")," min")</f>
        <v> min</v>
      </c>
      <c r="AA6883" s="5" t="str">
        <f>IFERROR(__xludf.DUMMYFUNCTION("IF(REGEXMATCH(Z6883, ""Season""), ""TV Show"", ""Movie"")"),"Movie")</f>
        <v>Movie</v>
      </c>
    </row>
    <row r="6884">
      <c r="A6884" s="1" t="s">
        <v>34022</v>
      </c>
      <c r="B6884" s="1" t="s">
        <v>27</v>
      </c>
      <c r="C6884" s="1" t="s">
        <v>34023</v>
      </c>
      <c r="D6884" s="1" t="s">
        <v>15180</v>
      </c>
      <c r="E6884" s="1" t="s">
        <v>34024</v>
      </c>
      <c r="F6884" s="1" t="s">
        <v>897</v>
      </c>
      <c r="G6884" s="1" t="s">
        <v>27472</v>
      </c>
      <c r="H6884" s="1">
        <v>2011.0</v>
      </c>
      <c r="I6884" s="1" t="s">
        <v>378</v>
      </c>
      <c r="J6884" s="1" t="s">
        <v>665</v>
      </c>
      <c r="K6884" s="1" t="s">
        <v>10251</v>
      </c>
      <c r="L6884" s="1" t="s">
        <v>34025</v>
      </c>
      <c r="M6884" s="2" t="s">
        <v>12</v>
      </c>
      <c r="N6884" s="4">
        <f t="shared" si="1"/>
        <v>42962</v>
      </c>
      <c r="O6884" s="5" t="str">
        <f>IFERROR(__xludf.DUMMYFUNCTION("IF(REGEXMATCH(TRIM(I6884), ""^\d+\s*min""), ""Unclassified"", IF(I6884 = """", ""NR"", I6884))"),"R")</f>
        <v>R</v>
      </c>
      <c r="R6884" s="5" t="str">
        <f t="shared" si="2"/>
        <v>Goon</v>
      </c>
      <c r="S6884" s="5" t="str">
        <f>IFERROR(__xludf.DUMMYFUNCTION("""COMPUTED_VALUE"""),"The Bad Kids")</f>
        <v>The Bad Kids</v>
      </c>
      <c r="V6884" s="5"/>
      <c r="Y6884" s="5" t="str">
        <f>IFERROR(__xludf.DUMMYFUNCTION("REGEXEXTRACT(J6884, ""^\d+"")"),"92")</f>
        <v>92</v>
      </c>
      <c r="Z6884" s="5" t="str">
        <f>IFERROR(__xludf.DUMMYFUNCTION("REGEXEXTRACT(J6884, ""[A-Za-z ]+$"")")," min")</f>
        <v> min</v>
      </c>
      <c r="AA6884" s="5" t="str">
        <f>IFERROR(__xludf.DUMMYFUNCTION("IF(REGEXMATCH(Z6884, ""Season""), ""TV Show"", ""Movie"")"),"Movie")</f>
        <v>Movie</v>
      </c>
    </row>
    <row r="6885">
      <c r="A6885" s="1" t="s">
        <v>34026</v>
      </c>
      <c r="B6885" s="1" t="s">
        <v>27</v>
      </c>
      <c r="C6885" s="1" t="s">
        <v>34027</v>
      </c>
      <c r="D6885" s="1" t="s">
        <v>2500</v>
      </c>
      <c r="E6885" s="1" t="s">
        <v>34028</v>
      </c>
      <c r="F6885" s="1" t="s">
        <v>692</v>
      </c>
      <c r="G6885" s="1" t="s">
        <v>21074</v>
      </c>
      <c r="H6885" s="1">
        <v>2018.0</v>
      </c>
      <c r="I6885" s="1" t="s">
        <v>78</v>
      </c>
      <c r="J6885" s="1" t="s">
        <v>33</v>
      </c>
      <c r="K6885" s="1" t="s">
        <v>137</v>
      </c>
      <c r="L6885" s="1" t="s">
        <v>34029</v>
      </c>
      <c r="M6885" s="2" t="s">
        <v>12</v>
      </c>
      <c r="N6885" s="4">
        <f t="shared" si="1"/>
        <v>43580</v>
      </c>
      <c r="O6885" s="5" t="str">
        <f>IFERROR(__xludf.DUMMYFUNCTION("IF(REGEXMATCH(TRIM(I6885), ""^\d+\s*min""), ""Unclassified"", IF(I6885 = """", ""NR"", I6885))"),"PG")</f>
        <v>PG</v>
      </c>
      <c r="R6885" s="5" t="str">
        <f t="shared" si="2"/>
        <v>Goosebumps 2: Haunted Halloween</v>
      </c>
      <c r="S6885" s="5" t="str">
        <f>IFERROR(__xludf.DUMMYFUNCTION("""COMPUTED_VALUE"""),"The Baker And The Beauty")</f>
        <v>The Baker And The Beauty</v>
      </c>
      <c r="V6885" s="5"/>
      <c r="Y6885" s="5" t="str">
        <f>IFERROR(__xludf.DUMMYFUNCTION("REGEXEXTRACT(J6885, ""^\d+"")"),"90")</f>
        <v>90</v>
      </c>
      <c r="Z6885" s="5" t="str">
        <f>IFERROR(__xludf.DUMMYFUNCTION("REGEXEXTRACT(J6885, ""[A-Za-z ]+$"")")," min")</f>
        <v> min</v>
      </c>
      <c r="AA6885" s="5" t="str">
        <f>IFERROR(__xludf.DUMMYFUNCTION("IF(REGEXMATCH(Z6885, ""Season""), ""TV Show"", ""Movie"")"),"Movie")</f>
        <v>Movie</v>
      </c>
    </row>
    <row r="6886">
      <c r="A6886" s="1" t="s">
        <v>34030</v>
      </c>
      <c r="B6886" s="1" t="s">
        <v>27</v>
      </c>
      <c r="C6886" s="1" t="s">
        <v>34031</v>
      </c>
      <c r="D6886" s="1" t="s">
        <v>19406</v>
      </c>
      <c r="E6886" s="1" t="s">
        <v>34032</v>
      </c>
      <c r="F6886" s="1" t="s">
        <v>34033</v>
      </c>
      <c r="G6886" s="1" t="s">
        <v>18333</v>
      </c>
      <c r="H6886" s="1">
        <v>2001.0</v>
      </c>
      <c r="I6886" s="1" t="s">
        <v>378</v>
      </c>
      <c r="J6886" s="1" t="s">
        <v>4242</v>
      </c>
      <c r="K6886" s="1" t="s">
        <v>583</v>
      </c>
      <c r="L6886" s="1" t="s">
        <v>34034</v>
      </c>
      <c r="M6886" s="2" t="s">
        <v>12</v>
      </c>
      <c r="N6886" s="4">
        <f t="shared" si="1"/>
        <v>43770</v>
      </c>
      <c r="O6886" s="5" t="str">
        <f>IFERROR(__xludf.DUMMYFUNCTION("IF(REGEXMATCH(TRIM(I6886), ""^\d+\s*min""), ""Unclassified"", IF(I6886 = """", ""NR"", I6886))"),"R")</f>
        <v>R</v>
      </c>
      <c r="R6886" s="5" t="str">
        <f t="shared" si="2"/>
        <v>Gosford Park</v>
      </c>
      <c r="S6886" s="5" t="str">
        <f>IFERROR(__xludf.DUMMYFUNCTION("""COMPUTED_VALUE"""),"The Ballad Of Buster Scruggs")</f>
        <v>The Ballad Of Buster Scruggs</v>
      </c>
      <c r="V6886" s="5"/>
      <c r="Y6886" s="5" t="str">
        <f>IFERROR(__xludf.DUMMYFUNCTION("REGEXEXTRACT(J6886, ""^\d+"")"),"137")</f>
        <v>137</v>
      </c>
      <c r="Z6886" s="5" t="str">
        <f>IFERROR(__xludf.DUMMYFUNCTION("REGEXEXTRACT(J6886, ""[A-Za-z ]+$"")")," min")</f>
        <v> min</v>
      </c>
      <c r="AA6886" s="5" t="str">
        <f>IFERROR(__xludf.DUMMYFUNCTION("IF(REGEXMATCH(Z6886, ""Season""), ""TV Show"", ""Movie"")"),"Movie")</f>
        <v>Movie</v>
      </c>
    </row>
    <row r="6887">
      <c r="A6887" s="1" t="s">
        <v>34035</v>
      </c>
      <c r="B6887" s="1" t="s">
        <v>37</v>
      </c>
      <c r="C6887" s="1" t="s">
        <v>34036</v>
      </c>
      <c r="E6887" s="1" t="s">
        <v>34037</v>
      </c>
      <c r="F6887" s="1" t="s">
        <v>30</v>
      </c>
      <c r="G6887" s="1" t="s">
        <v>34038</v>
      </c>
      <c r="H6887" s="1">
        <v>2012.0</v>
      </c>
      <c r="I6887" s="1" t="s">
        <v>97</v>
      </c>
      <c r="J6887" s="1" t="s">
        <v>439</v>
      </c>
      <c r="K6887" s="1" t="s">
        <v>2192</v>
      </c>
      <c r="L6887" s="1" t="s">
        <v>34039</v>
      </c>
      <c r="M6887" s="2" t="s">
        <v>12</v>
      </c>
      <c r="N6887" s="1" t="str">
        <f t="shared" si="1"/>
        <v>#N/A</v>
      </c>
      <c r="O6887" s="5" t="str">
        <f>IFERROR(__xludf.DUMMYFUNCTION("IF(REGEXMATCH(TRIM(I6887), ""^\d+\s*min""), ""Unclassified"", IF(I6887 = """", ""NR"", I6887))"),"TV-14")</f>
        <v>TV-14</v>
      </c>
      <c r="R6887" s="5" t="str">
        <f t="shared" si="2"/>
        <v>Gossip Girl</v>
      </c>
      <c r="S6887" s="5" t="str">
        <f>IFERROR(__xludf.DUMMYFUNCTION("""COMPUTED_VALUE"""),"The Ballad Of Lefty Brown")</f>
        <v>The Ballad Of Lefty Brown</v>
      </c>
      <c r="V6887" s="5"/>
      <c r="Y6887" s="5" t="str">
        <f>IFERROR(__xludf.DUMMYFUNCTION("REGEXEXTRACT(J6887, ""^\d+"")"),"6")</f>
        <v>6</v>
      </c>
      <c r="Z6887" s="5" t="str">
        <f>IFERROR(__xludf.DUMMYFUNCTION("REGEXEXTRACT(J6887, ""[A-Za-z ]+$"")")," Seasons")</f>
        <v> Seasons</v>
      </c>
      <c r="AA6887" s="5" t="str">
        <f>IFERROR(__xludf.DUMMYFUNCTION("IF(REGEXMATCH(Z6887, ""Season""), ""TV Show"", ""Movie"")"),"TV Show")</f>
        <v>TV Show</v>
      </c>
    </row>
    <row r="6888">
      <c r="A6888" s="1" t="s">
        <v>34040</v>
      </c>
      <c r="B6888" s="1" t="s">
        <v>27</v>
      </c>
      <c r="C6888" s="1" t="s">
        <v>34041</v>
      </c>
      <c r="D6888" s="1" t="s">
        <v>15166</v>
      </c>
      <c r="E6888" s="1" t="s">
        <v>34042</v>
      </c>
      <c r="F6888" s="1" t="s">
        <v>34043</v>
      </c>
      <c r="G6888" s="1" t="s">
        <v>8506</v>
      </c>
      <c r="H6888" s="1">
        <v>2003.0</v>
      </c>
      <c r="I6888" s="1" t="s">
        <v>378</v>
      </c>
      <c r="J6888" s="1" t="s">
        <v>357</v>
      </c>
      <c r="K6888" s="1" t="s">
        <v>3768</v>
      </c>
      <c r="L6888" s="1" t="s">
        <v>34044</v>
      </c>
      <c r="M6888" s="2" t="s">
        <v>12</v>
      </c>
      <c r="N6888" s="4">
        <f t="shared" si="1"/>
        <v>44197</v>
      </c>
      <c r="O6888" s="5" t="str">
        <f>IFERROR(__xludf.DUMMYFUNCTION("IF(REGEXMATCH(TRIM(I6888), ""^\d+\s*min""), ""Unclassified"", IF(I6888 = """", ""NR"", I6888))"),"R")</f>
        <v>R</v>
      </c>
      <c r="R6888" s="5" t="str">
        <f t="shared" si="2"/>
        <v>Gothika</v>
      </c>
      <c r="S6888" s="5" t="str">
        <f>IFERROR(__xludf.DUMMYFUNCTION("""COMPUTED_VALUE"""),"The Bank Job")</f>
        <v>The Bank Job</v>
      </c>
      <c r="V6888" s="5"/>
      <c r="Y6888" s="5" t="str">
        <f>IFERROR(__xludf.DUMMYFUNCTION("REGEXEXTRACT(J6888, ""^\d+"")"),"98")</f>
        <v>98</v>
      </c>
      <c r="Z6888" s="5" t="str">
        <f>IFERROR(__xludf.DUMMYFUNCTION("REGEXEXTRACT(J6888, ""[A-Za-z ]+$"")")," min")</f>
        <v> min</v>
      </c>
      <c r="AA6888" s="5" t="str">
        <f>IFERROR(__xludf.DUMMYFUNCTION("IF(REGEXMATCH(Z6888, ""Season""), ""TV Show"", ""Movie"")"),"Movie")</f>
        <v>Movie</v>
      </c>
    </row>
    <row r="6889">
      <c r="A6889" s="1" t="s">
        <v>34045</v>
      </c>
      <c r="B6889" s="1" t="s">
        <v>27</v>
      </c>
      <c r="C6889" s="1" t="s">
        <v>34046</v>
      </c>
      <c r="D6889" s="1" t="s">
        <v>1733</v>
      </c>
      <c r="E6889" s="1" t="s">
        <v>34047</v>
      </c>
      <c r="F6889" s="1" t="s">
        <v>63</v>
      </c>
      <c r="G6889" s="1" t="s">
        <v>27021</v>
      </c>
      <c r="H6889" s="1">
        <v>2015.0</v>
      </c>
      <c r="I6889" s="1" t="s">
        <v>97</v>
      </c>
      <c r="J6889" s="1" t="s">
        <v>1065</v>
      </c>
      <c r="K6889" s="1" t="s">
        <v>89</v>
      </c>
      <c r="L6889" s="1" t="s">
        <v>34048</v>
      </c>
      <c r="M6889" s="2" t="s">
        <v>12</v>
      </c>
      <c r="N6889" s="4">
        <f t="shared" si="1"/>
        <v>43023</v>
      </c>
      <c r="O6889" s="5" t="str">
        <f>IFERROR(__xludf.DUMMYFUNCTION("IF(REGEXMATCH(TRIM(I6889), ""^\d+\s*min""), ""Unclassified"", IF(I6889 = """", ""NR"", I6889))"),"TV-14")</f>
        <v>TV-14</v>
      </c>
      <c r="R6889" s="5" t="str">
        <f t="shared" si="2"/>
        <v>Gour Hari Dastaan: The Freedom File</v>
      </c>
      <c r="S6889" s="5" t="str">
        <f>IFERROR(__xludf.DUMMYFUNCTION("""COMPUTED_VALUE"""),"The Bar")</f>
        <v>The Bar</v>
      </c>
      <c r="V6889" s="5"/>
      <c r="Y6889" s="5" t="str">
        <f>IFERROR(__xludf.DUMMYFUNCTION("REGEXEXTRACT(J6889, ""^\d+"")"),"109")</f>
        <v>109</v>
      </c>
      <c r="Z6889" s="5" t="str">
        <f>IFERROR(__xludf.DUMMYFUNCTION("REGEXEXTRACT(J6889, ""[A-Za-z ]+$"")")," min")</f>
        <v> min</v>
      </c>
      <c r="AA6889" s="5" t="str">
        <f>IFERROR(__xludf.DUMMYFUNCTION("IF(REGEXMATCH(Z6889, ""Season""), ""TV Show"", ""Movie"")"),"Movie")</f>
        <v>Movie</v>
      </c>
    </row>
    <row r="6890">
      <c r="A6890" s="1" t="s">
        <v>34049</v>
      </c>
      <c r="B6890" s="1" t="s">
        <v>27</v>
      </c>
      <c r="C6890" s="1" t="s">
        <v>34050</v>
      </c>
      <c r="D6890" s="1" t="s">
        <v>2279</v>
      </c>
      <c r="E6890" s="1" t="s">
        <v>34051</v>
      </c>
      <c r="F6890" s="1" t="s">
        <v>911</v>
      </c>
      <c r="G6890" s="1" t="s">
        <v>10969</v>
      </c>
      <c r="H6890" s="1">
        <v>2008.0</v>
      </c>
      <c r="I6890" s="1" t="s">
        <v>378</v>
      </c>
      <c r="J6890" s="1" t="s">
        <v>743</v>
      </c>
      <c r="K6890" s="1" t="s">
        <v>805</v>
      </c>
      <c r="L6890" s="1" t="s">
        <v>34052</v>
      </c>
      <c r="M6890" s="2" t="s">
        <v>12</v>
      </c>
      <c r="N6890" s="4">
        <f t="shared" si="1"/>
        <v>44105</v>
      </c>
      <c r="O6890" s="5" t="str">
        <f>IFERROR(__xludf.DUMMYFUNCTION("IF(REGEXMATCH(TRIM(I6890), ""^\d+\s*min""), ""Unclassified"", IF(I6890 = """", ""NR"", I6890))"),"R")</f>
        <v>R</v>
      </c>
      <c r="R6890" s="5" t="str">
        <f t="shared" si="2"/>
        <v>Gran Torino</v>
      </c>
      <c r="S6890" s="5" t="str">
        <f>IFERROR(__xludf.DUMMYFUNCTION("""COMPUTED_VALUE"""),"The Bare-Footed Kid")</f>
        <v>The Bare-Footed Kid</v>
      </c>
      <c r="V6890" s="5"/>
      <c r="Y6890" s="5" t="str">
        <f>IFERROR(__xludf.DUMMYFUNCTION("REGEXEXTRACT(J6890, ""^\d+"")"),"117")</f>
        <v>117</v>
      </c>
      <c r="Z6890" s="5" t="str">
        <f>IFERROR(__xludf.DUMMYFUNCTION("REGEXEXTRACT(J6890, ""[A-Za-z ]+$"")")," min")</f>
        <v> min</v>
      </c>
      <c r="AA6890" s="5" t="str">
        <f>IFERROR(__xludf.DUMMYFUNCTION("IF(REGEXMATCH(Z6890, ""Season""), ""TV Show"", ""Movie"")"),"Movie")</f>
        <v>Movie</v>
      </c>
    </row>
    <row r="6891">
      <c r="A6891" s="1" t="s">
        <v>34053</v>
      </c>
      <c r="B6891" s="1" t="s">
        <v>37</v>
      </c>
      <c r="C6891" s="1" t="s">
        <v>34054</v>
      </c>
      <c r="E6891" s="1" t="s">
        <v>34055</v>
      </c>
      <c r="F6891" s="1" t="s">
        <v>96</v>
      </c>
      <c r="G6891" s="1" t="s">
        <v>19813</v>
      </c>
      <c r="H6891" s="1">
        <v>2017.0</v>
      </c>
      <c r="I6891" s="1" t="s">
        <v>97</v>
      </c>
      <c r="J6891" s="1" t="s">
        <v>43</v>
      </c>
      <c r="K6891" s="1" t="s">
        <v>2382</v>
      </c>
      <c r="L6891" s="1" t="s">
        <v>34056</v>
      </c>
      <c r="M6891" s="2" t="s">
        <v>12</v>
      </c>
      <c r="N6891" s="4">
        <f t="shared" si="1"/>
        <v>43678</v>
      </c>
      <c r="O6891" s="5" t="str">
        <f>IFERROR(__xludf.DUMMYFUNCTION("IF(REGEXMATCH(TRIM(I6891), ""^\d+\s*min""), ""Unclassified"", IF(I6891 = """", ""NR"", I6891))"),"TV-14")</f>
        <v>TV-14</v>
      </c>
      <c r="R6891" s="5" t="str">
        <f t="shared" si="2"/>
        <v>Grand Designs</v>
      </c>
      <c r="S6891" s="5" t="str">
        <f>IFERROR(__xludf.DUMMYFUNCTION("""COMPUTED_VALUE"""),"The Barrier")</f>
        <v>The Barrier</v>
      </c>
      <c r="V6891" s="5"/>
      <c r="Y6891" s="5" t="str">
        <f>IFERROR(__xludf.DUMMYFUNCTION("REGEXEXTRACT(J6891, ""^\d+"")"),"2")</f>
        <v>2</v>
      </c>
      <c r="Z6891" s="5" t="str">
        <f>IFERROR(__xludf.DUMMYFUNCTION("REGEXEXTRACT(J6891, ""[A-Za-z ]+$"")")," Seasons")</f>
        <v> Seasons</v>
      </c>
      <c r="AA6891" s="5" t="str">
        <f>IFERROR(__xludf.DUMMYFUNCTION("IF(REGEXMATCH(Z6891, ""Season""), ""TV Show"", ""Movie"")"),"TV Show")</f>
        <v>TV Show</v>
      </c>
    </row>
    <row r="6892">
      <c r="A6892" s="1" t="s">
        <v>34057</v>
      </c>
      <c r="B6892" s="1" t="s">
        <v>37</v>
      </c>
      <c r="C6892" s="1" t="s">
        <v>34058</v>
      </c>
      <c r="E6892" s="1" t="s">
        <v>34059</v>
      </c>
      <c r="F6892" s="1" t="s">
        <v>784</v>
      </c>
      <c r="G6892" s="1" t="s">
        <v>34060</v>
      </c>
      <c r="H6892" s="1">
        <v>2013.0</v>
      </c>
      <c r="I6892" s="1" t="s">
        <v>136</v>
      </c>
      <c r="J6892" s="1" t="s">
        <v>276</v>
      </c>
      <c r="K6892" s="1" t="s">
        <v>1822</v>
      </c>
      <c r="L6892" s="1" t="s">
        <v>34061</v>
      </c>
      <c r="M6892" s="2" t="s">
        <v>12</v>
      </c>
      <c r="N6892" s="1" t="str">
        <f t="shared" si="1"/>
        <v>#N/A</v>
      </c>
      <c r="O6892" s="5" t="str">
        <f>IFERROR(__xludf.DUMMYFUNCTION("IF(REGEXMATCH(TRIM(I6892), ""^\d+\s*min""), ""Unclassified"", IF(I6892 = """", ""NR"", I6892))"),"TV-PG")</f>
        <v>TV-PG</v>
      </c>
      <c r="R6892" s="5" t="str">
        <f t="shared" si="2"/>
        <v>Grand Hotel</v>
      </c>
      <c r="S6892" s="5" t="str">
        <f>IFERROR(__xludf.DUMMYFUNCTION("""COMPUTED_VALUE"""),"The Basement")</f>
        <v>The Basement</v>
      </c>
      <c r="V6892" s="5"/>
      <c r="Y6892" s="5" t="str">
        <f>IFERROR(__xludf.DUMMYFUNCTION("REGEXEXTRACT(J6892, ""^\d+"")"),"3")</f>
        <v>3</v>
      </c>
      <c r="Z6892" s="5" t="str">
        <f>IFERROR(__xludf.DUMMYFUNCTION("REGEXEXTRACT(J6892, ""[A-Za-z ]+$"")")," Seasons")</f>
        <v> Seasons</v>
      </c>
      <c r="AA6892" s="5" t="str">
        <f>IFERROR(__xludf.DUMMYFUNCTION("IF(REGEXMATCH(Z6892, ""Season""), ""TV Show"", ""Movie"")"),"TV Show")</f>
        <v>TV Show</v>
      </c>
    </row>
    <row r="6893">
      <c r="A6893" s="1" t="s">
        <v>34062</v>
      </c>
      <c r="B6893" s="1" t="s">
        <v>27</v>
      </c>
      <c r="C6893" s="1" t="s">
        <v>34063</v>
      </c>
      <c r="D6893" s="1" t="s">
        <v>9619</v>
      </c>
      <c r="E6893" s="1" t="s">
        <v>34064</v>
      </c>
      <c r="F6893" s="1" t="s">
        <v>63</v>
      </c>
      <c r="G6893" s="1" t="s">
        <v>26089</v>
      </c>
      <c r="H6893" s="1">
        <v>2013.0</v>
      </c>
      <c r="I6893" s="1" t="s">
        <v>42</v>
      </c>
      <c r="J6893" s="1" t="s">
        <v>454</v>
      </c>
      <c r="K6893" s="1" t="s">
        <v>230</v>
      </c>
      <c r="L6893" s="1" t="s">
        <v>34065</v>
      </c>
      <c r="M6893" s="2" t="s">
        <v>12</v>
      </c>
      <c r="N6893" s="4">
        <f t="shared" si="1"/>
        <v>43160</v>
      </c>
      <c r="O6893" s="5" t="str">
        <f>IFERROR(__xludf.DUMMYFUNCTION("IF(REGEXMATCH(TRIM(I6893), ""^\d+\s*min""), ""Unclassified"", IF(I6893 = """", ""NR"", I6893))"),"TV-MA")</f>
        <v>TV-MA</v>
      </c>
      <c r="R6893" s="5" t="str">
        <f t="shared" si="2"/>
        <v>Grand Masti</v>
      </c>
      <c r="S6893" s="5" t="str">
        <f>IFERROR(__xludf.DUMMYFUNCTION("""COMPUTED_VALUE"""),"The Battered Bastards Of Baseball")</f>
        <v>The Battered Bastards Of Baseball</v>
      </c>
      <c r="V6893" s="5"/>
      <c r="Y6893" s="5" t="str">
        <f>IFERROR(__xludf.DUMMYFUNCTION("REGEXEXTRACT(J6893, ""^\d+"")"),"93")</f>
        <v>93</v>
      </c>
      <c r="Z6893" s="5" t="str">
        <f>IFERROR(__xludf.DUMMYFUNCTION("REGEXEXTRACT(J6893, ""[A-Za-z ]+$"")")," min")</f>
        <v> min</v>
      </c>
      <c r="AA6893" s="5" t="str">
        <f>IFERROR(__xludf.DUMMYFUNCTION("IF(REGEXMATCH(Z6893, ""Season""), ""TV Show"", ""Movie"")"),"Movie")</f>
        <v>Movie</v>
      </c>
    </row>
    <row r="6894">
      <c r="A6894" s="1" t="s">
        <v>34066</v>
      </c>
      <c r="B6894" s="1" t="s">
        <v>27</v>
      </c>
      <c r="C6894" s="1" t="s">
        <v>34067</v>
      </c>
      <c r="D6894" s="1" t="s">
        <v>22192</v>
      </c>
      <c r="E6894" s="1" t="s">
        <v>34068</v>
      </c>
      <c r="F6894" s="1" t="s">
        <v>30</v>
      </c>
      <c r="G6894" s="1" t="s">
        <v>22134</v>
      </c>
      <c r="H6894" s="1">
        <v>2017.0</v>
      </c>
      <c r="I6894" s="1" t="s">
        <v>42</v>
      </c>
      <c r="J6894" s="1" t="s">
        <v>8832</v>
      </c>
      <c r="K6894" s="1" t="s">
        <v>1749</v>
      </c>
      <c r="L6894" s="1" t="s">
        <v>34069</v>
      </c>
      <c r="M6894" s="2" t="s">
        <v>12</v>
      </c>
      <c r="N6894" s="4">
        <f t="shared" si="1"/>
        <v>43510</v>
      </c>
      <c r="O6894" s="5" t="str">
        <f>IFERROR(__xludf.DUMMYFUNCTION("IF(REGEXMATCH(TRIM(I6894), ""^\d+\s*min""), ""Unclassified"", IF(I6894 = """", ""NR"", I6894))"),"TV-MA")</f>
        <v>TV-MA</v>
      </c>
      <c r="R6894" s="5" t="str">
        <f t="shared" si="2"/>
        <v>Grass</v>
      </c>
      <c r="S6894" s="5" t="str">
        <f>IFERROR(__xludf.DUMMYFUNCTION("""COMPUTED_VALUE"""),"The Battle Of Midway")</f>
        <v>The Battle Of Midway</v>
      </c>
      <c r="V6894" s="5"/>
      <c r="Y6894" s="5" t="str">
        <f>IFERROR(__xludf.DUMMYFUNCTION("REGEXEXTRACT(J6894, ""^\d+"")"),"57")</f>
        <v>57</v>
      </c>
      <c r="Z6894" s="5" t="str">
        <f>IFERROR(__xludf.DUMMYFUNCTION("REGEXEXTRACT(J6894, ""[A-Za-z ]+$"")")," min")</f>
        <v> min</v>
      </c>
      <c r="AA6894" s="5" t="str">
        <f>IFERROR(__xludf.DUMMYFUNCTION("IF(REGEXMATCH(Z6894, ""Season""), ""TV Show"", ""Movie"")"),"Movie")</f>
        <v>Movie</v>
      </c>
    </row>
    <row r="6895">
      <c r="A6895" s="1" t="s">
        <v>34070</v>
      </c>
      <c r="B6895" s="1" t="s">
        <v>27</v>
      </c>
      <c r="C6895" s="1" t="s">
        <v>34071</v>
      </c>
      <c r="D6895" s="1" t="s">
        <v>1221</v>
      </c>
      <c r="E6895" s="1" t="s">
        <v>34072</v>
      </c>
      <c r="F6895" s="1" t="s">
        <v>30</v>
      </c>
      <c r="G6895" s="1" t="s">
        <v>18333</v>
      </c>
      <c r="H6895" s="1">
        <v>1978.0</v>
      </c>
      <c r="I6895" s="1" t="s">
        <v>78</v>
      </c>
      <c r="J6895" s="1" t="s">
        <v>297</v>
      </c>
      <c r="K6895" s="1" t="s">
        <v>33896</v>
      </c>
      <c r="L6895" s="1" t="s">
        <v>34073</v>
      </c>
      <c r="M6895" s="2" t="s">
        <v>12</v>
      </c>
      <c r="N6895" s="4">
        <f t="shared" si="1"/>
        <v>43770</v>
      </c>
      <c r="O6895" s="5" t="str">
        <f>IFERROR(__xludf.DUMMYFUNCTION("IF(REGEXMATCH(TRIM(I6895), ""^\d+\s*min""), ""Unclassified"", IF(I6895 = """", ""NR"", I6895))"),"PG")</f>
        <v>PG</v>
      </c>
      <c r="R6895" s="5" t="str">
        <f t="shared" si="2"/>
        <v>Grease</v>
      </c>
      <c r="S6895" s="5" t="str">
        <f>IFERROR(__xludf.DUMMYFUNCTION("""COMPUTED_VALUE"""),"The Beach Loafer")</f>
        <v>The Beach Loafer</v>
      </c>
      <c r="V6895" s="5"/>
      <c r="Y6895" s="5" t="str">
        <f>IFERROR(__xludf.DUMMYFUNCTION("REGEXEXTRACT(J6895, ""^\d+"")"),"110")</f>
        <v>110</v>
      </c>
      <c r="Z6895" s="5" t="str">
        <f>IFERROR(__xludf.DUMMYFUNCTION("REGEXEXTRACT(J6895, ""[A-Za-z ]+$"")")," min")</f>
        <v> min</v>
      </c>
      <c r="AA6895" s="5" t="str">
        <f>IFERROR(__xludf.DUMMYFUNCTION("IF(REGEXMATCH(Z6895, ""Season""), ""TV Show"", ""Movie"")"),"Movie")</f>
        <v>Movie</v>
      </c>
    </row>
    <row r="6896">
      <c r="A6896" s="1" t="s">
        <v>34074</v>
      </c>
      <c r="B6896" s="1" t="s">
        <v>37</v>
      </c>
      <c r="C6896" s="1" t="s">
        <v>34075</v>
      </c>
      <c r="E6896" s="1" t="s">
        <v>34076</v>
      </c>
      <c r="F6896" s="1" t="s">
        <v>96</v>
      </c>
      <c r="G6896" s="1" t="s">
        <v>34077</v>
      </c>
      <c r="H6896" s="1">
        <v>2016.0</v>
      </c>
      <c r="I6896" s="1" t="s">
        <v>136</v>
      </c>
      <c r="J6896" s="1" t="s">
        <v>43</v>
      </c>
      <c r="K6896" s="1" t="s">
        <v>2382</v>
      </c>
      <c r="L6896" s="1" t="s">
        <v>34078</v>
      </c>
      <c r="M6896" s="2" t="s">
        <v>12</v>
      </c>
      <c r="N6896" s="1" t="str">
        <f t="shared" si="1"/>
        <v>#N/A</v>
      </c>
      <c r="O6896" s="5" t="str">
        <f>IFERROR(__xludf.DUMMYFUNCTION("IF(REGEXMATCH(TRIM(I6896), ""^\d+\s*min""), ""Unclassified"", IF(I6896 = """", ""NR"", I6896))"),"TV-PG")</f>
        <v>TV-PG</v>
      </c>
      <c r="R6896" s="5" t="str">
        <f t="shared" si="2"/>
        <v>Great Interior Design Challenge</v>
      </c>
      <c r="S6896" s="5" t="str">
        <f>IFERROR(__xludf.DUMMYFUNCTION("""COMPUTED_VALUE"""),"The Beast")</f>
        <v>The Beast</v>
      </c>
      <c r="V6896" s="5"/>
      <c r="Y6896" s="5" t="str">
        <f>IFERROR(__xludf.DUMMYFUNCTION("REGEXEXTRACT(J6896, ""^\d+"")"),"2")</f>
        <v>2</v>
      </c>
      <c r="Z6896" s="5" t="str">
        <f>IFERROR(__xludf.DUMMYFUNCTION("REGEXEXTRACT(J6896, ""[A-Za-z ]+$"")")," Seasons")</f>
        <v> Seasons</v>
      </c>
      <c r="AA6896" s="5" t="str">
        <f>IFERROR(__xludf.DUMMYFUNCTION("IF(REGEXMATCH(Z6896, ""Season""), ""TV Show"", ""Movie"")"),"TV Show")</f>
        <v>TV Show</v>
      </c>
    </row>
    <row r="6897">
      <c r="A6897" s="1" t="s">
        <v>34079</v>
      </c>
      <c r="B6897" s="1" t="s">
        <v>37</v>
      </c>
      <c r="C6897" s="1" t="s">
        <v>34080</v>
      </c>
      <c r="F6897" s="1" t="s">
        <v>96</v>
      </c>
      <c r="G6897" s="1" t="s">
        <v>27097</v>
      </c>
      <c r="H6897" s="1">
        <v>2017.0</v>
      </c>
      <c r="I6897" s="1" t="s">
        <v>136</v>
      </c>
      <c r="J6897" s="1" t="s">
        <v>51</v>
      </c>
      <c r="K6897" s="1" t="s">
        <v>736</v>
      </c>
      <c r="L6897" s="1" t="s">
        <v>34081</v>
      </c>
      <c r="M6897" s="2" t="s">
        <v>12</v>
      </c>
      <c r="N6897" s="4">
        <f t="shared" si="1"/>
        <v>43009</v>
      </c>
      <c r="O6897" s="5" t="str">
        <f>IFERROR(__xludf.DUMMYFUNCTION("IF(REGEXMATCH(TRIM(I6897), ""^\d+\s*min""), ""Unclassified"", IF(I6897 = """", ""NR"", I6897))"),"TV-PG")</f>
        <v>TV-PG</v>
      </c>
      <c r="R6897" s="5" t="str">
        <f t="shared" si="2"/>
        <v>Great Yellowstone Thaw</v>
      </c>
      <c r="S6897" s="5" t="str">
        <f>IFERROR(__xludf.DUMMYFUNCTION("""COMPUTED_VALUE"""),"The Beast Stalker")</f>
        <v>The Beast Stalker</v>
      </c>
      <c r="V6897" s="5"/>
      <c r="Y6897" s="5" t="str">
        <f>IFERROR(__xludf.DUMMYFUNCTION("REGEXEXTRACT(J6897, ""^\d+"")"),"1")</f>
        <v>1</v>
      </c>
      <c r="Z6897" s="5" t="str">
        <f>IFERROR(__xludf.DUMMYFUNCTION("REGEXEXTRACT(J6897, ""[A-Za-z ]+$"")")," Season")</f>
        <v> Season</v>
      </c>
      <c r="AA6897" s="5" t="str">
        <f>IFERROR(__xludf.DUMMYFUNCTION("IF(REGEXMATCH(Z6897, ""Season""), ""TV Show"", ""Movie"")"),"TV Show")</f>
        <v>TV Show</v>
      </c>
    </row>
    <row r="6898">
      <c r="A6898" s="1" t="s">
        <v>34082</v>
      </c>
      <c r="B6898" s="1" t="s">
        <v>27</v>
      </c>
      <c r="C6898" s="1" t="s">
        <v>34083</v>
      </c>
      <c r="D6898" s="1" t="s">
        <v>10829</v>
      </c>
      <c r="E6898" s="1" t="s">
        <v>34084</v>
      </c>
      <c r="F6898" s="1" t="s">
        <v>30</v>
      </c>
      <c r="G6898" s="1" t="s">
        <v>34085</v>
      </c>
      <c r="H6898" s="1">
        <v>2015.0</v>
      </c>
      <c r="I6898" s="1" t="s">
        <v>378</v>
      </c>
      <c r="J6898" s="1" t="s">
        <v>465</v>
      </c>
      <c r="K6898" s="1" t="s">
        <v>3768</v>
      </c>
      <c r="L6898" s="1" t="s">
        <v>34086</v>
      </c>
      <c r="M6898" s="2" t="s">
        <v>12</v>
      </c>
      <c r="N6898" s="4">
        <f t="shared" si="1"/>
        <v>43416</v>
      </c>
      <c r="O6898" s="5" t="str">
        <f>IFERROR(__xludf.DUMMYFUNCTION("IF(REGEXMATCH(TRIM(I6898), ""^\d+\s*min""), ""Unclassified"", IF(I6898 = """", ""NR"", I6898))"),"R")</f>
        <v>R</v>
      </c>
      <c r="R6898" s="5" t="str">
        <f t="shared" si="2"/>
        <v>Green Room</v>
      </c>
      <c r="S6898" s="5" t="str">
        <f>IFERROR(__xludf.DUMMYFUNCTION("""COMPUTED_VALUE"""),"The Beat")</f>
        <v>The Beat</v>
      </c>
      <c r="V6898" s="5"/>
      <c r="Y6898" s="5" t="str">
        <f>IFERROR(__xludf.DUMMYFUNCTION("REGEXEXTRACT(J6898, ""^\d+"")"),"95")</f>
        <v>95</v>
      </c>
      <c r="Z6898" s="5" t="str">
        <f>IFERROR(__xludf.DUMMYFUNCTION("REGEXEXTRACT(J6898, ""[A-Za-z ]+$"")")," min")</f>
        <v> min</v>
      </c>
      <c r="AA6898" s="5" t="str">
        <f>IFERROR(__xludf.DUMMYFUNCTION("IF(REGEXMATCH(Z6898, ""Season""), ""TV Show"", ""Movie"")"),"Movie")</f>
        <v>Movie</v>
      </c>
    </row>
    <row r="6899">
      <c r="A6899" s="1" t="s">
        <v>34087</v>
      </c>
      <c r="B6899" s="1" t="s">
        <v>27</v>
      </c>
      <c r="C6899" s="1" t="s">
        <v>34088</v>
      </c>
      <c r="D6899" s="1" t="s">
        <v>158</v>
      </c>
      <c r="E6899" s="1" t="s">
        <v>34089</v>
      </c>
      <c r="F6899" s="1" t="s">
        <v>400</v>
      </c>
      <c r="G6899" s="1" t="s">
        <v>26481</v>
      </c>
      <c r="H6899" s="1">
        <v>2016.0</v>
      </c>
      <c r="I6899" s="1" t="s">
        <v>42</v>
      </c>
      <c r="J6899" s="1" t="s">
        <v>447</v>
      </c>
      <c r="K6899" s="1" t="s">
        <v>5295</v>
      </c>
      <c r="L6899" s="1" t="s">
        <v>34090</v>
      </c>
      <c r="M6899" s="2" t="s">
        <v>12</v>
      </c>
      <c r="N6899" s="4">
        <f t="shared" si="1"/>
        <v>43101</v>
      </c>
      <c r="O6899" s="5" t="str">
        <f>IFERROR(__xludf.DUMMYFUNCTION("IF(REGEXMATCH(TRIM(I6899), ""^\d+\s*min""), ""Unclassified"", IF(I6899 = """", ""NR"", I6899))"),"TV-MA")</f>
        <v>TV-MA</v>
      </c>
      <c r="R6899" s="5" t="str">
        <f t="shared" si="2"/>
        <v>Green White Green (And All The Beautiful Colours In My Mosaic Of Madness)</v>
      </c>
      <c r="S6899" s="5" t="str">
        <f>IFERROR(__xludf.DUMMYFUNCTION("""COMPUTED_VALUE"""),"The Beginning Of Life")</f>
        <v>The Beginning Of Life</v>
      </c>
      <c r="V6899" s="5"/>
      <c r="Y6899" s="5" t="str">
        <f>IFERROR(__xludf.DUMMYFUNCTION("REGEXEXTRACT(J6899, ""^\d+"")"),"102")</f>
        <v>102</v>
      </c>
      <c r="Z6899" s="5" t="str">
        <f>IFERROR(__xludf.DUMMYFUNCTION("REGEXEXTRACT(J6899, ""[A-Za-z ]+$"")")," min")</f>
        <v> min</v>
      </c>
      <c r="AA6899" s="5" t="str">
        <f>IFERROR(__xludf.DUMMYFUNCTION("IF(REGEXMATCH(Z6899, ""Season""), ""TV Show"", ""Movie"")"),"Movie")</f>
        <v>Movie</v>
      </c>
    </row>
    <row r="6900">
      <c r="A6900" s="1" t="s">
        <v>34091</v>
      </c>
      <c r="B6900" s="1" t="s">
        <v>27</v>
      </c>
      <c r="C6900" s="1" t="s">
        <v>34092</v>
      </c>
      <c r="D6900" s="1" t="s">
        <v>16544</v>
      </c>
      <c r="F6900" s="1" t="s">
        <v>30</v>
      </c>
      <c r="G6900" s="1" t="s">
        <v>25842</v>
      </c>
      <c r="H6900" s="1">
        <v>2016.0</v>
      </c>
      <c r="I6900" s="1" t="s">
        <v>42</v>
      </c>
      <c r="J6900" s="1" t="s">
        <v>247</v>
      </c>
      <c r="K6900" s="1" t="s">
        <v>34</v>
      </c>
      <c r="L6900" s="1" t="s">
        <v>34093</v>
      </c>
      <c r="M6900" s="2" t="s">
        <v>12</v>
      </c>
      <c r="N6900" s="4">
        <f t="shared" si="1"/>
        <v>43191</v>
      </c>
      <c r="O6900" s="5" t="str">
        <f>IFERROR(__xludf.DUMMYFUNCTION("IF(REGEXMATCH(TRIM(I6900), ""^\d+\s*min""), ""Unclassified"", IF(I6900 = """", ""NR"", I6900))"),"TV-MA")</f>
        <v>TV-MA</v>
      </c>
      <c r="R6900" s="5" t="str">
        <f t="shared" si="2"/>
        <v>Gringo: The Dangerous Life Of John Mcafee</v>
      </c>
      <c r="S6900" s="5" t="str">
        <f>IFERROR(__xludf.DUMMYFUNCTION("""COMPUTED_VALUE"""),"The Beginning Of Life 2: Outside")</f>
        <v>The Beginning Of Life 2: Outside</v>
      </c>
      <c r="V6900" s="5"/>
      <c r="Y6900" s="5" t="str">
        <f>IFERROR(__xludf.DUMMYFUNCTION("REGEXEXTRACT(J6900, ""^\d+"")"),"97")</f>
        <v>97</v>
      </c>
      <c r="Z6900" s="5" t="str">
        <f>IFERROR(__xludf.DUMMYFUNCTION("REGEXEXTRACT(J6900, ""[A-Za-z ]+$"")")," min")</f>
        <v> min</v>
      </c>
      <c r="AA6900" s="5" t="str">
        <f>IFERROR(__xludf.DUMMYFUNCTION("IF(REGEXMATCH(Z6900, ""Season""), ""TV Show"", ""Movie"")"),"Movie")</f>
        <v>Movie</v>
      </c>
    </row>
    <row r="6901">
      <c r="A6901" s="1" t="s">
        <v>34094</v>
      </c>
      <c r="B6901" s="1" t="s">
        <v>27</v>
      </c>
      <c r="C6901" s="1" t="s">
        <v>34095</v>
      </c>
      <c r="D6901" s="1" t="s">
        <v>7188</v>
      </c>
      <c r="F6901" s="1" t="s">
        <v>30</v>
      </c>
      <c r="G6901" s="1" t="s">
        <v>28816</v>
      </c>
      <c r="H6901" s="1">
        <v>2016.0</v>
      </c>
      <c r="I6901" s="1" t="s">
        <v>136</v>
      </c>
      <c r="J6901" s="1" t="s">
        <v>1001</v>
      </c>
      <c r="K6901" s="1" t="s">
        <v>1212</v>
      </c>
      <c r="L6901" s="1" t="s">
        <v>34096</v>
      </c>
      <c r="M6901" s="2" t="s">
        <v>12</v>
      </c>
      <c r="N6901" s="4">
        <f t="shared" si="1"/>
        <v>42741</v>
      </c>
      <c r="O6901" s="5" t="str">
        <f>IFERROR(__xludf.DUMMYFUNCTION("IF(REGEXMATCH(TRIM(I6901), ""^\d+\s*min""), ""Unclassified"", IF(I6901 = """", ""NR"", I6901))"),"TV-PG")</f>
        <v>TV-PG</v>
      </c>
      <c r="R6901" s="5" t="str">
        <f t="shared" si="2"/>
        <v>Growing Up Coy</v>
      </c>
      <c r="S6901" s="5" t="str">
        <f>IFERROR(__xludf.DUMMYFUNCTION("""COMPUTED_VALUE"""),"The Beginning Of Life: The Series")</f>
        <v>The Beginning Of Life: The Series</v>
      </c>
      <c r="V6901" s="5"/>
      <c r="Y6901" s="5" t="str">
        <f>IFERROR(__xludf.DUMMYFUNCTION("REGEXEXTRACT(J6901, ""^\d+"")"),"82")</f>
        <v>82</v>
      </c>
      <c r="Z6901" s="5" t="str">
        <f>IFERROR(__xludf.DUMMYFUNCTION("REGEXEXTRACT(J6901, ""[A-Za-z ]+$"")")," min")</f>
        <v> min</v>
      </c>
      <c r="AA6901" s="5" t="str">
        <f>IFERROR(__xludf.DUMMYFUNCTION("IF(REGEXMATCH(Z6901, ""Season""), ""TV Show"", ""Movie"")"),"Movie")</f>
        <v>Movie</v>
      </c>
    </row>
    <row r="6902">
      <c r="A6902" s="1" t="s">
        <v>34097</v>
      </c>
      <c r="B6902" s="1" t="s">
        <v>27</v>
      </c>
      <c r="C6902" s="1" t="s">
        <v>34098</v>
      </c>
      <c r="D6902" s="1" t="s">
        <v>2157</v>
      </c>
      <c r="F6902" s="1" t="s">
        <v>1106</v>
      </c>
      <c r="G6902" s="1" t="s">
        <v>28697</v>
      </c>
      <c r="H6902" s="1">
        <v>2015.0</v>
      </c>
      <c r="I6902" s="1" t="s">
        <v>136</v>
      </c>
      <c r="J6902" s="1" t="s">
        <v>33</v>
      </c>
      <c r="K6902" s="1" t="s">
        <v>520</v>
      </c>
      <c r="L6902" s="1" t="s">
        <v>34099</v>
      </c>
      <c r="M6902" s="2" t="s">
        <v>12</v>
      </c>
      <c r="N6902" s="4">
        <f t="shared" si="1"/>
        <v>42767</v>
      </c>
      <c r="O6902" s="5" t="str">
        <f>IFERROR(__xludf.DUMMYFUNCTION("IF(REGEXMATCH(TRIM(I6902), ""^\d+\s*min""), ""Unclassified"", IF(I6902 = """", ""NR"", I6902))"),"TV-PG")</f>
        <v>TV-PG</v>
      </c>
      <c r="R6902" s="5" t="str">
        <f t="shared" si="2"/>
        <v>Gun Runners</v>
      </c>
      <c r="S6902" s="5" t="str">
        <f>IFERROR(__xludf.DUMMYFUNCTION("""COMPUTED_VALUE"""),"The Beguiled")</f>
        <v>The Beguiled</v>
      </c>
      <c r="V6902" s="5"/>
      <c r="Y6902" s="5" t="str">
        <f>IFERROR(__xludf.DUMMYFUNCTION("REGEXEXTRACT(J6902, ""^\d+"")"),"90")</f>
        <v>90</v>
      </c>
      <c r="Z6902" s="5" t="str">
        <f>IFERROR(__xludf.DUMMYFUNCTION("REGEXEXTRACT(J6902, ""[A-Za-z ]+$"")")," min")</f>
        <v> min</v>
      </c>
      <c r="AA6902" s="5" t="str">
        <f>IFERROR(__xludf.DUMMYFUNCTION("IF(REGEXMATCH(Z6902, ""Season""), ""TV Show"", ""Movie"")"),"Movie")</f>
        <v>Movie</v>
      </c>
    </row>
    <row r="6903">
      <c r="A6903" s="1" t="s">
        <v>34100</v>
      </c>
      <c r="B6903" s="1" t="s">
        <v>37</v>
      </c>
      <c r="C6903" s="1" t="s">
        <v>34101</v>
      </c>
      <c r="E6903" s="1" t="s">
        <v>34102</v>
      </c>
      <c r="F6903" s="1" t="s">
        <v>415</v>
      </c>
      <c r="H6903" s="1">
        <v>2008.0</v>
      </c>
      <c r="I6903" s="1" t="s">
        <v>97</v>
      </c>
      <c r="J6903" s="1" t="s">
        <v>43</v>
      </c>
      <c r="K6903" s="1" t="s">
        <v>18967</v>
      </c>
      <c r="L6903" s="1" t="s">
        <v>34103</v>
      </c>
      <c r="M6903" s="2" t="s">
        <v>12</v>
      </c>
      <c r="N6903" s="1" t="str">
        <f t="shared" si="1"/>
        <v>#VALUE!</v>
      </c>
      <c r="O6903" s="5" t="str">
        <f>IFERROR(__xludf.DUMMYFUNCTION("IF(REGEXMATCH(TRIM(I6903), ""^\d+\s*min""), ""Unclassified"", IF(I6903 = """", ""NR"", I6903))"),"TV-14")</f>
        <v>TV-14</v>
      </c>
      <c r="R6903" s="5" t="str">
        <f t="shared" si="2"/>
        <v>Gunslinger Girl</v>
      </c>
      <c r="S6903" s="5" t="str">
        <f>IFERROR(__xludf.DUMMYFUNCTION("""COMPUTED_VALUE"""),"The Best Of Enemies")</f>
        <v>The Best Of Enemies</v>
      </c>
      <c r="V6903" s="5"/>
      <c r="Y6903" s="5" t="str">
        <f>IFERROR(__xludf.DUMMYFUNCTION("REGEXEXTRACT(J6903, ""^\d+"")"),"2")</f>
        <v>2</v>
      </c>
      <c r="Z6903" s="5" t="str">
        <f>IFERROR(__xludf.DUMMYFUNCTION("REGEXEXTRACT(J6903, ""[A-Za-z ]+$"")")," Seasons")</f>
        <v> Seasons</v>
      </c>
      <c r="AA6903" s="5" t="str">
        <f>IFERROR(__xludf.DUMMYFUNCTION("IF(REGEXMATCH(Z6903, ""Season""), ""TV Show"", ""Movie"")"),"TV Show")</f>
        <v>TV Show</v>
      </c>
    </row>
    <row r="6904">
      <c r="A6904" s="1" t="s">
        <v>34104</v>
      </c>
      <c r="B6904" s="1" t="s">
        <v>27</v>
      </c>
      <c r="C6904" s="1" t="s">
        <v>34105</v>
      </c>
      <c r="D6904" s="1" t="s">
        <v>10108</v>
      </c>
      <c r="E6904" s="1" t="s">
        <v>34106</v>
      </c>
      <c r="F6904" s="1" t="s">
        <v>96</v>
      </c>
      <c r="G6904" s="1" t="s">
        <v>19844</v>
      </c>
      <c r="H6904" s="1">
        <v>2015.0</v>
      </c>
      <c r="I6904" s="1" t="s">
        <v>506</v>
      </c>
      <c r="J6904" s="1" t="s">
        <v>8832</v>
      </c>
      <c r="K6904" s="1" t="s">
        <v>156</v>
      </c>
      <c r="L6904" s="1" t="s">
        <v>34107</v>
      </c>
      <c r="M6904" s="2" t="s">
        <v>12</v>
      </c>
      <c r="N6904" s="4">
        <f t="shared" si="1"/>
        <v>43672</v>
      </c>
      <c r="O6904" s="5" t="str">
        <f>IFERROR(__xludf.DUMMYFUNCTION("IF(REGEXMATCH(TRIM(I6904), ""^\d+\s*min""), ""Unclassified"", IF(I6904 = """", ""NR"", I6904))"),"TV-G")</f>
        <v>TV-G</v>
      </c>
      <c r="R6904" s="5" t="str">
        <f t="shared" si="2"/>
        <v>Guy Martin: Last Flight Of The Vulcan Bomber</v>
      </c>
      <c r="S6904" s="5" t="str">
        <f>IFERROR(__xludf.DUMMYFUNCTION("""COMPUTED_VALUE"""),"The Best Of Rafał Rutkowski Olka Szczęśniak")</f>
        <v>The Best Of Rafał Rutkowski Olka Szczęśniak</v>
      </c>
      <c r="V6904" s="5"/>
      <c r="Y6904" s="5" t="str">
        <f>IFERROR(__xludf.DUMMYFUNCTION("REGEXEXTRACT(J6904, ""^\d+"")"),"57")</f>
        <v>57</v>
      </c>
      <c r="Z6904" s="5" t="str">
        <f>IFERROR(__xludf.DUMMYFUNCTION("REGEXEXTRACT(J6904, ""[A-Za-z ]+$"")")," min")</f>
        <v> min</v>
      </c>
      <c r="AA6904" s="5" t="str">
        <f>IFERROR(__xludf.DUMMYFUNCTION("IF(REGEXMATCH(Z6904, ""Season""), ""TV Show"", ""Movie"")"),"Movie")</f>
        <v>Movie</v>
      </c>
    </row>
    <row r="6905">
      <c r="A6905" s="1" t="s">
        <v>34108</v>
      </c>
      <c r="B6905" s="1" t="s">
        <v>27</v>
      </c>
      <c r="C6905" s="1" t="s">
        <v>34109</v>
      </c>
      <c r="D6905" s="1" t="s">
        <v>7307</v>
      </c>
      <c r="E6905" s="1" t="s">
        <v>34110</v>
      </c>
      <c r="F6905" s="1" t="s">
        <v>13294</v>
      </c>
      <c r="G6905" s="1" t="s">
        <v>31165</v>
      </c>
      <c r="H6905" s="1">
        <v>2015.0</v>
      </c>
      <c r="I6905" s="1" t="s">
        <v>42</v>
      </c>
      <c r="J6905" s="1" t="s">
        <v>79</v>
      </c>
      <c r="K6905" s="1" t="s">
        <v>199</v>
      </c>
      <c r="L6905" s="1" t="s">
        <v>34111</v>
      </c>
      <c r="M6905" s="2" t="s">
        <v>12</v>
      </c>
      <c r="N6905" s="4">
        <f t="shared" si="1"/>
        <v>43331</v>
      </c>
      <c r="O6905" s="5" t="str">
        <f>IFERROR(__xludf.DUMMYFUNCTION("IF(REGEXMATCH(TRIM(I6905), ""^\d+\s*min""), ""Unclassified"", IF(I6905 = """", ""NR"", I6905))"),"TV-MA")</f>
        <v>TV-MA</v>
      </c>
      <c r="R6905" s="5" t="str">
        <f t="shared" si="2"/>
        <v>Héroes</v>
      </c>
      <c r="S6905" s="5" t="str">
        <f>IFERROR(__xludf.DUMMYFUNCTION("""COMPUTED_VALUE"""),"The Bfg")</f>
        <v>The Bfg</v>
      </c>
      <c r="V6905" s="5"/>
      <c r="Y6905" s="5" t="str">
        <f>IFERROR(__xludf.DUMMYFUNCTION("REGEXEXTRACT(J6905, ""^\d+"")"),"91")</f>
        <v>91</v>
      </c>
      <c r="Z6905" s="5" t="str">
        <f>IFERROR(__xludf.DUMMYFUNCTION("REGEXEXTRACT(J6905, ""[A-Za-z ]+$"")")," min")</f>
        <v> min</v>
      </c>
      <c r="AA6905" s="5" t="str">
        <f>IFERROR(__xludf.DUMMYFUNCTION("IF(REGEXMATCH(Z6905, ""Season""), ""TV Show"", ""Movie"")"),"Movie")</f>
        <v>Movie</v>
      </c>
    </row>
    <row r="6906">
      <c r="A6906" s="1" t="s">
        <v>34112</v>
      </c>
      <c r="B6906" s="1" t="s">
        <v>27</v>
      </c>
      <c r="C6906" s="1" t="s">
        <v>34113</v>
      </c>
      <c r="D6906" s="1" t="s">
        <v>14674</v>
      </c>
      <c r="E6906" s="1" t="s">
        <v>34114</v>
      </c>
      <c r="F6906" s="1" t="s">
        <v>188</v>
      </c>
      <c r="G6906" s="1" t="s">
        <v>28526</v>
      </c>
      <c r="H6906" s="1">
        <v>2013.0</v>
      </c>
      <c r="I6906" s="1" t="s">
        <v>42</v>
      </c>
      <c r="J6906" s="1" t="s">
        <v>433</v>
      </c>
      <c r="K6906" s="1" t="s">
        <v>199</v>
      </c>
      <c r="L6906" s="1" t="s">
        <v>34115</v>
      </c>
      <c r="M6906" s="2" t="s">
        <v>12</v>
      </c>
      <c r="N6906" s="4">
        <f t="shared" si="1"/>
        <v>42804</v>
      </c>
      <c r="O6906" s="5" t="str">
        <f>IFERROR(__xludf.DUMMYFUNCTION("IF(REGEXMATCH(TRIM(I6906), ""^\d+\s*min""), ""Unclassified"", IF(I6906 = """", ""NR"", I6906))"),"TV-MA")</f>
        <v>TV-MA</v>
      </c>
      <c r="R6906" s="5" t="str">
        <f t="shared" si="2"/>
        <v>Hükümet Kadin</v>
      </c>
      <c r="S6906" s="5" t="str">
        <f>IFERROR(__xludf.DUMMYFUNCTION("""COMPUTED_VALUE"""),"The Bible'S Buried Secrets")</f>
        <v>The Bible'S Buried Secrets</v>
      </c>
      <c r="V6906" s="5"/>
      <c r="Y6906" s="5" t="str">
        <f>IFERROR(__xludf.DUMMYFUNCTION("REGEXEXTRACT(J6906, ""^\d+"")"),"100")</f>
        <v>100</v>
      </c>
      <c r="Z6906" s="5" t="str">
        <f>IFERROR(__xludf.DUMMYFUNCTION("REGEXEXTRACT(J6906, ""[A-Za-z ]+$"")")," min")</f>
        <v> min</v>
      </c>
      <c r="AA6906" s="5" t="str">
        <f>IFERROR(__xludf.DUMMYFUNCTION("IF(REGEXMATCH(Z6906, ""Season""), ""TV Show"", ""Movie"")"),"Movie")</f>
        <v>Movie</v>
      </c>
    </row>
    <row r="6907">
      <c r="A6907" s="1" t="s">
        <v>34116</v>
      </c>
      <c r="B6907" s="1" t="s">
        <v>27</v>
      </c>
      <c r="C6907" s="1" t="s">
        <v>34117</v>
      </c>
      <c r="D6907" s="1" t="s">
        <v>14674</v>
      </c>
      <c r="E6907" s="1" t="s">
        <v>34118</v>
      </c>
      <c r="F6907" s="1" t="s">
        <v>188</v>
      </c>
      <c r="G6907" s="1" t="s">
        <v>28526</v>
      </c>
      <c r="H6907" s="1">
        <v>2013.0</v>
      </c>
      <c r="I6907" s="1" t="s">
        <v>97</v>
      </c>
      <c r="J6907" s="1" t="s">
        <v>1091</v>
      </c>
      <c r="K6907" s="1" t="s">
        <v>199</v>
      </c>
      <c r="L6907" s="1" t="s">
        <v>34119</v>
      </c>
      <c r="M6907" s="2" t="s">
        <v>12</v>
      </c>
      <c r="N6907" s="4">
        <f t="shared" si="1"/>
        <v>42804</v>
      </c>
      <c r="O6907" s="5" t="str">
        <f>IFERROR(__xludf.DUMMYFUNCTION("IF(REGEXMATCH(TRIM(I6907), ""^\d+\s*min""), ""Unclassified"", IF(I6907 = """", ""NR"", I6907))"),"TV-14")</f>
        <v>TV-14</v>
      </c>
      <c r="R6907" s="5" t="str">
        <f t="shared" si="2"/>
        <v>Hükümet Kadin 2</v>
      </c>
      <c r="S6907" s="5" t="str">
        <f>IFERROR(__xludf.DUMMYFUNCTION("""COMPUTED_VALUE"""),"The Big Catch")</f>
        <v>The Big Catch</v>
      </c>
      <c r="V6907" s="5"/>
      <c r="Y6907" s="5" t="str">
        <f>IFERROR(__xludf.DUMMYFUNCTION("REGEXEXTRACT(J6907, ""^\d+"")"),"101")</f>
        <v>101</v>
      </c>
      <c r="Z6907" s="5" t="str">
        <f>IFERROR(__xludf.DUMMYFUNCTION("REGEXEXTRACT(J6907, ""[A-Za-z ]+$"")")," min")</f>
        <v> min</v>
      </c>
      <c r="AA6907" s="5" t="str">
        <f>IFERROR(__xludf.DUMMYFUNCTION("IF(REGEXMATCH(Z6907, ""Season""), ""TV Show"", ""Movie"")"),"Movie")</f>
        <v>Movie</v>
      </c>
    </row>
    <row r="6908">
      <c r="A6908" s="1" t="s">
        <v>34120</v>
      </c>
      <c r="B6908" s="1" t="s">
        <v>37</v>
      </c>
      <c r="C6908" s="1" t="s">
        <v>34121</v>
      </c>
      <c r="E6908" s="1" t="s">
        <v>34122</v>
      </c>
      <c r="G6908" s="7">
        <v>43231.0</v>
      </c>
      <c r="H6908" s="1">
        <v>2016.0</v>
      </c>
      <c r="I6908" s="1" t="s">
        <v>42</v>
      </c>
      <c r="J6908" s="1" t="s">
        <v>43</v>
      </c>
      <c r="K6908" s="1" t="s">
        <v>1294</v>
      </c>
      <c r="L6908" s="1" t="s">
        <v>34123</v>
      </c>
      <c r="M6908" s="2" t="s">
        <v>12</v>
      </c>
      <c r="N6908" s="4">
        <f t="shared" si="1"/>
        <v>43231</v>
      </c>
      <c r="O6908" s="5" t="str">
        <f>IFERROR(__xludf.DUMMYFUNCTION("IF(REGEXMATCH(TRIM(I6908), ""^\d+\s*min""), ""Unclassified"", IF(I6908 = """", ""NR"", I6908))"),"TV-MA")</f>
        <v>TV-MA</v>
      </c>
      <c r="R6908" s="5" t="str">
        <f t="shared" si="2"/>
        <v>Ha Unlimited</v>
      </c>
      <c r="S6908" s="5" t="str">
        <f>IFERROR(__xludf.DUMMYFUNCTION("""COMPUTED_VALUE"""),"The Big Day")</f>
        <v>The Big Day</v>
      </c>
      <c r="V6908" s="5"/>
      <c r="Y6908" s="5" t="str">
        <f>IFERROR(__xludf.DUMMYFUNCTION("REGEXEXTRACT(J6908, ""^\d+"")"),"2")</f>
        <v>2</v>
      </c>
      <c r="Z6908" s="5" t="str">
        <f>IFERROR(__xludf.DUMMYFUNCTION("REGEXEXTRACT(J6908, ""[A-Za-z ]+$"")")," Seasons")</f>
        <v> Seasons</v>
      </c>
      <c r="AA6908" s="5" t="str">
        <f>IFERROR(__xludf.DUMMYFUNCTION("IF(REGEXMATCH(Z6908, ""Season""), ""TV Show"", ""Movie"")"),"TV Show")</f>
        <v>TV Show</v>
      </c>
    </row>
    <row r="6909">
      <c r="A6909" s="1" t="s">
        <v>34124</v>
      </c>
      <c r="B6909" s="1" t="s">
        <v>27</v>
      </c>
      <c r="C6909" s="1" t="s">
        <v>34125</v>
      </c>
      <c r="E6909" s="1" t="s">
        <v>34126</v>
      </c>
      <c r="F6909" s="1" t="s">
        <v>63</v>
      </c>
      <c r="G6909" s="1" t="s">
        <v>25994</v>
      </c>
      <c r="H6909" s="1">
        <v>2010.0</v>
      </c>
      <c r="I6909" s="1" t="s">
        <v>97</v>
      </c>
      <c r="J6909" s="1" t="s">
        <v>2414</v>
      </c>
      <c r="K6909" s="1" t="s">
        <v>583</v>
      </c>
      <c r="L6909" s="1" t="s">
        <v>34127</v>
      </c>
      <c r="M6909" s="2" t="s">
        <v>12</v>
      </c>
      <c r="N6909" s="4">
        <f t="shared" si="1"/>
        <v>43174</v>
      </c>
      <c r="O6909" s="5" t="str">
        <f>IFERROR(__xludf.DUMMYFUNCTION("IF(REGEXMATCH(TRIM(I6909), ""^\d+\s*min""), ""Unclassified"", IF(I6909 = """", ""NR"", I6909))"),"TV-14")</f>
        <v>TV-14</v>
      </c>
      <c r="R6909" s="5" t="str">
        <f t="shared" si="2"/>
        <v>Haapus</v>
      </c>
      <c r="S6909" s="5" t="str">
        <f>IFERROR(__xludf.DUMMYFUNCTION("""COMPUTED_VALUE"""),"The Big Family Cooking Showdown")</f>
        <v>The Big Family Cooking Showdown</v>
      </c>
      <c r="V6909" s="5"/>
      <c r="Y6909" s="5" t="str">
        <f>IFERROR(__xludf.DUMMYFUNCTION("REGEXEXTRACT(J6909, ""^\d+"")"),"138")</f>
        <v>138</v>
      </c>
      <c r="Z6909" s="5" t="str">
        <f>IFERROR(__xludf.DUMMYFUNCTION("REGEXEXTRACT(J6909, ""[A-Za-z ]+$"")")," min")</f>
        <v> min</v>
      </c>
      <c r="AA6909" s="5" t="str">
        <f>IFERROR(__xludf.DUMMYFUNCTION("IF(REGEXMATCH(Z6909, ""Season""), ""TV Show"", ""Movie"")"),"Movie")</f>
        <v>Movie</v>
      </c>
    </row>
    <row r="6910">
      <c r="A6910" s="1" t="s">
        <v>34128</v>
      </c>
      <c r="B6910" s="1" t="s">
        <v>27</v>
      </c>
      <c r="C6910" s="1" t="s">
        <v>34129</v>
      </c>
      <c r="D6910" s="1" t="s">
        <v>1364</v>
      </c>
      <c r="E6910" s="1" t="s">
        <v>34130</v>
      </c>
      <c r="F6910" s="1" t="s">
        <v>188</v>
      </c>
      <c r="G6910" s="1" t="s">
        <v>30641</v>
      </c>
      <c r="H6910" s="1">
        <v>2014.0</v>
      </c>
      <c r="I6910" s="1" t="s">
        <v>97</v>
      </c>
      <c r="J6910" s="1" t="s">
        <v>465</v>
      </c>
      <c r="K6910" s="1" t="s">
        <v>215</v>
      </c>
      <c r="L6910" s="1" t="s">
        <v>34131</v>
      </c>
      <c r="M6910" s="2" t="s">
        <v>12</v>
      </c>
      <c r="N6910" s="4">
        <f t="shared" si="1"/>
        <v>43194</v>
      </c>
      <c r="O6910" s="5" t="str">
        <f>IFERROR(__xludf.DUMMYFUNCTION("IF(REGEXMATCH(TRIM(I6910), ""^\d+\s*min""), ""Unclassified"", IF(I6910 = """", ""NR"", I6910))"),"TV-14")</f>
        <v>TV-14</v>
      </c>
      <c r="R6910" s="5" t="str">
        <f t="shared" si="2"/>
        <v>Hadi İnşallah</v>
      </c>
      <c r="S6910" s="5" t="str">
        <f>IFERROR(__xludf.DUMMYFUNCTION("""COMPUTED_VALUE"""),"The Big Flower Fight")</f>
        <v>The Big Flower Fight</v>
      </c>
      <c r="V6910" s="5"/>
      <c r="Y6910" s="5" t="str">
        <f>IFERROR(__xludf.DUMMYFUNCTION("REGEXEXTRACT(J6910, ""^\d+"")"),"95")</f>
        <v>95</v>
      </c>
      <c r="Z6910" s="5" t="str">
        <f>IFERROR(__xludf.DUMMYFUNCTION("REGEXEXTRACT(J6910, ""[A-Za-z ]+$"")")," min")</f>
        <v> min</v>
      </c>
      <c r="AA6910" s="5" t="str">
        <f>IFERROR(__xludf.DUMMYFUNCTION("IF(REGEXMATCH(Z6910, ""Season""), ""TV Show"", ""Movie"")"),"Movie")</f>
        <v>Movie</v>
      </c>
    </row>
    <row r="6911">
      <c r="A6911" s="1" t="s">
        <v>34132</v>
      </c>
      <c r="B6911" s="1" t="s">
        <v>27</v>
      </c>
      <c r="C6911" s="1" t="s">
        <v>34133</v>
      </c>
      <c r="D6911" s="1" t="s">
        <v>435</v>
      </c>
      <c r="E6911" s="1" t="s">
        <v>34134</v>
      </c>
      <c r="F6911" s="1" t="s">
        <v>1000</v>
      </c>
      <c r="G6911" s="1" t="s">
        <v>16947</v>
      </c>
      <c r="H6911" s="1">
        <v>2007.0</v>
      </c>
      <c r="I6911" s="1" t="s">
        <v>78</v>
      </c>
      <c r="J6911" s="1" t="s">
        <v>349</v>
      </c>
      <c r="K6911" s="1" t="s">
        <v>1662</v>
      </c>
      <c r="L6911" s="1" t="s">
        <v>34135</v>
      </c>
      <c r="M6911" s="2" t="s">
        <v>12</v>
      </c>
      <c r="N6911" s="4">
        <f t="shared" si="1"/>
        <v>43831</v>
      </c>
      <c r="O6911" s="5" t="str">
        <f>IFERROR(__xludf.DUMMYFUNCTION("IF(REGEXMATCH(TRIM(I6911), ""^\d+\s*min""), ""Unclassified"", IF(I6911 = """", ""NR"", I6911))"),"PG")</f>
        <v>PG</v>
      </c>
      <c r="R6911" s="5" t="str">
        <f t="shared" si="2"/>
        <v>Hairspray</v>
      </c>
      <c r="S6911" s="5" t="str">
        <f>IFERROR(__xludf.DUMMYFUNCTION("""COMPUTED_VALUE"""),"The Big Show Show")</f>
        <v>The Big Show Show</v>
      </c>
      <c r="V6911" s="5"/>
      <c r="Y6911" s="5" t="str">
        <f>IFERROR(__xludf.DUMMYFUNCTION("REGEXEXTRACT(J6911, ""^\d+"")"),"116")</f>
        <v>116</v>
      </c>
      <c r="Z6911" s="5" t="str">
        <f>IFERROR(__xludf.DUMMYFUNCTION("REGEXEXTRACT(J6911, ""[A-Za-z ]+$"")")," min")</f>
        <v> min</v>
      </c>
      <c r="AA6911" s="5" t="str">
        <f>IFERROR(__xludf.DUMMYFUNCTION("IF(REGEXMATCH(Z6911, ""Season""), ""TV Show"", ""Movie"")"),"Movie")</f>
        <v>Movie</v>
      </c>
    </row>
    <row r="6912">
      <c r="A6912" s="1" t="s">
        <v>34136</v>
      </c>
      <c r="B6912" s="1" t="s">
        <v>27</v>
      </c>
      <c r="C6912" s="1" t="s">
        <v>34137</v>
      </c>
      <c r="D6912" s="1" t="s">
        <v>21070</v>
      </c>
      <c r="E6912" s="1" t="s">
        <v>34138</v>
      </c>
      <c r="F6912" s="1" t="s">
        <v>1846</v>
      </c>
      <c r="G6912" s="7">
        <v>42856.0</v>
      </c>
      <c r="H6912" s="1">
        <v>2009.0</v>
      </c>
      <c r="I6912" s="1" t="s">
        <v>32</v>
      </c>
      <c r="J6912" s="1" t="s">
        <v>743</v>
      </c>
      <c r="K6912" s="1" t="s">
        <v>25292</v>
      </c>
      <c r="L6912" s="1" t="s">
        <v>34139</v>
      </c>
      <c r="M6912" s="2" t="s">
        <v>12</v>
      </c>
      <c r="N6912" s="4">
        <f t="shared" si="1"/>
        <v>42856</v>
      </c>
      <c r="O6912" s="5" t="str">
        <f>IFERROR(__xludf.DUMMYFUNCTION("IF(REGEXMATCH(TRIM(I6912), ""^\d+\s*min""), ""Unclassified"", IF(I6912 = """", ""NR"", I6912))"),"PG-13")</f>
        <v>PG-13</v>
      </c>
      <c r="R6912" s="5" t="str">
        <f t="shared" si="2"/>
        <v>Halo Legends</v>
      </c>
      <c r="S6912" s="5" t="str">
        <f>IFERROR(__xludf.DUMMYFUNCTION("""COMPUTED_VALUE"""),"The Bill Murray Stories: Life Lessons Learned From A Mythical Man")</f>
        <v>The Bill Murray Stories: Life Lessons Learned From A Mythical Man</v>
      </c>
      <c r="V6912" s="5"/>
      <c r="Y6912" s="5" t="str">
        <f>IFERROR(__xludf.DUMMYFUNCTION("REGEXEXTRACT(J6912, ""^\d+"")"),"117")</f>
        <v>117</v>
      </c>
      <c r="Z6912" s="5" t="str">
        <f>IFERROR(__xludf.DUMMYFUNCTION("REGEXEXTRACT(J6912, ""[A-Za-z ]+$"")")," min")</f>
        <v> min</v>
      </c>
      <c r="AA6912" s="5" t="str">
        <f>IFERROR(__xludf.DUMMYFUNCTION("IF(REGEXMATCH(Z6912, ""Season""), ""TV Show"", ""Movie"")"),"Movie")</f>
        <v>Movie</v>
      </c>
    </row>
    <row r="6913">
      <c r="A6913" s="1" t="s">
        <v>34140</v>
      </c>
      <c r="B6913" s="1" t="s">
        <v>27</v>
      </c>
      <c r="C6913" s="1" t="s">
        <v>34141</v>
      </c>
      <c r="D6913" s="1" t="s">
        <v>9527</v>
      </c>
      <c r="E6913" s="1" t="s">
        <v>34142</v>
      </c>
      <c r="F6913" s="1" t="s">
        <v>30</v>
      </c>
      <c r="G6913" s="1" t="s">
        <v>34143</v>
      </c>
      <c r="H6913" s="1">
        <v>2015.0</v>
      </c>
      <c r="I6913" s="1" t="s">
        <v>97</v>
      </c>
      <c r="J6913" s="1" t="s">
        <v>2616</v>
      </c>
      <c r="K6913" s="1" t="s">
        <v>942</v>
      </c>
      <c r="L6913" s="1" t="s">
        <v>34144</v>
      </c>
      <c r="M6913" s="2" t="s">
        <v>12</v>
      </c>
      <c r="N6913" s="4">
        <f t="shared" si="1"/>
        <v>42436</v>
      </c>
      <c r="O6913" s="5" t="str">
        <f>IFERROR(__xludf.DUMMYFUNCTION("IF(REGEXMATCH(TRIM(I6913), ""^\d+\s*min""), ""Unclassified"", IF(I6913 = """", ""NR"", I6913))"),"TV-14")</f>
        <v>TV-14</v>
      </c>
      <c r="R6913" s="5" t="str">
        <f t="shared" si="2"/>
        <v>Halo: The Fall Of Reach</v>
      </c>
      <c r="S6913" s="5" t="str">
        <f>IFERROR(__xludf.DUMMYFUNCTION("""COMPUTED_VALUE"""),"The Binding")</f>
        <v>The Binding</v>
      </c>
      <c r="V6913" s="5"/>
      <c r="Y6913" s="5" t="str">
        <f>IFERROR(__xludf.DUMMYFUNCTION("REGEXEXTRACT(J6913, ""^\d+"")"),"65")</f>
        <v>65</v>
      </c>
      <c r="Z6913" s="5" t="str">
        <f>IFERROR(__xludf.DUMMYFUNCTION("REGEXEXTRACT(J6913, ""[A-Za-z ]+$"")")," min")</f>
        <v> min</v>
      </c>
      <c r="AA6913" s="5" t="str">
        <f>IFERROR(__xludf.DUMMYFUNCTION("IF(REGEXMATCH(Z6913, ""Season""), ""TV Show"", ""Movie"")"),"Movie")</f>
        <v>Movie</v>
      </c>
    </row>
    <row r="6914">
      <c r="A6914" s="1" t="s">
        <v>34145</v>
      </c>
      <c r="B6914" s="1" t="s">
        <v>27</v>
      </c>
      <c r="C6914" s="1" t="s">
        <v>34146</v>
      </c>
      <c r="D6914" s="1" t="s">
        <v>20529</v>
      </c>
      <c r="E6914" s="1" t="s">
        <v>34147</v>
      </c>
      <c r="F6914" s="1" t="s">
        <v>63</v>
      </c>
      <c r="G6914" s="1" t="s">
        <v>26089</v>
      </c>
      <c r="H6914" s="1">
        <v>2000.0</v>
      </c>
      <c r="I6914" s="1" t="s">
        <v>97</v>
      </c>
      <c r="J6914" s="1" t="s">
        <v>6611</v>
      </c>
      <c r="K6914" s="1" t="s">
        <v>1429</v>
      </c>
      <c r="L6914" s="1" t="s">
        <v>34148</v>
      </c>
      <c r="M6914" s="2" t="s">
        <v>12</v>
      </c>
      <c r="N6914" s="4">
        <f t="shared" si="1"/>
        <v>43160</v>
      </c>
      <c r="O6914" s="5" t="str">
        <f>IFERROR(__xludf.DUMMYFUNCTION("IF(REGEXMATCH(TRIM(I6914), ""^\d+\s*min""), ""Unclassified"", IF(I6914 = """", ""NR"", I6914))"),"TV-14")</f>
        <v>TV-14</v>
      </c>
      <c r="R6914" s="5" t="str">
        <f t="shared" si="2"/>
        <v>Hamara Dil Aapke Paas Hai</v>
      </c>
      <c r="S6914" s="5" t="str">
        <f>IFERROR(__xludf.DUMMYFUNCTION("""COMPUTED_VALUE"""),"The Birth Reborn")</f>
        <v>The Birth Reborn</v>
      </c>
      <c r="V6914" s="5"/>
      <c r="Y6914" s="5" t="str">
        <f>IFERROR(__xludf.DUMMYFUNCTION("REGEXEXTRACT(J6914, ""^\d+"")"),"158")</f>
        <v>158</v>
      </c>
      <c r="Z6914" s="5" t="str">
        <f>IFERROR(__xludf.DUMMYFUNCTION("REGEXEXTRACT(J6914, ""[A-Za-z ]+$"")")," min")</f>
        <v> min</v>
      </c>
      <c r="AA6914" s="5" t="str">
        <f>IFERROR(__xludf.DUMMYFUNCTION("IF(REGEXMATCH(Z6914, ""Season""), ""TV Show"", ""Movie"")"),"Movie")</f>
        <v>Movie</v>
      </c>
    </row>
    <row r="6915">
      <c r="A6915" s="1" t="s">
        <v>34149</v>
      </c>
      <c r="B6915" s="1" t="s">
        <v>27</v>
      </c>
      <c r="C6915" s="1" t="s">
        <v>34150</v>
      </c>
      <c r="D6915" s="1" t="s">
        <v>11354</v>
      </c>
      <c r="E6915" s="1" t="s">
        <v>34151</v>
      </c>
      <c r="F6915" s="1" t="s">
        <v>30</v>
      </c>
      <c r="G6915" s="1" t="s">
        <v>17882</v>
      </c>
      <c r="H6915" s="1">
        <v>1987.0</v>
      </c>
      <c r="I6915" s="1" t="s">
        <v>378</v>
      </c>
      <c r="J6915" s="1" t="s">
        <v>297</v>
      </c>
      <c r="K6915" s="1" t="s">
        <v>323</v>
      </c>
      <c r="L6915" s="1" t="s">
        <v>34152</v>
      </c>
      <c r="M6915" s="2" t="s">
        <v>12</v>
      </c>
      <c r="N6915" s="4">
        <f t="shared" si="1"/>
        <v>43792</v>
      </c>
      <c r="O6915" s="5" t="str">
        <f>IFERROR(__xludf.DUMMYFUNCTION("IF(REGEXMATCH(TRIM(I6915), ""^\d+\s*min""), ""Unclassified"", IF(I6915 = """", ""NR"", I6915))"),"R")</f>
        <v>R</v>
      </c>
      <c r="R6915" s="5" t="str">
        <f t="shared" si="2"/>
        <v>Hamburger Hill</v>
      </c>
      <c r="S6915" s="5" t="str">
        <f>IFERROR(__xludf.DUMMYFUNCTION("""COMPUTED_VALUE"""),"The Birth Reborn 3")</f>
        <v>The Birth Reborn 3</v>
      </c>
      <c r="V6915" s="5"/>
      <c r="Y6915" s="5" t="str">
        <f>IFERROR(__xludf.DUMMYFUNCTION("REGEXEXTRACT(J6915, ""^\d+"")"),"110")</f>
        <v>110</v>
      </c>
      <c r="Z6915" s="5" t="str">
        <f>IFERROR(__xludf.DUMMYFUNCTION("REGEXEXTRACT(J6915, ""[A-Za-z ]+$"")")," min")</f>
        <v> min</v>
      </c>
      <c r="AA6915" s="5" t="str">
        <f>IFERROR(__xludf.DUMMYFUNCTION("IF(REGEXMATCH(Z6915, ""Season""), ""TV Show"", ""Movie"")"),"Movie")</f>
        <v>Movie</v>
      </c>
    </row>
    <row r="6916">
      <c r="A6916" s="1" t="s">
        <v>34153</v>
      </c>
      <c r="B6916" s="1" t="s">
        <v>27</v>
      </c>
      <c r="C6916" s="1" t="s">
        <v>34154</v>
      </c>
      <c r="D6916" s="1" t="s">
        <v>807</v>
      </c>
      <c r="E6916" s="1" t="s">
        <v>34155</v>
      </c>
      <c r="F6916" s="1" t="s">
        <v>3309</v>
      </c>
      <c r="G6916" s="7">
        <v>43587.0</v>
      </c>
      <c r="H6916" s="1">
        <v>2017.0</v>
      </c>
      <c r="I6916" s="1" t="s">
        <v>97</v>
      </c>
      <c r="J6916" s="1" t="s">
        <v>6391</v>
      </c>
      <c r="K6916" s="1" t="s">
        <v>199</v>
      </c>
      <c r="L6916" s="1" t="s">
        <v>34156</v>
      </c>
      <c r="M6916" s="2" t="s">
        <v>12</v>
      </c>
      <c r="N6916" s="4">
        <f t="shared" si="1"/>
        <v>43587</v>
      </c>
      <c r="O6916" s="5" t="str">
        <f>IFERROR(__xludf.DUMMYFUNCTION("IF(REGEXMATCH(TRIM(I6916), ""^\d+\s*min""), ""Unclassified"", IF(I6916 = """", ""NR"", I6916))"),"TV-14")</f>
        <v>TV-14</v>
      </c>
      <c r="R6916" s="5" t="str">
        <f t="shared" si="2"/>
        <v>Hamza'S Suitcase</v>
      </c>
      <c r="S6916" s="5" t="str">
        <f>IFERROR(__xludf.DUMMYFUNCTION("""COMPUTED_VALUE"""),"The Bittersweet")</f>
        <v>The Bittersweet</v>
      </c>
      <c r="V6916" s="5"/>
      <c r="Y6916" s="5" t="str">
        <f>IFERROR(__xludf.DUMMYFUNCTION("REGEXEXTRACT(J6916, ""^\d+"")"),"79")</f>
        <v>79</v>
      </c>
      <c r="Z6916" s="5" t="str">
        <f>IFERROR(__xludf.DUMMYFUNCTION("REGEXEXTRACT(J6916, ""[A-Za-z ]+$"")")," min")</f>
        <v> min</v>
      </c>
      <c r="AA6916" s="5" t="str">
        <f>IFERROR(__xludf.DUMMYFUNCTION("IF(REGEXMATCH(Z6916, ""Season""), ""TV Show"", ""Movie"")"),"Movie")</f>
        <v>Movie</v>
      </c>
    </row>
    <row r="6917">
      <c r="A6917" s="1" t="s">
        <v>34157</v>
      </c>
      <c r="B6917" s="1" t="s">
        <v>27</v>
      </c>
      <c r="C6917" s="1" t="s">
        <v>34158</v>
      </c>
      <c r="D6917" s="1" t="s">
        <v>11532</v>
      </c>
      <c r="E6917" s="1" t="s">
        <v>34159</v>
      </c>
      <c r="F6917" s="1" t="s">
        <v>30</v>
      </c>
      <c r="G6917" s="7">
        <v>43957.0</v>
      </c>
      <c r="H6917" s="1">
        <v>2017.0</v>
      </c>
      <c r="I6917" s="1" t="s">
        <v>378</v>
      </c>
      <c r="J6917" s="1" t="s">
        <v>416</v>
      </c>
      <c r="K6917" s="1" t="s">
        <v>171</v>
      </c>
      <c r="L6917" s="1" t="s">
        <v>34160</v>
      </c>
      <c r="M6917" s="2" t="s">
        <v>12</v>
      </c>
      <c r="N6917" s="4">
        <f t="shared" si="1"/>
        <v>43957</v>
      </c>
      <c r="O6917" s="5" t="str">
        <f>IFERROR(__xludf.DUMMYFUNCTION("IF(REGEXMATCH(TRIM(I6917), ""^\d+\s*min""), ""Unclassified"", IF(I6917 = """", ""NR"", I6917))"),"R")</f>
        <v>R</v>
      </c>
      <c r="R6917" s="5" t="str">
        <f t="shared" si="2"/>
        <v>Hangman</v>
      </c>
      <c r="S6917" s="5" t="str">
        <f>IFERROR(__xludf.DUMMYFUNCTION("""COMPUTED_VALUE"""),"The Black Godfather")</f>
        <v>The Black Godfather</v>
      </c>
      <c r="V6917" s="5"/>
      <c r="Y6917" s="5" t="str">
        <f>IFERROR(__xludf.DUMMYFUNCTION("REGEXEXTRACT(J6917, ""^\d+"")"),"99")</f>
        <v>99</v>
      </c>
      <c r="Z6917" s="5" t="str">
        <f>IFERROR(__xludf.DUMMYFUNCTION("REGEXEXTRACT(J6917, ""[A-Za-z ]+$"")")," min")</f>
        <v> min</v>
      </c>
      <c r="AA6917" s="5" t="str">
        <f>IFERROR(__xludf.DUMMYFUNCTION("IF(REGEXMATCH(Z6917, ""Season""), ""TV Show"", ""Movie"")"),"Movie")</f>
        <v>Movie</v>
      </c>
    </row>
    <row r="6918">
      <c r="A6918" s="1" t="s">
        <v>34161</v>
      </c>
      <c r="B6918" s="1" t="s">
        <v>27</v>
      </c>
      <c r="C6918" s="1" t="s">
        <v>34162</v>
      </c>
      <c r="D6918" s="1" t="s">
        <v>7826</v>
      </c>
      <c r="E6918" s="1" t="s">
        <v>34163</v>
      </c>
      <c r="F6918" s="1" t="s">
        <v>30</v>
      </c>
      <c r="G6918" s="1" t="s">
        <v>24730</v>
      </c>
      <c r="H6918" s="1">
        <v>2013.0</v>
      </c>
      <c r="I6918" s="1" t="s">
        <v>97</v>
      </c>
      <c r="J6918" s="1" t="s">
        <v>1144</v>
      </c>
      <c r="K6918" s="1" t="s">
        <v>34</v>
      </c>
      <c r="L6918" s="1" t="s">
        <v>34164</v>
      </c>
      <c r="M6918" s="2" t="s">
        <v>12</v>
      </c>
      <c r="N6918" s="4">
        <f t="shared" si="1"/>
        <v>43337</v>
      </c>
      <c r="O6918" s="5" t="str">
        <f>IFERROR(__xludf.DUMMYFUNCTION("IF(REGEXMATCH(TRIM(I6918), ""^\d+\s*min""), ""Unclassified"", IF(I6918 = """", ""NR"", I6918))"),"TV-14")</f>
        <v>TV-14</v>
      </c>
      <c r="R6918" s="5" t="str">
        <f t="shared" si="2"/>
        <v>Hank: Five Years From The Brink</v>
      </c>
      <c r="S6918" s="5" t="str">
        <f>IFERROR(__xludf.DUMMYFUNCTION("""COMPUTED_VALUE"""),"The Black Prince")</f>
        <v>The Black Prince</v>
      </c>
      <c r="V6918" s="5"/>
      <c r="Y6918" s="5" t="str">
        <f>IFERROR(__xludf.DUMMYFUNCTION("REGEXEXTRACT(J6918, ""^\d+"")"),"86")</f>
        <v>86</v>
      </c>
      <c r="Z6918" s="5" t="str">
        <f>IFERROR(__xludf.DUMMYFUNCTION("REGEXEXTRACT(J6918, ""[A-Za-z ]+$"")")," min")</f>
        <v> min</v>
      </c>
      <c r="AA6918" s="5" t="str">
        <f>IFERROR(__xludf.DUMMYFUNCTION("IF(REGEXMATCH(Z6918, ""Season""), ""TV Show"", ""Movie"")"),"Movie")</f>
        <v>Movie</v>
      </c>
    </row>
    <row r="6919">
      <c r="A6919" s="1" t="s">
        <v>34165</v>
      </c>
      <c r="B6919" s="1" t="s">
        <v>37</v>
      </c>
      <c r="C6919" s="1" t="s">
        <v>34166</v>
      </c>
      <c r="E6919" s="1" t="s">
        <v>34167</v>
      </c>
      <c r="F6919" s="1" t="s">
        <v>30</v>
      </c>
      <c r="G6919" s="1" t="s">
        <v>13665</v>
      </c>
      <c r="H6919" s="1">
        <v>2015.0</v>
      </c>
      <c r="I6919" s="1" t="s">
        <v>42</v>
      </c>
      <c r="J6919" s="1" t="s">
        <v>276</v>
      </c>
      <c r="K6919" s="1" t="s">
        <v>6344</v>
      </c>
      <c r="L6919" s="1" t="s">
        <v>34168</v>
      </c>
      <c r="M6919" s="2" t="s">
        <v>12</v>
      </c>
      <c r="N6919" s="4">
        <f t="shared" si="1"/>
        <v>43988</v>
      </c>
      <c r="O6919" s="5" t="str">
        <f>IFERROR(__xludf.DUMMYFUNCTION("IF(REGEXMATCH(TRIM(I6919), ""^\d+\s*min""), ""Unclassified"", IF(I6919 = """", ""NR"", I6919))"),"TV-MA")</f>
        <v>TV-MA</v>
      </c>
      <c r="R6919" s="5" t="str">
        <f t="shared" si="2"/>
        <v>Hannibal</v>
      </c>
      <c r="S6919" s="5" t="str">
        <f>IFERROR(__xludf.DUMMYFUNCTION("""COMPUTED_VALUE"""),"The Black Room")</f>
        <v>The Black Room</v>
      </c>
      <c r="V6919" s="5"/>
      <c r="Y6919" s="5" t="str">
        <f>IFERROR(__xludf.DUMMYFUNCTION("REGEXEXTRACT(J6919, ""^\d+"")"),"3")</f>
        <v>3</v>
      </c>
      <c r="Z6919" s="5" t="str">
        <f>IFERROR(__xludf.DUMMYFUNCTION("REGEXEXTRACT(J6919, ""[A-Za-z ]+$"")")," Seasons")</f>
        <v> Seasons</v>
      </c>
      <c r="AA6919" s="5" t="str">
        <f>IFERROR(__xludf.DUMMYFUNCTION("IF(REGEXMATCH(Z6919, ""Season""), ""TV Show"", ""Movie"")"),"TV Show")</f>
        <v>TV Show</v>
      </c>
    </row>
    <row r="6920">
      <c r="A6920" s="1" t="s">
        <v>34169</v>
      </c>
      <c r="B6920" s="1" t="s">
        <v>27</v>
      </c>
      <c r="C6920" s="1" t="s">
        <v>34170</v>
      </c>
      <c r="D6920" s="1" t="s">
        <v>22543</v>
      </c>
      <c r="E6920" s="1" t="s">
        <v>34171</v>
      </c>
      <c r="F6920" s="1" t="s">
        <v>96</v>
      </c>
      <c r="G6920" s="1" t="s">
        <v>26089</v>
      </c>
      <c r="H6920" s="1">
        <v>2017.0</v>
      </c>
      <c r="I6920" s="1" t="s">
        <v>506</v>
      </c>
      <c r="J6920" s="1" t="s">
        <v>2414</v>
      </c>
      <c r="K6920" s="1" t="s">
        <v>1939</v>
      </c>
      <c r="L6920" s="1" t="s">
        <v>34172</v>
      </c>
      <c r="M6920" s="2" t="s">
        <v>12</v>
      </c>
      <c r="N6920" s="4">
        <f t="shared" si="1"/>
        <v>43160</v>
      </c>
      <c r="O6920" s="5" t="str">
        <f>IFERROR(__xludf.DUMMYFUNCTION("IF(REGEXMATCH(TRIM(I6920), ""^\d+\s*min""), ""Unclassified"", IF(I6920 = """", ""NR"", I6920))"),"TV-G")</f>
        <v>TV-G</v>
      </c>
      <c r="R6920" s="5" t="str">
        <f t="shared" si="2"/>
        <v>Hans Zimmer: Live In Prague</v>
      </c>
      <c r="S6920" s="5" t="str">
        <f>IFERROR(__xludf.DUMMYFUNCTION("""COMPUTED_VALUE"""),"The Blackcoat'S Daughter")</f>
        <v>The Blackcoat'S Daughter</v>
      </c>
      <c r="V6920" s="5"/>
      <c r="Y6920" s="5" t="str">
        <f>IFERROR(__xludf.DUMMYFUNCTION("REGEXEXTRACT(J6920, ""^\d+"")"),"138")</f>
        <v>138</v>
      </c>
      <c r="Z6920" s="5" t="str">
        <f>IFERROR(__xludf.DUMMYFUNCTION("REGEXEXTRACT(J6920, ""[A-Za-z ]+$"")")," min")</f>
        <v> min</v>
      </c>
      <c r="AA6920" s="5" t="str">
        <f>IFERROR(__xludf.DUMMYFUNCTION("IF(REGEXMATCH(Z6920, ""Season""), ""TV Show"", ""Movie"")"),"Movie")</f>
        <v>Movie</v>
      </c>
    </row>
    <row r="6921">
      <c r="A6921" s="1" t="s">
        <v>34173</v>
      </c>
      <c r="B6921" s="1" t="s">
        <v>37</v>
      </c>
      <c r="C6921" s="1" t="s">
        <v>34174</v>
      </c>
      <c r="E6921" s="1" t="s">
        <v>34175</v>
      </c>
      <c r="F6921" s="1" t="s">
        <v>2059</v>
      </c>
      <c r="G6921" s="1" t="s">
        <v>28840</v>
      </c>
      <c r="H6921" s="1">
        <v>2013.0</v>
      </c>
      <c r="I6921" s="1" t="s">
        <v>97</v>
      </c>
      <c r="J6921" s="1" t="s">
        <v>51</v>
      </c>
      <c r="K6921" s="1" t="s">
        <v>64</v>
      </c>
      <c r="L6921" s="1" t="s">
        <v>34176</v>
      </c>
      <c r="M6921" s="2" t="s">
        <v>12</v>
      </c>
      <c r="N6921" s="4">
        <f t="shared" si="1"/>
        <v>42736</v>
      </c>
      <c r="O6921" s="5" t="str">
        <f>IFERROR(__xludf.DUMMYFUNCTION("IF(REGEXMATCH(TRIM(I6921), ""^\d+\s*min""), ""Unclassified"", IF(I6921 = """", ""NR"", I6921))"),"TV-14")</f>
        <v>TV-14</v>
      </c>
      <c r="R6921" s="5" t="str">
        <f t="shared" si="2"/>
        <v>Happy 300 Days</v>
      </c>
      <c r="S6921" s="5" t="str">
        <f>IFERROR(__xludf.DUMMYFUNCTION("""COMPUTED_VALUE"""),"The Blacklist")</f>
        <v>The Blacklist</v>
      </c>
      <c r="V6921" s="5"/>
      <c r="Y6921" s="5" t="str">
        <f>IFERROR(__xludf.DUMMYFUNCTION("REGEXEXTRACT(J6921, ""^\d+"")"),"1")</f>
        <v>1</v>
      </c>
      <c r="Z6921" s="5" t="str">
        <f>IFERROR(__xludf.DUMMYFUNCTION("REGEXEXTRACT(J6921, ""[A-Za-z ]+$"")")," Season")</f>
        <v> Season</v>
      </c>
      <c r="AA6921" s="5" t="str">
        <f>IFERROR(__xludf.DUMMYFUNCTION("IF(REGEXMATCH(Z6921, ""Season""), ""TV Show"", ""Movie"")"),"TV Show")</f>
        <v>TV Show</v>
      </c>
    </row>
    <row r="6922">
      <c r="A6922" s="1" t="s">
        <v>34177</v>
      </c>
      <c r="B6922" s="1" t="s">
        <v>27</v>
      </c>
      <c r="C6922" s="1" t="s">
        <v>34178</v>
      </c>
      <c r="D6922" s="1" t="s">
        <v>11085</v>
      </c>
      <c r="E6922" s="1" t="s">
        <v>34179</v>
      </c>
      <c r="F6922" s="1" t="s">
        <v>30</v>
      </c>
      <c r="G6922" s="1" t="s">
        <v>26481</v>
      </c>
      <c r="H6922" s="1">
        <v>2017.0</v>
      </c>
      <c r="I6922" s="1" t="s">
        <v>42</v>
      </c>
      <c r="J6922" s="1" t="s">
        <v>79</v>
      </c>
      <c r="K6922" s="1" t="s">
        <v>7235</v>
      </c>
      <c r="L6922" s="1" t="s">
        <v>34180</v>
      </c>
      <c r="M6922" s="2" t="s">
        <v>12</v>
      </c>
      <c r="N6922" s="4">
        <f t="shared" si="1"/>
        <v>43101</v>
      </c>
      <c r="O6922" s="5" t="str">
        <f>IFERROR(__xludf.DUMMYFUNCTION("IF(REGEXMATCH(TRIM(I6922), ""^\d+\s*min""), ""Unclassified"", IF(I6922 = """", ""NR"", I6922))"),"TV-MA")</f>
        <v>TV-MA</v>
      </c>
      <c r="R6922" s="5" t="str">
        <f t="shared" si="2"/>
        <v>Happy Hunting</v>
      </c>
      <c r="S6922" s="5" t="str">
        <f>IFERROR(__xludf.DUMMYFUNCTION("""COMPUTED_VALUE"""),"The Blazing Sun")</f>
        <v>The Blazing Sun</v>
      </c>
      <c r="V6922" s="5"/>
      <c r="Y6922" s="5" t="str">
        <f>IFERROR(__xludf.DUMMYFUNCTION("REGEXEXTRACT(J6922, ""^\d+"")"),"91")</f>
        <v>91</v>
      </c>
      <c r="Z6922" s="5" t="str">
        <f>IFERROR(__xludf.DUMMYFUNCTION("REGEXEXTRACT(J6922, ""[A-Za-z ]+$"")")," min")</f>
        <v> min</v>
      </c>
      <c r="AA6922" s="5" t="str">
        <f>IFERROR(__xludf.DUMMYFUNCTION("IF(REGEXMATCH(Z6922, ""Season""), ""TV Show"", ""Movie"")"),"Movie")</f>
        <v>Movie</v>
      </c>
    </row>
    <row r="6923">
      <c r="A6923" s="1" t="s">
        <v>34181</v>
      </c>
      <c r="B6923" s="1" t="s">
        <v>27</v>
      </c>
      <c r="C6923" s="1" t="s">
        <v>34182</v>
      </c>
      <c r="D6923" s="1" t="s">
        <v>14087</v>
      </c>
      <c r="E6923" s="1" t="s">
        <v>34183</v>
      </c>
      <c r="F6923" s="1" t="s">
        <v>162</v>
      </c>
      <c r="G6923" s="1" t="s">
        <v>31733</v>
      </c>
      <c r="H6923" s="1">
        <v>2014.0</v>
      </c>
      <c r="I6923" s="1" t="s">
        <v>30231</v>
      </c>
      <c r="J6923" s="1" t="s">
        <v>6391</v>
      </c>
      <c r="K6923" s="1" t="s">
        <v>215</v>
      </c>
      <c r="L6923" s="1" t="s">
        <v>34184</v>
      </c>
      <c r="M6923" s="2" t="s">
        <v>12</v>
      </c>
      <c r="N6923" s="4">
        <f t="shared" si="1"/>
        <v>42774</v>
      </c>
      <c r="O6923" s="5" t="str">
        <f>IFERROR(__xludf.DUMMYFUNCTION("IF(REGEXMATCH(TRIM(I6923), ""^\d+\s*min""), ""Unclassified"", IF(I6923 = """", ""NR"", I6923))"),"NR")</f>
        <v>NR</v>
      </c>
      <c r="R6923" s="5" t="str">
        <f t="shared" si="2"/>
        <v>Happy Times</v>
      </c>
      <c r="S6923" s="5" t="str">
        <f>IFERROR(__xludf.DUMMYFUNCTION("""COMPUTED_VALUE"""),"The Bleeder")</f>
        <v>The Bleeder</v>
      </c>
      <c r="V6923" s="5"/>
      <c r="Y6923" s="5" t="str">
        <f>IFERROR(__xludf.DUMMYFUNCTION("REGEXEXTRACT(J6923, ""^\d+"")"),"79")</f>
        <v>79</v>
      </c>
      <c r="Z6923" s="5" t="str">
        <f>IFERROR(__xludf.DUMMYFUNCTION("REGEXEXTRACT(J6923, ""[A-Za-z ]+$"")")," min")</f>
        <v> min</v>
      </c>
      <c r="AA6923" s="5" t="str">
        <f>IFERROR(__xludf.DUMMYFUNCTION("IF(REGEXMATCH(Z6923, ""Season""), ""TV Show"", ""Movie"")"),"Movie")</f>
        <v>Movie</v>
      </c>
    </row>
    <row r="6924">
      <c r="A6924" s="1" t="s">
        <v>34185</v>
      </c>
      <c r="B6924" s="1" t="s">
        <v>37</v>
      </c>
      <c r="C6924" s="1" t="s">
        <v>34186</v>
      </c>
      <c r="E6924" s="1" t="s">
        <v>34187</v>
      </c>
      <c r="F6924" s="1" t="s">
        <v>96</v>
      </c>
      <c r="G6924" s="1" t="s">
        <v>34188</v>
      </c>
      <c r="H6924" s="1">
        <v>2016.0</v>
      </c>
      <c r="I6924" s="1" t="s">
        <v>42</v>
      </c>
      <c r="J6924" s="1" t="s">
        <v>43</v>
      </c>
      <c r="K6924" s="1" t="s">
        <v>3274</v>
      </c>
      <c r="L6924" s="1" t="s">
        <v>34189</v>
      </c>
      <c r="M6924" s="2" t="s">
        <v>12</v>
      </c>
      <c r="N6924" s="1" t="str">
        <f t="shared" si="1"/>
        <v>#N/A</v>
      </c>
      <c r="O6924" s="5" t="str">
        <f>IFERROR(__xludf.DUMMYFUNCTION("IF(REGEXMATCH(TRIM(I6924), ""^\d+\s*min""), ""Unclassified"", IF(I6924 = """", ""NR"", I6924))"),"TV-MA")</f>
        <v>TV-MA</v>
      </c>
      <c r="R6924" s="5" t="str">
        <f t="shared" si="2"/>
        <v>Happy Valley</v>
      </c>
      <c r="S6924" s="5" t="str">
        <f>IFERROR(__xludf.DUMMYFUNCTION("""COMPUTED_VALUE"""),"The Bleeding Edge")</f>
        <v>The Bleeding Edge</v>
      </c>
      <c r="V6924" s="5"/>
      <c r="Y6924" s="5" t="str">
        <f>IFERROR(__xludf.DUMMYFUNCTION("REGEXEXTRACT(J6924, ""^\d+"")"),"2")</f>
        <v>2</v>
      </c>
      <c r="Z6924" s="5" t="str">
        <f>IFERROR(__xludf.DUMMYFUNCTION("REGEXEXTRACT(J6924, ""[A-Za-z ]+$"")")," Seasons")</f>
        <v> Seasons</v>
      </c>
      <c r="AA6924" s="5" t="str">
        <f>IFERROR(__xludf.DUMMYFUNCTION("IF(REGEXMATCH(Z6924, ""Season""), ""TV Show"", ""Movie"")"),"TV Show")</f>
        <v>TV Show</v>
      </c>
    </row>
    <row r="6925">
      <c r="A6925" s="1" t="s">
        <v>34190</v>
      </c>
      <c r="B6925" s="1" t="s">
        <v>37</v>
      </c>
      <c r="C6925" s="1" t="s">
        <v>34191</v>
      </c>
      <c r="E6925" s="1" t="s">
        <v>34192</v>
      </c>
      <c r="F6925" s="1" t="s">
        <v>30</v>
      </c>
      <c r="G6925" s="1" t="s">
        <v>29635</v>
      </c>
      <c r="H6925" s="1">
        <v>2015.0</v>
      </c>
      <c r="I6925" s="1" t="s">
        <v>42</v>
      </c>
      <c r="J6925" s="1" t="s">
        <v>51</v>
      </c>
      <c r="K6925" s="1" t="s">
        <v>149</v>
      </c>
      <c r="L6925" s="1" t="s">
        <v>34193</v>
      </c>
      <c r="M6925" s="2" t="s">
        <v>12</v>
      </c>
      <c r="N6925" s="4">
        <f t="shared" si="1"/>
        <v>42552</v>
      </c>
      <c r="O6925" s="5" t="str">
        <f>IFERROR(__xludf.DUMMYFUNCTION("IF(REGEXMATCH(TRIM(I6925), ""^\d+\s*min""), ""Unclassified"", IF(I6925 = """", ""NR"", I6925))"),"TV-MA")</f>
        <v>TV-MA</v>
      </c>
      <c r="R6925" s="5" t="str">
        <f t="shared" si="2"/>
        <v>Happyish</v>
      </c>
      <c r="S6925" s="5" t="str">
        <f>IFERROR(__xludf.DUMMYFUNCTION("""COMPUTED_VALUE"""),"The Blind Christ")</f>
        <v>The Blind Christ</v>
      </c>
      <c r="V6925" s="5"/>
      <c r="Y6925" s="5" t="str">
        <f>IFERROR(__xludf.DUMMYFUNCTION("REGEXEXTRACT(J6925, ""^\d+"")"),"1")</f>
        <v>1</v>
      </c>
      <c r="Z6925" s="5" t="str">
        <f>IFERROR(__xludf.DUMMYFUNCTION("REGEXEXTRACT(J6925, ""[A-Za-z ]+$"")")," Season")</f>
        <v> Season</v>
      </c>
      <c r="AA6925" s="5" t="str">
        <f>IFERROR(__xludf.DUMMYFUNCTION("IF(REGEXMATCH(Z6925, ""Season""), ""TV Show"", ""Movie"")"),"TV Show")</f>
        <v>TV Show</v>
      </c>
    </row>
    <row r="6926">
      <c r="A6926" s="1" t="s">
        <v>34194</v>
      </c>
      <c r="B6926" s="1" t="s">
        <v>27</v>
      </c>
      <c r="C6926" s="1" t="s">
        <v>34195</v>
      </c>
      <c r="D6926" s="1" t="s">
        <v>19494</v>
      </c>
      <c r="E6926" s="1" t="s">
        <v>34196</v>
      </c>
      <c r="F6926" s="1" t="s">
        <v>96</v>
      </c>
      <c r="G6926" s="1" t="s">
        <v>34197</v>
      </c>
      <c r="H6926" s="1">
        <v>2015.0</v>
      </c>
      <c r="I6926" s="1" t="s">
        <v>42</v>
      </c>
      <c r="J6926" s="1" t="s">
        <v>6391</v>
      </c>
      <c r="K6926" s="1" t="s">
        <v>1320</v>
      </c>
      <c r="L6926" s="1" t="s">
        <v>34198</v>
      </c>
      <c r="M6926" s="2" t="s">
        <v>12</v>
      </c>
      <c r="N6926" s="4">
        <f t="shared" si="1"/>
        <v>42984</v>
      </c>
      <c r="O6926" s="5" t="str">
        <f>IFERROR(__xludf.DUMMYFUNCTION("IF(REGEXMATCH(TRIM(I6926), ""^\d+\s*min""), ""Unclassified"", IF(I6926 = """", ""NR"", I6926))"),"TV-MA")</f>
        <v>TV-MA</v>
      </c>
      <c r="R6926" s="5" t="str">
        <f t="shared" si="2"/>
        <v>Hard Tide</v>
      </c>
      <c r="S6926" s="5" t="str">
        <f>IFERROR(__xludf.DUMMYFUNCTION("""COMPUTED_VALUE"""),"The Bling Lagosians")</f>
        <v>The Bling Lagosians</v>
      </c>
      <c r="V6926" s="5"/>
      <c r="Y6926" s="5" t="str">
        <f>IFERROR(__xludf.DUMMYFUNCTION("REGEXEXTRACT(J6926, ""^\d+"")"),"79")</f>
        <v>79</v>
      </c>
      <c r="Z6926" s="5" t="str">
        <f>IFERROR(__xludf.DUMMYFUNCTION("REGEXEXTRACT(J6926, ""[A-Za-z ]+$"")")," min")</f>
        <v> min</v>
      </c>
      <c r="AA6926" s="5" t="str">
        <f>IFERROR(__xludf.DUMMYFUNCTION("IF(REGEXMATCH(Z6926, ""Season""), ""TV Show"", ""Movie"")"),"Movie")</f>
        <v>Movie</v>
      </c>
    </row>
    <row r="6927">
      <c r="A6927" s="1" t="s">
        <v>34199</v>
      </c>
      <c r="B6927" s="1" t="s">
        <v>27</v>
      </c>
      <c r="C6927" s="1" t="s">
        <v>34200</v>
      </c>
      <c r="D6927" s="1" t="s">
        <v>9598</v>
      </c>
      <c r="E6927" s="1" t="s">
        <v>34201</v>
      </c>
      <c r="F6927" s="1" t="s">
        <v>34202</v>
      </c>
      <c r="G6927" s="1" t="s">
        <v>12382</v>
      </c>
      <c r="H6927" s="1">
        <v>2015.0</v>
      </c>
      <c r="I6927" s="1" t="s">
        <v>378</v>
      </c>
      <c r="J6927" s="1" t="s">
        <v>322</v>
      </c>
      <c r="K6927" s="1" t="s">
        <v>13636</v>
      </c>
      <c r="L6927" s="1" t="s">
        <v>34203</v>
      </c>
      <c r="M6927" s="2" t="s">
        <v>12</v>
      </c>
      <c r="N6927" s="4">
        <f t="shared" si="1"/>
        <v>44044</v>
      </c>
      <c r="O6927" s="5" t="str">
        <f>IFERROR(__xludf.DUMMYFUNCTION("IF(REGEXMATCH(TRIM(I6927), ""^\d+\s*min""), ""Unclassified"", IF(I6927 = """", ""NR"", I6927))"),"R")</f>
        <v>R</v>
      </c>
      <c r="R6927" s="5" t="str">
        <f t="shared" si="2"/>
        <v>Hardcore Henry</v>
      </c>
      <c r="S6927" s="5" t="str">
        <f>IFERROR(__xludf.DUMMYFUNCTION("""COMPUTED_VALUE"""),"The Bling Ring")</f>
        <v>The Bling Ring</v>
      </c>
      <c r="V6927" s="5"/>
      <c r="Y6927" s="5" t="str">
        <f>IFERROR(__xludf.DUMMYFUNCTION("REGEXEXTRACT(J6927, ""^\d+"")"),"96")</f>
        <v>96</v>
      </c>
      <c r="Z6927" s="5" t="str">
        <f>IFERROR(__xludf.DUMMYFUNCTION("REGEXEXTRACT(J6927, ""[A-Za-z ]+$"")")," min")</f>
        <v> min</v>
      </c>
      <c r="AA6927" s="5" t="str">
        <f>IFERROR(__xludf.DUMMYFUNCTION("IF(REGEXMATCH(Z6927, ""Season""), ""TV Show"", ""Movie"")"),"Movie")</f>
        <v>Movie</v>
      </c>
    </row>
    <row r="6928">
      <c r="A6928" s="1" t="s">
        <v>34204</v>
      </c>
      <c r="B6928" s="1" t="s">
        <v>27</v>
      </c>
      <c r="C6928" s="1" t="s">
        <v>34205</v>
      </c>
      <c r="E6928" s="1" t="s">
        <v>34206</v>
      </c>
      <c r="G6928" s="1" t="s">
        <v>18333</v>
      </c>
      <c r="H6928" s="1">
        <v>2005.0</v>
      </c>
      <c r="I6928" s="1" t="s">
        <v>97</v>
      </c>
      <c r="J6928" s="1" t="s">
        <v>6490</v>
      </c>
      <c r="K6928" s="1" t="s">
        <v>645</v>
      </c>
      <c r="L6928" s="1" t="s">
        <v>34207</v>
      </c>
      <c r="M6928" s="2" t="s">
        <v>12</v>
      </c>
      <c r="N6928" s="4">
        <f t="shared" si="1"/>
        <v>43770</v>
      </c>
      <c r="O6928" s="5" t="str">
        <f>IFERROR(__xludf.DUMMYFUNCTION("IF(REGEXMATCH(TRIM(I6928), ""^\d+\s*min""), ""Unclassified"", IF(I6928 = """", ""NR"", I6928))"),"TV-14")</f>
        <v>TV-14</v>
      </c>
      <c r="R6928" s="5" t="str">
        <f t="shared" si="2"/>
        <v>Harlem Globetrotters: The Team That Changed The World</v>
      </c>
      <c r="S6928" s="5" t="str">
        <f>IFERROR(__xludf.DUMMYFUNCTION("""COMPUTED_VALUE"""),"The Block Island Sound")</f>
        <v>The Block Island Sound</v>
      </c>
      <c r="V6928" s="5"/>
      <c r="Y6928" s="5" t="str">
        <f>IFERROR(__xludf.DUMMYFUNCTION("REGEXEXTRACT(J6928, ""^\d+"")"),"55")</f>
        <v>55</v>
      </c>
      <c r="Z6928" s="5" t="str">
        <f>IFERROR(__xludf.DUMMYFUNCTION("REGEXEXTRACT(J6928, ""[A-Za-z ]+$"")")," min")</f>
        <v> min</v>
      </c>
      <c r="AA6928" s="5" t="str">
        <f>IFERROR(__xludf.DUMMYFUNCTION("IF(REGEXMATCH(Z6928, ""Season""), ""TV Show"", ""Movie"")"),"Movie")</f>
        <v>Movie</v>
      </c>
    </row>
    <row r="6929">
      <c r="A6929" s="1" t="s">
        <v>34208</v>
      </c>
      <c r="B6929" s="1" t="s">
        <v>27</v>
      </c>
      <c r="C6929" s="1" t="s">
        <v>34209</v>
      </c>
      <c r="D6929" s="1" t="s">
        <v>11584</v>
      </c>
      <c r="E6929" s="1" t="s">
        <v>34210</v>
      </c>
      <c r="F6929" s="1" t="s">
        <v>30</v>
      </c>
      <c r="G6929" s="1" t="s">
        <v>18985</v>
      </c>
      <c r="H6929" s="1">
        <v>2008.0</v>
      </c>
      <c r="I6929" s="1" t="s">
        <v>378</v>
      </c>
      <c r="J6929" s="1" t="s">
        <v>1091</v>
      </c>
      <c r="K6929" s="1" t="s">
        <v>1020</v>
      </c>
      <c r="L6929" s="1" t="s">
        <v>34211</v>
      </c>
      <c r="M6929" s="2" t="s">
        <v>12</v>
      </c>
      <c r="N6929" s="4">
        <f t="shared" si="1"/>
        <v>43739</v>
      </c>
      <c r="O6929" s="5" t="str">
        <f>IFERROR(__xludf.DUMMYFUNCTION("IF(REGEXMATCH(TRIM(I6929), ""^\d+\s*min""), ""Unclassified"", IF(I6929 = """", ""NR"", I6929))"),"R")</f>
        <v>R</v>
      </c>
      <c r="R6929" s="5" t="str">
        <f t="shared" si="2"/>
        <v>Harold &amp; Kumar Escape From Guantanamo Bay</v>
      </c>
      <c r="S6929" s="5" t="str">
        <f>IFERROR(__xludf.DUMMYFUNCTION("""COMPUTED_VALUE"""),"The Blue Elephant 2")</f>
        <v>The Blue Elephant 2</v>
      </c>
      <c r="V6929" s="5"/>
      <c r="Y6929" s="5" t="str">
        <f>IFERROR(__xludf.DUMMYFUNCTION("REGEXEXTRACT(J6929, ""^\d+"")"),"101")</f>
        <v>101</v>
      </c>
      <c r="Z6929" s="5" t="str">
        <f>IFERROR(__xludf.DUMMYFUNCTION("REGEXEXTRACT(J6929, ""[A-Za-z ]+$"")")," min")</f>
        <v> min</v>
      </c>
      <c r="AA6929" s="5" t="str">
        <f>IFERROR(__xludf.DUMMYFUNCTION("IF(REGEXMATCH(Z6929, ""Season""), ""TV Show"", ""Movie"")"),"Movie")</f>
        <v>Movie</v>
      </c>
    </row>
    <row r="6930">
      <c r="A6930" s="1" t="s">
        <v>34212</v>
      </c>
      <c r="B6930" s="1" t="s">
        <v>27</v>
      </c>
      <c r="C6930" s="1" t="s">
        <v>34213</v>
      </c>
      <c r="D6930" s="1" t="s">
        <v>5698</v>
      </c>
      <c r="E6930" s="1" t="s">
        <v>34214</v>
      </c>
      <c r="F6930" s="1" t="s">
        <v>34215</v>
      </c>
      <c r="G6930" s="1" t="s">
        <v>16947</v>
      </c>
      <c r="H6930" s="1">
        <v>2004.0</v>
      </c>
      <c r="I6930" s="1" t="s">
        <v>378</v>
      </c>
      <c r="J6930" s="1" t="s">
        <v>428</v>
      </c>
      <c r="K6930" s="1" t="s">
        <v>1020</v>
      </c>
      <c r="L6930" s="1" t="s">
        <v>34216</v>
      </c>
      <c r="M6930" s="2" t="s">
        <v>12</v>
      </c>
      <c r="N6930" s="4">
        <f t="shared" si="1"/>
        <v>43831</v>
      </c>
      <c r="O6930" s="5" t="str">
        <f>IFERROR(__xludf.DUMMYFUNCTION("IF(REGEXMATCH(TRIM(I6930), ""^\d+\s*min""), ""Unclassified"", IF(I6930 = """", ""NR"", I6930))"),"R")</f>
        <v>R</v>
      </c>
      <c r="R6930" s="5" t="str">
        <f t="shared" si="2"/>
        <v>Harold &amp; Kumar Go To White Castle</v>
      </c>
      <c r="S6930" s="5" t="str">
        <f>IFERROR(__xludf.DUMMYFUNCTION("""COMPUTED_VALUE"""),"The Blue Lagoon")</f>
        <v>The Blue Lagoon</v>
      </c>
      <c r="V6930" s="5"/>
      <c r="Y6930" s="5" t="str">
        <f>IFERROR(__xludf.DUMMYFUNCTION("REGEXEXTRACT(J6930, ""^\d+"")"),"88")</f>
        <v>88</v>
      </c>
      <c r="Z6930" s="5" t="str">
        <f>IFERROR(__xludf.DUMMYFUNCTION("REGEXEXTRACT(J6930, ""[A-Za-z ]+$"")")," min")</f>
        <v> min</v>
      </c>
      <c r="AA6930" s="5" t="str">
        <f>IFERROR(__xludf.DUMMYFUNCTION("IF(REGEXMATCH(Z6930, ""Season""), ""TV Show"", ""Movie"")"),"Movie")</f>
        <v>Movie</v>
      </c>
    </row>
    <row r="6931">
      <c r="A6931" s="1" t="s">
        <v>34217</v>
      </c>
      <c r="B6931" s="1" t="s">
        <v>27</v>
      </c>
      <c r="C6931" s="1" t="s">
        <v>34218</v>
      </c>
      <c r="D6931" s="1" t="s">
        <v>5613</v>
      </c>
      <c r="E6931" s="1" t="s">
        <v>34219</v>
      </c>
      <c r="F6931" s="1" t="s">
        <v>30</v>
      </c>
      <c r="G6931" s="1" t="s">
        <v>23298</v>
      </c>
      <c r="H6931" s="1">
        <v>2015.0</v>
      </c>
      <c r="I6931" s="1" t="s">
        <v>97</v>
      </c>
      <c r="J6931" s="1" t="s">
        <v>465</v>
      </c>
      <c r="K6931" s="1" t="s">
        <v>34</v>
      </c>
      <c r="L6931" s="1" t="s">
        <v>34220</v>
      </c>
      <c r="M6931" s="2" t="s">
        <v>12</v>
      </c>
      <c r="N6931" s="4">
        <f t="shared" si="1"/>
        <v>43429</v>
      </c>
      <c r="O6931" s="5" t="str">
        <f>IFERROR(__xludf.DUMMYFUNCTION("IF(REGEXMATCH(TRIM(I6931), ""^\d+\s*min""), ""Unclassified"", IF(I6931 = """", ""NR"", I6931))"),"TV-14")</f>
        <v>TV-14</v>
      </c>
      <c r="R6931" s="5" t="str">
        <f t="shared" si="2"/>
        <v>Harold And Lillian: A Hollywood Love Story</v>
      </c>
      <c r="S6931" s="5" t="str">
        <f>IFERROR(__xludf.DUMMYFUNCTION("""COMPUTED_VALUE"""),"The Blue Planet: A Natural History Of The Oceans")</f>
        <v>The Blue Planet: A Natural History Of The Oceans</v>
      </c>
      <c r="V6931" s="5"/>
      <c r="Y6931" s="5" t="str">
        <f>IFERROR(__xludf.DUMMYFUNCTION("REGEXEXTRACT(J6931, ""^\d+"")"),"95")</f>
        <v>95</v>
      </c>
      <c r="Z6931" s="5" t="str">
        <f>IFERROR(__xludf.DUMMYFUNCTION("REGEXEXTRACT(J6931, ""[A-Za-z ]+$"")")," min")</f>
        <v> min</v>
      </c>
      <c r="AA6931" s="5" t="str">
        <f>IFERROR(__xludf.DUMMYFUNCTION("IF(REGEXMATCH(Z6931, ""Season""), ""TV Show"", ""Movie"")"),"Movie")</f>
        <v>Movie</v>
      </c>
    </row>
    <row r="6932">
      <c r="A6932" s="1" t="s">
        <v>34221</v>
      </c>
      <c r="B6932" s="1" t="s">
        <v>37</v>
      </c>
      <c r="C6932" s="1" t="s">
        <v>34222</v>
      </c>
      <c r="E6932" s="1" t="s">
        <v>34223</v>
      </c>
      <c r="F6932" s="1" t="s">
        <v>96</v>
      </c>
      <c r="G6932" s="1" t="s">
        <v>22239</v>
      </c>
      <c r="H6932" s="1">
        <v>2014.0</v>
      </c>
      <c r="I6932" s="1" t="s">
        <v>97</v>
      </c>
      <c r="J6932" s="1" t="s">
        <v>51</v>
      </c>
      <c r="K6932" s="1" t="s">
        <v>142</v>
      </c>
      <c r="L6932" s="1" t="s">
        <v>34224</v>
      </c>
      <c r="M6932" s="2" t="s">
        <v>12</v>
      </c>
      <c r="N6932" s="4">
        <f t="shared" si="1"/>
        <v>43497</v>
      </c>
      <c r="O6932" s="5" t="str">
        <f>IFERROR(__xludf.DUMMYFUNCTION("IF(REGEXMATCH(TRIM(I6932), ""^\d+\s*min""), ""Unclassified"", IF(I6932 = """", ""NR"", I6932))"),"TV-14")</f>
        <v>TV-14</v>
      </c>
      <c r="R6932" s="5" t="str">
        <f t="shared" si="2"/>
        <v>Harold Shipman - Driven To Kill</v>
      </c>
      <c r="S6932" s="5" t="str">
        <f>IFERROR(__xludf.DUMMYFUNCTION("""COMPUTED_VALUE"""),"The Blue Umbrella")</f>
        <v>The Blue Umbrella</v>
      </c>
      <c r="V6932" s="5"/>
      <c r="Y6932" s="5" t="str">
        <f>IFERROR(__xludf.DUMMYFUNCTION("REGEXEXTRACT(J6932, ""^\d+"")"),"1")</f>
        <v>1</v>
      </c>
      <c r="Z6932" s="5" t="str">
        <f>IFERROR(__xludf.DUMMYFUNCTION("REGEXEXTRACT(J6932, ""[A-Za-z ]+$"")")," Season")</f>
        <v> Season</v>
      </c>
      <c r="AA6932" s="5" t="str">
        <f>IFERROR(__xludf.DUMMYFUNCTION("IF(REGEXMATCH(Z6932, ""Season""), ""TV Show"", ""Movie"")"),"TV Show")</f>
        <v>TV Show</v>
      </c>
    </row>
    <row r="6933">
      <c r="A6933" s="1" t="s">
        <v>34225</v>
      </c>
      <c r="B6933" s="1" t="s">
        <v>27</v>
      </c>
      <c r="C6933" s="1" t="s">
        <v>34226</v>
      </c>
      <c r="D6933" s="1" t="s">
        <v>17192</v>
      </c>
      <c r="E6933" s="1" t="s">
        <v>34227</v>
      </c>
      <c r="F6933" s="1" t="s">
        <v>897</v>
      </c>
      <c r="G6933" s="1" t="s">
        <v>25748</v>
      </c>
      <c r="H6933" s="1">
        <v>2010.0</v>
      </c>
      <c r="I6933" s="1" t="s">
        <v>506</v>
      </c>
      <c r="J6933" s="1" t="s">
        <v>630</v>
      </c>
      <c r="K6933" s="1" t="s">
        <v>137</v>
      </c>
      <c r="L6933" s="1" t="s">
        <v>34228</v>
      </c>
      <c r="M6933" s="2" t="s">
        <v>12</v>
      </c>
      <c r="N6933" s="4">
        <f t="shared" si="1"/>
        <v>43205</v>
      </c>
      <c r="O6933" s="5" t="str">
        <f>IFERROR(__xludf.DUMMYFUNCTION("IF(REGEXMATCH(TRIM(I6933), ""^\d+\s*min""), ""Unclassified"", IF(I6933 = """", ""NR"", I6933))"),"TV-G")</f>
        <v>TV-G</v>
      </c>
      <c r="R6933" s="5" t="str">
        <f t="shared" si="2"/>
        <v>Harriet The Spy: Blog Wars</v>
      </c>
      <c r="S6933" s="5" t="str">
        <f>IFERROR(__xludf.DUMMYFUNCTION("""COMPUTED_VALUE"""),"The Body")</f>
        <v>The Body</v>
      </c>
      <c r="V6933" s="5"/>
      <c r="Y6933" s="5" t="str">
        <f>IFERROR(__xludf.DUMMYFUNCTION("REGEXEXTRACT(J6933, ""^\d+"")"),"87")</f>
        <v>87</v>
      </c>
      <c r="Z6933" s="5" t="str">
        <f>IFERROR(__xludf.DUMMYFUNCTION("REGEXEXTRACT(J6933, ""[A-Za-z ]+$"")")," min")</f>
        <v> min</v>
      </c>
      <c r="AA6933" s="5" t="str">
        <f>IFERROR(__xludf.DUMMYFUNCTION("IF(REGEXMATCH(Z6933, ""Season""), ""TV Show"", ""Movie"")"),"Movie")</f>
        <v>Movie</v>
      </c>
    </row>
    <row r="6934">
      <c r="A6934" s="1" t="s">
        <v>34229</v>
      </c>
      <c r="B6934" s="1" t="s">
        <v>37</v>
      </c>
      <c r="C6934" s="1" t="s">
        <v>34230</v>
      </c>
      <c r="D6934" s="1" t="s">
        <v>588</v>
      </c>
      <c r="F6934" s="1" t="s">
        <v>3321</v>
      </c>
      <c r="G6934" s="1" t="s">
        <v>27021</v>
      </c>
      <c r="H6934" s="1">
        <v>2017.0</v>
      </c>
      <c r="I6934" s="1" t="s">
        <v>289</v>
      </c>
      <c r="J6934" s="1" t="s">
        <v>51</v>
      </c>
      <c r="K6934" s="1" t="s">
        <v>314</v>
      </c>
      <c r="L6934" s="1" t="s">
        <v>34231</v>
      </c>
      <c r="M6934" s="2" t="s">
        <v>12</v>
      </c>
      <c r="N6934" s="4">
        <f t="shared" si="1"/>
        <v>43023</v>
      </c>
      <c r="O6934" s="5" t="str">
        <f>IFERROR(__xludf.DUMMYFUNCTION("IF(REGEXMATCH(TRIM(I6934), ""^\d+\s*min""), ""Unclassified"", IF(I6934 = """", ""NR"", I6934))"),"TV-Y7")</f>
        <v>TV-Y7</v>
      </c>
      <c r="R6934" s="5" t="str">
        <f t="shared" si="2"/>
        <v>Harry &amp; Bunnie</v>
      </c>
      <c r="S6934" s="5" t="str">
        <f>IFERROR(__xludf.DUMMYFUNCTION("""COMPUTED_VALUE"""),"The Body Remembers When The World Broke Open")</f>
        <v>The Body Remembers When The World Broke Open</v>
      </c>
      <c r="V6934" s="5"/>
      <c r="Y6934" s="5" t="str">
        <f>IFERROR(__xludf.DUMMYFUNCTION("REGEXEXTRACT(J6934, ""^\d+"")"),"1")</f>
        <v>1</v>
      </c>
      <c r="Z6934" s="5" t="str">
        <f>IFERROR(__xludf.DUMMYFUNCTION("REGEXEXTRACT(J6934, ""[A-Za-z ]+$"")")," Season")</f>
        <v> Season</v>
      </c>
      <c r="AA6934" s="5" t="str">
        <f>IFERROR(__xludf.DUMMYFUNCTION("IF(REGEXMATCH(Z6934, ""Season""), ""TV Show"", ""Movie"")"),"TV Show")</f>
        <v>TV Show</v>
      </c>
    </row>
    <row r="6935">
      <c r="A6935" s="1" t="s">
        <v>34232</v>
      </c>
      <c r="B6935" s="1" t="s">
        <v>27</v>
      </c>
      <c r="C6935" s="1" t="s">
        <v>34233</v>
      </c>
      <c r="D6935" s="1" t="s">
        <v>19786</v>
      </c>
      <c r="E6935" s="1" t="s">
        <v>34234</v>
      </c>
      <c r="F6935" s="1" t="s">
        <v>30</v>
      </c>
      <c r="G6935" s="1" t="s">
        <v>28769</v>
      </c>
      <c r="H6935" s="1">
        <v>2015.0</v>
      </c>
      <c r="I6935" s="1" t="s">
        <v>136</v>
      </c>
      <c r="J6935" s="1" t="s">
        <v>490</v>
      </c>
      <c r="K6935" s="1" t="s">
        <v>645</v>
      </c>
      <c r="L6935" s="1" t="s">
        <v>34235</v>
      </c>
      <c r="M6935" s="2" t="s">
        <v>12</v>
      </c>
      <c r="N6935" s="4">
        <f t="shared" si="1"/>
        <v>42750</v>
      </c>
      <c r="O6935" s="5" t="str">
        <f>IFERROR(__xludf.DUMMYFUNCTION("IF(REGEXMATCH(TRIM(I6935), ""^\d+\s*min""), ""Unclassified"", IF(I6935 = """", ""NR"", I6935))"),"TV-PG")</f>
        <v>TV-PG</v>
      </c>
      <c r="R6935" s="5" t="str">
        <f t="shared" si="2"/>
        <v>Harry And Snowman</v>
      </c>
      <c r="S6935" s="5" t="str">
        <f>IFERROR(__xludf.DUMMYFUNCTION("""COMPUTED_VALUE"""),"The Bomb")</f>
        <v>The Bomb</v>
      </c>
      <c r="V6935" s="5"/>
      <c r="Y6935" s="5" t="str">
        <f>IFERROR(__xludf.DUMMYFUNCTION("REGEXEXTRACT(J6935, ""^\d+"")"),"83")</f>
        <v>83</v>
      </c>
      <c r="Z6935" s="5" t="str">
        <f>IFERROR(__xludf.DUMMYFUNCTION("REGEXEXTRACT(J6935, ""[A-Za-z ]+$"")")," min")</f>
        <v> min</v>
      </c>
      <c r="AA6935" s="5" t="str">
        <f>IFERROR(__xludf.DUMMYFUNCTION("IF(REGEXMATCH(Z6935, ""Season""), ""TV Show"", ""Movie"")"),"Movie")</f>
        <v>Movie</v>
      </c>
    </row>
    <row r="6936">
      <c r="A6936" s="1" t="s">
        <v>34236</v>
      </c>
      <c r="B6936" s="1" t="s">
        <v>27</v>
      </c>
      <c r="C6936" s="1" t="s">
        <v>34237</v>
      </c>
      <c r="D6936" s="1" t="s">
        <v>12224</v>
      </c>
      <c r="E6936" s="1" t="s">
        <v>34238</v>
      </c>
      <c r="F6936" s="1" t="s">
        <v>30</v>
      </c>
      <c r="G6936" s="7">
        <v>42856.0</v>
      </c>
      <c r="H6936" s="1">
        <v>2016.0</v>
      </c>
      <c r="I6936" s="1" t="s">
        <v>30231</v>
      </c>
      <c r="J6936" s="1" t="s">
        <v>33</v>
      </c>
      <c r="K6936" s="1" t="s">
        <v>34</v>
      </c>
      <c r="L6936" s="1" t="s">
        <v>34239</v>
      </c>
      <c r="M6936" s="2" t="s">
        <v>12</v>
      </c>
      <c r="N6936" s="4">
        <f t="shared" si="1"/>
        <v>42856</v>
      </c>
      <c r="O6936" s="5" t="str">
        <f>IFERROR(__xludf.DUMMYFUNCTION("IF(REGEXMATCH(TRIM(I6936), ""^\d+\s*min""), ""Unclassified"", IF(I6936 = """", ""NR"", I6936))"),"NR")</f>
        <v>NR</v>
      </c>
      <c r="R6936" s="5" t="str">
        <f t="shared" si="2"/>
        <v>Harry Benson: Shoot First</v>
      </c>
      <c r="S6936" s="5" t="str">
        <f>IFERROR(__xludf.DUMMYFUNCTION("""COMPUTED_VALUE"""),"The Bomb Squad")</f>
        <v>The Bomb Squad</v>
      </c>
      <c r="V6936" s="5"/>
      <c r="Y6936" s="5" t="str">
        <f>IFERROR(__xludf.DUMMYFUNCTION("REGEXEXTRACT(J6936, ""^\d+"")"),"90")</f>
        <v>90</v>
      </c>
      <c r="Z6936" s="5" t="str">
        <f>IFERROR(__xludf.DUMMYFUNCTION("REGEXEXTRACT(J6936, ""[A-Za-z ]+$"")")," min")</f>
        <v> min</v>
      </c>
      <c r="AA6936" s="5" t="str">
        <f>IFERROR(__xludf.DUMMYFUNCTION("IF(REGEXMATCH(Z6936, ""Season""), ""TV Show"", ""Movie"")"),"Movie")</f>
        <v>Movie</v>
      </c>
    </row>
    <row r="6937">
      <c r="A6937" s="1" t="s">
        <v>34240</v>
      </c>
      <c r="B6937" s="1" t="s">
        <v>37</v>
      </c>
      <c r="C6937" s="1" t="s">
        <v>34241</v>
      </c>
      <c r="E6937" s="1" t="s">
        <v>34242</v>
      </c>
      <c r="F6937" s="1" t="s">
        <v>30</v>
      </c>
      <c r="G6937" s="1" t="s">
        <v>34243</v>
      </c>
      <c r="H6937" s="1">
        <v>2014.0</v>
      </c>
      <c r="I6937" s="1" t="s">
        <v>136</v>
      </c>
      <c r="J6937" s="1" t="s">
        <v>148</v>
      </c>
      <c r="K6937" s="1" t="s">
        <v>149</v>
      </c>
      <c r="L6937" s="1" t="s">
        <v>34244</v>
      </c>
      <c r="M6937" s="2" t="s">
        <v>12</v>
      </c>
      <c r="N6937" s="1" t="str">
        <f t="shared" si="1"/>
        <v>#N/A</v>
      </c>
      <c r="O6937" s="5" t="str">
        <f>IFERROR(__xludf.DUMMYFUNCTION("IF(REGEXMATCH(TRIM(I6937), ""^\d+\s*min""), ""Unclassified"", IF(I6937 = """", ""NR"", I6937))"),"TV-PG")</f>
        <v>TV-PG</v>
      </c>
      <c r="R6937" s="5" t="str">
        <f t="shared" si="2"/>
        <v>Hart Of Dixie</v>
      </c>
      <c r="S6937" s="5" t="str">
        <f>IFERROR(__xludf.DUMMYFUNCTION("""COMPUTED_VALUE"""),"The Bonfire Of Destiny")</f>
        <v>The Bonfire Of Destiny</v>
      </c>
      <c r="V6937" s="5"/>
      <c r="Y6937" s="5" t="str">
        <f>IFERROR(__xludf.DUMMYFUNCTION("REGEXEXTRACT(J6937, ""^\d+"")"),"4")</f>
        <v>4</v>
      </c>
      <c r="Z6937" s="5" t="str">
        <f>IFERROR(__xludf.DUMMYFUNCTION("REGEXEXTRACT(J6937, ""[A-Za-z ]+$"")")," Seasons")</f>
        <v> Seasons</v>
      </c>
      <c r="AA6937" s="5" t="str">
        <f>IFERROR(__xludf.DUMMYFUNCTION("IF(REGEXMATCH(Z6937, ""Season""), ""TV Show"", ""Movie"")"),"TV Show")</f>
        <v>TV Show</v>
      </c>
    </row>
    <row r="6938">
      <c r="A6938" s="1" t="s">
        <v>34245</v>
      </c>
      <c r="B6938" s="1" t="s">
        <v>27</v>
      </c>
      <c r="C6938" s="1" t="s">
        <v>34246</v>
      </c>
      <c r="D6938" s="1" t="s">
        <v>1405</v>
      </c>
      <c r="E6938" s="1" t="s">
        <v>34247</v>
      </c>
      <c r="F6938" s="1" t="s">
        <v>63</v>
      </c>
      <c r="G6938" s="1" t="s">
        <v>26089</v>
      </c>
      <c r="H6938" s="1">
        <v>1999.0</v>
      </c>
      <c r="I6938" s="1" t="s">
        <v>136</v>
      </c>
      <c r="J6938" s="1" t="s">
        <v>7280</v>
      </c>
      <c r="K6938" s="1" t="s">
        <v>617</v>
      </c>
      <c r="L6938" s="1" t="s">
        <v>34248</v>
      </c>
      <c r="M6938" s="2" t="s">
        <v>12</v>
      </c>
      <c r="N6938" s="4">
        <f t="shared" si="1"/>
        <v>43160</v>
      </c>
      <c r="O6938" s="5" t="str">
        <f>IFERROR(__xludf.DUMMYFUNCTION("IF(REGEXMATCH(TRIM(I6938), ""^\d+\s*min""), ""Unclassified"", IF(I6938 = """", ""NR"", I6938))"),"TV-PG")</f>
        <v>TV-PG</v>
      </c>
      <c r="R6938" s="5" t="str">
        <f t="shared" si="2"/>
        <v>Haseena Maan Jaayegi</v>
      </c>
      <c r="S6938" s="5" t="str">
        <f>IFERROR(__xludf.DUMMYFUNCTION("""COMPUTED_VALUE"""),"The Book Of Eli")</f>
        <v>The Book Of Eli</v>
      </c>
      <c r="V6938" s="5"/>
      <c r="Y6938" s="5" t="str">
        <f>IFERROR(__xludf.DUMMYFUNCTION("REGEXEXTRACT(J6938, ""^\d+"")"),"151")</f>
        <v>151</v>
      </c>
      <c r="Z6938" s="5" t="str">
        <f>IFERROR(__xludf.DUMMYFUNCTION("REGEXEXTRACT(J6938, ""[A-Za-z ]+$"")")," min")</f>
        <v> min</v>
      </c>
      <c r="AA6938" s="5" t="str">
        <f>IFERROR(__xludf.DUMMYFUNCTION("IF(REGEXMATCH(Z6938, ""Season""), ""TV Show"", ""Movie"")"),"Movie")</f>
        <v>Movie</v>
      </c>
    </row>
    <row r="6939">
      <c r="A6939" s="1" t="s">
        <v>34249</v>
      </c>
      <c r="B6939" s="1" t="s">
        <v>37</v>
      </c>
      <c r="C6939" s="1" t="s">
        <v>34250</v>
      </c>
      <c r="E6939" s="1" t="s">
        <v>34251</v>
      </c>
      <c r="F6939" s="1" t="s">
        <v>2873</v>
      </c>
      <c r="G6939" s="1" t="s">
        <v>31250</v>
      </c>
      <c r="H6939" s="1">
        <v>2015.0</v>
      </c>
      <c r="I6939" s="1" t="s">
        <v>97</v>
      </c>
      <c r="J6939" s="1" t="s">
        <v>51</v>
      </c>
      <c r="K6939" s="1" t="s">
        <v>1907</v>
      </c>
      <c r="L6939" s="1" t="s">
        <v>34252</v>
      </c>
      <c r="M6939" s="2" t="s">
        <v>12</v>
      </c>
      <c r="N6939" s="4">
        <f t="shared" si="1"/>
        <v>42968</v>
      </c>
      <c r="O6939" s="5" t="str">
        <f>IFERROR(__xludf.DUMMYFUNCTION("IF(REGEXMATCH(TRIM(I6939), ""^\d+\s*min""), ""Unclassified"", IF(I6939 = """", ""NR"", I6939))"),"TV-14")</f>
        <v>TV-14</v>
      </c>
      <c r="R6939" s="5" t="str">
        <f t="shared" si="2"/>
        <v>Hati Perempuan</v>
      </c>
      <c r="S6939" s="5" t="str">
        <f>IFERROR(__xludf.DUMMYFUNCTION("""COMPUTED_VALUE"""),"The Book Of Henry")</f>
        <v>The Book Of Henry</v>
      </c>
      <c r="V6939" s="5"/>
      <c r="Y6939" s="5" t="str">
        <f>IFERROR(__xludf.DUMMYFUNCTION("REGEXEXTRACT(J6939, ""^\d+"")"),"1")</f>
        <v>1</v>
      </c>
      <c r="Z6939" s="5" t="str">
        <f>IFERROR(__xludf.DUMMYFUNCTION("REGEXEXTRACT(J6939, ""[A-Za-z ]+$"")")," Season")</f>
        <v> Season</v>
      </c>
      <c r="AA6939" s="5" t="str">
        <f>IFERROR(__xludf.DUMMYFUNCTION("IF(REGEXMATCH(Z6939, ""Season""), ""TV Show"", ""Movie"")"),"TV Show")</f>
        <v>TV Show</v>
      </c>
    </row>
    <row r="6940">
      <c r="A6940" s="1" t="s">
        <v>34253</v>
      </c>
      <c r="B6940" s="1" t="s">
        <v>27</v>
      </c>
      <c r="C6940" s="1" t="s">
        <v>34254</v>
      </c>
      <c r="D6940" s="1" t="s">
        <v>11629</v>
      </c>
      <c r="F6940" s="1" t="s">
        <v>30</v>
      </c>
      <c r="G6940" s="1" t="s">
        <v>26477</v>
      </c>
      <c r="H6940" s="1">
        <v>2017.0</v>
      </c>
      <c r="I6940" s="1" t="s">
        <v>42</v>
      </c>
      <c r="J6940" s="1" t="s">
        <v>1191</v>
      </c>
      <c r="K6940" s="1" t="s">
        <v>34255</v>
      </c>
      <c r="L6940" s="1" t="s">
        <v>34256</v>
      </c>
      <c r="M6940" s="2" t="s">
        <v>12</v>
      </c>
      <c r="N6940" s="4">
        <f t="shared" si="1"/>
        <v>43102</v>
      </c>
      <c r="O6940" s="5" t="str">
        <f>IFERROR(__xludf.DUMMYFUNCTION("IF(REGEXMATCH(TRIM(I6940), ""^\d+\s*min""), ""Unclassified"", IF(I6940 = """", ""NR"", I6940))"),"TV-MA")</f>
        <v>TV-MA</v>
      </c>
      <c r="R6940" s="5" t="str">
        <f t="shared" si="2"/>
        <v>Haunters: The Art Of The Scare</v>
      </c>
      <c r="S6940" s="5" t="str">
        <f>IFERROR(__xludf.DUMMYFUNCTION("""COMPUTED_VALUE"""),"The Book Of Sun")</f>
        <v>The Book Of Sun</v>
      </c>
      <c r="V6940" s="5"/>
      <c r="Y6940" s="5" t="str">
        <f>IFERROR(__xludf.DUMMYFUNCTION("REGEXEXTRACT(J6940, ""^\d+"")"),"89")</f>
        <v>89</v>
      </c>
      <c r="Z6940" s="5" t="str">
        <f>IFERROR(__xludf.DUMMYFUNCTION("REGEXEXTRACT(J6940, ""[A-Za-z ]+$"")")," min")</f>
        <v> min</v>
      </c>
      <c r="AA6940" s="5" t="str">
        <f>IFERROR(__xludf.DUMMYFUNCTION("IF(REGEXMATCH(Z6940, ""Season""), ""TV Show"", ""Movie"")"),"Movie")</f>
        <v>Movie</v>
      </c>
    </row>
    <row r="6941">
      <c r="A6941" s="1" t="s">
        <v>34257</v>
      </c>
      <c r="B6941" s="1" t="s">
        <v>27</v>
      </c>
      <c r="C6941" s="1" t="s">
        <v>34258</v>
      </c>
      <c r="D6941" s="1" t="s">
        <v>3657</v>
      </c>
      <c r="E6941" s="1" t="s">
        <v>34259</v>
      </c>
      <c r="F6941" s="1" t="s">
        <v>30</v>
      </c>
      <c r="G6941" s="1" t="s">
        <v>21838</v>
      </c>
      <c r="H6941" s="1">
        <v>2018.0</v>
      </c>
      <c r="I6941" s="1" t="s">
        <v>42</v>
      </c>
      <c r="J6941" s="1" t="s">
        <v>416</v>
      </c>
      <c r="K6941" s="1" t="s">
        <v>7235</v>
      </c>
      <c r="L6941" s="1" t="s">
        <v>34260</v>
      </c>
      <c r="M6941" s="2" t="s">
        <v>12</v>
      </c>
      <c r="N6941" s="4">
        <f t="shared" si="1"/>
        <v>43525</v>
      </c>
      <c r="O6941" s="5" t="str">
        <f>IFERROR(__xludf.DUMMYFUNCTION("IF(REGEXMATCH(TRIM(I6941), ""^\d+\s*min""), ""Unclassified"", IF(I6941 = """", ""NR"", I6941))"),"TV-MA")</f>
        <v>TV-MA</v>
      </c>
      <c r="R6941" s="5" t="str">
        <f t="shared" si="2"/>
        <v>Haunting On Fraternity Row</v>
      </c>
      <c r="S6941" s="5" t="str">
        <f>IFERROR(__xludf.DUMMYFUNCTION("""COMPUTED_VALUE"""),"The Borgias")</f>
        <v>The Borgias</v>
      </c>
      <c r="V6941" s="5"/>
      <c r="Y6941" s="5" t="str">
        <f>IFERROR(__xludf.DUMMYFUNCTION("REGEXEXTRACT(J6941, ""^\d+"")"),"99")</f>
        <v>99</v>
      </c>
      <c r="Z6941" s="5" t="str">
        <f>IFERROR(__xludf.DUMMYFUNCTION("REGEXEXTRACT(J6941, ""[A-Za-z ]+$"")")," min")</f>
        <v> min</v>
      </c>
      <c r="AA6941" s="5" t="str">
        <f>IFERROR(__xludf.DUMMYFUNCTION("IF(REGEXMATCH(Z6941, ""Season""), ""TV Show"", ""Movie"")"),"Movie")</f>
        <v>Movie</v>
      </c>
    </row>
    <row r="6942">
      <c r="A6942" s="1" t="s">
        <v>34261</v>
      </c>
      <c r="B6942" s="1" t="s">
        <v>27</v>
      </c>
      <c r="C6942" s="1" t="s">
        <v>34262</v>
      </c>
      <c r="D6942" s="1" t="s">
        <v>6787</v>
      </c>
      <c r="E6942" s="1" t="s">
        <v>34263</v>
      </c>
      <c r="F6942" s="1" t="s">
        <v>221</v>
      </c>
      <c r="G6942" s="1" t="s">
        <v>22239</v>
      </c>
      <c r="H6942" s="1">
        <v>2017.0</v>
      </c>
      <c r="I6942" s="1" t="s">
        <v>42</v>
      </c>
      <c r="J6942" s="1" t="s">
        <v>1144</v>
      </c>
      <c r="K6942" s="1" t="s">
        <v>156</v>
      </c>
      <c r="L6942" s="1" t="s">
        <v>34264</v>
      </c>
      <c r="M6942" s="2" t="s">
        <v>12</v>
      </c>
      <c r="N6942" s="4">
        <f t="shared" si="1"/>
        <v>43497</v>
      </c>
      <c r="O6942" s="5" t="str">
        <f>IFERROR(__xludf.DUMMYFUNCTION("IF(REGEXMATCH(TRIM(I6942), ""^\d+\s*min""), ""Unclassified"", IF(I6942 = """", ""NR"", I6942))"),"TV-MA")</f>
        <v>TV-MA</v>
      </c>
      <c r="R6942" s="5" t="str">
        <f t="shared" si="2"/>
        <v>Have You Seen The Listers?</v>
      </c>
      <c r="S6942" s="5" t="str">
        <f>IFERROR(__xludf.DUMMYFUNCTION("""COMPUTED_VALUE"""),"The Boss Baby: Back In Business")</f>
        <v>The Boss Baby: Back In Business</v>
      </c>
      <c r="V6942" s="5"/>
      <c r="Y6942" s="5" t="str">
        <f>IFERROR(__xludf.DUMMYFUNCTION("REGEXEXTRACT(J6942, ""^\d+"")"),"86")</f>
        <v>86</v>
      </c>
      <c r="Z6942" s="5" t="str">
        <f>IFERROR(__xludf.DUMMYFUNCTION("REGEXEXTRACT(J6942, ""[A-Za-z ]+$"")")," min")</f>
        <v> min</v>
      </c>
      <c r="AA6942" s="5" t="str">
        <f>IFERROR(__xludf.DUMMYFUNCTION("IF(REGEXMATCH(Z6942, ""Season""), ""TV Show"", ""Movie"")"),"Movie")</f>
        <v>Movie</v>
      </c>
    </row>
    <row r="6943">
      <c r="A6943" s="1" t="s">
        <v>34265</v>
      </c>
      <c r="B6943" s="1" t="s">
        <v>37</v>
      </c>
      <c r="C6943" s="1" t="s">
        <v>34266</v>
      </c>
      <c r="E6943" s="1" t="s">
        <v>34267</v>
      </c>
      <c r="F6943" s="1" t="s">
        <v>1979</v>
      </c>
      <c r="G6943" s="1" t="s">
        <v>34268</v>
      </c>
      <c r="H6943" s="1">
        <v>2015.0</v>
      </c>
      <c r="I6943" s="1" t="s">
        <v>97</v>
      </c>
      <c r="J6943" s="1" t="s">
        <v>189</v>
      </c>
      <c r="K6943" s="1" t="s">
        <v>34269</v>
      </c>
      <c r="L6943" s="1" t="s">
        <v>34270</v>
      </c>
      <c r="M6943" s="2" t="s">
        <v>12</v>
      </c>
      <c r="N6943" s="1" t="str">
        <f t="shared" si="1"/>
        <v>#N/A</v>
      </c>
      <c r="O6943" s="5" t="str">
        <f>IFERROR(__xludf.DUMMYFUNCTION("IF(REGEXMATCH(TRIM(I6943), ""^\d+\s*min""), ""Unclassified"", IF(I6943 = """", ""NR"", I6943))"),"TV-14")</f>
        <v>TV-14</v>
      </c>
      <c r="R6943" s="5" t="str">
        <f t="shared" si="2"/>
        <v>Haven</v>
      </c>
      <c r="S6943" s="5" t="str">
        <f>IFERROR(__xludf.DUMMYFUNCTION("""COMPUTED_VALUE"""),"The Boss Baby: Get That Baby!")</f>
        <v>The Boss Baby: Get That Baby!</v>
      </c>
      <c r="V6943" s="5"/>
      <c r="Y6943" s="5" t="str">
        <f>IFERROR(__xludf.DUMMYFUNCTION("REGEXEXTRACT(J6943, ""^\d+"")"),"5")</f>
        <v>5</v>
      </c>
      <c r="Z6943" s="5" t="str">
        <f>IFERROR(__xludf.DUMMYFUNCTION("REGEXEXTRACT(J6943, ""[A-Za-z ]+$"")")," Seasons")</f>
        <v> Seasons</v>
      </c>
      <c r="AA6943" s="5" t="str">
        <f>IFERROR(__xludf.DUMMYFUNCTION("IF(REGEXMATCH(Z6943, ""Season""), ""TV Show"", ""Movie"")"),"TV Show")</f>
        <v>TV Show</v>
      </c>
    </row>
    <row r="6944">
      <c r="A6944" s="1" t="s">
        <v>34271</v>
      </c>
      <c r="B6944" s="1" t="s">
        <v>27</v>
      </c>
      <c r="C6944" s="1" t="s">
        <v>34272</v>
      </c>
      <c r="D6944" s="1" t="s">
        <v>1850</v>
      </c>
      <c r="E6944" s="1" t="s">
        <v>34273</v>
      </c>
      <c r="F6944" s="1" t="s">
        <v>30</v>
      </c>
      <c r="G6944" s="1" t="s">
        <v>27926</v>
      </c>
      <c r="H6944" s="1">
        <v>2016.0</v>
      </c>
      <c r="I6944" s="1" t="s">
        <v>42</v>
      </c>
      <c r="J6944" s="1" t="s">
        <v>471</v>
      </c>
      <c r="K6944" s="1" t="s">
        <v>3768</v>
      </c>
      <c r="L6944" s="1" t="s">
        <v>34274</v>
      </c>
      <c r="M6944" s="2" t="s">
        <v>12</v>
      </c>
      <c r="N6944" s="4">
        <f t="shared" si="1"/>
        <v>42896</v>
      </c>
      <c r="O6944" s="5" t="str">
        <f>IFERROR(__xludf.DUMMYFUNCTION("IF(REGEXMATCH(TRIM(I6944), ""^\d+\s*min""), ""Unclassified"", IF(I6944 = """", ""NR"", I6944))"),"TV-MA")</f>
        <v>TV-MA</v>
      </c>
      <c r="R6944" s="5" t="str">
        <f t="shared" si="2"/>
        <v>Havenhurst</v>
      </c>
      <c r="S6944" s="5" t="str">
        <f>IFERROR(__xludf.DUMMYFUNCTION("""COMPUTED_VALUE"""),"The Boss'S Daughter")</f>
        <v>The Boss'S Daughter</v>
      </c>
      <c r="V6944" s="5"/>
      <c r="Y6944" s="5" t="str">
        <f>IFERROR(__xludf.DUMMYFUNCTION("REGEXEXTRACT(J6944, ""^\d+"")"),"85")</f>
        <v>85</v>
      </c>
      <c r="Z6944" s="5" t="str">
        <f>IFERROR(__xludf.DUMMYFUNCTION("REGEXEXTRACT(J6944, ""[A-Za-z ]+$"")")," min")</f>
        <v> min</v>
      </c>
      <c r="AA6944" s="5" t="str">
        <f>IFERROR(__xludf.DUMMYFUNCTION("IF(REGEXMATCH(Z6944, ""Season""), ""TV Show"", ""Movie"")"),"Movie")</f>
        <v>Movie</v>
      </c>
    </row>
    <row r="6945">
      <c r="A6945" s="1" t="s">
        <v>34275</v>
      </c>
      <c r="B6945" s="1" t="s">
        <v>27</v>
      </c>
      <c r="C6945" s="1" t="s">
        <v>34276</v>
      </c>
      <c r="D6945" s="1" t="s">
        <v>18728</v>
      </c>
      <c r="E6945" s="1" t="s">
        <v>34277</v>
      </c>
      <c r="F6945" s="1" t="s">
        <v>34278</v>
      </c>
      <c r="G6945" s="1" t="s">
        <v>15941</v>
      </c>
      <c r="H6945" s="1">
        <v>2011.0</v>
      </c>
      <c r="I6945" s="1" t="s">
        <v>378</v>
      </c>
      <c r="J6945" s="1" t="s">
        <v>454</v>
      </c>
      <c r="K6945" s="1" t="s">
        <v>380</v>
      </c>
      <c r="L6945" s="1" t="s">
        <v>34279</v>
      </c>
      <c r="M6945" s="2" t="s">
        <v>12</v>
      </c>
      <c r="N6945" s="4">
        <f t="shared" si="1"/>
        <v>43891</v>
      </c>
      <c r="O6945" s="5" t="str">
        <f>IFERROR(__xludf.DUMMYFUNCTION("IF(REGEXMATCH(TRIM(I6945), ""^\d+\s*min""), ""Unclassified"", IF(I6945 = """", ""NR"", I6945))"),"R")</f>
        <v>R</v>
      </c>
      <c r="R6945" s="5" t="str">
        <f t="shared" si="2"/>
        <v>Haywire</v>
      </c>
      <c r="S6945" s="5" t="str">
        <f>IFERROR(__xludf.DUMMYFUNCTION("""COMPUTED_VALUE"""),"The Boulet Brothers Dragula")</f>
        <v>The Boulet Brothers Dragula</v>
      </c>
      <c r="V6945" s="5"/>
      <c r="Y6945" s="5" t="str">
        <f>IFERROR(__xludf.DUMMYFUNCTION("REGEXEXTRACT(J6945, ""^\d+"")"),"93")</f>
        <v>93</v>
      </c>
      <c r="Z6945" s="5" t="str">
        <f>IFERROR(__xludf.DUMMYFUNCTION("REGEXEXTRACT(J6945, ""[A-Za-z ]+$"")")," min")</f>
        <v> min</v>
      </c>
      <c r="AA6945" s="5" t="str">
        <f>IFERROR(__xludf.DUMMYFUNCTION("IF(REGEXMATCH(Z6945, ""Season""), ""TV Show"", ""Movie"")"),"Movie")</f>
        <v>Movie</v>
      </c>
    </row>
    <row r="6946">
      <c r="A6946" s="1" t="s">
        <v>34280</v>
      </c>
      <c r="B6946" s="1" t="s">
        <v>27</v>
      </c>
      <c r="C6946" s="1" t="s">
        <v>34281</v>
      </c>
      <c r="D6946" s="1" t="s">
        <v>6211</v>
      </c>
      <c r="E6946" s="1" t="s">
        <v>34282</v>
      </c>
      <c r="F6946" s="1" t="s">
        <v>34283</v>
      </c>
      <c r="G6946" s="1" t="s">
        <v>25390</v>
      </c>
      <c r="H6946" s="1">
        <v>2015.0</v>
      </c>
      <c r="I6946" s="1" t="s">
        <v>32</v>
      </c>
      <c r="J6946" s="1" t="s">
        <v>1191</v>
      </c>
      <c r="K6946" s="1" t="s">
        <v>34</v>
      </c>
      <c r="L6946" s="1" t="s">
        <v>34284</v>
      </c>
      <c r="M6946" s="2" t="s">
        <v>12</v>
      </c>
      <c r="N6946" s="4">
        <f t="shared" si="1"/>
        <v>43252</v>
      </c>
      <c r="O6946" s="5" t="str">
        <f>IFERROR(__xludf.DUMMYFUNCTION("IF(REGEXMATCH(TRIM(I6946), ""^\d+\s*min""), ""Unclassified"", IF(I6946 = """", ""NR"", I6946))"),"PG-13")</f>
        <v>PG-13</v>
      </c>
      <c r="R6946" s="5" t="str">
        <f t="shared" si="2"/>
        <v>He Named Me Malala</v>
      </c>
      <c r="S6946" s="5" t="str">
        <f>IFERROR(__xludf.DUMMYFUNCTION("""COMPUTED_VALUE"""),"The Bounty Hunter")</f>
        <v>The Bounty Hunter</v>
      </c>
      <c r="V6946" s="5"/>
      <c r="Y6946" s="5" t="str">
        <f>IFERROR(__xludf.DUMMYFUNCTION("REGEXEXTRACT(J6946, ""^\d+"")"),"89")</f>
        <v>89</v>
      </c>
      <c r="Z6946" s="5" t="str">
        <f>IFERROR(__xludf.DUMMYFUNCTION("REGEXEXTRACT(J6946, ""[A-Za-z ]+$"")")," min")</f>
        <v> min</v>
      </c>
      <c r="AA6946" s="5" t="str">
        <f>IFERROR(__xludf.DUMMYFUNCTION("IF(REGEXMATCH(Z6946, ""Season""), ""TV Show"", ""Movie"")"),"Movie")</f>
        <v>Movie</v>
      </c>
    </row>
    <row r="6947">
      <c r="A6947" s="1" t="s">
        <v>34285</v>
      </c>
      <c r="B6947" s="1" t="s">
        <v>27</v>
      </c>
      <c r="C6947" s="1" t="s">
        <v>34286</v>
      </c>
      <c r="D6947" s="1" t="s">
        <v>18469</v>
      </c>
      <c r="E6947" s="1" t="s">
        <v>34287</v>
      </c>
      <c r="F6947" s="1" t="s">
        <v>30</v>
      </c>
      <c r="G6947" s="1" t="s">
        <v>31476</v>
      </c>
      <c r="H6947" s="1">
        <v>2018.0</v>
      </c>
      <c r="I6947" s="1" t="s">
        <v>378</v>
      </c>
      <c r="J6947" s="1" t="s">
        <v>1191</v>
      </c>
      <c r="K6947" s="1" t="s">
        <v>3768</v>
      </c>
      <c r="L6947" s="1" t="s">
        <v>34288</v>
      </c>
      <c r="M6947" s="2" t="s">
        <v>12</v>
      </c>
      <c r="N6947" s="4">
        <f t="shared" si="1"/>
        <v>43477</v>
      </c>
      <c r="O6947" s="5" t="str">
        <f>IFERROR(__xludf.DUMMYFUNCTION("IF(REGEXMATCH(TRIM(I6947), ""^\d+\s*min""), ""Unclassified"", IF(I6947 = """", ""NR"", I6947))"),"R")</f>
        <v>R</v>
      </c>
      <c r="R6947" s="5" t="str">
        <f t="shared" si="2"/>
        <v>He'S Out There</v>
      </c>
      <c r="S6947" s="5" t="str">
        <f>IFERROR(__xludf.DUMMYFUNCTION("""COMPUTED_VALUE"""),"The Box")</f>
        <v>The Box</v>
      </c>
      <c r="V6947" s="5"/>
      <c r="Y6947" s="5" t="str">
        <f>IFERROR(__xludf.DUMMYFUNCTION("REGEXEXTRACT(J6947, ""^\d+"")"),"89")</f>
        <v>89</v>
      </c>
      <c r="Z6947" s="5" t="str">
        <f>IFERROR(__xludf.DUMMYFUNCTION("REGEXEXTRACT(J6947, ""[A-Za-z ]+$"")")," min")</f>
        <v> min</v>
      </c>
      <c r="AA6947" s="5" t="str">
        <f>IFERROR(__xludf.DUMMYFUNCTION("IF(REGEXMATCH(Z6947, ""Season""), ""TV Show"", ""Movie"")"),"Movie")</f>
        <v>Movie</v>
      </c>
    </row>
    <row r="6948">
      <c r="A6948" s="1" t="s">
        <v>34289</v>
      </c>
      <c r="B6948" s="1" t="s">
        <v>27</v>
      </c>
      <c r="C6948" s="1" t="s">
        <v>34290</v>
      </c>
      <c r="D6948" s="1" t="s">
        <v>6977</v>
      </c>
      <c r="E6948" s="1" t="s">
        <v>34291</v>
      </c>
      <c r="F6948" s="1" t="s">
        <v>30</v>
      </c>
      <c r="G6948" s="1" t="s">
        <v>19259</v>
      </c>
      <c r="H6948" s="1">
        <v>2018.0</v>
      </c>
      <c r="I6948" s="1" t="s">
        <v>42</v>
      </c>
      <c r="J6948" s="1" t="s">
        <v>33</v>
      </c>
      <c r="K6948" s="1" t="s">
        <v>7235</v>
      </c>
      <c r="L6948" s="1" t="s">
        <v>34292</v>
      </c>
      <c r="M6948" s="2" t="s">
        <v>12</v>
      </c>
      <c r="N6948" s="4">
        <f t="shared" si="1"/>
        <v>43721</v>
      </c>
      <c r="O6948" s="5" t="str">
        <f>IFERROR(__xludf.DUMMYFUNCTION("IF(REGEXMATCH(TRIM(I6948), ""^\d+\s*min""), ""Unclassified"", IF(I6948 = """", ""NR"", I6948))"),"TV-MA")</f>
        <v>TV-MA</v>
      </c>
      <c r="R6948" s="5" t="str">
        <f t="shared" si="2"/>
        <v>Head Count</v>
      </c>
      <c r="S6948" s="5" t="str">
        <f>IFERROR(__xludf.DUMMYFUNCTION("""COMPUTED_VALUE"""),"The Boy")</f>
        <v>The Boy</v>
      </c>
      <c r="V6948" s="5"/>
      <c r="Y6948" s="5" t="str">
        <f>IFERROR(__xludf.DUMMYFUNCTION("REGEXEXTRACT(J6948, ""^\d+"")"),"90")</f>
        <v>90</v>
      </c>
      <c r="Z6948" s="5" t="str">
        <f>IFERROR(__xludf.DUMMYFUNCTION("REGEXEXTRACT(J6948, ""[A-Za-z ]+$"")")," min")</f>
        <v> min</v>
      </c>
      <c r="AA6948" s="5" t="str">
        <f>IFERROR(__xludf.DUMMYFUNCTION("IF(REGEXMATCH(Z6948, ""Season""), ""TV Show"", ""Movie"")"),"Movie")</f>
        <v>Movie</v>
      </c>
    </row>
    <row r="6949">
      <c r="A6949" s="1" t="s">
        <v>34293</v>
      </c>
      <c r="B6949" s="1" t="s">
        <v>27</v>
      </c>
      <c r="C6949" s="1" t="s">
        <v>34294</v>
      </c>
      <c r="D6949" s="1" t="s">
        <v>1683</v>
      </c>
      <c r="E6949" s="1" t="s">
        <v>34295</v>
      </c>
      <c r="F6949" s="1" t="s">
        <v>221</v>
      </c>
      <c r="G6949" s="1" t="s">
        <v>24730</v>
      </c>
      <c r="H6949" s="1">
        <v>1998.0</v>
      </c>
      <c r="I6949" s="1" t="s">
        <v>42</v>
      </c>
      <c r="J6949" s="1" t="s">
        <v>106</v>
      </c>
      <c r="K6949" s="1" t="s">
        <v>4730</v>
      </c>
      <c r="L6949" s="1" t="s">
        <v>34296</v>
      </c>
      <c r="M6949" s="2" t="s">
        <v>12</v>
      </c>
      <c r="N6949" s="4">
        <f t="shared" si="1"/>
        <v>43337</v>
      </c>
      <c r="O6949" s="5" t="str">
        <f>IFERROR(__xludf.DUMMYFUNCTION("IF(REGEXMATCH(TRIM(I6949), ""^\d+\s*min""), ""Unclassified"", IF(I6949 = """", ""NR"", I6949))"),"TV-MA")</f>
        <v>TV-MA</v>
      </c>
      <c r="R6949" s="5" t="str">
        <f t="shared" si="2"/>
        <v>Head On</v>
      </c>
      <c r="S6949" s="5" t="str">
        <f>IFERROR(__xludf.DUMMYFUNCTION("""COMPUTED_VALUE"""),"The Boy In The Striped Pajamas")</f>
        <v>The Boy In The Striped Pajamas</v>
      </c>
      <c r="V6949" s="5"/>
      <c r="Y6949" s="5" t="str">
        <f>IFERROR(__xludf.DUMMYFUNCTION("REGEXEXTRACT(J6949, ""^\d+"")"),"104")</f>
        <v>104</v>
      </c>
      <c r="Z6949" s="5" t="str">
        <f>IFERROR(__xludf.DUMMYFUNCTION("REGEXEXTRACT(J6949, ""[A-Za-z ]+$"")")," min")</f>
        <v> min</v>
      </c>
      <c r="AA6949" s="5" t="str">
        <f>IFERROR(__xludf.DUMMYFUNCTION("IF(REGEXMATCH(Z6949, ""Season""), ""TV Show"", ""Movie"")"),"Movie")</f>
        <v>Movie</v>
      </c>
    </row>
    <row r="6950">
      <c r="A6950" s="1" t="s">
        <v>34297</v>
      </c>
      <c r="B6950" s="1" t="s">
        <v>27</v>
      </c>
      <c r="C6950" s="1" t="s">
        <v>34298</v>
      </c>
      <c r="D6950" s="1" t="s">
        <v>12670</v>
      </c>
      <c r="E6950" s="1" t="s">
        <v>34299</v>
      </c>
      <c r="F6950" s="1" t="s">
        <v>30</v>
      </c>
      <c r="G6950" s="1" t="s">
        <v>22239</v>
      </c>
      <c r="H6950" s="1">
        <v>2017.0</v>
      </c>
      <c r="I6950" s="1" t="s">
        <v>97</v>
      </c>
      <c r="J6950" s="1" t="s">
        <v>1256</v>
      </c>
      <c r="K6950" s="1" t="s">
        <v>34</v>
      </c>
      <c r="L6950" s="1" t="s">
        <v>34300</v>
      </c>
      <c r="M6950" s="2" t="s">
        <v>12</v>
      </c>
      <c r="N6950" s="4">
        <f t="shared" si="1"/>
        <v>43497</v>
      </c>
      <c r="O6950" s="5" t="str">
        <f>IFERROR(__xludf.DUMMYFUNCTION("IF(REGEXMATCH(TRIM(I6950), ""^\d+\s*min""), ""Unclassified"", IF(I6950 = """", ""NR"", I6950))"),"TV-14")</f>
        <v>TV-14</v>
      </c>
      <c r="R6950" s="5" t="str">
        <f t="shared" si="2"/>
        <v>Heal</v>
      </c>
      <c r="S6950" s="5" t="str">
        <f>IFERROR(__xludf.DUMMYFUNCTION("""COMPUTED_VALUE"""),"The Boy Who Cried Werewolf")</f>
        <v>The Boy Who Cried Werewolf</v>
      </c>
      <c r="V6950" s="5"/>
      <c r="Y6950" s="5" t="str">
        <f>IFERROR(__xludf.DUMMYFUNCTION("REGEXEXTRACT(J6950, ""^\d+"")"),"107")</f>
        <v>107</v>
      </c>
      <c r="Z6950" s="5" t="str">
        <f>IFERROR(__xludf.DUMMYFUNCTION("REGEXEXTRACT(J6950, ""[A-Za-z ]+$"")")," min")</f>
        <v> min</v>
      </c>
      <c r="AA6950" s="5" t="str">
        <f>IFERROR(__xludf.DUMMYFUNCTION("IF(REGEXMATCH(Z6950, ""Season""), ""TV Show"", ""Movie"")"),"Movie")</f>
        <v>Movie</v>
      </c>
    </row>
    <row r="6951">
      <c r="A6951" s="1" t="s">
        <v>34301</v>
      </c>
      <c r="B6951" s="1" t="s">
        <v>27</v>
      </c>
      <c r="C6951" s="1" t="s">
        <v>34302</v>
      </c>
      <c r="D6951" s="1" t="s">
        <v>6050</v>
      </c>
      <c r="E6951" s="1" t="s">
        <v>34303</v>
      </c>
      <c r="F6951" s="1" t="s">
        <v>30</v>
      </c>
      <c r="G6951" s="1" t="s">
        <v>17078</v>
      </c>
      <c r="H6951" s="1">
        <v>2001.0</v>
      </c>
      <c r="I6951" s="1" t="s">
        <v>32</v>
      </c>
      <c r="J6951" s="1" t="s">
        <v>341</v>
      </c>
      <c r="K6951" s="1" t="s">
        <v>813</v>
      </c>
      <c r="L6951" s="1" t="s">
        <v>34304</v>
      </c>
      <c r="M6951" s="2" t="s">
        <v>12</v>
      </c>
      <c r="N6951" s="4">
        <f t="shared" si="1"/>
        <v>43830</v>
      </c>
      <c r="O6951" s="5" t="str">
        <f>IFERROR(__xludf.DUMMYFUNCTION("IF(REGEXMATCH(TRIM(I6951), ""^\d+\s*min""), ""Unclassified"", IF(I6951 = """", ""NR"", I6951))"),"PG-13")</f>
        <v>PG-13</v>
      </c>
      <c r="R6951" s="5" t="str">
        <f t="shared" si="2"/>
        <v>Heartbreakers</v>
      </c>
      <c r="S6951" s="5" t="str">
        <f>IFERROR(__xludf.DUMMYFUNCTION("""COMPUTED_VALUE"""),"The Boy Who Harnessed The Wind")</f>
        <v>The Boy Who Harnessed The Wind</v>
      </c>
      <c r="V6951" s="5"/>
      <c r="Y6951" s="5" t="str">
        <f>IFERROR(__xludf.DUMMYFUNCTION("REGEXEXTRACT(J6951, ""^\d+"")"),"124")</f>
        <v>124</v>
      </c>
      <c r="Z6951" s="5" t="str">
        <f>IFERROR(__xludf.DUMMYFUNCTION("REGEXEXTRACT(J6951, ""[A-Za-z ]+$"")")," min")</f>
        <v> min</v>
      </c>
      <c r="AA6951" s="5" t="str">
        <f>IFERROR(__xludf.DUMMYFUNCTION("IF(REGEXMATCH(Z6951, ""Season""), ""TV Show"", ""Movie"")"),"Movie")</f>
        <v>Movie</v>
      </c>
    </row>
    <row r="6952">
      <c r="A6952" s="1" t="s">
        <v>34305</v>
      </c>
      <c r="B6952" s="1" t="s">
        <v>27</v>
      </c>
      <c r="C6952" s="1" t="s">
        <v>34306</v>
      </c>
      <c r="D6952" s="1" t="s">
        <v>4805</v>
      </c>
      <c r="E6952" s="1" t="s">
        <v>34307</v>
      </c>
      <c r="F6952" s="1" t="s">
        <v>30</v>
      </c>
      <c r="G6952" s="1" t="s">
        <v>26481</v>
      </c>
      <c r="H6952" s="1">
        <v>2017.0</v>
      </c>
      <c r="I6952" s="1" t="s">
        <v>42</v>
      </c>
      <c r="J6952" s="1" t="s">
        <v>630</v>
      </c>
      <c r="K6952" s="1" t="s">
        <v>171</v>
      </c>
      <c r="L6952" s="1" t="s">
        <v>34308</v>
      </c>
      <c r="M6952" s="2" t="s">
        <v>12</v>
      </c>
      <c r="N6952" s="4">
        <f t="shared" si="1"/>
        <v>43101</v>
      </c>
      <c r="O6952" s="5" t="str">
        <f>IFERROR(__xludf.DUMMYFUNCTION("IF(REGEXMATCH(TRIM(I6952), ""^\d+\s*min""), ""Unclassified"", IF(I6952 = """", ""NR"", I6952))"),"TV-MA")</f>
        <v>TV-MA</v>
      </c>
      <c r="R6952" s="5" t="str">
        <f t="shared" si="2"/>
        <v>Heartthrob</v>
      </c>
      <c r="S6952" s="5" t="str">
        <f>IFERROR(__xludf.DUMMYFUNCTION("""COMPUTED_VALUE"""),"The Boys In The Band")</f>
        <v>The Boys In The Band</v>
      </c>
      <c r="V6952" s="5"/>
      <c r="Y6952" s="5" t="str">
        <f>IFERROR(__xludf.DUMMYFUNCTION("REGEXEXTRACT(J6952, ""^\d+"")"),"87")</f>
        <v>87</v>
      </c>
      <c r="Z6952" s="5" t="str">
        <f>IFERROR(__xludf.DUMMYFUNCTION("REGEXEXTRACT(J6952, ""[A-Za-z ]+$"")")," min")</f>
        <v> min</v>
      </c>
      <c r="AA6952" s="5" t="str">
        <f>IFERROR(__xludf.DUMMYFUNCTION("IF(REGEXMATCH(Z6952, ""Season""), ""TV Show"", ""Movie"")"),"Movie")</f>
        <v>Movie</v>
      </c>
    </row>
    <row r="6953">
      <c r="A6953" s="1" t="s">
        <v>34309</v>
      </c>
      <c r="B6953" s="1" t="s">
        <v>37</v>
      </c>
      <c r="C6953" s="1" t="s">
        <v>34310</v>
      </c>
      <c r="E6953" s="1" t="s">
        <v>34311</v>
      </c>
      <c r="F6953" s="1" t="s">
        <v>1106</v>
      </c>
      <c r="G6953" s="1" t="s">
        <v>25308</v>
      </c>
      <c r="H6953" s="1">
        <v>2018.0</v>
      </c>
      <c r="I6953" s="1" t="s">
        <v>42</v>
      </c>
      <c r="J6953" s="1" t="s">
        <v>43</v>
      </c>
      <c r="K6953" s="1" t="s">
        <v>1520</v>
      </c>
      <c r="L6953" s="1" t="s">
        <v>34312</v>
      </c>
      <c r="M6953" s="2" t="s">
        <v>12</v>
      </c>
      <c r="N6953" s="4">
        <f t="shared" si="1"/>
        <v>43273</v>
      </c>
      <c r="O6953" s="5" t="str">
        <f>IFERROR(__xludf.DUMMYFUNCTION("IF(REGEXMATCH(TRIM(I6953), ""^\d+\s*min""), ""Unclassified"", IF(I6953 = """", ""NR"", I6953))"),"TV-MA")</f>
        <v>TV-MA</v>
      </c>
      <c r="R6953" s="5" t="str">
        <f t="shared" si="2"/>
        <v>Heavy Rescue: 401</v>
      </c>
      <c r="S6953" s="5" t="str">
        <f>IFERROR(__xludf.DUMMYFUNCTION("""COMPUTED_VALUE"""),"The Boys In The Band: Something Personal")</f>
        <v>The Boys In The Band: Something Personal</v>
      </c>
      <c r="V6953" s="5"/>
      <c r="Y6953" s="5" t="str">
        <f>IFERROR(__xludf.DUMMYFUNCTION("REGEXEXTRACT(J6953, ""^\d+"")"),"2")</f>
        <v>2</v>
      </c>
      <c r="Z6953" s="5" t="str">
        <f>IFERROR(__xludf.DUMMYFUNCTION("REGEXEXTRACT(J6953, ""[A-Za-z ]+$"")")," Seasons")</f>
        <v> Seasons</v>
      </c>
      <c r="AA6953" s="5" t="str">
        <f>IFERROR(__xludf.DUMMYFUNCTION("IF(REGEXMATCH(Z6953, ""Season""), ""TV Show"", ""Movie"")"),"TV Show")</f>
        <v>TV Show</v>
      </c>
    </row>
    <row r="6954">
      <c r="A6954" s="1" t="s">
        <v>34313</v>
      </c>
      <c r="B6954" s="1" t="s">
        <v>27</v>
      </c>
      <c r="C6954" s="1" t="s">
        <v>34314</v>
      </c>
      <c r="D6954" s="1" t="s">
        <v>9446</v>
      </c>
      <c r="E6954" s="1" t="s">
        <v>34315</v>
      </c>
      <c r="F6954" s="1" t="s">
        <v>2296</v>
      </c>
      <c r="G6954" s="1" t="s">
        <v>21360</v>
      </c>
      <c r="H6954" s="1">
        <v>2016.0</v>
      </c>
      <c r="I6954" s="1" t="s">
        <v>78</v>
      </c>
      <c r="J6954" s="1" t="s">
        <v>170</v>
      </c>
      <c r="K6954" s="1" t="s">
        <v>80</v>
      </c>
      <c r="L6954" s="1" t="s">
        <v>34316</v>
      </c>
      <c r="M6954" s="2" t="s">
        <v>12</v>
      </c>
      <c r="N6954" s="4">
        <f t="shared" si="1"/>
        <v>43556</v>
      </c>
      <c r="O6954" s="5" t="str">
        <f>IFERROR(__xludf.DUMMYFUNCTION("IF(REGEXMATCH(TRIM(I6954), ""^\d+\s*min""), ""Unclassified"", IF(I6954 = """", ""NR"", I6954))"),"PG")</f>
        <v>PG</v>
      </c>
      <c r="R6954" s="5" t="str">
        <f t="shared" si="2"/>
        <v>Hedgehogs</v>
      </c>
      <c r="S6954" s="5" t="str">
        <f>IFERROR(__xludf.DUMMYFUNCTION("""COMPUTED_VALUE"""),"The Brave")</f>
        <v>The Brave</v>
      </c>
      <c r="V6954" s="5"/>
      <c r="Y6954" s="5" t="str">
        <f>IFERROR(__xludf.DUMMYFUNCTION("REGEXEXTRACT(J6954, ""^\d+"")"),"94")</f>
        <v>94</v>
      </c>
      <c r="Z6954" s="5" t="str">
        <f>IFERROR(__xludf.DUMMYFUNCTION("REGEXEXTRACT(J6954, ""[A-Za-z ]+$"")")," min")</f>
        <v> min</v>
      </c>
      <c r="AA6954" s="5" t="str">
        <f>IFERROR(__xludf.DUMMYFUNCTION("IF(REGEXMATCH(Z6954, ""Season""), ""TV Show"", ""Movie"")"),"Movie")</f>
        <v>Movie</v>
      </c>
    </row>
    <row r="6955">
      <c r="A6955" s="1" t="s">
        <v>34317</v>
      </c>
      <c r="B6955" s="1" t="s">
        <v>37</v>
      </c>
      <c r="C6955" s="1" t="s">
        <v>34318</v>
      </c>
      <c r="E6955" s="1" t="s">
        <v>34319</v>
      </c>
      <c r="F6955" s="1" t="s">
        <v>897</v>
      </c>
      <c r="G6955" s="1" t="s">
        <v>23468</v>
      </c>
      <c r="H6955" s="1">
        <v>2015.0</v>
      </c>
      <c r="I6955" s="1" t="s">
        <v>42</v>
      </c>
      <c r="J6955" s="1" t="s">
        <v>51</v>
      </c>
      <c r="K6955" s="1" t="s">
        <v>8657</v>
      </c>
      <c r="L6955" s="1" t="s">
        <v>34320</v>
      </c>
      <c r="M6955" s="2" t="s">
        <v>12</v>
      </c>
      <c r="N6955" s="4">
        <f t="shared" si="1"/>
        <v>43414</v>
      </c>
      <c r="O6955" s="5" t="str">
        <f>IFERROR(__xludf.DUMMYFUNCTION("IF(REGEXMATCH(TRIM(I6955), ""^\d+\s*min""), ""Unclassified"", IF(I6955 = """", ""NR"", I6955))"),"TV-MA")</f>
        <v>TV-MA</v>
      </c>
      <c r="R6955" s="5" t="str">
        <f t="shared" si="2"/>
        <v>Helix</v>
      </c>
      <c r="S6955" s="5" t="str">
        <f>IFERROR(__xludf.DUMMYFUNCTION("""COMPUTED_VALUE"""),"The Brave One")</f>
        <v>The Brave One</v>
      </c>
      <c r="V6955" s="5"/>
      <c r="Y6955" s="5" t="str">
        <f>IFERROR(__xludf.DUMMYFUNCTION("REGEXEXTRACT(J6955, ""^\d+"")"),"1")</f>
        <v>1</v>
      </c>
      <c r="Z6955" s="5" t="str">
        <f>IFERROR(__xludf.DUMMYFUNCTION("REGEXEXTRACT(J6955, ""[A-Za-z ]+$"")")," Season")</f>
        <v> Season</v>
      </c>
      <c r="AA6955" s="5" t="str">
        <f>IFERROR(__xludf.DUMMYFUNCTION("IF(REGEXMATCH(Z6955, ""Season""), ""TV Show"", ""Movie"")"),"TV Show")</f>
        <v>TV Show</v>
      </c>
    </row>
    <row r="6956">
      <c r="A6956" s="1" t="s">
        <v>34321</v>
      </c>
      <c r="B6956" s="1" t="s">
        <v>27</v>
      </c>
      <c r="C6956" s="1" t="s">
        <v>34322</v>
      </c>
      <c r="D6956" s="1" t="s">
        <v>22709</v>
      </c>
      <c r="E6956" s="1" t="s">
        <v>34323</v>
      </c>
      <c r="F6956" s="1" t="s">
        <v>30</v>
      </c>
      <c r="G6956" s="1" t="s">
        <v>24630</v>
      </c>
      <c r="H6956" s="1">
        <v>2015.0</v>
      </c>
      <c r="I6956" s="1" t="s">
        <v>378</v>
      </c>
      <c r="J6956" s="1" t="s">
        <v>1144</v>
      </c>
      <c r="K6956" s="1" t="s">
        <v>8798</v>
      </c>
      <c r="L6956" s="1" t="s">
        <v>34324</v>
      </c>
      <c r="M6956" s="2" t="s">
        <v>12</v>
      </c>
      <c r="N6956" s="4">
        <f t="shared" si="1"/>
        <v>43349</v>
      </c>
      <c r="O6956" s="5" t="str">
        <f>IFERROR(__xludf.DUMMYFUNCTION("IF(REGEXMATCH(TRIM(I6956), ""^\d+\s*min""), ""Unclassified"", IF(I6956 = """", ""NR"", I6956))"),"R")</f>
        <v>R</v>
      </c>
      <c r="R6956" s="5" t="str">
        <f t="shared" si="2"/>
        <v>Hell And Back</v>
      </c>
      <c r="S6956" s="5" t="str">
        <f>IFERROR(__xludf.DUMMYFUNCTION("""COMPUTED_VALUE"""),"The Brawler")</f>
        <v>The Brawler</v>
      </c>
      <c r="V6956" s="5"/>
      <c r="Y6956" s="5" t="str">
        <f>IFERROR(__xludf.DUMMYFUNCTION("REGEXEXTRACT(J6956, ""^\d+"")"),"86")</f>
        <v>86</v>
      </c>
      <c r="Z6956" s="5" t="str">
        <f>IFERROR(__xludf.DUMMYFUNCTION("REGEXEXTRACT(J6956, ""[A-Za-z ]+$"")")," min")</f>
        <v> min</v>
      </c>
      <c r="AA6956" s="5" t="str">
        <f>IFERROR(__xludf.DUMMYFUNCTION("IF(REGEXMATCH(Z6956, ""Season""), ""TV Show"", ""Movie"")"),"Movie")</f>
        <v>Movie</v>
      </c>
    </row>
    <row r="6957">
      <c r="A6957" s="1" t="s">
        <v>34325</v>
      </c>
      <c r="B6957" s="1" t="s">
        <v>37</v>
      </c>
      <c r="C6957" s="1" t="s">
        <v>34326</v>
      </c>
      <c r="E6957" s="1" t="s">
        <v>34327</v>
      </c>
      <c r="F6957" s="1" t="s">
        <v>10484</v>
      </c>
      <c r="G6957" s="7">
        <v>42518.0</v>
      </c>
      <c r="H6957" s="1">
        <v>2016.0</v>
      </c>
      <c r="I6957" s="1" t="s">
        <v>97</v>
      </c>
      <c r="J6957" s="1" t="s">
        <v>189</v>
      </c>
      <c r="K6957" s="1" t="s">
        <v>16414</v>
      </c>
      <c r="L6957" s="1" t="s">
        <v>34328</v>
      </c>
      <c r="M6957" s="2" t="s">
        <v>12</v>
      </c>
      <c r="N6957" s="4">
        <f t="shared" si="1"/>
        <v>42518</v>
      </c>
      <c r="O6957" s="5" t="str">
        <f>IFERROR(__xludf.DUMMYFUNCTION("IF(REGEXMATCH(TRIM(I6957), ""^\d+\s*min""), ""Unclassified"", IF(I6957 = """", ""NR"", I6957))"),"TV-14")</f>
        <v>TV-14</v>
      </c>
      <c r="R6957" s="5" t="str">
        <f t="shared" si="2"/>
        <v>Hell On Wheels</v>
      </c>
      <c r="S6957" s="5" t="str">
        <f>IFERROR(__xludf.DUMMYFUNCTION("""COMPUTED_VALUE"""),"The Breadwinner")</f>
        <v>The Breadwinner</v>
      </c>
      <c r="V6957" s="5"/>
      <c r="Y6957" s="5" t="str">
        <f>IFERROR(__xludf.DUMMYFUNCTION("REGEXEXTRACT(J6957, ""^\d+"")"),"5")</f>
        <v>5</v>
      </c>
      <c r="Z6957" s="5" t="str">
        <f>IFERROR(__xludf.DUMMYFUNCTION("REGEXEXTRACT(J6957, ""[A-Za-z ]+$"")")," Seasons")</f>
        <v> Seasons</v>
      </c>
      <c r="AA6957" s="5" t="str">
        <f>IFERROR(__xludf.DUMMYFUNCTION("IF(REGEXMATCH(Z6957, ""Season""), ""TV Show"", ""Movie"")"),"TV Show")</f>
        <v>TV Show</v>
      </c>
    </row>
    <row r="6958">
      <c r="A6958" s="1" t="s">
        <v>34329</v>
      </c>
      <c r="B6958" s="1" t="s">
        <v>27</v>
      </c>
      <c r="C6958" s="1" t="s">
        <v>34330</v>
      </c>
      <c r="D6958" s="1" t="s">
        <v>6030</v>
      </c>
      <c r="E6958" s="1" t="s">
        <v>34331</v>
      </c>
      <c r="F6958" s="1" t="s">
        <v>30</v>
      </c>
      <c r="G6958" s="1" t="s">
        <v>22635</v>
      </c>
      <c r="H6958" s="1">
        <v>2016.0</v>
      </c>
      <c r="I6958" s="1" t="s">
        <v>378</v>
      </c>
      <c r="J6958" s="1" t="s">
        <v>447</v>
      </c>
      <c r="K6958" s="1" t="s">
        <v>1320</v>
      </c>
      <c r="L6958" s="1" t="s">
        <v>34332</v>
      </c>
      <c r="M6958" s="2" t="s">
        <v>12</v>
      </c>
      <c r="N6958" s="4">
        <f t="shared" si="1"/>
        <v>43466</v>
      </c>
      <c r="O6958" s="5" t="str">
        <f>IFERROR(__xludf.DUMMYFUNCTION("IF(REGEXMATCH(TRIM(I6958), ""^\d+\s*min""), ""Unclassified"", IF(I6958 = """", ""NR"", I6958))"),"R")</f>
        <v>R</v>
      </c>
      <c r="R6958" s="5" t="str">
        <f t="shared" si="2"/>
        <v>Hell Or High Water</v>
      </c>
      <c r="S6958" s="5" t="str">
        <f>IFERROR(__xludf.DUMMYFUNCTION("""COMPUTED_VALUE"""),"The Break")</f>
        <v>The Break</v>
      </c>
      <c r="V6958" s="5"/>
      <c r="Y6958" s="5" t="str">
        <f>IFERROR(__xludf.DUMMYFUNCTION("REGEXEXTRACT(J6958, ""^\d+"")"),"102")</f>
        <v>102</v>
      </c>
      <c r="Z6958" s="5" t="str">
        <f>IFERROR(__xludf.DUMMYFUNCTION("REGEXEXTRACT(J6958, ""[A-Za-z ]+$"")")," min")</f>
        <v> min</v>
      </c>
      <c r="AA6958" s="5" t="str">
        <f>IFERROR(__xludf.DUMMYFUNCTION("IF(REGEXMATCH(Z6958, ""Season""), ""TV Show"", ""Movie"")"),"Movie")</f>
        <v>Movie</v>
      </c>
    </row>
    <row r="6959">
      <c r="A6959" s="1" t="s">
        <v>34333</v>
      </c>
      <c r="B6959" s="1" t="s">
        <v>27</v>
      </c>
      <c r="C6959" s="1" t="s">
        <v>34334</v>
      </c>
      <c r="D6959" s="1" t="s">
        <v>6133</v>
      </c>
      <c r="E6959" s="1" t="s">
        <v>34335</v>
      </c>
      <c r="F6959" s="1" t="s">
        <v>30</v>
      </c>
      <c r="G6959" s="1" t="s">
        <v>23134</v>
      </c>
      <c r="H6959" s="1">
        <v>2004.0</v>
      </c>
      <c r="I6959" s="1" t="s">
        <v>32</v>
      </c>
      <c r="J6959" s="1" t="s">
        <v>393</v>
      </c>
      <c r="K6959" s="1" t="s">
        <v>4754</v>
      </c>
      <c r="L6959" s="1" t="s">
        <v>34336</v>
      </c>
      <c r="M6959" s="2" t="s">
        <v>12</v>
      </c>
      <c r="N6959" s="4">
        <f t="shared" si="1"/>
        <v>43435</v>
      </c>
      <c r="O6959" s="5" t="str">
        <f>IFERROR(__xludf.DUMMYFUNCTION("IF(REGEXMATCH(TRIM(I6959), ""^\d+\s*min""), ""Unclassified"", IF(I6959 = """", ""NR"", I6959))"),"PG-13")</f>
        <v>PG-13</v>
      </c>
      <c r="R6959" s="5" t="str">
        <f t="shared" si="2"/>
        <v>Hellboy</v>
      </c>
      <c r="S6959" s="5" t="str">
        <f>IFERROR(__xludf.DUMMYFUNCTION("""COMPUTED_VALUE"""),"The Break With Michelle Wolf")</f>
        <v>The Break With Michelle Wolf</v>
      </c>
      <c r="V6959" s="5"/>
      <c r="Y6959" s="5" t="str">
        <f>IFERROR(__xludf.DUMMYFUNCTION("REGEXEXTRACT(J6959, ""^\d+"")"),"122")</f>
        <v>122</v>
      </c>
      <c r="Z6959" s="5" t="str">
        <f>IFERROR(__xludf.DUMMYFUNCTION("REGEXEXTRACT(J6959, ""[A-Za-z ]+$"")")," min")</f>
        <v> min</v>
      </c>
      <c r="AA6959" s="5" t="str">
        <f>IFERROR(__xludf.DUMMYFUNCTION("IF(REGEXMATCH(Z6959, ""Season""), ""TV Show"", ""Movie"")"),"Movie")</f>
        <v>Movie</v>
      </c>
    </row>
    <row r="6960">
      <c r="A6960" s="1" t="s">
        <v>34337</v>
      </c>
      <c r="B6960" s="1" t="s">
        <v>27</v>
      </c>
      <c r="C6960" s="1" t="s">
        <v>34338</v>
      </c>
      <c r="D6960" s="1" t="s">
        <v>20049</v>
      </c>
      <c r="E6960" s="1" t="s">
        <v>34339</v>
      </c>
      <c r="F6960" s="1" t="s">
        <v>30</v>
      </c>
      <c r="G6960" s="1" t="s">
        <v>34340</v>
      </c>
      <c r="H6960" s="1">
        <v>2013.0</v>
      </c>
      <c r="I6960" s="1" t="s">
        <v>378</v>
      </c>
      <c r="J6960" s="1" t="s">
        <v>3458</v>
      </c>
      <c r="K6960" s="1" t="s">
        <v>3815</v>
      </c>
      <c r="L6960" s="1" t="s">
        <v>34341</v>
      </c>
      <c r="M6960" s="2" t="s">
        <v>12</v>
      </c>
      <c r="N6960" s="4">
        <f t="shared" si="1"/>
        <v>43310</v>
      </c>
      <c r="O6960" s="5" t="str">
        <f>IFERROR(__xludf.DUMMYFUNCTION("IF(REGEXMATCH(TRIM(I6960), ""^\d+\s*min""), ""Unclassified"", IF(I6960 = """", ""NR"", I6960))"),"R")</f>
        <v>R</v>
      </c>
      <c r="R6960" s="5" t="str">
        <f t="shared" si="2"/>
        <v>Her</v>
      </c>
      <c r="S6960" s="5" t="str">
        <f>IFERROR(__xludf.DUMMYFUNCTION("""COMPUTED_VALUE"""),"The Break-Up")</f>
        <v>The Break-Up</v>
      </c>
      <c r="V6960" s="5"/>
      <c r="Y6960" s="5" t="str">
        <f>IFERROR(__xludf.DUMMYFUNCTION("REGEXEXTRACT(J6960, ""^\d+"")"),"126")</f>
        <v>126</v>
      </c>
      <c r="Z6960" s="5" t="str">
        <f>IFERROR(__xludf.DUMMYFUNCTION("REGEXEXTRACT(J6960, ""[A-Za-z ]+$"")")," min")</f>
        <v> min</v>
      </c>
      <c r="AA6960" s="5" t="str">
        <f>IFERROR(__xludf.DUMMYFUNCTION("IF(REGEXMATCH(Z6960, ""Season""), ""TV Show"", ""Movie"")"),"Movie")</f>
        <v>Movie</v>
      </c>
    </row>
    <row r="6961">
      <c r="A6961" s="1" t="s">
        <v>34342</v>
      </c>
      <c r="B6961" s="1" t="s">
        <v>27</v>
      </c>
      <c r="C6961" s="1" t="s">
        <v>34343</v>
      </c>
      <c r="D6961" s="1" t="s">
        <v>4837</v>
      </c>
      <c r="E6961" s="1" t="s">
        <v>34344</v>
      </c>
      <c r="F6961" s="1" t="s">
        <v>30</v>
      </c>
      <c r="G6961" s="7">
        <v>43587.0</v>
      </c>
      <c r="H6961" s="1">
        <v>2018.0</v>
      </c>
      <c r="I6961" s="1" t="s">
        <v>97</v>
      </c>
      <c r="J6961" s="1" t="s">
        <v>630</v>
      </c>
      <c r="K6961" s="1" t="s">
        <v>805</v>
      </c>
      <c r="L6961" s="1" t="s">
        <v>34345</v>
      </c>
      <c r="M6961" s="2" t="s">
        <v>12</v>
      </c>
      <c r="N6961" s="4">
        <f t="shared" si="1"/>
        <v>43587</v>
      </c>
      <c r="O6961" s="5" t="str">
        <f>IFERROR(__xludf.DUMMYFUNCTION("IF(REGEXMATCH(TRIM(I6961), ""^\d+\s*min""), ""Unclassified"", IF(I6961 = """", ""NR"", I6961))"),"TV-14")</f>
        <v>TV-14</v>
      </c>
      <c r="R6961" s="5" t="str">
        <f t="shared" si="2"/>
        <v>Her Only Choice</v>
      </c>
      <c r="S6961" s="5" t="str">
        <f>IFERROR(__xludf.DUMMYFUNCTION("""COMPUTED_VALUE"""),"The Breaker Upperers")</f>
        <v>The Breaker Upperers</v>
      </c>
      <c r="V6961" s="5"/>
      <c r="Y6961" s="5" t="str">
        <f>IFERROR(__xludf.DUMMYFUNCTION("REGEXEXTRACT(J6961, ""^\d+"")"),"87")</f>
        <v>87</v>
      </c>
      <c r="Z6961" s="5" t="str">
        <f>IFERROR(__xludf.DUMMYFUNCTION("REGEXEXTRACT(J6961, ""[A-Za-z ]+$"")")," min")</f>
        <v> min</v>
      </c>
      <c r="AA6961" s="5" t="str">
        <f>IFERROR(__xludf.DUMMYFUNCTION("IF(REGEXMATCH(Z6961, ""Season""), ""TV Show"", ""Movie"")"),"Movie")</f>
        <v>Movie</v>
      </c>
    </row>
    <row r="6962">
      <c r="A6962" s="1" t="s">
        <v>34346</v>
      </c>
      <c r="B6962" s="1" t="s">
        <v>27</v>
      </c>
      <c r="C6962" s="1" t="s">
        <v>34347</v>
      </c>
      <c r="D6962" s="1" t="s">
        <v>15333</v>
      </c>
      <c r="E6962" s="1" t="s">
        <v>34348</v>
      </c>
      <c r="F6962" s="1" t="s">
        <v>63</v>
      </c>
      <c r="G6962" s="1" t="s">
        <v>17078</v>
      </c>
      <c r="H6962" s="1">
        <v>1976.0</v>
      </c>
      <c r="I6962" s="1" t="s">
        <v>97</v>
      </c>
      <c r="J6962" s="1" t="s">
        <v>1235</v>
      </c>
      <c r="K6962" s="1" t="s">
        <v>617</v>
      </c>
      <c r="L6962" s="1" t="s">
        <v>34349</v>
      </c>
      <c r="M6962" s="2" t="s">
        <v>12</v>
      </c>
      <c r="N6962" s="4">
        <f t="shared" si="1"/>
        <v>43830</v>
      </c>
      <c r="O6962" s="5" t="str">
        <f>IFERROR(__xludf.DUMMYFUNCTION("IF(REGEXMATCH(TRIM(I6962), ""^\d+\s*min""), ""Unclassified"", IF(I6962 = """", ""NR"", I6962))"),"TV-14")</f>
        <v>TV-14</v>
      </c>
      <c r="R6962" s="5" t="str">
        <f t="shared" si="2"/>
        <v>Hera Pheri</v>
      </c>
      <c r="S6962" s="5" t="str">
        <f>IFERROR(__xludf.DUMMYFUNCTION("""COMPUTED_VALUE"""),"The Breakup Playlist")</f>
        <v>The Breakup Playlist</v>
      </c>
      <c r="V6962" s="5"/>
      <c r="Y6962" s="5" t="str">
        <f>IFERROR(__xludf.DUMMYFUNCTION("REGEXEXTRACT(J6962, ""^\d+"")"),"156")</f>
        <v>156</v>
      </c>
      <c r="Z6962" s="5" t="str">
        <f>IFERROR(__xludf.DUMMYFUNCTION("REGEXEXTRACT(J6962, ""[A-Za-z ]+$"")")," min")</f>
        <v> min</v>
      </c>
      <c r="AA6962" s="5" t="str">
        <f>IFERROR(__xludf.DUMMYFUNCTION("IF(REGEXMATCH(Z6962, ""Season""), ""TV Show"", ""Movie"")"),"Movie")</f>
        <v>Movie</v>
      </c>
    </row>
    <row r="6963">
      <c r="A6963" s="1" t="s">
        <v>34350</v>
      </c>
      <c r="B6963" s="1" t="s">
        <v>27</v>
      </c>
      <c r="C6963" s="1" t="s">
        <v>34351</v>
      </c>
      <c r="D6963" s="1" t="s">
        <v>19600</v>
      </c>
      <c r="E6963" s="1" t="s">
        <v>34352</v>
      </c>
      <c r="F6963" s="1" t="s">
        <v>30</v>
      </c>
      <c r="G6963" s="1" t="s">
        <v>27735</v>
      </c>
      <c r="H6963" s="1">
        <v>2016.0</v>
      </c>
      <c r="I6963" s="1" t="s">
        <v>42</v>
      </c>
      <c r="J6963" s="1" t="s">
        <v>247</v>
      </c>
      <c r="K6963" s="1" t="s">
        <v>1551</v>
      </c>
      <c r="L6963" s="1" t="s">
        <v>34353</v>
      </c>
      <c r="M6963" s="2" t="s">
        <v>12</v>
      </c>
      <c r="N6963" s="4">
        <f t="shared" si="1"/>
        <v>42917</v>
      </c>
      <c r="O6963" s="5" t="str">
        <f>IFERROR(__xludf.DUMMYFUNCTION("IF(REGEXMATCH(TRIM(I6963), ""^\d+\s*min""), ""Unclassified"", IF(I6963 = """", ""NR"", I6963))"),"TV-MA")</f>
        <v>TV-MA</v>
      </c>
      <c r="R6963" s="5" t="str">
        <f t="shared" si="2"/>
        <v>Here Alone</v>
      </c>
      <c r="S6963" s="5" t="str">
        <f>IFERROR(__xludf.DUMMYFUNCTION("""COMPUTED_VALUE"""),"The Bride Of Habaek")</f>
        <v>The Bride Of Habaek</v>
      </c>
      <c r="V6963" s="5"/>
      <c r="Y6963" s="5" t="str">
        <f>IFERROR(__xludf.DUMMYFUNCTION("REGEXEXTRACT(J6963, ""^\d+"")"),"97")</f>
        <v>97</v>
      </c>
      <c r="Z6963" s="5" t="str">
        <f>IFERROR(__xludf.DUMMYFUNCTION("REGEXEXTRACT(J6963, ""[A-Za-z ]+$"")")," min")</f>
        <v> min</v>
      </c>
      <c r="AA6963" s="5" t="str">
        <f>IFERROR(__xludf.DUMMYFUNCTION("IF(REGEXMATCH(Z6963, ""Season""), ""TV Show"", ""Movie"")"),"Movie")</f>
        <v>Movie</v>
      </c>
    </row>
    <row r="6964">
      <c r="A6964" s="1" t="s">
        <v>34354</v>
      </c>
      <c r="B6964" s="1" t="s">
        <v>27</v>
      </c>
      <c r="C6964" s="1" t="s">
        <v>34355</v>
      </c>
      <c r="D6964" s="1" t="s">
        <v>5193</v>
      </c>
      <c r="E6964" s="1" t="s">
        <v>34356</v>
      </c>
      <c r="F6964" s="1" t="s">
        <v>12646</v>
      </c>
      <c r="G6964" s="1" t="s">
        <v>24964</v>
      </c>
      <c r="H6964" s="1">
        <v>1997.0</v>
      </c>
      <c r="I6964" s="1" t="s">
        <v>42</v>
      </c>
      <c r="J6964" s="1" t="s">
        <v>1191</v>
      </c>
      <c r="K6964" s="1" t="s">
        <v>1066</v>
      </c>
      <c r="L6964" s="1" t="s">
        <v>34357</v>
      </c>
      <c r="M6964" s="2" t="s">
        <v>12</v>
      </c>
      <c r="N6964" s="4">
        <f t="shared" si="1"/>
        <v>43313</v>
      </c>
      <c r="O6964" s="5" t="str">
        <f>IFERROR(__xludf.DUMMYFUNCTION("IF(REGEXMATCH(TRIM(I6964), ""^\d+\s*min""), ""Unclassified"", IF(I6964 = """", ""NR"", I6964))"),"TV-MA")</f>
        <v>TV-MA</v>
      </c>
      <c r="R6964" s="5" t="str">
        <f t="shared" si="2"/>
        <v>Hero</v>
      </c>
      <c r="S6964" s="5" t="str">
        <f>IFERROR(__xludf.DUMMYFUNCTION("""COMPUTED_VALUE"""),"The Bridge")</f>
        <v>The Bridge</v>
      </c>
      <c r="V6964" s="5"/>
      <c r="Y6964" s="5" t="str">
        <f>IFERROR(__xludf.DUMMYFUNCTION("REGEXEXTRACT(J6964, ""^\d+"")"),"89")</f>
        <v>89</v>
      </c>
      <c r="Z6964" s="5" t="str">
        <f>IFERROR(__xludf.DUMMYFUNCTION("REGEXEXTRACT(J6964, ""[A-Za-z ]+$"")")," min")</f>
        <v> min</v>
      </c>
      <c r="AA6964" s="5" t="str">
        <f>IFERROR(__xludf.DUMMYFUNCTION("IF(REGEXMATCH(Z6964, ""Season""), ""TV Show"", ""Movie"")"),"Movie")</f>
        <v>Movie</v>
      </c>
    </row>
    <row r="6965">
      <c r="A6965" s="1" t="s">
        <v>34358</v>
      </c>
      <c r="B6965" s="1" t="s">
        <v>37</v>
      </c>
      <c r="C6965" s="1" t="s">
        <v>34359</v>
      </c>
      <c r="E6965" s="1" t="s">
        <v>34360</v>
      </c>
      <c r="F6965" s="1" t="s">
        <v>4478</v>
      </c>
      <c r="G6965" s="1" t="s">
        <v>20561</v>
      </c>
      <c r="H6965" s="1">
        <v>2018.0</v>
      </c>
      <c r="I6965" s="1" t="s">
        <v>42</v>
      </c>
      <c r="J6965" s="1" t="s">
        <v>43</v>
      </c>
      <c r="K6965" s="1" t="s">
        <v>402</v>
      </c>
      <c r="L6965" s="1" t="s">
        <v>34361</v>
      </c>
      <c r="M6965" s="2" t="s">
        <v>12</v>
      </c>
      <c r="N6965" s="4">
        <f t="shared" si="1"/>
        <v>43617</v>
      </c>
      <c r="O6965" s="5" t="str">
        <f>IFERROR(__xludf.DUMMYFUNCTION("IF(REGEXMATCH(TRIM(I6965), ""^\d+\s*min""), ""Unclassified"", IF(I6965 = """", ""NR"", I6965))"),"TV-MA")</f>
        <v>TV-MA</v>
      </c>
      <c r="R6965" s="5" t="str">
        <f t="shared" si="2"/>
        <v>Herrens Veje</v>
      </c>
      <c r="S6965" s="5" t="str">
        <f>IFERROR(__xludf.DUMMYFUNCTION("""COMPUTED_VALUE"""),"The Bridge Curse")</f>
        <v>The Bridge Curse</v>
      </c>
      <c r="V6965" s="5"/>
      <c r="Y6965" s="5" t="str">
        <f>IFERROR(__xludf.DUMMYFUNCTION("REGEXEXTRACT(J6965, ""^\d+"")"),"2")</f>
        <v>2</v>
      </c>
      <c r="Z6965" s="5" t="str">
        <f>IFERROR(__xludf.DUMMYFUNCTION("REGEXEXTRACT(J6965, ""[A-Za-z ]+$"")")," Seasons")</f>
        <v> Seasons</v>
      </c>
      <c r="AA6965" s="5" t="str">
        <f>IFERROR(__xludf.DUMMYFUNCTION("IF(REGEXMATCH(Z6965, ""Season""), ""TV Show"", ""Movie"")"),"TV Show")</f>
        <v>TV Show</v>
      </c>
    </row>
    <row r="6966">
      <c r="A6966" s="1" t="s">
        <v>34362</v>
      </c>
      <c r="B6966" s="1" t="s">
        <v>27</v>
      </c>
      <c r="C6966" s="1" t="s">
        <v>34363</v>
      </c>
      <c r="D6966" s="1" t="s">
        <v>22566</v>
      </c>
      <c r="E6966" s="1" t="s">
        <v>34364</v>
      </c>
      <c r="F6966" s="1" t="s">
        <v>30</v>
      </c>
      <c r="G6966" s="1" t="s">
        <v>12575</v>
      </c>
      <c r="H6966" s="1">
        <v>2017.0</v>
      </c>
      <c r="I6966" s="1" t="s">
        <v>42</v>
      </c>
      <c r="J6966" s="1" t="s">
        <v>428</v>
      </c>
      <c r="K6966" s="1" t="s">
        <v>380</v>
      </c>
      <c r="L6966" s="1" t="s">
        <v>34365</v>
      </c>
      <c r="M6966" s="2" t="s">
        <v>12</v>
      </c>
      <c r="N6966" s="4">
        <f t="shared" si="1"/>
        <v>44036</v>
      </c>
      <c r="O6966" s="5" t="str">
        <f>IFERROR(__xludf.DUMMYFUNCTION("IF(REGEXMATCH(TRIM(I6966), ""^\d+\s*min""), ""Unclassified"", IF(I6966 = """", ""NR"", I6966))"),"TV-MA")</f>
        <v>TV-MA</v>
      </c>
      <c r="R6966" s="5" t="str">
        <f t="shared" si="2"/>
        <v>Hickok</v>
      </c>
      <c r="S6966" s="5" t="str">
        <f>IFERROR(__xludf.DUMMYFUNCTION("""COMPUTED_VALUE"""),"The Bros")</f>
        <v>The Bros</v>
      </c>
      <c r="V6966" s="5"/>
      <c r="Y6966" s="5" t="str">
        <f>IFERROR(__xludf.DUMMYFUNCTION("REGEXEXTRACT(J6966, ""^\d+"")"),"88")</f>
        <v>88</v>
      </c>
      <c r="Z6966" s="5" t="str">
        <f>IFERROR(__xludf.DUMMYFUNCTION("REGEXEXTRACT(J6966, ""[A-Za-z ]+$"")")," min")</f>
        <v> min</v>
      </c>
      <c r="AA6966" s="5" t="str">
        <f>IFERROR(__xludf.DUMMYFUNCTION("IF(REGEXMATCH(Z6966, ""Season""), ""TV Show"", ""Movie"")"),"Movie")</f>
        <v>Movie</v>
      </c>
    </row>
    <row r="6967">
      <c r="A6967" s="1" t="s">
        <v>34366</v>
      </c>
      <c r="B6967" s="1" t="s">
        <v>37</v>
      </c>
      <c r="C6967" s="1" t="s">
        <v>34367</v>
      </c>
      <c r="E6967" s="1" t="s">
        <v>34368</v>
      </c>
      <c r="F6967" s="1" t="s">
        <v>749</v>
      </c>
      <c r="G6967" s="7">
        <v>42874.0</v>
      </c>
      <c r="H6967" s="1">
        <v>2015.0</v>
      </c>
      <c r="I6967" s="1" t="s">
        <v>289</v>
      </c>
      <c r="J6967" s="1" t="s">
        <v>51</v>
      </c>
      <c r="K6967" s="1" t="s">
        <v>13255</v>
      </c>
      <c r="L6967" s="1" t="s">
        <v>34369</v>
      </c>
      <c r="M6967" s="2" t="s">
        <v>12</v>
      </c>
      <c r="N6967" s="4">
        <f t="shared" si="1"/>
        <v>42874</v>
      </c>
      <c r="O6967" s="5" t="str">
        <f>IFERROR(__xludf.DUMMYFUNCTION("IF(REGEXMATCH(TRIM(I6967), ""^\d+\s*min""), ""Unclassified"", IF(I6967 = """", ""NR"", I6967))"),"TV-Y7")</f>
        <v>TV-Y7</v>
      </c>
      <c r="R6967" s="5" t="str">
        <f t="shared" si="2"/>
        <v>Hidden Singer</v>
      </c>
      <c r="S6967" s="5" t="str">
        <f>IFERROR(__xludf.DUMMYFUNCTION("""COMPUTED_VALUE"""),"The Brothers Grimm")</f>
        <v>The Brothers Grimm</v>
      </c>
      <c r="V6967" s="5"/>
      <c r="Y6967" s="5" t="str">
        <f>IFERROR(__xludf.DUMMYFUNCTION("REGEXEXTRACT(J6967, ""^\d+"")"),"1")</f>
        <v>1</v>
      </c>
      <c r="Z6967" s="5" t="str">
        <f>IFERROR(__xludf.DUMMYFUNCTION("REGEXEXTRACT(J6967, ""[A-Za-z ]+$"")")," Season")</f>
        <v> Season</v>
      </c>
      <c r="AA6967" s="5" t="str">
        <f>IFERROR(__xludf.DUMMYFUNCTION("IF(REGEXMATCH(Z6967, ""Season""), ""TV Show"", ""Movie"")"),"TV Show")</f>
        <v>TV Show</v>
      </c>
    </row>
    <row r="6968">
      <c r="A6968" s="1" t="s">
        <v>34370</v>
      </c>
      <c r="B6968" s="1" t="s">
        <v>27</v>
      </c>
      <c r="C6968" s="1" t="s">
        <v>34371</v>
      </c>
      <c r="D6968" s="1" t="s">
        <v>20984</v>
      </c>
      <c r="E6968" s="1" t="s">
        <v>34372</v>
      </c>
      <c r="F6968" s="1" t="s">
        <v>63</v>
      </c>
      <c r="G6968" s="1" t="s">
        <v>26089</v>
      </c>
      <c r="H6968" s="1">
        <v>2010.0</v>
      </c>
      <c r="I6968" s="1" t="s">
        <v>97</v>
      </c>
      <c r="J6968" s="1" t="s">
        <v>322</v>
      </c>
      <c r="K6968" s="1" t="s">
        <v>1592</v>
      </c>
      <c r="L6968" s="1" t="s">
        <v>34373</v>
      </c>
      <c r="M6968" s="2" t="s">
        <v>12</v>
      </c>
      <c r="N6968" s="4">
        <f t="shared" si="1"/>
        <v>43160</v>
      </c>
      <c r="O6968" s="5" t="str">
        <f>IFERROR(__xludf.DUMMYFUNCTION("IF(REGEXMATCH(TRIM(I6968), ""^\d+\s*min""), ""Unclassified"", IF(I6968 = """", ""NR"", I6968))"),"TV-14")</f>
        <v>TV-14</v>
      </c>
      <c r="R6968" s="5" t="str">
        <f t="shared" si="2"/>
        <v>Hide &amp; Seek</v>
      </c>
      <c r="S6968" s="5" t="str">
        <f>IFERROR(__xludf.DUMMYFUNCTION("""COMPUTED_VALUE"""),"The Bucket List")</f>
        <v>The Bucket List</v>
      </c>
      <c r="V6968" s="5"/>
      <c r="Y6968" s="5" t="str">
        <f>IFERROR(__xludf.DUMMYFUNCTION("REGEXEXTRACT(J6968, ""^\d+"")"),"96")</f>
        <v>96</v>
      </c>
      <c r="Z6968" s="5" t="str">
        <f>IFERROR(__xludf.DUMMYFUNCTION("REGEXEXTRACT(J6968, ""[A-Za-z ]+$"")")," min")</f>
        <v> min</v>
      </c>
      <c r="AA6968" s="5" t="str">
        <f>IFERROR(__xludf.DUMMYFUNCTION("IF(REGEXMATCH(Z6968, ""Season""), ""TV Show"", ""Movie"")"),"Movie")</f>
        <v>Movie</v>
      </c>
    </row>
    <row r="6969">
      <c r="A6969" s="1" t="s">
        <v>34374</v>
      </c>
      <c r="B6969" s="1" t="s">
        <v>27</v>
      </c>
      <c r="C6969" s="1" t="s">
        <v>34375</v>
      </c>
      <c r="D6969" s="1" t="s">
        <v>13858</v>
      </c>
      <c r="E6969" s="1" t="s">
        <v>34376</v>
      </c>
      <c r="F6969" s="1" t="s">
        <v>3892</v>
      </c>
      <c r="G6969" s="1" t="s">
        <v>34377</v>
      </c>
      <c r="H6969" s="1">
        <v>2016.0</v>
      </c>
      <c r="I6969" s="1" t="s">
        <v>97</v>
      </c>
      <c r="J6969" s="1" t="s">
        <v>106</v>
      </c>
      <c r="K6969" s="1" t="s">
        <v>631</v>
      </c>
      <c r="L6969" s="1" t="s">
        <v>34378</v>
      </c>
      <c r="M6969" s="2" t="s">
        <v>12</v>
      </c>
      <c r="N6969" s="4">
        <f t="shared" si="1"/>
        <v>42966</v>
      </c>
      <c r="O6969" s="5" t="str">
        <f>IFERROR(__xludf.DUMMYFUNCTION("IF(REGEXMATCH(TRIM(I6969), ""^\d+\s*min""), ""Unclassified"", IF(I6969 = """", ""NR"", I6969))"),"TV-14")</f>
        <v>TV-14</v>
      </c>
      <c r="R6969" s="5" t="str">
        <f t="shared" si="2"/>
        <v>Hide And Seek</v>
      </c>
      <c r="S6969" s="5" t="str">
        <f>IFERROR(__xludf.DUMMYFUNCTION("""COMPUTED_VALUE"""),"The Bulbul'S Nest")</f>
        <v>The Bulbul'S Nest</v>
      </c>
      <c r="V6969" s="5"/>
      <c r="Y6969" s="5" t="str">
        <f>IFERROR(__xludf.DUMMYFUNCTION("REGEXEXTRACT(J6969, ""^\d+"")"),"104")</f>
        <v>104</v>
      </c>
      <c r="Z6969" s="5" t="str">
        <f>IFERROR(__xludf.DUMMYFUNCTION("REGEXEXTRACT(J6969, ""[A-Za-z ]+$"")")," min")</f>
        <v> min</v>
      </c>
      <c r="AA6969" s="5" t="str">
        <f>IFERROR(__xludf.DUMMYFUNCTION("IF(REGEXMATCH(Z6969, ""Season""), ""TV Show"", ""Movie"")"),"Movie")</f>
        <v>Movie</v>
      </c>
    </row>
    <row r="6970">
      <c r="A6970" s="1" t="s">
        <v>34379</v>
      </c>
      <c r="B6970" s="1" t="s">
        <v>27</v>
      </c>
      <c r="C6970" s="1" t="s">
        <v>34380</v>
      </c>
      <c r="D6970" s="1" t="s">
        <v>20594</v>
      </c>
      <c r="F6970" s="1" t="s">
        <v>221</v>
      </c>
      <c r="G6970" s="1" t="s">
        <v>28697</v>
      </c>
      <c r="H6970" s="1">
        <v>2015.0</v>
      </c>
      <c r="I6970" s="1" t="s">
        <v>97</v>
      </c>
      <c r="J6970" s="1" t="s">
        <v>729</v>
      </c>
      <c r="K6970" s="1" t="s">
        <v>2892</v>
      </c>
      <c r="L6970" s="1" t="s">
        <v>34381</v>
      </c>
      <c r="M6970" s="2" t="s">
        <v>12</v>
      </c>
      <c r="N6970" s="4">
        <f t="shared" si="1"/>
        <v>42767</v>
      </c>
      <c r="O6970" s="5" t="str">
        <f>IFERROR(__xludf.DUMMYFUNCTION("IF(REGEXMATCH(TRIM(I6970), ""^\d+\s*min""), ""Unclassified"", IF(I6970 = """", ""NR"", I6970))"),"TV-14")</f>
        <v>TV-14</v>
      </c>
      <c r="R6970" s="5" t="str">
        <f t="shared" si="2"/>
        <v>Highly Strung</v>
      </c>
      <c r="S6970" s="5" t="str">
        <f>IFERROR(__xludf.DUMMYFUNCTION("""COMPUTED_VALUE"""),"The Bund")</f>
        <v>The Bund</v>
      </c>
      <c r="V6970" s="5"/>
      <c r="Y6970" s="5" t="str">
        <f>IFERROR(__xludf.DUMMYFUNCTION("REGEXEXTRACT(J6970, ""^\d+"")"),"80")</f>
        <v>80</v>
      </c>
      <c r="Z6970" s="5" t="str">
        <f>IFERROR(__xludf.DUMMYFUNCTION("REGEXEXTRACT(J6970, ""[A-Za-z ]+$"")")," min")</f>
        <v> min</v>
      </c>
      <c r="AA6970" s="5" t="str">
        <f>IFERROR(__xludf.DUMMYFUNCTION("IF(REGEXMATCH(Z6970, ""Season""), ""TV Show"", ""Movie"")"),"Movie")</f>
        <v>Movie</v>
      </c>
    </row>
    <row r="6971">
      <c r="A6971" s="1" t="s">
        <v>34382</v>
      </c>
      <c r="B6971" s="1" t="s">
        <v>37</v>
      </c>
      <c r="C6971" s="1" t="s">
        <v>34383</v>
      </c>
      <c r="E6971" s="1" t="s">
        <v>34384</v>
      </c>
      <c r="F6971" s="1" t="s">
        <v>1106</v>
      </c>
      <c r="G6971" s="1" t="s">
        <v>34385</v>
      </c>
      <c r="H6971" s="1">
        <v>2016.0</v>
      </c>
      <c r="I6971" s="1" t="s">
        <v>136</v>
      </c>
      <c r="J6971" s="1" t="s">
        <v>276</v>
      </c>
      <c r="K6971" s="1" t="s">
        <v>440</v>
      </c>
      <c r="L6971" s="1" t="s">
        <v>34386</v>
      </c>
      <c r="M6971" s="2" t="s">
        <v>12</v>
      </c>
      <c r="N6971" s="1" t="str">
        <f t="shared" si="1"/>
        <v>#N/A</v>
      </c>
      <c r="O6971" s="5" t="str">
        <f>IFERROR(__xludf.DUMMYFUNCTION("IF(REGEXMATCH(TRIM(I6971), ""^\d+\s*min""), ""Unclassified"", IF(I6971 = """", ""NR"", I6971))"),"TV-PG")</f>
        <v>TV-PG</v>
      </c>
      <c r="R6971" s="5" t="str">
        <f t="shared" si="2"/>
        <v>Highway Thru Hell</v>
      </c>
      <c r="S6971" s="5" t="str">
        <f>IFERROR(__xludf.DUMMYFUNCTION("""COMPUTED_VALUE"""),"The Burial Of Kojo")</f>
        <v>The Burial Of Kojo</v>
      </c>
      <c r="V6971" s="5"/>
      <c r="Y6971" s="5" t="str">
        <f>IFERROR(__xludf.DUMMYFUNCTION("REGEXEXTRACT(J6971, ""^\d+"")"),"3")</f>
        <v>3</v>
      </c>
      <c r="Z6971" s="5" t="str">
        <f>IFERROR(__xludf.DUMMYFUNCTION("REGEXEXTRACT(J6971, ""[A-Za-z ]+$"")")," Seasons")</f>
        <v> Seasons</v>
      </c>
      <c r="AA6971" s="5" t="str">
        <f>IFERROR(__xludf.DUMMYFUNCTION("IF(REGEXMATCH(Z6971, ""Season""), ""TV Show"", ""Movie"")"),"TV Show")</f>
        <v>TV Show</v>
      </c>
    </row>
    <row r="6972">
      <c r="A6972" s="1" t="s">
        <v>34387</v>
      </c>
      <c r="B6972" s="1" t="s">
        <v>37</v>
      </c>
      <c r="C6972" s="1" t="s">
        <v>34388</v>
      </c>
      <c r="E6972" s="1" t="s">
        <v>34389</v>
      </c>
      <c r="F6972" s="1" t="s">
        <v>30</v>
      </c>
      <c r="G6972" s="1" t="s">
        <v>34390</v>
      </c>
      <c r="H6972" s="1">
        <v>1988.0</v>
      </c>
      <c r="I6972" s="1" t="s">
        <v>136</v>
      </c>
      <c r="J6972" s="1" t="s">
        <v>189</v>
      </c>
      <c r="K6972" s="1" t="s">
        <v>2709</v>
      </c>
      <c r="L6972" s="1" t="s">
        <v>34391</v>
      </c>
      <c r="M6972" s="2" t="s">
        <v>12</v>
      </c>
      <c r="N6972" s="1" t="str">
        <f t="shared" si="1"/>
        <v>#N/A</v>
      </c>
      <c r="O6972" s="5" t="str">
        <f>IFERROR(__xludf.DUMMYFUNCTION("IF(REGEXMATCH(TRIM(I6972), ""^\d+\s*min""), ""Unclassified"", IF(I6972 = """", ""NR"", I6972))"),"TV-PG")</f>
        <v>TV-PG</v>
      </c>
      <c r="R6972" s="5" t="str">
        <f t="shared" si="2"/>
        <v>Highway To Heaven</v>
      </c>
      <c r="S6972" s="5" t="str">
        <f>IFERROR(__xludf.DUMMYFUNCTION("""COMPUTED_VALUE"""),"The Business Of Drugs")</f>
        <v>The Business Of Drugs</v>
      </c>
      <c r="V6972" s="5"/>
      <c r="Y6972" s="5" t="str">
        <f>IFERROR(__xludf.DUMMYFUNCTION("REGEXEXTRACT(J6972, ""^\d+"")"),"5")</f>
        <v>5</v>
      </c>
      <c r="Z6972" s="5" t="str">
        <f>IFERROR(__xludf.DUMMYFUNCTION("REGEXEXTRACT(J6972, ""[A-Za-z ]+$"")")," Seasons")</f>
        <v> Seasons</v>
      </c>
      <c r="AA6972" s="5" t="str">
        <f>IFERROR(__xludf.DUMMYFUNCTION("IF(REGEXMATCH(Z6972, ""Season""), ""TV Show"", ""Movie"")"),"TV Show")</f>
        <v>TV Show</v>
      </c>
    </row>
    <row r="6973">
      <c r="A6973" s="1" t="s">
        <v>34392</v>
      </c>
      <c r="B6973" s="1" t="s">
        <v>37</v>
      </c>
      <c r="C6973" s="1" t="s">
        <v>34393</v>
      </c>
      <c r="E6973" s="1" t="s">
        <v>34394</v>
      </c>
      <c r="F6973" s="1" t="s">
        <v>96</v>
      </c>
      <c r="G6973" s="1" t="s">
        <v>27569</v>
      </c>
      <c r="H6973" s="1">
        <v>2016.0</v>
      </c>
      <c r="I6973" s="1" t="s">
        <v>97</v>
      </c>
      <c r="J6973" s="1" t="s">
        <v>276</v>
      </c>
      <c r="K6973" s="1" t="s">
        <v>3274</v>
      </c>
      <c r="L6973" s="1" t="s">
        <v>34395</v>
      </c>
      <c r="M6973" s="2" t="s">
        <v>12</v>
      </c>
      <c r="N6973" s="4">
        <f t="shared" si="1"/>
        <v>42948</v>
      </c>
      <c r="O6973" s="5" t="str">
        <f>IFERROR(__xludf.DUMMYFUNCTION("IF(REGEXMATCH(TRIM(I6973), ""^\d+\s*min""), ""Unclassified"", IF(I6973 = """", ""NR"", I6973))"),"TV-14")</f>
        <v>TV-14</v>
      </c>
      <c r="R6973" s="5" t="str">
        <f t="shared" si="2"/>
        <v>Hinterland</v>
      </c>
      <c r="S6973" s="5" t="str">
        <f>IFERROR(__xludf.DUMMYFUNCTION("""COMPUTED_VALUE"""),"The Butterfly'S Dream")</f>
        <v>The Butterfly'S Dream</v>
      </c>
      <c r="V6973" s="5"/>
      <c r="Y6973" s="5" t="str">
        <f>IFERROR(__xludf.DUMMYFUNCTION("REGEXEXTRACT(J6973, ""^\d+"")"),"3")</f>
        <v>3</v>
      </c>
      <c r="Z6973" s="5" t="str">
        <f>IFERROR(__xludf.DUMMYFUNCTION("REGEXEXTRACT(J6973, ""[A-Za-z ]+$"")")," Seasons")</f>
        <v> Seasons</v>
      </c>
      <c r="AA6973" s="5" t="str">
        <f>IFERROR(__xludf.DUMMYFUNCTION("IF(REGEXMATCH(Z6973, ""Season""), ""TV Show"", ""Movie"")"),"TV Show")</f>
        <v>TV Show</v>
      </c>
    </row>
    <row r="6974">
      <c r="A6974" s="1" t="s">
        <v>34396</v>
      </c>
      <c r="B6974" s="1" t="s">
        <v>27</v>
      </c>
      <c r="C6974" s="1" t="s">
        <v>34397</v>
      </c>
      <c r="D6974" s="1" t="s">
        <v>34398</v>
      </c>
      <c r="E6974" s="1" t="s">
        <v>34399</v>
      </c>
      <c r="F6974" s="1" t="s">
        <v>96</v>
      </c>
      <c r="G6974" s="1" t="s">
        <v>28421</v>
      </c>
      <c r="H6974" s="1">
        <v>2015.0</v>
      </c>
      <c r="I6974" s="1" t="s">
        <v>136</v>
      </c>
      <c r="J6974" s="1" t="s">
        <v>465</v>
      </c>
      <c r="K6974" s="1" t="s">
        <v>34</v>
      </c>
      <c r="L6974" s="1" t="s">
        <v>34400</v>
      </c>
      <c r="M6974" s="2" t="s">
        <v>12</v>
      </c>
      <c r="N6974" s="4">
        <f t="shared" si="1"/>
        <v>42825</v>
      </c>
      <c r="O6974" s="5" t="str">
        <f>IFERROR(__xludf.DUMMYFUNCTION("IF(REGEXMATCH(TRIM(I6974), ""^\d+\s*min""), ""Unclassified"", IF(I6974 = """", ""NR"", I6974))"),"TV-PG")</f>
        <v>TV-PG</v>
      </c>
      <c r="R6974" s="5" t="str">
        <f t="shared" si="2"/>
        <v>Hiroshima: The Real History</v>
      </c>
      <c r="S6974" s="5" t="str">
        <f>IFERROR(__xludf.DUMMYFUNCTION("""COMPUTED_VALUE"""),"The Bye Bye Man")</f>
        <v>The Bye Bye Man</v>
      </c>
      <c r="V6974" s="5"/>
      <c r="Y6974" s="5" t="str">
        <f>IFERROR(__xludf.DUMMYFUNCTION("REGEXEXTRACT(J6974, ""^\d+"")"),"95")</f>
        <v>95</v>
      </c>
      <c r="Z6974" s="5" t="str">
        <f>IFERROR(__xludf.DUMMYFUNCTION("REGEXEXTRACT(J6974, ""[A-Za-z ]+$"")")," min")</f>
        <v> min</v>
      </c>
      <c r="AA6974" s="5" t="str">
        <f>IFERROR(__xludf.DUMMYFUNCTION("IF(REGEXMATCH(Z6974, ""Season""), ""TV Show"", ""Movie"")"),"Movie")</f>
        <v>Movie</v>
      </c>
    </row>
    <row r="6975">
      <c r="A6975" s="1" t="s">
        <v>34401</v>
      </c>
      <c r="B6975" s="1" t="s">
        <v>27</v>
      </c>
      <c r="C6975" s="1" t="s">
        <v>34402</v>
      </c>
      <c r="D6975" s="1" t="s">
        <v>10726</v>
      </c>
      <c r="E6975" s="1" t="s">
        <v>34403</v>
      </c>
      <c r="F6975" s="1" t="s">
        <v>8173</v>
      </c>
      <c r="G6975" s="1" t="s">
        <v>26674</v>
      </c>
      <c r="H6975" s="1">
        <v>2010.0</v>
      </c>
      <c r="I6975" s="1" t="s">
        <v>42</v>
      </c>
      <c r="J6975" s="1" t="s">
        <v>247</v>
      </c>
      <c r="K6975" s="1" t="s">
        <v>1592</v>
      </c>
      <c r="L6975" s="1" t="s">
        <v>34404</v>
      </c>
      <c r="M6975" s="2" t="s">
        <v>12</v>
      </c>
      <c r="N6975" s="4">
        <f t="shared" si="1"/>
        <v>43070</v>
      </c>
      <c r="O6975" s="5" t="str">
        <f>IFERROR(__xludf.DUMMYFUNCTION("IF(REGEXMATCH(TRIM(I6975), ""^\d+\s*min""), ""Unclassified"", IF(I6975 = """", ""NR"", I6975))"),"TV-MA")</f>
        <v>TV-MA</v>
      </c>
      <c r="R6975" s="5" t="str">
        <f t="shared" si="2"/>
        <v>Hisss</v>
      </c>
      <c r="S6975" s="5" t="str">
        <f>IFERROR(__xludf.DUMMYFUNCTION("""COMPUTED_VALUE"""),"The Bygone")</f>
        <v>The Bygone</v>
      </c>
      <c r="V6975" s="5"/>
      <c r="Y6975" s="5" t="str">
        <f>IFERROR(__xludf.DUMMYFUNCTION("REGEXEXTRACT(J6975, ""^\d+"")"),"97")</f>
        <v>97</v>
      </c>
      <c r="Z6975" s="5" t="str">
        <f>IFERROR(__xludf.DUMMYFUNCTION("REGEXEXTRACT(J6975, ""[A-Za-z ]+$"")")," min")</f>
        <v> min</v>
      </c>
      <c r="AA6975" s="5" t="str">
        <f>IFERROR(__xludf.DUMMYFUNCTION("IF(REGEXMATCH(Z6975, ""Season""), ""TV Show"", ""Movie"")"),"Movie")</f>
        <v>Movie</v>
      </c>
    </row>
    <row r="6976">
      <c r="A6976" s="1" t="s">
        <v>34405</v>
      </c>
      <c r="B6976" s="1" t="s">
        <v>37</v>
      </c>
      <c r="C6976" s="1" t="s">
        <v>34406</v>
      </c>
      <c r="E6976" s="1" t="s">
        <v>34407</v>
      </c>
      <c r="F6976" s="1" t="s">
        <v>1815</v>
      </c>
      <c r="G6976" s="1" t="s">
        <v>28786</v>
      </c>
      <c r="H6976" s="1">
        <v>2015.0</v>
      </c>
      <c r="I6976" s="1" t="s">
        <v>42</v>
      </c>
      <c r="J6976" s="1" t="s">
        <v>51</v>
      </c>
      <c r="K6976" s="1" t="s">
        <v>785</v>
      </c>
      <c r="L6976" s="1" t="s">
        <v>34408</v>
      </c>
      <c r="M6976" s="2" t="s">
        <v>12</v>
      </c>
      <c r="N6976" s="4">
        <f t="shared" si="1"/>
        <v>42748</v>
      </c>
      <c r="O6976" s="5" t="str">
        <f>IFERROR(__xludf.DUMMYFUNCTION("IF(REGEXMATCH(TRIM(I6976), ""^\d+\s*min""), ""Unclassified"", IF(I6976 = """", ""NR"", I6976))"),"TV-MA")</f>
        <v>TV-MA</v>
      </c>
      <c r="R6976" s="5" t="str">
        <f t="shared" si="2"/>
        <v>Historia De Un Clan</v>
      </c>
      <c r="S6976" s="5" t="str">
        <f>IFERROR(__xludf.DUMMYFUNCTION("""COMPUTED_VALUE"""),"The C Word")</f>
        <v>The C Word</v>
      </c>
      <c r="V6976" s="5"/>
      <c r="Y6976" s="5" t="str">
        <f>IFERROR(__xludf.DUMMYFUNCTION("REGEXEXTRACT(J6976, ""^\d+"")"),"1")</f>
        <v>1</v>
      </c>
      <c r="Z6976" s="5" t="str">
        <f>IFERROR(__xludf.DUMMYFUNCTION("REGEXEXTRACT(J6976, ""[A-Za-z ]+$"")")," Season")</f>
        <v> Season</v>
      </c>
      <c r="AA6976" s="5" t="str">
        <f>IFERROR(__xludf.DUMMYFUNCTION("IF(REGEXMATCH(Z6976, ""Season""), ""TV Show"", ""Movie"")"),"TV Show")</f>
        <v>TV Show</v>
      </c>
    </row>
    <row r="6977">
      <c r="A6977" s="1" t="s">
        <v>34409</v>
      </c>
      <c r="B6977" s="1" t="s">
        <v>27</v>
      </c>
      <c r="C6977" s="1" t="s">
        <v>34410</v>
      </c>
      <c r="D6977" s="1" t="s">
        <v>23408</v>
      </c>
      <c r="E6977" s="1" t="s">
        <v>34411</v>
      </c>
      <c r="F6977" s="1" t="s">
        <v>63</v>
      </c>
      <c r="G6977" s="1" t="s">
        <v>24964</v>
      </c>
      <c r="H6977" s="1">
        <v>2017.0</v>
      </c>
      <c r="I6977" s="1" t="s">
        <v>97</v>
      </c>
      <c r="J6977" s="1" t="s">
        <v>870</v>
      </c>
      <c r="K6977" s="1" t="s">
        <v>128</v>
      </c>
      <c r="L6977" s="1" t="s">
        <v>34412</v>
      </c>
      <c r="M6977" s="2" t="s">
        <v>12</v>
      </c>
      <c r="N6977" s="4">
        <f t="shared" si="1"/>
        <v>43313</v>
      </c>
      <c r="O6977" s="5" t="str">
        <f>IFERROR(__xludf.DUMMYFUNCTION("IF(REGEXMATCH(TRIM(I6977), ""^\d+\s*min""), ""Unclassified"", IF(I6977 = """", ""NR"", I6977))"),"TV-14")</f>
        <v>TV-14</v>
      </c>
      <c r="R6977" s="5" t="str">
        <f t="shared" si="2"/>
        <v>History Of Joy</v>
      </c>
      <c r="S6977" s="5" t="str">
        <f>IFERROR(__xludf.DUMMYFUNCTION("""COMPUTED_VALUE"""),"The Cabin With Bert Kreischer")</f>
        <v>The Cabin With Bert Kreischer</v>
      </c>
      <c r="V6977" s="5"/>
      <c r="Y6977" s="5" t="str">
        <f>IFERROR(__xludf.DUMMYFUNCTION("REGEXEXTRACT(J6977, ""^\d+"")"),"118")</f>
        <v>118</v>
      </c>
      <c r="Z6977" s="5" t="str">
        <f>IFERROR(__xludf.DUMMYFUNCTION("REGEXEXTRACT(J6977, ""[A-Za-z ]+$"")")," min")</f>
        <v> min</v>
      </c>
      <c r="AA6977" s="5" t="str">
        <f>IFERROR(__xludf.DUMMYFUNCTION("IF(REGEXMATCH(Z6977, ""Season""), ""TV Show"", ""Movie"")"),"Movie")</f>
        <v>Movie</v>
      </c>
    </row>
    <row r="6978">
      <c r="A6978" s="1" t="s">
        <v>34413</v>
      </c>
      <c r="B6978" s="1" t="s">
        <v>37</v>
      </c>
      <c r="C6978" s="1" t="s">
        <v>34414</v>
      </c>
      <c r="F6978" s="1" t="s">
        <v>221</v>
      </c>
      <c r="G6978" s="1" t="s">
        <v>19991</v>
      </c>
      <c r="H6978" s="1">
        <v>2016.0</v>
      </c>
      <c r="I6978" s="1" t="s">
        <v>136</v>
      </c>
      <c r="J6978" s="1" t="s">
        <v>51</v>
      </c>
      <c r="K6978" s="1" t="s">
        <v>4190</v>
      </c>
      <c r="L6978" s="1" t="s">
        <v>34415</v>
      </c>
      <c r="M6978" s="2" t="s">
        <v>12</v>
      </c>
      <c r="N6978" s="4">
        <f t="shared" si="1"/>
        <v>43658</v>
      </c>
      <c r="O6978" s="5" t="str">
        <f>IFERROR(__xludf.DUMMYFUNCTION("IF(REGEXMATCH(TRIM(I6978), ""^\d+\s*min""), ""Unclassified"", IF(I6978 = """", ""NR"", I6978))"),"TV-PG")</f>
        <v>TV-PG</v>
      </c>
      <c r="R6978" s="5" t="str">
        <f t="shared" si="2"/>
        <v>History'S Greatest Hoaxes</v>
      </c>
      <c r="S6978" s="5" t="str">
        <f>IFERROR(__xludf.DUMMYFUNCTION("""COMPUTED_VALUE"""),"The Cakemaker")</f>
        <v>The Cakemaker</v>
      </c>
      <c r="V6978" s="5"/>
      <c r="Y6978" s="5" t="str">
        <f>IFERROR(__xludf.DUMMYFUNCTION("REGEXEXTRACT(J6978, ""^\d+"")"),"1")</f>
        <v>1</v>
      </c>
      <c r="Z6978" s="5" t="str">
        <f>IFERROR(__xludf.DUMMYFUNCTION("REGEXEXTRACT(J6978, ""[A-Za-z ]+$"")")," Season")</f>
        <v> Season</v>
      </c>
      <c r="AA6978" s="5" t="str">
        <f>IFERROR(__xludf.DUMMYFUNCTION("IF(REGEXMATCH(Z6978, ""Season""), ""TV Show"", ""Movie"")"),"TV Show")</f>
        <v>TV Show</v>
      </c>
    </row>
    <row r="6979">
      <c r="A6979" s="1" t="s">
        <v>34416</v>
      </c>
      <c r="B6979" s="1" t="s">
        <v>27</v>
      </c>
      <c r="C6979" s="1" t="s">
        <v>34417</v>
      </c>
      <c r="D6979" s="1" t="s">
        <v>2034</v>
      </c>
      <c r="E6979" s="1" t="s">
        <v>34418</v>
      </c>
      <c r="F6979" s="1" t="s">
        <v>30</v>
      </c>
      <c r="G6979" s="1" t="s">
        <v>16947</v>
      </c>
      <c r="H6979" s="1">
        <v>2005.0</v>
      </c>
      <c r="I6979" s="1" t="s">
        <v>32</v>
      </c>
      <c r="J6979" s="1" t="s">
        <v>870</v>
      </c>
      <c r="K6979" s="1" t="s">
        <v>813</v>
      </c>
      <c r="L6979" s="1" t="s">
        <v>34419</v>
      </c>
      <c r="M6979" s="2" t="s">
        <v>12</v>
      </c>
      <c r="N6979" s="4">
        <f t="shared" si="1"/>
        <v>43831</v>
      </c>
      <c r="O6979" s="5" t="str">
        <f>IFERROR(__xludf.DUMMYFUNCTION("IF(REGEXMATCH(TRIM(I6979), ""^\d+\s*min""), ""Unclassified"", IF(I6979 = """", ""NR"", I6979))"),"PG-13")</f>
        <v>PG-13</v>
      </c>
      <c r="R6979" s="5" t="str">
        <f t="shared" si="2"/>
        <v>Hitch</v>
      </c>
      <c r="S6979" s="5" t="str">
        <f>IFERROR(__xludf.DUMMYFUNCTION("""COMPUTED_VALUE"""),"The Call")</f>
        <v>The Call</v>
      </c>
      <c r="V6979" s="5"/>
      <c r="Y6979" s="5" t="str">
        <f>IFERROR(__xludf.DUMMYFUNCTION("REGEXEXTRACT(J6979, ""^\d+"")"),"118")</f>
        <v>118</v>
      </c>
      <c r="Z6979" s="5" t="str">
        <f>IFERROR(__xludf.DUMMYFUNCTION("REGEXEXTRACT(J6979, ""[A-Za-z ]+$"")")," min")</f>
        <v> min</v>
      </c>
      <c r="AA6979" s="5" t="str">
        <f>IFERROR(__xludf.DUMMYFUNCTION("IF(REGEXMATCH(Z6979, ""Season""), ""TV Show"", ""Movie"")"),"Movie")</f>
        <v>Movie</v>
      </c>
    </row>
    <row r="6980">
      <c r="A6980" s="1" t="s">
        <v>34420</v>
      </c>
      <c r="B6980" s="1" t="s">
        <v>27</v>
      </c>
      <c r="C6980" s="1" t="s">
        <v>34421</v>
      </c>
      <c r="D6980" s="1" t="s">
        <v>5548</v>
      </c>
      <c r="F6980" s="1" t="s">
        <v>96</v>
      </c>
      <c r="G6980" s="1" t="s">
        <v>29574</v>
      </c>
      <c r="H6980" s="1">
        <v>2016.0</v>
      </c>
      <c r="I6980" s="1" t="s">
        <v>136</v>
      </c>
      <c r="J6980" s="1" t="s">
        <v>10890</v>
      </c>
      <c r="K6980" s="1" t="s">
        <v>645</v>
      </c>
      <c r="L6980" s="1" t="s">
        <v>34422</v>
      </c>
      <c r="M6980" s="2" t="s">
        <v>12</v>
      </c>
      <c r="N6980" s="4">
        <f t="shared" si="1"/>
        <v>42583</v>
      </c>
      <c r="O6980" s="5" t="str">
        <f>IFERROR(__xludf.DUMMYFUNCTION("IF(REGEXMATCH(TRIM(I6980), ""^\d+\s*min""), ""Unclassified"", IF(I6980 = """", ""NR"", I6980))"),"TV-PG")</f>
        <v>TV-PG</v>
      </c>
      <c r="R6980" s="5" t="str">
        <f t="shared" si="2"/>
        <v>Hitler'S Olympics</v>
      </c>
      <c r="S6980" s="5" t="str">
        <f>IFERROR(__xludf.DUMMYFUNCTION("""COMPUTED_VALUE"""),"The Calling")</f>
        <v>The Calling</v>
      </c>
      <c r="V6980" s="5"/>
      <c r="Y6980" s="5" t="str">
        <f>IFERROR(__xludf.DUMMYFUNCTION("REGEXEXTRACT(J6980, ""^\d+"")"),"44")</f>
        <v>44</v>
      </c>
      <c r="Z6980" s="5" t="str">
        <f>IFERROR(__xludf.DUMMYFUNCTION("REGEXEXTRACT(J6980, ""[A-Za-z ]+$"")")," min")</f>
        <v> min</v>
      </c>
      <c r="AA6980" s="5" t="str">
        <f>IFERROR(__xludf.DUMMYFUNCTION("IF(REGEXMATCH(Z6980, ""Season""), ""TV Show"", ""Movie"")"),"Movie")</f>
        <v>Movie</v>
      </c>
    </row>
    <row r="6981">
      <c r="A6981" s="1" t="s">
        <v>34423</v>
      </c>
      <c r="B6981" s="1" t="s">
        <v>27</v>
      </c>
      <c r="C6981" s="1" t="s">
        <v>34424</v>
      </c>
      <c r="D6981" s="1" t="s">
        <v>5476</v>
      </c>
      <c r="F6981" s="1" t="s">
        <v>664</v>
      </c>
      <c r="G6981" s="1" t="s">
        <v>26883</v>
      </c>
      <c r="H6981" s="1">
        <v>2017.0</v>
      </c>
      <c r="I6981" s="1" t="s">
        <v>97</v>
      </c>
      <c r="J6981" s="1" t="s">
        <v>5941</v>
      </c>
      <c r="K6981" s="1" t="s">
        <v>156</v>
      </c>
      <c r="L6981" s="1" t="s">
        <v>34425</v>
      </c>
      <c r="M6981" s="2" t="s">
        <v>12</v>
      </c>
      <c r="N6981" s="4">
        <f t="shared" si="1"/>
        <v>43040</v>
      </c>
      <c r="O6981" s="5" t="str">
        <f>IFERROR(__xludf.DUMMYFUNCTION("IF(REGEXMATCH(TRIM(I6981), ""^\d+\s*min""), ""Unclassified"", IF(I6981 = """", ""NR"", I6981))"),"TV-14")</f>
        <v>TV-14</v>
      </c>
      <c r="R6981" s="5" t="str">
        <f t="shared" si="2"/>
        <v>Hitler'S Steel Beast</v>
      </c>
      <c r="S6981" s="5" t="str">
        <f>IFERROR(__xludf.DUMMYFUNCTION("""COMPUTED_VALUE"""),"The Captive")</f>
        <v>The Captive</v>
      </c>
      <c r="V6981" s="5"/>
      <c r="Y6981" s="5" t="str">
        <f>IFERROR(__xludf.DUMMYFUNCTION("REGEXEXTRACT(J6981, ""^\d+"")"),"54")</f>
        <v>54</v>
      </c>
      <c r="Z6981" s="5" t="str">
        <f>IFERROR(__xludf.DUMMYFUNCTION("REGEXEXTRACT(J6981, ""[A-Za-z ]+$"")")," min")</f>
        <v> min</v>
      </c>
      <c r="AA6981" s="5" t="str">
        <f>IFERROR(__xludf.DUMMYFUNCTION("IF(REGEXMATCH(Z6981, ""Season""), ""TV Show"", ""Movie"")"),"Movie")</f>
        <v>Movie</v>
      </c>
    </row>
    <row r="6982">
      <c r="A6982" s="1" t="s">
        <v>34426</v>
      </c>
      <c r="B6982" s="1" t="s">
        <v>27</v>
      </c>
      <c r="C6982" s="1" t="s">
        <v>34427</v>
      </c>
      <c r="D6982" s="1" t="s">
        <v>2665</v>
      </c>
      <c r="E6982" s="1" t="s">
        <v>34428</v>
      </c>
      <c r="F6982" s="1" t="s">
        <v>19350</v>
      </c>
      <c r="G6982" s="1" t="s">
        <v>27735</v>
      </c>
      <c r="H6982" s="1">
        <v>2015.0</v>
      </c>
      <c r="I6982" s="1" t="s">
        <v>136</v>
      </c>
      <c r="J6982" s="1" t="s">
        <v>15246</v>
      </c>
      <c r="K6982" s="1" t="s">
        <v>679</v>
      </c>
      <c r="L6982" s="1" t="s">
        <v>34429</v>
      </c>
      <c r="M6982" s="2" t="s">
        <v>12</v>
      </c>
      <c r="N6982" s="4">
        <f t="shared" si="1"/>
        <v>42917</v>
      </c>
      <c r="O6982" s="5" t="str">
        <f>IFERROR(__xludf.DUMMYFUNCTION("IF(REGEXMATCH(TRIM(I6982), ""^\d+\s*min""), ""Unclassified"", IF(I6982 = """", ""NR"", I6982))"),"TV-PG")</f>
        <v>TV-PG</v>
      </c>
      <c r="R6982" s="5" t="str">
        <f t="shared" si="2"/>
        <v>Ho Mann Jahaan</v>
      </c>
      <c r="S6982" s="5" t="str">
        <f>IFERROR(__xludf.DUMMYFUNCTION("""COMPUTED_VALUE"""),"The Car")</f>
        <v>The Car</v>
      </c>
      <c r="V6982" s="5"/>
      <c r="Y6982" s="5" t="str">
        <f>IFERROR(__xludf.DUMMYFUNCTION("REGEXEXTRACT(J6982, ""^\d+"")"),"170")</f>
        <v>170</v>
      </c>
      <c r="Z6982" s="5" t="str">
        <f>IFERROR(__xludf.DUMMYFUNCTION("REGEXEXTRACT(J6982, ""[A-Za-z ]+$"")")," min")</f>
        <v> min</v>
      </c>
      <c r="AA6982" s="5" t="str">
        <f>IFERROR(__xludf.DUMMYFUNCTION("IF(REGEXMATCH(Z6982, ""Season""), ""TV Show"", ""Movie"")"),"Movie")</f>
        <v>Movie</v>
      </c>
    </row>
    <row r="6983">
      <c r="A6983" s="1" t="s">
        <v>34430</v>
      </c>
      <c r="B6983" s="1" t="s">
        <v>37</v>
      </c>
      <c r="C6983" s="1" t="s">
        <v>34431</v>
      </c>
      <c r="E6983" s="1" t="s">
        <v>34432</v>
      </c>
      <c r="F6983" s="1" t="s">
        <v>30</v>
      </c>
      <c r="G6983" s="1" t="s">
        <v>27569</v>
      </c>
      <c r="H6983" s="1">
        <v>2016.0</v>
      </c>
      <c r="I6983" s="1" t="s">
        <v>206</v>
      </c>
      <c r="J6983" s="1" t="s">
        <v>51</v>
      </c>
      <c r="K6983" s="1" t="s">
        <v>290</v>
      </c>
      <c r="L6983" s="1" t="s">
        <v>34433</v>
      </c>
      <c r="M6983" s="2" t="s">
        <v>12</v>
      </c>
      <c r="N6983" s="4">
        <f t="shared" si="1"/>
        <v>42948</v>
      </c>
      <c r="O6983" s="5" t="str">
        <f>IFERROR(__xludf.DUMMYFUNCTION("IF(REGEXMATCH(TRIM(I6983), ""^\d+\s*min""), ""Unclassified"", IF(I6983 = """", ""NR"", I6983))"),"TV-Y")</f>
        <v>TV-Y</v>
      </c>
      <c r="R6983" s="5" t="str">
        <f t="shared" si="2"/>
        <v>Hogie The Globehopper</v>
      </c>
      <c r="S6983" s="5" t="str">
        <f>IFERROR(__xludf.DUMMYFUNCTION("""COMPUTED_VALUE"""),"The Car: Road To Revenge")</f>
        <v>The Car: Road To Revenge</v>
      </c>
      <c r="V6983" s="5"/>
      <c r="Y6983" s="5" t="str">
        <f>IFERROR(__xludf.DUMMYFUNCTION("REGEXEXTRACT(J6983, ""^\d+"")"),"1")</f>
        <v>1</v>
      </c>
      <c r="Z6983" s="5" t="str">
        <f>IFERROR(__xludf.DUMMYFUNCTION("REGEXEXTRACT(J6983, ""[A-Za-z ]+$"")")," Season")</f>
        <v> Season</v>
      </c>
      <c r="AA6983" s="5" t="str">
        <f>IFERROR(__xludf.DUMMYFUNCTION("IF(REGEXMATCH(Z6983, ""Season""), ""TV Show"", ""Movie"")"),"TV Show")</f>
        <v>TV Show</v>
      </c>
    </row>
    <row r="6984">
      <c r="A6984" s="1" t="s">
        <v>34434</v>
      </c>
      <c r="B6984" s="1" t="s">
        <v>27</v>
      </c>
      <c r="C6984" s="1" t="s">
        <v>34435</v>
      </c>
      <c r="D6984" s="1" t="s">
        <v>1371</v>
      </c>
      <c r="E6984" s="1" t="s">
        <v>34436</v>
      </c>
      <c r="F6984" s="1" t="s">
        <v>188</v>
      </c>
      <c r="G6984" s="1" t="s">
        <v>28526</v>
      </c>
      <c r="H6984" s="1">
        <v>2006.0</v>
      </c>
      <c r="I6984" s="1" t="s">
        <v>42</v>
      </c>
      <c r="J6984" s="1" t="s">
        <v>870</v>
      </c>
      <c r="K6984" s="1" t="s">
        <v>583</v>
      </c>
      <c r="L6984" s="1" t="s">
        <v>34437</v>
      </c>
      <c r="M6984" s="2" t="s">
        <v>12</v>
      </c>
      <c r="N6984" s="4">
        <f t="shared" si="1"/>
        <v>42804</v>
      </c>
      <c r="O6984" s="5" t="str">
        <f>IFERROR(__xludf.DUMMYFUNCTION("IF(REGEXMATCH(TRIM(I6984), ""^\d+\s*min""), ""Unclassified"", IF(I6984 = """", ""NR"", I6984))"),"TV-MA")</f>
        <v>TV-MA</v>
      </c>
      <c r="R6984" s="5" t="str">
        <f t="shared" si="2"/>
        <v>Hokkabaz</v>
      </c>
      <c r="S6984" s="5" t="str">
        <f>IFERROR(__xludf.DUMMYFUNCTION("""COMPUTED_VALUE"""),"The Carter Effect")</f>
        <v>The Carter Effect</v>
      </c>
      <c r="V6984" s="5"/>
      <c r="Y6984" s="5" t="str">
        <f>IFERROR(__xludf.DUMMYFUNCTION("REGEXEXTRACT(J6984, ""^\d+"")"),"118")</f>
        <v>118</v>
      </c>
      <c r="Z6984" s="5" t="str">
        <f>IFERROR(__xludf.DUMMYFUNCTION("REGEXEXTRACT(J6984, ""[A-Za-z ]+$"")")," min")</f>
        <v> min</v>
      </c>
      <c r="AA6984" s="5" t="str">
        <f>IFERROR(__xludf.DUMMYFUNCTION("IF(REGEXMATCH(Z6984, ""Season""), ""TV Show"", ""Movie"")"),"Movie")</f>
        <v>Movie</v>
      </c>
    </row>
    <row r="6985">
      <c r="A6985" s="1" t="s">
        <v>34438</v>
      </c>
      <c r="B6985" s="1" t="s">
        <v>27</v>
      </c>
      <c r="C6985" s="1" t="s">
        <v>34439</v>
      </c>
      <c r="D6985" s="1" t="s">
        <v>16678</v>
      </c>
      <c r="E6985" s="1" t="s">
        <v>34440</v>
      </c>
      <c r="F6985" s="1" t="s">
        <v>221</v>
      </c>
      <c r="G6985" s="1" t="s">
        <v>29574</v>
      </c>
      <c r="H6985" s="1">
        <v>2015.0</v>
      </c>
      <c r="I6985" s="1" t="s">
        <v>42</v>
      </c>
      <c r="J6985" s="1" t="s">
        <v>757</v>
      </c>
      <c r="K6985" s="1" t="s">
        <v>4958</v>
      </c>
      <c r="L6985" s="1" t="s">
        <v>34441</v>
      </c>
      <c r="M6985" s="2" t="s">
        <v>12</v>
      </c>
      <c r="N6985" s="4">
        <f t="shared" si="1"/>
        <v>42583</v>
      </c>
      <c r="O6985" s="5" t="str">
        <f>IFERROR(__xludf.DUMMYFUNCTION("IF(REGEXMATCH(TRIM(I6985), ""^\d+\s*min""), ""Unclassified"", IF(I6985 = """", ""NR"", I6985))"),"TV-MA")</f>
        <v>TV-MA</v>
      </c>
      <c r="R6985" s="5" t="str">
        <f t="shared" si="2"/>
        <v>Holding The Man</v>
      </c>
      <c r="S6985" s="5" t="str">
        <f>IFERROR(__xludf.DUMMYFUNCTION("""COMPUTED_VALUE"""),"The Case For Christ")</f>
        <v>The Case For Christ</v>
      </c>
      <c r="V6985" s="5"/>
      <c r="Y6985" s="5" t="str">
        <f>IFERROR(__xludf.DUMMYFUNCTION("REGEXEXTRACT(J6985, ""^\d+"")"),"128")</f>
        <v>128</v>
      </c>
      <c r="Z6985" s="5" t="str">
        <f>IFERROR(__xludf.DUMMYFUNCTION("REGEXEXTRACT(J6985, ""[A-Za-z ]+$"")")," min")</f>
        <v> min</v>
      </c>
      <c r="AA6985" s="5" t="str">
        <f>IFERROR(__xludf.DUMMYFUNCTION("IF(REGEXMATCH(Z6985, ""Season""), ""TV Show"", ""Movie"")"),"Movie")</f>
        <v>Movie</v>
      </c>
    </row>
    <row r="6986">
      <c r="A6986" s="1" t="s">
        <v>34442</v>
      </c>
      <c r="B6986" s="1" t="s">
        <v>27</v>
      </c>
      <c r="C6986" s="1" t="s">
        <v>34443</v>
      </c>
      <c r="D6986" s="1" t="s">
        <v>34444</v>
      </c>
      <c r="E6986" s="1" t="s">
        <v>34445</v>
      </c>
      <c r="F6986" s="1" t="s">
        <v>34446</v>
      </c>
      <c r="G6986" s="1" t="s">
        <v>29612</v>
      </c>
      <c r="H6986" s="1">
        <v>2016.0</v>
      </c>
      <c r="I6986" s="1" t="s">
        <v>42</v>
      </c>
      <c r="J6986" s="1" t="s">
        <v>256</v>
      </c>
      <c r="K6986" s="1" t="s">
        <v>4525</v>
      </c>
      <c r="L6986" s="1" t="s">
        <v>34447</v>
      </c>
      <c r="M6986" s="2" t="s">
        <v>12</v>
      </c>
      <c r="N6986" s="4">
        <f t="shared" si="1"/>
        <v>42566</v>
      </c>
      <c r="O6986" s="5" t="str">
        <f>IFERROR(__xludf.DUMMYFUNCTION("IF(REGEXMATCH(TRIM(I6986), ""^\d+\s*min""), ""Unclassified"", IF(I6986 = """", ""NR"", I6986))"),"TV-MA")</f>
        <v>TV-MA</v>
      </c>
      <c r="R6986" s="5" t="str">
        <f t="shared" si="2"/>
        <v>Holidays</v>
      </c>
      <c r="S6986" s="5" t="str">
        <f>IFERROR(__xludf.DUMMYFUNCTION("""COMPUTED_VALUE"""),"The Casketeers")</f>
        <v>The Casketeers</v>
      </c>
      <c r="V6986" s="5"/>
      <c r="Y6986" s="5" t="str">
        <f>IFERROR(__xludf.DUMMYFUNCTION("REGEXEXTRACT(J6986, ""^\d+"")"),"106")</f>
        <v>106</v>
      </c>
      <c r="Z6986" s="5" t="str">
        <f>IFERROR(__xludf.DUMMYFUNCTION("REGEXEXTRACT(J6986, ""[A-Za-z ]+$"")")," min")</f>
        <v> min</v>
      </c>
      <c r="AA6986" s="5" t="str">
        <f>IFERROR(__xludf.DUMMYFUNCTION("IF(REGEXMATCH(Z6986, ""Season""), ""TV Show"", ""Movie"")"),"Movie")</f>
        <v>Movie</v>
      </c>
    </row>
    <row r="6987">
      <c r="A6987" s="1" t="s">
        <v>34448</v>
      </c>
      <c r="B6987" s="1" t="s">
        <v>27</v>
      </c>
      <c r="C6987" s="1" t="s">
        <v>34449</v>
      </c>
      <c r="D6987" s="1" t="s">
        <v>23560</v>
      </c>
      <c r="F6987" s="1" t="s">
        <v>30</v>
      </c>
      <c r="G6987" s="1" t="s">
        <v>29495</v>
      </c>
      <c r="H6987" s="1">
        <v>2016.0</v>
      </c>
      <c r="I6987" s="1" t="s">
        <v>30231</v>
      </c>
      <c r="J6987" s="1" t="s">
        <v>238</v>
      </c>
      <c r="K6987" s="1" t="s">
        <v>34</v>
      </c>
      <c r="L6987" s="1" t="s">
        <v>34450</v>
      </c>
      <c r="M6987" s="2" t="s">
        <v>12</v>
      </c>
      <c r="N6987" s="4">
        <f t="shared" si="1"/>
        <v>42614</v>
      </c>
      <c r="O6987" s="5" t="str">
        <f>IFERROR(__xludf.DUMMYFUNCTION("IF(REGEXMATCH(TRIM(I6987), ""^\d+\s*min""), ""Unclassified"", IF(I6987 = """", ""NR"", I6987))"),"NR")</f>
        <v>NR</v>
      </c>
      <c r="R6987" s="5" t="str">
        <f t="shared" si="2"/>
        <v>Holy Hell</v>
      </c>
      <c r="S6987" s="5" t="str">
        <f>IFERROR(__xludf.DUMMYFUNCTION("""COMPUTED_VALUE"""),"The Cat In The Hat Knows A Lot About That!")</f>
        <v>The Cat In The Hat Knows A Lot About That!</v>
      </c>
      <c r="V6987" s="5"/>
      <c r="Y6987" s="5" t="str">
        <f>IFERROR(__xludf.DUMMYFUNCTION("REGEXEXTRACT(J6987, ""^\d+"")"),"103")</f>
        <v>103</v>
      </c>
      <c r="Z6987" s="5" t="str">
        <f>IFERROR(__xludf.DUMMYFUNCTION("REGEXEXTRACT(J6987, ""[A-Za-z ]+$"")")," min")</f>
        <v> min</v>
      </c>
      <c r="AA6987" s="5" t="str">
        <f>IFERROR(__xludf.DUMMYFUNCTION("IF(REGEXMATCH(Z6987, ""Season""), ""TV Show"", ""Movie"")"),"Movie")</f>
        <v>Movie</v>
      </c>
    </row>
    <row r="6988">
      <c r="A6988" s="1" t="s">
        <v>34451</v>
      </c>
      <c r="B6988" s="1" t="s">
        <v>27</v>
      </c>
      <c r="C6988" s="1" t="s">
        <v>34452</v>
      </c>
      <c r="D6988" s="1" t="s">
        <v>17080</v>
      </c>
      <c r="E6988" s="1" t="s">
        <v>34453</v>
      </c>
      <c r="F6988" s="1" t="s">
        <v>2796</v>
      </c>
      <c r="G6988" s="1" t="s">
        <v>24986</v>
      </c>
      <c r="H6988" s="1">
        <v>2008.0</v>
      </c>
      <c r="I6988" s="1" t="s">
        <v>97</v>
      </c>
      <c r="J6988" s="1" t="s">
        <v>665</v>
      </c>
      <c r="K6988" s="1" t="s">
        <v>34454</v>
      </c>
      <c r="L6988" s="1" t="s">
        <v>34455</v>
      </c>
      <c r="M6988" s="2" t="s">
        <v>12</v>
      </c>
      <c r="N6988" s="4">
        <f t="shared" si="1"/>
        <v>43311</v>
      </c>
      <c r="O6988" s="5" t="str">
        <f>IFERROR(__xludf.DUMMYFUNCTION("IF(REGEXMATCH(TRIM(I6988), ""^\d+\s*min""), ""Unclassified"", IF(I6988 = """", ""NR"", I6988))"),"TV-14")</f>
        <v>TV-14</v>
      </c>
      <c r="R6988" s="5" t="str">
        <f t="shared" si="2"/>
        <v>Holy Man 2</v>
      </c>
      <c r="S6988" s="5" t="str">
        <f>IFERROR(__xludf.DUMMYFUNCTION("""COMPUTED_VALUE"""),"The Cell")</f>
        <v>The Cell</v>
      </c>
      <c r="V6988" s="5"/>
      <c r="Y6988" s="5" t="str">
        <f>IFERROR(__xludf.DUMMYFUNCTION("REGEXEXTRACT(J6988, ""^\d+"")"),"92")</f>
        <v>92</v>
      </c>
      <c r="Z6988" s="5" t="str">
        <f>IFERROR(__xludf.DUMMYFUNCTION("REGEXEXTRACT(J6988, ""[A-Za-z ]+$"")")," min")</f>
        <v> min</v>
      </c>
      <c r="AA6988" s="5" t="str">
        <f>IFERROR(__xludf.DUMMYFUNCTION("IF(REGEXMATCH(Z6988, ""Season""), ""TV Show"", ""Movie"")"),"Movie")</f>
        <v>Movie</v>
      </c>
    </row>
    <row r="6989">
      <c r="A6989" s="1" t="s">
        <v>34456</v>
      </c>
      <c r="B6989" s="1" t="s">
        <v>27</v>
      </c>
      <c r="C6989" s="1" t="s">
        <v>34457</v>
      </c>
      <c r="D6989" s="1" t="s">
        <v>17080</v>
      </c>
      <c r="E6989" s="1" t="s">
        <v>34458</v>
      </c>
      <c r="F6989" s="1" t="s">
        <v>2796</v>
      </c>
      <c r="G6989" s="1" t="s">
        <v>24986</v>
      </c>
      <c r="H6989" s="1">
        <v>2010.0</v>
      </c>
      <c r="I6989" s="1" t="s">
        <v>42</v>
      </c>
      <c r="J6989" s="1" t="s">
        <v>447</v>
      </c>
      <c r="K6989" s="1" t="s">
        <v>34454</v>
      </c>
      <c r="L6989" s="1" t="s">
        <v>34459</v>
      </c>
      <c r="M6989" s="2" t="s">
        <v>12</v>
      </c>
      <c r="N6989" s="4">
        <f t="shared" si="1"/>
        <v>43311</v>
      </c>
      <c r="O6989" s="5" t="str">
        <f>IFERROR(__xludf.DUMMYFUNCTION("IF(REGEXMATCH(TRIM(I6989), ""^\d+\s*min""), ""Unclassified"", IF(I6989 = """", ""NR"", I6989))"),"TV-MA")</f>
        <v>TV-MA</v>
      </c>
      <c r="R6989" s="5" t="str">
        <f t="shared" si="2"/>
        <v>Holy Man 3</v>
      </c>
      <c r="S6989" s="5" t="str">
        <f>IFERROR(__xludf.DUMMYFUNCTION("""COMPUTED_VALUE"""),"The Ceo")</f>
        <v>The Ceo</v>
      </c>
      <c r="V6989" s="5"/>
      <c r="Y6989" s="5" t="str">
        <f>IFERROR(__xludf.DUMMYFUNCTION("REGEXEXTRACT(J6989, ""^\d+"")"),"102")</f>
        <v>102</v>
      </c>
      <c r="Z6989" s="5" t="str">
        <f>IFERROR(__xludf.DUMMYFUNCTION("REGEXEXTRACT(J6989, ""[A-Za-z ]+$"")")," min")</f>
        <v> min</v>
      </c>
      <c r="AA6989" s="5" t="str">
        <f>IFERROR(__xludf.DUMMYFUNCTION("IF(REGEXMATCH(Z6989, ""Season""), ""TV Show"", ""Movie"")"),"Movie")</f>
        <v>Movie</v>
      </c>
    </row>
    <row r="6990">
      <c r="A6990" s="1" t="s">
        <v>34460</v>
      </c>
      <c r="B6990" s="1" t="s">
        <v>27</v>
      </c>
      <c r="C6990" s="1" t="s">
        <v>34461</v>
      </c>
      <c r="D6990" s="1" t="s">
        <v>18750</v>
      </c>
      <c r="E6990" s="1" t="s">
        <v>34462</v>
      </c>
      <c r="F6990" s="1" t="s">
        <v>63</v>
      </c>
      <c r="G6990" s="7">
        <v>43221.0</v>
      </c>
      <c r="H6990" s="1">
        <v>2017.0</v>
      </c>
      <c r="I6990" s="1" t="s">
        <v>97</v>
      </c>
      <c r="J6990" s="1" t="s">
        <v>3458</v>
      </c>
      <c r="K6990" s="1" t="s">
        <v>128</v>
      </c>
      <c r="L6990" s="1" t="s">
        <v>34463</v>
      </c>
      <c r="M6990" s="2" t="s">
        <v>12</v>
      </c>
      <c r="N6990" s="4">
        <f t="shared" si="1"/>
        <v>43221</v>
      </c>
      <c r="O6990" s="5" t="str">
        <f>IFERROR(__xludf.DUMMYFUNCTION("IF(REGEXMATCH(TRIM(I6990), ""^\d+\s*min""), ""Unclassified"", IF(I6990 = """", ""NR"", I6990))"),"TV-14")</f>
        <v>TV-14</v>
      </c>
      <c r="R6990" s="5" t="str">
        <f t="shared" si="2"/>
        <v>Hombanna</v>
      </c>
      <c r="S6990" s="5" t="str">
        <f>IFERROR(__xludf.DUMMYFUNCTION("""COMPUTED_VALUE"""),"The Chair")</f>
        <v>The Chair</v>
      </c>
      <c r="V6990" s="5"/>
      <c r="Y6990" s="5" t="str">
        <f>IFERROR(__xludf.DUMMYFUNCTION("REGEXEXTRACT(J6990, ""^\d+"")"),"126")</f>
        <v>126</v>
      </c>
      <c r="Z6990" s="5" t="str">
        <f>IFERROR(__xludf.DUMMYFUNCTION("REGEXEXTRACT(J6990, ""[A-Za-z ]+$"")")," min")</f>
        <v> min</v>
      </c>
      <c r="AA6990" s="5" t="str">
        <f>IFERROR(__xludf.DUMMYFUNCTION("IF(REGEXMATCH(Z6990, ""Season""), ""TV Show"", ""Movie"")"),"Movie")</f>
        <v>Movie</v>
      </c>
    </row>
    <row r="6991">
      <c r="A6991" s="1" t="s">
        <v>34464</v>
      </c>
      <c r="B6991" s="1" t="s">
        <v>27</v>
      </c>
      <c r="C6991" s="1" t="s">
        <v>34465</v>
      </c>
      <c r="D6991" s="1" t="s">
        <v>2120</v>
      </c>
      <c r="E6991" s="1" t="s">
        <v>34466</v>
      </c>
      <c r="G6991" s="1" t="s">
        <v>18794</v>
      </c>
      <c r="H6991" s="1">
        <v>2019.0</v>
      </c>
      <c r="I6991" s="1" t="s">
        <v>136</v>
      </c>
      <c r="J6991" s="1" t="s">
        <v>5120</v>
      </c>
      <c r="K6991" s="1" t="s">
        <v>89</v>
      </c>
      <c r="L6991" s="1" t="s">
        <v>34467</v>
      </c>
      <c r="M6991" s="2" t="s">
        <v>12</v>
      </c>
      <c r="N6991" s="4">
        <f t="shared" si="1"/>
        <v>43753</v>
      </c>
      <c r="O6991" s="5" t="str">
        <f>IFERROR(__xludf.DUMMYFUNCTION("IF(REGEXMATCH(TRIM(I6991), ""^\d+\s*min""), ""Unclassified"", IF(I6991 = """", ""NR"", I6991))"),"TV-PG")</f>
        <v>TV-PG</v>
      </c>
      <c r="R6991" s="5" t="str">
        <f t="shared" si="2"/>
        <v>Homeland</v>
      </c>
      <c r="S6991" s="5" t="str">
        <f>IFERROR(__xludf.DUMMYFUNCTION("""COMPUTED_VALUE"""),"The Chalet")</f>
        <v>The Chalet</v>
      </c>
      <c r="V6991" s="5"/>
      <c r="Y6991" s="5" t="str">
        <f>IFERROR(__xludf.DUMMYFUNCTION("REGEXEXTRACT(J6991, ""^\d+"")"),"73")</f>
        <v>73</v>
      </c>
      <c r="Z6991" s="5" t="str">
        <f>IFERROR(__xludf.DUMMYFUNCTION("REGEXEXTRACT(J6991, ""[A-Za-z ]+$"")")," min")</f>
        <v> min</v>
      </c>
      <c r="AA6991" s="5" t="str">
        <f>IFERROR(__xludf.DUMMYFUNCTION("IF(REGEXMATCH(Z6991, ""Season""), ""TV Show"", ""Movie"")"),"Movie")</f>
        <v>Movie</v>
      </c>
    </row>
    <row r="6992">
      <c r="A6992" s="1" t="s">
        <v>34468</v>
      </c>
      <c r="B6992" s="1" t="s">
        <v>27</v>
      </c>
      <c r="C6992" s="1" t="s">
        <v>34469</v>
      </c>
      <c r="D6992" s="1" t="s">
        <v>3420</v>
      </c>
      <c r="E6992" s="1" t="s">
        <v>34470</v>
      </c>
      <c r="F6992" s="1" t="s">
        <v>30</v>
      </c>
      <c r="G6992" s="1" t="s">
        <v>18985</v>
      </c>
      <c r="H6992" s="1">
        <v>2011.0</v>
      </c>
      <c r="I6992" s="1" t="s">
        <v>32</v>
      </c>
      <c r="J6992" s="1" t="s">
        <v>264</v>
      </c>
      <c r="K6992" s="1" t="s">
        <v>828</v>
      </c>
      <c r="L6992" s="1" t="s">
        <v>34471</v>
      </c>
      <c r="M6992" s="2" t="s">
        <v>12</v>
      </c>
      <c r="N6992" s="4">
        <f t="shared" si="1"/>
        <v>43739</v>
      </c>
      <c r="O6992" s="5" t="str">
        <f>IFERROR(__xludf.DUMMYFUNCTION("IF(REGEXMATCH(TRIM(I6992), ""^\d+\s*min""), ""Unclassified"", IF(I6992 = """", ""NR"", I6992))"),"PG-13")</f>
        <v>PG-13</v>
      </c>
      <c r="R6992" s="5" t="str">
        <f t="shared" si="2"/>
        <v>Honey 2</v>
      </c>
      <c r="S6992" s="5" t="str">
        <f>IFERROR(__xludf.DUMMYFUNCTION("""COMPUTED_VALUE"""),"The Challenge")</f>
        <v>The Challenge</v>
      </c>
      <c r="V6992" s="5"/>
      <c r="Y6992" s="5" t="str">
        <f>IFERROR(__xludf.DUMMYFUNCTION("REGEXEXTRACT(J6992, ""^\d+"")"),"111")</f>
        <v>111</v>
      </c>
      <c r="Z6992" s="5" t="str">
        <f>IFERROR(__xludf.DUMMYFUNCTION("REGEXEXTRACT(J6992, ""[A-Za-z ]+$"")")," min")</f>
        <v> min</v>
      </c>
      <c r="AA6992" s="5" t="str">
        <f>IFERROR(__xludf.DUMMYFUNCTION("IF(REGEXMATCH(Z6992, ""Season""), ""TV Show"", ""Movie"")"),"Movie")</f>
        <v>Movie</v>
      </c>
    </row>
    <row r="6993">
      <c r="A6993" s="1" t="s">
        <v>34472</v>
      </c>
      <c r="B6993" s="1" t="s">
        <v>27</v>
      </c>
      <c r="C6993" s="1" t="s">
        <v>34473</v>
      </c>
      <c r="D6993" s="1" t="s">
        <v>3420</v>
      </c>
      <c r="E6993" s="1" t="s">
        <v>34474</v>
      </c>
      <c r="F6993" s="1" t="s">
        <v>30</v>
      </c>
      <c r="G6993" s="1" t="s">
        <v>25827</v>
      </c>
      <c r="H6993" s="1">
        <v>2018.0</v>
      </c>
      <c r="I6993" s="1" t="s">
        <v>32</v>
      </c>
      <c r="J6993" s="1" t="s">
        <v>433</v>
      </c>
      <c r="K6993" s="1" t="s">
        <v>805</v>
      </c>
      <c r="L6993" s="1" t="s">
        <v>34475</v>
      </c>
      <c r="M6993" s="2" t="s">
        <v>12</v>
      </c>
      <c r="N6993" s="4">
        <f t="shared" si="1"/>
        <v>43193</v>
      </c>
      <c r="O6993" s="5" t="str">
        <f>IFERROR(__xludf.DUMMYFUNCTION("IF(REGEXMATCH(TRIM(I6993), ""^\d+\s*min""), ""Unclassified"", IF(I6993 = """", ""NR"", I6993))"),"PG-13")</f>
        <v>PG-13</v>
      </c>
      <c r="R6993" s="5" t="str">
        <f t="shared" si="2"/>
        <v>Honey: Rise Up And Dance</v>
      </c>
      <c r="S6993" s="5" t="str">
        <f>IFERROR(__xludf.DUMMYFUNCTION("""COMPUTED_VALUE"""),"The Charming Stepmom")</f>
        <v>The Charming Stepmom</v>
      </c>
      <c r="V6993" s="5"/>
      <c r="Y6993" s="5" t="str">
        <f>IFERROR(__xludf.DUMMYFUNCTION("REGEXEXTRACT(J6993, ""^\d+"")"),"100")</f>
        <v>100</v>
      </c>
      <c r="Z6993" s="5" t="str">
        <f>IFERROR(__xludf.DUMMYFUNCTION("REGEXEXTRACT(J6993, ""[A-Za-z ]+$"")")," min")</f>
        <v> min</v>
      </c>
      <c r="AA6993" s="5" t="str">
        <f>IFERROR(__xludf.DUMMYFUNCTION("IF(REGEXMATCH(Z6993, ""Season""), ""TV Show"", ""Movie"")"),"Movie")</f>
        <v>Movie</v>
      </c>
    </row>
    <row r="6994">
      <c r="A6994" s="1" t="s">
        <v>34476</v>
      </c>
      <c r="B6994" s="1" t="s">
        <v>27</v>
      </c>
      <c r="C6994" s="1" t="s">
        <v>34477</v>
      </c>
      <c r="D6994" s="1" t="s">
        <v>16008</v>
      </c>
      <c r="E6994" s="1" t="s">
        <v>34478</v>
      </c>
      <c r="F6994" s="1" t="s">
        <v>30</v>
      </c>
      <c r="G6994" s="1" t="s">
        <v>23530</v>
      </c>
      <c r="H6994" s="1">
        <v>2011.0</v>
      </c>
      <c r="I6994" s="1" t="s">
        <v>78</v>
      </c>
      <c r="J6994" s="1" t="s">
        <v>1144</v>
      </c>
      <c r="K6994" s="1" t="s">
        <v>137</v>
      </c>
      <c r="L6994" s="1" t="s">
        <v>34479</v>
      </c>
      <c r="M6994" s="2" t="s">
        <v>12</v>
      </c>
      <c r="N6994" s="4">
        <f t="shared" si="1"/>
        <v>43407</v>
      </c>
      <c r="O6994" s="5" t="str">
        <f>IFERROR(__xludf.DUMMYFUNCTION("IF(REGEXMATCH(TRIM(I6994), ""^\d+\s*min""), ""Unclassified"", IF(I6994 = """", ""NR"", I6994))"),"PG")</f>
        <v>PG</v>
      </c>
      <c r="R6994" s="5" t="str">
        <f t="shared" si="2"/>
        <v>Hoodwinked Too! Hood Vs. Evil</v>
      </c>
      <c r="S6994" s="5" t="str">
        <f>IFERROR(__xludf.DUMMYFUNCTION("""COMPUTED_VALUE"""),"The Charnel House")</f>
        <v>The Charnel House</v>
      </c>
      <c r="V6994" s="5"/>
      <c r="Y6994" s="5" t="str">
        <f>IFERROR(__xludf.DUMMYFUNCTION("REGEXEXTRACT(J6994, ""^\d+"")"),"86")</f>
        <v>86</v>
      </c>
      <c r="Z6994" s="5" t="str">
        <f>IFERROR(__xludf.DUMMYFUNCTION("REGEXEXTRACT(J6994, ""[A-Za-z ]+$"")")," min")</f>
        <v> min</v>
      </c>
      <c r="AA6994" s="5" t="str">
        <f>IFERROR(__xludf.DUMMYFUNCTION("IF(REGEXMATCH(Z6994, ""Season""), ""TV Show"", ""Movie"")"),"Movie")</f>
        <v>Movie</v>
      </c>
    </row>
    <row r="6995">
      <c r="A6995" s="1" t="s">
        <v>34480</v>
      </c>
      <c r="B6995" s="1" t="s">
        <v>27</v>
      </c>
      <c r="C6995" s="1" t="s">
        <v>34481</v>
      </c>
      <c r="D6995" s="1" t="s">
        <v>21849</v>
      </c>
      <c r="E6995" s="1" t="s">
        <v>34482</v>
      </c>
      <c r="F6995" s="1" t="s">
        <v>63</v>
      </c>
      <c r="G6995" s="1" t="s">
        <v>24649</v>
      </c>
      <c r="H6995" s="1">
        <v>2018.0</v>
      </c>
      <c r="I6995" s="1" t="s">
        <v>97</v>
      </c>
      <c r="J6995" s="1" t="s">
        <v>465</v>
      </c>
      <c r="K6995" s="1" t="s">
        <v>2242</v>
      </c>
      <c r="L6995" s="1" t="s">
        <v>34483</v>
      </c>
      <c r="M6995" s="2" t="s">
        <v>12</v>
      </c>
      <c r="N6995" s="4">
        <f t="shared" si="1"/>
        <v>43344</v>
      </c>
      <c r="O6995" s="5" t="str">
        <f>IFERROR(__xludf.DUMMYFUNCTION("IF(REGEXMATCH(TRIM(I6995), ""^\d+\s*min""), ""Unclassified"", IF(I6995 = """", ""NR"", I6995))"),"TV-14")</f>
        <v>TV-14</v>
      </c>
      <c r="R6995" s="5" t="str">
        <f t="shared" si="2"/>
        <v>Hope Aur Hum</v>
      </c>
      <c r="S6995" s="5" t="str">
        <f>IFERROR(__xludf.DUMMYFUNCTION("""COMPUTED_VALUE"""),"The Chase")</f>
        <v>The Chase</v>
      </c>
      <c r="V6995" s="5"/>
      <c r="Y6995" s="5" t="str">
        <f>IFERROR(__xludf.DUMMYFUNCTION("REGEXEXTRACT(J6995, ""^\d+"")"),"95")</f>
        <v>95</v>
      </c>
      <c r="Z6995" s="5" t="str">
        <f>IFERROR(__xludf.DUMMYFUNCTION("REGEXEXTRACT(J6995, ""[A-Za-z ]+$"")")," min")</f>
        <v> min</v>
      </c>
      <c r="AA6995" s="5" t="str">
        <f>IFERROR(__xludf.DUMMYFUNCTION("IF(REGEXMATCH(Z6995, ""Season""), ""TV Show"", ""Movie"")"),"Movie")</f>
        <v>Movie</v>
      </c>
    </row>
    <row r="6996">
      <c r="A6996" s="1" t="s">
        <v>34484</v>
      </c>
      <c r="B6996" s="1" t="s">
        <v>27</v>
      </c>
      <c r="C6996" s="1" t="s">
        <v>34485</v>
      </c>
      <c r="D6996" s="1" t="s">
        <v>9856</v>
      </c>
      <c r="E6996" s="1" t="s">
        <v>34486</v>
      </c>
      <c r="F6996" s="1" t="s">
        <v>30</v>
      </c>
      <c r="G6996" s="1" t="s">
        <v>23509</v>
      </c>
      <c r="H6996" s="1">
        <v>2018.0</v>
      </c>
      <c r="I6996" s="1" t="s">
        <v>78</v>
      </c>
      <c r="J6996" s="1" t="s">
        <v>6391</v>
      </c>
      <c r="K6996" s="1" t="s">
        <v>805</v>
      </c>
      <c r="L6996" s="1" t="s">
        <v>34487</v>
      </c>
      <c r="M6996" s="2" t="s">
        <v>12</v>
      </c>
      <c r="N6996" s="4">
        <f t="shared" si="1"/>
        <v>43412</v>
      </c>
      <c r="O6996" s="5" t="str">
        <f>IFERROR(__xludf.DUMMYFUNCTION("IF(REGEXMATCH(TRIM(I6996), ""^\d+\s*min""), ""Unclassified"", IF(I6996 = """", ""NR"", I6996))"),"PG")</f>
        <v>PG</v>
      </c>
      <c r="R6996" s="5" t="str">
        <f t="shared" si="2"/>
        <v>Hope Springs Eternal</v>
      </c>
      <c r="S6996" s="5" t="str">
        <f>IFERROR(__xludf.DUMMYFUNCTION("""COMPUTED_VALUE"""),"The Chef Show")</f>
        <v>The Chef Show</v>
      </c>
      <c r="V6996" s="5"/>
      <c r="Y6996" s="5" t="str">
        <f>IFERROR(__xludf.DUMMYFUNCTION("REGEXEXTRACT(J6996, ""^\d+"")"),"79")</f>
        <v>79</v>
      </c>
      <c r="Z6996" s="5" t="str">
        <f>IFERROR(__xludf.DUMMYFUNCTION("REGEXEXTRACT(J6996, ""[A-Za-z ]+$"")")," min")</f>
        <v> min</v>
      </c>
      <c r="AA6996" s="5" t="str">
        <f>IFERROR(__xludf.DUMMYFUNCTION("IF(REGEXMATCH(Z6996, ""Season""), ""TV Show"", ""Movie"")"),"Movie")</f>
        <v>Movie</v>
      </c>
    </row>
    <row r="6997">
      <c r="A6997" s="1" t="s">
        <v>34488</v>
      </c>
      <c r="B6997" s="1" t="s">
        <v>27</v>
      </c>
      <c r="C6997" s="1" t="s">
        <v>34489</v>
      </c>
      <c r="D6997" s="1" t="s">
        <v>3878</v>
      </c>
      <c r="E6997" s="1" t="s">
        <v>34490</v>
      </c>
      <c r="F6997" s="1" t="s">
        <v>30271</v>
      </c>
      <c r="G6997" s="1" t="s">
        <v>17333</v>
      </c>
      <c r="H6997" s="1">
        <v>2017.0</v>
      </c>
      <c r="I6997" s="1" t="s">
        <v>97</v>
      </c>
      <c r="J6997" s="1" t="s">
        <v>2452</v>
      </c>
      <c r="K6997" s="1" t="s">
        <v>520</v>
      </c>
      <c r="L6997" s="1" t="s">
        <v>34491</v>
      </c>
      <c r="M6997" s="2" t="s">
        <v>12</v>
      </c>
      <c r="N6997" s="4">
        <f t="shared" si="1"/>
        <v>43814</v>
      </c>
      <c r="O6997" s="5" t="str">
        <f>IFERROR(__xludf.DUMMYFUNCTION("IF(REGEXMATCH(TRIM(I6997), ""^\d+\s*min""), ""Unclassified"", IF(I6997 = """", ""NR"", I6997))"),"TV-14")</f>
        <v>TV-14</v>
      </c>
      <c r="R6997" s="5" t="str">
        <f t="shared" si="2"/>
        <v>Hope: One In A Billion</v>
      </c>
      <c r="S6997" s="5" t="str">
        <f>IFERROR(__xludf.DUMMYFUNCTION("""COMPUTED_VALUE"""),"The Chefs' Line")</f>
        <v>The Chefs' Line</v>
      </c>
      <c r="V6997" s="5"/>
      <c r="Y6997" s="5" t="str">
        <f>IFERROR(__xludf.DUMMYFUNCTION("REGEXEXTRACT(J6997, ""^\d+"")"),"81")</f>
        <v>81</v>
      </c>
      <c r="Z6997" s="5" t="str">
        <f>IFERROR(__xludf.DUMMYFUNCTION("REGEXEXTRACT(J6997, ""[A-Za-z ]+$"")")," min")</f>
        <v> min</v>
      </c>
      <c r="AA6997" s="5" t="str">
        <f>IFERROR(__xludf.DUMMYFUNCTION("IF(REGEXMATCH(Z6997, ""Season""), ""TV Show"", ""Movie"")"),"Movie")</f>
        <v>Movie</v>
      </c>
    </row>
    <row r="6998">
      <c r="A6998" s="1" t="s">
        <v>34492</v>
      </c>
      <c r="B6998" s="1" t="s">
        <v>37</v>
      </c>
      <c r="C6998" s="1" t="s">
        <v>34493</v>
      </c>
      <c r="E6998" s="1" t="s">
        <v>34494</v>
      </c>
      <c r="F6998" s="1" t="s">
        <v>2796</v>
      </c>
      <c r="G6998" s="1" t="s">
        <v>25236</v>
      </c>
      <c r="H6998" s="1">
        <v>2015.0</v>
      </c>
      <c r="I6998" s="1" t="s">
        <v>42</v>
      </c>
      <c r="J6998" s="1" t="s">
        <v>276</v>
      </c>
      <c r="K6998" s="1" t="s">
        <v>1907</v>
      </c>
      <c r="L6998" s="1" t="s">
        <v>34495</v>
      </c>
      <c r="M6998" s="2" t="s">
        <v>12</v>
      </c>
      <c r="N6998" s="4">
        <f t="shared" si="1"/>
        <v>43281</v>
      </c>
      <c r="O6998" s="5" t="str">
        <f>IFERROR(__xludf.DUMMYFUNCTION("IF(REGEXMATCH(TRIM(I6998), ""^\d+\s*min""), ""Unclassified"", IF(I6998 = """", ""NR"", I6998))"),"TV-MA")</f>
        <v>TV-MA</v>
      </c>
      <c r="R6998" s="5" t="str">
        <f t="shared" si="2"/>
        <v>Hormones</v>
      </c>
      <c r="S6998" s="5" t="str">
        <f>IFERROR(__xludf.DUMMYFUNCTION("""COMPUTED_VALUE"""),"The Chord")</f>
        <v>The Chord</v>
      </c>
      <c r="V6998" s="5"/>
      <c r="Y6998" s="5" t="str">
        <f>IFERROR(__xludf.DUMMYFUNCTION("REGEXEXTRACT(J6998, ""^\d+"")"),"3")</f>
        <v>3</v>
      </c>
      <c r="Z6998" s="5" t="str">
        <f>IFERROR(__xludf.DUMMYFUNCTION("REGEXEXTRACT(J6998, ""[A-Za-z ]+$"")")," Seasons")</f>
        <v> Seasons</v>
      </c>
      <c r="AA6998" s="5" t="str">
        <f>IFERROR(__xludf.DUMMYFUNCTION("IF(REGEXMATCH(Z6998, ""Season""), ""TV Show"", ""Movie"")"),"TV Show")</f>
        <v>TV Show</v>
      </c>
    </row>
    <row r="6999">
      <c r="A6999" s="1" t="s">
        <v>34496</v>
      </c>
      <c r="B6999" s="1" t="s">
        <v>27</v>
      </c>
      <c r="C6999" s="1" t="s">
        <v>34497</v>
      </c>
      <c r="D6999" s="1" t="s">
        <v>1230</v>
      </c>
      <c r="E6999" s="1" t="s">
        <v>34498</v>
      </c>
      <c r="F6999" s="1" t="s">
        <v>897</v>
      </c>
      <c r="G6999" s="1" t="s">
        <v>19813</v>
      </c>
      <c r="H6999" s="1">
        <v>2013.0</v>
      </c>
      <c r="I6999" s="1" t="s">
        <v>378</v>
      </c>
      <c r="J6999" s="1" t="s">
        <v>985</v>
      </c>
      <c r="K6999" s="1" t="s">
        <v>34499</v>
      </c>
      <c r="L6999" s="1" t="s">
        <v>34500</v>
      </c>
      <c r="M6999" s="2" t="s">
        <v>12</v>
      </c>
      <c r="N6999" s="4">
        <f t="shared" si="1"/>
        <v>43678</v>
      </c>
      <c r="O6999" s="5" t="str">
        <f>IFERROR(__xludf.DUMMYFUNCTION("IF(REGEXMATCH(TRIM(I6999), ""^\d+\s*min""), ""Unclassified"", IF(I6999 = """", ""NR"", I6999))"),"R")</f>
        <v>R</v>
      </c>
      <c r="R6999" s="5" t="str">
        <f t="shared" si="2"/>
        <v>Horns</v>
      </c>
      <c r="S6999" s="5" t="str">
        <f>IFERROR(__xludf.DUMMYFUNCTION("""COMPUTED_VALUE"""),"The Chosen")</f>
        <v>The Chosen</v>
      </c>
      <c r="V6999" s="5"/>
      <c r="Y6999" s="5" t="str">
        <f>IFERROR(__xludf.DUMMYFUNCTION("REGEXEXTRACT(J6999, ""^\d+"")"),"120")</f>
        <v>120</v>
      </c>
      <c r="Z6999" s="5" t="str">
        <f>IFERROR(__xludf.DUMMYFUNCTION("REGEXEXTRACT(J6999, ""[A-Za-z ]+$"")")," min")</f>
        <v> min</v>
      </c>
      <c r="AA6999" s="5" t="str">
        <f>IFERROR(__xludf.DUMMYFUNCTION("IF(REGEXMATCH(Z6999, ""Season""), ""TV Show"", ""Movie"")"),"Movie")</f>
        <v>Movie</v>
      </c>
    </row>
    <row r="7000">
      <c r="A7000" s="1" t="s">
        <v>34501</v>
      </c>
      <c r="B7000" s="1" t="s">
        <v>37</v>
      </c>
      <c r="C7000" s="1" t="s">
        <v>34502</v>
      </c>
      <c r="E7000" s="1" t="s">
        <v>34503</v>
      </c>
      <c r="F7000" s="1" t="s">
        <v>96</v>
      </c>
      <c r="G7000" s="1" t="s">
        <v>18971</v>
      </c>
      <c r="H7000" s="1">
        <v>2016.0</v>
      </c>
      <c r="I7000" s="1" t="s">
        <v>97</v>
      </c>
      <c r="J7000" s="1" t="s">
        <v>51</v>
      </c>
      <c r="K7000" s="1" t="s">
        <v>544</v>
      </c>
      <c r="L7000" s="1" t="s">
        <v>34504</v>
      </c>
      <c r="M7000" s="2" t="s">
        <v>12</v>
      </c>
      <c r="N7000" s="4">
        <f t="shared" si="1"/>
        <v>43740</v>
      </c>
      <c r="O7000" s="5" t="str">
        <f>IFERROR(__xludf.DUMMYFUNCTION("IF(REGEXMATCH(TRIM(I7000), ""^\d+\s*min""), ""Unclassified"", IF(I7000 = """", ""NR"", I7000))"),"TV-14")</f>
        <v>TV-14</v>
      </c>
      <c r="R7000" s="5" t="str">
        <f t="shared" si="2"/>
        <v>Horror Homes</v>
      </c>
      <c r="S7000" s="5" t="str">
        <f>IFERROR(__xludf.DUMMYFUNCTION("""COMPUTED_VALUE"""),"The Chosen One")</f>
        <v>The Chosen One</v>
      </c>
      <c r="V7000" s="5"/>
      <c r="Y7000" s="5" t="str">
        <f>IFERROR(__xludf.DUMMYFUNCTION("REGEXEXTRACT(J7000, ""^\d+"")"),"1")</f>
        <v>1</v>
      </c>
      <c r="Z7000" s="5" t="str">
        <f>IFERROR(__xludf.DUMMYFUNCTION("REGEXEXTRACT(J7000, ""[A-Za-z ]+$"")")," Season")</f>
        <v> Season</v>
      </c>
      <c r="AA7000" s="5" t="str">
        <f>IFERROR(__xludf.DUMMYFUNCTION("IF(REGEXMATCH(Z7000, ""Season""), ""TV Show"", ""Movie"")"),"TV Show")</f>
        <v>TV Show</v>
      </c>
    </row>
    <row r="7001">
      <c r="A7001" s="1" t="s">
        <v>34505</v>
      </c>
      <c r="B7001" s="1" t="s">
        <v>27</v>
      </c>
      <c r="C7001" s="1" t="s">
        <v>34506</v>
      </c>
      <c r="D7001" s="1" t="s">
        <v>2854</v>
      </c>
      <c r="E7001" s="1" t="s">
        <v>34507</v>
      </c>
      <c r="F7001" s="1" t="s">
        <v>63</v>
      </c>
      <c r="G7001" s="1" t="s">
        <v>21216</v>
      </c>
      <c r="H7001" s="1">
        <v>2013.0</v>
      </c>
      <c r="I7001" s="1" t="s">
        <v>97</v>
      </c>
      <c r="J7001" s="1" t="s">
        <v>471</v>
      </c>
      <c r="K7001" s="1" t="s">
        <v>1441</v>
      </c>
      <c r="L7001" s="1" t="s">
        <v>34508</v>
      </c>
      <c r="M7001" s="2" t="s">
        <v>12</v>
      </c>
      <c r="N7001" s="4">
        <f t="shared" si="1"/>
        <v>43567</v>
      </c>
      <c r="O7001" s="5" t="str">
        <f>IFERROR(__xludf.DUMMYFUNCTION("IF(REGEXMATCH(TRIM(I7001), ""^\d+\s*min""), ""Unclassified"", IF(I7001 = """", ""NR"", I7001))"),"TV-14")</f>
        <v>TV-14</v>
      </c>
      <c r="R7001" s="5" t="str">
        <f t="shared" si="2"/>
        <v>Horror Story</v>
      </c>
      <c r="S7001" s="5" t="str">
        <f>IFERROR(__xludf.DUMMYFUNCTION("""COMPUTED_VALUE"""),"The Chosen Ones")</f>
        <v>The Chosen Ones</v>
      </c>
      <c r="V7001" s="5"/>
      <c r="Y7001" s="5" t="str">
        <f>IFERROR(__xludf.DUMMYFUNCTION("REGEXEXTRACT(J7001, ""^\d+"")"),"85")</f>
        <v>85</v>
      </c>
      <c r="Z7001" s="5" t="str">
        <f>IFERROR(__xludf.DUMMYFUNCTION("REGEXEXTRACT(J7001, ""[A-Za-z ]+$"")")," min")</f>
        <v> min</v>
      </c>
      <c r="AA7001" s="5" t="str">
        <f>IFERROR(__xludf.DUMMYFUNCTION("IF(REGEXMATCH(Z7001, ""Season""), ""TV Show"", ""Movie"")"),"Movie")</f>
        <v>Movie</v>
      </c>
    </row>
    <row r="7002">
      <c r="A7002" s="1" t="s">
        <v>34509</v>
      </c>
      <c r="B7002" s="1" t="s">
        <v>27</v>
      </c>
      <c r="C7002" s="1" t="s">
        <v>34510</v>
      </c>
      <c r="D7002" s="1" t="s">
        <v>15062</v>
      </c>
      <c r="F7002" s="1" t="s">
        <v>34511</v>
      </c>
      <c r="G7002" s="1" t="s">
        <v>28769</v>
      </c>
      <c r="H7002" s="1">
        <v>2016.0</v>
      </c>
      <c r="I7002" s="1" t="s">
        <v>97</v>
      </c>
      <c r="J7002" s="1" t="s">
        <v>322</v>
      </c>
      <c r="K7002" s="1" t="s">
        <v>156</v>
      </c>
      <c r="L7002" s="1" t="s">
        <v>34512</v>
      </c>
      <c r="M7002" s="2" t="s">
        <v>12</v>
      </c>
      <c r="N7002" s="4">
        <f t="shared" si="1"/>
        <v>42750</v>
      </c>
      <c r="O7002" s="5" t="str">
        <f>IFERROR(__xludf.DUMMYFUNCTION("IF(REGEXMATCH(TRIM(I7002), ""^\d+\s*min""), ""Unclassified"", IF(I7002 = """", ""NR"", I7002))"),"TV-14")</f>
        <v>TV-14</v>
      </c>
      <c r="R7002" s="5" t="str">
        <f t="shared" si="2"/>
        <v>Hostage To The Devil</v>
      </c>
      <c r="S7002" s="5" t="str">
        <f>IFERROR(__xludf.DUMMYFUNCTION("""COMPUTED_VALUE"""),"The Christmas Candle")</f>
        <v>The Christmas Candle</v>
      </c>
      <c r="V7002" s="5"/>
      <c r="Y7002" s="5" t="str">
        <f>IFERROR(__xludf.DUMMYFUNCTION("REGEXEXTRACT(J7002, ""^\d+"")"),"96")</f>
        <v>96</v>
      </c>
      <c r="Z7002" s="5" t="str">
        <f>IFERROR(__xludf.DUMMYFUNCTION("REGEXEXTRACT(J7002, ""[A-Za-z ]+$"")")," min")</f>
        <v> min</v>
      </c>
      <c r="AA7002" s="5" t="str">
        <f>IFERROR(__xludf.DUMMYFUNCTION("IF(REGEXMATCH(Z7002, ""Season""), ""TV Show"", ""Movie"")"),"Movie")</f>
        <v>Movie</v>
      </c>
    </row>
    <row r="7003">
      <c r="A7003" s="1" t="s">
        <v>34513</v>
      </c>
      <c r="B7003" s="1" t="s">
        <v>27</v>
      </c>
      <c r="C7003" s="1" t="s">
        <v>34514</v>
      </c>
      <c r="D7003" s="1" t="s">
        <v>7533</v>
      </c>
      <c r="G7003" s="1" t="s">
        <v>26320</v>
      </c>
      <c r="H7003" s="1">
        <v>2017.0</v>
      </c>
      <c r="I7003" s="1" t="s">
        <v>136</v>
      </c>
      <c r="J7003" s="1" t="s">
        <v>79</v>
      </c>
      <c r="K7003" s="1" t="s">
        <v>156</v>
      </c>
      <c r="L7003" s="1" t="s">
        <v>34515</v>
      </c>
      <c r="M7003" s="2" t="s">
        <v>12</v>
      </c>
      <c r="N7003" s="4">
        <f t="shared" si="1"/>
        <v>43129</v>
      </c>
      <c r="O7003" s="5" t="str">
        <f>IFERROR(__xludf.DUMMYFUNCTION("IF(REGEXMATCH(TRIM(I7003), ""^\d+\s*min""), ""Unclassified"", IF(I7003 = """", ""NR"", I7003))"),"TV-PG")</f>
        <v>TV-PG</v>
      </c>
      <c r="R7003" s="5" t="str">
        <f t="shared" si="2"/>
        <v>Hostages</v>
      </c>
      <c r="S7003" s="5" t="str">
        <f>IFERROR(__xludf.DUMMYFUNCTION("""COMPUTED_VALUE"""),"The Christmas Chronicles")</f>
        <v>The Christmas Chronicles</v>
      </c>
      <c r="V7003" s="5"/>
      <c r="Y7003" s="5" t="str">
        <f>IFERROR(__xludf.DUMMYFUNCTION("REGEXEXTRACT(J7003, ""^\d+"")"),"91")</f>
        <v>91</v>
      </c>
      <c r="Z7003" s="5" t="str">
        <f>IFERROR(__xludf.DUMMYFUNCTION("REGEXEXTRACT(J7003, ""[A-Za-z ]+$"")")," min")</f>
        <v> min</v>
      </c>
      <c r="AA7003" s="5" t="str">
        <f>IFERROR(__xludf.DUMMYFUNCTION("IF(REGEXMATCH(Z7003, ""Season""), ""TV Show"", ""Movie"")"),"Movie")</f>
        <v>Movie</v>
      </c>
    </row>
    <row r="7004">
      <c r="A7004" s="1" t="s">
        <v>34516</v>
      </c>
      <c r="B7004" s="1" t="s">
        <v>27</v>
      </c>
      <c r="C7004" s="1" t="s">
        <v>34517</v>
      </c>
      <c r="D7004" s="1" t="s">
        <v>20590</v>
      </c>
      <c r="E7004" s="1" t="s">
        <v>34518</v>
      </c>
      <c r="F7004" s="1" t="s">
        <v>30</v>
      </c>
      <c r="G7004" s="1" t="s">
        <v>24808</v>
      </c>
      <c r="H7004" s="1">
        <v>2017.0</v>
      </c>
      <c r="I7004" s="1" t="s">
        <v>378</v>
      </c>
      <c r="J7004" s="1" t="s">
        <v>7413</v>
      </c>
      <c r="K7004" s="1" t="s">
        <v>805</v>
      </c>
      <c r="L7004" s="1" t="s">
        <v>34519</v>
      </c>
      <c r="M7004" s="2" t="s">
        <v>12</v>
      </c>
      <c r="N7004" s="4">
        <f t="shared" si="1"/>
        <v>43327</v>
      </c>
      <c r="O7004" s="5" t="str">
        <f>IFERROR(__xludf.DUMMYFUNCTION("IF(REGEXMATCH(TRIM(I7004), ""^\d+\s*min""), ""Unclassified"", IF(I7004 = """", ""NR"", I7004))"),"R")</f>
        <v>R</v>
      </c>
      <c r="R7004" s="5" t="str">
        <f t="shared" si="2"/>
        <v>Hostiles</v>
      </c>
      <c r="S7004" s="5" t="str">
        <f>IFERROR(__xludf.DUMMYFUNCTION("""COMPUTED_VALUE"""),"The Christmas Chronicles: Part Two")</f>
        <v>The Christmas Chronicles: Part Two</v>
      </c>
      <c r="V7004" s="5"/>
      <c r="Y7004" s="5" t="str">
        <f>IFERROR(__xludf.DUMMYFUNCTION("REGEXEXTRACT(J7004, ""^\d+"")"),"134")</f>
        <v>134</v>
      </c>
      <c r="Z7004" s="5" t="str">
        <f>IFERROR(__xludf.DUMMYFUNCTION("REGEXEXTRACT(J7004, ""[A-Za-z ]+$"")")," min")</f>
        <v> min</v>
      </c>
      <c r="AA7004" s="5" t="str">
        <f>IFERROR(__xludf.DUMMYFUNCTION("IF(REGEXMATCH(Z7004, ""Season""), ""TV Show"", ""Movie"")"),"Movie")</f>
        <v>Movie</v>
      </c>
    </row>
    <row r="7005">
      <c r="A7005" s="1" t="s">
        <v>34520</v>
      </c>
      <c r="B7005" s="1" t="s">
        <v>27</v>
      </c>
      <c r="C7005" s="1" t="s">
        <v>34521</v>
      </c>
      <c r="D7005" s="1" t="s">
        <v>15772</v>
      </c>
      <c r="E7005" s="1" t="s">
        <v>34522</v>
      </c>
      <c r="F7005" s="1" t="s">
        <v>30</v>
      </c>
      <c r="G7005" s="1" t="s">
        <v>29755</v>
      </c>
      <c r="H7005" s="1">
        <v>2016.0</v>
      </c>
      <c r="I7005" s="1" t="s">
        <v>30231</v>
      </c>
      <c r="J7005" s="1" t="s">
        <v>454</v>
      </c>
      <c r="K7005" s="1" t="s">
        <v>239</v>
      </c>
      <c r="L7005" s="1" t="s">
        <v>34523</v>
      </c>
      <c r="M7005" s="2" t="s">
        <v>12</v>
      </c>
      <c r="N7005" s="4">
        <f t="shared" si="1"/>
        <v>42430</v>
      </c>
      <c r="O7005" s="5" t="str">
        <f>IFERROR(__xludf.DUMMYFUNCTION("IF(REGEXMATCH(TRIM(I7005), ""^\d+\s*min""), ""Unclassified"", IF(I7005 = """", ""NR"", I7005))"),"NR")</f>
        <v>NR</v>
      </c>
      <c r="R7005" s="5" t="str">
        <f t="shared" si="2"/>
        <v>Hot Bot</v>
      </c>
      <c r="S7005" s="5" t="str">
        <f>IFERROR(__xludf.DUMMYFUNCTION("""COMPUTED_VALUE"""),"The Christmas Project")</f>
        <v>The Christmas Project</v>
      </c>
      <c r="V7005" s="5"/>
      <c r="Y7005" s="5" t="str">
        <f>IFERROR(__xludf.DUMMYFUNCTION("REGEXEXTRACT(J7005, ""^\d+"")"),"93")</f>
        <v>93</v>
      </c>
      <c r="Z7005" s="5" t="str">
        <f>IFERROR(__xludf.DUMMYFUNCTION("REGEXEXTRACT(J7005, ""[A-Za-z ]+$"")")," min")</f>
        <v> min</v>
      </c>
      <c r="AA7005" s="5" t="str">
        <f>IFERROR(__xludf.DUMMYFUNCTION("IF(REGEXMATCH(Z7005, ""Season""), ""TV Show"", ""Movie"")"),"Movie")</f>
        <v>Movie</v>
      </c>
    </row>
    <row r="7006">
      <c r="A7006" s="1" t="s">
        <v>34524</v>
      </c>
      <c r="B7006" s="1" t="s">
        <v>27</v>
      </c>
      <c r="C7006" s="1" t="s">
        <v>34525</v>
      </c>
      <c r="D7006" s="1" t="s">
        <v>34526</v>
      </c>
      <c r="E7006" s="1" t="s">
        <v>34527</v>
      </c>
      <c r="F7006" s="1" t="s">
        <v>96</v>
      </c>
      <c r="G7006" s="1" t="s">
        <v>34528</v>
      </c>
      <c r="H7006" s="1">
        <v>2016.0</v>
      </c>
      <c r="I7006" s="1" t="s">
        <v>42</v>
      </c>
      <c r="J7006" s="1" t="s">
        <v>1001</v>
      </c>
      <c r="K7006" s="1" t="s">
        <v>1749</v>
      </c>
      <c r="L7006" s="1" t="s">
        <v>34529</v>
      </c>
      <c r="M7006" s="2" t="s">
        <v>12</v>
      </c>
      <c r="N7006" s="4">
        <f t="shared" si="1"/>
        <v>42960</v>
      </c>
      <c r="O7006" s="5" t="str">
        <f>IFERROR(__xludf.DUMMYFUNCTION("IF(REGEXMATCH(TRIM(I7006), ""^\d+\s*min""), ""Unclassified"", IF(I7006 = """", ""NR"", I7006))"),"TV-MA")</f>
        <v>TV-MA</v>
      </c>
      <c r="R7006" s="5" t="str">
        <f t="shared" si="2"/>
        <v>Hot Property</v>
      </c>
      <c r="S7006" s="5" t="str">
        <f>IFERROR(__xludf.DUMMYFUNCTION("""COMPUTED_VALUE"""),"The Cincinnati Kid")</f>
        <v>The Cincinnati Kid</v>
      </c>
      <c r="V7006" s="5"/>
      <c r="Y7006" s="5" t="str">
        <f>IFERROR(__xludf.DUMMYFUNCTION("REGEXEXTRACT(J7006, ""^\d+"")"),"82")</f>
        <v>82</v>
      </c>
      <c r="Z7006" s="5" t="str">
        <f>IFERROR(__xludf.DUMMYFUNCTION("REGEXEXTRACT(J7006, ""[A-Za-z ]+$"")")," min")</f>
        <v> min</v>
      </c>
      <c r="AA7006" s="5" t="str">
        <f>IFERROR(__xludf.DUMMYFUNCTION("IF(REGEXMATCH(Z7006, ""Season""), ""TV Show"", ""Movie"")"),"Movie")</f>
        <v>Movie</v>
      </c>
    </row>
    <row r="7007">
      <c r="A7007" s="1" t="s">
        <v>34530</v>
      </c>
      <c r="B7007" s="1" t="s">
        <v>27</v>
      </c>
      <c r="C7007" s="1" t="s">
        <v>34531</v>
      </c>
      <c r="D7007" s="1" t="s">
        <v>793</v>
      </c>
      <c r="E7007" s="1" t="s">
        <v>34532</v>
      </c>
      <c r="F7007" s="1" t="s">
        <v>30</v>
      </c>
      <c r="G7007" s="1" t="s">
        <v>17941</v>
      </c>
      <c r="H7007" s="1">
        <v>2007.0</v>
      </c>
      <c r="I7007" s="1" t="s">
        <v>32</v>
      </c>
      <c r="J7007" s="1" t="s">
        <v>428</v>
      </c>
      <c r="K7007" s="1" t="s">
        <v>10251</v>
      </c>
      <c r="L7007" s="1" t="s">
        <v>34533</v>
      </c>
      <c r="M7007" s="2" t="s">
        <v>12</v>
      </c>
      <c r="N7007" s="4">
        <f t="shared" si="1"/>
        <v>43789</v>
      </c>
      <c r="O7007" s="5" t="str">
        <f>IFERROR(__xludf.DUMMYFUNCTION("IF(REGEXMATCH(TRIM(I7007), ""^\d+\s*min""), ""Unclassified"", IF(I7007 = """", ""NR"", I7007))"),"PG-13")</f>
        <v>PG-13</v>
      </c>
      <c r="R7007" s="5" t="str">
        <f t="shared" si="2"/>
        <v>Hot Rod</v>
      </c>
      <c r="S7007" s="5" t="str">
        <f>IFERROR(__xludf.DUMMYFUNCTION("""COMPUTED_VALUE"""),"The Circle")</f>
        <v>The Circle</v>
      </c>
      <c r="V7007" s="5"/>
      <c r="Y7007" s="5" t="str">
        <f>IFERROR(__xludf.DUMMYFUNCTION("REGEXEXTRACT(J7007, ""^\d+"")"),"88")</f>
        <v>88</v>
      </c>
      <c r="Z7007" s="5" t="str">
        <f>IFERROR(__xludf.DUMMYFUNCTION("REGEXEXTRACT(J7007, ""[A-Za-z ]+$"")")," min")</f>
        <v> min</v>
      </c>
      <c r="AA7007" s="5" t="str">
        <f>IFERROR(__xludf.DUMMYFUNCTION("IF(REGEXMATCH(Z7007, ""Season""), ""TV Show"", ""Movie"")"),"Movie")</f>
        <v>Movie</v>
      </c>
    </row>
    <row r="7008">
      <c r="A7008" s="1" t="s">
        <v>34534</v>
      </c>
      <c r="B7008" s="1" t="s">
        <v>37</v>
      </c>
      <c r="C7008" s="1" t="s">
        <v>34535</v>
      </c>
      <c r="E7008" s="1" t="s">
        <v>34536</v>
      </c>
      <c r="F7008" s="1" t="s">
        <v>671</v>
      </c>
      <c r="G7008" s="1" t="s">
        <v>28495</v>
      </c>
      <c r="H7008" s="1">
        <v>2017.0</v>
      </c>
      <c r="I7008" s="1" t="s">
        <v>97</v>
      </c>
      <c r="J7008" s="1" t="s">
        <v>51</v>
      </c>
      <c r="K7008" s="1" t="s">
        <v>1362</v>
      </c>
      <c r="L7008" s="1" t="s">
        <v>34537</v>
      </c>
      <c r="M7008" s="2" t="s">
        <v>12</v>
      </c>
      <c r="N7008" s="4">
        <f t="shared" si="1"/>
        <v>42810</v>
      </c>
      <c r="O7008" s="5" t="str">
        <f>IFERROR(__xludf.DUMMYFUNCTION("IF(REGEXMATCH(TRIM(I7008), ""^\d+\s*min""), ""Unclassified"", IF(I7008 = """", ""NR"", I7008))"),"TV-14")</f>
        <v>TV-14</v>
      </c>
      <c r="R7008" s="5" t="str">
        <f t="shared" si="2"/>
        <v>Hotel Beau Séjour</v>
      </c>
      <c r="S7008" s="5" t="str">
        <f>IFERROR(__xludf.DUMMYFUNCTION("""COMPUTED_VALUE"""),"The Circle - The Afterparty")</f>
        <v>The Circle - The Afterparty</v>
      </c>
      <c r="V7008" s="5"/>
      <c r="Y7008" s="5" t="str">
        <f>IFERROR(__xludf.DUMMYFUNCTION("REGEXEXTRACT(J7008, ""^\d+"")"),"1")</f>
        <v>1</v>
      </c>
      <c r="Z7008" s="5" t="str">
        <f>IFERROR(__xludf.DUMMYFUNCTION("REGEXEXTRACT(J7008, ""[A-Za-z ]+$"")")," Season")</f>
        <v> Season</v>
      </c>
      <c r="AA7008" s="5" t="str">
        <f>IFERROR(__xludf.DUMMYFUNCTION("IF(REGEXMATCH(Z7008, ""Season""), ""TV Show"", ""Movie"")"),"TV Show")</f>
        <v>TV Show</v>
      </c>
    </row>
    <row r="7009">
      <c r="A7009" s="1" t="s">
        <v>34538</v>
      </c>
      <c r="B7009" s="1" t="s">
        <v>27</v>
      </c>
      <c r="C7009" s="1" t="s">
        <v>34539</v>
      </c>
      <c r="D7009" s="1" t="s">
        <v>10187</v>
      </c>
      <c r="E7009" s="1" t="s">
        <v>34540</v>
      </c>
      <c r="F7009" s="1" t="s">
        <v>34541</v>
      </c>
      <c r="G7009" s="1" t="s">
        <v>18985</v>
      </c>
      <c r="H7009" s="1">
        <v>1975.0</v>
      </c>
      <c r="I7009" s="1" t="s">
        <v>42</v>
      </c>
      <c r="J7009" s="1" t="s">
        <v>322</v>
      </c>
      <c r="K7009" s="1" t="s">
        <v>2012</v>
      </c>
      <c r="L7009" s="1" t="s">
        <v>34542</v>
      </c>
      <c r="M7009" s="2" t="s">
        <v>12</v>
      </c>
      <c r="N7009" s="4">
        <f t="shared" si="1"/>
        <v>43739</v>
      </c>
      <c r="O7009" s="5" t="str">
        <f>IFERROR(__xludf.DUMMYFUNCTION("IF(REGEXMATCH(TRIM(I7009), ""^\d+\s*min""), ""Unclassified"", IF(I7009 = """", ""NR"", I7009))"),"TV-MA")</f>
        <v>TV-MA</v>
      </c>
      <c r="R7009" s="5" t="str">
        <f t="shared" si="2"/>
        <v>Hotel Pacific</v>
      </c>
      <c r="S7009" s="5" t="str">
        <f>IFERROR(__xludf.DUMMYFUNCTION("""COMPUTED_VALUE"""),"The Circle Brazil")</f>
        <v>The Circle Brazil</v>
      </c>
      <c r="V7009" s="5"/>
      <c r="Y7009" s="5" t="str">
        <f>IFERROR(__xludf.DUMMYFUNCTION("REGEXEXTRACT(J7009, ""^\d+"")"),"96")</f>
        <v>96</v>
      </c>
      <c r="Z7009" s="5" t="str">
        <f>IFERROR(__xludf.DUMMYFUNCTION("REGEXEXTRACT(J7009, ""[A-Za-z ]+$"")")," min")</f>
        <v> min</v>
      </c>
      <c r="AA7009" s="5" t="str">
        <f>IFERROR(__xludf.DUMMYFUNCTION("IF(REGEXMATCH(Z7009, ""Season""), ""TV Show"", ""Movie"")"),"Movie")</f>
        <v>Movie</v>
      </c>
    </row>
    <row r="7010">
      <c r="A7010" s="1" t="s">
        <v>34543</v>
      </c>
      <c r="B7010" s="1" t="s">
        <v>27</v>
      </c>
      <c r="C7010" s="1" t="s">
        <v>34544</v>
      </c>
      <c r="D7010" s="1" t="s">
        <v>8302</v>
      </c>
      <c r="E7010" s="1" t="s">
        <v>34545</v>
      </c>
      <c r="F7010" s="1" t="s">
        <v>30</v>
      </c>
      <c r="G7010" s="1" t="s">
        <v>22413</v>
      </c>
      <c r="H7010" s="1">
        <v>2018.0</v>
      </c>
      <c r="I7010" s="1" t="s">
        <v>78</v>
      </c>
      <c r="J7010" s="1" t="s">
        <v>247</v>
      </c>
      <c r="K7010" s="1" t="s">
        <v>137</v>
      </c>
      <c r="L7010" s="1" t="s">
        <v>34546</v>
      </c>
      <c r="M7010" s="2" t="s">
        <v>12</v>
      </c>
      <c r="N7010" s="4">
        <f t="shared" si="1"/>
        <v>43489</v>
      </c>
      <c r="O7010" s="5" t="str">
        <f>IFERROR(__xludf.DUMMYFUNCTION("IF(REGEXMATCH(TRIM(I7010), ""^\d+\s*min""), ""Unclassified"", IF(I7010 = """", ""NR"", I7010))"),"PG")</f>
        <v>PG</v>
      </c>
      <c r="R7010" s="5" t="str">
        <f t="shared" si="2"/>
        <v>Hotel Transylvania 3: Summer Vacation</v>
      </c>
      <c r="S7010" s="5" t="str">
        <f>IFERROR(__xludf.DUMMYFUNCTION("""COMPUTED_VALUE"""),"The Circle France")</f>
        <v>The Circle France</v>
      </c>
      <c r="V7010" s="5"/>
      <c r="Y7010" s="5" t="str">
        <f>IFERROR(__xludf.DUMMYFUNCTION("REGEXEXTRACT(J7010, ""^\d+"")"),"97")</f>
        <v>97</v>
      </c>
      <c r="Z7010" s="5" t="str">
        <f>IFERROR(__xludf.DUMMYFUNCTION("REGEXEXTRACT(J7010, ""[A-Za-z ]+$"")")," min")</f>
        <v> min</v>
      </c>
      <c r="AA7010" s="5" t="str">
        <f>IFERROR(__xludf.DUMMYFUNCTION("IF(REGEXMATCH(Z7010, ""Season""), ""TV Show"", ""Movie"")"),"Movie")</f>
        <v>Movie</v>
      </c>
    </row>
    <row r="7011">
      <c r="A7011" s="1" t="s">
        <v>34547</v>
      </c>
      <c r="B7011" s="1" t="s">
        <v>27</v>
      </c>
      <c r="C7011" s="1" t="s">
        <v>34548</v>
      </c>
      <c r="D7011" s="1" t="s">
        <v>14952</v>
      </c>
      <c r="E7011" s="1" t="s">
        <v>34549</v>
      </c>
      <c r="F7011" s="1" t="s">
        <v>897</v>
      </c>
      <c r="G7011" s="7">
        <v>43959.0</v>
      </c>
      <c r="H7011" s="1">
        <v>2012.0</v>
      </c>
      <c r="I7011" s="1" t="s">
        <v>32</v>
      </c>
      <c r="J7011" s="1" t="s">
        <v>1091</v>
      </c>
      <c r="K7011" s="1" t="s">
        <v>3768</v>
      </c>
      <c r="L7011" s="1" t="s">
        <v>34550</v>
      </c>
      <c r="M7011" s="2" t="s">
        <v>12</v>
      </c>
      <c r="N7011" s="4">
        <f t="shared" si="1"/>
        <v>43959</v>
      </c>
      <c r="O7011" s="5" t="str">
        <f>IFERROR(__xludf.DUMMYFUNCTION("IF(REGEXMATCH(TRIM(I7011), ""^\d+\s*min""), ""Unclassified"", IF(I7011 = """", ""NR"", I7011))"),"PG-13")</f>
        <v>PG-13</v>
      </c>
      <c r="R7011" s="5" t="str">
        <f t="shared" si="2"/>
        <v>House At The End Of The Street</v>
      </c>
      <c r="S7011" s="5" t="str">
        <f>IFERROR(__xludf.DUMMYFUNCTION("""COMPUTED_VALUE"""),"The Clapper")</f>
        <v>The Clapper</v>
      </c>
      <c r="V7011" s="5"/>
      <c r="Y7011" s="5" t="str">
        <f>IFERROR(__xludf.DUMMYFUNCTION("REGEXEXTRACT(J7011, ""^\d+"")"),"101")</f>
        <v>101</v>
      </c>
      <c r="Z7011" s="5" t="str">
        <f>IFERROR(__xludf.DUMMYFUNCTION("REGEXEXTRACT(J7011, ""[A-Za-z ]+$"")")," min")</f>
        <v> min</v>
      </c>
      <c r="AA7011" s="5" t="str">
        <f>IFERROR(__xludf.DUMMYFUNCTION("IF(REGEXMATCH(Z7011, ""Season""), ""TV Show"", ""Movie"")"),"Movie")</f>
        <v>Movie</v>
      </c>
    </row>
    <row r="7012">
      <c r="A7012" s="1" t="s">
        <v>34551</v>
      </c>
      <c r="B7012" s="1" t="s">
        <v>27</v>
      </c>
      <c r="C7012" s="1" t="s">
        <v>34552</v>
      </c>
      <c r="D7012" s="1" t="s">
        <v>20351</v>
      </c>
      <c r="E7012" s="1" t="s">
        <v>34553</v>
      </c>
      <c r="F7012" s="1" t="s">
        <v>897</v>
      </c>
      <c r="G7012" s="1" t="s">
        <v>26462</v>
      </c>
      <c r="H7012" s="1">
        <v>2016.0</v>
      </c>
      <c r="I7012" s="1" t="s">
        <v>97</v>
      </c>
      <c r="J7012" s="1" t="s">
        <v>428</v>
      </c>
      <c r="K7012" s="1" t="s">
        <v>34</v>
      </c>
      <c r="L7012" s="1" t="s">
        <v>34554</v>
      </c>
      <c r="M7012" s="2" t="s">
        <v>12</v>
      </c>
      <c r="N7012" s="4">
        <f t="shared" si="1"/>
        <v>43106</v>
      </c>
      <c r="O7012" s="5" t="str">
        <f>IFERROR(__xludf.DUMMYFUNCTION("IF(REGEXMATCH(TRIM(I7012), ""^\d+\s*min""), ""Unclassified"", IF(I7012 = """", ""NR"", I7012))"),"TV-14")</f>
        <v>TV-14</v>
      </c>
      <c r="R7012" s="5" t="str">
        <f t="shared" si="2"/>
        <v>House Of Z</v>
      </c>
      <c r="S7012" s="5" t="str">
        <f>IFERROR(__xludf.DUMMYFUNCTION("""COMPUTED_VALUE"""),"The Claudia Kishi Club")</f>
        <v>The Claudia Kishi Club</v>
      </c>
      <c r="V7012" s="5"/>
      <c r="Y7012" s="5" t="str">
        <f>IFERROR(__xludf.DUMMYFUNCTION("REGEXEXTRACT(J7012, ""^\d+"")"),"88")</f>
        <v>88</v>
      </c>
      <c r="Z7012" s="5" t="str">
        <f>IFERROR(__xludf.DUMMYFUNCTION("REGEXEXTRACT(J7012, ""[A-Za-z ]+$"")")," min")</f>
        <v> min</v>
      </c>
      <c r="AA7012" s="5" t="str">
        <f>IFERROR(__xludf.DUMMYFUNCTION("IF(REGEXMATCH(Z7012, ""Season""), ""TV Show"", ""Movie"")"),"Movie")</f>
        <v>Movie</v>
      </c>
    </row>
    <row r="7013">
      <c r="A7013" s="1" t="s">
        <v>34555</v>
      </c>
      <c r="B7013" s="1" t="s">
        <v>27</v>
      </c>
      <c r="C7013" s="1" t="s">
        <v>34556</v>
      </c>
      <c r="D7013" s="1" t="s">
        <v>24029</v>
      </c>
      <c r="E7013" s="1" t="s">
        <v>34557</v>
      </c>
      <c r="F7013" s="1" t="s">
        <v>34558</v>
      </c>
      <c r="G7013" s="1" t="s">
        <v>34559</v>
      </c>
      <c r="H7013" s="1">
        <v>2016.0</v>
      </c>
      <c r="I7013" s="1" t="s">
        <v>97</v>
      </c>
      <c r="J7013" s="1" t="s">
        <v>1608</v>
      </c>
      <c r="K7013" s="1" t="s">
        <v>5295</v>
      </c>
      <c r="L7013" s="1" t="s">
        <v>34560</v>
      </c>
      <c r="M7013" s="2" t="s">
        <v>12</v>
      </c>
      <c r="N7013" s="4">
        <f t="shared" si="1"/>
        <v>42936</v>
      </c>
      <c r="O7013" s="5" t="str">
        <f>IFERROR(__xludf.DUMMYFUNCTION("IF(REGEXMATCH(TRIM(I7013), ""^\d+\s*min""), ""Unclassified"", IF(I7013 = """", ""NR"", I7013))"),"TV-14")</f>
        <v>TV-14</v>
      </c>
      <c r="R7013" s="5" t="str">
        <f t="shared" si="2"/>
        <v>Houston, We Have A Problem!</v>
      </c>
      <c r="S7013" s="5" t="str">
        <f>IFERROR(__xludf.DUMMYFUNCTION("""COMPUTED_VALUE"""),"The Climb")</f>
        <v>The Climb</v>
      </c>
      <c r="V7013" s="5"/>
      <c r="Y7013" s="5" t="str">
        <f>IFERROR(__xludf.DUMMYFUNCTION("REGEXEXTRACT(J7013, ""^\d+"")"),"84")</f>
        <v>84</v>
      </c>
      <c r="Z7013" s="5" t="str">
        <f>IFERROR(__xludf.DUMMYFUNCTION("REGEXEXTRACT(J7013, ""[A-Za-z ]+$"")")," min")</f>
        <v> min</v>
      </c>
      <c r="AA7013" s="5" t="str">
        <f>IFERROR(__xludf.DUMMYFUNCTION("IF(REGEXMATCH(Z7013, ""Season""), ""TV Show"", ""Movie"")"),"Movie")</f>
        <v>Movie</v>
      </c>
    </row>
    <row r="7014">
      <c r="A7014" s="1" t="s">
        <v>34561</v>
      </c>
      <c r="B7014" s="1" t="s">
        <v>27</v>
      </c>
      <c r="C7014" s="1" t="s">
        <v>34562</v>
      </c>
      <c r="D7014" s="1" t="s">
        <v>22734</v>
      </c>
      <c r="E7014" s="1" t="s">
        <v>34563</v>
      </c>
      <c r="F7014" s="1" t="s">
        <v>692</v>
      </c>
      <c r="G7014" s="1" t="s">
        <v>26295</v>
      </c>
      <c r="H7014" s="1">
        <v>2017.0</v>
      </c>
      <c r="I7014" s="1" t="s">
        <v>136</v>
      </c>
      <c r="J7014" s="1" t="s">
        <v>297</v>
      </c>
      <c r="K7014" s="1" t="s">
        <v>700</v>
      </c>
      <c r="L7014" s="1" t="s">
        <v>34564</v>
      </c>
      <c r="M7014" s="2" t="s">
        <v>12</v>
      </c>
      <c r="N7014" s="4">
        <f t="shared" si="1"/>
        <v>43132</v>
      </c>
      <c r="O7014" s="5" t="str">
        <f>IFERROR(__xludf.DUMMYFUNCTION("IF(REGEXMATCH(TRIM(I7014), ""^\d+\s*min""), ""Unclassified"", IF(I7014 = """", ""NR"", I7014))"),"TV-PG")</f>
        <v>TV-PG</v>
      </c>
      <c r="R7014" s="5" t="str">
        <f t="shared" si="2"/>
        <v>How The Beatles Changed The World</v>
      </c>
      <c r="S7014" s="5" t="str">
        <f>IFERROR(__xludf.DUMMYFUNCTION("""COMPUTED_VALUE"""),"The Clovehitch Killer")</f>
        <v>The Clovehitch Killer</v>
      </c>
      <c r="V7014" s="5"/>
      <c r="Y7014" s="5" t="str">
        <f>IFERROR(__xludf.DUMMYFUNCTION("REGEXEXTRACT(J7014, ""^\d+"")"),"110")</f>
        <v>110</v>
      </c>
      <c r="Z7014" s="5" t="str">
        <f>IFERROR(__xludf.DUMMYFUNCTION("REGEXEXTRACT(J7014, ""[A-Za-z ]+$"")")," min")</f>
        <v> min</v>
      </c>
      <c r="AA7014" s="5" t="str">
        <f>IFERROR(__xludf.DUMMYFUNCTION("IF(REGEXMATCH(Z7014, ""Season""), ""TV Show"", ""Movie"")"),"Movie")</f>
        <v>Movie</v>
      </c>
    </row>
    <row r="7015">
      <c r="A7015" s="1" t="s">
        <v>34565</v>
      </c>
      <c r="B7015" s="1" t="s">
        <v>27</v>
      </c>
      <c r="C7015" s="1" t="s">
        <v>34566</v>
      </c>
      <c r="D7015" s="1" t="s">
        <v>6169</v>
      </c>
      <c r="E7015" s="1" t="s">
        <v>34567</v>
      </c>
      <c r="F7015" s="1" t="s">
        <v>30</v>
      </c>
      <c r="G7015" s="1" t="s">
        <v>27988</v>
      </c>
      <c r="H7015" s="1">
        <v>2000.0</v>
      </c>
      <c r="I7015" s="1" t="s">
        <v>78</v>
      </c>
      <c r="J7015" s="1" t="s">
        <v>305</v>
      </c>
      <c r="K7015" s="1" t="s">
        <v>137</v>
      </c>
      <c r="L7015" s="1" t="s">
        <v>34568</v>
      </c>
      <c r="M7015" s="2" t="s">
        <v>12</v>
      </c>
      <c r="N7015" s="4">
        <f t="shared" si="1"/>
        <v>42887</v>
      </c>
      <c r="O7015" s="5" t="str">
        <f>IFERROR(__xludf.DUMMYFUNCTION("IF(REGEXMATCH(TRIM(I7015), ""^\d+\s*min""), ""Unclassified"", IF(I7015 = """", ""NR"", I7015))"),"PG")</f>
        <v>PG</v>
      </c>
      <c r="R7015" s="5" t="str">
        <f t="shared" si="2"/>
        <v>How The Grinch Stole Christmas</v>
      </c>
      <c r="S7015" s="5" t="str">
        <f>IFERROR(__xludf.DUMMYFUNCTION("""COMPUTED_VALUE"""),"The Cloverfield Paradox")</f>
        <v>The Cloverfield Paradox</v>
      </c>
      <c r="V7015" s="5"/>
      <c r="Y7015" s="5" t="str">
        <f>IFERROR(__xludf.DUMMYFUNCTION("REGEXEXTRACT(J7015, ""^\d+"")"),"105")</f>
        <v>105</v>
      </c>
      <c r="Z7015" s="5" t="str">
        <f>IFERROR(__xludf.DUMMYFUNCTION("REGEXEXTRACT(J7015, ""[A-Za-z ]+$"")")," min")</f>
        <v> min</v>
      </c>
      <c r="AA7015" s="5" t="str">
        <f>IFERROR(__xludf.DUMMYFUNCTION("IF(REGEXMATCH(Z7015, ""Season""), ""TV Show"", ""Movie"")"),"Movie")</f>
        <v>Movie</v>
      </c>
    </row>
    <row r="7016">
      <c r="A7016" s="1" t="s">
        <v>34569</v>
      </c>
      <c r="B7016" s="1" t="s">
        <v>27</v>
      </c>
      <c r="C7016" s="1" t="s">
        <v>34570</v>
      </c>
      <c r="D7016" s="1" t="s">
        <v>12737</v>
      </c>
      <c r="E7016" s="1" t="s">
        <v>34571</v>
      </c>
      <c r="F7016" s="1" t="s">
        <v>5541</v>
      </c>
      <c r="G7016" s="1" t="s">
        <v>18333</v>
      </c>
      <c r="H7016" s="1">
        <v>2017.0</v>
      </c>
      <c r="I7016" s="1" t="s">
        <v>32</v>
      </c>
      <c r="J7016" s="1" t="s">
        <v>349</v>
      </c>
      <c r="K7016" s="1" t="s">
        <v>239</v>
      </c>
      <c r="L7016" s="1" t="s">
        <v>34572</v>
      </c>
      <c r="M7016" s="2" t="s">
        <v>12</v>
      </c>
      <c r="N7016" s="4">
        <f t="shared" si="1"/>
        <v>43770</v>
      </c>
      <c r="O7016" s="5" t="str">
        <f>IFERROR(__xludf.DUMMYFUNCTION("IF(REGEXMATCH(TRIM(I7016), ""^\d+\s*min""), ""Unclassified"", IF(I7016 = """", ""NR"", I7016))"),"PG-13")</f>
        <v>PG-13</v>
      </c>
      <c r="R7016" s="5" t="str">
        <f t="shared" si="2"/>
        <v>How To Be A Latin Lover</v>
      </c>
      <c r="S7016" s="5" t="str">
        <f>IFERROR(__xludf.DUMMYFUNCTION("""COMPUTED_VALUE"""),"The Club")</f>
        <v>The Club</v>
      </c>
      <c r="V7016" s="5"/>
      <c r="Y7016" s="5" t="str">
        <f>IFERROR(__xludf.DUMMYFUNCTION("REGEXEXTRACT(J7016, ""^\d+"")"),"116")</f>
        <v>116</v>
      </c>
      <c r="Z7016" s="5" t="str">
        <f>IFERROR(__xludf.DUMMYFUNCTION("REGEXEXTRACT(J7016, ""[A-Za-z ]+$"")")," min")</f>
        <v> min</v>
      </c>
      <c r="AA7016" s="5" t="str">
        <f>IFERROR(__xludf.DUMMYFUNCTION("IF(REGEXMATCH(Z7016, ""Season""), ""TV Show"", ""Movie"")"),"Movie")</f>
        <v>Movie</v>
      </c>
    </row>
    <row r="7017">
      <c r="A7017" s="1" t="s">
        <v>34573</v>
      </c>
      <c r="B7017" s="1" t="s">
        <v>27</v>
      </c>
      <c r="C7017" s="1" t="s">
        <v>34574</v>
      </c>
      <c r="D7017" s="1" t="s">
        <v>13838</v>
      </c>
      <c r="E7017" s="1" t="s">
        <v>34575</v>
      </c>
      <c r="F7017" s="1" t="s">
        <v>30</v>
      </c>
      <c r="G7017" s="1" t="s">
        <v>18333</v>
      </c>
      <c r="H7017" s="1">
        <v>1997.0</v>
      </c>
      <c r="I7017" s="1" t="s">
        <v>378</v>
      </c>
      <c r="J7017" s="1" t="s">
        <v>170</v>
      </c>
      <c r="K7017" s="1" t="s">
        <v>239</v>
      </c>
      <c r="L7017" s="1" t="s">
        <v>34576</v>
      </c>
      <c r="M7017" s="2" t="s">
        <v>12</v>
      </c>
      <c r="N7017" s="4">
        <f t="shared" si="1"/>
        <v>43770</v>
      </c>
      <c r="O7017" s="5" t="str">
        <f>IFERROR(__xludf.DUMMYFUNCTION("IF(REGEXMATCH(TRIM(I7017), ""^\d+\s*min""), ""Unclassified"", IF(I7017 = """", ""NR"", I7017))"),"R")</f>
        <v>R</v>
      </c>
      <c r="R7017" s="5" t="str">
        <f t="shared" si="2"/>
        <v>How To Be A Player</v>
      </c>
      <c r="S7017" s="5" t="str">
        <f>IFERROR(__xludf.DUMMYFUNCTION("""COMPUTED_VALUE"""),"The Code")</f>
        <v>The Code</v>
      </c>
      <c r="V7017" s="5"/>
      <c r="Y7017" s="5" t="str">
        <f>IFERROR(__xludf.DUMMYFUNCTION("REGEXEXTRACT(J7017, ""^\d+"")"),"94")</f>
        <v>94</v>
      </c>
      <c r="Z7017" s="5" t="str">
        <f>IFERROR(__xludf.DUMMYFUNCTION("REGEXEXTRACT(J7017, ""[A-Za-z ]+$"")")," min")</f>
        <v> min</v>
      </c>
      <c r="AA7017" s="5" t="str">
        <f>IFERROR(__xludf.DUMMYFUNCTION("IF(REGEXMATCH(Z7017, ""Season""), ""TV Show"", ""Movie"")"),"Movie")</f>
        <v>Movie</v>
      </c>
    </row>
    <row r="7018">
      <c r="A7018" s="1" t="s">
        <v>34577</v>
      </c>
      <c r="B7018" s="1" t="s">
        <v>27</v>
      </c>
      <c r="C7018" s="1" t="s">
        <v>34578</v>
      </c>
      <c r="D7018" s="1" t="s">
        <v>4430</v>
      </c>
      <c r="F7018" s="1" t="s">
        <v>34579</v>
      </c>
      <c r="G7018" s="1" t="s">
        <v>31602</v>
      </c>
      <c r="H7018" s="1">
        <v>2015.0</v>
      </c>
      <c r="I7018" s="1" t="s">
        <v>30231</v>
      </c>
      <c r="J7018" s="1" t="s">
        <v>297</v>
      </c>
      <c r="K7018" s="1" t="s">
        <v>156</v>
      </c>
      <c r="L7018" s="1" t="s">
        <v>34580</v>
      </c>
      <c r="M7018" s="2" t="s">
        <v>12</v>
      </c>
      <c r="N7018" s="4">
        <f t="shared" si="1"/>
        <v>42370</v>
      </c>
      <c r="O7018" s="5" t="str">
        <f>IFERROR(__xludf.DUMMYFUNCTION("IF(REGEXMATCH(TRIM(I7018), ""^\d+\s*min""), ""Unclassified"", IF(I7018 = """", ""NR"", I7018))"),"NR")</f>
        <v>NR</v>
      </c>
      <c r="R7018" s="5" t="str">
        <f t="shared" si="2"/>
        <v>How To Change The World</v>
      </c>
      <c r="S7018" s="5" t="str">
        <f>IFERROR(__xludf.DUMMYFUNCTION("""COMPUTED_VALUE"""),"The Coldest Game")</f>
        <v>The Coldest Game</v>
      </c>
      <c r="V7018" s="5"/>
      <c r="Y7018" s="5" t="str">
        <f>IFERROR(__xludf.DUMMYFUNCTION("REGEXEXTRACT(J7018, ""^\d+"")"),"110")</f>
        <v>110</v>
      </c>
      <c r="Z7018" s="5" t="str">
        <f>IFERROR(__xludf.DUMMYFUNCTION("REGEXEXTRACT(J7018, ""[A-Za-z ]+$"")")," min")</f>
        <v> min</v>
      </c>
      <c r="AA7018" s="5" t="str">
        <f>IFERROR(__xludf.DUMMYFUNCTION("IF(REGEXMATCH(Z7018, ""Season""), ""TV Show"", ""Movie"")"),"Movie")</f>
        <v>Movie</v>
      </c>
    </row>
    <row r="7019">
      <c r="A7019" s="1" t="s">
        <v>34581</v>
      </c>
      <c r="B7019" s="1" t="s">
        <v>37</v>
      </c>
      <c r="C7019" s="1" t="s">
        <v>34582</v>
      </c>
      <c r="G7019" s="1" t="s">
        <v>24523</v>
      </c>
      <c r="H7019" s="1">
        <v>2018.0</v>
      </c>
      <c r="I7019" s="1" t="s">
        <v>42</v>
      </c>
      <c r="J7019" s="1" t="s">
        <v>51</v>
      </c>
      <c r="K7019" s="1" t="s">
        <v>2382</v>
      </c>
      <c r="L7019" s="1" t="s">
        <v>34583</v>
      </c>
      <c r="M7019" s="2" t="s">
        <v>12</v>
      </c>
      <c r="N7019" s="4">
        <f t="shared" si="1"/>
        <v>43358</v>
      </c>
      <c r="O7019" s="5" t="str">
        <f>IFERROR(__xludf.DUMMYFUNCTION("IF(REGEXMATCH(TRIM(I7019), ""^\d+\s*min""), ""Unclassified"", IF(I7019 = """", ""NR"", I7019))"),"TV-MA")</f>
        <v>TV-MA</v>
      </c>
      <c r="R7019" s="5" t="str">
        <f t="shared" si="2"/>
        <v>How To Live Mortgage Free With Sarah Beeny</v>
      </c>
      <c r="S7019" s="5" t="str">
        <f>IFERROR(__xludf.DUMMYFUNCTION("""COMPUTED_VALUE"""),"The Comedy Lineup")</f>
        <v>The Comedy Lineup</v>
      </c>
      <c r="V7019" s="5"/>
      <c r="Y7019" s="5" t="str">
        <f>IFERROR(__xludf.DUMMYFUNCTION("REGEXEXTRACT(J7019, ""^\d+"")"),"1")</f>
        <v>1</v>
      </c>
      <c r="Z7019" s="5" t="str">
        <f>IFERROR(__xludf.DUMMYFUNCTION("REGEXEXTRACT(J7019, ""[A-Za-z ]+$"")")," Season")</f>
        <v> Season</v>
      </c>
      <c r="AA7019" s="5" t="str">
        <f>IFERROR(__xludf.DUMMYFUNCTION("IF(REGEXMATCH(Z7019, ""Season""), ""TV Show"", ""Movie"")"),"TV Show")</f>
        <v>TV Show</v>
      </c>
    </row>
    <row r="7020">
      <c r="A7020" s="1" t="s">
        <v>34584</v>
      </c>
      <c r="B7020" s="1" t="s">
        <v>27</v>
      </c>
      <c r="C7020" s="1" t="s">
        <v>34585</v>
      </c>
      <c r="D7020" s="1" t="s">
        <v>11034</v>
      </c>
      <c r="E7020" s="1" t="s">
        <v>34586</v>
      </c>
      <c r="F7020" s="1" t="s">
        <v>30</v>
      </c>
      <c r="G7020" s="1" t="s">
        <v>25842</v>
      </c>
      <c r="H7020" s="1">
        <v>1995.0</v>
      </c>
      <c r="I7020" s="1" t="s">
        <v>32</v>
      </c>
      <c r="J7020" s="1" t="s">
        <v>349</v>
      </c>
      <c r="K7020" s="1" t="s">
        <v>828</v>
      </c>
      <c r="L7020" s="1" t="s">
        <v>34587</v>
      </c>
      <c r="M7020" s="2" t="s">
        <v>12</v>
      </c>
      <c r="N7020" s="4">
        <f t="shared" si="1"/>
        <v>43191</v>
      </c>
      <c r="O7020" s="5" t="str">
        <f>IFERROR(__xludf.DUMMYFUNCTION("IF(REGEXMATCH(TRIM(I7020), ""^\d+\s*min""), ""Unclassified"", IF(I7020 = """", ""NR"", I7020))"),"PG-13")</f>
        <v>PG-13</v>
      </c>
      <c r="R7020" s="5" t="str">
        <f t="shared" si="2"/>
        <v>How To Make An American Quilt</v>
      </c>
      <c r="S7020" s="5" t="str">
        <f>IFERROR(__xludf.DUMMYFUNCTION("""COMPUTED_VALUE"""),"The Command")</f>
        <v>The Command</v>
      </c>
      <c r="V7020" s="5"/>
      <c r="Y7020" s="5" t="str">
        <f>IFERROR(__xludf.DUMMYFUNCTION("REGEXEXTRACT(J7020, ""^\d+"")"),"116")</f>
        <v>116</v>
      </c>
      <c r="Z7020" s="5" t="str">
        <f>IFERROR(__xludf.DUMMYFUNCTION("REGEXEXTRACT(J7020, ""[A-Za-z ]+$"")")," min")</f>
        <v> min</v>
      </c>
      <c r="AA7020" s="5" t="str">
        <f>IFERROR(__xludf.DUMMYFUNCTION("IF(REGEXMATCH(Z7020, ""Season""), ""TV Show"", ""Movie"")"),"Movie")</f>
        <v>Movie</v>
      </c>
    </row>
    <row r="7021">
      <c r="A7021" s="1" t="s">
        <v>34588</v>
      </c>
      <c r="B7021" s="1" t="s">
        <v>27</v>
      </c>
      <c r="C7021" s="1" t="s">
        <v>34589</v>
      </c>
      <c r="D7021" s="1" t="s">
        <v>4083</v>
      </c>
      <c r="F7021" s="1" t="s">
        <v>30</v>
      </c>
      <c r="G7021" s="1" t="s">
        <v>29574</v>
      </c>
      <c r="H7021" s="1">
        <v>2016.0</v>
      </c>
      <c r="I7021" s="1" t="s">
        <v>136</v>
      </c>
      <c r="J7021" s="1" t="s">
        <v>7064</v>
      </c>
      <c r="K7021" s="1" t="s">
        <v>34</v>
      </c>
      <c r="L7021" s="1" t="s">
        <v>34590</v>
      </c>
      <c r="M7021" s="2" t="s">
        <v>12</v>
      </c>
      <c r="N7021" s="4">
        <f t="shared" si="1"/>
        <v>42583</v>
      </c>
      <c r="O7021" s="5" t="str">
        <f>IFERROR(__xludf.DUMMYFUNCTION("IF(REGEXMATCH(TRIM(I7021), ""^\d+\s*min""), ""Unclassified"", IF(I7021 = """", ""NR"", I7021))"),"TV-PG")</f>
        <v>TV-PG</v>
      </c>
      <c r="R7021" s="5" t="str">
        <f t="shared" si="2"/>
        <v>How To Win The Us Presidency</v>
      </c>
      <c r="S7021" s="5" t="str">
        <f>IFERROR(__xludf.DUMMYFUNCTION("""COMPUTED_VALUE"""),"The Company Men")</f>
        <v>The Company Men</v>
      </c>
      <c r="V7021" s="5"/>
      <c r="Y7021" s="5" t="str">
        <f>IFERROR(__xludf.DUMMYFUNCTION("REGEXEXTRACT(J7021, ""^\d+"")"),"51")</f>
        <v>51</v>
      </c>
      <c r="Z7021" s="5" t="str">
        <f>IFERROR(__xludf.DUMMYFUNCTION("REGEXEXTRACT(J7021, ""[A-Za-z ]+$"")")," min")</f>
        <v> min</v>
      </c>
      <c r="AA7021" s="5" t="str">
        <f>IFERROR(__xludf.DUMMYFUNCTION("IF(REGEXMATCH(Z7021, ""Season""), ""TV Show"", ""Movie"")"),"Movie")</f>
        <v>Movie</v>
      </c>
    </row>
    <row r="7022">
      <c r="A7022" s="1" t="s">
        <v>34591</v>
      </c>
      <c r="B7022" s="1" t="s">
        <v>27</v>
      </c>
      <c r="C7022" s="1" t="s">
        <v>34592</v>
      </c>
      <c r="D7022" s="1" t="s">
        <v>1533</v>
      </c>
      <c r="E7022" s="1" t="s">
        <v>34593</v>
      </c>
      <c r="F7022" s="1" t="s">
        <v>63</v>
      </c>
      <c r="G7022" s="1" t="s">
        <v>26481</v>
      </c>
      <c r="H7022" s="1">
        <v>2012.0</v>
      </c>
      <c r="I7022" s="1" t="s">
        <v>97</v>
      </c>
      <c r="J7022" s="1" t="s">
        <v>238</v>
      </c>
      <c r="K7022" s="1" t="s">
        <v>128</v>
      </c>
      <c r="L7022" s="1" t="s">
        <v>34594</v>
      </c>
      <c r="M7022" s="2" t="s">
        <v>12</v>
      </c>
      <c r="N7022" s="4">
        <f t="shared" si="1"/>
        <v>43101</v>
      </c>
      <c r="O7022" s="5" t="str">
        <f>IFERROR(__xludf.DUMMYFUNCTION("IF(REGEXMATCH(TRIM(I7022), ""^\d+\s*min""), ""Unclassified"", IF(I7022 = """", ""NR"", I7022))"),"TV-14")</f>
        <v>TV-14</v>
      </c>
      <c r="R7022" s="5" t="str">
        <f t="shared" si="2"/>
        <v>Hridaynath</v>
      </c>
      <c r="S7022" s="5" t="str">
        <f>IFERROR(__xludf.DUMMYFUNCTION("""COMPUTED_VALUE"""),"The Competition")</f>
        <v>The Competition</v>
      </c>
      <c r="V7022" s="5"/>
      <c r="Y7022" s="5" t="str">
        <f>IFERROR(__xludf.DUMMYFUNCTION("REGEXEXTRACT(J7022, ""^\d+"")"),"103")</f>
        <v>103</v>
      </c>
      <c r="Z7022" s="5" t="str">
        <f>IFERROR(__xludf.DUMMYFUNCTION("REGEXEXTRACT(J7022, ""[A-Za-z ]+$"")")," min")</f>
        <v> min</v>
      </c>
      <c r="AA7022" s="5" t="str">
        <f>IFERROR(__xludf.DUMMYFUNCTION("IF(REGEXMATCH(Z7022, ""Season""), ""TV Show"", ""Movie"")"),"Movie")</f>
        <v>Movie</v>
      </c>
    </row>
    <row r="7023">
      <c r="A7023" s="1" t="s">
        <v>34595</v>
      </c>
      <c r="B7023" s="1" t="s">
        <v>27</v>
      </c>
      <c r="C7023" s="1" t="s">
        <v>34596</v>
      </c>
      <c r="D7023" s="1" t="s">
        <v>20188</v>
      </c>
      <c r="E7023" s="1" t="s">
        <v>34597</v>
      </c>
      <c r="F7023" s="1" t="s">
        <v>30</v>
      </c>
      <c r="G7023" s="1" t="s">
        <v>13808</v>
      </c>
      <c r="H7023" s="1">
        <v>2009.0</v>
      </c>
      <c r="I7023" s="1" t="s">
        <v>32</v>
      </c>
      <c r="J7023" s="1" t="s">
        <v>490</v>
      </c>
      <c r="K7023" s="1" t="s">
        <v>942</v>
      </c>
      <c r="L7023" s="1" t="s">
        <v>34598</v>
      </c>
      <c r="M7023" s="2" t="s">
        <v>12</v>
      </c>
      <c r="N7023" s="4">
        <f t="shared" si="1"/>
        <v>43983</v>
      </c>
      <c r="O7023" s="5" t="str">
        <f>IFERROR(__xludf.DUMMYFUNCTION("IF(REGEXMATCH(TRIM(I7023), ""^\d+\s*min""), ""Unclassified"", IF(I7023 = """", ""NR"", I7023))"),"PG-13")</f>
        <v>PG-13</v>
      </c>
      <c r="R7023" s="5" t="str">
        <f t="shared" si="2"/>
        <v>Hulk Vs.</v>
      </c>
      <c r="S7023" s="5" t="str">
        <f>IFERROR(__xludf.DUMMYFUNCTION("""COMPUTED_VALUE"""),"The Con Is On")</f>
        <v>The Con Is On</v>
      </c>
      <c r="V7023" s="5"/>
      <c r="Y7023" s="5" t="str">
        <f>IFERROR(__xludf.DUMMYFUNCTION("REGEXEXTRACT(J7023, ""^\d+"")"),"83")</f>
        <v>83</v>
      </c>
      <c r="Z7023" s="5" t="str">
        <f>IFERROR(__xludf.DUMMYFUNCTION("REGEXEXTRACT(J7023, ""[A-Za-z ]+$"")")," min")</f>
        <v> min</v>
      </c>
      <c r="AA7023" s="5" t="str">
        <f>IFERROR(__xludf.DUMMYFUNCTION("IF(REGEXMATCH(Z7023, ""Season""), ""TV Show"", ""Movie"")"),"Movie")</f>
        <v>Movie</v>
      </c>
    </row>
    <row r="7024">
      <c r="A7024" s="1" t="s">
        <v>34599</v>
      </c>
      <c r="B7024" s="1" t="s">
        <v>27</v>
      </c>
      <c r="C7024" s="1" t="s">
        <v>34600</v>
      </c>
      <c r="D7024" s="1" t="s">
        <v>13267</v>
      </c>
      <c r="E7024" s="1" t="s">
        <v>34601</v>
      </c>
      <c r="F7024" s="1" t="s">
        <v>63</v>
      </c>
      <c r="G7024" s="1" t="s">
        <v>26481</v>
      </c>
      <c r="H7024" s="1">
        <v>1999.0</v>
      </c>
      <c r="I7024" s="1" t="s">
        <v>506</v>
      </c>
      <c r="J7024" s="1" t="s">
        <v>16526</v>
      </c>
      <c r="K7024" s="1" t="s">
        <v>1429</v>
      </c>
      <c r="L7024" s="1" t="s">
        <v>16527</v>
      </c>
      <c r="M7024" s="2" t="s">
        <v>12</v>
      </c>
      <c r="N7024" s="4">
        <f t="shared" si="1"/>
        <v>43101</v>
      </c>
      <c r="O7024" s="5" t="str">
        <f>IFERROR(__xludf.DUMMYFUNCTION("IF(REGEXMATCH(TRIM(I7024), ""^\d+\s*min""), ""Unclassified"", IF(I7024 = """", ""NR"", I7024))"),"TV-G")</f>
        <v>TV-G</v>
      </c>
      <c r="R7024" s="5" t="str">
        <f t="shared" si="2"/>
        <v>Hum Saath-Saath Hain</v>
      </c>
      <c r="S7024" s="5" t="str">
        <f>IFERROR(__xludf.DUMMYFUNCTION("""COMPUTED_VALUE"""),"The Confession Killer")</f>
        <v>The Confession Killer</v>
      </c>
      <c r="V7024" s="5"/>
      <c r="Y7024" s="5" t="str">
        <f>IFERROR(__xludf.DUMMYFUNCTION("REGEXEXTRACT(J7024, ""^\d+"")"),"176")</f>
        <v>176</v>
      </c>
      <c r="Z7024" s="5" t="str">
        <f>IFERROR(__xludf.DUMMYFUNCTION("REGEXEXTRACT(J7024, ""[A-Za-z ]+$"")")," min")</f>
        <v> min</v>
      </c>
      <c r="AA7024" s="5" t="str">
        <f>IFERROR(__xludf.DUMMYFUNCTION("IF(REGEXMATCH(Z7024, ""Season""), ""TV Show"", ""Movie"")"),"Movie")</f>
        <v>Movie</v>
      </c>
    </row>
    <row r="7025">
      <c r="A7025" s="1" t="s">
        <v>34602</v>
      </c>
      <c r="B7025" s="1" t="s">
        <v>27</v>
      </c>
      <c r="C7025" s="1" t="s">
        <v>34603</v>
      </c>
      <c r="D7025" s="1" t="s">
        <v>18608</v>
      </c>
      <c r="E7025" s="1" t="s">
        <v>34604</v>
      </c>
      <c r="F7025" s="1" t="s">
        <v>63</v>
      </c>
      <c r="G7025" s="1" t="s">
        <v>30658</v>
      </c>
      <c r="H7025" s="1">
        <v>2006.0</v>
      </c>
      <c r="I7025" s="1" t="s">
        <v>136</v>
      </c>
      <c r="J7025" s="1" t="s">
        <v>5833</v>
      </c>
      <c r="K7025" s="1" t="s">
        <v>4053</v>
      </c>
      <c r="L7025" s="1" t="s">
        <v>34605</v>
      </c>
      <c r="M7025" s="2" t="s">
        <v>12</v>
      </c>
      <c r="N7025" s="4">
        <f t="shared" si="1"/>
        <v>43030</v>
      </c>
      <c r="O7025" s="5" t="str">
        <f>IFERROR(__xludf.DUMMYFUNCTION("IF(REGEXMATCH(TRIM(I7025), ""^\d+\s*min""), ""Unclassified"", IF(I7025 = """", ""NR"", I7025))"),"TV-PG")</f>
        <v>TV-PG</v>
      </c>
      <c r="R7025" s="5" t="str">
        <f t="shared" si="2"/>
        <v>Humko Deewana Kar Gaye</v>
      </c>
      <c r="S7025" s="5" t="str">
        <f>IFERROR(__xludf.DUMMYFUNCTION("""COMPUTED_VALUE"""),"The Confession Tapes")</f>
        <v>The Confession Tapes</v>
      </c>
      <c r="V7025" s="5"/>
      <c r="Y7025" s="5" t="str">
        <f>IFERROR(__xludf.DUMMYFUNCTION("REGEXEXTRACT(J7025, ""^\d+"")"),"149")</f>
        <v>149</v>
      </c>
      <c r="Z7025" s="5" t="str">
        <f>IFERROR(__xludf.DUMMYFUNCTION("REGEXEXTRACT(J7025, ""[A-Za-z ]+$"")")," min")</f>
        <v> min</v>
      </c>
      <c r="AA7025" s="5" t="str">
        <f>IFERROR(__xludf.DUMMYFUNCTION("IF(REGEXMATCH(Z7025, ""Season""), ""TV Show"", ""Movie"")"),"Movie")</f>
        <v>Movie</v>
      </c>
    </row>
    <row r="7026">
      <c r="A7026" s="1" t="s">
        <v>34606</v>
      </c>
      <c r="B7026" s="1" t="s">
        <v>37</v>
      </c>
      <c r="C7026" s="1" t="s">
        <v>34607</v>
      </c>
      <c r="E7026" s="1" t="s">
        <v>34608</v>
      </c>
      <c r="F7026" s="1" t="s">
        <v>19350</v>
      </c>
      <c r="G7026" s="1" t="s">
        <v>28914</v>
      </c>
      <c r="H7026" s="1">
        <v>2011.0</v>
      </c>
      <c r="I7026" s="1" t="s">
        <v>136</v>
      </c>
      <c r="J7026" s="1" t="s">
        <v>51</v>
      </c>
      <c r="K7026" s="1" t="s">
        <v>1907</v>
      </c>
      <c r="L7026" s="1" t="s">
        <v>34609</v>
      </c>
      <c r="M7026" s="2" t="s">
        <v>12</v>
      </c>
      <c r="N7026" s="4">
        <f t="shared" si="1"/>
        <v>42719</v>
      </c>
      <c r="O7026" s="5" t="str">
        <f>IFERROR(__xludf.DUMMYFUNCTION("IF(REGEXMATCH(TRIM(I7026), ""^\d+\s*min""), ""Unclassified"", IF(I7026 = """", ""NR"", I7026))"),"TV-PG")</f>
        <v>TV-PG</v>
      </c>
      <c r="R7026" s="5" t="str">
        <f t="shared" si="2"/>
        <v>Humsafar</v>
      </c>
      <c r="S7026" s="5" t="str">
        <f>IFERROR(__xludf.DUMMYFUNCTION("""COMPUTED_VALUE"""),"The Confirmation")</f>
        <v>The Confirmation</v>
      </c>
      <c r="V7026" s="5"/>
      <c r="Y7026" s="5" t="str">
        <f>IFERROR(__xludf.DUMMYFUNCTION("REGEXEXTRACT(J7026, ""^\d+"")"),"1")</f>
        <v>1</v>
      </c>
      <c r="Z7026" s="5" t="str">
        <f>IFERROR(__xludf.DUMMYFUNCTION("REGEXEXTRACT(J7026, ""[A-Za-z ]+$"")")," Season")</f>
        <v> Season</v>
      </c>
      <c r="AA7026" s="5" t="str">
        <f>IFERROR(__xludf.DUMMYFUNCTION("IF(REGEXMATCH(Z7026, ""Season""), ""TV Show"", ""Movie"")"),"TV Show")</f>
        <v>TV Show</v>
      </c>
    </row>
    <row r="7027">
      <c r="A7027" s="1" t="s">
        <v>34610</v>
      </c>
      <c r="B7027" s="1" t="s">
        <v>27</v>
      </c>
      <c r="C7027" s="1" t="s">
        <v>34611</v>
      </c>
      <c r="D7027" s="1" t="s">
        <v>6686</v>
      </c>
      <c r="E7027" s="1" t="s">
        <v>34612</v>
      </c>
      <c r="F7027" s="1" t="s">
        <v>96</v>
      </c>
      <c r="G7027" s="1" t="s">
        <v>25302</v>
      </c>
      <c r="H7027" s="1">
        <v>2014.0</v>
      </c>
      <c r="I7027" s="1" t="s">
        <v>42</v>
      </c>
      <c r="J7027" s="1" t="s">
        <v>6391</v>
      </c>
      <c r="K7027" s="1" t="s">
        <v>1972</v>
      </c>
      <c r="L7027" s="1" t="s">
        <v>34613</v>
      </c>
      <c r="M7027" s="2" t="s">
        <v>12</v>
      </c>
      <c r="N7027" s="4">
        <f t="shared" si="1"/>
        <v>43274</v>
      </c>
      <c r="O7027" s="5" t="str">
        <f>IFERROR(__xludf.DUMMYFUNCTION("IF(REGEXMATCH(TRIM(I7027), ""^\d+\s*min""), ""Unclassified"", IF(I7027 = """", ""NR"", I7027))"),"TV-MA")</f>
        <v>TV-MA</v>
      </c>
      <c r="R7027" s="5" t="str">
        <f t="shared" si="2"/>
        <v>Hungerford</v>
      </c>
      <c r="S7027" s="5" t="str">
        <f>IFERROR(__xludf.DUMMYFUNCTION("""COMPUTED_VALUE"""),"The Confrontation")</f>
        <v>The Confrontation</v>
      </c>
      <c r="V7027" s="5"/>
      <c r="Y7027" s="5" t="str">
        <f>IFERROR(__xludf.DUMMYFUNCTION("REGEXEXTRACT(J7027, ""^\d+"")"),"79")</f>
        <v>79</v>
      </c>
      <c r="Z7027" s="5" t="str">
        <f>IFERROR(__xludf.DUMMYFUNCTION("REGEXEXTRACT(J7027, ""[A-Za-z ]+$"")")," min")</f>
        <v> min</v>
      </c>
      <c r="AA7027" s="5" t="str">
        <f>IFERROR(__xludf.DUMMYFUNCTION("IF(REGEXMATCH(Z7027, ""Season""), ""TV Show"", ""Movie"")"),"Movie")</f>
        <v>Movie</v>
      </c>
    </row>
    <row r="7028">
      <c r="A7028" s="1" t="s">
        <v>34614</v>
      </c>
      <c r="B7028" s="1" t="s">
        <v>27</v>
      </c>
      <c r="C7028" s="1" t="s">
        <v>34615</v>
      </c>
      <c r="D7028" s="1" t="s">
        <v>12773</v>
      </c>
      <c r="E7028" s="1" t="s">
        <v>34616</v>
      </c>
      <c r="F7028" s="1" t="s">
        <v>1106</v>
      </c>
      <c r="G7028" s="1" t="s">
        <v>16947</v>
      </c>
      <c r="H7028" s="1">
        <v>2010.0</v>
      </c>
      <c r="I7028" s="1" t="s">
        <v>378</v>
      </c>
      <c r="J7028" s="1" t="s">
        <v>247</v>
      </c>
      <c r="K7028" s="1" t="s">
        <v>380</v>
      </c>
      <c r="L7028" s="1" t="s">
        <v>34617</v>
      </c>
      <c r="M7028" s="2" t="s">
        <v>12</v>
      </c>
      <c r="N7028" s="4">
        <f t="shared" si="1"/>
        <v>43831</v>
      </c>
      <c r="O7028" s="5" t="str">
        <f>IFERROR(__xludf.DUMMYFUNCTION("IF(REGEXMATCH(TRIM(I7028), ""^\d+\s*min""), ""Unclassified"", IF(I7028 = """", ""NR"", I7028))"),"R")</f>
        <v>R</v>
      </c>
      <c r="R7028" s="5" t="str">
        <f t="shared" si="2"/>
        <v>Hunt To Kill</v>
      </c>
      <c r="S7028" s="5" t="str">
        <f>IFERROR(__xludf.DUMMYFUNCTION("""COMPUTED_VALUE"""),"The Congress")</f>
        <v>The Congress</v>
      </c>
      <c r="V7028" s="5"/>
      <c r="Y7028" s="5" t="str">
        <f>IFERROR(__xludf.DUMMYFUNCTION("REGEXEXTRACT(J7028, ""^\d+"")"),"97")</f>
        <v>97</v>
      </c>
      <c r="Z7028" s="5" t="str">
        <f>IFERROR(__xludf.DUMMYFUNCTION("REGEXEXTRACT(J7028, ""[A-Za-z ]+$"")")," min")</f>
        <v> min</v>
      </c>
      <c r="AA7028" s="5" t="str">
        <f>IFERROR(__xludf.DUMMYFUNCTION("IF(REGEXMATCH(Z7028, ""Season""), ""TV Show"", ""Movie"")"),"Movie")</f>
        <v>Movie</v>
      </c>
    </row>
    <row r="7029">
      <c r="A7029" s="1" t="s">
        <v>34618</v>
      </c>
      <c r="B7029" s="1" t="s">
        <v>27</v>
      </c>
      <c r="C7029" s="1" t="s">
        <v>34619</v>
      </c>
      <c r="D7029" s="1" t="s">
        <v>11719</v>
      </c>
      <c r="E7029" s="1" t="s">
        <v>34620</v>
      </c>
      <c r="F7029" s="1" t="s">
        <v>34621</v>
      </c>
      <c r="G7029" s="1" t="s">
        <v>18639</v>
      </c>
      <c r="H7029" s="1">
        <v>2015.0</v>
      </c>
      <c r="I7029" s="1" t="s">
        <v>378</v>
      </c>
      <c r="J7029" s="1" t="s">
        <v>79</v>
      </c>
      <c r="K7029" s="1" t="s">
        <v>16817</v>
      </c>
      <c r="L7029" s="1" t="s">
        <v>34622</v>
      </c>
      <c r="M7029" s="2" t="s">
        <v>12</v>
      </c>
      <c r="N7029" s="4">
        <f t="shared" si="1"/>
        <v>43760</v>
      </c>
      <c r="O7029" s="5" t="str">
        <f>IFERROR(__xludf.DUMMYFUNCTION("IF(REGEXMATCH(TRIM(I7029), ""^\d+\s*min""), ""Unclassified"", IF(I7029 = """", ""NR"", I7029))"),"R")</f>
        <v>R</v>
      </c>
      <c r="R7029" s="5" t="str">
        <f t="shared" si="2"/>
        <v>Hunter'S Prayer</v>
      </c>
      <c r="S7029" s="5" t="str">
        <f>IFERROR(__xludf.DUMMYFUNCTION("""COMPUTED_VALUE"""),"The Conjuring")</f>
        <v>The Conjuring</v>
      </c>
      <c r="V7029" s="5"/>
      <c r="Y7029" s="5" t="str">
        <f>IFERROR(__xludf.DUMMYFUNCTION("REGEXEXTRACT(J7029, ""^\d+"")"),"91")</f>
        <v>91</v>
      </c>
      <c r="Z7029" s="5" t="str">
        <f>IFERROR(__xludf.DUMMYFUNCTION("REGEXEXTRACT(J7029, ""[A-Za-z ]+$"")")," min")</f>
        <v> min</v>
      </c>
      <c r="AA7029" s="5" t="str">
        <f>IFERROR(__xludf.DUMMYFUNCTION("IF(REGEXMATCH(Z7029, ""Season""), ""TV Show"", ""Movie"")"),"Movie")</f>
        <v>Movie</v>
      </c>
    </row>
    <row r="7030">
      <c r="A7030" s="1" t="s">
        <v>34623</v>
      </c>
      <c r="B7030" s="1" t="s">
        <v>37</v>
      </c>
      <c r="C7030" s="1" t="s">
        <v>34624</v>
      </c>
      <c r="E7030" s="1" t="s">
        <v>34625</v>
      </c>
      <c r="F7030" s="1" t="s">
        <v>96</v>
      </c>
      <c r="G7030" s="1" t="s">
        <v>22239</v>
      </c>
      <c r="H7030" s="1">
        <v>2015.0</v>
      </c>
      <c r="I7030" s="1" t="s">
        <v>97</v>
      </c>
      <c r="J7030" s="1" t="s">
        <v>51</v>
      </c>
      <c r="K7030" s="1" t="s">
        <v>4190</v>
      </c>
      <c r="L7030" s="1" t="s">
        <v>34626</v>
      </c>
      <c r="M7030" s="2" t="s">
        <v>12</v>
      </c>
      <c r="N7030" s="4">
        <f t="shared" si="1"/>
        <v>43497</v>
      </c>
      <c r="O7030" s="5" t="str">
        <f>IFERROR(__xludf.DUMMYFUNCTION("IF(REGEXMATCH(TRIM(I7030), ""^\d+\s*min""), ""Unclassified"", IF(I7030 = """", ""NR"", I7030))"),"TV-14")</f>
        <v>TV-14</v>
      </c>
      <c r="R7030" s="5" t="str">
        <f t="shared" si="2"/>
        <v>Hunters Of The South Seas</v>
      </c>
      <c r="S7030" s="5" t="str">
        <f>IFERROR(__xludf.DUMMYFUNCTION("""COMPUTED_VALUE"""),"The Conjuring 2")</f>
        <v>The Conjuring 2</v>
      </c>
      <c r="V7030" s="5"/>
      <c r="Y7030" s="5" t="str">
        <f>IFERROR(__xludf.DUMMYFUNCTION("REGEXEXTRACT(J7030, ""^\d+"")"),"1")</f>
        <v>1</v>
      </c>
      <c r="Z7030" s="5" t="str">
        <f>IFERROR(__xludf.DUMMYFUNCTION("REGEXEXTRACT(J7030, ""[A-Za-z ]+$"")")," Season")</f>
        <v> Season</v>
      </c>
      <c r="AA7030" s="5" t="str">
        <f>IFERROR(__xludf.DUMMYFUNCTION("IF(REGEXMATCH(Z7030, ""Season""), ""TV Show"", ""Movie"")"),"TV Show")</f>
        <v>TV Show</v>
      </c>
    </row>
    <row r="7031">
      <c r="A7031" s="1" t="s">
        <v>34627</v>
      </c>
      <c r="B7031" s="1" t="s">
        <v>37</v>
      </c>
      <c r="C7031" s="1" t="s">
        <v>34628</v>
      </c>
      <c r="E7031" s="1" t="s">
        <v>34629</v>
      </c>
      <c r="F7031" s="1" t="s">
        <v>9402</v>
      </c>
      <c r="G7031" s="1" t="s">
        <v>32866</v>
      </c>
      <c r="H7031" s="1">
        <v>2011.0</v>
      </c>
      <c r="I7031" s="1" t="s">
        <v>289</v>
      </c>
      <c r="J7031" s="1" t="s">
        <v>43</v>
      </c>
      <c r="K7031" s="1" t="s">
        <v>290</v>
      </c>
      <c r="L7031" s="1" t="s">
        <v>34630</v>
      </c>
      <c r="M7031" s="2" t="s">
        <v>12</v>
      </c>
      <c r="N7031" s="1" t="str">
        <f t="shared" si="1"/>
        <v>#N/A</v>
      </c>
      <c r="O7031" s="5" t="str">
        <f>IFERROR(__xludf.DUMMYFUNCTION("IF(REGEXMATCH(TRIM(I7031), ""^\d+\s*min""), ""Unclassified"", IF(I7031 = """", ""NR"", I7031))"),"TV-Y7")</f>
        <v>TV-Y7</v>
      </c>
      <c r="R7031" s="5" t="str">
        <f t="shared" si="2"/>
        <v>Huntik: Secrets And Seekers</v>
      </c>
      <c r="S7031" s="5" t="str">
        <f>IFERROR(__xludf.DUMMYFUNCTION("""COMPUTED_VALUE"""),"The Consul'S Son")</f>
        <v>The Consul'S Son</v>
      </c>
      <c r="V7031" s="5"/>
      <c r="Y7031" s="5" t="str">
        <f>IFERROR(__xludf.DUMMYFUNCTION("REGEXEXTRACT(J7031, ""^\d+"")"),"2")</f>
        <v>2</v>
      </c>
      <c r="Z7031" s="5" t="str">
        <f>IFERROR(__xludf.DUMMYFUNCTION("REGEXEXTRACT(J7031, ""[A-Za-z ]+$"")")," Seasons")</f>
        <v> Seasons</v>
      </c>
      <c r="AA7031" s="5" t="str">
        <f>IFERROR(__xludf.DUMMYFUNCTION("IF(REGEXMATCH(Z7031, ""Season""), ""TV Show"", ""Movie"")"),"TV Show")</f>
        <v>TV Show</v>
      </c>
    </row>
    <row r="7032">
      <c r="A7032" s="1" t="s">
        <v>34631</v>
      </c>
      <c r="B7032" s="1" t="s">
        <v>27</v>
      </c>
      <c r="C7032" s="1" t="s">
        <v>34632</v>
      </c>
      <c r="D7032" s="1" t="s">
        <v>15236</v>
      </c>
      <c r="E7032" s="1" t="s">
        <v>34633</v>
      </c>
      <c r="F7032" s="1" t="s">
        <v>30</v>
      </c>
      <c r="G7032" s="1" t="s">
        <v>28840</v>
      </c>
      <c r="H7032" s="1">
        <v>2016.0</v>
      </c>
      <c r="I7032" s="1" t="s">
        <v>42</v>
      </c>
      <c r="J7032" s="1" t="s">
        <v>471</v>
      </c>
      <c r="K7032" s="1" t="s">
        <v>4742</v>
      </c>
      <c r="L7032" s="1" t="s">
        <v>34634</v>
      </c>
      <c r="M7032" s="2" t="s">
        <v>12</v>
      </c>
      <c r="N7032" s="4">
        <f t="shared" si="1"/>
        <v>42736</v>
      </c>
      <c r="O7032" s="5" t="str">
        <f>IFERROR(__xludf.DUMMYFUNCTION("IF(REGEXMATCH(TRIM(I7032), ""^\d+\s*min""), ""Unclassified"", IF(I7032 = """", ""NR"", I7032))"),"TV-MA")</f>
        <v>TV-MA</v>
      </c>
      <c r="R7032" s="5" t="str">
        <f t="shared" si="2"/>
        <v>Hurricane Bianca</v>
      </c>
      <c r="S7032" s="5" t="str">
        <f>IFERROR(__xludf.DUMMYFUNCTION("""COMPUTED_VALUE"""),"The Cook Of Castamar")</f>
        <v>The Cook Of Castamar</v>
      </c>
      <c r="V7032" s="5"/>
      <c r="Y7032" s="5" t="str">
        <f>IFERROR(__xludf.DUMMYFUNCTION("REGEXEXTRACT(J7032, ""^\d+"")"),"85")</f>
        <v>85</v>
      </c>
      <c r="Z7032" s="5" t="str">
        <f>IFERROR(__xludf.DUMMYFUNCTION("REGEXEXTRACT(J7032, ""[A-Za-z ]+$"")")," min")</f>
        <v> min</v>
      </c>
      <c r="AA7032" s="5" t="str">
        <f>IFERROR(__xludf.DUMMYFUNCTION("IF(REGEXMATCH(Z7032, ""Season""), ""TV Show"", ""Movie"")"),"Movie")</f>
        <v>Movie</v>
      </c>
    </row>
    <row r="7033">
      <c r="A7033" s="1" t="s">
        <v>34635</v>
      </c>
      <c r="B7033" s="1" t="s">
        <v>27</v>
      </c>
      <c r="C7033" s="1" t="s">
        <v>34636</v>
      </c>
      <c r="D7033" s="1" t="s">
        <v>15236</v>
      </c>
      <c r="E7033" s="1" t="s">
        <v>34637</v>
      </c>
      <c r="F7033" s="1" t="s">
        <v>30</v>
      </c>
      <c r="G7033" s="1" t="s">
        <v>24808</v>
      </c>
      <c r="H7033" s="1">
        <v>2018.0</v>
      </c>
      <c r="I7033" s="1" t="s">
        <v>42</v>
      </c>
      <c r="J7033" s="1" t="s">
        <v>471</v>
      </c>
      <c r="K7033" s="1" t="s">
        <v>4742</v>
      </c>
      <c r="L7033" s="1" t="s">
        <v>34638</v>
      </c>
      <c r="M7033" s="2" t="s">
        <v>12</v>
      </c>
      <c r="N7033" s="4">
        <f t="shared" si="1"/>
        <v>43327</v>
      </c>
      <c r="O7033" s="5" t="str">
        <f>IFERROR(__xludf.DUMMYFUNCTION("IF(REGEXMATCH(TRIM(I7033), ""^\d+\s*min""), ""Unclassified"", IF(I7033 = """", ""NR"", I7033))"),"TV-MA")</f>
        <v>TV-MA</v>
      </c>
      <c r="R7033" s="5" t="str">
        <f t="shared" si="2"/>
        <v>Hurricane Bianca: From Russia With Hate</v>
      </c>
      <c r="S7033" s="5" t="str">
        <f>IFERROR(__xludf.DUMMYFUNCTION("""COMPUTED_VALUE"""),"The Could’Ve-Gone-All-The-Way Committee")</f>
        <v>The Could’Ve-Gone-All-The-Way Committee</v>
      </c>
      <c r="V7033" s="5"/>
      <c r="Y7033" s="5" t="str">
        <f>IFERROR(__xludf.DUMMYFUNCTION("REGEXEXTRACT(J7033, ""^\d+"")"),"85")</f>
        <v>85</v>
      </c>
      <c r="Z7033" s="5" t="str">
        <f>IFERROR(__xludf.DUMMYFUNCTION("REGEXEXTRACT(J7033, ""[A-Za-z ]+$"")")," min")</f>
        <v> min</v>
      </c>
      <c r="AA7033" s="5" t="str">
        <f>IFERROR(__xludf.DUMMYFUNCTION("IF(REGEXMATCH(Z7033, ""Season""), ""TV Show"", ""Movie"")"),"Movie")</f>
        <v>Movie</v>
      </c>
    </row>
    <row r="7034">
      <c r="A7034" s="1" t="s">
        <v>34639</v>
      </c>
      <c r="B7034" s="1" t="s">
        <v>27</v>
      </c>
      <c r="C7034" s="1" t="s">
        <v>34640</v>
      </c>
      <c r="D7034" s="1" t="s">
        <v>5231</v>
      </c>
      <c r="E7034" s="1" t="s">
        <v>34641</v>
      </c>
      <c r="F7034" s="1" t="s">
        <v>30</v>
      </c>
      <c r="G7034" s="1" t="s">
        <v>17643</v>
      </c>
      <c r="H7034" s="1">
        <v>2005.0</v>
      </c>
      <c r="I7034" s="1" t="s">
        <v>378</v>
      </c>
      <c r="J7034" s="1" t="s">
        <v>743</v>
      </c>
      <c r="K7034" s="1" t="s">
        <v>15369</v>
      </c>
      <c r="L7034" s="1" t="s">
        <v>34642</v>
      </c>
      <c r="M7034" s="2" t="s">
        <v>12</v>
      </c>
      <c r="N7034" s="4">
        <f t="shared" si="1"/>
        <v>43800</v>
      </c>
      <c r="O7034" s="5" t="str">
        <f>IFERROR(__xludf.DUMMYFUNCTION("IF(REGEXMATCH(TRIM(I7034), ""^\d+\s*min""), ""Unclassified"", IF(I7034 = """", ""NR"", I7034))"),"R")</f>
        <v>R</v>
      </c>
      <c r="R7034" s="5" t="str">
        <f t="shared" si="2"/>
        <v>Hustle &amp; Flow</v>
      </c>
      <c r="S7034" s="5" t="str">
        <f>IFERROR(__xludf.DUMMYFUNCTION("""COMPUTED_VALUE"""),"The Craft")</f>
        <v>The Craft</v>
      </c>
      <c r="V7034" s="5"/>
      <c r="Y7034" s="5" t="str">
        <f>IFERROR(__xludf.DUMMYFUNCTION("REGEXEXTRACT(J7034, ""^\d+"")"),"117")</f>
        <v>117</v>
      </c>
      <c r="Z7034" s="5" t="str">
        <f>IFERROR(__xludf.DUMMYFUNCTION("REGEXEXTRACT(J7034, ""[A-Za-z ]+$"")")," min")</f>
        <v> min</v>
      </c>
      <c r="AA7034" s="5" t="str">
        <f>IFERROR(__xludf.DUMMYFUNCTION("IF(REGEXMATCH(Z7034, ""Season""), ""TV Show"", ""Movie"")"),"Movie")</f>
        <v>Movie</v>
      </c>
    </row>
    <row r="7035">
      <c r="A7035" s="1" t="s">
        <v>34643</v>
      </c>
      <c r="B7035" s="1" t="s">
        <v>37</v>
      </c>
      <c r="C7035" s="1" t="s">
        <v>34644</v>
      </c>
      <c r="E7035" s="1" t="s">
        <v>34645</v>
      </c>
      <c r="G7035" s="1" t="s">
        <v>34646</v>
      </c>
      <c r="H7035" s="1">
        <v>2018.0</v>
      </c>
      <c r="I7035" s="1" t="s">
        <v>97</v>
      </c>
      <c r="J7035" s="1" t="s">
        <v>43</v>
      </c>
      <c r="K7035" s="1" t="s">
        <v>13255</v>
      </c>
      <c r="L7035" s="1" t="s">
        <v>34647</v>
      </c>
      <c r="M7035" s="2" t="s">
        <v>12</v>
      </c>
      <c r="N7035" s="4">
        <f t="shared" si="1"/>
        <v>43188</v>
      </c>
      <c r="O7035" s="5" t="str">
        <f>IFERROR(__xludf.DUMMYFUNCTION("IF(REGEXMATCH(TRIM(I7035), ""^\d+\s*min""), ""Unclassified"", IF(I7035 = """", ""NR"", I7035))"),"TV-14")</f>
        <v>TV-14</v>
      </c>
      <c r="R7035" s="5" t="str">
        <f t="shared" si="2"/>
        <v>Hyori'S Bed &amp; Breakfast</v>
      </c>
      <c r="S7035" s="5" t="str">
        <f>IFERROR(__xludf.DUMMYFUNCTION("""COMPUTED_VALUE"""),"The Cravings")</f>
        <v>The Cravings</v>
      </c>
      <c r="V7035" s="5"/>
      <c r="Y7035" s="5" t="str">
        <f>IFERROR(__xludf.DUMMYFUNCTION("REGEXEXTRACT(J7035, ""^\d+"")"),"2")</f>
        <v>2</v>
      </c>
      <c r="Z7035" s="5" t="str">
        <f>IFERROR(__xludf.DUMMYFUNCTION("REGEXEXTRACT(J7035, ""[A-Za-z ]+$"")")," Seasons")</f>
        <v> Seasons</v>
      </c>
      <c r="AA7035" s="5" t="str">
        <f>IFERROR(__xludf.DUMMYFUNCTION("IF(REGEXMATCH(Z7035, ""Season""), ""TV Show"", ""Movie"")"),"TV Show")</f>
        <v>TV Show</v>
      </c>
    </row>
    <row r="7036">
      <c r="A7036" s="1" t="s">
        <v>34648</v>
      </c>
      <c r="B7036" s="1" t="s">
        <v>27</v>
      </c>
      <c r="C7036" s="1" t="s">
        <v>34649</v>
      </c>
      <c r="D7036" s="1" t="s">
        <v>8030</v>
      </c>
      <c r="E7036" s="1" t="s">
        <v>34650</v>
      </c>
      <c r="F7036" s="1" t="s">
        <v>1815</v>
      </c>
      <c r="G7036" s="1" t="s">
        <v>34651</v>
      </c>
      <c r="H7036" s="1">
        <v>2016.0</v>
      </c>
      <c r="I7036" s="1" t="s">
        <v>42</v>
      </c>
      <c r="J7036" s="1" t="s">
        <v>1608</v>
      </c>
      <c r="K7036" s="1" t="s">
        <v>1592</v>
      </c>
      <c r="L7036" s="1" t="s">
        <v>34652</v>
      </c>
      <c r="M7036" s="2" t="s">
        <v>12</v>
      </c>
      <c r="N7036" s="4">
        <f t="shared" si="1"/>
        <v>42894</v>
      </c>
      <c r="O7036" s="5" t="str">
        <f>IFERROR(__xludf.DUMMYFUNCTION("IF(REGEXMATCH(TRIM(I7036), ""^\d+\s*min""), ""Unclassified"", IF(I7036 = """", ""NR"", I7036))"),"TV-MA")</f>
        <v>TV-MA</v>
      </c>
      <c r="R7036" s="5" t="str">
        <f t="shared" si="2"/>
        <v>Hypersomnia</v>
      </c>
      <c r="S7036" s="5" t="str">
        <f>IFERROR(__xludf.DUMMYFUNCTION("""COMPUTED_VALUE"""),"The Creative Brain")</f>
        <v>The Creative Brain</v>
      </c>
      <c r="V7036" s="5"/>
      <c r="Y7036" s="5" t="str">
        <f>IFERROR(__xludf.DUMMYFUNCTION("REGEXEXTRACT(J7036, ""^\d+"")"),"84")</f>
        <v>84</v>
      </c>
      <c r="Z7036" s="5" t="str">
        <f>IFERROR(__xludf.DUMMYFUNCTION("REGEXEXTRACT(J7036, ""[A-Za-z ]+$"")")," min")</f>
        <v> min</v>
      </c>
      <c r="AA7036" s="5" t="str">
        <f>IFERROR(__xludf.DUMMYFUNCTION("IF(REGEXMATCH(Z7036, ""Season""), ""TV Show"", ""Movie"")"),"Movie")</f>
        <v>Movie</v>
      </c>
    </row>
    <row r="7037">
      <c r="A7037" s="1" t="s">
        <v>34653</v>
      </c>
      <c r="B7037" s="1" t="s">
        <v>27</v>
      </c>
      <c r="C7037" s="1" t="s">
        <v>34654</v>
      </c>
      <c r="D7037" s="1" t="s">
        <v>17296</v>
      </c>
      <c r="E7037" s="1" t="s">
        <v>34655</v>
      </c>
      <c r="F7037" s="1" t="s">
        <v>34656</v>
      </c>
      <c r="G7037" s="1" t="s">
        <v>21815</v>
      </c>
      <c r="H7037" s="1">
        <v>2010.0</v>
      </c>
      <c r="I7037" s="1" t="s">
        <v>42</v>
      </c>
      <c r="J7037" s="1" t="s">
        <v>256</v>
      </c>
      <c r="K7037" s="1" t="s">
        <v>89</v>
      </c>
      <c r="L7037" s="1" t="s">
        <v>34657</v>
      </c>
      <c r="M7037" s="2" t="s">
        <v>12</v>
      </c>
      <c r="N7037" s="4">
        <f t="shared" si="1"/>
        <v>43528</v>
      </c>
      <c r="O7037" s="5" t="str">
        <f>IFERROR(__xludf.DUMMYFUNCTION("IF(REGEXMATCH(TRIM(I7037), ""^\d+\s*min""), ""Unclassified"", IF(I7037 = """", ""NR"", I7037))"),"TV-MA")</f>
        <v>TV-MA</v>
      </c>
      <c r="R7037" s="5" t="str">
        <f t="shared" si="2"/>
        <v>I Am</v>
      </c>
      <c r="S7037" s="5" t="str">
        <f>IFERROR(__xludf.DUMMYFUNCTION("""COMPUTED_VALUE"""),"The Creative Indians")</f>
        <v>The Creative Indians</v>
      </c>
      <c r="V7037" s="5"/>
      <c r="Y7037" s="5" t="str">
        <f>IFERROR(__xludf.DUMMYFUNCTION("REGEXEXTRACT(J7037, ""^\d+"")"),"106")</f>
        <v>106</v>
      </c>
      <c r="Z7037" s="5" t="str">
        <f>IFERROR(__xludf.DUMMYFUNCTION("REGEXEXTRACT(J7037, ""[A-Za-z ]+$"")")," min")</f>
        <v> min</v>
      </c>
      <c r="AA7037" s="5" t="str">
        <f>IFERROR(__xludf.DUMMYFUNCTION("IF(REGEXMATCH(Z7037, ""Season""), ""TV Show"", ""Movie"")"),"Movie")</f>
        <v>Movie</v>
      </c>
    </row>
    <row r="7038">
      <c r="A7038" s="1" t="s">
        <v>34658</v>
      </c>
      <c r="B7038" s="1" t="s">
        <v>27</v>
      </c>
      <c r="C7038" s="1" t="s">
        <v>34659</v>
      </c>
      <c r="D7038" s="1" t="s">
        <v>3251</v>
      </c>
      <c r="E7038" s="1" t="s">
        <v>34660</v>
      </c>
      <c r="F7038" s="1" t="s">
        <v>96</v>
      </c>
      <c r="G7038" s="1" t="s">
        <v>27097</v>
      </c>
      <c r="H7038" s="1">
        <v>2016.0</v>
      </c>
      <c r="I7038" s="1" t="s">
        <v>78</v>
      </c>
      <c r="J7038" s="1" t="s">
        <v>1256</v>
      </c>
      <c r="K7038" s="1" t="s">
        <v>645</v>
      </c>
      <c r="L7038" s="1" t="s">
        <v>34661</v>
      </c>
      <c r="M7038" s="2" t="s">
        <v>12</v>
      </c>
      <c r="N7038" s="4">
        <f t="shared" si="1"/>
        <v>43009</v>
      </c>
      <c r="O7038" s="5" t="str">
        <f>IFERROR(__xludf.DUMMYFUNCTION("IF(REGEXMATCH(TRIM(I7038), ""^\d+\s*min""), ""Unclassified"", IF(I7038 = """", ""NR"", I7038))"),"PG")</f>
        <v>PG</v>
      </c>
      <c r="R7038" s="5" t="str">
        <f t="shared" si="2"/>
        <v>I Am Bolt</v>
      </c>
      <c r="S7038" s="5" t="str">
        <f>IFERROR(__xludf.DUMMYFUNCTION("""COMPUTED_VALUE"""),"The Crew")</f>
        <v>The Crew</v>
      </c>
      <c r="V7038" s="5"/>
      <c r="Y7038" s="5" t="str">
        <f>IFERROR(__xludf.DUMMYFUNCTION("REGEXEXTRACT(J7038, ""^\d+"")"),"107")</f>
        <v>107</v>
      </c>
      <c r="Z7038" s="5" t="str">
        <f>IFERROR(__xludf.DUMMYFUNCTION("REGEXEXTRACT(J7038, ""[A-Za-z ]+$"")")," min")</f>
        <v> min</v>
      </c>
      <c r="AA7038" s="5" t="str">
        <f>IFERROR(__xludf.DUMMYFUNCTION("IF(REGEXMATCH(Z7038, ""Season""), ""TV Show"", ""Movie"")"),"Movie")</f>
        <v>Movie</v>
      </c>
    </row>
    <row r="7039">
      <c r="A7039" s="1" t="s">
        <v>34662</v>
      </c>
      <c r="B7039" s="1" t="s">
        <v>27</v>
      </c>
      <c r="C7039" s="1" t="s">
        <v>34663</v>
      </c>
      <c r="D7039" s="1" t="s">
        <v>15087</v>
      </c>
      <c r="E7039" s="1" t="s">
        <v>34664</v>
      </c>
      <c r="F7039" s="1" t="s">
        <v>30</v>
      </c>
      <c r="G7039" s="7">
        <v>42881.0</v>
      </c>
      <c r="H7039" s="1">
        <v>2017.0</v>
      </c>
      <c r="I7039" s="1" t="s">
        <v>97</v>
      </c>
      <c r="J7039" s="1" t="s">
        <v>357</v>
      </c>
      <c r="K7039" s="1" t="s">
        <v>34</v>
      </c>
      <c r="L7039" s="1" t="s">
        <v>34665</v>
      </c>
      <c r="M7039" s="2" t="s">
        <v>12</v>
      </c>
      <c r="N7039" s="4">
        <f t="shared" si="1"/>
        <v>42881</v>
      </c>
      <c r="O7039" s="5" t="str">
        <f>IFERROR(__xludf.DUMMYFUNCTION("IF(REGEXMATCH(TRIM(I7039), ""^\d+\s*min""), ""Unclassified"", IF(I7039 = """", ""NR"", I7039))"),"TV-14")</f>
        <v>TV-14</v>
      </c>
      <c r="R7039" s="5" t="str">
        <f t="shared" si="2"/>
        <v>I Am Jane Doe</v>
      </c>
      <c r="S7039" s="5" t="str">
        <f>IFERROR(__xludf.DUMMYFUNCTION("""COMPUTED_VALUE"""),"The Crime")</f>
        <v>The Crime</v>
      </c>
      <c r="V7039" s="5"/>
      <c r="Y7039" s="5" t="str">
        <f>IFERROR(__xludf.DUMMYFUNCTION("REGEXEXTRACT(J7039, ""^\d+"")"),"98")</f>
        <v>98</v>
      </c>
      <c r="Z7039" s="5" t="str">
        <f>IFERROR(__xludf.DUMMYFUNCTION("REGEXEXTRACT(J7039, ""[A-Za-z ]+$"")")," min")</f>
        <v> min</v>
      </c>
      <c r="AA7039" s="5" t="str">
        <f>IFERROR(__xludf.DUMMYFUNCTION("IF(REGEXMATCH(Z7039, ""Season""), ""TV Show"", ""Movie"")"),"Movie")</f>
        <v>Movie</v>
      </c>
    </row>
    <row r="7040">
      <c r="A7040" s="1" t="s">
        <v>34666</v>
      </c>
      <c r="B7040" s="1" t="s">
        <v>27</v>
      </c>
      <c r="C7040" s="1" t="s">
        <v>34667</v>
      </c>
      <c r="D7040" s="1" t="s">
        <v>34668</v>
      </c>
      <c r="E7040" s="1" t="s">
        <v>34669</v>
      </c>
      <c r="F7040" s="1" t="s">
        <v>30</v>
      </c>
      <c r="G7040" s="1" t="s">
        <v>21360</v>
      </c>
      <c r="H7040" s="1">
        <v>2018.0</v>
      </c>
      <c r="I7040" s="1" t="s">
        <v>97</v>
      </c>
      <c r="J7040" s="1" t="s">
        <v>5941</v>
      </c>
      <c r="K7040" s="1" t="s">
        <v>34</v>
      </c>
      <c r="L7040" s="1" t="s">
        <v>34670</v>
      </c>
      <c r="M7040" s="2" t="s">
        <v>12</v>
      </c>
      <c r="N7040" s="4">
        <f t="shared" si="1"/>
        <v>43556</v>
      </c>
      <c r="O7040" s="5" t="str">
        <f>IFERROR(__xludf.DUMMYFUNCTION("IF(REGEXMATCH(TRIM(I7040), ""^\d+\s*min""), ""Unclassified"", IF(I7040 = """", ""NR"", I7040))"),"TV-14")</f>
        <v>TV-14</v>
      </c>
      <c r="R7040" s="5" t="str">
        <f t="shared" si="2"/>
        <v>I Am Maris</v>
      </c>
      <c r="S7040" s="5" t="str">
        <f>IFERROR(__xludf.DUMMYFUNCTION("""COMPUTED_VALUE"""),"The Crimes That Bind")</f>
        <v>The Crimes That Bind</v>
      </c>
      <c r="V7040" s="5"/>
      <c r="Y7040" s="5" t="str">
        <f>IFERROR(__xludf.DUMMYFUNCTION("REGEXEXTRACT(J7040, ""^\d+"")"),"54")</f>
        <v>54</v>
      </c>
      <c r="Z7040" s="5" t="str">
        <f>IFERROR(__xludf.DUMMYFUNCTION("REGEXEXTRACT(J7040, ""[A-Za-z ]+$"")")," min")</f>
        <v> min</v>
      </c>
      <c r="AA7040" s="5" t="str">
        <f>IFERROR(__xludf.DUMMYFUNCTION("IF(REGEXMATCH(Z7040, ""Season""), ""TV Show"", ""Movie"")"),"Movie")</f>
        <v>Movie</v>
      </c>
    </row>
    <row r="7041">
      <c r="A7041" s="1" t="s">
        <v>34671</v>
      </c>
      <c r="B7041" s="1" t="s">
        <v>37</v>
      </c>
      <c r="C7041" s="1" t="s">
        <v>34672</v>
      </c>
      <c r="E7041" s="1" t="s">
        <v>34673</v>
      </c>
      <c r="F7041" s="1" t="s">
        <v>162</v>
      </c>
      <c r="G7041" s="1" t="s">
        <v>34674</v>
      </c>
      <c r="H7041" s="1">
        <v>2016.0</v>
      </c>
      <c r="I7041" s="1" t="s">
        <v>97</v>
      </c>
      <c r="J7041" s="1" t="s">
        <v>51</v>
      </c>
      <c r="K7041" s="1" t="s">
        <v>1627</v>
      </c>
      <c r="L7041" s="1" t="s">
        <v>34675</v>
      </c>
      <c r="M7041" s="2" t="s">
        <v>12</v>
      </c>
      <c r="N7041" s="4">
        <f t="shared" si="1"/>
        <v>42797</v>
      </c>
      <c r="O7041" s="5" t="str">
        <f>IFERROR(__xludf.DUMMYFUNCTION("IF(REGEXMATCH(TRIM(I7041), ""^\d+\s*min""), ""Unclassified"", IF(I7041 = """", ""NR"", I7041))"),"TV-14")</f>
        <v>TV-14</v>
      </c>
      <c r="R7041" s="5" t="str">
        <f t="shared" si="2"/>
        <v>I Am Me!</v>
      </c>
      <c r="S7041" s="5" t="str">
        <f>IFERROR(__xludf.DUMMYFUNCTION("""COMPUTED_VALUE"""),"The Croods")</f>
        <v>The Croods</v>
      </c>
      <c r="V7041" s="5"/>
      <c r="Y7041" s="5" t="str">
        <f>IFERROR(__xludf.DUMMYFUNCTION("REGEXEXTRACT(J7041, ""^\d+"")"),"1")</f>
        <v>1</v>
      </c>
      <c r="Z7041" s="5" t="str">
        <f>IFERROR(__xludf.DUMMYFUNCTION("REGEXEXTRACT(J7041, ""[A-Za-z ]+$"")")," Season")</f>
        <v> Season</v>
      </c>
      <c r="AA7041" s="5" t="str">
        <f>IFERROR(__xludf.DUMMYFUNCTION("IF(REGEXMATCH(Z7041, ""Season""), ""TV Show"", ""Movie"")"),"TV Show")</f>
        <v>TV Show</v>
      </c>
    </row>
    <row r="7042">
      <c r="A7042" s="1" t="s">
        <v>34676</v>
      </c>
      <c r="B7042" s="1" t="s">
        <v>27</v>
      </c>
      <c r="C7042" s="1" t="s">
        <v>34677</v>
      </c>
      <c r="D7042" s="1" t="s">
        <v>7603</v>
      </c>
      <c r="E7042" s="1" t="s">
        <v>34678</v>
      </c>
      <c r="F7042" s="1" t="s">
        <v>3892</v>
      </c>
      <c r="G7042" s="1" t="s">
        <v>31667</v>
      </c>
      <c r="H7042" s="1">
        <v>2016.0</v>
      </c>
      <c r="I7042" s="1" t="s">
        <v>97</v>
      </c>
      <c r="J7042" s="1" t="s">
        <v>1938</v>
      </c>
      <c r="K7042" s="1" t="s">
        <v>583</v>
      </c>
      <c r="L7042" s="1" t="s">
        <v>34679</v>
      </c>
      <c r="M7042" s="2" t="s">
        <v>12</v>
      </c>
      <c r="N7042" s="4">
        <f t="shared" si="1"/>
        <v>42980</v>
      </c>
      <c r="O7042" s="5" t="str">
        <f>IFERROR(__xludf.DUMMYFUNCTION("IF(REGEXMATCH(TRIM(I7042), ""^\d+\s*min""), ""Unclassified"", IF(I7042 = """", ""NR"", I7042))"),"TV-14")</f>
        <v>TV-14</v>
      </c>
      <c r="R7042" s="5" t="str">
        <f t="shared" si="2"/>
        <v>I Am Not Madame Bovary</v>
      </c>
      <c r="S7042" s="5" t="str">
        <f>IFERROR(__xludf.DUMMYFUNCTION("""COMPUTED_VALUE"""),"The Crow")</f>
        <v>The Crow</v>
      </c>
      <c r="V7042" s="5"/>
      <c r="Y7042" s="5" t="str">
        <f>IFERROR(__xludf.DUMMYFUNCTION("REGEXEXTRACT(J7042, ""^\d+"")"),"139")</f>
        <v>139</v>
      </c>
      <c r="Z7042" s="5" t="str">
        <f>IFERROR(__xludf.DUMMYFUNCTION("REGEXEXTRACT(J7042, ""[A-Za-z ]+$"")")," min")</f>
        <v> min</v>
      </c>
      <c r="AA7042" s="5" t="str">
        <f>IFERROR(__xludf.DUMMYFUNCTION("IF(REGEXMATCH(Z7042, ""Season""), ""TV Show"", ""Movie"")"),"Movie")</f>
        <v>Movie</v>
      </c>
    </row>
    <row r="7043">
      <c r="A7043" s="1" t="s">
        <v>34680</v>
      </c>
      <c r="B7043" s="1" t="s">
        <v>27</v>
      </c>
      <c r="C7043" s="1" t="s">
        <v>34681</v>
      </c>
      <c r="D7043" s="1" t="s">
        <v>442</v>
      </c>
      <c r="F7043" s="1" t="s">
        <v>34682</v>
      </c>
      <c r="G7043" s="1" t="s">
        <v>28697</v>
      </c>
      <c r="H7043" s="1">
        <v>2015.0</v>
      </c>
      <c r="I7043" s="1" t="s">
        <v>30231</v>
      </c>
      <c r="J7043" s="1" t="s">
        <v>428</v>
      </c>
      <c r="K7043" s="1" t="s">
        <v>156</v>
      </c>
      <c r="L7043" s="1" t="s">
        <v>34683</v>
      </c>
      <c r="M7043" s="2" t="s">
        <v>12</v>
      </c>
      <c r="N7043" s="4">
        <f t="shared" si="1"/>
        <v>42767</v>
      </c>
      <c r="O7043" s="5" t="str">
        <f>IFERROR(__xludf.DUMMYFUNCTION("IF(REGEXMATCH(TRIM(I7043), ""^\d+\s*min""), ""Unclassified"", IF(I7043 = """", ""NR"", I7043))"),"NR")</f>
        <v>NR</v>
      </c>
      <c r="R7043" s="5" t="str">
        <f t="shared" si="2"/>
        <v>I Am Sun Mu</v>
      </c>
      <c r="S7043" s="5" t="str">
        <f>IFERROR(__xludf.DUMMYFUNCTION("""COMPUTED_VALUE"""),"The Crown")</f>
        <v>The Crown</v>
      </c>
      <c r="V7043" s="5"/>
      <c r="Y7043" s="5" t="str">
        <f>IFERROR(__xludf.DUMMYFUNCTION("REGEXEXTRACT(J7043, ""^\d+"")"),"88")</f>
        <v>88</v>
      </c>
      <c r="Z7043" s="5" t="str">
        <f>IFERROR(__xludf.DUMMYFUNCTION("REGEXEXTRACT(J7043, ""[A-Za-z ]+$"")")," min")</f>
        <v> min</v>
      </c>
      <c r="AA7043" s="5" t="str">
        <f>IFERROR(__xludf.DUMMYFUNCTION("IF(REGEXMATCH(Z7043, ""Season""), ""TV Show"", ""Movie"")"),"Movie")</f>
        <v>Movie</v>
      </c>
    </row>
    <row r="7044">
      <c r="A7044" s="1" t="s">
        <v>34684</v>
      </c>
      <c r="B7044" s="1" t="s">
        <v>27</v>
      </c>
      <c r="C7044" s="1" t="s">
        <v>34685</v>
      </c>
      <c r="D7044" s="1" t="s">
        <v>10614</v>
      </c>
      <c r="E7044" s="1" t="s">
        <v>34686</v>
      </c>
      <c r="F7044" s="1" t="s">
        <v>96</v>
      </c>
      <c r="G7044" s="1" t="s">
        <v>22835</v>
      </c>
      <c r="H7044" s="1">
        <v>2018.0</v>
      </c>
      <c r="I7044" s="1" t="s">
        <v>378</v>
      </c>
      <c r="J7044" s="1" t="s">
        <v>454</v>
      </c>
      <c r="K7044" s="1" t="s">
        <v>380</v>
      </c>
      <c r="L7044" s="1" t="s">
        <v>34687</v>
      </c>
      <c r="M7044" s="2" t="s">
        <v>12</v>
      </c>
      <c r="N7044" s="4">
        <f t="shared" si="1"/>
        <v>43456</v>
      </c>
      <c r="O7044" s="5" t="str">
        <f>IFERROR(__xludf.DUMMYFUNCTION("IF(REGEXMATCH(TRIM(I7044), ""^\d+\s*min""), ""Unclassified"", IF(I7044 = """", ""NR"", I7044))"),"R")</f>
        <v>R</v>
      </c>
      <c r="R7044" s="5" t="str">
        <f t="shared" si="2"/>
        <v>I Am Vengeance</v>
      </c>
      <c r="S7044" s="5" t="str">
        <f>IFERROR(__xludf.DUMMYFUNCTION("""COMPUTED_VALUE"""),"The Crowned Clown")</f>
        <v>The Crowned Clown</v>
      </c>
      <c r="V7044" s="5"/>
      <c r="Y7044" s="5" t="str">
        <f>IFERROR(__xludf.DUMMYFUNCTION("REGEXEXTRACT(J7044, ""^\d+"")"),"93")</f>
        <v>93</v>
      </c>
      <c r="Z7044" s="5" t="str">
        <f>IFERROR(__xludf.DUMMYFUNCTION("REGEXEXTRACT(J7044, ""[A-Za-z ]+$"")")," min")</f>
        <v> min</v>
      </c>
      <c r="AA7044" s="5" t="str">
        <f>IFERROR(__xludf.DUMMYFUNCTION("IF(REGEXMATCH(Z7044, ""Season""), ""TV Show"", ""Movie"")"),"Movie")</f>
        <v>Movie</v>
      </c>
    </row>
    <row r="7045">
      <c r="A7045" s="1" t="s">
        <v>34688</v>
      </c>
      <c r="B7045" s="1" t="s">
        <v>27</v>
      </c>
      <c r="C7045" s="1" t="s">
        <v>34689</v>
      </c>
      <c r="D7045" s="1" t="s">
        <v>5000</v>
      </c>
      <c r="E7045" s="1" t="s">
        <v>34690</v>
      </c>
      <c r="F7045" s="1" t="s">
        <v>30</v>
      </c>
      <c r="G7045" s="1" t="s">
        <v>34691</v>
      </c>
      <c r="H7045" s="1">
        <v>2016.0</v>
      </c>
      <c r="I7045" s="1" t="s">
        <v>378</v>
      </c>
      <c r="J7045" s="1" t="s">
        <v>79</v>
      </c>
      <c r="K7045" s="1" t="s">
        <v>323</v>
      </c>
      <c r="L7045" s="1" t="s">
        <v>34692</v>
      </c>
      <c r="M7045" s="2" t="s">
        <v>12</v>
      </c>
      <c r="N7045" s="4">
        <f t="shared" si="1"/>
        <v>43724</v>
      </c>
      <c r="O7045" s="5" t="str">
        <f>IFERROR(__xludf.DUMMYFUNCTION("IF(REGEXMATCH(TRIM(I7045), ""^\d+\s*min""), ""Unclassified"", IF(I7045 = """", ""NR"", I7045))"),"R")</f>
        <v>R</v>
      </c>
      <c r="R7045" s="5" t="str">
        <f t="shared" si="2"/>
        <v>I Am Wrath</v>
      </c>
      <c r="S7045" s="5" t="str">
        <f>IFERROR(__xludf.DUMMYFUNCTION("""COMPUTED_VALUE"""),"The Cruise")</f>
        <v>The Cruise</v>
      </c>
      <c r="V7045" s="5"/>
      <c r="Y7045" s="5" t="str">
        <f>IFERROR(__xludf.DUMMYFUNCTION("REGEXEXTRACT(J7045, ""^\d+"")"),"91")</f>
        <v>91</v>
      </c>
      <c r="Z7045" s="5" t="str">
        <f>IFERROR(__xludf.DUMMYFUNCTION("REGEXEXTRACT(J7045, ""[A-Za-z ]+$"")")," min")</f>
        <v> min</v>
      </c>
      <c r="AA7045" s="5" t="str">
        <f>IFERROR(__xludf.DUMMYFUNCTION("IF(REGEXMATCH(Z7045, ""Season""), ""TV Show"", ""Movie"")"),"Movie")</f>
        <v>Movie</v>
      </c>
    </row>
    <row r="7046">
      <c r="A7046" s="1" t="s">
        <v>34693</v>
      </c>
      <c r="B7046" s="1" t="s">
        <v>27</v>
      </c>
      <c r="C7046" s="1" t="s">
        <v>34694</v>
      </c>
      <c r="D7046" s="1" t="s">
        <v>34695</v>
      </c>
      <c r="E7046" s="1" t="s">
        <v>34696</v>
      </c>
      <c r="F7046" s="1" t="s">
        <v>30</v>
      </c>
      <c r="G7046" s="1" t="s">
        <v>21486</v>
      </c>
      <c r="H7046" s="1">
        <v>2011.0</v>
      </c>
      <c r="I7046" s="1" t="s">
        <v>32</v>
      </c>
      <c r="J7046" s="1" t="s">
        <v>1191</v>
      </c>
      <c r="K7046" s="1" t="s">
        <v>239</v>
      </c>
      <c r="L7046" s="1" t="s">
        <v>34697</v>
      </c>
      <c r="M7046" s="2" t="s">
        <v>12</v>
      </c>
      <c r="N7046" s="4">
        <f t="shared" si="1"/>
        <v>43547</v>
      </c>
      <c r="O7046" s="5" t="str">
        <f>IFERROR(__xludf.DUMMYFUNCTION("IF(REGEXMATCH(TRIM(I7046), ""^\d+\s*min""), ""Unclassified"", IF(I7046 = """", ""NR"", I7046))"),"PG-13")</f>
        <v>PG-13</v>
      </c>
      <c r="R7046" s="5" t="str">
        <f t="shared" si="2"/>
        <v>I Don'T Know How She Does It</v>
      </c>
      <c r="S7046" s="5" t="str">
        <f>IFERROR(__xludf.DUMMYFUNCTION("""COMPUTED_VALUE"""),"The Crying Game")</f>
        <v>The Crying Game</v>
      </c>
      <c r="V7046" s="5"/>
      <c r="Y7046" s="5" t="str">
        <f>IFERROR(__xludf.DUMMYFUNCTION("REGEXEXTRACT(J7046, ""^\d+"")"),"89")</f>
        <v>89</v>
      </c>
      <c r="Z7046" s="5" t="str">
        <f>IFERROR(__xludf.DUMMYFUNCTION("REGEXEXTRACT(J7046, ""[A-Za-z ]+$"")")," min")</f>
        <v> min</v>
      </c>
      <c r="AA7046" s="5" t="str">
        <f>IFERROR(__xludf.DUMMYFUNCTION("IF(REGEXMATCH(Z7046, ""Season""), ""TV Show"", ""Movie"")"),"Movie")</f>
        <v>Movie</v>
      </c>
    </row>
    <row r="7047">
      <c r="A7047" s="1" t="s">
        <v>34698</v>
      </c>
      <c r="B7047" s="1" t="s">
        <v>27</v>
      </c>
      <c r="C7047" s="1" t="s">
        <v>34699</v>
      </c>
      <c r="D7047" s="1" t="s">
        <v>14678</v>
      </c>
      <c r="G7047" s="1" t="s">
        <v>22293</v>
      </c>
      <c r="H7047" s="1">
        <v>2017.0</v>
      </c>
      <c r="I7047" s="1" t="s">
        <v>97</v>
      </c>
      <c r="J7047" s="1" t="s">
        <v>256</v>
      </c>
      <c r="K7047" s="1" t="s">
        <v>9544</v>
      </c>
      <c r="L7047" s="1" t="s">
        <v>34700</v>
      </c>
      <c r="M7047" s="2" t="s">
        <v>12</v>
      </c>
      <c r="N7047" s="4">
        <f t="shared" si="1"/>
        <v>43496</v>
      </c>
      <c r="O7047" s="5" t="str">
        <f>IFERROR(__xludf.DUMMYFUNCTION("IF(REGEXMATCH(TRIM(I7047), ""^\d+\s*min""), ""Unclassified"", IF(I7047 = """", ""NR"", I7047))"),"TV-14")</f>
        <v>TV-14</v>
      </c>
      <c r="R7047" s="5" t="str">
        <f t="shared" si="2"/>
        <v>I Dream Of Dance</v>
      </c>
      <c r="S7047" s="5" t="str">
        <f>IFERROR(__xludf.DUMMYFUNCTION("""COMPUTED_VALUE"""),"The Crystal Calls Making The Dark Crystal: Age Of Resistance")</f>
        <v>The Crystal Calls Making The Dark Crystal: Age Of Resistance</v>
      </c>
      <c r="V7047" s="5"/>
      <c r="Y7047" s="5" t="str">
        <f>IFERROR(__xludf.DUMMYFUNCTION("REGEXEXTRACT(J7047, ""^\d+"")"),"106")</f>
        <v>106</v>
      </c>
      <c r="Z7047" s="5" t="str">
        <f>IFERROR(__xludf.DUMMYFUNCTION("REGEXEXTRACT(J7047, ""[A-Za-z ]+$"")")," min")</f>
        <v> min</v>
      </c>
      <c r="AA7047" s="5" t="str">
        <f>IFERROR(__xludf.DUMMYFUNCTION("IF(REGEXMATCH(Z7047, ""Season""), ""TV Show"", ""Movie"")"),"Movie")</f>
        <v>Movie</v>
      </c>
    </row>
    <row r="7048">
      <c r="A7048" s="1" t="s">
        <v>34701</v>
      </c>
      <c r="B7048" s="1" t="s">
        <v>27</v>
      </c>
      <c r="C7048" s="1" t="s">
        <v>34702</v>
      </c>
      <c r="D7048" s="1" t="s">
        <v>15498</v>
      </c>
      <c r="E7048" s="1" t="s">
        <v>34703</v>
      </c>
      <c r="F7048" s="1" t="s">
        <v>2796</v>
      </c>
      <c r="G7048" s="1" t="s">
        <v>31151</v>
      </c>
      <c r="H7048" s="1">
        <v>2014.0</v>
      </c>
      <c r="I7048" s="1" t="s">
        <v>97</v>
      </c>
      <c r="J7048" s="1" t="s">
        <v>349</v>
      </c>
      <c r="K7048" s="1" t="s">
        <v>215</v>
      </c>
      <c r="L7048" s="1" t="s">
        <v>34704</v>
      </c>
      <c r="M7048" s="2" t="s">
        <v>12</v>
      </c>
      <c r="N7048" s="4">
        <f t="shared" si="1"/>
        <v>43348</v>
      </c>
      <c r="O7048" s="5" t="str">
        <f>IFERROR(__xludf.DUMMYFUNCTION("IF(REGEXMATCH(TRIM(I7048), ""^\d+\s*min""), ""Unclassified"", IF(I7048 = """", ""NR"", I7048))"),"TV-14")</f>
        <v>TV-14</v>
      </c>
      <c r="R7048" s="5" t="str">
        <f t="shared" si="2"/>
        <v>I Fine... Thank You... Love You</v>
      </c>
      <c r="S7048" s="5" t="str">
        <f>IFERROR(__xludf.DUMMYFUNCTION("""COMPUTED_VALUE"""),"The Cuba Libre Story")</f>
        <v>The Cuba Libre Story</v>
      </c>
      <c r="V7048" s="5"/>
      <c r="Y7048" s="5" t="str">
        <f>IFERROR(__xludf.DUMMYFUNCTION("REGEXEXTRACT(J7048, ""^\d+"")"),"116")</f>
        <v>116</v>
      </c>
      <c r="Z7048" s="5" t="str">
        <f>IFERROR(__xludf.DUMMYFUNCTION("REGEXEXTRACT(J7048, ""[A-Za-z ]+$"")")," min")</f>
        <v> min</v>
      </c>
      <c r="AA7048" s="5" t="str">
        <f>IFERROR(__xludf.DUMMYFUNCTION("IF(REGEXMATCH(Z7048, ""Season""), ""TV Show"", ""Movie"")"),"Movie")</f>
        <v>Movie</v>
      </c>
    </row>
    <row r="7049">
      <c r="A7049" s="1" t="s">
        <v>34705</v>
      </c>
      <c r="B7049" s="1" t="s">
        <v>27</v>
      </c>
      <c r="C7049" s="1" t="s">
        <v>34706</v>
      </c>
      <c r="D7049" s="1" t="s">
        <v>12732</v>
      </c>
      <c r="E7049" s="1" t="s">
        <v>34707</v>
      </c>
      <c r="F7049" s="1" t="s">
        <v>34708</v>
      </c>
      <c r="G7049" s="1" t="s">
        <v>21088</v>
      </c>
      <c r="H7049" s="1">
        <v>2016.0</v>
      </c>
      <c r="I7049" s="1" t="s">
        <v>378</v>
      </c>
      <c r="J7049" s="1" t="s">
        <v>433</v>
      </c>
      <c r="K7049" s="1" t="s">
        <v>1320</v>
      </c>
      <c r="L7049" s="1" t="s">
        <v>34709</v>
      </c>
      <c r="M7049" s="2" t="s">
        <v>12</v>
      </c>
      <c r="N7049" s="4">
        <f t="shared" si="1"/>
        <v>43574</v>
      </c>
      <c r="O7049" s="5" t="str">
        <f>IFERROR(__xludf.DUMMYFUNCTION("IF(REGEXMATCH(TRIM(I7049), ""^\d+\s*min""), ""Unclassified"", IF(I7049 = """", ""NR"", I7049))"),"R")</f>
        <v>R</v>
      </c>
      <c r="R7049" s="5" t="str">
        <f t="shared" si="2"/>
        <v>I, Daniel Blake</v>
      </c>
      <c r="S7049" s="5" t="str">
        <f>IFERROR(__xludf.DUMMYFUNCTION("""COMPUTED_VALUE"""),"The Curious Creations Of Christine Mcconnell")</f>
        <v>The Curious Creations Of Christine Mcconnell</v>
      </c>
      <c r="V7049" s="5"/>
      <c r="Y7049" s="5" t="str">
        <f>IFERROR(__xludf.DUMMYFUNCTION("REGEXEXTRACT(J7049, ""^\d+"")"),"100")</f>
        <v>100</v>
      </c>
      <c r="Z7049" s="5" t="str">
        <f>IFERROR(__xludf.DUMMYFUNCTION("REGEXEXTRACT(J7049, ""[A-Za-z ]+$"")")," min")</f>
        <v> min</v>
      </c>
      <c r="AA7049" s="5" t="str">
        <f>IFERROR(__xludf.DUMMYFUNCTION("IF(REGEXMATCH(Z7049, ""Season""), ""TV Show"", ""Movie"")"),"Movie")</f>
        <v>Movie</v>
      </c>
    </row>
    <row r="7050">
      <c r="A7050" s="1" t="s">
        <v>34710</v>
      </c>
      <c r="B7050" s="1" t="s">
        <v>27</v>
      </c>
      <c r="C7050" s="1" t="s">
        <v>34711</v>
      </c>
      <c r="D7050" s="1" t="s">
        <v>3711</v>
      </c>
      <c r="E7050" s="1" t="s">
        <v>34712</v>
      </c>
      <c r="F7050" s="1" t="s">
        <v>30</v>
      </c>
      <c r="G7050" s="1" t="s">
        <v>18639</v>
      </c>
      <c r="H7050" s="1">
        <v>2015.0</v>
      </c>
      <c r="I7050" s="1" t="s">
        <v>32</v>
      </c>
      <c r="J7050" s="1" t="s">
        <v>322</v>
      </c>
      <c r="K7050" s="1" t="s">
        <v>836</v>
      </c>
      <c r="L7050" s="1" t="s">
        <v>34713</v>
      </c>
      <c r="M7050" s="2" t="s">
        <v>12</v>
      </c>
      <c r="N7050" s="4">
        <f t="shared" si="1"/>
        <v>43760</v>
      </c>
      <c r="O7050" s="5" t="str">
        <f>IFERROR(__xludf.DUMMYFUNCTION("IF(REGEXMATCH(TRIM(I7050), ""^\d+\s*min""), ""Unclassified"", IF(I7050 = """", ""NR"", I7050))"),"PG-13")</f>
        <v>PG-13</v>
      </c>
      <c r="R7050" s="5" t="str">
        <f t="shared" si="2"/>
        <v>I'Ll See You In My Dreams</v>
      </c>
      <c r="S7050" s="5" t="str">
        <f>IFERROR(__xludf.DUMMYFUNCTION("""COMPUTED_VALUE"""),"The Curse Of Oak Island")</f>
        <v>The Curse Of Oak Island</v>
      </c>
      <c r="V7050" s="5"/>
      <c r="Y7050" s="5" t="str">
        <f>IFERROR(__xludf.DUMMYFUNCTION("REGEXEXTRACT(J7050, ""^\d+"")"),"96")</f>
        <v>96</v>
      </c>
      <c r="Z7050" s="5" t="str">
        <f>IFERROR(__xludf.DUMMYFUNCTION("REGEXEXTRACT(J7050, ""[A-Za-z ]+$"")")," min")</f>
        <v> min</v>
      </c>
      <c r="AA7050" s="5" t="str">
        <f>IFERROR(__xludf.DUMMYFUNCTION("IF(REGEXMATCH(Z7050, ""Season""), ""TV Show"", ""Movie"")"),"Movie")</f>
        <v>Movie</v>
      </c>
    </row>
    <row r="7051">
      <c r="A7051" s="1" t="s">
        <v>34714</v>
      </c>
      <c r="B7051" s="1" t="s">
        <v>27</v>
      </c>
      <c r="C7051" s="1" t="s">
        <v>34715</v>
      </c>
      <c r="D7051" s="1" t="s">
        <v>21683</v>
      </c>
      <c r="E7051" s="1" t="s">
        <v>34716</v>
      </c>
      <c r="F7051" s="1" t="s">
        <v>30</v>
      </c>
      <c r="G7051" s="1" t="s">
        <v>27097</v>
      </c>
      <c r="H7051" s="1">
        <v>2013.0</v>
      </c>
      <c r="I7051" s="1" t="s">
        <v>78</v>
      </c>
      <c r="J7051" s="1" t="s">
        <v>804</v>
      </c>
      <c r="K7051" s="1" t="s">
        <v>4723</v>
      </c>
      <c r="L7051" s="1" t="s">
        <v>34717</v>
      </c>
      <c r="M7051" s="2" t="s">
        <v>12</v>
      </c>
      <c r="N7051" s="4">
        <f t="shared" si="1"/>
        <v>43009</v>
      </c>
      <c r="O7051" s="5" t="str">
        <f>IFERROR(__xludf.DUMMYFUNCTION("IF(REGEXMATCH(TRIM(I7051), ""^\d+\s*min""), ""Unclassified"", IF(I7051 = """", ""NR"", I7051))"),"PG")</f>
        <v>PG</v>
      </c>
      <c r="R7051" s="5" t="str">
        <f t="shared" si="2"/>
        <v>I'M In Love With A Church Girl</v>
      </c>
      <c r="S7051" s="5" t="str">
        <f>IFERROR(__xludf.DUMMYFUNCTION("""COMPUTED_VALUE"""),"The D Train")</f>
        <v>The D Train</v>
      </c>
      <c r="V7051" s="5"/>
      <c r="Y7051" s="5" t="str">
        <f>IFERROR(__xludf.DUMMYFUNCTION("REGEXEXTRACT(J7051, ""^\d+"")"),"119")</f>
        <v>119</v>
      </c>
      <c r="Z7051" s="5" t="str">
        <f>IFERROR(__xludf.DUMMYFUNCTION("REGEXEXTRACT(J7051, ""[A-Za-z ]+$"")")," min")</f>
        <v> min</v>
      </c>
      <c r="AA7051" s="5" t="str">
        <f>IFERROR(__xludf.DUMMYFUNCTION("IF(REGEXMATCH(Z7051, ""Season""), ""TV Show"", ""Movie"")"),"Movie")</f>
        <v>Movie</v>
      </c>
    </row>
    <row r="7052">
      <c r="A7052" s="1" t="s">
        <v>34718</v>
      </c>
      <c r="B7052" s="1" t="s">
        <v>37</v>
      </c>
      <c r="C7052" s="1" t="s">
        <v>34719</v>
      </c>
      <c r="E7052" s="1" t="s">
        <v>34720</v>
      </c>
      <c r="F7052" s="1" t="s">
        <v>30</v>
      </c>
      <c r="G7052" s="1" t="s">
        <v>19259</v>
      </c>
      <c r="H7052" s="1">
        <v>2019.0</v>
      </c>
      <c r="I7052" s="1" t="s">
        <v>42</v>
      </c>
      <c r="J7052" s="1" t="s">
        <v>43</v>
      </c>
      <c r="K7052" s="1" t="s">
        <v>270</v>
      </c>
      <c r="L7052" s="1" t="s">
        <v>34721</v>
      </c>
      <c r="M7052" s="2" t="s">
        <v>12</v>
      </c>
      <c r="N7052" s="4">
        <f t="shared" si="1"/>
        <v>43721</v>
      </c>
      <c r="O7052" s="5" t="str">
        <f>IFERROR(__xludf.DUMMYFUNCTION("IF(REGEXMATCH(TRIM(I7052), ""^\d+\s*min""), ""Unclassified"", IF(I7052 = """", ""NR"", I7052))"),"TV-MA")</f>
        <v>TV-MA</v>
      </c>
      <c r="R7052" s="5" t="str">
        <f t="shared" si="2"/>
        <v>I'M Sorry</v>
      </c>
      <c r="S7052" s="5" t="str">
        <f>IFERROR(__xludf.DUMMYFUNCTION("""COMPUTED_VALUE"""),"The Da Vinci Code")</f>
        <v>The Da Vinci Code</v>
      </c>
      <c r="V7052" s="5"/>
      <c r="Y7052" s="5" t="str">
        <f>IFERROR(__xludf.DUMMYFUNCTION("REGEXEXTRACT(J7052, ""^\d+"")"),"2")</f>
        <v>2</v>
      </c>
      <c r="Z7052" s="5" t="str">
        <f>IFERROR(__xludf.DUMMYFUNCTION("REGEXEXTRACT(J7052, ""[A-Za-z ]+$"")")," Seasons")</f>
        <v> Seasons</v>
      </c>
      <c r="AA7052" s="5" t="str">
        <f>IFERROR(__xludf.DUMMYFUNCTION("IF(REGEXMATCH(Z7052, ""Season""), ""TV Show"", ""Movie"")"),"TV Show")</f>
        <v>TV Show</v>
      </c>
    </row>
    <row r="7053">
      <c r="A7053" s="1" t="s">
        <v>34722</v>
      </c>
      <c r="B7053" s="1" t="s">
        <v>27</v>
      </c>
      <c r="C7053" s="1" t="s">
        <v>34723</v>
      </c>
      <c r="D7053" s="1" t="s">
        <v>3716</v>
      </c>
      <c r="E7053" s="1" t="s">
        <v>34724</v>
      </c>
      <c r="F7053" s="1" t="s">
        <v>34725</v>
      </c>
      <c r="G7053" s="1" t="s">
        <v>27097</v>
      </c>
      <c r="H7053" s="1">
        <v>2016.0</v>
      </c>
      <c r="I7053" s="1" t="s">
        <v>42</v>
      </c>
      <c r="J7053" s="1" t="s">
        <v>912</v>
      </c>
      <c r="K7053" s="1" t="s">
        <v>520</v>
      </c>
      <c r="L7053" s="1" t="s">
        <v>34726</v>
      </c>
      <c r="M7053" s="2" t="s">
        <v>12</v>
      </c>
      <c r="N7053" s="4">
        <f t="shared" si="1"/>
        <v>43009</v>
      </c>
      <c r="O7053" s="5" t="str">
        <f>IFERROR(__xludf.DUMMYFUNCTION("IF(REGEXMATCH(TRIM(I7053), ""^\d+\s*min""), ""Unclassified"", IF(I7053 = """", ""NR"", I7053))"),"TV-MA")</f>
        <v>TV-MA</v>
      </c>
      <c r="R7053" s="5" t="str">
        <f t="shared" si="2"/>
        <v>Ice Guardians</v>
      </c>
      <c r="S7053" s="5" t="str">
        <f>IFERROR(__xludf.DUMMYFUNCTION("""COMPUTED_VALUE"""),"The Daily Life Of The Immortal King")</f>
        <v>The Daily Life Of The Immortal King</v>
      </c>
      <c r="V7053" s="5"/>
      <c r="Y7053" s="5" t="str">
        <f>IFERROR(__xludf.DUMMYFUNCTION("REGEXEXTRACT(J7053, ""^\d+"")"),"108")</f>
        <v>108</v>
      </c>
      <c r="Z7053" s="5" t="str">
        <f>IFERROR(__xludf.DUMMYFUNCTION("REGEXEXTRACT(J7053, ""[A-Za-z ]+$"")")," min")</f>
        <v> min</v>
      </c>
      <c r="AA7053" s="5" t="str">
        <f>IFERROR(__xludf.DUMMYFUNCTION("IF(REGEXMATCH(Z7053, ""Season""), ""TV Show"", ""Movie"")"),"Movie")</f>
        <v>Movie</v>
      </c>
    </row>
    <row r="7054">
      <c r="A7054" s="1" t="s">
        <v>34727</v>
      </c>
      <c r="B7054" s="1" t="s">
        <v>27</v>
      </c>
      <c r="C7054" s="1" t="s">
        <v>34728</v>
      </c>
      <c r="D7054" s="1" t="s">
        <v>34729</v>
      </c>
      <c r="E7054" s="1" t="s">
        <v>34730</v>
      </c>
      <c r="F7054" s="1" t="s">
        <v>1064</v>
      </c>
      <c r="G7054" s="1" t="s">
        <v>26358</v>
      </c>
      <c r="H7054" s="1">
        <v>2014.0</v>
      </c>
      <c r="I7054" s="1" t="s">
        <v>378</v>
      </c>
      <c r="J7054" s="1" t="s">
        <v>106</v>
      </c>
      <c r="K7054" s="1" t="s">
        <v>13636</v>
      </c>
      <c r="L7054" s="1" t="s">
        <v>34731</v>
      </c>
      <c r="M7054" s="2" t="s">
        <v>12</v>
      </c>
      <c r="N7054" s="4">
        <f t="shared" si="1"/>
        <v>43123</v>
      </c>
      <c r="O7054" s="5" t="str">
        <f>IFERROR(__xludf.DUMMYFUNCTION("IF(REGEXMATCH(TRIM(I7054), ""^\d+\s*min""), ""Unclassified"", IF(I7054 = """", ""NR"", I7054))"),"R")</f>
        <v>R</v>
      </c>
      <c r="R7054" s="5" t="str">
        <f t="shared" si="2"/>
        <v>Iceman</v>
      </c>
      <c r="S7054" s="5" t="str">
        <f>IFERROR(__xludf.DUMMYFUNCTION("""COMPUTED_VALUE"""),"The Damned Rain")</f>
        <v>The Damned Rain</v>
      </c>
      <c r="V7054" s="5"/>
      <c r="Y7054" s="5" t="str">
        <f>IFERROR(__xludf.DUMMYFUNCTION("REGEXEXTRACT(J7054, ""^\d+"")"),"104")</f>
        <v>104</v>
      </c>
      <c r="Z7054" s="5" t="str">
        <f>IFERROR(__xludf.DUMMYFUNCTION("REGEXEXTRACT(J7054, ""[A-Za-z ]+$"")")," min")</f>
        <v> min</v>
      </c>
      <c r="AA7054" s="5" t="str">
        <f>IFERROR(__xludf.DUMMYFUNCTION("IF(REGEXMATCH(Z7054, ""Season""), ""TV Show"", ""Movie"")"),"Movie")</f>
        <v>Movie</v>
      </c>
    </row>
    <row r="7055">
      <c r="A7055" s="1" t="s">
        <v>34732</v>
      </c>
      <c r="B7055" s="1" t="s">
        <v>27</v>
      </c>
      <c r="C7055" s="1" t="s">
        <v>34733</v>
      </c>
      <c r="D7055" s="1" t="s">
        <v>20038</v>
      </c>
      <c r="E7055" s="1" t="s">
        <v>34734</v>
      </c>
      <c r="F7055" s="1" t="s">
        <v>63</v>
      </c>
      <c r="G7055" s="1" t="s">
        <v>26481</v>
      </c>
      <c r="H7055" s="1">
        <v>2010.0</v>
      </c>
      <c r="I7055" s="1" t="s">
        <v>97</v>
      </c>
      <c r="J7055" s="1" t="s">
        <v>341</v>
      </c>
      <c r="K7055" s="1" t="s">
        <v>215</v>
      </c>
      <c r="L7055" s="1" t="s">
        <v>34735</v>
      </c>
      <c r="M7055" s="2" t="s">
        <v>12</v>
      </c>
      <c r="N7055" s="4">
        <f t="shared" si="1"/>
        <v>43101</v>
      </c>
      <c r="O7055" s="5" t="str">
        <f>IFERROR(__xludf.DUMMYFUNCTION("IF(REGEXMATCH(TRIM(I7055), ""^\d+\s*min""), ""Unclassified"", IF(I7055 = """", ""NR"", I7055))"),"TV-14")</f>
        <v>TV-14</v>
      </c>
      <c r="R7055" s="5" t="str">
        <f t="shared" si="2"/>
        <v>Ideachi Kalpana</v>
      </c>
      <c r="S7055" s="5" t="str">
        <f>IFERROR(__xludf.DUMMYFUNCTION("""COMPUTED_VALUE"""),"The Dancer")</f>
        <v>The Dancer</v>
      </c>
      <c r="V7055" s="5"/>
      <c r="Y7055" s="5" t="str">
        <f>IFERROR(__xludf.DUMMYFUNCTION("REGEXEXTRACT(J7055, ""^\d+"")"),"124")</f>
        <v>124</v>
      </c>
      <c r="Z7055" s="5" t="str">
        <f>IFERROR(__xludf.DUMMYFUNCTION("REGEXEXTRACT(J7055, ""[A-Za-z ]+$"")")," min")</f>
        <v> min</v>
      </c>
      <c r="AA7055" s="5" t="str">
        <f>IFERROR(__xludf.DUMMYFUNCTION("IF(REGEXMATCH(Z7055, ""Season""), ""TV Show"", ""Movie"")"),"Movie")</f>
        <v>Movie</v>
      </c>
    </row>
    <row r="7056">
      <c r="A7056" s="1" t="s">
        <v>34736</v>
      </c>
      <c r="B7056" s="1" t="s">
        <v>37</v>
      </c>
      <c r="C7056" s="1" t="s">
        <v>34737</v>
      </c>
      <c r="E7056" s="1" t="s">
        <v>34738</v>
      </c>
      <c r="F7056" s="1" t="s">
        <v>30</v>
      </c>
      <c r="G7056" s="1" t="s">
        <v>22981</v>
      </c>
      <c r="H7056" s="1">
        <v>2014.0</v>
      </c>
      <c r="I7056" s="1" t="s">
        <v>136</v>
      </c>
      <c r="J7056" s="1" t="s">
        <v>51</v>
      </c>
      <c r="K7056" s="1" t="s">
        <v>10750</v>
      </c>
      <c r="L7056" s="1" t="s">
        <v>34739</v>
      </c>
      <c r="M7056" s="2" t="s">
        <v>12</v>
      </c>
      <c r="N7056" s="4">
        <f t="shared" si="1"/>
        <v>43449</v>
      </c>
      <c r="O7056" s="5" t="str">
        <f>IFERROR(__xludf.DUMMYFUNCTION("IF(REGEXMATCH(TRIM(I7056), ""^\d+\s*min""), ""Unclassified"", IF(I7056 = """", ""NR"", I7056))"),"TV-PG")</f>
        <v>TV-PG</v>
      </c>
      <c r="R7056" s="5" t="str">
        <f t="shared" si="2"/>
        <v>Idiotest</v>
      </c>
      <c r="S7056" s="5" t="str">
        <f>IFERROR(__xludf.DUMMYFUNCTION("""COMPUTED_VALUE"""),"The Danish Girl")</f>
        <v>The Danish Girl</v>
      </c>
      <c r="V7056" s="5"/>
      <c r="Y7056" s="5" t="str">
        <f>IFERROR(__xludf.DUMMYFUNCTION("REGEXEXTRACT(J7056, ""^\d+"")"),"1")</f>
        <v>1</v>
      </c>
      <c r="Z7056" s="5" t="str">
        <f>IFERROR(__xludf.DUMMYFUNCTION("REGEXEXTRACT(J7056, ""[A-Za-z ]+$"")")," Season")</f>
        <v> Season</v>
      </c>
      <c r="AA7056" s="5" t="str">
        <f>IFERROR(__xludf.DUMMYFUNCTION("IF(REGEXMATCH(Z7056, ""Season""), ""TV Show"", ""Movie"")"),"TV Show")</f>
        <v>TV Show</v>
      </c>
    </row>
    <row r="7057">
      <c r="A7057" s="1" t="s">
        <v>34740</v>
      </c>
      <c r="B7057" s="1" t="s">
        <v>27</v>
      </c>
      <c r="C7057" s="1" t="s">
        <v>34741</v>
      </c>
      <c r="D7057" s="1" t="s">
        <v>22831</v>
      </c>
      <c r="E7057" s="1" t="s">
        <v>34742</v>
      </c>
      <c r="F7057" s="1" t="s">
        <v>2321</v>
      </c>
      <c r="G7057" s="1" t="s">
        <v>19361</v>
      </c>
      <c r="H7057" s="1">
        <v>2008.0</v>
      </c>
      <c r="I7057" s="1" t="s">
        <v>78</v>
      </c>
      <c r="J7057" s="1" t="s">
        <v>630</v>
      </c>
      <c r="K7057" s="1" t="s">
        <v>80</v>
      </c>
      <c r="L7057" s="1" t="s">
        <v>34743</v>
      </c>
      <c r="M7057" s="2" t="s">
        <v>12</v>
      </c>
      <c r="N7057" s="4">
        <f t="shared" si="1"/>
        <v>43709</v>
      </c>
      <c r="O7057" s="5" t="str">
        <f>IFERROR(__xludf.DUMMYFUNCTION("IF(REGEXMATCH(TRIM(I7057), ""^\d+\s*min""), ""Unclassified"", IF(I7057 = """", ""NR"", I7057))"),"PG")</f>
        <v>PG</v>
      </c>
      <c r="R7057" s="5" t="str">
        <f t="shared" si="2"/>
        <v>Igor</v>
      </c>
      <c r="S7057" s="5" t="str">
        <f>IFERROR(__xludf.DUMMYFUNCTION("""COMPUTED_VALUE"""),"The Dark Crystal")</f>
        <v>The Dark Crystal</v>
      </c>
      <c r="V7057" s="5"/>
      <c r="Y7057" s="5" t="str">
        <f>IFERROR(__xludf.DUMMYFUNCTION("REGEXEXTRACT(J7057, ""^\d+"")"),"87")</f>
        <v>87</v>
      </c>
      <c r="Z7057" s="5" t="str">
        <f>IFERROR(__xludf.DUMMYFUNCTION("REGEXEXTRACT(J7057, ""[A-Za-z ]+$"")")," min")</f>
        <v> min</v>
      </c>
      <c r="AA7057" s="5" t="str">
        <f>IFERROR(__xludf.DUMMYFUNCTION("IF(REGEXMATCH(Z7057, ""Season""), ""TV Show"", ""Movie"")"),"Movie")</f>
        <v>Movie</v>
      </c>
    </row>
    <row r="7058">
      <c r="A7058" s="1" t="s">
        <v>34744</v>
      </c>
      <c r="B7058" s="1" t="s">
        <v>27</v>
      </c>
      <c r="C7058" s="1" t="s">
        <v>34745</v>
      </c>
      <c r="D7058" s="1" t="s">
        <v>10379</v>
      </c>
      <c r="E7058" s="1" t="s">
        <v>17976</v>
      </c>
      <c r="F7058" s="1" t="s">
        <v>30</v>
      </c>
      <c r="G7058" s="1" t="s">
        <v>30104</v>
      </c>
      <c r="H7058" s="1">
        <v>2013.0</v>
      </c>
      <c r="I7058" s="1" t="s">
        <v>30231</v>
      </c>
      <c r="J7058" s="1" t="s">
        <v>6281</v>
      </c>
      <c r="K7058" s="1" t="s">
        <v>1839</v>
      </c>
      <c r="L7058" s="1" t="s">
        <v>34746</v>
      </c>
      <c r="M7058" s="2" t="s">
        <v>12</v>
      </c>
      <c r="N7058" s="4">
        <f t="shared" si="1"/>
        <v>41518</v>
      </c>
      <c r="O7058" s="5" t="str">
        <f>IFERROR(__xludf.DUMMYFUNCTION("IF(REGEXMATCH(TRIM(I7058), ""^\d+\s*min""), ""Unclassified"", IF(I7058 = """", ""NR"", I7058))"),"NR")</f>
        <v>NR</v>
      </c>
      <c r="R7058" s="5" t="str">
        <f t="shared" si="2"/>
        <v>Iliza Shlesinger: War Paint</v>
      </c>
      <c r="S7058" s="5" t="str">
        <f>IFERROR(__xludf.DUMMYFUNCTION("""COMPUTED_VALUE"""),"The Dark Crystal: Age Of Resistance")</f>
        <v>The Dark Crystal: Age Of Resistance</v>
      </c>
      <c r="V7058" s="5"/>
      <c r="Y7058" s="5" t="str">
        <f>IFERROR(__xludf.DUMMYFUNCTION("REGEXEXTRACT(J7058, ""^\d+"")"),"75")</f>
        <v>75</v>
      </c>
      <c r="Z7058" s="5" t="str">
        <f>IFERROR(__xludf.DUMMYFUNCTION("REGEXEXTRACT(J7058, ""[A-Za-z ]+$"")")," min")</f>
        <v> min</v>
      </c>
      <c r="AA7058" s="5" t="str">
        <f>IFERROR(__xludf.DUMMYFUNCTION("IF(REGEXMATCH(Z7058, ""Season""), ""TV Show"", ""Movie"")"),"Movie")</f>
        <v>Movie</v>
      </c>
    </row>
    <row r="7059">
      <c r="A7059" s="1" t="s">
        <v>34747</v>
      </c>
      <c r="B7059" s="1" t="s">
        <v>27</v>
      </c>
      <c r="C7059" s="1" t="s">
        <v>34748</v>
      </c>
      <c r="D7059" s="1" t="s">
        <v>12425</v>
      </c>
      <c r="E7059" s="1" t="s">
        <v>34749</v>
      </c>
      <c r="F7059" s="1" t="s">
        <v>1205</v>
      </c>
      <c r="G7059" s="1" t="s">
        <v>17523</v>
      </c>
      <c r="H7059" s="1">
        <v>2009.0</v>
      </c>
      <c r="I7059" s="1" t="s">
        <v>78</v>
      </c>
      <c r="J7059" s="1" t="s">
        <v>912</v>
      </c>
      <c r="K7059" s="1" t="s">
        <v>2155</v>
      </c>
      <c r="L7059" s="1" t="s">
        <v>34750</v>
      </c>
      <c r="M7059" s="2" t="s">
        <v>12</v>
      </c>
      <c r="N7059" s="4">
        <f t="shared" si="1"/>
        <v>43806</v>
      </c>
      <c r="O7059" s="5" t="str">
        <f>IFERROR(__xludf.DUMMYFUNCTION("IF(REGEXMATCH(TRIM(I7059), ""^\d+\s*min""), ""Unclassified"", IF(I7059 = """", ""NR"", I7059))"),"PG")</f>
        <v>PG</v>
      </c>
      <c r="R7059" s="5" t="str">
        <f t="shared" si="2"/>
        <v>Imagine That</v>
      </c>
      <c r="S7059" s="5" t="str">
        <f>IFERROR(__xludf.DUMMYFUNCTION("""COMPUTED_VALUE"""),"The Dark Side Of Life: Mumbai City")</f>
        <v>The Dark Side Of Life: Mumbai City</v>
      </c>
      <c r="V7059" s="5"/>
      <c r="Y7059" s="5" t="str">
        <f>IFERROR(__xludf.DUMMYFUNCTION("REGEXEXTRACT(J7059, ""^\d+"")"),"108")</f>
        <v>108</v>
      </c>
      <c r="Z7059" s="5" t="str">
        <f>IFERROR(__xludf.DUMMYFUNCTION("REGEXEXTRACT(J7059, ""[A-Za-z ]+$"")")," min")</f>
        <v> min</v>
      </c>
      <c r="AA7059" s="5" t="str">
        <f>IFERROR(__xludf.DUMMYFUNCTION("IF(REGEXMATCH(Z7059, ""Season""), ""TV Show"", ""Movie"")"),"Movie")</f>
        <v>Movie</v>
      </c>
    </row>
    <row r="7060">
      <c r="A7060" s="1" t="s">
        <v>34751</v>
      </c>
      <c r="B7060" s="1" t="s">
        <v>27</v>
      </c>
      <c r="C7060" s="1" t="s">
        <v>34752</v>
      </c>
      <c r="D7060" s="1" t="s">
        <v>23484</v>
      </c>
      <c r="E7060" s="1" t="s">
        <v>34753</v>
      </c>
      <c r="F7060" s="1" t="s">
        <v>664</v>
      </c>
      <c r="G7060" s="1" t="s">
        <v>20510</v>
      </c>
      <c r="H7060" s="1">
        <v>1974.0</v>
      </c>
      <c r="I7060" s="1" t="s">
        <v>34754</v>
      </c>
      <c r="J7060" s="1" t="s">
        <v>238</v>
      </c>
      <c r="K7060" s="1" t="s">
        <v>679</v>
      </c>
      <c r="L7060" s="1" t="s">
        <v>34755</v>
      </c>
      <c r="M7060" s="2" t="s">
        <v>12</v>
      </c>
      <c r="N7060" s="4">
        <f t="shared" si="1"/>
        <v>43622</v>
      </c>
      <c r="O7060" s="5" t="str">
        <f>IFERROR(__xludf.DUMMYFUNCTION("IF(REGEXMATCH(TRIM(I7060), ""^\d+\s*min""), ""Unclassified"", IF(I7060 = """", ""NR"", I7060))"),"UR")</f>
        <v>UR</v>
      </c>
      <c r="R7060" s="5" t="str">
        <f t="shared" si="2"/>
        <v>Immoral Tales</v>
      </c>
      <c r="S7060" s="5" t="str">
        <f>IFERROR(__xludf.DUMMYFUNCTION("""COMPUTED_VALUE"""),"The Darkest Dawn")</f>
        <v>The Darkest Dawn</v>
      </c>
      <c r="V7060" s="5"/>
      <c r="Y7060" s="5" t="str">
        <f>IFERROR(__xludf.DUMMYFUNCTION("REGEXEXTRACT(J7060, ""^\d+"")"),"103")</f>
        <v>103</v>
      </c>
      <c r="Z7060" s="5" t="str">
        <f>IFERROR(__xludf.DUMMYFUNCTION("REGEXEXTRACT(J7060, ""[A-Za-z ]+$"")")," min")</f>
        <v> min</v>
      </c>
      <c r="AA7060" s="5" t="str">
        <f>IFERROR(__xludf.DUMMYFUNCTION("IF(REGEXMATCH(Z7060, ""Season""), ""TV Show"", ""Movie"")"),"Movie")</f>
        <v>Movie</v>
      </c>
    </row>
    <row r="7061">
      <c r="A7061" s="1" t="s">
        <v>34756</v>
      </c>
      <c r="B7061" s="1" t="s">
        <v>37</v>
      </c>
      <c r="C7061" s="1" t="s">
        <v>34757</v>
      </c>
      <c r="E7061" s="1" t="s">
        <v>34758</v>
      </c>
      <c r="F7061" s="1" t="s">
        <v>2059</v>
      </c>
      <c r="G7061" s="1" t="s">
        <v>28840</v>
      </c>
      <c r="H7061" s="1">
        <v>2012.0</v>
      </c>
      <c r="I7061" s="1" t="s">
        <v>97</v>
      </c>
      <c r="J7061" s="1" t="s">
        <v>51</v>
      </c>
      <c r="K7061" s="1" t="s">
        <v>64</v>
      </c>
      <c r="L7061" s="1" t="s">
        <v>34759</v>
      </c>
      <c r="M7061" s="2" t="s">
        <v>12</v>
      </c>
      <c r="N7061" s="4">
        <f t="shared" si="1"/>
        <v>42736</v>
      </c>
      <c r="O7061" s="5" t="str">
        <f>IFERROR(__xludf.DUMMYFUNCTION("IF(REGEXMATCH(TRIM(I7061), ""^\d+\s*min""), ""Unclassified"", IF(I7061 = """", ""NR"", I7061))"),"TV-14")</f>
        <v>TV-14</v>
      </c>
      <c r="R7061" s="5" t="str">
        <f t="shared" si="2"/>
        <v>In Between</v>
      </c>
      <c r="S7061" s="5" t="str">
        <f>IFERROR(__xludf.DUMMYFUNCTION("""COMPUTED_VALUE"""),"The Darkest Hour")</f>
        <v>The Darkest Hour</v>
      </c>
      <c r="V7061" s="5"/>
      <c r="Y7061" s="5" t="str">
        <f>IFERROR(__xludf.DUMMYFUNCTION("REGEXEXTRACT(J7061, ""^\d+"")"),"1")</f>
        <v>1</v>
      </c>
      <c r="Z7061" s="5" t="str">
        <f>IFERROR(__xludf.DUMMYFUNCTION("REGEXEXTRACT(J7061, ""[A-Za-z ]+$"")")," Season")</f>
        <v> Season</v>
      </c>
      <c r="AA7061" s="5" t="str">
        <f>IFERROR(__xludf.DUMMYFUNCTION("IF(REGEXMATCH(Z7061, ""Season""), ""TV Show"", ""Movie"")"),"TV Show")</f>
        <v>TV Show</v>
      </c>
    </row>
    <row r="7062">
      <c r="A7062" s="1" t="s">
        <v>34760</v>
      </c>
      <c r="B7062" s="1" t="s">
        <v>27</v>
      </c>
      <c r="C7062" s="1" t="s">
        <v>34761</v>
      </c>
      <c r="D7062" s="1" t="s">
        <v>22232</v>
      </c>
      <c r="E7062" s="1" t="s">
        <v>34762</v>
      </c>
      <c r="F7062" s="1" t="s">
        <v>30</v>
      </c>
      <c r="G7062" s="1" t="s">
        <v>34763</v>
      </c>
      <c r="H7062" s="1">
        <v>2017.0</v>
      </c>
      <c r="I7062" s="1" t="s">
        <v>378</v>
      </c>
      <c r="J7062" s="1" t="s">
        <v>238</v>
      </c>
      <c r="K7062" s="1" t="s">
        <v>323</v>
      </c>
      <c r="L7062" s="1" t="s">
        <v>34764</v>
      </c>
      <c r="M7062" s="2" t="s">
        <v>12</v>
      </c>
      <c r="N7062" s="4">
        <f t="shared" si="1"/>
        <v>43178</v>
      </c>
      <c r="O7062" s="5" t="str">
        <f>IFERROR(__xludf.DUMMYFUNCTION("IF(REGEXMATCH(TRIM(I7062), ""^\d+\s*min""), ""Unclassified"", IF(I7062 = """", ""NR"", I7062))"),"R")</f>
        <v>R</v>
      </c>
      <c r="R7062" s="5" t="str">
        <f t="shared" si="2"/>
        <v>In Search Of Fellini</v>
      </c>
      <c r="S7062" s="5" t="str">
        <f>IFERROR(__xludf.DUMMYFUNCTION("""COMPUTED_VALUE"""),"The Darkness")</f>
        <v>The Darkness</v>
      </c>
      <c r="V7062" s="5"/>
      <c r="Y7062" s="5" t="str">
        <f>IFERROR(__xludf.DUMMYFUNCTION("REGEXEXTRACT(J7062, ""^\d+"")"),"103")</f>
        <v>103</v>
      </c>
      <c r="Z7062" s="5" t="str">
        <f>IFERROR(__xludf.DUMMYFUNCTION("REGEXEXTRACT(J7062, ""[A-Za-z ]+$"")")," min")</f>
        <v> min</v>
      </c>
      <c r="AA7062" s="5" t="str">
        <f>IFERROR(__xludf.DUMMYFUNCTION("IF(REGEXMATCH(Z7062, ""Season""), ""TV Show"", ""Movie"")"),"Movie")</f>
        <v>Movie</v>
      </c>
    </row>
    <row r="7063">
      <c r="A7063" s="1" t="s">
        <v>34765</v>
      </c>
      <c r="B7063" s="1" t="s">
        <v>27</v>
      </c>
      <c r="C7063" s="1" t="s">
        <v>34766</v>
      </c>
      <c r="D7063" s="1" t="s">
        <v>5771</v>
      </c>
      <c r="E7063" s="1" t="s">
        <v>34767</v>
      </c>
      <c r="F7063" s="1" t="s">
        <v>34768</v>
      </c>
      <c r="G7063" s="1" t="s">
        <v>26447</v>
      </c>
      <c r="H7063" s="1">
        <v>2017.0</v>
      </c>
      <c r="I7063" s="1" t="s">
        <v>32</v>
      </c>
      <c r="J7063" s="1" t="s">
        <v>1191</v>
      </c>
      <c r="K7063" s="1" t="s">
        <v>1592</v>
      </c>
      <c r="L7063" s="1" t="s">
        <v>34769</v>
      </c>
      <c r="M7063" s="2" t="s">
        <v>12</v>
      </c>
      <c r="N7063" s="4">
        <f t="shared" si="1"/>
        <v>43110</v>
      </c>
      <c r="O7063" s="5" t="str">
        <f>IFERROR(__xludf.DUMMYFUNCTION("IF(REGEXMATCH(TRIM(I7063), ""^\d+\s*min""), ""Unclassified"", IF(I7063 = """", ""NR"", I7063))"),"PG-13")</f>
        <v>PG-13</v>
      </c>
      <c r="R7063" s="5" t="str">
        <f t="shared" si="2"/>
        <v>In The Deep</v>
      </c>
      <c r="S7063" s="5" t="str">
        <f>IFERROR(__xludf.DUMMYFUNCTION("""COMPUTED_VALUE"""),"The Daughter")</f>
        <v>The Daughter</v>
      </c>
      <c r="V7063" s="5"/>
      <c r="Y7063" s="5" t="str">
        <f>IFERROR(__xludf.DUMMYFUNCTION("REGEXEXTRACT(J7063, ""^\d+"")"),"89")</f>
        <v>89</v>
      </c>
      <c r="Z7063" s="5" t="str">
        <f>IFERROR(__xludf.DUMMYFUNCTION("REGEXEXTRACT(J7063, ""[A-Za-z ]+$"")")," min")</f>
        <v> min</v>
      </c>
      <c r="AA7063" s="5" t="str">
        <f>IFERROR(__xludf.DUMMYFUNCTION("IF(REGEXMATCH(Z7063, ""Season""), ""TV Show"", ""Movie"")"),"Movie")</f>
        <v>Movie</v>
      </c>
    </row>
    <row r="7064">
      <c r="A7064" s="1" t="s">
        <v>34770</v>
      </c>
      <c r="B7064" s="1" t="s">
        <v>27</v>
      </c>
      <c r="C7064" s="1" t="s">
        <v>34771</v>
      </c>
      <c r="D7064" s="1" t="s">
        <v>2843</v>
      </c>
      <c r="E7064" s="1" t="s">
        <v>34772</v>
      </c>
      <c r="F7064" s="1" t="s">
        <v>188</v>
      </c>
      <c r="G7064" s="1" t="s">
        <v>28526</v>
      </c>
      <c r="H7064" s="1">
        <v>2014.0</v>
      </c>
      <c r="I7064" s="1" t="s">
        <v>97</v>
      </c>
      <c r="J7064" s="1" t="s">
        <v>238</v>
      </c>
      <c r="K7064" s="1" t="s">
        <v>679</v>
      </c>
      <c r="L7064" s="1" t="s">
        <v>34773</v>
      </c>
      <c r="M7064" s="2" t="s">
        <v>12</v>
      </c>
      <c r="N7064" s="4">
        <f t="shared" si="1"/>
        <v>42804</v>
      </c>
      <c r="O7064" s="5" t="str">
        <f>IFERROR(__xludf.DUMMYFUNCTION("IF(REGEXMATCH(TRIM(I7064), ""^\d+\s*min""), ""Unclassified"", IF(I7064 = """", ""NR"", I7064))"),"TV-14")</f>
        <v>TV-14</v>
      </c>
      <c r="R7064" s="5" t="str">
        <f t="shared" si="2"/>
        <v>Incir Receli 2</v>
      </c>
      <c r="S7064" s="5" t="str">
        <f>IFERROR(__xludf.DUMMYFUNCTION("""COMPUTED_VALUE"""),"The Dawn Wall")</f>
        <v>The Dawn Wall</v>
      </c>
      <c r="V7064" s="5"/>
      <c r="Y7064" s="5" t="str">
        <f>IFERROR(__xludf.DUMMYFUNCTION("REGEXEXTRACT(J7064, ""^\d+"")"),"103")</f>
        <v>103</v>
      </c>
      <c r="Z7064" s="5" t="str">
        <f>IFERROR(__xludf.DUMMYFUNCTION("REGEXEXTRACT(J7064, ""[A-Za-z ]+$"")")," min")</f>
        <v> min</v>
      </c>
      <c r="AA7064" s="5" t="str">
        <f>IFERROR(__xludf.DUMMYFUNCTION("IF(REGEXMATCH(Z7064, ""Season""), ""TV Show"", ""Movie"")"),"Movie")</f>
        <v>Movie</v>
      </c>
    </row>
    <row r="7065">
      <c r="A7065" s="1" t="s">
        <v>34774</v>
      </c>
      <c r="B7065" s="1" t="s">
        <v>27</v>
      </c>
      <c r="C7065" s="1" t="s">
        <v>34775</v>
      </c>
      <c r="D7065" s="1" t="s">
        <v>7230</v>
      </c>
      <c r="E7065" s="1" t="s">
        <v>34776</v>
      </c>
      <c r="F7065" s="1" t="s">
        <v>10975</v>
      </c>
      <c r="G7065" s="1" t="s">
        <v>23805</v>
      </c>
      <c r="H7065" s="1">
        <v>2019.0</v>
      </c>
      <c r="I7065" s="1" t="s">
        <v>42</v>
      </c>
      <c r="J7065" s="1" t="s">
        <v>1191</v>
      </c>
      <c r="K7065" s="1" t="s">
        <v>942</v>
      </c>
      <c r="L7065" s="1" t="s">
        <v>34777</v>
      </c>
      <c r="M7065" s="2" t="s">
        <v>12</v>
      </c>
      <c r="N7065" s="4">
        <f t="shared" si="1"/>
        <v>43399</v>
      </c>
      <c r="O7065" s="5" t="str">
        <f>IFERROR(__xludf.DUMMYFUNCTION("IF(REGEXMATCH(TRIM(I7065), ""^\d+\s*min""), ""Unclassified"", IF(I7065 = """", ""NR"", I7065))"),"TV-MA")</f>
        <v>TV-MA</v>
      </c>
      <c r="R7065" s="5" t="str">
        <f t="shared" si="2"/>
        <v>Incoming</v>
      </c>
      <c r="S7065" s="5" t="str">
        <f>IFERROR(__xludf.DUMMYFUNCTION("""COMPUTED_VALUE"""),"The Day I Lost My Shadow")</f>
        <v>The Day I Lost My Shadow</v>
      </c>
      <c r="V7065" s="5"/>
      <c r="Y7065" s="5" t="str">
        <f>IFERROR(__xludf.DUMMYFUNCTION("REGEXEXTRACT(J7065, ""^\d+"")"),"89")</f>
        <v>89</v>
      </c>
      <c r="Z7065" s="5" t="str">
        <f>IFERROR(__xludf.DUMMYFUNCTION("REGEXEXTRACT(J7065, ""[A-Za-z ]+$"")")," min")</f>
        <v> min</v>
      </c>
      <c r="AA7065" s="5" t="str">
        <f>IFERROR(__xludf.DUMMYFUNCTION("IF(REGEXMATCH(Z7065, ""Season""), ""TV Show"", ""Movie"")"),"Movie")</f>
        <v>Movie</v>
      </c>
    </row>
    <row r="7066">
      <c r="A7066" s="1" t="s">
        <v>34778</v>
      </c>
      <c r="B7066" s="1" t="s">
        <v>27</v>
      </c>
      <c r="C7066" s="1" t="s">
        <v>34779</v>
      </c>
      <c r="D7066" s="1" t="s">
        <v>21891</v>
      </c>
      <c r="E7066" s="1" t="s">
        <v>34780</v>
      </c>
      <c r="F7066" s="1" t="s">
        <v>63</v>
      </c>
      <c r="G7066" s="1" t="s">
        <v>33172</v>
      </c>
      <c r="H7066" s="1">
        <v>2017.0</v>
      </c>
      <c r="I7066" s="1" t="s">
        <v>42</v>
      </c>
      <c r="J7066" s="1" t="s">
        <v>804</v>
      </c>
      <c r="K7066" s="1" t="s">
        <v>679</v>
      </c>
      <c r="L7066" s="1" t="s">
        <v>34781</v>
      </c>
      <c r="M7066" s="2" t="s">
        <v>12</v>
      </c>
      <c r="N7066" s="4">
        <f t="shared" si="1"/>
        <v>42833</v>
      </c>
      <c r="O7066" s="5" t="str">
        <f>IFERROR(__xludf.DUMMYFUNCTION("IF(REGEXMATCH(TRIM(I7066), ""^\d+\s*min""), ""Unclassified"", IF(I7066 = """", ""NR"", I7066))"),"TV-MA")</f>
        <v>TV-MA</v>
      </c>
      <c r="R7066" s="5" t="str">
        <f t="shared" si="2"/>
        <v>Incomplete</v>
      </c>
      <c r="S7066" s="5" t="str">
        <f>IFERROR(__xludf.DUMMYFUNCTION("""COMPUTED_VALUE"""),"The Day I Met El Chapo")</f>
        <v>The Day I Met El Chapo</v>
      </c>
      <c r="V7066" s="5"/>
      <c r="Y7066" s="5" t="str">
        <f>IFERROR(__xludf.DUMMYFUNCTION("REGEXEXTRACT(J7066, ""^\d+"")"),"119")</f>
        <v>119</v>
      </c>
      <c r="Z7066" s="5" t="str">
        <f>IFERROR(__xludf.DUMMYFUNCTION("REGEXEXTRACT(J7066, ""[A-Za-z ]+$"")")," min")</f>
        <v> min</v>
      </c>
      <c r="AA7066" s="5" t="str">
        <f>IFERROR(__xludf.DUMMYFUNCTION("IF(REGEXMATCH(Z7066, ""Season""), ""TV Show"", ""Movie"")"),"Movie")</f>
        <v>Movie</v>
      </c>
    </row>
    <row r="7067">
      <c r="A7067" s="1" t="s">
        <v>34782</v>
      </c>
      <c r="B7067" s="1" t="s">
        <v>27</v>
      </c>
      <c r="C7067" s="1" t="s">
        <v>34783</v>
      </c>
      <c r="D7067" s="1" t="s">
        <v>11666</v>
      </c>
      <c r="E7067" s="1" t="s">
        <v>34784</v>
      </c>
      <c r="F7067" s="1" t="s">
        <v>686</v>
      </c>
      <c r="G7067" s="1" t="s">
        <v>26089</v>
      </c>
      <c r="H7067" s="1">
        <v>2017.0</v>
      </c>
      <c r="I7067" s="1" t="s">
        <v>378</v>
      </c>
      <c r="J7067" s="1" t="s">
        <v>256</v>
      </c>
      <c r="K7067" s="1" t="s">
        <v>171</v>
      </c>
      <c r="L7067" s="1" t="s">
        <v>34785</v>
      </c>
      <c r="M7067" s="2" t="s">
        <v>12</v>
      </c>
      <c r="N7067" s="4">
        <f t="shared" si="1"/>
        <v>43160</v>
      </c>
      <c r="O7067" s="5" t="str">
        <f>IFERROR(__xludf.DUMMYFUNCTION("IF(REGEXMATCH(TRIM(I7067), ""^\d+\s*min""), ""Unclassified"", IF(I7067 = """", ""NR"", I7067))"),"R")</f>
        <v>R</v>
      </c>
      <c r="R7067" s="5" t="str">
        <f t="shared" si="2"/>
        <v>Inconceivable</v>
      </c>
      <c r="S7067" s="5" t="str">
        <f>IFERROR(__xludf.DUMMYFUNCTION("""COMPUTED_VALUE"""),"The Day My Butt Went Psycho!")</f>
        <v>The Day My Butt Went Psycho!</v>
      </c>
      <c r="V7067" s="5"/>
      <c r="Y7067" s="5" t="str">
        <f>IFERROR(__xludf.DUMMYFUNCTION("REGEXEXTRACT(J7067, ""^\d+"")"),"106")</f>
        <v>106</v>
      </c>
      <c r="Z7067" s="5" t="str">
        <f>IFERROR(__xludf.DUMMYFUNCTION("REGEXEXTRACT(J7067, ""[A-Za-z ]+$"")")," min")</f>
        <v> min</v>
      </c>
      <c r="AA7067" s="5" t="str">
        <f>IFERROR(__xludf.DUMMYFUNCTION("IF(REGEXMATCH(Z7067, ""Season""), ""TV Show"", ""Movie"")"),"Movie")</f>
        <v>Movie</v>
      </c>
    </row>
    <row r="7068">
      <c r="A7068" s="1" t="s">
        <v>34786</v>
      </c>
      <c r="B7068" s="1" t="s">
        <v>27</v>
      </c>
      <c r="C7068" s="1" t="s">
        <v>34787</v>
      </c>
      <c r="D7068" s="1" t="s">
        <v>6965</v>
      </c>
      <c r="F7068" s="1" t="s">
        <v>34788</v>
      </c>
      <c r="G7068" s="1" t="s">
        <v>27321</v>
      </c>
      <c r="H7068" s="1">
        <v>2015.0</v>
      </c>
      <c r="I7068" s="1" t="s">
        <v>42</v>
      </c>
      <c r="J7068" s="1" t="s">
        <v>33</v>
      </c>
      <c r="K7068" s="1" t="s">
        <v>34</v>
      </c>
      <c r="L7068" s="1" t="s">
        <v>34789</v>
      </c>
      <c r="M7068" s="2" t="s">
        <v>12</v>
      </c>
      <c r="N7068" s="4">
        <f t="shared" si="1"/>
        <v>42979</v>
      </c>
      <c r="O7068" s="5" t="str">
        <f>IFERROR(__xludf.DUMMYFUNCTION("IF(REGEXMATCH(TRIM(I7068), ""^\d+\s*min""), ""Unclassified"", IF(I7068 = """", ""NR"", I7068))"),"TV-MA")</f>
        <v>TV-MA</v>
      </c>
      <c r="R7068" s="5" t="str">
        <f t="shared" si="2"/>
        <v>Incorruptible</v>
      </c>
      <c r="S7068" s="5" t="str">
        <f>IFERROR(__xludf.DUMMYFUNCTION("""COMPUTED_VALUE"""),"The Day Of The Lord")</f>
        <v>The Day Of The Lord</v>
      </c>
      <c r="V7068" s="5"/>
      <c r="Y7068" s="5" t="str">
        <f>IFERROR(__xludf.DUMMYFUNCTION("REGEXEXTRACT(J7068, ""^\d+"")"),"90")</f>
        <v>90</v>
      </c>
      <c r="Z7068" s="5" t="str">
        <f>IFERROR(__xludf.DUMMYFUNCTION("REGEXEXTRACT(J7068, ""[A-Za-z ]+$"")")," min")</f>
        <v> min</v>
      </c>
      <c r="AA7068" s="5" t="str">
        <f>IFERROR(__xludf.DUMMYFUNCTION("IF(REGEXMATCH(Z7068, ""Season""), ""TV Show"", ""Movie"")"),"Movie")</f>
        <v>Movie</v>
      </c>
    </row>
    <row r="7069">
      <c r="A7069" s="1" t="s">
        <v>34790</v>
      </c>
      <c r="B7069" s="1" t="s">
        <v>27</v>
      </c>
      <c r="C7069" s="1" t="s">
        <v>34791</v>
      </c>
      <c r="D7069" s="1" t="s">
        <v>3599</v>
      </c>
      <c r="E7069" s="1" t="s">
        <v>34792</v>
      </c>
      <c r="F7069" s="1" t="s">
        <v>30</v>
      </c>
      <c r="G7069" s="1" t="s">
        <v>22164</v>
      </c>
      <c r="H7069" s="1">
        <v>2018.0</v>
      </c>
      <c r="I7069" s="1" t="s">
        <v>78</v>
      </c>
      <c r="J7069" s="1" t="s">
        <v>870</v>
      </c>
      <c r="K7069" s="1" t="s">
        <v>137</v>
      </c>
      <c r="L7069" s="1" t="s">
        <v>34793</v>
      </c>
      <c r="M7069" s="2" t="s">
        <v>12</v>
      </c>
      <c r="N7069" s="4">
        <f t="shared" si="1"/>
        <v>43504</v>
      </c>
      <c r="O7069" s="5" t="str">
        <f>IFERROR(__xludf.DUMMYFUNCTION("IF(REGEXMATCH(TRIM(I7069), ""^\d+\s*min""), ""Unclassified"", IF(I7069 = """", ""NR"", I7069))"),"PG")</f>
        <v>PG</v>
      </c>
      <c r="R7069" s="5" t="str">
        <f t="shared" si="2"/>
        <v>Incredibles 2 (Spanish Version)</v>
      </c>
      <c r="S7069" s="5" t="str">
        <f>IFERROR(__xludf.DUMMYFUNCTION("""COMPUTED_VALUE"""),"The Day Will Come")</f>
        <v>The Day Will Come</v>
      </c>
      <c r="V7069" s="5"/>
      <c r="Y7069" s="5" t="str">
        <f>IFERROR(__xludf.DUMMYFUNCTION("REGEXEXTRACT(J7069, ""^\d+"")"),"118")</f>
        <v>118</v>
      </c>
      <c r="Z7069" s="5" t="str">
        <f>IFERROR(__xludf.DUMMYFUNCTION("REGEXEXTRACT(J7069, ""[A-Za-z ]+$"")")," min")</f>
        <v> min</v>
      </c>
      <c r="AA7069" s="5" t="str">
        <f>IFERROR(__xludf.DUMMYFUNCTION("IF(REGEXMATCH(Z7069, ""Season""), ""TV Show"", ""Movie"")"),"Movie")</f>
        <v>Movie</v>
      </c>
    </row>
    <row r="7070">
      <c r="A7070" s="1" t="s">
        <v>34794</v>
      </c>
      <c r="B7070" s="1" t="s">
        <v>27</v>
      </c>
      <c r="C7070" s="1" t="s">
        <v>34795</v>
      </c>
      <c r="D7070" s="1" t="s">
        <v>20395</v>
      </c>
      <c r="E7070" s="1" t="s">
        <v>34796</v>
      </c>
      <c r="F7070" s="1" t="s">
        <v>63</v>
      </c>
      <c r="G7070" s="1" t="s">
        <v>28620</v>
      </c>
      <c r="H7070" s="1">
        <v>2014.0</v>
      </c>
      <c r="I7070" s="1" t="s">
        <v>30231</v>
      </c>
      <c r="J7070" s="1" t="s">
        <v>465</v>
      </c>
      <c r="K7070" s="1" t="s">
        <v>89</v>
      </c>
      <c r="L7070" s="1" t="s">
        <v>34797</v>
      </c>
      <c r="M7070" s="2" t="s">
        <v>12</v>
      </c>
      <c r="N7070" s="4">
        <f t="shared" si="1"/>
        <v>42783</v>
      </c>
      <c r="O7070" s="5" t="str">
        <f>IFERROR(__xludf.DUMMYFUNCTION("IF(REGEXMATCH(TRIM(I7070), ""^\d+\s*min""), ""Unclassified"", IF(I7070 = """", ""NR"", I7070))"),"NR")</f>
        <v>NR</v>
      </c>
      <c r="R7070" s="5" t="str">
        <f t="shared" si="2"/>
        <v>India</v>
      </c>
      <c r="S7070" s="5" t="str">
        <f>IFERROR(__xludf.DUMMYFUNCTION("""COMPUTED_VALUE"""),"The Dealer")</f>
        <v>The Dealer</v>
      </c>
      <c r="V7070" s="5"/>
      <c r="Y7070" s="5" t="str">
        <f>IFERROR(__xludf.DUMMYFUNCTION("REGEXEXTRACT(J7070, ""^\d+"")"),"95")</f>
        <v>95</v>
      </c>
      <c r="Z7070" s="5" t="str">
        <f>IFERROR(__xludf.DUMMYFUNCTION("REGEXEXTRACT(J7070, ""[A-Za-z ]+$"")")," min")</f>
        <v> min</v>
      </c>
      <c r="AA7070" s="5" t="str">
        <f>IFERROR(__xludf.DUMMYFUNCTION("IF(REGEXMATCH(Z7070, ""Season""), ""TV Show"", ""Movie"")"),"Movie")</f>
        <v>Movie</v>
      </c>
    </row>
    <row r="7071">
      <c r="A7071" s="1" t="s">
        <v>34798</v>
      </c>
      <c r="B7071" s="1" t="s">
        <v>37</v>
      </c>
      <c r="C7071" s="1" t="s">
        <v>34799</v>
      </c>
      <c r="E7071" s="1" t="s">
        <v>34800</v>
      </c>
      <c r="F7071" s="1" t="s">
        <v>96</v>
      </c>
      <c r="G7071" s="1" t="s">
        <v>28552</v>
      </c>
      <c r="H7071" s="1">
        <v>2015.0</v>
      </c>
      <c r="I7071" s="1" t="s">
        <v>136</v>
      </c>
      <c r="J7071" s="1" t="s">
        <v>51</v>
      </c>
      <c r="K7071" s="1" t="s">
        <v>29581</v>
      </c>
      <c r="L7071" s="1" t="s">
        <v>34801</v>
      </c>
      <c r="M7071" s="2" t="s">
        <v>12</v>
      </c>
      <c r="N7071" s="4">
        <f t="shared" si="1"/>
        <v>42795</v>
      </c>
      <c r="O7071" s="5" t="str">
        <f>IFERROR(__xludf.DUMMYFUNCTION("IF(REGEXMATCH(TRIM(I7071), ""^\d+\s*min""), ""Unclassified"", IF(I7071 = """", ""NR"", I7071))"),"TV-PG")</f>
        <v>TV-PG</v>
      </c>
      <c r="R7071" s="5" t="str">
        <f t="shared" si="2"/>
        <v>India: Nature'S Wonderland</v>
      </c>
      <c r="S7071" s="5" t="str">
        <f>IFERROR(__xludf.DUMMYFUNCTION("""COMPUTED_VALUE"""),"The Death And Life Of Marsha P. Johnson")</f>
        <v>The Death And Life Of Marsha P. Johnson</v>
      </c>
      <c r="V7071" s="5"/>
      <c r="Y7071" s="5" t="str">
        <f>IFERROR(__xludf.DUMMYFUNCTION("REGEXEXTRACT(J7071, ""^\d+"")"),"1")</f>
        <v>1</v>
      </c>
      <c r="Z7071" s="5" t="str">
        <f>IFERROR(__xludf.DUMMYFUNCTION("REGEXEXTRACT(J7071, ""[A-Za-z ]+$"")")," Season")</f>
        <v> Season</v>
      </c>
      <c r="AA7071" s="5" t="str">
        <f>IFERROR(__xludf.DUMMYFUNCTION("IF(REGEXMATCH(Z7071, ""Season""), ""TV Show"", ""Movie"")"),"TV Show")</f>
        <v>TV Show</v>
      </c>
    </row>
    <row r="7072">
      <c r="A7072" s="1" t="s">
        <v>34802</v>
      </c>
      <c r="B7072" s="1" t="s">
        <v>27</v>
      </c>
      <c r="C7072" s="1" t="s">
        <v>34803</v>
      </c>
      <c r="D7072" s="1" t="s">
        <v>339</v>
      </c>
      <c r="E7072" s="1" t="s">
        <v>34804</v>
      </c>
      <c r="F7072" s="1" t="s">
        <v>30</v>
      </c>
      <c r="G7072" s="1" t="s">
        <v>22635</v>
      </c>
      <c r="H7072" s="1">
        <v>2008.0</v>
      </c>
      <c r="I7072" s="1" t="s">
        <v>32</v>
      </c>
      <c r="J7072" s="1" t="s">
        <v>2566</v>
      </c>
      <c r="K7072" s="1" t="s">
        <v>15133</v>
      </c>
      <c r="L7072" s="1" t="s">
        <v>34805</v>
      </c>
      <c r="M7072" s="2" t="s">
        <v>12</v>
      </c>
      <c r="N7072" s="4">
        <f t="shared" si="1"/>
        <v>43466</v>
      </c>
      <c r="O7072" s="5" t="str">
        <f>IFERROR(__xludf.DUMMYFUNCTION("IF(REGEXMATCH(TRIM(I7072), ""^\d+\s*min""), ""Unclassified"", IF(I7072 = """", ""NR"", I7072))"),"PG-13")</f>
        <v>PG-13</v>
      </c>
      <c r="R7072" s="5" t="str">
        <f t="shared" si="2"/>
        <v>Indiana Jones And The Kingdom Of The Crystal Skull</v>
      </c>
      <c r="S7072" s="5" t="str">
        <f>IFERROR(__xludf.DUMMYFUNCTION("""COMPUTED_VALUE"""),"The Death Of Mr. Lazarescu")</f>
        <v>The Death Of Mr. Lazarescu</v>
      </c>
      <c r="V7072" s="5"/>
      <c r="Y7072" s="5" t="str">
        <f>IFERROR(__xludf.DUMMYFUNCTION("REGEXEXTRACT(J7072, ""^\d+"")"),"123")</f>
        <v>123</v>
      </c>
      <c r="Z7072" s="5" t="str">
        <f>IFERROR(__xludf.DUMMYFUNCTION("REGEXEXTRACT(J7072, ""[A-Za-z ]+$"")")," min")</f>
        <v> min</v>
      </c>
      <c r="AA7072" s="5" t="str">
        <f>IFERROR(__xludf.DUMMYFUNCTION("IF(REGEXMATCH(Z7072, ""Season""), ""TV Show"", ""Movie"")"),"Movie")</f>
        <v>Movie</v>
      </c>
    </row>
    <row r="7073">
      <c r="A7073" s="1" t="s">
        <v>34806</v>
      </c>
      <c r="B7073" s="1" t="s">
        <v>27</v>
      </c>
      <c r="C7073" s="1" t="s">
        <v>34807</v>
      </c>
      <c r="D7073" s="1" t="s">
        <v>339</v>
      </c>
      <c r="E7073" s="1" t="s">
        <v>34808</v>
      </c>
      <c r="F7073" s="1" t="s">
        <v>30</v>
      </c>
      <c r="G7073" s="1" t="s">
        <v>22635</v>
      </c>
      <c r="H7073" s="1">
        <v>1989.0</v>
      </c>
      <c r="I7073" s="1" t="s">
        <v>32</v>
      </c>
      <c r="J7073" s="1" t="s">
        <v>127</v>
      </c>
      <c r="K7073" s="1" t="s">
        <v>3733</v>
      </c>
      <c r="L7073" s="1" t="s">
        <v>34809</v>
      </c>
      <c r="M7073" s="2" t="s">
        <v>12</v>
      </c>
      <c r="N7073" s="4">
        <f t="shared" si="1"/>
        <v>43466</v>
      </c>
      <c r="O7073" s="5" t="str">
        <f>IFERROR(__xludf.DUMMYFUNCTION("IF(REGEXMATCH(TRIM(I7073), ""^\d+\s*min""), ""Unclassified"", IF(I7073 = """", ""NR"", I7073))"),"PG-13")</f>
        <v>PG-13</v>
      </c>
      <c r="R7073" s="5" t="str">
        <f t="shared" si="2"/>
        <v>Indiana Jones And The Last Crusade</v>
      </c>
      <c r="S7073" s="5" t="str">
        <f>IFERROR(__xludf.DUMMYFUNCTION("""COMPUTED_VALUE"""),"The Death Of Stalin")</f>
        <v>The Death Of Stalin</v>
      </c>
      <c r="V7073" s="5"/>
      <c r="Y7073" s="5" t="str">
        <f>IFERROR(__xludf.DUMMYFUNCTION("REGEXEXTRACT(J7073, ""^\d+"")"),"127")</f>
        <v>127</v>
      </c>
      <c r="Z7073" s="5" t="str">
        <f>IFERROR(__xludf.DUMMYFUNCTION("REGEXEXTRACT(J7073, ""[A-Za-z ]+$"")")," min")</f>
        <v> min</v>
      </c>
      <c r="AA7073" s="5" t="str">
        <f>IFERROR(__xludf.DUMMYFUNCTION("IF(REGEXMATCH(Z7073, ""Season""), ""TV Show"", ""Movie"")"),"Movie")</f>
        <v>Movie</v>
      </c>
    </row>
    <row r="7074">
      <c r="A7074" s="1" t="s">
        <v>34810</v>
      </c>
      <c r="B7074" s="1" t="s">
        <v>27</v>
      </c>
      <c r="C7074" s="1" t="s">
        <v>34811</v>
      </c>
      <c r="D7074" s="1" t="s">
        <v>339</v>
      </c>
      <c r="E7074" s="1" t="s">
        <v>34812</v>
      </c>
      <c r="F7074" s="1" t="s">
        <v>30</v>
      </c>
      <c r="G7074" s="1" t="s">
        <v>22635</v>
      </c>
      <c r="H7074" s="1">
        <v>1981.0</v>
      </c>
      <c r="I7074" s="1" t="s">
        <v>78</v>
      </c>
      <c r="J7074" s="1" t="s">
        <v>349</v>
      </c>
      <c r="K7074" s="1" t="s">
        <v>3733</v>
      </c>
      <c r="L7074" s="1" t="s">
        <v>34813</v>
      </c>
      <c r="M7074" s="2" t="s">
        <v>12</v>
      </c>
      <c r="N7074" s="4">
        <f t="shared" si="1"/>
        <v>43466</v>
      </c>
      <c r="O7074" s="5" t="str">
        <f>IFERROR(__xludf.DUMMYFUNCTION("IF(REGEXMATCH(TRIM(I7074), ""^\d+\s*min""), ""Unclassified"", IF(I7074 = """", ""NR"", I7074))"),"PG")</f>
        <v>PG</v>
      </c>
      <c r="R7074" s="5" t="str">
        <f t="shared" si="2"/>
        <v>Indiana Jones And The Raiders Of The Lost Ark</v>
      </c>
      <c r="S7074" s="5" t="str">
        <f>IFERROR(__xludf.DUMMYFUNCTION("""COMPUTED_VALUE"""),"The Debt Collector")</f>
        <v>The Debt Collector</v>
      </c>
      <c r="V7074" s="5"/>
      <c r="Y7074" s="5" t="str">
        <f>IFERROR(__xludf.DUMMYFUNCTION("REGEXEXTRACT(J7074, ""^\d+"")"),"116")</f>
        <v>116</v>
      </c>
      <c r="Z7074" s="5" t="str">
        <f>IFERROR(__xludf.DUMMYFUNCTION("REGEXEXTRACT(J7074, ""[A-Za-z ]+$"")")," min")</f>
        <v> min</v>
      </c>
      <c r="AA7074" s="5" t="str">
        <f>IFERROR(__xludf.DUMMYFUNCTION("IF(REGEXMATCH(Z7074, ""Season""), ""TV Show"", ""Movie"")"),"Movie")</f>
        <v>Movie</v>
      </c>
    </row>
    <row r="7075">
      <c r="A7075" s="1" t="s">
        <v>34814</v>
      </c>
      <c r="B7075" s="1" t="s">
        <v>27</v>
      </c>
      <c r="C7075" s="1" t="s">
        <v>34815</v>
      </c>
      <c r="D7075" s="1" t="s">
        <v>339</v>
      </c>
      <c r="E7075" s="1" t="s">
        <v>34816</v>
      </c>
      <c r="F7075" s="1" t="s">
        <v>30</v>
      </c>
      <c r="G7075" s="1" t="s">
        <v>22635</v>
      </c>
      <c r="H7075" s="1">
        <v>1984.0</v>
      </c>
      <c r="I7075" s="1" t="s">
        <v>78</v>
      </c>
      <c r="J7075" s="1" t="s">
        <v>804</v>
      </c>
      <c r="K7075" s="1" t="s">
        <v>3733</v>
      </c>
      <c r="L7075" s="1" t="s">
        <v>34817</v>
      </c>
      <c r="M7075" s="2" t="s">
        <v>12</v>
      </c>
      <c r="N7075" s="4">
        <f t="shared" si="1"/>
        <v>43466</v>
      </c>
      <c r="O7075" s="5" t="str">
        <f>IFERROR(__xludf.DUMMYFUNCTION("IF(REGEXMATCH(TRIM(I7075), ""^\d+\s*min""), ""Unclassified"", IF(I7075 = """", ""NR"", I7075))"),"PG")</f>
        <v>PG</v>
      </c>
      <c r="R7075" s="5" t="str">
        <f t="shared" si="2"/>
        <v>Indiana Jones And The Temple Of Doom</v>
      </c>
      <c r="S7075" s="5" t="str">
        <f>IFERROR(__xludf.DUMMYFUNCTION("""COMPUTED_VALUE"""),"The Debt Collector 2")</f>
        <v>The Debt Collector 2</v>
      </c>
      <c r="V7075" s="5"/>
      <c r="Y7075" s="5" t="str">
        <f>IFERROR(__xludf.DUMMYFUNCTION("REGEXEXTRACT(J7075, ""^\d+"")"),"119")</f>
        <v>119</v>
      </c>
      <c r="Z7075" s="5" t="str">
        <f>IFERROR(__xludf.DUMMYFUNCTION("REGEXEXTRACT(J7075, ""[A-Za-z ]+$"")")," min")</f>
        <v> min</v>
      </c>
      <c r="AA7075" s="5" t="str">
        <f>IFERROR(__xludf.DUMMYFUNCTION("IF(REGEXMATCH(Z7075, ""Season""), ""TV Show"", ""Movie"")"),"Movie")</f>
        <v>Movie</v>
      </c>
    </row>
    <row r="7076">
      <c r="A7076" s="1" t="s">
        <v>34818</v>
      </c>
      <c r="B7076" s="1" t="s">
        <v>27</v>
      </c>
      <c r="C7076" s="1" t="s">
        <v>34819</v>
      </c>
      <c r="D7076" s="1" t="s">
        <v>11472</v>
      </c>
      <c r="E7076" s="1" t="s">
        <v>34820</v>
      </c>
      <c r="F7076" s="1" t="s">
        <v>30</v>
      </c>
      <c r="G7076" s="1" t="s">
        <v>28697</v>
      </c>
      <c r="H7076" s="1">
        <v>2016.0</v>
      </c>
      <c r="I7076" s="1" t="s">
        <v>42</v>
      </c>
      <c r="J7076" s="1" t="s">
        <v>416</v>
      </c>
      <c r="K7076" s="1" t="s">
        <v>394</v>
      </c>
      <c r="L7076" s="1" t="s">
        <v>34821</v>
      </c>
      <c r="M7076" s="2" t="s">
        <v>12</v>
      </c>
      <c r="N7076" s="4">
        <f t="shared" si="1"/>
        <v>42767</v>
      </c>
      <c r="O7076" s="5" t="str">
        <f>IFERROR(__xludf.DUMMYFUNCTION("IF(REGEXMATCH(TRIM(I7076), ""^\d+\s*min""), ""Unclassified"", IF(I7076 = """", ""NR"", I7076))"),"TV-MA")</f>
        <v>TV-MA</v>
      </c>
      <c r="R7076" s="5" t="str">
        <f t="shared" si="2"/>
        <v>Indiscretion</v>
      </c>
      <c r="S7076" s="5" t="str">
        <f>IFERROR(__xludf.DUMMYFUNCTION("""COMPUTED_VALUE"""),"The Decline")</f>
        <v>The Decline</v>
      </c>
      <c r="V7076" s="5"/>
      <c r="Y7076" s="5" t="str">
        <f>IFERROR(__xludf.DUMMYFUNCTION("REGEXEXTRACT(J7076, ""^\d+"")"),"99")</f>
        <v>99</v>
      </c>
      <c r="Z7076" s="5" t="str">
        <f>IFERROR(__xludf.DUMMYFUNCTION("REGEXEXTRACT(J7076, ""[A-Za-z ]+$"")")," min")</f>
        <v> min</v>
      </c>
      <c r="AA7076" s="5" t="str">
        <f>IFERROR(__xludf.DUMMYFUNCTION("IF(REGEXMATCH(Z7076, ""Season""), ""TV Show"", ""Movie"")"),"Movie")</f>
        <v>Movie</v>
      </c>
    </row>
    <row r="7077">
      <c r="A7077" s="1" t="s">
        <v>34822</v>
      </c>
      <c r="B7077" s="1" t="s">
        <v>27</v>
      </c>
      <c r="C7077" s="1" t="s">
        <v>34823</v>
      </c>
      <c r="D7077" s="1" t="s">
        <v>9891</v>
      </c>
      <c r="E7077" s="1" t="s">
        <v>26779</v>
      </c>
      <c r="F7077" s="1" t="s">
        <v>30</v>
      </c>
      <c r="G7077" s="1" t="s">
        <v>31427</v>
      </c>
      <c r="H7077" s="1">
        <v>2013.0</v>
      </c>
      <c r="I7077" s="1" t="s">
        <v>78</v>
      </c>
      <c r="J7077" s="1" t="s">
        <v>33</v>
      </c>
      <c r="K7077" s="1" t="s">
        <v>34</v>
      </c>
      <c r="L7077" s="1" t="s">
        <v>34824</v>
      </c>
      <c r="M7077" s="2" t="s">
        <v>12</v>
      </c>
      <c r="N7077" s="4">
        <f t="shared" si="1"/>
        <v>43341</v>
      </c>
      <c r="O7077" s="5" t="str">
        <f>IFERROR(__xludf.DUMMYFUNCTION("IF(REGEXMATCH(TRIM(I7077), ""^\d+\s*min""), ""Unclassified"", IF(I7077 = """", ""NR"", I7077))"),"PG")</f>
        <v>PG</v>
      </c>
      <c r="R7077" s="5" t="str">
        <f t="shared" si="2"/>
        <v>Inequality For All</v>
      </c>
      <c r="S7077" s="5" t="str">
        <f>IFERROR(__xludf.DUMMYFUNCTION("""COMPUTED_VALUE"""),"The Deep")</f>
        <v>The Deep</v>
      </c>
      <c r="V7077" s="5"/>
      <c r="Y7077" s="5" t="str">
        <f>IFERROR(__xludf.DUMMYFUNCTION("REGEXEXTRACT(J7077, ""^\d+"")"),"90")</f>
        <v>90</v>
      </c>
      <c r="Z7077" s="5" t="str">
        <f>IFERROR(__xludf.DUMMYFUNCTION("REGEXEXTRACT(J7077, ""[A-Za-z ]+$"")")," min")</f>
        <v> min</v>
      </c>
      <c r="AA7077" s="5" t="str">
        <f>IFERROR(__xludf.DUMMYFUNCTION("IF(REGEXMATCH(Z7077, ""Season""), ""TV Show"", ""Movie"")"),"Movie")</f>
        <v>Movie</v>
      </c>
    </row>
    <row r="7078">
      <c r="A7078" s="1" t="s">
        <v>34825</v>
      </c>
      <c r="B7078" s="1" t="s">
        <v>27</v>
      </c>
      <c r="C7078" s="1" t="s">
        <v>34826</v>
      </c>
      <c r="D7078" s="1" t="s">
        <v>13992</v>
      </c>
      <c r="F7078" s="1" t="s">
        <v>96</v>
      </c>
      <c r="G7078" s="1" t="s">
        <v>25842</v>
      </c>
      <c r="H7078" s="1">
        <v>2016.0</v>
      </c>
      <c r="I7078" s="1" t="s">
        <v>136</v>
      </c>
      <c r="J7078" s="1" t="s">
        <v>33</v>
      </c>
      <c r="K7078" s="1" t="s">
        <v>156</v>
      </c>
      <c r="L7078" s="1" t="s">
        <v>34827</v>
      </c>
      <c r="M7078" s="2" t="s">
        <v>12</v>
      </c>
      <c r="N7078" s="4">
        <f t="shared" si="1"/>
        <v>43191</v>
      </c>
      <c r="O7078" s="5" t="str">
        <f>IFERROR(__xludf.DUMMYFUNCTION("IF(REGEXMATCH(TRIM(I7078), ""^\d+\s*min""), ""Unclassified"", IF(I7078 = """", ""NR"", I7078))"),"TV-PG")</f>
        <v>TV-PG</v>
      </c>
      <c r="R7078" s="5" t="str">
        <f t="shared" si="2"/>
        <v>Influx</v>
      </c>
      <c r="S7078" s="5" t="str">
        <f>IFERROR(__xludf.DUMMYFUNCTION("""COMPUTED_VALUE"""),"The Defeated")</f>
        <v>The Defeated</v>
      </c>
      <c r="V7078" s="5"/>
      <c r="Y7078" s="5" t="str">
        <f>IFERROR(__xludf.DUMMYFUNCTION("REGEXEXTRACT(J7078, ""^\d+"")"),"90")</f>
        <v>90</v>
      </c>
      <c r="Z7078" s="5" t="str">
        <f>IFERROR(__xludf.DUMMYFUNCTION("REGEXEXTRACT(J7078, ""[A-Za-z ]+$"")")," min")</f>
        <v> min</v>
      </c>
      <c r="AA7078" s="5" t="str">
        <f>IFERROR(__xludf.DUMMYFUNCTION("IF(REGEXMATCH(Z7078, ""Season""), ""TV Show"", ""Movie"")"),"Movie")</f>
        <v>Movie</v>
      </c>
    </row>
    <row r="7079">
      <c r="A7079" s="1" t="s">
        <v>34828</v>
      </c>
      <c r="B7079" s="1" t="s">
        <v>27</v>
      </c>
      <c r="C7079" s="1" t="s">
        <v>34829</v>
      </c>
      <c r="D7079" s="1" t="s">
        <v>2537</v>
      </c>
      <c r="E7079" s="1" t="s">
        <v>34830</v>
      </c>
      <c r="F7079" s="1" t="s">
        <v>911</v>
      </c>
      <c r="G7079" s="1" t="s">
        <v>34831</v>
      </c>
      <c r="H7079" s="1">
        <v>2009.0</v>
      </c>
      <c r="I7079" s="1" t="s">
        <v>378</v>
      </c>
      <c r="J7079" s="1" t="s">
        <v>22970</v>
      </c>
      <c r="K7079" s="1" t="s">
        <v>380</v>
      </c>
      <c r="L7079" s="1" t="s">
        <v>34832</v>
      </c>
      <c r="M7079" s="2" t="s">
        <v>12</v>
      </c>
      <c r="N7079" s="4">
        <f t="shared" si="1"/>
        <v>43668</v>
      </c>
      <c r="O7079" s="5" t="str">
        <f>IFERROR(__xludf.DUMMYFUNCTION("IF(REGEXMATCH(TRIM(I7079), ""^\d+\s*min""), ""Unclassified"", IF(I7079 = """", ""NR"", I7079))"),"R")</f>
        <v>R</v>
      </c>
      <c r="R7079" s="5" t="str">
        <f t="shared" si="2"/>
        <v>Inglourious Basterds</v>
      </c>
      <c r="S7079" s="5" t="str">
        <f>IFERROR(__xludf.DUMMYFUNCTION("""COMPUTED_VALUE"""),"The Defected")</f>
        <v>The Defected</v>
      </c>
      <c r="V7079" s="5"/>
      <c r="Y7079" s="5" t="str">
        <f>IFERROR(__xludf.DUMMYFUNCTION("REGEXEXTRACT(J7079, ""^\d+"")"),"153")</f>
        <v>153</v>
      </c>
      <c r="Z7079" s="5" t="str">
        <f>IFERROR(__xludf.DUMMYFUNCTION("REGEXEXTRACT(J7079, ""[A-Za-z ]+$"")")," min")</f>
        <v> min</v>
      </c>
      <c r="AA7079" s="5" t="str">
        <f>IFERROR(__xludf.DUMMYFUNCTION("IF(REGEXMATCH(Z7079, ""Season""), ""TV Show"", ""Movie"")"),"Movie")</f>
        <v>Movie</v>
      </c>
    </row>
    <row r="7080">
      <c r="A7080" s="1" t="s">
        <v>34833</v>
      </c>
      <c r="B7080" s="1" t="s">
        <v>27</v>
      </c>
      <c r="C7080" s="1" t="s">
        <v>34834</v>
      </c>
      <c r="D7080" s="1" t="s">
        <v>9500</v>
      </c>
      <c r="E7080" s="1" t="s">
        <v>34835</v>
      </c>
      <c r="F7080" s="1" t="s">
        <v>34836</v>
      </c>
      <c r="G7080" s="1" t="s">
        <v>20110</v>
      </c>
      <c r="H7080" s="1">
        <v>2008.0</v>
      </c>
      <c r="I7080" s="1" t="s">
        <v>78</v>
      </c>
      <c r="J7080" s="1" t="s">
        <v>256</v>
      </c>
      <c r="K7080" s="1" t="s">
        <v>15133</v>
      </c>
      <c r="L7080" s="1" t="s">
        <v>34837</v>
      </c>
      <c r="M7080" s="2" t="s">
        <v>12</v>
      </c>
      <c r="N7080" s="4">
        <f t="shared" si="1"/>
        <v>43647</v>
      </c>
      <c r="O7080" s="5" t="str">
        <f>IFERROR(__xludf.DUMMYFUNCTION("IF(REGEXMATCH(TRIM(I7080), ""^\d+\s*min""), ""Unclassified"", IF(I7080 = """", ""NR"", I7080))"),"PG")</f>
        <v>PG</v>
      </c>
      <c r="R7080" s="5" t="str">
        <f t="shared" si="2"/>
        <v>Inkheart</v>
      </c>
      <c r="S7080" s="5" t="str">
        <f>IFERROR(__xludf.DUMMYFUNCTION("""COMPUTED_VALUE"""),"The Degenerates")</f>
        <v>The Degenerates</v>
      </c>
      <c r="V7080" s="5"/>
      <c r="Y7080" s="5" t="str">
        <f>IFERROR(__xludf.DUMMYFUNCTION("REGEXEXTRACT(J7080, ""^\d+"")"),"106")</f>
        <v>106</v>
      </c>
      <c r="Z7080" s="5" t="str">
        <f>IFERROR(__xludf.DUMMYFUNCTION("REGEXEXTRACT(J7080, ""[A-Za-z ]+$"")")," min")</f>
        <v> min</v>
      </c>
      <c r="AA7080" s="5" t="str">
        <f>IFERROR(__xludf.DUMMYFUNCTION("IF(REGEXMATCH(Z7080, ""Season""), ""TV Show"", ""Movie"")"),"Movie")</f>
        <v>Movie</v>
      </c>
    </row>
    <row r="7081">
      <c r="A7081" s="1" t="s">
        <v>34838</v>
      </c>
      <c r="B7081" s="1" t="s">
        <v>27</v>
      </c>
      <c r="C7081" s="1" t="s">
        <v>34839</v>
      </c>
      <c r="D7081" s="1" t="s">
        <v>12299</v>
      </c>
      <c r="E7081" s="1" t="s">
        <v>34840</v>
      </c>
      <c r="F7081" s="1" t="s">
        <v>63</v>
      </c>
      <c r="G7081" s="1" t="s">
        <v>26089</v>
      </c>
      <c r="H7081" s="1">
        <v>2005.0</v>
      </c>
      <c r="I7081" s="1" t="s">
        <v>97</v>
      </c>
      <c r="J7081" s="1" t="s">
        <v>2274</v>
      </c>
      <c r="K7081" s="1" t="s">
        <v>306</v>
      </c>
      <c r="L7081" s="1" t="s">
        <v>34841</v>
      </c>
      <c r="M7081" s="2" t="s">
        <v>12</v>
      </c>
      <c r="N7081" s="4">
        <f t="shared" si="1"/>
        <v>43160</v>
      </c>
      <c r="O7081" s="5" t="str">
        <f>IFERROR(__xludf.DUMMYFUNCTION("IF(REGEXMATCH(TRIM(I7081), ""^\d+\s*min""), ""Unclassified"", IF(I7081 = """", ""NR"", I7081))"),"TV-14")</f>
        <v>TV-14</v>
      </c>
      <c r="R7081" s="5" t="str">
        <f t="shared" si="2"/>
        <v>Insan</v>
      </c>
      <c r="S7081" s="5" t="str">
        <f>IFERROR(__xludf.DUMMYFUNCTION("""COMPUTED_VALUE"""),"The Delivery Boy")</f>
        <v>The Delivery Boy</v>
      </c>
      <c r="V7081" s="5"/>
      <c r="Y7081" s="5" t="str">
        <f>IFERROR(__xludf.DUMMYFUNCTION("REGEXEXTRACT(J7081, ""^\d+"")"),"141")</f>
        <v>141</v>
      </c>
      <c r="Z7081" s="5" t="str">
        <f>IFERROR(__xludf.DUMMYFUNCTION("REGEXEXTRACT(J7081, ""[A-Za-z ]+$"")")," min")</f>
        <v> min</v>
      </c>
      <c r="AA7081" s="5" t="str">
        <f>IFERROR(__xludf.DUMMYFUNCTION("IF(REGEXMATCH(Z7081, ""Season""), ""TV Show"", ""Movie"")"),"Movie")</f>
        <v>Movie</v>
      </c>
    </row>
    <row r="7082">
      <c r="A7082" s="1" t="s">
        <v>34842</v>
      </c>
      <c r="B7082" s="1" t="s">
        <v>37</v>
      </c>
      <c r="C7082" s="1" t="s">
        <v>34843</v>
      </c>
      <c r="F7082" s="1" t="s">
        <v>96</v>
      </c>
      <c r="G7082" s="1" t="s">
        <v>24523</v>
      </c>
      <c r="H7082" s="1">
        <v>2017.0</v>
      </c>
      <c r="I7082" s="1" t="s">
        <v>42</v>
      </c>
      <c r="J7082" s="1" t="s">
        <v>51</v>
      </c>
      <c r="K7082" s="1" t="s">
        <v>544</v>
      </c>
      <c r="L7082" s="1" t="s">
        <v>34844</v>
      </c>
      <c r="M7082" s="2" t="s">
        <v>12</v>
      </c>
      <c r="N7082" s="4">
        <f t="shared" si="1"/>
        <v>43358</v>
      </c>
      <c r="O7082" s="5" t="str">
        <f>IFERROR(__xludf.DUMMYFUNCTION("IF(REGEXMATCH(TRIM(I7082), ""^\d+\s*min""), ""Unclassified"", IF(I7082 = """", ""NR"", I7082))"),"TV-MA")</f>
        <v>TV-MA</v>
      </c>
      <c r="R7082" s="5" t="str">
        <f t="shared" si="2"/>
        <v>Inside The Freemasons</v>
      </c>
      <c r="S7082" s="5" t="str">
        <f>IFERROR(__xludf.DUMMYFUNCTION("""COMPUTED_VALUE"""),"The Departed")</f>
        <v>The Departed</v>
      </c>
      <c r="V7082" s="5"/>
      <c r="Y7082" s="5" t="str">
        <f>IFERROR(__xludf.DUMMYFUNCTION("REGEXEXTRACT(J7082, ""^\d+"")"),"1")</f>
        <v>1</v>
      </c>
      <c r="Z7082" s="5" t="str">
        <f>IFERROR(__xludf.DUMMYFUNCTION("REGEXEXTRACT(J7082, ""[A-Za-z ]+$"")")," Season")</f>
        <v> Season</v>
      </c>
      <c r="AA7082" s="5" t="str">
        <f>IFERROR(__xludf.DUMMYFUNCTION("IF(REGEXMATCH(Z7082, ""Season""), ""TV Show"", ""Movie"")"),"TV Show")</f>
        <v>TV Show</v>
      </c>
    </row>
    <row r="7083">
      <c r="A7083" s="1" t="s">
        <v>34845</v>
      </c>
      <c r="B7083" s="1" t="s">
        <v>37</v>
      </c>
      <c r="C7083" s="1" t="s">
        <v>34846</v>
      </c>
      <c r="F7083" s="1" t="s">
        <v>30</v>
      </c>
      <c r="G7083" s="1" t="s">
        <v>20110</v>
      </c>
      <c r="H7083" s="1">
        <v>2015.0</v>
      </c>
      <c r="I7083" s="1" t="s">
        <v>97</v>
      </c>
      <c r="J7083" s="1" t="s">
        <v>51</v>
      </c>
      <c r="K7083" s="1" t="s">
        <v>2043</v>
      </c>
      <c r="L7083" s="1" t="s">
        <v>34847</v>
      </c>
      <c r="M7083" s="2" t="s">
        <v>12</v>
      </c>
      <c r="N7083" s="4">
        <f t="shared" si="1"/>
        <v>43647</v>
      </c>
      <c r="O7083" s="5" t="str">
        <f>IFERROR(__xludf.DUMMYFUNCTION("IF(REGEXMATCH(TRIM(I7083), ""^\d+\s*min""), ""Unclassified"", IF(I7083 = """", ""NR"", I7083))"),"TV-14")</f>
        <v>TV-14</v>
      </c>
      <c r="R7083" s="5" t="str">
        <f t="shared" si="2"/>
        <v>Inside The Mind Of A Serial Killer</v>
      </c>
      <c r="S7083" s="5" t="str">
        <f>IFERROR(__xludf.DUMMYFUNCTION("""COMPUTED_VALUE"""),"The Desert Bride")</f>
        <v>The Desert Bride</v>
      </c>
      <c r="V7083" s="5"/>
      <c r="Y7083" s="5" t="str">
        <f>IFERROR(__xludf.DUMMYFUNCTION("REGEXEXTRACT(J7083, ""^\d+"")"),"1")</f>
        <v>1</v>
      </c>
      <c r="Z7083" s="5" t="str">
        <f>IFERROR(__xludf.DUMMYFUNCTION("REGEXEXTRACT(J7083, ""[A-Za-z ]+$"")")," Season")</f>
        <v> Season</v>
      </c>
      <c r="AA7083" s="5" t="str">
        <f>IFERROR(__xludf.DUMMYFUNCTION("IF(REGEXMATCH(Z7083, ""Season""), ""TV Show"", ""Movie"")"),"TV Show")</f>
        <v>TV Show</v>
      </c>
    </row>
    <row r="7084">
      <c r="A7084" s="1" t="s">
        <v>34848</v>
      </c>
      <c r="B7084" s="1" t="s">
        <v>37</v>
      </c>
      <c r="C7084" s="1" t="s">
        <v>34849</v>
      </c>
      <c r="F7084" s="1" t="s">
        <v>3333</v>
      </c>
      <c r="G7084" s="1" t="s">
        <v>22319</v>
      </c>
      <c r="H7084" s="1">
        <v>2017.0</v>
      </c>
      <c r="I7084" s="1" t="s">
        <v>97</v>
      </c>
      <c r="J7084" s="1" t="s">
        <v>51</v>
      </c>
      <c r="K7084" s="1" t="s">
        <v>507</v>
      </c>
      <c r="L7084" s="1" t="s">
        <v>34850</v>
      </c>
      <c r="M7084" s="2" t="s">
        <v>12</v>
      </c>
      <c r="N7084" s="4">
        <f t="shared" si="1"/>
        <v>43494</v>
      </c>
      <c r="O7084" s="5" t="str">
        <f>IFERROR(__xludf.DUMMYFUNCTION("IF(REGEXMATCH(TRIM(I7084), ""^\d+\s*min""), ""Unclassified"", IF(I7084 = """", ""NR"", I7084))"),"TV-14")</f>
        <v>TV-14</v>
      </c>
      <c r="R7084" s="5" t="str">
        <f t="shared" si="2"/>
        <v>Inside The Mossad</v>
      </c>
      <c r="S7084" s="5" t="str">
        <f>IFERROR(__xludf.DUMMYFUNCTION("""COMPUTED_VALUE"""),"The Detained")</f>
        <v>The Detained</v>
      </c>
      <c r="V7084" s="5"/>
      <c r="Y7084" s="5" t="str">
        <f>IFERROR(__xludf.DUMMYFUNCTION("REGEXEXTRACT(J7084, ""^\d+"")"),"1")</f>
        <v>1</v>
      </c>
      <c r="Z7084" s="5" t="str">
        <f>IFERROR(__xludf.DUMMYFUNCTION("REGEXEXTRACT(J7084, ""[A-Za-z ]+$"")")," Season")</f>
        <v> Season</v>
      </c>
      <c r="AA7084" s="5" t="str">
        <f>IFERROR(__xludf.DUMMYFUNCTION("IF(REGEXMATCH(Z7084, ""Season""), ""TV Show"", ""Movie"")"),"TV Show")</f>
        <v>TV Show</v>
      </c>
    </row>
    <row r="7085">
      <c r="A7085" s="1" t="s">
        <v>34851</v>
      </c>
      <c r="B7085" s="1" t="s">
        <v>37</v>
      </c>
      <c r="C7085" s="1" t="s">
        <v>34852</v>
      </c>
      <c r="F7085" s="1" t="s">
        <v>96</v>
      </c>
      <c r="G7085" s="1" t="s">
        <v>22684</v>
      </c>
      <c r="H7085" s="1">
        <v>2018.0</v>
      </c>
      <c r="I7085" s="1" t="s">
        <v>42</v>
      </c>
      <c r="J7085" s="1" t="s">
        <v>51</v>
      </c>
      <c r="K7085" s="1" t="s">
        <v>440</v>
      </c>
      <c r="L7085" s="1" t="s">
        <v>34853</v>
      </c>
      <c r="M7085" s="2" t="s">
        <v>12</v>
      </c>
      <c r="N7085" s="4">
        <f t="shared" si="1"/>
        <v>43465</v>
      </c>
      <c r="O7085" s="5" t="str">
        <f>IFERROR(__xludf.DUMMYFUNCTION("IF(REGEXMATCH(TRIM(I7085), ""^\d+\s*min""), ""Unclassified"", IF(I7085 = """", ""NR"", I7085))"),"TV-MA")</f>
        <v>TV-MA</v>
      </c>
      <c r="R7085" s="5" t="str">
        <f t="shared" si="2"/>
        <v>Inst@Famous</v>
      </c>
      <c r="S7085" s="5" t="str">
        <f>IFERROR(__xludf.DUMMYFUNCTION("""COMPUTED_VALUE"""),"The Devil All The Time")</f>
        <v>The Devil All The Time</v>
      </c>
      <c r="V7085" s="5"/>
      <c r="Y7085" s="5" t="str">
        <f>IFERROR(__xludf.DUMMYFUNCTION("REGEXEXTRACT(J7085, ""^\d+"")"),"1")</f>
        <v>1</v>
      </c>
      <c r="Z7085" s="5" t="str">
        <f>IFERROR(__xludf.DUMMYFUNCTION("REGEXEXTRACT(J7085, ""[A-Za-z ]+$"")")," Season")</f>
        <v> Season</v>
      </c>
      <c r="AA7085" s="5" t="str">
        <f>IFERROR(__xludf.DUMMYFUNCTION("IF(REGEXMATCH(Z7085, ""Season""), ""TV Show"", ""Movie"")"),"TV Show")</f>
        <v>TV Show</v>
      </c>
    </row>
    <row r="7086">
      <c r="A7086" s="1" t="s">
        <v>34854</v>
      </c>
      <c r="B7086" s="1" t="s">
        <v>27</v>
      </c>
      <c r="C7086" s="1" t="s">
        <v>34855</v>
      </c>
      <c r="D7086" s="1" t="s">
        <v>7335</v>
      </c>
      <c r="E7086" s="1" t="s">
        <v>34856</v>
      </c>
      <c r="F7086" s="1" t="s">
        <v>162</v>
      </c>
      <c r="G7086" s="1" t="s">
        <v>16947</v>
      </c>
      <c r="H7086" s="1">
        <v>2013.0</v>
      </c>
      <c r="I7086" s="1" t="s">
        <v>32</v>
      </c>
      <c r="J7086" s="1" t="s">
        <v>393</v>
      </c>
      <c r="K7086" s="1" t="s">
        <v>583</v>
      </c>
      <c r="L7086" s="1" t="s">
        <v>34857</v>
      </c>
      <c r="M7086" s="2" t="s">
        <v>12</v>
      </c>
      <c r="N7086" s="4">
        <f t="shared" si="1"/>
        <v>43831</v>
      </c>
      <c r="O7086" s="5" t="str">
        <f>IFERROR(__xludf.DUMMYFUNCTION("IF(REGEXMATCH(TRIM(I7086), ""^\d+\s*min""), ""Unclassified"", IF(I7086 = """", ""NR"", I7086))"),"PG-13")</f>
        <v>PG-13</v>
      </c>
      <c r="R7086" s="5" t="str">
        <f t="shared" si="2"/>
        <v>Instructions Not Included</v>
      </c>
      <c r="S7086" s="5" t="str">
        <f>IFERROR(__xludf.DUMMYFUNCTION("""COMPUTED_VALUE"""),"The Devil And Father Amorth")</f>
        <v>The Devil And Father Amorth</v>
      </c>
      <c r="V7086" s="5"/>
      <c r="Y7086" s="5" t="str">
        <f>IFERROR(__xludf.DUMMYFUNCTION("REGEXEXTRACT(J7086, ""^\d+"")"),"122")</f>
        <v>122</v>
      </c>
      <c r="Z7086" s="5" t="str">
        <f>IFERROR(__xludf.DUMMYFUNCTION("REGEXEXTRACT(J7086, ""[A-Za-z ]+$"")")," min")</f>
        <v> min</v>
      </c>
      <c r="AA7086" s="5" t="str">
        <f>IFERROR(__xludf.DUMMYFUNCTION("IF(REGEXMATCH(Z7086, ""Season""), ""TV Show"", ""Movie"")"),"Movie")</f>
        <v>Movie</v>
      </c>
    </row>
    <row r="7087">
      <c r="A7087" s="1" t="s">
        <v>34858</v>
      </c>
      <c r="B7087" s="1" t="s">
        <v>37</v>
      </c>
      <c r="C7087" s="1" t="s">
        <v>34859</v>
      </c>
      <c r="E7087" s="1" t="s">
        <v>34860</v>
      </c>
      <c r="F7087" s="1" t="s">
        <v>1106</v>
      </c>
      <c r="G7087" s="1" t="s">
        <v>34861</v>
      </c>
      <c r="H7087" s="1">
        <v>2007.0</v>
      </c>
      <c r="I7087" s="1" t="s">
        <v>42</v>
      </c>
      <c r="J7087" s="1" t="s">
        <v>43</v>
      </c>
      <c r="K7087" s="1" t="s">
        <v>4118</v>
      </c>
      <c r="L7087" s="1" t="s">
        <v>34862</v>
      </c>
      <c r="M7087" s="2" t="s">
        <v>12</v>
      </c>
      <c r="N7087" s="4">
        <f t="shared" si="1"/>
        <v>42935</v>
      </c>
      <c r="O7087" s="5" t="str">
        <f>IFERROR(__xludf.DUMMYFUNCTION("IF(REGEXMATCH(TRIM(I7087), ""^\d+\s*min""), ""Unclassified"", IF(I7087 = """", ""NR"", I7087))"),"TV-MA")</f>
        <v>TV-MA</v>
      </c>
      <c r="R7087" s="5" t="str">
        <f t="shared" si="2"/>
        <v>Intelligence</v>
      </c>
      <c r="S7087" s="5" t="str">
        <f>IFERROR(__xludf.DUMMYFUNCTION("""COMPUTED_VALUE"""),"The Devil Below")</f>
        <v>The Devil Below</v>
      </c>
      <c r="V7087" s="5"/>
      <c r="Y7087" s="5" t="str">
        <f>IFERROR(__xludf.DUMMYFUNCTION("REGEXEXTRACT(J7087, ""^\d+"")"),"2")</f>
        <v>2</v>
      </c>
      <c r="Z7087" s="5" t="str">
        <f>IFERROR(__xludf.DUMMYFUNCTION("REGEXEXTRACT(J7087, ""[A-Za-z ]+$"")")," Seasons")</f>
        <v> Seasons</v>
      </c>
      <c r="AA7087" s="5" t="str">
        <f>IFERROR(__xludf.DUMMYFUNCTION("IF(REGEXMATCH(Z7087, ""Season""), ""TV Show"", ""Movie"")"),"TV Show")</f>
        <v>TV Show</v>
      </c>
    </row>
    <row r="7088">
      <c r="A7088" s="1" t="s">
        <v>34863</v>
      </c>
      <c r="B7088" s="1" t="s">
        <v>27</v>
      </c>
      <c r="C7088" s="1" t="s">
        <v>34864</v>
      </c>
      <c r="D7088" s="1" t="s">
        <v>15658</v>
      </c>
      <c r="E7088" s="1" t="s">
        <v>34865</v>
      </c>
      <c r="F7088" s="1" t="s">
        <v>30</v>
      </c>
      <c r="G7088" s="1" t="s">
        <v>34866</v>
      </c>
      <c r="H7088" s="1">
        <v>2016.0</v>
      </c>
      <c r="I7088" s="1" t="s">
        <v>97</v>
      </c>
      <c r="J7088" s="1" t="s">
        <v>630</v>
      </c>
      <c r="K7088" s="1" t="s">
        <v>239</v>
      </c>
      <c r="L7088" s="1" t="s">
        <v>34867</v>
      </c>
      <c r="M7088" s="2" t="s">
        <v>12</v>
      </c>
      <c r="N7088" s="4">
        <f t="shared" si="1"/>
        <v>42572</v>
      </c>
      <c r="O7088" s="5" t="str">
        <f>IFERROR(__xludf.DUMMYFUNCTION("IF(REGEXMATCH(TRIM(I7088), ""^\d+\s*min""), ""Unclassified"", IF(I7088 = """", ""NR"", I7088))"),"TV-14")</f>
        <v>TV-14</v>
      </c>
      <c r="R7088" s="5" t="str">
        <f t="shared" si="2"/>
        <v>Internet Famous</v>
      </c>
      <c r="S7088" s="5" t="str">
        <f>IFERROR(__xludf.DUMMYFUNCTION("""COMPUTED_VALUE"""),"The Devil Inside")</f>
        <v>The Devil Inside</v>
      </c>
      <c r="V7088" s="5"/>
      <c r="Y7088" s="5" t="str">
        <f>IFERROR(__xludf.DUMMYFUNCTION("REGEXEXTRACT(J7088, ""^\d+"")"),"87")</f>
        <v>87</v>
      </c>
      <c r="Z7088" s="5" t="str">
        <f>IFERROR(__xludf.DUMMYFUNCTION("REGEXEXTRACT(J7088, ""[A-Za-z ]+$"")")," min")</f>
        <v> min</v>
      </c>
      <c r="AA7088" s="5" t="str">
        <f>IFERROR(__xludf.DUMMYFUNCTION("IF(REGEXMATCH(Z7088, ""Season""), ""TV Show"", ""Movie"")"),"Movie")</f>
        <v>Movie</v>
      </c>
    </row>
    <row r="7089">
      <c r="A7089" s="1" t="s">
        <v>34868</v>
      </c>
      <c r="B7089" s="1" t="s">
        <v>27</v>
      </c>
      <c r="C7089" s="1" t="s">
        <v>34869</v>
      </c>
      <c r="D7089" s="1" t="s">
        <v>17661</v>
      </c>
      <c r="E7089" s="1" t="s">
        <v>34870</v>
      </c>
      <c r="F7089" s="1" t="s">
        <v>1106</v>
      </c>
      <c r="G7089" s="1" t="s">
        <v>23515</v>
      </c>
      <c r="H7089" s="1">
        <v>2015.0</v>
      </c>
      <c r="I7089" s="1" t="s">
        <v>378</v>
      </c>
      <c r="J7089" s="1" t="s">
        <v>447</v>
      </c>
      <c r="K7089" s="1" t="s">
        <v>5704</v>
      </c>
      <c r="L7089" s="1" t="s">
        <v>34871</v>
      </c>
      <c r="M7089" s="2" t="s">
        <v>12</v>
      </c>
      <c r="N7089" s="4">
        <f t="shared" si="1"/>
        <v>43411</v>
      </c>
      <c r="O7089" s="5" t="str">
        <f>IFERROR(__xludf.DUMMYFUNCTION("IF(REGEXMATCH(TRIM(I7089), ""^\d+\s*min""), ""Unclassified"", IF(I7089 = """", ""NR"", I7089))"),"R")</f>
        <v>R</v>
      </c>
      <c r="R7089" s="5" t="str">
        <f t="shared" si="2"/>
        <v>Into The Forest</v>
      </c>
      <c r="S7089" s="5" t="str">
        <f>IFERROR(__xludf.DUMMYFUNCTION("""COMPUTED_VALUE"""),"The Devil Is A Part-Timer!")</f>
        <v>The Devil Is A Part-Timer!</v>
      </c>
      <c r="V7089" s="5"/>
      <c r="Y7089" s="5" t="str">
        <f>IFERROR(__xludf.DUMMYFUNCTION("REGEXEXTRACT(J7089, ""^\d+"")"),"102")</f>
        <v>102</v>
      </c>
      <c r="Z7089" s="5" t="str">
        <f>IFERROR(__xludf.DUMMYFUNCTION("REGEXEXTRACT(J7089, ""[A-Za-z ]+$"")")," min")</f>
        <v> min</v>
      </c>
      <c r="AA7089" s="5" t="str">
        <f>IFERROR(__xludf.DUMMYFUNCTION("IF(REGEXMATCH(Z7089, ""Season""), ""TV Show"", ""Movie"")"),"Movie")</f>
        <v>Movie</v>
      </c>
    </row>
    <row r="7090">
      <c r="A7090" s="1" t="s">
        <v>34872</v>
      </c>
      <c r="B7090" s="1" t="s">
        <v>27</v>
      </c>
      <c r="C7090" s="1" t="s">
        <v>34873</v>
      </c>
      <c r="D7090" s="1" t="s">
        <v>413</v>
      </c>
      <c r="E7090" s="1" t="s">
        <v>34874</v>
      </c>
      <c r="F7090" s="1" t="s">
        <v>415</v>
      </c>
      <c r="G7090" s="1" t="s">
        <v>27321</v>
      </c>
      <c r="H7090" s="1">
        <v>2004.0</v>
      </c>
      <c r="I7090" s="1" t="s">
        <v>136</v>
      </c>
      <c r="J7090" s="1" t="s">
        <v>428</v>
      </c>
      <c r="K7090" s="1" t="s">
        <v>417</v>
      </c>
      <c r="L7090" s="1" t="s">
        <v>34875</v>
      </c>
      <c r="M7090" s="2" t="s">
        <v>12</v>
      </c>
      <c r="N7090" s="4">
        <f t="shared" si="1"/>
        <v>42979</v>
      </c>
      <c r="O7090" s="5" t="str">
        <f>IFERROR(__xludf.DUMMYFUNCTION("IF(REGEXMATCH(TRIM(I7090), ""^\d+\s*min""), ""Unclassified"", IF(I7090 = """", ""NR"", I7090))"),"TV-PG")</f>
        <v>TV-PG</v>
      </c>
      <c r="R7090" s="5" t="str">
        <f t="shared" si="2"/>
        <v>Inuyasha The Movie - L'Isola Del Fuoco Scarlatto</v>
      </c>
      <c r="S7090" s="5" t="str">
        <f>IFERROR(__xludf.DUMMYFUNCTION("""COMPUTED_VALUE"""),"The Devil Next Door")</f>
        <v>The Devil Next Door</v>
      </c>
      <c r="V7090" s="5"/>
      <c r="Y7090" s="5" t="str">
        <f>IFERROR(__xludf.DUMMYFUNCTION("REGEXEXTRACT(J7090, ""^\d+"")"),"88")</f>
        <v>88</v>
      </c>
      <c r="Z7090" s="5" t="str">
        <f>IFERROR(__xludf.DUMMYFUNCTION("REGEXEXTRACT(J7090, ""[A-Za-z ]+$"")")," min")</f>
        <v> min</v>
      </c>
      <c r="AA7090" s="5" t="str">
        <f>IFERROR(__xludf.DUMMYFUNCTION("IF(REGEXMATCH(Z7090, ""Season""), ""TV Show"", ""Movie"")"),"Movie")</f>
        <v>Movie</v>
      </c>
    </row>
    <row r="7091">
      <c r="A7091" s="1" t="s">
        <v>34876</v>
      </c>
      <c r="B7091" s="1" t="s">
        <v>27</v>
      </c>
      <c r="C7091" s="1" t="s">
        <v>34877</v>
      </c>
      <c r="D7091" s="1" t="s">
        <v>413</v>
      </c>
      <c r="E7091" s="1" t="s">
        <v>422</v>
      </c>
      <c r="F7091" s="1" t="s">
        <v>415</v>
      </c>
      <c r="G7091" s="1" t="s">
        <v>27321</v>
      </c>
      <c r="H7091" s="1">
        <v>2003.0</v>
      </c>
      <c r="I7091" s="1" t="s">
        <v>97</v>
      </c>
      <c r="J7091" s="1" t="s">
        <v>416</v>
      </c>
      <c r="K7091" s="1" t="s">
        <v>417</v>
      </c>
      <c r="L7091" s="1" t="s">
        <v>423</v>
      </c>
      <c r="M7091" s="2" t="s">
        <v>12</v>
      </c>
      <c r="N7091" s="4">
        <f t="shared" si="1"/>
        <v>42979</v>
      </c>
      <c r="O7091" s="5" t="str">
        <f>IFERROR(__xludf.DUMMYFUNCTION("IF(REGEXMATCH(TRIM(I7091), ""^\d+\s*min""), ""Unclassified"", IF(I7091 = """", ""NR"", I7091))"),"TV-14")</f>
        <v>TV-14</v>
      </c>
      <c r="R7091" s="5" t="str">
        <f t="shared" si="2"/>
        <v>Inuyasha The Movie - La Spada Del Dominatore Del Mondo</v>
      </c>
      <c r="S7091" s="5" t="str">
        <f>IFERROR(__xludf.DUMMYFUNCTION("""COMPUTED_VALUE"""),"The Devil Punisher")</f>
        <v>The Devil Punisher</v>
      </c>
      <c r="V7091" s="5"/>
      <c r="Y7091" s="5" t="str">
        <f>IFERROR(__xludf.DUMMYFUNCTION("REGEXEXTRACT(J7091, ""^\d+"")"),"99")</f>
        <v>99</v>
      </c>
      <c r="Z7091" s="5" t="str">
        <f>IFERROR(__xludf.DUMMYFUNCTION("REGEXEXTRACT(J7091, ""[A-Za-z ]+$"")")," min")</f>
        <v> min</v>
      </c>
      <c r="AA7091" s="5" t="str">
        <f>IFERROR(__xludf.DUMMYFUNCTION("IF(REGEXMATCH(Z7091, ""Season""), ""TV Show"", ""Movie"")"),"Movie")</f>
        <v>Movie</v>
      </c>
    </row>
    <row r="7092">
      <c r="A7092" s="1" t="s">
        <v>34878</v>
      </c>
      <c r="B7092" s="1" t="s">
        <v>27</v>
      </c>
      <c r="C7092" s="1" t="s">
        <v>34879</v>
      </c>
      <c r="D7092" s="1" t="s">
        <v>413</v>
      </c>
      <c r="E7092" s="1" t="s">
        <v>34880</v>
      </c>
      <c r="F7092" s="1" t="s">
        <v>415</v>
      </c>
      <c r="G7092" s="1" t="s">
        <v>27321</v>
      </c>
      <c r="H7092" s="1">
        <v>2002.0</v>
      </c>
      <c r="I7092" s="1" t="s">
        <v>97</v>
      </c>
      <c r="J7092" s="1" t="s">
        <v>416</v>
      </c>
      <c r="K7092" s="1" t="s">
        <v>417</v>
      </c>
      <c r="L7092" s="1" t="s">
        <v>418</v>
      </c>
      <c r="M7092" s="2" t="s">
        <v>12</v>
      </c>
      <c r="N7092" s="4">
        <f t="shared" si="1"/>
        <v>42979</v>
      </c>
      <c r="O7092" s="5" t="str">
        <f>IFERROR(__xludf.DUMMYFUNCTION("IF(REGEXMATCH(TRIM(I7092), ""^\d+\s*min""), ""Unclassified"", IF(I7092 = """", ""NR"", I7092))"),"TV-14")</f>
        <v>TV-14</v>
      </c>
      <c r="R7092" s="5" t="str">
        <f t="shared" si="2"/>
        <v>Inuyasha: The Movie 2: The Castle Beyond The Looking Glass</v>
      </c>
      <c r="S7092" s="5" t="str">
        <f>IFERROR(__xludf.DUMMYFUNCTION("""COMPUTED_VALUE"""),"The Devil We Know")</f>
        <v>The Devil We Know</v>
      </c>
      <c r="V7092" s="5"/>
      <c r="Y7092" s="5" t="str">
        <f>IFERROR(__xludf.DUMMYFUNCTION("REGEXEXTRACT(J7092, ""^\d+"")"),"99")</f>
        <v>99</v>
      </c>
      <c r="Z7092" s="5" t="str">
        <f>IFERROR(__xludf.DUMMYFUNCTION("REGEXEXTRACT(J7092, ""[A-Za-z ]+$"")")," min")</f>
        <v> min</v>
      </c>
      <c r="AA7092" s="5" t="str">
        <f>IFERROR(__xludf.DUMMYFUNCTION("IF(REGEXMATCH(Z7092, ""Season""), ""TV Show"", ""Movie"")"),"Movie")</f>
        <v>Movie</v>
      </c>
    </row>
    <row r="7093">
      <c r="A7093" s="1" t="s">
        <v>34881</v>
      </c>
      <c r="B7093" s="1" t="s">
        <v>27</v>
      </c>
      <c r="C7093" s="1" t="s">
        <v>34882</v>
      </c>
      <c r="D7093" s="1" t="s">
        <v>2279</v>
      </c>
      <c r="E7093" s="1" t="s">
        <v>34883</v>
      </c>
      <c r="F7093" s="1" t="s">
        <v>30</v>
      </c>
      <c r="G7093" s="1" t="s">
        <v>18333</v>
      </c>
      <c r="H7093" s="1">
        <v>2009.0</v>
      </c>
      <c r="I7093" s="1" t="s">
        <v>32</v>
      </c>
      <c r="J7093" s="1" t="s">
        <v>7413</v>
      </c>
      <c r="K7093" s="1" t="s">
        <v>2275</v>
      </c>
      <c r="L7093" s="1" t="s">
        <v>34884</v>
      </c>
      <c r="M7093" s="2" t="s">
        <v>12</v>
      </c>
      <c r="N7093" s="4">
        <f t="shared" si="1"/>
        <v>43770</v>
      </c>
      <c r="O7093" s="5" t="str">
        <f>IFERROR(__xludf.DUMMYFUNCTION("IF(REGEXMATCH(TRIM(I7093), ""^\d+\s*min""), ""Unclassified"", IF(I7093 = """", ""NR"", I7093))"),"PG-13")</f>
        <v>PG-13</v>
      </c>
      <c r="R7093" s="5" t="str">
        <f t="shared" si="2"/>
        <v>Invictus</v>
      </c>
      <c r="S7093" s="5" t="str">
        <f>IFERROR(__xludf.DUMMYFUNCTION("""COMPUTED_VALUE"""),"The Devil'S Mistress")</f>
        <v>The Devil'S Mistress</v>
      </c>
      <c r="V7093" s="5"/>
      <c r="Y7093" s="5" t="str">
        <f>IFERROR(__xludf.DUMMYFUNCTION("REGEXEXTRACT(J7093, ""^\d+"")"),"134")</f>
        <v>134</v>
      </c>
      <c r="Z7093" s="5" t="str">
        <f>IFERROR(__xludf.DUMMYFUNCTION("REGEXEXTRACT(J7093, ""[A-Za-z ]+$"")")," min")</f>
        <v> min</v>
      </c>
      <c r="AA7093" s="5" t="str">
        <f>IFERROR(__xludf.DUMMYFUNCTION("IF(REGEXMATCH(Z7093, ""Season""), ""TV Show"", ""Movie"")"),"Movie")</f>
        <v>Movie</v>
      </c>
    </row>
    <row r="7094">
      <c r="A7094" s="1" t="s">
        <v>34885</v>
      </c>
      <c r="B7094" s="1" t="s">
        <v>27</v>
      </c>
      <c r="C7094" s="1" t="s">
        <v>34886</v>
      </c>
      <c r="D7094" s="1" t="s">
        <v>4445</v>
      </c>
      <c r="F7094" s="1" t="s">
        <v>1106</v>
      </c>
      <c r="G7094" s="1" t="s">
        <v>22522</v>
      </c>
      <c r="H7094" s="1">
        <v>2018.0</v>
      </c>
      <c r="I7094" s="1" t="s">
        <v>136</v>
      </c>
      <c r="J7094" s="1" t="s">
        <v>79</v>
      </c>
      <c r="K7094" s="1" t="s">
        <v>34</v>
      </c>
      <c r="L7094" s="1" t="s">
        <v>34887</v>
      </c>
      <c r="M7094" s="2" t="s">
        <v>12</v>
      </c>
      <c r="N7094" s="4">
        <f t="shared" si="1"/>
        <v>43479</v>
      </c>
      <c r="O7094" s="5" t="str">
        <f>IFERROR(__xludf.DUMMYFUNCTION("IF(REGEXMATCH(TRIM(I7094), ""^\d+\s*min""), ""Unclassified"", IF(I7094 = """", ""NR"", I7094))"),"TV-PG")</f>
        <v>TV-PG</v>
      </c>
      <c r="R7094" s="5" t="str">
        <f t="shared" si="2"/>
        <v>Invisible Essence: The Little Prince</v>
      </c>
      <c r="S7094" s="5" t="str">
        <f>IFERROR(__xludf.DUMMYFUNCTION("""COMPUTED_VALUE"""),"The Diabolical")</f>
        <v>The Diabolical</v>
      </c>
      <c r="V7094" s="5"/>
      <c r="Y7094" s="5" t="str">
        <f>IFERROR(__xludf.DUMMYFUNCTION("REGEXEXTRACT(J7094, ""^\d+"")"),"91")</f>
        <v>91</v>
      </c>
      <c r="Z7094" s="5" t="str">
        <f>IFERROR(__xludf.DUMMYFUNCTION("REGEXEXTRACT(J7094, ""[A-Za-z ]+$"")")," min")</f>
        <v> min</v>
      </c>
      <c r="AA7094" s="5" t="str">
        <f>IFERROR(__xludf.DUMMYFUNCTION("IF(REGEXMATCH(Z7094, ""Season""), ""TV Show"", ""Movie"")"),"Movie")</f>
        <v>Movie</v>
      </c>
    </row>
    <row r="7095">
      <c r="A7095" s="1" t="s">
        <v>34888</v>
      </c>
      <c r="B7095" s="1" t="s">
        <v>27</v>
      </c>
      <c r="C7095" s="1" t="s">
        <v>34889</v>
      </c>
      <c r="D7095" s="1" t="s">
        <v>11489</v>
      </c>
      <c r="E7095" s="1" t="s">
        <v>34890</v>
      </c>
      <c r="F7095" s="1" t="s">
        <v>34891</v>
      </c>
      <c r="G7095" s="1" t="s">
        <v>26295</v>
      </c>
      <c r="H7095" s="1">
        <v>2017.0</v>
      </c>
      <c r="I7095" s="1" t="s">
        <v>42</v>
      </c>
      <c r="J7095" s="1" t="s">
        <v>428</v>
      </c>
      <c r="K7095" s="1" t="s">
        <v>89</v>
      </c>
      <c r="L7095" s="1" t="s">
        <v>34892</v>
      </c>
      <c r="M7095" s="2" t="s">
        <v>12</v>
      </c>
      <c r="N7095" s="4">
        <f t="shared" si="1"/>
        <v>43132</v>
      </c>
      <c r="O7095" s="5" t="str">
        <f>IFERROR(__xludf.DUMMYFUNCTION("IF(REGEXMATCH(TRIM(I7095), ""^\d+\s*min""), ""Unclassified"", IF(I7095 = """", ""NR"", I7095))"),"TV-MA")</f>
        <v>TV-MA</v>
      </c>
      <c r="R7095" s="5" t="str">
        <f t="shared" si="2"/>
        <v>Inxeba</v>
      </c>
      <c r="S7095" s="5" t="str">
        <f>IFERROR(__xludf.DUMMYFUNCTION("""COMPUTED_VALUE"""),"The Dig")</f>
        <v>The Dig</v>
      </c>
      <c r="V7095" s="5"/>
      <c r="Y7095" s="5" t="str">
        <f>IFERROR(__xludf.DUMMYFUNCTION("REGEXEXTRACT(J7095, ""^\d+"")"),"88")</f>
        <v>88</v>
      </c>
      <c r="Z7095" s="5" t="str">
        <f>IFERROR(__xludf.DUMMYFUNCTION("REGEXEXTRACT(J7095, ""[A-Za-z ]+$"")")," min")</f>
        <v> min</v>
      </c>
      <c r="AA7095" s="5" t="str">
        <f>IFERROR(__xludf.DUMMYFUNCTION("IF(REGEXMATCH(Z7095, ""Season""), ""TV Show"", ""Movie"")"),"Movie")</f>
        <v>Movie</v>
      </c>
    </row>
    <row r="7096">
      <c r="A7096" s="1" t="s">
        <v>34893</v>
      </c>
      <c r="B7096" s="1" t="s">
        <v>27</v>
      </c>
      <c r="C7096" s="1" t="s">
        <v>34894</v>
      </c>
      <c r="D7096" s="1" t="s">
        <v>833</v>
      </c>
      <c r="E7096" s="1" t="s">
        <v>34895</v>
      </c>
      <c r="F7096" s="1" t="s">
        <v>63</v>
      </c>
      <c r="G7096" s="1" t="s">
        <v>26089</v>
      </c>
      <c r="H7096" s="1">
        <v>2006.0</v>
      </c>
      <c r="I7096" s="1" t="s">
        <v>289</v>
      </c>
      <c r="J7096" s="1" t="s">
        <v>127</v>
      </c>
      <c r="K7096" s="1" t="s">
        <v>89</v>
      </c>
      <c r="L7096" s="1" t="s">
        <v>34896</v>
      </c>
      <c r="M7096" s="2" t="s">
        <v>12</v>
      </c>
      <c r="N7096" s="4">
        <f t="shared" si="1"/>
        <v>43160</v>
      </c>
      <c r="O7096" s="5" t="str">
        <f>IFERROR(__xludf.DUMMYFUNCTION("IF(REGEXMATCH(TRIM(I7096), ""^\d+\s*min""), ""Unclassified"", IF(I7096 = """", ""NR"", I7096))"),"TV-Y7")</f>
        <v>TV-Y7</v>
      </c>
      <c r="R7096" s="5" t="str">
        <f t="shared" si="2"/>
        <v>Iqbal</v>
      </c>
      <c r="S7096" s="5" t="str">
        <f>IFERROR(__xludf.DUMMYFUNCTION("""COMPUTED_VALUE"""),"The Dirt")</f>
        <v>The Dirt</v>
      </c>
      <c r="V7096" s="5"/>
      <c r="Y7096" s="5" t="str">
        <f>IFERROR(__xludf.DUMMYFUNCTION("REGEXEXTRACT(J7096, ""^\d+"")"),"127")</f>
        <v>127</v>
      </c>
      <c r="Z7096" s="5" t="str">
        <f>IFERROR(__xludf.DUMMYFUNCTION("REGEXEXTRACT(J7096, ""[A-Za-z ]+$"")")," min")</f>
        <v> min</v>
      </c>
      <c r="AA7096" s="5" t="str">
        <f>IFERROR(__xludf.DUMMYFUNCTION("IF(REGEXMATCH(Z7096, ""Season""), ""TV Show"", ""Movie"")"),"Movie")</f>
        <v>Movie</v>
      </c>
    </row>
    <row r="7097">
      <c r="A7097" s="1" t="s">
        <v>34897</v>
      </c>
      <c r="B7097" s="1" t="s">
        <v>27</v>
      </c>
      <c r="C7097" s="1" t="s">
        <v>34898</v>
      </c>
      <c r="D7097" s="1" t="s">
        <v>12594</v>
      </c>
      <c r="E7097" s="1" t="s">
        <v>34899</v>
      </c>
      <c r="F7097" s="1" t="s">
        <v>63</v>
      </c>
      <c r="G7097" s="1" t="s">
        <v>25994</v>
      </c>
      <c r="H7097" s="1">
        <v>2010.0</v>
      </c>
      <c r="I7097" s="1" t="s">
        <v>97</v>
      </c>
      <c r="J7097" s="1" t="s">
        <v>4242</v>
      </c>
      <c r="K7097" s="1" t="s">
        <v>583</v>
      </c>
      <c r="L7097" s="1" t="s">
        <v>34900</v>
      </c>
      <c r="M7097" s="2" t="s">
        <v>12</v>
      </c>
      <c r="N7097" s="4">
        <f t="shared" si="1"/>
        <v>43174</v>
      </c>
      <c r="O7097" s="5" t="str">
        <f>IFERROR(__xludf.DUMMYFUNCTION("IF(REGEXMATCH(TRIM(I7097), ""^\d+\s*min""), ""Unclassified"", IF(I7097 = """", ""NR"", I7097))"),"TV-14")</f>
        <v>TV-14</v>
      </c>
      <c r="R7097" s="5" t="str">
        <f t="shared" si="2"/>
        <v>Irada Pakka</v>
      </c>
      <c r="S7097" s="5" t="str">
        <f>IFERROR(__xludf.DUMMYFUNCTION("""COMPUTED_VALUE"""),"The Dirty Picture")</f>
        <v>The Dirty Picture</v>
      </c>
      <c r="V7097" s="5"/>
      <c r="Y7097" s="5" t="str">
        <f>IFERROR(__xludf.DUMMYFUNCTION("REGEXEXTRACT(J7097, ""^\d+"")"),"137")</f>
        <v>137</v>
      </c>
      <c r="Z7097" s="5" t="str">
        <f>IFERROR(__xludf.DUMMYFUNCTION("REGEXEXTRACT(J7097, ""[A-Za-z ]+$"")")," min")</f>
        <v> min</v>
      </c>
      <c r="AA7097" s="5" t="str">
        <f>IFERROR(__xludf.DUMMYFUNCTION("IF(REGEXMATCH(Z7097, ""Season""), ""TV Show"", ""Movie"")"),"Movie")</f>
        <v>Movie</v>
      </c>
    </row>
    <row r="7098">
      <c r="A7098" s="1" t="s">
        <v>34901</v>
      </c>
      <c r="B7098" s="1" t="s">
        <v>27</v>
      </c>
      <c r="C7098" s="1" t="s">
        <v>34902</v>
      </c>
      <c r="D7098" s="1" t="s">
        <v>9901</v>
      </c>
      <c r="E7098" s="1" t="s">
        <v>34903</v>
      </c>
      <c r="F7098" s="1" t="s">
        <v>30</v>
      </c>
      <c r="G7098" s="1" t="s">
        <v>19920</v>
      </c>
      <c r="H7098" s="1">
        <v>2018.0</v>
      </c>
      <c r="I7098" s="1" t="s">
        <v>97</v>
      </c>
      <c r="J7098" s="1" t="s">
        <v>4558</v>
      </c>
      <c r="K7098" s="1" t="s">
        <v>645</v>
      </c>
      <c r="L7098" s="1" t="s">
        <v>34904</v>
      </c>
      <c r="M7098" s="2" t="s">
        <v>12</v>
      </c>
      <c r="N7098" s="4">
        <f t="shared" si="1"/>
        <v>43665</v>
      </c>
      <c r="O7098" s="5" t="str">
        <f>IFERROR(__xludf.DUMMYFUNCTION("IF(REGEXMATCH(TRIM(I7098), ""^\d+\s*min""), ""Unclassified"", IF(I7098 = """", ""NR"", I7098))"),"TV-14")</f>
        <v>TV-14</v>
      </c>
      <c r="R7098" s="5" t="str">
        <f t="shared" si="2"/>
        <v>Iron Cowboy: The Story Of The 50.50.50</v>
      </c>
      <c r="S7098" s="5" t="str">
        <f>IFERROR(__xludf.DUMMYFUNCTION("""COMPUTED_VALUE"""),"The Disappearance Of Madeleine Mccann")</f>
        <v>The Disappearance Of Madeleine Mccann</v>
      </c>
      <c r="V7098" s="5"/>
      <c r="Y7098" s="5" t="str">
        <f>IFERROR(__xludf.DUMMYFUNCTION("REGEXEXTRACT(J7098, ""^\d+"")"),"77")</f>
        <v>77</v>
      </c>
      <c r="Z7098" s="5" t="str">
        <f>IFERROR(__xludf.DUMMYFUNCTION("REGEXEXTRACT(J7098, ""[A-Za-z ]+$"")")," min")</f>
        <v> min</v>
      </c>
      <c r="AA7098" s="5" t="str">
        <f>IFERROR(__xludf.DUMMYFUNCTION("IF(REGEXMATCH(Z7098, ""Season""), ""TV Show"", ""Movie"")"),"Movie")</f>
        <v>Movie</v>
      </c>
    </row>
    <row r="7099">
      <c r="A7099" s="1" t="s">
        <v>34905</v>
      </c>
      <c r="B7099" s="1" t="s">
        <v>27</v>
      </c>
      <c r="C7099" s="1" t="s">
        <v>34906</v>
      </c>
      <c r="D7099" s="1" t="s">
        <v>13638</v>
      </c>
      <c r="E7099" s="1" t="s">
        <v>34907</v>
      </c>
      <c r="F7099" s="1" t="s">
        <v>30</v>
      </c>
      <c r="G7099" s="1" t="s">
        <v>34908</v>
      </c>
      <c r="H7099" s="1">
        <v>2014.0</v>
      </c>
      <c r="I7099" s="1" t="s">
        <v>78</v>
      </c>
      <c r="J7099" s="1" t="s">
        <v>5650</v>
      </c>
      <c r="K7099" s="1" t="s">
        <v>8035</v>
      </c>
      <c r="L7099" s="1" t="s">
        <v>34909</v>
      </c>
      <c r="M7099" s="2" t="s">
        <v>12</v>
      </c>
      <c r="N7099" s="4">
        <f t="shared" si="1"/>
        <v>41924</v>
      </c>
      <c r="O7099" s="5" t="str">
        <f>IFERROR(__xludf.DUMMYFUNCTION("IF(REGEXMATCH(TRIM(I7099), ""^\d+\s*min""), ""Unclassified"", IF(I7099 = """", ""NR"", I7099))"),"PG")</f>
        <v>PG</v>
      </c>
      <c r="R7099" s="5" t="str">
        <f t="shared" si="2"/>
        <v>Iron Man &amp; Captain America: Heroes United</v>
      </c>
      <c r="S7099" s="5" t="str">
        <f>IFERROR(__xludf.DUMMYFUNCTION("""COMPUTED_VALUE"""),"The Disaster Artist")</f>
        <v>The Disaster Artist</v>
      </c>
      <c r="V7099" s="5"/>
      <c r="Y7099" s="5" t="str">
        <f>IFERROR(__xludf.DUMMYFUNCTION("REGEXEXTRACT(J7099, ""^\d+"")"),"71")</f>
        <v>71</v>
      </c>
      <c r="Z7099" s="5" t="str">
        <f>IFERROR(__xludf.DUMMYFUNCTION("REGEXEXTRACT(J7099, ""[A-Za-z ]+$"")")," min")</f>
        <v> min</v>
      </c>
      <c r="AA7099" s="5" t="str">
        <f>IFERROR(__xludf.DUMMYFUNCTION("IF(REGEXMATCH(Z7099, ""Season""), ""TV Show"", ""Movie"")"),"Movie")</f>
        <v>Movie</v>
      </c>
    </row>
    <row r="7100">
      <c r="A7100" s="1" t="s">
        <v>34910</v>
      </c>
      <c r="B7100" s="1" t="s">
        <v>37</v>
      </c>
      <c r="C7100" s="1" t="s">
        <v>34911</v>
      </c>
      <c r="E7100" s="1" t="s">
        <v>34912</v>
      </c>
      <c r="F7100" s="1" t="s">
        <v>34913</v>
      </c>
      <c r="G7100" s="1" t="s">
        <v>12382</v>
      </c>
      <c r="H7100" s="1">
        <v>2011.0</v>
      </c>
      <c r="I7100" s="1" t="s">
        <v>289</v>
      </c>
      <c r="J7100" s="1" t="s">
        <v>43</v>
      </c>
      <c r="K7100" s="1" t="s">
        <v>290</v>
      </c>
      <c r="L7100" s="1" t="s">
        <v>34914</v>
      </c>
      <c r="M7100" s="2" t="s">
        <v>12</v>
      </c>
      <c r="N7100" s="4">
        <f t="shared" si="1"/>
        <v>44044</v>
      </c>
      <c r="O7100" s="5" t="str">
        <f>IFERROR(__xludf.DUMMYFUNCTION("IF(REGEXMATCH(TRIM(I7100), ""^\d+\s*min""), ""Unclassified"", IF(I7100 = """", ""NR"", I7100))"),"TV-Y7")</f>
        <v>TV-Y7</v>
      </c>
      <c r="R7100" s="5" t="str">
        <f t="shared" si="2"/>
        <v>Iron Man: Armored Adventures</v>
      </c>
      <c r="S7100" s="5" t="str">
        <f>IFERROR(__xludf.DUMMYFUNCTION("""COMPUTED_VALUE"""),"The Disastrous Life Of Saiki K.")</f>
        <v>The Disastrous Life Of Saiki K.</v>
      </c>
      <c r="V7100" s="5"/>
      <c r="Y7100" s="5" t="str">
        <f>IFERROR(__xludf.DUMMYFUNCTION("REGEXEXTRACT(J7100, ""^\d+"")"),"2")</f>
        <v>2</v>
      </c>
      <c r="Z7100" s="5" t="str">
        <f>IFERROR(__xludf.DUMMYFUNCTION("REGEXEXTRACT(J7100, ""[A-Za-z ]+$"")")," Seasons")</f>
        <v> Seasons</v>
      </c>
      <c r="AA7100" s="5" t="str">
        <f>IFERROR(__xludf.DUMMYFUNCTION("IF(REGEXMATCH(Z7100, ""Season""), ""TV Show"", ""Movie"")"),"TV Show")</f>
        <v>TV Show</v>
      </c>
    </row>
    <row r="7101">
      <c r="A7101" s="1" t="s">
        <v>34915</v>
      </c>
      <c r="B7101" s="1" t="s">
        <v>27</v>
      </c>
      <c r="C7101" s="1" t="s">
        <v>34916</v>
      </c>
      <c r="D7101" s="1" t="s">
        <v>23091</v>
      </c>
      <c r="E7101" s="1" t="s">
        <v>34917</v>
      </c>
      <c r="F7101" s="1" t="s">
        <v>63</v>
      </c>
      <c r="G7101" s="1" t="s">
        <v>26089</v>
      </c>
      <c r="H7101" s="1">
        <v>2015.0</v>
      </c>
      <c r="I7101" s="1" t="s">
        <v>97</v>
      </c>
      <c r="J7101" s="1" t="s">
        <v>2281</v>
      </c>
      <c r="K7101" s="1" t="s">
        <v>679</v>
      </c>
      <c r="L7101" s="1" t="s">
        <v>34918</v>
      </c>
      <c r="M7101" s="2" t="s">
        <v>12</v>
      </c>
      <c r="N7101" s="4">
        <f t="shared" si="1"/>
        <v>43160</v>
      </c>
      <c r="O7101" s="5" t="str">
        <f>IFERROR(__xludf.DUMMYFUNCTION("IF(REGEXMATCH(TRIM(I7101), ""^\d+\s*min""), ""Unclassified"", IF(I7101 = """", ""NR"", I7101))"),"TV-14")</f>
        <v>TV-14</v>
      </c>
      <c r="R7101" s="5" t="str">
        <f t="shared" si="2"/>
        <v>Ishqedarriyaan</v>
      </c>
      <c r="S7101" s="5" t="str">
        <f>IFERROR(__xludf.DUMMYFUNCTION("""COMPUTED_VALUE"""),"The Disastrous Life Of Saiki K.: Reawakened")</f>
        <v>The Disastrous Life Of Saiki K.: Reawakened</v>
      </c>
      <c r="V7101" s="5"/>
      <c r="Y7101" s="5" t="str">
        <f>IFERROR(__xludf.DUMMYFUNCTION("REGEXEXTRACT(J7101, ""^\d+"")"),"130")</f>
        <v>130</v>
      </c>
      <c r="Z7101" s="5" t="str">
        <f>IFERROR(__xludf.DUMMYFUNCTION("REGEXEXTRACT(J7101, ""[A-Za-z ]+$"")")," min")</f>
        <v> min</v>
      </c>
      <c r="AA7101" s="5" t="str">
        <f>IFERROR(__xludf.DUMMYFUNCTION("IF(REGEXMATCH(Z7101, ""Season""), ""TV Show"", ""Movie"")"),"Movie")</f>
        <v>Movie</v>
      </c>
    </row>
    <row r="7102">
      <c r="A7102" s="1" t="s">
        <v>34919</v>
      </c>
      <c r="B7102" s="1" t="s">
        <v>37</v>
      </c>
      <c r="C7102" s="1" t="s">
        <v>34920</v>
      </c>
      <c r="F7102" s="1" t="s">
        <v>96</v>
      </c>
      <c r="G7102" s="1" t="s">
        <v>28552</v>
      </c>
      <c r="H7102" s="1">
        <v>2014.0</v>
      </c>
      <c r="I7102" s="1" t="s">
        <v>136</v>
      </c>
      <c r="J7102" s="1" t="s">
        <v>51</v>
      </c>
      <c r="K7102" s="1" t="s">
        <v>3350</v>
      </c>
      <c r="L7102" s="1" t="s">
        <v>34921</v>
      </c>
      <c r="M7102" s="2" t="s">
        <v>12</v>
      </c>
      <c r="N7102" s="4">
        <f t="shared" si="1"/>
        <v>42795</v>
      </c>
      <c r="O7102" s="5" t="str">
        <f>IFERROR(__xludf.DUMMYFUNCTION("IF(REGEXMATCH(TRIM(I7102), ""^\d+\s*min""), ""Unclassified"", IF(I7102 = """", ""NR"", I7102))"),"TV-PG")</f>
        <v>TV-PG</v>
      </c>
      <c r="R7102" s="5" t="str">
        <f t="shared" si="2"/>
        <v>Islands Of The Future</v>
      </c>
      <c r="S7102" s="5" t="str">
        <f>IFERROR(__xludf.DUMMYFUNCTION("""COMPUTED_VALUE"""),"The Disciple")</f>
        <v>The Disciple</v>
      </c>
      <c r="V7102" s="5"/>
      <c r="Y7102" s="5" t="str">
        <f>IFERROR(__xludf.DUMMYFUNCTION("REGEXEXTRACT(J7102, ""^\d+"")"),"1")</f>
        <v>1</v>
      </c>
      <c r="Z7102" s="5" t="str">
        <f>IFERROR(__xludf.DUMMYFUNCTION("REGEXEXTRACT(J7102, ""[A-Za-z ]+$"")")," Season")</f>
        <v> Season</v>
      </c>
      <c r="AA7102" s="5" t="str">
        <f>IFERROR(__xludf.DUMMYFUNCTION("IF(REGEXMATCH(Z7102, ""Season""), ""TV Show"", ""Movie"")"),"TV Show")</f>
        <v>TV Show</v>
      </c>
    </row>
    <row r="7103">
      <c r="A7103" s="1" t="s">
        <v>34922</v>
      </c>
      <c r="B7103" s="1" t="s">
        <v>37</v>
      </c>
      <c r="C7103" s="1" t="s">
        <v>34923</v>
      </c>
      <c r="E7103" s="1" t="s">
        <v>34924</v>
      </c>
      <c r="F7103" s="1" t="s">
        <v>749</v>
      </c>
      <c r="G7103" s="1" t="s">
        <v>26214</v>
      </c>
      <c r="H7103" s="1">
        <v>2015.0</v>
      </c>
      <c r="I7103" s="1" t="s">
        <v>42</v>
      </c>
      <c r="J7103" s="1" t="s">
        <v>51</v>
      </c>
      <c r="K7103" s="1" t="s">
        <v>6951</v>
      </c>
      <c r="L7103" s="1" t="s">
        <v>34925</v>
      </c>
      <c r="M7103" s="2" t="s">
        <v>12</v>
      </c>
      <c r="N7103" s="4">
        <f t="shared" si="1"/>
        <v>43150</v>
      </c>
      <c r="O7103" s="5" t="str">
        <f>IFERROR(__xludf.DUMMYFUNCTION("IF(REGEXMATCH(TRIM(I7103), ""^\d+\s*min""), ""Unclassified"", IF(I7103 = """", ""NR"", I7103))"),"TV-MA")</f>
        <v>TV-MA</v>
      </c>
      <c r="R7103" s="5" t="str">
        <f t="shared" si="2"/>
        <v>마녀사냥</v>
      </c>
      <c r="S7103" s="5" t="str">
        <f>IFERROR(__xludf.DUMMYFUNCTION("""COMPUTED_VALUE"""),"The Discovery")</f>
        <v>The Discovery</v>
      </c>
      <c r="V7103" s="5"/>
      <c r="Y7103" s="5" t="str">
        <f>IFERROR(__xludf.DUMMYFUNCTION("REGEXEXTRACT(J7103, ""^\d+"")"),"1")</f>
        <v>1</v>
      </c>
      <c r="Z7103" s="5" t="str">
        <f>IFERROR(__xludf.DUMMYFUNCTION("REGEXEXTRACT(J7103, ""[A-Za-z ]+$"")")," Season")</f>
        <v> Season</v>
      </c>
      <c r="AA7103" s="5" t="str">
        <f>IFERROR(__xludf.DUMMYFUNCTION("IF(REGEXMATCH(Z7103, ""Season""), ""TV Show"", ""Movie"")"),"TV Show")</f>
        <v>TV Show</v>
      </c>
    </row>
    <row r="7104">
      <c r="A7104" s="1" t="s">
        <v>34926</v>
      </c>
      <c r="B7104" s="1" t="s">
        <v>27</v>
      </c>
      <c r="C7104" s="1" t="s">
        <v>34927</v>
      </c>
      <c r="D7104" s="1" t="s">
        <v>14454</v>
      </c>
      <c r="E7104" s="1" t="s">
        <v>34928</v>
      </c>
      <c r="F7104" s="1" t="s">
        <v>63</v>
      </c>
      <c r="G7104" s="1" t="s">
        <v>26089</v>
      </c>
      <c r="H7104" s="1">
        <v>2013.0</v>
      </c>
      <c r="I7104" s="1" t="s">
        <v>42</v>
      </c>
      <c r="J7104" s="1" t="s">
        <v>1704</v>
      </c>
      <c r="K7104" s="1" t="s">
        <v>1429</v>
      </c>
      <c r="L7104" s="1" t="s">
        <v>34929</v>
      </c>
      <c r="M7104" s="2" t="s">
        <v>12</v>
      </c>
      <c r="N7104" s="4">
        <f t="shared" si="1"/>
        <v>43160</v>
      </c>
      <c r="O7104" s="5" t="str">
        <f>IFERROR(__xludf.DUMMYFUNCTION("IF(REGEXMATCH(TRIM(I7104), ""^\d+\s*min""), ""Unclassified"", IF(I7104 = """", ""NR"", I7104))"),"TV-MA")</f>
        <v>TV-MA</v>
      </c>
      <c r="R7104" s="5" t="str">
        <f t="shared" si="2"/>
        <v>Issaq</v>
      </c>
      <c r="S7104" s="5" t="str">
        <f>IFERROR(__xludf.DUMMYFUNCTION("""COMPUTED_VALUE"""),"The Distinguished Citizen")</f>
        <v>The Distinguished Citizen</v>
      </c>
      <c r="V7104" s="5"/>
      <c r="Y7104" s="5" t="str">
        <f>IFERROR(__xludf.DUMMYFUNCTION("REGEXEXTRACT(J7104, ""^\d+"")"),"140")</f>
        <v>140</v>
      </c>
      <c r="Z7104" s="5" t="str">
        <f>IFERROR(__xludf.DUMMYFUNCTION("REGEXEXTRACT(J7104, ""[A-Za-z ]+$"")")," min")</f>
        <v> min</v>
      </c>
      <c r="AA7104" s="5" t="str">
        <f>IFERROR(__xludf.DUMMYFUNCTION("IF(REGEXMATCH(Z7104, ""Season""), ""TV Show"", ""Movie"")"),"Movie")</f>
        <v>Movie</v>
      </c>
    </row>
    <row r="7105">
      <c r="A7105" s="1" t="s">
        <v>34930</v>
      </c>
      <c r="B7105" s="1" t="s">
        <v>27</v>
      </c>
      <c r="C7105" s="1" t="s">
        <v>34931</v>
      </c>
      <c r="D7105" s="1" t="s">
        <v>2034</v>
      </c>
      <c r="E7105" s="1" t="s">
        <v>34932</v>
      </c>
      <c r="F7105" s="1" t="s">
        <v>30</v>
      </c>
      <c r="G7105" s="1" t="s">
        <v>17941</v>
      </c>
      <c r="H7105" s="1">
        <v>1995.0</v>
      </c>
      <c r="I7105" s="1" t="s">
        <v>78</v>
      </c>
      <c r="J7105" s="1" t="s">
        <v>1091</v>
      </c>
      <c r="K7105" s="1" t="s">
        <v>137</v>
      </c>
      <c r="L7105" s="1" t="s">
        <v>34933</v>
      </c>
      <c r="M7105" s="2" t="s">
        <v>12</v>
      </c>
      <c r="N7105" s="4">
        <f t="shared" si="1"/>
        <v>43789</v>
      </c>
      <c r="O7105" s="5" t="str">
        <f>IFERROR(__xludf.DUMMYFUNCTION("IF(REGEXMATCH(TRIM(I7105), ""^\d+\s*min""), ""Unclassified"", IF(I7105 = """", ""NR"", I7105))"),"PG")</f>
        <v>PG</v>
      </c>
      <c r="R7105" s="5" t="str">
        <f t="shared" si="2"/>
        <v>It Takes Two</v>
      </c>
      <c r="S7105" s="5" t="str">
        <f>IFERROR(__xludf.DUMMYFUNCTION("""COMPUTED_VALUE"""),"The Do-Over")</f>
        <v>The Do-Over</v>
      </c>
      <c r="V7105" s="5"/>
      <c r="Y7105" s="5" t="str">
        <f>IFERROR(__xludf.DUMMYFUNCTION("REGEXEXTRACT(J7105, ""^\d+"")"),"101")</f>
        <v>101</v>
      </c>
      <c r="Z7105" s="5" t="str">
        <f>IFERROR(__xludf.DUMMYFUNCTION("REGEXEXTRACT(J7105, ""[A-Za-z ]+$"")")," min")</f>
        <v> min</v>
      </c>
      <c r="AA7105" s="5" t="str">
        <f>IFERROR(__xludf.DUMMYFUNCTION("IF(REGEXMATCH(Z7105, ""Season""), ""TV Show"", ""Movie"")"),"Movie")</f>
        <v>Movie</v>
      </c>
    </row>
    <row r="7106">
      <c r="A7106" s="1" t="s">
        <v>34934</v>
      </c>
      <c r="B7106" s="1" t="s">
        <v>27</v>
      </c>
      <c r="C7106" s="1" t="s">
        <v>34935</v>
      </c>
      <c r="D7106" s="1" t="s">
        <v>9725</v>
      </c>
      <c r="E7106" s="1" t="s">
        <v>34936</v>
      </c>
      <c r="G7106" s="7">
        <v>43588.0</v>
      </c>
      <c r="H7106" s="1">
        <v>2012.0</v>
      </c>
      <c r="I7106" s="1" t="s">
        <v>97</v>
      </c>
      <c r="J7106" s="1" t="s">
        <v>1091</v>
      </c>
      <c r="K7106" s="1" t="s">
        <v>230</v>
      </c>
      <c r="L7106" s="1" t="s">
        <v>34937</v>
      </c>
      <c r="M7106" s="2" t="s">
        <v>12</v>
      </c>
      <c r="N7106" s="4">
        <f t="shared" si="1"/>
        <v>43588</v>
      </c>
      <c r="O7106" s="5" t="str">
        <f>IFERROR(__xludf.DUMMYFUNCTION("IF(REGEXMATCH(TRIM(I7106), ""^\d+\s*min""), ""Unclassified"", IF(I7106 = """", ""NR"", I7106))"),"TV-14")</f>
        <v>TV-14</v>
      </c>
      <c r="R7106" s="5" t="str">
        <f t="shared" si="2"/>
        <v>It'S Fine</v>
      </c>
      <c r="S7106" s="5" t="str">
        <f>IFERROR(__xludf.DUMMYFUNCTION("""COMPUTED_VALUE"""),"The Doll")</f>
        <v>The Doll</v>
      </c>
      <c r="V7106" s="5"/>
      <c r="Y7106" s="5" t="str">
        <f>IFERROR(__xludf.DUMMYFUNCTION("REGEXEXTRACT(J7106, ""^\d+"")"),"101")</f>
        <v>101</v>
      </c>
      <c r="Z7106" s="5" t="str">
        <f>IFERROR(__xludf.DUMMYFUNCTION("REGEXEXTRACT(J7106, ""[A-Za-z ]+$"")")," min")</f>
        <v> min</v>
      </c>
      <c r="AA7106" s="5" t="str">
        <f>IFERROR(__xludf.DUMMYFUNCTION("IF(REGEXMATCH(Z7106, ""Season""), ""TV Show"", ""Movie"")"),"Movie")</f>
        <v>Movie</v>
      </c>
    </row>
    <row r="7107">
      <c r="A7107" s="1" t="s">
        <v>34938</v>
      </c>
      <c r="B7107" s="1" t="s">
        <v>27</v>
      </c>
      <c r="C7107" s="1" t="s">
        <v>34939</v>
      </c>
      <c r="D7107" s="1" t="s">
        <v>14692</v>
      </c>
      <c r="E7107" s="1" t="s">
        <v>34940</v>
      </c>
      <c r="F7107" s="1" t="s">
        <v>784</v>
      </c>
      <c r="G7107" s="1" t="s">
        <v>29755</v>
      </c>
      <c r="H7107" s="1">
        <v>2015.0</v>
      </c>
      <c r="I7107" s="1" t="s">
        <v>42</v>
      </c>
      <c r="J7107" s="1" t="s">
        <v>79</v>
      </c>
      <c r="K7107" s="1" t="s">
        <v>215</v>
      </c>
      <c r="L7107" s="1" t="s">
        <v>34941</v>
      </c>
      <c r="M7107" s="2" t="s">
        <v>12</v>
      </c>
      <c r="N7107" s="4">
        <f t="shared" si="1"/>
        <v>42430</v>
      </c>
      <c r="O7107" s="5" t="str">
        <f>IFERROR(__xludf.DUMMYFUNCTION("IF(REGEXMATCH(TRIM(I7107), ""^\d+\s*min""), ""Unclassified"", IF(I7107 = """", ""NR"", I7107))"),"TV-MA")</f>
        <v>TV-MA</v>
      </c>
      <c r="R7107" s="5" t="str">
        <f t="shared" si="2"/>
        <v>It'S Now Or Never</v>
      </c>
      <c r="S7107" s="5" t="str">
        <f>IFERROR(__xludf.DUMMYFUNCTION("""COMPUTED_VALUE"""),"The Doll 2")</f>
        <v>The Doll 2</v>
      </c>
      <c r="V7107" s="5"/>
      <c r="Y7107" s="5" t="str">
        <f>IFERROR(__xludf.DUMMYFUNCTION("REGEXEXTRACT(J7107, ""^\d+"")"),"91")</f>
        <v>91</v>
      </c>
      <c r="Z7107" s="5" t="str">
        <f>IFERROR(__xludf.DUMMYFUNCTION("REGEXEXTRACT(J7107, ""[A-Za-z ]+$"")")," min")</f>
        <v> min</v>
      </c>
      <c r="AA7107" s="5" t="str">
        <f>IFERROR(__xludf.DUMMYFUNCTION("IF(REGEXMATCH(Z7107, ""Season""), ""TV Show"", ""Movie"")"),"Movie")</f>
        <v>Movie</v>
      </c>
    </row>
    <row r="7108">
      <c r="A7108" s="1" t="s">
        <v>34942</v>
      </c>
      <c r="B7108" s="1" t="s">
        <v>27</v>
      </c>
      <c r="C7108" s="1" t="s">
        <v>34943</v>
      </c>
      <c r="D7108" s="1" t="s">
        <v>8975</v>
      </c>
      <c r="E7108" s="1" t="s">
        <v>34944</v>
      </c>
      <c r="F7108" s="1" t="s">
        <v>3309</v>
      </c>
      <c r="G7108" s="1" t="s">
        <v>20510</v>
      </c>
      <c r="H7108" s="1">
        <v>2017.0</v>
      </c>
      <c r="I7108" s="1" t="s">
        <v>97</v>
      </c>
      <c r="J7108" s="1" t="s">
        <v>1608</v>
      </c>
      <c r="K7108" s="1" t="s">
        <v>230</v>
      </c>
      <c r="L7108" s="1" t="s">
        <v>34945</v>
      </c>
      <c r="M7108" s="2" t="s">
        <v>12</v>
      </c>
      <c r="N7108" s="4">
        <f t="shared" si="1"/>
        <v>43622</v>
      </c>
      <c r="O7108" s="5" t="str">
        <f>IFERROR(__xludf.DUMMYFUNCTION("IF(REGEXMATCH(TRIM(I7108), ""^\d+\s*min""), ""Unclassified"", IF(I7108 = """", ""NR"", I7108))"),"TV-14")</f>
        <v>TV-14</v>
      </c>
      <c r="R7108" s="5" t="str">
        <f t="shared" si="2"/>
        <v>It'S Okay, Buddy</v>
      </c>
      <c r="S7108" s="5" t="str">
        <f>IFERROR(__xludf.DUMMYFUNCTION("""COMPUTED_VALUE"""),"The Dragon Prince")</f>
        <v>The Dragon Prince</v>
      </c>
      <c r="V7108" s="5"/>
      <c r="Y7108" s="5" t="str">
        <f>IFERROR(__xludf.DUMMYFUNCTION("REGEXEXTRACT(J7108, ""^\d+"")"),"84")</f>
        <v>84</v>
      </c>
      <c r="Z7108" s="5" t="str">
        <f>IFERROR(__xludf.DUMMYFUNCTION("REGEXEXTRACT(J7108, ""[A-Za-z ]+$"")")," min")</f>
        <v> min</v>
      </c>
      <c r="AA7108" s="5" t="str">
        <f>IFERROR(__xludf.DUMMYFUNCTION("IF(REGEXMATCH(Z7108, ""Season""), ""TV Show"", ""Movie"")"),"Movie")</f>
        <v>Movie</v>
      </c>
    </row>
    <row r="7109">
      <c r="A7109" s="1" t="s">
        <v>34946</v>
      </c>
      <c r="B7109" s="1" t="s">
        <v>27</v>
      </c>
      <c r="C7109" s="1" t="s">
        <v>34947</v>
      </c>
      <c r="D7109" s="1" t="s">
        <v>23998</v>
      </c>
      <c r="E7109" s="1" t="s">
        <v>34948</v>
      </c>
      <c r="F7109" s="1" t="s">
        <v>30</v>
      </c>
      <c r="G7109" s="1" t="s">
        <v>29713</v>
      </c>
      <c r="H7109" s="1">
        <v>2014.0</v>
      </c>
      <c r="I7109" s="1" t="s">
        <v>30231</v>
      </c>
      <c r="J7109" s="1" t="s">
        <v>428</v>
      </c>
      <c r="K7109" s="1" t="s">
        <v>645</v>
      </c>
      <c r="L7109" s="1" t="s">
        <v>34949</v>
      </c>
      <c r="M7109" s="2" t="s">
        <v>12</v>
      </c>
      <c r="N7109" s="4">
        <f t="shared" si="1"/>
        <v>42461</v>
      </c>
      <c r="O7109" s="5" t="str">
        <f>IFERROR(__xludf.DUMMYFUNCTION("IF(REGEXMATCH(TRIM(I7109), ""^\d+\s*min""), ""Unclassified"", IF(I7109 = """", ""NR"", I7109))"),"NR")</f>
        <v>NR</v>
      </c>
      <c r="R7109" s="5" t="str">
        <f t="shared" si="2"/>
        <v>Iverson</v>
      </c>
      <c r="S7109" s="5" t="str">
        <f>IFERROR(__xludf.DUMMYFUNCTION("""COMPUTED_VALUE"""),"The Dream Catchers")</f>
        <v>The Dream Catchers</v>
      </c>
      <c r="V7109" s="5"/>
      <c r="Y7109" s="5" t="str">
        <f>IFERROR(__xludf.DUMMYFUNCTION("REGEXEXTRACT(J7109, ""^\d+"")"),"88")</f>
        <v>88</v>
      </c>
      <c r="Z7109" s="5" t="str">
        <f>IFERROR(__xludf.DUMMYFUNCTION("REGEXEXTRACT(J7109, ""[A-Za-z ]+$"")")," min")</f>
        <v> min</v>
      </c>
      <c r="AA7109" s="5" t="str">
        <f>IFERROR(__xludf.DUMMYFUNCTION("IF(REGEXMATCH(Z7109, ""Season""), ""TV Show"", ""Movie"")"),"Movie")</f>
        <v>Movie</v>
      </c>
    </row>
    <row r="7110">
      <c r="A7110" s="1" t="s">
        <v>34950</v>
      </c>
      <c r="B7110" s="1" t="s">
        <v>27</v>
      </c>
      <c r="C7110" s="1" t="s">
        <v>34951</v>
      </c>
      <c r="D7110" s="1" t="s">
        <v>23896</v>
      </c>
      <c r="E7110" s="1" t="s">
        <v>34952</v>
      </c>
      <c r="G7110" s="1" t="s">
        <v>24649</v>
      </c>
      <c r="H7110" s="1">
        <v>2018.0</v>
      </c>
      <c r="I7110" s="1" t="s">
        <v>289</v>
      </c>
      <c r="J7110" s="1" t="s">
        <v>2626</v>
      </c>
      <c r="K7110" s="1" t="s">
        <v>80</v>
      </c>
      <c r="L7110" s="1" t="s">
        <v>34953</v>
      </c>
      <c r="M7110" s="2" t="s">
        <v>12</v>
      </c>
      <c r="N7110" s="4">
        <f t="shared" si="1"/>
        <v>43344</v>
      </c>
      <c r="O7110" s="5" t="str">
        <f>IFERROR(__xludf.DUMMYFUNCTION("IF(REGEXMATCH(TRIM(I7110), ""^\d+\s*min""), ""Unclassified"", IF(I7110 = """", ""NR"", I7110))"),"TV-Y7")</f>
        <v>TV-Y7</v>
      </c>
      <c r="R7110" s="5" t="str">
        <f t="shared" si="2"/>
        <v>최강전사 미니특공대 : 영웅의 탄생</v>
      </c>
      <c r="S7110" s="5" t="str">
        <f>IFERROR(__xludf.DUMMYFUNCTION("""COMPUTED_VALUE"""),"The Dream Job")</f>
        <v>The Dream Job</v>
      </c>
      <c r="V7110" s="5"/>
      <c r="Y7110" s="5" t="str">
        <f>IFERROR(__xludf.DUMMYFUNCTION("REGEXEXTRACT(J7110, ""^\d+"")"),"68")</f>
        <v>68</v>
      </c>
      <c r="Z7110" s="5" t="str">
        <f>IFERROR(__xludf.DUMMYFUNCTION("REGEXEXTRACT(J7110, ""[A-Za-z ]+$"")")," min")</f>
        <v> min</v>
      </c>
      <c r="AA7110" s="5" t="str">
        <f>IFERROR(__xludf.DUMMYFUNCTION("IF(REGEXMATCH(Z7110, ""Season""), ""TV Show"", ""Movie"")"),"Movie")</f>
        <v>Movie</v>
      </c>
    </row>
    <row r="7111">
      <c r="A7111" s="1" t="s">
        <v>34954</v>
      </c>
      <c r="B7111" s="1" t="s">
        <v>27</v>
      </c>
      <c r="C7111" s="1" t="s">
        <v>34955</v>
      </c>
      <c r="D7111" s="1" t="s">
        <v>14543</v>
      </c>
      <c r="E7111" s="1" t="s">
        <v>34956</v>
      </c>
      <c r="F7111" s="1" t="s">
        <v>63</v>
      </c>
      <c r="G7111" s="1" t="s">
        <v>17078</v>
      </c>
      <c r="H7111" s="1">
        <v>2006.0</v>
      </c>
      <c r="I7111" s="1" t="s">
        <v>97</v>
      </c>
      <c r="J7111" s="1" t="s">
        <v>24904</v>
      </c>
      <c r="K7111" s="1" t="s">
        <v>679</v>
      </c>
      <c r="L7111" s="1" t="s">
        <v>34957</v>
      </c>
      <c r="M7111" s="2" t="s">
        <v>12</v>
      </c>
      <c r="N7111" s="4">
        <f t="shared" si="1"/>
        <v>43830</v>
      </c>
      <c r="O7111" s="5" t="str">
        <f>IFERROR(__xludf.DUMMYFUNCTION("IF(REGEXMATCH(TRIM(I7111), ""^\d+\s*min""), ""Unclassified"", IF(I7111 = """", ""NR"", I7111))"),"TV-14")</f>
        <v>TV-14</v>
      </c>
      <c r="R7111" s="5" t="str">
        <f t="shared" si="2"/>
        <v>Jaan-E-Mann: Let'S Fall In Love... Again</v>
      </c>
      <c r="S7111" s="5" t="str">
        <f>IFERROR(__xludf.DUMMYFUNCTION("""COMPUTED_VALUE"""),"The Dreamer")</f>
        <v>The Dreamer</v>
      </c>
      <c r="V7111" s="5"/>
      <c r="Y7111" s="5" t="str">
        <f>IFERROR(__xludf.DUMMYFUNCTION("REGEXEXTRACT(J7111, ""^\d+"")"),"163")</f>
        <v>163</v>
      </c>
      <c r="Z7111" s="5" t="str">
        <f>IFERROR(__xludf.DUMMYFUNCTION("REGEXEXTRACT(J7111, ""[A-Za-z ]+$"")")," min")</f>
        <v> min</v>
      </c>
      <c r="AA7111" s="5" t="str">
        <f>IFERROR(__xludf.DUMMYFUNCTION("IF(REGEXMATCH(Z7111, ""Season""), ""TV Show"", ""Movie"")"),"Movie")</f>
        <v>Movie</v>
      </c>
    </row>
    <row r="7112">
      <c r="A7112" s="1" t="s">
        <v>34958</v>
      </c>
      <c r="B7112" s="1" t="s">
        <v>27</v>
      </c>
      <c r="C7112" s="1" t="s">
        <v>34959</v>
      </c>
      <c r="D7112" s="1" t="s">
        <v>15151</v>
      </c>
      <c r="E7112" s="1" t="s">
        <v>34960</v>
      </c>
      <c r="F7112" s="1" t="s">
        <v>3217</v>
      </c>
      <c r="G7112" s="1" t="s">
        <v>31733</v>
      </c>
      <c r="H7112" s="1">
        <v>2013.0</v>
      </c>
      <c r="I7112" s="1" t="s">
        <v>78</v>
      </c>
      <c r="J7112" s="1" t="s">
        <v>454</v>
      </c>
      <c r="K7112" s="1" t="s">
        <v>920</v>
      </c>
      <c r="L7112" s="1" t="s">
        <v>34961</v>
      </c>
      <c r="M7112" s="2" t="s">
        <v>12</v>
      </c>
      <c r="N7112" s="4">
        <f t="shared" si="1"/>
        <v>42774</v>
      </c>
      <c r="O7112" s="5" t="str">
        <f>IFERROR(__xludf.DUMMYFUNCTION("IF(REGEXMATCH(TRIM(I7112), ""^\d+\s*min""), ""Unclassified"", IF(I7112 = """", ""NR"", I7112))"),"PG")</f>
        <v>PG</v>
      </c>
      <c r="R7112" s="5" t="str">
        <f t="shared" si="2"/>
        <v>Jack And The Cuckoo-Clock Heart</v>
      </c>
      <c r="S7112" s="5" t="str">
        <f>IFERROR(__xludf.DUMMYFUNCTION("""COMPUTED_VALUE"""),"The Drowning")</f>
        <v>The Drowning</v>
      </c>
      <c r="V7112" s="5"/>
      <c r="Y7112" s="5" t="str">
        <f>IFERROR(__xludf.DUMMYFUNCTION("REGEXEXTRACT(J7112, ""^\d+"")"),"93")</f>
        <v>93</v>
      </c>
      <c r="Z7112" s="5" t="str">
        <f>IFERROR(__xludf.DUMMYFUNCTION("REGEXEXTRACT(J7112, ""[A-Za-z ]+$"")")," min")</f>
        <v> min</v>
      </c>
      <c r="AA7112" s="5" t="str">
        <f>IFERROR(__xludf.DUMMYFUNCTION("IF(REGEXMATCH(Z7112, ""Season""), ""TV Show"", ""Movie"")"),"Movie")</f>
        <v>Movie</v>
      </c>
    </row>
    <row r="7113">
      <c r="A7113" s="1" t="s">
        <v>34962</v>
      </c>
      <c r="B7113" s="1" t="s">
        <v>27</v>
      </c>
      <c r="C7113" s="1" t="s">
        <v>34963</v>
      </c>
      <c r="D7113" s="1" t="s">
        <v>9114</v>
      </c>
      <c r="F7113" s="1" t="s">
        <v>1106</v>
      </c>
      <c r="G7113" s="1" t="s">
        <v>19961</v>
      </c>
      <c r="H7113" s="1">
        <v>2018.0</v>
      </c>
      <c r="I7113" s="1" t="s">
        <v>42</v>
      </c>
      <c r="J7113" s="1" t="s">
        <v>1144</v>
      </c>
      <c r="K7113" s="1" t="s">
        <v>645</v>
      </c>
      <c r="L7113" s="1" t="s">
        <v>34964</v>
      </c>
      <c r="M7113" s="2" t="s">
        <v>12</v>
      </c>
      <c r="N7113" s="4">
        <f t="shared" si="1"/>
        <v>43662</v>
      </c>
      <c r="O7113" s="5" t="str">
        <f>IFERROR(__xludf.DUMMYFUNCTION("IF(REGEXMATCH(TRIM(I7113), ""^\d+\s*min""), ""Unclassified"", IF(I7113 = """", ""NR"", I7113))"),"TV-MA")</f>
        <v>TV-MA</v>
      </c>
      <c r="R7113" s="5" t="str">
        <f t="shared" si="2"/>
        <v>Jack Of All Trades</v>
      </c>
      <c r="S7113" s="5" t="str">
        <f>IFERROR(__xludf.DUMMYFUNCTION("""COMPUTED_VALUE"""),"The Drug King")</f>
        <v>The Drug King</v>
      </c>
      <c r="V7113" s="5"/>
      <c r="Y7113" s="5" t="str">
        <f>IFERROR(__xludf.DUMMYFUNCTION("REGEXEXTRACT(J7113, ""^\d+"")"),"86")</f>
        <v>86</v>
      </c>
      <c r="Z7113" s="5" t="str">
        <f>IFERROR(__xludf.DUMMYFUNCTION("REGEXEXTRACT(J7113, ""[A-Za-z ]+$"")")," min")</f>
        <v> min</v>
      </c>
      <c r="AA7113" s="5" t="str">
        <f>IFERROR(__xludf.DUMMYFUNCTION("IF(REGEXMATCH(Z7113, ""Season""), ""TV Show"", ""Movie"")"),"Movie")</f>
        <v>Movie</v>
      </c>
    </row>
    <row r="7114">
      <c r="A7114" s="1" t="s">
        <v>34965</v>
      </c>
      <c r="B7114" s="1" t="s">
        <v>37</v>
      </c>
      <c r="C7114" s="1" t="s">
        <v>34966</v>
      </c>
      <c r="D7114" s="1" t="s">
        <v>21790</v>
      </c>
      <c r="E7114" s="1" t="s">
        <v>34967</v>
      </c>
      <c r="F7114" s="1" t="s">
        <v>34446</v>
      </c>
      <c r="G7114" s="1" t="s">
        <v>34968</v>
      </c>
      <c r="H7114" s="1">
        <v>2016.0</v>
      </c>
      <c r="I7114" s="1" t="s">
        <v>42</v>
      </c>
      <c r="J7114" s="1" t="s">
        <v>51</v>
      </c>
      <c r="K7114" s="1" t="s">
        <v>1362</v>
      </c>
      <c r="L7114" s="1" t="s">
        <v>34969</v>
      </c>
      <c r="M7114" s="2" t="s">
        <v>12</v>
      </c>
      <c r="N7114" s="4">
        <f t="shared" si="1"/>
        <v>41364</v>
      </c>
      <c r="O7114" s="5" t="str">
        <f>IFERROR(__xludf.DUMMYFUNCTION("IF(REGEXMATCH(TRIM(I7114), ""^\d+\s*min""), ""Unclassified"", IF(I7114 = """", ""NR"", I7114))"),"TV-MA")</f>
        <v>TV-MA</v>
      </c>
      <c r="R7114" s="5" t="str">
        <f t="shared" si="2"/>
        <v>Jack Taylor</v>
      </c>
      <c r="S7114" s="5" t="str">
        <f>IFERROR(__xludf.DUMMYFUNCTION("""COMPUTED_VALUE"""),"The Drunk And On Drugs Happy Funtime Hour")</f>
        <v>The Drunk And On Drugs Happy Funtime Hour</v>
      </c>
      <c r="V7114" s="5"/>
      <c r="Y7114" s="5" t="str">
        <f>IFERROR(__xludf.DUMMYFUNCTION("REGEXEXTRACT(J7114, ""^\d+"")"),"1")</f>
        <v>1</v>
      </c>
      <c r="Z7114" s="5" t="str">
        <f>IFERROR(__xludf.DUMMYFUNCTION("REGEXEXTRACT(J7114, ""[A-Za-z ]+$"")")," Season")</f>
        <v> Season</v>
      </c>
      <c r="AA7114" s="5" t="str">
        <f>IFERROR(__xludf.DUMMYFUNCTION("IF(REGEXMATCH(Z7114, ""Season""), ""TV Show"", ""Movie"")"),"TV Show")</f>
        <v>TV Show</v>
      </c>
    </row>
    <row r="7115">
      <c r="A7115" s="1" t="s">
        <v>34970</v>
      </c>
      <c r="B7115" s="1" t="s">
        <v>27</v>
      </c>
      <c r="C7115" s="1" t="s">
        <v>34971</v>
      </c>
      <c r="D7115" s="1" t="s">
        <v>2537</v>
      </c>
      <c r="E7115" s="1" t="s">
        <v>34972</v>
      </c>
      <c r="F7115" s="1" t="s">
        <v>30</v>
      </c>
      <c r="G7115" s="1" t="s">
        <v>19813</v>
      </c>
      <c r="H7115" s="1">
        <v>1997.0</v>
      </c>
      <c r="I7115" s="1" t="s">
        <v>378</v>
      </c>
      <c r="J7115" s="1" t="s">
        <v>965</v>
      </c>
      <c r="K7115" s="1" t="s">
        <v>394</v>
      </c>
      <c r="L7115" s="1" t="s">
        <v>34973</v>
      </c>
      <c r="M7115" s="2" t="s">
        <v>12</v>
      </c>
      <c r="N7115" s="4">
        <f t="shared" si="1"/>
        <v>43678</v>
      </c>
      <c r="O7115" s="5" t="str">
        <f>IFERROR(__xludf.DUMMYFUNCTION("IF(REGEXMATCH(TRIM(I7115), ""^\d+\s*min""), ""Unclassified"", IF(I7115 = """", ""NR"", I7115))"),"R")</f>
        <v>R</v>
      </c>
      <c r="R7115" s="5" t="str">
        <f t="shared" si="2"/>
        <v>Jackie Brown</v>
      </c>
      <c r="S7115" s="5" t="str">
        <f>IFERROR(__xludf.DUMMYFUNCTION("""COMPUTED_VALUE"""),"The Duchess")</f>
        <v>The Duchess</v>
      </c>
      <c r="V7115" s="5"/>
      <c r="Y7115" s="5" t="str">
        <f>IFERROR(__xludf.DUMMYFUNCTION("REGEXEXTRACT(J7115, ""^\d+"")"),"154")</f>
        <v>154</v>
      </c>
      <c r="Z7115" s="5" t="str">
        <f>IFERROR(__xludf.DUMMYFUNCTION("REGEXEXTRACT(J7115, ""[A-Za-z ]+$"")")," min")</f>
        <v> min</v>
      </c>
      <c r="AA7115" s="5" t="str">
        <f>IFERROR(__xludf.DUMMYFUNCTION("IF(REGEXMATCH(Z7115, ""Season""), ""TV Show"", ""Movie"")"),"Movie")</f>
        <v>Movie</v>
      </c>
    </row>
    <row r="7116">
      <c r="A7116" s="1" t="s">
        <v>34974</v>
      </c>
      <c r="B7116" s="1" t="s">
        <v>27</v>
      </c>
      <c r="C7116" s="1" t="s">
        <v>34975</v>
      </c>
      <c r="D7116" s="1" t="s">
        <v>6741</v>
      </c>
      <c r="E7116" s="1" t="s">
        <v>34976</v>
      </c>
      <c r="F7116" s="1" t="s">
        <v>3543</v>
      </c>
      <c r="G7116" s="1" t="s">
        <v>24078</v>
      </c>
      <c r="H7116" s="1">
        <v>2015.0</v>
      </c>
      <c r="I7116" s="1" t="s">
        <v>97</v>
      </c>
      <c r="J7116" s="1" t="s">
        <v>665</v>
      </c>
      <c r="K7116" s="1" t="s">
        <v>583</v>
      </c>
      <c r="L7116" s="1" t="s">
        <v>34977</v>
      </c>
      <c r="M7116" s="2" t="s">
        <v>12</v>
      </c>
      <c r="N7116" s="4">
        <f t="shared" si="1"/>
        <v>43379</v>
      </c>
      <c r="O7116" s="5" t="str">
        <f>IFERROR(__xludf.DUMMYFUNCTION("IF(REGEXMATCH(TRIM(I7116), ""^\d+\s*min""), ""Unclassified"", IF(I7116 = """", ""NR"", I7116))"),"TV-14")</f>
        <v>TV-14</v>
      </c>
      <c r="R7116" s="5" t="str">
        <f t="shared" si="2"/>
        <v>Jackpot</v>
      </c>
      <c r="S7116" s="5" t="str">
        <f>IFERROR(__xludf.DUMMYFUNCTION("""COMPUTED_VALUE"""),"The Duel")</f>
        <v>The Duel</v>
      </c>
      <c r="V7116" s="5"/>
      <c r="Y7116" s="5" t="str">
        <f>IFERROR(__xludf.DUMMYFUNCTION("REGEXEXTRACT(J7116, ""^\d+"")"),"92")</f>
        <v>92</v>
      </c>
      <c r="Z7116" s="5" t="str">
        <f>IFERROR(__xludf.DUMMYFUNCTION("REGEXEXTRACT(J7116, ""[A-Za-z ]+$"")")," min")</f>
        <v> min</v>
      </c>
      <c r="AA7116" s="5" t="str">
        <f>IFERROR(__xludf.DUMMYFUNCTION("IF(REGEXMATCH(Z7116, ""Season""), ""TV Show"", ""Movie"")"),"Movie")</f>
        <v>Movie</v>
      </c>
    </row>
    <row r="7117">
      <c r="A7117" s="1" t="s">
        <v>34978</v>
      </c>
      <c r="B7117" s="1" t="s">
        <v>27</v>
      </c>
      <c r="C7117" s="1" t="s">
        <v>34979</v>
      </c>
      <c r="D7117" s="1" t="s">
        <v>14228</v>
      </c>
      <c r="E7117" s="1" t="s">
        <v>34980</v>
      </c>
      <c r="F7117" s="1" t="s">
        <v>63</v>
      </c>
      <c r="G7117" s="1" t="s">
        <v>17078</v>
      </c>
      <c r="H7117" s="1">
        <v>2009.0</v>
      </c>
      <c r="I7117" s="1" t="s">
        <v>97</v>
      </c>
      <c r="J7117" s="1" t="s">
        <v>2505</v>
      </c>
      <c r="K7117" s="1" t="s">
        <v>128</v>
      </c>
      <c r="L7117" s="1" t="s">
        <v>34981</v>
      </c>
      <c r="M7117" s="2" t="s">
        <v>12</v>
      </c>
      <c r="N7117" s="4">
        <f t="shared" si="1"/>
        <v>43830</v>
      </c>
      <c r="O7117" s="5" t="str">
        <f>IFERROR(__xludf.DUMMYFUNCTION("IF(REGEXMATCH(TRIM(I7117), ""^\d+\s*min""), ""Unclassified"", IF(I7117 = """", ""NR"", I7117))"),"TV-14")</f>
        <v>TV-14</v>
      </c>
      <c r="R7117" s="5" t="str">
        <f t="shared" si="2"/>
        <v>Jail</v>
      </c>
      <c r="S7117" s="5" t="str">
        <f>IFERROR(__xludf.DUMMYFUNCTION("""COMPUTED_VALUE"""),"The Dukes Of Hazzard")</f>
        <v>The Dukes Of Hazzard</v>
      </c>
      <c r="V7117" s="5"/>
      <c r="Y7117" s="5" t="str">
        <f>IFERROR(__xludf.DUMMYFUNCTION("REGEXEXTRACT(J7117, ""^\d+"")"),"132")</f>
        <v>132</v>
      </c>
      <c r="Z7117" s="5" t="str">
        <f>IFERROR(__xludf.DUMMYFUNCTION("REGEXEXTRACT(J7117, ""[A-Za-z ]+$"")")," min")</f>
        <v> min</v>
      </c>
      <c r="AA7117" s="5" t="str">
        <f>IFERROR(__xludf.DUMMYFUNCTION("IF(REGEXMATCH(Z7117, ""Season""), ""TV Show"", ""Movie"")"),"Movie")</f>
        <v>Movie</v>
      </c>
    </row>
    <row r="7118">
      <c r="A7118" s="1" t="s">
        <v>34982</v>
      </c>
      <c r="B7118" s="1" t="s">
        <v>27</v>
      </c>
      <c r="C7118" s="1" t="s">
        <v>34983</v>
      </c>
      <c r="E7118" s="1" t="s">
        <v>34984</v>
      </c>
      <c r="G7118" s="1" t="s">
        <v>27536</v>
      </c>
      <c r="H7118" s="1">
        <v>2014.0</v>
      </c>
      <c r="I7118" s="1" t="s">
        <v>206</v>
      </c>
      <c r="J7118" s="1" t="s">
        <v>7407</v>
      </c>
      <c r="K7118" s="1" t="s">
        <v>2032</v>
      </c>
      <c r="L7118" s="1" t="s">
        <v>34985</v>
      </c>
      <c r="M7118" s="2" t="s">
        <v>12</v>
      </c>
      <c r="N7118" s="4">
        <f t="shared" si="1"/>
        <v>42953</v>
      </c>
      <c r="O7118" s="5" t="str">
        <f>IFERROR(__xludf.DUMMYFUNCTION("IF(REGEXMATCH(TRIM(I7118), ""^\d+\s*min""), ""Unclassified"", IF(I7118 = """", ""NR"", I7118))"),"TV-Y")</f>
        <v>TV-Y</v>
      </c>
      <c r="R7118" s="5" t="str">
        <f t="shared" si="2"/>
        <v>Jake'S Buccaneer Blast</v>
      </c>
      <c r="S7118" s="5" t="str">
        <f>IFERROR(__xludf.DUMMYFUNCTION("""COMPUTED_VALUE"""),"The Dukes Of Hazzard: The Beginning")</f>
        <v>The Dukes Of Hazzard: The Beginning</v>
      </c>
      <c r="V7118" s="5"/>
      <c r="Y7118" s="5" t="str">
        <f>IFERROR(__xludf.DUMMYFUNCTION("REGEXEXTRACT(J7118, ""^\d+"")"),"22")</f>
        <v>22</v>
      </c>
      <c r="Z7118" s="5" t="str">
        <f>IFERROR(__xludf.DUMMYFUNCTION("REGEXEXTRACT(J7118, ""[A-Za-z ]+$"")")," min")</f>
        <v> min</v>
      </c>
      <c r="AA7118" s="5" t="str">
        <f>IFERROR(__xludf.DUMMYFUNCTION("IF(REGEXMATCH(Z7118, ""Season""), ""TV Show"", ""Movie"")"),"Movie")</f>
        <v>Movie</v>
      </c>
    </row>
    <row r="7119">
      <c r="A7119" s="1" t="s">
        <v>34986</v>
      </c>
      <c r="B7119" s="1" t="s">
        <v>27</v>
      </c>
      <c r="C7119" s="1" t="s">
        <v>34987</v>
      </c>
      <c r="D7119" s="1" t="s">
        <v>8501</v>
      </c>
      <c r="E7119" s="1" t="s">
        <v>34988</v>
      </c>
      <c r="F7119" s="1" t="s">
        <v>63</v>
      </c>
      <c r="G7119" s="1" t="s">
        <v>27021</v>
      </c>
      <c r="H7119" s="1">
        <v>2013.0</v>
      </c>
      <c r="I7119" s="1" t="s">
        <v>97</v>
      </c>
      <c r="J7119" s="1" t="s">
        <v>2505</v>
      </c>
      <c r="K7119" s="1" t="s">
        <v>89</v>
      </c>
      <c r="L7119" s="1" t="s">
        <v>34989</v>
      </c>
      <c r="M7119" s="2" t="s">
        <v>12</v>
      </c>
      <c r="N7119" s="4">
        <f t="shared" si="1"/>
        <v>43023</v>
      </c>
      <c r="O7119" s="5" t="str">
        <f>IFERROR(__xludf.DUMMYFUNCTION("IF(REGEXMATCH(TRIM(I7119), ""^\d+\s*min""), ""Unclassified"", IF(I7119 = """", ""NR"", I7119))"),"TV-14")</f>
        <v>TV-14</v>
      </c>
      <c r="R7119" s="5" t="str">
        <f t="shared" si="2"/>
        <v>Jal</v>
      </c>
      <c r="S7119" s="5" t="str">
        <f>IFERROR(__xludf.DUMMYFUNCTION("""COMPUTED_VALUE"""),"The Eagle Of El-Se'Eed")</f>
        <v>The Eagle Of El-Se'Eed</v>
      </c>
      <c r="V7119" s="5"/>
      <c r="Y7119" s="5" t="str">
        <f>IFERROR(__xludf.DUMMYFUNCTION("REGEXEXTRACT(J7119, ""^\d+"")"),"132")</f>
        <v>132</v>
      </c>
      <c r="Z7119" s="5" t="str">
        <f>IFERROR(__xludf.DUMMYFUNCTION("REGEXEXTRACT(J7119, ""[A-Za-z ]+$"")")," min")</f>
        <v> min</v>
      </c>
      <c r="AA7119" s="5" t="str">
        <f>IFERROR(__xludf.DUMMYFUNCTION("IF(REGEXMATCH(Z7119, ""Season""), ""TV Show"", ""Movie"")"),"Movie")</f>
        <v>Movie</v>
      </c>
    </row>
    <row r="7120">
      <c r="A7120" s="1" t="s">
        <v>34990</v>
      </c>
      <c r="B7120" s="1" t="s">
        <v>27</v>
      </c>
      <c r="C7120" s="1" t="s">
        <v>34991</v>
      </c>
      <c r="D7120" s="1" t="s">
        <v>16928</v>
      </c>
      <c r="E7120" s="1" t="s">
        <v>34992</v>
      </c>
      <c r="F7120" s="1" t="s">
        <v>63</v>
      </c>
      <c r="G7120" s="7">
        <v>43239.0</v>
      </c>
      <c r="H7120" s="1">
        <v>2012.0</v>
      </c>
      <c r="I7120" s="1" t="s">
        <v>97</v>
      </c>
      <c r="J7120" s="1" t="s">
        <v>170</v>
      </c>
      <c r="K7120" s="1" t="s">
        <v>89</v>
      </c>
      <c r="L7120" s="1" t="s">
        <v>34993</v>
      </c>
      <c r="M7120" s="2" t="s">
        <v>12</v>
      </c>
      <c r="N7120" s="4">
        <f t="shared" si="1"/>
        <v>43239</v>
      </c>
      <c r="O7120" s="5" t="str">
        <f>IFERROR(__xludf.DUMMYFUNCTION("IF(REGEXMATCH(TRIM(I7120), ""^\d+\s*min""), ""Unclassified"", IF(I7120 = """", ""NR"", I7120))"),"TV-14")</f>
        <v>TV-14</v>
      </c>
      <c r="R7120" s="5" t="str">
        <f t="shared" si="2"/>
        <v>Jalpari: The Desert Mermaid</v>
      </c>
      <c r="S7120" s="5" t="str">
        <f>IFERROR(__xludf.DUMMYFUNCTION("""COMPUTED_VALUE"""),"The Eddy")</f>
        <v>The Eddy</v>
      </c>
      <c r="V7120" s="5"/>
      <c r="Y7120" s="5" t="str">
        <f>IFERROR(__xludf.DUMMYFUNCTION("REGEXEXTRACT(J7120, ""^\d+"")"),"94")</f>
        <v>94</v>
      </c>
      <c r="Z7120" s="5" t="str">
        <f>IFERROR(__xludf.DUMMYFUNCTION("REGEXEXTRACT(J7120, ""[A-Za-z ]+$"")")," min")</f>
        <v> min</v>
      </c>
      <c r="AA7120" s="5" t="str">
        <f>IFERROR(__xludf.DUMMYFUNCTION("IF(REGEXMATCH(Z7120, ""Season""), ""TV Show"", ""Movie"")"),"Movie")</f>
        <v>Movie</v>
      </c>
    </row>
    <row r="7121">
      <c r="A7121" s="1" t="s">
        <v>34994</v>
      </c>
      <c r="B7121" s="1" t="s">
        <v>27</v>
      </c>
      <c r="C7121" s="1" t="s">
        <v>34995</v>
      </c>
      <c r="D7121" s="1" t="s">
        <v>2868</v>
      </c>
      <c r="E7121" s="1" t="s">
        <v>34996</v>
      </c>
      <c r="F7121" s="1" t="s">
        <v>19350</v>
      </c>
      <c r="G7121" s="1" t="s">
        <v>27248</v>
      </c>
      <c r="H7121" s="1">
        <v>2016.0</v>
      </c>
      <c r="I7121" s="1" t="s">
        <v>97</v>
      </c>
      <c r="J7121" s="1" t="s">
        <v>2505</v>
      </c>
      <c r="K7121" s="1" t="s">
        <v>583</v>
      </c>
      <c r="L7121" s="1" t="s">
        <v>34997</v>
      </c>
      <c r="M7121" s="2" t="s">
        <v>12</v>
      </c>
      <c r="N7121" s="4">
        <f t="shared" si="1"/>
        <v>42993</v>
      </c>
      <c r="O7121" s="5" t="str">
        <f>IFERROR(__xludf.DUMMYFUNCTION("IF(REGEXMATCH(TRIM(I7121), ""^\d+\s*min""), ""Unclassified"", IF(I7121 = """", ""NR"", I7121))"),"TV-14")</f>
        <v>TV-14</v>
      </c>
      <c r="R7121" s="5" t="str">
        <f t="shared" si="2"/>
        <v>Janaan</v>
      </c>
      <c r="S7121" s="5" t="str">
        <f>IFERROR(__xludf.DUMMYFUNCTION("""COMPUTED_VALUE"""),"The Edge Of Democracy")</f>
        <v>The Edge Of Democracy</v>
      </c>
      <c r="V7121" s="5"/>
      <c r="Y7121" s="5" t="str">
        <f>IFERROR(__xludf.DUMMYFUNCTION("REGEXEXTRACT(J7121, ""^\d+"")"),"132")</f>
        <v>132</v>
      </c>
      <c r="Z7121" s="5" t="str">
        <f>IFERROR(__xludf.DUMMYFUNCTION("REGEXEXTRACT(J7121, ""[A-Za-z ]+$"")")," min")</f>
        <v> min</v>
      </c>
      <c r="AA7121" s="5" t="str">
        <f>IFERROR(__xludf.DUMMYFUNCTION("IF(REGEXMATCH(Z7121, ""Season""), ""TV Show"", ""Movie"")"),"Movie")</f>
        <v>Movie</v>
      </c>
    </row>
    <row r="7122">
      <c r="A7122" s="1" t="s">
        <v>34998</v>
      </c>
      <c r="B7122" s="1" t="s">
        <v>37</v>
      </c>
      <c r="C7122" s="1" t="s">
        <v>34999</v>
      </c>
      <c r="E7122" s="1" t="s">
        <v>35000</v>
      </c>
      <c r="F7122" s="1" t="s">
        <v>415</v>
      </c>
      <c r="G7122" s="7">
        <v>42856.0</v>
      </c>
      <c r="H7122" s="1">
        <v>2008.0</v>
      </c>
      <c r="I7122" s="1" t="s">
        <v>506</v>
      </c>
      <c r="J7122" s="1" t="s">
        <v>51</v>
      </c>
      <c r="K7122" s="1" t="s">
        <v>6164</v>
      </c>
      <c r="L7122" s="1" t="s">
        <v>35001</v>
      </c>
      <c r="M7122" s="2" t="s">
        <v>12</v>
      </c>
      <c r="N7122" s="4">
        <f t="shared" si="1"/>
        <v>42856</v>
      </c>
      <c r="O7122" s="5" t="str">
        <f>IFERROR(__xludf.DUMMYFUNCTION("IF(REGEXMATCH(TRIM(I7122), ""^\d+\s*min""), ""Unclassified"", IF(I7122 = """", ""NR"", I7122))"),"TV-G")</f>
        <v>TV-G</v>
      </c>
      <c r="R7122" s="5" t="str">
        <f t="shared" si="2"/>
        <v>Japanese Style Originator</v>
      </c>
      <c r="S7122" s="5" t="str">
        <f>IFERROR(__xludf.DUMMYFUNCTION("""COMPUTED_VALUE"""),"The Edge Of Seventeen")</f>
        <v>The Edge Of Seventeen</v>
      </c>
      <c r="V7122" s="5"/>
      <c r="Y7122" s="5" t="str">
        <f>IFERROR(__xludf.DUMMYFUNCTION("REGEXEXTRACT(J7122, ""^\d+"")"),"1")</f>
        <v>1</v>
      </c>
      <c r="Z7122" s="5" t="str">
        <f>IFERROR(__xludf.DUMMYFUNCTION("REGEXEXTRACT(J7122, ""[A-Za-z ]+$"")")," Season")</f>
        <v> Season</v>
      </c>
      <c r="AA7122" s="5" t="str">
        <f>IFERROR(__xludf.DUMMYFUNCTION("IF(REGEXMATCH(Z7122, ""Season""), ""TV Show"", ""Movie"")"),"TV Show")</f>
        <v>TV Show</v>
      </c>
    </row>
    <row r="7123">
      <c r="A7123" s="1" t="s">
        <v>35002</v>
      </c>
      <c r="B7123" s="1" t="s">
        <v>27</v>
      </c>
      <c r="C7123" s="1" t="s">
        <v>35003</v>
      </c>
      <c r="D7123" s="1" t="s">
        <v>5737</v>
      </c>
      <c r="E7123" s="1" t="s">
        <v>35004</v>
      </c>
      <c r="F7123" s="1" t="s">
        <v>30</v>
      </c>
      <c r="G7123" s="1" t="s">
        <v>22635</v>
      </c>
      <c r="H7123" s="1">
        <v>2001.0</v>
      </c>
      <c r="I7123" s="1" t="s">
        <v>378</v>
      </c>
      <c r="J7123" s="1" t="s">
        <v>305</v>
      </c>
      <c r="K7123" s="1" t="s">
        <v>1020</v>
      </c>
      <c r="L7123" s="1" t="s">
        <v>35005</v>
      </c>
      <c r="M7123" s="2" t="s">
        <v>12</v>
      </c>
      <c r="N7123" s="4">
        <f t="shared" si="1"/>
        <v>43466</v>
      </c>
      <c r="O7123" s="5" t="str">
        <f>IFERROR(__xludf.DUMMYFUNCTION("IF(REGEXMATCH(TRIM(I7123), ""^\d+\s*min""), ""Unclassified"", IF(I7123 = """", ""NR"", I7123))"),"R")</f>
        <v>R</v>
      </c>
      <c r="R7123" s="5" t="str">
        <f t="shared" si="2"/>
        <v>Jay And Silent Bob Strike Back</v>
      </c>
      <c r="S7123" s="5" t="str">
        <f>IFERROR(__xludf.DUMMYFUNCTION("""COMPUTED_VALUE"""),"The Eichmann Show")</f>
        <v>The Eichmann Show</v>
      </c>
      <c r="V7123" s="5"/>
      <c r="Y7123" s="5" t="str">
        <f>IFERROR(__xludf.DUMMYFUNCTION("REGEXEXTRACT(J7123, ""^\d+"")"),"105")</f>
        <v>105</v>
      </c>
      <c r="Z7123" s="5" t="str">
        <f>IFERROR(__xludf.DUMMYFUNCTION("REGEXEXTRACT(J7123, ""[A-Za-z ]+$"")")," min")</f>
        <v> min</v>
      </c>
      <c r="AA7123" s="5" t="str">
        <f>IFERROR(__xludf.DUMMYFUNCTION("IF(REGEXMATCH(Z7123, ""Season""), ""TV Show"", ""Movie"")"),"Movie")</f>
        <v>Movie</v>
      </c>
    </row>
    <row r="7124">
      <c r="A7124" s="1" t="s">
        <v>35006</v>
      </c>
      <c r="B7124" s="1" t="s">
        <v>27</v>
      </c>
      <c r="C7124" s="1" t="s">
        <v>35007</v>
      </c>
      <c r="D7124" s="1" t="s">
        <v>10187</v>
      </c>
      <c r="E7124" s="1" t="s">
        <v>35008</v>
      </c>
      <c r="F7124" s="1" t="s">
        <v>2446</v>
      </c>
      <c r="G7124" s="1" t="s">
        <v>18985</v>
      </c>
      <c r="H7124" s="1">
        <v>1973.0</v>
      </c>
      <c r="I7124" s="1" t="s">
        <v>42</v>
      </c>
      <c r="J7124" s="1" t="s">
        <v>247</v>
      </c>
      <c r="K7124" s="1" t="s">
        <v>679</v>
      </c>
      <c r="L7124" s="1" t="s">
        <v>35009</v>
      </c>
      <c r="M7124" s="2" t="s">
        <v>12</v>
      </c>
      <c r="N7124" s="4">
        <f t="shared" si="1"/>
        <v>43739</v>
      </c>
      <c r="O7124" s="5" t="str">
        <f>IFERROR(__xludf.DUMMYFUNCTION("IF(REGEXMATCH(TRIM(I7124), ""^\d+\s*min""), ""Unclassified"", IF(I7124 = """", ""NR"", I7124))"),"TV-MA")</f>
        <v>TV-MA</v>
      </c>
      <c r="R7124" s="5" t="str">
        <f t="shared" si="2"/>
        <v>Jealousy And Medicine</v>
      </c>
      <c r="S7124" s="5" t="str">
        <f>IFERROR(__xludf.DUMMYFUNCTION("""COMPUTED_VALUE"""),"The Eighties")</f>
        <v>The Eighties</v>
      </c>
      <c r="V7124" s="5"/>
      <c r="Y7124" s="5" t="str">
        <f>IFERROR(__xludf.DUMMYFUNCTION("REGEXEXTRACT(J7124, ""^\d+"")"),"97")</f>
        <v>97</v>
      </c>
      <c r="Z7124" s="5" t="str">
        <f>IFERROR(__xludf.DUMMYFUNCTION("REGEXEXTRACT(J7124, ""[A-Za-z ]+$"")")," min")</f>
        <v> min</v>
      </c>
      <c r="AA7124" s="5" t="str">
        <f>IFERROR(__xludf.DUMMYFUNCTION("IF(REGEXMATCH(Z7124, ""Season""), ""TV Show"", ""Movie"")"),"Movie")</f>
        <v>Movie</v>
      </c>
    </row>
    <row r="7125">
      <c r="A7125" s="1" t="s">
        <v>35010</v>
      </c>
      <c r="B7125" s="1" t="s">
        <v>37</v>
      </c>
      <c r="C7125" s="1" t="s">
        <v>35011</v>
      </c>
      <c r="E7125" s="1" t="s">
        <v>35012</v>
      </c>
      <c r="F7125" s="1" t="s">
        <v>30</v>
      </c>
      <c r="G7125" s="1" t="s">
        <v>8893</v>
      </c>
      <c r="H7125" s="1">
        <v>2019.0</v>
      </c>
      <c r="I7125" s="1" t="s">
        <v>506</v>
      </c>
      <c r="J7125" s="1" t="s">
        <v>43</v>
      </c>
      <c r="K7125" s="1" t="s">
        <v>440</v>
      </c>
      <c r="L7125" s="1" t="s">
        <v>35013</v>
      </c>
      <c r="M7125" s="2" t="s">
        <v>12</v>
      </c>
      <c r="N7125" s="4">
        <f t="shared" si="1"/>
        <v>44183</v>
      </c>
      <c r="O7125" s="5" t="str">
        <f>IFERROR(__xludf.DUMMYFUNCTION("IF(REGEXMATCH(TRIM(I7125), ""^\d+\s*min""), ""Unclassified"", IF(I7125 = """", ""NR"", I7125))"),"TV-G")</f>
        <v>TV-G</v>
      </c>
      <c r="R7125" s="5" t="str">
        <f t="shared" si="2"/>
        <v>Jeopardy!</v>
      </c>
      <c r="S7125" s="5" t="str">
        <f>IFERROR(__xludf.DUMMYFUNCTION("""COMPUTED_VALUE"""),"The Emigrant")</f>
        <v>The Emigrant</v>
      </c>
      <c r="V7125" s="5"/>
      <c r="Y7125" s="5" t="str">
        <f>IFERROR(__xludf.DUMMYFUNCTION("REGEXEXTRACT(J7125, ""^\d+"")"),"2")</f>
        <v>2</v>
      </c>
      <c r="Z7125" s="5" t="str">
        <f>IFERROR(__xludf.DUMMYFUNCTION("REGEXEXTRACT(J7125, ""[A-Za-z ]+$"")")," Seasons")</f>
        <v> Seasons</v>
      </c>
      <c r="AA7125" s="5" t="str">
        <f>IFERROR(__xludf.DUMMYFUNCTION("IF(REGEXMATCH(Z7125, ""Season""), ""TV Show"", ""Movie"")"),"TV Show")</f>
        <v>TV Show</v>
      </c>
    </row>
    <row r="7126">
      <c r="A7126" s="1" t="s">
        <v>35014</v>
      </c>
      <c r="B7126" s="1" t="s">
        <v>27</v>
      </c>
      <c r="C7126" s="1" t="s">
        <v>35015</v>
      </c>
      <c r="D7126" s="1" t="s">
        <v>19637</v>
      </c>
      <c r="E7126" s="1" t="s">
        <v>35016</v>
      </c>
      <c r="F7126" s="1" t="s">
        <v>30</v>
      </c>
      <c r="G7126" s="1" t="s">
        <v>29713</v>
      </c>
      <c r="H7126" s="1">
        <v>2015.0</v>
      </c>
      <c r="I7126" s="1" t="s">
        <v>32</v>
      </c>
      <c r="J7126" s="1" t="s">
        <v>1065</v>
      </c>
      <c r="K7126" s="1" t="s">
        <v>34</v>
      </c>
      <c r="L7126" s="1" t="s">
        <v>35017</v>
      </c>
      <c r="M7126" s="2" t="s">
        <v>12</v>
      </c>
      <c r="N7126" s="4">
        <f t="shared" si="1"/>
        <v>42461</v>
      </c>
      <c r="O7126" s="5" t="str">
        <f>IFERROR(__xludf.DUMMYFUNCTION("IF(REGEXMATCH(TRIM(I7126), ""^\d+\s*min""), ""Unclassified"", IF(I7126 = """", ""NR"", I7126))"),"PG-13")</f>
        <v>PG-13</v>
      </c>
      <c r="R7126" s="5" t="str">
        <f t="shared" si="2"/>
        <v>Jeremy Scott: The People'S Designer</v>
      </c>
      <c r="S7126" s="5" t="str">
        <f>IFERROR(__xludf.DUMMYFUNCTION("""COMPUTED_VALUE"""),"The End")</f>
        <v>The End</v>
      </c>
      <c r="V7126" s="5"/>
      <c r="Y7126" s="5" t="str">
        <f>IFERROR(__xludf.DUMMYFUNCTION("REGEXEXTRACT(J7126, ""^\d+"")"),"109")</f>
        <v>109</v>
      </c>
      <c r="Z7126" s="5" t="str">
        <f>IFERROR(__xludf.DUMMYFUNCTION("REGEXEXTRACT(J7126, ""[A-Za-z ]+$"")")," min")</f>
        <v> min</v>
      </c>
      <c r="AA7126" s="5" t="str">
        <f>IFERROR(__xludf.DUMMYFUNCTION("IF(REGEXMATCH(Z7126, ""Season""), ""TV Show"", ""Movie"")"),"Movie")</f>
        <v>Movie</v>
      </c>
    </row>
    <row r="7127">
      <c r="A7127" s="1" t="s">
        <v>35018</v>
      </c>
      <c r="B7127" s="1" t="s">
        <v>37</v>
      </c>
      <c r="C7127" s="1" t="s">
        <v>35019</v>
      </c>
      <c r="E7127" s="1" t="s">
        <v>35020</v>
      </c>
      <c r="F7127" s="1" t="s">
        <v>30</v>
      </c>
      <c r="G7127" s="1" t="s">
        <v>35021</v>
      </c>
      <c r="H7127" s="1">
        <v>2008.0</v>
      </c>
      <c r="I7127" s="1" t="s">
        <v>97</v>
      </c>
      <c r="J7127" s="1" t="s">
        <v>43</v>
      </c>
      <c r="K7127" s="1" t="s">
        <v>2527</v>
      </c>
      <c r="L7127" s="1" t="s">
        <v>35022</v>
      </c>
      <c r="M7127" s="2" t="s">
        <v>12</v>
      </c>
      <c r="N7127" s="4">
        <f t="shared" si="1"/>
        <v>42963</v>
      </c>
      <c r="O7127" s="5" t="str">
        <f>IFERROR(__xludf.DUMMYFUNCTION("IF(REGEXMATCH(TRIM(I7127), ""^\d+\s*min""), ""Unclassified"", IF(I7127 = """", ""NR"", I7127))"),"TV-14")</f>
        <v>TV-14</v>
      </c>
      <c r="R7127" s="5" t="str">
        <f t="shared" si="2"/>
        <v>Jericho</v>
      </c>
      <c r="S7127" s="5" t="str">
        <f>IFERROR(__xludf.DUMMYFUNCTION("""COMPUTED_VALUE"""),"The End Of Evangelion")</f>
        <v>The End Of Evangelion</v>
      </c>
      <c r="V7127" s="5"/>
      <c r="Y7127" s="5" t="str">
        <f>IFERROR(__xludf.DUMMYFUNCTION("REGEXEXTRACT(J7127, ""^\d+"")"),"2")</f>
        <v>2</v>
      </c>
      <c r="Z7127" s="5" t="str">
        <f>IFERROR(__xludf.DUMMYFUNCTION("REGEXEXTRACT(J7127, ""[A-Za-z ]+$"")")," Seasons")</f>
        <v> Seasons</v>
      </c>
      <c r="AA7127" s="5" t="str">
        <f>IFERROR(__xludf.DUMMYFUNCTION("IF(REGEXMATCH(Z7127, ""Season""), ""TV Show"", ""Movie"")"),"TV Show")</f>
        <v>TV Show</v>
      </c>
    </row>
    <row r="7128">
      <c r="A7128" s="1" t="s">
        <v>35023</v>
      </c>
      <c r="B7128" s="1" t="s">
        <v>27</v>
      </c>
      <c r="C7128" s="1" t="s">
        <v>35024</v>
      </c>
      <c r="D7128" s="1" t="s">
        <v>2279</v>
      </c>
      <c r="E7128" s="1" t="s">
        <v>35025</v>
      </c>
      <c r="F7128" s="1" t="s">
        <v>30</v>
      </c>
      <c r="G7128" s="1" t="s">
        <v>22635</v>
      </c>
      <c r="H7128" s="1">
        <v>2014.0</v>
      </c>
      <c r="I7128" s="1" t="s">
        <v>378</v>
      </c>
      <c r="J7128" s="1" t="s">
        <v>7413</v>
      </c>
      <c r="K7128" s="1" t="s">
        <v>7087</v>
      </c>
      <c r="L7128" s="1" t="s">
        <v>35026</v>
      </c>
      <c r="M7128" s="2" t="s">
        <v>12</v>
      </c>
      <c r="N7128" s="4">
        <f t="shared" si="1"/>
        <v>43466</v>
      </c>
      <c r="O7128" s="5" t="str">
        <f>IFERROR(__xludf.DUMMYFUNCTION("IF(REGEXMATCH(TRIM(I7128), ""^\d+\s*min""), ""Unclassified"", IF(I7128 = """", ""NR"", I7128))"),"R")</f>
        <v>R</v>
      </c>
      <c r="R7128" s="5" t="str">
        <f t="shared" si="2"/>
        <v>Jersey Boys</v>
      </c>
      <c r="S7128" s="5" t="str">
        <f>IFERROR(__xludf.DUMMYFUNCTION("""COMPUTED_VALUE"""),"The End Of The F***Ing World")</f>
        <v>The End Of The F***Ing World</v>
      </c>
      <c r="V7128" s="5"/>
      <c r="Y7128" s="5" t="str">
        <f>IFERROR(__xludf.DUMMYFUNCTION("REGEXEXTRACT(J7128, ""^\d+"")"),"134")</f>
        <v>134</v>
      </c>
      <c r="Z7128" s="5" t="str">
        <f>IFERROR(__xludf.DUMMYFUNCTION("REGEXEXTRACT(J7128, ""[A-Za-z ]+$"")")," min")</f>
        <v> min</v>
      </c>
      <c r="AA7128" s="5" t="str">
        <f>IFERROR(__xludf.DUMMYFUNCTION("IF(REGEXMATCH(Z7128, ""Season""), ""TV Show"", ""Movie"")"),"Movie")</f>
        <v>Movie</v>
      </c>
    </row>
    <row r="7129">
      <c r="A7129" s="1" t="s">
        <v>35027</v>
      </c>
      <c r="B7129" s="1" t="s">
        <v>27</v>
      </c>
      <c r="C7129" s="1" t="s">
        <v>35028</v>
      </c>
      <c r="D7129" s="1" t="s">
        <v>8418</v>
      </c>
      <c r="E7129" s="1" t="s">
        <v>35029</v>
      </c>
      <c r="F7129" s="1" t="s">
        <v>35030</v>
      </c>
      <c r="G7129" s="1" t="s">
        <v>21360</v>
      </c>
      <c r="H7129" s="1">
        <v>2018.0</v>
      </c>
      <c r="I7129" s="1" t="s">
        <v>97</v>
      </c>
      <c r="J7129" s="1" t="s">
        <v>8606</v>
      </c>
      <c r="K7129" s="1" t="s">
        <v>25796</v>
      </c>
      <c r="L7129" s="1" t="s">
        <v>35031</v>
      </c>
      <c r="M7129" s="2" t="s">
        <v>12</v>
      </c>
      <c r="N7129" s="4">
        <f t="shared" si="1"/>
        <v>43556</v>
      </c>
      <c r="O7129" s="5" t="str">
        <f>IFERROR(__xludf.DUMMYFUNCTION("IF(REGEXMATCH(TRIM(I7129), ""^\d+\s*min""), ""Unclassified"", IF(I7129 = """", ""NR"", I7129))"),"TV-14")</f>
        <v>TV-14</v>
      </c>
      <c r="R7129" s="5" t="str">
        <f t="shared" si="2"/>
        <v>Jesus: Countdown To Calvary</v>
      </c>
      <c r="S7129" s="5" t="str">
        <f>IFERROR(__xludf.DUMMYFUNCTION("""COMPUTED_VALUE"""),"The End Of The Tour")</f>
        <v>The End Of The Tour</v>
      </c>
      <c r="V7129" s="5"/>
      <c r="Y7129" s="5" t="str">
        <f>IFERROR(__xludf.DUMMYFUNCTION("REGEXEXTRACT(J7129, ""^\d+"")"),"53")</f>
        <v>53</v>
      </c>
      <c r="Z7129" s="5" t="str">
        <f>IFERROR(__xludf.DUMMYFUNCTION("REGEXEXTRACT(J7129, ""[A-Za-z ]+$"")")," min")</f>
        <v> min</v>
      </c>
      <c r="AA7129" s="5" t="str">
        <f>IFERROR(__xludf.DUMMYFUNCTION("IF(REGEXMATCH(Z7129, ""Season""), ""TV Show"", ""Movie"")"),"Movie")</f>
        <v>Movie</v>
      </c>
    </row>
    <row r="7130">
      <c r="A7130" s="1" t="s">
        <v>35032</v>
      </c>
      <c r="B7130" s="1" t="s">
        <v>27</v>
      </c>
      <c r="C7130" s="1" t="s">
        <v>35033</v>
      </c>
      <c r="D7130" s="1" t="s">
        <v>4049</v>
      </c>
      <c r="E7130" s="1" t="s">
        <v>35034</v>
      </c>
      <c r="F7130" s="1" t="s">
        <v>30</v>
      </c>
      <c r="G7130" s="7">
        <v>43221.0</v>
      </c>
      <c r="H7130" s="1">
        <v>2016.0</v>
      </c>
      <c r="I7130" s="1" t="s">
        <v>42</v>
      </c>
      <c r="J7130" s="1" t="s">
        <v>1608</v>
      </c>
      <c r="K7130" s="1" t="s">
        <v>1212</v>
      </c>
      <c r="L7130" s="1" t="s">
        <v>35035</v>
      </c>
      <c r="M7130" s="2" t="s">
        <v>12</v>
      </c>
      <c r="N7130" s="4">
        <f t="shared" si="1"/>
        <v>43221</v>
      </c>
      <c r="O7130" s="5" t="str">
        <f>IFERROR(__xludf.DUMMYFUNCTION("IF(REGEXMATCH(TRIM(I7130), ""^\d+\s*min""), ""Unclassified"", IF(I7130 = """", ""NR"", I7130))"),"TV-MA")</f>
        <v>TV-MA</v>
      </c>
      <c r="R7130" s="5" t="str">
        <f t="shared" si="2"/>
        <v>Jewel'S Catch One</v>
      </c>
      <c r="S7130" s="5" t="str">
        <f>IFERROR(__xludf.DUMMYFUNCTION("""COMPUTED_VALUE"""),"The Endless")</f>
        <v>The Endless</v>
      </c>
      <c r="V7130" s="5"/>
      <c r="Y7130" s="5" t="str">
        <f>IFERROR(__xludf.DUMMYFUNCTION("REGEXEXTRACT(J7130, ""^\d+"")"),"84")</f>
        <v>84</v>
      </c>
      <c r="Z7130" s="5" t="str">
        <f>IFERROR(__xludf.DUMMYFUNCTION("REGEXEXTRACT(J7130, ""[A-Za-z ]+$"")")," min")</f>
        <v> min</v>
      </c>
      <c r="AA7130" s="5" t="str">
        <f>IFERROR(__xludf.DUMMYFUNCTION("IF(REGEXMATCH(Z7130, ""Season""), ""TV Show"", ""Movie"")"),"Movie")</f>
        <v>Movie</v>
      </c>
    </row>
    <row r="7131">
      <c r="A7131" s="1" t="s">
        <v>35036</v>
      </c>
      <c r="B7131" s="1" t="s">
        <v>37</v>
      </c>
      <c r="C7131" s="1" t="s">
        <v>35037</v>
      </c>
      <c r="E7131" s="1" t="s">
        <v>35038</v>
      </c>
      <c r="F7131" s="1" t="s">
        <v>63</v>
      </c>
      <c r="G7131" s="1" t="s">
        <v>27988</v>
      </c>
      <c r="H7131" s="1">
        <v>2009.0</v>
      </c>
      <c r="I7131" s="1" t="s">
        <v>97</v>
      </c>
      <c r="J7131" s="1" t="s">
        <v>51</v>
      </c>
      <c r="K7131" s="1" t="s">
        <v>402</v>
      </c>
      <c r="L7131" s="1" t="s">
        <v>35039</v>
      </c>
      <c r="M7131" s="2" t="s">
        <v>12</v>
      </c>
      <c r="N7131" s="4">
        <f t="shared" si="1"/>
        <v>42887</v>
      </c>
      <c r="O7131" s="5" t="str">
        <f>IFERROR(__xludf.DUMMYFUNCTION("IF(REGEXMATCH(TRIM(I7131), ""^\d+\s*min""), ""Unclassified"", IF(I7131 = """", ""NR"", I7131))"),"TV-14")</f>
        <v>TV-14</v>
      </c>
      <c r="R7131" s="5" t="str">
        <f t="shared" si="2"/>
        <v>Jhansi Ki Rani</v>
      </c>
      <c r="S7131" s="5" t="str">
        <f>IFERROR(__xludf.DUMMYFUNCTION("""COMPUTED_VALUE"""),"The Endless Trench")</f>
        <v>The Endless Trench</v>
      </c>
      <c r="V7131" s="5"/>
      <c r="Y7131" s="5" t="str">
        <f>IFERROR(__xludf.DUMMYFUNCTION("REGEXEXTRACT(J7131, ""^\d+"")"),"1")</f>
        <v>1</v>
      </c>
      <c r="Z7131" s="5" t="str">
        <f>IFERROR(__xludf.DUMMYFUNCTION("REGEXEXTRACT(J7131, ""[A-Za-z ]+$"")")," Season")</f>
        <v> Season</v>
      </c>
      <c r="AA7131" s="5" t="str">
        <f>IFERROR(__xludf.DUMMYFUNCTION("IF(REGEXMATCH(Z7131, ""Season""), ""TV Show"", ""Movie"")"),"TV Show")</f>
        <v>TV Show</v>
      </c>
    </row>
    <row r="7132">
      <c r="A7132" s="1" t="s">
        <v>35040</v>
      </c>
      <c r="B7132" s="1" t="s">
        <v>27</v>
      </c>
      <c r="C7132" s="1" t="s">
        <v>35041</v>
      </c>
      <c r="D7132" s="1" t="s">
        <v>11063</v>
      </c>
      <c r="E7132" s="1" t="s">
        <v>35042</v>
      </c>
      <c r="F7132" s="1" t="s">
        <v>30</v>
      </c>
      <c r="G7132" s="1" t="s">
        <v>18333</v>
      </c>
      <c r="H7132" s="1">
        <v>1973.0</v>
      </c>
      <c r="I7132" s="1" t="s">
        <v>378</v>
      </c>
      <c r="J7132" s="1" t="s">
        <v>447</v>
      </c>
      <c r="K7132" s="1" t="s">
        <v>700</v>
      </c>
      <c r="L7132" s="1" t="s">
        <v>35043</v>
      </c>
      <c r="M7132" s="2" t="s">
        <v>12</v>
      </c>
      <c r="N7132" s="4">
        <f t="shared" si="1"/>
        <v>43770</v>
      </c>
      <c r="O7132" s="5" t="str">
        <f>IFERROR(__xludf.DUMMYFUNCTION("IF(REGEXMATCH(TRIM(I7132), ""^\d+\s*min""), ""Unclassified"", IF(I7132 = """", ""NR"", I7132))"),"R")</f>
        <v>R</v>
      </c>
      <c r="R7132" s="5" t="str">
        <f t="shared" si="2"/>
        <v>Jimi Hendrix</v>
      </c>
      <c r="S7132" s="5" t="str">
        <f>IFERROR(__xludf.DUMMYFUNCTION("""COMPUTED_VALUE"""),"The English Game")</f>
        <v>The English Game</v>
      </c>
      <c r="V7132" s="5"/>
      <c r="Y7132" s="5" t="str">
        <f>IFERROR(__xludf.DUMMYFUNCTION("REGEXEXTRACT(J7132, ""^\d+"")"),"102")</f>
        <v>102</v>
      </c>
      <c r="Z7132" s="5" t="str">
        <f>IFERROR(__xludf.DUMMYFUNCTION("REGEXEXTRACT(J7132, ""[A-Za-z ]+$"")")," min")</f>
        <v> min</v>
      </c>
      <c r="AA7132" s="5" t="str">
        <f>IFERROR(__xludf.DUMMYFUNCTION("IF(REGEXMATCH(Z7132, ""Season""), ""TV Show"", ""Movie"")"),"Movie")</f>
        <v>Movie</v>
      </c>
    </row>
    <row r="7133">
      <c r="A7133" s="1" t="s">
        <v>35044</v>
      </c>
      <c r="B7133" s="1" t="s">
        <v>37</v>
      </c>
      <c r="C7133" s="1" t="s">
        <v>35045</v>
      </c>
      <c r="F7133" s="1" t="s">
        <v>1078</v>
      </c>
      <c r="G7133" s="1" t="s">
        <v>21360</v>
      </c>
      <c r="H7133" s="1">
        <v>2017.0</v>
      </c>
      <c r="I7133" s="1" t="s">
        <v>289</v>
      </c>
      <c r="J7133" s="1" t="s">
        <v>51</v>
      </c>
      <c r="K7133" s="1" t="s">
        <v>290</v>
      </c>
      <c r="L7133" s="1" t="s">
        <v>35046</v>
      </c>
      <c r="M7133" s="2" t="s">
        <v>12</v>
      </c>
      <c r="N7133" s="4">
        <f t="shared" si="1"/>
        <v>43556</v>
      </c>
      <c r="O7133" s="5" t="str">
        <f>IFERROR(__xludf.DUMMYFUNCTION("IF(REGEXMATCH(TRIM(I7133), ""^\d+\s*min""), ""Unclassified"", IF(I7133 = """", ""NR"", I7133))"),"TV-Y7")</f>
        <v>TV-Y7</v>
      </c>
      <c r="R7133" s="5" t="str">
        <f t="shared" si="2"/>
        <v>Jinglekids</v>
      </c>
      <c r="S7133" s="5" t="str">
        <f>IFERROR(__xludf.DUMMYFUNCTION("""COMPUTED_VALUE"""),"The Epic Tales Of Captain Underpants")</f>
        <v>The Epic Tales Of Captain Underpants</v>
      </c>
      <c r="V7133" s="5"/>
      <c r="Y7133" s="5" t="str">
        <f>IFERROR(__xludf.DUMMYFUNCTION("REGEXEXTRACT(J7133, ""^\d+"")"),"1")</f>
        <v>1</v>
      </c>
      <c r="Z7133" s="5" t="str">
        <f>IFERROR(__xludf.DUMMYFUNCTION("REGEXEXTRACT(J7133, ""[A-Za-z ]+$"")")," Season")</f>
        <v> Season</v>
      </c>
      <c r="AA7133" s="5" t="str">
        <f>IFERROR(__xludf.DUMMYFUNCTION("IF(REGEXMATCH(Z7133, ""Season""), ""TV Show"", ""Movie"")"),"TV Show")</f>
        <v>TV Show</v>
      </c>
    </row>
    <row r="7134">
      <c r="A7134" s="1" t="s">
        <v>35047</v>
      </c>
      <c r="B7134" s="1" t="s">
        <v>27</v>
      </c>
      <c r="C7134" s="1" t="s">
        <v>35048</v>
      </c>
      <c r="D7134" s="1" t="s">
        <v>5936</v>
      </c>
      <c r="E7134" s="1" t="s">
        <v>35049</v>
      </c>
      <c r="F7134" s="1" t="s">
        <v>30</v>
      </c>
      <c r="G7134" s="1" t="s">
        <v>20516</v>
      </c>
      <c r="H7134" s="1">
        <v>2011.0</v>
      </c>
      <c r="I7134" s="1" t="s">
        <v>78</v>
      </c>
      <c r="J7134" s="1" t="s">
        <v>6391</v>
      </c>
      <c r="K7134" s="1" t="s">
        <v>34</v>
      </c>
      <c r="L7134" s="1" t="s">
        <v>35050</v>
      </c>
      <c r="M7134" s="2" t="s">
        <v>12</v>
      </c>
      <c r="N7134" s="4">
        <f t="shared" si="1"/>
        <v>43621</v>
      </c>
      <c r="O7134" s="5" t="str">
        <f>IFERROR(__xludf.DUMMYFUNCTION("IF(REGEXMATCH(TRIM(I7134), ""^\d+\s*min""), ""Unclassified"", IF(I7134 = """", ""NR"", I7134))"),"PG")</f>
        <v>PG</v>
      </c>
      <c r="R7134" s="5" t="str">
        <f t="shared" si="2"/>
        <v>Jiro Dreams Of Sushi</v>
      </c>
      <c r="S7134" s="5" t="str">
        <f>IFERROR(__xludf.DUMMYFUNCTION("""COMPUTED_VALUE"""),"The Epic Tales Of Captain Underpants In Space")</f>
        <v>The Epic Tales Of Captain Underpants In Space</v>
      </c>
      <c r="V7134" s="5"/>
      <c r="Y7134" s="5" t="str">
        <f>IFERROR(__xludf.DUMMYFUNCTION("REGEXEXTRACT(J7134, ""^\d+"")"),"79")</f>
        <v>79</v>
      </c>
      <c r="Z7134" s="5" t="str">
        <f>IFERROR(__xludf.DUMMYFUNCTION("REGEXEXTRACT(J7134, ""[A-Za-z ]+$"")")," min")</f>
        <v> min</v>
      </c>
      <c r="AA7134" s="5" t="str">
        <f>IFERROR(__xludf.DUMMYFUNCTION("IF(REGEXMATCH(Z7134, ""Season""), ""TV Show"", ""Movie"")"),"Movie")</f>
        <v>Movie</v>
      </c>
    </row>
    <row r="7135">
      <c r="A7135" s="1" t="s">
        <v>35051</v>
      </c>
      <c r="B7135" s="1" t="s">
        <v>27</v>
      </c>
      <c r="C7135" s="1" t="s">
        <v>35052</v>
      </c>
      <c r="D7135" s="1" t="s">
        <v>18550</v>
      </c>
      <c r="E7135" s="1" t="s">
        <v>35053</v>
      </c>
      <c r="G7135" s="1" t="s">
        <v>17078</v>
      </c>
      <c r="H7135" s="1">
        <v>1960.0</v>
      </c>
      <c r="I7135" s="1" t="s">
        <v>97</v>
      </c>
      <c r="J7135" s="1" t="s">
        <v>6712</v>
      </c>
      <c r="K7135" s="1" t="s">
        <v>306</v>
      </c>
      <c r="L7135" s="1" t="s">
        <v>35054</v>
      </c>
      <c r="M7135" s="2" t="s">
        <v>12</v>
      </c>
      <c r="N7135" s="4">
        <f t="shared" si="1"/>
        <v>43830</v>
      </c>
      <c r="O7135" s="5" t="str">
        <f>IFERROR(__xludf.DUMMYFUNCTION("IF(REGEXMATCH(TRIM(I7135), ""^\d+\s*min""), ""Unclassified"", IF(I7135 = """", ""NR"", I7135))"),"TV-14")</f>
        <v>TV-14</v>
      </c>
      <c r="R7135" s="5" t="str">
        <f t="shared" si="2"/>
        <v>Jis Desh Men Ganga Behti Hai</v>
      </c>
      <c r="S7135" s="5" t="str">
        <f>IFERROR(__xludf.DUMMYFUNCTION("""COMPUTED_VALUE"""),"The Evil Dead")</f>
        <v>The Evil Dead</v>
      </c>
      <c r="V7135" s="5"/>
      <c r="Y7135" s="5" t="str">
        <f>IFERROR(__xludf.DUMMYFUNCTION("REGEXEXTRACT(J7135, ""^\d+"")"),"181")</f>
        <v>181</v>
      </c>
      <c r="Z7135" s="5" t="str">
        <f>IFERROR(__xludf.DUMMYFUNCTION("REGEXEXTRACT(J7135, ""[A-Za-z ]+$"")")," min")</f>
        <v> min</v>
      </c>
      <c r="AA7135" s="5" t="str">
        <f>IFERROR(__xludf.DUMMYFUNCTION("IF(REGEXMATCH(Z7135, ""Season""), ""TV Show"", ""Movie"")"),"Movie")</f>
        <v>Movie</v>
      </c>
    </row>
    <row r="7136">
      <c r="A7136" s="1" t="s">
        <v>35055</v>
      </c>
      <c r="B7136" s="1" t="s">
        <v>27</v>
      </c>
      <c r="C7136" s="1" t="s">
        <v>35056</v>
      </c>
      <c r="D7136" s="1" t="s">
        <v>11290</v>
      </c>
      <c r="F7136" s="1" t="s">
        <v>96</v>
      </c>
      <c r="G7136" s="1" t="s">
        <v>28377</v>
      </c>
      <c r="H7136" s="1">
        <v>2017.0</v>
      </c>
      <c r="I7136" s="1" t="s">
        <v>97</v>
      </c>
      <c r="J7136" s="1" t="s">
        <v>33</v>
      </c>
      <c r="K7136" s="1" t="s">
        <v>2892</v>
      </c>
      <c r="L7136" s="1" t="s">
        <v>35057</v>
      </c>
      <c r="M7136" s="2" t="s">
        <v>12</v>
      </c>
      <c r="N7136" s="4">
        <f t="shared" si="1"/>
        <v>42826</v>
      </c>
      <c r="O7136" s="5" t="str">
        <f>IFERROR(__xludf.DUMMYFUNCTION("IF(REGEXMATCH(TRIM(I7136), ""^\d+\s*min""), ""Unclassified"", IF(I7136 = """", ""NR"", I7136))"),"TV-14")</f>
        <v>TV-14</v>
      </c>
      <c r="R7136" s="5" t="str">
        <f t="shared" si="2"/>
        <v>Joe Cocker: Mad Dog With Soul</v>
      </c>
      <c r="S7136" s="5" t="str">
        <f>IFERROR(__xludf.DUMMYFUNCTION("""COMPUTED_VALUE"""),"The Exception")</f>
        <v>The Exception</v>
      </c>
      <c r="V7136" s="5"/>
      <c r="Y7136" s="5" t="str">
        <f>IFERROR(__xludf.DUMMYFUNCTION("REGEXEXTRACT(J7136, ""^\d+"")"),"90")</f>
        <v>90</v>
      </c>
      <c r="Z7136" s="5" t="str">
        <f>IFERROR(__xludf.DUMMYFUNCTION("REGEXEXTRACT(J7136, ""[A-Za-z ]+$"")")," min")</f>
        <v> min</v>
      </c>
      <c r="AA7136" s="5" t="str">
        <f>IFERROR(__xludf.DUMMYFUNCTION("IF(REGEXMATCH(Z7136, ""Season""), ""TV Show"", ""Movie"")"),"Movie")</f>
        <v>Movie</v>
      </c>
    </row>
    <row r="7137">
      <c r="A7137" s="1" t="s">
        <v>35058</v>
      </c>
      <c r="B7137" s="1" t="s">
        <v>27</v>
      </c>
      <c r="C7137" s="1" t="s">
        <v>35059</v>
      </c>
      <c r="D7137" s="1" t="s">
        <v>2611</v>
      </c>
      <c r="F7137" s="1" t="s">
        <v>63</v>
      </c>
      <c r="G7137" s="1" t="s">
        <v>29537</v>
      </c>
      <c r="H7137" s="1">
        <v>2005.0</v>
      </c>
      <c r="I7137" s="1" t="s">
        <v>97</v>
      </c>
      <c r="J7137" s="1" t="s">
        <v>6391</v>
      </c>
      <c r="K7137" s="1" t="s">
        <v>156</v>
      </c>
      <c r="L7137" s="1" t="s">
        <v>35060</v>
      </c>
      <c r="M7137" s="2" t="s">
        <v>12</v>
      </c>
      <c r="N7137" s="4">
        <f t="shared" si="1"/>
        <v>42597</v>
      </c>
      <c r="O7137" s="5" t="str">
        <f>IFERROR(__xludf.DUMMYFUNCTION("IF(REGEXMATCH(TRIM(I7137), ""^\d+\s*min""), ""Unclassified"", IF(I7137 = """", ""NR"", I7137))"),"TV-14")</f>
        <v>TV-14</v>
      </c>
      <c r="R7137" s="5" t="str">
        <f t="shared" si="2"/>
        <v>John &amp; Jane</v>
      </c>
      <c r="S7137" s="5" t="str">
        <f>IFERROR(__xludf.DUMMYFUNCTION("""COMPUTED_VALUE"""),"The Expanding Universe Of Ashley Garcia")</f>
        <v>The Expanding Universe Of Ashley Garcia</v>
      </c>
      <c r="V7137" s="5"/>
      <c r="Y7137" s="5" t="str">
        <f>IFERROR(__xludf.DUMMYFUNCTION("REGEXEXTRACT(J7137, ""^\d+"")"),"79")</f>
        <v>79</v>
      </c>
      <c r="Z7137" s="5" t="str">
        <f>IFERROR(__xludf.DUMMYFUNCTION("REGEXEXTRACT(J7137, ""[A-Za-z ]+$"")")," min")</f>
        <v> min</v>
      </c>
      <c r="AA7137" s="5" t="str">
        <f>IFERROR(__xludf.DUMMYFUNCTION("IF(REGEXMATCH(Z7137, ""Season""), ""TV Show"", ""Movie"")"),"Movie")</f>
        <v>Movie</v>
      </c>
    </row>
    <row r="7138">
      <c r="A7138" s="1" t="s">
        <v>35061</v>
      </c>
      <c r="B7138" s="1" t="s">
        <v>27</v>
      </c>
      <c r="C7138" s="1" t="s">
        <v>35062</v>
      </c>
      <c r="D7138" s="1" t="s">
        <v>1955</v>
      </c>
      <c r="E7138" s="1" t="s">
        <v>35063</v>
      </c>
      <c r="F7138" s="1" t="s">
        <v>30</v>
      </c>
      <c r="G7138" s="7">
        <v>43587.0</v>
      </c>
      <c r="H7138" s="1">
        <v>2012.0</v>
      </c>
      <c r="I7138" s="1" t="s">
        <v>32</v>
      </c>
      <c r="J7138" s="1" t="s">
        <v>1428</v>
      </c>
      <c r="K7138" s="1" t="s">
        <v>942</v>
      </c>
      <c r="L7138" s="1" t="s">
        <v>35064</v>
      </c>
      <c r="M7138" s="2" t="s">
        <v>12</v>
      </c>
      <c r="N7138" s="4">
        <f t="shared" si="1"/>
        <v>43587</v>
      </c>
      <c r="O7138" s="5" t="str">
        <f>IFERROR(__xludf.DUMMYFUNCTION("IF(REGEXMATCH(TRIM(I7138), ""^\d+\s*min""), ""Unclassified"", IF(I7138 = """", ""NR"", I7138))"),"PG-13")</f>
        <v>PG-13</v>
      </c>
      <c r="R7138" s="5" t="str">
        <f t="shared" si="2"/>
        <v>John Carter</v>
      </c>
      <c r="S7138" s="5" t="str">
        <f>IFERROR(__xludf.DUMMYFUNCTION("""COMPUTED_VALUE"""),"The Eyes Of My Mother")</f>
        <v>The Eyes Of My Mother</v>
      </c>
      <c r="V7138" s="5"/>
      <c r="Y7138" s="5" t="str">
        <f>IFERROR(__xludf.DUMMYFUNCTION("REGEXEXTRACT(J7138, ""^\d+"")"),"133")</f>
        <v>133</v>
      </c>
      <c r="Z7138" s="5" t="str">
        <f>IFERROR(__xludf.DUMMYFUNCTION("REGEXEXTRACT(J7138, ""[A-Za-z ]+$"")")," min")</f>
        <v> min</v>
      </c>
      <c r="AA7138" s="5" t="str">
        <f>IFERROR(__xludf.DUMMYFUNCTION("IF(REGEXMATCH(Z7138, ""Season""), ""TV Show"", ""Movie"")"),"Movie")</f>
        <v>Movie</v>
      </c>
    </row>
    <row r="7139">
      <c r="A7139" s="1" t="s">
        <v>35065</v>
      </c>
      <c r="B7139" s="1" t="s">
        <v>27</v>
      </c>
      <c r="C7139" s="1" t="s">
        <v>35066</v>
      </c>
      <c r="D7139" s="1" t="s">
        <v>595</v>
      </c>
      <c r="E7139" s="1" t="s">
        <v>35067</v>
      </c>
      <c r="F7139" s="1" t="s">
        <v>63</v>
      </c>
      <c r="G7139" s="1" t="s">
        <v>17078</v>
      </c>
      <c r="H7139" s="1">
        <v>2013.0</v>
      </c>
      <c r="I7139" s="1" t="s">
        <v>42</v>
      </c>
      <c r="J7139" s="1" t="s">
        <v>88</v>
      </c>
      <c r="K7139" s="1" t="s">
        <v>631</v>
      </c>
      <c r="L7139" s="1" t="s">
        <v>35068</v>
      </c>
      <c r="M7139" s="2" t="s">
        <v>12</v>
      </c>
      <c r="N7139" s="4">
        <f t="shared" si="1"/>
        <v>43830</v>
      </c>
      <c r="O7139" s="5" t="str">
        <f>IFERROR(__xludf.DUMMYFUNCTION("IF(REGEXMATCH(TRIM(I7139), ""^\d+\s*min""), ""Unclassified"", IF(I7139 = """", ""NR"", I7139))"),"TV-MA")</f>
        <v>TV-MA</v>
      </c>
      <c r="R7139" s="5" t="str">
        <f t="shared" si="2"/>
        <v>John Day</v>
      </c>
      <c r="S7139" s="5" t="str">
        <f>IFERROR(__xludf.DUMMYFUNCTION("""COMPUTED_VALUE"""),"The F**K-It List")</f>
        <v>The F**K-It List</v>
      </c>
      <c r="V7139" s="5"/>
      <c r="Y7139" s="5" t="str">
        <f>IFERROR(__xludf.DUMMYFUNCTION("REGEXEXTRACT(J7139, ""^\d+"")"),"125")</f>
        <v>125</v>
      </c>
      <c r="Z7139" s="5" t="str">
        <f>IFERROR(__xludf.DUMMYFUNCTION("REGEXEXTRACT(J7139, ""[A-Za-z ]+$"")")," min")</f>
        <v> min</v>
      </c>
      <c r="AA7139" s="5" t="str">
        <f>IFERROR(__xludf.DUMMYFUNCTION("IF(REGEXMATCH(Z7139, ""Season""), ""TV Show"", ""Movie"")"),"Movie")</f>
        <v>Movie</v>
      </c>
    </row>
    <row r="7140">
      <c r="A7140" s="1" t="s">
        <v>35069</v>
      </c>
      <c r="B7140" s="1" t="s">
        <v>27</v>
      </c>
      <c r="C7140" s="1" t="s">
        <v>35070</v>
      </c>
      <c r="E7140" s="1" t="s">
        <v>35071</v>
      </c>
      <c r="G7140" s="1" t="s">
        <v>26295</v>
      </c>
      <c r="H7140" s="1">
        <v>2017.0</v>
      </c>
      <c r="I7140" s="1" t="s">
        <v>42</v>
      </c>
      <c r="J7140" s="1" t="s">
        <v>729</v>
      </c>
      <c r="K7140" s="1" t="s">
        <v>700</v>
      </c>
      <c r="L7140" s="1" t="s">
        <v>35072</v>
      </c>
      <c r="M7140" s="2" t="s">
        <v>12</v>
      </c>
      <c r="N7140" s="4">
        <f t="shared" si="1"/>
        <v>43132</v>
      </c>
      <c r="O7140" s="5" t="str">
        <f>IFERROR(__xludf.DUMMYFUNCTION("IF(REGEXMATCH(TRIM(I7140), ""^\d+\s*min""), ""Unclassified"", IF(I7140 = """", ""NR"", I7140))"),"TV-MA")</f>
        <v>TV-MA</v>
      </c>
      <c r="R7140" s="5" t="str">
        <f t="shared" si="2"/>
        <v>John Mellencamp: Plain Spoken</v>
      </c>
      <c r="S7140" s="5" t="str">
        <f>IFERROR(__xludf.DUMMYFUNCTION("""COMPUTED_VALUE"""),"The Family")</f>
        <v>The Family</v>
      </c>
      <c r="V7140" s="5"/>
      <c r="Y7140" s="5" t="str">
        <f>IFERROR(__xludf.DUMMYFUNCTION("REGEXEXTRACT(J7140, ""^\d+"")"),"80")</f>
        <v>80</v>
      </c>
      <c r="Z7140" s="5" t="str">
        <f>IFERROR(__xludf.DUMMYFUNCTION("REGEXEXTRACT(J7140, ""[A-Za-z ]+$"")")," min")</f>
        <v> min</v>
      </c>
      <c r="AA7140" s="5" t="str">
        <f>IFERROR(__xludf.DUMMYFUNCTION("IF(REGEXMATCH(Z7140, ""Season""), ""TV Show"", ""Movie"")"),"Movie")</f>
        <v>Movie</v>
      </c>
    </row>
    <row r="7141">
      <c r="A7141" s="1" t="s">
        <v>35073</v>
      </c>
      <c r="B7141" s="1" t="s">
        <v>27</v>
      </c>
      <c r="C7141" s="1" t="s">
        <v>35074</v>
      </c>
      <c r="D7141" s="1" t="s">
        <v>3407</v>
      </c>
      <c r="E7141" s="1" t="s">
        <v>35075</v>
      </c>
      <c r="F7141" s="1" t="s">
        <v>30</v>
      </c>
      <c r="G7141" s="1" t="s">
        <v>21146</v>
      </c>
      <c r="H7141" s="1">
        <v>2018.0</v>
      </c>
      <c r="I7141" s="1" t="s">
        <v>42</v>
      </c>
      <c r="J7141" s="1" t="s">
        <v>1091</v>
      </c>
      <c r="K7141" s="1" t="s">
        <v>5269</v>
      </c>
      <c r="L7141" s="1" t="s">
        <v>35076</v>
      </c>
      <c r="M7141" s="2" t="s">
        <v>12</v>
      </c>
      <c r="N7141" s="4">
        <f t="shared" si="1"/>
        <v>43571</v>
      </c>
      <c r="O7141" s="5" t="str">
        <f>IFERROR(__xludf.DUMMYFUNCTION("IF(REGEXMATCH(TRIM(I7141), ""^\d+\s*min""), ""Unclassified"", IF(I7141 = """", ""NR"", I7141))"),"TV-MA")</f>
        <v>TV-MA</v>
      </c>
      <c r="R7141" s="5" t="str">
        <f t="shared" si="2"/>
        <v>Jonathan</v>
      </c>
      <c r="S7141" s="5" t="str">
        <f>IFERROR(__xludf.DUMMYFUNCTION("""COMPUTED_VALUE"""),"The Family Court")</f>
        <v>The Family Court</v>
      </c>
      <c r="V7141" s="5"/>
      <c r="Y7141" s="5" t="str">
        <f>IFERROR(__xludf.DUMMYFUNCTION("REGEXEXTRACT(J7141, ""^\d+"")"),"101")</f>
        <v>101</v>
      </c>
      <c r="Z7141" s="5" t="str">
        <f>IFERROR(__xludf.DUMMYFUNCTION("REGEXEXTRACT(J7141, ""[A-Za-z ]+$"")")," min")</f>
        <v> min</v>
      </c>
      <c r="AA7141" s="5" t="str">
        <f>IFERROR(__xludf.DUMMYFUNCTION("IF(REGEXMATCH(Z7141, ""Season""), ""TV Show"", ""Movie"")"),"Movie")</f>
        <v>Movie</v>
      </c>
    </row>
    <row r="7142">
      <c r="A7142" s="1" t="s">
        <v>35077</v>
      </c>
      <c r="B7142" s="1" t="s">
        <v>37</v>
      </c>
      <c r="C7142" s="1" t="s">
        <v>35078</v>
      </c>
      <c r="D7142" s="1" t="s">
        <v>22616</v>
      </c>
      <c r="E7142" s="1" t="s">
        <v>35079</v>
      </c>
      <c r="F7142" s="1" t="s">
        <v>96</v>
      </c>
      <c r="G7142" s="1" t="s">
        <v>30695</v>
      </c>
      <c r="H7142" s="1">
        <v>2015.0</v>
      </c>
      <c r="I7142" s="1" t="s">
        <v>97</v>
      </c>
      <c r="J7142" s="1" t="s">
        <v>51</v>
      </c>
      <c r="K7142" s="1" t="s">
        <v>35080</v>
      </c>
      <c r="L7142" s="1" t="s">
        <v>35081</v>
      </c>
      <c r="M7142" s="2" t="s">
        <v>12</v>
      </c>
      <c r="N7142" s="4">
        <f t="shared" si="1"/>
        <v>42607</v>
      </c>
      <c r="O7142" s="5" t="str">
        <f>IFERROR(__xludf.DUMMYFUNCTION("IF(REGEXMATCH(TRIM(I7142), ""^\d+\s*min""), ""Unclassified"", IF(I7142 = """", ""NR"", I7142))"),"TV-14")</f>
        <v>TV-14</v>
      </c>
      <c r="R7142" s="5" t="str">
        <f t="shared" si="2"/>
        <v>Jonathan Strange &amp; Mr Norrell</v>
      </c>
      <c r="S7142" s="5" t="str">
        <f>IFERROR(__xludf.DUMMYFUNCTION("""COMPUTED_VALUE"""),"The Father Who Moves Mountains")</f>
        <v>The Father Who Moves Mountains</v>
      </c>
      <c r="V7142" s="5"/>
      <c r="Y7142" s="5" t="str">
        <f>IFERROR(__xludf.DUMMYFUNCTION("REGEXEXTRACT(J7142, ""^\d+"")"),"1")</f>
        <v>1</v>
      </c>
      <c r="Z7142" s="5" t="str">
        <f>IFERROR(__xludf.DUMMYFUNCTION("REGEXEXTRACT(J7142, ""[A-Za-z ]+$"")")," Season")</f>
        <v> Season</v>
      </c>
      <c r="AA7142" s="5" t="str">
        <f>IFERROR(__xludf.DUMMYFUNCTION("IF(REGEXMATCH(Z7142, ""Season""), ""TV Show"", ""Movie"")"),"TV Show")</f>
        <v>TV Show</v>
      </c>
    </row>
    <row r="7143">
      <c r="A7143" s="1" t="s">
        <v>35082</v>
      </c>
      <c r="B7143" s="1" t="s">
        <v>27</v>
      </c>
      <c r="C7143" s="1" t="s">
        <v>35083</v>
      </c>
      <c r="D7143" s="1" t="s">
        <v>1553</v>
      </c>
      <c r="E7143" s="1" t="s">
        <v>35084</v>
      </c>
      <c r="F7143" s="1" t="s">
        <v>63</v>
      </c>
      <c r="G7143" s="1" t="s">
        <v>26481</v>
      </c>
      <c r="H7143" s="1">
        <v>2017.0</v>
      </c>
      <c r="I7143" s="1" t="s">
        <v>42</v>
      </c>
      <c r="J7143" s="1" t="s">
        <v>1369</v>
      </c>
      <c r="K7143" s="1" t="s">
        <v>1066</v>
      </c>
      <c r="L7143" s="1" t="s">
        <v>35085</v>
      </c>
      <c r="M7143" s="2" t="s">
        <v>12</v>
      </c>
      <c r="N7143" s="4">
        <f t="shared" si="1"/>
        <v>43101</v>
      </c>
      <c r="O7143" s="5" t="str">
        <f>IFERROR(__xludf.DUMMYFUNCTION("IF(REGEXMATCH(TRIM(I7143), ""^\d+\s*min""), ""Unclassified"", IF(I7143 = """", ""NR"", I7143))"),"TV-MA")</f>
        <v>TV-MA</v>
      </c>
      <c r="R7143" s="5" t="str">
        <f t="shared" si="2"/>
        <v>Jora 10 Numbaria</v>
      </c>
      <c r="S7143" s="5" t="str">
        <f>IFERROR(__xludf.DUMMYFUNCTION("""COMPUTED_VALUE"""),"The Fear")</f>
        <v>The Fear</v>
      </c>
      <c r="V7143" s="5"/>
      <c r="Y7143" s="5" t="str">
        <f>IFERROR(__xludf.DUMMYFUNCTION("REGEXEXTRACT(J7143, ""^\d+"")"),"135")</f>
        <v>135</v>
      </c>
      <c r="Z7143" s="5" t="str">
        <f>IFERROR(__xludf.DUMMYFUNCTION("REGEXEXTRACT(J7143, ""[A-Za-z ]+$"")")," min")</f>
        <v> min</v>
      </c>
      <c r="AA7143" s="5" t="str">
        <f>IFERROR(__xludf.DUMMYFUNCTION("IF(REGEXMATCH(Z7143, ""Season""), ""TV Show"", ""Movie"")"),"Movie")</f>
        <v>Movie</v>
      </c>
    </row>
    <row r="7144">
      <c r="A7144" s="1" t="s">
        <v>35086</v>
      </c>
      <c r="B7144" s="1" t="s">
        <v>37</v>
      </c>
      <c r="C7144" s="1" t="s">
        <v>35087</v>
      </c>
      <c r="E7144" s="1" t="s">
        <v>35088</v>
      </c>
      <c r="F7144" s="1" t="s">
        <v>13294</v>
      </c>
      <c r="G7144" s="1" t="s">
        <v>28464</v>
      </c>
      <c r="H7144" s="1">
        <v>2015.0</v>
      </c>
      <c r="I7144" s="1" t="s">
        <v>42</v>
      </c>
      <c r="J7144" s="1" t="s">
        <v>51</v>
      </c>
      <c r="K7144" s="1" t="s">
        <v>1339</v>
      </c>
      <c r="L7144" s="1" t="s">
        <v>35089</v>
      </c>
      <c r="M7144" s="2" t="s">
        <v>12</v>
      </c>
      <c r="N7144" s="4">
        <f t="shared" si="1"/>
        <v>42814</v>
      </c>
      <c r="O7144" s="5" t="str">
        <f>IFERROR(__xludf.DUMMYFUNCTION("IF(REGEXMATCH(TRIM(I7144), ""^\d+\s*min""), ""Unclassified"", IF(I7144 = """", ""NR"", I7144))"),"TV-MA")</f>
        <v>TV-MA</v>
      </c>
      <c r="R7144" s="5" t="str">
        <f t="shared" si="2"/>
        <v>Juana Brava</v>
      </c>
      <c r="S7144" s="5" t="str">
        <f>IFERROR(__xludf.DUMMYFUNCTION("""COMPUTED_VALUE"""),"The Fear Of 13")</f>
        <v>The Fear Of 13</v>
      </c>
      <c r="V7144" s="5"/>
      <c r="Y7144" s="5" t="str">
        <f>IFERROR(__xludf.DUMMYFUNCTION("REGEXEXTRACT(J7144, ""^\d+"")"),"1")</f>
        <v>1</v>
      </c>
      <c r="Z7144" s="5" t="str">
        <f>IFERROR(__xludf.DUMMYFUNCTION("REGEXEXTRACT(J7144, ""[A-Za-z ]+$"")")," Season")</f>
        <v> Season</v>
      </c>
      <c r="AA7144" s="5" t="str">
        <f>IFERROR(__xludf.DUMMYFUNCTION("IF(REGEXMATCH(Z7144, ""Season""), ""TV Show"", ""Movie"")"),"TV Show")</f>
        <v>TV Show</v>
      </c>
    </row>
    <row r="7145">
      <c r="A7145" s="1" t="s">
        <v>35090</v>
      </c>
      <c r="B7145" s="1" t="s">
        <v>37</v>
      </c>
      <c r="C7145" s="1" t="s">
        <v>35091</v>
      </c>
      <c r="E7145" s="1" t="s">
        <v>35092</v>
      </c>
      <c r="F7145" s="1" t="s">
        <v>162</v>
      </c>
      <c r="G7145" s="1" t="s">
        <v>28737</v>
      </c>
      <c r="H7145" s="1">
        <v>2016.0</v>
      </c>
      <c r="I7145" s="1" t="s">
        <v>97</v>
      </c>
      <c r="J7145" s="1" t="s">
        <v>51</v>
      </c>
      <c r="K7145" s="1" t="s">
        <v>1339</v>
      </c>
      <c r="L7145" s="1" t="s">
        <v>35093</v>
      </c>
      <c r="M7145" s="2" t="s">
        <v>12</v>
      </c>
      <c r="N7145" s="4">
        <f t="shared" si="1"/>
        <v>42762</v>
      </c>
      <c r="O7145" s="5" t="str">
        <f>IFERROR(__xludf.DUMMYFUNCTION("IF(REGEXMATCH(TRIM(I7145), ""^\d+\s*min""), ""Unclassified"", IF(I7145 = """", ""NR"", I7145))"),"TV-14")</f>
        <v>TV-14</v>
      </c>
      <c r="R7145" s="5" t="str">
        <f t="shared" si="2"/>
        <v>Juana Inés</v>
      </c>
      <c r="S7145" s="5" t="str">
        <f>IFERROR(__xludf.DUMMYFUNCTION("""COMPUTED_VALUE"""),"The Feels")</f>
        <v>The Feels</v>
      </c>
      <c r="V7145" s="5"/>
      <c r="Y7145" s="5" t="str">
        <f>IFERROR(__xludf.DUMMYFUNCTION("REGEXEXTRACT(J7145, ""^\d+"")"),"1")</f>
        <v>1</v>
      </c>
      <c r="Z7145" s="5" t="str">
        <f>IFERROR(__xludf.DUMMYFUNCTION("REGEXEXTRACT(J7145, ""[A-Za-z ]+$"")")," Season")</f>
        <v> Season</v>
      </c>
      <c r="AA7145" s="5" t="str">
        <f>IFERROR(__xludf.DUMMYFUNCTION("IF(REGEXMATCH(Z7145, ""Season""), ""TV Show"", ""Movie"")"),"TV Show")</f>
        <v>TV Show</v>
      </c>
    </row>
    <row r="7146">
      <c r="A7146" s="1" t="s">
        <v>35094</v>
      </c>
      <c r="B7146" s="1" t="s">
        <v>27</v>
      </c>
      <c r="C7146" s="1" t="s">
        <v>35095</v>
      </c>
      <c r="D7146" s="1" t="s">
        <v>1405</v>
      </c>
      <c r="E7146" s="1" t="s">
        <v>35096</v>
      </c>
      <c r="F7146" s="1" t="s">
        <v>63</v>
      </c>
      <c r="G7146" s="1" t="s">
        <v>17078</v>
      </c>
      <c r="H7146" s="1">
        <v>1997.0</v>
      </c>
      <c r="I7146" s="1" t="s">
        <v>97</v>
      </c>
      <c r="J7146" s="1" t="s">
        <v>1428</v>
      </c>
      <c r="K7146" s="1" t="s">
        <v>215</v>
      </c>
      <c r="L7146" s="1" t="s">
        <v>35097</v>
      </c>
      <c r="M7146" s="2" t="s">
        <v>12</v>
      </c>
      <c r="N7146" s="4">
        <f t="shared" si="1"/>
        <v>43830</v>
      </c>
      <c r="O7146" s="5" t="str">
        <f>IFERROR(__xludf.DUMMYFUNCTION("IF(REGEXMATCH(TRIM(I7146), ""^\d+\s*min""), ""Unclassified"", IF(I7146 = """", ""NR"", I7146))"),"TV-14")</f>
        <v>TV-14</v>
      </c>
      <c r="R7146" s="5" t="str">
        <f t="shared" si="2"/>
        <v>Judwaa</v>
      </c>
      <c r="S7146" s="5" t="str">
        <f>IFERROR(__xludf.DUMMYFUNCTION("""COMPUTED_VALUE"""),"The Fierce Wife")</f>
        <v>The Fierce Wife</v>
      </c>
      <c r="V7146" s="5"/>
      <c r="Y7146" s="5" t="str">
        <f>IFERROR(__xludf.DUMMYFUNCTION("REGEXEXTRACT(J7146, ""^\d+"")"),"133")</f>
        <v>133</v>
      </c>
      <c r="Z7146" s="5" t="str">
        <f>IFERROR(__xludf.DUMMYFUNCTION("REGEXEXTRACT(J7146, ""[A-Za-z ]+$"")")," min")</f>
        <v> min</v>
      </c>
      <c r="AA7146" s="5" t="str">
        <f>IFERROR(__xludf.DUMMYFUNCTION("IF(REGEXMATCH(Z7146, ""Season""), ""TV Show"", ""Movie"")"),"Movie")</f>
        <v>Movie</v>
      </c>
    </row>
    <row r="7147">
      <c r="A7147" s="1" t="s">
        <v>35098</v>
      </c>
      <c r="B7147" s="1" t="s">
        <v>27</v>
      </c>
      <c r="C7147" s="1" t="s">
        <v>35099</v>
      </c>
      <c r="D7147" s="1" t="s">
        <v>11450</v>
      </c>
      <c r="E7147" s="1" t="s">
        <v>35100</v>
      </c>
      <c r="F7147" s="1" t="s">
        <v>30</v>
      </c>
      <c r="G7147" s="1" t="s">
        <v>19694</v>
      </c>
      <c r="H7147" s="1">
        <v>2011.0</v>
      </c>
      <c r="I7147" s="1" t="s">
        <v>78</v>
      </c>
      <c r="J7147" s="1" t="s">
        <v>79</v>
      </c>
      <c r="K7147" s="1" t="s">
        <v>137</v>
      </c>
      <c r="L7147" s="1" t="s">
        <v>35101</v>
      </c>
      <c r="M7147" s="2" t="s">
        <v>12</v>
      </c>
      <c r="N7147" s="4">
        <f t="shared" si="1"/>
        <v>43685</v>
      </c>
      <c r="O7147" s="5" t="str">
        <f>IFERROR(__xludf.DUMMYFUNCTION("IF(REGEXMATCH(TRIM(I7147), ""^\d+\s*min""), ""Unclassified"", IF(I7147 = """", ""NR"", I7147))"),"PG")</f>
        <v>PG</v>
      </c>
      <c r="R7147" s="5" t="str">
        <f t="shared" si="2"/>
        <v>Judy Moody And The Not Bummer Summer</v>
      </c>
      <c r="S7147" s="5" t="str">
        <f>IFERROR(__xludf.DUMMYFUNCTION("""COMPUTED_VALUE"""),"The Fighter")</f>
        <v>The Fighter</v>
      </c>
      <c r="V7147" s="5"/>
      <c r="Y7147" s="5" t="str">
        <f>IFERROR(__xludf.DUMMYFUNCTION("REGEXEXTRACT(J7147, ""^\d+"")"),"91")</f>
        <v>91</v>
      </c>
      <c r="Z7147" s="5" t="str">
        <f>IFERROR(__xludf.DUMMYFUNCTION("REGEXEXTRACT(J7147, ""[A-Za-z ]+$"")")," min")</f>
        <v> min</v>
      </c>
      <c r="AA7147" s="5" t="str">
        <f>IFERROR(__xludf.DUMMYFUNCTION("IF(REGEXMATCH(Z7147, ""Season""), ""TV Show"", ""Movie"")"),"Movie")</f>
        <v>Movie</v>
      </c>
    </row>
    <row r="7148">
      <c r="A7148" s="1" t="s">
        <v>35102</v>
      </c>
      <c r="B7148" s="1" t="s">
        <v>27</v>
      </c>
      <c r="C7148" s="1" t="s">
        <v>35103</v>
      </c>
      <c r="D7148" s="1" t="s">
        <v>21991</v>
      </c>
      <c r="G7148" s="1" t="s">
        <v>24523</v>
      </c>
      <c r="H7148" s="1">
        <v>2017.0</v>
      </c>
      <c r="I7148" s="1" t="s">
        <v>97</v>
      </c>
      <c r="J7148" s="1" t="s">
        <v>8095</v>
      </c>
      <c r="K7148" s="1" t="s">
        <v>34</v>
      </c>
      <c r="L7148" s="1" t="s">
        <v>35104</v>
      </c>
      <c r="M7148" s="2" t="s">
        <v>12</v>
      </c>
      <c r="N7148" s="4">
        <f t="shared" si="1"/>
        <v>43358</v>
      </c>
      <c r="O7148" s="5" t="str">
        <f>IFERROR(__xludf.DUMMYFUNCTION("IF(REGEXMATCH(TRIM(I7148), ""^\d+\s*min""), ""Unclassified"", IF(I7148 = """", ""NR"", I7148))"),"TV-14")</f>
        <v>TV-14</v>
      </c>
      <c r="R7148" s="5" t="str">
        <f t="shared" si="2"/>
        <v>Jugaad</v>
      </c>
      <c r="S7148" s="5" t="str">
        <f>IFERROR(__xludf.DUMMYFUNCTION("""COMPUTED_VALUE"""),"The Figurine (Araromire)")</f>
        <v>The Figurine (Araromire)</v>
      </c>
      <c r="V7148" s="5"/>
      <c r="Y7148" s="5" t="str">
        <f>IFERROR(__xludf.DUMMYFUNCTION("REGEXEXTRACT(J7148, ""^\d+"")"),"52")</f>
        <v>52</v>
      </c>
      <c r="Z7148" s="5" t="str">
        <f>IFERROR(__xludf.DUMMYFUNCTION("REGEXEXTRACT(J7148, ""[A-Za-z ]+$"")")," min")</f>
        <v> min</v>
      </c>
      <c r="AA7148" s="5" t="str">
        <f>IFERROR(__xludf.DUMMYFUNCTION("IF(REGEXMATCH(Z7148, ""Season""), ""TV Show"", ""Movie"")"),"Movie")</f>
        <v>Movie</v>
      </c>
    </row>
    <row r="7149">
      <c r="A7149" s="1" t="s">
        <v>35105</v>
      </c>
      <c r="B7149" s="1" t="s">
        <v>27</v>
      </c>
      <c r="C7149" s="1" t="s">
        <v>35106</v>
      </c>
      <c r="D7149" s="1" t="s">
        <v>17040</v>
      </c>
      <c r="E7149" s="1" t="s">
        <v>35107</v>
      </c>
      <c r="F7149" s="1" t="s">
        <v>30</v>
      </c>
      <c r="G7149" s="1" t="s">
        <v>8506</v>
      </c>
      <c r="H7149" s="1">
        <v>2009.0</v>
      </c>
      <c r="I7149" s="1" t="s">
        <v>32</v>
      </c>
      <c r="J7149" s="1" t="s">
        <v>2566</v>
      </c>
      <c r="K7149" s="1" t="s">
        <v>107</v>
      </c>
      <c r="L7149" s="1" t="s">
        <v>35108</v>
      </c>
      <c r="M7149" s="2" t="s">
        <v>12</v>
      </c>
      <c r="N7149" s="4">
        <f t="shared" si="1"/>
        <v>44197</v>
      </c>
      <c r="O7149" s="5" t="str">
        <f>IFERROR(__xludf.DUMMYFUNCTION("IF(REGEXMATCH(TRIM(I7149), ""^\d+\s*min""), ""Unclassified"", IF(I7149 = """", ""NR"", I7149))"),"PG-13")</f>
        <v>PG-13</v>
      </c>
      <c r="R7149" s="5" t="str">
        <f t="shared" si="2"/>
        <v>Julie &amp; Julia</v>
      </c>
      <c r="S7149" s="5" t="str">
        <f>IFERROR(__xludf.DUMMYFUNCTION("""COMPUTED_VALUE"""),"The Final Destination")</f>
        <v>The Final Destination</v>
      </c>
      <c r="V7149" s="5"/>
      <c r="Y7149" s="5" t="str">
        <f>IFERROR(__xludf.DUMMYFUNCTION("REGEXEXTRACT(J7149, ""^\d+"")"),"123")</f>
        <v>123</v>
      </c>
      <c r="Z7149" s="5" t="str">
        <f>IFERROR(__xludf.DUMMYFUNCTION("REGEXEXTRACT(J7149, ""[A-Za-z ]+$"")")," min")</f>
        <v> min</v>
      </c>
      <c r="AA7149" s="5" t="str">
        <f>IFERROR(__xludf.DUMMYFUNCTION("IF(REGEXMATCH(Z7149, ""Season""), ""TV Show"", ""Movie"")"),"Movie")</f>
        <v>Movie</v>
      </c>
    </row>
    <row r="7150">
      <c r="A7150" s="1" t="s">
        <v>35109</v>
      </c>
      <c r="B7150" s="1" t="s">
        <v>37</v>
      </c>
      <c r="C7150" s="1" t="s">
        <v>35110</v>
      </c>
      <c r="E7150" s="1" t="s">
        <v>35111</v>
      </c>
      <c r="F7150" s="1" t="s">
        <v>30</v>
      </c>
      <c r="G7150" s="1" t="s">
        <v>35112</v>
      </c>
      <c r="H7150" s="1">
        <v>2014.0</v>
      </c>
      <c r="I7150" s="1" t="s">
        <v>206</v>
      </c>
      <c r="J7150" s="1" t="s">
        <v>43</v>
      </c>
      <c r="K7150" s="1" t="s">
        <v>290</v>
      </c>
      <c r="L7150" s="1" t="s">
        <v>35113</v>
      </c>
      <c r="M7150" s="2" t="s">
        <v>12</v>
      </c>
      <c r="N7150" s="1" t="str">
        <f t="shared" si="1"/>
        <v>#N/A</v>
      </c>
      <c r="O7150" s="5" t="str">
        <f>IFERROR(__xludf.DUMMYFUNCTION("IF(REGEXMATCH(TRIM(I7150), ""^\d+\s*min""), ""Unclassified"", IF(I7150 = """", ""NR"", I7150))"),"TV-Y")</f>
        <v>TV-Y</v>
      </c>
      <c r="R7150" s="5" t="str">
        <f t="shared" si="2"/>
        <v>Julius Jr.</v>
      </c>
      <c r="S7150" s="5" t="str">
        <f>IFERROR(__xludf.DUMMYFUNCTION("""COMPUTED_VALUE"""),"The Final Table")</f>
        <v>The Final Table</v>
      </c>
      <c r="V7150" s="5"/>
      <c r="Y7150" s="5" t="str">
        <f>IFERROR(__xludf.DUMMYFUNCTION("REGEXEXTRACT(J7150, ""^\d+"")"),"2")</f>
        <v>2</v>
      </c>
      <c r="Z7150" s="5" t="str">
        <f>IFERROR(__xludf.DUMMYFUNCTION("REGEXEXTRACT(J7150, ""[A-Za-z ]+$"")")," Seasons")</f>
        <v> Seasons</v>
      </c>
      <c r="AA7150" s="5" t="str">
        <f>IFERROR(__xludf.DUMMYFUNCTION("IF(REGEXMATCH(Z7150, ""Season""), ""TV Show"", ""Movie"")"),"TV Show")</f>
        <v>TV Show</v>
      </c>
    </row>
    <row r="7151">
      <c r="A7151" s="1" t="s">
        <v>35114</v>
      </c>
      <c r="B7151" s="1" t="s">
        <v>27</v>
      </c>
      <c r="C7151" s="1" t="s">
        <v>35115</v>
      </c>
      <c r="D7151" s="1" t="s">
        <v>20112</v>
      </c>
      <c r="E7151" s="1" t="s">
        <v>35116</v>
      </c>
      <c r="F7151" s="1" t="s">
        <v>30</v>
      </c>
      <c r="G7151" s="1" t="s">
        <v>10136</v>
      </c>
      <c r="H7151" s="1">
        <v>2011.0</v>
      </c>
      <c r="I7151" s="1" t="s">
        <v>32</v>
      </c>
      <c r="J7151" s="1" t="s">
        <v>519</v>
      </c>
      <c r="K7151" s="1" t="s">
        <v>813</v>
      </c>
      <c r="L7151" s="1" t="s">
        <v>35117</v>
      </c>
      <c r="M7151" s="2" t="s">
        <v>12</v>
      </c>
      <c r="N7151" s="4">
        <f t="shared" si="1"/>
        <v>44136</v>
      </c>
      <c r="O7151" s="5" t="str">
        <f>IFERROR(__xludf.DUMMYFUNCTION("IF(REGEXMATCH(TRIM(I7151), ""^\d+\s*min""), ""Unclassified"", IF(I7151 = """", ""NR"", I7151))"),"PG-13")</f>
        <v>PG-13</v>
      </c>
      <c r="R7151" s="5" t="str">
        <f t="shared" si="2"/>
        <v>Jumping The Broom</v>
      </c>
      <c r="S7151" s="5" t="str">
        <f>IFERROR(__xludf.DUMMYFUNCTION("""COMPUTED_VALUE"""),"The First Lady")</f>
        <v>The First Lady</v>
      </c>
      <c r="V7151" s="5"/>
      <c r="Y7151" s="5" t="str">
        <f>IFERROR(__xludf.DUMMYFUNCTION("REGEXEXTRACT(J7151, ""^\d+"")"),"113")</f>
        <v>113</v>
      </c>
      <c r="Z7151" s="5" t="str">
        <f>IFERROR(__xludf.DUMMYFUNCTION("REGEXEXTRACT(J7151, ""[A-Za-z ]+$"")")," min")</f>
        <v> min</v>
      </c>
      <c r="AA7151" s="5" t="str">
        <f>IFERROR(__xludf.DUMMYFUNCTION("IF(REGEXMATCH(Z7151, ""Season""), ""TV Show"", ""Movie"")"),"Movie")</f>
        <v>Movie</v>
      </c>
    </row>
    <row r="7152">
      <c r="A7152" s="1" t="s">
        <v>35118</v>
      </c>
      <c r="B7152" s="1" t="s">
        <v>27</v>
      </c>
      <c r="C7152" s="1" t="s">
        <v>35119</v>
      </c>
      <c r="D7152" s="1" t="s">
        <v>18153</v>
      </c>
      <c r="E7152" s="1" t="s">
        <v>35120</v>
      </c>
      <c r="F7152" s="1" t="s">
        <v>30</v>
      </c>
      <c r="G7152" s="1" t="s">
        <v>21838</v>
      </c>
      <c r="H7152" s="1">
        <v>2005.0</v>
      </c>
      <c r="I7152" s="1" t="s">
        <v>378</v>
      </c>
      <c r="J7152" s="1" t="s">
        <v>1256</v>
      </c>
      <c r="K7152" s="1" t="s">
        <v>836</v>
      </c>
      <c r="L7152" s="1" t="s">
        <v>35121</v>
      </c>
      <c r="M7152" s="2" t="s">
        <v>12</v>
      </c>
      <c r="N7152" s="4">
        <f t="shared" si="1"/>
        <v>43525</v>
      </c>
      <c r="O7152" s="5" t="str">
        <f>IFERROR(__xludf.DUMMYFUNCTION("IF(REGEXMATCH(TRIM(I7152), ""^\d+\s*min""), ""Unclassified"", IF(I7152 = """", ""NR"", I7152))"),"R")</f>
        <v>R</v>
      </c>
      <c r="R7152" s="5" t="str">
        <f t="shared" si="2"/>
        <v>Junebug</v>
      </c>
      <c r="S7152" s="5" t="str">
        <f>IFERROR(__xludf.DUMMYFUNCTION("""COMPUTED_VALUE"""),"The First Line")</f>
        <v>The First Line</v>
      </c>
      <c r="V7152" s="5"/>
      <c r="Y7152" s="5" t="str">
        <f>IFERROR(__xludf.DUMMYFUNCTION("REGEXEXTRACT(J7152, ""^\d+"")"),"107")</f>
        <v>107</v>
      </c>
      <c r="Z7152" s="5" t="str">
        <f>IFERROR(__xludf.DUMMYFUNCTION("REGEXEXTRACT(J7152, ""[A-Za-z ]+$"")")," min")</f>
        <v> min</v>
      </c>
      <c r="AA7152" s="5" t="str">
        <f>IFERROR(__xludf.DUMMYFUNCTION("IF(REGEXMATCH(Z7152, ""Season""), ""TV Show"", ""Movie"")"),"Movie")</f>
        <v>Movie</v>
      </c>
    </row>
    <row r="7153">
      <c r="A7153" s="1" t="s">
        <v>35122</v>
      </c>
      <c r="B7153" s="1" t="s">
        <v>27</v>
      </c>
      <c r="C7153" s="1" t="s">
        <v>35123</v>
      </c>
      <c r="D7153" s="1" t="s">
        <v>13334</v>
      </c>
      <c r="E7153" s="1" t="s">
        <v>35124</v>
      </c>
      <c r="F7153" s="1" t="s">
        <v>5656</v>
      </c>
      <c r="G7153" s="1" t="s">
        <v>19813</v>
      </c>
      <c r="H7153" s="1">
        <v>2015.0</v>
      </c>
      <c r="I7153" s="1" t="s">
        <v>32</v>
      </c>
      <c r="J7153" s="1" t="s">
        <v>757</v>
      </c>
      <c r="K7153" s="1" t="s">
        <v>942</v>
      </c>
      <c r="L7153" s="1" t="s">
        <v>35125</v>
      </c>
      <c r="M7153" s="2" t="s">
        <v>12</v>
      </c>
      <c r="N7153" s="4">
        <f t="shared" si="1"/>
        <v>43678</v>
      </c>
      <c r="O7153" s="5" t="str">
        <f>IFERROR(__xludf.DUMMYFUNCTION("IF(REGEXMATCH(TRIM(I7153), ""^\d+\s*min""), ""Unclassified"", IF(I7153 = """", ""NR"", I7153))"),"PG-13")</f>
        <v>PG-13</v>
      </c>
      <c r="R7153" s="5" t="str">
        <f t="shared" si="2"/>
        <v>Jupiter Ascending</v>
      </c>
      <c r="S7153" s="5" t="str">
        <f>IFERROR(__xludf.DUMMYFUNCTION("""COMPUTED_VALUE"""),"The First Temptation Of Christ")</f>
        <v>The First Temptation Of Christ</v>
      </c>
      <c r="V7153" s="5"/>
      <c r="Y7153" s="5" t="str">
        <f>IFERROR(__xludf.DUMMYFUNCTION("REGEXEXTRACT(J7153, ""^\d+"")"),"128")</f>
        <v>128</v>
      </c>
      <c r="Z7153" s="5" t="str">
        <f>IFERROR(__xludf.DUMMYFUNCTION("REGEXEXTRACT(J7153, ""[A-Za-z ]+$"")")," min")</f>
        <v> min</v>
      </c>
      <c r="AA7153" s="5" t="str">
        <f>IFERROR(__xludf.DUMMYFUNCTION("IF(REGEXMATCH(Z7153, ""Season""), ""TV Show"", ""Movie"")"),"Movie")</f>
        <v>Movie</v>
      </c>
    </row>
    <row r="7154">
      <c r="A7154" s="1" t="s">
        <v>35126</v>
      </c>
      <c r="B7154" s="1" t="s">
        <v>27</v>
      </c>
      <c r="C7154" s="1" t="s">
        <v>35127</v>
      </c>
      <c r="D7154" s="1" t="s">
        <v>5709</v>
      </c>
      <c r="E7154" s="1" t="s">
        <v>35128</v>
      </c>
      <c r="F7154" s="1" t="s">
        <v>35129</v>
      </c>
      <c r="G7154" s="1" t="s">
        <v>19361</v>
      </c>
      <c r="H7154" s="1">
        <v>2005.0</v>
      </c>
      <c r="I7154" s="1" t="s">
        <v>32</v>
      </c>
      <c r="J7154" s="1" t="s">
        <v>170</v>
      </c>
      <c r="K7154" s="1" t="s">
        <v>813</v>
      </c>
      <c r="L7154" s="1" t="s">
        <v>35130</v>
      </c>
      <c r="M7154" s="2" t="s">
        <v>12</v>
      </c>
      <c r="N7154" s="4">
        <f t="shared" si="1"/>
        <v>43709</v>
      </c>
      <c r="O7154" s="5" t="str">
        <f>IFERROR(__xludf.DUMMYFUNCTION("IF(REGEXMATCH(TRIM(I7154), ""^\d+\s*min""), ""Unclassified"", IF(I7154 = """", ""NR"", I7154))"),"PG-13")</f>
        <v>PG-13</v>
      </c>
      <c r="R7154" s="5" t="str">
        <f t="shared" si="2"/>
        <v>Just Friends</v>
      </c>
      <c r="S7154" s="5" t="str">
        <f>IFERROR(__xludf.DUMMYFUNCTION("""COMPUTED_VALUE"""),"The First Wives Club")</f>
        <v>The First Wives Club</v>
      </c>
      <c r="V7154" s="5"/>
      <c r="Y7154" s="5" t="str">
        <f>IFERROR(__xludf.DUMMYFUNCTION("REGEXEXTRACT(J7154, ""^\d+"")"),"94")</f>
        <v>94</v>
      </c>
      <c r="Z7154" s="5" t="str">
        <f>IFERROR(__xludf.DUMMYFUNCTION("REGEXEXTRACT(J7154, ""[A-Za-z ]+$"")")," min")</f>
        <v> min</v>
      </c>
      <c r="AA7154" s="5" t="str">
        <f>IFERROR(__xludf.DUMMYFUNCTION("IF(REGEXMATCH(Z7154, ""Season""), ""TV Show"", ""Movie"")"),"Movie")</f>
        <v>Movie</v>
      </c>
    </row>
    <row r="7155">
      <c r="A7155" s="1" t="s">
        <v>35131</v>
      </c>
      <c r="B7155" s="1" t="s">
        <v>27</v>
      </c>
      <c r="C7155" s="1" t="s">
        <v>35132</v>
      </c>
      <c r="D7155" s="1" t="s">
        <v>11517</v>
      </c>
      <c r="E7155" s="1" t="s">
        <v>35133</v>
      </c>
      <c r="F7155" s="1" t="s">
        <v>1119</v>
      </c>
      <c r="G7155" s="1" t="s">
        <v>24683</v>
      </c>
      <c r="H7155" s="1">
        <v>1992.0</v>
      </c>
      <c r="I7155" s="1" t="s">
        <v>97</v>
      </c>
      <c r="J7155" s="1" t="s">
        <v>465</v>
      </c>
      <c r="K7155" s="1" t="s">
        <v>1328</v>
      </c>
      <c r="L7155" s="1" t="s">
        <v>35134</v>
      </c>
      <c r="M7155" s="2" t="s">
        <v>12</v>
      </c>
      <c r="N7155" s="4">
        <f t="shared" si="1"/>
        <v>43343</v>
      </c>
      <c r="O7155" s="5" t="str">
        <f>IFERROR(__xludf.DUMMYFUNCTION("IF(REGEXMATCH(TRIM(I7155), ""^\d+\s*min""), ""Unclassified"", IF(I7155 = """", ""NR"", I7155))"),"TV-14")</f>
        <v>TV-14</v>
      </c>
      <c r="R7155" s="5" t="str">
        <f t="shared" si="2"/>
        <v>Justice, My Foot!</v>
      </c>
      <c r="S7155" s="5" t="str">
        <f>IFERROR(__xludf.DUMMYFUNCTION("""COMPUTED_VALUE"""),"The Fisherman'S Diary")</f>
        <v>The Fisherman'S Diary</v>
      </c>
      <c r="V7155" s="5"/>
      <c r="Y7155" s="5" t="str">
        <f>IFERROR(__xludf.DUMMYFUNCTION("REGEXEXTRACT(J7155, ""^\d+"")"),"95")</f>
        <v>95</v>
      </c>
      <c r="Z7155" s="5" t="str">
        <f>IFERROR(__xludf.DUMMYFUNCTION("REGEXEXTRACT(J7155, ""[A-Za-z ]+$"")")," min")</f>
        <v> min</v>
      </c>
      <c r="AA7155" s="5" t="str">
        <f>IFERROR(__xludf.DUMMYFUNCTION("IF(REGEXMATCH(Z7155, ""Season""), ""TV Show"", ""Movie"")"),"Movie")</f>
        <v>Movie</v>
      </c>
    </row>
    <row r="7156">
      <c r="A7156" s="1" t="s">
        <v>35135</v>
      </c>
      <c r="B7156" s="1" t="s">
        <v>27</v>
      </c>
      <c r="C7156" s="1" t="s">
        <v>35136</v>
      </c>
      <c r="D7156" s="1" t="s">
        <v>11606</v>
      </c>
      <c r="E7156" s="1" t="s">
        <v>35137</v>
      </c>
      <c r="F7156" s="1" t="s">
        <v>30</v>
      </c>
      <c r="G7156" s="1" t="s">
        <v>26481</v>
      </c>
      <c r="H7156" s="1">
        <v>2011.0</v>
      </c>
      <c r="I7156" s="1" t="s">
        <v>770</v>
      </c>
      <c r="J7156" s="1" t="s">
        <v>256</v>
      </c>
      <c r="K7156" s="1" t="s">
        <v>700</v>
      </c>
      <c r="L7156" s="1" t="s">
        <v>35138</v>
      </c>
      <c r="M7156" s="2" t="s">
        <v>12</v>
      </c>
      <c r="N7156" s="4">
        <f t="shared" si="1"/>
        <v>43101</v>
      </c>
      <c r="O7156" s="5" t="str">
        <f>IFERROR(__xludf.DUMMYFUNCTION("IF(REGEXMATCH(TRIM(I7156), ""^\d+\s*min""), ""Unclassified"", IF(I7156 = """", ""NR"", I7156))"),"G")</f>
        <v>G</v>
      </c>
      <c r="R7156" s="5" t="str">
        <f t="shared" si="2"/>
        <v>Justin Bieber: Never Say Never</v>
      </c>
      <c r="S7156" s="5" t="str">
        <f>IFERROR(__xludf.DUMMYFUNCTION("""COMPUTED_VALUE"""),"The Five")</f>
        <v>The Five</v>
      </c>
      <c r="V7156" s="5"/>
      <c r="Y7156" s="5" t="str">
        <f>IFERROR(__xludf.DUMMYFUNCTION("REGEXEXTRACT(J7156, ""^\d+"")"),"106")</f>
        <v>106</v>
      </c>
      <c r="Z7156" s="5" t="str">
        <f>IFERROR(__xludf.DUMMYFUNCTION("REGEXEXTRACT(J7156, ""[A-Za-z ]+$"")")," min")</f>
        <v> min</v>
      </c>
      <c r="AA7156" s="5" t="str">
        <f>IFERROR(__xludf.DUMMYFUNCTION("IF(REGEXMATCH(Z7156, ""Season""), ""TV Show"", ""Movie"")"),"Movie")</f>
        <v>Movie</v>
      </c>
    </row>
    <row r="7157">
      <c r="A7157" s="1" t="s">
        <v>35139</v>
      </c>
      <c r="B7157" s="1" t="s">
        <v>37</v>
      </c>
      <c r="C7157" s="1" t="s">
        <v>35140</v>
      </c>
      <c r="E7157" s="1" t="s">
        <v>35141</v>
      </c>
      <c r="F7157" s="1" t="s">
        <v>415</v>
      </c>
      <c r="G7157" s="1" t="s">
        <v>29051</v>
      </c>
      <c r="H7157" s="1">
        <v>2012.0</v>
      </c>
      <c r="I7157" s="1" t="s">
        <v>42</v>
      </c>
      <c r="J7157" s="1" t="s">
        <v>51</v>
      </c>
      <c r="K7157" s="1" t="s">
        <v>3858</v>
      </c>
      <c r="L7157" s="1" t="s">
        <v>35142</v>
      </c>
      <c r="M7157" s="2" t="s">
        <v>12</v>
      </c>
      <c r="N7157" s="4">
        <f t="shared" si="1"/>
        <v>42705</v>
      </c>
      <c r="O7157" s="5" t="str">
        <f>IFERROR(__xludf.DUMMYFUNCTION("IF(REGEXMATCH(TRIM(I7157), ""^\d+\s*min""), ""Unclassified"", IF(I7157 = """", ""NR"", I7157))"),"TV-MA")</f>
        <v>TV-MA</v>
      </c>
      <c r="R7157" s="5" t="str">
        <f t="shared" si="2"/>
        <v>K</v>
      </c>
      <c r="S7157" s="5" t="str">
        <f>IFERROR(__xludf.DUMMYFUNCTION("""COMPUTED_VALUE"""),"The Five Venoms")</f>
        <v>The Five Venoms</v>
      </c>
      <c r="V7157" s="5"/>
      <c r="Y7157" s="5" t="str">
        <f>IFERROR(__xludf.DUMMYFUNCTION("REGEXEXTRACT(J7157, ""^\d+"")"),"1")</f>
        <v>1</v>
      </c>
      <c r="Z7157" s="5" t="str">
        <f>IFERROR(__xludf.DUMMYFUNCTION("REGEXEXTRACT(J7157, ""[A-Za-z ]+$"")")," Season")</f>
        <v> Season</v>
      </c>
      <c r="AA7157" s="5" t="str">
        <f>IFERROR(__xludf.DUMMYFUNCTION("IF(REGEXMATCH(Z7157, ""Season""), ""TV Show"", ""Movie"")"),"TV Show")</f>
        <v>TV Show</v>
      </c>
    </row>
    <row r="7158">
      <c r="A7158" s="1" t="s">
        <v>35143</v>
      </c>
      <c r="B7158" s="1" t="s">
        <v>27</v>
      </c>
      <c r="C7158" s="1" t="s">
        <v>35144</v>
      </c>
      <c r="D7158" s="1" t="s">
        <v>12533</v>
      </c>
      <c r="E7158" s="1" t="s">
        <v>35145</v>
      </c>
      <c r="F7158" s="1" t="s">
        <v>35146</v>
      </c>
      <c r="G7158" s="1" t="s">
        <v>17936</v>
      </c>
      <c r="H7158" s="1">
        <v>2002.0</v>
      </c>
      <c r="I7158" s="1" t="s">
        <v>32</v>
      </c>
      <c r="J7158" s="1" t="s">
        <v>2414</v>
      </c>
      <c r="K7158" s="1" t="s">
        <v>323</v>
      </c>
      <c r="L7158" s="1" t="s">
        <v>35147</v>
      </c>
      <c r="M7158" s="2" t="s">
        <v>12</v>
      </c>
      <c r="N7158" s="4">
        <f t="shared" si="1"/>
        <v>43790</v>
      </c>
      <c r="O7158" s="5" t="str">
        <f>IFERROR(__xludf.DUMMYFUNCTION("IF(REGEXMATCH(TRIM(I7158), ""^\d+\s*min""), ""Unclassified"", IF(I7158 = """", ""NR"", I7158))"),"PG-13")</f>
        <v>PG-13</v>
      </c>
      <c r="R7158" s="5" t="str">
        <f t="shared" si="2"/>
        <v>K-19: The Widowmaker</v>
      </c>
      <c r="S7158" s="5" t="str">
        <f>IFERROR(__xludf.DUMMYFUNCTION("""COMPUTED_VALUE"""),"The Fix")</f>
        <v>The Fix</v>
      </c>
      <c r="V7158" s="5"/>
      <c r="Y7158" s="5" t="str">
        <f>IFERROR(__xludf.DUMMYFUNCTION("REGEXEXTRACT(J7158, ""^\d+"")"),"138")</f>
        <v>138</v>
      </c>
      <c r="Z7158" s="5" t="str">
        <f>IFERROR(__xludf.DUMMYFUNCTION("REGEXEXTRACT(J7158, ""[A-Za-z ]+$"")")," min")</f>
        <v> min</v>
      </c>
      <c r="AA7158" s="5" t="str">
        <f>IFERROR(__xludf.DUMMYFUNCTION("IF(REGEXMATCH(Z7158, ""Season""), ""TV Show"", ""Movie"")"),"Movie")</f>
        <v>Movie</v>
      </c>
    </row>
    <row r="7159">
      <c r="A7159" s="1" t="s">
        <v>35148</v>
      </c>
      <c r="B7159" s="1" t="s">
        <v>37</v>
      </c>
      <c r="C7159" s="1" t="s">
        <v>35149</v>
      </c>
      <c r="E7159" s="1" t="s">
        <v>35150</v>
      </c>
      <c r="F7159" s="1" t="s">
        <v>188</v>
      </c>
      <c r="G7159" s="1" t="s">
        <v>33383</v>
      </c>
      <c r="H7159" s="1">
        <v>2013.0</v>
      </c>
      <c r="I7159" s="1" t="s">
        <v>97</v>
      </c>
      <c r="J7159" s="1" t="s">
        <v>51</v>
      </c>
      <c r="K7159" s="1" t="s">
        <v>52</v>
      </c>
      <c r="L7159" s="1" t="s">
        <v>35151</v>
      </c>
      <c r="M7159" s="2" t="s">
        <v>12</v>
      </c>
      <c r="N7159" s="4">
        <f t="shared" si="1"/>
        <v>42730</v>
      </c>
      <c r="O7159" s="5" t="str">
        <f>IFERROR(__xludf.DUMMYFUNCTION("IF(REGEXMATCH(TRIM(I7159), ""^\d+\s*min""), ""Unclassified"", IF(I7159 = """", ""NR"", I7159))"),"TV-14")</f>
        <v>TV-14</v>
      </c>
      <c r="R7159" s="5" t="str">
        <f t="shared" si="2"/>
        <v>Kaçak</v>
      </c>
      <c r="S7159" s="5" t="str">
        <f>IFERROR(__xludf.DUMMYFUNCTION("""COMPUTED_VALUE"""),"The Flash")</f>
        <v>The Flash</v>
      </c>
      <c r="V7159" s="5"/>
      <c r="Y7159" s="5" t="str">
        <f>IFERROR(__xludf.DUMMYFUNCTION("REGEXEXTRACT(J7159, ""^\d+"")"),"1")</f>
        <v>1</v>
      </c>
      <c r="Z7159" s="5" t="str">
        <f>IFERROR(__xludf.DUMMYFUNCTION("REGEXEXTRACT(J7159, ""[A-Za-z ]+$"")")," Season")</f>
        <v> Season</v>
      </c>
      <c r="AA7159" s="5" t="str">
        <f>IFERROR(__xludf.DUMMYFUNCTION("IF(REGEXMATCH(Z7159, ""Season""), ""TV Show"", ""Movie"")"),"TV Show")</f>
        <v>TV Show</v>
      </c>
    </row>
    <row r="7160">
      <c r="A7160" s="1" t="s">
        <v>35152</v>
      </c>
      <c r="B7160" s="1" t="s">
        <v>27</v>
      </c>
      <c r="C7160" s="1" t="s">
        <v>35153</v>
      </c>
      <c r="D7160" s="1" t="s">
        <v>20370</v>
      </c>
      <c r="E7160" s="1" t="s">
        <v>35154</v>
      </c>
      <c r="F7160" s="1" t="s">
        <v>63</v>
      </c>
      <c r="G7160" s="1" t="s">
        <v>35155</v>
      </c>
      <c r="H7160" s="1">
        <v>2017.0</v>
      </c>
      <c r="I7160" s="1" t="s">
        <v>97</v>
      </c>
      <c r="J7160" s="1" t="s">
        <v>1938</v>
      </c>
      <c r="K7160" s="1" t="s">
        <v>128</v>
      </c>
      <c r="L7160" s="1" t="s">
        <v>35156</v>
      </c>
      <c r="M7160" s="2" t="s">
        <v>12</v>
      </c>
      <c r="N7160" s="4">
        <f t="shared" si="1"/>
        <v>42911</v>
      </c>
      <c r="O7160" s="5" t="str">
        <f>IFERROR(__xludf.DUMMYFUNCTION("IF(REGEXMATCH(TRIM(I7160), ""^\d+\s*min""), ""Unclassified"", IF(I7160 = """", ""NR"", I7160))"),"TV-14")</f>
        <v>TV-14</v>
      </c>
      <c r="R7160" s="5" t="str">
        <f t="shared" si="2"/>
        <v>Kaabil</v>
      </c>
      <c r="S7160" s="5" t="str">
        <f>IFERROR(__xludf.DUMMYFUNCTION("""COMPUTED_VALUE"""),"The Flintstones")</f>
        <v>The Flintstones</v>
      </c>
      <c r="V7160" s="5"/>
      <c r="Y7160" s="5" t="str">
        <f>IFERROR(__xludf.DUMMYFUNCTION("REGEXEXTRACT(J7160, ""^\d+"")"),"139")</f>
        <v>139</v>
      </c>
      <c r="Z7160" s="5" t="str">
        <f>IFERROR(__xludf.DUMMYFUNCTION("REGEXEXTRACT(J7160, ""[A-Za-z ]+$"")")," min")</f>
        <v> min</v>
      </c>
      <c r="AA7160" s="5" t="str">
        <f>IFERROR(__xludf.DUMMYFUNCTION("IF(REGEXMATCH(Z7160, ""Season""), ""TV Show"", ""Movie"")"),"Movie")</f>
        <v>Movie</v>
      </c>
    </row>
    <row r="7161">
      <c r="A7161" s="1" t="s">
        <v>35157</v>
      </c>
      <c r="B7161" s="1" t="s">
        <v>27</v>
      </c>
      <c r="C7161" s="1" t="s">
        <v>35158</v>
      </c>
      <c r="D7161" s="1" t="s">
        <v>13129</v>
      </c>
      <c r="E7161" s="1" t="s">
        <v>35159</v>
      </c>
      <c r="F7161" s="1" t="s">
        <v>63</v>
      </c>
      <c r="G7161" s="1" t="s">
        <v>26089</v>
      </c>
      <c r="H7161" s="1">
        <v>2015.0</v>
      </c>
      <c r="I7161" s="1" t="s">
        <v>136</v>
      </c>
      <c r="J7161" s="1" t="s">
        <v>2505</v>
      </c>
      <c r="K7161" s="1" t="s">
        <v>679</v>
      </c>
      <c r="L7161" s="1" t="s">
        <v>35160</v>
      </c>
      <c r="M7161" s="2" t="s">
        <v>12</v>
      </c>
      <c r="N7161" s="4">
        <f t="shared" si="1"/>
        <v>43160</v>
      </c>
      <c r="O7161" s="5" t="str">
        <f>IFERROR(__xludf.DUMMYFUNCTION("IF(REGEXMATCH(TRIM(I7161), ""^\d+\s*min""), ""Unclassified"", IF(I7161 = """", ""NR"", I7161))"),"TV-PG")</f>
        <v>TV-PG</v>
      </c>
      <c r="R7161" s="5" t="str">
        <f t="shared" si="2"/>
        <v>Kaakan</v>
      </c>
      <c r="S7161" s="5" t="str">
        <f>IFERROR(__xludf.DUMMYFUNCTION("""COMPUTED_VALUE"""),"The Flintstones In Viva Rock Vegas")</f>
        <v>The Flintstones In Viva Rock Vegas</v>
      </c>
      <c r="V7161" s="5"/>
      <c r="Y7161" s="5" t="str">
        <f>IFERROR(__xludf.DUMMYFUNCTION("REGEXEXTRACT(J7161, ""^\d+"")"),"132")</f>
        <v>132</v>
      </c>
      <c r="Z7161" s="5" t="str">
        <f>IFERROR(__xludf.DUMMYFUNCTION("REGEXEXTRACT(J7161, ""[A-Za-z ]+$"")")," min")</f>
        <v> min</v>
      </c>
      <c r="AA7161" s="5" t="str">
        <f>IFERROR(__xludf.DUMMYFUNCTION("IF(REGEXMATCH(Z7161, ""Season""), ""TV Show"", ""Movie"")"),"Movie")</f>
        <v>Movie</v>
      </c>
    </row>
    <row r="7162">
      <c r="A7162" s="1" t="s">
        <v>35161</v>
      </c>
      <c r="B7162" s="1" t="s">
        <v>27</v>
      </c>
      <c r="C7162" s="1" t="s">
        <v>35162</v>
      </c>
      <c r="D7162" s="1" t="s">
        <v>22577</v>
      </c>
      <c r="E7162" s="1" t="s">
        <v>35163</v>
      </c>
      <c r="F7162" s="1" t="s">
        <v>63</v>
      </c>
      <c r="G7162" s="1" t="s">
        <v>17078</v>
      </c>
      <c r="H7162" s="1">
        <v>1981.0</v>
      </c>
      <c r="I7162" s="1" t="s">
        <v>97</v>
      </c>
      <c r="J7162" s="1" t="s">
        <v>6683</v>
      </c>
      <c r="K7162" s="1" t="s">
        <v>306</v>
      </c>
      <c r="L7162" s="1" t="s">
        <v>35164</v>
      </c>
      <c r="M7162" s="2" t="s">
        <v>12</v>
      </c>
      <c r="N7162" s="4">
        <f t="shared" si="1"/>
        <v>43830</v>
      </c>
      <c r="O7162" s="5" t="str">
        <f>IFERROR(__xludf.DUMMYFUNCTION("IF(REGEXMATCH(TRIM(I7162), ""^\d+\s*min""), ""Unclassified"", IF(I7162 = """", ""NR"", I7162))"),"TV-14")</f>
        <v>TV-14</v>
      </c>
      <c r="R7162" s="5" t="str">
        <f t="shared" si="2"/>
        <v>Kaalia</v>
      </c>
      <c r="S7162" s="5" t="str">
        <f>IFERROR(__xludf.DUMMYFUNCTION("""COMPUTED_VALUE"""),"The Florida Project")</f>
        <v>The Florida Project</v>
      </c>
      <c r="V7162" s="5"/>
      <c r="Y7162" s="5" t="str">
        <f>IFERROR(__xludf.DUMMYFUNCTION("REGEXEXTRACT(J7162, ""^\d+"")"),"173")</f>
        <v>173</v>
      </c>
      <c r="Z7162" s="5" t="str">
        <f>IFERROR(__xludf.DUMMYFUNCTION("REGEXEXTRACT(J7162, ""[A-Za-z ]+$"")")," min")</f>
        <v> min</v>
      </c>
      <c r="AA7162" s="5" t="str">
        <f>IFERROR(__xludf.DUMMYFUNCTION("IF(REGEXMATCH(Z7162, ""Season""), ""TV Show"", ""Movie"")"),"Movie")</f>
        <v>Movie</v>
      </c>
    </row>
    <row r="7163">
      <c r="A7163" s="1" t="s">
        <v>35165</v>
      </c>
      <c r="B7163" s="1" t="s">
        <v>27</v>
      </c>
      <c r="C7163" s="1" t="s">
        <v>35166</v>
      </c>
      <c r="D7163" s="1" t="s">
        <v>10933</v>
      </c>
      <c r="E7163" s="1" t="s">
        <v>35167</v>
      </c>
      <c r="F7163" s="1" t="s">
        <v>63</v>
      </c>
      <c r="G7163" s="1" t="s">
        <v>24964</v>
      </c>
      <c r="H7163" s="1">
        <v>2017.0</v>
      </c>
      <c r="I7163" s="1" t="s">
        <v>136</v>
      </c>
      <c r="J7163" s="1" t="s">
        <v>305</v>
      </c>
      <c r="K7163" s="1" t="s">
        <v>128</v>
      </c>
      <c r="L7163" s="1" t="s">
        <v>35168</v>
      </c>
      <c r="M7163" s="2" t="s">
        <v>12</v>
      </c>
      <c r="N7163" s="4">
        <f t="shared" si="1"/>
        <v>43313</v>
      </c>
      <c r="O7163" s="5" t="str">
        <f>IFERROR(__xludf.DUMMYFUNCTION("IF(REGEXMATCH(TRIM(I7163), ""^\d+\s*min""), ""Unclassified"", IF(I7163 = """", ""NR"", I7163))"),"TV-PG")</f>
        <v>TV-PG</v>
      </c>
      <c r="R7163" s="5" t="str">
        <f t="shared" si="2"/>
        <v>Kaaliyan</v>
      </c>
      <c r="S7163" s="5" t="str">
        <f>IFERROR(__xludf.DUMMYFUNCTION("""COMPUTED_VALUE"""),"The Fluffy Movie")</f>
        <v>The Fluffy Movie</v>
      </c>
      <c r="V7163" s="5"/>
      <c r="Y7163" s="5" t="str">
        <f>IFERROR(__xludf.DUMMYFUNCTION("REGEXEXTRACT(J7163, ""^\d+"")"),"105")</f>
        <v>105</v>
      </c>
      <c r="Z7163" s="5" t="str">
        <f>IFERROR(__xludf.DUMMYFUNCTION("REGEXEXTRACT(J7163, ""[A-Za-z ]+$"")")," min")</f>
        <v> min</v>
      </c>
      <c r="AA7163" s="5" t="str">
        <f>IFERROR(__xludf.DUMMYFUNCTION("IF(REGEXMATCH(Z7163, ""Season""), ""TV Show"", ""Movie"")"),"Movie")</f>
        <v>Movie</v>
      </c>
    </row>
    <row r="7164">
      <c r="A7164" s="1" t="s">
        <v>35169</v>
      </c>
      <c r="B7164" s="1" t="s">
        <v>27</v>
      </c>
      <c r="C7164" s="1" t="s">
        <v>35170</v>
      </c>
      <c r="D7164" s="1" t="s">
        <v>17421</v>
      </c>
      <c r="E7164" s="1" t="s">
        <v>35171</v>
      </c>
      <c r="F7164" s="1" t="s">
        <v>63</v>
      </c>
      <c r="G7164" s="1" t="s">
        <v>26596</v>
      </c>
      <c r="H7164" s="1">
        <v>2016.0</v>
      </c>
      <c r="I7164" s="1" t="s">
        <v>42</v>
      </c>
      <c r="J7164" s="1" t="s">
        <v>2216</v>
      </c>
      <c r="K7164" s="1" t="s">
        <v>306</v>
      </c>
      <c r="L7164" s="1" t="s">
        <v>35172</v>
      </c>
      <c r="M7164" s="2" t="s">
        <v>12</v>
      </c>
      <c r="N7164" s="4">
        <f t="shared" si="1"/>
        <v>43084</v>
      </c>
      <c r="O7164" s="5" t="str">
        <f>IFERROR(__xludf.DUMMYFUNCTION("IF(REGEXMATCH(TRIM(I7164), ""^\d+\s*min""), ""Unclassified"", IF(I7164 = """", ""NR"", I7164))"),"TV-MA")</f>
        <v>TV-MA</v>
      </c>
      <c r="R7164" s="5" t="str">
        <f t="shared" si="2"/>
        <v>Kabali (Hindi Version)</v>
      </c>
      <c r="S7164" s="5" t="str">
        <f>IFERROR(__xludf.DUMMYFUNCTION("""COMPUTED_VALUE"""),"The Flying Guillotine")</f>
        <v>The Flying Guillotine</v>
      </c>
      <c r="V7164" s="5"/>
      <c r="Y7164" s="5" t="str">
        <f>IFERROR(__xludf.DUMMYFUNCTION("REGEXEXTRACT(J7164, ""^\d+"")"),"148")</f>
        <v>148</v>
      </c>
      <c r="Z7164" s="5" t="str">
        <f>IFERROR(__xludf.DUMMYFUNCTION("REGEXEXTRACT(J7164, ""[A-Za-z ]+$"")")," min")</f>
        <v> min</v>
      </c>
      <c r="AA7164" s="5" t="str">
        <f>IFERROR(__xludf.DUMMYFUNCTION("IF(REGEXMATCH(Z7164, ""Season""), ""TV Show"", ""Movie"")"),"Movie")</f>
        <v>Movie</v>
      </c>
    </row>
    <row r="7165">
      <c r="A7165" s="1" t="s">
        <v>35173</v>
      </c>
      <c r="B7165" s="1" t="s">
        <v>27</v>
      </c>
      <c r="C7165" s="1" t="s">
        <v>35174</v>
      </c>
      <c r="D7165" s="1" t="s">
        <v>4016</v>
      </c>
      <c r="E7165" s="1" t="s">
        <v>35175</v>
      </c>
      <c r="F7165" s="1" t="s">
        <v>63</v>
      </c>
      <c r="G7165" s="1" t="s">
        <v>26883</v>
      </c>
      <c r="H7165" s="1">
        <v>2016.0</v>
      </c>
      <c r="I7165" s="1" t="s">
        <v>97</v>
      </c>
      <c r="J7165" s="1" t="s">
        <v>985</v>
      </c>
      <c r="K7165" s="1" t="s">
        <v>679</v>
      </c>
      <c r="L7165" s="1" t="s">
        <v>35176</v>
      </c>
      <c r="M7165" s="2" t="s">
        <v>12</v>
      </c>
      <c r="N7165" s="4">
        <f t="shared" si="1"/>
        <v>43040</v>
      </c>
      <c r="O7165" s="5" t="str">
        <f>IFERROR(__xludf.DUMMYFUNCTION("IF(REGEXMATCH(TRIM(I7165), ""^\d+\s*min""), ""Unclassified"", IF(I7165 = """", ""NR"", I7165))"),"TV-14")</f>
        <v>TV-14</v>
      </c>
      <c r="R7165" s="5" t="str">
        <f t="shared" si="2"/>
        <v>Kacche Dhaagey</v>
      </c>
      <c r="S7165" s="5" t="str">
        <f>IFERROR(__xludf.DUMMYFUNCTION("""COMPUTED_VALUE"""),"The Forbidden Kingdom")</f>
        <v>The Forbidden Kingdom</v>
      </c>
      <c r="V7165" s="5"/>
      <c r="Y7165" s="5" t="str">
        <f>IFERROR(__xludf.DUMMYFUNCTION("REGEXEXTRACT(J7165, ""^\d+"")"),"120")</f>
        <v>120</v>
      </c>
      <c r="Z7165" s="5" t="str">
        <f>IFERROR(__xludf.DUMMYFUNCTION("REGEXEXTRACT(J7165, ""[A-Za-z ]+$"")")," min")</f>
        <v> min</v>
      </c>
      <c r="AA7165" s="5" t="str">
        <f>IFERROR(__xludf.DUMMYFUNCTION("IF(REGEXMATCH(Z7165, ""Season""), ""TV Show"", ""Movie"")"),"Movie")</f>
        <v>Movie</v>
      </c>
    </row>
    <row r="7166">
      <c r="A7166" s="1" t="s">
        <v>35177</v>
      </c>
      <c r="B7166" s="1" t="s">
        <v>27</v>
      </c>
      <c r="C7166" s="1" t="s">
        <v>35178</v>
      </c>
      <c r="D7166" s="1" t="s">
        <v>19665</v>
      </c>
      <c r="E7166" s="1" t="s">
        <v>35179</v>
      </c>
      <c r="F7166" s="1" t="s">
        <v>35180</v>
      </c>
      <c r="G7166" s="1" t="s">
        <v>27097</v>
      </c>
      <c r="H7166" s="1">
        <v>2014.0</v>
      </c>
      <c r="I7166" s="1" t="s">
        <v>78</v>
      </c>
      <c r="J7166" s="1" t="s">
        <v>471</v>
      </c>
      <c r="K7166" s="1" t="s">
        <v>771</v>
      </c>
      <c r="L7166" s="1" t="s">
        <v>35181</v>
      </c>
      <c r="M7166" s="2" t="s">
        <v>12</v>
      </c>
      <c r="N7166" s="4">
        <f t="shared" si="1"/>
        <v>43009</v>
      </c>
      <c r="O7166" s="5" t="str">
        <f>IFERROR(__xludf.DUMMYFUNCTION("IF(REGEXMATCH(TRIM(I7166), ""^\d+\s*min""), ""Unclassified"", IF(I7166 = """", ""NR"", I7166))"),"PG")</f>
        <v>PG</v>
      </c>
      <c r="R7166" s="5" t="str">
        <f t="shared" si="2"/>
        <v>Kahlil Gibran'S The Prophet</v>
      </c>
      <c r="S7166" s="5" t="str">
        <f>IFERROR(__xludf.DUMMYFUNCTION("""COMPUTED_VALUE"""),"The Force")</f>
        <v>The Force</v>
      </c>
      <c r="V7166" s="5"/>
      <c r="Y7166" s="5" t="str">
        <f>IFERROR(__xludf.DUMMYFUNCTION("REGEXEXTRACT(J7166, ""^\d+"")"),"85")</f>
        <v>85</v>
      </c>
      <c r="Z7166" s="5" t="str">
        <f>IFERROR(__xludf.DUMMYFUNCTION("REGEXEXTRACT(J7166, ""[A-Za-z ]+$"")")," min")</f>
        <v> min</v>
      </c>
      <c r="AA7166" s="5" t="str">
        <f>IFERROR(__xludf.DUMMYFUNCTION("IF(REGEXMATCH(Z7166, ""Season""), ""TV Show"", ""Movie"")"),"Movie")</f>
        <v>Movie</v>
      </c>
    </row>
    <row r="7167">
      <c r="A7167" s="1" t="s">
        <v>35182</v>
      </c>
      <c r="B7167" s="1" t="s">
        <v>27</v>
      </c>
      <c r="C7167" s="1" t="s">
        <v>35183</v>
      </c>
      <c r="D7167" s="1" t="s">
        <v>18303</v>
      </c>
      <c r="E7167" s="1" t="s">
        <v>35184</v>
      </c>
      <c r="F7167" s="1" t="s">
        <v>63</v>
      </c>
      <c r="G7167" s="1" t="s">
        <v>30658</v>
      </c>
      <c r="H7167" s="1">
        <v>2010.0</v>
      </c>
      <c r="I7167" s="1" t="s">
        <v>97</v>
      </c>
      <c r="J7167" s="1" t="s">
        <v>519</v>
      </c>
      <c r="K7167" s="1" t="s">
        <v>1429</v>
      </c>
      <c r="L7167" s="1" t="s">
        <v>35185</v>
      </c>
      <c r="M7167" s="2" t="s">
        <v>12</v>
      </c>
      <c r="N7167" s="4">
        <f t="shared" si="1"/>
        <v>43030</v>
      </c>
      <c r="O7167" s="5" t="str">
        <f>IFERROR(__xludf.DUMMYFUNCTION("IF(REGEXMATCH(TRIM(I7167), ""^\d+\s*min""), ""Unclassified"", IF(I7167 = """", ""NR"", I7167))"),"TV-14")</f>
        <v>TV-14</v>
      </c>
      <c r="R7167" s="5" t="str">
        <f t="shared" si="2"/>
        <v>Kajraare</v>
      </c>
      <c r="S7167" s="5" t="str">
        <f>IFERROR(__xludf.DUMMYFUNCTION("""COMPUTED_VALUE"""),"The Foreigner")</f>
        <v>The Foreigner</v>
      </c>
      <c r="V7167" s="5"/>
      <c r="Y7167" s="5" t="str">
        <f>IFERROR(__xludf.DUMMYFUNCTION("REGEXEXTRACT(J7167, ""^\d+"")"),"113")</f>
        <v>113</v>
      </c>
      <c r="Z7167" s="5" t="str">
        <f>IFERROR(__xludf.DUMMYFUNCTION("REGEXEXTRACT(J7167, ""[A-Za-z ]+$"")")," min")</f>
        <v> min</v>
      </c>
      <c r="AA7167" s="5" t="str">
        <f>IFERROR(__xludf.DUMMYFUNCTION("IF(REGEXMATCH(Z7167, ""Season""), ""TV Show"", ""Movie"")"),"Movie")</f>
        <v>Movie</v>
      </c>
    </row>
    <row r="7168">
      <c r="A7168" s="1" t="s">
        <v>35186</v>
      </c>
      <c r="B7168" s="1" t="s">
        <v>27</v>
      </c>
      <c r="C7168" s="1" t="s">
        <v>35187</v>
      </c>
      <c r="D7168" s="1" t="s">
        <v>19895</v>
      </c>
      <c r="E7168" s="1" t="s">
        <v>35188</v>
      </c>
      <c r="F7168" s="1" t="s">
        <v>96</v>
      </c>
      <c r="G7168" s="7">
        <v>43228.0</v>
      </c>
      <c r="H7168" s="1">
        <v>2016.0</v>
      </c>
      <c r="I7168" s="1" t="s">
        <v>42</v>
      </c>
      <c r="J7168" s="1" t="s">
        <v>416</v>
      </c>
      <c r="K7168" s="1" t="s">
        <v>171</v>
      </c>
      <c r="L7168" s="1" t="s">
        <v>35189</v>
      </c>
      <c r="M7168" s="2" t="s">
        <v>12</v>
      </c>
      <c r="N7168" s="4">
        <f t="shared" si="1"/>
        <v>43228</v>
      </c>
      <c r="O7168" s="5" t="str">
        <f>IFERROR(__xludf.DUMMYFUNCTION("IF(REGEXMATCH(TRIM(I7168), ""^\d+\s*min""), ""Unclassified"", IF(I7168 = """", ""NR"", I7168))"),"TV-MA")</f>
        <v>TV-MA</v>
      </c>
      <c r="R7168" s="5" t="str">
        <f t="shared" si="2"/>
        <v>Kaleidoscope</v>
      </c>
      <c r="S7168" s="5" t="str">
        <f>IFERROR(__xludf.DUMMYFUNCTION("""COMPUTED_VALUE"""),"The Forest")</f>
        <v>The Forest</v>
      </c>
      <c r="V7168" s="5"/>
      <c r="Y7168" s="5" t="str">
        <f>IFERROR(__xludf.DUMMYFUNCTION("REGEXEXTRACT(J7168, ""^\d+"")"),"99")</f>
        <v>99</v>
      </c>
      <c r="Z7168" s="5" t="str">
        <f>IFERROR(__xludf.DUMMYFUNCTION("REGEXEXTRACT(J7168, ""[A-Za-z ]+$"")")," min")</f>
        <v> min</v>
      </c>
      <c r="AA7168" s="5" t="str">
        <f>IFERROR(__xludf.DUMMYFUNCTION("IF(REGEXMATCH(Z7168, ""Season""), ""TV Show"", ""Movie"")"),"Movie")</f>
        <v>Movie</v>
      </c>
    </row>
    <row r="7169">
      <c r="A7169" s="1" t="s">
        <v>35190</v>
      </c>
      <c r="B7169" s="1" t="s">
        <v>27</v>
      </c>
      <c r="C7169" s="1" t="s">
        <v>35191</v>
      </c>
      <c r="D7169" s="1" t="s">
        <v>6458</v>
      </c>
      <c r="E7169" s="1" t="s">
        <v>35192</v>
      </c>
      <c r="F7169" s="1" t="s">
        <v>63</v>
      </c>
      <c r="G7169" s="1" t="s">
        <v>26089</v>
      </c>
      <c r="H7169" s="1">
        <v>2017.0</v>
      </c>
      <c r="I7169" s="1" t="s">
        <v>97</v>
      </c>
      <c r="J7169" s="1" t="s">
        <v>12531</v>
      </c>
      <c r="K7169" s="1" t="s">
        <v>89</v>
      </c>
      <c r="L7169" s="1" t="s">
        <v>35193</v>
      </c>
      <c r="M7169" s="2" t="s">
        <v>12</v>
      </c>
      <c r="N7169" s="4">
        <f t="shared" si="1"/>
        <v>43160</v>
      </c>
      <c r="O7169" s="5" t="str">
        <f>IFERROR(__xludf.DUMMYFUNCTION("IF(REGEXMATCH(TRIM(I7169), ""^\d+\s*min""), ""Unclassified"", IF(I7169 = """", ""NR"", I7169))"),"TV-14")</f>
        <v>TV-14</v>
      </c>
      <c r="R7169" s="5" t="str">
        <f t="shared" si="2"/>
        <v>Kalki</v>
      </c>
      <c r="S7169" s="5" t="str">
        <f>IFERROR(__xludf.DUMMYFUNCTION("""COMPUTED_VALUE"""),"The Forest Of Love")</f>
        <v>The Forest Of Love</v>
      </c>
      <c r="V7169" s="5"/>
      <c r="Y7169" s="5" t="str">
        <f>IFERROR(__xludf.DUMMYFUNCTION("REGEXEXTRACT(J7169, ""^\d+"")"),"41")</f>
        <v>41</v>
      </c>
      <c r="Z7169" s="5" t="str">
        <f>IFERROR(__xludf.DUMMYFUNCTION("REGEXEXTRACT(J7169, ""[A-Za-z ]+$"")")," min")</f>
        <v> min</v>
      </c>
      <c r="AA7169" s="5" t="str">
        <f>IFERROR(__xludf.DUMMYFUNCTION("IF(REGEXMATCH(Z7169, ""Season""), ""TV Show"", ""Movie"")"),"Movie")</f>
        <v>Movie</v>
      </c>
    </row>
    <row r="7170">
      <c r="A7170" s="1" t="s">
        <v>35194</v>
      </c>
      <c r="B7170" s="1" t="s">
        <v>27</v>
      </c>
      <c r="C7170" s="1" t="s">
        <v>35195</v>
      </c>
      <c r="E7170" s="1" t="s">
        <v>35196</v>
      </c>
      <c r="F7170" s="1" t="s">
        <v>63</v>
      </c>
      <c r="G7170" s="1" t="s">
        <v>26089</v>
      </c>
      <c r="H7170" s="1">
        <v>2017.0</v>
      </c>
      <c r="I7170" s="1" t="s">
        <v>97</v>
      </c>
      <c r="J7170" s="1" t="s">
        <v>297</v>
      </c>
      <c r="K7170" s="1" t="s">
        <v>1592</v>
      </c>
      <c r="L7170" s="1" t="s">
        <v>35197</v>
      </c>
      <c r="M7170" s="2" t="s">
        <v>12</v>
      </c>
      <c r="N7170" s="4">
        <f t="shared" si="1"/>
        <v>43160</v>
      </c>
      <c r="O7170" s="5" t="str">
        <f>IFERROR(__xludf.DUMMYFUNCTION("IF(REGEXMATCH(TRIM(I7170), ""^\d+\s*min""), ""Unclassified"", IF(I7170 = """", ""NR"", I7170))"),"TV-14")</f>
        <v>TV-14</v>
      </c>
      <c r="R7170" s="5" t="str">
        <f t="shared" si="2"/>
        <v>Kanika</v>
      </c>
      <c r="S7170" s="5" t="str">
        <f>IFERROR(__xludf.DUMMYFUNCTION("""COMPUTED_VALUE"""),"The Forest Of Love: Deep Cut")</f>
        <v>The Forest Of Love: Deep Cut</v>
      </c>
      <c r="V7170" s="5"/>
      <c r="Y7170" s="5" t="str">
        <f>IFERROR(__xludf.DUMMYFUNCTION("REGEXEXTRACT(J7170, ""^\d+"")"),"110")</f>
        <v>110</v>
      </c>
      <c r="Z7170" s="5" t="str">
        <f>IFERROR(__xludf.DUMMYFUNCTION("REGEXEXTRACT(J7170, ""[A-Za-z ]+$"")")," min")</f>
        <v> min</v>
      </c>
      <c r="AA7170" s="5" t="str">
        <f>IFERROR(__xludf.DUMMYFUNCTION("IF(REGEXMATCH(Z7170, ""Season""), ""TV Show"", ""Movie"")"),"Movie")</f>
        <v>Movie</v>
      </c>
    </row>
    <row r="7171">
      <c r="A7171" s="1" t="s">
        <v>35198</v>
      </c>
      <c r="B7171" s="1" t="s">
        <v>27</v>
      </c>
      <c r="C7171" s="1" t="s">
        <v>35199</v>
      </c>
      <c r="D7171" s="1" t="s">
        <v>20529</v>
      </c>
      <c r="E7171" s="1" t="s">
        <v>35200</v>
      </c>
      <c r="F7171" s="1" t="s">
        <v>63</v>
      </c>
      <c r="G7171" s="1" t="s">
        <v>30658</v>
      </c>
      <c r="H7171" s="1">
        <v>2008.0</v>
      </c>
      <c r="I7171" s="1" t="s">
        <v>97</v>
      </c>
      <c r="J7171" s="1" t="s">
        <v>4242</v>
      </c>
      <c r="K7171" s="1" t="s">
        <v>4053</v>
      </c>
      <c r="L7171" s="1" t="s">
        <v>35201</v>
      </c>
      <c r="M7171" s="2" t="s">
        <v>12</v>
      </c>
      <c r="N7171" s="4">
        <f t="shared" si="1"/>
        <v>43030</v>
      </c>
      <c r="O7171" s="5" t="str">
        <f>IFERROR(__xludf.DUMMYFUNCTION("IF(REGEXMATCH(TRIM(I7171), ""^\d+\s*min""), ""Unclassified"", IF(I7171 = """", ""NR"", I7171))"),"TV-14")</f>
        <v>TV-14</v>
      </c>
      <c r="R7171" s="5" t="str">
        <f t="shared" si="2"/>
        <v>Karzzzz</v>
      </c>
      <c r="S7171" s="5" t="str">
        <f>IFERROR(__xludf.DUMMYFUNCTION("""COMPUTED_VALUE"""),"The Forgotten")</f>
        <v>The Forgotten</v>
      </c>
      <c r="V7171" s="5"/>
      <c r="Y7171" s="5" t="str">
        <f>IFERROR(__xludf.DUMMYFUNCTION("REGEXEXTRACT(J7171, ""^\d+"")"),"137")</f>
        <v>137</v>
      </c>
      <c r="Z7171" s="5" t="str">
        <f>IFERROR(__xludf.DUMMYFUNCTION("REGEXEXTRACT(J7171, ""[A-Za-z ]+$"")")," min")</f>
        <v> min</v>
      </c>
      <c r="AA7171" s="5" t="str">
        <f>IFERROR(__xludf.DUMMYFUNCTION("IF(REGEXMATCH(Z7171, ""Season""), ""TV Show"", ""Movie"")"),"Movie")</f>
        <v>Movie</v>
      </c>
    </row>
    <row r="7172">
      <c r="A7172" s="1" t="s">
        <v>35202</v>
      </c>
      <c r="B7172" s="1" t="s">
        <v>27</v>
      </c>
      <c r="C7172" s="1" t="s">
        <v>35203</v>
      </c>
      <c r="D7172" s="1" t="s">
        <v>2064</v>
      </c>
      <c r="E7172" s="1" t="s">
        <v>35204</v>
      </c>
      <c r="F7172" s="1" t="s">
        <v>30</v>
      </c>
      <c r="G7172" s="1" t="s">
        <v>16947</v>
      </c>
      <c r="H7172" s="1">
        <v>2001.0</v>
      </c>
      <c r="I7172" s="1" t="s">
        <v>32</v>
      </c>
      <c r="J7172" s="1" t="s">
        <v>870</v>
      </c>
      <c r="K7172" s="1" t="s">
        <v>813</v>
      </c>
      <c r="L7172" s="1" t="s">
        <v>35205</v>
      </c>
      <c r="M7172" s="2" t="s">
        <v>12</v>
      </c>
      <c r="N7172" s="4">
        <f t="shared" si="1"/>
        <v>43831</v>
      </c>
      <c r="O7172" s="5" t="str">
        <f>IFERROR(__xludf.DUMMYFUNCTION("IF(REGEXMATCH(TRIM(I7172), ""^\d+\s*min""), ""Unclassified"", IF(I7172 = """", ""NR"", I7172))"),"PG-13")</f>
        <v>PG-13</v>
      </c>
      <c r="R7172" s="5" t="str">
        <f t="shared" si="2"/>
        <v>Kate &amp; Leopold</v>
      </c>
      <c r="S7172" s="5" t="str">
        <f>IFERROR(__xludf.DUMMYFUNCTION("""COMPUTED_VALUE"""),"The Forty-Year-Old Version")</f>
        <v>The Forty-Year-Old Version</v>
      </c>
      <c r="V7172" s="5"/>
      <c r="Y7172" s="5" t="str">
        <f>IFERROR(__xludf.DUMMYFUNCTION("REGEXEXTRACT(J7172, ""^\d+"")"),"118")</f>
        <v>118</v>
      </c>
      <c r="Z7172" s="5" t="str">
        <f>IFERROR(__xludf.DUMMYFUNCTION("REGEXEXTRACT(J7172, ""[A-Za-z ]+$"")")," min")</f>
        <v> min</v>
      </c>
      <c r="AA7172" s="5" t="str">
        <f>IFERROR(__xludf.DUMMYFUNCTION("IF(REGEXMATCH(Z7172, ""Season""), ""TV Show"", ""Movie"")"),"Movie")</f>
        <v>Movie</v>
      </c>
    </row>
    <row r="7173">
      <c r="A7173" s="1" t="s">
        <v>35206</v>
      </c>
      <c r="B7173" s="1" t="s">
        <v>27</v>
      </c>
      <c r="C7173" s="1" t="s">
        <v>35207</v>
      </c>
      <c r="D7173" s="1" t="s">
        <v>20079</v>
      </c>
      <c r="E7173" s="1" t="s">
        <v>35208</v>
      </c>
      <c r="F7173" s="1" t="s">
        <v>63</v>
      </c>
      <c r="G7173" s="1" t="s">
        <v>17078</v>
      </c>
      <c r="H7173" s="1">
        <v>1982.0</v>
      </c>
      <c r="I7173" s="1" t="s">
        <v>136</v>
      </c>
      <c r="J7173" s="1" t="s">
        <v>1704</v>
      </c>
      <c r="K7173" s="1" t="s">
        <v>836</v>
      </c>
      <c r="L7173" s="1" t="s">
        <v>35209</v>
      </c>
      <c r="M7173" s="2" t="s">
        <v>12</v>
      </c>
      <c r="N7173" s="4">
        <f t="shared" si="1"/>
        <v>43830</v>
      </c>
      <c r="O7173" s="5" t="str">
        <f>IFERROR(__xludf.DUMMYFUNCTION("IF(REGEXMATCH(TRIM(I7173), ""^\d+\s*min""), ""Unclassified"", IF(I7173 = """", ""NR"", I7173))"),"TV-PG")</f>
        <v>TV-PG</v>
      </c>
      <c r="R7173" s="5" t="str">
        <f t="shared" si="2"/>
        <v>Katha</v>
      </c>
      <c r="S7173" s="5" t="str">
        <f>IFERROR(__xludf.DUMMYFUNCTION("""COMPUTED_VALUE"""),"The Fosters")</f>
        <v>The Fosters</v>
      </c>
      <c r="V7173" s="5"/>
      <c r="Y7173" s="5" t="str">
        <f>IFERROR(__xludf.DUMMYFUNCTION("REGEXEXTRACT(J7173, ""^\d+"")"),"140")</f>
        <v>140</v>
      </c>
      <c r="Z7173" s="5" t="str">
        <f>IFERROR(__xludf.DUMMYFUNCTION("REGEXEXTRACT(J7173, ""[A-Za-z ]+$"")")," min")</f>
        <v> min</v>
      </c>
      <c r="AA7173" s="5" t="str">
        <f>IFERROR(__xludf.DUMMYFUNCTION("IF(REGEXMATCH(Z7173, ""Season""), ""TV Show"", ""Movie"")"),"Movie")</f>
        <v>Movie</v>
      </c>
    </row>
    <row r="7174">
      <c r="A7174" s="1" t="s">
        <v>35210</v>
      </c>
      <c r="B7174" s="1" t="s">
        <v>27</v>
      </c>
      <c r="C7174" s="1" t="s">
        <v>35211</v>
      </c>
      <c r="D7174" s="1" t="s">
        <v>1487</v>
      </c>
      <c r="E7174" s="1" t="s">
        <v>25174</v>
      </c>
      <c r="F7174" s="1" t="s">
        <v>30</v>
      </c>
      <c r="G7174" s="1" t="s">
        <v>25080</v>
      </c>
      <c r="H7174" s="1">
        <v>2006.0</v>
      </c>
      <c r="I7174" s="1" t="s">
        <v>30231</v>
      </c>
      <c r="J7174" s="1" t="s">
        <v>471</v>
      </c>
      <c r="K7174" s="1" t="s">
        <v>1839</v>
      </c>
      <c r="L7174" s="1" t="s">
        <v>35212</v>
      </c>
      <c r="M7174" s="2" t="s">
        <v>12</v>
      </c>
      <c r="N7174" s="4">
        <f t="shared" si="1"/>
        <v>43300</v>
      </c>
      <c r="O7174" s="5" t="str">
        <f>IFERROR(__xludf.DUMMYFUNCTION("IF(REGEXMATCH(TRIM(I7174), ""^\d+\s*min""), ""Unclassified"", IF(I7174 = """", ""NR"", I7174))"),"NR")</f>
        <v>NR</v>
      </c>
      <c r="R7174" s="5" t="str">
        <f t="shared" si="2"/>
        <v>Katt Williams: Live</v>
      </c>
      <c r="S7174" s="5" t="str">
        <f>IFERROR(__xludf.DUMMYFUNCTION("""COMPUTED_VALUE"""),"The Founder")</f>
        <v>The Founder</v>
      </c>
      <c r="V7174" s="5"/>
      <c r="Y7174" s="5" t="str">
        <f>IFERROR(__xludf.DUMMYFUNCTION("REGEXEXTRACT(J7174, ""^\d+"")"),"85")</f>
        <v>85</v>
      </c>
      <c r="Z7174" s="5" t="str">
        <f>IFERROR(__xludf.DUMMYFUNCTION("REGEXEXTRACT(J7174, ""[A-Za-z ]+$"")")," min")</f>
        <v> min</v>
      </c>
      <c r="AA7174" s="5" t="str">
        <f>IFERROR(__xludf.DUMMYFUNCTION("IF(REGEXMATCH(Z7174, ""Season""), ""TV Show"", ""Movie"")"),"Movie")</f>
        <v>Movie</v>
      </c>
    </row>
    <row r="7175">
      <c r="A7175" s="1" t="s">
        <v>35213</v>
      </c>
      <c r="B7175" s="1" t="s">
        <v>27</v>
      </c>
      <c r="C7175" s="1" t="s">
        <v>35214</v>
      </c>
      <c r="D7175" s="1" t="s">
        <v>23357</v>
      </c>
      <c r="E7175" s="1" t="s">
        <v>35215</v>
      </c>
      <c r="F7175" s="1" t="s">
        <v>63</v>
      </c>
      <c r="G7175" s="1" t="s">
        <v>25185</v>
      </c>
      <c r="H7175" s="1">
        <v>2017.0</v>
      </c>
      <c r="I7175" s="1" t="s">
        <v>97</v>
      </c>
      <c r="J7175" s="1" t="s">
        <v>349</v>
      </c>
      <c r="K7175" s="1" t="s">
        <v>128</v>
      </c>
      <c r="L7175" s="1" t="s">
        <v>35216</v>
      </c>
      <c r="M7175" s="2" t="s">
        <v>12</v>
      </c>
      <c r="N7175" s="4">
        <f t="shared" si="1"/>
        <v>43282</v>
      </c>
      <c r="O7175" s="5" t="str">
        <f>IFERROR(__xludf.DUMMYFUNCTION("IF(REGEXMATCH(TRIM(I7175), ""^\d+\s*min""), ""Unclassified"", IF(I7175 = """", ""NR"", I7175))"),"TV-14")</f>
        <v>TV-14</v>
      </c>
      <c r="R7175" s="5" t="str">
        <f t="shared" si="2"/>
        <v>Kaviyude Osyath</v>
      </c>
      <c r="S7175" s="5" t="str">
        <f>IFERROR(__xludf.DUMMYFUNCTION("""COMPUTED_VALUE"""),"The Four Seasons")</f>
        <v>The Four Seasons</v>
      </c>
      <c r="V7175" s="5"/>
      <c r="Y7175" s="5" t="str">
        <f>IFERROR(__xludf.DUMMYFUNCTION("REGEXEXTRACT(J7175, ""^\d+"")"),"116")</f>
        <v>116</v>
      </c>
      <c r="Z7175" s="5" t="str">
        <f>IFERROR(__xludf.DUMMYFUNCTION("REGEXEXTRACT(J7175, ""[A-Za-z ]+$"")")," min")</f>
        <v> min</v>
      </c>
      <c r="AA7175" s="5" t="str">
        <f>IFERROR(__xludf.DUMMYFUNCTION("IF(REGEXMATCH(Z7175, ""Season""), ""TV Show"", ""Movie"")"),"Movie")</f>
        <v>Movie</v>
      </c>
    </row>
    <row r="7176">
      <c r="A7176" s="1" t="s">
        <v>35217</v>
      </c>
      <c r="B7176" s="1" t="s">
        <v>27</v>
      </c>
      <c r="C7176" s="1" t="s">
        <v>35218</v>
      </c>
      <c r="D7176" s="1" t="s">
        <v>4388</v>
      </c>
      <c r="E7176" s="1" t="s">
        <v>35219</v>
      </c>
      <c r="F7176" s="1" t="s">
        <v>63</v>
      </c>
      <c r="G7176" s="1" t="s">
        <v>26481</v>
      </c>
      <c r="H7176" s="1">
        <v>2005.0</v>
      </c>
      <c r="I7176" s="1" t="s">
        <v>97</v>
      </c>
      <c r="J7176" s="1" t="s">
        <v>1428</v>
      </c>
      <c r="K7176" s="1" t="s">
        <v>583</v>
      </c>
      <c r="L7176" s="1" t="s">
        <v>35220</v>
      </c>
      <c r="M7176" s="2" t="s">
        <v>12</v>
      </c>
      <c r="N7176" s="4">
        <f t="shared" si="1"/>
        <v>43101</v>
      </c>
      <c r="O7176" s="5" t="str">
        <f>IFERROR(__xludf.DUMMYFUNCTION("IF(REGEXMATCH(TRIM(I7176), ""^\d+\s*min""), ""Unclassified"", IF(I7176 = """", ""NR"", I7176))"),"TV-14")</f>
        <v>TV-14</v>
      </c>
      <c r="R7176" s="5" t="str">
        <f t="shared" si="2"/>
        <v>Kay Dyache Bola</v>
      </c>
      <c r="S7176" s="5" t="str">
        <f>IFERROR(__xludf.DUMMYFUNCTION("""COMPUTED_VALUE"""),"The Frankenstein Chronicles")</f>
        <v>The Frankenstein Chronicles</v>
      </c>
      <c r="V7176" s="5"/>
      <c r="Y7176" s="5" t="str">
        <f>IFERROR(__xludf.DUMMYFUNCTION("REGEXEXTRACT(J7176, ""^\d+"")"),"133")</f>
        <v>133</v>
      </c>
      <c r="Z7176" s="5" t="str">
        <f>IFERROR(__xludf.DUMMYFUNCTION("REGEXEXTRACT(J7176, ""[A-Za-z ]+$"")")," min")</f>
        <v> min</v>
      </c>
      <c r="AA7176" s="5" t="str">
        <f>IFERROR(__xludf.DUMMYFUNCTION("IF(REGEXMATCH(Z7176, ""Season""), ""TV Show"", ""Movie"")"),"Movie")</f>
        <v>Movie</v>
      </c>
    </row>
    <row r="7177">
      <c r="A7177" s="1" t="s">
        <v>35221</v>
      </c>
      <c r="B7177" s="1" t="s">
        <v>37</v>
      </c>
      <c r="C7177" s="1" t="s">
        <v>35222</v>
      </c>
      <c r="D7177" s="1" t="s">
        <v>12690</v>
      </c>
      <c r="E7177" s="1" t="s">
        <v>35223</v>
      </c>
      <c r="F7177" s="1" t="s">
        <v>30</v>
      </c>
      <c r="G7177" s="1" t="s">
        <v>28597</v>
      </c>
      <c r="H7177" s="1">
        <v>1990.0</v>
      </c>
      <c r="I7177" s="1" t="s">
        <v>97</v>
      </c>
      <c r="J7177" s="1" t="s">
        <v>51</v>
      </c>
      <c r="K7177" s="1" t="s">
        <v>1261</v>
      </c>
      <c r="L7177" s="1" t="s">
        <v>35224</v>
      </c>
      <c r="M7177" s="2" t="s">
        <v>12</v>
      </c>
      <c r="N7177" s="4">
        <f t="shared" si="1"/>
        <v>42788</v>
      </c>
      <c r="O7177" s="5" t="str">
        <f>IFERROR(__xludf.DUMMYFUNCTION("IF(REGEXMATCH(TRIM(I7177), ""^\d+\s*min""), ""Unclassified"", IF(I7177 = """", ""NR"", I7177))"),"TV-14")</f>
        <v>TV-14</v>
      </c>
      <c r="R7177" s="5" t="str">
        <f t="shared" si="2"/>
        <v>Ken Burns: The Civil War</v>
      </c>
      <c r="S7177" s="5" t="str">
        <f>IFERROR(__xludf.DUMMYFUNCTION("""COMPUTED_VALUE"""),"The Free Man")</f>
        <v>The Free Man</v>
      </c>
      <c r="V7177" s="5"/>
      <c r="Y7177" s="5" t="str">
        <f>IFERROR(__xludf.DUMMYFUNCTION("REGEXEXTRACT(J7177, ""^\d+"")"),"1")</f>
        <v>1</v>
      </c>
      <c r="Z7177" s="5" t="str">
        <f>IFERROR(__xludf.DUMMYFUNCTION("REGEXEXTRACT(J7177, ""[A-Za-z ]+$"")")," Season")</f>
        <v> Season</v>
      </c>
      <c r="AA7177" s="5" t="str">
        <f>IFERROR(__xludf.DUMMYFUNCTION("IF(REGEXMATCH(Z7177, ""Season""), ""TV Show"", ""Movie"")"),"TV Show")</f>
        <v>TV Show</v>
      </c>
    </row>
    <row r="7178">
      <c r="A7178" s="1" t="s">
        <v>35225</v>
      </c>
      <c r="B7178" s="1" t="s">
        <v>37</v>
      </c>
      <c r="C7178" s="1" t="s">
        <v>35226</v>
      </c>
      <c r="D7178" s="1" t="s">
        <v>12690</v>
      </c>
      <c r="F7178" s="1" t="s">
        <v>30</v>
      </c>
      <c r="G7178" s="1" t="s">
        <v>28597</v>
      </c>
      <c r="H7178" s="1">
        <v>2014.0</v>
      </c>
      <c r="I7178" s="1" t="s">
        <v>136</v>
      </c>
      <c r="J7178" s="1" t="s">
        <v>51</v>
      </c>
      <c r="K7178" s="1" t="s">
        <v>1261</v>
      </c>
      <c r="L7178" s="1" t="s">
        <v>35227</v>
      </c>
      <c r="M7178" s="2" t="s">
        <v>12</v>
      </c>
      <c r="N7178" s="4">
        <f t="shared" si="1"/>
        <v>42788</v>
      </c>
      <c r="O7178" s="5" t="str">
        <f>IFERROR(__xludf.DUMMYFUNCTION("IF(REGEXMATCH(TRIM(I7178), ""^\d+\s*min""), ""Unclassified"", IF(I7178 = """", ""NR"", I7178))"),"TV-PG")</f>
        <v>TV-PG</v>
      </c>
      <c r="R7178" s="5" t="str">
        <f t="shared" si="2"/>
        <v>Ken Burns: The Roosevelts: An Intimate History</v>
      </c>
      <c r="S7178" s="5" t="str">
        <f>IFERROR(__xludf.DUMMYFUNCTION("""COMPUTED_VALUE"""),"The Frozen Dead")</f>
        <v>The Frozen Dead</v>
      </c>
      <c r="V7178" s="5"/>
      <c r="Y7178" s="5" t="str">
        <f>IFERROR(__xludf.DUMMYFUNCTION("REGEXEXTRACT(J7178, ""^\d+"")"),"1")</f>
        <v>1</v>
      </c>
      <c r="Z7178" s="5" t="str">
        <f>IFERROR(__xludf.DUMMYFUNCTION("REGEXEXTRACT(J7178, ""[A-Za-z ]+$"")")," Season")</f>
        <v> Season</v>
      </c>
      <c r="AA7178" s="5" t="str">
        <f>IFERROR(__xludf.DUMMYFUNCTION("IF(REGEXMATCH(Z7178, ""Season""), ""TV Show"", ""Movie"")"),"TV Show")</f>
        <v>TV Show</v>
      </c>
    </row>
    <row r="7179">
      <c r="A7179" s="1" t="s">
        <v>35228</v>
      </c>
      <c r="B7179" s="1" t="s">
        <v>37</v>
      </c>
      <c r="C7179" s="1" t="s">
        <v>35229</v>
      </c>
      <c r="E7179" s="1" t="s">
        <v>35230</v>
      </c>
      <c r="F7179" s="1" t="s">
        <v>30</v>
      </c>
      <c r="G7179" s="1" t="s">
        <v>28517</v>
      </c>
      <c r="H7179" s="1">
        <v>1996.0</v>
      </c>
      <c r="I7179" s="1" t="s">
        <v>136</v>
      </c>
      <c r="J7179" s="1" t="s">
        <v>51</v>
      </c>
      <c r="K7179" s="1" t="s">
        <v>1261</v>
      </c>
      <c r="L7179" s="1" t="s">
        <v>35231</v>
      </c>
      <c r="M7179" s="2" t="s">
        <v>12</v>
      </c>
      <c r="N7179" s="4">
        <f t="shared" si="1"/>
        <v>42808</v>
      </c>
      <c r="O7179" s="5" t="str">
        <f>IFERROR(__xludf.DUMMYFUNCTION("IF(REGEXMATCH(TRIM(I7179), ""^\d+\s*min""), ""Unclassified"", IF(I7179 = """", ""NR"", I7179))"),"TV-PG")</f>
        <v>TV-PG</v>
      </c>
      <c r="R7179" s="5" t="str">
        <f t="shared" si="2"/>
        <v>Ken Burns: The West</v>
      </c>
      <c r="S7179" s="5" t="str">
        <f>IFERROR(__xludf.DUMMYFUNCTION("""COMPUTED_VALUE"""),"The Frozen Ground")</f>
        <v>The Frozen Ground</v>
      </c>
      <c r="V7179" s="5"/>
      <c r="Y7179" s="5" t="str">
        <f>IFERROR(__xludf.DUMMYFUNCTION("REGEXEXTRACT(J7179, ""^\d+"")"),"1")</f>
        <v>1</v>
      </c>
      <c r="Z7179" s="5" t="str">
        <f>IFERROR(__xludf.DUMMYFUNCTION("REGEXEXTRACT(J7179, ""[A-Za-z ]+$"")")," Season")</f>
        <v> Season</v>
      </c>
      <c r="AA7179" s="5" t="str">
        <f>IFERROR(__xludf.DUMMYFUNCTION("IF(REGEXMATCH(Z7179, ""Season""), ""TV Show"", ""Movie"")"),"TV Show")</f>
        <v>TV Show</v>
      </c>
    </row>
    <row r="7180">
      <c r="A7180" s="1" t="s">
        <v>35232</v>
      </c>
      <c r="B7180" s="1" t="s">
        <v>27</v>
      </c>
      <c r="C7180" s="1" t="s">
        <v>35233</v>
      </c>
      <c r="D7180" s="1" t="s">
        <v>13679</v>
      </c>
      <c r="E7180" s="1" t="s">
        <v>9807</v>
      </c>
      <c r="F7180" s="1" t="s">
        <v>30</v>
      </c>
      <c r="G7180" s="1" t="s">
        <v>24201</v>
      </c>
      <c r="H7180" s="1">
        <v>2011.0</v>
      </c>
      <c r="I7180" s="1" t="s">
        <v>378</v>
      </c>
      <c r="J7180" s="1" t="s">
        <v>1191</v>
      </c>
      <c r="K7180" s="1" t="s">
        <v>1839</v>
      </c>
      <c r="L7180" s="1" t="s">
        <v>35234</v>
      </c>
      <c r="M7180" s="2" t="s">
        <v>12</v>
      </c>
      <c r="N7180" s="4">
        <f t="shared" si="1"/>
        <v>43374</v>
      </c>
      <c r="O7180" s="5" t="str">
        <f>IFERROR(__xludf.DUMMYFUNCTION("IF(REGEXMATCH(TRIM(I7180), ""^\d+\s*min""), ""Unclassified"", IF(I7180 = """", ""NR"", I7180))"),"R")</f>
        <v>R</v>
      </c>
      <c r="R7180" s="5" t="str">
        <f t="shared" si="2"/>
        <v>Kevin Hart: Laugh At My Pain</v>
      </c>
      <c r="S7180" s="5" t="str">
        <f>IFERROR(__xludf.DUMMYFUNCTION("""COMPUTED_VALUE"""),"The Fundamentals Of Caring")</f>
        <v>The Fundamentals Of Caring</v>
      </c>
      <c r="V7180" s="5"/>
      <c r="Y7180" s="5" t="str">
        <f>IFERROR(__xludf.DUMMYFUNCTION("REGEXEXTRACT(J7180, ""^\d+"")"),"89")</f>
        <v>89</v>
      </c>
      <c r="Z7180" s="5" t="str">
        <f>IFERROR(__xludf.DUMMYFUNCTION("REGEXEXTRACT(J7180, ""[A-Za-z ]+$"")")," min")</f>
        <v> min</v>
      </c>
      <c r="AA7180" s="5" t="str">
        <f>IFERROR(__xludf.DUMMYFUNCTION("IF(REGEXMATCH(Z7180, ""Season""), ""TV Show"", ""Movie"")"),"Movie")</f>
        <v>Movie</v>
      </c>
    </row>
    <row r="7181">
      <c r="A7181" s="1" t="s">
        <v>35235</v>
      </c>
      <c r="B7181" s="1" t="s">
        <v>27</v>
      </c>
      <c r="C7181" s="1" t="s">
        <v>35236</v>
      </c>
      <c r="D7181" s="1" t="s">
        <v>13679</v>
      </c>
      <c r="E7181" s="1" t="s">
        <v>9807</v>
      </c>
      <c r="F7181" s="1" t="s">
        <v>30</v>
      </c>
      <c r="G7181" s="1" t="s">
        <v>25111</v>
      </c>
      <c r="H7181" s="1">
        <v>2013.0</v>
      </c>
      <c r="I7181" s="1" t="s">
        <v>378</v>
      </c>
      <c r="J7181" s="1" t="s">
        <v>6281</v>
      </c>
      <c r="K7181" s="1" t="s">
        <v>1839</v>
      </c>
      <c r="L7181" s="1" t="s">
        <v>35237</v>
      </c>
      <c r="M7181" s="2" t="s">
        <v>12</v>
      </c>
      <c r="N7181" s="4">
        <f t="shared" si="1"/>
        <v>43294</v>
      </c>
      <c r="O7181" s="5" t="str">
        <f>IFERROR(__xludf.DUMMYFUNCTION("IF(REGEXMATCH(TRIM(I7181), ""^\d+\s*min""), ""Unclassified"", IF(I7181 = """", ""NR"", I7181))"),"R")</f>
        <v>R</v>
      </c>
      <c r="R7181" s="5" t="str">
        <f t="shared" si="2"/>
        <v>Kevin Hart: Let Me Explain</v>
      </c>
      <c r="S7181" s="5" t="str">
        <f>IFERROR(__xludf.DUMMYFUNCTION("""COMPUTED_VALUE"""),"The Furchester Hotel")</f>
        <v>The Furchester Hotel</v>
      </c>
      <c r="V7181" s="5"/>
      <c r="Y7181" s="5" t="str">
        <f>IFERROR(__xludf.DUMMYFUNCTION("REGEXEXTRACT(J7181, ""^\d+"")"),"75")</f>
        <v>75</v>
      </c>
      <c r="Z7181" s="5" t="str">
        <f>IFERROR(__xludf.DUMMYFUNCTION("REGEXEXTRACT(J7181, ""[A-Za-z ]+$"")")," min")</f>
        <v> min</v>
      </c>
      <c r="AA7181" s="5" t="str">
        <f>IFERROR(__xludf.DUMMYFUNCTION("IF(REGEXMATCH(Z7181, ""Season""), ""TV Show"", ""Movie"")"),"Movie")</f>
        <v>Movie</v>
      </c>
    </row>
    <row r="7182">
      <c r="A7182" s="1" t="s">
        <v>35238</v>
      </c>
      <c r="B7182" s="1" t="s">
        <v>27</v>
      </c>
      <c r="C7182" s="1" t="s">
        <v>35239</v>
      </c>
      <c r="D7182" s="1" t="s">
        <v>16570</v>
      </c>
      <c r="E7182" s="1" t="s">
        <v>9807</v>
      </c>
      <c r="F7182" s="1" t="s">
        <v>30</v>
      </c>
      <c r="G7182" s="1" t="s">
        <v>24201</v>
      </c>
      <c r="H7182" s="1">
        <v>2010.0</v>
      </c>
      <c r="I7182" s="1" t="s">
        <v>42</v>
      </c>
      <c r="J7182" s="1" t="s">
        <v>155</v>
      </c>
      <c r="K7182" s="1" t="s">
        <v>1839</v>
      </c>
      <c r="L7182" s="1" t="s">
        <v>35240</v>
      </c>
      <c r="M7182" s="2" t="s">
        <v>12</v>
      </c>
      <c r="N7182" s="4">
        <f t="shared" si="1"/>
        <v>43374</v>
      </c>
      <c r="O7182" s="5" t="str">
        <f>IFERROR(__xludf.DUMMYFUNCTION("IF(REGEXMATCH(TRIM(I7182), ""^\d+\s*min""), ""Unclassified"", IF(I7182 = """", ""NR"", I7182))"),"TV-MA")</f>
        <v>TV-MA</v>
      </c>
      <c r="R7182" s="5" t="str">
        <f t="shared" si="2"/>
        <v>Kevin Hart: Seriously Funny</v>
      </c>
      <c r="S7182" s="5" t="str">
        <f>IFERROR(__xludf.DUMMYFUNCTION("""COMPUTED_VALUE"""),"The Fury Of A Patient Man")</f>
        <v>The Fury Of A Patient Man</v>
      </c>
      <c r="V7182" s="5"/>
      <c r="Y7182" s="5" t="str">
        <f>IFERROR(__xludf.DUMMYFUNCTION("REGEXEXTRACT(J7182, ""^\d+"")"),"67")</f>
        <v>67</v>
      </c>
      <c r="Z7182" s="5" t="str">
        <f>IFERROR(__xludf.DUMMYFUNCTION("REGEXEXTRACT(J7182, ""[A-Za-z ]+$"")")," min")</f>
        <v> min</v>
      </c>
      <c r="AA7182" s="5" t="str">
        <f>IFERROR(__xludf.DUMMYFUNCTION("IF(REGEXMATCH(Z7182, ""Season""), ""TV Show"", ""Movie"")"),"Movie")</f>
        <v>Movie</v>
      </c>
    </row>
    <row r="7183">
      <c r="A7183" s="1" t="s">
        <v>35241</v>
      </c>
      <c r="B7183" s="1" t="s">
        <v>27</v>
      </c>
      <c r="C7183" s="1" t="s">
        <v>35242</v>
      </c>
      <c r="D7183" s="1" t="s">
        <v>13936</v>
      </c>
      <c r="E7183" s="1" t="s">
        <v>35243</v>
      </c>
      <c r="F7183" s="1" t="s">
        <v>30</v>
      </c>
      <c r="G7183" s="1" t="s">
        <v>22635</v>
      </c>
      <c r="H7183" s="1">
        <v>2017.0</v>
      </c>
      <c r="I7183" s="1" t="s">
        <v>42</v>
      </c>
      <c r="J7183" s="1" t="s">
        <v>33</v>
      </c>
      <c r="K7183" s="1" t="s">
        <v>1212</v>
      </c>
      <c r="L7183" s="1" t="s">
        <v>35244</v>
      </c>
      <c r="M7183" s="2" t="s">
        <v>12</v>
      </c>
      <c r="N7183" s="4">
        <f t="shared" si="1"/>
        <v>43466</v>
      </c>
      <c r="O7183" s="5" t="str">
        <f>IFERROR(__xludf.DUMMYFUNCTION("IF(REGEXMATCH(TRIM(I7183), ""^\d+\s*min""), ""Unclassified"", IF(I7183 = """", ""NR"", I7183))"),"TV-MA")</f>
        <v>TV-MA</v>
      </c>
      <c r="R7183" s="5" t="str">
        <f t="shared" si="2"/>
        <v>Kevyn Aucoin: Beauty &amp; The Beast In Me</v>
      </c>
      <c r="S7183" s="5" t="str">
        <f>IFERROR(__xludf.DUMMYFUNCTION("""COMPUTED_VALUE"""),"The Future Of Water")</f>
        <v>The Future Of Water</v>
      </c>
      <c r="V7183" s="5"/>
      <c r="Y7183" s="5" t="str">
        <f>IFERROR(__xludf.DUMMYFUNCTION("REGEXEXTRACT(J7183, ""^\d+"")"),"90")</f>
        <v>90</v>
      </c>
      <c r="Z7183" s="5" t="str">
        <f>IFERROR(__xludf.DUMMYFUNCTION("REGEXEXTRACT(J7183, ""[A-Za-z ]+$"")")," min")</f>
        <v> min</v>
      </c>
      <c r="AA7183" s="5" t="str">
        <f>IFERROR(__xludf.DUMMYFUNCTION("IF(REGEXMATCH(Z7183, ""Season""), ""TV Show"", ""Movie"")"),"Movie")</f>
        <v>Movie</v>
      </c>
    </row>
    <row r="7184">
      <c r="A7184" s="1" t="s">
        <v>35245</v>
      </c>
      <c r="B7184" s="1" t="s">
        <v>37</v>
      </c>
      <c r="C7184" s="1" t="s">
        <v>35246</v>
      </c>
      <c r="E7184" s="1" t="s">
        <v>35247</v>
      </c>
      <c r="F7184" s="1" t="s">
        <v>19350</v>
      </c>
      <c r="G7184" s="1" t="s">
        <v>19813</v>
      </c>
      <c r="H7184" s="1">
        <v>2017.0</v>
      </c>
      <c r="I7184" s="1" t="s">
        <v>97</v>
      </c>
      <c r="J7184" s="1" t="s">
        <v>51</v>
      </c>
      <c r="K7184" s="1" t="s">
        <v>2768</v>
      </c>
      <c r="L7184" s="1" t="s">
        <v>35248</v>
      </c>
      <c r="M7184" s="2" t="s">
        <v>12</v>
      </c>
      <c r="N7184" s="4">
        <f t="shared" si="1"/>
        <v>43678</v>
      </c>
      <c r="O7184" s="5" t="str">
        <f>IFERROR(__xludf.DUMMYFUNCTION("IF(REGEXMATCH(TRIM(I7184), ""^\d+\s*min""), ""Unclassified"", IF(I7184 = """", ""NR"", I7184))"),"TV-14")</f>
        <v>TV-14</v>
      </c>
      <c r="R7184" s="5" t="str">
        <f t="shared" si="2"/>
        <v>Khaani</v>
      </c>
      <c r="S7184" s="5" t="str">
        <f>IFERROR(__xludf.DUMMYFUNCTION("""COMPUTED_VALUE"""),"The Game")</f>
        <v>The Game</v>
      </c>
      <c r="V7184" s="5"/>
      <c r="Y7184" s="5" t="str">
        <f>IFERROR(__xludf.DUMMYFUNCTION("REGEXEXTRACT(J7184, ""^\d+"")"),"1")</f>
        <v>1</v>
      </c>
      <c r="Z7184" s="5" t="str">
        <f>IFERROR(__xludf.DUMMYFUNCTION("REGEXEXTRACT(J7184, ""[A-Za-z ]+$"")")," Season")</f>
        <v> Season</v>
      </c>
      <c r="AA7184" s="5" t="str">
        <f>IFERROR(__xludf.DUMMYFUNCTION("IF(REGEXMATCH(Z7184, ""Season""), ""TV Show"", ""Movie"")"),"TV Show")</f>
        <v>TV Show</v>
      </c>
    </row>
    <row r="7185">
      <c r="A7185" s="1" t="s">
        <v>35249</v>
      </c>
      <c r="B7185" s="1" t="s">
        <v>27</v>
      </c>
      <c r="C7185" s="1" t="s">
        <v>35250</v>
      </c>
      <c r="D7185" s="1" t="s">
        <v>21811</v>
      </c>
      <c r="E7185" s="1" t="s">
        <v>35251</v>
      </c>
      <c r="F7185" s="1" t="s">
        <v>63</v>
      </c>
      <c r="G7185" s="1" t="s">
        <v>26089</v>
      </c>
      <c r="H7185" s="1">
        <v>1993.0</v>
      </c>
      <c r="I7185" s="1" t="s">
        <v>97</v>
      </c>
      <c r="J7185" s="1" t="s">
        <v>15246</v>
      </c>
      <c r="K7185" s="1" t="s">
        <v>306</v>
      </c>
      <c r="L7185" s="1" t="s">
        <v>35252</v>
      </c>
      <c r="M7185" s="2" t="s">
        <v>12</v>
      </c>
      <c r="N7185" s="4">
        <f t="shared" si="1"/>
        <v>43160</v>
      </c>
      <c r="O7185" s="5" t="str">
        <f>IFERROR(__xludf.DUMMYFUNCTION("IF(REGEXMATCH(TRIM(I7185), ""^\d+\s*min""), ""Unclassified"", IF(I7185 = """", ""NR"", I7185))"),"TV-14")</f>
        <v>TV-14</v>
      </c>
      <c r="R7185" s="5" t="str">
        <f t="shared" si="2"/>
        <v>Khalnayak</v>
      </c>
      <c r="S7185" s="5" t="str">
        <f>IFERROR(__xludf.DUMMYFUNCTION("""COMPUTED_VALUE"""),"The Game Changers")</f>
        <v>The Game Changers</v>
      </c>
      <c r="V7185" s="5"/>
      <c r="Y7185" s="5" t="str">
        <f>IFERROR(__xludf.DUMMYFUNCTION("REGEXEXTRACT(J7185, ""^\d+"")"),"170")</f>
        <v>170</v>
      </c>
      <c r="Z7185" s="5" t="str">
        <f>IFERROR(__xludf.DUMMYFUNCTION("REGEXEXTRACT(J7185, ""[A-Za-z ]+$"")")," min")</f>
        <v> min</v>
      </c>
      <c r="AA7185" s="5" t="str">
        <f>IFERROR(__xludf.DUMMYFUNCTION("IF(REGEXMATCH(Z7185, ""Season""), ""TV Show"", ""Movie"")"),"Movie")</f>
        <v>Movie</v>
      </c>
    </row>
    <row r="7186">
      <c r="A7186" s="1" t="s">
        <v>35253</v>
      </c>
      <c r="B7186" s="1" t="s">
        <v>37</v>
      </c>
      <c r="C7186" s="1" t="s">
        <v>35254</v>
      </c>
      <c r="E7186" s="1" t="s">
        <v>35255</v>
      </c>
      <c r="F7186" s="1" t="s">
        <v>63</v>
      </c>
      <c r="G7186" s="7">
        <v>43221.0</v>
      </c>
      <c r="H7186" s="1">
        <v>2018.0</v>
      </c>
      <c r="I7186" s="1" t="s">
        <v>97</v>
      </c>
      <c r="J7186" s="1" t="s">
        <v>51</v>
      </c>
      <c r="K7186" s="1" t="s">
        <v>2493</v>
      </c>
      <c r="L7186" s="1" t="s">
        <v>35256</v>
      </c>
      <c r="M7186" s="2" t="s">
        <v>12</v>
      </c>
      <c r="N7186" s="4">
        <f t="shared" si="1"/>
        <v>43221</v>
      </c>
      <c r="O7186" s="5" t="str">
        <f>IFERROR(__xludf.DUMMYFUNCTION("IF(REGEXMATCH(TRIM(I7186), ""^\d+\s*min""), ""Unclassified"", IF(I7186 = """", ""NR"", I7186))"),"TV-14")</f>
        <v>TV-14</v>
      </c>
      <c r="R7186" s="5" t="str">
        <f t="shared" si="2"/>
        <v>Khan: No. 1 Crime Hunter</v>
      </c>
      <c r="S7186" s="5" t="str">
        <f>IFERROR(__xludf.DUMMYFUNCTION("""COMPUTED_VALUE"""),"The Garden Of Words")</f>
        <v>The Garden Of Words</v>
      </c>
      <c r="V7186" s="5"/>
      <c r="Y7186" s="5" t="str">
        <f>IFERROR(__xludf.DUMMYFUNCTION("REGEXEXTRACT(J7186, ""^\d+"")"),"1")</f>
        <v>1</v>
      </c>
      <c r="Z7186" s="5" t="str">
        <f>IFERROR(__xludf.DUMMYFUNCTION("REGEXEXTRACT(J7186, ""[A-Za-z ]+$"")")," Season")</f>
        <v> Season</v>
      </c>
      <c r="AA7186" s="5" t="str">
        <f>IFERROR(__xludf.DUMMYFUNCTION("IF(REGEXMATCH(Z7186, ""Season""), ""TV Show"", ""Movie"")"),"TV Show")</f>
        <v>TV Show</v>
      </c>
    </row>
    <row r="7187">
      <c r="A7187" s="1" t="s">
        <v>35257</v>
      </c>
      <c r="B7187" s="1" t="s">
        <v>37</v>
      </c>
      <c r="C7187" s="1" t="s">
        <v>35258</v>
      </c>
      <c r="E7187" s="1" t="s">
        <v>35259</v>
      </c>
      <c r="F7187" s="1" t="s">
        <v>63</v>
      </c>
      <c r="G7187" s="1" t="s">
        <v>28377</v>
      </c>
      <c r="H7187" s="1">
        <v>2013.0</v>
      </c>
      <c r="I7187" s="1" t="s">
        <v>97</v>
      </c>
      <c r="J7187" s="1" t="s">
        <v>51</v>
      </c>
      <c r="K7187" s="1" t="s">
        <v>402</v>
      </c>
      <c r="L7187" s="1" t="s">
        <v>35260</v>
      </c>
      <c r="M7187" s="2" t="s">
        <v>12</v>
      </c>
      <c r="N7187" s="4">
        <f t="shared" si="1"/>
        <v>42826</v>
      </c>
      <c r="O7187" s="5" t="str">
        <f>IFERROR(__xludf.DUMMYFUNCTION("IF(REGEXMATCH(TRIM(I7187), ""^\d+\s*min""), ""Unclassified"", IF(I7187 = """", ""NR"", I7187))"),"TV-14")</f>
        <v>TV-14</v>
      </c>
      <c r="R7187" s="5" t="str">
        <f t="shared" si="2"/>
        <v>Khelti Hai Zindagi Aankh Micholi</v>
      </c>
      <c r="S7187" s="5" t="str">
        <f>IFERROR(__xludf.DUMMYFUNCTION("""COMPUTED_VALUE"""),"The Garfield Show")</f>
        <v>The Garfield Show</v>
      </c>
      <c r="V7187" s="5"/>
      <c r="Y7187" s="5" t="str">
        <f>IFERROR(__xludf.DUMMYFUNCTION("REGEXEXTRACT(J7187, ""^\d+"")"),"1")</f>
        <v>1</v>
      </c>
      <c r="Z7187" s="5" t="str">
        <f>IFERROR(__xludf.DUMMYFUNCTION("REGEXEXTRACT(J7187, ""[A-Za-z ]+$"")")," Season")</f>
        <v> Season</v>
      </c>
      <c r="AA7187" s="5" t="str">
        <f>IFERROR(__xludf.DUMMYFUNCTION("IF(REGEXMATCH(Z7187, ""Season""), ""TV Show"", ""Movie"")"),"TV Show")</f>
        <v>TV Show</v>
      </c>
    </row>
    <row r="7188">
      <c r="A7188" s="1" t="s">
        <v>35261</v>
      </c>
      <c r="B7188" s="1" t="s">
        <v>27</v>
      </c>
      <c r="C7188" s="1" t="s">
        <v>35262</v>
      </c>
      <c r="D7188" s="1" t="s">
        <v>1413</v>
      </c>
      <c r="E7188" s="1" t="s">
        <v>35263</v>
      </c>
      <c r="F7188" s="1" t="s">
        <v>63</v>
      </c>
      <c r="G7188" s="1" t="s">
        <v>24887</v>
      </c>
      <c r="H7188" s="1">
        <v>2006.0</v>
      </c>
      <c r="I7188" s="1" t="s">
        <v>97</v>
      </c>
      <c r="J7188" s="1" t="s">
        <v>341</v>
      </c>
      <c r="K7188" s="1" t="s">
        <v>583</v>
      </c>
      <c r="L7188" s="1" t="s">
        <v>35264</v>
      </c>
      <c r="M7188" s="2" t="s">
        <v>12</v>
      </c>
      <c r="N7188" s="4">
        <f t="shared" si="1"/>
        <v>43314</v>
      </c>
      <c r="O7188" s="5" t="str">
        <f>IFERROR(__xludf.DUMMYFUNCTION("IF(REGEXMATCH(TRIM(I7188), ""^\d+\s*min""), ""Unclassified"", IF(I7188 = """", ""NR"", I7188))"),"TV-14")</f>
        <v>TV-14</v>
      </c>
      <c r="R7188" s="5" t="str">
        <f t="shared" si="2"/>
        <v>Khosla Ka Ghosla</v>
      </c>
      <c r="S7188" s="5" t="str">
        <f>IFERROR(__xludf.DUMMYFUNCTION("""COMPUTED_VALUE"""),"The Gathering")</f>
        <v>The Gathering</v>
      </c>
      <c r="V7188" s="5"/>
      <c r="Y7188" s="5" t="str">
        <f>IFERROR(__xludf.DUMMYFUNCTION("REGEXEXTRACT(J7188, ""^\d+"")"),"124")</f>
        <v>124</v>
      </c>
      <c r="Z7188" s="5" t="str">
        <f>IFERROR(__xludf.DUMMYFUNCTION("REGEXEXTRACT(J7188, ""[A-Za-z ]+$"")")," min")</f>
        <v> min</v>
      </c>
      <c r="AA7188" s="5" t="str">
        <f>IFERROR(__xludf.DUMMYFUNCTION("IF(REGEXMATCH(Z7188, ""Season""), ""TV Show"", ""Movie"")"),"Movie")</f>
        <v>Movie</v>
      </c>
    </row>
    <row r="7189">
      <c r="A7189" s="1" t="s">
        <v>35265</v>
      </c>
      <c r="B7189" s="1" t="s">
        <v>37</v>
      </c>
      <c r="C7189" s="1" t="s">
        <v>35266</v>
      </c>
      <c r="E7189" s="1" t="s">
        <v>35267</v>
      </c>
      <c r="F7189" s="1" t="s">
        <v>63</v>
      </c>
      <c r="G7189" s="1" t="s">
        <v>25994</v>
      </c>
      <c r="H7189" s="1">
        <v>2011.0</v>
      </c>
      <c r="I7189" s="1" t="s">
        <v>97</v>
      </c>
      <c r="J7189" s="1" t="s">
        <v>51</v>
      </c>
      <c r="K7189" s="1" t="s">
        <v>1362</v>
      </c>
      <c r="L7189" s="1" t="s">
        <v>35268</v>
      </c>
      <c r="M7189" s="2" t="s">
        <v>12</v>
      </c>
      <c r="N7189" s="4">
        <f t="shared" si="1"/>
        <v>43174</v>
      </c>
      <c r="O7189" s="5" t="str">
        <f>IFERROR(__xludf.DUMMYFUNCTION("IF(REGEXMATCH(TRIM(I7189), ""^\d+\s*min""), ""Unclassified"", IF(I7189 = """", ""NR"", I7189))"),"TV-14")</f>
        <v>TV-14</v>
      </c>
      <c r="R7189" s="5" t="str">
        <f t="shared" si="2"/>
        <v>Khotey Sikkey</v>
      </c>
      <c r="S7189" s="5" t="str">
        <f>IFERROR(__xludf.DUMMYFUNCTION("""COMPUTED_VALUE"""),"The Gentleman Driver")</f>
        <v>The Gentleman Driver</v>
      </c>
      <c r="V7189" s="5"/>
      <c r="Y7189" s="5" t="str">
        <f>IFERROR(__xludf.DUMMYFUNCTION("REGEXEXTRACT(J7189, ""^\d+"")"),"1")</f>
        <v>1</v>
      </c>
      <c r="Z7189" s="5" t="str">
        <f>IFERROR(__xludf.DUMMYFUNCTION("REGEXEXTRACT(J7189, ""[A-Za-z ]+$"")")," Season")</f>
        <v> Season</v>
      </c>
      <c r="AA7189" s="5" t="str">
        <f>IFERROR(__xludf.DUMMYFUNCTION("IF(REGEXMATCH(Z7189, ""Season""), ""TV Show"", ""Movie"")"),"TV Show")</f>
        <v>TV Show</v>
      </c>
    </row>
    <row r="7190">
      <c r="A7190" s="1" t="s">
        <v>35269</v>
      </c>
      <c r="B7190" s="1" t="s">
        <v>27</v>
      </c>
      <c r="C7190" s="1" t="s">
        <v>35270</v>
      </c>
      <c r="D7190" s="1" t="s">
        <v>9419</v>
      </c>
      <c r="E7190" s="1" t="s">
        <v>35271</v>
      </c>
      <c r="F7190" s="1" t="s">
        <v>63</v>
      </c>
      <c r="G7190" s="1" t="s">
        <v>17078</v>
      </c>
      <c r="H7190" s="1">
        <v>1980.0</v>
      </c>
      <c r="I7190" s="1" t="s">
        <v>136</v>
      </c>
      <c r="J7190" s="1" t="s">
        <v>985</v>
      </c>
      <c r="K7190" s="1" t="s">
        <v>986</v>
      </c>
      <c r="L7190" s="1" t="s">
        <v>35272</v>
      </c>
      <c r="M7190" s="2" t="s">
        <v>12</v>
      </c>
      <c r="N7190" s="4">
        <f t="shared" si="1"/>
        <v>43830</v>
      </c>
      <c r="O7190" s="5" t="str">
        <f>IFERROR(__xludf.DUMMYFUNCTION("IF(REGEXMATCH(TRIM(I7190), ""^\d+\s*min""), ""Unclassified"", IF(I7190 = """", ""NR"", I7190))"),"TV-PG")</f>
        <v>TV-PG</v>
      </c>
      <c r="R7190" s="5" t="str">
        <f t="shared" si="2"/>
        <v>Khubsoorat</v>
      </c>
      <c r="S7190" s="5" t="str">
        <f>IFERROR(__xludf.DUMMYFUNCTION("""COMPUTED_VALUE"""),"The Get Down")</f>
        <v>The Get Down</v>
      </c>
      <c r="V7190" s="5"/>
      <c r="Y7190" s="5" t="str">
        <f>IFERROR(__xludf.DUMMYFUNCTION("REGEXEXTRACT(J7190, ""^\d+"")"),"120")</f>
        <v>120</v>
      </c>
      <c r="Z7190" s="5" t="str">
        <f>IFERROR(__xludf.DUMMYFUNCTION("REGEXEXTRACT(J7190, ""[A-Za-z ]+$"")")," min")</f>
        <v> min</v>
      </c>
      <c r="AA7190" s="5" t="str">
        <f>IFERROR(__xludf.DUMMYFUNCTION("IF(REGEXMATCH(Z7190, ""Season""), ""TV Show"", ""Movie"")"),"Movie")</f>
        <v>Movie</v>
      </c>
    </row>
    <row r="7191">
      <c r="A7191" s="1" t="s">
        <v>35273</v>
      </c>
      <c r="B7191" s="1" t="s">
        <v>27</v>
      </c>
      <c r="C7191" s="1" t="s">
        <v>35274</v>
      </c>
      <c r="D7191" s="1" t="s">
        <v>21960</v>
      </c>
      <c r="E7191" s="1" t="s">
        <v>35275</v>
      </c>
      <c r="F7191" s="1" t="s">
        <v>63</v>
      </c>
      <c r="G7191" s="1" t="s">
        <v>26089</v>
      </c>
      <c r="H7191" s="1">
        <v>2003.0</v>
      </c>
      <c r="I7191" s="1" t="s">
        <v>97</v>
      </c>
      <c r="J7191" s="1" t="s">
        <v>11571</v>
      </c>
      <c r="K7191" s="1" t="s">
        <v>230</v>
      </c>
      <c r="L7191" s="1" t="s">
        <v>35276</v>
      </c>
      <c r="M7191" s="2" t="s">
        <v>12</v>
      </c>
      <c r="N7191" s="4">
        <f t="shared" si="1"/>
        <v>43160</v>
      </c>
      <c r="O7191" s="5" t="str">
        <f>IFERROR(__xludf.DUMMYFUNCTION("IF(REGEXMATCH(TRIM(I7191), ""^\d+\s*min""), ""Unclassified"", IF(I7191 = """", ""NR"", I7191))"),"TV-14")</f>
        <v>TV-14</v>
      </c>
      <c r="R7191" s="5" t="str">
        <f t="shared" si="2"/>
        <v>Khushi</v>
      </c>
      <c r="S7191" s="5" t="str">
        <f>IFERROR(__xludf.DUMMYFUNCTION("""COMPUTED_VALUE"""),"The Ghost And The Tout")</f>
        <v>The Ghost And The Tout</v>
      </c>
      <c r="V7191" s="5"/>
      <c r="Y7191" s="5" t="str">
        <f>IFERROR(__xludf.DUMMYFUNCTION("REGEXEXTRACT(J7191, ""^\d+"")"),"157")</f>
        <v>157</v>
      </c>
      <c r="Z7191" s="5" t="str">
        <f>IFERROR(__xludf.DUMMYFUNCTION("REGEXEXTRACT(J7191, ""[A-Za-z ]+$"")")," min")</f>
        <v> min</v>
      </c>
      <c r="AA7191" s="5" t="str">
        <f>IFERROR(__xludf.DUMMYFUNCTION("IF(REGEXMATCH(Z7191, ""Season""), ""TV Show"", ""Movie"")"),"Movie")</f>
        <v>Movie</v>
      </c>
    </row>
    <row r="7192">
      <c r="A7192" s="1" t="s">
        <v>35277</v>
      </c>
      <c r="B7192" s="1" t="s">
        <v>27</v>
      </c>
      <c r="C7192" s="1" t="s">
        <v>35278</v>
      </c>
      <c r="D7192" s="1" t="s">
        <v>21853</v>
      </c>
      <c r="E7192" s="1" t="s">
        <v>35279</v>
      </c>
      <c r="F7192" s="1" t="s">
        <v>63</v>
      </c>
      <c r="G7192" s="7">
        <v>43586.0</v>
      </c>
      <c r="H7192" s="1">
        <v>2018.0</v>
      </c>
      <c r="I7192" s="1" t="s">
        <v>97</v>
      </c>
      <c r="J7192" s="1" t="s">
        <v>341</v>
      </c>
      <c r="K7192" s="1" t="s">
        <v>89</v>
      </c>
      <c r="L7192" s="1" t="s">
        <v>35280</v>
      </c>
      <c r="M7192" s="2" t="s">
        <v>12</v>
      </c>
      <c r="N7192" s="4">
        <f t="shared" si="1"/>
        <v>43586</v>
      </c>
      <c r="O7192" s="5" t="str">
        <f>IFERROR(__xludf.DUMMYFUNCTION("IF(REGEXMATCH(TRIM(I7192), ""^\d+\s*min""), ""Unclassified"", IF(I7192 = """", ""NR"", I7192))"),"TV-14")</f>
        <v>TV-14</v>
      </c>
      <c r="R7192" s="5" t="str">
        <f t="shared" si="2"/>
        <v>Kia And Cosmos</v>
      </c>
      <c r="S7192" s="5" t="str">
        <f>IFERROR(__xludf.DUMMYFUNCTION("""COMPUTED_VALUE"""),"The Ghost Bride")</f>
        <v>The Ghost Bride</v>
      </c>
      <c r="V7192" s="5"/>
      <c r="Y7192" s="5" t="str">
        <f>IFERROR(__xludf.DUMMYFUNCTION("REGEXEXTRACT(J7192, ""^\d+"")"),"124")</f>
        <v>124</v>
      </c>
      <c r="Z7192" s="5" t="str">
        <f>IFERROR(__xludf.DUMMYFUNCTION("REGEXEXTRACT(J7192, ""[A-Za-z ]+$"")")," min")</f>
        <v> min</v>
      </c>
      <c r="AA7192" s="5" t="str">
        <f>IFERROR(__xludf.DUMMYFUNCTION("IF(REGEXMATCH(Z7192, ""Season""), ""TV Show"", ""Movie"")"),"Movie")</f>
        <v>Movie</v>
      </c>
    </row>
    <row r="7193">
      <c r="A7193" s="1" t="s">
        <v>35281</v>
      </c>
      <c r="B7193" s="1" t="s">
        <v>27</v>
      </c>
      <c r="C7193" s="1" t="s">
        <v>35282</v>
      </c>
      <c r="D7193" s="1" t="s">
        <v>6533</v>
      </c>
      <c r="E7193" s="1" t="s">
        <v>35283</v>
      </c>
      <c r="F7193" s="1" t="s">
        <v>30</v>
      </c>
      <c r="G7193" s="1" t="s">
        <v>25694</v>
      </c>
      <c r="H7193" s="1">
        <v>2017.0</v>
      </c>
      <c r="I7193" s="1" t="s">
        <v>378</v>
      </c>
      <c r="J7193" s="1" t="s">
        <v>297</v>
      </c>
      <c r="K7193" s="1" t="s">
        <v>380</v>
      </c>
      <c r="L7193" s="1" t="s">
        <v>35284</v>
      </c>
      <c r="M7193" s="2" t="s">
        <v>12</v>
      </c>
      <c r="N7193" s="4">
        <f t="shared" si="1"/>
        <v>43216</v>
      </c>
      <c r="O7193" s="5" t="str">
        <f>IFERROR(__xludf.DUMMYFUNCTION("IF(REGEXMATCH(TRIM(I7193), ""^\d+\s*min""), ""Unclassified"", IF(I7193 = """", ""NR"", I7193))"),"R")</f>
        <v>R</v>
      </c>
      <c r="R7193" s="5" t="str">
        <f t="shared" si="2"/>
        <v>Kickboxer: Retaliation</v>
      </c>
      <c r="S7193" s="5" t="str">
        <f>IFERROR(__xludf.DUMMYFUNCTION("""COMPUTED_VALUE"""),"The Ghost Who Walks")</f>
        <v>The Ghost Who Walks</v>
      </c>
      <c r="V7193" s="5"/>
      <c r="Y7193" s="5" t="str">
        <f>IFERROR(__xludf.DUMMYFUNCTION("REGEXEXTRACT(J7193, ""^\d+"")"),"110")</f>
        <v>110</v>
      </c>
      <c r="Z7193" s="5" t="str">
        <f>IFERROR(__xludf.DUMMYFUNCTION("REGEXEXTRACT(J7193, ""[A-Za-z ]+$"")")," min")</f>
        <v> min</v>
      </c>
      <c r="AA7193" s="5" t="str">
        <f>IFERROR(__xludf.DUMMYFUNCTION("IF(REGEXMATCH(Z7193, ""Season""), ""TV Show"", ""Movie"")"),"Movie")</f>
        <v>Movie</v>
      </c>
    </row>
    <row r="7194">
      <c r="A7194" s="1" t="s">
        <v>35285</v>
      </c>
      <c r="B7194" s="1" t="s">
        <v>27</v>
      </c>
      <c r="C7194" s="1" t="s">
        <v>35286</v>
      </c>
      <c r="D7194" s="1" t="s">
        <v>11478</v>
      </c>
      <c r="E7194" s="1" t="s">
        <v>35287</v>
      </c>
      <c r="F7194" s="1" t="s">
        <v>30</v>
      </c>
      <c r="G7194" s="1" t="s">
        <v>29001</v>
      </c>
      <c r="H7194" s="1">
        <v>2016.0</v>
      </c>
      <c r="I7194" s="1" t="s">
        <v>42</v>
      </c>
      <c r="J7194" s="1" t="s">
        <v>33</v>
      </c>
      <c r="K7194" s="1" t="s">
        <v>380</v>
      </c>
      <c r="L7194" s="1" t="s">
        <v>35288</v>
      </c>
      <c r="M7194" s="2" t="s">
        <v>12</v>
      </c>
      <c r="N7194" s="4">
        <f t="shared" si="1"/>
        <v>42712</v>
      </c>
      <c r="O7194" s="5" t="str">
        <f>IFERROR(__xludf.DUMMYFUNCTION("IF(REGEXMATCH(TRIM(I7194), ""^\d+\s*min""), ""Unclassified"", IF(I7194 = """", ""NR"", I7194))"),"TV-MA")</f>
        <v>TV-MA</v>
      </c>
      <c r="R7194" s="5" t="str">
        <f t="shared" si="2"/>
        <v>Kickboxer: Vengeance</v>
      </c>
      <c r="S7194" s="5" t="str">
        <f>IFERROR(__xludf.DUMMYFUNCTION("""COMPUTED_VALUE"""),"The Giant")</f>
        <v>The Giant</v>
      </c>
      <c r="V7194" s="5"/>
      <c r="Y7194" s="5" t="str">
        <f>IFERROR(__xludf.DUMMYFUNCTION("REGEXEXTRACT(J7194, ""^\d+"")"),"90")</f>
        <v>90</v>
      </c>
      <c r="Z7194" s="5" t="str">
        <f>IFERROR(__xludf.DUMMYFUNCTION("REGEXEXTRACT(J7194, ""[A-Za-z ]+$"")")," min")</f>
        <v> min</v>
      </c>
      <c r="AA7194" s="5" t="str">
        <f>IFERROR(__xludf.DUMMYFUNCTION("IF(REGEXMATCH(Z7194, ""Season""), ""TV Show"", ""Movie"")"),"Movie")</f>
        <v>Movie</v>
      </c>
    </row>
    <row r="7195">
      <c r="A7195" s="1" t="s">
        <v>35289</v>
      </c>
      <c r="B7195" s="1" t="s">
        <v>27</v>
      </c>
      <c r="C7195" s="1" t="s">
        <v>35290</v>
      </c>
      <c r="D7195" s="1" t="s">
        <v>16989</v>
      </c>
      <c r="E7195" s="1" t="s">
        <v>35291</v>
      </c>
      <c r="F7195" s="1" t="s">
        <v>30</v>
      </c>
      <c r="G7195" s="1" t="s">
        <v>18253</v>
      </c>
      <c r="H7195" s="1">
        <v>1995.0</v>
      </c>
      <c r="I7195" s="1" t="s">
        <v>378</v>
      </c>
      <c r="J7195" s="1" t="s">
        <v>247</v>
      </c>
      <c r="K7195" s="1" t="s">
        <v>5739</v>
      </c>
      <c r="L7195" s="1" t="s">
        <v>35292</v>
      </c>
      <c r="M7195" s="2" t="s">
        <v>12</v>
      </c>
      <c r="N7195" s="4">
        <f t="shared" si="1"/>
        <v>43773</v>
      </c>
      <c r="O7195" s="5" t="str">
        <f>IFERROR(__xludf.DUMMYFUNCTION("IF(REGEXMATCH(TRIM(I7195), ""^\d+\s*min""), ""Unclassified"", IF(I7195 = """", ""NR"", I7195))"),"R")</f>
        <v>R</v>
      </c>
      <c r="R7195" s="5" t="str">
        <f t="shared" si="2"/>
        <v>Kicking And Screaming</v>
      </c>
      <c r="S7195" s="5" t="str">
        <f>IFERROR(__xludf.DUMMYFUNCTION("""COMPUTED_VALUE"""),"The Gift")</f>
        <v>The Gift</v>
      </c>
      <c r="V7195" s="5"/>
      <c r="Y7195" s="5" t="str">
        <f>IFERROR(__xludf.DUMMYFUNCTION("REGEXEXTRACT(J7195, ""^\d+"")"),"97")</f>
        <v>97</v>
      </c>
      <c r="Z7195" s="5" t="str">
        <f>IFERROR(__xludf.DUMMYFUNCTION("REGEXEXTRACT(J7195, ""[A-Za-z ]+$"")")," min")</f>
        <v> min</v>
      </c>
      <c r="AA7195" s="5" t="str">
        <f>IFERROR(__xludf.DUMMYFUNCTION("IF(REGEXMATCH(Z7195, ""Season""), ""TV Show"", ""Movie"")"),"Movie")</f>
        <v>Movie</v>
      </c>
    </row>
    <row r="7196">
      <c r="A7196" s="1" t="s">
        <v>35293</v>
      </c>
      <c r="B7196" s="1" t="s">
        <v>27</v>
      </c>
      <c r="C7196" s="1" t="s">
        <v>35294</v>
      </c>
      <c r="D7196" s="1" t="s">
        <v>9931</v>
      </c>
      <c r="E7196" s="1" t="s">
        <v>35295</v>
      </c>
      <c r="F7196" s="1" t="s">
        <v>4287</v>
      </c>
      <c r="G7196" s="1" t="s">
        <v>21815</v>
      </c>
      <c r="H7196" s="1">
        <v>2015.0</v>
      </c>
      <c r="I7196" s="1" t="s">
        <v>97</v>
      </c>
      <c r="J7196" s="1" t="s">
        <v>912</v>
      </c>
      <c r="K7196" s="1" t="s">
        <v>5099</v>
      </c>
      <c r="L7196" s="1" t="s">
        <v>35296</v>
      </c>
      <c r="M7196" s="2" t="s">
        <v>12</v>
      </c>
      <c r="N7196" s="4">
        <f t="shared" si="1"/>
        <v>43528</v>
      </c>
      <c r="O7196" s="5" t="str">
        <f>IFERROR(__xludf.DUMMYFUNCTION("IF(REGEXMATCH(TRIM(I7196), ""^\d+\s*min""), ""Unclassified"", IF(I7196 = """", ""NR"", I7196))"),"TV-14")</f>
        <v>TV-14</v>
      </c>
      <c r="R7196" s="5" t="str">
        <f t="shared" si="2"/>
        <v>Kid Kulafu</v>
      </c>
      <c r="S7196" s="5" t="str">
        <f>IFERROR(__xludf.DUMMYFUNCTION("""COMPUTED_VALUE"""),"The Girl Allergic To Wi-Fi")</f>
        <v>The Girl Allergic To Wi-Fi</v>
      </c>
      <c r="V7196" s="5"/>
      <c r="Y7196" s="5" t="str">
        <f>IFERROR(__xludf.DUMMYFUNCTION("REGEXEXTRACT(J7196, ""^\d+"")"),"108")</f>
        <v>108</v>
      </c>
      <c r="Z7196" s="5" t="str">
        <f>IFERROR(__xludf.DUMMYFUNCTION("REGEXEXTRACT(J7196, ""[A-Za-z ]+$"")")," min")</f>
        <v> min</v>
      </c>
      <c r="AA7196" s="5" t="str">
        <f>IFERROR(__xludf.DUMMYFUNCTION("IF(REGEXMATCH(Z7196, ""Season""), ""TV Show"", ""Movie"")"),"Movie")</f>
        <v>Movie</v>
      </c>
    </row>
    <row r="7197">
      <c r="A7197" s="1" t="s">
        <v>35297</v>
      </c>
      <c r="B7197" s="1" t="s">
        <v>27</v>
      </c>
      <c r="C7197" s="1" t="s">
        <v>35298</v>
      </c>
      <c r="D7197" s="1" t="s">
        <v>5482</v>
      </c>
      <c r="E7197" s="1" t="s">
        <v>35299</v>
      </c>
      <c r="F7197" s="1" t="s">
        <v>35300</v>
      </c>
      <c r="G7197" s="1" t="s">
        <v>27276</v>
      </c>
      <c r="H7197" s="1">
        <v>2015.0</v>
      </c>
      <c r="I7197" s="1" t="s">
        <v>378</v>
      </c>
      <c r="J7197" s="1" t="s">
        <v>465</v>
      </c>
      <c r="K7197" s="1" t="s">
        <v>306</v>
      </c>
      <c r="L7197" s="1" t="s">
        <v>35301</v>
      </c>
      <c r="M7197" s="2" t="s">
        <v>12</v>
      </c>
      <c r="N7197" s="4">
        <f t="shared" si="1"/>
        <v>42986</v>
      </c>
      <c r="O7197" s="5" t="str">
        <f>IFERROR(__xludf.DUMMYFUNCTION("IF(REGEXMATCH(TRIM(I7197), ""^\d+\s*min""), ""Unclassified"", IF(I7197 = """", ""NR"", I7197))"),"R")</f>
        <v>R</v>
      </c>
      <c r="R7197" s="5" t="str">
        <f t="shared" si="2"/>
        <v>Kidnapping Mr. Heineken</v>
      </c>
      <c r="S7197" s="5" t="str">
        <f>IFERROR(__xludf.DUMMYFUNCTION("""COMPUTED_VALUE"""),"The Girl And The Gun")</f>
        <v>The Girl And The Gun</v>
      </c>
      <c r="V7197" s="5"/>
      <c r="Y7197" s="5" t="str">
        <f>IFERROR(__xludf.DUMMYFUNCTION("REGEXEXTRACT(J7197, ""^\d+"")"),"95")</f>
        <v>95</v>
      </c>
      <c r="Z7197" s="5" t="str">
        <f>IFERROR(__xludf.DUMMYFUNCTION("REGEXEXTRACT(J7197, ""[A-Za-z ]+$"")")," min")</f>
        <v> min</v>
      </c>
      <c r="AA7197" s="5" t="str">
        <f>IFERROR(__xludf.DUMMYFUNCTION("IF(REGEXMATCH(Z7197, ""Season""), ""TV Show"", ""Movie"")"),"Movie")</f>
        <v>Movie</v>
      </c>
    </row>
    <row r="7198">
      <c r="A7198" s="1" t="s">
        <v>35302</v>
      </c>
      <c r="B7198" s="1" t="s">
        <v>37</v>
      </c>
      <c r="C7198" s="1" t="s">
        <v>35303</v>
      </c>
      <c r="E7198" s="1" t="s">
        <v>35304</v>
      </c>
      <c r="H7198" s="1">
        <v>2010.0</v>
      </c>
      <c r="I7198" s="1" t="s">
        <v>206</v>
      </c>
      <c r="J7198" s="1" t="s">
        <v>43</v>
      </c>
      <c r="K7198" s="1" t="s">
        <v>290</v>
      </c>
      <c r="L7198" s="1" t="s">
        <v>35305</v>
      </c>
      <c r="M7198" s="2" t="s">
        <v>12</v>
      </c>
      <c r="N7198" s="1" t="str">
        <f t="shared" si="1"/>
        <v>#VALUE!</v>
      </c>
      <c r="O7198" s="5" t="str">
        <f>IFERROR(__xludf.DUMMYFUNCTION("IF(REGEXMATCH(TRIM(I7198), ""^\d+\s*min""), ""Unclassified"", IF(I7198 = """", ""NR"", I7198))"),"TV-Y")</f>
        <v>TV-Y</v>
      </c>
      <c r="R7198" s="5" t="str">
        <f t="shared" si="2"/>
        <v>Kikoriki</v>
      </c>
      <c r="S7198" s="5" t="str">
        <f>IFERROR(__xludf.DUMMYFUNCTION("""COMPUTED_VALUE"""),"The Girl From The Song")</f>
        <v>The Girl From The Song</v>
      </c>
      <c r="V7198" s="5"/>
      <c r="Y7198" s="5" t="str">
        <f>IFERROR(__xludf.DUMMYFUNCTION("REGEXEXTRACT(J7198, ""^\d+"")"),"2")</f>
        <v>2</v>
      </c>
      <c r="Z7198" s="5" t="str">
        <f>IFERROR(__xludf.DUMMYFUNCTION("REGEXEXTRACT(J7198, ""[A-Za-z ]+$"")")," Seasons")</f>
        <v> Seasons</v>
      </c>
      <c r="AA7198" s="5" t="str">
        <f>IFERROR(__xludf.DUMMYFUNCTION("IF(REGEXMATCH(Z7198, ""Season""), ""TV Show"", ""Movie"")"),"TV Show")</f>
        <v>TV Show</v>
      </c>
    </row>
    <row r="7199">
      <c r="A7199" s="1" t="s">
        <v>35306</v>
      </c>
      <c r="B7199" s="1" t="s">
        <v>27</v>
      </c>
      <c r="C7199" s="1" t="s">
        <v>35307</v>
      </c>
      <c r="D7199" s="1" t="s">
        <v>2537</v>
      </c>
      <c r="E7199" s="1" t="s">
        <v>35308</v>
      </c>
      <c r="F7199" s="1" t="s">
        <v>1846</v>
      </c>
      <c r="G7199" s="1" t="s">
        <v>16947</v>
      </c>
      <c r="H7199" s="1">
        <v>2003.0</v>
      </c>
      <c r="I7199" s="1" t="s">
        <v>378</v>
      </c>
      <c r="J7199" s="1" t="s">
        <v>264</v>
      </c>
      <c r="K7199" s="1" t="s">
        <v>380</v>
      </c>
      <c r="L7199" s="1" t="s">
        <v>35309</v>
      </c>
      <c r="M7199" s="2" t="s">
        <v>12</v>
      </c>
      <c r="N7199" s="4">
        <f t="shared" si="1"/>
        <v>43831</v>
      </c>
      <c r="O7199" s="5" t="str">
        <f>IFERROR(__xludf.DUMMYFUNCTION("IF(REGEXMATCH(TRIM(I7199), ""^\d+\s*min""), ""Unclassified"", IF(I7199 = """", ""NR"", I7199))"),"R")</f>
        <v>R</v>
      </c>
      <c r="R7199" s="5" t="str">
        <f t="shared" si="2"/>
        <v>Kill Bill: Vol. 1</v>
      </c>
      <c r="S7199" s="5" t="str">
        <f>IFERROR(__xludf.DUMMYFUNCTION("""COMPUTED_VALUE"""),"The Girl King")</f>
        <v>The Girl King</v>
      </c>
      <c r="V7199" s="5"/>
      <c r="Y7199" s="5" t="str">
        <f>IFERROR(__xludf.DUMMYFUNCTION("REGEXEXTRACT(J7199, ""^\d+"")"),"111")</f>
        <v>111</v>
      </c>
      <c r="Z7199" s="5" t="str">
        <f>IFERROR(__xludf.DUMMYFUNCTION("REGEXEXTRACT(J7199, ""[A-Za-z ]+$"")")," min")</f>
        <v> min</v>
      </c>
      <c r="AA7199" s="5" t="str">
        <f>IFERROR(__xludf.DUMMYFUNCTION("IF(REGEXMATCH(Z7199, ""Season""), ""TV Show"", ""Movie"")"),"Movie")</f>
        <v>Movie</v>
      </c>
    </row>
    <row r="7200">
      <c r="A7200" s="1" t="s">
        <v>35310</v>
      </c>
      <c r="B7200" s="1" t="s">
        <v>27</v>
      </c>
      <c r="C7200" s="1" t="s">
        <v>35311</v>
      </c>
      <c r="D7200" s="1" t="s">
        <v>2537</v>
      </c>
      <c r="E7200" s="1" t="s">
        <v>35312</v>
      </c>
      <c r="F7200" s="1" t="s">
        <v>30</v>
      </c>
      <c r="G7200" s="1" t="s">
        <v>16947</v>
      </c>
      <c r="H7200" s="1">
        <v>2004.0</v>
      </c>
      <c r="I7200" s="1" t="s">
        <v>378</v>
      </c>
      <c r="J7200" s="1" t="s">
        <v>4242</v>
      </c>
      <c r="K7200" s="1" t="s">
        <v>380</v>
      </c>
      <c r="L7200" s="1" t="s">
        <v>35313</v>
      </c>
      <c r="M7200" s="2" t="s">
        <v>12</v>
      </c>
      <c r="N7200" s="4">
        <f t="shared" si="1"/>
        <v>43831</v>
      </c>
      <c r="O7200" s="5" t="str">
        <f>IFERROR(__xludf.DUMMYFUNCTION("IF(REGEXMATCH(TRIM(I7200), ""^\d+\s*min""), ""Unclassified"", IF(I7200 = """", ""NR"", I7200))"),"R")</f>
        <v>R</v>
      </c>
      <c r="R7200" s="5" t="str">
        <f t="shared" si="2"/>
        <v>Kill Bill: Vol. 2</v>
      </c>
      <c r="S7200" s="5" t="str">
        <f>IFERROR(__xludf.DUMMYFUNCTION("""COMPUTED_VALUE"""),"The Girl On The Train")</f>
        <v>The Girl On The Train</v>
      </c>
      <c r="V7200" s="5"/>
      <c r="Y7200" s="5" t="str">
        <f>IFERROR(__xludf.DUMMYFUNCTION("REGEXEXTRACT(J7200, ""^\d+"")"),"137")</f>
        <v>137</v>
      </c>
      <c r="Z7200" s="5" t="str">
        <f>IFERROR(__xludf.DUMMYFUNCTION("REGEXEXTRACT(J7200, ""[A-Za-z ]+$"")")," min")</f>
        <v> min</v>
      </c>
      <c r="AA7200" s="5" t="str">
        <f>IFERROR(__xludf.DUMMYFUNCTION("IF(REGEXMATCH(Z7200, ""Season""), ""TV Show"", ""Movie"")"),"Movie")</f>
        <v>Movie</v>
      </c>
    </row>
    <row r="7201">
      <c r="A7201" s="1" t="s">
        <v>35314</v>
      </c>
      <c r="B7201" s="1" t="s">
        <v>27</v>
      </c>
      <c r="C7201" s="1" t="s">
        <v>35315</v>
      </c>
      <c r="D7201" s="1" t="s">
        <v>21722</v>
      </c>
      <c r="E7201" s="1" t="s">
        <v>35316</v>
      </c>
      <c r="F7201" s="1" t="s">
        <v>96</v>
      </c>
      <c r="G7201" s="1" t="s">
        <v>35317</v>
      </c>
      <c r="H7201" s="1">
        <v>2016.0</v>
      </c>
      <c r="I7201" s="1" t="s">
        <v>42</v>
      </c>
      <c r="J7201" s="1" t="s">
        <v>433</v>
      </c>
      <c r="K7201" s="1" t="s">
        <v>20638</v>
      </c>
      <c r="L7201" s="1" t="s">
        <v>35318</v>
      </c>
      <c r="M7201" s="2" t="s">
        <v>12</v>
      </c>
      <c r="N7201" s="4">
        <f t="shared" si="1"/>
        <v>42789</v>
      </c>
      <c r="O7201" s="5" t="str">
        <f>IFERROR(__xludf.DUMMYFUNCTION("IF(REGEXMATCH(TRIM(I7201), ""^\d+\s*min""), ""Unclassified"", IF(I7201 = """", ""NR"", I7201))"),"TV-MA")</f>
        <v>TV-MA</v>
      </c>
      <c r="R7201" s="5" t="str">
        <f t="shared" si="2"/>
        <v>Kill Command</v>
      </c>
      <c r="S7201" s="5" t="str">
        <f>IFERROR(__xludf.DUMMYFUNCTION("""COMPUTED_VALUE"""),"The Girl With The Dragon Tattoo")</f>
        <v>The Girl With The Dragon Tattoo</v>
      </c>
      <c r="V7201" s="5"/>
      <c r="Y7201" s="5" t="str">
        <f>IFERROR(__xludf.DUMMYFUNCTION("REGEXEXTRACT(J7201, ""^\d+"")"),"100")</f>
        <v>100</v>
      </c>
      <c r="Z7201" s="5" t="str">
        <f>IFERROR(__xludf.DUMMYFUNCTION("REGEXEXTRACT(J7201, ""[A-Za-z ]+$"")")," min")</f>
        <v> min</v>
      </c>
      <c r="AA7201" s="5" t="str">
        <f>IFERROR(__xludf.DUMMYFUNCTION("IF(REGEXMATCH(Z7201, ""Season""), ""TV Show"", ""Movie"")"),"Movie")</f>
        <v>Movie</v>
      </c>
    </row>
    <row r="7202">
      <c r="A7202" s="1" t="s">
        <v>35319</v>
      </c>
      <c r="B7202" s="1" t="s">
        <v>27</v>
      </c>
      <c r="C7202" s="1" t="s">
        <v>35320</v>
      </c>
      <c r="D7202" s="1" t="s">
        <v>7954</v>
      </c>
      <c r="E7202" s="1" t="s">
        <v>35321</v>
      </c>
      <c r="F7202" s="1" t="s">
        <v>664</v>
      </c>
      <c r="G7202" s="7">
        <v>43586.0</v>
      </c>
      <c r="H7202" s="1">
        <v>2015.0</v>
      </c>
      <c r="I7202" s="1" t="s">
        <v>97</v>
      </c>
      <c r="J7202" s="1" t="s">
        <v>8606</v>
      </c>
      <c r="K7202" s="1" t="s">
        <v>156</v>
      </c>
      <c r="L7202" s="1" t="s">
        <v>35322</v>
      </c>
      <c r="M7202" s="2" t="s">
        <v>12</v>
      </c>
      <c r="N7202" s="4">
        <f t="shared" si="1"/>
        <v>43586</v>
      </c>
      <c r="O7202" s="5" t="str">
        <f>IFERROR(__xludf.DUMMYFUNCTION("IF(REGEXMATCH(TRIM(I7202), ""^\d+\s*min""), ""Unclassified"", IF(I7202 = """", ""NR"", I7202))"),"TV-14")</f>
        <v>TV-14</v>
      </c>
      <c r="R7202" s="5" t="str">
        <f t="shared" si="2"/>
        <v>Kill Hitler! The Luck Of The Devil</v>
      </c>
      <c r="S7202" s="5" t="str">
        <f>IFERROR(__xludf.DUMMYFUNCTION("""COMPUTED_VALUE"""),"The Golden Child")</f>
        <v>The Golden Child</v>
      </c>
      <c r="V7202" s="5"/>
      <c r="Y7202" s="5" t="str">
        <f>IFERROR(__xludf.DUMMYFUNCTION("REGEXEXTRACT(J7202, ""^\d+"")"),"53")</f>
        <v>53</v>
      </c>
      <c r="Z7202" s="5" t="str">
        <f>IFERROR(__xludf.DUMMYFUNCTION("REGEXEXTRACT(J7202, ""[A-Za-z ]+$"")")," min")</f>
        <v> min</v>
      </c>
      <c r="AA7202" s="5" t="str">
        <f>IFERROR(__xludf.DUMMYFUNCTION("IF(REGEXMATCH(Z7202, ""Season""), ""TV Show"", ""Movie"")"),"Movie")</f>
        <v>Movie</v>
      </c>
    </row>
    <row r="7203">
      <c r="A7203" s="1" t="s">
        <v>35323</v>
      </c>
      <c r="B7203" s="1" t="s">
        <v>27</v>
      </c>
      <c r="C7203" s="1" t="s">
        <v>35324</v>
      </c>
      <c r="D7203" s="1" t="s">
        <v>17804</v>
      </c>
      <c r="E7203" s="1" t="s">
        <v>35325</v>
      </c>
      <c r="F7203" s="1" t="s">
        <v>30</v>
      </c>
      <c r="G7203" s="1" t="s">
        <v>28620</v>
      </c>
      <c r="H7203" s="1">
        <v>2016.0</v>
      </c>
      <c r="I7203" s="1" t="s">
        <v>42</v>
      </c>
      <c r="J7203" s="1" t="s">
        <v>630</v>
      </c>
      <c r="K7203" s="1" t="s">
        <v>380</v>
      </c>
      <c r="L7203" s="1" t="s">
        <v>35326</v>
      </c>
      <c r="M7203" s="2" t="s">
        <v>12</v>
      </c>
      <c r="N7203" s="4">
        <f t="shared" si="1"/>
        <v>42783</v>
      </c>
      <c r="O7203" s="5" t="str">
        <f>IFERROR(__xludf.DUMMYFUNCTION("IF(REGEXMATCH(TRIM(I7203), ""^\d+\s*min""), ""Unclassified"", IF(I7203 = """", ""NR"", I7203))"),"TV-MA")</f>
        <v>TV-MA</v>
      </c>
      <c r="R7203" s="5" t="str">
        <f t="shared" si="2"/>
        <v>Kill Ratio</v>
      </c>
      <c r="S7203" s="5" t="str">
        <f>IFERROR(__xludf.DUMMYFUNCTION("""COMPUTED_VALUE"""),"The Golden Path")</f>
        <v>The Golden Path</v>
      </c>
      <c r="V7203" s="5"/>
      <c r="Y7203" s="5" t="str">
        <f>IFERROR(__xludf.DUMMYFUNCTION("REGEXEXTRACT(J7203, ""^\d+"")"),"87")</f>
        <v>87</v>
      </c>
      <c r="Z7203" s="5" t="str">
        <f>IFERROR(__xludf.DUMMYFUNCTION("REGEXEXTRACT(J7203, ""[A-Za-z ]+$"")")," min")</f>
        <v> min</v>
      </c>
      <c r="AA7203" s="5" t="str">
        <f>IFERROR(__xludf.DUMMYFUNCTION("IF(REGEXMATCH(Z7203, ""Season""), ""TV Show"", ""Movie"")"),"Movie")</f>
        <v>Movie</v>
      </c>
    </row>
    <row r="7204">
      <c r="A7204" s="1" t="s">
        <v>35327</v>
      </c>
      <c r="B7204" s="1" t="s">
        <v>27</v>
      </c>
      <c r="C7204" s="1" t="s">
        <v>35328</v>
      </c>
      <c r="D7204" s="1" t="s">
        <v>3943</v>
      </c>
      <c r="E7204" s="1" t="s">
        <v>35329</v>
      </c>
      <c r="F7204" s="1" t="s">
        <v>30</v>
      </c>
      <c r="G7204" s="1" t="s">
        <v>12031</v>
      </c>
      <c r="H7204" s="1">
        <v>2011.0</v>
      </c>
      <c r="I7204" s="1" t="s">
        <v>378</v>
      </c>
      <c r="J7204" s="1" t="s">
        <v>256</v>
      </c>
      <c r="K7204" s="1" t="s">
        <v>8559</v>
      </c>
      <c r="L7204" s="1" t="s">
        <v>35330</v>
      </c>
      <c r="M7204" s="2" t="s">
        <v>12</v>
      </c>
      <c r="N7204" s="4">
        <f t="shared" si="1"/>
        <v>44064</v>
      </c>
      <c r="O7204" s="5" t="str">
        <f>IFERROR(__xludf.DUMMYFUNCTION("IF(REGEXMATCH(TRIM(I7204), ""^\d+\s*min""), ""Unclassified"", IF(I7204 = """", ""NR"", I7204))"),"R")</f>
        <v>R</v>
      </c>
      <c r="R7204" s="5" t="str">
        <f t="shared" si="2"/>
        <v>Kill The Irishman</v>
      </c>
      <c r="S7204" s="5" t="str">
        <f>IFERROR(__xludf.DUMMYFUNCTION("""COMPUTED_VALUE"""),"The Golden Years With Javed Akhtar")</f>
        <v>The Golden Years With Javed Akhtar</v>
      </c>
      <c r="V7204" s="5"/>
      <c r="Y7204" s="5" t="str">
        <f>IFERROR(__xludf.DUMMYFUNCTION("REGEXEXTRACT(J7204, ""^\d+"")"),"106")</f>
        <v>106</v>
      </c>
      <c r="Z7204" s="5" t="str">
        <f>IFERROR(__xludf.DUMMYFUNCTION("REGEXEXTRACT(J7204, ""[A-Za-z ]+$"")")," min")</f>
        <v> min</v>
      </c>
      <c r="AA7204" s="5" t="str">
        <f>IFERROR(__xludf.DUMMYFUNCTION("IF(REGEXMATCH(Z7204, ""Season""), ""TV Show"", ""Movie"")"),"Movie")</f>
        <v>Movie</v>
      </c>
    </row>
    <row r="7205">
      <c r="A7205" s="1" t="s">
        <v>35331</v>
      </c>
      <c r="B7205" s="1" t="s">
        <v>27</v>
      </c>
      <c r="C7205" s="1" t="s">
        <v>35332</v>
      </c>
      <c r="D7205" s="1" t="s">
        <v>9702</v>
      </c>
      <c r="E7205" s="1" t="s">
        <v>35333</v>
      </c>
      <c r="F7205" s="1" t="s">
        <v>30</v>
      </c>
      <c r="G7205" s="1" t="s">
        <v>15215</v>
      </c>
      <c r="H7205" s="1">
        <v>1988.0</v>
      </c>
      <c r="I7205" s="1" t="s">
        <v>32</v>
      </c>
      <c r="J7205" s="1" t="s">
        <v>1144</v>
      </c>
      <c r="K7205" s="1" t="s">
        <v>35334</v>
      </c>
      <c r="L7205" s="1" t="s">
        <v>35335</v>
      </c>
      <c r="M7205" s="2" t="s">
        <v>12</v>
      </c>
      <c r="N7205" s="4">
        <f t="shared" si="1"/>
        <v>43922</v>
      </c>
      <c r="O7205" s="5" t="str">
        <f>IFERROR(__xludf.DUMMYFUNCTION("IF(REGEXMATCH(TRIM(I7205), ""^\d+\s*min""), ""Unclassified"", IF(I7205 = """", ""NR"", I7205))"),"PG-13")</f>
        <v>PG-13</v>
      </c>
      <c r="R7205" s="5" t="str">
        <f t="shared" si="2"/>
        <v>Killer Klowns From Outer Space</v>
      </c>
      <c r="S7205" s="5" t="str">
        <f>IFERROR(__xludf.DUMMYFUNCTION("""COMPUTED_VALUE"""),"The Golem")</f>
        <v>The Golem</v>
      </c>
      <c r="V7205" s="5"/>
      <c r="Y7205" s="5" t="str">
        <f>IFERROR(__xludf.DUMMYFUNCTION("REGEXEXTRACT(J7205, ""^\d+"")"),"86")</f>
        <v>86</v>
      </c>
      <c r="Z7205" s="5" t="str">
        <f>IFERROR(__xludf.DUMMYFUNCTION("REGEXEXTRACT(J7205, ""[A-Za-z ]+$"")")," min")</f>
        <v> min</v>
      </c>
      <c r="AA7205" s="5" t="str">
        <f>IFERROR(__xludf.DUMMYFUNCTION("IF(REGEXMATCH(Z7205, ""Season""), ""TV Show"", ""Movie"")"),"Movie")</f>
        <v>Movie</v>
      </c>
    </row>
    <row r="7206">
      <c r="A7206" s="1" t="s">
        <v>35336</v>
      </c>
      <c r="B7206" s="1" t="s">
        <v>27</v>
      </c>
      <c r="C7206" s="1" t="s">
        <v>35337</v>
      </c>
      <c r="D7206" s="1" t="s">
        <v>253</v>
      </c>
      <c r="E7206" s="1" t="s">
        <v>35338</v>
      </c>
      <c r="F7206" s="1" t="s">
        <v>30</v>
      </c>
      <c r="G7206" s="1" t="s">
        <v>8506</v>
      </c>
      <c r="H7206" s="1">
        <v>2010.0</v>
      </c>
      <c r="I7206" s="1" t="s">
        <v>32</v>
      </c>
      <c r="J7206" s="1" t="s">
        <v>433</v>
      </c>
      <c r="K7206" s="1" t="s">
        <v>13997</v>
      </c>
      <c r="L7206" s="1" t="s">
        <v>35339</v>
      </c>
      <c r="M7206" s="2" t="s">
        <v>12</v>
      </c>
      <c r="N7206" s="4">
        <f t="shared" si="1"/>
        <v>44197</v>
      </c>
      <c r="O7206" s="5" t="str">
        <f>IFERROR(__xludf.DUMMYFUNCTION("IF(REGEXMATCH(TRIM(I7206), ""^\d+\s*min""), ""Unclassified"", IF(I7206 = """", ""NR"", I7206))"),"PG-13")</f>
        <v>PG-13</v>
      </c>
      <c r="R7206" s="5" t="str">
        <f t="shared" si="2"/>
        <v>Killers</v>
      </c>
      <c r="S7206" s="5" t="str">
        <f>IFERROR(__xludf.DUMMYFUNCTION("""COMPUTED_VALUE"""),"The Good Bandit")</f>
        <v>The Good Bandit</v>
      </c>
      <c r="V7206" s="5"/>
      <c r="Y7206" s="5" t="str">
        <f>IFERROR(__xludf.DUMMYFUNCTION("REGEXEXTRACT(J7206, ""^\d+"")"),"100")</f>
        <v>100</v>
      </c>
      <c r="Z7206" s="5" t="str">
        <f>IFERROR(__xludf.DUMMYFUNCTION("REGEXEXTRACT(J7206, ""[A-Za-z ]+$"")")," min")</f>
        <v> min</v>
      </c>
      <c r="AA7206" s="5" t="str">
        <f>IFERROR(__xludf.DUMMYFUNCTION("IF(REGEXMATCH(Z7206, ""Season""), ""TV Show"", ""Movie"")"),"Movie")</f>
        <v>Movie</v>
      </c>
    </row>
    <row r="7207">
      <c r="A7207" s="1" t="s">
        <v>35340</v>
      </c>
      <c r="B7207" s="1" t="s">
        <v>27</v>
      </c>
      <c r="C7207" s="1" t="s">
        <v>35341</v>
      </c>
      <c r="D7207" s="1" t="s">
        <v>2723</v>
      </c>
      <c r="E7207" s="1" t="s">
        <v>35342</v>
      </c>
      <c r="F7207" s="1" t="s">
        <v>15518</v>
      </c>
      <c r="G7207" s="1" t="s">
        <v>25994</v>
      </c>
      <c r="H7207" s="1">
        <v>2016.0</v>
      </c>
      <c r="I7207" s="1" t="s">
        <v>42</v>
      </c>
      <c r="J7207" s="1" t="s">
        <v>238</v>
      </c>
      <c r="K7207" s="1" t="s">
        <v>306</v>
      </c>
      <c r="L7207" s="1" t="s">
        <v>35343</v>
      </c>
      <c r="M7207" s="2" t="s">
        <v>12</v>
      </c>
      <c r="N7207" s="4">
        <f t="shared" si="1"/>
        <v>43174</v>
      </c>
      <c r="O7207" s="5" t="str">
        <f>IFERROR(__xludf.DUMMYFUNCTION("IF(REGEXMATCH(TRIM(I7207), ""^\d+\s*min""), ""Unclassified"", IF(I7207 = """", ""NR"", I7207))"),"TV-MA")</f>
        <v>TV-MA</v>
      </c>
      <c r="R7207" s="5" t="str">
        <f t="shared" si="2"/>
        <v>Kills On Wheels</v>
      </c>
      <c r="S7207" s="5" t="str">
        <f>IFERROR(__xludf.DUMMYFUNCTION("""COMPUTED_VALUE"""),"The Good Catholic")</f>
        <v>The Good Catholic</v>
      </c>
      <c r="V7207" s="5"/>
      <c r="Y7207" s="5" t="str">
        <f>IFERROR(__xludf.DUMMYFUNCTION("REGEXEXTRACT(J7207, ""^\d+"")"),"103")</f>
        <v>103</v>
      </c>
      <c r="Z7207" s="5" t="str">
        <f>IFERROR(__xludf.DUMMYFUNCTION("REGEXEXTRACT(J7207, ""[A-Za-z ]+$"")")," min")</f>
        <v> min</v>
      </c>
      <c r="AA7207" s="5" t="str">
        <f>IFERROR(__xludf.DUMMYFUNCTION("IF(REGEXMATCH(Z7207, ""Season""), ""TV Show"", ""Movie"")"),"Movie")</f>
        <v>Movie</v>
      </c>
    </row>
    <row r="7208">
      <c r="A7208" s="1" t="s">
        <v>35344</v>
      </c>
      <c r="B7208" s="1" t="s">
        <v>27</v>
      </c>
      <c r="C7208" s="1" t="s">
        <v>35345</v>
      </c>
      <c r="D7208" s="1" t="s">
        <v>17731</v>
      </c>
      <c r="E7208" s="1" t="s">
        <v>35346</v>
      </c>
      <c r="F7208" s="1" t="s">
        <v>96</v>
      </c>
      <c r="G7208" s="1" t="s">
        <v>21838</v>
      </c>
      <c r="H7208" s="1">
        <v>2014.0</v>
      </c>
      <c r="I7208" s="1" t="s">
        <v>378</v>
      </c>
      <c r="J7208" s="1" t="s">
        <v>1065</v>
      </c>
      <c r="K7208" s="1" t="s">
        <v>2327</v>
      </c>
      <c r="L7208" s="1" t="s">
        <v>35347</v>
      </c>
      <c r="M7208" s="2" t="s">
        <v>12</v>
      </c>
      <c r="N7208" s="4">
        <f t="shared" si="1"/>
        <v>43525</v>
      </c>
      <c r="O7208" s="5" t="str">
        <f>IFERROR(__xludf.DUMMYFUNCTION("IF(REGEXMATCH(TRIM(I7208), ""^\d+\s*min""), ""Unclassified"", IF(I7208 = """", ""NR"", I7208))"),"R")</f>
        <v>R</v>
      </c>
      <c r="R7208" s="5" t="str">
        <f t="shared" si="2"/>
        <v>Kilo Two Bravo</v>
      </c>
      <c r="S7208" s="5" t="str">
        <f>IFERROR(__xludf.DUMMYFUNCTION("""COMPUTED_VALUE"""),"The Good Cop")</f>
        <v>The Good Cop</v>
      </c>
      <c r="V7208" s="5"/>
      <c r="Y7208" s="5" t="str">
        <f>IFERROR(__xludf.DUMMYFUNCTION("REGEXEXTRACT(J7208, ""^\d+"")"),"109")</f>
        <v>109</v>
      </c>
      <c r="Z7208" s="5" t="str">
        <f>IFERROR(__xludf.DUMMYFUNCTION("REGEXEXTRACT(J7208, ""[A-Za-z ]+$"")")," min")</f>
        <v> min</v>
      </c>
      <c r="AA7208" s="5" t="str">
        <f>IFERROR(__xludf.DUMMYFUNCTION("IF(REGEXMATCH(Z7208, ""Season""), ""TV Show"", ""Movie"")"),"Movie")</f>
        <v>Movie</v>
      </c>
    </row>
    <row r="7209">
      <c r="A7209" s="1" t="s">
        <v>35348</v>
      </c>
      <c r="B7209" s="1" t="s">
        <v>27</v>
      </c>
      <c r="C7209" s="1" t="s">
        <v>35349</v>
      </c>
      <c r="D7209" s="1" t="s">
        <v>7570</v>
      </c>
      <c r="E7209" s="1" t="s">
        <v>35350</v>
      </c>
      <c r="F7209" s="1" t="s">
        <v>30</v>
      </c>
      <c r="G7209" s="1" t="s">
        <v>29635</v>
      </c>
      <c r="H7209" s="1">
        <v>2015.0</v>
      </c>
      <c r="I7209" s="1" t="s">
        <v>30231</v>
      </c>
      <c r="J7209" s="1" t="s">
        <v>2452</v>
      </c>
      <c r="K7209" s="1" t="s">
        <v>1320</v>
      </c>
      <c r="L7209" s="1" t="s">
        <v>35351</v>
      </c>
      <c r="M7209" s="2" t="s">
        <v>12</v>
      </c>
      <c r="N7209" s="4">
        <f t="shared" si="1"/>
        <v>42552</v>
      </c>
      <c r="O7209" s="5" t="str">
        <f>IFERROR(__xludf.DUMMYFUNCTION("IF(REGEXMATCH(TRIM(I7209), ""^\d+\s*min""), ""Unclassified"", IF(I7209 = """", ""NR"", I7209))"),"NR")</f>
        <v>NR</v>
      </c>
      <c r="R7209" s="5" t="str">
        <f t="shared" si="2"/>
        <v>King Jack</v>
      </c>
      <c r="S7209" s="5" t="str">
        <f>IFERROR(__xludf.DUMMYFUNCTION("""COMPUTED_VALUE"""),"The Good Detective")</f>
        <v>The Good Detective</v>
      </c>
      <c r="V7209" s="5"/>
      <c r="Y7209" s="5" t="str">
        <f>IFERROR(__xludf.DUMMYFUNCTION("REGEXEXTRACT(J7209, ""^\d+"")"),"81")</f>
        <v>81</v>
      </c>
      <c r="Z7209" s="5" t="str">
        <f>IFERROR(__xludf.DUMMYFUNCTION("REGEXEXTRACT(J7209, ""[A-Za-z ]+$"")")," min")</f>
        <v> min</v>
      </c>
      <c r="AA7209" s="5" t="str">
        <f>IFERROR(__xludf.DUMMYFUNCTION("IF(REGEXMATCH(Z7209, ""Season""), ""TV Show"", ""Movie"")"),"Movie")</f>
        <v>Movie</v>
      </c>
    </row>
    <row r="7210">
      <c r="A7210" s="1" t="s">
        <v>35352</v>
      </c>
      <c r="B7210" s="1" t="s">
        <v>27</v>
      </c>
      <c r="C7210" s="1" t="s">
        <v>35353</v>
      </c>
      <c r="D7210" s="1" t="s">
        <v>10659</v>
      </c>
      <c r="E7210" s="1" t="s">
        <v>35354</v>
      </c>
      <c r="F7210" s="1" t="s">
        <v>897</v>
      </c>
      <c r="G7210" s="1" t="s">
        <v>18333</v>
      </c>
      <c r="H7210" s="1">
        <v>2005.0</v>
      </c>
      <c r="I7210" s="1" t="s">
        <v>32</v>
      </c>
      <c r="J7210" s="1" t="s">
        <v>357</v>
      </c>
      <c r="K7210" s="1" t="s">
        <v>973</v>
      </c>
      <c r="L7210" s="1" t="s">
        <v>35355</v>
      </c>
      <c r="M7210" s="2" t="s">
        <v>12</v>
      </c>
      <c r="N7210" s="4">
        <f t="shared" si="1"/>
        <v>43770</v>
      </c>
      <c r="O7210" s="5" t="str">
        <f>IFERROR(__xludf.DUMMYFUNCTION("IF(REGEXMATCH(TRIM(I7210), ""^\d+\s*min""), ""Unclassified"", IF(I7210 = """", ""NR"", I7210))"),"PG-13")</f>
        <v>PG-13</v>
      </c>
      <c r="R7210" s="5" t="str">
        <f t="shared" si="2"/>
        <v>King'S Ransom</v>
      </c>
      <c r="S7210" s="5" t="str">
        <f>IFERROR(__xludf.DUMMYFUNCTION("""COMPUTED_VALUE"""),"The Good Neighbor")</f>
        <v>The Good Neighbor</v>
      </c>
      <c r="V7210" s="5"/>
      <c r="Y7210" s="5" t="str">
        <f>IFERROR(__xludf.DUMMYFUNCTION("REGEXEXTRACT(J7210, ""^\d+"")"),"98")</f>
        <v>98</v>
      </c>
      <c r="Z7210" s="5" t="str">
        <f>IFERROR(__xludf.DUMMYFUNCTION("REGEXEXTRACT(J7210, ""[A-Za-z ]+$"")")," min")</f>
        <v> min</v>
      </c>
      <c r="AA7210" s="5" t="str">
        <f>IFERROR(__xludf.DUMMYFUNCTION("IF(REGEXMATCH(Z7210, ""Season""), ""TV Show"", ""Movie"")"),"Movie")</f>
        <v>Movie</v>
      </c>
    </row>
    <row r="7211">
      <c r="A7211" s="1" t="s">
        <v>35356</v>
      </c>
      <c r="B7211" s="1" t="s">
        <v>37</v>
      </c>
      <c r="C7211" s="1" t="s">
        <v>35357</v>
      </c>
      <c r="D7211" s="1" t="s">
        <v>21651</v>
      </c>
      <c r="G7211" s="1" t="s">
        <v>24201</v>
      </c>
      <c r="H7211" s="1">
        <v>2018.0</v>
      </c>
      <c r="I7211" s="1" t="s">
        <v>136</v>
      </c>
      <c r="J7211" s="1" t="s">
        <v>51</v>
      </c>
      <c r="K7211" s="1" t="s">
        <v>29581</v>
      </c>
      <c r="L7211" s="1" t="s">
        <v>35358</v>
      </c>
      <c r="M7211" s="2" t="s">
        <v>12</v>
      </c>
      <c r="N7211" s="4">
        <f t="shared" si="1"/>
        <v>43374</v>
      </c>
      <c r="O7211" s="5" t="str">
        <f>IFERROR(__xludf.DUMMYFUNCTION("IF(REGEXMATCH(TRIM(I7211), ""^\d+\s*min""), ""Unclassified"", IF(I7211 = """", ""NR"", I7211))"),"TV-PG")</f>
        <v>TV-PG</v>
      </c>
      <c r="R7211" s="5" t="str">
        <f t="shared" si="2"/>
        <v>Kingdoms Of The Sky</v>
      </c>
      <c r="S7211" s="5" t="str">
        <f>IFERROR(__xludf.DUMMYFUNCTION("""COMPUTED_VALUE"""),"The Good Place")</f>
        <v>The Good Place</v>
      </c>
      <c r="V7211" s="5"/>
      <c r="Y7211" s="5" t="str">
        <f>IFERROR(__xludf.DUMMYFUNCTION("REGEXEXTRACT(J7211, ""^\d+"")"),"1")</f>
        <v>1</v>
      </c>
      <c r="Z7211" s="5" t="str">
        <f>IFERROR(__xludf.DUMMYFUNCTION("REGEXEXTRACT(J7211, ""[A-Za-z ]+$"")")," Season")</f>
        <v> Season</v>
      </c>
      <c r="AA7211" s="5" t="str">
        <f>IFERROR(__xludf.DUMMYFUNCTION("IF(REGEXMATCH(Z7211, ""Season""), ""TV Show"", ""Movie"")"),"TV Show")</f>
        <v>TV Show</v>
      </c>
    </row>
    <row r="7212">
      <c r="A7212" s="1" t="s">
        <v>35359</v>
      </c>
      <c r="B7212" s="1" t="s">
        <v>27</v>
      </c>
      <c r="C7212" s="1" t="s">
        <v>35360</v>
      </c>
      <c r="D7212" s="1" t="s">
        <v>17953</v>
      </c>
      <c r="E7212" s="1" t="s">
        <v>35361</v>
      </c>
      <c r="F7212" s="1" t="s">
        <v>30</v>
      </c>
      <c r="G7212" s="1" t="s">
        <v>16947</v>
      </c>
      <c r="H7212" s="1">
        <v>1996.0</v>
      </c>
      <c r="I7212" s="1" t="s">
        <v>32</v>
      </c>
      <c r="J7212" s="1" t="s">
        <v>835</v>
      </c>
      <c r="K7212" s="1" t="s">
        <v>35362</v>
      </c>
      <c r="L7212" s="1" t="s">
        <v>35363</v>
      </c>
      <c r="M7212" s="2" t="s">
        <v>12</v>
      </c>
      <c r="N7212" s="4">
        <f t="shared" si="1"/>
        <v>43831</v>
      </c>
      <c r="O7212" s="5" t="str">
        <f>IFERROR(__xludf.DUMMYFUNCTION("IF(REGEXMATCH(TRIM(I7212), ""^\d+\s*min""), ""Unclassified"", IF(I7212 = """", ""NR"", I7212))"),"PG-13")</f>
        <v>PG-13</v>
      </c>
      <c r="R7212" s="5" t="str">
        <f t="shared" si="2"/>
        <v>Kingpin</v>
      </c>
      <c r="S7212" s="5" t="str">
        <f>IFERROR(__xludf.DUMMYFUNCTION("""COMPUTED_VALUE"""),"The Goods: Live Hard, Sell Hard")</f>
        <v>The Goods: Live Hard, Sell Hard</v>
      </c>
      <c r="V7212" s="5"/>
      <c r="Y7212" s="5" t="str">
        <f>IFERROR(__xludf.DUMMYFUNCTION("REGEXEXTRACT(J7212, ""^\d+"")"),"114")</f>
        <v>114</v>
      </c>
      <c r="Z7212" s="5" t="str">
        <f>IFERROR(__xludf.DUMMYFUNCTION("REGEXEXTRACT(J7212, ""[A-Za-z ]+$"")")," min")</f>
        <v> min</v>
      </c>
      <c r="AA7212" s="5" t="str">
        <f>IFERROR(__xludf.DUMMYFUNCTION("IF(REGEXMATCH(Z7212, ""Season""), ""TV Show"", ""Movie"")"),"Movie")</f>
        <v>Movie</v>
      </c>
    </row>
    <row r="7213">
      <c r="A7213" s="1" t="s">
        <v>35364</v>
      </c>
      <c r="B7213" s="1" t="s">
        <v>27</v>
      </c>
      <c r="C7213" s="1" t="s">
        <v>35365</v>
      </c>
      <c r="D7213" s="1" t="s">
        <v>6329</v>
      </c>
      <c r="E7213" s="1" t="s">
        <v>35366</v>
      </c>
      <c r="F7213" s="1" t="s">
        <v>35367</v>
      </c>
      <c r="G7213" s="1" t="s">
        <v>35368</v>
      </c>
      <c r="H7213" s="1">
        <v>2017.0</v>
      </c>
      <c r="I7213" s="1" t="s">
        <v>378</v>
      </c>
      <c r="J7213" s="1" t="s">
        <v>630</v>
      </c>
      <c r="K7213" s="1" t="s">
        <v>805</v>
      </c>
      <c r="L7213" s="1" t="s">
        <v>35369</v>
      </c>
      <c r="M7213" s="2" t="s">
        <v>12</v>
      </c>
      <c r="N7213" s="4">
        <f t="shared" si="1"/>
        <v>43402</v>
      </c>
      <c r="O7213" s="5" t="str">
        <f>IFERROR(__xludf.DUMMYFUNCTION("IF(REGEXMATCH(TRIM(I7213), ""^\d+\s*min""), ""Unclassified"", IF(I7213 = """", ""NR"", I7213))"),"R")</f>
        <v>R</v>
      </c>
      <c r="R7213" s="5" t="str">
        <f t="shared" si="2"/>
        <v>Kings</v>
      </c>
      <c r="S7213" s="5" t="str">
        <f>IFERROR(__xludf.DUMMYFUNCTION("""COMPUTED_VALUE"""),"The Goop Lab With Gwyneth Paltrow")</f>
        <v>The Goop Lab With Gwyneth Paltrow</v>
      </c>
      <c r="V7213" s="5"/>
      <c r="Y7213" s="5" t="str">
        <f>IFERROR(__xludf.DUMMYFUNCTION("REGEXEXTRACT(J7213, ""^\d+"")"),"87")</f>
        <v>87</v>
      </c>
      <c r="Z7213" s="5" t="str">
        <f>IFERROR(__xludf.DUMMYFUNCTION("REGEXEXTRACT(J7213, ""[A-Za-z ]+$"")")," min")</f>
        <v> min</v>
      </c>
      <c r="AA7213" s="5" t="str">
        <f>IFERROR(__xludf.DUMMYFUNCTION("IF(REGEXMATCH(Z7213, ""Season""), ""TV Show"", ""Movie"")"),"Movie")</f>
        <v>Movie</v>
      </c>
    </row>
    <row r="7214">
      <c r="A7214" s="1" t="s">
        <v>35370</v>
      </c>
      <c r="B7214" s="1" t="s">
        <v>27</v>
      </c>
      <c r="C7214" s="1" t="s">
        <v>35371</v>
      </c>
      <c r="D7214" s="1" t="s">
        <v>165</v>
      </c>
      <c r="E7214" s="1" t="s">
        <v>35372</v>
      </c>
      <c r="F7214" s="1" t="s">
        <v>63</v>
      </c>
      <c r="G7214" s="1" t="s">
        <v>26883</v>
      </c>
      <c r="H7214" s="1">
        <v>2015.0</v>
      </c>
      <c r="I7214" s="1" t="s">
        <v>136</v>
      </c>
      <c r="J7214" s="1" t="s">
        <v>2505</v>
      </c>
      <c r="K7214" s="1" t="s">
        <v>199</v>
      </c>
      <c r="L7214" s="1" t="s">
        <v>35373</v>
      </c>
      <c r="M7214" s="2" t="s">
        <v>12</v>
      </c>
      <c r="N7214" s="4">
        <f t="shared" si="1"/>
        <v>43040</v>
      </c>
      <c r="O7214" s="5" t="str">
        <f>IFERROR(__xludf.DUMMYFUNCTION("IF(REGEXMATCH(TRIM(I7214), ""^\d+\s*min""), ""Unclassified"", IF(I7214 = """", ""NR"", I7214))"),"TV-PG")</f>
        <v>TV-PG</v>
      </c>
      <c r="R7214" s="5" t="str">
        <f t="shared" si="2"/>
        <v>Kis Kisko Pyaar Karoon</v>
      </c>
      <c r="S7214" s="5" t="str">
        <f>IFERROR(__xludf.DUMMYFUNCTION("""COMPUTED_VALUE"""),"The Gospel Of John")</f>
        <v>The Gospel Of John</v>
      </c>
      <c r="V7214" s="5"/>
      <c r="Y7214" s="5" t="str">
        <f>IFERROR(__xludf.DUMMYFUNCTION("REGEXEXTRACT(J7214, ""^\d+"")"),"132")</f>
        <v>132</v>
      </c>
      <c r="Z7214" s="5" t="str">
        <f>IFERROR(__xludf.DUMMYFUNCTION("REGEXEXTRACT(J7214, ""[A-Za-z ]+$"")")," min")</f>
        <v> min</v>
      </c>
      <c r="AA7214" s="5" t="str">
        <f>IFERROR(__xludf.DUMMYFUNCTION("IF(REGEXMATCH(Z7214, ""Season""), ""TV Show"", ""Movie"")"),"Movie")</f>
        <v>Movie</v>
      </c>
    </row>
    <row r="7215">
      <c r="A7215" s="1" t="s">
        <v>35374</v>
      </c>
      <c r="B7215" s="1" t="s">
        <v>27</v>
      </c>
      <c r="C7215" s="1" t="s">
        <v>35375</v>
      </c>
      <c r="D7215" s="1" t="s">
        <v>8155</v>
      </c>
      <c r="E7215" s="1" t="s">
        <v>35376</v>
      </c>
      <c r="F7215" s="1" t="s">
        <v>30</v>
      </c>
      <c r="G7215" s="1" t="s">
        <v>16947</v>
      </c>
      <c r="H7215" s="1">
        <v>1997.0</v>
      </c>
      <c r="I7215" s="1" t="s">
        <v>378</v>
      </c>
      <c r="J7215" s="1" t="s">
        <v>349</v>
      </c>
      <c r="K7215" s="1" t="s">
        <v>171</v>
      </c>
      <c r="L7215" s="1" t="s">
        <v>35377</v>
      </c>
      <c r="M7215" s="2" t="s">
        <v>12</v>
      </c>
      <c r="N7215" s="4">
        <f t="shared" si="1"/>
        <v>43831</v>
      </c>
      <c r="O7215" s="5" t="str">
        <f>IFERROR(__xludf.DUMMYFUNCTION("IF(REGEXMATCH(TRIM(I7215), ""^\d+\s*min""), ""Unclassified"", IF(I7215 = """", ""NR"", I7215))"),"R")</f>
        <v>R</v>
      </c>
      <c r="R7215" s="5" t="str">
        <f t="shared" si="2"/>
        <v>Kiss The Girls</v>
      </c>
      <c r="S7215" s="5" t="str">
        <f>IFERROR(__xludf.DUMMYFUNCTION("""COMPUTED_VALUE"""),"The Gospel Of Luke")</f>
        <v>The Gospel Of Luke</v>
      </c>
      <c r="V7215" s="5"/>
      <c r="Y7215" s="5" t="str">
        <f>IFERROR(__xludf.DUMMYFUNCTION("REGEXEXTRACT(J7215, ""^\d+"")"),"116")</f>
        <v>116</v>
      </c>
      <c r="Z7215" s="5" t="str">
        <f>IFERROR(__xludf.DUMMYFUNCTION("REGEXEXTRACT(J7215, ""[A-Za-z ]+$"")")," min")</f>
        <v> min</v>
      </c>
      <c r="AA7215" s="5" t="str">
        <f>IFERROR(__xludf.DUMMYFUNCTION("IF(REGEXMATCH(Z7215, ""Season""), ""TV Show"", ""Movie"")"),"Movie")</f>
        <v>Movie</v>
      </c>
    </row>
    <row r="7216">
      <c r="A7216" s="1" t="s">
        <v>35378</v>
      </c>
      <c r="B7216" s="1" t="s">
        <v>37</v>
      </c>
      <c r="C7216" s="1" t="s">
        <v>35379</v>
      </c>
      <c r="E7216" s="1" t="s">
        <v>35380</v>
      </c>
      <c r="G7216" s="7">
        <v>43611.0</v>
      </c>
      <c r="H7216" s="1">
        <v>2016.0</v>
      </c>
      <c r="I7216" s="1" t="s">
        <v>97</v>
      </c>
      <c r="J7216" s="1" t="s">
        <v>51</v>
      </c>
      <c r="K7216" s="1" t="s">
        <v>1907</v>
      </c>
      <c r="L7216" s="1" t="s">
        <v>35381</v>
      </c>
      <c r="M7216" s="2" t="s">
        <v>12</v>
      </c>
      <c r="N7216" s="4">
        <f t="shared" si="1"/>
        <v>43611</v>
      </c>
      <c r="O7216" s="5" t="str">
        <f>IFERROR(__xludf.DUMMYFUNCTION("IF(REGEXMATCH(TRIM(I7216), ""^\d+\s*min""), ""Unclassified"", IF(I7216 = """", ""NR"", I7216))"),"TV-14")</f>
        <v>TV-14</v>
      </c>
      <c r="R7216" s="5" t="str">
        <f t="shared" si="2"/>
        <v>Kiss The Series</v>
      </c>
      <c r="S7216" s="5" t="str">
        <f>IFERROR(__xludf.DUMMYFUNCTION("""COMPUTED_VALUE"""),"The Gospel Of Mark")</f>
        <v>The Gospel Of Mark</v>
      </c>
      <c r="V7216" s="5"/>
      <c r="Y7216" s="5" t="str">
        <f>IFERROR(__xludf.DUMMYFUNCTION("REGEXEXTRACT(J7216, ""^\d+"")"),"1")</f>
        <v>1</v>
      </c>
      <c r="Z7216" s="5" t="str">
        <f>IFERROR(__xludf.DUMMYFUNCTION("REGEXEXTRACT(J7216, ""[A-Za-z ]+$"")")," Season")</f>
        <v> Season</v>
      </c>
      <c r="AA7216" s="5" t="str">
        <f>IFERROR(__xludf.DUMMYFUNCTION("IF(REGEXMATCH(Z7216, ""Season""), ""TV Show"", ""Movie"")"),"TV Show")</f>
        <v>TV Show</v>
      </c>
    </row>
    <row r="7217">
      <c r="A7217" s="1" t="s">
        <v>35382</v>
      </c>
      <c r="B7217" s="1" t="s">
        <v>37</v>
      </c>
      <c r="C7217" s="1" t="s">
        <v>35383</v>
      </c>
      <c r="E7217" s="1" t="s">
        <v>35384</v>
      </c>
      <c r="F7217" s="1" t="s">
        <v>96</v>
      </c>
      <c r="G7217" s="1" t="s">
        <v>18971</v>
      </c>
      <c r="H7217" s="1">
        <v>2017.0</v>
      </c>
      <c r="I7217" s="1" t="s">
        <v>97</v>
      </c>
      <c r="J7217" s="1" t="s">
        <v>51</v>
      </c>
      <c r="K7217" s="1" t="s">
        <v>2382</v>
      </c>
      <c r="L7217" s="1" t="s">
        <v>35385</v>
      </c>
      <c r="M7217" s="2" t="s">
        <v>12</v>
      </c>
      <c r="N7217" s="4">
        <f t="shared" si="1"/>
        <v>43740</v>
      </c>
      <c r="O7217" s="5" t="str">
        <f>IFERROR(__xludf.DUMMYFUNCTION("IF(REGEXMATCH(TRIM(I7217), ""^\d+\s*min""), ""Unclassified"", IF(I7217 = """", ""NR"", I7217))"),"TV-14")</f>
        <v>TV-14</v>
      </c>
      <c r="R7217" s="5" t="str">
        <f t="shared" si="2"/>
        <v>Kitten Rescuers</v>
      </c>
      <c r="S7217" s="5" t="str">
        <f>IFERROR(__xludf.DUMMYFUNCTION("""COMPUTED_VALUE"""),"The Gospel Of Matthew")</f>
        <v>The Gospel Of Matthew</v>
      </c>
      <c r="V7217" s="5"/>
      <c r="Y7217" s="5" t="str">
        <f>IFERROR(__xludf.DUMMYFUNCTION("REGEXEXTRACT(J7217, ""^\d+"")"),"1")</f>
        <v>1</v>
      </c>
      <c r="Z7217" s="5" t="str">
        <f>IFERROR(__xludf.DUMMYFUNCTION("REGEXEXTRACT(J7217, ""[A-Za-z ]+$"")")," Season")</f>
        <v> Season</v>
      </c>
      <c r="AA7217" s="5" t="str">
        <f>IFERROR(__xludf.DUMMYFUNCTION("IF(REGEXMATCH(Z7217, ""Season""), ""TV Show"", ""Movie"")"),"TV Show")</f>
        <v>TV Show</v>
      </c>
    </row>
    <row r="7218">
      <c r="A7218" s="1" t="s">
        <v>35386</v>
      </c>
      <c r="B7218" s="1" t="s">
        <v>27</v>
      </c>
      <c r="C7218" s="1" t="s">
        <v>35387</v>
      </c>
      <c r="D7218" s="1" t="s">
        <v>23705</v>
      </c>
      <c r="E7218" s="1" t="s">
        <v>35388</v>
      </c>
      <c r="F7218" s="1" t="s">
        <v>3321</v>
      </c>
      <c r="G7218" s="1" t="s">
        <v>31250</v>
      </c>
      <c r="H7218" s="1">
        <v>2013.0</v>
      </c>
      <c r="I7218" s="1" t="s">
        <v>97</v>
      </c>
      <c r="J7218" s="1" t="s">
        <v>665</v>
      </c>
      <c r="K7218" s="1" t="s">
        <v>6462</v>
      </c>
      <c r="L7218" s="1" t="s">
        <v>35389</v>
      </c>
      <c r="M7218" s="2" t="s">
        <v>12</v>
      </c>
      <c r="N7218" s="4">
        <f t="shared" si="1"/>
        <v>42968</v>
      </c>
      <c r="O7218" s="5" t="str">
        <f>IFERROR(__xludf.DUMMYFUNCTION("IF(REGEXMATCH(TRIM(I7218), ""^\d+\s*min""), ""Unclassified"", IF(I7218 = """", ""NR"", I7218))"),"TV-14")</f>
        <v>TV-14</v>
      </c>
      <c r="R7218" s="5" t="str">
        <f t="shared" si="2"/>
        <v>Kl Zombi</v>
      </c>
      <c r="S7218" s="5" t="str">
        <f>IFERROR(__xludf.DUMMYFUNCTION("""COMPUTED_VALUE"""),"The Governor")</f>
        <v>The Governor</v>
      </c>
      <c r="V7218" s="5"/>
      <c r="Y7218" s="5" t="str">
        <f>IFERROR(__xludf.DUMMYFUNCTION("REGEXEXTRACT(J7218, ""^\d+"")"),"92")</f>
        <v>92</v>
      </c>
      <c r="Z7218" s="5" t="str">
        <f>IFERROR(__xludf.DUMMYFUNCTION("REGEXEXTRACT(J7218, ""[A-Za-z ]+$"")")," min")</f>
        <v> min</v>
      </c>
      <c r="AA7218" s="5" t="str">
        <f>IFERROR(__xludf.DUMMYFUNCTION("IF(REGEXMATCH(Z7218, ""Season""), ""TV Show"", ""Movie"")"),"Movie")</f>
        <v>Movie</v>
      </c>
    </row>
    <row r="7219">
      <c r="A7219" s="1" t="s">
        <v>35390</v>
      </c>
      <c r="B7219" s="1" t="s">
        <v>37</v>
      </c>
      <c r="C7219" s="1" t="s">
        <v>35391</v>
      </c>
      <c r="E7219" s="1" t="s">
        <v>35392</v>
      </c>
      <c r="F7219" s="1" t="s">
        <v>415</v>
      </c>
      <c r="G7219" s="1" t="s">
        <v>35393</v>
      </c>
      <c r="H7219" s="1">
        <v>2015.0</v>
      </c>
      <c r="I7219" s="1" t="s">
        <v>42</v>
      </c>
      <c r="J7219" s="1" t="s">
        <v>43</v>
      </c>
      <c r="K7219" s="1" t="s">
        <v>567</v>
      </c>
      <c r="L7219" s="1" t="s">
        <v>35394</v>
      </c>
      <c r="M7219" s="2" t="s">
        <v>12</v>
      </c>
      <c r="N7219" s="1" t="str">
        <f t="shared" si="1"/>
        <v>#N/A</v>
      </c>
      <c r="O7219" s="5" t="str">
        <f>IFERROR(__xludf.DUMMYFUNCTION("IF(REGEXMATCH(TRIM(I7219), ""^\d+\s*min""), ""Unclassified"", IF(I7219 = """", ""NR"", I7219))"),"TV-MA")</f>
        <v>TV-MA</v>
      </c>
      <c r="R7219" s="5" t="str">
        <f t="shared" si="2"/>
        <v>Knights Of Sidonia</v>
      </c>
      <c r="S7219" s="5" t="str">
        <f>IFERROR(__xludf.DUMMYFUNCTION("""COMPUTED_VALUE"""),"The Grandmaster")</f>
        <v>The Grandmaster</v>
      </c>
      <c r="V7219" s="5"/>
      <c r="Y7219" s="5" t="str">
        <f>IFERROR(__xludf.DUMMYFUNCTION("REGEXEXTRACT(J7219, ""^\d+"")"),"2")</f>
        <v>2</v>
      </c>
      <c r="Z7219" s="5" t="str">
        <f>IFERROR(__xludf.DUMMYFUNCTION("REGEXEXTRACT(J7219, ""[A-Za-z ]+$"")")," Seasons")</f>
        <v> Seasons</v>
      </c>
      <c r="AA7219" s="5" t="str">
        <f>IFERROR(__xludf.DUMMYFUNCTION("IF(REGEXMATCH(Z7219, ""Season""), ""TV Show"", ""Movie"")"),"TV Show")</f>
        <v>TV Show</v>
      </c>
    </row>
    <row r="7220">
      <c r="A7220" s="1" t="s">
        <v>35395</v>
      </c>
      <c r="B7220" s="1" t="s">
        <v>27</v>
      </c>
      <c r="C7220" s="1" t="s">
        <v>35396</v>
      </c>
      <c r="D7220" s="1" t="s">
        <v>6928</v>
      </c>
      <c r="E7220" s="1" t="s">
        <v>35397</v>
      </c>
      <c r="F7220" s="1" t="s">
        <v>35398</v>
      </c>
      <c r="G7220" s="1" t="s">
        <v>10136</v>
      </c>
      <c r="H7220" s="1">
        <v>2015.0</v>
      </c>
      <c r="I7220" s="1" t="s">
        <v>378</v>
      </c>
      <c r="J7220" s="1" t="s">
        <v>416</v>
      </c>
      <c r="K7220" s="1" t="s">
        <v>3768</v>
      </c>
      <c r="L7220" s="1" t="s">
        <v>35399</v>
      </c>
      <c r="M7220" s="2" t="s">
        <v>12</v>
      </c>
      <c r="N7220" s="4">
        <f t="shared" si="1"/>
        <v>44136</v>
      </c>
      <c r="O7220" s="5" t="str">
        <f>IFERROR(__xludf.DUMMYFUNCTION("IF(REGEXMATCH(TRIM(I7220), ""^\d+\s*min""), ""Unclassified"", IF(I7220 = """", ""NR"", I7220))"),"R")</f>
        <v>R</v>
      </c>
      <c r="R7220" s="5" t="str">
        <f t="shared" si="2"/>
        <v>Knock Knock</v>
      </c>
      <c r="S7220" s="5" t="str">
        <f>IFERROR(__xludf.DUMMYFUNCTION("""COMPUTED_VALUE"""),"The Great Battle")</f>
        <v>The Great Battle</v>
      </c>
      <c r="V7220" s="5"/>
      <c r="Y7220" s="5" t="str">
        <f>IFERROR(__xludf.DUMMYFUNCTION("REGEXEXTRACT(J7220, ""^\d+"")"),"99")</f>
        <v>99</v>
      </c>
      <c r="Z7220" s="5" t="str">
        <f>IFERROR(__xludf.DUMMYFUNCTION("REGEXEXTRACT(J7220, ""[A-Za-z ]+$"")")," min")</f>
        <v> min</v>
      </c>
      <c r="AA7220" s="5" t="str">
        <f>IFERROR(__xludf.DUMMYFUNCTION("IF(REGEXMATCH(Z7220, ""Season""), ""TV Show"", ""Movie"")"),"Movie")</f>
        <v>Movie</v>
      </c>
    </row>
    <row r="7221">
      <c r="A7221" s="1" t="s">
        <v>35400</v>
      </c>
      <c r="B7221" s="1" t="s">
        <v>27</v>
      </c>
      <c r="C7221" s="1" t="s">
        <v>35401</v>
      </c>
      <c r="D7221" s="1" t="s">
        <v>7857</v>
      </c>
      <c r="E7221" s="1" t="s">
        <v>35402</v>
      </c>
      <c r="F7221" s="1" t="s">
        <v>30</v>
      </c>
      <c r="G7221" s="1" t="s">
        <v>28421</v>
      </c>
      <c r="H7221" s="1">
        <v>1945.0</v>
      </c>
      <c r="I7221" s="1" t="s">
        <v>97</v>
      </c>
      <c r="J7221" s="1" t="s">
        <v>919</v>
      </c>
      <c r="K7221" s="1" t="s">
        <v>35403</v>
      </c>
      <c r="L7221" s="1" t="s">
        <v>35404</v>
      </c>
      <c r="M7221" s="2" t="s">
        <v>12</v>
      </c>
      <c r="N7221" s="4">
        <f t="shared" si="1"/>
        <v>42825</v>
      </c>
      <c r="O7221" s="5" t="str">
        <f>IFERROR(__xludf.DUMMYFUNCTION("IF(REGEXMATCH(TRIM(I7221), ""^\d+\s*min""), ""Unclassified"", IF(I7221 = """", ""NR"", I7221))"),"TV-14")</f>
        <v>TV-14</v>
      </c>
      <c r="R7221" s="5" t="str">
        <f t="shared" si="2"/>
        <v>Know Your Enemy - Japan</v>
      </c>
      <c r="S7221" s="5" t="str">
        <f>IFERROR(__xludf.DUMMYFUNCTION("""COMPUTED_VALUE"""),"The Great British Baking Show")</f>
        <v>The Great British Baking Show</v>
      </c>
      <c r="V7221" s="5"/>
      <c r="Y7221" s="5" t="str">
        <f>IFERROR(__xludf.DUMMYFUNCTION("REGEXEXTRACT(J7221, ""^\d+"")"),"63")</f>
        <v>63</v>
      </c>
      <c r="Z7221" s="5" t="str">
        <f>IFERROR(__xludf.DUMMYFUNCTION("REGEXEXTRACT(J7221, ""[A-Za-z ]+$"")")," min")</f>
        <v> min</v>
      </c>
      <c r="AA7221" s="5" t="str">
        <f>IFERROR(__xludf.DUMMYFUNCTION("IF(REGEXMATCH(Z7221, ""Season""), ""TV Show"", ""Movie"")"),"Movie")</f>
        <v>Movie</v>
      </c>
    </row>
    <row r="7222">
      <c r="A7222" s="1" t="s">
        <v>35405</v>
      </c>
      <c r="B7222" s="1" t="s">
        <v>27</v>
      </c>
      <c r="C7222" s="1" t="s">
        <v>35406</v>
      </c>
      <c r="D7222" s="1" t="s">
        <v>1157</v>
      </c>
      <c r="E7222" s="1" t="s">
        <v>35407</v>
      </c>
      <c r="F7222" s="1" t="s">
        <v>28443</v>
      </c>
      <c r="G7222" s="1" t="s">
        <v>18985</v>
      </c>
      <c r="H7222" s="1">
        <v>2009.0</v>
      </c>
      <c r="I7222" s="1" t="s">
        <v>32</v>
      </c>
      <c r="J7222" s="1" t="s">
        <v>941</v>
      </c>
      <c r="K7222" s="1" t="s">
        <v>658</v>
      </c>
      <c r="L7222" s="1" t="s">
        <v>35408</v>
      </c>
      <c r="M7222" s="2" t="s">
        <v>12</v>
      </c>
      <c r="N7222" s="4">
        <f t="shared" si="1"/>
        <v>43739</v>
      </c>
      <c r="O7222" s="5" t="str">
        <f>IFERROR(__xludf.DUMMYFUNCTION("IF(REGEXMATCH(TRIM(I7222), ""^\d+\s*min""), ""Unclassified"", IF(I7222 = """", ""NR"", I7222))"),"PG-13")</f>
        <v>PG-13</v>
      </c>
      <c r="R7222" s="5" t="str">
        <f t="shared" si="2"/>
        <v>Knowing</v>
      </c>
      <c r="S7222" s="5" t="str">
        <f>IFERROR(__xludf.DUMMYFUNCTION("""COMPUTED_VALUE"""),"The Great British Baking Show: Holidays")</f>
        <v>The Great British Baking Show: Holidays</v>
      </c>
      <c r="V7222" s="5"/>
      <c r="Y7222" s="5" t="str">
        <f>IFERROR(__xludf.DUMMYFUNCTION("REGEXEXTRACT(J7222, ""^\d+"")"),"121")</f>
        <v>121</v>
      </c>
      <c r="Z7222" s="5" t="str">
        <f>IFERROR(__xludf.DUMMYFUNCTION("REGEXEXTRACT(J7222, ""[A-Za-z ]+$"")")," min")</f>
        <v> min</v>
      </c>
      <c r="AA7222" s="5" t="str">
        <f>IFERROR(__xludf.DUMMYFUNCTION("IF(REGEXMATCH(Z7222, ""Season""), ""TV Show"", ""Movie"")"),"Movie")</f>
        <v>Movie</v>
      </c>
    </row>
    <row r="7223">
      <c r="A7223" s="1" t="s">
        <v>35409</v>
      </c>
      <c r="B7223" s="1" t="s">
        <v>27</v>
      </c>
      <c r="C7223" s="1" t="s">
        <v>35410</v>
      </c>
      <c r="D7223" s="1" t="s">
        <v>11731</v>
      </c>
      <c r="E7223" s="1" t="s">
        <v>30460</v>
      </c>
      <c r="F7223" s="1" t="s">
        <v>96</v>
      </c>
      <c r="G7223" s="1" t="s">
        <v>28552</v>
      </c>
      <c r="H7223" s="1">
        <v>2016.0</v>
      </c>
      <c r="I7223" s="1" t="s">
        <v>506</v>
      </c>
      <c r="J7223" s="1" t="s">
        <v>16845</v>
      </c>
      <c r="K7223" s="1" t="s">
        <v>34</v>
      </c>
      <c r="L7223" s="1" t="s">
        <v>35411</v>
      </c>
      <c r="M7223" s="2" t="s">
        <v>12</v>
      </c>
      <c r="N7223" s="4">
        <f t="shared" si="1"/>
        <v>42795</v>
      </c>
      <c r="O7223" s="5" t="str">
        <f>IFERROR(__xludf.DUMMYFUNCTION("IF(REGEXMATCH(TRIM(I7223), ""^\d+\s*min""), ""Unclassified"", IF(I7223 = """", ""NR"", I7223))"),"TV-G")</f>
        <v>TV-G</v>
      </c>
      <c r="R7223" s="5" t="str">
        <f t="shared" si="2"/>
        <v>Koko: The Gorilla Who Talks</v>
      </c>
      <c r="S7223" s="5" t="str">
        <f>IFERROR(__xludf.DUMMYFUNCTION("""COMPUTED_VALUE"""),"The Great British Baking Show: Masterclass")</f>
        <v>The Great British Baking Show: Masterclass</v>
      </c>
      <c r="V7223" s="5"/>
      <c r="Y7223" s="5" t="str">
        <f>IFERROR(__xludf.DUMMYFUNCTION("REGEXEXTRACT(J7223, ""^\d+"")"),"56")</f>
        <v>56</v>
      </c>
      <c r="Z7223" s="5" t="str">
        <f>IFERROR(__xludf.DUMMYFUNCTION("REGEXEXTRACT(J7223, ""[A-Za-z ]+$"")")," min")</f>
        <v> min</v>
      </c>
      <c r="AA7223" s="5" t="str">
        <f>IFERROR(__xludf.DUMMYFUNCTION("IF(REGEXMATCH(Z7223, ""Season""), ""TV Show"", ""Movie"")"),"Movie")</f>
        <v>Movie</v>
      </c>
    </row>
    <row r="7224">
      <c r="A7224" s="1" t="s">
        <v>35412</v>
      </c>
      <c r="B7224" s="1" t="s">
        <v>37</v>
      </c>
      <c r="C7224" s="1" t="s">
        <v>35413</v>
      </c>
      <c r="G7224" s="1" t="s">
        <v>26218</v>
      </c>
      <c r="H7224" s="1">
        <v>2014.0</v>
      </c>
      <c r="I7224" s="1" t="s">
        <v>136</v>
      </c>
      <c r="J7224" s="1" t="s">
        <v>51</v>
      </c>
      <c r="K7224" s="1" t="s">
        <v>507</v>
      </c>
      <c r="L7224" s="1" t="s">
        <v>35414</v>
      </c>
      <c r="M7224" s="2" t="s">
        <v>12</v>
      </c>
      <c r="N7224" s="4">
        <f t="shared" si="1"/>
        <v>43147</v>
      </c>
      <c r="O7224" s="5" t="str">
        <f>IFERROR(__xludf.DUMMYFUNCTION("IF(REGEXMATCH(TRIM(I7224), ""^\d+\s*min""), ""Unclassified"", IF(I7224 = """", ""NR"", I7224))"),"TV-PG")</f>
        <v>TV-PG</v>
      </c>
      <c r="R7224" s="5" t="str">
        <f t="shared" si="2"/>
        <v>Kon Kon Kon</v>
      </c>
      <c r="S7224" s="5" t="str">
        <f>IFERROR(__xludf.DUMMYFUNCTION("""COMPUTED_VALUE"""),"The Great British Baking Show: The Beginnings")</f>
        <v>The Great British Baking Show: The Beginnings</v>
      </c>
      <c r="V7224" s="5"/>
      <c r="Y7224" s="5" t="str">
        <f>IFERROR(__xludf.DUMMYFUNCTION("REGEXEXTRACT(J7224, ""^\d+"")"),"1")</f>
        <v>1</v>
      </c>
      <c r="Z7224" s="5" t="str">
        <f>IFERROR(__xludf.DUMMYFUNCTION("REGEXEXTRACT(J7224, ""[A-Za-z ]+$"")")," Season")</f>
        <v> Season</v>
      </c>
      <c r="AA7224" s="5" t="str">
        <f>IFERROR(__xludf.DUMMYFUNCTION("IF(REGEXMATCH(Z7224, ""Season""), ""TV Show"", ""Movie"")"),"TV Show")</f>
        <v>TV Show</v>
      </c>
    </row>
    <row r="7225">
      <c r="A7225" s="1" t="s">
        <v>35415</v>
      </c>
      <c r="B7225" s="1" t="s">
        <v>27</v>
      </c>
      <c r="C7225" s="1" t="s">
        <v>35416</v>
      </c>
      <c r="D7225" s="1" t="s">
        <v>11018</v>
      </c>
      <c r="E7225" s="1" t="s">
        <v>35417</v>
      </c>
      <c r="F7225" s="1" t="s">
        <v>35418</v>
      </c>
      <c r="G7225" s="1" t="s">
        <v>21046</v>
      </c>
      <c r="H7225" s="1">
        <v>2012.0</v>
      </c>
      <c r="I7225" s="1" t="s">
        <v>32</v>
      </c>
      <c r="J7225" s="1" t="s">
        <v>322</v>
      </c>
      <c r="K7225" s="1" t="s">
        <v>306</v>
      </c>
      <c r="L7225" s="1" t="s">
        <v>35419</v>
      </c>
      <c r="M7225" s="2" t="s">
        <v>12</v>
      </c>
      <c r="N7225" s="4">
        <f t="shared" si="1"/>
        <v>43581</v>
      </c>
      <c r="O7225" s="5" t="str">
        <f>IFERROR(__xludf.DUMMYFUNCTION("IF(REGEXMATCH(TRIM(I7225), ""^\d+\s*min""), ""Unclassified"", IF(I7225 = """", ""NR"", I7225))"),"PG-13")</f>
        <v>PG-13</v>
      </c>
      <c r="R7225" s="5" t="str">
        <f t="shared" si="2"/>
        <v>Kon-Tiki</v>
      </c>
      <c r="S7225" s="5" t="str">
        <f>IFERROR(__xludf.DUMMYFUNCTION("""COMPUTED_VALUE"""),"The Great Gambler")</f>
        <v>The Great Gambler</v>
      </c>
      <c r="V7225" s="5"/>
      <c r="Y7225" s="5" t="str">
        <f>IFERROR(__xludf.DUMMYFUNCTION("REGEXEXTRACT(J7225, ""^\d+"")"),"96")</f>
        <v>96</v>
      </c>
      <c r="Z7225" s="5" t="str">
        <f>IFERROR(__xludf.DUMMYFUNCTION("REGEXEXTRACT(J7225, ""[A-Za-z ]+$"")")," min")</f>
        <v> min</v>
      </c>
      <c r="AA7225" s="5" t="str">
        <f>IFERROR(__xludf.DUMMYFUNCTION("IF(REGEXMATCH(Z7225, ""Season""), ""TV Show"", ""Movie"")"),"Movie")</f>
        <v>Movie</v>
      </c>
    </row>
    <row r="7226">
      <c r="A7226" s="1" t="s">
        <v>35420</v>
      </c>
      <c r="B7226" s="1" t="s">
        <v>27</v>
      </c>
      <c r="C7226" s="1" t="s">
        <v>35421</v>
      </c>
      <c r="D7226" s="1" t="s">
        <v>8782</v>
      </c>
      <c r="E7226" s="1" t="s">
        <v>35422</v>
      </c>
      <c r="F7226" s="1" t="s">
        <v>63</v>
      </c>
      <c r="G7226" s="1" t="s">
        <v>17078</v>
      </c>
      <c r="H7226" s="1">
        <v>1972.0</v>
      </c>
      <c r="I7226" s="1" t="s">
        <v>97</v>
      </c>
      <c r="J7226" s="1" t="s">
        <v>379</v>
      </c>
      <c r="K7226" s="1" t="s">
        <v>3183</v>
      </c>
      <c r="L7226" s="1" t="s">
        <v>35423</v>
      </c>
      <c r="M7226" s="2" t="s">
        <v>12</v>
      </c>
      <c r="N7226" s="4">
        <f t="shared" si="1"/>
        <v>43830</v>
      </c>
      <c r="O7226" s="5" t="str">
        <f>IFERROR(__xludf.DUMMYFUNCTION("IF(REGEXMATCH(TRIM(I7226), ""^\d+\s*min""), ""Unclassified"", IF(I7226 = """", ""NR"", I7226))"),"TV-14")</f>
        <v>TV-14</v>
      </c>
      <c r="R7226" s="5" t="str">
        <f t="shared" si="2"/>
        <v>Koshish</v>
      </c>
      <c r="S7226" s="5" t="str">
        <f>IFERROR(__xludf.DUMMYFUNCTION("""COMPUTED_VALUE"""),"The Great Hack")</f>
        <v>The Great Hack</v>
      </c>
      <c r="V7226" s="5"/>
      <c r="Y7226" s="5" t="str">
        <f>IFERROR(__xludf.DUMMYFUNCTION("REGEXEXTRACT(J7226, ""^\d+"")"),"115")</f>
        <v>115</v>
      </c>
      <c r="Z7226" s="5" t="str">
        <f>IFERROR(__xludf.DUMMYFUNCTION("REGEXEXTRACT(J7226, ""[A-Za-z ]+$"")")," min")</f>
        <v> min</v>
      </c>
      <c r="AA7226" s="5" t="str">
        <f>IFERROR(__xludf.DUMMYFUNCTION("IF(REGEXMATCH(Z7226, ""Season""), ""TV Show"", ""Movie"")"),"Movie")</f>
        <v>Movie</v>
      </c>
    </row>
    <row r="7227">
      <c r="A7227" s="1" t="s">
        <v>35424</v>
      </c>
      <c r="B7227" s="1" t="s">
        <v>27</v>
      </c>
      <c r="C7227" s="1" t="s">
        <v>35425</v>
      </c>
      <c r="D7227" s="1" t="s">
        <v>9002</v>
      </c>
      <c r="E7227" s="1" t="s">
        <v>35426</v>
      </c>
      <c r="F7227" s="1" t="s">
        <v>35427</v>
      </c>
      <c r="G7227" s="1" t="s">
        <v>28825</v>
      </c>
      <c r="H7227" s="1">
        <v>2014.0</v>
      </c>
      <c r="I7227" s="1" t="s">
        <v>42</v>
      </c>
      <c r="J7227" s="1" t="s">
        <v>743</v>
      </c>
      <c r="K7227" s="1" t="s">
        <v>9309</v>
      </c>
      <c r="L7227" s="1" t="s">
        <v>35428</v>
      </c>
      <c r="M7227" s="2" t="s">
        <v>12</v>
      </c>
      <c r="N7227" s="4">
        <f t="shared" si="1"/>
        <v>42740</v>
      </c>
      <c r="O7227" s="5" t="str">
        <f>IFERROR(__xludf.DUMMYFUNCTION("IF(REGEXMATCH(TRIM(I7227), ""^\d+\s*min""), ""Unclassified"", IF(I7227 = """", ""NR"", I7227))"),"TV-MA")</f>
        <v>TV-MA</v>
      </c>
      <c r="R7227" s="5" t="str">
        <f t="shared" si="2"/>
        <v>Kraftidioten</v>
      </c>
      <c r="S7227" s="5" t="str">
        <f>IFERROR(__xludf.DUMMYFUNCTION("""COMPUTED_VALUE"""),"The Great Heist")</f>
        <v>The Great Heist</v>
      </c>
      <c r="V7227" s="5"/>
      <c r="Y7227" s="5" t="str">
        <f>IFERROR(__xludf.DUMMYFUNCTION("REGEXEXTRACT(J7227, ""^\d+"")"),"117")</f>
        <v>117</v>
      </c>
      <c r="Z7227" s="5" t="str">
        <f>IFERROR(__xludf.DUMMYFUNCTION("REGEXEXTRACT(J7227, ""[A-Za-z ]+$"")")," min")</f>
        <v> min</v>
      </c>
      <c r="AA7227" s="5" t="str">
        <f>IFERROR(__xludf.DUMMYFUNCTION("IF(REGEXMATCH(Z7227, ""Season""), ""TV Show"", ""Movie"")"),"Movie")</f>
        <v>Movie</v>
      </c>
    </row>
    <row r="7228">
      <c r="A7228" s="1" t="s">
        <v>35429</v>
      </c>
      <c r="B7228" s="1" t="s">
        <v>27</v>
      </c>
      <c r="C7228" s="1" t="s">
        <v>35430</v>
      </c>
      <c r="E7228" s="1" t="s">
        <v>35431</v>
      </c>
      <c r="G7228" s="1" t="s">
        <v>27276</v>
      </c>
      <c r="H7228" s="1">
        <v>2009.0</v>
      </c>
      <c r="I7228" s="1" t="s">
        <v>289</v>
      </c>
      <c r="J7228" s="1" t="s">
        <v>4693</v>
      </c>
      <c r="K7228" s="1" t="s">
        <v>80</v>
      </c>
      <c r="L7228" s="1" t="s">
        <v>35432</v>
      </c>
      <c r="M7228" s="2" t="s">
        <v>12</v>
      </c>
      <c r="N7228" s="4">
        <f t="shared" si="1"/>
        <v>42986</v>
      </c>
      <c r="O7228" s="5" t="str">
        <f>IFERROR(__xludf.DUMMYFUNCTION("IF(REGEXMATCH(TRIM(I7228), ""^\d+\s*min""), ""Unclassified"", IF(I7228 = """", ""NR"", I7228))"),"TV-Y7")</f>
        <v>TV-Y7</v>
      </c>
      <c r="R7228" s="5" t="str">
        <f t="shared" si="2"/>
        <v>Krish Trish And Baltiboy</v>
      </c>
      <c r="S7228" s="5" t="str">
        <f>IFERROR(__xludf.DUMMYFUNCTION("""COMPUTED_VALUE"""),"The Great Magician")</f>
        <v>The Great Magician</v>
      </c>
      <c r="V7228" s="5"/>
      <c r="Y7228" s="5" t="str">
        <f>IFERROR(__xludf.DUMMYFUNCTION("REGEXEXTRACT(J7228, ""^\d+"")"),"58")</f>
        <v>58</v>
      </c>
      <c r="Z7228" s="5" t="str">
        <f>IFERROR(__xludf.DUMMYFUNCTION("REGEXEXTRACT(J7228, ""[A-Za-z ]+$"")")," min")</f>
        <v> min</v>
      </c>
      <c r="AA7228" s="5" t="str">
        <f>IFERROR(__xludf.DUMMYFUNCTION("IF(REGEXMATCH(Z7228, ""Season""), ""TV Show"", ""Movie"")"),"Movie")</f>
        <v>Movie</v>
      </c>
    </row>
    <row r="7229">
      <c r="A7229" s="1" t="s">
        <v>35433</v>
      </c>
      <c r="B7229" s="1" t="s">
        <v>27</v>
      </c>
      <c r="C7229" s="1" t="s">
        <v>35434</v>
      </c>
      <c r="D7229" s="1" t="s">
        <v>16409</v>
      </c>
      <c r="E7229" s="1" t="s">
        <v>35435</v>
      </c>
      <c r="G7229" s="1" t="s">
        <v>27276</v>
      </c>
      <c r="H7229" s="1">
        <v>2013.0</v>
      </c>
      <c r="I7229" s="1" t="s">
        <v>289</v>
      </c>
      <c r="J7229" s="1" t="s">
        <v>2670</v>
      </c>
      <c r="K7229" s="1" t="s">
        <v>80</v>
      </c>
      <c r="L7229" s="1" t="s">
        <v>35436</v>
      </c>
      <c r="M7229" s="2" t="s">
        <v>12</v>
      </c>
      <c r="N7229" s="4">
        <f t="shared" si="1"/>
        <v>42986</v>
      </c>
      <c r="O7229" s="5" t="str">
        <f>IFERROR(__xludf.DUMMYFUNCTION("IF(REGEXMATCH(TRIM(I7229), ""^\d+\s*min""), ""Unclassified"", IF(I7229 = """", ""NR"", I7229))"),"TV-Y7")</f>
        <v>TV-Y7</v>
      </c>
      <c r="R7229" s="5" t="str">
        <f t="shared" si="2"/>
        <v>Krish Trish And Baltiboy: Battle Of Wits</v>
      </c>
      <c r="S7229" s="5" t="str">
        <f>IFERROR(__xludf.DUMMYFUNCTION("""COMPUTED_VALUE"""),"The Great Raid")</f>
        <v>The Great Raid</v>
      </c>
      <c r="V7229" s="5"/>
      <c r="Y7229" s="5" t="str">
        <f>IFERROR(__xludf.DUMMYFUNCTION("REGEXEXTRACT(J7229, ""^\d+"")"),"62")</f>
        <v>62</v>
      </c>
      <c r="Z7229" s="5" t="str">
        <f>IFERROR(__xludf.DUMMYFUNCTION("REGEXEXTRACT(J7229, ""[A-Za-z ]+$"")")," min")</f>
        <v> min</v>
      </c>
      <c r="AA7229" s="5" t="str">
        <f>IFERROR(__xludf.DUMMYFUNCTION("IF(REGEXMATCH(Z7229, ""Season""), ""TV Show"", ""Movie"")"),"Movie")</f>
        <v>Movie</v>
      </c>
    </row>
    <row r="7230">
      <c r="A7230" s="1" t="s">
        <v>35437</v>
      </c>
      <c r="B7230" s="1" t="s">
        <v>27</v>
      </c>
      <c r="C7230" s="1" t="s">
        <v>35438</v>
      </c>
      <c r="D7230" s="1" t="s">
        <v>16409</v>
      </c>
      <c r="E7230" s="1" t="s">
        <v>35439</v>
      </c>
      <c r="G7230" s="1" t="s">
        <v>27276</v>
      </c>
      <c r="H7230" s="1">
        <v>2016.0</v>
      </c>
      <c r="I7230" s="1" t="s">
        <v>206</v>
      </c>
      <c r="J7230" s="1" t="s">
        <v>2616</v>
      </c>
      <c r="K7230" s="1" t="s">
        <v>80</v>
      </c>
      <c r="L7230" s="1" t="s">
        <v>35440</v>
      </c>
      <c r="M7230" s="2" t="s">
        <v>12</v>
      </c>
      <c r="N7230" s="4">
        <f t="shared" si="1"/>
        <v>42986</v>
      </c>
      <c r="O7230" s="5" t="str">
        <f>IFERROR(__xludf.DUMMYFUNCTION("IF(REGEXMATCH(TRIM(I7230), ""^\d+\s*min""), ""Unclassified"", IF(I7230 = """", ""NR"", I7230))"),"TV-Y")</f>
        <v>TV-Y</v>
      </c>
      <c r="R7230" s="5" t="str">
        <f t="shared" si="2"/>
        <v>Krish Trish And Baltiboy: Best Friends Forever</v>
      </c>
      <c r="S7230" s="5" t="str">
        <f>IFERROR(__xludf.DUMMYFUNCTION("""COMPUTED_VALUE"""),"The Great Train Robbery")</f>
        <v>The Great Train Robbery</v>
      </c>
      <c r="V7230" s="5"/>
      <c r="Y7230" s="5" t="str">
        <f>IFERROR(__xludf.DUMMYFUNCTION("REGEXEXTRACT(J7230, ""^\d+"")"),"65")</f>
        <v>65</v>
      </c>
      <c r="Z7230" s="5" t="str">
        <f>IFERROR(__xludf.DUMMYFUNCTION("REGEXEXTRACT(J7230, ""[A-Za-z ]+$"")")," min")</f>
        <v> min</v>
      </c>
      <c r="AA7230" s="5" t="str">
        <f>IFERROR(__xludf.DUMMYFUNCTION("IF(REGEXMATCH(Z7230, ""Season""), ""TV Show"", ""Movie"")"),"Movie")</f>
        <v>Movie</v>
      </c>
    </row>
    <row r="7231">
      <c r="A7231" s="1" t="s">
        <v>35441</v>
      </c>
      <c r="B7231" s="1" t="s">
        <v>27</v>
      </c>
      <c r="C7231" s="1" t="s">
        <v>35442</v>
      </c>
      <c r="D7231" s="1" t="s">
        <v>22496</v>
      </c>
      <c r="E7231" s="1" t="s">
        <v>35431</v>
      </c>
      <c r="G7231" s="1" t="s">
        <v>27276</v>
      </c>
      <c r="H7231" s="1">
        <v>2012.0</v>
      </c>
      <c r="I7231" s="1" t="s">
        <v>289</v>
      </c>
      <c r="J7231" s="1" t="s">
        <v>207</v>
      </c>
      <c r="K7231" s="1" t="s">
        <v>80</v>
      </c>
      <c r="L7231" s="1" t="s">
        <v>35443</v>
      </c>
      <c r="M7231" s="2" t="s">
        <v>12</v>
      </c>
      <c r="N7231" s="4">
        <f t="shared" si="1"/>
        <v>42986</v>
      </c>
      <c r="O7231" s="5" t="str">
        <f>IFERROR(__xludf.DUMMYFUNCTION("IF(REGEXMATCH(TRIM(I7231), ""^\d+\s*min""), ""Unclassified"", IF(I7231 = """", ""NR"", I7231))"),"TV-Y7")</f>
        <v>TV-Y7</v>
      </c>
      <c r="R7231" s="5" t="str">
        <f t="shared" si="2"/>
        <v>Krish Trish And Baltiboy: Comics Of India</v>
      </c>
      <c r="S7231" s="5" t="str">
        <f>IFERROR(__xludf.DUMMYFUNCTION("""COMPUTED_VALUE"""),"The Green Hornet")</f>
        <v>The Green Hornet</v>
      </c>
      <c r="V7231" s="5"/>
      <c r="Y7231" s="5" t="str">
        <f>IFERROR(__xludf.DUMMYFUNCTION("REGEXEXTRACT(J7231, ""^\d+"")"),"61")</f>
        <v>61</v>
      </c>
      <c r="Z7231" s="5" t="str">
        <f>IFERROR(__xludf.DUMMYFUNCTION("REGEXEXTRACT(J7231, ""[A-Za-z ]+$"")")," min")</f>
        <v> min</v>
      </c>
      <c r="AA7231" s="5" t="str">
        <f>IFERROR(__xludf.DUMMYFUNCTION("IF(REGEXMATCH(Z7231, ""Season""), ""TV Show"", ""Movie"")"),"Movie")</f>
        <v>Movie</v>
      </c>
    </row>
    <row r="7232">
      <c r="A7232" s="1" t="s">
        <v>35444</v>
      </c>
      <c r="B7232" s="1" t="s">
        <v>27</v>
      </c>
      <c r="C7232" s="1" t="s">
        <v>35445</v>
      </c>
      <c r="D7232" s="1" t="s">
        <v>22496</v>
      </c>
      <c r="E7232" s="1" t="s">
        <v>35446</v>
      </c>
      <c r="F7232" s="1" t="s">
        <v>63</v>
      </c>
      <c r="G7232" s="1" t="s">
        <v>26784</v>
      </c>
      <c r="H7232" s="1">
        <v>2017.0</v>
      </c>
      <c r="I7232" s="1" t="s">
        <v>289</v>
      </c>
      <c r="J7232" s="1" t="s">
        <v>2616</v>
      </c>
      <c r="K7232" s="1" t="s">
        <v>80</v>
      </c>
      <c r="L7232" s="1" t="s">
        <v>35447</v>
      </c>
      <c r="M7232" s="2" t="s">
        <v>12</v>
      </c>
      <c r="N7232" s="4">
        <f t="shared" si="1"/>
        <v>43056</v>
      </c>
      <c r="O7232" s="5" t="str">
        <f>IFERROR(__xludf.DUMMYFUNCTION("IF(REGEXMATCH(TRIM(I7232), ""^\d+\s*min""), ""Unclassified"", IF(I7232 = """", ""NR"", I7232))"),"TV-Y7")</f>
        <v>TV-Y7</v>
      </c>
      <c r="R7232" s="5" t="str">
        <f t="shared" si="2"/>
        <v>Krish Trish And Baltiboy: Face Your Fears</v>
      </c>
      <c r="S7232" s="5" t="str">
        <f>IFERROR(__xludf.DUMMYFUNCTION("""COMPUTED_VALUE"""),"The Green Inferno")</f>
        <v>The Green Inferno</v>
      </c>
      <c r="V7232" s="5"/>
      <c r="Y7232" s="5" t="str">
        <f>IFERROR(__xludf.DUMMYFUNCTION("REGEXEXTRACT(J7232, ""^\d+"")"),"65")</f>
        <v>65</v>
      </c>
      <c r="Z7232" s="5" t="str">
        <f>IFERROR(__xludf.DUMMYFUNCTION("REGEXEXTRACT(J7232, ""[A-Za-z ]+$"")")," min")</f>
        <v> min</v>
      </c>
      <c r="AA7232" s="5" t="str">
        <f>IFERROR(__xludf.DUMMYFUNCTION("IF(REGEXMATCH(Z7232, ""Season""), ""TV Show"", ""Movie"")"),"Movie")</f>
        <v>Movie</v>
      </c>
    </row>
    <row r="7233">
      <c r="A7233" s="1" t="s">
        <v>35448</v>
      </c>
      <c r="B7233" s="1" t="s">
        <v>27</v>
      </c>
      <c r="C7233" s="1" t="s">
        <v>35449</v>
      </c>
      <c r="D7233" s="1" t="s">
        <v>22496</v>
      </c>
      <c r="E7233" s="1" t="s">
        <v>35450</v>
      </c>
      <c r="G7233" s="1" t="s">
        <v>27276</v>
      </c>
      <c r="H7233" s="1">
        <v>2017.0</v>
      </c>
      <c r="I7233" s="1" t="s">
        <v>289</v>
      </c>
      <c r="J7233" s="1" t="s">
        <v>2616</v>
      </c>
      <c r="K7233" s="1" t="s">
        <v>80</v>
      </c>
      <c r="L7233" s="1" t="s">
        <v>35451</v>
      </c>
      <c r="M7233" s="2" t="s">
        <v>12</v>
      </c>
      <c r="N7233" s="4">
        <f t="shared" si="1"/>
        <v>42986</v>
      </c>
      <c r="O7233" s="5" t="str">
        <f>IFERROR(__xludf.DUMMYFUNCTION("IF(REGEXMATCH(TRIM(I7233), ""^\d+\s*min""), ""Unclassified"", IF(I7233 = """", ""NR"", I7233))"),"TV-Y7")</f>
        <v>TV-Y7</v>
      </c>
      <c r="R7233" s="5" t="str">
        <f t="shared" si="2"/>
        <v>Krish Trish And Baltiboy: Oversmartness Never Pays</v>
      </c>
      <c r="S7233" s="5" t="str">
        <f>IFERROR(__xludf.DUMMYFUNCTION("""COMPUTED_VALUE"""),"The Guardian Brothers")</f>
        <v>The Guardian Brothers</v>
      </c>
      <c r="V7233" s="5"/>
      <c r="Y7233" s="5" t="str">
        <f>IFERROR(__xludf.DUMMYFUNCTION("REGEXEXTRACT(J7233, ""^\d+"")"),"65")</f>
        <v>65</v>
      </c>
      <c r="Z7233" s="5" t="str">
        <f>IFERROR(__xludf.DUMMYFUNCTION("REGEXEXTRACT(J7233, ""[A-Za-z ]+$"")")," min")</f>
        <v> min</v>
      </c>
      <c r="AA7233" s="5" t="str">
        <f>IFERROR(__xludf.DUMMYFUNCTION("IF(REGEXMATCH(Z7233, ""Season""), ""TV Show"", ""Movie"")"),"Movie")</f>
        <v>Movie</v>
      </c>
    </row>
    <row r="7234">
      <c r="A7234" s="1" t="s">
        <v>35452</v>
      </c>
      <c r="B7234" s="1" t="s">
        <v>27</v>
      </c>
      <c r="C7234" s="1" t="s">
        <v>35453</v>
      </c>
      <c r="E7234" s="1" t="s">
        <v>35431</v>
      </c>
      <c r="G7234" s="1" t="s">
        <v>27276</v>
      </c>
      <c r="H7234" s="1">
        <v>2010.0</v>
      </c>
      <c r="I7234" s="1" t="s">
        <v>289</v>
      </c>
      <c r="J7234" s="1" t="s">
        <v>4693</v>
      </c>
      <c r="K7234" s="1" t="s">
        <v>80</v>
      </c>
      <c r="L7234" s="1" t="s">
        <v>35454</v>
      </c>
      <c r="M7234" s="2" t="s">
        <v>12</v>
      </c>
      <c r="N7234" s="4">
        <f t="shared" si="1"/>
        <v>42986</v>
      </c>
      <c r="O7234" s="5" t="str">
        <f>IFERROR(__xludf.DUMMYFUNCTION("IF(REGEXMATCH(TRIM(I7234), ""^\d+\s*min""), ""Unclassified"", IF(I7234 = """", ""NR"", I7234))"),"TV-Y7")</f>
        <v>TV-Y7</v>
      </c>
      <c r="R7234" s="5" t="str">
        <f t="shared" si="2"/>
        <v>Krish Trish And Baltiboy: Part Ii</v>
      </c>
      <c r="S7234" s="5" t="str">
        <f>IFERROR(__xludf.DUMMYFUNCTION("""COMPUTED_VALUE"""),"The Guernsey Literary And Potato Peel Pie Society")</f>
        <v>The Guernsey Literary And Potato Peel Pie Society</v>
      </c>
      <c r="V7234" s="5"/>
      <c r="Y7234" s="5" t="str">
        <f>IFERROR(__xludf.DUMMYFUNCTION("REGEXEXTRACT(J7234, ""^\d+"")"),"58")</f>
        <v>58</v>
      </c>
      <c r="Z7234" s="5" t="str">
        <f>IFERROR(__xludf.DUMMYFUNCTION("REGEXEXTRACT(J7234, ""[A-Za-z ]+$"")")," min")</f>
        <v> min</v>
      </c>
      <c r="AA7234" s="5" t="str">
        <f>IFERROR(__xludf.DUMMYFUNCTION("IF(REGEXMATCH(Z7234, ""Season""), ""TV Show"", ""Movie"")"),"Movie")</f>
        <v>Movie</v>
      </c>
    </row>
    <row r="7235">
      <c r="A7235" s="1" t="s">
        <v>35455</v>
      </c>
      <c r="B7235" s="1" t="s">
        <v>27</v>
      </c>
      <c r="C7235" s="1" t="s">
        <v>35456</v>
      </c>
      <c r="D7235" s="1" t="s">
        <v>16409</v>
      </c>
      <c r="E7235" s="1" t="s">
        <v>35431</v>
      </c>
      <c r="G7235" s="1" t="s">
        <v>27276</v>
      </c>
      <c r="H7235" s="1">
        <v>2013.0</v>
      </c>
      <c r="I7235" s="1" t="s">
        <v>289</v>
      </c>
      <c r="J7235" s="1" t="s">
        <v>4639</v>
      </c>
      <c r="K7235" s="1" t="s">
        <v>80</v>
      </c>
      <c r="L7235" s="1" t="s">
        <v>35457</v>
      </c>
      <c r="M7235" s="2" t="s">
        <v>12</v>
      </c>
      <c r="N7235" s="4">
        <f t="shared" si="1"/>
        <v>42986</v>
      </c>
      <c r="O7235" s="5" t="str">
        <f>IFERROR(__xludf.DUMMYFUNCTION("IF(REGEXMATCH(TRIM(I7235), ""^\d+\s*min""), ""Unclassified"", IF(I7235 = """", ""NR"", I7235))"),"TV-Y7")</f>
        <v>TV-Y7</v>
      </c>
      <c r="R7235" s="5" t="str">
        <f t="shared" si="2"/>
        <v>Krish Trish And Baltiboy: The Greatest Trick</v>
      </c>
      <c r="S7235" s="5" t="str">
        <f>IFERROR(__xludf.DUMMYFUNCTION("""COMPUTED_VALUE"""),"The Guest")</f>
        <v>The Guest</v>
      </c>
      <c r="V7235" s="5"/>
      <c r="Y7235" s="5" t="str">
        <f>IFERROR(__xludf.DUMMYFUNCTION("REGEXEXTRACT(J7235, ""^\d+"")"),"60")</f>
        <v>60</v>
      </c>
      <c r="Z7235" s="5" t="str">
        <f>IFERROR(__xludf.DUMMYFUNCTION("REGEXEXTRACT(J7235, ""[A-Za-z ]+$"")")," min")</f>
        <v> min</v>
      </c>
      <c r="AA7235" s="5" t="str">
        <f>IFERROR(__xludf.DUMMYFUNCTION("IF(REGEXMATCH(Z7235, ""Season""), ""TV Show"", ""Movie"")"),"Movie")</f>
        <v>Movie</v>
      </c>
    </row>
    <row r="7236">
      <c r="A7236" s="1" t="s">
        <v>35458</v>
      </c>
      <c r="B7236" s="1" t="s">
        <v>27</v>
      </c>
      <c r="C7236" s="1" t="s">
        <v>35459</v>
      </c>
      <c r="D7236" s="1" t="s">
        <v>17510</v>
      </c>
      <c r="E7236" s="1" t="s">
        <v>35460</v>
      </c>
      <c r="F7236" s="1" t="s">
        <v>30</v>
      </c>
      <c r="G7236" s="1" t="s">
        <v>23515</v>
      </c>
      <c r="H7236" s="1">
        <v>2015.0</v>
      </c>
      <c r="I7236" s="1" t="s">
        <v>378</v>
      </c>
      <c r="J7236" s="1" t="s">
        <v>2452</v>
      </c>
      <c r="K7236" s="1" t="s">
        <v>1320</v>
      </c>
      <c r="L7236" s="1" t="s">
        <v>35461</v>
      </c>
      <c r="M7236" s="2" t="s">
        <v>12</v>
      </c>
      <c r="N7236" s="4">
        <f t="shared" si="1"/>
        <v>43411</v>
      </c>
      <c r="O7236" s="5" t="str">
        <f>IFERROR(__xludf.DUMMYFUNCTION("IF(REGEXMATCH(TRIM(I7236), ""^\d+\s*min""), ""Unclassified"", IF(I7236 = """", ""NR"", I7236))"),"R")</f>
        <v>R</v>
      </c>
      <c r="R7236" s="5" t="str">
        <f t="shared" si="2"/>
        <v>Krisha</v>
      </c>
      <c r="S7236" s="5" t="str">
        <f>IFERROR(__xludf.DUMMYFUNCTION("""COMPUTED_VALUE"""),"The Guide To The Perfect Family")</f>
        <v>The Guide To The Perfect Family</v>
      </c>
      <c r="V7236" s="5"/>
      <c r="Y7236" s="5" t="str">
        <f>IFERROR(__xludf.DUMMYFUNCTION("REGEXEXTRACT(J7236, ""^\d+"")"),"81")</f>
        <v>81</v>
      </c>
      <c r="Z7236" s="5" t="str">
        <f>IFERROR(__xludf.DUMMYFUNCTION("REGEXEXTRACT(J7236, ""[A-Za-z ]+$"")")," min")</f>
        <v> min</v>
      </c>
      <c r="AA7236" s="5" t="str">
        <f>IFERROR(__xludf.DUMMYFUNCTION("IF(REGEXMATCH(Z7236, ""Season""), ""TV Show"", ""Movie"")"),"Movie")</f>
        <v>Movie</v>
      </c>
    </row>
    <row r="7237">
      <c r="A7237" s="1" t="s">
        <v>35462</v>
      </c>
      <c r="B7237" s="1" t="s">
        <v>37</v>
      </c>
      <c r="C7237" s="1" t="s">
        <v>35463</v>
      </c>
      <c r="E7237" s="1" t="s">
        <v>35464</v>
      </c>
      <c r="G7237" s="1" t="s">
        <v>35465</v>
      </c>
      <c r="H7237" s="1">
        <v>2019.0</v>
      </c>
      <c r="I7237" s="1" t="s">
        <v>289</v>
      </c>
      <c r="J7237" s="1" t="s">
        <v>51</v>
      </c>
      <c r="K7237" s="1" t="s">
        <v>290</v>
      </c>
      <c r="L7237" s="1" t="s">
        <v>35466</v>
      </c>
      <c r="M7237" s="2" t="s">
        <v>12</v>
      </c>
      <c r="N7237" s="4">
        <f t="shared" si="1"/>
        <v>43654</v>
      </c>
      <c r="O7237" s="5" t="str">
        <f>IFERROR(__xludf.DUMMYFUNCTION("IF(REGEXMATCH(TRIM(I7237), ""^\d+\s*min""), ""Unclassified"", IF(I7237 = """", ""NR"", I7237))"),"TV-Y7")</f>
        <v>TV-Y7</v>
      </c>
      <c r="R7237" s="5" t="str">
        <f t="shared" si="2"/>
        <v>Krishna Balram</v>
      </c>
      <c r="S7237" s="5" t="str">
        <f>IFERROR(__xludf.DUMMYFUNCTION("""COMPUTED_VALUE"""),"The Guild")</f>
        <v>The Guild</v>
      </c>
      <c r="V7237" s="5"/>
      <c r="Y7237" s="5" t="str">
        <f>IFERROR(__xludf.DUMMYFUNCTION("REGEXEXTRACT(J7237, ""^\d+"")"),"1")</f>
        <v>1</v>
      </c>
      <c r="Z7237" s="5" t="str">
        <f>IFERROR(__xludf.DUMMYFUNCTION("REGEXEXTRACT(J7237, ""[A-Za-z ]+$"")")," Season")</f>
        <v> Season</v>
      </c>
      <c r="AA7237" s="5" t="str">
        <f>IFERROR(__xludf.DUMMYFUNCTION("IF(REGEXMATCH(Z7237, ""Season""), ""TV Show"", ""Movie"")"),"TV Show")</f>
        <v>TV Show</v>
      </c>
    </row>
    <row r="7238">
      <c r="A7238" s="1" t="s">
        <v>35467</v>
      </c>
      <c r="B7238" s="1" t="s">
        <v>27</v>
      </c>
      <c r="C7238" s="1" t="s">
        <v>35468</v>
      </c>
      <c r="D7238" s="1" t="s">
        <v>17172</v>
      </c>
      <c r="E7238" s="1" t="s">
        <v>35469</v>
      </c>
      <c r="F7238" s="1" t="s">
        <v>30</v>
      </c>
      <c r="G7238" s="1" t="s">
        <v>35470</v>
      </c>
      <c r="H7238" s="1">
        <v>2013.0</v>
      </c>
      <c r="I7238" s="1" t="s">
        <v>30231</v>
      </c>
      <c r="J7238" s="1" t="s">
        <v>471</v>
      </c>
      <c r="K7238" s="1" t="s">
        <v>1551</v>
      </c>
      <c r="L7238" s="1" t="s">
        <v>35471</v>
      </c>
      <c r="M7238" s="2" t="s">
        <v>12</v>
      </c>
      <c r="N7238" s="4">
        <f t="shared" si="1"/>
        <v>42308</v>
      </c>
      <c r="O7238" s="5" t="str">
        <f>IFERROR(__xludf.DUMMYFUNCTION("IF(REGEXMATCH(TRIM(I7238), ""^\d+\s*min""), ""Unclassified"", IF(I7238 = """", ""NR"", I7238))"),"NR")</f>
        <v>NR</v>
      </c>
      <c r="R7238" s="5" t="str">
        <f t="shared" si="2"/>
        <v>Kristy</v>
      </c>
      <c r="S7238" s="5" t="str">
        <f>IFERROR(__xludf.DUMMYFUNCTION("""COMPUTED_VALUE"""),"The Guns Of Navarone")</f>
        <v>The Guns Of Navarone</v>
      </c>
      <c r="V7238" s="5"/>
      <c r="Y7238" s="5" t="str">
        <f>IFERROR(__xludf.DUMMYFUNCTION("REGEXEXTRACT(J7238, ""^\d+"")"),"85")</f>
        <v>85</v>
      </c>
      <c r="Z7238" s="5" t="str">
        <f>IFERROR(__xludf.DUMMYFUNCTION("REGEXEXTRACT(J7238, ""[A-Za-z ]+$"")")," min")</f>
        <v> min</v>
      </c>
      <c r="AA7238" s="5" t="str">
        <f>IFERROR(__xludf.DUMMYFUNCTION("IF(REGEXMATCH(Z7238, ""Season""), ""TV Show"", ""Movie"")"),"Movie")</f>
        <v>Movie</v>
      </c>
    </row>
    <row r="7239">
      <c r="A7239" s="1" t="s">
        <v>35472</v>
      </c>
      <c r="B7239" s="1" t="s">
        <v>27</v>
      </c>
      <c r="C7239" s="1" t="s">
        <v>35473</v>
      </c>
      <c r="D7239" s="1" t="s">
        <v>23624</v>
      </c>
      <c r="E7239" s="1" t="s">
        <v>35474</v>
      </c>
      <c r="F7239" s="1" t="s">
        <v>30</v>
      </c>
      <c r="G7239" s="1" t="s">
        <v>22635</v>
      </c>
      <c r="H7239" s="1">
        <v>2017.0</v>
      </c>
      <c r="I7239" s="1" t="s">
        <v>378</v>
      </c>
      <c r="J7239" s="1" t="s">
        <v>454</v>
      </c>
      <c r="K7239" s="1" t="s">
        <v>107</v>
      </c>
      <c r="L7239" s="1" t="s">
        <v>35475</v>
      </c>
      <c r="M7239" s="2" t="s">
        <v>12</v>
      </c>
      <c r="N7239" s="4">
        <f t="shared" si="1"/>
        <v>43466</v>
      </c>
      <c r="O7239" s="5" t="str">
        <f>IFERROR(__xludf.DUMMYFUNCTION("IF(REGEXMATCH(TRIM(I7239), ""^\d+\s*min""), ""Unclassified"", IF(I7239 = """", ""NR"", I7239))"),"R")</f>
        <v>R</v>
      </c>
      <c r="R7239" s="5" t="str">
        <f t="shared" si="2"/>
        <v>Krystal</v>
      </c>
      <c r="S7239" s="5" t="str">
        <f>IFERROR(__xludf.DUMMYFUNCTION("""COMPUTED_VALUE"""),"The Half Of It")</f>
        <v>The Half Of It</v>
      </c>
      <c r="V7239" s="5"/>
      <c r="Y7239" s="5" t="str">
        <f>IFERROR(__xludf.DUMMYFUNCTION("REGEXEXTRACT(J7239, ""^\d+"")"),"93")</f>
        <v>93</v>
      </c>
      <c r="Z7239" s="5" t="str">
        <f>IFERROR(__xludf.DUMMYFUNCTION("REGEXEXTRACT(J7239, ""[A-Za-z ]+$"")")," min")</f>
        <v> min</v>
      </c>
      <c r="AA7239" s="5" t="str">
        <f>IFERROR(__xludf.DUMMYFUNCTION("IF(REGEXMATCH(Z7239, ""Season""), ""TV Show"", ""Movie"")"),"Movie")</f>
        <v>Movie</v>
      </c>
    </row>
    <row r="7240">
      <c r="A7240" s="1" t="s">
        <v>35476</v>
      </c>
      <c r="B7240" s="1" t="s">
        <v>27</v>
      </c>
      <c r="C7240" s="1" t="s">
        <v>35477</v>
      </c>
      <c r="D7240" s="1" t="s">
        <v>19006</v>
      </c>
      <c r="E7240" s="1" t="s">
        <v>35478</v>
      </c>
      <c r="F7240" s="1" t="s">
        <v>63</v>
      </c>
      <c r="G7240" s="1" t="s">
        <v>17078</v>
      </c>
      <c r="H7240" s="1">
        <v>2017.0</v>
      </c>
      <c r="I7240" s="1" t="s">
        <v>42</v>
      </c>
      <c r="J7240" s="1" t="s">
        <v>3458</v>
      </c>
      <c r="K7240" s="1" t="s">
        <v>89</v>
      </c>
      <c r="L7240" s="1" t="s">
        <v>35479</v>
      </c>
      <c r="M7240" s="2" t="s">
        <v>12</v>
      </c>
      <c r="N7240" s="4">
        <f t="shared" si="1"/>
        <v>43830</v>
      </c>
      <c r="O7240" s="5" t="str">
        <f>IFERROR(__xludf.DUMMYFUNCTION("IF(REGEXMATCH(TRIM(I7240), ""^\d+\s*min""), ""Unclassified"", IF(I7240 = """", ""NR"", I7240))"),"TV-MA")</f>
        <v>TV-MA</v>
      </c>
      <c r="R7240" s="5" t="str">
        <f t="shared" si="2"/>
        <v>Kuldip Patwal: I Didn'T Do It!</v>
      </c>
      <c r="S7240" s="5" t="str">
        <f>IFERROR(__xludf.DUMMYFUNCTION("""COMPUTED_VALUE"""),"The Happytime Murders")</f>
        <v>The Happytime Murders</v>
      </c>
      <c r="V7240" s="5"/>
      <c r="Y7240" s="5" t="str">
        <f>IFERROR(__xludf.DUMMYFUNCTION("REGEXEXTRACT(J7240, ""^\d+"")"),"126")</f>
        <v>126</v>
      </c>
      <c r="Z7240" s="5" t="str">
        <f>IFERROR(__xludf.DUMMYFUNCTION("REGEXEXTRACT(J7240, ""[A-Za-z ]+$"")")," min")</f>
        <v> min</v>
      </c>
      <c r="AA7240" s="5" t="str">
        <f>IFERROR(__xludf.DUMMYFUNCTION("IF(REGEXMATCH(Z7240, ""Season""), ""TV Show"", ""Movie"")"),"Movie")</f>
        <v>Movie</v>
      </c>
    </row>
    <row r="7241">
      <c r="A7241" s="1" t="s">
        <v>35480</v>
      </c>
      <c r="B7241" s="1" t="s">
        <v>27</v>
      </c>
      <c r="C7241" s="1" t="s">
        <v>35481</v>
      </c>
      <c r="D7241" s="1" t="s">
        <v>21553</v>
      </c>
      <c r="E7241" s="1" t="s">
        <v>35482</v>
      </c>
      <c r="F7241" s="1" t="s">
        <v>23191</v>
      </c>
      <c r="G7241" s="1" t="s">
        <v>15215</v>
      </c>
      <c r="H7241" s="1">
        <v>2004.0</v>
      </c>
      <c r="I7241" s="1" t="s">
        <v>378</v>
      </c>
      <c r="J7241" s="1" t="s">
        <v>416</v>
      </c>
      <c r="K7241" s="1" t="s">
        <v>2289</v>
      </c>
      <c r="L7241" s="1" t="s">
        <v>35483</v>
      </c>
      <c r="M7241" s="2" t="s">
        <v>12</v>
      </c>
      <c r="N7241" s="4">
        <f t="shared" si="1"/>
        <v>43922</v>
      </c>
      <c r="O7241" s="5" t="str">
        <f>IFERROR(__xludf.DUMMYFUNCTION("IF(REGEXMATCH(TRIM(I7241), ""^\d+\s*min""), ""Unclassified"", IF(I7241 = """", ""NR"", I7241))"),"R")</f>
        <v>R</v>
      </c>
      <c r="R7241" s="5" t="str">
        <f t="shared" si="2"/>
        <v>Kung Fu Hustle</v>
      </c>
      <c r="S7241" s="5" t="str">
        <f>IFERROR(__xludf.DUMMYFUNCTION("""COMPUTED_VALUE"""),"The Hard Way")</f>
        <v>The Hard Way</v>
      </c>
      <c r="V7241" s="5"/>
      <c r="Y7241" s="5" t="str">
        <f>IFERROR(__xludf.DUMMYFUNCTION("REGEXEXTRACT(J7241, ""^\d+"")"),"99")</f>
        <v>99</v>
      </c>
      <c r="Z7241" s="5" t="str">
        <f>IFERROR(__xludf.DUMMYFUNCTION("REGEXEXTRACT(J7241, ""[A-Za-z ]+$"")")," min")</f>
        <v> min</v>
      </c>
      <c r="AA7241" s="5" t="str">
        <f>IFERROR(__xludf.DUMMYFUNCTION("IF(REGEXMATCH(Z7241, ""Season""), ""TV Show"", ""Movie"")"),"Movie")</f>
        <v>Movie</v>
      </c>
    </row>
    <row r="7242">
      <c r="A7242" s="1" t="s">
        <v>35484</v>
      </c>
      <c r="B7242" s="1" t="s">
        <v>27</v>
      </c>
      <c r="C7242" s="1" t="s">
        <v>35485</v>
      </c>
      <c r="D7242" s="1" t="s">
        <v>1817</v>
      </c>
      <c r="E7242" s="1" t="s">
        <v>35486</v>
      </c>
      <c r="F7242" s="1" t="s">
        <v>5541</v>
      </c>
      <c r="G7242" s="1" t="s">
        <v>24964</v>
      </c>
      <c r="H7242" s="1">
        <v>2010.0</v>
      </c>
      <c r="I7242" s="1" t="s">
        <v>289</v>
      </c>
      <c r="J7242" s="1" t="s">
        <v>6391</v>
      </c>
      <c r="K7242" s="1" t="s">
        <v>137</v>
      </c>
      <c r="L7242" s="1" t="s">
        <v>35487</v>
      </c>
      <c r="M7242" s="2" t="s">
        <v>12</v>
      </c>
      <c r="N7242" s="4">
        <f t="shared" si="1"/>
        <v>43313</v>
      </c>
      <c r="O7242" s="5" t="str">
        <f>IFERROR(__xludf.DUMMYFUNCTION("IF(REGEXMATCH(TRIM(I7242), ""^\d+\s*min""), ""Unclassified"", IF(I7242 = """", ""NR"", I7242))"),"TV-Y7")</f>
        <v>TV-Y7</v>
      </c>
      <c r="R7242" s="5" t="str">
        <f t="shared" si="2"/>
        <v>Kung Fu Magoo</v>
      </c>
      <c r="S7242" s="5" t="str">
        <f>IFERROR(__xludf.DUMMYFUNCTION("""COMPUTED_VALUE"""),"The Hateful Eight")</f>
        <v>The Hateful Eight</v>
      </c>
      <c r="V7242" s="5"/>
      <c r="Y7242" s="5" t="str">
        <f>IFERROR(__xludf.DUMMYFUNCTION("REGEXEXTRACT(J7242, ""^\d+"")"),"79")</f>
        <v>79</v>
      </c>
      <c r="Z7242" s="5" t="str">
        <f>IFERROR(__xludf.DUMMYFUNCTION("REGEXEXTRACT(J7242, ""[A-Za-z ]+$"")")," min")</f>
        <v> min</v>
      </c>
      <c r="AA7242" s="5" t="str">
        <f>IFERROR(__xludf.DUMMYFUNCTION("IF(REGEXMATCH(Z7242, ""Season""), ""TV Show"", ""Movie"")"),"Movie")</f>
        <v>Movie</v>
      </c>
    </row>
    <row r="7243">
      <c r="A7243" s="1" t="s">
        <v>35488</v>
      </c>
      <c r="B7243" s="1" t="s">
        <v>27</v>
      </c>
      <c r="C7243" s="1" t="s">
        <v>35489</v>
      </c>
      <c r="D7243" s="1" t="s">
        <v>5131</v>
      </c>
      <c r="E7243" s="1" t="s">
        <v>35490</v>
      </c>
      <c r="F7243" s="1" t="s">
        <v>30</v>
      </c>
      <c r="G7243" s="1" t="s">
        <v>35491</v>
      </c>
      <c r="H7243" s="1">
        <v>2010.0</v>
      </c>
      <c r="I7243" s="1" t="s">
        <v>136</v>
      </c>
      <c r="J7243" s="1" t="s">
        <v>9287</v>
      </c>
      <c r="K7243" s="1" t="s">
        <v>137</v>
      </c>
      <c r="L7243" s="1" t="s">
        <v>35492</v>
      </c>
      <c r="M7243" s="2" t="s">
        <v>12</v>
      </c>
      <c r="N7243" s="4">
        <f t="shared" si="1"/>
        <v>41244</v>
      </c>
      <c r="O7243" s="5" t="str">
        <f>IFERROR(__xludf.DUMMYFUNCTION("IF(REGEXMATCH(TRIM(I7243), ""^\d+\s*min""), ""Unclassified"", IF(I7243 = """", ""NR"", I7243))"),"TV-PG")</f>
        <v>TV-PG</v>
      </c>
      <c r="R7243" s="5" t="str">
        <f t="shared" si="2"/>
        <v>Kung Fu Panda: Holiday</v>
      </c>
      <c r="S7243" s="5" t="str">
        <f>IFERROR(__xludf.DUMMYFUNCTION("""COMPUTED_VALUE"""),"The Hateful Eight: Extended Version")</f>
        <v>The Hateful Eight: Extended Version</v>
      </c>
      <c r="V7243" s="5"/>
      <c r="Y7243" s="5" t="str">
        <f>IFERROR(__xludf.DUMMYFUNCTION("REGEXEXTRACT(J7243, ""^\d+"")"),"26")</f>
        <v>26</v>
      </c>
      <c r="Z7243" s="5" t="str">
        <f>IFERROR(__xludf.DUMMYFUNCTION("REGEXEXTRACT(J7243, ""[A-Za-z ]+$"")")," min")</f>
        <v> min</v>
      </c>
      <c r="AA7243" s="5" t="str">
        <f>IFERROR(__xludf.DUMMYFUNCTION("IF(REGEXMATCH(Z7243, ""Season""), ""TV Show"", ""Movie"")"),"Movie")</f>
        <v>Movie</v>
      </c>
    </row>
    <row r="7244">
      <c r="A7244" s="1" t="s">
        <v>35493</v>
      </c>
      <c r="B7244" s="1" t="s">
        <v>27</v>
      </c>
      <c r="C7244" s="1" t="s">
        <v>35494</v>
      </c>
      <c r="D7244" s="1" t="s">
        <v>21466</v>
      </c>
      <c r="E7244" s="1" t="s">
        <v>35495</v>
      </c>
      <c r="F7244" s="1" t="s">
        <v>35496</v>
      </c>
      <c r="G7244" s="1" t="s">
        <v>27078</v>
      </c>
      <c r="H7244" s="1">
        <v>2017.0</v>
      </c>
      <c r="I7244" s="1" t="s">
        <v>136</v>
      </c>
      <c r="J7244" s="1" t="s">
        <v>1256</v>
      </c>
      <c r="K7244" s="1" t="s">
        <v>1328</v>
      </c>
      <c r="L7244" s="1" t="s">
        <v>35497</v>
      </c>
      <c r="M7244" s="2" t="s">
        <v>12</v>
      </c>
      <c r="N7244" s="4">
        <f t="shared" si="1"/>
        <v>43014</v>
      </c>
      <c r="O7244" s="5" t="str">
        <f>IFERROR(__xludf.DUMMYFUNCTION("IF(REGEXMATCH(TRIM(I7244), ""^\d+\s*min""), ""Unclassified"", IF(I7244 = """", ""NR"", I7244))"),"TV-PG")</f>
        <v>TV-PG</v>
      </c>
      <c r="R7244" s="5" t="str">
        <f t="shared" si="2"/>
        <v>Kung Fu Yoga</v>
      </c>
      <c r="S7244" s="5" t="str">
        <f>IFERROR(__xludf.DUMMYFUNCTION("""COMPUTED_VALUE"""),"The Hater")</f>
        <v>The Hater</v>
      </c>
      <c r="V7244" s="5"/>
      <c r="Y7244" s="5" t="str">
        <f>IFERROR(__xludf.DUMMYFUNCTION("REGEXEXTRACT(J7244, ""^\d+"")"),"107")</f>
        <v>107</v>
      </c>
      <c r="Z7244" s="5" t="str">
        <f>IFERROR(__xludf.DUMMYFUNCTION("REGEXEXTRACT(J7244, ""[A-Za-z ]+$"")")," min")</f>
        <v> min</v>
      </c>
      <c r="AA7244" s="5" t="str">
        <f>IFERROR(__xludf.DUMMYFUNCTION("IF(REGEXMATCH(Z7244, ""Season""), ""TV Show"", ""Movie"")"),"Movie")</f>
        <v>Movie</v>
      </c>
    </row>
    <row r="7245">
      <c r="A7245" s="1" t="s">
        <v>35498</v>
      </c>
      <c r="B7245" s="1" t="s">
        <v>27</v>
      </c>
      <c r="C7245" s="1" t="s">
        <v>35499</v>
      </c>
      <c r="D7245" s="1" t="s">
        <v>21955</v>
      </c>
      <c r="E7245" s="1" t="s">
        <v>35500</v>
      </c>
      <c r="G7245" s="1" t="s">
        <v>24964</v>
      </c>
      <c r="H7245" s="1">
        <v>2017.0</v>
      </c>
      <c r="I7245" s="1" t="s">
        <v>97</v>
      </c>
      <c r="J7245" s="1" t="s">
        <v>1428</v>
      </c>
      <c r="K7245" s="1" t="s">
        <v>679</v>
      </c>
      <c r="L7245" s="1" t="s">
        <v>35501</v>
      </c>
      <c r="M7245" s="2" t="s">
        <v>12</v>
      </c>
      <c r="N7245" s="4">
        <f t="shared" si="1"/>
        <v>43313</v>
      </c>
      <c r="O7245" s="5" t="str">
        <f>IFERROR(__xludf.DUMMYFUNCTION("IF(REGEXMATCH(TRIM(I7245), ""^\d+\s*min""), ""Unclassified"", IF(I7245 = """", ""NR"", I7245))"),"TV-14")</f>
        <v>TV-14</v>
      </c>
      <c r="R7245" s="5" t="str">
        <f t="shared" si="2"/>
        <v>Kuppivala</v>
      </c>
      <c r="S7245" s="5" t="str">
        <f>IFERROR(__xludf.DUMMYFUNCTION("""COMPUTED_VALUE"""),"The Hatred")</f>
        <v>The Hatred</v>
      </c>
      <c r="V7245" s="5"/>
      <c r="Y7245" s="5" t="str">
        <f>IFERROR(__xludf.DUMMYFUNCTION("REGEXEXTRACT(J7245, ""^\d+"")"),"133")</f>
        <v>133</v>
      </c>
      <c r="Z7245" s="5" t="str">
        <f>IFERROR(__xludf.DUMMYFUNCTION("REGEXEXTRACT(J7245, ""[A-Za-z ]+$"")")," min")</f>
        <v> min</v>
      </c>
      <c r="AA7245" s="5" t="str">
        <f>IFERROR(__xludf.DUMMYFUNCTION("IF(REGEXMATCH(Z7245, ""Season""), ""TV Show"", ""Movie"")"),"Movie")</f>
        <v>Movie</v>
      </c>
    </row>
    <row r="7246">
      <c r="A7246" s="1" t="s">
        <v>35502</v>
      </c>
      <c r="B7246" s="1" t="s">
        <v>27</v>
      </c>
      <c r="C7246" s="1" t="s">
        <v>35503</v>
      </c>
      <c r="D7246" s="1" t="s">
        <v>16807</v>
      </c>
      <c r="E7246" s="1" t="s">
        <v>35504</v>
      </c>
      <c r="F7246" s="1" t="s">
        <v>96</v>
      </c>
      <c r="G7246" s="1" t="s">
        <v>35505</v>
      </c>
      <c r="H7246" s="1">
        <v>1998.0</v>
      </c>
      <c r="I7246" s="1" t="s">
        <v>378</v>
      </c>
      <c r="J7246" s="1" t="s">
        <v>465</v>
      </c>
      <c r="K7246" s="1" t="s">
        <v>700</v>
      </c>
      <c r="L7246" s="1" t="s">
        <v>35506</v>
      </c>
      <c r="M7246" s="2" t="s">
        <v>12</v>
      </c>
      <c r="N7246" s="4">
        <f t="shared" si="1"/>
        <v>43473</v>
      </c>
      <c r="O7246" s="5" t="str">
        <f>IFERROR(__xludf.DUMMYFUNCTION("IF(REGEXMATCH(TRIM(I7246), ""^\d+\s*min""), ""Unclassified"", IF(I7246 = """", ""NR"", I7246))"),"R")</f>
        <v>R</v>
      </c>
      <c r="R7246" s="5" t="str">
        <f t="shared" si="2"/>
        <v>Kurt &amp; Courtney</v>
      </c>
      <c r="S7246" s="5" t="str">
        <f>IFERROR(__xludf.DUMMYFUNCTION("""COMPUTED_VALUE"""),"The Haunted Hathaways")</f>
        <v>The Haunted Hathaways</v>
      </c>
      <c r="V7246" s="5"/>
      <c r="Y7246" s="5" t="str">
        <f>IFERROR(__xludf.DUMMYFUNCTION("REGEXEXTRACT(J7246, ""^\d+"")"),"95")</f>
        <v>95</v>
      </c>
      <c r="Z7246" s="5" t="str">
        <f>IFERROR(__xludf.DUMMYFUNCTION("REGEXEXTRACT(J7246, ""[A-Za-z ]+$"")")," min")</f>
        <v> min</v>
      </c>
      <c r="AA7246" s="5" t="str">
        <f>IFERROR(__xludf.DUMMYFUNCTION("IF(REGEXMATCH(Z7246, ""Season""), ""TV Show"", ""Movie"")"),"Movie")</f>
        <v>Movie</v>
      </c>
    </row>
    <row r="7247">
      <c r="A7247" s="1" t="s">
        <v>35507</v>
      </c>
      <c r="B7247" s="1" t="s">
        <v>37</v>
      </c>
      <c r="C7247" s="1" t="s">
        <v>35508</v>
      </c>
      <c r="E7247" s="1" t="s">
        <v>35509</v>
      </c>
      <c r="F7247" s="1" t="s">
        <v>188</v>
      </c>
      <c r="G7247" s="1" t="s">
        <v>33383</v>
      </c>
      <c r="H7247" s="1">
        <v>2014.0</v>
      </c>
      <c r="I7247" s="1" t="s">
        <v>97</v>
      </c>
      <c r="J7247" s="1" t="s">
        <v>51</v>
      </c>
      <c r="K7247" s="1" t="s">
        <v>1907</v>
      </c>
      <c r="L7247" s="1" t="s">
        <v>35510</v>
      </c>
      <c r="M7247" s="2" t="s">
        <v>12</v>
      </c>
      <c r="N7247" s="4">
        <f t="shared" si="1"/>
        <v>42730</v>
      </c>
      <c r="O7247" s="5" t="str">
        <f>IFERROR(__xludf.DUMMYFUNCTION("IF(REGEXMATCH(TRIM(I7247), ""^\d+\s*min""), ""Unclassified"", IF(I7247 = """", ""NR"", I7247))"),"TV-14")</f>
        <v>TV-14</v>
      </c>
      <c r="R7247" s="5" t="str">
        <f t="shared" si="2"/>
        <v>Kurt Seyit &amp; Sura</v>
      </c>
      <c r="S7247" s="5" t="str">
        <f>IFERROR(__xludf.DUMMYFUNCTION("""COMPUTED_VALUE"""),"The Haunting In Connecticut 2: Ghosts Of Georgia")</f>
        <v>The Haunting In Connecticut 2: Ghosts Of Georgia</v>
      </c>
      <c r="V7247" s="5"/>
      <c r="Y7247" s="5" t="str">
        <f>IFERROR(__xludf.DUMMYFUNCTION("REGEXEXTRACT(J7247, ""^\d+"")"),"1")</f>
        <v>1</v>
      </c>
      <c r="Z7247" s="5" t="str">
        <f>IFERROR(__xludf.DUMMYFUNCTION("REGEXEXTRACT(J7247, ""[A-Za-z ]+$"")")," Season")</f>
        <v> Season</v>
      </c>
      <c r="AA7247" s="5" t="str">
        <f>IFERROR(__xludf.DUMMYFUNCTION("IF(REGEXMATCH(Z7247, ""Season""), ""TV Show"", ""Movie"")"),"TV Show")</f>
        <v>TV Show</v>
      </c>
    </row>
    <row r="7248">
      <c r="A7248" s="1" t="s">
        <v>35511</v>
      </c>
      <c r="B7248" s="1" t="s">
        <v>27</v>
      </c>
      <c r="C7248" s="1" t="s">
        <v>35512</v>
      </c>
      <c r="D7248" s="1" t="s">
        <v>23940</v>
      </c>
      <c r="E7248" s="1" t="s">
        <v>35513</v>
      </c>
      <c r="F7248" s="1" t="s">
        <v>188</v>
      </c>
      <c r="G7248" s="1" t="s">
        <v>28526</v>
      </c>
      <c r="H7248" s="1">
        <v>2012.0</v>
      </c>
      <c r="I7248" s="1" t="s">
        <v>42</v>
      </c>
      <c r="J7248" s="1" t="s">
        <v>433</v>
      </c>
      <c r="K7248" s="1" t="s">
        <v>583</v>
      </c>
      <c r="L7248" s="1" t="s">
        <v>35514</v>
      </c>
      <c r="M7248" s="2" t="s">
        <v>12</v>
      </c>
      <c r="N7248" s="4">
        <f t="shared" si="1"/>
        <v>42804</v>
      </c>
      <c r="O7248" s="5" t="str">
        <f>IFERROR(__xludf.DUMMYFUNCTION("IF(REGEXMATCH(TRIM(I7248), ""^\d+\s*min""), ""Unclassified"", IF(I7248 = """", ""NR"", I7248))"),"TV-MA")</f>
        <v>TV-MA</v>
      </c>
      <c r="R7248" s="5" t="str">
        <f t="shared" si="2"/>
        <v>Kurtulus Son Durak</v>
      </c>
      <c r="S7248" s="5" t="str">
        <f>IFERROR(__xludf.DUMMYFUNCTION("""COMPUTED_VALUE"""),"The Haunting Of Bly Manor")</f>
        <v>The Haunting Of Bly Manor</v>
      </c>
      <c r="V7248" s="5"/>
      <c r="Y7248" s="5" t="str">
        <f>IFERROR(__xludf.DUMMYFUNCTION("REGEXEXTRACT(J7248, ""^\d+"")"),"100")</f>
        <v>100</v>
      </c>
      <c r="Z7248" s="5" t="str">
        <f>IFERROR(__xludf.DUMMYFUNCTION("REGEXEXTRACT(J7248, ""[A-Za-z ]+$"")")," min")</f>
        <v> min</v>
      </c>
      <c r="AA7248" s="5" t="str">
        <f>IFERROR(__xludf.DUMMYFUNCTION("IF(REGEXMATCH(Z7248, ""Season""), ""TV Show"", ""Movie"")"),"Movie")</f>
        <v>Movie</v>
      </c>
    </row>
    <row r="7249">
      <c r="A7249" s="1" t="s">
        <v>35515</v>
      </c>
      <c r="B7249" s="1" t="s">
        <v>27</v>
      </c>
      <c r="C7249" s="1" t="s">
        <v>35516</v>
      </c>
      <c r="D7249" s="1" t="s">
        <v>13220</v>
      </c>
      <c r="E7249" s="1" t="s">
        <v>35517</v>
      </c>
      <c r="F7249" s="1" t="s">
        <v>63</v>
      </c>
      <c r="G7249" s="1" t="s">
        <v>25842</v>
      </c>
      <c r="H7249" s="1">
        <v>2000.0</v>
      </c>
      <c r="I7249" s="1" t="s">
        <v>136</v>
      </c>
      <c r="J7249" s="1" t="s">
        <v>5833</v>
      </c>
      <c r="K7249" s="1" t="s">
        <v>679</v>
      </c>
      <c r="L7249" s="1" t="s">
        <v>35518</v>
      </c>
      <c r="M7249" s="2" t="s">
        <v>12</v>
      </c>
      <c r="N7249" s="4">
        <f t="shared" si="1"/>
        <v>43191</v>
      </c>
      <c r="O7249" s="5" t="str">
        <f>IFERROR(__xludf.DUMMYFUNCTION("IF(REGEXMATCH(TRIM(I7249), ""^\d+\s*min""), ""Unclassified"", IF(I7249 = """", ""NR"", I7249))"),"TV-PG")</f>
        <v>TV-PG</v>
      </c>
      <c r="R7249" s="5" t="str">
        <f t="shared" si="2"/>
        <v>Kya Kehna</v>
      </c>
      <c r="S7249" s="5" t="str">
        <f>IFERROR(__xludf.DUMMYFUNCTION("""COMPUTED_VALUE"""),"The Haunting Of Hill House")</f>
        <v>The Haunting Of Hill House</v>
      </c>
      <c r="V7249" s="5"/>
      <c r="Y7249" s="5" t="str">
        <f>IFERROR(__xludf.DUMMYFUNCTION("REGEXEXTRACT(J7249, ""^\d+"")"),"149")</f>
        <v>149</v>
      </c>
      <c r="Z7249" s="5" t="str">
        <f>IFERROR(__xludf.DUMMYFUNCTION("REGEXEXTRACT(J7249, ""[A-Za-z ]+$"")")," min")</f>
        <v> min</v>
      </c>
      <c r="AA7249" s="5" t="str">
        <f>IFERROR(__xludf.DUMMYFUNCTION("IF(REGEXMATCH(Z7249, ""Season""), ""TV Show"", ""Movie"")"),"Movie")</f>
        <v>Movie</v>
      </c>
    </row>
    <row r="7250">
      <c r="A7250" s="1" t="s">
        <v>35519</v>
      </c>
      <c r="B7250" s="1" t="s">
        <v>27</v>
      </c>
      <c r="C7250" s="1" t="s">
        <v>35520</v>
      </c>
      <c r="D7250" s="1" t="s">
        <v>6428</v>
      </c>
      <c r="E7250" s="1" t="s">
        <v>35521</v>
      </c>
      <c r="F7250" s="1" t="s">
        <v>30</v>
      </c>
      <c r="G7250" s="1" t="s">
        <v>35522</v>
      </c>
      <c r="H7250" s="1">
        <v>2017.0</v>
      </c>
      <c r="I7250" s="1" t="s">
        <v>42</v>
      </c>
      <c r="J7250" s="1" t="s">
        <v>8095</v>
      </c>
      <c r="K7250" s="1" t="s">
        <v>8833</v>
      </c>
      <c r="L7250" s="1" t="s">
        <v>35523</v>
      </c>
      <c r="M7250" s="2" t="s">
        <v>12</v>
      </c>
      <c r="N7250" s="4">
        <f t="shared" si="1"/>
        <v>43171</v>
      </c>
      <c r="O7250" s="5" t="str">
        <f>IFERROR(__xludf.DUMMYFUNCTION("IF(REGEXMATCH(TRIM(I7250), ""^\d+\s*min""), ""Unclassified"", IF(I7250 = """", ""NR"", I7250))"),"TV-MA")</f>
        <v>TV-MA</v>
      </c>
      <c r="R7250" s="5" t="str">
        <f t="shared" si="2"/>
        <v>Kygo: Live At The Hollywood Bowl</v>
      </c>
      <c r="S7250" s="5" t="str">
        <f>IFERROR(__xludf.DUMMYFUNCTION("""COMPUTED_VALUE"""),"The Haunting Of Molly Hartley")</f>
        <v>The Haunting Of Molly Hartley</v>
      </c>
      <c r="V7250" s="5"/>
      <c r="Y7250" s="5" t="str">
        <f>IFERROR(__xludf.DUMMYFUNCTION("REGEXEXTRACT(J7250, ""^\d+"")"),"52")</f>
        <v>52</v>
      </c>
      <c r="Z7250" s="5" t="str">
        <f>IFERROR(__xludf.DUMMYFUNCTION("REGEXEXTRACT(J7250, ""[A-Za-z ]+$"")")," min")</f>
        <v> min</v>
      </c>
      <c r="AA7250" s="5" t="str">
        <f>IFERROR(__xludf.DUMMYFUNCTION("IF(REGEXMATCH(Z7250, ""Season""), ""TV Show"", ""Movie"")"),"Movie")</f>
        <v>Movie</v>
      </c>
    </row>
    <row r="7251">
      <c r="A7251" s="1" t="s">
        <v>35524</v>
      </c>
      <c r="B7251" s="1" t="s">
        <v>27</v>
      </c>
      <c r="C7251" s="1" t="s">
        <v>35525</v>
      </c>
      <c r="D7251" s="1" t="s">
        <v>20289</v>
      </c>
      <c r="E7251" s="1" t="s">
        <v>35526</v>
      </c>
      <c r="F7251" s="1" t="s">
        <v>63</v>
      </c>
      <c r="G7251" s="1" t="s">
        <v>26089</v>
      </c>
      <c r="H7251" s="1">
        <v>2004.0</v>
      </c>
      <c r="I7251" s="1" t="s">
        <v>136</v>
      </c>
      <c r="J7251" s="1" t="s">
        <v>1390</v>
      </c>
      <c r="K7251" s="1" t="s">
        <v>3183</v>
      </c>
      <c r="L7251" s="1" t="s">
        <v>35527</v>
      </c>
      <c r="M7251" s="2" t="s">
        <v>12</v>
      </c>
      <c r="N7251" s="4">
        <f t="shared" si="1"/>
        <v>43160</v>
      </c>
      <c r="O7251" s="5" t="str">
        <f>IFERROR(__xludf.DUMMYFUNCTION("IF(REGEXMATCH(TRIM(I7251), ""^\d+\s*min""), ""Unclassified"", IF(I7251 = """", ""NR"", I7251))"),"TV-PG")</f>
        <v>TV-PG</v>
      </c>
      <c r="R7251" s="5" t="str">
        <f t="shared" si="2"/>
        <v>Kyun! Ho Gaya Na</v>
      </c>
      <c r="S7251" s="5" t="str">
        <f>IFERROR(__xludf.DUMMYFUNCTION("""COMPUTED_VALUE"""),"The Healer")</f>
        <v>The Healer</v>
      </c>
      <c r="V7251" s="5"/>
      <c r="Y7251" s="5" t="str">
        <f>IFERROR(__xludf.DUMMYFUNCTION("REGEXEXTRACT(J7251, ""^\d+"")"),"165")</f>
        <v>165</v>
      </c>
      <c r="Z7251" s="5" t="str">
        <f>IFERROR(__xludf.DUMMYFUNCTION("REGEXEXTRACT(J7251, ""[A-Za-z ]+$"")")," min")</f>
        <v> min</v>
      </c>
      <c r="AA7251" s="5" t="str">
        <f>IFERROR(__xludf.DUMMYFUNCTION("IF(REGEXMATCH(Z7251, ""Season""), ""TV Show"", ""Movie"")"),"Movie")</f>
        <v>Movie</v>
      </c>
    </row>
    <row r="7252">
      <c r="A7252" s="1" t="s">
        <v>35528</v>
      </c>
      <c r="B7252" s="1" t="s">
        <v>27</v>
      </c>
      <c r="C7252" s="1" t="s">
        <v>35529</v>
      </c>
      <c r="D7252" s="1" t="s">
        <v>13494</v>
      </c>
      <c r="E7252" s="1" t="s">
        <v>35530</v>
      </c>
      <c r="F7252" s="1" t="s">
        <v>1815</v>
      </c>
      <c r="G7252" s="1" t="s">
        <v>28697</v>
      </c>
      <c r="H7252" s="1">
        <v>2016.0</v>
      </c>
      <c r="I7252" s="1" t="s">
        <v>42</v>
      </c>
      <c r="J7252" s="1" t="s">
        <v>106</v>
      </c>
      <c r="K7252" s="1" t="s">
        <v>199</v>
      </c>
      <c r="L7252" s="1" t="s">
        <v>35531</v>
      </c>
      <c r="M7252" s="2" t="s">
        <v>12</v>
      </c>
      <c r="N7252" s="4">
        <f t="shared" si="1"/>
        <v>42767</v>
      </c>
      <c r="O7252" s="5" t="str">
        <f>IFERROR(__xludf.DUMMYFUNCTION("IF(REGEXMATCH(TRIM(I7252), ""^\d+\s*min""), ""Unclassified"", IF(I7252 = """", ""NR"", I7252))"),"TV-MA")</f>
        <v>TV-MA</v>
      </c>
      <c r="R7252" s="5" t="str">
        <f t="shared" si="2"/>
        <v>La Última Fiesta</v>
      </c>
      <c r="S7252" s="5" t="str">
        <f>IFERROR(__xludf.DUMMYFUNCTION("""COMPUTED_VALUE"""),"The Healing Powers Of Dude")</f>
        <v>The Healing Powers Of Dude</v>
      </c>
      <c r="V7252" s="5"/>
      <c r="Y7252" s="5" t="str">
        <f>IFERROR(__xludf.DUMMYFUNCTION("REGEXEXTRACT(J7252, ""^\d+"")"),"104")</f>
        <v>104</v>
      </c>
      <c r="Z7252" s="5" t="str">
        <f>IFERROR(__xludf.DUMMYFUNCTION("REGEXEXTRACT(J7252, ""[A-Za-z ]+$"")")," min")</f>
        <v> min</v>
      </c>
      <c r="AA7252" s="5" t="str">
        <f>IFERROR(__xludf.DUMMYFUNCTION("IF(REGEXMATCH(Z7252, ""Season""), ""TV Show"", ""Movie"")"),"Movie")</f>
        <v>Movie</v>
      </c>
    </row>
    <row r="7253">
      <c r="A7253" s="1" t="s">
        <v>35532</v>
      </c>
      <c r="B7253" s="1" t="s">
        <v>27</v>
      </c>
      <c r="C7253" s="1" t="s">
        <v>35533</v>
      </c>
      <c r="D7253" s="1" t="s">
        <v>5559</v>
      </c>
      <c r="F7253" s="1" t="s">
        <v>30</v>
      </c>
      <c r="G7253" s="1" t="s">
        <v>26089</v>
      </c>
      <c r="H7253" s="1">
        <v>2017.0</v>
      </c>
      <c r="I7253" s="1" t="s">
        <v>378</v>
      </c>
      <c r="J7253" s="1" t="s">
        <v>835</v>
      </c>
      <c r="K7253" s="1" t="s">
        <v>34</v>
      </c>
      <c r="L7253" s="1" t="s">
        <v>35534</v>
      </c>
      <c r="M7253" s="2" t="s">
        <v>12</v>
      </c>
      <c r="N7253" s="4">
        <f t="shared" si="1"/>
        <v>43160</v>
      </c>
      <c r="O7253" s="5" t="str">
        <f>IFERROR(__xludf.DUMMYFUNCTION("IF(REGEXMATCH(TRIM(I7253), ""^\d+\s*min""), ""Unclassified"", IF(I7253 = """", ""NR"", I7253))"),"R")</f>
        <v>R</v>
      </c>
      <c r="R7253" s="5" t="str">
        <f t="shared" si="2"/>
        <v>La 92</v>
      </c>
      <c r="S7253" s="5" t="str">
        <f>IFERROR(__xludf.DUMMYFUNCTION("""COMPUTED_VALUE"""),"The Heartbreak Club")</f>
        <v>The Heartbreak Club</v>
      </c>
      <c r="V7253" s="5"/>
      <c r="Y7253" s="5" t="str">
        <f>IFERROR(__xludf.DUMMYFUNCTION("REGEXEXTRACT(J7253, ""^\d+"")"),"114")</f>
        <v>114</v>
      </c>
      <c r="Z7253" s="5" t="str">
        <f>IFERROR(__xludf.DUMMYFUNCTION("REGEXEXTRACT(J7253, ""[A-Za-z ]+$"")")," min")</f>
        <v> min</v>
      </c>
      <c r="AA7253" s="5" t="str">
        <f>IFERROR(__xludf.DUMMYFUNCTION("IF(REGEXMATCH(Z7253, ""Season""), ""TV Show"", ""Movie"")"),"Movie")</f>
        <v>Movie</v>
      </c>
    </row>
    <row r="7254">
      <c r="A7254" s="1" t="s">
        <v>35535</v>
      </c>
      <c r="B7254" s="1" t="s">
        <v>27</v>
      </c>
      <c r="C7254" s="1" t="s">
        <v>35536</v>
      </c>
      <c r="D7254" s="1" t="s">
        <v>6291</v>
      </c>
      <c r="E7254" s="1" t="s">
        <v>35537</v>
      </c>
      <c r="F7254" s="1" t="s">
        <v>30</v>
      </c>
      <c r="G7254" s="1" t="s">
        <v>16947</v>
      </c>
      <c r="H7254" s="1">
        <v>1987.0</v>
      </c>
      <c r="I7254" s="1" t="s">
        <v>32</v>
      </c>
      <c r="J7254" s="1" t="s">
        <v>1065</v>
      </c>
      <c r="K7254" s="1" t="s">
        <v>33457</v>
      </c>
      <c r="L7254" s="1" t="s">
        <v>35538</v>
      </c>
      <c r="M7254" s="2" t="s">
        <v>12</v>
      </c>
      <c r="N7254" s="4">
        <f t="shared" si="1"/>
        <v>43831</v>
      </c>
      <c r="O7254" s="5" t="str">
        <f>IFERROR(__xludf.DUMMYFUNCTION("IF(REGEXMATCH(TRIM(I7254), ""^\d+\s*min""), ""Unclassified"", IF(I7254 = """", ""NR"", I7254))"),"PG-13")</f>
        <v>PG-13</v>
      </c>
      <c r="R7254" s="5" t="str">
        <f t="shared" si="2"/>
        <v>La Bamba</v>
      </c>
      <c r="S7254" s="5" t="str">
        <f>IFERROR(__xludf.DUMMYFUNCTION("""COMPUTED_VALUE"""),"The Heartbreak Kid")</f>
        <v>The Heartbreak Kid</v>
      </c>
      <c r="V7254" s="5"/>
      <c r="Y7254" s="5" t="str">
        <f>IFERROR(__xludf.DUMMYFUNCTION("REGEXEXTRACT(J7254, ""^\d+"")"),"109")</f>
        <v>109</v>
      </c>
      <c r="Z7254" s="5" t="str">
        <f>IFERROR(__xludf.DUMMYFUNCTION("REGEXEXTRACT(J7254, ""[A-Za-z ]+$"")")," min")</f>
        <v> min</v>
      </c>
      <c r="AA7254" s="5" t="str">
        <f>IFERROR(__xludf.DUMMYFUNCTION("IF(REGEXMATCH(Z7254, ""Season""), ""TV Show"", ""Movie"")"),"Movie")</f>
        <v>Movie</v>
      </c>
    </row>
    <row r="7255">
      <c r="A7255" s="1" t="s">
        <v>35539</v>
      </c>
      <c r="B7255" s="1" t="s">
        <v>27</v>
      </c>
      <c r="C7255" s="1" t="s">
        <v>35540</v>
      </c>
      <c r="D7255" s="1" t="s">
        <v>8518</v>
      </c>
      <c r="E7255" s="1" t="s">
        <v>35541</v>
      </c>
      <c r="F7255" s="1" t="s">
        <v>1779</v>
      </c>
      <c r="G7255" s="1" t="s">
        <v>28629</v>
      </c>
      <c r="H7255" s="1">
        <v>2016.0</v>
      </c>
      <c r="I7255" s="1" t="s">
        <v>42</v>
      </c>
      <c r="J7255" s="1" t="s">
        <v>428</v>
      </c>
      <c r="K7255" s="1" t="s">
        <v>199</v>
      </c>
      <c r="L7255" s="1" t="s">
        <v>35542</v>
      </c>
      <c r="M7255" s="2" t="s">
        <v>12</v>
      </c>
      <c r="N7255" s="4">
        <f t="shared" si="1"/>
        <v>42781</v>
      </c>
      <c r="O7255" s="5" t="str">
        <f>IFERROR(__xludf.DUMMYFUNCTION("IF(REGEXMATCH(TRIM(I7255), ""^\d+\s*min""), ""Unclassified"", IF(I7255 = """", ""NR"", I7255))"),"TV-MA")</f>
        <v>TV-MA</v>
      </c>
      <c r="R7255" s="5" t="str">
        <f t="shared" si="2"/>
        <v>La Coppia Dei Campioni</v>
      </c>
      <c r="S7255" s="5" t="str">
        <f>IFERROR(__xludf.DUMMYFUNCTION("""COMPUTED_VALUE"""),"The Heat: A Kitchen (R)Evolution")</f>
        <v>The Heat: A Kitchen (R)Evolution</v>
      </c>
      <c r="V7255" s="5"/>
      <c r="Y7255" s="5" t="str">
        <f>IFERROR(__xludf.DUMMYFUNCTION("REGEXEXTRACT(J7255, ""^\d+"")"),"88")</f>
        <v>88</v>
      </c>
      <c r="Z7255" s="5" t="str">
        <f>IFERROR(__xludf.DUMMYFUNCTION("REGEXEXTRACT(J7255, ""[A-Za-z ]+$"")")," min")</f>
        <v> min</v>
      </c>
      <c r="AA7255" s="5" t="str">
        <f>IFERROR(__xludf.DUMMYFUNCTION("IF(REGEXMATCH(Z7255, ""Season""), ""TV Show"", ""Movie"")"),"Movie")</f>
        <v>Movie</v>
      </c>
    </row>
    <row r="7256">
      <c r="A7256" s="1" t="s">
        <v>35543</v>
      </c>
      <c r="B7256" s="1" t="s">
        <v>37</v>
      </c>
      <c r="C7256" s="1" t="s">
        <v>35544</v>
      </c>
      <c r="E7256" s="1" t="s">
        <v>35545</v>
      </c>
      <c r="F7256" s="1" t="s">
        <v>30</v>
      </c>
      <c r="H7256" s="1">
        <v>2012.0</v>
      </c>
      <c r="I7256" s="1" t="s">
        <v>97</v>
      </c>
      <c r="J7256" s="1" t="s">
        <v>276</v>
      </c>
      <c r="K7256" s="1" t="s">
        <v>1627</v>
      </c>
      <c r="L7256" s="1" t="s">
        <v>35546</v>
      </c>
      <c r="M7256" s="2" t="s">
        <v>12</v>
      </c>
      <c r="N7256" s="1" t="str">
        <f t="shared" si="1"/>
        <v>#VALUE!</v>
      </c>
      <c r="O7256" s="5" t="str">
        <f>IFERROR(__xludf.DUMMYFUNCTION("IF(REGEXMATCH(TRIM(I7256), ""^\d+\s*min""), ""Unclassified"", IF(I7256 = """", ""NR"", I7256))"),"TV-14")</f>
        <v>TV-14</v>
      </c>
      <c r="R7256" s="5" t="str">
        <f t="shared" si="2"/>
        <v>La Familia P. Luche</v>
      </c>
      <c r="S7256" s="5" t="str">
        <f>IFERROR(__xludf.DUMMYFUNCTION("""COMPUTED_VALUE"""),"The Help")</f>
        <v>The Help</v>
      </c>
      <c r="V7256" s="5"/>
      <c r="Y7256" s="5" t="str">
        <f>IFERROR(__xludf.DUMMYFUNCTION("REGEXEXTRACT(J7256, ""^\d+"")"),"3")</f>
        <v>3</v>
      </c>
      <c r="Z7256" s="5" t="str">
        <f>IFERROR(__xludf.DUMMYFUNCTION("REGEXEXTRACT(J7256, ""[A-Za-z ]+$"")")," Seasons")</f>
        <v> Seasons</v>
      </c>
      <c r="AA7256" s="5" t="str">
        <f>IFERROR(__xludf.DUMMYFUNCTION("IF(REGEXMATCH(Z7256, ""Season""), ""TV Show"", ""Movie"")"),"TV Show")</f>
        <v>TV Show</v>
      </c>
    </row>
    <row r="7257">
      <c r="A7257" s="1" t="s">
        <v>35547</v>
      </c>
      <c r="B7257" s="1" t="s">
        <v>37</v>
      </c>
      <c r="C7257" s="1" t="s">
        <v>35548</v>
      </c>
      <c r="E7257" s="1" t="s">
        <v>35549</v>
      </c>
      <c r="G7257" s="1" t="s">
        <v>27004</v>
      </c>
      <c r="H7257" s="1">
        <v>2016.0</v>
      </c>
      <c r="I7257" s="1" t="s">
        <v>97</v>
      </c>
      <c r="J7257" s="1" t="s">
        <v>51</v>
      </c>
      <c r="K7257" s="1" t="s">
        <v>402</v>
      </c>
      <c r="L7257" s="1" t="s">
        <v>35550</v>
      </c>
      <c r="M7257" s="2" t="s">
        <v>12</v>
      </c>
      <c r="N7257" s="4">
        <f t="shared" si="1"/>
        <v>43024</v>
      </c>
      <c r="O7257" s="5" t="str">
        <f>IFERROR(__xludf.DUMMYFUNCTION("IF(REGEXMATCH(TRIM(I7257), ""^\d+\s*min""), ""Unclassified"", IF(I7257 = """", ""NR"", I7257))"),"TV-14")</f>
        <v>TV-14</v>
      </c>
      <c r="R7257" s="5" t="str">
        <f t="shared" si="2"/>
        <v>La Femme</v>
      </c>
      <c r="S7257" s="5" t="str">
        <f>IFERROR(__xludf.DUMMYFUNCTION("""COMPUTED_VALUE"""),"The Heretics")</f>
        <v>The Heretics</v>
      </c>
      <c r="V7257" s="5"/>
      <c r="Y7257" s="5" t="str">
        <f>IFERROR(__xludf.DUMMYFUNCTION("REGEXEXTRACT(J7257, ""^\d+"")"),"1")</f>
        <v>1</v>
      </c>
      <c r="Z7257" s="5" t="str">
        <f>IFERROR(__xludf.DUMMYFUNCTION("REGEXEXTRACT(J7257, ""[A-Za-z ]+$"")")," Season")</f>
        <v> Season</v>
      </c>
      <c r="AA7257" s="5" t="str">
        <f>IFERROR(__xludf.DUMMYFUNCTION("IF(REGEXMATCH(Z7257, ""Season""), ""TV Show"", ""Movie"")"),"TV Show")</f>
        <v>TV Show</v>
      </c>
    </row>
    <row r="7258">
      <c r="A7258" s="1" t="s">
        <v>35551</v>
      </c>
      <c r="B7258" s="1" t="s">
        <v>37</v>
      </c>
      <c r="C7258" s="1" t="s">
        <v>35552</v>
      </c>
      <c r="E7258" s="1" t="s">
        <v>35553</v>
      </c>
      <c r="F7258" s="1" t="s">
        <v>162</v>
      </c>
      <c r="G7258" s="1" t="s">
        <v>25836</v>
      </c>
      <c r="H7258" s="1">
        <v>2017.0</v>
      </c>
      <c r="I7258" s="1" t="s">
        <v>42</v>
      </c>
      <c r="J7258" s="1" t="s">
        <v>51</v>
      </c>
      <c r="K7258" s="1" t="s">
        <v>785</v>
      </c>
      <c r="L7258" s="1" t="s">
        <v>35554</v>
      </c>
      <c r="M7258" s="2" t="s">
        <v>12</v>
      </c>
      <c r="N7258" s="4">
        <f t="shared" si="1"/>
        <v>43192</v>
      </c>
      <c r="O7258" s="5" t="str">
        <f>IFERROR(__xludf.DUMMYFUNCTION("IF(REGEXMATCH(TRIM(I7258), ""^\d+\s*min""), ""Unclassified"", IF(I7258 = """", ""NR"", I7258))"),"TV-MA")</f>
        <v>TV-MA</v>
      </c>
      <c r="R7258" s="5" t="str">
        <f t="shared" si="2"/>
        <v>La Piloto</v>
      </c>
      <c r="S7258" s="5" t="str">
        <f>IFERROR(__xludf.DUMMYFUNCTION("""COMPUTED_VALUE"""),"The Heroes Of Evil")</f>
        <v>The Heroes Of Evil</v>
      </c>
      <c r="V7258" s="5"/>
      <c r="Y7258" s="5" t="str">
        <f>IFERROR(__xludf.DUMMYFUNCTION("REGEXEXTRACT(J7258, ""^\d+"")"),"1")</f>
        <v>1</v>
      </c>
      <c r="Z7258" s="5" t="str">
        <f>IFERROR(__xludf.DUMMYFUNCTION("REGEXEXTRACT(J7258, ""[A-Za-z ]+$"")")," Season")</f>
        <v> Season</v>
      </c>
      <c r="AA7258" s="5" t="str">
        <f>IFERROR(__xludf.DUMMYFUNCTION("IF(REGEXMATCH(Z7258, ""Season""), ""TV Show"", ""Movie"")"),"TV Show")</f>
        <v>TV Show</v>
      </c>
    </row>
    <row r="7259">
      <c r="A7259" s="1" t="s">
        <v>35555</v>
      </c>
      <c r="B7259" s="1" t="s">
        <v>37</v>
      </c>
      <c r="C7259" s="1" t="s">
        <v>35556</v>
      </c>
      <c r="E7259" s="1" t="s">
        <v>35557</v>
      </c>
      <c r="F7259" s="1" t="s">
        <v>162</v>
      </c>
      <c r="G7259" s="1" t="s">
        <v>22472</v>
      </c>
      <c r="H7259" s="1">
        <v>2010.0</v>
      </c>
      <c r="I7259" s="1" t="s">
        <v>136</v>
      </c>
      <c r="J7259" s="1" t="s">
        <v>51</v>
      </c>
      <c r="K7259" s="1" t="s">
        <v>2762</v>
      </c>
      <c r="L7259" s="1" t="s">
        <v>35558</v>
      </c>
      <c r="M7259" s="2" t="s">
        <v>12</v>
      </c>
      <c r="N7259" s="4">
        <f t="shared" si="1"/>
        <v>43480</v>
      </c>
      <c r="O7259" s="5" t="str">
        <f>IFERROR(__xludf.DUMMYFUNCTION("IF(REGEXMATCH(TRIM(I7259), ""^\d+\s*min""), ""Unclassified"", IF(I7259 = """", ""NR"", I7259))"),"TV-PG")</f>
        <v>TV-PG</v>
      </c>
      <c r="R7259" s="5" t="str">
        <f t="shared" si="2"/>
        <v>La Rosa De Guadalupe</v>
      </c>
      <c r="S7259" s="5" t="str">
        <f>IFERROR(__xludf.DUMMYFUNCTION("""COMPUTED_VALUE"""),"The Heyday Of The Insensitive Bastards")</f>
        <v>The Heyday Of The Insensitive Bastards</v>
      </c>
      <c r="V7259" s="5"/>
      <c r="Y7259" s="5" t="str">
        <f>IFERROR(__xludf.DUMMYFUNCTION("REGEXEXTRACT(J7259, ""^\d+"")"),"1")</f>
        <v>1</v>
      </c>
      <c r="Z7259" s="5" t="str">
        <f>IFERROR(__xludf.DUMMYFUNCTION("REGEXEXTRACT(J7259, ""[A-Za-z ]+$"")")," Season")</f>
        <v> Season</v>
      </c>
      <c r="AA7259" s="5" t="str">
        <f>IFERROR(__xludf.DUMMYFUNCTION("IF(REGEXMATCH(Z7259, ""Season""), ""TV Show"", ""Movie"")"),"TV Show")</f>
        <v>TV Show</v>
      </c>
    </row>
    <row r="7260">
      <c r="A7260" s="1" t="s">
        <v>35559</v>
      </c>
      <c r="B7260" s="1" t="s">
        <v>37</v>
      </c>
      <c r="C7260" s="1" t="s">
        <v>35560</v>
      </c>
      <c r="D7260" s="1" t="s">
        <v>995</v>
      </c>
      <c r="E7260" s="1" t="s">
        <v>35561</v>
      </c>
      <c r="F7260" s="1" t="s">
        <v>35562</v>
      </c>
      <c r="G7260" s="1" t="s">
        <v>22472</v>
      </c>
      <c r="H7260" s="1">
        <v>2016.0</v>
      </c>
      <c r="I7260" s="1" t="s">
        <v>97</v>
      </c>
      <c r="J7260" s="1" t="s">
        <v>51</v>
      </c>
      <c r="K7260" s="1" t="s">
        <v>785</v>
      </c>
      <c r="L7260" s="1" t="s">
        <v>35563</v>
      </c>
      <c r="M7260" s="2" t="s">
        <v>12</v>
      </c>
      <c r="N7260" s="4">
        <f t="shared" si="1"/>
        <v>43480</v>
      </c>
      <c r="O7260" s="5" t="str">
        <f>IFERROR(__xludf.DUMMYFUNCTION("IF(REGEXMATCH(TRIM(I7260), ""^\d+\s*min""), ""Unclassified"", IF(I7260 = """", ""NR"", I7260))"),"TV-14")</f>
        <v>TV-14</v>
      </c>
      <c r="R7260" s="5" t="str">
        <f t="shared" si="2"/>
        <v>La Viuda Negra</v>
      </c>
      <c r="S7260" s="5" t="str">
        <f>IFERROR(__xludf.DUMMYFUNCTION("""COMPUTED_VALUE"""),"The Highwaymen")</f>
        <v>The Highwaymen</v>
      </c>
      <c r="V7260" s="5"/>
      <c r="Y7260" s="5" t="str">
        <f>IFERROR(__xludf.DUMMYFUNCTION("REGEXEXTRACT(J7260, ""^\d+"")"),"1")</f>
        <v>1</v>
      </c>
      <c r="Z7260" s="5" t="str">
        <f>IFERROR(__xludf.DUMMYFUNCTION("REGEXEXTRACT(J7260, ""[A-Za-z ]+$"")")," Season")</f>
        <v> Season</v>
      </c>
      <c r="AA7260" s="5" t="str">
        <f>IFERROR(__xludf.DUMMYFUNCTION("IF(REGEXMATCH(Z7260, ""Season""), ""TV Show"", ""Movie"")"),"TV Show")</f>
        <v>TV Show</v>
      </c>
    </row>
    <row r="7261">
      <c r="A7261" s="1" t="s">
        <v>35564</v>
      </c>
      <c r="B7261" s="1" t="s">
        <v>27</v>
      </c>
      <c r="C7261" s="1" t="s">
        <v>35565</v>
      </c>
      <c r="D7261" s="1" t="s">
        <v>22061</v>
      </c>
      <c r="E7261" s="1" t="s">
        <v>35566</v>
      </c>
      <c r="F7261" s="1" t="s">
        <v>63</v>
      </c>
      <c r="G7261" s="1" t="s">
        <v>26089</v>
      </c>
      <c r="H7261" s="1">
        <v>2016.0</v>
      </c>
      <c r="I7261" s="1" t="s">
        <v>97</v>
      </c>
      <c r="J7261" s="1" t="s">
        <v>820</v>
      </c>
      <c r="K7261" s="1" t="s">
        <v>298</v>
      </c>
      <c r="L7261" s="1" t="s">
        <v>35567</v>
      </c>
      <c r="M7261" s="2" t="s">
        <v>12</v>
      </c>
      <c r="N7261" s="4">
        <f t="shared" si="1"/>
        <v>43160</v>
      </c>
      <c r="O7261" s="5" t="str">
        <f>IFERROR(__xludf.DUMMYFUNCTION("IF(REGEXMATCH(TRIM(I7261), ""^\d+\s*min""), ""Unclassified"", IF(I7261 = """", ""NR"", I7261))"),"TV-14")</f>
        <v>TV-14</v>
      </c>
      <c r="R7261" s="5" t="str">
        <f t="shared" si="2"/>
        <v>Laal Rang</v>
      </c>
      <c r="S7261" s="5" t="str">
        <f>IFERROR(__xludf.DUMMYFUNCTION("""COMPUTED_VALUE"""),"The History Of Future Folk")</f>
        <v>The History Of Future Folk</v>
      </c>
      <c r="V7261" s="5"/>
      <c r="Y7261" s="5" t="str">
        <f>IFERROR(__xludf.DUMMYFUNCTION("REGEXEXTRACT(J7261, ""^\d+"")"),"143")</f>
        <v>143</v>
      </c>
      <c r="Z7261" s="5" t="str">
        <f>IFERROR(__xludf.DUMMYFUNCTION("REGEXEXTRACT(J7261, ""[A-Za-z ]+$"")")," min")</f>
        <v> min</v>
      </c>
      <c r="AA7261" s="5" t="str">
        <f>IFERROR(__xludf.DUMMYFUNCTION("IF(REGEXMATCH(Z7261, ""Season""), ""TV Show"", ""Movie"")"),"Movie")</f>
        <v>Movie</v>
      </c>
    </row>
    <row r="7262">
      <c r="A7262" s="1" t="s">
        <v>35568</v>
      </c>
      <c r="B7262" s="1" t="s">
        <v>27</v>
      </c>
      <c r="C7262" s="1" t="s">
        <v>35569</v>
      </c>
      <c r="D7262" s="1" t="s">
        <v>21362</v>
      </c>
      <c r="E7262" s="1" t="s">
        <v>35570</v>
      </c>
      <c r="F7262" s="1" t="s">
        <v>2796</v>
      </c>
      <c r="G7262" s="1" t="s">
        <v>24601</v>
      </c>
      <c r="H7262" s="1">
        <v>2011.0</v>
      </c>
      <c r="I7262" s="1" t="s">
        <v>42</v>
      </c>
      <c r="J7262" s="1" t="s">
        <v>1243</v>
      </c>
      <c r="K7262" s="1" t="s">
        <v>1441</v>
      </c>
      <c r="L7262" s="1" t="s">
        <v>35571</v>
      </c>
      <c r="M7262" s="2" t="s">
        <v>12</v>
      </c>
      <c r="N7262" s="4">
        <f t="shared" si="1"/>
        <v>43350</v>
      </c>
      <c r="O7262" s="5" t="str">
        <f>IFERROR(__xludf.DUMMYFUNCTION("IF(REGEXMATCH(TRIM(I7262), ""^\d+\s*min""), ""Unclassified"", IF(I7262 = """", ""NR"", I7262))"),"TV-MA")</f>
        <v>TV-MA</v>
      </c>
      <c r="R7262" s="5" t="str">
        <f t="shared" si="2"/>
        <v>Laddaland</v>
      </c>
      <c r="S7262" s="5" t="str">
        <f>IFERROR(__xludf.DUMMYFUNCTION("""COMPUTED_VALUE"""),"The Hockey Girls")</f>
        <v>The Hockey Girls</v>
      </c>
      <c r="V7262" s="5"/>
      <c r="Y7262" s="5" t="str">
        <f>IFERROR(__xludf.DUMMYFUNCTION("REGEXEXTRACT(J7262, ""^\d+"")"),"112")</f>
        <v>112</v>
      </c>
      <c r="Z7262" s="5" t="str">
        <f>IFERROR(__xludf.DUMMYFUNCTION("REGEXEXTRACT(J7262, ""[A-Za-z ]+$"")")," min")</f>
        <v> min</v>
      </c>
      <c r="AA7262" s="5" t="str">
        <f>IFERROR(__xludf.DUMMYFUNCTION("IF(REGEXMATCH(Z7262, ""Season""), ""TV Show"", ""Movie"")"),"Movie")</f>
        <v>Movie</v>
      </c>
    </row>
    <row r="7263">
      <c r="A7263" s="1" t="s">
        <v>35572</v>
      </c>
      <c r="B7263" s="1" t="s">
        <v>27</v>
      </c>
      <c r="C7263" s="1" t="s">
        <v>35573</v>
      </c>
      <c r="D7263" s="1" t="s">
        <v>4761</v>
      </c>
      <c r="E7263" s="1" t="s">
        <v>35574</v>
      </c>
      <c r="F7263" s="1" t="s">
        <v>1119</v>
      </c>
      <c r="G7263" s="1" t="s">
        <v>27542</v>
      </c>
      <c r="H7263" s="1">
        <v>2016.0</v>
      </c>
      <c r="I7263" s="1" t="s">
        <v>378</v>
      </c>
      <c r="J7263" s="1" t="s">
        <v>1091</v>
      </c>
      <c r="K7263" s="1" t="s">
        <v>380</v>
      </c>
      <c r="L7263" s="1" t="s">
        <v>35575</v>
      </c>
      <c r="M7263" s="2" t="s">
        <v>12</v>
      </c>
      <c r="N7263" s="4">
        <f t="shared" si="1"/>
        <v>42952</v>
      </c>
      <c r="O7263" s="5" t="str">
        <f>IFERROR(__xludf.DUMMYFUNCTION("IF(REGEXMATCH(TRIM(I7263), ""^\d+\s*min""), ""Unclassified"", IF(I7263 = """", ""NR"", I7263))"),"R")</f>
        <v>R</v>
      </c>
      <c r="R7263" s="5" t="str">
        <f t="shared" si="2"/>
        <v>Lady Bloodfight</v>
      </c>
      <c r="S7263" s="5" t="str">
        <f>IFERROR(__xludf.DUMMYFUNCTION("""COMPUTED_VALUE"""),"The Holiday Calendar")</f>
        <v>The Holiday Calendar</v>
      </c>
      <c r="V7263" s="5"/>
      <c r="Y7263" s="5" t="str">
        <f>IFERROR(__xludf.DUMMYFUNCTION("REGEXEXTRACT(J7263, ""^\d+"")"),"101")</f>
        <v>101</v>
      </c>
      <c r="Z7263" s="5" t="str">
        <f>IFERROR(__xludf.DUMMYFUNCTION("REGEXEXTRACT(J7263, ""[A-Za-z ]+$"")")," min")</f>
        <v> min</v>
      </c>
      <c r="AA7263" s="5" t="str">
        <f>IFERROR(__xludf.DUMMYFUNCTION("IF(REGEXMATCH(Z7263, ""Season""), ""TV Show"", ""Movie"")"),"Movie")</f>
        <v>Movie</v>
      </c>
    </row>
    <row r="7264">
      <c r="A7264" s="1" t="s">
        <v>35576</v>
      </c>
      <c r="B7264" s="1" t="s">
        <v>27</v>
      </c>
      <c r="C7264" s="1" t="s">
        <v>35577</v>
      </c>
      <c r="D7264" s="1" t="s">
        <v>14181</v>
      </c>
      <c r="E7264" s="1" t="s">
        <v>35578</v>
      </c>
      <c r="F7264" s="1" t="s">
        <v>30</v>
      </c>
      <c r="G7264" s="1" t="s">
        <v>20110</v>
      </c>
      <c r="H7264" s="1">
        <v>2006.0</v>
      </c>
      <c r="I7264" s="1" t="s">
        <v>32</v>
      </c>
      <c r="J7264" s="1" t="s">
        <v>297</v>
      </c>
      <c r="K7264" s="1" t="s">
        <v>658</v>
      </c>
      <c r="L7264" s="1" t="s">
        <v>35579</v>
      </c>
      <c r="M7264" s="2" t="s">
        <v>12</v>
      </c>
      <c r="N7264" s="4">
        <f t="shared" si="1"/>
        <v>43647</v>
      </c>
      <c r="O7264" s="5" t="str">
        <f>IFERROR(__xludf.DUMMYFUNCTION("IF(REGEXMATCH(TRIM(I7264), ""^\d+\s*min""), ""Unclassified"", IF(I7264 = """", ""NR"", I7264))"),"PG-13")</f>
        <v>PG-13</v>
      </c>
      <c r="R7264" s="5" t="str">
        <f t="shared" si="2"/>
        <v>Lady In The Water</v>
      </c>
      <c r="S7264" s="5" t="str">
        <f>IFERROR(__xludf.DUMMYFUNCTION("""COMPUTED_VALUE"""),"The Holiday Movies That Made Us")</f>
        <v>The Holiday Movies That Made Us</v>
      </c>
      <c r="V7264" s="5"/>
      <c r="Y7264" s="5" t="str">
        <f>IFERROR(__xludf.DUMMYFUNCTION("REGEXEXTRACT(J7264, ""^\d+"")"),"110")</f>
        <v>110</v>
      </c>
      <c r="Z7264" s="5" t="str">
        <f>IFERROR(__xludf.DUMMYFUNCTION("REGEXEXTRACT(J7264, ""[A-Za-z ]+$"")")," min")</f>
        <v> min</v>
      </c>
      <c r="AA7264" s="5" t="str">
        <f>IFERROR(__xludf.DUMMYFUNCTION("IF(REGEXMATCH(Z7264, ""Season""), ""TV Show"", ""Movie"")"),"Movie")</f>
        <v>Movie</v>
      </c>
    </row>
    <row r="7265">
      <c r="A7265" s="1" t="s">
        <v>35580</v>
      </c>
      <c r="B7265" s="1" t="s">
        <v>27</v>
      </c>
      <c r="C7265" s="1" t="s">
        <v>35581</v>
      </c>
      <c r="E7265" s="1" t="s">
        <v>35582</v>
      </c>
      <c r="F7265" s="1" t="s">
        <v>30</v>
      </c>
      <c r="G7265" s="1" t="s">
        <v>22428</v>
      </c>
      <c r="H7265" s="1">
        <v>2018.0</v>
      </c>
      <c r="I7265" s="1" t="s">
        <v>27219</v>
      </c>
      <c r="J7265" s="1" t="s">
        <v>490</v>
      </c>
      <c r="K7265" s="1" t="s">
        <v>1749</v>
      </c>
      <c r="L7265" s="1" t="s">
        <v>35583</v>
      </c>
      <c r="M7265" s="2" t="s">
        <v>12</v>
      </c>
      <c r="N7265" s="4">
        <f t="shared" si="1"/>
        <v>43483</v>
      </c>
      <c r="O7265" s="5" t="str">
        <f>IFERROR(__xludf.DUMMYFUNCTION("IF(REGEXMATCH(TRIM(I7265), ""^\d+\s*min""), ""Unclassified"", IF(I7265 = """", ""NR"", I7265))"),"NC-17")</f>
        <v>NC-17</v>
      </c>
      <c r="R7265" s="5" t="str">
        <f t="shared" si="2"/>
        <v>Lady-Like</v>
      </c>
      <c r="S7265" s="5" t="str">
        <f>IFERROR(__xludf.DUMMYFUNCTION("""COMPUTED_VALUE"""),"The Hollow")</f>
        <v>The Hollow</v>
      </c>
      <c r="V7265" s="5"/>
      <c r="Y7265" s="5" t="str">
        <f>IFERROR(__xludf.DUMMYFUNCTION("REGEXEXTRACT(J7265, ""^\d+"")"),"83")</f>
        <v>83</v>
      </c>
      <c r="Z7265" s="5" t="str">
        <f>IFERROR(__xludf.DUMMYFUNCTION("REGEXEXTRACT(J7265, ""[A-Za-z ]+$"")")," min")</f>
        <v> min</v>
      </c>
      <c r="AA7265" s="5" t="str">
        <f>IFERROR(__xludf.DUMMYFUNCTION("IF(REGEXMATCH(Z7265, ""Season""), ""TV Show"", ""Movie"")"),"Movie")</f>
        <v>Movie</v>
      </c>
    </row>
    <row r="7266">
      <c r="A7266" s="1" t="s">
        <v>35584</v>
      </c>
      <c r="B7266" s="1" t="s">
        <v>37</v>
      </c>
      <c r="C7266" s="1" t="s">
        <v>35585</v>
      </c>
      <c r="E7266" s="1" t="s">
        <v>35586</v>
      </c>
      <c r="F7266" s="1" t="s">
        <v>1837</v>
      </c>
      <c r="G7266" s="1" t="s">
        <v>25842</v>
      </c>
      <c r="H7266" s="1">
        <v>2015.0</v>
      </c>
      <c r="I7266" s="1" t="s">
        <v>97</v>
      </c>
      <c r="J7266" s="1" t="s">
        <v>51</v>
      </c>
      <c r="K7266" s="1" t="s">
        <v>1339</v>
      </c>
      <c r="L7266" s="1" t="s">
        <v>35587</v>
      </c>
      <c r="M7266" s="2" t="s">
        <v>12</v>
      </c>
      <c r="N7266" s="4">
        <f t="shared" si="1"/>
        <v>43191</v>
      </c>
      <c r="O7266" s="5" t="str">
        <f>IFERROR(__xludf.DUMMYFUNCTION("IF(REGEXMATCH(TRIM(I7266), ""^\d+\s*min""), ""Unclassified"", IF(I7266 = """", ""NR"", I7266))"),"TV-14")</f>
        <v>TV-14</v>
      </c>
      <c r="R7266" s="5" t="str">
        <f t="shared" si="2"/>
        <v>Lady, La Vendedora De Rosas</v>
      </c>
      <c r="S7266" s="5" t="str">
        <f>IFERROR(__xludf.DUMMYFUNCTION("""COMPUTED_VALUE"""),"The Hollow Point")</f>
        <v>The Hollow Point</v>
      </c>
      <c r="V7266" s="5"/>
      <c r="Y7266" s="5" t="str">
        <f>IFERROR(__xludf.DUMMYFUNCTION("REGEXEXTRACT(J7266, ""^\d+"")"),"1")</f>
        <v>1</v>
      </c>
      <c r="Z7266" s="5" t="str">
        <f>IFERROR(__xludf.DUMMYFUNCTION("REGEXEXTRACT(J7266, ""[A-Za-z ]+$"")")," Season")</f>
        <v> Season</v>
      </c>
      <c r="AA7266" s="5" t="str">
        <f>IFERROR(__xludf.DUMMYFUNCTION("IF(REGEXMATCH(Z7266, ""Season""), ""TV Show"", ""Movie"")"),"TV Show")</f>
        <v>TV Show</v>
      </c>
    </row>
    <row r="7267">
      <c r="A7267" s="1" t="s">
        <v>35588</v>
      </c>
      <c r="B7267" s="1" t="s">
        <v>27</v>
      </c>
      <c r="C7267" s="1" t="s">
        <v>35589</v>
      </c>
      <c r="D7267" s="1" t="s">
        <v>11576</v>
      </c>
      <c r="E7267" s="1" t="s">
        <v>35590</v>
      </c>
      <c r="F7267" s="1" t="s">
        <v>63</v>
      </c>
      <c r="G7267" s="1" t="s">
        <v>25994</v>
      </c>
      <c r="H7267" s="1">
        <v>2010.0</v>
      </c>
      <c r="I7267" s="1" t="s">
        <v>42</v>
      </c>
      <c r="J7267" s="1" t="s">
        <v>582</v>
      </c>
      <c r="K7267" s="1" t="s">
        <v>128</v>
      </c>
      <c r="L7267" s="1" t="s">
        <v>35591</v>
      </c>
      <c r="M7267" s="2" t="s">
        <v>12</v>
      </c>
      <c r="N7267" s="4">
        <f t="shared" si="1"/>
        <v>43174</v>
      </c>
      <c r="O7267" s="5" t="str">
        <f>IFERROR(__xludf.DUMMYFUNCTION("IF(REGEXMATCH(TRIM(I7267), ""^\d+\s*min""), ""Unclassified"", IF(I7267 = """", ""NR"", I7267))"),"TV-MA")</f>
        <v>TV-MA</v>
      </c>
      <c r="R7267" s="5" t="str">
        <f t="shared" si="2"/>
        <v>Lalbaug Parel: Zali Mumbai Sonyachi</v>
      </c>
      <c r="S7267" s="5" t="str">
        <f>IFERROR(__xludf.DUMMYFUNCTION("""COMPUTED_VALUE"""),"The Hollywood Masters")</f>
        <v>The Hollywood Masters</v>
      </c>
      <c r="V7267" s="5"/>
      <c r="Y7267" s="5" t="str">
        <f>IFERROR(__xludf.DUMMYFUNCTION("REGEXEXTRACT(J7267, ""^\d+"")"),"145")</f>
        <v>145</v>
      </c>
      <c r="Z7267" s="5" t="str">
        <f>IFERROR(__xludf.DUMMYFUNCTION("REGEXEXTRACT(J7267, ""[A-Za-z ]+$"")")," min")</f>
        <v> min</v>
      </c>
      <c r="AA7267" s="5" t="str">
        <f>IFERROR(__xludf.DUMMYFUNCTION("IF(REGEXMATCH(Z7267, ""Season""), ""TV Show"", ""Movie"")"),"Movie")</f>
        <v>Movie</v>
      </c>
    </row>
    <row r="7268">
      <c r="A7268" s="1" t="s">
        <v>35592</v>
      </c>
      <c r="B7268" s="1" t="s">
        <v>37</v>
      </c>
      <c r="C7268" s="1" t="s">
        <v>35593</v>
      </c>
      <c r="E7268" s="1" t="s">
        <v>35594</v>
      </c>
      <c r="F7268" s="1" t="s">
        <v>96</v>
      </c>
      <c r="G7268" s="1" t="s">
        <v>27569</v>
      </c>
      <c r="H7268" s="1">
        <v>2011.0</v>
      </c>
      <c r="I7268" s="1" t="s">
        <v>97</v>
      </c>
      <c r="J7268" s="1" t="s">
        <v>276</v>
      </c>
      <c r="K7268" s="1" t="s">
        <v>3361</v>
      </c>
      <c r="L7268" s="1" t="s">
        <v>35595</v>
      </c>
      <c r="M7268" s="2" t="s">
        <v>12</v>
      </c>
      <c r="N7268" s="4">
        <f t="shared" si="1"/>
        <v>42948</v>
      </c>
      <c r="O7268" s="5" t="str">
        <f>IFERROR(__xludf.DUMMYFUNCTION("IF(REGEXMATCH(TRIM(I7268), ""^\d+\s*min""), ""Unclassified"", IF(I7268 = """", ""NR"", I7268))"),"TV-14")</f>
        <v>TV-14</v>
      </c>
      <c r="R7268" s="5" t="str">
        <f t="shared" si="2"/>
        <v>Land Girls</v>
      </c>
      <c r="S7268" s="5" t="str">
        <f>IFERROR(__xludf.DUMMYFUNCTION("""COMPUTED_VALUE"""),"The Holy Man")</f>
        <v>The Holy Man</v>
      </c>
      <c r="V7268" s="5"/>
      <c r="Y7268" s="5" t="str">
        <f>IFERROR(__xludf.DUMMYFUNCTION("REGEXEXTRACT(J7268, ""^\d+"")"),"3")</f>
        <v>3</v>
      </c>
      <c r="Z7268" s="5" t="str">
        <f>IFERROR(__xludf.DUMMYFUNCTION("REGEXEXTRACT(J7268, ""[A-Za-z ]+$"")")," Seasons")</f>
        <v> Seasons</v>
      </c>
      <c r="AA7268" s="5" t="str">
        <f>IFERROR(__xludf.DUMMYFUNCTION("IF(REGEXMATCH(Z7268, ""Season""), ""TV Show"", ""Movie"")"),"TV Show")</f>
        <v>TV Show</v>
      </c>
    </row>
    <row r="7269">
      <c r="A7269" s="1" t="s">
        <v>35596</v>
      </c>
      <c r="B7269" s="1" t="s">
        <v>27</v>
      </c>
      <c r="C7269" s="1" t="s">
        <v>35597</v>
      </c>
      <c r="D7269" s="1" t="s">
        <v>18486</v>
      </c>
      <c r="E7269" s="1" t="s">
        <v>35598</v>
      </c>
      <c r="F7269" s="1" t="s">
        <v>949</v>
      </c>
      <c r="G7269" s="1" t="s">
        <v>27248</v>
      </c>
      <c r="H7269" s="1">
        <v>2017.0</v>
      </c>
      <c r="I7269" s="1" t="s">
        <v>97</v>
      </c>
      <c r="J7269" s="1" t="s">
        <v>630</v>
      </c>
      <c r="K7269" s="1" t="s">
        <v>380</v>
      </c>
      <c r="L7269" s="1" t="s">
        <v>35599</v>
      </c>
      <c r="M7269" s="2" t="s">
        <v>12</v>
      </c>
      <c r="N7269" s="4">
        <f t="shared" si="1"/>
        <v>42993</v>
      </c>
      <c r="O7269" s="5" t="str">
        <f>IFERROR(__xludf.DUMMYFUNCTION("IF(REGEXMATCH(TRIM(I7269), ""^\d+\s*min""), ""Unclassified"", IF(I7269 = """", ""NR"", I7269))"),"TV-14")</f>
        <v>TV-14</v>
      </c>
      <c r="R7269" s="5" t="str">
        <f t="shared" si="2"/>
        <v>Larceny</v>
      </c>
      <c r="S7269" s="5" t="str">
        <f>IFERROR(__xludf.DUMMYFUNCTION("""COMPUTED_VALUE"""),"The Homecoming")</f>
        <v>The Homecoming</v>
      </c>
      <c r="V7269" s="5"/>
      <c r="Y7269" s="5" t="str">
        <f>IFERROR(__xludf.DUMMYFUNCTION("REGEXEXTRACT(J7269, ""^\d+"")"),"87")</f>
        <v>87</v>
      </c>
      <c r="Z7269" s="5" t="str">
        <f>IFERROR(__xludf.DUMMYFUNCTION("REGEXEXTRACT(J7269, ""[A-Za-z ]+$"")")," min")</f>
        <v> min</v>
      </c>
      <c r="AA7269" s="5" t="str">
        <f>IFERROR(__xludf.DUMMYFUNCTION("IF(REGEXMATCH(Z7269, ""Season""), ""TV Show"", ""Movie"")"),"Movie")</f>
        <v>Movie</v>
      </c>
    </row>
    <row r="7270">
      <c r="A7270" s="1" t="s">
        <v>35600</v>
      </c>
      <c r="B7270" s="1" t="s">
        <v>37</v>
      </c>
      <c r="C7270" s="1" t="s">
        <v>35601</v>
      </c>
      <c r="E7270" s="1" t="s">
        <v>35602</v>
      </c>
      <c r="F7270" s="1" t="s">
        <v>749</v>
      </c>
      <c r="G7270" s="7">
        <v>42877.0</v>
      </c>
      <c r="H7270" s="1">
        <v>2015.0</v>
      </c>
      <c r="I7270" s="1" t="s">
        <v>97</v>
      </c>
      <c r="J7270" s="1" t="s">
        <v>51</v>
      </c>
      <c r="K7270" s="1" t="s">
        <v>6338</v>
      </c>
      <c r="L7270" s="1" t="s">
        <v>35603</v>
      </c>
      <c r="M7270" s="2" t="s">
        <v>12</v>
      </c>
      <c r="N7270" s="4">
        <f t="shared" si="1"/>
        <v>42877</v>
      </c>
      <c r="O7270" s="5" t="str">
        <f>IFERROR(__xludf.DUMMYFUNCTION("IF(REGEXMATCH(TRIM(I7270), ""^\d+\s*min""), ""Unclassified"", IF(I7270 = """", ""NR"", I7270))"),"TV-14")</f>
        <v>TV-14</v>
      </c>
      <c r="R7270" s="5" t="str">
        <f t="shared" si="2"/>
        <v>Last</v>
      </c>
      <c r="S7270" s="5" t="str">
        <f>IFERROR(__xludf.DUMMYFUNCTION("""COMPUTED_VALUE"""),"The Honeymoon Stand Up Special")</f>
        <v>The Honeymoon Stand Up Special</v>
      </c>
      <c r="V7270" s="5"/>
      <c r="Y7270" s="5" t="str">
        <f>IFERROR(__xludf.DUMMYFUNCTION("REGEXEXTRACT(J7270, ""^\d+"")"),"1")</f>
        <v>1</v>
      </c>
      <c r="Z7270" s="5" t="str">
        <f>IFERROR(__xludf.DUMMYFUNCTION("REGEXEXTRACT(J7270, ""[A-Za-z ]+$"")")," Season")</f>
        <v> Season</v>
      </c>
      <c r="AA7270" s="5" t="str">
        <f>IFERROR(__xludf.DUMMYFUNCTION("IF(REGEXMATCH(Z7270, ""Season""), ""TV Show"", ""Movie"")"),"TV Show")</f>
        <v>TV Show</v>
      </c>
    </row>
    <row r="7271">
      <c r="A7271" s="1" t="s">
        <v>35604</v>
      </c>
      <c r="B7271" s="1" t="s">
        <v>27</v>
      </c>
      <c r="C7271" s="1" t="s">
        <v>35605</v>
      </c>
      <c r="D7271" s="1" t="s">
        <v>9934</v>
      </c>
      <c r="E7271" s="1" t="s">
        <v>35606</v>
      </c>
      <c r="F7271" s="1" t="s">
        <v>30</v>
      </c>
      <c r="G7271" s="1" t="s">
        <v>15789</v>
      </c>
      <c r="H7271" s="1">
        <v>2019.0</v>
      </c>
      <c r="I7271" s="1" t="s">
        <v>42</v>
      </c>
      <c r="J7271" s="1" t="s">
        <v>1144</v>
      </c>
      <c r="K7271" s="1" t="s">
        <v>4730</v>
      </c>
      <c r="L7271" s="1" t="s">
        <v>35607</v>
      </c>
      <c r="M7271" s="2" t="s">
        <v>12</v>
      </c>
      <c r="N7271" s="4">
        <f t="shared" si="1"/>
        <v>43901</v>
      </c>
      <c r="O7271" s="5" t="str">
        <f>IFERROR(__xludf.DUMMYFUNCTION("IF(REGEXMATCH(TRIM(I7271), ""^\d+\s*min""), ""Unclassified"", IF(I7271 = """", ""NR"", I7271))"),"TV-MA")</f>
        <v>TV-MA</v>
      </c>
      <c r="R7271" s="5" t="str">
        <f t="shared" si="2"/>
        <v>Last Ferry</v>
      </c>
      <c r="S7271" s="5" t="str">
        <f>IFERROR(__xludf.DUMMYFUNCTION("""COMPUTED_VALUE"""),"The Hook Up Plan")</f>
        <v>The Hook Up Plan</v>
      </c>
      <c r="V7271" s="5"/>
      <c r="Y7271" s="5" t="str">
        <f>IFERROR(__xludf.DUMMYFUNCTION("REGEXEXTRACT(J7271, ""^\d+"")"),"86")</f>
        <v>86</v>
      </c>
      <c r="Z7271" s="5" t="str">
        <f>IFERROR(__xludf.DUMMYFUNCTION("REGEXEXTRACT(J7271, ""[A-Za-z ]+$"")")," min")</f>
        <v> min</v>
      </c>
      <c r="AA7271" s="5" t="str">
        <f>IFERROR(__xludf.DUMMYFUNCTION("IF(REGEXMATCH(Z7271, ""Season""), ""TV Show"", ""Movie"")"),"Movie")</f>
        <v>Movie</v>
      </c>
    </row>
    <row r="7272">
      <c r="A7272" s="1" t="s">
        <v>35608</v>
      </c>
      <c r="B7272" s="1" t="s">
        <v>27</v>
      </c>
      <c r="C7272" s="1" t="s">
        <v>35609</v>
      </c>
      <c r="D7272" s="1" t="s">
        <v>12564</v>
      </c>
      <c r="E7272" s="1" t="s">
        <v>35610</v>
      </c>
      <c r="F7272" s="1" t="s">
        <v>35611</v>
      </c>
      <c r="G7272" s="1" t="s">
        <v>19813</v>
      </c>
      <c r="H7272" s="1">
        <v>2015.0</v>
      </c>
      <c r="I7272" s="1" t="s">
        <v>378</v>
      </c>
      <c r="J7272" s="1" t="s">
        <v>379</v>
      </c>
      <c r="K7272" s="1" t="s">
        <v>380</v>
      </c>
      <c r="L7272" s="1" t="s">
        <v>35612</v>
      </c>
      <c r="M7272" s="2" t="s">
        <v>12</v>
      </c>
      <c r="N7272" s="4">
        <f t="shared" si="1"/>
        <v>43678</v>
      </c>
      <c r="O7272" s="5" t="str">
        <f>IFERROR(__xludf.DUMMYFUNCTION("IF(REGEXMATCH(TRIM(I7272), ""^\d+\s*min""), ""Unclassified"", IF(I7272 = """", ""NR"", I7272))"),"R")</f>
        <v>R</v>
      </c>
      <c r="R7272" s="5" t="str">
        <f t="shared" si="2"/>
        <v>Last Knights</v>
      </c>
      <c r="S7272" s="5" t="str">
        <f>IFERROR(__xludf.DUMMYFUNCTION("""COMPUTED_VALUE"""),"The House Arrest Of Us")</f>
        <v>The House Arrest Of Us</v>
      </c>
      <c r="V7272" s="5"/>
      <c r="Y7272" s="5" t="str">
        <f>IFERROR(__xludf.DUMMYFUNCTION("REGEXEXTRACT(J7272, ""^\d+"")"),"115")</f>
        <v>115</v>
      </c>
      <c r="Z7272" s="5" t="str">
        <f>IFERROR(__xludf.DUMMYFUNCTION("REGEXEXTRACT(J7272, ""[A-Za-z ]+$"")")," min")</f>
        <v> min</v>
      </c>
      <c r="AA7272" s="5" t="str">
        <f>IFERROR(__xludf.DUMMYFUNCTION("IF(REGEXMATCH(Z7272, ""Season""), ""TV Show"", ""Movie"")"),"Movie")</f>
        <v>Movie</v>
      </c>
    </row>
    <row r="7273">
      <c r="A7273" s="1" t="s">
        <v>35613</v>
      </c>
      <c r="B7273" s="1" t="s">
        <v>27</v>
      </c>
      <c r="C7273" s="1" t="s">
        <v>35614</v>
      </c>
      <c r="D7273" s="1" t="s">
        <v>15112</v>
      </c>
      <c r="E7273" s="1" t="s">
        <v>35615</v>
      </c>
      <c r="F7273" s="1" t="s">
        <v>2321</v>
      </c>
      <c r="G7273" s="1" t="s">
        <v>22635</v>
      </c>
      <c r="H7273" s="1">
        <v>2010.0</v>
      </c>
      <c r="I7273" s="1" t="s">
        <v>378</v>
      </c>
      <c r="J7273" s="1" t="s">
        <v>454</v>
      </c>
      <c r="K7273" s="1" t="s">
        <v>1538</v>
      </c>
      <c r="L7273" s="1" t="s">
        <v>35616</v>
      </c>
      <c r="M7273" s="2" t="s">
        <v>12</v>
      </c>
      <c r="N7273" s="4">
        <f t="shared" si="1"/>
        <v>43466</v>
      </c>
      <c r="O7273" s="5" t="str">
        <f>IFERROR(__xludf.DUMMYFUNCTION("IF(REGEXMATCH(TRIM(I7273), ""^\d+\s*min""), ""Unclassified"", IF(I7273 = """", ""NR"", I7273))"),"R")</f>
        <v>R</v>
      </c>
      <c r="R7273" s="5" t="str">
        <f t="shared" si="2"/>
        <v>Last Night</v>
      </c>
      <c r="S7273" s="5" t="str">
        <f>IFERROR(__xludf.DUMMYFUNCTION("""COMPUTED_VALUE"""),"The House Next Door")</f>
        <v>The House Next Door</v>
      </c>
      <c r="V7273" s="5"/>
      <c r="Y7273" s="5" t="str">
        <f>IFERROR(__xludf.DUMMYFUNCTION("REGEXEXTRACT(J7273, ""^\d+"")"),"93")</f>
        <v>93</v>
      </c>
      <c r="Z7273" s="5" t="str">
        <f>IFERROR(__xludf.DUMMYFUNCTION("REGEXEXTRACT(J7273, ""[A-Za-z ]+$"")")," min")</f>
        <v> min</v>
      </c>
      <c r="AA7273" s="5" t="str">
        <f>IFERROR(__xludf.DUMMYFUNCTION("IF(REGEXMATCH(Z7273, ""Season""), ""TV Show"", ""Movie"")"),"Movie")</f>
        <v>Movie</v>
      </c>
    </row>
    <row r="7274">
      <c r="A7274" s="1" t="s">
        <v>35617</v>
      </c>
      <c r="B7274" s="1" t="s">
        <v>27</v>
      </c>
      <c r="C7274" s="1" t="s">
        <v>35618</v>
      </c>
      <c r="D7274" s="1" t="s">
        <v>5387</v>
      </c>
      <c r="E7274" s="1" t="s">
        <v>35619</v>
      </c>
      <c r="F7274" s="1" t="s">
        <v>664</v>
      </c>
      <c r="G7274" s="7">
        <v>43221.0</v>
      </c>
      <c r="H7274" s="1">
        <v>2017.0</v>
      </c>
      <c r="I7274" s="1" t="s">
        <v>97</v>
      </c>
      <c r="J7274" s="1" t="s">
        <v>941</v>
      </c>
      <c r="K7274" s="1" t="s">
        <v>520</v>
      </c>
      <c r="L7274" s="1" t="s">
        <v>35620</v>
      </c>
      <c r="M7274" s="2" t="s">
        <v>12</v>
      </c>
      <c r="N7274" s="4">
        <f t="shared" si="1"/>
        <v>43221</v>
      </c>
      <c r="O7274" s="5" t="str">
        <f>IFERROR(__xludf.DUMMYFUNCTION("IF(REGEXMATCH(TRIM(I7274), ""^\d+\s*min""), ""Unclassified"", IF(I7274 = """", ""NR"", I7274))"),"TV-14")</f>
        <v>TV-14</v>
      </c>
      <c r="R7274" s="5" t="str">
        <f t="shared" si="2"/>
        <v>Le K Benzema</v>
      </c>
      <c r="S7274" s="5" t="str">
        <f>IFERROR(__xludf.DUMMYFUNCTION("""COMPUTED_VALUE"""),"The House Of Flowers")</f>
        <v>The House Of Flowers</v>
      </c>
      <c r="V7274" s="5"/>
      <c r="Y7274" s="5" t="str">
        <f>IFERROR(__xludf.DUMMYFUNCTION("REGEXEXTRACT(J7274, ""^\d+"")"),"121")</f>
        <v>121</v>
      </c>
      <c r="Z7274" s="5" t="str">
        <f>IFERROR(__xludf.DUMMYFUNCTION("REGEXEXTRACT(J7274, ""[A-Za-z ]+$"")")," min")</f>
        <v> min</v>
      </c>
      <c r="AA7274" s="5" t="str">
        <f>IFERROR(__xludf.DUMMYFUNCTION("IF(REGEXMATCH(Z7274, ""Season""), ""TV Show"", ""Movie"")"),"Movie")</f>
        <v>Movie</v>
      </c>
    </row>
    <row r="7275">
      <c r="A7275" s="1" t="s">
        <v>35621</v>
      </c>
      <c r="B7275" s="1" t="s">
        <v>27</v>
      </c>
      <c r="C7275" s="1" t="s">
        <v>35622</v>
      </c>
      <c r="D7275" s="1" t="s">
        <v>7081</v>
      </c>
      <c r="F7275" s="1" t="s">
        <v>664</v>
      </c>
      <c r="G7275" s="7">
        <v>43586.0</v>
      </c>
      <c r="H7275" s="1">
        <v>2014.0</v>
      </c>
      <c r="I7275" s="1" t="s">
        <v>136</v>
      </c>
      <c r="J7275" s="1" t="s">
        <v>5941</v>
      </c>
      <c r="K7275" s="1" t="s">
        <v>156</v>
      </c>
      <c r="L7275" s="1" t="s">
        <v>35623</v>
      </c>
      <c r="M7275" s="2" t="s">
        <v>12</v>
      </c>
      <c r="N7275" s="4">
        <f t="shared" si="1"/>
        <v>43586</v>
      </c>
      <c r="O7275" s="5" t="str">
        <f>IFERROR(__xludf.DUMMYFUNCTION("IF(REGEXMATCH(TRIM(I7275), ""^\d+\s*min""), ""Unclassified"", IF(I7275 = """", ""NR"", I7275))"),"TV-PG")</f>
        <v>TV-PG</v>
      </c>
      <c r="R7275" s="5" t="str">
        <f t="shared" si="2"/>
        <v>Le Serment Des Hitler</v>
      </c>
      <c r="S7275" s="5" t="str">
        <f>IFERROR(__xludf.DUMMYFUNCTION("""COMPUTED_VALUE"""),"The House Of Flowers Presents: The Funeral")</f>
        <v>The House Of Flowers Presents: The Funeral</v>
      </c>
      <c r="V7275" s="5"/>
      <c r="Y7275" s="5" t="str">
        <f>IFERROR(__xludf.DUMMYFUNCTION("REGEXEXTRACT(J7275, ""^\d+"")"),"54")</f>
        <v>54</v>
      </c>
      <c r="Z7275" s="5" t="str">
        <f>IFERROR(__xludf.DUMMYFUNCTION("REGEXEXTRACT(J7275, ""[A-Za-z ]+$"")")," min")</f>
        <v> min</v>
      </c>
      <c r="AA7275" s="5" t="str">
        <f>IFERROR(__xludf.DUMMYFUNCTION("IF(REGEXMATCH(Z7275, ""Season""), ""TV Show"", ""Movie"")"),"Movie")</f>
        <v>Movie</v>
      </c>
    </row>
    <row r="7276">
      <c r="A7276" s="1" t="s">
        <v>35624</v>
      </c>
      <c r="B7276" s="1" t="s">
        <v>27</v>
      </c>
      <c r="C7276" s="1" t="s">
        <v>35625</v>
      </c>
      <c r="D7276" s="1" t="s">
        <v>1716</v>
      </c>
      <c r="E7276" s="1" t="s">
        <v>35626</v>
      </c>
      <c r="F7276" s="1" t="s">
        <v>34446</v>
      </c>
      <c r="G7276" s="1" t="s">
        <v>18015</v>
      </c>
      <c r="H7276" s="1">
        <v>2010.0</v>
      </c>
      <c r="I7276" s="1" t="s">
        <v>78</v>
      </c>
      <c r="J7276" s="1" t="s">
        <v>433</v>
      </c>
      <c r="K7276" s="1" t="s">
        <v>813</v>
      </c>
      <c r="L7276" s="1" t="s">
        <v>35627</v>
      </c>
      <c r="M7276" s="2" t="s">
        <v>12</v>
      </c>
      <c r="N7276" s="4">
        <f t="shared" si="1"/>
        <v>43784</v>
      </c>
      <c r="O7276" s="5" t="str">
        <f>IFERROR(__xludf.DUMMYFUNCTION("IF(REGEXMATCH(TRIM(I7276), ""^\d+\s*min""), ""Unclassified"", IF(I7276 = """", ""NR"", I7276))"),"PG")</f>
        <v>PG</v>
      </c>
      <c r="R7276" s="5" t="str">
        <f t="shared" si="2"/>
        <v>Leap Year</v>
      </c>
      <c r="S7276" s="5" t="str">
        <f>IFERROR(__xludf.DUMMYFUNCTION("""COMPUTED_VALUE"""),"The House Of Flowers: The Movie")</f>
        <v>The House Of Flowers: The Movie</v>
      </c>
      <c r="V7276" s="5"/>
      <c r="Y7276" s="5" t="str">
        <f>IFERROR(__xludf.DUMMYFUNCTION("REGEXEXTRACT(J7276, ""^\d+"")"),"100")</f>
        <v>100</v>
      </c>
      <c r="Z7276" s="5" t="str">
        <f>IFERROR(__xludf.DUMMYFUNCTION("REGEXEXTRACT(J7276, ""[A-Za-z ]+$"")")," min")</f>
        <v> min</v>
      </c>
      <c r="AA7276" s="5" t="str">
        <f>IFERROR(__xludf.DUMMYFUNCTION("IF(REGEXMATCH(Z7276, ""Season""), ""TV Show"", ""Movie"")"),"Movie")</f>
        <v>Movie</v>
      </c>
    </row>
    <row r="7277">
      <c r="A7277" s="1" t="s">
        <v>35628</v>
      </c>
      <c r="B7277" s="1" t="s">
        <v>27</v>
      </c>
      <c r="C7277" s="1" t="s">
        <v>35629</v>
      </c>
      <c r="D7277" s="1" t="s">
        <v>19834</v>
      </c>
      <c r="E7277" s="1" t="s">
        <v>35630</v>
      </c>
      <c r="F7277" s="1" t="s">
        <v>30</v>
      </c>
      <c r="G7277" s="1" t="s">
        <v>15037</v>
      </c>
      <c r="H7277" s="1">
        <v>2003.0</v>
      </c>
      <c r="I7277" s="1" t="s">
        <v>206</v>
      </c>
      <c r="J7277" s="1" t="s">
        <v>6142</v>
      </c>
      <c r="K7277" s="1" t="s">
        <v>80</v>
      </c>
      <c r="L7277" s="1" t="s">
        <v>35631</v>
      </c>
      <c r="M7277" s="2" t="s">
        <v>12</v>
      </c>
      <c r="N7277" s="4">
        <f t="shared" si="1"/>
        <v>43936</v>
      </c>
      <c r="O7277" s="5" t="str">
        <f>IFERROR(__xludf.DUMMYFUNCTION("IF(REGEXMATCH(TRIM(I7277), ""^\d+\s*min""), ""Unclassified"", IF(I7277 = """", ""NR"", I7277))"),"TV-Y")</f>
        <v>TV-Y</v>
      </c>
      <c r="R7277" s="5" t="str">
        <f t="shared" si="2"/>
        <v>Leapfrog: Letter Factory</v>
      </c>
      <c r="S7277" s="5" t="str">
        <f>IFERROR(__xludf.DUMMYFUNCTION("""COMPUTED_VALUE"""),"The House On Coco Road")</f>
        <v>The House On Coco Road</v>
      </c>
      <c r="V7277" s="5"/>
      <c r="Y7277" s="5" t="str">
        <f>IFERROR(__xludf.DUMMYFUNCTION("REGEXEXTRACT(J7277, ""^\d+"")"),"37")</f>
        <v>37</v>
      </c>
      <c r="Z7277" s="5" t="str">
        <f>IFERROR(__xludf.DUMMYFUNCTION("REGEXEXTRACT(J7277, ""[A-Za-z ]+$"")")," min")</f>
        <v> min</v>
      </c>
      <c r="AA7277" s="5" t="str">
        <f>IFERROR(__xludf.DUMMYFUNCTION("IF(REGEXMATCH(Z7277, ""Season""), ""TV Show"", ""Movie"")"),"Movie")</f>
        <v>Movie</v>
      </c>
    </row>
    <row r="7278">
      <c r="A7278" s="1" t="s">
        <v>35632</v>
      </c>
      <c r="B7278" s="1" t="s">
        <v>27</v>
      </c>
      <c r="C7278" s="1" t="s">
        <v>35633</v>
      </c>
      <c r="D7278" s="1" t="s">
        <v>19800</v>
      </c>
      <c r="E7278" s="1" t="s">
        <v>35634</v>
      </c>
      <c r="F7278" s="1" t="s">
        <v>30</v>
      </c>
      <c r="G7278" s="1" t="s">
        <v>15037</v>
      </c>
      <c r="H7278" s="1">
        <v>2011.0</v>
      </c>
      <c r="I7278" s="1" t="s">
        <v>206</v>
      </c>
      <c r="J7278" s="1" t="s">
        <v>5846</v>
      </c>
      <c r="K7278" s="1" t="s">
        <v>2032</v>
      </c>
      <c r="L7278" s="1" t="s">
        <v>35635</v>
      </c>
      <c r="M7278" s="2" t="s">
        <v>12</v>
      </c>
      <c r="N7278" s="4">
        <f t="shared" si="1"/>
        <v>43936</v>
      </c>
      <c r="O7278" s="5" t="str">
        <f>IFERROR(__xludf.DUMMYFUNCTION("IF(REGEXMATCH(TRIM(I7278), ""^\d+\s*min""), ""Unclassified"", IF(I7278 = """", ""NR"", I7278))"),"TV-Y")</f>
        <v>TV-Y</v>
      </c>
      <c r="R7278" s="5" t="str">
        <f t="shared" si="2"/>
        <v>Leapfrog: Numberland</v>
      </c>
      <c r="S7278" s="5" t="str">
        <f>IFERROR(__xludf.DUMMYFUNCTION("""COMPUTED_VALUE"""),"The House That Made Me")</f>
        <v>The House That Made Me</v>
      </c>
      <c r="V7278" s="5"/>
      <c r="Y7278" s="5" t="str">
        <f>IFERROR(__xludf.DUMMYFUNCTION("REGEXEXTRACT(J7278, ""^\d+"")"),"33")</f>
        <v>33</v>
      </c>
      <c r="Z7278" s="5" t="str">
        <f>IFERROR(__xludf.DUMMYFUNCTION("REGEXEXTRACT(J7278, ""[A-Za-z ]+$"")")," min")</f>
        <v> min</v>
      </c>
      <c r="AA7278" s="5" t="str">
        <f>IFERROR(__xludf.DUMMYFUNCTION("IF(REGEXMATCH(Z7278, ""Season""), ""TV Show"", ""Movie"")"),"Movie")</f>
        <v>Movie</v>
      </c>
    </row>
    <row r="7279">
      <c r="A7279" s="1" t="s">
        <v>35636</v>
      </c>
      <c r="B7279" s="1" t="s">
        <v>27</v>
      </c>
      <c r="C7279" s="1" t="s">
        <v>35637</v>
      </c>
      <c r="D7279" s="1" t="s">
        <v>19800</v>
      </c>
      <c r="E7279" s="1" t="s">
        <v>35634</v>
      </c>
      <c r="F7279" s="1" t="s">
        <v>30</v>
      </c>
      <c r="G7279" s="1" t="s">
        <v>15037</v>
      </c>
      <c r="H7279" s="1">
        <v>2011.0</v>
      </c>
      <c r="I7279" s="1" t="s">
        <v>206</v>
      </c>
      <c r="J7279" s="1" t="s">
        <v>5494</v>
      </c>
      <c r="K7279" s="1" t="s">
        <v>2032</v>
      </c>
      <c r="L7279" s="1" t="s">
        <v>35638</v>
      </c>
      <c r="M7279" s="2" t="s">
        <v>12</v>
      </c>
      <c r="N7279" s="4">
        <f t="shared" si="1"/>
        <v>43936</v>
      </c>
      <c r="O7279" s="5" t="str">
        <f>IFERROR(__xludf.DUMMYFUNCTION("IF(REGEXMATCH(TRIM(I7279), ""^\d+\s*min""), ""Unclassified"", IF(I7279 = """", ""NR"", I7279))"),"TV-Y")</f>
        <v>TV-Y</v>
      </c>
      <c r="R7279" s="5" t="str">
        <f t="shared" si="2"/>
        <v>Leapfrog: Phonics Farm</v>
      </c>
      <c r="S7279" s="5" t="str">
        <f>IFERROR(__xludf.DUMMYFUNCTION("""COMPUTED_VALUE"""),"The Houseboat")</f>
        <v>The Houseboat</v>
      </c>
      <c r="V7279" s="5"/>
      <c r="Y7279" s="5" t="str">
        <f>IFERROR(__xludf.DUMMYFUNCTION("REGEXEXTRACT(J7279, ""^\d+"")"),"35")</f>
        <v>35</v>
      </c>
      <c r="Z7279" s="5" t="str">
        <f>IFERROR(__xludf.DUMMYFUNCTION("REGEXEXTRACT(J7279, ""[A-Za-z ]+$"")")," min")</f>
        <v> min</v>
      </c>
      <c r="AA7279" s="5" t="str">
        <f>IFERROR(__xludf.DUMMYFUNCTION("IF(REGEXMATCH(Z7279, ""Season""), ""TV Show"", ""Movie"")"),"Movie")</f>
        <v>Movie</v>
      </c>
    </row>
    <row r="7280">
      <c r="A7280" s="1" t="s">
        <v>35639</v>
      </c>
      <c r="B7280" s="1" t="s">
        <v>27</v>
      </c>
      <c r="C7280" s="1" t="s">
        <v>35640</v>
      </c>
      <c r="D7280" s="1" t="s">
        <v>19800</v>
      </c>
      <c r="E7280" s="1" t="s">
        <v>35641</v>
      </c>
      <c r="G7280" s="1" t="s">
        <v>15037</v>
      </c>
      <c r="H7280" s="1">
        <v>2011.0</v>
      </c>
      <c r="I7280" s="1" t="s">
        <v>206</v>
      </c>
      <c r="J7280" s="1" t="s">
        <v>5362</v>
      </c>
      <c r="K7280" s="1" t="s">
        <v>80</v>
      </c>
      <c r="L7280" s="1" t="s">
        <v>35642</v>
      </c>
      <c r="M7280" s="2" t="s">
        <v>12</v>
      </c>
      <c r="N7280" s="4">
        <f t="shared" si="1"/>
        <v>43936</v>
      </c>
      <c r="O7280" s="5" t="str">
        <f>IFERROR(__xludf.DUMMYFUNCTION("IF(REGEXMATCH(TRIM(I7280), ""^\d+\s*min""), ""Unclassified"", IF(I7280 = """", ""NR"", I7280))"),"TV-Y")</f>
        <v>TV-Y</v>
      </c>
      <c r="R7280" s="5" t="str">
        <f t="shared" si="2"/>
        <v>Leapfrog: Sing-Along, Read-Along</v>
      </c>
      <c r="S7280" s="5" t="str">
        <f>IFERROR(__xludf.DUMMYFUNCTION("""COMPUTED_VALUE"""),"The Hows Of Us")</f>
        <v>The Hows Of Us</v>
      </c>
      <c r="V7280" s="5"/>
      <c r="Y7280" s="5" t="str">
        <f>IFERROR(__xludf.DUMMYFUNCTION("REGEXEXTRACT(J7280, ""^\d+"")"),"32")</f>
        <v>32</v>
      </c>
      <c r="Z7280" s="5" t="str">
        <f>IFERROR(__xludf.DUMMYFUNCTION("REGEXEXTRACT(J7280, ""[A-Za-z ]+$"")")," min")</f>
        <v> min</v>
      </c>
      <c r="AA7280" s="5" t="str">
        <f>IFERROR(__xludf.DUMMYFUNCTION("IF(REGEXMATCH(Z7280, ""Season""), ""TV Show"", ""Movie"")"),"Movie")</f>
        <v>Movie</v>
      </c>
    </row>
    <row r="7281">
      <c r="A7281" s="1" t="s">
        <v>35643</v>
      </c>
      <c r="B7281" s="1" t="s">
        <v>37</v>
      </c>
      <c r="C7281" s="1" t="s">
        <v>35644</v>
      </c>
      <c r="E7281" s="1" t="s">
        <v>35645</v>
      </c>
      <c r="F7281" s="1" t="s">
        <v>96</v>
      </c>
      <c r="G7281" s="7">
        <v>43966.0</v>
      </c>
      <c r="H7281" s="1">
        <v>2018.0</v>
      </c>
      <c r="I7281" s="1" t="s">
        <v>206</v>
      </c>
      <c r="J7281" s="1" t="s">
        <v>51</v>
      </c>
      <c r="K7281" s="1" t="s">
        <v>712</v>
      </c>
      <c r="L7281" s="1" t="s">
        <v>35646</v>
      </c>
      <c r="M7281" s="2" t="s">
        <v>12</v>
      </c>
      <c r="N7281" s="4">
        <f t="shared" si="1"/>
        <v>43966</v>
      </c>
      <c r="O7281" s="5" t="str">
        <f>IFERROR(__xludf.DUMMYFUNCTION("IF(REGEXMATCH(TRIM(I7281), ""^\d+\s*min""), ""Unclassified"", IF(I7281 = """", ""NR"", I7281))"),"TV-Y")</f>
        <v>TV-Y</v>
      </c>
      <c r="R7281" s="5" t="str">
        <f t="shared" si="2"/>
        <v>Learning Time With Timmy</v>
      </c>
      <c r="S7281" s="5" t="str">
        <f>IFERROR(__xludf.DUMMYFUNCTION("""COMPUTED_VALUE"""),"The Human Factor: The Untold Story Of The Bombay Film Orchestras")</f>
        <v>The Human Factor: The Untold Story Of The Bombay Film Orchestras</v>
      </c>
      <c r="V7281" s="5"/>
      <c r="Y7281" s="5" t="str">
        <f>IFERROR(__xludf.DUMMYFUNCTION("REGEXEXTRACT(J7281, ""^\d+"")"),"1")</f>
        <v>1</v>
      </c>
      <c r="Z7281" s="5" t="str">
        <f>IFERROR(__xludf.DUMMYFUNCTION("REGEXEXTRACT(J7281, ""[A-Za-z ]+$"")")," Season")</f>
        <v> Season</v>
      </c>
      <c r="AA7281" s="5" t="str">
        <f>IFERROR(__xludf.DUMMYFUNCTION("IF(REGEXMATCH(Z7281, ""Season""), ""TV Show"", ""Movie"")"),"TV Show")</f>
        <v>TV Show</v>
      </c>
    </row>
    <row r="7282">
      <c r="A7282" s="1" t="s">
        <v>35647</v>
      </c>
      <c r="B7282" s="1" t="s">
        <v>27</v>
      </c>
      <c r="C7282" s="1" t="s">
        <v>35648</v>
      </c>
      <c r="D7282" s="1" t="s">
        <v>2911</v>
      </c>
      <c r="E7282" s="1" t="s">
        <v>35649</v>
      </c>
      <c r="F7282" s="1" t="s">
        <v>63</v>
      </c>
      <c r="G7282" s="1" t="s">
        <v>24964</v>
      </c>
      <c r="H7282" s="1">
        <v>2017.0</v>
      </c>
      <c r="I7282" s="1" t="s">
        <v>42</v>
      </c>
      <c r="J7282" s="1" t="s">
        <v>229</v>
      </c>
      <c r="K7282" s="1" t="s">
        <v>6462</v>
      </c>
      <c r="L7282" s="1" t="s">
        <v>35650</v>
      </c>
      <c r="M7282" s="2" t="s">
        <v>12</v>
      </c>
      <c r="N7282" s="4">
        <f t="shared" si="1"/>
        <v>43313</v>
      </c>
      <c r="O7282" s="5" t="str">
        <f>IFERROR(__xludf.DUMMYFUNCTION("IF(REGEXMATCH(TRIM(I7282), ""^\d+\s*min""), ""Unclassified"", IF(I7282 = """", ""NR"", I7282))"),"TV-MA")</f>
        <v>TV-MA</v>
      </c>
      <c r="R7282" s="5" t="str">
        <f t="shared" si="2"/>
        <v>Lechmi</v>
      </c>
      <c r="S7282" s="5" t="str">
        <f>IFERROR(__xludf.DUMMYFUNCTION("""COMPUTED_VALUE"""),"The Humanity Bureau")</f>
        <v>The Humanity Bureau</v>
      </c>
      <c r="V7282" s="5"/>
      <c r="Y7282" s="5" t="str">
        <f>IFERROR(__xludf.DUMMYFUNCTION("REGEXEXTRACT(J7282, ""^\d+"")"),"147")</f>
        <v>147</v>
      </c>
      <c r="Z7282" s="5" t="str">
        <f>IFERROR(__xludf.DUMMYFUNCTION("REGEXEXTRACT(J7282, ""[A-Za-z ]+$"")")," min")</f>
        <v> min</v>
      </c>
      <c r="AA7282" s="5" t="str">
        <f>IFERROR(__xludf.DUMMYFUNCTION("IF(REGEXMATCH(Z7282, ""Season""), ""TV Show"", ""Movie"")"),"Movie")</f>
        <v>Movie</v>
      </c>
    </row>
    <row r="7283">
      <c r="A7283" s="1" t="s">
        <v>35651</v>
      </c>
      <c r="B7283" s="1" t="s">
        <v>27</v>
      </c>
      <c r="C7283" s="1" t="s">
        <v>35652</v>
      </c>
      <c r="D7283" s="1" t="s">
        <v>23171</v>
      </c>
      <c r="E7283" s="1" t="s">
        <v>35653</v>
      </c>
      <c r="F7283" s="1" t="s">
        <v>897</v>
      </c>
      <c r="G7283" s="1" t="s">
        <v>35654</v>
      </c>
      <c r="H7283" s="1">
        <v>2014.0</v>
      </c>
      <c r="I7283" s="1" t="s">
        <v>32</v>
      </c>
      <c r="J7283" s="1" t="s">
        <v>297</v>
      </c>
      <c r="K7283" s="1" t="s">
        <v>35655</v>
      </c>
      <c r="L7283" s="1" t="s">
        <v>35656</v>
      </c>
      <c r="M7283" s="2" t="s">
        <v>12</v>
      </c>
      <c r="N7283" s="4">
        <f t="shared" si="1"/>
        <v>43460</v>
      </c>
      <c r="O7283" s="5" t="str">
        <f>IFERROR(__xludf.DUMMYFUNCTION("IF(REGEXMATCH(TRIM(I7283), ""^\d+\s*min""), ""Unclassified"", IF(I7283 = """", ""NR"", I7283))"),"PG-13")</f>
        <v>PG-13</v>
      </c>
      <c r="R7283" s="5" t="str">
        <f t="shared" si="2"/>
        <v>Left Behind</v>
      </c>
      <c r="S7283" s="5" t="str">
        <f>IFERROR(__xludf.DUMMYFUNCTION("""COMPUTED_VALUE"""),"The Hummingbird Project")</f>
        <v>The Hummingbird Project</v>
      </c>
      <c r="V7283" s="5"/>
      <c r="Y7283" s="5" t="str">
        <f>IFERROR(__xludf.DUMMYFUNCTION("REGEXEXTRACT(J7283, ""^\d+"")"),"110")</f>
        <v>110</v>
      </c>
      <c r="Z7283" s="5" t="str">
        <f>IFERROR(__xludf.DUMMYFUNCTION("REGEXEXTRACT(J7283, ""[A-Za-z ]+$"")")," min")</f>
        <v> min</v>
      </c>
      <c r="AA7283" s="5" t="str">
        <f>IFERROR(__xludf.DUMMYFUNCTION("IF(REGEXMATCH(Z7283, ""Season""), ""TV Show"", ""Movie"")"),"Movie")</f>
        <v>Movie</v>
      </c>
    </row>
    <row r="7284">
      <c r="A7284" s="1" t="s">
        <v>35657</v>
      </c>
      <c r="B7284" s="1" t="s">
        <v>27</v>
      </c>
      <c r="C7284" s="1" t="s">
        <v>35658</v>
      </c>
      <c r="D7284" s="1" t="s">
        <v>5163</v>
      </c>
      <c r="E7284" s="1" t="s">
        <v>35659</v>
      </c>
      <c r="F7284" s="1" t="s">
        <v>5656</v>
      </c>
      <c r="G7284" s="1" t="s">
        <v>16947</v>
      </c>
      <c r="H7284" s="1">
        <v>2010.0</v>
      </c>
      <c r="I7284" s="1" t="s">
        <v>78</v>
      </c>
      <c r="J7284" s="1" t="s">
        <v>247</v>
      </c>
      <c r="K7284" s="1" t="s">
        <v>80</v>
      </c>
      <c r="L7284" s="1" t="s">
        <v>35660</v>
      </c>
      <c r="M7284" s="2" t="s">
        <v>12</v>
      </c>
      <c r="N7284" s="4">
        <f t="shared" si="1"/>
        <v>43831</v>
      </c>
      <c r="O7284" s="5" t="str">
        <f>IFERROR(__xludf.DUMMYFUNCTION("IF(REGEXMATCH(TRIM(I7284), ""^\d+\s*min""), ""Unclassified"", IF(I7284 = """", ""NR"", I7284))"),"PG")</f>
        <v>PG</v>
      </c>
      <c r="R7284" s="5" t="str">
        <f t="shared" si="2"/>
        <v>Legend Of The Guardians: The Owls Of Ga'Hoole</v>
      </c>
      <c r="S7284" s="5" t="str">
        <f>IFERROR(__xludf.DUMMYFUNCTION("""COMPUTED_VALUE"""),"The Hundred-Foot Journey")</f>
        <v>The Hundred-Foot Journey</v>
      </c>
      <c r="V7284" s="5"/>
      <c r="Y7284" s="5" t="str">
        <f>IFERROR(__xludf.DUMMYFUNCTION("REGEXEXTRACT(J7284, ""^\d+"")"),"97")</f>
        <v>97</v>
      </c>
      <c r="Z7284" s="5" t="str">
        <f>IFERROR(__xludf.DUMMYFUNCTION("REGEXEXTRACT(J7284, ""[A-Za-z ]+$"")")," min")</f>
        <v> min</v>
      </c>
      <c r="AA7284" s="5" t="str">
        <f>IFERROR(__xludf.DUMMYFUNCTION("IF(REGEXMATCH(Z7284, ""Season""), ""TV Show"", ""Movie"")"),"Movie")</f>
        <v>Movie</v>
      </c>
    </row>
    <row r="7285">
      <c r="A7285" s="1" t="s">
        <v>35661</v>
      </c>
      <c r="B7285" s="1" t="s">
        <v>27</v>
      </c>
      <c r="C7285" s="1" t="s">
        <v>35662</v>
      </c>
      <c r="D7285" s="1" t="s">
        <v>23766</v>
      </c>
      <c r="E7285" s="1" t="s">
        <v>35663</v>
      </c>
      <c r="F7285" s="1" t="s">
        <v>3892</v>
      </c>
      <c r="G7285" s="1" t="s">
        <v>25891</v>
      </c>
      <c r="H7285" s="1">
        <v>2017.0</v>
      </c>
      <c r="I7285" s="1" t="s">
        <v>42</v>
      </c>
      <c r="J7285" s="1" t="s">
        <v>912</v>
      </c>
      <c r="K7285" s="1" t="s">
        <v>13636</v>
      </c>
      <c r="L7285" s="1" t="s">
        <v>35664</v>
      </c>
      <c r="M7285" s="2" t="s">
        <v>12</v>
      </c>
      <c r="N7285" s="4">
        <f t="shared" si="1"/>
        <v>43189</v>
      </c>
      <c r="O7285" s="5" t="str">
        <f>IFERROR(__xludf.DUMMYFUNCTION("IF(REGEXMATCH(TRIM(I7285), ""^\d+\s*min""), ""Unclassified"", IF(I7285 = """", ""NR"", I7285))"),"TV-MA")</f>
        <v>TV-MA</v>
      </c>
      <c r="R7285" s="5" t="str">
        <f t="shared" si="2"/>
        <v>Legend Of The Naga Pearls</v>
      </c>
      <c r="S7285" s="5" t="str">
        <f>IFERROR(__xludf.DUMMYFUNCTION("""COMPUTED_VALUE"""),"The Hunt")</f>
        <v>The Hunt</v>
      </c>
      <c r="V7285" s="5"/>
      <c r="Y7285" s="5" t="str">
        <f>IFERROR(__xludf.DUMMYFUNCTION("REGEXEXTRACT(J7285, ""^\d+"")"),"108")</f>
        <v>108</v>
      </c>
      <c r="Z7285" s="5" t="str">
        <f>IFERROR(__xludf.DUMMYFUNCTION("REGEXEXTRACT(J7285, ""[A-Za-z ]+$"")")," min")</f>
        <v> min</v>
      </c>
      <c r="AA7285" s="5" t="str">
        <f>IFERROR(__xludf.DUMMYFUNCTION("IF(REGEXMATCH(Z7285, ""Season""), ""TV Show"", ""Movie"")"),"Movie")</f>
        <v>Movie</v>
      </c>
    </row>
    <row r="7286">
      <c r="A7286" s="1" t="s">
        <v>35665</v>
      </c>
      <c r="B7286" s="1" t="s">
        <v>27</v>
      </c>
      <c r="C7286" s="1" t="s">
        <v>35666</v>
      </c>
      <c r="D7286" s="1" t="s">
        <v>4575</v>
      </c>
      <c r="E7286" s="1" t="s">
        <v>35667</v>
      </c>
      <c r="F7286" s="1" t="s">
        <v>1119</v>
      </c>
      <c r="G7286" s="1" t="s">
        <v>24803</v>
      </c>
      <c r="H7286" s="1">
        <v>1982.0</v>
      </c>
      <c r="I7286" s="1" t="s">
        <v>97</v>
      </c>
      <c r="J7286" s="1" t="s">
        <v>1091</v>
      </c>
      <c r="K7286" s="1" t="s">
        <v>3459</v>
      </c>
      <c r="L7286" s="1" t="s">
        <v>35668</v>
      </c>
      <c r="M7286" s="2" t="s">
        <v>12</v>
      </c>
      <c r="N7286" s="4">
        <f t="shared" si="1"/>
        <v>43328</v>
      </c>
      <c r="O7286" s="5" t="str">
        <f>IFERROR(__xludf.DUMMYFUNCTION("IF(REGEXMATCH(TRIM(I7286), ""^\d+\s*min""), ""Unclassified"", IF(I7286 = """", ""NR"", I7286))"),"TV-14")</f>
        <v>TV-14</v>
      </c>
      <c r="R7286" s="5" t="str">
        <f t="shared" si="2"/>
        <v>Legendary Weapons Of China</v>
      </c>
      <c r="S7286" s="5" t="str">
        <f>IFERROR(__xludf.DUMMYFUNCTION("""COMPUTED_VALUE"""),"The Hurricane Heist")</f>
        <v>The Hurricane Heist</v>
      </c>
      <c r="V7286" s="5"/>
      <c r="Y7286" s="5" t="str">
        <f>IFERROR(__xludf.DUMMYFUNCTION("REGEXEXTRACT(J7286, ""^\d+"")"),"101")</f>
        <v>101</v>
      </c>
      <c r="Z7286" s="5" t="str">
        <f>IFERROR(__xludf.DUMMYFUNCTION("REGEXEXTRACT(J7286, ""[A-Za-z ]+$"")")," min")</f>
        <v> min</v>
      </c>
      <c r="AA7286" s="5" t="str">
        <f>IFERROR(__xludf.DUMMYFUNCTION("IF(REGEXMATCH(Z7286, ""Season""), ""TV Show"", ""Movie"")"),"Movie")</f>
        <v>Movie</v>
      </c>
    </row>
    <row r="7287">
      <c r="A7287" s="1" t="s">
        <v>35669</v>
      </c>
      <c r="B7287" s="1" t="s">
        <v>37</v>
      </c>
      <c r="C7287" s="1" t="s">
        <v>35670</v>
      </c>
      <c r="E7287" s="1" t="s">
        <v>35671</v>
      </c>
      <c r="F7287" s="1" t="s">
        <v>30</v>
      </c>
      <c r="G7287" s="1" t="s">
        <v>22428</v>
      </c>
      <c r="H7287" s="1">
        <v>2017.0</v>
      </c>
      <c r="I7287" s="1" t="s">
        <v>136</v>
      </c>
      <c r="J7287" s="1" t="s">
        <v>51</v>
      </c>
      <c r="K7287" s="1" t="s">
        <v>1261</v>
      </c>
      <c r="L7287" s="1" t="s">
        <v>35672</v>
      </c>
      <c r="M7287" s="2" t="s">
        <v>12</v>
      </c>
      <c r="N7287" s="4">
        <f t="shared" si="1"/>
        <v>43483</v>
      </c>
      <c r="O7287" s="5" t="str">
        <f>IFERROR(__xludf.DUMMYFUNCTION("IF(REGEXMATCH(TRIM(I7287), ""^\d+\s*min""), ""Unclassified"", IF(I7287 = """", ""NR"", I7287))"),"TV-PG")</f>
        <v>TV-PG</v>
      </c>
      <c r="R7287" s="5" t="str">
        <f t="shared" si="2"/>
        <v>Legends Of Strength</v>
      </c>
      <c r="S7287" s="5" t="str">
        <f>IFERROR(__xludf.DUMMYFUNCTION("""COMPUTED_VALUE"""),"The Hurt Business")</f>
        <v>The Hurt Business</v>
      </c>
      <c r="V7287" s="5"/>
      <c r="Y7287" s="5" t="str">
        <f>IFERROR(__xludf.DUMMYFUNCTION("REGEXEXTRACT(J7287, ""^\d+"")"),"1")</f>
        <v>1</v>
      </c>
      <c r="Z7287" s="5" t="str">
        <f>IFERROR(__xludf.DUMMYFUNCTION("REGEXEXTRACT(J7287, ""[A-Za-z ]+$"")")," Season")</f>
        <v> Season</v>
      </c>
      <c r="AA7287" s="5" t="str">
        <f>IFERROR(__xludf.DUMMYFUNCTION("IF(REGEXMATCH(Z7287, ""Season""), ""TV Show"", ""Movie"")"),"TV Show")</f>
        <v>TV Show</v>
      </c>
    </row>
    <row r="7288">
      <c r="A7288" s="1" t="s">
        <v>35673</v>
      </c>
      <c r="B7288" s="1" t="s">
        <v>27</v>
      </c>
      <c r="C7288" s="1" t="s">
        <v>35674</v>
      </c>
      <c r="D7288" s="1" t="s">
        <v>244</v>
      </c>
      <c r="E7288" s="1" t="s">
        <v>35675</v>
      </c>
      <c r="F7288" s="1" t="s">
        <v>30</v>
      </c>
      <c r="G7288" s="1" t="s">
        <v>18333</v>
      </c>
      <c r="H7288" s="1">
        <v>2010.0</v>
      </c>
      <c r="I7288" s="1" t="s">
        <v>378</v>
      </c>
      <c r="J7288" s="1" t="s">
        <v>433</v>
      </c>
      <c r="K7288" s="1" t="s">
        <v>2167</v>
      </c>
      <c r="L7288" s="1" t="s">
        <v>35676</v>
      </c>
      <c r="M7288" s="2" t="s">
        <v>12</v>
      </c>
      <c r="N7288" s="4">
        <f t="shared" si="1"/>
        <v>43770</v>
      </c>
      <c r="O7288" s="5" t="str">
        <f>IFERROR(__xludf.DUMMYFUNCTION("IF(REGEXMATCH(TRIM(I7288), ""^\d+\s*min""), ""Unclassified"", IF(I7288 = """", ""NR"", I7288))"),"R")</f>
        <v>R</v>
      </c>
      <c r="R7288" s="5" t="str">
        <f t="shared" si="2"/>
        <v>Legion</v>
      </c>
      <c r="S7288" s="5" t="str">
        <f>IFERROR(__xludf.DUMMYFUNCTION("""COMPUTED_VALUE"""),"The I-Land")</f>
        <v>The I-Land</v>
      </c>
      <c r="V7288" s="5"/>
      <c r="Y7288" s="5" t="str">
        <f>IFERROR(__xludf.DUMMYFUNCTION("REGEXEXTRACT(J7288, ""^\d+"")"),"100")</f>
        <v>100</v>
      </c>
      <c r="Z7288" s="5" t="str">
        <f>IFERROR(__xludf.DUMMYFUNCTION("REGEXEXTRACT(J7288, ""[A-Za-z ]+$"")")," min")</f>
        <v> min</v>
      </c>
      <c r="AA7288" s="5" t="str">
        <f>IFERROR(__xludf.DUMMYFUNCTION("IF(REGEXMATCH(Z7288, ""Season""), ""TV Show"", ""Movie"")"),"Movie")</f>
        <v>Movie</v>
      </c>
    </row>
    <row r="7289">
      <c r="A7289" s="1" t="s">
        <v>35677</v>
      </c>
      <c r="B7289" s="1" t="s">
        <v>37</v>
      </c>
      <c r="C7289" s="1" t="s">
        <v>35678</v>
      </c>
      <c r="E7289" s="1" t="s">
        <v>35679</v>
      </c>
      <c r="G7289" s="1" t="s">
        <v>32682</v>
      </c>
      <c r="H7289" s="1">
        <v>2017.0</v>
      </c>
      <c r="I7289" s="1" t="s">
        <v>506</v>
      </c>
      <c r="J7289" s="1" t="s">
        <v>276</v>
      </c>
      <c r="K7289" s="1" t="s">
        <v>290</v>
      </c>
      <c r="L7289" s="1" t="s">
        <v>35680</v>
      </c>
      <c r="M7289" s="2" t="s">
        <v>12</v>
      </c>
      <c r="N7289" s="1" t="str">
        <f t="shared" si="1"/>
        <v>#N/A</v>
      </c>
      <c r="O7289" s="5" t="str">
        <f>IFERROR(__xludf.DUMMYFUNCTION("IF(REGEXMATCH(TRIM(I7289), ""^\d+\s*min""), ""Unclassified"", IF(I7289 = """", ""NR"", I7289))"),"TV-G")</f>
        <v>TV-G</v>
      </c>
      <c r="R7289" s="5" t="str">
        <f t="shared" si="2"/>
        <v>Lego Friends</v>
      </c>
      <c r="S7289" s="5" t="str">
        <f>IFERROR(__xludf.DUMMYFUNCTION("""COMPUTED_VALUE"""),"The Ice Road")</f>
        <v>The Ice Road</v>
      </c>
      <c r="V7289" s="5"/>
      <c r="Y7289" s="5" t="str">
        <f>IFERROR(__xludf.DUMMYFUNCTION("REGEXEXTRACT(J7289, ""^\d+"")"),"3")</f>
        <v>3</v>
      </c>
      <c r="Z7289" s="5" t="str">
        <f>IFERROR(__xludf.DUMMYFUNCTION("REGEXEXTRACT(J7289, ""[A-Za-z ]+$"")")," Seasons")</f>
        <v> Seasons</v>
      </c>
      <c r="AA7289" s="5" t="str">
        <f>IFERROR(__xludf.DUMMYFUNCTION("IF(REGEXMATCH(Z7289, ""Season""), ""TV Show"", ""Movie"")"),"TV Show")</f>
        <v>TV Show</v>
      </c>
    </row>
    <row r="7290">
      <c r="A7290" s="1" t="s">
        <v>35681</v>
      </c>
      <c r="B7290" s="1" t="s">
        <v>37</v>
      </c>
      <c r="C7290" s="1" t="s">
        <v>35682</v>
      </c>
      <c r="D7290" s="1" t="s">
        <v>1967</v>
      </c>
      <c r="E7290" s="1" t="s">
        <v>35683</v>
      </c>
      <c r="F7290" s="1" t="s">
        <v>4478</v>
      </c>
      <c r="G7290" s="1" t="s">
        <v>22239</v>
      </c>
      <c r="H7290" s="1">
        <v>2018.0</v>
      </c>
      <c r="I7290" s="1" t="s">
        <v>206</v>
      </c>
      <c r="J7290" s="1" t="s">
        <v>51</v>
      </c>
      <c r="K7290" s="1" t="s">
        <v>290</v>
      </c>
      <c r="L7290" s="1" t="s">
        <v>35684</v>
      </c>
      <c r="M7290" s="2" t="s">
        <v>12</v>
      </c>
      <c r="N7290" s="4">
        <f t="shared" si="1"/>
        <v>43497</v>
      </c>
      <c r="O7290" s="5" t="str">
        <f>IFERROR(__xludf.DUMMYFUNCTION("IF(REGEXMATCH(TRIM(I7290), ""^\d+\s*min""), ""Unclassified"", IF(I7290 = """", ""NR"", I7290))"),"TV-Y")</f>
        <v>TV-Y</v>
      </c>
      <c r="R7290" s="5" t="str">
        <f t="shared" si="2"/>
        <v>Lego Friends: Girls On A Mission</v>
      </c>
      <c r="S7290" s="5" t="str">
        <f>IFERROR(__xludf.DUMMYFUNCTION("""COMPUTED_VALUE"""),"The Idhun Chronicles")</f>
        <v>The Idhun Chronicles</v>
      </c>
      <c r="V7290" s="5"/>
      <c r="Y7290" s="5" t="str">
        <f>IFERROR(__xludf.DUMMYFUNCTION("REGEXEXTRACT(J7290, ""^\d+"")"),"1")</f>
        <v>1</v>
      </c>
      <c r="Z7290" s="5" t="str">
        <f>IFERROR(__xludf.DUMMYFUNCTION("REGEXEXTRACT(J7290, ""[A-Za-z ]+$"")")," Season")</f>
        <v> Season</v>
      </c>
      <c r="AA7290" s="5" t="str">
        <f>IFERROR(__xludf.DUMMYFUNCTION("IF(REGEXMATCH(Z7290, ""Season""), ""TV Show"", ""Movie"")"),"TV Show")</f>
        <v>TV Show</v>
      </c>
    </row>
    <row r="7291">
      <c r="A7291" s="1" t="s">
        <v>35685</v>
      </c>
      <c r="B7291" s="1" t="s">
        <v>27</v>
      </c>
      <c r="C7291" s="1" t="s">
        <v>35686</v>
      </c>
      <c r="D7291" s="1" t="s">
        <v>1744</v>
      </c>
      <c r="E7291" s="1" t="s">
        <v>31627</v>
      </c>
      <c r="G7291" s="1" t="s">
        <v>25333</v>
      </c>
      <c r="H7291" s="1">
        <v>2018.0</v>
      </c>
      <c r="I7291" s="1" t="s">
        <v>506</v>
      </c>
      <c r="J7291" s="1" t="s">
        <v>575</v>
      </c>
      <c r="K7291" s="1" t="s">
        <v>156</v>
      </c>
      <c r="L7291" s="1" t="s">
        <v>35687</v>
      </c>
      <c r="M7291" s="2" t="s">
        <v>12</v>
      </c>
      <c r="N7291" s="4">
        <f t="shared" si="1"/>
        <v>43266</v>
      </c>
      <c r="O7291" s="5" t="str">
        <f>IFERROR(__xludf.DUMMYFUNCTION("IF(REGEXMATCH(TRIM(I7291), ""^\d+\s*min""), ""Unclassified"", IF(I7291 = """", ""NR"", I7291))"),"TV-G")</f>
        <v>TV-G</v>
      </c>
      <c r="R7291" s="5" t="str">
        <f t="shared" si="2"/>
        <v>Lego House - Home Of The Brick</v>
      </c>
      <c r="S7291" s="5" t="str">
        <f>IFERROR(__xludf.DUMMYFUNCTION("""COMPUTED_VALUE"""),"The Iliza Shlesinger Sketch Show")</f>
        <v>The Iliza Shlesinger Sketch Show</v>
      </c>
      <c r="V7291" s="5"/>
      <c r="Y7291" s="5" t="str">
        <f>IFERROR(__xludf.DUMMYFUNCTION("REGEXEXTRACT(J7291, ""^\d+"")"),"48")</f>
        <v>48</v>
      </c>
      <c r="Z7291" s="5" t="str">
        <f>IFERROR(__xludf.DUMMYFUNCTION("REGEXEXTRACT(J7291, ""[A-Za-z ]+$"")")," min")</f>
        <v> min</v>
      </c>
      <c r="AA7291" s="5" t="str">
        <f>IFERROR(__xludf.DUMMYFUNCTION("IF(REGEXMATCH(Z7291, ""Season""), ""TV Show"", ""Movie"")"),"Movie")</f>
        <v>Movie</v>
      </c>
    </row>
    <row r="7292">
      <c r="A7292" s="1" t="s">
        <v>35688</v>
      </c>
      <c r="B7292" s="1" t="s">
        <v>27</v>
      </c>
      <c r="C7292" s="1" t="s">
        <v>35689</v>
      </c>
      <c r="F7292" s="1" t="s">
        <v>35690</v>
      </c>
      <c r="G7292" s="1" t="s">
        <v>22239</v>
      </c>
      <c r="H7292" s="1">
        <v>2016.0</v>
      </c>
      <c r="I7292" s="1" t="s">
        <v>32769</v>
      </c>
      <c r="J7292" s="1" t="s">
        <v>10890</v>
      </c>
      <c r="K7292" s="1" t="s">
        <v>35691</v>
      </c>
      <c r="L7292" s="1" t="s">
        <v>35692</v>
      </c>
      <c r="M7292" s="2" t="s">
        <v>12</v>
      </c>
      <c r="N7292" s="4">
        <f t="shared" si="1"/>
        <v>43497</v>
      </c>
      <c r="O7292" s="5" t="str">
        <f>IFERROR(__xludf.DUMMYFUNCTION("IF(REGEXMATCH(TRIM(I7292), ""^\d+\s*min""), ""Unclassified"", IF(I7292 = """", ""NR"", I7292))"),"TV-Y7-FV")</f>
        <v>TV-Y7-FV</v>
      </c>
      <c r="R7292" s="5" t="str">
        <f t="shared" si="2"/>
        <v>Lego Ninjago: Masters Of Spinjitzu: Day Of The Departed</v>
      </c>
      <c r="S7292" s="5" t="str">
        <f>IFERROR(__xludf.DUMMYFUNCTION("""COMPUTED_VALUE"""),"The Imaginarium Of Doctor Parnassus")</f>
        <v>The Imaginarium Of Doctor Parnassus</v>
      </c>
      <c r="V7292" s="5"/>
      <c r="Y7292" s="5" t="str">
        <f>IFERROR(__xludf.DUMMYFUNCTION("REGEXEXTRACT(J7292, ""^\d+"")"),"44")</f>
        <v>44</v>
      </c>
      <c r="Z7292" s="5" t="str">
        <f>IFERROR(__xludf.DUMMYFUNCTION("REGEXEXTRACT(J7292, ""[A-Za-z ]+$"")")," min")</f>
        <v> min</v>
      </c>
      <c r="AA7292" s="5" t="str">
        <f>IFERROR(__xludf.DUMMYFUNCTION("IF(REGEXMATCH(Z7292, ""Season""), ""TV Show"", ""Movie"")"),"Movie")</f>
        <v>Movie</v>
      </c>
    </row>
    <row r="7293">
      <c r="A7293" s="1" t="s">
        <v>35693</v>
      </c>
      <c r="B7293" s="1" t="s">
        <v>37</v>
      </c>
      <c r="C7293" s="1" t="s">
        <v>35694</v>
      </c>
      <c r="E7293" s="1" t="s">
        <v>35695</v>
      </c>
      <c r="G7293" s="1" t="s">
        <v>35696</v>
      </c>
      <c r="H7293" s="1">
        <v>2017.0</v>
      </c>
      <c r="I7293" s="1" t="s">
        <v>206</v>
      </c>
      <c r="J7293" s="1" t="s">
        <v>51</v>
      </c>
      <c r="K7293" s="1" t="s">
        <v>290</v>
      </c>
      <c r="L7293" s="1" t="s">
        <v>35697</v>
      </c>
      <c r="M7293" s="2" t="s">
        <v>12</v>
      </c>
      <c r="N7293" s="4">
        <f t="shared" si="1"/>
        <v>43332</v>
      </c>
      <c r="O7293" s="5" t="str">
        <f>IFERROR(__xludf.DUMMYFUNCTION("IF(REGEXMATCH(TRIM(I7293), ""^\d+\s*min""), ""Unclassified"", IF(I7293 = """", ""NR"", I7293))"),"TV-Y")</f>
        <v>TV-Y</v>
      </c>
      <c r="R7293" s="5" t="str">
        <f t="shared" si="2"/>
        <v>Leo &amp; Tig</v>
      </c>
      <c r="S7293" s="5" t="str">
        <f>IFERROR(__xludf.DUMMYFUNCTION("""COMPUTED_VALUE"""),"The Impossible")</f>
        <v>The Impossible</v>
      </c>
      <c r="V7293" s="5"/>
      <c r="Y7293" s="5" t="str">
        <f>IFERROR(__xludf.DUMMYFUNCTION("REGEXEXTRACT(J7293, ""^\d+"")"),"1")</f>
        <v>1</v>
      </c>
      <c r="Z7293" s="5" t="str">
        <f>IFERROR(__xludf.DUMMYFUNCTION("REGEXEXTRACT(J7293, ""[A-Za-z ]+$"")")," Season")</f>
        <v> Season</v>
      </c>
      <c r="AA7293" s="5" t="str">
        <f>IFERROR(__xludf.DUMMYFUNCTION("IF(REGEXMATCH(Z7293, ""Season""), ""TV Show"", ""Movie"")"),"TV Show")</f>
        <v>TV Show</v>
      </c>
    </row>
    <row r="7294">
      <c r="A7294" s="1" t="s">
        <v>35698</v>
      </c>
      <c r="B7294" s="1" t="s">
        <v>27</v>
      </c>
      <c r="C7294" s="1" t="s">
        <v>35699</v>
      </c>
      <c r="D7294" s="1" t="s">
        <v>14766</v>
      </c>
      <c r="E7294" s="1" t="s">
        <v>35700</v>
      </c>
      <c r="F7294" s="1" t="s">
        <v>9402</v>
      </c>
      <c r="G7294" s="1" t="s">
        <v>35701</v>
      </c>
      <c r="H7294" s="1">
        <v>2013.0</v>
      </c>
      <c r="I7294" s="1" t="s">
        <v>32769</v>
      </c>
      <c r="J7294" s="1" t="s">
        <v>1737</v>
      </c>
      <c r="K7294" s="1" t="s">
        <v>137</v>
      </c>
      <c r="L7294" s="1" t="s">
        <v>35702</v>
      </c>
      <c r="M7294" s="2" t="s">
        <v>12</v>
      </c>
      <c r="N7294" s="4">
        <f t="shared" si="1"/>
        <v>42358</v>
      </c>
      <c r="O7294" s="5" t="str">
        <f>IFERROR(__xludf.DUMMYFUNCTION("IF(REGEXMATCH(TRIM(I7294), ""^\d+\s*min""), ""Unclassified"", IF(I7294 = """", ""NR"", I7294))"),"TV-Y7-FV")</f>
        <v>TV-Y7-FV</v>
      </c>
      <c r="R7294" s="5" t="str">
        <f t="shared" si="2"/>
        <v>Leo The Lion</v>
      </c>
      <c r="S7294" s="5" t="str">
        <f>IFERROR(__xludf.DUMMYFUNCTION("""COMPUTED_VALUE"""),"The In-Laws")</f>
        <v>The In-Laws</v>
      </c>
      <c r="V7294" s="5"/>
      <c r="Y7294" s="5" t="str">
        <f>IFERROR(__xludf.DUMMYFUNCTION("REGEXEXTRACT(J7294, ""^\d+"")"),"78")</f>
        <v>78</v>
      </c>
      <c r="Z7294" s="5" t="str">
        <f>IFERROR(__xludf.DUMMYFUNCTION("REGEXEXTRACT(J7294, ""[A-Za-z ]+$"")")," min")</f>
        <v> min</v>
      </c>
      <c r="AA7294" s="5" t="str">
        <f>IFERROR(__xludf.DUMMYFUNCTION("IF(REGEXMATCH(Z7294, ""Season""), ""TV Show"", ""Movie"")"),"Movie")</f>
        <v>Movie</v>
      </c>
    </row>
    <row r="7295">
      <c r="A7295" s="1" t="s">
        <v>35703</v>
      </c>
      <c r="B7295" s="1" t="s">
        <v>27</v>
      </c>
      <c r="C7295" s="1" t="s">
        <v>35704</v>
      </c>
      <c r="D7295" s="1" t="s">
        <v>17624</v>
      </c>
      <c r="F7295" s="1" t="s">
        <v>664</v>
      </c>
      <c r="G7295" s="1" t="s">
        <v>28500</v>
      </c>
      <c r="H7295" s="1">
        <v>2016.0</v>
      </c>
      <c r="I7295" s="1" t="s">
        <v>42</v>
      </c>
      <c r="J7295" s="1" t="s">
        <v>238</v>
      </c>
      <c r="K7295" s="1" t="s">
        <v>520</v>
      </c>
      <c r="L7295" s="1" t="s">
        <v>35705</v>
      </c>
      <c r="M7295" s="2" t="s">
        <v>12</v>
      </c>
      <c r="N7295" s="4">
        <f t="shared" si="1"/>
        <v>42809</v>
      </c>
      <c r="O7295" s="5" t="str">
        <f>IFERROR(__xludf.DUMMYFUNCTION("IF(REGEXMATCH(TRIM(I7295), ""^\d+\s*min""), ""Unclassified"", IF(I7295 = """", ""NR"", I7295))"),"TV-MA")</f>
        <v>TV-MA</v>
      </c>
      <c r="R7295" s="5" t="str">
        <f t="shared" si="2"/>
        <v>Les Bleus - Une Autre Histoire De France, 1996-2016</v>
      </c>
      <c r="S7295" s="5" t="str">
        <f>IFERROR(__xludf.DUMMYFUNCTION("""COMPUTED_VALUE"""),"The Inbestigators")</f>
        <v>The Inbestigators</v>
      </c>
      <c r="V7295" s="5"/>
      <c r="Y7295" s="5" t="str">
        <f>IFERROR(__xludf.DUMMYFUNCTION("REGEXEXTRACT(J7295, ""^\d+"")"),"103")</f>
        <v>103</v>
      </c>
      <c r="Z7295" s="5" t="str">
        <f>IFERROR(__xludf.DUMMYFUNCTION("REGEXEXTRACT(J7295, ""[A-Za-z ]+$"")")," min")</f>
        <v> min</v>
      </c>
      <c r="AA7295" s="5" t="str">
        <f>IFERROR(__xludf.DUMMYFUNCTION("IF(REGEXMATCH(Z7295, ""Season""), ""TV Show"", ""Movie"")"),"Movie")</f>
        <v>Movie</v>
      </c>
    </row>
    <row r="7296">
      <c r="A7296" s="1" t="s">
        <v>35706</v>
      </c>
      <c r="B7296" s="1" t="s">
        <v>27</v>
      </c>
      <c r="C7296" s="1" t="s">
        <v>35707</v>
      </c>
      <c r="D7296" s="1" t="s">
        <v>11349</v>
      </c>
      <c r="E7296" s="1" t="s">
        <v>35708</v>
      </c>
      <c r="F7296" s="1" t="s">
        <v>30</v>
      </c>
      <c r="G7296" s="1" t="s">
        <v>28421</v>
      </c>
      <c r="H7296" s="1">
        <v>1946.0</v>
      </c>
      <c r="I7296" s="1" t="s">
        <v>136</v>
      </c>
      <c r="J7296" s="1" t="s">
        <v>4693</v>
      </c>
      <c r="K7296" s="1" t="s">
        <v>35403</v>
      </c>
      <c r="L7296" s="1" t="s">
        <v>35709</v>
      </c>
      <c r="M7296" s="2" t="s">
        <v>12</v>
      </c>
      <c r="N7296" s="4">
        <f t="shared" si="1"/>
        <v>42825</v>
      </c>
      <c r="O7296" s="5" t="str">
        <f>IFERROR(__xludf.DUMMYFUNCTION("IF(REGEXMATCH(TRIM(I7296), ""^\d+\s*min""), ""Unclassified"", IF(I7296 = """", ""NR"", I7296))"),"TV-PG")</f>
        <v>TV-PG</v>
      </c>
      <c r="R7296" s="5" t="str">
        <f t="shared" si="2"/>
        <v>Let There Be Light</v>
      </c>
      <c r="S7296" s="5" t="str">
        <f>IFERROR(__xludf.DUMMYFUNCTION("""COMPUTED_VALUE"""),"The Inbetweeners")</f>
        <v>The Inbetweeners</v>
      </c>
      <c r="V7296" s="5"/>
      <c r="Y7296" s="5" t="str">
        <f>IFERROR(__xludf.DUMMYFUNCTION("REGEXEXTRACT(J7296, ""^\d+"")"),"58")</f>
        <v>58</v>
      </c>
      <c r="Z7296" s="5" t="str">
        <f>IFERROR(__xludf.DUMMYFUNCTION("REGEXEXTRACT(J7296, ""[A-Za-z ]+$"")")," min")</f>
        <v> min</v>
      </c>
      <c r="AA7296" s="5" t="str">
        <f>IFERROR(__xludf.DUMMYFUNCTION("IF(REGEXMATCH(Z7296, ""Season""), ""TV Show"", ""Movie"")"),"Movie")</f>
        <v>Movie</v>
      </c>
    </row>
    <row r="7297">
      <c r="A7297" s="1" t="s">
        <v>35710</v>
      </c>
      <c r="B7297" s="1" t="s">
        <v>37</v>
      </c>
      <c r="C7297" s="1" t="s">
        <v>35711</v>
      </c>
      <c r="D7297" s="1" t="s">
        <v>17311</v>
      </c>
      <c r="E7297" s="1" t="s">
        <v>35712</v>
      </c>
      <c r="F7297" s="1" t="s">
        <v>188</v>
      </c>
      <c r="G7297" s="1" t="s">
        <v>28307</v>
      </c>
      <c r="H7297" s="1">
        <v>2014.0</v>
      </c>
      <c r="I7297" s="1" t="s">
        <v>42</v>
      </c>
      <c r="J7297" s="1" t="s">
        <v>276</v>
      </c>
      <c r="K7297" s="1" t="s">
        <v>64</v>
      </c>
      <c r="L7297" s="1" t="s">
        <v>35713</v>
      </c>
      <c r="M7297" s="2" t="s">
        <v>12</v>
      </c>
      <c r="N7297" s="4">
        <f t="shared" si="1"/>
        <v>42840</v>
      </c>
      <c r="O7297" s="5" t="str">
        <f>IFERROR(__xludf.DUMMYFUNCTION("IF(REGEXMATCH(TRIM(I7297), ""^\d+\s*min""), ""Unclassified"", IF(I7297 = """", ""NR"", I7297))"),"TV-MA")</f>
        <v>TV-MA</v>
      </c>
      <c r="R7297" s="5" t="str">
        <f t="shared" si="2"/>
        <v>Leyla And Mecnun</v>
      </c>
      <c r="S7297" s="5" t="str">
        <f>IFERROR(__xludf.DUMMYFUNCTION("""COMPUTED_VALUE"""),"The Incident")</f>
        <v>The Incident</v>
      </c>
      <c r="V7297" s="5"/>
      <c r="Y7297" s="5" t="str">
        <f>IFERROR(__xludf.DUMMYFUNCTION("REGEXEXTRACT(J7297, ""^\d+"")"),"3")</f>
        <v>3</v>
      </c>
      <c r="Z7297" s="5" t="str">
        <f>IFERROR(__xludf.DUMMYFUNCTION("REGEXEXTRACT(J7297, ""[A-Za-z ]+$"")")," Seasons")</f>
        <v> Seasons</v>
      </c>
      <c r="AA7297" s="5" t="str">
        <f>IFERROR(__xludf.DUMMYFUNCTION("IF(REGEXMATCH(Z7297, ""Season""), ""TV Show"", ""Movie"")"),"TV Show")</f>
        <v>TV Show</v>
      </c>
    </row>
    <row r="7298">
      <c r="A7298" s="1" t="s">
        <v>35714</v>
      </c>
      <c r="B7298" s="1" t="s">
        <v>27</v>
      </c>
      <c r="C7298" s="1" t="s">
        <v>35715</v>
      </c>
      <c r="D7298" s="1" t="s">
        <v>10694</v>
      </c>
      <c r="E7298" s="1" t="s">
        <v>35716</v>
      </c>
      <c r="F7298" s="1" t="s">
        <v>30</v>
      </c>
      <c r="G7298" s="1" t="s">
        <v>22190</v>
      </c>
      <c r="H7298" s="1">
        <v>2018.0</v>
      </c>
      <c r="I7298" s="1" t="s">
        <v>97</v>
      </c>
      <c r="J7298" s="1" t="s">
        <v>33</v>
      </c>
      <c r="K7298" s="1" t="s">
        <v>30414</v>
      </c>
      <c r="L7298" s="1" t="s">
        <v>35717</v>
      </c>
      <c r="M7298" s="2" t="s">
        <v>12</v>
      </c>
      <c r="N7298" s="4">
        <f t="shared" si="1"/>
        <v>43503</v>
      </c>
      <c r="O7298" s="5" t="str">
        <f>IFERROR(__xludf.DUMMYFUNCTION("IF(REGEXMATCH(TRIM(I7298), ""^\d+\s*min""), ""Unclassified"", IF(I7298 = """", ""NR"", I7298))"),"TV-14")</f>
        <v>TV-14</v>
      </c>
      <c r="R7298" s="5" t="str">
        <f t="shared" si="2"/>
        <v>Lez Bomb</v>
      </c>
      <c r="S7298" s="5" t="str">
        <f>IFERROR(__xludf.DUMMYFUNCTION("""COMPUTED_VALUE"""),"The Incredible Jessica James")</f>
        <v>The Incredible Jessica James</v>
      </c>
      <c r="V7298" s="5"/>
      <c r="Y7298" s="5" t="str">
        <f>IFERROR(__xludf.DUMMYFUNCTION("REGEXEXTRACT(J7298, ""^\d+"")"),"90")</f>
        <v>90</v>
      </c>
      <c r="Z7298" s="5" t="str">
        <f>IFERROR(__xludf.DUMMYFUNCTION("REGEXEXTRACT(J7298, ""[A-Za-z ]+$"")")," min")</f>
        <v> min</v>
      </c>
      <c r="AA7298" s="5" t="str">
        <f>IFERROR(__xludf.DUMMYFUNCTION("IF(REGEXMATCH(Z7298, ""Season""), ""TV Show"", ""Movie"")"),"Movie")</f>
        <v>Movie</v>
      </c>
    </row>
    <row r="7299">
      <c r="A7299" s="1" t="s">
        <v>35718</v>
      </c>
      <c r="B7299" s="1" t="s">
        <v>37</v>
      </c>
      <c r="C7299" s="1" t="s">
        <v>35719</v>
      </c>
      <c r="F7299" s="1" t="s">
        <v>1106</v>
      </c>
      <c r="G7299" s="1" t="s">
        <v>18971</v>
      </c>
      <c r="H7299" s="1">
        <v>2014.0</v>
      </c>
      <c r="I7299" s="1" t="s">
        <v>136</v>
      </c>
      <c r="J7299" s="1" t="s">
        <v>51</v>
      </c>
      <c r="K7299" s="1" t="s">
        <v>440</v>
      </c>
      <c r="L7299" s="1" t="s">
        <v>35720</v>
      </c>
      <c r="M7299" s="2" t="s">
        <v>12</v>
      </c>
      <c r="N7299" s="4">
        <f t="shared" si="1"/>
        <v>43740</v>
      </c>
      <c r="O7299" s="5" t="str">
        <f>IFERROR(__xludf.DUMMYFUNCTION("IF(REGEXMATCH(TRIM(I7299), ""^\d+\s*min""), ""Unclassified"", IF(I7299 = """", ""NR"", I7299))"),"TV-PG")</f>
        <v>TV-PG</v>
      </c>
      <c r="R7299" s="5" t="str">
        <f t="shared" si="2"/>
        <v>License To Drill: Louisiana</v>
      </c>
      <c r="S7299" s="5" t="str">
        <f>IFERROR(__xludf.DUMMYFUNCTION("""COMPUTED_VALUE"""),"The Incredible Story Of The Giant Pear")</f>
        <v>The Incredible Story Of The Giant Pear</v>
      </c>
      <c r="V7299" s="5"/>
      <c r="Y7299" s="5" t="str">
        <f>IFERROR(__xludf.DUMMYFUNCTION("REGEXEXTRACT(J7299, ""^\d+"")"),"1")</f>
        <v>1</v>
      </c>
      <c r="Z7299" s="5" t="str">
        <f>IFERROR(__xludf.DUMMYFUNCTION("REGEXEXTRACT(J7299, ""[A-Za-z ]+$"")")," Season")</f>
        <v> Season</v>
      </c>
      <c r="AA7299" s="5" t="str">
        <f>IFERROR(__xludf.DUMMYFUNCTION("IF(REGEXMATCH(Z7299, ""Season""), ""TV Show"", ""Movie"")"),"TV Show")</f>
        <v>TV Show</v>
      </c>
    </row>
    <row r="7300">
      <c r="A7300" s="1" t="s">
        <v>35721</v>
      </c>
      <c r="B7300" s="1" t="s">
        <v>27</v>
      </c>
      <c r="C7300" s="1" t="s">
        <v>35722</v>
      </c>
      <c r="D7300" s="1" t="s">
        <v>10576</v>
      </c>
      <c r="E7300" s="1" t="s">
        <v>35723</v>
      </c>
      <c r="F7300" s="1" t="s">
        <v>30</v>
      </c>
      <c r="G7300" s="1" t="s">
        <v>35724</v>
      </c>
      <c r="H7300" s="1">
        <v>2014.0</v>
      </c>
      <c r="I7300" s="1" t="s">
        <v>378</v>
      </c>
      <c r="J7300" s="1" t="s">
        <v>1191</v>
      </c>
      <c r="K7300" s="1" t="s">
        <v>20491</v>
      </c>
      <c r="L7300" s="1" t="s">
        <v>35725</v>
      </c>
      <c r="M7300" s="2" t="s">
        <v>12</v>
      </c>
      <c r="N7300" s="4">
        <f t="shared" si="1"/>
        <v>43302</v>
      </c>
      <c r="O7300" s="5" t="str">
        <f>IFERROR(__xludf.DUMMYFUNCTION("IF(REGEXMATCH(TRIM(I7300), ""^\d+\s*min""), ""Unclassified"", IF(I7300 = """", ""NR"", I7300))"),"R")</f>
        <v>R</v>
      </c>
      <c r="R7300" s="5" t="str">
        <f t="shared" si="2"/>
        <v>Life After Beth</v>
      </c>
      <c r="S7300" s="5" t="str">
        <f>IFERROR(__xludf.DUMMYFUNCTION("""COMPUTED_VALUE"""),"The Incredibles 2")</f>
        <v>The Incredibles 2</v>
      </c>
      <c r="V7300" s="5"/>
      <c r="Y7300" s="5" t="str">
        <f>IFERROR(__xludf.DUMMYFUNCTION("REGEXEXTRACT(J7300, ""^\d+"")"),"89")</f>
        <v>89</v>
      </c>
      <c r="Z7300" s="5" t="str">
        <f>IFERROR(__xludf.DUMMYFUNCTION("REGEXEXTRACT(J7300, ""[A-Za-z ]+$"")")," min")</f>
        <v> min</v>
      </c>
      <c r="AA7300" s="5" t="str">
        <f>IFERROR(__xludf.DUMMYFUNCTION("IF(REGEXMATCH(Z7300, ""Season""), ""TV Show"", ""Movie"")"),"Movie")</f>
        <v>Movie</v>
      </c>
    </row>
    <row r="7301">
      <c r="A7301" s="1" t="s">
        <v>35726</v>
      </c>
      <c r="B7301" s="1" t="s">
        <v>27</v>
      </c>
      <c r="C7301" s="1" t="s">
        <v>35727</v>
      </c>
      <c r="D7301" s="1" t="s">
        <v>19786</v>
      </c>
      <c r="F7301" s="1" t="s">
        <v>30</v>
      </c>
      <c r="G7301" s="1" t="s">
        <v>20561</v>
      </c>
      <c r="H7301" s="1">
        <v>2018.0</v>
      </c>
      <c r="I7301" s="1" t="s">
        <v>136</v>
      </c>
      <c r="J7301" s="1" t="s">
        <v>490</v>
      </c>
      <c r="K7301" s="1" t="s">
        <v>1212</v>
      </c>
      <c r="L7301" s="1" t="s">
        <v>35728</v>
      </c>
      <c r="M7301" s="2" t="s">
        <v>12</v>
      </c>
      <c r="N7301" s="4">
        <f t="shared" si="1"/>
        <v>43617</v>
      </c>
      <c r="O7301" s="5" t="str">
        <f>IFERROR(__xludf.DUMMYFUNCTION("IF(REGEXMATCH(TRIM(I7301), ""^\d+\s*min""), ""Unclassified"", IF(I7301 = """", ""NR"", I7301))"),"TV-PG")</f>
        <v>TV-PG</v>
      </c>
      <c r="R7301" s="5" t="str">
        <f t="shared" si="2"/>
        <v>Life In The Doghouse</v>
      </c>
      <c r="S7301" s="5" t="str">
        <f>IFERROR(__xludf.DUMMYFUNCTION("""COMPUTED_VALUE"""),"The Indian Detective")</f>
        <v>The Indian Detective</v>
      </c>
      <c r="V7301" s="5"/>
      <c r="Y7301" s="5" t="str">
        <f>IFERROR(__xludf.DUMMYFUNCTION("REGEXEXTRACT(J7301, ""^\d+"")"),"83")</f>
        <v>83</v>
      </c>
      <c r="Z7301" s="5" t="str">
        <f>IFERROR(__xludf.DUMMYFUNCTION("REGEXEXTRACT(J7301, ""[A-Za-z ]+$"")")," min")</f>
        <v> min</v>
      </c>
      <c r="AA7301" s="5" t="str">
        <f>IFERROR(__xludf.DUMMYFUNCTION("IF(REGEXMATCH(Z7301, ""Season""), ""TV Show"", ""Movie"")"),"Movie")</f>
        <v>Movie</v>
      </c>
    </row>
    <row r="7302">
      <c r="A7302" s="1" t="s">
        <v>35729</v>
      </c>
      <c r="B7302" s="1" t="s">
        <v>37</v>
      </c>
      <c r="C7302" s="1" t="s">
        <v>35730</v>
      </c>
      <c r="E7302" s="1" t="s">
        <v>5968</v>
      </c>
      <c r="F7302" s="1" t="s">
        <v>30</v>
      </c>
      <c r="G7302" s="1" t="s">
        <v>35731</v>
      </c>
      <c r="H7302" s="1">
        <v>2009.0</v>
      </c>
      <c r="I7302" s="1" t="s">
        <v>506</v>
      </c>
      <c r="J7302" s="1" t="s">
        <v>51</v>
      </c>
      <c r="K7302" s="1" t="s">
        <v>29581</v>
      </c>
      <c r="L7302" s="1" t="s">
        <v>35732</v>
      </c>
      <c r="M7302" s="2" t="s">
        <v>12</v>
      </c>
      <c r="N7302" s="4">
        <f t="shared" si="1"/>
        <v>42116</v>
      </c>
      <c r="O7302" s="5" t="str">
        <f>IFERROR(__xludf.DUMMYFUNCTION("IF(REGEXMATCH(TRIM(I7302), ""^\d+\s*min""), ""Unclassified"", IF(I7302 = """", ""NR"", I7302))"),"TV-G")</f>
        <v>TV-G</v>
      </c>
      <c r="R7302" s="5" t="str">
        <f t="shared" si="2"/>
        <v>Life On Location</v>
      </c>
      <c r="S7302" s="5" t="str">
        <f>IFERROR(__xludf.DUMMYFUNCTION("""COMPUTED_VALUE"""),"The Indian In The Cupboard")</f>
        <v>The Indian In The Cupboard</v>
      </c>
      <c r="V7302" s="5"/>
      <c r="Y7302" s="5" t="str">
        <f>IFERROR(__xludf.DUMMYFUNCTION("REGEXEXTRACT(J7302, ""^\d+"")"),"1")</f>
        <v>1</v>
      </c>
      <c r="Z7302" s="5" t="str">
        <f>IFERROR(__xludf.DUMMYFUNCTION("REGEXEXTRACT(J7302, ""[A-Za-z ]+$"")")," Season")</f>
        <v> Season</v>
      </c>
      <c r="AA7302" s="5" t="str">
        <f>IFERROR(__xludf.DUMMYFUNCTION("IF(REGEXMATCH(Z7302, ""Season""), ""TV Show"", ""Movie"")"),"TV Show")</f>
        <v>TV Show</v>
      </c>
    </row>
    <row r="7303">
      <c r="A7303" s="1" t="s">
        <v>35733</v>
      </c>
      <c r="B7303" s="1" t="s">
        <v>37</v>
      </c>
      <c r="C7303" s="1" t="s">
        <v>35734</v>
      </c>
      <c r="E7303" s="1" t="s">
        <v>5968</v>
      </c>
      <c r="F7303" s="1" t="s">
        <v>96</v>
      </c>
      <c r="G7303" s="1" t="s">
        <v>35735</v>
      </c>
      <c r="H7303" s="1">
        <v>2014.0</v>
      </c>
      <c r="I7303" s="1" t="s">
        <v>97</v>
      </c>
      <c r="J7303" s="1" t="s">
        <v>51</v>
      </c>
      <c r="K7303" s="1" t="s">
        <v>29581</v>
      </c>
      <c r="L7303" s="1" t="s">
        <v>35736</v>
      </c>
      <c r="M7303" s="2" t="s">
        <v>12</v>
      </c>
      <c r="N7303" s="4">
        <f t="shared" si="1"/>
        <v>42541</v>
      </c>
      <c r="O7303" s="5" t="str">
        <f>IFERROR(__xludf.DUMMYFUNCTION("IF(REGEXMATCH(TRIM(I7303), ""^\d+\s*min""), ""Unclassified"", IF(I7303 = """", ""NR"", I7303))"),"TV-14")</f>
        <v>TV-14</v>
      </c>
      <c r="R7303" s="5" t="str">
        <f t="shared" si="2"/>
        <v>Life Story</v>
      </c>
      <c r="S7303" s="5" t="str">
        <f>IFERROR(__xludf.DUMMYFUNCTION("""COMPUTED_VALUE"""),"The Influence")</f>
        <v>The Influence</v>
      </c>
      <c r="V7303" s="5"/>
      <c r="Y7303" s="5" t="str">
        <f>IFERROR(__xludf.DUMMYFUNCTION("REGEXEXTRACT(J7303, ""^\d+"")"),"1")</f>
        <v>1</v>
      </c>
      <c r="Z7303" s="5" t="str">
        <f>IFERROR(__xludf.DUMMYFUNCTION("REGEXEXTRACT(J7303, ""[A-Za-z ]+$"")")," Season")</f>
        <v> Season</v>
      </c>
      <c r="AA7303" s="5" t="str">
        <f>IFERROR(__xludf.DUMMYFUNCTION("IF(REGEXMATCH(Z7303, ""Season""), ""TV Show"", ""Movie"")"),"TV Show")</f>
        <v>TV Show</v>
      </c>
    </row>
    <row r="7304">
      <c r="A7304" s="1" t="s">
        <v>35737</v>
      </c>
      <c r="B7304" s="1" t="s">
        <v>27</v>
      </c>
      <c r="C7304" s="1" t="s">
        <v>35738</v>
      </c>
      <c r="D7304" s="1" t="s">
        <v>35739</v>
      </c>
      <c r="E7304" s="1" t="s">
        <v>35740</v>
      </c>
      <c r="F7304" s="1" t="s">
        <v>1106</v>
      </c>
      <c r="G7304" s="7">
        <v>43613.0</v>
      </c>
      <c r="H7304" s="1">
        <v>2018.0</v>
      </c>
      <c r="I7304" s="1" t="s">
        <v>42</v>
      </c>
      <c r="J7304" s="1" t="s">
        <v>1608</v>
      </c>
      <c r="K7304" s="1" t="s">
        <v>18588</v>
      </c>
      <c r="L7304" s="1" t="s">
        <v>35741</v>
      </c>
      <c r="M7304" s="2" t="s">
        <v>12</v>
      </c>
      <c r="N7304" s="4">
        <f t="shared" si="1"/>
        <v>43613</v>
      </c>
      <c r="O7304" s="5" t="str">
        <f>IFERROR(__xludf.DUMMYFUNCTION("IF(REGEXMATCH(TRIM(I7304), ""^\d+\s*min""), ""Unclassified"", IF(I7304 = """", ""NR"", I7304))"),"TV-MA")</f>
        <v>TV-MA</v>
      </c>
      <c r="R7304" s="5" t="str">
        <f t="shared" si="2"/>
        <v>Lifechanger</v>
      </c>
      <c r="S7304" s="5" t="str">
        <f>IFERROR(__xludf.DUMMYFUNCTION("""COMPUTED_VALUE"""),"The Informant!")</f>
        <v>The Informant!</v>
      </c>
      <c r="V7304" s="5"/>
      <c r="Y7304" s="5" t="str">
        <f>IFERROR(__xludf.DUMMYFUNCTION("REGEXEXTRACT(J7304, ""^\d+"")"),"84")</f>
        <v>84</v>
      </c>
      <c r="Z7304" s="5" t="str">
        <f>IFERROR(__xludf.DUMMYFUNCTION("REGEXEXTRACT(J7304, ""[A-Za-z ]+$"")")," min")</f>
        <v> min</v>
      </c>
      <c r="AA7304" s="5" t="str">
        <f>IFERROR(__xludf.DUMMYFUNCTION("IF(REGEXMATCH(Z7304, ""Season""), ""TV Show"", ""Movie"")"),"Movie")</f>
        <v>Movie</v>
      </c>
    </row>
    <row r="7305">
      <c r="A7305" s="1" t="s">
        <v>35742</v>
      </c>
      <c r="B7305" s="1" t="s">
        <v>27</v>
      </c>
      <c r="C7305" s="1" t="s">
        <v>35743</v>
      </c>
      <c r="D7305" s="1" t="s">
        <v>11517</v>
      </c>
      <c r="E7305" s="1" t="s">
        <v>35744</v>
      </c>
      <c r="F7305" s="1" t="s">
        <v>1119</v>
      </c>
      <c r="G7305" s="1" t="s">
        <v>24803</v>
      </c>
      <c r="H7305" s="1">
        <v>1997.0</v>
      </c>
      <c r="I7305" s="1" t="s">
        <v>97</v>
      </c>
      <c r="J7305" s="1" t="s">
        <v>106</v>
      </c>
      <c r="K7305" s="1" t="s">
        <v>1066</v>
      </c>
      <c r="L7305" s="1" t="s">
        <v>35745</v>
      </c>
      <c r="M7305" s="2" t="s">
        <v>12</v>
      </c>
      <c r="N7305" s="4">
        <f t="shared" si="1"/>
        <v>43328</v>
      </c>
      <c r="O7305" s="5" t="str">
        <f>IFERROR(__xludf.DUMMYFUNCTION("IF(REGEXMATCH(TRIM(I7305), ""^\d+\s*min""), ""Unclassified"", IF(I7305 = """", ""NR"", I7305))"),"TV-14")</f>
        <v>TV-14</v>
      </c>
      <c r="R7305" s="5" t="str">
        <f t="shared" si="2"/>
        <v>Lifeline</v>
      </c>
      <c r="S7305" s="5" t="str">
        <f>IFERROR(__xludf.DUMMYFUNCTION("""COMPUTED_VALUE"""),"The Ingenuity Of The Househusband")</f>
        <v>The Ingenuity Of The Househusband</v>
      </c>
      <c r="V7305" s="5"/>
      <c r="Y7305" s="5" t="str">
        <f>IFERROR(__xludf.DUMMYFUNCTION("REGEXEXTRACT(J7305, ""^\d+"")"),"104")</f>
        <v>104</v>
      </c>
      <c r="Z7305" s="5" t="str">
        <f>IFERROR(__xludf.DUMMYFUNCTION("REGEXEXTRACT(J7305, ""[A-Za-z ]+$"")")," min")</f>
        <v> min</v>
      </c>
      <c r="AA7305" s="5" t="str">
        <f>IFERROR(__xludf.DUMMYFUNCTION("IF(REGEXMATCH(Z7305, ""Season""), ""TV Show"", ""Movie"")"),"Movie")</f>
        <v>Movie</v>
      </c>
    </row>
    <row r="7306">
      <c r="A7306" s="1" t="s">
        <v>35746</v>
      </c>
      <c r="B7306" s="1" t="s">
        <v>27</v>
      </c>
      <c r="C7306" s="1" t="s">
        <v>35747</v>
      </c>
      <c r="D7306" s="1" t="s">
        <v>12866</v>
      </c>
      <c r="E7306" s="1" t="s">
        <v>35748</v>
      </c>
      <c r="F7306" s="1" t="s">
        <v>30</v>
      </c>
      <c r="G7306" s="7">
        <v>43591.0</v>
      </c>
      <c r="H7306" s="1">
        <v>2018.0</v>
      </c>
      <c r="I7306" s="1" t="s">
        <v>136</v>
      </c>
      <c r="J7306" s="1" t="s">
        <v>416</v>
      </c>
      <c r="K7306" s="1" t="s">
        <v>1198</v>
      </c>
      <c r="L7306" s="1" t="s">
        <v>35749</v>
      </c>
      <c r="M7306" s="2" t="s">
        <v>12</v>
      </c>
      <c r="N7306" s="4">
        <f t="shared" si="1"/>
        <v>43591</v>
      </c>
      <c r="O7306" s="5" t="str">
        <f>IFERROR(__xludf.DUMMYFUNCTION("IF(REGEXMATCH(TRIM(I7306), ""^\d+\s*min""), ""Unclassified"", IF(I7306 = """", ""NR"", I7306))"),"TV-PG")</f>
        <v>TV-PG</v>
      </c>
      <c r="R7306" s="5" t="str">
        <f t="shared" si="2"/>
        <v>Like Arrows</v>
      </c>
      <c r="S7306" s="5" t="str">
        <f>IFERROR(__xludf.DUMMYFUNCTION("""COMPUTED_VALUE"""),"The Inmate")</f>
        <v>The Inmate</v>
      </c>
      <c r="V7306" s="5"/>
      <c r="Y7306" s="5" t="str">
        <f>IFERROR(__xludf.DUMMYFUNCTION("REGEXEXTRACT(J7306, ""^\d+"")"),"99")</f>
        <v>99</v>
      </c>
      <c r="Z7306" s="5" t="str">
        <f>IFERROR(__xludf.DUMMYFUNCTION("REGEXEXTRACT(J7306, ""[A-Za-z ]+$"")")," min")</f>
        <v> min</v>
      </c>
      <c r="AA7306" s="5" t="str">
        <f>IFERROR(__xludf.DUMMYFUNCTION("IF(REGEXMATCH(Z7306, ""Season""), ""TV Show"", ""Movie"")"),"Movie")</f>
        <v>Movie</v>
      </c>
    </row>
    <row r="7307">
      <c r="A7307" s="1" t="s">
        <v>35750</v>
      </c>
      <c r="B7307" s="1" t="s">
        <v>27</v>
      </c>
      <c r="C7307" s="1" t="s">
        <v>35751</v>
      </c>
      <c r="D7307" s="1" t="s">
        <v>1290</v>
      </c>
      <c r="E7307" s="1" t="s">
        <v>35752</v>
      </c>
      <c r="F7307" s="1" t="s">
        <v>162</v>
      </c>
      <c r="G7307" s="1" t="s">
        <v>18333</v>
      </c>
      <c r="H7307" s="1">
        <v>1992.0</v>
      </c>
      <c r="I7307" s="1" t="s">
        <v>378</v>
      </c>
      <c r="J7307" s="1" t="s">
        <v>305</v>
      </c>
      <c r="K7307" s="1" t="s">
        <v>2012</v>
      </c>
      <c r="L7307" s="1" t="s">
        <v>35753</v>
      </c>
      <c r="M7307" s="2" t="s">
        <v>12</v>
      </c>
      <c r="N7307" s="4">
        <f t="shared" si="1"/>
        <v>43770</v>
      </c>
      <c r="O7307" s="5" t="str">
        <f>IFERROR(__xludf.DUMMYFUNCTION("IF(REGEXMATCH(TRIM(I7307), ""^\d+\s*min""), ""Unclassified"", IF(I7307 = """", ""NR"", I7307))"),"R")</f>
        <v>R</v>
      </c>
      <c r="R7307" s="5" t="str">
        <f t="shared" si="2"/>
        <v>Like Water For Chocolate</v>
      </c>
      <c r="S7307" s="5" t="str">
        <f>IFERROR(__xludf.DUMMYFUNCTION("""COMPUTED_VALUE"""),"The Innocence Files")</f>
        <v>The Innocence Files</v>
      </c>
      <c r="V7307" s="5"/>
      <c r="Y7307" s="5" t="str">
        <f>IFERROR(__xludf.DUMMYFUNCTION("REGEXEXTRACT(J7307, ""^\d+"")"),"105")</f>
        <v>105</v>
      </c>
      <c r="Z7307" s="5" t="str">
        <f>IFERROR(__xludf.DUMMYFUNCTION("REGEXEXTRACT(J7307, ""[A-Za-z ]+$"")")," min")</f>
        <v> min</v>
      </c>
      <c r="AA7307" s="5" t="str">
        <f>IFERROR(__xludf.DUMMYFUNCTION("IF(REGEXMATCH(Z7307, ""Season""), ""TV Show"", ""Movie"")"),"Movie")</f>
        <v>Movie</v>
      </c>
    </row>
    <row r="7308">
      <c r="A7308" s="1" t="s">
        <v>35754</v>
      </c>
      <c r="B7308" s="1" t="s">
        <v>27</v>
      </c>
      <c r="C7308" s="1" t="s">
        <v>35755</v>
      </c>
      <c r="D7308" s="1" t="s">
        <v>26380</v>
      </c>
      <c r="E7308" s="1" t="s">
        <v>35756</v>
      </c>
      <c r="F7308" s="1" t="s">
        <v>30</v>
      </c>
      <c r="G7308" s="1" t="s">
        <v>35757</v>
      </c>
      <c r="H7308" s="1">
        <v>2015.0</v>
      </c>
      <c r="I7308" s="1" t="s">
        <v>378</v>
      </c>
      <c r="J7308" s="1" t="s">
        <v>170</v>
      </c>
      <c r="K7308" s="1" t="s">
        <v>394</v>
      </c>
      <c r="L7308" s="1" t="s">
        <v>35758</v>
      </c>
      <c r="M7308" s="2" t="s">
        <v>12</v>
      </c>
      <c r="N7308" s="4">
        <f t="shared" si="1"/>
        <v>42406</v>
      </c>
      <c r="O7308" s="5" t="str">
        <f>IFERROR(__xludf.DUMMYFUNCTION("IF(REGEXMATCH(TRIM(I7308), ""^\d+\s*min""), ""Unclassified"", IF(I7308 = """", ""NR"", I7308))"),"R")</f>
        <v>R</v>
      </c>
      <c r="R7308" s="5" t="str">
        <f t="shared" si="2"/>
        <v>Lila &amp; Eve</v>
      </c>
      <c r="S7308" s="5" t="str">
        <f>IFERROR(__xludf.DUMMYFUNCTION("""COMPUTED_VALUE"""),"The Innocent")</f>
        <v>The Innocent</v>
      </c>
      <c r="V7308" s="5"/>
      <c r="Y7308" s="5" t="str">
        <f>IFERROR(__xludf.DUMMYFUNCTION("REGEXEXTRACT(J7308, ""^\d+"")"),"94")</f>
        <v>94</v>
      </c>
      <c r="Z7308" s="5" t="str">
        <f>IFERROR(__xludf.DUMMYFUNCTION("REGEXEXTRACT(J7308, ""[A-Za-z ]+$"")")," min")</f>
        <v> min</v>
      </c>
      <c r="AA7308" s="5" t="str">
        <f>IFERROR(__xludf.DUMMYFUNCTION("IF(REGEXMATCH(Z7308, ""Season""), ""TV Show"", ""Movie"")"),"Movie")</f>
        <v>Movie</v>
      </c>
    </row>
    <row r="7309">
      <c r="A7309" s="1" t="s">
        <v>35759</v>
      </c>
      <c r="B7309" s="1" t="s">
        <v>37</v>
      </c>
      <c r="C7309" s="1" t="s">
        <v>35760</v>
      </c>
      <c r="E7309" s="1" t="s">
        <v>35761</v>
      </c>
      <c r="F7309" s="1" t="s">
        <v>96</v>
      </c>
      <c r="G7309" s="1" t="s">
        <v>31987</v>
      </c>
      <c r="H7309" s="1">
        <v>2012.0</v>
      </c>
      <c r="I7309" s="1" t="s">
        <v>42</v>
      </c>
      <c r="J7309" s="1" t="s">
        <v>43</v>
      </c>
      <c r="K7309" s="1" t="s">
        <v>22840</v>
      </c>
      <c r="L7309" s="1" t="s">
        <v>35762</v>
      </c>
      <c r="M7309" s="2" t="s">
        <v>12</v>
      </c>
      <c r="N7309" s="1" t="str">
        <f t="shared" si="1"/>
        <v>#N/A</v>
      </c>
      <c r="O7309" s="5" t="str">
        <f>IFERROR(__xludf.DUMMYFUNCTION("IF(REGEXMATCH(TRIM(I7309), ""^\d+\s*min""), ""Unclassified"", IF(I7309 = """", ""NR"", I7309))"),"TV-MA")</f>
        <v>TV-MA</v>
      </c>
      <c r="R7309" s="5" t="str">
        <f t="shared" si="2"/>
        <v>Limmy'S Show!</v>
      </c>
      <c r="S7309" s="5" t="str">
        <f>IFERROR(__xludf.DUMMYFUNCTION("""COMPUTED_VALUE"""),"The Innocent Man")</f>
        <v>The Innocent Man</v>
      </c>
      <c r="V7309" s="5"/>
      <c r="Y7309" s="5" t="str">
        <f>IFERROR(__xludf.DUMMYFUNCTION("REGEXEXTRACT(J7309, ""^\d+"")"),"2")</f>
        <v>2</v>
      </c>
      <c r="Z7309" s="5" t="str">
        <f>IFERROR(__xludf.DUMMYFUNCTION("REGEXEXTRACT(J7309, ""[A-Za-z ]+$"")")," Seasons")</f>
        <v> Seasons</v>
      </c>
      <c r="AA7309" s="5" t="str">
        <f>IFERROR(__xludf.DUMMYFUNCTION("IF(REGEXMATCH(Z7309, ""Season""), ""TV Show"", ""Movie"")"),"TV Show")</f>
        <v>TV Show</v>
      </c>
    </row>
    <row r="7310">
      <c r="A7310" s="1" t="s">
        <v>35763</v>
      </c>
      <c r="B7310" s="1" t="s">
        <v>27</v>
      </c>
      <c r="C7310" s="1" t="s">
        <v>35764</v>
      </c>
      <c r="D7310" s="1" t="s">
        <v>339</v>
      </c>
      <c r="E7310" s="1" t="s">
        <v>35765</v>
      </c>
      <c r="F7310" s="1" t="s">
        <v>4497</v>
      </c>
      <c r="G7310" s="1" t="s">
        <v>26204</v>
      </c>
      <c r="H7310" s="1">
        <v>2012.0</v>
      </c>
      <c r="I7310" s="1" t="s">
        <v>32</v>
      </c>
      <c r="J7310" s="1" t="s">
        <v>1407</v>
      </c>
      <c r="K7310" s="1" t="s">
        <v>805</v>
      </c>
      <c r="L7310" s="1" t="s">
        <v>35766</v>
      </c>
      <c r="M7310" s="2" t="s">
        <v>12</v>
      </c>
      <c r="N7310" s="4">
        <f t="shared" si="1"/>
        <v>43152</v>
      </c>
      <c r="O7310" s="5" t="str">
        <f>IFERROR(__xludf.DUMMYFUNCTION("IF(REGEXMATCH(TRIM(I7310), ""^\d+\s*min""), ""Unclassified"", IF(I7310 = """", ""NR"", I7310))"),"PG-13")</f>
        <v>PG-13</v>
      </c>
      <c r="R7310" s="5" t="str">
        <f t="shared" si="2"/>
        <v>Lincoln</v>
      </c>
      <c r="S7310" s="5" t="str">
        <f>IFERROR(__xludf.DUMMYFUNCTION("""COMPUTED_VALUE"""),"The Innocents")</f>
        <v>The Innocents</v>
      </c>
      <c r="V7310" s="5"/>
      <c r="Y7310" s="5" t="str">
        <f>IFERROR(__xludf.DUMMYFUNCTION("REGEXEXTRACT(J7310, ""^\d+"")"),"150")</f>
        <v>150</v>
      </c>
      <c r="Z7310" s="5" t="str">
        <f>IFERROR(__xludf.DUMMYFUNCTION("REGEXEXTRACT(J7310, ""[A-Za-z ]+$"")")," min")</f>
        <v> min</v>
      </c>
      <c r="AA7310" s="5" t="str">
        <f>IFERROR(__xludf.DUMMYFUNCTION("IF(REGEXMATCH(Z7310, ""Season""), ""TV Show"", ""Movie"")"),"Movie")</f>
        <v>Movie</v>
      </c>
    </row>
    <row r="7311">
      <c r="A7311" s="1" t="s">
        <v>35767</v>
      </c>
      <c r="B7311" s="1" t="s">
        <v>27</v>
      </c>
      <c r="C7311" s="1" t="s">
        <v>35768</v>
      </c>
      <c r="D7311" s="1" t="s">
        <v>12441</v>
      </c>
      <c r="E7311" s="1" t="s">
        <v>35769</v>
      </c>
      <c r="F7311" s="1" t="s">
        <v>3309</v>
      </c>
      <c r="G7311" s="7">
        <v>43594.0</v>
      </c>
      <c r="H7311" s="1">
        <v>2013.0</v>
      </c>
      <c r="I7311" s="1" t="s">
        <v>97</v>
      </c>
      <c r="J7311" s="1" t="s">
        <v>264</v>
      </c>
      <c r="K7311" s="1" t="s">
        <v>1066</v>
      </c>
      <c r="L7311" s="1" t="s">
        <v>35770</v>
      </c>
      <c r="M7311" s="2" t="s">
        <v>12</v>
      </c>
      <c r="N7311" s="4">
        <f t="shared" si="1"/>
        <v>43594</v>
      </c>
      <c r="O7311" s="5" t="str">
        <f>IFERROR(__xludf.DUMMYFUNCTION("IF(REGEXMATCH(TRIM(I7311), ""^\d+\s*min""), ""Unclassified"", IF(I7311 = """", ""NR"", I7311))"),"TV-14")</f>
        <v>TV-14</v>
      </c>
      <c r="R7311" s="5" t="str">
        <f t="shared" si="2"/>
        <v>Lion'S Heart</v>
      </c>
      <c r="S7311" s="5" t="str">
        <f>IFERROR(__xludf.DUMMYFUNCTION("""COMPUTED_VALUE"""),"The Intent")</f>
        <v>The Intent</v>
      </c>
      <c r="V7311" s="5"/>
      <c r="Y7311" s="5" t="str">
        <f>IFERROR(__xludf.DUMMYFUNCTION("REGEXEXTRACT(J7311, ""^\d+"")"),"111")</f>
        <v>111</v>
      </c>
      <c r="Z7311" s="5" t="str">
        <f>IFERROR(__xludf.DUMMYFUNCTION("REGEXEXTRACT(J7311, ""[A-Za-z ]+$"")")," min")</f>
        <v> min</v>
      </c>
      <c r="AA7311" s="5" t="str">
        <f>IFERROR(__xludf.DUMMYFUNCTION("IF(REGEXMATCH(Z7311, ""Season""), ""TV Show"", ""Movie"")"),"Movie")</f>
        <v>Movie</v>
      </c>
    </row>
    <row r="7312">
      <c r="A7312" s="1" t="s">
        <v>35771</v>
      </c>
      <c r="B7312" s="1" t="s">
        <v>27</v>
      </c>
      <c r="C7312" s="1" t="s">
        <v>35772</v>
      </c>
      <c r="D7312" s="1" t="s">
        <v>7001</v>
      </c>
      <c r="E7312" s="1" t="s">
        <v>35773</v>
      </c>
      <c r="G7312" s="1" t="s">
        <v>18333</v>
      </c>
      <c r="H7312" s="1">
        <v>1990.0</v>
      </c>
      <c r="I7312" s="1" t="s">
        <v>97</v>
      </c>
      <c r="J7312" s="1" t="s">
        <v>349</v>
      </c>
      <c r="K7312" s="1" t="s">
        <v>700</v>
      </c>
      <c r="L7312" s="1" t="s">
        <v>35774</v>
      </c>
      <c r="M7312" s="2" t="s">
        <v>12</v>
      </c>
      <c r="N7312" s="4">
        <f t="shared" si="1"/>
        <v>43770</v>
      </c>
      <c r="O7312" s="5" t="str">
        <f>IFERROR(__xludf.DUMMYFUNCTION("IF(REGEXMATCH(TRIM(I7312), ""^\d+\s*min""), ""Unclassified"", IF(I7312 = """", ""NR"", I7312))"),"TV-14")</f>
        <v>TV-14</v>
      </c>
      <c r="R7312" s="5" t="str">
        <f t="shared" si="2"/>
        <v>Listen Up! The Lives Of Quincy Jones</v>
      </c>
      <c r="S7312" s="5" t="str">
        <f>IFERROR(__xludf.DUMMYFUNCTION("""COMPUTED_VALUE"""),"The Intent 2: The Come Up")</f>
        <v>The Intent 2: The Come Up</v>
      </c>
      <c r="V7312" s="5"/>
      <c r="Y7312" s="5" t="str">
        <f>IFERROR(__xludf.DUMMYFUNCTION("REGEXEXTRACT(J7312, ""^\d+"")"),"116")</f>
        <v>116</v>
      </c>
      <c r="Z7312" s="5" t="str">
        <f>IFERROR(__xludf.DUMMYFUNCTION("REGEXEXTRACT(J7312, ""[A-Za-z ]+$"")")," min")</f>
        <v> min</v>
      </c>
      <c r="AA7312" s="5" t="str">
        <f>IFERROR(__xludf.DUMMYFUNCTION("IF(REGEXMATCH(Z7312, ""Season""), ""TV Show"", ""Movie"")"),"Movie")</f>
        <v>Movie</v>
      </c>
    </row>
    <row r="7313">
      <c r="A7313" s="1" t="s">
        <v>35775</v>
      </c>
      <c r="B7313" s="1" t="s">
        <v>27</v>
      </c>
      <c r="C7313" s="1" t="s">
        <v>35776</v>
      </c>
      <c r="D7313" s="1" t="s">
        <v>9435</v>
      </c>
      <c r="E7313" s="1" t="s">
        <v>35777</v>
      </c>
      <c r="F7313" s="1" t="s">
        <v>1119</v>
      </c>
      <c r="G7313" s="1" t="s">
        <v>24964</v>
      </c>
      <c r="H7313" s="1">
        <v>1983.0</v>
      </c>
      <c r="I7313" s="1" t="s">
        <v>97</v>
      </c>
      <c r="J7313" s="1" t="s">
        <v>665</v>
      </c>
      <c r="K7313" s="1" t="s">
        <v>10724</v>
      </c>
      <c r="L7313" s="1" t="s">
        <v>35778</v>
      </c>
      <c r="M7313" s="2" t="s">
        <v>12</v>
      </c>
      <c r="N7313" s="4">
        <f t="shared" si="1"/>
        <v>43313</v>
      </c>
      <c r="O7313" s="5" t="str">
        <f>IFERROR(__xludf.DUMMYFUNCTION("IF(REGEXMATCH(TRIM(I7313), ""^\d+\s*min""), ""Unclassified"", IF(I7313 = """", ""NR"", I7313))"),"TV-14")</f>
        <v>TV-14</v>
      </c>
      <c r="R7313" s="5" t="str">
        <f t="shared" si="2"/>
        <v>Little Dragon Maiden</v>
      </c>
      <c r="S7313" s="5" t="str">
        <f>IFERROR(__xludf.DUMMYFUNCTION("""COMPUTED_VALUE"""),"The International Player")</f>
        <v>The International Player</v>
      </c>
      <c r="V7313" s="5"/>
      <c r="Y7313" s="5" t="str">
        <f>IFERROR(__xludf.DUMMYFUNCTION("REGEXEXTRACT(J7313, ""^\d+"")"),"92")</f>
        <v>92</v>
      </c>
      <c r="Z7313" s="5" t="str">
        <f>IFERROR(__xludf.DUMMYFUNCTION("REGEXEXTRACT(J7313, ""[A-Za-z ]+$"")")," min")</f>
        <v> min</v>
      </c>
      <c r="AA7313" s="5" t="str">
        <f>IFERROR(__xludf.DUMMYFUNCTION("IF(REGEXMATCH(Z7313, ""Season""), ""TV Show"", ""Movie"")"),"Movie")</f>
        <v>Movie</v>
      </c>
    </row>
    <row r="7314">
      <c r="A7314" s="1" t="s">
        <v>35779</v>
      </c>
      <c r="B7314" s="1" t="s">
        <v>37</v>
      </c>
      <c r="C7314" s="1" t="s">
        <v>35780</v>
      </c>
      <c r="E7314" s="1" t="s">
        <v>35781</v>
      </c>
      <c r="F7314" s="1" t="s">
        <v>221</v>
      </c>
      <c r="G7314" s="1" t="s">
        <v>26295</v>
      </c>
      <c r="H7314" s="1">
        <v>2015.0</v>
      </c>
      <c r="J7314" s="1" t="s">
        <v>51</v>
      </c>
      <c r="K7314" s="1" t="s">
        <v>314</v>
      </c>
      <c r="L7314" s="1" t="s">
        <v>35782</v>
      </c>
      <c r="M7314" s="2" t="s">
        <v>12</v>
      </c>
      <c r="N7314" s="4">
        <f t="shared" si="1"/>
        <v>43132</v>
      </c>
      <c r="O7314" s="5" t="str">
        <f>IFERROR(__xludf.DUMMYFUNCTION("IF(REGEXMATCH(TRIM(I7314), ""^\d+\s*min""), ""Unclassified"", IF(I7314 = """", ""NR"", I7314))"),"NR")</f>
        <v>NR</v>
      </c>
      <c r="R7314" s="5" t="str">
        <f t="shared" si="2"/>
        <v>Little Lunch</v>
      </c>
      <c r="S7314" s="5" t="str">
        <f>IFERROR(__xludf.DUMMYFUNCTION("""COMPUTED_VALUE"""),"The Interpreter")</f>
        <v>The Interpreter</v>
      </c>
      <c r="V7314" s="5"/>
      <c r="Y7314" s="5" t="str">
        <f>IFERROR(__xludf.DUMMYFUNCTION("REGEXEXTRACT(J7314, ""^\d+"")"),"1")</f>
        <v>1</v>
      </c>
      <c r="Z7314" s="5" t="str">
        <f>IFERROR(__xludf.DUMMYFUNCTION("REGEXEXTRACT(J7314, ""[A-Za-z ]+$"")")," Season")</f>
        <v> Season</v>
      </c>
      <c r="AA7314" s="5" t="str">
        <f>IFERROR(__xludf.DUMMYFUNCTION("IF(REGEXMATCH(Z7314, ""Season""), ""TV Show"", ""Movie"")"),"TV Show")</f>
        <v>TV Show</v>
      </c>
    </row>
    <row r="7315">
      <c r="A7315" s="1" t="s">
        <v>35783</v>
      </c>
      <c r="B7315" s="1" t="s">
        <v>27</v>
      </c>
      <c r="C7315" s="1" t="s">
        <v>35784</v>
      </c>
      <c r="D7315" s="1" t="s">
        <v>22506</v>
      </c>
      <c r="E7315" s="1" t="s">
        <v>35785</v>
      </c>
      <c r="F7315" s="1" t="s">
        <v>221</v>
      </c>
      <c r="G7315" s="1" t="s">
        <v>25994</v>
      </c>
      <c r="H7315" s="1">
        <v>2016.0</v>
      </c>
      <c r="I7315" s="1" t="s">
        <v>289</v>
      </c>
      <c r="J7315" s="1" t="s">
        <v>370</v>
      </c>
      <c r="K7315" s="1" t="s">
        <v>137</v>
      </c>
      <c r="L7315" s="1" t="s">
        <v>35786</v>
      </c>
      <c r="M7315" s="2" t="s">
        <v>12</v>
      </c>
      <c r="N7315" s="4">
        <f t="shared" si="1"/>
        <v>43174</v>
      </c>
      <c r="O7315" s="5" t="str">
        <f>IFERROR(__xludf.DUMMYFUNCTION("IF(REGEXMATCH(TRIM(I7315), ""^\d+\s*min""), ""Unclassified"", IF(I7315 = """", ""NR"", I7315))"),"TV-Y7")</f>
        <v>TV-Y7</v>
      </c>
      <c r="R7315" s="5" t="str">
        <f t="shared" si="2"/>
        <v>Little Lunch: The Halloween Horror Story</v>
      </c>
      <c r="S7315" s="5" t="str">
        <f>IFERROR(__xludf.DUMMYFUNCTION("""COMPUTED_VALUE"""),"The Interview")</f>
        <v>The Interview</v>
      </c>
      <c r="V7315" s="5"/>
      <c r="Y7315" s="5" t="str">
        <f>IFERROR(__xludf.DUMMYFUNCTION("REGEXEXTRACT(J7315, ""^\d+"")"),"23")</f>
        <v>23</v>
      </c>
      <c r="Z7315" s="5" t="str">
        <f>IFERROR(__xludf.DUMMYFUNCTION("REGEXEXTRACT(J7315, ""[A-Za-z ]+$"")")," min")</f>
        <v> min</v>
      </c>
      <c r="AA7315" s="5" t="str">
        <f>IFERROR(__xludf.DUMMYFUNCTION("IF(REGEXMATCH(Z7315, ""Season""), ""TV Show"", ""Movie"")"),"Movie")</f>
        <v>Movie</v>
      </c>
    </row>
    <row r="7316">
      <c r="A7316" s="1" t="s">
        <v>35787</v>
      </c>
      <c r="B7316" s="1" t="s">
        <v>27</v>
      </c>
      <c r="C7316" s="1" t="s">
        <v>35788</v>
      </c>
      <c r="D7316" s="1" t="s">
        <v>19581</v>
      </c>
      <c r="E7316" s="1" t="s">
        <v>35785</v>
      </c>
      <c r="F7316" s="1" t="s">
        <v>221</v>
      </c>
      <c r="G7316" s="1" t="s">
        <v>25994</v>
      </c>
      <c r="H7316" s="1">
        <v>2016.0</v>
      </c>
      <c r="I7316" s="1" t="s">
        <v>289</v>
      </c>
      <c r="J7316" s="1" t="s">
        <v>4935</v>
      </c>
      <c r="K7316" s="1" t="s">
        <v>137</v>
      </c>
      <c r="L7316" s="1" t="s">
        <v>35789</v>
      </c>
      <c r="M7316" s="2" t="s">
        <v>12</v>
      </c>
      <c r="N7316" s="4">
        <f t="shared" si="1"/>
        <v>43174</v>
      </c>
      <c r="O7316" s="5" t="str">
        <f>IFERROR(__xludf.DUMMYFUNCTION("IF(REGEXMATCH(TRIM(I7316), ""^\d+\s*min""), ""Unclassified"", IF(I7316 = """", ""NR"", I7316))"),"TV-Y7")</f>
        <v>TV-Y7</v>
      </c>
      <c r="R7316" s="5" t="str">
        <f t="shared" si="2"/>
        <v>Little Lunch: The Nightmare Before Graduation</v>
      </c>
      <c r="S7316" s="5" t="str">
        <f>IFERROR(__xludf.DUMMYFUNCTION("""COMPUTED_VALUE"""),"The Intouchables")</f>
        <v>The Intouchables</v>
      </c>
      <c r="V7316" s="5"/>
      <c r="Y7316" s="5" t="str">
        <f>IFERROR(__xludf.DUMMYFUNCTION("REGEXEXTRACT(J7316, ""^\d+"")"),"25")</f>
        <v>25</v>
      </c>
      <c r="Z7316" s="5" t="str">
        <f>IFERROR(__xludf.DUMMYFUNCTION("REGEXEXTRACT(J7316, ""[A-Za-z ]+$"")")," min")</f>
        <v> min</v>
      </c>
      <c r="AA7316" s="5" t="str">
        <f>IFERROR(__xludf.DUMMYFUNCTION("IF(REGEXMATCH(Z7316, ""Season""), ""TV Show"", ""Movie"")"),"Movie")</f>
        <v>Movie</v>
      </c>
    </row>
    <row r="7317">
      <c r="A7317" s="1" t="s">
        <v>35790</v>
      </c>
      <c r="B7317" s="1" t="s">
        <v>27</v>
      </c>
      <c r="C7317" s="1" t="s">
        <v>35791</v>
      </c>
      <c r="D7317" s="1" t="s">
        <v>9645</v>
      </c>
      <c r="E7317" s="1" t="s">
        <v>35792</v>
      </c>
      <c r="F7317" s="1" t="s">
        <v>35793</v>
      </c>
      <c r="G7317" s="1" t="s">
        <v>28796</v>
      </c>
      <c r="H7317" s="1">
        <v>2016.0</v>
      </c>
      <c r="I7317" s="1" t="s">
        <v>78</v>
      </c>
      <c r="J7317" s="1" t="s">
        <v>471</v>
      </c>
      <c r="K7317" s="1" t="s">
        <v>1320</v>
      </c>
      <c r="L7317" s="1" t="s">
        <v>35794</v>
      </c>
      <c r="M7317" s="2" t="s">
        <v>12</v>
      </c>
      <c r="N7317" s="4">
        <f t="shared" si="1"/>
        <v>42747</v>
      </c>
      <c r="O7317" s="5" t="str">
        <f>IFERROR(__xludf.DUMMYFUNCTION("IF(REGEXMATCH(TRIM(I7317), ""^\d+\s*min""), ""Unclassified"", IF(I7317 = """", ""NR"", I7317))"),"PG")</f>
        <v>PG</v>
      </c>
      <c r="R7317" s="5" t="str">
        <f t="shared" si="2"/>
        <v>Little Men</v>
      </c>
      <c r="S7317" s="5" t="str">
        <f>IFERROR(__xludf.DUMMYFUNCTION("""COMPUTED_VALUE"""),"The Invention Of Lying")</f>
        <v>The Invention Of Lying</v>
      </c>
      <c r="V7317" s="5"/>
      <c r="Y7317" s="5" t="str">
        <f>IFERROR(__xludf.DUMMYFUNCTION("REGEXEXTRACT(J7317, ""^\d+"")"),"85")</f>
        <v>85</v>
      </c>
      <c r="Z7317" s="5" t="str">
        <f>IFERROR(__xludf.DUMMYFUNCTION("REGEXEXTRACT(J7317, ""[A-Za-z ]+$"")")," min")</f>
        <v> min</v>
      </c>
      <c r="AA7317" s="5" t="str">
        <f>IFERROR(__xludf.DUMMYFUNCTION("IF(REGEXMATCH(Z7317, ""Season""), ""TV Show"", ""Movie"")"),"Movie")</f>
        <v>Movie</v>
      </c>
    </row>
    <row r="7318">
      <c r="A7318" s="1" t="s">
        <v>35795</v>
      </c>
      <c r="B7318" s="1" t="s">
        <v>27</v>
      </c>
      <c r="C7318" s="1" t="s">
        <v>35796</v>
      </c>
      <c r="D7318" s="1" t="s">
        <v>1747</v>
      </c>
      <c r="E7318" s="1" t="s">
        <v>35797</v>
      </c>
      <c r="F7318" s="1" t="s">
        <v>30</v>
      </c>
      <c r="G7318" s="1" t="s">
        <v>9391</v>
      </c>
      <c r="H7318" s="1">
        <v>2000.0</v>
      </c>
      <c r="I7318" s="1" t="s">
        <v>32</v>
      </c>
      <c r="J7318" s="1" t="s">
        <v>33</v>
      </c>
      <c r="K7318" s="1" t="s">
        <v>239</v>
      </c>
      <c r="L7318" s="1" t="s">
        <v>35798</v>
      </c>
      <c r="M7318" s="2" t="s">
        <v>12</v>
      </c>
      <c r="N7318" s="4">
        <f t="shared" si="1"/>
        <v>44166</v>
      </c>
      <c r="O7318" s="5" t="str">
        <f>IFERROR(__xludf.DUMMYFUNCTION("IF(REGEXMATCH(TRIM(I7318), ""^\d+\s*min""), ""Unclassified"", IF(I7318 = """", ""NR"", I7318))"),"PG-13")</f>
        <v>PG-13</v>
      </c>
      <c r="R7318" s="5" t="str">
        <f t="shared" si="2"/>
        <v>Little Nicky</v>
      </c>
      <c r="S7318" s="5" t="str">
        <f>IFERROR(__xludf.DUMMYFUNCTION("""COMPUTED_VALUE"""),"The Investigator: A British Crime Story")</f>
        <v>The Investigator: A British Crime Story</v>
      </c>
      <c r="V7318" s="5"/>
      <c r="Y7318" s="5" t="str">
        <f>IFERROR(__xludf.DUMMYFUNCTION("REGEXEXTRACT(J7318, ""^\d+"")"),"90")</f>
        <v>90</v>
      </c>
      <c r="Z7318" s="5" t="str">
        <f>IFERROR(__xludf.DUMMYFUNCTION("REGEXEXTRACT(J7318, ""[A-Za-z ]+$"")")," min")</f>
        <v> min</v>
      </c>
      <c r="AA7318" s="5" t="str">
        <f>IFERROR(__xludf.DUMMYFUNCTION("IF(REGEXMATCH(Z7318, ""Season""), ""TV Show"", ""Movie"")"),"Movie")</f>
        <v>Movie</v>
      </c>
    </row>
    <row r="7319">
      <c r="A7319" s="1" t="s">
        <v>35799</v>
      </c>
      <c r="B7319" s="1" t="s">
        <v>27</v>
      </c>
      <c r="C7319" s="1" t="s">
        <v>35800</v>
      </c>
      <c r="D7319" s="1" t="s">
        <v>572</v>
      </c>
      <c r="G7319" s="1" t="s">
        <v>23134</v>
      </c>
      <c r="H7319" s="1">
        <v>2018.0</v>
      </c>
      <c r="I7319" s="1" t="s">
        <v>32769</v>
      </c>
      <c r="J7319" s="1" t="s">
        <v>2626</v>
      </c>
      <c r="K7319" s="1" t="s">
        <v>137</v>
      </c>
      <c r="L7319" s="1" t="s">
        <v>35801</v>
      </c>
      <c r="M7319" s="2" t="s">
        <v>12</v>
      </c>
      <c r="N7319" s="4">
        <f t="shared" si="1"/>
        <v>43435</v>
      </c>
      <c r="O7319" s="5" t="str">
        <f>IFERROR(__xludf.DUMMYFUNCTION("IF(REGEXMATCH(TRIM(I7319), ""^\d+\s*min""), ""Unclassified"", IF(I7319 = """", ""NR"", I7319))"),"TV-Y7-FV")</f>
        <v>TV-Y7-FV</v>
      </c>
      <c r="R7319" s="5" t="str">
        <f t="shared" si="2"/>
        <v>Little Singham Aur Kaal Ka Mahajaal</v>
      </c>
      <c r="S7319" s="5" t="str">
        <f>IFERROR(__xludf.DUMMYFUNCTION("""COMPUTED_VALUE"""),"The Invisible Guardian")</f>
        <v>The Invisible Guardian</v>
      </c>
      <c r="V7319" s="5"/>
      <c r="Y7319" s="5" t="str">
        <f>IFERROR(__xludf.DUMMYFUNCTION("REGEXEXTRACT(J7319, ""^\d+"")"),"68")</f>
        <v>68</v>
      </c>
      <c r="Z7319" s="5" t="str">
        <f>IFERROR(__xludf.DUMMYFUNCTION("REGEXEXTRACT(J7319, ""[A-Za-z ]+$"")")," min")</f>
        <v> min</v>
      </c>
      <c r="AA7319" s="5" t="str">
        <f>IFERROR(__xludf.DUMMYFUNCTION("IF(REGEXMATCH(Z7319, ""Season""), ""TV Show"", ""Movie"")"),"Movie")</f>
        <v>Movie</v>
      </c>
    </row>
    <row r="7320">
      <c r="A7320" s="1" t="s">
        <v>35802</v>
      </c>
      <c r="B7320" s="1" t="s">
        <v>27</v>
      </c>
      <c r="C7320" s="1" t="s">
        <v>35803</v>
      </c>
      <c r="E7320" s="1" t="s">
        <v>35804</v>
      </c>
      <c r="G7320" s="1" t="s">
        <v>20045</v>
      </c>
      <c r="H7320" s="1">
        <v>2019.0</v>
      </c>
      <c r="I7320" s="1" t="s">
        <v>289</v>
      </c>
      <c r="J7320" s="1" t="s">
        <v>155</v>
      </c>
      <c r="K7320" s="1" t="s">
        <v>137</v>
      </c>
      <c r="L7320" s="1" t="s">
        <v>35805</v>
      </c>
      <c r="M7320" s="2" t="s">
        <v>12</v>
      </c>
      <c r="N7320" s="4">
        <f t="shared" si="1"/>
        <v>43657</v>
      </c>
      <c r="O7320" s="5" t="str">
        <f>IFERROR(__xludf.DUMMYFUNCTION("IF(REGEXMATCH(TRIM(I7320), ""^\d+\s*min""), ""Unclassified"", IF(I7320 = """", ""NR"", I7320))"),"TV-Y7")</f>
        <v>TV-Y7</v>
      </c>
      <c r="R7320" s="5" t="str">
        <f t="shared" si="2"/>
        <v>Little Singham Bandarpur Mein Hu Ha Hu</v>
      </c>
      <c r="S7320" s="5" t="str">
        <f>IFERROR(__xludf.DUMMYFUNCTION("""COMPUTED_VALUE"""),"The Invisible Guest")</f>
        <v>The Invisible Guest</v>
      </c>
      <c r="V7320" s="5"/>
      <c r="Y7320" s="5" t="str">
        <f>IFERROR(__xludf.DUMMYFUNCTION("REGEXEXTRACT(J7320, ""^\d+"")"),"67")</f>
        <v>67</v>
      </c>
      <c r="Z7320" s="5" t="str">
        <f>IFERROR(__xludf.DUMMYFUNCTION("REGEXEXTRACT(J7320, ""[A-Za-z ]+$"")")," min")</f>
        <v> min</v>
      </c>
      <c r="AA7320" s="5" t="str">
        <f>IFERROR(__xludf.DUMMYFUNCTION("IF(REGEXMATCH(Z7320, ""Season""), ""TV Show"", ""Movie"")"),"Movie")</f>
        <v>Movie</v>
      </c>
    </row>
    <row r="7321">
      <c r="A7321" s="1" t="s">
        <v>35806</v>
      </c>
      <c r="B7321" s="1" t="s">
        <v>27</v>
      </c>
      <c r="C7321" s="1" t="s">
        <v>35807</v>
      </c>
      <c r="D7321" s="1" t="s">
        <v>572</v>
      </c>
      <c r="G7321" s="1" t="s">
        <v>35808</v>
      </c>
      <c r="H7321" s="1">
        <v>2019.0</v>
      </c>
      <c r="I7321" s="1" t="s">
        <v>289</v>
      </c>
      <c r="J7321" s="1" t="s">
        <v>2636</v>
      </c>
      <c r="K7321" s="1" t="s">
        <v>137</v>
      </c>
      <c r="L7321" s="1" t="s">
        <v>35809</v>
      </c>
      <c r="M7321" s="2" t="s">
        <v>12</v>
      </c>
      <c r="N7321" s="4">
        <f t="shared" si="1"/>
        <v>43577</v>
      </c>
      <c r="O7321" s="5" t="str">
        <f>IFERROR(__xludf.DUMMYFUNCTION("IF(REGEXMATCH(TRIM(I7321), ""^\d+\s*min""), ""Unclassified"", IF(I7321 = """", ""NR"", I7321))"),"TV-Y7")</f>
        <v>TV-Y7</v>
      </c>
      <c r="R7321" s="5" t="str">
        <f t="shared" si="2"/>
        <v>Little Singham In London</v>
      </c>
      <c r="S7321" s="5" t="str">
        <f>IFERROR(__xludf.DUMMYFUNCTION("""COMPUTED_VALUE"""),"The Invitation")</f>
        <v>The Invitation</v>
      </c>
      <c r="V7321" s="5"/>
      <c r="Y7321" s="5" t="str">
        <f>IFERROR(__xludf.DUMMYFUNCTION("REGEXEXTRACT(J7321, ""^\d+"")"),"66")</f>
        <v>66</v>
      </c>
      <c r="Z7321" s="5" t="str">
        <f>IFERROR(__xludf.DUMMYFUNCTION("REGEXEXTRACT(J7321, ""[A-Za-z ]+$"")")," min")</f>
        <v> min</v>
      </c>
      <c r="AA7321" s="5" t="str">
        <f>IFERROR(__xludf.DUMMYFUNCTION("IF(REGEXMATCH(Z7321, ""Season""), ""TV Show"", ""Movie"")"),"Movie")</f>
        <v>Movie</v>
      </c>
    </row>
    <row r="7322">
      <c r="A7322" s="1" t="s">
        <v>35810</v>
      </c>
      <c r="B7322" s="1" t="s">
        <v>27</v>
      </c>
      <c r="C7322" s="1" t="s">
        <v>35811</v>
      </c>
      <c r="D7322" s="1" t="s">
        <v>23963</v>
      </c>
      <c r="E7322" s="1" t="s">
        <v>35812</v>
      </c>
      <c r="F7322" s="1" t="s">
        <v>30</v>
      </c>
      <c r="G7322" s="1" t="s">
        <v>32066</v>
      </c>
      <c r="H7322" s="1">
        <v>2016.0</v>
      </c>
      <c r="I7322" s="1" t="s">
        <v>30231</v>
      </c>
      <c r="J7322" s="1" t="s">
        <v>79</v>
      </c>
      <c r="K7322" s="1" t="s">
        <v>836</v>
      </c>
      <c r="L7322" s="1" t="s">
        <v>35813</v>
      </c>
      <c r="M7322" s="2" t="s">
        <v>12</v>
      </c>
      <c r="N7322" s="4">
        <f t="shared" si="1"/>
        <v>42749</v>
      </c>
      <c r="O7322" s="5" t="str">
        <f>IFERROR(__xludf.DUMMYFUNCTION("IF(REGEXMATCH(TRIM(I7322), ""^\d+\s*min""), ""Unclassified"", IF(I7322 = """", ""NR"", I7322))"),"NR")</f>
        <v>NR</v>
      </c>
      <c r="R7322" s="5" t="str">
        <f t="shared" si="2"/>
        <v>Little Sister</v>
      </c>
      <c r="S7322" s="5" t="str">
        <f>IFERROR(__xludf.DUMMYFUNCTION("""COMPUTED_VALUE"""),"The Irish Mob")</f>
        <v>The Irish Mob</v>
      </c>
      <c r="V7322" s="5"/>
      <c r="Y7322" s="5" t="str">
        <f>IFERROR(__xludf.DUMMYFUNCTION("REGEXEXTRACT(J7322, ""^\d+"")"),"91")</f>
        <v>91</v>
      </c>
      <c r="Z7322" s="5" t="str">
        <f>IFERROR(__xludf.DUMMYFUNCTION("REGEXEXTRACT(J7322, ""[A-Za-z ]+$"")")," min")</f>
        <v> min</v>
      </c>
      <c r="AA7322" s="5" t="str">
        <f>IFERROR(__xludf.DUMMYFUNCTION("IF(REGEXMATCH(Z7322, ""Season""), ""TV Show"", ""Movie"")"),"Movie")</f>
        <v>Movie</v>
      </c>
    </row>
    <row r="7323">
      <c r="A7323" s="1" t="s">
        <v>35814</v>
      </c>
      <c r="B7323" s="1" t="s">
        <v>37</v>
      </c>
      <c r="C7323" s="1" t="s">
        <v>35815</v>
      </c>
      <c r="E7323" s="1" t="s">
        <v>35816</v>
      </c>
      <c r="F7323" s="1" t="s">
        <v>30</v>
      </c>
      <c r="G7323" s="1" t="s">
        <v>35817</v>
      </c>
      <c r="H7323" s="1">
        <v>2017.0</v>
      </c>
      <c r="I7323" s="1" t="s">
        <v>506</v>
      </c>
      <c r="J7323" s="1" t="s">
        <v>148</v>
      </c>
      <c r="K7323" s="1" t="s">
        <v>314</v>
      </c>
      <c r="L7323" s="1" t="s">
        <v>35818</v>
      </c>
      <c r="M7323" s="2" t="s">
        <v>12</v>
      </c>
      <c r="N7323" s="4">
        <f t="shared" si="1"/>
        <v>42848</v>
      </c>
      <c r="O7323" s="5" t="str">
        <f>IFERROR(__xludf.DUMMYFUNCTION("IF(REGEXMATCH(TRIM(I7323), ""^\d+\s*min""), ""Unclassified"", IF(I7323 = """", ""NR"", I7323))"),"TV-G")</f>
        <v>TV-G</v>
      </c>
      <c r="R7323" s="5" t="str">
        <f t="shared" si="2"/>
        <v>Liv And Maddie</v>
      </c>
      <c r="S7323" s="5" t="str">
        <f>IFERROR(__xludf.DUMMYFUNCTION("""COMPUTED_VALUE"""),"The Irishman")</f>
        <v>The Irishman</v>
      </c>
      <c r="V7323" s="5"/>
      <c r="Y7323" s="5" t="str">
        <f>IFERROR(__xludf.DUMMYFUNCTION("REGEXEXTRACT(J7323, ""^\d+"")"),"4")</f>
        <v>4</v>
      </c>
      <c r="Z7323" s="5" t="str">
        <f>IFERROR(__xludf.DUMMYFUNCTION("REGEXEXTRACT(J7323, ""[A-Za-z ]+$"")")," Seasons")</f>
        <v> Seasons</v>
      </c>
      <c r="AA7323" s="5" t="str">
        <f>IFERROR(__xludf.DUMMYFUNCTION("IF(REGEXMATCH(Z7323, ""Season""), ""TV Show"", ""Movie"")"),"TV Show")</f>
        <v>TV Show</v>
      </c>
    </row>
    <row r="7324">
      <c r="A7324" s="1" t="s">
        <v>35819</v>
      </c>
      <c r="B7324" s="1" t="s">
        <v>27</v>
      </c>
      <c r="C7324" s="1" t="s">
        <v>35820</v>
      </c>
      <c r="D7324" s="1" t="s">
        <v>16829</v>
      </c>
      <c r="E7324" s="1" t="s">
        <v>35821</v>
      </c>
      <c r="F7324" s="1" t="s">
        <v>30</v>
      </c>
      <c r="G7324" s="1" t="s">
        <v>35822</v>
      </c>
      <c r="H7324" s="1">
        <v>2014.0</v>
      </c>
      <c r="I7324" s="1" t="s">
        <v>97</v>
      </c>
      <c r="J7324" s="1" t="s">
        <v>630</v>
      </c>
      <c r="K7324" s="1" t="s">
        <v>171</v>
      </c>
      <c r="L7324" s="1" t="s">
        <v>35823</v>
      </c>
      <c r="M7324" s="2" t="s">
        <v>12</v>
      </c>
      <c r="N7324" s="4">
        <f t="shared" si="1"/>
        <v>42576</v>
      </c>
      <c r="O7324" s="5" t="str">
        <f>IFERROR(__xludf.DUMMYFUNCTION("IF(REGEXMATCH(TRIM(I7324), ""^\d+\s*min""), ""Unclassified"", IF(I7324 = """", ""NR"", I7324))"),"TV-14")</f>
        <v>TV-14</v>
      </c>
      <c r="R7324" s="5" t="str">
        <f t="shared" si="2"/>
        <v>Lizzie Borden Took An Ax</v>
      </c>
      <c r="S7324" s="5" t="str">
        <f>IFERROR(__xludf.DUMMYFUNCTION("""COMPUTED_VALUE"""),"The Irishman: In Conversation")</f>
        <v>The Irishman: In Conversation</v>
      </c>
      <c r="V7324" s="5"/>
      <c r="Y7324" s="5" t="str">
        <f>IFERROR(__xludf.DUMMYFUNCTION("REGEXEXTRACT(J7324, ""^\d+"")"),"87")</f>
        <v>87</v>
      </c>
      <c r="Z7324" s="5" t="str">
        <f>IFERROR(__xludf.DUMMYFUNCTION("REGEXEXTRACT(J7324, ""[A-Za-z ]+$"")")," min")</f>
        <v> min</v>
      </c>
      <c r="AA7324" s="5" t="str">
        <f>IFERROR(__xludf.DUMMYFUNCTION("IF(REGEXMATCH(Z7324, ""Season""), ""TV Show"", ""Movie"")"),"Movie")</f>
        <v>Movie</v>
      </c>
    </row>
    <row r="7325">
      <c r="A7325" s="1" t="s">
        <v>35824</v>
      </c>
      <c r="B7325" s="1" t="s">
        <v>27</v>
      </c>
      <c r="C7325" s="1" t="s">
        <v>35825</v>
      </c>
      <c r="D7325" s="1" t="s">
        <v>23542</v>
      </c>
      <c r="E7325" s="1" t="s">
        <v>23542</v>
      </c>
      <c r="F7325" s="1" t="s">
        <v>30</v>
      </c>
      <c r="G7325" s="1" t="s">
        <v>28879</v>
      </c>
      <c r="H7325" s="1">
        <v>2016.0</v>
      </c>
      <c r="I7325" s="1" t="s">
        <v>32</v>
      </c>
      <c r="J7325" s="1" t="s">
        <v>357</v>
      </c>
      <c r="K7325" s="1" t="s">
        <v>34</v>
      </c>
      <c r="L7325" s="1" t="s">
        <v>35826</v>
      </c>
      <c r="M7325" s="2" t="s">
        <v>12</v>
      </c>
      <c r="N7325" s="4">
        <f t="shared" si="1"/>
        <v>42727</v>
      </c>
      <c r="O7325" s="5" t="str">
        <f>IFERROR(__xludf.DUMMYFUNCTION("IF(REGEXMATCH(TRIM(I7325), ""^\d+\s*min""), ""Unclassified"", IF(I7325 = """", ""NR"", I7325))"),"PG-13")</f>
        <v>PG-13</v>
      </c>
      <c r="R7325" s="5" t="str">
        <f t="shared" si="2"/>
        <v>Lo And Behold: Reveries Of The Connected World</v>
      </c>
      <c r="S7325" s="5" t="str">
        <f>IFERROR(__xludf.DUMMYFUNCTION("""COMPUTED_VALUE"""),"The Iron Lady")</f>
        <v>The Iron Lady</v>
      </c>
      <c r="V7325" s="5"/>
      <c r="Y7325" s="5" t="str">
        <f>IFERROR(__xludf.DUMMYFUNCTION("REGEXEXTRACT(J7325, ""^\d+"")"),"98")</f>
        <v>98</v>
      </c>
      <c r="Z7325" s="5" t="str">
        <f>IFERROR(__xludf.DUMMYFUNCTION("REGEXEXTRACT(J7325, ""[A-Za-z ]+$"")")," min")</f>
        <v> min</v>
      </c>
      <c r="AA7325" s="5" t="str">
        <f>IFERROR(__xludf.DUMMYFUNCTION("IF(REGEXMATCH(Z7325, ""Season""), ""TV Show"", ""Movie"")"),"Movie")</f>
        <v>Movie</v>
      </c>
    </row>
    <row r="7326">
      <c r="A7326" s="1" t="s">
        <v>35827</v>
      </c>
      <c r="B7326" s="1" t="s">
        <v>37</v>
      </c>
      <c r="C7326" s="1" t="s">
        <v>35828</v>
      </c>
      <c r="F7326" s="1" t="s">
        <v>784</v>
      </c>
      <c r="G7326" s="1" t="s">
        <v>22239</v>
      </c>
      <c r="H7326" s="1">
        <v>2017.0</v>
      </c>
      <c r="I7326" s="1" t="s">
        <v>97</v>
      </c>
      <c r="J7326" s="1" t="s">
        <v>51</v>
      </c>
      <c r="K7326" s="1" t="s">
        <v>112</v>
      </c>
      <c r="L7326" s="1" t="s">
        <v>35829</v>
      </c>
      <c r="M7326" s="2" t="s">
        <v>12</v>
      </c>
      <c r="N7326" s="4">
        <f t="shared" si="1"/>
        <v>43497</v>
      </c>
      <c r="O7326" s="5" t="str">
        <f>IFERROR(__xludf.DUMMYFUNCTION("IF(REGEXMATCH(TRIM(I7326), ""^\d+\s*min""), ""Unclassified"", IF(I7326 = """", ""NR"", I7326))"),"TV-14")</f>
        <v>TV-14</v>
      </c>
      <c r="R7326" s="5" t="str">
        <f t="shared" si="2"/>
        <v>Lo Que La Verdad Esconde: El Caso Asunta (Operacion Nenúfar)</v>
      </c>
      <c r="S7326" s="5" t="str">
        <f>IFERROR(__xludf.DUMMYFUNCTION("""COMPUTED_VALUE"""),"The Irregular At Magic High School")</f>
        <v>The Irregular At Magic High School</v>
      </c>
      <c r="V7326" s="5"/>
      <c r="Y7326" s="5" t="str">
        <f>IFERROR(__xludf.DUMMYFUNCTION("REGEXEXTRACT(J7326, ""^\d+"")"),"1")</f>
        <v>1</v>
      </c>
      <c r="Z7326" s="5" t="str">
        <f>IFERROR(__xludf.DUMMYFUNCTION("REGEXEXTRACT(J7326, ""[A-Za-z ]+$"")")," Season")</f>
        <v> Season</v>
      </c>
      <c r="AA7326" s="5" t="str">
        <f>IFERROR(__xludf.DUMMYFUNCTION("IF(REGEXMATCH(Z7326, ""Season""), ""TV Show"", ""Movie"")"),"TV Show")</f>
        <v>TV Show</v>
      </c>
    </row>
    <row r="7327">
      <c r="A7327" s="1" t="s">
        <v>35830</v>
      </c>
      <c r="B7327" s="1" t="s">
        <v>37</v>
      </c>
      <c r="C7327" s="1" t="s">
        <v>35831</v>
      </c>
      <c r="E7327" s="1" t="s">
        <v>35832</v>
      </c>
      <c r="F7327" s="1" t="s">
        <v>162</v>
      </c>
      <c r="G7327" s="1" t="s">
        <v>26505</v>
      </c>
      <c r="H7327" s="1">
        <v>2013.0</v>
      </c>
      <c r="I7327" s="1" t="s">
        <v>97</v>
      </c>
      <c r="J7327" s="1" t="s">
        <v>51</v>
      </c>
      <c r="K7327" s="1" t="s">
        <v>2768</v>
      </c>
      <c r="L7327" s="1" t="s">
        <v>35833</v>
      </c>
      <c r="M7327" s="2" t="s">
        <v>12</v>
      </c>
      <c r="N7327" s="4">
        <f t="shared" si="1"/>
        <v>43100</v>
      </c>
      <c r="O7327" s="5" t="str">
        <f>IFERROR(__xludf.DUMMYFUNCTION("IF(REGEXMATCH(TRIM(I7327), ""^\d+\s*min""), ""Unclassified"", IF(I7327 = """", ""NR"", I7327))"),"TV-14")</f>
        <v>TV-14</v>
      </c>
      <c r="R7327" s="5" t="str">
        <f t="shared" si="2"/>
        <v>Lo Que La Vida Me Robó</v>
      </c>
      <c r="S7327" s="5" t="str">
        <f>IFERROR(__xludf.DUMMYFUNCTION("""COMPUTED_VALUE"""),"The Irregulars")</f>
        <v>The Irregulars</v>
      </c>
      <c r="V7327" s="5"/>
      <c r="Y7327" s="5" t="str">
        <f>IFERROR(__xludf.DUMMYFUNCTION("REGEXEXTRACT(J7327, ""^\d+"")"),"1")</f>
        <v>1</v>
      </c>
      <c r="Z7327" s="5" t="str">
        <f>IFERROR(__xludf.DUMMYFUNCTION("REGEXEXTRACT(J7327, ""[A-Za-z ]+$"")")," Season")</f>
        <v> Season</v>
      </c>
      <c r="AA7327" s="5" t="str">
        <f>IFERROR(__xludf.DUMMYFUNCTION("IF(REGEXMATCH(Z7327, ""Season""), ""TV Show"", ""Movie"")"),"TV Show")</f>
        <v>TV Show</v>
      </c>
    </row>
    <row r="7328">
      <c r="A7328" s="1" t="s">
        <v>35834</v>
      </c>
      <c r="B7328" s="1" t="s">
        <v>27</v>
      </c>
      <c r="C7328" s="1" t="s">
        <v>35835</v>
      </c>
      <c r="D7328" s="1" t="s">
        <v>8840</v>
      </c>
      <c r="E7328" s="1" t="s">
        <v>35836</v>
      </c>
      <c r="F7328" s="1" t="s">
        <v>96</v>
      </c>
      <c r="G7328" s="1" t="s">
        <v>22635</v>
      </c>
      <c r="H7328" s="1">
        <v>1998.0</v>
      </c>
      <c r="I7328" s="1" t="s">
        <v>378</v>
      </c>
      <c r="J7328" s="1" t="s">
        <v>912</v>
      </c>
      <c r="K7328" s="1" t="s">
        <v>8798</v>
      </c>
      <c r="L7328" s="1" t="s">
        <v>35837</v>
      </c>
      <c r="M7328" s="2" t="s">
        <v>12</v>
      </c>
      <c r="N7328" s="4">
        <f t="shared" si="1"/>
        <v>43466</v>
      </c>
      <c r="O7328" s="5" t="str">
        <f>IFERROR(__xludf.DUMMYFUNCTION("IF(REGEXMATCH(TRIM(I7328), ""^\d+\s*min""), ""Unclassified"", IF(I7328 = """", ""NR"", I7328))"),"R")</f>
        <v>R</v>
      </c>
      <c r="R7328" s="5" t="str">
        <f t="shared" si="2"/>
        <v>Lock, Stock And Two Smoking Barrels</v>
      </c>
      <c r="S7328" s="5" t="str">
        <f>IFERROR(__xludf.DUMMYFUNCTION("""COMPUTED_VALUE"""),"The Island")</f>
        <v>The Island</v>
      </c>
      <c r="V7328" s="5"/>
      <c r="Y7328" s="5" t="str">
        <f>IFERROR(__xludf.DUMMYFUNCTION("REGEXEXTRACT(J7328, ""^\d+"")"),"108")</f>
        <v>108</v>
      </c>
      <c r="Z7328" s="5" t="str">
        <f>IFERROR(__xludf.DUMMYFUNCTION("REGEXEXTRACT(J7328, ""[A-Za-z ]+$"")")," min")</f>
        <v> min</v>
      </c>
      <c r="AA7328" s="5" t="str">
        <f>IFERROR(__xludf.DUMMYFUNCTION("IF(REGEXMATCH(Z7328, ""Season""), ""TV Show"", ""Movie"")"),"Movie")</f>
        <v>Movie</v>
      </c>
    </row>
    <row r="7329">
      <c r="A7329" s="1" t="s">
        <v>35838</v>
      </c>
      <c r="B7329" s="1" t="s">
        <v>27</v>
      </c>
      <c r="C7329" s="1" t="s">
        <v>35839</v>
      </c>
      <c r="D7329" s="1" t="s">
        <v>21729</v>
      </c>
      <c r="E7329" s="1" t="s">
        <v>35840</v>
      </c>
      <c r="F7329" s="1" t="s">
        <v>686</v>
      </c>
      <c r="G7329" s="1" t="s">
        <v>25097</v>
      </c>
      <c r="H7329" s="1">
        <v>2013.0</v>
      </c>
      <c r="I7329" s="1" t="s">
        <v>378</v>
      </c>
      <c r="J7329" s="1" t="s">
        <v>471</v>
      </c>
      <c r="K7329" s="1" t="s">
        <v>1320</v>
      </c>
      <c r="L7329" s="1" t="s">
        <v>35841</v>
      </c>
      <c r="M7329" s="2" t="s">
        <v>12</v>
      </c>
      <c r="N7329" s="4">
        <f t="shared" si="1"/>
        <v>43296</v>
      </c>
      <c r="O7329" s="5" t="str">
        <f>IFERROR(__xludf.DUMMYFUNCTION("IF(REGEXMATCH(TRIM(I7329), ""^\d+\s*min""), ""Unclassified"", IF(I7329 = """", ""NR"", I7329))"),"R")</f>
        <v>R</v>
      </c>
      <c r="R7329" s="5" t="str">
        <f t="shared" si="2"/>
        <v>Locke</v>
      </c>
      <c r="S7329" s="5" t="str">
        <f>IFERROR(__xludf.DUMMYFUNCTION("""COMPUTED_VALUE"""),"The It Crowd")</f>
        <v>The It Crowd</v>
      </c>
      <c r="V7329" s="5"/>
      <c r="Y7329" s="5" t="str">
        <f>IFERROR(__xludf.DUMMYFUNCTION("REGEXEXTRACT(J7329, ""^\d+"")"),"85")</f>
        <v>85</v>
      </c>
      <c r="Z7329" s="5" t="str">
        <f>IFERROR(__xludf.DUMMYFUNCTION("REGEXEXTRACT(J7329, ""[A-Za-z ]+$"")")," min")</f>
        <v> min</v>
      </c>
      <c r="AA7329" s="5" t="str">
        <f>IFERROR(__xludf.DUMMYFUNCTION("IF(REGEXMATCH(Z7329, ""Season""), ""TV Show"", ""Movie"")"),"Movie")</f>
        <v>Movie</v>
      </c>
    </row>
    <row r="7330">
      <c r="A7330" s="1" t="s">
        <v>35842</v>
      </c>
      <c r="B7330" s="1" t="s">
        <v>27</v>
      </c>
      <c r="C7330" s="1" t="s">
        <v>35843</v>
      </c>
      <c r="D7330" s="1" t="s">
        <v>10050</v>
      </c>
      <c r="E7330" s="1" t="s">
        <v>35844</v>
      </c>
      <c r="F7330" s="1" t="s">
        <v>718</v>
      </c>
      <c r="G7330" s="7">
        <v>43958.0</v>
      </c>
      <c r="H7330" s="1">
        <v>2012.0</v>
      </c>
      <c r="I7330" s="1" t="s">
        <v>32</v>
      </c>
      <c r="J7330" s="1" t="s">
        <v>465</v>
      </c>
      <c r="K7330" s="1" t="s">
        <v>13636</v>
      </c>
      <c r="L7330" s="1" t="s">
        <v>35845</v>
      </c>
      <c r="M7330" s="2" t="s">
        <v>12</v>
      </c>
      <c r="N7330" s="4">
        <f t="shared" si="1"/>
        <v>43958</v>
      </c>
      <c r="O7330" s="5" t="str">
        <f>IFERROR(__xludf.DUMMYFUNCTION("IF(REGEXMATCH(TRIM(I7330), ""^\d+\s*min""), ""Unclassified"", IF(I7330 = """", ""NR"", I7330))"),"PG-13")</f>
        <v>PG-13</v>
      </c>
      <c r="R7330" s="5" t="str">
        <f t="shared" si="2"/>
        <v>Lockout</v>
      </c>
      <c r="S7330" s="5" t="str">
        <f>IFERROR(__xludf.DUMMYFUNCTION("""COMPUTED_VALUE"""),"The Ivory Game")</f>
        <v>The Ivory Game</v>
      </c>
      <c r="V7330" s="5"/>
      <c r="Y7330" s="5" t="str">
        <f>IFERROR(__xludf.DUMMYFUNCTION("REGEXEXTRACT(J7330, ""^\d+"")"),"95")</f>
        <v>95</v>
      </c>
      <c r="Z7330" s="5" t="str">
        <f>IFERROR(__xludf.DUMMYFUNCTION("REGEXEXTRACT(J7330, ""[A-Za-z ]+$"")")," min")</f>
        <v> min</v>
      </c>
      <c r="AA7330" s="5" t="str">
        <f>IFERROR(__xludf.DUMMYFUNCTION("IF(REGEXMATCH(Z7330, ""Season""), ""TV Show"", ""Movie"")"),"Movie")</f>
        <v>Movie</v>
      </c>
    </row>
    <row r="7331">
      <c r="A7331" s="1" t="s">
        <v>35846</v>
      </c>
      <c r="B7331" s="1" t="s">
        <v>27</v>
      </c>
      <c r="C7331" s="1" t="s">
        <v>35847</v>
      </c>
      <c r="D7331" s="1" t="s">
        <v>7668</v>
      </c>
      <c r="E7331" s="1" t="s">
        <v>35848</v>
      </c>
      <c r="F7331" s="1" t="s">
        <v>162</v>
      </c>
      <c r="G7331" s="1" t="s">
        <v>35849</v>
      </c>
      <c r="H7331" s="1">
        <v>2017.0</v>
      </c>
      <c r="I7331" s="1" t="s">
        <v>42</v>
      </c>
      <c r="J7331" s="1" t="s">
        <v>238</v>
      </c>
      <c r="K7331" s="1" t="s">
        <v>89</v>
      </c>
      <c r="L7331" s="1" t="s">
        <v>35850</v>
      </c>
      <c r="M7331" s="2" t="s">
        <v>12</v>
      </c>
      <c r="N7331" s="4">
        <f t="shared" si="1"/>
        <v>42946</v>
      </c>
      <c r="O7331" s="5" t="str">
        <f>IFERROR(__xludf.DUMMYFUNCTION("IF(REGEXMATCH(TRIM(I7331), ""^\d+\s*min""), ""Unclassified"", IF(I7331 = """", ""NR"", I7331))"),"TV-MA")</f>
        <v>TV-MA</v>
      </c>
      <c r="R7331" s="5" t="str">
        <f t="shared" si="2"/>
        <v>Loco Love</v>
      </c>
      <c r="S7331" s="5" t="str">
        <f>IFERROR(__xludf.DUMMYFUNCTION("""COMPUTED_VALUE"""),"The Jack King Affair")</f>
        <v>The Jack King Affair</v>
      </c>
      <c r="V7331" s="5"/>
      <c r="Y7331" s="5" t="str">
        <f>IFERROR(__xludf.DUMMYFUNCTION("REGEXEXTRACT(J7331, ""^\d+"")"),"103")</f>
        <v>103</v>
      </c>
      <c r="Z7331" s="5" t="str">
        <f>IFERROR(__xludf.DUMMYFUNCTION("REGEXEXTRACT(J7331, ""[A-Za-z ]+$"")")," min")</f>
        <v> min</v>
      </c>
      <c r="AA7331" s="5" t="str">
        <f>IFERROR(__xludf.DUMMYFUNCTION("IF(REGEXMATCH(Z7331, ""Season""), ""TV Show"", ""Movie"")"),"Movie")</f>
        <v>Movie</v>
      </c>
    </row>
    <row r="7332">
      <c r="A7332" s="1" t="s">
        <v>35851</v>
      </c>
      <c r="B7332" s="1" t="s">
        <v>27</v>
      </c>
      <c r="C7332" s="1" t="s">
        <v>35852</v>
      </c>
      <c r="D7332" s="1" t="s">
        <v>15526</v>
      </c>
      <c r="E7332" s="1" t="s">
        <v>35853</v>
      </c>
      <c r="F7332" s="1" t="s">
        <v>30</v>
      </c>
      <c r="G7332" s="1" t="s">
        <v>18333</v>
      </c>
      <c r="H7332" s="1">
        <v>1976.0</v>
      </c>
      <c r="I7332" s="1" t="s">
        <v>78</v>
      </c>
      <c r="J7332" s="1" t="s">
        <v>870</v>
      </c>
      <c r="K7332" s="1" t="s">
        <v>927</v>
      </c>
      <c r="L7332" s="1" t="s">
        <v>35854</v>
      </c>
      <c r="M7332" s="2" t="s">
        <v>12</v>
      </c>
      <c r="N7332" s="4">
        <f t="shared" si="1"/>
        <v>43770</v>
      </c>
      <c r="O7332" s="5" t="str">
        <f>IFERROR(__xludf.DUMMYFUNCTION("IF(REGEXMATCH(TRIM(I7332), ""^\d+\s*min""), ""Unclassified"", IF(I7332 = """", ""NR"", I7332))"),"PG")</f>
        <v>PG</v>
      </c>
      <c r="R7332" s="5" t="str">
        <f t="shared" si="2"/>
        <v>Logan'S Run</v>
      </c>
      <c r="S7332" s="5" t="str">
        <f>IFERROR(__xludf.DUMMYFUNCTION("""COMPUTED_VALUE"""),"The Jaime Maussan Show")</f>
        <v>The Jaime Maussan Show</v>
      </c>
      <c r="V7332" s="5"/>
      <c r="Y7332" s="5" t="str">
        <f>IFERROR(__xludf.DUMMYFUNCTION("REGEXEXTRACT(J7332, ""^\d+"")"),"118")</f>
        <v>118</v>
      </c>
      <c r="Z7332" s="5" t="str">
        <f>IFERROR(__xludf.DUMMYFUNCTION("REGEXEXTRACT(J7332, ""[A-Za-z ]+$"")")," min")</f>
        <v> min</v>
      </c>
      <c r="AA7332" s="5" t="str">
        <f>IFERROR(__xludf.DUMMYFUNCTION("IF(REGEXMATCH(Z7332, ""Season""), ""TV Show"", ""Movie"")"),"Movie")</f>
        <v>Movie</v>
      </c>
    </row>
    <row r="7333">
      <c r="A7333" s="1" t="s">
        <v>35855</v>
      </c>
      <c r="B7333" s="1" t="s">
        <v>37</v>
      </c>
      <c r="C7333" s="1" t="s">
        <v>35856</v>
      </c>
      <c r="E7333" s="1" t="s">
        <v>35857</v>
      </c>
      <c r="F7333" s="1" t="s">
        <v>35858</v>
      </c>
      <c r="G7333" s="7">
        <v>43221.0</v>
      </c>
      <c r="H7333" s="1">
        <v>2016.0</v>
      </c>
      <c r="I7333" s="1" t="s">
        <v>206</v>
      </c>
      <c r="J7333" s="1" t="s">
        <v>43</v>
      </c>
      <c r="K7333" s="1" t="s">
        <v>290</v>
      </c>
      <c r="L7333" s="1" t="s">
        <v>35859</v>
      </c>
      <c r="M7333" s="2" t="s">
        <v>12</v>
      </c>
      <c r="N7333" s="4">
        <f t="shared" si="1"/>
        <v>43221</v>
      </c>
      <c r="O7333" s="5" t="str">
        <f>IFERROR(__xludf.DUMMYFUNCTION("IF(REGEXMATCH(TRIM(I7333), ""^\d+\s*min""), ""Unclassified"", IF(I7333 = """", ""NR"", I7333))"),"TV-Y")</f>
        <v>TV-Y</v>
      </c>
      <c r="R7333" s="5" t="str">
        <f t="shared" si="2"/>
        <v>Lolirock</v>
      </c>
      <c r="S7333" s="5" t="str">
        <f>IFERROR(__xludf.DUMMYFUNCTION("""COMPUTED_VALUE"""),"The Jane Austen Book Club")</f>
        <v>The Jane Austen Book Club</v>
      </c>
      <c r="V7333" s="5"/>
      <c r="Y7333" s="5" t="str">
        <f>IFERROR(__xludf.DUMMYFUNCTION("REGEXEXTRACT(J7333, ""^\d+"")"),"2")</f>
        <v>2</v>
      </c>
      <c r="Z7333" s="5" t="str">
        <f>IFERROR(__xludf.DUMMYFUNCTION("REGEXEXTRACT(J7333, ""[A-Za-z ]+$"")")," Seasons")</f>
        <v> Seasons</v>
      </c>
      <c r="AA7333" s="5" t="str">
        <f>IFERROR(__xludf.DUMMYFUNCTION("IF(REGEXMATCH(Z7333, ""Season""), ""TV Show"", ""Movie"")"),"TV Show")</f>
        <v>TV Show</v>
      </c>
    </row>
    <row r="7334">
      <c r="A7334" s="1" t="s">
        <v>35860</v>
      </c>
      <c r="B7334" s="1" t="s">
        <v>27</v>
      </c>
      <c r="C7334" s="1" t="s">
        <v>35861</v>
      </c>
      <c r="D7334" s="1" t="s">
        <v>21447</v>
      </c>
      <c r="E7334" s="1" t="s">
        <v>35862</v>
      </c>
      <c r="F7334" s="1" t="s">
        <v>686</v>
      </c>
      <c r="G7334" s="1" t="s">
        <v>18333</v>
      </c>
      <c r="H7334" s="1">
        <v>1962.0</v>
      </c>
      <c r="I7334" s="1" t="s">
        <v>378</v>
      </c>
      <c r="J7334" s="1" t="s">
        <v>22970</v>
      </c>
      <c r="K7334" s="1" t="s">
        <v>31996</v>
      </c>
      <c r="L7334" s="1" t="s">
        <v>35863</v>
      </c>
      <c r="M7334" s="2" t="s">
        <v>12</v>
      </c>
      <c r="N7334" s="4">
        <f t="shared" si="1"/>
        <v>43770</v>
      </c>
      <c r="O7334" s="5" t="str">
        <f>IFERROR(__xludf.DUMMYFUNCTION("IF(REGEXMATCH(TRIM(I7334), ""^\d+\s*min""), ""Unclassified"", IF(I7334 = """", ""NR"", I7334))"),"R")</f>
        <v>R</v>
      </c>
      <c r="R7334" s="5" t="str">
        <f t="shared" si="2"/>
        <v>Lolita</v>
      </c>
      <c r="S7334" s="5" t="str">
        <f>IFERROR(__xludf.DUMMYFUNCTION("""COMPUTED_VALUE"""),"The Joel Mchale Show With Joel Mchale")</f>
        <v>The Joel Mchale Show With Joel Mchale</v>
      </c>
      <c r="V7334" s="5"/>
      <c r="Y7334" s="5" t="str">
        <f>IFERROR(__xludf.DUMMYFUNCTION("REGEXEXTRACT(J7334, ""^\d+"")"),"153")</f>
        <v>153</v>
      </c>
      <c r="Z7334" s="5" t="str">
        <f>IFERROR(__xludf.DUMMYFUNCTION("REGEXEXTRACT(J7334, ""[A-Za-z ]+$"")")," min")</f>
        <v> min</v>
      </c>
      <c r="AA7334" s="5" t="str">
        <f>IFERROR(__xludf.DUMMYFUNCTION("IF(REGEXMATCH(Z7334, ""Season""), ""TV Show"", ""Movie"")"),"Movie")</f>
        <v>Movie</v>
      </c>
    </row>
    <row r="7335">
      <c r="A7335" s="1" t="s">
        <v>35864</v>
      </c>
      <c r="B7335" s="1" t="s">
        <v>37</v>
      </c>
      <c r="C7335" s="1" t="s">
        <v>35865</v>
      </c>
      <c r="D7335" s="1" t="s">
        <v>9945</v>
      </c>
      <c r="E7335" s="1" t="s">
        <v>35866</v>
      </c>
      <c r="F7335" s="1" t="s">
        <v>96</v>
      </c>
      <c r="G7335" s="1" t="s">
        <v>28421</v>
      </c>
      <c r="H7335" s="1">
        <v>2015.0</v>
      </c>
      <c r="I7335" s="1" t="s">
        <v>42</v>
      </c>
      <c r="J7335" s="1" t="s">
        <v>51</v>
      </c>
      <c r="K7335" s="1" t="s">
        <v>3274</v>
      </c>
      <c r="L7335" s="1" t="s">
        <v>35867</v>
      </c>
      <c r="M7335" s="2" t="s">
        <v>12</v>
      </c>
      <c r="N7335" s="4">
        <f t="shared" si="1"/>
        <v>42825</v>
      </c>
      <c r="O7335" s="5" t="str">
        <f>IFERROR(__xludf.DUMMYFUNCTION("IF(REGEXMATCH(TRIM(I7335), ""^\d+\s*min""), ""Unclassified"", IF(I7335 = """", ""NR"", I7335))"),"TV-MA")</f>
        <v>TV-MA</v>
      </c>
      <c r="R7335" s="5" t="str">
        <f t="shared" si="2"/>
        <v>London Spy</v>
      </c>
      <c r="S7335" s="5" t="str">
        <f>IFERROR(__xludf.DUMMYFUNCTION("""COMPUTED_VALUE"""),"The Journey Is The Destination")</f>
        <v>The Journey Is The Destination</v>
      </c>
      <c r="V7335" s="5"/>
      <c r="Y7335" s="5" t="str">
        <f>IFERROR(__xludf.DUMMYFUNCTION("REGEXEXTRACT(J7335, ""^\d+"")"),"1")</f>
        <v>1</v>
      </c>
      <c r="Z7335" s="5" t="str">
        <f>IFERROR(__xludf.DUMMYFUNCTION("REGEXEXTRACT(J7335, ""[A-Za-z ]+$"")")," Season")</f>
        <v> Season</v>
      </c>
      <c r="AA7335" s="5" t="str">
        <f>IFERROR(__xludf.DUMMYFUNCTION("IF(REGEXMATCH(Z7335, ""Season""), ""TV Show"", ""Movie"")"),"TV Show")</f>
        <v>TV Show</v>
      </c>
    </row>
    <row r="7336">
      <c r="A7336" s="1" t="s">
        <v>35868</v>
      </c>
      <c r="B7336" s="1" t="s">
        <v>27</v>
      </c>
      <c r="C7336" s="1" t="s">
        <v>35869</v>
      </c>
      <c r="D7336" s="1" t="s">
        <v>35870</v>
      </c>
      <c r="E7336" s="1" t="s">
        <v>35871</v>
      </c>
      <c r="F7336" s="1" t="s">
        <v>1106</v>
      </c>
      <c r="G7336" s="1" t="s">
        <v>35872</v>
      </c>
      <c r="H7336" s="1">
        <v>2017.0</v>
      </c>
      <c r="I7336" s="1" t="s">
        <v>97</v>
      </c>
      <c r="J7336" s="1" t="s">
        <v>322</v>
      </c>
      <c r="K7336" s="1" t="s">
        <v>2892</v>
      </c>
      <c r="L7336" s="1" t="s">
        <v>35873</v>
      </c>
      <c r="M7336" s="2" t="s">
        <v>12</v>
      </c>
      <c r="N7336" s="4">
        <f t="shared" si="1"/>
        <v>43051</v>
      </c>
      <c r="O7336" s="5" t="str">
        <f>IFERROR(__xludf.DUMMYFUNCTION("IF(REGEXMATCH(TRIM(I7336), ""^\d+\s*min""), ""Unclassified"", IF(I7336 = """", ""NR"", I7336))"),"TV-14")</f>
        <v>TV-14</v>
      </c>
      <c r="R7336" s="5" t="str">
        <f t="shared" si="2"/>
        <v>Long Time Running</v>
      </c>
      <c r="S7336" s="5" t="str">
        <f>IFERROR(__xludf.DUMMYFUNCTION("""COMPUTED_VALUE"""),"The Judgement")</f>
        <v>The Judgement</v>
      </c>
      <c r="V7336" s="5"/>
      <c r="Y7336" s="5" t="str">
        <f>IFERROR(__xludf.DUMMYFUNCTION("REGEXEXTRACT(J7336, ""^\d+"")"),"96")</f>
        <v>96</v>
      </c>
      <c r="Z7336" s="5" t="str">
        <f>IFERROR(__xludf.DUMMYFUNCTION("REGEXEXTRACT(J7336, ""[A-Za-z ]+$"")")," min")</f>
        <v> min</v>
      </c>
      <c r="AA7336" s="5" t="str">
        <f>IFERROR(__xludf.DUMMYFUNCTION("IF(REGEXMATCH(Z7336, ""Season""), ""TV Show"", ""Movie"")"),"Movie")</f>
        <v>Movie</v>
      </c>
    </row>
    <row r="7337">
      <c r="A7337" s="1" t="s">
        <v>35874</v>
      </c>
      <c r="B7337" s="1" t="s">
        <v>27</v>
      </c>
      <c r="C7337" s="1" t="s">
        <v>35875</v>
      </c>
      <c r="D7337" s="1" t="s">
        <v>22087</v>
      </c>
      <c r="E7337" s="1" t="s">
        <v>35876</v>
      </c>
      <c r="F7337" s="1" t="s">
        <v>1119</v>
      </c>
      <c r="G7337" s="1" t="s">
        <v>24803</v>
      </c>
      <c r="H7337" s="1">
        <v>1990.0</v>
      </c>
      <c r="I7337" s="1" t="s">
        <v>97</v>
      </c>
      <c r="J7337" s="1" t="s">
        <v>428</v>
      </c>
      <c r="K7337" s="1" t="s">
        <v>1328</v>
      </c>
      <c r="L7337" s="1" t="s">
        <v>35877</v>
      </c>
      <c r="M7337" s="2" t="s">
        <v>12</v>
      </c>
      <c r="N7337" s="4">
        <f t="shared" si="1"/>
        <v>43328</v>
      </c>
      <c r="O7337" s="5" t="str">
        <f>IFERROR(__xludf.DUMMYFUNCTION("IF(REGEXMATCH(TRIM(I7337), ""^\d+\s*min""), ""Unclassified"", IF(I7337 = """", ""NR"", I7337))"),"TV-14")</f>
        <v>TV-14</v>
      </c>
      <c r="R7337" s="5" t="str">
        <f t="shared" si="2"/>
        <v>Look Out, Officer</v>
      </c>
      <c r="S7337" s="5" t="str">
        <f>IFERROR(__xludf.DUMMYFUNCTION("""COMPUTED_VALUE"""),"The Jungle Book")</f>
        <v>The Jungle Book</v>
      </c>
      <c r="V7337" s="5"/>
      <c r="Y7337" s="5" t="str">
        <f>IFERROR(__xludf.DUMMYFUNCTION("REGEXEXTRACT(J7337, ""^\d+"")"),"88")</f>
        <v>88</v>
      </c>
      <c r="Z7337" s="5" t="str">
        <f>IFERROR(__xludf.DUMMYFUNCTION("REGEXEXTRACT(J7337, ""[A-Za-z ]+$"")")," min")</f>
        <v> min</v>
      </c>
      <c r="AA7337" s="5" t="str">
        <f>IFERROR(__xludf.DUMMYFUNCTION("IF(REGEXMATCH(Z7337, ""Season""), ""TV Show"", ""Movie"")"),"Movie")</f>
        <v>Movie</v>
      </c>
    </row>
    <row r="7338">
      <c r="A7338" s="1" t="s">
        <v>35878</v>
      </c>
      <c r="B7338" s="1" t="s">
        <v>27</v>
      </c>
      <c r="C7338" s="1" t="s">
        <v>35879</v>
      </c>
      <c r="D7338" s="1" t="s">
        <v>6192</v>
      </c>
      <c r="E7338" s="1" t="s">
        <v>35880</v>
      </c>
      <c r="F7338" s="1" t="s">
        <v>2492</v>
      </c>
      <c r="G7338" s="1" t="s">
        <v>35881</v>
      </c>
      <c r="H7338" s="1">
        <v>2015.0</v>
      </c>
      <c r="I7338" s="1" t="s">
        <v>30231</v>
      </c>
      <c r="J7338" s="1" t="s">
        <v>349</v>
      </c>
      <c r="K7338" s="1" t="s">
        <v>199</v>
      </c>
      <c r="L7338" s="1" t="s">
        <v>35882</v>
      </c>
      <c r="M7338" s="2" t="s">
        <v>12</v>
      </c>
      <c r="N7338" s="4">
        <f t="shared" si="1"/>
        <v>42469</v>
      </c>
      <c r="O7338" s="5" t="str">
        <f>IFERROR(__xludf.DUMMYFUNCTION("IF(REGEXMATCH(TRIM(I7338), ""^\d+\s*min""), ""Unclassified"", IF(I7338 = """", ""NR"", I7338))"),"NR")</f>
        <v>NR</v>
      </c>
      <c r="R7338" s="5" t="str">
        <f t="shared" si="2"/>
        <v>Look Who'S Back</v>
      </c>
      <c r="S7338" s="5" t="str">
        <f>IFERROR(__xludf.DUMMYFUNCTION("""COMPUTED_VALUE"""),"The Jungle School")</f>
        <v>The Jungle School</v>
      </c>
      <c r="V7338" s="5"/>
      <c r="Y7338" s="5" t="str">
        <f>IFERROR(__xludf.DUMMYFUNCTION("REGEXEXTRACT(J7338, ""^\d+"")"),"116")</f>
        <v>116</v>
      </c>
      <c r="Z7338" s="5" t="str">
        <f>IFERROR(__xludf.DUMMYFUNCTION("REGEXEXTRACT(J7338, ""[A-Za-z ]+$"")")," min")</f>
        <v> min</v>
      </c>
      <c r="AA7338" s="5" t="str">
        <f>IFERROR(__xludf.DUMMYFUNCTION("IF(REGEXMATCH(Z7338, ""Season""), ""TV Show"", ""Movie"")"),"Movie")</f>
        <v>Movie</v>
      </c>
    </row>
    <row r="7339">
      <c r="A7339" s="1" t="s">
        <v>35883</v>
      </c>
      <c r="B7339" s="1" t="s">
        <v>27</v>
      </c>
      <c r="C7339" s="1" t="s">
        <v>35884</v>
      </c>
      <c r="D7339" s="1" t="s">
        <v>17555</v>
      </c>
      <c r="E7339" s="1" t="s">
        <v>35885</v>
      </c>
      <c r="F7339" s="1" t="s">
        <v>63</v>
      </c>
      <c r="G7339" s="1" t="s">
        <v>27321</v>
      </c>
      <c r="H7339" s="1">
        <v>2015.0</v>
      </c>
      <c r="I7339" s="1" t="s">
        <v>97</v>
      </c>
      <c r="J7339" s="1" t="s">
        <v>3511</v>
      </c>
      <c r="K7339" s="1" t="s">
        <v>5099</v>
      </c>
      <c r="L7339" s="1" t="s">
        <v>35886</v>
      </c>
      <c r="M7339" s="2" t="s">
        <v>12</v>
      </c>
      <c r="N7339" s="4">
        <f t="shared" si="1"/>
        <v>42979</v>
      </c>
      <c r="O7339" s="5" t="str">
        <f>IFERROR(__xludf.DUMMYFUNCTION("IF(REGEXMATCH(TRIM(I7339), ""^\d+\s*min""), ""Unclassified"", IF(I7339 = """", ""NR"", I7339))"),"TV-14")</f>
        <v>TV-14</v>
      </c>
      <c r="R7339" s="5" t="str">
        <f t="shared" si="2"/>
        <v>Lorai: Play To Live</v>
      </c>
      <c r="S7339" s="5" t="str">
        <f>IFERROR(__xludf.DUMMYFUNCTION("""COMPUTED_VALUE"""),"The K2")</f>
        <v>The K2</v>
      </c>
      <c r="V7339" s="5"/>
      <c r="Y7339" s="5" t="str">
        <f>IFERROR(__xludf.DUMMYFUNCTION("REGEXEXTRACT(J7339, ""^\d+"")"),"155")</f>
        <v>155</v>
      </c>
      <c r="Z7339" s="5" t="str">
        <f>IFERROR(__xludf.DUMMYFUNCTION("REGEXEXTRACT(J7339, ""[A-Za-z ]+$"")")," min")</f>
        <v> min</v>
      </c>
      <c r="AA7339" s="5" t="str">
        <f>IFERROR(__xludf.DUMMYFUNCTION("IF(REGEXMATCH(Z7339, ""Season""), ""TV Show"", ""Movie"")"),"Movie")</f>
        <v>Movie</v>
      </c>
    </row>
    <row r="7340">
      <c r="A7340" s="1" t="s">
        <v>35887</v>
      </c>
      <c r="B7340" s="1" t="s">
        <v>37</v>
      </c>
      <c r="C7340" s="1" t="s">
        <v>35888</v>
      </c>
      <c r="E7340" s="1" t="s">
        <v>35889</v>
      </c>
      <c r="G7340" s="1" t="s">
        <v>25249</v>
      </c>
      <c r="H7340" s="1">
        <v>2015.0</v>
      </c>
      <c r="I7340" s="1" t="s">
        <v>42</v>
      </c>
      <c r="J7340" s="1" t="s">
        <v>51</v>
      </c>
      <c r="K7340" s="1" t="s">
        <v>1627</v>
      </c>
      <c r="L7340" s="1" t="s">
        <v>35890</v>
      </c>
      <c r="M7340" s="2" t="s">
        <v>12</v>
      </c>
      <c r="N7340" s="4">
        <f t="shared" si="1"/>
        <v>43280</v>
      </c>
      <c r="O7340" s="5" t="str">
        <f>IFERROR(__xludf.DUMMYFUNCTION("IF(REGEXMATCH(TRIM(I7340), ""^\d+\s*min""), ""Unclassified"", IF(I7340 = """", ""NR"", I7340))"),"TV-MA")</f>
        <v>TV-MA</v>
      </c>
      <c r="R7340" s="5" t="str">
        <f t="shared" si="2"/>
        <v>Los 10 Años De Peter Capusotto</v>
      </c>
      <c r="S7340" s="5" t="str">
        <f>IFERROR(__xludf.DUMMYFUNCTION("""COMPUTED_VALUE"""),"The Karate Kid")</f>
        <v>The Karate Kid</v>
      </c>
      <c r="V7340" s="5"/>
      <c r="Y7340" s="5" t="str">
        <f>IFERROR(__xludf.DUMMYFUNCTION("REGEXEXTRACT(J7340, ""^\d+"")"),"1")</f>
        <v>1</v>
      </c>
      <c r="Z7340" s="5" t="str">
        <f>IFERROR(__xludf.DUMMYFUNCTION("REGEXEXTRACT(J7340, ""[A-Za-z ]+$"")")," Season")</f>
        <v> Season</v>
      </c>
      <c r="AA7340" s="5" t="str">
        <f>IFERROR(__xludf.DUMMYFUNCTION("IF(REGEXMATCH(Z7340, ""Season""), ""TV Show"", ""Movie"")"),"TV Show")</f>
        <v>TV Show</v>
      </c>
    </row>
    <row r="7341">
      <c r="A7341" s="1" t="s">
        <v>35891</v>
      </c>
      <c r="B7341" s="1" t="s">
        <v>27</v>
      </c>
      <c r="C7341" s="1" t="s">
        <v>35892</v>
      </c>
      <c r="D7341" s="1" t="s">
        <v>9581</v>
      </c>
      <c r="G7341" s="1" t="s">
        <v>26596</v>
      </c>
      <c r="H7341" s="1">
        <v>2017.0</v>
      </c>
      <c r="I7341" s="1" t="s">
        <v>97</v>
      </c>
      <c r="J7341" s="1" t="s">
        <v>428</v>
      </c>
      <c r="K7341" s="1" t="s">
        <v>156</v>
      </c>
      <c r="L7341" s="1" t="s">
        <v>35893</v>
      </c>
      <c r="M7341" s="2" t="s">
        <v>12</v>
      </c>
      <c r="N7341" s="4">
        <f t="shared" si="1"/>
        <v>43084</v>
      </c>
      <c r="O7341" s="5" t="str">
        <f>IFERROR(__xludf.DUMMYFUNCTION("IF(REGEXMATCH(TRIM(I7341), ""^\d+\s*min""), ""Unclassified"", IF(I7341 = """", ""NR"", I7341))"),"TV-14")</f>
        <v>TV-14</v>
      </c>
      <c r="R7341" s="5" t="str">
        <f t="shared" si="2"/>
        <v>Los Niños Héroes De Chapultepec</v>
      </c>
      <c r="S7341" s="5" t="str">
        <f>IFERROR(__xludf.DUMMYFUNCTION("""COMPUTED_VALUE"""),"The Karate Kid Part Ii")</f>
        <v>The Karate Kid Part Ii</v>
      </c>
      <c r="V7341" s="5"/>
      <c r="Y7341" s="5" t="str">
        <f>IFERROR(__xludf.DUMMYFUNCTION("REGEXEXTRACT(J7341, ""^\d+"")"),"88")</f>
        <v>88</v>
      </c>
      <c r="Z7341" s="5" t="str">
        <f>IFERROR(__xludf.DUMMYFUNCTION("REGEXEXTRACT(J7341, ""[A-Za-z ]+$"")")," min")</f>
        <v> min</v>
      </c>
      <c r="AA7341" s="5" t="str">
        <f>IFERROR(__xludf.DUMMYFUNCTION("IF(REGEXMATCH(Z7341, ""Season""), ""TV Show"", ""Movie"")"),"Movie")</f>
        <v>Movie</v>
      </c>
    </row>
    <row r="7342">
      <c r="A7342" s="1" t="s">
        <v>35894</v>
      </c>
      <c r="B7342" s="1" t="s">
        <v>37</v>
      </c>
      <c r="C7342" s="1" t="s">
        <v>35895</v>
      </c>
      <c r="D7342" s="1" t="s">
        <v>1036</v>
      </c>
      <c r="F7342" s="1" t="s">
        <v>1837</v>
      </c>
      <c r="G7342" s="1" t="s">
        <v>24964</v>
      </c>
      <c r="H7342" s="1">
        <v>2012.0</v>
      </c>
      <c r="I7342" s="1" t="s">
        <v>97</v>
      </c>
      <c r="J7342" s="1" t="s">
        <v>51</v>
      </c>
      <c r="K7342" s="1" t="s">
        <v>112</v>
      </c>
      <c r="L7342" s="1" t="s">
        <v>35896</v>
      </c>
      <c r="M7342" s="2" t="s">
        <v>12</v>
      </c>
      <c r="N7342" s="4">
        <f t="shared" si="1"/>
        <v>43313</v>
      </c>
      <c r="O7342" s="5" t="str">
        <f>IFERROR(__xludf.DUMMYFUNCTION("IF(REGEXMATCH(TRIM(I7342), ""^\d+\s*min""), ""Unclassified"", IF(I7342 = """", ""NR"", I7342))"),"TV-14")</f>
        <v>TV-14</v>
      </c>
      <c r="R7342" s="5" t="str">
        <f t="shared" si="2"/>
        <v>Los Tiempos De Pablo Escobar</v>
      </c>
      <c r="S7342" s="5" t="str">
        <f>IFERROR(__xludf.DUMMYFUNCTION("""COMPUTED_VALUE"""),"The Karate Kid Part Iii")</f>
        <v>The Karate Kid Part Iii</v>
      </c>
      <c r="V7342" s="5"/>
      <c r="Y7342" s="5" t="str">
        <f>IFERROR(__xludf.DUMMYFUNCTION("REGEXEXTRACT(J7342, ""^\d+"")"),"1")</f>
        <v>1</v>
      </c>
      <c r="Z7342" s="5" t="str">
        <f>IFERROR(__xludf.DUMMYFUNCTION("REGEXEXTRACT(J7342, ""[A-Za-z ]+$"")")," Season")</f>
        <v> Season</v>
      </c>
      <c r="AA7342" s="5" t="str">
        <f>IFERROR(__xludf.DUMMYFUNCTION("IF(REGEXMATCH(Z7342, ""Season""), ""TV Show"", ""Movie"")"),"TV Show")</f>
        <v>TV Show</v>
      </c>
    </row>
    <row r="7343">
      <c r="A7343" s="1" t="s">
        <v>35897</v>
      </c>
      <c r="B7343" s="1" t="s">
        <v>27</v>
      </c>
      <c r="C7343" s="1" t="s">
        <v>35898</v>
      </c>
      <c r="D7343" s="1" t="s">
        <v>20468</v>
      </c>
      <c r="F7343" s="1" t="s">
        <v>35899</v>
      </c>
      <c r="G7343" s="7">
        <v>42856.0</v>
      </c>
      <c r="H7343" s="1">
        <v>2017.0</v>
      </c>
      <c r="I7343" s="1" t="s">
        <v>97</v>
      </c>
      <c r="J7343" s="1" t="s">
        <v>665</v>
      </c>
      <c r="K7343" s="1" t="s">
        <v>645</v>
      </c>
      <c r="L7343" s="1" t="s">
        <v>35900</v>
      </c>
      <c r="M7343" s="2" t="s">
        <v>12</v>
      </c>
      <c r="N7343" s="4">
        <f t="shared" si="1"/>
        <v>42856</v>
      </c>
      <c r="O7343" s="5" t="str">
        <f>IFERROR(__xludf.DUMMYFUNCTION("IF(REGEXMATCH(TRIM(I7343), ""^\d+\s*min""), ""Unclassified"", IF(I7343 = """", ""NR"", I7343))"),"TV-14")</f>
        <v>TV-14</v>
      </c>
      <c r="R7343" s="5" t="str">
        <f t="shared" si="2"/>
        <v>Losing Sight Of Shore</v>
      </c>
      <c r="S7343" s="5" t="str">
        <f>IFERROR(__xludf.DUMMYFUNCTION("""COMPUTED_VALUE"""),"The Keepers")</f>
        <v>The Keepers</v>
      </c>
      <c r="V7343" s="5"/>
      <c r="Y7343" s="5" t="str">
        <f>IFERROR(__xludf.DUMMYFUNCTION("REGEXEXTRACT(J7343, ""^\d+"")"),"92")</f>
        <v>92</v>
      </c>
      <c r="Z7343" s="5" t="str">
        <f>IFERROR(__xludf.DUMMYFUNCTION("REGEXEXTRACT(J7343, ""[A-Za-z ]+$"")")," min")</f>
        <v> min</v>
      </c>
      <c r="AA7343" s="5" t="str">
        <f>IFERROR(__xludf.DUMMYFUNCTION("IF(REGEXMATCH(Z7343, ""Season""), ""TV Show"", ""Movie"")"),"Movie")</f>
        <v>Movie</v>
      </c>
    </row>
    <row r="7344">
      <c r="A7344" s="1" t="s">
        <v>35901</v>
      </c>
      <c r="B7344" s="1" t="s">
        <v>37</v>
      </c>
      <c r="C7344" s="1" t="s">
        <v>35902</v>
      </c>
      <c r="E7344" s="1" t="s">
        <v>35903</v>
      </c>
      <c r="F7344" s="1" t="s">
        <v>1106</v>
      </c>
      <c r="G7344" s="1" t="s">
        <v>35904</v>
      </c>
      <c r="H7344" s="1">
        <v>2015.0</v>
      </c>
      <c r="I7344" s="1" t="s">
        <v>97</v>
      </c>
      <c r="J7344" s="1" t="s">
        <v>189</v>
      </c>
      <c r="K7344" s="1" t="s">
        <v>71</v>
      </c>
      <c r="L7344" s="1" t="s">
        <v>35905</v>
      </c>
      <c r="M7344" s="2" t="s">
        <v>12</v>
      </c>
      <c r="N7344" s="1" t="str">
        <f t="shared" si="1"/>
        <v>#N/A</v>
      </c>
      <c r="O7344" s="5" t="str">
        <f>IFERROR(__xludf.DUMMYFUNCTION("IF(REGEXMATCH(TRIM(I7344), ""^\d+\s*min""), ""Unclassified"", IF(I7344 = """", ""NR"", I7344))"),"TV-14")</f>
        <v>TV-14</v>
      </c>
      <c r="R7344" s="5" t="str">
        <f t="shared" si="2"/>
        <v>Lost Girl</v>
      </c>
      <c r="S7344" s="5" t="str">
        <f>IFERROR(__xludf.DUMMYFUNCTION("""COMPUTED_VALUE"""),"The Keeping Hours")</f>
        <v>The Keeping Hours</v>
      </c>
      <c r="V7344" s="5"/>
      <c r="Y7344" s="5" t="str">
        <f>IFERROR(__xludf.DUMMYFUNCTION("REGEXEXTRACT(J7344, ""^\d+"")"),"5")</f>
        <v>5</v>
      </c>
      <c r="Z7344" s="5" t="str">
        <f>IFERROR(__xludf.DUMMYFUNCTION("REGEXEXTRACT(J7344, ""[A-Za-z ]+$"")")," Seasons")</f>
        <v> Seasons</v>
      </c>
      <c r="AA7344" s="5" t="str">
        <f>IFERROR(__xludf.DUMMYFUNCTION("IF(REGEXMATCH(Z7344, ""Season""), ""TV Show"", ""Movie"")"),"TV Show")</f>
        <v>TV Show</v>
      </c>
    </row>
    <row r="7345">
      <c r="A7345" s="1" t="s">
        <v>35906</v>
      </c>
      <c r="B7345" s="1" t="s">
        <v>37</v>
      </c>
      <c r="C7345" s="1" t="s">
        <v>35907</v>
      </c>
      <c r="E7345" s="1" t="s">
        <v>35908</v>
      </c>
      <c r="F7345" s="1" t="s">
        <v>2059</v>
      </c>
      <c r="G7345" s="1" t="s">
        <v>29574</v>
      </c>
      <c r="H7345" s="1">
        <v>2015.0</v>
      </c>
      <c r="I7345" s="1" t="s">
        <v>42</v>
      </c>
      <c r="J7345" s="1" t="s">
        <v>51</v>
      </c>
      <c r="K7345" s="1" t="s">
        <v>64</v>
      </c>
      <c r="L7345" s="1" t="s">
        <v>35909</v>
      </c>
      <c r="M7345" s="2" t="s">
        <v>12</v>
      </c>
      <c r="N7345" s="4">
        <f t="shared" si="1"/>
        <v>42583</v>
      </c>
      <c r="O7345" s="5" t="str">
        <f>IFERROR(__xludf.DUMMYFUNCTION("IF(REGEXMATCH(TRIM(I7345), ""^\d+\s*min""), ""Unclassified"", IF(I7345 = """", ""NR"", I7345))"),"TV-MA")</f>
        <v>TV-MA</v>
      </c>
      <c r="R7345" s="5" t="str">
        <f t="shared" si="2"/>
        <v>Love Cuisine</v>
      </c>
      <c r="S7345" s="5" t="str">
        <f>IFERROR(__xludf.DUMMYFUNCTION("""COMPUTED_VALUE"""),"The Killer")</f>
        <v>The Killer</v>
      </c>
      <c r="V7345" s="5"/>
      <c r="Y7345" s="5" t="str">
        <f>IFERROR(__xludf.DUMMYFUNCTION("REGEXEXTRACT(J7345, ""^\d+"")"),"1")</f>
        <v>1</v>
      </c>
      <c r="Z7345" s="5" t="str">
        <f>IFERROR(__xludf.DUMMYFUNCTION("REGEXEXTRACT(J7345, ""[A-Za-z ]+$"")")," Season")</f>
        <v> Season</v>
      </c>
      <c r="AA7345" s="5" t="str">
        <f>IFERROR(__xludf.DUMMYFUNCTION("IF(REGEXMATCH(Z7345, ""Season""), ""TV Show"", ""Movie"")"),"TV Show")</f>
        <v>TV Show</v>
      </c>
    </row>
    <row r="7346">
      <c r="A7346" s="1" t="s">
        <v>35910</v>
      </c>
      <c r="B7346" s="1" t="s">
        <v>27</v>
      </c>
      <c r="C7346" s="1" t="s">
        <v>35911</v>
      </c>
      <c r="D7346" s="1" t="s">
        <v>4499</v>
      </c>
      <c r="E7346" s="1" t="s">
        <v>35912</v>
      </c>
      <c r="F7346" s="1" t="s">
        <v>30</v>
      </c>
      <c r="G7346" s="1" t="s">
        <v>16184</v>
      </c>
      <c r="H7346" s="1">
        <v>2019.0</v>
      </c>
      <c r="I7346" s="1" t="s">
        <v>42</v>
      </c>
      <c r="J7346" s="1" t="s">
        <v>357</v>
      </c>
      <c r="K7346" s="1" t="s">
        <v>813</v>
      </c>
      <c r="L7346" s="1" t="s">
        <v>35913</v>
      </c>
      <c r="M7346" s="2" t="s">
        <v>12</v>
      </c>
      <c r="N7346" s="4">
        <f t="shared" si="1"/>
        <v>43878</v>
      </c>
      <c r="O7346" s="5" t="str">
        <f>IFERROR(__xludf.DUMMYFUNCTION("IF(REGEXMATCH(TRIM(I7346), ""^\d+\s*min""), ""Unclassified"", IF(I7346 = """", ""NR"", I7346))"),"TV-MA")</f>
        <v>TV-MA</v>
      </c>
      <c r="R7346" s="5" t="str">
        <f t="shared" si="2"/>
        <v>Love Dot Com: The Social Experiment</v>
      </c>
      <c r="S7346" s="5" t="str">
        <f>IFERROR(__xludf.DUMMYFUNCTION("""COMPUTED_VALUE"""),"The Killing Of A Sacred Deer")</f>
        <v>The Killing Of A Sacred Deer</v>
      </c>
      <c r="V7346" s="5"/>
      <c r="Y7346" s="5" t="str">
        <f>IFERROR(__xludf.DUMMYFUNCTION("REGEXEXTRACT(J7346, ""^\d+"")"),"98")</f>
        <v>98</v>
      </c>
      <c r="Z7346" s="5" t="str">
        <f>IFERROR(__xludf.DUMMYFUNCTION("REGEXEXTRACT(J7346, ""[A-Za-z ]+$"")")," min")</f>
        <v> min</v>
      </c>
      <c r="AA7346" s="5" t="str">
        <f>IFERROR(__xludf.DUMMYFUNCTION("IF(REGEXMATCH(Z7346, ""Season""), ""TV Show"", ""Movie"")"),"Movie")</f>
        <v>Movie</v>
      </c>
    </row>
    <row r="7347">
      <c r="A7347" s="1" t="s">
        <v>35914</v>
      </c>
      <c r="B7347" s="1" t="s">
        <v>27</v>
      </c>
      <c r="C7347" s="1" t="s">
        <v>35915</v>
      </c>
      <c r="D7347" s="1" t="s">
        <v>1117</v>
      </c>
      <c r="E7347" s="1" t="s">
        <v>35916</v>
      </c>
      <c r="F7347" s="1" t="s">
        <v>1119</v>
      </c>
      <c r="G7347" s="1" t="s">
        <v>24964</v>
      </c>
      <c r="H7347" s="1">
        <v>2010.0</v>
      </c>
      <c r="I7347" s="1" t="s">
        <v>42</v>
      </c>
      <c r="J7347" s="1" t="s">
        <v>238</v>
      </c>
      <c r="K7347" s="1" t="s">
        <v>583</v>
      </c>
      <c r="L7347" s="1" t="s">
        <v>35917</v>
      </c>
      <c r="M7347" s="2" t="s">
        <v>12</v>
      </c>
      <c r="N7347" s="4">
        <f t="shared" si="1"/>
        <v>43313</v>
      </c>
      <c r="O7347" s="5" t="str">
        <f>IFERROR(__xludf.DUMMYFUNCTION("IF(REGEXMATCH(TRIM(I7347), ""^\d+\s*min""), ""Unclassified"", IF(I7347 = """", ""NR"", I7347))"),"TV-MA")</f>
        <v>TV-MA</v>
      </c>
      <c r="R7347" s="5" t="str">
        <f t="shared" si="2"/>
        <v>Love In A Puff</v>
      </c>
      <c r="S7347" s="5" t="str">
        <f>IFERROR(__xludf.DUMMYFUNCTION("""COMPUTED_VALUE"""),"The Kindergarten Teacher")</f>
        <v>The Kindergarten Teacher</v>
      </c>
      <c r="V7347" s="5"/>
      <c r="Y7347" s="5" t="str">
        <f>IFERROR(__xludf.DUMMYFUNCTION("REGEXEXTRACT(J7347, ""^\d+"")"),"103")</f>
        <v>103</v>
      </c>
      <c r="Z7347" s="5" t="str">
        <f>IFERROR(__xludf.DUMMYFUNCTION("REGEXEXTRACT(J7347, ""[A-Za-z ]+$"")")," min")</f>
        <v> min</v>
      </c>
      <c r="AA7347" s="5" t="str">
        <f>IFERROR(__xludf.DUMMYFUNCTION("IF(REGEXMATCH(Z7347, ""Season""), ""TV Show"", ""Movie"")"),"Movie")</f>
        <v>Movie</v>
      </c>
    </row>
    <row r="7348">
      <c r="A7348" s="1" t="s">
        <v>35918</v>
      </c>
      <c r="B7348" s="1" t="s">
        <v>27</v>
      </c>
      <c r="C7348" s="1" t="s">
        <v>35919</v>
      </c>
      <c r="D7348" s="1" t="s">
        <v>19987</v>
      </c>
      <c r="E7348" s="1" t="s">
        <v>35920</v>
      </c>
      <c r="F7348" s="1" t="s">
        <v>63</v>
      </c>
      <c r="G7348" s="7">
        <v>43221.0</v>
      </c>
      <c r="H7348" s="1">
        <v>2017.0</v>
      </c>
      <c r="I7348" s="1" t="s">
        <v>97</v>
      </c>
      <c r="J7348" s="1" t="s">
        <v>24904</v>
      </c>
      <c r="K7348" s="1" t="s">
        <v>215</v>
      </c>
      <c r="L7348" s="1" t="s">
        <v>35921</v>
      </c>
      <c r="M7348" s="2" t="s">
        <v>12</v>
      </c>
      <c r="N7348" s="4">
        <f t="shared" si="1"/>
        <v>43221</v>
      </c>
      <c r="O7348" s="5" t="str">
        <f>IFERROR(__xludf.DUMMYFUNCTION("IF(REGEXMATCH(TRIM(I7348), ""^\d+\s*min""), ""Unclassified"", IF(I7348 = """", ""NR"", I7348))"),"TV-14")</f>
        <v>TV-14</v>
      </c>
      <c r="R7348" s="5" t="str">
        <f t="shared" si="2"/>
        <v>Love Ni Bhavai</v>
      </c>
      <c r="S7348" s="5" t="str">
        <f>IFERROR(__xludf.DUMMYFUNCTION("""COMPUTED_VALUE"""),"The Kindness Diaries")</f>
        <v>The Kindness Diaries</v>
      </c>
      <c r="V7348" s="5"/>
      <c r="Y7348" s="5" t="str">
        <f>IFERROR(__xludf.DUMMYFUNCTION("REGEXEXTRACT(J7348, ""^\d+"")"),"163")</f>
        <v>163</v>
      </c>
      <c r="Z7348" s="5" t="str">
        <f>IFERROR(__xludf.DUMMYFUNCTION("REGEXEXTRACT(J7348, ""[A-Za-z ]+$"")")," min")</f>
        <v> min</v>
      </c>
      <c r="AA7348" s="5" t="str">
        <f>IFERROR(__xludf.DUMMYFUNCTION("IF(REGEXMATCH(Z7348, ""Season""), ""TV Show"", ""Movie"")"),"Movie")</f>
        <v>Movie</v>
      </c>
    </row>
    <row r="7349">
      <c r="A7349" s="1" t="s">
        <v>35922</v>
      </c>
      <c r="B7349" s="1" t="s">
        <v>27</v>
      </c>
      <c r="C7349" s="1" t="s">
        <v>35923</v>
      </c>
      <c r="D7349" s="1" t="s">
        <v>21553</v>
      </c>
      <c r="E7349" s="1" t="s">
        <v>35924</v>
      </c>
      <c r="F7349" s="1" t="s">
        <v>1119</v>
      </c>
      <c r="G7349" s="1" t="s">
        <v>24803</v>
      </c>
      <c r="H7349" s="1">
        <v>1994.0</v>
      </c>
      <c r="I7349" s="1" t="s">
        <v>97</v>
      </c>
      <c r="J7349" s="1" t="s">
        <v>454</v>
      </c>
      <c r="K7349" s="1" t="s">
        <v>1328</v>
      </c>
      <c r="L7349" s="1" t="s">
        <v>35925</v>
      </c>
      <c r="M7349" s="2" t="s">
        <v>12</v>
      </c>
      <c r="N7349" s="4">
        <f t="shared" si="1"/>
        <v>43328</v>
      </c>
      <c r="O7349" s="5" t="str">
        <f>IFERROR(__xludf.DUMMYFUNCTION("IF(REGEXMATCH(TRIM(I7349), ""^\d+\s*min""), ""Unclassified"", IF(I7349 = """", ""NR"", I7349))"),"TV-14")</f>
        <v>TV-14</v>
      </c>
      <c r="R7349" s="5" t="str">
        <f t="shared" si="2"/>
        <v>Love On Delivery</v>
      </c>
      <c r="S7349" s="5" t="str">
        <f>IFERROR(__xludf.DUMMYFUNCTION("""COMPUTED_VALUE"""),"The King")</f>
        <v>The King</v>
      </c>
      <c r="V7349" s="5"/>
      <c r="Y7349" s="5" t="str">
        <f>IFERROR(__xludf.DUMMYFUNCTION("REGEXEXTRACT(J7349, ""^\d+"")"),"93")</f>
        <v>93</v>
      </c>
      <c r="Z7349" s="5" t="str">
        <f>IFERROR(__xludf.DUMMYFUNCTION("REGEXEXTRACT(J7349, ""[A-Za-z ]+$"")")," min")</f>
        <v> min</v>
      </c>
      <c r="AA7349" s="5" t="str">
        <f>IFERROR(__xludf.DUMMYFUNCTION("IF(REGEXMATCH(Z7349, ""Season""), ""TV Show"", ""Movie"")"),"Movie")</f>
        <v>Movie</v>
      </c>
    </row>
    <row r="7350">
      <c r="A7350" s="1" t="s">
        <v>35926</v>
      </c>
      <c r="B7350" s="1" t="s">
        <v>37</v>
      </c>
      <c r="C7350" s="1" t="s">
        <v>35927</v>
      </c>
      <c r="E7350" s="1" t="s">
        <v>35928</v>
      </c>
      <c r="F7350" s="1" t="s">
        <v>749</v>
      </c>
      <c r="G7350" s="7">
        <v>43221.0</v>
      </c>
      <c r="H7350" s="1">
        <v>2012.0</v>
      </c>
      <c r="I7350" s="1" t="s">
        <v>136</v>
      </c>
      <c r="J7350" s="1" t="s">
        <v>51</v>
      </c>
      <c r="K7350" s="1" t="s">
        <v>7164</v>
      </c>
      <c r="L7350" s="1" t="s">
        <v>35929</v>
      </c>
      <c r="M7350" s="2" t="s">
        <v>12</v>
      </c>
      <c r="N7350" s="4">
        <f t="shared" si="1"/>
        <v>43221</v>
      </c>
      <c r="O7350" s="5" t="str">
        <f>IFERROR(__xludf.DUMMYFUNCTION("IF(REGEXMATCH(TRIM(I7350), ""^\d+\s*min""), ""Unclassified"", IF(I7350 = """", ""NR"", I7350))"),"TV-PG")</f>
        <v>TV-PG</v>
      </c>
      <c r="R7350" s="5" t="str">
        <f t="shared" si="2"/>
        <v>Love Rain</v>
      </c>
      <c r="S7350" s="5" t="str">
        <f>IFERROR(__xludf.DUMMYFUNCTION("""COMPUTED_VALUE"""),"The King: Eternal Monarch")</f>
        <v>The King: Eternal Monarch</v>
      </c>
      <c r="V7350" s="5"/>
      <c r="Y7350" s="5" t="str">
        <f>IFERROR(__xludf.DUMMYFUNCTION("REGEXEXTRACT(J7350, ""^\d+"")"),"1")</f>
        <v>1</v>
      </c>
      <c r="Z7350" s="5" t="str">
        <f>IFERROR(__xludf.DUMMYFUNCTION("REGEXEXTRACT(J7350, ""[A-Za-z ]+$"")")," Season")</f>
        <v> Season</v>
      </c>
      <c r="AA7350" s="5" t="str">
        <f>IFERROR(__xludf.DUMMYFUNCTION("IF(REGEXMATCH(Z7350, ""Season""), ""TV Show"", ""Movie"")"),"TV Show")</f>
        <v>TV Show</v>
      </c>
    </row>
    <row r="7351">
      <c r="A7351" s="1" t="s">
        <v>35930</v>
      </c>
      <c r="B7351" s="1" t="s">
        <v>37</v>
      </c>
      <c r="C7351" s="1" t="s">
        <v>35931</v>
      </c>
      <c r="E7351" s="1" t="s">
        <v>35932</v>
      </c>
      <c r="G7351" s="1" t="s">
        <v>25328</v>
      </c>
      <c r="H7351" s="1">
        <v>2016.0</v>
      </c>
      <c r="I7351" s="1" t="s">
        <v>42</v>
      </c>
      <c r="J7351" s="1" t="s">
        <v>51</v>
      </c>
      <c r="K7351" s="1" t="s">
        <v>1531</v>
      </c>
      <c r="L7351" s="1" t="s">
        <v>35933</v>
      </c>
      <c r="M7351" s="2" t="s">
        <v>12</v>
      </c>
      <c r="N7351" s="4">
        <f t="shared" si="1"/>
        <v>43269</v>
      </c>
      <c r="O7351" s="5" t="str">
        <f>IFERROR(__xludf.DUMMYFUNCTION("IF(REGEXMATCH(TRIM(I7351), ""^\d+\s*min""), ""Unclassified"", IF(I7351 = """", ""NR"", I7351))"),"TV-MA")</f>
        <v>TV-MA</v>
      </c>
      <c r="R7351" s="5" t="str">
        <f t="shared" si="2"/>
        <v>Love Rhythms - Accidental Daddy</v>
      </c>
      <c r="S7351" s="5" t="str">
        <f>IFERROR(__xludf.DUMMYFUNCTION("""COMPUTED_VALUE"""),"The King'S Avatar")</f>
        <v>The King'S Avatar</v>
      </c>
      <c r="V7351" s="5"/>
      <c r="Y7351" s="5" t="str">
        <f>IFERROR(__xludf.DUMMYFUNCTION("REGEXEXTRACT(J7351, ""^\d+"")"),"1")</f>
        <v>1</v>
      </c>
      <c r="Z7351" s="5" t="str">
        <f>IFERROR(__xludf.DUMMYFUNCTION("REGEXEXTRACT(J7351, ""[A-Za-z ]+$"")")," Season")</f>
        <v> Season</v>
      </c>
      <c r="AA7351" s="5" t="str">
        <f>IFERROR(__xludf.DUMMYFUNCTION("IF(REGEXMATCH(Z7351, ""Season""), ""TV Show"", ""Movie"")"),"TV Show")</f>
        <v>TV Show</v>
      </c>
    </row>
    <row r="7352">
      <c r="A7352" s="1" t="s">
        <v>35934</v>
      </c>
      <c r="B7352" s="1" t="s">
        <v>27</v>
      </c>
      <c r="C7352" s="1" t="s">
        <v>35935</v>
      </c>
      <c r="D7352" s="1" t="s">
        <v>21717</v>
      </c>
      <c r="E7352" s="1" t="s">
        <v>35936</v>
      </c>
      <c r="F7352" s="1" t="s">
        <v>30</v>
      </c>
      <c r="G7352" s="1" t="s">
        <v>19971</v>
      </c>
      <c r="H7352" s="1">
        <v>2018.0</v>
      </c>
      <c r="I7352" s="1" t="s">
        <v>42</v>
      </c>
      <c r="J7352" s="1" t="s">
        <v>4558</v>
      </c>
      <c r="K7352" s="1" t="s">
        <v>394</v>
      </c>
      <c r="L7352" s="1" t="s">
        <v>35937</v>
      </c>
      <c r="M7352" s="2" t="s">
        <v>12</v>
      </c>
      <c r="N7352" s="4">
        <f t="shared" si="1"/>
        <v>43661</v>
      </c>
      <c r="O7352" s="5" t="str">
        <f>IFERROR(__xludf.DUMMYFUNCTION("IF(REGEXMATCH(TRIM(I7352), ""^\d+\s*min""), ""Unclassified"", IF(I7352 = """", ""NR"", I7352))"),"TV-MA")</f>
        <v>TV-MA</v>
      </c>
      <c r="R7352" s="5" t="str">
        <f t="shared" si="2"/>
        <v>Love Shot</v>
      </c>
      <c r="S7352" s="5" t="str">
        <f>IFERROR(__xludf.DUMMYFUNCTION("""COMPUTED_VALUE"""),"The King'S Speech")</f>
        <v>The King'S Speech</v>
      </c>
      <c r="V7352" s="5"/>
      <c r="Y7352" s="5" t="str">
        <f>IFERROR(__xludf.DUMMYFUNCTION("REGEXEXTRACT(J7352, ""^\d+"")"),"77")</f>
        <v>77</v>
      </c>
      <c r="Z7352" s="5" t="str">
        <f>IFERROR(__xludf.DUMMYFUNCTION("REGEXEXTRACT(J7352, ""[A-Za-z ]+$"")")," min")</f>
        <v> min</v>
      </c>
      <c r="AA7352" s="5" t="str">
        <f>IFERROR(__xludf.DUMMYFUNCTION("IF(REGEXMATCH(Z7352, ""Season""), ""TV Show"", ""Movie"")"),"Movie")</f>
        <v>Movie</v>
      </c>
    </row>
    <row r="7353">
      <c r="A7353" s="1" t="s">
        <v>35938</v>
      </c>
      <c r="B7353" s="1" t="s">
        <v>27</v>
      </c>
      <c r="C7353" s="1" t="s">
        <v>35939</v>
      </c>
      <c r="D7353" s="1" t="s">
        <v>607</v>
      </c>
      <c r="E7353" s="1" t="s">
        <v>35940</v>
      </c>
      <c r="F7353" s="1" t="s">
        <v>3309</v>
      </c>
      <c r="G7353" s="1" t="s">
        <v>21074</v>
      </c>
      <c r="H7353" s="1">
        <v>2011.0</v>
      </c>
      <c r="I7353" s="1" t="s">
        <v>97</v>
      </c>
      <c r="J7353" s="1" t="s">
        <v>247</v>
      </c>
      <c r="K7353" s="1" t="s">
        <v>215</v>
      </c>
      <c r="L7353" s="1" t="s">
        <v>35941</v>
      </c>
      <c r="M7353" s="2" t="s">
        <v>12</v>
      </c>
      <c r="N7353" s="4">
        <f t="shared" si="1"/>
        <v>43580</v>
      </c>
      <c r="O7353" s="5" t="str">
        <f>IFERROR(__xludf.DUMMYFUNCTION("IF(REGEXMATCH(TRIM(I7353), ""^\d+\s*min""), ""Unclassified"", IF(I7353 = """", ""NR"", I7353))"),"TV-14")</f>
        <v>TV-14</v>
      </c>
      <c r="R7353" s="5" t="str">
        <f t="shared" si="2"/>
        <v>Love Station</v>
      </c>
      <c r="S7353" s="5" t="str">
        <f>IFERROR(__xludf.DUMMYFUNCTION("""COMPUTED_VALUE"""),"The Kingdom")</f>
        <v>The Kingdom</v>
      </c>
      <c r="V7353" s="5"/>
      <c r="Y7353" s="5" t="str">
        <f>IFERROR(__xludf.DUMMYFUNCTION("REGEXEXTRACT(J7353, ""^\d+"")"),"97")</f>
        <v>97</v>
      </c>
      <c r="Z7353" s="5" t="str">
        <f>IFERROR(__xludf.DUMMYFUNCTION("REGEXEXTRACT(J7353, ""[A-Za-z ]+$"")")," min")</f>
        <v> min</v>
      </c>
      <c r="AA7353" s="5" t="str">
        <f>IFERROR(__xludf.DUMMYFUNCTION("IF(REGEXMATCH(Z7353, ""Season""), ""TV Show"", ""Movie"")"),"Movie")</f>
        <v>Movie</v>
      </c>
    </row>
    <row r="7354">
      <c r="A7354" s="1" t="s">
        <v>35942</v>
      </c>
      <c r="B7354" s="1" t="s">
        <v>27</v>
      </c>
      <c r="C7354" s="1" t="s">
        <v>35943</v>
      </c>
      <c r="D7354" s="1" t="s">
        <v>21402</v>
      </c>
      <c r="E7354" s="1" t="s">
        <v>35944</v>
      </c>
      <c r="F7354" s="1" t="s">
        <v>2873</v>
      </c>
      <c r="G7354" s="1" t="s">
        <v>22597</v>
      </c>
      <c r="H7354" s="1">
        <v>2015.0</v>
      </c>
      <c r="I7354" s="1" t="s">
        <v>97</v>
      </c>
      <c r="J7354" s="1" t="s">
        <v>379</v>
      </c>
      <c r="K7354" s="1" t="s">
        <v>215</v>
      </c>
      <c r="L7354" s="1" t="s">
        <v>35945</v>
      </c>
      <c r="M7354" s="2" t="s">
        <v>12</v>
      </c>
      <c r="N7354" s="4">
        <f t="shared" si="1"/>
        <v>43470</v>
      </c>
      <c r="O7354" s="5" t="str">
        <f>IFERROR(__xludf.DUMMYFUNCTION("IF(REGEXMATCH(TRIM(I7354), ""^\d+\s*min""), ""Unclassified"", IF(I7354 = """", ""NR"", I7354))"),"TV-14")</f>
        <v>TV-14</v>
      </c>
      <c r="R7354" s="5" t="str">
        <f t="shared" si="2"/>
        <v>Love You... Love You Not</v>
      </c>
      <c r="S7354" s="5" t="str">
        <f>IFERROR(__xludf.DUMMYFUNCTION("""COMPUTED_VALUE"""),"The Kirlian Frequency")</f>
        <v>The Kirlian Frequency</v>
      </c>
      <c r="V7354" s="5"/>
      <c r="Y7354" s="5" t="str">
        <f>IFERROR(__xludf.DUMMYFUNCTION("REGEXEXTRACT(J7354, ""^\d+"")"),"115")</f>
        <v>115</v>
      </c>
      <c r="Z7354" s="5" t="str">
        <f>IFERROR(__xludf.DUMMYFUNCTION("REGEXEXTRACT(J7354, ""[A-Za-z ]+$"")")," min")</f>
        <v> min</v>
      </c>
      <c r="AA7354" s="5" t="str">
        <f>IFERROR(__xludf.DUMMYFUNCTION("IF(REGEXMATCH(Z7354, ""Season""), ""TV Show"", ""Movie"")"),"Movie")</f>
        <v>Movie</v>
      </c>
    </row>
    <row r="7355">
      <c r="A7355" s="1" t="s">
        <v>35946</v>
      </c>
      <c r="B7355" s="1" t="s">
        <v>37</v>
      </c>
      <c r="C7355" s="1" t="s">
        <v>35947</v>
      </c>
      <c r="E7355" s="1" t="s">
        <v>35948</v>
      </c>
      <c r="F7355" s="1" t="s">
        <v>96</v>
      </c>
      <c r="G7355" s="1" t="s">
        <v>19844</v>
      </c>
      <c r="H7355" s="1">
        <v>2013.0</v>
      </c>
      <c r="I7355" s="1" t="s">
        <v>506</v>
      </c>
      <c r="J7355" s="1" t="s">
        <v>51</v>
      </c>
      <c r="K7355" s="1" t="s">
        <v>2382</v>
      </c>
      <c r="L7355" s="1" t="s">
        <v>35949</v>
      </c>
      <c r="M7355" s="2" t="s">
        <v>12</v>
      </c>
      <c r="N7355" s="4">
        <f t="shared" si="1"/>
        <v>43672</v>
      </c>
      <c r="O7355" s="5" t="str">
        <f>IFERROR(__xludf.DUMMYFUNCTION("IF(REGEXMATCH(TRIM(I7355), ""^\d+\s*min""), ""Unclassified"", IF(I7355 = """", ""NR"", I7355))"),"TV-G")</f>
        <v>TV-G</v>
      </c>
      <c r="R7355" s="5" t="str">
        <f t="shared" si="2"/>
        <v>Love Your Garden</v>
      </c>
      <c r="S7355" s="5" t="str">
        <f>IFERROR(__xludf.DUMMYFUNCTION("""COMPUTED_VALUE"""),"The Kissing Booth")</f>
        <v>The Kissing Booth</v>
      </c>
      <c r="V7355" s="5"/>
      <c r="Y7355" s="5" t="str">
        <f>IFERROR(__xludf.DUMMYFUNCTION("REGEXEXTRACT(J7355, ""^\d+"")"),"1")</f>
        <v>1</v>
      </c>
      <c r="Z7355" s="5" t="str">
        <f>IFERROR(__xludf.DUMMYFUNCTION("REGEXEXTRACT(J7355, ""[A-Za-z ]+$"")")," Season")</f>
        <v> Season</v>
      </c>
      <c r="AA7355" s="5" t="str">
        <f>IFERROR(__xludf.DUMMYFUNCTION("IF(REGEXMATCH(Z7355, ""Season""), ""TV Show"", ""Movie"")"),"TV Show")</f>
        <v>TV Show</v>
      </c>
    </row>
    <row r="7356">
      <c r="A7356" s="1" t="s">
        <v>35950</v>
      </c>
      <c r="B7356" s="1" t="s">
        <v>27</v>
      </c>
      <c r="C7356" s="1" t="s">
        <v>35951</v>
      </c>
      <c r="D7356" s="1" t="s">
        <v>4866</v>
      </c>
      <c r="E7356" s="1" t="s">
        <v>35952</v>
      </c>
      <c r="F7356" s="1" t="s">
        <v>35953</v>
      </c>
      <c r="G7356" s="1" t="s">
        <v>17941</v>
      </c>
      <c r="H7356" s="1">
        <v>2014.0</v>
      </c>
      <c r="I7356" s="1" t="s">
        <v>378</v>
      </c>
      <c r="J7356" s="1" t="s">
        <v>238</v>
      </c>
      <c r="K7356" s="1" t="s">
        <v>215</v>
      </c>
      <c r="L7356" s="1" t="s">
        <v>35954</v>
      </c>
      <c r="M7356" s="2" t="s">
        <v>12</v>
      </c>
      <c r="N7356" s="4">
        <f t="shared" si="1"/>
        <v>43789</v>
      </c>
      <c r="O7356" s="5" t="str">
        <f>IFERROR(__xludf.DUMMYFUNCTION("IF(REGEXMATCH(TRIM(I7356), ""^\d+\s*min""), ""Unclassified"", IF(I7356 = """", ""NR"", I7356))"),"R")</f>
        <v>R</v>
      </c>
      <c r="R7356" s="5" t="str">
        <f t="shared" si="2"/>
        <v>Love, Rosie</v>
      </c>
      <c r="S7356" s="5" t="str">
        <f>IFERROR(__xludf.DUMMYFUNCTION("""COMPUTED_VALUE"""),"The Kissing Booth 2")</f>
        <v>The Kissing Booth 2</v>
      </c>
      <c r="V7356" s="5"/>
      <c r="Y7356" s="5" t="str">
        <f>IFERROR(__xludf.DUMMYFUNCTION("REGEXEXTRACT(J7356, ""^\d+"")"),"103")</f>
        <v>103</v>
      </c>
      <c r="Z7356" s="5" t="str">
        <f>IFERROR(__xludf.DUMMYFUNCTION("REGEXEXTRACT(J7356, ""[A-Za-z ]+$"")")," min")</f>
        <v> min</v>
      </c>
      <c r="AA7356" s="5" t="str">
        <f>IFERROR(__xludf.DUMMYFUNCTION("IF(REGEXMATCH(Z7356, ""Season""), ""TV Show"", ""Movie"")"),"Movie")</f>
        <v>Movie</v>
      </c>
    </row>
    <row r="7357">
      <c r="A7357" s="1" t="s">
        <v>35955</v>
      </c>
      <c r="B7357" s="1" t="s">
        <v>27</v>
      </c>
      <c r="C7357" s="1" t="s">
        <v>35956</v>
      </c>
      <c r="D7357" s="1" t="s">
        <v>35957</v>
      </c>
      <c r="F7357" s="1" t="s">
        <v>30</v>
      </c>
      <c r="G7357" s="7">
        <v>42862.0</v>
      </c>
      <c r="H7357" s="1">
        <v>2016.0</v>
      </c>
      <c r="I7357" s="1" t="s">
        <v>42</v>
      </c>
      <c r="J7357" s="1" t="s">
        <v>1001</v>
      </c>
      <c r="K7357" s="1" t="s">
        <v>34</v>
      </c>
      <c r="L7357" s="1" t="s">
        <v>35958</v>
      </c>
      <c r="M7357" s="2" t="s">
        <v>12</v>
      </c>
      <c r="N7357" s="4">
        <f t="shared" si="1"/>
        <v>42862</v>
      </c>
      <c r="O7357" s="5" t="str">
        <f>IFERROR(__xludf.DUMMYFUNCTION("IF(REGEXMATCH(TRIM(I7357), ""^\d+\s*min""), ""Unclassified"", IF(I7357 = """", ""NR"", I7357))"),"TV-MA")</f>
        <v>TV-MA</v>
      </c>
      <c r="R7357" s="5" t="str">
        <f t="shared" si="2"/>
        <v>Lovetrue</v>
      </c>
      <c r="S7357" s="5" t="str">
        <f>IFERROR(__xludf.DUMMYFUNCTION("""COMPUTED_VALUE"""),"The Kissing Booth 3")</f>
        <v>The Kissing Booth 3</v>
      </c>
      <c r="V7357" s="5"/>
      <c r="Y7357" s="5" t="str">
        <f>IFERROR(__xludf.DUMMYFUNCTION("REGEXEXTRACT(J7357, ""^\d+"")"),"82")</f>
        <v>82</v>
      </c>
      <c r="Z7357" s="5" t="str">
        <f>IFERROR(__xludf.DUMMYFUNCTION("REGEXEXTRACT(J7357, ""[A-Za-z ]+$"")")," min")</f>
        <v> min</v>
      </c>
      <c r="AA7357" s="5" t="str">
        <f>IFERROR(__xludf.DUMMYFUNCTION("IF(REGEXMATCH(Z7357, ""Season""), ""TV Show"", ""Movie"")"),"Movie")</f>
        <v>Movie</v>
      </c>
    </row>
    <row r="7358">
      <c r="A7358" s="1" t="s">
        <v>35959</v>
      </c>
      <c r="B7358" s="1" t="s">
        <v>27</v>
      </c>
      <c r="C7358" s="1" t="s">
        <v>35960</v>
      </c>
      <c r="D7358" s="1" t="s">
        <v>12515</v>
      </c>
      <c r="E7358" s="1" t="s">
        <v>35961</v>
      </c>
      <c r="F7358" s="1" t="s">
        <v>30</v>
      </c>
      <c r="G7358" s="1" t="s">
        <v>25185</v>
      </c>
      <c r="H7358" s="1">
        <v>2006.0</v>
      </c>
      <c r="I7358" s="1" t="s">
        <v>42</v>
      </c>
      <c r="J7358" s="1" t="s">
        <v>4558</v>
      </c>
      <c r="K7358" s="1" t="s">
        <v>4730</v>
      </c>
      <c r="L7358" s="1" t="s">
        <v>35962</v>
      </c>
      <c r="M7358" s="2" t="s">
        <v>12</v>
      </c>
      <c r="N7358" s="4">
        <f t="shared" si="1"/>
        <v>43282</v>
      </c>
      <c r="O7358" s="5" t="str">
        <f>IFERROR(__xludf.DUMMYFUNCTION("IF(REGEXMATCH(TRIM(I7358), ""^\d+\s*min""), ""Unclassified"", IF(I7358 = """", ""NR"", I7358))"),"TV-MA")</f>
        <v>TV-MA</v>
      </c>
      <c r="R7358" s="5" t="str">
        <f t="shared" si="2"/>
        <v>Loving Annabelle</v>
      </c>
      <c r="S7358" s="5" t="str">
        <f>IFERROR(__xludf.DUMMYFUNCTION("""COMPUTED_VALUE"""),"The Kite")</f>
        <v>The Kite</v>
      </c>
      <c r="V7358" s="5"/>
      <c r="Y7358" s="5" t="str">
        <f>IFERROR(__xludf.DUMMYFUNCTION("REGEXEXTRACT(J7358, ""^\d+"")"),"77")</f>
        <v>77</v>
      </c>
      <c r="Z7358" s="5" t="str">
        <f>IFERROR(__xludf.DUMMYFUNCTION("REGEXEXTRACT(J7358, ""[A-Za-z ]+$"")")," min")</f>
        <v> min</v>
      </c>
      <c r="AA7358" s="5" t="str">
        <f>IFERROR(__xludf.DUMMYFUNCTION("IF(REGEXMATCH(Z7358, ""Season""), ""TV Show"", ""Movie"")"),"Movie")</f>
        <v>Movie</v>
      </c>
    </row>
    <row r="7359">
      <c r="A7359" s="1" t="s">
        <v>35963</v>
      </c>
      <c r="B7359" s="1" t="s">
        <v>27</v>
      </c>
      <c r="C7359" s="1" t="s">
        <v>35964</v>
      </c>
      <c r="D7359" s="1" t="s">
        <v>11517</v>
      </c>
      <c r="E7359" s="1" t="s">
        <v>35965</v>
      </c>
      <c r="F7359" s="1" t="s">
        <v>1119</v>
      </c>
      <c r="G7359" s="1" t="s">
        <v>24803</v>
      </c>
      <c r="H7359" s="1">
        <v>1995.0</v>
      </c>
      <c r="I7359" s="1" t="s">
        <v>97</v>
      </c>
      <c r="J7359" s="1" t="s">
        <v>6391</v>
      </c>
      <c r="K7359" s="1" t="s">
        <v>128</v>
      </c>
      <c r="L7359" s="1" t="s">
        <v>35966</v>
      </c>
      <c r="M7359" s="2" t="s">
        <v>12</v>
      </c>
      <c r="N7359" s="4">
        <f t="shared" si="1"/>
        <v>43328</v>
      </c>
      <c r="O7359" s="5" t="str">
        <f>IFERROR(__xludf.DUMMYFUNCTION("IF(REGEXMATCH(TRIM(I7359), ""^\d+\s*min""), ""Unclassified"", IF(I7359 = """", ""NR"", I7359))"),"TV-14")</f>
        <v>TV-14</v>
      </c>
      <c r="R7359" s="5" t="str">
        <f t="shared" si="2"/>
        <v>Loving You</v>
      </c>
      <c r="S7359" s="5" t="str">
        <f>IFERROR(__xludf.DUMMYFUNCTION("""COMPUTED_VALUE"""),"The Knight And The Princess")</f>
        <v>The Knight And The Princess</v>
      </c>
      <c r="V7359" s="5"/>
      <c r="Y7359" s="5" t="str">
        <f>IFERROR(__xludf.DUMMYFUNCTION("REGEXEXTRACT(J7359, ""^\d+"")"),"79")</f>
        <v>79</v>
      </c>
      <c r="Z7359" s="5" t="str">
        <f>IFERROR(__xludf.DUMMYFUNCTION("REGEXEXTRACT(J7359, ""[A-Za-z ]+$"")")," min")</f>
        <v> min</v>
      </c>
      <c r="AA7359" s="5" t="str">
        <f>IFERROR(__xludf.DUMMYFUNCTION("IF(REGEXMATCH(Z7359, ""Season""), ""TV Show"", ""Movie"")"),"Movie")</f>
        <v>Movie</v>
      </c>
    </row>
    <row r="7360">
      <c r="A7360" s="1" t="s">
        <v>35967</v>
      </c>
      <c r="B7360" s="1" t="s">
        <v>27</v>
      </c>
      <c r="C7360" s="1" t="s">
        <v>35968</v>
      </c>
      <c r="D7360" s="1" t="s">
        <v>1694</v>
      </c>
      <c r="E7360" s="1" t="s">
        <v>35969</v>
      </c>
      <c r="F7360" s="1" t="s">
        <v>1815</v>
      </c>
      <c r="G7360" s="1" t="s">
        <v>25097</v>
      </c>
      <c r="H7360" s="1">
        <v>2016.0</v>
      </c>
      <c r="I7360" s="1" t="s">
        <v>136</v>
      </c>
      <c r="J7360" s="1" t="s">
        <v>357</v>
      </c>
      <c r="K7360" s="1" t="s">
        <v>520</v>
      </c>
      <c r="L7360" s="1" t="s">
        <v>35970</v>
      </c>
      <c r="M7360" s="2" t="s">
        <v>12</v>
      </c>
      <c r="N7360" s="4">
        <f t="shared" si="1"/>
        <v>43296</v>
      </c>
      <c r="O7360" s="5" t="str">
        <f>IFERROR(__xludf.DUMMYFUNCTION("IF(REGEXMATCH(TRIM(I7360), ""^\d+\s*min""), ""Unclassified"", IF(I7360 = """", ""NR"", I7360))"),"TV-PG")</f>
        <v>TV-PG</v>
      </c>
      <c r="R7360" s="5" t="str">
        <f t="shared" si="2"/>
        <v>Lucha: Playing The Impossible</v>
      </c>
      <c r="S7360" s="5" t="str">
        <f>IFERROR(__xludf.DUMMYFUNCTION("""COMPUTED_VALUE"""),"The Knight Before Christmas")</f>
        <v>The Knight Before Christmas</v>
      </c>
      <c r="V7360" s="5"/>
      <c r="Y7360" s="5" t="str">
        <f>IFERROR(__xludf.DUMMYFUNCTION("REGEXEXTRACT(J7360, ""^\d+"")"),"98")</f>
        <v>98</v>
      </c>
      <c r="Z7360" s="5" t="str">
        <f>IFERROR(__xludf.DUMMYFUNCTION("REGEXEXTRACT(J7360, ""[A-Za-z ]+$"")")," min")</f>
        <v> min</v>
      </c>
      <c r="AA7360" s="5" t="str">
        <f>IFERROR(__xludf.DUMMYFUNCTION("IF(REGEXMATCH(Z7360, ""Season""), ""TV Show"", ""Movie"")"),"Movie")</f>
        <v>Movie</v>
      </c>
    </row>
    <row r="7361">
      <c r="A7361" s="1" t="s">
        <v>35971</v>
      </c>
      <c r="B7361" s="1" t="s">
        <v>37</v>
      </c>
      <c r="C7361" s="1" t="s">
        <v>35972</v>
      </c>
      <c r="E7361" s="1" t="s">
        <v>35973</v>
      </c>
      <c r="F7361" s="1" t="s">
        <v>3892</v>
      </c>
      <c r="G7361" s="1" t="s">
        <v>29495</v>
      </c>
      <c r="H7361" s="1">
        <v>2010.0</v>
      </c>
      <c r="I7361" s="1" t="s">
        <v>136</v>
      </c>
      <c r="J7361" s="1" t="s">
        <v>51</v>
      </c>
      <c r="K7361" s="1" t="s">
        <v>64</v>
      </c>
      <c r="L7361" s="1" t="s">
        <v>35974</v>
      </c>
      <c r="M7361" s="2" t="s">
        <v>12</v>
      </c>
      <c r="N7361" s="4">
        <f t="shared" si="1"/>
        <v>42614</v>
      </c>
      <c r="O7361" s="5" t="str">
        <f>IFERROR(__xludf.DUMMYFUNCTION("IF(REGEXMATCH(TRIM(I7361), ""^\d+\s*min""), ""Unclassified"", IF(I7361 = """", ""NR"", I7361))"),"TV-PG")</f>
        <v>TV-PG</v>
      </c>
      <c r="R7361" s="5" t="str">
        <f t="shared" si="2"/>
        <v>Lucky Days</v>
      </c>
      <c r="S7361" s="5" t="str">
        <f>IFERROR(__xludf.DUMMYFUNCTION("""COMPUTED_VALUE"""),"The Kominsky Method")</f>
        <v>The Kominsky Method</v>
      </c>
      <c r="V7361" s="5"/>
      <c r="Y7361" s="5" t="str">
        <f>IFERROR(__xludf.DUMMYFUNCTION("REGEXEXTRACT(J7361, ""^\d+"")"),"1")</f>
        <v>1</v>
      </c>
      <c r="Z7361" s="5" t="str">
        <f>IFERROR(__xludf.DUMMYFUNCTION("REGEXEXTRACT(J7361, ""[A-Za-z ]+$"")")," Season")</f>
        <v> Season</v>
      </c>
      <c r="AA7361" s="5" t="str">
        <f>IFERROR(__xludf.DUMMYFUNCTION("IF(REGEXMATCH(Z7361, ""Season""), ""TV Show"", ""Movie"")"),"TV Show")</f>
        <v>TV Show</v>
      </c>
    </row>
    <row r="7362">
      <c r="A7362" s="1" t="s">
        <v>35975</v>
      </c>
      <c r="B7362" s="1" t="s">
        <v>27</v>
      </c>
      <c r="C7362" s="1" t="s">
        <v>35976</v>
      </c>
      <c r="D7362" s="1" t="s">
        <v>18545</v>
      </c>
      <c r="E7362" s="1" t="s">
        <v>35977</v>
      </c>
      <c r="F7362" s="1" t="s">
        <v>63</v>
      </c>
      <c r="G7362" s="1" t="s">
        <v>26808</v>
      </c>
      <c r="H7362" s="1">
        <v>2005.0</v>
      </c>
      <c r="I7362" s="1" t="s">
        <v>97</v>
      </c>
      <c r="J7362" s="1" t="s">
        <v>2859</v>
      </c>
      <c r="K7362" s="1" t="s">
        <v>679</v>
      </c>
      <c r="L7362" s="1" t="s">
        <v>35978</v>
      </c>
      <c r="M7362" s="2" t="s">
        <v>12</v>
      </c>
      <c r="N7362" s="4">
        <f t="shared" si="1"/>
        <v>43054</v>
      </c>
      <c r="O7362" s="5" t="str">
        <f>IFERROR(__xludf.DUMMYFUNCTION("IF(REGEXMATCH(TRIM(I7362), ""^\d+\s*min""), ""Unclassified"", IF(I7362 = """", ""NR"", I7362))"),"TV-14")</f>
        <v>TV-14</v>
      </c>
      <c r="R7362" s="5" t="str">
        <f t="shared" si="2"/>
        <v>Lucky: No Time For Love</v>
      </c>
      <c r="S7362" s="5" t="str">
        <f>IFERROR(__xludf.DUMMYFUNCTION("""COMPUTED_VALUE"""),"The L Word")</f>
        <v>The L Word</v>
      </c>
      <c r="V7362" s="5"/>
      <c r="Y7362" s="5" t="str">
        <f>IFERROR(__xludf.DUMMYFUNCTION("REGEXEXTRACT(J7362, ""^\d+"")"),"131")</f>
        <v>131</v>
      </c>
      <c r="Z7362" s="5" t="str">
        <f>IFERROR(__xludf.DUMMYFUNCTION("REGEXEXTRACT(J7362, ""[A-Za-z ]+$"")")," min")</f>
        <v> min</v>
      </c>
      <c r="AA7362" s="5" t="str">
        <f>IFERROR(__xludf.DUMMYFUNCTION("IF(REGEXMATCH(Z7362, ""Season""), ""TV Show"", ""Movie"")"),"Movie")</f>
        <v>Movie</v>
      </c>
    </row>
    <row r="7363">
      <c r="A7363" s="1" t="s">
        <v>35979</v>
      </c>
      <c r="B7363" s="1" t="s">
        <v>27</v>
      </c>
      <c r="C7363" s="1" t="s">
        <v>35980</v>
      </c>
      <c r="D7363" s="1" t="s">
        <v>18317</v>
      </c>
      <c r="E7363" s="1" t="s">
        <v>35981</v>
      </c>
      <c r="F7363" s="1" t="s">
        <v>63</v>
      </c>
      <c r="G7363" s="1" t="s">
        <v>21281</v>
      </c>
      <c r="H7363" s="1">
        <v>2018.0</v>
      </c>
      <c r="I7363" s="1" t="s">
        <v>97</v>
      </c>
      <c r="J7363" s="1" t="s">
        <v>297</v>
      </c>
      <c r="K7363" s="1" t="s">
        <v>1592</v>
      </c>
      <c r="L7363" s="1" t="s">
        <v>35982</v>
      </c>
      <c r="M7363" s="2" t="s">
        <v>12</v>
      </c>
      <c r="N7363" s="4">
        <f t="shared" si="1"/>
        <v>43560</v>
      </c>
      <c r="O7363" s="5" t="str">
        <f>IFERROR(__xludf.DUMMYFUNCTION("IF(REGEXMATCH(TRIM(I7363), ""^\d+\s*min""), ""Unclassified"", IF(I7363 = """", ""NR"", I7363))"),"TV-14")</f>
        <v>TV-14</v>
      </c>
      <c r="R7363" s="5" t="str">
        <f t="shared" si="2"/>
        <v>Lupt</v>
      </c>
      <c r="S7363" s="5" t="str">
        <f>IFERROR(__xludf.DUMMYFUNCTION("""COMPUTED_VALUE"""),"The Lady In Dignity")</f>
        <v>The Lady In Dignity</v>
      </c>
      <c r="V7363" s="5"/>
      <c r="Y7363" s="5" t="str">
        <f>IFERROR(__xludf.DUMMYFUNCTION("REGEXEXTRACT(J7363, ""^\d+"")"),"110")</f>
        <v>110</v>
      </c>
      <c r="Z7363" s="5" t="str">
        <f>IFERROR(__xludf.DUMMYFUNCTION("REGEXEXTRACT(J7363, ""[A-Za-z ]+$"")")," min")</f>
        <v> min</v>
      </c>
      <c r="AA7363" s="5" t="str">
        <f>IFERROR(__xludf.DUMMYFUNCTION("IF(REGEXMATCH(Z7363, ""Season""), ""TV Show"", ""Movie"")"),"Movie")</f>
        <v>Movie</v>
      </c>
    </row>
    <row r="7364">
      <c r="A7364" s="1" t="s">
        <v>35983</v>
      </c>
      <c r="B7364" s="1" t="s">
        <v>27</v>
      </c>
      <c r="C7364" s="1" t="s">
        <v>35984</v>
      </c>
      <c r="D7364" s="1" t="s">
        <v>22478</v>
      </c>
      <c r="E7364" s="1" t="s">
        <v>35985</v>
      </c>
      <c r="F7364" s="1" t="s">
        <v>35986</v>
      </c>
      <c r="G7364" s="1" t="s">
        <v>29612</v>
      </c>
      <c r="H7364" s="1">
        <v>2015.0</v>
      </c>
      <c r="I7364" s="1" t="s">
        <v>42</v>
      </c>
      <c r="J7364" s="1" t="s">
        <v>433</v>
      </c>
      <c r="K7364" s="1" t="s">
        <v>6624</v>
      </c>
      <c r="L7364" s="1" t="s">
        <v>35987</v>
      </c>
      <c r="M7364" s="2" t="s">
        <v>12</v>
      </c>
      <c r="N7364" s="4">
        <f t="shared" si="1"/>
        <v>42566</v>
      </c>
      <c r="O7364" s="5" t="str">
        <f>IFERROR(__xludf.DUMMYFUNCTION("IF(REGEXMATCH(TRIM(I7364), ""^\d+\s*min""), ""Unclassified"", IF(I7364 = """", ""NR"", I7364))"),"TV-MA")</f>
        <v>TV-MA</v>
      </c>
      <c r="R7364" s="5" t="str">
        <f t="shared" si="2"/>
        <v>Lusers</v>
      </c>
      <c r="S7364" s="5" t="str">
        <f>IFERROR(__xludf.DUMMYFUNCTION("""COMPUTED_VALUE"""),"The Lake House")</f>
        <v>The Lake House</v>
      </c>
      <c r="V7364" s="5"/>
      <c r="Y7364" s="5" t="str">
        <f>IFERROR(__xludf.DUMMYFUNCTION("REGEXEXTRACT(J7364, ""^\d+"")"),"100")</f>
        <v>100</v>
      </c>
      <c r="Z7364" s="5" t="str">
        <f>IFERROR(__xludf.DUMMYFUNCTION("REGEXEXTRACT(J7364, ""[A-Za-z ]+$"")")," min")</f>
        <v> min</v>
      </c>
      <c r="AA7364" s="5" t="str">
        <f>IFERROR(__xludf.DUMMYFUNCTION("IF(REGEXMATCH(Z7364, ""Season""), ""TV Show"", ""Movie"")"),"Movie")</f>
        <v>Movie</v>
      </c>
    </row>
    <row r="7365">
      <c r="A7365" s="1" t="s">
        <v>35988</v>
      </c>
      <c r="B7365" s="1" t="s">
        <v>27</v>
      </c>
      <c r="C7365" s="1" t="s">
        <v>35989</v>
      </c>
      <c r="D7365" s="1" t="s">
        <v>10441</v>
      </c>
      <c r="E7365" s="1" t="s">
        <v>35990</v>
      </c>
      <c r="F7365" s="1" t="s">
        <v>63</v>
      </c>
      <c r="G7365" s="1" t="s">
        <v>25185</v>
      </c>
      <c r="H7365" s="1">
        <v>2017.0</v>
      </c>
      <c r="I7365" s="1" t="s">
        <v>97</v>
      </c>
      <c r="J7365" s="1" t="s">
        <v>743</v>
      </c>
      <c r="K7365" s="1" t="s">
        <v>631</v>
      </c>
      <c r="L7365" s="1" t="s">
        <v>35991</v>
      </c>
      <c r="M7365" s="2" t="s">
        <v>12</v>
      </c>
      <c r="N7365" s="4">
        <f t="shared" si="1"/>
        <v>43282</v>
      </c>
      <c r="O7365" s="5" t="str">
        <f>IFERROR(__xludf.DUMMYFUNCTION("IF(REGEXMATCH(TRIM(I7365), ""^\d+\s*min""), ""Unclassified"", IF(I7365 = """", ""NR"", I7365))"),"TV-14")</f>
        <v>TV-14</v>
      </c>
      <c r="R7365" s="5" t="str">
        <f t="shared" si="2"/>
        <v>Ma Chu Ka</v>
      </c>
      <c r="S7365" s="5" t="str">
        <f>IFERROR(__xludf.DUMMYFUNCTION("""COMPUTED_VALUE"""),"The Lamb")</f>
        <v>The Lamb</v>
      </c>
      <c r="V7365" s="5"/>
      <c r="Y7365" s="5" t="str">
        <f>IFERROR(__xludf.DUMMYFUNCTION("REGEXEXTRACT(J7365, ""^\d+"")"),"117")</f>
        <v>117</v>
      </c>
      <c r="Z7365" s="5" t="str">
        <f>IFERROR(__xludf.DUMMYFUNCTION("REGEXEXTRACT(J7365, ""[A-Za-z ]+$"")")," min")</f>
        <v> min</v>
      </c>
      <c r="AA7365" s="5" t="str">
        <f>IFERROR(__xludf.DUMMYFUNCTION("IF(REGEXMATCH(Z7365, ""Season""), ""TV Show"", ""Movie"")"),"Movie")</f>
        <v>Movie</v>
      </c>
    </row>
    <row r="7366">
      <c r="A7366" s="1" t="s">
        <v>35992</v>
      </c>
      <c r="B7366" s="1" t="s">
        <v>27</v>
      </c>
      <c r="C7366" s="1" t="s">
        <v>35993</v>
      </c>
      <c r="D7366" s="1" t="s">
        <v>18378</v>
      </c>
      <c r="E7366" s="1" t="s">
        <v>35994</v>
      </c>
      <c r="F7366" s="1" t="s">
        <v>8402</v>
      </c>
      <c r="G7366" s="1" t="s">
        <v>26481</v>
      </c>
      <c r="H7366" s="1">
        <v>2017.0</v>
      </c>
      <c r="I7366" s="1" t="s">
        <v>136</v>
      </c>
      <c r="J7366" s="1" t="s">
        <v>1256</v>
      </c>
      <c r="K7366" s="1" t="s">
        <v>128</v>
      </c>
      <c r="L7366" s="1" t="s">
        <v>35995</v>
      </c>
      <c r="M7366" s="2" t="s">
        <v>12</v>
      </c>
      <c r="N7366" s="4">
        <f t="shared" si="1"/>
        <v>43101</v>
      </c>
      <c r="O7366" s="5" t="str">
        <f>IFERROR(__xludf.DUMMYFUNCTION("IF(REGEXMATCH(TRIM(I7366), ""^\d+\s*min""), ""Unclassified"", IF(I7366 = """", ""NR"", I7366))"),"TV-PG")</f>
        <v>TV-PG</v>
      </c>
      <c r="R7366" s="5" t="str">
        <f t="shared" si="2"/>
        <v>Maacher Jhol</v>
      </c>
      <c r="S7366" s="5" t="str">
        <f>IFERROR(__xludf.DUMMYFUNCTION("""COMPUTED_VALUE"""),"The Land")</f>
        <v>The Land</v>
      </c>
      <c r="V7366" s="5"/>
      <c r="Y7366" s="5" t="str">
        <f>IFERROR(__xludf.DUMMYFUNCTION("REGEXEXTRACT(J7366, ""^\d+"")"),"107")</f>
        <v>107</v>
      </c>
      <c r="Z7366" s="5" t="str">
        <f>IFERROR(__xludf.DUMMYFUNCTION("REGEXEXTRACT(J7366, ""[A-Za-z ]+$"")")," min")</f>
        <v> min</v>
      </c>
      <c r="AA7366" s="5" t="str">
        <f>IFERROR(__xludf.DUMMYFUNCTION("IF(REGEXMATCH(Z7366, ""Season""), ""TV Show"", ""Movie"")"),"Movie")</f>
        <v>Movie</v>
      </c>
    </row>
    <row r="7367">
      <c r="A7367" s="1" t="s">
        <v>35996</v>
      </c>
      <c r="B7367" s="1" t="s">
        <v>27</v>
      </c>
      <c r="C7367" s="1" t="s">
        <v>35997</v>
      </c>
      <c r="D7367" s="1" t="s">
        <v>6754</v>
      </c>
      <c r="E7367" s="1" t="s">
        <v>35998</v>
      </c>
      <c r="F7367" s="1" t="s">
        <v>30</v>
      </c>
      <c r="G7367" s="1" t="s">
        <v>35999</v>
      </c>
      <c r="H7367" s="1">
        <v>2012.0</v>
      </c>
      <c r="I7367" s="1" t="s">
        <v>378</v>
      </c>
      <c r="J7367" s="1" t="s">
        <v>1171</v>
      </c>
      <c r="K7367" s="1" t="s">
        <v>239</v>
      </c>
      <c r="L7367" s="1" t="s">
        <v>36000</v>
      </c>
      <c r="M7367" s="2" t="s">
        <v>12</v>
      </c>
      <c r="N7367" s="4">
        <f t="shared" si="1"/>
        <v>42480</v>
      </c>
      <c r="O7367" s="5" t="str">
        <f>IFERROR(__xludf.DUMMYFUNCTION("IF(REGEXMATCH(TRIM(I7367), ""^\d+\s*min""), ""Unclassified"", IF(I7367 = """", ""NR"", I7367))"),"R")</f>
        <v>R</v>
      </c>
      <c r="R7367" s="5" t="str">
        <f t="shared" si="2"/>
        <v>Mac &amp; Devin Go To High School</v>
      </c>
      <c r="S7367" s="5" t="str">
        <f>IFERROR(__xludf.DUMMYFUNCTION("""COMPUTED_VALUE"""),"The Land Of Cards")</f>
        <v>The Land Of Cards</v>
      </c>
      <c r="V7367" s="5"/>
      <c r="Y7367" s="5" t="str">
        <f>IFERROR(__xludf.DUMMYFUNCTION("REGEXEXTRACT(J7367, ""^\d+"")"),"76")</f>
        <v>76</v>
      </c>
      <c r="Z7367" s="5" t="str">
        <f>IFERROR(__xludf.DUMMYFUNCTION("REGEXEXTRACT(J7367, ""[A-Za-z ]+$"")")," min")</f>
        <v> min</v>
      </c>
      <c r="AA7367" s="5" t="str">
        <f>IFERROR(__xludf.DUMMYFUNCTION("IF(REGEXMATCH(Z7367, ""Season""), ""TV Show"", ""Movie"")"),"Movie")</f>
        <v>Movie</v>
      </c>
    </row>
    <row r="7368">
      <c r="A7368" s="1" t="s">
        <v>36001</v>
      </c>
      <c r="B7368" s="1" t="s">
        <v>27</v>
      </c>
      <c r="C7368" s="1" t="s">
        <v>36002</v>
      </c>
      <c r="D7368" s="1" t="s">
        <v>6249</v>
      </c>
      <c r="E7368" s="1" t="s">
        <v>36003</v>
      </c>
      <c r="F7368" s="1" t="s">
        <v>63</v>
      </c>
      <c r="G7368" s="1" t="s">
        <v>27021</v>
      </c>
      <c r="H7368" s="1">
        <v>2014.0</v>
      </c>
      <c r="I7368" s="1" t="s">
        <v>42</v>
      </c>
      <c r="J7368" s="1" t="s">
        <v>870</v>
      </c>
      <c r="K7368" s="1" t="s">
        <v>1441</v>
      </c>
      <c r="L7368" s="1" t="s">
        <v>36004</v>
      </c>
      <c r="M7368" s="2" t="s">
        <v>12</v>
      </c>
      <c r="N7368" s="4">
        <f t="shared" si="1"/>
        <v>43023</v>
      </c>
      <c r="O7368" s="5" t="str">
        <f>IFERROR(__xludf.DUMMYFUNCTION("IF(REGEXMATCH(TRIM(I7368), ""^\d+\s*min""), ""Unclassified"", IF(I7368 = """", ""NR"", I7368))"),"TV-MA")</f>
        <v>TV-MA</v>
      </c>
      <c r="R7368" s="5" t="str">
        <f t="shared" si="2"/>
        <v>Macchli Jal Ki Rani Hai</v>
      </c>
      <c r="S7368" s="5" t="str">
        <f>IFERROR(__xludf.DUMMYFUNCTION("""COMPUTED_VALUE"""),"The Land Of Hypocrisy")</f>
        <v>The Land Of Hypocrisy</v>
      </c>
      <c r="V7368" s="5"/>
      <c r="Y7368" s="5" t="str">
        <f>IFERROR(__xludf.DUMMYFUNCTION("REGEXEXTRACT(J7368, ""^\d+"")"),"118")</f>
        <v>118</v>
      </c>
      <c r="Z7368" s="5" t="str">
        <f>IFERROR(__xludf.DUMMYFUNCTION("REGEXEXTRACT(J7368, ""[A-Za-z ]+$"")")," min")</f>
        <v> min</v>
      </c>
      <c r="AA7368" s="5" t="str">
        <f>IFERROR(__xludf.DUMMYFUNCTION("IF(REGEXMATCH(Z7368, ""Season""), ""TV Show"", ""Movie"")"),"Movie")</f>
        <v>Movie</v>
      </c>
    </row>
    <row r="7369">
      <c r="A7369" s="1" t="s">
        <v>36005</v>
      </c>
      <c r="B7369" s="1" t="s">
        <v>27</v>
      </c>
      <c r="C7369" s="1" t="s">
        <v>36006</v>
      </c>
      <c r="D7369" s="1" t="s">
        <v>8359</v>
      </c>
      <c r="E7369" s="1" t="s">
        <v>36007</v>
      </c>
      <c r="F7369" s="1" t="s">
        <v>972</v>
      </c>
      <c r="G7369" s="1" t="s">
        <v>12382</v>
      </c>
      <c r="H7369" s="1">
        <v>1979.0</v>
      </c>
      <c r="I7369" s="1" t="s">
        <v>378</v>
      </c>
      <c r="J7369" s="1" t="s">
        <v>454</v>
      </c>
      <c r="K7369" s="1" t="s">
        <v>927</v>
      </c>
      <c r="L7369" s="1" t="s">
        <v>36008</v>
      </c>
      <c r="M7369" s="2" t="s">
        <v>12</v>
      </c>
      <c r="N7369" s="4">
        <f t="shared" si="1"/>
        <v>44044</v>
      </c>
      <c r="O7369" s="5" t="str">
        <f>IFERROR(__xludf.DUMMYFUNCTION("IF(REGEXMATCH(TRIM(I7369), ""^\d+\s*min""), ""Unclassified"", IF(I7369 = """", ""NR"", I7369))"),"R")</f>
        <v>R</v>
      </c>
      <c r="R7369" s="5" t="str">
        <f t="shared" si="2"/>
        <v>Mad Max</v>
      </c>
      <c r="S7369" s="5" t="str">
        <f>IFERROR(__xludf.DUMMYFUNCTION("""COMPUTED_VALUE"""),"The Land Of Steady Habits")</f>
        <v>The Land Of Steady Habits</v>
      </c>
      <c r="V7369" s="5"/>
      <c r="Y7369" s="5" t="str">
        <f>IFERROR(__xludf.DUMMYFUNCTION("REGEXEXTRACT(J7369, ""^\d+"")"),"93")</f>
        <v>93</v>
      </c>
      <c r="Z7369" s="5" t="str">
        <f>IFERROR(__xludf.DUMMYFUNCTION("REGEXEXTRACT(J7369, ""[A-Za-z ]+$"")")," min")</f>
        <v> min</v>
      </c>
      <c r="AA7369" s="5" t="str">
        <f>IFERROR(__xludf.DUMMYFUNCTION("IF(REGEXMATCH(Z7369, ""Season""), ""TV Show"", ""Movie"")"),"Movie")</f>
        <v>Movie</v>
      </c>
    </row>
    <row r="7370">
      <c r="A7370" s="1" t="s">
        <v>36009</v>
      </c>
      <c r="B7370" s="1" t="s">
        <v>37</v>
      </c>
      <c r="C7370" s="1" t="s">
        <v>36010</v>
      </c>
      <c r="E7370" s="1" t="s">
        <v>36011</v>
      </c>
      <c r="F7370" s="1" t="s">
        <v>30</v>
      </c>
      <c r="G7370" s="1" t="s">
        <v>36012</v>
      </c>
      <c r="H7370" s="1">
        <v>2014.0</v>
      </c>
      <c r="I7370" s="1" t="s">
        <v>97</v>
      </c>
      <c r="J7370" s="1" t="s">
        <v>1809</v>
      </c>
      <c r="K7370" s="1" t="s">
        <v>2709</v>
      </c>
      <c r="L7370" s="1" t="s">
        <v>36013</v>
      </c>
      <c r="M7370" s="2" t="s">
        <v>12</v>
      </c>
      <c r="N7370" s="1" t="str">
        <f t="shared" si="1"/>
        <v>#N/A</v>
      </c>
      <c r="O7370" s="5" t="str">
        <f>IFERROR(__xludf.DUMMYFUNCTION("IF(REGEXMATCH(TRIM(I7370), ""^\d+\s*min""), ""Unclassified"", IF(I7370 = """", ""NR"", I7370))"),"TV-14")</f>
        <v>TV-14</v>
      </c>
      <c r="R7370" s="5" t="str">
        <f t="shared" si="2"/>
        <v>Mad Men</v>
      </c>
      <c r="S7370" s="5" t="str">
        <f>IFERROR(__xludf.DUMMYFUNCTION("""COMPUTED_VALUE"""),"The Land Of The Enlightened")</f>
        <v>The Land Of The Enlightened</v>
      </c>
      <c r="V7370" s="5"/>
      <c r="Y7370" s="5" t="str">
        <f>IFERROR(__xludf.DUMMYFUNCTION("REGEXEXTRACT(J7370, ""^\d+"")"),"7")</f>
        <v>7</v>
      </c>
      <c r="Z7370" s="5" t="str">
        <f>IFERROR(__xludf.DUMMYFUNCTION("REGEXEXTRACT(J7370, ""[A-Za-z ]+$"")")," Seasons")</f>
        <v> Seasons</v>
      </c>
      <c r="AA7370" s="5" t="str">
        <f>IFERROR(__xludf.DUMMYFUNCTION("IF(REGEXMATCH(Z7370, ""Season""), ""TV Show"", ""Movie"")"),"TV Show")</f>
        <v>TV Show</v>
      </c>
    </row>
    <row r="7371">
      <c r="A7371" s="1" t="s">
        <v>36014</v>
      </c>
      <c r="B7371" s="1" t="s">
        <v>27</v>
      </c>
      <c r="C7371" s="1" t="s">
        <v>36015</v>
      </c>
      <c r="D7371" s="1" t="s">
        <v>4093</v>
      </c>
      <c r="E7371" s="1" t="s">
        <v>36016</v>
      </c>
      <c r="F7371" s="1" t="s">
        <v>30</v>
      </c>
      <c r="G7371" s="1" t="s">
        <v>18333</v>
      </c>
      <c r="H7371" s="1">
        <v>2008.0</v>
      </c>
      <c r="I7371" s="1" t="s">
        <v>32</v>
      </c>
      <c r="J7371" s="1" t="s">
        <v>416</v>
      </c>
      <c r="K7371" s="1" t="s">
        <v>239</v>
      </c>
      <c r="L7371" s="1" t="s">
        <v>36017</v>
      </c>
      <c r="M7371" s="2" t="s">
        <v>12</v>
      </c>
      <c r="N7371" s="4">
        <f t="shared" si="1"/>
        <v>43770</v>
      </c>
      <c r="O7371" s="5" t="str">
        <f>IFERROR(__xludf.DUMMYFUNCTION("IF(REGEXMATCH(TRIM(I7371), ""^\d+\s*min""), ""Unclassified"", IF(I7371 = """", ""NR"", I7371))"),"PG-13")</f>
        <v>PG-13</v>
      </c>
      <c r="R7371" s="5" t="str">
        <f t="shared" si="2"/>
        <v>Mad Money</v>
      </c>
      <c r="S7371" s="5" t="str">
        <f>IFERROR(__xludf.DUMMYFUNCTION("""COMPUTED_VALUE"""),"The Larva Island Movie")</f>
        <v>The Larva Island Movie</v>
      </c>
      <c r="V7371" s="5"/>
      <c r="Y7371" s="5" t="str">
        <f>IFERROR(__xludf.DUMMYFUNCTION("REGEXEXTRACT(J7371, ""^\d+"")"),"99")</f>
        <v>99</v>
      </c>
      <c r="Z7371" s="5" t="str">
        <f>IFERROR(__xludf.DUMMYFUNCTION("REGEXEXTRACT(J7371, ""[A-Za-z ]+$"")")," min")</f>
        <v> min</v>
      </c>
      <c r="AA7371" s="5" t="str">
        <f>IFERROR(__xludf.DUMMYFUNCTION("IF(REGEXMATCH(Z7371, ""Season""), ""TV Show"", ""Movie"")"),"Movie")</f>
        <v>Movie</v>
      </c>
    </row>
    <row r="7372">
      <c r="A7372" s="1" t="s">
        <v>36018</v>
      </c>
      <c r="B7372" s="1" t="s">
        <v>27</v>
      </c>
      <c r="C7372" s="1" t="s">
        <v>36019</v>
      </c>
      <c r="D7372" s="1" t="s">
        <v>10977</v>
      </c>
      <c r="E7372" s="1" t="s">
        <v>36020</v>
      </c>
      <c r="F7372" s="1" t="s">
        <v>30</v>
      </c>
      <c r="G7372" s="1" t="s">
        <v>36021</v>
      </c>
      <c r="H7372" s="1">
        <v>1987.0</v>
      </c>
      <c r="I7372" s="1" t="s">
        <v>30231</v>
      </c>
      <c r="J7372" s="1" t="s">
        <v>1608</v>
      </c>
      <c r="K7372" s="1" t="s">
        <v>4847</v>
      </c>
      <c r="L7372" s="1" t="s">
        <v>36022</v>
      </c>
      <c r="M7372" s="2" t="s">
        <v>12</v>
      </c>
      <c r="N7372" s="4">
        <f t="shared" si="1"/>
        <v>40483</v>
      </c>
      <c r="O7372" s="5" t="str">
        <f>IFERROR(__xludf.DUMMYFUNCTION("IF(REGEXMATCH(TRIM(I7372), ""^\d+\s*min""), ""Unclassified"", IF(I7372 = """", ""NR"", I7372))"),"NR")</f>
        <v>NR</v>
      </c>
      <c r="R7372" s="5" t="str">
        <f t="shared" si="2"/>
        <v>Mad Ron'S Prevues From Hell</v>
      </c>
      <c r="S7372" s="5" t="str">
        <f>IFERROR(__xludf.DUMMYFUNCTION("""COMPUTED_VALUE"""),"The Last Airbender")</f>
        <v>The Last Airbender</v>
      </c>
      <c r="V7372" s="5"/>
      <c r="Y7372" s="5" t="str">
        <f>IFERROR(__xludf.DUMMYFUNCTION("REGEXEXTRACT(J7372, ""^\d+"")"),"84")</f>
        <v>84</v>
      </c>
      <c r="Z7372" s="5" t="str">
        <f>IFERROR(__xludf.DUMMYFUNCTION("REGEXEXTRACT(J7372, ""[A-Za-z ]+$"")")," min")</f>
        <v> min</v>
      </c>
      <c r="AA7372" s="5" t="str">
        <f>IFERROR(__xludf.DUMMYFUNCTION("IF(REGEXMATCH(Z7372, ""Season""), ""TV Show"", ""Movie"")"),"Movie")</f>
        <v>Movie</v>
      </c>
    </row>
    <row r="7373">
      <c r="A7373" s="1" t="s">
        <v>36023</v>
      </c>
      <c r="B7373" s="1" t="s">
        <v>27</v>
      </c>
      <c r="C7373" s="1" t="s">
        <v>36024</v>
      </c>
      <c r="D7373" s="1" t="s">
        <v>5006</v>
      </c>
      <c r="E7373" s="1" t="s">
        <v>36025</v>
      </c>
      <c r="F7373" s="1" t="s">
        <v>1119</v>
      </c>
      <c r="G7373" s="1" t="s">
        <v>24513</v>
      </c>
      <c r="H7373" s="1">
        <v>2016.0</v>
      </c>
      <c r="I7373" s="1" t="s">
        <v>42</v>
      </c>
      <c r="J7373" s="1" t="s">
        <v>447</v>
      </c>
      <c r="K7373" s="1" t="s">
        <v>128</v>
      </c>
      <c r="L7373" s="1" t="s">
        <v>36026</v>
      </c>
      <c r="M7373" s="2" t="s">
        <v>12</v>
      </c>
      <c r="N7373" s="4">
        <f t="shared" si="1"/>
        <v>43363</v>
      </c>
      <c r="O7373" s="5" t="str">
        <f>IFERROR(__xludf.DUMMYFUNCTION("IF(REGEXMATCH(TRIM(I7373), ""^\d+\s*min""), ""Unclassified"", IF(I7373 = """", ""NR"", I7373))"),"TV-MA")</f>
        <v>TV-MA</v>
      </c>
      <c r="R7373" s="5" t="str">
        <f t="shared" si="2"/>
        <v>Mad World</v>
      </c>
      <c r="S7373" s="5" t="str">
        <f>IFERROR(__xludf.DUMMYFUNCTION("""COMPUTED_VALUE"""),"The Last Bastion")</f>
        <v>The Last Bastion</v>
      </c>
      <c r="V7373" s="5"/>
      <c r="Y7373" s="5" t="str">
        <f>IFERROR(__xludf.DUMMYFUNCTION("REGEXEXTRACT(J7373, ""^\d+"")"),"102")</f>
        <v>102</v>
      </c>
      <c r="Z7373" s="5" t="str">
        <f>IFERROR(__xludf.DUMMYFUNCTION("REGEXEXTRACT(J7373, ""[A-Za-z ]+$"")")," min")</f>
        <v> min</v>
      </c>
      <c r="AA7373" s="5" t="str">
        <f>IFERROR(__xludf.DUMMYFUNCTION("IF(REGEXMATCH(Z7373, ""Season""), ""TV Show"", ""Movie"")"),"Movie")</f>
        <v>Movie</v>
      </c>
    </row>
    <row r="7374">
      <c r="A7374" s="1" t="s">
        <v>36027</v>
      </c>
      <c r="B7374" s="1" t="s">
        <v>27</v>
      </c>
      <c r="C7374" s="1" t="s">
        <v>36028</v>
      </c>
      <c r="D7374" s="1" t="s">
        <v>12917</v>
      </c>
      <c r="E7374" s="1" t="s">
        <v>36029</v>
      </c>
      <c r="F7374" s="1" t="s">
        <v>63</v>
      </c>
      <c r="G7374" s="1" t="s">
        <v>28620</v>
      </c>
      <c r="H7374" s="1">
        <v>2016.0</v>
      </c>
      <c r="I7374" s="1" t="s">
        <v>97</v>
      </c>
      <c r="J7374" s="1" t="s">
        <v>7413</v>
      </c>
      <c r="K7374" s="1" t="s">
        <v>89</v>
      </c>
      <c r="L7374" s="1" t="s">
        <v>36030</v>
      </c>
      <c r="M7374" s="2" t="s">
        <v>12</v>
      </c>
      <c r="N7374" s="4">
        <f t="shared" si="1"/>
        <v>42783</v>
      </c>
      <c r="O7374" s="5" t="str">
        <f>IFERROR(__xludf.DUMMYFUNCTION("IF(REGEXMATCH(TRIM(I7374), ""^\d+\s*min""), ""Unclassified"", IF(I7374 = """", ""NR"", I7374))"),"TV-14")</f>
        <v>TV-14</v>
      </c>
      <c r="R7374" s="5" t="str">
        <f t="shared" si="2"/>
        <v>Madaari</v>
      </c>
      <c r="S7374" s="5" t="str">
        <f>IFERROR(__xludf.DUMMYFUNCTION("""COMPUTED_VALUE"""),"The Last Blockbuster")</f>
        <v>The Last Blockbuster</v>
      </c>
      <c r="V7374" s="5"/>
      <c r="Y7374" s="5" t="str">
        <f>IFERROR(__xludf.DUMMYFUNCTION("REGEXEXTRACT(J7374, ""^\d+"")"),"134")</f>
        <v>134</v>
      </c>
      <c r="Z7374" s="5" t="str">
        <f>IFERROR(__xludf.DUMMYFUNCTION("REGEXEXTRACT(J7374, ""[A-Za-z ]+$"")")," min")</f>
        <v> min</v>
      </c>
      <c r="AA7374" s="5" t="str">
        <f>IFERROR(__xludf.DUMMYFUNCTION("IF(REGEXMATCH(Z7374, ""Season""), ""TV Show"", ""Movie"")"),"Movie")</f>
        <v>Movie</v>
      </c>
    </row>
    <row r="7375">
      <c r="A7375" s="1" t="s">
        <v>36031</v>
      </c>
      <c r="B7375" s="1" t="s">
        <v>27</v>
      </c>
      <c r="C7375" s="1" t="s">
        <v>36032</v>
      </c>
      <c r="D7375" s="1" t="s">
        <v>3163</v>
      </c>
      <c r="E7375" s="1" t="s">
        <v>36033</v>
      </c>
      <c r="F7375" s="1" t="s">
        <v>30</v>
      </c>
      <c r="G7375" s="1" t="s">
        <v>26481</v>
      </c>
      <c r="H7375" s="1">
        <v>2017.0</v>
      </c>
      <c r="I7375" s="1" t="s">
        <v>42</v>
      </c>
      <c r="J7375" s="1" t="s">
        <v>1737</v>
      </c>
      <c r="K7375" s="1" t="s">
        <v>34</v>
      </c>
      <c r="L7375" s="1" t="s">
        <v>36034</v>
      </c>
      <c r="M7375" s="2" t="s">
        <v>12</v>
      </c>
      <c r="N7375" s="4">
        <f t="shared" si="1"/>
        <v>43101</v>
      </c>
      <c r="O7375" s="5" t="str">
        <f>IFERROR(__xludf.DUMMYFUNCTION("IF(REGEXMATCH(TRIM(I7375), ""^\d+\s*min""), ""Unclassified"", IF(I7375 = """", ""NR"", I7375))"),"TV-MA")</f>
        <v>TV-MA</v>
      </c>
      <c r="R7375" s="5" t="str">
        <f t="shared" si="2"/>
        <v>Maddman: The Steve Madden Story</v>
      </c>
      <c r="S7375" s="5" t="str">
        <f>IFERROR(__xludf.DUMMYFUNCTION("""COMPUTED_VALUE"""),"The Last Bomb Of The Second World War")</f>
        <v>The Last Bomb Of The Second World War</v>
      </c>
      <c r="V7375" s="5"/>
      <c r="Y7375" s="5" t="str">
        <f>IFERROR(__xludf.DUMMYFUNCTION("REGEXEXTRACT(J7375, ""^\d+"")"),"78")</f>
        <v>78</v>
      </c>
      <c r="Z7375" s="5" t="str">
        <f>IFERROR(__xludf.DUMMYFUNCTION("REGEXEXTRACT(J7375, ""[A-Za-z ]+$"")")," min")</f>
        <v> min</v>
      </c>
      <c r="AA7375" s="5" t="str">
        <f>IFERROR(__xludf.DUMMYFUNCTION("IF(REGEXMATCH(Z7375, ""Season""), ""TV Show"", ""Movie"")"),"Movie")</f>
        <v>Movie</v>
      </c>
    </row>
    <row r="7376">
      <c r="A7376" s="1" t="s">
        <v>36035</v>
      </c>
      <c r="B7376" s="1" t="s">
        <v>27</v>
      </c>
      <c r="C7376" s="1" t="s">
        <v>36036</v>
      </c>
      <c r="D7376" s="1" t="s">
        <v>101</v>
      </c>
      <c r="E7376" s="1" t="s">
        <v>36037</v>
      </c>
      <c r="F7376" s="1" t="s">
        <v>13294</v>
      </c>
      <c r="G7376" s="1" t="s">
        <v>27435</v>
      </c>
      <c r="H7376" s="1">
        <v>2016.0</v>
      </c>
      <c r="I7376" s="1" t="s">
        <v>42</v>
      </c>
      <c r="J7376" s="1" t="s">
        <v>465</v>
      </c>
      <c r="K7376" s="1" t="s">
        <v>631</v>
      </c>
      <c r="L7376" s="1" t="s">
        <v>36038</v>
      </c>
      <c r="M7376" s="2" t="s">
        <v>12</v>
      </c>
      <c r="N7376" s="4">
        <f t="shared" si="1"/>
        <v>42973</v>
      </c>
      <c r="O7376" s="5" t="str">
        <f>IFERROR(__xludf.DUMMYFUNCTION("IF(REGEXMATCH(TRIM(I7376), ""^\d+\s*min""), ""Unclassified"", IF(I7376 = """", ""NR"", I7376))"),"TV-MA")</f>
        <v>TV-MA</v>
      </c>
      <c r="R7376" s="5" t="str">
        <f t="shared" si="2"/>
        <v>Madre</v>
      </c>
      <c r="S7376" s="5" t="str">
        <f>IFERROR(__xludf.DUMMYFUNCTION("""COMPUTED_VALUE"""),"The Last Boy Scout")</f>
        <v>The Last Boy Scout</v>
      </c>
      <c r="V7376" s="5"/>
      <c r="Y7376" s="5" t="str">
        <f>IFERROR(__xludf.DUMMYFUNCTION("REGEXEXTRACT(J7376, ""^\d+"")"),"95")</f>
        <v>95</v>
      </c>
      <c r="Z7376" s="5" t="str">
        <f>IFERROR(__xludf.DUMMYFUNCTION("REGEXEXTRACT(J7376, ""[A-Za-z ]+$"")")," min")</f>
        <v> min</v>
      </c>
      <c r="AA7376" s="5" t="str">
        <f>IFERROR(__xludf.DUMMYFUNCTION("IF(REGEXMATCH(Z7376, ""Season""), ""TV Show"", ""Movie"")"),"Movie")</f>
        <v>Movie</v>
      </c>
    </row>
    <row r="7377">
      <c r="A7377" s="1" t="s">
        <v>36039</v>
      </c>
      <c r="B7377" s="1" t="s">
        <v>37</v>
      </c>
      <c r="C7377" s="1" t="s">
        <v>36040</v>
      </c>
      <c r="D7377" s="1" t="s">
        <v>9575</v>
      </c>
      <c r="E7377" s="1" t="s">
        <v>36041</v>
      </c>
      <c r="F7377" s="1" t="s">
        <v>1779</v>
      </c>
      <c r="G7377" s="1" t="s">
        <v>21390</v>
      </c>
      <c r="H7377" s="1">
        <v>2017.0</v>
      </c>
      <c r="I7377" s="1" t="s">
        <v>289</v>
      </c>
      <c r="J7377" s="1" t="s">
        <v>51</v>
      </c>
      <c r="K7377" s="1" t="s">
        <v>314</v>
      </c>
      <c r="L7377" s="1" t="s">
        <v>36042</v>
      </c>
      <c r="M7377" s="2" t="s">
        <v>12</v>
      </c>
      <c r="N7377" s="4">
        <f t="shared" si="1"/>
        <v>43555</v>
      </c>
      <c r="O7377" s="5" t="str">
        <f>IFERROR(__xludf.DUMMYFUNCTION("IF(REGEXMATCH(TRIM(I7377), ""^\d+\s*min""), ""Unclassified"", IF(I7377 = """", ""NR"", I7377))"),"TV-Y7")</f>
        <v>TV-Y7</v>
      </c>
      <c r="R7377" s="5" t="str">
        <f t="shared" si="2"/>
        <v>Maggie &amp; Bianca: Fashion Friends</v>
      </c>
      <c r="S7377" s="5" t="str">
        <f>IFERROR(__xludf.DUMMYFUNCTION("""COMPUTED_VALUE"""),"The Last Czars")</f>
        <v>The Last Czars</v>
      </c>
      <c r="V7377" s="5"/>
      <c r="Y7377" s="5" t="str">
        <f>IFERROR(__xludf.DUMMYFUNCTION("REGEXEXTRACT(J7377, ""^\d+"")"),"1")</f>
        <v>1</v>
      </c>
      <c r="Z7377" s="5" t="str">
        <f>IFERROR(__xludf.DUMMYFUNCTION("REGEXEXTRACT(J7377, ""[A-Za-z ]+$"")")," Season")</f>
        <v> Season</v>
      </c>
      <c r="AA7377" s="5" t="str">
        <f>IFERROR(__xludf.DUMMYFUNCTION("IF(REGEXMATCH(Z7377, ""Season""), ""TV Show"", ""Movie"")"),"TV Show")</f>
        <v>TV Show</v>
      </c>
    </row>
    <row r="7378">
      <c r="A7378" s="1" t="s">
        <v>36043</v>
      </c>
      <c r="B7378" s="1" t="s">
        <v>37</v>
      </c>
      <c r="C7378" s="1" t="s">
        <v>36044</v>
      </c>
      <c r="E7378" s="1" t="s">
        <v>36045</v>
      </c>
      <c r="F7378" s="1" t="s">
        <v>415</v>
      </c>
      <c r="G7378" s="1" t="s">
        <v>29621</v>
      </c>
      <c r="H7378" s="1">
        <v>2016.0</v>
      </c>
      <c r="I7378" s="1" t="s">
        <v>97</v>
      </c>
      <c r="J7378" s="1" t="s">
        <v>51</v>
      </c>
      <c r="K7378" s="1" t="s">
        <v>567</v>
      </c>
      <c r="L7378" s="1" t="s">
        <v>36046</v>
      </c>
      <c r="M7378" s="2" t="s">
        <v>12</v>
      </c>
      <c r="N7378" s="4">
        <f t="shared" si="1"/>
        <v>42565</v>
      </c>
      <c r="O7378" s="5" t="str">
        <f>IFERROR(__xludf.DUMMYFUNCTION("IF(REGEXMATCH(TRIM(I7378), ""^\d+\s*min""), ""Unclassified"", IF(I7378 = """", ""NR"", I7378))"),"TV-14")</f>
        <v>TV-14</v>
      </c>
      <c r="R7378" s="5" t="str">
        <f t="shared" si="2"/>
        <v>Magi: Adventure Of Sinbad</v>
      </c>
      <c r="S7378" s="5" t="str">
        <f>IFERROR(__xludf.DUMMYFUNCTION("""COMPUTED_VALUE"""),"The Last Dance")</f>
        <v>The Last Dance</v>
      </c>
      <c r="V7378" s="5"/>
      <c r="Y7378" s="5" t="str">
        <f>IFERROR(__xludf.DUMMYFUNCTION("REGEXEXTRACT(J7378, ""^\d+"")"),"1")</f>
        <v>1</v>
      </c>
      <c r="Z7378" s="5" t="str">
        <f>IFERROR(__xludf.DUMMYFUNCTION("REGEXEXTRACT(J7378, ""[A-Za-z ]+$"")")," Season")</f>
        <v> Season</v>
      </c>
      <c r="AA7378" s="5" t="str">
        <f>IFERROR(__xludf.DUMMYFUNCTION("IF(REGEXMATCH(Z7378, ""Season""), ""TV Show"", ""Movie"")"),"TV Show")</f>
        <v>TV Show</v>
      </c>
    </row>
    <row r="7379">
      <c r="A7379" s="1" t="s">
        <v>36047</v>
      </c>
      <c r="B7379" s="1" t="s">
        <v>27</v>
      </c>
      <c r="C7379" s="1" t="s">
        <v>36048</v>
      </c>
      <c r="D7379" s="1" t="s">
        <v>13987</v>
      </c>
      <c r="E7379" s="1" t="s">
        <v>36049</v>
      </c>
      <c r="F7379" s="1" t="s">
        <v>3217</v>
      </c>
      <c r="G7379" s="1" t="s">
        <v>35701</v>
      </c>
      <c r="H7379" s="1">
        <v>2013.0</v>
      </c>
      <c r="I7379" s="1" t="s">
        <v>206</v>
      </c>
      <c r="J7379" s="1" t="s">
        <v>5120</v>
      </c>
      <c r="K7379" s="1" t="s">
        <v>80</v>
      </c>
      <c r="L7379" s="1" t="s">
        <v>36050</v>
      </c>
      <c r="M7379" s="2" t="s">
        <v>12</v>
      </c>
      <c r="N7379" s="4">
        <f t="shared" si="1"/>
        <v>42358</v>
      </c>
      <c r="O7379" s="5" t="str">
        <f>IFERROR(__xludf.DUMMYFUNCTION("IF(REGEXMATCH(TRIM(I7379), ""^\d+\s*min""), ""Unclassified"", IF(I7379 = """", ""NR"", I7379))"),"TV-Y")</f>
        <v>TV-Y</v>
      </c>
      <c r="R7379" s="5" t="str">
        <f t="shared" si="2"/>
        <v>Magic Snowflake</v>
      </c>
      <c r="S7379" s="5" t="str">
        <f>IFERROR(__xludf.DUMMYFUNCTION("""COMPUTED_VALUE"""),"The Last Days")</f>
        <v>The Last Days</v>
      </c>
      <c r="V7379" s="5"/>
      <c r="Y7379" s="5" t="str">
        <f>IFERROR(__xludf.DUMMYFUNCTION("REGEXEXTRACT(J7379, ""^\d+"")"),"73")</f>
        <v>73</v>
      </c>
      <c r="Z7379" s="5" t="str">
        <f>IFERROR(__xludf.DUMMYFUNCTION("REGEXEXTRACT(J7379, ""[A-Za-z ]+$"")")," min")</f>
        <v> min</v>
      </c>
      <c r="AA7379" s="5" t="str">
        <f>IFERROR(__xludf.DUMMYFUNCTION("IF(REGEXMATCH(Z7379, ""Season""), ""TV Show"", ""Movie"")"),"Movie")</f>
        <v>Movie</v>
      </c>
    </row>
    <row r="7380">
      <c r="A7380" s="1" t="s">
        <v>36051</v>
      </c>
      <c r="B7380" s="1" t="s">
        <v>27</v>
      </c>
      <c r="C7380" s="1" t="s">
        <v>36052</v>
      </c>
      <c r="D7380" s="1" t="s">
        <v>22405</v>
      </c>
      <c r="E7380" s="1" t="s">
        <v>36053</v>
      </c>
      <c r="F7380" s="1" t="s">
        <v>664</v>
      </c>
      <c r="G7380" s="1" t="s">
        <v>13543</v>
      </c>
      <c r="H7380" s="1">
        <v>2018.0</v>
      </c>
      <c r="I7380" s="1" t="s">
        <v>97</v>
      </c>
      <c r="J7380" s="1" t="s">
        <v>297</v>
      </c>
      <c r="K7380" s="1" t="s">
        <v>30729</v>
      </c>
      <c r="L7380" s="1" t="s">
        <v>36054</v>
      </c>
      <c r="M7380" s="2" t="s">
        <v>12</v>
      </c>
      <c r="N7380" s="4">
        <f t="shared" si="1"/>
        <v>43994</v>
      </c>
      <c r="O7380" s="5" t="str">
        <f>IFERROR(__xludf.DUMMYFUNCTION("IF(REGEXMATCH(TRIM(I7380), ""^\d+\s*min""), ""Unclassified"", IF(I7380 = """", ""NR"", I7380))"),"TV-14")</f>
        <v>TV-14</v>
      </c>
      <c r="R7380" s="5" t="str">
        <f t="shared" si="2"/>
        <v>Magnetic</v>
      </c>
      <c r="S7380" s="5" t="str">
        <f>IFERROR(__xludf.DUMMYFUNCTION("""COMPUTED_VALUE"""),"The Last Days Of American Crime")</f>
        <v>The Last Days Of American Crime</v>
      </c>
      <c r="V7380" s="5"/>
      <c r="Y7380" s="5" t="str">
        <f>IFERROR(__xludf.DUMMYFUNCTION("REGEXEXTRACT(J7380, ""^\d+"")"),"110")</f>
        <v>110</v>
      </c>
      <c r="Z7380" s="5" t="str">
        <f>IFERROR(__xludf.DUMMYFUNCTION("REGEXEXTRACT(J7380, ""[A-Za-z ]+$"")")," min")</f>
        <v> min</v>
      </c>
      <c r="AA7380" s="5" t="str">
        <f>IFERROR(__xludf.DUMMYFUNCTION("IF(REGEXMATCH(Z7380, ""Season""), ""TV Show"", ""Movie"")"),"Movie")</f>
        <v>Movie</v>
      </c>
    </row>
    <row r="7381">
      <c r="A7381" s="1" t="s">
        <v>36055</v>
      </c>
      <c r="B7381" s="1" t="s">
        <v>27</v>
      </c>
      <c r="C7381" s="1" t="s">
        <v>36056</v>
      </c>
      <c r="D7381" s="1" t="s">
        <v>3235</v>
      </c>
      <c r="E7381" s="1" t="s">
        <v>36057</v>
      </c>
      <c r="F7381" s="1" t="s">
        <v>8498</v>
      </c>
      <c r="G7381" s="1" t="s">
        <v>28597</v>
      </c>
      <c r="H7381" s="1">
        <v>2016.0</v>
      </c>
      <c r="I7381" s="1" t="s">
        <v>136</v>
      </c>
      <c r="J7381" s="1" t="s">
        <v>6281</v>
      </c>
      <c r="K7381" s="1" t="s">
        <v>4616</v>
      </c>
      <c r="L7381" s="1" t="s">
        <v>36058</v>
      </c>
      <c r="M7381" s="2" t="s">
        <v>12</v>
      </c>
      <c r="N7381" s="4">
        <f t="shared" si="1"/>
        <v>42788</v>
      </c>
      <c r="O7381" s="5" t="str">
        <f>IFERROR(__xludf.DUMMYFUNCTION("IF(REGEXMATCH(TRIM(I7381), ""^\d+\s*min""), ""Unclassified"", IF(I7381 = """", ""NR"", I7381))"),"TV-PG")</f>
        <v>TV-PG</v>
      </c>
      <c r="R7381" s="5" t="str">
        <f t="shared" si="2"/>
        <v>Magnus</v>
      </c>
      <c r="S7381" s="5" t="str">
        <f>IFERROR(__xludf.DUMMYFUNCTION("""COMPUTED_VALUE"""),"The Last Days Of Chez Nous")</f>
        <v>The Last Days Of Chez Nous</v>
      </c>
      <c r="V7381" s="5"/>
      <c r="Y7381" s="5" t="str">
        <f>IFERROR(__xludf.DUMMYFUNCTION("REGEXEXTRACT(J7381, ""^\d+"")"),"75")</f>
        <v>75</v>
      </c>
      <c r="Z7381" s="5" t="str">
        <f>IFERROR(__xludf.DUMMYFUNCTION("REGEXEXTRACT(J7381, ""[A-Za-z ]+$"")")," min")</f>
        <v> min</v>
      </c>
      <c r="AA7381" s="5" t="str">
        <f>IFERROR(__xludf.DUMMYFUNCTION("IF(REGEXMATCH(Z7381, ""Season""), ""TV Show"", ""Movie"")"),"Movie")</f>
        <v>Movie</v>
      </c>
    </row>
    <row r="7382">
      <c r="A7382" s="1" t="s">
        <v>36059</v>
      </c>
      <c r="B7382" s="1" t="s">
        <v>27</v>
      </c>
      <c r="C7382" s="1" t="s">
        <v>36060</v>
      </c>
      <c r="D7382" s="1" t="s">
        <v>1512</v>
      </c>
      <c r="E7382" s="1" t="s">
        <v>36061</v>
      </c>
      <c r="F7382" s="1" t="s">
        <v>63</v>
      </c>
      <c r="G7382" s="1" t="s">
        <v>24964</v>
      </c>
      <c r="H7382" s="1">
        <v>2013.0</v>
      </c>
      <c r="I7382" s="1" t="s">
        <v>97</v>
      </c>
      <c r="J7382" s="1" t="s">
        <v>804</v>
      </c>
      <c r="K7382" s="1" t="s">
        <v>306</v>
      </c>
      <c r="L7382" s="1" t="s">
        <v>36062</v>
      </c>
      <c r="M7382" s="2" t="s">
        <v>12</v>
      </c>
      <c r="N7382" s="4">
        <f t="shared" si="1"/>
        <v>43313</v>
      </c>
      <c r="O7382" s="5" t="str">
        <f>IFERROR(__xludf.DUMMYFUNCTION("IF(REGEXMATCH(TRIM(I7382), ""^\d+\s*min""), ""Unclassified"", IF(I7382 = """", ""NR"", I7382))"),"TV-14")</f>
        <v>TV-14</v>
      </c>
      <c r="R7382" s="5" t="str">
        <f t="shared" si="2"/>
        <v>Mahabharat</v>
      </c>
      <c r="S7382" s="5" t="str">
        <f>IFERROR(__xludf.DUMMYFUNCTION("""COMPUTED_VALUE"""),"The Last Exorcism")</f>
        <v>The Last Exorcism</v>
      </c>
      <c r="V7382" s="5"/>
      <c r="Y7382" s="5" t="str">
        <f>IFERROR(__xludf.DUMMYFUNCTION("REGEXEXTRACT(J7382, ""^\d+"")"),"119")</f>
        <v>119</v>
      </c>
      <c r="Z7382" s="5" t="str">
        <f>IFERROR(__xludf.DUMMYFUNCTION("REGEXEXTRACT(J7382, ""[A-Za-z ]+$"")")," min")</f>
        <v> min</v>
      </c>
      <c r="AA7382" s="5" t="str">
        <f>IFERROR(__xludf.DUMMYFUNCTION("IF(REGEXMATCH(Z7382, ""Season""), ""TV Show"", ""Movie"")"),"Movie")</f>
        <v>Movie</v>
      </c>
    </row>
    <row r="7383">
      <c r="A7383" s="1" t="s">
        <v>36063</v>
      </c>
      <c r="B7383" s="1" t="s">
        <v>37</v>
      </c>
      <c r="C7383" s="1" t="s">
        <v>36064</v>
      </c>
      <c r="E7383" s="1" t="s">
        <v>36065</v>
      </c>
      <c r="F7383" s="1" t="s">
        <v>63</v>
      </c>
      <c r="G7383" s="1" t="s">
        <v>28307</v>
      </c>
      <c r="H7383" s="1">
        <v>2015.0</v>
      </c>
      <c r="I7383" s="1" t="s">
        <v>97</v>
      </c>
      <c r="J7383" s="1" t="s">
        <v>51</v>
      </c>
      <c r="K7383" s="1" t="s">
        <v>20026</v>
      </c>
      <c r="L7383" s="1" t="s">
        <v>36066</v>
      </c>
      <c r="M7383" s="2" t="s">
        <v>12</v>
      </c>
      <c r="N7383" s="4">
        <f t="shared" si="1"/>
        <v>42840</v>
      </c>
      <c r="O7383" s="5" t="str">
        <f>IFERROR(__xludf.DUMMYFUNCTION("IF(REGEXMATCH(TRIM(I7383), ""^\d+\s*min""), ""Unclassified"", IF(I7383 = """", ""NR"", I7383))"),"TV-14")</f>
        <v>TV-14</v>
      </c>
      <c r="R7383" s="5" t="str">
        <f t="shared" si="2"/>
        <v>Maharakshak Devi</v>
      </c>
      <c r="S7383" s="5" t="str">
        <f>IFERROR(__xludf.DUMMYFUNCTION("""COMPUTED_VALUE"""),"The Last Face")</f>
        <v>The Last Face</v>
      </c>
      <c r="V7383" s="5"/>
      <c r="Y7383" s="5" t="str">
        <f>IFERROR(__xludf.DUMMYFUNCTION("REGEXEXTRACT(J7383, ""^\d+"")"),"1")</f>
        <v>1</v>
      </c>
      <c r="Z7383" s="5" t="str">
        <f>IFERROR(__xludf.DUMMYFUNCTION("REGEXEXTRACT(J7383, ""[A-Za-z ]+$"")")," Season")</f>
        <v> Season</v>
      </c>
      <c r="AA7383" s="5" t="str">
        <f>IFERROR(__xludf.DUMMYFUNCTION("IF(REGEXMATCH(Z7383, ""Season""), ""TV Show"", ""Movie"")"),"TV Show")</f>
        <v>TV Show</v>
      </c>
    </row>
    <row r="7384">
      <c r="A7384" s="1" t="s">
        <v>36067</v>
      </c>
      <c r="B7384" s="1" t="s">
        <v>37</v>
      </c>
      <c r="C7384" s="1" t="s">
        <v>36068</v>
      </c>
      <c r="E7384" s="1" t="s">
        <v>36069</v>
      </c>
      <c r="F7384" s="1" t="s">
        <v>63</v>
      </c>
      <c r="G7384" s="1" t="s">
        <v>28377</v>
      </c>
      <c r="H7384" s="1">
        <v>2014.0</v>
      </c>
      <c r="I7384" s="1" t="s">
        <v>97</v>
      </c>
      <c r="J7384" s="1" t="s">
        <v>51</v>
      </c>
      <c r="K7384" s="1" t="s">
        <v>20026</v>
      </c>
      <c r="L7384" s="1" t="s">
        <v>36070</v>
      </c>
      <c r="M7384" s="2" t="s">
        <v>12</v>
      </c>
      <c r="N7384" s="4">
        <f t="shared" si="1"/>
        <v>42826</v>
      </c>
      <c r="O7384" s="5" t="str">
        <f>IFERROR(__xludf.DUMMYFUNCTION("IF(REGEXMATCH(TRIM(I7384), ""^\d+\s*min""), ""Unclassified"", IF(I7384 = """", ""NR"", I7384))"),"TV-14")</f>
        <v>TV-14</v>
      </c>
      <c r="R7384" s="5" t="str">
        <f t="shared" si="2"/>
        <v>Maharakshak: Aryan</v>
      </c>
      <c r="S7384" s="5" t="str">
        <f>IFERROR(__xludf.DUMMYFUNCTION("""COMPUTED_VALUE"""),"The Last Hangover")</f>
        <v>The Last Hangover</v>
      </c>
      <c r="V7384" s="5"/>
      <c r="Y7384" s="5" t="str">
        <f>IFERROR(__xludf.DUMMYFUNCTION("REGEXEXTRACT(J7384, ""^\d+"")"),"1")</f>
        <v>1</v>
      </c>
      <c r="Z7384" s="5" t="str">
        <f>IFERROR(__xludf.DUMMYFUNCTION("REGEXEXTRACT(J7384, ""[A-Za-z ]+$"")")," Season")</f>
        <v> Season</v>
      </c>
      <c r="AA7384" s="5" t="str">
        <f>IFERROR(__xludf.DUMMYFUNCTION("IF(REGEXMATCH(Z7384, ""Season""), ""TV Show"", ""Movie"")"),"TV Show")</f>
        <v>TV Show</v>
      </c>
    </row>
    <row r="7385">
      <c r="A7385" s="1" t="s">
        <v>36071</v>
      </c>
      <c r="B7385" s="1" t="s">
        <v>37</v>
      </c>
      <c r="C7385" s="1" t="s">
        <v>36072</v>
      </c>
      <c r="E7385" s="1" t="s">
        <v>36073</v>
      </c>
      <c r="F7385" s="1" t="s">
        <v>63</v>
      </c>
      <c r="G7385" s="1" t="s">
        <v>26089</v>
      </c>
      <c r="H7385" s="1">
        <v>2010.0</v>
      </c>
      <c r="I7385" s="1" t="s">
        <v>97</v>
      </c>
      <c r="J7385" s="1" t="s">
        <v>51</v>
      </c>
      <c r="K7385" s="1" t="s">
        <v>1294</v>
      </c>
      <c r="L7385" s="1" t="s">
        <v>36074</v>
      </c>
      <c r="M7385" s="2" t="s">
        <v>12</v>
      </c>
      <c r="N7385" s="4">
        <f t="shared" si="1"/>
        <v>43160</v>
      </c>
      <c r="O7385" s="5" t="str">
        <f>IFERROR(__xludf.DUMMYFUNCTION("IF(REGEXMATCH(TRIM(I7385), ""^\d+\s*min""), ""Unclassified"", IF(I7385 = """", ""NR"", I7385))"),"TV-14")</f>
        <v>TV-14</v>
      </c>
      <c r="R7385" s="5" t="str">
        <f t="shared" si="2"/>
        <v>Mahi Way</v>
      </c>
      <c r="S7385" s="5" t="str">
        <f>IFERROR(__xludf.DUMMYFUNCTION("""COMPUTED_VALUE"""),"The Last Hour")</f>
        <v>The Last Hour</v>
      </c>
      <c r="V7385" s="5"/>
      <c r="Y7385" s="5" t="str">
        <f>IFERROR(__xludf.DUMMYFUNCTION("REGEXEXTRACT(J7385, ""^\d+"")"),"1")</f>
        <v>1</v>
      </c>
      <c r="Z7385" s="5" t="str">
        <f>IFERROR(__xludf.DUMMYFUNCTION("REGEXEXTRACT(J7385, ""[A-Za-z ]+$"")")," Season")</f>
        <v> Season</v>
      </c>
      <c r="AA7385" s="5" t="str">
        <f>IFERROR(__xludf.DUMMYFUNCTION("IF(REGEXMATCH(Z7385, ""Season""), ""TV Show"", ""Movie"")"),"TV Show")</f>
        <v>TV Show</v>
      </c>
    </row>
    <row r="7386">
      <c r="A7386" s="1" t="s">
        <v>36075</v>
      </c>
      <c r="B7386" s="1" t="s">
        <v>27</v>
      </c>
      <c r="C7386" s="1" t="s">
        <v>36076</v>
      </c>
      <c r="D7386" s="1" t="s">
        <v>13746</v>
      </c>
      <c r="E7386" s="1" t="s">
        <v>36077</v>
      </c>
      <c r="F7386" s="1" t="s">
        <v>1119</v>
      </c>
      <c r="G7386" s="1" t="s">
        <v>24803</v>
      </c>
      <c r="H7386" s="1">
        <v>1981.0</v>
      </c>
      <c r="I7386" s="1" t="s">
        <v>136</v>
      </c>
      <c r="J7386" s="1" t="s">
        <v>665</v>
      </c>
      <c r="K7386" s="1" t="s">
        <v>199</v>
      </c>
      <c r="L7386" s="1" t="s">
        <v>36078</v>
      </c>
      <c r="M7386" s="2" t="s">
        <v>12</v>
      </c>
      <c r="N7386" s="4">
        <f t="shared" si="1"/>
        <v>43328</v>
      </c>
      <c r="O7386" s="5" t="str">
        <f>IFERROR(__xludf.DUMMYFUNCTION("IF(REGEXMATCH(TRIM(I7386), ""^\d+\s*min""), ""Unclassified"", IF(I7386 = """", ""NR"", I7386))"),"TV-PG")</f>
        <v>TV-PG</v>
      </c>
      <c r="R7386" s="5" t="str">
        <f t="shared" si="2"/>
        <v>Mahjong Heroes</v>
      </c>
      <c r="S7386" s="5" t="str">
        <f>IFERROR(__xludf.DUMMYFUNCTION("""COMPUTED_VALUE"""),"The Last Kids On Earth")</f>
        <v>The Last Kids On Earth</v>
      </c>
      <c r="V7386" s="5"/>
      <c r="Y7386" s="5" t="str">
        <f>IFERROR(__xludf.DUMMYFUNCTION("REGEXEXTRACT(J7386, ""^\d+"")"),"92")</f>
        <v>92</v>
      </c>
      <c r="Z7386" s="5" t="str">
        <f>IFERROR(__xludf.DUMMYFUNCTION("REGEXEXTRACT(J7386, ""[A-Za-z ]+$"")")," min")</f>
        <v> min</v>
      </c>
      <c r="AA7386" s="5" t="str">
        <f>IFERROR(__xludf.DUMMYFUNCTION("IF(REGEXMATCH(Z7386, ""Season""), ""TV Show"", ""Movie"")"),"Movie")</f>
        <v>Movie</v>
      </c>
    </row>
    <row r="7387">
      <c r="A7387" s="1" t="s">
        <v>36079</v>
      </c>
      <c r="B7387" s="1" t="s">
        <v>37</v>
      </c>
      <c r="C7387" s="1" t="s">
        <v>36080</v>
      </c>
      <c r="E7387" s="1" t="s">
        <v>36081</v>
      </c>
      <c r="F7387" s="1" t="s">
        <v>36082</v>
      </c>
      <c r="G7387" s="1" t="s">
        <v>33383</v>
      </c>
      <c r="H7387" s="1">
        <v>2013.0</v>
      </c>
      <c r="I7387" s="1" t="s">
        <v>97</v>
      </c>
      <c r="J7387" s="1" t="s">
        <v>51</v>
      </c>
      <c r="K7387" s="1" t="s">
        <v>1907</v>
      </c>
      <c r="L7387" s="1" t="s">
        <v>36083</v>
      </c>
      <c r="M7387" s="2" t="s">
        <v>12</v>
      </c>
      <c r="N7387" s="4">
        <f t="shared" si="1"/>
        <v>42730</v>
      </c>
      <c r="O7387" s="5" t="str">
        <f>IFERROR(__xludf.DUMMYFUNCTION("IF(REGEXMATCH(TRIM(I7387), ""^\d+\s*min""), ""Unclassified"", IF(I7387 = """", ""NR"", I7387))"),"TV-14")</f>
        <v>TV-14</v>
      </c>
      <c r="R7387" s="5" t="str">
        <f t="shared" si="2"/>
        <v>Mahmut &amp; Meryem</v>
      </c>
      <c r="S7387" s="5" t="str">
        <f>IFERROR(__xludf.DUMMYFUNCTION("""COMPUTED_VALUE"""),"The Last Kids On Earth: Happy Apocalypse To You")</f>
        <v>The Last Kids On Earth: Happy Apocalypse To You</v>
      </c>
      <c r="V7387" s="5"/>
      <c r="Y7387" s="5" t="str">
        <f>IFERROR(__xludf.DUMMYFUNCTION("REGEXEXTRACT(J7387, ""^\d+"")"),"1")</f>
        <v>1</v>
      </c>
      <c r="Z7387" s="5" t="str">
        <f>IFERROR(__xludf.DUMMYFUNCTION("REGEXEXTRACT(J7387, ""[A-Za-z ]+$"")")," Season")</f>
        <v> Season</v>
      </c>
      <c r="AA7387" s="5" t="str">
        <f>IFERROR(__xludf.DUMMYFUNCTION("IF(REGEXMATCH(Z7387, ""Season""), ""TV Show"", ""Movie"")"),"TV Show")</f>
        <v>TV Show</v>
      </c>
    </row>
    <row r="7388">
      <c r="A7388" s="1" t="s">
        <v>36084</v>
      </c>
      <c r="B7388" s="1" t="s">
        <v>27</v>
      </c>
      <c r="C7388" s="1" t="s">
        <v>36085</v>
      </c>
      <c r="D7388" s="1" t="s">
        <v>1405</v>
      </c>
      <c r="E7388" s="1" t="s">
        <v>36086</v>
      </c>
      <c r="F7388" s="1" t="s">
        <v>63</v>
      </c>
      <c r="G7388" s="1" t="s">
        <v>17078</v>
      </c>
      <c r="H7388" s="1">
        <v>2005.0</v>
      </c>
      <c r="I7388" s="1" t="s">
        <v>97</v>
      </c>
      <c r="J7388" s="1" t="s">
        <v>4242</v>
      </c>
      <c r="K7388" s="1" t="s">
        <v>230</v>
      </c>
      <c r="L7388" s="1" t="s">
        <v>36087</v>
      </c>
      <c r="M7388" s="2" t="s">
        <v>12</v>
      </c>
      <c r="N7388" s="4">
        <f t="shared" si="1"/>
        <v>43830</v>
      </c>
      <c r="O7388" s="5" t="str">
        <f>IFERROR(__xludf.DUMMYFUNCTION("IF(REGEXMATCH(TRIM(I7388), ""^\d+\s*min""), ""Unclassified"", IF(I7388 = """", ""NR"", I7388))"),"TV-14")</f>
        <v>TV-14</v>
      </c>
      <c r="R7388" s="5" t="str">
        <f t="shared" si="2"/>
        <v>Maine Pyaar Kyun Kiya</v>
      </c>
      <c r="S7388" s="5" t="str">
        <f>IFERROR(__xludf.DUMMYFUNCTION("""COMPUTED_VALUE"""),"The Last Kingdom")</f>
        <v>The Last Kingdom</v>
      </c>
      <c r="V7388" s="5"/>
      <c r="Y7388" s="5" t="str">
        <f>IFERROR(__xludf.DUMMYFUNCTION("REGEXEXTRACT(J7388, ""^\d+"")"),"137")</f>
        <v>137</v>
      </c>
      <c r="Z7388" s="5" t="str">
        <f>IFERROR(__xludf.DUMMYFUNCTION("REGEXEXTRACT(J7388, ""[A-Za-z ]+$"")")," min")</f>
        <v> min</v>
      </c>
      <c r="AA7388" s="5" t="str">
        <f>IFERROR(__xludf.DUMMYFUNCTION("IF(REGEXMATCH(Z7388, ""Season""), ""TV Show"", ""Movie"")"),"Movie")</f>
        <v>Movie</v>
      </c>
    </row>
    <row r="7389">
      <c r="A7389" s="1" t="s">
        <v>36088</v>
      </c>
      <c r="B7389" s="1" t="s">
        <v>27</v>
      </c>
      <c r="C7389" s="1" t="s">
        <v>36089</v>
      </c>
      <c r="D7389" s="1" t="s">
        <v>13267</v>
      </c>
      <c r="E7389" s="1" t="s">
        <v>36090</v>
      </c>
      <c r="F7389" s="1" t="s">
        <v>63</v>
      </c>
      <c r="G7389" s="1" t="s">
        <v>26481</v>
      </c>
      <c r="H7389" s="1">
        <v>1989.0</v>
      </c>
      <c r="I7389" s="1" t="s">
        <v>136</v>
      </c>
      <c r="J7389" s="1" t="s">
        <v>15293</v>
      </c>
      <c r="K7389" s="1" t="s">
        <v>1429</v>
      </c>
      <c r="L7389" s="1" t="s">
        <v>36091</v>
      </c>
      <c r="M7389" s="2" t="s">
        <v>12</v>
      </c>
      <c r="N7389" s="4">
        <f t="shared" si="1"/>
        <v>43101</v>
      </c>
      <c r="O7389" s="5" t="str">
        <f>IFERROR(__xludf.DUMMYFUNCTION("IF(REGEXMATCH(TRIM(I7389), ""^\d+\s*min""), ""Unclassified"", IF(I7389 = """", ""NR"", I7389))"),"TV-PG")</f>
        <v>TV-PG</v>
      </c>
      <c r="R7389" s="5" t="str">
        <f t="shared" si="2"/>
        <v>Maine Pyar Kiya</v>
      </c>
      <c r="S7389" s="5" t="str">
        <f>IFERROR(__xludf.DUMMYFUNCTION("""COMPUTED_VALUE"""),"The Last Laugh")</f>
        <v>The Last Laugh</v>
      </c>
      <c r="V7389" s="5"/>
      <c r="Y7389" s="5" t="str">
        <f>IFERROR(__xludf.DUMMYFUNCTION("REGEXEXTRACT(J7389, ""^\d+"")"),"192")</f>
        <v>192</v>
      </c>
      <c r="Z7389" s="5" t="str">
        <f>IFERROR(__xludf.DUMMYFUNCTION("REGEXEXTRACT(J7389, ""[A-Za-z ]+$"")")," min")</f>
        <v> min</v>
      </c>
      <c r="AA7389" s="5" t="str">
        <f>IFERROR(__xludf.DUMMYFUNCTION("IF(REGEXMATCH(Z7389, ""Season""), ""TV Show"", ""Movie"")"),"Movie")</f>
        <v>Movie</v>
      </c>
    </row>
    <row r="7390">
      <c r="A7390" s="1" t="s">
        <v>36092</v>
      </c>
      <c r="B7390" s="1" t="s">
        <v>27</v>
      </c>
      <c r="C7390" s="1" t="s">
        <v>36093</v>
      </c>
      <c r="D7390" s="1" t="s">
        <v>20278</v>
      </c>
      <c r="E7390" s="1" t="s">
        <v>36094</v>
      </c>
      <c r="F7390" s="1" t="s">
        <v>63</v>
      </c>
      <c r="G7390" s="1" t="s">
        <v>23412</v>
      </c>
      <c r="H7390" s="1">
        <v>2017.0</v>
      </c>
      <c r="I7390" s="1" t="s">
        <v>136</v>
      </c>
      <c r="J7390" s="1" t="s">
        <v>2505</v>
      </c>
      <c r="K7390" s="1" t="s">
        <v>128</v>
      </c>
      <c r="L7390" s="1" t="s">
        <v>36095</v>
      </c>
      <c r="M7390" s="2" t="s">
        <v>12</v>
      </c>
      <c r="N7390" s="4">
        <f t="shared" si="1"/>
        <v>43419</v>
      </c>
      <c r="O7390" s="5" t="str">
        <f>IFERROR(__xludf.DUMMYFUNCTION("IF(REGEXMATCH(TRIM(I7390), ""^\d+\s*min""), ""Unclassified"", IF(I7390 = """", ""NR"", I7390))"),"TV-PG")</f>
        <v>TV-PG</v>
      </c>
      <c r="R7390" s="5" t="str">
        <f t="shared" si="2"/>
        <v>Mala Kahich Problem Nahi</v>
      </c>
      <c r="S7390" s="5" t="str">
        <f>IFERROR(__xludf.DUMMYFUNCTION("""COMPUTED_VALUE"""),"The Last Letter From Your Lover")</f>
        <v>The Last Letter From Your Lover</v>
      </c>
      <c r="V7390" s="5"/>
      <c r="Y7390" s="5" t="str">
        <f>IFERROR(__xludf.DUMMYFUNCTION("REGEXEXTRACT(J7390, ""^\d+"")"),"132")</f>
        <v>132</v>
      </c>
      <c r="Z7390" s="5" t="str">
        <f>IFERROR(__xludf.DUMMYFUNCTION("REGEXEXTRACT(J7390, ""[A-Za-z ]+$"")")," min")</f>
        <v> min</v>
      </c>
      <c r="AA7390" s="5" t="str">
        <f>IFERROR(__xludf.DUMMYFUNCTION("IF(REGEXMATCH(Z7390, ""Season""), ""TV Show"", ""Movie"")"),"Movie")</f>
        <v>Movie</v>
      </c>
    </row>
    <row r="7391">
      <c r="A7391" s="1" t="s">
        <v>36096</v>
      </c>
      <c r="B7391" s="1" t="s">
        <v>27</v>
      </c>
      <c r="C7391" s="1" t="s">
        <v>36097</v>
      </c>
      <c r="D7391" s="1" t="s">
        <v>15865</v>
      </c>
      <c r="E7391" s="1" t="s">
        <v>36098</v>
      </c>
      <c r="F7391" s="1" t="s">
        <v>30</v>
      </c>
      <c r="G7391" s="1" t="s">
        <v>22239</v>
      </c>
      <c r="H7391" s="1">
        <v>2018.0</v>
      </c>
      <c r="I7391" s="1" t="s">
        <v>42</v>
      </c>
      <c r="J7391" s="1" t="s">
        <v>79</v>
      </c>
      <c r="K7391" s="1" t="s">
        <v>1551</v>
      </c>
      <c r="L7391" s="1" t="s">
        <v>36099</v>
      </c>
      <c r="M7391" s="2" t="s">
        <v>12</v>
      </c>
      <c r="N7391" s="4">
        <f t="shared" si="1"/>
        <v>43497</v>
      </c>
      <c r="O7391" s="5" t="str">
        <f>IFERROR(__xludf.DUMMYFUNCTION("IF(REGEXMATCH(TRIM(I7391), ""^\d+\s*min""), ""Unclassified"", IF(I7391 = """", ""NR"", I7391))"),"TV-MA")</f>
        <v>TV-MA</v>
      </c>
      <c r="R7391" s="5" t="str">
        <f t="shared" si="2"/>
        <v>Malicious</v>
      </c>
      <c r="S7391" s="5" t="str">
        <f>IFERROR(__xludf.DUMMYFUNCTION("""COMPUTED_VALUE"""),"The Last Man On The Moon")</f>
        <v>The Last Man On The Moon</v>
      </c>
      <c r="V7391" s="5"/>
      <c r="Y7391" s="5" t="str">
        <f>IFERROR(__xludf.DUMMYFUNCTION("REGEXEXTRACT(J7391, ""^\d+"")"),"91")</f>
        <v>91</v>
      </c>
      <c r="Z7391" s="5" t="str">
        <f>IFERROR(__xludf.DUMMYFUNCTION("REGEXEXTRACT(J7391, ""[A-Za-z ]+$"")")," min")</f>
        <v> min</v>
      </c>
      <c r="AA7391" s="5" t="str">
        <f>IFERROR(__xludf.DUMMYFUNCTION("IF(REGEXMATCH(Z7391, ""Season""), ""TV Show"", ""Movie"")"),"Movie")</f>
        <v>Movie</v>
      </c>
    </row>
    <row r="7392">
      <c r="A7392" s="1" t="s">
        <v>36100</v>
      </c>
      <c r="B7392" s="1" t="s">
        <v>27</v>
      </c>
      <c r="C7392" s="1" t="s">
        <v>36101</v>
      </c>
      <c r="D7392" s="1" t="s">
        <v>12588</v>
      </c>
      <c r="E7392" s="1" t="s">
        <v>36102</v>
      </c>
      <c r="F7392" s="1" t="s">
        <v>1137</v>
      </c>
      <c r="G7392" s="1" t="s">
        <v>30969</v>
      </c>
      <c r="H7392" s="1">
        <v>2013.0</v>
      </c>
      <c r="I7392" s="1" t="s">
        <v>378</v>
      </c>
      <c r="J7392" s="1" t="s">
        <v>305</v>
      </c>
      <c r="K7392" s="1" t="s">
        <v>323</v>
      </c>
      <c r="L7392" s="1" t="s">
        <v>36103</v>
      </c>
      <c r="M7392" s="2" t="s">
        <v>12</v>
      </c>
      <c r="N7392" s="4">
        <f t="shared" si="1"/>
        <v>43307</v>
      </c>
      <c r="O7392" s="5" t="str">
        <f>IFERROR(__xludf.DUMMYFUNCTION("IF(REGEXMATCH(TRIM(I7392), ""^\d+\s*min""), ""Unclassified"", IF(I7392 = """", ""NR"", I7392))"),"R")</f>
        <v>R</v>
      </c>
      <c r="R7392" s="5" t="str">
        <f t="shared" si="2"/>
        <v>Man Of Tai Chi</v>
      </c>
      <c r="S7392" s="5" t="str">
        <f>IFERROR(__xludf.DUMMYFUNCTION("""COMPUTED_VALUE"""),"The Last Mercenary")</f>
        <v>The Last Mercenary</v>
      </c>
      <c r="V7392" s="5"/>
      <c r="Y7392" s="5" t="str">
        <f>IFERROR(__xludf.DUMMYFUNCTION("REGEXEXTRACT(J7392, ""^\d+"")"),"105")</f>
        <v>105</v>
      </c>
      <c r="Z7392" s="5" t="str">
        <f>IFERROR(__xludf.DUMMYFUNCTION("REGEXEXTRACT(J7392, ""[A-Za-z ]+$"")")," min")</f>
        <v> min</v>
      </c>
      <c r="AA7392" s="5" t="str">
        <f>IFERROR(__xludf.DUMMYFUNCTION("IF(REGEXMATCH(Z7392, ""Season""), ""TV Show"", ""Movie"")"),"Movie")</f>
        <v>Movie</v>
      </c>
    </row>
    <row r="7393">
      <c r="A7393" s="1" t="s">
        <v>36104</v>
      </c>
      <c r="B7393" s="1" t="s">
        <v>27</v>
      </c>
      <c r="C7393" s="1" t="s">
        <v>36105</v>
      </c>
      <c r="D7393" s="1" t="s">
        <v>3157</v>
      </c>
      <c r="E7393" s="1" t="s">
        <v>36106</v>
      </c>
      <c r="F7393" s="1" t="s">
        <v>18004</v>
      </c>
      <c r="G7393" s="1" t="s">
        <v>31699</v>
      </c>
      <c r="H7393" s="1">
        <v>2015.0</v>
      </c>
      <c r="I7393" s="1" t="s">
        <v>378</v>
      </c>
      <c r="J7393" s="1" t="s">
        <v>428</v>
      </c>
      <c r="K7393" s="1" t="s">
        <v>215</v>
      </c>
      <c r="L7393" s="1" t="s">
        <v>36107</v>
      </c>
      <c r="M7393" s="2" t="s">
        <v>12</v>
      </c>
      <c r="N7393" s="4">
        <f t="shared" si="1"/>
        <v>43347</v>
      </c>
      <c r="O7393" s="5" t="str">
        <f>IFERROR(__xludf.DUMMYFUNCTION("IF(REGEXMATCH(TRIM(I7393), ""^\d+\s*min""), ""Unclassified"", IF(I7393 = """", ""NR"", I7393))"),"R")</f>
        <v>R</v>
      </c>
      <c r="R7393" s="5" t="str">
        <f t="shared" si="2"/>
        <v>Man Up</v>
      </c>
      <c r="S7393" s="5" t="str">
        <f>IFERROR(__xludf.DUMMYFUNCTION("""COMPUTED_VALUE"""),"The Last O.G.")</f>
        <v>The Last O.G.</v>
      </c>
      <c r="V7393" s="5"/>
      <c r="Y7393" s="5" t="str">
        <f>IFERROR(__xludf.DUMMYFUNCTION("REGEXEXTRACT(J7393, ""^\d+"")"),"88")</f>
        <v>88</v>
      </c>
      <c r="Z7393" s="5" t="str">
        <f>IFERROR(__xludf.DUMMYFUNCTION("REGEXEXTRACT(J7393, ""[A-Za-z ]+$"")")," min")</f>
        <v> min</v>
      </c>
      <c r="AA7393" s="5" t="str">
        <f>IFERROR(__xludf.DUMMYFUNCTION("IF(REGEXMATCH(Z7393, ""Season""), ""TV Show"", ""Movie"")"),"Movie")</f>
        <v>Movie</v>
      </c>
    </row>
    <row r="7394">
      <c r="A7394" s="1" t="s">
        <v>36108</v>
      </c>
      <c r="B7394" s="1" t="s">
        <v>37</v>
      </c>
      <c r="C7394" s="1" t="s">
        <v>36109</v>
      </c>
      <c r="E7394" s="1" t="s">
        <v>36110</v>
      </c>
      <c r="G7394" s="1" t="s">
        <v>23134</v>
      </c>
      <c r="H7394" s="1">
        <v>2018.0</v>
      </c>
      <c r="I7394" s="1" t="s">
        <v>136</v>
      </c>
      <c r="J7394" s="1" t="s">
        <v>51</v>
      </c>
      <c r="K7394" s="1" t="s">
        <v>36111</v>
      </c>
      <c r="L7394" s="1" t="s">
        <v>36112</v>
      </c>
      <c r="M7394" s="2" t="s">
        <v>12</v>
      </c>
      <c r="N7394" s="4">
        <f t="shared" si="1"/>
        <v>43435</v>
      </c>
      <c r="O7394" s="5" t="str">
        <f>IFERROR(__xludf.DUMMYFUNCTION("IF(REGEXMATCH(TRIM(I7394), ""^\d+\s*min""), ""Unclassified"", IF(I7394 = """", ""NR"", I7394))"),"TV-PG")</f>
        <v>TV-PG</v>
      </c>
      <c r="R7394" s="5" t="str">
        <f t="shared" si="2"/>
        <v>Man Vs Wild With Sunny Leone</v>
      </c>
      <c r="S7394" s="5" t="str">
        <f>IFERROR(__xludf.DUMMYFUNCTION("""COMPUTED_VALUE"""),"The Last Of The Schmucks")</f>
        <v>The Last Of The Schmucks</v>
      </c>
      <c r="V7394" s="5"/>
      <c r="Y7394" s="5" t="str">
        <f>IFERROR(__xludf.DUMMYFUNCTION("REGEXEXTRACT(J7394, ""^\d+"")"),"1")</f>
        <v>1</v>
      </c>
      <c r="Z7394" s="5" t="str">
        <f>IFERROR(__xludf.DUMMYFUNCTION("REGEXEXTRACT(J7394, ""[A-Za-z ]+$"")")," Season")</f>
        <v> Season</v>
      </c>
      <c r="AA7394" s="5" t="str">
        <f>IFERROR(__xludf.DUMMYFUNCTION("IF(REGEXMATCH(Z7394, ""Season""), ""TV Show"", ""Movie"")"),"TV Show")</f>
        <v>TV Show</v>
      </c>
    </row>
    <row r="7395">
      <c r="A7395" s="1" t="s">
        <v>36113</v>
      </c>
      <c r="B7395" s="1" t="s">
        <v>27</v>
      </c>
      <c r="C7395" s="1" t="s">
        <v>36114</v>
      </c>
      <c r="D7395" s="1" t="s">
        <v>9789</v>
      </c>
      <c r="E7395" s="1" t="s">
        <v>36115</v>
      </c>
      <c r="F7395" s="1" t="s">
        <v>63</v>
      </c>
      <c r="G7395" s="1" t="s">
        <v>16947</v>
      </c>
      <c r="H7395" s="1">
        <v>1983.0</v>
      </c>
      <c r="I7395" s="1" t="s">
        <v>42</v>
      </c>
      <c r="J7395" s="1" t="s">
        <v>3511</v>
      </c>
      <c r="K7395" s="1" t="s">
        <v>89</v>
      </c>
      <c r="L7395" s="1" t="s">
        <v>36116</v>
      </c>
      <c r="M7395" s="2" t="s">
        <v>12</v>
      </c>
      <c r="N7395" s="4">
        <f t="shared" si="1"/>
        <v>43831</v>
      </c>
      <c r="O7395" s="5" t="str">
        <f>IFERROR(__xludf.DUMMYFUNCTION("IF(REGEXMATCH(TRIM(I7395), ""^\d+\s*min""), ""Unclassified"", IF(I7395 = """", ""NR"", I7395))"),"TV-MA")</f>
        <v>TV-MA</v>
      </c>
      <c r="R7395" s="5" t="str">
        <f t="shared" si="2"/>
        <v>Mandi</v>
      </c>
      <c r="S7395" s="5" t="str">
        <f>IFERROR(__xludf.DUMMYFUNCTION("""COMPUTED_VALUE"""),"The Last Paradiso")</f>
        <v>The Last Paradiso</v>
      </c>
      <c r="V7395" s="5"/>
      <c r="Y7395" s="5" t="str">
        <f>IFERROR(__xludf.DUMMYFUNCTION("REGEXEXTRACT(J7395, ""^\d+"")"),"155")</f>
        <v>155</v>
      </c>
      <c r="Z7395" s="5" t="str">
        <f>IFERROR(__xludf.DUMMYFUNCTION("REGEXEXTRACT(J7395, ""[A-Za-z ]+$"")")," min")</f>
        <v> min</v>
      </c>
      <c r="AA7395" s="5" t="str">
        <f>IFERROR(__xludf.DUMMYFUNCTION("IF(REGEXMATCH(Z7395, ""Season""), ""TV Show"", ""Movie"")"),"Movie")</f>
        <v>Movie</v>
      </c>
    </row>
    <row r="7396">
      <c r="A7396" s="1" t="s">
        <v>36117</v>
      </c>
      <c r="B7396" s="1" t="s">
        <v>27</v>
      </c>
      <c r="C7396" s="1" t="s">
        <v>36118</v>
      </c>
      <c r="D7396" s="1" t="s">
        <v>22250</v>
      </c>
      <c r="E7396" s="1" t="s">
        <v>36119</v>
      </c>
      <c r="F7396" s="1" t="s">
        <v>63</v>
      </c>
      <c r="G7396" s="1" t="s">
        <v>25842</v>
      </c>
      <c r="H7396" s="1">
        <v>2017.0</v>
      </c>
      <c r="I7396" s="1" t="s">
        <v>97</v>
      </c>
      <c r="J7396" s="1" t="s">
        <v>238</v>
      </c>
      <c r="K7396" s="1" t="s">
        <v>679</v>
      </c>
      <c r="L7396" s="1" t="s">
        <v>36120</v>
      </c>
      <c r="M7396" s="2" t="s">
        <v>12</v>
      </c>
      <c r="N7396" s="4">
        <f t="shared" si="1"/>
        <v>43191</v>
      </c>
      <c r="O7396" s="5" t="str">
        <f>IFERROR(__xludf.DUMMYFUNCTION("IF(REGEXMATCH(TRIM(I7396), ""^\d+\s*min""), ""Unclassified"", IF(I7396 = """", ""NR"", I7396))"),"TV-14")</f>
        <v>TV-14</v>
      </c>
      <c r="R7396" s="5" t="str">
        <f t="shared" si="2"/>
        <v>Mandobasar Galpo</v>
      </c>
      <c r="S7396" s="5" t="str">
        <f>IFERROR(__xludf.DUMMYFUNCTION("""COMPUTED_VALUE"""),"The Last Resort")</f>
        <v>The Last Resort</v>
      </c>
      <c r="V7396" s="5"/>
      <c r="Y7396" s="5" t="str">
        <f>IFERROR(__xludf.DUMMYFUNCTION("REGEXEXTRACT(J7396, ""^\d+"")"),"103")</f>
        <v>103</v>
      </c>
      <c r="Z7396" s="5" t="str">
        <f>IFERROR(__xludf.DUMMYFUNCTION("REGEXEXTRACT(J7396, ""[A-Za-z ]+$"")")," min")</f>
        <v> min</v>
      </c>
      <c r="AA7396" s="5" t="str">
        <f>IFERROR(__xludf.DUMMYFUNCTION("IF(REGEXMATCH(Z7396, ""Season""), ""TV Show"", ""Movie"")"),"Movie")</f>
        <v>Movie</v>
      </c>
    </row>
    <row r="7397">
      <c r="A7397" s="1" t="s">
        <v>36121</v>
      </c>
      <c r="B7397" s="1" t="s">
        <v>27</v>
      </c>
      <c r="C7397" s="1" t="s">
        <v>36122</v>
      </c>
      <c r="D7397" s="1" t="s">
        <v>2253</v>
      </c>
      <c r="E7397" s="1" t="s">
        <v>36123</v>
      </c>
      <c r="F7397" s="1" t="s">
        <v>30</v>
      </c>
      <c r="G7397" s="1" t="s">
        <v>36124</v>
      </c>
      <c r="H7397" s="1">
        <v>2014.0</v>
      </c>
      <c r="I7397" s="1" t="s">
        <v>32</v>
      </c>
      <c r="J7397" s="1" t="s">
        <v>247</v>
      </c>
      <c r="K7397" s="1" t="s">
        <v>1320</v>
      </c>
      <c r="L7397" s="1" t="s">
        <v>36125</v>
      </c>
      <c r="M7397" s="2" t="s">
        <v>12</v>
      </c>
      <c r="N7397" s="4">
        <f t="shared" si="1"/>
        <v>42841</v>
      </c>
      <c r="O7397" s="5" t="str">
        <f>IFERROR(__xludf.DUMMYFUNCTION("IF(REGEXMATCH(TRIM(I7397), ""^\d+\s*min""), ""Unclassified"", IF(I7397 = """", ""NR"", I7397))"),"PG-13")</f>
        <v>PG-13</v>
      </c>
      <c r="R7397" s="5" t="str">
        <f t="shared" si="2"/>
        <v>Manglehorn</v>
      </c>
      <c r="S7397" s="5" t="str">
        <f>IFERROR(__xludf.DUMMYFUNCTION("""COMPUTED_VALUE"""),"The Last Runway")</f>
        <v>The Last Runway</v>
      </c>
      <c r="V7397" s="5"/>
      <c r="Y7397" s="5" t="str">
        <f>IFERROR(__xludf.DUMMYFUNCTION("REGEXEXTRACT(J7397, ""^\d+"")"),"97")</f>
        <v>97</v>
      </c>
      <c r="Z7397" s="5" t="str">
        <f>IFERROR(__xludf.DUMMYFUNCTION("REGEXEXTRACT(J7397, ""[A-Za-z ]+$"")")," min")</f>
        <v> min</v>
      </c>
      <c r="AA7397" s="5" t="str">
        <f>IFERROR(__xludf.DUMMYFUNCTION("IF(REGEXMATCH(Z7397, ""Season""), ""TV Show"", ""Movie"")"),"Movie")</f>
        <v>Movie</v>
      </c>
    </row>
    <row r="7398">
      <c r="A7398" s="1" t="s">
        <v>36126</v>
      </c>
      <c r="B7398" s="1" t="s">
        <v>27</v>
      </c>
      <c r="C7398" s="1" t="s">
        <v>36127</v>
      </c>
      <c r="D7398" s="1" t="s">
        <v>11493</v>
      </c>
      <c r="E7398" s="1" t="s">
        <v>36128</v>
      </c>
      <c r="F7398" s="1" t="s">
        <v>30</v>
      </c>
      <c r="G7398" s="1" t="s">
        <v>25994</v>
      </c>
      <c r="H7398" s="1">
        <v>2016.0</v>
      </c>
      <c r="I7398" s="1" t="s">
        <v>97</v>
      </c>
      <c r="J7398" s="1" t="s">
        <v>665</v>
      </c>
      <c r="K7398" s="1" t="s">
        <v>1320</v>
      </c>
      <c r="L7398" s="1" t="s">
        <v>36129</v>
      </c>
      <c r="M7398" s="2" t="s">
        <v>12</v>
      </c>
      <c r="N7398" s="4">
        <f t="shared" si="1"/>
        <v>43174</v>
      </c>
      <c r="O7398" s="5" t="str">
        <f>IFERROR(__xludf.DUMMYFUNCTION("IF(REGEXMATCH(TRIM(I7398), ""^\d+\s*min""), ""Unclassified"", IF(I7398 = """", ""NR"", I7398))"),"TV-14")</f>
        <v>TV-14</v>
      </c>
      <c r="R7398" s="5" t="str">
        <f t="shared" si="2"/>
        <v>Mango Dreams</v>
      </c>
      <c r="S7398" s="5" t="str">
        <f>IFERROR(__xludf.DUMMYFUNCTION("""COMPUTED_VALUE"""),"The Last Shaman")</f>
        <v>The Last Shaman</v>
      </c>
      <c r="V7398" s="5"/>
      <c r="Y7398" s="5" t="str">
        <f>IFERROR(__xludf.DUMMYFUNCTION("REGEXEXTRACT(J7398, ""^\d+"")"),"92")</f>
        <v>92</v>
      </c>
      <c r="Z7398" s="5" t="str">
        <f>IFERROR(__xludf.DUMMYFUNCTION("REGEXEXTRACT(J7398, ""[A-Za-z ]+$"")")," min")</f>
        <v> min</v>
      </c>
      <c r="AA7398" s="5" t="str">
        <f>IFERROR(__xludf.DUMMYFUNCTION("IF(REGEXMATCH(Z7398, ""Season""), ""TV Show"", ""Movie"")"),"Movie")</f>
        <v>Movie</v>
      </c>
    </row>
    <row r="7399">
      <c r="A7399" s="1" t="s">
        <v>36130</v>
      </c>
      <c r="B7399" s="1" t="s">
        <v>27</v>
      </c>
      <c r="C7399" s="1" t="s">
        <v>36131</v>
      </c>
      <c r="D7399" s="1" t="s">
        <v>22729</v>
      </c>
      <c r="E7399" s="1" t="s">
        <v>36132</v>
      </c>
      <c r="F7399" s="1" t="s">
        <v>30</v>
      </c>
      <c r="G7399" s="1" t="s">
        <v>27276</v>
      </c>
      <c r="H7399" s="1">
        <v>2014.0</v>
      </c>
      <c r="I7399" s="1" t="s">
        <v>97</v>
      </c>
      <c r="J7399" s="1" t="s">
        <v>357</v>
      </c>
      <c r="K7399" s="1" t="s">
        <v>5739</v>
      </c>
      <c r="L7399" s="1" t="s">
        <v>36133</v>
      </c>
      <c r="M7399" s="2" t="s">
        <v>12</v>
      </c>
      <c r="N7399" s="4">
        <f t="shared" si="1"/>
        <v>42986</v>
      </c>
      <c r="O7399" s="5" t="str">
        <f>IFERROR(__xludf.DUMMYFUNCTION("IF(REGEXMATCH(TRIM(I7399), ""^\d+\s*min""), ""Unclassified"", IF(I7399 = """", ""NR"", I7399))"),"TV-14")</f>
        <v>TV-14</v>
      </c>
      <c r="R7399" s="5" t="str">
        <f t="shared" si="2"/>
        <v>Manhattan Romance</v>
      </c>
      <c r="S7399" s="5" t="str">
        <f>IFERROR(__xludf.DUMMYFUNCTION("""COMPUTED_VALUE"""),"The Last Summer")</f>
        <v>The Last Summer</v>
      </c>
      <c r="V7399" s="5"/>
      <c r="Y7399" s="5" t="str">
        <f>IFERROR(__xludf.DUMMYFUNCTION("REGEXEXTRACT(J7399, ""^\d+"")"),"98")</f>
        <v>98</v>
      </c>
      <c r="Z7399" s="5" t="str">
        <f>IFERROR(__xludf.DUMMYFUNCTION("REGEXEXTRACT(J7399, ""[A-Za-z ]+$"")")," min")</f>
        <v> min</v>
      </c>
      <c r="AA7399" s="5" t="str">
        <f>IFERROR(__xludf.DUMMYFUNCTION("IF(REGEXMATCH(Z7399, ""Season""), ""TV Show"", ""Movie"")"),"Movie")</f>
        <v>Movie</v>
      </c>
    </row>
    <row r="7400">
      <c r="A7400" s="1" t="s">
        <v>36134</v>
      </c>
      <c r="B7400" s="1" t="s">
        <v>27</v>
      </c>
      <c r="C7400" s="1" t="s">
        <v>36135</v>
      </c>
      <c r="D7400" s="1" t="s">
        <v>15791</v>
      </c>
      <c r="E7400" s="1" t="s">
        <v>36136</v>
      </c>
      <c r="F7400" s="1" t="s">
        <v>96</v>
      </c>
      <c r="G7400" s="1" t="s">
        <v>26413</v>
      </c>
      <c r="H7400" s="1">
        <v>2017.0</v>
      </c>
      <c r="I7400" s="1" t="s">
        <v>42</v>
      </c>
      <c r="J7400" s="1" t="s">
        <v>1191</v>
      </c>
      <c r="K7400" s="1" t="s">
        <v>156</v>
      </c>
      <c r="L7400" s="1" t="s">
        <v>36137</v>
      </c>
      <c r="M7400" s="2" t="s">
        <v>12</v>
      </c>
      <c r="N7400" s="4">
        <f t="shared" si="1"/>
        <v>43115</v>
      </c>
      <c r="O7400" s="5" t="str">
        <f>IFERROR(__xludf.DUMMYFUNCTION("IF(REGEXMATCH(TRIM(I7400), ""^\d+\s*min""), ""Unclassified"", IF(I7400 = """", ""NR"", I7400))"),"TV-MA")</f>
        <v>TV-MA</v>
      </c>
      <c r="R7400" s="5" t="str">
        <f t="shared" si="2"/>
        <v>Manolo: The Boy Who Made Shoes For Lizards</v>
      </c>
      <c r="S7400" s="5" t="str">
        <f>IFERROR(__xludf.DUMMYFUNCTION("""COMPUTED_VALUE"""),"The Last Thing He Wanted")</f>
        <v>The Last Thing He Wanted</v>
      </c>
      <c r="V7400" s="5"/>
      <c r="Y7400" s="5" t="str">
        <f>IFERROR(__xludf.DUMMYFUNCTION("REGEXEXTRACT(J7400, ""^\d+"")"),"89")</f>
        <v>89</v>
      </c>
      <c r="Z7400" s="5" t="str">
        <f>IFERROR(__xludf.DUMMYFUNCTION("REGEXEXTRACT(J7400, ""[A-Za-z ]+$"")")," min")</f>
        <v> min</v>
      </c>
      <c r="AA7400" s="5" t="str">
        <f>IFERROR(__xludf.DUMMYFUNCTION("IF(REGEXMATCH(Z7400, ""Season""), ""TV Show"", ""Movie"")"),"Movie")</f>
        <v>Movie</v>
      </c>
    </row>
    <row r="7401">
      <c r="A7401" s="1" t="s">
        <v>36138</v>
      </c>
      <c r="B7401" s="1" t="s">
        <v>27</v>
      </c>
      <c r="C7401" s="1" t="s">
        <v>36139</v>
      </c>
      <c r="D7401" s="1" t="s">
        <v>17661</v>
      </c>
      <c r="E7401" s="1" t="s">
        <v>36140</v>
      </c>
      <c r="F7401" s="1" t="s">
        <v>96</v>
      </c>
      <c r="G7401" s="1" t="s">
        <v>16947</v>
      </c>
      <c r="H7401" s="1">
        <v>1999.0</v>
      </c>
      <c r="I7401" s="1" t="s">
        <v>32</v>
      </c>
      <c r="J7401" s="1" t="s">
        <v>1243</v>
      </c>
      <c r="K7401" s="1" t="s">
        <v>583</v>
      </c>
      <c r="L7401" s="1" t="s">
        <v>36141</v>
      </c>
      <c r="M7401" s="2" t="s">
        <v>12</v>
      </c>
      <c r="N7401" s="4">
        <f t="shared" si="1"/>
        <v>43831</v>
      </c>
      <c r="O7401" s="5" t="str">
        <f>IFERROR(__xludf.DUMMYFUNCTION("IF(REGEXMATCH(TRIM(I7401), ""^\d+\s*min""), ""Unclassified"", IF(I7401 = """", ""NR"", I7401))"),"PG-13")</f>
        <v>PG-13</v>
      </c>
      <c r="R7401" s="5" t="str">
        <f t="shared" si="2"/>
        <v>Mansfield Park</v>
      </c>
      <c r="S7401" s="5" t="str">
        <f>IFERROR(__xludf.DUMMYFUNCTION("""COMPUTED_VALUE"""),"The Last Whistle")</f>
        <v>The Last Whistle</v>
      </c>
      <c r="V7401" s="5"/>
      <c r="Y7401" s="5" t="str">
        <f>IFERROR(__xludf.DUMMYFUNCTION("REGEXEXTRACT(J7401, ""^\d+"")"),"112")</f>
        <v>112</v>
      </c>
      <c r="Z7401" s="5" t="str">
        <f>IFERROR(__xludf.DUMMYFUNCTION("REGEXEXTRACT(J7401, ""[A-Za-z ]+$"")")," min")</f>
        <v> min</v>
      </c>
      <c r="AA7401" s="5" t="str">
        <f>IFERROR(__xludf.DUMMYFUNCTION("IF(REGEXMATCH(Z7401, ""Season""), ""TV Show"", ""Movie"")"),"Movie")</f>
        <v>Movie</v>
      </c>
    </row>
    <row r="7402">
      <c r="A7402" s="1" t="s">
        <v>36142</v>
      </c>
      <c r="B7402" s="1" t="s">
        <v>27</v>
      </c>
      <c r="C7402" s="1" t="s">
        <v>36143</v>
      </c>
      <c r="D7402" s="1" t="s">
        <v>18564</v>
      </c>
      <c r="E7402" s="1" t="s">
        <v>36144</v>
      </c>
      <c r="F7402" s="1" t="s">
        <v>63</v>
      </c>
      <c r="G7402" s="1" t="s">
        <v>26596</v>
      </c>
      <c r="H7402" s="1">
        <v>2017.0</v>
      </c>
      <c r="I7402" s="1" t="s">
        <v>42</v>
      </c>
      <c r="J7402" s="1" t="s">
        <v>6281</v>
      </c>
      <c r="K7402" s="1" t="s">
        <v>89</v>
      </c>
      <c r="L7402" s="1" t="s">
        <v>36145</v>
      </c>
      <c r="M7402" s="2" t="s">
        <v>12</v>
      </c>
      <c r="N7402" s="4">
        <f t="shared" si="1"/>
        <v>43084</v>
      </c>
      <c r="O7402" s="5" t="str">
        <f>IFERROR(__xludf.DUMMYFUNCTION("IF(REGEXMATCH(TRIM(I7402), ""^\d+\s*min""), ""Unclassified"", IF(I7402 = """", ""NR"", I7402))"),"TV-MA")</f>
        <v>TV-MA</v>
      </c>
      <c r="R7402" s="5" t="str">
        <f t="shared" si="2"/>
        <v>Mantostaan</v>
      </c>
      <c r="S7402" s="5" t="str">
        <f>IFERROR(__xludf.DUMMYFUNCTION("""COMPUTED_VALUE"""),"The Last Word")</f>
        <v>The Last Word</v>
      </c>
      <c r="V7402" s="5"/>
      <c r="Y7402" s="5" t="str">
        <f>IFERROR(__xludf.DUMMYFUNCTION("REGEXEXTRACT(J7402, ""^\d+"")"),"75")</f>
        <v>75</v>
      </c>
      <c r="Z7402" s="5" t="str">
        <f>IFERROR(__xludf.DUMMYFUNCTION("REGEXEXTRACT(J7402, ""[A-Za-z ]+$"")")," min")</f>
        <v> min</v>
      </c>
      <c r="AA7402" s="5" t="str">
        <f>IFERROR(__xludf.DUMMYFUNCTION("IF(REGEXMATCH(Z7402, ""Season""), ""TV Show"", ""Movie"")"),"Movie")</f>
        <v>Movie</v>
      </c>
    </row>
    <row r="7403">
      <c r="A7403" s="1" t="s">
        <v>36146</v>
      </c>
      <c r="B7403" s="1" t="s">
        <v>27</v>
      </c>
      <c r="C7403" s="1" t="s">
        <v>36147</v>
      </c>
      <c r="D7403" s="1" t="s">
        <v>13541</v>
      </c>
      <c r="E7403" s="1" t="s">
        <v>36148</v>
      </c>
      <c r="F7403" s="1" t="s">
        <v>63</v>
      </c>
      <c r="G7403" s="1" t="s">
        <v>26596</v>
      </c>
      <c r="H7403" s="1">
        <v>2017.0</v>
      </c>
      <c r="I7403" s="1" t="s">
        <v>97</v>
      </c>
      <c r="J7403" s="1" t="s">
        <v>1191</v>
      </c>
      <c r="K7403" s="1" t="s">
        <v>89</v>
      </c>
      <c r="L7403" s="1" t="s">
        <v>36149</v>
      </c>
      <c r="M7403" s="2" t="s">
        <v>12</v>
      </c>
      <c r="N7403" s="4">
        <f t="shared" si="1"/>
        <v>43084</v>
      </c>
      <c r="O7403" s="5" t="str">
        <f>IFERROR(__xludf.DUMMYFUNCTION("IF(REGEXMATCH(TRIM(I7403), ""^\d+\s*min""), ""Unclassified"", IF(I7403 = """", ""NR"", I7403))"),"TV-14")</f>
        <v>TV-14</v>
      </c>
      <c r="R7403" s="5" t="str">
        <f t="shared" si="2"/>
        <v>Mantra</v>
      </c>
      <c r="S7403" s="5" t="str">
        <f>IFERROR(__xludf.DUMMYFUNCTION("""COMPUTED_VALUE"""),"The Late Bloomer")</f>
        <v>The Late Bloomer</v>
      </c>
      <c r="V7403" s="5"/>
      <c r="Y7403" s="5" t="str">
        <f>IFERROR(__xludf.DUMMYFUNCTION("REGEXEXTRACT(J7403, ""^\d+"")"),"89")</f>
        <v>89</v>
      </c>
      <c r="Z7403" s="5" t="str">
        <f>IFERROR(__xludf.DUMMYFUNCTION("REGEXEXTRACT(J7403, ""[A-Za-z ]+$"")")," min")</f>
        <v> min</v>
      </c>
      <c r="AA7403" s="5" t="str">
        <f>IFERROR(__xludf.DUMMYFUNCTION("IF(REGEXMATCH(Z7403, ""Season""), ""TV Show"", ""Movie"")"),"Movie")</f>
        <v>Movie</v>
      </c>
    </row>
    <row r="7404">
      <c r="A7404" s="1" t="s">
        <v>36150</v>
      </c>
      <c r="B7404" s="1" t="s">
        <v>27</v>
      </c>
      <c r="C7404" s="1" t="s">
        <v>36151</v>
      </c>
      <c r="D7404" s="1" t="s">
        <v>5101</v>
      </c>
      <c r="E7404" s="1" t="s">
        <v>36152</v>
      </c>
      <c r="F7404" s="1" t="s">
        <v>96</v>
      </c>
      <c r="G7404" s="1" t="s">
        <v>22597</v>
      </c>
      <c r="H7404" s="1">
        <v>2017.0</v>
      </c>
      <c r="I7404" s="1" t="s">
        <v>42</v>
      </c>
      <c r="J7404" s="1" t="s">
        <v>416</v>
      </c>
      <c r="K7404" s="1" t="s">
        <v>3768</v>
      </c>
      <c r="L7404" s="1" t="s">
        <v>36153</v>
      </c>
      <c r="M7404" s="2" t="s">
        <v>12</v>
      </c>
      <c r="N7404" s="4">
        <f t="shared" si="1"/>
        <v>43470</v>
      </c>
      <c r="O7404" s="5" t="str">
        <f>IFERROR(__xludf.DUMMYFUNCTION("IF(REGEXMATCH(TRIM(I7404), ""^\d+\s*min""), ""Unclassified"", IF(I7404 = """", ""NR"", I7404))"),"TV-MA")</f>
        <v>TV-MA</v>
      </c>
      <c r="R7404" s="5" t="str">
        <f t="shared" si="2"/>
        <v>Mara</v>
      </c>
      <c r="S7404" s="5" t="str">
        <f>IFERROR(__xludf.DUMMYFUNCTION("""COMPUTED_VALUE"""),"The Laundromat")</f>
        <v>The Laundromat</v>
      </c>
      <c r="V7404" s="5"/>
      <c r="Y7404" s="5" t="str">
        <f>IFERROR(__xludf.DUMMYFUNCTION("REGEXEXTRACT(J7404, ""^\d+"")"),"99")</f>
        <v>99</v>
      </c>
      <c r="Z7404" s="5" t="str">
        <f>IFERROR(__xludf.DUMMYFUNCTION("REGEXEXTRACT(J7404, ""[A-Za-z ]+$"")")," min")</f>
        <v> min</v>
      </c>
      <c r="AA7404" s="5" t="str">
        <f>IFERROR(__xludf.DUMMYFUNCTION("IF(REGEXMATCH(Z7404, ""Season""), ""TV Show"", ""Movie"")"),"Movie")</f>
        <v>Movie</v>
      </c>
    </row>
    <row r="7405">
      <c r="A7405" s="1" t="s">
        <v>36154</v>
      </c>
      <c r="B7405" s="1" t="s">
        <v>27</v>
      </c>
      <c r="C7405" s="1" t="s">
        <v>36155</v>
      </c>
      <c r="D7405" s="1" t="s">
        <v>998</v>
      </c>
      <c r="E7405" s="1" t="s">
        <v>36156</v>
      </c>
      <c r="F7405" s="1" t="s">
        <v>1979</v>
      </c>
      <c r="G7405" s="1" t="s">
        <v>9391</v>
      </c>
      <c r="H7405" s="1">
        <v>2016.0</v>
      </c>
      <c r="I7405" s="1" t="s">
        <v>378</v>
      </c>
      <c r="J7405" s="1" t="s">
        <v>1256</v>
      </c>
      <c r="K7405" s="1" t="s">
        <v>380</v>
      </c>
      <c r="L7405" s="1" t="s">
        <v>36157</v>
      </c>
      <c r="M7405" s="2" t="s">
        <v>12</v>
      </c>
      <c r="N7405" s="4">
        <f t="shared" si="1"/>
        <v>44166</v>
      </c>
      <c r="O7405" s="5" t="str">
        <f>IFERROR(__xludf.DUMMYFUNCTION("IF(REGEXMATCH(TRIM(I7405), ""^\d+\s*min""), ""Unclassified"", IF(I7405 = """", ""NR"", I7405))"),"R")</f>
        <v>R</v>
      </c>
      <c r="R7405" s="5" t="str">
        <f t="shared" si="2"/>
        <v>Marauders</v>
      </c>
      <c r="S7405" s="5" t="str">
        <f>IFERROR(__xludf.DUMMYFUNCTION("""COMPUTED_VALUE"""),"The Laws Of Thermodynamics")</f>
        <v>The Laws Of Thermodynamics</v>
      </c>
      <c r="V7405" s="5"/>
      <c r="Y7405" s="5" t="str">
        <f>IFERROR(__xludf.DUMMYFUNCTION("REGEXEXTRACT(J7405, ""^\d+"")"),"107")</f>
        <v>107</v>
      </c>
      <c r="Z7405" s="5" t="str">
        <f>IFERROR(__xludf.DUMMYFUNCTION("REGEXEXTRACT(J7405, ""[A-Za-z ]+$"")")," min")</f>
        <v> min</v>
      </c>
      <c r="AA7405" s="5" t="str">
        <f>IFERROR(__xludf.DUMMYFUNCTION("IF(REGEXMATCH(Z7405, ""Season""), ""TV Show"", ""Movie"")"),"Movie")</f>
        <v>Movie</v>
      </c>
    </row>
    <row r="7406">
      <c r="A7406" s="1" t="s">
        <v>36158</v>
      </c>
      <c r="B7406" s="1" t="s">
        <v>37</v>
      </c>
      <c r="C7406" s="1" t="s">
        <v>36159</v>
      </c>
      <c r="F7406" s="1" t="s">
        <v>30</v>
      </c>
      <c r="G7406" s="1" t="s">
        <v>24874</v>
      </c>
      <c r="H7406" s="1">
        <v>2018.0</v>
      </c>
      <c r="I7406" s="1" t="s">
        <v>97</v>
      </c>
      <c r="J7406" s="1" t="s">
        <v>51</v>
      </c>
      <c r="K7406" s="1" t="s">
        <v>1261</v>
      </c>
      <c r="L7406" s="1" t="s">
        <v>36160</v>
      </c>
      <c r="M7406" s="2" t="s">
        <v>12</v>
      </c>
      <c r="N7406" s="4">
        <f t="shared" si="1"/>
        <v>43315</v>
      </c>
      <c r="O7406" s="5" t="str">
        <f>IFERROR(__xludf.DUMMYFUNCTION("IF(REGEXMATCH(TRIM(I7406), ""^\d+\s*min""), ""Unclassified"", IF(I7406 = """", ""NR"", I7406))"),"TV-14")</f>
        <v>TV-14</v>
      </c>
      <c r="R7406" s="5" t="str">
        <f t="shared" si="2"/>
        <v>Marching Orders</v>
      </c>
      <c r="S7406" s="5" t="str">
        <f>IFERROR(__xludf.DUMMYFUNCTION("""COMPUTED_VALUE"""),"The Least Expected Day: Inside The Movistar Team 2019")</f>
        <v>The Least Expected Day: Inside The Movistar Team 2019</v>
      </c>
      <c r="V7406" s="5"/>
      <c r="Y7406" s="5" t="str">
        <f>IFERROR(__xludf.DUMMYFUNCTION("REGEXEXTRACT(J7406, ""^\d+"")"),"1")</f>
        <v>1</v>
      </c>
      <c r="Z7406" s="5" t="str">
        <f>IFERROR(__xludf.DUMMYFUNCTION("REGEXEXTRACT(J7406, ""[A-Za-z ]+$"")")," Season")</f>
        <v> Season</v>
      </c>
      <c r="AA7406" s="5" t="str">
        <f>IFERROR(__xludf.DUMMYFUNCTION("IF(REGEXMATCH(Z7406, ""Season""), ""TV Show"", ""Movie"")"),"TV Show")</f>
        <v>TV Show</v>
      </c>
    </row>
    <row r="7407">
      <c r="A7407" s="1" t="s">
        <v>36161</v>
      </c>
      <c r="B7407" s="1" t="s">
        <v>27</v>
      </c>
      <c r="C7407" s="1" t="s">
        <v>36162</v>
      </c>
      <c r="D7407" s="1" t="s">
        <v>16593</v>
      </c>
      <c r="E7407" s="1" t="s">
        <v>36163</v>
      </c>
      <c r="G7407" s="7">
        <v>42491.0</v>
      </c>
      <c r="H7407" s="1">
        <v>2016.0</v>
      </c>
      <c r="I7407" s="1" t="s">
        <v>97</v>
      </c>
      <c r="J7407" s="1" t="s">
        <v>5170</v>
      </c>
      <c r="K7407" s="1" t="s">
        <v>2032</v>
      </c>
      <c r="L7407" s="1" t="s">
        <v>36164</v>
      </c>
      <c r="M7407" s="2" t="s">
        <v>12</v>
      </c>
      <c r="N7407" s="4">
        <f t="shared" si="1"/>
        <v>42491</v>
      </c>
      <c r="O7407" s="5" t="str">
        <f>IFERROR(__xludf.DUMMYFUNCTION("IF(REGEXMATCH(TRIM(I7407), ""^\d+\s*min""), ""Unclassified"", IF(I7407 = """", ""NR"", I7407))"),"TV-14")</f>
        <v>TV-14</v>
      </c>
      <c r="R7407" s="5" t="str">
        <f t="shared" si="2"/>
        <v>Mark Gatiss: A Study In Sherlock</v>
      </c>
      <c r="S7407" s="5" t="str">
        <f>IFERROR(__xludf.DUMMYFUNCTION("""COMPUTED_VALUE"""),"The Legacy Of A Whitetail Deer Hunter")</f>
        <v>The Legacy Of A Whitetail Deer Hunter</v>
      </c>
      <c r="V7407" s="5"/>
      <c r="Y7407" s="5" t="str">
        <f>IFERROR(__xludf.DUMMYFUNCTION("REGEXEXTRACT(J7407, ""^\d+"")"),"29")</f>
        <v>29</v>
      </c>
      <c r="Z7407" s="5" t="str">
        <f>IFERROR(__xludf.DUMMYFUNCTION("REGEXEXTRACT(J7407, ""[A-Za-z ]+$"")")," min")</f>
        <v> min</v>
      </c>
      <c r="AA7407" s="5" t="str">
        <f>IFERROR(__xludf.DUMMYFUNCTION("IF(REGEXMATCH(Z7407, ""Season""), ""TV Show"", ""Movie"")"),"Movie")</f>
        <v>Movie</v>
      </c>
    </row>
    <row r="7408">
      <c r="A7408" s="1" t="s">
        <v>36165</v>
      </c>
      <c r="B7408" s="1" t="s">
        <v>37</v>
      </c>
      <c r="C7408" s="1" t="s">
        <v>36166</v>
      </c>
      <c r="E7408" s="1" t="s">
        <v>36167</v>
      </c>
      <c r="F7408" s="1" t="s">
        <v>30</v>
      </c>
      <c r="H7408" s="1">
        <v>2016.0</v>
      </c>
      <c r="I7408" s="1" t="s">
        <v>42</v>
      </c>
      <c r="J7408" s="1" t="s">
        <v>148</v>
      </c>
      <c r="K7408" s="1" t="s">
        <v>270</v>
      </c>
      <c r="L7408" s="1" t="s">
        <v>36168</v>
      </c>
      <c r="M7408" s="2" t="s">
        <v>12</v>
      </c>
      <c r="N7408" s="1" t="str">
        <f t="shared" si="1"/>
        <v>#VALUE!</v>
      </c>
      <c r="O7408" s="5" t="str">
        <f>IFERROR(__xludf.DUMMYFUNCTION("IF(REGEXMATCH(TRIM(I7408), ""^\d+\s*min""), ""Unclassified"", IF(I7408 = """", ""NR"", I7408))"),"TV-MA")</f>
        <v>TV-MA</v>
      </c>
      <c r="R7408" s="5" t="str">
        <f t="shared" si="2"/>
        <v>Maron</v>
      </c>
      <c r="S7408" s="5" t="str">
        <f>IFERROR(__xludf.DUMMYFUNCTION("""COMPUTED_VALUE"""),"The Legacy Of The Bones")</f>
        <v>The Legacy Of The Bones</v>
      </c>
      <c r="V7408" s="5"/>
      <c r="Y7408" s="5" t="str">
        <f>IFERROR(__xludf.DUMMYFUNCTION("REGEXEXTRACT(J7408, ""^\d+"")"),"4")</f>
        <v>4</v>
      </c>
      <c r="Z7408" s="5" t="str">
        <f>IFERROR(__xludf.DUMMYFUNCTION("REGEXEXTRACT(J7408, ""[A-Za-z ]+$"")")," Seasons")</f>
        <v> Seasons</v>
      </c>
      <c r="AA7408" s="5" t="str">
        <f>IFERROR(__xludf.DUMMYFUNCTION("IF(REGEXMATCH(Z7408, ""Season""), ""TV Show"", ""Movie"")"),"TV Show")</f>
        <v>TV Show</v>
      </c>
    </row>
    <row r="7409">
      <c r="A7409" s="1" t="s">
        <v>36169</v>
      </c>
      <c r="B7409" s="1" t="s">
        <v>27</v>
      </c>
      <c r="C7409" s="1" t="s">
        <v>36170</v>
      </c>
      <c r="D7409" s="1" t="s">
        <v>18426</v>
      </c>
      <c r="E7409" s="1" t="s">
        <v>36171</v>
      </c>
      <c r="F7409" s="1" t="s">
        <v>63</v>
      </c>
      <c r="G7409" s="1" t="s">
        <v>28697</v>
      </c>
      <c r="H7409" s="1">
        <v>2016.0</v>
      </c>
      <c r="I7409" s="1" t="s">
        <v>42</v>
      </c>
      <c r="J7409" s="1" t="s">
        <v>170</v>
      </c>
      <c r="K7409" s="1" t="s">
        <v>89</v>
      </c>
      <c r="L7409" s="1" t="s">
        <v>36172</v>
      </c>
      <c r="M7409" s="2" t="s">
        <v>12</v>
      </c>
      <c r="N7409" s="4">
        <f t="shared" si="1"/>
        <v>42767</v>
      </c>
      <c r="O7409" s="5" t="str">
        <f>IFERROR(__xludf.DUMMYFUNCTION("IF(REGEXMATCH(TRIM(I7409), ""^\d+\s*min""), ""Unclassified"", IF(I7409 = """", ""NR"", I7409))"),"TV-MA")</f>
        <v>TV-MA</v>
      </c>
      <c r="R7409" s="5" t="str">
        <f t="shared" si="2"/>
        <v>Maroon</v>
      </c>
      <c r="S7409" s="5" t="str">
        <f>IFERROR(__xludf.DUMMYFUNCTION("""COMPUTED_VALUE"""),"The Legend Of 420")</f>
        <v>The Legend Of 420</v>
      </c>
      <c r="V7409" s="5"/>
      <c r="Y7409" s="5" t="str">
        <f>IFERROR(__xludf.DUMMYFUNCTION("REGEXEXTRACT(J7409, ""^\d+"")"),"94")</f>
        <v>94</v>
      </c>
      <c r="Z7409" s="5" t="str">
        <f>IFERROR(__xludf.DUMMYFUNCTION("REGEXEXTRACT(J7409, ""[A-Za-z ]+$"")")," min")</f>
        <v> min</v>
      </c>
      <c r="AA7409" s="5" t="str">
        <f>IFERROR(__xludf.DUMMYFUNCTION("IF(REGEXMATCH(Z7409, ""Season""), ""TV Show"", ""Movie"")"),"Movie")</f>
        <v>Movie</v>
      </c>
    </row>
    <row r="7410">
      <c r="A7410" s="1" t="s">
        <v>36173</v>
      </c>
      <c r="B7410" s="1" t="s">
        <v>37</v>
      </c>
      <c r="C7410" s="1" t="s">
        <v>36174</v>
      </c>
      <c r="E7410" s="1" t="s">
        <v>36175</v>
      </c>
      <c r="F7410" s="1" t="s">
        <v>30</v>
      </c>
      <c r="G7410" s="1" t="s">
        <v>15066</v>
      </c>
      <c r="H7410" s="1">
        <v>2019.0</v>
      </c>
      <c r="I7410" s="1" t="s">
        <v>97</v>
      </c>
      <c r="J7410" s="1" t="s">
        <v>51</v>
      </c>
      <c r="K7410" s="1" t="s">
        <v>4008</v>
      </c>
      <c r="L7410" s="1" t="s">
        <v>36176</v>
      </c>
      <c r="M7410" s="2" t="s">
        <v>12</v>
      </c>
      <c r="N7410" s="4">
        <f t="shared" si="1"/>
        <v>43934</v>
      </c>
      <c r="O7410" s="5" t="str">
        <f>IFERROR(__xludf.DUMMYFUNCTION("IF(REGEXMATCH(TRIM(I7410), ""^\d+\s*min""), ""Unclassified"", IF(I7410 = """", ""NR"", I7410))"),"TV-14")</f>
        <v>TV-14</v>
      </c>
      <c r="R7410" s="5" t="str">
        <f t="shared" si="2"/>
        <v>Married At First Sight</v>
      </c>
      <c r="S7410" s="5" t="str">
        <f>IFERROR(__xludf.DUMMYFUNCTION("""COMPUTED_VALUE"""),"The Legend Of Bhagat Singh")</f>
        <v>The Legend Of Bhagat Singh</v>
      </c>
      <c r="V7410" s="5"/>
      <c r="Y7410" s="5" t="str">
        <f>IFERROR(__xludf.DUMMYFUNCTION("REGEXEXTRACT(J7410, ""^\d+"")"),"1")</f>
        <v>1</v>
      </c>
      <c r="Z7410" s="5" t="str">
        <f>IFERROR(__xludf.DUMMYFUNCTION("REGEXEXTRACT(J7410, ""[A-Za-z ]+$"")")," Season")</f>
        <v> Season</v>
      </c>
      <c r="AA7410" s="5" t="str">
        <f>IFERROR(__xludf.DUMMYFUNCTION("IF(REGEXMATCH(Z7410, ""Season""), ""TV Show"", ""Movie"")"),"TV Show")</f>
        <v>TV Show</v>
      </c>
    </row>
    <row r="7411">
      <c r="A7411" s="1" t="s">
        <v>36177</v>
      </c>
      <c r="B7411" s="1" t="s">
        <v>37</v>
      </c>
      <c r="C7411" s="1" t="s">
        <v>36178</v>
      </c>
      <c r="D7411" s="1" t="s">
        <v>7385</v>
      </c>
      <c r="E7411" s="1" t="s">
        <v>36179</v>
      </c>
      <c r="F7411" s="1" t="s">
        <v>30</v>
      </c>
      <c r="G7411" s="1" t="s">
        <v>31834</v>
      </c>
      <c r="H7411" s="1">
        <v>2018.0</v>
      </c>
      <c r="I7411" s="1" t="s">
        <v>136</v>
      </c>
      <c r="J7411" s="1" t="s">
        <v>43</v>
      </c>
      <c r="K7411" s="1" t="s">
        <v>36180</v>
      </c>
      <c r="L7411" s="1" t="s">
        <v>36181</v>
      </c>
      <c r="M7411" s="2" t="s">
        <v>12</v>
      </c>
      <c r="N7411" s="1" t="str">
        <f t="shared" si="1"/>
        <v>#N/A</v>
      </c>
      <c r="O7411" s="5" t="str">
        <f>IFERROR(__xludf.DUMMYFUNCTION("IF(REGEXMATCH(TRIM(I7411), ""^\d+\s*min""), ""Unclassified"", IF(I7411 = """", ""NR"", I7411))"),"TV-PG")</f>
        <v>TV-PG</v>
      </c>
      <c r="R7411" s="5" t="str">
        <f t="shared" si="2"/>
        <v>Mars</v>
      </c>
      <c r="S7411" s="5" t="str">
        <f>IFERROR(__xludf.DUMMYFUNCTION("""COMPUTED_VALUE"""),"The Legend Of Bruce Lee")</f>
        <v>The Legend Of Bruce Lee</v>
      </c>
      <c r="V7411" s="5"/>
      <c r="Y7411" s="5" t="str">
        <f>IFERROR(__xludf.DUMMYFUNCTION("REGEXEXTRACT(J7411, ""^\d+"")"),"2")</f>
        <v>2</v>
      </c>
      <c r="Z7411" s="5" t="str">
        <f>IFERROR(__xludf.DUMMYFUNCTION("REGEXEXTRACT(J7411, ""[A-Za-z ]+$"")")," Seasons")</f>
        <v> Seasons</v>
      </c>
      <c r="AA7411" s="5" t="str">
        <f>IFERROR(__xludf.DUMMYFUNCTION("IF(REGEXMATCH(Z7411, ""Season""), ""TV Show"", ""Movie"")"),"TV Show")</f>
        <v>TV Show</v>
      </c>
    </row>
    <row r="7412">
      <c r="A7412" s="1" t="s">
        <v>36182</v>
      </c>
      <c r="B7412" s="1" t="s">
        <v>27</v>
      </c>
      <c r="C7412" s="1" t="s">
        <v>36183</v>
      </c>
      <c r="D7412" s="1" t="s">
        <v>4575</v>
      </c>
      <c r="E7412" s="1" t="s">
        <v>36184</v>
      </c>
      <c r="F7412" s="1" t="s">
        <v>12646</v>
      </c>
      <c r="G7412" s="1" t="s">
        <v>24803</v>
      </c>
      <c r="H7412" s="1">
        <v>1986.0</v>
      </c>
      <c r="I7412" s="1" t="s">
        <v>378</v>
      </c>
      <c r="J7412" s="1" t="s">
        <v>33</v>
      </c>
      <c r="K7412" s="1" t="s">
        <v>1066</v>
      </c>
      <c r="L7412" s="1" t="s">
        <v>36185</v>
      </c>
      <c r="M7412" s="2" t="s">
        <v>12</v>
      </c>
      <c r="N7412" s="4">
        <f t="shared" si="1"/>
        <v>43328</v>
      </c>
      <c r="O7412" s="5" t="str">
        <f>IFERROR(__xludf.DUMMYFUNCTION("IF(REGEXMATCH(TRIM(I7412), ""^\d+\s*min""), ""Unclassified"", IF(I7412 = """", ""NR"", I7412))"),"R")</f>
        <v>R</v>
      </c>
      <c r="R7412" s="5" t="str">
        <f t="shared" si="2"/>
        <v>Martial Arts Of Shaolin</v>
      </c>
      <c r="S7412" s="5" t="str">
        <f>IFERROR(__xludf.DUMMYFUNCTION("""COMPUTED_VALUE"""),"The Legend Of Cocaine Island")</f>
        <v>The Legend Of Cocaine Island</v>
      </c>
      <c r="V7412" s="5"/>
      <c r="Y7412" s="5" t="str">
        <f>IFERROR(__xludf.DUMMYFUNCTION("REGEXEXTRACT(J7412, ""^\d+"")"),"90")</f>
        <v>90</v>
      </c>
      <c r="Z7412" s="5" t="str">
        <f>IFERROR(__xludf.DUMMYFUNCTION("REGEXEXTRACT(J7412, ""[A-Za-z ]+$"")")," min")</f>
        <v> min</v>
      </c>
      <c r="AA7412" s="5" t="str">
        <f>IFERROR(__xludf.DUMMYFUNCTION("IF(REGEXMATCH(Z7412, ""Season""), ""TV Show"", ""Movie"")"),"Movie")</f>
        <v>Movie</v>
      </c>
    </row>
    <row r="7413">
      <c r="A7413" s="1" t="s">
        <v>36186</v>
      </c>
      <c r="B7413" s="1" t="s">
        <v>27</v>
      </c>
      <c r="C7413" s="1" t="s">
        <v>36187</v>
      </c>
      <c r="D7413" s="1" t="s">
        <v>6107</v>
      </c>
      <c r="E7413" s="1" t="s">
        <v>15024</v>
      </c>
      <c r="F7413" s="1" t="s">
        <v>30</v>
      </c>
      <c r="G7413" s="1" t="s">
        <v>17643</v>
      </c>
      <c r="H7413" s="1">
        <v>2002.0</v>
      </c>
      <c r="I7413" s="1" t="s">
        <v>378</v>
      </c>
      <c r="J7413" s="1" t="s">
        <v>106</v>
      </c>
      <c r="K7413" s="1" t="s">
        <v>1839</v>
      </c>
      <c r="L7413" s="1" t="s">
        <v>36188</v>
      </c>
      <c r="M7413" s="2" t="s">
        <v>12</v>
      </c>
      <c r="N7413" s="4">
        <f t="shared" si="1"/>
        <v>43800</v>
      </c>
      <c r="O7413" s="5" t="str">
        <f>IFERROR(__xludf.DUMMYFUNCTION("IF(REGEXMATCH(TRIM(I7413), ""^\d+\s*min""), ""Unclassified"", IF(I7413 = """", ""NR"", I7413))"),"R")</f>
        <v>R</v>
      </c>
      <c r="R7413" s="5" t="str">
        <f t="shared" si="2"/>
        <v>Martin Lawrence Live: Runteldat</v>
      </c>
      <c r="S7413" s="5" t="str">
        <f>IFERROR(__xludf.DUMMYFUNCTION("""COMPUTED_VALUE"""),"The Legend Of Korra")</f>
        <v>The Legend Of Korra</v>
      </c>
      <c r="V7413" s="5"/>
      <c r="Y7413" s="5" t="str">
        <f>IFERROR(__xludf.DUMMYFUNCTION("REGEXEXTRACT(J7413, ""^\d+"")"),"104")</f>
        <v>104</v>
      </c>
      <c r="Z7413" s="5" t="str">
        <f>IFERROR(__xludf.DUMMYFUNCTION("REGEXEXTRACT(J7413, ""[A-Za-z ]+$"")")," min")</f>
        <v> min</v>
      </c>
      <c r="AA7413" s="5" t="str">
        <f>IFERROR(__xludf.DUMMYFUNCTION("IF(REGEXMATCH(Z7413, ""Season""), ""TV Show"", ""Movie"")"),"Movie")</f>
        <v>Movie</v>
      </c>
    </row>
    <row r="7414">
      <c r="A7414" s="1" t="s">
        <v>36189</v>
      </c>
      <c r="B7414" s="1" t="s">
        <v>27</v>
      </c>
      <c r="C7414" s="1" t="s">
        <v>36190</v>
      </c>
      <c r="D7414" s="1" t="s">
        <v>5818</v>
      </c>
      <c r="E7414" s="1" t="s">
        <v>35029</v>
      </c>
      <c r="F7414" s="1" t="s">
        <v>30</v>
      </c>
      <c r="G7414" s="1" t="s">
        <v>26481</v>
      </c>
      <c r="H7414" s="1">
        <v>2017.0</v>
      </c>
      <c r="I7414" s="1" t="s">
        <v>136</v>
      </c>
      <c r="J7414" s="1" t="s">
        <v>6490</v>
      </c>
      <c r="K7414" s="1" t="s">
        <v>25796</v>
      </c>
      <c r="L7414" s="1" t="s">
        <v>36191</v>
      </c>
      <c r="M7414" s="2" t="s">
        <v>12</v>
      </c>
      <c r="N7414" s="4">
        <f t="shared" si="1"/>
        <v>43101</v>
      </c>
      <c r="O7414" s="5" t="str">
        <f>IFERROR(__xludf.DUMMYFUNCTION("IF(REGEXMATCH(TRIM(I7414), ""^\d+\s*min""), ""Unclassified"", IF(I7414 = """", ""NR"", I7414))"),"TV-PG")</f>
        <v>TV-PG</v>
      </c>
      <c r="R7414" s="5" t="str">
        <f t="shared" si="2"/>
        <v>Martin Luther: The Idea That Changed The World</v>
      </c>
      <c r="S7414" s="5" t="str">
        <f>IFERROR(__xludf.DUMMYFUNCTION("""COMPUTED_VALUE"""),"The Legend Of Michael Mishra")</f>
        <v>The Legend Of Michael Mishra</v>
      </c>
      <c r="V7414" s="5"/>
      <c r="Y7414" s="5" t="str">
        <f>IFERROR(__xludf.DUMMYFUNCTION("REGEXEXTRACT(J7414, ""^\d+"")"),"55")</f>
        <v>55</v>
      </c>
      <c r="Z7414" s="5" t="str">
        <f>IFERROR(__xludf.DUMMYFUNCTION("REGEXEXTRACT(J7414, ""[A-Za-z ]+$"")")," min")</f>
        <v> min</v>
      </c>
      <c r="AA7414" s="5" t="str">
        <f>IFERROR(__xludf.DUMMYFUNCTION("IF(REGEXMATCH(Z7414, ""Season""), ""TV Show"", ""Movie"")"),"Movie")</f>
        <v>Movie</v>
      </c>
    </row>
    <row r="7415">
      <c r="A7415" s="1" t="s">
        <v>36192</v>
      </c>
      <c r="B7415" s="1" t="s">
        <v>27</v>
      </c>
      <c r="C7415" s="1" t="s">
        <v>36193</v>
      </c>
      <c r="D7415" s="1" t="s">
        <v>6288</v>
      </c>
      <c r="F7415" s="1" t="s">
        <v>63</v>
      </c>
      <c r="G7415" s="1" t="s">
        <v>25994</v>
      </c>
      <c r="H7415" s="1">
        <v>2016.0</v>
      </c>
      <c r="I7415" s="1" t="s">
        <v>97</v>
      </c>
      <c r="J7415" s="1" t="s">
        <v>490</v>
      </c>
      <c r="K7415" s="1" t="s">
        <v>156</v>
      </c>
      <c r="L7415" s="1" t="s">
        <v>36194</v>
      </c>
      <c r="M7415" s="2" t="s">
        <v>12</v>
      </c>
      <c r="N7415" s="4">
        <f t="shared" si="1"/>
        <v>43174</v>
      </c>
      <c r="O7415" s="5" t="str">
        <f>IFERROR(__xludf.DUMMYFUNCTION("IF(REGEXMATCH(TRIM(I7415), ""^\d+\s*min""), ""Unclassified"", IF(I7415 = """", ""NR"", I7415))"),"TV-14")</f>
        <v>TV-14</v>
      </c>
      <c r="R7415" s="5" t="str">
        <f t="shared" si="2"/>
        <v>Martyrs Of Marriage</v>
      </c>
      <c r="S7415" s="5" t="str">
        <f>IFERROR(__xludf.DUMMYFUNCTION("""COMPUTED_VALUE"""),"The Legend Of White Snake")</f>
        <v>The Legend Of White Snake</v>
      </c>
      <c r="V7415" s="5"/>
      <c r="Y7415" s="5" t="str">
        <f>IFERROR(__xludf.DUMMYFUNCTION("REGEXEXTRACT(J7415, ""^\d+"")"),"83")</f>
        <v>83</v>
      </c>
      <c r="Z7415" s="5" t="str">
        <f>IFERROR(__xludf.DUMMYFUNCTION("REGEXEXTRACT(J7415, ""[A-Za-z ]+$"")")," min")</f>
        <v> min</v>
      </c>
      <c r="AA7415" s="5" t="str">
        <f>IFERROR(__xludf.DUMMYFUNCTION("IF(REGEXMATCH(Z7415, ""Season""), ""TV Show"", ""Movie"")"),"Movie")</f>
        <v>Movie</v>
      </c>
    </row>
    <row r="7416">
      <c r="A7416" s="1" t="s">
        <v>36195</v>
      </c>
      <c r="B7416" s="1" t="s">
        <v>27</v>
      </c>
      <c r="C7416" s="1" t="s">
        <v>36196</v>
      </c>
      <c r="D7416" s="1" t="s">
        <v>7166</v>
      </c>
      <c r="E7416" s="1" t="s">
        <v>36197</v>
      </c>
      <c r="G7416" s="1" t="s">
        <v>29989</v>
      </c>
      <c r="H7416" s="1">
        <v>2014.0</v>
      </c>
      <c r="I7416" s="1" t="s">
        <v>136</v>
      </c>
      <c r="J7416" s="1" t="s">
        <v>4558</v>
      </c>
      <c r="K7416" s="1" t="s">
        <v>645</v>
      </c>
      <c r="L7416" s="1" t="s">
        <v>36198</v>
      </c>
      <c r="M7416" s="2" t="s">
        <v>12</v>
      </c>
      <c r="N7416" s="4">
        <f t="shared" si="1"/>
        <v>42078</v>
      </c>
      <c r="O7416" s="5" t="str">
        <f>IFERROR(__xludf.DUMMYFUNCTION("IF(REGEXMATCH(TRIM(I7416), ""^\d+\s*min""), ""Unclassified"", IF(I7416 = """", ""NR"", I7416))"),"TV-PG")</f>
        <v>TV-PG</v>
      </c>
      <c r="R7416" s="5" t="str">
        <f t="shared" si="2"/>
        <v>Marvel &amp; Espn Films Present: 1 Of 1: Genesis</v>
      </c>
      <c r="S7416" s="5" t="str">
        <f>IFERROR(__xludf.DUMMYFUNCTION("""COMPUTED_VALUE"""),"The Letdown")</f>
        <v>The Letdown</v>
      </c>
      <c r="V7416" s="5"/>
      <c r="Y7416" s="5" t="str">
        <f>IFERROR(__xludf.DUMMYFUNCTION("REGEXEXTRACT(J7416, ""^\d+"")"),"77")</f>
        <v>77</v>
      </c>
      <c r="Z7416" s="5" t="str">
        <f>IFERROR(__xludf.DUMMYFUNCTION("REGEXEXTRACT(J7416, ""[A-Za-z ]+$"")")," min")</f>
        <v> min</v>
      </c>
      <c r="AA7416" s="5" t="str">
        <f>IFERROR(__xludf.DUMMYFUNCTION("IF(REGEXMATCH(Z7416, ""Season""), ""TV Show"", ""Movie"")"),"Movie")</f>
        <v>Movie</v>
      </c>
    </row>
    <row r="7417">
      <c r="A7417" s="1" t="s">
        <v>36199</v>
      </c>
      <c r="B7417" s="1" t="s">
        <v>27</v>
      </c>
      <c r="C7417" s="1" t="s">
        <v>36200</v>
      </c>
      <c r="D7417" s="1" t="s">
        <v>13645</v>
      </c>
      <c r="E7417" s="1" t="s">
        <v>36201</v>
      </c>
      <c r="F7417" s="1" t="s">
        <v>30</v>
      </c>
      <c r="G7417" s="1" t="s">
        <v>36202</v>
      </c>
      <c r="H7417" s="1">
        <v>2013.0</v>
      </c>
      <c r="I7417" s="1" t="s">
        <v>78</v>
      </c>
      <c r="J7417" s="1" t="s">
        <v>4699</v>
      </c>
      <c r="K7417" s="1" t="s">
        <v>942</v>
      </c>
      <c r="L7417" s="1" t="s">
        <v>36203</v>
      </c>
      <c r="M7417" s="2" t="s">
        <v>12</v>
      </c>
      <c r="N7417" s="4">
        <f t="shared" si="1"/>
        <v>41686</v>
      </c>
      <c r="O7417" s="5" t="str">
        <f>IFERROR(__xludf.DUMMYFUNCTION("IF(REGEXMATCH(TRIM(I7417), ""^\d+\s*min""), ""Unclassified"", IF(I7417 = """", ""NR"", I7417))"),"PG")</f>
        <v>PG</v>
      </c>
      <c r="R7417" s="5" t="str">
        <f t="shared" si="2"/>
        <v>Marvel'S Iron Man &amp; Hulk: Heroes United</v>
      </c>
      <c r="S7417" s="5" t="str">
        <f>IFERROR(__xludf.DUMMYFUNCTION("""COMPUTED_VALUE"""),"The Letter For The King")</f>
        <v>The Letter For The King</v>
      </c>
      <c r="V7417" s="5"/>
      <c r="Y7417" s="5" t="str">
        <f>IFERROR(__xludf.DUMMYFUNCTION("REGEXEXTRACT(J7417, ""^\d+"")"),"72")</f>
        <v>72</v>
      </c>
      <c r="Z7417" s="5" t="str">
        <f>IFERROR(__xludf.DUMMYFUNCTION("REGEXEXTRACT(J7417, ""[A-Za-z ]+$"")")," min")</f>
        <v> min</v>
      </c>
      <c r="AA7417" s="5" t="str">
        <f>IFERROR(__xludf.DUMMYFUNCTION("IF(REGEXMATCH(Z7417, ""Season""), ""TV Show"", ""Movie"")"),"Movie")</f>
        <v>Movie</v>
      </c>
    </row>
    <row r="7418">
      <c r="A7418" s="1" t="s">
        <v>36204</v>
      </c>
      <c r="B7418" s="1" t="s">
        <v>27</v>
      </c>
      <c r="C7418" s="1" t="s">
        <v>36205</v>
      </c>
      <c r="D7418" s="1" t="s">
        <v>9334</v>
      </c>
      <c r="E7418" s="1" t="s">
        <v>36206</v>
      </c>
      <c r="F7418" s="1" t="s">
        <v>415</v>
      </c>
      <c r="G7418" s="1" t="s">
        <v>36207</v>
      </c>
      <c r="H7418" s="1">
        <v>2017.0</v>
      </c>
      <c r="I7418" s="1" t="s">
        <v>78</v>
      </c>
      <c r="J7418" s="1" t="s">
        <v>238</v>
      </c>
      <c r="K7418" s="1" t="s">
        <v>13575</v>
      </c>
      <c r="L7418" s="1" t="s">
        <v>36208</v>
      </c>
      <c r="M7418" s="2" t="s">
        <v>12</v>
      </c>
      <c r="N7418" s="4">
        <f t="shared" si="1"/>
        <v>43298</v>
      </c>
      <c r="O7418" s="5" t="str">
        <f>IFERROR(__xludf.DUMMYFUNCTION("IF(REGEXMATCH(TRIM(I7418), ""^\d+\s*min""), ""Unclassified"", IF(I7418 = """", ""NR"", I7418))"),"PG")</f>
        <v>PG</v>
      </c>
      <c r="R7418" s="5" t="str">
        <f t="shared" si="2"/>
        <v>Mary And The Witch'S Flower</v>
      </c>
      <c r="S7418" s="5" t="str">
        <f>IFERROR(__xludf.DUMMYFUNCTION("""COMPUTED_VALUE"""),"The Letter Reader")</f>
        <v>The Letter Reader</v>
      </c>
      <c r="V7418" s="5"/>
      <c r="Y7418" s="5" t="str">
        <f>IFERROR(__xludf.DUMMYFUNCTION("REGEXEXTRACT(J7418, ""^\d+"")"),"103")</f>
        <v>103</v>
      </c>
      <c r="Z7418" s="5" t="str">
        <f>IFERROR(__xludf.DUMMYFUNCTION("REGEXEXTRACT(J7418, ""[A-Za-z ]+$"")")," min")</f>
        <v> min</v>
      </c>
      <c r="AA7418" s="5" t="str">
        <f>IFERROR(__xludf.DUMMYFUNCTION("IF(REGEXMATCH(Z7418, ""Season""), ""TV Show"", ""Movie"")"),"Movie")</f>
        <v>Movie</v>
      </c>
    </row>
    <row r="7419">
      <c r="A7419" s="1" t="s">
        <v>36209</v>
      </c>
      <c r="B7419" s="1" t="s">
        <v>27</v>
      </c>
      <c r="C7419" s="1" t="s">
        <v>36210</v>
      </c>
      <c r="D7419" s="1" t="s">
        <v>3595</v>
      </c>
      <c r="E7419" s="1" t="s">
        <v>36211</v>
      </c>
      <c r="F7419" s="1" t="s">
        <v>692</v>
      </c>
      <c r="G7419" s="1" t="s">
        <v>20050</v>
      </c>
      <c r="H7419" s="1">
        <v>2018.0</v>
      </c>
      <c r="I7419" s="1" t="s">
        <v>78</v>
      </c>
      <c r="J7419" s="1" t="s">
        <v>2859</v>
      </c>
      <c r="K7419" s="1" t="s">
        <v>920</v>
      </c>
      <c r="L7419" s="1" t="s">
        <v>36212</v>
      </c>
      <c r="M7419" s="2" t="s">
        <v>12</v>
      </c>
      <c r="N7419" s="4">
        <f t="shared" si="1"/>
        <v>43655</v>
      </c>
      <c r="O7419" s="5" t="str">
        <f>IFERROR(__xludf.DUMMYFUNCTION("IF(REGEXMATCH(TRIM(I7419), ""^\d+\s*min""), ""Unclassified"", IF(I7419 = """", ""NR"", I7419))"),"PG")</f>
        <v>PG</v>
      </c>
      <c r="R7419" s="5" t="str">
        <f t="shared" si="2"/>
        <v>Mary Poppins Returns</v>
      </c>
      <c r="S7419" s="5" t="str">
        <f>IFERROR(__xludf.DUMMYFUNCTION("""COMPUTED_VALUE"""),"The Liar")</f>
        <v>The Liar</v>
      </c>
      <c r="V7419" s="5"/>
      <c r="Y7419" s="5" t="str">
        <f>IFERROR(__xludf.DUMMYFUNCTION("REGEXEXTRACT(J7419, ""^\d+"")"),"131")</f>
        <v>131</v>
      </c>
      <c r="Z7419" s="5" t="str">
        <f>IFERROR(__xludf.DUMMYFUNCTION("REGEXEXTRACT(J7419, ""[A-Za-z ]+$"")")," min")</f>
        <v> min</v>
      </c>
      <c r="AA7419" s="5" t="str">
        <f>IFERROR(__xludf.DUMMYFUNCTION("IF(REGEXMATCH(Z7419, ""Season""), ""TV Show"", ""Movie"")"),"Movie")</f>
        <v>Movie</v>
      </c>
    </row>
    <row r="7420">
      <c r="A7420" s="1" t="s">
        <v>36213</v>
      </c>
      <c r="B7420" s="1" t="s">
        <v>37</v>
      </c>
      <c r="C7420" s="1" t="s">
        <v>36214</v>
      </c>
      <c r="E7420" s="1" t="s">
        <v>36215</v>
      </c>
      <c r="F7420" s="1" t="s">
        <v>96</v>
      </c>
      <c r="G7420" s="1" t="s">
        <v>19844</v>
      </c>
      <c r="H7420" s="1">
        <v>2016.0</v>
      </c>
      <c r="I7420" s="1" t="s">
        <v>97</v>
      </c>
      <c r="J7420" s="1" t="s">
        <v>51</v>
      </c>
      <c r="K7420" s="1" t="s">
        <v>2382</v>
      </c>
      <c r="L7420" s="1" t="s">
        <v>36216</v>
      </c>
      <c r="M7420" s="2" t="s">
        <v>12</v>
      </c>
      <c r="N7420" s="4">
        <f t="shared" si="1"/>
        <v>43672</v>
      </c>
      <c r="O7420" s="5" t="str">
        <f>IFERROR(__xludf.DUMMYFUNCTION("IF(REGEXMATCH(TRIM(I7420), ""^\d+\s*min""), ""Unclassified"", IF(I7420 = """", ""NR"", I7420))"),"TV-14")</f>
        <v>TV-14</v>
      </c>
      <c r="R7420" s="5" t="str">
        <f t="shared" si="2"/>
        <v>Mary Portas: Secret Shopper</v>
      </c>
      <c r="S7420" s="5" t="str">
        <f>IFERROR(__xludf.DUMMYFUNCTION("""COMPUTED_VALUE"""),"The Liar And His Lover")</f>
        <v>The Liar And His Lover</v>
      </c>
      <c r="V7420" s="5"/>
      <c r="Y7420" s="5" t="str">
        <f>IFERROR(__xludf.DUMMYFUNCTION("REGEXEXTRACT(J7420, ""^\d+"")"),"1")</f>
        <v>1</v>
      </c>
      <c r="Z7420" s="5" t="str">
        <f>IFERROR(__xludf.DUMMYFUNCTION("REGEXEXTRACT(J7420, ""[A-Za-z ]+$"")")," Season")</f>
        <v> Season</v>
      </c>
      <c r="AA7420" s="5" t="str">
        <f>IFERROR(__xludf.DUMMYFUNCTION("IF(REGEXMATCH(Z7420, ""Season""), ""TV Show"", ""Movie"")"),"TV Show")</f>
        <v>TV Show</v>
      </c>
    </row>
    <row r="7421">
      <c r="A7421" s="1" t="s">
        <v>36217</v>
      </c>
      <c r="B7421" s="1" t="s">
        <v>27</v>
      </c>
      <c r="C7421" s="1" t="s">
        <v>36218</v>
      </c>
      <c r="D7421" s="1" t="s">
        <v>21017</v>
      </c>
      <c r="E7421" s="1" t="s">
        <v>36219</v>
      </c>
      <c r="F7421" s="1" t="s">
        <v>63</v>
      </c>
      <c r="G7421" s="1" t="s">
        <v>17078</v>
      </c>
      <c r="H7421" s="1">
        <v>1983.0</v>
      </c>
      <c r="I7421" s="1" t="s">
        <v>97</v>
      </c>
      <c r="J7421" s="1" t="s">
        <v>2414</v>
      </c>
      <c r="K7421" s="1" t="s">
        <v>89</v>
      </c>
      <c r="L7421" s="1" t="s">
        <v>36220</v>
      </c>
      <c r="M7421" s="2" t="s">
        <v>12</v>
      </c>
      <c r="N7421" s="4">
        <f t="shared" si="1"/>
        <v>43830</v>
      </c>
      <c r="O7421" s="5" t="str">
        <f>IFERROR(__xludf.DUMMYFUNCTION("IF(REGEXMATCH(TRIM(I7421), ""^\d+\s*min""), ""Unclassified"", IF(I7421 = """", ""NR"", I7421))"),"TV-14")</f>
        <v>TV-14</v>
      </c>
      <c r="R7421" s="5" t="str">
        <f t="shared" si="2"/>
        <v>Masoom</v>
      </c>
      <c r="S7421" s="5" t="str">
        <f>IFERROR(__xludf.DUMMYFUNCTION("""COMPUTED_VALUE"""),"The Liberator")</f>
        <v>The Liberator</v>
      </c>
      <c r="V7421" s="5"/>
      <c r="Y7421" s="5" t="str">
        <f>IFERROR(__xludf.DUMMYFUNCTION("REGEXEXTRACT(J7421, ""^\d+"")"),"138")</f>
        <v>138</v>
      </c>
      <c r="Z7421" s="5" t="str">
        <f>IFERROR(__xludf.DUMMYFUNCTION("REGEXEXTRACT(J7421, ""[A-Za-z ]+$"")")," min")</f>
        <v> min</v>
      </c>
      <c r="AA7421" s="5" t="str">
        <f>IFERROR(__xludf.DUMMYFUNCTION("IF(REGEXMATCH(Z7421, ""Season""), ""TV Show"", ""Movie"")"),"Movie")</f>
        <v>Movie</v>
      </c>
    </row>
    <row r="7422">
      <c r="A7422" s="1" t="s">
        <v>36221</v>
      </c>
      <c r="B7422" s="1" t="s">
        <v>27</v>
      </c>
      <c r="C7422" s="1" t="s">
        <v>36222</v>
      </c>
      <c r="D7422" s="1" t="s">
        <v>36223</v>
      </c>
      <c r="E7422" s="1" t="s">
        <v>36224</v>
      </c>
      <c r="F7422" s="1" t="s">
        <v>749</v>
      </c>
      <c r="G7422" s="1" t="s">
        <v>26295</v>
      </c>
      <c r="H7422" s="1">
        <v>2016.0</v>
      </c>
      <c r="I7422" s="1" t="s">
        <v>30231</v>
      </c>
      <c r="J7422" s="1" t="s">
        <v>820</v>
      </c>
      <c r="K7422" s="1" t="s">
        <v>1066</v>
      </c>
      <c r="L7422" s="1" t="s">
        <v>36225</v>
      </c>
      <c r="M7422" s="2" t="s">
        <v>12</v>
      </c>
      <c r="N7422" s="4">
        <f t="shared" si="1"/>
        <v>43132</v>
      </c>
      <c r="O7422" s="5" t="str">
        <f>IFERROR(__xludf.DUMMYFUNCTION("IF(REGEXMATCH(TRIM(I7422), ""^\d+\s*min""), ""Unclassified"", IF(I7422 = """", ""NR"", I7422))"),"NR")</f>
        <v>NR</v>
      </c>
      <c r="R7422" s="5" t="str">
        <f t="shared" si="2"/>
        <v>Master</v>
      </c>
      <c r="S7422" s="5" t="str">
        <f>IFERROR(__xludf.DUMMYFUNCTION("""COMPUTED_VALUE"""),"The Lies Within")</f>
        <v>The Lies Within</v>
      </c>
      <c r="V7422" s="5"/>
      <c r="Y7422" s="5" t="str">
        <f>IFERROR(__xludf.DUMMYFUNCTION("REGEXEXTRACT(J7422, ""^\d+"")"),"143")</f>
        <v>143</v>
      </c>
      <c r="Z7422" s="5" t="str">
        <f>IFERROR(__xludf.DUMMYFUNCTION("REGEXEXTRACT(J7422, ""[A-Za-z ]+$"")")," min")</f>
        <v> min</v>
      </c>
      <c r="AA7422" s="5" t="str">
        <f>IFERROR(__xludf.DUMMYFUNCTION("IF(REGEXMATCH(Z7422, ""Season""), ""TV Show"", ""Movie"")"),"Movie")</f>
        <v>Movie</v>
      </c>
    </row>
    <row r="7423">
      <c r="A7423" s="1" t="s">
        <v>36226</v>
      </c>
      <c r="B7423" s="1" t="s">
        <v>27</v>
      </c>
      <c r="C7423" s="1" t="s">
        <v>36227</v>
      </c>
      <c r="D7423" s="1" t="s">
        <v>17438</v>
      </c>
      <c r="E7423" s="1" t="s">
        <v>36228</v>
      </c>
      <c r="F7423" s="1" t="s">
        <v>1815</v>
      </c>
      <c r="G7423" s="1" t="s">
        <v>24964</v>
      </c>
      <c r="H7423" s="1">
        <v>2017.0</v>
      </c>
      <c r="I7423" s="1" t="s">
        <v>42</v>
      </c>
      <c r="J7423" s="1" t="s">
        <v>729</v>
      </c>
      <c r="K7423" s="1" t="s">
        <v>89</v>
      </c>
      <c r="L7423" s="1" t="s">
        <v>36229</v>
      </c>
      <c r="M7423" s="2" t="s">
        <v>12</v>
      </c>
      <c r="N7423" s="4">
        <f t="shared" si="1"/>
        <v>43313</v>
      </c>
      <c r="O7423" s="5" t="str">
        <f>IFERROR(__xludf.DUMMYFUNCTION("IF(REGEXMATCH(TRIM(I7423), ""^\d+\s*min""), ""Unclassified"", IF(I7423 = """", ""NR"", I7423))"),"TV-MA")</f>
        <v>TV-MA</v>
      </c>
      <c r="R7423" s="5" t="str">
        <f t="shared" si="2"/>
        <v>Mater</v>
      </c>
      <c r="S7423" s="5" t="str">
        <f>IFERROR(__xludf.DUMMYFUNCTION("""COMPUTED_VALUE"""),"The Life Ahead")</f>
        <v>The Life Ahead</v>
      </c>
      <c r="V7423" s="5"/>
      <c r="Y7423" s="5" t="str">
        <f>IFERROR(__xludf.DUMMYFUNCTION("REGEXEXTRACT(J7423, ""^\d+"")"),"80")</f>
        <v>80</v>
      </c>
      <c r="Z7423" s="5" t="str">
        <f>IFERROR(__xludf.DUMMYFUNCTION("REGEXEXTRACT(J7423, ""[A-Za-z ]+$"")")," min")</f>
        <v> min</v>
      </c>
      <c r="AA7423" s="5" t="str">
        <f>IFERROR(__xludf.DUMMYFUNCTION("IF(REGEXMATCH(Z7423, ""Season""), ""TV Show"", ""Movie"")"),"Movie")</f>
        <v>Movie</v>
      </c>
    </row>
    <row r="7424">
      <c r="A7424" s="1" t="s">
        <v>36230</v>
      </c>
      <c r="B7424" s="1" t="s">
        <v>27</v>
      </c>
      <c r="C7424" s="1" t="s">
        <v>36231</v>
      </c>
      <c r="D7424" s="1" t="s">
        <v>21831</v>
      </c>
      <c r="E7424" s="1" t="s">
        <v>36232</v>
      </c>
      <c r="F7424" s="1" t="s">
        <v>63</v>
      </c>
      <c r="G7424" s="1" t="s">
        <v>26235</v>
      </c>
      <c r="H7424" s="1">
        <v>2006.0</v>
      </c>
      <c r="I7424" s="1" t="s">
        <v>97</v>
      </c>
      <c r="J7424" s="1" t="s">
        <v>2505</v>
      </c>
      <c r="K7424" s="1" t="s">
        <v>583</v>
      </c>
      <c r="L7424" s="1" t="s">
        <v>36233</v>
      </c>
      <c r="M7424" s="2" t="s">
        <v>12</v>
      </c>
      <c r="N7424" s="4">
        <f t="shared" si="1"/>
        <v>43146</v>
      </c>
      <c r="O7424" s="5" t="str">
        <f>IFERROR(__xludf.DUMMYFUNCTION("IF(REGEXMATCH(TRIM(I7424), ""^\d+\s*min""), ""Unclassified"", IF(I7424 = """", ""NR"", I7424))"),"TV-14")</f>
        <v>TV-14</v>
      </c>
      <c r="R7424" s="5" t="str">
        <f t="shared" si="2"/>
        <v>Matichya Chuli</v>
      </c>
      <c r="S7424" s="5" t="str">
        <f>IFERROR(__xludf.DUMMYFUNCTION("""COMPUTED_VALUE"""),"The Life Of David Gale")</f>
        <v>The Life Of David Gale</v>
      </c>
      <c r="V7424" s="5"/>
      <c r="Y7424" s="5" t="str">
        <f>IFERROR(__xludf.DUMMYFUNCTION("REGEXEXTRACT(J7424, ""^\d+"")"),"132")</f>
        <v>132</v>
      </c>
      <c r="Z7424" s="5" t="str">
        <f>IFERROR(__xludf.DUMMYFUNCTION("REGEXEXTRACT(J7424, ""[A-Za-z ]+$"")")," min")</f>
        <v> min</v>
      </c>
      <c r="AA7424" s="5" t="str">
        <f>IFERROR(__xludf.DUMMYFUNCTION("IF(REGEXMATCH(Z7424, ""Season""), ""TV Show"", ""Movie"")"),"Movie")</f>
        <v>Movie</v>
      </c>
    </row>
    <row r="7425">
      <c r="A7425" s="1" t="s">
        <v>36234</v>
      </c>
      <c r="B7425" s="1" t="s">
        <v>27</v>
      </c>
      <c r="C7425" s="1" t="s">
        <v>36235</v>
      </c>
      <c r="D7425" s="1" t="s">
        <v>5596</v>
      </c>
      <c r="E7425" s="1" t="s">
        <v>36236</v>
      </c>
      <c r="F7425" s="1" t="s">
        <v>30</v>
      </c>
      <c r="G7425" s="1" t="s">
        <v>28769</v>
      </c>
      <c r="H7425" s="1">
        <v>2013.0</v>
      </c>
      <c r="I7425" s="1" t="s">
        <v>97</v>
      </c>
      <c r="J7425" s="1" t="s">
        <v>1608</v>
      </c>
      <c r="K7425" s="1" t="s">
        <v>1320</v>
      </c>
      <c r="L7425" s="1" t="s">
        <v>36237</v>
      </c>
      <c r="M7425" s="2" t="s">
        <v>12</v>
      </c>
      <c r="N7425" s="4">
        <f t="shared" si="1"/>
        <v>42750</v>
      </c>
      <c r="O7425" s="5" t="str">
        <f>IFERROR(__xludf.DUMMYFUNCTION("IF(REGEXMATCH(TRIM(I7425), ""^\d+\s*min""), ""Unclassified"", IF(I7425 = """", ""NR"", I7425))"),"TV-14")</f>
        <v>TV-14</v>
      </c>
      <c r="R7425" s="5" t="str">
        <f t="shared" si="2"/>
        <v>Max Rose</v>
      </c>
      <c r="S7425" s="5" t="str">
        <f>IFERROR(__xludf.DUMMYFUNCTION("""COMPUTED_VALUE"""),"The Lift Boy")</f>
        <v>The Lift Boy</v>
      </c>
      <c r="V7425" s="5"/>
      <c r="Y7425" s="5" t="str">
        <f>IFERROR(__xludf.DUMMYFUNCTION("REGEXEXTRACT(J7425, ""^\d+"")"),"84")</f>
        <v>84</v>
      </c>
      <c r="Z7425" s="5" t="str">
        <f>IFERROR(__xludf.DUMMYFUNCTION("REGEXEXTRACT(J7425, ""[A-Za-z ]+$"")")," min")</f>
        <v> min</v>
      </c>
      <c r="AA7425" s="5" t="str">
        <f>IFERROR(__xludf.DUMMYFUNCTION("IF(REGEXMATCH(Z7425, ""Season""), ""TV Show"", ""Movie"")"),"Movie")</f>
        <v>Movie</v>
      </c>
    </row>
    <row r="7426">
      <c r="A7426" s="1" t="s">
        <v>36238</v>
      </c>
      <c r="B7426" s="1" t="s">
        <v>27</v>
      </c>
      <c r="C7426" s="1" t="s">
        <v>36239</v>
      </c>
      <c r="D7426" s="1" t="s">
        <v>18199</v>
      </c>
      <c r="E7426" s="1" t="s">
        <v>36240</v>
      </c>
      <c r="F7426" s="1" t="s">
        <v>1119</v>
      </c>
      <c r="G7426" s="1" t="s">
        <v>36241</v>
      </c>
      <c r="H7426" s="1">
        <v>2014.0</v>
      </c>
      <c r="I7426" s="1" t="s">
        <v>42</v>
      </c>
      <c r="J7426" s="1" t="s">
        <v>416</v>
      </c>
      <c r="K7426" s="1" t="s">
        <v>128</v>
      </c>
      <c r="L7426" s="1" t="s">
        <v>36242</v>
      </c>
      <c r="M7426" s="2" t="s">
        <v>12</v>
      </c>
      <c r="N7426" s="4">
        <f t="shared" si="1"/>
        <v>43338</v>
      </c>
      <c r="O7426" s="5" t="str">
        <f>IFERROR(__xludf.DUMMYFUNCTION("IF(REGEXMATCH(TRIM(I7426), ""^\d+\s*min""), ""Unclassified"", IF(I7426 = """", ""NR"", I7426))"),"TV-MA")</f>
        <v>TV-MA</v>
      </c>
      <c r="R7426" s="5" t="str">
        <f t="shared" si="2"/>
        <v>May We Chat</v>
      </c>
      <c r="S7426" s="5" t="str">
        <f>IFERROR(__xludf.DUMMYFUNCTION("""COMPUTED_VALUE"""),"The Light Of My Eyes")</f>
        <v>The Light Of My Eyes</v>
      </c>
      <c r="V7426" s="5"/>
      <c r="Y7426" s="5" t="str">
        <f>IFERROR(__xludf.DUMMYFUNCTION("REGEXEXTRACT(J7426, ""^\d+"")"),"99")</f>
        <v>99</v>
      </c>
      <c r="Z7426" s="5" t="str">
        <f>IFERROR(__xludf.DUMMYFUNCTION("REGEXEXTRACT(J7426, ""[A-Za-z ]+$"")")," min")</f>
        <v> min</v>
      </c>
      <c r="AA7426" s="5" t="str">
        <f>IFERROR(__xludf.DUMMYFUNCTION("IF(REGEXMATCH(Z7426, ""Season""), ""TV Show"", ""Movie"")"),"Movie")</f>
        <v>Movie</v>
      </c>
    </row>
    <row r="7427">
      <c r="A7427" s="1" t="s">
        <v>36243</v>
      </c>
      <c r="B7427" s="1" t="s">
        <v>27</v>
      </c>
      <c r="C7427" s="1" t="s">
        <v>36244</v>
      </c>
      <c r="D7427" s="1" t="s">
        <v>9155</v>
      </c>
      <c r="E7427" s="1" t="s">
        <v>36245</v>
      </c>
      <c r="F7427" s="1" t="s">
        <v>3309</v>
      </c>
      <c r="G7427" s="1" t="s">
        <v>19914</v>
      </c>
      <c r="H7427" s="1">
        <v>2017.0</v>
      </c>
      <c r="I7427" s="1" t="s">
        <v>97</v>
      </c>
      <c r="J7427" s="1" t="s">
        <v>454</v>
      </c>
      <c r="K7427" s="1" t="s">
        <v>230</v>
      </c>
      <c r="L7427" s="1" t="s">
        <v>36246</v>
      </c>
      <c r="M7427" s="2" t="s">
        <v>12</v>
      </c>
      <c r="N7427" s="4">
        <f t="shared" si="1"/>
        <v>43666</v>
      </c>
      <c r="O7427" s="5" t="str">
        <f>IFERROR(__xludf.DUMMYFUNCTION("IF(REGEXMATCH(TRIM(I7427), ""^\d+\s*min""), ""Unclassified"", IF(I7427 = """", ""NR"", I7427))"),"TV-14")</f>
        <v>TV-14</v>
      </c>
      <c r="R7427" s="5" t="str">
        <f t="shared" si="2"/>
        <v>May You Prosper</v>
      </c>
      <c r="S7427" s="5" t="str">
        <f>IFERROR(__xludf.DUMMYFUNCTION("""COMPUTED_VALUE"""),"The Lighthouse Of The Orcas")</f>
        <v>The Lighthouse Of The Orcas</v>
      </c>
      <c r="V7427" s="5"/>
      <c r="Y7427" s="5" t="str">
        <f>IFERROR(__xludf.DUMMYFUNCTION("REGEXEXTRACT(J7427, ""^\d+"")"),"93")</f>
        <v>93</v>
      </c>
      <c r="Z7427" s="5" t="str">
        <f>IFERROR(__xludf.DUMMYFUNCTION("REGEXEXTRACT(J7427, ""[A-Za-z ]+$"")")," min")</f>
        <v> min</v>
      </c>
      <c r="AA7427" s="5" t="str">
        <f>IFERROR(__xludf.DUMMYFUNCTION("IF(REGEXMATCH(Z7427, ""Season""), ""TV Show"", ""Movie"")"),"Movie")</f>
        <v>Movie</v>
      </c>
    </row>
    <row r="7428">
      <c r="A7428" s="1" t="s">
        <v>36247</v>
      </c>
      <c r="B7428" s="1" t="s">
        <v>27</v>
      </c>
      <c r="C7428" s="1" t="s">
        <v>36248</v>
      </c>
      <c r="D7428" s="1" t="s">
        <v>3526</v>
      </c>
      <c r="E7428" s="1" t="s">
        <v>36249</v>
      </c>
      <c r="F7428" s="1" t="s">
        <v>30</v>
      </c>
      <c r="G7428" s="7">
        <v>42856.0</v>
      </c>
      <c r="H7428" s="1">
        <v>2016.0</v>
      </c>
      <c r="I7428" s="1" t="s">
        <v>136</v>
      </c>
      <c r="J7428" s="1" t="s">
        <v>835</v>
      </c>
      <c r="K7428" s="1" t="s">
        <v>34</v>
      </c>
      <c r="L7428" s="1" t="s">
        <v>36250</v>
      </c>
      <c r="M7428" s="2" t="s">
        <v>12</v>
      </c>
      <c r="N7428" s="4">
        <f t="shared" si="1"/>
        <v>42856</v>
      </c>
      <c r="O7428" s="5" t="str">
        <f>IFERROR(__xludf.DUMMYFUNCTION("IF(REGEXMATCH(TRIM(I7428), ""^\d+\s*min""), ""Unclassified"", IF(I7428 = """", ""NR"", I7428))"),"TV-PG")</f>
        <v>TV-PG</v>
      </c>
      <c r="R7428" s="5" t="str">
        <f t="shared" si="2"/>
        <v>Maya Angelou: And Still I Rise</v>
      </c>
      <c r="S7428" s="5" t="str">
        <f>IFERROR(__xludf.DUMMYFUNCTION("""COMPUTED_VALUE"""),"The Lincoln Lawyer")</f>
        <v>The Lincoln Lawyer</v>
      </c>
      <c r="V7428" s="5"/>
      <c r="Y7428" s="5" t="str">
        <f>IFERROR(__xludf.DUMMYFUNCTION("REGEXEXTRACT(J7428, ""^\d+"")"),"114")</f>
        <v>114</v>
      </c>
      <c r="Z7428" s="5" t="str">
        <f>IFERROR(__xludf.DUMMYFUNCTION("REGEXEXTRACT(J7428, ""[A-Za-z ]+$"")")," min")</f>
        <v> min</v>
      </c>
      <c r="AA7428" s="5" t="str">
        <f>IFERROR(__xludf.DUMMYFUNCTION("IF(REGEXMATCH(Z7428, ""Season""), ""TV Show"", ""Movie"")"),"Movie")</f>
        <v>Movie</v>
      </c>
    </row>
    <row r="7429">
      <c r="A7429" s="1" t="s">
        <v>36251</v>
      </c>
      <c r="B7429" s="1" t="s">
        <v>27</v>
      </c>
      <c r="C7429" s="1" t="s">
        <v>36252</v>
      </c>
      <c r="D7429" s="1" t="s">
        <v>20314</v>
      </c>
      <c r="F7429" s="1" t="s">
        <v>30</v>
      </c>
      <c r="G7429" s="1" t="s">
        <v>24640</v>
      </c>
      <c r="H7429" s="1">
        <v>2017.0</v>
      </c>
      <c r="I7429" s="1" t="s">
        <v>136</v>
      </c>
      <c r="J7429" s="1" t="s">
        <v>433</v>
      </c>
      <c r="K7429" s="1" t="s">
        <v>34</v>
      </c>
      <c r="L7429" s="1" t="s">
        <v>36253</v>
      </c>
      <c r="M7429" s="2" t="s">
        <v>12</v>
      </c>
      <c r="N7429" s="4">
        <f t="shared" si="1"/>
        <v>43345</v>
      </c>
      <c r="O7429" s="5" t="str">
        <f>IFERROR(__xludf.DUMMYFUNCTION("IF(REGEXMATCH(TRIM(I7429), ""^\d+\s*min""), ""Unclassified"", IF(I7429 = """", ""NR"", I7429))"),"TV-PG")</f>
        <v>TV-PG</v>
      </c>
      <c r="R7429" s="5" t="str">
        <f t="shared" si="2"/>
        <v>Maynard</v>
      </c>
      <c r="S7429" s="5" t="str">
        <f>IFERROR(__xludf.DUMMYFUNCTION("""COMPUTED_VALUE"""),"The Lion Woman")</f>
        <v>The Lion Woman</v>
      </c>
      <c r="V7429" s="5"/>
      <c r="Y7429" s="5" t="str">
        <f>IFERROR(__xludf.DUMMYFUNCTION("REGEXEXTRACT(J7429, ""^\d+"")"),"100")</f>
        <v>100</v>
      </c>
      <c r="Z7429" s="5" t="str">
        <f>IFERROR(__xludf.DUMMYFUNCTION("REGEXEXTRACT(J7429, ""[A-Za-z ]+$"")")," min")</f>
        <v> min</v>
      </c>
      <c r="AA7429" s="5" t="str">
        <f>IFERROR(__xludf.DUMMYFUNCTION("IF(REGEXMATCH(Z7429, ""Season""), ""TV Show"", ""Movie"")"),"Movie")</f>
        <v>Movie</v>
      </c>
    </row>
    <row r="7430">
      <c r="A7430" s="1" t="s">
        <v>36254</v>
      </c>
      <c r="B7430" s="1" t="s">
        <v>27</v>
      </c>
      <c r="C7430" s="1" t="s">
        <v>36255</v>
      </c>
      <c r="D7430" s="1" t="s">
        <v>20038</v>
      </c>
      <c r="E7430" s="1" t="s">
        <v>36256</v>
      </c>
      <c r="F7430" s="1" t="s">
        <v>63</v>
      </c>
      <c r="G7430" s="1" t="s">
        <v>26481</v>
      </c>
      <c r="H7430" s="1">
        <v>1988.0</v>
      </c>
      <c r="I7430" s="1" t="s">
        <v>136</v>
      </c>
      <c r="J7430" s="1" t="s">
        <v>2505</v>
      </c>
      <c r="K7430" s="1" t="s">
        <v>215</v>
      </c>
      <c r="L7430" s="1" t="s">
        <v>36257</v>
      </c>
      <c r="M7430" s="2" t="s">
        <v>12</v>
      </c>
      <c r="N7430" s="4">
        <f t="shared" si="1"/>
        <v>43101</v>
      </c>
      <c r="O7430" s="5" t="str">
        <f>IFERROR(__xludf.DUMMYFUNCTION("IF(REGEXMATCH(TRIM(I7430), ""^\d+\s*min""), ""Unclassified"", IF(I7430 = """", ""NR"", I7430))"),"TV-PG")</f>
        <v>TV-PG</v>
      </c>
      <c r="R7430" s="5" t="str">
        <f t="shared" si="2"/>
        <v>Maza Pati Karodpati</v>
      </c>
      <c r="S7430" s="5" t="str">
        <f>IFERROR(__xludf.DUMMYFUNCTION("""COMPUTED_VALUE"""),"The Little Hours")</f>
        <v>The Little Hours</v>
      </c>
      <c r="V7430" s="5"/>
      <c r="Y7430" s="5" t="str">
        <f>IFERROR(__xludf.DUMMYFUNCTION("REGEXEXTRACT(J7430, ""^\d+"")"),"132")</f>
        <v>132</v>
      </c>
      <c r="Z7430" s="5" t="str">
        <f>IFERROR(__xludf.DUMMYFUNCTION("REGEXEXTRACT(J7430, ""[A-Za-z ]+$"")")," min")</f>
        <v> min</v>
      </c>
      <c r="AA7430" s="5" t="str">
        <f>IFERROR(__xludf.DUMMYFUNCTION("IF(REGEXMATCH(Z7430, ""Season""), ""TV Show"", ""Movie"")"),"Movie")</f>
        <v>Movie</v>
      </c>
    </row>
    <row r="7431">
      <c r="A7431" s="1" t="s">
        <v>36258</v>
      </c>
      <c r="B7431" s="1" t="s">
        <v>27</v>
      </c>
      <c r="C7431" s="1" t="s">
        <v>36259</v>
      </c>
      <c r="D7431" s="1" t="s">
        <v>10917</v>
      </c>
      <c r="E7431" s="1" t="s">
        <v>36260</v>
      </c>
      <c r="F7431" s="1" t="s">
        <v>162</v>
      </c>
      <c r="G7431" s="1" t="s">
        <v>28655</v>
      </c>
      <c r="H7431" s="1">
        <v>2016.0</v>
      </c>
      <c r="I7431" s="1" t="s">
        <v>42</v>
      </c>
      <c r="J7431" s="1" t="s">
        <v>490</v>
      </c>
      <c r="K7431" s="1" t="s">
        <v>583</v>
      </c>
      <c r="L7431" s="1" t="s">
        <v>36261</v>
      </c>
      <c r="M7431" s="2" t="s">
        <v>12</v>
      </c>
      <c r="N7431" s="4">
        <f t="shared" si="1"/>
        <v>42780</v>
      </c>
      <c r="O7431" s="5" t="str">
        <f>IFERROR(__xludf.DUMMYFUNCTION("IF(REGEXMATCH(TRIM(I7431), ""^\d+\s*min""), ""Unclassified"", IF(I7431 = """", ""NR"", I7431))"),"TV-MA")</f>
        <v>TV-MA</v>
      </c>
      <c r="R7431" s="5" t="str">
        <f t="shared" si="2"/>
        <v>Me And The Alien</v>
      </c>
      <c r="S7431" s="5" t="str">
        <f>IFERROR(__xludf.DUMMYFUNCTION("""COMPUTED_VALUE"""),"The Little Mermaid")</f>
        <v>The Little Mermaid</v>
      </c>
      <c r="V7431" s="5"/>
      <c r="Y7431" s="5" t="str">
        <f>IFERROR(__xludf.DUMMYFUNCTION("REGEXEXTRACT(J7431, ""^\d+"")"),"83")</f>
        <v>83</v>
      </c>
      <c r="Z7431" s="5" t="str">
        <f>IFERROR(__xludf.DUMMYFUNCTION("REGEXEXTRACT(J7431, ""[A-Za-z ]+$"")")," min")</f>
        <v> min</v>
      </c>
      <c r="AA7431" s="5" t="str">
        <f>IFERROR(__xludf.DUMMYFUNCTION("IF(REGEXMATCH(Z7431, ""Season""), ""TV Show"", ""Movie"")"),"Movie")</f>
        <v>Movie</v>
      </c>
    </row>
    <row r="7432">
      <c r="A7432" s="1" t="s">
        <v>36262</v>
      </c>
      <c r="B7432" s="1" t="s">
        <v>27</v>
      </c>
      <c r="C7432" s="1" t="s">
        <v>36263</v>
      </c>
      <c r="D7432" s="1" t="s">
        <v>16598</v>
      </c>
      <c r="E7432" s="1" t="s">
        <v>36264</v>
      </c>
      <c r="F7432" s="1" t="s">
        <v>1106</v>
      </c>
      <c r="G7432" s="1" t="s">
        <v>20110</v>
      </c>
      <c r="H7432" s="1">
        <v>2016.0</v>
      </c>
      <c r="I7432" s="1" t="s">
        <v>378</v>
      </c>
      <c r="J7432" s="1" t="s">
        <v>305</v>
      </c>
      <c r="K7432" s="1" t="s">
        <v>2327</v>
      </c>
      <c r="L7432" s="1" t="s">
        <v>36265</v>
      </c>
      <c r="M7432" s="2" t="s">
        <v>12</v>
      </c>
      <c r="N7432" s="4">
        <f t="shared" si="1"/>
        <v>43647</v>
      </c>
      <c r="O7432" s="5" t="str">
        <f>IFERROR(__xludf.DUMMYFUNCTION("IF(REGEXMATCH(TRIM(I7432), ""^\d+\s*min""), ""Unclassified"", IF(I7432 = """", ""NR"", I7432))"),"R")</f>
        <v>R</v>
      </c>
      <c r="R7432" s="5" t="str">
        <f t="shared" si="2"/>
        <v>Mean Dreams</v>
      </c>
      <c r="S7432" s="5" t="str">
        <f>IFERROR(__xludf.DUMMYFUNCTION("""COMPUTED_VALUE"""),"The Little Nyonya")</f>
        <v>The Little Nyonya</v>
      </c>
      <c r="V7432" s="5"/>
      <c r="Y7432" s="5" t="str">
        <f>IFERROR(__xludf.DUMMYFUNCTION("REGEXEXTRACT(J7432, ""^\d+"")"),"105")</f>
        <v>105</v>
      </c>
      <c r="Z7432" s="5" t="str">
        <f>IFERROR(__xludf.DUMMYFUNCTION("REGEXEXTRACT(J7432, ""[A-Za-z ]+$"")")," min")</f>
        <v> min</v>
      </c>
      <c r="AA7432" s="5" t="str">
        <f>IFERROR(__xludf.DUMMYFUNCTION("IF(REGEXMATCH(Z7432, ""Season""), ""TV Show"", ""Movie"")"),"Movie")</f>
        <v>Movie</v>
      </c>
    </row>
    <row r="7433">
      <c r="A7433" s="1" t="s">
        <v>36266</v>
      </c>
      <c r="B7433" s="1" t="s">
        <v>27</v>
      </c>
      <c r="C7433" s="1" t="s">
        <v>36267</v>
      </c>
      <c r="D7433" s="1" t="s">
        <v>7998</v>
      </c>
      <c r="E7433" s="1" t="s">
        <v>36268</v>
      </c>
      <c r="F7433" s="1" t="s">
        <v>30</v>
      </c>
      <c r="G7433" s="1" t="s">
        <v>20110</v>
      </c>
      <c r="H7433" s="1">
        <v>1973.0</v>
      </c>
      <c r="I7433" s="1" t="s">
        <v>378</v>
      </c>
      <c r="J7433" s="1" t="s">
        <v>1243</v>
      </c>
      <c r="K7433" s="1" t="s">
        <v>1767</v>
      </c>
      <c r="L7433" s="1" t="s">
        <v>36269</v>
      </c>
      <c r="M7433" s="2" t="s">
        <v>12</v>
      </c>
      <c r="N7433" s="4">
        <f t="shared" si="1"/>
        <v>43647</v>
      </c>
      <c r="O7433" s="5" t="str">
        <f>IFERROR(__xludf.DUMMYFUNCTION("IF(REGEXMATCH(TRIM(I7433), ""^\d+\s*min""), ""Unclassified"", IF(I7433 = """", ""NR"", I7433))"),"R")</f>
        <v>R</v>
      </c>
      <c r="R7433" s="5" t="str">
        <f t="shared" si="2"/>
        <v>Mean Streets</v>
      </c>
      <c r="S7433" s="5" t="str">
        <f>IFERROR(__xludf.DUMMYFUNCTION("""COMPUTED_VALUE"""),"The Little Prince")</f>
        <v>The Little Prince</v>
      </c>
      <c r="V7433" s="5"/>
      <c r="Y7433" s="5" t="str">
        <f>IFERROR(__xludf.DUMMYFUNCTION("REGEXEXTRACT(J7433, ""^\d+"")"),"112")</f>
        <v>112</v>
      </c>
      <c r="Z7433" s="5" t="str">
        <f>IFERROR(__xludf.DUMMYFUNCTION("REGEXEXTRACT(J7433, ""[A-Za-z ]+$"")")," min")</f>
        <v> min</v>
      </c>
      <c r="AA7433" s="5" t="str">
        <f>IFERROR(__xludf.DUMMYFUNCTION("IF(REGEXMATCH(Z7433, ""Season""), ""TV Show"", ""Movie"")"),"Movie")</f>
        <v>Movie</v>
      </c>
    </row>
    <row r="7434">
      <c r="A7434" s="1" t="s">
        <v>36270</v>
      </c>
      <c r="B7434" s="1" t="s">
        <v>27</v>
      </c>
      <c r="C7434" s="1" t="s">
        <v>36271</v>
      </c>
      <c r="D7434" s="1" t="s">
        <v>16157</v>
      </c>
      <c r="E7434" s="1" t="s">
        <v>36272</v>
      </c>
      <c r="F7434" s="1" t="s">
        <v>1106</v>
      </c>
      <c r="G7434" s="1" t="s">
        <v>26033</v>
      </c>
      <c r="H7434" s="1">
        <v>2017.0</v>
      </c>
      <c r="I7434" s="1" t="s">
        <v>136</v>
      </c>
      <c r="J7434" s="1" t="s">
        <v>170</v>
      </c>
      <c r="K7434" s="1" t="s">
        <v>805</v>
      </c>
      <c r="L7434" s="1" t="s">
        <v>36273</v>
      </c>
      <c r="M7434" s="2" t="s">
        <v>12</v>
      </c>
      <c r="N7434" s="4">
        <f t="shared" si="1"/>
        <v>43168</v>
      </c>
      <c r="O7434" s="5" t="str">
        <f>IFERROR(__xludf.DUMMYFUNCTION("IF(REGEXMATCH(TRIM(I7434), ""^\d+\s*min""), ""Unclassified"", IF(I7434 = """", ""NR"", I7434))"),"TV-PG")</f>
        <v>TV-PG</v>
      </c>
      <c r="R7434" s="5" t="str">
        <f t="shared" si="2"/>
        <v>Meditation Park</v>
      </c>
      <c r="S7434" s="5" t="str">
        <f>IFERROR(__xludf.DUMMYFUNCTION("""COMPUTED_VALUE"""),"The Little Switzerland")</f>
        <v>The Little Switzerland</v>
      </c>
      <c r="V7434" s="5"/>
      <c r="Y7434" s="5" t="str">
        <f>IFERROR(__xludf.DUMMYFUNCTION("REGEXEXTRACT(J7434, ""^\d+"")"),"94")</f>
        <v>94</v>
      </c>
      <c r="Z7434" s="5" t="str">
        <f>IFERROR(__xludf.DUMMYFUNCTION("REGEXEXTRACT(J7434, ""[A-Za-z ]+$"")")," min")</f>
        <v> min</v>
      </c>
      <c r="AA7434" s="5" t="str">
        <f>IFERROR(__xludf.DUMMYFUNCTION("IF(REGEXMATCH(Z7434, ""Season""), ""TV Show"", ""Movie"")"),"Movie")</f>
        <v>Movie</v>
      </c>
    </row>
    <row r="7435">
      <c r="A7435" s="1" t="s">
        <v>36274</v>
      </c>
      <c r="B7435" s="1" t="s">
        <v>27</v>
      </c>
      <c r="C7435" s="1" t="s">
        <v>36275</v>
      </c>
      <c r="D7435" s="1" t="s">
        <v>9850</v>
      </c>
      <c r="E7435" s="1" t="s">
        <v>36276</v>
      </c>
      <c r="F7435" s="1" t="s">
        <v>36277</v>
      </c>
      <c r="G7435" s="1" t="s">
        <v>18985</v>
      </c>
      <c r="H7435" s="1">
        <v>1985.0</v>
      </c>
      <c r="I7435" s="1" t="s">
        <v>42</v>
      </c>
      <c r="J7435" s="1" t="s">
        <v>33</v>
      </c>
      <c r="K7435" s="1" t="s">
        <v>1592</v>
      </c>
      <c r="L7435" s="1" t="s">
        <v>36278</v>
      </c>
      <c r="M7435" s="2" t="s">
        <v>12</v>
      </c>
      <c r="N7435" s="4">
        <f t="shared" si="1"/>
        <v>43739</v>
      </c>
      <c r="O7435" s="5" t="str">
        <f>IFERROR(__xludf.DUMMYFUNCTION("IF(REGEXMATCH(TRIM(I7435), ""^\d+\s*min""), ""Unclassified"", IF(I7435 = """", ""NR"", I7435))"),"TV-MA")</f>
        <v>TV-MA</v>
      </c>
      <c r="R7435" s="5" t="str">
        <f t="shared" si="2"/>
        <v>Medium</v>
      </c>
      <c r="S7435" s="5" t="str">
        <f>IFERROR(__xludf.DUMMYFUNCTION("""COMPUTED_VALUE"""),"The Little Vampire")</f>
        <v>The Little Vampire</v>
      </c>
      <c r="V7435" s="5"/>
      <c r="Y7435" s="5" t="str">
        <f>IFERROR(__xludf.DUMMYFUNCTION("REGEXEXTRACT(J7435, ""^\d+"")"),"90")</f>
        <v>90</v>
      </c>
      <c r="Z7435" s="5" t="str">
        <f>IFERROR(__xludf.DUMMYFUNCTION("REGEXEXTRACT(J7435, ""[A-Za-z ]+$"")")," min")</f>
        <v> min</v>
      </c>
      <c r="AA7435" s="5" t="str">
        <f>IFERROR(__xludf.DUMMYFUNCTION("IF(REGEXMATCH(Z7435, ""Season""), ""TV Show"", ""Movie"")"),"Movie")</f>
        <v>Movie</v>
      </c>
    </row>
    <row r="7436">
      <c r="A7436" s="1" t="s">
        <v>36279</v>
      </c>
      <c r="B7436" s="1" t="s">
        <v>27</v>
      </c>
      <c r="C7436" s="1" t="s">
        <v>36280</v>
      </c>
      <c r="D7436" s="1" t="s">
        <v>17698</v>
      </c>
      <c r="F7436" s="1" t="s">
        <v>96</v>
      </c>
      <c r="G7436" s="1" t="s">
        <v>26958</v>
      </c>
      <c r="H7436" s="1">
        <v>2017.0</v>
      </c>
      <c r="I7436" s="1" t="s">
        <v>97</v>
      </c>
      <c r="J7436" s="1" t="s">
        <v>575</v>
      </c>
      <c r="K7436" s="1" t="s">
        <v>34</v>
      </c>
      <c r="L7436" s="1" t="s">
        <v>36281</v>
      </c>
      <c r="M7436" s="2" t="s">
        <v>12</v>
      </c>
      <c r="N7436" s="4">
        <f t="shared" si="1"/>
        <v>43033</v>
      </c>
      <c r="O7436" s="5" t="str">
        <f>IFERROR(__xludf.DUMMYFUNCTION("IF(REGEXMATCH(TRIM(I7436), ""^\d+\s*min""), ""Unclassified"", IF(I7436 = """", ""NR"", I7436))"),"TV-14")</f>
        <v>TV-14</v>
      </c>
      <c r="R7436" s="5" t="str">
        <f t="shared" si="2"/>
        <v>Meet The Trumps: From Immigrant To President</v>
      </c>
      <c r="S7436" s="5" t="str">
        <f>IFERROR(__xludf.DUMMYFUNCTION("""COMPUTED_VALUE"""),"The Little Wars")</f>
        <v>The Little Wars</v>
      </c>
      <c r="V7436" s="5"/>
      <c r="Y7436" s="5" t="str">
        <f>IFERROR(__xludf.DUMMYFUNCTION("REGEXEXTRACT(J7436, ""^\d+"")"),"48")</f>
        <v>48</v>
      </c>
      <c r="Z7436" s="5" t="str">
        <f>IFERROR(__xludf.DUMMYFUNCTION("REGEXEXTRACT(J7436, ""[A-Za-z ]+$"")")," min")</f>
        <v> min</v>
      </c>
      <c r="AA7436" s="5" t="str">
        <f>IFERROR(__xludf.DUMMYFUNCTION("IF(REGEXMATCH(Z7436, ""Season""), ""TV Show"", ""Movie"")"),"Movie")</f>
        <v>Movie</v>
      </c>
    </row>
    <row r="7437">
      <c r="A7437" s="1" t="s">
        <v>36282</v>
      </c>
      <c r="B7437" s="1" t="s">
        <v>37</v>
      </c>
      <c r="C7437" s="1" t="s">
        <v>36283</v>
      </c>
      <c r="F7437" s="1" t="s">
        <v>96</v>
      </c>
      <c r="G7437" s="1" t="s">
        <v>19991</v>
      </c>
      <c r="H7437" s="1">
        <v>2013.0</v>
      </c>
      <c r="I7437" s="1" t="s">
        <v>506</v>
      </c>
      <c r="J7437" s="1" t="s">
        <v>51</v>
      </c>
      <c r="K7437" s="1" t="s">
        <v>544</v>
      </c>
      <c r="L7437" s="1" t="s">
        <v>36284</v>
      </c>
      <c r="M7437" s="2" t="s">
        <v>12</v>
      </c>
      <c r="N7437" s="4">
        <f t="shared" si="1"/>
        <v>43658</v>
      </c>
      <c r="O7437" s="5" t="str">
        <f>IFERROR(__xludf.DUMMYFUNCTION("IF(REGEXMATCH(TRIM(I7437), ""^\d+\s*min""), ""Unclassified"", IF(I7437 = """", ""NR"", I7437))"),"TV-G")</f>
        <v>TV-G</v>
      </c>
      <c r="R7437" s="5" t="str">
        <f t="shared" si="2"/>
        <v>Mega Food</v>
      </c>
      <c r="S7437" s="5" t="str">
        <f>IFERROR(__xludf.DUMMYFUNCTION("""COMPUTED_VALUE"""),"The Lives Of Others")</f>
        <v>The Lives Of Others</v>
      </c>
      <c r="V7437" s="5"/>
      <c r="Y7437" s="5" t="str">
        <f>IFERROR(__xludf.DUMMYFUNCTION("REGEXEXTRACT(J7437, ""^\d+"")"),"1")</f>
        <v>1</v>
      </c>
      <c r="Z7437" s="5" t="str">
        <f>IFERROR(__xludf.DUMMYFUNCTION("REGEXEXTRACT(J7437, ""[A-Za-z ]+$"")")," Season")</f>
        <v> Season</v>
      </c>
      <c r="AA7437" s="5" t="str">
        <f>IFERROR(__xludf.DUMMYFUNCTION("IF(REGEXMATCH(Z7437, ""Season""), ""TV Show"", ""Movie"")"),"TV Show")</f>
        <v>TV Show</v>
      </c>
    </row>
    <row r="7438">
      <c r="A7438" s="1" t="s">
        <v>36285</v>
      </c>
      <c r="B7438" s="1" t="s">
        <v>37</v>
      </c>
      <c r="C7438" s="1" t="s">
        <v>36286</v>
      </c>
      <c r="F7438" s="1" t="s">
        <v>221</v>
      </c>
      <c r="G7438" s="1" t="s">
        <v>19991</v>
      </c>
      <c r="H7438" s="1">
        <v>2012.0</v>
      </c>
      <c r="I7438" s="1" t="s">
        <v>136</v>
      </c>
      <c r="J7438" s="1" t="s">
        <v>51</v>
      </c>
      <c r="K7438" s="1" t="s">
        <v>440</v>
      </c>
      <c r="L7438" s="1" t="s">
        <v>36287</v>
      </c>
      <c r="M7438" s="2" t="s">
        <v>12</v>
      </c>
      <c r="N7438" s="4">
        <f t="shared" si="1"/>
        <v>43658</v>
      </c>
      <c r="O7438" s="5" t="str">
        <f>IFERROR(__xludf.DUMMYFUNCTION("IF(REGEXMATCH(TRIM(I7438), ""^\d+\s*min""), ""Unclassified"", IF(I7438 = """", ""NR"", I7438))"),"TV-PG")</f>
        <v>TV-PG</v>
      </c>
      <c r="R7438" s="5" t="str">
        <f t="shared" si="2"/>
        <v>Megatruckers</v>
      </c>
      <c r="S7438" s="5" t="str">
        <f>IFERROR(__xludf.DUMMYFUNCTION("""COMPUTED_VALUE"""),"The Lizzie Borden Chronicles")</f>
        <v>The Lizzie Borden Chronicles</v>
      </c>
      <c r="V7438" s="5"/>
      <c r="Y7438" s="5" t="str">
        <f>IFERROR(__xludf.DUMMYFUNCTION("REGEXEXTRACT(J7438, ""^\d+"")"),"1")</f>
        <v>1</v>
      </c>
      <c r="Z7438" s="5" t="str">
        <f>IFERROR(__xludf.DUMMYFUNCTION("REGEXEXTRACT(J7438, ""[A-Za-z ]+$"")")," Season")</f>
        <v> Season</v>
      </c>
      <c r="AA7438" s="5" t="str">
        <f>IFERROR(__xludf.DUMMYFUNCTION("IF(REGEXMATCH(Z7438, ""Season""), ""TV Show"", ""Movie"")"),"TV Show")</f>
        <v>TV Show</v>
      </c>
    </row>
    <row r="7439">
      <c r="A7439" s="1" t="s">
        <v>36288</v>
      </c>
      <c r="B7439" s="1" t="s">
        <v>27</v>
      </c>
      <c r="C7439" s="1" t="s">
        <v>36289</v>
      </c>
      <c r="D7439" s="1" t="s">
        <v>3461</v>
      </c>
      <c r="E7439" s="1" t="s">
        <v>36290</v>
      </c>
      <c r="F7439" s="1" t="s">
        <v>63</v>
      </c>
      <c r="G7439" s="1" t="s">
        <v>24964</v>
      </c>
      <c r="H7439" s="1">
        <v>2017.0</v>
      </c>
      <c r="I7439" s="1" t="s">
        <v>136</v>
      </c>
      <c r="J7439" s="1" t="s">
        <v>297</v>
      </c>
      <c r="K7439" s="1" t="s">
        <v>679</v>
      </c>
      <c r="L7439" s="1" t="s">
        <v>36291</v>
      </c>
      <c r="M7439" s="2" t="s">
        <v>12</v>
      </c>
      <c r="N7439" s="4">
        <f t="shared" si="1"/>
        <v>43313</v>
      </c>
      <c r="O7439" s="5" t="str">
        <f>IFERROR(__xludf.DUMMYFUNCTION("IF(REGEXMATCH(TRIM(I7439), ""^\d+\s*min""), ""Unclassified"", IF(I7439 = """", ""NR"", I7439))"),"TV-PG")</f>
        <v>TV-PG</v>
      </c>
      <c r="R7439" s="5" t="str">
        <f t="shared" si="2"/>
        <v>Melle</v>
      </c>
      <c r="S7439" s="5" t="str">
        <f>IFERROR(__xludf.DUMMYFUNCTION("""COMPUTED_VALUE"""),"The Lobster")</f>
        <v>The Lobster</v>
      </c>
      <c r="V7439" s="5"/>
      <c r="Y7439" s="5" t="str">
        <f>IFERROR(__xludf.DUMMYFUNCTION("REGEXEXTRACT(J7439, ""^\d+"")"),"110")</f>
        <v>110</v>
      </c>
      <c r="Z7439" s="5" t="str">
        <f>IFERROR(__xludf.DUMMYFUNCTION("REGEXEXTRACT(J7439, ""[A-Za-z ]+$"")")," min")</f>
        <v> min</v>
      </c>
      <c r="AA7439" s="5" t="str">
        <f>IFERROR(__xludf.DUMMYFUNCTION("IF(REGEXMATCH(Z7439, ""Season""), ""TV Show"", ""Movie"")"),"Movie")</f>
        <v>Movie</v>
      </c>
    </row>
    <row r="7440">
      <c r="A7440" s="1" t="s">
        <v>36292</v>
      </c>
      <c r="B7440" s="1" t="s">
        <v>37</v>
      </c>
      <c r="C7440" s="1" t="s">
        <v>36293</v>
      </c>
      <c r="G7440" s="1" t="s">
        <v>20248</v>
      </c>
      <c r="H7440" s="1">
        <v>2016.0</v>
      </c>
      <c r="I7440" s="1" t="s">
        <v>97</v>
      </c>
      <c r="J7440" s="1" t="s">
        <v>51</v>
      </c>
      <c r="K7440" s="1" t="s">
        <v>64</v>
      </c>
      <c r="L7440" s="1" t="s">
        <v>36294</v>
      </c>
      <c r="M7440" s="2" t="s">
        <v>12</v>
      </c>
      <c r="N7440" s="4">
        <f t="shared" si="1"/>
        <v>43637</v>
      </c>
      <c r="O7440" s="5" t="str">
        <f>IFERROR(__xludf.DUMMYFUNCTION("IF(REGEXMATCH(TRIM(I7440), ""^\d+\s*min""), ""Unclassified"", IF(I7440 = """", ""NR"", I7440))"),"TV-14")</f>
        <v>TV-14</v>
      </c>
      <c r="R7440" s="5" t="str">
        <f t="shared" si="2"/>
        <v>Melodies Of Life - Born This Way</v>
      </c>
      <c r="S7440" s="5" t="str">
        <f>IFERROR(__xludf.DUMMYFUNCTION("""COMPUTED_VALUE"""),"The Lodgers")</f>
        <v>The Lodgers</v>
      </c>
      <c r="V7440" s="5"/>
      <c r="Y7440" s="5" t="str">
        <f>IFERROR(__xludf.DUMMYFUNCTION("REGEXEXTRACT(J7440, ""^\d+"")"),"1")</f>
        <v>1</v>
      </c>
      <c r="Z7440" s="5" t="str">
        <f>IFERROR(__xludf.DUMMYFUNCTION("REGEXEXTRACT(J7440, ""[A-Za-z ]+$"")")," Season")</f>
        <v> Season</v>
      </c>
      <c r="AA7440" s="5" t="str">
        <f>IFERROR(__xludf.DUMMYFUNCTION("IF(REGEXMATCH(Z7440, ""Season""), ""TV Show"", ""Movie"")"),"TV Show")</f>
        <v>TV Show</v>
      </c>
    </row>
    <row r="7441">
      <c r="A7441" s="1" t="s">
        <v>36295</v>
      </c>
      <c r="B7441" s="1" t="s">
        <v>27</v>
      </c>
      <c r="C7441" s="1" t="s">
        <v>36296</v>
      </c>
      <c r="D7441" s="1" t="s">
        <v>3538</v>
      </c>
      <c r="E7441" s="1" t="s">
        <v>36297</v>
      </c>
      <c r="F7441" s="1" t="s">
        <v>30</v>
      </c>
      <c r="G7441" s="1" t="s">
        <v>25185</v>
      </c>
      <c r="H7441" s="1">
        <v>2003.0</v>
      </c>
      <c r="I7441" s="1" t="s">
        <v>378</v>
      </c>
      <c r="J7441" s="1" t="s">
        <v>1608</v>
      </c>
      <c r="K7441" s="1" t="s">
        <v>836</v>
      </c>
      <c r="L7441" s="1" t="s">
        <v>36298</v>
      </c>
      <c r="M7441" s="2" t="s">
        <v>12</v>
      </c>
      <c r="N7441" s="4">
        <f t="shared" si="1"/>
        <v>43282</v>
      </c>
      <c r="O7441" s="5" t="str">
        <f>IFERROR(__xludf.DUMMYFUNCTION("IF(REGEXMATCH(TRIM(I7441), ""^\d+\s*min""), ""Unclassified"", IF(I7441 = """", ""NR"", I7441))"),"R")</f>
        <v>R</v>
      </c>
      <c r="R7441" s="5" t="str">
        <f t="shared" si="2"/>
        <v>Melvin Goes To Dinner</v>
      </c>
      <c r="S7441" s="5" t="str">
        <f>IFERROR(__xludf.DUMMYFUNCTION("""COMPUTED_VALUE"""),"The Lonely Island Presents: The Unauthorized Bash Brothers Experience")</f>
        <v>The Lonely Island Presents: The Unauthorized Bash Brothers Experience</v>
      </c>
      <c r="V7441" s="5"/>
      <c r="Y7441" s="5" t="str">
        <f>IFERROR(__xludf.DUMMYFUNCTION("REGEXEXTRACT(J7441, ""^\d+"")"),"84")</f>
        <v>84</v>
      </c>
      <c r="Z7441" s="5" t="str">
        <f>IFERROR(__xludf.DUMMYFUNCTION("REGEXEXTRACT(J7441, ""[A-Za-z ]+$"")")," min")</f>
        <v> min</v>
      </c>
      <c r="AA7441" s="5" t="str">
        <f>IFERROR(__xludf.DUMMYFUNCTION("IF(REGEXMATCH(Z7441, ""Season""), ""TV Show"", ""Movie"")"),"Movie")</f>
        <v>Movie</v>
      </c>
    </row>
    <row r="7442">
      <c r="A7442" s="1" t="s">
        <v>36299</v>
      </c>
      <c r="B7442" s="1" t="s">
        <v>27</v>
      </c>
      <c r="C7442" s="1" t="s">
        <v>36300</v>
      </c>
      <c r="D7442" s="1" t="s">
        <v>36301</v>
      </c>
      <c r="E7442" s="1" t="s">
        <v>36302</v>
      </c>
      <c r="F7442" s="1" t="s">
        <v>749</v>
      </c>
      <c r="G7442" s="1" t="s">
        <v>26214</v>
      </c>
      <c r="H7442" s="1">
        <v>2017.0</v>
      </c>
      <c r="I7442" s="1" t="s">
        <v>42</v>
      </c>
      <c r="J7442" s="1" t="s">
        <v>870</v>
      </c>
      <c r="K7442" s="1" t="s">
        <v>298</v>
      </c>
      <c r="L7442" s="1" t="s">
        <v>36303</v>
      </c>
      <c r="M7442" s="2" t="s">
        <v>12</v>
      </c>
      <c r="N7442" s="4">
        <f t="shared" si="1"/>
        <v>43150</v>
      </c>
      <c r="O7442" s="5" t="str">
        <f>IFERROR(__xludf.DUMMYFUNCTION("IF(REGEXMATCH(TRIM(I7442), ""^\d+\s*min""), ""Unclassified"", IF(I7442 = """", ""NR"", I7442))"),"TV-MA")</f>
        <v>TV-MA</v>
      </c>
      <c r="R7442" s="5" t="str">
        <f t="shared" si="2"/>
        <v>Memoir Of A Murderer</v>
      </c>
      <c r="S7442" s="5" t="str">
        <f>IFERROR(__xludf.DUMMYFUNCTION("""COMPUTED_VALUE"""),"The Long Dumb Road")</f>
        <v>The Long Dumb Road</v>
      </c>
      <c r="V7442" s="5"/>
      <c r="Y7442" s="5" t="str">
        <f>IFERROR(__xludf.DUMMYFUNCTION("REGEXEXTRACT(J7442, ""^\d+"")"),"118")</f>
        <v>118</v>
      </c>
      <c r="Z7442" s="5" t="str">
        <f>IFERROR(__xludf.DUMMYFUNCTION("REGEXEXTRACT(J7442, ""[A-Za-z ]+$"")")," min")</f>
        <v> min</v>
      </c>
      <c r="AA7442" s="5" t="str">
        <f>IFERROR(__xludf.DUMMYFUNCTION("IF(REGEXMATCH(Z7442, ""Season""), ""TV Show"", ""Movie"")"),"Movie")</f>
        <v>Movie</v>
      </c>
    </row>
    <row r="7443">
      <c r="A7443" s="1" t="s">
        <v>36304</v>
      </c>
      <c r="B7443" s="1" t="s">
        <v>27</v>
      </c>
      <c r="C7443" s="1" t="s">
        <v>36305</v>
      </c>
      <c r="D7443" s="1" t="s">
        <v>10173</v>
      </c>
      <c r="F7443" s="1" t="s">
        <v>36306</v>
      </c>
      <c r="G7443" s="1" t="s">
        <v>20308</v>
      </c>
      <c r="H7443" s="1">
        <v>2018.0</v>
      </c>
      <c r="I7443" s="1" t="s">
        <v>97</v>
      </c>
      <c r="J7443" s="1" t="s">
        <v>1144</v>
      </c>
      <c r="K7443" s="1" t="s">
        <v>34</v>
      </c>
      <c r="L7443" s="1" t="s">
        <v>36307</v>
      </c>
      <c r="M7443" s="2" t="s">
        <v>12</v>
      </c>
      <c r="N7443" s="4">
        <f t="shared" si="1"/>
        <v>43635</v>
      </c>
      <c r="O7443" s="5" t="str">
        <f>IFERROR(__xludf.DUMMYFUNCTION("IF(REGEXMATCH(TRIM(I7443), ""^\d+\s*min""), ""Unclassified"", IF(I7443 = """", ""NR"", I7443))"),"TV-14")</f>
        <v>TV-14</v>
      </c>
      <c r="R7443" s="5" t="str">
        <f t="shared" si="2"/>
        <v>Memory Games</v>
      </c>
      <c r="S7443" s="5" t="str">
        <f>IFERROR(__xludf.DUMMYFUNCTION("""COMPUTED_VALUE"""),"The Long Goodbye: The Kara Tippetts Story")</f>
        <v>The Long Goodbye: The Kara Tippetts Story</v>
      </c>
      <c r="V7443" s="5"/>
      <c r="Y7443" s="5" t="str">
        <f>IFERROR(__xludf.DUMMYFUNCTION("REGEXEXTRACT(J7443, ""^\d+"")"),"86")</f>
        <v>86</v>
      </c>
      <c r="Z7443" s="5" t="str">
        <f>IFERROR(__xludf.DUMMYFUNCTION("REGEXEXTRACT(J7443, ""[A-Za-z ]+$"")")," min")</f>
        <v> min</v>
      </c>
      <c r="AA7443" s="5" t="str">
        <f>IFERROR(__xludf.DUMMYFUNCTION("IF(REGEXMATCH(Z7443, ""Season""), ""TV Show"", ""Movie"")"),"Movie")</f>
        <v>Movie</v>
      </c>
    </row>
    <row r="7444">
      <c r="A7444" s="1" t="s">
        <v>36308</v>
      </c>
      <c r="B7444" s="1" t="s">
        <v>27</v>
      </c>
      <c r="C7444" s="1" t="s">
        <v>36309</v>
      </c>
      <c r="D7444" s="1" t="s">
        <v>3033</v>
      </c>
      <c r="E7444" s="1" t="s">
        <v>36310</v>
      </c>
      <c r="F7444" s="1" t="s">
        <v>30</v>
      </c>
      <c r="G7444" s="1" t="s">
        <v>18649</v>
      </c>
      <c r="H7444" s="1">
        <v>1997.0</v>
      </c>
      <c r="I7444" s="1" t="s">
        <v>32</v>
      </c>
      <c r="J7444" s="1" t="s">
        <v>357</v>
      </c>
      <c r="K7444" s="1" t="s">
        <v>3505</v>
      </c>
      <c r="L7444" s="1" t="s">
        <v>36311</v>
      </c>
      <c r="M7444" s="2" t="s">
        <v>12</v>
      </c>
      <c r="N7444" s="4">
        <f t="shared" si="1"/>
        <v>43757</v>
      </c>
      <c r="O7444" s="5" t="str">
        <f>IFERROR(__xludf.DUMMYFUNCTION("IF(REGEXMATCH(TRIM(I7444), ""^\d+\s*min""), ""Unclassified"", IF(I7444 = """", ""NR"", I7444))"),"PG-13")</f>
        <v>PG-13</v>
      </c>
      <c r="R7444" s="5" t="str">
        <f t="shared" si="2"/>
        <v>Men In Black</v>
      </c>
      <c r="S7444" s="5" t="str">
        <f>IFERROR(__xludf.DUMMYFUNCTION("""COMPUTED_VALUE"""),"The Long Riders")</f>
        <v>The Long Riders</v>
      </c>
      <c r="V7444" s="5"/>
      <c r="Y7444" s="5" t="str">
        <f>IFERROR(__xludf.DUMMYFUNCTION("REGEXEXTRACT(J7444, ""^\d+"")"),"98")</f>
        <v>98</v>
      </c>
      <c r="Z7444" s="5" t="str">
        <f>IFERROR(__xludf.DUMMYFUNCTION("REGEXEXTRACT(J7444, ""[A-Za-z ]+$"")")," min")</f>
        <v> min</v>
      </c>
      <c r="AA7444" s="5" t="str">
        <f>IFERROR(__xludf.DUMMYFUNCTION("IF(REGEXMATCH(Z7444, ""Season""), ""TV Show"", ""Movie"")"),"Movie")</f>
        <v>Movie</v>
      </c>
    </row>
    <row r="7445">
      <c r="A7445" s="1" t="s">
        <v>36312</v>
      </c>
      <c r="B7445" s="1" t="s">
        <v>27</v>
      </c>
      <c r="C7445" s="1" t="s">
        <v>36313</v>
      </c>
      <c r="D7445" s="1" t="s">
        <v>3033</v>
      </c>
      <c r="E7445" s="1" t="s">
        <v>36314</v>
      </c>
      <c r="F7445" s="1" t="s">
        <v>30</v>
      </c>
      <c r="G7445" s="1" t="s">
        <v>18985</v>
      </c>
      <c r="H7445" s="1">
        <v>2002.0</v>
      </c>
      <c r="I7445" s="1" t="s">
        <v>32</v>
      </c>
      <c r="J7445" s="1" t="s">
        <v>428</v>
      </c>
      <c r="K7445" s="1" t="s">
        <v>3505</v>
      </c>
      <c r="L7445" s="1" t="s">
        <v>36315</v>
      </c>
      <c r="M7445" s="2" t="s">
        <v>12</v>
      </c>
      <c r="N7445" s="4">
        <f t="shared" si="1"/>
        <v>43739</v>
      </c>
      <c r="O7445" s="5" t="str">
        <f>IFERROR(__xludf.DUMMYFUNCTION("IF(REGEXMATCH(TRIM(I7445), ""^\d+\s*min""), ""Unclassified"", IF(I7445 = """", ""NR"", I7445))"),"PG-13")</f>
        <v>PG-13</v>
      </c>
      <c r="R7445" s="5" t="str">
        <f t="shared" si="2"/>
        <v>Men In Black Ii</v>
      </c>
      <c r="S7445" s="5" t="str">
        <f>IFERROR(__xludf.DUMMYFUNCTION("""COMPUTED_VALUE"""),"The Longest Yard")</f>
        <v>The Longest Yard</v>
      </c>
      <c r="V7445" s="5"/>
      <c r="Y7445" s="5" t="str">
        <f>IFERROR(__xludf.DUMMYFUNCTION("REGEXEXTRACT(J7445, ""^\d+"")"),"88")</f>
        <v>88</v>
      </c>
      <c r="Z7445" s="5" t="str">
        <f>IFERROR(__xludf.DUMMYFUNCTION("REGEXEXTRACT(J7445, ""[A-Za-z ]+$"")")," min")</f>
        <v> min</v>
      </c>
      <c r="AA7445" s="5" t="str">
        <f>IFERROR(__xludf.DUMMYFUNCTION("IF(REGEXMATCH(Z7445, ""Season""), ""TV Show"", ""Movie"")"),"Movie")</f>
        <v>Movie</v>
      </c>
    </row>
    <row r="7446">
      <c r="A7446" s="1" t="s">
        <v>36316</v>
      </c>
      <c r="B7446" s="1" t="s">
        <v>27</v>
      </c>
      <c r="C7446" s="1" t="s">
        <v>36317</v>
      </c>
      <c r="D7446" s="1" t="s">
        <v>11237</v>
      </c>
      <c r="E7446" s="1" t="s">
        <v>36318</v>
      </c>
      <c r="F7446" s="1" t="s">
        <v>36319</v>
      </c>
      <c r="G7446" s="1" t="s">
        <v>36320</v>
      </c>
      <c r="H7446" s="1">
        <v>2016.0</v>
      </c>
      <c r="I7446" s="1" t="s">
        <v>42</v>
      </c>
      <c r="J7446" s="1" t="s">
        <v>2452</v>
      </c>
      <c r="K7446" s="1" t="s">
        <v>1320</v>
      </c>
      <c r="L7446" s="1" t="s">
        <v>36321</v>
      </c>
      <c r="M7446" s="2" t="s">
        <v>12</v>
      </c>
      <c r="N7446" s="4">
        <f t="shared" si="1"/>
        <v>42974</v>
      </c>
      <c r="O7446" s="5" t="str">
        <f>IFERROR(__xludf.DUMMYFUNCTION("IF(REGEXMATCH(TRIM(I7446), ""^\d+\s*min""), ""Unclassified"", IF(I7446 = """", ""NR"", I7446))"),"TV-MA")</f>
        <v>TV-MA</v>
      </c>
      <c r="R7446" s="5" t="str">
        <f t="shared" si="2"/>
        <v>Menorca</v>
      </c>
      <c r="S7446" s="5" t="str">
        <f>IFERROR(__xludf.DUMMYFUNCTION("""COMPUTED_VALUE"""),"The Longshots")</f>
        <v>The Longshots</v>
      </c>
      <c r="V7446" s="5"/>
      <c r="Y7446" s="5" t="str">
        <f>IFERROR(__xludf.DUMMYFUNCTION("REGEXEXTRACT(J7446, ""^\d+"")"),"81")</f>
        <v>81</v>
      </c>
      <c r="Z7446" s="5" t="str">
        <f>IFERROR(__xludf.DUMMYFUNCTION("REGEXEXTRACT(J7446, ""[A-Za-z ]+$"")")," min")</f>
        <v> min</v>
      </c>
      <c r="AA7446" s="5" t="str">
        <f>IFERROR(__xludf.DUMMYFUNCTION("IF(REGEXMATCH(Z7446, ""Season""), ""TV Show"", ""Movie"")"),"Movie")</f>
        <v>Movie</v>
      </c>
    </row>
    <row r="7447">
      <c r="A7447" s="1" t="s">
        <v>36322</v>
      </c>
      <c r="B7447" s="1" t="s">
        <v>27</v>
      </c>
      <c r="C7447" s="1" t="s">
        <v>36323</v>
      </c>
      <c r="D7447" s="1" t="s">
        <v>8108</v>
      </c>
      <c r="E7447" s="1" t="s">
        <v>36324</v>
      </c>
      <c r="F7447" s="1" t="s">
        <v>2873</v>
      </c>
      <c r="G7447" s="1" t="s">
        <v>36325</v>
      </c>
      <c r="H7447" s="1">
        <v>2009.0</v>
      </c>
      <c r="I7447" s="1" t="s">
        <v>378</v>
      </c>
      <c r="J7447" s="1" t="s">
        <v>1243</v>
      </c>
      <c r="K7447" s="1" t="s">
        <v>306</v>
      </c>
      <c r="L7447" s="1" t="s">
        <v>36326</v>
      </c>
      <c r="M7447" s="2" t="s">
        <v>12</v>
      </c>
      <c r="N7447" s="4">
        <f t="shared" si="1"/>
        <v>43509</v>
      </c>
      <c r="O7447" s="5" t="str">
        <f>IFERROR(__xludf.DUMMYFUNCTION("IF(REGEXMATCH(TRIM(I7447), ""^\d+\s*min""), ""Unclassified"", IF(I7447 = """", ""NR"", I7447))"),"R")</f>
        <v>R</v>
      </c>
      <c r="R7447" s="5" t="str">
        <f t="shared" si="2"/>
        <v>Merantau</v>
      </c>
      <c r="S7447" s="5" t="str">
        <f>IFERROR(__xludf.DUMMYFUNCTION("""COMPUTED_VALUE"""),"The Look Of Silence")</f>
        <v>The Look Of Silence</v>
      </c>
      <c r="V7447" s="5"/>
      <c r="Y7447" s="5" t="str">
        <f>IFERROR(__xludf.DUMMYFUNCTION("REGEXEXTRACT(J7447, ""^\d+"")"),"112")</f>
        <v>112</v>
      </c>
      <c r="Z7447" s="5" t="str">
        <f>IFERROR(__xludf.DUMMYFUNCTION("REGEXEXTRACT(J7447, ""[A-Za-z ]+$"")")," min")</f>
        <v> min</v>
      </c>
      <c r="AA7447" s="5" t="str">
        <f>IFERROR(__xludf.DUMMYFUNCTION("IF(REGEXMATCH(Z7447, ""Season""), ""TV Show"", ""Movie"")"),"Movie")</f>
        <v>Movie</v>
      </c>
    </row>
    <row r="7448">
      <c r="A7448" s="1" t="s">
        <v>36327</v>
      </c>
      <c r="B7448" s="1" t="s">
        <v>37</v>
      </c>
      <c r="C7448" s="1" t="s">
        <v>36328</v>
      </c>
      <c r="E7448" s="1" t="s">
        <v>36329</v>
      </c>
      <c r="G7448" s="7">
        <v>43221.0</v>
      </c>
      <c r="H7448" s="1">
        <v>2018.0</v>
      </c>
      <c r="I7448" s="1" t="s">
        <v>97</v>
      </c>
      <c r="J7448" s="1" t="s">
        <v>51</v>
      </c>
      <c r="K7448" s="1" t="s">
        <v>402</v>
      </c>
      <c r="L7448" s="1" t="s">
        <v>36330</v>
      </c>
      <c r="M7448" s="2" t="s">
        <v>12</v>
      </c>
      <c r="N7448" s="4">
        <f t="shared" si="1"/>
        <v>43221</v>
      </c>
      <c r="O7448" s="5" t="str">
        <f>IFERROR(__xludf.DUMMYFUNCTION("IF(REGEXMATCH(TRIM(I7448), ""^\d+\s*min""), ""Unclassified"", IF(I7448 = """", ""NR"", I7448))"),"TV-14")</f>
        <v>TV-14</v>
      </c>
      <c r="R7448" s="5" t="str">
        <f t="shared" si="2"/>
        <v>Mere Papa Hero Hiralal</v>
      </c>
      <c r="S7448" s="5" t="str">
        <f>IFERROR(__xludf.DUMMYFUNCTION("""COMPUTED_VALUE"""),"The Lord Of The Rings: The Return Of The King")</f>
        <v>The Lord Of The Rings: The Return Of The King</v>
      </c>
      <c r="V7448" s="5"/>
      <c r="Y7448" s="5" t="str">
        <f>IFERROR(__xludf.DUMMYFUNCTION("REGEXEXTRACT(J7448, ""^\d+"")"),"1")</f>
        <v>1</v>
      </c>
      <c r="Z7448" s="5" t="str">
        <f>IFERROR(__xludf.DUMMYFUNCTION("REGEXEXTRACT(J7448, ""[A-Za-z ]+$"")")," Season")</f>
        <v> Season</v>
      </c>
      <c r="AA7448" s="5" t="str">
        <f>IFERROR(__xludf.DUMMYFUNCTION("IF(REGEXMATCH(Z7448, ""Season""), ""TV Show"", ""Movie"")"),"TV Show")</f>
        <v>TV Show</v>
      </c>
    </row>
    <row r="7449">
      <c r="A7449" s="1" t="s">
        <v>36331</v>
      </c>
      <c r="B7449" s="1" t="s">
        <v>37</v>
      </c>
      <c r="C7449" s="1" t="s">
        <v>36332</v>
      </c>
      <c r="E7449" s="1" t="s">
        <v>36333</v>
      </c>
      <c r="F7449" s="1" t="s">
        <v>784</v>
      </c>
      <c r="G7449" s="1" t="s">
        <v>29051</v>
      </c>
      <c r="H7449" s="1">
        <v>2015.0</v>
      </c>
      <c r="I7449" s="1" t="s">
        <v>42</v>
      </c>
      <c r="J7449" s="1" t="s">
        <v>51</v>
      </c>
      <c r="K7449" s="1" t="s">
        <v>1830</v>
      </c>
      <c r="L7449" s="1" t="s">
        <v>36334</v>
      </c>
      <c r="M7449" s="2" t="s">
        <v>12</v>
      </c>
      <c r="N7449" s="4">
        <f t="shared" si="1"/>
        <v>42705</v>
      </c>
      <c r="O7449" s="5" t="str">
        <f>IFERROR(__xludf.DUMMYFUNCTION("IF(REGEXMATCH(TRIM(I7449), ""^\d+\s*min""), ""Unclassified"", IF(I7449 = """", ""NR"", I7449))"),"TV-MA")</f>
        <v>TV-MA</v>
      </c>
      <c r="R7449" s="5" t="str">
        <f t="shared" si="2"/>
        <v>Merlí</v>
      </c>
      <c r="S7449" s="5" t="str">
        <f>IFERROR(__xludf.DUMMYFUNCTION("""COMPUTED_VALUE"""),"The Lord Of The Rings: The Two Towers")</f>
        <v>The Lord Of The Rings: The Two Towers</v>
      </c>
      <c r="V7449" s="5"/>
      <c r="Y7449" s="5" t="str">
        <f>IFERROR(__xludf.DUMMYFUNCTION("REGEXEXTRACT(J7449, ""^\d+"")"),"1")</f>
        <v>1</v>
      </c>
      <c r="Z7449" s="5" t="str">
        <f>IFERROR(__xludf.DUMMYFUNCTION("REGEXEXTRACT(J7449, ""[A-Za-z ]+$"")")," Season")</f>
        <v> Season</v>
      </c>
      <c r="AA7449" s="5" t="str">
        <f>IFERROR(__xludf.DUMMYFUNCTION("IF(REGEXMATCH(Z7449, ""Season""), ""TV Show"", ""Movie"")"),"TV Show")</f>
        <v>TV Show</v>
      </c>
    </row>
    <row r="7450">
      <c r="A7450" s="1" t="s">
        <v>36335</v>
      </c>
      <c r="B7450" s="1" t="s">
        <v>27</v>
      </c>
      <c r="C7450" s="1" t="s">
        <v>36336</v>
      </c>
      <c r="D7450" s="1" t="s">
        <v>17791</v>
      </c>
      <c r="E7450" s="1" t="s">
        <v>36337</v>
      </c>
      <c r="F7450" s="1" t="s">
        <v>400</v>
      </c>
      <c r="G7450" s="1" t="s">
        <v>19166</v>
      </c>
      <c r="H7450" s="1">
        <v>2018.0</v>
      </c>
      <c r="I7450" s="1" t="s">
        <v>42</v>
      </c>
      <c r="J7450" s="1" t="s">
        <v>256</v>
      </c>
      <c r="K7450" s="1" t="s">
        <v>199</v>
      </c>
      <c r="L7450" s="1" t="s">
        <v>36338</v>
      </c>
      <c r="M7450" s="2" t="s">
        <v>12</v>
      </c>
      <c r="N7450" s="4">
        <f t="shared" si="1"/>
        <v>43729</v>
      </c>
      <c r="O7450" s="5" t="str">
        <f>IFERROR(__xludf.DUMMYFUNCTION("IF(REGEXMATCH(TRIM(I7450), ""^\d+\s*min""), ""Unclassified"", IF(I7450 = """", ""NR"", I7450))"),"TV-MA")</f>
        <v>TV-MA</v>
      </c>
      <c r="R7450" s="5" t="str">
        <f t="shared" si="2"/>
        <v>Merry Men: The Real Yoruba Demons</v>
      </c>
      <c r="S7450" s="5" t="str">
        <f>IFERROR(__xludf.DUMMYFUNCTION("""COMPUTED_VALUE"""),"The Losers")</f>
        <v>The Losers</v>
      </c>
      <c r="V7450" s="5"/>
      <c r="Y7450" s="5" t="str">
        <f>IFERROR(__xludf.DUMMYFUNCTION("REGEXEXTRACT(J7450, ""^\d+"")"),"106")</f>
        <v>106</v>
      </c>
      <c r="Z7450" s="5" t="str">
        <f>IFERROR(__xludf.DUMMYFUNCTION("REGEXEXTRACT(J7450, ""[A-Za-z ]+$"")")," min")</f>
        <v> min</v>
      </c>
      <c r="AA7450" s="5" t="str">
        <f>IFERROR(__xludf.DUMMYFUNCTION("IF(REGEXMATCH(Z7450, ""Season""), ""TV Show"", ""Movie"")"),"Movie")</f>
        <v>Movie</v>
      </c>
    </row>
    <row r="7451">
      <c r="A7451" s="1" t="s">
        <v>36339</v>
      </c>
      <c r="B7451" s="1" t="s">
        <v>37</v>
      </c>
      <c r="C7451" s="1" t="s">
        <v>36340</v>
      </c>
      <c r="F7451" s="1" t="s">
        <v>30</v>
      </c>
      <c r="G7451" s="1" t="s">
        <v>28697</v>
      </c>
      <c r="H7451" s="1">
        <v>2016.0</v>
      </c>
      <c r="I7451" s="1" t="s">
        <v>136</v>
      </c>
      <c r="J7451" s="1" t="s">
        <v>51</v>
      </c>
      <c r="K7451" s="1" t="s">
        <v>4146</v>
      </c>
      <c r="L7451" s="1" t="s">
        <v>36341</v>
      </c>
      <c r="M7451" s="2" t="s">
        <v>12</v>
      </c>
      <c r="N7451" s="4">
        <f t="shared" si="1"/>
        <v>42767</v>
      </c>
      <c r="O7451" s="5" t="str">
        <f>IFERROR(__xludf.DUMMYFUNCTION("IF(REGEXMATCH(TRIM(I7451), ""^\d+\s*min""), ""Unclassified"", IF(I7451 = """", ""NR"", I7451))"),"TV-PG")</f>
        <v>TV-PG</v>
      </c>
      <c r="R7451" s="5" t="str">
        <f t="shared" si="2"/>
        <v>Mexico Diseña</v>
      </c>
      <c r="S7451" s="5" t="str">
        <f>IFERROR(__xludf.DUMMYFUNCTION("""COMPUTED_VALUE"""),"The Lost Brother")</f>
        <v>The Lost Brother</v>
      </c>
      <c r="V7451" s="5"/>
      <c r="Y7451" s="5" t="str">
        <f>IFERROR(__xludf.DUMMYFUNCTION("REGEXEXTRACT(J7451, ""^\d+"")"),"1")</f>
        <v>1</v>
      </c>
      <c r="Z7451" s="5" t="str">
        <f>IFERROR(__xludf.DUMMYFUNCTION("REGEXEXTRACT(J7451, ""[A-Za-z ]+$"")")," Season")</f>
        <v> Season</v>
      </c>
      <c r="AA7451" s="5" t="str">
        <f>IFERROR(__xludf.DUMMYFUNCTION("IF(REGEXMATCH(Z7451, ""Season""), ""TV Show"", ""Movie"")"),"TV Show")</f>
        <v>TV Show</v>
      </c>
    </row>
    <row r="7452">
      <c r="A7452" s="1" t="s">
        <v>36342</v>
      </c>
      <c r="B7452" s="1" t="s">
        <v>27</v>
      </c>
      <c r="C7452" s="1" t="s">
        <v>36343</v>
      </c>
      <c r="D7452" s="1" t="s">
        <v>20422</v>
      </c>
      <c r="E7452" s="1" t="s">
        <v>36344</v>
      </c>
      <c r="F7452" s="1" t="s">
        <v>63</v>
      </c>
      <c r="G7452" s="1" t="s">
        <v>26481</v>
      </c>
      <c r="H7452" s="1">
        <v>2009.0</v>
      </c>
      <c r="I7452" s="1" t="s">
        <v>97</v>
      </c>
      <c r="J7452" s="1" t="s">
        <v>2216</v>
      </c>
      <c r="K7452" s="1" t="s">
        <v>1408</v>
      </c>
      <c r="L7452" s="1" t="s">
        <v>36345</v>
      </c>
      <c r="M7452" s="2" t="s">
        <v>12</v>
      </c>
      <c r="N7452" s="4">
        <f t="shared" si="1"/>
        <v>43101</v>
      </c>
      <c r="O7452" s="5" t="str">
        <f>IFERROR(__xludf.DUMMYFUNCTION("IF(REGEXMATCH(TRIM(I7452), ""^\d+\s*min""), ""Unclassified"", IF(I7452 = """", ""NR"", I7452))"),"TV-14")</f>
        <v>TV-14</v>
      </c>
      <c r="R7452" s="5" t="str">
        <f t="shared" si="2"/>
        <v>Mi Shivajiraje Bhosale Boltoy</v>
      </c>
      <c r="S7452" s="5" t="str">
        <f>IFERROR(__xludf.DUMMYFUNCTION("""COMPUTED_VALUE"""),"The Lost Café")</f>
        <v>The Lost Café</v>
      </c>
      <c r="V7452" s="5"/>
      <c r="Y7452" s="5" t="str">
        <f>IFERROR(__xludf.DUMMYFUNCTION("REGEXEXTRACT(J7452, ""^\d+"")"),"148")</f>
        <v>148</v>
      </c>
      <c r="Z7452" s="5" t="str">
        <f>IFERROR(__xludf.DUMMYFUNCTION("REGEXEXTRACT(J7452, ""[A-Za-z ]+$"")")," min")</f>
        <v> min</v>
      </c>
      <c r="AA7452" s="5" t="str">
        <f>IFERROR(__xludf.DUMMYFUNCTION("IF(REGEXMATCH(Z7452, ""Season""), ""TV Show"", ""Movie"")"),"Movie")</f>
        <v>Movie</v>
      </c>
    </row>
    <row r="7453">
      <c r="A7453" s="1" t="s">
        <v>36346</v>
      </c>
      <c r="B7453" s="1" t="s">
        <v>27</v>
      </c>
      <c r="C7453" s="1" t="s">
        <v>36347</v>
      </c>
      <c r="D7453" s="1" t="s">
        <v>3357</v>
      </c>
      <c r="E7453" s="1" t="s">
        <v>36348</v>
      </c>
      <c r="F7453" s="1" t="s">
        <v>96</v>
      </c>
      <c r="G7453" s="1" t="s">
        <v>19813</v>
      </c>
      <c r="H7453" s="1">
        <v>2015.0</v>
      </c>
      <c r="I7453" s="1" t="s">
        <v>378</v>
      </c>
      <c r="J7453" s="1" t="s">
        <v>305</v>
      </c>
      <c r="K7453" s="1" t="s">
        <v>306</v>
      </c>
      <c r="L7453" s="1" t="s">
        <v>36349</v>
      </c>
      <c r="M7453" s="2" t="s">
        <v>12</v>
      </c>
      <c r="N7453" s="4">
        <f t="shared" si="1"/>
        <v>43678</v>
      </c>
      <c r="O7453" s="5" t="str">
        <f>IFERROR(__xludf.DUMMYFUNCTION("IF(REGEXMATCH(TRIM(I7453), ""^\d+\s*min""), ""Unclassified"", IF(I7453 = """", ""NR"", I7453))"),"R")</f>
        <v>R</v>
      </c>
      <c r="R7453" s="5" t="str">
        <f t="shared" si="2"/>
        <v>Mi-5</v>
      </c>
      <c r="S7453" s="5" t="str">
        <f>IFERROR(__xludf.DUMMYFUNCTION("""COMPUTED_VALUE"""),"The Lost Husband")</f>
        <v>The Lost Husband</v>
      </c>
      <c r="V7453" s="5"/>
      <c r="Y7453" s="5" t="str">
        <f>IFERROR(__xludf.DUMMYFUNCTION("REGEXEXTRACT(J7453, ""^\d+"")"),"105")</f>
        <v>105</v>
      </c>
      <c r="Z7453" s="5" t="str">
        <f>IFERROR(__xludf.DUMMYFUNCTION("REGEXEXTRACT(J7453, ""[A-Za-z ]+$"")")," min")</f>
        <v> min</v>
      </c>
      <c r="AA7453" s="5" t="str">
        <f>IFERROR(__xludf.DUMMYFUNCTION("IF(REGEXMATCH(Z7453, ""Season""), ""TV Show"", ""Movie"")"),"Movie")</f>
        <v>Movie</v>
      </c>
    </row>
    <row r="7454">
      <c r="A7454" s="1" t="s">
        <v>36350</v>
      </c>
      <c r="B7454" s="1" t="s">
        <v>27</v>
      </c>
      <c r="C7454" s="1" t="s">
        <v>36351</v>
      </c>
      <c r="D7454" s="1" t="s">
        <v>21640</v>
      </c>
      <c r="E7454" s="1" t="s">
        <v>36352</v>
      </c>
      <c r="F7454" s="1" t="s">
        <v>36353</v>
      </c>
      <c r="G7454" s="1" t="s">
        <v>33354</v>
      </c>
      <c r="H7454" s="1">
        <v>2016.0</v>
      </c>
      <c r="I7454" s="1" t="s">
        <v>78</v>
      </c>
      <c r="J7454" s="1" t="s">
        <v>665</v>
      </c>
      <c r="K7454" s="1" t="s">
        <v>137</v>
      </c>
      <c r="L7454" s="1" t="s">
        <v>36354</v>
      </c>
      <c r="M7454" s="2" t="s">
        <v>12</v>
      </c>
      <c r="N7454" s="4">
        <f t="shared" si="1"/>
        <v>43527</v>
      </c>
      <c r="O7454" s="5" t="str">
        <f>IFERROR(__xludf.DUMMYFUNCTION("IF(REGEXMATCH(TRIM(I7454), ""^\d+\s*min""), ""Unclassified"", IF(I7454 = """", ""NR"", I7454))"),"PG")</f>
        <v>PG</v>
      </c>
      <c r="R7454" s="5" t="str">
        <f t="shared" si="2"/>
        <v>Middle School: The Worst Years Of My Life</v>
      </c>
      <c r="S7454" s="5" t="str">
        <f>IFERROR(__xludf.DUMMYFUNCTION("""COMPUTED_VALUE"""),"The Lost Okoroshi")</f>
        <v>The Lost Okoroshi</v>
      </c>
      <c r="V7454" s="5"/>
      <c r="Y7454" s="5" t="str">
        <f>IFERROR(__xludf.DUMMYFUNCTION("REGEXEXTRACT(J7454, ""^\d+"")"),"92")</f>
        <v>92</v>
      </c>
      <c r="Z7454" s="5" t="str">
        <f>IFERROR(__xludf.DUMMYFUNCTION("REGEXEXTRACT(J7454, ""[A-Za-z ]+$"")")," min")</f>
        <v> min</v>
      </c>
      <c r="AA7454" s="5" t="str">
        <f>IFERROR(__xludf.DUMMYFUNCTION("IF(REGEXMATCH(Z7454, ""Season""), ""TV Show"", ""Movie"")"),"Movie")</f>
        <v>Movie</v>
      </c>
    </row>
    <row r="7455">
      <c r="A7455" s="1" t="s">
        <v>36355</v>
      </c>
      <c r="B7455" s="1" t="s">
        <v>37</v>
      </c>
      <c r="C7455" s="1" t="s">
        <v>36356</v>
      </c>
      <c r="E7455" s="1" t="s">
        <v>36357</v>
      </c>
      <c r="F7455" s="1" t="s">
        <v>63</v>
      </c>
      <c r="G7455" s="1" t="s">
        <v>21360</v>
      </c>
      <c r="H7455" s="1">
        <v>2018.0</v>
      </c>
      <c r="I7455" s="1" t="s">
        <v>97</v>
      </c>
      <c r="J7455" s="1" t="s">
        <v>51</v>
      </c>
      <c r="K7455" s="1" t="s">
        <v>15002</v>
      </c>
      <c r="L7455" s="1" t="s">
        <v>36358</v>
      </c>
      <c r="M7455" s="2" t="s">
        <v>12</v>
      </c>
      <c r="N7455" s="4">
        <f t="shared" si="1"/>
        <v>43556</v>
      </c>
      <c r="O7455" s="5" t="str">
        <f>IFERROR(__xludf.DUMMYFUNCTION("IF(REGEXMATCH(TRIM(I7455), ""^\d+\s*min""), ""Unclassified"", IF(I7455 = """", ""NR"", I7455))"),"TV-14")</f>
        <v>TV-14</v>
      </c>
      <c r="R7455" s="5" t="str">
        <f t="shared" si="2"/>
        <v>Midnight Misadventures With Mallika Dua</v>
      </c>
      <c r="S7455" s="5" t="str">
        <f>IFERROR(__xludf.DUMMYFUNCTION("""COMPUTED_VALUE"""),"The Lost Pirate Kingdom")</f>
        <v>The Lost Pirate Kingdom</v>
      </c>
      <c r="V7455" s="5"/>
      <c r="Y7455" s="5" t="str">
        <f>IFERROR(__xludf.DUMMYFUNCTION("REGEXEXTRACT(J7455, ""^\d+"")"),"1")</f>
        <v>1</v>
      </c>
      <c r="Z7455" s="5" t="str">
        <f>IFERROR(__xludf.DUMMYFUNCTION("REGEXEXTRACT(J7455, ""[A-Za-z ]+$"")")," Season")</f>
        <v> Season</v>
      </c>
      <c r="AA7455" s="5" t="str">
        <f>IFERROR(__xludf.DUMMYFUNCTION("IF(REGEXMATCH(Z7455, ""Season""), ""TV Show"", ""Movie"")"),"TV Show")</f>
        <v>TV Show</v>
      </c>
    </row>
    <row r="7456">
      <c r="A7456" s="1" t="s">
        <v>36359</v>
      </c>
      <c r="B7456" s="1" t="s">
        <v>27</v>
      </c>
      <c r="C7456" s="1" t="s">
        <v>36360</v>
      </c>
      <c r="D7456" s="1" t="s">
        <v>9820</v>
      </c>
      <c r="E7456" s="1" t="s">
        <v>36361</v>
      </c>
      <c r="F7456" s="1" t="s">
        <v>36362</v>
      </c>
      <c r="G7456" s="1" t="s">
        <v>11691</v>
      </c>
      <c r="H7456" s="1">
        <v>2016.0</v>
      </c>
      <c r="I7456" s="1" t="s">
        <v>32</v>
      </c>
      <c r="J7456" s="1" t="s">
        <v>1243</v>
      </c>
      <c r="K7456" s="1" t="s">
        <v>942</v>
      </c>
      <c r="L7456" s="1" t="s">
        <v>36363</v>
      </c>
      <c r="M7456" s="2" t="s">
        <v>12</v>
      </c>
      <c r="N7456" s="4">
        <f t="shared" si="1"/>
        <v>44081</v>
      </c>
      <c r="O7456" s="5" t="str">
        <f>IFERROR(__xludf.DUMMYFUNCTION("IF(REGEXMATCH(TRIM(I7456), ""^\d+\s*min""), ""Unclassified"", IF(I7456 = """", ""NR"", I7456))"),"PG-13")</f>
        <v>PG-13</v>
      </c>
      <c r="R7456" s="5" t="str">
        <f t="shared" si="2"/>
        <v>Midnight Special</v>
      </c>
      <c r="S7456" s="5" t="str">
        <f>IFERROR(__xludf.DUMMYFUNCTION("""COMPUTED_VALUE"""),"The Loud House Movie")</f>
        <v>The Loud House Movie</v>
      </c>
      <c r="V7456" s="5"/>
      <c r="Y7456" s="5" t="str">
        <f>IFERROR(__xludf.DUMMYFUNCTION("REGEXEXTRACT(J7456, ""^\d+"")"),"112")</f>
        <v>112</v>
      </c>
      <c r="Z7456" s="5" t="str">
        <f>IFERROR(__xludf.DUMMYFUNCTION("REGEXEXTRACT(J7456, ""[A-Za-z ]+$"")")," min")</f>
        <v> min</v>
      </c>
      <c r="AA7456" s="5" t="str">
        <f>IFERROR(__xludf.DUMMYFUNCTION("IF(REGEXMATCH(Z7456, ""Season""), ""TV Show"", ""Movie"")"),"Movie")</f>
        <v>Movie</v>
      </c>
    </row>
    <row r="7457">
      <c r="A7457" s="1" t="s">
        <v>36364</v>
      </c>
      <c r="B7457" s="1" t="s">
        <v>37</v>
      </c>
      <c r="C7457" s="1" t="s">
        <v>36365</v>
      </c>
      <c r="E7457" s="1" t="s">
        <v>36366</v>
      </c>
      <c r="G7457" s="1" t="s">
        <v>31602</v>
      </c>
      <c r="H7457" s="1">
        <v>1996.0</v>
      </c>
      <c r="I7457" s="1" t="s">
        <v>289</v>
      </c>
      <c r="J7457" s="1" t="s">
        <v>51</v>
      </c>
      <c r="K7457" s="1" t="s">
        <v>290</v>
      </c>
      <c r="L7457" s="1" t="s">
        <v>36367</v>
      </c>
      <c r="M7457" s="2" t="s">
        <v>12</v>
      </c>
      <c r="N7457" s="4">
        <f t="shared" si="1"/>
        <v>42370</v>
      </c>
      <c r="O7457" s="5" t="str">
        <f>IFERROR(__xludf.DUMMYFUNCTION("IF(REGEXMATCH(TRIM(I7457), ""^\d+\s*min""), ""Unclassified"", IF(I7457 = """", ""NR"", I7457))"),"TV-Y7")</f>
        <v>TV-Y7</v>
      </c>
      <c r="R7457" s="5" t="str">
        <f t="shared" si="2"/>
        <v>Mighty Morphin Alien Rangers</v>
      </c>
      <c r="S7457" s="5" t="str">
        <f>IFERROR(__xludf.DUMMYFUNCTION("""COMPUTED_VALUE"""),"The Love Affair")</f>
        <v>The Love Affair</v>
      </c>
      <c r="V7457" s="5"/>
      <c r="Y7457" s="5" t="str">
        <f>IFERROR(__xludf.DUMMYFUNCTION("REGEXEXTRACT(J7457, ""^\d+"")"),"1")</f>
        <v>1</v>
      </c>
      <c r="Z7457" s="5" t="str">
        <f>IFERROR(__xludf.DUMMYFUNCTION("REGEXEXTRACT(J7457, ""[A-Za-z ]+$"")")," Season")</f>
        <v> Season</v>
      </c>
      <c r="AA7457" s="5" t="str">
        <f>IFERROR(__xludf.DUMMYFUNCTION("IF(REGEXMATCH(Z7457, ""Season""), ""TV Show"", ""Movie"")"),"TV Show")</f>
        <v>TV Show</v>
      </c>
    </row>
    <row r="7458">
      <c r="A7458" s="1" t="s">
        <v>36368</v>
      </c>
      <c r="B7458" s="1" t="s">
        <v>27</v>
      </c>
      <c r="C7458" s="1" t="s">
        <v>36369</v>
      </c>
      <c r="D7458" s="1" t="s">
        <v>8828</v>
      </c>
      <c r="E7458" s="1" t="s">
        <v>36370</v>
      </c>
      <c r="F7458" s="1" t="s">
        <v>30</v>
      </c>
      <c r="G7458" s="1" t="s">
        <v>36371</v>
      </c>
      <c r="H7458" s="1">
        <v>2008.0</v>
      </c>
      <c r="I7458" s="1" t="s">
        <v>378</v>
      </c>
      <c r="J7458" s="1" t="s">
        <v>757</v>
      </c>
      <c r="K7458" s="1" t="s">
        <v>4730</v>
      </c>
      <c r="L7458" s="1" t="s">
        <v>36372</v>
      </c>
      <c r="M7458" s="2" t="s">
        <v>12</v>
      </c>
      <c r="N7458" s="4">
        <f t="shared" si="1"/>
        <v>42782</v>
      </c>
      <c r="O7458" s="5" t="str">
        <f>IFERROR(__xludf.DUMMYFUNCTION("IF(REGEXMATCH(TRIM(I7458), ""^\d+\s*min""), ""Unclassified"", IF(I7458 = """", ""NR"", I7458))"),"R")</f>
        <v>R</v>
      </c>
      <c r="R7458" s="5" t="str">
        <f t="shared" si="2"/>
        <v>Milk</v>
      </c>
      <c r="S7458" s="5" t="str">
        <f>IFERROR(__xludf.DUMMYFUNCTION("""COMPUTED_VALUE"""),"The Love Guru")</f>
        <v>The Love Guru</v>
      </c>
      <c r="V7458" s="5"/>
      <c r="Y7458" s="5" t="str">
        <f>IFERROR(__xludf.DUMMYFUNCTION("REGEXEXTRACT(J7458, ""^\d+"")"),"128")</f>
        <v>128</v>
      </c>
      <c r="Z7458" s="5" t="str">
        <f>IFERROR(__xludf.DUMMYFUNCTION("REGEXEXTRACT(J7458, ""[A-Za-z ]+$"")")," min")</f>
        <v> min</v>
      </c>
      <c r="AA7458" s="5" t="str">
        <f>IFERROR(__xludf.DUMMYFUNCTION("IF(REGEXMATCH(Z7458, ""Season""), ""TV Show"", ""Movie"")"),"Movie")</f>
        <v>Movie</v>
      </c>
    </row>
    <row r="7459">
      <c r="A7459" s="1" t="s">
        <v>36373</v>
      </c>
      <c r="B7459" s="1" t="s">
        <v>37</v>
      </c>
      <c r="C7459" s="1" t="s">
        <v>36374</v>
      </c>
      <c r="F7459" s="1" t="s">
        <v>664</v>
      </c>
      <c r="G7459" s="1" t="s">
        <v>36375</v>
      </c>
      <c r="H7459" s="1">
        <v>2014.0</v>
      </c>
      <c r="I7459" s="1" t="s">
        <v>506</v>
      </c>
      <c r="J7459" s="1" t="s">
        <v>43</v>
      </c>
      <c r="K7459" s="1" t="s">
        <v>290</v>
      </c>
      <c r="L7459" s="1" t="s">
        <v>36376</v>
      </c>
      <c r="M7459" s="2" t="s">
        <v>12</v>
      </c>
      <c r="N7459" s="1" t="str">
        <f t="shared" si="1"/>
        <v>#N/A</v>
      </c>
      <c r="O7459" s="5" t="str">
        <f>IFERROR(__xludf.DUMMYFUNCTION("IF(REGEXMATCH(TRIM(I7459), ""^\d+\s*min""), ""Unclassified"", IF(I7459 = """", ""NR"", I7459))"),"TV-G")</f>
        <v>TV-G</v>
      </c>
      <c r="R7459" s="5" t="str">
        <f t="shared" si="2"/>
        <v>Mini Wolf</v>
      </c>
      <c r="S7459" s="5" t="str">
        <f>IFERROR(__xludf.DUMMYFUNCTION("""COMPUTED_VALUE"""),"The Lovebirds")</f>
        <v>The Lovebirds</v>
      </c>
      <c r="V7459" s="5"/>
      <c r="Y7459" s="5" t="str">
        <f>IFERROR(__xludf.DUMMYFUNCTION("REGEXEXTRACT(J7459, ""^\d+"")"),"2")</f>
        <v>2</v>
      </c>
      <c r="Z7459" s="5" t="str">
        <f>IFERROR(__xludf.DUMMYFUNCTION("REGEXEXTRACT(J7459, ""[A-Za-z ]+$"")")," Seasons")</f>
        <v> Seasons</v>
      </c>
      <c r="AA7459" s="5" t="str">
        <f>IFERROR(__xludf.DUMMYFUNCTION("IF(REGEXMATCH(Z7459, ""Season""), ""TV Show"", ""Movie"")"),"TV Show")</f>
        <v>TV Show</v>
      </c>
    </row>
    <row r="7460">
      <c r="A7460" s="1" t="s">
        <v>36377</v>
      </c>
      <c r="B7460" s="1" t="s">
        <v>27</v>
      </c>
      <c r="C7460" s="1" t="s">
        <v>36378</v>
      </c>
      <c r="D7460" s="1" t="s">
        <v>2110</v>
      </c>
      <c r="E7460" s="1" t="s">
        <v>36379</v>
      </c>
      <c r="F7460" s="1" t="s">
        <v>63</v>
      </c>
      <c r="G7460" s="1" t="s">
        <v>24964</v>
      </c>
      <c r="H7460" s="1">
        <v>2017.0</v>
      </c>
      <c r="I7460" s="1" t="s">
        <v>97</v>
      </c>
      <c r="J7460" s="1" t="s">
        <v>757</v>
      </c>
      <c r="K7460" s="1" t="s">
        <v>128</v>
      </c>
      <c r="L7460" s="1" t="s">
        <v>36380</v>
      </c>
      <c r="M7460" s="2" t="s">
        <v>12</v>
      </c>
      <c r="N7460" s="4">
        <f t="shared" si="1"/>
        <v>43313</v>
      </c>
      <c r="O7460" s="5" t="str">
        <f>IFERROR(__xludf.DUMMYFUNCTION("IF(REGEXMATCH(TRIM(I7460), ""^\d+\s*min""), ""Unclassified"", IF(I7460 = """", ""NR"", I7460))"),"TV-14")</f>
        <v>TV-14</v>
      </c>
      <c r="R7460" s="5" t="str">
        <f t="shared" si="2"/>
        <v>Minnaminugu The Firefly</v>
      </c>
      <c r="S7460" s="5" t="str">
        <f>IFERROR(__xludf.DUMMYFUNCTION("""COMPUTED_VALUE"""),"The Lovely Bones")</f>
        <v>The Lovely Bones</v>
      </c>
      <c r="V7460" s="5"/>
      <c r="Y7460" s="5" t="str">
        <f>IFERROR(__xludf.DUMMYFUNCTION("REGEXEXTRACT(J7460, ""^\d+"")"),"128")</f>
        <v>128</v>
      </c>
      <c r="Z7460" s="5" t="str">
        <f>IFERROR(__xludf.DUMMYFUNCTION("REGEXEXTRACT(J7460, ""[A-Za-z ]+$"")")," min")</f>
        <v> min</v>
      </c>
      <c r="AA7460" s="5" t="str">
        <f>IFERROR(__xludf.DUMMYFUNCTION("IF(REGEXMATCH(Z7460, ""Season""), ""TV Show"", ""Movie"")"),"Movie")</f>
        <v>Movie</v>
      </c>
    </row>
    <row r="7461">
      <c r="A7461" s="1" t="s">
        <v>36381</v>
      </c>
      <c r="B7461" s="1" t="s">
        <v>37</v>
      </c>
      <c r="C7461" s="1" t="s">
        <v>36382</v>
      </c>
      <c r="E7461" s="1" t="s">
        <v>36383</v>
      </c>
      <c r="F7461" s="1" t="s">
        <v>30</v>
      </c>
      <c r="G7461" s="1" t="s">
        <v>22981</v>
      </c>
      <c r="H7461" s="1">
        <v>2013.0</v>
      </c>
      <c r="I7461" s="1" t="s">
        <v>136</v>
      </c>
      <c r="J7461" s="1" t="s">
        <v>51</v>
      </c>
      <c r="K7461" s="1" t="s">
        <v>440</v>
      </c>
      <c r="L7461" s="1" t="s">
        <v>36384</v>
      </c>
      <c r="M7461" s="2" t="s">
        <v>12</v>
      </c>
      <c r="N7461" s="4">
        <f t="shared" si="1"/>
        <v>43449</v>
      </c>
      <c r="O7461" s="5" t="str">
        <f>IFERROR(__xludf.DUMMYFUNCTION("IF(REGEXMATCH(TRIM(I7461), ""^\d+\s*min""), ""Unclassified"", IF(I7461 = """", ""NR"", I7461))"),"TV-PG")</f>
        <v>TV-PG</v>
      </c>
      <c r="R7461" s="5" t="str">
        <f t="shared" si="2"/>
        <v>Minute To Win It</v>
      </c>
      <c r="S7461" s="5" t="str">
        <f>IFERROR(__xludf.DUMMYFUNCTION("""COMPUTED_VALUE"""),"The Lovers")</f>
        <v>The Lovers</v>
      </c>
      <c r="V7461" s="5"/>
      <c r="Y7461" s="5" t="str">
        <f>IFERROR(__xludf.DUMMYFUNCTION("REGEXEXTRACT(J7461, ""^\d+"")"),"1")</f>
        <v>1</v>
      </c>
      <c r="Z7461" s="5" t="str">
        <f>IFERROR(__xludf.DUMMYFUNCTION("REGEXEXTRACT(J7461, ""[A-Za-z ]+$"")")," Season")</f>
        <v> Season</v>
      </c>
      <c r="AA7461" s="5" t="str">
        <f>IFERROR(__xludf.DUMMYFUNCTION("IF(REGEXMATCH(Z7461, ""Season""), ""TV Show"", ""Movie"")"),"TV Show")</f>
        <v>TV Show</v>
      </c>
    </row>
    <row r="7462">
      <c r="A7462" s="1" t="s">
        <v>36385</v>
      </c>
      <c r="B7462" s="1" t="s">
        <v>27</v>
      </c>
      <c r="C7462" s="1" t="s">
        <v>36386</v>
      </c>
      <c r="D7462" s="1" t="s">
        <v>8273</v>
      </c>
      <c r="E7462" s="1" t="s">
        <v>36387</v>
      </c>
      <c r="F7462" s="1" t="s">
        <v>1979</v>
      </c>
      <c r="G7462" s="1" t="s">
        <v>25390</v>
      </c>
      <c r="H7462" s="1">
        <v>2004.0</v>
      </c>
      <c r="I7462" s="1" t="s">
        <v>78</v>
      </c>
      <c r="J7462" s="1" t="s">
        <v>1383</v>
      </c>
      <c r="K7462" s="1" t="s">
        <v>8533</v>
      </c>
      <c r="L7462" s="1" t="s">
        <v>36388</v>
      </c>
      <c r="M7462" s="2" t="s">
        <v>12</v>
      </c>
      <c r="N7462" s="4">
        <f t="shared" si="1"/>
        <v>43252</v>
      </c>
      <c r="O7462" s="5" t="str">
        <f>IFERROR(__xludf.DUMMYFUNCTION("IF(REGEXMATCH(TRIM(I7462), ""^\d+\s*min""), ""Unclassified"", IF(I7462 = """", ""NR"", I7462))"),"PG")</f>
        <v>PG</v>
      </c>
      <c r="R7462" s="5" t="str">
        <f t="shared" si="2"/>
        <v>Miracle</v>
      </c>
      <c r="S7462" s="5" t="str">
        <f>IFERROR(__xludf.DUMMYFUNCTION("""COMPUTED_VALUE"""),"The Lovers And The Despot")</f>
        <v>The Lovers And The Despot</v>
      </c>
      <c r="V7462" s="5"/>
      <c r="Y7462" s="5" t="str">
        <f>IFERROR(__xludf.DUMMYFUNCTION("REGEXEXTRACT(J7462, ""^\d+"")"),"136")</f>
        <v>136</v>
      </c>
      <c r="Z7462" s="5" t="str">
        <f>IFERROR(__xludf.DUMMYFUNCTION("REGEXEXTRACT(J7462, ""[A-Za-z ]+$"")")," min")</f>
        <v> min</v>
      </c>
      <c r="AA7462" s="5" t="str">
        <f>IFERROR(__xludf.DUMMYFUNCTION("IF(REGEXMATCH(Z7462, ""Season""), ""TV Show"", ""Movie"")"),"Movie")</f>
        <v>Movie</v>
      </c>
    </row>
    <row r="7463">
      <c r="A7463" s="1" t="s">
        <v>36389</v>
      </c>
      <c r="B7463" s="1" t="s">
        <v>27</v>
      </c>
      <c r="C7463" s="1" t="s">
        <v>36390</v>
      </c>
      <c r="D7463" s="1" t="s">
        <v>19573</v>
      </c>
      <c r="E7463" s="1" t="s">
        <v>36391</v>
      </c>
      <c r="F7463" s="1" t="s">
        <v>897</v>
      </c>
      <c r="G7463" s="1" t="s">
        <v>14820</v>
      </c>
      <c r="H7463" s="1">
        <v>2012.0</v>
      </c>
      <c r="I7463" s="1" t="s">
        <v>78</v>
      </c>
      <c r="J7463" s="1" t="s">
        <v>256</v>
      </c>
      <c r="K7463" s="1" t="s">
        <v>137</v>
      </c>
      <c r="L7463" s="1" t="s">
        <v>36392</v>
      </c>
      <c r="M7463" s="2" t="s">
        <v>12</v>
      </c>
      <c r="N7463" s="4">
        <f t="shared" si="1"/>
        <v>43945</v>
      </c>
      <c r="O7463" s="5" t="str">
        <f>IFERROR(__xludf.DUMMYFUNCTION("IF(REGEXMATCH(TRIM(I7463), ""^\d+\s*min""), ""Unclassified"", IF(I7463 = """", ""NR"", I7463))"),"PG")</f>
        <v>PG</v>
      </c>
      <c r="R7463" s="5" t="str">
        <f t="shared" si="2"/>
        <v>Mirror Mirror</v>
      </c>
      <c r="S7463" s="5" t="str">
        <f>IFERROR(__xludf.DUMMYFUNCTION("""COMPUTED_VALUE"""),"The Lynx")</f>
        <v>The Lynx</v>
      </c>
      <c r="V7463" s="5"/>
      <c r="Y7463" s="5" t="str">
        <f>IFERROR(__xludf.DUMMYFUNCTION("REGEXEXTRACT(J7463, ""^\d+"")"),"106")</f>
        <v>106</v>
      </c>
      <c r="Z7463" s="5" t="str">
        <f>IFERROR(__xludf.DUMMYFUNCTION("REGEXEXTRACT(J7463, ""[A-Za-z ]+$"")")," min")</f>
        <v> min</v>
      </c>
      <c r="AA7463" s="5" t="str">
        <f>IFERROR(__xludf.DUMMYFUNCTION("IF(REGEXMATCH(Z7463, ""Season""), ""TV Show"", ""Movie"")"),"Movie")</f>
        <v>Movie</v>
      </c>
    </row>
    <row r="7464">
      <c r="A7464" s="1" t="s">
        <v>36393</v>
      </c>
      <c r="B7464" s="1" t="s">
        <v>27</v>
      </c>
      <c r="C7464" s="1" t="s">
        <v>36394</v>
      </c>
      <c r="D7464" s="1" t="s">
        <v>18740</v>
      </c>
      <c r="E7464" s="1" t="s">
        <v>36395</v>
      </c>
      <c r="F7464" s="1" t="s">
        <v>63</v>
      </c>
      <c r="G7464" s="1" t="s">
        <v>36396</v>
      </c>
      <c r="H7464" s="1">
        <v>2016.0</v>
      </c>
      <c r="I7464" s="1" t="s">
        <v>42</v>
      </c>
      <c r="J7464" s="1" t="s">
        <v>1273</v>
      </c>
      <c r="K7464" s="1" t="s">
        <v>1429</v>
      </c>
      <c r="L7464" s="1" t="s">
        <v>36397</v>
      </c>
      <c r="M7464" s="2" t="s">
        <v>12</v>
      </c>
      <c r="N7464" s="4">
        <f t="shared" si="1"/>
        <v>42786</v>
      </c>
      <c r="O7464" s="5" t="str">
        <f>IFERROR(__xludf.DUMMYFUNCTION("IF(REGEXMATCH(TRIM(I7464), ""^\d+\s*min""), ""Unclassified"", IF(I7464 = """", ""NR"", I7464))"),"TV-MA")</f>
        <v>TV-MA</v>
      </c>
      <c r="R7464" s="5" t="str">
        <f t="shared" si="2"/>
        <v>Mirzya</v>
      </c>
      <c r="S7464" s="5" t="str">
        <f>IFERROR(__xludf.DUMMYFUNCTION("""COMPUTED_VALUE"""),"The Machinist")</f>
        <v>The Machinist</v>
      </c>
      <c r="V7464" s="5"/>
      <c r="Y7464" s="5" t="str">
        <f>IFERROR(__xludf.DUMMYFUNCTION("REGEXEXTRACT(J7464, ""^\d+"")"),"129")</f>
        <v>129</v>
      </c>
      <c r="Z7464" s="5" t="str">
        <f>IFERROR(__xludf.DUMMYFUNCTION("REGEXEXTRACT(J7464, ""[A-Za-z ]+$"")")," min")</f>
        <v> min</v>
      </c>
      <c r="AA7464" s="5" t="str">
        <f>IFERROR(__xludf.DUMMYFUNCTION("IF(REGEXMATCH(Z7464, ""Season""), ""TV Show"", ""Movie"")"),"Movie")</f>
        <v>Movie</v>
      </c>
    </row>
    <row r="7465">
      <c r="A7465" s="1" t="s">
        <v>36398</v>
      </c>
      <c r="B7465" s="1" t="s">
        <v>37</v>
      </c>
      <c r="C7465" s="1" t="s">
        <v>36399</v>
      </c>
      <c r="E7465" s="1" t="s">
        <v>36400</v>
      </c>
      <c r="F7465" s="1" t="s">
        <v>162</v>
      </c>
      <c r="G7465" s="7">
        <v>43225.0</v>
      </c>
      <c r="H7465" s="1">
        <v>2015.0</v>
      </c>
      <c r="I7465" s="1" t="s">
        <v>97</v>
      </c>
      <c r="J7465" s="1" t="s">
        <v>51</v>
      </c>
      <c r="K7465" s="1" t="s">
        <v>785</v>
      </c>
      <c r="L7465" s="1" t="s">
        <v>36401</v>
      </c>
      <c r="M7465" s="2" t="s">
        <v>12</v>
      </c>
      <c r="N7465" s="4">
        <f t="shared" si="1"/>
        <v>43225</v>
      </c>
      <c r="O7465" s="5" t="str">
        <f>IFERROR(__xludf.DUMMYFUNCTION("IF(REGEXMATCH(TRIM(I7465), ""^\d+\s*min""), ""Unclassified"", IF(I7465 = """", ""NR"", I7465))"),"TV-14")</f>
        <v>TV-14</v>
      </c>
      <c r="R7465" s="5" t="str">
        <f t="shared" si="2"/>
        <v>Miss Dynamite</v>
      </c>
      <c r="S7465" s="5" t="str">
        <f>IFERROR(__xludf.DUMMYFUNCTION("""COMPUTED_VALUE"""),"The Mad Monk")</f>
        <v>The Mad Monk</v>
      </c>
      <c r="V7465" s="5"/>
      <c r="Y7465" s="5" t="str">
        <f>IFERROR(__xludf.DUMMYFUNCTION("REGEXEXTRACT(J7465, ""^\d+"")"),"1")</f>
        <v>1</v>
      </c>
      <c r="Z7465" s="5" t="str">
        <f>IFERROR(__xludf.DUMMYFUNCTION("REGEXEXTRACT(J7465, ""[A-Za-z ]+$"")")," Season")</f>
        <v> Season</v>
      </c>
      <c r="AA7465" s="5" t="str">
        <f>IFERROR(__xludf.DUMMYFUNCTION("IF(REGEXMATCH(Z7465, ""Season""), ""TV Show"", ""Movie"")"),"TV Show")</f>
        <v>TV Show</v>
      </c>
    </row>
    <row r="7466">
      <c r="A7466" s="1" t="s">
        <v>36402</v>
      </c>
      <c r="B7466" s="1" t="s">
        <v>27</v>
      </c>
      <c r="C7466" s="1" t="s">
        <v>36403</v>
      </c>
      <c r="D7466" s="1" t="s">
        <v>12615</v>
      </c>
      <c r="E7466" s="1" t="s">
        <v>36404</v>
      </c>
      <c r="F7466" s="1" t="s">
        <v>415</v>
      </c>
      <c r="G7466" s="1" t="s">
        <v>27097</v>
      </c>
      <c r="H7466" s="1">
        <v>2015.0</v>
      </c>
      <c r="I7466" s="1" t="s">
        <v>32</v>
      </c>
      <c r="J7466" s="1" t="s">
        <v>33</v>
      </c>
      <c r="K7466" s="1" t="s">
        <v>36405</v>
      </c>
      <c r="L7466" s="1" t="s">
        <v>36406</v>
      </c>
      <c r="M7466" s="2" t="s">
        <v>12</v>
      </c>
      <c r="N7466" s="4">
        <f t="shared" si="1"/>
        <v>43009</v>
      </c>
      <c r="O7466" s="5" t="str">
        <f>IFERROR(__xludf.DUMMYFUNCTION("IF(REGEXMATCH(TRIM(I7466), ""^\d+\s*min""), ""Unclassified"", IF(I7466 = """", ""NR"", I7466))"),"PG-13")</f>
        <v>PG-13</v>
      </c>
      <c r="R7466" s="5" t="str">
        <f t="shared" si="2"/>
        <v>Miss Hokusai</v>
      </c>
      <c r="S7466" s="5" t="str">
        <f>IFERROR(__xludf.DUMMYFUNCTION("""COMPUTED_VALUE"""),"The Magic Pill")</f>
        <v>The Magic Pill</v>
      </c>
      <c r="V7466" s="5"/>
      <c r="Y7466" s="5" t="str">
        <f>IFERROR(__xludf.DUMMYFUNCTION("REGEXEXTRACT(J7466, ""^\d+"")"),"90")</f>
        <v>90</v>
      </c>
      <c r="Z7466" s="5" t="str">
        <f>IFERROR(__xludf.DUMMYFUNCTION("REGEXEXTRACT(J7466, ""[A-Za-z ]+$"")")," min")</f>
        <v> min</v>
      </c>
      <c r="AA7466" s="5" t="str">
        <f>IFERROR(__xludf.DUMMYFUNCTION("IF(REGEXMATCH(Z7466, ""Season""), ""TV Show"", ""Movie"")"),"Movie")</f>
        <v>Movie</v>
      </c>
    </row>
    <row r="7467">
      <c r="A7467" s="1" t="s">
        <v>36407</v>
      </c>
      <c r="B7467" s="1" t="s">
        <v>27</v>
      </c>
      <c r="C7467" s="1" t="s">
        <v>36408</v>
      </c>
      <c r="D7467" s="1" t="s">
        <v>13868</v>
      </c>
      <c r="E7467" s="1" t="s">
        <v>36409</v>
      </c>
      <c r="F7467" s="1" t="s">
        <v>36410</v>
      </c>
      <c r="G7467" s="1" t="s">
        <v>36411</v>
      </c>
      <c r="H7467" s="1">
        <v>2014.0</v>
      </c>
      <c r="I7467" s="1" t="s">
        <v>32</v>
      </c>
      <c r="J7467" s="1" t="s">
        <v>2281</v>
      </c>
      <c r="K7467" s="1" t="s">
        <v>128</v>
      </c>
      <c r="L7467" s="1" t="s">
        <v>36412</v>
      </c>
      <c r="M7467" s="2" t="s">
        <v>12</v>
      </c>
      <c r="N7467" s="4">
        <f t="shared" si="1"/>
        <v>42249</v>
      </c>
      <c r="O7467" s="5" t="str">
        <f>IFERROR(__xludf.DUMMYFUNCTION("IF(REGEXMATCH(TRIM(I7467), ""^\d+\s*min""), ""Unclassified"", IF(I7467 = """", ""NR"", I7467))"),"PG-13")</f>
        <v>PG-13</v>
      </c>
      <c r="R7467" s="5" t="str">
        <f t="shared" si="2"/>
        <v>Miss Julie</v>
      </c>
      <c r="S7467" s="5" t="str">
        <f>IFERROR(__xludf.DUMMYFUNCTION("""COMPUTED_VALUE"""),"The Magic School Bus")</f>
        <v>The Magic School Bus</v>
      </c>
      <c r="V7467" s="5"/>
      <c r="Y7467" s="5" t="str">
        <f>IFERROR(__xludf.DUMMYFUNCTION("REGEXEXTRACT(J7467, ""^\d+"")"),"130")</f>
        <v>130</v>
      </c>
      <c r="Z7467" s="5" t="str">
        <f>IFERROR(__xludf.DUMMYFUNCTION("REGEXEXTRACT(J7467, ""[A-Za-z ]+$"")")," min")</f>
        <v> min</v>
      </c>
      <c r="AA7467" s="5" t="str">
        <f>IFERROR(__xludf.DUMMYFUNCTION("IF(REGEXMATCH(Z7467, ""Season""), ""TV Show"", ""Movie"")"),"Movie")</f>
        <v>Movie</v>
      </c>
    </row>
    <row r="7468">
      <c r="A7468" s="1" t="s">
        <v>36413</v>
      </c>
      <c r="B7468" s="1" t="s">
        <v>27</v>
      </c>
      <c r="C7468" s="1" t="s">
        <v>36414</v>
      </c>
      <c r="D7468" s="1" t="s">
        <v>12763</v>
      </c>
      <c r="E7468" s="1" t="s">
        <v>36415</v>
      </c>
      <c r="F7468" s="1" t="s">
        <v>30</v>
      </c>
      <c r="G7468" s="1" t="s">
        <v>26581</v>
      </c>
      <c r="H7468" s="1">
        <v>2017.0</v>
      </c>
      <c r="I7468" s="1" t="s">
        <v>97</v>
      </c>
      <c r="J7468" s="1" t="s">
        <v>471</v>
      </c>
      <c r="K7468" s="1" t="s">
        <v>9854</v>
      </c>
      <c r="L7468" s="1" t="s">
        <v>36416</v>
      </c>
      <c r="M7468" s="2" t="s">
        <v>12</v>
      </c>
      <c r="N7468" s="4">
        <f t="shared" si="1"/>
        <v>43088</v>
      </c>
      <c r="O7468" s="5" t="str">
        <f>IFERROR(__xludf.DUMMYFUNCTION("IF(REGEXMATCH(TRIM(I7468), ""^\d+\s*min""), ""Unclassified"", IF(I7468 = """", ""NR"", I7468))"),"TV-14")</f>
        <v>TV-14</v>
      </c>
      <c r="R7468" s="5" t="str">
        <f t="shared" si="2"/>
        <v>Miss Me This Christmas</v>
      </c>
      <c r="S7468" s="5" t="str">
        <f>IFERROR(__xludf.DUMMYFUNCTION("""COMPUTED_VALUE"""),"The Magic School Bus Rides Again")</f>
        <v>The Magic School Bus Rides Again</v>
      </c>
      <c r="V7468" s="5"/>
      <c r="Y7468" s="5" t="str">
        <f>IFERROR(__xludf.DUMMYFUNCTION("REGEXEXTRACT(J7468, ""^\d+"")"),"85")</f>
        <v>85</v>
      </c>
      <c r="Z7468" s="5" t="str">
        <f>IFERROR(__xludf.DUMMYFUNCTION("REGEXEXTRACT(J7468, ""[A-Za-z ]+$"")")," min")</f>
        <v> min</v>
      </c>
      <c r="AA7468" s="5" t="str">
        <f>IFERROR(__xludf.DUMMYFUNCTION("IF(REGEXMATCH(Z7468, ""Season""), ""TV Show"", ""Movie"")"),"Movie")</f>
        <v>Movie</v>
      </c>
    </row>
    <row r="7469">
      <c r="A7469" s="1" t="s">
        <v>36417</v>
      </c>
      <c r="B7469" s="1" t="s">
        <v>27</v>
      </c>
      <c r="C7469" s="1" t="s">
        <v>36418</v>
      </c>
      <c r="D7469" s="1" t="s">
        <v>10752</v>
      </c>
      <c r="F7469" s="1" t="s">
        <v>30</v>
      </c>
      <c r="G7469" s="1" t="s">
        <v>26974</v>
      </c>
      <c r="H7469" s="1">
        <v>2011.0</v>
      </c>
      <c r="I7469" s="1" t="s">
        <v>30231</v>
      </c>
      <c r="J7469" s="1" t="s">
        <v>33</v>
      </c>
      <c r="K7469" s="1" t="s">
        <v>34</v>
      </c>
      <c r="L7469" s="1" t="s">
        <v>36419</v>
      </c>
      <c r="M7469" s="2" t="s">
        <v>12</v>
      </c>
      <c r="N7469" s="4">
        <f t="shared" si="1"/>
        <v>43028</v>
      </c>
      <c r="O7469" s="5" t="str">
        <f>IFERROR(__xludf.DUMMYFUNCTION("IF(REGEXMATCH(TRIM(I7469), ""^\d+\s*min""), ""Unclassified"", IF(I7469 = """", ""NR"", I7469))"),"NR")</f>
        <v>NR</v>
      </c>
      <c r="R7469" s="5" t="str">
        <f t="shared" si="2"/>
        <v>Miss Representation</v>
      </c>
      <c r="S7469" s="5" t="str">
        <f>IFERROR(__xludf.DUMMYFUNCTION("""COMPUTED_VALUE"""),"The Magic School Bus Rides Again In The Zone")</f>
        <v>The Magic School Bus Rides Again In The Zone</v>
      </c>
      <c r="V7469" s="5"/>
      <c r="Y7469" s="5" t="str">
        <f>IFERROR(__xludf.DUMMYFUNCTION("REGEXEXTRACT(J7469, ""^\d+"")"),"90")</f>
        <v>90</v>
      </c>
      <c r="Z7469" s="5" t="str">
        <f>IFERROR(__xludf.DUMMYFUNCTION("REGEXEXTRACT(J7469, ""[A-Za-z ]+$"")")," min")</f>
        <v> min</v>
      </c>
      <c r="AA7469" s="5" t="str">
        <f>IFERROR(__xludf.DUMMYFUNCTION("IF(REGEXMATCH(Z7469, ""Season""), ""TV Show"", ""Movie"")"),"Movie")</f>
        <v>Movie</v>
      </c>
    </row>
    <row r="7470">
      <c r="A7470" s="1" t="s">
        <v>36420</v>
      </c>
      <c r="B7470" s="1" t="s">
        <v>37</v>
      </c>
      <c r="C7470" s="1" t="s">
        <v>36421</v>
      </c>
      <c r="E7470" s="1" t="s">
        <v>36422</v>
      </c>
      <c r="F7470" s="1" t="s">
        <v>2059</v>
      </c>
      <c r="G7470" s="1" t="s">
        <v>29574</v>
      </c>
      <c r="H7470" s="1">
        <v>2015.0</v>
      </c>
      <c r="I7470" s="1" t="s">
        <v>42</v>
      </c>
      <c r="J7470" s="1" t="s">
        <v>51</v>
      </c>
      <c r="K7470" s="1" t="s">
        <v>64</v>
      </c>
      <c r="L7470" s="1" t="s">
        <v>36423</v>
      </c>
      <c r="M7470" s="2" t="s">
        <v>12</v>
      </c>
      <c r="N7470" s="4">
        <f t="shared" si="1"/>
        <v>42583</v>
      </c>
      <c r="O7470" s="5" t="str">
        <f>IFERROR(__xludf.DUMMYFUNCTION("IF(REGEXMATCH(TRIM(I7470), ""^\d+\s*min""), ""Unclassified"", IF(I7470 = """", ""NR"", I7470))"),"TV-MA")</f>
        <v>TV-MA</v>
      </c>
      <c r="R7470" s="5" t="str">
        <f t="shared" si="2"/>
        <v>Miss Rose</v>
      </c>
      <c r="S7470" s="5" t="str">
        <f>IFERROR(__xludf.DUMMYFUNCTION("""COMPUTED_VALUE"""),"The Magic School Bus Rides Again Kids In Space")</f>
        <v>The Magic School Bus Rides Again Kids In Space</v>
      </c>
      <c r="V7470" s="5"/>
      <c r="Y7470" s="5" t="str">
        <f>IFERROR(__xludf.DUMMYFUNCTION("REGEXEXTRACT(J7470, ""^\d+"")"),"1")</f>
        <v>1</v>
      </c>
      <c r="Z7470" s="5" t="str">
        <f>IFERROR(__xludf.DUMMYFUNCTION("REGEXEXTRACT(J7470, ""[A-Za-z ]+$"")")," Season")</f>
        <v> Season</v>
      </c>
      <c r="AA7470" s="5" t="str">
        <f>IFERROR(__xludf.DUMMYFUNCTION("IF(REGEXMATCH(Z7470, ""Season""), ""TV Show"", ""Movie"")"),"TV Show")</f>
        <v>TV Show</v>
      </c>
    </row>
    <row r="7471">
      <c r="A7471" s="1" t="s">
        <v>36424</v>
      </c>
      <c r="B7471" s="1" t="s">
        <v>27</v>
      </c>
      <c r="C7471" s="1" t="s">
        <v>36425</v>
      </c>
      <c r="D7471" s="1" t="s">
        <v>2985</v>
      </c>
      <c r="E7471" s="1" t="s">
        <v>36426</v>
      </c>
      <c r="F7471" s="1" t="s">
        <v>30</v>
      </c>
      <c r="G7471" s="1" t="s">
        <v>28811</v>
      </c>
      <c r="H7471" s="1">
        <v>2015.0</v>
      </c>
      <c r="I7471" s="1" t="s">
        <v>42</v>
      </c>
      <c r="J7471" s="1" t="s">
        <v>170</v>
      </c>
      <c r="K7471" s="1" t="s">
        <v>700</v>
      </c>
      <c r="L7471" s="1" t="s">
        <v>36427</v>
      </c>
      <c r="M7471" s="2" t="s">
        <v>12</v>
      </c>
      <c r="N7471" s="4">
        <f t="shared" si="1"/>
        <v>42742</v>
      </c>
      <c r="O7471" s="5" t="str">
        <f>IFERROR(__xludf.DUMMYFUNCTION("IF(REGEXMATCH(TRIM(I7471), ""^\d+\s*min""), ""Unclassified"", IF(I7471 = """", ""NR"", I7471))"),"TV-MA")</f>
        <v>TV-MA</v>
      </c>
      <c r="R7471" s="5" t="str">
        <f t="shared" si="2"/>
        <v>Miss Sharon Jones!</v>
      </c>
      <c r="S7471" s="5" t="str">
        <f>IFERROR(__xludf.DUMMYFUNCTION("""COMPUTED_VALUE"""),"The Magic School Bus Rides Again The Frizz Connection")</f>
        <v>The Magic School Bus Rides Again The Frizz Connection</v>
      </c>
      <c r="V7471" s="5"/>
      <c r="Y7471" s="5" t="str">
        <f>IFERROR(__xludf.DUMMYFUNCTION("REGEXEXTRACT(J7471, ""^\d+"")"),"94")</f>
        <v>94</v>
      </c>
      <c r="Z7471" s="5" t="str">
        <f>IFERROR(__xludf.DUMMYFUNCTION("REGEXEXTRACT(J7471, ""[A-Za-z ]+$"")")," min")</f>
        <v> min</v>
      </c>
      <c r="AA7471" s="5" t="str">
        <f>IFERROR(__xludf.DUMMYFUNCTION("IF(REGEXMATCH(Z7471, ""Season""), ""TV Show"", ""Movie"")"),"Movie")</f>
        <v>Movie</v>
      </c>
    </row>
    <row r="7472">
      <c r="A7472" s="1" t="s">
        <v>36428</v>
      </c>
      <c r="B7472" s="1" t="s">
        <v>27</v>
      </c>
      <c r="C7472" s="1" t="s">
        <v>36429</v>
      </c>
      <c r="D7472" s="1" t="s">
        <v>12037</v>
      </c>
      <c r="E7472" s="1" t="s">
        <v>36430</v>
      </c>
      <c r="F7472" s="1" t="s">
        <v>30</v>
      </c>
      <c r="G7472" s="1" t="s">
        <v>36431</v>
      </c>
      <c r="H7472" s="1">
        <v>2016.0</v>
      </c>
      <c r="I7472" s="1" t="s">
        <v>30231</v>
      </c>
      <c r="J7472" s="1" t="s">
        <v>1144</v>
      </c>
      <c r="K7472" s="1" t="s">
        <v>1320</v>
      </c>
      <c r="L7472" s="1" t="s">
        <v>36432</v>
      </c>
      <c r="M7472" s="2" t="s">
        <v>12</v>
      </c>
      <c r="N7472" s="4">
        <f t="shared" si="1"/>
        <v>42723</v>
      </c>
      <c r="O7472" s="5" t="str">
        <f>IFERROR(__xludf.DUMMYFUNCTION("IF(REGEXMATCH(TRIM(I7472), ""^\d+\s*min""), ""Unclassified"", IF(I7472 = """", ""NR"", I7472))"),"NR")</f>
        <v>NR</v>
      </c>
      <c r="R7472" s="5" t="str">
        <f t="shared" si="2"/>
        <v>Miss Stevens</v>
      </c>
      <c r="S7472" s="5" t="str">
        <f>IFERROR(__xludf.DUMMYFUNCTION("""COMPUTED_VALUE"""),"The Magicians")</f>
        <v>The Magicians</v>
      </c>
      <c r="V7472" s="5"/>
      <c r="Y7472" s="5" t="str">
        <f>IFERROR(__xludf.DUMMYFUNCTION("REGEXEXTRACT(J7472, ""^\d+"")"),"86")</f>
        <v>86</v>
      </c>
      <c r="Z7472" s="5" t="str">
        <f>IFERROR(__xludf.DUMMYFUNCTION("REGEXEXTRACT(J7472, ""[A-Za-z ]+$"")")," min")</f>
        <v> min</v>
      </c>
      <c r="AA7472" s="5" t="str">
        <f>IFERROR(__xludf.DUMMYFUNCTION("IF(REGEXMATCH(Z7472, ""Season""), ""TV Show"", ""Movie"")"),"Movie")</f>
        <v>Movie</v>
      </c>
    </row>
    <row r="7473">
      <c r="A7473" s="1" t="s">
        <v>36433</v>
      </c>
      <c r="B7473" s="1" t="s">
        <v>27</v>
      </c>
      <c r="C7473" s="1" t="s">
        <v>36434</v>
      </c>
      <c r="D7473" s="1" t="s">
        <v>5899</v>
      </c>
      <c r="F7473" s="1" t="s">
        <v>692</v>
      </c>
      <c r="G7473" s="1" t="s">
        <v>34528</v>
      </c>
      <c r="H7473" s="1">
        <v>2017.0</v>
      </c>
      <c r="I7473" s="1" t="s">
        <v>97</v>
      </c>
      <c r="J7473" s="1" t="s">
        <v>433</v>
      </c>
      <c r="K7473" s="1" t="s">
        <v>34</v>
      </c>
      <c r="L7473" s="1" t="s">
        <v>36435</v>
      </c>
      <c r="M7473" s="2" t="s">
        <v>12</v>
      </c>
      <c r="N7473" s="4">
        <f t="shared" si="1"/>
        <v>42960</v>
      </c>
      <c r="O7473" s="5" t="str">
        <f>IFERROR(__xludf.DUMMYFUNCTION("IF(REGEXMATCH(TRIM(I7473), ""^\d+\s*min""), ""Unclassified"", IF(I7473 = """", ""NR"", I7473))"),"TV-14")</f>
        <v>TV-14</v>
      </c>
      <c r="R7473" s="5" t="str">
        <f t="shared" si="2"/>
        <v>Mission Control: The Unsung Heroes Of Apollo</v>
      </c>
      <c r="S7473" s="5" t="str">
        <f>IFERROR(__xludf.DUMMYFUNCTION("""COMPUTED_VALUE"""),"The Main Event")</f>
        <v>The Main Event</v>
      </c>
      <c r="V7473" s="5"/>
      <c r="Y7473" s="5" t="str">
        <f>IFERROR(__xludf.DUMMYFUNCTION("REGEXEXTRACT(J7473, ""^\d+"")"),"100")</f>
        <v>100</v>
      </c>
      <c r="Z7473" s="5" t="str">
        <f>IFERROR(__xludf.DUMMYFUNCTION("REGEXEXTRACT(J7473, ""[A-Za-z ]+$"")")," min")</f>
        <v> min</v>
      </c>
      <c r="AA7473" s="5" t="str">
        <f>IFERROR(__xludf.DUMMYFUNCTION("IF(REGEXMATCH(Z7473, ""Season""), ""TV Show"", ""Movie"")"),"Movie")</f>
        <v>Movie</v>
      </c>
    </row>
    <row r="7474">
      <c r="A7474" s="1" t="s">
        <v>36436</v>
      </c>
      <c r="B7474" s="1" t="s">
        <v>27</v>
      </c>
      <c r="C7474" s="1" t="s">
        <v>36437</v>
      </c>
      <c r="D7474" s="1" t="s">
        <v>5835</v>
      </c>
      <c r="E7474" s="1" t="s">
        <v>36438</v>
      </c>
      <c r="F7474" s="1" t="s">
        <v>36439</v>
      </c>
      <c r="G7474" s="1" t="s">
        <v>19838</v>
      </c>
      <c r="H7474" s="1">
        <v>2018.0</v>
      </c>
      <c r="I7474" s="1" t="s">
        <v>42</v>
      </c>
      <c r="J7474" s="1" t="s">
        <v>1256</v>
      </c>
      <c r="K7474" s="1" t="s">
        <v>323</v>
      </c>
      <c r="L7474" s="1" t="s">
        <v>36440</v>
      </c>
      <c r="M7474" s="2" t="s">
        <v>12</v>
      </c>
      <c r="N7474" s="4">
        <f t="shared" si="1"/>
        <v>43675</v>
      </c>
      <c r="O7474" s="5" t="str">
        <f>IFERROR(__xludf.DUMMYFUNCTION("IF(REGEXMATCH(TRIM(I7474), ""^\d+\s*min""), ""Unclassified"", IF(I7474 = """", ""NR"", I7474))"),"TV-MA")</f>
        <v>TV-MA</v>
      </c>
      <c r="R7474" s="5" t="str">
        <f t="shared" si="2"/>
        <v>Mission Of Honor</v>
      </c>
      <c r="S7474" s="5" t="str">
        <f>IFERROR(__xludf.DUMMYFUNCTION("""COMPUTED_VALUE"""),"The Making Of Frozen Planet")</f>
        <v>The Making Of Frozen Planet</v>
      </c>
      <c r="V7474" s="5"/>
      <c r="Y7474" s="5" t="str">
        <f>IFERROR(__xludf.DUMMYFUNCTION("REGEXEXTRACT(J7474, ""^\d+"")"),"107")</f>
        <v>107</v>
      </c>
      <c r="Z7474" s="5" t="str">
        <f>IFERROR(__xludf.DUMMYFUNCTION("REGEXEXTRACT(J7474, ""[A-Za-z ]+$"")")," min")</f>
        <v> min</v>
      </c>
      <c r="AA7474" s="5" t="str">
        <f>IFERROR(__xludf.DUMMYFUNCTION("IF(REGEXMATCH(Z7474, ""Season""), ""TV Show"", ""Movie"")"),"Movie")</f>
        <v>Movie</v>
      </c>
    </row>
    <row r="7475">
      <c r="A7475" s="1" t="s">
        <v>36441</v>
      </c>
      <c r="B7475" s="1" t="s">
        <v>27</v>
      </c>
      <c r="C7475" s="1" t="s">
        <v>36442</v>
      </c>
      <c r="D7475" s="1" t="s">
        <v>17366</v>
      </c>
      <c r="E7475" s="1" t="s">
        <v>36443</v>
      </c>
      <c r="F7475" s="1" t="s">
        <v>3321</v>
      </c>
      <c r="G7475" s="1" t="s">
        <v>27516</v>
      </c>
      <c r="H7475" s="1">
        <v>2014.0</v>
      </c>
      <c r="I7475" s="1" t="s">
        <v>136</v>
      </c>
      <c r="J7475" s="1" t="s">
        <v>454</v>
      </c>
      <c r="K7475" s="1" t="s">
        <v>215</v>
      </c>
      <c r="L7475" s="1" t="s">
        <v>36444</v>
      </c>
      <c r="M7475" s="2" t="s">
        <v>12</v>
      </c>
      <c r="N7475" s="4">
        <f t="shared" si="1"/>
        <v>42954</v>
      </c>
      <c r="O7475" s="5" t="str">
        <f>IFERROR(__xludf.DUMMYFUNCTION("IF(REGEXMATCH(TRIM(I7475), ""^\d+\s*min""), ""Unclassified"", IF(I7475 = """", ""NR"", I7475))"),"TV-PG")</f>
        <v>TV-PG</v>
      </c>
      <c r="R7475" s="5" t="str">
        <f t="shared" si="2"/>
        <v>Mission: Destroy Love</v>
      </c>
      <c r="S7475" s="5" t="str">
        <f>IFERROR(__xludf.DUMMYFUNCTION("""COMPUTED_VALUE"""),"The Man Who Feels No Pain")</f>
        <v>The Man Who Feels No Pain</v>
      </c>
      <c r="V7475" s="5"/>
      <c r="Y7475" s="5" t="str">
        <f>IFERROR(__xludf.DUMMYFUNCTION("REGEXEXTRACT(J7475, ""^\d+"")"),"93")</f>
        <v>93</v>
      </c>
      <c r="Z7475" s="5" t="str">
        <f>IFERROR(__xludf.DUMMYFUNCTION("REGEXEXTRACT(J7475, ""[A-Za-z ]+$"")")," min")</f>
        <v> min</v>
      </c>
      <c r="AA7475" s="5" t="str">
        <f>IFERROR(__xludf.DUMMYFUNCTION("IF(REGEXMATCH(Z7475, ""Season""), ""TV Show"", ""Movie"")"),"Movie")</f>
        <v>Movie</v>
      </c>
    </row>
    <row r="7476">
      <c r="A7476" s="1" t="s">
        <v>36445</v>
      </c>
      <c r="B7476" s="1" t="s">
        <v>27</v>
      </c>
      <c r="C7476" s="1" t="s">
        <v>36446</v>
      </c>
      <c r="D7476" s="1" t="s">
        <v>2176</v>
      </c>
      <c r="E7476" s="1" t="s">
        <v>36447</v>
      </c>
      <c r="F7476" s="1" t="s">
        <v>30</v>
      </c>
      <c r="G7476" s="1" t="s">
        <v>30969</v>
      </c>
      <c r="H7476" s="1">
        <v>2015.0</v>
      </c>
      <c r="I7476" s="1" t="s">
        <v>378</v>
      </c>
      <c r="J7476" s="1" t="s">
        <v>1065</v>
      </c>
      <c r="K7476" s="1" t="s">
        <v>1320</v>
      </c>
      <c r="L7476" s="1" t="s">
        <v>36448</v>
      </c>
      <c r="M7476" s="2" t="s">
        <v>12</v>
      </c>
      <c r="N7476" s="4">
        <f t="shared" si="1"/>
        <v>43307</v>
      </c>
      <c r="O7476" s="5" t="str">
        <f>IFERROR(__xludf.DUMMYFUNCTION("IF(REGEXMATCH(TRIM(I7476), ""^\d+\s*min""), ""Unclassified"", IF(I7476 = """", ""NR"", I7476))"),"R")</f>
        <v>R</v>
      </c>
      <c r="R7476" s="5" t="str">
        <f t="shared" si="2"/>
        <v>Mississippi Grind</v>
      </c>
      <c r="S7476" s="5" t="str">
        <f>IFERROR(__xludf.DUMMYFUNCTION("""COMPUTED_VALUE"""),"The Man Who Would Be Polka King")</f>
        <v>The Man Who Would Be Polka King</v>
      </c>
      <c r="V7476" s="5"/>
      <c r="Y7476" s="5" t="str">
        <f>IFERROR(__xludf.DUMMYFUNCTION("REGEXEXTRACT(J7476, ""^\d+"")"),"109")</f>
        <v>109</v>
      </c>
      <c r="Z7476" s="5" t="str">
        <f>IFERROR(__xludf.DUMMYFUNCTION("REGEXEXTRACT(J7476, ""[A-Za-z ]+$"")")," min")</f>
        <v> min</v>
      </c>
      <c r="AA7476" s="5" t="str">
        <f>IFERROR(__xludf.DUMMYFUNCTION("IF(REGEXMATCH(Z7476, ""Season""), ""TV Show"", ""Movie"")"),"Movie")</f>
        <v>Movie</v>
      </c>
    </row>
    <row r="7477">
      <c r="A7477" s="1" t="s">
        <v>36449</v>
      </c>
      <c r="B7477" s="1" t="s">
        <v>27</v>
      </c>
      <c r="C7477" s="1" t="s">
        <v>36450</v>
      </c>
      <c r="D7477" s="1" t="s">
        <v>16403</v>
      </c>
      <c r="E7477" s="1" t="s">
        <v>36451</v>
      </c>
      <c r="F7477" s="1" t="s">
        <v>63</v>
      </c>
      <c r="G7477" s="7">
        <v>42856.0</v>
      </c>
      <c r="H7477" s="1">
        <v>2016.0</v>
      </c>
      <c r="I7477" s="1" t="s">
        <v>42</v>
      </c>
      <c r="J7477" s="1" t="s">
        <v>1065</v>
      </c>
      <c r="K7477" s="1" t="s">
        <v>89</v>
      </c>
      <c r="L7477" s="1" t="s">
        <v>36452</v>
      </c>
      <c r="M7477" s="2" t="s">
        <v>12</v>
      </c>
      <c r="N7477" s="4">
        <f t="shared" si="1"/>
        <v>42856</v>
      </c>
      <c r="O7477" s="5" t="str">
        <f>IFERROR(__xludf.DUMMYFUNCTION("IF(REGEXMATCH(TRIM(I7477), ""^\d+\s*min""), ""Unclassified"", IF(I7477 = """", ""NR"", I7477))"),"TV-MA")</f>
        <v>TV-MA</v>
      </c>
      <c r="R7477" s="5" t="str">
        <f t="shared" si="2"/>
        <v>Moh Maya Money</v>
      </c>
      <c r="S7477" s="5" t="str">
        <f>IFERROR(__xludf.DUMMYFUNCTION("""COMPUTED_VALUE"""),"The Man Without Gravity")</f>
        <v>The Man Without Gravity</v>
      </c>
      <c r="V7477" s="5"/>
      <c r="Y7477" s="5" t="str">
        <f>IFERROR(__xludf.DUMMYFUNCTION("REGEXEXTRACT(J7477, ""^\d+"")"),"109")</f>
        <v>109</v>
      </c>
      <c r="Z7477" s="5" t="str">
        <f>IFERROR(__xludf.DUMMYFUNCTION("REGEXEXTRACT(J7477, ""[A-Za-z ]+$"")")," min")</f>
        <v> min</v>
      </c>
      <c r="AA7477" s="5" t="str">
        <f>IFERROR(__xludf.DUMMYFUNCTION("IF(REGEXMATCH(Z7477, ""Season""), ""TV Show"", ""Movie"")"),"Movie")</f>
        <v>Movie</v>
      </c>
    </row>
    <row r="7478">
      <c r="A7478" s="1" t="s">
        <v>36453</v>
      </c>
      <c r="B7478" s="1" t="s">
        <v>27</v>
      </c>
      <c r="C7478" s="1" t="s">
        <v>36454</v>
      </c>
      <c r="D7478" s="1" t="s">
        <v>22285</v>
      </c>
      <c r="E7478" s="1" t="s">
        <v>36455</v>
      </c>
      <c r="F7478" s="1" t="s">
        <v>30</v>
      </c>
      <c r="G7478" s="1" t="s">
        <v>25236</v>
      </c>
      <c r="H7478" s="1">
        <v>2017.0</v>
      </c>
      <c r="I7478" s="1" t="s">
        <v>42</v>
      </c>
      <c r="J7478" s="1" t="s">
        <v>665</v>
      </c>
      <c r="K7478" s="1" t="s">
        <v>36456</v>
      </c>
      <c r="L7478" s="1" t="s">
        <v>36457</v>
      </c>
      <c r="M7478" s="2" t="s">
        <v>12</v>
      </c>
      <c r="N7478" s="4">
        <f t="shared" si="1"/>
        <v>43281</v>
      </c>
      <c r="O7478" s="5" t="str">
        <f>IFERROR(__xludf.DUMMYFUNCTION("IF(REGEXMATCH(TRIM(I7478), ""^\d+\s*min""), ""Unclassified"", IF(I7478 = """", ""NR"", I7478))"),"TV-MA")</f>
        <v>TV-MA</v>
      </c>
      <c r="R7478" s="5" t="str">
        <f t="shared" si="2"/>
        <v>Mohawk</v>
      </c>
      <c r="S7478" s="5" t="str">
        <f>IFERROR(__xludf.DUMMYFUNCTION("""COMPUTED_VALUE"""),"The Mansion")</f>
        <v>The Mansion</v>
      </c>
      <c r="V7478" s="5"/>
      <c r="Y7478" s="5" t="str">
        <f>IFERROR(__xludf.DUMMYFUNCTION("REGEXEXTRACT(J7478, ""^\d+"")"),"92")</f>
        <v>92</v>
      </c>
      <c r="Z7478" s="5" t="str">
        <f>IFERROR(__xludf.DUMMYFUNCTION("REGEXEXTRACT(J7478, ""[A-Za-z ]+$"")")," min")</f>
        <v> min</v>
      </c>
      <c r="AA7478" s="5" t="str">
        <f>IFERROR(__xludf.DUMMYFUNCTION("IF(REGEXMATCH(Z7478, ""Season""), ""TV Show"", ""Movie"")"),"Movie")</f>
        <v>Movie</v>
      </c>
    </row>
    <row r="7479">
      <c r="A7479" s="1" t="s">
        <v>36458</v>
      </c>
      <c r="B7479" s="1" t="s">
        <v>27</v>
      </c>
      <c r="C7479" s="1" t="s">
        <v>36459</v>
      </c>
      <c r="D7479" s="1" t="s">
        <v>23643</v>
      </c>
      <c r="E7479" s="1" t="s">
        <v>36460</v>
      </c>
      <c r="F7479" s="1" t="s">
        <v>30</v>
      </c>
      <c r="G7479" s="1" t="s">
        <v>30969</v>
      </c>
      <c r="H7479" s="1">
        <v>2015.0</v>
      </c>
      <c r="I7479" s="1" t="s">
        <v>378</v>
      </c>
      <c r="J7479" s="1" t="s">
        <v>454</v>
      </c>
      <c r="K7479" s="1" t="s">
        <v>2327</v>
      </c>
      <c r="L7479" s="1" t="s">
        <v>36461</v>
      </c>
      <c r="M7479" s="2" t="s">
        <v>12</v>
      </c>
      <c r="N7479" s="4">
        <f t="shared" si="1"/>
        <v>43307</v>
      </c>
      <c r="O7479" s="5" t="str">
        <f>IFERROR(__xludf.DUMMYFUNCTION("IF(REGEXMATCH(TRIM(I7479), ""^\d+\s*min""), ""Unclassified"", IF(I7479 = """", ""NR"", I7479))"),"R")</f>
        <v>R</v>
      </c>
      <c r="R7479" s="5" t="str">
        <f t="shared" si="2"/>
        <v>Mojave</v>
      </c>
      <c r="S7479" s="5" t="str">
        <f>IFERROR(__xludf.DUMMYFUNCTION("""COMPUTED_VALUE"""),"The Many Faces Of Ito")</f>
        <v>The Many Faces Of Ito</v>
      </c>
      <c r="V7479" s="5"/>
      <c r="Y7479" s="5" t="str">
        <f>IFERROR(__xludf.DUMMYFUNCTION("REGEXEXTRACT(J7479, ""^\d+"")"),"93")</f>
        <v>93</v>
      </c>
      <c r="Z7479" s="5" t="str">
        <f>IFERROR(__xludf.DUMMYFUNCTION("REGEXEXTRACT(J7479, ""[A-Za-z ]+$"")")," min")</f>
        <v> min</v>
      </c>
      <c r="AA7479" s="5" t="str">
        <f>IFERROR(__xludf.DUMMYFUNCTION("IF(REGEXMATCH(Z7479, ""Season""), ""TV Show"", ""Movie"")"),"Movie")</f>
        <v>Movie</v>
      </c>
    </row>
    <row r="7480">
      <c r="A7480" s="1" t="s">
        <v>36462</v>
      </c>
      <c r="B7480" s="1" t="s">
        <v>27</v>
      </c>
      <c r="C7480" s="1" t="s">
        <v>36463</v>
      </c>
      <c r="D7480" s="1" t="s">
        <v>10013</v>
      </c>
      <c r="E7480" s="1" t="s">
        <v>36464</v>
      </c>
      <c r="F7480" s="1" t="s">
        <v>400</v>
      </c>
      <c r="G7480" s="1" t="s">
        <v>19361</v>
      </c>
      <c r="H7480" s="1">
        <v>2019.0</v>
      </c>
      <c r="I7480" s="1" t="s">
        <v>97</v>
      </c>
      <c r="J7480" s="1" t="s">
        <v>433</v>
      </c>
      <c r="K7480" s="1" t="s">
        <v>128</v>
      </c>
      <c r="L7480" s="1" t="s">
        <v>36465</v>
      </c>
      <c r="M7480" s="2" t="s">
        <v>12</v>
      </c>
      <c r="N7480" s="4">
        <f t="shared" si="1"/>
        <v>43709</v>
      </c>
      <c r="O7480" s="5" t="str">
        <f>IFERROR(__xludf.DUMMYFUNCTION("IF(REGEXMATCH(TRIM(I7480), ""^\d+\s*min""), ""Unclassified"", IF(I7480 = """", ""NR"", I7480))"),"TV-14")</f>
        <v>TV-14</v>
      </c>
      <c r="R7480" s="5" t="str">
        <f t="shared" si="2"/>
        <v>Mokalik (Mechanic)</v>
      </c>
      <c r="S7480" s="5" t="str">
        <f>IFERROR(__xludf.DUMMYFUNCTION("""COMPUTED_VALUE"""),"The Married Couples")</f>
        <v>The Married Couples</v>
      </c>
      <c r="V7480" s="5"/>
      <c r="Y7480" s="5" t="str">
        <f>IFERROR(__xludf.DUMMYFUNCTION("REGEXEXTRACT(J7480, ""^\d+"")"),"100")</f>
        <v>100</v>
      </c>
      <c r="Z7480" s="5" t="str">
        <f>IFERROR(__xludf.DUMMYFUNCTION("REGEXEXTRACT(J7480, ""[A-Za-z ]+$"")")," min")</f>
        <v> min</v>
      </c>
      <c r="AA7480" s="5" t="str">
        <f>IFERROR(__xludf.DUMMYFUNCTION("IF(REGEXMATCH(Z7480, ""Season""), ""TV Show"", ""Movie"")"),"Movie")</f>
        <v>Movie</v>
      </c>
    </row>
    <row r="7481">
      <c r="A7481" s="1" t="s">
        <v>36466</v>
      </c>
      <c r="B7481" s="1" t="s">
        <v>27</v>
      </c>
      <c r="C7481" s="1" t="s">
        <v>36467</v>
      </c>
      <c r="D7481" s="1" t="s">
        <v>139</v>
      </c>
      <c r="E7481" s="1" t="s">
        <v>36468</v>
      </c>
      <c r="F7481" s="1" t="s">
        <v>321</v>
      </c>
      <c r="G7481" s="1" t="s">
        <v>15215</v>
      </c>
      <c r="H7481" s="1">
        <v>2017.0</v>
      </c>
      <c r="I7481" s="1" t="s">
        <v>378</v>
      </c>
      <c r="J7481" s="1" t="s">
        <v>2274</v>
      </c>
      <c r="K7481" s="1" t="s">
        <v>805</v>
      </c>
      <c r="L7481" s="1" t="s">
        <v>36469</v>
      </c>
      <c r="M7481" s="2" t="s">
        <v>12</v>
      </c>
      <c r="N7481" s="4">
        <f t="shared" si="1"/>
        <v>43922</v>
      </c>
      <c r="O7481" s="5" t="str">
        <f>IFERROR(__xludf.DUMMYFUNCTION("IF(REGEXMATCH(TRIM(I7481), ""^\d+\s*min""), ""Unclassified"", IF(I7481 = """", ""NR"", I7481))"),"R")</f>
        <v>R</v>
      </c>
      <c r="R7481" s="5" t="str">
        <f t="shared" si="2"/>
        <v>Molly'S Game</v>
      </c>
      <c r="S7481" s="5" t="str">
        <f>IFERROR(__xludf.DUMMYFUNCTION("""COMPUTED_VALUE"""),"The Mars Generation")</f>
        <v>The Mars Generation</v>
      </c>
      <c r="V7481" s="5"/>
      <c r="Y7481" s="5" t="str">
        <f>IFERROR(__xludf.DUMMYFUNCTION("REGEXEXTRACT(J7481, ""^\d+"")"),"141")</f>
        <v>141</v>
      </c>
      <c r="Z7481" s="5" t="str">
        <f>IFERROR(__xludf.DUMMYFUNCTION("REGEXEXTRACT(J7481, ""[A-Za-z ]+$"")")," min")</f>
        <v> min</v>
      </c>
      <c r="AA7481" s="5" t="str">
        <f>IFERROR(__xludf.DUMMYFUNCTION("IF(REGEXMATCH(Z7481, ""Season""), ""TV Show"", ""Movie"")"),"Movie")</f>
        <v>Movie</v>
      </c>
    </row>
    <row r="7482">
      <c r="A7482" s="1" t="s">
        <v>36470</v>
      </c>
      <c r="B7482" s="1" t="s">
        <v>37</v>
      </c>
      <c r="C7482" s="1" t="s">
        <v>36471</v>
      </c>
      <c r="E7482" s="1" t="s">
        <v>36472</v>
      </c>
      <c r="F7482" s="1" t="s">
        <v>749</v>
      </c>
      <c r="G7482" s="1" t="s">
        <v>27735</v>
      </c>
      <c r="H7482" s="1">
        <v>2014.0</v>
      </c>
      <c r="I7482" s="1" t="s">
        <v>97</v>
      </c>
      <c r="J7482" s="1" t="s">
        <v>51</v>
      </c>
      <c r="K7482" s="1" t="s">
        <v>7164</v>
      </c>
      <c r="L7482" s="1" t="s">
        <v>36473</v>
      </c>
      <c r="M7482" s="2" t="s">
        <v>12</v>
      </c>
      <c r="N7482" s="4">
        <f t="shared" si="1"/>
        <v>42917</v>
      </c>
      <c r="O7482" s="5" t="str">
        <f>IFERROR(__xludf.DUMMYFUNCTION("IF(REGEXMATCH(TRIM(I7482), ""^\d+\s*min""), ""Unclassified"", IF(I7482 = """", ""NR"", I7482))"),"TV-14")</f>
        <v>TV-14</v>
      </c>
      <c r="R7482" s="5" t="str">
        <f t="shared" si="2"/>
        <v>Momo Salon</v>
      </c>
      <c r="S7482" s="5" t="str">
        <f>IFERROR(__xludf.DUMMYFUNCTION("""COMPUTED_VALUE"""),"The Mask Of Zorro")</f>
        <v>The Mask Of Zorro</v>
      </c>
      <c r="V7482" s="5"/>
      <c r="Y7482" s="5" t="str">
        <f>IFERROR(__xludf.DUMMYFUNCTION("REGEXEXTRACT(J7482, ""^\d+"")"),"1")</f>
        <v>1</v>
      </c>
      <c r="Z7482" s="5" t="str">
        <f>IFERROR(__xludf.DUMMYFUNCTION("REGEXEXTRACT(J7482, ""[A-Za-z ]+$"")")," Season")</f>
        <v> Season</v>
      </c>
      <c r="AA7482" s="5" t="str">
        <f>IFERROR(__xludf.DUMMYFUNCTION("IF(REGEXMATCH(Z7482, ""Season""), ""TV Show"", ""Movie"")"),"TV Show")</f>
        <v>TV Show</v>
      </c>
    </row>
    <row r="7483">
      <c r="A7483" s="1" t="s">
        <v>36474</v>
      </c>
      <c r="B7483" s="1" t="s">
        <v>27</v>
      </c>
      <c r="C7483" s="1" t="s">
        <v>36475</v>
      </c>
      <c r="D7483" s="1" t="s">
        <v>16071</v>
      </c>
      <c r="E7483" s="1" t="s">
        <v>36476</v>
      </c>
      <c r="F7483" s="1" t="s">
        <v>30</v>
      </c>
      <c r="G7483" s="1" t="s">
        <v>22635</v>
      </c>
      <c r="H7483" s="1">
        <v>2003.0</v>
      </c>
      <c r="I7483" s="1" t="s">
        <v>32</v>
      </c>
      <c r="J7483" s="1" t="s">
        <v>804</v>
      </c>
      <c r="K7483" s="1" t="s">
        <v>805</v>
      </c>
      <c r="L7483" s="1" t="s">
        <v>36477</v>
      </c>
      <c r="M7483" s="2" t="s">
        <v>12</v>
      </c>
      <c r="N7483" s="4">
        <f t="shared" si="1"/>
        <v>43466</v>
      </c>
      <c r="O7483" s="5" t="str">
        <f>IFERROR(__xludf.DUMMYFUNCTION("IF(REGEXMATCH(TRIM(I7483), ""^\d+\s*min""), ""Unclassified"", IF(I7483 = """", ""NR"", I7483))"),"PG-13")</f>
        <v>PG-13</v>
      </c>
      <c r="R7483" s="5" t="str">
        <f t="shared" si="2"/>
        <v>Mona Lisa Smile</v>
      </c>
      <c r="S7483" s="5" t="str">
        <f>IFERROR(__xludf.DUMMYFUNCTION("""COMPUTED_VALUE"""),"The Massively Mixed-Up Middle School Mystery")</f>
        <v>The Massively Mixed-Up Middle School Mystery</v>
      </c>
      <c r="V7483" s="5"/>
      <c r="Y7483" s="5" t="str">
        <f>IFERROR(__xludf.DUMMYFUNCTION("REGEXEXTRACT(J7483, ""^\d+"")"),"119")</f>
        <v>119</v>
      </c>
      <c r="Z7483" s="5" t="str">
        <f>IFERROR(__xludf.DUMMYFUNCTION("REGEXEXTRACT(J7483, ""[A-Za-z ]+$"")")," min")</f>
        <v> min</v>
      </c>
      <c r="AA7483" s="5" t="str">
        <f>IFERROR(__xludf.DUMMYFUNCTION("IF(REGEXMATCH(Z7483, ""Season""), ""TV Show"", ""Movie"")"),"Movie")</f>
        <v>Movie</v>
      </c>
    </row>
    <row r="7484">
      <c r="A7484" s="1" t="s">
        <v>36478</v>
      </c>
      <c r="B7484" s="1" t="s">
        <v>27</v>
      </c>
      <c r="C7484" s="1" t="s">
        <v>36479</v>
      </c>
      <c r="D7484" s="1" t="s">
        <v>15033</v>
      </c>
      <c r="E7484" s="1" t="s">
        <v>36480</v>
      </c>
      <c r="F7484" s="1" t="s">
        <v>17003</v>
      </c>
      <c r="G7484" s="1" t="s">
        <v>27021</v>
      </c>
      <c r="H7484" s="1">
        <v>2016.0</v>
      </c>
      <c r="I7484" s="1" t="s">
        <v>378</v>
      </c>
      <c r="J7484" s="1" t="s">
        <v>1608</v>
      </c>
      <c r="K7484" s="1" t="s">
        <v>171</v>
      </c>
      <c r="L7484" s="1" t="s">
        <v>36481</v>
      </c>
      <c r="M7484" s="2" t="s">
        <v>12</v>
      </c>
      <c r="N7484" s="4">
        <f t="shared" si="1"/>
        <v>43023</v>
      </c>
      <c r="O7484" s="5" t="str">
        <f>IFERROR(__xludf.DUMMYFUNCTION("IF(REGEXMATCH(TRIM(I7484), ""^\d+\s*min""), ""Unclassified"", IF(I7484 = """", ""NR"", I7484))"),"R")</f>
        <v>R</v>
      </c>
      <c r="R7484" s="5" t="str">
        <f t="shared" si="2"/>
        <v>Money</v>
      </c>
      <c r="S7484" s="5" t="str">
        <f>IFERROR(__xludf.DUMMYFUNCTION("""COMPUTED_VALUE"""),"The Master")</f>
        <v>The Master</v>
      </c>
      <c r="V7484" s="5"/>
      <c r="Y7484" s="5" t="str">
        <f>IFERROR(__xludf.DUMMYFUNCTION("REGEXEXTRACT(J7484, ""^\d+"")"),"84")</f>
        <v>84</v>
      </c>
      <c r="Z7484" s="5" t="str">
        <f>IFERROR(__xludf.DUMMYFUNCTION("REGEXEXTRACT(J7484, ""[A-Za-z ]+$"")")," min")</f>
        <v> min</v>
      </c>
      <c r="AA7484" s="5" t="str">
        <f>IFERROR(__xludf.DUMMYFUNCTION("IF(REGEXMATCH(Z7484, ""Season""), ""TV Show"", ""Movie"")"),"Movie")</f>
        <v>Movie</v>
      </c>
    </row>
    <row r="7485">
      <c r="A7485" s="1" t="s">
        <v>36482</v>
      </c>
      <c r="B7485" s="1" t="s">
        <v>37</v>
      </c>
      <c r="C7485" s="1" t="s">
        <v>36483</v>
      </c>
      <c r="G7485" s="1" t="s">
        <v>19991</v>
      </c>
      <c r="H7485" s="1">
        <v>2015.0</v>
      </c>
      <c r="I7485" s="1" t="s">
        <v>136</v>
      </c>
      <c r="J7485" s="1" t="s">
        <v>51</v>
      </c>
      <c r="K7485" s="1" t="s">
        <v>2382</v>
      </c>
      <c r="L7485" s="1" t="s">
        <v>36484</v>
      </c>
      <c r="M7485" s="2" t="s">
        <v>12</v>
      </c>
      <c r="N7485" s="4">
        <f t="shared" si="1"/>
        <v>43658</v>
      </c>
      <c r="O7485" s="5" t="str">
        <f>IFERROR(__xludf.DUMMYFUNCTION("IF(REGEXMATCH(TRIM(I7485), ""^\d+\s*min""), ""Unclassified"", IF(I7485 = """", ""NR"", I7485))"),"TV-PG")</f>
        <v>TV-PG</v>
      </c>
      <c r="R7485" s="5" t="str">
        <f t="shared" si="2"/>
        <v>Money For Nothing</v>
      </c>
      <c r="S7485" s="5" t="str">
        <f>IFERROR(__xludf.DUMMYFUNCTION("""COMPUTED_VALUE"""),"The Match")</f>
        <v>The Match</v>
      </c>
      <c r="V7485" s="5"/>
      <c r="Y7485" s="5" t="str">
        <f>IFERROR(__xludf.DUMMYFUNCTION("REGEXEXTRACT(J7485, ""^\d+"")"),"1")</f>
        <v>1</v>
      </c>
      <c r="Z7485" s="5" t="str">
        <f>IFERROR(__xludf.DUMMYFUNCTION("REGEXEXTRACT(J7485, ""[A-Za-z ]+$"")")," Season")</f>
        <v> Season</v>
      </c>
      <c r="AA7485" s="5" t="str">
        <f>IFERROR(__xludf.DUMMYFUNCTION("IF(REGEXMATCH(Z7485, ""Season""), ""TV Show"", ""Movie"")"),"TV Show")</f>
        <v>TV Show</v>
      </c>
    </row>
    <row r="7486">
      <c r="A7486" s="1" t="s">
        <v>36485</v>
      </c>
      <c r="B7486" s="1" t="s">
        <v>27</v>
      </c>
      <c r="C7486" s="1" t="s">
        <v>36486</v>
      </c>
      <c r="D7486" s="1" t="s">
        <v>3728</v>
      </c>
      <c r="E7486" s="1" t="s">
        <v>36487</v>
      </c>
      <c r="F7486" s="1" t="s">
        <v>30</v>
      </c>
      <c r="G7486" s="1" t="s">
        <v>18333</v>
      </c>
      <c r="H7486" s="1">
        <v>1997.0</v>
      </c>
      <c r="I7486" s="1" t="s">
        <v>378</v>
      </c>
      <c r="J7486" s="1" t="s">
        <v>322</v>
      </c>
      <c r="K7486" s="1" t="s">
        <v>973</v>
      </c>
      <c r="L7486" s="1" t="s">
        <v>36488</v>
      </c>
      <c r="M7486" s="2" t="s">
        <v>12</v>
      </c>
      <c r="N7486" s="4">
        <f t="shared" si="1"/>
        <v>43770</v>
      </c>
      <c r="O7486" s="5" t="str">
        <f>IFERROR(__xludf.DUMMYFUNCTION("IF(REGEXMATCH(TRIM(I7486), ""^\d+\s*min""), ""Unclassified"", IF(I7486 = """", ""NR"", I7486))"),"R")</f>
        <v>R</v>
      </c>
      <c r="R7486" s="5" t="str">
        <f t="shared" si="2"/>
        <v>Money Talks</v>
      </c>
      <c r="S7486" s="5" t="str">
        <f>IFERROR(__xludf.DUMMYFUNCTION("""COMPUTED_VALUE"""),"The Matrix")</f>
        <v>The Matrix</v>
      </c>
      <c r="V7486" s="5"/>
      <c r="Y7486" s="5" t="str">
        <f>IFERROR(__xludf.DUMMYFUNCTION("REGEXEXTRACT(J7486, ""^\d+"")"),"96")</f>
        <v>96</v>
      </c>
      <c r="Z7486" s="5" t="str">
        <f>IFERROR(__xludf.DUMMYFUNCTION("REGEXEXTRACT(J7486, ""[A-Za-z ]+$"")")," min")</f>
        <v> min</v>
      </c>
      <c r="AA7486" s="5" t="str">
        <f>IFERROR(__xludf.DUMMYFUNCTION("IF(REGEXMATCH(Z7486, ""Season""), ""TV Show"", ""Movie"")"),"Movie")</f>
        <v>Movie</v>
      </c>
    </row>
    <row r="7487">
      <c r="A7487" s="1" t="s">
        <v>36489</v>
      </c>
      <c r="B7487" s="1" t="s">
        <v>37</v>
      </c>
      <c r="C7487" s="1" t="s">
        <v>36490</v>
      </c>
      <c r="E7487" s="1" t="s">
        <v>36491</v>
      </c>
      <c r="F7487" s="1" t="s">
        <v>96</v>
      </c>
      <c r="G7487" s="1" t="s">
        <v>28421</v>
      </c>
      <c r="H7487" s="1">
        <v>2014.0</v>
      </c>
      <c r="I7487" s="1" t="s">
        <v>136</v>
      </c>
      <c r="J7487" s="1" t="s">
        <v>51</v>
      </c>
      <c r="K7487" s="1" t="s">
        <v>29581</v>
      </c>
      <c r="L7487" s="1" t="s">
        <v>36492</v>
      </c>
      <c r="M7487" s="2" t="s">
        <v>12</v>
      </c>
      <c r="N7487" s="4">
        <f t="shared" si="1"/>
        <v>42825</v>
      </c>
      <c r="O7487" s="5" t="str">
        <f>IFERROR(__xludf.DUMMYFUNCTION("IF(REGEXMATCH(TRIM(I7487), ""^\d+\s*min""), ""Unclassified"", IF(I7487 = """", ""NR"", I7487))"),"TV-PG")</f>
        <v>TV-PG</v>
      </c>
      <c r="R7487" s="5" t="str">
        <f t="shared" si="2"/>
        <v>Monkey Planet</v>
      </c>
      <c r="S7487" s="5" t="str">
        <f>IFERROR(__xludf.DUMMYFUNCTION("""COMPUTED_VALUE"""),"The Matrix Reloaded")</f>
        <v>The Matrix Reloaded</v>
      </c>
      <c r="V7487" s="5"/>
      <c r="Y7487" s="5" t="str">
        <f>IFERROR(__xludf.DUMMYFUNCTION("REGEXEXTRACT(J7487, ""^\d+"")"),"1")</f>
        <v>1</v>
      </c>
      <c r="Z7487" s="5" t="str">
        <f>IFERROR(__xludf.DUMMYFUNCTION("REGEXEXTRACT(J7487, ""[A-Za-z ]+$"")")," Season")</f>
        <v> Season</v>
      </c>
      <c r="AA7487" s="5" t="str">
        <f>IFERROR(__xludf.DUMMYFUNCTION("IF(REGEXMATCH(Z7487, ""Season""), ""TV Show"", ""Movie"")"),"TV Show")</f>
        <v>TV Show</v>
      </c>
    </row>
    <row r="7488">
      <c r="A7488" s="1" t="s">
        <v>36493</v>
      </c>
      <c r="B7488" s="1" t="s">
        <v>27</v>
      </c>
      <c r="C7488" s="1" t="s">
        <v>36494</v>
      </c>
      <c r="D7488" s="1" t="s">
        <v>19533</v>
      </c>
      <c r="E7488" s="1" t="s">
        <v>36495</v>
      </c>
      <c r="F7488" s="1" t="s">
        <v>1106</v>
      </c>
      <c r="G7488" s="1" t="s">
        <v>36496</v>
      </c>
      <c r="H7488" s="1">
        <v>2016.0</v>
      </c>
      <c r="I7488" s="1" t="s">
        <v>78</v>
      </c>
      <c r="J7488" s="1" t="s">
        <v>490</v>
      </c>
      <c r="K7488" s="1" t="s">
        <v>137</v>
      </c>
      <c r="L7488" s="1" t="s">
        <v>36497</v>
      </c>
      <c r="M7488" s="2" t="s">
        <v>12</v>
      </c>
      <c r="N7488" s="4">
        <f t="shared" si="1"/>
        <v>42448</v>
      </c>
      <c r="O7488" s="5" t="str">
        <f>IFERROR(__xludf.DUMMYFUNCTION("IF(REGEXMATCH(TRIM(I7488), ""^\d+\s*min""), ""Unclassified"", IF(I7488 = """", ""NR"", I7488))"),"PG")</f>
        <v>PG</v>
      </c>
      <c r="R7488" s="5" t="str">
        <f t="shared" si="2"/>
        <v>Monkey Up</v>
      </c>
      <c r="S7488" s="5" t="str">
        <f>IFERROR(__xludf.DUMMYFUNCTION("""COMPUTED_VALUE"""),"The Matrix Revolutions")</f>
        <v>The Matrix Revolutions</v>
      </c>
      <c r="V7488" s="5"/>
      <c r="Y7488" s="5" t="str">
        <f>IFERROR(__xludf.DUMMYFUNCTION("REGEXEXTRACT(J7488, ""^\d+"")"),"83")</f>
        <v>83</v>
      </c>
      <c r="Z7488" s="5" t="str">
        <f>IFERROR(__xludf.DUMMYFUNCTION("REGEXEXTRACT(J7488, ""[A-Za-z ]+$"")")," min")</f>
        <v> min</v>
      </c>
      <c r="AA7488" s="5" t="str">
        <f>IFERROR(__xludf.DUMMYFUNCTION("IF(REGEXMATCH(Z7488, ""Season""), ""TV Show"", ""Movie"")"),"Movie")</f>
        <v>Movie</v>
      </c>
    </row>
    <row r="7489">
      <c r="A7489" s="1" t="s">
        <v>36498</v>
      </c>
      <c r="B7489" s="1" t="s">
        <v>27</v>
      </c>
      <c r="C7489" s="1" t="s">
        <v>36499</v>
      </c>
      <c r="D7489" s="1" t="s">
        <v>619</v>
      </c>
      <c r="E7489" s="1" t="s">
        <v>36500</v>
      </c>
      <c r="F7489" s="1" t="s">
        <v>3309</v>
      </c>
      <c r="G7489" s="1" t="s">
        <v>20334</v>
      </c>
      <c r="H7489" s="1">
        <v>2017.0</v>
      </c>
      <c r="I7489" s="1" t="s">
        <v>42</v>
      </c>
      <c r="J7489" s="1" t="s">
        <v>743</v>
      </c>
      <c r="K7489" s="1" t="s">
        <v>199</v>
      </c>
      <c r="L7489" s="1" t="s">
        <v>36501</v>
      </c>
      <c r="M7489" s="2" t="s">
        <v>12</v>
      </c>
      <c r="N7489" s="4">
        <f t="shared" si="1"/>
        <v>43631</v>
      </c>
      <c r="O7489" s="5" t="str">
        <f>IFERROR(__xludf.DUMMYFUNCTION("IF(REGEXMATCH(TRIM(I7489), ""^\d+\s*min""), ""Unclassified"", IF(I7489 = """", ""NR"", I7489))"),"TV-MA")</f>
        <v>TV-MA</v>
      </c>
      <c r="R7489" s="5" t="str">
        <f t="shared" si="2"/>
        <v>Monopoly (The Bank Of Luck)</v>
      </c>
      <c r="S7489" s="5" t="str">
        <f>IFERROR(__xludf.DUMMYFUNCTION("""COMPUTED_VALUE"""),"The Maus")</f>
        <v>The Maus</v>
      </c>
      <c r="V7489" s="5"/>
      <c r="Y7489" s="5" t="str">
        <f>IFERROR(__xludf.DUMMYFUNCTION("REGEXEXTRACT(J7489, ""^\d+"")"),"117")</f>
        <v>117</v>
      </c>
      <c r="Z7489" s="5" t="str">
        <f>IFERROR(__xludf.DUMMYFUNCTION("REGEXEXTRACT(J7489, ""[A-Za-z ]+$"")")," min")</f>
        <v> min</v>
      </c>
      <c r="AA7489" s="5" t="str">
        <f>IFERROR(__xludf.DUMMYFUNCTION("IF(REGEXMATCH(Z7489, ""Season""), ""TV Show"", ""Movie"")"),"Movie")</f>
        <v>Movie</v>
      </c>
    </row>
    <row r="7490">
      <c r="A7490" s="1" t="s">
        <v>36502</v>
      </c>
      <c r="B7490" s="1" t="s">
        <v>27</v>
      </c>
      <c r="C7490" s="1" t="s">
        <v>36503</v>
      </c>
      <c r="D7490" s="1" t="s">
        <v>9372</v>
      </c>
      <c r="E7490" s="1" t="s">
        <v>36504</v>
      </c>
      <c r="F7490" s="1" t="s">
        <v>35953</v>
      </c>
      <c r="G7490" s="1" t="s">
        <v>30641</v>
      </c>
      <c r="H7490" s="1">
        <v>2017.0</v>
      </c>
      <c r="I7490" s="1" t="s">
        <v>78</v>
      </c>
      <c r="J7490" s="1" t="s">
        <v>454</v>
      </c>
      <c r="K7490" s="1" t="s">
        <v>80</v>
      </c>
      <c r="L7490" s="1" t="s">
        <v>36505</v>
      </c>
      <c r="M7490" s="2" t="s">
        <v>12</v>
      </c>
      <c r="N7490" s="4">
        <f t="shared" si="1"/>
        <v>43194</v>
      </c>
      <c r="O7490" s="5" t="str">
        <f>IFERROR(__xludf.DUMMYFUNCTION("IF(REGEXMATCH(TRIM(I7490), ""^\d+\s*min""), ""Unclassified"", IF(I7490 = """", ""NR"", I7490))"),"PG")</f>
        <v>PG</v>
      </c>
      <c r="R7490" s="5" t="str">
        <f t="shared" si="2"/>
        <v>Monster Family</v>
      </c>
      <c r="S7490" s="5" t="str">
        <f>IFERROR(__xludf.DUMMYFUNCTION("""COMPUTED_VALUE"""),"The Mayo Clinic")</f>
        <v>The Mayo Clinic</v>
      </c>
      <c r="V7490" s="5"/>
      <c r="Y7490" s="5" t="str">
        <f>IFERROR(__xludf.DUMMYFUNCTION("REGEXEXTRACT(J7490, ""^\d+"")"),"93")</f>
        <v>93</v>
      </c>
      <c r="Z7490" s="5" t="str">
        <f>IFERROR(__xludf.DUMMYFUNCTION("REGEXEXTRACT(J7490, ""[A-Za-z ]+$"")")," min")</f>
        <v> min</v>
      </c>
      <c r="AA7490" s="5" t="str">
        <f>IFERROR(__xludf.DUMMYFUNCTION("IF(REGEXMATCH(Z7490, ""Season""), ""TV Show"", ""Movie"")"),"Movie")</f>
        <v>Movie</v>
      </c>
    </row>
    <row r="7491">
      <c r="A7491" s="1" t="s">
        <v>36506</v>
      </c>
      <c r="B7491" s="1" t="s">
        <v>27</v>
      </c>
      <c r="C7491" s="1" t="s">
        <v>36507</v>
      </c>
      <c r="D7491" s="1" t="s">
        <v>21697</v>
      </c>
      <c r="E7491" s="1" t="s">
        <v>36508</v>
      </c>
      <c r="F7491" s="1" t="s">
        <v>30</v>
      </c>
      <c r="G7491" s="1" t="s">
        <v>26089</v>
      </c>
      <c r="H7491" s="1">
        <v>2013.0</v>
      </c>
      <c r="I7491" s="1" t="s">
        <v>289</v>
      </c>
      <c r="J7491" s="1" t="s">
        <v>5120</v>
      </c>
      <c r="K7491" s="1" t="s">
        <v>80</v>
      </c>
      <c r="L7491" s="1" t="s">
        <v>36509</v>
      </c>
      <c r="M7491" s="2" t="s">
        <v>12</v>
      </c>
      <c r="N7491" s="4">
        <f t="shared" si="1"/>
        <v>43160</v>
      </c>
      <c r="O7491" s="5" t="str">
        <f>IFERROR(__xludf.DUMMYFUNCTION("IF(REGEXMATCH(TRIM(I7491), ""^\d+\s*min""), ""Unclassified"", IF(I7491 = """", ""NR"", I7491))"),"TV-Y7")</f>
        <v>TV-Y7</v>
      </c>
      <c r="R7491" s="5" t="str">
        <f t="shared" si="2"/>
        <v>Monster High 13 Wishes</v>
      </c>
      <c r="S7491" s="5" t="str">
        <f>IFERROR(__xludf.DUMMYFUNCTION("""COMPUTED_VALUE"""),"The Mayor")</f>
        <v>The Mayor</v>
      </c>
      <c r="V7491" s="5"/>
      <c r="Y7491" s="5" t="str">
        <f>IFERROR(__xludf.DUMMYFUNCTION("REGEXEXTRACT(J7491, ""^\d+"")"),"73")</f>
        <v>73</v>
      </c>
      <c r="Z7491" s="5" t="str">
        <f>IFERROR(__xludf.DUMMYFUNCTION("REGEXEXTRACT(J7491, ""[A-Za-z ]+$"")")," min")</f>
        <v> min</v>
      </c>
      <c r="AA7491" s="5" t="str">
        <f>IFERROR(__xludf.DUMMYFUNCTION("IF(REGEXMATCH(Z7491, ""Season""), ""TV Show"", ""Movie"")"),"Movie")</f>
        <v>Movie</v>
      </c>
    </row>
    <row r="7492">
      <c r="A7492" s="1" t="s">
        <v>36510</v>
      </c>
      <c r="B7492" s="1" t="s">
        <v>27</v>
      </c>
      <c r="C7492" s="1" t="s">
        <v>36511</v>
      </c>
      <c r="D7492" s="1" t="s">
        <v>23633</v>
      </c>
      <c r="E7492" s="1" t="s">
        <v>36512</v>
      </c>
      <c r="F7492" s="1" t="s">
        <v>30</v>
      </c>
      <c r="G7492" s="1" t="s">
        <v>36513</v>
      </c>
      <c r="H7492" s="1">
        <v>2015.0</v>
      </c>
      <c r="I7492" s="1" t="s">
        <v>289</v>
      </c>
      <c r="J7492" s="1" t="s">
        <v>4699</v>
      </c>
      <c r="K7492" s="1" t="s">
        <v>920</v>
      </c>
      <c r="L7492" s="1" t="s">
        <v>36514</v>
      </c>
      <c r="M7492" s="2" t="s">
        <v>12</v>
      </c>
      <c r="N7492" s="4">
        <f t="shared" si="1"/>
        <v>42276</v>
      </c>
      <c r="O7492" s="5" t="str">
        <f>IFERROR(__xludf.DUMMYFUNCTION("IF(REGEXMATCH(TRIM(I7492), ""^\d+\s*min""), ""Unclassified"", IF(I7492 = """", ""NR"", I7492))"),"TV-Y7")</f>
        <v>TV-Y7</v>
      </c>
      <c r="R7492" s="5" t="str">
        <f t="shared" si="2"/>
        <v>Monster High: Boo York, Boo York</v>
      </c>
      <c r="S7492" s="5" t="str">
        <f>IFERROR(__xludf.DUMMYFUNCTION("""COMPUTED_VALUE"""),"The Meaning Of Monty Python")</f>
        <v>The Meaning Of Monty Python</v>
      </c>
      <c r="V7492" s="5"/>
      <c r="Y7492" s="5" t="str">
        <f>IFERROR(__xludf.DUMMYFUNCTION("REGEXEXTRACT(J7492, ""^\d+"")"),"72")</f>
        <v>72</v>
      </c>
      <c r="Z7492" s="5" t="str">
        <f>IFERROR(__xludf.DUMMYFUNCTION("REGEXEXTRACT(J7492, ""[A-Za-z ]+$"")")," min")</f>
        <v> min</v>
      </c>
      <c r="AA7492" s="5" t="str">
        <f>IFERROR(__xludf.DUMMYFUNCTION("IF(REGEXMATCH(Z7492, ""Season""), ""TV Show"", ""Movie"")"),"Movie")</f>
        <v>Movie</v>
      </c>
    </row>
    <row r="7493">
      <c r="A7493" s="1" t="s">
        <v>36515</v>
      </c>
      <c r="B7493" s="1" t="s">
        <v>27</v>
      </c>
      <c r="C7493" s="1" t="s">
        <v>36516</v>
      </c>
      <c r="D7493" s="1" t="s">
        <v>21614</v>
      </c>
      <c r="E7493" s="1" t="s">
        <v>36517</v>
      </c>
      <c r="F7493" s="1" t="s">
        <v>30</v>
      </c>
      <c r="G7493" s="1" t="s">
        <v>26481</v>
      </c>
      <c r="H7493" s="1">
        <v>2012.0</v>
      </c>
      <c r="I7493" s="1" t="s">
        <v>289</v>
      </c>
      <c r="J7493" s="1" t="s">
        <v>3060</v>
      </c>
      <c r="K7493" s="1" t="s">
        <v>80</v>
      </c>
      <c r="L7493" s="1" t="s">
        <v>36518</v>
      </c>
      <c r="M7493" s="2" t="s">
        <v>12</v>
      </c>
      <c r="N7493" s="4">
        <f t="shared" si="1"/>
        <v>43101</v>
      </c>
      <c r="O7493" s="5" t="str">
        <f>IFERROR(__xludf.DUMMYFUNCTION("IF(REGEXMATCH(TRIM(I7493), ""^\d+\s*min""), ""Unclassified"", IF(I7493 = """", ""NR"", I7493))"),"TV-Y7")</f>
        <v>TV-Y7</v>
      </c>
      <c r="R7493" s="5" t="str">
        <f t="shared" si="2"/>
        <v>Monster High: Escape From Skull Shores</v>
      </c>
      <c r="S7493" s="5" t="str">
        <f>IFERROR(__xludf.DUMMYFUNCTION("""COMPUTED_VALUE"""),"The Mechanism")</f>
        <v>The Mechanism</v>
      </c>
      <c r="V7493" s="5"/>
      <c r="Y7493" s="5" t="str">
        <f>IFERROR(__xludf.DUMMYFUNCTION("REGEXEXTRACT(J7493, ""^\d+"")"),"46")</f>
        <v>46</v>
      </c>
      <c r="Z7493" s="5" t="str">
        <f>IFERROR(__xludf.DUMMYFUNCTION("REGEXEXTRACT(J7493, ""[A-Za-z ]+$"")")," min")</f>
        <v> min</v>
      </c>
      <c r="AA7493" s="5" t="str">
        <f>IFERROR(__xludf.DUMMYFUNCTION("IF(REGEXMATCH(Z7493, ""Season""), ""TV Show"", ""Movie"")"),"Movie")</f>
        <v>Movie</v>
      </c>
    </row>
    <row r="7494">
      <c r="A7494" s="1" t="s">
        <v>36519</v>
      </c>
      <c r="B7494" s="1" t="s">
        <v>27</v>
      </c>
      <c r="C7494" s="1" t="s">
        <v>36520</v>
      </c>
      <c r="D7494" s="1" t="s">
        <v>23638</v>
      </c>
      <c r="E7494" s="1" t="s">
        <v>36521</v>
      </c>
      <c r="F7494" s="1" t="s">
        <v>30</v>
      </c>
      <c r="G7494" s="1" t="s">
        <v>26311</v>
      </c>
      <c r="H7494" s="1">
        <v>2014.0</v>
      </c>
      <c r="I7494" s="1" t="s">
        <v>289</v>
      </c>
      <c r="J7494" s="1" t="s">
        <v>2699</v>
      </c>
      <c r="K7494" s="1" t="s">
        <v>80</v>
      </c>
      <c r="L7494" s="1" t="s">
        <v>36522</v>
      </c>
      <c r="M7494" s="2" t="s">
        <v>12</v>
      </c>
      <c r="N7494" s="4">
        <f t="shared" si="1"/>
        <v>43130</v>
      </c>
      <c r="O7494" s="5" t="str">
        <f>IFERROR(__xludf.DUMMYFUNCTION("IF(REGEXMATCH(TRIM(I7494), ""^\d+\s*min""), ""Unclassified"", IF(I7494 = """", ""NR"", I7494))"),"TV-Y7")</f>
        <v>TV-Y7</v>
      </c>
      <c r="R7494" s="5" t="str">
        <f t="shared" si="2"/>
        <v>Monster High: Freaky Fusion</v>
      </c>
      <c r="S7494" s="5" t="str">
        <f>IFERROR(__xludf.DUMMYFUNCTION("""COMPUTED_VALUE"""),"The Meddler")</f>
        <v>The Meddler</v>
      </c>
      <c r="V7494" s="5"/>
      <c r="Y7494" s="5" t="str">
        <f>IFERROR(__xludf.DUMMYFUNCTION("REGEXEXTRACT(J7494, ""^\d+"")"),"74")</f>
        <v>74</v>
      </c>
      <c r="Z7494" s="5" t="str">
        <f>IFERROR(__xludf.DUMMYFUNCTION("REGEXEXTRACT(J7494, ""[A-Za-z ]+$"")")," min")</f>
        <v> min</v>
      </c>
      <c r="AA7494" s="5" t="str">
        <f>IFERROR(__xludf.DUMMYFUNCTION("IF(REGEXMATCH(Z7494, ""Season""), ""TV Show"", ""Movie"")"),"Movie")</f>
        <v>Movie</v>
      </c>
    </row>
    <row r="7495">
      <c r="A7495" s="1" t="s">
        <v>36523</v>
      </c>
      <c r="B7495" s="1" t="s">
        <v>27</v>
      </c>
      <c r="C7495" s="1" t="s">
        <v>36524</v>
      </c>
      <c r="D7495" s="1" t="s">
        <v>36525</v>
      </c>
      <c r="E7495" s="1" t="s">
        <v>36526</v>
      </c>
      <c r="F7495" s="1" t="s">
        <v>30</v>
      </c>
      <c r="G7495" s="1" t="s">
        <v>26481</v>
      </c>
      <c r="H7495" s="1">
        <v>2013.0</v>
      </c>
      <c r="I7495" s="1" t="s">
        <v>289</v>
      </c>
      <c r="J7495" s="1" t="s">
        <v>3060</v>
      </c>
      <c r="K7495" s="1" t="s">
        <v>80</v>
      </c>
      <c r="L7495" s="1" t="s">
        <v>36527</v>
      </c>
      <c r="M7495" s="2" t="s">
        <v>12</v>
      </c>
      <c r="N7495" s="4">
        <f t="shared" si="1"/>
        <v>43101</v>
      </c>
      <c r="O7495" s="5" t="str">
        <f>IFERROR(__xludf.DUMMYFUNCTION("IF(REGEXMATCH(TRIM(I7495), ""^\d+\s*min""), ""Unclassified"", IF(I7495 = """", ""NR"", I7495))"),"TV-Y7")</f>
        <v>TV-Y7</v>
      </c>
      <c r="R7495" s="5" t="str">
        <f t="shared" si="2"/>
        <v>Monster High: Friday Night Frights</v>
      </c>
      <c r="S7495" s="5" t="str">
        <f>IFERROR(__xludf.DUMMYFUNCTION("""COMPUTED_VALUE"""),"The Memory Of Water")</f>
        <v>The Memory Of Water</v>
      </c>
      <c r="V7495" s="5"/>
      <c r="Y7495" s="5" t="str">
        <f>IFERROR(__xludf.DUMMYFUNCTION("REGEXEXTRACT(J7495, ""^\d+"")"),"46")</f>
        <v>46</v>
      </c>
      <c r="Z7495" s="5" t="str">
        <f>IFERROR(__xludf.DUMMYFUNCTION("REGEXEXTRACT(J7495, ""[A-Za-z ]+$"")")," min")</f>
        <v> min</v>
      </c>
      <c r="AA7495" s="5" t="str">
        <f>IFERROR(__xludf.DUMMYFUNCTION("IF(REGEXMATCH(Z7495, ""Season""), ""TV Show"", ""Movie"")"),"Movie")</f>
        <v>Movie</v>
      </c>
    </row>
    <row r="7496">
      <c r="A7496" s="1" t="s">
        <v>36528</v>
      </c>
      <c r="B7496" s="1" t="s">
        <v>27</v>
      </c>
      <c r="C7496" s="1" t="s">
        <v>36529</v>
      </c>
      <c r="D7496" s="1" t="s">
        <v>23202</v>
      </c>
      <c r="E7496" s="1" t="s">
        <v>36530</v>
      </c>
      <c r="F7496" s="1" t="s">
        <v>30</v>
      </c>
      <c r="G7496" s="1" t="s">
        <v>26481</v>
      </c>
      <c r="H7496" s="1">
        <v>2011.0</v>
      </c>
      <c r="I7496" s="1" t="s">
        <v>289</v>
      </c>
      <c r="J7496" s="1" t="s">
        <v>3060</v>
      </c>
      <c r="K7496" s="1" t="s">
        <v>80</v>
      </c>
      <c r="L7496" s="1" t="s">
        <v>36531</v>
      </c>
      <c r="M7496" s="2" t="s">
        <v>12</v>
      </c>
      <c r="N7496" s="4">
        <f t="shared" si="1"/>
        <v>43101</v>
      </c>
      <c r="O7496" s="5" t="str">
        <f>IFERROR(__xludf.DUMMYFUNCTION("IF(REGEXMATCH(TRIM(I7496), ""^\d+\s*min""), ""Unclassified"", IF(I7496 = """", ""NR"", I7496))"),"TV-Y7")</f>
        <v>TV-Y7</v>
      </c>
      <c r="R7496" s="5" t="str">
        <f t="shared" si="2"/>
        <v>Monster High: Fright On!</v>
      </c>
      <c r="S7496" s="5" t="str">
        <f>IFERROR(__xludf.DUMMYFUNCTION("""COMPUTED_VALUE"""),"The Memphis Belle: A Story Of Aflying Fortress")</f>
        <v>The Memphis Belle: A Story Of Aflying Fortress</v>
      </c>
      <c r="V7496" s="5"/>
      <c r="Y7496" s="5" t="str">
        <f>IFERROR(__xludf.DUMMYFUNCTION("REGEXEXTRACT(J7496, ""^\d+"")"),"46")</f>
        <v>46</v>
      </c>
      <c r="Z7496" s="5" t="str">
        <f>IFERROR(__xludf.DUMMYFUNCTION("REGEXEXTRACT(J7496, ""[A-Za-z ]+$"")")," min")</f>
        <v> min</v>
      </c>
      <c r="AA7496" s="5" t="str">
        <f>IFERROR(__xludf.DUMMYFUNCTION("IF(REGEXMATCH(Z7496, ""Season""), ""TV Show"", ""Movie"")"),"Movie")</f>
        <v>Movie</v>
      </c>
    </row>
    <row r="7497">
      <c r="A7497" s="1" t="s">
        <v>36532</v>
      </c>
      <c r="B7497" s="1" t="s">
        <v>27</v>
      </c>
      <c r="C7497" s="1" t="s">
        <v>36533</v>
      </c>
      <c r="D7497" s="1" t="s">
        <v>23633</v>
      </c>
      <c r="E7497" s="1" t="s">
        <v>36534</v>
      </c>
      <c r="F7497" s="1" t="s">
        <v>30</v>
      </c>
      <c r="G7497" s="1" t="s">
        <v>26481</v>
      </c>
      <c r="H7497" s="1">
        <v>2014.0</v>
      </c>
      <c r="I7497" s="1" t="s">
        <v>289</v>
      </c>
      <c r="J7497" s="1" t="s">
        <v>2699</v>
      </c>
      <c r="K7497" s="1" t="s">
        <v>80</v>
      </c>
      <c r="L7497" s="1" t="s">
        <v>36535</v>
      </c>
      <c r="M7497" s="2" t="s">
        <v>12</v>
      </c>
      <c r="N7497" s="4">
        <f t="shared" si="1"/>
        <v>43101</v>
      </c>
      <c r="O7497" s="5" t="str">
        <f>IFERROR(__xludf.DUMMYFUNCTION("IF(REGEXMATCH(TRIM(I7497), ""^\d+\s*min""), ""Unclassified"", IF(I7497 = """", ""NR"", I7497))"),"TV-Y7")</f>
        <v>TV-Y7</v>
      </c>
      <c r="R7497" s="5" t="str">
        <f t="shared" si="2"/>
        <v>Monster High: Frights, Camera, Action!</v>
      </c>
      <c r="S7497" s="5" t="str">
        <f>IFERROR(__xludf.DUMMYFUNCTION("""COMPUTED_VALUE"""),"The Men Who Stare At Goats")</f>
        <v>The Men Who Stare At Goats</v>
      </c>
      <c r="V7497" s="5"/>
      <c r="Y7497" s="5" t="str">
        <f>IFERROR(__xludf.DUMMYFUNCTION("REGEXEXTRACT(J7497, ""^\d+"")"),"74")</f>
        <v>74</v>
      </c>
      <c r="Z7497" s="5" t="str">
        <f>IFERROR(__xludf.DUMMYFUNCTION("REGEXEXTRACT(J7497, ""[A-Za-z ]+$"")")," min")</f>
        <v> min</v>
      </c>
      <c r="AA7497" s="5" t="str">
        <f>IFERROR(__xludf.DUMMYFUNCTION("IF(REGEXMATCH(Z7497, ""Season""), ""TV Show"", ""Movie"")"),"Movie")</f>
        <v>Movie</v>
      </c>
    </row>
    <row r="7498">
      <c r="A7498" s="1" t="s">
        <v>36536</v>
      </c>
      <c r="B7498" s="1" t="s">
        <v>27</v>
      </c>
      <c r="C7498" s="1" t="s">
        <v>36537</v>
      </c>
      <c r="D7498" s="1" t="s">
        <v>16031</v>
      </c>
      <c r="E7498" s="1" t="s">
        <v>36538</v>
      </c>
      <c r="F7498" s="1" t="s">
        <v>30</v>
      </c>
      <c r="G7498" s="1" t="s">
        <v>26089</v>
      </c>
      <c r="H7498" s="1">
        <v>2012.0</v>
      </c>
      <c r="I7498" s="1" t="s">
        <v>289</v>
      </c>
      <c r="J7498" s="1" t="s">
        <v>5650</v>
      </c>
      <c r="K7498" s="1" t="s">
        <v>80</v>
      </c>
      <c r="L7498" s="1" t="s">
        <v>36539</v>
      </c>
      <c r="M7498" s="2" t="s">
        <v>12</v>
      </c>
      <c r="N7498" s="4">
        <f t="shared" si="1"/>
        <v>43160</v>
      </c>
      <c r="O7498" s="5" t="str">
        <f>IFERROR(__xludf.DUMMYFUNCTION("IF(REGEXMATCH(TRIM(I7498), ""^\d+\s*min""), ""Unclassified"", IF(I7498 = """", ""NR"", I7498))"),"TV-Y7")</f>
        <v>TV-Y7</v>
      </c>
      <c r="R7498" s="5" t="str">
        <f t="shared" si="2"/>
        <v>Monster High: Ghouls Rule</v>
      </c>
      <c r="S7498" s="5" t="str">
        <f>IFERROR(__xludf.DUMMYFUNCTION("""COMPUTED_VALUE"""),"The Mess You Leave Behind")</f>
        <v>The Mess You Leave Behind</v>
      </c>
      <c r="V7498" s="5"/>
      <c r="Y7498" s="5" t="str">
        <f>IFERROR(__xludf.DUMMYFUNCTION("REGEXEXTRACT(J7498, ""^\d+"")"),"71")</f>
        <v>71</v>
      </c>
      <c r="Z7498" s="5" t="str">
        <f>IFERROR(__xludf.DUMMYFUNCTION("REGEXEXTRACT(J7498, ""[A-Za-z ]+$"")")," min")</f>
        <v> min</v>
      </c>
      <c r="AA7498" s="5" t="str">
        <f>IFERROR(__xludf.DUMMYFUNCTION("IF(REGEXMATCH(Z7498, ""Season""), ""TV Show"", ""Movie"")"),"Movie")</f>
        <v>Movie</v>
      </c>
    </row>
    <row r="7499">
      <c r="A7499" s="1" t="s">
        <v>36540</v>
      </c>
      <c r="B7499" s="1" t="s">
        <v>27</v>
      </c>
      <c r="C7499" s="1" t="s">
        <v>36541</v>
      </c>
      <c r="D7499" s="1" t="s">
        <v>23633</v>
      </c>
      <c r="E7499" s="1" t="s">
        <v>36542</v>
      </c>
      <c r="F7499" s="1" t="s">
        <v>30</v>
      </c>
      <c r="G7499" s="1" t="s">
        <v>27097</v>
      </c>
      <c r="H7499" s="1">
        <v>2016.0</v>
      </c>
      <c r="I7499" s="1" t="s">
        <v>289</v>
      </c>
      <c r="J7499" s="1" t="s">
        <v>4699</v>
      </c>
      <c r="K7499" s="1" t="s">
        <v>80</v>
      </c>
      <c r="L7499" s="1" t="s">
        <v>36543</v>
      </c>
      <c r="M7499" s="2" t="s">
        <v>12</v>
      </c>
      <c r="N7499" s="4">
        <f t="shared" si="1"/>
        <v>43009</v>
      </c>
      <c r="O7499" s="5" t="str">
        <f>IFERROR(__xludf.DUMMYFUNCTION("IF(REGEXMATCH(TRIM(I7499), ""^\d+\s*min""), ""Unclassified"", IF(I7499 = """", ""NR"", I7499))"),"TV-Y7")</f>
        <v>TV-Y7</v>
      </c>
      <c r="R7499" s="5" t="str">
        <f t="shared" si="2"/>
        <v>Monster High: Great Scarrier Reef</v>
      </c>
      <c r="S7499" s="5" t="str">
        <f>IFERROR(__xludf.DUMMYFUNCTION("""COMPUTED_VALUE"""),"The Messengers")</f>
        <v>The Messengers</v>
      </c>
      <c r="V7499" s="5"/>
      <c r="Y7499" s="5" t="str">
        <f>IFERROR(__xludf.DUMMYFUNCTION("REGEXEXTRACT(J7499, ""^\d+"")"),"72")</f>
        <v>72</v>
      </c>
      <c r="Z7499" s="5" t="str">
        <f>IFERROR(__xludf.DUMMYFUNCTION("REGEXEXTRACT(J7499, ""[A-Za-z ]+$"")")," min")</f>
        <v> min</v>
      </c>
      <c r="AA7499" s="5" t="str">
        <f>IFERROR(__xludf.DUMMYFUNCTION("IF(REGEXMATCH(Z7499, ""Season""), ""TV Show"", ""Movie"")"),"Movie")</f>
        <v>Movie</v>
      </c>
    </row>
    <row r="7500">
      <c r="A7500" s="1" t="s">
        <v>36544</v>
      </c>
      <c r="B7500" s="1" t="s">
        <v>27</v>
      </c>
      <c r="C7500" s="1" t="s">
        <v>36545</v>
      </c>
      <c r="D7500" s="1" t="s">
        <v>5409</v>
      </c>
      <c r="F7500" s="1" t="s">
        <v>30</v>
      </c>
      <c r="G7500" s="1" t="s">
        <v>36546</v>
      </c>
      <c r="H7500" s="1">
        <v>2015.0</v>
      </c>
      <c r="I7500" s="1" t="s">
        <v>289</v>
      </c>
      <c r="J7500" s="1" t="s">
        <v>1171</v>
      </c>
      <c r="K7500" s="1" t="s">
        <v>80</v>
      </c>
      <c r="L7500" s="1" t="s">
        <v>36547</v>
      </c>
      <c r="M7500" s="2" t="s">
        <v>12</v>
      </c>
      <c r="N7500" s="4">
        <f t="shared" si="1"/>
        <v>43183</v>
      </c>
      <c r="O7500" s="5" t="str">
        <f>IFERROR(__xludf.DUMMYFUNCTION("IF(REGEXMATCH(TRIM(I7500), ""^\d+\s*min""), ""Unclassified"", IF(I7500 = """", ""NR"", I7500))"),"TV-Y7")</f>
        <v>TV-Y7</v>
      </c>
      <c r="R7500" s="5" t="str">
        <f t="shared" si="2"/>
        <v>Monster High: Haunted</v>
      </c>
      <c r="S7500" s="5" t="str">
        <f>IFERROR(__xludf.DUMMYFUNCTION("""COMPUTED_VALUE"""),"The Method")</f>
        <v>The Method</v>
      </c>
      <c r="V7500" s="5"/>
      <c r="Y7500" s="5" t="str">
        <f>IFERROR(__xludf.DUMMYFUNCTION("REGEXEXTRACT(J7500, ""^\d+"")"),"76")</f>
        <v>76</v>
      </c>
      <c r="Z7500" s="5" t="str">
        <f>IFERROR(__xludf.DUMMYFUNCTION("REGEXEXTRACT(J7500, ""[A-Za-z ]+$"")")," min")</f>
        <v> min</v>
      </c>
      <c r="AA7500" s="5" t="str">
        <f>IFERROR(__xludf.DUMMYFUNCTION("IF(REGEXMATCH(Z7500, ""Season""), ""TV Show"", ""Movie"")"),"Movie")</f>
        <v>Movie</v>
      </c>
    </row>
    <row r="7501">
      <c r="A7501" s="1" t="s">
        <v>36548</v>
      </c>
      <c r="B7501" s="1" t="s">
        <v>27</v>
      </c>
      <c r="C7501" s="1" t="s">
        <v>36549</v>
      </c>
      <c r="D7501" s="1" t="s">
        <v>2741</v>
      </c>
      <c r="E7501" s="1" t="s">
        <v>36550</v>
      </c>
      <c r="F7501" s="1" t="s">
        <v>30</v>
      </c>
      <c r="G7501" s="1" t="s">
        <v>27097</v>
      </c>
      <c r="H7501" s="1">
        <v>2010.0</v>
      </c>
      <c r="I7501" s="1" t="s">
        <v>289</v>
      </c>
      <c r="J7501" s="1" t="s">
        <v>370</v>
      </c>
      <c r="K7501" s="1" t="s">
        <v>80</v>
      </c>
      <c r="L7501" s="1" t="s">
        <v>36551</v>
      </c>
      <c r="M7501" s="2" t="s">
        <v>12</v>
      </c>
      <c r="N7501" s="4">
        <f t="shared" si="1"/>
        <v>43009</v>
      </c>
      <c r="O7501" s="5" t="str">
        <f>IFERROR(__xludf.DUMMYFUNCTION("IF(REGEXMATCH(TRIM(I7501), ""^\d+\s*min""), ""Unclassified"", IF(I7501 = """", ""NR"", I7501))"),"TV-Y7")</f>
        <v>TV-Y7</v>
      </c>
      <c r="R7501" s="5" t="str">
        <f t="shared" si="2"/>
        <v>Monster High: New Ghoul At School</v>
      </c>
      <c r="S7501" s="5" t="str">
        <f>IFERROR(__xludf.DUMMYFUNCTION("""COMPUTED_VALUE"""),"The Meyerowitz Stories (New And Selected)")</f>
        <v>The Meyerowitz Stories (New And Selected)</v>
      </c>
      <c r="V7501" s="5"/>
      <c r="Y7501" s="5" t="str">
        <f>IFERROR(__xludf.DUMMYFUNCTION("REGEXEXTRACT(J7501, ""^\d+"")"),"23")</f>
        <v>23</v>
      </c>
      <c r="Z7501" s="5" t="str">
        <f>IFERROR(__xludf.DUMMYFUNCTION("REGEXEXTRACT(J7501, ""[A-Za-z ]+$"")")," min")</f>
        <v> min</v>
      </c>
      <c r="AA7501" s="5" t="str">
        <f>IFERROR(__xludf.DUMMYFUNCTION("IF(REGEXMATCH(Z7501, ""Season""), ""TV Show"", ""Movie"")"),"Movie")</f>
        <v>Movie</v>
      </c>
    </row>
    <row r="7502">
      <c r="A7502" s="1" t="s">
        <v>36552</v>
      </c>
      <c r="B7502" s="1" t="s">
        <v>27</v>
      </c>
      <c r="C7502" s="1" t="s">
        <v>36553</v>
      </c>
      <c r="D7502" s="1" t="s">
        <v>36554</v>
      </c>
      <c r="E7502" s="1" t="s">
        <v>36555</v>
      </c>
      <c r="F7502" s="1" t="s">
        <v>30</v>
      </c>
      <c r="G7502" s="1" t="s">
        <v>36556</v>
      </c>
      <c r="H7502" s="1">
        <v>2013.0</v>
      </c>
      <c r="I7502" s="1" t="s">
        <v>506</v>
      </c>
      <c r="J7502" s="1" t="s">
        <v>4639</v>
      </c>
      <c r="K7502" s="1" t="s">
        <v>80</v>
      </c>
      <c r="L7502" s="1" t="s">
        <v>36557</v>
      </c>
      <c r="M7502" s="2" t="s">
        <v>12</v>
      </c>
      <c r="N7502" s="4">
        <f t="shared" si="1"/>
        <v>42192</v>
      </c>
      <c r="O7502" s="5" t="str">
        <f>IFERROR(__xludf.DUMMYFUNCTION("IF(REGEXMATCH(TRIM(I7502), ""^\d+\s*min""), ""Unclassified"", IF(I7502 = """", ""NR"", I7502))"),"TV-G")</f>
        <v>TV-G</v>
      </c>
      <c r="R7502" s="5" t="str">
        <f t="shared" si="2"/>
        <v>Monster High: Scaris, City Of Frights</v>
      </c>
      <c r="S7502" s="5" t="str">
        <f>IFERROR(__xludf.DUMMYFUNCTION("""COMPUTED_VALUE"""),"The Midas Touch")</f>
        <v>The Midas Touch</v>
      </c>
      <c r="V7502" s="5"/>
      <c r="Y7502" s="5" t="str">
        <f>IFERROR(__xludf.DUMMYFUNCTION("REGEXEXTRACT(J7502, ""^\d+"")"),"60")</f>
        <v>60</v>
      </c>
      <c r="Z7502" s="5" t="str">
        <f>IFERROR(__xludf.DUMMYFUNCTION("REGEXEXTRACT(J7502, ""[A-Za-z ]+$"")")," min")</f>
        <v> min</v>
      </c>
      <c r="AA7502" s="5" t="str">
        <f>IFERROR(__xludf.DUMMYFUNCTION("IF(REGEXMATCH(Z7502, ""Season""), ""TV Show"", ""Movie"")"),"Movie")</f>
        <v>Movie</v>
      </c>
    </row>
    <row r="7503">
      <c r="A7503" s="1" t="s">
        <v>36558</v>
      </c>
      <c r="B7503" s="1" t="s">
        <v>27</v>
      </c>
      <c r="C7503" s="1" t="s">
        <v>36559</v>
      </c>
      <c r="D7503" s="1" t="s">
        <v>36560</v>
      </c>
      <c r="E7503" s="1" t="s">
        <v>36561</v>
      </c>
      <c r="F7503" s="1" t="s">
        <v>30</v>
      </c>
      <c r="G7503" s="1" t="s">
        <v>26481</v>
      </c>
      <c r="H7503" s="1">
        <v>2013.0</v>
      </c>
      <c r="I7503" s="1" t="s">
        <v>289</v>
      </c>
      <c r="J7503" s="1" t="s">
        <v>3060</v>
      </c>
      <c r="K7503" s="1" t="s">
        <v>80</v>
      </c>
      <c r="L7503" s="1" t="s">
        <v>36562</v>
      </c>
      <c r="M7503" s="2" t="s">
        <v>12</v>
      </c>
      <c r="N7503" s="4">
        <f t="shared" si="1"/>
        <v>43101</v>
      </c>
      <c r="O7503" s="5" t="str">
        <f>IFERROR(__xludf.DUMMYFUNCTION("IF(REGEXMATCH(TRIM(I7503), ""^\d+\s*min""), ""Unclassified"", IF(I7503 = """", ""NR"", I7503))"),"TV-Y7")</f>
        <v>TV-Y7</v>
      </c>
      <c r="R7503" s="5" t="str">
        <f t="shared" si="2"/>
        <v>Monster High: Why Do Ghouls Fall In Love?</v>
      </c>
      <c r="S7503" s="5" t="str">
        <f>IFERROR(__xludf.DUMMYFUNCTION("""COMPUTED_VALUE"""),"The Midnight Gospel")</f>
        <v>The Midnight Gospel</v>
      </c>
      <c r="V7503" s="5"/>
      <c r="Y7503" s="5" t="str">
        <f>IFERROR(__xludf.DUMMYFUNCTION("REGEXEXTRACT(J7503, ""^\d+"")"),"46")</f>
        <v>46</v>
      </c>
      <c r="Z7503" s="5" t="str">
        <f>IFERROR(__xludf.DUMMYFUNCTION("REGEXEXTRACT(J7503, ""[A-Za-z ]+$"")")," min")</f>
        <v> min</v>
      </c>
      <c r="AA7503" s="5" t="str">
        <f>IFERROR(__xludf.DUMMYFUNCTION("IF(REGEXMATCH(Z7503, ""Season""), ""TV Show"", ""Movie"")"),"Movie")</f>
        <v>Movie</v>
      </c>
    </row>
    <row r="7504">
      <c r="A7504" s="1" t="s">
        <v>36563</v>
      </c>
      <c r="B7504" s="1" t="s">
        <v>37</v>
      </c>
      <c r="C7504" s="1" t="s">
        <v>36564</v>
      </c>
      <c r="E7504" s="1" t="s">
        <v>36565</v>
      </c>
      <c r="F7504" s="1" t="s">
        <v>1106</v>
      </c>
      <c r="G7504" s="7">
        <v>43966.0</v>
      </c>
      <c r="H7504" s="1">
        <v>2012.0</v>
      </c>
      <c r="I7504" s="1" t="s">
        <v>206</v>
      </c>
      <c r="J7504" s="1" t="s">
        <v>43</v>
      </c>
      <c r="K7504" s="1" t="s">
        <v>290</v>
      </c>
      <c r="L7504" s="1" t="s">
        <v>36566</v>
      </c>
      <c r="M7504" s="2" t="s">
        <v>12</v>
      </c>
      <c r="N7504" s="4">
        <f t="shared" si="1"/>
        <v>43966</v>
      </c>
      <c r="O7504" s="5" t="str">
        <f>IFERROR(__xludf.DUMMYFUNCTION("IF(REGEXMATCH(TRIM(I7504), ""^\d+\s*min""), ""Unclassified"", IF(I7504 = """", ""NR"", I7504))"),"TV-Y")</f>
        <v>TV-Y</v>
      </c>
      <c r="R7504" s="5" t="str">
        <f t="shared" si="2"/>
        <v>Monster Math Squad</v>
      </c>
      <c r="S7504" s="5" t="str">
        <f>IFERROR(__xludf.DUMMYFUNCTION("""COMPUTED_VALUE"""),"The Midnight Sky")</f>
        <v>The Midnight Sky</v>
      </c>
      <c r="V7504" s="5"/>
      <c r="Y7504" s="5" t="str">
        <f>IFERROR(__xludf.DUMMYFUNCTION("REGEXEXTRACT(J7504, ""^\d+"")"),"2")</f>
        <v>2</v>
      </c>
      <c r="Z7504" s="5" t="str">
        <f>IFERROR(__xludf.DUMMYFUNCTION("REGEXEXTRACT(J7504, ""[A-Za-z ]+$"")")," Seasons")</f>
        <v> Seasons</v>
      </c>
      <c r="AA7504" s="5" t="str">
        <f>IFERROR(__xludf.DUMMYFUNCTION("IF(REGEXMATCH(Z7504, ""Season""), ""TV Show"", ""Movie"")"),"TV Show")</f>
        <v>TV Show</v>
      </c>
    </row>
    <row r="7505">
      <c r="A7505" s="1" t="s">
        <v>36567</v>
      </c>
      <c r="B7505" s="1" t="s">
        <v>27</v>
      </c>
      <c r="C7505" s="1" t="s">
        <v>36568</v>
      </c>
      <c r="D7505" s="1" t="s">
        <v>253</v>
      </c>
      <c r="E7505" s="1" t="s">
        <v>36569</v>
      </c>
      <c r="F7505" s="1" t="s">
        <v>1205</v>
      </c>
      <c r="G7505" s="1" t="s">
        <v>16947</v>
      </c>
      <c r="H7505" s="1">
        <v>2005.0</v>
      </c>
      <c r="I7505" s="1" t="s">
        <v>32</v>
      </c>
      <c r="J7505" s="1" t="s">
        <v>1091</v>
      </c>
      <c r="K7505" s="1" t="s">
        <v>813</v>
      </c>
      <c r="L7505" s="1" t="s">
        <v>36570</v>
      </c>
      <c r="M7505" s="2" t="s">
        <v>12</v>
      </c>
      <c r="N7505" s="4">
        <f t="shared" si="1"/>
        <v>43831</v>
      </c>
      <c r="O7505" s="5" t="str">
        <f>IFERROR(__xludf.DUMMYFUNCTION("IF(REGEXMATCH(TRIM(I7505), ""^\d+\s*min""), ""Unclassified"", IF(I7505 = """", ""NR"", I7505))"),"PG-13")</f>
        <v>PG-13</v>
      </c>
      <c r="R7505" s="5" t="str">
        <f t="shared" si="2"/>
        <v>Monster-In-Law</v>
      </c>
      <c r="S7505" s="5" t="str">
        <f>IFERROR(__xludf.DUMMYFUNCTION("""COMPUTED_VALUE"""),"The Milk System")</f>
        <v>The Milk System</v>
      </c>
      <c r="V7505" s="5"/>
      <c r="Y7505" s="5" t="str">
        <f>IFERROR(__xludf.DUMMYFUNCTION("REGEXEXTRACT(J7505, ""^\d+"")"),"101")</f>
        <v>101</v>
      </c>
      <c r="Z7505" s="5" t="str">
        <f>IFERROR(__xludf.DUMMYFUNCTION("REGEXEXTRACT(J7505, ""[A-Za-z ]+$"")")," min")</f>
        <v> min</v>
      </c>
      <c r="AA7505" s="5" t="str">
        <f>IFERROR(__xludf.DUMMYFUNCTION("IF(REGEXMATCH(Z7505, ""Season""), ""TV Show"", ""Movie"")"),"Movie")</f>
        <v>Movie</v>
      </c>
    </row>
    <row r="7506">
      <c r="A7506" s="1" t="s">
        <v>36571</v>
      </c>
      <c r="B7506" s="1" t="s">
        <v>37</v>
      </c>
      <c r="C7506" s="1" t="s">
        <v>36572</v>
      </c>
      <c r="D7506" s="1" t="s">
        <v>18513</v>
      </c>
      <c r="F7506" s="1" t="s">
        <v>96</v>
      </c>
      <c r="G7506" s="1" t="s">
        <v>19844</v>
      </c>
      <c r="H7506" s="1">
        <v>2013.0</v>
      </c>
      <c r="I7506" s="1" t="s">
        <v>506</v>
      </c>
      <c r="J7506" s="1" t="s">
        <v>51</v>
      </c>
      <c r="K7506" s="1" t="s">
        <v>544</v>
      </c>
      <c r="L7506" s="1" t="s">
        <v>36573</v>
      </c>
      <c r="M7506" s="2" t="s">
        <v>12</v>
      </c>
      <c r="N7506" s="4">
        <f t="shared" si="1"/>
        <v>43672</v>
      </c>
      <c r="O7506" s="5" t="str">
        <f>IFERROR(__xludf.DUMMYFUNCTION("IF(REGEXMATCH(TRIM(I7506), ""^\d+\s*min""), ""Unclassified"", IF(I7506 = """", ""NR"", I7506))"),"TV-G")</f>
        <v>TV-G</v>
      </c>
      <c r="R7506" s="5" t="str">
        <f t="shared" si="2"/>
        <v>Monty Don'S French Gardens</v>
      </c>
      <c r="S7506" s="5" t="str">
        <f>IFERROR(__xludf.DUMMYFUNCTION("""COMPUTED_VALUE"""),"The Millions")</f>
        <v>The Millions</v>
      </c>
      <c r="V7506" s="5"/>
      <c r="Y7506" s="5" t="str">
        <f>IFERROR(__xludf.DUMMYFUNCTION("REGEXEXTRACT(J7506, ""^\d+"")"),"1")</f>
        <v>1</v>
      </c>
      <c r="Z7506" s="5" t="str">
        <f>IFERROR(__xludf.DUMMYFUNCTION("REGEXEXTRACT(J7506, ""[A-Za-z ]+$"")")," Season")</f>
        <v> Season</v>
      </c>
      <c r="AA7506" s="5" t="str">
        <f>IFERROR(__xludf.DUMMYFUNCTION("IF(REGEXMATCH(Z7506, ""Season""), ""TV Show"", ""Movie"")"),"TV Show")</f>
        <v>TV Show</v>
      </c>
    </row>
    <row r="7507">
      <c r="A7507" s="1" t="s">
        <v>36574</v>
      </c>
      <c r="B7507" s="1" t="s">
        <v>37</v>
      </c>
      <c r="C7507" s="1" t="s">
        <v>36575</v>
      </c>
      <c r="E7507" s="1" t="s">
        <v>31614</v>
      </c>
      <c r="F7507" s="1" t="s">
        <v>96</v>
      </c>
      <c r="G7507" s="1" t="s">
        <v>19844</v>
      </c>
      <c r="H7507" s="1">
        <v>2011.0</v>
      </c>
      <c r="I7507" s="1" t="s">
        <v>506</v>
      </c>
      <c r="J7507" s="1" t="s">
        <v>51</v>
      </c>
      <c r="K7507" s="1" t="s">
        <v>544</v>
      </c>
      <c r="L7507" s="1" t="s">
        <v>36576</v>
      </c>
      <c r="M7507" s="2" t="s">
        <v>12</v>
      </c>
      <c r="N7507" s="4">
        <f t="shared" si="1"/>
        <v>43672</v>
      </c>
      <c r="O7507" s="5" t="str">
        <f>IFERROR(__xludf.DUMMYFUNCTION("IF(REGEXMATCH(TRIM(I7507), ""^\d+\s*min""), ""Unclassified"", IF(I7507 = """", ""NR"", I7507))"),"TV-G")</f>
        <v>TV-G</v>
      </c>
      <c r="R7507" s="5" t="str">
        <f t="shared" si="2"/>
        <v>Monty Don'S Italian Gardens</v>
      </c>
      <c r="S7507" s="5" t="str">
        <f>IFERROR(__xludf.DUMMYFUNCTION("""COMPUTED_VALUE"""),"The Mind Of A Chef")</f>
        <v>The Mind Of A Chef</v>
      </c>
      <c r="V7507" s="5"/>
      <c r="Y7507" s="5" t="str">
        <f>IFERROR(__xludf.DUMMYFUNCTION("REGEXEXTRACT(J7507, ""^\d+"")"),"1")</f>
        <v>1</v>
      </c>
      <c r="Z7507" s="5" t="str">
        <f>IFERROR(__xludf.DUMMYFUNCTION("REGEXEXTRACT(J7507, ""[A-Za-z ]+$"")")," Season")</f>
        <v> Season</v>
      </c>
      <c r="AA7507" s="5" t="str">
        <f>IFERROR(__xludf.DUMMYFUNCTION("IF(REGEXMATCH(Z7507, ""Season""), ""TV Show"", ""Movie"")"),"TV Show")</f>
        <v>TV Show</v>
      </c>
    </row>
    <row r="7508">
      <c r="A7508" s="1" t="s">
        <v>36577</v>
      </c>
      <c r="B7508" s="1" t="s">
        <v>27</v>
      </c>
      <c r="C7508" s="1" t="s">
        <v>36578</v>
      </c>
      <c r="D7508" s="1" t="s">
        <v>6703</v>
      </c>
      <c r="E7508" s="1" t="s">
        <v>36579</v>
      </c>
      <c r="F7508" s="1" t="s">
        <v>686</v>
      </c>
      <c r="G7508" s="1" t="s">
        <v>16947</v>
      </c>
      <c r="H7508" s="1">
        <v>2009.0</v>
      </c>
      <c r="I7508" s="1" t="s">
        <v>378</v>
      </c>
      <c r="J7508" s="1" t="s">
        <v>247</v>
      </c>
      <c r="K7508" s="1" t="s">
        <v>5269</v>
      </c>
      <c r="L7508" s="1" t="s">
        <v>36580</v>
      </c>
      <c r="M7508" s="2" t="s">
        <v>12</v>
      </c>
      <c r="N7508" s="4">
        <f t="shared" si="1"/>
        <v>43831</v>
      </c>
      <c r="O7508" s="5" t="str">
        <f>IFERROR(__xludf.DUMMYFUNCTION("IF(REGEXMATCH(TRIM(I7508), ""^\d+\s*min""), ""Unclassified"", IF(I7508 = """", ""NR"", I7508))"),"R")</f>
        <v>R</v>
      </c>
      <c r="R7508" s="5" t="str">
        <f t="shared" si="2"/>
        <v>Moon</v>
      </c>
      <c r="S7508" s="5" t="str">
        <f>IFERROR(__xludf.DUMMYFUNCTION("""COMPUTED_VALUE"""),"The Mind, Explained")</f>
        <v>The Mind, Explained</v>
      </c>
      <c r="V7508" s="5"/>
      <c r="Y7508" s="5" t="str">
        <f>IFERROR(__xludf.DUMMYFUNCTION("REGEXEXTRACT(J7508, ""^\d+"")"),"97")</f>
        <v>97</v>
      </c>
      <c r="Z7508" s="5" t="str">
        <f>IFERROR(__xludf.DUMMYFUNCTION("REGEXEXTRACT(J7508, ""[A-Za-z ]+$"")")," min")</f>
        <v> min</v>
      </c>
      <c r="AA7508" s="5" t="str">
        <f>IFERROR(__xludf.DUMMYFUNCTION("IF(REGEXMATCH(Z7508, ""Season""), ""TV Show"", ""Movie"")"),"Movie")</f>
        <v>Movie</v>
      </c>
    </row>
    <row r="7509">
      <c r="A7509" s="1" t="s">
        <v>36581</v>
      </c>
      <c r="B7509" s="1" t="s">
        <v>27</v>
      </c>
      <c r="C7509" s="1" t="s">
        <v>36582</v>
      </c>
      <c r="D7509" s="1" t="s">
        <v>3023</v>
      </c>
      <c r="E7509" s="1" t="s">
        <v>36583</v>
      </c>
      <c r="F7509" s="1" t="s">
        <v>30</v>
      </c>
      <c r="G7509" s="7">
        <v>43606.0</v>
      </c>
      <c r="H7509" s="1">
        <v>2016.0</v>
      </c>
      <c r="I7509" s="1" t="s">
        <v>378</v>
      </c>
      <c r="J7509" s="1" t="s">
        <v>264</v>
      </c>
      <c r="K7509" s="1" t="s">
        <v>4730</v>
      </c>
      <c r="L7509" s="1" t="s">
        <v>36584</v>
      </c>
      <c r="M7509" s="2" t="s">
        <v>12</v>
      </c>
      <c r="N7509" s="4">
        <f t="shared" si="1"/>
        <v>43606</v>
      </c>
      <c r="O7509" s="5" t="str">
        <f>IFERROR(__xludf.DUMMYFUNCTION("IF(REGEXMATCH(TRIM(I7509), ""^\d+\s*min""), ""Unclassified"", IF(I7509 = """", ""NR"", I7509))"),"R")</f>
        <v>R</v>
      </c>
      <c r="R7509" s="5" t="str">
        <f t="shared" si="2"/>
        <v>Moonlight</v>
      </c>
      <c r="S7509" s="5" t="str">
        <f>IFERROR(__xludf.DUMMYFUNCTION("""COMPUTED_VALUE"""),"The Minimalists: Less Is Now")</f>
        <v>The Minimalists: Less Is Now</v>
      </c>
      <c r="V7509" s="5"/>
      <c r="Y7509" s="5" t="str">
        <f>IFERROR(__xludf.DUMMYFUNCTION("REGEXEXTRACT(J7509, ""^\d+"")"),"111")</f>
        <v>111</v>
      </c>
      <c r="Z7509" s="5" t="str">
        <f>IFERROR(__xludf.DUMMYFUNCTION("REGEXEXTRACT(J7509, ""[A-Za-z ]+$"")")," min")</f>
        <v> min</v>
      </c>
      <c r="AA7509" s="5" t="str">
        <f>IFERROR(__xludf.DUMMYFUNCTION("IF(REGEXMATCH(Z7509, ""Season""), ""TV Show"", ""Movie"")"),"Movie")</f>
        <v>Movie</v>
      </c>
    </row>
    <row r="7510">
      <c r="A7510" s="1" t="s">
        <v>36585</v>
      </c>
      <c r="B7510" s="1" t="s">
        <v>27</v>
      </c>
      <c r="C7510" s="1" t="s">
        <v>36586</v>
      </c>
      <c r="D7510" s="1" t="s">
        <v>2316</v>
      </c>
      <c r="E7510" s="1" t="s">
        <v>36587</v>
      </c>
      <c r="F7510" s="1" t="s">
        <v>3217</v>
      </c>
      <c r="G7510" s="1" t="s">
        <v>27276</v>
      </c>
      <c r="H7510" s="1">
        <v>2015.0</v>
      </c>
      <c r="I7510" s="1" t="s">
        <v>378</v>
      </c>
      <c r="J7510" s="1" t="s">
        <v>322</v>
      </c>
      <c r="K7510" s="1" t="s">
        <v>1328</v>
      </c>
      <c r="L7510" s="1" t="s">
        <v>36588</v>
      </c>
      <c r="M7510" s="2" t="s">
        <v>12</v>
      </c>
      <c r="N7510" s="4">
        <f t="shared" si="1"/>
        <v>42986</v>
      </c>
      <c r="O7510" s="5" t="str">
        <f>IFERROR(__xludf.DUMMYFUNCTION("IF(REGEXMATCH(TRIM(I7510), ""^\d+\s*min""), ""Unclassified"", IF(I7510 = """", ""NR"", I7510))"),"R")</f>
        <v>R</v>
      </c>
      <c r="R7510" s="5" t="str">
        <f t="shared" si="2"/>
        <v>Moonwalkers</v>
      </c>
      <c r="S7510" s="5" t="str">
        <f>IFERROR(__xludf.DUMMYFUNCTION("""COMPUTED_VALUE"""),"The Minimighty Kids")</f>
        <v>The Minimighty Kids</v>
      </c>
      <c r="V7510" s="5"/>
      <c r="Y7510" s="5" t="str">
        <f>IFERROR(__xludf.DUMMYFUNCTION("REGEXEXTRACT(J7510, ""^\d+"")"),"96")</f>
        <v>96</v>
      </c>
      <c r="Z7510" s="5" t="str">
        <f>IFERROR(__xludf.DUMMYFUNCTION("REGEXEXTRACT(J7510, ""[A-Za-z ]+$"")")," min")</f>
        <v> min</v>
      </c>
      <c r="AA7510" s="5" t="str">
        <f>IFERROR(__xludf.DUMMYFUNCTION("IF(REGEXMATCH(Z7510, ""Season""), ""TV Show"", ""Movie"")"),"Movie")</f>
        <v>Movie</v>
      </c>
    </row>
    <row r="7511">
      <c r="A7511" s="1" t="s">
        <v>36589</v>
      </c>
      <c r="B7511" s="1" t="s">
        <v>27</v>
      </c>
      <c r="C7511" s="1" t="s">
        <v>36590</v>
      </c>
      <c r="D7511" s="1" t="s">
        <v>10118</v>
      </c>
      <c r="E7511" s="1" t="s">
        <v>36591</v>
      </c>
      <c r="F7511" s="1" t="s">
        <v>15815</v>
      </c>
      <c r="G7511" s="1" t="s">
        <v>26883</v>
      </c>
      <c r="H7511" s="1">
        <v>2015.0</v>
      </c>
      <c r="I7511" s="1" t="s">
        <v>97</v>
      </c>
      <c r="J7511" s="1" t="s">
        <v>1369</v>
      </c>
      <c r="K7511" s="1" t="s">
        <v>89</v>
      </c>
      <c r="L7511" s="1" t="s">
        <v>36592</v>
      </c>
      <c r="M7511" s="2" t="s">
        <v>12</v>
      </c>
      <c r="N7511" s="4">
        <f t="shared" si="1"/>
        <v>43040</v>
      </c>
      <c r="O7511" s="5" t="str">
        <f>IFERROR(__xludf.DUMMYFUNCTION("IF(REGEXMATCH(TRIM(I7511), ""^\d+\s*min""), ""Unclassified"", IF(I7511 = """", ""NR"", I7511))"),"TV-14")</f>
        <v>TV-14</v>
      </c>
      <c r="R7511" s="5" t="str">
        <f t="shared" si="2"/>
        <v>Moor</v>
      </c>
      <c r="S7511" s="5" t="str">
        <f>IFERROR(__xludf.DUMMYFUNCTION("""COMPUTED_VALUE"""),"The Minions Of Midas")</f>
        <v>The Minions Of Midas</v>
      </c>
      <c r="V7511" s="5"/>
      <c r="Y7511" s="5" t="str">
        <f>IFERROR(__xludf.DUMMYFUNCTION("REGEXEXTRACT(J7511, ""^\d+"")"),"135")</f>
        <v>135</v>
      </c>
      <c r="Z7511" s="5" t="str">
        <f>IFERROR(__xludf.DUMMYFUNCTION("REGEXEXTRACT(J7511, ""[A-Za-z ]+$"")")," min")</f>
        <v> min</v>
      </c>
      <c r="AA7511" s="5" t="str">
        <f>IFERROR(__xludf.DUMMYFUNCTION("IF(REGEXMATCH(Z7511, ""Season""), ""TV Show"", ""Movie"")"),"Movie")</f>
        <v>Movie</v>
      </c>
    </row>
    <row r="7512">
      <c r="A7512" s="1" t="s">
        <v>36593</v>
      </c>
      <c r="B7512" s="1" t="s">
        <v>27</v>
      </c>
      <c r="C7512" s="1" t="s">
        <v>36594</v>
      </c>
      <c r="D7512" s="1" t="s">
        <v>4321</v>
      </c>
      <c r="E7512" s="1" t="s">
        <v>36595</v>
      </c>
      <c r="F7512" s="1" t="s">
        <v>911</v>
      </c>
      <c r="G7512" s="1" t="s">
        <v>23564</v>
      </c>
      <c r="H7512" s="1">
        <v>2016.0</v>
      </c>
      <c r="I7512" s="1" t="s">
        <v>378</v>
      </c>
      <c r="J7512" s="1" t="s">
        <v>79</v>
      </c>
      <c r="K7512" s="1" t="s">
        <v>89</v>
      </c>
      <c r="L7512" s="1" t="s">
        <v>36596</v>
      </c>
      <c r="M7512" s="2" t="s">
        <v>12</v>
      </c>
      <c r="N7512" s="4">
        <f t="shared" si="1"/>
        <v>43405</v>
      </c>
      <c r="O7512" s="5" t="str">
        <f>IFERROR(__xludf.DUMMYFUNCTION("IF(REGEXMATCH(TRIM(I7512), ""^\d+\s*min""), ""Unclassified"", IF(I7512 = """", ""NR"", I7512))"),"R")</f>
        <v>R</v>
      </c>
      <c r="R7512" s="5" t="str">
        <f t="shared" si="2"/>
        <v>Morris From America</v>
      </c>
      <c r="S7512" s="5" t="str">
        <f>IFERROR(__xludf.DUMMYFUNCTION("""COMPUTED_VALUE"""),"The Ministry Of Time")</f>
        <v>The Ministry Of Time</v>
      </c>
      <c r="V7512" s="5"/>
      <c r="Y7512" s="5" t="str">
        <f>IFERROR(__xludf.DUMMYFUNCTION("REGEXEXTRACT(J7512, ""^\d+"")"),"91")</f>
        <v>91</v>
      </c>
      <c r="Z7512" s="5" t="str">
        <f>IFERROR(__xludf.DUMMYFUNCTION("REGEXEXTRACT(J7512, ""[A-Za-z ]+$"")")," min")</f>
        <v> min</v>
      </c>
      <c r="AA7512" s="5" t="str">
        <f>IFERROR(__xludf.DUMMYFUNCTION("IF(REGEXMATCH(Z7512, ""Season""), ""TV Show"", ""Movie"")"),"Movie")</f>
        <v>Movie</v>
      </c>
    </row>
    <row r="7513">
      <c r="A7513" s="1" t="s">
        <v>36597</v>
      </c>
      <c r="B7513" s="1" t="s">
        <v>27</v>
      </c>
      <c r="C7513" s="1" t="s">
        <v>36598</v>
      </c>
      <c r="D7513" s="1" t="s">
        <v>15737</v>
      </c>
      <c r="F7513" s="1" t="s">
        <v>30</v>
      </c>
      <c r="G7513" s="1" t="s">
        <v>26295</v>
      </c>
      <c r="H7513" s="1">
        <v>2013.0</v>
      </c>
      <c r="I7513" s="1" t="s">
        <v>42</v>
      </c>
      <c r="J7513" s="1" t="s">
        <v>1608</v>
      </c>
      <c r="K7513" s="1" t="s">
        <v>34</v>
      </c>
      <c r="L7513" s="1" t="s">
        <v>36599</v>
      </c>
      <c r="M7513" s="2" t="s">
        <v>12</v>
      </c>
      <c r="N7513" s="4">
        <f t="shared" si="1"/>
        <v>43132</v>
      </c>
      <c r="O7513" s="5" t="str">
        <f>IFERROR(__xludf.DUMMYFUNCTION("IF(REGEXMATCH(TRIM(I7513), ""^\d+\s*min""), ""Unclassified"", IF(I7513 = """", ""NR"", I7513))"),"TV-MA")</f>
        <v>TV-MA</v>
      </c>
      <c r="R7513" s="5" t="str">
        <f t="shared" si="2"/>
        <v>Mortified Nation</v>
      </c>
      <c r="S7513" s="5" t="str">
        <f>IFERROR(__xludf.DUMMYFUNCTION("""COMPUTED_VALUE"""),"The Miracle")</f>
        <v>The Miracle</v>
      </c>
      <c r="V7513" s="5"/>
      <c r="Y7513" s="5" t="str">
        <f>IFERROR(__xludf.DUMMYFUNCTION("REGEXEXTRACT(J7513, ""^\d+"")"),"84")</f>
        <v>84</v>
      </c>
      <c r="Z7513" s="5" t="str">
        <f>IFERROR(__xludf.DUMMYFUNCTION("REGEXEXTRACT(J7513, ""[A-Za-z ]+$"")")," min")</f>
        <v> min</v>
      </c>
      <c r="AA7513" s="5" t="str">
        <f>IFERROR(__xludf.DUMMYFUNCTION("IF(REGEXMATCH(Z7513, ""Season""), ""TV Show"", ""Movie"")"),"Movie")</f>
        <v>Movie</v>
      </c>
    </row>
    <row r="7514">
      <c r="A7514" s="1" t="s">
        <v>36600</v>
      </c>
      <c r="B7514" s="1" t="s">
        <v>27</v>
      </c>
      <c r="C7514" s="1" t="s">
        <v>36601</v>
      </c>
      <c r="D7514" s="1" t="s">
        <v>2784</v>
      </c>
      <c r="E7514" s="1" t="s">
        <v>36602</v>
      </c>
      <c r="F7514" s="1" t="s">
        <v>63</v>
      </c>
      <c r="G7514" s="1" t="s">
        <v>26235</v>
      </c>
      <c r="H7514" s="1">
        <v>2011.0</v>
      </c>
      <c r="I7514" s="1" t="s">
        <v>97</v>
      </c>
      <c r="J7514" s="1" t="s">
        <v>941</v>
      </c>
      <c r="K7514" s="1" t="s">
        <v>128</v>
      </c>
      <c r="L7514" s="1" t="s">
        <v>36603</v>
      </c>
      <c r="M7514" s="2" t="s">
        <v>12</v>
      </c>
      <c r="N7514" s="4">
        <f t="shared" si="1"/>
        <v>43146</v>
      </c>
      <c r="O7514" s="5" t="str">
        <f>IFERROR(__xludf.DUMMYFUNCTION("IF(REGEXMATCH(TRIM(I7514), ""^\d+\s*min""), ""Unclassified"", IF(I7514 = """", ""NR"", I7514))"),"TV-14")</f>
        <v>TV-14</v>
      </c>
      <c r="R7514" s="5" t="str">
        <f t="shared" si="2"/>
        <v>Morya</v>
      </c>
      <c r="S7514" s="5" t="str">
        <f>IFERROR(__xludf.DUMMYFUNCTION("""COMPUTED_VALUE"""),"The Mire")</f>
        <v>The Mire</v>
      </c>
      <c r="V7514" s="5"/>
      <c r="Y7514" s="5" t="str">
        <f>IFERROR(__xludf.DUMMYFUNCTION("REGEXEXTRACT(J7514, ""^\d+"")"),"121")</f>
        <v>121</v>
      </c>
      <c r="Z7514" s="5" t="str">
        <f>IFERROR(__xludf.DUMMYFUNCTION("REGEXEXTRACT(J7514, ""[A-Za-z ]+$"")")," min")</f>
        <v> min</v>
      </c>
      <c r="AA7514" s="5" t="str">
        <f>IFERROR(__xludf.DUMMYFUNCTION("IF(REGEXMATCH(Z7514, ""Season""), ""TV Show"", ""Movie"")"),"Movie")</f>
        <v>Movie</v>
      </c>
    </row>
    <row r="7515">
      <c r="A7515" s="1" t="s">
        <v>36604</v>
      </c>
      <c r="B7515" s="1" t="s">
        <v>27</v>
      </c>
      <c r="C7515" s="1" t="s">
        <v>36605</v>
      </c>
      <c r="D7515" s="1" t="s">
        <v>5630</v>
      </c>
      <c r="E7515" s="1" t="s">
        <v>36606</v>
      </c>
      <c r="F7515" s="1" t="s">
        <v>63</v>
      </c>
      <c r="G7515" s="1" t="s">
        <v>36607</v>
      </c>
      <c r="H7515" s="1">
        <v>2016.0</v>
      </c>
      <c r="I7515" s="1" t="s">
        <v>32769</v>
      </c>
      <c r="J7515" s="1" t="s">
        <v>1065</v>
      </c>
      <c r="K7515" s="1" t="s">
        <v>137</v>
      </c>
      <c r="L7515" s="1" t="s">
        <v>36608</v>
      </c>
      <c r="M7515" s="2" t="s">
        <v>12</v>
      </c>
      <c r="N7515" s="4">
        <f t="shared" si="1"/>
        <v>42922</v>
      </c>
      <c r="O7515" s="5" t="str">
        <f>IFERROR(__xludf.DUMMYFUNCTION("IF(REGEXMATCH(TRIM(I7515), ""^\d+\s*min""), ""Unclassified"", IF(I7515 = """", ""NR"", I7515))"),"TV-Y7-FV")</f>
        <v>TV-Y7-FV</v>
      </c>
      <c r="R7515" s="5" t="str">
        <f t="shared" si="2"/>
        <v>Motu Patlu: King Of Kings</v>
      </c>
      <c r="S7515" s="5" t="str">
        <f>IFERROR(__xludf.DUMMYFUNCTION("""COMPUTED_VALUE"""),"The Mirror Boy")</f>
        <v>The Mirror Boy</v>
      </c>
      <c r="V7515" s="5"/>
      <c r="Y7515" s="5" t="str">
        <f>IFERROR(__xludf.DUMMYFUNCTION("REGEXEXTRACT(J7515, ""^\d+"")"),"109")</f>
        <v>109</v>
      </c>
      <c r="Z7515" s="5" t="str">
        <f>IFERROR(__xludf.DUMMYFUNCTION("REGEXEXTRACT(J7515, ""[A-Za-z ]+$"")")," min")</f>
        <v> min</v>
      </c>
      <c r="AA7515" s="5" t="str">
        <f>IFERROR(__xludf.DUMMYFUNCTION("IF(REGEXMATCH(Z7515, ""Season""), ""TV Show"", ""Movie"")"),"Movie")</f>
        <v>Movie</v>
      </c>
    </row>
    <row r="7516">
      <c r="A7516" s="1" t="s">
        <v>36609</v>
      </c>
      <c r="B7516" s="1" t="s">
        <v>27</v>
      </c>
      <c r="C7516" s="1" t="s">
        <v>36610</v>
      </c>
      <c r="D7516" s="1" t="s">
        <v>10742</v>
      </c>
      <c r="F7516" s="1" t="s">
        <v>221</v>
      </c>
      <c r="G7516" s="1" t="s">
        <v>24201</v>
      </c>
      <c r="H7516" s="1">
        <v>2017.0</v>
      </c>
      <c r="I7516" s="1" t="s">
        <v>78</v>
      </c>
      <c r="J7516" s="1" t="s">
        <v>2699</v>
      </c>
      <c r="K7516" s="1" t="s">
        <v>30729</v>
      </c>
      <c r="L7516" s="1" t="s">
        <v>36611</v>
      </c>
      <c r="M7516" s="2" t="s">
        <v>12</v>
      </c>
      <c r="N7516" s="4">
        <f t="shared" si="1"/>
        <v>43374</v>
      </c>
      <c r="O7516" s="5" t="str">
        <f>IFERROR(__xludf.DUMMYFUNCTION("IF(REGEXMATCH(TRIM(I7516), ""^\d+\s*min""), ""Unclassified"", IF(I7516 = """", ""NR"", I7516))"),"PG")</f>
        <v>PG</v>
      </c>
      <c r="R7516" s="5" t="str">
        <f t="shared" si="2"/>
        <v>Mountain</v>
      </c>
      <c r="S7516" s="5" t="str">
        <f>IFERROR(__xludf.DUMMYFUNCTION("""COMPUTED_VALUE"""),"The Mirror Has Two Faces")</f>
        <v>The Mirror Has Two Faces</v>
      </c>
      <c r="V7516" s="5"/>
      <c r="Y7516" s="5" t="str">
        <f>IFERROR(__xludf.DUMMYFUNCTION("REGEXEXTRACT(J7516, ""^\d+"")"),"74")</f>
        <v>74</v>
      </c>
      <c r="Z7516" s="5" t="str">
        <f>IFERROR(__xludf.DUMMYFUNCTION("REGEXEXTRACT(J7516, ""[A-Za-z ]+$"")")," min")</f>
        <v> min</v>
      </c>
      <c r="AA7516" s="5" t="str">
        <f>IFERROR(__xludf.DUMMYFUNCTION("IF(REGEXMATCH(Z7516, ""Season""), ""TV Show"", ""Movie"")"),"Movie")</f>
        <v>Movie</v>
      </c>
    </row>
    <row r="7517">
      <c r="A7517" s="1" t="s">
        <v>36612</v>
      </c>
      <c r="B7517" s="1" t="s">
        <v>27</v>
      </c>
      <c r="C7517" s="1" t="s">
        <v>36613</v>
      </c>
      <c r="D7517" s="1" t="s">
        <v>36614</v>
      </c>
      <c r="E7517" s="1" t="s">
        <v>36615</v>
      </c>
      <c r="F7517" s="1" t="s">
        <v>30</v>
      </c>
      <c r="G7517" s="1" t="s">
        <v>36616</v>
      </c>
      <c r="H7517" s="1">
        <v>2013.0</v>
      </c>
      <c r="I7517" s="1" t="s">
        <v>378</v>
      </c>
      <c r="J7517" s="1" t="s">
        <v>170</v>
      </c>
      <c r="K7517" s="1" t="s">
        <v>239</v>
      </c>
      <c r="L7517" s="1" t="s">
        <v>36617</v>
      </c>
      <c r="M7517" s="2" t="s">
        <v>12</v>
      </c>
      <c r="N7517" s="4">
        <f t="shared" si="1"/>
        <v>43564</v>
      </c>
      <c r="O7517" s="5" t="str">
        <f>IFERROR(__xludf.DUMMYFUNCTION("IF(REGEXMATCH(TRIM(I7517), ""^\d+\s*min""), ""Unclassified"", IF(I7517 = """", ""NR"", I7517))"),"R")</f>
        <v>R</v>
      </c>
      <c r="R7517" s="5" t="str">
        <f t="shared" si="2"/>
        <v>Movie 43</v>
      </c>
      <c r="S7517" s="5" t="str">
        <f>IFERROR(__xludf.DUMMYFUNCTION("""COMPUTED_VALUE"""),"The Misadventures Of Hedi And Cokeman")</f>
        <v>The Misadventures Of Hedi And Cokeman</v>
      </c>
      <c r="V7517" s="5"/>
      <c r="Y7517" s="5" t="str">
        <f>IFERROR(__xludf.DUMMYFUNCTION("REGEXEXTRACT(J7517, ""^\d+"")"),"94")</f>
        <v>94</v>
      </c>
      <c r="Z7517" s="5" t="str">
        <f>IFERROR(__xludf.DUMMYFUNCTION("REGEXEXTRACT(J7517, ""[A-Za-z ]+$"")")," min")</f>
        <v> min</v>
      </c>
      <c r="AA7517" s="5" t="str">
        <f>IFERROR(__xludf.DUMMYFUNCTION("IF(REGEXMATCH(Z7517, ""Season""), ""TV Show"", ""Movie"")"),"Movie")</f>
        <v>Movie</v>
      </c>
    </row>
    <row r="7518">
      <c r="A7518" s="1" t="s">
        <v>36618</v>
      </c>
      <c r="B7518" s="1" t="s">
        <v>27</v>
      </c>
      <c r="C7518" s="1" t="s">
        <v>36619</v>
      </c>
      <c r="D7518" s="1" t="s">
        <v>3894</v>
      </c>
      <c r="E7518" s="1" t="s">
        <v>36620</v>
      </c>
      <c r="F7518" s="1" t="s">
        <v>30</v>
      </c>
      <c r="G7518" s="1" t="s">
        <v>22835</v>
      </c>
      <c r="H7518" s="1">
        <v>2016.0</v>
      </c>
      <c r="I7518" s="1" t="s">
        <v>32</v>
      </c>
      <c r="J7518" s="1" t="s">
        <v>305</v>
      </c>
      <c r="K7518" s="1" t="s">
        <v>805</v>
      </c>
      <c r="L7518" s="1" t="s">
        <v>36621</v>
      </c>
      <c r="M7518" s="2" t="s">
        <v>12</v>
      </c>
      <c r="N7518" s="4">
        <f t="shared" si="1"/>
        <v>43456</v>
      </c>
      <c r="O7518" s="5" t="str">
        <f>IFERROR(__xludf.DUMMYFUNCTION("IF(REGEXMATCH(TRIM(I7518), ""^\d+\s*min""), ""Unclassified"", IF(I7518 = """", ""NR"", I7518))"),"PG-13")</f>
        <v>PG-13</v>
      </c>
      <c r="R7518" s="5" t="str">
        <f t="shared" si="2"/>
        <v>Mr. Church</v>
      </c>
      <c r="S7518" s="5" t="str">
        <f>IFERROR(__xludf.DUMMYFUNCTION("""COMPUTED_VALUE"""),"The Missing Menu")</f>
        <v>The Missing Menu</v>
      </c>
      <c r="V7518" s="5"/>
      <c r="Y7518" s="5" t="str">
        <f>IFERROR(__xludf.DUMMYFUNCTION("REGEXEXTRACT(J7518, ""^\d+"")"),"105")</f>
        <v>105</v>
      </c>
      <c r="Z7518" s="5" t="str">
        <f>IFERROR(__xludf.DUMMYFUNCTION("REGEXEXTRACT(J7518, ""[A-Za-z ]+$"")")," min")</f>
        <v> min</v>
      </c>
      <c r="AA7518" s="5" t="str">
        <f>IFERROR(__xludf.DUMMYFUNCTION("IF(REGEXMATCH(Z7518, ""Season""), ""TV Show"", ""Movie"")"),"Movie")</f>
        <v>Movie</v>
      </c>
    </row>
    <row r="7519">
      <c r="A7519" s="1" t="s">
        <v>36622</v>
      </c>
      <c r="B7519" s="1" t="s">
        <v>27</v>
      </c>
      <c r="C7519" s="1" t="s">
        <v>36623</v>
      </c>
      <c r="D7519" s="1" t="s">
        <v>1747</v>
      </c>
      <c r="E7519" s="1" t="s">
        <v>36624</v>
      </c>
      <c r="F7519" s="1" t="s">
        <v>30</v>
      </c>
      <c r="G7519" s="1" t="s">
        <v>12382</v>
      </c>
      <c r="H7519" s="1">
        <v>2002.0</v>
      </c>
      <c r="I7519" s="1" t="s">
        <v>32</v>
      </c>
      <c r="J7519" s="1" t="s">
        <v>247</v>
      </c>
      <c r="K7519" s="1" t="s">
        <v>813</v>
      </c>
      <c r="L7519" s="1" t="s">
        <v>36625</v>
      </c>
      <c r="M7519" s="2" t="s">
        <v>12</v>
      </c>
      <c r="N7519" s="4">
        <f t="shared" si="1"/>
        <v>44044</v>
      </c>
      <c r="O7519" s="5" t="str">
        <f>IFERROR(__xludf.DUMMYFUNCTION("IF(REGEXMATCH(TRIM(I7519), ""^\d+\s*min""), ""Unclassified"", IF(I7519 = """", ""NR"", I7519))"),"PG-13")</f>
        <v>PG-13</v>
      </c>
      <c r="R7519" s="5" t="str">
        <f t="shared" si="2"/>
        <v>Mr. Deeds</v>
      </c>
      <c r="S7519" s="5" t="str">
        <f>IFERROR(__xludf.DUMMYFUNCTION("""COMPUTED_VALUE"""),"The Mist")</f>
        <v>The Mist</v>
      </c>
      <c r="V7519" s="5"/>
      <c r="Y7519" s="5" t="str">
        <f>IFERROR(__xludf.DUMMYFUNCTION("REGEXEXTRACT(J7519, ""^\d+"")"),"97")</f>
        <v>97</v>
      </c>
      <c r="Z7519" s="5" t="str">
        <f>IFERROR(__xludf.DUMMYFUNCTION("REGEXEXTRACT(J7519, ""[A-Za-z ]+$"")")," min")</f>
        <v> min</v>
      </c>
      <c r="AA7519" s="5" t="str">
        <f>IFERROR(__xludf.DUMMYFUNCTION("IF(REGEXMATCH(Z7519, ""Season""), ""TV Show"", ""Movie"")"),"Movie")</f>
        <v>Movie</v>
      </c>
    </row>
    <row r="7520">
      <c r="A7520" s="1" t="s">
        <v>36626</v>
      </c>
      <c r="B7520" s="1" t="s">
        <v>27</v>
      </c>
      <c r="C7520" s="1" t="s">
        <v>36627</v>
      </c>
      <c r="D7520" s="1" t="s">
        <v>22772</v>
      </c>
      <c r="E7520" s="1" t="s">
        <v>36628</v>
      </c>
      <c r="F7520" s="1" t="s">
        <v>36629</v>
      </c>
      <c r="G7520" s="1" t="s">
        <v>27908</v>
      </c>
      <c r="H7520" s="1">
        <v>2015.0</v>
      </c>
      <c r="I7520" s="1" t="s">
        <v>97</v>
      </c>
      <c r="J7520" s="1" t="s">
        <v>447</v>
      </c>
      <c r="K7520" s="1" t="s">
        <v>156</v>
      </c>
      <c r="L7520" s="1" t="s">
        <v>36630</v>
      </c>
      <c r="M7520" s="2" t="s">
        <v>12</v>
      </c>
      <c r="N7520" s="4">
        <f t="shared" si="1"/>
        <v>42901</v>
      </c>
      <c r="O7520" s="5" t="str">
        <f>IFERROR(__xludf.DUMMYFUNCTION("IF(REGEXMATCH(TRIM(I7520), ""^\d+\s*min""), ""Unclassified"", IF(I7520 = """", ""NR"", I7520))"),"TV-14")</f>
        <v>TV-14</v>
      </c>
      <c r="R7520" s="5" t="str">
        <f t="shared" si="2"/>
        <v>Mr. Gaga: A True Story Of Love And Dance</v>
      </c>
      <c r="S7520" s="5" t="str">
        <f>IFERROR(__xludf.DUMMYFUNCTION("""COMPUTED_VALUE"""),"The Mistress")</f>
        <v>The Mistress</v>
      </c>
      <c r="V7520" s="5"/>
      <c r="Y7520" s="5" t="str">
        <f>IFERROR(__xludf.DUMMYFUNCTION("REGEXEXTRACT(J7520, ""^\d+"")"),"102")</f>
        <v>102</v>
      </c>
      <c r="Z7520" s="5" t="str">
        <f>IFERROR(__xludf.DUMMYFUNCTION("REGEXEXTRACT(J7520, ""[A-Za-z ]+$"")")," min")</f>
        <v> min</v>
      </c>
      <c r="AA7520" s="5" t="str">
        <f>IFERROR(__xludf.DUMMYFUNCTION("IF(REGEXMATCH(Z7520, ""Season""), ""TV Show"", ""Movie"")"),"Movie")</f>
        <v>Movie</v>
      </c>
    </row>
    <row r="7521">
      <c r="A7521" s="1" t="s">
        <v>36631</v>
      </c>
      <c r="B7521" s="1" t="s">
        <v>27</v>
      </c>
      <c r="C7521" s="1" t="s">
        <v>36632</v>
      </c>
      <c r="D7521" s="1" t="s">
        <v>2244</v>
      </c>
      <c r="E7521" s="1" t="s">
        <v>36633</v>
      </c>
      <c r="F7521" s="1" t="s">
        <v>1119</v>
      </c>
      <c r="G7521" s="1" t="s">
        <v>24803</v>
      </c>
      <c r="H7521" s="1">
        <v>1984.0</v>
      </c>
      <c r="I7521" s="1" t="s">
        <v>97</v>
      </c>
      <c r="J7521" s="1" t="s">
        <v>1144</v>
      </c>
      <c r="K7521" s="1" t="s">
        <v>583</v>
      </c>
      <c r="L7521" s="1" t="s">
        <v>36634</v>
      </c>
      <c r="M7521" s="2" t="s">
        <v>12</v>
      </c>
      <c r="N7521" s="4">
        <f t="shared" si="1"/>
        <v>43328</v>
      </c>
      <c r="O7521" s="5" t="str">
        <f>IFERROR(__xludf.DUMMYFUNCTION("IF(REGEXMATCH(TRIM(I7521), ""^\d+\s*min""), ""Unclassified"", IF(I7521 = """", ""NR"", I7521))"),"TV-14")</f>
        <v>TV-14</v>
      </c>
      <c r="R7521" s="5" t="str">
        <f t="shared" si="2"/>
        <v>Mr. Virgin</v>
      </c>
      <c r="S7521" s="5" t="str">
        <f>IFERROR(__xludf.DUMMYFUNCTION("""COMPUTED_VALUE"""),"The Mitchells Vs. The Machines")</f>
        <v>The Mitchells Vs. The Machines</v>
      </c>
      <c r="V7521" s="5"/>
      <c r="Y7521" s="5" t="str">
        <f>IFERROR(__xludf.DUMMYFUNCTION("REGEXEXTRACT(J7521, ""^\d+"")"),"86")</f>
        <v>86</v>
      </c>
      <c r="Z7521" s="5" t="str">
        <f>IFERROR(__xludf.DUMMYFUNCTION("REGEXEXTRACT(J7521, ""[A-Za-z ]+$"")")," min")</f>
        <v> min</v>
      </c>
      <c r="AA7521" s="5" t="str">
        <f>IFERROR(__xludf.DUMMYFUNCTION("IF(REGEXMATCH(Z7521, ""Season""), ""TV Show"", ""Movie"")"),"Movie")</f>
        <v>Movie</v>
      </c>
    </row>
    <row r="7522">
      <c r="A7522" s="1" t="s">
        <v>36635</v>
      </c>
      <c r="B7522" s="1" t="s">
        <v>27</v>
      </c>
      <c r="C7522" s="1" t="s">
        <v>36636</v>
      </c>
      <c r="D7522" s="1" t="s">
        <v>5247</v>
      </c>
      <c r="E7522" s="1" t="s">
        <v>36637</v>
      </c>
      <c r="F7522" s="1" t="s">
        <v>30</v>
      </c>
      <c r="G7522" s="1" t="s">
        <v>19361</v>
      </c>
      <c r="H7522" s="1">
        <v>2007.0</v>
      </c>
      <c r="I7522" s="1" t="s">
        <v>32</v>
      </c>
      <c r="J7522" s="1" t="s">
        <v>428</v>
      </c>
      <c r="K7522" s="1" t="s">
        <v>239</v>
      </c>
      <c r="L7522" s="1" t="s">
        <v>36638</v>
      </c>
      <c r="M7522" s="2" t="s">
        <v>12</v>
      </c>
      <c r="N7522" s="4">
        <f t="shared" si="1"/>
        <v>43709</v>
      </c>
      <c r="O7522" s="5" t="str">
        <f>IFERROR(__xludf.DUMMYFUNCTION("IF(REGEXMATCH(TRIM(I7522), ""^\d+\s*min""), ""Unclassified"", IF(I7522 = """", ""NR"", I7522))"),"PG-13")</f>
        <v>PG-13</v>
      </c>
      <c r="R7522" s="5" t="str">
        <f t="shared" si="2"/>
        <v>Mr. Woodcock</v>
      </c>
      <c r="S7522" s="5" t="str">
        <f>IFERROR(__xludf.DUMMYFUNCTION("""COMPUTED_VALUE"""),"The Mitfords: A Tale Of Two Sisters")</f>
        <v>The Mitfords: A Tale Of Two Sisters</v>
      </c>
      <c r="V7522" s="5"/>
      <c r="Y7522" s="5" t="str">
        <f>IFERROR(__xludf.DUMMYFUNCTION("REGEXEXTRACT(J7522, ""^\d+"")"),"88")</f>
        <v>88</v>
      </c>
      <c r="Z7522" s="5" t="str">
        <f>IFERROR(__xludf.DUMMYFUNCTION("REGEXEXTRACT(J7522, ""[A-Za-z ]+$"")")," min")</f>
        <v> min</v>
      </c>
      <c r="AA7522" s="5" t="str">
        <f>IFERROR(__xludf.DUMMYFUNCTION("IF(REGEXMATCH(Z7522, ""Season""), ""TV Show"", ""Movie"")"),"Movie")</f>
        <v>Movie</v>
      </c>
    </row>
    <row r="7523">
      <c r="A7523" s="1" t="s">
        <v>36639</v>
      </c>
      <c r="B7523" s="1" t="s">
        <v>37</v>
      </c>
      <c r="C7523" s="1" t="s">
        <v>36640</v>
      </c>
      <c r="E7523" s="1" t="s">
        <v>36641</v>
      </c>
      <c r="F7523" s="1" t="s">
        <v>1106</v>
      </c>
      <c r="G7523" s="1" t="s">
        <v>36642</v>
      </c>
      <c r="H7523" s="1">
        <v>2013.0</v>
      </c>
      <c r="I7523" s="1" t="s">
        <v>506</v>
      </c>
      <c r="J7523" s="1" t="s">
        <v>43</v>
      </c>
      <c r="K7523" s="1" t="s">
        <v>314</v>
      </c>
      <c r="L7523" s="1" t="s">
        <v>36643</v>
      </c>
      <c r="M7523" s="2" t="s">
        <v>12</v>
      </c>
      <c r="N7523" s="1" t="str">
        <f t="shared" si="1"/>
        <v>#N/A</v>
      </c>
      <c r="O7523" s="5" t="str">
        <f>IFERROR(__xludf.DUMMYFUNCTION("IF(REGEXMATCH(TRIM(I7523), ""^\d+\s*min""), ""Unclassified"", IF(I7523 = """", ""NR"", I7523))"),"TV-G")</f>
        <v>TV-G</v>
      </c>
      <c r="R7523" s="5" t="str">
        <f t="shared" si="2"/>
        <v>Mr. Young</v>
      </c>
      <c r="S7523" s="5" t="str">
        <f>IFERROR(__xludf.DUMMYFUNCTION("""COMPUTED_VALUE"""),"The Model")</f>
        <v>The Model</v>
      </c>
      <c r="V7523" s="5"/>
      <c r="Y7523" s="5" t="str">
        <f>IFERROR(__xludf.DUMMYFUNCTION("REGEXEXTRACT(J7523, ""^\d+"")"),"2")</f>
        <v>2</v>
      </c>
      <c r="Z7523" s="5" t="str">
        <f>IFERROR(__xludf.DUMMYFUNCTION("REGEXEXTRACT(J7523, ""[A-Za-z ]+$"")")," Seasons")</f>
        <v> Seasons</v>
      </c>
      <c r="AA7523" s="5" t="str">
        <f>IFERROR(__xludf.DUMMYFUNCTION("IF(REGEXMATCH(Z7523, ""Season""), ""TV Show"", ""Movie"")"),"TV Show")</f>
        <v>TV Show</v>
      </c>
    </row>
    <row r="7524">
      <c r="A7524" s="1" t="s">
        <v>36644</v>
      </c>
      <c r="B7524" s="1" t="s">
        <v>27</v>
      </c>
      <c r="C7524" s="1" t="s">
        <v>36645</v>
      </c>
      <c r="D7524" s="1" t="s">
        <v>13787</v>
      </c>
      <c r="E7524" s="1" t="s">
        <v>36646</v>
      </c>
      <c r="F7524" s="1" t="s">
        <v>3309</v>
      </c>
      <c r="G7524" s="1" t="s">
        <v>20510</v>
      </c>
      <c r="H7524" s="1">
        <v>2012.0</v>
      </c>
      <c r="I7524" s="1" t="s">
        <v>97</v>
      </c>
      <c r="J7524" s="1" t="s">
        <v>33</v>
      </c>
      <c r="K7524" s="1" t="s">
        <v>199</v>
      </c>
      <c r="L7524" s="1" t="s">
        <v>36647</v>
      </c>
      <c r="M7524" s="2" t="s">
        <v>12</v>
      </c>
      <c r="N7524" s="4">
        <f t="shared" si="1"/>
        <v>43622</v>
      </c>
      <c r="O7524" s="5" t="str">
        <f>IFERROR(__xludf.DUMMYFUNCTION("IF(REGEXMATCH(TRIM(I7524), ""^\d+\s*min""), ""Unclassified"", IF(I7524 = """", ""NR"", I7524))"),"TV-14")</f>
        <v>TV-14</v>
      </c>
      <c r="R7524" s="5" t="str">
        <f t="shared" si="2"/>
        <v>Ms. Mammy</v>
      </c>
      <c r="S7524" s="5" t="str">
        <f>IFERROR(__xludf.DUMMYFUNCTION("""COMPUTED_VALUE"""),"The Mole")</f>
        <v>The Mole</v>
      </c>
      <c r="V7524" s="5"/>
      <c r="Y7524" s="5" t="str">
        <f>IFERROR(__xludf.DUMMYFUNCTION("REGEXEXTRACT(J7524, ""^\d+"")"),"90")</f>
        <v>90</v>
      </c>
      <c r="Z7524" s="5" t="str">
        <f>IFERROR(__xludf.DUMMYFUNCTION("REGEXEXTRACT(J7524, ""[A-Za-z ]+$"")")," min")</f>
        <v> min</v>
      </c>
      <c r="AA7524" s="5" t="str">
        <f>IFERROR(__xludf.DUMMYFUNCTION("IF(REGEXMATCH(Z7524, ""Season""), ""TV Show"", ""Movie"")"),"Movie")</f>
        <v>Movie</v>
      </c>
    </row>
    <row r="7525">
      <c r="A7525" s="1" t="s">
        <v>36648</v>
      </c>
      <c r="B7525" s="1" t="s">
        <v>27</v>
      </c>
      <c r="C7525" s="1" t="s">
        <v>36649</v>
      </c>
      <c r="D7525" s="1" t="s">
        <v>9820</v>
      </c>
      <c r="E7525" s="1" t="s">
        <v>36650</v>
      </c>
      <c r="F7525" s="1" t="s">
        <v>30</v>
      </c>
      <c r="G7525" s="1" t="s">
        <v>8506</v>
      </c>
      <c r="H7525" s="1">
        <v>2012.0</v>
      </c>
      <c r="I7525" s="1" t="s">
        <v>32</v>
      </c>
      <c r="J7525" s="1" t="s">
        <v>2859</v>
      </c>
      <c r="K7525" s="1" t="s">
        <v>1320</v>
      </c>
      <c r="L7525" s="1" t="s">
        <v>36651</v>
      </c>
      <c r="M7525" s="2" t="s">
        <v>12</v>
      </c>
      <c r="N7525" s="4">
        <f t="shared" si="1"/>
        <v>44197</v>
      </c>
      <c r="O7525" s="5" t="str">
        <f>IFERROR(__xludf.DUMMYFUNCTION("IF(REGEXMATCH(TRIM(I7525), ""^\d+\s*min""), ""Unclassified"", IF(I7525 = """", ""NR"", I7525))"),"PG-13")</f>
        <v>PG-13</v>
      </c>
      <c r="R7525" s="5" t="str">
        <f t="shared" si="2"/>
        <v>Mud</v>
      </c>
      <c r="S7525" s="5" t="str">
        <f>IFERROR(__xludf.DUMMYFUNCTION("""COMPUTED_VALUE"""),"The Monster")</f>
        <v>The Monster</v>
      </c>
      <c r="V7525" s="5"/>
      <c r="Y7525" s="5" t="str">
        <f>IFERROR(__xludf.DUMMYFUNCTION("REGEXEXTRACT(J7525, ""^\d+"")"),"131")</f>
        <v>131</v>
      </c>
      <c r="Z7525" s="5" t="str">
        <f>IFERROR(__xludf.DUMMYFUNCTION("REGEXEXTRACT(J7525, ""[A-Za-z ]+$"")")," min")</f>
        <v> min</v>
      </c>
      <c r="AA7525" s="5" t="str">
        <f>IFERROR(__xludf.DUMMYFUNCTION("IF(REGEXMATCH(Z7525, ""Season""), ""TV Show"", ""Movie"")"),"Movie")</f>
        <v>Movie</v>
      </c>
    </row>
    <row r="7526">
      <c r="A7526" s="1" t="s">
        <v>36652</v>
      </c>
      <c r="B7526" s="1" t="s">
        <v>27</v>
      </c>
      <c r="C7526" s="1" t="s">
        <v>36653</v>
      </c>
      <c r="D7526" s="1" t="s">
        <v>1405</v>
      </c>
      <c r="E7526" s="1" t="s">
        <v>36654</v>
      </c>
      <c r="F7526" s="1" t="s">
        <v>63</v>
      </c>
      <c r="G7526" s="1" t="s">
        <v>17078</v>
      </c>
      <c r="H7526" s="1">
        <v>2004.0</v>
      </c>
      <c r="I7526" s="1" t="s">
        <v>136</v>
      </c>
      <c r="J7526" s="1" t="s">
        <v>6611</v>
      </c>
      <c r="K7526" s="1" t="s">
        <v>215</v>
      </c>
      <c r="L7526" s="1" t="s">
        <v>36655</v>
      </c>
      <c r="M7526" s="2" t="s">
        <v>12</v>
      </c>
      <c r="N7526" s="4">
        <f t="shared" si="1"/>
        <v>43830</v>
      </c>
      <c r="O7526" s="5" t="str">
        <f>IFERROR(__xludf.DUMMYFUNCTION("IF(REGEXMATCH(TRIM(I7526), ""^\d+\s*min""), ""Unclassified"", IF(I7526 = """", ""NR"", I7526))"),"TV-PG")</f>
        <v>TV-PG</v>
      </c>
      <c r="R7526" s="5" t="str">
        <f t="shared" si="2"/>
        <v>Mujhse Shaadi Karogi</v>
      </c>
      <c r="S7526" s="5" t="str">
        <f>IFERROR(__xludf.DUMMYFUNCTION("""COMPUTED_VALUE"""),"The Monster Of Mangatiti")</f>
        <v>The Monster Of Mangatiti</v>
      </c>
      <c r="V7526" s="5"/>
      <c r="Y7526" s="5" t="str">
        <f>IFERROR(__xludf.DUMMYFUNCTION("REGEXEXTRACT(J7526, ""^\d+"")"),"158")</f>
        <v>158</v>
      </c>
      <c r="Z7526" s="5" t="str">
        <f>IFERROR(__xludf.DUMMYFUNCTION("REGEXEXTRACT(J7526, ""[A-Za-z ]+$"")")," min")</f>
        <v> min</v>
      </c>
      <c r="AA7526" s="5" t="str">
        <f>IFERROR(__xludf.DUMMYFUNCTION("IF(REGEXMATCH(Z7526, ""Season""), ""TV Show"", ""Movie"")"),"Movie")</f>
        <v>Movie</v>
      </c>
    </row>
    <row r="7527">
      <c r="A7527" s="1" t="s">
        <v>36656</v>
      </c>
      <c r="B7527" s="1" t="s">
        <v>27</v>
      </c>
      <c r="C7527" s="1" t="s">
        <v>36657</v>
      </c>
      <c r="D7527" s="1" t="s">
        <v>1251</v>
      </c>
      <c r="E7527" s="1" t="s">
        <v>36658</v>
      </c>
      <c r="F7527" s="1" t="s">
        <v>664</v>
      </c>
      <c r="G7527" s="1" t="s">
        <v>26326</v>
      </c>
      <c r="H7527" s="1">
        <v>2014.0</v>
      </c>
      <c r="I7527" s="1" t="s">
        <v>78</v>
      </c>
      <c r="J7527" s="1" t="s">
        <v>471</v>
      </c>
      <c r="K7527" s="1" t="s">
        <v>80</v>
      </c>
      <c r="L7527" s="1" t="s">
        <v>36659</v>
      </c>
      <c r="M7527" s="2" t="s">
        <v>12</v>
      </c>
      <c r="N7527" s="4">
        <f t="shared" si="1"/>
        <v>43126</v>
      </c>
      <c r="O7527" s="5" t="str">
        <f>IFERROR(__xludf.DUMMYFUNCTION("IF(REGEXMATCH(TRIM(I7527), ""^\d+\s*min""), ""Unclassified"", IF(I7527 = """", ""NR"", I7527))"),"PG")</f>
        <v>PG</v>
      </c>
      <c r="R7527" s="5" t="str">
        <f t="shared" si="2"/>
        <v>Mune: Guardian Of The Moon</v>
      </c>
      <c r="S7527" s="5" t="str">
        <f>IFERROR(__xludf.DUMMYFUNCTION("""COMPUTED_VALUE"""),"The Mortified Guide")</f>
        <v>The Mortified Guide</v>
      </c>
      <c r="V7527" s="5"/>
      <c r="Y7527" s="5" t="str">
        <f>IFERROR(__xludf.DUMMYFUNCTION("REGEXEXTRACT(J7527, ""^\d+"")"),"85")</f>
        <v>85</v>
      </c>
      <c r="Z7527" s="5" t="str">
        <f>IFERROR(__xludf.DUMMYFUNCTION("REGEXEXTRACT(J7527, ""[A-Za-z ]+$"")")," min")</f>
        <v> min</v>
      </c>
      <c r="AA7527" s="5" t="str">
        <f>IFERROR(__xludf.DUMMYFUNCTION("IF(REGEXMATCH(Z7527, ""Season""), ""TV Show"", ""Movie"")"),"Movie")</f>
        <v>Movie</v>
      </c>
    </row>
    <row r="7528">
      <c r="A7528" s="1" t="s">
        <v>36660</v>
      </c>
      <c r="B7528" s="1" t="s">
        <v>27</v>
      </c>
      <c r="C7528" s="1" t="s">
        <v>36661</v>
      </c>
      <c r="D7528" s="1" t="s">
        <v>9979</v>
      </c>
      <c r="E7528" s="1" t="s">
        <v>36662</v>
      </c>
      <c r="F7528" s="1" t="s">
        <v>30</v>
      </c>
      <c r="G7528" s="1" t="s">
        <v>11804</v>
      </c>
      <c r="H7528" s="1">
        <v>2014.0</v>
      </c>
      <c r="I7528" s="1" t="s">
        <v>78</v>
      </c>
      <c r="J7528" s="1" t="s">
        <v>297</v>
      </c>
      <c r="K7528" s="1" t="s">
        <v>137</v>
      </c>
      <c r="L7528" s="1" t="s">
        <v>36663</v>
      </c>
      <c r="M7528" s="2" t="s">
        <v>12</v>
      </c>
      <c r="N7528" s="4">
        <f t="shared" si="1"/>
        <v>44075</v>
      </c>
      <c r="O7528" s="5" t="str">
        <f>IFERROR(__xludf.DUMMYFUNCTION("IF(REGEXMATCH(TRIM(I7528), ""^\d+\s*min""), ""Unclassified"", IF(I7528 = """", ""NR"", I7528))"),"PG")</f>
        <v>PG</v>
      </c>
      <c r="R7528" s="5" t="str">
        <f t="shared" si="2"/>
        <v>Muppets Most Wanted</v>
      </c>
      <c r="S7528" s="5" t="str">
        <f>IFERROR(__xludf.DUMMYFUNCTION("""COMPUTED_VALUE"""),"The Most Assassinated Woman In The World")</f>
        <v>The Most Assassinated Woman In The World</v>
      </c>
      <c r="V7528" s="5"/>
      <c r="Y7528" s="5" t="str">
        <f>IFERROR(__xludf.DUMMYFUNCTION("REGEXEXTRACT(J7528, ""^\d+"")"),"110")</f>
        <v>110</v>
      </c>
      <c r="Z7528" s="5" t="str">
        <f>IFERROR(__xludf.DUMMYFUNCTION("REGEXEXTRACT(J7528, ""[A-Za-z ]+$"")")," min")</f>
        <v> min</v>
      </c>
      <c r="AA7528" s="5" t="str">
        <f>IFERROR(__xludf.DUMMYFUNCTION("IF(REGEXMATCH(Z7528, ""Season""), ""TV Show"", ""Movie"")"),"Movie")</f>
        <v>Movie</v>
      </c>
    </row>
    <row r="7529">
      <c r="A7529" s="1" t="s">
        <v>36664</v>
      </c>
      <c r="B7529" s="1" t="s">
        <v>27</v>
      </c>
      <c r="C7529" s="1" t="s">
        <v>36665</v>
      </c>
      <c r="D7529" s="1" t="s">
        <v>10829</v>
      </c>
      <c r="E7529" s="1" t="s">
        <v>36666</v>
      </c>
      <c r="F7529" s="1" t="s">
        <v>30</v>
      </c>
      <c r="G7529" s="1" t="s">
        <v>24649</v>
      </c>
      <c r="H7529" s="1">
        <v>2007.0</v>
      </c>
      <c r="I7529" s="1" t="s">
        <v>30231</v>
      </c>
      <c r="J7529" s="1" t="s">
        <v>6391</v>
      </c>
      <c r="K7529" s="1" t="s">
        <v>35334</v>
      </c>
      <c r="L7529" s="1" t="s">
        <v>36667</v>
      </c>
      <c r="M7529" s="2" t="s">
        <v>12</v>
      </c>
      <c r="N7529" s="4">
        <f t="shared" si="1"/>
        <v>43344</v>
      </c>
      <c r="O7529" s="5" t="str">
        <f>IFERROR(__xludf.DUMMYFUNCTION("IF(REGEXMATCH(TRIM(I7529), ""^\d+\s*min""), ""Unclassified"", IF(I7529 = """", ""NR"", I7529))"),"NR")</f>
        <v>NR</v>
      </c>
      <c r="R7529" s="5" t="str">
        <f t="shared" si="2"/>
        <v>Murder Party</v>
      </c>
      <c r="S7529" s="5" t="str">
        <f>IFERROR(__xludf.DUMMYFUNCTION("""COMPUTED_VALUE"""),"The Most Beautiful Hands Of Delhi")</f>
        <v>The Most Beautiful Hands Of Delhi</v>
      </c>
      <c r="V7529" s="5"/>
      <c r="Y7529" s="5" t="str">
        <f>IFERROR(__xludf.DUMMYFUNCTION("REGEXEXTRACT(J7529, ""^\d+"")"),"79")</f>
        <v>79</v>
      </c>
      <c r="Z7529" s="5" t="str">
        <f>IFERROR(__xludf.DUMMYFUNCTION("REGEXEXTRACT(J7529, ""[A-Za-z ]+$"")")," min")</f>
        <v> min</v>
      </c>
      <c r="AA7529" s="5" t="str">
        <f>IFERROR(__xludf.DUMMYFUNCTION("IF(REGEXMATCH(Z7529, ""Season""), ""TV Show"", ""Movie"")"),"Movie")</f>
        <v>Movie</v>
      </c>
    </row>
    <row r="7530">
      <c r="A7530" s="1" t="s">
        <v>36668</v>
      </c>
      <c r="B7530" s="1" t="s">
        <v>37</v>
      </c>
      <c r="C7530" s="1" t="s">
        <v>36669</v>
      </c>
      <c r="F7530" s="1" t="s">
        <v>30</v>
      </c>
      <c r="G7530" s="1" t="s">
        <v>25738</v>
      </c>
      <c r="H7530" s="1">
        <v>2017.0</v>
      </c>
      <c r="I7530" s="1" t="s">
        <v>42</v>
      </c>
      <c r="J7530" s="1" t="s">
        <v>276</v>
      </c>
      <c r="K7530" s="1" t="s">
        <v>2043</v>
      </c>
      <c r="L7530" s="1" t="s">
        <v>36670</v>
      </c>
      <c r="M7530" s="2" t="s">
        <v>12</v>
      </c>
      <c r="N7530" s="4">
        <f t="shared" si="1"/>
        <v>43207</v>
      </c>
      <c r="O7530" s="5" t="str">
        <f>IFERROR(__xludf.DUMMYFUNCTION("IF(REGEXMATCH(TRIM(I7530), ""^\d+\s*min""), ""Unclassified"", IF(I7530 = """", ""NR"", I7530))"),"TV-MA")</f>
        <v>TV-MA</v>
      </c>
      <c r="R7530" s="5" t="str">
        <f t="shared" si="2"/>
        <v>Murderous Affairs</v>
      </c>
      <c r="S7530" s="5" t="str">
        <f>IFERROR(__xludf.DUMMYFUNCTION("""COMPUTED_VALUE"""),"The Most Hated Woman In America")</f>
        <v>The Most Hated Woman In America</v>
      </c>
      <c r="V7530" s="5"/>
      <c r="Y7530" s="5" t="str">
        <f>IFERROR(__xludf.DUMMYFUNCTION("REGEXEXTRACT(J7530, ""^\d+"")"),"3")</f>
        <v>3</v>
      </c>
      <c r="Z7530" s="5" t="str">
        <f>IFERROR(__xludf.DUMMYFUNCTION("REGEXEXTRACT(J7530, ""[A-Za-z ]+$"")")," Seasons")</f>
        <v> Seasons</v>
      </c>
      <c r="AA7530" s="5" t="str">
        <f>IFERROR(__xludf.DUMMYFUNCTION("IF(REGEXMATCH(Z7530, ""Season""), ""TV Show"", ""Movie"")"),"TV Show")</f>
        <v>TV Show</v>
      </c>
    </row>
    <row r="7531">
      <c r="A7531" s="1" t="s">
        <v>36671</v>
      </c>
      <c r="B7531" s="1" t="s">
        <v>37</v>
      </c>
      <c r="C7531" s="1" t="s">
        <v>36672</v>
      </c>
      <c r="E7531" s="1" t="s">
        <v>36673</v>
      </c>
      <c r="F7531" s="1" t="s">
        <v>784</v>
      </c>
      <c r="G7531" s="1" t="s">
        <v>36674</v>
      </c>
      <c r="H7531" s="1">
        <v>2017.0</v>
      </c>
      <c r="I7531" s="1" t="s">
        <v>136</v>
      </c>
      <c r="J7531" s="1" t="s">
        <v>43</v>
      </c>
      <c r="K7531" s="1" t="s">
        <v>314</v>
      </c>
      <c r="L7531" s="1" t="s">
        <v>36675</v>
      </c>
      <c r="M7531" s="2" t="s">
        <v>12</v>
      </c>
      <c r="N7531" s="1" t="str">
        <f t="shared" si="1"/>
        <v>#N/A</v>
      </c>
      <c r="O7531" s="5" t="str">
        <f>IFERROR(__xludf.DUMMYFUNCTION("IF(REGEXMATCH(TRIM(I7531), ""^\d+\s*min""), ""Unclassified"", IF(I7531 = """", ""NR"", I7531))"),"TV-PG")</f>
        <v>TV-PG</v>
      </c>
      <c r="R7531" s="5" t="str">
        <f t="shared" si="2"/>
        <v>Mutant Busters</v>
      </c>
      <c r="S7531" s="5" t="str">
        <f>IFERROR(__xludf.DUMMYFUNCTION("""COMPUTED_VALUE"""),"The Most Unknown")</f>
        <v>The Most Unknown</v>
      </c>
      <c r="V7531" s="5"/>
      <c r="Y7531" s="5" t="str">
        <f>IFERROR(__xludf.DUMMYFUNCTION("REGEXEXTRACT(J7531, ""^\d+"")"),"2")</f>
        <v>2</v>
      </c>
      <c r="Z7531" s="5" t="str">
        <f>IFERROR(__xludf.DUMMYFUNCTION("REGEXEXTRACT(J7531, ""[A-Za-z ]+$"")")," Seasons")</f>
        <v> Seasons</v>
      </c>
      <c r="AA7531" s="5" t="str">
        <f>IFERROR(__xludf.DUMMYFUNCTION("IF(REGEXMATCH(Z7531, ""Season""), ""TV Show"", ""Movie"")"),"TV Show")</f>
        <v>TV Show</v>
      </c>
    </row>
    <row r="7532">
      <c r="A7532" s="1" t="s">
        <v>36676</v>
      </c>
      <c r="B7532" s="1" t="s">
        <v>27</v>
      </c>
      <c r="C7532" s="1" t="s">
        <v>36677</v>
      </c>
      <c r="D7532" s="1" t="s">
        <v>13735</v>
      </c>
      <c r="E7532" s="1" t="s">
        <v>36678</v>
      </c>
      <c r="F7532" s="1" t="s">
        <v>30</v>
      </c>
      <c r="G7532" s="1" t="s">
        <v>18333</v>
      </c>
      <c r="H7532" s="1">
        <v>1962.0</v>
      </c>
      <c r="I7532" s="1" t="s">
        <v>136</v>
      </c>
      <c r="J7532" s="1" t="s">
        <v>6717</v>
      </c>
      <c r="K7532" s="1" t="s">
        <v>342</v>
      </c>
      <c r="L7532" s="1" t="s">
        <v>36679</v>
      </c>
      <c r="M7532" s="2" t="s">
        <v>12</v>
      </c>
      <c r="N7532" s="4">
        <f t="shared" si="1"/>
        <v>43770</v>
      </c>
      <c r="O7532" s="5" t="str">
        <f>IFERROR(__xludf.DUMMYFUNCTION("IF(REGEXMATCH(TRIM(I7532), ""^\d+\s*min""), ""Unclassified"", IF(I7532 = """", ""NR"", I7532))"),"TV-PG")</f>
        <v>TV-PG</v>
      </c>
      <c r="R7532" s="5" t="str">
        <f t="shared" si="2"/>
        <v>Mutiny On The Bounty</v>
      </c>
      <c r="S7532" s="5" t="str">
        <f>IFERROR(__xludf.DUMMYFUNCTION("""COMPUTED_VALUE"""),"The Motive")</f>
        <v>The Motive</v>
      </c>
      <c r="V7532" s="5"/>
      <c r="Y7532" s="5" t="str">
        <f>IFERROR(__xludf.DUMMYFUNCTION("REGEXEXTRACT(J7532, ""^\d+"")"),"185")</f>
        <v>185</v>
      </c>
      <c r="Z7532" s="5" t="str">
        <f>IFERROR(__xludf.DUMMYFUNCTION("REGEXEXTRACT(J7532, ""[A-Za-z ]+$"")")," min")</f>
        <v> min</v>
      </c>
      <c r="AA7532" s="5" t="str">
        <f>IFERROR(__xludf.DUMMYFUNCTION("IF(REGEXMATCH(Z7532, ""Season""), ""TV Show"", ""Movie"")"),"Movie")</f>
        <v>Movie</v>
      </c>
    </row>
    <row r="7533">
      <c r="A7533" s="1" t="s">
        <v>36680</v>
      </c>
      <c r="B7533" s="1" t="s">
        <v>27</v>
      </c>
      <c r="C7533" s="1" t="s">
        <v>36681</v>
      </c>
      <c r="D7533" s="1" t="s">
        <v>36682</v>
      </c>
      <c r="E7533" s="1" t="s">
        <v>36683</v>
      </c>
      <c r="F7533" s="1" t="s">
        <v>1106</v>
      </c>
      <c r="G7533" s="1" t="s">
        <v>23955</v>
      </c>
      <c r="H7533" s="1">
        <v>2010.0</v>
      </c>
      <c r="I7533" s="1" t="s">
        <v>136</v>
      </c>
      <c r="J7533" s="1" t="s">
        <v>729</v>
      </c>
      <c r="K7533" s="1" t="s">
        <v>137</v>
      </c>
      <c r="L7533" s="1" t="s">
        <v>36684</v>
      </c>
      <c r="M7533" s="2" t="s">
        <v>12</v>
      </c>
      <c r="N7533" s="4">
        <f t="shared" si="1"/>
        <v>43390</v>
      </c>
      <c r="O7533" s="5" t="str">
        <f>IFERROR(__xludf.DUMMYFUNCTION("IF(REGEXMATCH(TRIM(I7533), ""^\d+\s*min""), ""Unclassified"", IF(I7533 = """", ""NR"", I7533))"),"TV-PG")</f>
        <v>TV-PG</v>
      </c>
      <c r="R7533" s="5" t="str">
        <f t="shared" si="2"/>
        <v>My Babysitter'S A Vampire: The Movie</v>
      </c>
      <c r="S7533" s="5" t="str">
        <f>IFERROR(__xludf.DUMMYFUNCTION("""COMPUTED_VALUE"""),"The Movies That Made Us")</f>
        <v>The Movies That Made Us</v>
      </c>
      <c r="V7533" s="5"/>
      <c r="Y7533" s="5" t="str">
        <f>IFERROR(__xludf.DUMMYFUNCTION("REGEXEXTRACT(J7533, ""^\d+"")"),"80")</f>
        <v>80</v>
      </c>
      <c r="Z7533" s="5" t="str">
        <f>IFERROR(__xludf.DUMMYFUNCTION("REGEXEXTRACT(J7533, ""[A-Za-z ]+$"")")," min")</f>
        <v> min</v>
      </c>
      <c r="AA7533" s="5" t="str">
        <f>IFERROR(__xludf.DUMMYFUNCTION("IF(REGEXMATCH(Z7533, ""Season""), ""TV Show"", ""Movie"")"),"Movie")</f>
        <v>Movie</v>
      </c>
    </row>
    <row r="7534">
      <c r="A7534" s="1" t="s">
        <v>36685</v>
      </c>
      <c r="B7534" s="1" t="s">
        <v>27</v>
      </c>
      <c r="C7534" s="1" t="s">
        <v>36686</v>
      </c>
      <c r="D7534" s="1" t="s">
        <v>17296</v>
      </c>
      <c r="E7534" s="1" t="s">
        <v>36687</v>
      </c>
      <c r="F7534" s="1" t="s">
        <v>63</v>
      </c>
      <c r="G7534" s="1" t="s">
        <v>23794</v>
      </c>
      <c r="H7534" s="1">
        <v>2005.0</v>
      </c>
      <c r="I7534" s="1" t="s">
        <v>136</v>
      </c>
      <c r="J7534" s="1" t="s">
        <v>349</v>
      </c>
      <c r="K7534" s="1" t="s">
        <v>89</v>
      </c>
      <c r="L7534" s="1" t="s">
        <v>36688</v>
      </c>
      <c r="M7534" s="2" t="s">
        <v>12</v>
      </c>
      <c r="N7534" s="4">
        <f t="shared" si="1"/>
        <v>43403</v>
      </c>
      <c r="O7534" s="5" t="str">
        <f>IFERROR(__xludf.DUMMYFUNCTION("IF(REGEXMATCH(TRIM(I7534), ""^\d+\s*min""), ""Unclassified"", IF(I7534 = """", ""NR"", I7534))"),"TV-PG")</f>
        <v>TV-PG</v>
      </c>
      <c r="R7534" s="5" t="str">
        <f t="shared" si="2"/>
        <v>My Brother ... Nikhil</v>
      </c>
      <c r="S7534" s="5" t="str">
        <f>IFERROR(__xludf.DUMMYFUNCTION("""COMPUTED_VALUE"""),"The Mr. Peabody And Sherman Show")</f>
        <v>The Mr. Peabody And Sherman Show</v>
      </c>
      <c r="V7534" s="5"/>
      <c r="Y7534" s="5" t="str">
        <f>IFERROR(__xludf.DUMMYFUNCTION("REGEXEXTRACT(J7534, ""^\d+"")"),"116")</f>
        <v>116</v>
      </c>
      <c r="Z7534" s="5" t="str">
        <f>IFERROR(__xludf.DUMMYFUNCTION("REGEXEXTRACT(J7534, ""[A-Za-z ]+$"")")," min")</f>
        <v> min</v>
      </c>
      <c r="AA7534" s="5" t="str">
        <f>IFERROR(__xludf.DUMMYFUNCTION("IF(REGEXMATCH(Z7534, ""Season""), ""TV Show"", ""Movie"")"),"Movie")</f>
        <v>Movie</v>
      </c>
    </row>
    <row r="7535">
      <c r="A7535" s="1" t="s">
        <v>36689</v>
      </c>
      <c r="B7535" s="1" t="s">
        <v>27</v>
      </c>
      <c r="C7535" s="1" t="s">
        <v>36690</v>
      </c>
      <c r="D7535" s="1" t="s">
        <v>23517</v>
      </c>
      <c r="E7535" s="1" t="s">
        <v>36691</v>
      </c>
      <c r="F7535" s="1" t="s">
        <v>30</v>
      </c>
      <c r="G7535" s="1" t="s">
        <v>30548</v>
      </c>
      <c r="H7535" s="1">
        <v>2017.0</v>
      </c>
      <c r="I7535" s="1" t="s">
        <v>97</v>
      </c>
      <c r="J7535" s="1" t="s">
        <v>465</v>
      </c>
      <c r="K7535" s="1" t="s">
        <v>1198</v>
      </c>
      <c r="L7535" s="1" t="s">
        <v>36692</v>
      </c>
      <c r="M7535" s="2" t="s">
        <v>12</v>
      </c>
      <c r="N7535" s="4">
        <f t="shared" si="1"/>
        <v>43263</v>
      </c>
      <c r="O7535" s="5" t="str">
        <f>IFERROR(__xludf.DUMMYFUNCTION("IF(REGEXMATCH(TRIM(I7535), ""^\d+\s*min""), ""Unclassified"", IF(I7535 = """", ""NR"", I7535))"),"TV-14")</f>
        <v>TV-14</v>
      </c>
      <c r="R7535" s="5" t="str">
        <f t="shared" si="2"/>
        <v>My Daddy Is In Heaven</v>
      </c>
      <c r="S7535" s="5" t="str">
        <f>IFERROR(__xludf.DUMMYFUNCTION("""COMPUTED_VALUE"""),"The Muppets")</f>
        <v>The Muppets</v>
      </c>
      <c r="V7535" s="5"/>
      <c r="Y7535" s="5" t="str">
        <f>IFERROR(__xludf.DUMMYFUNCTION("REGEXEXTRACT(J7535, ""^\d+"")"),"95")</f>
        <v>95</v>
      </c>
      <c r="Z7535" s="5" t="str">
        <f>IFERROR(__xludf.DUMMYFUNCTION("REGEXEXTRACT(J7535, ""[A-Za-z ]+$"")")," min")</f>
        <v> min</v>
      </c>
      <c r="AA7535" s="5" t="str">
        <f>IFERROR(__xludf.DUMMYFUNCTION("IF(REGEXMATCH(Z7535, ""Season""), ""TV Show"", ""Movie"")"),"Movie")</f>
        <v>Movie</v>
      </c>
    </row>
    <row r="7536">
      <c r="A7536" s="1" t="s">
        <v>36693</v>
      </c>
      <c r="B7536" s="1" t="s">
        <v>27</v>
      </c>
      <c r="C7536" s="1" t="s">
        <v>36694</v>
      </c>
      <c r="D7536" s="1" t="s">
        <v>9725</v>
      </c>
      <c r="E7536" s="1" t="s">
        <v>36695</v>
      </c>
      <c r="F7536" s="1" t="s">
        <v>3309</v>
      </c>
      <c r="G7536" s="1" t="s">
        <v>30396</v>
      </c>
      <c r="H7536" s="1">
        <v>2013.0</v>
      </c>
      <c r="I7536" s="1" t="s">
        <v>97</v>
      </c>
      <c r="J7536" s="1" t="s">
        <v>416</v>
      </c>
      <c r="K7536" s="1" t="s">
        <v>199</v>
      </c>
      <c r="L7536" s="1" t="s">
        <v>36696</v>
      </c>
      <c r="M7536" s="2" t="s">
        <v>12</v>
      </c>
      <c r="N7536" s="4">
        <f t="shared" si="1"/>
        <v>43573</v>
      </c>
      <c r="O7536" s="5" t="str">
        <f>IFERROR(__xludf.DUMMYFUNCTION("IF(REGEXMATCH(TRIM(I7536), ""^\d+\s*min""), ""Unclassified"", IF(I7536 = """", ""NR"", I7536))"),"TV-14")</f>
        <v>TV-14</v>
      </c>
      <c r="R7536" s="5" t="str">
        <f t="shared" si="2"/>
        <v>My Dog Is My Guide</v>
      </c>
      <c r="S7536" s="5" t="str">
        <f>IFERROR(__xludf.DUMMYFUNCTION("""COMPUTED_VALUE"""),"The Murder Detectives")</f>
        <v>The Murder Detectives</v>
      </c>
      <c r="V7536" s="5"/>
      <c r="Y7536" s="5" t="str">
        <f>IFERROR(__xludf.DUMMYFUNCTION("REGEXEXTRACT(J7536, ""^\d+"")"),"99")</f>
        <v>99</v>
      </c>
      <c r="Z7536" s="5" t="str">
        <f>IFERROR(__xludf.DUMMYFUNCTION("REGEXEXTRACT(J7536, ""[A-Za-z ]+$"")")," min")</f>
        <v> min</v>
      </c>
      <c r="AA7536" s="5" t="str">
        <f>IFERROR(__xludf.DUMMYFUNCTION("IF(REGEXMATCH(Z7536, ""Season""), ""TV Show"", ""Movie"")"),"Movie")</f>
        <v>Movie</v>
      </c>
    </row>
    <row r="7537">
      <c r="A7537" s="1" t="s">
        <v>36697</v>
      </c>
      <c r="B7537" s="1" t="s">
        <v>27</v>
      </c>
      <c r="C7537" s="1" t="s">
        <v>36698</v>
      </c>
      <c r="D7537" s="1" t="s">
        <v>5746</v>
      </c>
      <c r="E7537" s="1" t="s">
        <v>36699</v>
      </c>
      <c r="F7537" s="1" t="s">
        <v>30</v>
      </c>
      <c r="G7537" s="1" t="s">
        <v>26358</v>
      </c>
      <c r="H7537" s="1">
        <v>2016.0</v>
      </c>
      <c r="I7537" s="1" t="s">
        <v>32</v>
      </c>
      <c r="J7537" s="1" t="s">
        <v>4558</v>
      </c>
      <c r="K7537" s="1" t="s">
        <v>1749</v>
      </c>
      <c r="L7537" s="1" t="s">
        <v>36700</v>
      </c>
      <c r="M7537" s="2" t="s">
        <v>12</v>
      </c>
      <c r="N7537" s="4">
        <f t="shared" si="1"/>
        <v>43123</v>
      </c>
      <c r="O7537" s="5" t="str">
        <f>IFERROR(__xludf.DUMMYFUNCTION("IF(REGEXMATCH(TRIM(I7537), ""^\d+\s*min""), ""Unclassified"", IF(I7537 = """", ""NR"", I7537))"),"PG-13")</f>
        <v>PG-13</v>
      </c>
      <c r="R7537" s="5" t="str">
        <f t="shared" si="2"/>
        <v>My Entire High School Sinking Into The Sea</v>
      </c>
      <c r="S7537" s="5" t="str">
        <f>IFERROR(__xludf.DUMMYFUNCTION("""COMPUTED_VALUE"""),"The Music Of Silence")</f>
        <v>The Music Of Silence</v>
      </c>
      <c r="V7537" s="5"/>
      <c r="Y7537" s="5" t="str">
        <f>IFERROR(__xludf.DUMMYFUNCTION("REGEXEXTRACT(J7537, ""^\d+"")"),"77")</f>
        <v>77</v>
      </c>
      <c r="Z7537" s="5" t="str">
        <f>IFERROR(__xludf.DUMMYFUNCTION("REGEXEXTRACT(J7537, ""[A-Za-z ]+$"")")," min")</f>
        <v> min</v>
      </c>
      <c r="AA7537" s="5" t="str">
        <f>IFERROR(__xludf.DUMMYFUNCTION("IF(REGEXMATCH(Z7537, ""Season""), ""TV Show"", ""Movie"")"),"Movie")</f>
        <v>Movie</v>
      </c>
    </row>
    <row r="7538">
      <c r="A7538" s="1" t="s">
        <v>36701</v>
      </c>
      <c r="B7538" s="1" t="s">
        <v>27</v>
      </c>
      <c r="C7538" s="1" t="s">
        <v>36702</v>
      </c>
      <c r="D7538" s="1" t="s">
        <v>16610</v>
      </c>
      <c r="E7538" s="1" t="s">
        <v>36703</v>
      </c>
      <c r="F7538" s="1" t="s">
        <v>1106</v>
      </c>
      <c r="G7538" s="1" t="s">
        <v>27472</v>
      </c>
      <c r="H7538" s="1">
        <v>2015.0</v>
      </c>
      <c r="I7538" s="1" t="s">
        <v>42</v>
      </c>
      <c r="J7538" s="1" t="s">
        <v>79</v>
      </c>
      <c r="K7538" s="1" t="s">
        <v>813</v>
      </c>
      <c r="L7538" s="1" t="s">
        <v>36704</v>
      </c>
      <c r="M7538" s="2" t="s">
        <v>12</v>
      </c>
      <c r="N7538" s="4">
        <f t="shared" si="1"/>
        <v>42962</v>
      </c>
      <c r="O7538" s="5" t="str">
        <f>IFERROR(__xludf.DUMMYFUNCTION("IF(REGEXMATCH(TRIM(I7538), ""^\d+\s*min""), ""Unclassified"", IF(I7538 = """", ""NR"", I7538))"),"TV-MA")</f>
        <v>TV-MA</v>
      </c>
      <c r="R7538" s="5" t="str">
        <f t="shared" si="2"/>
        <v>My Ex-Ex</v>
      </c>
      <c r="S7538" s="5" t="str">
        <f>IFERROR(__xludf.DUMMYFUNCTION("""COMPUTED_VALUE"""),"The Mystic River")</f>
        <v>The Mystic River</v>
      </c>
      <c r="V7538" s="5"/>
      <c r="Y7538" s="5" t="str">
        <f>IFERROR(__xludf.DUMMYFUNCTION("REGEXEXTRACT(J7538, ""^\d+"")"),"91")</f>
        <v>91</v>
      </c>
      <c r="Z7538" s="5" t="str">
        <f>IFERROR(__xludf.DUMMYFUNCTION("REGEXEXTRACT(J7538, ""[A-Za-z ]+$"")")," min")</f>
        <v> min</v>
      </c>
      <c r="AA7538" s="5" t="str">
        <f>IFERROR(__xludf.DUMMYFUNCTION("IF(REGEXMATCH(Z7538, ""Season""), ""TV Show"", ""Movie"")"),"Movie")</f>
        <v>Movie</v>
      </c>
    </row>
    <row r="7539">
      <c r="A7539" s="1" t="s">
        <v>36705</v>
      </c>
      <c r="B7539" s="1" t="s">
        <v>27</v>
      </c>
      <c r="C7539" s="1" t="s">
        <v>36706</v>
      </c>
      <c r="D7539" s="1" t="s">
        <v>1040</v>
      </c>
      <c r="E7539" s="1" t="s">
        <v>36707</v>
      </c>
      <c r="F7539" s="1" t="s">
        <v>1779</v>
      </c>
      <c r="G7539" s="1" t="s">
        <v>28552</v>
      </c>
      <c r="H7539" s="1">
        <v>2015.0</v>
      </c>
      <c r="J7539" s="1" t="s">
        <v>379</v>
      </c>
      <c r="K7539" s="1" t="s">
        <v>805</v>
      </c>
      <c r="L7539" s="1" t="s">
        <v>36708</v>
      </c>
      <c r="M7539" s="2" t="s">
        <v>12</v>
      </c>
      <c r="N7539" s="4">
        <f t="shared" si="1"/>
        <v>42795</v>
      </c>
      <c r="O7539" s="5" t="str">
        <f>IFERROR(__xludf.DUMMYFUNCTION("IF(REGEXMATCH(TRIM(I7539), ""^\d+\s*min""), ""Unclassified"", IF(I7539 = """", ""NR"", I7539))"),"NR")</f>
        <v>NR</v>
      </c>
      <c r="R7539" s="5" t="str">
        <f t="shared" si="2"/>
        <v>My Honor Was Loyalty</v>
      </c>
      <c r="S7539" s="5" t="str">
        <f>IFERROR(__xludf.DUMMYFUNCTION("""COMPUTED_VALUE"""),"The Naked Director")</f>
        <v>The Naked Director</v>
      </c>
      <c r="V7539" s="5"/>
      <c r="Y7539" s="5" t="str">
        <f>IFERROR(__xludf.DUMMYFUNCTION("REGEXEXTRACT(J7539, ""^\d+"")"),"115")</f>
        <v>115</v>
      </c>
      <c r="Z7539" s="5" t="str">
        <f>IFERROR(__xludf.DUMMYFUNCTION("REGEXEXTRACT(J7539, ""[A-Za-z ]+$"")")," min")</f>
        <v> min</v>
      </c>
      <c r="AA7539" s="5" t="str">
        <f>IFERROR(__xludf.DUMMYFUNCTION("IF(REGEXMATCH(Z7539, ""Season""), ""TV Show"", ""Movie"")"),"Movie")</f>
        <v>Movie</v>
      </c>
    </row>
    <row r="7540">
      <c r="A7540" s="1" t="s">
        <v>36709</v>
      </c>
      <c r="B7540" s="1" t="s">
        <v>37</v>
      </c>
      <c r="C7540" s="1" t="s">
        <v>36710</v>
      </c>
      <c r="E7540" s="1" t="s">
        <v>36711</v>
      </c>
      <c r="F7540" s="1" t="s">
        <v>96</v>
      </c>
      <c r="G7540" s="1" t="s">
        <v>34831</v>
      </c>
      <c r="H7540" s="1">
        <v>2017.0</v>
      </c>
      <c r="I7540" s="1" t="s">
        <v>136</v>
      </c>
      <c r="J7540" s="1" t="s">
        <v>51</v>
      </c>
      <c r="K7540" s="1" t="s">
        <v>2382</v>
      </c>
      <c r="L7540" s="1" t="s">
        <v>36712</v>
      </c>
      <c r="M7540" s="2" t="s">
        <v>12</v>
      </c>
      <c r="N7540" s="4">
        <f t="shared" si="1"/>
        <v>43668</v>
      </c>
      <c r="O7540" s="5" t="str">
        <f>IFERROR(__xludf.DUMMYFUNCTION("IF(REGEXMATCH(TRIM(I7540), ""^\d+\s*min""), ""Unclassified"", IF(I7540 = """", ""NR"", I7540))"),"TV-PG")</f>
        <v>TV-PG</v>
      </c>
      <c r="R7540" s="5" t="str">
        <f t="shared" si="2"/>
        <v>My Hotter Half</v>
      </c>
      <c r="S7540" s="5" t="str">
        <f>IFERROR(__xludf.DUMMYFUNCTION("""COMPUTED_VALUE"""),"The Naked Gun 2 1/2: The Smell Of Fear")</f>
        <v>The Naked Gun 2 1/2: The Smell Of Fear</v>
      </c>
      <c r="V7540" s="5"/>
      <c r="Y7540" s="5" t="str">
        <f>IFERROR(__xludf.DUMMYFUNCTION("REGEXEXTRACT(J7540, ""^\d+"")"),"1")</f>
        <v>1</v>
      </c>
      <c r="Z7540" s="5" t="str">
        <f>IFERROR(__xludf.DUMMYFUNCTION("REGEXEXTRACT(J7540, ""[A-Za-z ]+$"")")," Season")</f>
        <v> Season</v>
      </c>
      <c r="AA7540" s="5" t="str">
        <f>IFERROR(__xludf.DUMMYFUNCTION("IF(REGEXMATCH(Z7540, ""Season""), ""TV Show"", ""Movie"")"),"TV Show")</f>
        <v>TV Show</v>
      </c>
    </row>
    <row r="7541">
      <c r="A7541" s="1" t="s">
        <v>36713</v>
      </c>
      <c r="B7541" s="1" t="s">
        <v>27</v>
      </c>
      <c r="C7541" s="1" t="s">
        <v>36714</v>
      </c>
      <c r="D7541" s="1" t="s">
        <v>5049</v>
      </c>
      <c r="E7541" s="1" t="s">
        <v>36715</v>
      </c>
      <c r="F7541" s="1" t="s">
        <v>36716</v>
      </c>
      <c r="G7541" s="1" t="s">
        <v>27097</v>
      </c>
      <c r="H7541" s="1">
        <v>2016.0</v>
      </c>
      <c r="I7541" s="1" t="s">
        <v>32</v>
      </c>
      <c r="J7541" s="1" t="s">
        <v>2626</v>
      </c>
      <c r="K7541" s="1" t="s">
        <v>583</v>
      </c>
      <c r="L7541" s="1" t="s">
        <v>36717</v>
      </c>
      <c r="M7541" s="2" t="s">
        <v>12</v>
      </c>
      <c r="N7541" s="4">
        <f t="shared" si="1"/>
        <v>43009</v>
      </c>
      <c r="O7541" s="5" t="str">
        <f>IFERROR(__xludf.DUMMYFUNCTION("IF(REGEXMATCH(TRIM(I7541), ""^\d+\s*min""), ""Unclassified"", IF(I7541 = """", ""NR"", I7541))"),"PG-13")</f>
        <v>PG-13</v>
      </c>
      <c r="R7541" s="5" t="str">
        <f t="shared" si="2"/>
        <v>My Life As A Zucchini</v>
      </c>
      <c r="S7541" s="5" t="str">
        <f>IFERROR(__xludf.DUMMYFUNCTION("""COMPUTED_VALUE"""),"The Naked Gun: From The Files Of Police Squad!")</f>
        <v>The Naked Gun: From The Files Of Police Squad!</v>
      </c>
      <c r="V7541" s="5"/>
      <c r="Y7541" s="5" t="str">
        <f>IFERROR(__xludf.DUMMYFUNCTION("REGEXEXTRACT(J7541, ""^\d+"")"),"68")</f>
        <v>68</v>
      </c>
      <c r="Z7541" s="5" t="str">
        <f>IFERROR(__xludf.DUMMYFUNCTION("REGEXEXTRACT(J7541, ""[A-Za-z ]+$"")")," min")</f>
        <v> min</v>
      </c>
      <c r="AA7541" s="5" t="str">
        <f>IFERROR(__xludf.DUMMYFUNCTION("IF(REGEXMATCH(Z7541, ""Season""), ""TV Show"", ""Movie"")"),"Movie")</f>
        <v>Movie</v>
      </c>
    </row>
    <row r="7542">
      <c r="A7542" s="1" t="s">
        <v>36718</v>
      </c>
      <c r="B7542" s="1" t="s">
        <v>37</v>
      </c>
      <c r="C7542" s="1" t="s">
        <v>36719</v>
      </c>
      <c r="E7542" s="1" t="s">
        <v>36720</v>
      </c>
      <c r="G7542" s="1" t="s">
        <v>26883</v>
      </c>
      <c r="H7542" s="1">
        <v>2017.0</v>
      </c>
      <c r="I7542" s="1" t="s">
        <v>97</v>
      </c>
      <c r="J7542" s="1" t="s">
        <v>51</v>
      </c>
      <c r="K7542" s="1" t="s">
        <v>6164</v>
      </c>
      <c r="L7542" s="1" t="s">
        <v>36721</v>
      </c>
      <c r="M7542" s="2" t="s">
        <v>12</v>
      </c>
      <c r="N7542" s="4">
        <f t="shared" si="1"/>
        <v>43040</v>
      </c>
      <c r="O7542" s="5" t="str">
        <f>IFERROR(__xludf.DUMMYFUNCTION("IF(REGEXMATCH(TRIM(I7542), ""^\d+\s*min""), ""Unclassified"", IF(I7542 = """", ""NR"", I7542))"),"TV-14")</f>
        <v>TV-14</v>
      </c>
      <c r="R7542" s="5" t="str">
        <f t="shared" si="2"/>
        <v>My Life My Story</v>
      </c>
      <c r="S7542" s="5" t="str">
        <f>IFERROR(__xludf.DUMMYFUNCTION("""COMPUTED_VALUE"""),"The Natural")</f>
        <v>The Natural</v>
      </c>
      <c r="V7542" s="5"/>
      <c r="Y7542" s="5" t="str">
        <f>IFERROR(__xludf.DUMMYFUNCTION("REGEXEXTRACT(J7542, ""^\d+"")"),"1")</f>
        <v>1</v>
      </c>
      <c r="Z7542" s="5" t="str">
        <f>IFERROR(__xludf.DUMMYFUNCTION("REGEXEXTRACT(J7542, ""[A-Za-z ]+$"")")," Season")</f>
        <v> Season</v>
      </c>
      <c r="AA7542" s="5" t="str">
        <f>IFERROR(__xludf.DUMMYFUNCTION("IF(REGEXMATCH(Z7542, ""Season""), ""TV Show"", ""Movie"")"),"TV Show")</f>
        <v>TV Show</v>
      </c>
    </row>
    <row r="7543">
      <c r="A7543" s="1" t="s">
        <v>36722</v>
      </c>
      <c r="B7543" s="1" t="s">
        <v>27</v>
      </c>
      <c r="C7543" s="1" t="s">
        <v>36723</v>
      </c>
      <c r="D7543" s="1" t="s">
        <v>9720</v>
      </c>
      <c r="E7543" s="1" t="s">
        <v>36724</v>
      </c>
      <c r="F7543" s="1" t="s">
        <v>897</v>
      </c>
      <c r="G7543" s="1" t="s">
        <v>29842</v>
      </c>
      <c r="H7543" s="1">
        <v>2015.0</v>
      </c>
      <c r="I7543" s="1" t="s">
        <v>206</v>
      </c>
      <c r="J7543" s="1" t="s">
        <v>4699</v>
      </c>
      <c r="K7543" s="1" t="s">
        <v>137</v>
      </c>
      <c r="L7543" s="1" t="s">
        <v>36725</v>
      </c>
      <c r="M7543" s="2" t="s">
        <v>12</v>
      </c>
      <c r="N7543" s="4">
        <f t="shared" si="1"/>
        <v>42339</v>
      </c>
      <c r="O7543" s="5" t="str">
        <f>IFERROR(__xludf.DUMMYFUNCTION("IF(REGEXMATCH(TRIM(I7543), ""^\d+\s*min""), ""Unclassified"", IF(I7543 = """", ""NR"", I7543))"),"TV-Y")</f>
        <v>TV-Y</v>
      </c>
      <c r="R7543" s="5" t="str">
        <f t="shared" si="2"/>
        <v>My Little Pony Equestria Girls: Friendship Games</v>
      </c>
      <c r="S7543" s="5" t="str">
        <f>IFERROR(__xludf.DUMMYFUNCTION("""COMPUTED_VALUE"""),"The Negro Soldier")</f>
        <v>The Negro Soldier</v>
      </c>
      <c r="V7543" s="5"/>
      <c r="Y7543" s="5" t="str">
        <f>IFERROR(__xludf.DUMMYFUNCTION("REGEXEXTRACT(J7543, ""^\d+"")"),"72")</f>
        <v>72</v>
      </c>
      <c r="Z7543" s="5" t="str">
        <f>IFERROR(__xludf.DUMMYFUNCTION("REGEXEXTRACT(J7543, ""[A-Za-z ]+$"")")," min")</f>
        <v> min</v>
      </c>
      <c r="AA7543" s="5" t="str">
        <f>IFERROR(__xludf.DUMMYFUNCTION("IF(REGEXMATCH(Z7543, ""Season""), ""TV Show"", ""Movie"")"),"Movie")</f>
        <v>Movie</v>
      </c>
    </row>
    <row r="7544">
      <c r="A7544" s="1" t="s">
        <v>36726</v>
      </c>
      <c r="B7544" s="1" t="s">
        <v>27</v>
      </c>
      <c r="C7544" s="1" t="s">
        <v>36727</v>
      </c>
      <c r="D7544" s="1" t="s">
        <v>10461</v>
      </c>
      <c r="E7544" s="1" t="s">
        <v>36728</v>
      </c>
      <c r="F7544" s="1" t="s">
        <v>897</v>
      </c>
      <c r="G7544" s="1" t="s">
        <v>36729</v>
      </c>
      <c r="H7544" s="1">
        <v>2014.0</v>
      </c>
      <c r="I7544" s="1" t="s">
        <v>206</v>
      </c>
      <c r="J7544" s="1" t="s">
        <v>5120</v>
      </c>
      <c r="K7544" s="1" t="s">
        <v>137</v>
      </c>
      <c r="L7544" s="1" t="s">
        <v>36730</v>
      </c>
      <c r="M7544" s="2" t="s">
        <v>12</v>
      </c>
      <c r="N7544" s="4">
        <f t="shared" si="1"/>
        <v>41990</v>
      </c>
      <c r="O7544" s="5" t="str">
        <f>IFERROR(__xludf.DUMMYFUNCTION("IF(REGEXMATCH(TRIM(I7544), ""^\d+\s*min""), ""Unclassified"", IF(I7544 = """", ""NR"", I7544))"),"TV-Y")</f>
        <v>TV-Y</v>
      </c>
      <c r="R7544" s="5" t="str">
        <f t="shared" si="2"/>
        <v>My Little Pony Equestria Girls: Rainbow Rocks</v>
      </c>
      <c r="S7544" s="5" t="str">
        <f>IFERROR(__xludf.DUMMYFUNCTION("""COMPUTED_VALUE"""),"The Neighbor")</f>
        <v>The Neighbor</v>
      </c>
      <c r="V7544" s="5"/>
      <c r="Y7544" s="5" t="str">
        <f>IFERROR(__xludf.DUMMYFUNCTION("REGEXEXTRACT(J7544, ""^\d+"")"),"73")</f>
        <v>73</v>
      </c>
      <c r="Z7544" s="5" t="str">
        <f>IFERROR(__xludf.DUMMYFUNCTION("REGEXEXTRACT(J7544, ""[A-Za-z ]+$"")")," min")</f>
        <v> min</v>
      </c>
      <c r="AA7544" s="5" t="str">
        <f>IFERROR(__xludf.DUMMYFUNCTION("IF(REGEXMATCH(Z7544, ""Season""), ""TV Show"", ""Movie"")"),"Movie")</f>
        <v>Movie</v>
      </c>
    </row>
    <row r="7545">
      <c r="A7545" s="1" t="s">
        <v>36731</v>
      </c>
      <c r="B7545" s="1" t="s">
        <v>27</v>
      </c>
      <c r="C7545" s="1" t="s">
        <v>36732</v>
      </c>
      <c r="D7545" s="1" t="s">
        <v>21541</v>
      </c>
      <c r="E7545" s="1" t="s">
        <v>36733</v>
      </c>
      <c r="G7545" s="1" t="s">
        <v>21815</v>
      </c>
      <c r="H7545" s="1">
        <v>2013.0</v>
      </c>
      <c r="I7545" s="1" t="s">
        <v>97</v>
      </c>
      <c r="J7545" s="1" t="s">
        <v>106</v>
      </c>
      <c r="K7545" s="1" t="s">
        <v>583</v>
      </c>
      <c r="L7545" s="1" t="s">
        <v>36734</v>
      </c>
      <c r="M7545" s="2" t="s">
        <v>12</v>
      </c>
      <c r="N7545" s="4">
        <f t="shared" si="1"/>
        <v>43528</v>
      </c>
      <c r="O7545" s="5" t="str">
        <f>IFERROR(__xludf.DUMMYFUNCTION("IF(REGEXMATCH(TRIM(I7545), ""^\d+\s*min""), ""Unclassified"", IF(I7545 = """", ""NR"", I7545))"),"TV-14")</f>
        <v>TV-14</v>
      </c>
      <c r="R7545" s="5" t="str">
        <f t="shared" si="2"/>
        <v>My Only Mother</v>
      </c>
      <c r="S7545" s="5" t="str">
        <f>IFERROR(__xludf.DUMMYFUNCTION("""COMPUTED_VALUE"""),"The Net")</f>
        <v>The Net</v>
      </c>
      <c r="V7545" s="5"/>
      <c r="Y7545" s="5" t="str">
        <f>IFERROR(__xludf.DUMMYFUNCTION("REGEXEXTRACT(J7545, ""^\d+"")"),"104")</f>
        <v>104</v>
      </c>
      <c r="Z7545" s="5" t="str">
        <f>IFERROR(__xludf.DUMMYFUNCTION("REGEXEXTRACT(J7545, ""[A-Za-z ]+$"")")," min")</f>
        <v> min</v>
      </c>
      <c r="AA7545" s="5" t="str">
        <f>IFERROR(__xludf.DUMMYFUNCTION("IF(REGEXMATCH(Z7545, ""Season""), ""TV Show"", ""Movie"")"),"Movie")</f>
        <v>Movie</v>
      </c>
    </row>
    <row r="7546">
      <c r="A7546" s="1" t="s">
        <v>36735</v>
      </c>
      <c r="B7546" s="1" t="s">
        <v>27</v>
      </c>
      <c r="C7546" s="1" t="s">
        <v>36736</v>
      </c>
      <c r="D7546" s="1" t="s">
        <v>36737</v>
      </c>
      <c r="E7546" s="1" t="s">
        <v>36738</v>
      </c>
      <c r="F7546" s="1" t="s">
        <v>1119</v>
      </c>
      <c r="G7546" s="1" t="s">
        <v>24803</v>
      </c>
      <c r="H7546" s="1">
        <v>2001.0</v>
      </c>
      <c r="I7546" s="1" t="s">
        <v>97</v>
      </c>
      <c r="J7546" s="1" t="s">
        <v>33</v>
      </c>
      <c r="K7546" s="1" t="s">
        <v>1328</v>
      </c>
      <c r="L7546" s="1" t="s">
        <v>36739</v>
      </c>
      <c r="M7546" s="2" t="s">
        <v>12</v>
      </c>
      <c r="N7546" s="4">
        <f t="shared" si="1"/>
        <v>43328</v>
      </c>
      <c r="O7546" s="5" t="str">
        <f>IFERROR(__xludf.DUMMYFUNCTION("IF(REGEXMATCH(TRIM(I7546), ""^\d+\s*min""), ""Unclassified"", IF(I7546 = """", ""NR"", I7546))"),"TV-14")</f>
        <v>TV-14</v>
      </c>
      <c r="R7546" s="5" t="str">
        <f t="shared" si="2"/>
        <v>My Schoolmate, The Barbarian</v>
      </c>
      <c r="S7546" s="5" t="str">
        <f>IFERROR(__xludf.DUMMYFUNCTION("""COMPUTED_VALUE"""),"The Netflix Afterparty")</f>
        <v>The Netflix Afterparty</v>
      </c>
      <c r="V7546" s="5"/>
      <c r="Y7546" s="5" t="str">
        <f>IFERROR(__xludf.DUMMYFUNCTION("REGEXEXTRACT(J7546, ""^\d+"")"),"90")</f>
        <v>90</v>
      </c>
      <c r="Z7546" s="5" t="str">
        <f>IFERROR(__xludf.DUMMYFUNCTION("REGEXEXTRACT(J7546, ""[A-Za-z ]+$"")")," min")</f>
        <v> min</v>
      </c>
      <c r="AA7546" s="5" t="str">
        <f>IFERROR(__xludf.DUMMYFUNCTION("IF(REGEXMATCH(Z7546, ""Season""), ""TV Show"", ""Movie"")"),"Movie")</f>
        <v>Movie</v>
      </c>
    </row>
    <row r="7547">
      <c r="A7547" s="1" t="s">
        <v>36740</v>
      </c>
      <c r="B7547" s="1" t="s">
        <v>27</v>
      </c>
      <c r="C7547" s="1" t="s">
        <v>36741</v>
      </c>
      <c r="D7547" s="1" t="s">
        <v>3886</v>
      </c>
      <c r="E7547" s="1" t="s">
        <v>36742</v>
      </c>
      <c r="F7547" s="1" t="s">
        <v>96</v>
      </c>
      <c r="G7547" s="1" t="s">
        <v>27698</v>
      </c>
      <c r="H7547" s="1">
        <v>2015.0</v>
      </c>
      <c r="I7547" s="1" t="s">
        <v>42</v>
      </c>
      <c r="J7547" s="1" t="s">
        <v>416</v>
      </c>
      <c r="K7547" s="1" t="s">
        <v>34</v>
      </c>
      <c r="L7547" s="1" t="s">
        <v>36743</v>
      </c>
      <c r="M7547" s="2" t="s">
        <v>12</v>
      </c>
      <c r="N7547" s="4">
        <f t="shared" si="1"/>
        <v>42929</v>
      </c>
      <c r="O7547" s="5" t="str">
        <f>IFERROR(__xludf.DUMMYFUNCTION("IF(REGEXMATCH(TRIM(I7547), ""^\d+\s*min""), ""Unclassified"", IF(I7547 = """", ""NR"", I7547))"),"TV-MA")</f>
        <v>TV-MA</v>
      </c>
      <c r="R7547" s="5" t="str">
        <f t="shared" si="2"/>
        <v>My Scientology Movie</v>
      </c>
      <c r="S7547" s="5" t="str">
        <f>IFERROR(__xludf.DUMMYFUNCTION("""COMPUTED_VALUE"""),"The Netflix Afterparty: The Best Shows Of The Worst Year")</f>
        <v>The Netflix Afterparty: The Best Shows Of The Worst Year</v>
      </c>
      <c r="V7547" s="5"/>
      <c r="Y7547" s="5" t="str">
        <f>IFERROR(__xludf.DUMMYFUNCTION("REGEXEXTRACT(J7547, ""^\d+"")"),"99")</f>
        <v>99</v>
      </c>
      <c r="Z7547" s="5" t="str">
        <f>IFERROR(__xludf.DUMMYFUNCTION("REGEXEXTRACT(J7547, ""[A-Za-z ]+$"")")," min")</f>
        <v> min</v>
      </c>
      <c r="AA7547" s="5" t="str">
        <f>IFERROR(__xludf.DUMMYFUNCTION("IF(REGEXMATCH(Z7547, ""Season""), ""TV Show"", ""Movie"")"),"Movie")</f>
        <v>Movie</v>
      </c>
    </row>
    <row r="7548">
      <c r="A7548" s="1" t="s">
        <v>36744</v>
      </c>
      <c r="B7548" s="1" t="s">
        <v>27</v>
      </c>
      <c r="C7548" s="1" t="s">
        <v>36745</v>
      </c>
      <c r="D7548" s="1" t="s">
        <v>16812</v>
      </c>
      <c r="E7548" s="1" t="s">
        <v>36746</v>
      </c>
      <c r="F7548" s="1" t="s">
        <v>30</v>
      </c>
      <c r="G7548" s="1" t="s">
        <v>19361</v>
      </c>
      <c r="H7548" s="1">
        <v>2009.0</v>
      </c>
      <c r="I7548" s="1" t="s">
        <v>32</v>
      </c>
      <c r="J7548" s="1" t="s">
        <v>1065</v>
      </c>
      <c r="K7548" s="1" t="s">
        <v>805</v>
      </c>
      <c r="L7548" s="1" t="s">
        <v>36747</v>
      </c>
      <c r="M7548" s="2" t="s">
        <v>12</v>
      </c>
      <c r="N7548" s="4">
        <f t="shared" si="1"/>
        <v>43709</v>
      </c>
      <c r="O7548" s="5" t="str">
        <f>IFERROR(__xludf.DUMMYFUNCTION("IF(REGEXMATCH(TRIM(I7548), ""^\d+\s*min""), ""Unclassified"", IF(I7548 = """", ""NR"", I7548))"),"PG-13")</f>
        <v>PG-13</v>
      </c>
      <c r="R7548" s="5" t="str">
        <f t="shared" si="2"/>
        <v>My Sister'S Keeper</v>
      </c>
      <c r="S7548" s="5" t="str">
        <f>IFERROR(__xludf.DUMMYFUNCTION("""COMPUTED_VALUE"""),"The New Legends Of Monkey")</f>
        <v>The New Legends Of Monkey</v>
      </c>
      <c r="V7548" s="5"/>
      <c r="Y7548" s="5" t="str">
        <f>IFERROR(__xludf.DUMMYFUNCTION("REGEXEXTRACT(J7548, ""^\d+"")"),"109")</f>
        <v>109</v>
      </c>
      <c r="Z7548" s="5" t="str">
        <f>IFERROR(__xludf.DUMMYFUNCTION("REGEXEXTRACT(J7548, ""[A-Za-z ]+$"")")," min")</f>
        <v> min</v>
      </c>
      <c r="AA7548" s="5" t="str">
        <f>IFERROR(__xludf.DUMMYFUNCTION("IF(REGEXMATCH(Z7548, ""Season""), ""TV Show"", ""Movie"")"),"Movie")</f>
        <v>Movie</v>
      </c>
    </row>
    <row r="7549">
      <c r="A7549" s="1" t="s">
        <v>36748</v>
      </c>
      <c r="B7549" s="1" t="s">
        <v>37</v>
      </c>
      <c r="C7549" s="1" t="s">
        <v>36749</v>
      </c>
      <c r="E7549" s="1" t="s">
        <v>36750</v>
      </c>
      <c r="F7549" s="1" t="s">
        <v>96</v>
      </c>
      <c r="G7549" s="1" t="s">
        <v>22239</v>
      </c>
      <c r="H7549" s="1">
        <v>2013.0</v>
      </c>
      <c r="I7549" s="1" t="s">
        <v>42</v>
      </c>
      <c r="J7549" s="1" t="s">
        <v>51</v>
      </c>
      <c r="K7549" s="1" t="s">
        <v>4190</v>
      </c>
      <c r="L7549" s="1" t="s">
        <v>36751</v>
      </c>
      <c r="M7549" s="2" t="s">
        <v>12</v>
      </c>
      <c r="N7549" s="4">
        <f t="shared" si="1"/>
        <v>43497</v>
      </c>
      <c r="O7549" s="5" t="str">
        <f>IFERROR(__xludf.DUMMYFUNCTION("IF(REGEXMATCH(TRIM(I7549), ""^\d+\s*min""), ""Unclassified"", IF(I7549 = """", ""NR"", I7549))"),"TV-MA")</f>
        <v>TV-MA</v>
      </c>
      <c r="R7549" s="5" t="str">
        <f t="shared" si="2"/>
        <v>My Tattoo Addiction</v>
      </c>
      <c r="S7549" s="5" t="str">
        <f>IFERROR(__xludf.DUMMYFUNCTION("""COMPUTED_VALUE"""),"The New Romantic")</f>
        <v>The New Romantic</v>
      </c>
      <c r="V7549" s="5"/>
      <c r="Y7549" s="5" t="str">
        <f>IFERROR(__xludf.DUMMYFUNCTION("REGEXEXTRACT(J7549, ""^\d+"")"),"1")</f>
        <v>1</v>
      </c>
      <c r="Z7549" s="5" t="str">
        <f>IFERROR(__xludf.DUMMYFUNCTION("REGEXEXTRACT(J7549, ""[A-Za-z ]+$"")")," Season")</f>
        <v> Season</v>
      </c>
      <c r="AA7549" s="5" t="str">
        <f>IFERROR(__xludf.DUMMYFUNCTION("IF(REGEXMATCH(Z7549, ""Season""), ""TV Show"", ""Movie"")"),"TV Show")</f>
        <v>TV Show</v>
      </c>
    </row>
    <row r="7550">
      <c r="A7550" s="1" t="s">
        <v>36752</v>
      </c>
      <c r="B7550" s="1" t="s">
        <v>27</v>
      </c>
      <c r="C7550" s="1" t="s">
        <v>36753</v>
      </c>
      <c r="D7550" s="1" t="s">
        <v>2711</v>
      </c>
      <c r="E7550" s="1" t="s">
        <v>36754</v>
      </c>
      <c r="F7550" s="1" t="s">
        <v>2796</v>
      </c>
      <c r="G7550" s="1" t="s">
        <v>25035</v>
      </c>
      <c r="H7550" s="1">
        <v>2012.0</v>
      </c>
      <c r="I7550" s="1" t="s">
        <v>42</v>
      </c>
      <c r="J7550" s="1" t="s">
        <v>912</v>
      </c>
      <c r="K7550" s="1" t="s">
        <v>306</v>
      </c>
      <c r="L7550" s="1" t="s">
        <v>36755</v>
      </c>
      <c r="M7550" s="2" t="s">
        <v>12</v>
      </c>
      <c r="N7550" s="4">
        <f t="shared" si="1"/>
        <v>43306</v>
      </c>
      <c r="O7550" s="5" t="str">
        <f>IFERROR(__xludf.DUMMYFUNCTION("IF(REGEXMATCH(TRIM(I7550), ""^\d+\s*min""), ""Unclassified"", IF(I7550 = """", ""NR"", I7550))"),"TV-MA")</f>
        <v>TV-MA</v>
      </c>
      <c r="R7550" s="5" t="str">
        <f t="shared" si="2"/>
        <v>My True Friend</v>
      </c>
      <c r="S7550" s="5" t="str">
        <f>IFERROR(__xludf.DUMMYFUNCTION("""COMPUTED_VALUE"""),"The Next Karate Kid")</f>
        <v>The Next Karate Kid</v>
      </c>
      <c r="V7550" s="5"/>
      <c r="Y7550" s="5" t="str">
        <f>IFERROR(__xludf.DUMMYFUNCTION("REGEXEXTRACT(J7550, ""^\d+"")"),"108")</f>
        <v>108</v>
      </c>
      <c r="Z7550" s="5" t="str">
        <f>IFERROR(__xludf.DUMMYFUNCTION("REGEXEXTRACT(J7550, ""[A-Za-z ]+$"")")," min")</f>
        <v> min</v>
      </c>
      <c r="AA7550" s="5" t="str">
        <f>IFERROR(__xludf.DUMMYFUNCTION("IF(REGEXMATCH(Z7550, ""Season""), ""TV Show"", ""Movie"")"),"Movie")</f>
        <v>Movie</v>
      </c>
    </row>
    <row r="7551">
      <c r="A7551" s="1" t="s">
        <v>36756</v>
      </c>
      <c r="B7551" s="1" t="s">
        <v>27</v>
      </c>
      <c r="C7551" s="1" t="s">
        <v>36757</v>
      </c>
      <c r="D7551" s="1" t="s">
        <v>21212</v>
      </c>
      <c r="E7551" s="1" t="s">
        <v>36758</v>
      </c>
      <c r="F7551" s="1" t="s">
        <v>686</v>
      </c>
      <c r="G7551" s="7">
        <v>43615.0</v>
      </c>
      <c r="H7551" s="1">
        <v>2011.0</v>
      </c>
      <c r="I7551" s="1" t="s">
        <v>378</v>
      </c>
      <c r="J7551" s="1" t="s">
        <v>416</v>
      </c>
      <c r="K7551" s="1" t="s">
        <v>828</v>
      </c>
      <c r="L7551" s="1" t="s">
        <v>36759</v>
      </c>
      <c r="M7551" s="2" t="s">
        <v>12</v>
      </c>
      <c r="N7551" s="4">
        <f t="shared" si="1"/>
        <v>43615</v>
      </c>
      <c r="O7551" s="5" t="str">
        <f>IFERROR(__xludf.DUMMYFUNCTION("IF(REGEXMATCH(TRIM(I7551), ""^\d+\s*min""), ""Unclassified"", IF(I7551 = """", ""NR"", I7551))"),"R")</f>
        <v>R</v>
      </c>
      <c r="R7551" s="5" t="str">
        <f t="shared" si="2"/>
        <v>My Week With Marilyn</v>
      </c>
      <c r="S7551" s="5" t="str">
        <f>IFERROR(__xludf.DUMMYFUNCTION("""COMPUTED_VALUE"""),"The Next Skin")</f>
        <v>The Next Skin</v>
      </c>
      <c r="V7551" s="5"/>
      <c r="Y7551" s="5" t="str">
        <f>IFERROR(__xludf.DUMMYFUNCTION("REGEXEXTRACT(J7551, ""^\d+"")"),"99")</f>
        <v>99</v>
      </c>
      <c r="Z7551" s="5" t="str">
        <f>IFERROR(__xludf.DUMMYFUNCTION("REGEXEXTRACT(J7551, ""[A-Za-z ]+$"")")," min")</f>
        <v> min</v>
      </c>
      <c r="AA7551" s="5" t="str">
        <f>IFERROR(__xludf.DUMMYFUNCTION("IF(REGEXMATCH(Z7551, ""Season""), ""TV Show"", ""Movie"")"),"Movie")</f>
        <v>Movie</v>
      </c>
    </row>
    <row r="7552">
      <c r="A7552" s="1" t="s">
        <v>36760</v>
      </c>
      <c r="B7552" s="1" t="s">
        <v>27</v>
      </c>
      <c r="C7552" s="1" t="s">
        <v>36761</v>
      </c>
      <c r="D7552" s="1" t="s">
        <v>16205</v>
      </c>
      <c r="E7552" s="1" t="s">
        <v>36762</v>
      </c>
      <c r="G7552" s="1" t="s">
        <v>30396</v>
      </c>
      <c r="H7552" s="1">
        <v>2014.0</v>
      </c>
      <c r="I7552" s="1" t="s">
        <v>97</v>
      </c>
      <c r="J7552" s="1" t="s">
        <v>416</v>
      </c>
      <c r="K7552" s="1" t="s">
        <v>199</v>
      </c>
      <c r="L7552" s="1" t="s">
        <v>36763</v>
      </c>
      <c r="M7552" s="2" t="s">
        <v>12</v>
      </c>
      <c r="N7552" s="4">
        <f t="shared" si="1"/>
        <v>43573</v>
      </c>
      <c r="O7552" s="5" t="str">
        <f>IFERROR(__xludf.DUMMYFUNCTION("IF(REGEXMATCH(TRIM(I7552), ""^\d+\s*min""), ""Unclassified"", IF(I7552 = """", ""NR"", I7552))"),"TV-14")</f>
        <v>TV-14</v>
      </c>
      <c r="R7552" s="5" t="str">
        <f t="shared" si="2"/>
        <v>My Wife And My Wifey</v>
      </c>
      <c r="S7552" s="5" t="str">
        <f>IFERROR(__xludf.DUMMYFUNCTION("""COMPUTED_VALUE"""),"The Next Step")</f>
        <v>The Next Step</v>
      </c>
      <c r="V7552" s="5"/>
      <c r="Y7552" s="5" t="str">
        <f>IFERROR(__xludf.DUMMYFUNCTION("REGEXEXTRACT(J7552, ""^\d+"")"),"99")</f>
        <v>99</v>
      </c>
      <c r="Z7552" s="5" t="str">
        <f>IFERROR(__xludf.DUMMYFUNCTION("REGEXEXTRACT(J7552, ""[A-Za-z ]+$"")")," min")</f>
        <v> min</v>
      </c>
      <c r="AA7552" s="5" t="str">
        <f>IFERROR(__xludf.DUMMYFUNCTION("IF(REGEXMATCH(Z7552, ""Season""), ""TV Show"", ""Movie"")"),"Movie")</f>
        <v>Movie</v>
      </c>
    </row>
    <row r="7553">
      <c r="A7553" s="1" t="s">
        <v>36764</v>
      </c>
      <c r="B7553" s="1" t="s">
        <v>37</v>
      </c>
      <c r="C7553" s="1" t="s">
        <v>36765</v>
      </c>
      <c r="E7553" s="1" t="s">
        <v>36766</v>
      </c>
      <c r="F7553" s="1" t="s">
        <v>30</v>
      </c>
      <c r="G7553" s="1" t="s">
        <v>25994</v>
      </c>
      <c r="H7553" s="1">
        <v>1999.0</v>
      </c>
      <c r="I7553" s="1" t="s">
        <v>97</v>
      </c>
      <c r="J7553" s="1" t="s">
        <v>51</v>
      </c>
      <c r="K7553" s="1" t="s">
        <v>23319</v>
      </c>
      <c r="L7553" s="1" t="s">
        <v>36767</v>
      </c>
      <c r="M7553" s="2" t="s">
        <v>12</v>
      </c>
      <c r="N7553" s="4">
        <f t="shared" si="1"/>
        <v>43174</v>
      </c>
      <c r="O7553" s="5" t="str">
        <f>IFERROR(__xludf.DUMMYFUNCTION("IF(REGEXMATCH(TRIM(I7553), ""^\d+\s*min""), ""Unclassified"", IF(I7553 = """", ""NR"", I7553))"),"TV-14")</f>
        <v>TV-14</v>
      </c>
      <c r="R7553" s="5" t="str">
        <f t="shared" si="2"/>
        <v>Mystery Science Theater 3000</v>
      </c>
      <c r="S7553" s="5" t="str">
        <f>IFERROR(__xludf.DUMMYFUNCTION("""COMPUTED_VALUE"""),"The Next Three Days")</f>
        <v>The Next Three Days</v>
      </c>
      <c r="V7553" s="5"/>
      <c r="Y7553" s="5" t="str">
        <f>IFERROR(__xludf.DUMMYFUNCTION("REGEXEXTRACT(J7553, ""^\d+"")"),"1")</f>
        <v>1</v>
      </c>
      <c r="Z7553" s="5" t="str">
        <f>IFERROR(__xludf.DUMMYFUNCTION("REGEXEXTRACT(J7553, ""[A-Za-z ]+$"")")," Season")</f>
        <v> Season</v>
      </c>
      <c r="AA7553" s="5" t="str">
        <f>IFERROR(__xludf.DUMMYFUNCTION("IF(REGEXMATCH(Z7553, ""Season""), ""TV Show"", ""Movie"")"),"TV Show")</f>
        <v>TV Show</v>
      </c>
    </row>
    <row r="7554">
      <c r="A7554" s="1" t="s">
        <v>36768</v>
      </c>
      <c r="B7554" s="1" t="s">
        <v>27</v>
      </c>
      <c r="C7554" s="1" t="s">
        <v>36769</v>
      </c>
      <c r="D7554" s="1" t="s">
        <v>20022</v>
      </c>
      <c r="E7554" s="1" t="s">
        <v>36770</v>
      </c>
      <c r="F7554" s="1" t="s">
        <v>63</v>
      </c>
      <c r="G7554" s="1" t="s">
        <v>24964</v>
      </c>
      <c r="H7554" s="1">
        <v>2017.0</v>
      </c>
      <c r="I7554" s="1" t="s">
        <v>136</v>
      </c>
      <c r="J7554" s="1" t="s">
        <v>428</v>
      </c>
      <c r="K7554" s="1" t="s">
        <v>1441</v>
      </c>
      <c r="L7554" s="1" t="s">
        <v>36771</v>
      </c>
      <c r="M7554" s="2" t="s">
        <v>12</v>
      </c>
      <c r="N7554" s="4">
        <f t="shared" si="1"/>
        <v>43313</v>
      </c>
      <c r="O7554" s="5" t="str">
        <f>IFERROR(__xludf.DUMMYFUNCTION("IF(REGEXMATCH(TRIM(I7554), ""^\d+\s*min""), ""Unclassified"", IF(I7554 = """", ""NR"", I7554))"),"TV-PG")</f>
        <v>TV-PG</v>
      </c>
      <c r="R7554" s="5" t="str">
        <f t="shared" si="2"/>
        <v>Mythily Veendum Varunnu</v>
      </c>
      <c r="S7554" s="5" t="str">
        <f>IFERROR(__xludf.DUMMYFUNCTION("""COMPUTED_VALUE"""),"The Night Clerk")</f>
        <v>The Night Clerk</v>
      </c>
      <c r="V7554" s="5"/>
      <c r="Y7554" s="5" t="str">
        <f>IFERROR(__xludf.DUMMYFUNCTION("REGEXEXTRACT(J7554, ""^\d+"")"),"88")</f>
        <v>88</v>
      </c>
      <c r="Z7554" s="5" t="str">
        <f>IFERROR(__xludf.DUMMYFUNCTION("REGEXEXTRACT(J7554, ""[A-Za-z ]+$"")")," min")</f>
        <v> min</v>
      </c>
      <c r="AA7554" s="5" t="str">
        <f>IFERROR(__xludf.DUMMYFUNCTION("IF(REGEXMATCH(Z7554, ""Season""), ""TV Show"", ""Movie"")"),"Movie")</f>
        <v>Movie</v>
      </c>
    </row>
    <row r="7555">
      <c r="A7555" s="1" t="s">
        <v>36772</v>
      </c>
      <c r="B7555" s="1" t="s">
        <v>27</v>
      </c>
      <c r="C7555" s="1" t="s">
        <v>36773</v>
      </c>
      <c r="D7555" s="1" t="s">
        <v>10199</v>
      </c>
      <c r="E7555" s="1" t="s">
        <v>36774</v>
      </c>
      <c r="F7555" s="1" t="s">
        <v>949</v>
      </c>
      <c r="G7555" s="1" t="s">
        <v>18333</v>
      </c>
      <c r="H7555" s="1">
        <v>2006.0</v>
      </c>
      <c r="I7555" s="1" t="s">
        <v>78</v>
      </c>
      <c r="J7555" s="1" t="s">
        <v>665</v>
      </c>
      <c r="K7555" s="1" t="s">
        <v>10251</v>
      </c>
      <c r="L7555" s="1" t="s">
        <v>36775</v>
      </c>
      <c r="M7555" s="2" t="s">
        <v>12</v>
      </c>
      <c r="N7555" s="4">
        <f t="shared" si="1"/>
        <v>43770</v>
      </c>
      <c r="O7555" s="5" t="str">
        <f>IFERROR(__xludf.DUMMYFUNCTION("IF(REGEXMATCH(TRIM(I7555), ""^\d+\s*min""), ""Unclassified"", IF(I7555 = """", ""NR"", I7555))"),"PG")</f>
        <v>PG</v>
      </c>
      <c r="R7555" s="5" t="str">
        <f t="shared" si="2"/>
        <v>Nacho Libre</v>
      </c>
      <c r="S7555" s="5" t="str">
        <f>IFERROR(__xludf.DUMMYFUNCTION("""COMPUTED_VALUE"""),"The Night Comes For Us")</f>
        <v>The Night Comes For Us</v>
      </c>
      <c r="V7555" s="5"/>
      <c r="Y7555" s="5" t="str">
        <f>IFERROR(__xludf.DUMMYFUNCTION("REGEXEXTRACT(J7555, ""^\d+"")"),"92")</f>
        <v>92</v>
      </c>
      <c r="Z7555" s="5" t="str">
        <f>IFERROR(__xludf.DUMMYFUNCTION("REGEXEXTRACT(J7555, ""[A-Za-z ]+$"")")," min")</f>
        <v> min</v>
      </c>
      <c r="AA7555" s="5" t="str">
        <f>IFERROR(__xludf.DUMMYFUNCTION("IF(REGEXMATCH(Z7555, ""Season""), ""TV Show"", ""Movie"")"),"Movie")</f>
        <v>Movie</v>
      </c>
    </row>
    <row r="7556">
      <c r="A7556" s="1" t="s">
        <v>36776</v>
      </c>
      <c r="B7556" s="1" t="s">
        <v>27</v>
      </c>
      <c r="C7556" s="1" t="s">
        <v>36777</v>
      </c>
      <c r="D7556" s="1" t="s">
        <v>13144</v>
      </c>
      <c r="F7556" s="1" t="s">
        <v>36778</v>
      </c>
      <c r="G7556" s="1" t="s">
        <v>36779</v>
      </c>
      <c r="H7556" s="1">
        <v>2016.0</v>
      </c>
      <c r="I7556" s="1" t="s">
        <v>136</v>
      </c>
      <c r="J7556" s="1" t="s">
        <v>5120</v>
      </c>
      <c r="K7556" s="1" t="s">
        <v>156</v>
      </c>
      <c r="L7556" s="1" t="s">
        <v>36780</v>
      </c>
      <c r="M7556" s="2" t="s">
        <v>12</v>
      </c>
      <c r="N7556" s="4">
        <f t="shared" si="1"/>
        <v>42771</v>
      </c>
      <c r="O7556" s="5" t="str">
        <f>IFERROR(__xludf.DUMMYFUNCTION("IF(REGEXMATCH(TRIM(I7556), ""^\d+\s*min""), ""Unclassified"", IF(I7556 = """", ""NR"", I7556))"),"TV-PG")</f>
        <v>TV-PG</v>
      </c>
      <c r="R7556" s="5" t="str">
        <f t="shared" si="2"/>
        <v>Naga The Eternal Yogi</v>
      </c>
      <c r="S7556" s="5" t="str">
        <f>IFERROR(__xludf.DUMMYFUNCTION("""COMPUTED_VALUE"""),"The Night Shift")</f>
        <v>The Night Shift</v>
      </c>
      <c r="V7556" s="5"/>
      <c r="Y7556" s="5" t="str">
        <f>IFERROR(__xludf.DUMMYFUNCTION("REGEXEXTRACT(J7556, ""^\d+"")"),"73")</f>
        <v>73</v>
      </c>
      <c r="Z7556" s="5" t="str">
        <f>IFERROR(__xludf.DUMMYFUNCTION("REGEXEXTRACT(J7556, ""[A-Za-z ]+$"")")," min")</f>
        <v> min</v>
      </c>
      <c r="AA7556" s="5" t="str">
        <f>IFERROR(__xludf.DUMMYFUNCTION("IF(REGEXMATCH(Z7556, ""Season""), ""TV Show"", ""Movie"")"),"Movie")</f>
        <v>Movie</v>
      </c>
    </row>
    <row r="7557">
      <c r="A7557" s="1" t="s">
        <v>36781</v>
      </c>
      <c r="B7557" s="1" t="s">
        <v>27</v>
      </c>
      <c r="C7557" s="1" t="s">
        <v>36782</v>
      </c>
      <c r="D7557" s="1" t="s">
        <v>6340</v>
      </c>
      <c r="E7557" s="1" t="s">
        <v>36783</v>
      </c>
      <c r="F7557" s="1" t="s">
        <v>1453</v>
      </c>
      <c r="G7557" s="1" t="s">
        <v>36784</v>
      </c>
      <c r="H7557" s="1">
        <v>2017.0</v>
      </c>
      <c r="I7557" s="1" t="s">
        <v>42</v>
      </c>
      <c r="J7557" s="1" t="s">
        <v>471</v>
      </c>
      <c r="K7557" s="1" t="s">
        <v>1551</v>
      </c>
      <c r="L7557" s="1" t="s">
        <v>36785</v>
      </c>
      <c r="M7557" s="2" t="s">
        <v>12</v>
      </c>
      <c r="N7557" s="4">
        <f t="shared" si="1"/>
        <v>43169</v>
      </c>
      <c r="O7557" s="5" t="str">
        <f>IFERROR(__xludf.DUMMYFUNCTION("IF(REGEXMATCH(TRIM(I7557), ""^\d+\s*min""), ""Unclassified"", IF(I7557 = """", ""NR"", I7557))"),"TV-MA")</f>
        <v>TV-MA</v>
      </c>
      <c r="R7557" s="5" t="str">
        <f t="shared" si="2"/>
        <v>Nails</v>
      </c>
      <c r="S7557" s="5" t="str">
        <f>IFERROR(__xludf.DUMMYFUNCTION("""COMPUTED_VALUE"""),"The Nineties")</f>
        <v>The Nineties</v>
      </c>
      <c r="V7557" s="5"/>
      <c r="Y7557" s="5" t="str">
        <f>IFERROR(__xludf.DUMMYFUNCTION("REGEXEXTRACT(J7557, ""^\d+"")"),"85")</f>
        <v>85</v>
      </c>
      <c r="Z7557" s="5" t="str">
        <f>IFERROR(__xludf.DUMMYFUNCTION("REGEXEXTRACT(J7557, ""[A-Za-z ]+$"")")," min")</f>
        <v> min</v>
      </c>
      <c r="AA7557" s="5" t="str">
        <f>IFERROR(__xludf.DUMMYFUNCTION("IF(REGEXMATCH(Z7557, ""Season""), ""TV Show"", ""Movie"")"),"Movie")</f>
        <v>Movie</v>
      </c>
    </row>
    <row r="7558">
      <c r="A7558" s="1" t="s">
        <v>36786</v>
      </c>
      <c r="B7558" s="1" t="s">
        <v>27</v>
      </c>
      <c r="C7558" s="1" t="s">
        <v>36787</v>
      </c>
      <c r="D7558" s="1" t="s">
        <v>3132</v>
      </c>
      <c r="F7558" s="1" t="s">
        <v>36788</v>
      </c>
      <c r="G7558" s="7">
        <v>43979.0</v>
      </c>
      <c r="H7558" s="1">
        <v>2016.0</v>
      </c>
      <c r="I7558" s="1" t="s">
        <v>136</v>
      </c>
      <c r="J7558" s="1" t="s">
        <v>79</v>
      </c>
      <c r="K7558" s="1" t="s">
        <v>34</v>
      </c>
      <c r="L7558" s="1" t="s">
        <v>36789</v>
      </c>
      <c r="M7558" s="2" t="s">
        <v>12</v>
      </c>
      <c r="N7558" s="4">
        <f t="shared" si="1"/>
        <v>43979</v>
      </c>
      <c r="O7558" s="5" t="str">
        <f>IFERROR(__xludf.DUMMYFUNCTION("IF(REGEXMATCH(TRIM(I7558), ""^\d+\s*min""), ""Unclassified"", IF(I7558 = """", ""NR"", I7558))"),"TV-PG")</f>
        <v>TV-PG</v>
      </c>
      <c r="R7558" s="5" t="str">
        <f t="shared" si="2"/>
        <v>Naledi: A Baby Elephant'S Tale</v>
      </c>
      <c r="S7558" s="5" t="str">
        <f>IFERROR(__xludf.DUMMYFUNCTION("""COMPUTED_VALUE"""),"The November Man")</f>
        <v>The November Man</v>
      </c>
      <c r="V7558" s="5"/>
      <c r="Y7558" s="5" t="str">
        <f>IFERROR(__xludf.DUMMYFUNCTION("REGEXEXTRACT(J7558, ""^\d+"")"),"91")</f>
        <v>91</v>
      </c>
      <c r="Z7558" s="5" t="str">
        <f>IFERROR(__xludf.DUMMYFUNCTION("REGEXEXTRACT(J7558, ""[A-Za-z ]+$"")")," min")</f>
        <v> min</v>
      </c>
      <c r="AA7558" s="5" t="str">
        <f>IFERROR(__xludf.DUMMYFUNCTION("IF(REGEXMATCH(Z7558, ""Season""), ""TV Show"", ""Movie"")"),"Movie")</f>
        <v>Movie</v>
      </c>
    </row>
    <row r="7559">
      <c r="A7559" s="1" t="s">
        <v>36790</v>
      </c>
      <c r="B7559" s="1" t="s">
        <v>27</v>
      </c>
      <c r="C7559" s="1" t="s">
        <v>36791</v>
      </c>
      <c r="D7559" s="1" t="s">
        <v>15333</v>
      </c>
      <c r="E7559" s="1" t="s">
        <v>36792</v>
      </c>
      <c r="F7559" s="1" t="s">
        <v>63</v>
      </c>
      <c r="G7559" s="1" t="s">
        <v>17078</v>
      </c>
      <c r="H7559" s="1">
        <v>1982.0</v>
      </c>
      <c r="I7559" s="1" t="s">
        <v>97</v>
      </c>
      <c r="J7559" s="1" t="s">
        <v>9630</v>
      </c>
      <c r="K7559" s="1" t="s">
        <v>1328</v>
      </c>
      <c r="L7559" s="1" t="s">
        <v>36793</v>
      </c>
      <c r="M7559" s="2" t="s">
        <v>12</v>
      </c>
      <c r="N7559" s="4">
        <f t="shared" si="1"/>
        <v>43830</v>
      </c>
      <c r="O7559" s="5" t="str">
        <f>IFERROR(__xludf.DUMMYFUNCTION("IF(REGEXMATCH(TRIM(I7559), ""^\d+\s*min""), ""Unclassified"", IF(I7559 = """", ""NR"", I7559))"),"TV-14")</f>
        <v>TV-14</v>
      </c>
      <c r="R7559" s="5" t="str">
        <f t="shared" si="2"/>
        <v>Namak Halaal</v>
      </c>
      <c r="S7559" s="5" t="str">
        <f>IFERROR(__xludf.DUMMYFUNCTION("""COMPUTED_VALUE"""),"The Nsu-Complex")</f>
        <v>The Nsu-Complex</v>
      </c>
      <c r="V7559" s="5"/>
      <c r="Y7559" s="5" t="str">
        <f>IFERROR(__xludf.DUMMYFUNCTION("REGEXEXTRACT(J7559, ""^\d+"")"),"171")</f>
        <v>171</v>
      </c>
      <c r="Z7559" s="5" t="str">
        <f>IFERROR(__xludf.DUMMYFUNCTION("REGEXEXTRACT(J7559, ""[A-Za-z ]+$"")")," min")</f>
        <v> min</v>
      </c>
      <c r="AA7559" s="5" t="str">
        <f>IFERROR(__xludf.DUMMYFUNCTION("IF(REGEXMATCH(Z7559, ""Season""), ""TV Show"", ""Movie"")"),"Movie")</f>
        <v>Movie</v>
      </c>
    </row>
    <row r="7560">
      <c r="A7560" s="1" t="s">
        <v>36794</v>
      </c>
      <c r="B7560" s="1" t="s">
        <v>27</v>
      </c>
      <c r="C7560" s="1" t="s">
        <v>36795</v>
      </c>
      <c r="D7560" s="1" t="s">
        <v>9214</v>
      </c>
      <c r="E7560" s="1" t="s">
        <v>36796</v>
      </c>
      <c r="F7560" s="1" t="s">
        <v>30</v>
      </c>
      <c r="G7560" s="1" t="s">
        <v>28500</v>
      </c>
      <c r="H7560" s="1">
        <v>2016.0</v>
      </c>
      <c r="I7560" s="1" t="s">
        <v>30231</v>
      </c>
      <c r="J7560" s="1" t="s">
        <v>729</v>
      </c>
      <c r="K7560" s="1" t="s">
        <v>1320</v>
      </c>
      <c r="L7560" s="1" t="s">
        <v>36797</v>
      </c>
      <c r="M7560" s="2" t="s">
        <v>12</v>
      </c>
      <c r="N7560" s="4">
        <f t="shared" si="1"/>
        <v>42809</v>
      </c>
      <c r="O7560" s="5" t="str">
        <f>IFERROR(__xludf.DUMMYFUNCTION("IF(REGEXMATCH(TRIM(I7560), ""^\d+\s*min""), ""Unclassified"", IF(I7560 = """", ""NR"", I7560))"),"NR")</f>
        <v>NR</v>
      </c>
      <c r="R7560" s="5" t="str">
        <f t="shared" si="2"/>
        <v>Namour</v>
      </c>
      <c r="S7560" s="5" t="str">
        <f>IFERROR(__xludf.DUMMYFUNCTION("""COMPUTED_VALUE"""),"The Nut Job")</f>
        <v>The Nut Job</v>
      </c>
      <c r="V7560" s="5"/>
      <c r="Y7560" s="5" t="str">
        <f>IFERROR(__xludf.DUMMYFUNCTION("REGEXEXTRACT(J7560, ""^\d+"")"),"80")</f>
        <v>80</v>
      </c>
      <c r="Z7560" s="5" t="str">
        <f>IFERROR(__xludf.DUMMYFUNCTION("REGEXEXTRACT(J7560, ""[A-Za-z ]+$"")")," min")</f>
        <v> min</v>
      </c>
      <c r="AA7560" s="5" t="str">
        <f>IFERROR(__xludf.DUMMYFUNCTION("IF(REGEXMATCH(Z7560, ""Season""), ""TV Show"", ""Movie"")"),"Movie")</f>
        <v>Movie</v>
      </c>
    </row>
    <row r="7561">
      <c r="A7561" s="1" t="s">
        <v>36798</v>
      </c>
      <c r="B7561" s="1" t="s">
        <v>27</v>
      </c>
      <c r="C7561" s="1" t="s">
        <v>36799</v>
      </c>
      <c r="D7561" s="1" t="s">
        <v>445</v>
      </c>
      <c r="E7561" s="1" t="s">
        <v>446</v>
      </c>
      <c r="F7561" s="1" t="s">
        <v>415</v>
      </c>
      <c r="G7561" s="1" t="s">
        <v>27321</v>
      </c>
      <c r="H7561" s="1">
        <v>2011.0</v>
      </c>
      <c r="I7561" s="1" t="s">
        <v>97</v>
      </c>
      <c r="J7561" s="1" t="s">
        <v>447</v>
      </c>
      <c r="K7561" s="1" t="s">
        <v>417</v>
      </c>
      <c r="L7561" s="1" t="s">
        <v>448</v>
      </c>
      <c r="M7561" s="2" t="s">
        <v>12</v>
      </c>
      <c r="N7561" s="4">
        <f t="shared" si="1"/>
        <v>42979</v>
      </c>
      <c r="O7561" s="5" t="str">
        <f>IFERROR(__xludf.DUMMYFUNCTION("IF(REGEXMATCH(TRIM(I7561), ""^\d+\s*min""), ""Unclassified"", IF(I7561 = """", ""NR"", I7561))"),"TV-14")</f>
        <v>TV-14</v>
      </c>
      <c r="R7561" s="5" t="str">
        <f t="shared" si="2"/>
        <v>Naruto Shippuden : Blood Prison</v>
      </c>
      <c r="S7561" s="5" t="str">
        <f>IFERROR(__xludf.DUMMYFUNCTION("""COMPUTED_VALUE"""),"The Nutcracker And The Four Realms")</f>
        <v>The Nutcracker And The Four Realms</v>
      </c>
      <c r="V7561" s="5"/>
      <c r="Y7561" s="5" t="str">
        <f>IFERROR(__xludf.DUMMYFUNCTION("REGEXEXTRACT(J7561, ""^\d+"")"),"102")</f>
        <v>102</v>
      </c>
      <c r="Z7561" s="5" t="str">
        <f>IFERROR(__xludf.DUMMYFUNCTION("REGEXEXTRACT(J7561, ""[A-Za-z ]+$"")")," min")</f>
        <v> min</v>
      </c>
      <c r="AA7561" s="5" t="str">
        <f>IFERROR(__xludf.DUMMYFUNCTION("IF(REGEXMATCH(Z7561, ""Season""), ""TV Show"", ""Movie"")"),"Movie")</f>
        <v>Movie</v>
      </c>
    </row>
    <row r="7562">
      <c r="A7562" s="1" t="s">
        <v>36800</v>
      </c>
      <c r="B7562" s="1" t="s">
        <v>27</v>
      </c>
      <c r="C7562" s="1" t="s">
        <v>36801</v>
      </c>
      <c r="D7562" s="1" t="s">
        <v>16577</v>
      </c>
      <c r="E7562" s="1" t="s">
        <v>16577</v>
      </c>
      <c r="F7562" s="1" t="s">
        <v>30</v>
      </c>
      <c r="G7562" s="1" t="s">
        <v>26827</v>
      </c>
      <c r="H7562" s="1">
        <v>2017.0</v>
      </c>
      <c r="I7562" s="1" t="s">
        <v>42</v>
      </c>
      <c r="J7562" s="1" t="s">
        <v>1171</v>
      </c>
      <c r="K7562" s="1" t="s">
        <v>1839</v>
      </c>
      <c r="L7562" s="1" t="s">
        <v>36802</v>
      </c>
      <c r="M7562" s="2" t="s">
        <v>12</v>
      </c>
      <c r="N7562" s="4">
        <f t="shared" si="1"/>
        <v>43049</v>
      </c>
      <c r="O7562" s="5" t="str">
        <f>IFERROR(__xludf.DUMMYFUNCTION("IF(REGEXMATCH(TRIM(I7562), ""^\d+\s*min""), ""Unclassified"", IF(I7562 = """", ""NR"", I7562))"),"TV-MA")</f>
        <v>TV-MA</v>
      </c>
      <c r="R7562" s="5" t="str">
        <f t="shared" si="2"/>
        <v>Natalia Valdebenito: Gritona</v>
      </c>
      <c r="S7562" s="5" t="str">
        <f>IFERROR(__xludf.DUMMYFUNCTION("""COMPUTED_VALUE"""),"The Nutty Professor")</f>
        <v>The Nutty Professor</v>
      </c>
      <c r="V7562" s="5"/>
      <c r="Y7562" s="5" t="str">
        <f>IFERROR(__xludf.DUMMYFUNCTION("REGEXEXTRACT(J7562, ""^\d+"")"),"76")</f>
        <v>76</v>
      </c>
      <c r="Z7562" s="5" t="str">
        <f>IFERROR(__xludf.DUMMYFUNCTION("REGEXEXTRACT(J7562, ""[A-Za-z ]+$"")")," min")</f>
        <v> min</v>
      </c>
      <c r="AA7562" s="5" t="str">
        <f>IFERROR(__xludf.DUMMYFUNCTION("IF(REGEXMATCH(Z7562, ""Season""), ""TV Show"", ""Movie"")"),"Movie")</f>
        <v>Movie</v>
      </c>
    </row>
    <row r="7563">
      <c r="A7563" s="1" t="s">
        <v>36803</v>
      </c>
      <c r="B7563" s="1" t="s">
        <v>27</v>
      </c>
      <c r="C7563" s="1" t="s">
        <v>36804</v>
      </c>
      <c r="D7563" s="1" t="s">
        <v>21323</v>
      </c>
      <c r="F7563" s="1" t="s">
        <v>30</v>
      </c>
      <c r="G7563" s="7">
        <v>42863.0</v>
      </c>
      <c r="H7563" s="1">
        <v>2016.0</v>
      </c>
      <c r="I7563" s="1" t="s">
        <v>42</v>
      </c>
      <c r="J7563" s="1" t="s">
        <v>665</v>
      </c>
      <c r="K7563" s="1" t="s">
        <v>34</v>
      </c>
      <c r="L7563" s="1" t="s">
        <v>36805</v>
      </c>
      <c r="M7563" s="2" t="s">
        <v>12</v>
      </c>
      <c r="N7563" s="4">
        <f t="shared" si="1"/>
        <v>42863</v>
      </c>
      <c r="O7563" s="5" t="str">
        <f>IFERROR(__xludf.DUMMYFUNCTION("IF(REGEXMATCH(TRIM(I7563), ""^\d+\s*min""), ""Unclassified"", IF(I7563 = """", ""NR"", I7563))"),"TV-MA")</f>
        <v>TV-MA</v>
      </c>
      <c r="R7563" s="5" t="str">
        <f t="shared" si="2"/>
        <v>National Bird</v>
      </c>
      <c r="S7563" s="5" t="str">
        <f>IFERROR(__xludf.DUMMYFUNCTION("""COMPUTED_VALUE"""),"The Nutty Professor Ii: The Klumps")</f>
        <v>The Nutty Professor Ii: The Klumps</v>
      </c>
      <c r="V7563" s="5"/>
      <c r="Y7563" s="5" t="str">
        <f>IFERROR(__xludf.DUMMYFUNCTION("REGEXEXTRACT(J7563, ""^\d+"")"),"92")</f>
        <v>92</v>
      </c>
      <c r="Z7563" s="5" t="str">
        <f>IFERROR(__xludf.DUMMYFUNCTION("REGEXEXTRACT(J7563, ""[A-Za-z ]+$"")")," min")</f>
        <v> min</v>
      </c>
      <c r="AA7563" s="5" t="str">
        <f>IFERROR(__xludf.DUMMYFUNCTION("IF(REGEXMATCH(Z7563, ""Season""), ""TV Show"", ""Movie"")"),"Movie")</f>
        <v>Movie</v>
      </c>
    </row>
    <row r="7564">
      <c r="A7564" s="1" t="s">
        <v>36806</v>
      </c>
      <c r="B7564" s="1" t="s">
        <v>27</v>
      </c>
      <c r="C7564" s="1" t="s">
        <v>36807</v>
      </c>
      <c r="D7564" s="1" t="s">
        <v>8290</v>
      </c>
      <c r="E7564" s="1" t="s">
        <v>36808</v>
      </c>
      <c r="G7564" s="1" t="s">
        <v>18333</v>
      </c>
      <c r="H7564" s="1">
        <v>1993.0</v>
      </c>
      <c r="I7564" s="1" t="s">
        <v>32</v>
      </c>
      <c r="J7564" s="1" t="s">
        <v>1001</v>
      </c>
      <c r="K7564" s="1" t="s">
        <v>8798</v>
      </c>
      <c r="L7564" s="1" t="s">
        <v>36809</v>
      </c>
      <c r="M7564" s="2" t="s">
        <v>12</v>
      </c>
      <c r="N7564" s="4">
        <f t="shared" si="1"/>
        <v>43770</v>
      </c>
      <c r="O7564" s="5" t="str">
        <f>IFERROR(__xludf.DUMMYFUNCTION("IF(REGEXMATCH(TRIM(I7564), ""^\d+\s*min""), ""Unclassified"", IF(I7564 = """", ""NR"", I7564))"),"PG-13")</f>
        <v>PG-13</v>
      </c>
      <c r="R7564" s="5" t="str">
        <f t="shared" si="2"/>
        <v>National Lampoon'S Loaded Weapon 1</v>
      </c>
      <c r="S7564" s="5" t="str">
        <f>IFERROR(__xludf.DUMMYFUNCTION("""COMPUTED_VALUE"""),"The Oa")</f>
        <v>The Oa</v>
      </c>
      <c r="V7564" s="5"/>
      <c r="Y7564" s="5" t="str">
        <f>IFERROR(__xludf.DUMMYFUNCTION("REGEXEXTRACT(J7564, ""^\d+"")"),"82")</f>
        <v>82</v>
      </c>
      <c r="Z7564" s="5" t="str">
        <f>IFERROR(__xludf.DUMMYFUNCTION("REGEXEXTRACT(J7564, ""[A-Za-z ]+$"")")," min")</f>
        <v> min</v>
      </c>
      <c r="AA7564" s="5" t="str">
        <f>IFERROR(__xludf.DUMMYFUNCTION("IF(REGEXMATCH(Z7564, ""Season""), ""TV Show"", ""Movie"")"),"Movie")</f>
        <v>Movie</v>
      </c>
    </row>
    <row r="7565">
      <c r="A7565" s="1" t="s">
        <v>36810</v>
      </c>
      <c r="B7565" s="1" t="s">
        <v>27</v>
      </c>
      <c r="C7565" s="1" t="s">
        <v>36811</v>
      </c>
      <c r="D7565" s="1" t="s">
        <v>33046</v>
      </c>
      <c r="E7565" s="1" t="s">
        <v>36812</v>
      </c>
      <c r="F7565" s="1" t="s">
        <v>30</v>
      </c>
      <c r="G7565" s="1" t="s">
        <v>26295</v>
      </c>
      <c r="H7565" s="1">
        <v>2016.0</v>
      </c>
      <c r="I7565" s="1" t="s">
        <v>506</v>
      </c>
      <c r="J7565" s="1" t="s">
        <v>7390</v>
      </c>
      <c r="K7565" s="1" t="s">
        <v>34</v>
      </c>
      <c r="L7565" s="1" t="s">
        <v>36813</v>
      </c>
      <c r="M7565" s="2" t="s">
        <v>12</v>
      </c>
      <c r="N7565" s="4">
        <f t="shared" si="1"/>
        <v>43132</v>
      </c>
      <c r="O7565" s="5" t="str">
        <f>IFERROR(__xludf.DUMMYFUNCTION("IF(REGEXMATCH(TRIM(I7565), ""^\d+\s*min""), ""Unclassified"", IF(I7565 = """", ""NR"", I7565))"),"TV-G")</f>
        <v>TV-G</v>
      </c>
      <c r="R7565" s="5" t="str">
        <f t="shared" si="2"/>
        <v>National Parks Adventure</v>
      </c>
      <c r="S7565" s="5" t="str">
        <f>IFERROR(__xludf.DUMMYFUNCTION("""COMPUTED_VALUE"""),"The Oath")</f>
        <v>The Oath</v>
      </c>
      <c r="V7565" s="5"/>
      <c r="Y7565" s="5" t="str">
        <f>IFERROR(__xludf.DUMMYFUNCTION("REGEXEXTRACT(J7565, ""^\d+"")"),"42")</f>
        <v>42</v>
      </c>
      <c r="Z7565" s="5" t="str">
        <f>IFERROR(__xludf.DUMMYFUNCTION("REGEXEXTRACT(J7565, ""[A-Za-z ]+$"")")," min")</f>
        <v> min</v>
      </c>
      <c r="AA7565" s="5" t="str">
        <f>IFERROR(__xludf.DUMMYFUNCTION("IF(REGEXMATCH(Z7565, ""Season""), ""TV Show"", ""Movie"")"),"Movie")</f>
        <v>Movie</v>
      </c>
    </row>
    <row r="7566">
      <c r="A7566" s="1" t="s">
        <v>36814</v>
      </c>
      <c r="B7566" s="1" t="s">
        <v>27</v>
      </c>
      <c r="C7566" s="1" t="s">
        <v>36815</v>
      </c>
      <c r="D7566" s="1" t="s">
        <v>11640</v>
      </c>
      <c r="E7566" s="1" t="s">
        <v>36816</v>
      </c>
      <c r="F7566" s="1" t="s">
        <v>30</v>
      </c>
      <c r="G7566" s="1" t="s">
        <v>25390</v>
      </c>
      <c r="H7566" s="1">
        <v>2004.0</v>
      </c>
      <c r="I7566" s="1" t="s">
        <v>78</v>
      </c>
      <c r="J7566" s="1" t="s">
        <v>2859</v>
      </c>
      <c r="K7566" s="1" t="s">
        <v>35691</v>
      </c>
      <c r="L7566" s="1" t="s">
        <v>36817</v>
      </c>
      <c r="M7566" s="2" t="s">
        <v>12</v>
      </c>
      <c r="N7566" s="4">
        <f t="shared" si="1"/>
        <v>43252</v>
      </c>
      <c r="O7566" s="5" t="str">
        <f>IFERROR(__xludf.DUMMYFUNCTION("IF(REGEXMATCH(TRIM(I7566), ""^\d+\s*min""), ""Unclassified"", IF(I7566 = """", ""NR"", I7566))"),"PG")</f>
        <v>PG</v>
      </c>
      <c r="R7566" s="5" t="str">
        <f t="shared" si="2"/>
        <v>National Treasure</v>
      </c>
      <c r="S7566" s="5" t="str">
        <f>IFERROR(__xludf.DUMMYFUNCTION("""COMPUTED_VALUE"""),"The Occupant")</f>
        <v>The Occupant</v>
      </c>
      <c r="V7566" s="5"/>
      <c r="Y7566" s="5" t="str">
        <f>IFERROR(__xludf.DUMMYFUNCTION("REGEXEXTRACT(J7566, ""^\d+"")"),"131")</f>
        <v>131</v>
      </c>
      <c r="Z7566" s="5" t="str">
        <f>IFERROR(__xludf.DUMMYFUNCTION("REGEXEXTRACT(J7566, ""[A-Za-z ]+$"")")," min")</f>
        <v> min</v>
      </c>
      <c r="AA7566" s="5" t="str">
        <f>IFERROR(__xludf.DUMMYFUNCTION("IF(REGEXMATCH(Z7566, ""Season""), ""TV Show"", ""Movie"")"),"Movie")</f>
        <v>Movie</v>
      </c>
    </row>
    <row r="7567">
      <c r="A7567" s="1" t="s">
        <v>36818</v>
      </c>
      <c r="B7567" s="1" t="s">
        <v>27</v>
      </c>
      <c r="C7567" s="1" t="s">
        <v>36819</v>
      </c>
      <c r="D7567" s="1" t="s">
        <v>11576</v>
      </c>
      <c r="E7567" s="1" t="s">
        <v>36820</v>
      </c>
      <c r="F7567" s="1" t="s">
        <v>63</v>
      </c>
      <c r="G7567" s="1" t="s">
        <v>25390</v>
      </c>
      <c r="H7567" s="1">
        <v>2016.0</v>
      </c>
      <c r="I7567" s="1" t="s">
        <v>97</v>
      </c>
      <c r="J7567" s="1" t="s">
        <v>1390</v>
      </c>
      <c r="K7567" s="1" t="s">
        <v>128</v>
      </c>
      <c r="L7567" s="1" t="s">
        <v>36821</v>
      </c>
      <c r="M7567" s="2" t="s">
        <v>12</v>
      </c>
      <c r="N7567" s="4">
        <f t="shared" si="1"/>
        <v>43252</v>
      </c>
      <c r="O7567" s="5" t="str">
        <f>IFERROR(__xludf.DUMMYFUNCTION("IF(REGEXMATCH(TRIM(I7567), ""^\d+\s*min""), ""Unclassified"", IF(I7567 = """", ""NR"", I7567))"),"TV-14")</f>
        <v>TV-14</v>
      </c>
      <c r="R7567" s="5" t="str">
        <f t="shared" si="2"/>
        <v>Natsamrat - Asa Nat Hone Nahi</v>
      </c>
      <c r="S7567" s="5" t="str">
        <f>IFERROR(__xludf.DUMMYFUNCTION("""COMPUTED_VALUE"""),"The Office (U.S.)")</f>
        <v>The Office (U.S.)</v>
      </c>
      <c r="V7567" s="5"/>
      <c r="Y7567" s="5" t="str">
        <f>IFERROR(__xludf.DUMMYFUNCTION("REGEXEXTRACT(J7567, ""^\d+"")"),"165")</f>
        <v>165</v>
      </c>
      <c r="Z7567" s="5" t="str">
        <f>IFERROR(__xludf.DUMMYFUNCTION("REGEXEXTRACT(J7567, ""[A-Za-z ]+$"")")," min")</f>
        <v> min</v>
      </c>
      <c r="AA7567" s="5" t="str">
        <f>IFERROR(__xludf.DUMMYFUNCTION("IF(REGEXMATCH(Z7567, ""Season""), ""TV Show"", ""Movie"")"),"Movie")</f>
        <v>Movie</v>
      </c>
    </row>
    <row r="7568">
      <c r="A7568" s="1" t="s">
        <v>36822</v>
      </c>
      <c r="B7568" s="1" t="s">
        <v>27</v>
      </c>
      <c r="C7568" s="1" t="s">
        <v>36823</v>
      </c>
      <c r="D7568" s="1" t="s">
        <v>19755</v>
      </c>
      <c r="E7568" s="1" t="s">
        <v>36824</v>
      </c>
      <c r="F7568" s="1" t="s">
        <v>30</v>
      </c>
      <c r="G7568" s="1" t="s">
        <v>29473</v>
      </c>
      <c r="H7568" s="1">
        <v>2016.0</v>
      </c>
      <c r="I7568" s="1" t="s">
        <v>378</v>
      </c>
      <c r="J7568" s="1" t="s">
        <v>79</v>
      </c>
      <c r="K7568" s="1" t="s">
        <v>239</v>
      </c>
      <c r="L7568" s="1" t="s">
        <v>36825</v>
      </c>
      <c r="M7568" s="2" t="s">
        <v>12</v>
      </c>
      <c r="N7568" s="4">
        <f t="shared" si="1"/>
        <v>42628</v>
      </c>
      <c r="O7568" s="5" t="str">
        <f>IFERROR(__xludf.DUMMYFUNCTION("IF(REGEXMATCH(TRIM(I7568), ""^\d+\s*min""), ""Unclassified"", IF(I7568 = """", ""NR"", I7568))"),"R")</f>
        <v>R</v>
      </c>
      <c r="R7568" s="5" t="str">
        <f t="shared" si="2"/>
        <v>Natural Born Pranksters</v>
      </c>
      <c r="S7568" s="5" t="str">
        <f>IFERROR(__xludf.DUMMYFUNCTION("""COMPUTED_VALUE"""),"The Old Guard")</f>
        <v>The Old Guard</v>
      </c>
      <c r="V7568" s="5"/>
      <c r="Y7568" s="5" t="str">
        <f>IFERROR(__xludf.DUMMYFUNCTION("REGEXEXTRACT(J7568, ""^\d+"")"),"91")</f>
        <v>91</v>
      </c>
      <c r="Z7568" s="5" t="str">
        <f>IFERROR(__xludf.DUMMYFUNCTION("REGEXEXTRACT(J7568, ""[A-Za-z ]+$"")")," min")</f>
        <v> min</v>
      </c>
      <c r="AA7568" s="5" t="str">
        <f>IFERROR(__xludf.DUMMYFUNCTION("IF(REGEXMATCH(Z7568, ""Season""), ""TV Show"", ""Movie"")"),"Movie")</f>
        <v>Movie</v>
      </c>
    </row>
    <row r="7569">
      <c r="A7569" s="1" t="s">
        <v>36826</v>
      </c>
      <c r="B7569" s="1" t="s">
        <v>27</v>
      </c>
      <c r="C7569" s="1" t="s">
        <v>36827</v>
      </c>
      <c r="D7569" s="1" t="s">
        <v>4327</v>
      </c>
      <c r="E7569" s="1" t="s">
        <v>36828</v>
      </c>
      <c r="F7569" s="1" t="s">
        <v>30</v>
      </c>
      <c r="G7569" s="1" t="s">
        <v>29051</v>
      </c>
      <c r="H7569" s="1">
        <v>2015.0</v>
      </c>
      <c r="I7569" s="1" t="s">
        <v>378</v>
      </c>
      <c r="J7569" s="1" t="s">
        <v>1091</v>
      </c>
      <c r="K7569" s="1" t="s">
        <v>1320</v>
      </c>
      <c r="L7569" s="1" t="s">
        <v>36829</v>
      </c>
      <c r="M7569" s="2" t="s">
        <v>12</v>
      </c>
      <c r="N7569" s="4">
        <f t="shared" si="1"/>
        <v>42705</v>
      </c>
      <c r="O7569" s="5" t="str">
        <f>IFERROR(__xludf.DUMMYFUNCTION("IF(REGEXMATCH(TRIM(I7569), ""^\d+\s*min""), ""Unclassified"", IF(I7569 = """", ""NR"", I7569))"),"R")</f>
        <v>R</v>
      </c>
      <c r="R7569" s="5" t="str">
        <f t="shared" si="2"/>
        <v>Natural Selection</v>
      </c>
      <c r="S7569" s="5" t="str">
        <f>IFERROR(__xludf.DUMMYFUNCTION("""COMPUTED_VALUE"""),"The Old Thieves: The Legend Of Artegios")</f>
        <v>The Old Thieves: The Legend Of Artegios</v>
      </c>
      <c r="V7569" s="5"/>
      <c r="Y7569" s="5" t="str">
        <f>IFERROR(__xludf.DUMMYFUNCTION("REGEXEXTRACT(J7569, ""^\d+"")"),"101")</f>
        <v>101</v>
      </c>
      <c r="Z7569" s="5" t="str">
        <f>IFERROR(__xludf.DUMMYFUNCTION("REGEXEXTRACT(J7569, ""[A-Za-z ]+$"")")," min")</f>
        <v> min</v>
      </c>
      <c r="AA7569" s="5" t="str">
        <f>IFERROR(__xludf.DUMMYFUNCTION("IF(REGEXMATCH(Z7569, ""Season""), ""TV Show"", ""Movie"")"),"Movie")</f>
        <v>Movie</v>
      </c>
    </row>
    <row r="7570">
      <c r="A7570" s="1" t="s">
        <v>36830</v>
      </c>
      <c r="B7570" s="1" t="s">
        <v>37</v>
      </c>
      <c r="C7570" s="1" t="s">
        <v>36831</v>
      </c>
      <c r="E7570" s="1" t="s">
        <v>36832</v>
      </c>
      <c r="F7570" s="1" t="s">
        <v>686</v>
      </c>
      <c r="G7570" s="1" t="s">
        <v>24201</v>
      </c>
      <c r="H7570" s="1">
        <v>2018.0</v>
      </c>
      <c r="I7570" s="1" t="s">
        <v>136</v>
      </c>
      <c r="J7570" s="1" t="s">
        <v>51</v>
      </c>
      <c r="K7570" s="1" t="s">
        <v>736</v>
      </c>
      <c r="L7570" s="1" t="s">
        <v>36833</v>
      </c>
      <c r="M7570" s="2" t="s">
        <v>12</v>
      </c>
      <c r="N7570" s="4">
        <f t="shared" si="1"/>
        <v>43374</v>
      </c>
      <c r="O7570" s="5" t="str">
        <f>IFERROR(__xludf.DUMMYFUNCTION("IF(REGEXMATCH(TRIM(I7570), ""^\d+\s*min""), ""Unclassified"", IF(I7570 = """", ""NR"", I7570))"),"TV-PG")</f>
        <v>TV-PG</v>
      </c>
      <c r="R7570" s="5" t="str">
        <f t="shared" si="2"/>
        <v>Nature: Animals With Cameras</v>
      </c>
      <c r="S7570" s="5" t="str">
        <f>IFERROR(__xludf.DUMMYFUNCTION("""COMPUTED_VALUE"""),"The Old Ways")</f>
        <v>The Old Ways</v>
      </c>
      <c r="V7570" s="5"/>
      <c r="Y7570" s="5" t="str">
        <f>IFERROR(__xludf.DUMMYFUNCTION("REGEXEXTRACT(J7570, ""^\d+"")"),"1")</f>
        <v>1</v>
      </c>
      <c r="Z7570" s="5" t="str">
        <f>IFERROR(__xludf.DUMMYFUNCTION("REGEXEXTRACT(J7570, ""[A-Za-z ]+$"")")," Season")</f>
        <v> Season</v>
      </c>
      <c r="AA7570" s="5" t="str">
        <f>IFERROR(__xludf.DUMMYFUNCTION("IF(REGEXMATCH(Z7570, ""Season""), ""TV Show"", ""Movie"")"),"TV Show")</f>
        <v>TV Show</v>
      </c>
    </row>
    <row r="7571">
      <c r="A7571" s="1" t="s">
        <v>36834</v>
      </c>
      <c r="B7571" s="1" t="s">
        <v>37</v>
      </c>
      <c r="C7571" s="1" t="s">
        <v>36835</v>
      </c>
      <c r="E7571" s="1" t="s">
        <v>36836</v>
      </c>
      <c r="F7571" s="1" t="s">
        <v>30</v>
      </c>
      <c r="G7571" s="1" t="s">
        <v>28552</v>
      </c>
      <c r="H7571" s="1">
        <v>2016.0</v>
      </c>
      <c r="I7571" s="1" t="s">
        <v>506</v>
      </c>
      <c r="J7571" s="1" t="s">
        <v>51</v>
      </c>
      <c r="K7571" s="1" t="s">
        <v>736</v>
      </c>
      <c r="L7571" s="1" t="s">
        <v>36837</v>
      </c>
      <c r="M7571" s="2" t="s">
        <v>12</v>
      </c>
      <c r="N7571" s="4">
        <f t="shared" si="1"/>
        <v>42795</v>
      </c>
      <c r="O7571" s="5" t="str">
        <f>IFERROR(__xludf.DUMMYFUNCTION("IF(REGEXMATCH(TRIM(I7571), ""^\d+\s*min""), ""Unclassified"", IF(I7571 = """", ""NR"", I7571))"),"TV-G")</f>
        <v>TV-G</v>
      </c>
      <c r="R7571" s="5" t="str">
        <f t="shared" si="2"/>
        <v>Nature: Natural Born Hustlers</v>
      </c>
      <c r="S7571" s="5" t="str">
        <f>IFERROR(__xludf.DUMMYFUNCTION("""COMPUTED_VALUE"""),"The Ollie &amp; Moon Show")</f>
        <v>The Ollie &amp; Moon Show</v>
      </c>
      <c r="V7571" s="5"/>
      <c r="Y7571" s="5" t="str">
        <f>IFERROR(__xludf.DUMMYFUNCTION("REGEXEXTRACT(J7571, ""^\d+"")"),"1")</f>
        <v>1</v>
      </c>
      <c r="Z7571" s="5" t="str">
        <f>IFERROR(__xludf.DUMMYFUNCTION("REGEXEXTRACT(J7571, ""[A-Za-z ]+$"")")," Season")</f>
        <v> Season</v>
      </c>
      <c r="AA7571" s="5" t="str">
        <f>IFERROR(__xludf.DUMMYFUNCTION("IF(REGEXMATCH(Z7571, ""Season""), ""TV Show"", ""Movie"")"),"TV Show")</f>
        <v>TV Show</v>
      </c>
    </row>
    <row r="7572">
      <c r="A7572" s="1" t="s">
        <v>36838</v>
      </c>
      <c r="B7572" s="1" t="s">
        <v>27</v>
      </c>
      <c r="C7572" s="1" t="s">
        <v>36839</v>
      </c>
      <c r="E7572" s="1" t="s">
        <v>5968</v>
      </c>
      <c r="F7572" s="1" t="s">
        <v>30</v>
      </c>
      <c r="G7572" s="1" t="s">
        <v>28552</v>
      </c>
      <c r="H7572" s="1">
        <v>2016.0</v>
      </c>
      <c r="I7572" s="1" t="s">
        <v>506</v>
      </c>
      <c r="J7572" s="1" t="s">
        <v>8606</v>
      </c>
      <c r="K7572" s="1" t="s">
        <v>34</v>
      </c>
      <c r="L7572" s="1" t="s">
        <v>36840</v>
      </c>
      <c r="M7572" s="2" t="s">
        <v>12</v>
      </c>
      <c r="N7572" s="4">
        <f t="shared" si="1"/>
        <v>42795</v>
      </c>
      <c r="O7572" s="5" t="str">
        <f>IFERROR(__xludf.DUMMYFUNCTION("IF(REGEXMATCH(TRIM(I7572), ""^\d+\s*min""), ""Unclassified"", IF(I7572 = """", ""NR"", I7572))"),"TV-G")</f>
        <v>TV-G</v>
      </c>
      <c r="R7572" s="5" t="str">
        <f t="shared" si="2"/>
        <v>Nature: Raising The Dinosaur Giant</v>
      </c>
      <c r="S7572" s="5" t="str">
        <f>IFERROR(__xludf.DUMMYFUNCTION("""COMPUTED_VALUE"""),"The One")</f>
        <v>The One</v>
      </c>
      <c r="V7572" s="5"/>
      <c r="Y7572" s="5" t="str">
        <f>IFERROR(__xludf.DUMMYFUNCTION("REGEXEXTRACT(J7572, ""^\d+"")"),"53")</f>
        <v>53</v>
      </c>
      <c r="Z7572" s="5" t="str">
        <f>IFERROR(__xludf.DUMMYFUNCTION("REGEXEXTRACT(J7572, ""[A-Za-z ]+$"")")," min")</f>
        <v> min</v>
      </c>
      <c r="AA7572" s="5" t="str">
        <f>IFERROR(__xludf.DUMMYFUNCTION("IF(REGEXMATCH(Z7572, ""Season""), ""TV Show"", ""Movie"")"),"Movie")</f>
        <v>Movie</v>
      </c>
    </row>
    <row r="7573">
      <c r="A7573" s="1" t="s">
        <v>36841</v>
      </c>
      <c r="B7573" s="1" t="s">
        <v>37</v>
      </c>
      <c r="C7573" s="1" t="s">
        <v>36842</v>
      </c>
      <c r="E7573" s="1" t="s">
        <v>5968</v>
      </c>
      <c r="F7573" s="1" t="s">
        <v>692</v>
      </c>
      <c r="G7573" s="1" t="s">
        <v>36843</v>
      </c>
      <c r="H7573" s="1">
        <v>2009.0</v>
      </c>
      <c r="I7573" s="1" t="s">
        <v>136</v>
      </c>
      <c r="J7573" s="1" t="s">
        <v>51</v>
      </c>
      <c r="K7573" s="1" t="s">
        <v>29581</v>
      </c>
      <c r="L7573" s="1" t="s">
        <v>36844</v>
      </c>
      <c r="M7573" s="2" t="s">
        <v>12</v>
      </c>
      <c r="N7573" s="4">
        <f t="shared" si="1"/>
        <v>42287</v>
      </c>
      <c r="O7573" s="5" t="str">
        <f>IFERROR(__xludf.DUMMYFUNCTION("IF(REGEXMATCH(TRIM(I7573), ""^\d+\s*min""), ""Unclassified"", IF(I7573 = """", ""NR"", I7573))"),"TV-PG")</f>
        <v>TV-PG</v>
      </c>
      <c r="R7573" s="5" t="str">
        <f t="shared" si="2"/>
        <v>Nature'S Great Events (2009)</v>
      </c>
      <c r="S7573" s="5" t="str">
        <f>IFERROR(__xludf.DUMMYFUNCTION("""COMPUTED_VALUE"""),"The One I Love")</f>
        <v>The One I Love</v>
      </c>
      <c r="V7573" s="5"/>
      <c r="Y7573" s="5" t="str">
        <f>IFERROR(__xludf.DUMMYFUNCTION("REGEXEXTRACT(J7573, ""^\d+"")"),"1")</f>
        <v>1</v>
      </c>
      <c r="Z7573" s="5" t="str">
        <f>IFERROR(__xludf.DUMMYFUNCTION("REGEXEXTRACT(J7573, ""[A-Za-z ]+$"")")," Season")</f>
        <v> Season</v>
      </c>
      <c r="AA7573" s="5" t="str">
        <f>IFERROR(__xludf.DUMMYFUNCTION("IF(REGEXMATCH(Z7573, ""Season""), ""TV Show"", ""Movie"")"),"TV Show")</f>
        <v>TV Show</v>
      </c>
    </row>
    <row r="7574">
      <c r="A7574" s="1" t="s">
        <v>36845</v>
      </c>
      <c r="B7574" s="1" t="s">
        <v>37</v>
      </c>
      <c r="C7574" s="1" t="s">
        <v>36846</v>
      </c>
      <c r="E7574" s="1" t="s">
        <v>5968</v>
      </c>
      <c r="F7574" s="1" t="s">
        <v>692</v>
      </c>
      <c r="G7574" s="1" t="s">
        <v>35731</v>
      </c>
      <c r="H7574" s="1">
        <v>2009.0</v>
      </c>
      <c r="I7574" s="1" t="s">
        <v>136</v>
      </c>
      <c r="J7574" s="1" t="s">
        <v>51</v>
      </c>
      <c r="K7574" s="1" t="s">
        <v>29581</v>
      </c>
      <c r="L7574" s="1" t="s">
        <v>36847</v>
      </c>
      <c r="M7574" s="2" t="s">
        <v>12</v>
      </c>
      <c r="N7574" s="4">
        <f t="shared" si="1"/>
        <v>42116</v>
      </c>
      <c r="O7574" s="5" t="str">
        <f>IFERROR(__xludf.DUMMYFUNCTION("IF(REGEXMATCH(TRIM(I7574), ""^\d+\s*min""), ""Unclassified"", IF(I7574 = """", ""NR"", I7574))"),"TV-PG")</f>
        <v>TV-PG</v>
      </c>
      <c r="R7574" s="5" t="str">
        <f t="shared" si="2"/>
        <v>Nature'S Great Events: Diaries</v>
      </c>
      <c r="S7574" s="5" t="str">
        <f>IFERROR(__xludf.DUMMYFUNCTION("""COMPUTED_VALUE"""),"The Only Mother To You All")</f>
        <v>The Only Mother To You All</v>
      </c>
      <c r="V7574" s="5"/>
      <c r="Y7574" s="5" t="str">
        <f>IFERROR(__xludf.DUMMYFUNCTION("REGEXEXTRACT(J7574, ""^\d+"")"),"1")</f>
        <v>1</v>
      </c>
      <c r="Z7574" s="5" t="str">
        <f>IFERROR(__xludf.DUMMYFUNCTION("REGEXEXTRACT(J7574, ""[A-Za-z ]+$"")")," Season")</f>
        <v> Season</v>
      </c>
      <c r="AA7574" s="5" t="str">
        <f>IFERROR(__xludf.DUMMYFUNCTION("IF(REGEXMATCH(Z7574, ""Season""), ""TV Show"", ""Movie"")"),"TV Show")</f>
        <v>TV Show</v>
      </c>
    </row>
    <row r="7575">
      <c r="A7575" s="1" t="s">
        <v>36848</v>
      </c>
      <c r="B7575" s="1" t="s">
        <v>37</v>
      </c>
      <c r="C7575" s="1" t="s">
        <v>36849</v>
      </c>
      <c r="E7575" s="1" t="s">
        <v>36850</v>
      </c>
      <c r="F7575" s="1" t="s">
        <v>96</v>
      </c>
      <c r="G7575" s="1" t="s">
        <v>27097</v>
      </c>
      <c r="H7575" s="1">
        <v>2016.0</v>
      </c>
      <c r="I7575" s="1" t="s">
        <v>136</v>
      </c>
      <c r="J7575" s="1" t="s">
        <v>51</v>
      </c>
      <c r="K7575" s="1" t="s">
        <v>29581</v>
      </c>
      <c r="L7575" s="1" t="s">
        <v>36851</v>
      </c>
      <c r="M7575" s="2" t="s">
        <v>12</v>
      </c>
      <c r="N7575" s="4">
        <f t="shared" si="1"/>
        <v>43009</v>
      </c>
      <c r="O7575" s="5" t="str">
        <f>IFERROR(__xludf.DUMMYFUNCTION("IF(REGEXMATCH(TRIM(I7575), ""^\d+\s*min""), ""Unclassified"", IF(I7575 = """", ""NR"", I7575))"),"TV-PG")</f>
        <v>TV-PG</v>
      </c>
      <c r="R7575" s="5" t="str">
        <f t="shared" si="2"/>
        <v>Nature'S Great Race</v>
      </c>
      <c r="S7575" s="5" t="str">
        <f>IFERROR(__xludf.DUMMYFUNCTION("""COMPUTED_VALUE"""),"The Open House")</f>
        <v>The Open House</v>
      </c>
      <c r="V7575" s="5"/>
      <c r="Y7575" s="5" t="str">
        <f>IFERROR(__xludf.DUMMYFUNCTION("REGEXEXTRACT(J7575, ""^\d+"")"),"1")</f>
        <v>1</v>
      </c>
      <c r="Z7575" s="5" t="str">
        <f>IFERROR(__xludf.DUMMYFUNCTION("REGEXEXTRACT(J7575, ""[A-Za-z ]+$"")")," Season")</f>
        <v> Season</v>
      </c>
      <c r="AA7575" s="5" t="str">
        <f>IFERROR(__xludf.DUMMYFUNCTION("IF(REGEXMATCH(Z7575, ""Season""), ""TV Show"", ""Movie"")"),"TV Show")</f>
        <v>TV Show</v>
      </c>
    </row>
    <row r="7576">
      <c r="A7576" s="1" t="s">
        <v>36852</v>
      </c>
      <c r="B7576" s="1" t="s">
        <v>37</v>
      </c>
      <c r="C7576" s="1" t="s">
        <v>36853</v>
      </c>
      <c r="E7576" s="1" t="s">
        <v>36854</v>
      </c>
      <c r="F7576" s="1" t="s">
        <v>96</v>
      </c>
      <c r="G7576" s="1" t="s">
        <v>36855</v>
      </c>
      <c r="H7576" s="1">
        <v>2015.0</v>
      </c>
      <c r="I7576" s="1" t="s">
        <v>136</v>
      </c>
      <c r="J7576" s="1" t="s">
        <v>276</v>
      </c>
      <c r="K7576" s="1" t="s">
        <v>29581</v>
      </c>
      <c r="L7576" s="1" t="s">
        <v>36856</v>
      </c>
      <c r="M7576" s="2" t="s">
        <v>12</v>
      </c>
      <c r="N7576" s="1" t="str">
        <f t="shared" si="1"/>
        <v>#N/A</v>
      </c>
      <c r="O7576" s="5" t="str">
        <f>IFERROR(__xludf.DUMMYFUNCTION("IF(REGEXMATCH(TRIM(I7576), ""^\d+\s*min""), ""Unclassified"", IF(I7576 = """", ""NR"", I7576))"),"TV-PG")</f>
        <v>TV-PG</v>
      </c>
      <c r="R7576" s="5" t="str">
        <f t="shared" si="2"/>
        <v>Nature'S Weirdest Events</v>
      </c>
      <c r="S7576" s="5" t="str">
        <f>IFERROR(__xludf.DUMMYFUNCTION("""COMPUTED_VALUE"""),"The Operative")</f>
        <v>The Operative</v>
      </c>
      <c r="V7576" s="5"/>
      <c r="Y7576" s="5" t="str">
        <f>IFERROR(__xludf.DUMMYFUNCTION("REGEXEXTRACT(J7576, ""^\d+"")"),"3")</f>
        <v>3</v>
      </c>
      <c r="Z7576" s="5" t="str">
        <f>IFERROR(__xludf.DUMMYFUNCTION("REGEXEXTRACT(J7576, ""[A-Za-z ]+$"")")," Seasons")</f>
        <v> Seasons</v>
      </c>
      <c r="AA7576" s="5" t="str">
        <f>IFERROR(__xludf.DUMMYFUNCTION("IF(REGEXMATCH(Z7576, ""Season""), ""TV Show"", ""Movie"")"),"TV Show")</f>
        <v>TV Show</v>
      </c>
    </row>
    <row r="7577">
      <c r="A7577" s="1" t="s">
        <v>36857</v>
      </c>
      <c r="B7577" s="1" t="s">
        <v>27</v>
      </c>
      <c r="C7577" s="1" t="s">
        <v>36858</v>
      </c>
      <c r="D7577" s="1" t="s">
        <v>8376</v>
      </c>
      <c r="F7577" s="1" t="s">
        <v>30</v>
      </c>
      <c r="G7577" s="1" t="s">
        <v>28421</v>
      </c>
      <c r="H7577" s="1">
        <v>1945.0</v>
      </c>
      <c r="I7577" s="1" t="s">
        <v>42</v>
      </c>
      <c r="J7577" s="1" t="s">
        <v>1847</v>
      </c>
      <c r="K7577" s="1" t="s">
        <v>35403</v>
      </c>
      <c r="L7577" s="1" t="s">
        <v>36859</v>
      </c>
      <c r="M7577" s="2" t="s">
        <v>12</v>
      </c>
      <c r="N7577" s="4">
        <f t="shared" si="1"/>
        <v>42825</v>
      </c>
      <c r="O7577" s="5" t="str">
        <f>IFERROR(__xludf.DUMMYFUNCTION("IF(REGEXMATCH(TRIM(I7577), ""^\d+\s*min""), ""Unclassified"", IF(I7577 = """", ""NR"", I7577))"),"TV-MA")</f>
        <v>TV-MA</v>
      </c>
      <c r="R7577" s="5" t="str">
        <f t="shared" si="2"/>
        <v>Nazi Concentration Camps</v>
      </c>
      <c r="S7577" s="5" t="str">
        <f>IFERROR(__xludf.DUMMYFUNCTION("""COMPUTED_VALUE"""),"The Order")</f>
        <v>The Order</v>
      </c>
      <c r="V7577" s="5"/>
      <c r="Y7577" s="5" t="str">
        <f>IFERROR(__xludf.DUMMYFUNCTION("REGEXEXTRACT(J7577, ""^\d+"")"),"59")</f>
        <v>59</v>
      </c>
      <c r="Z7577" s="5" t="str">
        <f>IFERROR(__xludf.DUMMYFUNCTION("REGEXEXTRACT(J7577, ""[A-Za-z ]+$"")")," min")</f>
        <v> min</v>
      </c>
      <c r="AA7577" s="5" t="str">
        <f>IFERROR(__xludf.DUMMYFUNCTION("IF(REGEXMATCH(Z7577, ""Season""), ""TV Show"", ""Movie"")"),"Movie")</f>
        <v>Movie</v>
      </c>
    </row>
    <row r="7578">
      <c r="A7578" s="1" t="s">
        <v>36860</v>
      </c>
      <c r="B7578" s="1" t="s">
        <v>37</v>
      </c>
      <c r="C7578" s="1" t="s">
        <v>36861</v>
      </c>
      <c r="F7578" s="1" t="s">
        <v>30</v>
      </c>
      <c r="G7578" s="1" t="s">
        <v>36862</v>
      </c>
      <c r="H7578" s="1">
        <v>2016.0</v>
      </c>
      <c r="I7578" s="1" t="s">
        <v>136</v>
      </c>
      <c r="J7578" s="1" t="s">
        <v>276</v>
      </c>
      <c r="K7578" s="1" t="s">
        <v>1261</v>
      </c>
      <c r="L7578" s="1" t="s">
        <v>36863</v>
      </c>
      <c r="M7578" s="2" t="s">
        <v>12</v>
      </c>
      <c r="N7578" s="1" t="str">
        <f t="shared" si="1"/>
        <v>#N/A</v>
      </c>
      <c r="O7578" s="5" t="str">
        <f>IFERROR(__xludf.DUMMYFUNCTION("IF(REGEXMATCH(TRIM(I7578), ""^\d+\s*min""), ""Unclassified"", IF(I7578 = """", ""NR"", I7578))"),"TV-PG")</f>
        <v>TV-PG</v>
      </c>
      <c r="R7578" s="5" t="str">
        <f t="shared" si="2"/>
        <v>Nazi Mega Weapons</v>
      </c>
      <c r="S7578" s="5" t="str">
        <f>IFERROR(__xludf.DUMMYFUNCTION("""COMPUTED_VALUE"""),"The Original Kings Of Comedy")</f>
        <v>The Original Kings Of Comedy</v>
      </c>
      <c r="V7578" s="5"/>
      <c r="Y7578" s="5" t="str">
        <f>IFERROR(__xludf.DUMMYFUNCTION("REGEXEXTRACT(J7578, ""^\d+"")"),"3")</f>
        <v>3</v>
      </c>
      <c r="Z7578" s="5" t="str">
        <f>IFERROR(__xludf.DUMMYFUNCTION("REGEXEXTRACT(J7578, ""[A-Za-z ]+$"")")," Seasons")</f>
        <v> Seasons</v>
      </c>
      <c r="AA7578" s="5" t="str">
        <f>IFERROR(__xludf.DUMMYFUNCTION("IF(REGEXMATCH(Z7578, ""Season""), ""TV Show"", ""Movie"")"),"TV Show")</f>
        <v>TV Show</v>
      </c>
    </row>
    <row r="7579">
      <c r="A7579" s="1" t="s">
        <v>36864</v>
      </c>
      <c r="B7579" s="1" t="s">
        <v>27</v>
      </c>
      <c r="C7579" s="1" t="s">
        <v>36865</v>
      </c>
      <c r="D7579" s="1" t="s">
        <v>7455</v>
      </c>
      <c r="E7579" s="1" t="s">
        <v>36866</v>
      </c>
      <c r="F7579" s="1" t="s">
        <v>36867</v>
      </c>
      <c r="G7579" s="1" t="s">
        <v>27857</v>
      </c>
      <c r="H7579" s="1">
        <v>2016.0</v>
      </c>
      <c r="I7579" s="1" t="s">
        <v>378</v>
      </c>
      <c r="J7579" s="1" t="s">
        <v>912</v>
      </c>
      <c r="K7579" s="1" t="s">
        <v>128</v>
      </c>
      <c r="L7579" s="1" t="s">
        <v>36868</v>
      </c>
      <c r="M7579" s="2" t="s">
        <v>12</v>
      </c>
      <c r="N7579" s="4">
        <f t="shared" si="1"/>
        <v>42912</v>
      </c>
      <c r="O7579" s="5" t="str">
        <f>IFERROR(__xludf.DUMMYFUNCTION("IF(REGEXMATCH(TRIM(I7579), ""^\d+\s*min""), ""Unclassified"", IF(I7579 = """", ""NR"", I7579))"),"R")</f>
        <v>R</v>
      </c>
      <c r="R7579" s="5" t="str">
        <f t="shared" si="2"/>
        <v>Neruda</v>
      </c>
      <c r="S7579" s="5" t="str">
        <f>IFERROR(__xludf.DUMMYFUNCTION("""COMPUTED_VALUE"""),"The Originals")</f>
        <v>The Originals</v>
      </c>
      <c r="V7579" s="5"/>
      <c r="Y7579" s="5" t="str">
        <f>IFERROR(__xludf.DUMMYFUNCTION("REGEXEXTRACT(J7579, ""^\d+"")"),"108")</f>
        <v>108</v>
      </c>
      <c r="Z7579" s="5" t="str">
        <f>IFERROR(__xludf.DUMMYFUNCTION("REGEXEXTRACT(J7579, ""[A-Za-z ]+$"")")," min")</f>
        <v> min</v>
      </c>
      <c r="AA7579" s="5" t="str">
        <f>IFERROR(__xludf.DUMMYFUNCTION("IF(REGEXMATCH(Z7579, ""Season""), ""TV Show"", ""Movie"")"),"Movie")</f>
        <v>Movie</v>
      </c>
    </row>
    <row r="7580">
      <c r="A7580" s="1" t="s">
        <v>36869</v>
      </c>
      <c r="B7580" s="1" t="s">
        <v>27</v>
      </c>
      <c r="C7580" s="1" t="s">
        <v>36870</v>
      </c>
      <c r="D7580" s="1" t="s">
        <v>11899</v>
      </c>
      <c r="E7580" s="1" t="s">
        <v>36871</v>
      </c>
      <c r="F7580" s="1" t="s">
        <v>30</v>
      </c>
      <c r="G7580" s="1" t="s">
        <v>22059</v>
      </c>
      <c r="H7580" s="1">
        <v>2018.0</v>
      </c>
      <c r="I7580" s="1" t="s">
        <v>136</v>
      </c>
      <c r="J7580" s="1" t="s">
        <v>1191</v>
      </c>
      <c r="K7580" s="1" t="s">
        <v>1198</v>
      </c>
      <c r="L7580" s="1" t="s">
        <v>36872</v>
      </c>
      <c r="M7580" s="2" t="s">
        <v>12</v>
      </c>
      <c r="N7580" s="4">
        <f t="shared" si="1"/>
        <v>43511</v>
      </c>
      <c r="O7580" s="5" t="str">
        <f>IFERROR(__xludf.DUMMYFUNCTION("IF(REGEXMATCH(TRIM(I7580), ""^\d+\s*min""), ""Unclassified"", IF(I7580 = """", ""NR"", I7580))"),"TV-PG")</f>
        <v>TV-PG</v>
      </c>
      <c r="R7580" s="5" t="str">
        <f t="shared" si="2"/>
        <v>Never Heard</v>
      </c>
      <c r="S7580" s="5" t="str">
        <f>IFERROR(__xludf.DUMMYFUNCTION("""COMPUTED_VALUE"""),"The Other")</f>
        <v>The Other</v>
      </c>
      <c r="V7580" s="5"/>
      <c r="Y7580" s="5" t="str">
        <f>IFERROR(__xludf.DUMMYFUNCTION("REGEXEXTRACT(J7580, ""^\d+"")"),"89")</f>
        <v>89</v>
      </c>
      <c r="Z7580" s="5" t="str">
        <f>IFERROR(__xludf.DUMMYFUNCTION("REGEXEXTRACT(J7580, ""[A-Za-z ]+$"")")," min")</f>
        <v> min</v>
      </c>
      <c r="AA7580" s="5" t="str">
        <f>IFERROR(__xludf.DUMMYFUNCTION("IF(REGEXMATCH(Z7580, ""Season""), ""TV Show"", ""Movie"")"),"Movie")</f>
        <v>Movie</v>
      </c>
    </row>
    <row r="7581">
      <c r="A7581" s="1" t="s">
        <v>36873</v>
      </c>
      <c r="B7581" s="1" t="s">
        <v>27</v>
      </c>
      <c r="C7581" s="1" t="s">
        <v>36874</v>
      </c>
      <c r="D7581" s="1" t="s">
        <v>6334</v>
      </c>
      <c r="E7581" s="1" t="s">
        <v>36875</v>
      </c>
      <c r="F7581" s="1" t="s">
        <v>30</v>
      </c>
      <c r="G7581" s="1" t="s">
        <v>16947</v>
      </c>
      <c r="H7581" s="1">
        <v>2004.0</v>
      </c>
      <c r="I7581" s="1" t="s">
        <v>78</v>
      </c>
      <c r="J7581" s="1" t="s">
        <v>79</v>
      </c>
      <c r="K7581" s="1" t="s">
        <v>137</v>
      </c>
      <c r="L7581" s="1" t="s">
        <v>36876</v>
      </c>
      <c r="M7581" s="2" t="s">
        <v>12</v>
      </c>
      <c r="N7581" s="4">
        <f t="shared" si="1"/>
        <v>43831</v>
      </c>
      <c r="O7581" s="5" t="str">
        <f>IFERROR(__xludf.DUMMYFUNCTION("IF(REGEXMATCH(TRIM(I7581), ""^\d+\s*min""), ""Unclassified"", IF(I7581 = """", ""NR"", I7581))"),"PG")</f>
        <v>PG</v>
      </c>
      <c r="R7581" s="5" t="str">
        <f t="shared" si="2"/>
        <v>New York Minute</v>
      </c>
      <c r="S7581" s="5" t="str">
        <f>IFERROR(__xludf.DUMMYFUNCTION("""COMPUTED_VALUE"""),"The Other Guys")</f>
        <v>The Other Guys</v>
      </c>
      <c r="V7581" s="5"/>
      <c r="Y7581" s="5" t="str">
        <f>IFERROR(__xludf.DUMMYFUNCTION("REGEXEXTRACT(J7581, ""^\d+"")"),"91")</f>
        <v>91</v>
      </c>
      <c r="Z7581" s="5" t="str">
        <f>IFERROR(__xludf.DUMMYFUNCTION("REGEXEXTRACT(J7581, ""[A-Za-z ]+$"")")," min")</f>
        <v> min</v>
      </c>
      <c r="AA7581" s="5" t="str">
        <f>IFERROR(__xludf.DUMMYFUNCTION("IF(REGEXMATCH(Z7581, ""Season""), ""TV Show"", ""Movie"")"),"Movie")</f>
        <v>Movie</v>
      </c>
    </row>
    <row r="7582">
      <c r="A7582" s="1" t="s">
        <v>36877</v>
      </c>
      <c r="B7582" s="1" t="s">
        <v>27</v>
      </c>
      <c r="C7582" s="1" t="s">
        <v>36878</v>
      </c>
      <c r="D7582" s="1" t="s">
        <v>12968</v>
      </c>
      <c r="F7582" s="1" t="s">
        <v>30</v>
      </c>
      <c r="G7582" s="1" t="s">
        <v>28360</v>
      </c>
      <c r="H7582" s="1">
        <v>2016.0</v>
      </c>
      <c r="I7582" s="1" t="s">
        <v>30231</v>
      </c>
      <c r="J7582" s="1" t="s">
        <v>1608</v>
      </c>
      <c r="K7582" s="1" t="s">
        <v>34</v>
      </c>
      <c r="L7582" s="1" t="s">
        <v>36879</v>
      </c>
      <c r="M7582" s="2" t="s">
        <v>12</v>
      </c>
      <c r="N7582" s="4">
        <f t="shared" si="1"/>
        <v>42832</v>
      </c>
      <c r="O7582" s="5" t="str">
        <f>IFERROR(__xludf.DUMMYFUNCTION("IF(REGEXMATCH(TRIM(I7582), ""^\d+\s*min""), ""Unclassified"", IF(I7582 = """", ""NR"", I7582))"),"NR")</f>
        <v>NR</v>
      </c>
      <c r="R7582" s="5" t="str">
        <f t="shared" si="2"/>
        <v>Newtown</v>
      </c>
      <c r="S7582" s="5" t="str">
        <f>IFERROR(__xludf.DUMMYFUNCTION("""COMPUTED_VALUE"""),"The Other One: The Long Strange Trip Of Bob Weir")</f>
        <v>The Other One: The Long Strange Trip Of Bob Weir</v>
      </c>
      <c r="V7582" s="5"/>
      <c r="Y7582" s="5" t="str">
        <f>IFERROR(__xludf.DUMMYFUNCTION("REGEXEXTRACT(J7582, ""^\d+"")"),"84")</f>
        <v>84</v>
      </c>
      <c r="Z7582" s="5" t="str">
        <f>IFERROR(__xludf.DUMMYFUNCTION("REGEXEXTRACT(J7582, ""[A-Za-z ]+$"")")," min")</f>
        <v> min</v>
      </c>
      <c r="AA7582" s="5" t="str">
        <f>IFERROR(__xludf.DUMMYFUNCTION("IF(REGEXMATCH(Z7582, ""Season""), ""TV Show"", ""Movie"")"),"Movie")</f>
        <v>Movie</v>
      </c>
    </row>
    <row r="7583">
      <c r="A7583" s="1" t="s">
        <v>36880</v>
      </c>
      <c r="B7583" s="1" t="s">
        <v>27</v>
      </c>
      <c r="C7583" s="1" t="s">
        <v>36881</v>
      </c>
      <c r="D7583" s="1" t="s">
        <v>13565</v>
      </c>
      <c r="E7583" s="1" t="s">
        <v>36882</v>
      </c>
      <c r="F7583" s="1" t="s">
        <v>30</v>
      </c>
      <c r="G7583" s="1" t="s">
        <v>20110</v>
      </c>
      <c r="H7583" s="1">
        <v>2007.0</v>
      </c>
      <c r="I7583" s="1" t="s">
        <v>32</v>
      </c>
      <c r="J7583" s="1" t="s">
        <v>322</v>
      </c>
      <c r="K7583" s="1" t="s">
        <v>942</v>
      </c>
      <c r="L7583" s="1" t="s">
        <v>36883</v>
      </c>
      <c r="M7583" s="2" t="s">
        <v>12</v>
      </c>
      <c r="N7583" s="4">
        <f t="shared" si="1"/>
        <v>43647</v>
      </c>
      <c r="O7583" s="5" t="str">
        <f>IFERROR(__xludf.DUMMYFUNCTION("IF(REGEXMATCH(TRIM(I7583), ""^\d+\s*min""), ""Unclassified"", IF(I7583 = """", ""NR"", I7583))"),"PG-13")</f>
        <v>PG-13</v>
      </c>
      <c r="R7583" s="5" t="str">
        <f t="shared" si="2"/>
        <v>Next</v>
      </c>
      <c r="S7583" s="5" t="str">
        <f>IFERROR(__xludf.DUMMYFUNCTION("""COMPUTED_VALUE"""),"The Other Side Of The Wind")</f>
        <v>The Other Side Of The Wind</v>
      </c>
      <c r="V7583" s="5"/>
      <c r="Y7583" s="5" t="str">
        <f>IFERROR(__xludf.DUMMYFUNCTION("REGEXEXTRACT(J7583, ""^\d+"")"),"96")</f>
        <v>96</v>
      </c>
      <c r="Z7583" s="5" t="str">
        <f>IFERROR(__xludf.DUMMYFUNCTION("REGEXEXTRACT(J7583, ""[A-Za-z ]+$"")")," min")</f>
        <v> min</v>
      </c>
      <c r="AA7583" s="5" t="str">
        <f>IFERROR(__xludf.DUMMYFUNCTION("IF(REGEXMATCH(Z7583, ""Season""), ""TV Show"", ""Movie"")"),"Movie")</f>
        <v>Movie</v>
      </c>
    </row>
    <row r="7584">
      <c r="A7584" s="1" t="s">
        <v>36884</v>
      </c>
      <c r="B7584" s="1" t="s">
        <v>27</v>
      </c>
      <c r="C7584" s="1" t="s">
        <v>36885</v>
      </c>
      <c r="D7584" s="1" t="s">
        <v>2591</v>
      </c>
      <c r="E7584" s="1" t="s">
        <v>36886</v>
      </c>
      <c r="F7584" s="1" t="s">
        <v>63</v>
      </c>
      <c r="G7584" s="7">
        <v>43221.0</v>
      </c>
      <c r="H7584" s="1">
        <v>2017.0</v>
      </c>
      <c r="I7584" s="1" t="s">
        <v>97</v>
      </c>
      <c r="J7584" s="1" t="s">
        <v>341</v>
      </c>
      <c r="K7584" s="1" t="s">
        <v>306</v>
      </c>
      <c r="L7584" s="1" t="s">
        <v>36887</v>
      </c>
      <c r="M7584" s="2" t="s">
        <v>12</v>
      </c>
      <c r="N7584" s="4">
        <f t="shared" si="1"/>
        <v>43221</v>
      </c>
      <c r="O7584" s="5" t="str">
        <f>IFERROR(__xludf.DUMMYFUNCTION("IF(REGEXMATCH(TRIM(I7584), ""^\d+\s*min""), ""Unclassified"", IF(I7584 = """", ""NR"", I7584))"),"TV-14")</f>
        <v>TV-14</v>
      </c>
      <c r="R7584" s="5" t="str">
        <f t="shared" si="2"/>
        <v>Nibunan</v>
      </c>
      <c r="S7584" s="5" t="str">
        <f>IFERROR(__xludf.DUMMYFUNCTION("""COMPUTED_VALUE"""),"The Ottoman Lieutenant")</f>
        <v>The Ottoman Lieutenant</v>
      </c>
      <c r="V7584" s="5"/>
      <c r="Y7584" s="5" t="str">
        <f>IFERROR(__xludf.DUMMYFUNCTION("REGEXEXTRACT(J7584, ""^\d+"")"),"124")</f>
        <v>124</v>
      </c>
      <c r="Z7584" s="5" t="str">
        <f>IFERROR(__xludf.DUMMYFUNCTION("REGEXEXTRACT(J7584, ""[A-Za-z ]+$"")")," min")</f>
        <v> min</v>
      </c>
      <c r="AA7584" s="5" t="str">
        <f>IFERROR(__xludf.DUMMYFUNCTION("IF(REGEXMATCH(Z7584, ""Season""), ""TV Show"", ""Movie"")"),"Movie")</f>
        <v>Movie</v>
      </c>
    </row>
    <row r="7585">
      <c r="A7585" s="1" t="s">
        <v>36888</v>
      </c>
      <c r="B7585" s="1" t="s">
        <v>27</v>
      </c>
      <c r="C7585" s="1" t="s">
        <v>36889</v>
      </c>
      <c r="D7585" s="1" t="s">
        <v>11761</v>
      </c>
      <c r="E7585" s="1" t="s">
        <v>36890</v>
      </c>
      <c r="F7585" s="1" t="s">
        <v>30</v>
      </c>
      <c r="G7585" s="1" t="s">
        <v>11956</v>
      </c>
      <c r="H7585" s="1">
        <v>2018.0</v>
      </c>
      <c r="I7585" s="1" t="s">
        <v>42</v>
      </c>
      <c r="J7585" s="1" t="s">
        <v>630</v>
      </c>
      <c r="K7585" s="1" t="s">
        <v>1320</v>
      </c>
      <c r="L7585" s="1" t="s">
        <v>36891</v>
      </c>
      <c r="M7585" s="2" t="s">
        <v>12</v>
      </c>
      <c r="N7585" s="4">
        <f t="shared" si="1"/>
        <v>44070</v>
      </c>
      <c r="O7585" s="5" t="str">
        <f>IFERROR(__xludf.DUMMYFUNCTION("IF(REGEXMATCH(TRIM(I7585), ""^\d+\s*min""), ""Unclassified"", IF(I7585 = """", ""NR"", I7585))"),"TV-MA")</f>
        <v>TV-MA</v>
      </c>
      <c r="R7585" s="5" t="str">
        <f t="shared" si="2"/>
        <v>Night Comes On</v>
      </c>
      <c r="S7585" s="5" t="str">
        <f>IFERROR(__xludf.DUMMYFUNCTION("""COMPUTED_VALUE"""),"The Outcasts")</f>
        <v>The Outcasts</v>
      </c>
      <c r="V7585" s="5"/>
      <c r="Y7585" s="5" t="str">
        <f>IFERROR(__xludf.DUMMYFUNCTION("REGEXEXTRACT(J7585, ""^\d+"")"),"87")</f>
        <v>87</v>
      </c>
      <c r="Z7585" s="5" t="str">
        <f>IFERROR(__xludf.DUMMYFUNCTION("REGEXEXTRACT(J7585, ""[A-Za-z ]+$"")")," min")</f>
        <v> min</v>
      </c>
      <c r="AA7585" s="5" t="str">
        <f>IFERROR(__xludf.DUMMYFUNCTION("IF(REGEXMATCH(Z7585, ""Season""), ""TV Show"", ""Movie"")"),"Movie")</f>
        <v>Movie</v>
      </c>
    </row>
    <row r="7586">
      <c r="A7586" s="1" t="s">
        <v>36892</v>
      </c>
      <c r="B7586" s="1" t="s">
        <v>27</v>
      </c>
      <c r="C7586" s="1" t="s">
        <v>36893</v>
      </c>
      <c r="D7586" s="1" t="s">
        <v>12674</v>
      </c>
      <c r="E7586" s="1" t="s">
        <v>36894</v>
      </c>
      <c r="F7586" s="1" t="s">
        <v>30</v>
      </c>
      <c r="G7586" s="1" t="s">
        <v>20144</v>
      </c>
      <c r="H7586" s="1">
        <v>2013.0</v>
      </c>
      <c r="I7586" s="1" t="s">
        <v>378</v>
      </c>
      <c r="J7586" s="1" t="s">
        <v>519</v>
      </c>
      <c r="K7586" s="1" t="s">
        <v>2327</v>
      </c>
      <c r="L7586" s="1" t="s">
        <v>36895</v>
      </c>
      <c r="M7586" s="2" t="s">
        <v>12</v>
      </c>
      <c r="N7586" s="4">
        <f t="shared" si="1"/>
        <v>43646</v>
      </c>
      <c r="O7586" s="5" t="str">
        <f>IFERROR(__xludf.DUMMYFUNCTION("IF(REGEXMATCH(TRIM(I7586), ""^\d+\s*min""), ""Unclassified"", IF(I7586 = """", ""NR"", I7586))"),"R")</f>
        <v>R</v>
      </c>
      <c r="R7586" s="5" t="str">
        <f t="shared" si="2"/>
        <v>Night Moves</v>
      </c>
      <c r="S7586" s="5" t="str">
        <f>IFERROR(__xludf.DUMMYFUNCTION("""COMPUTED_VALUE"""),"The Outlaw Josey Wales")</f>
        <v>The Outlaw Josey Wales</v>
      </c>
      <c r="V7586" s="5"/>
      <c r="Y7586" s="5" t="str">
        <f>IFERROR(__xludf.DUMMYFUNCTION("REGEXEXTRACT(J7586, ""^\d+"")"),"113")</f>
        <v>113</v>
      </c>
      <c r="Z7586" s="5" t="str">
        <f>IFERROR(__xludf.DUMMYFUNCTION("REGEXEXTRACT(J7586, ""[A-Za-z ]+$"")")," min")</f>
        <v> min</v>
      </c>
      <c r="AA7586" s="5" t="str">
        <f>IFERROR(__xludf.DUMMYFUNCTION("IF(REGEXMATCH(Z7586, ""Season""), ""TV Show"", ""Movie"")"),"Movie")</f>
        <v>Movie</v>
      </c>
    </row>
    <row r="7587">
      <c r="A7587" s="1" t="s">
        <v>36896</v>
      </c>
      <c r="B7587" s="1" t="s">
        <v>27</v>
      </c>
      <c r="C7587" s="1" t="s">
        <v>36897</v>
      </c>
      <c r="D7587" s="1" t="s">
        <v>5414</v>
      </c>
      <c r="E7587" s="1" t="s">
        <v>36898</v>
      </c>
      <c r="F7587" s="1" t="s">
        <v>30</v>
      </c>
      <c r="G7587" s="1" t="s">
        <v>12238</v>
      </c>
      <c r="H7587" s="1">
        <v>2014.0</v>
      </c>
      <c r="I7587" s="1" t="s">
        <v>378</v>
      </c>
      <c r="J7587" s="1" t="s">
        <v>870</v>
      </c>
      <c r="K7587" s="1" t="s">
        <v>2327</v>
      </c>
      <c r="L7587" s="1" t="s">
        <v>36899</v>
      </c>
      <c r="M7587" s="2" t="s">
        <v>12</v>
      </c>
      <c r="N7587" s="4">
        <f t="shared" si="1"/>
        <v>44053</v>
      </c>
      <c r="O7587" s="5" t="str">
        <f>IFERROR(__xludf.DUMMYFUNCTION("IF(REGEXMATCH(TRIM(I7587), ""^\d+\s*min""), ""Unclassified"", IF(I7587 = """", ""NR"", I7587))"),"R")</f>
        <v>R</v>
      </c>
      <c r="R7587" s="5" t="str">
        <f t="shared" si="2"/>
        <v>Nightcrawler</v>
      </c>
      <c r="S7587" s="5" t="str">
        <f>IFERROR(__xludf.DUMMYFUNCTION("""COMPUTED_VALUE"""),"The Outpost")</f>
        <v>The Outpost</v>
      </c>
      <c r="V7587" s="5"/>
      <c r="Y7587" s="5" t="str">
        <f>IFERROR(__xludf.DUMMYFUNCTION("REGEXEXTRACT(J7587, ""^\d+"")"),"118")</f>
        <v>118</v>
      </c>
      <c r="Z7587" s="5" t="str">
        <f>IFERROR(__xludf.DUMMYFUNCTION("REGEXEXTRACT(J7587, ""[A-Za-z ]+$"")")," min")</f>
        <v> min</v>
      </c>
      <c r="AA7587" s="5" t="str">
        <f>IFERROR(__xludf.DUMMYFUNCTION("IF(REGEXMATCH(Z7587, ""Season""), ""TV Show"", ""Movie"")"),"Movie")</f>
        <v>Movie</v>
      </c>
    </row>
    <row r="7588">
      <c r="A7588" s="1" t="s">
        <v>36900</v>
      </c>
      <c r="B7588" s="1" t="s">
        <v>37</v>
      </c>
      <c r="C7588" s="1" t="s">
        <v>36901</v>
      </c>
      <c r="E7588" s="1" t="s">
        <v>36902</v>
      </c>
      <c r="G7588" s="1" t="s">
        <v>36903</v>
      </c>
      <c r="H7588" s="1">
        <v>2016.0</v>
      </c>
      <c r="I7588" s="1" t="s">
        <v>42</v>
      </c>
      <c r="J7588" s="1" t="s">
        <v>43</v>
      </c>
      <c r="K7588" s="1" t="s">
        <v>2382</v>
      </c>
      <c r="L7588" s="1" t="s">
        <v>36904</v>
      </c>
      <c r="M7588" s="2" t="s">
        <v>12</v>
      </c>
      <c r="N7588" s="1" t="str">
        <f t="shared" si="1"/>
        <v>#N/A</v>
      </c>
      <c r="O7588" s="5" t="str">
        <f>IFERROR(__xludf.DUMMYFUNCTION("IF(REGEXMATCH(TRIM(I7588), ""^\d+\s*min""), ""Unclassified"", IF(I7588 = """", ""NR"", I7588))"),"TV-MA")</f>
        <v>TV-MA</v>
      </c>
      <c r="R7588" s="5" t="str">
        <f t="shared" si="2"/>
        <v>Nightmare Tenants, Slum Landlords</v>
      </c>
      <c r="S7588" s="5" t="str">
        <f>IFERROR(__xludf.DUMMYFUNCTION("""COMPUTED_VALUE"""),"The Outsider")</f>
        <v>The Outsider</v>
      </c>
      <c r="V7588" s="5"/>
      <c r="Y7588" s="5" t="str">
        <f>IFERROR(__xludf.DUMMYFUNCTION("REGEXEXTRACT(J7588, ""^\d+"")"),"2")</f>
        <v>2</v>
      </c>
      <c r="Z7588" s="5" t="str">
        <f>IFERROR(__xludf.DUMMYFUNCTION("REGEXEXTRACT(J7588, ""[A-Za-z ]+$"")")," Seasons")</f>
        <v> Seasons</v>
      </c>
      <c r="AA7588" s="5" t="str">
        <f>IFERROR(__xludf.DUMMYFUNCTION("IF(REGEXMATCH(Z7588, ""Season""), ""TV Show"", ""Movie"")"),"TV Show")</f>
        <v>TV Show</v>
      </c>
    </row>
    <row r="7589">
      <c r="A7589" s="1" t="s">
        <v>36905</v>
      </c>
      <c r="B7589" s="1" t="s">
        <v>27</v>
      </c>
      <c r="C7589" s="1" t="s">
        <v>36906</v>
      </c>
      <c r="D7589" s="1" t="s">
        <v>8321</v>
      </c>
      <c r="E7589" s="1" t="s">
        <v>36907</v>
      </c>
      <c r="F7589" s="1" t="s">
        <v>5656</v>
      </c>
      <c r="G7589" s="1" t="s">
        <v>20110</v>
      </c>
      <c r="H7589" s="1">
        <v>2008.0</v>
      </c>
      <c r="I7589" s="1" t="s">
        <v>32</v>
      </c>
      <c r="J7589" s="1" t="s">
        <v>247</v>
      </c>
      <c r="K7589" s="1" t="s">
        <v>828</v>
      </c>
      <c r="L7589" s="1" t="s">
        <v>36908</v>
      </c>
      <c r="M7589" s="2" t="s">
        <v>12</v>
      </c>
      <c r="N7589" s="4">
        <f t="shared" si="1"/>
        <v>43647</v>
      </c>
      <c r="O7589" s="5" t="str">
        <f>IFERROR(__xludf.DUMMYFUNCTION("IF(REGEXMATCH(TRIM(I7589), ""^\d+\s*min""), ""Unclassified"", IF(I7589 = """", ""NR"", I7589))"),"PG-13")</f>
        <v>PG-13</v>
      </c>
      <c r="R7589" s="5" t="str">
        <f t="shared" si="2"/>
        <v>Nights In Rodanthe</v>
      </c>
      <c r="S7589" s="5" t="str">
        <f>IFERROR(__xludf.DUMMYFUNCTION("""COMPUTED_VALUE"""),"The Outsiders")</f>
        <v>The Outsiders</v>
      </c>
      <c r="V7589" s="5"/>
      <c r="Y7589" s="5" t="str">
        <f>IFERROR(__xludf.DUMMYFUNCTION("REGEXEXTRACT(J7589, ""^\d+"")"),"97")</f>
        <v>97</v>
      </c>
      <c r="Z7589" s="5" t="str">
        <f>IFERROR(__xludf.DUMMYFUNCTION("REGEXEXTRACT(J7589, ""[A-Za-z ]+$"")")," min")</f>
        <v> min</v>
      </c>
      <c r="AA7589" s="5" t="str">
        <f>IFERROR(__xludf.DUMMYFUNCTION("IF(REGEXMATCH(Z7589, ""Season""), ""TV Show"", ""Movie"")"),"Movie")</f>
        <v>Movie</v>
      </c>
    </row>
    <row r="7590">
      <c r="A7590" s="1" t="s">
        <v>36909</v>
      </c>
      <c r="B7590" s="1" t="s">
        <v>37</v>
      </c>
      <c r="C7590" s="1" t="s">
        <v>36910</v>
      </c>
      <c r="E7590" s="1" t="s">
        <v>36911</v>
      </c>
      <c r="F7590" s="1" t="s">
        <v>415</v>
      </c>
      <c r="G7590" s="1" t="s">
        <v>22829</v>
      </c>
      <c r="H7590" s="1">
        <v>1981.0</v>
      </c>
      <c r="I7590" s="1" t="s">
        <v>289</v>
      </c>
      <c r="J7590" s="1" t="s">
        <v>51</v>
      </c>
      <c r="K7590" s="1" t="s">
        <v>623</v>
      </c>
      <c r="L7590" s="1" t="s">
        <v>36912</v>
      </c>
      <c r="M7590" s="2" t="s">
        <v>12</v>
      </c>
      <c r="N7590" s="4">
        <f t="shared" si="1"/>
        <v>43457</v>
      </c>
      <c r="O7590" s="5" t="str">
        <f>IFERROR(__xludf.DUMMYFUNCTION("IF(REGEXMATCH(TRIM(I7590), ""^\d+\s*min""), ""Unclassified"", IF(I7590 = """", ""NR"", I7590))"),"TV-Y7")</f>
        <v>TV-Y7</v>
      </c>
      <c r="R7590" s="5" t="str">
        <f t="shared" si="2"/>
        <v>Ninja Hattori</v>
      </c>
      <c r="S7590" s="5" t="str">
        <f>IFERROR(__xludf.DUMMYFUNCTION("""COMPUTED_VALUE"""),"The Package")</f>
        <v>The Package</v>
      </c>
      <c r="V7590" s="5"/>
      <c r="Y7590" s="5" t="str">
        <f>IFERROR(__xludf.DUMMYFUNCTION("REGEXEXTRACT(J7590, ""^\d+"")"),"1")</f>
        <v>1</v>
      </c>
      <c r="Z7590" s="5" t="str">
        <f>IFERROR(__xludf.DUMMYFUNCTION("REGEXEXTRACT(J7590, ""[A-Za-z ]+$"")")," Season")</f>
        <v> Season</v>
      </c>
      <c r="AA7590" s="5" t="str">
        <f>IFERROR(__xludf.DUMMYFUNCTION("IF(REGEXMATCH(Z7590, ""Season""), ""TV Show"", ""Movie"")"),"TV Show")</f>
        <v>TV Show</v>
      </c>
    </row>
    <row r="7591">
      <c r="A7591" s="1" t="s">
        <v>36913</v>
      </c>
      <c r="B7591" s="1" t="s">
        <v>37</v>
      </c>
      <c r="C7591" s="1" t="s">
        <v>36914</v>
      </c>
      <c r="E7591" s="1" t="s">
        <v>36915</v>
      </c>
      <c r="F7591" s="1" t="s">
        <v>1979</v>
      </c>
      <c r="G7591" s="1" t="s">
        <v>31602</v>
      </c>
      <c r="H7591" s="1">
        <v>1997.0</v>
      </c>
      <c r="I7591" s="1" t="s">
        <v>506</v>
      </c>
      <c r="J7591" s="1" t="s">
        <v>51</v>
      </c>
      <c r="K7591" s="1" t="s">
        <v>314</v>
      </c>
      <c r="L7591" s="1" t="s">
        <v>36916</v>
      </c>
      <c r="M7591" s="2" t="s">
        <v>12</v>
      </c>
      <c r="N7591" s="4">
        <f t="shared" si="1"/>
        <v>42370</v>
      </c>
      <c r="O7591" s="5" t="str">
        <f>IFERROR(__xludf.DUMMYFUNCTION("IF(REGEXMATCH(TRIM(I7591), ""^\d+\s*min""), ""Unclassified"", IF(I7591 = """", ""NR"", I7591))"),"TV-G")</f>
        <v>TV-G</v>
      </c>
      <c r="R7591" s="5" t="str">
        <f t="shared" si="2"/>
        <v>Ninja Turtles: The Next Mutation</v>
      </c>
      <c r="S7591" s="5" t="str">
        <f>IFERROR(__xludf.DUMMYFUNCTION("""COMPUTED_VALUE"""),"The Panti Sisters")</f>
        <v>The Panti Sisters</v>
      </c>
      <c r="V7591" s="5"/>
      <c r="Y7591" s="5" t="str">
        <f>IFERROR(__xludf.DUMMYFUNCTION("REGEXEXTRACT(J7591, ""^\d+"")"),"1")</f>
        <v>1</v>
      </c>
      <c r="Z7591" s="5" t="str">
        <f>IFERROR(__xludf.DUMMYFUNCTION("REGEXEXTRACT(J7591, ""[A-Za-z ]+$"")")," Season")</f>
        <v> Season</v>
      </c>
      <c r="AA7591" s="5" t="str">
        <f>IFERROR(__xludf.DUMMYFUNCTION("IF(REGEXMATCH(Z7591, ""Season""), ""TV Show"", ""Movie"")"),"TV Show")</f>
        <v>TV Show</v>
      </c>
    </row>
    <row r="7592">
      <c r="A7592" s="1" t="s">
        <v>36917</v>
      </c>
      <c r="B7592" s="1" t="s">
        <v>27</v>
      </c>
      <c r="C7592" s="1" t="s">
        <v>36918</v>
      </c>
      <c r="D7592" s="1" t="s">
        <v>2039</v>
      </c>
      <c r="E7592" s="1" t="s">
        <v>36919</v>
      </c>
      <c r="F7592" s="1" t="s">
        <v>63</v>
      </c>
      <c r="G7592" s="1" t="s">
        <v>26089</v>
      </c>
      <c r="H7592" s="1">
        <v>2005.0</v>
      </c>
      <c r="I7592" s="1" t="s">
        <v>136</v>
      </c>
      <c r="J7592" s="1" t="s">
        <v>198</v>
      </c>
      <c r="K7592" s="1" t="s">
        <v>199</v>
      </c>
      <c r="L7592" s="1" t="s">
        <v>36920</v>
      </c>
      <c r="M7592" s="2" t="s">
        <v>12</v>
      </c>
      <c r="N7592" s="4">
        <f t="shared" si="1"/>
        <v>43160</v>
      </c>
      <c r="O7592" s="5" t="str">
        <f>IFERROR(__xludf.DUMMYFUNCTION("IF(REGEXMATCH(TRIM(I7592), ""^\d+\s*min""), ""Unclassified"", IF(I7592 = """", ""NR"", I7592))"),"TV-PG")</f>
        <v>TV-PG</v>
      </c>
      <c r="R7592" s="5" t="str">
        <f t="shared" si="2"/>
        <v>No Entry</v>
      </c>
      <c r="S7592" s="5" t="str">
        <f>IFERROR(__xludf.DUMMYFUNCTION("""COMPUTED_VALUE"""),"The Paper")</f>
        <v>The Paper</v>
      </c>
      <c r="V7592" s="5"/>
      <c r="Y7592" s="5" t="str">
        <f>IFERROR(__xludf.DUMMYFUNCTION("REGEXEXTRACT(J7592, ""^\d+"")"),"161")</f>
        <v>161</v>
      </c>
      <c r="Z7592" s="5" t="str">
        <f>IFERROR(__xludf.DUMMYFUNCTION("REGEXEXTRACT(J7592, ""[A-Za-z ]+$"")")," min")</f>
        <v> min</v>
      </c>
      <c r="AA7592" s="5" t="str">
        <f>IFERROR(__xludf.DUMMYFUNCTION("IF(REGEXMATCH(Z7592, ""Season""), ""TV Show"", ""Movie"")"),"Movie")</f>
        <v>Movie</v>
      </c>
    </row>
    <row r="7593">
      <c r="A7593" s="1" t="s">
        <v>36921</v>
      </c>
      <c r="B7593" s="1" t="s">
        <v>27</v>
      </c>
      <c r="C7593" s="1" t="s">
        <v>36922</v>
      </c>
      <c r="D7593" s="1" t="s">
        <v>16866</v>
      </c>
      <c r="E7593" s="1" t="s">
        <v>36923</v>
      </c>
      <c r="F7593" s="1" t="s">
        <v>13294</v>
      </c>
      <c r="G7593" s="7">
        <v>43224.0</v>
      </c>
      <c r="H7593" s="1">
        <v>2018.0</v>
      </c>
      <c r="I7593" s="1" t="s">
        <v>42</v>
      </c>
      <c r="J7593" s="1" t="s">
        <v>349</v>
      </c>
      <c r="K7593" s="1" t="s">
        <v>583</v>
      </c>
      <c r="L7593" s="1" t="s">
        <v>36924</v>
      </c>
      <c r="M7593" s="2" t="s">
        <v>12</v>
      </c>
      <c r="N7593" s="4">
        <f t="shared" si="1"/>
        <v>43224</v>
      </c>
      <c r="O7593" s="5" t="str">
        <f>IFERROR(__xludf.DUMMYFUNCTION("IF(REGEXMATCH(TRIM(I7593), ""^\d+\s*min""), ""Unclassified"", IF(I7593 = """", ""NR"", I7593))"),"TV-MA")</f>
        <v>TV-MA</v>
      </c>
      <c r="R7593" s="5" t="str">
        <f t="shared" si="2"/>
        <v>No Estoy Loca</v>
      </c>
      <c r="S7593" s="5" t="str">
        <f>IFERROR(__xludf.DUMMYFUNCTION("""COMPUTED_VALUE"""),"The Paper Tigers")</f>
        <v>The Paper Tigers</v>
      </c>
      <c r="V7593" s="5"/>
      <c r="Y7593" s="5" t="str">
        <f>IFERROR(__xludf.DUMMYFUNCTION("REGEXEXTRACT(J7593, ""^\d+"")"),"116")</f>
        <v>116</v>
      </c>
      <c r="Z7593" s="5" t="str">
        <f>IFERROR(__xludf.DUMMYFUNCTION("REGEXEXTRACT(J7593, ""[A-Za-z ]+$"")")," min")</f>
        <v> min</v>
      </c>
      <c r="AA7593" s="5" t="str">
        <f>IFERROR(__xludf.DUMMYFUNCTION("IF(REGEXMATCH(Z7593, ""Season""), ""TV Show"", ""Movie"")"),"Movie")</f>
        <v>Movie</v>
      </c>
    </row>
    <row r="7594">
      <c r="A7594" s="1" t="s">
        <v>36925</v>
      </c>
      <c r="B7594" s="1" t="s">
        <v>27</v>
      </c>
      <c r="C7594" s="1" t="s">
        <v>36926</v>
      </c>
      <c r="D7594" s="1" t="s">
        <v>20594</v>
      </c>
      <c r="E7594" s="1" t="s">
        <v>36927</v>
      </c>
      <c r="F7594" s="1" t="s">
        <v>30</v>
      </c>
      <c r="G7594" s="1" t="s">
        <v>18985</v>
      </c>
      <c r="H7594" s="1">
        <v>2007.0</v>
      </c>
      <c r="I7594" s="1" t="s">
        <v>78</v>
      </c>
      <c r="J7594" s="1" t="s">
        <v>106</v>
      </c>
      <c r="K7594" s="1" t="s">
        <v>813</v>
      </c>
      <c r="L7594" s="1" t="s">
        <v>36928</v>
      </c>
      <c r="M7594" s="2" t="s">
        <v>12</v>
      </c>
      <c r="N7594" s="4">
        <f t="shared" si="1"/>
        <v>43739</v>
      </c>
      <c r="O7594" s="5" t="str">
        <f>IFERROR(__xludf.DUMMYFUNCTION("IF(REGEXMATCH(TRIM(I7594), ""^\d+\s*min""), ""Unclassified"", IF(I7594 = """", ""NR"", I7594))"),"PG")</f>
        <v>PG</v>
      </c>
      <c r="R7594" s="5" t="str">
        <f t="shared" si="2"/>
        <v>No Reservations</v>
      </c>
      <c r="S7594" s="5" t="str">
        <f>IFERROR(__xludf.DUMMYFUNCTION("""COMPUTED_VALUE"""),"The Paramedic")</f>
        <v>The Paramedic</v>
      </c>
      <c r="V7594" s="5"/>
      <c r="Y7594" s="5" t="str">
        <f>IFERROR(__xludf.DUMMYFUNCTION("REGEXEXTRACT(J7594, ""^\d+"")"),"104")</f>
        <v>104</v>
      </c>
      <c r="Z7594" s="5" t="str">
        <f>IFERROR(__xludf.DUMMYFUNCTION("REGEXEXTRACT(J7594, ""[A-Za-z ]+$"")")," min")</f>
        <v> min</v>
      </c>
      <c r="AA7594" s="5" t="str">
        <f>IFERROR(__xludf.DUMMYFUNCTION("IF(REGEXMATCH(Z7594, ""Season""), ""TV Show"", ""Movie"")"),"Movie")</f>
        <v>Movie</v>
      </c>
    </row>
    <row r="7595">
      <c r="A7595" s="1" t="s">
        <v>36929</v>
      </c>
      <c r="B7595" s="1" t="s">
        <v>37</v>
      </c>
      <c r="C7595" s="1" t="s">
        <v>36930</v>
      </c>
      <c r="E7595" s="1" t="s">
        <v>36931</v>
      </c>
      <c r="F7595" s="1" t="s">
        <v>8498</v>
      </c>
      <c r="G7595" s="1" t="s">
        <v>36932</v>
      </c>
      <c r="H7595" s="1">
        <v>2016.0</v>
      </c>
      <c r="I7595" s="1" t="s">
        <v>378</v>
      </c>
      <c r="J7595" s="1" t="s">
        <v>51</v>
      </c>
      <c r="K7595" s="1" t="s">
        <v>283</v>
      </c>
      <c r="L7595" s="1" t="s">
        <v>36933</v>
      </c>
      <c r="M7595" s="2" t="s">
        <v>12</v>
      </c>
      <c r="N7595" s="4">
        <f t="shared" si="1"/>
        <v>42714</v>
      </c>
      <c r="O7595" s="5" t="str">
        <f>IFERROR(__xludf.DUMMYFUNCTION("IF(REGEXMATCH(TRIM(I7595), ""^\d+\s*min""), ""Unclassified"", IF(I7595 = """", ""NR"", I7595))"),"R")</f>
        <v>R</v>
      </c>
      <c r="R7595" s="5" t="str">
        <f t="shared" si="2"/>
        <v>Nobel</v>
      </c>
      <c r="S7595" s="5" t="str">
        <f>IFERROR(__xludf.DUMMYFUNCTION("""COMPUTED_VALUE"""),"The Parisian Agency: Exclusive Properties")</f>
        <v>The Parisian Agency: Exclusive Properties</v>
      </c>
      <c r="V7595" s="5"/>
      <c r="Y7595" s="5" t="str">
        <f>IFERROR(__xludf.DUMMYFUNCTION("REGEXEXTRACT(J7595, ""^\d+"")"),"1")</f>
        <v>1</v>
      </c>
      <c r="Z7595" s="5" t="str">
        <f>IFERROR(__xludf.DUMMYFUNCTION("REGEXEXTRACT(J7595, ""[A-Za-z ]+$"")")," Season")</f>
        <v> Season</v>
      </c>
      <c r="AA7595" s="5" t="str">
        <f>IFERROR(__xludf.DUMMYFUNCTION("IF(REGEXMATCH(Z7595, ""Season""), ""TV Show"", ""Movie"")"),"TV Show")</f>
        <v>TV Show</v>
      </c>
    </row>
    <row r="7596">
      <c r="A7596" s="1" t="s">
        <v>36934</v>
      </c>
      <c r="B7596" s="1" t="s">
        <v>27</v>
      </c>
      <c r="C7596" s="1" t="s">
        <v>36935</v>
      </c>
      <c r="D7596" s="1" t="s">
        <v>2226</v>
      </c>
      <c r="E7596" s="1" t="s">
        <v>36936</v>
      </c>
      <c r="F7596" s="1" t="s">
        <v>30</v>
      </c>
      <c r="G7596" s="7">
        <v>43976.0</v>
      </c>
      <c r="H7596" s="1">
        <v>2020.0</v>
      </c>
      <c r="I7596" s="1" t="s">
        <v>289</v>
      </c>
      <c r="J7596" s="1" t="s">
        <v>1191</v>
      </c>
      <c r="K7596" s="1" t="s">
        <v>80</v>
      </c>
      <c r="L7596" s="1" t="s">
        <v>36937</v>
      </c>
      <c r="M7596" s="2" t="s">
        <v>12</v>
      </c>
      <c r="N7596" s="4">
        <f t="shared" si="1"/>
        <v>43976</v>
      </c>
      <c r="O7596" s="5" t="str">
        <f>IFERROR(__xludf.DUMMYFUNCTION("IF(REGEXMATCH(TRIM(I7596), ""^\d+\s*min""), ""Unclassified"", IF(I7596 = """", ""NR"", I7596))"),"TV-Y7")</f>
        <v>TV-Y7</v>
      </c>
      <c r="R7596" s="5" t="str">
        <f t="shared" si="2"/>
        <v>Norm Of The North: Family Vacation</v>
      </c>
      <c r="S7596" s="5" t="str">
        <f>IFERROR(__xludf.DUMMYFUNCTION("""COMPUTED_VALUE"""),"The Parkers")</f>
        <v>The Parkers</v>
      </c>
      <c r="V7596" s="5"/>
      <c r="Y7596" s="5" t="str">
        <f>IFERROR(__xludf.DUMMYFUNCTION("REGEXEXTRACT(J7596, ""^\d+"")"),"89")</f>
        <v>89</v>
      </c>
      <c r="Z7596" s="5" t="str">
        <f>IFERROR(__xludf.DUMMYFUNCTION("REGEXEXTRACT(J7596, ""[A-Za-z ]+$"")")," min")</f>
        <v> min</v>
      </c>
      <c r="AA7596" s="5" t="str">
        <f>IFERROR(__xludf.DUMMYFUNCTION("IF(REGEXMATCH(Z7596, ""Season""), ""TV Show"", ""Movie"")"),"Movie")</f>
        <v>Movie</v>
      </c>
    </row>
    <row r="7597">
      <c r="A7597" s="1" t="s">
        <v>36938</v>
      </c>
      <c r="B7597" s="1" t="s">
        <v>27</v>
      </c>
      <c r="C7597" s="1" t="s">
        <v>36939</v>
      </c>
      <c r="D7597" s="1" t="s">
        <v>22529</v>
      </c>
      <c r="E7597" s="1" t="s">
        <v>36940</v>
      </c>
      <c r="F7597" s="1" t="s">
        <v>8173</v>
      </c>
      <c r="G7597" s="1" t="s">
        <v>12031</v>
      </c>
      <c r="H7597" s="1">
        <v>2019.0</v>
      </c>
      <c r="I7597" s="1" t="s">
        <v>136</v>
      </c>
      <c r="J7597" s="1" t="s">
        <v>665</v>
      </c>
      <c r="K7597" s="1" t="s">
        <v>80</v>
      </c>
      <c r="L7597" s="1" t="s">
        <v>36941</v>
      </c>
      <c r="M7597" s="2" t="s">
        <v>12</v>
      </c>
      <c r="N7597" s="4">
        <f t="shared" si="1"/>
        <v>44064</v>
      </c>
      <c r="O7597" s="5" t="str">
        <f>IFERROR(__xludf.DUMMYFUNCTION("IF(REGEXMATCH(TRIM(I7597), ""^\d+\s*min""), ""Unclassified"", IF(I7597 = """", ""NR"", I7597))"),"TV-PG")</f>
        <v>TV-PG</v>
      </c>
      <c r="R7597" s="5" t="str">
        <f t="shared" si="2"/>
        <v>Norm Of The North: Keys To The Kingdom</v>
      </c>
      <c r="S7597" s="5" t="str">
        <f>IFERROR(__xludf.DUMMYFUNCTION("""COMPUTED_VALUE"""),"The Parole Officer")</f>
        <v>The Parole Officer</v>
      </c>
      <c r="V7597" s="5"/>
      <c r="Y7597" s="5" t="str">
        <f>IFERROR(__xludf.DUMMYFUNCTION("REGEXEXTRACT(J7597, ""^\d+"")"),"92")</f>
        <v>92</v>
      </c>
      <c r="Z7597" s="5" t="str">
        <f>IFERROR(__xludf.DUMMYFUNCTION("REGEXEXTRACT(J7597, ""[A-Za-z ]+$"")")," min")</f>
        <v> min</v>
      </c>
      <c r="AA7597" s="5" t="str">
        <f>IFERROR(__xludf.DUMMYFUNCTION("IF(REGEXMATCH(Z7597, ""Season""), ""TV Show"", ""Movie"")"),"Movie")</f>
        <v>Movie</v>
      </c>
    </row>
    <row r="7598">
      <c r="A7598" s="1" t="s">
        <v>36942</v>
      </c>
      <c r="B7598" s="1" t="s">
        <v>27</v>
      </c>
      <c r="C7598" s="1" t="s">
        <v>36943</v>
      </c>
      <c r="D7598" s="1" t="s">
        <v>19143</v>
      </c>
      <c r="E7598" s="1" t="s">
        <v>36944</v>
      </c>
      <c r="F7598" s="1" t="s">
        <v>36945</v>
      </c>
      <c r="G7598" s="1" t="s">
        <v>36946</v>
      </c>
      <c r="H7598" s="1">
        <v>2019.0</v>
      </c>
      <c r="I7598" s="1" t="s">
        <v>136</v>
      </c>
      <c r="J7598" s="1" t="s">
        <v>33</v>
      </c>
      <c r="K7598" s="1" t="s">
        <v>137</v>
      </c>
      <c r="L7598" s="1" t="s">
        <v>36947</v>
      </c>
      <c r="M7598" s="2" t="s">
        <v>12</v>
      </c>
      <c r="N7598" s="4">
        <f t="shared" si="1"/>
        <v>43717</v>
      </c>
      <c r="O7598" s="5" t="str">
        <f>IFERROR(__xludf.DUMMYFUNCTION("IF(REGEXMATCH(TRIM(I7598), ""^\d+\s*min""), ""Unclassified"", IF(I7598 = """", ""NR"", I7598))"),"TV-PG")</f>
        <v>TV-PG</v>
      </c>
      <c r="R7598" s="5" t="str">
        <f t="shared" si="2"/>
        <v>Norm Of The North: King Sized Adventure</v>
      </c>
      <c r="S7598" s="5" t="str">
        <f>IFERROR(__xludf.DUMMYFUNCTION("""COMPUTED_VALUE"""),"The Pass")</f>
        <v>The Pass</v>
      </c>
      <c r="V7598" s="5"/>
      <c r="Y7598" s="5" t="str">
        <f>IFERROR(__xludf.DUMMYFUNCTION("REGEXEXTRACT(J7598, ""^\d+"")"),"90")</f>
        <v>90</v>
      </c>
      <c r="Z7598" s="5" t="str">
        <f>IFERROR(__xludf.DUMMYFUNCTION("REGEXEXTRACT(J7598, ""[A-Za-z ]+$"")")," min")</f>
        <v> min</v>
      </c>
      <c r="AA7598" s="5" t="str">
        <f>IFERROR(__xludf.DUMMYFUNCTION("IF(REGEXMATCH(Z7598, ""Season""), ""TV Show"", ""Movie"")"),"Movie")</f>
        <v>Movie</v>
      </c>
    </row>
    <row r="7599">
      <c r="A7599" s="1" t="s">
        <v>36948</v>
      </c>
      <c r="B7599" s="1" t="s">
        <v>37</v>
      </c>
      <c r="C7599" s="1" t="s">
        <v>36949</v>
      </c>
      <c r="E7599" s="1" t="s">
        <v>36950</v>
      </c>
      <c r="F7599" s="1" t="s">
        <v>96</v>
      </c>
      <c r="G7599" s="1" t="s">
        <v>28421</v>
      </c>
      <c r="H7599" s="1">
        <v>2004.0</v>
      </c>
      <c r="I7599" s="1" t="s">
        <v>30231</v>
      </c>
      <c r="J7599" s="1" t="s">
        <v>51</v>
      </c>
      <c r="K7599" s="1" t="s">
        <v>8351</v>
      </c>
      <c r="L7599" s="1" t="s">
        <v>36951</v>
      </c>
      <c r="M7599" s="2" t="s">
        <v>12</v>
      </c>
      <c r="N7599" s="4">
        <f t="shared" si="1"/>
        <v>42825</v>
      </c>
      <c r="O7599" s="5" t="str">
        <f>IFERROR(__xludf.DUMMYFUNCTION("IF(REGEXMATCH(TRIM(I7599), ""^\d+\s*min""), ""Unclassified"", IF(I7599 = """", ""NR"", I7599))"),"NR")</f>
        <v>NR</v>
      </c>
      <c r="R7599" s="5" t="str">
        <f t="shared" si="2"/>
        <v>North &amp; South</v>
      </c>
      <c r="S7599" s="5" t="str">
        <f>IFERROR(__xludf.DUMMYFUNCTION("""COMPUTED_VALUE"""),"The Peacemaker")</f>
        <v>The Peacemaker</v>
      </c>
      <c r="V7599" s="5"/>
      <c r="Y7599" s="5" t="str">
        <f>IFERROR(__xludf.DUMMYFUNCTION("REGEXEXTRACT(J7599, ""^\d+"")"),"1")</f>
        <v>1</v>
      </c>
      <c r="Z7599" s="5" t="str">
        <f>IFERROR(__xludf.DUMMYFUNCTION("REGEXEXTRACT(J7599, ""[A-Za-z ]+$"")")," Season")</f>
        <v> Season</v>
      </c>
      <c r="AA7599" s="5" t="str">
        <f>IFERROR(__xludf.DUMMYFUNCTION("IF(REGEXMATCH(Z7599, ""Season""), ""TV Show"", ""Movie"")"),"TV Show")</f>
        <v>TV Show</v>
      </c>
    </row>
    <row r="7600">
      <c r="A7600" s="1" t="s">
        <v>36952</v>
      </c>
      <c r="B7600" s="1" t="s">
        <v>27</v>
      </c>
      <c r="C7600" s="1" t="s">
        <v>36953</v>
      </c>
      <c r="D7600" s="1" t="s">
        <v>12957</v>
      </c>
      <c r="F7600" s="1" t="s">
        <v>30</v>
      </c>
      <c r="G7600" s="1" t="s">
        <v>26481</v>
      </c>
      <c r="H7600" s="1">
        <v>2017.0</v>
      </c>
      <c r="I7600" s="1" t="s">
        <v>97</v>
      </c>
      <c r="J7600" s="1" t="s">
        <v>9034</v>
      </c>
      <c r="K7600" s="1" t="s">
        <v>34</v>
      </c>
      <c r="L7600" s="1" t="s">
        <v>36954</v>
      </c>
      <c r="M7600" s="2" t="s">
        <v>12</v>
      </c>
      <c r="N7600" s="4">
        <f t="shared" si="1"/>
        <v>43101</v>
      </c>
      <c r="O7600" s="5" t="str">
        <f>IFERROR(__xludf.DUMMYFUNCTION("IF(REGEXMATCH(TRIM(I7600), ""^\d+\s*min""), ""Unclassified"", IF(I7600 = """", ""NR"", I7600))"),"TV-14")</f>
        <v>TV-14</v>
      </c>
      <c r="R7600" s="5" t="str">
        <f t="shared" si="2"/>
        <v>Not Alone</v>
      </c>
      <c r="S7600" s="5" t="str">
        <f>IFERROR(__xludf.DUMMYFUNCTION("""COMPUTED_VALUE"""),"The Pelican Brief")</f>
        <v>The Pelican Brief</v>
      </c>
      <c r="V7600" s="5"/>
      <c r="Y7600" s="5" t="str">
        <f>IFERROR(__xludf.DUMMYFUNCTION("REGEXEXTRACT(J7600, ""^\d+"")"),"50")</f>
        <v>50</v>
      </c>
      <c r="Z7600" s="5" t="str">
        <f>IFERROR(__xludf.DUMMYFUNCTION("REGEXEXTRACT(J7600, ""[A-Za-z ]+$"")")," min")</f>
        <v> min</v>
      </c>
      <c r="AA7600" s="5" t="str">
        <f>IFERROR(__xludf.DUMMYFUNCTION("IF(REGEXMATCH(Z7600, ""Season""), ""TV Show"", ""Movie"")"),"Movie")</f>
        <v>Movie</v>
      </c>
    </row>
    <row r="7601">
      <c r="A7601" s="1" t="s">
        <v>36955</v>
      </c>
      <c r="B7601" s="1" t="s">
        <v>27</v>
      </c>
      <c r="C7601" s="1" t="s">
        <v>36956</v>
      </c>
      <c r="E7601" s="1" t="s">
        <v>36957</v>
      </c>
      <c r="F7601" s="1" t="s">
        <v>30</v>
      </c>
      <c r="G7601" s="1" t="s">
        <v>20110</v>
      </c>
      <c r="H7601" s="1">
        <v>2017.0</v>
      </c>
      <c r="I7601" s="1" t="s">
        <v>506</v>
      </c>
      <c r="J7601" s="1" t="s">
        <v>8606</v>
      </c>
      <c r="K7601" s="1" t="s">
        <v>9544</v>
      </c>
      <c r="L7601" s="1" t="s">
        <v>36958</v>
      </c>
      <c r="M7601" s="2" t="s">
        <v>12</v>
      </c>
      <c r="N7601" s="4">
        <f t="shared" si="1"/>
        <v>43647</v>
      </c>
      <c r="O7601" s="5" t="str">
        <f>IFERROR(__xludf.DUMMYFUNCTION("IF(REGEXMATCH(TRIM(I7601), ""^\d+\s*min""), ""Unclassified"", IF(I7601 = """", ""NR"", I7601))"),"TV-G")</f>
        <v>TV-G</v>
      </c>
      <c r="R7601" s="5" t="str">
        <f t="shared" si="2"/>
        <v>Nova: Bird Brain</v>
      </c>
      <c r="S7601" s="5" t="str">
        <f>IFERROR(__xludf.DUMMYFUNCTION("""COMPUTED_VALUE"""),"The Perfect Date")</f>
        <v>The Perfect Date</v>
      </c>
      <c r="V7601" s="5"/>
      <c r="Y7601" s="5" t="str">
        <f>IFERROR(__xludf.DUMMYFUNCTION("REGEXEXTRACT(J7601, ""^\d+"")"),"53")</f>
        <v>53</v>
      </c>
      <c r="Z7601" s="5" t="str">
        <f>IFERROR(__xludf.DUMMYFUNCTION("REGEXEXTRACT(J7601, ""[A-Za-z ]+$"")")," min")</f>
        <v> min</v>
      </c>
      <c r="AA7601" s="5" t="str">
        <f>IFERROR(__xludf.DUMMYFUNCTION("IF(REGEXMATCH(Z7601, ""Season""), ""TV Show"", ""Movie"")"),"Movie")</f>
        <v>Movie</v>
      </c>
    </row>
    <row r="7602">
      <c r="A7602" s="1" t="s">
        <v>36959</v>
      </c>
      <c r="B7602" s="1" t="s">
        <v>27</v>
      </c>
      <c r="C7602" s="1" t="s">
        <v>36960</v>
      </c>
      <c r="D7602" s="1" t="s">
        <v>36961</v>
      </c>
      <c r="E7602" s="1" t="s">
        <v>36962</v>
      </c>
      <c r="F7602" s="1" t="s">
        <v>30</v>
      </c>
      <c r="G7602" s="1" t="s">
        <v>20110</v>
      </c>
      <c r="H7602" s="1">
        <v>2018.0</v>
      </c>
      <c r="I7602" s="1" t="s">
        <v>506</v>
      </c>
      <c r="J7602" s="1" t="s">
        <v>519</v>
      </c>
      <c r="K7602" s="1" t="s">
        <v>34</v>
      </c>
      <c r="L7602" s="1" t="s">
        <v>36963</v>
      </c>
      <c r="M7602" s="2" t="s">
        <v>12</v>
      </c>
      <c r="N7602" s="4">
        <f t="shared" si="1"/>
        <v>43647</v>
      </c>
      <c r="O7602" s="5" t="str">
        <f>IFERROR(__xludf.DUMMYFUNCTION("IF(REGEXMATCH(TRIM(I7602), ""^\d+\s*min""), ""Unclassified"", IF(I7602 = """", ""NR"", I7602))"),"TV-G")</f>
        <v>TV-G</v>
      </c>
      <c r="R7602" s="5" t="str">
        <f t="shared" si="2"/>
        <v>Nova: Black Hole Apocalypse</v>
      </c>
      <c r="S7602" s="5" t="str">
        <f>IFERROR(__xludf.DUMMYFUNCTION("""COMPUTED_VALUE"""),"The Perfect Day")</f>
        <v>The Perfect Day</v>
      </c>
      <c r="V7602" s="5"/>
      <c r="Y7602" s="5" t="str">
        <f>IFERROR(__xludf.DUMMYFUNCTION("REGEXEXTRACT(J7602, ""^\d+"")"),"113")</f>
        <v>113</v>
      </c>
      <c r="Z7602" s="5" t="str">
        <f>IFERROR(__xludf.DUMMYFUNCTION("REGEXEXTRACT(J7602, ""[A-Za-z ]+$"")")," min")</f>
        <v> min</v>
      </c>
      <c r="AA7602" s="5" t="str">
        <f>IFERROR(__xludf.DUMMYFUNCTION("IF(REGEXMATCH(Z7602, ""Season""), ""TV Show"", ""Movie"")"),"Movie")</f>
        <v>Movie</v>
      </c>
    </row>
    <row r="7603">
      <c r="A7603" s="1" t="s">
        <v>36964</v>
      </c>
      <c r="B7603" s="1" t="s">
        <v>27</v>
      </c>
      <c r="C7603" s="1" t="s">
        <v>36965</v>
      </c>
      <c r="D7603" s="1" t="s">
        <v>15013</v>
      </c>
      <c r="E7603" s="1" t="s">
        <v>36966</v>
      </c>
      <c r="F7603" s="1" t="s">
        <v>30</v>
      </c>
      <c r="G7603" s="1" t="s">
        <v>20110</v>
      </c>
      <c r="H7603" s="1">
        <v>2017.0</v>
      </c>
      <c r="I7603" s="1" t="s">
        <v>136</v>
      </c>
      <c r="J7603" s="1" t="s">
        <v>8606</v>
      </c>
      <c r="K7603" s="1" t="s">
        <v>34</v>
      </c>
      <c r="L7603" s="1" t="s">
        <v>36967</v>
      </c>
      <c r="M7603" s="2" t="s">
        <v>12</v>
      </c>
      <c r="N7603" s="4">
        <f t="shared" si="1"/>
        <v>43647</v>
      </c>
      <c r="O7603" s="5" t="str">
        <f>IFERROR(__xludf.DUMMYFUNCTION("IF(REGEXMATCH(TRIM(I7603), ""^\d+\s*min""), ""Unclassified"", IF(I7603 = """", ""NR"", I7603))"),"TV-PG")</f>
        <v>TV-PG</v>
      </c>
      <c r="R7603" s="5" t="str">
        <f t="shared" si="2"/>
        <v>Nova: Building Chernobyl'S Megatomb</v>
      </c>
      <c r="S7603" s="5" t="str">
        <f>IFERROR(__xludf.DUMMYFUNCTION("""COMPUTED_VALUE"""),"The Perfect Dictatorship")</f>
        <v>The Perfect Dictatorship</v>
      </c>
      <c r="V7603" s="5"/>
      <c r="Y7603" s="5" t="str">
        <f>IFERROR(__xludf.DUMMYFUNCTION("REGEXEXTRACT(J7603, ""^\d+"")"),"53")</f>
        <v>53</v>
      </c>
      <c r="Z7603" s="5" t="str">
        <f>IFERROR(__xludf.DUMMYFUNCTION("REGEXEXTRACT(J7603, ""[A-Za-z ]+$"")")," min")</f>
        <v> min</v>
      </c>
      <c r="AA7603" s="5" t="str">
        <f>IFERROR(__xludf.DUMMYFUNCTION("IF(REGEXMATCH(Z7603, ""Season""), ""TV Show"", ""Movie"")"),"Movie")</f>
        <v>Movie</v>
      </c>
    </row>
    <row r="7604">
      <c r="A7604" s="1" t="s">
        <v>36968</v>
      </c>
      <c r="B7604" s="1" t="s">
        <v>27</v>
      </c>
      <c r="C7604" s="1" t="s">
        <v>36969</v>
      </c>
      <c r="D7604" s="1" t="s">
        <v>8512</v>
      </c>
      <c r="E7604" s="1" t="s">
        <v>36966</v>
      </c>
      <c r="F7604" s="1" t="s">
        <v>30</v>
      </c>
      <c r="G7604" s="1" t="s">
        <v>20110</v>
      </c>
      <c r="H7604" s="1">
        <v>2017.0</v>
      </c>
      <c r="I7604" s="1" t="s">
        <v>136</v>
      </c>
      <c r="J7604" s="1" t="s">
        <v>5941</v>
      </c>
      <c r="K7604" s="1" t="s">
        <v>34</v>
      </c>
      <c r="L7604" s="1" t="s">
        <v>36970</v>
      </c>
      <c r="M7604" s="2" t="s">
        <v>12</v>
      </c>
      <c r="N7604" s="4">
        <f t="shared" si="1"/>
        <v>43647</v>
      </c>
      <c r="O7604" s="5" t="str">
        <f>IFERROR(__xludf.DUMMYFUNCTION("IF(REGEXMATCH(TRIM(I7604), ""^\d+\s*min""), ""Unclassified"", IF(I7604 = """", ""NR"", I7604))"),"TV-PG")</f>
        <v>TV-PG</v>
      </c>
      <c r="R7604" s="5" t="str">
        <f t="shared" si="2"/>
        <v>Nova: Chinese Chariot Revealed</v>
      </c>
      <c r="S7604" s="5" t="str">
        <f>IFERROR(__xludf.DUMMYFUNCTION("""COMPUTED_VALUE"""),"The Perfect Match")</f>
        <v>The Perfect Match</v>
      </c>
      <c r="V7604" s="5"/>
      <c r="Y7604" s="5" t="str">
        <f>IFERROR(__xludf.DUMMYFUNCTION("REGEXEXTRACT(J7604, ""^\d+"")"),"54")</f>
        <v>54</v>
      </c>
      <c r="Z7604" s="5" t="str">
        <f>IFERROR(__xludf.DUMMYFUNCTION("REGEXEXTRACT(J7604, ""[A-Za-z ]+$"")")," min")</f>
        <v> min</v>
      </c>
      <c r="AA7604" s="5" t="str">
        <f>IFERROR(__xludf.DUMMYFUNCTION("IF(REGEXMATCH(Z7604, ""Season""), ""TV Show"", ""Movie"")"),"Movie")</f>
        <v>Movie</v>
      </c>
    </row>
    <row r="7605">
      <c r="A7605" s="1" t="s">
        <v>36971</v>
      </c>
      <c r="B7605" s="1" t="s">
        <v>27</v>
      </c>
      <c r="C7605" s="1" t="s">
        <v>36972</v>
      </c>
      <c r="D7605" s="1" t="s">
        <v>20463</v>
      </c>
      <c r="E7605" s="1" t="s">
        <v>36957</v>
      </c>
      <c r="F7605" s="1" t="s">
        <v>30</v>
      </c>
      <c r="G7605" s="1" t="s">
        <v>20110</v>
      </c>
      <c r="H7605" s="1">
        <v>2017.0</v>
      </c>
      <c r="I7605" s="1" t="s">
        <v>136</v>
      </c>
      <c r="J7605" s="1" t="s">
        <v>8606</v>
      </c>
      <c r="K7605" s="1" t="s">
        <v>34</v>
      </c>
      <c r="L7605" s="1" t="s">
        <v>36973</v>
      </c>
      <c r="M7605" s="2" t="s">
        <v>12</v>
      </c>
      <c r="N7605" s="4">
        <f t="shared" si="1"/>
        <v>43647</v>
      </c>
      <c r="O7605" s="5" t="str">
        <f>IFERROR(__xludf.DUMMYFUNCTION("IF(REGEXMATCH(TRIM(I7605), ""^\d+\s*min""), ""Unclassified"", IF(I7605 = """", ""NR"", I7605))"),"TV-PG")</f>
        <v>TV-PG</v>
      </c>
      <c r="R7605" s="5" t="str">
        <f t="shared" si="2"/>
        <v>Nova: Day The Dinosaurs Died</v>
      </c>
      <c r="S7605" s="5" t="str">
        <f>IFERROR(__xludf.DUMMYFUNCTION("""COMPUTED_VALUE"""),"The Perfect Picture: Ten Years Later")</f>
        <v>The Perfect Picture: Ten Years Later</v>
      </c>
      <c r="V7605" s="5"/>
      <c r="Y7605" s="5" t="str">
        <f>IFERROR(__xludf.DUMMYFUNCTION("REGEXEXTRACT(J7605, ""^\d+"")"),"53")</f>
        <v>53</v>
      </c>
      <c r="Z7605" s="5" t="str">
        <f>IFERROR(__xludf.DUMMYFUNCTION("REGEXEXTRACT(J7605, ""[A-Za-z ]+$"")")," min")</f>
        <v> min</v>
      </c>
      <c r="AA7605" s="5" t="str">
        <f>IFERROR(__xludf.DUMMYFUNCTION("IF(REGEXMATCH(Z7605, ""Season""), ""TV Show"", ""Movie"")"),"Movie")</f>
        <v>Movie</v>
      </c>
    </row>
    <row r="7606">
      <c r="A7606" s="1" t="s">
        <v>36974</v>
      </c>
      <c r="B7606" s="1" t="s">
        <v>27</v>
      </c>
      <c r="C7606" s="1" t="s">
        <v>36975</v>
      </c>
      <c r="D7606" s="1" t="s">
        <v>22325</v>
      </c>
      <c r="E7606" s="1" t="s">
        <v>36957</v>
      </c>
      <c r="F7606" s="1" t="s">
        <v>30</v>
      </c>
      <c r="G7606" s="1" t="s">
        <v>20110</v>
      </c>
      <c r="H7606" s="1">
        <v>2017.0</v>
      </c>
      <c r="I7606" s="1" t="s">
        <v>506</v>
      </c>
      <c r="J7606" s="1" t="s">
        <v>5941</v>
      </c>
      <c r="K7606" s="1" t="s">
        <v>34</v>
      </c>
      <c r="L7606" s="1" t="s">
        <v>36976</v>
      </c>
      <c r="M7606" s="2" t="s">
        <v>12</v>
      </c>
      <c r="N7606" s="4">
        <f t="shared" si="1"/>
        <v>43647</v>
      </c>
      <c r="O7606" s="5" t="str">
        <f>IFERROR(__xludf.DUMMYFUNCTION("IF(REGEXMATCH(TRIM(I7606), ""^\d+\s*min""), ""Unclassified"", IF(I7606 = """", ""NR"", I7606))"),"TV-G")</f>
        <v>TV-G</v>
      </c>
      <c r="R7606" s="5" t="str">
        <f t="shared" si="2"/>
        <v>Nova: Death Dive To Saturn</v>
      </c>
      <c r="S7606" s="5" t="str">
        <f>IFERROR(__xludf.DUMMYFUNCTION("""COMPUTED_VALUE"""),"The Perfection")</f>
        <v>The Perfection</v>
      </c>
      <c r="V7606" s="5"/>
      <c r="Y7606" s="5" t="str">
        <f>IFERROR(__xludf.DUMMYFUNCTION("REGEXEXTRACT(J7606, ""^\d+"")"),"54")</f>
        <v>54</v>
      </c>
      <c r="Z7606" s="5" t="str">
        <f>IFERROR(__xludf.DUMMYFUNCTION("REGEXEXTRACT(J7606, ""[A-Za-z ]+$"")")," min")</f>
        <v> min</v>
      </c>
      <c r="AA7606" s="5" t="str">
        <f>IFERROR(__xludf.DUMMYFUNCTION("IF(REGEXMATCH(Z7606, ""Season""), ""TV Show"", ""Movie"")"),"Movie")</f>
        <v>Movie</v>
      </c>
    </row>
    <row r="7607">
      <c r="A7607" s="1" t="s">
        <v>36977</v>
      </c>
      <c r="B7607" s="1" t="s">
        <v>27</v>
      </c>
      <c r="C7607" s="1" t="s">
        <v>36978</v>
      </c>
      <c r="D7607" s="1" t="s">
        <v>6653</v>
      </c>
      <c r="E7607" s="1" t="s">
        <v>36979</v>
      </c>
      <c r="F7607" s="1" t="s">
        <v>30</v>
      </c>
      <c r="G7607" s="1" t="s">
        <v>20110</v>
      </c>
      <c r="H7607" s="1">
        <v>2018.0</v>
      </c>
      <c r="I7607" s="1" t="s">
        <v>97</v>
      </c>
      <c r="J7607" s="1" t="s">
        <v>519</v>
      </c>
      <c r="K7607" s="1" t="s">
        <v>34</v>
      </c>
      <c r="L7607" s="1" t="s">
        <v>36980</v>
      </c>
      <c r="M7607" s="2" t="s">
        <v>12</v>
      </c>
      <c r="N7607" s="4">
        <f t="shared" si="1"/>
        <v>43647</v>
      </c>
      <c r="O7607" s="5" t="str">
        <f>IFERROR(__xludf.DUMMYFUNCTION("IF(REGEXMATCH(TRIM(I7607), ""^\d+\s*min""), ""Unclassified"", IF(I7607 = """", ""NR"", I7607))"),"TV-14")</f>
        <v>TV-14</v>
      </c>
      <c r="R7607" s="5" t="str">
        <f t="shared" si="2"/>
        <v>Nova: Decoding The Weather Machine</v>
      </c>
      <c r="S7607" s="5" t="str">
        <f>IFERROR(__xludf.DUMMYFUNCTION("""COMPUTED_VALUE"""),"The Perks Of Being A Wallflower")</f>
        <v>The Perks Of Being A Wallflower</v>
      </c>
      <c r="V7607" s="5"/>
      <c r="Y7607" s="5" t="str">
        <f>IFERROR(__xludf.DUMMYFUNCTION("REGEXEXTRACT(J7607, ""^\d+"")"),"113")</f>
        <v>113</v>
      </c>
      <c r="Z7607" s="5" t="str">
        <f>IFERROR(__xludf.DUMMYFUNCTION("REGEXEXTRACT(J7607, ""[A-Za-z ]+$"")")," min")</f>
        <v> min</v>
      </c>
      <c r="AA7607" s="5" t="str">
        <f>IFERROR(__xludf.DUMMYFUNCTION("IF(REGEXMATCH(Z7607, ""Season""), ""TV Show"", ""Movie"")"),"Movie")</f>
        <v>Movie</v>
      </c>
    </row>
    <row r="7608">
      <c r="A7608" s="1" t="s">
        <v>36981</v>
      </c>
      <c r="B7608" s="1" t="s">
        <v>27</v>
      </c>
      <c r="C7608" s="1" t="s">
        <v>36982</v>
      </c>
      <c r="D7608" s="1" t="s">
        <v>15013</v>
      </c>
      <c r="F7608" s="1" t="s">
        <v>30</v>
      </c>
      <c r="G7608" s="1" t="s">
        <v>20110</v>
      </c>
      <c r="H7608" s="1">
        <v>2017.0</v>
      </c>
      <c r="I7608" s="1" t="s">
        <v>506</v>
      </c>
      <c r="J7608" s="1" t="s">
        <v>8606</v>
      </c>
      <c r="K7608" s="1" t="s">
        <v>34</v>
      </c>
      <c r="L7608" s="1" t="s">
        <v>36983</v>
      </c>
      <c r="M7608" s="2" t="s">
        <v>12</v>
      </c>
      <c r="N7608" s="4">
        <f t="shared" si="1"/>
        <v>43647</v>
      </c>
      <c r="O7608" s="5" t="str">
        <f>IFERROR(__xludf.DUMMYFUNCTION("IF(REGEXMATCH(TRIM(I7608), ""^\d+\s*min""), ""Unclassified"", IF(I7608 = """", ""NR"", I7608))"),"TV-G")</f>
        <v>TV-G</v>
      </c>
      <c r="R7608" s="5" t="str">
        <f t="shared" si="2"/>
        <v>Nova: Eclipse Over America</v>
      </c>
      <c r="S7608" s="5" t="str">
        <f>IFERROR(__xludf.DUMMYFUNCTION("""COMPUTED_VALUE"""),"The Phantom Of The Opera")</f>
        <v>The Phantom Of The Opera</v>
      </c>
      <c r="V7608" s="5"/>
      <c r="Y7608" s="5" t="str">
        <f>IFERROR(__xludf.DUMMYFUNCTION("REGEXEXTRACT(J7608, ""^\d+"")"),"53")</f>
        <v>53</v>
      </c>
      <c r="Z7608" s="5" t="str">
        <f>IFERROR(__xludf.DUMMYFUNCTION("REGEXEXTRACT(J7608, ""[A-Za-z ]+$"")")," min")</f>
        <v> min</v>
      </c>
      <c r="AA7608" s="5" t="str">
        <f>IFERROR(__xludf.DUMMYFUNCTION("IF(REGEXMATCH(Z7608, ""Season""), ""TV Show"", ""Movie"")"),"Movie")</f>
        <v>Movie</v>
      </c>
    </row>
    <row r="7609">
      <c r="A7609" s="1" t="s">
        <v>36984</v>
      </c>
      <c r="B7609" s="1" t="s">
        <v>27</v>
      </c>
      <c r="C7609" s="1" t="s">
        <v>36985</v>
      </c>
      <c r="D7609" s="1" t="s">
        <v>17963</v>
      </c>
      <c r="E7609" s="1" t="s">
        <v>36986</v>
      </c>
      <c r="F7609" s="1" t="s">
        <v>30</v>
      </c>
      <c r="G7609" s="1" t="s">
        <v>20110</v>
      </c>
      <c r="H7609" s="1">
        <v>2017.0</v>
      </c>
      <c r="I7609" s="1" t="s">
        <v>136</v>
      </c>
      <c r="J7609" s="1" t="s">
        <v>8606</v>
      </c>
      <c r="K7609" s="1" t="s">
        <v>34</v>
      </c>
      <c r="L7609" s="1" t="s">
        <v>36987</v>
      </c>
      <c r="M7609" s="2" t="s">
        <v>12</v>
      </c>
      <c r="N7609" s="4">
        <f t="shared" si="1"/>
        <v>43647</v>
      </c>
      <c r="O7609" s="5" t="str">
        <f>IFERROR(__xludf.DUMMYFUNCTION("IF(REGEXMATCH(TRIM(I7609), ""^\d+\s*min""), ""Unclassified"", IF(I7609 = """", ""NR"", I7609))"),"TV-PG")</f>
        <v>TV-PG</v>
      </c>
      <c r="R7609" s="5" t="str">
        <f t="shared" si="2"/>
        <v>Nova: Extreme Animal Weapons</v>
      </c>
      <c r="S7609" s="5" t="str">
        <f>IFERROR(__xludf.DUMMYFUNCTION("""COMPUTED_VALUE"""),"The Pharmacist")</f>
        <v>The Pharmacist</v>
      </c>
      <c r="V7609" s="5"/>
      <c r="Y7609" s="5" t="str">
        <f>IFERROR(__xludf.DUMMYFUNCTION("REGEXEXTRACT(J7609, ""^\d+"")"),"53")</f>
        <v>53</v>
      </c>
      <c r="Z7609" s="5" t="str">
        <f>IFERROR(__xludf.DUMMYFUNCTION("REGEXEXTRACT(J7609, ""[A-Za-z ]+$"")")," min")</f>
        <v> min</v>
      </c>
      <c r="AA7609" s="5" t="str">
        <f>IFERROR(__xludf.DUMMYFUNCTION("IF(REGEXMATCH(Z7609, ""Season""), ""TV Show"", ""Movie"")"),"Movie")</f>
        <v>Movie</v>
      </c>
    </row>
    <row r="7610">
      <c r="A7610" s="1" t="s">
        <v>36988</v>
      </c>
      <c r="B7610" s="1" t="s">
        <v>27</v>
      </c>
      <c r="C7610" s="1" t="s">
        <v>36989</v>
      </c>
      <c r="D7610" s="1" t="s">
        <v>8601</v>
      </c>
      <c r="E7610" s="1" t="s">
        <v>36979</v>
      </c>
      <c r="F7610" s="1" t="s">
        <v>30</v>
      </c>
      <c r="G7610" s="1" t="s">
        <v>20110</v>
      </c>
      <c r="H7610" s="1">
        <v>2018.0</v>
      </c>
      <c r="I7610" s="1" t="s">
        <v>136</v>
      </c>
      <c r="J7610" s="1" t="s">
        <v>8606</v>
      </c>
      <c r="K7610" s="1" t="s">
        <v>34</v>
      </c>
      <c r="L7610" s="1" t="s">
        <v>36990</v>
      </c>
      <c r="M7610" s="2" t="s">
        <v>12</v>
      </c>
      <c r="N7610" s="4">
        <f t="shared" si="1"/>
        <v>43647</v>
      </c>
      <c r="O7610" s="5" t="str">
        <f>IFERROR(__xludf.DUMMYFUNCTION("IF(REGEXMATCH(TRIM(I7610), ""^\d+\s*min""), ""Unclassified"", IF(I7610 = """", ""NR"", I7610))"),"TV-PG")</f>
        <v>TV-PG</v>
      </c>
      <c r="R7610" s="5" t="str">
        <f t="shared" si="2"/>
        <v>Nova: First Face Of America</v>
      </c>
      <c r="S7610" s="5" t="str">
        <f>IFERROR(__xludf.DUMMYFUNCTION("""COMPUTED_VALUE"""),"The Photographer Of Mauthausen")</f>
        <v>The Photographer Of Mauthausen</v>
      </c>
      <c r="V7610" s="5"/>
      <c r="Y7610" s="5" t="str">
        <f>IFERROR(__xludf.DUMMYFUNCTION("REGEXEXTRACT(J7610, ""^\d+"")"),"53")</f>
        <v>53</v>
      </c>
      <c r="Z7610" s="5" t="str">
        <f>IFERROR(__xludf.DUMMYFUNCTION("REGEXEXTRACT(J7610, ""[A-Za-z ]+$"")")," min")</f>
        <v> min</v>
      </c>
      <c r="AA7610" s="5" t="str">
        <f>IFERROR(__xludf.DUMMYFUNCTION("IF(REGEXMATCH(Z7610, ""Season""), ""TV Show"", ""Movie"")"),"Movie")</f>
        <v>Movie</v>
      </c>
    </row>
    <row r="7611">
      <c r="A7611" s="1" t="s">
        <v>36991</v>
      </c>
      <c r="B7611" s="1" t="s">
        <v>27</v>
      </c>
      <c r="C7611" s="1" t="s">
        <v>36992</v>
      </c>
      <c r="D7611" s="1" t="s">
        <v>17836</v>
      </c>
      <c r="F7611" s="1" t="s">
        <v>30</v>
      </c>
      <c r="G7611" s="1" t="s">
        <v>20110</v>
      </c>
      <c r="H7611" s="1">
        <v>2017.0</v>
      </c>
      <c r="I7611" s="1" t="s">
        <v>97</v>
      </c>
      <c r="J7611" s="1" t="s">
        <v>5941</v>
      </c>
      <c r="K7611" s="1" t="s">
        <v>34</v>
      </c>
      <c r="L7611" s="1" t="s">
        <v>36993</v>
      </c>
      <c r="M7611" s="2" t="s">
        <v>12</v>
      </c>
      <c r="N7611" s="4">
        <f t="shared" si="1"/>
        <v>43647</v>
      </c>
      <c r="O7611" s="5" t="str">
        <f>IFERROR(__xludf.DUMMYFUNCTION("IF(REGEXMATCH(TRIM(I7611), ""^\d+\s*min""), ""Unclassified"", IF(I7611 = """", ""NR"", I7611))"),"TV-14")</f>
        <v>TV-14</v>
      </c>
      <c r="R7611" s="5" t="str">
        <f t="shared" si="2"/>
        <v>Nova: Holocaust Escape Tunnel</v>
      </c>
      <c r="S7611" s="5" t="str">
        <f>IFERROR(__xludf.DUMMYFUNCTION("""COMPUTED_VALUE"""),"The Physician")</f>
        <v>The Physician</v>
      </c>
      <c r="V7611" s="5"/>
      <c r="Y7611" s="5" t="str">
        <f>IFERROR(__xludf.DUMMYFUNCTION("REGEXEXTRACT(J7611, ""^\d+"")"),"54")</f>
        <v>54</v>
      </c>
      <c r="Z7611" s="5" t="str">
        <f>IFERROR(__xludf.DUMMYFUNCTION("REGEXEXTRACT(J7611, ""[A-Za-z ]+$"")")," min")</f>
        <v> min</v>
      </c>
      <c r="AA7611" s="5" t="str">
        <f>IFERROR(__xludf.DUMMYFUNCTION("IF(REGEXMATCH(Z7611, ""Season""), ""TV Show"", ""Movie"")"),"Movie")</f>
        <v>Movie</v>
      </c>
    </row>
    <row r="7612">
      <c r="A7612" s="1" t="s">
        <v>36994</v>
      </c>
      <c r="B7612" s="1" t="s">
        <v>27</v>
      </c>
      <c r="C7612" s="1" t="s">
        <v>36995</v>
      </c>
      <c r="E7612" s="1" t="s">
        <v>36957</v>
      </c>
      <c r="F7612" s="1" t="s">
        <v>30</v>
      </c>
      <c r="G7612" s="1" t="s">
        <v>20110</v>
      </c>
      <c r="H7612" s="1">
        <v>2017.0</v>
      </c>
      <c r="I7612" s="1" t="s">
        <v>136</v>
      </c>
      <c r="J7612" s="1" t="s">
        <v>5941</v>
      </c>
      <c r="K7612" s="1" t="s">
        <v>34</v>
      </c>
      <c r="L7612" s="1" t="s">
        <v>36996</v>
      </c>
      <c r="M7612" s="2" t="s">
        <v>12</v>
      </c>
      <c r="N7612" s="4">
        <f t="shared" si="1"/>
        <v>43647</v>
      </c>
      <c r="O7612" s="5" t="str">
        <f>IFERROR(__xludf.DUMMYFUNCTION("IF(REGEXMATCH(TRIM(I7612), ""^\d+\s*min""), ""Unclassified"", IF(I7612 = """", ""NR"", I7612))"),"TV-PG")</f>
        <v>TV-PG</v>
      </c>
      <c r="R7612" s="5" t="str">
        <f t="shared" si="2"/>
        <v>Nova: Killer Floods</v>
      </c>
      <c r="S7612" s="5" t="str">
        <f>IFERROR(__xludf.DUMMYFUNCTION("""COMPUTED_VALUE"""),"The Pianist")</f>
        <v>The Pianist</v>
      </c>
      <c r="V7612" s="5"/>
      <c r="Y7612" s="5" t="str">
        <f>IFERROR(__xludf.DUMMYFUNCTION("REGEXEXTRACT(J7612, ""^\d+"")"),"54")</f>
        <v>54</v>
      </c>
      <c r="Z7612" s="5" t="str">
        <f>IFERROR(__xludf.DUMMYFUNCTION("REGEXEXTRACT(J7612, ""[A-Za-z ]+$"")")," min")</f>
        <v> min</v>
      </c>
      <c r="AA7612" s="5" t="str">
        <f>IFERROR(__xludf.DUMMYFUNCTION("IF(REGEXMATCH(Z7612, ""Season""), ""TV Show"", ""Movie"")"),"Movie")</f>
        <v>Movie</v>
      </c>
    </row>
    <row r="7613">
      <c r="A7613" s="1" t="s">
        <v>36997</v>
      </c>
      <c r="B7613" s="1" t="s">
        <v>27</v>
      </c>
      <c r="C7613" s="1" t="s">
        <v>36998</v>
      </c>
      <c r="D7613" s="1" t="s">
        <v>17211</v>
      </c>
      <c r="E7613" s="1" t="s">
        <v>36957</v>
      </c>
      <c r="F7613" s="1" t="s">
        <v>30</v>
      </c>
      <c r="G7613" s="1" t="s">
        <v>20110</v>
      </c>
      <c r="H7613" s="1">
        <v>2017.0</v>
      </c>
      <c r="I7613" s="1" t="s">
        <v>136</v>
      </c>
      <c r="J7613" s="1" t="s">
        <v>8095</v>
      </c>
      <c r="K7613" s="1" t="s">
        <v>34</v>
      </c>
      <c r="L7613" s="1" t="s">
        <v>36999</v>
      </c>
      <c r="M7613" s="2" t="s">
        <v>12</v>
      </c>
      <c r="N7613" s="4">
        <f t="shared" si="1"/>
        <v>43647</v>
      </c>
      <c r="O7613" s="5" t="str">
        <f>IFERROR(__xludf.DUMMYFUNCTION("IF(REGEXMATCH(TRIM(I7613), ""^\d+\s*min""), ""Unclassified"", IF(I7613 = """", ""NR"", I7613))"),"TV-PG")</f>
        <v>TV-PG</v>
      </c>
      <c r="R7613" s="5" t="str">
        <f t="shared" si="2"/>
        <v>Nova: Killer Hurricanes</v>
      </c>
      <c r="S7613" s="5" t="str">
        <f>IFERROR(__xludf.DUMMYFUNCTION("""COMPUTED_VALUE"""),"The Piano")</f>
        <v>The Piano</v>
      </c>
      <c r="V7613" s="5"/>
      <c r="Y7613" s="5" t="str">
        <f>IFERROR(__xludf.DUMMYFUNCTION("REGEXEXTRACT(J7613, ""^\d+"")"),"52")</f>
        <v>52</v>
      </c>
      <c r="Z7613" s="5" t="str">
        <f>IFERROR(__xludf.DUMMYFUNCTION("REGEXEXTRACT(J7613, ""[A-Za-z ]+$"")")," min")</f>
        <v> min</v>
      </c>
      <c r="AA7613" s="5" t="str">
        <f>IFERROR(__xludf.DUMMYFUNCTION("IF(REGEXMATCH(Z7613, ""Season""), ""TV Show"", ""Movie"")"),"Movie")</f>
        <v>Movie</v>
      </c>
    </row>
    <row r="7614">
      <c r="A7614" s="1" t="s">
        <v>37000</v>
      </c>
      <c r="B7614" s="1" t="s">
        <v>27</v>
      </c>
      <c r="C7614" s="1" t="s">
        <v>37001</v>
      </c>
      <c r="D7614" s="1" t="s">
        <v>17211</v>
      </c>
      <c r="E7614" s="1" t="s">
        <v>36957</v>
      </c>
      <c r="F7614" s="1" t="s">
        <v>30</v>
      </c>
      <c r="G7614" s="1" t="s">
        <v>20110</v>
      </c>
      <c r="H7614" s="1">
        <v>2017.0</v>
      </c>
      <c r="I7614" s="1" t="s">
        <v>136</v>
      </c>
      <c r="J7614" s="1" t="s">
        <v>5941</v>
      </c>
      <c r="K7614" s="1" t="s">
        <v>34</v>
      </c>
      <c r="L7614" s="1" t="s">
        <v>37002</v>
      </c>
      <c r="M7614" s="2" t="s">
        <v>12</v>
      </c>
      <c r="N7614" s="4">
        <f t="shared" si="1"/>
        <v>43647</v>
      </c>
      <c r="O7614" s="5" t="str">
        <f>IFERROR(__xludf.DUMMYFUNCTION("IF(REGEXMATCH(TRIM(I7614), ""^\d+\s*min""), ""Unclassified"", IF(I7614 = """", ""NR"", I7614))"),"TV-PG")</f>
        <v>TV-PG</v>
      </c>
      <c r="R7614" s="5" t="str">
        <f t="shared" si="2"/>
        <v>Nova: Killer Volcanoes</v>
      </c>
      <c r="S7614" s="5" t="str">
        <f>IFERROR(__xludf.DUMMYFUNCTION("""COMPUTED_VALUE"""),"The Pink Panther")</f>
        <v>The Pink Panther</v>
      </c>
      <c r="V7614" s="5"/>
      <c r="Y7614" s="5" t="str">
        <f>IFERROR(__xludf.DUMMYFUNCTION("REGEXEXTRACT(J7614, ""^\d+"")"),"54")</f>
        <v>54</v>
      </c>
      <c r="Z7614" s="5" t="str">
        <f>IFERROR(__xludf.DUMMYFUNCTION("REGEXEXTRACT(J7614, ""[A-Za-z ]+$"")")," min")</f>
        <v> min</v>
      </c>
      <c r="AA7614" s="5" t="str">
        <f>IFERROR(__xludf.DUMMYFUNCTION("IF(REGEXMATCH(Z7614, ""Season""), ""TV Show"", ""Movie"")"),"Movie")</f>
        <v>Movie</v>
      </c>
    </row>
    <row r="7615">
      <c r="A7615" s="1" t="s">
        <v>37003</v>
      </c>
      <c r="B7615" s="1" t="s">
        <v>27</v>
      </c>
      <c r="C7615" s="1" t="s">
        <v>37004</v>
      </c>
      <c r="D7615" s="1" t="s">
        <v>13887</v>
      </c>
      <c r="E7615" s="1" t="s">
        <v>37005</v>
      </c>
      <c r="F7615" s="1" t="s">
        <v>30</v>
      </c>
      <c r="G7615" s="1" t="s">
        <v>20110</v>
      </c>
      <c r="H7615" s="1">
        <v>2017.0</v>
      </c>
      <c r="I7615" s="1" t="s">
        <v>136</v>
      </c>
      <c r="J7615" s="1" t="s">
        <v>5941</v>
      </c>
      <c r="K7615" s="1" t="s">
        <v>34</v>
      </c>
      <c r="L7615" s="1" t="s">
        <v>37006</v>
      </c>
      <c r="M7615" s="2" t="s">
        <v>12</v>
      </c>
      <c r="N7615" s="4">
        <f t="shared" si="1"/>
        <v>43647</v>
      </c>
      <c r="O7615" s="5" t="str">
        <f>IFERROR(__xludf.DUMMYFUNCTION("IF(REGEXMATCH(TRIM(I7615), ""^\d+\s*min""), ""Unclassified"", IF(I7615 = """", ""NR"", I7615))"),"TV-PG")</f>
        <v>TV-PG</v>
      </c>
      <c r="R7615" s="5" t="str">
        <f t="shared" si="2"/>
        <v>Nova: Poisoned Water</v>
      </c>
      <c r="S7615" s="5" t="str">
        <f>IFERROR(__xludf.DUMMYFUNCTION("""COMPUTED_VALUE"""),"The Pirate Fairy")</f>
        <v>The Pirate Fairy</v>
      </c>
      <c r="V7615" s="5"/>
      <c r="Y7615" s="5" t="str">
        <f>IFERROR(__xludf.DUMMYFUNCTION("REGEXEXTRACT(J7615, ""^\d+"")"),"54")</f>
        <v>54</v>
      </c>
      <c r="Z7615" s="5" t="str">
        <f>IFERROR(__xludf.DUMMYFUNCTION("REGEXEXTRACT(J7615, ""[A-Za-z ]+$"")")," min")</f>
        <v> min</v>
      </c>
      <c r="AA7615" s="5" t="str">
        <f>IFERROR(__xludf.DUMMYFUNCTION("IF(REGEXMATCH(Z7615, ""Season""), ""TV Show"", ""Movie"")"),"Movie")</f>
        <v>Movie</v>
      </c>
    </row>
    <row r="7616">
      <c r="A7616" s="1" t="s">
        <v>37007</v>
      </c>
      <c r="B7616" s="1" t="s">
        <v>27</v>
      </c>
      <c r="C7616" s="1" t="s">
        <v>37008</v>
      </c>
      <c r="D7616" s="1" t="s">
        <v>37009</v>
      </c>
      <c r="E7616" s="1" t="s">
        <v>36979</v>
      </c>
      <c r="F7616" s="1" t="s">
        <v>30</v>
      </c>
      <c r="G7616" s="1" t="s">
        <v>20110</v>
      </c>
      <c r="H7616" s="1">
        <v>2018.0</v>
      </c>
      <c r="I7616" s="1" t="s">
        <v>506</v>
      </c>
      <c r="J7616" s="1" t="s">
        <v>8606</v>
      </c>
      <c r="K7616" s="1" t="s">
        <v>34</v>
      </c>
      <c r="L7616" s="1" t="s">
        <v>37010</v>
      </c>
      <c r="M7616" s="2" t="s">
        <v>12</v>
      </c>
      <c r="N7616" s="4">
        <f t="shared" si="1"/>
        <v>43647</v>
      </c>
      <c r="O7616" s="5" t="str">
        <f>IFERROR(__xludf.DUMMYFUNCTION("IF(REGEXMATCH(TRIM(I7616), ""^\d+\s*min""), ""Unclassified"", IF(I7616 = """", ""NR"", I7616))"),"TV-G")</f>
        <v>TV-G</v>
      </c>
      <c r="R7616" s="5" t="str">
        <f t="shared" si="2"/>
        <v>Nova: Prediction By The Numbers</v>
      </c>
      <c r="S7616" s="5" t="str">
        <f>IFERROR(__xludf.DUMMYFUNCTION("""COMPUTED_VALUE"""),"The Pirates Of Somalia")</f>
        <v>The Pirates Of Somalia</v>
      </c>
      <c r="V7616" s="5"/>
      <c r="Y7616" s="5" t="str">
        <f>IFERROR(__xludf.DUMMYFUNCTION("REGEXEXTRACT(J7616, ""^\d+"")"),"53")</f>
        <v>53</v>
      </c>
      <c r="Z7616" s="5" t="str">
        <f>IFERROR(__xludf.DUMMYFUNCTION("REGEXEXTRACT(J7616, ""[A-Za-z ]+$"")")," min")</f>
        <v> min</v>
      </c>
      <c r="AA7616" s="5" t="str">
        <f>IFERROR(__xludf.DUMMYFUNCTION("IF(REGEXMATCH(Z7616, ""Season""), ""TV Show"", ""Movie"")"),"Movie")</f>
        <v>Movie</v>
      </c>
    </row>
    <row r="7617">
      <c r="A7617" s="1" t="s">
        <v>37011</v>
      </c>
      <c r="B7617" s="1" t="s">
        <v>27</v>
      </c>
      <c r="C7617" s="1" t="s">
        <v>37012</v>
      </c>
      <c r="D7617" s="1" t="s">
        <v>18104</v>
      </c>
      <c r="E7617" s="1" t="s">
        <v>36979</v>
      </c>
      <c r="F7617" s="1" t="s">
        <v>30</v>
      </c>
      <c r="G7617" s="1" t="s">
        <v>20110</v>
      </c>
      <c r="H7617" s="1">
        <v>2017.0</v>
      </c>
      <c r="I7617" s="1" t="s">
        <v>136</v>
      </c>
      <c r="J7617" s="1" t="s">
        <v>8606</v>
      </c>
      <c r="K7617" s="1" t="s">
        <v>34</v>
      </c>
      <c r="L7617" s="1" t="s">
        <v>37013</v>
      </c>
      <c r="M7617" s="2" t="s">
        <v>12</v>
      </c>
      <c r="N7617" s="4">
        <f t="shared" si="1"/>
        <v>43647</v>
      </c>
      <c r="O7617" s="5" t="str">
        <f>IFERROR(__xludf.DUMMYFUNCTION("IF(REGEXMATCH(TRIM(I7617), ""^\d+\s*min""), ""Unclassified"", IF(I7617 = """", ""NR"", I7617))"),"TV-PG")</f>
        <v>TV-PG</v>
      </c>
      <c r="R7617" s="5" t="str">
        <f t="shared" si="2"/>
        <v>Nova: Secrets Of The Shining Knight</v>
      </c>
      <c r="S7617" s="5" t="str">
        <f>IFERROR(__xludf.DUMMYFUNCTION("""COMPUTED_VALUE"""),"The Pirates! Band Of Misfits")</f>
        <v>The Pirates! Band Of Misfits</v>
      </c>
      <c r="V7617" s="5"/>
      <c r="Y7617" s="5" t="str">
        <f>IFERROR(__xludf.DUMMYFUNCTION("REGEXEXTRACT(J7617, ""^\d+"")"),"53")</f>
        <v>53</v>
      </c>
      <c r="Z7617" s="5" t="str">
        <f>IFERROR(__xludf.DUMMYFUNCTION("REGEXEXTRACT(J7617, ""[A-Za-z ]+$"")")," min")</f>
        <v> min</v>
      </c>
      <c r="AA7617" s="5" t="str">
        <f>IFERROR(__xludf.DUMMYFUNCTION("IF(REGEXMATCH(Z7617, ""Season""), ""TV Show"", ""Movie"")"),"Movie")</f>
        <v>Movie</v>
      </c>
    </row>
    <row r="7618">
      <c r="A7618" s="1" t="s">
        <v>37014</v>
      </c>
      <c r="B7618" s="1" t="s">
        <v>27</v>
      </c>
      <c r="C7618" s="1" t="s">
        <v>37015</v>
      </c>
      <c r="D7618" s="1" t="s">
        <v>22746</v>
      </c>
      <c r="F7618" s="1" t="s">
        <v>30</v>
      </c>
      <c r="G7618" s="1" t="s">
        <v>20110</v>
      </c>
      <c r="H7618" s="1">
        <v>2018.0</v>
      </c>
      <c r="I7618" s="1" t="s">
        <v>136</v>
      </c>
      <c r="J7618" s="1" t="s">
        <v>8606</v>
      </c>
      <c r="K7618" s="1" t="s">
        <v>34</v>
      </c>
      <c r="L7618" s="1" t="s">
        <v>37016</v>
      </c>
      <c r="M7618" s="2" t="s">
        <v>12</v>
      </c>
      <c r="N7618" s="4">
        <f t="shared" si="1"/>
        <v>43647</v>
      </c>
      <c r="O7618" s="5" t="str">
        <f>IFERROR(__xludf.DUMMYFUNCTION("IF(REGEXMATCH(TRIM(I7618), ""^\d+\s*min""), ""Unclassified"", IF(I7618 = """", ""NR"", I7618))"),"TV-PG")</f>
        <v>TV-PG</v>
      </c>
      <c r="R7618" s="5" t="str">
        <f t="shared" si="2"/>
        <v>Nova: Thai Cave Rescue</v>
      </c>
      <c r="S7618" s="5" t="str">
        <f>IFERROR(__xludf.DUMMYFUNCTION("""COMPUTED_VALUE"""),"The Pixar Story")</f>
        <v>The Pixar Story</v>
      </c>
      <c r="V7618" s="5"/>
      <c r="Y7618" s="5" t="str">
        <f>IFERROR(__xludf.DUMMYFUNCTION("REGEXEXTRACT(J7618, ""^\d+"")"),"53")</f>
        <v>53</v>
      </c>
      <c r="Z7618" s="5" t="str">
        <f>IFERROR(__xludf.DUMMYFUNCTION("REGEXEXTRACT(J7618, ""[A-Za-z ]+$"")")," min")</f>
        <v> min</v>
      </c>
      <c r="AA7618" s="5" t="str">
        <f>IFERROR(__xludf.DUMMYFUNCTION("IF(REGEXMATCH(Z7618, ""Season""), ""TV Show"", ""Movie"")"),"Movie")</f>
        <v>Movie</v>
      </c>
    </row>
    <row r="7619">
      <c r="A7619" s="1" t="s">
        <v>37017</v>
      </c>
      <c r="B7619" s="1" t="s">
        <v>27</v>
      </c>
      <c r="C7619" s="1" t="s">
        <v>37018</v>
      </c>
      <c r="D7619" s="1" t="s">
        <v>17014</v>
      </c>
      <c r="F7619" s="1" t="s">
        <v>30</v>
      </c>
      <c r="G7619" s="1" t="s">
        <v>20110</v>
      </c>
      <c r="H7619" s="1">
        <v>2018.0</v>
      </c>
      <c r="I7619" s="1" t="s">
        <v>136</v>
      </c>
      <c r="J7619" s="1" t="s">
        <v>519</v>
      </c>
      <c r="K7619" s="1" t="s">
        <v>34</v>
      </c>
      <c r="L7619" s="1" t="s">
        <v>37019</v>
      </c>
      <c r="M7619" s="2" t="s">
        <v>12</v>
      </c>
      <c r="N7619" s="4">
        <f t="shared" si="1"/>
        <v>43647</v>
      </c>
      <c r="O7619" s="5" t="str">
        <f>IFERROR(__xludf.DUMMYFUNCTION("IF(REGEXMATCH(TRIM(I7619), ""^\d+\s*min""), ""Unclassified"", IF(I7619 = """", ""NR"", I7619))"),"TV-PG")</f>
        <v>TV-PG</v>
      </c>
      <c r="R7619" s="5" t="str">
        <f t="shared" si="2"/>
        <v>Nova: The Impossible Flight</v>
      </c>
      <c r="S7619" s="5" t="str">
        <f>IFERROR(__xludf.DUMMYFUNCTION("""COMPUTED_VALUE"""),"The Place Beyond The Pines")</f>
        <v>The Place Beyond The Pines</v>
      </c>
      <c r="V7619" s="5"/>
      <c r="Y7619" s="5" t="str">
        <f>IFERROR(__xludf.DUMMYFUNCTION("REGEXEXTRACT(J7619, ""^\d+"")"),"113")</f>
        <v>113</v>
      </c>
      <c r="Z7619" s="5" t="str">
        <f>IFERROR(__xludf.DUMMYFUNCTION("REGEXEXTRACT(J7619, ""[A-Za-z ]+$"")")," min")</f>
        <v> min</v>
      </c>
      <c r="AA7619" s="5" t="str">
        <f>IFERROR(__xludf.DUMMYFUNCTION("IF(REGEXMATCH(Z7619, ""Season""), ""TV Show"", ""Movie"")"),"Movie")</f>
        <v>Movie</v>
      </c>
    </row>
    <row r="7620">
      <c r="A7620" s="1" t="s">
        <v>37020</v>
      </c>
      <c r="B7620" s="1" t="s">
        <v>27</v>
      </c>
      <c r="C7620" s="1" t="s">
        <v>37021</v>
      </c>
      <c r="D7620" s="1" t="s">
        <v>8077</v>
      </c>
      <c r="E7620" s="1" t="s">
        <v>37022</v>
      </c>
      <c r="F7620" s="1" t="s">
        <v>30</v>
      </c>
      <c r="G7620" s="1" t="s">
        <v>20110</v>
      </c>
      <c r="H7620" s="1">
        <v>2012.0</v>
      </c>
      <c r="I7620" s="1" t="s">
        <v>506</v>
      </c>
      <c r="J7620" s="1" t="s">
        <v>8606</v>
      </c>
      <c r="K7620" s="1" t="s">
        <v>2032</v>
      </c>
      <c r="L7620" s="1" t="s">
        <v>37023</v>
      </c>
      <c r="M7620" s="2" t="s">
        <v>12</v>
      </c>
      <c r="N7620" s="4">
        <f t="shared" si="1"/>
        <v>43647</v>
      </c>
      <c r="O7620" s="5" t="str">
        <f>IFERROR(__xludf.DUMMYFUNCTION("IF(REGEXMATCH(TRIM(I7620), ""^\d+\s*min""), ""Unclassified"", IF(I7620 = """", ""NR"", I7620))"),"TV-G")</f>
        <v>TV-G</v>
      </c>
      <c r="R7620" s="5" t="str">
        <f t="shared" si="2"/>
        <v>Nova: Ultimate Mars Challenge</v>
      </c>
      <c r="S7620" s="5" t="str">
        <f>IFERROR(__xludf.DUMMYFUNCTION("""COMPUTED_VALUE"""),"The Plagues Of Breslau")</f>
        <v>The Plagues Of Breslau</v>
      </c>
      <c r="V7620" s="5"/>
      <c r="Y7620" s="5" t="str">
        <f>IFERROR(__xludf.DUMMYFUNCTION("REGEXEXTRACT(J7620, ""^\d+"")"),"53")</f>
        <v>53</v>
      </c>
      <c r="Z7620" s="5" t="str">
        <f>IFERROR(__xludf.DUMMYFUNCTION("REGEXEXTRACT(J7620, ""[A-Za-z ]+$"")")," min")</f>
        <v> min</v>
      </c>
      <c r="AA7620" s="5" t="str">
        <f>IFERROR(__xludf.DUMMYFUNCTION("IF(REGEXMATCH(Z7620, ""Season""), ""TV Show"", ""Movie"")"),"Movie")</f>
        <v>Movie</v>
      </c>
    </row>
    <row r="7621">
      <c r="A7621" s="1" t="s">
        <v>37024</v>
      </c>
      <c r="B7621" s="1" t="s">
        <v>27</v>
      </c>
      <c r="C7621" s="1" t="s">
        <v>37025</v>
      </c>
      <c r="D7621" s="1" t="s">
        <v>20028</v>
      </c>
      <c r="E7621" s="1" t="s">
        <v>37026</v>
      </c>
      <c r="F7621" s="1" t="s">
        <v>30</v>
      </c>
      <c r="G7621" s="1" t="s">
        <v>13029</v>
      </c>
      <c r="H7621" s="1">
        <v>2017.0</v>
      </c>
      <c r="I7621" s="1" t="s">
        <v>32</v>
      </c>
      <c r="J7621" s="1" t="s">
        <v>1144</v>
      </c>
      <c r="K7621" s="1" t="s">
        <v>394</v>
      </c>
      <c r="L7621" s="1" t="s">
        <v>37027</v>
      </c>
      <c r="M7621" s="2" t="s">
        <v>12</v>
      </c>
      <c r="N7621" s="4">
        <f t="shared" si="1"/>
        <v>44015</v>
      </c>
      <c r="O7621" s="5" t="str">
        <f>IFERROR(__xludf.DUMMYFUNCTION("IF(REGEXMATCH(TRIM(I7621), ""^\d+\s*min""), ""Unclassified"", IF(I7621 = """", ""NR"", I7621))"),"PG-13")</f>
        <v>PG-13</v>
      </c>
      <c r="R7621" s="5" t="str">
        <f t="shared" si="2"/>
        <v>November Criminals</v>
      </c>
      <c r="S7621" s="5" t="str">
        <f>IFERROR(__xludf.DUMMYFUNCTION("""COMPUTED_VALUE"""),"The Plan")</f>
        <v>The Plan</v>
      </c>
      <c r="V7621" s="5"/>
      <c r="Y7621" s="5" t="str">
        <f>IFERROR(__xludf.DUMMYFUNCTION("REGEXEXTRACT(J7621, ""^\d+"")"),"86")</f>
        <v>86</v>
      </c>
      <c r="Z7621" s="5" t="str">
        <f>IFERROR(__xludf.DUMMYFUNCTION("REGEXEXTRACT(J7621, ""[A-Za-z ]+$"")")," min")</f>
        <v> min</v>
      </c>
      <c r="AA7621" s="5" t="str">
        <f>IFERROR(__xludf.DUMMYFUNCTION("IF(REGEXMATCH(Z7621, ""Season""), ""TV Show"", ""Movie"")"),"Movie")</f>
        <v>Movie</v>
      </c>
    </row>
    <row r="7622">
      <c r="A7622" s="1" t="s">
        <v>37028</v>
      </c>
      <c r="B7622" s="1" t="s">
        <v>27</v>
      </c>
      <c r="C7622" s="1" t="s">
        <v>37029</v>
      </c>
      <c r="D7622" s="1" t="s">
        <v>13660</v>
      </c>
      <c r="E7622" s="1" t="s">
        <v>37030</v>
      </c>
      <c r="F7622" s="1" t="s">
        <v>30</v>
      </c>
      <c r="G7622" s="1" t="s">
        <v>19794</v>
      </c>
      <c r="H7622" s="1">
        <v>1995.0</v>
      </c>
      <c r="I7622" s="1" t="s">
        <v>32</v>
      </c>
      <c r="J7622" s="1" t="s">
        <v>447</v>
      </c>
      <c r="K7622" s="1" t="s">
        <v>805</v>
      </c>
      <c r="L7622" s="1" t="s">
        <v>37031</v>
      </c>
      <c r="M7622" s="2" t="s">
        <v>12</v>
      </c>
      <c r="N7622" s="4">
        <f t="shared" si="1"/>
        <v>43679</v>
      </c>
      <c r="O7622" s="5" t="str">
        <f>IFERROR(__xludf.DUMMYFUNCTION("IF(REGEXMATCH(TRIM(I7622), ""^\d+\s*min""), ""Unclassified"", IF(I7622 = """", ""NR"", I7622))"),"PG-13")</f>
        <v>PG-13</v>
      </c>
      <c r="R7622" s="5" t="str">
        <f t="shared" si="2"/>
        <v>Now And Then</v>
      </c>
      <c r="S7622" s="5" t="str">
        <f>IFERROR(__xludf.DUMMYFUNCTION("""COMPUTED_VALUE"""),"The Platform")</f>
        <v>The Platform</v>
      </c>
      <c r="V7622" s="5"/>
      <c r="Y7622" s="5" t="str">
        <f>IFERROR(__xludf.DUMMYFUNCTION("REGEXEXTRACT(J7622, ""^\d+"")"),"102")</f>
        <v>102</v>
      </c>
      <c r="Z7622" s="5" t="str">
        <f>IFERROR(__xludf.DUMMYFUNCTION("REGEXEXTRACT(J7622, ""[A-Za-z ]+$"")")," min")</f>
        <v> min</v>
      </c>
      <c r="AA7622" s="5" t="str">
        <f>IFERROR(__xludf.DUMMYFUNCTION("IF(REGEXMATCH(Z7622, ""Season""), ""TV Show"", ""Movie"")"),"Movie")</f>
        <v>Movie</v>
      </c>
    </row>
    <row r="7623">
      <c r="A7623" s="1" t="s">
        <v>37032</v>
      </c>
      <c r="B7623" s="1" t="s">
        <v>27</v>
      </c>
      <c r="C7623" s="1" t="s">
        <v>37033</v>
      </c>
      <c r="D7623" s="1" t="s">
        <v>18050</v>
      </c>
      <c r="E7623" s="1" t="s">
        <v>37034</v>
      </c>
      <c r="F7623" s="1" t="s">
        <v>30</v>
      </c>
      <c r="G7623" s="1" t="s">
        <v>26481</v>
      </c>
      <c r="H7623" s="1">
        <v>2016.0</v>
      </c>
      <c r="I7623" s="1" t="s">
        <v>42</v>
      </c>
      <c r="J7623" s="1" t="s">
        <v>835</v>
      </c>
      <c r="K7623" s="1" t="s">
        <v>700</v>
      </c>
      <c r="L7623" s="1" t="s">
        <v>37035</v>
      </c>
      <c r="M7623" s="2" t="s">
        <v>12</v>
      </c>
      <c r="N7623" s="4">
        <f t="shared" si="1"/>
        <v>43101</v>
      </c>
      <c r="O7623" s="5" t="str">
        <f>IFERROR(__xludf.DUMMYFUNCTION("IF(REGEXMATCH(TRIM(I7623), ""^\d+\s*min""), ""Unclassified"", IF(I7623 = """", ""NR"", I7623))"),"TV-MA")</f>
        <v>TV-MA</v>
      </c>
      <c r="R7623" s="5" t="str">
        <f t="shared" si="2"/>
        <v>Now More Than Ever: The History Of Chicago</v>
      </c>
      <c r="S7623" s="5" t="str">
        <f>IFERROR(__xludf.DUMMYFUNCTION("""COMPUTED_VALUE"""),"The Playbook")</f>
        <v>The Playbook</v>
      </c>
      <c r="V7623" s="5"/>
      <c r="Y7623" s="5" t="str">
        <f>IFERROR(__xludf.DUMMYFUNCTION("REGEXEXTRACT(J7623, ""^\d+"")"),"114")</f>
        <v>114</v>
      </c>
      <c r="Z7623" s="5" t="str">
        <f>IFERROR(__xludf.DUMMYFUNCTION("REGEXEXTRACT(J7623, ""[A-Za-z ]+$"")")," min")</f>
        <v> min</v>
      </c>
      <c r="AA7623" s="5" t="str">
        <f>IFERROR(__xludf.DUMMYFUNCTION("IF(REGEXMATCH(Z7623, ""Season""), ""TV Show"", ""Movie"")"),"Movie")</f>
        <v>Movie</v>
      </c>
    </row>
    <row r="7624">
      <c r="A7624" s="1" t="s">
        <v>37036</v>
      </c>
      <c r="B7624" s="1" t="s">
        <v>27</v>
      </c>
      <c r="C7624" s="1" t="s">
        <v>37037</v>
      </c>
      <c r="D7624" s="1" t="s">
        <v>20236</v>
      </c>
      <c r="E7624" s="1" t="s">
        <v>37038</v>
      </c>
      <c r="F7624" s="1" t="s">
        <v>17746</v>
      </c>
      <c r="G7624" s="1" t="s">
        <v>37039</v>
      </c>
      <c r="H7624" s="1">
        <v>2009.0</v>
      </c>
      <c r="I7624" s="1" t="s">
        <v>378</v>
      </c>
      <c r="J7624" s="1" t="s">
        <v>416</v>
      </c>
      <c r="K7624" s="1" t="s">
        <v>805</v>
      </c>
      <c r="L7624" s="1" t="s">
        <v>37040</v>
      </c>
      <c r="M7624" s="2" t="s">
        <v>12</v>
      </c>
      <c r="N7624" s="4">
        <f t="shared" si="1"/>
        <v>43204</v>
      </c>
      <c r="O7624" s="5" t="str">
        <f>IFERROR(__xludf.DUMMYFUNCTION("IF(REGEXMATCH(TRIM(I7624), ""^\d+\s*min""), ""Unclassified"", IF(I7624 = """", ""NR"", I7624))"),"R")</f>
        <v>R</v>
      </c>
      <c r="R7624" s="5" t="str">
        <f t="shared" si="2"/>
        <v>Nowhere Boy</v>
      </c>
      <c r="S7624" s="5" t="str">
        <f>IFERROR(__xludf.DUMMYFUNCTION("""COMPUTED_VALUE"""),"The Player")</f>
        <v>The Player</v>
      </c>
      <c r="V7624" s="5"/>
      <c r="Y7624" s="5" t="str">
        <f>IFERROR(__xludf.DUMMYFUNCTION("REGEXEXTRACT(J7624, ""^\d+"")"),"99")</f>
        <v>99</v>
      </c>
      <c r="Z7624" s="5" t="str">
        <f>IFERROR(__xludf.DUMMYFUNCTION("REGEXEXTRACT(J7624, ""[A-Za-z ]+$"")")," min")</f>
        <v> min</v>
      </c>
      <c r="AA7624" s="5" t="str">
        <f>IFERROR(__xludf.DUMMYFUNCTION("IF(REGEXMATCH(Z7624, ""Season""), ""TV Show"", ""Movie"")"),"Movie")</f>
        <v>Movie</v>
      </c>
    </row>
    <row r="7625">
      <c r="A7625" s="1" t="s">
        <v>37041</v>
      </c>
      <c r="B7625" s="1" t="s">
        <v>37</v>
      </c>
      <c r="C7625" s="1" t="s">
        <v>37042</v>
      </c>
      <c r="E7625" s="1" t="s">
        <v>37043</v>
      </c>
      <c r="F7625" s="1" t="s">
        <v>2492</v>
      </c>
      <c r="G7625" s="1" t="s">
        <v>37044</v>
      </c>
      <c r="H7625" s="1">
        <v>2016.0</v>
      </c>
      <c r="I7625" s="1" t="s">
        <v>42</v>
      </c>
      <c r="J7625" s="1" t="s">
        <v>51</v>
      </c>
      <c r="K7625" s="1" t="s">
        <v>1362</v>
      </c>
      <c r="L7625" s="1" t="s">
        <v>37045</v>
      </c>
      <c r="M7625" s="2" t="s">
        <v>12</v>
      </c>
      <c r="N7625" s="4">
        <f t="shared" si="1"/>
        <v>42558</v>
      </c>
      <c r="O7625" s="5" t="str">
        <f>IFERROR(__xludf.DUMMYFUNCTION("IF(REGEXMATCH(TRIM(I7625), ""^\d+\s*min""), ""Unclassified"", IF(I7625 = """", ""NR"", I7625))"),"TV-MA")</f>
        <v>TV-MA</v>
      </c>
      <c r="R7625" s="5" t="str">
        <f t="shared" si="2"/>
        <v>Nsu German History X</v>
      </c>
      <c r="S7625" s="5" t="str">
        <f>IFERROR(__xludf.DUMMYFUNCTION("""COMPUTED_VALUE"""),"The Players")</f>
        <v>The Players</v>
      </c>
      <c r="V7625" s="5"/>
      <c r="Y7625" s="5" t="str">
        <f>IFERROR(__xludf.DUMMYFUNCTION("REGEXEXTRACT(J7625, ""^\d+"")"),"1")</f>
        <v>1</v>
      </c>
      <c r="Z7625" s="5" t="str">
        <f>IFERROR(__xludf.DUMMYFUNCTION("REGEXEXTRACT(J7625, ""[A-Za-z ]+$"")")," Season")</f>
        <v> Season</v>
      </c>
      <c r="AA7625" s="5" t="str">
        <f>IFERROR(__xludf.DUMMYFUNCTION("IF(REGEXMATCH(Z7625, ""Season""), ""TV Show"", ""Movie"")"),"TV Show")</f>
        <v>TV Show</v>
      </c>
    </row>
    <row r="7626">
      <c r="A7626" s="1" t="s">
        <v>37046</v>
      </c>
      <c r="B7626" s="1" t="s">
        <v>37</v>
      </c>
      <c r="C7626" s="1" t="s">
        <v>37047</v>
      </c>
      <c r="G7626" s="1" t="s">
        <v>24808</v>
      </c>
      <c r="H7626" s="1">
        <v>2018.0</v>
      </c>
      <c r="I7626" s="1" t="s">
        <v>42</v>
      </c>
      <c r="J7626" s="1" t="s">
        <v>51</v>
      </c>
      <c r="K7626" s="1" t="s">
        <v>791</v>
      </c>
      <c r="L7626" s="1" t="s">
        <v>37048</v>
      </c>
      <c r="M7626" s="2" t="s">
        <v>12</v>
      </c>
      <c r="N7626" s="4">
        <f t="shared" si="1"/>
        <v>43327</v>
      </c>
      <c r="O7626" s="5" t="str">
        <f>IFERROR(__xludf.DUMMYFUNCTION("IF(REGEXMATCH(TRIM(I7626), ""^\d+\s*min""), ""Unclassified"", IF(I7626 = """", ""NR"", I7626))"),"TV-MA")</f>
        <v>TV-MA</v>
      </c>
      <c r="R7626" s="5" t="str">
        <f t="shared" si="2"/>
        <v>Nuestra Lucha Libre</v>
      </c>
      <c r="S7626" s="5" t="str">
        <f>IFERROR(__xludf.DUMMYFUNCTION("""COMPUTED_VALUE"""),"The Polar Express")</f>
        <v>The Polar Express</v>
      </c>
      <c r="V7626" s="5"/>
      <c r="Y7626" s="5" t="str">
        <f>IFERROR(__xludf.DUMMYFUNCTION("REGEXEXTRACT(J7626, ""^\d+"")"),"1")</f>
        <v>1</v>
      </c>
      <c r="Z7626" s="5" t="str">
        <f>IFERROR(__xludf.DUMMYFUNCTION("REGEXEXTRACT(J7626, ""[A-Za-z ]+$"")")," Season")</f>
        <v> Season</v>
      </c>
      <c r="AA7626" s="5" t="str">
        <f>IFERROR(__xludf.DUMMYFUNCTION("IF(REGEXMATCH(Z7626, ""Season""), ""TV Show"", ""Movie"")"),"TV Show")</f>
        <v>TV Show</v>
      </c>
    </row>
    <row r="7627">
      <c r="A7627" s="1" t="s">
        <v>37049</v>
      </c>
      <c r="B7627" s="1" t="s">
        <v>27</v>
      </c>
      <c r="C7627" s="1" t="s">
        <v>37050</v>
      </c>
      <c r="D7627" s="1" t="s">
        <v>5448</v>
      </c>
      <c r="F7627" s="1" t="s">
        <v>3333</v>
      </c>
      <c r="G7627" s="1" t="s">
        <v>26505</v>
      </c>
      <c r="H7627" s="1">
        <v>2012.0</v>
      </c>
      <c r="I7627" s="1" t="s">
        <v>136</v>
      </c>
      <c r="J7627" s="1" t="s">
        <v>6490</v>
      </c>
      <c r="K7627" s="1" t="s">
        <v>156</v>
      </c>
      <c r="L7627" s="1" t="s">
        <v>37051</v>
      </c>
      <c r="M7627" s="2" t="s">
        <v>12</v>
      </c>
      <c r="N7627" s="4">
        <f t="shared" si="1"/>
        <v>43100</v>
      </c>
      <c r="O7627" s="5" t="str">
        <f>IFERROR(__xludf.DUMMYFUNCTION("IF(REGEXMATCH(TRIM(I7627), ""^\d+\s*min""), ""Unclassified"", IF(I7627 = """", ""NR"", I7627))"),"TV-PG")</f>
        <v>TV-PG</v>
      </c>
      <c r="R7627" s="5" t="str">
        <f t="shared" si="2"/>
        <v>Numbered</v>
      </c>
      <c r="S7627" s="5" t="str">
        <f>IFERROR(__xludf.DUMMYFUNCTION("""COMPUTED_VALUE"""),"The Politician")</f>
        <v>The Politician</v>
      </c>
      <c r="V7627" s="5"/>
      <c r="Y7627" s="5" t="str">
        <f>IFERROR(__xludf.DUMMYFUNCTION("REGEXEXTRACT(J7627, ""^\d+"")"),"55")</f>
        <v>55</v>
      </c>
      <c r="Z7627" s="5" t="str">
        <f>IFERROR(__xludf.DUMMYFUNCTION("REGEXEXTRACT(J7627, ""[A-Za-z ]+$"")")," min")</f>
        <v> min</v>
      </c>
      <c r="AA7627" s="5" t="str">
        <f>IFERROR(__xludf.DUMMYFUNCTION("IF(REGEXMATCH(Z7627, ""Season""), ""TV Show"", ""Movie"")"),"Movie")</f>
        <v>Movie</v>
      </c>
    </row>
    <row r="7628">
      <c r="A7628" s="1" t="s">
        <v>37052</v>
      </c>
      <c r="B7628" s="1" t="s">
        <v>27</v>
      </c>
      <c r="C7628" s="1" t="s">
        <v>37053</v>
      </c>
      <c r="D7628" s="1" t="s">
        <v>7105</v>
      </c>
      <c r="F7628" s="1" t="s">
        <v>1779</v>
      </c>
      <c r="G7628" s="1" t="s">
        <v>25748</v>
      </c>
      <c r="H7628" s="1">
        <v>2015.0</v>
      </c>
      <c r="I7628" s="1" t="s">
        <v>42</v>
      </c>
      <c r="J7628" s="1" t="s">
        <v>79</v>
      </c>
      <c r="K7628" s="1" t="s">
        <v>2892</v>
      </c>
      <c r="L7628" s="1" t="s">
        <v>37054</v>
      </c>
      <c r="M7628" s="2" t="s">
        <v>12</v>
      </c>
      <c r="N7628" s="4">
        <f t="shared" si="1"/>
        <v>43205</v>
      </c>
      <c r="O7628" s="5" t="str">
        <f>IFERROR(__xludf.DUMMYFUNCTION("IF(REGEXMATCH(TRIM(I7628), ""^\d+\s*min""), ""Unclassified"", IF(I7628 = """", ""NR"", I7628))"),"TV-MA")</f>
        <v>TV-MA</v>
      </c>
      <c r="R7628" s="5" t="str">
        <f t="shared" si="2"/>
        <v>Numero Zero. The Roots Of Italian Rap</v>
      </c>
      <c r="S7628" s="5" t="str">
        <f>IFERROR(__xludf.DUMMYFUNCTION("""COMPUTED_VALUE"""),"The Polka King")</f>
        <v>The Polka King</v>
      </c>
      <c r="V7628" s="5"/>
      <c r="Y7628" s="5" t="str">
        <f>IFERROR(__xludf.DUMMYFUNCTION("REGEXEXTRACT(J7628, ""^\d+"")"),"91")</f>
        <v>91</v>
      </c>
      <c r="Z7628" s="5" t="str">
        <f>IFERROR(__xludf.DUMMYFUNCTION("REGEXEXTRACT(J7628, ""[A-Za-z ]+$"")")," min")</f>
        <v> min</v>
      </c>
      <c r="AA7628" s="5" t="str">
        <f>IFERROR(__xludf.DUMMYFUNCTION("IF(REGEXMATCH(Z7628, ""Season""), ""TV Show"", ""Movie"")"),"Movie")</f>
        <v>Movie</v>
      </c>
    </row>
    <row r="7629">
      <c r="A7629" s="1" t="s">
        <v>37055</v>
      </c>
      <c r="B7629" s="1" t="s">
        <v>37</v>
      </c>
      <c r="C7629" s="1" t="s">
        <v>37056</v>
      </c>
      <c r="E7629" s="1" t="s">
        <v>37057</v>
      </c>
      <c r="F7629" s="1" t="s">
        <v>415</v>
      </c>
      <c r="G7629" s="1" t="s">
        <v>29051</v>
      </c>
      <c r="H7629" s="1">
        <v>2011.0</v>
      </c>
      <c r="I7629" s="1" t="s">
        <v>42</v>
      </c>
      <c r="J7629" s="1" t="s">
        <v>51</v>
      </c>
      <c r="K7629" s="1" t="s">
        <v>18967</v>
      </c>
      <c r="L7629" s="1" t="s">
        <v>37058</v>
      </c>
      <c r="M7629" s="2" t="s">
        <v>12</v>
      </c>
      <c r="N7629" s="4">
        <f t="shared" si="1"/>
        <v>42705</v>
      </c>
      <c r="O7629" s="5" t="str">
        <f>IFERROR(__xludf.DUMMYFUNCTION("IF(REGEXMATCH(TRIM(I7629), ""^\d+\s*min""), ""Unclassified"", IF(I7629 = """", ""NR"", I7629))"),"TV-MA")</f>
        <v>TV-MA</v>
      </c>
      <c r="R7629" s="5" t="str">
        <f t="shared" si="2"/>
        <v>Nura: Rise Of The Yokai Clan: Demon Capital</v>
      </c>
      <c r="S7629" s="5" t="str">
        <f>IFERROR(__xludf.DUMMYFUNCTION("""COMPUTED_VALUE"""),"The Power Of Grayskull: The Definitive History Of He-Man And The Masters Of The Universe")</f>
        <v>The Power Of Grayskull: The Definitive History Of He-Man And The Masters Of The Universe</v>
      </c>
      <c r="V7629" s="5"/>
      <c r="Y7629" s="5" t="str">
        <f>IFERROR(__xludf.DUMMYFUNCTION("REGEXEXTRACT(J7629, ""^\d+"")"),"1")</f>
        <v>1</v>
      </c>
      <c r="Z7629" s="5" t="str">
        <f>IFERROR(__xludf.DUMMYFUNCTION("REGEXEXTRACT(J7629, ""[A-Za-z ]+$"")")," Season")</f>
        <v> Season</v>
      </c>
      <c r="AA7629" s="5" t="str">
        <f>IFERROR(__xludf.DUMMYFUNCTION("IF(REGEXMATCH(Z7629, ""Season""), ""TV Show"", ""Movie"")"),"TV Show")</f>
        <v>TV Show</v>
      </c>
    </row>
    <row r="7630">
      <c r="A7630" s="1" t="s">
        <v>37059</v>
      </c>
      <c r="B7630" s="1" t="s">
        <v>37</v>
      </c>
      <c r="C7630" s="1" t="s">
        <v>37060</v>
      </c>
      <c r="E7630" s="1" t="s">
        <v>37061</v>
      </c>
      <c r="F7630" s="1" t="s">
        <v>30</v>
      </c>
      <c r="G7630" s="1" t="s">
        <v>37062</v>
      </c>
      <c r="H7630" s="1">
        <v>2015.0</v>
      </c>
      <c r="I7630" s="1" t="s">
        <v>42</v>
      </c>
      <c r="J7630" s="1" t="s">
        <v>1809</v>
      </c>
      <c r="K7630" s="1" t="s">
        <v>149</v>
      </c>
      <c r="L7630" s="1" t="s">
        <v>37063</v>
      </c>
      <c r="M7630" s="2" t="s">
        <v>12</v>
      </c>
      <c r="N7630" s="1" t="str">
        <f t="shared" si="1"/>
        <v>#N/A</v>
      </c>
      <c r="O7630" s="5" t="str">
        <f>IFERROR(__xludf.DUMMYFUNCTION("IF(REGEXMATCH(TRIM(I7630), ""^\d+\s*min""), ""Unclassified"", IF(I7630 = """", ""NR"", I7630))"),"TV-MA")</f>
        <v>TV-MA</v>
      </c>
      <c r="R7630" s="5" t="str">
        <f t="shared" si="2"/>
        <v>Nurse Jackie</v>
      </c>
      <c r="S7630" s="5" t="str">
        <f>IFERROR(__xludf.DUMMYFUNCTION("""COMPUTED_VALUE"""),"The Present")</f>
        <v>The Present</v>
      </c>
      <c r="V7630" s="5"/>
      <c r="Y7630" s="5" t="str">
        <f>IFERROR(__xludf.DUMMYFUNCTION("REGEXEXTRACT(J7630, ""^\d+"")"),"7")</f>
        <v>7</v>
      </c>
      <c r="Z7630" s="5" t="str">
        <f>IFERROR(__xludf.DUMMYFUNCTION("REGEXEXTRACT(J7630, ""[A-Za-z ]+$"")")," Seasons")</f>
        <v> Seasons</v>
      </c>
      <c r="AA7630" s="5" t="str">
        <f>IFERROR(__xludf.DUMMYFUNCTION("IF(REGEXMATCH(Z7630, ""Season""), ""TV Show"", ""Movie"")"),"TV Show")</f>
        <v>TV Show</v>
      </c>
    </row>
    <row r="7631">
      <c r="A7631" s="1" t="s">
        <v>37064</v>
      </c>
      <c r="B7631" s="1" t="s">
        <v>37</v>
      </c>
      <c r="C7631" s="1" t="s">
        <v>37065</v>
      </c>
      <c r="F7631" s="1" t="s">
        <v>96</v>
      </c>
      <c r="G7631" s="1" t="s">
        <v>27569</v>
      </c>
      <c r="H7631" s="1">
        <v>2016.0</v>
      </c>
      <c r="I7631" s="1" t="s">
        <v>97</v>
      </c>
      <c r="J7631" s="1" t="s">
        <v>51</v>
      </c>
      <c r="K7631" s="1" t="s">
        <v>142</v>
      </c>
      <c r="L7631" s="1" t="s">
        <v>37066</v>
      </c>
      <c r="M7631" s="2" t="s">
        <v>12</v>
      </c>
      <c r="N7631" s="4">
        <f t="shared" si="1"/>
        <v>42948</v>
      </c>
      <c r="O7631" s="5" t="str">
        <f>IFERROR(__xludf.DUMMYFUNCTION("IF(REGEXMATCH(TRIM(I7631), ""^\d+\s*min""), ""Unclassified"", IF(I7631 = """", ""NR"", I7631))"),"TV-14")</f>
        <v>TV-14</v>
      </c>
      <c r="R7631" s="5" t="str">
        <f t="shared" si="2"/>
        <v>Nurses Who Kill</v>
      </c>
      <c r="S7631" s="5" t="str">
        <f>IFERROR(__xludf.DUMMYFUNCTION("""COMPUTED_VALUE"""),"The President'S Barber")</f>
        <v>The President'S Barber</v>
      </c>
      <c r="V7631" s="5"/>
      <c r="Y7631" s="5" t="str">
        <f>IFERROR(__xludf.DUMMYFUNCTION("REGEXEXTRACT(J7631, ""^\d+"")"),"1")</f>
        <v>1</v>
      </c>
      <c r="Z7631" s="5" t="str">
        <f>IFERROR(__xludf.DUMMYFUNCTION("REGEXEXTRACT(J7631, ""[A-Za-z ]+$"")")," Season")</f>
        <v> Season</v>
      </c>
      <c r="AA7631" s="5" t="str">
        <f>IFERROR(__xludf.DUMMYFUNCTION("IF(REGEXMATCH(Z7631, ""Season""), ""TV Show"", ""Movie"")"),"TV Show")</f>
        <v>TV Show</v>
      </c>
    </row>
    <row r="7632">
      <c r="A7632" s="1" t="s">
        <v>37067</v>
      </c>
      <c r="B7632" s="1" t="s">
        <v>27</v>
      </c>
      <c r="C7632" s="1" t="s">
        <v>37068</v>
      </c>
      <c r="D7632" s="1" t="s">
        <v>37069</v>
      </c>
      <c r="E7632" s="1" t="s">
        <v>37070</v>
      </c>
      <c r="F7632" s="1" t="s">
        <v>37071</v>
      </c>
      <c r="G7632" s="1" t="s">
        <v>26481</v>
      </c>
      <c r="H7632" s="1">
        <v>2013.0</v>
      </c>
      <c r="I7632" s="1" t="s">
        <v>30231</v>
      </c>
      <c r="J7632" s="1" t="s">
        <v>743</v>
      </c>
      <c r="K7632" s="1" t="s">
        <v>89</v>
      </c>
      <c r="L7632" s="1" t="s">
        <v>37072</v>
      </c>
      <c r="M7632" s="2" t="s">
        <v>12</v>
      </c>
      <c r="N7632" s="4">
        <f t="shared" si="1"/>
        <v>43101</v>
      </c>
      <c r="O7632" s="5" t="str">
        <f>IFERROR(__xludf.DUMMYFUNCTION("IF(REGEXMATCH(TRIM(I7632), ""^\d+\s*min""), ""Unclassified"", IF(I7632 = """", ""NR"", I7632))"),"NR")</f>
        <v>NR</v>
      </c>
      <c r="R7632" s="5" t="str">
        <f t="shared" si="2"/>
        <v>Nymphomaniac: Volume 1</v>
      </c>
      <c r="S7632" s="5" t="str">
        <f>IFERROR(__xludf.DUMMYFUNCTION("""COMPUTED_VALUE"""),"The Price Of Success")</f>
        <v>The Price Of Success</v>
      </c>
      <c r="V7632" s="5"/>
      <c r="Y7632" s="5" t="str">
        <f>IFERROR(__xludf.DUMMYFUNCTION("REGEXEXTRACT(J7632, ""^\d+"")"),"117")</f>
        <v>117</v>
      </c>
      <c r="Z7632" s="5" t="str">
        <f>IFERROR(__xludf.DUMMYFUNCTION("REGEXEXTRACT(J7632, ""[A-Za-z ]+$"")")," min")</f>
        <v> min</v>
      </c>
      <c r="AA7632" s="5" t="str">
        <f>IFERROR(__xludf.DUMMYFUNCTION("IF(REGEXMATCH(Z7632, ""Season""), ""TV Show"", ""Movie"")"),"Movie")</f>
        <v>Movie</v>
      </c>
    </row>
    <row r="7633">
      <c r="A7633" s="1" t="s">
        <v>37073</v>
      </c>
      <c r="B7633" s="1" t="s">
        <v>27</v>
      </c>
      <c r="C7633" s="1" t="s">
        <v>37074</v>
      </c>
      <c r="D7633" s="1" t="s">
        <v>37069</v>
      </c>
      <c r="E7633" s="1" t="s">
        <v>37075</v>
      </c>
      <c r="F7633" s="1" t="s">
        <v>37076</v>
      </c>
      <c r="G7633" s="1" t="s">
        <v>24730</v>
      </c>
      <c r="H7633" s="1">
        <v>2013.0</v>
      </c>
      <c r="I7633" s="1" t="s">
        <v>42</v>
      </c>
      <c r="J7633" s="1" t="s">
        <v>341</v>
      </c>
      <c r="K7633" s="1" t="s">
        <v>89</v>
      </c>
      <c r="L7633" s="1" t="s">
        <v>37077</v>
      </c>
      <c r="M7633" s="2" t="s">
        <v>12</v>
      </c>
      <c r="N7633" s="4">
        <f t="shared" si="1"/>
        <v>43337</v>
      </c>
      <c r="O7633" s="5" t="str">
        <f>IFERROR(__xludf.DUMMYFUNCTION("IF(REGEXMATCH(TRIM(I7633), ""^\d+\s*min""), ""Unclassified"", IF(I7633 = """", ""NR"", I7633))"),"TV-MA")</f>
        <v>TV-MA</v>
      </c>
      <c r="R7633" s="5" t="str">
        <f t="shared" si="2"/>
        <v>Nymphomaniac: Volume Ii</v>
      </c>
      <c r="S7633" s="5" t="str">
        <f>IFERROR(__xludf.DUMMYFUNCTION("""COMPUTED_VALUE"""),"The Prince")</f>
        <v>The Prince</v>
      </c>
      <c r="V7633" s="5"/>
      <c r="Y7633" s="5" t="str">
        <f>IFERROR(__xludf.DUMMYFUNCTION("REGEXEXTRACT(J7633, ""^\d+"")"),"124")</f>
        <v>124</v>
      </c>
      <c r="Z7633" s="5" t="str">
        <f>IFERROR(__xludf.DUMMYFUNCTION("REGEXEXTRACT(J7633, ""[A-Za-z ]+$"")")," min")</f>
        <v> min</v>
      </c>
      <c r="AA7633" s="5" t="str">
        <f>IFERROR(__xludf.DUMMYFUNCTION("IF(REGEXMATCH(Z7633, ""Season""), ""TV Show"", ""Movie"")"),"Movie")</f>
        <v>Movie</v>
      </c>
    </row>
    <row r="7634">
      <c r="A7634" s="1" t="s">
        <v>37078</v>
      </c>
      <c r="B7634" s="1" t="s">
        <v>37</v>
      </c>
      <c r="C7634" s="1" t="s">
        <v>37079</v>
      </c>
      <c r="E7634" s="1" t="s">
        <v>37080</v>
      </c>
      <c r="G7634" s="1" t="s">
        <v>25753</v>
      </c>
      <c r="H7634" s="1">
        <v>2016.0</v>
      </c>
      <c r="I7634" s="1" t="s">
        <v>42</v>
      </c>
      <c r="J7634" s="1" t="s">
        <v>51</v>
      </c>
      <c r="K7634" s="1" t="s">
        <v>1907</v>
      </c>
      <c r="L7634" s="1" t="s">
        <v>37081</v>
      </c>
      <c r="M7634" s="2" t="s">
        <v>12</v>
      </c>
      <c r="N7634" s="4">
        <f t="shared" si="1"/>
        <v>43203</v>
      </c>
      <c r="O7634" s="5" t="str">
        <f>IFERROR(__xludf.DUMMYFUNCTION("IF(REGEXMATCH(TRIM(I7634), ""^\d+\s*min""), ""Unclassified"", IF(I7634 = """", ""NR"", I7634))"),"TV-MA")</f>
        <v>TV-MA</v>
      </c>
      <c r="R7634" s="5" t="str">
        <f t="shared" si="2"/>
        <v>O-Negative, Love Can’T Be Designed</v>
      </c>
      <c r="S7634" s="5" t="str">
        <f>IFERROR(__xludf.DUMMYFUNCTION("""COMPUTED_VALUE"""),"The Prince &amp; Me")</f>
        <v>The Prince &amp; Me</v>
      </c>
      <c r="V7634" s="5"/>
      <c r="Y7634" s="5" t="str">
        <f>IFERROR(__xludf.DUMMYFUNCTION("REGEXEXTRACT(J7634, ""^\d+"")"),"1")</f>
        <v>1</v>
      </c>
      <c r="Z7634" s="5" t="str">
        <f>IFERROR(__xludf.DUMMYFUNCTION("REGEXEXTRACT(J7634, ""[A-Za-z ]+$"")")," Season")</f>
        <v> Season</v>
      </c>
      <c r="AA7634" s="5" t="str">
        <f>IFERROR(__xludf.DUMMYFUNCTION("IF(REGEXMATCH(Z7634, ""Season""), ""TV Show"", ""Movie"")"),"TV Show")</f>
        <v>TV Show</v>
      </c>
    </row>
    <row r="7635">
      <c r="A7635" s="1" t="s">
        <v>37082</v>
      </c>
      <c r="B7635" s="1" t="s">
        <v>27</v>
      </c>
      <c r="C7635" s="1" t="s">
        <v>37083</v>
      </c>
      <c r="D7635" s="1" t="s">
        <v>15129</v>
      </c>
      <c r="E7635" s="1" t="s">
        <v>37084</v>
      </c>
      <c r="F7635" s="1" t="s">
        <v>96</v>
      </c>
      <c r="G7635" s="1" t="s">
        <v>22783</v>
      </c>
      <c r="H7635" s="1">
        <v>2016.0</v>
      </c>
      <c r="I7635" s="1" t="s">
        <v>378</v>
      </c>
      <c r="J7635" s="1" t="s">
        <v>393</v>
      </c>
      <c r="K7635" s="1" t="s">
        <v>2892</v>
      </c>
      <c r="L7635" s="1" t="s">
        <v>37085</v>
      </c>
      <c r="M7635" s="2" t="s">
        <v>12</v>
      </c>
      <c r="N7635" s="4">
        <f t="shared" si="1"/>
        <v>43462</v>
      </c>
      <c r="O7635" s="5" t="str">
        <f>IFERROR(__xludf.DUMMYFUNCTION("IF(REGEXMATCH(TRIM(I7635), ""^\d+\s*min""), ""Unclassified"", IF(I7635 = """", ""NR"", I7635))"),"R")</f>
        <v>R</v>
      </c>
      <c r="R7635" s="5" t="str">
        <f t="shared" si="2"/>
        <v>Oasis: Supersonic</v>
      </c>
      <c r="S7635" s="5" t="str">
        <f>IFERROR(__xludf.DUMMYFUNCTION("""COMPUTED_VALUE"""),"The Prince Of Tennis ~ Match! Tennis Juniors ~")</f>
        <v>The Prince Of Tennis ~ Match! Tennis Juniors ~</v>
      </c>
      <c r="V7635" s="5"/>
      <c r="Y7635" s="5" t="str">
        <f>IFERROR(__xludf.DUMMYFUNCTION("REGEXEXTRACT(J7635, ""^\d+"")"),"122")</f>
        <v>122</v>
      </c>
      <c r="Z7635" s="5" t="str">
        <f>IFERROR(__xludf.DUMMYFUNCTION("REGEXEXTRACT(J7635, ""[A-Za-z ]+$"")")," min")</f>
        <v> min</v>
      </c>
      <c r="AA7635" s="5" t="str">
        <f>IFERROR(__xludf.DUMMYFUNCTION("IF(REGEXMATCH(Z7635, ""Season""), ""TV Show"", ""Movie"")"),"Movie")</f>
        <v>Movie</v>
      </c>
    </row>
    <row r="7636">
      <c r="A7636" s="1" t="s">
        <v>37086</v>
      </c>
      <c r="B7636" s="1" t="s">
        <v>27</v>
      </c>
      <c r="C7636" s="1" t="s">
        <v>37087</v>
      </c>
      <c r="D7636" s="1" t="s">
        <v>8482</v>
      </c>
      <c r="E7636" s="1" t="s">
        <v>37088</v>
      </c>
      <c r="F7636" s="1" t="s">
        <v>30</v>
      </c>
      <c r="G7636" s="1" t="s">
        <v>25080</v>
      </c>
      <c r="H7636" s="1">
        <v>2014.0</v>
      </c>
      <c r="I7636" s="1" t="s">
        <v>378</v>
      </c>
      <c r="J7636" s="1" t="s">
        <v>1608</v>
      </c>
      <c r="K7636" s="1" t="s">
        <v>836</v>
      </c>
      <c r="L7636" s="1" t="s">
        <v>37089</v>
      </c>
      <c r="M7636" s="2" t="s">
        <v>12</v>
      </c>
      <c r="N7636" s="4">
        <f t="shared" si="1"/>
        <v>43300</v>
      </c>
      <c r="O7636" s="5" t="str">
        <f>IFERROR(__xludf.DUMMYFUNCTION("IF(REGEXMATCH(TRIM(I7636), ""^\d+\s*min""), ""Unclassified"", IF(I7636 = """", ""NR"", I7636))"),"R")</f>
        <v>R</v>
      </c>
      <c r="R7636" s="5" t="str">
        <f t="shared" si="2"/>
        <v>Obvious Child</v>
      </c>
      <c r="S7636" s="5" t="str">
        <f>IFERROR(__xludf.DUMMYFUNCTION("""COMPUTED_VALUE"""),"The Prince Who Turns Into A Frog")</f>
        <v>The Prince Who Turns Into A Frog</v>
      </c>
      <c r="V7636" s="5"/>
      <c r="Y7636" s="5" t="str">
        <f>IFERROR(__xludf.DUMMYFUNCTION("REGEXEXTRACT(J7636, ""^\d+"")"),"84")</f>
        <v>84</v>
      </c>
      <c r="Z7636" s="5" t="str">
        <f>IFERROR(__xludf.DUMMYFUNCTION("REGEXEXTRACT(J7636, ""[A-Za-z ]+$"")")," min")</f>
        <v> min</v>
      </c>
      <c r="AA7636" s="5" t="str">
        <f>IFERROR(__xludf.DUMMYFUNCTION("IF(REGEXMATCH(Z7636, ""Season""), ""TV Show"", ""Movie"")"),"Movie")</f>
        <v>Movie</v>
      </c>
    </row>
    <row r="7637">
      <c r="A7637" s="1" t="s">
        <v>37090</v>
      </c>
      <c r="B7637" s="1" t="s">
        <v>27</v>
      </c>
      <c r="C7637" s="1" t="s">
        <v>37091</v>
      </c>
      <c r="D7637" s="1" t="s">
        <v>9906</v>
      </c>
      <c r="E7637" s="1" t="s">
        <v>37092</v>
      </c>
      <c r="F7637" s="1" t="s">
        <v>37093</v>
      </c>
      <c r="G7637" s="1" t="s">
        <v>19215</v>
      </c>
      <c r="H7637" s="1">
        <v>2009.0</v>
      </c>
      <c r="I7637" s="1" t="s">
        <v>770</v>
      </c>
      <c r="J7637" s="1" t="s">
        <v>1608</v>
      </c>
      <c r="K7637" s="1" t="s">
        <v>156</v>
      </c>
      <c r="L7637" s="1" t="s">
        <v>37094</v>
      </c>
      <c r="M7637" s="2" t="s">
        <v>12</v>
      </c>
      <c r="N7637" s="4">
        <f t="shared" si="1"/>
        <v>43727</v>
      </c>
      <c r="O7637" s="5" t="str">
        <f>IFERROR(__xludf.DUMMYFUNCTION("IF(REGEXMATCH(TRIM(I7637), ""^\d+\s*min""), ""Unclassified"", IF(I7637 = """", ""NR"", I7637))"),"G")</f>
        <v>G</v>
      </c>
      <c r="R7637" s="5" t="str">
        <f t="shared" si="2"/>
        <v>Océans</v>
      </c>
      <c r="S7637" s="5" t="str">
        <f>IFERROR(__xludf.DUMMYFUNCTION("""COMPUTED_VALUE"""),"The Princess And The Frog")</f>
        <v>The Princess And The Frog</v>
      </c>
      <c r="V7637" s="5"/>
      <c r="Y7637" s="5" t="str">
        <f>IFERROR(__xludf.DUMMYFUNCTION("REGEXEXTRACT(J7637, ""^\d+"")"),"84")</f>
        <v>84</v>
      </c>
      <c r="Z7637" s="5" t="str">
        <f>IFERROR(__xludf.DUMMYFUNCTION("REGEXEXTRACT(J7637, ""[A-Za-z ]+$"")")," min")</f>
        <v> min</v>
      </c>
      <c r="AA7637" s="5" t="str">
        <f>IFERROR(__xludf.DUMMYFUNCTION("IF(REGEXMATCH(Z7637, ""Season""), ""TV Show"", ""Movie"")"),"Movie")</f>
        <v>Movie</v>
      </c>
    </row>
    <row r="7638">
      <c r="A7638" s="1" t="s">
        <v>37095</v>
      </c>
      <c r="B7638" s="1" t="s">
        <v>27</v>
      </c>
      <c r="C7638" s="1" t="s">
        <v>37096</v>
      </c>
      <c r="D7638" s="1" t="s">
        <v>14143</v>
      </c>
      <c r="E7638" s="1" t="s">
        <v>37097</v>
      </c>
      <c r="F7638" s="1" t="s">
        <v>221</v>
      </c>
      <c r="G7638" s="1" t="s">
        <v>37098</v>
      </c>
      <c r="H7638" s="1">
        <v>2018.0</v>
      </c>
      <c r="I7638" s="1" t="s">
        <v>378</v>
      </c>
      <c r="J7638" s="1" t="s">
        <v>985</v>
      </c>
      <c r="K7638" s="1" t="s">
        <v>942</v>
      </c>
      <c r="L7638" s="1" t="s">
        <v>37099</v>
      </c>
      <c r="M7638" s="2" t="s">
        <v>12</v>
      </c>
      <c r="N7638" s="4">
        <f t="shared" si="1"/>
        <v>43468</v>
      </c>
      <c r="O7638" s="5" t="str">
        <f>IFERROR(__xludf.DUMMYFUNCTION("IF(REGEXMATCH(TRIM(I7638), ""^\d+\s*min""), ""Unclassified"", IF(I7638 = """", ""NR"", I7638))"),"R")</f>
        <v>R</v>
      </c>
      <c r="R7638" s="5" t="str">
        <f t="shared" si="2"/>
        <v>Occupation</v>
      </c>
      <c r="S7638" s="5" t="str">
        <f>IFERROR(__xludf.DUMMYFUNCTION("""COMPUTED_VALUE"""),"The Princess Switch")</f>
        <v>The Princess Switch</v>
      </c>
      <c r="V7638" s="5"/>
      <c r="Y7638" s="5" t="str">
        <f>IFERROR(__xludf.DUMMYFUNCTION("REGEXEXTRACT(J7638, ""^\d+"")"),"120")</f>
        <v>120</v>
      </c>
      <c r="Z7638" s="5" t="str">
        <f>IFERROR(__xludf.DUMMYFUNCTION("REGEXEXTRACT(J7638, ""[A-Za-z ]+$"")")," min")</f>
        <v> min</v>
      </c>
      <c r="AA7638" s="5" t="str">
        <f>IFERROR(__xludf.DUMMYFUNCTION("IF(REGEXMATCH(Z7638, ""Season""), ""TV Show"", ""Movie"")"),"Movie")</f>
        <v>Movie</v>
      </c>
    </row>
    <row r="7639">
      <c r="A7639" s="1" t="s">
        <v>37100</v>
      </c>
      <c r="B7639" s="1" t="s">
        <v>27</v>
      </c>
      <c r="C7639" s="1" t="s">
        <v>37101</v>
      </c>
      <c r="D7639" s="1" t="s">
        <v>13729</v>
      </c>
      <c r="E7639" s="1" t="s">
        <v>37102</v>
      </c>
      <c r="F7639" s="1" t="s">
        <v>30</v>
      </c>
      <c r="G7639" s="1" t="s">
        <v>18333</v>
      </c>
      <c r="H7639" s="1">
        <v>1960.0</v>
      </c>
      <c r="I7639" s="1" t="s">
        <v>136</v>
      </c>
      <c r="J7639" s="1" t="s">
        <v>127</v>
      </c>
      <c r="K7639" s="1" t="s">
        <v>3604</v>
      </c>
      <c r="L7639" s="1" t="s">
        <v>37103</v>
      </c>
      <c r="M7639" s="2" t="s">
        <v>12</v>
      </c>
      <c r="N7639" s="4">
        <f t="shared" si="1"/>
        <v>43770</v>
      </c>
      <c r="O7639" s="5" t="str">
        <f>IFERROR(__xludf.DUMMYFUNCTION("IF(REGEXMATCH(TRIM(I7639), ""^\d+\s*min""), ""Unclassified"", IF(I7639 = """", ""NR"", I7639))"),"TV-PG")</f>
        <v>TV-PG</v>
      </c>
      <c r="R7639" s="5" t="str">
        <f t="shared" si="2"/>
        <v>Ocean'S Eleven</v>
      </c>
      <c r="S7639" s="5" t="str">
        <f>IFERROR(__xludf.DUMMYFUNCTION("""COMPUTED_VALUE"""),"The Princess Switch: Switched Again")</f>
        <v>The Princess Switch: Switched Again</v>
      </c>
      <c r="V7639" s="5"/>
      <c r="Y7639" s="5" t="str">
        <f>IFERROR(__xludf.DUMMYFUNCTION("REGEXEXTRACT(J7639, ""^\d+"")"),"127")</f>
        <v>127</v>
      </c>
      <c r="Z7639" s="5" t="str">
        <f>IFERROR(__xludf.DUMMYFUNCTION("REGEXEXTRACT(J7639, ""[A-Za-z ]+$"")")," min")</f>
        <v> min</v>
      </c>
      <c r="AA7639" s="5" t="str">
        <f>IFERROR(__xludf.DUMMYFUNCTION("IF(REGEXMATCH(Z7639, ""Season""), ""TV Show"", ""Movie"")"),"Movie")</f>
        <v>Movie</v>
      </c>
    </row>
    <row r="7640">
      <c r="A7640" s="1" t="s">
        <v>37104</v>
      </c>
      <c r="B7640" s="1" t="s">
        <v>27</v>
      </c>
      <c r="C7640" s="1" t="s">
        <v>37105</v>
      </c>
      <c r="D7640" s="1" t="s">
        <v>18728</v>
      </c>
      <c r="E7640" s="1" t="s">
        <v>37106</v>
      </c>
      <c r="F7640" s="1" t="s">
        <v>30</v>
      </c>
      <c r="G7640" s="1" t="s">
        <v>18985</v>
      </c>
      <c r="H7640" s="1">
        <v>2007.0</v>
      </c>
      <c r="I7640" s="1" t="s">
        <v>32</v>
      </c>
      <c r="J7640" s="1" t="s">
        <v>393</v>
      </c>
      <c r="K7640" s="1" t="s">
        <v>973</v>
      </c>
      <c r="L7640" s="1" t="s">
        <v>37107</v>
      </c>
      <c r="M7640" s="2" t="s">
        <v>12</v>
      </c>
      <c r="N7640" s="4">
        <f t="shared" si="1"/>
        <v>43739</v>
      </c>
      <c r="O7640" s="5" t="str">
        <f>IFERROR(__xludf.DUMMYFUNCTION("IF(REGEXMATCH(TRIM(I7640), ""^\d+\s*min""), ""Unclassified"", IF(I7640 = """", ""NR"", I7640))"),"PG-13")</f>
        <v>PG-13</v>
      </c>
      <c r="R7640" s="5" t="str">
        <f t="shared" si="2"/>
        <v>Ocean'S Thirteen</v>
      </c>
      <c r="S7640" s="5" t="str">
        <f>IFERROR(__xludf.DUMMYFUNCTION("""COMPUTED_VALUE"""),"The Princess Weiyoung")</f>
        <v>The Princess Weiyoung</v>
      </c>
      <c r="V7640" s="5"/>
      <c r="Y7640" s="5" t="str">
        <f>IFERROR(__xludf.DUMMYFUNCTION("REGEXEXTRACT(J7640, ""^\d+"")"),"122")</f>
        <v>122</v>
      </c>
      <c r="Z7640" s="5" t="str">
        <f>IFERROR(__xludf.DUMMYFUNCTION("REGEXEXTRACT(J7640, ""[A-Za-z ]+$"")")," min")</f>
        <v> min</v>
      </c>
      <c r="AA7640" s="5" t="str">
        <f>IFERROR(__xludf.DUMMYFUNCTION("IF(REGEXMATCH(Z7640, ""Season""), ""TV Show"", ""Movie"")"),"Movie")</f>
        <v>Movie</v>
      </c>
    </row>
    <row r="7641">
      <c r="A7641" s="1" t="s">
        <v>37108</v>
      </c>
      <c r="B7641" s="1" t="s">
        <v>27</v>
      </c>
      <c r="C7641" s="1" t="s">
        <v>37109</v>
      </c>
      <c r="D7641" s="1" t="s">
        <v>18728</v>
      </c>
      <c r="E7641" s="1" t="s">
        <v>37110</v>
      </c>
      <c r="F7641" s="1" t="s">
        <v>30</v>
      </c>
      <c r="G7641" s="1" t="s">
        <v>18985</v>
      </c>
      <c r="H7641" s="1">
        <v>2004.0</v>
      </c>
      <c r="I7641" s="1" t="s">
        <v>32</v>
      </c>
      <c r="J7641" s="1" t="s">
        <v>88</v>
      </c>
      <c r="K7641" s="1" t="s">
        <v>973</v>
      </c>
      <c r="L7641" s="1" t="s">
        <v>37111</v>
      </c>
      <c r="M7641" s="2" t="s">
        <v>12</v>
      </c>
      <c r="N7641" s="4">
        <f t="shared" si="1"/>
        <v>43739</v>
      </c>
      <c r="O7641" s="5" t="str">
        <f>IFERROR(__xludf.DUMMYFUNCTION("IF(REGEXMATCH(TRIM(I7641), ""^\d+\s*min""), ""Unclassified"", IF(I7641 = """", ""NR"", I7641))"),"PG-13")</f>
        <v>PG-13</v>
      </c>
      <c r="R7641" s="5" t="str">
        <f t="shared" si="2"/>
        <v>Ocean'S Twelve</v>
      </c>
      <c r="S7641" s="5" t="str">
        <f>IFERROR(__xludf.DUMMYFUNCTION("""COMPUTED_VALUE"""),"The Prison")</f>
        <v>The Prison</v>
      </c>
      <c r="V7641" s="5"/>
      <c r="Y7641" s="5" t="str">
        <f>IFERROR(__xludf.DUMMYFUNCTION("REGEXEXTRACT(J7641, ""^\d+"")"),"125")</f>
        <v>125</v>
      </c>
      <c r="Z7641" s="5" t="str">
        <f>IFERROR(__xludf.DUMMYFUNCTION("REGEXEXTRACT(J7641, ""[A-Za-z ]+$"")")," min")</f>
        <v> min</v>
      </c>
      <c r="AA7641" s="5" t="str">
        <f>IFERROR(__xludf.DUMMYFUNCTION("IF(REGEXMATCH(Z7641, ""Season""), ""TV Show"", ""Movie"")"),"Movie")</f>
        <v>Movie</v>
      </c>
    </row>
    <row r="7642">
      <c r="A7642" s="1" t="s">
        <v>37112</v>
      </c>
      <c r="B7642" s="1" t="s">
        <v>37</v>
      </c>
      <c r="C7642" s="1" t="s">
        <v>37113</v>
      </c>
      <c r="E7642" s="1" t="s">
        <v>37114</v>
      </c>
      <c r="F7642" s="1" t="s">
        <v>1119</v>
      </c>
      <c r="G7642" s="1" t="s">
        <v>26274</v>
      </c>
      <c r="H7642" s="1">
        <v>2017.0</v>
      </c>
      <c r="I7642" s="1" t="s">
        <v>97</v>
      </c>
      <c r="J7642" s="1" t="s">
        <v>51</v>
      </c>
      <c r="K7642" s="1" t="s">
        <v>1362</v>
      </c>
      <c r="L7642" s="1" t="s">
        <v>37115</v>
      </c>
      <c r="M7642" s="2" t="s">
        <v>12</v>
      </c>
      <c r="N7642" s="4">
        <f t="shared" si="1"/>
        <v>43136</v>
      </c>
      <c r="O7642" s="5" t="str">
        <f>IFERROR(__xludf.DUMMYFUNCTION("IF(REGEXMATCH(TRIM(I7642), ""^\d+\s*min""), ""Unclassified"", IF(I7642 = """", ""NR"", I7642))"),"TV-14")</f>
        <v>TV-14</v>
      </c>
      <c r="R7642" s="5" t="str">
        <f t="shared" si="2"/>
        <v>Octb</v>
      </c>
      <c r="S7642" s="5" t="str">
        <f>IFERROR(__xludf.DUMMYFUNCTION("""COMPUTED_VALUE"""),"The Professor And The Madman")</f>
        <v>The Professor And The Madman</v>
      </c>
      <c r="V7642" s="5"/>
      <c r="Y7642" s="5" t="str">
        <f>IFERROR(__xludf.DUMMYFUNCTION("REGEXEXTRACT(J7642, ""^\d+"")"),"1")</f>
        <v>1</v>
      </c>
      <c r="Z7642" s="5" t="str">
        <f>IFERROR(__xludf.DUMMYFUNCTION("REGEXEXTRACT(J7642, ""[A-Za-z ]+$"")")," Season")</f>
        <v> Season</v>
      </c>
      <c r="AA7642" s="5" t="str">
        <f>IFERROR(__xludf.DUMMYFUNCTION("IF(REGEXMATCH(Z7642, ""Season""), ""TV Show"", ""Movie"")"),"TV Show")</f>
        <v>TV Show</v>
      </c>
    </row>
    <row r="7643">
      <c r="A7643" s="1" t="s">
        <v>37116</v>
      </c>
      <c r="B7643" s="1" t="s">
        <v>27</v>
      </c>
      <c r="C7643" s="1" t="s">
        <v>37117</v>
      </c>
      <c r="D7643" s="1" t="s">
        <v>16478</v>
      </c>
      <c r="E7643" s="1" t="s">
        <v>37118</v>
      </c>
      <c r="F7643" s="1" t="s">
        <v>784</v>
      </c>
      <c r="G7643" s="1" t="s">
        <v>29495</v>
      </c>
      <c r="H7643" s="1">
        <v>2015.0</v>
      </c>
      <c r="I7643" s="1" t="s">
        <v>42</v>
      </c>
      <c r="J7643" s="1" t="s">
        <v>1256</v>
      </c>
      <c r="K7643" s="1" t="s">
        <v>199</v>
      </c>
      <c r="L7643" s="1" t="s">
        <v>37119</v>
      </c>
      <c r="M7643" s="2" t="s">
        <v>12</v>
      </c>
      <c r="N7643" s="4">
        <f t="shared" si="1"/>
        <v>42614</v>
      </c>
      <c r="O7643" s="5" t="str">
        <f>IFERROR(__xludf.DUMMYFUNCTION("IF(REGEXMATCH(TRIM(I7643), ""^\d+\s*min""), ""Unclassified"", IF(I7643 = """", ""NR"", I7643))"),"TV-MA")</f>
        <v>TV-MA</v>
      </c>
      <c r="R7643" s="5" t="str">
        <f t="shared" si="2"/>
        <v>Off Course</v>
      </c>
      <c r="S7643" s="5" t="str">
        <f>IFERROR(__xludf.DUMMYFUNCTION("""COMPUTED_VALUE"""),"The Prom")</f>
        <v>The Prom</v>
      </c>
      <c r="V7643" s="5"/>
      <c r="Y7643" s="5" t="str">
        <f>IFERROR(__xludf.DUMMYFUNCTION("REGEXEXTRACT(J7643, ""^\d+"")"),"107")</f>
        <v>107</v>
      </c>
      <c r="Z7643" s="5" t="str">
        <f>IFERROR(__xludf.DUMMYFUNCTION("REGEXEXTRACT(J7643, ""[A-Za-z ]+$"")")," min")</f>
        <v> min</v>
      </c>
      <c r="AA7643" s="5" t="str">
        <f>IFERROR(__xludf.DUMMYFUNCTION("IF(REGEXMATCH(Z7643, ""Season""), ""TV Show"", ""Movie"")"),"Movie")</f>
        <v>Movie</v>
      </c>
    </row>
    <row r="7644">
      <c r="A7644" s="1" t="s">
        <v>37120</v>
      </c>
      <c r="B7644" s="1" t="s">
        <v>27</v>
      </c>
      <c r="C7644" s="1" t="s">
        <v>37121</v>
      </c>
      <c r="D7644" s="1" t="s">
        <v>20990</v>
      </c>
      <c r="E7644" s="1" t="s">
        <v>37122</v>
      </c>
      <c r="F7644" s="1" t="s">
        <v>30</v>
      </c>
      <c r="G7644" s="1" t="s">
        <v>31218</v>
      </c>
      <c r="H7644" s="1">
        <v>2016.0</v>
      </c>
      <c r="I7644" s="1" t="s">
        <v>378</v>
      </c>
      <c r="J7644" s="1" t="s">
        <v>79</v>
      </c>
      <c r="K7644" s="1" t="s">
        <v>380</v>
      </c>
      <c r="L7644" s="1" t="s">
        <v>37123</v>
      </c>
      <c r="M7644" s="2" t="s">
        <v>12</v>
      </c>
      <c r="N7644" s="4">
        <f t="shared" si="1"/>
        <v>42824</v>
      </c>
      <c r="O7644" s="5" t="str">
        <f>IFERROR(__xludf.DUMMYFUNCTION("IF(REGEXMATCH(TRIM(I7644), ""^\d+\s*min""), ""Unclassified"", IF(I7644 = """", ""NR"", I7644))"),"R")</f>
        <v>R</v>
      </c>
      <c r="R7644" s="5" t="str">
        <f t="shared" si="2"/>
        <v>Officer Downe</v>
      </c>
      <c r="S7644" s="5" t="str">
        <f>IFERROR(__xludf.DUMMYFUNCTION("""COMPUTED_VALUE"""),"The Promise")</f>
        <v>The Promise</v>
      </c>
      <c r="V7644" s="5"/>
      <c r="Y7644" s="5" t="str">
        <f>IFERROR(__xludf.DUMMYFUNCTION("REGEXEXTRACT(J7644, ""^\d+"")"),"91")</f>
        <v>91</v>
      </c>
      <c r="Z7644" s="5" t="str">
        <f>IFERROR(__xludf.DUMMYFUNCTION("REGEXEXTRACT(J7644, ""[A-Za-z ]+$"")")," min")</f>
        <v> min</v>
      </c>
      <c r="AA7644" s="5" t="str">
        <f>IFERROR(__xludf.DUMMYFUNCTION("IF(REGEXMATCH(Z7644, ""Season""), ""TV Show"", ""Movie"")"),"Movie")</f>
        <v>Movie</v>
      </c>
    </row>
    <row r="7645">
      <c r="A7645" s="1" t="s">
        <v>37124</v>
      </c>
      <c r="B7645" s="1" t="s">
        <v>27</v>
      </c>
      <c r="C7645" s="1" t="s">
        <v>37125</v>
      </c>
      <c r="D7645" s="1" t="s">
        <v>18298</v>
      </c>
      <c r="E7645" s="1" t="s">
        <v>37126</v>
      </c>
      <c r="F7645" s="1" t="s">
        <v>2796</v>
      </c>
      <c r="G7645" s="1" t="s">
        <v>25035</v>
      </c>
      <c r="H7645" s="1">
        <v>2011.0</v>
      </c>
      <c r="I7645" s="1" t="s">
        <v>42</v>
      </c>
      <c r="J7645" s="1" t="s">
        <v>238</v>
      </c>
      <c r="K7645" s="1" t="s">
        <v>6462</v>
      </c>
      <c r="L7645" s="1" t="s">
        <v>37127</v>
      </c>
      <c r="M7645" s="2" t="s">
        <v>12</v>
      </c>
      <c r="N7645" s="4">
        <f t="shared" si="1"/>
        <v>43306</v>
      </c>
      <c r="O7645" s="5" t="str">
        <f>IFERROR(__xludf.DUMMYFUNCTION("IF(REGEXMATCH(TRIM(I7645), ""^\d+\s*min""), ""Unclassified"", IF(I7645 = """", ""NR"", I7645))"),"TV-MA")</f>
        <v>TV-MA</v>
      </c>
      <c r="R7645" s="5" t="str">
        <f t="shared" si="2"/>
        <v>Oh My Ghost 2</v>
      </c>
      <c r="S7645" s="5" t="str">
        <f>IFERROR(__xludf.DUMMYFUNCTION("""COMPUTED_VALUE"""),"The Promised Neverland")</f>
        <v>The Promised Neverland</v>
      </c>
      <c r="V7645" s="5"/>
      <c r="Y7645" s="5" t="str">
        <f>IFERROR(__xludf.DUMMYFUNCTION("REGEXEXTRACT(J7645, ""^\d+"")"),"103")</f>
        <v>103</v>
      </c>
      <c r="Z7645" s="5" t="str">
        <f>IFERROR(__xludf.DUMMYFUNCTION("REGEXEXTRACT(J7645, ""[A-Za-z ]+$"")")," min")</f>
        <v> min</v>
      </c>
      <c r="AA7645" s="5" t="str">
        <f>IFERROR(__xludf.DUMMYFUNCTION("IF(REGEXMATCH(Z7645, ""Season""), ""TV Show"", ""Movie"")"),"Movie")</f>
        <v>Movie</v>
      </c>
    </row>
    <row r="7646">
      <c r="A7646" s="1" t="s">
        <v>37128</v>
      </c>
      <c r="B7646" s="1" t="s">
        <v>27</v>
      </c>
      <c r="C7646" s="1" t="s">
        <v>37129</v>
      </c>
      <c r="D7646" s="1" t="s">
        <v>18298</v>
      </c>
      <c r="E7646" s="1" t="s">
        <v>37130</v>
      </c>
      <c r="F7646" s="1" t="s">
        <v>2796</v>
      </c>
      <c r="G7646" s="1" t="s">
        <v>24803</v>
      </c>
      <c r="H7646" s="1">
        <v>2012.0</v>
      </c>
      <c r="I7646" s="1" t="s">
        <v>42</v>
      </c>
      <c r="J7646" s="1" t="s">
        <v>238</v>
      </c>
      <c r="K7646" s="1" t="s">
        <v>6462</v>
      </c>
      <c r="L7646" s="1" t="s">
        <v>37131</v>
      </c>
      <c r="M7646" s="2" t="s">
        <v>12</v>
      </c>
      <c r="N7646" s="4">
        <f t="shared" si="1"/>
        <v>43328</v>
      </c>
      <c r="O7646" s="5" t="str">
        <f>IFERROR(__xludf.DUMMYFUNCTION("IF(REGEXMATCH(TRIM(I7646), ""^\d+\s*min""), ""Unclassified"", IF(I7646 = """", ""NR"", I7646))"),"TV-MA")</f>
        <v>TV-MA</v>
      </c>
      <c r="R7646" s="5" t="str">
        <f t="shared" si="2"/>
        <v>Oh My Ghost 3</v>
      </c>
      <c r="S7646" s="5" t="str">
        <f>IFERROR(__xludf.DUMMYFUNCTION("""COMPUTED_VALUE"""),"The Protector")</f>
        <v>The Protector</v>
      </c>
      <c r="V7646" s="5"/>
      <c r="Y7646" s="5" t="str">
        <f>IFERROR(__xludf.DUMMYFUNCTION("REGEXEXTRACT(J7646, ""^\d+"")"),"103")</f>
        <v>103</v>
      </c>
      <c r="Z7646" s="5" t="str">
        <f>IFERROR(__xludf.DUMMYFUNCTION("REGEXEXTRACT(J7646, ""[A-Za-z ]+$"")")," min")</f>
        <v> min</v>
      </c>
      <c r="AA7646" s="5" t="str">
        <f>IFERROR(__xludf.DUMMYFUNCTION("IF(REGEXMATCH(Z7646, ""Season""), ""TV Show"", ""Movie"")"),"Movie")</f>
        <v>Movie</v>
      </c>
    </row>
    <row r="7647">
      <c r="A7647" s="1" t="s">
        <v>37132</v>
      </c>
      <c r="B7647" s="1" t="s">
        <v>27</v>
      </c>
      <c r="C7647" s="1" t="s">
        <v>37133</v>
      </c>
      <c r="D7647" s="1" t="s">
        <v>18298</v>
      </c>
      <c r="G7647" s="1" t="s">
        <v>25035</v>
      </c>
      <c r="H7647" s="1">
        <v>2015.0</v>
      </c>
      <c r="I7647" s="1" t="s">
        <v>42</v>
      </c>
      <c r="J7647" s="1" t="s">
        <v>256</v>
      </c>
      <c r="K7647" s="1" t="s">
        <v>6462</v>
      </c>
      <c r="L7647" s="1" t="s">
        <v>37134</v>
      </c>
      <c r="M7647" s="2" t="s">
        <v>12</v>
      </c>
      <c r="N7647" s="4">
        <f t="shared" si="1"/>
        <v>43306</v>
      </c>
      <c r="O7647" s="5" t="str">
        <f>IFERROR(__xludf.DUMMYFUNCTION("IF(REGEXMATCH(TRIM(I7647), ""^\d+\s*min""), ""Unclassified"", IF(I7647 = """", ""NR"", I7647))"),"TV-MA")</f>
        <v>TV-MA</v>
      </c>
      <c r="R7647" s="5" t="str">
        <f t="shared" si="2"/>
        <v>Oh My Ghost 4</v>
      </c>
      <c r="S7647" s="5" t="str">
        <f>IFERROR(__xludf.DUMMYFUNCTION("""COMPUTED_VALUE"""),"The Pursuit")</f>
        <v>The Pursuit</v>
      </c>
      <c r="V7647" s="5"/>
      <c r="Y7647" s="5" t="str">
        <f>IFERROR(__xludf.DUMMYFUNCTION("REGEXEXTRACT(J7647, ""^\d+"")"),"106")</f>
        <v>106</v>
      </c>
      <c r="Z7647" s="5" t="str">
        <f>IFERROR(__xludf.DUMMYFUNCTION("REGEXEXTRACT(J7647, ""[A-Za-z ]+$"")")," min")</f>
        <v> min</v>
      </c>
      <c r="AA7647" s="5" t="str">
        <f>IFERROR(__xludf.DUMMYFUNCTION("IF(REGEXMATCH(Z7647, ""Season""), ""TV Show"", ""Movie"")"),"Movie")</f>
        <v>Movie</v>
      </c>
    </row>
    <row r="7648">
      <c r="A7648" s="1" t="s">
        <v>37135</v>
      </c>
      <c r="B7648" s="1" t="s">
        <v>37</v>
      </c>
      <c r="C7648" s="1" t="s">
        <v>37136</v>
      </c>
      <c r="E7648" s="1" t="s">
        <v>37137</v>
      </c>
      <c r="F7648" s="1" t="s">
        <v>1106</v>
      </c>
      <c r="G7648" s="7">
        <v>42155.0</v>
      </c>
      <c r="H7648" s="1">
        <v>2014.0</v>
      </c>
      <c r="I7648" s="1" t="s">
        <v>32769</v>
      </c>
      <c r="J7648" s="1" t="s">
        <v>43</v>
      </c>
      <c r="K7648" s="1" t="s">
        <v>3368</v>
      </c>
      <c r="L7648" s="1" t="s">
        <v>37138</v>
      </c>
      <c r="M7648" s="2" t="s">
        <v>12</v>
      </c>
      <c r="N7648" s="4">
        <f t="shared" si="1"/>
        <v>42155</v>
      </c>
      <c r="O7648" s="5" t="str">
        <f>IFERROR(__xludf.DUMMYFUNCTION("IF(REGEXMATCH(TRIM(I7648), ""^\d+\s*min""), ""Unclassified"", IF(I7648 = """", ""NR"", I7648))"),"TV-Y7-FV")</f>
        <v>TV-Y7-FV</v>
      </c>
      <c r="R7648" s="5" t="str">
        <f t="shared" si="2"/>
        <v>Oh No! It'S An Alien Invasion</v>
      </c>
      <c r="S7648" s="5" t="str">
        <f>IFERROR(__xludf.DUMMYFUNCTION("""COMPUTED_VALUE"""),"The Pursuit Of Happyness")</f>
        <v>The Pursuit Of Happyness</v>
      </c>
      <c r="V7648" s="5"/>
      <c r="Y7648" s="5" t="str">
        <f>IFERROR(__xludf.DUMMYFUNCTION("REGEXEXTRACT(J7648, ""^\d+"")"),"2")</f>
        <v>2</v>
      </c>
      <c r="Z7648" s="5" t="str">
        <f>IFERROR(__xludf.DUMMYFUNCTION("REGEXEXTRACT(J7648, ""[A-Za-z ]+$"")")," Seasons")</f>
        <v> Seasons</v>
      </c>
      <c r="AA7648" s="5" t="str">
        <f>IFERROR(__xludf.DUMMYFUNCTION("IF(REGEXMATCH(Z7648, ""Season""), ""TV Show"", ""Movie"")"),"TV Show")</f>
        <v>TV Show</v>
      </c>
    </row>
    <row r="7649">
      <c r="A7649" s="1" t="s">
        <v>37139</v>
      </c>
      <c r="B7649" s="1" t="s">
        <v>27</v>
      </c>
      <c r="C7649" s="1" t="s">
        <v>37140</v>
      </c>
      <c r="D7649" s="1" t="s">
        <v>2966</v>
      </c>
      <c r="F7649" s="1" t="s">
        <v>30</v>
      </c>
      <c r="G7649" s="1" t="s">
        <v>30921</v>
      </c>
      <c r="H7649" s="1">
        <v>2017.0</v>
      </c>
      <c r="I7649" s="1" t="s">
        <v>97</v>
      </c>
      <c r="J7649" s="1" t="s">
        <v>447</v>
      </c>
      <c r="K7649" s="1" t="s">
        <v>34</v>
      </c>
      <c r="L7649" s="1" t="s">
        <v>37141</v>
      </c>
      <c r="M7649" s="2" t="s">
        <v>12</v>
      </c>
      <c r="N7649" s="4">
        <f t="shared" si="1"/>
        <v>42844</v>
      </c>
      <c r="O7649" s="5" t="str">
        <f>IFERROR(__xludf.DUMMYFUNCTION("IF(REGEXMATCH(TRIM(I7649), ""^\d+\s*min""), ""Unclassified"", IF(I7649 = """", ""NR"", I7649))"),"TV-14")</f>
        <v>TV-14</v>
      </c>
      <c r="R7649" s="5" t="str">
        <f t="shared" si="2"/>
        <v>Oklahoma City</v>
      </c>
      <c r="S7649" s="5" t="str">
        <f>IFERROR(__xludf.DUMMYFUNCTION("""COMPUTED_VALUE"""),"The Push")</f>
        <v>The Push</v>
      </c>
      <c r="V7649" s="5"/>
      <c r="Y7649" s="5" t="str">
        <f>IFERROR(__xludf.DUMMYFUNCTION("REGEXEXTRACT(J7649, ""^\d+"")"),"102")</f>
        <v>102</v>
      </c>
      <c r="Z7649" s="5" t="str">
        <f>IFERROR(__xludf.DUMMYFUNCTION("REGEXEXTRACT(J7649, ""[A-Za-z ]+$"")")," min")</f>
        <v> min</v>
      </c>
      <c r="AA7649" s="5" t="str">
        <f>IFERROR(__xludf.DUMMYFUNCTION("IF(REGEXMATCH(Z7649, ""Season""), ""TV Show"", ""Movie"")"),"Movie")</f>
        <v>Movie</v>
      </c>
    </row>
    <row r="7650">
      <c r="A7650" s="1" t="s">
        <v>37142</v>
      </c>
      <c r="B7650" s="1" t="s">
        <v>37</v>
      </c>
      <c r="C7650" s="1" t="s">
        <v>37143</v>
      </c>
      <c r="D7650" s="1" t="s">
        <v>7098</v>
      </c>
      <c r="E7650" s="1" t="s">
        <v>7098</v>
      </c>
      <c r="F7650" s="1" t="s">
        <v>30</v>
      </c>
      <c r="G7650" s="1" t="s">
        <v>29145</v>
      </c>
      <c r="H7650" s="1">
        <v>2013.0</v>
      </c>
      <c r="I7650" s="1" t="s">
        <v>136</v>
      </c>
      <c r="J7650" s="1" t="s">
        <v>51</v>
      </c>
      <c r="K7650" s="1" t="s">
        <v>1261</v>
      </c>
      <c r="L7650" s="1" t="s">
        <v>37144</v>
      </c>
      <c r="M7650" s="2" t="s">
        <v>12</v>
      </c>
      <c r="N7650" s="4">
        <f t="shared" si="1"/>
        <v>42689</v>
      </c>
      <c r="O7650" s="5" t="str">
        <f>IFERROR(__xludf.DUMMYFUNCTION("IF(REGEXMATCH(TRIM(I7650), ""^\d+\s*min""), ""Unclassified"", IF(I7650 = """", ""NR"", I7650))"),"TV-PG")</f>
        <v>TV-PG</v>
      </c>
      <c r="R7650" s="5" t="str">
        <f t="shared" si="2"/>
        <v>Oliver Stone'S Untold History Of The United States</v>
      </c>
      <c r="S7650" s="5" t="str">
        <f>IFERROR(__xludf.DUMMYFUNCTION("""COMPUTED_VALUE"""),"The Pyramid Code")</f>
        <v>The Pyramid Code</v>
      </c>
      <c r="V7650" s="5"/>
      <c r="Y7650" s="5" t="str">
        <f>IFERROR(__xludf.DUMMYFUNCTION("REGEXEXTRACT(J7650, ""^\d+"")"),"1")</f>
        <v>1</v>
      </c>
      <c r="Z7650" s="5" t="str">
        <f>IFERROR(__xludf.DUMMYFUNCTION("REGEXEXTRACT(J7650, ""[A-Za-z ]+$"")")," Season")</f>
        <v> Season</v>
      </c>
      <c r="AA7650" s="5" t="str">
        <f>IFERROR(__xludf.DUMMYFUNCTION("IF(REGEXMATCH(Z7650, ""Season""), ""TV Show"", ""Movie"")"),"TV Show")</f>
        <v>TV Show</v>
      </c>
    </row>
    <row r="7651">
      <c r="A7651" s="1" t="s">
        <v>37145</v>
      </c>
      <c r="B7651" s="1" t="s">
        <v>37</v>
      </c>
      <c r="C7651" s="1" t="s">
        <v>37146</v>
      </c>
      <c r="E7651" s="1" t="s">
        <v>16827</v>
      </c>
      <c r="F7651" s="1" t="s">
        <v>664</v>
      </c>
      <c r="G7651" s="1" t="s">
        <v>37147</v>
      </c>
      <c r="H7651" s="1">
        <v>2018.0</v>
      </c>
      <c r="I7651" s="1" t="s">
        <v>206</v>
      </c>
      <c r="J7651" s="1" t="s">
        <v>51</v>
      </c>
      <c r="K7651" s="1" t="s">
        <v>290</v>
      </c>
      <c r="L7651" s="1" t="s">
        <v>16828</v>
      </c>
      <c r="M7651" s="2" t="s">
        <v>12</v>
      </c>
      <c r="N7651" s="4">
        <f t="shared" si="1"/>
        <v>43187</v>
      </c>
      <c r="O7651" s="5" t="str">
        <f>IFERROR(__xludf.DUMMYFUNCTION("IF(REGEXMATCH(TRIM(I7651), ""^\d+\s*min""), ""Unclassified"", IF(I7651 = """", ""NR"", I7651))"),"TV-Y")</f>
        <v>TV-Y</v>
      </c>
      <c r="R7651" s="5" t="str">
        <f t="shared" si="2"/>
        <v>Ollie &amp; Moon</v>
      </c>
      <c r="S7651" s="5" t="str">
        <f>IFERROR(__xludf.DUMMYFUNCTION("""COMPUTED_VALUE"""),"The Queen")</f>
        <v>The Queen</v>
      </c>
      <c r="V7651" s="5"/>
      <c r="Y7651" s="5" t="str">
        <f>IFERROR(__xludf.DUMMYFUNCTION("REGEXEXTRACT(J7651, ""^\d+"")"),"1")</f>
        <v>1</v>
      </c>
      <c r="Z7651" s="5" t="str">
        <f>IFERROR(__xludf.DUMMYFUNCTION("REGEXEXTRACT(J7651, ""[A-Za-z ]+$"")")," Season")</f>
        <v> Season</v>
      </c>
      <c r="AA7651" s="5" t="str">
        <f>IFERROR(__xludf.DUMMYFUNCTION("IF(REGEXMATCH(Z7651, ""Season""), ""TV Show"", ""Movie"")"),"TV Show")</f>
        <v>TV Show</v>
      </c>
    </row>
    <row r="7652">
      <c r="A7652" s="1" t="s">
        <v>37148</v>
      </c>
      <c r="B7652" s="1" t="s">
        <v>27</v>
      </c>
      <c r="C7652" s="1" t="s">
        <v>37149</v>
      </c>
      <c r="D7652" s="1" t="s">
        <v>16225</v>
      </c>
      <c r="E7652" s="1" t="s">
        <v>37150</v>
      </c>
      <c r="F7652" s="1" t="s">
        <v>3309</v>
      </c>
      <c r="G7652" s="1" t="s">
        <v>21074</v>
      </c>
      <c r="H7652" s="1">
        <v>2012.0</v>
      </c>
      <c r="I7652" s="1" t="s">
        <v>42</v>
      </c>
      <c r="J7652" s="1" t="s">
        <v>247</v>
      </c>
      <c r="K7652" s="1" t="s">
        <v>215</v>
      </c>
      <c r="L7652" s="1" t="s">
        <v>37151</v>
      </c>
      <c r="M7652" s="2" t="s">
        <v>12</v>
      </c>
      <c r="N7652" s="4">
        <f t="shared" si="1"/>
        <v>43580</v>
      </c>
      <c r="O7652" s="5" t="str">
        <f>IFERROR(__xludf.DUMMYFUNCTION("IF(REGEXMATCH(TRIM(I7652), ""^\d+\s*min""), ""Unclassified"", IF(I7652 = """", ""NR"", I7652))"),"TV-MA")</f>
        <v>TV-MA</v>
      </c>
      <c r="R7652" s="5" t="str">
        <f t="shared" si="2"/>
        <v>Omar And Salma 3</v>
      </c>
      <c r="S7652" s="5" t="str">
        <f>IFERROR(__xludf.DUMMYFUNCTION("""COMPUTED_VALUE"""),"The Queen And The Conqueror")</f>
        <v>The Queen And The Conqueror</v>
      </c>
      <c r="V7652" s="5"/>
      <c r="Y7652" s="5" t="str">
        <f>IFERROR(__xludf.DUMMYFUNCTION("REGEXEXTRACT(J7652, ""^\d+"")"),"97")</f>
        <v>97</v>
      </c>
      <c r="Z7652" s="5" t="str">
        <f>IFERROR(__xludf.DUMMYFUNCTION("REGEXEXTRACT(J7652, ""[A-Za-z ]+$"")")," min")</f>
        <v> min</v>
      </c>
      <c r="AA7652" s="5" t="str">
        <f>IFERROR(__xludf.DUMMYFUNCTION("IF(REGEXMATCH(Z7652, ""Season""), ""TV Show"", ""Movie"")"),"Movie")</f>
        <v>Movie</v>
      </c>
    </row>
    <row r="7653">
      <c r="A7653" s="1" t="s">
        <v>37152</v>
      </c>
      <c r="B7653" s="1" t="s">
        <v>27</v>
      </c>
      <c r="C7653" s="1" t="s">
        <v>37153</v>
      </c>
      <c r="D7653" s="1" t="s">
        <v>37154</v>
      </c>
      <c r="E7653" s="1" t="s">
        <v>37155</v>
      </c>
      <c r="F7653" s="1" t="s">
        <v>1119</v>
      </c>
      <c r="G7653" s="1" t="s">
        <v>24887</v>
      </c>
      <c r="H7653" s="1">
        <v>1983.0</v>
      </c>
      <c r="I7653" s="1" t="s">
        <v>97</v>
      </c>
      <c r="J7653" s="1" t="s">
        <v>1191</v>
      </c>
      <c r="K7653" s="1" t="s">
        <v>1066</v>
      </c>
      <c r="L7653" s="1" t="s">
        <v>37156</v>
      </c>
      <c r="M7653" s="2" t="s">
        <v>12</v>
      </c>
      <c r="N7653" s="4">
        <f t="shared" si="1"/>
        <v>43314</v>
      </c>
      <c r="O7653" s="5" t="str">
        <f>IFERROR(__xludf.DUMMYFUNCTION("IF(REGEXMATCH(TRIM(I7653), ""^\d+\s*min""), ""Unclassified"", IF(I7653 = """", ""NR"", I7653))"),"TV-14")</f>
        <v>TV-14</v>
      </c>
      <c r="R7653" s="5" t="str">
        <f t="shared" si="2"/>
        <v>On The Wrong Track</v>
      </c>
      <c r="S7653" s="5" t="str">
        <f>IFERROR(__xludf.DUMMYFUNCTION("""COMPUTED_VALUE"""),"The Queen Of Flow")</f>
        <v>The Queen Of Flow</v>
      </c>
      <c r="V7653" s="5"/>
      <c r="Y7653" s="5" t="str">
        <f>IFERROR(__xludf.DUMMYFUNCTION("REGEXEXTRACT(J7653, ""^\d+"")"),"89")</f>
        <v>89</v>
      </c>
      <c r="Z7653" s="5" t="str">
        <f>IFERROR(__xludf.DUMMYFUNCTION("REGEXEXTRACT(J7653, ""[A-Za-z ]+$"")")," min")</f>
        <v> min</v>
      </c>
      <c r="AA7653" s="5" t="str">
        <f>IFERROR(__xludf.DUMMYFUNCTION("IF(REGEXMATCH(Z7653, ""Season""), ""TV Show"", ""Movie"")"),"Movie")</f>
        <v>Movie</v>
      </c>
    </row>
    <row r="7654">
      <c r="A7654" s="1" t="s">
        <v>37157</v>
      </c>
      <c r="B7654" s="1" t="s">
        <v>27</v>
      </c>
      <c r="C7654" s="1" t="s">
        <v>37158</v>
      </c>
      <c r="D7654" s="1" t="s">
        <v>9222</v>
      </c>
      <c r="E7654" s="1" t="s">
        <v>37159</v>
      </c>
      <c r="F7654" s="1" t="s">
        <v>37160</v>
      </c>
      <c r="G7654" s="1" t="s">
        <v>26447</v>
      </c>
      <c r="H7654" s="1">
        <v>2017.0</v>
      </c>
      <c r="I7654" s="1" t="s">
        <v>97</v>
      </c>
      <c r="J7654" s="1" t="s">
        <v>665</v>
      </c>
      <c r="K7654" s="1" t="s">
        <v>25796</v>
      </c>
      <c r="L7654" s="1" t="s">
        <v>37161</v>
      </c>
      <c r="M7654" s="2" t="s">
        <v>12</v>
      </c>
      <c r="N7654" s="4">
        <f t="shared" si="1"/>
        <v>43110</v>
      </c>
      <c r="O7654" s="5" t="str">
        <f>IFERROR(__xludf.DUMMYFUNCTION("IF(REGEXMATCH(TRIM(I7654), ""^\d+\s*min""), ""Unclassified"", IF(I7654 = """", ""NR"", I7654))"),"TV-14")</f>
        <v>TV-14</v>
      </c>
      <c r="R7654" s="5" t="str">
        <f t="shared" si="2"/>
        <v>On Yoga The Architecture Of Peace</v>
      </c>
      <c r="S7654" s="5" t="str">
        <f>IFERROR(__xludf.DUMMYFUNCTION("""COMPUTED_VALUE"""),"The Queen'S Gambit")</f>
        <v>The Queen'S Gambit</v>
      </c>
      <c r="V7654" s="5"/>
      <c r="Y7654" s="5" t="str">
        <f>IFERROR(__xludf.DUMMYFUNCTION("REGEXEXTRACT(J7654, ""^\d+"")"),"92")</f>
        <v>92</v>
      </c>
      <c r="Z7654" s="5" t="str">
        <f>IFERROR(__xludf.DUMMYFUNCTION("REGEXEXTRACT(J7654, ""[A-Za-z ]+$"")")," min")</f>
        <v> min</v>
      </c>
      <c r="AA7654" s="5" t="str">
        <f>IFERROR(__xludf.DUMMYFUNCTION("IF(REGEXMATCH(Z7654, ""Season""), ""TV Show"", ""Movie"")"),"Movie")</f>
        <v>Movie</v>
      </c>
    </row>
    <row r="7655">
      <c r="A7655" s="1" t="s">
        <v>37162</v>
      </c>
      <c r="B7655" s="1" t="s">
        <v>27</v>
      </c>
      <c r="C7655" s="1" t="s">
        <v>37163</v>
      </c>
      <c r="D7655" s="1" t="s">
        <v>18329</v>
      </c>
      <c r="E7655" s="1" t="s">
        <v>37164</v>
      </c>
      <c r="F7655" s="1" t="s">
        <v>63</v>
      </c>
      <c r="G7655" s="7">
        <v>43221.0</v>
      </c>
      <c r="H7655" s="1">
        <v>2016.0</v>
      </c>
      <c r="I7655" s="1" t="s">
        <v>97</v>
      </c>
      <c r="J7655" s="1" t="s">
        <v>1256</v>
      </c>
      <c r="K7655" s="1" t="s">
        <v>128</v>
      </c>
      <c r="L7655" s="1" t="s">
        <v>37165</v>
      </c>
      <c r="M7655" s="2" t="s">
        <v>12</v>
      </c>
      <c r="N7655" s="4">
        <f t="shared" si="1"/>
        <v>43221</v>
      </c>
      <c r="O7655" s="5" t="str">
        <f>IFERROR(__xludf.DUMMYFUNCTION("IF(REGEXMATCH(TRIM(I7655), ""^\d+\s*min""), ""Unclassified"", IF(I7655 = """", ""NR"", I7655))"),"TV-14")</f>
        <v>TV-14</v>
      </c>
      <c r="R7655" s="5" t="str">
        <f t="shared" si="2"/>
        <v>Onaatah</v>
      </c>
      <c r="S7655" s="5" t="str">
        <f>IFERROR(__xludf.DUMMYFUNCTION("""COMPUTED_VALUE"""),"The Rachel Divide")</f>
        <v>The Rachel Divide</v>
      </c>
      <c r="V7655" s="5"/>
      <c r="Y7655" s="5" t="str">
        <f>IFERROR(__xludf.DUMMYFUNCTION("REGEXEXTRACT(J7655, ""^\d+"")"),"107")</f>
        <v>107</v>
      </c>
      <c r="Z7655" s="5" t="str">
        <f>IFERROR(__xludf.DUMMYFUNCTION("REGEXEXTRACT(J7655, ""[A-Za-z ]+$"")")," min")</f>
        <v> min</v>
      </c>
      <c r="AA7655" s="5" t="str">
        <f>IFERROR(__xludf.DUMMYFUNCTION("IF(REGEXMATCH(Z7655, ""Season""), ""TV Show"", ""Movie"")"),"Movie")</f>
        <v>Movie</v>
      </c>
    </row>
    <row r="7656">
      <c r="A7656" s="1" t="s">
        <v>37166</v>
      </c>
      <c r="B7656" s="1" t="s">
        <v>27</v>
      </c>
      <c r="C7656" s="1" t="s">
        <v>37167</v>
      </c>
      <c r="D7656" s="1" t="s">
        <v>15204</v>
      </c>
      <c r="E7656" s="1" t="s">
        <v>37168</v>
      </c>
      <c r="F7656" s="1" t="s">
        <v>30</v>
      </c>
      <c r="G7656" s="1" t="s">
        <v>24964</v>
      </c>
      <c r="H7656" s="1">
        <v>2018.0</v>
      </c>
      <c r="I7656" s="1" t="s">
        <v>97</v>
      </c>
      <c r="J7656" s="1" t="s">
        <v>1144</v>
      </c>
      <c r="K7656" s="1" t="s">
        <v>700</v>
      </c>
      <c r="L7656" s="1" t="s">
        <v>37169</v>
      </c>
      <c r="M7656" s="2" t="s">
        <v>12</v>
      </c>
      <c r="N7656" s="4">
        <f t="shared" si="1"/>
        <v>43313</v>
      </c>
      <c r="O7656" s="5" t="str">
        <f>IFERROR(__xludf.DUMMYFUNCTION("IF(REGEXMATCH(TRIM(I7656), ""^\d+\s*min""), ""Unclassified"", IF(I7656 = """", ""NR"", I7656))"),"TV-14")</f>
        <v>TV-14</v>
      </c>
      <c r="R7656" s="5" t="str">
        <f t="shared" si="2"/>
        <v>Once In A Lifetime Sessions With Moby</v>
      </c>
      <c r="S7656" s="5" t="str">
        <f>IFERROR(__xludf.DUMMYFUNCTION("""COMPUTED_VALUE"""),"The Railway Man")</f>
        <v>The Railway Man</v>
      </c>
      <c r="V7656" s="5"/>
      <c r="Y7656" s="5" t="str">
        <f>IFERROR(__xludf.DUMMYFUNCTION("REGEXEXTRACT(J7656, ""^\d+"")"),"86")</f>
        <v>86</v>
      </c>
      <c r="Z7656" s="5" t="str">
        <f>IFERROR(__xludf.DUMMYFUNCTION("REGEXEXTRACT(J7656, ""[A-Za-z ]+$"")")," min")</f>
        <v> min</v>
      </c>
      <c r="AA7656" s="5" t="str">
        <f>IFERROR(__xludf.DUMMYFUNCTION("IF(REGEXMATCH(Z7656, ""Season""), ""TV Show"", ""Movie"")"),"Movie")</f>
        <v>Movie</v>
      </c>
    </row>
    <row r="7657">
      <c r="A7657" s="1" t="s">
        <v>37170</v>
      </c>
      <c r="B7657" s="1" t="s">
        <v>27</v>
      </c>
      <c r="C7657" s="1" t="s">
        <v>37171</v>
      </c>
      <c r="D7657" s="1" t="s">
        <v>4470</v>
      </c>
      <c r="E7657" s="1" t="s">
        <v>37172</v>
      </c>
      <c r="F7657" s="1" t="s">
        <v>30</v>
      </c>
      <c r="G7657" s="1" t="s">
        <v>24964</v>
      </c>
      <c r="H7657" s="1">
        <v>2018.0</v>
      </c>
      <c r="I7657" s="1" t="s">
        <v>136</v>
      </c>
      <c r="J7657" s="1" t="s">
        <v>1583</v>
      </c>
      <c r="K7657" s="1" t="s">
        <v>700</v>
      </c>
      <c r="L7657" s="1" t="s">
        <v>37173</v>
      </c>
      <c r="M7657" s="2" t="s">
        <v>12</v>
      </c>
      <c r="N7657" s="4">
        <f t="shared" si="1"/>
        <v>43313</v>
      </c>
      <c r="O7657" s="5" t="str">
        <f>IFERROR(__xludf.DUMMYFUNCTION("IF(REGEXMATCH(TRIM(I7657), ""^\d+\s*min""), ""Unclassified"", IF(I7657 = """", ""NR"", I7657))"),"TV-PG")</f>
        <v>TV-PG</v>
      </c>
      <c r="R7657" s="5" t="str">
        <f t="shared" si="2"/>
        <v>Once In A Lifetime Sessions With Nile Rodgers</v>
      </c>
      <c r="S7657" s="5" t="str">
        <f>IFERROR(__xludf.DUMMYFUNCTION("""COMPUTED_VALUE"""),"The Rain")</f>
        <v>The Rain</v>
      </c>
      <c r="V7657" s="5"/>
      <c r="Y7657" s="5" t="str">
        <f>IFERROR(__xludf.DUMMYFUNCTION("REGEXEXTRACT(J7657, ""^\d+"")"),"70")</f>
        <v>70</v>
      </c>
      <c r="Z7657" s="5" t="str">
        <f>IFERROR(__xludf.DUMMYFUNCTION("REGEXEXTRACT(J7657, ""[A-Za-z ]+$"")")," min")</f>
        <v> min</v>
      </c>
      <c r="AA7657" s="5" t="str">
        <f>IFERROR(__xludf.DUMMYFUNCTION("IF(REGEXMATCH(Z7657, ""Season""), ""TV Show"", ""Movie"")"),"Movie")</f>
        <v>Movie</v>
      </c>
    </row>
    <row r="7658">
      <c r="A7658" s="1" t="s">
        <v>37174</v>
      </c>
      <c r="B7658" s="1" t="s">
        <v>27</v>
      </c>
      <c r="C7658" s="1" t="s">
        <v>37175</v>
      </c>
      <c r="D7658" s="1" t="s">
        <v>4470</v>
      </c>
      <c r="E7658" s="1" t="s">
        <v>37176</v>
      </c>
      <c r="F7658" s="1" t="s">
        <v>30</v>
      </c>
      <c r="G7658" s="1" t="s">
        <v>24964</v>
      </c>
      <c r="H7658" s="1">
        <v>2018.0</v>
      </c>
      <c r="I7658" s="1" t="s">
        <v>42</v>
      </c>
      <c r="J7658" s="1" t="s">
        <v>2636</v>
      </c>
      <c r="K7658" s="1" t="s">
        <v>700</v>
      </c>
      <c r="L7658" s="1" t="s">
        <v>37177</v>
      </c>
      <c r="M7658" s="2" t="s">
        <v>12</v>
      </c>
      <c r="N7658" s="4">
        <f t="shared" si="1"/>
        <v>43313</v>
      </c>
      <c r="O7658" s="5" t="str">
        <f>IFERROR(__xludf.DUMMYFUNCTION("IF(REGEXMATCH(TRIM(I7658), ""^\d+\s*min""), ""Unclassified"", IF(I7658 = """", ""NR"", I7658))"),"TV-MA")</f>
        <v>TV-MA</v>
      </c>
      <c r="R7658" s="5" t="str">
        <f t="shared" si="2"/>
        <v>Once In A Lifetime Sessions With Noel Gallagher</v>
      </c>
      <c r="S7658" s="5" t="str">
        <f>IFERROR(__xludf.DUMMYFUNCTION("""COMPUTED_VALUE"""),"The Rainbow Troops")</f>
        <v>The Rainbow Troops</v>
      </c>
      <c r="V7658" s="5"/>
      <c r="Y7658" s="5" t="str">
        <f>IFERROR(__xludf.DUMMYFUNCTION("REGEXEXTRACT(J7658, ""^\d+"")"),"66")</f>
        <v>66</v>
      </c>
      <c r="Z7658" s="5" t="str">
        <f>IFERROR(__xludf.DUMMYFUNCTION("REGEXEXTRACT(J7658, ""[A-Za-z ]+$"")")," min")</f>
        <v> min</v>
      </c>
      <c r="AA7658" s="5" t="str">
        <f>IFERROR(__xludf.DUMMYFUNCTION("IF(REGEXMATCH(Z7658, ""Season""), ""TV Show"", ""Movie"")"),"Movie")</f>
        <v>Movie</v>
      </c>
    </row>
    <row r="7659">
      <c r="A7659" s="1" t="s">
        <v>37178</v>
      </c>
      <c r="B7659" s="1" t="s">
        <v>27</v>
      </c>
      <c r="C7659" s="1" t="s">
        <v>37179</v>
      </c>
      <c r="D7659" s="1" t="s">
        <v>15204</v>
      </c>
      <c r="F7659" s="1" t="s">
        <v>30</v>
      </c>
      <c r="G7659" s="1" t="s">
        <v>24964</v>
      </c>
      <c r="H7659" s="1">
        <v>2018.0</v>
      </c>
      <c r="I7659" s="1" t="s">
        <v>136</v>
      </c>
      <c r="J7659" s="1" t="s">
        <v>4699</v>
      </c>
      <c r="K7659" s="1" t="s">
        <v>700</v>
      </c>
      <c r="L7659" s="1" t="s">
        <v>37180</v>
      </c>
      <c r="M7659" s="2" t="s">
        <v>12</v>
      </c>
      <c r="N7659" s="4">
        <f t="shared" si="1"/>
        <v>43313</v>
      </c>
      <c r="O7659" s="5" t="str">
        <f>IFERROR(__xludf.DUMMYFUNCTION("IF(REGEXMATCH(TRIM(I7659), ""^\d+\s*min""), ""Unclassified"", IF(I7659 = """", ""NR"", I7659))"),"TV-PG")</f>
        <v>TV-PG</v>
      </c>
      <c r="R7659" s="5" t="str">
        <f t="shared" si="2"/>
        <v>Once In A Lifetime Sessions With Tlc</v>
      </c>
      <c r="S7659" s="5" t="str">
        <f>IFERROR(__xludf.DUMMYFUNCTION("""COMPUTED_VALUE"""),"The Rainmaker")</f>
        <v>The Rainmaker</v>
      </c>
      <c r="V7659" s="5"/>
      <c r="Y7659" s="5" t="str">
        <f>IFERROR(__xludf.DUMMYFUNCTION("REGEXEXTRACT(J7659, ""^\d+"")"),"72")</f>
        <v>72</v>
      </c>
      <c r="Z7659" s="5" t="str">
        <f>IFERROR(__xludf.DUMMYFUNCTION("REGEXEXTRACT(J7659, ""[A-Za-z ]+$"")")," min")</f>
        <v> min</v>
      </c>
      <c r="AA7659" s="5" t="str">
        <f>IFERROR(__xludf.DUMMYFUNCTION("IF(REGEXMATCH(Z7659, ""Season""), ""TV Show"", ""Movie"")"),"Movie")</f>
        <v>Movie</v>
      </c>
    </row>
    <row r="7660">
      <c r="A7660" s="1" t="s">
        <v>37181</v>
      </c>
      <c r="B7660" s="1" t="s">
        <v>27</v>
      </c>
      <c r="C7660" s="1" t="s">
        <v>37182</v>
      </c>
      <c r="D7660" s="1" t="s">
        <v>21227</v>
      </c>
      <c r="E7660" s="1" t="s">
        <v>37183</v>
      </c>
      <c r="F7660" s="1" t="s">
        <v>96</v>
      </c>
      <c r="G7660" s="1" t="s">
        <v>15037</v>
      </c>
      <c r="H7660" s="1">
        <v>2019.0</v>
      </c>
      <c r="I7660" s="1" t="s">
        <v>42</v>
      </c>
      <c r="J7660" s="1" t="s">
        <v>264</v>
      </c>
      <c r="K7660" s="1" t="s">
        <v>128</v>
      </c>
      <c r="L7660" s="1" t="s">
        <v>37184</v>
      </c>
      <c r="M7660" s="2" t="s">
        <v>12</v>
      </c>
      <c r="N7660" s="4">
        <f t="shared" si="1"/>
        <v>43936</v>
      </c>
      <c r="O7660" s="5" t="str">
        <f>IFERROR(__xludf.DUMMYFUNCTION("IF(REGEXMATCH(TRIM(I7660), ""^\d+\s*min""), ""Unclassified"", IF(I7660 = """", ""NR"", I7660))"),"TV-MA")</f>
        <v>TV-MA</v>
      </c>
      <c r="R7660" s="5" t="str">
        <f t="shared" si="2"/>
        <v>Once Upon A Time In London</v>
      </c>
      <c r="S7660" s="5" t="str">
        <f>IFERROR(__xludf.DUMMYFUNCTION("""COMPUTED_VALUE"""),"The Ranch")</f>
        <v>The Ranch</v>
      </c>
      <c r="V7660" s="5"/>
      <c r="Y7660" s="5" t="str">
        <f>IFERROR(__xludf.DUMMYFUNCTION("REGEXEXTRACT(J7660, ""^\d+"")"),"111")</f>
        <v>111</v>
      </c>
      <c r="Z7660" s="5" t="str">
        <f>IFERROR(__xludf.DUMMYFUNCTION("REGEXEXTRACT(J7660, ""[A-Za-z ]+$"")")," min")</f>
        <v> min</v>
      </c>
      <c r="AA7660" s="5" t="str">
        <f>IFERROR(__xludf.DUMMYFUNCTION("IF(REGEXMATCH(Z7660, ""Season""), ""TV Show"", ""Movie"")"),"Movie")</f>
        <v>Movie</v>
      </c>
    </row>
    <row r="7661">
      <c r="A7661" s="1" t="s">
        <v>37185</v>
      </c>
      <c r="B7661" s="1" t="s">
        <v>27</v>
      </c>
      <c r="C7661" s="1" t="s">
        <v>37186</v>
      </c>
      <c r="D7661" s="1" t="s">
        <v>1160</v>
      </c>
      <c r="E7661" s="1" t="s">
        <v>37187</v>
      </c>
      <c r="F7661" s="1" t="s">
        <v>1162</v>
      </c>
      <c r="G7661" s="1" t="s">
        <v>17941</v>
      </c>
      <c r="H7661" s="1">
        <v>1968.0</v>
      </c>
      <c r="I7661" s="1" t="s">
        <v>32</v>
      </c>
      <c r="J7661" s="1" t="s">
        <v>214</v>
      </c>
      <c r="K7661" s="1" t="s">
        <v>37188</v>
      </c>
      <c r="L7661" s="1" t="s">
        <v>37189</v>
      </c>
      <c r="M7661" s="2" t="s">
        <v>12</v>
      </c>
      <c r="N7661" s="4">
        <f t="shared" si="1"/>
        <v>43789</v>
      </c>
      <c r="O7661" s="5" t="str">
        <f>IFERROR(__xludf.DUMMYFUNCTION("IF(REGEXMATCH(TRIM(I7661), ""^\d+\s*min""), ""Unclassified"", IF(I7661 = """", ""NR"", I7661))"),"PG-13")</f>
        <v>PG-13</v>
      </c>
      <c r="R7661" s="5" t="str">
        <f t="shared" si="2"/>
        <v>Once Upon A Time In The West</v>
      </c>
      <c r="S7661" s="5" t="str">
        <f>IFERROR(__xludf.DUMMYFUNCTION("""COMPUTED_VALUE"""),"The Rap Game")</f>
        <v>The Rap Game</v>
      </c>
      <c r="V7661" s="5"/>
      <c r="Y7661" s="5" t="str">
        <f>IFERROR(__xludf.DUMMYFUNCTION("REGEXEXTRACT(J7661, ""^\d+"")"),"166")</f>
        <v>166</v>
      </c>
      <c r="Z7661" s="5" t="str">
        <f>IFERROR(__xludf.DUMMYFUNCTION("REGEXEXTRACT(J7661, ""[A-Za-z ]+$"")")," min")</f>
        <v> min</v>
      </c>
      <c r="AA7661" s="5" t="str">
        <f>IFERROR(__xludf.DUMMYFUNCTION("IF(REGEXMATCH(Z7661, ""Season""), ""TV Show"", ""Movie"")"),"Movie")</f>
        <v>Movie</v>
      </c>
    </row>
    <row r="7662">
      <c r="A7662" s="1" t="s">
        <v>37190</v>
      </c>
      <c r="B7662" s="1" t="s">
        <v>27</v>
      </c>
      <c r="C7662" s="1" t="s">
        <v>37191</v>
      </c>
      <c r="D7662" s="1" t="s">
        <v>2946</v>
      </c>
      <c r="E7662" s="1" t="s">
        <v>37192</v>
      </c>
      <c r="F7662" s="1" t="s">
        <v>2796</v>
      </c>
      <c r="G7662" s="1" t="s">
        <v>31151</v>
      </c>
      <c r="H7662" s="1">
        <v>2016.0</v>
      </c>
      <c r="I7662" s="1" t="s">
        <v>136</v>
      </c>
      <c r="J7662" s="1" t="s">
        <v>1369</v>
      </c>
      <c r="K7662" s="1" t="s">
        <v>679</v>
      </c>
      <c r="L7662" s="1" t="s">
        <v>37193</v>
      </c>
      <c r="M7662" s="2" t="s">
        <v>12</v>
      </c>
      <c r="N7662" s="4">
        <f t="shared" si="1"/>
        <v>43348</v>
      </c>
      <c r="O7662" s="5" t="str">
        <f>IFERROR(__xludf.DUMMYFUNCTION("IF(REGEXMATCH(TRIM(I7662), ""^\d+\s*min""), ""Unclassified"", IF(I7662 = """", ""NR"", I7662))"),"TV-PG")</f>
        <v>TV-PG</v>
      </c>
      <c r="R7662" s="5" t="str">
        <f t="shared" si="2"/>
        <v>One Day</v>
      </c>
      <c r="S7662" s="5" t="str">
        <f>IFERROR(__xludf.DUMMYFUNCTION("""COMPUTED_VALUE"""),"The Rat Race")</f>
        <v>The Rat Race</v>
      </c>
      <c r="V7662" s="5"/>
      <c r="Y7662" s="5" t="str">
        <f>IFERROR(__xludf.DUMMYFUNCTION("REGEXEXTRACT(J7662, ""^\d+"")"),"135")</f>
        <v>135</v>
      </c>
      <c r="Z7662" s="5" t="str">
        <f>IFERROR(__xludf.DUMMYFUNCTION("REGEXEXTRACT(J7662, ""[A-Za-z ]+$"")")," min")</f>
        <v> min</v>
      </c>
      <c r="AA7662" s="5" t="str">
        <f>IFERROR(__xludf.DUMMYFUNCTION("IF(REGEXMATCH(Z7662, ""Season""), ""TV Show"", ""Movie"")"),"Movie")</f>
        <v>Movie</v>
      </c>
    </row>
    <row r="7663">
      <c r="A7663" s="1" t="s">
        <v>37194</v>
      </c>
      <c r="B7663" s="1" t="s">
        <v>27</v>
      </c>
      <c r="C7663" s="1" t="s">
        <v>37195</v>
      </c>
      <c r="D7663" s="1" t="s">
        <v>16322</v>
      </c>
      <c r="E7663" s="1" t="s">
        <v>37196</v>
      </c>
      <c r="F7663" s="1" t="s">
        <v>30</v>
      </c>
      <c r="G7663" s="1" t="s">
        <v>18985</v>
      </c>
      <c r="H7663" s="1">
        <v>2013.0</v>
      </c>
      <c r="I7663" s="1" t="s">
        <v>78</v>
      </c>
      <c r="J7663" s="1" t="s">
        <v>665</v>
      </c>
      <c r="K7663" s="1" t="s">
        <v>700</v>
      </c>
      <c r="L7663" s="1" t="s">
        <v>37197</v>
      </c>
      <c r="M7663" s="2" t="s">
        <v>12</v>
      </c>
      <c r="N7663" s="4">
        <f t="shared" si="1"/>
        <v>43739</v>
      </c>
      <c r="O7663" s="5" t="str">
        <f>IFERROR(__xludf.DUMMYFUNCTION("IF(REGEXMATCH(TRIM(I7663), ""^\d+\s*min""), ""Unclassified"", IF(I7663 = """", ""NR"", I7663))"),"PG")</f>
        <v>PG</v>
      </c>
      <c r="R7663" s="5" t="str">
        <f t="shared" si="2"/>
        <v>One Direction: This Is Us</v>
      </c>
      <c r="S7663" s="5" t="str">
        <f>IFERROR(__xludf.DUMMYFUNCTION("""COMPUTED_VALUE"""),"The Rational Life")</f>
        <v>The Rational Life</v>
      </c>
      <c r="V7663" s="5"/>
      <c r="Y7663" s="5" t="str">
        <f>IFERROR(__xludf.DUMMYFUNCTION("REGEXEXTRACT(J7663, ""^\d+"")"),"92")</f>
        <v>92</v>
      </c>
      <c r="Z7663" s="5" t="str">
        <f>IFERROR(__xludf.DUMMYFUNCTION("REGEXEXTRACT(J7663, ""[A-Za-z ]+$"")")," min")</f>
        <v> min</v>
      </c>
      <c r="AA7663" s="5" t="str">
        <f>IFERROR(__xludf.DUMMYFUNCTION("IF(REGEXMATCH(Z7663, ""Season""), ""TV Show"", ""Movie"")"),"Movie")</f>
        <v>Movie</v>
      </c>
    </row>
    <row r="7664">
      <c r="A7664" s="1" t="s">
        <v>37198</v>
      </c>
      <c r="B7664" s="1" t="s">
        <v>27</v>
      </c>
      <c r="C7664" s="1" t="s">
        <v>37199</v>
      </c>
      <c r="E7664" s="1" t="s">
        <v>37200</v>
      </c>
      <c r="F7664" s="1" t="s">
        <v>63</v>
      </c>
      <c r="G7664" s="1" t="s">
        <v>26883</v>
      </c>
      <c r="H7664" s="1">
        <v>2017.0</v>
      </c>
      <c r="I7664" s="1" t="s">
        <v>506</v>
      </c>
      <c r="J7664" s="1" t="s">
        <v>630</v>
      </c>
      <c r="K7664" s="1" t="s">
        <v>2892</v>
      </c>
      <c r="L7664" s="1" t="s">
        <v>37201</v>
      </c>
      <c r="M7664" s="2" t="s">
        <v>12</v>
      </c>
      <c r="N7664" s="4">
        <f t="shared" si="1"/>
        <v>43040</v>
      </c>
      <c r="O7664" s="5" t="str">
        <f>IFERROR(__xludf.DUMMYFUNCTION("IF(REGEXMATCH(TRIM(I7664), ""^\d+\s*min""), ""Unclassified"", IF(I7664 = """", ""NR"", I7664))"),"TV-G")</f>
        <v>TV-G</v>
      </c>
      <c r="R7664" s="5" t="str">
        <f t="shared" si="2"/>
        <v>One Heart: The A.R. Rahman Concert Film</v>
      </c>
      <c r="S7664" s="5" t="str">
        <f>IFERROR(__xludf.DUMMYFUNCTION("""COMPUTED_VALUE"""),"The Real Football Factories")</f>
        <v>The Real Football Factories</v>
      </c>
      <c r="V7664" s="5"/>
      <c r="Y7664" s="5" t="str">
        <f>IFERROR(__xludf.DUMMYFUNCTION("REGEXEXTRACT(J7664, ""^\d+"")"),"87")</f>
        <v>87</v>
      </c>
      <c r="Z7664" s="5" t="str">
        <f>IFERROR(__xludf.DUMMYFUNCTION("REGEXEXTRACT(J7664, ""[A-Za-z ]+$"")")," min")</f>
        <v> min</v>
      </c>
      <c r="AA7664" s="5" t="str">
        <f>IFERROR(__xludf.DUMMYFUNCTION("IF(REGEXMATCH(Z7664, ""Season""), ""TV Show"", ""Movie"")"),"Movie")</f>
        <v>Movie</v>
      </c>
    </row>
    <row r="7665">
      <c r="A7665" s="1" t="s">
        <v>37202</v>
      </c>
      <c r="B7665" s="1" t="s">
        <v>27</v>
      </c>
      <c r="C7665" s="1" t="s">
        <v>37203</v>
      </c>
      <c r="D7665" s="1" t="s">
        <v>22538</v>
      </c>
      <c r="E7665" s="1" t="s">
        <v>37204</v>
      </c>
      <c r="F7665" s="1" t="s">
        <v>30</v>
      </c>
      <c r="G7665" s="1" t="s">
        <v>37205</v>
      </c>
      <c r="H7665" s="1">
        <v>2018.0</v>
      </c>
      <c r="I7665" s="1" t="s">
        <v>42</v>
      </c>
      <c r="J7665" s="1" t="s">
        <v>665</v>
      </c>
      <c r="K7665" s="1" t="s">
        <v>805</v>
      </c>
      <c r="L7665" s="1" t="s">
        <v>37206</v>
      </c>
      <c r="M7665" s="2" t="s">
        <v>12</v>
      </c>
      <c r="N7665" s="4">
        <f t="shared" si="1"/>
        <v>43702</v>
      </c>
      <c r="O7665" s="5" t="str">
        <f>IFERROR(__xludf.DUMMYFUNCTION("IF(REGEXMATCH(TRIM(I7665), ""^\d+\s*min""), ""Unclassified"", IF(I7665 = """", ""NR"", I7665))"),"TV-MA")</f>
        <v>TV-MA</v>
      </c>
      <c r="R7665" s="5" t="str">
        <f t="shared" si="2"/>
        <v>One Last Thing</v>
      </c>
      <c r="S7665" s="5" t="str">
        <f>IFERROR(__xludf.DUMMYFUNCTION("""COMPUTED_VALUE"""),"The Real Miyagi")</f>
        <v>The Real Miyagi</v>
      </c>
      <c r="V7665" s="5"/>
      <c r="Y7665" s="5" t="str">
        <f>IFERROR(__xludf.DUMMYFUNCTION("REGEXEXTRACT(J7665, ""^\d+"")"),"92")</f>
        <v>92</v>
      </c>
      <c r="Z7665" s="5" t="str">
        <f>IFERROR(__xludf.DUMMYFUNCTION("REGEXEXTRACT(J7665, ""[A-Za-z ]+$"")")," min")</f>
        <v> min</v>
      </c>
      <c r="AA7665" s="5" t="str">
        <f>IFERROR(__xludf.DUMMYFUNCTION("IF(REGEXMATCH(Z7665, ""Season""), ""TV Show"", ""Movie"")"),"Movie")</f>
        <v>Movie</v>
      </c>
    </row>
    <row r="7666">
      <c r="A7666" s="1" t="s">
        <v>37207</v>
      </c>
      <c r="B7666" s="1" t="s">
        <v>27</v>
      </c>
      <c r="C7666" s="1" t="s">
        <v>37208</v>
      </c>
      <c r="D7666" s="1" t="s">
        <v>16999</v>
      </c>
      <c r="F7666" s="1" t="s">
        <v>30</v>
      </c>
      <c r="G7666" s="1" t="s">
        <v>26413</v>
      </c>
      <c r="H7666" s="1">
        <v>2017.0</v>
      </c>
      <c r="I7666" s="1" t="s">
        <v>42</v>
      </c>
      <c r="J7666" s="1" t="s">
        <v>1191</v>
      </c>
      <c r="K7666" s="1" t="s">
        <v>34</v>
      </c>
      <c r="L7666" s="1" t="s">
        <v>37209</v>
      </c>
      <c r="M7666" s="2" t="s">
        <v>12</v>
      </c>
      <c r="N7666" s="4">
        <f t="shared" si="1"/>
        <v>43115</v>
      </c>
      <c r="O7666" s="5" t="str">
        <f>IFERROR(__xludf.DUMMYFUNCTION("IF(REGEXMATCH(TRIM(I7666), ""^\d+\s*min""), ""Unclassified"", IF(I7666 = """", ""NR"", I7666))"),"TV-MA")</f>
        <v>TV-MA</v>
      </c>
      <c r="R7666" s="5" t="str">
        <f t="shared" si="2"/>
        <v>One More Shot</v>
      </c>
      <c r="S7666" s="5" t="str">
        <f>IFERROR(__xludf.DUMMYFUNCTION("""COMPUTED_VALUE"""),"The Reason I Jump")</f>
        <v>The Reason I Jump</v>
      </c>
      <c r="V7666" s="5"/>
      <c r="Y7666" s="5" t="str">
        <f>IFERROR(__xludf.DUMMYFUNCTION("REGEXEXTRACT(J7666, ""^\d+"")"),"89")</f>
        <v>89</v>
      </c>
      <c r="Z7666" s="5" t="str">
        <f>IFERROR(__xludf.DUMMYFUNCTION("REGEXEXTRACT(J7666, ""[A-Za-z ]+$"")")," min")</f>
        <v> min</v>
      </c>
      <c r="AA7666" s="5" t="str">
        <f>IFERROR(__xludf.DUMMYFUNCTION("IF(REGEXMATCH(Z7666, ""Season""), ""TV Show"", ""Movie"")"),"Movie")</f>
        <v>Movie</v>
      </c>
    </row>
    <row r="7667">
      <c r="A7667" s="1" t="s">
        <v>37210</v>
      </c>
      <c r="B7667" s="1" t="s">
        <v>27</v>
      </c>
      <c r="C7667" s="1" t="s">
        <v>37211</v>
      </c>
      <c r="D7667" s="1" t="s">
        <v>10232</v>
      </c>
      <c r="E7667" s="1" t="s">
        <v>37212</v>
      </c>
      <c r="F7667" s="1" t="s">
        <v>63</v>
      </c>
      <c r="G7667" s="1" t="s">
        <v>27021</v>
      </c>
      <c r="H7667" s="1">
        <v>2016.0</v>
      </c>
      <c r="I7667" s="1" t="s">
        <v>42</v>
      </c>
      <c r="J7667" s="1" t="s">
        <v>454</v>
      </c>
      <c r="K7667" s="1" t="s">
        <v>1429</v>
      </c>
      <c r="L7667" s="1" t="s">
        <v>37213</v>
      </c>
      <c r="M7667" s="2" t="s">
        <v>12</v>
      </c>
      <c r="N7667" s="4">
        <f t="shared" si="1"/>
        <v>43023</v>
      </c>
      <c r="O7667" s="5" t="str">
        <f>IFERROR(__xludf.DUMMYFUNCTION("IF(REGEXMATCH(TRIM(I7667), ""^\d+\s*min""), ""Unclassified"", IF(I7667 = """", ""NR"", I7667))"),"TV-MA")</f>
        <v>TV-MA</v>
      </c>
      <c r="R7667" s="5" t="str">
        <f t="shared" si="2"/>
        <v>One Night Stand</v>
      </c>
      <c r="S7667" s="5" t="str">
        <f>IFERROR(__xludf.DUMMYFUNCTION("""COMPUTED_VALUE"""),"The Rebound")</f>
        <v>The Rebound</v>
      </c>
      <c r="V7667" s="5"/>
      <c r="Y7667" s="5" t="str">
        <f>IFERROR(__xludf.DUMMYFUNCTION("REGEXEXTRACT(J7667, ""^\d+"")"),"93")</f>
        <v>93</v>
      </c>
      <c r="Z7667" s="5" t="str">
        <f>IFERROR(__xludf.DUMMYFUNCTION("REGEXEXTRACT(J7667, ""[A-Za-z ]+$"")")," min")</f>
        <v> min</v>
      </c>
      <c r="AA7667" s="5" t="str">
        <f>IFERROR(__xludf.DUMMYFUNCTION("IF(REGEXMATCH(Z7667, ""Season""), ""TV Show"", ""Movie"")"),"Movie")</f>
        <v>Movie</v>
      </c>
    </row>
    <row r="7668">
      <c r="A7668" s="1" t="s">
        <v>37214</v>
      </c>
      <c r="B7668" s="1" t="s">
        <v>37</v>
      </c>
      <c r="C7668" s="1" t="s">
        <v>37215</v>
      </c>
      <c r="E7668" s="1" t="s">
        <v>37216</v>
      </c>
      <c r="F7668" s="1" t="s">
        <v>30</v>
      </c>
      <c r="G7668" s="1" t="s">
        <v>22230</v>
      </c>
      <c r="H7668" s="1">
        <v>2018.0</v>
      </c>
      <c r="I7668" s="1" t="s">
        <v>136</v>
      </c>
      <c r="J7668" s="1" t="s">
        <v>51</v>
      </c>
      <c r="K7668" s="1" t="s">
        <v>736</v>
      </c>
      <c r="L7668" s="1" t="s">
        <v>37217</v>
      </c>
      <c r="M7668" s="2" t="s">
        <v>12</v>
      </c>
      <c r="N7668" s="4">
        <f t="shared" si="1"/>
        <v>43498</v>
      </c>
      <c r="O7668" s="5" t="str">
        <f>IFERROR(__xludf.DUMMYFUNCTION("IF(REGEXMATCH(TRIM(I7668), ""^\d+\s*min""), ""Unclassified"", IF(I7668 = """", ""NR"", I7668))"),"TV-PG")</f>
        <v>TV-PG</v>
      </c>
      <c r="R7668" s="5" t="str">
        <f t="shared" si="2"/>
        <v>One Strange Rock</v>
      </c>
      <c r="S7668" s="5" t="str">
        <f>IFERROR(__xludf.DUMMYFUNCTION("""COMPUTED_VALUE"""),"The Reconquest")</f>
        <v>The Reconquest</v>
      </c>
      <c r="V7668" s="5"/>
      <c r="Y7668" s="5" t="str">
        <f>IFERROR(__xludf.DUMMYFUNCTION("REGEXEXTRACT(J7668, ""^\d+"")"),"1")</f>
        <v>1</v>
      </c>
      <c r="Z7668" s="5" t="str">
        <f>IFERROR(__xludf.DUMMYFUNCTION("REGEXEXTRACT(J7668, ""[A-Za-z ]+$"")")," Season")</f>
        <v> Season</v>
      </c>
      <c r="AA7668" s="5" t="str">
        <f>IFERROR(__xludf.DUMMYFUNCTION("IF(REGEXMATCH(Z7668, ""Season""), ""TV Show"", ""Movie"")"),"TV Show")</f>
        <v>TV Show</v>
      </c>
    </row>
    <row r="7669">
      <c r="A7669" s="1" t="s">
        <v>37218</v>
      </c>
      <c r="B7669" s="1" t="s">
        <v>27</v>
      </c>
      <c r="C7669" s="1" t="s">
        <v>37219</v>
      </c>
      <c r="D7669" s="1" t="s">
        <v>16875</v>
      </c>
      <c r="E7669" s="1" t="s">
        <v>37220</v>
      </c>
      <c r="F7669" s="1" t="s">
        <v>37221</v>
      </c>
      <c r="G7669" s="7">
        <v>43235.0</v>
      </c>
      <c r="H7669" s="1">
        <v>2013.0</v>
      </c>
      <c r="I7669" s="1" t="s">
        <v>378</v>
      </c>
      <c r="J7669" s="1" t="s">
        <v>33</v>
      </c>
      <c r="K7669" s="1" t="s">
        <v>37222</v>
      </c>
      <c r="L7669" s="1" t="s">
        <v>37223</v>
      </c>
      <c r="M7669" s="2" t="s">
        <v>12</v>
      </c>
      <c r="N7669" s="4">
        <f t="shared" si="1"/>
        <v>43235</v>
      </c>
      <c r="O7669" s="5" t="str">
        <f>IFERROR(__xludf.DUMMYFUNCTION("IF(REGEXMATCH(TRIM(I7669), ""^\d+\s*min""), ""Unclassified"", IF(I7669 = """", ""NR"", I7669))"),"R")</f>
        <v>R</v>
      </c>
      <c r="R7669" s="5" t="str">
        <f t="shared" si="2"/>
        <v>Only God Forgives</v>
      </c>
      <c r="S7669" s="5" t="str">
        <f>IFERROR(__xludf.DUMMYFUNCTION("""COMPUTED_VALUE"""),"The Red Sea Diving Resort")</f>
        <v>The Red Sea Diving Resort</v>
      </c>
      <c r="V7669" s="5"/>
      <c r="Y7669" s="5" t="str">
        <f>IFERROR(__xludf.DUMMYFUNCTION("REGEXEXTRACT(J7669, ""^\d+"")"),"90")</f>
        <v>90</v>
      </c>
      <c r="Z7669" s="5" t="str">
        <f>IFERROR(__xludf.DUMMYFUNCTION("REGEXEXTRACT(J7669, ""[A-Za-z ]+$"")")," min")</f>
        <v> min</v>
      </c>
      <c r="AA7669" s="5" t="str">
        <f>IFERROR(__xludf.DUMMYFUNCTION("IF(REGEXMATCH(Z7669, ""Season""), ""TV Show"", ""Movie"")"),"Movie")</f>
        <v>Movie</v>
      </c>
    </row>
    <row r="7670">
      <c r="A7670" s="1" t="s">
        <v>37224</v>
      </c>
      <c r="B7670" s="1" t="s">
        <v>27</v>
      </c>
      <c r="C7670" s="1" t="s">
        <v>37225</v>
      </c>
      <c r="D7670" s="1" t="s">
        <v>3402</v>
      </c>
      <c r="E7670" s="1" t="s">
        <v>37226</v>
      </c>
      <c r="F7670" s="1" t="s">
        <v>37227</v>
      </c>
      <c r="G7670" s="1" t="s">
        <v>23412</v>
      </c>
      <c r="H7670" s="1">
        <v>2015.0</v>
      </c>
      <c r="I7670" s="1" t="s">
        <v>42</v>
      </c>
      <c r="J7670" s="1" t="s">
        <v>1171</v>
      </c>
      <c r="K7670" s="1" t="s">
        <v>156</v>
      </c>
      <c r="L7670" s="1" t="s">
        <v>37228</v>
      </c>
      <c r="M7670" s="2" t="s">
        <v>12</v>
      </c>
      <c r="N7670" s="4">
        <f t="shared" si="1"/>
        <v>43419</v>
      </c>
      <c r="O7670" s="5" t="str">
        <f>IFERROR(__xludf.DUMMYFUNCTION("IF(REGEXMATCH(TRIM(I7670), ""^\d+\s*min""), ""Unclassified"", IF(I7670 = """", ""NR"", I7670))"),"TV-MA")</f>
        <v>TV-MA</v>
      </c>
      <c r="R7670" s="5" t="str">
        <f t="shared" si="2"/>
        <v>Only The Dead</v>
      </c>
      <c r="S7670" s="5" t="str">
        <f>IFERROR(__xludf.DUMMYFUNCTION("""COMPUTED_VALUE"""),"The Redeemed And The Dominant: Fittest On Earth")</f>
        <v>The Redeemed And The Dominant: Fittest On Earth</v>
      </c>
      <c r="V7670" s="5"/>
      <c r="Y7670" s="5" t="str">
        <f>IFERROR(__xludf.DUMMYFUNCTION("REGEXEXTRACT(J7670, ""^\d+"")"),"76")</f>
        <v>76</v>
      </c>
      <c r="Z7670" s="5" t="str">
        <f>IFERROR(__xludf.DUMMYFUNCTION("REGEXEXTRACT(J7670, ""[A-Za-z ]+$"")")," min")</f>
        <v> min</v>
      </c>
      <c r="AA7670" s="5" t="str">
        <f>IFERROR(__xludf.DUMMYFUNCTION("IF(REGEXMATCH(Z7670, ""Season""), ""TV Show"", ""Movie"")"),"Movie")</f>
        <v>Movie</v>
      </c>
    </row>
    <row r="7671">
      <c r="A7671" s="1" t="s">
        <v>37229</v>
      </c>
      <c r="B7671" s="1" t="s">
        <v>27</v>
      </c>
      <c r="C7671" s="1" t="s">
        <v>37230</v>
      </c>
      <c r="D7671" s="1" t="s">
        <v>19671</v>
      </c>
      <c r="E7671" s="1" t="s">
        <v>37231</v>
      </c>
      <c r="F7671" s="1" t="s">
        <v>30</v>
      </c>
      <c r="G7671" s="1" t="s">
        <v>19361</v>
      </c>
      <c r="H7671" s="1">
        <v>2006.0</v>
      </c>
      <c r="I7671" s="1" t="s">
        <v>78</v>
      </c>
      <c r="J7671" s="1" t="s">
        <v>1144</v>
      </c>
      <c r="K7671" s="1" t="s">
        <v>137</v>
      </c>
      <c r="L7671" s="1" t="s">
        <v>37232</v>
      </c>
      <c r="M7671" s="2" t="s">
        <v>12</v>
      </c>
      <c r="N7671" s="4">
        <f t="shared" si="1"/>
        <v>43709</v>
      </c>
      <c r="O7671" s="5" t="str">
        <f>IFERROR(__xludf.DUMMYFUNCTION("IF(REGEXMATCH(TRIM(I7671), ""^\d+\s*min""), ""Unclassified"", IF(I7671 = """", ""NR"", I7671))"),"PG")</f>
        <v>PG</v>
      </c>
      <c r="R7671" s="5" t="str">
        <f t="shared" si="2"/>
        <v>Open Season</v>
      </c>
      <c r="S7671" s="5" t="str">
        <f>IFERROR(__xludf.DUMMYFUNCTION("""COMPUTED_VALUE"""),"The Rehearsal")</f>
        <v>The Rehearsal</v>
      </c>
      <c r="V7671" s="5"/>
      <c r="Y7671" s="5" t="str">
        <f>IFERROR(__xludf.DUMMYFUNCTION("REGEXEXTRACT(J7671, ""^\d+"")"),"86")</f>
        <v>86</v>
      </c>
      <c r="Z7671" s="5" t="str">
        <f>IFERROR(__xludf.DUMMYFUNCTION("REGEXEXTRACT(J7671, ""[A-Za-z ]+$"")")," min")</f>
        <v> min</v>
      </c>
      <c r="AA7671" s="5" t="str">
        <f>IFERROR(__xludf.DUMMYFUNCTION("IF(REGEXMATCH(Z7671, ""Season""), ""TV Show"", ""Movie"")"),"Movie")</f>
        <v>Movie</v>
      </c>
    </row>
    <row r="7672">
      <c r="A7672" s="1" t="s">
        <v>37233</v>
      </c>
      <c r="B7672" s="1" t="s">
        <v>27</v>
      </c>
      <c r="C7672" s="1" t="s">
        <v>37234</v>
      </c>
      <c r="D7672" s="1" t="s">
        <v>11316</v>
      </c>
      <c r="E7672" s="1" t="s">
        <v>37235</v>
      </c>
      <c r="F7672" s="1" t="s">
        <v>749</v>
      </c>
      <c r="G7672" s="1" t="s">
        <v>26413</v>
      </c>
      <c r="H7672" s="1">
        <v>2016.0</v>
      </c>
      <c r="I7672" s="1" t="s">
        <v>30231</v>
      </c>
      <c r="J7672" s="1" t="s">
        <v>264</v>
      </c>
      <c r="K7672" s="1" t="s">
        <v>306</v>
      </c>
      <c r="L7672" s="1" t="s">
        <v>37236</v>
      </c>
      <c r="M7672" s="2" t="s">
        <v>12</v>
      </c>
      <c r="N7672" s="4">
        <f t="shared" si="1"/>
        <v>43115</v>
      </c>
      <c r="O7672" s="5" t="str">
        <f>IFERROR(__xludf.DUMMYFUNCTION("IF(REGEXMATCH(TRIM(I7672), ""^\d+\s*min""), ""Unclassified"", IF(I7672 = """", ""NR"", I7672))"),"NR")</f>
        <v>NR</v>
      </c>
      <c r="R7672" s="5" t="str">
        <f t="shared" si="2"/>
        <v>Operation Chromite</v>
      </c>
      <c r="S7672" s="5" t="str">
        <f>IFERROR(__xludf.DUMMYFUNCTION("""COMPUTED_VALUE"""),"The Reliant")</f>
        <v>The Reliant</v>
      </c>
      <c r="V7672" s="5"/>
      <c r="Y7672" s="5" t="str">
        <f>IFERROR(__xludf.DUMMYFUNCTION("REGEXEXTRACT(J7672, ""^\d+"")"),"111")</f>
        <v>111</v>
      </c>
      <c r="Z7672" s="5" t="str">
        <f>IFERROR(__xludf.DUMMYFUNCTION("REGEXEXTRACT(J7672, ""[A-Za-z ]+$"")")," min")</f>
        <v> min</v>
      </c>
      <c r="AA7672" s="5" t="str">
        <f>IFERROR(__xludf.DUMMYFUNCTION("IF(REGEXMATCH(Z7672, ""Season""), ""TV Show"", ""Movie"")"),"Movie")</f>
        <v>Movie</v>
      </c>
    </row>
    <row r="7673">
      <c r="A7673" s="1" t="s">
        <v>37237</v>
      </c>
      <c r="B7673" s="1" t="s">
        <v>37</v>
      </c>
      <c r="C7673" s="1" t="s">
        <v>37238</v>
      </c>
      <c r="E7673" s="1" t="s">
        <v>37239</v>
      </c>
      <c r="F7673" s="1" t="s">
        <v>96</v>
      </c>
      <c r="G7673" s="1" t="s">
        <v>22239</v>
      </c>
      <c r="H7673" s="1">
        <v>2016.0</v>
      </c>
      <c r="I7673" s="1" t="s">
        <v>97</v>
      </c>
      <c r="J7673" s="1" t="s">
        <v>51</v>
      </c>
      <c r="K7673" s="1" t="s">
        <v>99</v>
      </c>
      <c r="L7673" s="1" t="s">
        <v>37240</v>
      </c>
      <c r="M7673" s="2" t="s">
        <v>12</v>
      </c>
      <c r="N7673" s="4">
        <f t="shared" si="1"/>
        <v>43497</v>
      </c>
      <c r="O7673" s="5" t="str">
        <f>IFERROR(__xludf.DUMMYFUNCTION("IF(REGEXMATCH(TRIM(I7673), ""^\d+\s*min""), ""Unclassified"", IF(I7673 = """", ""NR"", I7673))"),"TV-14")</f>
        <v>TV-14</v>
      </c>
      <c r="R7673" s="5" t="str">
        <f t="shared" si="2"/>
        <v>Operation Gold Rush</v>
      </c>
      <c r="S7673" s="5" t="str">
        <f>IFERROR(__xludf.DUMMYFUNCTION("""COMPUTED_VALUE"""),"The Remix: Hip Hop X Fashion")</f>
        <v>The Remix: Hip Hop X Fashion</v>
      </c>
      <c r="V7673" s="5"/>
      <c r="Y7673" s="5" t="str">
        <f>IFERROR(__xludf.DUMMYFUNCTION("REGEXEXTRACT(J7673, ""^\d+"")"),"1")</f>
        <v>1</v>
      </c>
      <c r="Z7673" s="5" t="str">
        <f>IFERROR(__xludf.DUMMYFUNCTION("REGEXEXTRACT(J7673, ""[A-Za-z ]+$"")")," Season")</f>
        <v> Season</v>
      </c>
      <c r="AA7673" s="5" t="str">
        <f>IFERROR(__xludf.DUMMYFUNCTION("IF(REGEXMATCH(Z7673, ""Season""), ""TV Show"", ""Movie"")"),"TV Show")</f>
        <v>TV Show</v>
      </c>
    </row>
    <row r="7674">
      <c r="A7674" s="1" t="s">
        <v>37241</v>
      </c>
      <c r="B7674" s="1" t="s">
        <v>27</v>
      </c>
      <c r="C7674" s="1" t="s">
        <v>37242</v>
      </c>
      <c r="D7674" s="1" t="s">
        <v>5706</v>
      </c>
      <c r="E7674" s="1" t="s">
        <v>37243</v>
      </c>
      <c r="F7674" s="1" t="s">
        <v>1064</v>
      </c>
      <c r="G7674" s="1" t="s">
        <v>27542</v>
      </c>
      <c r="H7674" s="1">
        <v>2016.0</v>
      </c>
      <c r="I7674" s="1" t="s">
        <v>42</v>
      </c>
      <c r="J7674" s="1" t="s">
        <v>341</v>
      </c>
      <c r="K7674" s="1" t="s">
        <v>1066</v>
      </c>
      <c r="L7674" s="1" t="s">
        <v>37244</v>
      </c>
      <c r="M7674" s="2" t="s">
        <v>12</v>
      </c>
      <c r="N7674" s="4">
        <f t="shared" si="1"/>
        <v>42952</v>
      </c>
      <c r="O7674" s="5" t="str">
        <f>IFERROR(__xludf.DUMMYFUNCTION("IF(REGEXMATCH(TRIM(I7674), ""^\d+\s*min""), ""Unclassified"", IF(I7674 = """", ""NR"", I7674))"),"TV-MA")</f>
        <v>TV-MA</v>
      </c>
      <c r="R7674" s="5" t="str">
        <f t="shared" si="2"/>
        <v>Operation Mekong</v>
      </c>
      <c r="S7674" s="5" t="str">
        <f>IFERROR(__xludf.DUMMYFUNCTION("""COMPUTED_VALUE"""),"The Repair Shop")</f>
        <v>The Repair Shop</v>
      </c>
      <c r="V7674" s="5"/>
      <c r="Y7674" s="5" t="str">
        <f>IFERROR(__xludf.DUMMYFUNCTION("REGEXEXTRACT(J7674, ""^\d+"")"),"124")</f>
        <v>124</v>
      </c>
      <c r="Z7674" s="5" t="str">
        <f>IFERROR(__xludf.DUMMYFUNCTION("REGEXEXTRACT(J7674, ""[A-Za-z ]+$"")")," min")</f>
        <v> min</v>
      </c>
      <c r="AA7674" s="5" t="str">
        <f>IFERROR(__xludf.DUMMYFUNCTION("IF(REGEXMATCH(Z7674, ""Season""), ""TV Show"", ""Movie"")"),"Movie")</f>
        <v>Movie</v>
      </c>
    </row>
    <row r="7675">
      <c r="A7675" s="1" t="s">
        <v>37245</v>
      </c>
      <c r="B7675" s="1" t="s">
        <v>27</v>
      </c>
      <c r="C7675" s="1" t="s">
        <v>37246</v>
      </c>
      <c r="D7675" s="1" t="s">
        <v>8335</v>
      </c>
      <c r="G7675" s="1" t="s">
        <v>15215</v>
      </c>
      <c r="H7675" s="1">
        <v>2018.0</v>
      </c>
      <c r="I7675" s="1" t="s">
        <v>42</v>
      </c>
      <c r="J7675" s="1" t="s">
        <v>454</v>
      </c>
      <c r="K7675" s="1" t="s">
        <v>34</v>
      </c>
      <c r="L7675" s="1" t="s">
        <v>37247</v>
      </c>
      <c r="M7675" s="2" t="s">
        <v>12</v>
      </c>
      <c r="N7675" s="4">
        <f t="shared" si="1"/>
        <v>43922</v>
      </c>
      <c r="O7675" s="5" t="str">
        <f>IFERROR(__xludf.DUMMYFUNCTION("IF(REGEXMATCH(TRIM(I7675), ""^\d+\s*min""), ""Unclassified"", IF(I7675 = """", ""NR"", I7675))"),"TV-MA")</f>
        <v>TV-MA</v>
      </c>
      <c r="R7675" s="5" t="str">
        <f t="shared" si="2"/>
        <v>Operation Odessa</v>
      </c>
      <c r="S7675" s="5" t="str">
        <f>IFERROR(__xludf.DUMMYFUNCTION("""COMPUTED_VALUE"""),"The Republic Of Imbaba")</f>
        <v>The Republic Of Imbaba</v>
      </c>
      <c r="V7675" s="5"/>
      <c r="Y7675" s="5" t="str">
        <f>IFERROR(__xludf.DUMMYFUNCTION("REGEXEXTRACT(J7675, ""^\d+"")"),"93")</f>
        <v>93</v>
      </c>
      <c r="Z7675" s="5" t="str">
        <f>IFERROR(__xludf.DUMMYFUNCTION("REGEXEXTRACT(J7675, ""[A-Za-z ]+$"")")," min")</f>
        <v> min</v>
      </c>
      <c r="AA7675" s="5" t="str">
        <f>IFERROR(__xludf.DUMMYFUNCTION("IF(REGEXMATCH(Z7675, ""Season""), ""TV Show"", ""Movie"")"),"Movie")</f>
        <v>Movie</v>
      </c>
    </row>
    <row r="7676">
      <c r="A7676" s="1" t="s">
        <v>37248</v>
      </c>
      <c r="B7676" s="1" t="s">
        <v>37</v>
      </c>
      <c r="C7676" s="1" t="s">
        <v>37249</v>
      </c>
      <c r="E7676" s="1" t="s">
        <v>37250</v>
      </c>
      <c r="F7676" s="1" t="s">
        <v>96</v>
      </c>
      <c r="G7676" s="1" t="s">
        <v>12382</v>
      </c>
      <c r="H7676" s="1">
        <v>2012.0</v>
      </c>
      <c r="I7676" s="1" t="s">
        <v>136</v>
      </c>
      <c r="J7676" s="1" t="s">
        <v>51</v>
      </c>
      <c r="K7676" s="1" t="s">
        <v>8845</v>
      </c>
      <c r="L7676" s="1" t="s">
        <v>37251</v>
      </c>
      <c r="M7676" s="2" t="s">
        <v>12</v>
      </c>
      <c r="N7676" s="4">
        <f t="shared" si="1"/>
        <v>44044</v>
      </c>
      <c r="O7676" s="5" t="str">
        <f>IFERROR(__xludf.DUMMYFUNCTION("IF(REGEXMATCH(TRIM(I7676), ""^\d+\s*min""), ""Unclassified"", IF(I7676 = """", ""NR"", I7676))"),"TV-PG")</f>
        <v>TV-PG</v>
      </c>
      <c r="R7676" s="5" t="str">
        <f t="shared" si="2"/>
        <v>Operation Ouch!</v>
      </c>
      <c r="S7676" s="5" t="str">
        <f>IFERROR(__xludf.DUMMYFUNCTION("""COMPUTED_VALUE"""),"The Reservoir Game")</f>
        <v>The Reservoir Game</v>
      </c>
      <c r="V7676" s="5"/>
      <c r="Y7676" s="5" t="str">
        <f>IFERROR(__xludf.DUMMYFUNCTION("REGEXEXTRACT(J7676, ""^\d+"")"),"1")</f>
        <v>1</v>
      </c>
      <c r="Z7676" s="5" t="str">
        <f>IFERROR(__xludf.DUMMYFUNCTION("REGEXEXTRACT(J7676, ""[A-Za-z ]+$"")")," Season")</f>
        <v> Season</v>
      </c>
      <c r="AA7676" s="5" t="str">
        <f>IFERROR(__xludf.DUMMYFUNCTION("IF(REGEXMATCH(Z7676, ""Season""), ""TV Show"", ""Movie"")"),"TV Show")</f>
        <v>TV Show</v>
      </c>
    </row>
    <row r="7677">
      <c r="A7677" s="1" t="s">
        <v>37252</v>
      </c>
      <c r="B7677" s="1" t="s">
        <v>37</v>
      </c>
      <c r="C7677" s="1" t="s">
        <v>37253</v>
      </c>
      <c r="E7677" s="1" t="s">
        <v>37254</v>
      </c>
      <c r="F7677" s="1" t="s">
        <v>749</v>
      </c>
      <c r="G7677" s="1" t="s">
        <v>29635</v>
      </c>
      <c r="H7677" s="1">
        <v>2012.0</v>
      </c>
      <c r="I7677" s="1" t="s">
        <v>136</v>
      </c>
      <c r="J7677" s="1" t="s">
        <v>51</v>
      </c>
      <c r="K7677" s="1" t="s">
        <v>7164</v>
      </c>
      <c r="L7677" s="1" t="s">
        <v>37255</v>
      </c>
      <c r="M7677" s="2" t="s">
        <v>12</v>
      </c>
      <c r="N7677" s="4">
        <f t="shared" si="1"/>
        <v>42552</v>
      </c>
      <c r="O7677" s="5" t="str">
        <f>IFERROR(__xludf.DUMMYFUNCTION("IF(REGEXMATCH(TRIM(I7677), ""^\d+\s*min""), ""Unclassified"", IF(I7677 = """", ""NR"", I7677))"),"TV-PG")</f>
        <v>TV-PG</v>
      </c>
      <c r="R7677" s="5" t="str">
        <f t="shared" si="2"/>
        <v>Operation Proposal</v>
      </c>
      <c r="S7677" s="5" t="str">
        <f>IFERROR(__xludf.DUMMYFUNCTION("""COMPUTED_VALUE"""),"The Resistance Banker")</f>
        <v>The Resistance Banker</v>
      </c>
      <c r="V7677" s="5"/>
      <c r="Y7677" s="5" t="str">
        <f>IFERROR(__xludf.DUMMYFUNCTION("REGEXEXTRACT(J7677, ""^\d+"")"),"1")</f>
        <v>1</v>
      </c>
      <c r="Z7677" s="5" t="str">
        <f>IFERROR(__xludf.DUMMYFUNCTION("REGEXEXTRACT(J7677, ""[A-Za-z ]+$"")")," Season")</f>
        <v> Season</v>
      </c>
      <c r="AA7677" s="5" t="str">
        <f>IFERROR(__xludf.DUMMYFUNCTION("IF(REGEXMATCH(Z7677, ""Season""), ""TV Show"", ""Movie"")"),"TV Show")</f>
        <v>TV Show</v>
      </c>
    </row>
    <row r="7678">
      <c r="A7678" s="1" t="s">
        <v>37256</v>
      </c>
      <c r="B7678" s="1" t="s">
        <v>27</v>
      </c>
      <c r="C7678" s="1" t="s">
        <v>37257</v>
      </c>
      <c r="D7678" s="1" t="s">
        <v>5706</v>
      </c>
      <c r="E7678" s="1" t="s">
        <v>37258</v>
      </c>
      <c r="F7678" s="1" t="s">
        <v>37259</v>
      </c>
      <c r="G7678" s="1" t="s">
        <v>23287</v>
      </c>
      <c r="H7678" s="1">
        <v>2018.0</v>
      </c>
      <c r="I7678" s="1" t="s">
        <v>42</v>
      </c>
      <c r="J7678" s="1" t="s">
        <v>1938</v>
      </c>
      <c r="K7678" s="1" t="s">
        <v>1066</v>
      </c>
      <c r="L7678" s="1" t="s">
        <v>37260</v>
      </c>
      <c r="M7678" s="2" t="s">
        <v>12</v>
      </c>
      <c r="N7678" s="4">
        <f t="shared" si="1"/>
        <v>43431</v>
      </c>
      <c r="O7678" s="5" t="str">
        <f>IFERROR(__xludf.DUMMYFUNCTION("IF(REGEXMATCH(TRIM(I7678), ""^\d+\s*min""), ""Unclassified"", IF(I7678 = """", ""NR"", I7678))"),"TV-MA")</f>
        <v>TV-MA</v>
      </c>
      <c r="R7678" s="5" t="str">
        <f t="shared" si="2"/>
        <v>Operation Red Sea</v>
      </c>
      <c r="S7678" s="5" t="str">
        <f>IFERROR(__xludf.DUMMYFUNCTION("""COMPUTED_VALUE"""),"The Resurrection Of Gavin Stone")</f>
        <v>The Resurrection Of Gavin Stone</v>
      </c>
      <c r="V7678" s="5"/>
      <c r="Y7678" s="5" t="str">
        <f>IFERROR(__xludf.DUMMYFUNCTION("REGEXEXTRACT(J7678, ""^\d+"")"),"139")</f>
        <v>139</v>
      </c>
      <c r="Z7678" s="5" t="str">
        <f>IFERROR(__xludf.DUMMYFUNCTION("REGEXEXTRACT(J7678, ""[A-Za-z ]+$"")")," min")</f>
        <v> min</v>
      </c>
      <c r="AA7678" s="5" t="str">
        <f>IFERROR(__xludf.DUMMYFUNCTION("IF(REGEXMATCH(Z7678, ""Season""), ""TV Show"", ""Movie"")"),"Movie")</f>
        <v>Movie</v>
      </c>
    </row>
    <row r="7679">
      <c r="A7679" s="1" t="s">
        <v>37261</v>
      </c>
      <c r="B7679" s="1" t="s">
        <v>27</v>
      </c>
      <c r="C7679" s="1" t="s">
        <v>37262</v>
      </c>
      <c r="D7679" s="1" t="s">
        <v>13901</v>
      </c>
      <c r="E7679" s="1" t="s">
        <v>37263</v>
      </c>
      <c r="F7679" s="1" t="s">
        <v>30</v>
      </c>
      <c r="G7679" s="1" t="s">
        <v>36371</v>
      </c>
      <c r="H7679" s="1">
        <v>2016.0</v>
      </c>
      <c r="I7679" s="1" t="s">
        <v>42</v>
      </c>
      <c r="J7679" s="1" t="s">
        <v>79</v>
      </c>
      <c r="K7679" s="1" t="s">
        <v>836</v>
      </c>
      <c r="L7679" s="1" t="s">
        <v>37264</v>
      </c>
      <c r="M7679" s="2" t="s">
        <v>12</v>
      </c>
      <c r="N7679" s="4">
        <f t="shared" si="1"/>
        <v>42782</v>
      </c>
      <c r="O7679" s="5" t="str">
        <f>IFERROR(__xludf.DUMMYFUNCTION("IF(REGEXMATCH(TRIM(I7679), ""^\d+\s*min""), ""Unclassified"", IF(I7679 = """", ""NR"", I7679))"),"TV-MA")</f>
        <v>TV-MA</v>
      </c>
      <c r="R7679" s="5" t="str">
        <f t="shared" si="2"/>
        <v>Operator</v>
      </c>
      <c r="S7679" s="5" t="str">
        <f>IFERROR(__xludf.DUMMYFUNCTION("""COMPUTED_VALUE"""),"The Returned")</f>
        <v>The Returned</v>
      </c>
      <c r="V7679" s="5"/>
      <c r="Y7679" s="5" t="str">
        <f>IFERROR(__xludf.DUMMYFUNCTION("REGEXEXTRACT(J7679, ""^\d+"")"),"91")</f>
        <v>91</v>
      </c>
      <c r="Z7679" s="5" t="str">
        <f>IFERROR(__xludf.DUMMYFUNCTION("REGEXEXTRACT(J7679, ""[A-Za-z ]+$"")")," min")</f>
        <v> min</v>
      </c>
      <c r="AA7679" s="5" t="str">
        <f>IFERROR(__xludf.DUMMYFUNCTION("IF(REGEXMATCH(Z7679, ""Season""), ""TV Show"", ""Movie"")"),"Movie")</f>
        <v>Movie</v>
      </c>
    </row>
    <row r="7680">
      <c r="A7680" s="1" t="s">
        <v>37265</v>
      </c>
      <c r="B7680" s="1" t="s">
        <v>27</v>
      </c>
      <c r="C7680" s="1" t="s">
        <v>37266</v>
      </c>
      <c r="D7680" s="1" t="s">
        <v>4571</v>
      </c>
      <c r="E7680" s="1" t="s">
        <v>37267</v>
      </c>
      <c r="F7680" s="1" t="s">
        <v>1119</v>
      </c>
      <c r="G7680" s="1" t="s">
        <v>24803</v>
      </c>
      <c r="H7680" s="1">
        <v>1984.0</v>
      </c>
      <c r="I7680" s="1" t="s">
        <v>42</v>
      </c>
      <c r="J7680" s="1" t="s">
        <v>1144</v>
      </c>
      <c r="K7680" s="1" t="s">
        <v>1066</v>
      </c>
      <c r="L7680" s="1" t="s">
        <v>37268</v>
      </c>
      <c r="M7680" s="2" t="s">
        <v>12</v>
      </c>
      <c r="N7680" s="4">
        <f t="shared" si="1"/>
        <v>43328</v>
      </c>
      <c r="O7680" s="5" t="str">
        <f>IFERROR(__xludf.DUMMYFUNCTION("IF(REGEXMATCH(TRIM(I7680), ""^\d+\s*min""), ""Unclassified"", IF(I7680 = """", ""NR"", I7680))"),"TV-MA")</f>
        <v>TV-MA</v>
      </c>
      <c r="R7680" s="5" t="str">
        <f t="shared" si="2"/>
        <v>Opium And The Kung Fu Master</v>
      </c>
      <c r="S7680" s="5" t="str">
        <f>IFERROR(__xludf.DUMMYFUNCTION("""COMPUTED_VALUE"""),"The Rezort")</f>
        <v>The Rezort</v>
      </c>
      <c r="V7680" s="5"/>
      <c r="Y7680" s="5" t="str">
        <f>IFERROR(__xludf.DUMMYFUNCTION("REGEXEXTRACT(J7680, ""^\d+"")"),"86")</f>
        <v>86</v>
      </c>
      <c r="Z7680" s="5" t="str">
        <f>IFERROR(__xludf.DUMMYFUNCTION("REGEXEXTRACT(J7680, ""[A-Za-z ]+$"")")," min")</f>
        <v> min</v>
      </c>
      <c r="AA7680" s="5" t="str">
        <f>IFERROR(__xludf.DUMMYFUNCTION("IF(REGEXMATCH(Z7680, ""Season""), ""TV Show"", ""Movie"")"),"Movie")</f>
        <v>Movie</v>
      </c>
    </row>
    <row r="7681">
      <c r="A7681" s="1" t="s">
        <v>37269</v>
      </c>
      <c r="B7681" s="1" t="s">
        <v>37</v>
      </c>
      <c r="C7681" s="1" t="s">
        <v>37270</v>
      </c>
      <c r="D7681" s="1" t="s">
        <v>37271</v>
      </c>
      <c r="F7681" s="1" t="s">
        <v>30</v>
      </c>
      <c r="G7681" s="1" t="s">
        <v>33540</v>
      </c>
      <c r="H7681" s="1">
        <v>2018.0</v>
      </c>
      <c r="I7681" s="1" t="s">
        <v>136</v>
      </c>
      <c r="J7681" s="1" t="s">
        <v>276</v>
      </c>
      <c r="K7681" s="1" t="s">
        <v>1261</v>
      </c>
      <c r="L7681" s="1" t="s">
        <v>37272</v>
      </c>
      <c r="M7681" s="2" t="s">
        <v>12</v>
      </c>
      <c r="N7681" s="1" t="str">
        <f t="shared" si="1"/>
        <v>#N/A</v>
      </c>
      <c r="O7681" s="5" t="str">
        <f>IFERROR(__xludf.DUMMYFUNCTION("IF(REGEXMATCH(TRIM(I7681), ""^\d+\s*min""), ""Unclassified"", IF(I7681 = """", ""NR"", I7681))"),"TV-PG")</f>
        <v>TV-PG</v>
      </c>
      <c r="R7681" s="5" t="str">
        <f t="shared" si="2"/>
        <v>Origins Collection</v>
      </c>
      <c r="S7681" s="5" t="str">
        <f>IFERROR(__xludf.DUMMYFUNCTION("""COMPUTED_VALUE"""),"The Ridiculous 6")</f>
        <v>The Ridiculous 6</v>
      </c>
      <c r="V7681" s="5"/>
      <c r="Y7681" s="5" t="str">
        <f>IFERROR(__xludf.DUMMYFUNCTION("REGEXEXTRACT(J7681, ""^\d+"")"),"3")</f>
        <v>3</v>
      </c>
      <c r="Z7681" s="5" t="str">
        <f>IFERROR(__xludf.DUMMYFUNCTION("REGEXEXTRACT(J7681, ""[A-Za-z ]+$"")")," Seasons")</f>
        <v> Seasons</v>
      </c>
      <c r="AA7681" s="5" t="str">
        <f>IFERROR(__xludf.DUMMYFUNCTION("IF(REGEXMATCH(Z7681, ""Season""), ""TV Show"", ""Movie"")"),"TV Show")</f>
        <v>TV Show</v>
      </c>
    </row>
    <row r="7682">
      <c r="A7682" s="1" t="s">
        <v>37273</v>
      </c>
      <c r="B7682" s="1" t="s">
        <v>27</v>
      </c>
      <c r="C7682" s="1" t="s">
        <v>37274</v>
      </c>
      <c r="D7682" s="1" t="s">
        <v>13031</v>
      </c>
      <c r="E7682" s="1" t="s">
        <v>37275</v>
      </c>
      <c r="F7682" s="1" t="s">
        <v>63</v>
      </c>
      <c r="G7682" s="1" t="s">
        <v>24964</v>
      </c>
      <c r="H7682" s="1">
        <v>2017.0</v>
      </c>
      <c r="I7682" s="1" t="s">
        <v>97</v>
      </c>
      <c r="J7682" s="1" t="s">
        <v>393</v>
      </c>
      <c r="K7682" s="1" t="s">
        <v>583</v>
      </c>
      <c r="L7682" s="1" t="s">
        <v>37276</v>
      </c>
      <c r="M7682" s="2" t="s">
        <v>12</v>
      </c>
      <c r="N7682" s="4">
        <f t="shared" si="1"/>
        <v>43313</v>
      </c>
      <c r="O7682" s="5" t="str">
        <f>IFERROR(__xludf.DUMMYFUNCTION("IF(REGEXMATCH(TRIM(I7682), ""^\d+\s*min""), ""Unclassified"", IF(I7682 = """", ""NR"", I7682))"),"TV-14")</f>
        <v>TV-14</v>
      </c>
      <c r="R7682" s="5" t="str">
        <f t="shared" si="2"/>
        <v>Oru Vishsheshapetta Biryani Kissa</v>
      </c>
      <c r="S7682" s="5" t="str">
        <f>IFERROR(__xludf.DUMMYFUNCTION("""COMPUTED_VALUE"""),"The Rift: The Dark Side Of The Moon")</f>
        <v>The Rift: The Dark Side Of The Moon</v>
      </c>
      <c r="V7682" s="5"/>
      <c r="Y7682" s="5" t="str">
        <f>IFERROR(__xludf.DUMMYFUNCTION("REGEXEXTRACT(J7682, ""^\d+"")"),"122")</f>
        <v>122</v>
      </c>
      <c r="Z7682" s="5" t="str">
        <f>IFERROR(__xludf.DUMMYFUNCTION("REGEXEXTRACT(J7682, ""[A-Za-z ]+$"")")," min")</f>
        <v> min</v>
      </c>
      <c r="AA7682" s="5" t="str">
        <f>IFERROR(__xludf.DUMMYFUNCTION("IF(REGEXMATCH(Z7682, ""Season""), ""TV Show"", ""Movie"")"),"Movie")</f>
        <v>Movie</v>
      </c>
    </row>
    <row r="7683">
      <c r="A7683" s="1" t="s">
        <v>37277</v>
      </c>
      <c r="B7683" s="1" t="s">
        <v>27</v>
      </c>
      <c r="C7683" s="1" t="s">
        <v>37278</v>
      </c>
      <c r="D7683" s="1" t="s">
        <v>3142</v>
      </c>
      <c r="E7683" s="1" t="s">
        <v>37279</v>
      </c>
      <c r="F7683" s="1" t="s">
        <v>26422</v>
      </c>
      <c r="G7683" s="1" t="s">
        <v>27021</v>
      </c>
      <c r="H7683" s="1">
        <v>2017.0</v>
      </c>
      <c r="I7683" s="1" t="s">
        <v>42</v>
      </c>
      <c r="J7683" s="1" t="s">
        <v>322</v>
      </c>
      <c r="K7683" s="1" t="s">
        <v>89</v>
      </c>
      <c r="L7683" s="1" t="s">
        <v>37280</v>
      </c>
      <c r="M7683" s="2" t="s">
        <v>12</v>
      </c>
      <c r="N7683" s="4">
        <f t="shared" si="1"/>
        <v>43023</v>
      </c>
      <c r="O7683" s="5" t="str">
        <f>IFERROR(__xludf.DUMMYFUNCTION("IF(REGEXMATCH(TRIM(I7683), ""^\d+\s*min""), ""Unclassified"", IF(I7683 = """", ""NR"", I7683))"),"TV-MA")</f>
        <v>TV-MA</v>
      </c>
      <c r="R7683" s="5" t="str">
        <f t="shared" si="2"/>
        <v>Otherlife</v>
      </c>
      <c r="S7683" s="5" t="str">
        <f>IFERROR(__xludf.DUMMYFUNCTION("""COMPUTED_VALUE"""),"The Right One")</f>
        <v>The Right One</v>
      </c>
      <c r="V7683" s="5"/>
      <c r="Y7683" s="5" t="str">
        <f>IFERROR(__xludf.DUMMYFUNCTION("REGEXEXTRACT(J7683, ""^\d+"")"),"96")</f>
        <v>96</v>
      </c>
      <c r="Z7683" s="5" t="str">
        <f>IFERROR(__xludf.DUMMYFUNCTION("REGEXEXTRACT(J7683, ""[A-Za-z ]+$"")")," min")</f>
        <v> min</v>
      </c>
      <c r="AA7683" s="5" t="str">
        <f>IFERROR(__xludf.DUMMYFUNCTION("IF(REGEXMATCH(Z7683, ""Season""), ""TV Show"", ""Movie"")"),"Movie")</f>
        <v>Movie</v>
      </c>
    </row>
    <row r="7684">
      <c r="A7684" s="1" t="s">
        <v>37281</v>
      </c>
      <c r="B7684" s="1" t="s">
        <v>27</v>
      </c>
      <c r="C7684" s="1" t="s">
        <v>37282</v>
      </c>
      <c r="D7684" s="1" t="s">
        <v>10452</v>
      </c>
      <c r="E7684" s="1" t="s">
        <v>37283</v>
      </c>
      <c r="F7684" s="1" t="s">
        <v>63</v>
      </c>
      <c r="G7684" s="1" t="s">
        <v>28500</v>
      </c>
      <c r="H7684" s="1">
        <v>2014.0</v>
      </c>
      <c r="I7684" s="1" t="s">
        <v>136</v>
      </c>
      <c r="J7684" s="1" t="s">
        <v>428</v>
      </c>
      <c r="K7684" s="1" t="s">
        <v>128</v>
      </c>
      <c r="L7684" s="1" t="s">
        <v>37284</v>
      </c>
      <c r="M7684" s="2" t="s">
        <v>12</v>
      </c>
      <c r="N7684" s="4">
        <f t="shared" si="1"/>
        <v>42809</v>
      </c>
      <c r="O7684" s="5" t="str">
        <f>IFERROR(__xludf.DUMMYFUNCTION("IF(REGEXMATCH(TRIM(I7684), ""^\d+\s*min""), ""Unclassified"", IF(I7684 = """", ""NR"", I7684))"),"TV-PG")</f>
        <v>TV-PG</v>
      </c>
      <c r="R7684" s="5" t="str">
        <f t="shared" si="2"/>
        <v>Ottaal</v>
      </c>
      <c r="S7684" s="5" t="str">
        <f>IFERROR(__xludf.DUMMYFUNCTION("""COMPUTED_VALUE"""),"The Ring")</f>
        <v>The Ring</v>
      </c>
      <c r="V7684" s="5"/>
      <c r="Y7684" s="5" t="str">
        <f>IFERROR(__xludf.DUMMYFUNCTION("REGEXEXTRACT(J7684, ""^\d+"")"),"88")</f>
        <v>88</v>
      </c>
      <c r="Z7684" s="5" t="str">
        <f>IFERROR(__xludf.DUMMYFUNCTION("REGEXEXTRACT(J7684, ""[A-Za-z ]+$"")")," min")</f>
        <v> min</v>
      </c>
      <c r="AA7684" s="5" t="str">
        <f>IFERROR(__xludf.DUMMYFUNCTION("IF(REGEXMATCH(Z7684, ""Season""), ""TV Show"", ""Movie"")"),"Movie")</f>
        <v>Movie</v>
      </c>
    </row>
    <row r="7685">
      <c r="A7685" s="1" t="s">
        <v>37285</v>
      </c>
      <c r="B7685" s="1" t="s">
        <v>27</v>
      </c>
      <c r="C7685" s="1" t="s">
        <v>37286</v>
      </c>
      <c r="D7685" s="1" t="s">
        <v>14842</v>
      </c>
      <c r="E7685" s="1" t="s">
        <v>37287</v>
      </c>
      <c r="F7685" s="1" t="s">
        <v>96</v>
      </c>
      <c r="G7685" s="1" t="s">
        <v>19307</v>
      </c>
      <c r="H7685" s="1">
        <v>2019.0</v>
      </c>
      <c r="I7685" s="1" t="s">
        <v>42</v>
      </c>
      <c r="J7685" s="1" t="s">
        <v>454</v>
      </c>
      <c r="K7685" s="1" t="s">
        <v>156</v>
      </c>
      <c r="L7685" s="1" t="s">
        <v>37288</v>
      </c>
      <c r="M7685" s="2" t="s">
        <v>12</v>
      </c>
      <c r="N7685" s="4">
        <f t="shared" si="1"/>
        <v>43718</v>
      </c>
      <c r="O7685" s="5" t="str">
        <f>IFERROR(__xludf.DUMMYFUNCTION("IF(REGEXMATCH(TRIM(I7685), ""^\d+\s*min""), ""Unclassified"", IF(I7685 = """", ""NR"", I7685))"),"TV-MA")</f>
        <v>TV-MA</v>
      </c>
      <c r="R7685" s="5" t="str">
        <f t="shared" si="2"/>
        <v>Our Godfather</v>
      </c>
      <c r="S7685" s="5" t="str">
        <f>IFERROR(__xludf.DUMMYFUNCTION("""COMPUTED_VALUE"""),"The Riot Club")</f>
        <v>The Riot Club</v>
      </c>
      <c r="V7685" s="5"/>
      <c r="Y7685" s="5" t="str">
        <f>IFERROR(__xludf.DUMMYFUNCTION("REGEXEXTRACT(J7685, ""^\d+"")"),"93")</f>
        <v>93</v>
      </c>
      <c r="Z7685" s="5" t="str">
        <f>IFERROR(__xludf.DUMMYFUNCTION("REGEXEXTRACT(J7685, ""[A-Za-z ]+$"")")," min")</f>
        <v> min</v>
      </c>
      <c r="AA7685" s="5" t="str">
        <f>IFERROR(__xludf.DUMMYFUNCTION("IF(REGEXMATCH(Z7685, ""Season""), ""TV Show"", ""Movie"")"),"Movie")</f>
        <v>Movie</v>
      </c>
    </row>
    <row r="7686">
      <c r="A7686" s="1" t="s">
        <v>37289</v>
      </c>
      <c r="B7686" s="1" t="s">
        <v>27</v>
      </c>
      <c r="C7686" s="1" t="s">
        <v>37290</v>
      </c>
      <c r="D7686" s="1" t="s">
        <v>2298</v>
      </c>
      <c r="E7686" s="1" t="s">
        <v>37291</v>
      </c>
      <c r="F7686" s="1" t="s">
        <v>37292</v>
      </c>
      <c r="G7686" s="1" t="s">
        <v>13808</v>
      </c>
      <c r="H7686" s="1">
        <v>2018.0</v>
      </c>
      <c r="I7686" s="1" t="s">
        <v>32</v>
      </c>
      <c r="J7686" s="1" t="s">
        <v>33</v>
      </c>
      <c r="K7686" s="1" t="s">
        <v>3768</v>
      </c>
      <c r="L7686" s="1" t="s">
        <v>37293</v>
      </c>
      <c r="M7686" s="2" t="s">
        <v>12</v>
      </c>
      <c r="N7686" s="4">
        <f t="shared" si="1"/>
        <v>43983</v>
      </c>
      <c r="O7686" s="5" t="str">
        <f>IFERROR(__xludf.DUMMYFUNCTION("IF(REGEXMATCH(TRIM(I7686), ""^\d+\s*min""), ""Unclassified"", IF(I7686 = """", ""NR"", I7686))"),"PG-13")</f>
        <v>PG-13</v>
      </c>
      <c r="R7686" s="5" t="str">
        <f t="shared" si="2"/>
        <v>Our House</v>
      </c>
      <c r="S7686" s="5" t="str">
        <f>IFERROR(__xludf.DUMMYFUNCTION("""COMPUTED_VALUE"""),"The Ripper")</f>
        <v>The Ripper</v>
      </c>
      <c r="V7686" s="5"/>
      <c r="Y7686" s="5" t="str">
        <f>IFERROR(__xludf.DUMMYFUNCTION("REGEXEXTRACT(J7686, ""^\d+"")"),"90")</f>
        <v>90</v>
      </c>
      <c r="Z7686" s="5" t="str">
        <f>IFERROR(__xludf.DUMMYFUNCTION("REGEXEXTRACT(J7686, ""[A-Za-z ]+$"")")," min")</f>
        <v> min</v>
      </c>
      <c r="AA7686" s="5" t="str">
        <f>IFERROR(__xludf.DUMMYFUNCTION("IF(REGEXMATCH(Z7686, ""Season""), ""TV Show"", ""Movie"")"),"Movie")</f>
        <v>Movie</v>
      </c>
    </row>
    <row r="7687">
      <c r="A7687" s="1" t="s">
        <v>37294</v>
      </c>
      <c r="B7687" s="1" t="s">
        <v>27</v>
      </c>
      <c r="C7687" s="1" t="s">
        <v>37295</v>
      </c>
      <c r="E7687" s="1" t="s">
        <v>37296</v>
      </c>
      <c r="F7687" s="1" t="s">
        <v>3892</v>
      </c>
      <c r="G7687" s="1" t="s">
        <v>25185</v>
      </c>
      <c r="H7687" s="1">
        <v>2017.0</v>
      </c>
      <c r="I7687" s="1" t="s">
        <v>136</v>
      </c>
      <c r="J7687" s="1" t="s">
        <v>238</v>
      </c>
      <c r="K7687" s="1" t="s">
        <v>583</v>
      </c>
      <c r="L7687" s="1" t="s">
        <v>37297</v>
      </c>
      <c r="M7687" s="2" t="s">
        <v>12</v>
      </c>
      <c r="N7687" s="4">
        <f t="shared" si="1"/>
        <v>43282</v>
      </c>
      <c r="O7687" s="5" t="str">
        <f>IFERROR(__xludf.DUMMYFUNCTION("IF(REGEXMATCH(TRIM(I7687), ""^\d+\s*min""), ""Unclassified"", IF(I7687 = """", ""NR"", I7687))"),"TV-PG")</f>
        <v>TV-PG</v>
      </c>
      <c r="R7687" s="5" t="str">
        <f t="shared" si="2"/>
        <v>Our Shining Days</v>
      </c>
      <c r="S7687" s="5" t="str">
        <f>IFERROR(__xludf.DUMMYFUNCTION("""COMPUTED_VALUE"""),"The Rise Of Phoenixes")</f>
        <v>The Rise Of Phoenixes</v>
      </c>
      <c r="V7687" s="5"/>
      <c r="Y7687" s="5" t="str">
        <f>IFERROR(__xludf.DUMMYFUNCTION("REGEXEXTRACT(J7687, ""^\d+"")"),"103")</f>
        <v>103</v>
      </c>
      <c r="Z7687" s="5" t="str">
        <f>IFERROR(__xludf.DUMMYFUNCTION("REGEXEXTRACT(J7687, ""[A-Za-z ]+$"")")," min")</f>
        <v> min</v>
      </c>
      <c r="AA7687" s="5" t="str">
        <f>IFERROR(__xludf.DUMMYFUNCTION("IF(REGEXMATCH(Z7687, ""Season""), ""TV Show"", ""Movie"")"),"Movie")</f>
        <v>Movie</v>
      </c>
    </row>
    <row r="7688">
      <c r="A7688" s="1" t="s">
        <v>37298</v>
      </c>
      <c r="B7688" s="1" t="s">
        <v>27</v>
      </c>
      <c r="C7688" s="1" t="s">
        <v>37299</v>
      </c>
      <c r="D7688" s="1" t="s">
        <v>352</v>
      </c>
      <c r="E7688" s="1" t="s">
        <v>37300</v>
      </c>
      <c r="F7688" s="1" t="s">
        <v>96</v>
      </c>
      <c r="G7688" s="1" t="s">
        <v>22059</v>
      </c>
      <c r="H7688" s="1">
        <v>2018.0</v>
      </c>
      <c r="I7688" s="1" t="s">
        <v>42</v>
      </c>
      <c r="J7688" s="1" t="s">
        <v>447</v>
      </c>
      <c r="K7688" s="1" t="s">
        <v>380</v>
      </c>
      <c r="L7688" s="1" t="s">
        <v>37301</v>
      </c>
      <c r="M7688" s="2" t="s">
        <v>12</v>
      </c>
      <c r="N7688" s="4">
        <f t="shared" si="1"/>
        <v>43511</v>
      </c>
      <c r="O7688" s="5" t="str">
        <f>IFERROR(__xludf.DUMMYFUNCTION("IF(REGEXMATCH(TRIM(I7688), ""^\d+\s*min""), ""Unclassified"", IF(I7688 = """", ""NR"", I7688))"),"TV-MA")</f>
        <v>TV-MA</v>
      </c>
      <c r="R7688" s="5" t="str">
        <f t="shared" si="2"/>
        <v>Outlawed</v>
      </c>
      <c r="S7688" s="5" t="str">
        <f>IFERROR(__xludf.DUMMYFUNCTION("""COMPUTED_VALUE"""),"The Ritual")</f>
        <v>The Ritual</v>
      </c>
      <c r="V7688" s="5"/>
      <c r="Y7688" s="5" t="str">
        <f>IFERROR(__xludf.DUMMYFUNCTION("REGEXEXTRACT(J7688, ""^\d+"")"),"102")</f>
        <v>102</v>
      </c>
      <c r="Z7688" s="5" t="str">
        <f>IFERROR(__xludf.DUMMYFUNCTION("REGEXEXTRACT(J7688, ""[A-Za-z ]+$"")")," min")</f>
        <v> min</v>
      </c>
      <c r="AA7688" s="5" t="str">
        <f>IFERROR(__xludf.DUMMYFUNCTION("IF(REGEXMATCH(Z7688, ""Season""), ""TV Show"", ""Movie"")"),"Movie")</f>
        <v>Movie</v>
      </c>
    </row>
    <row r="7689">
      <c r="A7689" s="1" t="s">
        <v>37302</v>
      </c>
      <c r="B7689" s="1" t="s">
        <v>27</v>
      </c>
      <c r="C7689" s="1" t="s">
        <v>37303</v>
      </c>
      <c r="D7689" s="1" t="s">
        <v>17799</v>
      </c>
      <c r="E7689" s="1" t="s">
        <v>37304</v>
      </c>
      <c r="F7689" s="1" t="s">
        <v>37305</v>
      </c>
      <c r="G7689" s="7">
        <v>43616.0</v>
      </c>
      <c r="H7689" s="1">
        <v>2006.0</v>
      </c>
      <c r="I7689" s="1" t="s">
        <v>42</v>
      </c>
      <c r="J7689" s="1" t="s">
        <v>305</v>
      </c>
      <c r="K7689" s="1" t="s">
        <v>1441</v>
      </c>
      <c r="L7689" s="1" t="s">
        <v>37306</v>
      </c>
      <c r="M7689" s="2" t="s">
        <v>12</v>
      </c>
      <c r="N7689" s="4">
        <f t="shared" si="1"/>
        <v>43616</v>
      </c>
      <c r="O7689" s="5" t="str">
        <f>IFERROR(__xludf.DUMMYFUNCTION("IF(REGEXMATCH(TRIM(I7689), ""^\d+\s*min""), ""Unclassified"", IF(I7689 = """", ""NR"", I7689))"),"TV-MA")</f>
        <v>TV-MA</v>
      </c>
      <c r="R7689" s="5" t="str">
        <f t="shared" si="2"/>
        <v>P</v>
      </c>
      <c r="S7689" s="5" t="str">
        <f>IFERROR(__xludf.DUMMYFUNCTION("""COMPUTED_VALUE"""),"The River Runner")</f>
        <v>The River Runner</v>
      </c>
      <c r="V7689" s="5"/>
      <c r="Y7689" s="5" t="str">
        <f>IFERROR(__xludf.DUMMYFUNCTION("REGEXEXTRACT(J7689, ""^\d+"")"),"105")</f>
        <v>105</v>
      </c>
      <c r="Z7689" s="5" t="str">
        <f>IFERROR(__xludf.DUMMYFUNCTION("REGEXEXTRACT(J7689, ""[A-Za-z ]+$"")")," min")</f>
        <v> min</v>
      </c>
      <c r="AA7689" s="5" t="str">
        <f>IFERROR(__xludf.DUMMYFUNCTION("IF(REGEXMATCH(Z7689, ""Season""), ""TV Show"", ""Movie"")"),"Movie")</f>
        <v>Movie</v>
      </c>
    </row>
    <row r="7690">
      <c r="A7690" s="1" t="s">
        <v>37307</v>
      </c>
      <c r="B7690" s="1" t="s">
        <v>27</v>
      </c>
      <c r="C7690" s="1" t="s">
        <v>37308</v>
      </c>
      <c r="D7690" s="1" t="s">
        <v>13220</v>
      </c>
      <c r="E7690" s="1" t="s">
        <v>37309</v>
      </c>
      <c r="F7690" s="1" t="s">
        <v>63</v>
      </c>
      <c r="G7690" s="1" t="s">
        <v>24964</v>
      </c>
      <c r="H7690" s="1">
        <v>2015.0</v>
      </c>
      <c r="I7690" s="1" t="s">
        <v>97</v>
      </c>
      <c r="J7690" s="1" t="s">
        <v>743</v>
      </c>
      <c r="K7690" s="1" t="s">
        <v>5295</v>
      </c>
      <c r="L7690" s="1" t="s">
        <v>37310</v>
      </c>
      <c r="M7690" s="2" t="s">
        <v>12</v>
      </c>
      <c r="N7690" s="4">
        <f t="shared" si="1"/>
        <v>43313</v>
      </c>
      <c r="O7690" s="5" t="str">
        <f>IFERROR(__xludf.DUMMYFUNCTION("IF(REGEXMATCH(TRIM(I7690), ""^\d+\s*min""), ""Unclassified"", IF(I7690 = """", ""NR"", I7690))"),"TV-14")</f>
        <v>TV-14</v>
      </c>
      <c r="R7690" s="5" t="str">
        <f t="shared" si="2"/>
        <v>P Se Pm Tak</v>
      </c>
      <c r="S7690" s="5" t="str">
        <f>IFERROR(__xludf.DUMMYFUNCTION("""COMPUTED_VALUE"""),"The River Thief")</f>
        <v>The River Thief</v>
      </c>
      <c r="V7690" s="5"/>
      <c r="Y7690" s="5" t="str">
        <f>IFERROR(__xludf.DUMMYFUNCTION("REGEXEXTRACT(J7690, ""^\d+"")"),"117")</f>
        <v>117</v>
      </c>
      <c r="Z7690" s="5" t="str">
        <f>IFERROR(__xludf.DUMMYFUNCTION("REGEXEXTRACT(J7690, ""[A-Za-z ]+$"")")," min")</f>
        <v> min</v>
      </c>
      <c r="AA7690" s="5" t="str">
        <f>IFERROR(__xludf.DUMMYFUNCTION("IF(REGEXMATCH(Z7690, ""Season""), ""TV Show"", ""Movie"")"),"Movie")</f>
        <v>Movie</v>
      </c>
    </row>
    <row r="7691">
      <c r="A7691" s="1" t="s">
        <v>37311</v>
      </c>
      <c r="B7691" s="1" t="s">
        <v>37</v>
      </c>
      <c r="C7691" s="1" t="s">
        <v>37312</v>
      </c>
      <c r="E7691" s="1" t="s">
        <v>37313</v>
      </c>
      <c r="F7691" s="1" t="s">
        <v>30</v>
      </c>
      <c r="G7691" s="1" t="s">
        <v>26848</v>
      </c>
      <c r="H7691" s="1">
        <v>2016.0</v>
      </c>
      <c r="I7691" s="1" t="s">
        <v>206</v>
      </c>
      <c r="J7691" s="1" t="s">
        <v>51</v>
      </c>
      <c r="K7691" s="1" t="s">
        <v>314</v>
      </c>
      <c r="L7691" s="1" t="s">
        <v>37314</v>
      </c>
      <c r="M7691" s="2" t="s">
        <v>12</v>
      </c>
      <c r="N7691" s="4">
        <f t="shared" si="1"/>
        <v>43046</v>
      </c>
      <c r="O7691" s="5" t="str">
        <f>IFERROR(__xludf.DUMMYFUNCTION("IF(REGEXMATCH(TRIM(I7691), ""^\d+\s*min""), ""Unclassified"", IF(I7691 = """", ""NR"", I7691))"),"TV-Y")</f>
        <v>TV-Y</v>
      </c>
      <c r="R7691" s="5" t="str">
        <f t="shared" si="2"/>
        <v>P. King Duckling</v>
      </c>
      <c r="S7691" s="5" t="str">
        <f>IFERROR(__xludf.DUMMYFUNCTION("""COMPUTED_VALUE"""),"The River Wild")</f>
        <v>The River Wild</v>
      </c>
      <c r="V7691" s="5"/>
      <c r="Y7691" s="5" t="str">
        <f>IFERROR(__xludf.DUMMYFUNCTION("REGEXEXTRACT(J7691, ""^\d+"")"),"1")</f>
        <v>1</v>
      </c>
      <c r="Z7691" s="5" t="str">
        <f>IFERROR(__xludf.DUMMYFUNCTION("REGEXEXTRACT(J7691, ""[A-Za-z ]+$"")")," Season")</f>
        <v> Season</v>
      </c>
      <c r="AA7691" s="5" t="str">
        <f>IFERROR(__xludf.DUMMYFUNCTION("IF(REGEXMATCH(Z7691, ""Season""), ""TV Show"", ""Movie"")"),"TV Show")</f>
        <v>TV Show</v>
      </c>
    </row>
    <row r="7692">
      <c r="A7692" s="1" t="s">
        <v>37315</v>
      </c>
      <c r="B7692" s="1" t="s">
        <v>27</v>
      </c>
      <c r="C7692" s="1" t="s">
        <v>37316</v>
      </c>
      <c r="D7692" s="1" t="s">
        <v>1006</v>
      </c>
      <c r="E7692" s="1" t="s">
        <v>37317</v>
      </c>
      <c r="F7692" s="1" t="s">
        <v>30</v>
      </c>
      <c r="G7692" s="1" t="s">
        <v>21360</v>
      </c>
      <c r="H7692" s="1">
        <v>2007.0</v>
      </c>
      <c r="I7692" s="1" t="s">
        <v>32</v>
      </c>
      <c r="J7692" s="1" t="s">
        <v>3458</v>
      </c>
      <c r="K7692" s="1" t="s">
        <v>828</v>
      </c>
      <c r="L7692" s="1" t="s">
        <v>37318</v>
      </c>
      <c r="M7692" s="2" t="s">
        <v>12</v>
      </c>
      <c r="N7692" s="4">
        <f t="shared" si="1"/>
        <v>43556</v>
      </c>
      <c r="O7692" s="5" t="str">
        <f>IFERROR(__xludf.DUMMYFUNCTION("IF(REGEXMATCH(TRIM(I7692), ""^\d+\s*min""), ""Unclassified"", IF(I7692 = """", ""NR"", I7692))"),"PG-13")</f>
        <v>PG-13</v>
      </c>
      <c r="R7692" s="5" t="str">
        <f t="shared" si="2"/>
        <v>P.S. I Love You</v>
      </c>
      <c r="S7692" s="5" t="str">
        <f>IFERROR(__xludf.DUMMYFUNCTION("""COMPUTED_VALUE"""),"The Road To Calvary")</f>
        <v>The Road To Calvary</v>
      </c>
      <c r="V7692" s="5"/>
      <c r="Y7692" s="5" t="str">
        <f>IFERROR(__xludf.DUMMYFUNCTION("REGEXEXTRACT(J7692, ""^\d+"")"),"126")</f>
        <v>126</v>
      </c>
      <c r="Z7692" s="5" t="str">
        <f>IFERROR(__xludf.DUMMYFUNCTION("REGEXEXTRACT(J7692, ""[A-Za-z ]+$"")")," min")</f>
        <v> min</v>
      </c>
      <c r="AA7692" s="5" t="str">
        <f>IFERROR(__xludf.DUMMYFUNCTION("IF(REGEXMATCH(Z7692, ""Season""), ""TV Show"", ""Movie"")"),"Movie")</f>
        <v>Movie</v>
      </c>
    </row>
    <row r="7693">
      <c r="A7693" s="1" t="s">
        <v>37319</v>
      </c>
      <c r="B7693" s="1" t="s">
        <v>27</v>
      </c>
      <c r="C7693" s="1" t="s">
        <v>37320</v>
      </c>
      <c r="D7693" s="1" t="s">
        <v>4394</v>
      </c>
      <c r="E7693" s="1" t="s">
        <v>37321</v>
      </c>
      <c r="F7693" s="1" t="s">
        <v>63</v>
      </c>
      <c r="G7693" s="1" t="s">
        <v>25185</v>
      </c>
      <c r="H7693" s="1">
        <v>2017.0</v>
      </c>
      <c r="I7693" s="1" t="s">
        <v>97</v>
      </c>
      <c r="J7693" s="1" t="s">
        <v>1191</v>
      </c>
      <c r="K7693" s="1" t="s">
        <v>128</v>
      </c>
      <c r="L7693" s="1" t="s">
        <v>37322</v>
      </c>
      <c r="M7693" s="2" t="s">
        <v>12</v>
      </c>
      <c r="N7693" s="4">
        <f t="shared" si="1"/>
        <v>43282</v>
      </c>
      <c r="O7693" s="5" t="str">
        <f>IFERROR(__xludf.DUMMYFUNCTION("IF(REGEXMATCH(TRIM(I7693), ""^\d+\s*min""), ""Unclassified"", IF(I7693 = """", ""NR"", I7693))"),"TV-14")</f>
        <v>TV-14</v>
      </c>
      <c r="R7693" s="5" t="str">
        <f t="shared" si="2"/>
        <v>Paathi</v>
      </c>
      <c r="S7693" s="5" t="str">
        <f>IFERROR(__xludf.DUMMYFUNCTION("""COMPUTED_VALUE"""),"The Road To El Camino: Behind The Scenes Of El Camino: A Breaking Bad Movie")</f>
        <v>The Road To El Camino: Behind The Scenes Of El Camino: A Breaking Bad Movie</v>
      </c>
      <c r="V7693" s="5"/>
      <c r="Y7693" s="5" t="str">
        <f>IFERROR(__xludf.DUMMYFUNCTION("REGEXEXTRACT(J7693, ""^\d+"")"),"89")</f>
        <v>89</v>
      </c>
      <c r="Z7693" s="5" t="str">
        <f>IFERROR(__xludf.DUMMYFUNCTION("REGEXEXTRACT(J7693, ""[A-Za-z ]+$"")")," min")</f>
        <v> min</v>
      </c>
      <c r="AA7693" s="5" t="str">
        <f>IFERROR(__xludf.DUMMYFUNCTION("IF(REGEXMATCH(Z7693, ""Season""), ""TV Show"", ""Movie"")"),"Movie")</f>
        <v>Movie</v>
      </c>
    </row>
    <row r="7694">
      <c r="A7694" s="1" t="s">
        <v>37323</v>
      </c>
      <c r="B7694" s="1" t="s">
        <v>27</v>
      </c>
      <c r="C7694" s="1" t="s">
        <v>37324</v>
      </c>
      <c r="D7694" s="1" t="s">
        <v>11776</v>
      </c>
      <c r="F7694" s="1" t="s">
        <v>37325</v>
      </c>
      <c r="G7694" s="1" t="s">
        <v>25942</v>
      </c>
      <c r="H7694" s="1">
        <v>2007.0</v>
      </c>
      <c r="I7694" s="1" t="s">
        <v>30231</v>
      </c>
      <c r="J7694" s="1" t="s">
        <v>1001</v>
      </c>
      <c r="K7694" s="1" t="s">
        <v>156</v>
      </c>
      <c r="L7694" s="1" t="s">
        <v>37326</v>
      </c>
      <c r="M7694" s="2" t="s">
        <v>12</v>
      </c>
      <c r="N7694" s="4">
        <f t="shared" si="1"/>
        <v>43182</v>
      </c>
      <c r="O7694" s="5" t="str">
        <f>IFERROR(__xludf.DUMMYFUNCTION("IF(REGEXMATCH(TRIM(I7694), ""^\d+\s*min""), ""Unclassified"", IF(I7694 = """", ""NR"", I7694))"),"NR")</f>
        <v>NR</v>
      </c>
      <c r="R7694" s="5" t="str">
        <f t="shared" si="2"/>
        <v>Pablo Escobar: Angel Or Demon?</v>
      </c>
      <c r="S7694" s="5" t="str">
        <f>IFERROR(__xludf.DUMMYFUNCTION("""COMPUTED_VALUE"""),"The Road To Love")</f>
        <v>The Road To Love</v>
      </c>
      <c r="V7694" s="5"/>
      <c r="Y7694" s="5" t="str">
        <f>IFERROR(__xludf.DUMMYFUNCTION("REGEXEXTRACT(J7694, ""^\d+"")"),"82")</f>
        <v>82</v>
      </c>
      <c r="Z7694" s="5" t="str">
        <f>IFERROR(__xludf.DUMMYFUNCTION("REGEXEXTRACT(J7694, ""[A-Za-z ]+$"")")," min")</f>
        <v> min</v>
      </c>
      <c r="AA7694" s="5" t="str">
        <f>IFERROR(__xludf.DUMMYFUNCTION("IF(REGEXMATCH(Z7694, ""Season""), ""TV Show"", ""Movie"")"),"Movie")</f>
        <v>Movie</v>
      </c>
    </row>
    <row r="7695">
      <c r="A7695" s="1" t="s">
        <v>37327</v>
      </c>
      <c r="B7695" s="1" t="s">
        <v>37</v>
      </c>
      <c r="C7695" s="1" t="s">
        <v>37328</v>
      </c>
      <c r="E7695" s="1" t="s">
        <v>37329</v>
      </c>
      <c r="F7695" s="1" t="s">
        <v>221</v>
      </c>
      <c r="G7695" s="1" t="s">
        <v>29042</v>
      </c>
      <c r="H7695" s="1">
        <v>2016.0</v>
      </c>
      <c r="I7695" s="1" t="s">
        <v>97</v>
      </c>
      <c r="J7695" s="1" t="s">
        <v>51</v>
      </c>
      <c r="K7695" s="1" t="s">
        <v>37330</v>
      </c>
      <c r="L7695" s="1" t="s">
        <v>37331</v>
      </c>
      <c r="M7695" s="2" t="s">
        <v>12</v>
      </c>
      <c r="N7695" s="4">
        <f t="shared" si="1"/>
        <v>42706</v>
      </c>
      <c r="O7695" s="5" t="str">
        <f>IFERROR(__xludf.DUMMYFUNCTION("IF(REGEXMATCH(TRIM(I7695), ""^\d+\s*min""), ""Unclassified"", IF(I7695 = """", ""NR"", I7695))"),"TV-14")</f>
        <v>TV-14</v>
      </c>
      <c r="R7695" s="5" t="str">
        <f t="shared" si="2"/>
        <v>Pacific Heat</v>
      </c>
      <c r="S7695" s="5" t="str">
        <f>IFERROR(__xludf.DUMMYFUNCTION("""COMPUTED_VALUE"""),"The Rolling Stones: Olé Olé Olé! A Trip Across Latin America")</f>
        <v>The Rolling Stones: Olé Olé Olé! A Trip Across Latin America</v>
      </c>
      <c r="V7695" s="5"/>
      <c r="Y7695" s="5" t="str">
        <f>IFERROR(__xludf.DUMMYFUNCTION("REGEXEXTRACT(J7695, ""^\d+"")"),"1")</f>
        <v>1</v>
      </c>
      <c r="Z7695" s="5" t="str">
        <f>IFERROR(__xludf.DUMMYFUNCTION("REGEXEXTRACT(J7695, ""[A-Za-z ]+$"")")," Season")</f>
        <v> Season</v>
      </c>
      <c r="AA7695" s="5" t="str">
        <f>IFERROR(__xludf.DUMMYFUNCTION("IF(REGEXMATCH(Z7695, ""Season""), ""TV Show"", ""Movie"")"),"TV Show")</f>
        <v>TV Show</v>
      </c>
    </row>
    <row r="7696">
      <c r="A7696" s="1" t="s">
        <v>37332</v>
      </c>
      <c r="B7696" s="1" t="s">
        <v>27</v>
      </c>
      <c r="C7696" s="1" t="s">
        <v>37333</v>
      </c>
      <c r="D7696" s="1" t="s">
        <v>18291</v>
      </c>
      <c r="E7696" s="1" t="s">
        <v>37334</v>
      </c>
      <c r="F7696" s="1" t="s">
        <v>2796</v>
      </c>
      <c r="G7696" s="1" t="s">
        <v>30969</v>
      </c>
      <c r="H7696" s="1">
        <v>2007.0</v>
      </c>
      <c r="I7696" s="1" t="s">
        <v>42</v>
      </c>
      <c r="J7696" s="1" t="s">
        <v>1001</v>
      </c>
      <c r="K7696" s="1" t="s">
        <v>1066</v>
      </c>
      <c r="L7696" s="1" t="s">
        <v>37335</v>
      </c>
      <c r="M7696" s="2" t="s">
        <v>12</v>
      </c>
      <c r="N7696" s="4">
        <f t="shared" si="1"/>
        <v>43307</v>
      </c>
      <c r="O7696" s="5" t="str">
        <f>IFERROR(__xludf.DUMMYFUNCTION("IF(REGEXMATCH(TRIM(I7696), ""^\d+\s*min""), ""Unclassified"", IF(I7696 = """", ""NR"", I7696))"),"TV-MA")</f>
        <v>TV-MA</v>
      </c>
      <c r="R7696" s="5" t="str">
        <f t="shared" si="2"/>
        <v>Pahuyut Fighting Beat</v>
      </c>
      <c r="S7696" s="5" t="str">
        <f>IFERROR(__xludf.DUMMYFUNCTION("""COMPUTED_VALUE"""),"The Roommate")</f>
        <v>The Roommate</v>
      </c>
      <c r="V7696" s="5"/>
      <c r="Y7696" s="5" t="str">
        <f>IFERROR(__xludf.DUMMYFUNCTION("REGEXEXTRACT(J7696, ""^\d+"")"),"82")</f>
        <v>82</v>
      </c>
      <c r="Z7696" s="5" t="str">
        <f>IFERROR(__xludf.DUMMYFUNCTION("REGEXEXTRACT(J7696, ""[A-Za-z ]+$"")")," min")</f>
        <v> min</v>
      </c>
      <c r="AA7696" s="5" t="str">
        <f>IFERROR(__xludf.DUMMYFUNCTION("IF(REGEXMATCH(Z7696, ""Season""), ""TV Show"", ""Movie"")"),"Movie")</f>
        <v>Movie</v>
      </c>
    </row>
    <row r="7697">
      <c r="A7697" s="1" t="s">
        <v>37336</v>
      </c>
      <c r="B7697" s="1" t="s">
        <v>27</v>
      </c>
      <c r="C7697" s="1" t="s">
        <v>37337</v>
      </c>
      <c r="D7697" s="1" t="s">
        <v>26380</v>
      </c>
      <c r="E7697" s="1" t="s">
        <v>37338</v>
      </c>
      <c r="F7697" s="1" t="s">
        <v>30</v>
      </c>
      <c r="G7697" s="1" t="s">
        <v>18333</v>
      </c>
      <c r="H7697" s="1">
        <v>2002.0</v>
      </c>
      <c r="I7697" s="1" t="s">
        <v>378</v>
      </c>
      <c r="J7697" s="1" t="s">
        <v>357</v>
      </c>
      <c r="K7697" s="1" t="s">
        <v>323</v>
      </c>
      <c r="L7697" s="1" t="s">
        <v>37339</v>
      </c>
      <c r="M7697" s="2" t="s">
        <v>12</v>
      </c>
      <c r="N7697" s="4">
        <f t="shared" si="1"/>
        <v>43770</v>
      </c>
      <c r="O7697" s="5" t="str">
        <f>IFERROR(__xludf.DUMMYFUNCTION("IF(REGEXMATCH(TRIM(I7697), ""^\d+\s*min""), ""Unclassified"", IF(I7697 = """", ""NR"", I7697))"),"R")</f>
        <v>R</v>
      </c>
      <c r="R7697" s="5" t="str">
        <f t="shared" si="2"/>
        <v>Paid In Full</v>
      </c>
      <c r="S7697" s="5" t="str">
        <f>IFERROR(__xludf.DUMMYFUNCTION("""COMPUTED_VALUE"""),"The Rope Curse 2")</f>
        <v>The Rope Curse 2</v>
      </c>
      <c r="V7697" s="5"/>
      <c r="Y7697" s="5" t="str">
        <f>IFERROR(__xludf.DUMMYFUNCTION("REGEXEXTRACT(J7697, ""^\d+"")"),"98")</f>
        <v>98</v>
      </c>
      <c r="Z7697" s="5" t="str">
        <f>IFERROR(__xludf.DUMMYFUNCTION("REGEXEXTRACT(J7697, ""[A-Za-z ]+$"")")," min")</f>
        <v> min</v>
      </c>
      <c r="AA7697" s="5" t="str">
        <f>IFERROR(__xludf.DUMMYFUNCTION("IF(REGEXMATCH(Z7697, ""Season""), ""TV Show"", ""Movie"")"),"Movie")</f>
        <v>Movie</v>
      </c>
    </row>
    <row r="7698">
      <c r="A7698" s="1" t="s">
        <v>37340</v>
      </c>
      <c r="B7698" s="1" t="s">
        <v>27</v>
      </c>
      <c r="C7698" s="1" t="s">
        <v>37341</v>
      </c>
      <c r="D7698" s="1" t="s">
        <v>1569</v>
      </c>
      <c r="E7698" s="1" t="s">
        <v>37342</v>
      </c>
      <c r="F7698" s="1" t="s">
        <v>30</v>
      </c>
      <c r="G7698" s="1" t="s">
        <v>26295</v>
      </c>
      <c r="H7698" s="1">
        <v>2016.0</v>
      </c>
      <c r="I7698" s="1" t="s">
        <v>378</v>
      </c>
      <c r="J7698" s="1" t="s">
        <v>322</v>
      </c>
      <c r="K7698" s="1" t="s">
        <v>805</v>
      </c>
      <c r="L7698" s="1" t="s">
        <v>37343</v>
      </c>
      <c r="M7698" s="2" t="s">
        <v>12</v>
      </c>
      <c r="N7698" s="4">
        <f t="shared" si="1"/>
        <v>43132</v>
      </c>
      <c r="O7698" s="5" t="str">
        <f>IFERROR(__xludf.DUMMYFUNCTION("IF(REGEXMATCH(TRIM(I7698), ""^\d+\s*min""), ""Unclassified"", IF(I7698 = """", ""NR"", I7698))"),"R")</f>
        <v>R</v>
      </c>
      <c r="R7698" s="5" t="str">
        <f t="shared" si="2"/>
        <v>Paint It Black</v>
      </c>
      <c r="S7698" s="5" t="str">
        <f>IFERROR(__xludf.DUMMYFUNCTION("""COMPUTED_VALUE"""),"The Rover")</f>
        <v>The Rover</v>
      </c>
      <c r="V7698" s="5"/>
      <c r="Y7698" s="5" t="str">
        <f>IFERROR(__xludf.DUMMYFUNCTION("REGEXEXTRACT(J7698, ""^\d+"")"),"96")</f>
        <v>96</v>
      </c>
      <c r="Z7698" s="5" t="str">
        <f>IFERROR(__xludf.DUMMYFUNCTION("REGEXEXTRACT(J7698, ""[A-Za-z ]+$"")")," min")</f>
        <v> min</v>
      </c>
      <c r="AA7698" s="5" t="str">
        <f>IFERROR(__xludf.DUMMYFUNCTION("IF(REGEXMATCH(Z7698, ""Season""), ""TV Show"", ""Movie"")"),"Movie")</f>
        <v>Movie</v>
      </c>
    </row>
    <row r="7699">
      <c r="A7699" s="1" t="s">
        <v>37344</v>
      </c>
      <c r="B7699" s="1" t="s">
        <v>27</v>
      </c>
      <c r="C7699" s="1" t="s">
        <v>37345</v>
      </c>
      <c r="D7699" s="1" t="s">
        <v>1126</v>
      </c>
      <c r="E7699" s="1" t="s">
        <v>37346</v>
      </c>
      <c r="F7699" s="1" t="s">
        <v>1119</v>
      </c>
      <c r="G7699" s="1" t="s">
        <v>24803</v>
      </c>
      <c r="H7699" s="1">
        <v>1988.0</v>
      </c>
      <c r="I7699" s="1" t="s">
        <v>136</v>
      </c>
      <c r="J7699" s="1" t="s">
        <v>912</v>
      </c>
      <c r="K7699" s="1" t="s">
        <v>128</v>
      </c>
      <c r="L7699" s="1" t="s">
        <v>37347</v>
      </c>
      <c r="M7699" s="2" t="s">
        <v>12</v>
      </c>
      <c r="N7699" s="4">
        <f t="shared" si="1"/>
        <v>43328</v>
      </c>
      <c r="O7699" s="5" t="str">
        <f>IFERROR(__xludf.DUMMYFUNCTION("IF(REGEXMATCH(TRIM(I7699), ""^\d+\s*min""), ""Unclassified"", IF(I7699 = """", ""NR"", I7699))"),"TV-PG")</f>
        <v>TV-PG</v>
      </c>
      <c r="R7699" s="5" t="str">
        <f t="shared" si="2"/>
        <v>Painted Faces</v>
      </c>
      <c r="S7699" s="5" t="str">
        <f>IFERROR(__xludf.DUMMYFUNCTION("""COMPUTED_VALUE"""),"The Royal Bengal Tiger")</f>
        <v>The Royal Bengal Tiger</v>
      </c>
      <c r="V7699" s="5"/>
      <c r="Y7699" s="5" t="str">
        <f>IFERROR(__xludf.DUMMYFUNCTION("REGEXEXTRACT(J7699, ""^\d+"")"),"108")</f>
        <v>108</v>
      </c>
      <c r="Z7699" s="5" t="str">
        <f>IFERROR(__xludf.DUMMYFUNCTION("REGEXEXTRACT(J7699, ""[A-Za-z ]+$"")")," min")</f>
        <v> min</v>
      </c>
      <c r="AA7699" s="5" t="str">
        <f>IFERROR(__xludf.DUMMYFUNCTION("IF(REGEXMATCH(Z7699, ""Season""), ""TV Show"", ""Movie"")"),"Movie")</f>
        <v>Movie</v>
      </c>
    </row>
    <row r="7700">
      <c r="A7700" s="1" t="s">
        <v>37348</v>
      </c>
      <c r="B7700" s="1" t="s">
        <v>37</v>
      </c>
      <c r="C7700" s="1" t="s">
        <v>37349</v>
      </c>
      <c r="E7700" s="1" t="s">
        <v>37350</v>
      </c>
      <c r="F7700" s="1" t="s">
        <v>30</v>
      </c>
      <c r="G7700" s="1" t="s">
        <v>15397</v>
      </c>
      <c r="H7700" s="1">
        <v>2011.0</v>
      </c>
      <c r="I7700" s="1" t="s">
        <v>206</v>
      </c>
      <c r="J7700" s="1" t="s">
        <v>51</v>
      </c>
      <c r="K7700" s="1" t="s">
        <v>290</v>
      </c>
      <c r="L7700" s="1" t="s">
        <v>37351</v>
      </c>
      <c r="M7700" s="2" t="s">
        <v>12</v>
      </c>
      <c r="N7700" s="4">
        <f t="shared" si="1"/>
        <v>43921</v>
      </c>
      <c r="O7700" s="5" t="str">
        <f>IFERROR(__xludf.DUMMYFUNCTION("IF(REGEXMATCH(TRIM(I7700), ""^\d+\s*min""), ""Unclassified"", IF(I7700 = """", ""NR"", I7700))"),"TV-Y")</f>
        <v>TV-Y</v>
      </c>
      <c r="R7700" s="5" t="str">
        <f t="shared" si="2"/>
        <v>Pajanimals</v>
      </c>
      <c r="S7700" s="5" t="str">
        <f>IFERROR(__xludf.DUMMYFUNCTION("""COMPUTED_VALUE"""),"The Royal Hibiscus Hotel")</f>
        <v>The Royal Hibiscus Hotel</v>
      </c>
      <c r="V7700" s="5"/>
      <c r="Y7700" s="5" t="str">
        <f>IFERROR(__xludf.DUMMYFUNCTION("REGEXEXTRACT(J7700, ""^\d+"")"),"1")</f>
        <v>1</v>
      </c>
      <c r="Z7700" s="5" t="str">
        <f>IFERROR(__xludf.DUMMYFUNCTION("REGEXEXTRACT(J7700, ""[A-Za-z ]+$"")")," Season")</f>
        <v> Season</v>
      </c>
      <c r="AA7700" s="5" t="str">
        <f>IFERROR(__xludf.DUMMYFUNCTION("IF(REGEXMATCH(Z7700, ""Season""), ""TV Show"", ""Movie"")"),"TV Show")</f>
        <v>TV Show</v>
      </c>
    </row>
    <row r="7701">
      <c r="A7701" s="1" t="s">
        <v>37352</v>
      </c>
      <c r="B7701" s="1" t="s">
        <v>27</v>
      </c>
      <c r="C7701" s="1" t="s">
        <v>37353</v>
      </c>
      <c r="D7701" s="1" t="s">
        <v>5209</v>
      </c>
      <c r="F7701" s="1" t="s">
        <v>96</v>
      </c>
      <c r="G7701" s="1" t="s">
        <v>30230</v>
      </c>
      <c r="H7701" s="1">
        <v>2015.0</v>
      </c>
      <c r="I7701" s="1" t="s">
        <v>97</v>
      </c>
      <c r="J7701" s="1" t="s">
        <v>79</v>
      </c>
      <c r="K7701" s="1" t="s">
        <v>520</v>
      </c>
      <c r="L7701" s="1" t="s">
        <v>37354</v>
      </c>
      <c r="M7701" s="2" t="s">
        <v>12</v>
      </c>
      <c r="N7701" s="4">
        <f t="shared" si="1"/>
        <v>42551</v>
      </c>
      <c r="O7701" s="5" t="str">
        <f>IFERROR(__xludf.DUMMYFUNCTION("IF(REGEXMATCH(TRIM(I7701), ""^\d+\s*min""), ""Unclassified"", IF(I7701 = """", ""NR"", I7701))"),"TV-14")</f>
        <v>TV-14</v>
      </c>
      <c r="R7701" s="5" t="str">
        <f t="shared" si="2"/>
        <v>Palio</v>
      </c>
      <c r="S7701" s="5" t="str">
        <f>IFERROR(__xludf.DUMMYFUNCTION("""COMPUTED_VALUE"""),"The Royal House Of Windsor")</f>
        <v>The Royal House Of Windsor</v>
      </c>
      <c r="V7701" s="5"/>
      <c r="Y7701" s="5" t="str">
        <f>IFERROR(__xludf.DUMMYFUNCTION("REGEXEXTRACT(J7701, ""^\d+"")"),"91")</f>
        <v>91</v>
      </c>
      <c r="Z7701" s="5" t="str">
        <f>IFERROR(__xludf.DUMMYFUNCTION("REGEXEXTRACT(J7701, ""[A-Za-z ]+$"")")," min")</f>
        <v> min</v>
      </c>
      <c r="AA7701" s="5" t="str">
        <f>IFERROR(__xludf.DUMMYFUNCTION("IF(REGEXMATCH(Z7701, ""Season""), ""TV Show"", ""Movie"")"),"Movie")</f>
        <v>Movie</v>
      </c>
    </row>
    <row r="7702">
      <c r="A7702" s="1" t="s">
        <v>37355</v>
      </c>
      <c r="B7702" s="1" t="s">
        <v>27</v>
      </c>
      <c r="C7702" s="1" t="s">
        <v>37356</v>
      </c>
      <c r="D7702" s="1" t="s">
        <v>7642</v>
      </c>
      <c r="E7702" s="1" t="s">
        <v>37357</v>
      </c>
      <c r="F7702" s="1" t="s">
        <v>784</v>
      </c>
      <c r="G7702" s="7">
        <v>42491.0</v>
      </c>
      <c r="H7702" s="1">
        <v>2015.0</v>
      </c>
      <c r="I7702" s="1" t="s">
        <v>42</v>
      </c>
      <c r="J7702" s="1" t="s">
        <v>24904</v>
      </c>
      <c r="K7702" s="1" t="s">
        <v>679</v>
      </c>
      <c r="L7702" s="1" t="s">
        <v>37358</v>
      </c>
      <c r="M7702" s="2" t="s">
        <v>12</v>
      </c>
      <c r="N7702" s="4">
        <f t="shared" si="1"/>
        <v>42491</v>
      </c>
      <c r="O7702" s="5" t="str">
        <f>IFERROR(__xludf.DUMMYFUNCTION("IF(REGEXMATCH(TRIM(I7702), ""^\d+\s*min""), ""Unclassified"", IF(I7702 = """", ""NR"", I7702))"),"TV-MA")</f>
        <v>TV-MA</v>
      </c>
      <c r="R7702" s="5" t="str">
        <f t="shared" si="2"/>
        <v>Palm Trees In The Snow</v>
      </c>
      <c r="S7702" s="5" t="str">
        <f>IFERROR(__xludf.DUMMYFUNCTION("""COMPUTED_VALUE"""),"The Rugrats Movie")</f>
        <v>The Rugrats Movie</v>
      </c>
      <c r="V7702" s="5"/>
      <c r="Y7702" s="5" t="str">
        <f>IFERROR(__xludf.DUMMYFUNCTION("REGEXEXTRACT(J7702, ""^\d+"")"),"163")</f>
        <v>163</v>
      </c>
      <c r="Z7702" s="5" t="str">
        <f>IFERROR(__xludf.DUMMYFUNCTION("REGEXEXTRACT(J7702, ""[A-Za-z ]+$"")")," min")</f>
        <v> min</v>
      </c>
      <c r="AA7702" s="5" t="str">
        <f>IFERROR(__xludf.DUMMYFUNCTION("IF(REGEXMATCH(Z7702, ""Season""), ""TV Show"", ""Movie"")"),"Movie")</f>
        <v>Movie</v>
      </c>
    </row>
    <row r="7703">
      <c r="A7703" s="1" t="s">
        <v>37359</v>
      </c>
      <c r="B7703" s="1" t="s">
        <v>27</v>
      </c>
      <c r="C7703" s="1" t="s">
        <v>37360</v>
      </c>
      <c r="D7703" s="1" t="s">
        <v>3725</v>
      </c>
      <c r="E7703" s="1" t="s">
        <v>37361</v>
      </c>
      <c r="F7703" s="1" t="s">
        <v>30</v>
      </c>
      <c r="G7703" s="1" t="s">
        <v>19813</v>
      </c>
      <c r="H7703" s="1">
        <v>2002.0</v>
      </c>
      <c r="I7703" s="1" t="s">
        <v>378</v>
      </c>
      <c r="J7703" s="1" t="s">
        <v>1243</v>
      </c>
      <c r="K7703" s="1" t="s">
        <v>171</v>
      </c>
      <c r="L7703" s="1" t="s">
        <v>37362</v>
      </c>
      <c r="M7703" s="2" t="s">
        <v>12</v>
      </c>
      <c r="N7703" s="4">
        <f t="shared" si="1"/>
        <v>43678</v>
      </c>
      <c r="O7703" s="5" t="str">
        <f>IFERROR(__xludf.DUMMYFUNCTION("IF(REGEXMATCH(TRIM(I7703), ""^\d+\s*min""), ""Unclassified"", IF(I7703 = """", ""NR"", I7703))"),"R")</f>
        <v>R</v>
      </c>
      <c r="R7703" s="5" t="str">
        <f t="shared" si="2"/>
        <v>Panic Room</v>
      </c>
      <c r="S7703" s="5" t="str">
        <f>IFERROR(__xludf.DUMMYFUNCTION("""COMPUTED_VALUE"""),"The Rum Diary")</f>
        <v>The Rum Diary</v>
      </c>
      <c r="V7703" s="5"/>
      <c r="Y7703" s="5" t="str">
        <f>IFERROR(__xludf.DUMMYFUNCTION("REGEXEXTRACT(J7703, ""^\d+"")"),"112")</f>
        <v>112</v>
      </c>
      <c r="Z7703" s="5" t="str">
        <f>IFERROR(__xludf.DUMMYFUNCTION("REGEXEXTRACT(J7703, ""[A-Za-z ]+$"")")," min")</f>
        <v> min</v>
      </c>
      <c r="AA7703" s="5" t="str">
        <f>IFERROR(__xludf.DUMMYFUNCTION("IF(REGEXMATCH(Z7703, ""Season""), ""TV Show"", ""Movie"")"),"Movie")</f>
        <v>Movie</v>
      </c>
    </row>
    <row r="7704">
      <c r="A7704" s="1" t="s">
        <v>37363</v>
      </c>
      <c r="B7704" s="1" t="s">
        <v>27</v>
      </c>
      <c r="C7704" s="1" t="s">
        <v>37364</v>
      </c>
      <c r="D7704" s="1" t="s">
        <v>3346</v>
      </c>
      <c r="E7704" s="1" t="s">
        <v>37365</v>
      </c>
      <c r="F7704" s="1" t="s">
        <v>63</v>
      </c>
      <c r="G7704" s="1" t="s">
        <v>26637</v>
      </c>
      <c r="H7704" s="1">
        <v>2000.0</v>
      </c>
      <c r="I7704" s="1" t="s">
        <v>136</v>
      </c>
      <c r="J7704" s="1" t="s">
        <v>4242</v>
      </c>
      <c r="K7704" s="1" t="s">
        <v>583</v>
      </c>
      <c r="L7704" s="1" t="s">
        <v>37366</v>
      </c>
      <c r="M7704" s="2" t="s">
        <v>12</v>
      </c>
      <c r="N7704" s="4">
        <f t="shared" si="1"/>
        <v>43077</v>
      </c>
      <c r="O7704" s="5" t="str">
        <f>IFERROR(__xludf.DUMMYFUNCTION("IF(REGEXMATCH(TRIM(I7704), ""^\d+\s*min""), ""Unclassified"", IF(I7704 = """", ""NR"", I7704))"),"TV-PG")</f>
        <v>TV-PG</v>
      </c>
      <c r="R7704" s="5" t="str">
        <f t="shared" si="2"/>
        <v>Papa The Great</v>
      </c>
      <c r="S7704" s="5" t="str">
        <f>IFERROR(__xludf.DUMMYFUNCTION("""COMPUTED_VALUE"""),"The Runaways")</f>
        <v>The Runaways</v>
      </c>
      <c r="V7704" s="5"/>
      <c r="Y7704" s="5" t="str">
        <f>IFERROR(__xludf.DUMMYFUNCTION("REGEXEXTRACT(J7704, ""^\d+"")"),"137")</f>
        <v>137</v>
      </c>
      <c r="Z7704" s="5" t="str">
        <f>IFERROR(__xludf.DUMMYFUNCTION("REGEXEXTRACT(J7704, ""[A-Za-z ]+$"")")," min")</f>
        <v> min</v>
      </c>
      <c r="AA7704" s="5" t="str">
        <f>IFERROR(__xludf.DUMMYFUNCTION("IF(REGEXMATCH(Z7704, ""Season""), ""TV Show"", ""Movie"")"),"Movie")</f>
        <v>Movie</v>
      </c>
    </row>
    <row r="7705">
      <c r="A7705" s="1" t="s">
        <v>37367</v>
      </c>
      <c r="B7705" s="1" t="s">
        <v>27</v>
      </c>
      <c r="C7705" s="1" t="s">
        <v>37368</v>
      </c>
      <c r="D7705" s="1" t="s">
        <v>18944</v>
      </c>
      <c r="E7705" s="1" t="s">
        <v>37369</v>
      </c>
      <c r="F7705" s="1" t="s">
        <v>1106</v>
      </c>
      <c r="G7705" s="1" t="s">
        <v>21079</v>
      </c>
      <c r="H7705" s="1">
        <v>2018.0</v>
      </c>
      <c r="I7705" s="1" t="s">
        <v>42</v>
      </c>
      <c r="J7705" s="1" t="s">
        <v>1191</v>
      </c>
      <c r="K7705" s="1" t="s">
        <v>1538</v>
      </c>
      <c r="L7705" s="1" t="s">
        <v>37370</v>
      </c>
      <c r="M7705" s="2" t="s">
        <v>12</v>
      </c>
      <c r="N7705" s="4">
        <f t="shared" si="1"/>
        <v>43575</v>
      </c>
      <c r="O7705" s="5" t="str">
        <f>IFERROR(__xludf.DUMMYFUNCTION("IF(REGEXMATCH(TRIM(I7705), ""^\d+\s*min""), ""Unclassified"", IF(I7705 = """", ""NR"", I7705))"),"TV-MA")</f>
        <v>TV-MA</v>
      </c>
      <c r="R7705" s="5" t="str">
        <f t="shared" si="2"/>
        <v>Paper Year</v>
      </c>
      <c r="S7705" s="5" t="str">
        <f>IFERROR(__xludf.DUMMYFUNCTION("""COMPUTED_VALUE"""),"The Runner")</f>
        <v>The Runner</v>
      </c>
      <c r="V7705" s="5"/>
      <c r="Y7705" s="5" t="str">
        <f>IFERROR(__xludf.DUMMYFUNCTION("REGEXEXTRACT(J7705, ""^\d+"")"),"89")</f>
        <v>89</v>
      </c>
      <c r="Z7705" s="5" t="str">
        <f>IFERROR(__xludf.DUMMYFUNCTION("REGEXEXTRACT(J7705, ""[A-Za-z ]+$"")")," min")</f>
        <v> min</v>
      </c>
      <c r="AA7705" s="5" t="str">
        <f>IFERROR(__xludf.DUMMYFUNCTION("IF(REGEXMATCH(Z7705, ""Season""), ""TV Show"", ""Movie"")"),"Movie")</f>
        <v>Movie</v>
      </c>
    </row>
    <row r="7706">
      <c r="A7706" s="1" t="s">
        <v>37371</v>
      </c>
      <c r="B7706" s="1" t="s">
        <v>27</v>
      </c>
      <c r="C7706" s="1" t="s">
        <v>37372</v>
      </c>
      <c r="D7706" s="1" t="s">
        <v>17318</v>
      </c>
      <c r="E7706" s="1" t="s">
        <v>37373</v>
      </c>
      <c r="F7706" s="1" t="s">
        <v>30</v>
      </c>
      <c r="G7706" s="1" t="s">
        <v>16947</v>
      </c>
      <c r="H7706" s="1">
        <v>2007.0</v>
      </c>
      <c r="I7706" s="1" t="s">
        <v>378</v>
      </c>
      <c r="J7706" s="1" t="s">
        <v>1144</v>
      </c>
      <c r="K7706" s="1" t="s">
        <v>3768</v>
      </c>
      <c r="L7706" s="1" t="s">
        <v>37374</v>
      </c>
      <c r="M7706" s="2" t="s">
        <v>12</v>
      </c>
      <c r="N7706" s="4">
        <f t="shared" si="1"/>
        <v>43831</v>
      </c>
      <c r="O7706" s="5" t="str">
        <f>IFERROR(__xludf.DUMMYFUNCTION("IF(REGEXMATCH(TRIM(I7706), ""^\d+\s*min""), ""Unclassified"", IF(I7706 = """", ""NR"", I7706))"),"R")</f>
        <v>R</v>
      </c>
      <c r="R7706" s="5" t="str">
        <f t="shared" si="2"/>
        <v>Paranormal Activity</v>
      </c>
      <c r="S7706" s="5" t="str">
        <f>IFERROR(__xludf.DUMMYFUNCTION("""COMPUTED_VALUE"""),"The Russian Revolution")</f>
        <v>The Russian Revolution</v>
      </c>
      <c r="V7706" s="5"/>
      <c r="Y7706" s="5" t="str">
        <f>IFERROR(__xludf.DUMMYFUNCTION("REGEXEXTRACT(J7706, ""^\d+"")"),"86")</f>
        <v>86</v>
      </c>
      <c r="Z7706" s="5" t="str">
        <f>IFERROR(__xludf.DUMMYFUNCTION("REGEXEXTRACT(J7706, ""[A-Za-z ]+$"")")," min")</f>
        <v> min</v>
      </c>
      <c r="AA7706" s="5" t="str">
        <f>IFERROR(__xludf.DUMMYFUNCTION("IF(REGEXMATCH(Z7706, ""Season""), ""TV Show"", ""Movie"")"),"Movie")</f>
        <v>Movie</v>
      </c>
    </row>
    <row r="7707">
      <c r="A7707" s="1" t="s">
        <v>37375</v>
      </c>
      <c r="B7707" s="1" t="s">
        <v>37</v>
      </c>
      <c r="C7707" s="1" t="s">
        <v>37376</v>
      </c>
      <c r="F7707" s="1" t="s">
        <v>1106</v>
      </c>
      <c r="G7707" s="1" t="s">
        <v>30680</v>
      </c>
      <c r="H7707" s="1">
        <v>2016.0</v>
      </c>
      <c r="I7707" s="1" t="s">
        <v>97</v>
      </c>
      <c r="J7707" s="1" t="s">
        <v>43</v>
      </c>
      <c r="K7707" s="1" t="s">
        <v>1261</v>
      </c>
      <c r="L7707" s="1" t="s">
        <v>37377</v>
      </c>
      <c r="M7707" s="2" t="s">
        <v>12</v>
      </c>
      <c r="N7707" s="1" t="str">
        <f t="shared" si="1"/>
        <v>#N/A</v>
      </c>
      <c r="O7707" s="5" t="str">
        <f>IFERROR(__xludf.DUMMYFUNCTION("IF(REGEXMATCH(TRIM(I7707), ""^\d+\s*min""), ""Unclassified"", IF(I7707 = """", ""NR"", I7707))"),"TV-14")</f>
        <v>TV-14</v>
      </c>
      <c r="R7707" s="5" t="str">
        <f t="shared" si="2"/>
        <v>Paranormal Survivor</v>
      </c>
      <c r="S7707" s="5" t="str">
        <f>IFERROR(__xludf.DUMMYFUNCTION("""COMPUTED_VALUE"""),"The Ruthless")</f>
        <v>The Ruthless</v>
      </c>
      <c r="V7707" s="5"/>
      <c r="Y7707" s="5" t="str">
        <f>IFERROR(__xludf.DUMMYFUNCTION("REGEXEXTRACT(J7707, ""^\d+"")"),"2")</f>
        <v>2</v>
      </c>
      <c r="Z7707" s="5" t="str">
        <f>IFERROR(__xludf.DUMMYFUNCTION("REGEXEXTRACT(J7707, ""[A-Za-z ]+$"")")," Seasons")</f>
        <v> Seasons</v>
      </c>
      <c r="AA7707" s="5" t="str">
        <f>IFERROR(__xludf.DUMMYFUNCTION("IF(REGEXMATCH(Z7707, ""Season""), ""TV Show"", ""Movie"")"),"TV Show")</f>
        <v>TV Show</v>
      </c>
    </row>
    <row r="7708">
      <c r="A7708" s="1" t="s">
        <v>37378</v>
      </c>
      <c r="B7708" s="1" t="s">
        <v>27</v>
      </c>
      <c r="C7708" s="1" t="s">
        <v>37379</v>
      </c>
      <c r="D7708" s="1" t="s">
        <v>21811</v>
      </c>
      <c r="E7708" s="1" t="s">
        <v>37380</v>
      </c>
      <c r="F7708" s="1" t="s">
        <v>63</v>
      </c>
      <c r="G7708" s="1" t="s">
        <v>26089</v>
      </c>
      <c r="H7708" s="1">
        <v>1997.0</v>
      </c>
      <c r="I7708" s="1" t="s">
        <v>97</v>
      </c>
      <c r="J7708" s="1" t="s">
        <v>15306</v>
      </c>
      <c r="K7708" s="1" t="s">
        <v>679</v>
      </c>
      <c r="L7708" s="1" t="s">
        <v>37381</v>
      </c>
      <c r="M7708" s="2" t="s">
        <v>12</v>
      </c>
      <c r="N7708" s="4">
        <f t="shared" si="1"/>
        <v>43160</v>
      </c>
      <c r="O7708" s="5" t="str">
        <f>IFERROR(__xludf.DUMMYFUNCTION("IF(REGEXMATCH(TRIM(I7708), ""^\d+\s*min""), ""Unclassified"", IF(I7708 = """", ""NR"", I7708))"),"TV-14")</f>
        <v>TV-14</v>
      </c>
      <c r="R7708" s="5" t="str">
        <f t="shared" si="2"/>
        <v>Pardes</v>
      </c>
      <c r="S7708" s="5" t="str">
        <f>IFERROR(__xludf.DUMMYFUNCTION("""COMPUTED_VALUE"""),"The Ryan White Story")</f>
        <v>The Ryan White Story</v>
      </c>
      <c r="V7708" s="5"/>
      <c r="Y7708" s="5" t="str">
        <f>IFERROR(__xludf.DUMMYFUNCTION("REGEXEXTRACT(J7708, ""^\d+"")"),"187")</f>
        <v>187</v>
      </c>
      <c r="Z7708" s="5" t="str">
        <f>IFERROR(__xludf.DUMMYFUNCTION("REGEXEXTRACT(J7708, ""[A-Za-z ]+$"")")," min")</f>
        <v> min</v>
      </c>
      <c r="AA7708" s="5" t="str">
        <f>IFERROR(__xludf.DUMMYFUNCTION("IF(REGEXMATCH(Z7708, ""Season""), ""TV Show"", ""Movie"")"),"Movie")</f>
        <v>Movie</v>
      </c>
    </row>
    <row r="7709">
      <c r="A7709" s="1" t="s">
        <v>37382</v>
      </c>
      <c r="B7709" s="1" t="s">
        <v>27</v>
      </c>
      <c r="C7709" s="1" t="s">
        <v>37383</v>
      </c>
      <c r="D7709" s="1" t="s">
        <v>8067</v>
      </c>
      <c r="E7709" s="1" t="s">
        <v>37384</v>
      </c>
      <c r="F7709" s="1" t="s">
        <v>63</v>
      </c>
      <c r="G7709" s="1" t="s">
        <v>25185</v>
      </c>
      <c r="H7709" s="1">
        <v>2017.0</v>
      </c>
      <c r="I7709" s="1" t="s">
        <v>136</v>
      </c>
      <c r="J7709" s="1" t="s">
        <v>1065</v>
      </c>
      <c r="K7709" s="1" t="s">
        <v>89</v>
      </c>
      <c r="L7709" s="1" t="s">
        <v>37385</v>
      </c>
      <c r="M7709" s="2" t="s">
        <v>12</v>
      </c>
      <c r="N7709" s="4">
        <f t="shared" si="1"/>
        <v>43282</v>
      </c>
      <c r="O7709" s="5" t="str">
        <f>IFERROR(__xludf.DUMMYFUNCTION("IF(REGEXMATCH(TRIM(I7709), ""^\d+\s*min""), ""Unclassified"", IF(I7709 = """", ""NR"", I7709))"),"TV-PG")</f>
        <v>TV-PG</v>
      </c>
      <c r="R7709" s="5" t="str">
        <f t="shared" si="2"/>
        <v>Pareeth Pandaari</v>
      </c>
      <c r="S7709" s="5" t="str">
        <f>IFERROR(__xludf.DUMMYFUNCTION("""COMPUTED_VALUE"""),"The Saint")</f>
        <v>The Saint</v>
      </c>
      <c r="V7709" s="5"/>
      <c r="Y7709" s="5" t="str">
        <f>IFERROR(__xludf.DUMMYFUNCTION("REGEXEXTRACT(J7709, ""^\d+"")"),"109")</f>
        <v>109</v>
      </c>
      <c r="Z7709" s="5" t="str">
        <f>IFERROR(__xludf.DUMMYFUNCTION("REGEXEXTRACT(J7709, ""[A-Za-z ]+$"")")," min")</f>
        <v> min</v>
      </c>
      <c r="AA7709" s="5" t="str">
        <f>IFERROR(__xludf.DUMMYFUNCTION("IF(REGEXMATCH(Z7709, ""Season""), ""TV Show"", ""Movie"")"),"Movie")</f>
        <v>Movie</v>
      </c>
    </row>
    <row r="7710">
      <c r="A7710" s="1" t="s">
        <v>37386</v>
      </c>
      <c r="B7710" s="1" t="s">
        <v>27</v>
      </c>
      <c r="C7710" s="1" t="s">
        <v>37387</v>
      </c>
      <c r="D7710" s="1" t="s">
        <v>10700</v>
      </c>
      <c r="F7710" s="1" t="s">
        <v>30</v>
      </c>
      <c r="G7710" s="1" t="s">
        <v>28697</v>
      </c>
      <c r="H7710" s="1">
        <v>1990.0</v>
      </c>
      <c r="I7710" s="1" t="s">
        <v>378</v>
      </c>
      <c r="J7710" s="1" t="s">
        <v>4558</v>
      </c>
      <c r="K7710" s="1" t="s">
        <v>37388</v>
      </c>
      <c r="L7710" s="1" t="s">
        <v>37389</v>
      </c>
      <c r="M7710" s="2" t="s">
        <v>12</v>
      </c>
      <c r="N7710" s="4">
        <f t="shared" si="1"/>
        <v>42767</v>
      </c>
      <c r="O7710" s="5" t="str">
        <f>IFERROR(__xludf.DUMMYFUNCTION("IF(REGEXMATCH(TRIM(I7710), ""^\d+\s*min""), ""Unclassified"", IF(I7710 = """", ""NR"", I7710))"),"R")</f>
        <v>R</v>
      </c>
      <c r="R7710" s="5" t="str">
        <f t="shared" si="2"/>
        <v>Paris Is Burning</v>
      </c>
      <c r="S7710" s="5" t="str">
        <f>IFERROR(__xludf.DUMMYFUNCTION("""COMPUTED_VALUE"""),"The Salvation")</f>
        <v>The Salvation</v>
      </c>
      <c r="V7710" s="5"/>
      <c r="Y7710" s="5" t="str">
        <f>IFERROR(__xludf.DUMMYFUNCTION("REGEXEXTRACT(J7710, ""^\d+"")"),"77")</f>
        <v>77</v>
      </c>
      <c r="Z7710" s="5" t="str">
        <f>IFERROR(__xludf.DUMMYFUNCTION("REGEXEXTRACT(J7710, ""[A-Za-z ]+$"")")," min")</f>
        <v> min</v>
      </c>
      <c r="AA7710" s="5" t="str">
        <f>IFERROR(__xludf.DUMMYFUNCTION("IF(REGEXMATCH(Z7710, ""Season""), ""TV Show"", ""Movie"")"),"Movie")</f>
        <v>Movie</v>
      </c>
    </row>
    <row r="7711">
      <c r="A7711" s="1" t="s">
        <v>37390</v>
      </c>
      <c r="B7711" s="1" t="s">
        <v>37</v>
      </c>
      <c r="C7711" s="1" t="s">
        <v>37391</v>
      </c>
      <c r="E7711" s="1" t="s">
        <v>37392</v>
      </c>
      <c r="F7711" s="1" t="s">
        <v>30</v>
      </c>
      <c r="G7711" s="1" t="s">
        <v>37393</v>
      </c>
      <c r="H7711" s="1">
        <v>2015.0</v>
      </c>
      <c r="I7711" s="1" t="s">
        <v>97</v>
      </c>
      <c r="J7711" s="1" t="s">
        <v>1809</v>
      </c>
      <c r="K7711" s="1" t="s">
        <v>270</v>
      </c>
      <c r="L7711" s="1" t="s">
        <v>37394</v>
      </c>
      <c r="M7711" s="2" t="s">
        <v>12</v>
      </c>
      <c r="N7711" s="1" t="str">
        <f t="shared" si="1"/>
        <v>#N/A</v>
      </c>
      <c r="O7711" s="5" t="str">
        <f>IFERROR(__xludf.DUMMYFUNCTION("IF(REGEXMATCH(TRIM(I7711), ""^\d+\s*min""), ""Unclassified"", IF(I7711 = """", ""NR"", I7711))"),"TV-14")</f>
        <v>TV-14</v>
      </c>
      <c r="R7711" s="5" t="str">
        <f t="shared" si="2"/>
        <v>Parks And Recreation</v>
      </c>
      <c r="S7711" s="5" t="str">
        <f>IFERROR(__xludf.DUMMYFUNCTION("""COMPUTED_VALUE"""),"The Sapphires")</f>
        <v>The Sapphires</v>
      </c>
      <c r="V7711" s="5"/>
      <c r="Y7711" s="5" t="str">
        <f>IFERROR(__xludf.DUMMYFUNCTION("REGEXEXTRACT(J7711, ""^\d+"")"),"7")</f>
        <v>7</v>
      </c>
      <c r="Z7711" s="5" t="str">
        <f>IFERROR(__xludf.DUMMYFUNCTION("REGEXEXTRACT(J7711, ""[A-Za-z ]+$"")")," Seasons")</f>
        <v> Seasons</v>
      </c>
      <c r="AA7711" s="5" t="str">
        <f>IFERROR(__xludf.DUMMYFUNCTION("IF(REGEXMATCH(Z7711, ""Season""), ""TV Show"", ""Movie"")"),"TV Show")</f>
        <v>TV Show</v>
      </c>
    </row>
    <row r="7712">
      <c r="A7712" s="1" t="s">
        <v>37395</v>
      </c>
      <c r="B7712" s="1" t="s">
        <v>37</v>
      </c>
      <c r="C7712" s="1" t="s">
        <v>37396</v>
      </c>
      <c r="E7712" s="1" t="s">
        <v>37397</v>
      </c>
      <c r="F7712" s="1" t="s">
        <v>37398</v>
      </c>
      <c r="G7712" s="7">
        <v>42859.0</v>
      </c>
      <c r="H7712" s="1">
        <v>2003.0</v>
      </c>
      <c r="I7712" s="1" t="s">
        <v>97</v>
      </c>
      <c r="J7712" s="1" t="s">
        <v>51</v>
      </c>
      <c r="K7712" s="1" t="s">
        <v>1822</v>
      </c>
      <c r="L7712" s="1" t="s">
        <v>37399</v>
      </c>
      <c r="M7712" s="2" t="s">
        <v>12</v>
      </c>
      <c r="N7712" s="4">
        <f t="shared" si="1"/>
        <v>42859</v>
      </c>
      <c r="O7712" s="5" t="str">
        <f>IFERROR(__xludf.DUMMYFUNCTION("IF(REGEXMATCH(TRIM(I7712), ""^\d+\s*min""), ""Unclassified"", IF(I7712 = """", ""NR"", I7712))"),"TV-14")</f>
        <v>TV-14</v>
      </c>
      <c r="R7712" s="5" t="str">
        <f t="shared" si="2"/>
        <v>Pasión De Gavilanes</v>
      </c>
      <c r="S7712" s="5" t="str">
        <f>IFERROR(__xludf.DUMMYFUNCTION("""COMPUTED_VALUE"""),"The School Nurse Files")</f>
        <v>The School Nurse Files</v>
      </c>
      <c r="V7712" s="5"/>
      <c r="Y7712" s="5" t="str">
        <f>IFERROR(__xludf.DUMMYFUNCTION("REGEXEXTRACT(J7712, ""^\d+"")"),"1")</f>
        <v>1</v>
      </c>
      <c r="Z7712" s="5" t="str">
        <f>IFERROR(__xludf.DUMMYFUNCTION("REGEXEXTRACT(J7712, ""[A-Za-z ]+$"")")," Season")</f>
        <v> Season</v>
      </c>
      <c r="AA7712" s="5" t="str">
        <f>IFERROR(__xludf.DUMMYFUNCTION("IF(REGEXMATCH(Z7712, ""Season""), ""TV Show"", ""Movie"")"),"TV Show")</f>
        <v>TV Show</v>
      </c>
    </row>
    <row r="7713">
      <c r="A7713" s="1" t="s">
        <v>37400</v>
      </c>
      <c r="B7713" s="1" t="s">
        <v>27</v>
      </c>
      <c r="C7713" s="1" t="s">
        <v>37401</v>
      </c>
      <c r="D7713" s="1" t="s">
        <v>12830</v>
      </c>
      <c r="E7713" s="1" t="s">
        <v>37402</v>
      </c>
      <c r="F7713" s="1" t="s">
        <v>30</v>
      </c>
      <c r="G7713" s="1" t="s">
        <v>8506</v>
      </c>
      <c r="H7713" s="1">
        <v>1992.0</v>
      </c>
      <c r="I7713" s="1" t="s">
        <v>378</v>
      </c>
      <c r="J7713" s="1" t="s">
        <v>1608</v>
      </c>
      <c r="K7713" s="1" t="s">
        <v>380</v>
      </c>
      <c r="L7713" s="1" t="s">
        <v>37403</v>
      </c>
      <c r="M7713" s="2" t="s">
        <v>12</v>
      </c>
      <c r="N7713" s="4">
        <f t="shared" si="1"/>
        <v>44197</v>
      </c>
      <c r="O7713" s="5" t="str">
        <f>IFERROR(__xludf.DUMMYFUNCTION("IF(REGEXMATCH(TRIM(I7713), ""^\d+\s*min""), ""Unclassified"", IF(I7713 = """", ""NR"", I7713))"),"R")</f>
        <v>R</v>
      </c>
      <c r="R7713" s="5" t="str">
        <f t="shared" si="2"/>
        <v>Passenger 57</v>
      </c>
      <c r="S7713" s="5" t="str">
        <f>IFERROR(__xludf.DUMMYFUNCTION("""COMPUTED_VALUE"""),"The School Of Mischief")</f>
        <v>The School Of Mischief</v>
      </c>
      <c r="V7713" s="5"/>
      <c r="Y7713" s="5" t="str">
        <f>IFERROR(__xludf.DUMMYFUNCTION("REGEXEXTRACT(J7713, ""^\d+"")"),"84")</f>
        <v>84</v>
      </c>
      <c r="Z7713" s="5" t="str">
        <f>IFERROR(__xludf.DUMMYFUNCTION("REGEXEXTRACT(J7713, ""[A-Za-z ]+$"")")," min")</f>
        <v> min</v>
      </c>
      <c r="AA7713" s="5" t="str">
        <f>IFERROR(__xludf.DUMMYFUNCTION("IF(REGEXMATCH(Z7713, ""Season""), ""TV Show"", ""Movie"")"),"Movie")</f>
        <v>Movie</v>
      </c>
    </row>
    <row r="7714">
      <c r="A7714" s="1" t="s">
        <v>37404</v>
      </c>
      <c r="B7714" s="1" t="s">
        <v>27</v>
      </c>
      <c r="C7714" s="1" t="s">
        <v>37405</v>
      </c>
      <c r="D7714" s="1" t="s">
        <v>16902</v>
      </c>
      <c r="E7714" s="1" t="s">
        <v>37406</v>
      </c>
      <c r="F7714" s="1" t="s">
        <v>63</v>
      </c>
      <c r="G7714" s="1" t="s">
        <v>30658</v>
      </c>
      <c r="H7714" s="1">
        <v>2011.0</v>
      </c>
      <c r="I7714" s="1" t="s">
        <v>136</v>
      </c>
      <c r="J7714" s="1" t="s">
        <v>1704</v>
      </c>
      <c r="K7714" s="1" t="s">
        <v>5099</v>
      </c>
      <c r="L7714" s="1" t="s">
        <v>37407</v>
      </c>
      <c r="M7714" s="2" t="s">
        <v>12</v>
      </c>
      <c r="N7714" s="4">
        <f t="shared" si="1"/>
        <v>43030</v>
      </c>
      <c r="O7714" s="5" t="str">
        <f>IFERROR(__xludf.DUMMYFUNCTION("IF(REGEXMATCH(TRIM(I7714), ""^\d+\s*min""), ""Unclassified"", IF(I7714 = """", ""NR"", I7714))"),"TV-PG")</f>
        <v>TV-PG</v>
      </c>
      <c r="R7714" s="5" t="str">
        <f t="shared" si="2"/>
        <v>Patiala House</v>
      </c>
      <c r="S7714" s="5" t="str">
        <f>IFERROR(__xludf.DUMMYFUNCTION("""COMPUTED_VALUE"""),"The Score")</f>
        <v>The Score</v>
      </c>
      <c r="V7714" s="5"/>
      <c r="Y7714" s="5" t="str">
        <f>IFERROR(__xludf.DUMMYFUNCTION("REGEXEXTRACT(J7714, ""^\d+"")"),"140")</f>
        <v>140</v>
      </c>
      <c r="Z7714" s="5" t="str">
        <f>IFERROR(__xludf.DUMMYFUNCTION("REGEXEXTRACT(J7714, ""[A-Za-z ]+$"")")," min")</f>
        <v> min</v>
      </c>
      <c r="AA7714" s="5" t="str">
        <f>IFERROR(__xludf.DUMMYFUNCTION("IF(REGEXMATCH(Z7714, ""Season""), ""TV Show"", ""Movie"")"),"Movie")</f>
        <v>Movie</v>
      </c>
    </row>
    <row r="7715">
      <c r="A7715" s="1" t="s">
        <v>37408</v>
      </c>
      <c r="B7715" s="1" t="s">
        <v>27</v>
      </c>
      <c r="C7715" s="1" t="s">
        <v>37409</v>
      </c>
      <c r="D7715" s="1" t="s">
        <v>10818</v>
      </c>
      <c r="F7715" s="1" t="s">
        <v>30</v>
      </c>
      <c r="G7715" s="1" t="s">
        <v>26320</v>
      </c>
      <c r="H7715" s="1">
        <v>2017.0</v>
      </c>
      <c r="I7715" s="1" t="s">
        <v>97</v>
      </c>
      <c r="J7715" s="1" t="s">
        <v>2626</v>
      </c>
      <c r="K7715" s="1" t="s">
        <v>34</v>
      </c>
      <c r="L7715" s="1" t="s">
        <v>37410</v>
      </c>
      <c r="M7715" s="2" t="s">
        <v>12</v>
      </c>
      <c r="N7715" s="4">
        <f t="shared" si="1"/>
        <v>43129</v>
      </c>
      <c r="O7715" s="5" t="str">
        <f>IFERROR(__xludf.DUMMYFUNCTION("IF(REGEXMATCH(TRIM(I7715), ""^\d+\s*min""), ""Unclassified"", IF(I7715 = """", ""NR"", I7715))"),"TV-14")</f>
        <v>TV-14</v>
      </c>
      <c r="R7715" s="5" t="str">
        <f t="shared" si="2"/>
        <v>Patient Seventeen</v>
      </c>
      <c r="S7715" s="5" t="str">
        <f>IFERROR(__xludf.DUMMYFUNCTION("""COMPUTED_VALUE"""),"The Sea Of Trees")</f>
        <v>The Sea Of Trees</v>
      </c>
      <c r="V7715" s="5"/>
      <c r="Y7715" s="5" t="str">
        <f>IFERROR(__xludf.DUMMYFUNCTION("REGEXEXTRACT(J7715, ""^\d+"")"),"68")</f>
        <v>68</v>
      </c>
      <c r="Z7715" s="5" t="str">
        <f>IFERROR(__xludf.DUMMYFUNCTION("REGEXEXTRACT(J7715, ""[A-Za-z ]+$"")")," min")</f>
        <v> min</v>
      </c>
      <c r="AA7715" s="5" t="str">
        <f>IFERROR(__xludf.DUMMYFUNCTION("IF(REGEXMATCH(Z7715, ""Season""), ""TV Show"", ""Movie"")"),"Movie")</f>
        <v>Movie</v>
      </c>
    </row>
    <row r="7716">
      <c r="A7716" s="1" t="s">
        <v>37411</v>
      </c>
      <c r="B7716" s="1" t="s">
        <v>27</v>
      </c>
      <c r="C7716" s="1" t="s">
        <v>37412</v>
      </c>
      <c r="D7716" s="1" t="s">
        <v>947</v>
      </c>
      <c r="E7716" s="1" t="s">
        <v>37413</v>
      </c>
      <c r="F7716" s="1" t="s">
        <v>30</v>
      </c>
      <c r="G7716" s="1" t="s">
        <v>16947</v>
      </c>
      <c r="H7716" s="1">
        <v>1992.0</v>
      </c>
      <c r="I7716" s="1" t="s">
        <v>378</v>
      </c>
      <c r="J7716" s="1" t="s">
        <v>743</v>
      </c>
      <c r="K7716" s="1" t="s">
        <v>380</v>
      </c>
      <c r="L7716" s="1" t="s">
        <v>37414</v>
      </c>
      <c r="M7716" s="2" t="s">
        <v>12</v>
      </c>
      <c r="N7716" s="4">
        <f t="shared" si="1"/>
        <v>43831</v>
      </c>
      <c r="O7716" s="5" t="str">
        <f>IFERROR(__xludf.DUMMYFUNCTION("IF(REGEXMATCH(TRIM(I7716), ""^\d+\s*min""), ""Unclassified"", IF(I7716 = """", ""NR"", I7716))"),"R")</f>
        <v>R</v>
      </c>
      <c r="R7716" s="5" t="str">
        <f t="shared" si="2"/>
        <v>Patriot Games</v>
      </c>
      <c r="S7716" s="5" t="str">
        <f>IFERROR(__xludf.DUMMYFUNCTION("""COMPUTED_VALUE"""),"The Search")</f>
        <v>The Search</v>
      </c>
      <c r="V7716" s="5"/>
      <c r="Y7716" s="5" t="str">
        <f>IFERROR(__xludf.DUMMYFUNCTION("REGEXEXTRACT(J7716, ""^\d+"")"),"117")</f>
        <v>117</v>
      </c>
      <c r="Z7716" s="5" t="str">
        <f>IFERROR(__xludf.DUMMYFUNCTION("REGEXEXTRACT(J7716, ""[A-Za-z ]+$"")")," min")</f>
        <v> min</v>
      </c>
      <c r="AA7716" s="5" t="str">
        <f>IFERROR(__xludf.DUMMYFUNCTION("IF(REGEXMATCH(Z7716, ""Season""), ""TV Show"", ""Movie"")"),"Movie")</f>
        <v>Movie</v>
      </c>
    </row>
    <row r="7717">
      <c r="A7717" s="1" t="s">
        <v>37415</v>
      </c>
      <c r="B7717" s="1" t="s">
        <v>27</v>
      </c>
      <c r="C7717" s="1" t="s">
        <v>37416</v>
      </c>
      <c r="D7717" s="1" t="s">
        <v>5902</v>
      </c>
      <c r="E7717" s="1" t="s">
        <v>37417</v>
      </c>
      <c r="F7717" s="1" t="s">
        <v>188</v>
      </c>
      <c r="G7717" s="1" t="s">
        <v>28526</v>
      </c>
      <c r="H7717" s="1">
        <v>2014.0</v>
      </c>
      <c r="I7717" s="1" t="s">
        <v>42</v>
      </c>
      <c r="J7717" s="1" t="s">
        <v>305</v>
      </c>
      <c r="K7717" s="1" t="s">
        <v>215</v>
      </c>
      <c r="L7717" s="1" t="s">
        <v>37418</v>
      </c>
      <c r="M7717" s="2" t="s">
        <v>12</v>
      </c>
      <c r="N7717" s="4">
        <f t="shared" si="1"/>
        <v>42804</v>
      </c>
      <c r="O7717" s="5" t="str">
        <f>IFERROR(__xludf.DUMMYFUNCTION("IF(REGEXMATCH(TRIM(I7717), ""^\d+\s*min""), ""Unclassified"", IF(I7717 = """", ""NR"", I7717))"),"TV-MA")</f>
        <v>TV-MA</v>
      </c>
      <c r="R7717" s="5" t="str">
        <f t="shared" si="2"/>
        <v>Patron Mutlu Son Istiyor</v>
      </c>
      <c r="S7717" s="5" t="str">
        <f>IFERROR(__xludf.DUMMYFUNCTION("""COMPUTED_VALUE"""),"The Search For Life In Space")</f>
        <v>The Search For Life In Space</v>
      </c>
      <c r="V7717" s="5"/>
      <c r="Y7717" s="5" t="str">
        <f>IFERROR(__xludf.DUMMYFUNCTION("REGEXEXTRACT(J7717, ""^\d+"")"),"105")</f>
        <v>105</v>
      </c>
      <c r="Z7717" s="5" t="str">
        <f>IFERROR(__xludf.DUMMYFUNCTION("REGEXEXTRACT(J7717, ""[A-Za-z ]+$"")")," min")</f>
        <v> min</v>
      </c>
      <c r="AA7717" s="5" t="str">
        <f>IFERROR(__xludf.DUMMYFUNCTION("IF(REGEXMATCH(Z7717, ""Season""), ""TV Show"", ""Movie"")"),"Movie")</f>
        <v>Movie</v>
      </c>
    </row>
    <row r="7718">
      <c r="A7718" s="1" t="s">
        <v>37419</v>
      </c>
      <c r="B7718" s="1" t="s">
        <v>27</v>
      </c>
      <c r="C7718" s="1" t="s">
        <v>37420</v>
      </c>
      <c r="D7718" s="1" t="s">
        <v>21640</v>
      </c>
      <c r="E7718" s="1" t="s">
        <v>37421</v>
      </c>
      <c r="F7718" s="1" t="s">
        <v>30</v>
      </c>
      <c r="G7718" s="1" t="s">
        <v>10136</v>
      </c>
      <c r="H7718" s="1">
        <v>2009.0</v>
      </c>
      <c r="I7718" s="1" t="s">
        <v>78</v>
      </c>
      <c r="J7718" s="1" t="s">
        <v>79</v>
      </c>
      <c r="K7718" s="1" t="s">
        <v>973</v>
      </c>
      <c r="L7718" s="1" t="s">
        <v>37422</v>
      </c>
      <c r="M7718" s="2" t="s">
        <v>12</v>
      </c>
      <c r="N7718" s="4">
        <f t="shared" si="1"/>
        <v>44136</v>
      </c>
      <c r="O7718" s="5" t="str">
        <f>IFERROR(__xludf.DUMMYFUNCTION("IF(REGEXMATCH(TRIM(I7718), ""^\d+\s*min""), ""Unclassified"", IF(I7718 = """", ""NR"", I7718))"),"PG")</f>
        <v>PG</v>
      </c>
      <c r="R7718" s="5" t="str">
        <f t="shared" si="2"/>
        <v>Paul Blart: Mall Cop</v>
      </c>
      <c r="S7718" s="5" t="str">
        <f>IFERROR(__xludf.DUMMYFUNCTION("""COMPUTED_VALUE"""),"The Secret")</f>
        <v>The Secret</v>
      </c>
      <c r="V7718" s="5"/>
      <c r="Y7718" s="5" t="str">
        <f>IFERROR(__xludf.DUMMYFUNCTION("REGEXEXTRACT(J7718, ""^\d+"")"),"91")</f>
        <v>91</v>
      </c>
      <c r="Z7718" s="5" t="str">
        <f>IFERROR(__xludf.DUMMYFUNCTION("REGEXEXTRACT(J7718, ""[A-Za-z ]+$"")")," min")</f>
        <v> min</v>
      </c>
      <c r="AA7718" s="5" t="str">
        <f>IFERROR(__xludf.DUMMYFUNCTION("IF(REGEXMATCH(Z7718, ""Season""), ""TV Show"", ""Movie"")"),"Movie")</f>
        <v>Movie</v>
      </c>
    </row>
    <row r="7719">
      <c r="A7719" s="1" t="s">
        <v>37423</v>
      </c>
      <c r="B7719" s="1" t="s">
        <v>27</v>
      </c>
      <c r="C7719" s="1" t="s">
        <v>37424</v>
      </c>
      <c r="D7719" s="1" t="s">
        <v>6519</v>
      </c>
      <c r="E7719" s="1" t="s">
        <v>37425</v>
      </c>
      <c r="F7719" s="1" t="s">
        <v>63</v>
      </c>
      <c r="G7719" s="1" t="s">
        <v>25185</v>
      </c>
      <c r="H7719" s="1">
        <v>2016.0</v>
      </c>
      <c r="I7719" s="1" t="s">
        <v>97</v>
      </c>
      <c r="J7719" s="1" t="s">
        <v>106</v>
      </c>
      <c r="K7719" s="1" t="s">
        <v>128</v>
      </c>
      <c r="L7719" s="1" t="s">
        <v>37426</v>
      </c>
      <c r="M7719" s="2" t="s">
        <v>12</v>
      </c>
      <c r="N7719" s="4">
        <f t="shared" si="1"/>
        <v>43282</v>
      </c>
      <c r="O7719" s="5" t="str">
        <f>IFERROR(__xludf.DUMMYFUNCTION("IF(REGEXMATCH(TRIM(I7719), ""^\d+\s*min""), ""Unclassified"", IF(I7719 = """", ""NR"", I7719))"),"TV-14")</f>
        <v>TV-14</v>
      </c>
      <c r="R7719" s="5" t="str">
        <f t="shared" si="2"/>
        <v>Paulettante Veedu</v>
      </c>
      <c r="S7719" s="5" t="str">
        <f>IFERROR(__xludf.DUMMYFUNCTION("""COMPUTED_VALUE"""),"The Secret Diary Of An Exchange Student")</f>
        <v>The Secret Diary Of An Exchange Student</v>
      </c>
      <c r="V7719" s="5"/>
      <c r="Y7719" s="5" t="str">
        <f>IFERROR(__xludf.DUMMYFUNCTION("REGEXEXTRACT(J7719, ""^\d+"")"),"104")</f>
        <v>104</v>
      </c>
      <c r="Z7719" s="5" t="str">
        <f>IFERROR(__xludf.DUMMYFUNCTION("REGEXEXTRACT(J7719, ""[A-Za-z ]+$"")")," min")</f>
        <v> min</v>
      </c>
      <c r="AA7719" s="5" t="str">
        <f>IFERROR(__xludf.DUMMYFUNCTION("IF(REGEXMATCH(Z7719, ""Season""), ""TV Show"", ""Movie"")"),"Movie")</f>
        <v>Movie</v>
      </c>
    </row>
    <row r="7720">
      <c r="A7720" s="1" t="s">
        <v>37427</v>
      </c>
      <c r="B7720" s="1" t="s">
        <v>37</v>
      </c>
      <c r="C7720" s="1" t="s">
        <v>37428</v>
      </c>
      <c r="E7720" s="1" t="s">
        <v>37429</v>
      </c>
      <c r="F7720" s="1" t="s">
        <v>30</v>
      </c>
      <c r="G7720" s="1" t="s">
        <v>19237</v>
      </c>
      <c r="H7720" s="1">
        <v>2010.0</v>
      </c>
      <c r="I7720" s="1" t="s">
        <v>97</v>
      </c>
      <c r="J7720" s="1" t="s">
        <v>51</v>
      </c>
      <c r="K7720" s="1" t="s">
        <v>440</v>
      </c>
      <c r="L7720" s="1" t="s">
        <v>37430</v>
      </c>
      <c r="M7720" s="2" t="s">
        <v>12</v>
      </c>
      <c r="N7720" s="4">
        <f t="shared" si="1"/>
        <v>43723</v>
      </c>
      <c r="O7720" s="5" t="str">
        <f>IFERROR(__xludf.DUMMYFUNCTION("IF(REGEXMATCH(TRIM(I7720), ""^\d+\s*min""), ""Unclassified"", IF(I7720 = """", ""NR"", I7720))"),"TV-14")</f>
        <v>TV-14</v>
      </c>
      <c r="R7720" s="5" t="str">
        <f t="shared" si="2"/>
        <v>Pawn Stars</v>
      </c>
      <c r="S7720" s="5" t="str">
        <f>IFERROR(__xludf.DUMMYFUNCTION("""COMPUTED_VALUE"""),"The Secret Life Of Pets 2")</f>
        <v>The Secret Life Of Pets 2</v>
      </c>
      <c r="V7720" s="5"/>
      <c r="Y7720" s="5" t="str">
        <f>IFERROR(__xludf.DUMMYFUNCTION("REGEXEXTRACT(J7720, ""^\d+"")"),"1")</f>
        <v>1</v>
      </c>
      <c r="Z7720" s="5" t="str">
        <f>IFERROR(__xludf.DUMMYFUNCTION("REGEXEXTRACT(J7720, ""[A-Za-z ]+$"")")," Season")</f>
        <v> Season</v>
      </c>
      <c r="AA7720" s="5" t="str">
        <f>IFERROR(__xludf.DUMMYFUNCTION("IF(REGEXMATCH(Z7720, ""Season""), ""TV Show"", ""Movie"")"),"TV Show")</f>
        <v>TV Show</v>
      </c>
    </row>
    <row r="7721">
      <c r="A7721" s="1" t="s">
        <v>37431</v>
      </c>
      <c r="B7721" s="1" t="s">
        <v>27</v>
      </c>
      <c r="C7721" s="1" t="s">
        <v>37432</v>
      </c>
      <c r="D7721" s="1" t="s">
        <v>17565</v>
      </c>
      <c r="E7721" s="1" t="s">
        <v>37433</v>
      </c>
      <c r="F7721" s="1" t="s">
        <v>63</v>
      </c>
      <c r="G7721" s="1" t="s">
        <v>25185</v>
      </c>
      <c r="H7721" s="1">
        <v>2009.0</v>
      </c>
      <c r="I7721" s="1" t="s">
        <v>97</v>
      </c>
      <c r="J7721" s="1" t="s">
        <v>835</v>
      </c>
      <c r="K7721" s="1" t="s">
        <v>199</v>
      </c>
      <c r="L7721" s="1" t="s">
        <v>37434</v>
      </c>
      <c r="M7721" s="2" t="s">
        <v>12</v>
      </c>
      <c r="N7721" s="4">
        <f t="shared" si="1"/>
        <v>43282</v>
      </c>
      <c r="O7721" s="5" t="str">
        <f>IFERROR(__xludf.DUMMYFUNCTION("IF(REGEXMATCH(TRIM(I7721), ""^\d+\s*min""), ""Unclassified"", IF(I7721 = """", ""NR"", I7721))"),"TV-14")</f>
        <v>TV-14</v>
      </c>
      <c r="R7721" s="5" t="str">
        <f t="shared" si="2"/>
        <v>Paying Guests</v>
      </c>
      <c r="S7721" s="5" t="str">
        <f>IFERROR(__xludf.DUMMYFUNCTION("""COMPUTED_VALUE"""),"The Set Up")</f>
        <v>The Set Up</v>
      </c>
      <c r="V7721" s="5"/>
      <c r="Y7721" s="5" t="str">
        <f>IFERROR(__xludf.DUMMYFUNCTION("REGEXEXTRACT(J7721, ""^\d+"")"),"114")</f>
        <v>114</v>
      </c>
      <c r="Z7721" s="5" t="str">
        <f>IFERROR(__xludf.DUMMYFUNCTION("REGEXEXTRACT(J7721, ""[A-Za-z ]+$"")")," min")</f>
        <v> min</v>
      </c>
      <c r="AA7721" s="5" t="str">
        <f>IFERROR(__xludf.DUMMYFUNCTION("IF(REGEXMATCH(Z7721, ""Season""), ""TV Show"", ""Movie"")"),"Movie")</f>
        <v>Movie</v>
      </c>
    </row>
    <row r="7722">
      <c r="A7722" s="1" t="s">
        <v>37435</v>
      </c>
      <c r="B7722" s="1" t="s">
        <v>27</v>
      </c>
      <c r="C7722" s="1" t="s">
        <v>37436</v>
      </c>
      <c r="D7722" s="1" t="s">
        <v>2946</v>
      </c>
      <c r="E7722" s="1" t="s">
        <v>37437</v>
      </c>
      <c r="F7722" s="1" t="s">
        <v>2796</v>
      </c>
      <c r="G7722" s="1" t="s">
        <v>24649</v>
      </c>
      <c r="H7722" s="1">
        <v>2013.0</v>
      </c>
      <c r="I7722" s="1" t="s">
        <v>42</v>
      </c>
      <c r="J7722" s="1" t="s">
        <v>1243</v>
      </c>
      <c r="K7722" s="1" t="s">
        <v>6462</v>
      </c>
      <c r="L7722" s="1" t="s">
        <v>37438</v>
      </c>
      <c r="M7722" s="2" t="s">
        <v>12</v>
      </c>
      <c r="N7722" s="4">
        <f t="shared" si="1"/>
        <v>43344</v>
      </c>
      <c r="O7722" s="5" t="str">
        <f>IFERROR(__xludf.DUMMYFUNCTION("IF(REGEXMATCH(TRIM(I7722), ""^\d+\s*min""), ""Unclassified"", IF(I7722 = """", ""NR"", I7722))"),"TV-MA")</f>
        <v>TV-MA</v>
      </c>
      <c r="R7722" s="5" t="str">
        <f t="shared" si="2"/>
        <v>Pee Mak</v>
      </c>
      <c r="S7722" s="5" t="str">
        <f>IFERROR(__xludf.DUMMYFUNCTION("""COMPUTED_VALUE"""),"The Seven Deadly Sins")</f>
        <v>The Seven Deadly Sins</v>
      </c>
      <c r="V7722" s="5"/>
      <c r="Y7722" s="5" t="str">
        <f>IFERROR(__xludf.DUMMYFUNCTION("REGEXEXTRACT(J7722, ""^\d+"")"),"112")</f>
        <v>112</v>
      </c>
      <c r="Z7722" s="5" t="str">
        <f>IFERROR(__xludf.DUMMYFUNCTION("REGEXEXTRACT(J7722, ""[A-Za-z ]+$"")")," min")</f>
        <v> min</v>
      </c>
      <c r="AA7722" s="5" t="str">
        <f>IFERROR(__xludf.DUMMYFUNCTION("IF(REGEXMATCH(Z7722, ""Season""), ""TV Show"", ""Movie"")"),"Movie")</f>
        <v>Movie</v>
      </c>
    </row>
    <row r="7723">
      <c r="A7723" s="1" t="s">
        <v>37439</v>
      </c>
      <c r="B7723" s="1" t="s">
        <v>37</v>
      </c>
      <c r="C7723" s="1" t="s">
        <v>37440</v>
      </c>
      <c r="E7723" s="1" t="s">
        <v>37441</v>
      </c>
      <c r="F7723" s="1" t="s">
        <v>30</v>
      </c>
      <c r="G7723" s="1" t="s">
        <v>37442</v>
      </c>
      <c r="H7723" s="1">
        <v>1990.0</v>
      </c>
      <c r="I7723" s="1" t="s">
        <v>136</v>
      </c>
      <c r="J7723" s="1" t="s">
        <v>189</v>
      </c>
      <c r="K7723" s="1" t="s">
        <v>37443</v>
      </c>
      <c r="L7723" s="1" t="s">
        <v>37444</v>
      </c>
      <c r="M7723" s="2" t="s">
        <v>12</v>
      </c>
      <c r="N7723" s="1" t="str">
        <f t="shared" si="1"/>
        <v>#N/A</v>
      </c>
      <c r="O7723" s="5" t="str">
        <f>IFERROR(__xludf.DUMMYFUNCTION("IF(REGEXMATCH(TRIM(I7723), ""^\d+\s*min""), ""Unclassified"", IF(I7723 = """", ""NR"", I7723))"),"TV-PG")</f>
        <v>TV-PG</v>
      </c>
      <c r="R7723" s="5" t="str">
        <f t="shared" si="2"/>
        <v>Pee-Wee'S Playhouse</v>
      </c>
      <c r="S7723" s="5" t="str">
        <f>IFERROR(__xludf.DUMMYFUNCTION("""COMPUTED_VALUE"""),"The Seven Deadly Sins The Movie: Prisoners Of The Sky")</f>
        <v>The Seven Deadly Sins The Movie: Prisoners Of The Sky</v>
      </c>
      <c r="V7723" s="5"/>
      <c r="Y7723" s="5" t="str">
        <f>IFERROR(__xludf.DUMMYFUNCTION("REGEXEXTRACT(J7723, ""^\d+"")"),"5")</f>
        <v>5</v>
      </c>
      <c r="Z7723" s="5" t="str">
        <f>IFERROR(__xludf.DUMMYFUNCTION("REGEXEXTRACT(J7723, ""[A-Za-z ]+$"")")," Seasons")</f>
        <v> Seasons</v>
      </c>
      <c r="AA7723" s="5" t="str">
        <f>IFERROR(__xludf.DUMMYFUNCTION("IF(REGEXMATCH(Z7723, ""Season""), ""TV Show"", ""Movie"")"),"TV Show")</f>
        <v>TV Show</v>
      </c>
    </row>
    <row r="7724">
      <c r="A7724" s="1" t="s">
        <v>37445</v>
      </c>
      <c r="B7724" s="1" t="s">
        <v>27</v>
      </c>
      <c r="C7724" s="1" t="s">
        <v>37446</v>
      </c>
      <c r="D7724" s="1" t="s">
        <v>17762</v>
      </c>
      <c r="E7724" s="1" t="s">
        <v>37447</v>
      </c>
      <c r="F7724" s="1" t="s">
        <v>30</v>
      </c>
      <c r="G7724" s="1" t="s">
        <v>37448</v>
      </c>
      <c r="H7724" s="1">
        <v>1988.0</v>
      </c>
      <c r="I7724" s="1" t="s">
        <v>136</v>
      </c>
      <c r="J7724" s="1" t="s">
        <v>575</v>
      </c>
      <c r="K7724" s="1" t="s">
        <v>2032</v>
      </c>
      <c r="L7724" s="1" t="s">
        <v>37449</v>
      </c>
      <c r="M7724" s="2" t="s">
        <v>12</v>
      </c>
      <c r="N7724" s="4">
        <f t="shared" si="1"/>
        <v>41991</v>
      </c>
      <c r="O7724" s="5" t="str">
        <f>IFERROR(__xludf.DUMMYFUNCTION("IF(REGEXMATCH(TRIM(I7724), ""^\d+\s*min""), ""Unclassified"", IF(I7724 = """", ""NR"", I7724))"),"TV-PG")</f>
        <v>TV-PG</v>
      </c>
      <c r="R7724" s="5" t="str">
        <f t="shared" si="2"/>
        <v>Pee-Wee'S Playhouse: Christmas Special</v>
      </c>
      <c r="S7724" s="5" t="str">
        <f>IFERROR(__xludf.DUMMYFUNCTION("""COMPUTED_VALUE"""),"The Seven Five")</f>
        <v>The Seven Five</v>
      </c>
      <c r="V7724" s="5"/>
      <c r="Y7724" s="5" t="str">
        <f>IFERROR(__xludf.DUMMYFUNCTION("REGEXEXTRACT(J7724, ""^\d+"")"),"48")</f>
        <v>48</v>
      </c>
      <c r="Z7724" s="5" t="str">
        <f>IFERROR(__xludf.DUMMYFUNCTION("REGEXEXTRACT(J7724, ""[A-Za-z ]+$"")")," min")</f>
        <v> min</v>
      </c>
      <c r="AA7724" s="5" t="str">
        <f>IFERROR(__xludf.DUMMYFUNCTION("IF(REGEXMATCH(Z7724, ""Season""), ""TV Show"", ""Movie"")"),"Movie")</f>
        <v>Movie</v>
      </c>
    </row>
    <row r="7725">
      <c r="A7725" s="1" t="s">
        <v>37450</v>
      </c>
      <c r="B7725" s="1" t="s">
        <v>27</v>
      </c>
      <c r="C7725" s="1" t="s">
        <v>37451</v>
      </c>
      <c r="D7725" s="1" t="s">
        <v>16262</v>
      </c>
      <c r="E7725" s="1" t="s">
        <v>37452</v>
      </c>
      <c r="F7725" s="1" t="s">
        <v>3321</v>
      </c>
      <c r="G7725" s="1" t="s">
        <v>27440</v>
      </c>
      <c r="H7725" s="1">
        <v>2016.0</v>
      </c>
      <c r="I7725" s="1" t="s">
        <v>42</v>
      </c>
      <c r="J7725" s="1" t="s">
        <v>465</v>
      </c>
      <c r="K7725" s="1" t="s">
        <v>128</v>
      </c>
      <c r="L7725" s="1" t="s">
        <v>37453</v>
      </c>
      <c r="M7725" s="2" t="s">
        <v>12</v>
      </c>
      <c r="N7725" s="4">
        <f t="shared" si="1"/>
        <v>42972</v>
      </c>
      <c r="O7725" s="5" t="str">
        <f>IFERROR(__xludf.DUMMYFUNCTION("IF(REGEXMATCH(TRIM(I7725), ""^\d+\s*min""), ""Unclassified"", IF(I7725 = """", ""NR"", I7725))"),"TV-MA")</f>
        <v>TV-MA</v>
      </c>
      <c r="R7725" s="5" t="str">
        <f t="shared" si="2"/>
        <v>Pekak</v>
      </c>
      <c r="S7725" s="5" t="str">
        <f>IFERROR(__xludf.DUMMYFUNCTION("""COMPUTED_VALUE"""),"The Seventh Day")</f>
        <v>The Seventh Day</v>
      </c>
      <c r="V7725" s="5"/>
      <c r="Y7725" s="5" t="str">
        <f>IFERROR(__xludf.DUMMYFUNCTION("REGEXEXTRACT(J7725, ""^\d+"")"),"95")</f>
        <v>95</v>
      </c>
      <c r="Z7725" s="5" t="str">
        <f>IFERROR(__xludf.DUMMYFUNCTION("REGEXEXTRACT(J7725, ""[A-Za-z ]+$"")")," min")</f>
        <v> min</v>
      </c>
      <c r="AA7725" s="5" t="str">
        <f>IFERROR(__xludf.DUMMYFUNCTION("IF(REGEXMATCH(Z7725, ""Season""), ""TV Show"", ""Movie"")"),"Movie")</f>
        <v>Movie</v>
      </c>
    </row>
    <row r="7726">
      <c r="A7726" s="1" t="s">
        <v>37454</v>
      </c>
      <c r="B7726" s="1" t="s">
        <v>27</v>
      </c>
      <c r="C7726" s="1" t="s">
        <v>37455</v>
      </c>
      <c r="D7726" s="1" t="s">
        <v>14911</v>
      </c>
      <c r="E7726" s="1" t="s">
        <v>37456</v>
      </c>
      <c r="F7726" s="1" t="s">
        <v>686</v>
      </c>
      <c r="G7726" s="1" t="s">
        <v>21360</v>
      </c>
      <c r="H7726" s="1">
        <v>2006.0</v>
      </c>
      <c r="I7726" s="1" t="s">
        <v>78</v>
      </c>
      <c r="J7726" s="1" t="s">
        <v>1191</v>
      </c>
      <c r="K7726" s="1" t="s">
        <v>10074</v>
      </c>
      <c r="L7726" s="1" t="s">
        <v>37457</v>
      </c>
      <c r="M7726" s="2" t="s">
        <v>12</v>
      </c>
      <c r="N7726" s="4">
        <f t="shared" si="1"/>
        <v>43556</v>
      </c>
      <c r="O7726" s="5" t="str">
        <f>IFERROR(__xludf.DUMMYFUNCTION("IF(REGEXMATCH(TRIM(I7726), ""^\d+\s*min""), ""Unclassified"", IF(I7726 = """", ""NR"", I7726))"),"PG")</f>
        <v>PG</v>
      </c>
      <c r="R7726" s="5" t="str">
        <f t="shared" si="2"/>
        <v>Penelope</v>
      </c>
      <c r="S7726" s="5" t="str">
        <f>IFERROR(__xludf.DUMMYFUNCTION("""COMPUTED_VALUE"""),"The Seventies")</f>
        <v>The Seventies</v>
      </c>
      <c r="V7726" s="5"/>
      <c r="Y7726" s="5" t="str">
        <f>IFERROR(__xludf.DUMMYFUNCTION("REGEXEXTRACT(J7726, ""^\d+"")"),"89")</f>
        <v>89</v>
      </c>
      <c r="Z7726" s="5" t="str">
        <f>IFERROR(__xludf.DUMMYFUNCTION("REGEXEXTRACT(J7726, ""[A-Za-z ]+$"")")," min")</f>
        <v> min</v>
      </c>
      <c r="AA7726" s="5" t="str">
        <f>IFERROR(__xludf.DUMMYFUNCTION("IF(REGEXMATCH(Z7726, ""Season""), ""TV Show"", ""Movie"")"),"Movie")</f>
        <v>Movie</v>
      </c>
    </row>
    <row r="7727">
      <c r="A7727" s="1" t="s">
        <v>37458</v>
      </c>
      <c r="B7727" s="1" t="s">
        <v>37</v>
      </c>
      <c r="C7727" s="1" t="s">
        <v>37459</v>
      </c>
      <c r="E7727" s="1" t="s">
        <v>37460</v>
      </c>
      <c r="F7727" s="1" t="s">
        <v>30832</v>
      </c>
      <c r="G7727" s="1" t="s">
        <v>37461</v>
      </c>
      <c r="H7727" s="1">
        <v>2016.0</v>
      </c>
      <c r="I7727" s="1" t="s">
        <v>42</v>
      </c>
      <c r="J7727" s="1" t="s">
        <v>276</v>
      </c>
      <c r="K7727" s="1" t="s">
        <v>71</v>
      </c>
      <c r="L7727" s="1" t="s">
        <v>37462</v>
      </c>
      <c r="M7727" s="2" t="s">
        <v>12</v>
      </c>
      <c r="N7727" s="4">
        <f t="shared" si="1"/>
        <v>42630</v>
      </c>
      <c r="O7727" s="5" t="str">
        <f>IFERROR(__xludf.DUMMYFUNCTION("IF(REGEXMATCH(TRIM(I7727), ""^\d+\s*min""), ""Unclassified"", IF(I7727 = """", ""NR"", I7727))"),"TV-MA")</f>
        <v>TV-MA</v>
      </c>
      <c r="R7727" s="5" t="str">
        <f t="shared" si="2"/>
        <v>Penny Dreadful</v>
      </c>
      <c r="S7727" s="5" t="str">
        <f>IFERROR(__xludf.DUMMYFUNCTION("""COMPUTED_VALUE"""),"The Shadow Of Violence")</f>
        <v>The Shadow Of Violence</v>
      </c>
      <c r="V7727" s="5"/>
      <c r="Y7727" s="5" t="str">
        <f>IFERROR(__xludf.DUMMYFUNCTION("REGEXEXTRACT(J7727, ""^\d+"")"),"3")</f>
        <v>3</v>
      </c>
      <c r="Z7727" s="5" t="str">
        <f>IFERROR(__xludf.DUMMYFUNCTION("REGEXEXTRACT(J7727, ""[A-Za-z ]+$"")")," Seasons")</f>
        <v> Seasons</v>
      </c>
      <c r="AA7727" s="5" t="str">
        <f>IFERROR(__xludf.DUMMYFUNCTION("IF(REGEXMATCH(Z7727, ""Season""), ""TV Show"", ""Movie"")"),"TV Show")</f>
        <v>TV Show</v>
      </c>
    </row>
    <row r="7728">
      <c r="A7728" s="1" t="s">
        <v>37463</v>
      </c>
      <c r="B7728" s="1" t="s">
        <v>27</v>
      </c>
      <c r="C7728" s="1" t="s">
        <v>37464</v>
      </c>
      <c r="D7728" s="1" t="s">
        <v>9824</v>
      </c>
      <c r="E7728" s="1" t="s">
        <v>37465</v>
      </c>
      <c r="F7728" s="1" t="s">
        <v>17003</v>
      </c>
      <c r="G7728" s="1" t="s">
        <v>28564</v>
      </c>
      <c r="H7728" s="1">
        <v>2016.0</v>
      </c>
      <c r="I7728" s="1" t="s">
        <v>42</v>
      </c>
      <c r="J7728" s="1" t="s">
        <v>912</v>
      </c>
      <c r="K7728" s="1" t="s">
        <v>8641</v>
      </c>
      <c r="L7728" s="1" t="s">
        <v>37466</v>
      </c>
      <c r="M7728" s="2" t="s">
        <v>12</v>
      </c>
      <c r="N7728" s="4">
        <f t="shared" si="1"/>
        <v>42794</v>
      </c>
      <c r="O7728" s="5" t="str">
        <f>IFERROR(__xludf.DUMMYFUNCTION("IF(REGEXMATCH(TRIM(I7728), ""^\d+\s*min""), ""Unclassified"", IF(I7728 = """", ""NR"", I7728))"),"TV-MA")</f>
        <v>TV-MA</v>
      </c>
      <c r="R7728" s="5" t="str">
        <f t="shared" si="2"/>
        <v>People You May Know</v>
      </c>
      <c r="S7728" s="5" t="str">
        <f>IFERROR(__xludf.DUMMYFUNCTION("""COMPUTED_VALUE"""),"The Shannara Chronicles")</f>
        <v>The Shannara Chronicles</v>
      </c>
      <c r="V7728" s="5"/>
      <c r="Y7728" s="5" t="str">
        <f>IFERROR(__xludf.DUMMYFUNCTION("REGEXEXTRACT(J7728, ""^\d+"")"),"108")</f>
        <v>108</v>
      </c>
      <c r="Z7728" s="5" t="str">
        <f>IFERROR(__xludf.DUMMYFUNCTION("REGEXEXTRACT(J7728, ""[A-Za-z ]+$"")")," min")</f>
        <v> min</v>
      </c>
      <c r="AA7728" s="5" t="str">
        <f>IFERROR(__xludf.DUMMYFUNCTION("IF(REGEXMATCH(Z7728, ""Season""), ""TV Show"", ""Movie"")"),"Movie")</f>
        <v>Movie</v>
      </c>
    </row>
    <row r="7729">
      <c r="A7729" s="1" t="s">
        <v>37467</v>
      </c>
      <c r="B7729" s="1" t="s">
        <v>27</v>
      </c>
      <c r="C7729" s="1" t="s">
        <v>37468</v>
      </c>
      <c r="D7729" s="1" t="s">
        <v>4055</v>
      </c>
      <c r="E7729" s="1" t="s">
        <v>37469</v>
      </c>
      <c r="F7729" s="1" t="s">
        <v>1106</v>
      </c>
      <c r="G7729" s="1" t="s">
        <v>20988</v>
      </c>
      <c r="H7729" s="1">
        <v>2017.0</v>
      </c>
      <c r="I7729" s="1" t="s">
        <v>42</v>
      </c>
      <c r="J7729" s="1" t="s">
        <v>4699</v>
      </c>
      <c r="K7729" s="1" t="s">
        <v>34</v>
      </c>
      <c r="L7729" s="1" t="s">
        <v>37470</v>
      </c>
      <c r="M7729" s="2" t="s">
        <v>12</v>
      </c>
      <c r="N7729" s="4">
        <f t="shared" si="1"/>
        <v>43585</v>
      </c>
      <c r="O7729" s="5" t="str">
        <f>IFERROR(__xludf.DUMMYFUNCTION("IF(REGEXMATCH(TRIM(I7729), ""^\d+\s*min""), ""Unclassified"", IF(I7729 = """", ""NR"", I7729))"),"TV-MA")</f>
        <v>TV-MA</v>
      </c>
      <c r="R7729" s="5" t="str">
        <f t="shared" si="2"/>
        <v>Perfect Bid: The Contestant Who Knew Too Much</v>
      </c>
      <c r="S7729" s="5" t="str">
        <f>IFERROR(__xludf.DUMMYFUNCTION("""COMPUTED_VALUE"""),"The Shaukeens")</f>
        <v>The Shaukeens</v>
      </c>
      <c r="V7729" s="5"/>
      <c r="Y7729" s="5" t="str">
        <f>IFERROR(__xludf.DUMMYFUNCTION("REGEXEXTRACT(J7729, ""^\d+"")"),"72")</f>
        <v>72</v>
      </c>
      <c r="Z7729" s="5" t="str">
        <f>IFERROR(__xludf.DUMMYFUNCTION("REGEXEXTRACT(J7729, ""[A-Za-z ]+$"")")," min")</f>
        <v> min</v>
      </c>
      <c r="AA7729" s="5" t="str">
        <f>IFERROR(__xludf.DUMMYFUNCTION("IF(REGEXMATCH(Z7729, ""Season""), ""TV Show"", ""Movie"")"),"Movie")</f>
        <v>Movie</v>
      </c>
    </row>
    <row r="7730">
      <c r="A7730" s="1" t="s">
        <v>37471</v>
      </c>
      <c r="B7730" s="1" t="s">
        <v>27</v>
      </c>
      <c r="C7730" s="1" t="s">
        <v>37472</v>
      </c>
      <c r="D7730" s="1" t="s">
        <v>10000</v>
      </c>
      <c r="E7730" s="1" t="s">
        <v>37473</v>
      </c>
      <c r="F7730" s="1" t="s">
        <v>30</v>
      </c>
      <c r="G7730" s="1" t="s">
        <v>22635</v>
      </c>
      <c r="H7730" s="1">
        <v>2007.0</v>
      </c>
      <c r="I7730" s="1" t="s">
        <v>378</v>
      </c>
      <c r="J7730" s="1" t="s">
        <v>1065</v>
      </c>
      <c r="K7730" s="1" t="s">
        <v>171</v>
      </c>
      <c r="L7730" s="1" t="s">
        <v>37474</v>
      </c>
      <c r="M7730" s="2" t="s">
        <v>12</v>
      </c>
      <c r="N7730" s="4">
        <f t="shared" si="1"/>
        <v>43466</v>
      </c>
      <c r="O7730" s="5" t="str">
        <f>IFERROR(__xludf.DUMMYFUNCTION("IF(REGEXMATCH(TRIM(I7730), ""^\d+\s*min""), ""Unclassified"", IF(I7730 = """", ""NR"", I7730))"),"R")</f>
        <v>R</v>
      </c>
      <c r="R7730" s="5" t="str">
        <f t="shared" si="2"/>
        <v>Perfect Stranger</v>
      </c>
      <c r="S7730" s="5" t="str">
        <f>IFERROR(__xludf.DUMMYFUNCTION("""COMPUTED_VALUE"""),"The Short Game")</f>
        <v>The Short Game</v>
      </c>
      <c r="V7730" s="5"/>
      <c r="Y7730" s="5" t="str">
        <f>IFERROR(__xludf.DUMMYFUNCTION("REGEXEXTRACT(J7730, ""^\d+"")"),"109")</f>
        <v>109</v>
      </c>
      <c r="Z7730" s="5" t="str">
        <f>IFERROR(__xludf.DUMMYFUNCTION("REGEXEXTRACT(J7730, ""[A-Za-z ]+$"")")," min")</f>
        <v> min</v>
      </c>
      <c r="AA7730" s="5" t="str">
        <f>IFERROR(__xludf.DUMMYFUNCTION("IF(REGEXMATCH(Z7730, ""Season""), ""TV Show"", ""Movie"")"),"Movie")</f>
        <v>Movie</v>
      </c>
    </row>
    <row r="7731">
      <c r="A7731" s="1" t="s">
        <v>37475</v>
      </c>
      <c r="B7731" s="1" t="s">
        <v>37</v>
      </c>
      <c r="C7731" s="1" t="s">
        <v>37476</v>
      </c>
      <c r="E7731" s="1" t="s">
        <v>37477</v>
      </c>
      <c r="F7731" s="1" t="s">
        <v>30</v>
      </c>
      <c r="G7731" s="1" t="s">
        <v>37478</v>
      </c>
      <c r="H7731" s="1">
        <v>2016.0</v>
      </c>
      <c r="I7731" s="1" t="s">
        <v>97</v>
      </c>
      <c r="J7731" s="1" t="s">
        <v>189</v>
      </c>
      <c r="K7731" s="1" t="s">
        <v>13666</v>
      </c>
      <c r="L7731" s="1" t="s">
        <v>37479</v>
      </c>
      <c r="M7731" s="2" t="s">
        <v>12</v>
      </c>
      <c r="N7731" s="1" t="str">
        <f t="shared" si="1"/>
        <v>#N/A</v>
      </c>
      <c r="O7731" s="5" t="str">
        <f>IFERROR(__xludf.DUMMYFUNCTION("IF(REGEXMATCH(TRIM(I7731), ""^\d+\s*min""), ""Unclassified"", IF(I7731 = """", ""NR"", I7731))"),"TV-14")</f>
        <v>TV-14</v>
      </c>
      <c r="R7731" s="5" t="str">
        <f t="shared" si="2"/>
        <v>Person Of Interest</v>
      </c>
      <c r="S7731" s="5" t="str">
        <f>IFERROR(__xludf.DUMMYFUNCTION("""COMPUTED_VALUE"""),"The Show")</f>
        <v>The Show</v>
      </c>
      <c r="V7731" s="5"/>
      <c r="Y7731" s="5" t="str">
        <f>IFERROR(__xludf.DUMMYFUNCTION("REGEXEXTRACT(J7731, ""^\d+"")"),"5")</f>
        <v>5</v>
      </c>
      <c r="Z7731" s="5" t="str">
        <f>IFERROR(__xludf.DUMMYFUNCTION("REGEXEXTRACT(J7731, ""[A-Za-z ]+$"")")," Seasons")</f>
        <v> Seasons</v>
      </c>
      <c r="AA7731" s="5" t="str">
        <f>IFERROR(__xludf.DUMMYFUNCTION("IF(REGEXMATCH(Z7731, ""Season""), ""TV Show"", ""Movie"")"),"TV Show")</f>
        <v>TV Show</v>
      </c>
    </row>
    <row r="7732">
      <c r="A7732" s="1" t="s">
        <v>37480</v>
      </c>
      <c r="B7732" s="1" t="s">
        <v>27</v>
      </c>
      <c r="C7732" s="1" t="s">
        <v>37481</v>
      </c>
      <c r="D7732" s="1" t="s">
        <v>13389</v>
      </c>
      <c r="E7732" s="1" t="s">
        <v>37482</v>
      </c>
      <c r="F7732" s="1" t="s">
        <v>37483</v>
      </c>
      <c r="G7732" s="1" t="s">
        <v>22239</v>
      </c>
      <c r="H7732" s="1">
        <v>2016.0</v>
      </c>
      <c r="I7732" s="1" t="s">
        <v>378</v>
      </c>
      <c r="J7732" s="1" t="s">
        <v>305</v>
      </c>
      <c r="K7732" s="1" t="s">
        <v>298</v>
      </c>
      <c r="L7732" s="1" t="s">
        <v>37484</v>
      </c>
      <c r="M7732" s="2" t="s">
        <v>12</v>
      </c>
      <c r="N7732" s="4">
        <f t="shared" si="1"/>
        <v>43497</v>
      </c>
      <c r="O7732" s="5" t="str">
        <f>IFERROR(__xludf.DUMMYFUNCTION("IF(REGEXMATCH(TRIM(I7732), ""^\d+\s*min""), ""Unclassified"", IF(I7732 = """", ""NR"", I7732))"),"R")</f>
        <v>R</v>
      </c>
      <c r="R7732" s="5" t="str">
        <f t="shared" si="2"/>
        <v>Personal Shopper</v>
      </c>
      <c r="S7732" s="5" t="str">
        <f>IFERROR(__xludf.DUMMYFUNCTION("""COMPUTED_VALUE"""),"The Show Must Go On: The Queen + Adam Lambert Story")</f>
        <v>The Show Must Go On: The Queen + Adam Lambert Story</v>
      </c>
      <c r="V7732" s="5"/>
      <c r="Y7732" s="5" t="str">
        <f>IFERROR(__xludf.DUMMYFUNCTION("REGEXEXTRACT(J7732, ""^\d+"")"),"105")</f>
        <v>105</v>
      </c>
      <c r="Z7732" s="5" t="str">
        <f>IFERROR(__xludf.DUMMYFUNCTION("REGEXEXTRACT(J7732, ""[A-Za-z ]+$"")")," min")</f>
        <v> min</v>
      </c>
      <c r="AA7732" s="5" t="str">
        <f>IFERROR(__xludf.DUMMYFUNCTION("IF(REGEXMATCH(Z7732, ""Season""), ""TV Show"", ""Movie"")"),"Movie")</f>
        <v>Movie</v>
      </c>
    </row>
    <row r="7733">
      <c r="A7733" s="1" t="s">
        <v>37485</v>
      </c>
      <c r="B7733" s="1" t="s">
        <v>27</v>
      </c>
      <c r="C7733" s="1" t="s">
        <v>37486</v>
      </c>
      <c r="D7733" s="1" t="s">
        <v>22842</v>
      </c>
      <c r="E7733" s="1" t="s">
        <v>37487</v>
      </c>
      <c r="F7733" s="1" t="s">
        <v>30</v>
      </c>
      <c r="G7733" s="1" t="s">
        <v>37488</v>
      </c>
      <c r="H7733" s="1">
        <v>2016.0</v>
      </c>
      <c r="I7733" s="1" t="s">
        <v>42</v>
      </c>
      <c r="J7733" s="1" t="s">
        <v>665</v>
      </c>
      <c r="K7733" s="1" t="s">
        <v>34</v>
      </c>
      <c r="L7733" s="1" t="s">
        <v>37489</v>
      </c>
      <c r="M7733" s="2" t="s">
        <v>12</v>
      </c>
      <c r="N7733" s="4">
        <f t="shared" si="1"/>
        <v>42803</v>
      </c>
      <c r="O7733" s="5" t="str">
        <f>IFERROR(__xludf.DUMMYFUNCTION("IF(REGEXMATCH(TRIM(I7733), ""^\d+\s*min""), ""Unclassified"", IF(I7733 = """", ""NR"", I7733))"),"TV-MA")</f>
        <v>TV-MA</v>
      </c>
      <c r="R7733" s="5" t="str">
        <f t="shared" si="2"/>
        <v>Peter And The Farm</v>
      </c>
      <c r="S7733" s="5" t="str">
        <f>IFERROR(__xludf.DUMMYFUNCTION("""COMPUTED_VALUE"""),"The Siege Of Jadotville")</f>
        <v>The Siege Of Jadotville</v>
      </c>
      <c r="V7733" s="5"/>
      <c r="Y7733" s="5" t="str">
        <f>IFERROR(__xludf.DUMMYFUNCTION("REGEXEXTRACT(J7733, ""^\d+"")"),"92")</f>
        <v>92</v>
      </c>
      <c r="Z7733" s="5" t="str">
        <f>IFERROR(__xludf.DUMMYFUNCTION("REGEXEXTRACT(J7733, ""[A-Za-z ]+$"")")," min")</f>
        <v> min</v>
      </c>
      <c r="AA7733" s="5" t="str">
        <f>IFERROR(__xludf.DUMMYFUNCTION("IF(REGEXMATCH(Z7733, ""Season""), ""TV Show"", ""Movie"")"),"Movie")</f>
        <v>Movie</v>
      </c>
    </row>
    <row r="7734">
      <c r="A7734" s="1" t="s">
        <v>37490</v>
      </c>
      <c r="B7734" s="1" t="s">
        <v>27</v>
      </c>
      <c r="C7734" s="1" t="s">
        <v>37491</v>
      </c>
      <c r="D7734" s="1" t="s">
        <v>23579</v>
      </c>
      <c r="E7734" s="1" t="s">
        <v>37492</v>
      </c>
      <c r="F7734" s="1" t="s">
        <v>5656</v>
      </c>
      <c r="G7734" s="1" t="s">
        <v>30808</v>
      </c>
      <c r="H7734" s="1">
        <v>2018.0</v>
      </c>
      <c r="I7734" s="1" t="s">
        <v>78</v>
      </c>
      <c r="J7734" s="1" t="s">
        <v>465</v>
      </c>
      <c r="K7734" s="1" t="s">
        <v>137</v>
      </c>
      <c r="L7734" s="1" t="s">
        <v>37493</v>
      </c>
      <c r="M7734" s="2" t="s">
        <v>12</v>
      </c>
      <c r="N7734" s="4">
        <f t="shared" si="1"/>
        <v>43330</v>
      </c>
      <c r="O7734" s="5" t="str">
        <f>IFERROR(__xludf.DUMMYFUNCTION("IF(REGEXMATCH(TRIM(I7734), ""^\d+\s*min""), ""Unclassified"", IF(I7734 = """", ""NR"", I7734))"),"PG")</f>
        <v>PG</v>
      </c>
      <c r="R7734" s="5" t="str">
        <f t="shared" si="2"/>
        <v>Peter Rabbit</v>
      </c>
      <c r="S7734" s="5" t="str">
        <f>IFERROR(__xludf.DUMMYFUNCTION("""COMPUTED_VALUE"""),"The Sign Of Venus")</f>
        <v>The Sign Of Venus</v>
      </c>
      <c r="V7734" s="5"/>
      <c r="Y7734" s="5" t="str">
        <f>IFERROR(__xludf.DUMMYFUNCTION("REGEXEXTRACT(J7734, ""^\d+"")"),"95")</f>
        <v>95</v>
      </c>
      <c r="Z7734" s="5" t="str">
        <f>IFERROR(__xludf.DUMMYFUNCTION("REGEXEXTRACT(J7734, ""[A-Za-z ]+$"")")," min")</f>
        <v> min</v>
      </c>
      <c r="AA7734" s="5" t="str">
        <f>IFERROR(__xludf.DUMMYFUNCTION("IF(REGEXMATCH(Z7734, ""Season""), ""TV Show"", ""Movie"")"),"Movie")</f>
        <v>Movie</v>
      </c>
    </row>
    <row r="7735">
      <c r="A7735" s="1" t="s">
        <v>37494</v>
      </c>
      <c r="B7735" s="1" t="s">
        <v>27</v>
      </c>
      <c r="C7735" s="1" t="s">
        <v>37495</v>
      </c>
      <c r="D7735" s="1" t="s">
        <v>12394</v>
      </c>
      <c r="E7735" s="1" t="s">
        <v>37496</v>
      </c>
      <c r="G7735" s="1" t="s">
        <v>17078</v>
      </c>
      <c r="H7735" s="1">
        <v>2018.0</v>
      </c>
      <c r="I7735" s="1" t="s">
        <v>42</v>
      </c>
      <c r="J7735" s="1" t="s">
        <v>912</v>
      </c>
      <c r="K7735" s="1" t="s">
        <v>298</v>
      </c>
      <c r="L7735" s="1" t="s">
        <v>37497</v>
      </c>
      <c r="M7735" s="2" t="s">
        <v>12</v>
      </c>
      <c r="N7735" s="4">
        <f t="shared" si="1"/>
        <v>43830</v>
      </c>
      <c r="O7735" s="5" t="str">
        <f>IFERROR(__xludf.DUMMYFUNCTION("IF(REGEXMATCH(TRIM(I7735), ""^\d+\s*min""), ""Unclassified"", IF(I7735 = """", ""NR"", I7735))"),"TV-MA")</f>
        <v>TV-MA</v>
      </c>
      <c r="R7735" s="5" t="str">
        <f t="shared" si="2"/>
        <v>Phamous</v>
      </c>
      <c r="S7735" s="5" t="str">
        <f>IFERROR(__xludf.DUMMYFUNCTION("""COMPUTED_VALUE"""),"The Signal")</f>
        <v>The Signal</v>
      </c>
      <c r="V7735" s="5"/>
      <c r="Y7735" s="5" t="str">
        <f>IFERROR(__xludf.DUMMYFUNCTION("REGEXEXTRACT(J7735, ""^\d+"")"),"108")</f>
        <v>108</v>
      </c>
      <c r="Z7735" s="5" t="str">
        <f>IFERROR(__xludf.DUMMYFUNCTION("REGEXEXTRACT(J7735, ""[A-Za-z ]+$"")")," min")</f>
        <v> min</v>
      </c>
      <c r="AA7735" s="5" t="str">
        <f>IFERROR(__xludf.DUMMYFUNCTION("IF(REGEXMATCH(Z7735, ""Season""), ""TV Show"", ""Movie"")"),"Movie")</f>
        <v>Movie</v>
      </c>
    </row>
    <row r="7736">
      <c r="A7736" s="1" t="s">
        <v>37498</v>
      </c>
      <c r="B7736" s="1" t="s">
        <v>27</v>
      </c>
      <c r="C7736" s="1" t="s">
        <v>37499</v>
      </c>
      <c r="D7736" s="1" t="s">
        <v>10504</v>
      </c>
      <c r="E7736" s="1" t="s">
        <v>37500</v>
      </c>
      <c r="F7736" s="1" t="s">
        <v>3217</v>
      </c>
      <c r="G7736" s="1" t="s">
        <v>27097</v>
      </c>
      <c r="H7736" s="1">
        <v>2015.0</v>
      </c>
      <c r="I7736" s="1" t="s">
        <v>78</v>
      </c>
      <c r="J7736" s="1" t="s">
        <v>471</v>
      </c>
      <c r="K7736" s="1" t="s">
        <v>306</v>
      </c>
      <c r="L7736" s="1" t="s">
        <v>37501</v>
      </c>
      <c r="M7736" s="2" t="s">
        <v>12</v>
      </c>
      <c r="N7736" s="4">
        <f t="shared" si="1"/>
        <v>43009</v>
      </c>
      <c r="O7736" s="5" t="str">
        <f>IFERROR(__xludf.DUMMYFUNCTION("IF(REGEXMATCH(TRIM(I7736), ""^\d+\s*min""), ""Unclassified"", IF(I7736 = """", ""NR"", I7736))"),"PG")</f>
        <v>PG</v>
      </c>
      <c r="R7736" s="5" t="str">
        <f t="shared" si="2"/>
        <v>Phantom Boy</v>
      </c>
      <c r="S7736" s="5" t="str">
        <f>IFERROR(__xludf.DUMMYFUNCTION("""COMPUTED_VALUE"""),"The Silence")</f>
        <v>The Silence</v>
      </c>
      <c r="V7736" s="5"/>
      <c r="Y7736" s="5" t="str">
        <f>IFERROR(__xludf.DUMMYFUNCTION("REGEXEXTRACT(J7736, ""^\d+"")"),"85")</f>
        <v>85</v>
      </c>
      <c r="Z7736" s="5" t="str">
        <f>IFERROR(__xludf.DUMMYFUNCTION("REGEXEXTRACT(J7736, ""[A-Za-z ]+$"")")," min")</f>
        <v> min</v>
      </c>
      <c r="AA7736" s="5" t="str">
        <f>IFERROR(__xludf.DUMMYFUNCTION("IF(REGEXMATCH(Z7736, ""Season""), ""TV Show"", ""Movie"")"),"Movie")</f>
        <v>Movie</v>
      </c>
    </row>
    <row r="7737">
      <c r="A7737" s="1" t="s">
        <v>37502</v>
      </c>
      <c r="B7737" s="1" t="s">
        <v>27</v>
      </c>
      <c r="C7737" s="1" t="s">
        <v>37503</v>
      </c>
      <c r="D7737" s="1" t="s">
        <v>11676</v>
      </c>
      <c r="E7737" s="1" t="s">
        <v>37504</v>
      </c>
      <c r="F7737" s="1" t="s">
        <v>30</v>
      </c>
      <c r="G7737" s="1" t="s">
        <v>20110</v>
      </c>
      <c r="H7737" s="1">
        <v>1993.0</v>
      </c>
      <c r="I7737" s="1" t="s">
        <v>32</v>
      </c>
      <c r="J7737" s="1" t="s">
        <v>3458</v>
      </c>
      <c r="K7737" s="1" t="s">
        <v>37505</v>
      </c>
      <c r="L7737" s="1" t="s">
        <v>37506</v>
      </c>
      <c r="M7737" s="2" t="s">
        <v>12</v>
      </c>
      <c r="N7737" s="4">
        <f t="shared" si="1"/>
        <v>43647</v>
      </c>
      <c r="O7737" s="5" t="str">
        <f>IFERROR(__xludf.DUMMYFUNCTION("IF(REGEXMATCH(TRIM(I7737), ""^\d+\s*min""), ""Unclassified"", IF(I7737 = """", ""NR"", I7737))"),"PG-13")</f>
        <v>PG-13</v>
      </c>
      <c r="R7737" s="5" t="str">
        <f t="shared" si="2"/>
        <v>Philadelphia</v>
      </c>
      <c r="S7737" s="5" t="str">
        <f>IFERROR(__xludf.DUMMYFUNCTION("""COMPUTED_VALUE"""),"The Silence Of Others")</f>
        <v>The Silence Of Others</v>
      </c>
      <c r="V7737" s="5"/>
      <c r="Y7737" s="5" t="str">
        <f>IFERROR(__xludf.DUMMYFUNCTION("REGEXEXTRACT(J7737, ""^\d+"")"),"126")</f>
        <v>126</v>
      </c>
      <c r="Z7737" s="5" t="str">
        <f>IFERROR(__xludf.DUMMYFUNCTION("REGEXEXTRACT(J7737, ""[A-Za-z ]+$"")")," min")</f>
        <v> min</v>
      </c>
      <c r="AA7737" s="5" t="str">
        <f>IFERROR(__xludf.DUMMYFUNCTION("IF(REGEXMATCH(Z7737, ""Season""), ""TV Show"", ""Movie"")"),"Movie")</f>
        <v>Movie</v>
      </c>
    </row>
    <row r="7738">
      <c r="A7738" s="1" t="s">
        <v>37507</v>
      </c>
      <c r="B7738" s="1" t="s">
        <v>27</v>
      </c>
      <c r="C7738" s="1" t="s">
        <v>37508</v>
      </c>
      <c r="D7738" s="1" t="s">
        <v>725</v>
      </c>
      <c r="E7738" s="1" t="s">
        <v>37509</v>
      </c>
      <c r="F7738" s="1" t="s">
        <v>63</v>
      </c>
      <c r="G7738" s="1" t="s">
        <v>26413</v>
      </c>
      <c r="H7738" s="1">
        <v>2015.0</v>
      </c>
      <c r="I7738" s="1" t="s">
        <v>97</v>
      </c>
      <c r="J7738" s="1" t="s">
        <v>870</v>
      </c>
      <c r="K7738" s="1" t="s">
        <v>3183</v>
      </c>
      <c r="L7738" s="1" t="s">
        <v>37510</v>
      </c>
      <c r="M7738" s="2" t="s">
        <v>12</v>
      </c>
      <c r="N7738" s="4">
        <f t="shared" si="1"/>
        <v>43115</v>
      </c>
      <c r="O7738" s="5" t="str">
        <f>IFERROR(__xludf.DUMMYFUNCTION("IF(REGEXMATCH(TRIM(I7738), ""^\d+\s*min""), ""Unclassified"", IF(I7738 = """", ""NR"", I7738))"),"TV-14")</f>
        <v>TV-14</v>
      </c>
      <c r="R7738" s="5" t="str">
        <f t="shared" si="2"/>
        <v>Phir Se</v>
      </c>
      <c r="S7738" s="5" t="str">
        <f>IFERROR(__xludf.DUMMYFUNCTION("""COMPUTED_VALUE"""),"The Silence Of The Marsh")</f>
        <v>The Silence Of The Marsh</v>
      </c>
      <c r="V7738" s="5"/>
      <c r="Y7738" s="5" t="str">
        <f>IFERROR(__xludf.DUMMYFUNCTION("REGEXEXTRACT(J7738, ""^\d+"")"),"118")</f>
        <v>118</v>
      </c>
      <c r="Z7738" s="5" t="str">
        <f>IFERROR(__xludf.DUMMYFUNCTION("REGEXEXTRACT(J7738, ""[A-Za-z ]+$"")")," min")</f>
        <v> min</v>
      </c>
      <c r="AA7738" s="5" t="str">
        <f>IFERROR(__xludf.DUMMYFUNCTION("IF(REGEXMATCH(Z7738, ""Season""), ""TV Show"", ""Movie"")"),"Movie")</f>
        <v>Movie</v>
      </c>
    </row>
    <row r="7739">
      <c r="A7739" s="1" t="s">
        <v>37511</v>
      </c>
      <c r="B7739" s="1" t="s">
        <v>27</v>
      </c>
      <c r="C7739" s="1" t="s">
        <v>37512</v>
      </c>
      <c r="D7739" s="1" t="s">
        <v>2954</v>
      </c>
      <c r="E7739" s="1" t="s">
        <v>37513</v>
      </c>
      <c r="F7739" s="1" t="s">
        <v>2796</v>
      </c>
      <c r="G7739" s="1" t="s">
        <v>31151</v>
      </c>
      <c r="H7739" s="1">
        <v>2009.0</v>
      </c>
      <c r="I7739" s="1" t="s">
        <v>42</v>
      </c>
      <c r="J7739" s="1" t="s">
        <v>88</v>
      </c>
      <c r="K7739" s="1" t="s">
        <v>1441</v>
      </c>
      <c r="L7739" s="1" t="s">
        <v>37514</v>
      </c>
      <c r="M7739" s="2" t="s">
        <v>12</v>
      </c>
      <c r="N7739" s="4">
        <f t="shared" si="1"/>
        <v>43348</v>
      </c>
      <c r="O7739" s="5" t="str">
        <f>IFERROR(__xludf.DUMMYFUNCTION("IF(REGEXMATCH(TRIM(I7739), ""^\d+\s*min""), ""Unclassified"", IF(I7739 = """", ""NR"", I7739))"),"TV-MA")</f>
        <v>TV-MA</v>
      </c>
      <c r="R7739" s="5" t="str">
        <f t="shared" si="2"/>
        <v>Phobia 2</v>
      </c>
      <c r="S7739" s="5" t="str">
        <f>IFERROR(__xludf.DUMMYFUNCTION("""COMPUTED_VALUE"""),"The Silent War")</f>
        <v>The Silent War</v>
      </c>
      <c r="V7739" s="5"/>
      <c r="Y7739" s="5" t="str">
        <f>IFERROR(__xludf.DUMMYFUNCTION("REGEXEXTRACT(J7739, ""^\d+"")"),"125")</f>
        <v>125</v>
      </c>
      <c r="Z7739" s="5" t="str">
        <f>IFERROR(__xludf.DUMMYFUNCTION("REGEXEXTRACT(J7739, ""[A-Za-z ]+$"")")," min")</f>
        <v> min</v>
      </c>
      <c r="AA7739" s="5" t="str">
        <f>IFERROR(__xludf.DUMMYFUNCTION("IF(REGEXMATCH(Z7739, ""Season""), ""TV Show"", ""Movie"")"),"Movie")</f>
        <v>Movie</v>
      </c>
    </row>
    <row r="7740">
      <c r="A7740" s="1" t="s">
        <v>37515</v>
      </c>
      <c r="B7740" s="1" t="s">
        <v>27</v>
      </c>
      <c r="C7740" s="1" t="s">
        <v>37516</v>
      </c>
      <c r="D7740" s="1" t="s">
        <v>10013</v>
      </c>
      <c r="E7740" s="1" t="s">
        <v>37517</v>
      </c>
      <c r="F7740" s="1" t="s">
        <v>400</v>
      </c>
      <c r="G7740" s="1" t="s">
        <v>19361</v>
      </c>
      <c r="H7740" s="1">
        <v>2012.0</v>
      </c>
      <c r="I7740" s="1" t="s">
        <v>97</v>
      </c>
      <c r="J7740" s="1" t="s">
        <v>1243</v>
      </c>
      <c r="K7740" s="1" t="s">
        <v>215</v>
      </c>
      <c r="L7740" s="1" t="s">
        <v>37518</v>
      </c>
      <c r="M7740" s="2" t="s">
        <v>12</v>
      </c>
      <c r="N7740" s="4">
        <f t="shared" si="1"/>
        <v>43709</v>
      </c>
      <c r="O7740" s="5" t="str">
        <f>IFERROR(__xludf.DUMMYFUNCTION("IF(REGEXMATCH(TRIM(I7740), ""^\d+\s*min""), ""Unclassified"", IF(I7740 = """", ""NR"", I7740))"),"TV-14")</f>
        <v>TV-14</v>
      </c>
      <c r="R7740" s="5" t="str">
        <f t="shared" si="2"/>
        <v>Phone Swap</v>
      </c>
      <c r="S7740" s="5" t="str">
        <f>IFERROR(__xludf.DUMMYFUNCTION("""COMPUTED_VALUE"""),"The Similars")</f>
        <v>The Similars</v>
      </c>
      <c r="V7740" s="5"/>
      <c r="Y7740" s="5" t="str">
        <f>IFERROR(__xludf.DUMMYFUNCTION("REGEXEXTRACT(J7740, ""^\d+"")"),"112")</f>
        <v>112</v>
      </c>
      <c r="Z7740" s="5" t="str">
        <f>IFERROR(__xludf.DUMMYFUNCTION("REGEXEXTRACT(J7740, ""[A-Za-z ]+$"")")," min")</f>
        <v> min</v>
      </c>
      <c r="AA7740" s="5" t="str">
        <f>IFERROR(__xludf.DUMMYFUNCTION("IF(REGEXMATCH(Z7740, ""Season""), ""TV Show"", ""Movie"")"),"Movie")</f>
        <v>Movie</v>
      </c>
    </row>
    <row r="7741">
      <c r="A7741" s="1" t="s">
        <v>37519</v>
      </c>
      <c r="B7741" s="1" t="s">
        <v>27</v>
      </c>
      <c r="C7741" s="1" t="s">
        <v>37520</v>
      </c>
      <c r="D7741" s="1" t="s">
        <v>279</v>
      </c>
      <c r="E7741" s="1" t="s">
        <v>37521</v>
      </c>
      <c r="F7741" s="1" t="s">
        <v>63</v>
      </c>
      <c r="G7741" s="1" t="s">
        <v>17078</v>
      </c>
      <c r="H7741" s="1">
        <v>2017.0</v>
      </c>
      <c r="I7741" s="1" t="s">
        <v>97</v>
      </c>
      <c r="J7741" s="1" t="s">
        <v>322</v>
      </c>
      <c r="K7741" s="1" t="s">
        <v>89</v>
      </c>
      <c r="L7741" s="1" t="s">
        <v>37522</v>
      </c>
      <c r="M7741" s="2" t="s">
        <v>12</v>
      </c>
      <c r="N7741" s="4">
        <f t="shared" si="1"/>
        <v>43830</v>
      </c>
      <c r="O7741" s="5" t="str">
        <f>IFERROR(__xludf.DUMMYFUNCTION("IF(REGEXMATCH(TRIM(I7741), ""^\d+\s*min""), ""Unclassified"", IF(I7741 = """", ""NR"", I7741))"),"TV-14")</f>
        <v>TV-14</v>
      </c>
      <c r="R7741" s="5" t="str">
        <f t="shared" si="2"/>
        <v>Phullu</v>
      </c>
      <c r="S7741" s="5" t="str">
        <f>IFERROR(__xludf.DUMMYFUNCTION("""COMPUTED_VALUE"""),"The Sinking Of Van Der Wijck")</f>
        <v>The Sinking Of Van Der Wijck</v>
      </c>
      <c r="V7741" s="5"/>
      <c r="Y7741" s="5" t="str">
        <f>IFERROR(__xludf.DUMMYFUNCTION("REGEXEXTRACT(J7741, ""^\d+"")"),"96")</f>
        <v>96</v>
      </c>
      <c r="Z7741" s="5" t="str">
        <f>IFERROR(__xludf.DUMMYFUNCTION("REGEXEXTRACT(J7741, ""[A-Za-z ]+$"")")," min")</f>
        <v> min</v>
      </c>
      <c r="AA7741" s="5" t="str">
        <f>IFERROR(__xludf.DUMMYFUNCTION("IF(REGEXMATCH(Z7741, ""Season""), ""TV Show"", ""Movie"")"),"Movie")</f>
        <v>Movie</v>
      </c>
    </row>
    <row r="7742">
      <c r="A7742" s="1" t="s">
        <v>37523</v>
      </c>
      <c r="B7742" s="1" t="s">
        <v>27</v>
      </c>
      <c r="C7742" s="1" t="s">
        <v>37524</v>
      </c>
      <c r="D7742" s="1" t="s">
        <v>5454</v>
      </c>
      <c r="F7742" s="1" t="s">
        <v>30</v>
      </c>
      <c r="G7742" s="1" t="s">
        <v>12376</v>
      </c>
      <c r="H7742" s="1">
        <v>2018.0</v>
      </c>
      <c r="I7742" s="1" t="s">
        <v>136</v>
      </c>
      <c r="J7742" s="1" t="s">
        <v>2452</v>
      </c>
      <c r="K7742" s="1" t="s">
        <v>9544</v>
      </c>
      <c r="L7742" s="1" t="s">
        <v>37525</v>
      </c>
      <c r="M7742" s="2" t="s">
        <v>12</v>
      </c>
      <c r="N7742" s="4">
        <f t="shared" si="1"/>
        <v>44045</v>
      </c>
      <c r="O7742" s="5" t="str">
        <f>IFERROR(__xludf.DUMMYFUNCTION("IF(REGEXMATCH(TRIM(I7742), ""^\d+\s*min""), ""Unclassified"", IF(I7742 = """", ""NR"", I7742))"),"TV-PG")</f>
        <v>TV-PG</v>
      </c>
      <c r="R7742" s="5" t="str">
        <f t="shared" si="2"/>
        <v>Pick Of The Litter</v>
      </c>
      <c r="S7742" s="5" t="str">
        <f>IFERROR(__xludf.DUMMYFUNCTION("""COMPUTED_VALUE"""),"The Sinner")</f>
        <v>The Sinner</v>
      </c>
      <c r="V7742" s="5"/>
      <c r="Y7742" s="5" t="str">
        <f>IFERROR(__xludf.DUMMYFUNCTION("REGEXEXTRACT(J7742, ""^\d+"")"),"81")</f>
        <v>81</v>
      </c>
      <c r="Z7742" s="5" t="str">
        <f>IFERROR(__xludf.DUMMYFUNCTION("REGEXEXTRACT(J7742, ""[A-Za-z ]+$"")")," min")</f>
        <v> min</v>
      </c>
      <c r="AA7742" s="5" t="str">
        <f>IFERROR(__xludf.DUMMYFUNCTION("IF(REGEXMATCH(Z7742, ""Season""), ""TV Show"", ""Movie"")"),"Movie")</f>
        <v>Movie</v>
      </c>
    </row>
    <row r="7743">
      <c r="A7743" s="1" t="s">
        <v>37526</v>
      </c>
      <c r="B7743" s="1" t="s">
        <v>27</v>
      </c>
      <c r="C7743" s="1" t="s">
        <v>37527</v>
      </c>
      <c r="D7743" s="1" t="s">
        <v>4972</v>
      </c>
      <c r="E7743" s="1" t="s">
        <v>37528</v>
      </c>
      <c r="F7743" s="1" t="s">
        <v>30</v>
      </c>
      <c r="G7743" s="1" t="s">
        <v>20161</v>
      </c>
      <c r="H7743" s="1">
        <v>2018.0</v>
      </c>
      <c r="I7743" s="1" t="s">
        <v>42</v>
      </c>
      <c r="J7743" s="1" t="s">
        <v>2452</v>
      </c>
      <c r="K7743" s="1" t="s">
        <v>9854</v>
      </c>
      <c r="L7743" s="1" t="s">
        <v>37529</v>
      </c>
      <c r="M7743" s="2" t="s">
        <v>12</v>
      </c>
      <c r="N7743" s="4">
        <f t="shared" si="1"/>
        <v>43645</v>
      </c>
      <c r="O7743" s="5" t="str">
        <f>IFERROR(__xludf.DUMMYFUNCTION("IF(REGEXMATCH(TRIM(I7743), ""^\d+\s*min""), ""Unclassified"", IF(I7743 = """", ""NR"", I7743))"),"TV-MA")</f>
        <v>TV-MA</v>
      </c>
      <c r="R7743" s="5" t="str">
        <f t="shared" si="2"/>
        <v>Pierre Jackson</v>
      </c>
      <c r="S7743" s="5" t="str">
        <f>IFERROR(__xludf.DUMMYFUNCTION("""COMPUTED_VALUE"""),"The Skin Of The Wolf")</f>
        <v>The Skin Of The Wolf</v>
      </c>
      <c r="V7743" s="5"/>
      <c r="Y7743" s="5" t="str">
        <f>IFERROR(__xludf.DUMMYFUNCTION("REGEXEXTRACT(J7743, ""^\d+"")"),"81")</f>
        <v>81</v>
      </c>
      <c r="Z7743" s="5" t="str">
        <f>IFERROR(__xludf.DUMMYFUNCTION("REGEXEXTRACT(J7743, ""[A-Za-z ]+$"")")," min")</f>
        <v> min</v>
      </c>
      <c r="AA7743" s="5" t="str">
        <f>IFERROR(__xludf.DUMMYFUNCTION("IF(REGEXMATCH(Z7743, ""Season""), ""TV Show"", ""Movie"")"),"Movie")</f>
        <v>Movie</v>
      </c>
    </row>
    <row r="7744">
      <c r="A7744" s="1" t="s">
        <v>37530</v>
      </c>
      <c r="B7744" s="1" t="s">
        <v>27</v>
      </c>
      <c r="C7744" s="1" t="s">
        <v>37531</v>
      </c>
      <c r="D7744" s="1" t="s">
        <v>8084</v>
      </c>
      <c r="E7744" s="1" t="s">
        <v>37532</v>
      </c>
      <c r="F7744" s="1" t="s">
        <v>63</v>
      </c>
      <c r="G7744" s="1" t="s">
        <v>23412</v>
      </c>
      <c r="H7744" s="1">
        <v>2017.0</v>
      </c>
      <c r="I7744" s="1" t="s">
        <v>136</v>
      </c>
      <c r="J7744" s="1" t="s">
        <v>665</v>
      </c>
      <c r="K7744" s="1" t="s">
        <v>89</v>
      </c>
      <c r="L7744" s="1" t="s">
        <v>37533</v>
      </c>
      <c r="M7744" s="2" t="s">
        <v>12</v>
      </c>
      <c r="N7744" s="4">
        <f t="shared" si="1"/>
        <v>43419</v>
      </c>
      <c r="O7744" s="5" t="str">
        <f>IFERROR(__xludf.DUMMYFUNCTION("IF(REGEXMATCH(TRIM(I7744), ""^\d+\s*min""), ""Unclassified"", IF(I7744 = """", ""NR"", I7744))"),"TV-PG")</f>
        <v>TV-PG</v>
      </c>
      <c r="R7744" s="5" t="str">
        <f t="shared" si="2"/>
        <v>Pimpal</v>
      </c>
      <c r="S7744" s="5" t="str">
        <f>IFERROR(__xludf.DUMMYFUNCTION("""COMPUTED_VALUE"""),"The Sky Is Pink")</f>
        <v>The Sky Is Pink</v>
      </c>
      <c r="V7744" s="5"/>
      <c r="Y7744" s="5" t="str">
        <f>IFERROR(__xludf.DUMMYFUNCTION("REGEXEXTRACT(J7744, ""^\d+"")"),"92")</f>
        <v>92</v>
      </c>
      <c r="Z7744" s="5" t="str">
        <f>IFERROR(__xludf.DUMMYFUNCTION("REGEXEXTRACT(J7744, ""[A-Za-z ]+$"")")," min")</f>
        <v> min</v>
      </c>
      <c r="AA7744" s="5" t="str">
        <f>IFERROR(__xludf.DUMMYFUNCTION("IF(REGEXMATCH(Z7744, ""Season""), ""TV Show"", ""Movie"")"),"Movie")</f>
        <v>Movie</v>
      </c>
    </row>
    <row r="7745">
      <c r="A7745" s="1" t="s">
        <v>37534</v>
      </c>
      <c r="B7745" s="1" t="s">
        <v>37</v>
      </c>
      <c r="C7745" s="1" t="s">
        <v>37535</v>
      </c>
      <c r="D7745" s="1" t="s">
        <v>17345</v>
      </c>
      <c r="F7745" s="1" t="s">
        <v>30</v>
      </c>
      <c r="G7745" s="1" t="s">
        <v>28697</v>
      </c>
      <c r="H7745" s="1">
        <v>1946.0</v>
      </c>
      <c r="I7745" s="1" t="s">
        <v>97</v>
      </c>
      <c r="J7745" s="1" t="s">
        <v>51</v>
      </c>
      <c r="K7745" s="1" t="s">
        <v>1045</v>
      </c>
      <c r="L7745" s="1" t="s">
        <v>37536</v>
      </c>
      <c r="M7745" s="2" t="s">
        <v>12</v>
      </c>
      <c r="N7745" s="4">
        <f t="shared" si="1"/>
        <v>42767</v>
      </c>
      <c r="O7745" s="5" t="str">
        <f>IFERROR(__xludf.DUMMYFUNCTION("IF(REGEXMATCH(TRIM(I7745), ""^\d+\s*min""), ""Unclassified"", IF(I7745 = """", ""NR"", I7745))"),"TV-14")</f>
        <v>TV-14</v>
      </c>
      <c r="R7745" s="5" t="str">
        <f t="shared" si="2"/>
        <v>Pioneers Of African-American Cinema</v>
      </c>
      <c r="S7745" s="5" t="str">
        <f>IFERROR(__xludf.DUMMYFUNCTION("""COMPUTED_VALUE"""),"The Sleepover")</f>
        <v>The Sleepover</v>
      </c>
      <c r="V7745" s="5"/>
      <c r="Y7745" s="5" t="str">
        <f>IFERROR(__xludf.DUMMYFUNCTION("REGEXEXTRACT(J7745, ""^\d+"")"),"1")</f>
        <v>1</v>
      </c>
      <c r="Z7745" s="5" t="str">
        <f>IFERROR(__xludf.DUMMYFUNCTION("REGEXEXTRACT(J7745, ""[A-Za-z ]+$"")")," Season")</f>
        <v> Season</v>
      </c>
      <c r="AA7745" s="5" t="str">
        <f>IFERROR(__xludf.DUMMYFUNCTION("IF(REGEXMATCH(Z7745, ""Season""), ""TV Show"", ""Movie"")"),"TV Show")</f>
        <v>TV Show</v>
      </c>
    </row>
    <row r="7746">
      <c r="A7746" s="1" t="s">
        <v>37537</v>
      </c>
      <c r="B7746" s="1" t="s">
        <v>27</v>
      </c>
      <c r="C7746" s="1" t="s">
        <v>37538</v>
      </c>
      <c r="D7746" s="1" t="s">
        <v>11576</v>
      </c>
      <c r="E7746" s="1" t="s">
        <v>37539</v>
      </c>
      <c r="F7746" s="1" t="s">
        <v>63</v>
      </c>
      <c r="G7746" s="1" t="s">
        <v>26089</v>
      </c>
      <c r="H7746" s="1">
        <v>2002.0</v>
      </c>
      <c r="I7746" s="1" t="s">
        <v>42</v>
      </c>
      <c r="J7746" s="1" t="s">
        <v>127</v>
      </c>
      <c r="K7746" s="1" t="s">
        <v>1429</v>
      </c>
      <c r="L7746" s="1" t="s">
        <v>37540</v>
      </c>
      <c r="M7746" s="2" t="s">
        <v>12</v>
      </c>
      <c r="N7746" s="4">
        <f t="shared" si="1"/>
        <v>43160</v>
      </c>
      <c r="O7746" s="5" t="str">
        <f>IFERROR(__xludf.DUMMYFUNCTION("IF(REGEXMATCH(TRIM(I7746), ""^\d+\s*min""), ""Unclassified"", IF(I7746 = """", ""NR"", I7746))"),"TV-MA")</f>
        <v>TV-MA</v>
      </c>
      <c r="R7746" s="5" t="str">
        <f t="shared" si="2"/>
        <v>Pitaah</v>
      </c>
      <c r="S7746" s="5" t="str">
        <f>IFERROR(__xludf.DUMMYFUNCTION("""COMPUTED_VALUE"""),"The Smart Money Woman")</f>
        <v>The Smart Money Woman</v>
      </c>
      <c r="V7746" s="5"/>
      <c r="Y7746" s="5" t="str">
        <f>IFERROR(__xludf.DUMMYFUNCTION("REGEXEXTRACT(J7746, ""^\d+"")"),"127")</f>
        <v>127</v>
      </c>
      <c r="Z7746" s="5" t="str">
        <f>IFERROR(__xludf.DUMMYFUNCTION("REGEXEXTRACT(J7746, ""[A-Za-z ]+$"")")," min")</f>
        <v> min</v>
      </c>
      <c r="AA7746" s="5" t="str">
        <f>IFERROR(__xludf.DUMMYFUNCTION("IF(REGEXMATCH(Z7746, ""Season""), ""TV Show"", ""Movie"")"),"Movie")</f>
        <v>Movie</v>
      </c>
    </row>
    <row r="7747">
      <c r="A7747" s="1" t="s">
        <v>37541</v>
      </c>
      <c r="B7747" s="1" t="s">
        <v>27</v>
      </c>
      <c r="C7747" s="1" t="s">
        <v>37542</v>
      </c>
      <c r="D7747" s="1" t="s">
        <v>9748</v>
      </c>
      <c r="E7747" s="1" t="s">
        <v>37543</v>
      </c>
      <c r="F7747" s="1" t="s">
        <v>1815</v>
      </c>
      <c r="G7747" s="1" t="s">
        <v>25994</v>
      </c>
      <c r="H7747" s="1">
        <v>1998.0</v>
      </c>
      <c r="I7747" s="1" t="s">
        <v>42</v>
      </c>
      <c r="J7747" s="1" t="s">
        <v>2452</v>
      </c>
      <c r="K7747" s="1" t="s">
        <v>128</v>
      </c>
      <c r="L7747" s="1" t="s">
        <v>37544</v>
      </c>
      <c r="M7747" s="2" t="s">
        <v>12</v>
      </c>
      <c r="N7747" s="4">
        <f t="shared" si="1"/>
        <v>43174</v>
      </c>
      <c r="O7747" s="5" t="str">
        <f>IFERROR(__xludf.DUMMYFUNCTION("IF(REGEXMATCH(TRIM(I7747), ""^\d+\s*min""), ""Unclassified"", IF(I7747 = """", ""NR"", I7747))"),"TV-MA")</f>
        <v>TV-MA</v>
      </c>
      <c r="R7747" s="5" t="str">
        <f t="shared" si="2"/>
        <v>Pizza, Birra, Faso</v>
      </c>
      <c r="S7747" s="5" t="str">
        <f>IFERROR(__xludf.DUMMYFUNCTION("""COMPUTED_VALUE"""),"The Smurfs")</f>
        <v>The Smurfs</v>
      </c>
      <c r="V7747" s="5"/>
      <c r="Y7747" s="5" t="str">
        <f>IFERROR(__xludf.DUMMYFUNCTION("REGEXEXTRACT(J7747, ""^\d+"")"),"81")</f>
        <v>81</v>
      </c>
      <c r="Z7747" s="5" t="str">
        <f>IFERROR(__xludf.DUMMYFUNCTION("REGEXEXTRACT(J7747, ""[A-Za-z ]+$"")")," min")</f>
        <v> min</v>
      </c>
      <c r="AA7747" s="5" t="str">
        <f>IFERROR(__xludf.DUMMYFUNCTION("IF(REGEXMATCH(Z7747, ""Season""), ""TV Show"", ""Movie"")"),"Movie")</f>
        <v>Movie</v>
      </c>
    </row>
    <row r="7748">
      <c r="A7748" s="1" t="s">
        <v>37545</v>
      </c>
      <c r="B7748" s="1" t="s">
        <v>27</v>
      </c>
      <c r="C7748" s="1" t="s">
        <v>37546</v>
      </c>
      <c r="D7748" s="1" t="s">
        <v>4914</v>
      </c>
      <c r="E7748" s="1" t="s">
        <v>37547</v>
      </c>
      <c r="F7748" s="1" t="s">
        <v>664</v>
      </c>
      <c r="G7748" s="1" t="s">
        <v>37548</v>
      </c>
      <c r="H7748" s="1">
        <v>2018.0</v>
      </c>
      <c r="I7748" s="1" t="s">
        <v>42</v>
      </c>
      <c r="J7748" s="1" t="s">
        <v>1428</v>
      </c>
      <c r="K7748" s="1" t="s">
        <v>89</v>
      </c>
      <c r="L7748" s="1" t="s">
        <v>37549</v>
      </c>
      <c r="M7748" s="2" t="s">
        <v>12</v>
      </c>
      <c r="N7748" s="4">
        <f t="shared" si="1"/>
        <v>43659</v>
      </c>
      <c r="O7748" s="5" t="str">
        <f>IFERROR(__xludf.DUMMYFUNCTION("IF(REGEXMATCH(TRIM(I7748), ""^\d+\s*min""), ""Unclassified"", IF(I7748 = """", ""NR"", I7748))"),"TV-MA")</f>
        <v>TV-MA</v>
      </c>
      <c r="R7748" s="5" t="str">
        <f t="shared" si="2"/>
        <v>Plaire, Aimer Et Courir Vite</v>
      </c>
      <c r="S7748" s="5" t="str">
        <f>IFERROR(__xludf.DUMMYFUNCTION("""COMPUTED_VALUE"""),"The Smurfs 2")</f>
        <v>The Smurfs 2</v>
      </c>
      <c r="V7748" s="5"/>
      <c r="Y7748" s="5" t="str">
        <f>IFERROR(__xludf.DUMMYFUNCTION("REGEXEXTRACT(J7748, ""^\d+"")"),"133")</f>
        <v>133</v>
      </c>
      <c r="Z7748" s="5" t="str">
        <f>IFERROR(__xludf.DUMMYFUNCTION("REGEXEXTRACT(J7748, ""[A-Za-z ]+$"")")," min")</f>
        <v> min</v>
      </c>
      <c r="AA7748" s="5" t="str">
        <f>IFERROR(__xludf.DUMMYFUNCTION("IF(REGEXMATCH(Z7748, ""Season""), ""TV Show"", ""Movie"")"),"Movie")</f>
        <v>Movie</v>
      </c>
    </row>
    <row r="7749">
      <c r="A7749" s="1" t="s">
        <v>37550</v>
      </c>
      <c r="B7749" s="1" t="s">
        <v>37</v>
      </c>
      <c r="C7749" s="1" t="s">
        <v>37551</v>
      </c>
      <c r="E7749" s="1" t="s">
        <v>5968</v>
      </c>
      <c r="F7749" s="1" t="s">
        <v>96</v>
      </c>
      <c r="G7749" s="1" t="s">
        <v>26546</v>
      </c>
      <c r="H7749" s="1">
        <v>2016.0</v>
      </c>
      <c r="I7749" s="1" t="s">
        <v>506</v>
      </c>
      <c r="J7749" s="1" t="s">
        <v>51</v>
      </c>
      <c r="K7749" s="1" t="s">
        <v>29581</v>
      </c>
      <c r="L7749" s="1" t="s">
        <v>37552</v>
      </c>
      <c r="M7749" s="2" t="s">
        <v>12</v>
      </c>
      <c r="N7749" s="4">
        <f t="shared" si="1"/>
        <v>43094</v>
      </c>
      <c r="O7749" s="5" t="str">
        <f>IFERROR(__xludf.DUMMYFUNCTION("IF(REGEXMATCH(TRIM(I7749), ""^\d+\s*min""), ""Unclassified"", IF(I7749 = """", ""NR"", I7749))"),"TV-G")</f>
        <v>TV-G</v>
      </c>
      <c r="R7749" s="5" t="str">
        <f t="shared" si="2"/>
        <v>Planet Earth Ii</v>
      </c>
      <c r="S7749" s="5" t="str">
        <f>IFERROR(__xludf.DUMMYFUNCTION("""COMPUTED_VALUE"""),"The Sniffer")</f>
        <v>The Sniffer</v>
      </c>
      <c r="V7749" s="5"/>
      <c r="Y7749" s="5" t="str">
        <f>IFERROR(__xludf.DUMMYFUNCTION("REGEXEXTRACT(J7749, ""^\d+"")"),"1")</f>
        <v>1</v>
      </c>
      <c r="Z7749" s="5" t="str">
        <f>IFERROR(__xludf.DUMMYFUNCTION("REGEXEXTRACT(J7749, ""[A-Za-z ]+$"")")," Season")</f>
        <v> Season</v>
      </c>
      <c r="AA7749" s="5" t="str">
        <f>IFERROR(__xludf.DUMMYFUNCTION("IF(REGEXMATCH(Z7749, ""Season""), ""TV Show"", ""Movie"")"),"TV Show")</f>
        <v>TV Show</v>
      </c>
    </row>
    <row r="7750">
      <c r="A7750" s="1" t="s">
        <v>37553</v>
      </c>
      <c r="B7750" s="1" t="s">
        <v>37</v>
      </c>
      <c r="C7750" s="1" t="s">
        <v>37554</v>
      </c>
      <c r="D7750" s="1" t="s">
        <v>892</v>
      </c>
      <c r="E7750" s="1" t="s">
        <v>5968</v>
      </c>
      <c r="F7750" s="1" t="s">
        <v>96</v>
      </c>
      <c r="G7750" s="1" t="s">
        <v>35731</v>
      </c>
      <c r="H7750" s="1">
        <v>2006.0</v>
      </c>
      <c r="I7750" s="1" t="s">
        <v>136</v>
      </c>
      <c r="J7750" s="1" t="s">
        <v>51</v>
      </c>
      <c r="K7750" s="1" t="s">
        <v>544</v>
      </c>
      <c r="L7750" s="1" t="s">
        <v>37555</v>
      </c>
      <c r="M7750" s="2" t="s">
        <v>12</v>
      </c>
      <c r="N7750" s="4">
        <f t="shared" si="1"/>
        <v>42116</v>
      </c>
      <c r="O7750" s="5" t="str">
        <f>IFERROR(__xludf.DUMMYFUNCTION("IF(REGEXMATCH(TRIM(I7750), ""^\d+\s*min""), ""Unclassified"", IF(I7750 = """", ""NR"", I7750))"),"TV-PG")</f>
        <v>TV-PG</v>
      </c>
      <c r="R7750" s="5" t="str">
        <f t="shared" si="2"/>
        <v>Planet Earth: The Complete Collection</v>
      </c>
      <c r="S7750" s="5" t="str">
        <f>IFERROR(__xludf.DUMMYFUNCTION("""COMPUTED_VALUE"""),"The Snitch Cartel: Origins")</f>
        <v>The Snitch Cartel: Origins</v>
      </c>
      <c r="V7750" s="5"/>
      <c r="Y7750" s="5" t="str">
        <f>IFERROR(__xludf.DUMMYFUNCTION("REGEXEXTRACT(J7750, ""^\d+"")"),"1")</f>
        <v>1</v>
      </c>
      <c r="Z7750" s="5" t="str">
        <f>IFERROR(__xludf.DUMMYFUNCTION("REGEXEXTRACT(J7750, ""[A-Za-z ]+$"")")," Season")</f>
        <v> Season</v>
      </c>
      <c r="AA7750" s="5" t="str">
        <f>IFERROR(__xludf.DUMMYFUNCTION("IF(REGEXMATCH(Z7750, ""Season""), ""TV Show"", ""Movie"")"),"TV Show")</f>
        <v>TV Show</v>
      </c>
    </row>
    <row r="7751">
      <c r="A7751" s="1" t="s">
        <v>37556</v>
      </c>
      <c r="B7751" s="1" t="s">
        <v>27</v>
      </c>
      <c r="C7751" s="1" t="s">
        <v>37557</v>
      </c>
      <c r="D7751" s="1" t="s">
        <v>10669</v>
      </c>
      <c r="E7751" s="1" t="s">
        <v>37558</v>
      </c>
      <c r="F7751" s="1" t="s">
        <v>30</v>
      </c>
      <c r="G7751" s="1" t="s">
        <v>13808</v>
      </c>
      <c r="H7751" s="1">
        <v>2010.0</v>
      </c>
      <c r="I7751" s="1" t="s">
        <v>97</v>
      </c>
      <c r="J7751" s="1" t="s">
        <v>2452</v>
      </c>
      <c r="K7751" s="1" t="s">
        <v>942</v>
      </c>
      <c r="L7751" s="1" t="s">
        <v>37559</v>
      </c>
      <c r="M7751" s="2" t="s">
        <v>12</v>
      </c>
      <c r="N7751" s="4">
        <f t="shared" si="1"/>
        <v>43983</v>
      </c>
      <c r="O7751" s="5" t="str">
        <f>IFERROR(__xludf.DUMMYFUNCTION("IF(REGEXMATCH(TRIM(I7751), ""^\d+\s*min""), ""Unclassified"", IF(I7751 = """", ""NR"", I7751))"),"TV-14")</f>
        <v>TV-14</v>
      </c>
      <c r="R7751" s="5" t="str">
        <f t="shared" si="2"/>
        <v>Planet Hulk</v>
      </c>
      <c r="S7751" s="5" t="str">
        <f>IFERROR(__xludf.DUMMYFUNCTION("""COMPUTED_VALUE"""),"The Social Dilemma")</f>
        <v>The Social Dilemma</v>
      </c>
      <c r="V7751" s="5"/>
      <c r="Y7751" s="5" t="str">
        <f>IFERROR(__xludf.DUMMYFUNCTION("REGEXEXTRACT(J7751, ""^\d+"")"),"81")</f>
        <v>81</v>
      </c>
      <c r="Z7751" s="5" t="str">
        <f>IFERROR(__xludf.DUMMYFUNCTION("REGEXEXTRACT(J7751, ""[A-Za-z ]+$"")")," min")</f>
        <v> min</v>
      </c>
      <c r="AA7751" s="5" t="str">
        <f>IFERROR(__xludf.DUMMYFUNCTION("IF(REGEXMATCH(Z7751, ""Season""), ""TV Show"", ""Movie"")"),"Movie")</f>
        <v>Movie</v>
      </c>
    </row>
    <row r="7752">
      <c r="A7752" s="1" t="s">
        <v>37560</v>
      </c>
      <c r="B7752" s="1" t="s">
        <v>27</v>
      </c>
      <c r="C7752" s="1" t="s">
        <v>37561</v>
      </c>
      <c r="D7752" s="1" t="s">
        <v>12203</v>
      </c>
      <c r="E7752" s="1" t="s">
        <v>37562</v>
      </c>
      <c r="F7752" s="1" t="s">
        <v>3217</v>
      </c>
      <c r="G7752" s="1" t="s">
        <v>26481</v>
      </c>
      <c r="H7752" s="1">
        <v>2016.0</v>
      </c>
      <c r="I7752" s="1" t="s">
        <v>42</v>
      </c>
      <c r="J7752" s="1" t="s">
        <v>912</v>
      </c>
      <c r="K7752" s="1" t="s">
        <v>128</v>
      </c>
      <c r="L7752" s="1" t="s">
        <v>37563</v>
      </c>
      <c r="M7752" s="2" t="s">
        <v>12</v>
      </c>
      <c r="N7752" s="4">
        <f t="shared" si="1"/>
        <v>43101</v>
      </c>
      <c r="O7752" s="5" t="str">
        <f>IFERROR(__xludf.DUMMYFUNCTION("IF(REGEXMATCH(TRIM(I7752), ""^\d+\s*min""), ""Unclassified"", IF(I7752 = """", ""NR"", I7752))"),"TV-MA")</f>
        <v>TV-MA</v>
      </c>
      <c r="R7752" s="5" t="str">
        <f t="shared" si="2"/>
        <v>Planetarium</v>
      </c>
      <c r="S7752" s="5" t="str">
        <f>IFERROR(__xludf.DUMMYFUNCTION("""COMPUTED_VALUE"""),"The Social Network")</f>
        <v>The Social Network</v>
      </c>
      <c r="V7752" s="5"/>
      <c r="Y7752" s="5" t="str">
        <f>IFERROR(__xludf.DUMMYFUNCTION("REGEXEXTRACT(J7752, ""^\d+"")"),"108")</f>
        <v>108</v>
      </c>
      <c r="Z7752" s="5" t="str">
        <f>IFERROR(__xludf.DUMMYFUNCTION("REGEXEXTRACT(J7752, ""[A-Za-z ]+$"")")," min")</f>
        <v> min</v>
      </c>
      <c r="AA7752" s="5" t="str">
        <f>IFERROR(__xludf.DUMMYFUNCTION("IF(REGEXMATCH(Z7752, ""Season""), ""TV Show"", ""Movie"")"),"Movie")</f>
        <v>Movie</v>
      </c>
    </row>
    <row r="7753">
      <c r="A7753" s="1" t="s">
        <v>37564</v>
      </c>
      <c r="B7753" s="1" t="s">
        <v>27</v>
      </c>
      <c r="C7753" s="1" t="s">
        <v>37565</v>
      </c>
      <c r="D7753" s="1" t="s">
        <v>7098</v>
      </c>
      <c r="E7753" s="1" t="s">
        <v>37566</v>
      </c>
      <c r="F7753" s="1" t="s">
        <v>692</v>
      </c>
      <c r="G7753" s="1" t="s">
        <v>10136</v>
      </c>
      <c r="H7753" s="1">
        <v>1986.0</v>
      </c>
      <c r="I7753" s="1" t="s">
        <v>378</v>
      </c>
      <c r="J7753" s="1" t="s">
        <v>985</v>
      </c>
      <c r="K7753" s="1" t="s">
        <v>342</v>
      </c>
      <c r="L7753" s="1" t="s">
        <v>37567</v>
      </c>
      <c r="M7753" s="2" t="s">
        <v>12</v>
      </c>
      <c r="N7753" s="4">
        <f t="shared" si="1"/>
        <v>44136</v>
      </c>
      <c r="O7753" s="5" t="str">
        <f>IFERROR(__xludf.DUMMYFUNCTION("IF(REGEXMATCH(TRIM(I7753), ""^\d+\s*min""), ""Unclassified"", IF(I7753 = """", ""NR"", I7753))"),"R")</f>
        <v>R</v>
      </c>
      <c r="R7753" s="5" t="str">
        <f t="shared" si="2"/>
        <v>Platoon</v>
      </c>
      <c r="S7753" s="5" t="str">
        <f>IFERROR(__xludf.DUMMYFUNCTION("""COMPUTED_VALUE"""),"The Society")</f>
        <v>The Society</v>
      </c>
      <c r="V7753" s="5"/>
      <c r="Y7753" s="5" t="str">
        <f>IFERROR(__xludf.DUMMYFUNCTION("REGEXEXTRACT(J7753, ""^\d+"")"),"120")</f>
        <v>120</v>
      </c>
      <c r="Z7753" s="5" t="str">
        <f>IFERROR(__xludf.DUMMYFUNCTION("REGEXEXTRACT(J7753, ""[A-Za-z ]+$"")")," min")</f>
        <v> min</v>
      </c>
      <c r="AA7753" s="5" t="str">
        <f>IFERROR(__xludf.DUMMYFUNCTION("IF(REGEXMATCH(Z7753, ""Season""), ""TV Show"", ""Movie"")"),"Movie")</f>
        <v>Movie</v>
      </c>
    </row>
    <row r="7754">
      <c r="A7754" s="1" t="s">
        <v>37568</v>
      </c>
      <c r="B7754" s="1" t="s">
        <v>27</v>
      </c>
      <c r="C7754" s="1" t="s">
        <v>37569</v>
      </c>
      <c r="D7754" s="1" t="s">
        <v>5569</v>
      </c>
      <c r="E7754" s="1" t="s">
        <v>37570</v>
      </c>
      <c r="F7754" s="1" t="s">
        <v>30</v>
      </c>
      <c r="G7754" s="1" t="s">
        <v>26674</v>
      </c>
      <c r="H7754" s="1">
        <v>1980.0</v>
      </c>
      <c r="I7754" s="1" t="s">
        <v>97</v>
      </c>
      <c r="J7754" s="1" t="s">
        <v>5833</v>
      </c>
      <c r="K7754" s="1" t="s">
        <v>805</v>
      </c>
      <c r="L7754" s="1" t="s">
        <v>37571</v>
      </c>
      <c r="M7754" s="2" t="s">
        <v>12</v>
      </c>
      <c r="N7754" s="4">
        <f t="shared" si="1"/>
        <v>43070</v>
      </c>
      <c r="O7754" s="5" t="str">
        <f>IFERROR(__xludf.DUMMYFUNCTION("IF(REGEXMATCH(TRIM(I7754), ""^\d+\s*min""), ""Unclassified"", IF(I7754 = """", ""NR"", I7754))"),"TV-14")</f>
        <v>TV-14</v>
      </c>
      <c r="R7754" s="5" t="str">
        <f t="shared" si="2"/>
        <v>Playing For Time</v>
      </c>
      <c r="S7754" s="5" t="str">
        <f>IFERROR(__xludf.DUMMYFUNCTION("""COMPUTED_VALUE"""),"The Son")</f>
        <v>The Son</v>
      </c>
      <c r="V7754" s="5"/>
      <c r="Y7754" s="5" t="str">
        <f>IFERROR(__xludf.DUMMYFUNCTION("REGEXEXTRACT(J7754, ""^\d+"")"),"149")</f>
        <v>149</v>
      </c>
      <c r="Z7754" s="5" t="str">
        <f>IFERROR(__xludf.DUMMYFUNCTION("REGEXEXTRACT(J7754, ""[A-Za-z ]+$"")")," min")</f>
        <v> min</v>
      </c>
      <c r="AA7754" s="5" t="str">
        <f>IFERROR(__xludf.DUMMYFUNCTION("IF(REGEXMATCH(Z7754, ""Season""), ""TV Show"", ""Movie"")"),"Movie")</f>
        <v>Movie</v>
      </c>
    </row>
    <row r="7755">
      <c r="A7755" s="1" t="s">
        <v>37572</v>
      </c>
      <c r="B7755" s="1" t="s">
        <v>27</v>
      </c>
      <c r="C7755" s="1" t="s">
        <v>37573</v>
      </c>
      <c r="D7755" s="1" t="s">
        <v>10533</v>
      </c>
      <c r="F7755" s="1" t="s">
        <v>1979</v>
      </c>
      <c r="G7755" s="1" t="s">
        <v>21281</v>
      </c>
      <c r="H7755" s="1">
        <v>2018.0</v>
      </c>
      <c r="I7755" s="1" t="s">
        <v>42</v>
      </c>
      <c r="J7755" s="1" t="s">
        <v>665</v>
      </c>
      <c r="K7755" s="1" t="s">
        <v>156</v>
      </c>
      <c r="L7755" s="1" t="s">
        <v>37574</v>
      </c>
      <c r="M7755" s="2" t="s">
        <v>12</v>
      </c>
      <c r="N7755" s="4">
        <f t="shared" si="1"/>
        <v>43560</v>
      </c>
      <c r="O7755" s="5" t="str">
        <f>IFERROR(__xludf.DUMMYFUNCTION("IF(REGEXMATCH(TRIM(I7755), ""^\d+\s*min""), ""Unclassified"", IF(I7755 = """", ""NR"", I7755))"),"TV-MA")</f>
        <v>TV-MA</v>
      </c>
      <c r="R7755" s="5" t="str">
        <f t="shared" si="2"/>
        <v>Playing Hard</v>
      </c>
      <c r="S7755" s="5" t="str">
        <f>IFERROR(__xludf.DUMMYFUNCTION("""COMPUTED_VALUE"""),"The Sons Of Sam: A Descent Into Darkness")</f>
        <v>The Sons Of Sam: A Descent Into Darkness</v>
      </c>
      <c r="V7755" s="5"/>
      <c r="Y7755" s="5" t="str">
        <f>IFERROR(__xludf.DUMMYFUNCTION("REGEXEXTRACT(J7755, ""^\d+"")"),"92")</f>
        <v>92</v>
      </c>
      <c r="Z7755" s="5" t="str">
        <f>IFERROR(__xludf.DUMMYFUNCTION("REGEXEXTRACT(J7755, ""[A-Za-z ]+$"")")," min")</f>
        <v> min</v>
      </c>
      <c r="AA7755" s="5" t="str">
        <f>IFERROR(__xludf.DUMMYFUNCTION("IF(REGEXMATCH(Z7755, ""Season""), ""TV Show"", ""Movie"")"),"Movie")</f>
        <v>Movie</v>
      </c>
    </row>
    <row r="7756">
      <c r="A7756" s="1" t="s">
        <v>37575</v>
      </c>
      <c r="B7756" s="1" t="s">
        <v>27</v>
      </c>
      <c r="C7756" s="1" t="s">
        <v>37576</v>
      </c>
      <c r="D7756" s="1" t="s">
        <v>23672</v>
      </c>
      <c r="E7756" s="1" t="s">
        <v>37577</v>
      </c>
      <c r="F7756" s="1" t="s">
        <v>37578</v>
      </c>
      <c r="G7756" s="1" t="s">
        <v>37098</v>
      </c>
      <c r="H7756" s="1">
        <v>2018.0</v>
      </c>
      <c r="I7756" s="1" t="s">
        <v>78</v>
      </c>
      <c r="J7756" s="1" t="s">
        <v>322</v>
      </c>
      <c r="K7756" s="1" t="s">
        <v>12112</v>
      </c>
      <c r="L7756" s="1" t="s">
        <v>37579</v>
      </c>
      <c r="M7756" s="2" t="s">
        <v>12</v>
      </c>
      <c r="N7756" s="4">
        <f t="shared" si="1"/>
        <v>43468</v>
      </c>
      <c r="O7756" s="5" t="str">
        <f>IFERROR(__xludf.DUMMYFUNCTION("IF(REGEXMATCH(TRIM(I7756), ""^\d+\s*min""), ""Unclassified"", IF(I7756 = """", ""NR"", I7756))"),"PG")</f>
        <v>PG</v>
      </c>
      <c r="R7756" s="5" t="str">
        <f t="shared" si="2"/>
        <v>Pope Francis: A Man Of His Word</v>
      </c>
      <c r="S7756" s="5" t="str">
        <f>IFERROR(__xludf.DUMMYFUNCTION("""COMPUTED_VALUE"""),"The Soul")</f>
        <v>The Soul</v>
      </c>
      <c r="V7756" s="5"/>
      <c r="Y7756" s="5" t="str">
        <f>IFERROR(__xludf.DUMMYFUNCTION("REGEXEXTRACT(J7756, ""^\d+"")"),"96")</f>
        <v>96</v>
      </c>
      <c r="Z7756" s="5" t="str">
        <f>IFERROR(__xludf.DUMMYFUNCTION("REGEXEXTRACT(J7756, ""[A-Za-z ]+$"")")," min")</f>
        <v> min</v>
      </c>
      <c r="AA7756" s="5" t="str">
        <f>IFERROR(__xludf.DUMMYFUNCTION("IF(REGEXMATCH(Z7756, ""Season""), ""TV Show"", ""Movie"")"),"Movie")</f>
        <v>Movie</v>
      </c>
    </row>
    <row r="7757">
      <c r="A7757" s="1" t="s">
        <v>37580</v>
      </c>
      <c r="B7757" s="1" t="s">
        <v>27</v>
      </c>
      <c r="C7757" s="1" t="s">
        <v>37581</v>
      </c>
      <c r="D7757" s="1" t="s">
        <v>19406</v>
      </c>
      <c r="E7757" s="1" t="s">
        <v>37582</v>
      </c>
      <c r="F7757" s="1" t="s">
        <v>30</v>
      </c>
      <c r="G7757" s="1" t="s">
        <v>17876</v>
      </c>
      <c r="H7757" s="1">
        <v>1980.0</v>
      </c>
      <c r="I7757" s="1" t="s">
        <v>78</v>
      </c>
      <c r="J7757" s="1" t="s">
        <v>835</v>
      </c>
      <c r="K7757" s="1" t="s">
        <v>1178</v>
      </c>
      <c r="L7757" s="1" t="s">
        <v>37583</v>
      </c>
      <c r="M7757" s="2" t="s">
        <v>12</v>
      </c>
      <c r="N7757" s="4">
        <f t="shared" si="1"/>
        <v>43793</v>
      </c>
      <c r="O7757" s="5" t="str">
        <f>IFERROR(__xludf.DUMMYFUNCTION("IF(REGEXMATCH(TRIM(I7757), ""^\d+\s*min""), ""Unclassified"", IF(I7757 = """", ""NR"", I7757))"),"PG")</f>
        <v>PG</v>
      </c>
      <c r="R7757" s="5" t="str">
        <f t="shared" si="2"/>
        <v>Popeye</v>
      </c>
      <c r="S7757" s="5" t="str">
        <f>IFERROR(__xludf.DUMMYFUNCTION("""COMPUTED_VALUE"""),"The Sound Of Your Heart")</f>
        <v>The Sound Of Your Heart</v>
      </c>
      <c r="V7757" s="5"/>
      <c r="Y7757" s="5" t="str">
        <f>IFERROR(__xludf.DUMMYFUNCTION("REGEXEXTRACT(J7757, ""^\d+"")"),"114")</f>
        <v>114</v>
      </c>
      <c r="Z7757" s="5" t="str">
        <f>IFERROR(__xludf.DUMMYFUNCTION("REGEXEXTRACT(J7757, ""[A-Za-z ]+$"")")," min")</f>
        <v> min</v>
      </c>
      <c r="AA7757" s="5" t="str">
        <f>IFERROR(__xludf.DUMMYFUNCTION("IF(REGEXMATCH(Z7757, ""Season""), ""TV Show"", ""Movie"")"),"Movie")</f>
        <v>Movie</v>
      </c>
    </row>
    <row r="7758">
      <c r="A7758" s="1" t="s">
        <v>37584</v>
      </c>
      <c r="B7758" s="1" t="s">
        <v>37</v>
      </c>
      <c r="C7758" s="1" t="s">
        <v>37585</v>
      </c>
      <c r="E7758" s="1" t="s">
        <v>37586</v>
      </c>
      <c r="F7758" s="1" t="s">
        <v>30</v>
      </c>
      <c r="G7758" s="1" t="s">
        <v>19119</v>
      </c>
      <c r="H7758" s="1">
        <v>2018.0</v>
      </c>
      <c r="I7758" s="1" t="s">
        <v>97</v>
      </c>
      <c r="J7758" s="1" t="s">
        <v>3285</v>
      </c>
      <c r="K7758" s="1" t="s">
        <v>270</v>
      </c>
      <c r="L7758" s="1" t="s">
        <v>37587</v>
      </c>
      <c r="M7758" s="2" t="s">
        <v>12</v>
      </c>
      <c r="N7758" s="4">
        <f t="shared" si="1"/>
        <v>43733</v>
      </c>
      <c r="O7758" s="5" t="str">
        <f>IFERROR(__xludf.DUMMYFUNCTION("IF(REGEXMATCH(TRIM(I7758), ""^\d+\s*min""), ""Unclassified"", IF(I7758 = """", ""NR"", I7758))"),"TV-14")</f>
        <v>TV-14</v>
      </c>
      <c r="R7758" s="5" t="str">
        <f t="shared" si="2"/>
        <v>Portlandia</v>
      </c>
      <c r="S7758" s="5" t="str">
        <f>IFERROR(__xludf.DUMMYFUNCTION("""COMPUTED_VALUE"""),"The Sound Of Your Heart: Reboot")</f>
        <v>The Sound Of Your Heart: Reboot</v>
      </c>
      <c r="V7758" s="5"/>
      <c r="Y7758" s="5" t="str">
        <f>IFERROR(__xludf.DUMMYFUNCTION("REGEXEXTRACT(J7758, ""^\d+"")"),"8")</f>
        <v>8</v>
      </c>
      <c r="Z7758" s="5" t="str">
        <f>IFERROR(__xludf.DUMMYFUNCTION("REGEXEXTRACT(J7758, ""[A-Za-z ]+$"")")," Seasons")</f>
        <v> Seasons</v>
      </c>
      <c r="AA7758" s="5" t="str">
        <f>IFERROR(__xludf.DUMMYFUNCTION("IF(REGEXMATCH(Z7758, ""Season""), ""TV Show"", ""Movie"")"),"TV Show")</f>
        <v>TV Show</v>
      </c>
    </row>
    <row r="7759">
      <c r="A7759" s="1" t="s">
        <v>37588</v>
      </c>
      <c r="B7759" s="1" t="s">
        <v>27</v>
      </c>
      <c r="C7759" s="1" t="s">
        <v>37589</v>
      </c>
      <c r="D7759" s="1" t="s">
        <v>8018</v>
      </c>
      <c r="E7759" s="1" t="s">
        <v>37590</v>
      </c>
      <c r="F7759" s="1" t="s">
        <v>37591</v>
      </c>
      <c r="G7759" s="1" t="s">
        <v>32372</v>
      </c>
      <c r="H7759" s="1">
        <v>2016.0</v>
      </c>
      <c r="I7759" s="1" t="s">
        <v>42</v>
      </c>
      <c r="J7759" s="1" t="s">
        <v>4558</v>
      </c>
      <c r="K7759" s="1" t="s">
        <v>1538</v>
      </c>
      <c r="L7759" s="1" t="s">
        <v>37592</v>
      </c>
      <c r="M7759" s="2" t="s">
        <v>12</v>
      </c>
      <c r="N7759" s="4">
        <f t="shared" si="1"/>
        <v>43206</v>
      </c>
      <c r="O7759" s="5" t="str">
        <f>IFERROR(__xludf.DUMMYFUNCTION("IF(REGEXMATCH(TRIM(I7759), ""^\d+\s*min""), ""Unclassified"", IF(I7759 = """", ""NR"", I7759))"),"TV-MA")</f>
        <v>TV-MA</v>
      </c>
      <c r="R7759" s="5" t="str">
        <f t="shared" si="2"/>
        <v>Porto</v>
      </c>
      <c r="S7759" s="5" t="str">
        <f>IFERROR(__xludf.DUMMYFUNCTION("""COMPUTED_VALUE"""),"The Space Between Us")</f>
        <v>The Space Between Us</v>
      </c>
      <c r="V7759" s="5"/>
      <c r="Y7759" s="5" t="str">
        <f>IFERROR(__xludf.DUMMYFUNCTION("REGEXEXTRACT(J7759, ""^\d+"")"),"77")</f>
        <v>77</v>
      </c>
      <c r="Z7759" s="5" t="str">
        <f>IFERROR(__xludf.DUMMYFUNCTION("REGEXEXTRACT(J7759, ""[A-Za-z ]+$"")")," min")</f>
        <v> min</v>
      </c>
      <c r="AA7759" s="5" t="str">
        <f>IFERROR(__xludf.DUMMYFUNCTION("IF(REGEXMATCH(Z7759, ""Season""), ""TV Show"", ""Movie"")"),"Movie")</f>
        <v>Movie</v>
      </c>
    </row>
    <row r="7760">
      <c r="A7760" s="1" t="s">
        <v>37593</v>
      </c>
      <c r="B7760" s="1" t="s">
        <v>27</v>
      </c>
      <c r="C7760" s="1" t="s">
        <v>37594</v>
      </c>
      <c r="D7760" s="1" t="s">
        <v>37595</v>
      </c>
      <c r="E7760" s="1" t="s">
        <v>37596</v>
      </c>
      <c r="F7760" s="1" t="s">
        <v>96</v>
      </c>
      <c r="G7760" s="1" t="s">
        <v>37597</v>
      </c>
      <c r="H7760" s="1">
        <v>2018.0</v>
      </c>
      <c r="I7760" s="1" t="s">
        <v>42</v>
      </c>
      <c r="J7760" s="1" t="s">
        <v>33</v>
      </c>
      <c r="K7760" s="1" t="s">
        <v>4730</v>
      </c>
      <c r="L7760" s="1" t="s">
        <v>37598</v>
      </c>
      <c r="M7760" s="2" t="s">
        <v>12</v>
      </c>
      <c r="N7760" s="4">
        <f t="shared" si="1"/>
        <v>43515</v>
      </c>
      <c r="O7760" s="5" t="str">
        <f>IFERROR(__xludf.DUMMYFUNCTION("IF(REGEXMATCH(TRIM(I7760), ""^\d+\s*min""), ""Unclassified"", IF(I7760 = """", ""NR"", I7760))"),"TV-MA")</f>
        <v>TV-MA</v>
      </c>
      <c r="R7760" s="5" t="str">
        <f t="shared" si="2"/>
        <v>Postcards From London</v>
      </c>
      <c r="S7760" s="5" t="str">
        <f>IFERROR(__xludf.DUMMYFUNCTION("""COMPUTED_VALUE"""),"The Spectacular Now")</f>
        <v>The Spectacular Now</v>
      </c>
      <c r="V7760" s="5"/>
      <c r="Y7760" s="5" t="str">
        <f>IFERROR(__xludf.DUMMYFUNCTION("REGEXEXTRACT(J7760, ""^\d+"")"),"90")</f>
        <v>90</v>
      </c>
      <c r="Z7760" s="5" t="str">
        <f>IFERROR(__xludf.DUMMYFUNCTION("REGEXEXTRACT(J7760, ""[A-Za-z ]+$"")")," min")</f>
        <v> min</v>
      </c>
      <c r="AA7760" s="5" t="str">
        <f>IFERROR(__xludf.DUMMYFUNCTION("IF(REGEXMATCH(Z7760, ""Season""), ""TV Show"", ""Movie"")"),"Movie")</f>
        <v>Movie</v>
      </c>
    </row>
    <row r="7761">
      <c r="A7761" s="1" t="s">
        <v>37599</v>
      </c>
      <c r="B7761" s="1" t="s">
        <v>37</v>
      </c>
      <c r="C7761" s="1" t="s">
        <v>37600</v>
      </c>
      <c r="E7761" s="1" t="s">
        <v>37601</v>
      </c>
      <c r="F7761" s="1" t="s">
        <v>63</v>
      </c>
      <c r="G7761" s="1" t="s">
        <v>26235</v>
      </c>
      <c r="H7761" s="1">
        <v>2010.0</v>
      </c>
      <c r="I7761" s="1" t="s">
        <v>97</v>
      </c>
      <c r="J7761" s="1" t="s">
        <v>51</v>
      </c>
      <c r="K7761" s="1" t="s">
        <v>1362</v>
      </c>
      <c r="L7761" s="1" t="s">
        <v>37602</v>
      </c>
      <c r="M7761" s="2" t="s">
        <v>12</v>
      </c>
      <c r="N7761" s="4">
        <f t="shared" si="1"/>
        <v>43146</v>
      </c>
      <c r="O7761" s="5" t="str">
        <f>IFERROR(__xludf.DUMMYFUNCTION("IF(REGEXMATCH(TRIM(I7761), ""^\d+\s*min""), ""Unclassified"", IF(I7761 = """", ""NR"", I7761))"),"TV-14")</f>
        <v>TV-14</v>
      </c>
      <c r="R7761" s="5" t="str">
        <f t="shared" si="2"/>
        <v>Powder</v>
      </c>
      <c r="S7761" s="5" t="str">
        <f>IFERROR(__xludf.DUMMYFUNCTION("""COMPUTED_VALUE"""),"The Speed Cubers")</f>
        <v>The Speed Cubers</v>
      </c>
      <c r="V7761" s="5"/>
      <c r="Y7761" s="5" t="str">
        <f>IFERROR(__xludf.DUMMYFUNCTION("REGEXEXTRACT(J7761, ""^\d+"")"),"1")</f>
        <v>1</v>
      </c>
      <c r="Z7761" s="5" t="str">
        <f>IFERROR(__xludf.DUMMYFUNCTION("REGEXEXTRACT(J7761, ""[A-Za-z ]+$"")")," Season")</f>
        <v> Season</v>
      </c>
      <c r="AA7761" s="5" t="str">
        <f>IFERROR(__xludf.DUMMYFUNCTION("IF(REGEXMATCH(Z7761, ""Season""), ""TV Show"", ""Movie"")"),"TV Show")</f>
        <v>TV Show</v>
      </c>
    </row>
    <row r="7762">
      <c r="A7762" s="1" t="s">
        <v>37603</v>
      </c>
      <c r="B7762" s="1" t="s">
        <v>37</v>
      </c>
      <c r="C7762" s="1" t="s">
        <v>37604</v>
      </c>
      <c r="E7762" s="1" t="s">
        <v>37605</v>
      </c>
      <c r="G7762" s="1" t="s">
        <v>27988</v>
      </c>
      <c r="H7762" s="1">
        <v>2016.0</v>
      </c>
      <c r="I7762" s="1" t="s">
        <v>289</v>
      </c>
      <c r="J7762" s="1" t="s">
        <v>51</v>
      </c>
      <c r="K7762" s="1" t="s">
        <v>637</v>
      </c>
      <c r="L7762" s="1" t="s">
        <v>37606</v>
      </c>
      <c r="M7762" s="2" t="s">
        <v>12</v>
      </c>
      <c r="N7762" s="4">
        <f t="shared" si="1"/>
        <v>42887</v>
      </c>
      <c r="O7762" s="5" t="str">
        <f>IFERROR(__xludf.DUMMYFUNCTION("IF(REGEXMATCH(TRIM(I7762), ""^\d+\s*min""), ""Unclassified"", IF(I7762 = """", ""NR"", I7762))"),"TV-Y7")</f>
        <v>TV-Y7</v>
      </c>
      <c r="R7762" s="5" t="str">
        <f t="shared" si="2"/>
        <v>Power Battle Watch Car</v>
      </c>
      <c r="S7762" s="5" t="str">
        <f>IFERROR(__xludf.DUMMYFUNCTION("""COMPUTED_VALUE"""),"The Spiderwick Chronicles")</f>
        <v>The Spiderwick Chronicles</v>
      </c>
      <c r="V7762" s="5"/>
      <c r="Y7762" s="5" t="str">
        <f>IFERROR(__xludf.DUMMYFUNCTION("REGEXEXTRACT(J7762, ""^\d+"")"),"1")</f>
        <v>1</v>
      </c>
      <c r="Z7762" s="5" t="str">
        <f>IFERROR(__xludf.DUMMYFUNCTION("REGEXEXTRACT(J7762, ""[A-Za-z ]+$"")")," Season")</f>
        <v> Season</v>
      </c>
      <c r="AA7762" s="5" t="str">
        <f>IFERROR(__xludf.DUMMYFUNCTION("IF(REGEXMATCH(Z7762, ""Season""), ""TV Show"", ""Movie"")"),"TV Show")</f>
        <v>TV Show</v>
      </c>
    </row>
    <row r="7763">
      <c r="A7763" s="1" t="s">
        <v>37607</v>
      </c>
      <c r="B7763" s="1" t="s">
        <v>37</v>
      </c>
      <c r="C7763" s="1" t="s">
        <v>37608</v>
      </c>
      <c r="E7763" s="1" t="s">
        <v>37609</v>
      </c>
      <c r="F7763" s="1" t="s">
        <v>30</v>
      </c>
      <c r="G7763" s="1" t="s">
        <v>37610</v>
      </c>
      <c r="H7763" s="1">
        <v>2015.0</v>
      </c>
      <c r="I7763" s="1" t="s">
        <v>289</v>
      </c>
      <c r="J7763" s="1" t="s">
        <v>51</v>
      </c>
      <c r="K7763" s="1" t="s">
        <v>290</v>
      </c>
      <c r="L7763" s="1" t="s">
        <v>37611</v>
      </c>
      <c r="M7763" s="2" t="s">
        <v>12</v>
      </c>
      <c r="N7763" s="4">
        <f t="shared" si="1"/>
        <v>42340</v>
      </c>
      <c r="O7763" s="5" t="str">
        <f>IFERROR(__xludf.DUMMYFUNCTION("IF(REGEXMATCH(TRIM(I7763), ""^\d+\s*min""), ""Unclassified"", IF(I7763 = """", ""NR"", I7763))"),"TV-Y7")</f>
        <v>TV-Y7</v>
      </c>
      <c r="R7763" s="5" t="str">
        <f t="shared" si="2"/>
        <v>Power Rangers Dino Charge</v>
      </c>
      <c r="S7763" s="5" t="str">
        <f>IFERROR(__xludf.DUMMYFUNCTION("""COMPUTED_VALUE"""),"The Spiral")</f>
        <v>The Spiral</v>
      </c>
      <c r="V7763" s="5"/>
      <c r="Y7763" s="5" t="str">
        <f>IFERROR(__xludf.DUMMYFUNCTION("REGEXEXTRACT(J7763, ""^\d+"")"),"1")</f>
        <v>1</v>
      </c>
      <c r="Z7763" s="5" t="str">
        <f>IFERROR(__xludf.DUMMYFUNCTION("REGEXEXTRACT(J7763, ""[A-Za-z ]+$"")")," Season")</f>
        <v> Season</v>
      </c>
      <c r="AA7763" s="5" t="str">
        <f>IFERROR(__xludf.DUMMYFUNCTION("IF(REGEXMATCH(Z7763, ""Season""), ""TV Show"", ""Movie"")"),"TV Show")</f>
        <v>TV Show</v>
      </c>
    </row>
    <row r="7764">
      <c r="A7764" s="1" t="s">
        <v>37612</v>
      </c>
      <c r="B7764" s="1" t="s">
        <v>37</v>
      </c>
      <c r="C7764" s="1" t="s">
        <v>37613</v>
      </c>
      <c r="E7764" s="1" t="s">
        <v>37609</v>
      </c>
      <c r="G7764" s="1" t="s">
        <v>29268</v>
      </c>
      <c r="H7764" s="1">
        <v>2016.0</v>
      </c>
      <c r="I7764" s="1" t="s">
        <v>289</v>
      </c>
      <c r="J7764" s="1" t="s">
        <v>51</v>
      </c>
      <c r="K7764" s="1" t="s">
        <v>290</v>
      </c>
      <c r="L7764" s="1" t="s">
        <v>37614</v>
      </c>
      <c r="M7764" s="2" t="s">
        <v>12</v>
      </c>
      <c r="N7764" s="4">
        <f t="shared" si="1"/>
        <v>42658</v>
      </c>
      <c r="O7764" s="5" t="str">
        <f>IFERROR(__xludf.DUMMYFUNCTION("IF(REGEXMATCH(TRIM(I7764), ""^\d+\s*min""), ""Unclassified"", IF(I7764 = """", ""NR"", I7764))"),"TV-Y7")</f>
        <v>TV-Y7</v>
      </c>
      <c r="R7764" s="5" t="str">
        <f t="shared" si="2"/>
        <v>Power Rangers Dino Super Charge</v>
      </c>
      <c r="S7764" s="5" t="str">
        <f>IFERROR(__xludf.DUMMYFUNCTION("""COMPUTED_VALUE"""),"The Spooky Tale Of Captain Underpants Hack-A-Ween")</f>
        <v>The Spooky Tale Of Captain Underpants Hack-A-Ween</v>
      </c>
      <c r="V7764" s="5"/>
      <c r="Y7764" s="5" t="str">
        <f>IFERROR(__xludf.DUMMYFUNCTION("REGEXEXTRACT(J7764, ""^\d+"")"),"1")</f>
        <v>1</v>
      </c>
      <c r="Z7764" s="5" t="str">
        <f>IFERROR(__xludf.DUMMYFUNCTION("REGEXEXTRACT(J7764, ""[A-Za-z ]+$"")")," Season")</f>
        <v> Season</v>
      </c>
      <c r="AA7764" s="5" t="str">
        <f>IFERROR(__xludf.DUMMYFUNCTION("IF(REGEXMATCH(Z7764, ""Season""), ""TV Show"", ""Movie"")"),"TV Show")</f>
        <v>TV Show</v>
      </c>
    </row>
    <row r="7765">
      <c r="A7765" s="1" t="s">
        <v>37615</v>
      </c>
      <c r="B7765" s="1" t="s">
        <v>37</v>
      </c>
      <c r="C7765" s="1" t="s">
        <v>37616</v>
      </c>
      <c r="E7765" s="1" t="s">
        <v>37617</v>
      </c>
      <c r="F7765" s="1" t="s">
        <v>30</v>
      </c>
      <c r="G7765" s="1" t="s">
        <v>31602</v>
      </c>
      <c r="H7765" s="1">
        <v>2004.0</v>
      </c>
      <c r="I7765" s="1" t="s">
        <v>289</v>
      </c>
      <c r="J7765" s="1" t="s">
        <v>51</v>
      </c>
      <c r="K7765" s="1" t="s">
        <v>290</v>
      </c>
      <c r="L7765" s="1" t="s">
        <v>37618</v>
      </c>
      <c r="M7765" s="2" t="s">
        <v>12</v>
      </c>
      <c r="N7765" s="4">
        <f t="shared" si="1"/>
        <v>42370</v>
      </c>
      <c r="O7765" s="5" t="str">
        <f>IFERROR(__xludf.DUMMYFUNCTION("IF(REGEXMATCH(TRIM(I7765), ""^\d+\s*min""), ""Unclassified"", IF(I7765 = """", ""NR"", I7765))"),"TV-Y7")</f>
        <v>TV-Y7</v>
      </c>
      <c r="R7765" s="5" t="str">
        <f t="shared" si="2"/>
        <v>Power Rangers Dino Thunder</v>
      </c>
      <c r="S7765" s="5" t="str">
        <f>IFERROR(__xludf.DUMMYFUNCTION("""COMPUTED_VALUE"""),"The Spy")</f>
        <v>The Spy</v>
      </c>
      <c r="V7765" s="5"/>
      <c r="Y7765" s="5" t="str">
        <f>IFERROR(__xludf.DUMMYFUNCTION("REGEXEXTRACT(J7765, ""^\d+"")"),"1")</f>
        <v>1</v>
      </c>
      <c r="Z7765" s="5" t="str">
        <f>IFERROR(__xludf.DUMMYFUNCTION("REGEXEXTRACT(J7765, ""[A-Za-z ]+$"")")," Season")</f>
        <v> Season</v>
      </c>
      <c r="AA7765" s="5" t="str">
        <f>IFERROR(__xludf.DUMMYFUNCTION("IF(REGEXMATCH(Z7765, ""Season""), ""TV Show"", ""Movie"")"),"TV Show")</f>
        <v>TV Show</v>
      </c>
    </row>
    <row r="7766">
      <c r="A7766" s="1" t="s">
        <v>37619</v>
      </c>
      <c r="B7766" s="1" t="s">
        <v>37</v>
      </c>
      <c r="C7766" s="1" t="s">
        <v>37620</v>
      </c>
      <c r="E7766" s="1" t="s">
        <v>37621</v>
      </c>
      <c r="F7766" s="1" t="s">
        <v>16759</v>
      </c>
      <c r="G7766" s="1" t="s">
        <v>31602</v>
      </c>
      <c r="H7766" s="1">
        <v>1998.0</v>
      </c>
      <c r="I7766" s="1" t="s">
        <v>289</v>
      </c>
      <c r="J7766" s="1" t="s">
        <v>51</v>
      </c>
      <c r="K7766" s="1" t="s">
        <v>290</v>
      </c>
      <c r="L7766" s="1" t="s">
        <v>37622</v>
      </c>
      <c r="M7766" s="2" t="s">
        <v>12</v>
      </c>
      <c r="N7766" s="4">
        <f t="shared" si="1"/>
        <v>42370</v>
      </c>
      <c r="O7766" s="5" t="str">
        <f>IFERROR(__xludf.DUMMYFUNCTION("IF(REGEXMATCH(TRIM(I7766), ""^\d+\s*min""), ""Unclassified"", IF(I7766 = """", ""NR"", I7766))"),"TV-Y7")</f>
        <v>TV-Y7</v>
      </c>
      <c r="R7766" s="5" t="str">
        <f t="shared" si="2"/>
        <v>Power Rangers In Space</v>
      </c>
      <c r="S7766" s="5" t="str">
        <f>IFERROR(__xludf.DUMMYFUNCTION("""COMPUTED_VALUE"""),"The Spy Next Door")</f>
        <v>The Spy Next Door</v>
      </c>
      <c r="V7766" s="5"/>
      <c r="Y7766" s="5" t="str">
        <f>IFERROR(__xludf.DUMMYFUNCTION("REGEXEXTRACT(J7766, ""^\d+"")"),"1")</f>
        <v>1</v>
      </c>
      <c r="Z7766" s="5" t="str">
        <f>IFERROR(__xludf.DUMMYFUNCTION("REGEXEXTRACT(J7766, ""[A-Za-z ]+$"")")," Season")</f>
        <v> Season</v>
      </c>
      <c r="AA7766" s="5" t="str">
        <f>IFERROR(__xludf.DUMMYFUNCTION("IF(REGEXMATCH(Z7766, ""Season""), ""TV Show"", ""Movie"")"),"TV Show")</f>
        <v>TV Show</v>
      </c>
    </row>
    <row r="7767">
      <c r="A7767" s="1" t="s">
        <v>37623</v>
      </c>
      <c r="B7767" s="1" t="s">
        <v>37</v>
      </c>
      <c r="C7767" s="1" t="s">
        <v>37624</v>
      </c>
      <c r="E7767" s="1" t="s">
        <v>37625</v>
      </c>
      <c r="F7767" s="1" t="s">
        <v>30</v>
      </c>
      <c r="G7767" s="1" t="s">
        <v>31602</v>
      </c>
      <c r="H7767" s="1">
        <v>2008.0</v>
      </c>
      <c r="I7767" s="1" t="s">
        <v>289</v>
      </c>
      <c r="J7767" s="1" t="s">
        <v>51</v>
      </c>
      <c r="K7767" s="1" t="s">
        <v>290</v>
      </c>
      <c r="L7767" s="1" t="s">
        <v>37626</v>
      </c>
      <c r="M7767" s="2" t="s">
        <v>12</v>
      </c>
      <c r="N7767" s="4">
        <f t="shared" si="1"/>
        <v>42370</v>
      </c>
      <c r="O7767" s="5" t="str">
        <f>IFERROR(__xludf.DUMMYFUNCTION("IF(REGEXMATCH(TRIM(I7767), ""^\d+\s*min""), ""Unclassified"", IF(I7767 = """", ""NR"", I7767))"),"TV-Y7")</f>
        <v>TV-Y7</v>
      </c>
      <c r="R7767" s="5" t="str">
        <f t="shared" si="2"/>
        <v>Power Rangers Jungle Fury</v>
      </c>
      <c r="S7767" s="5" t="str">
        <f>IFERROR(__xludf.DUMMYFUNCTION("""COMPUTED_VALUE"""),"The Spy Who Fell To Earth")</f>
        <v>The Spy Who Fell To Earth</v>
      </c>
      <c r="V7767" s="5"/>
      <c r="Y7767" s="5" t="str">
        <f>IFERROR(__xludf.DUMMYFUNCTION("REGEXEXTRACT(J7767, ""^\d+"")"),"1")</f>
        <v>1</v>
      </c>
      <c r="Z7767" s="5" t="str">
        <f>IFERROR(__xludf.DUMMYFUNCTION("REGEXEXTRACT(J7767, ""[A-Za-z ]+$"")")," Season")</f>
        <v> Season</v>
      </c>
      <c r="AA7767" s="5" t="str">
        <f>IFERROR(__xludf.DUMMYFUNCTION("IF(REGEXMATCH(Z7767, ""Season""), ""TV Show"", ""Movie"")"),"TV Show")</f>
        <v>TV Show</v>
      </c>
    </row>
    <row r="7768">
      <c r="A7768" s="1" t="s">
        <v>37627</v>
      </c>
      <c r="B7768" s="1" t="s">
        <v>37</v>
      </c>
      <c r="C7768" s="1" t="s">
        <v>37628</v>
      </c>
      <c r="E7768" s="1" t="s">
        <v>37629</v>
      </c>
      <c r="F7768" s="1" t="s">
        <v>3597</v>
      </c>
      <c r="G7768" s="1" t="s">
        <v>31602</v>
      </c>
      <c r="H7768" s="1">
        <v>2000.0</v>
      </c>
      <c r="I7768" s="1" t="s">
        <v>289</v>
      </c>
      <c r="J7768" s="1" t="s">
        <v>51</v>
      </c>
      <c r="K7768" s="1" t="s">
        <v>290</v>
      </c>
      <c r="L7768" s="1" t="s">
        <v>37630</v>
      </c>
      <c r="M7768" s="2" t="s">
        <v>12</v>
      </c>
      <c r="N7768" s="4">
        <f t="shared" si="1"/>
        <v>42370</v>
      </c>
      <c r="O7768" s="5" t="str">
        <f>IFERROR(__xludf.DUMMYFUNCTION("IF(REGEXMATCH(TRIM(I7768), ""^\d+\s*min""), ""Unclassified"", IF(I7768 = """", ""NR"", I7768))"),"TV-Y7")</f>
        <v>TV-Y7</v>
      </c>
      <c r="R7768" s="5" t="str">
        <f t="shared" si="2"/>
        <v>Power Rangers Lightspeed Rescue</v>
      </c>
      <c r="S7768" s="5" t="str">
        <f>IFERROR(__xludf.DUMMYFUNCTION("""COMPUTED_VALUE"""),"The Square")</f>
        <v>The Square</v>
      </c>
      <c r="V7768" s="5"/>
      <c r="Y7768" s="5" t="str">
        <f>IFERROR(__xludf.DUMMYFUNCTION("REGEXEXTRACT(J7768, ""^\d+"")"),"1")</f>
        <v>1</v>
      </c>
      <c r="Z7768" s="5" t="str">
        <f>IFERROR(__xludf.DUMMYFUNCTION("REGEXEXTRACT(J7768, ""[A-Za-z ]+$"")")," Season")</f>
        <v> Season</v>
      </c>
      <c r="AA7768" s="5" t="str">
        <f>IFERROR(__xludf.DUMMYFUNCTION("IF(REGEXMATCH(Z7768, ""Season""), ""TV Show"", ""Movie"")"),"TV Show")</f>
        <v>TV Show</v>
      </c>
    </row>
    <row r="7769">
      <c r="A7769" s="1" t="s">
        <v>37631</v>
      </c>
      <c r="B7769" s="1" t="s">
        <v>37</v>
      </c>
      <c r="C7769" s="1" t="s">
        <v>37632</v>
      </c>
      <c r="E7769" s="1" t="s">
        <v>37633</v>
      </c>
      <c r="F7769" s="1" t="s">
        <v>16759</v>
      </c>
      <c r="G7769" s="1" t="s">
        <v>31602</v>
      </c>
      <c r="H7769" s="1">
        <v>1999.0</v>
      </c>
      <c r="I7769" s="1" t="s">
        <v>289</v>
      </c>
      <c r="J7769" s="1" t="s">
        <v>51</v>
      </c>
      <c r="K7769" s="1" t="s">
        <v>290</v>
      </c>
      <c r="L7769" s="1" t="s">
        <v>37634</v>
      </c>
      <c r="M7769" s="2" t="s">
        <v>12</v>
      </c>
      <c r="N7769" s="4">
        <f t="shared" si="1"/>
        <v>42370</v>
      </c>
      <c r="O7769" s="5" t="str">
        <f>IFERROR(__xludf.DUMMYFUNCTION("IF(REGEXMATCH(TRIM(I7769), ""^\d+\s*min""), ""Unclassified"", IF(I7769 = """", ""NR"", I7769))"),"TV-Y7")</f>
        <v>TV-Y7</v>
      </c>
      <c r="R7769" s="5" t="str">
        <f t="shared" si="2"/>
        <v>Power Rangers Lost Galaxy</v>
      </c>
      <c r="S7769" s="5" t="str">
        <f>IFERROR(__xludf.DUMMYFUNCTION("""COMPUTED_VALUE"""),"The Squid And The Whale")</f>
        <v>The Squid And The Whale</v>
      </c>
      <c r="V7769" s="5"/>
      <c r="Y7769" s="5" t="str">
        <f>IFERROR(__xludf.DUMMYFUNCTION("REGEXEXTRACT(J7769, ""^\d+"")"),"1")</f>
        <v>1</v>
      </c>
      <c r="Z7769" s="5" t="str">
        <f>IFERROR(__xludf.DUMMYFUNCTION("REGEXEXTRACT(J7769, ""[A-Za-z ]+$"")")," Season")</f>
        <v> Season</v>
      </c>
      <c r="AA7769" s="5" t="str">
        <f>IFERROR(__xludf.DUMMYFUNCTION("IF(REGEXMATCH(Z7769, ""Season""), ""TV Show"", ""Movie"")"),"TV Show")</f>
        <v>TV Show</v>
      </c>
    </row>
    <row r="7770">
      <c r="A7770" s="1" t="s">
        <v>37635</v>
      </c>
      <c r="B7770" s="1" t="s">
        <v>37</v>
      </c>
      <c r="C7770" s="1" t="s">
        <v>37636</v>
      </c>
      <c r="E7770" s="1" t="s">
        <v>37637</v>
      </c>
      <c r="F7770" s="1" t="s">
        <v>30</v>
      </c>
      <c r="G7770" s="1" t="s">
        <v>31602</v>
      </c>
      <c r="H7770" s="1">
        <v>2006.0</v>
      </c>
      <c r="I7770" s="1" t="s">
        <v>289</v>
      </c>
      <c r="J7770" s="1" t="s">
        <v>51</v>
      </c>
      <c r="K7770" s="1" t="s">
        <v>290</v>
      </c>
      <c r="L7770" s="1" t="s">
        <v>37638</v>
      </c>
      <c r="M7770" s="2" t="s">
        <v>12</v>
      </c>
      <c r="N7770" s="4">
        <f t="shared" si="1"/>
        <v>42370</v>
      </c>
      <c r="O7770" s="5" t="str">
        <f>IFERROR(__xludf.DUMMYFUNCTION("IF(REGEXMATCH(TRIM(I7770), ""^\d+\s*min""), ""Unclassified"", IF(I7770 = """", ""NR"", I7770))"),"TV-Y7")</f>
        <v>TV-Y7</v>
      </c>
      <c r="R7770" s="5" t="str">
        <f t="shared" si="2"/>
        <v>Power Rangers Mystic Force</v>
      </c>
      <c r="S7770" s="5" t="str">
        <f>IFERROR(__xludf.DUMMYFUNCTION("""COMPUTED_VALUE"""),"The Staircase")</f>
        <v>The Staircase</v>
      </c>
      <c r="V7770" s="5"/>
      <c r="Y7770" s="5" t="str">
        <f>IFERROR(__xludf.DUMMYFUNCTION("REGEXEXTRACT(J7770, ""^\d+"")"),"1")</f>
        <v>1</v>
      </c>
      <c r="Z7770" s="5" t="str">
        <f>IFERROR(__xludf.DUMMYFUNCTION("REGEXEXTRACT(J7770, ""[A-Za-z ]+$"")")," Season")</f>
        <v> Season</v>
      </c>
      <c r="AA7770" s="5" t="str">
        <f>IFERROR(__xludf.DUMMYFUNCTION("IF(REGEXMATCH(Z7770, ""Season""), ""TV Show"", ""Movie"")"),"TV Show")</f>
        <v>TV Show</v>
      </c>
    </row>
    <row r="7771">
      <c r="A7771" s="1" t="s">
        <v>37639</v>
      </c>
      <c r="B7771" s="1" t="s">
        <v>37</v>
      </c>
      <c r="C7771" s="1" t="s">
        <v>37640</v>
      </c>
      <c r="E7771" s="1" t="s">
        <v>37641</v>
      </c>
      <c r="F7771" s="1" t="s">
        <v>3802</v>
      </c>
      <c r="G7771" s="1" t="s">
        <v>31602</v>
      </c>
      <c r="H7771" s="1">
        <v>2003.0</v>
      </c>
      <c r="I7771" s="1" t="s">
        <v>289</v>
      </c>
      <c r="J7771" s="1" t="s">
        <v>51</v>
      </c>
      <c r="K7771" s="1" t="s">
        <v>290</v>
      </c>
      <c r="L7771" s="1" t="s">
        <v>37642</v>
      </c>
      <c r="M7771" s="2" t="s">
        <v>12</v>
      </c>
      <c r="N7771" s="4">
        <f t="shared" si="1"/>
        <v>42370</v>
      </c>
      <c r="O7771" s="5" t="str">
        <f>IFERROR(__xludf.DUMMYFUNCTION("IF(REGEXMATCH(TRIM(I7771), ""^\d+\s*min""), ""Unclassified"", IF(I7771 = """", ""NR"", I7771))"),"TV-Y7")</f>
        <v>TV-Y7</v>
      </c>
      <c r="R7771" s="5" t="str">
        <f t="shared" si="2"/>
        <v>Power Rangers Ninja Storm</v>
      </c>
      <c r="S7771" s="5" t="str">
        <f>IFERROR(__xludf.DUMMYFUNCTION("""COMPUTED_VALUE"""),"The Stand At Paxton County")</f>
        <v>The Stand At Paxton County</v>
      </c>
      <c r="V7771" s="5"/>
      <c r="Y7771" s="5" t="str">
        <f>IFERROR(__xludf.DUMMYFUNCTION("REGEXEXTRACT(J7771, ""^\d+"")"),"1")</f>
        <v>1</v>
      </c>
      <c r="Z7771" s="5" t="str">
        <f>IFERROR(__xludf.DUMMYFUNCTION("REGEXEXTRACT(J7771, ""[A-Za-z ]+$"")")," Season")</f>
        <v> Season</v>
      </c>
      <c r="AA7771" s="5" t="str">
        <f>IFERROR(__xludf.DUMMYFUNCTION("IF(REGEXMATCH(Z7771, ""Season""), ""TV Show"", ""Movie"")"),"TV Show")</f>
        <v>TV Show</v>
      </c>
    </row>
    <row r="7772">
      <c r="A7772" s="1" t="s">
        <v>37643</v>
      </c>
      <c r="B7772" s="1" t="s">
        <v>37</v>
      </c>
      <c r="C7772" s="1" t="s">
        <v>37644</v>
      </c>
      <c r="E7772" s="1" t="s">
        <v>37645</v>
      </c>
      <c r="F7772" s="1" t="s">
        <v>37646</v>
      </c>
      <c r="G7772" s="1" t="s">
        <v>31602</v>
      </c>
      <c r="H7772" s="1">
        <v>2007.0</v>
      </c>
      <c r="I7772" s="1" t="s">
        <v>289</v>
      </c>
      <c r="J7772" s="1" t="s">
        <v>51</v>
      </c>
      <c r="K7772" s="1" t="s">
        <v>290</v>
      </c>
      <c r="L7772" s="1" t="s">
        <v>37647</v>
      </c>
      <c r="M7772" s="2" t="s">
        <v>12</v>
      </c>
      <c r="N7772" s="4">
        <f t="shared" si="1"/>
        <v>42370</v>
      </c>
      <c r="O7772" s="5" t="str">
        <f>IFERROR(__xludf.DUMMYFUNCTION("IF(REGEXMATCH(TRIM(I7772), ""^\d+\s*min""), ""Unclassified"", IF(I7772 = """", ""NR"", I7772))"),"TV-Y7")</f>
        <v>TV-Y7</v>
      </c>
      <c r="R7772" s="5" t="str">
        <f t="shared" si="2"/>
        <v>Power Rangers Operation Overdrive</v>
      </c>
      <c r="S7772" s="5" t="str">
        <f>IFERROR(__xludf.DUMMYFUNCTION("""COMPUTED_VALUE"""),"The Stand-In")</f>
        <v>The Stand-In</v>
      </c>
      <c r="V7772" s="5"/>
      <c r="Y7772" s="5" t="str">
        <f>IFERROR(__xludf.DUMMYFUNCTION("REGEXEXTRACT(J7772, ""^\d+"")"),"1")</f>
        <v>1</v>
      </c>
      <c r="Z7772" s="5" t="str">
        <f>IFERROR(__xludf.DUMMYFUNCTION("REGEXEXTRACT(J7772, ""[A-Za-z ]+$"")")," Season")</f>
        <v> Season</v>
      </c>
      <c r="AA7772" s="5" t="str">
        <f>IFERROR(__xludf.DUMMYFUNCTION("IF(REGEXMATCH(Z7772, ""Season""), ""TV Show"", ""Movie"")"),"TV Show")</f>
        <v>TV Show</v>
      </c>
    </row>
    <row r="7773">
      <c r="A7773" s="1" t="s">
        <v>37648</v>
      </c>
      <c r="B7773" s="1" t="s">
        <v>37</v>
      </c>
      <c r="C7773" s="1" t="s">
        <v>37649</v>
      </c>
      <c r="E7773" s="1" t="s">
        <v>37650</v>
      </c>
      <c r="F7773" s="1" t="s">
        <v>30</v>
      </c>
      <c r="G7773" s="1" t="s">
        <v>31602</v>
      </c>
      <c r="H7773" s="1">
        <v>2009.0</v>
      </c>
      <c r="I7773" s="1" t="s">
        <v>289</v>
      </c>
      <c r="J7773" s="1" t="s">
        <v>51</v>
      </c>
      <c r="K7773" s="1" t="s">
        <v>290</v>
      </c>
      <c r="L7773" s="1" t="s">
        <v>37651</v>
      </c>
      <c r="M7773" s="2" t="s">
        <v>12</v>
      </c>
      <c r="N7773" s="4">
        <f t="shared" si="1"/>
        <v>42370</v>
      </c>
      <c r="O7773" s="5" t="str">
        <f>IFERROR(__xludf.DUMMYFUNCTION("IF(REGEXMATCH(TRIM(I7773), ""^\d+\s*min""), ""Unclassified"", IF(I7773 = """", ""NR"", I7773))"),"TV-Y7")</f>
        <v>TV-Y7</v>
      </c>
      <c r="R7773" s="5" t="str">
        <f t="shared" si="2"/>
        <v>Power Rangers Rpm</v>
      </c>
      <c r="S7773" s="5" t="str">
        <f>IFERROR(__xludf.DUMMYFUNCTION("""COMPUTED_VALUE"""),"The Stand-Up")</f>
        <v>The Stand-Up</v>
      </c>
      <c r="V7773" s="5"/>
      <c r="Y7773" s="5" t="str">
        <f>IFERROR(__xludf.DUMMYFUNCTION("REGEXEXTRACT(J7773, ""^\d+"")"),"1")</f>
        <v>1</v>
      </c>
      <c r="Z7773" s="5" t="str">
        <f>IFERROR(__xludf.DUMMYFUNCTION("REGEXEXTRACT(J7773, ""[A-Za-z ]+$"")")," Season")</f>
        <v> Season</v>
      </c>
      <c r="AA7773" s="5" t="str">
        <f>IFERROR(__xludf.DUMMYFUNCTION("IF(REGEXMATCH(Z7773, ""Season""), ""TV Show"", ""Movie"")"),"TV Show")</f>
        <v>TV Show</v>
      </c>
    </row>
    <row r="7774">
      <c r="A7774" s="1" t="s">
        <v>37652</v>
      </c>
      <c r="B7774" s="1" t="s">
        <v>37</v>
      </c>
      <c r="C7774" s="1" t="s">
        <v>37653</v>
      </c>
      <c r="E7774" s="1" t="s">
        <v>37654</v>
      </c>
      <c r="F7774" s="1" t="s">
        <v>3802</v>
      </c>
      <c r="G7774" s="1" t="s">
        <v>31602</v>
      </c>
      <c r="H7774" s="1">
        <v>2005.0</v>
      </c>
      <c r="I7774" s="1" t="s">
        <v>289</v>
      </c>
      <c r="J7774" s="1" t="s">
        <v>51</v>
      </c>
      <c r="K7774" s="1" t="s">
        <v>290</v>
      </c>
      <c r="L7774" s="1" t="s">
        <v>37655</v>
      </c>
      <c r="M7774" s="2" t="s">
        <v>12</v>
      </c>
      <c r="N7774" s="4">
        <f t="shared" si="1"/>
        <v>42370</v>
      </c>
      <c r="O7774" s="5" t="str">
        <f>IFERROR(__xludf.DUMMYFUNCTION("IF(REGEXMATCH(TRIM(I7774), ""^\d+\s*min""), ""Unclassified"", IF(I7774 = """", ""NR"", I7774))"),"TV-Y7")</f>
        <v>TV-Y7</v>
      </c>
      <c r="R7774" s="5" t="str">
        <f t="shared" si="2"/>
        <v>Power Rangers S.P.D.</v>
      </c>
      <c r="S7774" s="5" t="str">
        <f>IFERROR(__xludf.DUMMYFUNCTION("""COMPUTED_VALUE"""),"The Standups")</f>
        <v>The Standups</v>
      </c>
      <c r="V7774" s="5"/>
      <c r="Y7774" s="5" t="str">
        <f>IFERROR(__xludf.DUMMYFUNCTION("REGEXEXTRACT(J7774, ""^\d+"")"),"1")</f>
        <v>1</v>
      </c>
      <c r="Z7774" s="5" t="str">
        <f>IFERROR(__xludf.DUMMYFUNCTION("REGEXEXTRACT(J7774, ""[A-Za-z ]+$"")")," Season")</f>
        <v> Season</v>
      </c>
      <c r="AA7774" s="5" t="str">
        <f>IFERROR(__xludf.DUMMYFUNCTION("IF(REGEXMATCH(Z7774, ""Season""), ""TV Show"", ""Movie"")"),"TV Show")</f>
        <v>TV Show</v>
      </c>
    </row>
    <row r="7775">
      <c r="A7775" s="1" t="s">
        <v>37656</v>
      </c>
      <c r="B7775" s="1" t="s">
        <v>37</v>
      </c>
      <c r="C7775" s="1" t="s">
        <v>37657</v>
      </c>
      <c r="E7775" s="1" t="s">
        <v>37658</v>
      </c>
      <c r="F7775" s="1" t="s">
        <v>30</v>
      </c>
      <c r="G7775" s="1" t="s">
        <v>31602</v>
      </c>
      <c r="H7775" s="1">
        <v>2011.0</v>
      </c>
      <c r="I7775" s="1" t="s">
        <v>289</v>
      </c>
      <c r="J7775" s="1" t="s">
        <v>51</v>
      </c>
      <c r="K7775" s="1" t="s">
        <v>290</v>
      </c>
      <c r="L7775" s="1" t="s">
        <v>37659</v>
      </c>
      <c r="M7775" s="2" t="s">
        <v>12</v>
      </c>
      <c r="N7775" s="4">
        <f t="shared" si="1"/>
        <v>42370</v>
      </c>
      <c r="O7775" s="5" t="str">
        <f>IFERROR(__xludf.DUMMYFUNCTION("IF(REGEXMATCH(TRIM(I7775), ""^\d+\s*min""), ""Unclassified"", IF(I7775 = """", ""NR"", I7775))"),"TV-Y7")</f>
        <v>TV-Y7</v>
      </c>
      <c r="R7775" s="5" t="str">
        <f t="shared" si="2"/>
        <v>Power Rangers Samurai</v>
      </c>
      <c r="S7775" s="5" t="str">
        <f>IFERROR(__xludf.DUMMYFUNCTION("""COMPUTED_VALUE"""),"The Stanford Prison Experiment")</f>
        <v>The Stanford Prison Experiment</v>
      </c>
      <c r="V7775" s="5"/>
      <c r="Y7775" s="5" t="str">
        <f>IFERROR(__xludf.DUMMYFUNCTION("REGEXEXTRACT(J7775, ""^\d+"")"),"1")</f>
        <v>1</v>
      </c>
      <c r="Z7775" s="5" t="str">
        <f>IFERROR(__xludf.DUMMYFUNCTION("REGEXEXTRACT(J7775, ""[A-Za-z ]+$"")")," Season")</f>
        <v> Season</v>
      </c>
      <c r="AA7775" s="5" t="str">
        <f>IFERROR(__xludf.DUMMYFUNCTION("IF(REGEXMATCH(Z7775, ""Season""), ""TV Show"", ""Movie"")"),"TV Show")</f>
        <v>TV Show</v>
      </c>
    </row>
    <row r="7776">
      <c r="A7776" s="1" t="s">
        <v>37660</v>
      </c>
      <c r="B7776" s="1" t="s">
        <v>27</v>
      </c>
      <c r="C7776" s="1" t="s">
        <v>37661</v>
      </c>
      <c r="E7776" s="1" t="s">
        <v>37662</v>
      </c>
      <c r="F7776" s="1" t="s">
        <v>30</v>
      </c>
      <c r="G7776" s="1" t="s">
        <v>31602</v>
      </c>
      <c r="H7776" s="1">
        <v>2011.0</v>
      </c>
      <c r="I7776" s="1" t="s">
        <v>289</v>
      </c>
      <c r="J7776" s="1" t="s">
        <v>7058</v>
      </c>
      <c r="K7776" s="1" t="s">
        <v>2032</v>
      </c>
      <c r="L7776" s="1" t="s">
        <v>37663</v>
      </c>
      <c r="M7776" s="2" t="s">
        <v>12</v>
      </c>
      <c r="N7776" s="4">
        <f t="shared" si="1"/>
        <v>42370</v>
      </c>
      <c r="O7776" s="5" t="str">
        <f>IFERROR(__xludf.DUMMYFUNCTION("IF(REGEXMATCH(TRIM(I7776), ""^\d+\s*min""), ""Unclassified"", IF(I7776 = """", ""NR"", I7776))"),"TV-Y7")</f>
        <v>TV-Y7</v>
      </c>
      <c r="R7776" s="5" t="str">
        <f t="shared" si="2"/>
        <v>Power Rangers Samurai: Christmas Together, Friends Forever (Christmas Special)</v>
      </c>
      <c r="S7776" s="5" t="str">
        <f>IFERROR(__xludf.DUMMYFUNCTION("""COMPUTED_VALUE"""),"The Starling")</f>
        <v>The Starling</v>
      </c>
      <c r="V7776" s="5"/>
      <c r="Y7776" s="5" t="str">
        <f>IFERROR(__xludf.DUMMYFUNCTION("REGEXEXTRACT(J7776, ""^\d+"")"),"24")</f>
        <v>24</v>
      </c>
      <c r="Z7776" s="5" t="str">
        <f>IFERROR(__xludf.DUMMYFUNCTION("REGEXEXTRACT(J7776, ""[A-Za-z ]+$"")")," min")</f>
        <v> min</v>
      </c>
      <c r="AA7776" s="5" t="str">
        <f>IFERROR(__xludf.DUMMYFUNCTION("IF(REGEXMATCH(Z7776, ""Season""), ""TV Show"", ""Movie"")"),"Movie")</f>
        <v>Movie</v>
      </c>
    </row>
    <row r="7777">
      <c r="A7777" s="1" t="s">
        <v>37664</v>
      </c>
      <c r="B7777" s="1" t="s">
        <v>27</v>
      </c>
      <c r="C7777" s="1" t="s">
        <v>37665</v>
      </c>
      <c r="E7777" s="1" t="s">
        <v>37666</v>
      </c>
      <c r="F7777" s="1" t="s">
        <v>30</v>
      </c>
      <c r="G7777" s="1" t="s">
        <v>31602</v>
      </c>
      <c r="H7777" s="1">
        <v>2011.0</v>
      </c>
      <c r="I7777" s="1" t="s">
        <v>289</v>
      </c>
      <c r="J7777" s="1" t="s">
        <v>3060</v>
      </c>
      <c r="K7777" s="1" t="s">
        <v>80</v>
      </c>
      <c r="L7777" s="1" t="s">
        <v>37667</v>
      </c>
      <c r="M7777" s="2" t="s">
        <v>12</v>
      </c>
      <c r="N7777" s="4">
        <f t="shared" si="1"/>
        <v>42370</v>
      </c>
      <c r="O7777" s="5" t="str">
        <f>IFERROR(__xludf.DUMMYFUNCTION("IF(REGEXMATCH(TRIM(I7777), ""^\d+\s*min""), ""Unclassified"", IF(I7777 = """", ""NR"", I7777))"),"TV-Y7")</f>
        <v>TV-Y7</v>
      </c>
      <c r="R7777" s="5" t="str">
        <f t="shared" si="2"/>
        <v>Power Rangers Samurai: Clash Of The Red Rangers</v>
      </c>
      <c r="S7777" s="5" t="str">
        <f>IFERROR(__xludf.DUMMYFUNCTION("""COMPUTED_VALUE"""),"The Stepfather")</f>
        <v>The Stepfather</v>
      </c>
      <c r="V7777" s="5"/>
      <c r="Y7777" s="5" t="str">
        <f>IFERROR(__xludf.DUMMYFUNCTION("REGEXEXTRACT(J7777, ""^\d+"")"),"46")</f>
        <v>46</v>
      </c>
      <c r="Z7777" s="5" t="str">
        <f>IFERROR(__xludf.DUMMYFUNCTION("REGEXEXTRACT(J7777, ""[A-Za-z ]+$"")")," min")</f>
        <v> min</v>
      </c>
      <c r="AA7777" s="5" t="str">
        <f>IFERROR(__xludf.DUMMYFUNCTION("IF(REGEXMATCH(Z7777, ""Season""), ""TV Show"", ""Movie"")"),"Movie")</f>
        <v>Movie</v>
      </c>
    </row>
    <row r="7778">
      <c r="A7778" s="1" t="s">
        <v>37668</v>
      </c>
      <c r="B7778" s="1" t="s">
        <v>27</v>
      </c>
      <c r="C7778" s="1" t="s">
        <v>37669</v>
      </c>
      <c r="E7778" s="1" t="s">
        <v>37670</v>
      </c>
      <c r="F7778" s="1" t="s">
        <v>30</v>
      </c>
      <c r="G7778" s="1" t="s">
        <v>31602</v>
      </c>
      <c r="H7778" s="1">
        <v>2011.0</v>
      </c>
      <c r="I7778" s="1" t="s">
        <v>289</v>
      </c>
      <c r="J7778" s="1" t="s">
        <v>7058</v>
      </c>
      <c r="K7778" s="1" t="s">
        <v>2032</v>
      </c>
      <c r="L7778" s="1" t="s">
        <v>37671</v>
      </c>
      <c r="M7778" s="2" t="s">
        <v>12</v>
      </c>
      <c r="N7778" s="4">
        <f t="shared" si="1"/>
        <v>42370</v>
      </c>
      <c r="O7778" s="5" t="str">
        <f>IFERROR(__xludf.DUMMYFUNCTION("IF(REGEXMATCH(TRIM(I7778), ""^\d+\s*min""), ""Unclassified"", IF(I7778 = """", ""NR"", I7778))"),"TV-Y7")</f>
        <v>TV-Y7</v>
      </c>
      <c r="R7778" s="5" t="str">
        <f t="shared" si="2"/>
        <v>Power Rangers Samurai: Party Monsters (Halloween Special)</v>
      </c>
      <c r="S7778" s="5" t="str">
        <f>IFERROR(__xludf.DUMMYFUNCTION("""COMPUTED_VALUE"""),"The Stolen")</f>
        <v>The Stolen</v>
      </c>
      <c r="V7778" s="5"/>
      <c r="Y7778" s="5" t="str">
        <f>IFERROR(__xludf.DUMMYFUNCTION("REGEXEXTRACT(J7778, ""^\d+"")"),"24")</f>
        <v>24</v>
      </c>
      <c r="Z7778" s="5" t="str">
        <f>IFERROR(__xludf.DUMMYFUNCTION("REGEXEXTRACT(J7778, ""[A-Za-z ]+$"")")," min")</f>
        <v> min</v>
      </c>
      <c r="AA7778" s="5" t="str">
        <f>IFERROR(__xludf.DUMMYFUNCTION("IF(REGEXMATCH(Z7778, ""Season""), ""TV Show"", ""Movie"")"),"Movie")</f>
        <v>Movie</v>
      </c>
    </row>
    <row r="7779">
      <c r="A7779" s="1" t="s">
        <v>37672</v>
      </c>
      <c r="B7779" s="1" t="s">
        <v>37</v>
      </c>
      <c r="C7779" s="1" t="s">
        <v>37673</v>
      </c>
      <c r="E7779" s="1" t="s">
        <v>37674</v>
      </c>
      <c r="G7779" s="1" t="s">
        <v>31602</v>
      </c>
      <c r="H7779" s="1">
        <v>2014.0</v>
      </c>
      <c r="I7779" s="1" t="s">
        <v>289</v>
      </c>
      <c r="J7779" s="1" t="s">
        <v>51</v>
      </c>
      <c r="K7779" s="1" t="s">
        <v>290</v>
      </c>
      <c r="L7779" s="1" t="s">
        <v>37675</v>
      </c>
      <c r="M7779" s="2" t="s">
        <v>12</v>
      </c>
      <c r="N7779" s="4">
        <f t="shared" si="1"/>
        <v>42370</v>
      </c>
      <c r="O7779" s="5" t="str">
        <f>IFERROR(__xludf.DUMMYFUNCTION("IF(REGEXMATCH(TRIM(I7779), ""^\d+\s*min""), ""Unclassified"", IF(I7779 = """", ""NR"", I7779))"),"TV-Y7")</f>
        <v>TV-Y7</v>
      </c>
      <c r="R7779" s="5" t="str">
        <f t="shared" si="2"/>
        <v>Power Rangers Super Megaforce</v>
      </c>
      <c r="S7779" s="5" t="str">
        <f>IFERROR(__xludf.DUMMYFUNCTION("""COMPUTED_VALUE"""),"The Story Of God With Morgan Freeman")</f>
        <v>The Story Of God With Morgan Freeman</v>
      </c>
      <c r="V7779" s="5"/>
      <c r="Y7779" s="5" t="str">
        <f>IFERROR(__xludf.DUMMYFUNCTION("REGEXEXTRACT(J7779, ""^\d+"")"),"1")</f>
        <v>1</v>
      </c>
      <c r="Z7779" s="5" t="str">
        <f>IFERROR(__xludf.DUMMYFUNCTION("REGEXEXTRACT(J7779, ""[A-Za-z ]+$"")")," Season")</f>
        <v> Season</v>
      </c>
      <c r="AA7779" s="5" t="str">
        <f>IFERROR(__xludf.DUMMYFUNCTION("IF(REGEXMATCH(Z7779, ""Season""), ""TV Show"", ""Movie"")"),"TV Show")</f>
        <v>TV Show</v>
      </c>
    </row>
    <row r="7780">
      <c r="A7780" s="1" t="s">
        <v>37676</v>
      </c>
      <c r="B7780" s="1" t="s">
        <v>27</v>
      </c>
      <c r="C7780" s="1" t="s">
        <v>37677</v>
      </c>
      <c r="D7780" s="1" t="s">
        <v>4460</v>
      </c>
      <c r="E7780" s="1" t="s">
        <v>37678</v>
      </c>
      <c r="F7780" s="1" t="s">
        <v>30</v>
      </c>
      <c r="G7780" s="1" t="s">
        <v>31602</v>
      </c>
      <c r="H7780" s="1">
        <v>2014.0</v>
      </c>
      <c r="I7780" s="1" t="s">
        <v>289</v>
      </c>
      <c r="J7780" s="1" t="s">
        <v>6490</v>
      </c>
      <c r="K7780" s="1" t="s">
        <v>2032</v>
      </c>
      <c r="L7780" s="1" t="s">
        <v>37679</v>
      </c>
      <c r="M7780" s="2" t="s">
        <v>12</v>
      </c>
      <c r="N7780" s="4">
        <f t="shared" si="1"/>
        <v>42370</v>
      </c>
      <c r="O7780" s="5" t="str">
        <f>IFERROR(__xludf.DUMMYFUNCTION("IF(REGEXMATCH(TRIM(I7780), ""^\d+\s*min""), ""Unclassified"", IF(I7780 = """", ""NR"", I7780))"),"TV-Y7")</f>
        <v>TV-Y7</v>
      </c>
      <c r="R7780" s="5" t="str">
        <f t="shared" si="2"/>
        <v>Power Rangers Super Megaforce: The Legendary Battle (Extended)</v>
      </c>
      <c r="S7780" s="5" t="str">
        <f>IFERROR(__xludf.DUMMYFUNCTION("""COMPUTED_VALUE"""),"The Story Of Us With Morgan Freeman")</f>
        <v>The Story Of Us With Morgan Freeman</v>
      </c>
      <c r="V7780" s="5"/>
      <c r="Y7780" s="5" t="str">
        <f>IFERROR(__xludf.DUMMYFUNCTION("REGEXEXTRACT(J7780, ""^\d+"")"),"55")</f>
        <v>55</v>
      </c>
      <c r="Z7780" s="5" t="str">
        <f>IFERROR(__xludf.DUMMYFUNCTION("REGEXEXTRACT(J7780, ""[A-Za-z ]+$"")")," min")</f>
        <v> min</v>
      </c>
      <c r="AA7780" s="5" t="str">
        <f>IFERROR(__xludf.DUMMYFUNCTION("IF(REGEXMATCH(Z7780, ""Season""), ""TV Show"", ""Movie"")"),"Movie")</f>
        <v>Movie</v>
      </c>
    </row>
    <row r="7781">
      <c r="A7781" s="1" t="s">
        <v>37680</v>
      </c>
      <c r="B7781" s="1" t="s">
        <v>37</v>
      </c>
      <c r="C7781" s="1" t="s">
        <v>37681</v>
      </c>
      <c r="E7781" s="1" t="s">
        <v>37682</v>
      </c>
      <c r="G7781" s="1" t="s">
        <v>31602</v>
      </c>
      <c r="H7781" s="1">
        <v>2012.0</v>
      </c>
      <c r="I7781" s="1" t="s">
        <v>289</v>
      </c>
      <c r="J7781" s="1" t="s">
        <v>51</v>
      </c>
      <c r="K7781" s="1" t="s">
        <v>290</v>
      </c>
      <c r="L7781" s="1" t="s">
        <v>37683</v>
      </c>
      <c r="M7781" s="2" t="s">
        <v>12</v>
      </c>
      <c r="N7781" s="4">
        <f t="shared" si="1"/>
        <v>42370</v>
      </c>
      <c r="O7781" s="5" t="str">
        <f>IFERROR(__xludf.DUMMYFUNCTION("IF(REGEXMATCH(TRIM(I7781), ""^\d+\s*min""), ""Unclassified"", IF(I7781 = """", ""NR"", I7781))"),"TV-Y7")</f>
        <v>TV-Y7</v>
      </c>
      <c r="R7781" s="5" t="str">
        <f t="shared" si="2"/>
        <v>Power Rangers Super Samurai</v>
      </c>
      <c r="S7781" s="5" t="str">
        <f>IFERROR(__xludf.DUMMYFUNCTION("""COMPUTED_VALUE"""),"The Stranded")</f>
        <v>The Stranded</v>
      </c>
      <c r="V7781" s="5"/>
      <c r="Y7781" s="5" t="str">
        <f>IFERROR(__xludf.DUMMYFUNCTION("REGEXEXTRACT(J7781, ""^\d+"")"),"1")</f>
        <v>1</v>
      </c>
      <c r="Z7781" s="5" t="str">
        <f>IFERROR(__xludf.DUMMYFUNCTION("REGEXEXTRACT(J7781, ""[A-Za-z ]+$"")")," Season")</f>
        <v> Season</v>
      </c>
      <c r="AA7781" s="5" t="str">
        <f>IFERROR(__xludf.DUMMYFUNCTION("IF(REGEXMATCH(Z7781, ""Season""), ""TV Show"", ""Movie"")"),"TV Show")</f>
        <v>TV Show</v>
      </c>
    </row>
    <row r="7782">
      <c r="A7782" s="1" t="s">
        <v>37684</v>
      </c>
      <c r="B7782" s="1" t="s">
        <v>27</v>
      </c>
      <c r="C7782" s="1" t="s">
        <v>37685</v>
      </c>
      <c r="E7782" s="1" t="s">
        <v>37686</v>
      </c>
      <c r="F7782" s="1" t="s">
        <v>30</v>
      </c>
      <c r="G7782" s="1" t="s">
        <v>31602</v>
      </c>
      <c r="H7782" s="1">
        <v>2012.0</v>
      </c>
      <c r="I7782" s="1" t="s">
        <v>289</v>
      </c>
      <c r="J7782" s="1" t="s">
        <v>7058</v>
      </c>
      <c r="K7782" s="1" t="s">
        <v>8035</v>
      </c>
      <c r="L7782" s="1" t="s">
        <v>37687</v>
      </c>
      <c r="M7782" s="2" t="s">
        <v>12</v>
      </c>
      <c r="N7782" s="4">
        <f t="shared" si="1"/>
        <v>42370</v>
      </c>
      <c r="O7782" s="5" t="str">
        <f>IFERROR(__xludf.DUMMYFUNCTION("IF(REGEXMATCH(TRIM(I7782), ""^\d+\s*min""), ""Unclassified"", IF(I7782 = """", ""NR"", I7782))"),"TV-Y7")</f>
        <v>TV-Y7</v>
      </c>
      <c r="R7782" s="5" t="str">
        <f t="shared" si="2"/>
        <v>Power Rangers Super Samurai: Stuck On Christmas</v>
      </c>
      <c r="S7782" s="5" t="str">
        <f>IFERROR(__xludf.DUMMYFUNCTION("""COMPUTED_VALUE"""),"The Strange House")</f>
        <v>The Strange House</v>
      </c>
      <c r="V7782" s="5"/>
      <c r="Y7782" s="5" t="str">
        <f>IFERROR(__xludf.DUMMYFUNCTION("REGEXEXTRACT(J7782, ""^\d+"")"),"24")</f>
        <v>24</v>
      </c>
      <c r="Z7782" s="5" t="str">
        <f>IFERROR(__xludf.DUMMYFUNCTION("REGEXEXTRACT(J7782, ""[A-Za-z ]+$"")")," min")</f>
        <v> min</v>
      </c>
      <c r="AA7782" s="5" t="str">
        <f>IFERROR(__xludf.DUMMYFUNCTION("IF(REGEXMATCH(Z7782, ""Season""), ""TV Show"", ""Movie"")"),"Movie")</f>
        <v>Movie</v>
      </c>
    </row>
    <row r="7783">
      <c r="A7783" s="1" t="s">
        <v>37688</v>
      </c>
      <c r="B7783" s="1" t="s">
        <v>27</v>
      </c>
      <c r="C7783" s="1" t="s">
        <v>37689</v>
      </c>
      <c r="E7783" s="1" t="s">
        <v>37690</v>
      </c>
      <c r="F7783" s="1" t="s">
        <v>30</v>
      </c>
      <c r="G7783" s="1" t="s">
        <v>31602</v>
      </c>
      <c r="H7783" s="1">
        <v>2012.0</v>
      </c>
      <c r="I7783" s="1" t="s">
        <v>289</v>
      </c>
      <c r="J7783" s="1" t="s">
        <v>370</v>
      </c>
      <c r="K7783" s="1" t="s">
        <v>2032</v>
      </c>
      <c r="L7783" s="1" t="s">
        <v>37691</v>
      </c>
      <c r="M7783" s="2" t="s">
        <v>12</v>
      </c>
      <c r="N7783" s="4">
        <f t="shared" si="1"/>
        <v>42370</v>
      </c>
      <c r="O7783" s="5" t="str">
        <f>IFERROR(__xludf.DUMMYFUNCTION("IF(REGEXMATCH(TRIM(I7783), ""^\d+\s*min""), ""Unclassified"", IF(I7783 = """", ""NR"", I7783))"),"TV-Y7")</f>
        <v>TV-Y7</v>
      </c>
      <c r="R7783" s="5" t="str">
        <f t="shared" si="2"/>
        <v>Power Rangers Super Samurai: Trickster Treat</v>
      </c>
      <c r="S7783" s="5" t="str">
        <f>IFERROR(__xludf.DUMMYFUNCTION("""COMPUTED_VALUE"""),"The Stranger")</f>
        <v>The Stranger</v>
      </c>
      <c r="V7783" s="5"/>
      <c r="Y7783" s="5" t="str">
        <f>IFERROR(__xludf.DUMMYFUNCTION("REGEXEXTRACT(J7783, ""^\d+"")"),"23")</f>
        <v>23</v>
      </c>
      <c r="Z7783" s="5" t="str">
        <f>IFERROR(__xludf.DUMMYFUNCTION("REGEXEXTRACT(J7783, ""[A-Za-z ]+$"")")," min")</f>
        <v> min</v>
      </c>
      <c r="AA7783" s="5" t="str">
        <f>IFERROR(__xludf.DUMMYFUNCTION("IF(REGEXMATCH(Z7783, ""Season""), ""TV Show"", ""Movie"")"),"Movie")</f>
        <v>Movie</v>
      </c>
    </row>
    <row r="7784">
      <c r="A7784" s="1" t="s">
        <v>37692</v>
      </c>
      <c r="B7784" s="1" t="s">
        <v>37</v>
      </c>
      <c r="C7784" s="1" t="s">
        <v>37693</v>
      </c>
      <c r="E7784" s="1" t="s">
        <v>37694</v>
      </c>
      <c r="F7784" s="1" t="s">
        <v>30</v>
      </c>
      <c r="G7784" s="1" t="s">
        <v>31602</v>
      </c>
      <c r="H7784" s="1">
        <v>2001.0</v>
      </c>
      <c r="I7784" s="1" t="s">
        <v>289</v>
      </c>
      <c r="J7784" s="1" t="s">
        <v>51</v>
      </c>
      <c r="K7784" s="1" t="s">
        <v>290</v>
      </c>
      <c r="L7784" s="1" t="s">
        <v>37695</v>
      </c>
      <c r="M7784" s="2" t="s">
        <v>12</v>
      </c>
      <c r="N7784" s="4">
        <f t="shared" si="1"/>
        <v>42370</v>
      </c>
      <c r="O7784" s="5" t="str">
        <f>IFERROR(__xludf.DUMMYFUNCTION("IF(REGEXMATCH(TRIM(I7784), ""^\d+\s*min""), ""Unclassified"", IF(I7784 = """", ""NR"", I7784))"),"TV-Y7")</f>
        <v>TV-Y7</v>
      </c>
      <c r="R7784" s="5" t="str">
        <f t="shared" si="2"/>
        <v>Power Rangers Time Force</v>
      </c>
      <c r="S7784" s="5" t="str">
        <f>IFERROR(__xludf.DUMMYFUNCTION("""COMPUTED_VALUE"""),"The Strangers")</f>
        <v>The Strangers</v>
      </c>
      <c r="V7784" s="5"/>
      <c r="Y7784" s="5" t="str">
        <f>IFERROR(__xludf.DUMMYFUNCTION("REGEXEXTRACT(J7784, ""^\d+"")"),"1")</f>
        <v>1</v>
      </c>
      <c r="Z7784" s="5" t="str">
        <f>IFERROR(__xludf.DUMMYFUNCTION("REGEXEXTRACT(J7784, ""[A-Za-z ]+$"")")," Season")</f>
        <v> Season</v>
      </c>
      <c r="AA7784" s="5" t="str">
        <f>IFERROR(__xludf.DUMMYFUNCTION("IF(REGEXMATCH(Z7784, ""Season""), ""TV Show"", ""Movie"")"),"TV Show")</f>
        <v>TV Show</v>
      </c>
    </row>
    <row r="7785">
      <c r="A7785" s="1" t="s">
        <v>37696</v>
      </c>
      <c r="B7785" s="1" t="s">
        <v>37</v>
      </c>
      <c r="C7785" s="1" t="s">
        <v>37697</v>
      </c>
      <c r="E7785" s="1" t="s">
        <v>37698</v>
      </c>
      <c r="F7785" s="1" t="s">
        <v>16759</v>
      </c>
      <c r="G7785" s="1" t="s">
        <v>31602</v>
      </c>
      <c r="H7785" s="1">
        <v>1997.0</v>
      </c>
      <c r="I7785" s="1" t="s">
        <v>289</v>
      </c>
      <c r="J7785" s="1" t="s">
        <v>51</v>
      </c>
      <c r="K7785" s="1" t="s">
        <v>290</v>
      </c>
      <c r="L7785" s="1" t="s">
        <v>37699</v>
      </c>
      <c r="M7785" s="2" t="s">
        <v>12</v>
      </c>
      <c r="N7785" s="4">
        <f t="shared" si="1"/>
        <v>42370</v>
      </c>
      <c r="O7785" s="5" t="str">
        <f>IFERROR(__xludf.DUMMYFUNCTION("IF(REGEXMATCH(TRIM(I7785), ""^\d+\s*min""), ""Unclassified"", IF(I7785 = """", ""NR"", I7785))"),"TV-Y7")</f>
        <v>TV-Y7</v>
      </c>
      <c r="R7785" s="5" t="str">
        <f t="shared" si="2"/>
        <v>Power Rangers Turbo</v>
      </c>
      <c r="S7785" s="5" t="str">
        <f>IFERROR(__xludf.DUMMYFUNCTION("""COMPUTED_VALUE"""),"The Strangers: Prey At Night")</f>
        <v>The Strangers: Prey At Night</v>
      </c>
      <c r="V7785" s="5"/>
      <c r="Y7785" s="5" t="str">
        <f>IFERROR(__xludf.DUMMYFUNCTION("REGEXEXTRACT(J7785, ""^\d+"")"),"1")</f>
        <v>1</v>
      </c>
      <c r="Z7785" s="5" t="str">
        <f>IFERROR(__xludf.DUMMYFUNCTION("REGEXEXTRACT(J7785, ""[A-Za-z ]+$"")")," Season")</f>
        <v> Season</v>
      </c>
      <c r="AA7785" s="5" t="str">
        <f>IFERROR(__xludf.DUMMYFUNCTION("IF(REGEXMATCH(Z7785, ""Season""), ""TV Show"", ""Movie"")"),"TV Show")</f>
        <v>TV Show</v>
      </c>
    </row>
    <row r="7786">
      <c r="A7786" s="1" t="s">
        <v>37700</v>
      </c>
      <c r="B7786" s="1" t="s">
        <v>37</v>
      </c>
      <c r="C7786" s="1" t="s">
        <v>37701</v>
      </c>
      <c r="E7786" s="1" t="s">
        <v>37702</v>
      </c>
      <c r="F7786" s="1" t="s">
        <v>37703</v>
      </c>
      <c r="G7786" s="1" t="s">
        <v>31602</v>
      </c>
      <c r="H7786" s="1">
        <v>2002.0</v>
      </c>
      <c r="I7786" s="1" t="s">
        <v>289</v>
      </c>
      <c r="J7786" s="1" t="s">
        <v>51</v>
      </c>
      <c r="K7786" s="1" t="s">
        <v>290</v>
      </c>
      <c r="L7786" s="1" t="s">
        <v>37704</v>
      </c>
      <c r="M7786" s="2" t="s">
        <v>12</v>
      </c>
      <c r="N7786" s="4">
        <f t="shared" si="1"/>
        <v>42370</v>
      </c>
      <c r="O7786" s="5" t="str">
        <f>IFERROR(__xludf.DUMMYFUNCTION("IF(REGEXMATCH(TRIM(I7786), ""^\d+\s*min""), ""Unclassified"", IF(I7786 = """", ""NR"", I7786))"),"TV-Y7")</f>
        <v>TV-Y7</v>
      </c>
      <c r="R7786" s="5" t="str">
        <f t="shared" si="2"/>
        <v>Power Rangers Wild Force</v>
      </c>
      <c r="S7786" s="5" t="str">
        <f>IFERROR(__xludf.DUMMYFUNCTION("""COMPUTED_VALUE"""),"The Stronghold")</f>
        <v>The Stronghold</v>
      </c>
      <c r="V7786" s="5"/>
      <c r="Y7786" s="5" t="str">
        <f>IFERROR(__xludf.DUMMYFUNCTION("REGEXEXTRACT(J7786, ""^\d+"")"),"1")</f>
        <v>1</v>
      </c>
      <c r="Z7786" s="5" t="str">
        <f>IFERROR(__xludf.DUMMYFUNCTION("REGEXEXTRACT(J7786, ""[A-Za-z ]+$"")")," Season")</f>
        <v> Season</v>
      </c>
      <c r="AA7786" s="5" t="str">
        <f>IFERROR(__xludf.DUMMYFUNCTION("IF(REGEXMATCH(Z7786, ""Season""), ""TV Show"", ""Movie"")"),"TV Show")</f>
        <v>TV Show</v>
      </c>
    </row>
    <row r="7787">
      <c r="A7787" s="1" t="s">
        <v>37705</v>
      </c>
      <c r="B7787" s="1" t="s">
        <v>37</v>
      </c>
      <c r="C7787" s="1" t="s">
        <v>37706</v>
      </c>
      <c r="E7787" s="1" t="s">
        <v>37707</v>
      </c>
      <c r="F7787" s="1" t="s">
        <v>16759</v>
      </c>
      <c r="G7787" s="1" t="s">
        <v>31602</v>
      </c>
      <c r="H7787" s="1">
        <v>1996.0</v>
      </c>
      <c r="I7787" s="1" t="s">
        <v>289</v>
      </c>
      <c r="J7787" s="1" t="s">
        <v>51</v>
      </c>
      <c r="K7787" s="1" t="s">
        <v>290</v>
      </c>
      <c r="L7787" s="1" t="s">
        <v>37708</v>
      </c>
      <c r="M7787" s="2" t="s">
        <v>12</v>
      </c>
      <c r="N7787" s="4">
        <f t="shared" si="1"/>
        <v>42370</v>
      </c>
      <c r="O7787" s="5" t="str">
        <f>IFERROR(__xludf.DUMMYFUNCTION("IF(REGEXMATCH(TRIM(I7787), ""^\d+\s*min""), ""Unclassified"", IF(I7787 = """", ""NR"", I7787))"),"TV-Y7")</f>
        <v>TV-Y7</v>
      </c>
      <c r="R7787" s="5" t="str">
        <f t="shared" si="2"/>
        <v>Power Rangers Zeo</v>
      </c>
      <c r="S7787" s="5" t="str">
        <f>IFERROR(__xludf.DUMMYFUNCTION("""COMPUTED_VALUE"""),"The Student")</f>
        <v>The Student</v>
      </c>
      <c r="V7787" s="5"/>
      <c r="Y7787" s="5" t="str">
        <f>IFERROR(__xludf.DUMMYFUNCTION("REGEXEXTRACT(J7787, ""^\d+"")"),"1")</f>
        <v>1</v>
      </c>
      <c r="Z7787" s="5" t="str">
        <f>IFERROR(__xludf.DUMMYFUNCTION("REGEXEXTRACT(J7787, ""[A-Za-z ]+$"")")," Season")</f>
        <v> Season</v>
      </c>
      <c r="AA7787" s="5" t="str">
        <f>IFERROR(__xludf.DUMMYFUNCTION("IF(REGEXMATCH(Z7787, ""Season""), ""TV Show"", ""Movie"")"),"TV Show")</f>
        <v>TV Show</v>
      </c>
    </row>
    <row r="7788">
      <c r="A7788" s="1" t="s">
        <v>37709</v>
      </c>
      <c r="B7788" s="1" t="s">
        <v>37</v>
      </c>
      <c r="C7788" s="1" t="s">
        <v>37710</v>
      </c>
      <c r="E7788" s="1" t="s">
        <v>37711</v>
      </c>
      <c r="F7788" s="1" t="s">
        <v>30</v>
      </c>
      <c r="G7788" s="1" t="s">
        <v>31602</v>
      </c>
      <c r="H7788" s="1">
        <v>2013.0</v>
      </c>
      <c r="I7788" s="1" t="s">
        <v>289</v>
      </c>
      <c r="J7788" s="1" t="s">
        <v>51</v>
      </c>
      <c r="K7788" s="1" t="s">
        <v>290</v>
      </c>
      <c r="L7788" s="1" t="s">
        <v>37712</v>
      </c>
      <c r="M7788" s="2" t="s">
        <v>12</v>
      </c>
      <c r="N7788" s="4">
        <f t="shared" si="1"/>
        <v>42370</v>
      </c>
      <c r="O7788" s="5" t="str">
        <f>IFERROR(__xludf.DUMMYFUNCTION("IF(REGEXMATCH(TRIM(I7788), ""^\d+\s*min""), ""Unclassified"", IF(I7788 = """", ""NR"", I7788))"),"TV-Y7")</f>
        <v>TV-Y7</v>
      </c>
      <c r="R7788" s="5" t="str">
        <f t="shared" si="2"/>
        <v>Power Rangers: Megaforce</v>
      </c>
      <c r="S7788" s="5" t="str">
        <f>IFERROR(__xludf.DUMMYFUNCTION("""COMPUTED_VALUE"""),"The Student Cop")</f>
        <v>The Student Cop</v>
      </c>
      <c r="V7788" s="5"/>
      <c r="Y7788" s="5" t="str">
        <f>IFERROR(__xludf.DUMMYFUNCTION("REGEXEXTRACT(J7788, ""^\d+"")"),"1")</f>
        <v>1</v>
      </c>
      <c r="Z7788" s="5" t="str">
        <f>IFERROR(__xludf.DUMMYFUNCTION("REGEXEXTRACT(J7788, ""[A-Za-z ]+$"")")," Season")</f>
        <v> Season</v>
      </c>
      <c r="AA7788" s="5" t="str">
        <f>IFERROR(__xludf.DUMMYFUNCTION("IF(REGEXMATCH(Z7788, ""Season""), ""TV Show"", ""Movie"")"),"TV Show")</f>
        <v>TV Show</v>
      </c>
    </row>
    <row r="7789">
      <c r="A7789" s="1" t="s">
        <v>37713</v>
      </c>
      <c r="B7789" s="1" t="s">
        <v>27</v>
      </c>
      <c r="C7789" s="1" t="s">
        <v>37714</v>
      </c>
      <c r="E7789" s="1" t="s">
        <v>37715</v>
      </c>
      <c r="F7789" s="1" t="s">
        <v>30</v>
      </c>
      <c r="G7789" s="1" t="s">
        <v>31602</v>
      </c>
      <c r="H7789" s="1">
        <v>2013.0</v>
      </c>
      <c r="I7789" s="1" t="s">
        <v>289</v>
      </c>
      <c r="J7789" s="1" t="s">
        <v>7058</v>
      </c>
      <c r="K7789" s="1" t="s">
        <v>80</v>
      </c>
      <c r="L7789" s="1" t="s">
        <v>37716</v>
      </c>
      <c r="M7789" s="2" t="s">
        <v>12</v>
      </c>
      <c r="N7789" s="4">
        <f t="shared" si="1"/>
        <v>42370</v>
      </c>
      <c r="O7789" s="5" t="str">
        <f>IFERROR(__xludf.DUMMYFUNCTION("IF(REGEXMATCH(TRIM(I7789), ""^\d+\s*min""), ""Unclassified"", IF(I7789 = """", ""NR"", I7789))"),"TV-Y7")</f>
        <v>TV-Y7</v>
      </c>
      <c r="R7789" s="5" t="str">
        <f t="shared" si="2"/>
        <v>Power Rangers: Megaforce: Raising Spirits</v>
      </c>
      <c r="S7789" s="5" t="str">
        <f>IFERROR(__xludf.DUMMYFUNCTION("""COMPUTED_VALUE"""),"The Suit")</f>
        <v>The Suit</v>
      </c>
      <c r="V7789" s="5"/>
      <c r="Y7789" s="5" t="str">
        <f>IFERROR(__xludf.DUMMYFUNCTION("REGEXEXTRACT(J7789, ""^\d+"")"),"24")</f>
        <v>24</v>
      </c>
      <c r="Z7789" s="5" t="str">
        <f>IFERROR(__xludf.DUMMYFUNCTION("REGEXEXTRACT(J7789, ""[A-Za-z ]+$"")")," min")</f>
        <v> min</v>
      </c>
      <c r="AA7789" s="5" t="str">
        <f>IFERROR(__xludf.DUMMYFUNCTION("IF(REGEXMATCH(Z7789, ""Season""), ""TV Show"", ""Movie"")"),"Movie")</f>
        <v>Movie</v>
      </c>
    </row>
    <row r="7790">
      <c r="A7790" s="1" t="s">
        <v>37717</v>
      </c>
      <c r="B7790" s="1" t="s">
        <v>27</v>
      </c>
      <c r="C7790" s="1" t="s">
        <v>37718</v>
      </c>
      <c r="D7790" s="1" t="s">
        <v>9975</v>
      </c>
      <c r="E7790" s="1" t="s">
        <v>37711</v>
      </c>
      <c r="F7790" s="1" t="s">
        <v>30</v>
      </c>
      <c r="G7790" s="1" t="s">
        <v>31602</v>
      </c>
      <c r="H7790" s="1">
        <v>2013.0</v>
      </c>
      <c r="I7790" s="1" t="s">
        <v>289</v>
      </c>
      <c r="J7790" s="1" t="s">
        <v>7058</v>
      </c>
      <c r="K7790" s="1" t="s">
        <v>80</v>
      </c>
      <c r="L7790" s="1" t="s">
        <v>37719</v>
      </c>
      <c r="M7790" s="2" t="s">
        <v>12</v>
      </c>
      <c r="N7790" s="4">
        <f t="shared" si="1"/>
        <v>42370</v>
      </c>
      <c r="O7790" s="5" t="str">
        <f>IFERROR(__xludf.DUMMYFUNCTION("IF(REGEXMATCH(TRIM(I7790), ""^\d+\s*min""), ""Unclassified"", IF(I7790 = """", ""NR"", I7790))"),"TV-Y7")</f>
        <v>TV-Y7</v>
      </c>
      <c r="R7790" s="5" t="str">
        <f t="shared" si="2"/>
        <v>Power Rangers: Megaforce: The Robo Knight Before Christmas</v>
      </c>
      <c r="S7790" s="5" t="str">
        <f>IFERROR(__xludf.DUMMYFUNCTION("""COMPUTED_VALUE"""),"The Sum Of All Fears")</f>
        <v>The Sum Of All Fears</v>
      </c>
      <c r="V7790" s="5"/>
      <c r="Y7790" s="5" t="str">
        <f>IFERROR(__xludf.DUMMYFUNCTION("REGEXEXTRACT(J7790, ""^\d+"")"),"24")</f>
        <v>24</v>
      </c>
      <c r="Z7790" s="5" t="str">
        <f>IFERROR(__xludf.DUMMYFUNCTION("REGEXEXTRACT(J7790, ""[A-Za-z ]+$"")")," min")</f>
        <v> min</v>
      </c>
      <c r="AA7790" s="5" t="str">
        <f>IFERROR(__xludf.DUMMYFUNCTION("IF(REGEXMATCH(Z7790, ""Season""), ""TV Show"", ""Movie"")"),"Movie")</f>
        <v>Movie</v>
      </c>
    </row>
    <row r="7791">
      <c r="A7791" s="1" t="s">
        <v>37720</v>
      </c>
      <c r="B7791" s="1" t="s">
        <v>27</v>
      </c>
      <c r="C7791" s="1" t="s">
        <v>37721</v>
      </c>
      <c r="D7791" s="1" t="s">
        <v>2623</v>
      </c>
      <c r="E7791" s="1" t="s">
        <v>37722</v>
      </c>
      <c r="F7791" s="1" t="s">
        <v>37723</v>
      </c>
      <c r="G7791" s="1" t="s">
        <v>26674</v>
      </c>
      <c r="H7791" s="1">
        <v>2013.0</v>
      </c>
      <c r="I7791" s="1" t="s">
        <v>42</v>
      </c>
      <c r="J7791" s="1" t="s">
        <v>256</v>
      </c>
      <c r="K7791" s="1" t="s">
        <v>89</v>
      </c>
      <c r="L7791" s="1" t="s">
        <v>37724</v>
      </c>
      <c r="M7791" s="2" t="s">
        <v>12</v>
      </c>
      <c r="N7791" s="4">
        <f t="shared" si="1"/>
        <v>43070</v>
      </c>
      <c r="O7791" s="5" t="str">
        <f>IFERROR(__xludf.DUMMYFUNCTION("IF(REGEXMATCH(TRIM(I7791), ""^\d+\s*min""), ""Unclassified"", IF(I7791 = """", ""NR"", I7791))"),"TV-MA")</f>
        <v>TV-MA</v>
      </c>
      <c r="R7791" s="5" t="str">
        <f t="shared" si="2"/>
        <v>Prague</v>
      </c>
      <c r="S7791" s="5" t="str">
        <f>IFERROR(__xludf.DUMMYFUNCTION("""COMPUTED_VALUE"""),"The Sunshine Makers")</f>
        <v>The Sunshine Makers</v>
      </c>
      <c r="V7791" s="5"/>
      <c r="Y7791" s="5" t="str">
        <f>IFERROR(__xludf.DUMMYFUNCTION("REGEXEXTRACT(J7791, ""^\d+"")"),"106")</f>
        <v>106</v>
      </c>
      <c r="Z7791" s="5" t="str">
        <f>IFERROR(__xludf.DUMMYFUNCTION("REGEXEXTRACT(J7791, ""[A-Za-z ]+$"")")," min")</f>
        <v> min</v>
      </c>
      <c r="AA7791" s="5" t="str">
        <f>IFERROR(__xludf.DUMMYFUNCTION("IF(REGEXMATCH(Z7791, ""Season""), ""TV Show"", ""Movie"")"),"Movie")</f>
        <v>Movie</v>
      </c>
    </row>
    <row r="7792">
      <c r="A7792" s="1" t="s">
        <v>37725</v>
      </c>
      <c r="B7792" s="1" t="s">
        <v>27</v>
      </c>
      <c r="C7792" s="1" t="s">
        <v>37726</v>
      </c>
      <c r="D7792" s="1" t="s">
        <v>7840</v>
      </c>
      <c r="F7792" s="1" t="s">
        <v>30</v>
      </c>
      <c r="G7792" s="1" t="s">
        <v>28421</v>
      </c>
      <c r="H7792" s="1">
        <v>1942.0</v>
      </c>
      <c r="I7792" s="1" t="s">
        <v>97</v>
      </c>
      <c r="J7792" s="1" t="s">
        <v>8095</v>
      </c>
      <c r="K7792" s="1" t="s">
        <v>35403</v>
      </c>
      <c r="L7792" s="1" t="s">
        <v>37727</v>
      </c>
      <c r="M7792" s="2" t="s">
        <v>12</v>
      </c>
      <c r="N7792" s="4">
        <f t="shared" si="1"/>
        <v>42825</v>
      </c>
      <c r="O7792" s="5" t="str">
        <f>IFERROR(__xludf.DUMMYFUNCTION("IF(REGEXMATCH(TRIM(I7792), ""^\d+\s*min""), ""Unclassified"", IF(I7792 = """", ""NR"", I7792))"),"TV-14")</f>
        <v>TV-14</v>
      </c>
      <c r="R7792" s="5" t="str">
        <f t="shared" si="2"/>
        <v>Prelude To War</v>
      </c>
      <c r="S7792" s="5" t="str">
        <f>IFERROR(__xludf.DUMMYFUNCTION("""COMPUTED_VALUE"""),"The Super")</f>
        <v>The Super</v>
      </c>
      <c r="V7792" s="5"/>
      <c r="Y7792" s="5" t="str">
        <f>IFERROR(__xludf.DUMMYFUNCTION("REGEXEXTRACT(J7792, ""^\d+"")"),"52")</f>
        <v>52</v>
      </c>
      <c r="Z7792" s="5" t="str">
        <f>IFERROR(__xludf.DUMMYFUNCTION("REGEXEXTRACT(J7792, ""[A-Za-z ]+$"")")," min")</f>
        <v> min</v>
      </c>
      <c r="AA7792" s="5" t="str">
        <f>IFERROR(__xludf.DUMMYFUNCTION("IF(REGEXMATCH(Z7792, ""Season""), ""TV Show"", ""Movie"")"),"Movie")</f>
        <v>Movie</v>
      </c>
    </row>
    <row r="7793">
      <c r="A7793" s="1" t="s">
        <v>37728</v>
      </c>
      <c r="B7793" s="1" t="s">
        <v>27</v>
      </c>
      <c r="C7793" s="1" t="s">
        <v>37729</v>
      </c>
      <c r="D7793" s="1" t="s">
        <v>11564</v>
      </c>
      <c r="E7793" s="1" t="s">
        <v>37730</v>
      </c>
      <c r="F7793" s="1" t="s">
        <v>63</v>
      </c>
      <c r="G7793" s="1" t="s">
        <v>26235</v>
      </c>
      <c r="H7793" s="1">
        <v>2013.0</v>
      </c>
      <c r="I7793" s="1" t="s">
        <v>97</v>
      </c>
      <c r="J7793" s="1" t="s">
        <v>127</v>
      </c>
      <c r="K7793" s="1" t="s">
        <v>3183</v>
      </c>
      <c r="L7793" s="1" t="s">
        <v>37731</v>
      </c>
      <c r="M7793" s="2" t="s">
        <v>12</v>
      </c>
      <c r="N7793" s="4">
        <f t="shared" si="1"/>
        <v>43146</v>
      </c>
      <c r="O7793" s="5" t="str">
        <f>IFERROR(__xludf.DUMMYFUNCTION("IF(REGEXMATCH(TRIM(I7793), ""^\d+\s*min""), ""Unclassified"", IF(I7793 = """", ""NR"", I7793))"),"TV-14")</f>
        <v>TV-14</v>
      </c>
      <c r="R7793" s="5" t="str">
        <f t="shared" si="2"/>
        <v>Premachi Goshta</v>
      </c>
      <c r="S7793" s="5" t="str">
        <f>IFERROR(__xludf.DUMMYFUNCTION("""COMPUTED_VALUE"""),"The Super Mario Bros. Super Show!")</f>
        <v>The Super Mario Bros. Super Show!</v>
      </c>
      <c r="V7793" s="5"/>
      <c r="Y7793" s="5" t="str">
        <f>IFERROR(__xludf.DUMMYFUNCTION("REGEXEXTRACT(J7793, ""^\d+"")"),"127")</f>
        <v>127</v>
      </c>
      <c r="Z7793" s="5" t="str">
        <f>IFERROR(__xludf.DUMMYFUNCTION("REGEXEXTRACT(J7793, ""[A-Za-z ]+$"")")," min")</f>
        <v> min</v>
      </c>
      <c r="AA7793" s="5" t="str">
        <f>IFERROR(__xludf.DUMMYFUNCTION("IF(REGEXMATCH(Z7793, ""Season""), ""TV Show"", ""Movie"")"),"Movie")</f>
        <v>Movie</v>
      </c>
    </row>
    <row r="7794">
      <c r="A7794" s="1" t="s">
        <v>37732</v>
      </c>
      <c r="B7794" s="1" t="s">
        <v>27</v>
      </c>
      <c r="C7794" s="1" t="s">
        <v>37733</v>
      </c>
      <c r="D7794" s="1" t="s">
        <v>4649</v>
      </c>
      <c r="E7794" s="1" t="s">
        <v>4645</v>
      </c>
      <c r="F7794" s="1" t="s">
        <v>30</v>
      </c>
      <c r="G7794" s="1" t="s">
        <v>29703</v>
      </c>
      <c r="H7794" s="1">
        <v>2015.0</v>
      </c>
      <c r="I7794" s="1" t="s">
        <v>30231</v>
      </c>
      <c r="J7794" s="1" t="s">
        <v>1144</v>
      </c>
      <c r="K7794" s="1" t="s">
        <v>34</v>
      </c>
      <c r="L7794" s="1" t="s">
        <v>37734</v>
      </c>
      <c r="M7794" s="2" t="s">
        <v>12</v>
      </c>
      <c r="N7794" s="4">
        <f t="shared" si="1"/>
        <v>42475</v>
      </c>
      <c r="O7794" s="5" t="str">
        <f>IFERROR(__xludf.DUMMYFUNCTION("IF(REGEXMATCH(TRIM(I7794), ""^\d+\s*min""), ""Unclassified"", IF(I7794 = """", ""NR"", I7794))"),"NR")</f>
        <v>NR</v>
      </c>
      <c r="R7794" s="5" t="str">
        <f t="shared" si="2"/>
        <v>Prescription Thugs</v>
      </c>
      <c r="S7794" s="5" t="str">
        <f>IFERROR(__xludf.DUMMYFUNCTION("""COMPUTED_VALUE"""),"The Super Parental Guardians")</f>
        <v>The Super Parental Guardians</v>
      </c>
      <c r="V7794" s="5"/>
      <c r="Y7794" s="5" t="str">
        <f>IFERROR(__xludf.DUMMYFUNCTION("REGEXEXTRACT(J7794, ""^\d+"")"),"86")</f>
        <v>86</v>
      </c>
      <c r="Z7794" s="5" t="str">
        <f>IFERROR(__xludf.DUMMYFUNCTION("REGEXEXTRACT(J7794, ""[A-Za-z ]+$"")")," min")</f>
        <v> min</v>
      </c>
      <c r="AA7794" s="5" t="str">
        <f>IFERROR(__xludf.DUMMYFUNCTION("IF(REGEXMATCH(Z7794, ""Season""), ""TV Show"", ""Movie"")"),"Movie")</f>
        <v>Movie</v>
      </c>
    </row>
    <row r="7795">
      <c r="A7795" s="1" t="s">
        <v>37735</v>
      </c>
      <c r="B7795" s="1" t="s">
        <v>27</v>
      </c>
      <c r="C7795" s="1" t="s">
        <v>37736</v>
      </c>
      <c r="D7795" s="1" t="s">
        <v>8721</v>
      </c>
      <c r="E7795" s="1" t="s">
        <v>37737</v>
      </c>
      <c r="F7795" s="1" t="s">
        <v>30</v>
      </c>
      <c r="G7795" s="1" t="s">
        <v>17643</v>
      </c>
      <c r="H7795" s="1">
        <v>1996.0</v>
      </c>
      <c r="I7795" s="1" t="s">
        <v>378</v>
      </c>
      <c r="J7795" s="1" t="s">
        <v>2859</v>
      </c>
      <c r="K7795" s="1" t="s">
        <v>394</v>
      </c>
      <c r="L7795" s="1" t="s">
        <v>37738</v>
      </c>
      <c r="M7795" s="2" t="s">
        <v>12</v>
      </c>
      <c r="N7795" s="4">
        <f t="shared" si="1"/>
        <v>43800</v>
      </c>
      <c r="O7795" s="5" t="str">
        <f>IFERROR(__xludf.DUMMYFUNCTION("IF(REGEXMATCH(TRIM(I7795), ""^\d+\s*min""), ""Unclassified"", IF(I7795 = """", ""NR"", I7795))"),"R")</f>
        <v>R</v>
      </c>
      <c r="R7795" s="5" t="str">
        <f t="shared" si="2"/>
        <v>Primal Fear</v>
      </c>
      <c r="S7795" s="5" t="str">
        <f>IFERROR(__xludf.DUMMYFUNCTION("""COMPUTED_VALUE"""),"The Surgeon'S Cut")</f>
        <v>The Surgeon'S Cut</v>
      </c>
      <c r="V7795" s="5"/>
      <c r="Y7795" s="5" t="str">
        <f>IFERROR(__xludf.DUMMYFUNCTION("REGEXEXTRACT(J7795, ""^\d+"")"),"131")</f>
        <v>131</v>
      </c>
      <c r="Z7795" s="5" t="str">
        <f>IFERROR(__xludf.DUMMYFUNCTION("REGEXEXTRACT(J7795, ""[A-Za-z ]+$"")")," min")</f>
        <v> min</v>
      </c>
      <c r="AA7795" s="5" t="str">
        <f>IFERROR(__xludf.DUMMYFUNCTION("IF(REGEXMATCH(Z7795, ""Season""), ""TV Show"", ""Movie"")"),"Movie")</f>
        <v>Movie</v>
      </c>
    </row>
    <row r="7796">
      <c r="A7796" s="1" t="s">
        <v>37739</v>
      </c>
      <c r="B7796" s="1" t="s">
        <v>27</v>
      </c>
      <c r="C7796" s="1" t="s">
        <v>37740</v>
      </c>
      <c r="D7796" s="1" t="s">
        <v>23686</v>
      </c>
      <c r="E7796" s="1" t="s">
        <v>37741</v>
      </c>
      <c r="F7796" s="1" t="s">
        <v>1119</v>
      </c>
      <c r="G7796" s="1" t="s">
        <v>24683</v>
      </c>
      <c r="H7796" s="1">
        <v>1984.0</v>
      </c>
      <c r="I7796" s="1" t="s">
        <v>97</v>
      </c>
      <c r="J7796" s="1" t="s">
        <v>454</v>
      </c>
      <c r="K7796" s="1" t="s">
        <v>215</v>
      </c>
      <c r="L7796" s="1" t="s">
        <v>37742</v>
      </c>
      <c r="M7796" s="2" t="s">
        <v>12</v>
      </c>
      <c r="N7796" s="4">
        <f t="shared" si="1"/>
        <v>43343</v>
      </c>
      <c r="O7796" s="5" t="str">
        <f>IFERROR(__xludf.DUMMYFUNCTION("IF(REGEXMATCH(TRIM(I7796), ""^\d+\s*min""), ""Unclassified"", IF(I7796 = """", ""NR"", I7796))"),"TV-14")</f>
        <v>TV-14</v>
      </c>
      <c r="R7796" s="5" t="str">
        <f t="shared" si="2"/>
        <v>Prince Charming</v>
      </c>
      <c r="S7796" s="5" t="str">
        <f>IFERROR(__xludf.DUMMYFUNCTION("""COMPUTED_VALUE"""),"The Surrounding Game")</f>
        <v>The Surrounding Game</v>
      </c>
      <c r="V7796" s="5"/>
      <c r="Y7796" s="5" t="str">
        <f>IFERROR(__xludf.DUMMYFUNCTION("REGEXEXTRACT(J7796, ""^\d+"")"),"93")</f>
        <v>93</v>
      </c>
      <c r="Z7796" s="5" t="str">
        <f>IFERROR(__xludf.DUMMYFUNCTION("REGEXEXTRACT(J7796, ""[A-Za-z ]+$"")")," min")</f>
        <v> min</v>
      </c>
      <c r="AA7796" s="5" t="str">
        <f>IFERROR(__xludf.DUMMYFUNCTION("IF(REGEXMATCH(Z7796, ""Season""), ""TV Show"", ""Movie"")"),"Movie")</f>
        <v>Movie</v>
      </c>
    </row>
    <row r="7797">
      <c r="A7797" s="1" t="s">
        <v>37743</v>
      </c>
      <c r="B7797" s="1" t="s">
        <v>37</v>
      </c>
      <c r="C7797" s="1" t="s">
        <v>37744</v>
      </c>
      <c r="D7797" s="1" t="s">
        <v>3363</v>
      </c>
      <c r="G7797" s="1" t="s">
        <v>10605</v>
      </c>
      <c r="H7797" s="1">
        <v>2017.0</v>
      </c>
      <c r="I7797" s="1" t="s">
        <v>206</v>
      </c>
      <c r="J7797" s="1" t="s">
        <v>51</v>
      </c>
      <c r="K7797" s="1" t="s">
        <v>314</v>
      </c>
      <c r="L7797" s="1" t="s">
        <v>37745</v>
      </c>
      <c r="M7797" s="2" t="s">
        <v>12</v>
      </c>
      <c r="N7797" s="4">
        <f t="shared" si="1"/>
        <v>44122</v>
      </c>
      <c r="O7797" s="5" t="str">
        <f>IFERROR(__xludf.DUMMYFUNCTION("IF(REGEXMATCH(TRIM(I7797), ""^\d+\s*min""), ""Unclassified"", IF(I7797 = """", ""NR"", I7797))"),"TV-Y")</f>
        <v>TV-Y</v>
      </c>
      <c r="R7797" s="5" t="str">
        <f t="shared" si="2"/>
        <v>Prince Jai Aur Dumdaar Viru</v>
      </c>
      <c r="S7797" s="5" t="str">
        <f>IFERROR(__xludf.DUMMYFUNCTION("""COMPUTED_VALUE"""),"The Swarm")</f>
        <v>The Swarm</v>
      </c>
      <c r="V7797" s="5"/>
      <c r="Y7797" s="5" t="str">
        <f>IFERROR(__xludf.DUMMYFUNCTION("REGEXEXTRACT(J7797, ""^\d+"")"),"1")</f>
        <v>1</v>
      </c>
      <c r="Z7797" s="5" t="str">
        <f>IFERROR(__xludf.DUMMYFUNCTION("REGEXEXTRACT(J7797, ""[A-Za-z ]+$"")")," Season")</f>
        <v> Season</v>
      </c>
      <c r="AA7797" s="5" t="str">
        <f>IFERROR(__xludf.DUMMYFUNCTION("IF(REGEXMATCH(Z7797, ""Season""), ""TV Show"", ""Movie"")"),"TV Show")</f>
        <v>TV Show</v>
      </c>
    </row>
    <row r="7798">
      <c r="A7798" s="1" t="s">
        <v>37746</v>
      </c>
      <c r="B7798" s="1" t="s">
        <v>27</v>
      </c>
      <c r="C7798" s="1" t="s">
        <v>37747</v>
      </c>
      <c r="D7798" s="1" t="s">
        <v>21559</v>
      </c>
      <c r="E7798" s="1" t="s">
        <v>37748</v>
      </c>
      <c r="F7798" s="1" t="s">
        <v>30</v>
      </c>
      <c r="G7798" s="1" t="s">
        <v>26274</v>
      </c>
      <c r="H7798" s="1">
        <v>2017.0</v>
      </c>
      <c r="I7798" s="1" t="s">
        <v>42</v>
      </c>
      <c r="J7798" s="1" t="s">
        <v>247</v>
      </c>
      <c r="K7798" s="1" t="s">
        <v>4730</v>
      </c>
      <c r="L7798" s="1" t="s">
        <v>37749</v>
      </c>
      <c r="M7798" s="2" t="s">
        <v>12</v>
      </c>
      <c r="N7798" s="4">
        <f t="shared" si="1"/>
        <v>43136</v>
      </c>
      <c r="O7798" s="5" t="str">
        <f>IFERROR(__xludf.DUMMYFUNCTION("IF(REGEXMATCH(TRIM(I7798), ""^\d+\s*min""), ""Unclassified"", IF(I7798 = """", ""NR"", I7798))"),"TV-MA")</f>
        <v>TV-MA</v>
      </c>
      <c r="R7798" s="5" t="str">
        <f t="shared" si="2"/>
        <v>Princess Cyd</v>
      </c>
      <c r="S7798" s="5" t="str">
        <f>IFERROR(__xludf.DUMMYFUNCTION("""COMPUTED_VALUE"""),"The Sweetest Thing")</f>
        <v>The Sweetest Thing</v>
      </c>
      <c r="V7798" s="5"/>
      <c r="Y7798" s="5" t="str">
        <f>IFERROR(__xludf.DUMMYFUNCTION("REGEXEXTRACT(J7798, ""^\d+"")"),"97")</f>
        <v>97</v>
      </c>
      <c r="Z7798" s="5" t="str">
        <f>IFERROR(__xludf.DUMMYFUNCTION("REGEXEXTRACT(J7798, ""[A-Za-z ]+$"")")," min")</f>
        <v> min</v>
      </c>
      <c r="AA7798" s="5" t="str">
        <f>IFERROR(__xludf.DUMMYFUNCTION("IF(REGEXMATCH(Z7798, ""Season""), ""TV Show"", ""Movie"")"),"Movie")</f>
        <v>Movie</v>
      </c>
    </row>
    <row r="7799">
      <c r="A7799" s="1" t="s">
        <v>37750</v>
      </c>
      <c r="B7799" s="1" t="s">
        <v>27</v>
      </c>
      <c r="C7799" s="1" t="s">
        <v>37751</v>
      </c>
      <c r="D7799" s="1" t="s">
        <v>4972</v>
      </c>
      <c r="E7799" s="1" t="s">
        <v>37752</v>
      </c>
      <c r="F7799" s="1" t="s">
        <v>30</v>
      </c>
      <c r="G7799" s="1" t="s">
        <v>19753</v>
      </c>
      <c r="H7799" s="1">
        <v>2018.0</v>
      </c>
      <c r="I7799" s="1" t="s">
        <v>42</v>
      </c>
      <c r="J7799" s="1" t="s">
        <v>1608</v>
      </c>
      <c r="K7799" s="1" t="s">
        <v>813</v>
      </c>
      <c r="L7799" s="1" t="s">
        <v>37753</v>
      </c>
      <c r="M7799" s="2" t="s">
        <v>12</v>
      </c>
      <c r="N7799" s="4">
        <f t="shared" si="1"/>
        <v>43683</v>
      </c>
      <c r="O7799" s="5" t="str">
        <f>IFERROR(__xludf.DUMMYFUNCTION("IF(REGEXMATCH(TRIM(I7799), ""^\d+\s*min""), ""Unclassified"", IF(I7799 = """", ""NR"", I7799))"),"TV-MA")</f>
        <v>TV-MA</v>
      </c>
      <c r="R7799" s="5" t="str">
        <f t="shared" si="2"/>
        <v>Professor Mack</v>
      </c>
      <c r="S7799" s="5" t="str">
        <f>IFERROR(__xludf.DUMMYFUNCTION("""COMPUTED_VALUE"""),"The Take")</f>
        <v>The Take</v>
      </c>
      <c r="V7799" s="5"/>
      <c r="Y7799" s="5" t="str">
        <f>IFERROR(__xludf.DUMMYFUNCTION("REGEXEXTRACT(J7799, ""^\d+"")"),"84")</f>
        <v>84</v>
      </c>
      <c r="Z7799" s="5" t="str">
        <f>IFERROR(__xludf.DUMMYFUNCTION("REGEXEXTRACT(J7799, ""[A-Za-z ]+$"")")," min")</f>
        <v> min</v>
      </c>
      <c r="AA7799" s="5" t="str">
        <f>IFERROR(__xludf.DUMMYFUNCTION("IF(REGEXMATCH(Z7799, ""Season""), ""TV Show"", ""Movie"")"),"Movie")</f>
        <v>Movie</v>
      </c>
    </row>
    <row r="7800">
      <c r="A7800" s="1" t="s">
        <v>37754</v>
      </c>
      <c r="B7800" s="1" t="s">
        <v>37</v>
      </c>
      <c r="C7800" s="1" t="s">
        <v>37755</v>
      </c>
      <c r="E7800" s="1" t="s">
        <v>35230</v>
      </c>
      <c r="F7800" s="1" t="s">
        <v>30</v>
      </c>
      <c r="G7800" s="1" t="s">
        <v>28597</v>
      </c>
      <c r="H7800" s="1">
        <v>2011.0</v>
      </c>
      <c r="I7800" s="1" t="s">
        <v>136</v>
      </c>
      <c r="J7800" s="1" t="s">
        <v>51</v>
      </c>
      <c r="K7800" s="1" t="s">
        <v>2043</v>
      </c>
      <c r="L7800" s="1" t="s">
        <v>37756</v>
      </c>
      <c r="M7800" s="2" t="s">
        <v>12</v>
      </c>
      <c r="N7800" s="4">
        <f t="shared" si="1"/>
        <v>42788</v>
      </c>
      <c r="O7800" s="5" t="str">
        <f>IFERROR(__xludf.DUMMYFUNCTION("IF(REGEXMATCH(TRIM(I7800), ""^\d+\s*min""), ""Unclassified"", IF(I7800 = """", ""NR"", I7800))"),"TV-PG")</f>
        <v>TV-PG</v>
      </c>
      <c r="R7800" s="5" t="str">
        <f t="shared" si="2"/>
        <v>Prohibition: A Film By Ken Burns And Lynn Novick</v>
      </c>
      <c r="S7800" s="5" t="str">
        <f>IFERROR(__xludf.DUMMYFUNCTION("""COMPUTED_VALUE"""),"The Taking Of Pelham 123")</f>
        <v>The Taking Of Pelham 123</v>
      </c>
      <c r="V7800" s="5"/>
      <c r="Y7800" s="5" t="str">
        <f>IFERROR(__xludf.DUMMYFUNCTION("REGEXEXTRACT(J7800, ""^\d+"")"),"1")</f>
        <v>1</v>
      </c>
      <c r="Z7800" s="5" t="str">
        <f>IFERROR(__xludf.DUMMYFUNCTION("REGEXEXTRACT(J7800, ""[A-Za-z ]+$"")")," Season")</f>
        <v> Season</v>
      </c>
      <c r="AA7800" s="5" t="str">
        <f>IFERROR(__xludf.DUMMYFUNCTION("IF(REGEXMATCH(Z7800, ""Season""), ""TV Show"", ""Movie"")"),"TV Show")</f>
        <v>TV Show</v>
      </c>
    </row>
    <row r="7801">
      <c r="A7801" s="1" t="s">
        <v>37757</v>
      </c>
      <c r="B7801" s="1" t="s">
        <v>27</v>
      </c>
      <c r="C7801" s="1" t="s">
        <v>37758</v>
      </c>
      <c r="D7801" s="1" t="s">
        <v>3010</v>
      </c>
      <c r="E7801" s="1" t="s">
        <v>37759</v>
      </c>
      <c r="F7801" s="1" t="s">
        <v>1106</v>
      </c>
      <c r="G7801" s="1" t="s">
        <v>20561</v>
      </c>
      <c r="H7801" s="1">
        <v>2019.0</v>
      </c>
      <c r="I7801" s="1" t="s">
        <v>42</v>
      </c>
      <c r="J7801" s="1" t="s">
        <v>490</v>
      </c>
      <c r="K7801" s="1" t="s">
        <v>34</v>
      </c>
      <c r="L7801" s="1" t="s">
        <v>37760</v>
      </c>
      <c r="M7801" s="2" t="s">
        <v>12</v>
      </c>
      <c r="N7801" s="4">
        <f t="shared" si="1"/>
        <v>43617</v>
      </c>
      <c r="O7801" s="5" t="str">
        <f>IFERROR(__xludf.DUMMYFUNCTION("IF(REGEXMATCH(TRIM(I7801), ""^\d+\s*min""), ""Unclassified"", IF(I7801 = """", ""NR"", I7801))"),"TV-MA")</f>
        <v>TV-MA</v>
      </c>
      <c r="R7801" s="5" t="str">
        <f t="shared" si="2"/>
        <v>Prosecuting Evil: The Extraordinary World Of Ben Ferencz</v>
      </c>
      <c r="S7801" s="5" t="str">
        <f>IFERROR(__xludf.DUMMYFUNCTION("""COMPUTED_VALUE"""),"The Talented Mr. Ripley")</f>
        <v>The Talented Mr. Ripley</v>
      </c>
      <c r="V7801" s="5"/>
      <c r="Y7801" s="5" t="str">
        <f>IFERROR(__xludf.DUMMYFUNCTION("REGEXEXTRACT(J7801, ""^\d+"")"),"83")</f>
        <v>83</v>
      </c>
      <c r="Z7801" s="5" t="str">
        <f>IFERROR(__xludf.DUMMYFUNCTION("REGEXEXTRACT(J7801, ""[A-Za-z ]+$"")")," min")</f>
        <v> min</v>
      </c>
      <c r="AA7801" s="5" t="str">
        <f>IFERROR(__xludf.DUMMYFUNCTION("IF(REGEXMATCH(Z7801, ""Season""), ""TV Show"", ""Movie"")"),"Movie")</f>
        <v>Movie</v>
      </c>
    </row>
    <row r="7802">
      <c r="A7802" s="1" t="s">
        <v>37761</v>
      </c>
      <c r="B7802" s="1" t="s">
        <v>37</v>
      </c>
      <c r="C7802" s="1" t="s">
        <v>37762</v>
      </c>
      <c r="E7802" s="1" t="s">
        <v>37763</v>
      </c>
      <c r="F7802" s="1" t="s">
        <v>1815</v>
      </c>
      <c r="G7802" s="1" t="s">
        <v>25748</v>
      </c>
      <c r="H7802" s="1">
        <v>2016.0</v>
      </c>
      <c r="I7802" s="1" t="s">
        <v>42</v>
      </c>
      <c r="J7802" s="1" t="s">
        <v>43</v>
      </c>
      <c r="K7802" s="1" t="s">
        <v>1627</v>
      </c>
      <c r="L7802" s="1" t="s">
        <v>37764</v>
      </c>
      <c r="M7802" s="2" t="s">
        <v>12</v>
      </c>
      <c r="N7802" s="4">
        <f t="shared" si="1"/>
        <v>43205</v>
      </c>
      <c r="O7802" s="5" t="str">
        <f>IFERROR(__xludf.DUMMYFUNCTION("IF(REGEXMATCH(TRIM(I7802), ""^\d+\s*min""), ""Unclassified"", IF(I7802 = """", ""NR"", I7802))"),"TV-MA")</f>
        <v>TV-MA</v>
      </c>
      <c r="R7802" s="5" t="str">
        <f t="shared" si="2"/>
        <v>Psiconautas</v>
      </c>
      <c r="S7802" s="5" t="str">
        <f>IFERROR(__xludf.DUMMYFUNCTION("""COMPUTED_VALUE"""),"The Tambour Of Retribution")</f>
        <v>The Tambour Of Retribution</v>
      </c>
      <c r="V7802" s="5"/>
      <c r="Y7802" s="5" t="str">
        <f>IFERROR(__xludf.DUMMYFUNCTION("REGEXEXTRACT(J7802, ""^\d+"")"),"2")</f>
        <v>2</v>
      </c>
      <c r="Z7802" s="5" t="str">
        <f>IFERROR(__xludf.DUMMYFUNCTION("REGEXEXTRACT(J7802, ""[A-Za-z ]+$"")")," Seasons")</f>
        <v> Seasons</v>
      </c>
      <c r="AA7802" s="5" t="str">
        <f>IFERROR(__xludf.DUMMYFUNCTION("IF(REGEXMATCH(Z7802, ""Season""), ""TV Show"", ""Movie"")"),"TV Show")</f>
        <v>TV Show</v>
      </c>
    </row>
    <row r="7803">
      <c r="A7803" s="1" t="s">
        <v>37765</v>
      </c>
      <c r="B7803" s="1" t="s">
        <v>27</v>
      </c>
      <c r="C7803" s="1" t="s">
        <v>37766</v>
      </c>
      <c r="D7803" s="1" t="s">
        <v>10390</v>
      </c>
      <c r="E7803" s="1" t="s">
        <v>37767</v>
      </c>
      <c r="F7803" s="1" t="s">
        <v>63</v>
      </c>
      <c r="G7803" s="1" t="s">
        <v>26089</v>
      </c>
      <c r="H7803" s="1">
        <v>2000.0</v>
      </c>
      <c r="I7803" s="1" t="s">
        <v>97</v>
      </c>
      <c r="J7803" s="1" t="s">
        <v>1390</v>
      </c>
      <c r="K7803" s="1" t="s">
        <v>306</v>
      </c>
      <c r="L7803" s="1" t="s">
        <v>37768</v>
      </c>
      <c r="M7803" s="2" t="s">
        <v>12</v>
      </c>
      <c r="N7803" s="4">
        <f t="shared" si="1"/>
        <v>43160</v>
      </c>
      <c r="O7803" s="5" t="str">
        <f>IFERROR(__xludf.DUMMYFUNCTION("IF(REGEXMATCH(TRIM(I7803), ""^\d+\s*min""), ""Unclassified"", IF(I7803 = """", ""NR"", I7803))"),"TV-14")</f>
        <v>TV-14</v>
      </c>
      <c r="R7803" s="5" t="str">
        <f t="shared" si="2"/>
        <v>Pukar</v>
      </c>
      <c r="S7803" s="5" t="str">
        <f>IFERROR(__xludf.DUMMYFUNCTION("""COMPUTED_VALUE"""),"The Tenth Man")</f>
        <v>The Tenth Man</v>
      </c>
      <c r="V7803" s="5"/>
      <c r="Y7803" s="5" t="str">
        <f>IFERROR(__xludf.DUMMYFUNCTION("REGEXEXTRACT(J7803, ""^\d+"")"),"165")</f>
        <v>165</v>
      </c>
      <c r="Z7803" s="5" t="str">
        <f>IFERROR(__xludf.DUMMYFUNCTION("REGEXEXTRACT(J7803, ""[A-Za-z ]+$"")")," min")</f>
        <v> min</v>
      </c>
      <c r="AA7803" s="5" t="str">
        <f>IFERROR(__xludf.DUMMYFUNCTION("IF(REGEXMATCH(Z7803, ""Season""), ""TV Show"", ""Movie"")"),"Movie")</f>
        <v>Movie</v>
      </c>
    </row>
    <row r="7804">
      <c r="A7804" s="1" t="s">
        <v>37769</v>
      </c>
      <c r="B7804" s="1" t="s">
        <v>27</v>
      </c>
      <c r="C7804" s="1" t="s">
        <v>37770</v>
      </c>
      <c r="D7804" s="1" t="s">
        <v>2537</v>
      </c>
      <c r="E7804" s="1" t="s">
        <v>37771</v>
      </c>
      <c r="F7804" s="1" t="s">
        <v>30</v>
      </c>
      <c r="G7804" s="1" t="s">
        <v>22635</v>
      </c>
      <c r="H7804" s="1">
        <v>1994.0</v>
      </c>
      <c r="I7804" s="1" t="s">
        <v>378</v>
      </c>
      <c r="J7804" s="1" t="s">
        <v>965</v>
      </c>
      <c r="K7804" s="1" t="s">
        <v>30481</v>
      </c>
      <c r="L7804" s="1" t="s">
        <v>37772</v>
      </c>
      <c r="M7804" s="2" t="s">
        <v>12</v>
      </c>
      <c r="N7804" s="4">
        <f t="shared" si="1"/>
        <v>43466</v>
      </c>
      <c r="O7804" s="5" t="str">
        <f>IFERROR(__xludf.DUMMYFUNCTION("IF(REGEXMATCH(TRIM(I7804), ""^\d+\s*min""), ""Unclassified"", IF(I7804 = """", ""NR"", I7804))"),"R")</f>
        <v>R</v>
      </c>
      <c r="R7804" s="5" t="str">
        <f t="shared" si="2"/>
        <v>Pulp Fiction</v>
      </c>
      <c r="S7804" s="5" t="str">
        <f>IFERROR(__xludf.DUMMYFUNCTION("""COMPUTED_VALUE"""),"The Terminal")</f>
        <v>The Terminal</v>
      </c>
      <c r="V7804" s="5"/>
      <c r="Y7804" s="5" t="str">
        <f>IFERROR(__xludf.DUMMYFUNCTION("REGEXEXTRACT(J7804, ""^\d+"")"),"154")</f>
        <v>154</v>
      </c>
      <c r="Z7804" s="5" t="str">
        <f>IFERROR(__xludf.DUMMYFUNCTION("REGEXEXTRACT(J7804, ""[A-Za-z ]+$"")")," min")</f>
        <v> min</v>
      </c>
      <c r="AA7804" s="5" t="str">
        <f>IFERROR(__xludf.DUMMYFUNCTION("IF(REGEXMATCH(Z7804, ""Season""), ""TV Show"", ""Movie"")"),"Movie")</f>
        <v>Movie</v>
      </c>
    </row>
    <row r="7805">
      <c r="A7805" s="1" t="s">
        <v>37773</v>
      </c>
      <c r="B7805" s="1" t="s">
        <v>27</v>
      </c>
      <c r="C7805" s="1" t="s">
        <v>37774</v>
      </c>
      <c r="D7805" s="1" t="s">
        <v>2409</v>
      </c>
      <c r="E7805" s="1" t="s">
        <v>37775</v>
      </c>
      <c r="F7805" s="1" t="s">
        <v>37776</v>
      </c>
      <c r="G7805" s="1" t="s">
        <v>26883</v>
      </c>
      <c r="H7805" s="1">
        <v>2014.0</v>
      </c>
      <c r="I7805" s="1" t="s">
        <v>97</v>
      </c>
      <c r="J7805" s="1" t="s">
        <v>6611</v>
      </c>
      <c r="K7805" s="1" t="s">
        <v>128</v>
      </c>
      <c r="L7805" s="1" t="s">
        <v>37777</v>
      </c>
      <c r="M7805" s="2" t="s">
        <v>12</v>
      </c>
      <c r="N7805" s="4">
        <f t="shared" si="1"/>
        <v>43040</v>
      </c>
      <c r="O7805" s="5" t="str">
        <f>IFERROR(__xludf.DUMMYFUNCTION("IF(REGEXMATCH(TRIM(I7805), ""^\d+\s*min""), ""Unclassified"", IF(I7805 = """", ""NR"", I7805))"),"TV-14")</f>
        <v>TV-14</v>
      </c>
      <c r="R7805" s="5" t="str">
        <f t="shared" si="2"/>
        <v>Punjab 1984</v>
      </c>
      <c r="S7805" s="5" t="str">
        <f>IFERROR(__xludf.DUMMYFUNCTION("""COMPUTED_VALUE"""),"The Texas Chainsaw Massacre")</f>
        <v>The Texas Chainsaw Massacre</v>
      </c>
      <c r="V7805" s="5"/>
      <c r="Y7805" s="5" t="str">
        <f>IFERROR(__xludf.DUMMYFUNCTION("REGEXEXTRACT(J7805, ""^\d+"")"),"158")</f>
        <v>158</v>
      </c>
      <c r="Z7805" s="5" t="str">
        <f>IFERROR(__xludf.DUMMYFUNCTION("REGEXEXTRACT(J7805, ""[A-Za-z ]+$"")")," min")</f>
        <v> min</v>
      </c>
      <c r="AA7805" s="5" t="str">
        <f>IFERROR(__xludf.DUMMYFUNCTION("IF(REGEXMATCH(Z7805, ""Season""), ""TV Show"", ""Movie"")"),"Movie")</f>
        <v>Movie</v>
      </c>
    </row>
    <row r="7806">
      <c r="A7806" s="1" t="s">
        <v>37778</v>
      </c>
      <c r="B7806" s="1" t="s">
        <v>27</v>
      </c>
      <c r="C7806" s="1" t="s">
        <v>37779</v>
      </c>
      <c r="D7806" s="1" t="s">
        <v>14108</v>
      </c>
      <c r="E7806" s="1" t="s">
        <v>37780</v>
      </c>
      <c r="F7806" s="1" t="s">
        <v>96</v>
      </c>
      <c r="G7806" s="1" t="s">
        <v>26532</v>
      </c>
      <c r="H7806" s="1">
        <v>2012.0</v>
      </c>
      <c r="I7806" s="1" t="s">
        <v>378</v>
      </c>
      <c r="J7806" s="1" t="s">
        <v>1191</v>
      </c>
      <c r="K7806" s="1" t="s">
        <v>380</v>
      </c>
      <c r="L7806" s="1" t="s">
        <v>37781</v>
      </c>
      <c r="M7806" s="2" t="s">
        <v>12</v>
      </c>
      <c r="N7806" s="4">
        <f t="shared" si="1"/>
        <v>43096</v>
      </c>
      <c r="O7806" s="5" t="str">
        <f>IFERROR(__xludf.DUMMYFUNCTION("IF(REGEXMATCH(TRIM(I7806), ""^\d+\s*min""), ""Unclassified"", IF(I7806 = """", ""NR"", I7806))"),"R")</f>
        <v>R</v>
      </c>
      <c r="R7806" s="5" t="str">
        <f t="shared" si="2"/>
        <v>Pusher</v>
      </c>
      <c r="S7806" s="5" t="str">
        <f>IFERROR(__xludf.DUMMYFUNCTION("""COMPUTED_VALUE"""),"The Theory Of Everything")</f>
        <v>The Theory Of Everything</v>
      </c>
      <c r="V7806" s="5"/>
      <c r="Y7806" s="5" t="str">
        <f>IFERROR(__xludf.DUMMYFUNCTION("REGEXEXTRACT(J7806, ""^\d+"")"),"89")</f>
        <v>89</v>
      </c>
      <c r="Z7806" s="5" t="str">
        <f>IFERROR(__xludf.DUMMYFUNCTION("REGEXEXTRACT(J7806, ""[A-Za-z ]+$"")")," min")</f>
        <v> min</v>
      </c>
      <c r="AA7806" s="5" t="str">
        <f>IFERROR(__xludf.DUMMYFUNCTION("IF(REGEXMATCH(Z7806, ""Season""), ""TV Show"", ""Movie"")"),"Movie")</f>
        <v>Movie</v>
      </c>
    </row>
    <row r="7807">
      <c r="A7807" s="1" t="s">
        <v>37782</v>
      </c>
      <c r="B7807" s="1" t="s">
        <v>27</v>
      </c>
      <c r="C7807" s="1" t="s">
        <v>37783</v>
      </c>
      <c r="D7807" s="1" t="s">
        <v>12992</v>
      </c>
      <c r="E7807" s="1" t="s">
        <v>37784</v>
      </c>
      <c r="F7807" s="1" t="s">
        <v>63</v>
      </c>
      <c r="G7807" s="7">
        <v>42856.0</v>
      </c>
      <c r="H7807" s="1">
        <v>2011.0</v>
      </c>
      <c r="I7807" s="1" t="s">
        <v>97</v>
      </c>
      <c r="J7807" s="1" t="s">
        <v>5833</v>
      </c>
      <c r="K7807" s="1" t="s">
        <v>583</v>
      </c>
      <c r="L7807" s="1" t="s">
        <v>37785</v>
      </c>
      <c r="M7807" s="2" t="s">
        <v>12</v>
      </c>
      <c r="N7807" s="4">
        <f t="shared" si="1"/>
        <v>42856</v>
      </c>
      <c r="O7807" s="5" t="str">
        <f>IFERROR(__xludf.DUMMYFUNCTION("IF(REGEXMATCH(TRIM(I7807), ""^\d+\s*min""), ""Unclassified"", IF(I7807 = """", ""NR"", I7807))"),"TV-14")</f>
        <v>TV-14</v>
      </c>
      <c r="R7807" s="5" t="str">
        <f t="shared" si="2"/>
        <v>Pyaar Ka Punchnama</v>
      </c>
      <c r="S7807" s="5" t="str">
        <f>IFERROR(__xludf.DUMMYFUNCTION("""COMPUTED_VALUE"""),"The Thief And The Imbecile")</f>
        <v>The Thief And The Imbecile</v>
      </c>
      <c r="V7807" s="5"/>
      <c r="Y7807" s="5" t="str">
        <f>IFERROR(__xludf.DUMMYFUNCTION("REGEXEXTRACT(J7807, ""^\d+"")"),"149")</f>
        <v>149</v>
      </c>
      <c r="Z7807" s="5" t="str">
        <f>IFERROR(__xludf.DUMMYFUNCTION("REGEXEXTRACT(J7807, ""[A-Za-z ]+$"")")," min")</f>
        <v> min</v>
      </c>
      <c r="AA7807" s="5" t="str">
        <f>IFERROR(__xludf.DUMMYFUNCTION("IF(REGEXMATCH(Z7807, ""Season""), ""TV Show"", ""Movie"")"),"Movie")</f>
        <v>Movie</v>
      </c>
    </row>
    <row r="7808">
      <c r="A7808" s="1" t="s">
        <v>37786</v>
      </c>
      <c r="B7808" s="1" t="s">
        <v>37</v>
      </c>
      <c r="C7808" s="1" t="s">
        <v>37787</v>
      </c>
      <c r="E7808" s="1" t="s">
        <v>37788</v>
      </c>
      <c r="F7808" s="1" t="s">
        <v>63</v>
      </c>
      <c r="G7808" s="1" t="s">
        <v>36674</v>
      </c>
      <c r="H7808" s="1">
        <v>2014.0</v>
      </c>
      <c r="I7808" s="1" t="s">
        <v>97</v>
      </c>
      <c r="J7808" s="1" t="s">
        <v>276</v>
      </c>
      <c r="K7808" s="1" t="s">
        <v>1907</v>
      </c>
      <c r="L7808" s="1" t="s">
        <v>37789</v>
      </c>
      <c r="M7808" s="2" t="s">
        <v>12</v>
      </c>
      <c r="N7808" s="1" t="str">
        <f t="shared" si="1"/>
        <v>#N/A</v>
      </c>
      <c r="O7808" s="5" t="str">
        <f>IFERROR(__xludf.DUMMYFUNCTION("IF(REGEXMATCH(TRIM(I7808), ""^\d+\s*min""), ""Unclassified"", IF(I7808 = """", ""NR"", I7808))"),"TV-14")</f>
        <v>TV-14</v>
      </c>
      <c r="R7808" s="5" t="str">
        <f t="shared" si="2"/>
        <v>Pyaar Tune Kya Kiya</v>
      </c>
      <c r="S7808" s="5" t="str">
        <f>IFERROR(__xludf.DUMMYFUNCTION("""COMPUTED_VALUE"""),"The Third Party")</f>
        <v>The Third Party</v>
      </c>
      <c r="V7808" s="5"/>
      <c r="Y7808" s="5" t="str">
        <f>IFERROR(__xludf.DUMMYFUNCTION("REGEXEXTRACT(J7808, ""^\d+"")"),"3")</f>
        <v>3</v>
      </c>
      <c r="Z7808" s="5" t="str">
        <f>IFERROR(__xludf.DUMMYFUNCTION("REGEXEXTRACT(J7808, ""[A-Za-z ]+$"")")," Seasons")</f>
        <v> Seasons</v>
      </c>
      <c r="AA7808" s="5" t="str">
        <f>IFERROR(__xludf.DUMMYFUNCTION("IF(REGEXMATCH(Z7808, ""Season""), ""TV Show"", ""Movie"")"),"TV Show")</f>
        <v>TV Show</v>
      </c>
    </row>
    <row r="7809">
      <c r="A7809" s="1" t="s">
        <v>37790</v>
      </c>
      <c r="B7809" s="1" t="s">
        <v>27</v>
      </c>
      <c r="C7809" s="1" t="s">
        <v>37791</v>
      </c>
      <c r="D7809" s="1" t="s">
        <v>15854</v>
      </c>
      <c r="F7809" s="1" t="s">
        <v>30</v>
      </c>
      <c r="G7809" s="1" t="s">
        <v>15789</v>
      </c>
      <c r="H7809" s="1">
        <v>2019.0</v>
      </c>
      <c r="I7809" s="1" t="s">
        <v>42</v>
      </c>
      <c r="J7809" s="1" t="s">
        <v>322</v>
      </c>
      <c r="K7809" s="1" t="s">
        <v>645</v>
      </c>
      <c r="L7809" s="1" t="s">
        <v>37792</v>
      </c>
      <c r="M7809" s="2" t="s">
        <v>12</v>
      </c>
      <c r="N7809" s="4">
        <f t="shared" si="1"/>
        <v>43901</v>
      </c>
      <c r="O7809" s="5" t="str">
        <f>IFERROR(__xludf.DUMMYFUNCTION("IF(REGEXMATCH(TRIM(I7809), ""^\d+\s*min""), ""Unclassified"", IF(I7809 = """", ""NR"", I7809))"),"TV-MA")</f>
        <v>TV-MA</v>
      </c>
      <c r="R7809" s="5" t="str">
        <f t="shared" si="2"/>
        <v>Q Ball</v>
      </c>
      <c r="S7809" s="5" t="str">
        <f>IFERROR(__xludf.DUMMYFUNCTION("""COMPUTED_VALUE"""),"The Three Deaths Of Marisela Escobedo")</f>
        <v>The Three Deaths Of Marisela Escobedo</v>
      </c>
      <c r="V7809" s="5"/>
      <c r="Y7809" s="5" t="str">
        <f>IFERROR(__xludf.DUMMYFUNCTION("REGEXEXTRACT(J7809, ""^\d+"")"),"96")</f>
        <v>96</v>
      </c>
      <c r="Z7809" s="5" t="str">
        <f>IFERROR(__xludf.DUMMYFUNCTION("REGEXEXTRACT(J7809, ""[A-Za-z ]+$"")")," min")</f>
        <v> min</v>
      </c>
      <c r="AA7809" s="5" t="str">
        <f>IFERROR(__xludf.DUMMYFUNCTION("IF(REGEXMATCH(Z7809, ""Season""), ""TV Show"", ""Movie"")"),"Movie")</f>
        <v>Movie</v>
      </c>
    </row>
    <row r="7810">
      <c r="A7810" s="1" t="s">
        <v>37793</v>
      </c>
      <c r="B7810" s="1" t="s">
        <v>37</v>
      </c>
      <c r="C7810" s="1" t="s">
        <v>37794</v>
      </c>
      <c r="E7810" s="1" t="s">
        <v>37795</v>
      </c>
      <c r="F7810" s="1" t="s">
        <v>30</v>
      </c>
      <c r="G7810" s="1" t="s">
        <v>29177</v>
      </c>
      <c r="H7810" s="1">
        <v>2015.0</v>
      </c>
      <c r="I7810" s="1" t="s">
        <v>42</v>
      </c>
      <c r="J7810" s="1" t="s">
        <v>51</v>
      </c>
      <c r="K7810" s="1" t="s">
        <v>1822</v>
      </c>
      <c r="L7810" s="1" t="s">
        <v>37796</v>
      </c>
      <c r="M7810" s="2" t="s">
        <v>12</v>
      </c>
      <c r="N7810" s="4">
        <f t="shared" si="1"/>
        <v>42678</v>
      </c>
      <c r="O7810" s="5" t="str">
        <f>IFERROR(__xludf.DUMMYFUNCTION("IF(REGEXMATCH(TRIM(I7810), ""^\d+\s*min""), ""Unclassified"", IF(I7810 = """", ""NR"", I7810))"),"TV-MA")</f>
        <v>TV-MA</v>
      </c>
      <c r="R7810" s="5" t="str">
        <f t="shared" si="2"/>
        <v>Qué Pena Tu Serie</v>
      </c>
      <c r="S7810" s="5" t="str">
        <f>IFERROR(__xludf.DUMMYFUNCTION("""COMPUTED_VALUE"""),"The Tiger Hunter")</f>
        <v>The Tiger Hunter</v>
      </c>
      <c r="V7810" s="5"/>
      <c r="Y7810" s="5" t="str">
        <f>IFERROR(__xludf.DUMMYFUNCTION("REGEXEXTRACT(J7810, ""^\d+"")"),"1")</f>
        <v>1</v>
      </c>
      <c r="Z7810" s="5" t="str">
        <f>IFERROR(__xludf.DUMMYFUNCTION("REGEXEXTRACT(J7810, ""[A-Za-z ]+$"")")," Season")</f>
        <v> Season</v>
      </c>
      <c r="AA7810" s="5" t="str">
        <f>IFERROR(__xludf.DUMMYFUNCTION("IF(REGEXMATCH(Z7810, ""Season""), ""TV Show"", ""Movie"")"),"TV Show")</f>
        <v>TV Show</v>
      </c>
    </row>
    <row r="7811">
      <c r="A7811" s="1" t="s">
        <v>37797</v>
      </c>
      <c r="B7811" s="1" t="s">
        <v>27</v>
      </c>
      <c r="C7811" s="1" t="s">
        <v>37798</v>
      </c>
      <c r="D7811" s="1" t="s">
        <v>14540</v>
      </c>
      <c r="E7811" s="1" t="s">
        <v>37799</v>
      </c>
      <c r="F7811" s="1" t="s">
        <v>686</v>
      </c>
      <c r="G7811" s="1" t="s">
        <v>11922</v>
      </c>
      <c r="H7811" s="1">
        <v>2008.0</v>
      </c>
      <c r="I7811" s="1" t="s">
        <v>32</v>
      </c>
      <c r="J7811" s="1" t="s">
        <v>256</v>
      </c>
      <c r="K7811" s="1" t="s">
        <v>380</v>
      </c>
      <c r="L7811" s="1" t="s">
        <v>37800</v>
      </c>
      <c r="M7811" s="2" t="s">
        <v>12</v>
      </c>
      <c r="N7811" s="4">
        <f t="shared" si="1"/>
        <v>44074</v>
      </c>
      <c r="O7811" s="5" t="str">
        <f>IFERROR(__xludf.DUMMYFUNCTION("IF(REGEXMATCH(TRIM(I7811), ""^\d+\s*min""), ""Unclassified"", IF(I7811 = """", ""NR"", I7811))"),"PG-13")</f>
        <v>PG-13</v>
      </c>
      <c r="R7811" s="5" t="str">
        <f t="shared" si="2"/>
        <v>Quantum Of Solace</v>
      </c>
      <c r="S7811" s="5" t="str">
        <f>IFERROR(__xludf.DUMMYFUNCTION("""COMPUTED_VALUE"""),"The Tigers Of Scotland")</f>
        <v>The Tigers Of Scotland</v>
      </c>
      <c r="V7811" s="5"/>
      <c r="Y7811" s="5" t="str">
        <f>IFERROR(__xludf.DUMMYFUNCTION("REGEXEXTRACT(J7811, ""^\d+"")"),"106")</f>
        <v>106</v>
      </c>
      <c r="Z7811" s="5" t="str">
        <f>IFERROR(__xludf.DUMMYFUNCTION("REGEXEXTRACT(J7811, ""[A-Za-z ]+$"")")," min")</f>
        <v> min</v>
      </c>
      <c r="AA7811" s="5" t="str">
        <f>IFERROR(__xludf.DUMMYFUNCTION("IF(REGEXMATCH(Z7811, ""Season""), ""TV Show"", ""Movie"")"),"Movie")</f>
        <v>Movie</v>
      </c>
    </row>
    <row r="7812">
      <c r="A7812" s="1" t="s">
        <v>37801</v>
      </c>
      <c r="B7812" s="1" t="s">
        <v>37</v>
      </c>
      <c r="C7812" s="1" t="s">
        <v>37802</v>
      </c>
      <c r="E7812" s="1" t="s">
        <v>37803</v>
      </c>
      <c r="F7812" s="1" t="s">
        <v>2059</v>
      </c>
      <c r="G7812" s="1" t="s">
        <v>29574</v>
      </c>
      <c r="H7812" s="1">
        <v>2009.0</v>
      </c>
      <c r="I7812" s="1" t="s">
        <v>42</v>
      </c>
      <c r="J7812" s="1" t="s">
        <v>51</v>
      </c>
      <c r="K7812" s="1" t="s">
        <v>64</v>
      </c>
      <c r="L7812" s="1" t="s">
        <v>37804</v>
      </c>
      <c r="M7812" s="2" t="s">
        <v>12</v>
      </c>
      <c r="N7812" s="4">
        <f t="shared" si="1"/>
        <v>42583</v>
      </c>
      <c r="O7812" s="5" t="str">
        <f>IFERROR(__xludf.DUMMYFUNCTION("IF(REGEXMATCH(TRIM(I7812), ""^\d+\s*min""), ""Unclassified"", IF(I7812 = """", ""NR"", I7812))"),"TV-MA")</f>
        <v>TV-MA</v>
      </c>
      <c r="R7812" s="5" t="str">
        <f t="shared" si="2"/>
        <v>Queen Of No Marriage</v>
      </c>
      <c r="S7812" s="5" t="str">
        <f>IFERROR(__xludf.DUMMYFUNCTION("""COMPUTED_VALUE"""),"The Time Machine")</f>
        <v>The Time Machine</v>
      </c>
      <c r="V7812" s="5"/>
      <c r="Y7812" s="5" t="str">
        <f>IFERROR(__xludf.DUMMYFUNCTION("REGEXEXTRACT(J7812, ""^\d+"")"),"1")</f>
        <v>1</v>
      </c>
      <c r="Z7812" s="5" t="str">
        <f>IFERROR(__xludf.DUMMYFUNCTION("REGEXEXTRACT(J7812, ""[A-Za-z ]+$"")")," Season")</f>
        <v> Season</v>
      </c>
      <c r="AA7812" s="5" t="str">
        <f>IFERROR(__xludf.DUMMYFUNCTION("IF(REGEXMATCH(Z7812, ""Season""), ""TV Show"", ""Movie"")"),"TV Show")</f>
        <v>TV Show</v>
      </c>
    </row>
    <row r="7813">
      <c r="A7813" s="1" t="s">
        <v>37805</v>
      </c>
      <c r="B7813" s="1" t="s">
        <v>27</v>
      </c>
      <c r="C7813" s="1" t="s">
        <v>37806</v>
      </c>
      <c r="D7813" s="1" t="s">
        <v>23542</v>
      </c>
      <c r="E7813" s="1" t="s">
        <v>37807</v>
      </c>
      <c r="F7813" s="1" t="s">
        <v>37808</v>
      </c>
      <c r="G7813" s="1" t="s">
        <v>37809</v>
      </c>
      <c r="H7813" s="1">
        <v>2015.0</v>
      </c>
      <c r="I7813" s="1" t="s">
        <v>32</v>
      </c>
      <c r="J7813" s="1" t="s">
        <v>757</v>
      </c>
      <c r="K7813" s="1" t="s">
        <v>805</v>
      </c>
      <c r="L7813" s="1" t="s">
        <v>37810</v>
      </c>
      <c r="M7813" s="2" t="s">
        <v>12</v>
      </c>
      <c r="N7813" s="4">
        <f t="shared" si="1"/>
        <v>43561</v>
      </c>
      <c r="O7813" s="5" t="str">
        <f>IFERROR(__xludf.DUMMYFUNCTION("IF(REGEXMATCH(TRIM(I7813), ""^\d+\s*min""), ""Unclassified"", IF(I7813 = """", ""NR"", I7813))"),"PG-13")</f>
        <v>PG-13</v>
      </c>
      <c r="R7813" s="5" t="str">
        <f t="shared" si="2"/>
        <v>Queen Of The Desert</v>
      </c>
      <c r="S7813" s="5" t="str">
        <f>IFERROR(__xludf.DUMMYFUNCTION("""COMPUTED_VALUE"""),"The Time Traveler'S Wife")</f>
        <v>The Time Traveler'S Wife</v>
      </c>
      <c r="V7813" s="5"/>
      <c r="Y7813" s="5" t="str">
        <f>IFERROR(__xludf.DUMMYFUNCTION("REGEXEXTRACT(J7813, ""^\d+"")"),"128")</f>
        <v>128</v>
      </c>
      <c r="Z7813" s="5" t="str">
        <f>IFERROR(__xludf.DUMMYFUNCTION("REGEXEXTRACT(J7813, ""[A-Za-z ]+$"")")," min")</f>
        <v> min</v>
      </c>
      <c r="AA7813" s="5" t="str">
        <f>IFERROR(__xludf.DUMMYFUNCTION("IF(REGEXMATCH(Z7813, ""Season""), ""TV Show"", ""Movie"")"),"Movie")</f>
        <v>Movie</v>
      </c>
    </row>
    <row r="7814">
      <c r="A7814" s="1" t="s">
        <v>37811</v>
      </c>
      <c r="B7814" s="1" t="s">
        <v>37</v>
      </c>
      <c r="C7814" s="1" t="s">
        <v>37812</v>
      </c>
      <c r="G7814" s="7">
        <v>43221.0</v>
      </c>
      <c r="H7814" s="1">
        <v>2017.0</v>
      </c>
      <c r="I7814" s="1" t="s">
        <v>42</v>
      </c>
      <c r="J7814" s="1" t="s">
        <v>51</v>
      </c>
      <c r="K7814" s="1" t="s">
        <v>15002</v>
      </c>
      <c r="L7814" s="1" t="s">
        <v>37813</v>
      </c>
      <c r="M7814" s="2" t="s">
        <v>12</v>
      </c>
      <c r="N7814" s="4">
        <f t="shared" si="1"/>
        <v>43221</v>
      </c>
      <c r="O7814" s="5" t="str">
        <f>IFERROR(__xludf.DUMMYFUNCTION("IF(REGEXMATCH(TRIM(I7814), ""^\d+\s*min""), ""Unclassified"", IF(I7814 = """", ""NR"", I7814))"),"TV-MA")</f>
        <v>TV-MA</v>
      </c>
      <c r="R7814" s="5" t="str">
        <f t="shared" si="2"/>
        <v>Queens Of Comedy</v>
      </c>
      <c r="S7814" s="5" t="str">
        <f>IFERROR(__xludf.DUMMYFUNCTION("""COMPUTED_VALUE"""),"The Titan")</f>
        <v>The Titan</v>
      </c>
      <c r="V7814" s="5"/>
      <c r="Y7814" s="5" t="str">
        <f>IFERROR(__xludf.DUMMYFUNCTION("REGEXEXTRACT(J7814, ""^\d+"")"),"1")</f>
        <v>1</v>
      </c>
      <c r="Z7814" s="5" t="str">
        <f>IFERROR(__xludf.DUMMYFUNCTION("REGEXEXTRACT(J7814, ""[A-Za-z ]+$"")")," Season")</f>
        <v> Season</v>
      </c>
      <c r="AA7814" s="5" t="str">
        <f>IFERROR(__xludf.DUMMYFUNCTION("IF(REGEXMATCH(Z7814, ""Season""), ""TV Show"", ""Movie"")"),"TV Show")</f>
        <v>TV Show</v>
      </c>
    </row>
    <row r="7815">
      <c r="A7815" s="1" t="s">
        <v>37814</v>
      </c>
      <c r="B7815" s="1" t="s">
        <v>37</v>
      </c>
      <c r="C7815" s="1" t="s">
        <v>37815</v>
      </c>
      <c r="E7815" s="1" t="s">
        <v>37816</v>
      </c>
      <c r="G7815" s="1" t="s">
        <v>23837</v>
      </c>
      <c r="H7815" s="1">
        <v>2018.0</v>
      </c>
      <c r="I7815" s="1" t="s">
        <v>97</v>
      </c>
      <c r="J7815" s="1" t="s">
        <v>51</v>
      </c>
      <c r="K7815" s="1" t="s">
        <v>2512</v>
      </c>
      <c r="L7815" s="1" t="s">
        <v>37817</v>
      </c>
      <c r="M7815" s="2" t="s">
        <v>12</v>
      </c>
      <c r="N7815" s="4">
        <f t="shared" si="1"/>
        <v>43398</v>
      </c>
      <c r="O7815" s="5" t="str">
        <f>IFERROR(__xludf.DUMMYFUNCTION("IF(REGEXMATCH(TRIM(I7815), ""^\d+\s*min""), ""Unclassified"", IF(I7815 = """", ""NR"", I7815))"),"TV-14")</f>
        <v>TV-14</v>
      </c>
      <c r="R7815" s="5" t="str">
        <f t="shared" si="2"/>
        <v>Queens Vs. Kings</v>
      </c>
      <c r="S7815" s="5" t="str">
        <f>IFERROR(__xludf.DUMMYFUNCTION("""COMPUTED_VALUE"""),"The Tour")</f>
        <v>The Tour</v>
      </c>
      <c r="V7815" s="5"/>
      <c r="Y7815" s="5" t="str">
        <f>IFERROR(__xludf.DUMMYFUNCTION("REGEXEXTRACT(J7815, ""^\d+"")"),"1")</f>
        <v>1</v>
      </c>
      <c r="Z7815" s="5" t="str">
        <f>IFERROR(__xludf.DUMMYFUNCTION("REGEXEXTRACT(J7815, ""[A-Za-z ]+$"")")," Season")</f>
        <v> Season</v>
      </c>
      <c r="AA7815" s="5" t="str">
        <f>IFERROR(__xludf.DUMMYFUNCTION("IF(REGEXMATCH(Z7815, ""Season""), ""TV Show"", ""Movie"")"),"TV Show")</f>
        <v>TV Show</v>
      </c>
    </row>
    <row r="7816">
      <c r="A7816" s="1" t="s">
        <v>37818</v>
      </c>
      <c r="B7816" s="1" t="s">
        <v>27</v>
      </c>
      <c r="C7816" s="1" t="s">
        <v>37819</v>
      </c>
      <c r="D7816" s="1" t="s">
        <v>19129</v>
      </c>
      <c r="E7816" s="1" t="s">
        <v>37820</v>
      </c>
      <c r="F7816" s="1" t="s">
        <v>30</v>
      </c>
      <c r="G7816" s="1" t="s">
        <v>24964</v>
      </c>
      <c r="H7816" s="1">
        <v>2008.0</v>
      </c>
      <c r="I7816" s="1" t="s">
        <v>78</v>
      </c>
      <c r="J7816" s="1" t="s">
        <v>357</v>
      </c>
      <c r="K7816" s="1" t="s">
        <v>137</v>
      </c>
      <c r="L7816" s="1" t="s">
        <v>37821</v>
      </c>
      <c r="M7816" s="2" t="s">
        <v>12</v>
      </c>
      <c r="N7816" s="4">
        <f t="shared" si="1"/>
        <v>43313</v>
      </c>
      <c r="O7816" s="5" t="str">
        <f>IFERROR(__xludf.DUMMYFUNCTION("IF(REGEXMATCH(TRIM(I7816), ""^\d+\s*min""), ""Unclassified"", IF(I7816 = """", ""NR"", I7816))"),"PG")</f>
        <v>PG</v>
      </c>
      <c r="R7816" s="5" t="str">
        <f t="shared" si="2"/>
        <v>R.L. Stine'S Mostly Ghostly</v>
      </c>
      <c r="S7816" s="5" t="str">
        <f>IFERROR(__xludf.DUMMYFUNCTION("""COMPUTED_VALUE"""),"The Tourist")</f>
        <v>The Tourist</v>
      </c>
      <c r="V7816" s="5"/>
      <c r="Y7816" s="5" t="str">
        <f>IFERROR(__xludf.DUMMYFUNCTION("REGEXEXTRACT(J7816, ""^\d+"")"),"98")</f>
        <v>98</v>
      </c>
      <c r="Z7816" s="5" t="str">
        <f>IFERROR(__xludf.DUMMYFUNCTION("REGEXEXTRACT(J7816, ""[A-Za-z ]+$"")")," min")</f>
        <v> min</v>
      </c>
      <c r="AA7816" s="5" t="str">
        <f>IFERROR(__xludf.DUMMYFUNCTION("IF(REGEXMATCH(Z7816, ""Season""), ""TV Show"", ""Movie"")"),"Movie")</f>
        <v>Movie</v>
      </c>
    </row>
    <row r="7817">
      <c r="A7817" s="1" t="s">
        <v>37822</v>
      </c>
      <c r="B7817" s="1" t="s">
        <v>37</v>
      </c>
      <c r="C7817" s="1" t="s">
        <v>37823</v>
      </c>
      <c r="E7817" s="1" t="s">
        <v>37824</v>
      </c>
      <c r="G7817" s="1" t="s">
        <v>27988</v>
      </c>
      <c r="H7817" s="1">
        <v>2012.0</v>
      </c>
      <c r="I7817" s="1" t="s">
        <v>97</v>
      </c>
      <c r="J7817" s="1" t="s">
        <v>51</v>
      </c>
      <c r="K7817" s="1" t="s">
        <v>1907</v>
      </c>
      <c r="L7817" s="1" t="s">
        <v>37825</v>
      </c>
      <c r="M7817" s="2" t="s">
        <v>12</v>
      </c>
      <c r="N7817" s="4">
        <f t="shared" si="1"/>
        <v>42887</v>
      </c>
      <c r="O7817" s="5" t="str">
        <f>IFERROR(__xludf.DUMMYFUNCTION("IF(REGEXMATCH(TRIM(I7817), ""^\d+\s*min""), ""Unclassified"", IF(I7817 = """", ""NR"", I7817))"),"TV-14")</f>
        <v>TV-14</v>
      </c>
      <c r="R7817" s="5" t="str">
        <f t="shared" si="2"/>
        <v>Rab Se Sohna Isshq</v>
      </c>
      <c r="S7817" s="5" t="str">
        <f>IFERROR(__xludf.DUMMYFUNCTION("""COMPUTED_VALUE"""),"The Toys That Made Us")</f>
        <v>The Toys That Made Us</v>
      </c>
      <c r="V7817" s="5"/>
      <c r="Y7817" s="5" t="str">
        <f>IFERROR(__xludf.DUMMYFUNCTION("REGEXEXTRACT(J7817, ""^\d+"")"),"1")</f>
        <v>1</v>
      </c>
      <c r="Z7817" s="5" t="str">
        <f>IFERROR(__xludf.DUMMYFUNCTION("REGEXEXTRACT(J7817, ""[A-Za-z ]+$"")")," Season")</f>
        <v> Season</v>
      </c>
      <c r="AA7817" s="5" t="str">
        <f>IFERROR(__xludf.DUMMYFUNCTION("IF(REGEXMATCH(Z7817, ""Season""), ""TV Show"", ""Movie"")"),"TV Show")</f>
        <v>TV Show</v>
      </c>
    </row>
    <row r="7818">
      <c r="A7818" s="1" t="s">
        <v>37826</v>
      </c>
      <c r="B7818" s="1" t="s">
        <v>27</v>
      </c>
      <c r="C7818" s="1" t="s">
        <v>37827</v>
      </c>
      <c r="D7818" s="1" t="s">
        <v>2014</v>
      </c>
      <c r="E7818" s="1" t="s">
        <v>37828</v>
      </c>
      <c r="F7818" s="1" t="s">
        <v>30</v>
      </c>
      <c r="G7818" s="1" t="s">
        <v>20110</v>
      </c>
      <c r="H7818" s="1">
        <v>2009.0</v>
      </c>
      <c r="I7818" s="1" t="s">
        <v>78</v>
      </c>
      <c r="J7818" s="1" t="s">
        <v>416</v>
      </c>
      <c r="K7818" s="1" t="s">
        <v>80</v>
      </c>
      <c r="L7818" s="1" t="s">
        <v>37829</v>
      </c>
      <c r="M7818" s="2" t="s">
        <v>12</v>
      </c>
      <c r="N7818" s="4">
        <f t="shared" si="1"/>
        <v>43647</v>
      </c>
      <c r="O7818" s="5" t="str">
        <f>IFERROR(__xludf.DUMMYFUNCTION("IF(REGEXMATCH(TRIM(I7818), ""^\d+\s*min""), ""Unclassified"", IF(I7818 = """", ""NR"", I7818))"),"PG")</f>
        <v>PG</v>
      </c>
      <c r="R7818" s="5" t="str">
        <f t="shared" si="2"/>
        <v>Race To Witch Mountain</v>
      </c>
      <c r="S7818" s="5" t="str">
        <f>IFERROR(__xludf.DUMMYFUNCTION("""COMPUTED_VALUE"""),"The Trader (Sovdagari)")</f>
        <v>The Trader (Sovdagari)</v>
      </c>
      <c r="V7818" s="5"/>
      <c r="Y7818" s="5" t="str">
        <f>IFERROR(__xludf.DUMMYFUNCTION("REGEXEXTRACT(J7818, ""^\d+"")"),"99")</f>
        <v>99</v>
      </c>
      <c r="Z7818" s="5" t="str">
        <f>IFERROR(__xludf.DUMMYFUNCTION("REGEXEXTRACT(J7818, ""[A-Za-z ]+$"")")," min")</f>
        <v> min</v>
      </c>
      <c r="AA7818" s="5" t="str">
        <f>IFERROR(__xludf.DUMMYFUNCTION("IF(REGEXMATCH(Z7818, ""Season""), ""TV Show"", ""Movie"")"),"Movie")</f>
        <v>Movie</v>
      </c>
    </row>
    <row r="7819">
      <c r="A7819" s="1" t="s">
        <v>37830</v>
      </c>
      <c r="B7819" s="1" t="s">
        <v>27</v>
      </c>
      <c r="C7819" s="1" t="s">
        <v>37831</v>
      </c>
      <c r="D7819" s="1" t="s">
        <v>11676</v>
      </c>
      <c r="E7819" s="1" t="s">
        <v>37832</v>
      </c>
      <c r="F7819" s="1" t="s">
        <v>30</v>
      </c>
      <c r="G7819" s="1" t="s">
        <v>19361</v>
      </c>
      <c r="H7819" s="1">
        <v>2008.0</v>
      </c>
      <c r="I7819" s="1" t="s">
        <v>378</v>
      </c>
      <c r="J7819" s="1" t="s">
        <v>519</v>
      </c>
      <c r="K7819" s="1" t="s">
        <v>1320</v>
      </c>
      <c r="L7819" s="1" t="s">
        <v>37833</v>
      </c>
      <c r="M7819" s="2" t="s">
        <v>12</v>
      </c>
      <c r="N7819" s="4">
        <f t="shared" si="1"/>
        <v>43709</v>
      </c>
      <c r="O7819" s="5" t="str">
        <f>IFERROR(__xludf.DUMMYFUNCTION("IF(REGEXMATCH(TRIM(I7819), ""^\d+\s*min""), ""Unclassified"", IF(I7819 = """", ""NR"", I7819))"),"R")</f>
        <v>R</v>
      </c>
      <c r="R7819" s="5" t="str">
        <f t="shared" si="2"/>
        <v>Rachel Getting Married</v>
      </c>
      <c r="S7819" s="5" t="str">
        <f>IFERROR(__xludf.DUMMYFUNCTION("""COMPUTED_VALUE"""),"The Traffickers")</f>
        <v>The Traffickers</v>
      </c>
      <c r="V7819" s="5"/>
      <c r="Y7819" s="5" t="str">
        <f>IFERROR(__xludf.DUMMYFUNCTION("REGEXEXTRACT(J7819, ""^\d+"")"),"113")</f>
        <v>113</v>
      </c>
      <c r="Z7819" s="5" t="str">
        <f>IFERROR(__xludf.DUMMYFUNCTION("REGEXEXTRACT(J7819, ""[A-Za-z ]+$"")")," min")</f>
        <v> min</v>
      </c>
      <c r="AA7819" s="5" t="str">
        <f>IFERROR(__xludf.DUMMYFUNCTION("IF(REGEXMATCH(Z7819, ""Season""), ""TV Show"", ""Movie"")"),"Movie")</f>
        <v>Movie</v>
      </c>
    </row>
    <row r="7820">
      <c r="A7820" s="1" t="s">
        <v>37834</v>
      </c>
      <c r="B7820" s="1" t="s">
        <v>27</v>
      </c>
      <c r="C7820" s="1" t="s">
        <v>37835</v>
      </c>
      <c r="D7820" s="1" t="s">
        <v>18859</v>
      </c>
      <c r="F7820" s="1" t="s">
        <v>1992</v>
      </c>
      <c r="G7820" s="1" t="s">
        <v>28341</v>
      </c>
      <c r="H7820" s="1">
        <v>2013.0</v>
      </c>
      <c r="I7820" s="1" t="s">
        <v>42</v>
      </c>
      <c r="J7820" s="1" t="s">
        <v>5650</v>
      </c>
      <c r="K7820" s="1" t="s">
        <v>520</v>
      </c>
      <c r="L7820" s="1" t="s">
        <v>37836</v>
      </c>
      <c r="M7820" s="2" t="s">
        <v>12</v>
      </c>
      <c r="N7820" s="4">
        <f t="shared" si="1"/>
        <v>42837</v>
      </c>
      <c r="O7820" s="5" t="str">
        <f>IFERROR(__xludf.DUMMYFUNCTION("IF(REGEXMATCH(TRIM(I7820), ""^\d+\s*min""), ""Unclassified"", IF(I7820 = """", ""NR"", I7820))"),"TV-MA")</f>
        <v>TV-MA</v>
      </c>
      <c r="R7820" s="5" t="str">
        <f t="shared" si="2"/>
        <v>Radical: The Controversial Saga Of Dada Figueiredo</v>
      </c>
      <c r="S7820" s="5" t="str">
        <f>IFERROR(__xludf.DUMMYFUNCTION("""COMPUTED_VALUE"""),"The Trap")</f>
        <v>The Trap</v>
      </c>
      <c r="V7820" s="5"/>
      <c r="Y7820" s="5" t="str">
        <f>IFERROR(__xludf.DUMMYFUNCTION("REGEXEXTRACT(J7820, ""^\d+"")"),"71")</f>
        <v>71</v>
      </c>
      <c r="Z7820" s="5" t="str">
        <f>IFERROR(__xludf.DUMMYFUNCTION("REGEXEXTRACT(J7820, ""[A-Za-z ]+$"")")," min")</f>
        <v> min</v>
      </c>
      <c r="AA7820" s="5" t="str">
        <f>IFERROR(__xludf.DUMMYFUNCTION("IF(REGEXMATCH(Z7820, ""Season""), ""TV Show"", ""Movie"")"),"Movie")</f>
        <v>Movie</v>
      </c>
    </row>
    <row r="7821">
      <c r="A7821" s="1" t="s">
        <v>37837</v>
      </c>
      <c r="B7821" s="1" t="s">
        <v>27</v>
      </c>
      <c r="C7821" s="1" t="s">
        <v>37838</v>
      </c>
      <c r="D7821" s="1" t="s">
        <v>9042</v>
      </c>
      <c r="E7821" s="1" t="s">
        <v>37839</v>
      </c>
      <c r="F7821" s="1" t="s">
        <v>63</v>
      </c>
      <c r="G7821" s="1" t="s">
        <v>28840</v>
      </c>
      <c r="H7821" s="1">
        <v>2015.0</v>
      </c>
      <c r="I7821" s="1" t="s">
        <v>136</v>
      </c>
      <c r="J7821" s="1" t="s">
        <v>490</v>
      </c>
      <c r="K7821" s="1" t="s">
        <v>128</v>
      </c>
      <c r="L7821" s="1" t="s">
        <v>37840</v>
      </c>
      <c r="M7821" s="2" t="s">
        <v>12</v>
      </c>
      <c r="N7821" s="4">
        <f t="shared" si="1"/>
        <v>42736</v>
      </c>
      <c r="O7821" s="5" t="str">
        <f>IFERROR(__xludf.DUMMYFUNCTION("IF(REGEXMATCH(TRIM(I7821), ""^\d+\s*min""), ""Unclassified"", IF(I7821 = """", ""NR"", I7821))"),"TV-PG")</f>
        <v>TV-PG</v>
      </c>
      <c r="R7821" s="5" t="str">
        <f t="shared" si="2"/>
        <v>Radiopetti</v>
      </c>
      <c r="S7821" s="5" t="str">
        <f>IFERROR(__xludf.DUMMYFUNCTION("""COMPUTED_VALUE"""),"The Tree Of Blood")</f>
        <v>The Tree Of Blood</v>
      </c>
      <c r="V7821" s="5"/>
      <c r="Y7821" s="5" t="str">
        <f>IFERROR(__xludf.DUMMYFUNCTION("REGEXEXTRACT(J7821, ""^\d+"")"),"83")</f>
        <v>83</v>
      </c>
      <c r="Z7821" s="5" t="str">
        <f>IFERROR(__xludf.DUMMYFUNCTION("REGEXEXTRACT(J7821, ""[A-Za-z ]+$"")")," min")</f>
        <v> min</v>
      </c>
      <c r="AA7821" s="5" t="str">
        <f>IFERROR(__xludf.DUMMYFUNCTION("IF(REGEXMATCH(Z7821, ""Season""), ""TV Show"", ""Movie"")"),"Movie")</f>
        <v>Movie</v>
      </c>
    </row>
    <row r="7822">
      <c r="A7822" s="1" t="s">
        <v>37841</v>
      </c>
      <c r="B7822" s="1" t="s">
        <v>27</v>
      </c>
      <c r="C7822" s="1" t="s">
        <v>37842</v>
      </c>
      <c r="D7822" s="1" t="s">
        <v>7998</v>
      </c>
      <c r="E7822" s="1" t="s">
        <v>37843</v>
      </c>
      <c r="F7822" s="1" t="s">
        <v>30</v>
      </c>
      <c r="G7822" s="1" t="s">
        <v>18985</v>
      </c>
      <c r="H7822" s="1">
        <v>1980.0</v>
      </c>
      <c r="I7822" s="1" t="s">
        <v>378</v>
      </c>
      <c r="J7822" s="1" t="s">
        <v>1273</v>
      </c>
      <c r="K7822" s="1" t="s">
        <v>37844</v>
      </c>
      <c r="L7822" s="1" t="s">
        <v>37845</v>
      </c>
      <c r="M7822" s="2" t="s">
        <v>12</v>
      </c>
      <c r="N7822" s="4">
        <f t="shared" si="1"/>
        <v>43739</v>
      </c>
      <c r="O7822" s="5" t="str">
        <f>IFERROR(__xludf.DUMMYFUNCTION("IF(REGEXMATCH(TRIM(I7822), ""^\d+\s*min""), ""Unclassified"", IF(I7822 = """", ""NR"", I7822))"),"R")</f>
        <v>R</v>
      </c>
      <c r="R7822" s="5" t="str">
        <f t="shared" si="2"/>
        <v>Raging Bull</v>
      </c>
      <c r="S7822" s="5" t="str">
        <f>IFERROR(__xludf.DUMMYFUNCTION("""COMPUTED_VALUE"""),"The Trial")</f>
        <v>The Trial</v>
      </c>
      <c r="V7822" s="5"/>
      <c r="Y7822" s="5" t="str">
        <f>IFERROR(__xludf.DUMMYFUNCTION("REGEXEXTRACT(J7822, ""^\d+"")"),"129")</f>
        <v>129</v>
      </c>
      <c r="Z7822" s="5" t="str">
        <f>IFERROR(__xludf.DUMMYFUNCTION("REGEXEXTRACT(J7822, ""[A-Za-z ]+$"")")," min")</f>
        <v> min</v>
      </c>
      <c r="AA7822" s="5" t="str">
        <f>IFERROR(__xludf.DUMMYFUNCTION("IF(REGEXMATCH(Z7822, ""Season""), ""TV Show"", ""Movie"")"),"Movie")</f>
        <v>Movie</v>
      </c>
    </row>
    <row r="7823">
      <c r="A7823" s="1" t="s">
        <v>37846</v>
      </c>
      <c r="B7823" s="1" t="s">
        <v>27</v>
      </c>
      <c r="C7823" s="1" t="s">
        <v>37847</v>
      </c>
      <c r="D7823" s="1" t="s">
        <v>14442</v>
      </c>
      <c r="E7823" s="1" t="s">
        <v>37848</v>
      </c>
      <c r="F7823" s="1" t="s">
        <v>63</v>
      </c>
      <c r="G7823" s="1" t="s">
        <v>26089</v>
      </c>
      <c r="H7823" s="1">
        <v>2015.0</v>
      </c>
      <c r="I7823" s="1" t="s">
        <v>97</v>
      </c>
      <c r="J7823" s="1" t="s">
        <v>743</v>
      </c>
      <c r="K7823" s="1" t="s">
        <v>128</v>
      </c>
      <c r="L7823" s="1" t="s">
        <v>37849</v>
      </c>
      <c r="M7823" s="2" t="s">
        <v>12</v>
      </c>
      <c r="N7823" s="4">
        <f t="shared" si="1"/>
        <v>43160</v>
      </c>
      <c r="O7823" s="5" t="str">
        <f>IFERROR(__xludf.DUMMYFUNCTION("IF(REGEXMATCH(TRIM(I7823), ""^\d+\s*min""), ""Unclassified"", IF(I7823 = """", ""NR"", I7823))"),"TV-14")</f>
        <v>TV-14</v>
      </c>
      <c r="R7823" s="5" t="str">
        <f t="shared" si="2"/>
        <v>Rahasya</v>
      </c>
      <c r="S7823" s="5" t="str">
        <f>IFERROR(__xludf.DUMMYFUNCTION("""COMPUTED_VALUE"""),"The Trial Of The Chicago 7")</f>
        <v>The Trial Of The Chicago 7</v>
      </c>
      <c r="V7823" s="5"/>
      <c r="Y7823" s="5" t="str">
        <f>IFERROR(__xludf.DUMMYFUNCTION("REGEXEXTRACT(J7823, ""^\d+"")"),"117")</f>
        <v>117</v>
      </c>
      <c r="Z7823" s="5" t="str">
        <f>IFERROR(__xludf.DUMMYFUNCTION("REGEXEXTRACT(J7823, ""[A-Za-z ]+$"")")," min")</f>
        <v> min</v>
      </c>
      <c r="AA7823" s="5" t="str">
        <f>IFERROR(__xludf.DUMMYFUNCTION("IF(REGEXMATCH(Z7823, ""Season""), ""TV Show"", ""Movie"")"),"Movie")</f>
        <v>Movie</v>
      </c>
    </row>
    <row r="7824">
      <c r="A7824" s="1" t="s">
        <v>37850</v>
      </c>
      <c r="B7824" s="1" t="s">
        <v>27</v>
      </c>
      <c r="C7824" s="1" t="s">
        <v>37851</v>
      </c>
      <c r="D7824" s="1" t="s">
        <v>10808</v>
      </c>
      <c r="F7824" s="1" t="s">
        <v>30</v>
      </c>
      <c r="G7824" s="1" t="s">
        <v>29458</v>
      </c>
      <c r="H7824" s="1">
        <v>2015.0</v>
      </c>
      <c r="I7824" s="1" t="s">
        <v>30231</v>
      </c>
      <c r="J7824" s="1" t="s">
        <v>454</v>
      </c>
      <c r="K7824" s="1" t="s">
        <v>34</v>
      </c>
      <c r="L7824" s="1" t="s">
        <v>37852</v>
      </c>
      <c r="M7824" s="2" t="s">
        <v>12</v>
      </c>
      <c r="N7824" s="4">
        <f t="shared" si="1"/>
        <v>42629</v>
      </c>
      <c r="O7824" s="5" t="str">
        <f>IFERROR(__xludf.DUMMYFUNCTION("IF(REGEXMATCH(TRIM(I7824), ""^\d+\s*min""), ""Unclassified"", IF(I7824 = """", ""NR"", I7824))"),"NR")</f>
        <v>NR</v>
      </c>
      <c r="R7824" s="5" t="str">
        <f t="shared" si="2"/>
        <v>Raiders!: The Story Of The Greatest Fan Film Ever Made</v>
      </c>
      <c r="S7824" s="5" t="str">
        <f>IFERROR(__xludf.DUMMYFUNCTION("""COMPUTED_VALUE"""),"The Trials Of Gabriel Fernandez")</f>
        <v>The Trials Of Gabriel Fernandez</v>
      </c>
      <c r="V7824" s="5"/>
      <c r="Y7824" s="5" t="str">
        <f>IFERROR(__xludf.DUMMYFUNCTION("REGEXEXTRACT(J7824, ""^\d+"")"),"93")</f>
        <v>93</v>
      </c>
      <c r="Z7824" s="5" t="str">
        <f>IFERROR(__xludf.DUMMYFUNCTION("REGEXEXTRACT(J7824, ""[A-Za-z ]+$"")")," min")</f>
        <v> min</v>
      </c>
      <c r="AA7824" s="5" t="str">
        <f>IFERROR(__xludf.DUMMYFUNCTION("IF(REGEXMATCH(Z7824, ""Season""), ""TV Show"", ""Movie"")"),"Movie")</f>
        <v>Movie</v>
      </c>
    </row>
    <row r="7825">
      <c r="A7825" s="1" t="s">
        <v>37853</v>
      </c>
      <c r="B7825" s="1" t="s">
        <v>27</v>
      </c>
      <c r="C7825" s="1" t="s">
        <v>37854</v>
      </c>
      <c r="D7825" s="1" t="s">
        <v>6538</v>
      </c>
      <c r="E7825" s="1" t="s">
        <v>37855</v>
      </c>
      <c r="F7825" s="1" t="s">
        <v>3892</v>
      </c>
      <c r="G7825" s="1" t="s">
        <v>34377</v>
      </c>
      <c r="H7825" s="1">
        <v>2016.0</v>
      </c>
      <c r="I7825" s="1" t="s">
        <v>97</v>
      </c>
      <c r="J7825" s="1" t="s">
        <v>341</v>
      </c>
      <c r="K7825" s="1" t="s">
        <v>1328</v>
      </c>
      <c r="L7825" s="1" t="s">
        <v>37856</v>
      </c>
      <c r="M7825" s="2" t="s">
        <v>12</v>
      </c>
      <c r="N7825" s="4">
        <f t="shared" si="1"/>
        <v>42966</v>
      </c>
      <c r="O7825" s="5" t="str">
        <f>IFERROR(__xludf.DUMMYFUNCTION("IF(REGEXMATCH(TRIM(I7825), ""^\d+\s*min""), ""Unclassified"", IF(I7825 = """", ""NR"", I7825))"),"TV-14")</f>
        <v>TV-14</v>
      </c>
      <c r="R7825" s="5" t="str">
        <f t="shared" si="2"/>
        <v>Railroad Tigers</v>
      </c>
      <c r="S7825" s="5" t="str">
        <f>IFERROR(__xludf.DUMMYFUNCTION("""COMPUTED_VALUE"""),"The Tribe")</f>
        <v>The Tribe</v>
      </c>
      <c r="V7825" s="5"/>
      <c r="Y7825" s="5" t="str">
        <f>IFERROR(__xludf.DUMMYFUNCTION("REGEXEXTRACT(J7825, ""^\d+"")"),"124")</f>
        <v>124</v>
      </c>
      <c r="Z7825" s="5" t="str">
        <f>IFERROR(__xludf.DUMMYFUNCTION("REGEXEXTRACT(J7825, ""[A-Za-z ]+$"")")," min")</f>
        <v> min</v>
      </c>
      <c r="AA7825" s="5" t="str">
        <f>IFERROR(__xludf.DUMMYFUNCTION("IF(REGEXMATCH(Z7825, ""Season""), ""TV Show"", ""Movie"")"),"Movie")</f>
        <v>Movie</v>
      </c>
    </row>
    <row r="7826">
      <c r="A7826" s="1" t="s">
        <v>37857</v>
      </c>
      <c r="B7826" s="1" t="s">
        <v>27</v>
      </c>
      <c r="C7826" s="1" t="s">
        <v>37858</v>
      </c>
      <c r="D7826" s="1" t="s">
        <v>6447</v>
      </c>
      <c r="E7826" s="1" t="s">
        <v>37859</v>
      </c>
      <c r="F7826" s="1" t="s">
        <v>63</v>
      </c>
      <c r="G7826" s="7">
        <v>42856.0</v>
      </c>
      <c r="H7826" s="1">
        <v>1996.0</v>
      </c>
      <c r="I7826" s="1" t="s">
        <v>97</v>
      </c>
      <c r="J7826" s="1" t="s">
        <v>7419</v>
      </c>
      <c r="K7826" s="1" t="s">
        <v>679</v>
      </c>
      <c r="L7826" s="1" t="s">
        <v>37860</v>
      </c>
      <c r="M7826" s="2" t="s">
        <v>12</v>
      </c>
      <c r="N7826" s="4">
        <f t="shared" si="1"/>
        <v>42856</v>
      </c>
      <c r="O7826" s="5" t="str">
        <f>IFERROR(__xludf.DUMMYFUNCTION("IF(REGEXMATCH(TRIM(I7826), ""^\d+\s*min""), ""Unclassified"", IF(I7826 = """", ""NR"", I7826))"),"TV-14")</f>
        <v>TV-14</v>
      </c>
      <c r="R7826" s="5" t="str">
        <f t="shared" si="2"/>
        <v>Raja Hindustani</v>
      </c>
      <c r="S7826" s="5" t="str">
        <f>IFERROR(__xludf.DUMMYFUNCTION("""COMPUTED_VALUE"""),"The Tribes Of Palos Verdes")</f>
        <v>The Tribes Of Palos Verdes</v>
      </c>
      <c r="V7826" s="5"/>
      <c r="Y7826" s="5" t="str">
        <f>IFERROR(__xludf.DUMMYFUNCTION("REGEXEXTRACT(J7826, ""^\d+"")"),"177")</f>
        <v>177</v>
      </c>
      <c r="Z7826" s="5" t="str">
        <f>IFERROR(__xludf.DUMMYFUNCTION("REGEXEXTRACT(J7826, ""[A-Za-z ]+$"")")," min")</f>
        <v> min</v>
      </c>
      <c r="AA7826" s="5" t="str">
        <f>IFERROR(__xludf.DUMMYFUNCTION("IF(REGEXMATCH(Z7826, ""Season""), ""TV Show"", ""Movie"")"),"Movie")</f>
        <v>Movie</v>
      </c>
    </row>
    <row r="7827">
      <c r="A7827" s="1" t="s">
        <v>37861</v>
      </c>
      <c r="B7827" s="1" t="s">
        <v>27</v>
      </c>
      <c r="C7827" s="1" t="s">
        <v>37862</v>
      </c>
      <c r="D7827" s="1" t="s">
        <v>3074</v>
      </c>
      <c r="E7827" s="1" t="s">
        <v>37863</v>
      </c>
      <c r="F7827" s="1" t="s">
        <v>63</v>
      </c>
      <c r="G7827" s="1" t="s">
        <v>17078</v>
      </c>
      <c r="H7827" s="1">
        <v>1974.0</v>
      </c>
      <c r="I7827" s="1" t="s">
        <v>136</v>
      </c>
      <c r="J7827" s="1" t="s">
        <v>106</v>
      </c>
      <c r="K7827" s="1" t="s">
        <v>836</v>
      </c>
      <c r="L7827" s="1" t="s">
        <v>37864</v>
      </c>
      <c r="M7827" s="2" t="s">
        <v>12</v>
      </c>
      <c r="N7827" s="4">
        <f t="shared" si="1"/>
        <v>43830</v>
      </c>
      <c r="O7827" s="5" t="str">
        <f>IFERROR(__xludf.DUMMYFUNCTION("IF(REGEXMATCH(TRIM(I7827), ""^\d+\s*min""), ""Unclassified"", IF(I7827 = """", ""NR"", I7827))"),"TV-PG")</f>
        <v>TV-PG</v>
      </c>
      <c r="R7827" s="5" t="str">
        <f t="shared" si="2"/>
        <v>Rajnigandha</v>
      </c>
      <c r="S7827" s="5" t="str">
        <f>IFERROR(__xludf.DUMMYFUNCTION("""COMPUTED_VALUE"""),"The Trigger Effect")</f>
        <v>The Trigger Effect</v>
      </c>
      <c r="V7827" s="5"/>
      <c r="Y7827" s="5" t="str">
        <f>IFERROR(__xludf.DUMMYFUNCTION("REGEXEXTRACT(J7827, ""^\d+"")"),"104")</f>
        <v>104</v>
      </c>
      <c r="Z7827" s="5" t="str">
        <f>IFERROR(__xludf.DUMMYFUNCTION("REGEXEXTRACT(J7827, ""[A-Za-z ]+$"")")," min")</f>
        <v> min</v>
      </c>
      <c r="AA7827" s="5" t="str">
        <f>IFERROR(__xludf.DUMMYFUNCTION("IF(REGEXMATCH(Z7827, ""Season""), ""TV Show"", ""Movie"")"),"Movie")</f>
        <v>Movie</v>
      </c>
    </row>
    <row r="7828">
      <c r="A7828" s="1" t="s">
        <v>37865</v>
      </c>
      <c r="B7828" s="1" t="s">
        <v>27</v>
      </c>
      <c r="C7828" s="1" t="s">
        <v>37866</v>
      </c>
      <c r="D7828" s="1" t="s">
        <v>18144</v>
      </c>
      <c r="E7828" s="1" t="s">
        <v>37867</v>
      </c>
      <c r="F7828" s="1" t="s">
        <v>30</v>
      </c>
      <c r="G7828" s="1" t="s">
        <v>37868</v>
      </c>
      <c r="H7828" s="1">
        <v>2018.0</v>
      </c>
      <c r="I7828" s="1" t="s">
        <v>78</v>
      </c>
      <c r="J7828" s="1" t="s">
        <v>519</v>
      </c>
      <c r="K7828" s="1" t="s">
        <v>137</v>
      </c>
      <c r="L7828" s="1" t="s">
        <v>37869</v>
      </c>
      <c r="M7828" s="2" t="s">
        <v>12</v>
      </c>
      <c r="N7828" s="4">
        <f t="shared" si="1"/>
        <v>43627</v>
      </c>
      <c r="O7828" s="5" t="str">
        <f>IFERROR(__xludf.DUMMYFUNCTION("IF(REGEXMATCH(TRIM(I7828), ""^\d+\s*min""), ""Unclassified"", IF(I7828 = """", ""NR"", I7828))"),"PG")</f>
        <v>PG</v>
      </c>
      <c r="R7828" s="5" t="str">
        <f t="shared" si="2"/>
        <v>Ralph Breaks The Internet: Wreck-It Ralph 2</v>
      </c>
      <c r="S7828" s="5" t="str">
        <f>IFERROR(__xludf.DUMMYFUNCTION("""COMPUTED_VALUE"""),"The Trip To Spain")</f>
        <v>The Trip To Spain</v>
      </c>
      <c r="V7828" s="5"/>
      <c r="Y7828" s="5" t="str">
        <f>IFERROR(__xludf.DUMMYFUNCTION("REGEXEXTRACT(J7828, ""^\d+"")"),"113")</f>
        <v>113</v>
      </c>
      <c r="Z7828" s="5" t="str">
        <f>IFERROR(__xludf.DUMMYFUNCTION("REGEXEXTRACT(J7828, ""[A-Za-z ]+$"")")," min")</f>
        <v> min</v>
      </c>
      <c r="AA7828" s="5" t="str">
        <f>IFERROR(__xludf.DUMMYFUNCTION("IF(REGEXMATCH(Z7828, ""Season""), ""TV Show"", ""Movie"")"),"Movie")</f>
        <v>Movie</v>
      </c>
    </row>
    <row r="7829">
      <c r="A7829" s="1" t="s">
        <v>37870</v>
      </c>
      <c r="B7829" s="1" t="s">
        <v>27</v>
      </c>
      <c r="C7829" s="1" t="s">
        <v>37871</v>
      </c>
      <c r="D7829" s="1" t="s">
        <v>18613</v>
      </c>
      <c r="E7829" s="1" t="s">
        <v>37872</v>
      </c>
      <c r="F7829" s="1" t="s">
        <v>63</v>
      </c>
      <c r="G7829" s="1" t="s">
        <v>17078</v>
      </c>
      <c r="H7829" s="1">
        <v>1985.0</v>
      </c>
      <c r="I7829" s="1" t="s">
        <v>97</v>
      </c>
      <c r="J7829" s="1" t="s">
        <v>37873</v>
      </c>
      <c r="K7829" s="1" t="s">
        <v>2012</v>
      </c>
      <c r="L7829" s="1" t="s">
        <v>37874</v>
      </c>
      <c r="M7829" s="2" t="s">
        <v>12</v>
      </c>
      <c r="N7829" s="4">
        <f t="shared" si="1"/>
        <v>43830</v>
      </c>
      <c r="O7829" s="5" t="str">
        <f>IFERROR(__xludf.DUMMYFUNCTION("IF(REGEXMATCH(TRIM(I7829), ""^\d+\s*min""), ""Unclassified"", IF(I7829 = """", ""NR"", I7829))"),"TV-14")</f>
        <v>TV-14</v>
      </c>
      <c r="R7829" s="5" t="str">
        <f t="shared" si="2"/>
        <v>Ram Teri Ganga Maili</v>
      </c>
      <c r="S7829" s="5" t="str">
        <f>IFERROR(__xludf.DUMMYFUNCTION("""COMPUTED_VALUE"""),"The Trust")</f>
        <v>The Trust</v>
      </c>
      <c r="V7829" s="5"/>
      <c r="Y7829" s="5" t="str">
        <f>IFERROR(__xludf.DUMMYFUNCTION("REGEXEXTRACT(J7829, ""^\d+"")"),"178")</f>
        <v>178</v>
      </c>
      <c r="Z7829" s="5" t="str">
        <f>IFERROR(__xludf.DUMMYFUNCTION("REGEXEXTRACT(J7829, ""[A-Za-z ]+$"")")," min")</f>
        <v> min</v>
      </c>
      <c r="AA7829" s="5" t="str">
        <f>IFERROR(__xludf.DUMMYFUNCTION("IF(REGEXMATCH(Z7829, ""Season""), ""TV Show"", ""Movie"")"),"Movie")</f>
        <v>Movie</v>
      </c>
    </row>
    <row r="7830">
      <c r="A7830" s="1" t="s">
        <v>37875</v>
      </c>
      <c r="B7830" s="1" t="s">
        <v>37</v>
      </c>
      <c r="C7830" s="1" t="s">
        <v>37876</v>
      </c>
      <c r="E7830" s="1" t="s">
        <v>37877</v>
      </c>
      <c r="F7830" s="1" t="s">
        <v>63</v>
      </c>
      <c r="G7830" s="1" t="s">
        <v>25842</v>
      </c>
      <c r="H7830" s="1">
        <v>2012.0</v>
      </c>
      <c r="I7830" s="1" t="s">
        <v>97</v>
      </c>
      <c r="J7830" s="1" t="s">
        <v>51</v>
      </c>
      <c r="K7830" s="1" t="s">
        <v>402</v>
      </c>
      <c r="L7830" s="1" t="s">
        <v>37878</v>
      </c>
      <c r="M7830" s="2" t="s">
        <v>12</v>
      </c>
      <c r="N7830" s="4">
        <f t="shared" si="1"/>
        <v>43191</v>
      </c>
      <c r="O7830" s="5" t="str">
        <f>IFERROR(__xludf.DUMMYFUNCTION("IF(REGEXMATCH(TRIM(I7830), ""^\d+\s*min""), ""Unclassified"", IF(I7830 = """", ""NR"", I7830))"),"TV-14")</f>
        <v>TV-14</v>
      </c>
      <c r="R7830" s="5" t="str">
        <f t="shared" si="2"/>
        <v>Ramayan</v>
      </c>
      <c r="S7830" s="5" t="str">
        <f>IFERROR(__xludf.DUMMYFUNCTION("""COMPUTED_VALUE"""),"The Truth")</f>
        <v>The Truth</v>
      </c>
      <c r="V7830" s="5"/>
      <c r="Y7830" s="5" t="str">
        <f>IFERROR(__xludf.DUMMYFUNCTION("REGEXEXTRACT(J7830, ""^\d+"")"),"1")</f>
        <v>1</v>
      </c>
      <c r="Z7830" s="5" t="str">
        <f>IFERROR(__xludf.DUMMYFUNCTION("REGEXEXTRACT(J7830, ""[A-Za-z ]+$"")")," Season")</f>
        <v> Season</v>
      </c>
      <c r="AA7830" s="5" t="str">
        <f>IFERROR(__xludf.DUMMYFUNCTION("IF(REGEXMATCH(Z7830, ""Season""), ""TV Show"", ""Movie"")"),"TV Show")</f>
        <v>TV Show</v>
      </c>
    </row>
    <row r="7831">
      <c r="A7831" s="1" t="s">
        <v>37879</v>
      </c>
      <c r="B7831" s="1" t="s">
        <v>27</v>
      </c>
      <c r="C7831" s="1" t="s">
        <v>37880</v>
      </c>
      <c r="D7831" s="1" t="s">
        <v>7194</v>
      </c>
      <c r="E7831" s="1" t="s">
        <v>37881</v>
      </c>
      <c r="F7831" s="1" t="s">
        <v>37882</v>
      </c>
      <c r="G7831" s="1" t="s">
        <v>19822</v>
      </c>
      <c r="H7831" s="1">
        <v>2018.0</v>
      </c>
      <c r="I7831" s="1" t="s">
        <v>136</v>
      </c>
      <c r="J7831" s="1" t="s">
        <v>33</v>
      </c>
      <c r="K7831" s="1" t="s">
        <v>128</v>
      </c>
      <c r="L7831" s="1" t="s">
        <v>37883</v>
      </c>
      <c r="M7831" s="2" t="s">
        <v>12</v>
      </c>
      <c r="N7831" s="4">
        <f t="shared" si="1"/>
        <v>43677</v>
      </c>
      <c r="O7831" s="5" t="str">
        <f>IFERROR(__xludf.DUMMYFUNCTION("IF(REGEXMATCH(TRIM(I7831), ""^\d+\s*min""), ""Unclassified"", IF(I7831 = """", ""NR"", I7831))"),"TV-PG")</f>
        <v>TV-PG</v>
      </c>
      <c r="R7831" s="5" t="str">
        <f t="shared" si="2"/>
        <v>Ramen Shop</v>
      </c>
      <c r="S7831" s="5" t="str">
        <f>IFERROR(__xludf.DUMMYFUNCTION("""COMPUTED_VALUE"""),"The Truth About Alcohol")</f>
        <v>The Truth About Alcohol</v>
      </c>
      <c r="V7831" s="5"/>
      <c r="Y7831" s="5" t="str">
        <f>IFERROR(__xludf.DUMMYFUNCTION("REGEXEXTRACT(J7831, ""^\d+"")"),"90")</f>
        <v>90</v>
      </c>
      <c r="Z7831" s="5" t="str">
        <f>IFERROR(__xludf.DUMMYFUNCTION("REGEXEXTRACT(J7831, ""[A-Za-z ]+$"")")," min")</f>
        <v> min</v>
      </c>
      <c r="AA7831" s="5" t="str">
        <f>IFERROR(__xludf.DUMMYFUNCTION("IF(REGEXMATCH(Z7831, ""Season""), ""TV Show"", ""Movie"")"),"Movie")</f>
        <v>Movie</v>
      </c>
    </row>
    <row r="7832">
      <c r="A7832" s="1" t="s">
        <v>37884</v>
      </c>
      <c r="B7832" s="1" t="s">
        <v>27</v>
      </c>
      <c r="C7832" s="1" t="s">
        <v>37885</v>
      </c>
      <c r="D7832" s="1" t="s">
        <v>20366</v>
      </c>
      <c r="E7832" s="1" t="s">
        <v>37886</v>
      </c>
      <c r="F7832" s="1" t="s">
        <v>63</v>
      </c>
      <c r="G7832" s="1" t="s">
        <v>17078</v>
      </c>
      <c r="H7832" s="1">
        <v>2005.0</v>
      </c>
      <c r="I7832" s="1" t="s">
        <v>97</v>
      </c>
      <c r="J7832" s="1" t="s">
        <v>965</v>
      </c>
      <c r="K7832" s="1" t="s">
        <v>583</v>
      </c>
      <c r="L7832" s="1" t="s">
        <v>37887</v>
      </c>
      <c r="M7832" s="2" t="s">
        <v>12</v>
      </c>
      <c r="N7832" s="4">
        <f t="shared" si="1"/>
        <v>43830</v>
      </c>
      <c r="O7832" s="5" t="str">
        <f>IFERROR(__xludf.DUMMYFUNCTION("IF(REGEXMATCH(TRIM(I7832), ""^\d+\s*min""), ""Unclassified"", IF(I7832 = """", ""NR"", I7832))"),"TV-14")</f>
        <v>TV-14</v>
      </c>
      <c r="R7832" s="5" t="str">
        <f t="shared" si="2"/>
        <v>Ramji Londonwaley</v>
      </c>
      <c r="S7832" s="5" t="str">
        <f>IFERROR(__xludf.DUMMYFUNCTION("""COMPUTED_VALUE"""),"The Truth Seekers")</f>
        <v>The Truth Seekers</v>
      </c>
      <c r="V7832" s="5"/>
      <c r="Y7832" s="5" t="str">
        <f>IFERROR(__xludf.DUMMYFUNCTION("REGEXEXTRACT(J7832, ""^\d+"")"),"154")</f>
        <v>154</v>
      </c>
      <c r="Z7832" s="5" t="str">
        <f>IFERROR(__xludf.DUMMYFUNCTION("REGEXEXTRACT(J7832, ""[A-Za-z ]+$"")")," min")</f>
        <v> min</v>
      </c>
      <c r="AA7832" s="5" t="str">
        <f>IFERROR(__xludf.DUMMYFUNCTION("IF(REGEXMATCH(Z7832, ""Season""), ""TV Show"", ""Movie"")"),"Movie")</f>
        <v>Movie</v>
      </c>
    </row>
    <row r="7833">
      <c r="A7833" s="1" t="s">
        <v>37888</v>
      </c>
      <c r="B7833" s="1" t="s">
        <v>27</v>
      </c>
      <c r="C7833" s="1" t="s">
        <v>37889</v>
      </c>
      <c r="D7833" s="1" t="s">
        <v>37890</v>
      </c>
      <c r="E7833" s="1" t="s">
        <v>37891</v>
      </c>
      <c r="F7833" s="1" t="s">
        <v>749</v>
      </c>
      <c r="G7833" s="7">
        <v>43611.0</v>
      </c>
      <c r="H7833" s="1">
        <v>2018.0</v>
      </c>
      <c r="I7833" s="1" t="s">
        <v>42</v>
      </c>
      <c r="J7833" s="1" t="s">
        <v>393</v>
      </c>
      <c r="K7833" s="1" t="s">
        <v>1376</v>
      </c>
      <c r="L7833" s="1" t="s">
        <v>37892</v>
      </c>
      <c r="M7833" s="2" t="s">
        <v>12</v>
      </c>
      <c r="N7833" s="4">
        <f t="shared" si="1"/>
        <v>43611</v>
      </c>
      <c r="O7833" s="5" t="str">
        <f>IFERROR(__xludf.DUMMYFUNCTION("IF(REGEXMATCH(TRIM(I7833), ""^\d+\s*min""), ""Unclassified"", IF(I7833 = """", ""NR"", I7833))"),"TV-MA")</f>
        <v>TV-MA</v>
      </c>
      <c r="R7833" s="5" t="str">
        <f t="shared" si="2"/>
        <v>Rampant</v>
      </c>
      <c r="S7833" s="5" t="str">
        <f>IFERROR(__xludf.DUMMYFUNCTION("""COMPUTED_VALUE"""),"The Tudors")</f>
        <v>The Tudors</v>
      </c>
      <c r="V7833" s="5"/>
      <c r="Y7833" s="5" t="str">
        <f>IFERROR(__xludf.DUMMYFUNCTION("REGEXEXTRACT(J7833, ""^\d+"")"),"122")</f>
        <v>122</v>
      </c>
      <c r="Z7833" s="5" t="str">
        <f>IFERROR(__xludf.DUMMYFUNCTION("REGEXEXTRACT(J7833, ""[A-Za-z ]+$"")")," min")</f>
        <v> min</v>
      </c>
      <c r="AA7833" s="5" t="str">
        <f>IFERROR(__xludf.DUMMYFUNCTION("IF(REGEXMATCH(Z7833, ""Season""), ""TV Show"", ""Movie"")"),"Movie")</f>
        <v>Movie</v>
      </c>
    </row>
    <row r="7834">
      <c r="A7834" s="1" t="s">
        <v>37893</v>
      </c>
      <c r="B7834" s="1" t="s">
        <v>27</v>
      </c>
      <c r="C7834" s="1" t="s">
        <v>37894</v>
      </c>
      <c r="D7834" s="1" t="s">
        <v>8493</v>
      </c>
      <c r="E7834" s="1" t="s">
        <v>37895</v>
      </c>
      <c r="F7834" s="1" t="s">
        <v>63</v>
      </c>
      <c r="G7834" s="1" t="s">
        <v>25994</v>
      </c>
      <c r="H7834" s="1">
        <v>2010.0</v>
      </c>
      <c r="I7834" s="1" t="s">
        <v>42</v>
      </c>
      <c r="J7834" s="1" t="s">
        <v>379</v>
      </c>
      <c r="K7834" s="1" t="s">
        <v>1592</v>
      </c>
      <c r="L7834" s="1" t="s">
        <v>37896</v>
      </c>
      <c r="M7834" s="2" t="s">
        <v>12</v>
      </c>
      <c r="N7834" s="4">
        <f t="shared" si="1"/>
        <v>43174</v>
      </c>
      <c r="O7834" s="5" t="str">
        <f>IFERROR(__xludf.DUMMYFUNCTION("IF(REGEXMATCH(TRIM(I7834), ""^\d+\s*min""), ""Unclassified"", IF(I7834 = """", ""NR"", I7834))"),"TV-MA")</f>
        <v>TV-MA</v>
      </c>
      <c r="R7834" s="5" t="str">
        <f t="shared" si="2"/>
        <v>Ranbhool</v>
      </c>
      <c r="S7834" s="5" t="str">
        <f>IFERROR(__xludf.DUMMYFUNCTION("""COMPUTED_VALUE"""),"The Tuxedo")</f>
        <v>The Tuxedo</v>
      </c>
      <c r="V7834" s="5"/>
      <c r="Y7834" s="5" t="str">
        <f>IFERROR(__xludf.DUMMYFUNCTION("REGEXEXTRACT(J7834, ""^\d+"")"),"115")</f>
        <v>115</v>
      </c>
      <c r="Z7834" s="5" t="str">
        <f>IFERROR(__xludf.DUMMYFUNCTION("REGEXEXTRACT(J7834, ""[A-Za-z ]+$"")")," min")</f>
        <v> min</v>
      </c>
      <c r="AA7834" s="5" t="str">
        <f>IFERROR(__xludf.DUMMYFUNCTION("IF(REGEXMATCH(Z7834, ""Season""), ""TV Show"", ""Movie"")"),"Movie")</f>
        <v>Movie</v>
      </c>
    </row>
    <row r="7835">
      <c r="A7835" s="1" t="s">
        <v>37897</v>
      </c>
      <c r="B7835" s="1" t="s">
        <v>27</v>
      </c>
      <c r="C7835" s="1" t="s">
        <v>37898</v>
      </c>
      <c r="D7835" s="1" t="s">
        <v>1579</v>
      </c>
      <c r="E7835" s="1" t="s">
        <v>37899</v>
      </c>
      <c r="F7835" s="1" t="s">
        <v>19350</v>
      </c>
      <c r="G7835" s="1" t="s">
        <v>24964</v>
      </c>
      <c r="H7835" s="1">
        <v>2017.0</v>
      </c>
      <c r="I7835" s="1" t="s">
        <v>97</v>
      </c>
      <c r="J7835" s="1" t="s">
        <v>3458</v>
      </c>
      <c r="K7835" s="1" t="s">
        <v>1429</v>
      </c>
      <c r="L7835" s="1" t="s">
        <v>37900</v>
      </c>
      <c r="M7835" s="2" t="s">
        <v>12</v>
      </c>
      <c r="N7835" s="4">
        <f t="shared" si="1"/>
        <v>43313</v>
      </c>
      <c r="O7835" s="5" t="str">
        <f>IFERROR(__xludf.DUMMYFUNCTION("IF(REGEXMATCH(TRIM(I7835), ""^\d+\s*min""), ""Unclassified"", IF(I7835 = """", ""NR"", I7835))"),"TV-14")</f>
        <v>TV-14</v>
      </c>
      <c r="R7835" s="5" t="str">
        <f t="shared" si="2"/>
        <v>Rangreza</v>
      </c>
      <c r="S7835" s="5" t="str">
        <f>IFERROR(__xludf.DUMMYFUNCTION("""COMPUTED_VALUE"""),"The Twelve")</f>
        <v>The Twelve</v>
      </c>
      <c r="V7835" s="5"/>
      <c r="Y7835" s="5" t="str">
        <f>IFERROR(__xludf.DUMMYFUNCTION("REGEXEXTRACT(J7835, ""^\d+"")"),"126")</f>
        <v>126</v>
      </c>
      <c r="Z7835" s="5" t="str">
        <f>IFERROR(__xludf.DUMMYFUNCTION("REGEXEXTRACT(J7835, ""[A-Za-z ]+$"")")," min")</f>
        <v> min</v>
      </c>
      <c r="AA7835" s="5" t="str">
        <f>IFERROR(__xludf.DUMMYFUNCTION("IF(REGEXMATCH(Z7835, ""Season""), ""TV Show"", ""Movie"")"),"Movie")</f>
        <v>Movie</v>
      </c>
    </row>
    <row r="7836">
      <c r="A7836" s="1" t="s">
        <v>37901</v>
      </c>
      <c r="B7836" s="1" t="s">
        <v>27</v>
      </c>
      <c r="C7836" s="1" t="s">
        <v>37902</v>
      </c>
      <c r="D7836" s="1" t="s">
        <v>16322</v>
      </c>
      <c r="F7836" s="1" t="s">
        <v>30</v>
      </c>
      <c r="G7836" s="1" t="s">
        <v>28901</v>
      </c>
      <c r="H7836" s="1">
        <v>2016.0</v>
      </c>
      <c r="I7836" s="1" t="s">
        <v>30231</v>
      </c>
      <c r="J7836" s="1" t="s">
        <v>428</v>
      </c>
      <c r="K7836" s="1" t="s">
        <v>34</v>
      </c>
      <c r="L7836" s="1" t="s">
        <v>37903</v>
      </c>
      <c r="M7836" s="2" t="s">
        <v>12</v>
      </c>
      <c r="N7836" s="4">
        <f t="shared" si="1"/>
        <v>42720</v>
      </c>
      <c r="O7836" s="5" t="str">
        <f>IFERROR(__xludf.DUMMYFUNCTION("IF(REGEXMATCH(TRIM(I7836), ""^\d+\s*min""), ""Unclassified"", IF(I7836 = """", ""NR"", I7836))"),"NR")</f>
        <v>NR</v>
      </c>
      <c r="R7836" s="5" t="str">
        <f t="shared" si="2"/>
        <v>Rats</v>
      </c>
      <c r="S7836" s="5" t="str">
        <f>IFERROR(__xludf.DUMMYFUNCTION("""COMPUTED_VALUE"""),"The Twilight Saga: Breaking Dawn: Part 1")</f>
        <v>The Twilight Saga: Breaking Dawn: Part 1</v>
      </c>
      <c r="V7836" s="5"/>
      <c r="Y7836" s="5" t="str">
        <f>IFERROR(__xludf.DUMMYFUNCTION("REGEXEXTRACT(J7836, ""^\d+"")"),"88")</f>
        <v>88</v>
      </c>
      <c r="Z7836" s="5" t="str">
        <f>IFERROR(__xludf.DUMMYFUNCTION("REGEXEXTRACT(J7836, ""[A-Za-z ]+$"")")," min")</f>
        <v> min</v>
      </c>
      <c r="AA7836" s="5" t="str">
        <f>IFERROR(__xludf.DUMMYFUNCTION("IF(REGEXMATCH(Z7836, ""Season""), ""TV Show"", ""Movie"")"),"Movie")</f>
        <v>Movie</v>
      </c>
    </row>
    <row r="7837">
      <c r="A7837" s="1" t="s">
        <v>37904</v>
      </c>
      <c r="B7837" s="1" t="s">
        <v>37</v>
      </c>
      <c r="C7837" s="1" t="s">
        <v>37905</v>
      </c>
      <c r="E7837" s="1" t="s">
        <v>37906</v>
      </c>
      <c r="F7837" s="1" t="s">
        <v>63</v>
      </c>
      <c r="G7837" s="1" t="s">
        <v>28377</v>
      </c>
      <c r="H7837" s="1">
        <v>2015.0</v>
      </c>
      <c r="I7837" s="1" t="s">
        <v>97</v>
      </c>
      <c r="J7837" s="1" t="s">
        <v>51</v>
      </c>
      <c r="K7837" s="1" t="s">
        <v>1907</v>
      </c>
      <c r="L7837" s="1" t="s">
        <v>37907</v>
      </c>
      <c r="M7837" s="2" t="s">
        <v>12</v>
      </c>
      <c r="N7837" s="4">
        <f t="shared" si="1"/>
        <v>42826</v>
      </c>
      <c r="O7837" s="5" t="str">
        <f>IFERROR(__xludf.DUMMYFUNCTION("IF(REGEXMATCH(TRIM(I7837), ""^\d+\s*min""), ""Unclassified"", IF(I7837 = """", ""NR"", I7837))"),"TV-14")</f>
        <v>TV-14</v>
      </c>
      <c r="R7837" s="5" t="str">
        <f t="shared" si="2"/>
        <v>Razia Sultan</v>
      </c>
      <c r="S7837" s="5" t="str">
        <f>IFERROR(__xludf.DUMMYFUNCTION("""COMPUTED_VALUE"""),"The Twilight Saga: Breaking Dawn: Part 2")</f>
        <v>The Twilight Saga: Breaking Dawn: Part 2</v>
      </c>
      <c r="V7837" s="5"/>
      <c r="Y7837" s="5" t="str">
        <f>IFERROR(__xludf.DUMMYFUNCTION("REGEXEXTRACT(J7837, ""^\d+"")"),"1")</f>
        <v>1</v>
      </c>
      <c r="Z7837" s="5" t="str">
        <f>IFERROR(__xludf.DUMMYFUNCTION("REGEXEXTRACT(J7837, ""[A-Za-z ]+$"")")," Season")</f>
        <v> Season</v>
      </c>
      <c r="AA7837" s="5" t="str">
        <f>IFERROR(__xludf.DUMMYFUNCTION("IF(REGEXMATCH(Z7837, ""Season""), ""TV Show"", ""Movie"")"),"TV Show")</f>
        <v>TV Show</v>
      </c>
    </row>
    <row r="7838">
      <c r="A7838" s="1" t="s">
        <v>37908</v>
      </c>
      <c r="B7838" s="1" t="s">
        <v>27</v>
      </c>
      <c r="C7838" s="1" t="s">
        <v>37909</v>
      </c>
      <c r="D7838" s="1" t="s">
        <v>9480</v>
      </c>
      <c r="E7838" s="1" t="s">
        <v>37910</v>
      </c>
      <c r="F7838" s="1" t="s">
        <v>3309</v>
      </c>
      <c r="G7838" s="1" t="s">
        <v>20298</v>
      </c>
      <c r="H7838" s="1">
        <v>2011.0</v>
      </c>
      <c r="I7838" s="1" t="s">
        <v>97</v>
      </c>
      <c r="J7838" s="1" t="s">
        <v>416</v>
      </c>
      <c r="K7838" s="1" t="s">
        <v>128</v>
      </c>
      <c r="L7838" s="1" t="s">
        <v>37911</v>
      </c>
      <c r="M7838" s="2" t="s">
        <v>12</v>
      </c>
      <c r="N7838" s="4">
        <f t="shared" si="1"/>
        <v>43636</v>
      </c>
      <c r="O7838" s="5" t="str">
        <f>IFERROR(__xludf.DUMMYFUNCTION("IF(REGEXMATCH(TRIM(I7838), ""^\d+\s*min""), ""Unclassified"", IF(I7838 = """", ""NR"", I7838))"),"TV-14")</f>
        <v>TV-14</v>
      </c>
      <c r="R7838" s="5" t="str">
        <f t="shared" si="2"/>
        <v>Reaction</v>
      </c>
      <c r="S7838" s="5" t="str">
        <f>IFERROR(__xludf.DUMMYFUNCTION("""COMPUTED_VALUE"""),"The Twilight Saga: Eclipse")</f>
        <v>The Twilight Saga: Eclipse</v>
      </c>
      <c r="V7838" s="5"/>
      <c r="Y7838" s="5" t="str">
        <f>IFERROR(__xludf.DUMMYFUNCTION("REGEXEXTRACT(J7838, ""^\d+"")"),"99")</f>
        <v>99</v>
      </c>
      <c r="Z7838" s="5" t="str">
        <f>IFERROR(__xludf.DUMMYFUNCTION("REGEXEXTRACT(J7838, ""[A-Za-z ]+$"")")," min")</f>
        <v> min</v>
      </c>
      <c r="AA7838" s="5" t="str">
        <f>IFERROR(__xludf.DUMMYFUNCTION("IF(REGEXMATCH(Z7838, ""Season""), ""TV Show"", ""Movie"")"),"Movie")</f>
        <v>Movie</v>
      </c>
    </row>
    <row r="7839">
      <c r="A7839" s="1" t="s">
        <v>37912</v>
      </c>
      <c r="B7839" s="1" t="s">
        <v>27</v>
      </c>
      <c r="C7839" s="1" t="s">
        <v>37913</v>
      </c>
      <c r="D7839" s="1" t="s">
        <v>2039</v>
      </c>
      <c r="E7839" s="1" t="s">
        <v>37914</v>
      </c>
      <c r="F7839" s="1" t="s">
        <v>63</v>
      </c>
      <c r="G7839" s="1" t="s">
        <v>30658</v>
      </c>
      <c r="H7839" s="1">
        <v>2011.0</v>
      </c>
      <c r="I7839" s="1" t="s">
        <v>136</v>
      </c>
      <c r="J7839" s="1" t="s">
        <v>14942</v>
      </c>
      <c r="K7839" s="1" t="s">
        <v>215</v>
      </c>
      <c r="L7839" s="1" t="s">
        <v>37915</v>
      </c>
      <c r="M7839" s="2" t="s">
        <v>12</v>
      </c>
      <c r="N7839" s="4">
        <f t="shared" si="1"/>
        <v>43030</v>
      </c>
      <c r="O7839" s="5" t="str">
        <f>IFERROR(__xludf.DUMMYFUNCTION("IF(REGEXMATCH(TRIM(I7839), ""^\d+\s*min""), ""Unclassified"", IF(I7839 = """", ""NR"", I7839))"),"TV-PG")</f>
        <v>TV-PG</v>
      </c>
      <c r="R7839" s="5" t="str">
        <f t="shared" si="2"/>
        <v>Ready</v>
      </c>
      <c r="S7839" s="5" t="str">
        <f>IFERROR(__xludf.DUMMYFUNCTION("""COMPUTED_VALUE"""),"The Twilight Saga: New Moon")</f>
        <v>The Twilight Saga: New Moon</v>
      </c>
      <c r="V7839" s="5"/>
      <c r="Y7839" s="5" t="str">
        <f>IFERROR(__xludf.DUMMYFUNCTION("REGEXEXTRACT(J7839, ""^\d+"")"),"144")</f>
        <v>144</v>
      </c>
      <c r="Z7839" s="5" t="str">
        <f>IFERROR(__xludf.DUMMYFUNCTION("REGEXEXTRACT(J7839, ""[A-Za-z ]+$"")")," min")</f>
        <v> min</v>
      </c>
      <c r="AA7839" s="5" t="str">
        <f>IFERROR(__xludf.DUMMYFUNCTION("IF(REGEXMATCH(Z7839, ""Season""), ""TV Show"", ""Movie"")"),"Movie")</f>
        <v>Movie</v>
      </c>
    </row>
    <row r="7840">
      <c r="A7840" s="1" t="s">
        <v>37916</v>
      </c>
      <c r="B7840" s="1" t="s">
        <v>37</v>
      </c>
      <c r="C7840" s="1" t="s">
        <v>37917</v>
      </c>
      <c r="E7840" s="1" t="s">
        <v>37918</v>
      </c>
      <c r="G7840" s="1" t="s">
        <v>33562</v>
      </c>
      <c r="H7840" s="1">
        <v>2015.0</v>
      </c>
      <c r="I7840" s="1" t="s">
        <v>42</v>
      </c>
      <c r="J7840" s="1" t="s">
        <v>51</v>
      </c>
      <c r="K7840" s="1" t="s">
        <v>1907</v>
      </c>
      <c r="L7840" s="1" t="s">
        <v>37919</v>
      </c>
      <c r="M7840" s="2" t="s">
        <v>12</v>
      </c>
      <c r="N7840" s="4">
        <f t="shared" si="1"/>
        <v>43312</v>
      </c>
      <c r="O7840" s="5" t="str">
        <f>IFERROR(__xludf.DUMMYFUNCTION("IF(REGEXMATCH(TRIM(I7840), ""^\d+\s*min""), ""Unclassified"", IF(I7840 = """", ""NR"", I7840))"),"TV-MA")</f>
        <v>TV-MA</v>
      </c>
      <c r="R7840" s="5" t="str">
        <f t="shared" si="2"/>
        <v>Reality Of Dream</v>
      </c>
      <c r="S7840" s="5" t="str">
        <f>IFERROR(__xludf.DUMMYFUNCTION("""COMPUTED_VALUE"""),"The Twilight Zone (Original Series)")</f>
        <v>The Twilight Zone (Original Series)</v>
      </c>
      <c r="V7840" s="5"/>
      <c r="Y7840" s="5" t="str">
        <f>IFERROR(__xludf.DUMMYFUNCTION("REGEXEXTRACT(J7840, ""^\d+"")"),"1")</f>
        <v>1</v>
      </c>
      <c r="Z7840" s="5" t="str">
        <f>IFERROR(__xludf.DUMMYFUNCTION("REGEXEXTRACT(J7840, ""[A-Za-z ]+$"")")," Season")</f>
        <v> Season</v>
      </c>
      <c r="AA7840" s="5" t="str">
        <f>IFERROR(__xludf.DUMMYFUNCTION("IF(REGEXMATCH(Z7840, ""Season""), ""TV Show"", ""Movie"")"),"TV Show")</f>
        <v>TV Show</v>
      </c>
    </row>
    <row r="7841">
      <c r="A7841" s="1" t="s">
        <v>37920</v>
      </c>
      <c r="B7841" s="1" t="s">
        <v>27</v>
      </c>
      <c r="C7841" s="1" t="s">
        <v>37921</v>
      </c>
      <c r="D7841" s="1" t="s">
        <v>16778</v>
      </c>
      <c r="E7841" s="1" t="s">
        <v>37922</v>
      </c>
      <c r="F7841" s="1" t="s">
        <v>30</v>
      </c>
      <c r="G7841" s="1" t="s">
        <v>18333</v>
      </c>
      <c r="H7841" s="1">
        <v>1955.0</v>
      </c>
      <c r="I7841" s="1" t="s">
        <v>32</v>
      </c>
      <c r="J7841" s="1" t="s">
        <v>264</v>
      </c>
      <c r="K7841" s="1" t="s">
        <v>1164</v>
      </c>
      <c r="L7841" s="1" t="s">
        <v>37923</v>
      </c>
      <c r="M7841" s="2" t="s">
        <v>12</v>
      </c>
      <c r="N7841" s="4">
        <f t="shared" si="1"/>
        <v>43770</v>
      </c>
      <c r="O7841" s="5" t="str">
        <f>IFERROR(__xludf.DUMMYFUNCTION("IF(REGEXMATCH(TRIM(I7841), ""^\d+\s*min""), ""Unclassified"", IF(I7841 = """", ""NR"", I7841))"),"PG-13")</f>
        <v>PG-13</v>
      </c>
      <c r="R7841" s="5" t="str">
        <f t="shared" si="2"/>
        <v>Rebel Without A Cause</v>
      </c>
      <c r="S7841" s="5" t="str">
        <f>IFERROR(__xludf.DUMMYFUNCTION("""COMPUTED_VALUE"""),"The Twins Effect Ii")</f>
        <v>The Twins Effect Ii</v>
      </c>
      <c r="V7841" s="5"/>
      <c r="Y7841" s="5" t="str">
        <f>IFERROR(__xludf.DUMMYFUNCTION("REGEXEXTRACT(J7841, ""^\d+"")"),"111")</f>
        <v>111</v>
      </c>
      <c r="Z7841" s="5" t="str">
        <f>IFERROR(__xludf.DUMMYFUNCTION("REGEXEXTRACT(J7841, ""[A-Za-z ]+$"")")," min")</f>
        <v> min</v>
      </c>
      <c r="AA7841" s="5" t="str">
        <f>IFERROR(__xludf.DUMMYFUNCTION("IF(REGEXMATCH(Z7841, ""Season""), ""TV Show"", ""Movie"")"),"Movie")</f>
        <v>Movie</v>
      </c>
    </row>
    <row r="7842">
      <c r="A7842" s="1" t="s">
        <v>37924</v>
      </c>
      <c r="B7842" s="1" t="s">
        <v>37</v>
      </c>
      <c r="C7842" s="1" t="s">
        <v>37925</v>
      </c>
      <c r="E7842" s="1" t="s">
        <v>37926</v>
      </c>
      <c r="F7842" s="1" t="s">
        <v>162</v>
      </c>
      <c r="G7842" s="1" t="s">
        <v>26505</v>
      </c>
      <c r="H7842" s="1">
        <v>2004.0</v>
      </c>
      <c r="I7842" s="1" t="s">
        <v>97</v>
      </c>
      <c r="J7842" s="1" t="s">
        <v>51</v>
      </c>
      <c r="K7842" s="1" t="s">
        <v>1822</v>
      </c>
      <c r="L7842" s="1" t="s">
        <v>37927</v>
      </c>
      <c r="M7842" s="2" t="s">
        <v>12</v>
      </c>
      <c r="N7842" s="4">
        <f t="shared" si="1"/>
        <v>43100</v>
      </c>
      <c r="O7842" s="5" t="str">
        <f>IFERROR(__xludf.DUMMYFUNCTION("IF(REGEXMATCH(TRIM(I7842), ""^\d+\s*min""), ""Unclassified"", IF(I7842 = """", ""NR"", I7842))"),"TV-14")</f>
        <v>TV-14</v>
      </c>
      <c r="R7842" s="5" t="str">
        <f t="shared" si="2"/>
        <v>Rebelde</v>
      </c>
      <c r="S7842" s="5" t="str">
        <f>IFERROR(__xludf.DUMMYFUNCTION("""COMPUTED_VALUE"""),"The Two Popes")</f>
        <v>The Two Popes</v>
      </c>
      <c r="V7842" s="5"/>
      <c r="Y7842" s="5" t="str">
        <f>IFERROR(__xludf.DUMMYFUNCTION("REGEXEXTRACT(J7842, ""^\d+"")"),"1")</f>
        <v>1</v>
      </c>
      <c r="Z7842" s="5" t="str">
        <f>IFERROR(__xludf.DUMMYFUNCTION("REGEXEXTRACT(J7842, ""[A-Za-z ]+$"")")," Season")</f>
        <v> Season</v>
      </c>
      <c r="AA7842" s="5" t="str">
        <f>IFERROR(__xludf.DUMMYFUNCTION("IF(REGEXMATCH(Z7842, ""Season""), ""TV Show"", ""Movie"")"),"TV Show")</f>
        <v>TV Show</v>
      </c>
    </row>
    <row r="7843">
      <c r="A7843" s="1" t="s">
        <v>37928</v>
      </c>
      <c r="B7843" s="1" t="s">
        <v>27</v>
      </c>
      <c r="C7843" s="1" t="s">
        <v>37929</v>
      </c>
      <c r="D7843" s="1" t="s">
        <v>15679</v>
      </c>
      <c r="E7843" s="1" t="s">
        <v>37930</v>
      </c>
      <c r="F7843" s="1" t="s">
        <v>1106</v>
      </c>
      <c r="G7843" s="1" t="s">
        <v>20228</v>
      </c>
      <c r="H7843" s="1">
        <v>2018.0</v>
      </c>
      <c r="I7843" s="1" t="s">
        <v>42</v>
      </c>
      <c r="J7843" s="1" t="s">
        <v>5120</v>
      </c>
      <c r="K7843" s="1" t="s">
        <v>805</v>
      </c>
      <c r="L7843" s="1" t="s">
        <v>37931</v>
      </c>
      <c r="M7843" s="2" t="s">
        <v>12</v>
      </c>
      <c r="N7843" s="4">
        <f t="shared" si="1"/>
        <v>43641</v>
      </c>
      <c r="O7843" s="5" t="str">
        <f>IFERROR(__xludf.DUMMYFUNCTION("IF(REGEXMATCH(TRIM(I7843), ""^\d+\s*min""), ""Unclassified"", IF(I7843 = """", ""NR"", I7843))"),"TV-MA")</f>
        <v>TV-MA</v>
      </c>
      <c r="R7843" s="5" t="str">
        <f t="shared" si="2"/>
        <v>Recall</v>
      </c>
      <c r="S7843" s="5" t="str">
        <f>IFERROR(__xludf.DUMMYFUNCTION("""COMPUTED_VALUE"""),"The Ugly Truth")</f>
        <v>The Ugly Truth</v>
      </c>
      <c r="V7843" s="5"/>
      <c r="Y7843" s="5" t="str">
        <f>IFERROR(__xludf.DUMMYFUNCTION("REGEXEXTRACT(J7843, ""^\d+"")"),"73")</f>
        <v>73</v>
      </c>
      <c r="Z7843" s="5" t="str">
        <f>IFERROR(__xludf.DUMMYFUNCTION("REGEXEXTRACT(J7843, ""[A-Za-z ]+$"")")," min")</f>
        <v> min</v>
      </c>
      <c r="AA7843" s="5" t="str">
        <f>IFERROR(__xludf.DUMMYFUNCTION("IF(REGEXMATCH(Z7843, ""Season""), ""TV Show"", ""Movie"")"),"Movie")</f>
        <v>Movie</v>
      </c>
    </row>
    <row r="7844">
      <c r="A7844" s="1" t="s">
        <v>37932</v>
      </c>
      <c r="B7844" s="1" t="s">
        <v>37</v>
      </c>
      <c r="C7844" s="1" t="s">
        <v>37933</v>
      </c>
      <c r="E7844" s="1" t="s">
        <v>37934</v>
      </c>
      <c r="F7844" s="1" t="s">
        <v>30</v>
      </c>
      <c r="G7844" s="1" t="s">
        <v>37935</v>
      </c>
      <c r="H7844" s="1">
        <v>2016.0</v>
      </c>
      <c r="I7844" s="1" t="s">
        <v>42</v>
      </c>
      <c r="J7844" s="1" t="s">
        <v>148</v>
      </c>
      <c r="K7844" s="1" t="s">
        <v>1510</v>
      </c>
      <c r="L7844" s="1" t="s">
        <v>37936</v>
      </c>
      <c r="M7844" s="2" t="s">
        <v>12</v>
      </c>
      <c r="N7844" s="4">
        <f t="shared" si="1"/>
        <v>42798</v>
      </c>
      <c r="O7844" s="5" t="str">
        <f>IFERROR(__xludf.DUMMYFUNCTION("IF(REGEXMATCH(TRIM(I7844), ""^\d+\s*min""), ""Unclassified"", IF(I7844 = """", ""NR"", I7844))"),"TV-MA")</f>
        <v>TV-MA</v>
      </c>
      <c r="R7844" s="5" t="str">
        <f t="shared" si="2"/>
        <v>Rectify</v>
      </c>
      <c r="S7844" s="5" t="str">
        <f>IFERROR(__xludf.DUMMYFUNCTION("""COMPUTED_VALUE"""),"The Ultimatum")</f>
        <v>The Ultimatum</v>
      </c>
      <c r="V7844" s="5"/>
      <c r="Y7844" s="5" t="str">
        <f>IFERROR(__xludf.DUMMYFUNCTION("REGEXEXTRACT(J7844, ""^\d+"")"),"4")</f>
        <v>4</v>
      </c>
      <c r="Z7844" s="5" t="str">
        <f>IFERROR(__xludf.DUMMYFUNCTION("REGEXEXTRACT(J7844, ""[A-Za-z ]+$"")")," Seasons")</f>
        <v> Seasons</v>
      </c>
      <c r="AA7844" s="5" t="str">
        <f>IFERROR(__xludf.DUMMYFUNCTION("IF(REGEXMATCH(Z7844, ""Season""), ""TV Show"", ""Movie"")"),"TV Show")</f>
        <v>TV Show</v>
      </c>
    </row>
    <row r="7845">
      <c r="A7845" s="1" t="s">
        <v>37937</v>
      </c>
      <c r="B7845" s="1" t="s">
        <v>27</v>
      </c>
      <c r="C7845" s="1" t="s">
        <v>37938</v>
      </c>
      <c r="D7845" s="1" t="s">
        <v>5225</v>
      </c>
      <c r="E7845" s="1" t="s">
        <v>37939</v>
      </c>
      <c r="F7845" s="1" t="s">
        <v>221</v>
      </c>
      <c r="G7845" s="1" t="s">
        <v>26632</v>
      </c>
      <c r="H7845" s="1">
        <v>2016.0</v>
      </c>
      <c r="I7845" s="1" t="s">
        <v>42</v>
      </c>
      <c r="J7845" s="1" t="s">
        <v>2452</v>
      </c>
      <c r="K7845" s="1" t="s">
        <v>1551</v>
      </c>
      <c r="L7845" s="1" t="s">
        <v>37940</v>
      </c>
      <c r="M7845" s="2" t="s">
        <v>12</v>
      </c>
      <c r="N7845" s="4">
        <f t="shared" si="1"/>
        <v>43080</v>
      </c>
      <c r="O7845" s="5" t="str">
        <f>IFERROR(__xludf.DUMMYFUNCTION("IF(REGEXMATCH(TRIM(I7845), ""^\d+\s*min""), ""Unclassified"", IF(I7845 = """", ""NR"", I7845))"),"TV-MA")</f>
        <v>TV-MA</v>
      </c>
      <c r="R7845" s="5" t="str">
        <f t="shared" si="2"/>
        <v>Red Christmas</v>
      </c>
      <c r="S7845" s="5" t="str">
        <f>IFERROR(__xludf.DUMMYFUNCTION("""COMPUTED_VALUE"""),"The Umbrella Academy")</f>
        <v>The Umbrella Academy</v>
      </c>
      <c r="V7845" s="5"/>
      <c r="Y7845" s="5" t="str">
        <f>IFERROR(__xludf.DUMMYFUNCTION("REGEXEXTRACT(J7845, ""^\d+"")"),"81")</f>
        <v>81</v>
      </c>
      <c r="Z7845" s="5" t="str">
        <f>IFERROR(__xludf.DUMMYFUNCTION("REGEXEXTRACT(J7845, ""[A-Za-z ]+$"")")," min")</f>
        <v> min</v>
      </c>
      <c r="AA7845" s="5" t="str">
        <f>IFERROR(__xludf.DUMMYFUNCTION("IF(REGEXMATCH(Z7845, ""Season""), ""TV Show"", ""Movie"")"),"Movie")</f>
        <v>Movie</v>
      </c>
    </row>
    <row r="7846">
      <c r="A7846" s="1" t="s">
        <v>37941</v>
      </c>
      <c r="B7846" s="1" t="s">
        <v>27</v>
      </c>
      <c r="C7846" s="1" t="s">
        <v>37942</v>
      </c>
      <c r="D7846" s="1" t="s">
        <v>11406</v>
      </c>
      <c r="E7846" s="1" t="s">
        <v>37943</v>
      </c>
      <c r="F7846" s="1" t="s">
        <v>30</v>
      </c>
      <c r="G7846" s="1" t="s">
        <v>17078</v>
      </c>
      <c r="H7846" s="1">
        <v>1984.0</v>
      </c>
      <c r="I7846" s="1" t="s">
        <v>32</v>
      </c>
      <c r="J7846" s="1" t="s">
        <v>835</v>
      </c>
      <c r="K7846" s="1" t="s">
        <v>37944</v>
      </c>
      <c r="L7846" s="1" t="s">
        <v>37945</v>
      </c>
      <c r="M7846" s="2" t="s">
        <v>12</v>
      </c>
      <c r="N7846" s="4">
        <f t="shared" si="1"/>
        <v>43830</v>
      </c>
      <c r="O7846" s="5" t="str">
        <f>IFERROR(__xludf.DUMMYFUNCTION("IF(REGEXMATCH(TRIM(I7846), ""^\d+\s*min""), ""Unclassified"", IF(I7846 = """", ""NR"", I7846))"),"PG-13")</f>
        <v>PG-13</v>
      </c>
      <c r="R7846" s="5" t="str">
        <f t="shared" si="2"/>
        <v>Red Dawn</v>
      </c>
      <c r="S7846" s="5" t="str">
        <f>IFERROR(__xludf.DUMMYFUNCTION("""COMPUTED_VALUE"""),"The Unborn Child")</f>
        <v>The Unborn Child</v>
      </c>
      <c r="V7846" s="5"/>
      <c r="Y7846" s="5" t="str">
        <f>IFERROR(__xludf.DUMMYFUNCTION("REGEXEXTRACT(J7846, ""^\d+"")"),"114")</f>
        <v>114</v>
      </c>
      <c r="Z7846" s="5" t="str">
        <f>IFERROR(__xludf.DUMMYFUNCTION("REGEXEXTRACT(J7846, ""[A-Za-z ]+$"")")," min")</f>
        <v> min</v>
      </c>
      <c r="AA7846" s="5" t="str">
        <f>IFERROR(__xludf.DUMMYFUNCTION("IF(REGEXMATCH(Z7846, ""Season""), ""TV Show"", ""Movie"")"),"Movie")</f>
        <v>Movie</v>
      </c>
    </row>
    <row r="7847">
      <c r="A7847" s="1" t="s">
        <v>37946</v>
      </c>
      <c r="B7847" s="1" t="s">
        <v>27</v>
      </c>
      <c r="C7847" s="1" t="s">
        <v>37947</v>
      </c>
      <c r="D7847" s="1" t="s">
        <v>1611</v>
      </c>
      <c r="E7847" s="1" t="s">
        <v>37948</v>
      </c>
      <c r="F7847" s="1" t="s">
        <v>63</v>
      </c>
      <c r="G7847" s="1" t="s">
        <v>24523</v>
      </c>
      <c r="H7847" s="1">
        <v>2017.0</v>
      </c>
      <c r="I7847" s="1" t="s">
        <v>97</v>
      </c>
      <c r="J7847" s="1" t="s">
        <v>1243</v>
      </c>
      <c r="K7847" s="1" t="s">
        <v>128</v>
      </c>
      <c r="L7847" s="1" t="s">
        <v>37949</v>
      </c>
      <c r="M7847" s="2" t="s">
        <v>12</v>
      </c>
      <c r="N7847" s="4">
        <f t="shared" si="1"/>
        <v>43358</v>
      </c>
      <c r="O7847" s="5" t="str">
        <f>IFERROR(__xludf.DUMMYFUNCTION("IF(REGEXMATCH(TRIM(I7847), ""^\d+\s*min""), ""Unclassified"", IF(I7847 = """", ""NR"", I7847))"),"TV-14")</f>
        <v>TV-14</v>
      </c>
      <c r="R7847" s="5" t="str">
        <f t="shared" si="2"/>
        <v>Red Oleanders Raktokarobi</v>
      </c>
      <c r="S7847" s="5" t="str">
        <f>IFERROR(__xludf.DUMMYFUNCTION("""COMPUTED_VALUE"""),"The Uncanny Counter")</f>
        <v>The Uncanny Counter</v>
      </c>
      <c r="V7847" s="5"/>
      <c r="Y7847" s="5" t="str">
        <f>IFERROR(__xludf.DUMMYFUNCTION("REGEXEXTRACT(J7847, ""^\d+"")"),"112")</f>
        <v>112</v>
      </c>
      <c r="Z7847" s="5" t="str">
        <f>IFERROR(__xludf.DUMMYFUNCTION("REGEXEXTRACT(J7847, ""[A-Za-z ]+$"")")," min")</f>
        <v> min</v>
      </c>
      <c r="AA7847" s="5" t="str">
        <f>IFERROR(__xludf.DUMMYFUNCTION("IF(REGEXMATCH(Z7847, ""Season""), ""TV Show"", ""Movie"")"),"Movie")</f>
        <v>Movie</v>
      </c>
    </row>
    <row r="7848">
      <c r="A7848" s="1" t="s">
        <v>37950</v>
      </c>
      <c r="B7848" s="1" t="s">
        <v>27</v>
      </c>
      <c r="C7848" s="1" t="s">
        <v>37951</v>
      </c>
      <c r="D7848" s="1" t="s">
        <v>14749</v>
      </c>
      <c r="E7848" s="1" t="s">
        <v>37952</v>
      </c>
      <c r="F7848" s="1" t="s">
        <v>96</v>
      </c>
      <c r="G7848" s="1" t="s">
        <v>36546</v>
      </c>
      <c r="H7848" s="1">
        <v>2017.0</v>
      </c>
      <c r="I7848" s="1" t="s">
        <v>136</v>
      </c>
      <c r="J7848" s="1" t="s">
        <v>729</v>
      </c>
      <c r="K7848" s="1" t="s">
        <v>156</v>
      </c>
      <c r="L7848" s="1" t="s">
        <v>37953</v>
      </c>
      <c r="M7848" s="2" t="s">
        <v>12</v>
      </c>
      <c r="N7848" s="4">
        <f t="shared" si="1"/>
        <v>43183</v>
      </c>
      <c r="O7848" s="5" t="str">
        <f>IFERROR(__xludf.DUMMYFUNCTION("IF(REGEXMATCH(TRIM(I7848), ""^\d+\s*min""), ""Unclassified"", IF(I7848 = """", ""NR"", I7848))"),"TV-PG")</f>
        <v>TV-PG</v>
      </c>
      <c r="R7848" s="5" t="str">
        <f t="shared" si="2"/>
        <v>Red Trees</v>
      </c>
      <c r="S7848" s="5" t="str">
        <f>IFERROR(__xludf.DUMMYFUNCTION("""COMPUTED_VALUE"""),"The Underclass")</f>
        <v>The Underclass</v>
      </c>
      <c r="V7848" s="5"/>
      <c r="Y7848" s="5" t="str">
        <f>IFERROR(__xludf.DUMMYFUNCTION("REGEXEXTRACT(J7848, ""^\d+"")"),"80")</f>
        <v>80</v>
      </c>
      <c r="Z7848" s="5" t="str">
        <f>IFERROR(__xludf.DUMMYFUNCTION("REGEXEXTRACT(J7848, ""[A-Za-z ]+$"")")," min")</f>
        <v> min</v>
      </c>
      <c r="AA7848" s="5" t="str">
        <f>IFERROR(__xludf.DUMMYFUNCTION("IF(REGEXMATCH(Z7848, ""Season""), ""TV Show"", ""Movie"")"),"Movie")</f>
        <v>Movie</v>
      </c>
    </row>
    <row r="7849">
      <c r="A7849" s="1" t="s">
        <v>37954</v>
      </c>
      <c r="B7849" s="1" t="s">
        <v>37</v>
      </c>
      <c r="C7849" s="1" t="s">
        <v>37955</v>
      </c>
      <c r="E7849" s="1" t="s">
        <v>37956</v>
      </c>
      <c r="F7849" s="1" t="s">
        <v>30</v>
      </c>
      <c r="H7849" s="1">
        <v>2015.0</v>
      </c>
      <c r="I7849" s="1" t="s">
        <v>30231</v>
      </c>
      <c r="J7849" s="1" t="s">
        <v>7975</v>
      </c>
      <c r="K7849" s="1" t="s">
        <v>8254</v>
      </c>
      <c r="L7849" s="1" t="s">
        <v>37957</v>
      </c>
      <c r="M7849" s="2" t="s">
        <v>12</v>
      </c>
      <c r="N7849" s="1" t="str">
        <f t="shared" si="1"/>
        <v>#VALUE!</v>
      </c>
      <c r="O7849" s="5" t="str">
        <f>IFERROR(__xludf.DUMMYFUNCTION("IF(REGEXMATCH(TRIM(I7849), ""^\d+\s*min""), ""Unclassified"", IF(I7849 = """", ""NR"", I7849))"),"NR")</f>
        <v>NR</v>
      </c>
      <c r="R7849" s="5" t="str">
        <f t="shared" si="2"/>
        <v>Red Vs. Blue</v>
      </c>
      <c r="S7849" s="5" t="str">
        <f>IFERROR(__xludf.DUMMYFUNCTION("""COMPUTED_VALUE"""),"The Underwear")</f>
        <v>The Underwear</v>
      </c>
      <c r="V7849" s="5"/>
      <c r="Y7849" s="5" t="str">
        <f>IFERROR(__xludf.DUMMYFUNCTION("REGEXEXTRACT(J7849, ""^\d+"")"),"13")</f>
        <v>13</v>
      </c>
      <c r="Z7849" s="5" t="str">
        <f>IFERROR(__xludf.DUMMYFUNCTION("REGEXEXTRACT(J7849, ""[A-Za-z ]+$"")")," Seasons")</f>
        <v> Seasons</v>
      </c>
      <c r="AA7849" s="5" t="str">
        <f>IFERROR(__xludf.DUMMYFUNCTION("IF(REGEXMATCH(Z7849, ""Season""), ""TV Show"", ""Movie"")"),"TV Show")</f>
        <v>TV Show</v>
      </c>
    </row>
    <row r="7850">
      <c r="A7850" s="1" t="s">
        <v>37958</v>
      </c>
      <c r="B7850" s="1" t="s">
        <v>27</v>
      </c>
      <c r="C7850" s="1" t="s">
        <v>37959</v>
      </c>
      <c r="D7850" s="1" t="s">
        <v>5083</v>
      </c>
      <c r="E7850" s="1" t="s">
        <v>37960</v>
      </c>
      <c r="G7850" s="1" t="s">
        <v>28526</v>
      </c>
      <c r="H7850" s="1">
        <v>2016.0</v>
      </c>
      <c r="I7850" s="1" t="s">
        <v>136</v>
      </c>
      <c r="J7850" s="1" t="s">
        <v>7058</v>
      </c>
      <c r="K7850" s="1" t="s">
        <v>34</v>
      </c>
      <c r="L7850" s="1" t="s">
        <v>37961</v>
      </c>
      <c r="M7850" s="2" t="s">
        <v>12</v>
      </c>
      <c r="N7850" s="4">
        <f t="shared" si="1"/>
        <v>42804</v>
      </c>
      <c r="O7850" s="5" t="str">
        <f>IFERROR(__xludf.DUMMYFUNCTION("IF(REGEXMATCH(TRIM(I7850), ""^\d+\s*min""), ""Unclassified"", IF(I7850 = """", ""NR"", I7850))"),"TV-PG")</f>
        <v>TV-PG</v>
      </c>
      <c r="R7850" s="5" t="str">
        <f t="shared" si="2"/>
        <v>Refugee</v>
      </c>
      <c r="S7850" s="5" t="str">
        <f>IFERROR(__xludf.DUMMYFUNCTION("""COMPUTED_VALUE"""),"The Unicorn")</f>
        <v>The Unicorn</v>
      </c>
      <c r="V7850" s="5"/>
      <c r="Y7850" s="5" t="str">
        <f>IFERROR(__xludf.DUMMYFUNCTION("REGEXEXTRACT(J7850, ""^\d+"")"),"24")</f>
        <v>24</v>
      </c>
      <c r="Z7850" s="5" t="str">
        <f>IFERROR(__xludf.DUMMYFUNCTION("REGEXEXTRACT(J7850, ""[A-Za-z ]+$"")")," min")</f>
        <v> min</v>
      </c>
      <c r="AA7850" s="5" t="str">
        <f>IFERROR(__xludf.DUMMYFUNCTION("IF(REGEXMATCH(Z7850, ""Season""), ""TV Show"", ""Movie"")"),"Movie")</f>
        <v>Movie</v>
      </c>
    </row>
    <row r="7851">
      <c r="A7851" s="1" t="s">
        <v>37962</v>
      </c>
      <c r="B7851" s="1" t="s">
        <v>27</v>
      </c>
      <c r="C7851" s="1" t="s">
        <v>37963</v>
      </c>
      <c r="D7851" s="1" t="s">
        <v>16225</v>
      </c>
      <c r="E7851" s="1" t="s">
        <v>37964</v>
      </c>
      <c r="F7851" s="1" t="s">
        <v>3309</v>
      </c>
      <c r="G7851" s="7">
        <v>43594.0</v>
      </c>
      <c r="H7851" s="1">
        <v>2015.0</v>
      </c>
      <c r="I7851" s="1" t="s">
        <v>42</v>
      </c>
      <c r="J7851" s="1" t="s">
        <v>433</v>
      </c>
      <c r="K7851" s="1" t="s">
        <v>306</v>
      </c>
      <c r="L7851" s="1" t="s">
        <v>37965</v>
      </c>
      <c r="M7851" s="2" t="s">
        <v>12</v>
      </c>
      <c r="N7851" s="4">
        <f t="shared" si="1"/>
        <v>43594</v>
      </c>
      <c r="O7851" s="5" t="str">
        <f>IFERROR(__xludf.DUMMYFUNCTION("IF(REGEXMATCH(TRIM(I7851), ""^\d+\s*min""), ""Unclassified"", IF(I7851 = """", ""NR"", I7851))"),"TV-MA")</f>
        <v>TV-MA</v>
      </c>
      <c r="R7851" s="5" t="str">
        <f t="shared" si="2"/>
        <v>Regatta</v>
      </c>
      <c r="S7851" s="5" t="str">
        <f>IFERROR(__xludf.DUMMYFUNCTION("""COMPUTED_VALUE"""),"The Universe")</f>
        <v>The Universe</v>
      </c>
      <c r="V7851" s="5"/>
      <c r="Y7851" s="5" t="str">
        <f>IFERROR(__xludf.DUMMYFUNCTION("REGEXEXTRACT(J7851, ""^\d+"")"),"100")</f>
        <v>100</v>
      </c>
      <c r="Z7851" s="5" t="str">
        <f>IFERROR(__xludf.DUMMYFUNCTION("REGEXEXTRACT(J7851, ""[A-Za-z ]+$"")")," min")</f>
        <v> min</v>
      </c>
      <c r="AA7851" s="5" t="str">
        <f>IFERROR(__xludf.DUMMYFUNCTION("IF(REGEXMATCH(Z7851, ""Season""), ""TV Show"", ""Movie"")"),"Movie")</f>
        <v>Movie</v>
      </c>
    </row>
    <row r="7852">
      <c r="A7852" s="1" t="s">
        <v>37966</v>
      </c>
      <c r="B7852" s="1" t="s">
        <v>37</v>
      </c>
      <c r="C7852" s="1" t="s">
        <v>37967</v>
      </c>
      <c r="E7852" s="1" t="s">
        <v>37968</v>
      </c>
      <c r="F7852" s="1" t="s">
        <v>96</v>
      </c>
      <c r="G7852" s="1" t="s">
        <v>32227</v>
      </c>
      <c r="H7852" s="1">
        <v>2017.0</v>
      </c>
      <c r="I7852" s="1" t="s">
        <v>42</v>
      </c>
      <c r="J7852" s="1" t="s">
        <v>43</v>
      </c>
      <c r="K7852" s="1" t="s">
        <v>544</v>
      </c>
      <c r="L7852" s="1" t="s">
        <v>37969</v>
      </c>
      <c r="M7852" s="2" t="s">
        <v>12</v>
      </c>
      <c r="N7852" s="1" t="str">
        <f t="shared" si="1"/>
        <v>#N/A</v>
      </c>
      <c r="O7852" s="5" t="str">
        <f>IFERROR(__xludf.DUMMYFUNCTION("IF(REGEXMATCH(TRIM(I7852), ""^\d+\s*min""), ""Unclassified"", IF(I7852 = """", ""NR"", I7852))"),"TV-MA")</f>
        <v>TV-MA</v>
      </c>
      <c r="R7852" s="5" t="str">
        <f t="shared" si="2"/>
        <v>Reggie Yates Outside Man</v>
      </c>
      <c r="S7852" s="5" t="str">
        <f>IFERROR(__xludf.DUMMYFUNCTION("""COMPUTED_VALUE"""),"The Universe: Ancient Mysteries Solved")</f>
        <v>The Universe: Ancient Mysteries Solved</v>
      </c>
      <c r="V7852" s="5"/>
      <c r="Y7852" s="5" t="str">
        <f>IFERROR(__xludf.DUMMYFUNCTION("REGEXEXTRACT(J7852, ""^\d+"")"),"2")</f>
        <v>2</v>
      </c>
      <c r="Z7852" s="5" t="str">
        <f>IFERROR(__xludf.DUMMYFUNCTION("REGEXEXTRACT(J7852, ""[A-Za-z ]+$"")")," Seasons")</f>
        <v> Seasons</v>
      </c>
      <c r="AA7852" s="5" t="str">
        <f>IFERROR(__xludf.DUMMYFUNCTION("IF(REGEXMATCH(Z7852, ""Season""), ""TV Show"", ""Movie"")"),"TV Show")</f>
        <v>TV Show</v>
      </c>
    </row>
    <row r="7853">
      <c r="A7853" s="1" t="s">
        <v>37970</v>
      </c>
      <c r="B7853" s="1" t="s">
        <v>27</v>
      </c>
      <c r="C7853" s="1" t="s">
        <v>37971</v>
      </c>
      <c r="D7853" s="1" t="s">
        <v>2001</v>
      </c>
      <c r="E7853" s="1" t="s">
        <v>37972</v>
      </c>
      <c r="F7853" s="1" t="s">
        <v>30</v>
      </c>
      <c r="G7853" s="1" t="s">
        <v>37973</v>
      </c>
      <c r="H7853" s="1">
        <v>2012.0</v>
      </c>
      <c r="I7853" s="1" t="s">
        <v>378</v>
      </c>
      <c r="J7853" s="1" t="s">
        <v>322</v>
      </c>
      <c r="K7853" s="1" t="s">
        <v>700</v>
      </c>
      <c r="L7853" s="1" t="s">
        <v>37974</v>
      </c>
      <c r="M7853" s="2" t="s">
        <v>12</v>
      </c>
      <c r="N7853" s="4">
        <f t="shared" si="1"/>
        <v>42534</v>
      </c>
      <c r="O7853" s="5" t="str">
        <f>IFERROR(__xludf.DUMMYFUNCTION("IF(REGEXMATCH(TRIM(I7853), ""^\d+\s*min""), ""Unclassified"", IF(I7853 = """", ""NR"", I7853))"),"R")</f>
        <v>R</v>
      </c>
      <c r="R7853" s="5" t="str">
        <f t="shared" si="2"/>
        <v>Reincarnated</v>
      </c>
      <c r="S7853" s="5" t="str">
        <f>IFERROR(__xludf.DUMMYFUNCTION("""COMPUTED_VALUE"""),"The Unknown Girl")</f>
        <v>The Unknown Girl</v>
      </c>
      <c r="V7853" s="5"/>
      <c r="Y7853" s="5" t="str">
        <f>IFERROR(__xludf.DUMMYFUNCTION("REGEXEXTRACT(J7853, ""^\d+"")"),"96")</f>
        <v>96</v>
      </c>
      <c r="Z7853" s="5" t="str">
        <f>IFERROR(__xludf.DUMMYFUNCTION("REGEXEXTRACT(J7853, ""[A-Za-z ]+$"")")," min")</f>
        <v> min</v>
      </c>
      <c r="AA7853" s="5" t="str">
        <f>IFERROR(__xludf.DUMMYFUNCTION("IF(REGEXMATCH(Z7853, ""Season""), ""TV Show"", ""Movie"")"),"Movie")</f>
        <v>Movie</v>
      </c>
    </row>
    <row r="7854">
      <c r="A7854" s="1" t="s">
        <v>37975</v>
      </c>
      <c r="B7854" s="1" t="s">
        <v>27</v>
      </c>
      <c r="C7854" s="1" t="s">
        <v>37976</v>
      </c>
      <c r="D7854" s="1" t="s">
        <v>20883</v>
      </c>
      <c r="E7854" s="1" t="s">
        <v>37977</v>
      </c>
      <c r="F7854" s="1" t="s">
        <v>3321</v>
      </c>
      <c r="G7854" s="1" t="s">
        <v>31250</v>
      </c>
      <c r="H7854" s="1">
        <v>2015.0</v>
      </c>
      <c r="I7854" s="1" t="s">
        <v>136</v>
      </c>
      <c r="J7854" s="1" t="s">
        <v>428</v>
      </c>
      <c r="K7854" s="1" t="s">
        <v>1328</v>
      </c>
      <c r="L7854" s="1" t="s">
        <v>37978</v>
      </c>
      <c r="M7854" s="2" t="s">
        <v>12</v>
      </c>
      <c r="N7854" s="4">
        <f t="shared" si="1"/>
        <v>42968</v>
      </c>
      <c r="O7854" s="5" t="str">
        <f>IFERROR(__xludf.DUMMYFUNCTION("IF(REGEXMATCH(TRIM(I7854), ""^\d+\s*min""), ""Unclassified"", IF(I7854 = """", ""NR"", I7854))"),"TV-PG")</f>
        <v>TV-PG</v>
      </c>
      <c r="R7854" s="5" t="str">
        <f t="shared" si="2"/>
        <v>Rembat</v>
      </c>
      <c r="S7854" s="5" t="str">
        <f>IFERROR(__xludf.DUMMYFUNCTION("""COMPUTED_VALUE"""),"The Unknown Known")</f>
        <v>The Unknown Known</v>
      </c>
      <c r="V7854" s="5"/>
      <c r="Y7854" s="5" t="str">
        <f>IFERROR(__xludf.DUMMYFUNCTION("REGEXEXTRACT(J7854, ""^\d+"")"),"88")</f>
        <v>88</v>
      </c>
      <c r="Z7854" s="5" t="str">
        <f>IFERROR(__xludf.DUMMYFUNCTION("REGEXEXTRACT(J7854, ""[A-Za-z ]+$"")")," min")</f>
        <v> min</v>
      </c>
      <c r="AA7854" s="5" t="str">
        <f>IFERROR(__xludf.DUMMYFUNCTION("IF(REGEXMATCH(Z7854, ""Season""), ""TV Show"", ""Movie"")"),"Movie")</f>
        <v>Movie</v>
      </c>
    </row>
    <row r="7855">
      <c r="A7855" s="1" t="s">
        <v>37979</v>
      </c>
      <c r="B7855" s="1" t="s">
        <v>27</v>
      </c>
      <c r="C7855" s="1" t="s">
        <v>37980</v>
      </c>
      <c r="D7855" s="1" t="s">
        <v>2705</v>
      </c>
      <c r="E7855" s="1" t="s">
        <v>37981</v>
      </c>
      <c r="F7855" s="1" t="s">
        <v>37982</v>
      </c>
      <c r="G7855" s="1" t="s">
        <v>30969</v>
      </c>
      <c r="H7855" s="1">
        <v>2015.0</v>
      </c>
      <c r="I7855" s="1" t="s">
        <v>378</v>
      </c>
      <c r="J7855" s="1" t="s">
        <v>465</v>
      </c>
      <c r="K7855" s="1" t="s">
        <v>323</v>
      </c>
      <c r="L7855" s="1" t="s">
        <v>37983</v>
      </c>
      <c r="M7855" s="2" t="s">
        <v>12</v>
      </c>
      <c r="N7855" s="4">
        <f t="shared" si="1"/>
        <v>43307</v>
      </c>
      <c r="O7855" s="5" t="str">
        <f>IFERROR(__xludf.DUMMYFUNCTION("IF(REGEXMATCH(TRIM(I7855), ""^\d+\s*min""), ""Unclassified"", IF(I7855 = """", ""NR"", I7855))"),"R")</f>
        <v>R</v>
      </c>
      <c r="R7855" s="5" t="str">
        <f t="shared" si="2"/>
        <v>Remember</v>
      </c>
      <c r="S7855" s="5" t="str">
        <f>IFERROR(__xludf.DUMMYFUNCTION("""COMPUTED_VALUE"""),"The Unknown Saint")</f>
        <v>The Unknown Saint</v>
      </c>
      <c r="V7855" s="5"/>
      <c r="Y7855" s="5" t="str">
        <f>IFERROR(__xludf.DUMMYFUNCTION("REGEXEXTRACT(J7855, ""^\d+"")"),"95")</f>
        <v>95</v>
      </c>
      <c r="Z7855" s="5" t="str">
        <f>IFERROR(__xludf.DUMMYFUNCTION("REGEXEXTRACT(J7855, ""[A-Za-z ]+$"")")," min")</f>
        <v> min</v>
      </c>
      <c r="AA7855" s="5" t="str">
        <f>IFERROR(__xludf.DUMMYFUNCTION("IF(REGEXMATCH(Z7855, ""Season""), ""TV Show"", ""Movie"")"),"Movie")</f>
        <v>Movie</v>
      </c>
    </row>
    <row r="7856">
      <c r="A7856" s="1" t="s">
        <v>37984</v>
      </c>
      <c r="B7856" s="1" t="s">
        <v>27</v>
      </c>
      <c r="C7856" s="1" t="s">
        <v>37985</v>
      </c>
      <c r="D7856" s="1" t="s">
        <v>1455</v>
      </c>
      <c r="E7856" s="1" t="s">
        <v>37986</v>
      </c>
      <c r="F7856" s="1" t="s">
        <v>30</v>
      </c>
      <c r="G7856" s="1" t="s">
        <v>12382</v>
      </c>
      <c r="H7856" s="1">
        <v>2010.0</v>
      </c>
      <c r="I7856" s="1" t="s">
        <v>32</v>
      </c>
      <c r="J7856" s="1" t="s">
        <v>1243</v>
      </c>
      <c r="K7856" s="1" t="s">
        <v>828</v>
      </c>
      <c r="L7856" s="1" t="s">
        <v>37987</v>
      </c>
      <c r="M7856" s="2" t="s">
        <v>12</v>
      </c>
      <c r="N7856" s="4">
        <f t="shared" si="1"/>
        <v>44044</v>
      </c>
      <c r="O7856" s="5" t="str">
        <f>IFERROR(__xludf.DUMMYFUNCTION("IF(REGEXMATCH(TRIM(I7856), ""^\d+\s*min""), ""Unclassified"", IF(I7856 = """", ""NR"", I7856))"),"PG-13")</f>
        <v>PG-13</v>
      </c>
      <c r="R7856" s="5" t="str">
        <f t="shared" si="2"/>
        <v>Remember Me</v>
      </c>
      <c r="S7856" s="5" t="str">
        <f>IFERROR(__xludf.DUMMYFUNCTION("""COMPUTED_VALUE"""),"The Unlisted")</f>
        <v>The Unlisted</v>
      </c>
      <c r="V7856" s="5"/>
      <c r="Y7856" s="5" t="str">
        <f>IFERROR(__xludf.DUMMYFUNCTION("REGEXEXTRACT(J7856, ""^\d+"")"),"112")</f>
        <v>112</v>
      </c>
      <c r="Z7856" s="5" t="str">
        <f>IFERROR(__xludf.DUMMYFUNCTION("REGEXEXTRACT(J7856, ""[A-Za-z ]+$"")")," min")</f>
        <v> min</v>
      </c>
      <c r="AA7856" s="5" t="str">
        <f>IFERROR(__xludf.DUMMYFUNCTION("IF(REGEXMATCH(Z7856, ""Season""), ""TV Show"", ""Movie"")"),"Movie")</f>
        <v>Movie</v>
      </c>
    </row>
    <row r="7857">
      <c r="A7857" s="1" t="s">
        <v>37988</v>
      </c>
      <c r="B7857" s="1" t="s">
        <v>27</v>
      </c>
      <c r="C7857" s="1" t="s">
        <v>37989</v>
      </c>
      <c r="D7857" s="1" t="s">
        <v>14911</v>
      </c>
      <c r="E7857" s="1" t="s">
        <v>37990</v>
      </c>
      <c r="F7857" s="1" t="s">
        <v>37991</v>
      </c>
      <c r="G7857" s="1" t="s">
        <v>13808</v>
      </c>
      <c r="H7857" s="1">
        <v>2017.0</v>
      </c>
      <c r="I7857" s="1" t="s">
        <v>32</v>
      </c>
      <c r="J7857" s="1" t="s">
        <v>1243</v>
      </c>
      <c r="K7857" s="1" t="s">
        <v>8226</v>
      </c>
      <c r="L7857" s="1" t="s">
        <v>37992</v>
      </c>
      <c r="M7857" s="2" t="s">
        <v>12</v>
      </c>
      <c r="N7857" s="4">
        <f t="shared" si="1"/>
        <v>43983</v>
      </c>
      <c r="O7857" s="5" t="str">
        <f>IFERROR(__xludf.DUMMYFUNCTION("IF(REGEXMATCH(TRIM(I7857), ""^\d+\s*min""), ""Unclassified"", IF(I7857 = """", ""NR"", I7857))"),"PG-13")</f>
        <v>PG-13</v>
      </c>
      <c r="R7857" s="5" t="str">
        <f t="shared" si="2"/>
        <v>Rememory</v>
      </c>
      <c r="S7857" s="5" t="str">
        <f>IFERROR(__xludf.DUMMYFUNCTION("""COMPUTED_VALUE"""),"The Unmarried Wife")</f>
        <v>The Unmarried Wife</v>
      </c>
      <c r="V7857" s="5"/>
      <c r="Y7857" s="5" t="str">
        <f>IFERROR(__xludf.DUMMYFUNCTION("REGEXEXTRACT(J7857, ""^\d+"")"),"112")</f>
        <v>112</v>
      </c>
      <c r="Z7857" s="5" t="str">
        <f>IFERROR(__xludf.DUMMYFUNCTION("REGEXEXTRACT(J7857, ""[A-Za-z ]+$"")")," min")</f>
        <v> min</v>
      </c>
      <c r="AA7857" s="5" t="str">
        <f>IFERROR(__xludf.DUMMYFUNCTION("IF(REGEXMATCH(Z7857, ""Season""), ""TV Show"", ""Movie"")"),"Movie")</f>
        <v>Movie</v>
      </c>
    </row>
    <row r="7858">
      <c r="A7858" s="1" t="s">
        <v>37993</v>
      </c>
      <c r="B7858" s="1" t="s">
        <v>37</v>
      </c>
      <c r="C7858" s="1" t="s">
        <v>37994</v>
      </c>
      <c r="E7858" s="1" t="s">
        <v>37995</v>
      </c>
      <c r="F7858" s="1" t="s">
        <v>1106</v>
      </c>
      <c r="G7858" s="7">
        <v>43979.0</v>
      </c>
      <c r="H7858" s="1">
        <v>2014.0</v>
      </c>
      <c r="I7858" s="1" t="s">
        <v>97</v>
      </c>
      <c r="J7858" s="1" t="s">
        <v>439</v>
      </c>
      <c r="K7858" s="1" t="s">
        <v>605</v>
      </c>
      <c r="L7858" s="1" t="s">
        <v>37996</v>
      </c>
      <c r="M7858" s="2" t="s">
        <v>12</v>
      </c>
      <c r="N7858" s="4">
        <f t="shared" si="1"/>
        <v>43979</v>
      </c>
      <c r="O7858" s="5" t="str">
        <f>IFERROR(__xludf.DUMMYFUNCTION("IF(REGEXMATCH(TRIM(I7858), ""^\d+\s*min""), ""Unclassified"", IF(I7858 = """", ""NR"", I7858))"),"TV-14")</f>
        <v>TV-14</v>
      </c>
      <c r="R7858" s="5" t="str">
        <f t="shared" si="2"/>
        <v>Republic Of Doyle</v>
      </c>
      <c r="S7858" s="5" t="str">
        <f>IFERROR(__xludf.DUMMYFUNCTION("""COMPUTED_VALUE"""),"The Unremarkable Juanquini")</f>
        <v>The Unremarkable Juanquini</v>
      </c>
      <c r="V7858" s="5"/>
      <c r="Y7858" s="5" t="str">
        <f>IFERROR(__xludf.DUMMYFUNCTION("REGEXEXTRACT(J7858, ""^\d+"")"),"6")</f>
        <v>6</v>
      </c>
      <c r="Z7858" s="5" t="str">
        <f>IFERROR(__xludf.DUMMYFUNCTION("REGEXEXTRACT(J7858, ""[A-Za-z ]+$"")")," Seasons")</f>
        <v> Seasons</v>
      </c>
      <c r="AA7858" s="5" t="str">
        <f>IFERROR(__xludf.DUMMYFUNCTION("IF(REGEXMATCH(Z7858, ""Season""), ""TV Show"", ""Movie"")"),"TV Show")</f>
        <v>TV Show</v>
      </c>
    </row>
    <row r="7859">
      <c r="A7859" s="1" t="s">
        <v>37997</v>
      </c>
      <c r="B7859" s="1" t="s">
        <v>27</v>
      </c>
      <c r="C7859" s="1" t="s">
        <v>37998</v>
      </c>
      <c r="D7859" s="1" t="s">
        <v>3614</v>
      </c>
      <c r="E7859" s="1" t="s">
        <v>37999</v>
      </c>
      <c r="F7859" s="1" t="s">
        <v>38000</v>
      </c>
      <c r="G7859" s="1" t="s">
        <v>16947</v>
      </c>
      <c r="H7859" s="1">
        <v>2010.0</v>
      </c>
      <c r="I7859" s="1" t="s">
        <v>378</v>
      </c>
      <c r="J7859" s="1" t="s">
        <v>247</v>
      </c>
      <c r="K7859" s="1" t="s">
        <v>2167</v>
      </c>
      <c r="L7859" s="1" t="s">
        <v>38001</v>
      </c>
      <c r="M7859" s="2" t="s">
        <v>12</v>
      </c>
      <c r="N7859" s="4">
        <f t="shared" si="1"/>
        <v>43831</v>
      </c>
      <c r="O7859" s="5" t="str">
        <f>IFERROR(__xludf.DUMMYFUNCTION("IF(REGEXMATCH(TRIM(I7859), ""^\d+\s*min""), ""Unclassified"", IF(I7859 = """", ""NR"", I7859))"),"R")</f>
        <v>R</v>
      </c>
      <c r="R7859" s="5" t="str">
        <f t="shared" si="2"/>
        <v>Resident Evil: Afterlife</v>
      </c>
      <c r="S7859" s="5" t="str">
        <f>IFERROR(__xludf.DUMMYFUNCTION("""COMPUTED_VALUE"""),"The Unsettling")</f>
        <v>The Unsettling</v>
      </c>
      <c r="V7859" s="5"/>
      <c r="Y7859" s="5" t="str">
        <f>IFERROR(__xludf.DUMMYFUNCTION("REGEXEXTRACT(J7859, ""^\d+"")"),"97")</f>
        <v>97</v>
      </c>
      <c r="Z7859" s="5" t="str">
        <f>IFERROR(__xludf.DUMMYFUNCTION("REGEXEXTRACT(J7859, ""[A-Za-z ]+$"")")," min")</f>
        <v> min</v>
      </c>
      <c r="AA7859" s="5" t="str">
        <f>IFERROR(__xludf.DUMMYFUNCTION("IF(REGEXMATCH(Z7859, ""Season""), ""TV Show"", ""Movie"")"),"Movie")</f>
        <v>Movie</v>
      </c>
    </row>
    <row r="7860">
      <c r="A7860" s="1" t="s">
        <v>38002</v>
      </c>
      <c r="B7860" s="1" t="s">
        <v>27</v>
      </c>
      <c r="C7860" s="1" t="s">
        <v>38003</v>
      </c>
      <c r="D7860" s="1" t="s">
        <v>19028</v>
      </c>
      <c r="E7860" s="1" t="s">
        <v>19028</v>
      </c>
      <c r="F7860" s="1" t="s">
        <v>30</v>
      </c>
      <c r="G7860" s="1" t="s">
        <v>26481</v>
      </c>
      <c r="H7860" s="1">
        <v>2017.0</v>
      </c>
      <c r="I7860" s="1" t="s">
        <v>42</v>
      </c>
      <c r="J7860" s="1" t="s">
        <v>247</v>
      </c>
      <c r="K7860" s="1" t="s">
        <v>700</v>
      </c>
      <c r="L7860" s="1" t="s">
        <v>38004</v>
      </c>
      <c r="M7860" s="2" t="s">
        <v>12</v>
      </c>
      <c r="N7860" s="4">
        <f t="shared" si="1"/>
        <v>43101</v>
      </c>
      <c r="O7860" s="5" t="str">
        <f>IFERROR(__xludf.DUMMYFUNCTION("IF(REGEXMATCH(TRIM(I7860), ""^\d+\s*min""), ""Unclassified"", IF(I7860 = """", ""NR"", I7860))"),"TV-MA")</f>
        <v>TV-MA</v>
      </c>
      <c r="R7860" s="5" t="str">
        <f t="shared" si="2"/>
        <v>Residente</v>
      </c>
      <c r="S7860" s="5" t="str">
        <f>IFERROR(__xludf.DUMMYFUNCTION("""COMPUTED_VALUE"""),"The Untamed")</f>
        <v>The Untamed</v>
      </c>
      <c r="V7860" s="5"/>
      <c r="Y7860" s="5" t="str">
        <f>IFERROR(__xludf.DUMMYFUNCTION("REGEXEXTRACT(J7860, ""^\d+"")"),"97")</f>
        <v>97</v>
      </c>
      <c r="Z7860" s="5" t="str">
        <f>IFERROR(__xludf.DUMMYFUNCTION("REGEXEXTRACT(J7860, ""[A-Za-z ]+$"")")," min")</f>
        <v> min</v>
      </c>
      <c r="AA7860" s="5" t="str">
        <f>IFERROR(__xludf.DUMMYFUNCTION("IF(REGEXMATCH(Z7860, ""Season""), ""TV Show"", ""Movie"")"),"Movie")</f>
        <v>Movie</v>
      </c>
    </row>
    <row r="7861">
      <c r="A7861" s="1" t="s">
        <v>38005</v>
      </c>
      <c r="B7861" s="1" t="s">
        <v>27</v>
      </c>
      <c r="C7861" s="1" t="s">
        <v>38006</v>
      </c>
      <c r="D7861" s="1" t="s">
        <v>13828</v>
      </c>
      <c r="E7861" s="1" t="s">
        <v>38007</v>
      </c>
      <c r="F7861" s="1" t="s">
        <v>30</v>
      </c>
      <c r="G7861" s="1" t="s">
        <v>27203</v>
      </c>
      <c r="H7861" s="1">
        <v>2016.0</v>
      </c>
      <c r="I7861" s="1" t="s">
        <v>42</v>
      </c>
      <c r="J7861" s="1" t="s">
        <v>170</v>
      </c>
      <c r="K7861" s="1" t="s">
        <v>34</v>
      </c>
      <c r="L7861" s="1" t="s">
        <v>38008</v>
      </c>
      <c r="M7861" s="2" t="s">
        <v>12</v>
      </c>
      <c r="N7861" s="4">
        <f t="shared" si="1"/>
        <v>43004</v>
      </c>
      <c r="O7861" s="5" t="str">
        <f>IFERROR(__xludf.DUMMYFUNCTION("IF(REGEXMATCH(TRIM(I7861), ""^\d+\s*min""), ""Unclassified"", IF(I7861 = """", ""NR"", I7861))"),"TV-MA")</f>
        <v>TV-MA</v>
      </c>
      <c r="R7861" s="5" t="str">
        <f t="shared" si="2"/>
        <v>Restless Creature: Wendy Whelan</v>
      </c>
      <c r="S7861" s="5" t="str">
        <f>IFERROR(__xludf.DUMMYFUNCTION("""COMPUTED_VALUE"""),"The Untold Tales Of Armistead Maupin")</f>
        <v>The Untold Tales Of Armistead Maupin</v>
      </c>
      <c r="V7861" s="5"/>
      <c r="Y7861" s="5" t="str">
        <f>IFERROR(__xludf.DUMMYFUNCTION("REGEXEXTRACT(J7861, ""^\d+"")"),"94")</f>
        <v>94</v>
      </c>
      <c r="Z7861" s="5" t="str">
        <f>IFERROR(__xludf.DUMMYFUNCTION("REGEXEXTRACT(J7861, ""[A-Za-z ]+$"")")," min")</f>
        <v> min</v>
      </c>
      <c r="AA7861" s="5" t="str">
        <f>IFERROR(__xludf.DUMMYFUNCTION("IF(REGEXMATCH(Z7861, ""Season""), ""TV Show"", ""Movie"")"),"Movie")</f>
        <v>Movie</v>
      </c>
    </row>
    <row r="7862">
      <c r="A7862" s="1" t="s">
        <v>38009</v>
      </c>
      <c r="B7862" s="1" t="s">
        <v>27</v>
      </c>
      <c r="C7862" s="1" t="s">
        <v>38010</v>
      </c>
      <c r="D7862" s="1" t="s">
        <v>4575</v>
      </c>
      <c r="E7862" s="1" t="s">
        <v>38011</v>
      </c>
      <c r="F7862" s="1" t="s">
        <v>1119</v>
      </c>
      <c r="G7862" s="1" t="s">
        <v>24803</v>
      </c>
      <c r="H7862" s="1">
        <v>1980.0</v>
      </c>
      <c r="I7862" s="1" t="s">
        <v>378</v>
      </c>
      <c r="J7862" s="1" t="s">
        <v>247</v>
      </c>
      <c r="K7862" s="1" t="s">
        <v>1328</v>
      </c>
      <c r="L7862" s="1" t="s">
        <v>38012</v>
      </c>
      <c r="M7862" s="2" t="s">
        <v>12</v>
      </c>
      <c r="N7862" s="4">
        <f t="shared" si="1"/>
        <v>43328</v>
      </c>
      <c r="O7862" s="5" t="str">
        <f>IFERROR(__xludf.DUMMYFUNCTION("IF(REGEXMATCH(TRIM(I7862), ""^\d+\s*min""), ""Unclassified"", IF(I7862 = """", ""NR"", I7862))"),"R")</f>
        <v>R</v>
      </c>
      <c r="R7862" s="5" t="str">
        <f t="shared" si="2"/>
        <v>Return To The 36Th Chamber</v>
      </c>
      <c r="S7862" s="5" t="str">
        <f>IFERROR(__xludf.DUMMYFUNCTION("""COMPUTED_VALUE"""),"The Upshaws")</f>
        <v>The Upshaws</v>
      </c>
      <c r="V7862" s="5"/>
      <c r="Y7862" s="5" t="str">
        <f>IFERROR(__xludf.DUMMYFUNCTION("REGEXEXTRACT(J7862, ""^\d+"")"),"97")</f>
        <v>97</v>
      </c>
      <c r="Z7862" s="5" t="str">
        <f>IFERROR(__xludf.DUMMYFUNCTION("REGEXEXTRACT(J7862, ""[A-Za-z ]+$"")")," min")</f>
        <v> min</v>
      </c>
      <c r="AA7862" s="5" t="str">
        <f>IFERROR(__xludf.DUMMYFUNCTION("IF(REGEXMATCH(Z7862, ""Season""), ""TV Show"", ""Movie"")"),"Movie")</f>
        <v>Movie</v>
      </c>
    </row>
    <row r="7863">
      <c r="A7863" s="1" t="s">
        <v>38013</v>
      </c>
      <c r="B7863" s="1" t="s">
        <v>27</v>
      </c>
      <c r="C7863" s="1" t="s">
        <v>38014</v>
      </c>
      <c r="D7863" s="1" t="s">
        <v>23243</v>
      </c>
      <c r="E7863" s="1" t="s">
        <v>38015</v>
      </c>
      <c r="F7863" s="1" t="s">
        <v>63</v>
      </c>
      <c r="G7863" s="1" t="s">
        <v>28552</v>
      </c>
      <c r="H7863" s="1">
        <v>2016.0</v>
      </c>
      <c r="I7863" s="1" t="s">
        <v>30231</v>
      </c>
      <c r="J7863" s="1" t="s">
        <v>870</v>
      </c>
      <c r="K7863" s="1" t="s">
        <v>128</v>
      </c>
      <c r="L7863" s="1" t="s">
        <v>38016</v>
      </c>
      <c r="M7863" s="2" t="s">
        <v>12</v>
      </c>
      <c r="N7863" s="4">
        <f t="shared" si="1"/>
        <v>42795</v>
      </c>
      <c r="O7863" s="5" t="str">
        <f>IFERROR(__xludf.DUMMYFUNCTION("IF(REGEXMATCH(TRIM(I7863), ""^\d+\s*min""), ""Unclassified"", IF(I7863 = """", ""NR"", I7863))"),"NR")</f>
        <v>NR</v>
      </c>
      <c r="R7863" s="5" t="str">
        <f t="shared" si="2"/>
        <v>Revelations</v>
      </c>
      <c r="S7863" s="5" t="str">
        <f>IFERROR(__xludf.DUMMYFUNCTION("""COMPUTED_VALUE"""),"The Upshaws - The Afterparty")</f>
        <v>The Upshaws - The Afterparty</v>
      </c>
      <c r="V7863" s="5"/>
      <c r="Y7863" s="5" t="str">
        <f>IFERROR(__xludf.DUMMYFUNCTION("REGEXEXTRACT(J7863, ""^\d+"")"),"118")</f>
        <v>118</v>
      </c>
      <c r="Z7863" s="5" t="str">
        <f>IFERROR(__xludf.DUMMYFUNCTION("REGEXEXTRACT(J7863, ""[A-Za-z ]+$"")")," min")</f>
        <v> min</v>
      </c>
      <c r="AA7863" s="5" t="str">
        <f>IFERROR(__xludf.DUMMYFUNCTION("IF(REGEXMATCH(Z7863, ""Season""), ""TV Show"", ""Movie"")"),"Movie")</f>
        <v>Movie</v>
      </c>
    </row>
    <row r="7864">
      <c r="A7864" s="1" t="s">
        <v>38017</v>
      </c>
      <c r="B7864" s="1" t="s">
        <v>37</v>
      </c>
      <c r="C7864" s="1" t="s">
        <v>38018</v>
      </c>
      <c r="E7864" s="1" t="s">
        <v>38019</v>
      </c>
      <c r="G7864" s="7">
        <v>43587.0</v>
      </c>
      <c r="H7864" s="1">
        <v>2017.0</v>
      </c>
      <c r="I7864" s="1" t="s">
        <v>42</v>
      </c>
      <c r="J7864" s="1" t="s">
        <v>51</v>
      </c>
      <c r="K7864" s="1" t="s">
        <v>1362</v>
      </c>
      <c r="L7864" s="1" t="s">
        <v>38020</v>
      </c>
      <c r="M7864" s="2" t="s">
        <v>12</v>
      </c>
      <c r="N7864" s="4">
        <f t="shared" si="1"/>
        <v>43587</v>
      </c>
      <c r="O7864" s="5" t="str">
        <f>IFERROR(__xludf.DUMMYFUNCTION("IF(REGEXMATCH(TRIM(I7864), ""^\d+\s*min""), ""Unclassified"", IF(I7864 = """", ""NR"", I7864))"),"TV-MA")</f>
        <v>TV-MA</v>
      </c>
      <c r="R7864" s="5" t="str">
        <f t="shared" si="2"/>
        <v>Revenge</v>
      </c>
      <c r="S7864" s="5" t="str">
        <f>IFERROR(__xludf.DUMMYFUNCTION("""COMPUTED_VALUE"""),"The Valhalla Murders")</f>
        <v>The Valhalla Murders</v>
      </c>
      <c r="V7864" s="5"/>
      <c r="Y7864" s="5" t="str">
        <f>IFERROR(__xludf.DUMMYFUNCTION("REGEXEXTRACT(J7864, ""^\d+"")"),"1")</f>
        <v>1</v>
      </c>
      <c r="Z7864" s="5" t="str">
        <f>IFERROR(__xludf.DUMMYFUNCTION("REGEXEXTRACT(J7864, ""[A-Za-z ]+$"")")," Season")</f>
        <v> Season</v>
      </c>
      <c r="AA7864" s="5" t="str">
        <f>IFERROR(__xludf.DUMMYFUNCTION("IF(REGEXMATCH(Z7864, ""Season""), ""TV Show"", ""Movie"")"),"TV Show")</f>
        <v>TV Show</v>
      </c>
    </row>
    <row r="7865">
      <c r="A7865" s="1" t="s">
        <v>38021</v>
      </c>
      <c r="B7865" s="1" t="s">
        <v>27</v>
      </c>
      <c r="C7865" s="1" t="s">
        <v>38022</v>
      </c>
      <c r="D7865" s="1" t="s">
        <v>1914</v>
      </c>
      <c r="E7865" s="1" t="s">
        <v>38023</v>
      </c>
      <c r="F7865" s="1" t="s">
        <v>9457</v>
      </c>
      <c r="G7865" s="1" t="s">
        <v>35724</v>
      </c>
      <c r="H7865" s="1">
        <v>2014.0</v>
      </c>
      <c r="I7865" s="1" t="s">
        <v>378</v>
      </c>
      <c r="J7865" s="1" t="s">
        <v>465</v>
      </c>
      <c r="K7865" s="1" t="s">
        <v>8559</v>
      </c>
      <c r="L7865" s="1" t="s">
        <v>38024</v>
      </c>
      <c r="M7865" s="2" t="s">
        <v>12</v>
      </c>
      <c r="N7865" s="4">
        <f t="shared" si="1"/>
        <v>43302</v>
      </c>
      <c r="O7865" s="5" t="str">
        <f>IFERROR(__xludf.DUMMYFUNCTION("IF(REGEXMATCH(TRIM(I7865), ""^\d+\s*min""), ""Unclassified"", IF(I7865 = """", ""NR"", I7865))"),"R")</f>
        <v>R</v>
      </c>
      <c r="R7865" s="5" t="str">
        <f t="shared" si="2"/>
        <v>Revenge Of The Green Dragons</v>
      </c>
      <c r="S7865" s="5" t="str">
        <f>IFERROR(__xludf.DUMMYFUNCTION("""COMPUTED_VALUE"""),"The Vampire Diaries")</f>
        <v>The Vampire Diaries</v>
      </c>
      <c r="V7865" s="5"/>
      <c r="Y7865" s="5" t="str">
        <f>IFERROR(__xludf.DUMMYFUNCTION("REGEXEXTRACT(J7865, ""^\d+"")"),"95")</f>
        <v>95</v>
      </c>
      <c r="Z7865" s="5" t="str">
        <f>IFERROR(__xludf.DUMMYFUNCTION("REGEXEXTRACT(J7865, ""[A-Za-z ]+$"")")," min")</f>
        <v> min</v>
      </c>
      <c r="AA7865" s="5" t="str">
        <f>IFERROR(__xludf.DUMMYFUNCTION("IF(REGEXMATCH(Z7865, ""Season""), ""TV Show"", ""Movie"")"),"Movie")</f>
        <v>Movie</v>
      </c>
    </row>
    <row r="7866">
      <c r="A7866" s="1" t="s">
        <v>38025</v>
      </c>
      <c r="B7866" s="1" t="s">
        <v>37</v>
      </c>
      <c r="C7866" s="1" t="s">
        <v>38026</v>
      </c>
      <c r="D7866" s="1" t="s">
        <v>10182</v>
      </c>
      <c r="E7866" s="1" t="s">
        <v>38027</v>
      </c>
      <c r="F7866" s="1" t="s">
        <v>96</v>
      </c>
      <c r="G7866" s="1" t="s">
        <v>26295</v>
      </c>
      <c r="H7866" s="1">
        <v>2017.0</v>
      </c>
      <c r="I7866" s="1" t="s">
        <v>136</v>
      </c>
      <c r="J7866" s="1" t="s">
        <v>51</v>
      </c>
      <c r="K7866" s="1" t="s">
        <v>712</v>
      </c>
      <c r="L7866" s="1" t="s">
        <v>38028</v>
      </c>
      <c r="M7866" s="2" t="s">
        <v>12</v>
      </c>
      <c r="N7866" s="4">
        <f t="shared" si="1"/>
        <v>43132</v>
      </c>
      <c r="O7866" s="5" t="str">
        <f>IFERROR(__xludf.DUMMYFUNCTION("IF(REGEXMATCH(TRIM(I7866), ""^\d+\s*min""), ""Unclassified"", IF(I7866 = """", ""NR"", I7866))"),"TV-PG")</f>
        <v>TV-PG</v>
      </c>
      <c r="R7866" s="5" t="str">
        <f t="shared" si="2"/>
        <v>Revolting Rhymes</v>
      </c>
      <c r="S7866" s="5" t="str">
        <f>IFERROR(__xludf.DUMMYFUNCTION("""COMPUTED_VALUE"""),"The Vanished")</f>
        <v>The Vanished</v>
      </c>
      <c r="V7866" s="5"/>
      <c r="Y7866" s="5" t="str">
        <f>IFERROR(__xludf.DUMMYFUNCTION("REGEXEXTRACT(J7866, ""^\d+"")"),"1")</f>
        <v>1</v>
      </c>
      <c r="Z7866" s="5" t="str">
        <f>IFERROR(__xludf.DUMMYFUNCTION("REGEXEXTRACT(J7866, ""[A-Za-z ]+$"")")," Season")</f>
        <v> Season</v>
      </c>
      <c r="AA7866" s="5" t="str">
        <f>IFERROR(__xludf.DUMMYFUNCTION("IF(REGEXMATCH(Z7866, ""Season""), ""TV Show"", ""Movie"")"),"TV Show")</f>
        <v>TV Show</v>
      </c>
    </row>
    <row r="7867">
      <c r="A7867" s="1" t="s">
        <v>38029</v>
      </c>
      <c r="B7867" s="1" t="s">
        <v>27</v>
      </c>
      <c r="C7867" s="1" t="s">
        <v>38030</v>
      </c>
      <c r="D7867" s="1" t="s">
        <v>20203</v>
      </c>
      <c r="E7867" s="1" t="s">
        <v>38031</v>
      </c>
      <c r="F7867" s="1" t="s">
        <v>692</v>
      </c>
      <c r="G7867" s="1" t="s">
        <v>18333</v>
      </c>
      <c r="H7867" s="1">
        <v>2008.0</v>
      </c>
      <c r="I7867" s="1" t="s">
        <v>378</v>
      </c>
      <c r="J7867" s="1" t="s">
        <v>985</v>
      </c>
      <c r="K7867" s="1" t="s">
        <v>828</v>
      </c>
      <c r="L7867" s="1" t="s">
        <v>38032</v>
      </c>
      <c r="M7867" s="2" t="s">
        <v>12</v>
      </c>
      <c r="N7867" s="4">
        <f t="shared" si="1"/>
        <v>43770</v>
      </c>
      <c r="O7867" s="5" t="str">
        <f>IFERROR(__xludf.DUMMYFUNCTION("IF(REGEXMATCH(TRIM(I7867), ""^\d+\s*min""), ""Unclassified"", IF(I7867 = """", ""NR"", I7867))"),"R")</f>
        <v>R</v>
      </c>
      <c r="R7867" s="5" t="str">
        <f t="shared" si="2"/>
        <v>Revolutionary Road</v>
      </c>
      <c r="S7867" s="5" t="str">
        <f>IFERROR(__xludf.DUMMYFUNCTION("""COMPUTED_VALUE"""),"The Vatican Tapes")</f>
        <v>The Vatican Tapes</v>
      </c>
      <c r="V7867" s="5"/>
      <c r="Y7867" s="5" t="str">
        <f>IFERROR(__xludf.DUMMYFUNCTION("REGEXEXTRACT(J7867, ""^\d+"")"),"120")</f>
        <v>120</v>
      </c>
      <c r="Z7867" s="5" t="str">
        <f>IFERROR(__xludf.DUMMYFUNCTION("REGEXEXTRACT(J7867, ""[A-Za-z ]+$"")")," min")</f>
        <v> min</v>
      </c>
      <c r="AA7867" s="5" t="str">
        <f>IFERROR(__xludf.DUMMYFUNCTION("IF(REGEXMATCH(Z7867, ""Season""), ""TV Show"", ""Movie"")"),"Movie")</f>
        <v>Movie</v>
      </c>
    </row>
    <row r="7868">
      <c r="A7868" s="1" t="s">
        <v>38033</v>
      </c>
      <c r="B7868" s="1" t="s">
        <v>27</v>
      </c>
      <c r="C7868" s="1" t="s">
        <v>38034</v>
      </c>
      <c r="D7868" s="1" t="s">
        <v>7637</v>
      </c>
      <c r="E7868" s="1" t="s">
        <v>38035</v>
      </c>
      <c r="F7868" s="1" t="s">
        <v>162</v>
      </c>
      <c r="G7868" s="1" t="s">
        <v>29037</v>
      </c>
      <c r="H7868" s="1">
        <v>2012.0</v>
      </c>
      <c r="I7868" s="1" t="s">
        <v>30231</v>
      </c>
      <c r="J7868" s="1" t="s">
        <v>1608</v>
      </c>
      <c r="K7868" s="1" t="s">
        <v>89</v>
      </c>
      <c r="L7868" s="1" t="s">
        <v>38036</v>
      </c>
      <c r="M7868" s="2" t="s">
        <v>12</v>
      </c>
      <c r="N7868" s="4">
        <f t="shared" si="1"/>
        <v>42707</v>
      </c>
      <c r="O7868" s="5" t="str">
        <f>IFERROR(__xludf.DUMMYFUNCTION("IF(REGEXMATCH(TRIM(I7868), ""^\d+\s*min""), ""Unclassified"", IF(I7868 = """", ""NR"", I7868))"),"NR")</f>
        <v>NR</v>
      </c>
      <c r="R7868" s="5" t="str">
        <f t="shared" si="2"/>
        <v>Rezeta</v>
      </c>
      <c r="S7868" s="5" t="str">
        <f>IFERROR(__xludf.DUMMYFUNCTION("""COMPUTED_VALUE"""),"The Vault")</f>
        <v>The Vault</v>
      </c>
      <c r="V7868" s="5"/>
      <c r="Y7868" s="5" t="str">
        <f>IFERROR(__xludf.DUMMYFUNCTION("REGEXEXTRACT(J7868, ""^\d+"")"),"84")</f>
        <v>84</v>
      </c>
      <c r="Z7868" s="5" t="str">
        <f>IFERROR(__xludf.DUMMYFUNCTION("REGEXEXTRACT(J7868, ""[A-Za-z ]+$"")")," min")</f>
        <v> min</v>
      </c>
      <c r="AA7868" s="5" t="str">
        <f>IFERROR(__xludf.DUMMYFUNCTION("IF(REGEXMATCH(Z7868, ""Season""), ""TV Show"", ""Movie"")"),"Movie")</f>
        <v>Movie</v>
      </c>
    </row>
    <row r="7869">
      <c r="A7869" s="1" t="s">
        <v>38037</v>
      </c>
      <c r="B7869" s="1" t="s">
        <v>37</v>
      </c>
      <c r="C7869" s="1" t="s">
        <v>38038</v>
      </c>
      <c r="F7869" s="1" t="s">
        <v>30</v>
      </c>
      <c r="G7869" s="1" t="s">
        <v>21046</v>
      </c>
      <c r="H7869" s="1">
        <v>2016.0</v>
      </c>
      <c r="I7869" s="1" t="s">
        <v>42</v>
      </c>
      <c r="J7869" s="1" t="s">
        <v>148</v>
      </c>
      <c r="K7869" s="1" t="s">
        <v>4146</v>
      </c>
      <c r="L7869" s="1" t="s">
        <v>38039</v>
      </c>
      <c r="M7869" s="2" t="s">
        <v>12</v>
      </c>
      <c r="N7869" s="4">
        <f t="shared" si="1"/>
        <v>43581</v>
      </c>
      <c r="O7869" s="5" t="str">
        <f>IFERROR(__xludf.DUMMYFUNCTION("IF(REGEXMATCH(TRIM(I7869), ""^\d+\s*min""), ""Unclassified"", IF(I7869 = """", ""NR"", I7869))"),"TV-MA")</f>
        <v>TV-MA</v>
      </c>
      <c r="R7869" s="5" t="str">
        <f t="shared" si="2"/>
        <v>Rica, Famosa, Latina</v>
      </c>
      <c r="S7869" s="5" t="str">
        <f>IFERROR(__xludf.DUMMYFUNCTION("""COMPUTED_VALUE"""),"The Vendor")</f>
        <v>The Vendor</v>
      </c>
      <c r="V7869" s="5"/>
      <c r="Y7869" s="5" t="str">
        <f>IFERROR(__xludf.DUMMYFUNCTION("REGEXEXTRACT(J7869, ""^\d+"")"),"4")</f>
        <v>4</v>
      </c>
      <c r="Z7869" s="5" t="str">
        <f>IFERROR(__xludf.DUMMYFUNCTION("REGEXEXTRACT(J7869, ""[A-Za-z ]+$"")")," Seasons")</f>
        <v> Seasons</v>
      </c>
      <c r="AA7869" s="5" t="str">
        <f>IFERROR(__xludf.DUMMYFUNCTION("IF(REGEXMATCH(Z7869, ""Season""), ""TV Show"", ""Movie"")"),"TV Show")</f>
        <v>TV Show</v>
      </c>
    </row>
    <row r="7870">
      <c r="A7870" s="1" t="s">
        <v>38040</v>
      </c>
      <c r="B7870" s="1" t="s">
        <v>27</v>
      </c>
      <c r="C7870" s="1" t="s">
        <v>38041</v>
      </c>
      <c r="D7870" s="1" t="s">
        <v>11555</v>
      </c>
      <c r="E7870" s="1" t="s">
        <v>38042</v>
      </c>
      <c r="F7870" s="1" t="s">
        <v>30</v>
      </c>
      <c r="G7870" s="1" t="s">
        <v>20561</v>
      </c>
      <c r="H7870" s="1">
        <v>2008.0</v>
      </c>
      <c r="I7870" s="1" t="s">
        <v>378</v>
      </c>
      <c r="J7870" s="1" t="s">
        <v>1091</v>
      </c>
      <c r="K7870" s="1" t="s">
        <v>394</v>
      </c>
      <c r="L7870" s="1" t="s">
        <v>38043</v>
      </c>
      <c r="M7870" s="2" t="s">
        <v>12</v>
      </c>
      <c r="N7870" s="4">
        <f t="shared" si="1"/>
        <v>43617</v>
      </c>
      <c r="O7870" s="5" t="str">
        <f>IFERROR(__xludf.DUMMYFUNCTION("IF(REGEXMATCH(TRIM(I7870), ""^\d+\s*min""), ""Unclassified"", IF(I7870 = """", ""NR"", I7870))"),"R")</f>
        <v>R</v>
      </c>
      <c r="R7870" s="5" t="str">
        <f t="shared" si="2"/>
        <v>Righteous Kill</v>
      </c>
      <c r="S7870" s="5" t="str">
        <f>IFERROR(__xludf.DUMMYFUNCTION("""COMPUTED_VALUE"""),"The Victims' Game")</f>
        <v>The Victims' Game</v>
      </c>
      <c r="V7870" s="5"/>
      <c r="Y7870" s="5" t="str">
        <f>IFERROR(__xludf.DUMMYFUNCTION("REGEXEXTRACT(J7870, ""^\d+"")"),"101")</f>
        <v>101</v>
      </c>
      <c r="Z7870" s="5" t="str">
        <f>IFERROR(__xludf.DUMMYFUNCTION("REGEXEXTRACT(J7870, ""[A-Za-z ]+$"")")," min")</f>
        <v> min</v>
      </c>
      <c r="AA7870" s="5" t="str">
        <f>IFERROR(__xludf.DUMMYFUNCTION("IF(REGEXMATCH(Z7870, ""Season""), ""TV Show"", ""Movie"")"),"Movie")</f>
        <v>Movie</v>
      </c>
    </row>
    <row r="7871">
      <c r="A7871" s="1" t="s">
        <v>38044</v>
      </c>
      <c r="B7871" s="1" t="s">
        <v>27</v>
      </c>
      <c r="C7871" s="1" t="s">
        <v>38045</v>
      </c>
      <c r="D7871" s="1" t="s">
        <v>11609</v>
      </c>
      <c r="E7871" s="1" t="s">
        <v>38046</v>
      </c>
      <c r="F7871" s="1" t="s">
        <v>63</v>
      </c>
      <c r="G7871" s="7">
        <v>43221.0</v>
      </c>
      <c r="H7871" s="1">
        <v>2015.0</v>
      </c>
      <c r="I7871" s="1" t="s">
        <v>97</v>
      </c>
      <c r="J7871" s="1" t="s">
        <v>238</v>
      </c>
      <c r="K7871" s="1" t="s">
        <v>128</v>
      </c>
      <c r="L7871" s="1" t="s">
        <v>38047</v>
      </c>
      <c r="M7871" s="2" t="s">
        <v>12</v>
      </c>
      <c r="N7871" s="4">
        <f t="shared" si="1"/>
        <v>43221</v>
      </c>
      <c r="O7871" s="5" t="str">
        <f>IFERROR(__xludf.DUMMYFUNCTION("IF(REGEXMATCH(TRIM(I7871), ""^\d+\s*min""), ""Unclassified"", IF(I7871 = """", ""NR"", I7871))"),"TV-14")</f>
        <v>TV-14</v>
      </c>
      <c r="R7871" s="5" t="str">
        <f t="shared" si="2"/>
        <v>Ringan</v>
      </c>
      <c r="S7871" s="5" t="str">
        <f>IFERROR(__xludf.DUMMYFUNCTION("""COMPUTED_VALUE"""),"The Vietnam War: A Film By Ken Burns And Lynn Novick")</f>
        <v>The Vietnam War: A Film By Ken Burns And Lynn Novick</v>
      </c>
      <c r="V7871" s="5"/>
      <c r="Y7871" s="5" t="str">
        <f>IFERROR(__xludf.DUMMYFUNCTION("REGEXEXTRACT(J7871, ""^\d+"")"),"103")</f>
        <v>103</v>
      </c>
      <c r="Z7871" s="5" t="str">
        <f>IFERROR(__xludf.DUMMYFUNCTION("REGEXEXTRACT(J7871, ""[A-Za-z ]+$"")")," min")</f>
        <v> min</v>
      </c>
      <c r="AA7871" s="5" t="str">
        <f>IFERROR(__xludf.DUMMYFUNCTION("IF(REGEXMATCH(Z7871, ""Season""), ""TV Show"", ""Movie"")"),"Movie")</f>
        <v>Movie</v>
      </c>
    </row>
    <row r="7872">
      <c r="A7872" s="1" t="s">
        <v>38048</v>
      </c>
      <c r="B7872" s="1" t="s">
        <v>37</v>
      </c>
      <c r="C7872" s="1" t="s">
        <v>38049</v>
      </c>
      <c r="E7872" s="1" t="s">
        <v>38050</v>
      </c>
      <c r="F7872" s="1" t="s">
        <v>8186</v>
      </c>
      <c r="G7872" s="1" t="s">
        <v>27276</v>
      </c>
      <c r="H7872" s="1">
        <v>2017.0</v>
      </c>
      <c r="I7872" s="1" t="s">
        <v>42</v>
      </c>
      <c r="J7872" s="1" t="s">
        <v>189</v>
      </c>
      <c r="K7872" s="1" t="s">
        <v>33440</v>
      </c>
      <c r="L7872" s="1" t="s">
        <v>38051</v>
      </c>
      <c r="M7872" s="2" t="s">
        <v>12</v>
      </c>
      <c r="N7872" s="4">
        <f t="shared" si="1"/>
        <v>42986</v>
      </c>
      <c r="O7872" s="5" t="str">
        <f>IFERROR(__xludf.DUMMYFUNCTION("IF(REGEXMATCH(TRIM(I7872), ""^\d+\s*min""), ""Unclassified"", IF(I7872 = """", ""NR"", I7872))"),"TV-MA")</f>
        <v>TV-MA</v>
      </c>
      <c r="R7872" s="5" t="str">
        <f t="shared" si="2"/>
        <v>Ripper Street</v>
      </c>
      <c r="S7872" s="5" t="str">
        <f>IFERROR(__xludf.DUMMYFUNCTION("""COMPUTED_VALUE"""),"The Violin Player")</f>
        <v>The Violin Player</v>
      </c>
      <c r="V7872" s="5"/>
      <c r="Y7872" s="5" t="str">
        <f>IFERROR(__xludf.DUMMYFUNCTION("REGEXEXTRACT(J7872, ""^\d+"")"),"5")</f>
        <v>5</v>
      </c>
      <c r="Z7872" s="5" t="str">
        <f>IFERROR(__xludf.DUMMYFUNCTION("REGEXEXTRACT(J7872, ""[A-Za-z ]+$"")")," Seasons")</f>
        <v> Seasons</v>
      </c>
      <c r="AA7872" s="5" t="str">
        <f>IFERROR(__xludf.DUMMYFUNCTION("IF(REGEXMATCH(Z7872, ""Season""), ""TV Show"", ""Movie"")"),"TV Show")</f>
        <v>TV Show</v>
      </c>
    </row>
    <row r="7873">
      <c r="A7873" s="1" t="s">
        <v>38052</v>
      </c>
      <c r="B7873" s="1" t="s">
        <v>27</v>
      </c>
      <c r="C7873" s="1" t="s">
        <v>38053</v>
      </c>
      <c r="D7873" s="1" t="s">
        <v>6411</v>
      </c>
      <c r="E7873" s="1" t="s">
        <v>38054</v>
      </c>
      <c r="F7873" s="1" t="s">
        <v>63</v>
      </c>
      <c r="G7873" s="1" t="s">
        <v>26596</v>
      </c>
      <c r="H7873" s="1">
        <v>2013.0</v>
      </c>
      <c r="I7873" s="1" t="s">
        <v>42</v>
      </c>
      <c r="J7873" s="1" t="s">
        <v>490</v>
      </c>
      <c r="K7873" s="1" t="s">
        <v>1441</v>
      </c>
      <c r="L7873" s="1" t="s">
        <v>38055</v>
      </c>
      <c r="M7873" s="2" t="s">
        <v>12</v>
      </c>
      <c r="N7873" s="4">
        <f t="shared" si="1"/>
        <v>43084</v>
      </c>
      <c r="O7873" s="5" t="str">
        <f>IFERROR(__xludf.DUMMYFUNCTION("IF(REGEXMATCH(TRIM(I7873), ""^\d+\s*min""), ""Unclassified"", IF(I7873 = """", ""NR"", I7873))"),"TV-MA")</f>
        <v>TV-MA</v>
      </c>
      <c r="R7873" s="5" t="str">
        <f t="shared" si="2"/>
        <v>Rise Of The Zombie</v>
      </c>
      <c r="S7873" s="5" t="str">
        <f>IFERROR(__xludf.DUMMYFUNCTION("""COMPUTED_VALUE"""),"The Visit")</f>
        <v>The Visit</v>
      </c>
      <c r="V7873" s="5"/>
      <c r="Y7873" s="5" t="str">
        <f>IFERROR(__xludf.DUMMYFUNCTION("REGEXEXTRACT(J7873, ""^\d+"")"),"83")</f>
        <v>83</v>
      </c>
      <c r="Z7873" s="5" t="str">
        <f>IFERROR(__xludf.DUMMYFUNCTION("REGEXEXTRACT(J7873, ""[A-Za-z ]+$"")")," min")</f>
        <v> min</v>
      </c>
      <c r="AA7873" s="5" t="str">
        <f>IFERROR(__xludf.DUMMYFUNCTION("IF(REGEXMATCH(Z7873, ""Season""), ""TV Show"", ""Movie"")"),"Movie")</f>
        <v>Movie</v>
      </c>
    </row>
    <row r="7874">
      <c r="A7874" s="1" t="s">
        <v>38056</v>
      </c>
      <c r="B7874" s="1" t="s">
        <v>37</v>
      </c>
      <c r="C7874" s="8" t="s">
        <v>38057</v>
      </c>
      <c r="E7874" s="1" t="s">
        <v>38058</v>
      </c>
      <c r="F7874" s="1" t="s">
        <v>63</v>
      </c>
      <c r="G7874" s="1" t="s">
        <v>25994</v>
      </c>
      <c r="H7874" s="1">
        <v>2010.0</v>
      </c>
      <c r="I7874" s="1" t="s">
        <v>97</v>
      </c>
      <c r="J7874" s="1" t="s">
        <v>51</v>
      </c>
      <c r="K7874" s="1" t="s">
        <v>64</v>
      </c>
      <c r="L7874" s="1" t="s">
        <v>38059</v>
      </c>
      <c r="M7874" s="2" t="s">
        <v>12</v>
      </c>
      <c r="N7874" s="4">
        <f t="shared" si="1"/>
        <v>43174</v>
      </c>
      <c r="O7874" s="5" t="str">
        <f>IFERROR(__xludf.DUMMYFUNCTION("IF(REGEXMATCH(TRIM(I7874), ""^\d+\s*min""), ""Unclassified"", IF(I7874 = """", ""NR"", I7874))"),"TV-14")</f>
        <v>TV-14</v>
      </c>
      <c r="R7874" s="9" t="str">
        <f t="shared" si="2"/>
        <v>Rishta.Com</v>
      </c>
      <c r="S7874" s="5" t="str">
        <f>IFERROR(__xludf.DUMMYFUNCTION("""COMPUTED_VALUE"""),"The Walking Dead")</f>
        <v>The Walking Dead</v>
      </c>
      <c r="V7874" s="5"/>
      <c r="Y7874" s="5" t="str">
        <f>IFERROR(__xludf.DUMMYFUNCTION("REGEXEXTRACT(J7874, ""^\d+"")"),"1")</f>
        <v>1</v>
      </c>
      <c r="Z7874" s="5" t="str">
        <f>IFERROR(__xludf.DUMMYFUNCTION("REGEXEXTRACT(J7874, ""[A-Za-z ]+$"")")," Season")</f>
        <v> Season</v>
      </c>
      <c r="AA7874" s="5" t="str">
        <f>IFERROR(__xludf.DUMMYFUNCTION("IF(REGEXMATCH(Z7874, ""Season""), ""TV Show"", ""Movie"")"),"TV Show")</f>
        <v>TV Show</v>
      </c>
    </row>
    <row r="7875">
      <c r="A7875" s="1" t="s">
        <v>38060</v>
      </c>
      <c r="B7875" s="1" t="s">
        <v>27</v>
      </c>
      <c r="C7875" s="1" t="s">
        <v>38061</v>
      </c>
      <c r="D7875" s="1" t="s">
        <v>2628</v>
      </c>
      <c r="E7875" s="1" t="s">
        <v>38062</v>
      </c>
      <c r="F7875" s="1" t="s">
        <v>63</v>
      </c>
      <c r="G7875" s="1" t="s">
        <v>26883</v>
      </c>
      <c r="H7875" s="1">
        <v>2011.0</v>
      </c>
      <c r="I7875" s="1" t="s">
        <v>42</v>
      </c>
      <c r="J7875" s="1" t="s">
        <v>1256</v>
      </c>
      <c r="K7875" s="1" t="s">
        <v>89</v>
      </c>
      <c r="L7875" s="1" t="s">
        <v>38063</v>
      </c>
      <c r="M7875" s="2" t="s">
        <v>12</v>
      </c>
      <c r="N7875" s="4">
        <f t="shared" si="1"/>
        <v>43040</v>
      </c>
      <c r="O7875" s="5" t="str">
        <f>IFERROR(__xludf.DUMMYFUNCTION("IF(REGEXMATCH(TRIM(I7875), ""^\d+\s*min""), ""Unclassified"", IF(I7875 = """", ""NR"", I7875))"),"TV-MA")</f>
        <v>TV-MA</v>
      </c>
      <c r="R7875" s="5" t="str">
        <f t="shared" si="2"/>
        <v>Rivaaz</v>
      </c>
      <c r="S7875" s="5" t="str">
        <f>IFERROR(__xludf.DUMMYFUNCTION("""COMPUTED_VALUE"""),"The Walls Of The Moon")</f>
        <v>The Walls Of The Moon</v>
      </c>
      <c r="V7875" s="5"/>
      <c r="Y7875" s="5" t="str">
        <f>IFERROR(__xludf.DUMMYFUNCTION("REGEXEXTRACT(J7875, ""^\d+"")"),"107")</f>
        <v>107</v>
      </c>
      <c r="Z7875" s="5" t="str">
        <f>IFERROR(__xludf.DUMMYFUNCTION("REGEXEXTRACT(J7875, ""[A-Za-z ]+$"")")," min")</f>
        <v> min</v>
      </c>
      <c r="AA7875" s="5" t="str">
        <f>IFERROR(__xludf.DUMMYFUNCTION("IF(REGEXMATCH(Z7875, ""Season""), ""TV Show"", ""Movie"")"),"Movie")</f>
        <v>Movie</v>
      </c>
    </row>
    <row r="7876">
      <c r="A7876" s="1" t="s">
        <v>38064</v>
      </c>
      <c r="B7876" s="1" t="s">
        <v>27</v>
      </c>
      <c r="C7876" s="1" t="s">
        <v>38065</v>
      </c>
      <c r="D7876" s="1" t="s">
        <v>1594</v>
      </c>
      <c r="E7876" s="1" t="s">
        <v>38066</v>
      </c>
      <c r="F7876" s="1" t="s">
        <v>63</v>
      </c>
      <c r="G7876" s="1" t="s">
        <v>17078</v>
      </c>
      <c r="H7876" s="1">
        <v>2010.0</v>
      </c>
      <c r="I7876" s="1" t="s">
        <v>97</v>
      </c>
      <c r="J7876" s="1" t="s">
        <v>1383</v>
      </c>
      <c r="K7876" s="1" t="s">
        <v>89</v>
      </c>
      <c r="L7876" s="1" t="s">
        <v>38067</v>
      </c>
      <c r="M7876" s="2" t="s">
        <v>12</v>
      </c>
      <c r="N7876" s="4">
        <f t="shared" si="1"/>
        <v>43830</v>
      </c>
      <c r="O7876" s="5" t="str">
        <f>IFERROR(__xludf.DUMMYFUNCTION("IF(REGEXMATCH(TRIM(I7876), ""^\d+\s*min""), ""Unclassified"", IF(I7876 = """", ""NR"", I7876))"),"TV-14")</f>
        <v>TV-14</v>
      </c>
      <c r="R7876" s="5" t="str">
        <f t="shared" si="2"/>
        <v>Road To Sangam</v>
      </c>
      <c r="S7876" s="5" t="str">
        <f>IFERROR(__xludf.DUMMYFUNCTION("""COMPUTED_VALUE"""),"The Wandering Earth")</f>
        <v>The Wandering Earth</v>
      </c>
      <c r="V7876" s="5"/>
      <c r="Y7876" s="5" t="str">
        <f>IFERROR(__xludf.DUMMYFUNCTION("REGEXEXTRACT(J7876, ""^\d+"")"),"136")</f>
        <v>136</v>
      </c>
      <c r="Z7876" s="5" t="str">
        <f>IFERROR(__xludf.DUMMYFUNCTION("REGEXEXTRACT(J7876, ""[A-Za-z ]+$"")")," min")</f>
        <v> min</v>
      </c>
      <c r="AA7876" s="5" t="str">
        <f>IFERROR(__xludf.DUMMYFUNCTION("IF(REGEXMATCH(Z7876, ""Season""), ""TV Show"", ""Movie"")"),"Movie")</f>
        <v>Movie</v>
      </c>
    </row>
    <row r="7877">
      <c r="A7877" s="1" t="s">
        <v>38068</v>
      </c>
      <c r="B7877" s="1" t="s">
        <v>27</v>
      </c>
      <c r="C7877" s="1" t="s">
        <v>38069</v>
      </c>
      <c r="D7877" s="1" t="s">
        <v>9710</v>
      </c>
      <c r="E7877" s="1" t="s">
        <v>38070</v>
      </c>
      <c r="F7877" s="1" t="s">
        <v>400</v>
      </c>
      <c r="G7877" s="1" t="s">
        <v>29635</v>
      </c>
      <c r="H7877" s="1">
        <v>2015.0</v>
      </c>
      <c r="I7877" s="1" t="s">
        <v>97</v>
      </c>
      <c r="J7877" s="1" t="s">
        <v>322</v>
      </c>
      <c r="K7877" s="1" t="s">
        <v>128</v>
      </c>
      <c r="L7877" s="1" t="s">
        <v>38071</v>
      </c>
      <c r="M7877" s="2" t="s">
        <v>12</v>
      </c>
      <c r="N7877" s="4">
        <f t="shared" si="1"/>
        <v>42552</v>
      </c>
      <c r="O7877" s="5" t="str">
        <f>IFERROR(__xludf.DUMMYFUNCTION("IF(REGEXMATCH(TRIM(I7877), ""^\d+\s*min""), ""Unclassified"", IF(I7877 = """", ""NR"", I7877))"),"TV-14")</f>
        <v>TV-14</v>
      </c>
      <c r="R7877" s="5" t="str">
        <f t="shared" si="2"/>
        <v>Road To Yesterday</v>
      </c>
      <c r="S7877" s="5" t="str">
        <f>IFERROR(__xludf.DUMMYFUNCTION("""COMPUTED_VALUE"""),"The War Next-Door")</f>
        <v>The War Next-Door</v>
      </c>
      <c r="V7877" s="5"/>
      <c r="Y7877" s="5" t="str">
        <f>IFERROR(__xludf.DUMMYFUNCTION("REGEXEXTRACT(J7877, ""^\d+"")"),"96")</f>
        <v>96</v>
      </c>
      <c r="Z7877" s="5" t="str">
        <f>IFERROR(__xludf.DUMMYFUNCTION("REGEXEXTRACT(J7877, ""[A-Za-z ]+$"")")," min")</f>
        <v> min</v>
      </c>
      <c r="AA7877" s="5" t="str">
        <f>IFERROR(__xludf.DUMMYFUNCTION("IF(REGEXMATCH(Z7877, ""Season""), ""TV Show"", ""Movie"")"),"Movie")</f>
        <v>Movie</v>
      </c>
    </row>
    <row r="7878">
      <c r="A7878" s="1" t="s">
        <v>38072</v>
      </c>
      <c r="B7878" s="1" t="s">
        <v>27</v>
      </c>
      <c r="C7878" s="1" t="s">
        <v>38073</v>
      </c>
      <c r="D7878" s="1" t="s">
        <v>18255</v>
      </c>
      <c r="E7878" s="1" t="s">
        <v>18255</v>
      </c>
      <c r="F7878" s="1" t="s">
        <v>1779</v>
      </c>
      <c r="G7878" s="7">
        <v>43221.0</v>
      </c>
      <c r="H7878" s="1">
        <v>2016.0</v>
      </c>
      <c r="I7878" s="1" t="s">
        <v>97</v>
      </c>
      <c r="J7878" s="1" t="s">
        <v>9520</v>
      </c>
      <c r="K7878" s="1" t="s">
        <v>156</v>
      </c>
      <c r="L7878" s="1" t="s">
        <v>38074</v>
      </c>
      <c r="M7878" s="2" t="s">
        <v>12</v>
      </c>
      <c r="N7878" s="4">
        <f t="shared" si="1"/>
        <v>43221</v>
      </c>
      <c r="O7878" s="5" t="str">
        <f>IFERROR(__xludf.DUMMYFUNCTION("IF(REGEXMATCH(TRIM(I7878), ""^\d+\s*min""), ""Unclassified"", IF(I7878 = """", ""NR"", I7878))"),"TV-14")</f>
        <v>TV-14</v>
      </c>
      <c r="R7878" s="5" t="str">
        <f t="shared" si="2"/>
        <v>Roberto Saviano: Writing Under Police Protection</v>
      </c>
      <c r="S7878" s="5" t="str">
        <f>IFERROR(__xludf.DUMMYFUNCTION("""COMPUTED_VALUE"""),"The War: A Film By Ken Burns And Lynn Novick")</f>
        <v>The War: A Film By Ken Burns And Lynn Novick</v>
      </c>
      <c r="V7878" s="5"/>
      <c r="Y7878" s="5" t="str">
        <f>IFERROR(__xludf.DUMMYFUNCTION("REGEXEXTRACT(J7878, ""^\d+"")"),"45")</f>
        <v>45</v>
      </c>
      <c r="Z7878" s="5" t="str">
        <f>IFERROR(__xludf.DUMMYFUNCTION("REGEXEXTRACT(J7878, ""[A-Za-z ]+$"")")," min")</f>
        <v> min</v>
      </c>
      <c r="AA7878" s="5" t="str">
        <f>IFERROR(__xludf.DUMMYFUNCTION("IF(REGEXMATCH(Z7878, ""Season""), ""TV Show"", ""Movie"")"),"Movie")</f>
        <v>Movie</v>
      </c>
    </row>
    <row r="7879">
      <c r="A7879" s="1" t="s">
        <v>38075</v>
      </c>
      <c r="B7879" s="1" t="s">
        <v>27</v>
      </c>
      <c r="C7879" s="1" t="s">
        <v>38076</v>
      </c>
      <c r="D7879" s="1" t="s">
        <v>16788</v>
      </c>
      <c r="E7879" s="1" t="s">
        <v>38077</v>
      </c>
      <c r="F7879" s="1" t="s">
        <v>96</v>
      </c>
      <c r="G7879" s="7">
        <v>43586.0</v>
      </c>
      <c r="H7879" s="1">
        <v>2018.0</v>
      </c>
      <c r="I7879" s="1" t="s">
        <v>97</v>
      </c>
      <c r="J7879" s="1" t="s">
        <v>665</v>
      </c>
      <c r="K7879" s="1" t="s">
        <v>15076</v>
      </c>
      <c r="L7879" s="1" t="s">
        <v>38078</v>
      </c>
      <c r="M7879" s="2" t="s">
        <v>12</v>
      </c>
      <c r="N7879" s="4">
        <f t="shared" si="1"/>
        <v>43586</v>
      </c>
      <c r="O7879" s="5" t="str">
        <f>IFERROR(__xludf.DUMMYFUNCTION("IF(REGEXMATCH(TRIM(I7879), ""^\d+\s*min""), ""Unclassified"", IF(I7879 = """", ""NR"", I7879))"),"TV-14")</f>
        <v>TV-14</v>
      </c>
      <c r="R7879" s="5" t="str">
        <f t="shared" si="2"/>
        <v>Robin Hood: The Rebellion</v>
      </c>
      <c r="S7879" s="5" t="str">
        <f>IFERROR(__xludf.DUMMYFUNCTION("""COMPUTED_VALUE"""),"The Warning")</f>
        <v>The Warning</v>
      </c>
      <c r="V7879" s="5"/>
      <c r="Y7879" s="5" t="str">
        <f>IFERROR(__xludf.DUMMYFUNCTION("REGEXEXTRACT(J7879, ""^\d+"")"),"92")</f>
        <v>92</v>
      </c>
      <c r="Z7879" s="5" t="str">
        <f>IFERROR(__xludf.DUMMYFUNCTION("REGEXEXTRACT(J7879, ""[A-Za-z ]+$"")")," min")</f>
        <v> min</v>
      </c>
      <c r="AA7879" s="5" t="str">
        <f>IFERROR(__xludf.DUMMYFUNCTION("IF(REGEXMATCH(Z7879, ""Season""), ""TV Show"", ""Movie"")"),"Movie")</f>
        <v>Movie</v>
      </c>
    </row>
    <row r="7880">
      <c r="A7880" s="1" t="s">
        <v>38079</v>
      </c>
      <c r="B7880" s="1" t="s">
        <v>37</v>
      </c>
      <c r="C7880" s="1" t="s">
        <v>38080</v>
      </c>
      <c r="E7880" s="1" t="s">
        <v>38081</v>
      </c>
      <c r="F7880" s="1" t="s">
        <v>1846</v>
      </c>
      <c r="G7880" s="1" t="s">
        <v>29338</v>
      </c>
      <c r="H7880" s="1">
        <v>1985.0</v>
      </c>
      <c r="I7880" s="1" t="s">
        <v>42</v>
      </c>
      <c r="J7880" s="1" t="s">
        <v>51</v>
      </c>
      <c r="K7880" s="1" t="s">
        <v>2439</v>
      </c>
      <c r="L7880" s="1" t="s">
        <v>38082</v>
      </c>
      <c r="M7880" s="2" t="s">
        <v>12</v>
      </c>
      <c r="N7880" s="4">
        <f t="shared" si="1"/>
        <v>42644</v>
      </c>
      <c r="O7880" s="5" t="str">
        <f>IFERROR(__xludf.DUMMYFUNCTION("IF(REGEXMATCH(TRIM(I7880), ""^\d+\s*min""), ""Unclassified"", IF(I7880 = """", ""NR"", I7880))"),"TV-MA")</f>
        <v>TV-MA</v>
      </c>
      <c r="R7880" s="5" t="str">
        <f t="shared" si="2"/>
        <v>Robotech</v>
      </c>
      <c r="S7880" s="5" t="str">
        <f>IFERROR(__xludf.DUMMYFUNCTION("""COMPUTED_VALUE"""),"The Water Diviner")</f>
        <v>The Water Diviner</v>
      </c>
      <c r="V7880" s="5"/>
      <c r="Y7880" s="5" t="str">
        <f>IFERROR(__xludf.DUMMYFUNCTION("REGEXEXTRACT(J7880, ""^\d+"")"),"1")</f>
        <v>1</v>
      </c>
      <c r="Z7880" s="5" t="str">
        <f>IFERROR(__xludf.DUMMYFUNCTION("REGEXEXTRACT(J7880, ""[A-Za-z ]+$"")")," Season")</f>
        <v> Season</v>
      </c>
      <c r="AA7880" s="5" t="str">
        <f>IFERROR(__xludf.DUMMYFUNCTION("IF(REGEXMATCH(Z7880, ""Season""), ""TV Show"", ""Movie"")"),"TV Show")</f>
        <v>TV Show</v>
      </c>
    </row>
    <row r="7881">
      <c r="A7881" s="1" t="s">
        <v>38083</v>
      </c>
      <c r="B7881" s="1" t="s">
        <v>27</v>
      </c>
      <c r="C7881" s="1" t="s">
        <v>38084</v>
      </c>
      <c r="D7881" s="1" t="s">
        <v>3731</v>
      </c>
      <c r="E7881" s="1" t="s">
        <v>38085</v>
      </c>
      <c r="F7881" s="1" t="s">
        <v>30</v>
      </c>
      <c r="G7881" s="1" t="s">
        <v>19813</v>
      </c>
      <c r="H7881" s="1">
        <v>1976.0</v>
      </c>
      <c r="I7881" s="1" t="s">
        <v>78</v>
      </c>
      <c r="J7881" s="1" t="s">
        <v>985</v>
      </c>
      <c r="K7881" s="1" t="s">
        <v>342</v>
      </c>
      <c r="L7881" s="1" t="s">
        <v>38086</v>
      </c>
      <c r="M7881" s="2" t="s">
        <v>12</v>
      </c>
      <c r="N7881" s="4">
        <f t="shared" si="1"/>
        <v>43678</v>
      </c>
      <c r="O7881" s="5" t="str">
        <f>IFERROR(__xludf.DUMMYFUNCTION("IF(REGEXMATCH(TRIM(I7881), ""^\d+\s*min""), ""Unclassified"", IF(I7881 = """", ""NR"", I7881))"),"PG")</f>
        <v>PG</v>
      </c>
      <c r="R7881" s="5" t="str">
        <f t="shared" si="2"/>
        <v>Rocky</v>
      </c>
      <c r="S7881" s="5" t="str">
        <f>IFERROR(__xludf.DUMMYFUNCTION("""COMPUTED_VALUE"""),"The Water Horse: Legend Of The Deep")</f>
        <v>The Water Horse: Legend Of The Deep</v>
      </c>
      <c r="V7881" s="5"/>
      <c r="Y7881" s="5" t="str">
        <f>IFERROR(__xludf.DUMMYFUNCTION("REGEXEXTRACT(J7881, ""^\d+"")"),"120")</f>
        <v>120</v>
      </c>
      <c r="Z7881" s="5" t="str">
        <f>IFERROR(__xludf.DUMMYFUNCTION("REGEXEXTRACT(J7881, ""[A-Za-z ]+$"")")," min")</f>
        <v> min</v>
      </c>
      <c r="AA7881" s="5" t="str">
        <f>IFERROR(__xludf.DUMMYFUNCTION("IF(REGEXMATCH(Z7881, ""Season""), ""TV Show"", ""Movie"")"),"Movie")</f>
        <v>Movie</v>
      </c>
    </row>
    <row r="7882">
      <c r="A7882" s="1" t="s">
        <v>38087</v>
      </c>
      <c r="B7882" s="1" t="s">
        <v>27</v>
      </c>
      <c r="C7882" s="1" t="s">
        <v>38088</v>
      </c>
      <c r="D7882" s="1" t="s">
        <v>22074</v>
      </c>
      <c r="E7882" s="1" t="s">
        <v>38089</v>
      </c>
      <c r="F7882" s="1" t="s">
        <v>30</v>
      </c>
      <c r="G7882" s="1" t="s">
        <v>19813</v>
      </c>
      <c r="H7882" s="1">
        <v>1979.0</v>
      </c>
      <c r="I7882" s="1" t="s">
        <v>78</v>
      </c>
      <c r="J7882" s="1" t="s">
        <v>804</v>
      </c>
      <c r="K7882" s="1" t="s">
        <v>2275</v>
      </c>
      <c r="L7882" s="1" t="s">
        <v>38090</v>
      </c>
      <c r="M7882" s="2" t="s">
        <v>12</v>
      </c>
      <c r="N7882" s="4">
        <f t="shared" si="1"/>
        <v>43678</v>
      </c>
      <c r="O7882" s="5" t="str">
        <f>IFERROR(__xludf.DUMMYFUNCTION("IF(REGEXMATCH(TRIM(I7882), ""^\d+\s*min""), ""Unclassified"", IF(I7882 = """", ""NR"", I7882))"),"PG")</f>
        <v>PG</v>
      </c>
      <c r="R7882" s="5" t="str">
        <f t="shared" si="2"/>
        <v>Rocky Ii</v>
      </c>
      <c r="S7882" s="5" t="str">
        <f>IFERROR(__xludf.DUMMYFUNCTION("""COMPUTED_VALUE"""),"The Water Man")</f>
        <v>The Water Man</v>
      </c>
      <c r="V7882" s="5"/>
      <c r="Y7882" s="5" t="str">
        <f>IFERROR(__xludf.DUMMYFUNCTION("REGEXEXTRACT(J7882, ""^\d+"")"),"119")</f>
        <v>119</v>
      </c>
      <c r="Z7882" s="5" t="str">
        <f>IFERROR(__xludf.DUMMYFUNCTION("REGEXEXTRACT(J7882, ""[A-Za-z ]+$"")")," min")</f>
        <v> min</v>
      </c>
      <c r="AA7882" s="5" t="str">
        <f>IFERROR(__xludf.DUMMYFUNCTION("IF(REGEXMATCH(Z7882, ""Season""), ""TV Show"", ""Movie"")"),"Movie")</f>
        <v>Movie</v>
      </c>
    </row>
    <row r="7883">
      <c r="A7883" s="1" t="s">
        <v>38091</v>
      </c>
      <c r="B7883" s="1" t="s">
        <v>27</v>
      </c>
      <c r="C7883" s="1" t="s">
        <v>38092</v>
      </c>
      <c r="D7883" s="1" t="s">
        <v>22074</v>
      </c>
      <c r="E7883" s="1" t="s">
        <v>38093</v>
      </c>
      <c r="F7883" s="1" t="s">
        <v>30</v>
      </c>
      <c r="G7883" s="1" t="s">
        <v>19813</v>
      </c>
      <c r="H7883" s="1">
        <v>1982.0</v>
      </c>
      <c r="I7883" s="1" t="s">
        <v>78</v>
      </c>
      <c r="J7883" s="1" t="s">
        <v>433</v>
      </c>
      <c r="K7883" s="1" t="s">
        <v>2275</v>
      </c>
      <c r="L7883" s="1" t="s">
        <v>38094</v>
      </c>
      <c r="M7883" s="2" t="s">
        <v>12</v>
      </c>
      <c r="N7883" s="4">
        <f t="shared" si="1"/>
        <v>43678</v>
      </c>
      <c r="O7883" s="5" t="str">
        <f>IFERROR(__xludf.DUMMYFUNCTION("IF(REGEXMATCH(TRIM(I7883), ""^\d+\s*min""), ""Unclassified"", IF(I7883 = """", ""NR"", I7883))"),"PG")</f>
        <v>PG</v>
      </c>
      <c r="R7883" s="5" t="str">
        <f t="shared" si="2"/>
        <v>Rocky Iii</v>
      </c>
      <c r="S7883" s="5" t="str">
        <f>IFERROR(__xludf.DUMMYFUNCTION("""COMPUTED_VALUE"""),"The Waterboy")</f>
        <v>The Waterboy</v>
      </c>
      <c r="V7883" s="5"/>
      <c r="Y7883" s="5" t="str">
        <f>IFERROR(__xludf.DUMMYFUNCTION("REGEXEXTRACT(J7883, ""^\d+"")"),"100")</f>
        <v>100</v>
      </c>
      <c r="Z7883" s="5" t="str">
        <f>IFERROR(__xludf.DUMMYFUNCTION("REGEXEXTRACT(J7883, ""[A-Za-z ]+$"")")," min")</f>
        <v> min</v>
      </c>
      <c r="AA7883" s="5" t="str">
        <f>IFERROR(__xludf.DUMMYFUNCTION("IF(REGEXMATCH(Z7883, ""Season""), ""TV Show"", ""Movie"")"),"Movie")</f>
        <v>Movie</v>
      </c>
    </row>
    <row r="7884">
      <c r="A7884" s="1" t="s">
        <v>38095</v>
      </c>
      <c r="B7884" s="1" t="s">
        <v>27</v>
      </c>
      <c r="C7884" s="1" t="s">
        <v>38096</v>
      </c>
      <c r="D7884" s="1" t="s">
        <v>22074</v>
      </c>
      <c r="E7884" s="1" t="s">
        <v>38097</v>
      </c>
      <c r="F7884" s="1" t="s">
        <v>30</v>
      </c>
      <c r="G7884" s="1" t="s">
        <v>19813</v>
      </c>
      <c r="H7884" s="1">
        <v>1985.0</v>
      </c>
      <c r="I7884" s="1" t="s">
        <v>78</v>
      </c>
      <c r="J7884" s="1" t="s">
        <v>665</v>
      </c>
      <c r="K7884" s="1" t="s">
        <v>2275</v>
      </c>
      <c r="L7884" s="1" t="s">
        <v>38098</v>
      </c>
      <c r="M7884" s="2" t="s">
        <v>12</v>
      </c>
      <c r="N7884" s="4">
        <f t="shared" si="1"/>
        <v>43678</v>
      </c>
      <c r="O7884" s="5" t="str">
        <f>IFERROR(__xludf.DUMMYFUNCTION("IF(REGEXMATCH(TRIM(I7884), ""^\d+\s*min""), ""Unclassified"", IF(I7884 = """", ""NR"", I7884))"),"PG")</f>
        <v>PG</v>
      </c>
      <c r="R7884" s="5" t="str">
        <f t="shared" si="2"/>
        <v>Rocky Iv</v>
      </c>
      <c r="S7884" s="5" t="str">
        <f>IFERROR(__xludf.DUMMYFUNCTION("""COMPUTED_VALUE"""),"The Way Of The Househusband")</f>
        <v>The Way Of The Househusband</v>
      </c>
      <c r="V7884" s="5"/>
      <c r="Y7884" s="5" t="str">
        <f>IFERROR(__xludf.DUMMYFUNCTION("REGEXEXTRACT(J7884, ""^\d+"")"),"92")</f>
        <v>92</v>
      </c>
      <c r="Z7884" s="5" t="str">
        <f>IFERROR(__xludf.DUMMYFUNCTION("REGEXEXTRACT(J7884, ""[A-Za-z ]+$"")")," min")</f>
        <v> min</v>
      </c>
      <c r="AA7884" s="5" t="str">
        <f>IFERROR(__xludf.DUMMYFUNCTION("IF(REGEXMATCH(Z7884, ""Season""), ""TV Show"", ""Movie"")"),"Movie")</f>
        <v>Movie</v>
      </c>
    </row>
    <row r="7885">
      <c r="A7885" s="1" t="s">
        <v>38099</v>
      </c>
      <c r="B7885" s="1" t="s">
        <v>27</v>
      </c>
      <c r="C7885" s="1" t="s">
        <v>38100</v>
      </c>
      <c r="D7885" s="1" t="s">
        <v>3731</v>
      </c>
      <c r="E7885" s="1" t="s">
        <v>38101</v>
      </c>
      <c r="F7885" s="1" t="s">
        <v>30</v>
      </c>
      <c r="G7885" s="1" t="s">
        <v>19813</v>
      </c>
      <c r="H7885" s="1">
        <v>1990.0</v>
      </c>
      <c r="I7885" s="1" t="s">
        <v>32</v>
      </c>
      <c r="J7885" s="1" t="s">
        <v>106</v>
      </c>
      <c r="K7885" s="1" t="s">
        <v>2275</v>
      </c>
      <c r="L7885" s="1" t="s">
        <v>38102</v>
      </c>
      <c r="M7885" s="2" t="s">
        <v>12</v>
      </c>
      <c r="N7885" s="4">
        <f t="shared" si="1"/>
        <v>43678</v>
      </c>
      <c r="O7885" s="5" t="str">
        <f>IFERROR(__xludf.DUMMYFUNCTION("IF(REGEXMATCH(TRIM(I7885), ""^\d+\s*min""), ""Unclassified"", IF(I7885 = """", ""NR"", I7885))"),"PG-13")</f>
        <v>PG-13</v>
      </c>
      <c r="R7885" s="5" t="str">
        <f t="shared" si="2"/>
        <v>Rocky V</v>
      </c>
      <c r="S7885" s="5" t="str">
        <f>IFERROR(__xludf.DUMMYFUNCTION("""COMPUTED_VALUE"""),"The Wedding Coach")</f>
        <v>The Wedding Coach</v>
      </c>
      <c r="V7885" s="5"/>
      <c r="Y7885" s="5" t="str">
        <f>IFERROR(__xludf.DUMMYFUNCTION("REGEXEXTRACT(J7885, ""^\d+"")"),"104")</f>
        <v>104</v>
      </c>
      <c r="Z7885" s="5" t="str">
        <f>IFERROR(__xludf.DUMMYFUNCTION("REGEXEXTRACT(J7885, ""[A-Za-z ]+$"")")," min")</f>
        <v> min</v>
      </c>
      <c r="AA7885" s="5" t="str">
        <f>IFERROR(__xludf.DUMMYFUNCTION("IF(REGEXMATCH(Z7885, ""Season""), ""TV Show"", ""Movie"")"),"Movie")</f>
        <v>Movie</v>
      </c>
    </row>
    <row r="7886">
      <c r="A7886" s="1" t="s">
        <v>38103</v>
      </c>
      <c r="B7886" s="1" t="s">
        <v>27</v>
      </c>
      <c r="C7886" s="1" t="s">
        <v>38104</v>
      </c>
      <c r="D7886" s="1" t="s">
        <v>8007</v>
      </c>
      <c r="E7886" s="1" t="s">
        <v>38105</v>
      </c>
      <c r="F7886" s="1" t="s">
        <v>30</v>
      </c>
      <c r="G7886" s="1" t="s">
        <v>28764</v>
      </c>
      <c r="H7886" s="1">
        <v>2017.0</v>
      </c>
      <c r="I7886" s="1" t="s">
        <v>378</v>
      </c>
      <c r="J7886" s="1" t="s">
        <v>454</v>
      </c>
      <c r="K7886" s="1" t="s">
        <v>942</v>
      </c>
      <c r="L7886" s="1" t="s">
        <v>38106</v>
      </c>
      <c r="M7886" s="2" t="s">
        <v>12</v>
      </c>
      <c r="N7886" s="4">
        <f t="shared" si="1"/>
        <v>42752</v>
      </c>
      <c r="O7886" s="5" t="str">
        <f>IFERROR(__xludf.DUMMYFUNCTION("IF(REGEXMATCH(TRIM(I7886), ""^\d+\s*min""), ""Unclassified"", IF(I7886 = """", ""NR"", I7886))"),"R")</f>
        <v>R</v>
      </c>
      <c r="R7886" s="5" t="str">
        <f t="shared" si="2"/>
        <v>Roger Corman'S Death Race 2050</v>
      </c>
      <c r="S7886" s="5" t="str">
        <f>IFERROR(__xludf.DUMMYFUNCTION("""COMPUTED_VALUE"""),"The Wedding Curse")</f>
        <v>The Wedding Curse</v>
      </c>
      <c r="V7886" s="5"/>
      <c r="Y7886" s="5" t="str">
        <f>IFERROR(__xludf.DUMMYFUNCTION("REGEXEXTRACT(J7886, ""^\d+"")"),"93")</f>
        <v>93</v>
      </c>
      <c r="Z7886" s="5" t="str">
        <f>IFERROR(__xludf.DUMMYFUNCTION("REGEXEXTRACT(J7886, ""[A-Za-z ]+$"")")," min")</f>
        <v> min</v>
      </c>
      <c r="AA7886" s="5" t="str">
        <f>IFERROR(__xludf.DUMMYFUNCTION("IF(REGEXMATCH(Z7886, ""Season""), ""TV Show"", ""Movie"")"),"Movie")</f>
        <v>Movie</v>
      </c>
    </row>
    <row r="7887">
      <c r="A7887" s="1" t="s">
        <v>38107</v>
      </c>
      <c r="B7887" s="1" t="s">
        <v>27</v>
      </c>
      <c r="C7887" s="1" t="s">
        <v>38108</v>
      </c>
      <c r="D7887" s="1" t="s">
        <v>13776</v>
      </c>
      <c r="E7887" s="1" t="s">
        <v>38109</v>
      </c>
      <c r="F7887" s="1" t="s">
        <v>3309</v>
      </c>
      <c r="G7887" s="1" t="s">
        <v>21088</v>
      </c>
      <c r="H7887" s="1">
        <v>2014.0</v>
      </c>
      <c r="I7887" s="1" t="s">
        <v>42</v>
      </c>
      <c r="J7887" s="1" t="s">
        <v>357</v>
      </c>
      <c r="K7887" s="1" t="s">
        <v>128</v>
      </c>
      <c r="L7887" s="1" t="s">
        <v>38110</v>
      </c>
      <c r="M7887" s="2" t="s">
        <v>12</v>
      </c>
      <c r="N7887" s="4">
        <f t="shared" si="1"/>
        <v>43574</v>
      </c>
      <c r="O7887" s="5" t="str">
        <f>IFERROR(__xludf.DUMMYFUNCTION("IF(REGEXMATCH(TRIM(I7887), ""^\d+\s*min""), ""Unclassified"", IF(I7887 = """", ""NR"", I7887))"),"TV-MA")</f>
        <v>TV-MA</v>
      </c>
      <c r="R7887" s="5" t="str">
        <f t="shared" si="2"/>
        <v>Roh'S Beauty</v>
      </c>
      <c r="S7887" s="5" t="str">
        <f>IFERROR(__xludf.DUMMYFUNCTION("""COMPUTED_VALUE"""),"The Wedding Guest")</f>
        <v>The Wedding Guest</v>
      </c>
      <c r="V7887" s="5"/>
      <c r="Y7887" s="5" t="str">
        <f>IFERROR(__xludf.DUMMYFUNCTION("REGEXEXTRACT(J7887, ""^\d+"")"),"98")</f>
        <v>98</v>
      </c>
      <c r="Z7887" s="5" t="str">
        <f>IFERROR(__xludf.DUMMYFUNCTION("REGEXEXTRACT(J7887, ""[A-Za-z ]+$"")")," min")</f>
        <v> min</v>
      </c>
      <c r="AA7887" s="5" t="str">
        <f>IFERROR(__xludf.DUMMYFUNCTION("IF(REGEXMATCH(Z7887, ""Season""), ""TV Show"", ""Movie"")"),"Movie")</f>
        <v>Movie</v>
      </c>
    </row>
    <row r="7888">
      <c r="A7888" s="1" t="s">
        <v>38111</v>
      </c>
      <c r="B7888" s="1" t="s">
        <v>27</v>
      </c>
      <c r="C7888" s="1" t="s">
        <v>38112</v>
      </c>
      <c r="D7888" s="1" t="s">
        <v>16534</v>
      </c>
      <c r="F7888" s="1" t="s">
        <v>30</v>
      </c>
      <c r="G7888" s="1" t="s">
        <v>19694</v>
      </c>
      <c r="H7888" s="1">
        <v>2018.0</v>
      </c>
      <c r="I7888" s="1" t="s">
        <v>42</v>
      </c>
      <c r="J7888" s="1" t="s">
        <v>729</v>
      </c>
      <c r="K7888" s="1" t="s">
        <v>34</v>
      </c>
      <c r="L7888" s="1" t="s">
        <v>38113</v>
      </c>
      <c r="M7888" s="2" t="s">
        <v>12</v>
      </c>
      <c r="N7888" s="4">
        <f t="shared" si="1"/>
        <v>43685</v>
      </c>
      <c r="O7888" s="5" t="str">
        <f>IFERROR(__xludf.DUMMYFUNCTION("IF(REGEXMATCH(TRIM(I7888), ""^\d+\s*min""), ""Unclassified"", IF(I7888 = """", ""NR"", I7888))"),"TV-MA")</f>
        <v>TV-MA</v>
      </c>
      <c r="R7888" s="5" t="str">
        <f t="shared" si="2"/>
        <v>Roll Red Roll</v>
      </c>
      <c r="S7888" s="5" t="str">
        <f>IFERROR(__xludf.DUMMYFUNCTION("""COMPUTED_VALUE"""),"The Wedding Party")</f>
        <v>The Wedding Party</v>
      </c>
      <c r="V7888" s="5"/>
      <c r="Y7888" s="5" t="str">
        <f>IFERROR(__xludf.DUMMYFUNCTION("REGEXEXTRACT(J7888, ""^\d+"")"),"80")</f>
        <v>80</v>
      </c>
      <c r="Z7888" s="5" t="str">
        <f>IFERROR(__xludf.DUMMYFUNCTION("REGEXEXTRACT(J7888, ""[A-Za-z ]+$"")")," min")</f>
        <v> min</v>
      </c>
      <c r="AA7888" s="5" t="str">
        <f>IFERROR(__xludf.DUMMYFUNCTION("IF(REGEXMATCH(Z7888, ""Season""), ""TV Show"", ""Movie"")"),"Movie")</f>
        <v>Movie</v>
      </c>
    </row>
    <row r="7889">
      <c r="A7889" s="1" t="s">
        <v>38114</v>
      </c>
      <c r="B7889" s="1" t="s">
        <v>27</v>
      </c>
      <c r="C7889" s="1" t="s">
        <v>38115</v>
      </c>
      <c r="D7889" s="1" t="s">
        <v>16180</v>
      </c>
      <c r="F7889" s="1" t="s">
        <v>38116</v>
      </c>
      <c r="G7889" s="1" t="s">
        <v>27276</v>
      </c>
      <c r="H7889" s="1">
        <v>2015.0</v>
      </c>
      <c r="I7889" s="1" t="s">
        <v>42</v>
      </c>
      <c r="J7889" s="1" t="s">
        <v>6391</v>
      </c>
      <c r="K7889" s="1" t="s">
        <v>34</v>
      </c>
      <c r="L7889" s="1" t="s">
        <v>38117</v>
      </c>
      <c r="M7889" s="2" t="s">
        <v>12</v>
      </c>
      <c r="N7889" s="4">
        <f t="shared" si="1"/>
        <v>42986</v>
      </c>
      <c r="O7889" s="5" t="str">
        <f>IFERROR(__xludf.DUMMYFUNCTION("IF(REGEXMATCH(TRIM(I7889), ""^\d+\s*min""), ""Unclassified"", IF(I7889 = """", ""NR"", I7889))"),"TV-MA")</f>
        <v>TV-MA</v>
      </c>
      <c r="R7889" s="5" t="str">
        <f t="shared" si="2"/>
        <v>Rolling Papers</v>
      </c>
      <c r="S7889" s="5" t="str">
        <f>IFERROR(__xludf.DUMMYFUNCTION("""COMPUTED_VALUE"""),"The Wedding Party 2: Destination Dubai")</f>
        <v>The Wedding Party 2: Destination Dubai</v>
      </c>
      <c r="V7889" s="5"/>
      <c r="Y7889" s="5" t="str">
        <f>IFERROR(__xludf.DUMMYFUNCTION("REGEXEXTRACT(J7889, ""^\d+"")"),"79")</f>
        <v>79</v>
      </c>
      <c r="Z7889" s="5" t="str">
        <f>IFERROR(__xludf.DUMMYFUNCTION("REGEXEXTRACT(J7889, ""[A-Za-z ]+$"")")," min")</f>
        <v> min</v>
      </c>
      <c r="AA7889" s="5" t="str">
        <f>IFERROR(__xludf.DUMMYFUNCTION("IF(REGEXMATCH(Z7889, ""Season""), ""TV Show"", ""Movie"")"),"Movie")</f>
        <v>Movie</v>
      </c>
    </row>
    <row r="7890">
      <c r="A7890" s="1" t="s">
        <v>38118</v>
      </c>
      <c r="B7890" s="1" t="s">
        <v>27</v>
      </c>
      <c r="C7890" s="1" t="s">
        <v>38119</v>
      </c>
      <c r="D7890" s="1" t="s">
        <v>16621</v>
      </c>
      <c r="E7890" s="1" t="s">
        <v>38120</v>
      </c>
      <c r="F7890" s="1" t="s">
        <v>38121</v>
      </c>
      <c r="G7890" s="1" t="s">
        <v>26883</v>
      </c>
      <c r="H7890" s="1">
        <v>2014.0</v>
      </c>
      <c r="I7890" s="1" t="s">
        <v>97</v>
      </c>
      <c r="J7890" s="1" t="s">
        <v>393</v>
      </c>
      <c r="K7890" s="1" t="s">
        <v>38122</v>
      </c>
      <c r="L7890" s="1" t="s">
        <v>38123</v>
      </c>
      <c r="M7890" s="2" t="s">
        <v>12</v>
      </c>
      <c r="N7890" s="4">
        <f t="shared" si="1"/>
        <v>43040</v>
      </c>
      <c r="O7890" s="5" t="str">
        <f>IFERROR(__xludf.DUMMYFUNCTION("IF(REGEXMATCH(TRIM(I7890), ""^\d+\s*min""), ""Unclassified"", IF(I7890 = """", ""NR"", I7890))"),"TV-14")</f>
        <v>TV-14</v>
      </c>
      <c r="R7890" s="5" t="str">
        <f t="shared" si="2"/>
        <v>Romeo Ranjha</v>
      </c>
      <c r="S7890" s="5" t="str">
        <f>IFERROR(__xludf.DUMMYFUNCTION("""COMPUTED_VALUE"""),"The Wedding Shaman")</f>
        <v>The Wedding Shaman</v>
      </c>
      <c r="V7890" s="5"/>
      <c r="Y7890" s="5" t="str">
        <f>IFERROR(__xludf.DUMMYFUNCTION("REGEXEXTRACT(J7890, ""^\d+"")"),"122")</f>
        <v>122</v>
      </c>
      <c r="Z7890" s="5" t="str">
        <f>IFERROR(__xludf.DUMMYFUNCTION("REGEXEXTRACT(J7890, ""[A-Za-z ]+$"")")," min")</f>
        <v> min</v>
      </c>
      <c r="AA7890" s="5" t="str">
        <f>IFERROR(__xludf.DUMMYFUNCTION("IF(REGEXMATCH(Z7890, ""Season""), ""TV Show"", ""Movie"")"),"Movie")</f>
        <v>Movie</v>
      </c>
    </row>
    <row r="7891">
      <c r="A7891" s="1" t="s">
        <v>38124</v>
      </c>
      <c r="B7891" s="1" t="s">
        <v>27</v>
      </c>
      <c r="C7891" s="1" t="s">
        <v>38125</v>
      </c>
      <c r="D7891" s="1" t="s">
        <v>13632</v>
      </c>
      <c r="E7891" s="1" t="s">
        <v>38126</v>
      </c>
      <c r="F7891" s="1" t="s">
        <v>38127</v>
      </c>
      <c r="G7891" s="1" t="s">
        <v>25080</v>
      </c>
      <c r="H7891" s="1">
        <v>2015.0</v>
      </c>
      <c r="I7891" s="1" t="s">
        <v>378</v>
      </c>
      <c r="J7891" s="1" t="s">
        <v>870</v>
      </c>
      <c r="K7891" s="1" t="s">
        <v>1320</v>
      </c>
      <c r="L7891" s="1" t="s">
        <v>38128</v>
      </c>
      <c r="M7891" s="2" t="s">
        <v>12</v>
      </c>
      <c r="N7891" s="4">
        <f t="shared" si="1"/>
        <v>43300</v>
      </c>
      <c r="O7891" s="5" t="str">
        <f>IFERROR(__xludf.DUMMYFUNCTION("IF(REGEXMATCH(TRIM(I7891), ""^\d+\s*min""), ""Unclassified"", IF(I7891 = """", ""NR"", I7891))"),"R")</f>
        <v>R</v>
      </c>
      <c r="R7891" s="5" t="str">
        <f t="shared" si="2"/>
        <v>Room</v>
      </c>
      <c r="S7891" s="5" t="str">
        <f>IFERROR(__xludf.DUMMYFUNCTION("""COMPUTED_VALUE"""),"The Week Of")</f>
        <v>The Week Of</v>
      </c>
      <c r="V7891" s="5"/>
      <c r="Y7891" s="5" t="str">
        <f>IFERROR(__xludf.DUMMYFUNCTION("REGEXEXTRACT(J7891, ""^\d+"")"),"118")</f>
        <v>118</v>
      </c>
      <c r="Z7891" s="5" t="str">
        <f>IFERROR(__xludf.DUMMYFUNCTION("REGEXEXTRACT(J7891, ""[A-Za-z ]+$"")")," min")</f>
        <v> min</v>
      </c>
      <c r="AA7891" s="5" t="str">
        <f>IFERROR(__xludf.DUMMYFUNCTION("IF(REGEXMATCH(Z7891, ""Season""), ""TV Show"", ""Movie"")"),"Movie")</f>
        <v>Movie</v>
      </c>
    </row>
    <row r="7892">
      <c r="A7892" s="1" t="s">
        <v>38129</v>
      </c>
      <c r="B7892" s="1" t="s">
        <v>27</v>
      </c>
      <c r="C7892" s="1" t="s">
        <v>38130</v>
      </c>
      <c r="D7892" s="1" t="s">
        <v>15295</v>
      </c>
      <c r="E7892" s="1" t="s">
        <v>38131</v>
      </c>
      <c r="F7892" s="1" t="s">
        <v>1106</v>
      </c>
      <c r="G7892" s="1" t="s">
        <v>21838</v>
      </c>
      <c r="H7892" s="1">
        <v>2017.0</v>
      </c>
      <c r="I7892" s="1" t="s">
        <v>42</v>
      </c>
      <c r="J7892" s="1" t="s">
        <v>1191</v>
      </c>
      <c r="K7892" s="1" t="s">
        <v>1749</v>
      </c>
      <c r="L7892" s="1" t="s">
        <v>38132</v>
      </c>
      <c r="M7892" s="2" t="s">
        <v>12</v>
      </c>
      <c r="N7892" s="4">
        <f t="shared" si="1"/>
        <v>43525</v>
      </c>
      <c r="O7892" s="5" t="str">
        <f>IFERROR(__xludf.DUMMYFUNCTION("IF(REGEXMATCH(TRIM(I7892), ""^\d+\s*min""), ""Unclassified"", IF(I7892 = """", ""NR"", I7892))"),"TV-MA")</f>
        <v>TV-MA</v>
      </c>
      <c r="R7892" s="5" t="str">
        <f t="shared" si="2"/>
        <v>Room For Rent</v>
      </c>
      <c r="S7892" s="5" t="str">
        <f>IFERROR(__xludf.DUMMYFUNCTION("""COMPUTED_VALUE"""),"The West Wing")</f>
        <v>The West Wing</v>
      </c>
      <c r="V7892" s="5"/>
      <c r="Y7892" s="5" t="str">
        <f>IFERROR(__xludf.DUMMYFUNCTION("REGEXEXTRACT(J7892, ""^\d+"")"),"89")</f>
        <v>89</v>
      </c>
      <c r="Z7892" s="5" t="str">
        <f>IFERROR(__xludf.DUMMYFUNCTION("REGEXEXTRACT(J7892, ""[A-Za-z ]+$"")")," min")</f>
        <v> min</v>
      </c>
      <c r="AA7892" s="5" t="str">
        <f>IFERROR(__xludf.DUMMYFUNCTION("IF(REGEXMATCH(Z7892, ""Season""), ""TV Show"", ""Movie"")"),"Movie")</f>
        <v>Movie</v>
      </c>
    </row>
    <row r="7893">
      <c r="A7893" s="1" t="s">
        <v>38133</v>
      </c>
      <c r="B7893" s="1" t="s">
        <v>27</v>
      </c>
      <c r="C7893" s="1" t="s">
        <v>38134</v>
      </c>
      <c r="D7893" s="1" t="s">
        <v>15376</v>
      </c>
      <c r="E7893" s="1" t="s">
        <v>38135</v>
      </c>
      <c r="F7893" s="1" t="s">
        <v>3374</v>
      </c>
      <c r="G7893" s="1" t="s">
        <v>20110</v>
      </c>
      <c r="H7893" s="1">
        <v>2012.0</v>
      </c>
      <c r="I7893" s="1" t="s">
        <v>289</v>
      </c>
      <c r="J7893" s="1" t="s">
        <v>9287</v>
      </c>
      <c r="K7893" s="1" t="s">
        <v>30841</v>
      </c>
      <c r="L7893" s="1" t="s">
        <v>38136</v>
      </c>
      <c r="M7893" s="2" t="s">
        <v>12</v>
      </c>
      <c r="N7893" s="4">
        <f t="shared" si="1"/>
        <v>43647</v>
      </c>
      <c r="O7893" s="5" t="str">
        <f>IFERROR(__xludf.DUMMYFUNCTION("IF(REGEXMATCH(TRIM(I7893), ""^\d+\s*min""), ""Unclassified"", IF(I7893 = """", ""NR"", I7893))"),"TV-Y7")</f>
        <v>TV-Y7</v>
      </c>
      <c r="R7893" s="5" t="str">
        <f t="shared" si="2"/>
        <v>Room On The Broom</v>
      </c>
      <c r="S7893" s="5" t="str">
        <f>IFERROR(__xludf.DUMMYFUNCTION("""COMPUTED_VALUE"""),"The White Helmets")</f>
        <v>The White Helmets</v>
      </c>
      <c r="V7893" s="5"/>
      <c r="Y7893" s="5" t="str">
        <f>IFERROR(__xludf.DUMMYFUNCTION("REGEXEXTRACT(J7893, ""^\d+"")"),"26")</f>
        <v>26</v>
      </c>
      <c r="Z7893" s="5" t="str">
        <f>IFERROR(__xludf.DUMMYFUNCTION("REGEXEXTRACT(J7893, ""[A-Za-z ]+$"")")," min")</f>
        <v> min</v>
      </c>
      <c r="AA7893" s="5" t="str">
        <f>IFERROR(__xludf.DUMMYFUNCTION("IF(REGEXMATCH(Z7893, ""Season""), ""TV Show"", ""Movie"")"),"Movie")</f>
        <v>Movie</v>
      </c>
    </row>
    <row r="7894">
      <c r="A7894" s="1" t="s">
        <v>38137</v>
      </c>
      <c r="B7894" s="1" t="s">
        <v>37</v>
      </c>
      <c r="C7894" s="1" t="s">
        <v>38138</v>
      </c>
      <c r="E7894" s="1" t="s">
        <v>38139</v>
      </c>
      <c r="F7894" s="1" t="s">
        <v>2796</v>
      </c>
      <c r="G7894" s="1" t="s">
        <v>20248</v>
      </c>
      <c r="H7894" s="1">
        <v>2016.0</v>
      </c>
      <c r="I7894" s="1" t="s">
        <v>97</v>
      </c>
      <c r="J7894" s="1" t="s">
        <v>276</v>
      </c>
      <c r="K7894" s="1" t="s">
        <v>18157</v>
      </c>
      <c r="L7894" s="1" t="s">
        <v>38140</v>
      </c>
      <c r="M7894" s="2" t="s">
        <v>12</v>
      </c>
      <c r="N7894" s="4">
        <f t="shared" si="1"/>
        <v>43637</v>
      </c>
      <c r="O7894" s="5" t="str">
        <f>IFERROR(__xludf.DUMMYFUNCTION("IF(REGEXMATCH(TRIM(I7894), ""^\d+\s*min""), ""Unclassified"", IF(I7894 = """", ""NR"", I7894))"),"TV-14")</f>
        <v>TV-14</v>
      </c>
      <c r="R7894" s="5" t="str">
        <f t="shared" si="2"/>
        <v>Roonpi Secret Love</v>
      </c>
      <c r="S7894" s="5" t="str">
        <f>IFERROR(__xludf.DUMMYFUNCTION("""COMPUTED_VALUE"""),"The White Tiger")</f>
        <v>The White Tiger</v>
      </c>
      <c r="V7894" s="5"/>
      <c r="Y7894" s="5" t="str">
        <f>IFERROR(__xludf.DUMMYFUNCTION("REGEXEXTRACT(J7894, ""^\d+"")"),"3")</f>
        <v>3</v>
      </c>
      <c r="Z7894" s="5" t="str">
        <f>IFERROR(__xludf.DUMMYFUNCTION("REGEXEXTRACT(J7894, ""[A-Za-z ]+$"")")," Seasons")</f>
        <v> Seasons</v>
      </c>
      <c r="AA7894" s="5" t="str">
        <f>IFERROR(__xludf.DUMMYFUNCTION("IF(REGEXMATCH(Z7894, ""Season""), ""TV Show"", ""Movie"")"),"TV Show")</f>
        <v>TV Show</v>
      </c>
    </row>
    <row r="7895">
      <c r="A7895" s="1" t="s">
        <v>38141</v>
      </c>
      <c r="B7895" s="1" t="s">
        <v>27</v>
      </c>
      <c r="C7895" s="1" t="s">
        <v>38142</v>
      </c>
      <c r="D7895" s="1" t="s">
        <v>21152</v>
      </c>
      <c r="G7895" s="1" t="s">
        <v>26883</v>
      </c>
      <c r="H7895" s="1">
        <v>2016.0</v>
      </c>
      <c r="I7895" s="1" t="s">
        <v>136</v>
      </c>
      <c r="J7895" s="1" t="s">
        <v>2670</v>
      </c>
      <c r="K7895" s="1" t="s">
        <v>2892</v>
      </c>
      <c r="L7895" s="1" t="s">
        <v>38143</v>
      </c>
      <c r="M7895" s="2" t="s">
        <v>12</v>
      </c>
      <c r="N7895" s="4">
        <f t="shared" si="1"/>
        <v>43040</v>
      </c>
      <c r="O7895" s="5" t="str">
        <f>IFERROR(__xludf.DUMMYFUNCTION("IF(REGEXMATCH(TRIM(I7895), ""^\d+\s*min""), ""Unclassified"", IF(I7895 = """", ""NR"", I7895))"),"TV-PG")</f>
        <v>TV-PG</v>
      </c>
      <c r="R7895" s="5" t="str">
        <f t="shared" si="2"/>
        <v>Roots</v>
      </c>
      <c r="S7895" s="5" t="str">
        <f>IFERROR(__xludf.DUMMYFUNCTION("""COMPUTED_VALUE"""),"The Who Was? Show")</f>
        <v>The Who Was? Show</v>
      </c>
      <c r="V7895" s="5"/>
      <c r="Y7895" s="5" t="str">
        <f>IFERROR(__xludf.DUMMYFUNCTION("REGEXEXTRACT(J7895, ""^\d+"")"),"62")</f>
        <v>62</v>
      </c>
      <c r="Z7895" s="5" t="str">
        <f>IFERROR(__xludf.DUMMYFUNCTION("REGEXEXTRACT(J7895, ""[A-Za-z ]+$"")")," min")</f>
        <v> min</v>
      </c>
      <c r="AA7895" s="5" t="str">
        <f>IFERROR(__xludf.DUMMYFUNCTION("IF(REGEXMATCH(Z7895, ""Season""), ""TV Show"", ""Movie"")"),"Movie")</f>
        <v>Movie</v>
      </c>
    </row>
    <row r="7896">
      <c r="A7896" s="1" t="s">
        <v>38144</v>
      </c>
      <c r="B7896" s="1" t="s">
        <v>27</v>
      </c>
      <c r="C7896" s="1" t="s">
        <v>38145</v>
      </c>
      <c r="D7896" s="1" t="s">
        <v>19768</v>
      </c>
      <c r="E7896" s="1" t="s">
        <v>38146</v>
      </c>
      <c r="F7896" s="1" t="s">
        <v>30</v>
      </c>
      <c r="G7896" s="1" t="s">
        <v>18333</v>
      </c>
      <c r="H7896" s="1">
        <v>1968.0</v>
      </c>
      <c r="I7896" s="1" t="s">
        <v>378</v>
      </c>
      <c r="J7896" s="1" t="s">
        <v>4242</v>
      </c>
      <c r="K7896" s="1" t="s">
        <v>38147</v>
      </c>
      <c r="L7896" s="1" t="s">
        <v>38148</v>
      </c>
      <c r="M7896" s="2" t="s">
        <v>12</v>
      </c>
      <c r="N7896" s="4">
        <f t="shared" si="1"/>
        <v>43770</v>
      </c>
      <c r="O7896" s="5" t="str">
        <f>IFERROR(__xludf.DUMMYFUNCTION("IF(REGEXMATCH(TRIM(I7896), ""^\d+\s*min""), ""Unclassified"", IF(I7896 = """", ""NR"", I7896))"),"R")</f>
        <v>R</v>
      </c>
      <c r="R7896" s="5" t="str">
        <f t="shared" si="2"/>
        <v>Rosemary'S Baby</v>
      </c>
      <c r="S7896" s="5" t="str">
        <f>IFERROR(__xludf.DUMMYFUNCTION("""COMPUTED_VALUE"""),"The Whole Nine Yards")</f>
        <v>The Whole Nine Yards</v>
      </c>
      <c r="V7896" s="5"/>
      <c r="Y7896" s="5" t="str">
        <f>IFERROR(__xludf.DUMMYFUNCTION("REGEXEXTRACT(J7896, ""^\d+"")"),"137")</f>
        <v>137</v>
      </c>
      <c r="Z7896" s="5" t="str">
        <f>IFERROR(__xludf.DUMMYFUNCTION("REGEXEXTRACT(J7896, ""[A-Za-z ]+$"")")," min")</f>
        <v> min</v>
      </c>
      <c r="AA7896" s="5" t="str">
        <f>IFERROR(__xludf.DUMMYFUNCTION("IF(REGEXMATCH(Z7896, ""Season""), ""TV Show"", ""Movie"")"),"Movie")</f>
        <v>Movie</v>
      </c>
    </row>
    <row r="7897">
      <c r="A7897" s="1" t="s">
        <v>38149</v>
      </c>
      <c r="B7897" s="1" t="s">
        <v>27</v>
      </c>
      <c r="C7897" s="1" t="s">
        <v>38150</v>
      </c>
      <c r="D7897" s="1" t="s">
        <v>11273</v>
      </c>
      <c r="E7897" s="1" t="s">
        <v>38151</v>
      </c>
      <c r="F7897" s="1" t="s">
        <v>30</v>
      </c>
      <c r="G7897" s="1" t="s">
        <v>18333</v>
      </c>
      <c r="H7897" s="1">
        <v>1998.0</v>
      </c>
      <c r="I7897" s="1" t="s">
        <v>378</v>
      </c>
      <c r="J7897" s="1" t="s">
        <v>941</v>
      </c>
      <c r="K7897" s="1" t="s">
        <v>805</v>
      </c>
      <c r="L7897" s="1" t="s">
        <v>38152</v>
      </c>
      <c r="M7897" s="2" t="s">
        <v>12</v>
      </c>
      <c r="N7897" s="4">
        <f t="shared" si="1"/>
        <v>43770</v>
      </c>
      <c r="O7897" s="5" t="str">
        <f>IFERROR(__xludf.DUMMYFUNCTION("IF(REGEXMATCH(TRIM(I7897), ""^\d+\s*min""), ""Unclassified"", IF(I7897 = """", ""NR"", I7897))"),"R")</f>
        <v>R</v>
      </c>
      <c r="R7897" s="5" t="str">
        <f t="shared" si="2"/>
        <v>Rounders</v>
      </c>
      <c r="S7897" s="5" t="str">
        <f>IFERROR(__xludf.DUMMYFUNCTION("""COMPUTED_VALUE"""),"The Whole Truth")</f>
        <v>The Whole Truth</v>
      </c>
      <c r="V7897" s="5"/>
      <c r="Y7897" s="5" t="str">
        <f>IFERROR(__xludf.DUMMYFUNCTION("REGEXEXTRACT(J7897, ""^\d+"")"),"121")</f>
        <v>121</v>
      </c>
      <c r="Z7897" s="5" t="str">
        <f>IFERROR(__xludf.DUMMYFUNCTION("REGEXEXTRACT(J7897, ""[A-Za-z ]+$"")")," min")</f>
        <v> min</v>
      </c>
      <c r="AA7897" s="5" t="str">
        <f>IFERROR(__xludf.DUMMYFUNCTION("IF(REGEXMATCH(Z7897, ""Season""), ""TV Show"", ""Movie"")"),"Movie")</f>
        <v>Movie</v>
      </c>
    </row>
    <row r="7898">
      <c r="A7898" s="1" t="s">
        <v>38153</v>
      </c>
      <c r="B7898" s="1" t="s">
        <v>37</v>
      </c>
      <c r="C7898" s="1" t="s">
        <v>38154</v>
      </c>
      <c r="D7898" s="1" t="s">
        <v>10373</v>
      </c>
      <c r="E7898" s="1" t="s">
        <v>38155</v>
      </c>
      <c r="F7898" s="1" t="s">
        <v>30</v>
      </c>
      <c r="G7898" s="7">
        <v>42873.0</v>
      </c>
      <c r="H7898" s="1">
        <v>2016.0</v>
      </c>
      <c r="I7898" s="1" t="s">
        <v>136</v>
      </c>
      <c r="J7898" s="1" t="s">
        <v>3285</v>
      </c>
      <c r="K7898" s="1" t="s">
        <v>149</v>
      </c>
      <c r="L7898" s="1" t="s">
        <v>38156</v>
      </c>
      <c r="M7898" s="2" t="s">
        <v>12</v>
      </c>
      <c r="N7898" s="4">
        <f t="shared" si="1"/>
        <v>42873</v>
      </c>
      <c r="O7898" s="5" t="str">
        <f>IFERROR(__xludf.DUMMYFUNCTION("IF(REGEXMATCH(TRIM(I7898), ""^\d+\s*min""), ""Unclassified"", IF(I7898 = """", ""NR"", I7898))"),"TV-PG")</f>
        <v>TV-PG</v>
      </c>
      <c r="R7898" s="5" t="str">
        <f t="shared" si="2"/>
        <v>Royal Pains</v>
      </c>
      <c r="S7898" s="5" t="str">
        <f>IFERROR(__xludf.DUMMYFUNCTION("""COMPUTED_VALUE"""),"The Wiggles")</f>
        <v>The Wiggles</v>
      </c>
      <c r="V7898" s="5"/>
      <c r="Y7898" s="5" t="str">
        <f>IFERROR(__xludf.DUMMYFUNCTION("REGEXEXTRACT(J7898, ""^\d+"")"),"8")</f>
        <v>8</v>
      </c>
      <c r="Z7898" s="5" t="str">
        <f>IFERROR(__xludf.DUMMYFUNCTION("REGEXEXTRACT(J7898, ""[A-Za-z ]+$"")")," Seasons")</f>
        <v> Seasons</v>
      </c>
      <c r="AA7898" s="5" t="str">
        <f>IFERROR(__xludf.DUMMYFUNCTION("IF(REGEXMATCH(Z7898, ""Season""), ""TV Show"", ""Movie"")"),"TV Show")</f>
        <v>TV Show</v>
      </c>
    </row>
    <row r="7899">
      <c r="A7899" s="1" t="s">
        <v>38157</v>
      </c>
      <c r="B7899" s="1" t="s">
        <v>37</v>
      </c>
      <c r="C7899" s="1" t="s">
        <v>38158</v>
      </c>
      <c r="E7899" s="1" t="s">
        <v>38159</v>
      </c>
      <c r="F7899" s="1" t="s">
        <v>162</v>
      </c>
      <c r="G7899" s="1" t="s">
        <v>26505</v>
      </c>
      <c r="H7899" s="1">
        <v>2004.0</v>
      </c>
      <c r="I7899" s="1" t="s">
        <v>136</v>
      </c>
      <c r="J7899" s="1" t="s">
        <v>51</v>
      </c>
      <c r="K7899" s="1" t="s">
        <v>1822</v>
      </c>
      <c r="L7899" s="1" t="s">
        <v>38160</v>
      </c>
      <c r="M7899" s="2" t="s">
        <v>12</v>
      </c>
      <c r="N7899" s="4">
        <f t="shared" si="1"/>
        <v>43100</v>
      </c>
      <c r="O7899" s="5" t="str">
        <f>IFERROR(__xludf.DUMMYFUNCTION("IF(REGEXMATCH(TRIM(I7899), ""^\d+\s*min""), ""Unclassified"", IF(I7899 = """", ""NR"", I7899))"),"TV-PG")</f>
        <v>TV-PG</v>
      </c>
      <c r="R7899" s="5" t="str">
        <f t="shared" si="2"/>
        <v>Rubi</v>
      </c>
      <c r="S7899" s="5" t="str">
        <f>IFERROR(__xludf.DUMMYFUNCTION("""COMPUTED_VALUE"""),"The Willoughbys")</f>
        <v>The Willoughbys</v>
      </c>
      <c r="V7899" s="5"/>
      <c r="Y7899" s="5" t="str">
        <f>IFERROR(__xludf.DUMMYFUNCTION("REGEXEXTRACT(J7899, ""^\d+"")"),"1")</f>
        <v>1</v>
      </c>
      <c r="Z7899" s="5" t="str">
        <f>IFERROR(__xludf.DUMMYFUNCTION("REGEXEXTRACT(J7899, ""[A-Za-z ]+$"")")," Season")</f>
        <v> Season</v>
      </c>
      <c r="AA7899" s="5" t="str">
        <f>IFERROR(__xludf.DUMMYFUNCTION("IF(REGEXMATCH(Z7899, ""Season""), ""TV Show"", ""Movie"")"),"TV Show")</f>
        <v>TV Show</v>
      </c>
    </row>
    <row r="7900">
      <c r="A7900" s="1" t="s">
        <v>38161</v>
      </c>
      <c r="B7900" s="1" t="s">
        <v>27</v>
      </c>
      <c r="C7900" s="1" t="s">
        <v>38162</v>
      </c>
      <c r="D7900" s="1" t="s">
        <v>2685</v>
      </c>
      <c r="E7900" s="1" t="s">
        <v>38163</v>
      </c>
      <c r="F7900" s="1" t="s">
        <v>63</v>
      </c>
      <c r="G7900" s="1" t="s">
        <v>25842</v>
      </c>
      <c r="H7900" s="1">
        <v>2017.0</v>
      </c>
      <c r="I7900" s="1" t="s">
        <v>42</v>
      </c>
      <c r="J7900" s="1" t="s">
        <v>238</v>
      </c>
      <c r="K7900" s="1" t="s">
        <v>89</v>
      </c>
      <c r="L7900" s="1" t="s">
        <v>38164</v>
      </c>
      <c r="M7900" s="2" t="s">
        <v>12</v>
      </c>
      <c r="N7900" s="4">
        <f t="shared" si="1"/>
        <v>43191</v>
      </c>
      <c r="O7900" s="5" t="str">
        <f>IFERROR(__xludf.DUMMYFUNCTION("IF(REGEXMATCH(TRIM(I7900), ""^\d+\s*min""), ""Unclassified"", IF(I7900 = """", ""NR"", I7900))"),"TV-MA")</f>
        <v>TV-MA</v>
      </c>
      <c r="R7900" s="5" t="str">
        <f t="shared" si="2"/>
        <v>Rukh</v>
      </c>
      <c r="S7900" s="5" t="str">
        <f>IFERROR(__xludf.DUMMYFUNCTION("""COMPUTED_VALUE"""),"The Wind")</f>
        <v>The Wind</v>
      </c>
      <c r="V7900" s="5"/>
      <c r="Y7900" s="5" t="str">
        <f>IFERROR(__xludf.DUMMYFUNCTION("REGEXEXTRACT(J7900, ""^\d+"")"),"103")</f>
        <v>103</v>
      </c>
      <c r="Z7900" s="5" t="str">
        <f>IFERROR(__xludf.DUMMYFUNCTION("REGEXEXTRACT(J7900, ""[A-Za-z ]+$"")")," min")</f>
        <v> min</v>
      </c>
      <c r="AA7900" s="5" t="str">
        <f>IFERROR(__xludf.DUMMYFUNCTION("IF(REGEXMATCH(Z7900, ""Season""), ""TV Show"", ""Movie"")"),"Movie")</f>
        <v>Movie</v>
      </c>
    </row>
    <row r="7901">
      <c r="A7901" s="1" t="s">
        <v>38165</v>
      </c>
      <c r="B7901" s="1" t="s">
        <v>27</v>
      </c>
      <c r="C7901" s="1" t="s">
        <v>38166</v>
      </c>
      <c r="D7901" s="1" t="s">
        <v>18486</v>
      </c>
      <c r="E7901" s="1" t="s">
        <v>38167</v>
      </c>
      <c r="F7901" s="1" t="s">
        <v>162</v>
      </c>
      <c r="G7901" s="1" t="s">
        <v>27248</v>
      </c>
      <c r="H7901" s="1">
        <v>2016.0</v>
      </c>
      <c r="I7901" s="1" t="s">
        <v>42</v>
      </c>
      <c r="J7901" s="1" t="s">
        <v>665</v>
      </c>
      <c r="K7901" s="1" t="s">
        <v>16817</v>
      </c>
      <c r="L7901" s="1" t="s">
        <v>38168</v>
      </c>
      <c r="M7901" s="2" t="s">
        <v>12</v>
      </c>
      <c r="N7901" s="4">
        <f t="shared" si="1"/>
        <v>42993</v>
      </c>
      <c r="O7901" s="5" t="str">
        <f>IFERROR(__xludf.DUMMYFUNCTION("IF(REGEXMATCH(TRIM(I7901), ""^\d+\s*min""), ""Unclassified"", IF(I7901 = """", ""NR"", I7901))"),"TV-MA")</f>
        <v>TV-MA</v>
      </c>
      <c r="R7901" s="5" t="str">
        <f t="shared" si="2"/>
        <v>Rumble</v>
      </c>
      <c r="S7901" s="5" t="str">
        <f>IFERROR(__xludf.DUMMYFUNCTION("""COMPUTED_VALUE"""),"The Windsors")</f>
        <v>The Windsors</v>
      </c>
      <c r="V7901" s="5"/>
      <c r="Y7901" s="5" t="str">
        <f>IFERROR(__xludf.DUMMYFUNCTION("REGEXEXTRACT(J7901, ""^\d+"")"),"92")</f>
        <v>92</v>
      </c>
      <c r="Z7901" s="5" t="str">
        <f>IFERROR(__xludf.DUMMYFUNCTION("REGEXEXTRACT(J7901, ""[A-Za-z ]+$"")")," min")</f>
        <v> min</v>
      </c>
      <c r="AA7901" s="5" t="str">
        <f>IFERROR(__xludf.DUMMYFUNCTION("IF(REGEXMATCH(Z7901, ""Season""), ""TV Show"", ""Movie"")"),"Movie")</f>
        <v>Movie</v>
      </c>
    </row>
    <row r="7902">
      <c r="A7902" s="1" t="s">
        <v>38169</v>
      </c>
      <c r="B7902" s="1" t="s">
        <v>27</v>
      </c>
      <c r="C7902" s="1" t="s">
        <v>38170</v>
      </c>
      <c r="D7902" s="1" t="s">
        <v>21466</v>
      </c>
      <c r="E7902" s="1" t="s">
        <v>38171</v>
      </c>
      <c r="F7902" s="1" t="s">
        <v>1119</v>
      </c>
      <c r="G7902" s="1" t="s">
        <v>18333</v>
      </c>
      <c r="H7902" s="1">
        <v>1995.0</v>
      </c>
      <c r="I7902" s="1" t="s">
        <v>378</v>
      </c>
      <c r="J7902" s="1" t="s">
        <v>1191</v>
      </c>
      <c r="K7902" s="1" t="s">
        <v>1328</v>
      </c>
      <c r="L7902" s="1" t="s">
        <v>38172</v>
      </c>
      <c r="M7902" s="2" t="s">
        <v>12</v>
      </c>
      <c r="N7902" s="4">
        <f t="shared" si="1"/>
        <v>43770</v>
      </c>
      <c r="O7902" s="5" t="str">
        <f>IFERROR(__xludf.DUMMYFUNCTION("IF(REGEXMATCH(TRIM(I7902), ""^\d+\s*min""), ""Unclassified"", IF(I7902 = """", ""NR"", I7902))"),"R")</f>
        <v>R</v>
      </c>
      <c r="R7902" s="5" t="str">
        <f t="shared" si="2"/>
        <v>Rumble In The Bronx</v>
      </c>
      <c r="S7902" s="5" t="str">
        <f>IFERROR(__xludf.DUMMYFUNCTION("""COMPUTED_VALUE"""),"The Wishing Tree")</f>
        <v>The Wishing Tree</v>
      </c>
      <c r="V7902" s="5"/>
      <c r="Y7902" s="5" t="str">
        <f>IFERROR(__xludf.DUMMYFUNCTION("REGEXEXTRACT(J7902, ""^\d+"")"),"89")</f>
        <v>89</v>
      </c>
      <c r="Z7902" s="5" t="str">
        <f>IFERROR(__xludf.DUMMYFUNCTION("REGEXEXTRACT(J7902, ""[A-Za-z ]+$"")")," min")</f>
        <v> min</v>
      </c>
      <c r="AA7902" s="5" t="str">
        <f>IFERROR(__xludf.DUMMYFUNCTION("IF(REGEXMATCH(Z7902, ""Season""), ""TV Show"", ""Movie"")"),"Movie")</f>
        <v>Movie</v>
      </c>
    </row>
    <row r="7903">
      <c r="A7903" s="1" t="s">
        <v>38173</v>
      </c>
      <c r="B7903" s="1" t="s">
        <v>27</v>
      </c>
      <c r="C7903" s="1" t="s">
        <v>38174</v>
      </c>
      <c r="D7903" s="1" t="s">
        <v>4824</v>
      </c>
      <c r="E7903" s="1" t="s">
        <v>38175</v>
      </c>
      <c r="F7903" s="1" t="s">
        <v>38176</v>
      </c>
      <c r="G7903" s="1" t="s">
        <v>19813</v>
      </c>
      <c r="H7903" s="1">
        <v>2005.0</v>
      </c>
      <c r="I7903" s="1" t="s">
        <v>32</v>
      </c>
      <c r="J7903" s="1" t="s">
        <v>247</v>
      </c>
      <c r="K7903" s="1" t="s">
        <v>813</v>
      </c>
      <c r="L7903" s="1" t="s">
        <v>38177</v>
      </c>
      <c r="M7903" s="2" t="s">
        <v>12</v>
      </c>
      <c r="N7903" s="4">
        <f t="shared" si="1"/>
        <v>43678</v>
      </c>
      <c r="O7903" s="5" t="str">
        <f>IFERROR(__xludf.DUMMYFUNCTION("IF(REGEXMATCH(TRIM(I7903), ""^\d+\s*min""), ""Unclassified"", IF(I7903 = """", ""NR"", I7903))"),"PG-13")</f>
        <v>PG-13</v>
      </c>
      <c r="R7903" s="5" t="str">
        <f t="shared" si="2"/>
        <v>Rumor Has It</v>
      </c>
      <c r="S7903" s="5" t="str">
        <f>IFERROR(__xludf.DUMMYFUNCTION("""COMPUTED_VALUE"""),"The Witch")</f>
        <v>The Witch</v>
      </c>
      <c r="V7903" s="5"/>
      <c r="Y7903" s="5" t="str">
        <f>IFERROR(__xludf.DUMMYFUNCTION("REGEXEXTRACT(J7903, ""^\d+"")"),"97")</f>
        <v>97</v>
      </c>
      <c r="Z7903" s="5" t="str">
        <f>IFERROR(__xludf.DUMMYFUNCTION("REGEXEXTRACT(J7903, ""[A-Za-z ]+$"")")," min")</f>
        <v> min</v>
      </c>
      <c r="AA7903" s="5" t="str">
        <f>IFERROR(__xludf.DUMMYFUNCTION("IF(REGEXMATCH(Z7903, ""Season""), ""TV Show"", ""Movie"")"),"Movie")</f>
        <v>Movie</v>
      </c>
    </row>
    <row r="7904">
      <c r="A7904" s="1" t="s">
        <v>38178</v>
      </c>
      <c r="B7904" s="1" t="s">
        <v>27</v>
      </c>
      <c r="C7904" s="1" t="s">
        <v>38179</v>
      </c>
      <c r="D7904" s="1" t="s">
        <v>10567</v>
      </c>
      <c r="E7904" s="1" t="s">
        <v>38180</v>
      </c>
      <c r="F7904" s="1" t="s">
        <v>63</v>
      </c>
      <c r="G7904" s="1" t="s">
        <v>26089</v>
      </c>
      <c r="H7904" s="1">
        <v>2004.0</v>
      </c>
      <c r="I7904" s="1" t="s">
        <v>97</v>
      </c>
      <c r="J7904" s="1" t="s">
        <v>7413</v>
      </c>
      <c r="K7904" s="1" t="s">
        <v>1421</v>
      </c>
      <c r="L7904" s="1" t="s">
        <v>38181</v>
      </c>
      <c r="M7904" s="2" t="s">
        <v>12</v>
      </c>
      <c r="N7904" s="4">
        <f t="shared" si="1"/>
        <v>43160</v>
      </c>
      <c r="O7904" s="5" t="str">
        <f>IFERROR(__xludf.DUMMYFUNCTION("IF(REGEXMATCH(TRIM(I7904), ""^\d+\s*min""), ""Unclassified"", IF(I7904 = """", ""NR"", I7904))"),"TV-14")</f>
        <v>TV-14</v>
      </c>
      <c r="R7904" s="5" t="str">
        <f t="shared" si="2"/>
        <v>Run</v>
      </c>
      <c r="S7904" s="5" t="str">
        <f>IFERROR(__xludf.DUMMYFUNCTION("""COMPUTED_VALUE"""),"The Witch Files")</f>
        <v>The Witch Files</v>
      </c>
      <c r="V7904" s="5"/>
      <c r="Y7904" s="5" t="str">
        <f>IFERROR(__xludf.DUMMYFUNCTION("REGEXEXTRACT(J7904, ""^\d+"")"),"134")</f>
        <v>134</v>
      </c>
      <c r="Z7904" s="5" t="str">
        <f>IFERROR(__xludf.DUMMYFUNCTION("REGEXEXTRACT(J7904, ""[A-Za-z ]+$"")")," min")</f>
        <v> min</v>
      </c>
      <c r="AA7904" s="5" t="str">
        <f>IFERROR(__xludf.DUMMYFUNCTION("IF(REGEXMATCH(Z7904, ""Season""), ""TV Show"", ""Movie"")"),"Movie")</f>
        <v>Movie</v>
      </c>
    </row>
    <row r="7905">
      <c r="A7905" s="1" t="s">
        <v>38182</v>
      </c>
      <c r="B7905" s="1" t="s">
        <v>27</v>
      </c>
      <c r="C7905" s="1" t="s">
        <v>38183</v>
      </c>
      <c r="D7905" s="1" t="s">
        <v>2343</v>
      </c>
      <c r="E7905" s="1" t="s">
        <v>38184</v>
      </c>
      <c r="F7905" s="1" t="s">
        <v>30</v>
      </c>
      <c r="G7905" s="1" t="s">
        <v>9391</v>
      </c>
      <c r="H7905" s="1">
        <v>1999.0</v>
      </c>
      <c r="I7905" s="1" t="s">
        <v>78</v>
      </c>
      <c r="J7905" s="1" t="s">
        <v>349</v>
      </c>
      <c r="K7905" s="1" t="s">
        <v>813</v>
      </c>
      <c r="L7905" s="1" t="s">
        <v>38185</v>
      </c>
      <c r="M7905" s="2" t="s">
        <v>12</v>
      </c>
      <c r="N7905" s="4">
        <f t="shared" si="1"/>
        <v>44166</v>
      </c>
      <c r="O7905" s="5" t="str">
        <f>IFERROR(__xludf.DUMMYFUNCTION("IF(REGEXMATCH(TRIM(I7905), ""^\d+\s*min""), ""Unclassified"", IF(I7905 = """", ""NR"", I7905))"),"PG")</f>
        <v>PG</v>
      </c>
      <c r="R7905" s="5" t="str">
        <f t="shared" si="2"/>
        <v>Runaway Bride</v>
      </c>
      <c r="S7905" s="5" t="str">
        <f>IFERROR(__xludf.DUMMYFUNCTION("""COMPUTED_VALUE"""),"The Witch: Part 1 - The Subversion")</f>
        <v>The Witch: Part 1 - The Subversion</v>
      </c>
      <c r="V7905" s="5"/>
      <c r="Y7905" s="5" t="str">
        <f>IFERROR(__xludf.DUMMYFUNCTION("REGEXEXTRACT(J7905, ""^\d+"")"),"116")</f>
        <v>116</v>
      </c>
      <c r="Z7905" s="5" t="str">
        <f>IFERROR(__xludf.DUMMYFUNCTION("REGEXEXTRACT(J7905, ""[A-Za-z ]+$"")")," min")</f>
        <v> min</v>
      </c>
      <c r="AA7905" s="5" t="str">
        <f>IFERROR(__xludf.DUMMYFUNCTION("IF(REGEXMATCH(Z7905, ""Season""), ""TV Show"", ""Movie"")"),"Movie")</f>
        <v>Movie</v>
      </c>
    </row>
    <row r="7906">
      <c r="A7906" s="1" t="s">
        <v>38186</v>
      </c>
      <c r="B7906" s="1" t="s">
        <v>27</v>
      </c>
      <c r="C7906" s="1" t="s">
        <v>38187</v>
      </c>
      <c r="D7906" s="1" t="s">
        <v>5976</v>
      </c>
      <c r="E7906" s="1" t="s">
        <v>38188</v>
      </c>
      <c r="F7906" s="1" t="s">
        <v>30</v>
      </c>
      <c r="G7906" s="1" t="s">
        <v>20308</v>
      </c>
      <c r="H7906" s="1">
        <v>2018.0</v>
      </c>
      <c r="I7906" s="1" t="s">
        <v>97</v>
      </c>
      <c r="J7906" s="1" t="s">
        <v>297</v>
      </c>
      <c r="K7906" s="1" t="s">
        <v>828</v>
      </c>
      <c r="L7906" s="1" t="s">
        <v>38189</v>
      </c>
      <c r="M7906" s="2" t="s">
        <v>12</v>
      </c>
      <c r="N7906" s="4">
        <f t="shared" si="1"/>
        <v>43635</v>
      </c>
      <c r="O7906" s="5" t="str">
        <f>IFERROR(__xludf.DUMMYFUNCTION("IF(REGEXMATCH(TRIM(I7906), ""^\d+\s*min""), ""Unclassified"", IF(I7906 = """", ""NR"", I7906))"),"TV-14")</f>
        <v>TV-14</v>
      </c>
      <c r="R7906" s="5" t="str">
        <f t="shared" si="2"/>
        <v>Running For Grace</v>
      </c>
      <c r="S7906" s="5" t="str">
        <f>IFERROR(__xludf.DUMMYFUNCTION("""COMPUTED_VALUE"""),"The Witcher")</f>
        <v>The Witcher</v>
      </c>
      <c r="V7906" s="5"/>
      <c r="Y7906" s="5" t="str">
        <f>IFERROR(__xludf.DUMMYFUNCTION("REGEXEXTRACT(J7906, ""^\d+"")"),"110")</f>
        <v>110</v>
      </c>
      <c r="Z7906" s="5" t="str">
        <f>IFERROR(__xludf.DUMMYFUNCTION("REGEXEXTRACT(J7906, ""[A-Za-z ]+$"")")," min")</f>
        <v> min</v>
      </c>
      <c r="AA7906" s="5" t="str">
        <f>IFERROR(__xludf.DUMMYFUNCTION("IF(REGEXMATCH(Z7906, ""Season""), ""TV Show"", ""Movie"")"),"Movie")</f>
        <v>Movie</v>
      </c>
    </row>
    <row r="7907">
      <c r="A7907" s="1" t="s">
        <v>38190</v>
      </c>
      <c r="B7907" s="1" t="s">
        <v>27</v>
      </c>
      <c r="C7907" s="1" t="s">
        <v>38191</v>
      </c>
      <c r="D7907" s="1" t="s">
        <v>4821</v>
      </c>
      <c r="E7907" s="1" t="s">
        <v>38192</v>
      </c>
      <c r="F7907" s="1" t="s">
        <v>30</v>
      </c>
      <c r="G7907" s="1" t="s">
        <v>19813</v>
      </c>
      <c r="H7907" s="1">
        <v>2018.0</v>
      </c>
      <c r="I7907" s="1" t="s">
        <v>97</v>
      </c>
      <c r="J7907" s="1" t="s">
        <v>428</v>
      </c>
      <c r="K7907" s="1" t="s">
        <v>171</v>
      </c>
      <c r="L7907" s="1" t="s">
        <v>38193</v>
      </c>
      <c r="M7907" s="2" t="s">
        <v>12</v>
      </c>
      <c r="N7907" s="4">
        <f t="shared" si="1"/>
        <v>43678</v>
      </c>
      <c r="O7907" s="5" t="str">
        <f>IFERROR(__xludf.DUMMYFUNCTION("IF(REGEXMATCH(TRIM(I7907), ""^\d+\s*min""), ""Unclassified"", IF(I7907 = """", ""NR"", I7907))"),"TV-14")</f>
        <v>TV-14</v>
      </c>
      <c r="R7907" s="5" t="str">
        <f t="shared" si="2"/>
        <v>Running Out Of Time</v>
      </c>
      <c r="S7907" s="5" t="str">
        <f>IFERROR(__xludf.DUMMYFUNCTION("""COMPUTED_VALUE"""),"The Witcher: A Look Inside The Episodes")</f>
        <v>The Witcher: A Look Inside The Episodes</v>
      </c>
      <c r="V7907" s="5"/>
      <c r="Y7907" s="5" t="str">
        <f>IFERROR(__xludf.DUMMYFUNCTION("REGEXEXTRACT(J7907, ""^\d+"")"),"88")</f>
        <v>88</v>
      </c>
      <c r="Z7907" s="5" t="str">
        <f>IFERROR(__xludf.DUMMYFUNCTION("REGEXEXTRACT(J7907, ""[A-Za-z ]+$"")")," min")</f>
        <v> min</v>
      </c>
      <c r="AA7907" s="5" t="str">
        <f>IFERROR(__xludf.DUMMYFUNCTION("IF(REGEXMATCH(Z7907, ""Season""), ""TV Show"", ""Movie"")"),"Movie")</f>
        <v>Movie</v>
      </c>
    </row>
    <row r="7908">
      <c r="A7908" s="1" t="s">
        <v>38194</v>
      </c>
      <c r="B7908" s="1" t="s">
        <v>37</v>
      </c>
      <c r="C7908" s="1" t="s">
        <v>38195</v>
      </c>
      <c r="E7908" s="1" t="s">
        <v>38196</v>
      </c>
      <c r="F7908" s="1" t="s">
        <v>415</v>
      </c>
      <c r="G7908" s="1" t="s">
        <v>38197</v>
      </c>
      <c r="H7908" s="1">
        <v>1998.0</v>
      </c>
      <c r="I7908" s="1" t="s">
        <v>97</v>
      </c>
      <c r="J7908" s="1" t="s">
        <v>276</v>
      </c>
      <c r="K7908" s="1" t="s">
        <v>567</v>
      </c>
      <c r="L7908" s="1" t="s">
        <v>38198</v>
      </c>
      <c r="M7908" s="2" t="s">
        <v>12</v>
      </c>
      <c r="N7908" s="1" t="str">
        <f t="shared" si="1"/>
        <v>#N/A</v>
      </c>
      <c r="O7908" s="5" t="str">
        <f>IFERROR(__xludf.DUMMYFUNCTION("IF(REGEXMATCH(TRIM(I7908), ""^\d+\s*min""), ""Unclassified"", IF(I7908 = """", ""NR"", I7908))"),"TV-14")</f>
        <v>TV-14</v>
      </c>
      <c r="R7908" s="5" t="str">
        <f t="shared" si="2"/>
        <v>Rurouni Kenshin</v>
      </c>
      <c r="S7908" s="5" t="str">
        <f>IFERROR(__xludf.DUMMYFUNCTION("""COMPUTED_VALUE"""),"The Witcher: Nightmare Of The Wolf")</f>
        <v>The Witcher: Nightmare Of The Wolf</v>
      </c>
      <c r="V7908" s="5"/>
      <c r="Y7908" s="5" t="str">
        <f>IFERROR(__xludf.DUMMYFUNCTION("REGEXEXTRACT(J7908, ""^\d+"")"),"3")</f>
        <v>3</v>
      </c>
      <c r="Z7908" s="5" t="str">
        <f>IFERROR(__xludf.DUMMYFUNCTION("REGEXEXTRACT(J7908, ""[A-Za-z ]+$"")")," Seasons")</f>
        <v> Seasons</v>
      </c>
      <c r="AA7908" s="5" t="str">
        <f>IFERROR(__xludf.DUMMYFUNCTION("IF(REGEXMATCH(Z7908, ""Season""), ""TV Show"", ""Movie"")"),"TV Show")</f>
        <v>TV Show</v>
      </c>
    </row>
    <row r="7909">
      <c r="A7909" s="1" t="s">
        <v>38199</v>
      </c>
      <c r="B7909" s="1" t="s">
        <v>27</v>
      </c>
      <c r="C7909" s="1" t="s">
        <v>38200</v>
      </c>
      <c r="D7909" s="1" t="s">
        <v>19533</v>
      </c>
      <c r="E7909" s="1" t="s">
        <v>38201</v>
      </c>
      <c r="F7909" s="1" t="s">
        <v>30</v>
      </c>
      <c r="G7909" s="7">
        <v>42134.0</v>
      </c>
      <c r="H7909" s="1">
        <v>2015.0</v>
      </c>
      <c r="I7909" s="1" t="s">
        <v>78</v>
      </c>
      <c r="J7909" s="1" t="s">
        <v>454</v>
      </c>
      <c r="K7909" s="1" t="s">
        <v>2921</v>
      </c>
      <c r="L7909" s="1" t="s">
        <v>38202</v>
      </c>
      <c r="M7909" s="2" t="s">
        <v>12</v>
      </c>
      <c r="N7909" s="4">
        <f t="shared" si="1"/>
        <v>42134</v>
      </c>
      <c r="O7909" s="5" t="str">
        <f>IFERROR(__xludf.DUMMYFUNCTION("IF(REGEXMATCH(TRIM(I7909), ""^\d+\s*min""), ""Unclassified"", IF(I7909 = """", ""NR"", I7909))"),"PG")</f>
        <v>PG</v>
      </c>
      <c r="R7909" s="5" t="str">
        <f t="shared" si="2"/>
        <v>Russell Madness</v>
      </c>
      <c r="S7909" s="5" t="str">
        <f>IFERROR(__xludf.DUMMYFUNCTION("""COMPUTED_VALUE"""),"The Witness Who Didn'T See Anything")</f>
        <v>The Witness Who Didn'T See Anything</v>
      </c>
      <c r="V7909" s="5"/>
      <c r="Y7909" s="5" t="str">
        <f>IFERROR(__xludf.DUMMYFUNCTION("REGEXEXTRACT(J7909, ""^\d+"")"),"93")</f>
        <v>93</v>
      </c>
      <c r="Z7909" s="5" t="str">
        <f>IFERROR(__xludf.DUMMYFUNCTION("REGEXEXTRACT(J7909, ""[A-Za-z ]+$"")")," min")</f>
        <v> min</v>
      </c>
      <c r="AA7909" s="5" t="str">
        <f>IFERROR(__xludf.DUMMYFUNCTION("IF(REGEXMATCH(Z7909, ""Season""), ""TV Show"", ""Movie"")"),"Movie")</f>
        <v>Movie</v>
      </c>
    </row>
    <row r="7910">
      <c r="A7910" s="1" t="s">
        <v>38203</v>
      </c>
      <c r="B7910" s="1" t="s">
        <v>37</v>
      </c>
      <c r="C7910" s="1" t="s">
        <v>38204</v>
      </c>
      <c r="E7910" s="1" t="s">
        <v>29319</v>
      </c>
      <c r="F7910" s="1" t="s">
        <v>30</v>
      </c>
      <c r="G7910" s="1" t="s">
        <v>38205</v>
      </c>
      <c r="H7910" s="1">
        <v>2013.0</v>
      </c>
      <c r="I7910" s="1" t="s">
        <v>30231</v>
      </c>
      <c r="J7910" s="1" t="s">
        <v>51</v>
      </c>
      <c r="K7910" s="1" t="s">
        <v>18511</v>
      </c>
      <c r="L7910" s="1" t="s">
        <v>38206</v>
      </c>
      <c r="M7910" s="2" t="s">
        <v>12</v>
      </c>
      <c r="N7910" s="4">
        <f t="shared" si="1"/>
        <v>41561</v>
      </c>
      <c r="O7910" s="5" t="str">
        <f>IFERROR(__xludf.DUMMYFUNCTION("IF(REGEXMATCH(TRIM(I7910), ""^\d+\s*min""), ""Unclassified"", IF(I7910 = """", ""NR"", I7910))"),"NR")</f>
        <v>NR</v>
      </c>
      <c r="R7910" s="5" t="str">
        <f t="shared" si="2"/>
        <v>Russell Peters Vs. The World</v>
      </c>
      <c r="S7910" s="5" t="str">
        <f>IFERROR(__xludf.DUMMYFUNCTION("""COMPUTED_VALUE"""),"The Wolf'S Call")</f>
        <v>The Wolf'S Call</v>
      </c>
      <c r="V7910" s="5"/>
      <c r="Y7910" s="5" t="str">
        <f>IFERROR(__xludf.DUMMYFUNCTION("REGEXEXTRACT(J7910, ""^\d+"")"),"1")</f>
        <v>1</v>
      </c>
      <c r="Z7910" s="5" t="str">
        <f>IFERROR(__xludf.DUMMYFUNCTION("REGEXEXTRACT(J7910, ""[A-Za-z ]+$"")")," Season")</f>
        <v> Season</v>
      </c>
      <c r="AA7910" s="5" t="str">
        <f>IFERROR(__xludf.DUMMYFUNCTION("IF(REGEXMATCH(Z7910, ""Season""), ""TV Show"", ""Movie"")"),"TV Show")</f>
        <v>TV Show</v>
      </c>
    </row>
    <row r="7911">
      <c r="A7911" s="1" t="s">
        <v>38207</v>
      </c>
      <c r="B7911" s="1" t="s">
        <v>27</v>
      </c>
      <c r="C7911" s="1" t="s">
        <v>38208</v>
      </c>
      <c r="D7911" s="1" t="s">
        <v>5768</v>
      </c>
      <c r="E7911" s="1" t="s">
        <v>29319</v>
      </c>
      <c r="F7911" s="1" t="s">
        <v>30</v>
      </c>
      <c r="G7911" s="1" t="s">
        <v>38205</v>
      </c>
      <c r="H7911" s="1">
        <v>2013.0</v>
      </c>
      <c r="I7911" s="1" t="s">
        <v>30231</v>
      </c>
      <c r="J7911" s="1" t="s">
        <v>4699</v>
      </c>
      <c r="K7911" s="1" t="s">
        <v>1839</v>
      </c>
      <c r="L7911" s="1" t="s">
        <v>38209</v>
      </c>
      <c r="M7911" s="2" t="s">
        <v>12</v>
      </c>
      <c r="N7911" s="4">
        <f t="shared" si="1"/>
        <v>41561</v>
      </c>
      <c r="O7911" s="5" t="str">
        <f>IFERROR(__xludf.DUMMYFUNCTION("IF(REGEXMATCH(TRIM(I7911), ""^\d+\s*min""), ""Unclassified"", IF(I7911 = """", ""NR"", I7911))"),"NR")</f>
        <v>NR</v>
      </c>
      <c r="R7911" s="5" t="str">
        <f t="shared" si="2"/>
        <v>Russell Peters: Notorious</v>
      </c>
      <c r="S7911" s="5" t="str">
        <f>IFERROR(__xludf.DUMMYFUNCTION("""COMPUTED_VALUE"""),"The Woman In The Window")</f>
        <v>The Woman In The Window</v>
      </c>
      <c r="V7911" s="5"/>
      <c r="Y7911" s="5" t="str">
        <f>IFERROR(__xludf.DUMMYFUNCTION("REGEXEXTRACT(J7911, ""^\d+"")"),"72")</f>
        <v>72</v>
      </c>
      <c r="Z7911" s="5" t="str">
        <f>IFERROR(__xludf.DUMMYFUNCTION("REGEXEXTRACT(J7911, ""[A-Za-z ]+$"")")," min")</f>
        <v> min</v>
      </c>
      <c r="AA7911" s="5" t="str">
        <f>IFERROR(__xludf.DUMMYFUNCTION("IF(REGEXMATCH(Z7911, ""Season""), ""TV Show"", ""Movie"")"),"Movie")</f>
        <v>Movie</v>
      </c>
    </row>
    <row r="7912">
      <c r="A7912" s="1" t="s">
        <v>38210</v>
      </c>
      <c r="B7912" s="1" t="s">
        <v>27</v>
      </c>
      <c r="C7912" s="1" t="s">
        <v>38211</v>
      </c>
      <c r="D7912" s="1" t="s">
        <v>6441</v>
      </c>
      <c r="E7912" s="1" t="s">
        <v>38212</v>
      </c>
      <c r="F7912" s="1" t="s">
        <v>63</v>
      </c>
      <c r="G7912" s="1" t="s">
        <v>28816</v>
      </c>
      <c r="H7912" s="1">
        <v>2016.0</v>
      </c>
      <c r="I7912" s="1" t="s">
        <v>97</v>
      </c>
      <c r="J7912" s="1" t="s">
        <v>2274</v>
      </c>
      <c r="K7912" s="1" t="s">
        <v>128</v>
      </c>
      <c r="L7912" s="1" t="s">
        <v>38213</v>
      </c>
      <c r="M7912" s="2" t="s">
        <v>12</v>
      </c>
      <c r="N7912" s="4">
        <f t="shared" si="1"/>
        <v>42741</v>
      </c>
      <c r="O7912" s="5" t="str">
        <f>IFERROR(__xludf.DUMMYFUNCTION("IF(REGEXMATCH(TRIM(I7912), ""^\d+\s*min""), ""Unclassified"", IF(I7912 = """", ""NR"", I7912))"),"TV-14")</f>
        <v>TV-14</v>
      </c>
      <c r="R7912" s="5" t="str">
        <f t="shared" si="2"/>
        <v>Rustom</v>
      </c>
      <c r="S7912" s="5" t="str">
        <f>IFERROR(__xludf.DUMMYFUNCTION("""COMPUTED_VALUE"""),"The Womanizer")</f>
        <v>The Womanizer</v>
      </c>
      <c r="V7912" s="5"/>
      <c r="Y7912" s="5" t="str">
        <f>IFERROR(__xludf.DUMMYFUNCTION("REGEXEXTRACT(J7912, ""^\d+"")"),"141")</f>
        <v>141</v>
      </c>
      <c r="Z7912" s="5" t="str">
        <f>IFERROR(__xludf.DUMMYFUNCTION("REGEXEXTRACT(J7912, ""[A-Za-z ]+$"")")," min")</f>
        <v> min</v>
      </c>
      <c r="AA7912" s="5" t="str">
        <f>IFERROR(__xludf.DUMMYFUNCTION("IF(REGEXMATCH(Z7912, ""Season""), ""TV Show"", ""Movie"")"),"Movie")</f>
        <v>Movie</v>
      </c>
    </row>
    <row r="7913">
      <c r="A7913" s="1" t="s">
        <v>38214</v>
      </c>
      <c r="B7913" s="1" t="s">
        <v>27</v>
      </c>
      <c r="C7913" s="1" t="s">
        <v>38215</v>
      </c>
      <c r="D7913" s="1" t="s">
        <v>1114</v>
      </c>
      <c r="F7913" s="1" t="s">
        <v>1779</v>
      </c>
      <c r="G7913" s="1" t="s">
        <v>27908</v>
      </c>
      <c r="H7913" s="1">
        <v>2016.0</v>
      </c>
      <c r="I7913" s="1" t="s">
        <v>42</v>
      </c>
      <c r="J7913" s="1" t="s">
        <v>1001</v>
      </c>
      <c r="K7913" s="1" t="s">
        <v>156</v>
      </c>
      <c r="L7913" s="1" t="s">
        <v>38216</v>
      </c>
      <c r="M7913" s="2" t="s">
        <v>12</v>
      </c>
      <c r="N7913" s="4">
        <f t="shared" si="1"/>
        <v>42901</v>
      </c>
      <c r="O7913" s="5" t="str">
        <f>IFERROR(__xludf.DUMMYFUNCTION("IF(REGEXMATCH(TRIM(I7913), ""^\d+\s*min""), ""Unclassified"", IF(I7913 = """", ""NR"", I7913))"),"TV-MA")</f>
        <v>TV-MA</v>
      </c>
      <c r="R7913" s="5" t="str">
        <f t="shared" si="2"/>
        <v>S Is For Stanley</v>
      </c>
      <c r="S7913" s="5" t="str">
        <f>IFERROR(__xludf.DUMMYFUNCTION("""COMPUTED_VALUE"""),"The Women And The Murderer")</f>
        <v>The Women And The Murderer</v>
      </c>
      <c r="V7913" s="5"/>
      <c r="Y7913" s="5" t="str">
        <f>IFERROR(__xludf.DUMMYFUNCTION("REGEXEXTRACT(J7913, ""^\d+"")"),"82")</f>
        <v>82</v>
      </c>
      <c r="Z7913" s="5" t="str">
        <f>IFERROR(__xludf.DUMMYFUNCTION("REGEXEXTRACT(J7913, ""[A-Za-z ]+$"")")," min")</f>
        <v> min</v>
      </c>
      <c r="AA7913" s="5" t="str">
        <f>IFERROR(__xludf.DUMMYFUNCTION("IF(REGEXMATCH(Z7913, ""Season""), ""TV Show"", ""Movie"")"),"Movie")</f>
        <v>Movie</v>
      </c>
    </row>
    <row r="7914">
      <c r="A7914" s="1" t="s">
        <v>38217</v>
      </c>
      <c r="B7914" s="1" t="s">
        <v>27</v>
      </c>
      <c r="C7914" s="1" t="s">
        <v>38218</v>
      </c>
      <c r="D7914" s="1" t="s">
        <v>5044</v>
      </c>
      <c r="E7914" s="1" t="s">
        <v>38219</v>
      </c>
      <c r="F7914" s="1" t="s">
        <v>30</v>
      </c>
      <c r="G7914" s="1" t="s">
        <v>8506</v>
      </c>
      <c r="H7914" s="1">
        <v>2003.0</v>
      </c>
      <c r="I7914" s="1" t="s">
        <v>32</v>
      </c>
      <c r="J7914" s="1" t="s">
        <v>743</v>
      </c>
      <c r="K7914" s="1" t="s">
        <v>380</v>
      </c>
      <c r="L7914" s="1" t="s">
        <v>38220</v>
      </c>
      <c r="M7914" s="2" t="s">
        <v>12</v>
      </c>
      <c r="N7914" s="4">
        <f t="shared" si="1"/>
        <v>44197</v>
      </c>
      <c r="O7914" s="5" t="str">
        <f>IFERROR(__xludf.DUMMYFUNCTION("IF(REGEXMATCH(TRIM(I7914), ""^\d+\s*min""), ""Unclassified"", IF(I7914 = """", ""NR"", I7914))"),"PG-13")</f>
        <v>PG-13</v>
      </c>
      <c r="R7914" s="5" t="str">
        <f t="shared" si="2"/>
        <v>S.W.A.T.</v>
      </c>
      <c r="S7914" s="5" t="str">
        <f>IFERROR(__xludf.DUMMYFUNCTION("""COMPUTED_VALUE"""),"The Women Who Kill Lions")</f>
        <v>The Women Who Kill Lions</v>
      </c>
      <c r="V7914" s="5"/>
      <c r="Y7914" s="5" t="str">
        <f>IFERROR(__xludf.DUMMYFUNCTION("REGEXEXTRACT(J7914, ""^\d+"")"),"117")</f>
        <v>117</v>
      </c>
      <c r="Z7914" s="5" t="str">
        <f>IFERROR(__xludf.DUMMYFUNCTION("REGEXEXTRACT(J7914, ""[A-Za-z ]+$"")")," min")</f>
        <v> min</v>
      </c>
      <c r="AA7914" s="5" t="str">
        <f>IFERROR(__xludf.DUMMYFUNCTION("IF(REGEXMATCH(Z7914, ""Season""), ""TV Show"", ""Movie"")"),"Movie")</f>
        <v>Movie</v>
      </c>
    </row>
    <row r="7915">
      <c r="A7915" s="1" t="s">
        <v>38221</v>
      </c>
      <c r="B7915" s="1" t="s">
        <v>27</v>
      </c>
      <c r="C7915" s="1" t="s">
        <v>38222</v>
      </c>
      <c r="D7915" s="1" t="s">
        <v>18770</v>
      </c>
      <c r="E7915" s="1" t="s">
        <v>38223</v>
      </c>
      <c r="F7915" s="1" t="s">
        <v>63</v>
      </c>
      <c r="G7915" s="1" t="s">
        <v>17078</v>
      </c>
      <c r="H7915" s="1">
        <v>1982.0</v>
      </c>
      <c r="I7915" s="1" t="s">
        <v>97</v>
      </c>
      <c r="J7915" s="1" t="s">
        <v>870</v>
      </c>
      <c r="K7915" s="1" t="s">
        <v>89</v>
      </c>
      <c r="L7915" s="1" t="s">
        <v>38224</v>
      </c>
      <c r="M7915" s="2" t="s">
        <v>12</v>
      </c>
      <c r="N7915" s="4">
        <f t="shared" si="1"/>
        <v>43830</v>
      </c>
      <c r="O7915" s="5" t="str">
        <f>IFERROR(__xludf.DUMMYFUNCTION("IF(REGEXMATCH(TRIM(I7915), ""^\d+\s*min""), ""Unclassified"", IF(I7915 = """", ""NR"", I7915))"),"TV-14")</f>
        <v>TV-14</v>
      </c>
      <c r="R7915" s="5" t="str">
        <f t="shared" si="2"/>
        <v>Saath Saath</v>
      </c>
      <c r="S7915" s="5" t="str">
        <f>IFERROR(__xludf.DUMMYFUNCTION("""COMPUTED_VALUE"""),"The Women'S Balcony")</f>
        <v>The Women'S Balcony</v>
      </c>
      <c r="V7915" s="5"/>
      <c r="Y7915" s="5" t="str">
        <f>IFERROR(__xludf.DUMMYFUNCTION("REGEXEXTRACT(J7915, ""^\d+"")"),"118")</f>
        <v>118</v>
      </c>
      <c r="Z7915" s="5" t="str">
        <f>IFERROR(__xludf.DUMMYFUNCTION("REGEXEXTRACT(J7915, ""[A-Za-z ]+$"")")," min")</f>
        <v> min</v>
      </c>
      <c r="AA7915" s="5" t="str">
        <f>IFERROR(__xludf.DUMMYFUNCTION("IF(REGEXMATCH(Z7915, ""Season""), ""TV Show"", ""Movie"")"),"Movie")</f>
        <v>Movie</v>
      </c>
    </row>
    <row r="7916">
      <c r="A7916" s="1" t="s">
        <v>38225</v>
      </c>
      <c r="B7916" s="1" t="s">
        <v>27</v>
      </c>
      <c r="C7916" s="1" t="s">
        <v>38226</v>
      </c>
      <c r="D7916" s="1" t="s">
        <v>8445</v>
      </c>
      <c r="F7916" s="1" t="s">
        <v>21126</v>
      </c>
      <c r="G7916" s="1" t="s">
        <v>28459</v>
      </c>
      <c r="H7916" s="1">
        <v>2013.0</v>
      </c>
      <c r="I7916" s="1" t="s">
        <v>42</v>
      </c>
      <c r="J7916" s="1" t="s">
        <v>79</v>
      </c>
      <c r="K7916" s="1" t="s">
        <v>156</v>
      </c>
      <c r="L7916" s="1" t="s">
        <v>38227</v>
      </c>
      <c r="M7916" s="2" t="s">
        <v>12</v>
      </c>
      <c r="N7916" s="4">
        <f t="shared" si="1"/>
        <v>42815</v>
      </c>
      <c r="O7916" s="5" t="str">
        <f>IFERROR(__xludf.DUMMYFUNCTION("IF(REGEXMATCH(TRIM(I7916), ""^\d+\s*min""), ""Unclassified"", IF(I7916 = """", ""NR"", I7916))"),"TV-MA")</f>
        <v>TV-MA</v>
      </c>
      <c r="R7916" s="5" t="str">
        <f t="shared" si="2"/>
        <v>Sacro Gra</v>
      </c>
      <c r="S7916" s="5" t="str">
        <f>IFERROR(__xludf.DUMMYFUNCTION("""COMPUTED_VALUE"""),"The Woods")</f>
        <v>The Woods</v>
      </c>
      <c r="V7916" s="5"/>
      <c r="Y7916" s="5" t="str">
        <f>IFERROR(__xludf.DUMMYFUNCTION("REGEXEXTRACT(J7916, ""^\d+"")"),"91")</f>
        <v>91</v>
      </c>
      <c r="Z7916" s="5" t="str">
        <f>IFERROR(__xludf.DUMMYFUNCTION("REGEXEXTRACT(J7916, ""[A-Za-z ]+$"")")," min")</f>
        <v> min</v>
      </c>
      <c r="AA7916" s="5" t="str">
        <f>IFERROR(__xludf.DUMMYFUNCTION("IF(REGEXMATCH(Z7916, ""Season""), ""TV Show"", ""Movie"")"),"Movie")</f>
        <v>Movie</v>
      </c>
    </row>
    <row r="7917">
      <c r="A7917" s="1" t="s">
        <v>38228</v>
      </c>
      <c r="B7917" s="1" t="s">
        <v>27</v>
      </c>
      <c r="C7917" s="1" t="s">
        <v>38229</v>
      </c>
      <c r="D7917" s="1" t="s">
        <v>8900</v>
      </c>
      <c r="E7917" s="1" t="s">
        <v>38230</v>
      </c>
      <c r="F7917" s="1" t="s">
        <v>188</v>
      </c>
      <c r="G7917" s="1" t="s">
        <v>28526</v>
      </c>
      <c r="H7917" s="1">
        <v>2014.0</v>
      </c>
      <c r="I7917" s="1" t="s">
        <v>42</v>
      </c>
      <c r="J7917" s="1" t="s">
        <v>305</v>
      </c>
      <c r="K7917" s="1" t="s">
        <v>679</v>
      </c>
      <c r="L7917" s="1" t="s">
        <v>38231</v>
      </c>
      <c r="M7917" s="2" t="s">
        <v>12</v>
      </c>
      <c r="N7917" s="4">
        <f t="shared" si="1"/>
        <v>42804</v>
      </c>
      <c r="O7917" s="5" t="str">
        <f>IFERROR(__xludf.DUMMYFUNCTION("IF(REGEXMATCH(TRIM(I7917), ""^\d+\s*min""), ""Unclassified"", IF(I7917 = """", ""NR"", I7917))"),"TV-MA")</f>
        <v>TV-MA</v>
      </c>
      <c r="R7917" s="5" t="str">
        <f t="shared" si="2"/>
        <v>Sadece Sen</v>
      </c>
      <c r="S7917" s="5" t="str">
        <f>IFERROR(__xludf.DUMMYFUNCTION("""COMPUTED_VALUE"""),"The Workshop")</f>
        <v>The Workshop</v>
      </c>
      <c r="V7917" s="5"/>
      <c r="Y7917" s="5" t="str">
        <f>IFERROR(__xludf.DUMMYFUNCTION("REGEXEXTRACT(J7917, ""^\d+"")"),"105")</f>
        <v>105</v>
      </c>
      <c r="Z7917" s="5" t="str">
        <f>IFERROR(__xludf.DUMMYFUNCTION("REGEXEXTRACT(J7917, ""[A-Za-z ]+$"")")," min")</f>
        <v> min</v>
      </c>
      <c r="AA7917" s="5" t="str">
        <f>IFERROR(__xludf.DUMMYFUNCTION("IF(REGEXMATCH(Z7917, ""Season""), ""TV Show"", ""Movie"")"),"Movie")</f>
        <v>Movie</v>
      </c>
    </row>
    <row r="7918">
      <c r="A7918" s="1" t="s">
        <v>38232</v>
      </c>
      <c r="B7918" s="1" t="s">
        <v>27</v>
      </c>
      <c r="C7918" s="1" t="s">
        <v>38233</v>
      </c>
      <c r="D7918" s="1" t="s">
        <v>15807</v>
      </c>
      <c r="E7918" s="1" t="s">
        <v>38234</v>
      </c>
      <c r="F7918" s="1" t="s">
        <v>1106</v>
      </c>
      <c r="G7918" s="1" t="s">
        <v>27449</v>
      </c>
      <c r="H7918" s="1">
        <v>2016.0</v>
      </c>
      <c r="I7918" s="1" t="s">
        <v>97</v>
      </c>
      <c r="J7918" s="1" t="s">
        <v>170</v>
      </c>
      <c r="K7918" s="1" t="s">
        <v>32418</v>
      </c>
      <c r="L7918" s="1" t="s">
        <v>38235</v>
      </c>
      <c r="M7918" s="2" t="s">
        <v>12</v>
      </c>
      <c r="N7918" s="4">
        <f t="shared" si="1"/>
        <v>42969</v>
      </c>
      <c r="O7918" s="5" t="str">
        <f>IFERROR(__xludf.DUMMYFUNCTION("IF(REGEXMATCH(TRIM(I7918), ""^\d+\s*min""), ""Unclassified"", IF(I7918 = """", ""NR"", I7918))"),"TV-14")</f>
        <v>TV-14</v>
      </c>
      <c r="R7918" s="5" t="str">
        <f t="shared" si="2"/>
        <v>Sadie'S Last Days On Earth</v>
      </c>
      <c r="S7918" s="5" t="str">
        <f>IFERROR(__xludf.DUMMYFUNCTION("""COMPUTED_VALUE"""),"The World Is Not Enough")</f>
        <v>The World Is Not Enough</v>
      </c>
      <c r="V7918" s="5"/>
      <c r="Y7918" s="5" t="str">
        <f>IFERROR(__xludf.DUMMYFUNCTION("REGEXEXTRACT(J7918, ""^\d+"")"),"94")</f>
        <v>94</v>
      </c>
      <c r="Z7918" s="5" t="str">
        <f>IFERROR(__xludf.DUMMYFUNCTION("REGEXEXTRACT(J7918, ""[A-Za-z ]+$"")")," min")</f>
        <v> min</v>
      </c>
      <c r="AA7918" s="5" t="str">
        <f>IFERROR(__xludf.DUMMYFUNCTION("IF(REGEXMATCH(Z7918, ""Season""), ""TV Show"", ""Movie"")"),"Movie")</f>
        <v>Movie</v>
      </c>
    </row>
    <row r="7919">
      <c r="A7919" s="1" t="s">
        <v>38236</v>
      </c>
      <c r="B7919" s="1" t="s">
        <v>27</v>
      </c>
      <c r="C7919" s="1" t="s">
        <v>38237</v>
      </c>
      <c r="D7919" s="1" t="s">
        <v>2940</v>
      </c>
      <c r="E7919" s="1" t="s">
        <v>38238</v>
      </c>
      <c r="F7919" s="1" t="s">
        <v>63</v>
      </c>
      <c r="G7919" s="1" t="s">
        <v>17078</v>
      </c>
      <c r="H7919" s="1">
        <v>1983.0</v>
      </c>
      <c r="I7919" s="1" t="s">
        <v>97</v>
      </c>
      <c r="J7919" s="1" t="s">
        <v>4242</v>
      </c>
      <c r="K7919" s="1" t="s">
        <v>679</v>
      </c>
      <c r="L7919" s="1" t="s">
        <v>38239</v>
      </c>
      <c r="M7919" s="2" t="s">
        <v>12</v>
      </c>
      <c r="N7919" s="4">
        <f t="shared" si="1"/>
        <v>43830</v>
      </c>
      <c r="O7919" s="5" t="str">
        <f>IFERROR(__xludf.DUMMYFUNCTION("IF(REGEXMATCH(TRIM(I7919), ""^\d+\s*min""), ""Unclassified"", IF(I7919 = """", ""NR"", I7919))"),"TV-14")</f>
        <v>TV-14</v>
      </c>
      <c r="R7919" s="5" t="str">
        <f t="shared" si="2"/>
        <v>Sadma</v>
      </c>
      <c r="S7919" s="5" t="str">
        <f>IFERROR(__xludf.DUMMYFUNCTION("""COMPUTED_VALUE"""),"The World Is Yours")</f>
        <v>The World Is Yours</v>
      </c>
      <c r="V7919" s="5"/>
      <c r="Y7919" s="5" t="str">
        <f>IFERROR(__xludf.DUMMYFUNCTION("REGEXEXTRACT(J7919, ""^\d+"")"),"137")</f>
        <v>137</v>
      </c>
      <c r="Z7919" s="5" t="str">
        <f>IFERROR(__xludf.DUMMYFUNCTION("REGEXEXTRACT(J7919, ""[A-Za-z ]+$"")")," min")</f>
        <v> min</v>
      </c>
      <c r="AA7919" s="5" t="str">
        <f>IFERROR(__xludf.DUMMYFUNCTION("IF(REGEXMATCH(Z7919, ""Season""), ""TV Show"", ""Movie"")"),"Movie")</f>
        <v>Movie</v>
      </c>
    </row>
    <row r="7920">
      <c r="A7920" s="1" t="s">
        <v>38240</v>
      </c>
      <c r="B7920" s="1" t="s">
        <v>37</v>
      </c>
      <c r="C7920" s="1" t="s">
        <v>38241</v>
      </c>
      <c r="D7920" s="1" t="s">
        <v>6886</v>
      </c>
      <c r="E7920" s="1" t="s">
        <v>38242</v>
      </c>
      <c r="F7920" s="1" t="s">
        <v>19350</v>
      </c>
      <c r="G7920" s="1" t="s">
        <v>28914</v>
      </c>
      <c r="H7920" s="1">
        <v>2014.0</v>
      </c>
      <c r="I7920" s="1" t="s">
        <v>136</v>
      </c>
      <c r="J7920" s="1" t="s">
        <v>51</v>
      </c>
      <c r="K7920" s="1" t="s">
        <v>1907</v>
      </c>
      <c r="L7920" s="1" t="s">
        <v>38243</v>
      </c>
      <c r="M7920" s="2" t="s">
        <v>12</v>
      </c>
      <c r="N7920" s="4">
        <f t="shared" si="1"/>
        <v>42719</v>
      </c>
      <c r="O7920" s="5" t="str">
        <f>IFERROR(__xludf.DUMMYFUNCTION("IF(REGEXMATCH(TRIM(I7920), ""^\d+\s*min""), ""Unclassified"", IF(I7920 = """", ""NR"", I7920))"),"TV-PG")</f>
        <v>TV-PG</v>
      </c>
      <c r="R7920" s="5" t="str">
        <f t="shared" si="2"/>
        <v>Sadqay Tumhare</v>
      </c>
      <c r="S7920" s="5" t="str">
        <f>IFERROR(__xludf.DUMMYFUNCTION("""COMPUTED_VALUE"""),"The World We Make")</f>
        <v>The World We Make</v>
      </c>
      <c r="V7920" s="5"/>
      <c r="Y7920" s="5" t="str">
        <f>IFERROR(__xludf.DUMMYFUNCTION("REGEXEXTRACT(J7920, ""^\d+"")"),"1")</f>
        <v>1</v>
      </c>
      <c r="Z7920" s="5" t="str">
        <f>IFERROR(__xludf.DUMMYFUNCTION("REGEXEXTRACT(J7920, ""[A-Za-z ]+$"")")," Season")</f>
        <v> Season</v>
      </c>
      <c r="AA7920" s="5" t="str">
        <f>IFERROR(__xludf.DUMMYFUNCTION("IF(REGEXMATCH(Z7920, ""Season""), ""TV Show"", ""Movie"")"),"TV Show")</f>
        <v>TV Show</v>
      </c>
    </row>
    <row r="7921">
      <c r="A7921" s="1" t="s">
        <v>38244</v>
      </c>
      <c r="B7921" s="1" t="s">
        <v>27</v>
      </c>
      <c r="C7921" s="1" t="s">
        <v>38245</v>
      </c>
      <c r="D7921" s="1" t="s">
        <v>13055</v>
      </c>
      <c r="E7921" s="1" t="s">
        <v>38246</v>
      </c>
      <c r="F7921" s="1" t="s">
        <v>63</v>
      </c>
      <c r="G7921" s="7">
        <v>42856.0</v>
      </c>
      <c r="H7921" s="1">
        <v>2016.0</v>
      </c>
      <c r="I7921" s="1" t="s">
        <v>42</v>
      </c>
      <c r="J7921" s="1" t="s">
        <v>207</v>
      </c>
      <c r="K7921" s="1" t="s">
        <v>156</v>
      </c>
      <c r="L7921" s="1" t="s">
        <v>38247</v>
      </c>
      <c r="M7921" s="2" t="s">
        <v>12</v>
      </c>
      <c r="N7921" s="4">
        <f t="shared" si="1"/>
        <v>42856</v>
      </c>
      <c r="O7921" s="5" t="str">
        <f>IFERROR(__xludf.DUMMYFUNCTION("IF(REGEXMATCH(TRIM(I7921), ""^\d+\s*min""), ""Unclassified"", IF(I7921 = """", ""NR"", I7921))"),"TV-MA")</f>
        <v>TV-MA</v>
      </c>
      <c r="R7921" s="5" t="str">
        <f t="shared" si="2"/>
        <v>Saeed Mirza: The Leftist Sufi</v>
      </c>
      <c r="S7921" s="5" t="str">
        <f>IFERROR(__xludf.DUMMYFUNCTION("""COMPUTED_VALUE"""),"The World'S Most Amazing Vacation Rentals")</f>
        <v>The World'S Most Amazing Vacation Rentals</v>
      </c>
      <c r="V7921" s="5"/>
      <c r="Y7921" s="5" t="str">
        <f>IFERROR(__xludf.DUMMYFUNCTION("REGEXEXTRACT(J7921, ""^\d+"")"),"61")</f>
        <v>61</v>
      </c>
      <c r="Z7921" s="5" t="str">
        <f>IFERROR(__xludf.DUMMYFUNCTION("REGEXEXTRACT(J7921, ""[A-Za-z ]+$"")")," min")</f>
        <v> min</v>
      </c>
      <c r="AA7921" s="5" t="str">
        <f>IFERROR(__xludf.DUMMYFUNCTION("IF(REGEXMATCH(Z7921, ""Season""), ""TV Show"", ""Movie"")"),"Movie")</f>
        <v>Movie</v>
      </c>
    </row>
    <row r="7922">
      <c r="A7922" s="1" t="s">
        <v>38248</v>
      </c>
      <c r="B7922" s="1" t="s">
        <v>27</v>
      </c>
      <c r="C7922" s="1" t="s">
        <v>38249</v>
      </c>
      <c r="D7922" s="1" t="s">
        <v>2834</v>
      </c>
      <c r="E7922" s="1" t="s">
        <v>38250</v>
      </c>
      <c r="F7922" s="1" t="s">
        <v>30</v>
      </c>
      <c r="G7922" s="1" t="s">
        <v>12205</v>
      </c>
      <c r="H7922" s="1">
        <v>2012.0</v>
      </c>
      <c r="I7922" s="1" t="s">
        <v>378</v>
      </c>
      <c r="J7922" s="1" t="s">
        <v>1144</v>
      </c>
      <c r="K7922" s="1" t="s">
        <v>5739</v>
      </c>
      <c r="L7922" s="1" t="s">
        <v>38251</v>
      </c>
      <c r="M7922" s="2" t="s">
        <v>12</v>
      </c>
      <c r="N7922" s="4">
        <f t="shared" si="1"/>
        <v>44056</v>
      </c>
      <c r="O7922" s="5" t="str">
        <f>IFERROR(__xludf.DUMMYFUNCTION("IF(REGEXMATCH(TRIM(I7922), ""^\d+\s*min""), ""Unclassified"", IF(I7922 = """", ""NR"", I7922))"),"R")</f>
        <v>R</v>
      </c>
      <c r="R7922" s="5" t="str">
        <f t="shared" si="2"/>
        <v>Safety Not Guaranteed</v>
      </c>
      <c r="S7922" s="5" t="str">
        <f>IFERROR(__xludf.DUMMYFUNCTION("""COMPUTED_VALUE"""),"The World'S Most Extraordinary Homes")</f>
        <v>The World'S Most Extraordinary Homes</v>
      </c>
      <c r="V7922" s="5"/>
      <c r="Y7922" s="5" t="str">
        <f>IFERROR(__xludf.DUMMYFUNCTION("REGEXEXTRACT(J7922, ""^\d+"")"),"86")</f>
        <v>86</v>
      </c>
      <c r="Z7922" s="5" t="str">
        <f>IFERROR(__xludf.DUMMYFUNCTION("REGEXEXTRACT(J7922, ""[A-Za-z ]+$"")")," min")</f>
        <v> min</v>
      </c>
      <c r="AA7922" s="5" t="str">
        <f>IFERROR(__xludf.DUMMYFUNCTION("IF(REGEXMATCH(Z7922, ""Season""), ""TV Show"", ""Movie"")"),"Movie")</f>
        <v>Movie</v>
      </c>
    </row>
    <row r="7923">
      <c r="A7923" s="1" t="s">
        <v>38252</v>
      </c>
      <c r="B7923" s="1" t="s">
        <v>27</v>
      </c>
      <c r="C7923" s="1" t="s">
        <v>38253</v>
      </c>
      <c r="D7923" s="1" t="s">
        <v>18378</v>
      </c>
      <c r="E7923" s="1" t="s">
        <v>38254</v>
      </c>
      <c r="F7923" s="1" t="s">
        <v>63</v>
      </c>
      <c r="G7923" s="1" t="s">
        <v>28840</v>
      </c>
      <c r="H7923" s="1">
        <v>2016.0</v>
      </c>
      <c r="I7923" s="1" t="s">
        <v>42</v>
      </c>
      <c r="J7923" s="1" t="s">
        <v>870</v>
      </c>
      <c r="K7923" s="1" t="s">
        <v>128</v>
      </c>
      <c r="L7923" s="1" t="s">
        <v>38255</v>
      </c>
      <c r="M7923" s="2" t="s">
        <v>12</v>
      </c>
      <c r="N7923" s="4">
        <f t="shared" si="1"/>
        <v>42736</v>
      </c>
      <c r="O7923" s="5" t="str">
        <f>IFERROR(__xludf.DUMMYFUNCTION("IF(REGEXMATCH(TRIM(I7923), ""^\d+\s*min""), ""Unclassified"", IF(I7923 = """", ""NR"", I7923))"),"TV-MA")</f>
        <v>TV-MA</v>
      </c>
      <c r="R7923" s="5" t="str">
        <f t="shared" si="2"/>
        <v>Saheb Bibi Golaam</v>
      </c>
      <c r="S7923" s="5" t="str">
        <f>IFERROR(__xludf.DUMMYFUNCTION("""COMPUTED_VALUE"""),"The World'S Most Wanted Animal")</f>
        <v>The World'S Most Wanted Animal</v>
      </c>
      <c r="V7923" s="5"/>
      <c r="Y7923" s="5" t="str">
        <f>IFERROR(__xludf.DUMMYFUNCTION("REGEXEXTRACT(J7923, ""^\d+"")"),"118")</f>
        <v>118</v>
      </c>
      <c r="Z7923" s="5" t="str">
        <f>IFERROR(__xludf.DUMMYFUNCTION("REGEXEXTRACT(J7923, ""[A-Za-z ]+$"")")," min")</f>
        <v> min</v>
      </c>
      <c r="AA7923" s="5" t="str">
        <f>IFERROR(__xludf.DUMMYFUNCTION("IF(REGEXMATCH(Z7923, ""Season""), ""TV Show"", ""Movie"")"),"Movie")</f>
        <v>Movie</v>
      </c>
    </row>
    <row r="7924">
      <c r="A7924" s="1" t="s">
        <v>38256</v>
      </c>
      <c r="B7924" s="1" t="s">
        <v>27</v>
      </c>
      <c r="C7924" s="1" t="s">
        <v>38257</v>
      </c>
      <c r="D7924" s="1" t="s">
        <v>16500</v>
      </c>
      <c r="E7924" s="1" t="s">
        <v>38258</v>
      </c>
      <c r="F7924" s="1" t="s">
        <v>63</v>
      </c>
      <c r="G7924" s="1" t="s">
        <v>25842</v>
      </c>
      <c r="H7924" s="1">
        <v>2016.0</v>
      </c>
      <c r="I7924" s="1" t="s">
        <v>97</v>
      </c>
      <c r="J7924" s="1" t="s">
        <v>6683</v>
      </c>
      <c r="K7924" s="1" t="s">
        <v>679</v>
      </c>
      <c r="L7924" s="1" t="s">
        <v>38259</v>
      </c>
      <c r="M7924" s="2" t="s">
        <v>12</v>
      </c>
      <c r="N7924" s="4">
        <f t="shared" si="1"/>
        <v>43191</v>
      </c>
      <c r="O7924" s="5" t="str">
        <f>IFERROR(__xludf.DUMMYFUNCTION("IF(REGEXMATCH(TRIM(I7924), ""^\d+\s*min""), ""Unclassified"", IF(I7924 = """", ""NR"", I7924))"),"TV-14")</f>
        <v>TV-14</v>
      </c>
      <c r="R7924" s="5" t="str">
        <f t="shared" si="2"/>
        <v>Sairat</v>
      </c>
      <c r="S7924" s="5" t="str">
        <f>IFERROR(__xludf.DUMMYFUNCTION("""COMPUTED_VALUE"""),"The Worst Witch")</f>
        <v>The Worst Witch</v>
      </c>
      <c r="V7924" s="5"/>
      <c r="Y7924" s="5" t="str">
        <f>IFERROR(__xludf.DUMMYFUNCTION("REGEXEXTRACT(J7924, ""^\d+"")"),"173")</f>
        <v>173</v>
      </c>
      <c r="Z7924" s="5" t="str">
        <f>IFERROR(__xludf.DUMMYFUNCTION("REGEXEXTRACT(J7924, ""[A-Za-z ]+$"")")," min")</f>
        <v> min</v>
      </c>
      <c r="AA7924" s="5" t="str">
        <f>IFERROR(__xludf.DUMMYFUNCTION("IF(REGEXMATCH(Z7924, ""Season""), ""TV Show"", ""Movie"")"),"Movie")</f>
        <v>Movie</v>
      </c>
    </row>
    <row r="7925">
      <c r="A7925" s="1" t="s">
        <v>38260</v>
      </c>
      <c r="B7925" s="1" t="s">
        <v>27</v>
      </c>
      <c r="C7925" s="1" t="s">
        <v>38261</v>
      </c>
      <c r="D7925" s="1" t="s">
        <v>20390</v>
      </c>
      <c r="E7925" s="1" t="s">
        <v>38262</v>
      </c>
      <c r="F7925" s="1" t="s">
        <v>63</v>
      </c>
      <c r="G7925" s="1" t="s">
        <v>26235</v>
      </c>
      <c r="H7925" s="1">
        <v>2007.0</v>
      </c>
      <c r="I7925" s="1" t="s">
        <v>136</v>
      </c>
      <c r="J7925" s="1" t="s">
        <v>14290</v>
      </c>
      <c r="K7925" s="1" t="s">
        <v>1429</v>
      </c>
      <c r="L7925" s="1" t="s">
        <v>38263</v>
      </c>
      <c r="M7925" s="2" t="s">
        <v>12</v>
      </c>
      <c r="N7925" s="4">
        <f t="shared" si="1"/>
        <v>43146</v>
      </c>
      <c r="O7925" s="5" t="str">
        <f>IFERROR(__xludf.DUMMYFUNCTION("IF(REGEXMATCH(TRIM(I7925), ""^\d+\s*min""), ""Unclassified"", IF(I7925 = """", ""NR"", I7925))"),"TV-PG")</f>
        <v>TV-PG</v>
      </c>
      <c r="R7925" s="5" t="str">
        <f t="shared" si="2"/>
        <v>Sakhi</v>
      </c>
      <c r="S7925" s="5" t="str">
        <f>IFERROR(__xludf.DUMMYFUNCTION("""COMPUTED_VALUE"""),"The Worthy")</f>
        <v>The Worthy</v>
      </c>
      <c r="V7925" s="5"/>
      <c r="Y7925" s="5" t="str">
        <f>IFERROR(__xludf.DUMMYFUNCTION("REGEXEXTRACT(J7925, ""^\d+"")"),"152")</f>
        <v>152</v>
      </c>
      <c r="Z7925" s="5" t="str">
        <f>IFERROR(__xludf.DUMMYFUNCTION("REGEXEXTRACT(J7925, ""[A-Za-z ]+$"")")," min")</f>
        <v> min</v>
      </c>
      <c r="AA7925" s="5" t="str">
        <f>IFERROR(__xludf.DUMMYFUNCTION("IF(REGEXMATCH(Z7925, ""Season""), ""TV Show"", ""Movie"")"),"Movie")</f>
        <v>Movie</v>
      </c>
    </row>
    <row r="7926">
      <c r="A7926" s="1" t="s">
        <v>38264</v>
      </c>
      <c r="B7926" s="1" t="s">
        <v>27</v>
      </c>
      <c r="C7926" s="1" t="s">
        <v>38265</v>
      </c>
      <c r="D7926" s="1" t="s">
        <v>16215</v>
      </c>
      <c r="E7926" s="1" t="s">
        <v>38266</v>
      </c>
      <c r="F7926" s="1" t="s">
        <v>3309</v>
      </c>
      <c r="G7926" s="1" t="s">
        <v>20241</v>
      </c>
      <c r="H7926" s="1">
        <v>2014.0</v>
      </c>
      <c r="I7926" s="1" t="s">
        <v>97</v>
      </c>
      <c r="J7926" s="1" t="s">
        <v>416</v>
      </c>
      <c r="K7926" s="1" t="s">
        <v>128</v>
      </c>
      <c r="L7926" s="1" t="s">
        <v>38267</v>
      </c>
      <c r="M7926" s="2" t="s">
        <v>12</v>
      </c>
      <c r="N7926" s="4">
        <f t="shared" si="1"/>
        <v>43638</v>
      </c>
      <c r="O7926" s="5" t="str">
        <f>IFERROR(__xludf.DUMMYFUNCTION("IF(REGEXMATCH(TRIM(I7926), ""^\d+\s*min""), ""Unclassified"", IF(I7926 = """", ""NR"", I7926))"),"TV-14")</f>
        <v>TV-14</v>
      </c>
      <c r="R7926" s="5" t="str">
        <f t="shared" si="2"/>
        <v>Salem: His Sister'S Father</v>
      </c>
      <c r="S7926" s="5" t="str">
        <f>IFERROR(__xludf.DUMMYFUNCTION("""COMPUTED_VALUE"""),"The Writer")</f>
        <v>The Writer</v>
      </c>
      <c r="V7926" s="5"/>
      <c r="Y7926" s="5" t="str">
        <f>IFERROR(__xludf.DUMMYFUNCTION("REGEXEXTRACT(J7926, ""^\d+"")"),"99")</f>
        <v>99</v>
      </c>
      <c r="Z7926" s="5" t="str">
        <f>IFERROR(__xludf.DUMMYFUNCTION("REGEXEXTRACT(J7926, ""[A-Za-z ]+$"")")," min")</f>
        <v> min</v>
      </c>
      <c r="AA7926" s="5" t="str">
        <f>IFERROR(__xludf.DUMMYFUNCTION("IF(REGEXMATCH(Z7926, ""Season""), ""TV Show"", ""Movie"")"),"Movie")</f>
        <v>Movie</v>
      </c>
    </row>
    <row r="7927">
      <c r="A7927" s="1" t="s">
        <v>38268</v>
      </c>
      <c r="B7927" s="1" t="s">
        <v>27</v>
      </c>
      <c r="C7927" s="1" t="s">
        <v>38269</v>
      </c>
      <c r="D7927" s="1" t="s">
        <v>17585</v>
      </c>
      <c r="E7927" s="1" t="s">
        <v>38270</v>
      </c>
      <c r="F7927" s="1" t="s">
        <v>63</v>
      </c>
      <c r="G7927" s="1" t="s">
        <v>24523</v>
      </c>
      <c r="H7927" s="1">
        <v>2017.0</v>
      </c>
      <c r="I7927" s="1" t="s">
        <v>42</v>
      </c>
      <c r="J7927" s="1" t="s">
        <v>297</v>
      </c>
      <c r="K7927" s="1" t="s">
        <v>128</v>
      </c>
      <c r="L7927" s="1" t="s">
        <v>38271</v>
      </c>
      <c r="M7927" s="2" t="s">
        <v>12</v>
      </c>
      <c r="N7927" s="4">
        <f t="shared" si="1"/>
        <v>43358</v>
      </c>
      <c r="O7927" s="5" t="str">
        <f>IFERROR(__xludf.DUMMYFUNCTION("IF(REGEXMATCH(TRIM(I7927), ""^\d+\s*min""), ""Unclassified"", IF(I7927 = """", ""NR"", I7927))"),"TV-MA")</f>
        <v>TV-MA</v>
      </c>
      <c r="R7927" s="5" t="str">
        <f t="shared" si="2"/>
        <v>Samantaral</v>
      </c>
      <c r="S7927" s="5" t="str">
        <f>IFERROR(__xludf.DUMMYFUNCTION("""COMPUTED_VALUE"""),"The Wrong Babysitter")</f>
        <v>The Wrong Babysitter</v>
      </c>
      <c r="V7927" s="5"/>
      <c r="Y7927" s="5" t="str">
        <f>IFERROR(__xludf.DUMMYFUNCTION("REGEXEXTRACT(J7927, ""^\d+"")"),"110")</f>
        <v>110</v>
      </c>
      <c r="Z7927" s="5" t="str">
        <f>IFERROR(__xludf.DUMMYFUNCTION("REGEXEXTRACT(J7927, ""[A-Za-z ]+$"")")," min")</f>
        <v> min</v>
      </c>
      <c r="AA7927" s="5" t="str">
        <f>IFERROR(__xludf.DUMMYFUNCTION("IF(REGEXMATCH(Z7927, ""Season""), ""TV Show"", ""Movie"")"),"Movie")</f>
        <v>Movie</v>
      </c>
    </row>
    <row r="7928">
      <c r="A7928" s="1" t="s">
        <v>38272</v>
      </c>
      <c r="B7928" s="1" t="s">
        <v>27</v>
      </c>
      <c r="C7928" s="1" t="s">
        <v>38273</v>
      </c>
      <c r="D7928" s="1" t="s">
        <v>12285</v>
      </c>
      <c r="E7928" s="1" t="s">
        <v>38274</v>
      </c>
      <c r="F7928" s="1" t="s">
        <v>63</v>
      </c>
      <c r="G7928" s="1" t="s">
        <v>26089</v>
      </c>
      <c r="H7928" s="1">
        <v>2017.0</v>
      </c>
      <c r="I7928" s="1" t="s">
        <v>136</v>
      </c>
      <c r="J7928" s="1" t="s">
        <v>349</v>
      </c>
      <c r="K7928" s="1" t="s">
        <v>128</v>
      </c>
      <c r="L7928" s="1" t="s">
        <v>38275</v>
      </c>
      <c r="M7928" s="2" t="s">
        <v>12</v>
      </c>
      <c r="N7928" s="4">
        <f t="shared" si="1"/>
        <v>43160</v>
      </c>
      <c r="O7928" s="5" t="str">
        <f>IFERROR(__xludf.DUMMYFUNCTION("IF(REGEXMATCH(TRIM(I7928), ""^\d+\s*min""), ""Unclassified"", IF(I7928 = """", ""NR"", I7928))"),"TV-PG")</f>
        <v>TV-PG</v>
      </c>
      <c r="R7928" s="5" t="str">
        <f t="shared" si="2"/>
        <v>Samarppanam</v>
      </c>
      <c r="S7928" s="5" t="str">
        <f>IFERROR(__xludf.DUMMYFUNCTION("""COMPUTED_VALUE"""),"The Wrong Missy")</f>
        <v>The Wrong Missy</v>
      </c>
      <c r="V7928" s="5"/>
      <c r="Y7928" s="5" t="str">
        <f>IFERROR(__xludf.DUMMYFUNCTION("REGEXEXTRACT(J7928, ""^\d+"")"),"116")</f>
        <v>116</v>
      </c>
      <c r="Z7928" s="5" t="str">
        <f>IFERROR(__xludf.DUMMYFUNCTION("REGEXEXTRACT(J7928, ""[A-Za-z ]+$"")")," min")</f>
        <v> min</v>
      </c>
      <c r="AA7928" s="5" t="str">
        <f>IFERROR(__xludf.DUMMYFUNCTION("IF(REGEXMATCH(Z7928, ""Season""), ""TV Show"", ""Movie"")"),"Movie")</f>
        <v>Movie</v>
      </c>
    </row>
    <row r="7929">
      <c r="A7929" s="1" t="s">
        <v>38276</v>
      </c>
      <c r="B7929" s="1" t="s">
        <v>27</v>
      </c>
      <c r="C7929" s="1" t="s">
        <v>38277</v>
      </c>
      <c r="D7929" s="1" t="s">
        <v>1635</v>
      </c>
      <c r="E7929" s="1" t="s">
        <v>38278</v>
      </c>
      <c r="F7929" s="1" t="s">
        <v>3309</v>
      </c>
      <c r="G7929" s="1" t="s">
        <v>20510</v>
      </c>
      <c r="H7929" s="1">
        <v>2013.0</v>
      </c>
      <c r="I7929" s="1" t="s">
        <v>97</v>
      </c>
      <c r="J7929" s="1" t="s">
        <v>1256</v>
      </c>
      <c r="K7929" s="1" t="s">
        <v>199</v>
      </c>
      <c r="L7929" s="1" t="s">
        <v>38279</v>
      </c>
      <c r="M7929" s="2" t="s">
        <v>12</v>
      </c>
      <c r="N7929" s="4">
        <f t="shared" si="1"/>
        <v>43622</v>
      </c>
      <c r="O7929" s="5" t="str">
        <f>IFERROR(__xludf.DUMMYFUNCTION("IF(REGEXMATCH(TRIM(I7929), ""^\d+\s*min""), ""Unclassified"", IF(I7929 = """", ""NR"", I7929))"),"TV-14")</f>
        <v>TV-14</v>
      </c>
      <c r="R7929" s="5" t="str">
        <f t="shared" si="2"/>
        <v>Sameer Abu Alneel</v>
      </c>
      <c r="S7929" s="5" t="str">
        <f>IFERROR(__xludf.DUMMYFUNCTION("""COMPUTED_VALUE"""),"The Yard")</f>
        <v>The Yard</v>
      </c>
      <c r="V7929" s="5"/>
      <c r="Y7929" s="5" t="str">
        <f>IFERROR(__xludf.DUMMYFUNCTION("REGEXEXTRACT(J7929, ""^\d+"")"),"107")</f>
        <v>107</v>
      </c>
      <c r="Z7929" s="5" t="str">
        <f>IFERROR(__xludf.DUMMYFUNCTION("REGEXEXTRACT(J7929, ""[A-Za-z ]+$"")")," min")</f>
        <v> min</v>
      </c>
      <c r="AA7929" s="5" t="str">
        <f>IFERROR(__xludf.DUMMYFUNCTION("IF(REGEXMATCH(Z7929, ""Season""), ""TV Show"", ""Movie"")"),"Movie")</f>
        <v>Movie</v>
      </c>
    </row>
    <row r="7930">
      <c r="A7930" s="1" t="s">
        <v>38280</v>
      </c>
      <c r="B7930" s="1" t="s">
        <v>27</v>
      </c>
      <c r="C7930" s="1" t="s">
        <v>38281</v>
      </c>
      <c r="D7930" s="1" t="s">
        <v>38282</v>
      </c>
      <c r="E7930" s="1" t="s">
        <v>38283</v>
      </c>
      <c r="F7930" s="1" t="s">
        <v>940</v>
      </c>
      <c r="G7930" s="1" t="s">
        <v>23017</v>
      </c>
      <c r="H7930" s="1">
        <v>2018.0</v>
      </c>
      <c r="I7930" s="1" t="s">
        <v>32</v>
      </c>
      <c r="J7930" s="1" t="s">
        <v>1065</v>
      </c>
      <c r="K7930" s="1" t="s">
        <v>8663</v>
      </c>
      <c r="L7930" s="1" t="s">
        <v>38284</v>
      </c>
      <c r="M7930" s="2" t="s">
        <v>12</v>
      </c>
      <c r="N7930" s="4">
        <f t="shared" si="1"/>
        <v>43448</v>
      </c>
      <c r="O7930" s="5" t="str">
        <f>IFERROR(__xludf.DUMMYFUNCTION("IF(REGEXMATCH(TRIM(I7930), ""^\d+\s*min""), ""Unclassified"", IF(I7930 = """", ""NR"", I7930))"),"PG-13")</f>
        <v>PG-13</v>
      </c>
      <c r="R7930" s="5" t="str">
        <f t="shared" si="2"/>
        <v>Samson</v>
      </c>
      <c r="S7930" s="5" t="str">
        <f>IFERROR(__xludf.DUMMYFUNCTION("""COMPUTED_VALUE"""),"The Year Of Happiness And Love")</f>
        <v>The Year Of Happiness And Love</v>
      </c>
      <c r="V7930" s="5"/>
      <c r="Y7930" s="5" t="str">
        <f>IFERROR(__xludf.DUMMYFUNCTION("REGEXEXTRACT(J7930, ""^\d+"")"),"109")</f>
        <v>109</v>
      </c>
      <c r="Z7930" s="5" t="str">
        <f>IFERROR(__xludf.DUMMYFUNCTION("REGEXEXTRACT(J7930, ""[A-Za-z ]+$"")")," min")</f>
        <v> min</v>
      </c>
      <c r="AA7930" s="5" t="str">
        <f>IFERROR(__xludf.DUMMYFUNCTION("IF(REGEXMATCH(Z7930, ""Season""), ""TV Show"", ""Movie"")"),"Movie")</f>
        <v>Movie</v>
      </c>
    </row>
    <row r="7931">
      <c r="A7931" s="1" t="s">
        <v>38285</v>
      </c>
      <c r="B7931" s="1" t="s">
        <v>27</v>
      </c>
      <c r="C7931" s="1" t="s">
        <v>38286</v>
      </c>
      <c r="D7931" s="1" t="s">
        <v>2126</v>
      </c>
      <c r="E7931" s="1" t="s">
        <v>31065</v>
      </c>
      <c r="G7931" s="1" t="s">
        <v>20318</v>
      </c>
      <c r="H7931" s="1">
        <v>2018.0</v>
      </c>
      <c r="I7931" s="1" t="s">
        <v>206</v>
      </c>
      <c r="J7931" s="1" t="s">
        <v>2616</v>
      </c>
      <c r="K7931" s="1" t="s">
        <v>80</v>
      </c>
      <c r="L7931" s="1" t="s">
        <v>38287</v>
      </c>
      <c r="M7931" s="2" t="s">
        <v>12</v>
      </c>
      <c r="N7931" s="4">
        <f t="shared" si="1"/>
        <v>43634</v>
      </c>
      <c r="O7931" s="5" t="str">
        <f>IFERROR(__xludf.DUMMYFUNCTION("IF(REGEXMATCH(TRIM(I7931), ""^\d+\s*min""), ""Unclassified"", IF(I7931 = """", ""NR"", I7931))"),"TV-Y")</f>
        <v>TV-Y</v>
      </c>
      <c r="R7931" s="5" t="str">
        <f t="shared" si="2"/>
        <v>Samudri Lootere</v>
      </c>
      <c r="S7931" s="5" t="str">
        <f>IFERROR(__xludf.DUMMYFUNCTION("""COMPUTED_VALUE"""),"The Yeti Adventures")</f>
        <v>The Yeti Adventures</v>
      </c>
      <c r="V7931" s="5"/>
      <c r="Y7931" s="5" t="str">
        <f>IFERROR(__xludf.DUMMYFUNCTION("REGEXEXTRACT(J7931, ""^\d+"")"),"65")</f>
        <v>65</v>
      </c>
      <c r="Z7931" s="5" t="str">
        <f>IFERROR(__xludf.DUMMYFUNCTION("REGEXEXTRACT(J7931, ""[A-Za-z ]+$"")")," min")</f>
        <v> min</v>
      </c>
      <c r="AA7931" s="5" t="str">
        <f>IFERROR(__xludf.DUMMYFUNCTION("IF(REGEXMATCH(Z7931, ""Season""), ""TV Show"", ""Movie"")"),"Movie")</f>
        <v>Movie</v>
      </c>
    </row>
    <row r="7932">
      <c r="A7932" s="1" t="s">
        <v>38288</v>
      </c>
      <c r="B7932" s="1" t="s">
        <v>27</v>
      </c>
      <c r="C7932" s="1" t="s">
        <v>38289</v>
      </c>
      <c r="D7932" s="1" t="s">
        <v>11349</v>
      </c>
      <c r="F7932" s="1" t="s">
        <v>30</v>
      </c>
      <c r="G7932" s="1" t="s">
        <v>28421</v>
      </c>
      <c r="H7932" s="1">
        <v>1945.0</v>
      </c>
      <c r="I7932" s="1" t="s">
        <v>97</v>
      </c>
      <c r="J7932" s="1" t="s">
        <v>5362</v>
      </c>
      <c r="K7932" s="1" t="s">
        <v>35403</v>
      </c>
      <c r="L7932" s="1" t="s">
        <v>38290</v>
      </c>
      <c r="M7932" s="2" t="s">
        <v>12</v>
      </c>
      <c r="N7932" s="4">
        <f t="shared" si="1"/>
        <v>42825</v>
      </c>
      <c r="O7932" s="5" t="str">
        <f>IFERROR(__xludf.DUMMYFUNCTION("IF(REGEXMATCH(TRIM(I7932), ""^\d+\s*min""), ""Unclassified"", IF(I7932 = """", ""NR"", I7932))"),"TV-14")</f>
        <v>TV-14</v>
      </c>
      <c r="R7932" s="5" t="str">
        <f t="shared" si="2"/>
        <v>San Pietro</v>
      </c>
      <c r="S7932" s="5" t="str">
        <f>IFERROR(__xludf.DUMMYFUNCTION("""COMPUTED_VALUE"""),"The Yin Yang Master")</f>
        <v>The Yin Yang Master</v>
      </c>
      <c r="V7932" s="5"/>
      <c r="Y7932" s="5" t="str">
        <f>IFERROR(__xludf.DUMMYFUNCTION("REGEXEXTRACT(J7932, ""^\d+"")"),"32")</f>
        <v>32</v>
      </c>
      <c r="Z7932" s="5" t="str">
        <f>IFERROR(__xludf.DUMMYFUNCTION("REGEXEXTRACT(J7932, ""[A-Za-z ]+$"")")," min")</f>
        <v> min</v>
      </c>
      <c r="AA7932" s="5" t="str">
        <f>IFERROR(__xludf.DUMMYFUNCTION("IF(REGEXMATCH(Z7932, ""Season""), ""TV Show"", ""Movie"")"),"Movie")</f>
        <v>Movie</v>
      </c>
    </row>
    <row r="7933">
      <c r="A7933" s="1" t="s">
        <v>38291</v>
      </c>
      <c r="B7933" s="1" t="s">
        <v>27</v>
      </c>
      <c r="C7933" s="1" t="s">
        <v>38292</v>
      </c>
      <c r="D7933" s="1" t="s">
        <v>18677</v>
      </c>
      <c r="E7933" s="1" t="s">
        <v>38293</v>
      </c>
      <c r="F7933" s="1" t="s">
        <v>63</v>
      </c>
      <c r="G7933" s="1" t="s">
        <v>26481</v>
      </c>
      <c r="H7933" s="1">
        <v>2008.0</v>
      </c>
      <c r="I7933" s="1" t="s">
        <v>97</v>
      </c>
      <c r="J7933" s="1" t="s">
        <v>393</v>
      </c>
      <c r="K7933" s="1" t="s">
        <v>583</v>
      </c>
      <c r="L7933" s="1" t="s">
        <v>38294</v>
      </c>
      <c r="M7933" s="2" t="s">
        <v>12</v>
      </c>
      <c r="N7933" s="4">
        <f t="shared" si="1"/>
        <v>43101</v>
      </c>
      <c r="O7933" s="5" t="str">
        <f>IFERROR(__xludf.DUMMYFUNCTION("IF(REGEXMATCH(TRIM(I7933), ""^\d+\s*min""), ""Unclassified"", IF(I7933 = """", ""NR"", I7933))"),"TV-14")</f>
        <v>TV-14</v>
      </c>
      <c r="R7933" s="5" t="str">
        <f t="shared" si="2"/>
        <v>Sanai Choughade</v>
      </c>
      <c r="S7933" s="5" t="str">
        <f>IFERROR(__xludf.DUMMYFUNCTION("""COMPUTED_VALUE"""),"The Yin-Yang Master: Dream Of Eternity")</f>
        <v>The Yin-Yang Master: Dream Of Eternity</v>
      </c>
      <c r="V7933" s="5"/>
      <c r="Y7933" s="5" t="str">
        <f>IFERROR(__xludf.DUMMYFUNCTION("REGEXEXTRACT(J7933, ""^\d+"")"),"122")</f>
        <v>122</v>
      </c>
      <c r="Z7933" s="5" t="str">
        <f>IFERROR(__xludf.DUMMYFUNCTION("REGEXEXTRACT(J7933, ""[A-Za-z ]+$"")")," min")</f>
        <v> min</v>
      </c>
      <c r="AA7933" s="5" t="str">
        <f>IFERROR(__xludf.DUMMYFUNCTION("IF(REGEXMATCH(Z7933, ""Season""), ""TV Show"", ""Movie"")"),"Movie")</f>
        <v>Movie</v>
      </c>
    </row>
    <row r="7934">
      <c r="A7934" s="1" t="s">
        <v>38295</v>
      </c>
      <c r="B7934" s="1" t="s">
        <v>27</v>
      </c>
      <c r="C7934" s="1" t="s">
        <v>38296</v>
      </c>
      <c r="D7934" s="1" t="s">
        <v>18613</v>
      </c>
      <c r="E7934" s="1" t="s">
        <v>38297</v>
      </c>
      <c r="F7934" s="1" t="s">
        <v>63</v>
      </c>
      <c r="G7934" s="1" t="s">
        <v>17078</v>
      </c>
      <c r="H7934" s="1">
        <v>1964.0</v>
      </c>
      <c r="I7934" s="1" t="s">
        <v>97</v>
      </c>
      <c r="J7934" s="1" t="s">
        <v>38298</v>
      </c>
      <c r="K7934" s="1" t="s">
        <v>2012</v>
      </c>
      <c r="L7934" s="1" t="s">
        <v>38299</v>
      </c>
      <c r="M7934" s="2" t="s">
        <v>12</v>
      </c>
      <c r="N7934" s="4">
        <f t="shared" si="1"/>
        <v>43830</v>
      </c>
      <c r="O7934" s="5" t="str">
        <f>IFERROR(__xludf.DUMMYFUNCTION("IF(REGEXMATCH(TRIM(I7934), ""^\d+\s*min""), ""Unclassified"", IF(I7934 = """", ""NR"", I7934))"),"TV-14")</f>
        <v>TV-14</v>
      </c>
      <c r="R7934" s="5" t="str">
        <f t="shared" si="2"/>
        <v>Sangam</v>
      </c>
      <c r="S7934" s="5" t="str">
        <f>IFERROR(__xludf.DUMMYFUNCTION("""COMPUTED_VALUE"""),"The Young Messiah")</f>
        <v>The Young Messiah</v>
      </c>
      <c r="V7934" s="5"/>
      <c r="Y7934" s="5" t="str">
        <f>IFERROR(__xludf.DUMMYFUNCTION("REGEXEXTRACT(J7934, ""^\d+"")"),"228")</f>
        <v>228</v>
      </c>
      <c r="Z7934" s="5" t="str">
        <f>IFERROR(__xludf.DUMMYFUNCTION("REGEXEXTRACT(J7934, ""[A-Za-z ]+$"")")," min")</f>
        <v> min</v>
      </c>
      <c r="AA7934" s="5" t="str">
        <f>IFERROR(__xludf.DUMMYFUNCTION("IF(REGEXMATCH(Z7934, ""Season""), ""TV Show"", ""Movie"")"),"Movie")</f>
        <v>Movie</v>
      </c>
    </row>
    <row r="7935">
      <c r="A7935" s="1" t="s">
        <v>38300</v>
      </c>
      <c r="B7935" s="1" t="s">
        <v>27</v>
      </c>
      <c r="C7935" s="1" t="s">
        <v>38301</v>
      </c>
      <c r="D7935" s="1" t="s">
        <v>8544</v>
      </c>
      <c r="E7935" s="1" t="s">
        <v>38302</v>
      </c>
      <c r="F7935" s="1" t="s">
        <v>30</v>
      </c>
      <c r="G7935" s="1" t="s">
        <v>26784</v>
      </c>
      <c r="H7935" s="1">
        <v>2014.0</v>
      </c>
      <c r="I7935" s="1" t="s">
        <v>136</v>
      </c>
      <c r="J7935" s="1" t="s">
        <v>1144</v>
      </c>
      <c r="K7935" s="1" t="s">
        <v>137</v>
      </c>
      <c r="L7935" s="1" t="s">
        <v>38303</v>
      </c>
      <c r="M7935" s="2" t="s">
        <v>12</v>
      </c>
      <c r="N7935" s="4">
        <f t="shared" si="1"/>
        <v>43056</v>
      </c>
      <c r="O7935" s="5" t="str">
        <f>IFERROR(__xludf.DUMMYFUNCTION("IF(REGEXMATCH(TRIM(I7935), ""^\d+\s*min""), ""Unclassified"", IF(I7935 = """", ""NR"", I7935))"),"TV-PG")</f>
        <v>TV-PG</v>
      </c>
      <c r="R7935" s="5" t="str">
        <f t="shared" si="2"/>
        <v>Santa Claws</v>
      </c>
      <c r="S7935" s="5" t="str">
        <f>IFERROR(__xludf.DUMMYFUNCTION("""COMPUTED_VALUE"""),"The Young Offenders")</f>
        <v>The Young Offenders</v>
      </c>
      <c r="V7935" s="5"/>
      <c r="Y7935" s="5" t="str">
        <f>IFERROR(__xludf.DUMMYFUNCTION("REGEXEXTRACT(J7935, ""^\d+"")"),"86")</f>
        <v>86</v>
      </c>
      <c r="Z7935" s="5" t="str">
        <f>IFERROR(__xludf.DUMMYFUNCTION("REGEXEXTRACT(J7935, ""[A-Za-z ]+$"")")," min")</f>
        <v> min</v>
      </c>
      <c r="AA7935" s="5" t="str">
        <f>IFERROR(__xludf.DUMMYFUNCTION("IF(REGEXMATCH(Z7935, ""Season""), ""TV Show"", ""Movie"")"),"Movie")</f>
        <v>Movie</v>
      </c>
    </row>
    <row r="7936">
      <c r="A7936" s="1" t="s">
        <v>38304</v>
      </c>
      <c r="B7936" s="1" t="s">
        <v>27</v>
      </c>
      <c r="C7936" s="1" t="s">
        <v>38305</v>
      </c>
      <c r="D7936" s="1" t="s">
        <v>13987</v>
      </c>
      <c r="E7936" s="1" t="s">
        <v>38306</v>
      </c>
      <c r="F7936" s="1" t="s">
        <v>38307</v>
      </c>
      <c r="G7936" s="1" t="s">
        <v>35701</v>
      </c>
      <c r="H7936" s="1">
        <v>2010.0</v>
      </c>
      <c r="I7936" s="1" t="s">
        <v>506</v>
      </c>
      <c r="J7936" s="1" t="s">
        <v>4699</v>
      </c>
      <c r="K7936" s="1" t="s">
        <v>80</v>
      </c>
      <c r="L7936" s="1" t="s">
        <v>38308</v>
      </c>
      <c r="M7936" s="2" t="s">
        <v>12</v>
      </c>
      <c r="N7936" s="4">
        <f t="shared" si="1"/>
        <v>42358</v>
      </c>
      <c r="O7936" s="5" t="str">
        <f>IFERROR(__xludf.DUMMYFUNCTION("IF(REGEXMATCH(TRIM(I7936), ""^\d+\s*min""), ""Unclassified"", IF(I7936 = """", ""NR"", I7936))"),"TV-G")</f>
        <v>TV-G</v>
      </c>
      <c r="R7936" s="5" t="str">
        <f t="shared" si="2"/>
        <v>Santa'S Apprentice</v>
      </c>
      <c r="S7936" s="5" t="str">
        <f>IFERROR(__xludf.DUMMYFUNCTION("""COMPUTED_VALUE"""),"The Young Vagabond")</f>
        <v>The Young Vagabond</v>
      </c>
      <c r="V7936" s="5"/>
      <c r="Y7936" s="5" t="str">
        <f>IFERROR(__xludf.DUMMYFUNCTION("REGEXEXTRACT(J7936, ""^\d+"")"),"72")</f>
        <v>72</v>
      </c>
      <c r="Z7936" s="5" t="str">
        <f>IFERROR(__xludf.DUMMYFUNCTION("REGEXEXTRACT(J7936, ""[A-Za-z ]+$"")")," min")</f>
        <v> min</v>
      </c>
      <c r="AA7936" s="5" t="str">
        <f>IFERROR(__xludf.DUMMYFUNCTION("IF(REGEXMATCH(Z7936, ""Season""), ""TV Show"", ""Movie"")"),"Movie")</f>
        <v>Movie</v>
      </c>
    </row>
    <row r="7937">
      <c r="A7937" s="1" t="s">
        <v>38309</v>
      </c>
      <c r="B7937" s="1" t="s">
        <v>27</v>
      </c>
      <c r="C7937" s="1" t="s">
        <v>38310</v>
      </c>
      <c r="D7937" s="1" t="s">
        <v>903</v>
      </c>
      <c r="E7937" s="1" t="s">
        <v>38311</v>
      </c>
      <c r="F7937" s="1" t="s">
        <v>664</v>
      </c>
      <c r="G7937" s="1" t="s">
        <v>19166</v>
      </c>
      <c r="H7937" s="1">
        <v>2010.0</v>
      </c>
      <c r="I7937" s="1" t="s">
        <v>32</v>
      </c>
      <c r="J7937" s="1" t="s">
        <v>447</v>
      </c>
      <c r="K7937" s="1" t="s">
        <v>128</v>
      </c>
      <c r="L7937" s="1" t="s">
        <v>38312</v>
      </c>
      <c r="M7937" s="2" t="s">
        <v>12</v>
      </c>
      <c r="N7937" s="4">
        <f t="shared" si="1"/>
        <v>43729</v>
      </c>
      <c r="O7937" s="5" t="str">
        <f>IFERROR(__xludf.DUMMYFUNCTION("IF(REGEXMATCH(TRIM(I7937), ""^\d+\s*min""), ""Unclassified"", IF(I7937 = """", ""NR"", I7937))"),"PG-13")</f>
        <v>PG-13</v>
      </c>
      <c r="R7937" s="5" t="str">
        <f t="shared" si="2"/>
        <v>Sarah'S Key</v>
      </c>
      <c r="S7937" s="5" t="str">
        <f>IFERROR(__xludf.DUMMYFUNCTION("""COMPUTED_VALUE"""),"The Zookeeper'S Wife")</f>
        <v>The Zookeeper'S Wife</v>
      </c>
      <c r="V7937" s="5"/>
      <c r="Y7937" s="5" t="str">
        <f>IFERROR(__xludf.DUMMYFUNCTION("REGEXEXTRACT(J7937, ""^\d+"")"),"102")</f>
        <v>102</v>
      </c>
      <c r="Z7937" s="5" t="str">
        <f>IFERROR(__xludf.DUMMYFUNCTION("REGEXEXTRACT(J7937, ""[A-Za-z ]+$"")")," min")</f>
        <v> min</v>
      </c>
      <c r="AA7937" s="5" t="str">
        <f>IFERROR(__xludf.DUMMYFUNCTION("IF(REGEXMATCH(Z7937, ""Season""), ""TV Show"", ""Movie"")"),"Movie")</f>
        <v>Movie</v>
      </c>
    </row>
    <row r="7938">
      <c r="A7938" s="1" t="s">
        <v>38313</v>
      </c>
      <c r="B7938" s="1" t="s">
        <v>27</v>
      </c>
      <c r="C7938" s="1" t="s">
        <v>38314</v>
      </c>
      <c r="D7938" s="1" t="s">
        <v>19723</v>
      </c>
      <c r="E7938" s="1" t="s">
        <v>38315</v>
      </c>
      <c r="F7938" s="1" t="s">
        <v>1106</v>
      </c>
      <c r="G7938" s="1" t="s">
        <v>26674</v>
      </c>
      <c r="H7938" s="1">
        <v>2015.0</v>
      </c>
      <c r="I7938" s="1" t="s">
        <v>97</v>
      </c>
      <c r="J7938" s="1" t="s">
        <v>1704</v>
      </c>
      <c r="K7938" s="1" t="s">
        <v>230</v>
      </c>
      <c r="L7938" s="1" t="s">
        <v>38316</v>
      </c>
      <c r="M7938" s="2" t="s">
        <v>12</v>
      </c>
      <c r="N7938" s="4">
        <f t="shared" si="1"/>
        <v>43070</v>
      </c>
      <c r="O7938" s="5" t="str">
        <f>IFERROR(__xludf.DUMMYFUNCTION("IF(REGEXMATCH(TRIM(I7938), ""^\d+\s*min""), ""Unclassified"", IF(I7938 = """", ""NR"", I7938))"),"TV-14")</f>
        <v>TV-14</v>
      </c>
      <c r="R7938" s="5" t="str">
        <f t="shared" si="2"/>
        <v>Sardaar Ji</v>
      </c>
      <c r="S7938" s="5" t="str">
        <f>IFERROR(__xludf.DUMMYFUNCTION("""COMPUTED_VALUE"""),"The Zoya Factor")</f>
        <v>The Zoya Factor</v>
      </c>
      <c r="V7938" s="5"/>
      <c r="Y7938" s="5" t="str">
        <f>IFERROR(__xludf.DUMMYFUNCTION("REGEXEXTRACT(J7938, ""^\d+"")"),"140")</f>
        <v>140</v>
      </c>
      <c r="Z7938" s="5" t="str">
        <f>IFERROR(__xludf.DUMMYFUNCTION("REGEXEXTRACT(J7938, ""[A-Za-z ]+$"")")," min")</f>
        <v> min</v>
      </c>
      <c r="AA7938" s="5" t="str">
        <f>IFERROR(__xludf.DUMMYFUNCTION("IF(REGEXMATCH(Z7938, ""Season""), ""TV Show"", ""Movie"")"),"Movie")</f>
        <v>Movie</v>
      </c>
    </row>
    <row r="7939">
      <c r="A7939" s="1" t="s">
        <v>38317</v>
      </c>
      <c r="B7939" s="1" t="s">
        <v>27</v>
      </c>
      <c r="C7939" s="1" t="s">
        <v>38318</v>
      </c>
      <c r="D7939" s="1" t="s">
        <v>19723</v>
      </c>
      <c r="E7939" s="1" t="s">
        <v>38319</v>
      </c>
      <c r="F7939" s="1" t="s">
        <v>38320</v>
      </c>
      <c r="G7939" s="1" t="s">
        <v>27021</v>
      </c>
      <c r="H7939" s="1">
        <v>2016.0</v>
      </c>
      <c r="I7939" s="1" t="s">
        <v>136</v>
      </c>
      <c r="J7939" s="1" t="s">
        <v>582</v>
      </c>
      <c r="K7939" s="1" t="s">
        <v>1328</v>
      </c>
      <c r="L7939" s="1" t="s">
        <v>38321</v>
      </c>
      <c r="M7939" s="2" t="s">
        <v>12</v>
      </c>
      <c r="N7939" s="4">
        <f t="shared" si="1"/>
        <v>43023</v>
      </c>
      <c r="O7939" s="5" t="str">
        <f>IFERROR(__xludf.DUMMYFUNCTION("IF(REGEXMATCH(TRIM(I7939), ""^\d+\s*min""), ""Unclassified"", IF(I7939 = """", ""NR"", I7939))"),"TV-PG")</f>
        <v>TV-PG</v>
      </c>
      <c r="R7939" s="5" t="str">
        <f t="shared" si="2"/>
        <v>Sardaarji 2</v>
      </c>
      <c r="S7939" s="5" t="str">
        <f>IFERROR(__xludf.DUMMYFUNCTION("""COMPUTED_VALUE"""),"Theater Of Life")</f>
        <v>Theater Of Life</v>
      </c>
      <c r="V7939" s="5"/>
      <c r="Y7939" s="5" t="str">
        <f>IFERROR(__xludf.DUMMYFUNCTION("REGEXEXTRACT(J7939, ""^\d+"")"),"145")</f>
        <v>145</v>
      </c>
      <c r="Z7939" s="5" t="str">
        <f>IFERROR(__xludf.DUMMYFUNCTION("REGEXEXTRACT(J7939, ""[A-Za-z ]+$"")")," min")</f>
        <v> min</v>
      </c>
      <c r="AA7939" s="5" t="str">
        <f>IFERROR(__xludf.DUMMYFUNCTION("IF(REGEXMATCH(Z7939, ""Season""), ""TV Show"", ""Movie"")"),"Movie")</f>
        <v>Movie</v>
      </c>
    </row>
    <row r="7940">
      <c r="A7940" s="1" t="s">
        <v>38322</v>
      </c>
      <c r="B7940" s="1" t="s">
        <v>27</v>
      </c>
      <c r="C7940" s="1" t="s">
        <v>38323</v>
      </c>
      <c r="D7940" s="1" t="s">
        <v>8084</v>
      </c>
      <c r="E7940" s="1" t="s">
        <v>38324</v>
      </c>
      <c r="F7940" s="1" t="s">
        <v>63</v>
      </c>
      <c r="G7940" s="1" t="s">
        <v>26235</v>
      </c>
      <c r="H7940" s="1">
        <v>2005.0</v>
      </c>
      <c r="I7940" s="1" t="s">
        <v>97</v>
      </c>
      <c r="J7940" s="1" t="s">
        <v>3458</v>
      </c>
      <c r="K7940" s="1" t="s">
        <v>128</v>
      </c>
      <c r="L7940" s="1" t="s">
        <v>38325</v>
      </c>
      <c r="M7940" s="2" t="s">
        <v>12</v>
      </c>
      <c r="N7940" s="4">
        <f t="shared" si="1"/>
        <v>43146</v>
      </c>
      <c r="O7940" s="5" t="str">
        <f>IFERROR(__xludf.DUMMYFUNCTION("IF(REGEXMATCH(TRIM(I7940), ""^\d+\s*min""), ""Unclassified"", IF(I7940 = """", ""NR"", I7940))"),"TV-14")</f>
        <v>TV-14</v>
      </c>
      <c r="R7940" s="5" t="str">
        <f t="shared" si="2"/>
        <v>Sarivar Sari</v>
      </c>
      <c r="S7940" s="5" t="str">
        <f>IFERROR(__xludf.DUMMYFUNCTION("""COMPUTED_VALUE"""),"Theeram")</f>
        <v>Theeram</v>
      </c>
      <c r="V7940" s="5"/>
      <c r="Y7940" s="5" t="str">
        <f>IFERROR(__xludf.DUMMYFUNCTION("REGEXEXTRACT(J7940, ""^\d+"")"),"126")</f>
        <v>126</v>
      </c>
      <c r="Z7940" s="5" t="str">
        <f>IFERROR(__xludf.DUMMYFUNCTION("REGEXEXTRACT(J7940, ""[A-Za-z ]+$"")")," min")</f>
        <v> min</v>
      </c>
      <c r="AA7940" s="5" t="str">
        <f>IFERROR(__xludf.DUMMYFUNCTION("IF(REGEXMATCH(Z7940, ""Season""), ""TV Show"", ""Movie"")"),"Movie")</f>
        <v>Movie</v>
      </c>
    </row>
    <row r="7941">
      <c r="A7941" s="1" t="s">
        <v>38326</v>
      </c>
      <c r="B7941" s="1" t="s">
        <v>27</v>
      </c>
      <c r="C7941" s="1" t="s">
        <v>38327</v>
      </c>
      <c r="D7941" s="1" t="s">
        <v>23148</v>
      </c>
      <c r="E7941" s="1" t="s">
        <v>38328</v>
      </c>
      <c r="F7941" s="1" t="s">
        <v>63</v>
      </c>
      <c r="G7941" s="1" t="s">
        <v>25185</v>
      </c>
      <c r="H7941" s="1">
        <v>2017.0</v>
      </c>
      <c r="I7941" s="1" t="s">
        <v>97</v>
      </c>
      <c r="J7941" s="1" t="s">
        <v>1428</v>
      </c>
      <c r="K7941" s="1" t="s">
        <v>128</v>
      </c>
      <c r="L7941" s="1" t="s">
        <v>38329</v>
      </c>
      <c r="M7941" s="2" t="s">
        <v>12</v>
      </c>
      <c r="N7941" s="4">
        <f t="shared" si="1"/>
        <v>43282</v>
      </c>
      <c r="O7941" s="5" t="str">
        <f>IFERROR(__xludf.DUMMYFUNCTION("IF(REGEXMATCH(TRIM(I7941), ""^\d+\s*min""), ""Unclassified"", IF(I7941 = """", ""NR"", I7941))"),"TV-14")</f>
        <v>TV-14</v>
      </c>
      <c r="R7941" s="5" t="str">
        <f t="shared" si="2"/>
        <v>Sarvopari Palakkaran</v>
      </c>
      <c r="S7941" s="5" t="str">
        <f>IFERROR(__xludf.DUMMYFUNCTION("""COMPUTED_VALUE"""),"Theeya Velai Seyyanum Kumaru")</f>
        <v>Theeya Velai Seyyanum Kumaru</v>
      </c>
      <c r="V7941" s="5"/>
      <c r="Y7941" s="5" t="str">
        <f>IFERROR(__xludf.DUMMYFUNCTION("REGEXEXTRACT(J7941, ""^\d+"")"),"133")</f>
        <v>133</v>
      </c>
      <c r="Z7941" s="5" t="str">
        <f>IFERROR(__xludf.DUMMYFUNCTION("REGEXEXTRACT(J7941, ""[A-Za-z ]+$"")")," min")</f>
        <v> min</v>
      </c>
      <c r="AA7941" s="5" t="str">
        <f>IFERROR(__xludf.DUMMYFUNCTION("IF(REGEXMATCH(Z7941, ""Season""), ""TV Show"", ""Movie"")"),"Movie")</f>
        <v>Movie</v>
      </c>
    </row>
    <row r="7942">
      <c r="A7942" s="1" t="s">
        <v>38330</v>
      </c>
      <c r="B7942" s="1" t="s">
        <v>27</v>
      </c>
      <c r="C7942" s="1" t="s">
        <v>38331</v>
      </c>
      <c r="D7942" s="1" t="s">
        <v>12356</v>
      </c>
      <c r="E7942" s="1" t="s">
        <v>38332</v>
      </c>
      <c r="F7942" s="1" t="s">
        <v>63</v>
      </c>
      <c r="G7942" s="1" t="s">
        <v>22309</v>
      </c>
      <c r="H7942" s="1">
        <v>2008.0</v>
      </c>
      <c r="I7942" s="1" t="s">
        <v>97</v>
      </c>
      <c r="J7942" s="1" t="s">
        <v>2274</v>
      </c>
      <c r="K7942" s="1" t="s">
        <v>3585</v>
      </c>
      <c r="L7942" s="1" t="s">
        <v>38333</v>
      </c>
      <c r="M7942" s="2" t="s">
        <v>12</v>
      </c>
      <c r="N7942" s="4">
        <f t="shared" si="1"/>
        <v>43495</v>
      </c>
      <c r="O7942" s="5" t="str">
        <f>IFERROR(__xludf.DUMMYFUNCTION("IF(REGEXMATCH(TRIM(I7942), ""^\d+\s*min""), ""Unclassified"", IF(I7942 = """", ""NR"", I7942))"),"TV-14")</f>
        <v>TV-14</v>
      </c>
      <c r="R7942" s="5" t="str">
        <f t="shared" si="2"/>
        <v>Sat Sri Akal</v>
      </c>
      <c r="S7942" s="5" t="str">
        <f>IFERROR(__xludf.DUMMYFUNCTION("""COMPUTED_VALUE"""),"Thelonious Monk: Straight, No Chaser")</f>
        <v>Thelonious Monk: Straight, No Chaser</v>
      </c>
      <c r="V7942" s="5"/>
      <c r="Y7942" s="5" t="str">
        <f>IFERROR(__xludf.DUMMYFUNCTION("REGEXEXTRACT(J7942, ""^\d+"")"),"141")</f>
        <v>141</v>
      </c>
      <c r="Z7942" s="5" t="str">
        <f>IFERROR(__xludf.DUMMYFUNCTION("REGEXEXTRACT(J7942, ""[A-Za-z ]+$"")")," min")</f>
        <v> min</v>
      </c>
      <c r="AA7942" s="5" t="str">
        <f>IFERROR(__xludf.DUMMYFUNCTION("IF(REGEXMATCH(Z7942, ""Season""), ""TV Show"", ""Movie"")"),"Movie")</f>
        <v>Movie</v>
      </c>
    </row>
    <row r="7943">
      <c r="A7943" s="1" t="s">
        <v>38334</v>
      </c>
      <c r="B7943" s="1" t="s">
        <v>27</v>
      </c>
      <c r="C7943" s="1" t="s">
        <v>38335</v>
      </c>
      <c r="D7943" s="1" t="s">
        <v>23096</v>
      </c>
      <c r="E7943" s="1" t="s">
        <v>38336</v>
      </c>
      <c r="F7943" s="1" t="s">
        <v>30</v>
      </c>
      <c r="G7943" s="1" t="s">
        <v>20561</v>
      </c>
      <c r="H7943" s="1">
        <v>2018.0</v>
      </c>
      <c r="I7943" s="1" t="s">
        <v>42</v>
      </c>
      <c r="J7943" s="1" t="s">
        <v>1737</v>
      </c>
      <c r="K7943" s="1" t="s">
        <v>700</v>
      </c>
      <c r="L7943" s="1" t="s">
        <v>38337</v>
      </c>
      <c r="M7943" s="2" t="s">
        <v>12</v>
      </c>
      <c r="N7943" s="4">
        <f t="shared" si="1"/>
        <v>43617</v>
      </c>
      <c r="O7943" s="5" t="str">
        <f>IFERROR(__xludf.DUMMYFUNCTION("IF(REGEXMATCH(TRIM(I7943), ""^\d+\s*min""), ""Unclassified"", IF(I7943 = """", ""NR"", I7943))"),"TV-MA")</f>
        <v>TV-MA</v>
      </c>
      <c r="R7943" s="5" t="str">
        <f t="shared" si="2"/>
        <v>Satan &amp; Adam</v>
      </c>
      <c r="S7943" s="5" t="str">
        <f>IFERROR(__xludf.DUMMYFUNCTION("""COMPUTED_VALUE"""),"Then Came You")</f>
        <v>Then Came You</v>
      </c>
      <c r="V7943" s="5"/>
      <c r="Y7943" s="5" t="str">
        <f>IFERROR(__xludf.DUMMYFUNCTION("REGEXEXTRACT(J7943, ""^\d+"")"),"78")</f>
        <v>78</v>
      </c>
      <c r="Z7943" s="5" t="str">
        <f>IFERROR(__xludf.DUMMYFUNCTION("REGEXEXTRACT(J7943, ""[A-Za-z ]+$"")")," min")</f>
        <v> min</v>
      </c>
      <c r="AA7943" s="5" t="str">
        <f>IFERROR(__xludf.DUMMYFUNCTION("IF(REGEXMATCH(Z7943, ""Season""), ""TV Show"", ""Movie"")"),"Movie")</f>
        <v>Movie</v>
      </c>
    </row>
    <row r="7944">
      <c r="A7944" s="1" t="s">
        <v>38338</v>
      </c>
      <c r="B7944" s="1" t="s">
        <v>37</v>
      </c>
      <c r="C7944" s="1" t="s">
        <v>38339</v>
      </c>
      <c r="E7944" s="1" t="s">
        <v>38340</v>
      </c>
      <c r="G7944" s="1" t="s">
        <v>28377</v>
      </c>
      <c r="H7944" s="1">
        <v>2014.0</v>
      </c>
      <c r="I7944" s="1" t="s">
        <v>136</v>
      </c>
      <c r="J7944" s="1" t="s">
        <v>51</v>
      </c>
      <c r="K7944" s="1" t="s">
        <v>507</v>
      </c>
      <c r="L7944" s="1" t="s">
        <v>38341</v>
      </c>
      <c r="M7944" s="2" t="s">
        <v>12</v>
      </c>
      <c r="N7944" s="4">
        <f t="shared" si="1"/>
        <v>42826</v>
      </c>
      <c r="O7944" s="5" t="str">
        <f>IFERROR(__xludf.DUMMYFUNCTION("IF(REGEXMATCH(TRIM(I7944), ""^\d+\s*min""), ""Unclassified"", IF(I7944 = """", ""NR"", I7944))"),"TV-PG")</f>
        <v>TV-PG</v>
      </c>
      <c r="R7944" s="5" t="str">
        <f t="shared" si="2"/>
        <v>Satrangi</v>
      </c>
      <c r="S7944" s="5" t="str">
        <f>IFERROR(__xludf.DUMMYFUNCTION("""COMPUTED_VALUE"""),"Theo Von: No Offense")</f>
        <v>Theo Von: No Offense</v>
      </c>
      <c r="V7944" s="5"/>
      <c r="Y7944" s="5" t="str">
        <f>IFERROR(__xludf.DUMMYFUNCTION("REGEXEXTRACT(J7944, ""^\d+"")"),"1")</f>
        <v>1</v>
      </c>
      <c r="Z7944" s="5" t="str">
        <f>IFERROR(__xludf.DUMMYFUNCTION("REGEXEXTRACT(J7944, ""[A-Za-z ]+$"")")," Season")</f>
        <v> Season</v>
      </c>
      <c r="AA7944" s="5" t="str">
        <f>IFERROR(__xludf.DUMMYFUNCTION("IF(REGEXMATCH(Z7944, ""Season""), ""TV Show"", ""Movie"")"),"TV Show")</f>
        <v>TV Show</v>
      </c>
    </row>
    <row r="7945">
      <c r="A7945" s="1" t="s">
        <v>38342</v>
      </c>
      <c r="B7945" s="1" t="s">
        <v>27</v>
      </c>
      <c r="C7945" s="1" t="s">
        <v>38343</v>
      </c>
      <c r="D7945" s="1" t="s">
        <v>498</v>
      </c>
      <c r="E7945" s="1" t="s">
        <v>38344</v>
      </c>
      <c r="F7945" s="1" t="s">
        <v>63</v>
      </c>
      <c r="G7945" s="1" t="s">
        <v>25994</v>
      </c>
      <c r="H7945" s="1">
        <v>2012.0</v>
      </c>
      <c r="I7945" s="1" t="s">
        <v>97</v>
      </c>
      <c r="J7945" s="1" t="s">
        <v>1407</v>
      </c>
      <c r="K7945" s="1" t="s">
        <v>1429</v>
      </c>
      <c r="L7945" s="1" t="s">
        <v>38345</v>
      </c>
      <c r="M7945" s="2" t="s">
        <v>12</v>
      </c>
      <c r="N7945" s="4">
        <f t="shared" si="1"/>
        <v>43174</v>
      </c>
      <c r="O7945" s="5" t="str">
        <f>IFERROR(__xludf.DUMMYFUNCTION("IF(REGEXMATCH(TRIM(I7945), ""^\d+\s*min""), ""Unclassified"", IF(I7945 = """", ""NR"", I7945))"),"TV-14")</f>
        <v>TV-14</v>
      </c>
      <c r="R7945" s="5" t="str">
        <f t="shared" si="2"/>
        <v>Satrangi Re</v>
      </c>
      <c r="S7945" s="5" t="str">
        <f>IFERROR(__xludf.DUMMYFUNCTION("""COMPUTED_VALUE"""),"Theo Who Lived")</f>
        <v>Theo Who Lived</v>
      </c>
      <c r="V7945" s="5"/>
      <c r="Y7945" s="5" t="str">
        <f>IFERROR(__xludf.DUMMYFUNCTION("REGEXEXTRACT(J7945, ""^\d+"")"),"150")</f>
        <v>150</v>
      </c>
      <c r="Z7945" s="5" t="str">
        <f>IFERROR(__xludf.DUMMYFUNCTION("REGEXEXTRACT(J7945, ""[A-Za-z ]+$"")")," min")</f>
        <v> min</v>
      </c>
      <c r="AA7945" s="5" t="str">
        <f>IFERROR(__xludf.DUMMYFUNCTION("IF(REGEXMATCH(Z7945, ""Season""), ""TV Show"", ""Movie"")"),"Movie")</f>
        <v>Movie</v>
      </c>
    </row>
    <row r="7946">
      <c r="A7946" s="1" t="s">
        <v>38346</v>
      </c>
      <c r="B7946" s="1" t="s">
        <v>27</v>
      </c>
      <c r="C7946" s="1" t="s">
        <v>38347</v>
      </c>
      <c r="D7946" s="1" t="s">
        <v>18635</v>
      </c>
      <c r="E7946" s="1" t="s">
        <v>38348</v>
      </c>
      <c r="F7946" s="1" t="s">
        <v>63</v>
      </c>
      <c r="G7946" s="1" t="s">
        <v>17078</v>
      </c>
      <c r="H7946" s="1">
        <v>1982.0</v>
      </c>
      <c r="I7946" s="1" t="s">
        <v>97</v>
      </c>
      <c r="J7946" s="1" t="s">
        <v>22970</v>
      </c>
      <c r="K7946" s="1" t="s">
        <v>30960</v>
      </c>
      <c r="L7946" s="1" t="s">
        <v>38349</v>
      </c>
      <c r="M7946" s="2" t="s">
        <v>12</v>
      </c>
      <c r="N7946" s="4">
        <f t="shared" si="1"/>
        <v>43830</v>
      </c>
      <c r="O7946" s="5" t="str">
        <f>IFERROR(__xludf.DUMMYFUNCTION("IF(REGEXMATCH(TRIM(I7946), ""^\d+\s*min""), ""Unclassified"", IF(I7946 = """", ""NR"", I7946))"),"TV-14")</f>
        <v>TV-14</v>
      </c>
      <c r="R7946" s="5" t="str">
        <f t="shared" si="2"/>
        <v>Satte Pe Satta</v>
      </c>
      <c r="S7946" s="5" t="str">
        <f>IFERROR(__xludf.DUMMYFUNCTION("""COMPUTED_VALUE"""),"Therapy")</f>
        <v>Therapy</v>
      </c>
      <c r="V7946" s="5"/>
      <c r="Y7946" s="5" t="str">
        <f>IFERROR(__xludf.DUMMYFUNCTION("REGEXEXTRACT(J7946, ""^\d+"")"),"153")</f>
        <v>153</v>
      </c>
      <c r="Z7946" s="5" t="str">
        <f>IFERROR(__xludf.DUMMYFUNCTION("REGEXEXTRACT(J7946, ""[A-Za-z ]+$"")")," min")</f>
        <v> min</v>
      </c>
      <c r="AA7946" s="5" t="str">
        <f>IFERROR(__xludf.DUMMYFUNCTION("IF(REGEXMATCH(Z7946, ""Season""), ""TV Show"", ""Movie"")"),"Movie")</f>
        <v>Movie</v>
      </c>
    </row>
    <row r="7947">
      <c r="A7947" s="1" t="s">
        <v>38350</v>
      </c>
      <c r="B7947" s="1" t="s">
        <v>27</v>
      </c>
      <c r="C7947" s="1" t="s">
        <v>38351</v>
      </c>
      <c r="D7947" s="1" t="s">
        <v>5392</v>
      </c>
      <c r="E7947" s="1" t="s">
        <v>38352</v>
      </c>
      <c r="F7947" s="1" t="s">
        <v>30</v>
      </c>
      <c r="G7947" s="1" t="s">
        <v>10859</v>
      </c>
      <c r="H7947" s="1">
        <v>2017.0</v>
      </c>
      <c r="I7947" s="1" t="s">
        <v>42</v>
      </c>
      <c r="J7947" s="1" t="s">
        <v>490</v>
      </c>
      <c r="K7947" s="1" t="s">
        <v>8641</v>
      </c>
      <c r="L7947" s="1" t="s">
        <v>38353</v>
      </c>
      <c r="M7947" s="2" t="s">
        <v>12</v>
      </c>
      <c r="N7947" s="4">
        <f t="shared" si="1"/>
        <v>44110</v>
      </c>
      <c r="O7947" s="5" t="str">
        <f>IFERROR(__xludf.DUMMYFUNCTION("IF(REGEXMATCH(TRIM(I7947), ""^\d+\s*min""), ""Unclassified"", IF(I7947 = """", ""NR"", I7947))"),"TV-MA")</f>
        <v>TV-MA</v>
      </c>
      <c r="R7947" s="5" t="str">
        <f t="shared" si="2"/>
        <v>Saturday Church</v>
      </c>
      <c r="S7947" s="5" t="str">
        <f>IFERROR(__xludf.DUMMYFUNCTION("""COMPUTED_VALUE"""),"There Will Be Blood")</f>
        <v>There Will Be Blood</v>
      </c>
      <c r="V7947" s="5"/>
      <c r="Y7947" s="5" t="str">
        <f>IFERROR(__xludf.DUMMYFUNCTION("REGEXEXTRACT(J7947, ""^\d+"")"),"83")</f>
        <v>83</v>
      </c>
      <c r="Z7947" s="5" t="str">
        <f>IFERROR(__xludf.DUMMYFUNCTION("REGEXEXTRACT(J7947, ""[A-Za-z ]+$"")")," min")</f>
        <v> min</v>
      </c>
      <c r="AA7947" s="5" t="str">
        <f>IFERROR(__xludf.DUMMYFUNCTION("IF(REGEXMATCH(Z7947, ""Season""), ""TV Show"", ""Movie"")"),"Movie")</f>
        <v>Movie</v>
      </c>
    </row>
    <row r="7948">
      <c r="A7948" s="1" t="s">
        <v>38354</v>
      </c>
      <c r="B7948" s="1" t="s">
        <v>27</v>
      </c>
      <c r="C7948" s="1" t="s">
        <v>38355</v>
      </c>
      <c r="D7948" s="1" t="s">
        <v>10892</v>
      </c>
      <c r="E7948" s="1" t="s">
        <v>38356</v>
      </c>
      <c r="F7948" s="1" t="s">
        <v>30</v>
      </c>
      <c r="G7948" s="1" t="s">
        <v>26883</v>
      </c>
      <c r="H7948" s="1">
        <v>2017.0</v>
      </c>
      <c r="I7948" s="1" t="s">
        <v>42</v>
      </c>
      <c r="J7948" s="1" t="s">
        <v>465</v>
      </c>
      <c r="K7948" s="1" t="s">
        <v>16817</v>
      </c>
      <c r="L7948" s="1" t="s">
        <v>38357</v>
      </c>
      <c r="M7948" s="2" t="s">
        <v>12</v>
      </c>
      <c r="N7948" s="4">
        <f t="shared" si="1"/>
        <v>43040</v>
      </c>
      <c r="O7948" s="5" t="str">
        <f>IFERROR(__xludf.DUMMYFUNCTION("IF(REGEXMATCH(TRIM(I7948), ""^\d+\s*min""), ""Unclassified"", IF(I7948 = """", ""NR"", I7948))"),"TV-MA")</f>
        <v>TV-MA</v>
      </c>
      <c r="R7948" s="5" t="str">
        <f t="shared" si="2"/>
        <v>Savage Dog</v>
      </c>
      <c r="S7948" s="5" t="str">
        <f>IFERROR(__xludf.DUMMYFUNCTION("""COMPUTED_VALUE"""),"There'S Something In The Water")</f>
        <v>There'S Something In The Water</v>
      </c>
      <c r="V7948" s="5"/>
      <c r="Y7948" s="5" t="str">
        <f>IFERROR(__xludf.DUMMYFUNCTION("REGEXEXTRACT(J7948, ""^\d+"")"),"95")</f>
        <v>95</v>
      </c>
      <c r="Z7948" s="5" t="str">
        <f>IFERROR(__xludf.DUMMYFUNCTION("REGEXEXTRACT(J7948, ""[A-Za-z ]+$"")")," min")</f>
        <v> min</v>
      </c>
      <c r="AA7948" s="5" t="str">
        <f>IFERROR(__xludf.DUMMYFUNCTION("IF(REGEXMATCH(Z7948, ""Season""), ""TV Show"", ""Movie"")"),"Movie")</f>
        <v>Movie</v>
      </c>
    </row>
    <row r="7949">
      <c r="A7949" s="1" t="s">
        <v>38358</v>
      </c>
      <c r="B7949" s="1" t="s">
        <v>27</v>
      </c>
      <c r="C7949" s="1" t="s">
        <v>38359</v>
      </c>
      <c r="D7949" s="1" t="s">
        <v>2720</v>
      </c>
      <c r="E7949" s="1" t="s">
        <v>38360</v>
      </c>
      <c r="F7949" s="1" t="s">
        <v>3309</v>
      </c>
      <c r="G7949" s="1" t="s">
        <v>20426</v>
      </c>
      <c r="H7949" s="1">
        <v>2018.0</v>
      </c>
      <c r="I7949" s="1" t="s">
        <v>42</v>
      </c>
      <c r="J7949" s="1" t="s">
        <v>454</v>
      </c>
      <c r="K7949" s="1" t="s">
        <v>215</v>
      </c>
      <c r="L7949" s="1" t="s">
        <v>38361</v>
      </c>
      <c r="M7949" s="2" t="s">
        <v>12</v>
      </c>
      <c r="N7949" s="4">
        <f t="shared" si="1"/>
        <v>43629</v>
      </c>
      <c r="O7949" s="5" t="str">
        <f>IFERROR(__xludf.DUMMYFUNCTION("IF(REGEXMATCH(TRIM(I7949), ""^\d+\s*min""), ""Unclassified"", IF(I7949 = """", ""NR"", I7949))"),"TV-MA")</f>
        <v>TV-MA</v>
      </c>
      <c r="R7949" s="5" t="str">
        <f t="shared" si="2"/>
        <v>Savage Raghda</v>
      </c>
      <c r="S7949" s="5" t="str">
        <f>IFERROR(__xludf.DUMMYFUNCTION("""COMPUTED_VALUE"""),"They Are Everywhere")</f>
        <v>They Are Everywhere</v>
      </c>
      <c r="V7949" s="5"/>
      <c r="Y7949" s="5" t="str">
        <f>IFERROR(__xludf.DUMMYFUNCTION("REGEXEXTRACT(J7949, ""^\d+"")"),"93")</f>
        <v>93</v>
      </c>
      <c r="Z7949" s="5" t="str">
        <f>IFERROR(__xludf.DUMMYFUNCTION("REGEXEXTRACT(J7949, ""[A-Za-z ]+$"")")," min")</f>
        <v> min</v>
      </c>
      <c r="AA7949" s="5" t="str">
        <f>IFERROR(__xludf.DUMMYFUNCTION("IF(REGEXMATCH(Z7949, ""Season""), ""TV Show"", ""Movie"")"),"Movie")</f>
        <v>Movie</v>
      </c>
    </row>
    <row r="7950">
      <c r="A7950" s="1" t="s">
        <v>38362</v>
      </c>
      <c r="B7950" s="1" t="s">
        <v>37</v>
      </c>
      <c r="C7950" s="1" t="s">
        <v>38363</v>
      </c>
      <c r="E7950" s="1" t="s">
        <v>38364</v>
      </c>
      <c r="F7950" s="1" t="s">
        <v>30</v>
      </c>
      <c r="G7950" s="1" t="s">
        <v>30808</v>
      </c>
      <c r="H7950" s="1">
        <v>2015.0</v>
      </c>
      <c r="I7950" s="1" t="s">
        <v>506</v>
      </c>
      <c r="J7950" s="1" t="s">
        <v>51</v>
      </c>
      <c r="K7950" s="1" t="s">
        <v>440</v>
      </c>
      <c r="L7950" s="1" t="s">
        <v>38365</v>
      </c>
      <c r="M7950" s="2" t="s">
        <v>12</v>
      </c>
      <c r="N7950" s="4">
        <f t="shared" si="1"/>
        <v>43330</v>
      </c>
      <c r="O7950" s="5" t="str">
        <f>IFERROR(__xludf.DUMMYFUNCTION("IF(REGEXMATCH(TRIM(I7950), ""^\d+\s*min""), ""Unclassified"", IF(I7950 = """", ""NR"", I7950))"),"TV-G")</f>
        <v>TV-G</v>
      </c>
      <c r="R7950" s="5" t="str">
        <f t="shared" si="2"/>
        <v>Save Our Shelter</v>
      </c>
      <c r="S7950" s="5" t="str">
        <f>IFERROR(__xludf.DUMMYFUNCTION("""COMPUTED_VALUE"""),"They’Ll Love Me When I’M Dead")</f>
        <v>They’Ll Love Me When I’M Dead</v>
      </c>
      <c r="V7950" s="5"/>
      <c r="Y7950" s="5" t="str">
        <f>IFERROR(__xludf.DUMMYFUNCTION("REGEXEXTRACT(J7950, ""^\d+"")"),"1")</f>
        <v>1</v>
      </c>
      <c r="Z7950" s="5" t="str">
        <f>IFERROR(__xludf.DUMMYFUNCTION("REGEXEXTRACT(J7950, ""[A-Za-z ]+$"")")," Season")</f>
        <v> Season</v>
      </c>
      <c r="AA7950" s="5" t="str">
        <f>IFERROR(__xludf.DUMMYFUNCTION("IF(REGEXMATCH(Z7950, ""Season""), ""TV Show"", ""Movie"")"),"TV Show")</f>
        <v>TV Show</v>
      </c>
    </row>
    <row r="7951">
      <c r="A7951" s="1" t="s">
        <v>38366</v>
      </c>
      <c r="B7951" s="1" t="s">
        <v>27</v>
      </c>
      <c r="C7951" s="1" t="s">
        <v>38367</v>
      </c>
      <c r="D7951" s="1" t="s">
        <v>11371</v>
      </c>
      <c r="E7951" s="1" t="s">
        <v>38368</v>
      </c>
      <c r="F7951" s="1" t="s">
        <v>28443</v>
      </c>
      <c r="G7951" s="1" t="s">
        <v>21824</v>
      </c>
      <c r="H7951" s="1">
        <v>2013.0</v>
      </c>
      <c r="I7951" s="1" t="s">
        <v>32</v>
      </c>
      <c r="J7951" s="1" t="s">
        <v>3458</v>
      </c>
      <c r="K7951" s="1" t="s">
        <v>107</v>
      </c>
      <c r="L7951" s="1" t="s">
        <v>38369</v>
      </c>
      <c r="M7951" s="2" t="s">
        <v>12</v>
      </c>
      <c r="N7951" s="4">
        <f t="shared" si="1"/>
        <v>43526</v>
      </c>
      <c r="O7951" s="5" t="str">
        <f>IFERROR(__xludf.DUMMYFUNCTION("IF(REGEXMATCH(TRIM(I7951), ""^\d+\s*min""), ""Unclassified"", IF(I7951 = """", ""NR"", I7951))"),"PG-13")</f>
        <v>PG-13</v>
      </c>
      <c r="R7951" s="5" t="str">
        <f t="shared" si="2"/>
        <v>Saving Mr. Banks</v>
      </c>
      <c r="S7951" s="5" t="str">
        <f>IFERROR(__xludf.DUMMYFUNCTION("""COMPUTED_VALUE"""),"They'Ve Gotta Have Us")</f>
        <v>They'Ve Gotta Have Us</v>
      </c>
      <c r="V7951" s="5"/>
      <c r="Y7951" s="5" t="str">
        <f>IFERROR(__xludf.DUMMYFUNCTION("REGEXEXTRACT(J7951, ""^\d+"")"),"126")</f>
        <v>126</v>
      </c>
      <c r="Z7951" s="5" t="str">
        <f>IFERROR(__xludf.DUMMYFUNCTION("REGEXEXTRACT(J7951, ""[A-Za-z ]+$"")")," min")</f>
        <v> min</v>
      </c>
      <c r="AA7951" s="5" t="str">
        <f>IFERROR(__xludf.DUMMYFUNCTION("IF(REGEXMATCH(Z7951, ""Season""), ""TV Show"", ""Movie"")"),"Movie")</f>
        <v>Movie</v>
      </c>
    </row>
    <row r="7952">
      <c r="A7952" s="1" t="s">
        <v>38370</v>
      </c>
      <c r="B7952" s="1" t="s">
        <v>27</v>
      </c>
      <c r="C7952" s="1" t="s">
        <v>38371</v>
      </c>
      <c r="D7952" s="1" t="s">
        <v>10642</v>
      </c>
      <c r="E7952" s="1" t="s">
        <v>38372</v>
      </c>
      <c r="F7952" s="1" t="s">
        <v>30</v>
      </c>
      <c r="G7952" s="1" t="s">
        <v>16793</v>
      </c>
      <c r="H7952" s="1">
        <v>2019.0</v>
      </c>
      <c r="I7952" s="1" t="s">
        <v>378</v>
      </c>
      <c r="J7952" s="1" t="s">
        <v>465</v>
      </c>
      <c r="K7952" s="1" t="s">
        <v>805</v>
      </c>
      <c r="L7952" s="1" t="s">
        <v>38373</v>
      </c>
      <c r="M7952" s="2" t="s">
        <v>12</v>
      </c>
      <c r="N7952" s="4">
        <f t="shared" si="1"/>
        <v>43845</v>
      </c>
      <c r="O7952" s="5" t="str">
        <f>IFERROR(__xludf.DUMMYFUNCTION("IF(REGEXMATCH(TRIM(I7952), ""^\d+\s*min""), ""Unclassified"", IF(I7952 = """", ""NR"", I7952))"),"R")</f>
        <v>R</v>
      </c>
      <c r="R7952" s="5" t="str">
        <f t="shared" si="2"/>
        <v>Saving Zoë</v>
      </c>
      <c r="S7952" s="5" t="str">
        <f>IFERROR(__xludf.DUMMYFUNCTION("""COMPUTED_VALUE"""),"Thi Mai")</f>
        <v>Thi Mai</v>
      </c>
      <c r="V7952" s="5"/>
      <c r="Y7952" s="5" t="str">
        <f>IFERROR(__xludf.DUMMYFUNCTION("REGEXEXTRACT(J7952, ""^\d+"")"),"95")</f>
        <v>95</v>
      </c>
      <c r="Z7952" s="5" t="str">
        <f>IFERROR(__xludf.DUMMYFUNCTION("REGEXEXTRACT(J7952, ""[A-Za-z ]+$"")")," min")</f>
        <v> min</v>
      </c>
      <c r="AA7952" s="5" t="str">
        <f>IFERROR(__xludf.DUMMYFUNCTION("IF(REGEXMATCH(Z7952, ""Season""), ""TV Show"", ""Movie"")"),"Movie")</f>
        <v>Movie</v>
      </c>
    </row>
    <row r="7953">
      <c r="A7953" s="1" t="s">
        <v>38374</v>
      </c>
      <c r="B7953" s="1" t="s">
        <v>27</v>
      </c>
      <c r="C7953" s="1" t="s">
        <v>38375</v>
      </c>
      <c r="D7953" s="1" t="s">
        <v>3701</v>
      </c>
      <c r="E7953" s="1" t="s">
        <v>38376</v>
      </c>
      <c r="F7953" s="1" t="s">
        <v>30</v>
      </c>
      <c r="G7953" s="1" t="s">
        <v>25080</v>
      </c>
      <c r="H7953" s="1">
        <v>2014.0</v>
      </c>
      <c r="I7953" s="1" t="s">
        <v>378</v>
      </c>
      <c r="J7953" s="1" t="s">
        <v>416</v>
      </c>
      <c r="K7953" s="1" t="s">
        <v>836</v>
      </c>
      <c r="L7953" s="1" t="s">
        <v>38377</v>
      </c>
      <c r="M7953" s="2" t="s">
        <v>12</v>
      </c>
      <c r="N7953" s="4">
        <f t="shared" si="1"/>
        <v>43300</v>
      </c>
      <c r="O7953" s="5" t="str">
        <f>IFERROR(__xludf.DUMMYFUNCTION("IF(REGEXMATCH(TRIM(I7953), ""^\d+\s*min""), ""Unclassified"", IF(I7953 = """", ""NR"", I7953))"),"R")</f>
        <v>R</v>
      </c>
      <c r="R7953" s="5" t="str">
        <f t="shared" si="2"/>
        <v>Say When</v>
      </c>
      <c r="S7953" s="5" t="str">
        <f>IFERROR(__xludf.DUMMYFUNCTION("""COMPUTED_VALUE"""),"Thiago Ventura: Pokas")</f>
        <v>Thiago Ventura: Pokas</v>
      </c>
      <c r="V7953" s="5"/>
      <c r="Y7953" s="5" t="str">
        <f>IFERROR(__xludf.DUMMYFUNCTION("REGEXEXTRACT(J7953, ""^\d+"")"),"99")</f>
        <v>99</v>
      </c>
      <c r="Z7953" s="5" t="str">
        <f>IFERROR(__xludf.DUMMYFUNCTION("REGEXEXTRACT(J7953, ""[A-Za-z ]+$"")")," min")</f>
        <v> min</v>
      </c>
      <c r="AA7953" s="5" t="str">
        <f>IFERROR(__xludf.DUMMYFUNCTION("IF(REGEXMATCH(Z7953, ""Season""), ""TV Show"", ""Movie"")"),"Movie")</f>
        <v>Movie</v>
      </c>
    </row>
    <row r="7954">
      <c r="A7954" s="1" t="s">
        <v>38378</v>
      </c>
      <c r="B7954" s="1" t="s">
        <v>27</v>
      </c>
      <c r="C7954" s="1" t="s">
        <v>38379</v>
      </c>
      <c r="D7954" s="1" t="s">
        <v>12792</v>
      </c>
      <c r="E7954" s="1" t="s">
        <v>38380</v>
      </c>
      <c r="F7954" s="1" t="s">
        <v>30</v>
      </c>
      <c r="G7954" s="1" t="s">
        <v>16653</v>
      </c>
      <c r="H7954" s="1">
        <v>2017.0</v>
      </c>
      <c r="I7954" s="1" t="s">
        <v>78</v>
      </c>
      <c r="J7954" s="1" t="s">
        <v>454</v>
      </c>
      <c r="K7954" s="1" t="s">
        <v>80</v>
      </c>
      <c r="L7954" s="1" t="s">
        <v>38381</v>
      </c>
      <c r="M7954" s="2" t="s">
        <v>12</v>
      </c>
      <c r="N7954" s="4">
        <f t="shared" si="1"/>
        <v>43853</v>
      </c>
      <c r="O7954" s="5" t="str">
        <f>IFERROR(__xludf.DUMMYFUNCTION("IF(REGEXMATCH(TRIM(I7954), ""^\d+\s*min""), ""Unclassified"", IF(I7954 = """", ""NR"", I7954))"),"PG")</f>
        <v>PG</v>
      </c>
      <c r="R7954" s="5" t="str">
        <f t="shared" si="2"/>
        <v>Scales: Mermaids Are Real</v>
      </c>
      <c r="S7954" s="5" t="str">
        <f>IFERROR(__xludf.DUMMYFUNCTION("""COMPUTED_VALUE"""),"Thieves Of The Wood")</f>
        <v>Thieves Of The Wood</v>
      </c>
      <c r="V7954" s="5"/>
      <c r="Y7954" s="5" t="str">
        <f>IFERROR(__xludf.DUMMYFUNCTION("REGEXEXTRACT(J7954, ""^\d+"")"),"93")</f>
        <v>93</v>
      </c>
      <c r="Z7954" s="5" t="str">
        <f>IFERROR(__xludf.DUMMYFUNCTION("REGEXEXTRACT(J7954, ""[A-Za-z ]+$"")")," min")</f>
        <v> min</v>
      </c>
      <c r="AA7954" s="5" t="str">
        <f>IFERROR(__xludf.DUMMYFUNCTION("IF(REGEXMATCH(Z7954, ""Season""), ""TV Show"", ""Movie"")"),"Movie")</f>
        <v>Movie</v>
      </c>
    </row>
    <row r="7955">
      <c r="A7955" s="1" t="s">
        <v>38382</v>
      </c>
      <c r="B7955" s="1" t="s">
        <v>37</v>
      </c>
      <c r="C7955" s="1" t="s">
        <v>38383</v>
      </c>
      <c r="E7955" s="1" t="s">
        <v>38384</v>
      </c>
      <c r="F7955" s="1" t="s">
        <v>30</v>
      </c>
      <c r="G7955" s="7">
        <v>43239.0</v>
      </c>
      <c r="H7955" s="1">
        <v>2018.0</v>
      </c>
      <c r="I7955" s="1" t="s">
        <v>97</v>
      </c>
      <c r="J7955" s="1" t="s">
        <v>1809</v>
      </c>
      <c r="K7955" s="1" t="s">
        <v>4118</v>
      </c>
      <c r="L7955" s="1" t="s">
        <v>38385</v>
      </c>
      <c r="M7955" s="2" t="s">
        <v>12</v>
      </c>
      <c r="N7955" s="4">
        <f t="shared" si="1"/>
        <v>43239</v>
      </c>
      <c r="O7955" s="5" t="str">
        <f>IFERROR(__xludf.DUMMYFUNCTION("IF(REGEXMATCH(TRIM(I7955), ""^\d+\s*min""), ""Unclassified"", IF(I7955 = """", ""NR"", I7955))"),"TV-14")</f>
        <v>TV-14</v>
      </c>
      <c r="R7955" s="5" t="str">
        <f t="shared" si="2"/>
        <v>Scandal</v>
      </c>
      <c r="S7955" s="5" t="str">
        <f>IFERROR(__xludf.DUMMYFUNCTION("""COMPUTED_VALUE"""),"Thimmarusu")</f>
        <v>Thimmarusu</v>
      </c>
      <c r="V7955" s="5"/>
      <c r="Y7955" s="5" t="str">
        <f>IFERROR(__xludf.DUMMYFUNCTION("REGEXEXTRACT(J7955, ""^\d+"")"),"7")</f>
        <v>7</v>
      </c>
      <c r="Z7955" s="5" t="str">
        <f>IFERROR(__xludf.DUMMYFUNCTION("REGEXEXTRACT(J7955, ""[A-Za-z ]+$"")")," Seasons")</f>
        <v> Seasons</v>
      </c>
      <c r="AA7955" s="5" t="str">
        <f>IFERROR(__xludf.DUMMYFUNCTION("IF(REGEXMATCH(Z7955, ""Season""), ""TV Show"", ""Movie"")"),"TV Show")</f>
        <v>TV Show</v>
      </c>
    </row>
    <row r="7956">
      <c r="A7956" s="1" t="s">
        <v>38386</v>
      </c>
      <c r="B7956" s="1" t="s">
        <v>27</v>
      </c>
      <c r="C7956" s="1" t="s">
        <v>38387</v>
      </c>
      <c r="D7956" s="1" t="s">
        <v>6551</v>
      </c>
      <c r="E7956" s="1" t="s">
        <v>38388</v>
      </c>
      <c r="F7956" s="1" t="s">
        <v>21126</v>
      </c>
      <c r="G7956" s="1" t="s">
        <v>9889</v>
      </c>
      <c r="H7956" s="1">
        <v>1955.0</v>
      </c>
      <c r="I7956" s="1" t="s">
        <v>136</v>
      </c>
      <c r="J7956" s="1" t="s">
        <v>454</v>
      </c>
      <c r="K7956" s="1" t="s">
        <v>38389</v>
      </c>
      <c r="L7956" s="1" t="s">
        <v>38390</v>
      </c>
      <c r="M7956" s="2" t="s">
        <v>12</v>
      </c>
      <c r="N7956" s="4">
        <f t="shared" si="1"/>
        <v>44148</v>
      </c>
      <c r="O7956" s="5" t="str">
        <f>IFERROR(__xludf.DUMMYFUNCTION("IF(REGEXMATCH(TRIM(I7956), ""^\d+\s*min""), ""Unclassified"", IF(I7956 = """", ""NR"", I7956))"),"TV-PG")</f>
        <v>TV-PG</v>
      </c>
      <c r="R7956" s="5" t="str">
        <f t="shared" si="2"/>
        <v>Scandal In Sorrento</v>
      </c>
      <c r="S7956" s="5" t="str">
        <f>IFERROR(__xludf.DUMMYFUNCTION("""COMPUTED_VALUE"""),"Things Heard &amp; Seen")</f>
        <v>Things Heard &amp; Seen</v>
      </c>
      <c r="V7956" s="5"/>
      <c r="Y7956" s="5" t="str">
        <f>IFERROR(__xludf.DUMMYFUNCTION("REGEXEXTRACT(J7956, ""^\d+"")"),"93")</f>
        <v>93</v>
      </c>
      <c r="Z7956" s="5" t="str">
        <f>IFERROR(__xludf.DUMMYFUNCTION("REGEXEXTRACT(J7956, ""[A-Za-z ]+$"")")," min")</f>
        <v> min</v>
      </c>
      <c r="AA7956" s="5" t="str">
        <f>IFERROR(__xludf.DUMMYFUNCTION("IF(REGEXMATCH(Z7956, ""Season""), ""TV Show"", ""Movie"")"),"Movie")</f>
        <v>Movie</v>
      </c>
    </row>
    <row r="7957">
      <c r="A7957" s="1" t="s">
        <v>38391</v>
      </c>
      <c r="B7957" s="1" t="s">
        <v>27</v>
      </c>
      <c r="C7957" s="1" t="s">
        <v>38392</v>
      </c>
      <c r="D7957" s="1" t="s">
        <v>12600</v>
      </c>
      <c r="E7957" s="1" t="s">
        <v>38393</v>
      </c>
      <c r="F7957" s="1" t="s">
        <v>30</v>
      </c>
      <c r="G7957" s="1" t="s">
        <v>16947</v>
      </c>
      <c r="H7957" s="1">
        <v>2000.0</v>
      </c>
      <c r="I7957" s="1" t="s">
        <v>378</v>
      </c>
      <c r="J7957" s="1" t="s">
        <v>428</v>
      </c>
      <c r="K7957" s="1" t="s">
        <v>4525</v>
      </c>
      <c r="L7957" s="1" t="s">
        <v>38394</v>
      </c>
      <c r="M7957" s="2" t="s">
        <v>12</v>
      </c>
      <c r="N7957" s="4">
        <f t="shared" si="1"/>
        <v>43831</v>
      </c>
      <c r="O7957" s="5" t="str">
        <f>IFERROR(__xludf.DUMMYFUNCTION("IF(REGEXMATCH(TRIM(I7957), ""^\d+\s*min""), ""Unclassified"", IF(I7957 = """", ""NR"", I7957))"),"R")</f>
        <v>R</v>
      </c>
      <c r="R7957" s="5" t="str">
        <f t="shared" si="2"/>
        <v>Scary Movie</v>
      </c>
      <c r="S7957" s="5" t="str">
        <f>IFERROR(__xludf.DUMMYFUNCTION("""COMPUTED_VALUE"""),"Thirteen Terrors")</f>
        <v>Thirteen Terrors</v>
      </c>
      <c r="V7957" s="5"/>
      <c r="Y7957" s="5" t="str">
        <f>IFERROR(__xludf.DUMMYFUNCTION("REGEXEXTRACT(J7957, ""^\d+"")"),"88")</f>
        <v>88</v>
      </c>
      <c r="Z7957" s="5" t="str">
        <f>IFERROR(__xludf.DUMMYFUNCTION("REGEXEXTRACT(J7957, ""[A-Za-z ]+$"")")," min")</f>
        <v> min</v>
      </c>
      <c r="AA7957" s="5" t="str">
        <f>IFERROR(__xludf.DUMMYFUNCTION("IF(REGEXMATCH(Z7957, ""Season""), ""TV Show"", ""Movie"")"),"Movie")</f>
        <v>Movie</v>
      </c>
    </row>
    <row r="7958">
      <c r="A7958" s="1" t="s">
        <v>38395</v>
      </c>
      <c r="B7958" s="1" t="s">
        <v>27</v>
      </c>
      <c r="C7958" s="1" t="s">
        <v>38396</v>
      </c>
      <c r="D7958" s="1" t="s">
        <v>1266</v>
      </c>
      <c r="E7958" s="1" t="s">
        <v>38397</v>
      </c>
      <c r="F7958" s="1" t="s">
        <v>30</v>
      </c>
      <c r="G7958" s="1" t="s">
        <v>12217</v>
      </c>
      <c r="H7958" s="1">
        <v>2013.0</v>
      </c>
      <c r="I7958" s="1" t="s">
        <v>32</v>
      </c>
      <c r="J7958" s="1" t="s">
        <v>428</v>
      </c>
      <c r="K7958" s="1" t="s">
        <v>4525</v>
      </c>
      <c r="L7958" s="1" t="s">
        <v>38398</v>
      </c>
      <c r="M7958" s="2" t="s">
        <v>12</v>
      </c>
      <c r="N7958" s="4">
        <f t="shared" si="1"/>
        <v>44055</v>
      </c>
      <c r="O7958" s="5" t="str">
        <f>IFERROR(__xludf.DUMMYFUNCTION("IF(REGEXMATCH(TRIM(I7958), ""^\d+\s*min""), ""Unclassified"", IF(I7958 = """", ""NR"", I7958))"),"PG-13")</f>
        <v>PG-13</v>
      </c>
      <c r="R7958" s="5" t="str">
        <f t="shared" si="2"/>
        <v>Scary Movie 5</v>
      </c>
      <c r="S7958" s="5" t="str">
        <f>IFERROR(__xludf.DUMMYFUNCTION("""COMPUTED_VALUE"""),"This Changes Everything")</f>
        <v>This Changes Everything</v>
      </c>
      <c r="V7958" s="5"/>
      <c r="Y7958" s="5" t="str">
        <f>IFERROR(__xludf.DUMMYFUNCTION("REGEXEXTRACT(J7958, ""^\d+"")"),"88")</f>
        <v>88</v>
      </c>
      <c r="Z7958" s="5" t="str">
        <f>IFERROR(__xludf.DUMMYFUNCTION("REGEXEXTRACT(J7958, ""[A-Za-z ]+$"")")," min")</f>
        <v> min</v>
      </c>
      <c r="AA7958" s="5" t="str">
        <f>IFERROR(__xludf.DUMMYFUNCTION("IF(REGEXMATCH(Z7958, ""Season""), ""TV Show"", ""Movie"")"),"Movie")</f>
        <v>Movie</v>
      </c>
    </row>
    <row r="7959">
      <c r="A7959" s="1" t="s">
        <v>38399</v>
      </c>
      <c r="B7959" s="1" t="s">
        <v>27</v>
      </c>
      <c r="C7959" s="1" t="s">
        <v>38400</v>
      </c>
      <c r="D7959" s="1" t="s">
        <v>339</v>
      </c>
      <c r="E7959" s="1" t="s">
        <v>38401</v>
      </c>
      <c r="F7959" s="1" t="s">
        <v>30</v>
      </c>
      <c r="G7959" s="1" t="s">
        <v>25842</v>
      </c>
      <c r="H7959" s="1">
        <v>1993.0</v>
      </c>
      <c r="I7959" s="1" t="s">
        <v>378</v>
      </c>
      <c r="J7959" s="1" t="s">
        <v>14056</v>
      </c>
      <c r="K7959" s="1" t="s">
        <v>1164</v>
      </c>
      <c r="L7959" s="1" t="s">
        <v>38402</v>
      </c>
      <c r="M7959" s="2" t="s">
        <v>12</v>
      </c>
      <c r="N7959" s="4">
        <f t="shared" si="1"/>
        <v>43191</v>
      </c>
      <c r="O7959" s="5" t="str">
        <f>IFERROR(__xludf.DUMMYFUNCTION("IF(REGEXMATCH(TRIM(I7959), ""^\d+\s*min""), ""Unclassified"", IF(I7959 = """", ""NR"", I7959))"),"R")</f>
        <v>R</v>
      </c>
      <c r="R7959" s="5" t="str">
        <f t="shared" si="2"/>
        <v>Schindler'S List</v>
      </c>
      <c r="S7959" s="5" t="str">
        <f>IFERROR(__xludf.DUMMYFUNCTION("""COMPUTED_VALUE"""),"This Earth Of Mankind")</f>
        <v>This Earth Of Mankind</v>
      </c>
      <c r="V7959" s="5"/>
      <c r="Y7959" s="5" t="str">
        <f>IFERROR(__xludf.DUMMYFUNCTION("REGEXEXTRACT(J7959, ""^\d+"")"),"195")</f>
        <v>195</v>
      </c>
      <c r="Z7959" s="5" t="str">
        <f>IFERROR(__xludf.DUMMYFUNCTION("REGEXEXTRACT(J7959, ""[A-Za-z ]+$"")")," min")</f>
        <v> min</v>
      </c>
      <c r="AA7959" s="5" t="str">
        <f>IFERROR(__xludf.DUMMYFUNCTION("IF(REGEXMATCH(Z7959, ""Season""), ""TV Show"", ""Movie"")"),"Movie")</f>
        <v>Movie</v>
      </c>
    </row>
    <row r="7960">
      <c r="A7960" s="1" t="s">
        <v>38403</v>
      </c>
      <c r="B7960" s="1" t="s">
        <v>27</v>
      </c>
      <c r="C7960" s="1" t="s">
        <v>38404</v>
      </c>
      <c r="D7960" s="1" t="s">
        <v>983</v>
      </c>
      <c r="E7960" s="1" t="s">
        <v>38405</v>
      </c>
      <c r="F7960" s="1" t="s">
        <v>30</v>
      </c>
      <c r="G7960" s="1" t="s">
        <v>10136</v>
      </c>
      <c r="H7960" s="1">
        <v>1988.0</v>
      </c>
      <c r="I7960" s="1" t="s">
        <v>378</v>
      </c>
      <c r="J7960" s="1" t="s">
        <v>985</v>
      </c>
      <c r="K7960" s="1" t="s">
        <v>107</v>
      </c>
      <c r="L7960" s="1" t="s">
        <v>38406</v>
      </c>
      <c r="M7960" s="2" t="s">
        <v>12</v>
      </c>
      <c r="N7960" s="4">
        <f t="shared" si="1"/>
        <v>44136</v>
      </c>
      <c r="O7960" s="5" t="str">
        <f>IFERROR(__xludf.DUMMYFUNCTION("IF(REGEXMATCH(TRIM(I7960), ""^\d+\s*min""), ""Unclassified"", IF(I7960 = """", ""NR"", I7960))"),"R")</f>
        <v>R</v>
      </c>
      <c r="R7960" s="5" t="str">
        <f t="shared" si="2"/>
        <v>School Daze</v>
      </c>
      <c r="S7960" s="5" t="str">
        <f>IFERROR(__xludf.DUMMYFUNCTION("""COMPUTED_VALUE"""),"This Evening")</f>
        <v>This Evening</v>
      </c>
      <c r="V7960" s="5"/>
      <c r="Y7960" s="5" t="str">
        <f>IFERROR(__xludf.DUMMYFUNCTION("REGEXEXTRACT(J7960, ""^\d+"")"),"120")</f>
        <v>120</v>
      </c>
      <c r="Z7960" s="5" t="str">
        <f>IFERROR(__xludf.DUMMYFUNCTION("REGEXEXTRACT(J7960, ""[A-Za-z ]+$"")")," min")</f>
        <v> min</v>
      </c>
      <c r="AA7960" s="5" t="str">
        <f>IFERROR(__xludf.DUMMYFUNCTION("IF(REGEXMATCH(Z7960, ""Season""), ""TV Show"", ""Movie"")"),"Movie")</f>
        <v>Movie</v>
      </c>
    </row>
    <row r="7961">
      <c r="A7961" s="1" t="s">
        <v>38407</v>
      </c>
      <c r="B7961" s="1" t="s">
        <v>27</v>
      </c>
      <c r="C7961" s="1" t="s">
        <v>38408</v>
      </c>
      <c r="D7961" s="1" t="s">
        <v>9347</v>
      </c>
      <c r="E7961" s="1" t="s">
        <v>38409</v>
      </c>
      <c r="F7961" s="1" t="s">
        <v>30</v>
      </c>
      <c r="G7961" s="1" t="s">
        <v>17333</v>
      </c>
      <c r="H7961" s="1">
        <v>1998.0</v>
      </c>
      <c r="I7961" s="1" t="s">
        <v>136</v>
      </c>
      <c r="J7961" s="1" t="s">
        <v>4558</v>
      </c>
      <c r="K7961" s="1" t="s">
        <v>80</v>
      </c>
      <c r="L7961" s="1" t="s">
        <v>38410</v>
      </c>
      <c r="M7961" s="2" t="s">
        <v>12</v>
      </c>
      <c r="N7961" s="4">
        <f t="shared" si="1"/>
        <v>43814</v>
      </c>
      <c r="O7961" s="5" t="str">
        <f>IFERROR(__xludf.DUMMYFUNCTION("IF(REGEXMATCH(TRIM(I7961), ""^\d+\s*min""), ""Unclassified"", IF(I7961 = """", ""NR"", I7961))"),"TV-PG")</f>
        <v>TV-PG</v>
      </c>
      <c r="R7961" s="5" t="str">
        <f t="shared" si="2"/>
        <v>Scooby-Doo On Zombie Island</v>
      </c>
      <c r="S7961" s="5" t="str">
        <f>IFERROR(__xludf.DUMMYFUNCTION("""COMPUTED_VALUE"""),"This Is A Robbery: The World'S Biggest Art Heist")</f>
        <v>This Is A Robbery: The World'S Biggest Art Heist</v>
      </c>
      <c r="V7961" s="5"/>
      <c r="Y7961" s="5" t="str">
        <f>IFERROR(__xludf.DUMMYFUNCTION("REGEXEXTRACT(J7961, ""^\d+"")"),"77")</f>
        <v>77</v>
      </c>
      <c r="Z7961" s="5" t="str">
        <f>IFERROR(__xludf.DUMMYFUNCTION("REGEXEXTRACT(J7961, ""[A-Za-z ]+$"")")," min")</f>
        <v> min</v>
      </c>
      <c r="AA7961" s="5" t="str">
        <f>IFERROR(__xludf.DUMMYFUNCTION("IF(REGEXMATCH(Z7961, ""Season""), ""TV Show"", ""Movie"")"),"Movie")</f>
        <v>Movie</v>
      </c>
    </row>
    <row r="7962">
      <c r="A7962" s="1" t="s">
        <v>38411</v>
      </c>
      <c r="B7962" s="1" t="s">
        <v>27</v>
      </c>
      <c r="C7962" s="1" t="s">
        <v>38412</v>
      </c>
      <c r="D7962" s="1" t="s">
        <v>6805</v>
      </c>
      <c r="E7962" s="1" t="s">
        <v>38413</v>
      </c>
      <c r="F7962" s="1" t="s">
        <v>38414</v>
      </c>
      <c r="G7962" s="1" t="s">
        <v>31123</v>
      </c>
      <c r="H7962" s="1">
        <v>2010.0</v>
      </c>
      <c r="I7962" s="1" t="s">
        <v>32</v>
      </c>
      <c r="J7962" s="1" t="s">
        <v>1243</v>
      </c>
      <c r="K7962" s="1" t="s">
        <v>2289</v>
      </c>
      <c r="L7962" s="1" t="s">
        <v>38415</v>
      </c>
      <c r="M7962" s="2" t="s">
        <v>12</v>
      </c>
      <c r="N7962" s="4">
        <f t="shared" si="1"/>
        <v>43359</v>
      </c>
      <c r="O7962" s="5" t="str">
        <f>IFERROR(__xludf.DUMMYFUNCTION("IF(REGEXMATCH(TRIM(I7962), ""^\d+\s*min""), ""Unclassified"", IF(I7962 = """", ""NR"", I7962))"),"PG-13")</f>
        <v>PG-13</v>
      </c>
      <c r="R7962" s="5" t="str">
        <f t="shared" si="2"/>
        <v>Scott Pilgrim Vs. The World</v>
      </c>
      <c r="S7962" s="5" t="str">
        <f>IFERROR(__xludf.DUMMYFUNCTION("""COMPUTED_VALUE"""),"This Is My Love")</f>
        <v>This Is My Love</v>
      </c>
      <c r="V7962" s="5"/>
      <c r="Y7962" s="5" t="str">
        <f>IFERROR(__xludf.DUMMYFUNCTION("REGEXEXTRACT(J7962, ""^\d+"")"),"112")</f>
        <v>112</v>
      </c>
      <c r="Z7962" s="5" t="str">
        <f>IFERROR(__xludf.DUMMYFUNCTION("REGEXEXTRACT(J7962, ""[A-Za-z ]+$"")")," min")</f>
        <v> min</v>
      </c>
      <c r="AA7962" s="5" t="str">
        <f>IFERROR(__xludf.DUMMYFUNCTION("IF(REGEXMATCH(Z7962, ""Season""), ""TV Show"", ""Movie"")"),"Movie")</f>
        <v>Movie</v>
      </c>
    </row>
    <row r="7963">
      <c r="A7963" s="1" t="s">
        <v>38416</v>
      </c>
      <c r="B7963" s="1" t="s">
        <v>27</v>
      </c>
      <c r="C7963" s="1" t="s">
        <v>38417</v>
      </c>
      <c r="D7963" s="1" t="s">
        <v>23546</v>
      </c>
      <c r="E7963" s="1" t="s">
        <v>38418</v>
      </c>
      <c r="F7963" s="1" t="s">
        <v>30</v>
      </c>
      <c r="G7963" s="1" t="s">
        <v>18985</v>
      </c>
      <c r="H7963" s="1">
        <v>1997.0</v>
      </c>
      <c r="I7963" s="1" t="s">
        <v>378</v>
      </c>
      <c r="J7963" s="1" t="s">
        <v>941</v>
      </c>
      <c r="K7963" s="1" t="s">
        <v>1551</v>
      </c>
      <c r="L7963" s="1" t="s">
        <v>38419</v>
      </c>
      <c r="M7963" s="2" t="s">
        <v>12</v>
      </c>
      <c r="N7963" s="4">
        <f t="shared" si="1"/>
        <v>43739</v>
      </c>
      <c r="O7963" s="5" t="str">
        <f>IFERROR(__xludf.DUMMYFUNCTION("IF(REGEXMATCH(TRIM(I7963), ""^\d+\s*min""), ""Unclassified"", IF(I7963 = """", ""NR"", I7963))"),"R")</f>
        <v>R</v>
      </c>
      <c r="R7963" s="5" t="str">
        <f t="shared" si="2"/>
        <v>Scream 2</v>
      </c>
      <c r="S7963" s="5" t="str">
        <f>IFERROR(__xludf.DUMMYFUNCTION("""COMPUTED_VALUE"""),"This Is Not What I Expected")</f>
        <v>This Is Not What I Expected</v>
      </c>
      <c r="V7963" s="5"/>
      <c r="Y7963" s="5" t="str">
        <f>IFERROR(__xludf.DUMMYFUNCTION("REGEXEXTRACT(J7963, ""^\d+"")"),"121")</f>
        <v>121</v>
      </c>
      <c r="Z7963" s="5" t="str">
        <f>IFERROR(__xludf.DUMMYFUNCTION("REGEXEXTRACT(J7963, ""[A-Za-z ]+$"")")," min")</f>
        <v> min</v>
      </c>
      <c r="AA7963" s="5" t="str">
        <f>IFERROR(__xludf.DUMMYFUNCTION("IF(REGEXMATCH(Z7963, ""Season""), ""TV Show"", ""Movie"")"),"Movie")</f>
        <v>Movie</v>
      </c>
    </row>
    <row r="7964">
      <c r="A7964" s="1" t="s">
        <v>38420</v>
      </c>
      <c r="B7964" s="1" t="s">
        <v>27</v>
      </c>
      <c r="C7964" s="1" t="s">
        <v>38421</v>
      </c>
      <c r="D7964" s="1" t="s">
        <v>23546</v>
      </c>
      <c r="E7964" s="1" t="s">
        <v>38422</v>
      </c>
      <c r="F7964" s="1" t="s">
        <v>30</v>
      </c>
      <c r="G7964" s="1" t="s">
        <v>20110</v>
      </c>
      <c r="H7964" s="1">
        <v>2000.0</v>
      </c>
      <c r="I7964" s="1" t="s">
        <v>378</v>
      </c>
      <c r="J7964" s="1" t="s">
        <v>743</v>
      </c>
      <c r="K7964" s="1" t="s">
        <v>1551</v>
      </c>
      <c r="L7964" s="1" t="s">
        <v>38423</v>
      </c>
      <c r="M7964" s="2" t="s">
        <v>12</v>
      </c>
      <c r="N7964" s="4">
        <f t="shared" si="1"/>
        <v>43647</v>
      </c>
      <c r="O7964" s="5" t="str">
        <f>IFERROR(__xludf.DUMMYFUNCTION("IF(REGEXMATCH(TRIM(I7964), ""^\d+\s*min""), ""Unclassified"", IF(I7964 = """", ""NR"", I7964))"),"R")</f>
        <v>R</v>
      </c>
      <c r="R7964" s="5" t="str">
        <f t="shared" si="2"/>
        <v>Scream 3</v>
      </c>
      <c r="S7964" s="5" t="str">
        <f>IFERROR(__xludf.DUMMYFUNCTION("""COMPUTED_VALUE"""),"This Is Pop")</f>
        <v>This Is Pop</v>
      </c>
      <c r="V7964" s="5"/>
      <c r="Y7964" s="5" t="str">
        <f>IFERROR(__xludf.DUMMYFUNCTION("REGEXEXTRACT(J7964, ""^\d+"")"),"117")</f>
        <v>117</v>
      </c>
      <c r="Z7964" s="5" t="str">
        <f>IFERROR(__xludf.DUMMYFUNCTION("REGEXEXTRACT(J7964, ""[A-Za-z ]+$"")")," min")</f>
        <v> min</v>
      </c>
      <c r="AA7964" s="5" t="str">
        <f>IFERROR(__xludf.DUMMYFUNCTION("IF(REGEXMATCH(Z7964, ""Season""), ""TV Show"", ""Movie"")"),"Movie")</f>
        <v>Movie</v>
      </c>
    </row>
    <row r="7965">
      <c r="A7965" s="1" t="s">
        <v>38424</v>
      </c>
      <c r="B7965" s="1" t="s">
        <v>27</v>
      </c>
      <c r="C7965" s="1" t="s">
        <v>38425</v>
      </c>
      <c r="D7965" s="1" t="s">
        <v>11478</v>
      </c>
      <c r="E7965" s="1" t="s">
        <v>38426</v>
      </c>
      <c r="F7965" s="1" t="s">
        <v>30</v>
      </c>
      <c r="G7965" s="1" t="s">
        <v>16947</v>
      </c>
      <c r="H7965" s="1">
        <v>2012.0</v>
      </c>
      <c r="I7965" s="1" t="s">
        <v>42</v>
      </c>
      <c r="J7965" s="1" t="s">
        <v>33</v>
      </c>
      <c r="K7965" s="1" t="s">
        <v>380</v>
      </c>
      <c r="L7965" s="1" t="s">
        <v>38427</v>
      </c>
      <c r="M7965" s="2" t="s">
        <v>12</v>
      </c>
      <c r="N7965" s="4">
        <f t="shared" si="1"/>
        <v>43831</v>
      </c>
      <c r="O7965" s="5" t="str">
        <f>IFERROR(__xludf.DUMMYFUNCTION("IF(REGEXMATCH(TRIM(I7965), ""^\d+\s*min""), ""Unclassified"", IF(I7965 = """", ""NR"", I7965))"),"TV-MA")</f>
        <v>TV-MA</v>
      </c>
      <c r="R7965" s="5" t="str">
        <f t="shared" si="2"/>
        <v>Seal Team Six: The Raid On Osama Bin Laden</v>
      </c>
      <c r="S7965" s="5" t="str">
        <f>IFERROR(__xludf.DUMMYFUNCTION("""COMPUTED_VALUE"""),"This Is The Life")</f>
        <v>This Is The Life</v>
      </c>
      <c r="V7965" s="5"/>
      <c r="Y7965" s="5" t="str">
        <f>IFERROR(__xludf.DUMMYFUNCTION("REGEXEXTRACT(J7965, ""^\d+"")"),"90")</f>
        <v>90</v>
      </c>
      <c r="Z7965" s="5" t="str">
        <f>IFERROR(__xludf.DUMMYFUNCTION("REGEXEXTRACT(J7965, ""[A-Za-z ]+$"")")," min")</f>
        <v> min</v>
      </c>
      <c r="AA7965" s="5" t="str">
        <f>IFERROR(__xludf.DUMMYFUNCTION("IF(REGEXMATCH(Z7965, ""Season""), ""TV Show"", ""Movie"")"),"Movie")</f>
        <v>Movie</v>
      </c>
    </row>
    <row r="7966">
      <c r="A7966" s="1" t="s">
        <v>38428</v>
      </c>
      <c r="B7966" s="1" t="s">
        <v>27</v>
      </c>
      <c r="C7966" s="1" t="s">
        <v>38429</v>
      </c>
      <c r="D7966" s="1" t="s">
        <v>21760</v>
      </c>
      <c r="E7966" s="1" t="s">
        <v>38430</v>
      </c>
      <c r="F7966" s="1" t="s">
        <v>30</v>
      </c>
      <c r="G7966" s="1" t="s">
        <v>9258</v>
      </c>
      <c r="H7966" s="1">
        <v>1993.0</v>
      </c>
      <c r="I7966" s="1" t="s">
        <v>78</v>
      </c>
      <c r="J7966" s="1" t="s">
        <v>297</v>
      </c>
      <c r="K7966" s="1" t="s">
        <v>38431</v>
      </c>
      <c r="L7966" s="1" t="s">
        <v>38432</v>
      </c>
      <c r="M7966" s="2" t="s">
        <v>12</v>
      </c>
      <c r="N7966" s="4">
        <f t="shared" si="1"/>
        <v>44172</v>
      </c>
      <c r="O7966" s="5" t="str">
        <f>IFERROR(__xludf.DUMMYFUNCTION("IF(REGEXMATCH(TRIM(I7966), ""^\d+\s*min""), ""Unclassified"", IF(I7966 = """", ""NR"", I7966))"),"PG")</f>
        <v>PG</v>
      </c>
      <c r="R7966" s="5" t="str">
        <f t="shared" si="2"/>
        <v>Searching For Bobby Fischer</v>
      </c>
      <c r="S7966" s="5" t="str">
        <f>IFERROR(__xludf.DUMMYFUNCTION("""COMPUTED_VALUE"""),"This Lady Called Life")</f>
        <v>This Lady Called Life</v>
      </c>
      <c r="V7966" s="5"/>
      <c r="Y7966" s="5" t="str">
        <f>IFERROR(__xludf.DUMMYFUNCTION("REGEXEXTRACT(J7966, ""^\d+"")"),"110")</f>
        <v>110</v>
      </c>
      <c r="Z7966" s="5" t="str">
        <f>IFERROR(__xludf.DUMMYFUNCTION("REGEXEXTRACT(J7966, ""[A-Za-z ]+$"")")," min")</f>
        <v> min</v>
      </c>
      <c r="AA7966" s="5" t="str">
        <f>IFERROR(__xludf.DUMMYFUNCTION("IF(REGEXMATCH(Z7966, ""Season""), ""TV Show"", ""Movie"")"),"Movie")</f>
        <v>Movie</v>
      </c>
    </row>
    <row r="7967">
      <c r="A7967" s="1" t="s">
        <v>38433</v>
      </c>
      <c r="B7967" s="1" t="s">
        <v>27</v>
      </c>
      <c r="C7967" s="1" t="s">
        <v>38434</v>
      </c>
      <c r="D7967" s="1" t="s">
        <v>14358</v>
      </c>
      <c r="E7967" s="1" t="s">
        <v>38435</v>
      </c>
      <c r="F7967" s="1" t="s">
        <v>38436</v>
      </c>
      <c r="G7967" s="1" t="s">
        <v>17643</v>
      </c>
      <c r="H7967" s="1">
        <v>2012.0</v>
      </c>
      <c r="I7967" s="1" t="s">
        <v>32</v>
      </c>
      <c r="J7967" s="1" t="s">
        <v>1144</v>
      </c>
      <c r="K7967" s="1" t="s">
        <v>2892</v>
      </c>
      <c r="L7967" s="1" t="s">
        <v>38437</v>
      </c>
      <c r="M7967" s="2" t="s">
        <v>12</v>
      </c>
      <c r="N7967" s="4">
        <f t="shared" si="1"/>
        <v>43800</v>
      </c>
      <c r="O7967" s="5" t="str">
        <f>IFERROR(__xludf.DUMMYFUNCTION("IF(REGEXMATCH(TRIM(I7967), ""^\d+\s*min""), ""Unclassified"", IF(I7967 = """", ""NR"", I7967))"),"PG-13")</f>
        <v>PG-13</v>
      </c>
      <c r="R7967" s="5" t="str">
        <f t="shared" si="2"/>
        <v>Searching For Sugar Man</v>
      </c>
      <c r="S7967" s="5" t="str">
        <f>IFERROR(__xludf.DUMMYFUNCTION("""COMPUTED_VALUE"""),"This Little Love Of Mine")</f>
        <v>This Little Love Of Mine</v>
      </c>
      <c r="V7967" s="5"/>
      <c r="Y7967" s="5" t="str">
        <f>IFERROR(__xludf.DUMMYFUNCTION("REGEXEXTRACT(J7967, ""^\d+"")"),"86")</f>
        <v>86</v>
      </c>
      <c r="Z7967" s="5" t="str">
        <f>IFERROR(__xludf.DUMMYFUNCTION("REGEXEXTRACT(J7967, ""[A-Za-z ]+$"")")," min")</f>
        <v> min</v>
      </c>
      <c r="AA7967" s="5" t="str">
        <f>IFERROR(__xludf.DUMMYFUNCTION("IF(REGEXMATCH(Z7967, ""Season""), ""TV Show"", ""Movie"")"),"Movie")</f>
        <v>Movie</v>
      </c>
    </row>
    <row r="7968">
      <c r="A7968" s="1" t="s">
        <v>38438</v>
      </c>
      <c r="B7968" s="1" t="s">
        <v>27</v>
      </c>
      <c r="C7968" s="1" t="s">
        <v>38439</v>
      </c>
      <c r="D7968" s="1" t="s">
        <v>4940</v>
      </c>
      <c r="E7968" s="1" t="s">
        <v>38440</v>
      </c>
      <c r="F7968" s="1" t="s">
        <v>30</v>
      </c>
      <c r="G7968" s="1" t="s">
        <v>21046</v>
      </c>
      <c r="H7968" s="1">
        <v>2011.0</v>
      </c>
      <c r="I7968" s="1" t="s">
        <v>32</v>
      </c>
      <c r="J7968" s="1" t="s">
        <v>465</v>
      </c>
      <c r="K7968" s="1" t="s">
        <v>942</v>
      </c>
      <c r="L7968" s="1" t="s">
        <v>38441</v>
      </c>
      <c r="M7968" s="2" t="s">
        <v>12</v>
      </c>
      <c r="N7968" s="4">
        <f t="shared" si="1"/>
        <v>43581</v>
      </c>
      <c r="O7968" s="5" t="str">
        <f>IFERROR(__xludf.DUMMYFUNCTION("IF(REGEXMATCH(TRIM(I7968), ""^\d+\s*min""), ""Unclassified"", IF(I7968 = """", ""NR"", I7968))"),"PG-13")</f>
        <v>PG-13</v>
      </c>
      <c r="R7968" s="5" t="str">
        <f t="shared" si="2"/>
        <v>Season Of The Witch</v>
      </c>
      <c r="S7968" s="5" t="str">
        <f>IFERROR(__xludf.DUMMYFUNCTION("""COMPUTED_VALUE"""),"This Was Tomorrow")</f>
        <v>This Was Tomorrow</v>
      </c>
      <c r="V7968" s="5"/>
      <c r="Y7968" s="5" t="str">
        <f>IFERROR(__xludf.DUMMYFUNCTION("REGEXEXTRACT(J7968, ""^\d+"")"),"95")</f>
        <v>95</v>
      </c>
      <c r="Z7968" s="5" t="str">
        <f>IFERROR(__xludf.DUMMYFUNCTION("REGEXEXTRACT(J7968, ""[A-Za-z ]+$"")")," min")</f>
        <v> min</v>
      </c>
      <c r="AA7968" s="5" t="str">
        <f>IFERROR(__xludf.DUMMYFUNCTION("IF(REGEXMATCH(Z7968, ""Season""), ""TV Show"", ""Movie"")"),"Movie")</f>
        <v>Movie</v>
      </c>
    </row>
    <row r="7969">
      <c r="A7969" s="1" t="s">
        <v>38442</v>
      </c>
      <c r="B7969" s="1" t="s">
        <v>27</v>
      </c>
      <c r="C7969" s="1" t="s">
        <v>38443</v>
      </c>
      <c r="D7969" s="1" t="s">
        <v>10387</v>
      </c>
      <c r="E7969" s="1" t="s">
        <v>38444</v>
      </c>
      <c r="F7969" s="1" t="s">
        <v>38445</v>
      </c>
      <c r="G7969" s="1" t="s">
        <v>25185</v>
      </c>
      <c r="H7969" s="1">
        <v>2007.0</v>
      </c>
      <c r="I7969" s="1" t="s">
        <v>136</v>
      </c>
      <c r="J7969" s="1" t="s">
        <v>1091</v>
      </c>
      <c r="K7969" s="1" t="s">
        <v>1429</v>
      </c>
      <c r="L7969" s="1" t="s">
        <v>38446</v>
      </c>
      <c r="M7969" s="2" t="s">
        <v>12</v>
      </c>
      <c r="N7969" s="4">
        <f t="shared" si="1"/>
        <v>43282</v>
      </c>
      <c r="O7969" s="5" t="str">
        <f>IFERROR(__xludf.DUMMYFUNCTION("IF(REGEXMATCH(TRIM(I7969), ""^\d+\s*min""), ""Unclassified"", IF(I7969 = """", ""NR"", I7969))"),"TV-PG")</f>
        <v>TV-PG</v>
      </c>
      <c r="R7969" s="5" t="str">
        <f t="shared" si="2"/>
        <v>Secret</v>
      </c>
      <c r="S7969" s="5" t="str">
        <f>IFERROR(__xludf.DUMMYFUNCTION("""COMPUTED_VALUE"""),"Thithi")</f>
        <v>Thithi</v>
      </c>
      <c r="V7969" s="5"/>
      <c r="Y7969" s="5" t="str">
        <f>IFERROR(__xludf.DUMMYFUNCTION("REGEXEXTRACT(J7969, ""^\d+"")"),"101")</f>
        <v>101</v>
      </c>
      <c r="Z7969" s="5" t="str">
        <f>IFERROR(__xludf.DUMMYFUNCTION("REGEXEXTRACT(J7969, ""[A-Za-z ]+$"")")," min")</f>
        <v> min</v>
      </c>
      <c r="AA7969" s="5" t="str">
        <f>IFERROR(__xludf.DUMMYFUNCTION("IF(REGEXMATCH(Z7969, ""Season""), ""TV Show"", ""Movie"")"),"Movie")</f>
        <v>Movie</v>
      </c>
    </row>
    <row r="7970">
      <c r="A7970" s="1" t="s">
        <v>38447</v>
      </c>
      <c r="B7970" s="1" t="s">
        <v>37</v>
      </c>
      <c r="C7970" s="1" t="s">
        <v>38448</v>
      </c>
      <c r="E7970" s="1" t="s">
        <v>38449</v>
      </c>
      <c r="F7970" s="1" t="s">
        <v>749</v>
      </c>
      <c r="G7970" s="7">
        <v>42877.0</v>
      </c>
      <c r="H7970" s="1">
        <v>2014.0</v>
      </c>
      <c r="I7970" s="1" t="s">
        <v>97</v>
      </c>
      <c r="J7970" s="1" t="s">
        <v>51</v>
      </c>
      <c r="K7970" s="1" t="s">
        <v>7164</v>
      </c>
      <c r="L7970" s="1" t="s">
        <v>38450</v>
      </c>
      <c r="M7970" s="2" t="s">
        <v>12</v>
      </c>
      <c r="N7970" s="4">
        <f t="shared" si="1"/>
        <v>42877</v>
      </c>
      <c r="O7970" s="5" t="str">
        <f>IFERROR(__xludf.DUMMYFUNCTION("IF(REGEXMATCH(TRIM(I7970), ""^\d+\s*min""), ""Unclassified"", IF(I7970 = """", ""NR"", I7970))"),"TV-14")</f>
        <v>TV-14</v>
      </c>
      <c r="R7970" s="5" t="str">
        <f t="shared" si="2"/>
        <v>Secret Affair</v>
      </c>
      <c r="S7970" s="5" t="str">
        <f>IFERROR(__xludf.DUMMYFUNCTION("""COMPUTED_VALUE"""),"Thomas &amp; Friends: Marvelous Machinery: A New Arrival")</f>
        <v>Thomas &amp; Friends: Marvelous Machinery: A New Arrival</v>
      </c>
      <c r="V7970" s="5"/>
      <c r="Y7970" s="5" t="str">
        <f>IFERROR(__xludf.DUMMYFUNCTION("REGEXEXTRACT(J7970, ""^\d+"")"),"1")</f>
        <v>1</v>
      </c>
      <c r="Z7970" s="5" t="str">
        <f>IFERROR(__xludf.DUMMYFUNCTION("REGEXEXTRACT(J7970, ""[A-Za-z ]+$"")")," Season")</f>
        <v> Season</v>
      </c>
      <c r="AA7970" s="5" t="str">
        <f>IFERROR(__xludf.DUMMYFUNCTION("IF(REGEXMATCH(Z7970, ""Season""), ""TV Show"", ""Movie"")"),"TV Show")</f>
        <v>TV Show</v>
      </c>
    </row>
    <row r="7971">
      <c r="A7971" s="1" t="s">
        <v>38451</v>
      </c>
      <c r="B7971" s="1" t="s">
        <v>27</v>
      </c>
      <c r="C7971" s="1" t="s">
        <v>38452</v>
      </c>
      <c r="D7971" s="1" t="s">
        <v>3442</v>
      </c>
      <c r="E7971" s="1" t="s">
        <v>38453</v>
      </c>
      <c r="F7971" s="1" t="s">
        <v>38454</v>
      </c>
      <c r="G7971" s="1" t="s">
        <v>25842</v>
      </c>
      <c r="H7971" s="1">
        <v>2015.0</v>
      </c>
      <c r="I7971" s="1" t="s">
        <v>32</v>
      </c>
      <c r="J7971" s="1" t="s">
        <v>264</v>
      </c>
      <c r="K7971" s="1" t="s">
        <v>394</v>
      </c>
      <c r="L7971" s="1" t="s">
        <v>38455</v>
      </c>
      <c r="M7971" s="2" t="s">
        <v>12</v>
      </c>
      <c r="N7971" s="4">
        <f t="shared" si="1"/>
        <v>43191</v>
      </c>
      <c r="O7971" s="5" t="str">
        <f>IFERROR(__xludf.DUMMYFUNCTION("IF(REGEXMATCH(TRIM(I7971), ""^\d+\s*min""), ""Unclassified"", IF(I7971 = """", ""NR"", I7971))"),"PG-13")</f>
        <v>PG-13</v>
      </c>
      <c r="R7971" s="5" t="str">
        <f t="shared" si="2"/>
        <v>Secret In Their Eyes</v>
      </c>
      <c r="S7971" s="5" t="str">
        <f>IFERROR(__xludf.DUMMYFUNCTION("""COMPUTED_VALUE"""),"Thomas &amp; Friends: Marvelous Machinery: World Of Tomorrow")</f>
        <v>Thomas &amp; Friends: Marvelous Machinery: World Of Tomorrow</v>
      </c>
      <c r="V7971" s="5"/>
      <c r="Y7971" s="5" t="str">
        <f>IFERROR(__xludf.DUMMYFUNCTION("REGEXEXTRACT(J7971, ""^\d+"")"),"111")</f>
        <v>111</v>
      </c>
      <c r="Z7971" s="5" t="str">
        <f>IFERROR(__xludf.DUMMYFUNCTION("REGEXEXTRACT(J7971, ""[A-Za-z ]+$"")")," min")</f>
        <v> min</v>
      </c>
      <c r="AA7971" s="5" t="str">
        <f>IFERROR(__xludf.DUMMYFUNCTION("IF(REGEXMATCH(Z7971, ""Season""), ""TV Show"", ""Movie"")"),"Movie")</f>
        <v>Movie</v>
      </c>
    </row>
    <row r="7972">
      <c r="A7972" s="1" t="s">
        <v>38456</v>
      </c>
      <c r="B7972" s="1" t="s">
        <v>27</v>
      </c>
      <c r="C7972" s="1" t="s">
        <v>38457</v>
      </c>
      <c r="D7972" s="1" t="s">
        <v>12463</v>
      </c>
      <c r="E7972" s="1" t="s">
        <v>38458</v>
      </c>
      <c r="F7972" s="1" t="s">
        <v>30</v>
      </c>
      <c r="G7972" s="1" t="s">
        <v>28277</v>
      </c>
      <c r="H7972" s="1">
        <v>2013.0</v>
      </c>
      <c r="I7972" s="1" t="s">
        <v>136</v>
      </c>
      <c r="J7972" s="1" t="s">
        <v>5941</v>
      </c>
      <c r="K7972" s="1" t="s">
        <v>156</v>
      </c>
      <c r="L7972" s="1" t="s">
        <v>38459</v>
      </c>
      <c r="M7972" s="2" t="s">
        <v>12</v>
      </c>
      <c r="N7972" s="4">
        <f t="shared" si="1"/>
        <v>42847</v>
      </c>
      <c r="O7972" s="5" t="str">
        <f>IFERROR(__xludf.DUMMYFUNCTION("IF(REGEXMATCH(TRIM(I7972), ""^\d+\s*min""), ""Unclassified"", IF(I7972 = """", ""NR"", I7972))"),"TV-PG")</f>
        <v>TV-PG</v>
      </c>
      <c r="R7972" s="5" t="str">
        <f t="shared" si="2"/>
        <v>Secrets Of Althorp - The Spencers</v>
      </c>
      <c r="S7972" s="5" t="str">
        <f>IFERROR(__xludf.DUMMYFUNCTION("""COMPUTED_VALUE"""),"Thomas &amp; Friends: Thomas And The Royal Engine")</f>
        <v>Thomas &amp; Friends: Thomas And The Royal Engine</v>
      </c>
      <c r="V7972" s="5"/>
      <c r="Y7972" s="5" t="str">
        <f>IFERROR(__xludf.DUMMYFUNCTION("REGEXEXTRACT(J7972, ""^\d+"")"),"54")</f>
        <v>54</v>
      </c>
      <c r="Z7972" s="5" t="str">
        <f>IFERROR(__xludf.DUMMYFUNCTION("REGEXEXTRACT(J7972, ""[A-Za-z ]+$"")")," min")</f>
        <v> min</v>
      </c>
      <c r="AA7972" s="5" t="str">
        <f>IFERROR(__xludf.DUMMYFUNCTION("IF(REGEXMATCH(Z7972, ""Season""), ""TV Show"", ""Movie"")"),"Movie")</f>
        <v>Movie</v>
      </c>
    </row>
    <row r="7973">
      <c r="A7973" s="1" t="s">
        <v>38460</v>
      </c>
      <c r="B7973" s="1" t="s">
        <v>27</v>
      </c>
      <c r="C7973" s="1" t="s">
        <v>38461</v>
      </c>
      <c r="D7973" s="1" t="s">
        <v>21995</v>
      </c>
      <c r="E7973" s="1" t="s">
        <v>38458</v>
      </c>
      <c r="F7973" s="1" t="s">
        <v>30</v>
      </c>
      <c r="G7973" s="1" t="s">
        <v>28597</v>
      </c>
      <c r="H7973" s="1">
        <v>2013.0</v>
      </c>
      <c r="I7973" s="1" t="s">
        <v>136</v>
      </c>
      <c r="J7973" s="1" t="s">
        <v>5941</v>
      </c>
      <c r="K7973" s="1" t="s">
        <v>156</v>
      </c>
      <c r="L7973" s="1" t="s">
        <v>38462</v>
      </c>
      <c r="M7973" s="2" t="s">
        <v>12</v>
      </c>
      <c r="N7973" s="4">
        <f t="shared" si="1"/>
        <v>42788</v>
      </c>
      <c r="O7973" s="5" t="str">
        <f>IFERROR(__xludf.DUMMYFUNCTION("IF(REGEXMATCH(TRIM(I7973), ""^\d+\s*min""), ""Unclassified"", IF(I7973 = """", ""NR"", I7973))"),"TV-PG")</f>
        <v>TV-PG</v>
      </c>
      <c r="R7973" s="5" t="str">
        <f t="shared" si="2"/>
        <v>Secrets Of Chatsworth</v>
      </c>
      <c r="S7973" s="5" t="str">
        <f>IFERROR(__xludf.DUMMYFUNCTION("""COMPUTED_VALUE"""),"Thomas And Friends")</f>
        <v>Thomas And Friends</v>
      </c>
      <c r="V7973" s="5"/>
      <c r="Y7973" s="5" t="str">
        <f>IFERROR(__xludf.DUMMYFUNCTION("REGEXEXTRACT(J7973, ""^\d+"")"),"54")</f>
        <v>54</v>
      </c>
      <c r="Z7973" s="5" t="str">
        <f>IFERROR(__xludf.DUMMYFUNCTION("REGEXEXTRACT(J7973, ""[A-Za-z ]+$"")")," min")</f>
        <v> min</v>
      </c>
      <c r="AA7973" s="5" t="str">
        <f>IFERROR(__xludf.DUMMYFUNCTION("IF(REGEXMATCH(Z7973, ""Season""), ""TV Show"", ""Movie"")"),"Movie")</f>
        <v>Movie</v>
      </c>
    </row>
    <row r="7974">
      <c r="A7974" s="1" t="s">
        <v>38463</v>
      </c>
      <c r="B7974" s="1" t="s">
        <v>27</v>
      </c>
      <c r="C7974" s="1" t="s">
        <v>38464</v>
      </c>
      <c r="D7974" s="1" t="s">
        <v>20230</v>
      </c>
      <c r="E7974" s="1" t="s">
        <v>38458</v>
      </c>
      <c r="F7974" s="1" t="s">
        <v>30</v>
      </c>
      <c r="G7974" s="1" t="s">
        <v>28597</v>
      </c>
      <c r="H7974" s="1">
        <v>2013.0</v>
      </c>
      <c r="I7974" s="1" t="s">
        <v>136</v>
      </c>
      <c r="J7974" s="1" t="s">
        <v>5941</v>
      </c>
      <c r="K7974" s="1" t="s">
        <v>156</v>
      </c>
      <c r="L7974" s="1" t="s">
        <v>38465</v>
      </c>
      <c r="M7974" s="2" t="s">
        <v>12</v>
      </c>
      <c r="N7974" s="4">
        <f t="shared" si="1"/>
        <v>42788</v>
      </c>
      <c r="O7974" s="5" t="str">
        <f>IFERROR(__xludf.DUMMYFUNCTION("IF(REGEXMATCH(TRIM(I7974), ""^\d+\s*min""), ""Unclassified"", IF(I7974 = """", ""NR"", I7974))"),"TV-PG")</f>
        <v>TV-PG</v>
      </c>
      <c r="R7974" s="5" t="str">
        <f t="shared" si="2"/>
        <v>Secrets Of Henry Viii'S Palace: Hampton Court</v>
      </c>
      <c r="S7974" s="5" t="str">
        <f>IFERROR(__xludf.DUMMYFUNCTION("""COMPUTED_VALUE"""),"Thong Dee Fun Khao")</f>
        <v>Thong Dee Fun Khao</v>
      </c>
      <c r="V7974" s="5"/>
      <c r="Y7974" s="5" t="str">
        <f>IFERROR(__xludf.DUMMYFUNCTION("REGEXEXTRACT(J7974, ""^\d+"")"),"54")</f>
        <v>54</v>
      </c>
      <c r="Z7974" s="5" t="str">
        <f>IFERROR(__xludf.DUMMYFUNCTION("REGEXEXTRACT(J7974, ""[A-Za-z ]+$"")")," min")</f>
        <v> min</v>
      </c>
      <c r="AA7974" s="5" t="str">
        <f>IFERROR(__xludf.DUMMYFUNCTION("IF(REGEXMATCH(Z7974, ""Season""), ""TV Show"", ""Movie"")"),"Movie")</f>
        <v>Movie</v>
      </c>
    </row>
    <row r="7975">
      <c r="A7975" s="1" t="s">
        <v>38466</v>
      </c>
      <c r="B7975" s="1" t="s">
        <v>27</v>
      </c>
      <c r="C7975" s="1" t="s">
        <v>38467</v>
      </c>
      <c r="D7975" s="1" t="s">
        <v>12463</v>
      </c>
      <c r="E7975" s="1" t="s">
        <v>38458</v>
      </c>
      <c r="F7975" s="1" t="s">
        <v>96</v>
      </c>
      <c r="G7975" s="1" t="s">
        <v>28597</v>
      </c>
      <c r="H7975" s="1">
        <v>2014.0</v>
      </c>
      <c r="I7975" s="1" t="s">
        <v>136</v>
      </c>
      <c r="J7975" s="1" t="s">
        <v>6490</v>
      </c>
      <c r="K7975" s="1" t="s">
        <v>156</v>
      </c>
      <c r="L7975" s="1" t="s">
        <v>38468</v>
      </c>
      <c r="M7975" s="2" t="s">
        <v>12</v>
      </c>
      <c r="N7975" s="4">
        <f t="shared" si="1"/>
        <v>42788</v>
      </c>
      <c r="O7975" s="5" t="str">
        <f>IFERROR(__xludf.DUMMYFUNCTION("IF(REGEXMATCH(TRIM(I7975), ""^\d+\s*min""), ""Unclassified"", IF(I7975 = """", ""NR"", I7975))"),"TV-PG")</f>
        <v>TV-PG</v>
      </c>
      <c r="R7975" s="5" t="str">
        <f t="shared" si="2"/>
        <v>Secrets Of Her Majesty'S Secret Service</v>
      </c>
      <c r="S7975" s="5" t="str">
        <f>IFERROR(__xludf.DUMMYFUNCTION("""COMPUTED_VALUE"""),"Thor: Ragnarok")</f>
        <v>Thor: Ragnarok</v>
      </c>
      <c r="V7975" s="5"/>
      <c r="Y7975" s="5" t="str">
        <f>IFERROR(__xludf.DUMMYFUNCTION("REGEXEXTRACT(J7975, ""^\d+"")"),"55")</f>
        <v>55</v>
      </c>
      <c r="Z7975" s="5" t="str">
        <f>IFERROR(__xludf.DUMMYFUNCTION("REGEXEXTRACT(J7975, ""[A-Za-z ]+$"")")," min")</f>
        <v> min</v>
      </c>
      <c r="AA7975" s="5" t="str">
        <f>IFERROR(__xludf.DUMMYFUNCTION("IF(REGEXMATCH(Z7975, ""Season""), ""TV Show"", ""Movie"")"),"Movie")</f>
        <v>Movie</v>
      </c>
    </row>
    <row r="7976">
      <c r="A7976" s="1" t="s">
        <v>38469</v>
      </c>
      <c r="B7976" s="1" t="s">
        <v>27</v>
      </c>
      <c r="C7976" s="1" t="s">
        <v>38470</v>
      </c>
      <c r="D7976" s="1" t="s">
        <v>23181</v>
      </c>
      <c r="E7976" s="1" t="s">
        <v>38458</v>
      </c>
      <c r="F7976" s="1" t="s">
        <v>30</v>
      </c>
      <c r="G7976" s="1" t="s">
        <v>28597</v>
      </c>
      <c r="H7976" s="1">
        <v>2013.0</v>
      </c>
      <c r="I7976" s="1" t="s">
        <v>136</v>
      </c>
      <c r="J7976" s="1" t="s">
        <v>5941</v>
      </c>
      <c r="K7976" s="1" t="s">
        <v>156</v>
      </c>
      <c r="L7976" s="1" t="s">
        <v>38471</v>
      </c>
      <c r="M7976" s="2" t="s">
        <v>12</v>
      </c>
      <c r="N7976" s="4">
        <f t="shared" si="1"/>
        <v>42788</v>
      </c>
      <c r="O7976" s="5" t="str">
        <f>IFERROR(__xludf.DUMMYFUNCTION("IF(REGEXMATCH(TRIM(I7976), ""^\d+\s*min""), ""Unclassified"", IF(I7976 = """", ""NR"", I7976))"),"TV-PG")</f>
        <v>TV-PG</v>
      </c>
      <c r="R7976" s="5" t="str">
        <f t="shared" si="2"/>
        <v>Secrets Of Highclere Castle</v>
      </c>
      <c r="S7976" s="5" t="str">
        <f>IFERROR(__xludf.DUMMYFUNCTION("""COMPUTED_VALUE"""),"Thor: Tales Of Asgard")</f>
        <v>Thor: Tales Of Asgard</v>
      </c>
      <c r="V7976" s="5"/>
      <c r="Y7976" s="5" t="str">
        <f>IFERROR(__xludf.DUMMYFUNCTION("REGEXEXTRACT(J7976, ""^\d+"")"),"54")</f>
        <v>54</v>
      </c>
      <c r="Z7976" s="5" t="str">
        <f>IFERROR(__xludf.DUMMYFUNCTION("REGEXEXTRACT(J7976, ""[A-Za-z ]+$"")")," min")</f>
        <v> min</v>
      </c>
      <c r="AA7976" s="5" t="str">
        <f>IFERROR(__xludf.DUMMYFUNCTION("IF(REGEXMATCH(Z7976, ""Season""), ""TV Show"", ""Movie"")"),"Movie")</f>
        <v>Movie</v>
      </c>
    </row>
    <row r="7977">
      <c r="A7977" s="1" t="s">
        <v>38472</v>
      </c>
      <c r="B7977" s="1" t="s">
        <v>27</v>
      </c>
      <c r="C7977" s="1" t="s">
        <v>38473</v>
      </c>
      <c r="D7977" s="1" t="s">
        <v>21995</v>
      </c>
      <c r="E7977" s="1" t="s">
        <v>38458</v>
      </c>
      <c r="F7977" s="1" t="s">
        <v>96</v>
      </c>
      <c r="G7977" s="1" t="s">
        <v>28277</v>
      </c>
      <c r="H7977" s="1">
        <v>2013.0</v>
      </c>
      <c r="I7977" s="1" t="s">
        <v>97</v>
      </c>
      <c r="J7977" s="1" t="s">
        <v>6490</v>
      </c>
      <c r="K7977" s="1" t="s">
        <v>34</v>
      </c>
      <c r="L7977" s="1" t="s">
        <v>38474</v>
      </c>
      <c r="M7977" s="2" t="s">
        <v>12</v>
      </c>
      <c r="N7977" s="4">
        <f t="shared" si="1"/>
        <v>42847</v>
      </c>
      <c r="O7977" s="5" t="str">
        <f>IFERROR(__xludf.DUMMYFUNCTION("IF(REGEXMATCH(TRIM(I7977), ""^\d+\s*min""), ""Unclassified"", IF(I7977 = """", ""NR"", I7977))"),"TV-14")</f>
        <v>TV-14</v>
      </c>
      <c r="R7977" s="5" t="str">
        <f t="shared" si="2"/>
        <v>Secrets Of Scotland Yard</v>
      </c>
      <c r="S7977" s="5" t="str">
        <f>IFERROR(__xludf.DUMMYFUNCTION("""COMPUTED_VALUE"""),"Thorne: Scaredy Cat")</f>
        <v>Thorne: Scaredy Cat</v>
      </c>
      <c r="V7977" s="5"/>
      <c r="Y7977" s="5" t="str">
        <f>IFERROR(__xludf.DUMMYFUNCTION("REGEXEXTRACT(J7977, ""^\d+"")"),"55")</f>
        <v>55</v>
      </c>
      <c r="Z7977" s="5" t="str">
        <f>IFERROR(__xludf.DUMMYFUNCTION("REGEXEXTRACT(J7977, ""[A-Za-z ]+$"")")," min")</f>
        <v> min</v>
      </c>
      <c r="AA7977" s="5" t="str">
        <f>IFERROR(__xludf.DUMMYFUNCTION("IF(REGEXMATCH(Z7977, ""Season""), ""TV Show"", ""Movie"")"),"Movie")</f>
        <v>Movie</v>
      </c>
    </row>
    <row r="7978">
      <c r="A7978" s="1" t="s">
        <v>38475</v>
      </c>
      <c r="B7978" s="1" t="s">
        <v>27</v>
      </c>
      <c r="C7978" s="1" t="s">
        <v>38476</v>
      </c>
      <c r="D7978" s="1" t="s">
        <v>20230</v>
      </c>
      <c r="E7978" s="1" t="s">
        <v>38458</v>
      </c>
      <c r="F7978" s="1" t="s">
        <v>30</v>
      </c>
      <c r="G7978" s="1" t="s">
        <v>28277</v>
      </c>
      <c r="H7978" s="1">
        <v>2014.0</v>
      </c>
      <c r="I7978" s="1" t="s">
        <v>136</v>
      </c>
      <c r="J7978" s="1" t="s">
        <v>6490</v>
      </c>
      <c r="K7978" s="1" t="s">
        <v>34</v>
      </c>
      <c r="L7978" s="1" t="s">
        <v>38477</v>
      </c>
      <c r="M7978" s="2" t="s">
        <v>12</v>
      </c>
      <c r="N7978" s="4">
        <f t="shared" si="1"/>
        <v>42847</v>
      </c>
      <c r="O7978" s="5" t="str">
        <f>IFERROR(__xludf.DUMMYFUNCTION("IF(REGEXMATCH(TRIM(I7978), ""^\d+\s*min""), ""Unclassified"", IF(I7978 = """", ""NR"", I7978))"),"TV-PG")</f>
        <v>TV-PG</v>
      </c>
      <c r="R7978" s="5" t="str">
        <f t="shared" si="2"/>
        <v>Secrets Of Selfridges</v>
      </c>
      <c r="S7978" s="5" t="str">
        <f>IFERROR(__xludf.DUMMYFUNCTION("""COMPUTED_VALUE"""),"Thorne: Sleepyhead")</f>
        <v>Thorne: Sleepyhead</v>
      </c>
      <c r="V7978" s="5"/>
      <c r="Y7978" s="5" t="str">
        <f>IFERROR(__xludf.DUMMYFUNCTION("REGEXEXTRACT(J7978, ""^\d+"")"),"55")</f>
        <v>55</v>
      </c>
      <c r="Z7978" s="5" t="str">
        <f>IFERROR(__xludf.DUMMYFUNCTION("REGEXEXTRACT(J7978, ""[A-Za-z ]+$"")")," min")</f>
        <v> min</v>
      </c>
      <c r="AA7978" s="5" t="str">
        <f>IFERROR(__xludf.DUMMYFUNCTION("IF(REGEXMATCH(Z7978, ""Season""), ""TV Show"", ""Movie"")"),"Movie")</f>
        <v>Movie</v>
      </c>
    </row>
    <row r="7979">
      <c r="A7979" s="1" t="s">
        <v>38478</v>
      </c>
      <c r="B7979" s="1" t="s">
        <v>27</v>
      </c>
      <c r="C7979" s="1" t="s">
        <v>38479</v>
      </c>
      <c r="D7979" s="1" t="s">
        <v>23181</v>
      </c>
      <c r="E7979" s="1" t="s">
        <v>38458</v>
      </c>
      <c r="F7979" s="1" t="s">
        <v>96</v>
      </c>
      <c r="G7979" s="1" t="s">
        <v>28597</v>
      </c>
      <c r="H7979" s="1">
        <v>2013.0</v>
      </c>
      <c r="I7979" s="1" t="s">
        <v>136</v>
      </c>
      <c r="J7979" s="1" t="s">
        <v>6490</v>
      </c>
      <c r="K7979" s="1" t="s">
        <v>34</v>
      </c>
      <c r="L7979" s="1" t="s">
        <v>38480</v>
      </c>
      <c r="M7979" s="2" t="s">
        <v>12</v>
      </c>
      <c r="N7979" s="4">
        <f t="shared" si="1"/>
        <v>42788</v>
      </c>
      <c r="O7979" s="5" t="str">
        <f>IFERROR(__xludf.DUMMYFUNCTION("IF(REGEXMATCH(TRIM(I7979), ""^\d+\s*min""), ""Unclassified"", IF(I7979 = """", ""NR"", I7979))"),"TV-PG")</f>
        <v>TV-PG</v>
      </c>
      <c r="R7979" s="5" t="str">
        <f t="shared" si="2"/>
        <v>Secrets Of The Tower Of London</v>
      </c>
      <c r="S7979" s="5" t="str">
        <f>IFERROR(__xludf.DUMMYFUNCTION("""COMPUTED_VALUE"""),"Thottappan")</f>
        <v>Thottappan</v>
      </c>
      <c r="V7979" s="5"/>
      <c r="Y7979" s="5" t="str">
        <f>IFERROR(__xludf.DUMMYFUNCTION("REGEXEXTRACT(J7979, ""^\d+"")"),"55")</f>
        <v>55</v>
      </c>
      <c r="Z7979" s="5" t="str">
        <f>IFERROR(__xludf.DUMMYFUNCTION("REGEXEXTRACT(J7979, ""[A-Za-z ]+$"")")," min")</f>
        <v> min</v>
      </c>
      <c r="AA7979" s="5" t="str">
        <f>IFERROR(__xludf.DUMMYFUNCTION("IF(REGEXMATCH(Z7979, ""Season""), ""TV Show"", ""Movie"")"),"Movie")</f>
        <v>Movie</v>
      </c>
    </row>
    <row r="7980">
      <c r="A7980" s="1" t="s">
        <v>38481</v>
      </c>
      <c r="B7980" s="1" t="s">
        <v>27</v>
      </c>
      <c r="C7980" s="1" t="s">
        <v>38482</v>
      </c>
      <c r="D7980" s="1" t="s">
        <v>23186</v>
      </c>
      <c r="E7980" s="1" t="s">
        <v>38458</v>
      </c>
      <c r="F7980" s="1" t="s">
        <v>96</v>
      </c>
      <c r="G7980" s="1" t="s">
        <v>28277</v>
      </c>
      <c r="H7980" s="1">
        <v>2014.0</v>
      </c>
      <c r="I7980" s="1" t="s">
        <v>136</v>
      </c>
      <c r="J7980" s="1" t="s">
        <v>6490</v>
      </c>
      <c r="K7980" s="1" t="s">
        <v>156</v>
      </c>
      <c r="L7980" s="1" t="s">
        <v>38483</v>
      </c>
      <c r="M7980" s="2" t="s">
        <v>12</v>
      </c>
      <c r="N7980" s="4">
        <f t="shared" si="1"/>
        <v>42847</v>
      </c>
      <c r="O7980" s="5" t="str">
        <f>IFERROR(__xludf.DUMMYFUNCTION("IF(REGEXMATCH(TRIM(I7980), ""^\d+\s*min""), ""Unclassified"", IF(I7980 = """", ""NR"", I7980))"),"TV-PG")</f>
        <v>TV-PG</v>
      </c>
      <c r="R7980" s="5" t="str">
        <f t="shared" si="2"/>
        <v>Secrets Of Underground London</v>
      </c>
      <c r="S7980" s="5" t="str">
        <f>IFERROR(__xludf.DUMMYFUNCTION("""COMPUTED_VALUE"""),"Three")</f>
        <v>Three</v>
      </c>
      <c r="V7980" s="5"/>
      <c r="Y7980" s="5" t="str">
        <f>IFERROR(__xludf.DUMMYFUNCTION("REGEXEXTRACT(J7980, ""^\d+"")"),"55")</f>
        <v>55</v>
      </c>
      <c r="Z7980" s="5" t="str">
        <f>IFERROR(__xludf.DUMMYFUNCTION("REGEXEXTRACT(J7980, ""[A-Za-z ]+$"")")," min")</f>
        <v> min</v>
      </c>
      <c r="AA7980" s="5" t="str">
        <f>IFERROR(__xludf.DUMMYFUNCTION("IF(REGEXMATCH(Z7980, ""Season""), ""TV Show"", ""Movie"")"),"Movie")</f>
        <v>Movie</v>
      </c>
    </row>
    <row r="7981">
      <c r="A7981" s="1" t="s">
        <v>38484</v>
      </c>
      <c r="B7981" s="1" t="s">
        <v>27</v>
      </c>
      <c r="C7981" s="1" t="s">
        <v>38485</v>
      </c>
      <c r="D7981" s="1" t="s">
        <v>13973</v>
      </c>
      <c r="E7981" s="1" t="s">
        <v>38458</v>
      </c>
      <c r="F7981" s="1" t="s">
        <v>692</v>
      </c>
      <c r="G7981" s="1" t="s">
        <v>28277</v>
      </c>
      <c r="H7981" s="1">
        <v>2014.0</v>
      </c>
      <c r="I7981" s="1" t="s">
        <v>136</v>
      </c>
      <c r="J7981" s="1" t="s">
        <v>6490</v>
      </c>
      <c r="K7981" s="1" t="s">
        <v>156</v>
      </c>
      <c r="L7981" s="1" t="s">
        <v>38486</v>
      </c>
      <c r="M7981" s="2" t="s">
        <v>12</v>
      </c>
      <c r="N7981" s="4">
        <f t="shared" si="1"/>
        <v>42847</v>
      </c>
      <c r="O7981" s="5" t="str">
        <f>IFERROR(__xludf.DUMMYFUNCTION("IF(REGEXMATCH(TRIM(I7981), ""^\d+\s*min""), ""Unclassified"", IF(I7981 = """", ""NR"", I7981))"),"TV-PG")</f>
        <v>TV-PG</v>
      </c>
      <c r="R7981" s="5" t="str">
        <f t="shared" si="2"/>
        <v>Secrets Of Westminster</v>
      </c>
      <c r="S7981" s="5" t="str">
        <f>IFERROR(__xludf.DUMMYFUNCTION("""COMPUTED_VALUE"""),"Three Days Of Christmas")</f>
        <v>Three Days Of Christmas</v>
      </c>
      <c r="V7981" s="5"/>
      <c r="Y7981" s="5" t="str">
        <f>IFERROR(__xludf.DUMMYFUNCTION("REGEXEXTRACT(J7981, ""^\d+"")"),"55")</f>
        <v>55</v>
      </c>
      <c r="Z7981" s="5" t="str">
        <f>IFERROR(__xludf.DUMMYFUNCTION("REGEXEXTRACT(J7981, ""[A-Za-z ]+$"")")," min")</f>
        <v> min</v>
      </c>
      <c r="AA7981" s="5" t="str">
        <f>IFERROR(__xludf.DUMMYFUNCTION("IF(REGEXMATCH(Z7981, ""Season""), ""TV Show"", ""Movie"")"),"Movie")</f>
        <v>Movie</v>
      </c>
    </row>
    <row r="7982">
      <c r="A7982" s="1" t="s">
        <v>38487</v>
      </c>
      <c r="B7982" s="1" t="s">
        <v>27</v>
      </c>
      <c r="C7982" s="1" t="s">
        <v>38488</v>
      </c>
      <c r="D7982" s="1" t="s">
        <v>5851</v>
      </c>
      <c r="E7982" s="1" t="s">
        <v>38489</v>
      </c>
      <c r="F7982" s="1" t="s">
        <v>188</v>
      </c>
      <c r="G7982" s="1" t="s">
        <v>28526</v>
      </c>
      <c r="H7982" s="1">
        <v>2012.0</v>
      </c>
      <c r="I7982" s="1" t="s">
        <v>97</v>
      </c>
      <c r="J7982" s="1" t="s">
        <v>447</v>
      </c>
      <c r="K7982" s="1" t="s">
        <v>199</v>
      </c>
      <c r="L7982" s="1" t="s">
        <v>38490</v>
      </c>
      <c r="M7982" s="2" t="s">
        <v>12</v>
      </c>
      <c r="N7982" s="4">
        <f t="shared" si="1"/>
        <v>42804</v>
      </c>
      <c r="O7982" s="5" t="str">
        <f>IFERROR(__xludf.DUMMYFUNCTION("IF(REGEXMATCH(TRIM(I7982), ""^\d+\s*min""), ""Unclassified"", IF(I7982 = """", ""NR"", I7982))"),"TV-14")</f>
        <v>TV-14</v>
      </c>
      <c r="R7982" s="5" t="str">
        <f t="shared" si="2"/>
        <v>Sen Kimsin?</v>
      </c>
      <c r="S7982" s="5" t="str">
        <f>IFERROR(__xludf.DUMMYFUNCTION("""COMPUTED_VALUE"""),"Three Thieves")</f>
        <v>Three Thieves</v>
      </c>
      <c r="V7982" s="5"/>
      <c r="Y7982" s="5" t="str">
        <f>IFERROR(__xludf.DUMMYFUNCTION("REGEXEXTRACT(J7982, ""^\d+"")"),"102")</f>
        <v>102</v>
      </c>
      <c r="Z7982" s="5" t="str">
        <f>IFERROR(__xludf.DUMMYFUNCTION("REGEXEXTRACT(J7982, ""[A-Za-z ]+$"")")," min")</f>
        <v> min</v>
      </c>
      <c r="AA7982" s="5" t="str">
        <f>IFERROR(__xludf.DUMMYFUNCTION("IF(REGEXMATCH(Z7982, ""Season""), ""TV Show"", ""Movie"")"),"Movie")</f>
        <v>Movie</v>
      </c>
    </row>
    <row r="7983">
      <c r="A7983" s="1" t="s">
        <v>38491</v>
      </c>
      <c r="B7983" s="1" t="s">
        <v>27</v>
      </c>
      <c r="C7983" s="1" t="s">
        <v>38492</v>
      </c>
      <c r="D7983" s="1" t="s">
        <v>2657</v>
      </c>
      <c r="E7983" s="1" t="s">
        <v>38493</v>
      </c>
      <c r="F7983" s="1" t="s">
        <v>16771</v>
      </c>
      <c r="G7983" s="1" t="s">
        <v>18985</v>
      </c>
      <c r="H7983" s="1">
        <v>2010.0</v>
      </c>
      <c r="I7983" s="1" t="s">
        <v>32</v>
      </c>
      <c r="J7983" s="1" t="s">
        <v>256</v>
      </c>
      <c r="K7983" s="1" t="s">
        <v>520</v>
      </c>
      <c r="L7983" s="1" t="s">
        <v>38494</v>
      </c>
      <c r="M7983" s="2" t="s">
        <v>12</v>
      </c>
      <c r="N7983" s="4">
        <f t="shared" si="1"/>
        <v>43739</v>
      </c>
      <c r="O7983" s="5" t="str">
        <f>IFERROR(__xludf.DUMMYFUNCTION("IF(REGEXMATCH(TRIM(I7983), ""^\d+\s*min""), ""Unclassified"", IF(I7983 = """", ""NR"", I7983))"),"PG-13")</f>
        <v>PG-13</v>
      </c>
      <c r="R7983" s="5" t="str">
        <f t="shared" si="2"/>
        <v>Senna</v>
      </c>
      <c r="S7983" s="5" t="str">
        <f>IFERROR(__xludf.DUMMYFUNCTION("""COMPUTED_VALUE"""),"Three Wives One Husband")</f>
        <v>Three Wives One Husband</v>
      </c>
      <c r="V7983" s="5"/>
      <c r="Y7983" s="5" t="str">
        <f>IFERROR(__xludf.DUMMYFUNCTION("REGEXEXTRACT(J7983, ""^\d+"")"),"106")</f>
        <v>106</v>
      </c>
      <c r="Z7983" s="5" t="str">
        <f>IFERROR(__xludf.DUMMYFUNCTION("REGEXEXTRACT(J7983, ""[A-Za-z ]+$"")")," min")</f>
        <v> min</v>
      </c>
      <c r="AA7983" s="5" t="str">
        <f>IFERROR(__xludf.DUMMYFUNCTION("IF(REGEXMATCH(Z7983, ""Season""), ""TV Show"", ""Movie"")"),"Movie")</f>
        <v>Movie</v>
      </c>
    </row>
    <row r="7984">
      <c r="A7984" s="1" t="s">
        <v>38495</v>
      </c>
      <c r="B7984" s="1" t="s">
        <v>37</v>
      </c>
      <c r="C7984" s="1" t="s">
        <v>38496</v>
      </c>
      <c r="E7984" s="1" t="s">
        <v>38497</v>
      </c>
      <c r="F7984" s="1" t="s">
        <v>1106</v>
      </c>
      <c r="G7984" s="1" t="s">
        <v>35393</v>
      </c>
      <c r="H7984" s="1">
        <v>2016.0</v>
      </c>
      <c r="I7984" s="1" t="s">
        <v>42</v>
      </c>
      <c r="J7984" s="1" t="s">
        <v>51</v>
      </c>
      <c r="K7984" s="1" t="s">
        <v>270</v>
      </c>
      <c r="L7984" s="1" t="s">
        <v>38498</v>
      </c>
      <c r="M7984" s="2" t="s">
        <v>12</v>
      </c>
      <c r="N7984" s="1" t="str">
        <f t="shared" si="1"/>
        <v>#N/A</v>
      </c>
      <c r="O7984" s="5" t="str">
        <f>IFERROR(__xludf.DUMMYFUNCTION("IF(REGEXMATCH(TRIM(I7984), ""^\d+\s*min""), ""Unclassified"", IF(I7984 = """", ""NR"", I7984))"),"TV-MA")</f>
        <v>TV-MA</v>
      </c>
      <c r="R7984" s="5" t="str">
        <f t="shared" si="2"/>
        <v>Sensitive Skin</v>
      </c>
      <c r="S7984" s="5" t="str">
        <f>IFERROR(__xludf.DUMMYFUNCTION("""COMPUTED_VALUE"""),"Three Words To Forever")</f>
        <v>Three Words To Forever</v>
      </c>
      <c r="V7984" s="5"/>
      <c r="Y7984" s="5" t="str">
        <f>IFERROR(__xludf.DUMMYFUNCTION("REGEXEXTRACT(J7984, ""^\d+"")"),"1")</f>
        <v>1</v>
      </c>
      <c r="Z7984" s="5" t="str">
        <f>IFERROR(__xludf.DUMMYFUNCTION("REGEXEXTRACT(J7984, ""[A-Za-z ]+$"")")," Season")</f>
        <v> Season</v>
      </c>
      <c r="AA7984" s="5" t="str">
        <f>IFERROR(__xludf.DUMMYFUNCTION("IF(REGEXMATCH(Z7984, ""Season""), ""TV Show"", ""Movie"")"),"TV Show")</f>
        <v>TV Show</v>
      </c>
    </row>
    <row r="7985">
      <c r="A7985" s="1" t="s">
        <v>38499</v>
      </c>
      <c r="B7985" s="1" t="s">
        <v>27</v>
      </c>
      <c r="C7985" s="1" t="s">
        <v>38500</v>
      </c>
      <c r="D7985" s="1" t="s">
        <v>12747</v>
      </c>
      <c r="E7985" s="1" t="s">
        <v>38501</v>
      </c>
      <c r="F7985" s="1" t="s">
        <v>38502</v>
      </c>
      <c r="G7985" s="1" t="s">
        <v>36784</v>
      </c>
      <c r="H7985" s="1">
        <v>2017.0</v>
      </c>
      <c r="I7985" s="1" t="s">
        <v>42</v>
      </c>
      <c r="J7985" s="1" t="s">
        <v>1993</v>
      </c>
      <c r="K7985" s="1" t="s">
        <v>89</v>
      </c>
      <c r="L7985" s="1" t="s">
        <v>38503</v>
      </c>
      <c r="M7985" s="2" t="s">
        <v>12</v>
      </c>
      <c r="N7985" s="4">
        <f t="shared" si="1"/>
        <v>43169</v>
      </c>
      <c r="O7985" s="5" t="str">
        <f>IFERROR(__xludf.DUMMYFUNCTION("IF(REGEXMATCH(TRIM(I7985), ""^\d+\s*min""), ""Unclassified"", IF(I7985 = """", ""NR"", I7985))"),"TV-MA")</f>
        <v>TV-MA</v>
      </c>
      <c r="R7985" s="5" t="str">
        <f t="shared" si="2"/>
        <v>Septiembre, Un Llanto En Silencio</v>
      </c>
      <c r="S7985" s="5" t="str">
        <f>IFERROR(__xludf.DUMMYFUNCTION("""COMPUTED_VALUE"""),"Three-Quarters Decent")</f>
        <v>Three-Quarters Decent</v>
      </c>
      <c r="V7985" s="5"/>
      <c r="Y7985" s="5" t="str">
        <f>IFERROR(__xludf.DUMMYFUNCTION("REGEXEXTRACT(J7985, ""^\d+"")"),"69")</f>
        <v>69</v>
      </c>
      <c r="Z7985" s="5" t="str">
        <f>IFERROR(__xludf.DUMMYFUNCTION("REGEXEXTRACT(J7985, ""[A-Za-z ]+$"")")," min")</f>
        <v> min</v>
      </c>
      <c r="AA7985" s="5" t="str">
        <f>IFERROR(__xludf.DUMMYFUNCTION("IF(REGEXMATCH(Z7985, ""Season""), ""TV Show"", ""Movie"")"),"Movie")</f>
        <v>Movie</v>
      </c>
    </row>
    <row r="7986">
      <c r="A7986" s="1" t="s">
        <v>38504</v>
      </c>
      <c r="B7986" s="1" t="s">
        <v>37</v>
      </c>
      <c r="C7986" s="1" t="s">
        <v>38505</v>
      </c>
      <c r="E7986" s="1" t="s">
        <v>38506</v>
      </c>
      <c r="F7986" s="1" t="s">
        <v>38507</v>
      </c>
      <c r="G7986" s="1" t="s">
        <v>28552</v>
      </c>
      <c r="H7986" s="1">
        <v>2015.0</v>
      </c>
      <c r="I7986" s="1" t="s">
        <v>97</v>
      </c>
      <c r="J7986" s="1" t="s">
        <v>51</v>
      </c>
      <c r="K7986" s="1" t="s">
        <v>1294</v>
      </c>
      <c r="L7986" s="1" t="s">
        <v>38508</v>
      </c>
      <c r="M7986" s="2" t="s">
        <v>12</v>
      </c>
      <c r="N7986" s="4">
        <f t="shared" si="1"/>
        <v>42795</v>
      </c>
      <c r="O7986" s="5" t="str">
        <f>IFERROR(__xludf.DUMMYFUNCTION("IF(REGEXMATCH(TRIM(I7986), ""^\d+\s*min""), ""Unclassified"", IF(I7986 = """", ""NR"", I7986))"),"TV-14")</f>
        <v>TV-14</v>
      </c>
      <c r="R7986" s="5" t="str">
        <f t="shared" si="2"/>
        <v>Servant Of The People</v>
      </c>
      <c r="S7986" s="5" t="str">
        <f>IFERROR(__xludf.DUMMYFUNCTION("""COMPUTED_VALUE"""),"Thriller")</f>
        <v>Thriller</v>
      </c>
      <c r="V7986" s="5"/>
      <c r="Y7986" s="5" t="str">
        <f>IFERROR(__xludf.DUMMYFUNCTION("REGEXEXTRACT(J7986, ""^\d+"")"),"1")</f>
        <v>1</v>
      </c>
      <c r="Z7986" s="5" t="str">
        <f>IFERROR(__xludf.DUMMYFUNCTION("REGEXEXTRACT(J7986, ""[A-Za-z ]+$"")")," Season")</f>
        <v> Season</v>
      </c>
      <c r="AA7986" s="5" t="str">
        <f>IFERROR(__xludf.DUMMYFUNCTION("IF(REGEXMATCH(Z7986, ""Season""), ""TV Show"", ""Movie"")"),"TV Show")</f>
        <v>TV Show</v>
      </c>
    </row>
    <row r="7987">
      <c r="A7987" s="1" t="s">
        <v>38509</v>
      </c>
      <c r="B7987" s="1" t="s">
        <v>27</v>
      </c>
      <c r="C7987" s="1" t="s">
        <v>38510</v>
      </c>
      <c r="D7987" s="1" t="s">
        <v>4413</v>
      </c>
      <c r="E7987" s="1" t="s">
        <v>38511</v>
      </c>
      <c r="F7987" s="1" t="s">
        <v>30</v>
      </c>
      <c r="G7987" s="1" t="s">
        <v>16855</v>
      </c>
      <c r="H7987" s="1">
        <v>2011.0</v>
      </c>
      <c r="I7987" s="1" t="s">
        <v>378</v>
      </c>
      <c r="J7987" s="1" t="s">
        <v>471</v>
      </c>
      <c r="K7987" s="1" t="s">
        <v>380</v>
      </c>
      <c r="L7987" s="1" t="s">
        <v>38512</v>
      </c>
      <c r="M7987" s="2" t="s">
        <v>12</v>
      </c>
      <c r="N7987" s="4">
        <f t="shared" si="1"/>
        <v>43840</v>
      </c>
      <c r="O7987" s="5" t="str">
        <f>IFERROR(__xludf.DUMMYFUNCTION("IF(REGEXMATCH(TRIM(I7987), ""^\d+\s*min""), ""Unclassified"", IF(I7987 = """", ""NR"", I7987))"),"R")</f>
        <v>R</v>
      </c>
      <c r="R7987" s="5" t="str">
        <f t="shared" si="2"/>
        <v>Set Up</v>
      </c>
      <c r="S7987" s="5" t="str">
        <f>IFERROR(__xludf.DUMMYFUNCTION("""COMPUTED_VALUE"""),"Through My Father'S Eyes: The Ronda Rousey Story")</f>
        <v>Through My Father'S Eyes: The Ronda Rousey Story</v>
      </c>
      <c r="V7987" s="5"/>
      <c r="Y7987" s="5" t="str">
        <f>IFERROR(__xludf.DUMMYFUNCTION("REGEXEXTRACT(J7987, ""^\d+"")"),"85")</f>
        <v>85</v>
      </c>
      <c r="Z7987" s="5" t="str">
        <f>IFERROR(__xludf.DUMMYFUNCTION("REGEXEXTRACT(J7987, ""[A-Za-z ]+$"")")," min")</f>
        <v> min</v>
      </c>
      <c r="AA7987" s="5" t="str">
        <f>IFERROR(__xludf.DUMMYFUNCTION("IF(REGEXMATCH(Z7987, ""Season""), ""TV Show"", ""Movie"")"),"Movie")</f>
        <v>Movie</v>
      </c>
    </row>
    <row r="7988">
      <c r="A7988" s="1" t="s">
        <v>38513</v>
      </c>
      <c r="B7988" s="1" t="s">
        <v>27</v>
      </c>
      <c r="C7988" s="1" t="s">
        <v>38514</v>
      </c>
      <c r="D7988" s="1" t="s">
        <v>15754</v>
      </c>
      <c r="E7988" s="1" t="s">
        <v>38515</v>
      </c>
      <c r="F7988" s="1" t="s">
        <v>30</v>
      </c>
      <c r="G7988" s="1" t="s">
        <v>8506</v>
      </c>
      <c r="H7988" s="1">
        <v>2010.0</v>
      </c>
      <c r="I7988" s="1" t="s">
        <v>378</v>
      </c>
      <c r="J7988" s="1" t="s">
        <v>11162</v>
      </c>
      <c r="K7988" s="1" t="s">
        <v>1099</v>
      </c>
      <c r="L7988" s="1" t="s">
        <v>38516</v>
      </c>
      <c r="M7988" s="2" t="s">
        <v>12</v>
      </c>
      <c r="N7988" s="4">
        <f t="shared" si="1"/>
        <v>44197</v>
      </c>
      <c r="O7988" s="5" t="str">
        <f>IFERROR(__xludf.DUMMYFUNCTION("IF(REGEXMATCH(TRIM(I7988), ""^\d+\s*min""), ""Unclassified"", IF(I7988 = """", ""NR"", I7988))"),"R")</f>
        <v>R</v>
      </c>
      <c r="R7988" s="5" t="str">
        <f t="shared" si="2"/>
        <v>Sex And The City 2</v>
      </c>
      <c r="S7988" s="5" t="str">
        <f>IFERROR(__xludf.DUMMYFUNCTION("""COMPUTED_VALUE"""),"Thug Life")</f>
        <v>Thug Life</v>
      </c>
      <c r="V7988" s="5"/>
      <c r="Y7988" s="5" t="str">
        <f>IFERROR(__xludf.DUMMYFUNCTION("REGEXEXTRACT(J7988, ""^\d+"")"),"146")</f>
        <v>146</v>
      </c>
      <c r="Z7988" s="5" t="str">
        <f>IFERROR(__xludf.DUMMYFUNCTION("REGEXEXTRACT(J7988, ""[A-Za-z ]+$"")")," min")</f>
        <v> min</v>
      </c>
      <c r="AA7988" s="5" t="str">
        <f>IFERROR(__xludf.DUMMYFUNCTION("IF(REGEXMATCH(Z7988, ""Season""), ""TV Show"", ""Movie"")"),"Movie")</f>
        <v>Movie</v>
      </c>
    </row>
    <row r="7989">
      <c r="A7989" s="1" t="s">
        <v>38517</v>
      </c>
      <c r="B7989" s="1" t="s">
        <v>27</v>
      </c>
      <c r="C7989" s="1" t="s">
        <v>38518</v>
      </c>
      <c r="D7989" s="1" t="s">
        <v>15754</v>
      </c>
      <c r="E7989" s="1" t="s">
        <v>38519</v>
      </c>
      <c r="F7989" s="1" t="s">
        <v>30</v>
      </c>
      <c r="G7989" s="1" t="s">
        <v>8506</v>
      </c>
      <c r="H7989" s="1">
        <v>2008.0</v>
      </c>
      <c r="I7989" s="1" t="s">
        <v>378</v>
      </c>
      <c r="J7989" s="1" t="s">
        <v>582</v>
      </c>
      <c r="K7989" s="1" t="s">
        <v>1099</v>
      </c>
      <c r="L7989" s="1" t="s">
        <v>38520</v>
      </c>
      <c r="M7989" s="2" t="s">
        <v>12</v>
      </c>
      <c r="N7989" s="4">
        <f t="shared" si="1"/>
        <v>44197</v>
      </c>
      <c r="O7989" s="5" t="str">
        <f>IFERROR(__xludf.DUMMYFUNCTION("IF(REGEXMATCH(TRIM(I7989), ""^\d+\s*min""), ""Unclassified"", IF(I7989 = """", ""NR"", I7989))"),"R")</f>
        <v>R</v>
      </c>
      <c r="R7989" s="5" t="str">
        <f t="shared" si="2"/>
        <v>Sex And The City: The Movie</v>
      </c>
      <c r="S7989" s="5" t="str">
        <f>IFERROR(__xludf.DUMMYFUNCTION("""COMPUTED_VALUE"""),"Thumper")</f>
        <v>Thumper</v>
      </c>
      <c r="V7989" s="5"/>
      <c r="Y7989" s="5" t="str">
        <f>IFERROR(__xludf.DUMMYFUNCTION("REGEXEXTRACT(J7989, ""^\d+"")"),"145")</f>
        <v>145</v>
      </c>
      <c r="Z7989" s="5" t="str">
        <f>IFERROR(__xludf.DUMMYFUNCTION("REGEXEXTRACT(J7989, ""[A-Za-z ]+$"")")," min")</f>
        <v> min</v>
      </c>
      <c r="AA7989" s="5" t="str">
        <f>IFERROR(__xludf.DUMMYFUNCTION("IF(REGEXMATCH(Z7989, ""Season""), ""TV Show"", ""Movie"")"),"Movie")</f>
        <v>Movie</v>
      </c>
    </row>
    <row r="7990">
      <c r="A7990" s="1" t="s">
        <v>38521</v>
      </c>
      <c r="B7990" s="1" t="s">
        <v>27</v>
      </c>
      <c r="C7990" s="1" t="s">
        <v>38522</v>
      </c>
      <c r="D7990" s="1" t="s">
        <v>6593</v>
      </c>
      <c r="E7990" s="1" t="s">
        <v>38523</v>
      </c>
      <c r="F7990" s="1" t="s">
        <v>18004</v>
      </c>
      <c r="G7990" s="1" t="s">
        <v>38524</v>
      </c>
      <c r="H7990" s="1">
        <v>2016.0</v>
      </c>
      <c r="I7990" s="1" t="s">
        <v>34754</v>
      </c>
      <c r="J7990" s="1" t="s">
        <v>238</v>
      </c>
      <c r="K7990" s="1" t="s">
        <v>679</v>
      </c>
      <c r="L7990" s="1" t="s">
        <v>38525</v>
      </c>
      <c r="M7990" s="2" t="s">
        <v>12</v>
      </c>
      <c r="N7990" s="4">
        <f t="shared" si="1"/>
        <v>42926</v>
      </c>
      <c r="O7990" s="5" t="str">
        <f>IFERROR(__xludf.DUMMYFUNCTION("IF(REGEXMATCH(TRIM(I7990), ""^\d+\s*min""), ""Unclassified"", IF(I7990 = """", ""NR"", I7990))"),"UR")</f>
        <v>UR</v>
      </c>
      <c r="R7990" s="5" t="str">
        <f t="shared" si="2"/>
        <v>Sex Doll</v>
      </c>
      <c r="S7990" s="5" t="str">
        <f>IFERROR(__xludf.DUMMYFUNCTION("""COMPUTED_VALUE"""),"Thunder Force")</f>
        <v>Thunder Force</v>
      </c>
      <c r="V7990" s="5"/>
      <c r="Y7990" s="5" t="str">
        <f>IFERROR(__xludf.DUMMYFUNCTION("REGEXEXTRACT(J7990, ""^\d+"")"),"103")</f>
        <v>103</v>
      </c>
      <c r="Z7990" s="5" t="str">
        <f>IFERROR(__xludf.DUMMYFUNCTION("REGEXEXTRACT(J7990, ""[A-Za-z ]+$"")")," min")</f>
        <v> min</v>
      </c>
      <c r="AA7990" s="5" t="str">
        <f>IFERROR(__xludf.DUMMYFUNCTION("IF(REGEXMATCH(Z7990, ""Season""), ""TV Show"", ""Movie"")"),"Movie")</f>
        <v>Movie</v>
      </c>
    </row>
    <row r="7991">
      <c r="A7991" s="1" t="s">
        <v>38526</v>
      </c>
      <c r="B7991" s="1" t="s">
        <v>27</v>
      </c>
      <c r="C7991" s="1" t="s">
        <v>38527</v>
      </c>
      <c r="D7991" s="1" t="s">
        <v>2379</v>
      </c>
      <c r="E7991" s="1" t="s">
        <v>38528</v>
      </c>
      <c r="F7991" s="1" t="s">
        <v>162</v>
      </c>
      <c r="G7991" s="1" t="s">
        <v>26596</v>
      </c>
      <c r="H7991" s="1">
        <v>1999.0</v>
      </c>
      <c r="I7991" s="1" t="s">
        <v>378</v>
      </c>
      <c r="J7991" s="1" t="s">
        <v>264</v>
      </c>
      <c r="K7991" s="1" t="s">
        <v>583</v>
      </c>
      <c r="L7991" s="1" t="s">
        <v>38529</v>
      </c>
      <c r="M7991" s="2" t="s">
        <v>12</v>
      </c>
      <c r="N7991" s="4">
        <f t="shared" si="1"/>
        <v>43084</v>
      </c>
      <c r="O7991" s="5" t="str">
        <f>IFERROR(__xludf.DUMMYFUNCTION("IF(REGEXMATCH(TRIM(I7991), ""^\d+\s*min""), ""Unclassified"", IF(I7991 = """", ""NR"", I7991))"),"R")</f>
        <v>R</v>
      </c>
      <c r="R7991" s="5" t="str">
        <f t="shared" si="2"/>
        <v>Sexo, Pudor Y Lagrimas</v>
      </c>
      <c r="S7991" s="5" t="str">
        <f>IFERROR(__xludf.DUMMYFUNCTION("""COMPUTED_VALUE"""),"Thunderbolt")</f>
        <v>Thunderbolt</v>
      </c>
      <c r="V7991" s="5"/>
      <c r="Y7991" s="5" t="str">
        <f>IFERROR(__xludf.DUMMYFUNCTION("REGEXEXTRACT(J7991, ""^\d+"")"),"111")</f>
        <v>111</v>
      </c>
      <c r="Z7991" s="5" t="str">
        <f>IFERROR(__xludf.DUMMYFUNCTION("REGEXEXTRACT(J7991, ""[A-Za-z ]+$"")")," min")</f>
        <v> min</v>
      </c>
      <c r="AA7991" s="5" t="str">
        <f>IFERROR(__xludf.DUMMYFUNCTION("IF(REGEXMATCH(Z7991, ""Season""), ""TV Show"", ""Movie"")"),"Movie")</f>
        <v>Movie</v>
      </c>
    </row>
    <row r="7992">
      <c r="A7992" s="1" t="s">
        <v>38530</v>
      </c>
      <c r="B7992" s="1" t="s">
        <v>27</v>
      </c>
      <c r="C7992" s="1" t="s">
        <v>38531</v>
      </c>
      <c r="D7992" s="1" t="s">
        <v>15382</v>
      </c>
      <c r="E7992" s="1" t="s">
        <v>38532</v>
      </c>
      <c r="F7992" s="1" t="s">
        <v>30</v>
      </c>
      <c r="G7992" s="7">
        <v>43604.0</v>
      </c>
      <c r="H7992" s="1">
        <v>2019.0</v>
      </c>
      <c r="I7992" s="1" t="s">
        <v>42</v>
      </c>
      <c r="J7992" s="1" t="s">
        <v>88</v>
      </c>
      <c r="K7992" s="1" t="s">
        <v>805</v>
      </c>
      <c r="L7992" s="1" t="s">
        <v>38533</v>
      </c>
      <c r="M7992" s="2" t="s">
        <v>12</v>
      </c>
      <c r="N7992" s="4">
        <f t="shared" si="1"/>
        <v>43604</v>
      </c>
      <c r="O7992" s="5" t="str">
        <f>IFERROR(__xludf.DUMMYFUNCTION("IF(REGEXMATCH(TRIM(I7992), ""^\d+\s*min""), ""Unclassified"", IF(I7992 = """", ""NR"", I7992))"),"TV-MA")</f>
        <v>TV-MA</v>
      </c>
      <c r="R7992" s="5" t="str">
        <f t="shared" si="2"/>
        <v>Sgt. Will Gardner</v>
      </c>
      <c r="S7992" s="5" t="str">
        <f>IFERROR(__xludf.DUMMYFUNCTION("""COMPUTED_VALUE"""),"Thus Spoke Kishibe Rohan")</f>
        <v>Thus Spoke Kishibe Rohan</v>
      </c>
      <c r="V7992" s="5"/>
      <c r="Y7992" s="5" t="str">
        <f>IFERROR(__xludf.DUMMYFUNCTION("REGEXEXTRACT(J7992, ""^\d+"")"),"125")</f>
        <v>125</v>
      </c>
      <c r="Z7992" s="5" t="str">
        <f>IFERROR(__xludf.DUMMYFUNCTION("REGEXEXTRACT(J7992, ""[A-Za-z ]+$"")")," min")</f>
        <v> min</v>
      </c>
      <c r="AA7992" s="5" t="str">
        <f>IFERROR(__xludf.DUMMYFUNCTION("IF(REGEXMATCH(Z7992, ""Season""), ""TV Show"", ""Movie"")"),"Movie")</f>
        <v>Movie</v>
      </c>
    </row>
    <row r="7993">
      <c r="A7993" s="1" t="s">
        <v>38534</v>
      </c>
      <c r="B7993" s="1" t="s">
        <v>37</v>
      </c>
      <c r="C7993" s="1" t="s">
        <v>38535</v>
      </c>
      <c r="F7993" s="1" t="s">
        <v>3333</v>
      </c>
      <c r="G7993" s="1" t="s">
        <v>28737</v>
      </c>
      <c r="H7993" s="1">
        <v>2016.0</v>
      </c>
      <c r="I7993" s="1" t="s">
        <v>42</v>
      </c>
      <c r="J7993" s="1" t="s">
        <v>51</v>
      </c>
      <c r="K7993" s="1" t="s">
        <v>112</v>
      </c>
      <c r="L7993" s="1" t="s">
        <v>38536</v>
      </c>
      <c r="M7993" s="2" t="s">
        <v>12</v>
      </c>
      <c r="N7993" s="4">
        <f t="shared" si="1"/>
        <v>42762</v>
      </c>
      <c r="O7993" s="5" t="str">
        <f>IFERROR(__xludf.DUMMYFUNCTION("IF(REGEXMATCH(TRIM(I7993), ""^\d+\s*min""), ""Unclassified"", IF(I7993 = """", ""NR"", I7993))"),"TV-MA")</f>
        <v>TV-MA</v>
      </c>
      <c r="R7993" s="5" t="str">
        <f t="shared" si="2"/>
        <v>Shadow Of Truth</v>
      </c>
      <c r="S7993" s="5" t="str">
        <f>IFERROR(__xludf.DUMMYFUNCTION("""COMPUTED_VALUE"""),"Tidelands")</f>
        <v>Tidelands</v>
      </c>
      <c r="V7993" s="5"/>
      <c r="Y7993" s="5" t="str">
        <f>IFERROR(__xludf.DUMMYFUNCTION("REGEXEXTRACT(J7993, ""^\d+"")"),"1")</f>
        <v>1</v>
      </c>
      <c r="Z7993" s="5" t="str">
        <f>IFERROR(__xludf.DUMMYFUNCTION("REGEXEXTRACT(J7993, ""[A-Za-z ]+$"")")," Season")</f>
        <v> Season</v>
      </c>
      <c r="AA7993" s="5" t="str">
        <f>IFERROR(__xludf.DUMMYFUNCTION("IF(REGEXMATCH(Z7993, ""Season""), ""TV Show"", ""Movie"")"),"TV Show")</f>
        <v>TV Show</v>
      </c>
    </row>
    <row r="7994">
      <c r="A7994" s="1" t="s">
        <v>38537</v>
      </c>
      <c r="B7994" s="1" t="s">
        <v>27</v>
      </c>
      <c r="C7994" s="1" t="s">
        <v>38538</v>
      </c>
      <c r="D7994" s="1" t="s">
        <v>21826</v>
      </c>
      <c r="E7994" s="1" t="s">
        <v>38539</v>
      </c>
      <c r="F7994" s="1" t="s">
        <v>63</v>
      </c>
      <c r="G7994" s="1" t="s">
        <v>26481</v>
      </c>
      <c r="H7994" s="1">
        <v>2011.0</v>
      </c>
      <c r="I7994" s="1" t="s">
        <v>97</v>
      </c>
      <c r="J7994" s="1" t="s">
        <v>379</v>
      </c>
      <c r="K7994" s="1" t="s">
        <v>199</v>
      </c>
      <c r="L7994" s="1" t="s">
        <v>38540</v>
      </c>
      <c r="M7994" s="2" t="s">
        <v>12</v>
      </c>
      <c r="N7994" s="4">
        <f t="shared" si="1"/>
        <v>43101</v>
      </c>
      <c r="O7994" s="5" t="str">
        <f>IFERROR(__xludf.DUMMYFUNCTION("IF(REGEXMATCH(TRIM(I7994), ""^\d+\s*min""), ""Unclassified"", IF(I7994 = """", ""NR"", I7994))"),"TV-14")</f>
        <v>TV-14</v>
      </c>
      <c r="R7994" s="5" t="str">
        <f t="shared" si="2"/>
        <v>Shahanpan Dega Deva</v>
      </c>
      <c r="S7994" s="5" t="str">
        <f>IFERROR(__xludf.DUMMYFUNCTION("""COMPUTED_VALUE"""),"Tidying Up With Marie Kondo")</f>
        <v>Tidying Up With Marie Kondo</v>
      </c>
      <c r="V7994" s="5"/>
      <c r="Y7994" s="5" t="str">
        <f>IFERROR(__xludf.DUMMYFUNCTION("REGEXEXTRACT(J7994, ""^\d+"")"),"115")</f>
        <v>115</v>
      </c>
      <c r="Z7994" s="5" t="str">
        <f>IFERROR(__xludf.DUMMYFUNCTION("REGEXEXTRACT(J7994, ""[A-Za-z ]+$"")")," min")</f>
        <v> min</v>
      </c>
      <c r="AA7994" s="5" t="str">
        <f>IFERROR(__xludf.DUMMYFUNCTION("IF(REGEXMATCH(Z7994, ""Season""), ""TV Show"", ""Movie"")"),"Movie")</f>
        <v>Movie</v>
      </c>
    </row>
    <row r="7995">
      <c r="A7995" s="1" t="s">
        <v>38541</v>
      </c>
      <c r="B7995" s="1" t="s">
        <v>37</v>
      </c>
      <c r="C7995" s="1" t="s">
        <v>38542</v>
      </c>
      <c r="E7995" s="1" t="s">
        <v>38543</v>
      </c>
      <c r="F7995" s="1" t="s">
        <v>38544</v>
      </c>
      <c r="G7995" s="1" t="s">
        <v>22570</v>
      </c>
      <c r="H7995" s="1">
        <v>1986.0</v>
      </c>
      <c r="I7995" s="1" t="s">
        <v>97</v>
      </c>
      <c r="J7995" s="1" t="s">
        <v>51</v>
      </c>
      <c r="K7995" s="1" t="s">
        <v>2709</v>
      </c>
      <c r="L7995" s="1" t="s">
        <v>38545</v>
      </c>
      <c r="M7995" s="2" t="s">
        <v>12</v>
      </c>
      <c r="N7995" s="4">
        <f t="shared" si="1"/>
        <v>43475</v>
      </c>
      <c r="O7995" s="5" t="str">
        <f>IFERROR(__xludf.DUMMYFUNCTION("IF(REGEXMATCH(TRIM(I7995), ""^\d+\s*min""), ""Unclassified"", IF(I7995 = """", ""NR"", I7995))"),"TV-14")</f>
        <v>TV-14</v>
      </c>
      <c r="R7995" s="5" t="str">
        <f t="shared" si="2"/>
        <v>Shaka Zulu</v>
      </c>
      <c r="S7995" s="5" t="str">
        <f>IFERROR(__xludf.DUMMYFUNCTION("""COMPUTED_VALUE"""),"Tiempos De Guerra")</f>
        <v>Tiempos De Guerra</v>
      </c>
      <c r="V7995" s="5"/>
      <c r="Y7995" s="5" t="str">
        <f>IFERROR(__xludf.DUMMYFUNCTION("REGEXEXTRACT(J7995, ""^\d+"")"),"1")</f>
        <v>1</v>
      </c>
      <c r="Z7995" s="5" t="str">
        <f>IFERROR(__xludf.DUMMYFUNCTION("REGEXEXTRACT(J7995, ""[A-Za-z ]+$"")")," Season")</f>
        <v> Season</v>
      </c>
      <c r="AA7995" s="5" t="str">
        <f>IFERROR(__xludf.DUMMYFUNCTION("IF(REGEXMATCH(Z7995, ""Season""), ""TV Show"", ""Movie"")"),"TV Show")</f>
        <v>TV Show</v>
      </c>
    </row>
    <row r="7996">
      <c r="A7996" s="1" t="s">
        <v>38546</v>
      </c>
      <c r="B7996" s="1" t="s">
        <v>27</v>
      </c>
      <c r="C7996" s="1" t="s">
        <v>38547</v>
      </c>
      <c r="D7996" s="1" t="s">
        <v>13149</v>
      </c>
      <c r="E7996" s="1" t="s">
        <v>38548</v>
      </c>
      <c r="F7996" s="1" t="s">
        <v>63</v>
      </c>
      <c r="G7996" s="1" t="s">
        <v>26089</v>
      </c>
      <c r="H7996" s="1">
        <v>2002.0</v>
      </c>
      <c r="I7996" s="1" t="s">
        <v>42</v>
      </c>
      <c r="J7996" s="1" t="s">
        <v>21080</v>
      </c>
      <c r="K7996" s="1" t="s">
        <v>298</v>
      </c>
      <c r="L7996" s="1" t="s">
        <v>38549</v>
      </c>
      <c r="M7996" s="2" t="s">
        <v>12</v>
      </c>
      <c r="N7996" s="4">
        <f t="shared" si="1"/>
        <v>43160</v>
      </c>
      <c r="O7996" s="5" t="str">
        <f>IFERROR(__xludf.DUMMYFUNCTION("IF(REGEXMATCH(TRIM(I7996), ""^\d+\s*min""), ""Unclassified"", IF(I7996 = """", ""NR"", I7996))"),"TV-MA")</f>
        <v>TV-MA</v>
      </c>
      <c r="R7996" s="5" t="str">
        <f t="shared" si="2"/>
        <v>Shakti: The Power</v>
      </c>
      <c r="S7996" s="5" t="str">
        <f>IFERROR(__xludf.DUMMYFUNCTION("""COMPUTED_VALUE"""),"Tientsin Mystic")</f>
        <v>Tientsin Mystic</v>
      </c>
      <c r="V7996" s="5"/>
      <c r="Y7996" s="5" t="str">
        <f>IFERROR(__xludf.DUMMYFUNCTION("REGEXEXTRACT(J7996, ""^\d+"")"),"168")</f>
        <v>168</v>
      </c>
      <c r="Z7996" s="5" t="str">
        <f>IFERROR(__xludf.DUMMYFUNCTION("REGEXEXTRACT(J7996, ""[A-Za-z ]+$"")")," min")</f>
        <v> min</v>
      </c>
      <c r="AA7996" s="5" t="str">
        <f>IFERROR(__xludf.DUMMYFUNCTION("IF(REGEXMATCH(Z7996, ""Season""), ""TV Show"", ""Movie"")"),"Movie")</f>
        <v>Movie</v>
      </c>
    </row>
    <row r="7997">
      <c r="A7997" s="1" t="s">
        <v>38550</v>
      </c>
      <c r="B7997" s="1" t="s">
        <v>27</v>
      </c>
      <c r="C7997" s="1" t="s">
        <v>38551</v>
      </c>
      <c r="D7997" s="1" t="s">
        <v>1413</v>
      </c>
      <c r="E7997" s="1" t="s">
        <v>38552</v>
      </c>
      <c r="F7997" s="1" t="s">
        <v>63</v>
      </c>
      <c r="G7997" s="1" t="s">
        <v>26089</v>
      </c>
      <c r="H7997" s="1">
        <v>2012.0</v>
      </c>
      <c r="I7997" s="1" t="s">
        <v>97</v>
      </c>
      <c r="J7997" s="1" t="s">
        <v>1065</v>
      </c>
      <c r="K7997" s="1" t="s">
        <v>89</v>
      </c>
      <c r="L7997" s="1" t="s">
        <v>38553</v>
      </c>
      <c r="M7997" s="2" t="s">
        <v>12</v>
      </c>
      <c r="N7997" s="4">
        <f t="shared" si="1"/>
        <v>43160</v>
      </c>
      <c r="O7997" s="5" t="str">
        <f>IFERROR(__xludf.DUMMYFUNCTION("IF(REGEXMATCH(TRIM(I7997), ""^\d+\s*min""), ""Unclassified"", IF(I7997 = """", ""NR"", I7997))"),"TV-14")</f>
        <v>TV-14</v>
      </c>
      <c r="R7997" s="5" t="str">
        <f t="shared" si="2"/>
        <v>Shanghai</v>
      </c>
      <c r="S7997" s="5" t="str">
        <f>IFERROR(__xludf.DUMMYFUNCTION("""COMPUTED_VALUE"""),"Tiffany Haddish Presents: They Ready")</f>
        <v>Tiffany Haddish Presents: They Ready</v>
      </c>
      <c r="V7997" s="5"/>
      <c r="Y7997" s="5" t="str">
        <f>IFERROR(__xludf.DUMMYFUNCTION("REGEXEXTRACT(J7997, ""^\d+"")"),"109")</f>
        <v>109</v>
      </c>
      <c r="Z7997" s="5" t="str">
        <f>IFERROR(__xludf.DUMMYFUNCTION("REGEXEXTRACT(J7997, ""[A-Za-z ]+$"")")," min")</f>
        <v> min</v>
      </c>
      <c r="AA7997" s="5" t="str">
        <f>IFERROR(__xludf.DUMMYFUNCTION("IF(REGEXMATCH(Z7997, ""Season""), ""TV Show"", ""Movie"")"),"Movie")</f>
        <v>Movie</v>
      </c>
    </row>
    <row r="7998">
      <c r="A7998" s="1" t="s">
        <v>38554</v>
      </c>
      <c r="B7998" s="1" t="s">
        <v>27</v>
      </c>
      <c r="C7998" s="1" t="s">
        <v>38555</v>
      </c>
      <c r="D7998" s="1" t="s">
        <v>8817</v>
      </c>
      <c r="E7998" s="1" t="s">
        <v>38556</v>
      </c>
      <c r="F7998" s="1" t="s">
        <v>63</v>
      </c>
      <c r="G7998" s="1" t="s">
        <v>26089</v>
      </c>
      <c r="H7998" s="1">
        <v>2002.0</v>
      </c>
      <c r="I7998" s="1" t="s">
        <v>136</v>
      </c>
      <c r="J7998" s="1" t="s">
        <v>2216</v>
      </c>
      <c r="K7998" s="1" t="s">
        <v>230</v>
      </c>
      <c r="L7998" s="1" t="s">
        <v>38557</v>
      </c>
      <c r="M7998" s="2" t="s">
        <v>12</v>
      </c>
      <c r="N7998" s="4">
        <f t="shared" si="1"/>
        <v>43160</v>
      </c>
      <c r="O7998" s="5" t="str">
        <f>IFERROR(__xludf.DUMMYFUNCTION("IF(REGEXMATCH(TRIM(I7998), ""^\d+\s*min""), ""Unclassified"", IF(I7998 = """", ""NR"", I7998))"),"TV-PG")</f>
        <v>TV-PG</v>
      </c>
      <c r="R7998" s="5" t="str">
        <f t="shared" si="2"/>
        <v>Shararat</v>
      </c>
      <c r="S7998" s="5" t="str">
        <f>IFERROR(__xludf.DUMMYFUNCTION("""COMPUTED_VALUE"""),"Tiffany Haddish: Black Mitzvah")</f>
        <v>Tiffany Haddish: Black Mitzvah</v>
      </c>
      <c r="V7998" s="5"/>
      <c r="Y7998" s="5" t="str">
        <f>IFERROR(__xludf.DUMMYFUNCTION("REGEXEXTRACT(J7998, ""^\d+"")"),"148")</f>
        <v>148</v>
      </c>
      <c r="Z7998" s="5" t="str">
        <f>IFERROR(__xludf.DUMMYFUNCTION("REGEXEXTRACT(J7998, ""[A-Za-z ]+$"")")," min")</f>
        <v> min</v>
      </c>
      <c r="AA7998" s="5" t="str">
        <f>IFERROR(__xludf.DUMMYFUNCTION("IF(REGEXMATCH(Z7998, ""Season""), ""TV Show"", ""Movie"")"),"Movie")</f>
        <v>Movie</v>
      </c>
    </row>
    <row r="7999">
      <c r="A7999" s="1" t="s">
        <v>38558</v>
      </c>
      <c r="B7999" s="1" t="s">
        <v>27</v>
      </c>
      <c r="C7999" s="1" t="s">
        <v>38559</v>
      </c>
      <c r="D7999" s="1" t="s">
        <v>9289</v>
      </c>
      <c r="E7999" s="1" t="s">
        <v>38560</v>
      </c>
      <c r="F7999" s="1" t="s">
        <v>1119</v>
      </c>
      <c r="G7999" s="1" t="s">
        <v>24803</v>
      </c>
      <c r="H7999" s="1">
        <v>2002.0</v>
      </c>
      <c r="I7999" s="1" t="s">
        <v>97</v>
      </c>
      <c r="J7999" s="1" t="s">
        <v>665</v>
      </c>
      <c r="K7999" s="1" t="s">
        <v>128</v>
      </c>
      <c r="L7999" s="1" t="s">
        <v>38561</v>
      </c>
      <c r="M7999" s="2" t="s">
        <v>12</v>
      </c>
      <c r="N7999" s="4">
        <f t="shared" si="1"/>
        <v>43328</v>
      </c>
      <c r="O7999" s="5" t="str">
        <f>IFERROR(__xludf.DUMMYFUNCTION("IF(REGEXMATCH(TRIM(I7999), ""^\d+\s*min""), ""Unclassified"", IF(I7999 = """", ""NR"", I7999))"),"TV-14")</f>
        <v>TV-14</v>
      </c>
      <c r="R7999" s="5" t="str">
        <f t="shared" si="2"/>
        <v>Shark Busters</v>
      </c>
      <c r="S7999" s="5" t="str">
        <f>IFERROR(__xludf.DUMMYFUNCTION("""COMPUTED_VALUE"""),"Tiffany Haddish: She Ready! From The Hood To Hollywood!")</f>
        <v>Tiffany Haddish: She Ready! From The Hood To Hollywood!</v>
      </c>
      <c r="V7999" s="5"/>
      <c r="Y7999" s="5" t="str">
        <f>IFERROR(__xludf.DUMMYFUNCTION("REGEXEXTRACT(J7999, ""^\d+"")"),"92")</f>
        <v>92</v>
      </c>
      <c r="Z7999" s="5" t="str">
        <f>IFERROR(__xludf.DUMMYFUNCTION("REGEXEXTRACT(J7999, ""[A-Za-z ]+$"")")," min")</f>
        <v> min</v>
      </c>
      <c r="AA7999" s="5" t="str">
        <f>IFERROR(__xludf.DUMMYFUNCTION("IF(REGEXMATCH(Z7999, ""Season""), ""TV Show"", ""Movie"")"),"Movie")</f>
        <v>Movie</v>
      </c>
    </row>
    <row r="8000">
      <c r="A8000" s="1" t="s">
        <v>38562</v>
      </c>
      <c r="B8000" s="1" t="s">
        <v>27</v>
      </c>
      <c r="C8000" s="1" t="s">
        <v>38563</v>
      </c>
      <c r="D8000" s="1" t="s">
        <v>6101</v>
      </c>
      <c r="E8000" s="1" t="s">
        <v>38564</v>
      </c>
      <c r="F8000" s="1" t="s">
        <v>30</v>
      </c>
      <c r="G8000" s="1" t="s">
        <v>18270</v>
      </c>
      <c r="H8000" s="1">
        <v>2011.0</v>
      </c>
      <c r="I8000" s="1" t="s">
        <v>32</v>
      </c>
      <c r="J8000" s="1" t="s">
        <v>79</v>
      </c>
      <c r="K8000" s="1" t="s">
        <v>1551</v>
      </c>
      <c r="L8000" s="1" t="s">
        <v>38565</v>
      </c>
      <c r="M8000" s="2" t="s">
        <v>12</v>
      </c>
      <c r="N8000" s="4">
        <f t="shared" si="1"/>
        <v>43771</v>
      </c>
      <c r="O8000" s="5" t="str">
        <f>IFERROR(__xludf.DUMMYFUNCTION("IF(REGEXMATCH(TRIM(I8000), ""^\d+\s*min""), ""Unclassified"", IF(I8000 = """", ""NR"", I8000))"),"PG-13")</f>
        <v>PG-13</v>
      </c>
      <c r="R8000" s="5" t="str">
        <f t="shared" si="2"/>
        <v>Shark Night</v>
      </c>
      <c r="S8000" s="5" t="str">
        <f>IFERROR(__xludf.DUMMYFUNCTION("""COMPUTED_VALUE"""),"Tig")</f>
        <v>Tig</v>
      </c>
      <c r="V8000" s="5"/>
      <c r="Y8000" s="5" t="str">
        <f>IFERROR(__xludf.DUMMYFUNCTION("REGEXEXTRACT(J8000, ""^\d+"")"),"91")</f>
        <v>91</v>
      </c>
      <c r="Z8000" s="5" t="str">
        <f>IFERROR(__xludf.DUMMYFUNCTION("REGEXEXTRACT(J8000, ""[A-Za-z ]+$"")")," min")</f>
        <v> min</v>
      </c>
      <c r="AA8000" s="5" t="str">
        <f>IFERROR(__xludf.DUMMYFUNCTION("IF(REGEXMATCH(Z8000, ""Season""), ""TV Show"", ""Movie"")"),"Movie")</f>
        <v>Movie</v>
      </c>
    </row>
    <row r="8001">
      <c r="A8001" s="1" t="s">
        <v>38566</v>
      </c>
      <c r="B8001" s="1" t="s">
        <v>27</v>
      </c>
      <c r="C8001" s="1" t="s">
        <v>38567</v>
      </c>
      <c r="D8001" s="1" t="s">
        <v>20260</v>
      </c>
      <c r="E8001" s="1" t="s">
        <v>38568</v>
      </c>
      <c r="F8001" s="1" t="s">
        <v>63</v>
      </c>
      <c r="G8001" s="1" t="s">
        <v>26089</v>
      </c>
      <c r="H8001" s="1">
        <v>2008.0</v>
      </c>
      <c r="I8001" s="1" t="s">
        <v>97</v>
      </c>
      <c r="J8001" s="1" t="s">
        <v>1369</v>
      </c>
      <c r="K8001" s="1" t="s">
        <v>128</v>
      </c>
      <c r="L8001" s="1" t="s">
        <v>38569</v>
      </c>
      <c r="M8001" s="2" t="s">
        <v>12</v>
      </c>
      <c r="N8001" s="4">
        <f t="shared" si="1"/>
        <v>43160</v>
      </c>
      <c r="O8001" s="5" t="str">
        <f>IFERROR(__xludf.DUMMYFUNCTION("IF(REGEXMATCH(TRIM(I8001), ""^\d+\s*min""), ""Unclassified"", IF(I8001 = """", ""NR"", I8001))"),"TV-14")</f>
        <v>TV-14</v>
      </c>
      <c r="R8001" s="5" t="str">
        <f t="shared" si="2"/>
        <v>Shaurya: It Takes Courage To Make Right... Right</v>
      </c>
      <c r="S8001" s="5" t="str">
        <f>IFERROR(__xludf.DUMMYFUNCTION("""COMPUTED_VALUE"""),"Tig Notaro Happy To Be Here")</f>
        <v>Tig Notaro Happy To Be Here</v>
      </c>
      <c r="V8001" s="5"/>
      <c r="Y8001" s="5" t="str">
        <f>IFERROR(__xludf.DUMMYFUNCTION("REGEXEXTRACT(J8001, ""^\d+"")"),"135")</f>
        <v>135</v>
      </c>
      <c r="Z8001" s="5" t="str">
        <f>IFERROR(__xludf.DUMMYFUNCTION("REGEXEXTRACT(J8001, ""[A-Za-z ]+$"")")," min")</f>
        <v> min</v>
      </c>
      <c r="AA8001" s="5" t="str">
        <f>IFERROR(__xludf.DUMMYFUNCTION("IF(REGEXMATCH(Z8001, ""Season""), ""TV Show"", ""Movie"")"),"Movie")</f>
        <v>Movie</v>
      </c>
    </row>
    <row r="8002">
      <c r="A8002" s="1" t="s">
        <v>38570</v>
      </c>
      <c r="B8002" s="1" t="s">
        <v>27</v>
      </c>
      <c r="C8002" s="1" t="s">
        <v>38571</v>
      </c>
      <c r="E8002" s="1" t="s">
        <v>38572</v>
      </c>
      <c r="F8002" s="1" t="s">
        <v>30</v>
      </c>
      <c r="G8002" s="1" t="s">
        <v>16427</v>
      </c>
      <c r="H8002" s="1">
        <v>2019.0</v>
      </c>
      <c r="I8002" s="1" t="s">
        <v>136</v>
      </c>
      <c r="J8002" s="1" t="s">
        <v>5650</v>
      </c>
      <c r="K8002" s="1" t="s">
        <v>34</v>
      </c>
      <c r="L8002" s="1" t="s">
        <v>38573</v>
      </c>
      <c r="M8002" s="2" t="s">
        <v>12</v>
      </c>
      <c r="N8002" s="4">
        <f t="shared" si="1"/>
        <v>43865</v>
      </c>
      <c r="O8002" s="5" t="str">
        <f>IFERROR(__xludf.DUMMYFUNCTION("IF(REGEXMATCH(TRIM(I8002), ""^\d+\s*min""), ""Unclassified"", IF(I8002 = """", ""NR"", I8002))"),"TV-PG")</f>
        <v>TV-PG</v>
      </c>
      <c r="R8002" s="5" t="str">
        <f t="shared" si="2"/>
        <v>She Did That</v>
      </c>
      <c r="S8002" s="5" t="str">
        <f>IFERROR(__xludf.DUMMYFUNCTION("""COMPUTED_VALUE"""),"Tiger")</f>
        <v>Tiger</v>
      </c>
      <c r="V8002" s="5"/>
      <c r="Y8002" s="5" t="str">
        <f>IFERROR(__xludf.DUMMYFUNCTION("REGEXEXTRACT(J8002, ""^\d+"")"),"71")</f>
        <v>71</v>
      </c>
      <c r="Z8002" s="5" t="str">
        <f>IFERROR(__xludf.DUMMYFUNCTION("REGEXEXTRACT(J8002, ""[A-Za-z ]+$"")")," min")</f>
        <v> min</v>
      </c>
      <c r="AA8002" s="5" t="str">
        <f>IFERROR(__xludf.DUMMYFUNCTION("IF(REGEXMATCH(Z8002, ""Season""), ""TV Show"", ""Movie"")"),"Movie")</f>
        <v>Movie</v>
      </c>
    </row>
    <row r="8003">
      <c r="A8003" s="1" t="s">
        <v>38574</v>
      </c>
      <c r="B8003" s="1" t="s">
        <v>27</v>
      </c>
      <c r="C8003" s="1" t="s">
        <v>38575</v>
      </c>
      <c r="D8003" s="1" t="s">
        <v>3795</v>
      </c>
      <c r="E8003" s="1" t="s">
        <v>38576</v>
      </c>
      <c r="F8003" s="1" t="s">
        <v>30</v>
      </c>
      <c r="G8003" s="1" t="s">
        <v>26519</v>
      </c>
      <c r="H8003" s="1">
        <v>2010.0</v>
      </c>
      <c r="I8003" s="1" t="s">
        <v>378</v>
      </c>
      <c r="J8003" s="1" t="s">
        <v>1243</v>
      </c>
      <c r="K8003" s="1" t="s">
        <v>3768</v>
      </c>
      <c r="L8003" s="1" t="s">
        <v>38577</v>
      </c>
      <c r="M8003" s="2" t="s">
        <v>12</v>
      </c>
      <c r="N8003" s="4">
        <f t="shared" si="1"/>
        <v>43098</v>
      </c>
      <c r="O8003" s="5" t="str">
        <f>IFERROR(__xludf.DUMMYFUNCTION("IF(REGEXMATCH(TRIM(I8003), ""^\d+\s*min""), ""Unclassified"", IF(I8003 = """", ""NR"", I8003))"),"R")</f>
        <v>R</v>
      </c>
      <c r="R8003" s="5" t="str">
        <f t="shared" si="2"/>
        <v>Shelter</v>
      </c>
      <c r="S8003" s="5" t="str">
        <f>IFERROR(__xludf.DUMMYFUNCTION("""COMPUTED_VALUE"""),"Tiger &amp; Bunny")</f>
        <v>Tiger &amp; Bunny</v>
      </c>
      <c r="V8003" s="5"/>
      <c r="Y8003" s="5" t="str">
        <f>IFERROR(__xludf.DUMMYFUNCTION("REGEXEXTRACT(J8003, ""^\d+"")"),"112")</f>
        <v>112</v>
      </c>
      <c r="Z8003" s="5" t="str">
        <f>IFERROR(__xludf.DUMMYFUNCTION("REGEXEXTRACT(J8003, ""[A-Za-z ]+$"")")," min")</f>
        <v> min</v>
      </c>
      <c r="AA8003" s="5" t="str">
        <f>IFERROR(__xludf.DUMMYFUNCTION("IF(REGEXMATCH(Z8003, ""Season""), ""TV Show"", ""Movie"")"),"Movie")</f>
        <v>Movie</v>
      </c>
    </row>
    <row r="8004">
      <c r="A8004" s="1" t="s">
        <v>38578</v>
      </c>
      <c r="B8004" s="1" t="s">
        <v>37</v>
      </c>
      <c r="C8004" s="1" t="s">
        <v>38579</v>
      </c>
      <c r="E8004" s="1" t="s">
        <v>38580</v>
      </c>
      <c r="F8004" s="1" t="s">
        <v>686</v>
      </c>
      <c r="G8004" s="7">
        <v>42870.0</v>
      </c>
      <c r="H8004" s="1">
        <v>2017.0</v>
      </c>
      <c r="I8004" s="1" t="s">
        <v>97</v>
      </c>
      <c r="J8004" s="1" t="s">
        <v>148</v>
      </c>
      <c r="K8004" s="1" t="s">
        <v>3274</v>
      </c>
      <c r="L8004" s="1" t="s">
        <v>38581</v>
      </c>
      <c r="M8004" s="2" t="s">
        <v>12</v>
      </c>
      <c r="N8004" s="4">
        <f t="shared" si="1"/>
        <v>42870</v>
      </c>
      <c r="O8004" s="5" t="str">
        <f>IFERROR(__xludf.DUMMYFUNCTION("IF(REGEXMATCH(TRIM(I8004), ""^\d+\s*min""), ""Unclassified"", IF(I8004 = """", ""NR"", I8004))"),"TV-14")</f>
        <v>TV-14</v>
      </c>
      <c r="R8004" s="5" t="str">
        <f t="shared" si="2"/>
        <v>Sherlock</v>
      </c>
      <c r="S8004" s="5" t="str">
        <f>IFERROR(__xludf.DUMMYFUNCTION("""COMPUTED_VALUE"""),"Tiger King: Murder, Mayhem And Madness")</f>
        <v>Tiger King: Murder, Mayhem And Madness</v>
      </c>
      <c r="V8004" s="5"/>
      <c r="Y8004" s="5" t="str">
        <f>IFERROR(__xludf.DUMMYFUNCTION("REGEXEXTRACT(J8004, ""^\d+"")"),"4")</f>
        <v>4</v>
      </c>
      <c r="Z8004" s="5" t="str">
        <f>IFERROR(__xludf.DUMMYFUNCTION("REGEXEXTRACT(J8004, ""[A-Za-z ]+$"")")," Seasons")</f>
        <v> Seasons</v>
      </c>
      <c r="AA8004" s="5" t="str">
        <f>IFERROR(__xludf.DUMMYFUNCTION("IF(REGEXMATCH(Z8004, ""Season""), ""TV Show"", ""Movie"")"),"TV Show")</f>
        <v>TV Show</v>
      </c>
    </row>
    <row r="8005">
      <c r="A8005" s="1" t="s">
        <v>38582</v>
      </c>
      <c r="B8005" s="1" t="s">
        <v>27</v>
      </c>
      <c r="C8005" s="1" t="s">
        <v>38583</v>
      </c>
      <c r="D8005" s="1" t="s">
        <v>8840</v>
      </c>
      <c r="E8005" s="1" t="s">
        <v>38584</v>
      </c>
      <c r="F8005" s="1" t="s">
        <v>38585</v>
      </c>
      <c r="G8005" s="1" t="s">
        <v>8506</v>
      </c>
      <c r="H8005" s="1">
        <v>2009.0</v>
      </c>
      <c r="I8005" s="1" t="s">
        <v>32</v>
      </c>
      <c r="J8005" s="1" t="s">
        <v>757</v>
      </c>
      <c r="K8005" s="1" t="s">
        <v>973</v>
      </c>
      <c r="L8005" s="1" t="s">
        <v>38586</v>
      </c>
      <c r="M8005" s="2" t="s">
        <v>12</v>
      </c>
      <c r="N8005" s="4">
        <f t="shared" si="1"/>
        <v>44197</v>
      </c>
      <c r="O8005" s="5" t="str">
        <f>IFERROR(__xludf.DUMMYFUNCTION("IF(REGEXMATCH(TRIM(I8005), ""^\d+\s*min""), ""Unclassified"", IF(I8005 = """", ""NR"", I8005))"),"PG-13")</f>
        <v>PG-13</v>
      </c>
      <c r="R8005" s="5" t="str">
        <f t="shared" si="2"/>
        <v>Sherlock Holmes</v>
      </c>
      <c r="S8005" s="5" t="str">
        <f>IFERROR(__xludf.DUMMYFUNCTION("""COMPUTED_VALUE"""),"Tigertail")</f>
        <v>Tigertail</v>
      </c>
      <c r="V8005" s="5"/>
      <c r="Y8005" s="5" t="str">
        <f>IFERROR(__xludf.DUMMYFUNCTION("REGEXEXTRACT(J8005, ""^\d+"")"),"128")</f>
        <v>128</v>
      </c>
      <c r="Z8005" s="5" t="str">
        <f>IFERROR(__xludf.DUMMYFUNCTION("REGEXEXTRACT(J8005, ""[A-Za-z ]+$"")")," min")</f>
        <v> min</v>
      </c>
      <c r="AA8005" s="5" t="str">
        <f>IFERROR(__xludf.DUMMYFUNCTION("IF(REGEXMATCH(Z8005, ""Season""), ""TV Show"", ""Movie"")"),"Movie")</f>
        <v>Movie</v>
      </c>
    </row>
    <row r="8006">
      <c r="A8006" s="1" t="s">
        <v>38587</v>
      </c>
      <c r="B8006" s="1" t="s">
        <v>27</v>
      </c>
      <c r="C8006" s="1" t="s">
        <v>38588</v>
      </c>
      <c r="D8006" s="1" t="s">
        <v>2479</v>
      </c>
      <c r="E8006" s="1" t="s">
        <v>38589</v>
      </c>
      <c r="F8006" s="1" t="s">
        <v>63</v>
      </c>
      <c r="G8006" s="1" t="s">
        <v>17078</v>
      </c>
      <c r="H8006" s="1">
        <v>1990.0</v>
      </c>
      <c r="I8006" s="1" t="s">
        <v>42</v>
      </c>
      <c r="J8006" s="1" t="s">
        <v>21080</v>
      </c>
      <c r="K8006" s="1" t="s">
        <v>306</v>
      </c>
      <c r="L8006" s="1" t="s">
        <v>38590</v>
      </c>
      <c r="M8006" s="2" t="s">
        <v>12</v>
      </c>
      <c r="N8006" s="4">
        <f t="shared" si="1"/>
        <v>43830</v>
      </c>
      <c r="O8006" s="5" t="str">
        <f>IFERROR(__xludf.DUMMYFUNCTION("IF(REGEXMATCH(TRIM(I8006), ""^\d+\s*min""), ""Unclassified"", IF(I8006 = """", ""NR"", I8006))"),"TV-MA")</f>
        <v>TV-MA</v>
      </c>
      <c r="R8006" s="5" t="str">
        <f t="shared" si="2"/>
        <v>Shiva</v>
      </c>
      <c r="S8006" s="5" t="str">
        <f>IFERROR(__xludf.DUMMYFUNCTION("""COMPUTED_VALUE"""),"Tijuana")</f>
        <v>Tijuana</v>
      </c>
      <c r="V8006" s="5"/>
      <c r="Y8006" s="5" t="str">
        <f>IFERROR(__xludf.DUMMYFUNCTION("REGEXEXTRACT(J8006, ""^\d+"")"),"168")</f>
        <v>168</v>
      </c>
      <c r="Z8006" s="5" t="str">
        <f>IFERROR(__xludf.DUMMYFUNCTION("REGEXEXTRACT(J8006, ""[A-Za-z ]+$"")")," min")</f>
        <v> min</v>
      </c>
      <c r="AA8006" s="5" t="str">
        <f>IFERROR(__xludf.DUMMYFUNCTION("IF(REGEXMATCH(Z8006, ""Season""), ""TV Show"", ""Movie"")"),"Movie")</f>
        <v>Movie</v>
      </c>
    </row>
    <row r="8007">
      <c r="A8007" s="1" t="s">
        <v>38591</v>
      </c>
      <c r="B8007" s="1" t="s">
        <v>27</v>
      </c>
      <c r="C8007" s="1" t="s">
        <v>38592</v>
      </c>
      <c r="D8007" s="1" t="s">
        <v>38593</v>
      </c>
      <c r="E8007" s="1" t="s">
        <v>38594</v>
      </c>
      <c r="F8007" s="1" t="s">
        <v>30</v>
      </c>
      <c r="G8007" s="1" t="s">
        <v>23412</v>
      </c>
      <c r="H8007" s="1">
        <v>2016.0</v>
      </c>
      <c r="I8007" s="1" t="s">
        <v>206</v>
      </c>
      <c r="J8007" s="1" t="s">
        <v>9520</v>
      </c>
      <c r="K8007" s="1" t="s">
        <v>2032</v>
      </c>
      <c r="L8007" s="1" t="s">
        <v>38595</v>
      </c>
      <c r="M8007" s="2" t="s">
        <v>12</v>
      </c>
      <c r="N8007" s="4">
        <f t="shared" si="1"/>
        <v>43419</v>
      </c>
      <c r="O8007" s="5" t="str">
        <f>IFERROR(__xludf.DUMMYFUNCTION("IF(REGEXMATCH(TRIM(I8007), ""^\d+\s*min""), ""Unclassified"", IF(I8007 = """", ""NR"", I8007))"),"TV-Y")</f>
        <v>TV-Y</v>
      </c>
      <c r="R8007" s="5" t="str">
        <f t="shared" si="2"/>
        <v>Shopkins: Chef Club</v>
      </c>
      <c r="S8007" s="5" t="str">
        <f>IFERROR(__xludf.DUMMYFUNCTION("""COMPUTED_VALUE"""),"Tik Tok")</f>
        <v>Tik Tok</v>
      </c>
      <c r="V8007" s="5"/>
      <c r="Y8007" s="5" t="str">
        <f>IFERROR(__xludf.DUMMYFUNCTION("REGEXEXTRACT(J8007, ""^\d+"")"),"45")</f>
        <v>45</v>
      </c>
      <c r="Z8007" s="5" t="str">
        <f>IFERROR(__xludf.DUMMYFUNCTION("REGEXEXTRACT(J8007, ""[A-Za-z ]+$"")")," min")</f>
        <v> min</v>
      </c>
      <c r="AA8007" s="5" t="str">
        <f>IFERROR(__xludf.DUMMYFUNCTION("IF(REGEXMATCH(Z8007, ""Season""), ""TV Show"", ""Movie"")"),"Movie")</f>
        <v>Movie</v>
      </c>
    </row>
    <row r="8008">
      <c r="A8008" s="1" t="s">
        <v>38596</v>
      </c>
      <c r="B8008" s="1" t="s">
        <v>27</v>
      </c>
      <c r="C8008" s="1" t="s">
        <v>38597</v>
      </c>
      <c r="D8008" s="1" t="s">
        <v>479</v>
      </c>
      <c r="E8008" s="1" t="s">
        <v>38598</v>
      </c>
      <c r="F8008" s="1" t="s">
        <v>221</v>
      </c>
      <c r="G8008" s="1" t="s">
        <v>23412</v>
      </c>
      <c r="H8008" s="1">
        <v>2018.0</v>
      </c>
      <c r="I8008" s="1" t="s">
        <v>206</v>
      </c>
      <c r="J8008" s="1" t="s">
        <v>6281</v>
      </c>
      <c r="K8008" s="1" t="s">
        <v>2032</v>
      </c>
      <c r="L8008" s="1" t="s">
        <v>38599</v>
      </c>
      <c r="M8008" s="2" t="s">
        <v>12</v>
      </c>
      <c r="N8008" s="4">
        <f t="shared" si="1"/>
        <v>43419</v>
      </c>
      <c r="O8008" s="5" t="str">
        <f>IFERROR(__xludf.DUMMYFUNCTION("IF(REGEXMATCH(TRIM(I8008), ""^\d+\s*min""), ""Unclassified"", IF(I8008 = """", ""NR"", I8008))"),"TV-Y")</f>
        <v>TV-Y</v>
      </c>
      <c r="R8008" s="5" t="str">
        <f t="shared" si="2"/>
        <v>Shopkins: Wild</v>
      </c>
      <c r="S8008" s="5" t="str">
        <f>IFERROR(__xludf.DUMMYFUNCTION("""COMPUTED_VALUE"""),"Tikli And Laxmi Bomb")</f>
        <v>Tikli And Laxmi Bomb</v>
      </c>
      <c r="V8008" s="5"/>
      <c r="Y8008" s="5" t="str">
        <f>IFERROR(__xludf.DUMMYFUNCTION("REGEXEXTRACT(J8008, ""^\d+"")"),"75")</f>
        <v>75</v>
      </c>
      <c r="Z8008" s="5" t="str">
        <f>IFERROR(__xludf.DUMMYFUNCTION("REGEXEXTRACT(J8008, ""[A-Za-z ]+$"")")," min")</f>
        <v> min</v>
      </c>
      <c r="AA8008" s="5" t="str">
        <f>IFERROR(__xludf.DUMMYFUNCTION("IF(REGEXMATCH(Z8008, ""Season""), ""TV Show"", ""Movie"")"),"Movie")</f>
        <v>Movie</v>
      </c>
    </row>
    <row r="8009">
      <c r="A8009" s="1" t="s">
        <v>38600</v>
      </c>
      <c r="B8009" s="1" t="s">
        <v>27</v>
      </c>
      <c r="C8009" s="1" t="s">
        <v>38601</v>
      </c>
      <c r="D8009" s="1" t="s">
        <v>19110</v>
      </c>
      <c r="E8009" s="1" t="s">
        <v>38602</v>
      </c>
      <c r="F8009" s="1" t="s">
        <v>221</v>
      </c>
      <c r="G8009" s="1" t="s">
        <v>23412</v>
      </c>
      <c r="H8009" s="1">
        <v>2017.0</v>
      </c>
      <c r="I8009" s="1" t="s">
        <v>206</v>
      </c>
      <c r="J8009" s="1" t="s">
        <v>5650</v>
      </c>
      <c r="K8009" s="1" t="s">
        <v>2032</v>
      </c>
      <c r="L8009" s="1" t="s">
        <v>38603</v>
      </c>
      <c r="M8009" s="2" t="s">
        <v>12</v>
      </c>
      <c r="N8009" s="4">
        <f t="shared" si="1"/>
        <v>43419</v>
      </c>
      <c r="O8009" s="5" t="str">
        <f>IFERROR(__xludf.DUMMYFUNCTION("IF(REGEXMATCH(TRIM(I8009), ""^\d+\s*min""), ""Unclassified"", IF(I8009 = """", ""NR"", I8009))"),"TV-Y")</f>
        <v>TV-Y</v>
      </c>
      <c r="R8009" s="5" t="str">
        <f t="shared" si="2"/>
        <v>Shopkins: World Vacation</v>
      </c>
      <c r="S8009" s="5" t="str">
        <f>IFERROR(__xludf.DUMMYFUNCTION("""COMPUTED_VALUE"""),"Til Death Do Us Part")</f>
        <v>Til Death Do Us Part</v>
      </c>
      <c r="V8009" s="5"/>
      <c r="Y8009" s="5" t="str">
        <f>IFERROR(__xludf.DUMMYFUNCTION("REGEXEXTRACT(J8009, ""^\d+"")"),"71")</f>
        <v>71</v>
      </c>
      <c r="Z8009" s="5" t="str">
        <f>IFERROR(__xludf.DUMMYFUNCTION("REGEXEXTRACT(J8009, ""[A-Za-z ]+$"")")," min")</f>
        <v> min</v>
      </c>
      <c r="AA8009" s="5" t="str">
        <f>IFERROR(__xludf.DUMMYFUNCTION("IF(REGEXMATCH(Z8009, ""Season""), ""TV Show"", ""Movie"")"),"Movie")</f>
        <v>Movie</v>
      </c>
    </row>
    <row r="8010">
      <c r="A8010" s="1" t="s">
        <v>38604</v>
      </c>
      <c r="B8010" s="1" t="s">
        <v>27</v>
      </c>
      <c r="C8010" s="1" t="s">
        <v>38605</v>
      </c>
      <c r="D8010" s="1" t="s">
        <v>10998</v>
      </c>
      <c r="E8010" s="1" t="s">
        <v>38606</v>
      </c>
      <c r="F8010" s="1" t="s">
        <v>63</v>
      </c>
      <c r="G8010" s="1" t="s">
        <v>23794</v>
      </c>
      <c r="H8010" s="1">
        <v>2016.0</v>
      </c>
      <c r="I8010" s="1" t="s">
        <v>97</v>
      </c>
      <c r="J8010" s="1" t="s">
        <v>393</v>
      </c>
      <c r="K8010" s="1" t="s">
        <v>128</v>
      </c>
      <c r="L8010" s="1" t="s">
        <v>38607</v>
      </c>
      <c r="M8010" s="2" t="s">
        <v>12</v>
      </c>
      <c r="N8010" s="4">
        <f t="shared" si="1"/>
        <v>43403</v>
      </c>
      <c r="O8010" s="5" t="str">
        <f>IFERROR(__xludf.DUMMYFUNCTION("IF(REGEXMATCH(TRIM(I8010), ""^\d+\s*min""), ""Unclassified"", IF(I8010 = """", ""NR"", I8010))"),"TV-14")</f>
        <v>TV-14</v>
      </c>
      <c r="R8010" s="5" t="str">
        <f t="shared" si="2"/>
        <v>Shorgul</v>
      </c>
      <c r="S8010" s="5" t="str">
        <f>IFERROR(__xludf.DUMMYFUNCTION("""COMPUTED_VALUE"""),"Tim Allen: Men Are Pigs")</f>
        <v>Tim Allen: Men Are Pigs</v>
      </c>
      <c r="V8010" s="5"/>
      <c r="Y8010" s="5" t="str">
        <f>IFERROR(__xludf.DUMMYFUNCTION("REGEXEXTRACT(J8010, ""^\d+"")"),"122")</f>
        <v>122</v>
      </c>
      <c r="Z8010" s="5" t="str">
        <f>IFERROR(__xludf.DUMMYFUNCTION("REGEXEXTRACT(J8010, ""[A-Za-z ]+$"")")," min")</f>
        <v> min</v>
      </c>
      <c r="AA8010" s="5" t="str">
        <f>IFERROR(__xludf.DUMMYFUNCTION("IF(REGEXMATCH(Z8010, ""Season""), ""TV Show"", ""Movie"")"),"Movie")</f>
        <v>Movie</v>
      </c>
    </row>
    <row r="8011">
      <c r="A8011" s="1" t="s">
        <v>38608</v>
      </c>
      <c r="B8011" s="1" t="s">
        <v>27</v>
      </c>
      <c r="C8011" s="1" t="s">
        <v>38609</v>
      </c>
      <c r="D8011" s="1" t="s">
        <v>6403</v>
      </c>
      <c r="E8011" s="1" t="s">
        <v>38610</v>
      </c>
      <c r="F8011" s="1" t="s">
        <v>30</v>
      </c>
      <c r="G8011" s="1" t="s">
        <v>19937</v>
      </c>
      <c r="H8011" s="1">
        <v>2013.0</v>
      </c>
      <c r="I8011" s="1" t="s">
        <v>378</v>
      </c>
      <c r="J8011" s="1" t="s">
        <v>247</v>
      </c>
      <c r="K8011" s="1" t="s">
        <v>1320</v>
      </c>
      <c r="L8011" s="1" t="s">
        <v>38611</v>
      </c>
      <c r="M8011" s="2" t="s">
        <v>12</v>
      </c>
      <c r="N8011" s="4">
        <f t="shared" si="1"/>
        <v>43664</v>
      </c>
      <c r="O8011" s="5" t="str">
        <f>IFERROR(__xludf.DUMMYFUNCTION("IF(REGEXMATCH(TRIM(I8011), ""^\d+\s*min""), ""Unclassified"", IF(I8011 = """", ""NR"", I8011))"),"R")</f>
        <v>R</v>
      </c>
      <c r="R8011" s="5" t="str">
        <f t="shared" si="2"/>
        <v>Short Term 12</v>
      </c>
      <c r="S8011" s="5" t="str">
        <f>IFERROR(__xludf.DUMMYFUNCTION("""COMPUTED_VALUE"""),"Tim Allen: Rewires America")</f>
        <v>Tim Allen: Rewires America</v>
      </c>
      <c r="V8011" s="5"/>
      <c r="Y8011" s="5" t="str">
        <f>IFERROR(__xludf.DUMMYFUNCTION("REGEXEXTRACT(J8011, ""^\d+"")"),"97")</f>
        <v>97</v>
      </c>
      <c r="Z8011" s="5" t="str">
        <f>IFERROR(__xludf.DUMMYFUNCTION("REGEXEXTRACT(J8011, ""[A-Za-z ]+$"")")," min")</f>
        <v> min</v>
      </c>
      <c r="AA8011" s="5" t="str">
        <f>IFERROR(__xludf.DUMMYFUNCTION("IF(REGEXMATCH(Z8011, ""Season""), ""TV Show"", ""Movie"")"),"Movie")</f>
        <v>Movie</v>
      </c>
    </row>
    <row r="8012">
      <c r="A8012" s="1" t="s">
        <v>38612</v>
      </c>
      <c r="B8012" s="1" t="s">
        <v>27</v>
      </c>
      <c r="C8012" s="1" t="s">
        <v>38613</v>
      </c>
      <c r="D8012" s="1" t="s">
        <v>5217</v>
      </c>
      <c r="E8012" s="1" t="s">
        <v>38614</v>
      </c>
      <c r="F8012" s="1" t="s">
        <v>34283</v>
      </c>
      <c r="G8012" s="1" t="s">
        <v>20110</v>
      </c>
      <c r="H8012" s="1">
        <v>2009.0</v>
      </c>
      <c r="I8012" s="1" t="s">
        <v>78</v>
      </c>
      <c r="J8012" s="1" t="s">
        <v>1191</v>
      </c>
      <c r="K8012" s="1" t="s">
        <v>137</v>
      </c>
      <c r="L8012" s="1" t="s">
        <v>38615</v>
      </c>
      <c r="M8012" s="2" t="s">
        <v>12</v>
      </c>
      <c r="N8012" s="4">
        <f t="shared" si="1"/>
        <v>43647</v>
      </c>
      <c r="O8012" s="5" t="str">
        <f>IFERROR(__xludf.DUMMYFUNCTION("IF(REGEXMATCH(TRIM(I8012), ""^\d+\s*min""), ""Unclassified"", IF(I8012 = """", ""NR"", I8012))"),"PG")</f>
        <v>PG</v>
      </c>
      <c r="R8012" s="5" t="str">
        <f t="shared" si="2"/>
        <v>Shorts</v>
      </c>
      <c r="S8012" s="5" t="str">
        <f>IFERROR(__xludf.DUMMYFUNCTION("""COMPUTED_VALUE"""),"Tim Minchin And The Heritage Orchestra Live")</f>
        <v>Tim Minchin And The Heritage Orchestra Live</v>
      </c>
      <c r="V8012" s="5"/>
      <c r="Y8012" s="5" t="str">
        <f>IFERROR(__xludf.DUMMYFUNCTION("REGEXEXTRACT(J8012, ""^\d+"")"),"89")</f>
        <v>89</v>
      </c>
      <c r="Z8012" s="5" t="str">
        <f>IFERROR(__xludf.DUMMYFUNCTION("REGEXEXTRACT(J8012, ""[A-Za-z ]+$"")")," min")</f>
        <v> min</v>
      </c>
      <c r="AA8012" s="5" t="str">
        <f>IFERROR(__xludf.DUMMYFUNCTION("IF(REGEXMATCH(Z8012, ""Season""), ""TV Show"", ""Movie"")"),"Movie")</f>
        <v>Movie</v>
      </c>
    </row>
    <row r="8013">
      <c r="A8013" s="1" t="s">
        <v>38616</v>
      </c>
      <c r="B8013" s="1" t="s">
        <v>27</v>
      </c>
      <c r="C8013" s="1" t="s">
        <v>38617</v>
      </c>
      <c r="D8013" s="1" t="s">
        <v>3004</v>
      </c>
      <c r="E8013" s="1" t="s">
        <v>38618</v>
      </c>
      <c r="F8013" s="1" t="s">
        <v>686</v>
      </c>
      <c r="G8013" s="1" t="s">
        <v>27507</v>
      </c>
      <c r="H8013" s="1">
        <v>2016.0</v>
      </c>
      <c r="I8013" s="1" t="s">
        <v>42</v>
      </c>
      <c r="J8013" s="1" t="s">
        <v>357</v>
      </c>
      <c r="K8013" s="1" t="s">
        <v>700</v>
      </c>
      <c r="L8013" s="1" t="s">
        <v>38619</v>
      </c>
      <c r="M8013" s="2" t="s">
        <v>12</v>
      </c>
      <c r="N8013" s="4">
        <f t="shared" si="1"/>
        <v>42957</v>
      </c>
      <c r="O8013" s="5" t="str">
        <f>IFERROR(__xludf.DUMMYFUNCTION("IF(REGEXMATCH(TRIM(I8013), ""^\d+\s*min""), ""Unclassified"", IF(I8013 = """", ""NR"", I8013))"),"TV-MA")</f>
        <v>TV-MA</v>
      </c>
      <c r="R8013" s="5" t="str">
        <f t="shared" si="2"/>
        <v>Shot! The Psycho-Spiritual Mantra Of Rock</v>
      </c>
      <c r="S8013" s="5" t="str">
        <f>IFERROR(__xludf.DUMMYFUNCTION("""COMPUTED_VALUE"""),"Tim Minchin: So F**King Rock")</f>
        <v>Tim Minchin: So F**King Rock</v>
      </c>
      <c r="V8013" s="5"/>
      <c r="Y8013" s="5" t="str">
        <f>IFERROR(__xludf.DUMMYFUNCTION("REGEXEXTRACT(J8013, ""^\d+"")"),"98")</f>
        <v>98</v>
      </c>
      <c r="Z8013" s="5" t="str">
        <f>IFERROR(__xludf.DUMMYFUNCTION("REGEXEXTRACT(J8013, ""[A-Za-z ]+$"")")," min")</f>
        <v> min</v>
      </c>
      <c r="AA8013" s="5" t="str">
        <f>IFERROR(__xludf.DUMMYFUNCTION("IF(REGEXMATCH(Z8013, ""Season""), ""TV Show"", ""Movie"")"),"Movie")</f>
        <v>Movie</v>
      </c>
    </row>
    <row r="8014">
      <c r="A8014" s="1" t="s">
        <v>38620</v>
      </c>
      <c r="B8014" s="1" t="s">
        <v>27</v>
      </c>
      <c r="C8014" s="1" t="s">
        <v>38621</v>
      </c>
      <c r="D8014" s="1" t="s">
        <v>467</v>
      </c>
      <c r="E8014" s="1" t="s">
        <v>38622</v>
      </c>
      <c r="F8014" s="1" t="s">
        <v>8173</v>
      </c>
      <c r="G8014" s="1" t="s">
        <v>26089</v>
      </c>
      <c r="H8014" s="1">
        <v>2017.0</v>
      </c>
      <c r="I8014" s="1" t="s">
        <v>97</v>
      </c>
      <c r="J8014" s="1" t="s">
        <v>379</v>
      </c>
      <c r="K8014" s="1" t="s">
        <v>298</v>
      </c>
      <c r="L8014" s="1" t="s">
        <v>38623</v>
      </c>
      <c r="M8014" s="2" t="s">
        <v>12</v>
      </c>
      <c r="N8014" s="4">
        <f t="shared" si="1"/>
        <v>43160</v>
      </c>
      <c r="O8014" s="5" t="str">
        <f>IFERROR(__xludf.DUMMYFUNCTION("IF(REGEXMATCH(TRIM(I8014), ""^\d+\s*min""), ""Unclassified"", IF(I8014 = """", ""NR"", I8014))"),"TV-14")</f>
        <v>TV-14</v>
      </c>
      <c r="R8014" s="5" t="str">
        <f t="shared" si="2"/>
        <v>Shuddhi</v>
      </c>
      <c r="S8014" s="5" t="str">
        <f>IFERROR(__xludf.DUMMYFUNCTION("""COMPUTED_VALUE"""),"Time Is Illmatic")</f>
        <v>Time Is Illmatic</v>
      </c>
      <c r="V8014" s="5"/>
      <c r="Y8014" s="5" t="str">
        <f>IFERROR(__xludf.DUMMYFUNCTION("REGEXEXTRACT(J8014, ""^\d+"")"),"115")</f>
        <v>115</v>
      </c>
      <c r="Z8014" s="5" t="str">
        <f>IFERROR(__xludf.DUMMYFUNCTION("REGEXEXTRACT(J8014, ""[A-Za-z ]+$"")")," min")</f>
        <v> min</v>
      </c>
      <c r="AA8014" s="5" t="str">
        <f>IFERROR(__xludf.DUMMYFUNCTION("IF(REGEXMATCH(Z8014, ""Season""), ""TV Show"", ""Movie"")"),"Movie")</f>
        <v>Movie</v>
      </c>
    </row>
    <row r="8015">
      <c r="A8015" s="1" t="s">
        <v>38624</v>
      </c>
      <c r="B8015" s="1" t="s">
        <v>27</v>
      </c>
      <c r="C8015" s="1" t="s">
        <v>38625</v>
      </c>
      <c r="D8015" s="1" t="s">
        <v>2950</v>
      </c>
      <c r="E8015" s="1" t="s">
        <v>38626</v>
      </c>
      <c r="F8015" s="1" t="s">
        <v>2796</v>
      </c>
      <c r="G8015" s="1" t="s">
        <v>31151</v>
      </c>
      <c r="H8015" s="1">
        <v>2004.0</v>
      </c>
      <c r="I8015" s="1" t="s">
        <v>42</v>
      </c>
      <c r="J8015" s="1" t="s">
        <v>322</v>
      </c>
      <c r="K8015" s="1" t="s">
        <v>1441</v>
      </c>
      <c r="L8015" s="1" t="s">
        <v>38627</v>
      </c>
      <c r="M8015" s="2" t="s">
        <v>12</v>
      </c>
      <c r="N8015" s="4">
        <f t="shared" si="1"/>
        <v>43348</v>
      </c>
      <c r="O8015" s="5" t="str">
        <f>IFERROR(__xludf.DUMMYFUNCTION("IF(REGEXMATCH(TRIM(I8015), ""^\d+\s*min""), ""Unclassified"", IF(I8015 = """", ""NR"", I8015))"),"TV-MA")</f>
        <v>TV-MA</v>
      </c>
      <c r="R8015" s="5" t="str">
        <f t="shared" si="2"/>
        <v>Shutter</v>
      </c>
      <c r="S8015" s="5" t="str">
        <f>IFERROR(__xludf.DUMMYFUNCTION("""COMPUTED_VALUE"""),"Time Out")</f>
        <v>Time Out</v>
      </c>
      <c r="V8015" s="5"/>
      <c r="Y8015" s="5" t="str">
        <f>IFERROR(__xludf.DUMMYFUNCTION("REGEXEXTRACT(J8015, ""^\d+"")"),"96")</f>
        <v>96</v>
      </c>
      <c r="Z8015" s="5" t="str">
        <f>IFERROR(__xludf.DUMMYFUNCTION("REGEXEXTRACT(J8015, ""[A-Za-z ]+$"")")," min")</f>
        <v> min</v>
      </c>
      <c r="AA8015" s="5" t="str">
        <f>IFERROR(__xludf.DUMMYFUNCTION("IF(REGEXMATCH(Z8015, ""Season""), ""TV Show"", ""Movie"")"),"Movie")</f>
        <v>Movie</v>
      </c>
    </row>
    <row r="8016">
      <c r="A8016" s="1" t="s">
        <v>38628</v>
      </c>
      <c r="B8016" s="1" t="s">
        <v>27</v>
      </c>
      <c r="C8016" s="1" t="s">
        <v>38629</v>
      </c>
      <c r="D8016" s="1" t="s">
        <v>7421</v>
      </c>
      <c r="E8016" s="1" t="s">
        <v>38630</v>
      </c>
      <c r="F8016" s="1" t="s">
        <v>38631</v>
      </c>
      <c r="G8016" s="1" t="s">
        <v>20055</v>
      </c>
      <c r="H8016" s="1">
        <v>2017.0</v>
      </c>
      <c r="I8016" s="1" t="s">
        <v>42</v>
      </c>
      <c r="J8016" s="1" t="s">
        <v>804</v>
      </c>
      <c r="K8016" s="1" t="s">
        <v>298</v>
      </c>
      <c r="L8016" s="1" t="s">
        <v>38632</v>
      </c>
      <c r="M8016" s="2" t="s">
        <v>12</v>
      </c>
      <c r="N8016" s="4">
        <f t="shared" si="1"/>
        <v>43652</v>
      </c>
      <c r="O8016" s="5" t="str">
        <f>IFERROR(__xludf.DUMMYFUNCTION("IF(REGEXMATCH(TRIM(I8016), ""^\d+\s*min""), ""Unclassified"", IF(I8016 = """", ""NR"", I8016))"),"TV-MA")</f>
        <v>TV-MA</v>
      </c>
      <c r="R8016" s="5" t="str">
        <f t="shared" si="2"/>
        <v>Sicilian Ghost Story</v>
      </c>
      <c r="S8016" s="5" t="str">
        <f>IFERROR(__xludf.DUMMYFUNCTION("""COMPUTED_VALUE"""),"Time Please")</f>
        <v>Time Please</v>
      </c>
      <c r="V8016" s="5"/>
      <c r="Y8016" s="5" t="str">
        <f>IFERROR(__xludf.DUMMYFUNCTION("REGEXEXTRACT(J8016, ""^\d+"")"),"119")</f>
        <v>119</v>
      </c>
      <c r="Z8016" s="5" t="str">
        <f>IFERROR(__xludf.DUMMYFUNCTION("REGEXEXTRACT(J8016, ""[A-Za-z ]+$"")")," min")</f>
        <v> min</v>
      </c>
      <c r="AA8016" s="5" t="str">
        <f>IFERROR(__xludf.DUMMYFUNCTION("IF(REGEXMATCH(Z8016, ""Season""), ""TV Show"", ""Movie"")"),"Movie")</f>
        <v>Movie</v>
      </c>
    </row>
    <row r="8017">
      <c r="A8017" s="1" t="s">
        <v>38633</v>
      </c>
      <c r="B8017" s="1" t="s">
        <v>37</v>
      </c>
      <c r="C8017" s="1" t="s">
        <v>38634</v>
      </c>
      <c r="E8017" s="1" t="s">
        <v>38635</v>
      </c>
      <c r="F8017" s="1" t="s">
        <v>30</v>
      </c>
      <c r="G8017" s="1" t="s">
        <v>15397</v>
      </c>
      <c r="H8017" s="1">
        <v>2008.0</v>
      </c>
      <c r="I8017" s="1" t="s">
        <v>206</v>
      </c>
      <c r="J8017" s="1" t="s">
        <v>51</v>
      </c>
      <c r="K8017" s="1" t="s">
        <v>290</v>
      </c>
      <c r="L8017" s="1" t="s">
        <v>38636</v>
      </c>
      <c r="M8017" s="2" t="s">
        <v>12</v>
      </c>
      <c r="N8017" s="4">
        <f t="shared" si="1"/>
        <v>43921</v>
      </c>
      <c r="O8017" s="5" t="str">
        <f>IFERROR(__xludf.DUMMYFUNCTION("IF(REGEXMATCH(TRIM(I8017), ""^\d+\s*min""), ""Unclassified"", IF(I8017 = """", ""NR"", I8017))"),"TV-Y")</f>
        <v>TV-Y</v>
      </c>
      <c r="R8017" s="5" t="str">
        <f t="shared" si="2"/>
        <v>Sid The Science Kid</v>
      </c>
      <c r="S8017" s="5" t="str">
        <f>IFERROR(__xludf.DUMMYFUNCTION("""COMPUTED_VALUE"""),"Time Share")</f>
        <v>Time Share</v>
      </c>
      <c r="V8017" s="5"/>
      <c r="Y8017" s="5" t="str">
        <f>IFERROR(__xludf.DUMMYFUNCTION("REGEXEXTRACT(J8017, ""^\d+"")"),"1")</f>
        <v>1</v>
      </c>
      <c r="Z8017" s="5" t="str">
        <f>IFERROR(__xludf.DUMMYFUNCTION("REGEXEXTRACT(J8017, ""[A-Za-z ]+$"")")," Season")</f>
        <v> Season</v>
      </c>
      <c r="AA8017" s="5" t="str">
        <f>IFERROR(__xludf.DUMMYFUNCTION("IF(REGEXMATCH(Z8017, ""Season""), ""TV Show"", ""Movie"")"),"TV Show")</f>
        <v>TV Show</v>
      </c>
    </row>
    <row r="8018">
      <c r="A8018" s="1" t="s">
        <v>38637</v>
      </c>
      <c r="B8018" s="1" t="s">
        <v>27</v>
      </c>
      <c r="C8018" s="1" t="s">
        <v>38638</v>
      </c>
      <c r="D8018" s="1" t="s">
        <v>23427</v>
      </c>
      <c r="E8018" s="1" t="s">
        <v>38639</v>
      </c>
      <c r="F8018" s="1" t="s">
        <v>63</v>
      </c>
      <c r="G8018" s="1" t="s">
        <v>23794</v>
      </c>
      <c r="H8018" s="1">
        <v>2014.0</v>
      </c>
      <c r="I8018" s="1" t="s">
        <v>506</v>
      </c>
      <c r="J8018" s="1" t="s">
        <v>305</v>
      </c>
      <c r="K8018" s="1" t="s">
        <v>89</v>
      </c>
      <c r="L8018" s="1" t="s">
        <v>38640</v>
      </c>
      <c r="M8018" s="2" t="s">
        <v>12</v>
      </c>
      <c r="N8018" s="4">
        <f t="shared" si="1"/>
        <v>43403</v>
      </c>
      <c r="O8018" s="5" t="str">
        <f>IFERROR(__xludf.DUMMYFUNCTION("IF(REGEXMATCH(TRIM(I8018), ""^\d+\s*min""), ""Unclassified"", IF(I8018 = """", ""NR"", I8018))"),"TV-G")</f>
        <v>TV-G</v>
      </c>
      <c r="R8018" s="5" t="str">
        <f t="shared" si="2"/>
        <v>Siddhant</v>
      </c>
      <c r="S8018" s="5" t="str">
        <f>IFERROR(__xludf.DUMMYFUNCTION("""COMPUTED_VALUE"""),"Time To Dance")</f>
        <v>Time To Dance</v>
      </c>
      <c r="V8018" s="5"/>
      <c r="Y8018" s="5" t="str">
        <f>IFERROR(__xludf.DUMMYFUNCTION("REGEXEXTRACT(J8018, ""^\d+"")"),"105")</f>
        <v>105</v>
      </c>
      <c r="Z8018" s="5" t="str">
        <f>IFERROR(__xludf.DUMMYFUNCTION("REGEXEXTRACT(J8018, ""[A-Za-z ]+$"")")," min")</f>
        <v> min</v>
      </c>
      <c r="AA8018" s="5" t="str">
        <f>IFERROR(__xludf.DUMMYFUNCTION("IF(REGEXMATCH(Z8018, ""Season""), ""TV Show"", ""Movie"")"),"Movie")</f>
        <v>Movie</v>
      </c>
    </row>
    <row r="8019">
      <c r="A8019" s="1" t="s">
        <v>38641</v>
      </c>
      <c r="B8019" s="1" t="s">
        <v>27</v>
      </c>
      <c r="C8019" s="1" t="s">
        <v>38642</v>
      </c>
      <c r="D8019" s="1" t="s">
        <v>22566</v>
      </c>
      <c r="E8019" s="1" t="s">
        <v>38643</v>
      </c>
      <c r="F8019" s="1" t="s">
        <v>30</v>
      </c>
      <c r="G8019" s="1" t="s">
        <v>23118</v>
      </c>
      <c r="H8019" s="1">
        <v>2018.0</v>
      </c>
      <c r="I8019" s="1" t="s">
        <v>42</v>
      </c>
      <c r="J8019" s="1" t="s">
        <v>428</v>
      </c>
      <c r="K8019" s="1" t="s">
        <v>16817</v>
      </c>
      <c r="L8019" s="1" t="s">
        <v>38644</v>
      </c>
      <c r="M8019" s="2" t="s">
        <v>12</v>
      </c>
      <c r="N8019" s="4">
        <f t="shared" si="1"/>
        <v>43437</v>
      </c>
      <c r="O8019" s="5" t="str">
        <f>IFERROR(__xludf.DUMMYFUNCTION("IF(REGEXMATCH(TRIM(I8019), ""^\d+\s*min""), ""Unclassified"", IF(I8019 = """", ""NR"", I8019))"),"TV-MA")</f>
        <v>TV-MA</v>
      </c>
      <c r="R8019" s="5" t="str">
        <f t="shared" si="2"/>
        <v>Silencer</v>
      </c>
      <c r="S8019" s="5" t="str">
        <f>IFERROR(__xludf.DUMMYFUNCTION("""COMPUTED_VALUE"""),"Time To Hunt")</f>
        <v>Time To Hunt</v>
      </c>
      <c r="V8019" s="5"/>
      <c r="Y8019" s="5" t="str">
        <f>IFERROR(__xludf.DUMMYFUNCTION("REGEXEXTRACT(J8019, ""^\d+"")"),"88")</f>
        <v>88</v>
      </c>
      <c r="Z8019" s="5" t="str">
        <f>IFERROR(__xludf.DUMMYFUNCTION("REGEXEXTRACT(J8019, ""[A-Za-z ]+$"")")," min")</f>
        <v> min</v>
      </c>
      <c r="AA8019" s="5" t="str">
        <f>IFERROR(__xludf.DUMMYFUNCTION("IF(REGEXMATCH(Z8019, ""Season""), ""TV Show"", ""Movie"")"),"Movie")</f>
        <v>Movie</v>
      </c>
    </row>
    <row r="8020">
      <c r="A8020" s="1" t="s">
        <v>38645</v>
      </c>
      <c r="B8020" s="1" t="s">
        <v>27</v>
      </c>
      <c r="C8020" s="1" t="s">
        <v>38646</v>
      </c>
      <c r="D8020" s="1" t="s">
        <v>14187</v>
      </c>
      <c r="E8020" s="1" t="s">
        <v>38647</v>
      </c>
      <c r="F8020" s="1" t="s">
        <v>38648</v>
      </c>
      <c r="G8020" s="1" t="s">
        <v>17451</v>
      </c>
      <c r="H8020" s="1">
        <v>2012.0</v>
      </c>
      <c r="I8020" s="1" t="s">
        <v>378</v>
      </c>
      <c r="J8020" s="1" t="s">
        <v>170</v>
      </c>
      <c r="K8020" s="1" t="s">
        <v>1551</v>
      </c>
      <c r="L8020" s="1" t="s">
        <v>38649</v>
      </c>
      <c r="M8020" s="2" t="s">
        <v>12</v>
      </c>
      <c r="N8020" s="4">
        <f t="shared" si="1"/>
        <v>43812</v>
      </c>
      <c r="O8020" s="5" t="str">
        <f>IFERROR(__xludf.DUMMYFUNCTION("IF(REGEXMATCH(TRIM(I8020), ""^\d+\s*min""), ""Unclassified"", IF(I8020 = """", ""NR"", I8020))"),"R")</f>
        <v>R</v>
      </c>
      <c r="R8020" s="5" t="str">
        <f t="shared" si="2"/>
        <v>Silent Hill: Revelation</v>
      </c>
      <c r="S8020" s="5" t="str">
        <f>IFERROR(__xludf.DUMMYFUNCTION("""COMPUTED_VALUE"""),"Time Trap")</f>
        <v>Time Trap</v>
      </c>
      <c r="V8020" s="5"/>
      <c r="Y8020" s="5" t="str">
        <f>IFERROR(__xludf.DUMMYFUNCTION("REGEXEXTRACT(J8020, ""^\d+"")"),"94")</f>
        <v>94</v>
      </c>
      <c r="Z8020" s="5" t="str">
        <f>IFERROR(__xludf.DUMMYFUNCTION("REGEXEXTRACT(J8020, ""[A-Za-z ]+$"")")," min")</f>
        <v> min</v>
      </c>
      <c r="AA8020" s="5" t="str">
        <f>IFERROR(__xludf.DUMMYFUNCTION("IF(REGEXMATCH(Z8020, ""Season""), ""TV Show"", ""Movie"")"),"Movie")</f>
        <v>Movie</v>
      </c>
    </row>
    <row r="8021">
      <c r="A8021" s="1" t="s">
        <v>38650</v>
      </c>
      <c r="B8021" s="1" t="s">
        <v>27</v>
      </c>
      <c r="C8021" s="1" t="s">
        <v>38651</v>
      </c>
      <c r="D8021" s="1" t="s">
        <v>10243</v>
      </c>
      <c r="F8021" s="1" t="s">
        <v>30</v>
      </c>
      <c r="G8021" s="1" t="s">
        <v>28377</v>
      </c>
      <c r="H8021" s="1">
        <v>2016.0</v>
      </c>
      <c r="I8021" s="1" t="s">
        <v>136</v>
      </c>
      <c r="J8021" s="1" t="s">
        <v>4558</v>
      </c>
      <c r="K8021" s="1" t="s">
        <v>34</v>
      </c>
      <c r="L8021" s="1" t="s">
        <v>38652</v>
      </c>
      <c r="M8021" s="2" t="s">
        <v>12</v>
      </c>
      <c r="N8021" s="4">
        <f t="shared" si="1"/>
        <v>42826</v>
      </c>
      <c r="O8021" s="5" t="str">
        <f>IFERROR(__xludf.DUMMYFUNCTION("IF(REGEXMATCH(TRIM(I8021), ""^\d+\s*min""), ""Unclassified"", IF(I8021 = """", ""NR"", I8021))"),"TV-PG")</f>
        <v>TV-PG</v>
      </c>
      <c r="R8021" s="5" t="str">
        <f t="shared" si="2"/>
        <v>Silicon Cowboys</v>
      </c>
      <c r="S8021" s="5" t="str">
        <f>IFERROR(__xludf.DUMMYFUNCTION("""COMPUTED_VALUE"""),"Time: The Kalief Browder Story")</f>
        <v>Time: The Kalief Browder Story</v>
      </c>
      <c r="V8021" s="5"/>
      <c r="Y8021" s="5" t="str">
        <f>IFERROR(__xludf.DUMMYFUNCTION("REGEXEXTRACT(J8021, ""^\d+"")"),"77")</f>
        <v>77</v>
      </c>
      <c r="Z8021" s="5" t="str">
        <f>IFERROR(__xludf.DUMMYFUNCTION("REGEXEXTRACT(J8021, ""[A-Za-z ]+$"")")," min")</f>
        <v> min</v>
      </c>
      <c r="AA8021" s="5" t="str">
        <f>IFERROR(__xludf.DUMMYFUNCTION("IF(REGEXMATCH(Z8021, ""Season""), ""TV Show"", ""Movie"")"),"Movie")</f>
        <v>Movie</v>
      </c>
    </row>
    <row r="8022">
      <c r="A8022" s="1" t="s">
        <v>38653</v>
      </c>
      <c r="B8022" s="1" t="s">
        <v>37</v>
      </c>
      <c r="C8022" s="1" t="s">
        <v>38654</v>
      </c>
      <c r="E8022" s="1" t="s">
        <v>38655</v>
      </c>
      <c r="F8022" s="1" t="s">
        <v>1078</v>
      </c>
      <c r="G8022" s="1" t="s">
        <v>27248</v>
      </c>
      <c r="H8022" s="1">
        <v>2015.0</v>
      </c>
      <c r="I8022" s="1" t="s">
        <v>42</v>
      </c>
      <c r="J8022" s="1" t="s">
        <v>43</v>
      </c>
      <c r="K8022" s="1" t="s">
        <v>52</v>
      </c>
      <c r="L8022" s="1" t="s">
        <v>38656</v>
      </c>
      <c r="M8022" s="2" t="s">
        <v>12</v>
      </c>
      <c r="N8022" s="4">
        <f t="shared" si="1"/>
        <v>42993</v>
      </c>
      <c r="O8022" s="5" t="str">
        <f>IFERROR(__xludf.DUMMYFUNCTION("IF(REGEXMATCH(TRIM(I8022), ""^\d+\s*min""), ""Unclassified"", IF(I8022 = """", ""NR"", I8022))"),"TV-MA")</f>
        <v>TV-MA</v>
      </c>
      <c r="R8022" s="5" t="str">
        <f t="shared" si="2"/>
        <v>Silver Spoon</v>
      </c>
      <c r="S8022" s="5" t="str">
        <f>IFERROR(__xludf.DUMMYFUNCTION("""COMPUTED_VALUE"""),"Timeless Season")</f>
        <v>Timeless Season</v>
      </c>
      <c r="V8022" s="5"/>
      <c r="Y8022" s="5" t="str">
        <f>IFERROR(__xludf.DUMMYFUNCTION("REGEXEXTRACT(J8022, ""^\d+"")"),"2")</f>
        <v>2</v>
      </c>
      <c r="Z8022" s="5" t="str">
        <f>IFERROR(__xludf.DUMMYFUNCTION("REGEXEXTRACT(J8022, ""[A-Za-z ]+$"")")," Seasons")</f>
        <v> Seasons</v>
      </c>
      <c r="AA8022" s="5" t="str">
        <f>IFERROR(__xludf.DUMMYFUNCTION("IF(REGEXMATCH(Z8022, ""Season""), ""TV Show"", ""Movie"")"),"TV Show")</f>
        <v>TV Show</v>
      </c>
    </row>
    <row r="8023">
      <c r="A8023" s="1" t="s">
        <v>38657</v>
      </c>
      <c r="B8023" s="1" t="s">
        <v>37</v>
      </c>
      <c r="C8023" s="1" t="s">
        <v>38658</v>
      </c>
      <c r="E8023" s="1" t="s">
        <v>38659</v>
      </c>
      <c r="F8023" s="1" t="s">
        <v>35562</v>
      </c>
      <c r="G8023" s="7">
        <v>42870.0</v>
      </c>
      <c r="H8023" s="1">
        <v>2008.0</v>
      </c>
      <c r="I8023" s="1" t="s">
        <v>97</v>
      </c>
      <c r="J8023" s="1" t="s">
        <v>51</v>
      </c>
      <c r="K8023" s="1" t="s">
        <v>1339</v>
      </c>
      <c r="L8023" s="1" t="s">
        <v>38660</v>
      </c>
      <c r="M8023" s="2" t="s">
        <v>12</v>
      </c>
      <c r="N8023" s="4">
        <f t="shared" si="1"/>
        <v>42870</v>
      </c>
      <c r="O8023" s="5" t="str">
        <f>IFERROR(__xludf.DUMMYFUNCTION("IF(REGEXMATCH(TRIM(I8023), ""^\d+\s*min""), ""Unclassified"", IF(I8023 = """", ""NR"", I8023))"),"TV-14")</f>
        <v>TV-14</v>
      </c>
      <c r="R8023" s="5" t="str">
        <f t="shared" si="2"/>
        <v>Sin Senos No Hay Paraíso</v>
      </c>
      <c r="S8023" s="5" t="str">
        <f>IFERROR(__xludf.DUMMYFUNCTION("""COMPUTED_VALUE"""),"Timeline")</f>
        <v>Timeline</v>
      </c>
      <c r="V8023" s="5"/>
      <c r="Y8023" s="5" t="str">
        <f>IFERROR(__xludf.DUMMYFUNCTION("REGEXEXTRACT(J8023, ""^\d+"")"),"1")</f>
        <v>1</v>
      </c>
      <c r="Z8023" s="5" t="str">
        <f>IFERROR(__xludf.DUMMYFUNCTION("REGEXEXTRACT(J8023, ""[A-Za-z ]+$"")")," Season")</f>
        <v> Season</v>
      </c>
      <c r="AA8023" s="5" t="str">
        <f>IFERROR(__xludf.DUMMYFUNCTION("IF(REGEXMATCH(Z8023, ""Season""), ""TV Show"", ""Movie"")"),"TV Show")</f>
        <v>TV Show</v>
      </c>
    </row>
    <row r="8024">
      <c r="A8024" s="1" t="s">
        <v>38661</v>
      </c>
      <c r="B8024" s="1" t="s">
        <v>37</v>
      </c>
      <c r="C8024" s="1" t="s">
        <v>38662</v>
      </c>
      <c r="E8024" s="1" t="s">
        <v>38663</v>
      </c>
      <c r="F8024" s="1" t="s">
        <v>7497</v>
      </c>
      <c r="G8024" s="1" t="s">
        <v>38664</v>
      </c>
      <c r="H8024" s="1">
        <v>2018.0</v>
      </c>
      <c r="I8024" s="1" t="s">
        <v>42</v>
      </c>
      <c r="J8024" s="1" t="s">
        <v>276</v>
      </c>
      <c r="K8024" s="1" t="s">
        <v>1339</v>
      </c>
      <c r="L8024" s="1" t="s">
        <v>7510</v>
      </c>
      <c r="M8024" s="2" t="s">
        <v>12</v>
      </c>
      <c r="N8024" s="1" t="str">
        <f t="shared" si="1"/>
        <v>#N/A</v>
      </c>
      <c r="O8024" s="5" t="str">
        <f>IFERROR(__xludf.DUMMYFUNCTION("IF(REGEXMATCH(TRIM(I8024), ""^\d+\s*min""), ""Unclassified"", IF(I8024 = """", ""NR"", I8024))"),"TV-MA")</f>
        <v>TV-MA</v>
      </c>
      <c r="R8024" s="5" t="str">
        <f t="shared" si="2"/>
        <v>Sin Senos Sí Hay Paraíso</v>
      </c>
      <c r="S8024" s="5" t="str">
        <f>IFERROR(__xludf.DUMMYFUNCTION("""COMPUTED_VALUE"""),"Timmy Time")</f>
        <v>Timmy Time</v>
      </c>
      <c r="V8024" s="5"/>
      <c r="Y8024" s="5" t="str">
        <f>IFERROR(__xludf.DUMMYFUNCTION("REGEXEXTRACT(J8024, ""^\d+"")"),"3")</f>
        <v>3</v>
      </c>
      <c r="Z8024" s="5" t="str">
        <f>IFERROR(__xludf.DUMMYFUNCTION("REGEXEXTRACT(J8024, ""[A-Za-z ]+$"")")," Seasons")</f>
        <v> Seasons</v>
      </c>
      <c r="AA8024" s="5" t="str">
        <f>IFERROR(__xludf.DUMMYFUNCTION("IF(REGEXMATCH(Z8024, ""Season""), ""TV Show"", ""Movie"")"),"TV Show")</f>
        <v>TV Show</v>
      </c>
    </row>
    <row r="8025">
      <c r="A8025" s="1" t="s">
        <v>38665</v>
      </c>
      <c r="B8025" s="1" t="s">
        <v>27</v>
      </c>
      <c r="C8025" s="1" t="s">
        <v>38666</v>
      </c>
      <c r="D8025" s="1" t="s">
        <v>2105</v>
      </c>
      <c r="E8025" s="1" t="s">
        <v>38667</v>
      </c>
      <c r="F8025" s="1" t="s">
        <v>63</v>
      </c>
      <c r="G8025" s="1" t="s">
        <v>27682</v>
      </c>
      <c r="H8025" s="1">
        <v>2013.0</v>
      </c>
      <c r="I8025" s="1" t="s">
        <v>97</v>
      </c>
      <c r="J8025" s="1" t="s">
        <v>820</v>
      </c>
      <c r="K8025" s="1" t="s">
        <v>306</v>
      </c>
      <c r="L8025" s="1" t="s">
        <v>38668</v>
      </c>
      <c r="M8025" s="2" t="s">
        <v>12</v>
      </c>
      <c r="N8025" s="4">
        <f t="shared" si="1"/>
        <v>42931</v>
      </c>
      <c r="O8025" s="5" t="str">
        <f>IFERROR(__xludf.DUMMYFUNCTION("IF(REGEXMATCH(TRIM(I8025), ""^\d+\s*min""), ""Unclassified"", IF(I8025 = """", ""NR"", I8025))"),"TV-14")</f>
        <v>TV-14</v>
      </c>
      <c r="R8025" s="5" t="str">
        <f t="shared" si="2"/>
        <v>Singh Saab The Great</v>
      </c>
      <c r="S8025" s="5" t="str">
        <f>IFERROR(__xludf.DUMMYFUNCTION("""COMPUTED_VALUE"""),"Tini: The New Life Of Violetta")</f>
        <v>Tini: The New Life Of Violetta</v>
      </c>
      <c r="V8025" s="5"/>
      <c r="Y8025" s="5" t="str">
        <f>IFERROR(__xludf.DUMMYFUNCTION("REGEXEXTRACT(J8025, ""^\d+"")"),"143")</f>
        <v>143</v>
      </c>
      <c r="Z8025" s="5" t="str">
        <f>IFERROR(__xludf.DUMMYFUNCTION("REGEXEXTRACT(J8025, ""[A-Za-z ]+$"")")," min")</f>
        <v> min</v>
      </c>
      <c r="AA8025" s="5" t="str">
        <f>IFERROR(__xludf.DUMMYFUNCTION("IF(REGEXMATCH(Z8025, ""Season""), ""TV Show"", ""Movie"")"),"Movie")</f>
        <v>Movie</v>
      </c>
    </row>
    <row r="8026">
      <c r="A8026" s="1" t="s">
        <v>38669</v>
      </c>
      <c r="B8026" s="1" t="s">
        <v>27</v>
      </c>
      <c r="C8026" s="1" t="s">
        <v>38670</v>
      </c>
      <c r="D8026" s="1" t="s">
        <v>18555</v>
      </c>
      <c r="E8026" s="1" t="s">
        <v>38671</v>
      </c>
      <c r="F8026" s="1" t="s">
        <v>2873</v>
      </c>
      <c r="G8026" s="1" t="s">
        <v>24452</v>
      </c>
      <c r="H8026" s="1">
        <v>2015.0</v>
      </c>
      <c r="I8026" s="1" t="s">
        <v>136</v>
      </c>
      <c r="J8026" s="1" t="s">
        <v>127</v>
      </c>
      <c r="K8026" s="1" t="s">
        <v>215</v>
      </c>
      <c r="L8026" s="1" t="s">
        <v>38672</v>
      </c>
      <c r="M8026" s="2" t="s">
        <v>12</v>
      </c>
      <c r="N8026" s="4">
        <f t="shared" si="1"/>
        <v>43371</v>
      </c>
      <c r="O8026" s="5" t="str">
        <f>IFERROR(__xludf.DUMMYFUNCTION("IF(REGEXMATCH(TRIM(I8026), ""^\d+\s*min""), ""Unclassified"", IF(I8026 = """", ""NR"", I8026))"),"TV-PG")</f>
        <v>TV-PG</v>
      </c>
      <c r="R8026" s="5" t="str">
        <f t="shared" si="2"/>
        <v>Single</v>
      </c>
      <c r="S8026" s="5" t="str">
        <f>IFERROR(__xludf.DUMMYFUNCTION("""COMPUTED_VALUE"""),"Tinker Bell And The Legend Of The Neverbeast")</f>
        <v>Tinker Bell And The Legend Of The Neverbeast</v>
      </c>
      <c r="V8026" s="5"/>
      <c r="Y8026" s="5" t="str">
        <f>IFERROR(__xludf.DUMMYFUNCTION("REGEXEXTRACT(J8026, ""^\d+"")"),"127")</f>
        <v>127</v>
      </c>
      <c r="Z8026" s="5" t="str">
        <f>IFERROR(__xludf.DUMMYFUNCTION("REGEXEXTRACT(J8026, ""[A-Za-z ]+$"")")," min")</f>
        <v> min</v>
      </c>
      <c r="AA8026" s="5" t="str">
        <f>IFERROR(__xludf.DUMMYFUNCTION("IF(REGEXMATCH(Z8026, ""Season""), ""TV Show"", ""Movie"")"),"Movie")</f>
        <v>Movie</v>
      </c>
    </row>
    <row r="8027">
      <c r="A8027" s="1" t="s">
        <v>38673</v>
      </c>
      <c r="B8027" s="1" t="s">
        <v>27</v>
      </c>
      <c r="C8027" s="1" t="s">
        <v>38674</v>
      </c>
      <c r="D8027" s="1" t="s">
        <v>19450</v>
      </c>
      <c r="E8027" s="1" t="s">
        <v>38675</v>
      </c>
      <c r="F8027" s="1" t="s">
        <v>38676</v>
      </c>
      <c r="G8027" s="1" t="s">
        <v>25390</v>
      </c>
      <c r="H8027" s="1">
        <v>2017.0</v>
      </c>
      <c r="I8027" s="1" t="s">
        <v>32</v>
      </c>
      <c r="J8027" s="1" t="s">
        <v>665</v>
      </c>
      <c r="K8027" s="1" t="s">
        <v>2282</v>
      </c>
      <c r="L8027" s="1" t="s">
        <v>38677</v>
      </c>
      <c r="M8027" s="2" t="s">
        <v>12</v>
      </c>
      <c r="N8027" s="4">
        <f t="shared" si="1"/>
        <v>43252</v>
      </c>
      <c r="O8027" s="5" t="str">
        <f>IFERROR(__xludf.DUMMYFUNCTION("IF(REGEXMATCH(TRIM(I8027), ""^\d+\s*min""), ""Unclassified"", IF(I8027 = """", ""NR"", I8027))"),"PG-13")</f>
        <v>PG-13</v>
      </c>
      <c r="R8027" s="5" t="str">
        <f t="shared" si="2"/>
        <v>Singularity</v>
      </c>
      <c r="S8027" s="5" t="str">
        <f>IFERROR(__xludf.DUMMYFUNCTION("""COMPUTED_VALUE"""),"Tinker'")</f>
        <v>Tinker'</v>
      </c>
      <c r="V8027" s="5"/>
      <c r="Y8027" s="5" t="str">
        <f>IFERROR(__xludf.DUMMYFUNCTION("REGEXEXTRACT(J8027, ""^\d+"")"),"92")</f>
        <v>92</v>
      </c>
      <c r="Z8027" s="5" t="str">
        <f>IFERROR(__xludf.DUMMYFUNCTION("REGEXEXTRACT(J8027, ""[A-Za-z ]+$"")")," min")</f>
        <v> min</v>
      </c>
      <c r="AA8027" s="5" t="str">
        <f>IFERROR(__xludf.DUMMYFUNCTION("IF(REGEXMATCH(Z8027, ""Season""), ""TV Show"", ""Movie"")"),"Movie")</f>
        <v>Movie</v>
      </c>
    </row>
    <row r="8028">
      <c r="A8028" s="1" t="s">
        <v>38678</v>
      </c>
      <c r="B8028" s="1" t="s">
        <v>27</v>
      </c>
      <c r="C8028" s="1" t="s">
        <v>38679</v>
      </c>
      <c r="D8028" s="1" t="s">
        <v>6641</v>
      </c>
      <c r="E8028" s="1" t="s">
        <v>38680</v>
      </c>
      <c r="F8028" s="1" t="s">
        <v>23874</v>
      </c>
      <c r="G8028" s="1" t="s">
        <v>18985</v>
      </c>
      <c r="H8028" s="1">
        <v>2017.0</v>
      </c>
      <c r="I8028" s="1" t="s">
        <v>42</v>
      </c>
      <c r="J8028" s="1" t="s">
        <v>630</v>
      </c>
      <c r="K8028" s="1" t="s">
        <v>1441</v>
      </c>
      <c r="L8028" s="1" t="s">
        <v>38681</v>
      </c>
      <c r="M8028" s="2" t="s">
        <v>12</v>
      </c>
      <c r="N8028" s="4">
        <f t="shared" si="1"/>
        <v>43739</v>
      </c>
      <c r="O8028" s="5" t="str">
        <f>IFERROR(__xludf.DUMMYFUNCTION("IF(REGEXMATCH(TRIM(I8028), ""^\d+\s*min""), ""Unclassified"", IF(I8028 = """", ""NR"", I8028))"),"TV-MA")</f>
        <v>TV-MA</v>
      </c>
      <c r="R8028" s="5" t="str">
        <f t="shared" si="2"/>
        <v>Sinister Circle</v>
      </c>
      <c r="S8028" s="5" t="str">
        <f>IFERROR(__xludf.DUMMYFUNCTION("""COMPUTED_VALUE"""),"Tiny Creatures")</f>
        <v>Tiny Creatures</v>
      </c>
      <c r="V8028" s="5"/>
      <c r="Y8028" s="5" t="str">
        <f>IFERROR(__xludf.DUMMYFUNCTION("REGEXEXTRACT(J8028, ""^\d+"")"),"87")</f>
        <v>87</v>
      </c>
      <c r="Z8028" s="5" t="str">
        <f>IFERROR(__xludf.DUMMYFUNCTION("REGEXEXTRACT(J8028, ""[A-Za-z ]+$"")")," min")</f>
        <v> min</v>
      </c>
      <c r="AA8028" s="5" t="str">
        <f>IFERROR(__xludf.DUMMYFUNCTION("IF(REGEXMATCH(Z8028, ""Season""), ""TV Show"", ""Movie"")"),"Movie")</f>
        <v>Movie</v>
      </c>
    </row>
    <row r="8029">
      <c r="A8029" s="1" t="s">
        <v>38682</v>
      </c>
      <c r="B8029" s="1" t="s">
        <v>27</v>
      </c>
      <c r="C8029" s="1" t="s">
        <v>38683</v>
      </c>
      <c r="D8029" s="1" t="s">
        <v>8709</v>
      </c>
      <c r="E8029" s="1" t="s">
        <v>38684</v>
      </c>
      <c r="F8029" s="1" t="s">
        <v>30</v>
      </c>
      <c r="G8029" s="1" t="s">
        <v>16947</v>
      </c>
      <c r="H8029" s="1">
        <v>2016.0</v>
      </c>
      <c r="I8029" s="1" t="s">
        <v>42</v>
      </c>
      <c r="J8029" s="1" t="s">
        <v>490</v>
      </c>
      <c r="K8029" s="1" t="s">
        <v>1551</v>
      </c>
      <c r="L8029" s="1" t="s">
        <v>38685</v>
      </c>
      <c r="M8029" s="2" t="s">
        <v>12</v>
      </c>
      <c r="N8029" s="4">
        <f t="shared" si="1"/>
        <v>43831</v>
      </c>
      <c r="O8029" s="5" t="str">
        <f>IFERROR(__xludf.DUMMYFUNCTION("IF(REGEXMATCH(TRIM(I8029), ""^\d+\s*min""), ""Unclassified"", IF(I8029 = """", ""NR"", I8029))"),"TV-MA")</f>
        <v>TV-MA</v>
      </c>
      <c r="R8029" s="5" t="str">
        <f t="shared" si="2"/>
        <v>Siren</v>
      </c>
      <c r="S8029" s="5" t="str">
        <f>IFERROR(__xludf.DUMMYFUNCTION("""COMPUTED_VALUE"""),"Tiny House Nation")</f>
        <v>Tiny House Nation</v>
      </c>
      <c r="V8029" s="5"/>
      <c r="Y8029" s="5" t="str">
        <f>IFERROR(__xludf.DUMMYFUNCTION("REGEXEXTRACT(J8029, ""^\d+"")"),"83")</f>
        <v>83</v>
      </c>
      <c r="Z8029" s="5" t="str">
        <f>IFERROR(__xludf.DUMMYFUNCTION("REGEXEXTRACT(J8029, ""[A-Za-z ]+$"")")," min")</f>
        <v> min</v>
      </c>
      <c r="AA8029" s="5" t="str">
        <f>IFERROR(__xludf.DUMMYFUNCTION("IF(REGEXMATCH(Z8029, ""Season""), ""TV Show"", ""Movie"")"),"Movie")</f>
        <v>Movie</v>
      </c>
    </row>
    <row r="8030">
      <c r="A8030" s="1" t="s">
        <v>38686</v>
      </c>
      <c r="B8030" s="1" t="s">
        <v>27</v>
      </c>
      <c r="C8030" s="1" t="s">
        <v>38687</v>
      </c>
      <c r="D8030" s="1" t="s">
        <v>5188</v>
      </c>
      <c r="E8030" s="1" t="s">
        <v>38688</v>
      </c>
      <c r="F8030" s="1" t="s">
        <v>30</v>
      </c>
      <c r="G8030" s="1" t="s">
        <v>38689</v>
      </c>
      <c r="H8030" s="1">
        <v>2015.0</v>
      </c>
      <c r="I8030" s="1" t="s">
        <v>378</v>
      </c>
      <c r="J8030" s="1" t="s">
        <v>465</v>
      </c>
      <c r="K8030" s="1" t="s">
        <v>1099</v>
      </c>
      <c r="L8030" s="1" t="s">
        <v>38690</v>
      </c>
      <c r="M8030" s="2" t="s">
        <v>12</v>
      </c>
      <c r="N8030" s="4">
        <f t="shared" si="1"/>
        <v>42414</v>
      </c>
      <c r="O8030" s="5" t="str">
        <f>IFERROR(__xludf.DUMMYFUNCTION("IF(REGEXMATCH(TRIM(I8030), ""^\d+\s*min""), ""Unclassified"", IF(I8030 = """", ""NR"", I8030))"),"R")</f>
        <v>R</v>
      </c>
      <c r="R8030" s="5" t="str">
        <f t="shared" si="2"/>
        <v>Sister Code</v>
      </c>
      <c r="S8030" s="5" t="str">
        <f>IFERROR(__xludf.DUMMYFUNCTION("""COMPUTED_VALUE"""),"Tiny Pretty Things")</f>
        <v>Tiny Pretty Things</v>
      </c>
      <c r="V8030" s="5"/>
      <c r="Y8030" s="5" t="str">
        <f>IFERROR(__xludf.DUMMYFUNCTION("REGEXEXTRACT(J8030, ""^\d+"")"),"95")</f>
        <v>95</v>
      </c>
      <c r="Z8030" s="5" t="str">
        <f>IFERROR(__xludf.DUMMYFUNCTION("REGEXEXTRACT(J8030, ""[A-Za-z ]+$"")")," min")</f>
        <v> min</v>
      </c>
      <c r="AA8030" s="5" t="str">
        <f>IFERROR(__xludf.DUMMYFUNCTION("IF(REGEXMATCH(Z8030, ""Season""), ""TV Show"", ""Movie"")"),"Movie")</f>
        <v>Movie</v>
      </c>
    </row>
    <row r="8031">
      <c r="A8031" s="1" t="s">
        <v>38691</v>
      </c>
      <c r="B8031" s="1" t="s">
        <v>27</v>
      </c>
      <c r="C8031" s="1" t="s">
        <v>38692</v>
      </c>
      <c r="D8031" s="1" t="s">
        <v>6896</v>
      </c>
      <c r="E8031" s="1" t="s">
        <v>38693</v>
      </c>
      <c r="F8031" s="1" t="s">
        <v>38694</v>
      </c>
      <c r="G8031" s="1" t="s">
        <v>22933</v>
      </c>
      <c r="H8031" s="1">
        <v>2014.0</v>
      </c>
      <c r="I8031" s="1" t="s">
        <v>378</v>
      </c>
      <c r="J8031" s="1" t="s">
        <v>322</v>
      </c>
      <c r="K8031" s="1" t="s">
        <v>380</v>
      </c>
      <c r="L8031" s="1" t="s">
        <v>38695</v>
      </c>
      <c r="M8031" s="2" t="s">
        <v>12</v>
      </c>
      <c r="N8031" s="4">
        <f t="shared" si="1"/>
        <v>43451</v>
      </c>
      <c r="O8031" s="5" t="str">
        <f>IFERROR(__xludf.DUMMYFUNCTION("IF(REGEXMATCH(TRIM(I8031), ""^\d+\s*min""), ""Unclassified"", IF(I8031 = """", ""NR"", I8031))"),"R")</f>
        <v>R</v>
      </c>
      <c r="R8031" s="5" t="str">
        <f t="shared" si="2"/>
        <v>Skin Trade</v>
      </c>
      <c r="S8031" s="5" t="str">
        <f>IFERROR(__xludf.DUMMYFUNCTION("""COMPUTED_VALUE"""),"Tip The Mouse")</f>
        <v>Tip The Mouse</v>
      </c>
      <c r="V8031" s="5"/>
      <c r="Y8031" s="5" t="str">
        <f>IFERROR(__xludf.DUMMYFUNCTION("REGEXEXTRACT(J8031, ""^\d+"")"),"96")</f>
        <v>96</v>
      </c>
      <c r="Z8031" s="5" t="str">
        <f>IFERROR(__xludf.DUMMYFUNCTION("REGEXEXTRACT(J8031, ""[A-Za-z ]+$"")")," min")</f>
        <v> min</v>
      </c>
      <c r="AA8031" s="5" t="str">
        <f>IFERROR(__xludf.DUMMYFUNCTION("IF(REGEXMATCH(Z8031, ""Season""), ""TV Show"", ""Movie"")"),"Movie")</f>
        <v>Movie</v>
      </c>
    </row>
    <row r="8032">
      <c r="A8032" s="1" t="s">
        <v>38696</v>
      </c>
      <c r="B8032" s="1" t="s">
        <v>37</v>
      </c>
      <c r="C8032" s="1" t="s">
        <v>38697</v>
      </c>
      <c r="E8032" s="1" t="s">
        <v>38698</v>
      </c>
      <c r="F8032" s="1" t="s">
        <v>30</v>
      </c>
      <c r="G8032" s="1" t="s">
        <v>29338</v>
      </c>
      <c r="H8032" s="1">
        <v>2016.0</v>
      </c>
      <c r="I8032" s="1" t="s">
        <v>97</v>
      </c>
      <c r="J8032" s="1" t="s">
        <v>276</v>
      </c>
      <c r="K8032" s="1" t="s">
        <v>440</v>
      </c>
      <c r="L8032" s="1" t="s">
        <v>38699</v>
      </c>
      <c r="M8032" s="2" t="s">
        <v>12</v>
      </c>
      <c r="N8032" s="4">
        <f t="shared" si="1"/>
        <v>42644</v>
      </c>
      <c r="O8032" s="5" t="str">
        <f>IFERROR(__xludf.DUMMYFUNCTION("IF(REGEXMATCH(TRIM(I8032), ""^\d+\s*min""), ""Unclassified"", IF(I8032 = """", ""NR"", I8032))"),"TV-14")</f>
        <v>TV-14</v>
      </c>
      <c r="R8032" s="5" t="str">
        <f t="shared" si="2"/>
        <v>Skin Wars</v>
      </c>
      <c r="S8032" s="5" t="str">
        <f>IFERROR(__xludf.DUMMYFUNCTION("""COMPUTED_VALUE"""),"Titipo Titipo")</f>
        <v>Titipo Titipo</v>
      </c>
      <c r="V8032" s="5"/>
      <c r="Y8032" s="5" t="str">
        <f>IFERROR(__xludf.DUMMYFUNCTION("REGEXEXTRACT(J8032, ""^\d+"")"),"3")</f>
        <v>3</v>
      </c>
      <c r="Z8032" s="5" t="str">
        <f>IFERROR(__xludf.DUMMYFUNCTION("REGEXEXTRACT(J8032, ""[A-Za-z ]+$"")")," Seasons")</f>
        <v> Seasons</v>
      </c>
      <c r="AA8032" s="5" t="str">
        <f>IFERROR(__xludf.DUMMYFUNCTION("IF(REGEXMATCH(Z8032, ""Season""), ""TV Show"", ""Movie"")"),"TV Show")</f>
        <v>TV Show</v>
      </c>
    </row>
    <row r="8033">
      <c r="A8033" s="1" t="s">
        <v>38700</v>
      </c>
      <c r="B8033" s="1" t="s">
        <v>37</v>
      </c>
      <c r="C8033" s="1" t="s">
        <v>38701</v>
      </c>
      <c r="E8033" s="1" t="s">
        <v>38702</v>
      </c>
      <c r="F8033" s="1" t="s">
        <v>30</v>
      </c>
      <c r="G8033" s="1" t="s">
        <v>22981</v>
      </c>
      <c r="H8033" s="1">
        <v>2016.0</v>
      </c>
      <c r="I8033" s="1" t="s">
        <v>97</v>
      </c>
      <c r="J8033" s="1" t="s">
        <v>51</v>
      </c>
      <c r="K8033" s="1" t="s">
        <v>440</v>
      </c>
      <c r="L8033" s="1" t="s">
        <v>38703</v>
      </c>
      <c r="M8033" s="2" t="s">
        <v>12</v>
      </c>
      <c r="N8033" s="4">
        <f t="shared" si="1"/>
        <v>43449</v>
      </c>
      <c r="O8033" s="5" t="str">
        <f>IFERROR(__xludf.DUMMYFUNCTION("IF(REGEXMATCH(TRIM(I8033), ""^\d+\s*min""), ""Unclassified"", IF(I8033 = """", ""NR"", I8033))"),"TV-14")</f>
        <v>TV-14</v>
      </c>
      <c r="R8033" s="5" t="str">
        <f t="shared" si="2"/>
        <v>Skin Wars: Fresh Paint</v>
      </c>
      <c r="S8033" s="5" t="str">
        <f>IFERROR(__xludf.DUMMYFUNCTION("""COMPUTED_VALUE"""),"Titletown High")</f>
        <v>Titletown High</v>
      </c>
      <c r="V8033" s="5"/>
      <c r="Y8033" s="5" t="str">
        <f>IFERROR(__xludf.DUMMYFUNCTION("REGEXEXTRACT(J8033, ""^\d+"")"),"1")</f>
        <v>1</v>
      </c>
      <c r="Z8033" s="5" t="str">
        <f>IFERROR(__xludf.DUMMYFUNCTION("REGEXEXTRACT(J8033, ""[A-Za-z ]+$"")")," Season")</f>
        <v> Season</v>
      </c>
      <c r="AA8033" s="5" t="str">
        <f>IFERROR(__xludf.DUMMYFUNCTION("IF(REGEXMATCH(Z8033, ""Season""), ""TV Show"", ""Movie"")"),"TV Show")</f>
        <v>TV Show</v>
      </c>
    </row>
    <row r="8034">
      <c r="A8034" s="1" t="s">
        <v>38704</v>
      </c>
      <c r="B8034" s="1" t="s">
        <v>27</v>
      </c>
      <c r="C8034" s="1" t="s">
        <v>38705</v>
      </c>
      <c r="D8034" s="1" t="s">
        <v>955</v>
      </c>
      <c r="E8034" s="1" t="s">
        <v>38706</v>
      </c>
      <c r="F8034" s="1" t="s">
        <v>38707</v>
      </c>
      <c r="G8034" s="1" t="s">
        <v>20067</v>
      </c>
      <c r="H8034" s="1">
        <v>2016.0</v>
      </c>
      <c r="I8034" s="1" t="s">
        <v>32</v>
      </c>
      <c r="J8034" s="1" t="s">
        <v>1256</v>
      </c>
      <c r="K8034" s="1" t="s">
        <v>973</v>
      </c>
      <c r="L8034" s="1" t="s">
        <v>38708</v>
      </c>
      <c r="M8034" s="2" t="s">
        <v>12</v>
      </c>
      <c r="N8034" s="4">
        <f t="shared" si="1"/>
        <v>43650</v>
      </c>
      <c r="O8034" s="5" t="str">
        <f>IFERROR(__xludf.DUMMYFUNCTION("IF(REGEXMATCH(TRIM(I8034), ""^\d+\s*min""), ""Unclassified"", IF(I8034 = """", ""NR"", I8034))"),"PG-13")</f>
        <v>PG-13</v>
      </c>
      <c r="R8034" s="5" t="str">
        <f t="shared" si="2"/>
        <v>Skiptrace</v>
      </c>
      <c r="S8034" s="5" t="str">
        <f>IFERROR(__xludf.DUMMYFUNCTION("""COMPUTED_VALUE"""),"Tjovitjo")</f>
        <v>Tjovitjo</v>
      </c>
      <c r="V8034" s="5"/>
      <c r="Y8034" s="5" t="str">
        <f>IFERROR(__xludf.DUMMYFUNCTION("REGEXEXTRACT(J8034, ""^\d+"")"),"107")</f>
        <v>107</v>
      </c>
      <c r="Z8034" s="5" t="str">
        <f>IFERROR(__xludf.DUMMYFUNCTION("REGEXEXTRACT(J8034, ""[A-Za-z ]+$"")")," min")</f>
        <v> min</v>
      </c>
      <c r="AA8034" s="5" t="str">
        <f>IFERROR(__xludf.DUMMYFUNCTION("IF(REGEXMATCH(Z8034, ""Season""), ""TV Show"", ""Movie"")"),"Movie")</f>
        <v>Movie</v>
      </c>
    </row>
    <row r="8035">
      <c r="A8035" s="1" t="s">
        <v>38709</v>
      </c>
      <c r="B8035" s="1" t="s">
        <v>27</v>
      </c>
      <c r="C8035" s="1" t="s">
        <v>38710</v>
      </c>
      <c r="D8035" s="1" t="s">
        <v>6671</v>
      </c>
      <c r="E8035" s="1" t="s">
        <v>38711</v>
      </c>
      <c r="F8035" s="1" t="s">
        <v>1064</v>
      </c>
      <c r="G8035" s="1" t="s">
        <v>27542</v>
      </c>
      <c r="H8035" s="1">
        <v>2016.0</v>
      </c>
      <c r="I8035" s="1" t="s">
        <v>42</v>
      </c>
      <c r="J8035" s="1" t="s">
        <v>433</v>
      </c>
      <c r="K8035" s="1" t="s">
        <v>1066</v>
      </c>
      <c r="L8035" s="1" t="s">
        <v>38712</v>
      </c>
      <c r="M8035" s="2" t="s">
        <v>12</v>
      </c>
      <c r="N8035" s="4">
        <f t="shared" si="1"/>
        <v>42952</v>
      </c>
      <c r="O8035" s="5" t="str">
        <f>IFERROR(__xludf.DUMMYFUNCTION("IF(REGEXMATCH(TRIM(I8035), ""^\d+\s*min""), ""Unclassified"", IF(I8035 = """", ""NR"", I8035))"),"TV-MA")</f>
        <v>TV-MA</v>
      </c>
      <c r="R8035" s="5" t="str">
        <f t="shared" si="2"/>
        <v>Sky On Fire</v>
      </c>
      <c r="S8035" s="5" t="str">
        <f>IFERROR(__xludf.DUMMYFUNCTION("""COMPUTED_VALUE"""),"To All The Boys I’Ve Loved Before")</f>
        <v>To All The Boys I’Ve Loved Before</v>
      </c>
      <c r="V8035" s="5"/>
      <c r="Y8035" s="5" t="str">
        <f>IFERROR(__xludf.DUMMYFUNCTION("REGEXEXTRACT(J8035, ""^\d+"")"),"100")</f>
        <v>100</v>
      </c>
      <c r="Z8035" s="5" t="str">
        <f>IFERROR(__xludf.DUMMYFUNCTION("REGEXEXTRACT(J8035, ""[A-Za-z ]+$"")")," min")</f>
        <v> min</v>
      </c>
      <c r="AA8035" s="5" t="str">
        <f>IFERROR(__xludf.DUMMYFUNCTION("IF(REGEXMATCH(Z8035, ""Season""), ""TV Show"", ""Movie"")"),"Movie")</f>
        <v>Movie</v>
      </c>
    </row>
    <row r="8036">
      <c r="A8036" s="1" t="s">
        <v>38713</v>
      </c>
      <c r="B8036" s="1" t="s">
        <v>27</v>
      </c>
      <c r="C8036" s="1" t="s">
        <v>38714</v>
      </c>
      <c r="D8036" s="1" t="s">
        <v>7966</v>
      </c>
      <c r="F8036" s="1" t="s">
        <v>2321</v>
      </c>
      <c r="G8036" s="1" t="s">
        <v>38715</v>
      </c>
      <c r="H8036" s="1">
        <v>2014.0</v>
      </c>
      <c r="I8036" s="1" t="s">
        <v>506</v>
      </c>
      <c r="J8036" s="1" t="s">
        <v>4677</v>
      </c>
      <c r="K8036" s="1" t="s">
        <v>645</v>
      </c>
      <c r="L8036" s="1" t="s">
        <v>38716</v>
      </c>
      <c r="M8036" s="2" t="s">
        <v>12</v>
      </c>
      <c r="N8036" s="4">
        <f t="shared" si="1"/>
        <v>43278</v>
      </c>
      <c r="O8036" s="5" t="str">
        <f>IFERROR(__xludf.DUMMYFUNCTION("IF(REGEXMATCH(TRIM(I8036), ""^\d+\s*min""), ""Unclassified"", IF(I8036 = """", ""NR"", I8036))"),"TV-G")</f>
        <v>TV-G</v>
      </c>
      <c r="R8036" s="5" t="str">
        <f t="shared" si="2"/>
        <v>Skydancers</v>
      </c>
      <c r="S8036" s="5" t="str">
        <f>IFERROR(__xludf.DUMMYFUNCTION("""COMPUTED_VALUE"""),"To All The Boys: Always And Forever")</f>
        <v>To All The Boys: Always And Forever</v>
      </c>
      <c r="V8036" s="5"/>
      <c r="Y8036" s="5" t="str">
        <f>IFERROR(__xludf.DUMMYFUNCTION("REGEXEXTRACT(J8036, ""^\d+"")"),"49")</f>
        <v>49</v>
      </c>
      <c r="Z8036" s="5" t="str">
        <f>IFERROR(__xludf.DUMMYFUNCTION("REGEXEXTRACT(J8036, ""[A-Za-z ]+$"")")," min")</f>
        <v> min</v>
      </c>
      <c r="AA8036" s="5" t="str">
        <f>IFERROR(__xludf.DUMMYFUNCTION("IF(REGEXMATCH(Z8036, ""Season""), ""TV Show"", ""Movie"")"),"Movie")</f>
        <v>Movie</v>
      </c>
    </row>
    <row r="8037">
      <c r="A8037" s="1" t="s">
        <v>38717</v>
      </c>
      <c r="B8037" s="1" t="s">
        <v>27</v>
      </c>
      <c r="C8037" s="1" t="s">
        <v>38718</v>
      </c>
      <c r="D8037" s="1" t="s">
        <v>5139</v>
      </c>
      <c r="E8037" s="1" t="s">
        <v>38719</v>
      </c>
      <c r="F8037" s="1" t="s">
        <v>30</v>
      </c>
      <c r="G8037" s="1" t="s">
        <v>33060</v>
      </c>
      <c r="H8037" s="1">
        <v>2010.0</v>
      </c>
      <c r="I8037" s="1" t="s">
        <v>32</v>
      </c>
      <c r="J8037" s="1" t="s">
        <v>170</v>
      </c>
      <c r="K8037" s="1" t="s">
        <v>942</v>
      </c>
      <c r="L8037" s="1" t="s">
        <v>38720</v>
      </c>
      <c r="M8037" s="2" t="s">
        <v>12</v>
      </c>
      <c r="N8037" s="4">
        <f t="shared" si="1"/>
        <v>43481</v>
      </c>
      <c r="O8037" s="5" t="str">
        <f>IFERROR(__xludf.DUMMYFUNCTION("IF(REGEXMATCH(TRIM(I8037), ""^\d+\s*min""), ""Unclassified"", IF(I8037 = """", ""NR"", I8037))"),"PG-13")</f>
        <v>PG-13</v>
      </c>
      <c r="R8037" s="5" t="str">
        <f t="shared" si="2"/>
        <v>Skyline</v>
      </c>
      <c r="S8037" s="5" t="str">
        <f>IFERROR(__xludf.DUMMYFUNCTION("""COMPUTED_VALUE"""),"To All The Boys: Always And Forever - The Afterparty")</f>
        <v>To All The Boys: Always And Forever - The Afterparty</v>
      </c>
      <c r="V8037" s="5"/>
      <c r="Y8037" s="5" t="str">
        <f>IFERROR(__xludf.DUMMYFUNCTION("REGEXEXTRACT(J8037, ""^\d+"")"),"94")</f>
        <v>94</v>
      </c>
      <c r="Z8037" s="5" t="str">
        <f>IFERROR(__xludf.DUMMYFUNCTION("REGEXEXTRACT(J8037, ""[A-Za-z ]+$"")")," min")</f>
        <v> min</v>
      </c>
      <c r="AA8037" s="5" t="str">
        <f>IFERROR(__xludf.DUMMYFUNCTION("IF(REGEXMATCH(Z8037, ""Season""), ""TV Show"", ""Movie"")"),"Movie")</f>
        <v>Movie</v>
      </c>
    </row>
    <row r="8038">
      <c r="A8038" s="1" t="s">
        <v>38721</v>
      </c>
      <c r="B8038" s="1" t="s">
        <v>27</v>
      </c>
      <c r="C8038" s="1" t="s">
        <v>38722</v>
      </c>
      <c r="D8038" s="1" t="s">
        <v>13689</v>
      </c>
      <c r="E8038" s="1" t="s">
        <v>38723</v>
      </c>
      <c r="F8038" s="1" t="s">
        <v>30</v>
      </c>
      <c r="G8038" s="1" t="s">
        <v>38724</v>
      </c>
      <c r="H8038" s="1">
        <v>2015.0</v>
      </c>
      <c r="I8038" s="1" t="s">
        <v>378</v>
      </c>
      <c r="J8038" s="1" t="s">
        <v>1091</v>
      </c>
      <c r="K8038" s="1" t="s">
        <v>836</v>
      </c>
      <c r="L8038" s="1" t="s">
        <v>38725</v>
      </c>
      <c r="M8038" s="2" t="s">
        <v>12</v>
      </c>
      <c r="N8038" s="4">
        <f t="shared" si="1"/>
        <v>43010</v>
      </c>
      <c r="O8038" s="5" t="str">
        <f>IFERROR(__xludf.DUMMYFUNCTION("IF(REGEXMATCH(TRIM(I8038), ""^\d+\s*min""), ""Unclassified"", IF(I8038 = """", ""NR"", I8038))"),"R")</f>
        <v>R</v>
      </c>
      <c r="R8038" s="5" t="str">
        <f t="shared" si="2"/>
        <v>Sleeping With Other People</v>
      </c>
      <c r="S8038" s="5" t="str">
        <f>IFERROR(__xludf.DUMMYFUNCTION("""COMPUTED_VALUE"""),"To All The Boys: P.S. I Still Love You")</f>
        <v>To All The Boys: P.S. I Still Love You</v>
      </c>
      <c r="V8038" s="5"/>
      <c r="Y8038" s="5" t="str">
        <f>IFERROR(__xludf.DUMMYFUNCTION("REGEXEXTRACT(J8038, ""^\d+"")"),"101")</f>
        <v>101</v>
      </c>
      <c r="Z8038" s="5" t="str">
        <f>IFERROR(__xludf.DUMMYFUNCTION("REGEXEXTRACT(J8038, ""[A-Za-z ]+$"")")," min")</f>
        <v> min</v>
      </c>
      <c r="AA8038" s="5" t="str">
        <f>IFERROR(__xludf.DUMMYFUNCTION("IF(REGEXMATCH(Z8038, ""Season""), ""TV Show"", ""Movie"")"),"Movie")</f>
        <v>Movie</v>
      </c>
    </row>
    <row r="8039">
      <c r="A8039" s="1" t="s">
        <v>38726</v>
      </c>
      <c r="B8039" s="1" t="s">
        <v>27</v>
      </c>
      <c r="C8039" s="1" t="s">
        <v>38727</v>
      </c>
      <c r="D8039" s="1" t="s">
        <v>11118</v>
      </c>
      <c r="E8039" s="1" t="s">
        <v>38728</v>
      </c>
      <c r="F8039" s="1" t="s">
        <v>30</v>
      </c>
      <c r="G8039" s="1" t="s">
        <v>15941</v>
      </c>
      <c r="H8039" s="1">
        <v>2004.0</v>
      </c>
      <c r="I8039" s="1" t="s">
        <v>78</v>
      </c>
      <c r="J8039" s="1" t="s">
        <v>1191</v>
      </c>
      <c r="K8039" s="1" t="s">
        <v>813</v>
      </c>
      <c r="L8039" s="1" t="s">
        <v>38729</v>
      </c>
      <c r="M8039" s="2" t="s">
        <v>12</v>
      </c>
      <c r="N8039" s="4">
        <f t="shared" si="1"/>
        <v>43891</v>
      </c>
      <c r="O8039" s="5" t="str">
        <f>IFERROR(__xludf.DUMMYFUNCTION("IF(REGEXMATCH(TRIM(I8039), ""^\d+\s*min""), ""Unclassified"", IF(I8039 = """", ""NR"", I8039))"),"PG")</f>
        <v>PG</v>
      </c>
      <c r="R8039" s="5" t="str">
        <f t="shared" si="2"/>
        <v>Sleepover</v>
      </c>
      <c r="S8039" s="5" t="str">
        <f>IFERROR(__xludf.DUMMYFUNCTION("""COMPUTED_VALUE"""),"To And From New York")</f>
        <v>To And From New York</v>
      </c>
      <c r="V8039" s="5"/>
      <c r="Y8039" s="5" t="str">
        <f>IFERROR(__xludf.DUMMYFUNCTION("REGEXEXTRACT(J8039, ""^\d+"")"),"89")</f>
        <v>89</v>
      </c>
      <c r="Z8039" s="5" t="str">
        <f>IFERROR(__xludf.DUMMYFUNCTION("REGEXEXTRACT(J8039, ""[A-Za-z ]+$"")")," min")</f>
        <v> min</v>
      </c>
      <c r="AA8039" s="5" t="str">
        <f>IFERROR(__xludf.DUMMYFUNCTION("IF(REGEXMATCH(Z8039, ""Season""), ""TV Show"", ""Movie"")"),"Movie")</f>
        <v>Movie</v>
      </c>
    </row>
    <row r="8040">
      <c r="A8040" s="1" t="s">
        <v>38730</v>
      </c>
      <c r="B8040" s="1" t="s">
        <v>27</v>
      </c>
      <c r="C8040" s="1" t="s">
        <v>38731</v>
      </c>
      <c r="D8040" s="1" t="s">
        <v>3425</v>
      </c>
      <c r="E8040" s="1" t="s">
        <v>38732</v>
      </c>
      <c r="F8040" s="1" t="s">
        <v>30</v>
      </c>
      <c r="G8040" s="1" t="s">
        <v>18333</v>
      </c>
      <c r="H8040" s="1">
        <v>1996.0</v>
      </c>
      <c r="I8040" s="1" t="s">
        <v>378</v>
      </c>
      <c r="J8040" s="1" t="s">
        <v>1369</v>
      </c>
      <c r="K8040" s="1" t="s">
        <v>1320</v>
      </c>
      <c r="L8040" s="1" t="s">
        <v>38733</v>
      </c>
      <c r="M8040" s="2" t="s">
        <v>12</v>
      </c>
      <c r="N8040" s="4">
        <f t="shared" si="1"/>
        <v>43770</v>
      </c>
      <c r="O8040" s="5" t="str">
        <f>IFERROR(__xludf.DUMMYFUNCTION("IF(REGEXMATCH(TRIM(I8040), ""^\d+\s*min""), ""Unclassified"", IF(I8040 = """", ""NR"", I8040))"),"R")</f>
        <v>R</v>
      </c>
      <c r="R8040" s="5" t="str">
        <f t="shared" si="2"/>
        <v>Sling Blade</v>
      </c>
      <c r="S8040" s="5" t="str">
        <f>IFERROR(__xludf.DUMMYFUNCTION("""COMPUTED_VALUE"""),"To Be A Miss")</f>
        <v>To Be A Miss</v>
      </c>
      <c r="V8040" s="5"/>
      <c r="Y8040" s="5" t="str">
        <f>IFERROR(__xludf.DUMMYFUNCTION("REGEXEXTRACT(J8040, ""^\d+"")"),"135")</f>
        <v>135</v>
      </c>
      <c r="Z8040" s="5" t="str">
        <f>IFERROR(__xludf.DUMMYFUNCTION("REGEXEXTRACT(J8040, ""[A-Za-z ]+$"")")," min")</f>
        <v> min</v>
      </c>
      <c r="AA8040" s="5" t="str">
        <f>IFERROR(__xludf.DUMMYFUNCTION("IF(REGEXMATCH(Z8040, ""Season""), ""TV Show"", ""Movie"")"),"Movie")</f>
        <v>Movie</v>
      </c>
    </row>
    <row r="8041">
      <c r="A8041" s="1" t="s">
        <v>38734</v>
      </c>
      <c r="B8041" s="1" t="s">
        <v>27</v>
      </c>
      <c r="C8041" s="1" t="s">
        <v>38735</v>
      </c>
      <c r="D8041" s="1" t="s">
        <v>947</v>
      </c>
      <c r="E8041" s="1" t="s">
        <v>38736</v>
      </c>
      <c r="F8041" s="1" t="s">
        <v>30</v>
      </c>
      <c r="G8041" s="1" t="s">
        <v>16947</v>
      </c>
      <c r="H8041" s="1">
        <v>1993.0</v>
      </c>
      <c r="I8041" s="1" t="s">
        <v>378</v>
      </c>
      <c r="J8041" s="1" t="s">
        <v>1256</v>
      </c>
      <c r="K8041" s="1" t="s">
        <v>171</v>
      </c>
      <c r="L8041" s="1" t="s">
        <v>38737</v>
      </c>
      <c r="M8041" s="2" t="s">
        <v>12</v>
      </c>
      <c r="N8041" s="4">
        <f t="shared" si="1"/>
        <v>43831</v>
      </c>
      <c r="O8041" s="5" t="str">
        <f>IFERROR(__xludf.DUMMYFUNCTION("IF(REGEXMATCH(TRIM(I8041), ""^\d+\s*min""), ""Unclassified"", IF(I8041 = """", ""NR"", I8041))"),"R")</f>
        <v>R</v>
      </c>
      <c r="R8041" s="5" t="str">
        <f t="shared" si="2"/>
        <v>Sliver</v>
      </c>
      <c r="S8041" s="5" t="str">
        <f>IFERROR(__xludf.DUMMYFUNCTION("""COMPUTED_VALUE"""),"To Be Of Service")</f>
        <v>To Be Of Service</v>
      </c>
      <c r="V8041" s="5"/>
      <c r="Y8041" s="5" t="str">
        <f>IFERROR(__xludf.DUMMYFUNCTION("REGEXEXTRACT(J8041, ""^\d+"")"),"107")</f>
        <v>107</v>
      </c>
      <c r="Z8041" s="5" t="str">
        <f>IFERROR(__xludf.DUMMYFUNCTION("REGEXEXTRACT(J8041, ""[A-Za-z ]+$"")")," min")</f>
        <v> min</v>
      </c>
      <c r="AA8041" s="5" t="str">
        <f>IFERROR(__xludf.DUMMYFUNCTION("IF(REGEXMATCH(Z8041, ""Season""), ""TV Show"", ""Movie"")"),"Movie")</f>
        <v>Movie</v>
      </c>
    </row>
    <row r="8042">
      <c r="A8042" s="1" t="s">
        <v>38738</v>
      </c>
      <c r="B8042" s="1" t="s">
        <v>37</v>
      </c>
      <c r="C8042" s="1" t="s">
        <v>38739</v>
      </c>
      <c r="E8042" s="1" t="s">
        <v>38740</v>
      </c>
      <c r="F8042" s="1" t="s">
        <v>30</v>
      </c>
      <c r="G8042" s="1" t="s">
        <v>22684</v>
      </c>
      <c r="H8042" s="1">
        <v>2018.0</v>
      </c>
      <c r="I8042" s="1" t="s">
        <v>42</v>
      </c>
      <c r="J8042" s="1" t="s">
        <v>51</v>
      </c>
      <c r="K8042" s="1" t="s">
        <v>440</v>
      </c>
      <c r="L8042" s="1" t="s">
        <v>38741</v>
      </c>
      <c r="M8042" s="2" t="s">
        <v>12</v>
      </c>
      <c r="N8042" s="4">
        <f t="shared" si="1"/>
        <v>43465</v>
      </c>
      <c r="O8042" s="5" t="str">
        <f>IFERROR(__xludf.DUMMYFUNCTION("IF(REGEXMATCH(TRIM(I8042), ""^\d+\s*min""), ""Unclassified"", IF(I8042 = """", ""NR"", I8042))"),"TV-MA")</f>
        <v>TV-MA</v>
      </c>
      <c r="R8042" s="5" t="str">
        <f t="shared" si="2"/>
        <v>Slobby'S World</v>
      </c>
      <c r="S8042" s="5" t="str">
        <f>IFERROR(__xludf.DUMMYFUNCTION("""COMPUTED_VALUE"""),"To Each, Her Own")</f>
        <v>To Each, Her Own</v>
      </c>
      <c r="V8042" s="5"/>
      <c r="Y8042" s="5" t="str">
        <f>IFERROR(__xludf.DUMMYFUNCTION("REGEXEXTRACT(J8042, ""^\d+"")"),"1")</f>
        <v>1</v>
      </c>
      <c r="Z8042" s="5" t="str">
        <f>IFERROR(__xludf.DUMMYFUNCTION("REGEXEXTRACT(J8042, ""[A-Za-z ]+$"")")," Season")</f>
        <v> Season</v>
      </c>
      <c r="AA8042" s="5" t="str">
        <f>IFERROR(__xludf.DUMMYFUNCTION("IF(REGEXMATCH(Z8042, ""Season""), ""TV Show"", ""Movie"")"),"TV Show")</f>
        <v>TV Show</v>
      </c>
    </row>
    <row r="8043">
      <c r="A8043" s="1" t="s">
        <v>38742</v>
      </c>
      <c r="B8043" s="1" t="s">
        <v>27</v>
      </c>
      <c r="C8043" s="1" t="s">
        <v>38743</v>
      </c>
      <c r="D8043" s="1" t="s">
        <v>11385</v>
      </c>
      <c r="E8043" s="1" t="s">
        <v>38744</v>
      </c>
      <c r="F8043" s="1" t="s">
        <v>38745</v>
      </c>
      <c r="G8043" s="1" t="s">
        <v>30969</v>
      </c>
      <c r="H8043" s="1">
        <v>2015.0</v>
      </c>
      <c r="I8043" s="1" t="s">
        <v>378</v>
      </c>
      <c r="J8043" s="1" t="s">
        <v>1608</v>
      </c>
      <c r="K8043" s="1" t="s">
        <v>306</v>
      </c>
      <c r="L8043" s="1" t="s">
        <v>38746</v>
      </c>
      <c r="M8043" s="2" t="s">
        <v>12</v>
      </c>
      <c r="N8043" s="4">
        <f t="shared" si="1"/>
        <v>43307</v>
      </c>
      <c r="O8043" s="5" t="str">
        <f>IFERROR(__xludf.DUMMYFUNCTION("IF(REGEXMATCH(TRIM(I8043), ""^\d+\s*min""), ""Unclassified"", IF(I8043 = """", ""NR"", I8043))"),"R")</f>
        <v>R</v>
      </c>
      <c r="R8043" s="5" t="str">
        <f t="shared" si="2"/>
        <v>Slow West</v>
      </c>
      <c r="S8043" s="5" t="str">
        <f>IFERROR(__xludf.DUMMYFUNCTION("""COMPUTED_VALUE"""),"To The Bone")</f>
        <v>To The Bone</v>
      </c>
      <c r="V8043" s="5"/>
      <c r="Y8043" s="5" t="str">
        <f>IFERROR(__xludf.DUMMYFUNCTION("REGEXEXTRACT(J8043, ""^\d+"")"),"84")</f>
        <v>84</v>
      </c>
      <c r="Z8043" s="5" t="str">
        <f>IFERROR(__xludf.DUMMYFUNCTION("REGEXEXTRACT(J8043, ""[A-Za-z ]+$"")")," min")</f>
        <v> min</v>
      </c>
      <c r="AA8043" s="5" t="str">
        <f>IFERROR(__xludf.DUMMYFUNCTION("IF(REGEXMATCH(Z8043, ""Season""), ""TV Show"", ""Movie"")"),"Movie")</f>
        <v>Movie</v>
      </c>
    </row>
    <row r="8044">
      <c r="A8044" s="1" t="s">
        <v>38747</v>
      </c>
      <c r="B8044" s="1" t="s">
        <v>27</v>
      </c>
      <c r="C8044" s="1" t="s">
        <v>38748</v>
      </c>
      <c r="D8044" s="1" t="s">
        <v>11074</v>
      </c>
      <c r="E8044" s="1" t="s">
        <v>38749</v>
      </c>
      <c r="F8044" s="1" t="s">
        <v>30</v>
      </c>
      <c r="G8044" s="1" t="s">
        <v>20561</v>
      </c>
      <c r="H8044" s="1">
        <v>1998.0</v>
      </c>
      <c r="I8044" s="1" t="s">
        <v>32</v>
      </c>
      <c r="J8044" s="1" t="s">
        <v>297</v>
      </c>
      <c r="K8044" s="1" t="s">
        <v>3505</v>
      </c>
      <c r="L8044" s="1" t="s">
        <v>38750</v>
      </c>
      <c r="M8044" s="2" t="s">
        <v>12</v>
      </c>
      <c r="N8044" s="4">
        <f t="shared" si="1"/>
        <v>43617</v>
      </c>
      <c r="O8044" s="5" t="str">
        <f>IFERROR(__xludf.DUMMYFUNCTION("IF(REGEXMATCH(TRIM(I8044), ""^\d+\s*min""), ""Unclassified"", IF(I8044 = """", ""NR"", I8044))"),"PG-13")</f>
        <v>PG-13</v>
      </c>
      <c r="R8044" s="5" t="str">
        <f t="shared" si="2"/>
        <v>Small Soldiers</v>
      </c>
      <c r="S8044" s="5" t="str">
        <f>IFERROR(__xludf.DUMMYFUNCTION("""COMPUTED_VALUE"""),"To The Lake")</f>
        <v>To The Lake</v>
      </c>
      <c r="V8044" s="5"/>
      <c r="Y8044" s="5" t="str">
        <f>IFERROR(__xludf.DUMMYFUNCTION("REGEXEXTRACT(J8044, ""^\d+"")"),"110")</f>
        <v>110</v>
      </c>
      <c r="Z8044" s="5" t="str">
        <f>IFERROR(__xludf.DUMMYFUNCTION("REGEXEXTRACT(J8044, ""[A-Za-z ]+$"")")," min")</f>
        <v> min</v>
      </c>
      <c r="AA8044" s="5" t="str">
        <f>IFERROR(__xludf.DUMMYFUNCTION("IF(REGEXMATCH(Z8044, ""Season""), ""TV Show"", ""Movie"")"),"Movie")</f>
        <v>Movie</v>
      </c>
    </row>
    <row r="8045">
      <c r="A8045" s="1" t="s">
        <v>38751</v>
      </c>
      <c r="B8045" s="1" t="s">
        <v>27</v>
      </c>
      <c r="C8045" s="1" t="s">
        <v>38752</v>
      </c>
      <c r="D8045" s="1" t="s">
        <v>17005</v>
      </c>
      <c r="E8045" s="1" t="s">
        <v>38753</v>
      </c>
      <c r="F8045" s="1" t="s">
        <v>30</v>
      </c>
      <c r="G8045" s="1" t="s">
        <v>19991</v>
      </c>
      <c r="H8045" s="1">
        <v>2008.0</v>
      </c>
      <c r="I8045" s="1" t="s">
        <v>378</v>
      </c>
      <c r="J8045" s="1" t="s">
        <v>465</v>
      </c>
      <c r="K8045" s="1" t="s">
        <v>836</v>
      </c>
      <c r="L8045" s="1" t="s">
        <v>38754</v>
      </c>
      <c r="M8045" s="2" t="s">
        <v>12</v>
      </c>
      <c r="N8045" s="4">
        <f t="shared" si="1"/>
        <v>43658</v>
      </c>
      <c r="O8045" s="5" t="str">
        <f>IFERROR(__xludf.DUMMYFUNCTION("IF(REGEXMATCH(TRIM(I8045), ""^\d+\s*min""), ""Unclassified"", IF(I8045 = """", ""NR"", I8045))"),"R")</f>
        <v>R</v>
      </c>
      <c r="R8045" s="5" t="str">
        <f t="shared" si="2"/>
        <v>Smart People</v>
      </c>
      <c r="S8045" s="5" t="str">
        <f>IFERROR(__xludf.DUMMYFUNCTION("""COMPUTED_VALUE"""),"To Wong Foo, Thanks For Everything! Julie Newmar")</f>
        <v>To Wong Foo, Thanks For Everything! Julie Newmar</v>
      </c>
      <c r="V8045" s="5"/>
      <c r="Y8045" s="5" t="str">
        <f>IFERROR(__xludf.DUMMYFUNCTION("REGEXEXTRACT(J8045, ""^\d+"")"),"95")</f>
        <v>95</v>
      </c>
      <c r="Z8045" s="5" t="str">
        <f>IFERROR(__xludf.DUMMYFUNCTION("REGEXEXTRACT(J8045, ""[A-Za-z ]+$"")")," min")</f>
        <v> min</v>
      </c>
      <c r="AA8045" s="5" t="str">
        <f>IFERROR(__xludf.DUMMYFUNCTION("IF(REGEXMATCH(Z8045, ""Season""), ""TV Show"", ""Movie"")"),"Movie")</f>
        <v>Movie</v>
      </c>
    </row>
    <row r="8046">
      <c r="A8046" s="1" t="s">
        <v>38755</v>
      </c>
      <c r="B8046" s="1" t="s">
        <v>27</v>
      </c>
      <c r="C8046" s="1" t="s">
        <v>38756</v>
      </c>
      <c r="F8046" s="1" t="s">
        <v>30</v>
      </c>
      <c r="G8046" s="7">
        <v>42870.0</v>
      </c>
      <c r="H8046" s="1">
        <v>2017.0</v>
      </c>
      <c r="I8046" s="1" t="s">
        <v>42</v>
      </c>
      <c r="J8046" s="1" t="s">
        <v>2636</v>
      </c>
      <c r="K8046" s="1" t="s">
        <v>645</v>
      </c>
      <c r="L8046" s="1" t="s">
        <v>38757</v>
      </c>
      <c r="M8046" s="2" t="s">
        <v>12</v>
      </c>
      <c r="N8046" s="4">
        <f t="shared" si="1"/>
        <v>42870</v>
      </c>
      <c r="O8046" s="5" t="str">
        <f>IFERROR(__xludf.DUMMYFUNCTION("IF(REGEXMATCH(TRIM(I8046), ""^\d+\s*min""), ""Unclassified"", IF(I8046 = """", ""NR"", I8046))"),"TV-MA")</f>
        <v>TV-MA</v>
      </c>
      <c r="R8046" s="5" t="str">
        <f t="shared" si="2"/>
        <v>Smash: Motorized Mayhem</v>
      </c>
      <c r="S8046" s="5" t="str">
        <f>IFERROR(__xludf.DUMMYFUNCTION("""COMPUTED_VALUE"""),"Toast Of London")</f>
        <v>Toast Of London</v>
      </c>
      <c r="V8046" s="5"/>
      <c r="Y8046" s="5" t="str">
        <f>IFERROR(__xludf.DUMMYFUNCTION("REGEXEXTRACT(J8046, ""^\d+"")"),"66")</f>
        <v>66</v>
      </c>
      <c r="Z8046" s="5" t="str">
        <f>IFERROR(__xludf.DUMMYFUNCTION("REGEXEXTRACT(J8046, ""[A-Za-z ]+$"")")," min")</f>
        <v> min</v>
      </c>
      <c r="AA8046" s="5" t="str">
        <f>IFERROR(__xludf.DUMMYFUNCTION("IF(REGEXMATCH(Z8046, ""Season""), ""TV Show"", ""Movie"")"),"Movie")</f>
        <v>Movie</v>
      </c>
    </row>
    <row r="8047">
      <c r="A8047" s="1" t="s">
        <v>38758</v>
      </c>
      <c r="B8047" s="1" t="s">
        <v>27</v>
      </c>
      <c r="C8047" s="1" t="s">
        <v>38759</v>
      </c>
      <c r="D8047" s="1" t="s">
        <v>1207</v>
      </c>
      <c r="E8047" s="1" t="s">
        <v>38760</v>
      </c>
      <c r="F8047" s="1" t="s">
        <v>30</v>
      </c>
      <c r="G8047" s="1" t="s">
        <v>38761</v>
      </c>
      <c r="H8047" s="1">
        <v>2015.0</v>
      </c>
      <c r="I8047" s="1" t="s">
        <v>32</v>
      </c>
      <c r="J8047" s="1" t="s">
        <v>490</v>
      </c>
      <c r="K8047" s="1" t="s">
        <v>239</v>
      </c>
      <c r="L8047" s="1" t="s">
        <v>38762</v>
      </c>
      <c r="M8047" s="2" t="s">
        <v>12</v>
      </c>
      <c r="N8047" s="4">
        <f t="shared" si="1"/>
        <v>42269</v>
      </c>
      <c r="O8047" s="5" t="str">
        <f>IFERROR(__xludf.DUMMYFUNCTION("IF(REGEXMATCH(TRIM(I8047), ""^\d+\s*min""), ""Unclassified"", IF(I8047 = """", ""NR"", I8047))"),"PG-13")</f>
        <v>PG-13</v>
      </c>
      <c r="R8047" s="5" t="str">
        <f t="shared" si="2"/>
        <v>Smosh: The Movie</v>
      </c>
      <c r="S8047" s="5" t="str">
        <f>IFERROR(__xludf.DUMMYFUNCTION("""COMPUTED_VALUE"""),"Tobot")</f>
        <v>Tobot</v>
      </c>
      <c r="V8047" s="5"/>
      <c r="Y8047" s="5" t="str">
        <f>IFERROR(__xludf.DUMMYFUNCTION("REGEXEXTRACT(J8047, ""^\d+"")"),"83")</f>
        <v>83</v>
      </c>
      <c r="Z8047" s="5" t="str">
        <f>IFERROR(__xludf.DUMMYFUNCTION("REGEXEXTRACT(J8047, ""[A-Za-z ]+$"")")," min")</f>
        <v> min</v>
      </c>
      <c r="AA8047" s="5" t="str">
        <f>IFERROR(__xludf.DUMMYFUNCTION("IF(REGEXMATCH(Z8047, ""Season""), ""TV Show"", ""Movie"")"),"Movie")</f>
        <v>Movie</v>
      </c>
    </row>
    <row r="8048">
      <c r="A8048" s="1" t="s">
        <v>38763</v>
      </c>
      <c r="B8048" s="1" t="s">
        <v>27</v>
      </c>
      <c r="C8048" s="1" t="s">
        <v>38764</v>
      </c>
      <c r="D8048" s="1" t="s">
        <v>7940</v>
      </c>
      <c r="E8048" s="1" t="s">
        <v>38765</v>
      </c>
      <c r="F8048" s="1" t="s">
        <v>30</v>
      </c>
      <c r="G8048" s="1" t="s">
        <v>16855</v>
      </c>
      <c r="H8048" s="1">
        <v>2016.0</v>
      </c>
      <c r="I8048" s="1" t="s">
        <v>378</v>
      </c>
      <c r="J8048" s="1" t="s">
        <v>1144</v>
      </c>
      <c r="K8048" s="1" t="s">
        <v>323</v>
      </c>
      <c r="L8048" s="1" t="s">
        <v>38766</v>
      </c>
      <c r="M8048" s="2" t="s">
        <v>12</v>
      </c>
      <c r="N8048" s="4">
        <f t="shared" si="1"/>
        <v>43840</v>
      </c>
      <c r="O8048" s="5" t="str">
        <f>IFERROR(__xludf.DUMMYFUNCTION("IF(REGEXMATCH(TRIM(I8048), ""^\d+\s*min""), ""Unclassified"", IF(I8048 = """", ""NR"", I8048))"),"R")</f>
        <v>R</v>
      </c>
      <c r="R8048" s="5" t="str">
        <f t="shared" si="2"/>
        <v>Sniper: Special Ops</v>
      </c>
      <c r="S8048" s="5" t="str">
        <f>IFERROR(__xludf.DUMMYFUNCTION("""COMPUTED_VALUE"""),"Tobot Galaxy Detectives")</f>
        <v>Tobot Galaxy Detectives</v>
      </c>
      <c r="V8048" s="5"/>
      <c r="Y8048" s="5" t="str">
        <f>IFERROR(__xludf.DUMMYFUNCTION("REGEXEXTRACT(J8048, ""^\d+"")"),"86")</f>
        <v>86</v>
      </c>
      <c r="Z8048" s="5" t="str">
        <f>IFERROR(__xludf.DUMMYFUNCTION("REGEXEXTRACT(J8048, ""[A-Za-z ]+$"")")," min")</f>
        <v> min</v>
      </c>
      <c r="AA8048" s="5" t="str">
        <f>IFERROR(__xludf.DUMMYFUNCTION("IF(REGEXMATCH(Z8048, ""Season""), ""TV Show"", ""Movie"")"),"Movie")</f>
        <v>Movie</v>
      </c>
    </row>
    <row r="8049">
      <c r="A8049" s="1" t="s">
        <v>38767</v>
      </c>
      <c r="B8049" s="1" t="s">
        <v>27</v>
      </c>
      <c r="C8049" s="1" t="s">
        <v>38768</v>
      </c>
      <c r="D8049" s="1" t="s">
        <v>9609</v>
      </c>
      <c r="E8049" s="1" t="s">
        <v>38769</v>
      </c>
      <c r="F8049" s="1" t="s">
        <v>63</v>
      </c>
      <c r="G8049" s="1" t="s">
        <v>25185</v>
      </c>
      <c r="H8049" s="1">
        <v>2005.0</v>
      </c>
      <c r="I8049" s="1" t="s">
        <v>97</v>
      </c>
      <c r="J8049" s="1" t="s">
        <v>4242</v>
      </c>
      <c r="K8049" s="1" t="s">
        <v>215</v>
      </c>
      <c r="L8049" s="1" t="s">
        <v>38770</v>
      </c>
      <c r="M8049" s="2" t="s">
        <v>12</v>
      </c>
      <c r="N8049" s="4">
        <f t="shared" si="1"/>
        <v>43282</v>
      </c>
      <c r="O8049" s="5" t="str">
        <f>IFERROR(__xludf.DUMMYFUNCTION("IF(REGEXMATCH(TRIM(I8049), ""^\d+\s*min""), ""Unclassified"", IF(I8049 = """", ""NR"", I8049))"),"TV-14")</f>
        <v>TV-14</v>
      </c>
      <c r="R8049" s="5" t="str">
        <f t="shared" si="2"/>
        <v>Socha Na Tha</v>
      </c>
      <c r="S8049" s="5" t="str">
        <f>IFERROR(__xludf.DUMMYFUNCTION("""COMPUTED_VALUE"""),"Toc Toc")</f>
        <v>Toc Toc</v>
      </c>
      <c r="V8049" s="5"/>
      <c r="Y8049" s="5" t="str">
        <f>IFERROR(__xludf.DUMMYFUNCTION("REGEXEXTRACT(J8049, ""^\d+"")"),"137")</f>
        <v>137</v>
      </c>
      <c r="Z8049" s="5" t="str">
        <f>IFERROR(__xludf.DUMMYFUNCTION("REGEXEXTRACT(J8049, ""[A-Za-z ]+$"")")," min")</f>
        <v> min</v>
      </c>
      <c r="AA8049" s="5" t="str">
        <f>IFERROR(__xludf.DUMMYFUNCTION("IF(REGEXMATCH(Z8049, ""Season""), ""TV Show"", ""Movie"")"),"Movie")</f>
        <v>Movie</v>
      </c>
    </row>
    <row r="8050">
      <c r="A8050" s="1" t="s">
        <v>38771</v>
      </c>
      <c r="B8050" s="1" t="s">
        <v>27</v>
      </c>
      <c r="C8050" s="1" t="s">
        <v>38772</v>
      </c>
      <c r="D8050" s="1" t="s">
        <v>11698</v>
      </c>
      <c r="F8050" s="1" t="s">
        <v>30</v>
      </c>
      <c r="G8050" s="1" t="s">
        <v>21586</v>
      </c>
      <c r="H8050" s="1">
        <v>2018.0</v>
      </c>
      <c r="I8050" s="1" t="s">
        <v>42</v>
      </c>
      <c r="J8050" s="1" t="s">
        <v>630</v>
      </c>
      <c r="K8050" s="1" t="s">
        <v>34</v>
      </c>
      <c r="L8050" s="1" t="s">
        <v>38773</v>
      </c>
      <c r="M8050" s="2" t="s">
        <v>12</v>
      </c>
      <c r="N8050" s="4">
        <f t="shared" si="1"/>
        <v>43543</v>
      </c>
      <c r="O8050" s="5" t="str">
        <f>IFERROR(__xludf.DUMMYFUNCTION("IF(REGEXMATCH(TRIM(I8050), ""^\d+\s*min""), ""Unclassified"", IF(I8050 = """", ""NR"", I8050))"),"TV-MA")</f>
        <v>TV-MA</v>
      </c>
      <c r="R8050" s="5" t="str">
        <f t="shared" si="2"/>
        <v>Social Animals</v>
      </c>
      <c r="S8050" s="5" t="str">
        <f>IFERROR(__xludf.DUMMYFUNCTION("""COMPUTED_VALUE"""),"Todd Barry: Spicy Honey")</f>
        <v>Todd Barry: Spicy Honey</v>
      </c>
      <c r="V8050" s="5"/>
      <c r="Y8050" s="5" t="str">
        <f>IFERROR(__xludf.DUMMYFUNCTION("REGEXEXTRACT(J8050, ""^\d+"")"),"87")</f>
        <v>87</v>
      </c>
      <c r="Z8050" s="5" t="str">
        <f>IFERROR(__xludf.DUMMYFUNCTION("REGEXEXTRACT(J8050, ""[A-Za-z ]+$"")")," min")</f>
        <v> min</v>
      </c>
      <c r="AA8050" s="5" t="str">
        <f>IFERROR(__xludf.DUMMYFUNCTION("IF(REGEXMATCH(Z8050, ""Season""), ""TV Show"", ""Movie"")"),"Movie")</f>
        <v>Movie</v>
      </c>
    </row>
    <row r="8051">
      <c r="A8051" s="1" t="s">
        <v>38774</v>
      </c>
      <c r="B8051" s="1" t="s">
        <v>27</v>
      </c>
      <c r="C8051" s="1" t="s">
        <v>38775</v>
      </c>
      <c r="D8051" s="1" t="s">
        <v>8317</v>
      </c>
      <c r="E8051" s="1" t="s">
        <v>38776</v>
      </c>
      <c r="F8051" s="1" t="s">
        <v>2873</v>
      </c>
      <c r="G8051" s="1" t="s">
        <v>22597</v>
      </c>
      <c r="H8051" s="1">
        <v>2013.0</v>
      </c>
      <c r="I8051" s="1" t="s">
        <v>42</v>
      </c>
      <c r="J8051" s="1" t="s">
        <v>950</v>
      </c>
      <c r="K8051" s="1" t="s">
        <v>128</v>
      </c>
      <c r="L8051" s="1" t="s">
        <v>38777</v>
      </c>
      <c r="M8051" s="2" t="s">
        <v>12</v>
      </c>
      <c r="N8051" s="4">
        <f t="shared" si="1"/>
        <v>43470</v>
      </c>
      <c r="O8051" s="5" t="str">
        <f>IFERROR(__xludf.DUMMYFUNCTION("IF(REGEXMATCH(TRIM(I8051), ""^\d+\s*min""), ""Unclassified"", IF(I8051 = """", ""NR"", I8051))"),"TV-MA")</f>
        <v>TV-MA</v>
      </c>
      <c r="R8051" s="5" t="str">
        <f t="shared" si="2"/>
        <v>Soekarno</v>
      </c>
      <c r="S8051" s="5" t="str">
        <f>IFERROR(__xludf.DUMMYFUNCTION("""COMPUTED_VALUE"""),"Todd Glass: Act Happy")</f>
        <v>Todd Glass: Act Happy</v>
      </c>
      <c r="V8051" s="5"/>
      <c r="Y8051" s="5" t="str">
        <f>IFERROR(__xludf.DUMMYFUNCTION("REGEXEXTRACT(J8051, ""^\d+"")"),"142")</f>
        <v>142</v>
      </c>
      <c r="Z8051" s="5" t="str">
        <f>IFERROR(__xludf.DUMMYFUNCTION("REGEXEXTRACT(J8051, ""[A-Za-z ]+$"")")," min")</f>
        <v> min</v>
      </c>
      <c r="AA8051" s="5" t="str">
        <f>IFERROR(__xludf.DUMMYFUNCTION("IF(REGEXMATCH(Z8051, ""Season""), ""TV Show"", ""Movie"")"),"Movie")</f>
        <v>Movie</v>
      </c>
    </row>
    <row r="8052">
      <c r="A8052" s="1" t="s">
        <v>38778</v>
      </c>
      <c r="B8052" s="1" t="s">
        <v>27</v>
      </c>
      <c r="C8052" s="1" t="s">
        <v>38779</v>
      </c>
      <c r="D8052" s="1" t="s">
        <v>1303</v>
      </c>
      <c r="E8052" s="1" t="s">
        <v>38780</v>
      </c>
      <c r="F8052" s="1" t="s">
        <v>162</v>
      </c>
      <c r="G8052" s="1" t="s">
        <v>24649</v>
      </c>
      <c r="H8052" s="1">
        <v>1991.0</v>
      </c>
      <c r="I8052" s="1" t="s">
        <v>30231</v>
      </c>
      <c r="J8052" s="1" t="s">
        <v>170</v>
      </c>
      <c r="K8052" s="1" t="s">
        <v>5295</v>
      </c>
      <c r="L8052" s="1" t="s">
        <v>38781</v>
      </c>
      <c r="M8052" s="2" t="s">
        <v>12</v>
      </c>
      <c r="N8052" s="4">
        <f t="shared" si="1"/>
        <v>43344</v>
      </c>
      <c r="O8052" s="5" t="str">
        <f>IFERROR(__xludf.DUMMYFUNCTION("IF(REGEXMATCH(TRIM(I8052), ""^\d+\s*min""), ""Unclassified"", IF(I8052 = """", ""NR"", I8052))"),"NR")</f>
        <v>NR</v>
      </c>
      <c r="R8052" s="5" t="str">
        <f t="shared" si="2"/>
        <v>Solo Con Tu Pareja</v>
      </c>
      <c r="S8052" s="5" t="str">
        <f>IFERROR(__xludf.DUMMYFUNCTION("""COMPUTED_VALUE"""),"Todd Glass: Stand-Up Special")</f>
        <v>Todd Glass: Stand-Up Special</v>
      </c>
      <c r="V8052" s="5"/>
      <c r="Y8052" s="5" t="str">
        <f>IFERROR(__xludf.DUMMYFUNCTION("REGEXEXTRACT(J8052, ""^\d+"")"),"94")</f>
        <v>94</v>
      </c>
      <c r="Z8052" s="5" t="str">
        <f>IFERROR(__xludf.DUMMYFUNCTION("REGEXEXTRACT(J8052, ""[A-Za-z ]+$"")")," min")</f>
        <v> min</v>
      </c>
      <c r="AA8052" s="5" t="str">
        <f>IFERROR(__xludf.DUMMYFUNCTION("IF(REGEXMATCH(Z8052, ""Season""), ""TV Show"", ""Movie"")"),"Movie")</f>
        <v>Movie</v>
      </c>
    </row>
    <row r="8053">
      <c r="A8053" s="1" t="s">
        <v>38782</v>
      </c>
      <c r="B8053" s="1" t="s">
        <v>27</v>
      </c>
      <c r="C8053" s="1" t="s">
        <v>38783</v>
      </c>
      <c r="D8053" s="1" t="s">
        <v>6169</v>
      </c>
      <c r="E8053" s="1" t="s">
        <v>38784</v>
      </c>
      <c r="F8053" s="1" t="s">
        <v>30</v>
      </c>
      <c r="G8053" s="1" t="s">
        <v>22581</v>
      </c>
      <c r="H8053" s="1">
        <v>2018.0</v>
      </c>
      <c r="I8053" s="1" t="s">
        <v>32</v>
      </c>
      <c r="J8053" s="1" t="s">
        <v>1369</v>
      </c>
      <c r="K8053" s="1" t="s">
        <v>15133</v>
      </c>
      <c r="L8053" s="1" t="s">
        <v>38785</v>
      </c>
      <c r="M8053" s="2" t="s">
        <v>12</v>
      </c>
      <c r="N8053" s="4">
        <f t="shared" si="1"/>
        <v>43474</v>
      </c>
      <c r="O8053" s="5" t="str">
        <f>IFERROR(__xludf.DUMMYFUNCTION("IF(REGEXMATCH(TRIM(I8053), ""^\d+\s*min""), ""Unclassified"", IF(I8053 = """", ""NR"", I8053))"),"PG-13")</f>
        <v>PG-13</v>
      </c>
      <c r="R8053" s="5" t="str">
        <f t="shared" si="2"/>
        <v>Solo: A Star Wars Story</v>
      </c>
      <c r="S8053" s="5" t="str">
        <f>IFERROR(__xludf.DUMMYFUNCTION("""COMPUTED_VALUE"""),"Todo Lo Que Sería Lucas Lauriente")</f>
        <v>Todo Lo Que Sería Lucas Lauriente</v>
      </c>
      <c r="V8053" s="5"/>
      <c r="Y8053" s="5" t="str">
        <f>IFERROR(__xludf.DUMMYFUNCTION("REGEXEXTRACT(J8053, ""^\d+"")"),"135")</f>
        <v>135</v>
      </c>
      <c r="Z8053" s="5" t="str">
        <f>IFERROR(__xludf.DUMMYFUNCTION("REGEXEXTRACT(J8053, ""[A-Za-z ]+$"")")," min")</f>
        <v> min</v>
      </c>
      <c r="AA8053" s="5" t="str">
        <f>IFERROR(__xludf.DUMMYFUNCTION("IF(REGEXMATCH(Z8053, ""Season""), ""TV Show"", ""Movie"")"),"Movie")</f>
        <v>Movie</v>
      </c>
    </row>
    <row r="8054">
      <c r="A8054" s="1" t="s">
        <v>38786</v>
      </c>
      <c r="B8054" s="1" t="s">
        <v>27</v>
      </c>
      <c r="C8054" s="1" t="s">
        <v>38787</v>
      </c>
      <c r="D8054" s="1" t="s">
        <v>6169</v>
      </c>
      <c r="E8054" s="1" t="s">
        <v>38784</v>
      </c>
      <c r="F8054" s="1" t="s">
        <v>30</v>
      </c>
      <c r="G8054" s="1" t="s">
        <v>22581</v>
      </c>
      <c r="H8054" s="1">
        <v>2018.0</v>
      </c>
      <c r="I8054" s="1" t="s">
        <v>32</v>
      </c>
      <c r="J8054" s="1" t="s">
        <v>1369</v>
      </c>
      <c r="K8054" s="1" t="s">
        <v>15133</v>
      </c>
      <c r="L8054" s="1" t="s">
        <v>38785</v>
      </c>
      <c r="M8054" s="2" t="s">
        <v>12</v>
      </c>
      <c r="N8054" s="4">
        <f t="shared" si="1"/>
        <v>43474</v>
      </c>
      <c r="O8054" s="5" t="str">
        <f>IFERROR(__xludf.DUMMYFUNCTION("IF(REGEXMATCH(TRIM(I8054), ""^\d+\s*min""), ""Unclassified"", IF(I8054 = """", ""NR"", I8054))"),"PG-13")</f>
        <v>PG-13</v>
      </c>
      <c r="R8054" s="5" t="str">
        <f t="shared" si="2"/>
        <v>Solo: A Star Wars Story (Spanish Version)</v>
      </c>
      <c r="S8054" s="5" t="str">
        <f>IFERROR(__xludf.DUMMYFUNCTION("""COMPUTED_VALUE"""),"Todo Sobre El Asado")</f>
        <v>Todo Sobre El Asado</v>
      </c>
      <c r="V8054" s="5"/>
      <c r="Y8054" s="5" t="str">
        <f>IFERROR(__xludf.DUMMYFUNCTION("REGEXEXTRACT(J8054, ""^\d+"")"),"135")</f>
        <v>135</v>
      </c>
      <c r="Z8054" s="5" t="str">
        <f>IFERROR(__xludf.DUMMYFUNCTION("REGEXEXTRACT(J8054, ""[A-Za-z ]+$"")")," min")</f>
        <v> min</v>
      </c>
      <c r="AA8054" s="5" t="str">
        <f>IFERROR(__xludf.DUMMYFUNCTION("IF(REGEXMATCH(Z8054, ""Season""), ""TV Show"", ""Movie"")"),"Movie")</f>
        <v>Movie</v>
      </c>
    </row>
    <row r="8055">
      <c r="A8055" s="1" t="s">
        <v>38788</v>
      </c>
      <c r="B8055" s="1" t="s">
        <v>27</v>
      </c>
      <c r="C8055" s="1" t="s">
        <v>38789</v>
      </c>
      <c r="D8055" s="1" t="s">
        <v>15669</v>
      </c>
      <c r="E8055" s="1" t="s">
        <v>38790</v>
      </c>
      <c r="F8055" s="1" t="s">
        <v>38791</v>
      </c>
      <c r="G8055" s="1" t="s">
        <v>26235</v>
      </c>
      <c r="H8055" s="1">
        <v>2009.0</v>
      </c>
      <c r="I8055" s="1" t="s">
        <v>378</v>
      </c>
      <c r="J8055" s="1" t="s">
        <v>106</v>
      </c>
      <c r="K8055" s="1" t="s">
        <v>13636</v>
      </c>
      <c r="L8055" s="1" t="s">
        <v>38792</v>
      </c>
      <c r="M8055" s="2" t="s">
        <v>12</v>
      </c>
      <c r="N8055" s="4">
        <f t="shared" si="1"/>
        <v>43146</v>
      </c>
      <c r="O8055" s="5" t="str">
        <f>IFERROR(__xludf.DUMMYFUNCTION("IF(REGEXMATCH(TRIM(I8055), ""^\d+\s*min""), ""Unclassified"", IF(I8055 = """", ""NR"", I8055))"),"R")</f>
        <v>R</v>
      </c>
      <c r="R8055" s="5" t="str">
        <f t="shared" si="2"/>
        <v>Solomon Kane</v>
      </c>
      <c r="S8055" s="5" t="str">
        <f>IFERROR(__xludf.DUMMYFUNCTION("""COMPUTED_VALUE"""),"Together")</f>
        <v>Together</v>
      </c>
      <c r="V8055" s="5"/>
      <c r="Y8055" s="5" t="str">
        <f>IFERROR(__xludf.DUMMYFUNCTION("REGEXEXTRACT(J8055, ""^\d+"")"),"104")</f>
        <v>104</v>
      </c>
      <c r="Z8055" s="5" t="str">
        <f>IFERROR(__xludf.DUMMYFUNCTION("REGEXEXTRACT(J8055, ""[A-Za-z ]+$"")")," min")</f>
        <v> min</v>
      </c>
      <c r="AA8055" s="5" t="str">
        <f>IFERROR(__xludf.DUMMYFUNCTION("IF(REGEXMATCH(Z8055, ""Season""), ""TV Show"", ""Movie"")"),"Movie")</f>
        <v>Movie</v>
      </c>
    </row>
    <row r="8056">
      <c r="A8056" s="1" t="s">
        <v>38793</v>
      </c>
      <c r="B8056" s="1" t="s">
        <v>27</v>
      </c>
      <c r="C8056" s="1" t="s">
        <v>38794</v>
      </c>
      <c r="D8056" s="1" t="s">
        <v>38795</v>
      </c>
      <c r="E8056" s="1" t="s">
        <v>38796</v>
      </c>
      <c r="F8056" s="1" t="s">
        <v>30</v>
      </c>
      <c r="G8056" s="1" t="s">
        <v>26591</v>
      </c>
      <c r="H8056" s="1">
        <v>2017.0</v>
      </c>
      <c r="I8056" s="1" t="s">
        <v>42</v>
      </c>
      <c r="J8056" s="1" t="s">
        <v>247</v>
      </c>
      <c r="K8056" s="1" t="s">
        <v>828</v>
      </c>
      <c r="L8056" s="1" t="s">
        <v>38797</v>
      </c>
      <c r="M8056" s="2" t="s">
        <v>12</v>
      </c>
      <c r="N8056" s="4">
        <f t="shared" si="1"/>
        <v>43087</v>
      </c>
      <c r="O8056" s="5" t="str">
        <f>IFERROR(__xludf.DUMMYFUNCTION("IF(REGEXMATCH(TRIM(I8056), ""^\d+\s*min""), ""Unclassified"", IF(I8056 = """", ""NR"", I8056))"),"TV-MA")</f>
        <v>TV-MA</v>
      </c>
      <c r="R8056" s="5" t="str">
        <f t="shared" si="2"/>
        <v>Some Freaks</v>
      </c>
      <c r="S8056" s="5" t="str">
        <f>IFERROR(__xludf.DUMMYFUNCTION("""COMPUTED_VALUE"""),"Together For Eternity")</f>
        <v>Together For Eternity</v>
      </c>
      <c r="V8056" s="5"/>
      <c r="Y8056" s="5" t="str">
        <f>IFERROR(__xludf.DUMMYFUNCTION("REGEXEXTRACT(J8056, ""^\d+"")"),"97")</f>
        <v>97</v>
      </c>
      <c r="Z8056" s="5" t="str">
        <f>IFERROR(__xludf.DUMMYFUNCTION("REGEXEXTRACT(J8056, ""[A-Za-z ]+$"")")," min")</f>
        <v> min</v>
      </c>
      <c r="AA8056" s="5" t="str">
        <f>IFERROR(__xludf.DUMMYFUNCTION("IF(REGEXMATCH(Z8056, ""Season""), ""TV Show"", ""Movie"")"),"Movie")</f>
        <v>Movie</v>
      </c>
    </row>
    <row r="8057">
      <c r="A8057" s="1" t="s">
        <v>38798</v>
      </c>
      <c r="B8057" s="1" t="s">
        <v>27</v>
      </c>
      <c r="C8057" s="1" t="s">
        <v>38799</v>
      </c>
      <c r="D8057" s="1" t="s">
        <v>16528</v>
      </c>
      <c r="E8057" s="1" t="s">
        <v>38800</v>
      </c>
      <c r="F8057" s="1" t="s">
        <v>30</v>
      </c>
      <c r="G8057" s="1" t="s">
        <v>19813</v>
      </c>
      <c r="H8057" s="1">
        <v>2003.0</v>
      </c>
      <c r="I8057" s="1" t="s">
        <v>32</v>
      </c>
      <c r="J8057" s="1" t="s">
        <v>757</v>
      </c>
      <c r="K8057" s="1" t="s">
        <v>813</v>
      </c>
      <c r="L8057" s="1" t="s">
        <v>38801</v>
      </c>
      <c r="M8057" s="2" t="s">
        <v>12</v>
      </c>
      <c r="N8057" s="4">
        <f t="shared" si="1"/>
        <v>43678</v>
      </c>
      <c r="O8057" s="5" t="str">
        <f>IFERROR(__xludf.DUMMYFUNCTION("IF(REGEXMATCH(TRIM(I8057), ""^\d+\s*min""), ""Unclassified"", IF(I8057 = """", ""NR"", I8057))"),"PG-13")</f>
        <v>PG-13</v>
      </c>
      <c r="R8057" s="5" t="str">
        <f t="shared" si="2"/>
        <v>Something'S Gotta Give</v>
      </c>
      <c r="S8057" s="5" t="str">
        <f>IFERROR(__xludf.DUMMYFUNCTION("""COMPUTED_VALUE"""),"Toilet: Ek Prem Katha")</f>
        <v>Toilet: Ek Prem Katha</v>
      </c>
      <c r="V8057" s="5"/>
      <c r="Y8057" s="5" t="str">
        <f>IFERROR(__xludf.DUMMYFUNCTION("REGEXEXTRACT(J8057, ""^\d+"")"),"128")</f>
        <v>128</v>
      </c>
      <c r="Z8057" s="5" t="str">
        <f>IFERROR(__xludf.DUMMYFUNCTION("REGEXEXTRACT(J8057, ""[A-Za-z ]+$"")")," min")</f>
        <v> min</v>
      </c>
      <c r="AA8057" s="5" t="str">
        <f>IFERROR(__xludf.DUMMYFUNCTION("IF(REGEXMATCH(Z8057, ""Season""), ""TV Show"", ""Movie"")"),"Movie")</f>
        <v>Movie</v>
      </c>
    </row>
    <row r="8058">
      <c r="A8058" s="1" t="s">
        <v>38802</v>
      </c>
      <c r="B8058" s="1" t="s">
        <v>27</v>
      </c>
      <c r="C8058" s="1" t="s">
        <v>38803</v>
      </c>
      <c r="D8058" s="1" t="s">
        <v>12146</v>
      </c>
      <c r="E8058" s="1" t="s">
        <v>38804</v>
      </c>
      <c r="F8058" s="1" t="s">
        <v>38805</v>
      </c>
      <c r="G8058" s="1" t="s">
        <v>25080</v>
      </c>
      <c r="H8058" s="1">
        <v>2014.0</v>
      </c>
      <c r="I8058" s="1" t="s">
        <v>378</v>
      </c>
      <c r="J8058" s="1" t="s">
        <v>1065</v>
      </c>
      <c r="K8058" s="1" t="s">
        <v>8559</v>
      </c>
      <c r="L8058" s="1" t="s">
        <v>38806</v>
      </c>
      <c r="M8058" s="2" t="s">
        <v>12</v>
      </c>
      <c r="N8058" s="4">
        <f t="shared" si="1"/>
        <v>43300</v>
      </c>
      <c r="O8058" s="5" t="str">
        <f>IFERROR(__xludf.DUMMYFUNCTION("IF(REGEXMATCH(TRIM(I8058), ""^\d+\s*min""), ""Unclassified"", IF(I8058 = """", ""NR"", I8058))"),"R")</f>
        <v>R</v>
      </c>
      <c r="R8058" s="5" t="str">
        <f t="shared" si="2"/>
        <v>Son Of A Gun</v>
      </c>
      <c r="S8058" s="5" t="str">
        <f>IFERROR(__xludf.DUMMYFUNCTION("""COMPUTED_VALUE"""),"Tokyo Idols")</f>
        <v>Tokyo Idols</v>
      </c>
      <c r="V8058" s="5"/>
      <c r="Y8058" s="5" t="str">
        <f>IFERROR(__xludf.DUMMYFUNCTION("REGEXEXTRACT(J8058, ""^\d+"")"),"109")</f>
        <v>109</v>
      </c>
      <c r="Z8058" s="5" t="str">
        <f>IFERROR(__xludf.DUMMYFUNCTION("REGEXEXTRACT(J8058, ""[A-Za-z ]+$"")")," min")</f>
        <v> min</v>
      </c>
      <c r="AA8058" s="5" t="str">
        <f>IFERROR(__xludf.DUMMYFUNCTION("IF(REGEXMATCH(Z8058, ""Season""), ""TV Show"", ""Movie"")"),"Movie")</f>
        <v>Movie</v>
      </c>
    </row>
    <row r="8059">
      <c r="A8059" s="1" t="s">
        <v>38807</v>
      </c>
      <c r="B8059" s="1" t="s">
        <v>27</v>
      </c>
      <c r="C8059" s="1" t="s">
        <v>38808</v>
      </c>
      <c r="D8059" s="1" t="s">
        <v>10637</v>
      </c>
      <c r="F8059" s="1" t="s">
        <v>30</v>
      </c>
      <c r="G8059" s="1" t="s">
        <v>36932</v>
      </c>
      <c r="H8059" s="1">
        <v>2016.0</v>
      </c>
      <c r="I8059" s="1" t="s">
        <v>30231</v>
      </c>
      <c r="J8059" s="1" t="s">
        <v>5120</v>
      </c>
      <c r="K8059" s="1" t="s">
        <v>645</v>
      </c>
      <c r="L8059" s="1" t="s">
        <v>38809</v>
      </c>
      <c r="M8059" s="2" t="s">
        <v>12</v>
      </c>
      <c r="N8059" s="4">
        <f t="shared" si="1"/>
        <v>42714</v>
      </c>
      <c r="O8059" s="5" t="str">
        <f>IFERROR(__xludf.DUMMYFUNCTION("IF(REGEXMATCH(TRIM(I8059), ""^\d+\s*min""), ""Unclassified"", IF(I8059 = """", ""NR"", I8059))"),"NR")</f>
        <v>NR</v>
      </c>
      <c r="R8059" s="5" t="str">
        <f t="shared" si="2"/>
        <v>Sons Of Ben</v>
      </c>
      <c r="S8059" s="5" t="str">
        <f>IFERROR(__xludf.DUMMYFUNCTION("""COMPUTED_VALUE"""),"Tokyo Trial")</f>
        <v>Tokyo Trial</v>
      </c>
      <c r="V8059" s="5"/>
      <c r="Y8059" s="5" t="str">
        <f>IFERROR(__xludf.DUMMYFUNCTION("REGEXEXTRACT(J8059, ""^\d+"")"),"73")</f>
        <v>73</v>
      </c>
      <c r="Z8059" s="5" t="str">
        <f>IFERROR(__xludf.DUMMYFUNCTION("REGEXEXTRACT(J8059, ""[A-Za-z ]+$"")")," min")</f>
        <v> min</v>
      </c>
      <c r="AA8059" s="5" t="str">
        <f>IFERROR(__xludf.DUMMYFUNCTION("IF(REGEXMATCH(Z8059, ""Season""), ""TV Show"", ""Movie"")"),"Movie")</f>
        <v>Movie</v>
      </c>
    </row>
    <row r="8060">
      <c r="A8060" s="1" t="s">
        <v>38810</v>
      </c>
      <c r="B8060" s="1" t="s">
        <v>37</v>
      </c>
      <c r="C8060" s="1" t="s">
        <v>38811</v>
      </c>
      <c r="E8060" s="1" t="s">
        <v>38812</v>
      </c>
      <c r="F8060" s="1" t="s">
        <v>2796</v>
      </c>
      <c r="G8060" s="7">
        <v>43610.0</v>
      </c>
      <c r="H8060" s="1">
        <v>2016.0</v>
      </c>
      <c r="I8060" s="1" t="s">
        <v>42</v>
      </c>
      <c r="J8060" s="1" t="s">
        <v>51</v>
      </c>
      <c r="K8060" s="1" t="s">
        <v>1907</v>
      </c>
      <c r="L8060" s="1" t="s">
        <v>38813</v>
      </c>
      <c r="M8060" s="2" t="s">
        <v>12</v>
      </c>
      <c r="N8060" s="4">
        <f t="shared" si="1"/>
        <v>43610</v>
      </c>
      <c r="O8060" s="5" t="str">
        <f>IFERROR(__xludf.DUMMYFUNCTION("IF(REGEXMATCH(TRIM(I8060), ""^\d+\s*min""), ""Unclassified"", IF(I8060 = """", ""NR"", I8060))"),"TV-MA")</f>
        <v>TV-MA</v>
      </c>
      <c r="R8060" s="5" t="str">
        <f t="shared" si="2"/>
        <v>Sotus The Series</v>
      </c>
      <c r="S8060" s="5" t="str">
        <f>IFERROR(__xludf.DUMMYFUNCTION("""COMPUTED_VALUE"""),"Toll Booth")</f>
        <v>Toll Booth</v>
      </c>
      <c r="V8060" s="5"/>
      <c r="Y8060" s="5" t="str">
        <f>IFERROR(__xludf.DUMMYFUNCTION("REGEXEXTRACT(J8060, ""^\d+"")"),"1")</f>
        <v>1</v>
      </c>
      <c r="Z8060" s="5" t="str">
        <f>IFERROR(__xludf.DUMMYFUNCTION("REGEXEXTRACT(J8060, ""[A-Za-z ]+$"")")," Season")</f>
        <v> Season</v>
      </c>
      <c r="AA8060" s="5" t="str">
        <f>IFERROR(__xludf.DUMMYFUNCTION("IF(REGEXMATCH(Z8060, ""Season""), ""TV Show"", ""Movie"")"),"TV Show")</f>
        <v>TV Show</v>
      </c>
    </row>
    <row r="8061">
      <c r="A8061" s="1" t="s">
        <v>38814</v>
      </c>
      <c r="B8061" s="1" t="s">
        <v>27</v>
      </c>
      <c r="C8061" s="1" t="s">
        <v>38815</v>
      </c>
      <c r="D8061" s="1" t="s">
        <v>5562</v>
      </c>
      <c r="E8061" s="1" t="s">
        <v>38816</v>
      </c>
      <c r="F8061" s="1" t="s">
        <v>30</v>
      </c>
      <c r="G8061" s="7">
        <v>43968.0</v>
      </c>
      <c r="H8061" s="1">
        <v>2011.0</v>
      </c>
      <c r="I8061" s="1" t="s">
        <v>78</v>
      </c>
      <c r="J8061" s="1" t="s">
        <v>256</v>
      </c>
      <c r="K8061" s="1" t="s">
        <v>38817</v>
      </c>
      <c r="L8061" s="1" t="s">
        <v>38818</v>
      </c>
      <c r="M8061" s="2" t="s">
        <v>12</v>
      </c>
      <c r="N8061" s="4">
        <f t="shared" si="1"/>
        <v>43968</v>
      </c>
      <c r="O8061" s="5" t="str">
        <f>IFERROR(__xludf.DUMMYFUNCTION("IF(REGEXMATCH(TRIM(I8061), ""^\d+\s*min""), ""Unclassified"", IF(I8061 = """", ""NR"", I8061))"),"PG")</f>
        <v>PG</v>
      </c>
      <c r="R8061" s="5" t="str">
        <f t="shared" si="2"/>
        <v>Soul Surfer</v>
      </c>
      <c r="S8061" s="5" t="str">
        <f>IFERROR(__xludf.DUMMYFUNCTION("""COMPUTED_VALUE"""),"Tom And Jerry: The Magic Ring")</f>
        <v>Tom And Jerry: The Magic Ring</v>
      </c>
      <c r="V8061" s="5"/>
      <c r="Y8061" s="5" t="str">
        <f>IFERROR(__xludf.DUMMYFUNCTION("REGEXEXTRACT(J8061, ""^\d+"")"),"106")</f>
        <v>106</v>
      </c>
      <c r="Z8061" s="5" t="str">
        <f>IFERROR(__xludf.DUMMYFUNCTION("REGEXEXTRACT(J8061, ""[A-Za-z ]+$"")")," min")</f>
        <v> min</v>
      </c>
      <c r="AA8061" s="5" t="str">
        <f>IFERROR(__xludf.DUMMYFUNCTION("IF(REGEXMATCH(Z8061, ""Season""), ""TV Show"", ""Movie"")"),"Movie")</f>
        <v>Movie</v>
      </c>
    </row>
    <row r="8062">
      <c r="A8062" s="1" t="s">
        <v>38819</v>
      </c>
      <c r="B8062" s="1" t="s">
        <v>27</v>
      </c>
      <c r="C8062" s="1" t="s">
        <v>38820</v>
      </c>
      <c r="D8062" s="1" t="s">
        <v>5801</v>
      </c>
      <c r="E8062" s="1" t="s">
        <v>38821</v>
      </c>
      <c r="F8062" s="1" t="s">
        <v>30</v>
      </c>
      <c r="G8062" s="1" t="s">
        <v>20110</v>
      </c>
      <c r="H8062" s="1">
        <v>2019.0</v>
      </c>
      <c r="I8062" s="1" t="s">
        <v>42</v>
      </c>
      <c r="J8062" s="1" t="s">
        <v>170</v>
      </c>
      <c r="K8062" s="1" t="s">
        <v>7235</v>
      </c>
      <c r="L8062" s="1" t="s">
        <v>38822</v>
      </c>
      <c r="M8062" s="2" t="s">
        <v>12</v>
      </c>
      <c r="N8062" s="4">
        <f t="shared" si="1"/>
        <v>43647</v>
      </c>
      <c r="O8062" s="5" t="str">
        <f>IFERROR(__xludf.DUMMYFUNCTION("IF(REGEXMATCH(TRIM(I8062), ""^\d+\s*min""), ""Unclassified"", IF(I8062 = """", ""NR"", I8062))"),"TV-MA")</f>
        <v>TV-MA</v>
      </c>
      <c r="R8062" s="5" t="str">
        <f t="shared" si="2"/>
        <v>Soul To Keep</v>
      </c>
      <c r="S8062" s="5" t="str">
        <f>IFERROR(__xludf.DUMMYFUNCTION("""COMPUTED_VALUE"""),"Tom Papa Live In New York City")</f>
        <v>Tom Papa Live In New York City</v>
      </c>
      <c r="V8062" s="5"/>
      <c r="Y8062" s="5" t="str">
        <f>IFERROR(__xludf.DUMMYFUNCTION("REGEXEXTRACT(J8062, ""^\d+"")"),"94")</f>
        <v>94</v>
      </c>
      <c r="Z8062" s="5" t="str">
        <f>IFERROR(__xludf.DUMMYFUNCTION("REGEXEXTRACT(J8062, ""[A-Za-z ]+$"")")," min")</f>
        <v> min</v>
      </c>
      <c r="AA8062" s="5" t="str">
        <f>IFERROR(__xludf.DUMMYFUNCTION("IF(REGEXMATCH(Z8062, ""Season""), ""TV Show"", ""Movie"")"),"Movie")</f>
        <v>Movie</v>
      </c>
    </row>
    <row r="8063">
      <c r="A8063" s="1" t="s">
        <v>38823</v>
      </c>
      <c r="B8063" s="1" t="s">
        <v>27</v>
      </c>
      <c r="C8063" s="1" t="s">
        <v>38824</v>
      </c>
      <c r="D8063" s="1" t="s">
        <v>10854</v>
      </c>
      <c r="F8063" s="1" t="s">
        <v>96</v>
      </c>
      <c r="G8063" s="1" t="s">
        <v>29126</v>
      </c>
      <c r="H8063" s="1">
        <v>2016.0</v>
      </c>
      <c r="I8063" s="1" t="s">
        <v>30231</v>
      </c>
      <c r="J8063" s="1" t="s">
        <v>471</v>
      </c>
      <c r="K8063" s="1" t="s">
        <v>34</v>
      </c>
      <c r="L8063" s="1" t="s">
        <v>38825</v>
      </c>
      <c r="M8063" s="2" t="s">
        <v>12</v>
      </c>
      <c r="N8063" s="4">
        <f t="shared" si="1"/>
        <v>42692</v>
      </c>
      <c r="O8063" s="5" t="str">
        <f>IFERROR(__xludf.DUMMYFUNCTION("IF(REGEXMATCH(TRIM(I8063), ""^\d+\s*min""), ""Unclassified"", IF(I8063 = """", ""NR"", I8063))"),"NR")</f>
        <v>NR</v>
      </c>
      <c r="R8063" s="5" t="str">
        <f t="shared" si="2"/>
        <v>Sour Grapes</v>
      </c>
      <c r="S8063" s="5" t="str">
        <f>IFERROR(__xludf.DUMMYFUNCTION("""COMPUTED_VALUE"""),"Tom Papa: You'Re Doing Great!")</f>
        <v>Tom Papa: You'Re Doing Great!</v>
      </c>
      <c r="V8063" s="5"/>
      <c r="Y8063" s="5" t="str">
        <f>IFERROR(__xludf.DUMMYFUNCTION("REGEXEXTRACT(J8063, ""^\d+"")"),"85")</f>
        <v>85</v>
      </c>
      <c r="Z8063" s="5" t="str">
        <f>IFERROR(__xludf.DUMMYFUNCTION("REGEXEXTRACT(J8063, ""[A-Za-z ]+$"")")," min")</f>
        <v> min</v>
      </c>
      <c r="AA8063" s="5" t="str">
        <f>IFERROR(__xludf.DUMMYFUNCTION("IF(REGEXMATCH(Z8063, ""Season""), ""TV Show"", ""Movie"")"),"Movie")</f>
        <v>Movie</v>
      </c>
    </row>
    <row r="8064">
      <c r="A8064" s="1" t="s">
        <v>38826</v>
      </c>
      <c r="B8064" s="1" t="s">
        <v>37</v>
      </c>
      <c r="C8064" s="1" t="s">
        <v>38827</v>
      </c>
      <c r="E8064" s="1" t="s">
        <v>38828</v>
      </c>
      <c r="F8064" s="1" t="s">
        <v>30</v>
      </c>
      <c r="G8064" s="1" t="s">
        <v>15397</v>
      </c>
      <c r="H8064" s="1">
        <v>2014.0</v>
      </c>
      <c r="I8064" s="1" t="s">
        <v>206</v>
      </c>
      <c r="J8064" s="1" t="s">
        <v>51</v>
      </c>
      <c r="K8064" s="1" t="s">
        <v>290</v>
      </c>
      <c r="L8064" s="1" t="s">
        <v>38829</v>
      </c>
      <c r="M8064" s="2" t="s">
        <v>12</v>
      </c>
      <c r="N8064" s="4">
        <f t="shared" si="1"/>
        <v>43921</v>
      </c>
      <c r="O8064" s="5" t="str">
        <f>IFERROR(__xludf.DUMMYFUNCTION("IF(REGEXMATCH(TRIM(I8064), ""^\d+\s*min""), ""Unclassified"", IF(I8064 = """", ""NR"", I8064))"),"TV-Y")</f>
        <v>TV-Y</v>
      </c>
      <c r="R8064" s="5" t="str">
        <f t="shared" si="2"/>
        <v>Space Racers</v>
      </c>
      <c r="S8064" s="5" t="str">
        <f>IFERROR(__xludf.DUMMYFUNCTION("""COMPUTED_VALUE"""),"Tom Segura: Ball Hog")</f>
        <v>Tom Segura: Ball Hog</v>
      </c>
      <c r="V8064" s="5"/>
      <c r="Y8064" s="5" t="str">
        <f>IFERROR(__xludf.DUMMYFUNCTION("REGEXEXTRACT(J8064, ""^\d+"")"),"1")</f>
        <v>1</v>
      </c>
      <c r="Z8064" s="5" t="str">
        <f>IFERROR(__xludf.DUMMYFUNCTION("REGEXEXTRACT(J8064, ""[A-Za-z ]+$"")")," Season")</f>
        <v> Season</v>
      </c>
      <c r="AA8064" s="5" t="str">
        <f>IFERROR(__xludf.DUMMYFUNCTION("IF(REGEXMATCH(Z8064, ""Season""), ""TV Show"", ""Movie"")"),"TV Show")</f>
        <v>TV Show</v>
      </c>
    </row>
    <row r="8065">
      <c r="A8065" s="1" t="s">
        <v>38830</v>
      </c>
      <c r="B8065" s="1" t="s">
        <v>27</v>
      </c>
      <c r="C8065" s="1" t="s">
        <v>38831</v>
      </c>
      <c r="D8065" s="1" t="s">
        <v>20208</v>
      </c>
      <c r="E8065" s="1" t="s">
        <v>38832</v>
      </c>
      <c r="F8065" s="1" t="s">
        <v>30</v>
      </c>
      <c r="G8065" s="1" t="s">
        <v>18333</v>
      </c>
      <c r="H8065" s="1">
        <v>1976.0</v>
      </c>
      <c r="I8065" s="1" t="s">
        <v>78</v>
      </c>
      <c r="J8065" s="1" t="s">
        <v>357</v>
      </c>
      <c r="K8065" s="1" t="s">
        <v>7087</v>
      </c>
      <c r="L8065" s="1" t="s">
        <v>38833</v>
      </c>
      <c r="M8065" s="2" t="s">
        <v>12</v>
      </c>
      <c r="N8065" s="4">
        <f t="shared" si="1"/>
        <v>43770</v>
      </c>
      <c r="O8065" s="5" t="str">
        <f>IFERROR(__xludf.DUMMYFUNCTION("IF(REGEXMATCH(TRIM(I8065), ""^\d+\s*min""), ""Unclassified"", IF(I8065 = """", ""NR"", I8065))"),"PG")</f>
        <v>PG</v>
      </c>
      <c r="R8065" s="5" t="str">
        <f t="shared" si="2"/>
        <v>Sparkle</v>
      </c>
      <c r="S8065" s="5" t="str">
        <f>IFERROR(__xludf.DUMMYFUNCTION("""COMPUTED_VALUE"""),"Tom Segura: Completely Normal")</f>
        <v>Tom Segura: Completely Normal</v>
      </c>
      <c r="V8065" s="5"/>
      <c r="Y8065" s="5" t="str">
        <f>IFERROR(__xludf.DUMMYFUNCTION("REGEXEXTRACT(J8065, ""^\d+"")"),"98")</f>
        <v>98</v>
      </c>
      <c r="Z8065" s="5" t="str">
        <f>IFERROR(__xludf.DUMMYFUNCTION("REGEXEXTRACT(J8065, ""[A-Za-z ]+$"")")," min")</f>
        <v> min</v>
      </c>
      <c r="AA8065" s="5" t="str">
        <f>IFERROR(__xludf.DUMMYFUNCTION("IF(REGEXMATCH(Z8065, ""Season""), ""TV Show"", ""Movie"")"),"Movie")</f>
        <v>Movie</v>
      </c>
    </row>
    <row r="8066">
      <c r="A8066" s="1" t="s">
        <v>38834</v>
      </c>
      <c r="B8066" s="1" t="s">
        <v>37</v>
      </c>
      <c r="C8066" s="1" t="s">
        <v>38835</v>
      </c>
      <c r="E8066" s="1" t="s">
        <v>38836</v>
      </c>
      <c r="F8066" s="1" t="s">
        <v>30</v>
      </c>
      <c r="G8066" s="1" t="s">
        <v>38837</v>
      </c>
      <c r="H8066" s="1">
        <v>2013.0</v>
      </c>
      <c r="I8066" s="1" t="s">
        <v>42</v>
      </c>
      <c r="J8066" s="1" t="s">
        <v>148</v>
      </c>
      <c r="K8066" s="1" t="s">
        <v>9973</v>
      </c>
      <c r="L8066" s="1" t="s">
        <v>38838</v>
      </c>
      <c r="M8066" s="2" t="s">
        <v>12</v>
      </c>
      <c r="N8066" s="1" t="str">
        <f t="shared" si="1"/>
        <v>#N/A</v>
      </c>
      <c r="O8066" s="5" t="str">
        <f>IFERROR(__xludf.DUMMYFUNCTION("IF(REGEXMATCH(TRIM(I8066), ""^\d+\s*min""), ""Unclassified"", IF(I8066 = """", ""NR"", I8066))"),"TV-MA")</f>
        <v>TV-MA</v>
      </c>
      <c r="R8066" s="5" t="str">
        <f t="shared" si="2"/>
        <v>Spartacus</v>
      </c>
      <c r="S8066" s="5" t="str">
        <f>IFERROR(__xludf.DUMMYFUNCTION("""COMPUTED_VALUE"""),"Tom Segura: Disgraceful")</f>
        <v>Tom Segura: Disgraceful</v>
      </c>
      <c r="V8066" s="5"/>
      <c r="Y8066" s="5" t="str">
        <f>IFERROR(__xludf.DUMMYFUNCTION("REGEXEXTRACT(J8066, ""^\d+"")"),"4")</f>
        <v>4</v>
      </c>
      <c r="Z8066" s="5" t="str">
        <f>IFERROR(__xludf.DUMMYFUNCTION("REGEXEXTRACT(J8066, ""[A-Za-z ]+$"")")," Seasons")</f>
        <v> Seasons</v>
      </c>
      <c r="AA8066" s="5" t="str">
        <f>IFERROR(__xludf.DUMMYFUNCTION("IF(REGEXMATCH(Z8066, ""Season""), ""TV Show"", ""Movie"")"),"TV Show")</f>
        <v>TV Show</v>
      </c>
    </row>
    <row r="8067">
      <c r="A8067" s="1" t="s">
        <v>38839</v>
      </c>
      <c r="B8067" s="1" t="s">
        <v>27</v>
      </c>
      <c r="C8067" s="1" t="s">
        <v>38840</v>
      </c>
      <c r="D8067" s="1" t="s">
        <v>5420</v>
      </c>
      <c r="E8067" s="1" t="s">
        <v>38841</v>
      </c>
      <c r="F8067" s="1" t="s">
        <v>30</v>
      </c>
      <c r="G8067" s="1" t="s">
        <v>36607</v>
      </c>
      <c r="H8067" s="1">
        <v>2017.0</v>
      </c>
      <c r="I8067" s="1" t="s">
        <v>32</v>
      </c>
      <c r="J8067" s="1" t="s">
        <v>322</v>
      </c>
      <c r="K8067" s="1" t="s">
        <v>836</v>
      </c>
      <c r="L8067" s="1" t="s">
        <v>38842</v>
      </c>
      <c r="M8067" s="2" t="s">
        <v>12</v>
      </c>
      <c r="N8067" s="4">
        <f t="shared" si="1"/>
        <v>42922</v>
      </c>
      <c r="O8067" s="5" t="str">
        <f>IFERROR(__xludf.DUMMYFUNCTION("IF(REGEXMATCH(TRIM(I8067), ""^\d+\s*min""), ""Unclassified"", IF(I8067 = """", ""NR"", I8067))"),"PG-13")</f>
        <v>PG-13</v>
      </c>
      <c r="R8067" s="5" t="str">
        <f t="shared" si="2"/>
        <v>Speech &amp; Debate</v>
      </c>
      <c r="S8067" s="5" t="str">
        <f>IFERROR(__xludf.DUMMYFUNCTION("""COMPUTED_VALUE"""),"Tom Segura: Mostly Stories")</f>
        <v>Tom Segura: Mostly Stories</v>
      </c>
      <c r="V8067" s="5"/>
      <c r="Y8067" s="5" t="str">
        <f>IFERROR(__xludf.DUMMYFUNCTION("REGEXEXTRACT(J8067, ""^\d+"")"),"96")</f>
        <v>96</v>
      </c>
      <c r="Z8067" s="5" t="str">
        <f>IFERROR(__xludf.DUMMYFUNCTION("REGEXEXTRACT(J8067, ""[A-Za-z ]+$"")")," min")</f>
        <v> min</v>
      </c>
      <c r="AA8067" s="5" t="str">
        <f>IFERROR(__xludf.DUMMYFUNCTION("IF(REGEXMATCH(Z8067, ""Season""), ""TV Show"", ""Movie"")"),"Movie")</f>
        <v>Movie</v>
      </c>
    </row>
    <row r="8068">
      <c r="A8068" s="1" t="s">
        <v>38843</v>
      </c>
      <c r="B8068" s="1" t="s">
        <v>27</v>
      </c>
      <c r="C8068" s="1" t="s">
        <v>38844</v>
      </c>
      <c r="D8068" s="1" t="s">
        <v>14938</v>
      </c>
      <c r="F8068" s="1" t="s">
        <v>96</v>
      </c>
      <c r="G8068" s="1" t="s">
        <v>16895</v>
      </c>
      <c r="H8068" s="1">
        <v>2019.0</v>
      </c>
      <c r="I8068" s="1" t="s">
        <v>97</v>
      </c>
      <c r="J8068" s="1" t="s">
        <v>6281</v>
      </c>
      <c r="K8068" s="1" t="s">
        <v>645</v>
      </c>
      <c r="L8068" s="1" t="s">
        <v>38845</v>
      </c>
      <c r="M8068" s="2" t="s">
        <v>12</v>
      </c>
      <c r="N8068" s="4">
        <f t="shared" si="1"/>
        <v>43839</v>
      </c>
      <c r="O8068" s="5" t="str">
        <f>IFERROR(__xludf.DUMMYFUNCTION("IF(REGEXMATCH(TRIM(I8068), ""^\d+\s*min""), ""Unclassified"", IF(I8068 = """", ""NR"", I8068))"),"TV-14")</f>
        <v>TV-14</v>
      </c>
      <c r="R8068" s="5" t="str">
        <f t="shared" si="2"/>
        <v>Speed Is My Need</v>
      </c>
      <c r="S8068" s="5" t="str">
        <f>IFERROR(__xludf.DUMMYFUNCTION("""COMPUTED_VALUE"""),"Tomasz Jachimek, Jacek Stramik Laugh At Live")</f>
        <v>Tomasz Jachimek, Jacek Stramik Laugh At Live</v>
      </c>
      <c r="V8068" s="5"/>
      <c r="Y8068" s="5" t="str">
        <f>IFERROR(__xludf.DUMMYFUNCTION("REGEXEXTRACT(J8068, ""^\d+"")"),"75")</f>
        <v>75</v>
      </c>
      <c r="Z8068" s="5" t="str">
        <f>IFERROR(__xludf.DUMMYFUNCTION("REGEXEXTRACT(J8068, ""[A-Za-z ]+$"")")," min")</f>
        <v> min</v>
      </c>
      <c r="AA8068" s="5" t="str">
        <f>IFERROR(__xludf.DUMMYFUNCTION("IF(REGEXMATCH(Z8068, ""Season""), ""TV Show"", ""Movie"")"),"Movie")</f>
        <v>Movie</v>
      </c>
    </row>
    <row r="8069">
      <c r="A8069" s="1" t="s">
        <v>38846</v>
      </c>
      <c r="B8069" s="1" t="s">
        <v>27</v>
      </c>
      <c r="C8069" s="1" t="s">
        <v>38847</v>
      </c>
      <c r="D8069" s="1" t="s">
        <v>20220</v>
      </c>
      <c r="E8069" s="1" t="s">
        <v>38848</v>
      </c>
      <c r="F8069" s="1" t="s">
        <v>30</v>
      </c>
      <c r="G8069" s="1" t="s">
        <v>18333</v>
      </c>
      <c r="H8069" s="1">
        <v>2007.0</v>
      </c>
      <c r="I8069" s="1" t="s">
        <v>32</v>
      </c>
      <c r="J8069" s="1" t="s">
        <v>1938</v>
      </c>
      <c r="K8069" s="1" t="s">
        <v>942</v>
      </c>
      <c r="L8069" s="1" t="s">
        <v>38849</v>
      </c>
      <c r="M8069" s="2" t="s">
        <v>12</v>
      </c>
      <c r="N8069" s="4">
        <f t="shared" si="1"/>
        <v>43770</v>
      </c>
      <c r="O8069" s="5" t="str">
        <f>IFERROR(__xludf.DUMMYFUNCTION("IF(REGEXMATCH(TRIM(I8069), ""^\d+\s*min""), ""Unclassified"", IF(I8069 = """", ""NR"", I8069))"),"PG-13")</f>
        <v>PG-13</v>
      </c>
      <c r="R8069" s="5" t="str">
        <f t="shared" si="2"/>
        <v>Spider-Man 3</v>
      </c>
      <c r="S8069" s="5" t="str">
        <f>IFERROR(__xludf.DUMMYFUNCTION("""COMPUTED_VALUE"""),"Tomorrow Never Dies")</f>
        <v>Tomorrow Never Dies</v>
      </c>
      <c r="V8069" s="5"/>
      <c r="Y8069" s="5" t="str">
        <f>IFERROR(__xludf.DUMMYFUNCTION("REGEXEXTRACT(J8069, ""^\d+"")"),"139")</f>
        <v>139</v>
      </c>
      <c r="Z8069" s="5" t="str">
        <f>IFERROR(__xludf.DUMMYFUNCTION("REGEXEXTRACT(J8069, ""[A-Za-z ]+$"")")," min")</f>
        <v> min</v>
      </c>
      <c r="AA8069" s="5" t="str">
        <f>IFERROR(__xludf.DUMMYFUNCTION("IF(REGEXMATCH(Z8069, ""Season""), ""TV Show"", ""Movie"")"),"Movie")</f>
        <v>Movie</v>
      </c>
    </row>
    <row r="8070">
      <c r="A8070" s="1" t="s">
        <v>38850</v>
      </c>
      <c r="B8070" s="1" t="s">
        <v>27</v>
      </c>
      <c r="C8070" s="1" t="s">
        <v>38851</v>
      </c>
      <c r="D8070" s="1" t="s">
        <v>18055</v>
      </c>
      <c r="E8070" s="1" t="s">
        <v>38852</v>
      </c>
      <c r="F8070" s="1" t="s">
        <v>30</v>
      </c>
      <c r="G8070" s="1" t="s">
        <v>20212</v>
      </c>
      <c r="H8070" s="1">
        <v>2018.0</v>
      </c>
      <c r="I8070" s="1" t="s">
        <v>78</v>
      </c>
      <c r="J8070" s="1" t="s">
        <v>743</v>
      </c>
      <c r="K8070" s="1" t="s">
        <v>973</v>
      </c>
      <c r="L8070" s="1" t="s">
        <v>38853</v>
      </c>
      <c r="M8070" s="2" t="s">
        <v>12</v>
      </c>
      <c r="N8070" s="4">
        <f t="shared" si="1"/>
        <v>43642</v>
      </c>
      <c r="O8070" s="5" t="str">
        <f>IFERROR(__xludf.DUMMYFUNCTION("IF(REGEXMATCH(TRIM(I8070), ""^\d+\s*min""), ""Unclassified"", IF(I8070 = """", ""NR"", I8070))"),"PG")</f>
        <v>PG</v>
      </c>
      <c r="R8070" s="5" t="str">
        <f t="shared" si="2"/>
        <v>Spider-Man: Into The Spider-Verse</v>
      </c>
      <c r="S8070" s="5" t="str">
        <f>IFERROR(__xludf.DUMMYFUNCTION("""COMPUTED_VALUE"""),"Tomorrow With You")</f>
        <v>Tomorrow With You</v>
      </c>
      <c r="V8070" s="5"/>
      <c r="Y8070" s="5" t="str">
        <f>IFERROR(__xludf.DUMMYFUNCTION("REGEXEXTRACT(J8070, ""^\d+"")"),"117")</f>
        <v>117</v>
      </c>
      <c r="Z8070" s="5" t="str">
        <f>IFERROR(__xludf.DUMMYFUNCTION("REGEXEXTRACT(J8070, ""[A-Za-z ]+$"")")," min")</f>
        <v> min</v>
      </c>
      <c r="AA8070" s="5" t="str">
        <f>IFERROR(__xludf.DUMMYFUNCTION("IF(REGEXMATCH(Z8070, ""Season""), ""TV Show"", ""Movie"")"),"Movie")</f>
        <v>Movie</v>
      </c>
    </row>
    <row r="8071">
      <c r="A8071" s="1" t="s">
        <v>38854</v>
      </c>
      <c r="B8071" s="1" t="s">
        <v>27</v>
      </c>
      <c r="C8071" s="1" t="s">
        <v>38855</v>
      </c>
      <c r="D8071" s="1" t="s">
        <v>5905</v>
      </c>
      <c r="E8071" s="1" t="s">
        <v>38856</v>
      </c>
      <c r="F8071" s="1" t="s">
        <v>96</v>
      </c>
      <c r="G8071" s="1" t="s">
        <v>18333</v>
      </c>
      <c r="H8071" s="1">
        <v>2018.0</v>
      </c>
      <c r="I8071" s="1" t="s">
        <v>97</v>
      </c>
      <c r="J8071" s="1" t="s">
        <v>465</v>
      </c>
      <c r="K8071" s="1" t="s">
        <v>34</v>
      </c>
      <c r="L8071" s="1" t="s">
        <v>38857</v>
      </c>
      <c r="M8071" s="2" t="s">
        <v>12</v>
      </c>
      <c r="N8071" s="4">
        <f t="shared" si="1"/>
        <v>43770</v>
      </c>
      <c r="O8071" s="5" t="str">
        <f>IFERROR(__xludf.DUMMYFUNCTION("IF(REGEXMATCH(TRIM(I8071), ""^\d+\s*min""), ""Unclassified"", IF(I8071 = """", ""NR"", I8071))"),"TV-14")</f>
        <v>TV-14</v>
      </c>
      <c r="R8071" s="5" t="str">
        <f t="shared" si="2"/>
        <v>Spitfire: The Plane That Saved The World</v>
      </c>
      <c r="S8071" s="5" t="str">
        <f>IFERROR(__xludf.DUMMYFUNCTION("""COMPUTED_VALUE"""),"Tong: Memories")</f>
        <v>Tong: Memories</v>
      </c>
      <c r="V8071" s="5"/>
      <c r="Y8071" s="5" t="str">
        <f>IFERROR(__xludf.DUMMYFUNCTION("REGEXEXTRACT(J8071, ""^\d+"")"),"95")</f>
        <v>95</v>
      </c>
      <c r="Z8071" s="5" t="str">
        <f>IFERROR(__xludf.DUMMYFUNCTION("REGEXEXTRACT(J8071, ""[A-Za-z ]+$"")")," min")</f>
        <v> min</v>
      </c>
      <c r="AA8071" s="5" t="str">
        <f>IFERROR(__xludf.DUMMYFUNCTION("IF(REGEXMATCH(Z8071, ""Season""), ""TV Show"", ""Movie"")"),"Movie")</f>
        <v>Movie</v>
      </c>
    </row>
    <row r="8072">
      <c r="A8072" s="1" t="s">
        <v>38858</v>
      </c>
      <c r="B8072" s="1" t="s">
        <v>37</v>
      </c>
      <c r="C8072" s="1" t="s">
        <v>38859</v>
      </c>
      <c r="E8072" s="1" t="s">
        <v>38860</v>
      </c>
      <c r="F8072" s="1" t="s">
        <v>30</v>
      </c>
      <c r="G8072" s="1" t="s">
        <v>38861</v>
      </c>
      <c r="H8072" s="1">
        <v>2018.0</v>
      </c>
      <c r="I8072" s="1" t="s">
        <v>206</v>
      </c>
      <c r="J8072" s="1" t="s">
        <v>43</v>
      </c>
      <c r="K8072" s="1" t="s">
        <v>290</v>
      </c>
      <c r="L8072" s="1" t="s">
        <v>38862</v>
      </c>
      <c r="M8072" s="2" t="s">
        <v>12</v>
      </c>
      <c r="N8072" s="1" t="str">
        <f t="shared" si="1"/>
        <v>#N/A</v>
      </c>
      <c r="O8072" s="5" t="str">
        <f>IFERROR(__xludf.DUMMYFUNCTION("IF(REGEXMATCH(TRIM(I8072), ""^\d+\s*min""), ""Unclassified"", IF(I8072 = """", ""NR"", I8072))"),"TV-Y")</f>
        <v>TV-Y</v>
      </c>
      <c r="R8072" s="5" t="str">
        <f t="shared" si="2"/>
        <v>Splash And Bubbles</v>
      </c>
      <c r="S8072" s="5" t="str">
        <f>IFERROR(__xludf.DUMMYFUNCTION("""COMPUTED_VALUE"""),"Tony Manero")</f>
        <v>Tony Manero</v>
      </c>
      <c r="V8072" s="5"/>
      <c r="Y8072" s="5" t="str">
        <f>IFERROR(__xludf.DUMMYFUNCTION("REGEXEXTRACT(J8072, ""^\d+"")"),"2")</f>
        <v>2</v>
      </c>
      <c r="Z8072" s="5" t="str">
        <f>IFERROR(__xludf.DUMMYFUNCTION("REGEXEXTRACT(J8072, ""[A-Za-z ]+$"")")," Seasons")</f>
        <v> Seasons</v>
      </c>
      <c r="AA8072" s="5" t="str">
        <f>IFERROR(__xludf.DUMMYFUNCTION("IF(REGEXMATCH(Z8072, ""Season""), ""TV Show"", ""Movie"")"),"TV Show")</f>
        <v>TV Show</v>
      </c>
    </row>
    <row r="8073">
      <c r="A8073" s="1" t="s">
        <v>38863</v>
      </c>
      <c r="B8073" s="1" t="s">
        <v>27</v>
      </c>
      <c r="C8073" s="1" t="s">
        <v>38864</v>
      </c>
      <c r="D8073" s="1" t="s">
        <v>38865</v>
      </c>
      <c r="E8073" s="1" t="s">
        <v>38866</v>
      </c>
      <c r="F8073" s="1" t="s">
        <v>30</v>
      </c>
      <c r="G8073" s="1" t="s">
        <v>12630</v>
      </c>
      <c r="H8073" s="1">
        <v>2015.0</v>
      </c>
      <c r="I8073" s="1" t="s">
        <v>378</v>
      </c>
      <c r="J8073" s="1" t="s">
        <v>1273</v>
      </c>
      <c r="K8073" s="1" t="s">
        <v>1320</v>
      </c>
      <c r="L8073" s="1" t="s">
        <v>38867</v>
      </c>
      <c r="M8073" s="2" t="s">
        <v>12</v>
      </c>
      <c r="N8073" s="4">
        <f t="shared" si="1"/>
        <v>44034</v>
      </c>
      <c r="O8073" s="5" t="str">
        <f>IFERROR(__xludf.DUMMYFUNCTION("IF(REGEXMATCH(TRIM(I8073), ""^\d+\s*min""), ""Unclassified"", IF(I8073 = """", ""NR"", I8073))"),"R")</f>
        <v>R</v>
      </c>
      <c r="R8073" s="5" t="str">
        <f t="shared" si="2"/>
        <v>Spotlight</v>
      </c>
      <c r="S8073" s="5" t="str">
        <f>IFERROR(__xludf.DUMMYFUNCTION("""COMPUTED_VALUE"""),"Tony Parker: The Final Shot")</f>
        <v>Tony Parker: The Final Shot</v>
      </c>
      <c r="V8073" s="5"/>
      <c r="Y8073" s="5" t="str">
        <f>IFERROR(__xludf.DUMMYFUNCTION("REGEXEXTRACT(J8073, ""^\d+"")"),"129")</f>
        <v>129</v>
      </c>
      <c r="Z8073" s="5" t="str">
        <f>IFERROR(__xludf.DUMMYFUNCTION("REGEXEXTRACT(J8073, ""[A-Za-z ]+$"")")," min")</f>
        <v> min</v>
      </c>
      <c r="AA8073" s="5" t="str">
        <f>IFERROR(__xludf.DUMMYFUNCTION("IF(REGEXMATCH(Z8073, ""Season""), ""TV Show"", ""Movie"")"),"Movie")</f>
        <v>Movie</v>
      </c>
    </row>
    <row r="8074">
      <c r="A8074" s="1" t="s">
        <v>38868</v>
      </c>
      <c r="B8074" s="1" t="s">
        <v>27</v>
      </c>
      <c r="C8074" s="1" t="s">
        <v>38869</v>
      </c>
      <c r="D8074" s="1" t="s">
        <v>9059</v>
      </c>
      <c r="E8074" s="1" t="s">
        <v>38870</v>
      </c>
      <c r="F8074" s="1" t="s">
        <v>2321</v>
      </c>
      <c r="G8074" s="1" t="s">
        <v>38871</v>
      </c>
      <c r="H8074" s="1">
        <v>2012.0</v>
      </c>
      <c r="I8074" s="1" t="s">
        <v>378</v>
      </c>
      <c r="J8074" s="1" t="s">
        <v>170</v>
      </c>
      <c r="K8074" s="1" t="s">
        <v>30960</v>
      </c>
      <c r="L8074" s="1" t="s">
        <v>38872</v>
      </c>
      <c r="M8074" s="2" t="s">
        <v>12</v>
      </c>
      <c r="N8074" s="4">
        <f t="shared" si="1"/>
        <v>44206</v>
      </c>
      <c r="O8074" s="5" t="str">
        <f>IFERROR(__xludf.DUMMYFUNCTION("IF(REGEXMATCH(TRIM(I8074), ""^\d+\s*min""), ""Unclassified"", IF(I8074 = """", ""NR"", I8074))"),"R")</f>
        <v>R</v>
      </c>
      <c r="R8074" s="5" t="str">
        <f t="shared" si="2"/>
        <v>Spring Breakers</v>
      </c>
      <c r="S8074" s="5" t="str">
        <f>IFERROR(__xludf.DUMMYFUNCTION("""COMPUTED_VALUE"""),"Tony Robbins: I Am Not Your Guru")</f>
        <v>Tony Robbins: I Am Not Your Guru</v>
      </c>
      <c r="V8074" s="5"/>
      <c r="Y8074" s="5" t="str">
        <f>IFERROR(__xludf.DUMMYFUNCTION("REGEXEXTRACT(J8074, ""^\d+"")"),"94")</f>
        <v>94</v>
      </c>
      <c r="Z8074" s="5" t="str">
        <f>IFERROR(__xludf.DUMMYFUNCTION("REGEXEXTRACT(J8074, ""[A-Za-z ]+$"")")," min")</f>
        <v> min</v>
      </c>
      <c r="AA8074" s="5" t="str">
        <f>IFERROR(__xludf.DUMMYFUNCTION("IF(REGEXMATCH(Z8074, ""Season""), ""TV Show"", ""Movie"")"),"Movie")</f>
        <v>Movie</v>
      </c>
    </row>
    <row r="8075">
      <c r="A8075" s="1" t="s">
        <v>38873</v>
      </c>
      <c r="B8075" s="1" t="s">
        <v>27</v>
      </c>
      <c r="C8075" s="1" t="s">
        <v>38874</v>
      </c>
      <c r="D8075" s="1" t="s">
        <v>21770</v>
      </c>
      <c r="E8075" s="1" t="s">
        <v>38875</v>
      </c>
      <c r="F8075" s="1" t="s">
        <v>38876</v>
      </c>
      <c r="G8075" s="1" t="s">
        <v>15037</v>
      </c>
      <c r="H8075" s="1">
        <v>2018.0</v>
      </c>
      <c r="I8075" s="1" t="s">
        <v>42</v>
      </c>
      <c r="J8075" s="1" t="s">
        <v>1243</v>
      </c>
      <c r="K8075" s="1" t="s">
        <v>5099</v>
      </c>
      <c r="L8075" s="1" t="s">
        <v>38877</v>
      </c>
      <c r="M8075" s="2" t="s">
        <v>12</v>
      </c>
      <c r="N8075" s="4">
        <f t="shared" si="1"/>
        <v>43936</v>
      </c>
      <c r="O8075" s="5" t="str">
        <f>IFERROR(__xludf.DUMMYFUNCTION("IF(REGEXMATCH(TRIM(I8075), ""^\d+\s*min""), ""Unclassified"", IF(I8075 = """", ""NR"", I8075))"),"TV-MA")</f>
        <v>TV-MA</v>
      </c>
      <c r="R8075" s="5" t="str">
        <f t="shared" si="2"/>
        <v>Sprinter</v>
      </c>
      <c r="S8075" s="5" t="str">
        <f>IFERROR(__xludf.DUMMYFUNCTION("""COMPUTED_VALUE"""),"Too Handsome To Handle")</f>
        <v>Too Handsome To Handle</v>
      </c>
      <c r="V8075" s="5"/>
      <c r="Y8075" s="5" t="str">
        <f>IFERROR(__xludf.DUMMYFUNCTION("REGEXEXTRACT(J8075, ""^\d+"")"),"112")</f>
        <v>112</v>
      </c>
      <c r="Z8075" s="5" t="str">
        <f>IFERROR(__xludf.DUMMYFUNCTION("REGEXEXTRACT(J8075, ""[A-Za-z ]+$"")")," min")</f>
        <v> min</v>
      </c>
      <c r="AA8075" s="5" t="str">
        <f>IFERROR(__xludf.DUMMYFUNCTION("IF(REGEXMATCH(Z8075, ""Season""), ""TV Show"", ""Movie"")"),"Movie")</f>
        <v>Movie</v>
      </c>
    </row>
    <row r="8076">
      <c r="A8076" s="1" t="s">
        <v>38878</v>
      </c>
      <c r="B8076" s="1" t="s">
        <v>27</v>
      </c>
      <c r="C8076" s="1" t="s">
        <v>38879</v>
      </c>
      <c r="D8076" s="1" t="s">
        <v>5217</v>
      </c>
      <c r="E8076" s="1" t="s">
        <v>38880</v>
      </c>
      <c r="F8076" s="1" t="s">
        <v>30</v>
      </c>
      <c r="G8076" s="1" t="s">
        <v>21360</v>
      </c>
      <c r="H8076" s="1">
        <v>2001.0</v>
      </c>
      <c r="I8076" s="1" t="s">
        <v>78</v>
      </c>
      <c r="J8076" s="1" t="s">
        <v>428</v>
      </c>
      <c r="K8076" s="1" t="s">
        <v>137</v>
      </c>
      <c r="L8076" s="1" t="s">
        <v>38881</v>
      </c>
      <c r="M8076" s="2" t="s">
        <v>12</v>
      </c>
      <c r="N8076" s="4">
        <f t="shared" si="1"/>
        <v>43556</v>
      </c>
      <c r="O8076" s="5" t="str">
        <f>IFERROR(__xludf.DUMMYFUNCTION("IF(REGEXMATCH(TRIM(I8076), ""^\d+\s*min""), ""Unclassified"", IF(I8076 = """", ""NR"", I8076))"),"PG")</f>
        <v>PG</v>
      </c>
      <c r="R8076" s="5" t="str">
        <f t="shared" si="2"/>
        <v>Spy Kids</v>
      </c>
      <c r="S8076" s="5" t="str">
        <f>IFERROR(__xludf.DUMMYFUNCTION("""COMPUTED_VALUE"""),"Too Hot To Handle")</f>
        <v>Too Hot To Handle</v>
      </c>
      <c r="V8076" s="5"/>
      <c r="Y8076" s="5" t="str">
        <f>IFERROR(__xludf.DUMMYFUNCTION("REGEXEXTRACT(J8076, ""^\d+"")"),"88")</f>
        <v>88</v>
      </c>
      <c r="Z8076" s="5" t="str">
        <f>IFERROR(__xludf.DUMMYFUNCTION("REGEXEXTRACT(J8076, ""[A-Za-z ]+$"")")," min")</f>
        <v> min</v>
      </c>
      <c r="AA8076" s="5" t="str">
        <f>IFERROR(__xludf.DUMMYFUNCTION("IF(REGEXMATCH(Z8076, ""Season""), ""TV Show"", ""Movie"")"),"Movie")</f>
        <v>Movie</v>
      </c>
    </row>
    <row r="8077">
      <c r="A8077" s="1" t="s">
        <v>38882</v>
      </c>
      <c r="B8077" s="1" t="s">
        <v>27</v>
      </c>
      <c r="C8077" s="1" t="s">
        <v>38883</v>
      </c>
      <c r="D8077" s="1" t="s">
        <v>5217</v>
      </c>
      <c r="E8077" s="1" t="s">
        <v>38884</v>
      </c>
      <c r="F8077" s="1" t="s">
        <v>30</v>
      </c>
      <c r="G8077" s="1" t="s">
        <v>21733</v>
      </c>
      <c r="H8077" s="1">
        <v>2002.0</v>
      </c>
      <c r="I8077" s="1" t="s">
        <v>78</v>
      </c>
      <c r="J8077" s="1" t="s">
        <v>433</v>
      </c>
      <c r="K8077" s="1" t="s">
        <v>137</v>
      </c>
      <c r="L8077" s="1" t="s">
        <v>38885</v>
      </c>
      <c r="M8077" s="2" t="s">
        <v>12</v>
      </c>
      <c r="N8077" s="4">
        <f t="shared" si="1"/>
        <v>43532</v>
      </c>
      <c r="O8077" s="5" t="str">
        <f>IFERROR(__xludf.DUMMYFUNCTION("IF(REGEXMATCH(TRIM(I8077), ""^\d+\s*min""), ""Unclassified"", IF(I8077 = """", ""NR"", I8077))"),"PG")</f>
        <v>PG</v>
      </c>
      <c r="R8077" s="5" t="str">
        <f t="shared" si="2"/>
        <v>Spy Kids 2: The Island Of Lost Dreams</v>
      </c>
      <c r="S8077" s="5" t="str">
        <f>IFERROR(__xludf.DUMMYFUNCTION("""COMPUTED_VALUE"""),"Too Hot To Handle: Brazil")</f>
        <v>Too Hot To Handle: Brazil</v>
      </c>
      <c r="V8077" s="5"/>
      <c r="Y8077" s="5" t="str">
        <f>IFERROR(__xludf.DUMMYFUNCTION("REGEXEXTRACT(J8077, ""^\d+"")"),"100")</f>
        <v>100</v>
      </c>
      <c r="Z8077" s="5" t="str">
        <f>IFERROR(__xludf.DUMMYFUNCTION("REGEXEXTRACT(J8077, ""[A-Za-z ]+$"")")," min")</f>
        <v> min</v>
      </c>
      <c r="AA8077" s="5" t="str">
        <f>IFERROR(__xludf.DUMMYFUNCTION("IF(REGEXMATCH(Z8077, ""Season""), ""TV Show"", ""Movie"")"),"Movie")</f>
        <v>Movie</v>
      </c>
    </row>
    <row r="8078">
      <c r="A8078" s="1" t="s">
        <v>38886</v>
      </c>
      <c r="B8078" s="1" t="s">
        <v>27</v>
      </c>
      <c r="C8078" s="1" t="s">
        <v>38887</v>
      </c>
      <c r="D8078" s="1" t="s">
        <v>5217</v>
      </c>
      <c r="E8078" s="1" t="s">
        <v>38888</v>
      </c>
      <c r="F8078" s="1" t="s">
        <v>30</v>
      </c>
      <c r="G8078" s="1" t="s">
        <v>21360</v>
      </c>
      <c r="H8078" s="1">
        <v>2003.0</v>
      </c>
      <c r="I8078" s="1" t="s">
        <v>78</v>
      </c>
      <c r="J8078" s="1" t="s">
        <v>490</v>
      </c>
      <c r="K8078" s="1" t="s">
        <v>137</v>
      </c>
      <c r="L8078" s="1" t="s">
        <v>38889</v>
      </c>
      <c r="M8078" s="2" t="s">
        <v>12</v>
      </c>
      <c r="N8078" s="4">
        <f t="shared" si="1"/>
        <v>43556</v>
      </c>
      <c r="O8078" s="5" t="str">
        <f>IFERROR(__xludf.DUMMYFUNCTION("IF(REGEXMATCH(TRIM(I8078), ""^\d+\s*min""), ""Unclassified"", IF(I8078 = """", ""NR"", I8078))"),"PG")</f>
        <v>PG</v>
      </c>
      <c r="R8078" s="5" t="str">
        <f t="shared" si="2"/>
        <v>Spy Kids 3: Game Over</v>
      </c>
      <c r="S8078" s="5" t="str">
        <f>IFERROR(__xludf.DUMMYFUNCTION("""COMPUTED_VALUE"""),"Too Hot To Handle: Latino")</f>
        <v>Too Hot To Handle: Latino</v>
      </c>
      <c r="V8078" s="5"/>
      <c r="Y8078" s="5" t="str">
        <f>IFERROR(__xludf.DUMMYFUNCTION("REGEXEXTRACT(J8078, ""^\d+"")"),"83")</f>
        <v>83</v>
      </c>
      <c r="Z8078" s="5" t="str">
        <f>IFERROR(__xludf.DUMMYFUNCTION("REGEXEXTRACT(J8078, ""[A-Za-z ]+$"")")," min")</f>
        <v> min</v>
      </c>
      <c r="AA8078" s="5" t="str">
        <f>IFERROR(__xludf.DUMMYFUNCTION("IF(REGEXMATCH(Z8078, ""Season""), ""TV Show"", ""Movie"")"),"Movie")</f>
        <v>Movie</v>
      </c>
    </row>
    <row r="8079">
      <c r="A8079" s="1" t="s">
        <v>38890</v>
      </c>
      <c r="B8079" s="1" t="s">
        <v>27</v>
      </c>
      <c r="C8079" s="1" t="s">
        <v>38891</v>
      </c>
      <c r="D8079" s="1" t="s">
        <v>10357</v>
      </c>
      <c r="E8079" s="1" t="s">
        <v>38892</v>
      </c>
      <c r="F8079" s="1" t="s">
        <v>784</v>
      </c>
      <c r="G8079" s="1" t="s">
        <v>29673</v>
      </c>
      <c r="H8079" s="1">
        <v>2015.0</v>
      </c>
      <c r="I8079" s="1" t="s">
        <v>42</v>
      </c>
      <c r="J8079" s="1" t="s">
        <v>454</v>
      </c>
      <c r="K8079" s="1" t="s">
        <v>1328</v>
      </c>
      <c r="L8079" s="1" t="s">
        <v>38893</v>
      </c>
      <c r="M8079" s="2" t="s">
        <v>12</v>
      </c>
      <c r="N8079" s="4">
        <f t="shared" si="1"/>
        <v>42522</v>
      </c>
      <c r="O8079" s="5" t="str">
        <f>IFERROR(__xludf.DUMMYFUNCTION("IF(REGEXMATCH(TRIM(I8079), ""^\d+\s*min""), ""Unclassified"", IF(I8079 = """", ""NR"", I8079))"),"TV-MA")</f>
        <v>TV-MA</v>
      </c>
      <c r="R8079" s="5" t="str">
        <f t="shared" si="2"/>
        <v>Spy Time</v>
      </c>
      <c r="S8079" s="5" t="str">
        <f>IFERROR(__xludf.DUMMYFUNCTION("""COMPUTED_VALUE"""),"Too Young The Hero")</f>
        <v>Too Young The Hero</v>
      </c>
      <c r="V8079" s="5"/>
      <c r="Y8079" s="5" t="str">
        <f>IFERROR(__xludf.DUMMYFUNCTION("REGEXEXTRACT(J8079, ""^\d+"")"),"93")</f>
        <v>93</v>
      </c>
      <c r="Z8079" s="5" t="str">
        <f>IFERROR(__xludf.DUMMYFUNCTION("REGEXEXTRACT(J8079, ""[A-Za-z ]+$"")")," min")</f>
        <v> min</v>
      </c>
      <c r="AA8079" s="5" t="str">
        <f>IFERROR(__xludf.DUMMYFUNCTION("IF(REGEXMATCH(Z8079, ""Season""), ""TV Show"", ""Movie"")"),"Movie")</f>
        <v>Movie</v>
      </c>
    </row>
    <row r="8080">
      <c r="A8080" s="1" t="s">
        <v>38894</v>
      </c>
      <c r="B8080" s="1" t="s">
        <v>27</v>
      </c>
      <c r="C8080" s="1" t="s">
        <v>38895</v>
      </c>
      <c r="D8080" s="1" t="s">
        <v>5734</v>
      </c>
      <c r="E8080" s="1" t="s">
        <v>38896</v>
      </c>
      <c r="F8080" s="1" t="s">
        <v>30</v>
      </c>
      <c r="G8080" s="1" t="s">
        <v>19694</v>
      </c>
      <c r="H8080" s="1">
        <v>2018.0</v>
      </c>
      <c r="I8080" s="1" t="s">
        <v>42</v>
      </c>
      <c r="J8080" s="1" t="s">
        <v>238</v>
      </c>
      <c r="K8080" s="1" t="s">
        <v>7235</v>
      </c>
      <c r="L8080" s="1" t="s">
        <v>38897</v>
      </c>
      <c r="M8080" s="2" t="s">
        <v>12</v>
      </c>
      <c r="N8080" s="4">
        <f t="shared" si="1"/>
        <v>43685</v>
      </c>
      <c r="O8080" s="5" t="str">
        <f>IFERROR(__xludf.DUMMYFUNCTION("IF(REGEXMATCH(TRIM(I8080), ""^\d+\s*min""), ""Unclassified"", IF(I8080 = """", ""NR"", I8080))"),"TV-MA")</f>
        <v>TV-MA</v>
      </c>
      <c r="R8080" s="5" t="str">
        <f t="shared" si="2"/>
        <v>St. Agatha</v>
      </c>
      <c r="S8080" s="5" t="str">
        <f>IFERROR(__xludf.DUMMYFUNCTION("""COMPUTED_VALUE"""),"Toon")</f>
        <v>Toon</v>
      </c>
      <c r="V8080" s="5"/>
      <c r="Y8080" s="5" t="str">
        <f>IFERROR(__xludf.DUMMYFUNCTION("REGEXEXTRACT(J8080, ""^\d+"")"),"103")</f>
        <v>103</v>
      </c>
      <c r="Z8080" s="5" t="str">
        <f>IFERROR(__xludf.DUMMYFUNCTION("REGEXEXTRACT(J8080, ""[A-Za-z ]+$"")")," min")</f>
        <v> min</v>
      </c>
      <c r="AA8080" s="5" t="str">
        <f>IFERROR(__xludf.DUMMYFUNCTION("IF(REGEXMATCH(Z8080, ""Season""), ""TV Show"", ""Movie"")"),"Movie")</f>
        <v>Movie</v>
      </c>
    </row>
    <row r="8081">
      <c r="A8081" s="1" t="s">
        <v>38898</v>
      </c>
      <c r="B8081" s="1" t="s">
        <v>27</v>
      </c>
      <c r="C8081" s="1" t="s">
        <v>38899</v>
      </c>
      <c r="D8081" s="1" t="s">
        <v>4977</v>
      </c>
      <c r="E8081" s="1" t="s">
        <v>38900</v>
      </c>
      <c r="F8081" s="1" t="s">
        <v>30</v>
      </c>
      <c r="G8081" s="1" t="s">
        <v>20166</v>
      </c>
      <c r="H8081" s="1">
        <v>2019.0</v>
      </c>
      <c r="I8081" s="1" t="s">
        <v>97</v>
      </c>
      <c r="J8081" s="1" t="s">
        <v>428</v>
      </c>
      <c r="K8081" s="1" t="s">
        <v>171</v>
      </c>
      <c r="L8081" s="1" t="s">
        <v>38901</v>
      </c>
      <c r="M8081" s="2" t="s">
        <v>12</v>
      </c>
      <c r="N8081" s="4">
        <f t="shared" si="1"/>
        <v>43644</v>
      </c>
      <c r="O8081" s="5" t="str">
        <f>IFERROR(__xludf.DUMMYFUNCTION("IF(REGEXMATCH(TRIM(I8081), ""^\d+\s*min""), ""Unclassified"", IF(I8081 = """", ""NR"", I8081))"),"TV-14")</f>
        <v>TV-14</v>
      </c>
      <c r="R8081" s="5" t="str">
        <f t="shared" si="2"/>
        <v>Staged Killer</v>
      </c>
      <c r="S8081" s="5" t="str">
        <f>IFERROR(__xludf.DUMMYFUNCTION("""COMPUTED_VALUE"""),"Tootsies &amp; The Fake")</f>
        <v>Tootsies &amp; The Fake</v>
      </c>
      <c r="V8081" s="5"/>
      <c r="Y8081" s="5" t="str">
        <f>IFERROR(__xludf.DUMMYFUNCTION("REGEXEXTRACT(J8081, ""^\d+"")"),"88")</f>
        <v>88</v>
      </c>
      <c r="Z8081" s="5" t="str">
        <f>IFERROR(__xludf.DUMMYFUNCTION("REGEXEXTRACT(J8081, ""[A-Za-z ]+$"")")," min")</f>
        <v> min</v>
      </c>
      <c r="AA8081" s="5" t="str">
        <f>IFERROR(__xludf.DUMMYFUNCTION("IF(REGEXMATCH(Z8081, ""Season""), ""TV Show"", ""Movie"")"),"Movie")</f>
        <v>Movie</v>
      </c>
    </row>
    <row r="8082">
      <c r="A8082" s="1" t="s">
        <v>38902</v>
      </c>
      <c r="B8082" s="1" t="s">
        <v>27</v>
      </c>
      <c r="C8082" s="1" t="s">
        <v>38903</v>
      </c>
      <c r="D8082" s="1" t="s">
        <v>325</v>
      </c>
      <c r="E8082" s="1" t="s">
        <v>38904</v>
      </c>
      <c r="F8082" s="1" t="s">
        <v>1106</v>
      </c>
      <c r="G8082" s="1" t="s">
        <v>23059</v>
      </c>
      <c r="H8082" s="1">
        <v>2015.0</v>
      </c>
      <c r="I8082" s="1" t="s">
        <v>378</v>
      </c>
      <c r="J8082" s="1" t="s">
        <v>1144</v>
      </c>
      <c r="K8082" s="1" t="s">
        <v>380</v>
      </c>
      <c r="L8082" s="1" t="s">
        <v>38905</v>
      </c>
      <c r="M8082" s="2" t="s">
        <v>12</v>
      </c>
      <c r="N8082" s="4">
        <f t="shared" si="1"/>
        <v>43445</v>
      </c>
      <c r="O8082" s="5" t="str">
        <f>IFERROR(__xludf.DUMMYFUNCTION("IF(REGEXMATCH(TRIM(I8082), ""^\d+\s*min""), ""Unclassified"", IF(I8082 = """", ""NR"", I8082))"),"R")</f>
        <v>R</v>
      </c>
      <c r="R8082" s="5" t="str">
        <f t="shared" si="2"/>
        <v>Standoff</v>
      </c>
      <c r="S8082" s="5" t="str">
        <f>IFERROR(__xludf.DUMMYFUNCTION("""COMPUTED_VALUE"""),"Top 10 Secrets And Mysteries")</f>
        <v>Top 10 Secrets And Mysteries</v>
      </c>
      <c r="V8082" s="5"/>
      <c r="Y8082" s="5" t="str">
        <f>IFERROR(__xludf.DUMMYFUNCTION("REGEXEXTRACT(J8082, ""^\d+"")"),"86")</f>
        <v>86</v>
      </c>
      <c r="Z8082" s="5" t="str">
        <f>IFERROR(__xludf.DUMMYFUNCTION("REGEXEXTRACT(J8082, ""[A-Za-z ]+$"")")," min")</f>
        <v> min</v>
      </c>
      <c r="AA8082" s="5" t="str">
        <f>IFERROR(__xludf.DUMMYFUNCTION("IF(REGEXMATCH(Z8082, ""Season""), ""TV Show"", ""Movie"")"),"Movie")</f>
        <v>Movie</v>
      </c>
    </row>
    <row r="8083">
      <c r="A8083" s="1" t="s">
        <v>38906</v>
      </c>
      <c r="B8083" s="1" t="s">
        <v>27</v>
      </c>
      <c r="C8083" s="1" t="s">
        <v>38907</v>
      </c>
      <c r="D8083" s="1" t="s">
        <v>1423</v>
      </c>
      <c r="F8083" s="1" t="s">
        <v>7585</v>
      </c>
      <c r="G8083" s="1" t="s">
        <v>36779</v>
      </c>
      <c r="H8083" s="1">
        <v>2015.0</v>
      </c>
      <c r="I8083" s="1" t="s">
        <v>97</v>
      </c>
      <c r="J8083" s="1" t="s">
        <v>428</v>
      </c>
      <c r="K8083" s="1" t="s">
        <v>34</v>
      </c>
      <c r="L8083" s="1" t="s">
        <v>38908</v>
      </c>
      <c r="M8083" s="2" t="s">
        <v>12</v>
      </c>
      <c r="N8083" s="4">
        <f t="shared" si="1"/>
        <v>42771</v>
      </c>
      <c r="O8083" s="5" t="str">
        <f>IFERROR(__xludf.DUMMYFUNCTION("IF(REGEXMATCH(TRIM(I8083), ""^\d+\s*min""), ""Unclassified"", IF(I8083 = """", ""NR"", I8083))"),"TV-14")</f>
        <v>TV-14</v>
      </c>
      <c r="R8083" s="5" t="str">
        <f t="shared" si="2"/>
        <v>Star Men</v>
      </c>
      <c r="S8083" s="5" t="str">
        <f>IFERROR(__xludf.DUMMYFUNCTION("""COMPUTED_VALUE"""),"Top Boy")</f>
        <v>Top Boy</v>
      </c>
      <c r="V8083" s="5"/>
      <c r="Y8083" s="5" t="str">
        <f>IFERROR(__xludf.DUMMYFUNCTION("REGEXEXTRACT(J8083, ""^\d+"")"),"88")</f>
        <v>88</v>
      </c>
      <c r="Z8083" s="5" t="str">
        <f>IFERROR(__xludf.DUMMYFUNCTION("REGEXEXTRACT(J8083, ""[A-Za-z ]+$"")")," min")</f>
        <v> min</v>
      </c>
      <c r="AA8083" s="5" t="str">
        <f>IFERROR(__xludf.DUMMYFUNCTION("IF(REGEXMATCH(Z8083, ""Season""), ""TV Show"", ""Movie"")"),"Movie")</f>
        <v>Movie</v>
      </c>
    </row>
    <row r="8084">
      <c r="A8084" s="1" t="s">
        <v>38909</v>
      </c>
      <c r="B8084" s="1" t="s">
        <v>27</v>
      </c>
      <c r="C8084" s="1" t="s">
        <v>38910</v>
      </c>
      <c r="D8084" s="1" t="s">
        <v>19055</v>
      </c>
      <c r="E8084" s="1" t="s">
        <v>38911</v>
      </c>
      <c r="F8084" s="1" t="s">
        <v>30</v>
      </c>
      <c r="G8084" s="1" t="s">
        <v>25278</v>
      </c>
      <c r="H8084" s="1">
        <v>2017.0</v>
      </c>
      <c r="I8084" s="1" t="s">
        <v>32</v>
      </c>
      <c r="J8084" s="1" t="s">
        <v>14290</v>
      </c>
      <c r="K8084" s="1" t="s">
        <v>15133</v>
      </c>
      <c r="L8084" s="1" t="s">
        <v>38912</v>
      </c>
      <c r="M8084" s="2" t="s">
        <v>12</v>
      </c>
      <c r="N8084" s="4">
        <f t="shared" si="1"/>
        <v>43277</v>
      </c>
      <c r="O8084" s="5" t="str">
        <f>IFERROR(__xludf.DUMMYFUNCTION("IF(REGEXMATCH(TRIM(I8084), ""^\d+\s*min""), ""Unclassified"", IF(I8084 = """", ""NR"", I8084))"),"PG-13")</f>
        <v>PG-13</v>
      </c>
      <c r="R8084" s="5" t="str">
        <f t="shared" si="2"/>
        <v>Star Wars: Episode Viii: The Last Jedi</v>
      </c>
      <c r="S8084" s="5" t="str">
        <f>IFERROR(__xludf.DUMMYFUNCTION("""COMPUTED_VALUE"""),"Top Grier")</f>
        <v>Top Grier</v>
      </c>
      <c r="V8084" s="5"/>
      <c r="Y8084" s="5" t="str">
        <f>IFERROR(__xludf.DUMMYFUNCTION("REGEXEXTRACT(J8084, ""^\d+"")"),"152")</f>
        <v>152</v>
      </c>
      <c r="Z8084" s="5" t="str">
        <f>IFERROR(__xludf.DUMMYFUNCTION("REGEXEXTRACT(J8084, ""[A-Za-z ]+$"")")," min")</f>
        <v> min</v>
      </c>
      <c r="AA8084" s="5" t="str">
        <f>IFERROR(__xludf.DUMMYFUNCTION("IF(REGEXMATCH(Z8084, ""Season""), ""TV Show"", ""Movie"")"),"Movie")</f>
        <v>Movie</v>
      </c>
    </row>
    <row r="8085">
      <c r="A8085" s="1" t="s">
        <v>38913</v>
      </c>
      <c r="B8085" s="1" t="s">
        <v>37</v>
      </c>
      <c r="C8085" s="1" t="s">
        <v>38914</v>
      </c>
      <c r="E8085" s="1" t="s">
        <v>38915</v>
      </c>
      <c r="F8085" s="1" t="s">
        <v>30</v>
      </c>
      <c r="G8085" s="1" t="s">
        <v>38916</v>
      </c>
      <c r="H8085" s="1">
        <v>2014.0</v>
      </c>
      <c r="I8085" s="1" t="s">
        <v>97</v>
      </c>
      <c r="J8085" s="1" t="s">
        <v>51</v>
      </c>
      <c r="K8085" s="1" t="s">
        <v>11724</v>
      </c>
      <c r="L8085" s="1" t="s">
        <v>38917</v>
      </c>
      <c r="M8085" s="2" t="s">
        <v>12</v>
      </c>
      <c r="N8085" s="4">
        <f t="shared" si="1"/>
        <v>42110</v>
      </c>
      <c r="O8085" s="5" t="str">
        <f>IFERROR(__xludf.DUMMYFUNCTION("IF(REGEXMATCH(TRIM(I8085), ""^\d+\s*min""), ""Unclassified"", IF(I8085 = """", ""NR"", I8085))"),"TV-14")</f>
        <v>TV-14</v>
      </c>
      <c r="R8085" s="5" t="str">
        <f t="shared" si="2"/>
        <v>Star-Crossed</v>
      </c>
      <c r="S8085" s="5" t="str">
        <f>IFERROR(__xludf.DUMMYFUNCTION("""COMPUTED_VALUE"""),"Top Secret Ufo Projects: Declassified")</f>
        <v>Top Secret Ufo Projects: Declassified</v>
      </c>
      <c r="V8085" s="5"/>
      <c r="Y8085" s="5" t="str">
        <f>IFERROR(__xludf.DUMMYFUNCTION("REGEXEXTRACT(J8085, ""^\d+"")"),"1")</f>
        <v>1</v>
      </c>
      <c r="Z8085" s="5" t="str">
        <f>IFERROR(__xludf.DUMMYFUNCTION("REGEXEXTRACT(J8085, ""[A-Za-z ]+$"")")," Season")</f>
        <v> Season</v>
      </c>
      <c r="AA8085" s="5" t="str">
        <f>IFERROR(__xludf.DUMMYFUNCTION("IF(REGEXMATCH(Z8085, ""Season""), ""TV Show"", ""Movie"")"),"TV Show")</f>
        <v>TV Show</v>
      </c>
    </row>
    <row r="8086">
      <c r="A8086" s="1" t="s">
        <v>38918</v>
      </c>
      <c r="B8086" s="1" t="s">
        <v>27</v>
      </c>
      <c r="C8086" s="1" t="s">
        <v>38919</v>
      </c>
      <c r="D8086" s="1" t="s">
        <v>6030</v>
      </c>
      <c r="E8086" s="1" t="s">
        <v>38920</v>
      </c>
      <c r="F8086" s="1" t="s">
        <v>96</v>
      </c>
      <c r="G8086" s="1" t="s">
        <v>19443</v>
      </c>
      <c r="H8086" s="1">
        <v>2013.0</v>
      </c>
      <c r="I8086" s="1" t="s">
        <v>42</v>
      </c>
      <c r="J8086" s="1" t="s">
        <v>256</v>
      </c>
      <c r="K8086" s="1" t="s">
        <v>89</v>
      </c>
      <c r="L8086" s="1" t="s">
        <v>38921</v>
      </c>
      <c r="M8086" s="2" t="s">
        <v>12</v>
      </c>
      <c r="N8086" s="4">
        <f t="shared" si="1"/>
        <v>43706</v>
      </c>
      <c r="O8086" s="5" t="str">
        <f>IFERROR(__xludf.DUMMYFUNCTION("IF(REGEXMATCH(TRIM(I8086), ""^\d+\s*min""), ""Unclassified"", IF(I8086 = """", ""NR"", I8086))"),"TV-MA")</f>
        <v>TV-MA</v>
      </c>
      <c r="R8086" s="5" t="str">
        <f t="shared" si="2"/>
        <v>Starred Up</v>
      </c>
      <c r="S8086" s="5" t="str">
        <f>IFERROR(__xludf.DUMMYFUNCTION("""COMPUTED_VALUE"""),"Tope: The Bait")</f>
        <v>Tope: The Bait</v>
      </c>
      <c r="V8086" s="5"/>
      <c r="Y8086" s="5" t="str">
        <f>IFERROR(__xludf.DUMMYFUNCTION("REGEXEXTRACT(J8086, ""^\d+"")"),"106")</f>
        <v>106</v>
      </c>
      <c r="Z8086" s="5" t="str">
        <f>IFERROR(__xludf.DUMMYFUNCTION("REGEXEXTRACT(J8086, ""[A-Za-z ]+$"")")," min")</f>
        <v> min</v>
      </c>
      <c r="AA8086" s="5" t="str">
        <f>IFERROR(__xludf.DUMMYFUNCTION("IF(REGEXMATCH(Z8086, ""Season""), ""TV Show"", ""Movie"")"),"Movie")</f>
        <v>Movie</v>
      </c>
    </row>
    <row r="8087">
      <c r="A8087" s="1" t="s">
        <v>38922</v>
      </c>
      <c r="B8087" s="1" t="s">
        <v>37</v>
      </c>
      <c r="C8087" s="1" t="s">
        <v>38923</v>
      </c>
      <c r="E8087" s="1" t="s">
        <v>38924</v>
      </c>
      <c r="F8087" s="1" t="s">
        <v>18594</v>
      </c>
      <c r="G8087" s="1" t="s">
        <v>29495</v>
      </c>
      <c r="H8087" s="1">
        <v>2015.0</v>
      </c>
      <c r="I8087" s="1" t="s">
        <v>42</v>
      </c>
      <c r="J8087" s="1" t="s">
        <v>51</v>
      </c>
      <c r="K8087" s="1" t="s">
        <v>1531</v>
      </c>
      <c r="L8087" s="1" t="s">
        <v>38925</v>
      </c>
      <c r="M8087" s="2" t="s">
        <v>12</v>
      </c>
      <c r="N8087" s="4">
        <f t="shared" si="1"/>
        <v>42614</v>
      </c>
      <c r="O8087" s="5" t="str">
        <f>IFERROR(__xludf.DUMMYFUNCTION("IF(REGEXMATCH(TRIM(I8087), ""^\d+\s*min""), ""Unclassified"", IF(I8087 = """", ""NR"", I8087))"),"TV-MA")</f>
        <v>TV-MA</v>
      </c>
      <c r="R8087" s="5" t="str">
        <f t="shared" si="2"/>
        <v>Station Horizon</v>
      </c>
      <c r="S8087" s="5" t="str">
        <f>IFERROR(__xludf.DUMMYFUNCTION("""COMPUTED_VALUE"""),"Toradora!")</f>
        <v>Toradora!</v>
      </c>
      <c r="V8087" s="5"/>
      <c r="Y8087" s="5" t="str">
        <f>IFERROR(__xludf.DUMMYFUNCTION("REGEXEXTRACT(J8087, ""^\d+"")"),"1")</f>
        <v>1</v>
      </c>
      <c r="Z8087" s="5" t="str">
        <f>IFERROR(__xludf.DUMMYFUNCTION("REGEXEXTRACT(J8087, ""[A-Za-z ]+$"")")," Season")</f>
        <v> Season</v>
      </c>
      <c r="AA8087" s="5" t="str">
        <f>IFERROR(__xludf.DUMMYFUNCTION("IF(REGEXMATCH(Z8087, ""Season""), ""TV Show"", ""Movie"")"),"TV Show")</f>
        <v>TV Show</v>
      </c>
    </row>
    <row r="8088">
      <c r="A8088" s="1" t="s">
        <v>38926</v>
      </c>
      <c r="B8088" s="1" t="s">
        <v>27</v>
      </c>
      <c r="C8088" s="1" t="s">
        <v>38927</v>
      </c>
      <c r="D8088" s="1" t="s">
        <v>17153</v>
      </c>
      <c r="E8088" s="1" t="s">
        <v>38928</v>
      </c>
      <c r="F8088" s="1" t="s">
        <v>30</v>
      </c>
      <c r="G8088" s="1" t="s">
        <v>29635</v>
      </c>
      <c r="H8088" s="1">
        <v>2006.0</v>
      </c>
      <c r="I8088" s="1" t="s">
        <v>136</v>
      </c>
      <c r="J8088" s="1" t="s">
        <v>8095</v>
      </c>
      <c r="K8088" s="1" t="s">
        <v>156</v>
      </c>
      <c r="L8088" s="1" t="s">
        <v>38929</v>
      </c>
      <c r="M8088" s="2" t="s">
        <v>12</v>
      </c>
      <c r="N8088" s="4">
        <f t="shared" si="1"/>
        <v>42552</v>
      </c>
      <c r="O8088" s="5" t="str">
        <f>IFERROR(__xludf.DUMMYFUNCTION("IF(REGEXMATCH(TRIM(I8088), ""^\d+\s*min""), ""Unclassified"", IF(I8088 = """", ""NR"", I8088))"),"TV-PG")</f>
        <v>TV-PG</v>
      </c>
      <c r="R8088" s="5" t="str">
        <f t="shared" si="2"/>
        <v>Stealing History</v>
      </c>
      <c r="S8088" s="5" t="str">
        <f>IFERROR(__xludf.DUMMYFUNCTION("""COMPUTED_VALUE"""),"Torbaaz")</f>
        <v>Torbaaz</v>
      </c>
      <c r="V8088" s="5"/>
      <c r="Y8088" s="5" t="str">
        <f>IFERROR(__xludf.DUMMYFUNCTION("REGEXEXTRACT(J8088, ""^\d+"")"),"52")</f>
        <v>52</v>
      </c>
      <c r="Z8088" s="5" t="str">
        <f>IFERROR(__xludf.DUMMYFUNCTION("REGEXEXTRACT(J8088, ""[A-Za-z ]+$"")")," min")</f>
        <v> min</v>
      </c>
      <c r="AA8088" s="5" t="str">
        <f>IFERROR(__xludf.DUMMYFUNCTION("IF(REGEXMATCH(Z8088, ""Season""), ""TV Show"", ""Movie"")"),"Movie")</f>
        <v>Movie</v>
      </c>
    </row>
    <row r="8089">
      <c r="A8089" s="1" t="s">
        <v>38930</v>
      </c>
      <c r="B8089" s="1" t="s">
        <v>27</v>
      </c>
      <c r="C8089" s="1" t="s">
        <v>38931</v>
      </c>
      <c r="D8089" s="1" t="s">
        <v>3707</v>
      </c>
      <c r="E8089" s="1" t="s">
        <v>38932</v>
      </c>
      <c r="F8089" s="1" t="s">
        <v>30</v>
      </c>
      <c r="G8089" s="1" t="s">
        <v>18333</v>
      </c>
      <c r="H8089" s="1">
        <v>2008.0</v>
      </c>
      <c r="I8089" s="1" t="s">
        <v>378</v>
      </c>
      <c r="J8089" s="1" t="s">
        <v>357</v>
      </c>
      <c r="K8089" s="1" t="s">
        <v>239</v>
      </c>
      <c r="L8089" s="1" t="s">
        <v>38933</v>
      </c>
      <c r="M8089" s="2" t="s">
        <v>12</v>
      </c>
      <c r="N8089" s="4">
        <f t="shared" si="1"/>
        <v>43770</v>
      </c>
      <c r="O8089" s="5" t="str">
        <f>IFERROR(__xludf.DUMMYFUNCTION("IF(REGEXMATCH(TRIM(I8089), ""^\d+\s*min""), ""Unclassified"", IF(I8089 = """", ""NR"", I8089))"),"R")</f>
        <v>R</v>
      </c>
      <c r="R8089" s="5" t="str">
        <f t="shared" si="2"/>
        <v>Step Brothers</v>
      </c>
      <c r="S8089" s="5" t="str">
        <f>IFERROR(__xludf.DUMMYFUNCTION("""COMPUTED_VALUE"""),"Toro")</f>
        <v>Toro</v>
      </c>
      <c r="V8089" s="5"/>
      <c r="Y8089" s="5" t="str">
        <f>IFERROR(__xludf.DUMMYFUNCTION("REGEXEXTRACT(J8089, ""^\d+"")"),"98")</f>
        <v>98</v>
      </c>
      <c r="Z8089" s="5" t="str">
        <f>IFERROR(__xludf.DUMMYFUNCTION("REGEXEXTRACT(J8089, ""[A-Za-z ]+$"")")," min")</f>
        <v> min</v>
      </c>
      <c r="AA8089" s="5" t="str">
        <f>IFERROR(__xludf.DUMMYFUNCTION("IF(REGEXMATCH(Z8089, ""Season""), ""TV Show"", ""Movie"")"),"Movie")</f>
        <v>Movie</v>
      </c>
    </row>
    <row r="8090">
      <c r="A8090" s="1" t="s">
        <v>38934</v>
      </c>
      <c r="B8090" s="1" t="s">
        <v>27</v>
      </c>
      <c r="C8090" s="1" t="s">
        <v>38935</v>
      </c>
      <c r="D8090" s="1" t="s">
        <v>13787</v>
      </c>
      <c r="E8090" s="1" t="s">
        <v>38936</v>
      </c>
      <c r="F8090" s="1" t="s">
        <v>3309</v>
      </c>
      <c r="G8090" s="1" t="s">
        <v>20510</v>
      </c>
      <c r="H8090" s="1">
        <v>2018.0</v>
      </c>
      <c r="I8090" s="1" t="s">
        <v>97</v>
      </c>
      <c r="J8090" s="1" t="s">
        <v>1191</v>
      </c>
      <c r="K8090" s="1" t="s">
        <v>199</v>
      </c>
      <c r="L8090" s="1" t="s">
        <v>38937</v>
      </c>
      <c r="M8090" s="2" t="s">
        <v>12</v>
      </c>
      <c r="N8090" s="4">
        <f t="shared" si="1"/>
        <v>43622</v>
      </c>
      <c r="O8090" s="5" t="str">
        <f>IFERROR(__xludf.DUMMYFUNCTION("IF(REGEXMATCH(TRIM(I8090), ""^\d+\s*min""), ""Unclassified"", IF(I8090 = """", ""NR"", I8090))"),"TV-14")</f>
        <v>TV-14</v>
      </c>
      <c r="R8090" s="5" t="str">
        <f t="shared" si="2"/>
        <v>Step Outside</v>
      </c>
      <c r="S8090" s="5" t="str">
        <f>IFERROR(__xludf.DUMMYFUNCTION("""COMPUTED_VALUE"""),"Tortilla Soup")</f>
        <v>Tortilla Soup</v>
      </c>
      <c r="V8090" s="5"/>
      <c r="Y8090" s="5" t="str">
        <f>IFERROR(__xludf.DUMMYFUNCTION("REGEXEXTRACT(J8090, ""^\d+"")"),"89")</f>
        <v>89</v>
      </c>
      <c r="Z8090" s="5" t="str">
        <f>IFERROR(__xludf.DUMMYFUNCTION("REGEXEXTRACT(J8090, ""[A-Za-z ]+$"")")," min")</f>
        <v> min</v>
      </c>
      <c r="AA8090" s="5" t="str">
        <f>IFERROR(__xludf.DUMMYFUNCTION("IF(REGEXMATCH(Z8090, ""Season""), ""TV Show"", ""Movie"")"),"Movie")</f>
        <v>Movie</v>
      </c>
    </row>
    <row r="8091">
      <c r="A8091" s="1" t="s">
        <v>38938</v>
      </c>
      <c r="B8091" s="1" t="s">
        <v>27</v>
      </c>
      <c r="C8091" s="1" t="s">
        <v>38939</v>
      </c>
      <c r="D8091" s="1" t="s">
        <v>787</v>
      </c>
      <c r="E8091" s="1" t="s">
        <v>38940</v>
      </c>
      <c r="F8091" s="1" t="s">
        <v>30</v>
      </c>
      <c r="G8091" s="1" t="s">
        <v>24649</v>
      </c>
      <c r="H8091" s="1">
        <v>2017.0</v>
      </c>
      <c r="I8091" s="1" t="s">
        <v>378</v>
      </c>
      <c r="J8091" s="1" t="s">
        <v>1144</v>
      </c>
      <c r="K8091" s="1" t="s">
        <v>1551</v>
      </c>
      <c r="L8091" s="1" t="s">
        <v>38941</v>
      </c>
      <c r="M8091" s="2" t="s">
        <v>12</v>
      </c>
      <c r="N8091" s="4">
        <f t="shared" si="1"/>
        <v>43344</v>
      </c>
      <c r="O8091" s="5" t="str">
        <f>IFERROR(__xludf.DUMMYFUNCTION("IF(REGEXMATCH(TRIM(I8091), ""^\d+\s*min""), ""Unclassified"", IF(I8091 = """", ""NR"", I8091))"),"R")</f>
        <v>R</v>
      </c>
      <c r="R8091" s="5" t="str">
        <f t="shared" si="2"/>
        <v>Stephanie</v>
      </c>
      <c r="S8091" s="5" t="str">
        <f>IFERROR(__xludf.DUMMYFUNCTION("""COMPUTED_VALUE"""),"Total Drama")</f>
        <v>Total Drama</v>
      </c>
      <c r="V8091" s="5"/>
      <c r="Y8091" s="5" t="str">
        <f>IFERROR(__xludf.DUMMYFUNCTION("REGEXEXTRACT(J8091, ""^\d+"")"),"86")</f>
        <v>86</v>
      </c>
      <c r="Z8091" s="5" t="str">
        <f>IFERROR(__xludf.DUMMYFUNCTION("REGEXEXTRACT(J8091, ""[A-Za-z ]+$"")")," min")</f>
        <v> min</v>
      </c>
      <c r="AA8091" s="5" t="str">
        <f>IFERROR(__xludf.DUMMYFUNCTION("IF(REGEXMATCH(Z8091, ""Season""), ""TV Show"", ""Movie"")"),"Movie")</f>
        <v>Movie</v>
      </c>
    </row>
    <row r="8092">
      <c r="A8092" s="1" t="s">
        <v>38942</v>
      </c>
      <c r="B8092" s="1" t="s">
        <v>27</v>
      </c>
      <c r="C8092" s="1" t="s">
        <v>38943</v>
      </c>
      <c r="D8092" s="1" t="s">
        <v>2521</v>
      </c>
      <c r="E8092" s="1" t="s">
        <v>21891</v>
      </c>
      <c r="F8092" s="1" t="s">
        <v>63</v>
      </c>
      <c r="G8092" s="1" t="s">
        <v>25994</v>
      </c>
      <c r="H8092" s="1">
        <v>2010.0</v>
      </c>
      <c r="I8092" s="1" t="s">
        <v>97</v>
      </c>
      <c r="J8092" s="1" t="s">
        <v>256</v>
      </c>
      <c r="K8092" s="1" t="s">
        <v>128</v>
      </c>
      <c r="L8092" s="1" t="s">
        <v>38944</v>
      </c>
      <c r="M8092" s="2" t="s">
        <v>12</v>
      </c>
      <c r="N8092" s="4">
        <f t="shared" si="1"/>
        <v>43174</v>
      </c>
      <c r="O8092" s="5" t="str">
        <f>IFERROR(__xludf.DUMMYFUNCTION("IF(REGEXMATCH(TRIM(I8092), ""^\d+\s*min""), ""Unclassified"", IF(I8092 = """", ""NR"", I8092))"),"TV-14")</f>
        <v>TV-14</v>
      </c>
      <c r="R8092" s="5" t="str">
        <f t="shared" si="2"/>
        <v>Sthaniya Sambaad</v>
      </c>
      <c r="S8092" s="5" t="str">
        <f>IFERROR(__xludf.DUMMYFUNCTION("""COMPUTED_VALUE"""),"Total Frat Movie")</f>
        <v>Total Frat Movie</v>
      </c>
      <c r="V8092" s="5"/>
      <c r="Y8092" s="5" t="str">
        <f>IFERROR(__xludf.DUMMYFUNCTION("REGEXEXTRACT(J8092, ""^\d+"")"),"106")</f>
        <v>106</v>
      </c>
      <c r="Z8092" s="5" t="str">
        <f>IFERROR(__xludf.DUMMYFUNCTION("REGEXEXTRACT(J8092, ""[A-Za-z ]+$"")")," min")</f>
        <v> min</v>
      </c>
      <c r="AA8092" s="5" t="str">
        <f>IFERROR(__xludf.DUMMYFUNCTION("IF(REGEXMATCH(Z8092, ""Season""), ""TV Show"", ""Movie"")"),"Movie")</f>
        <v>Movie</v>
      </c>
    </row>
    <row r="8093">
      <c r="A8093" s="1" t="s">
        <v>38945</v>
      </c>
      <c r="B8093" s="1" t="s">
        <v>27</v>
      </c>
      <c r="C8093" s="1" t="s">
        <v>38946</v>
      </c>
      <c r="D8093" s="1" t="s">
        <v>4507</v>
      </c>
      <c r="E8093" s="1" t="s">
        <v>38947</v>
      </c>
      <c r="F8093" s="1" t="s">
        <v>2796</v>
      </c>
      <c r="G8093" s="1" t="s">
        <v>24528</v>
      </c>
      <c r="H8093" s="1">
        <v>2010.0</v>
      </c>
      <c r="I8093" s="1" t="s">
        <v>42</v>
      </c>
      <c r="J8093" s="1" t="s">
        <v>433</v>
      </c>
      <c r="K8093" s="1" t="s">
        <v>1441</v>
      </c>
      <c r="L8093" s="1" t="s">
        <v>38948</v>
      </c>
      <c r="M8093" s="2" t="s">
        <v>12</v>
      </c>
      <c r="N8093" s="4">
        <f t="shared" si="1"/>
        <v>43357</v>
      </c>
      <c r="O8093" s="5" t="str">
        <f>IFERROR(__xludf.DUMMYFUNCTION("IF(REGEXMATCH(TRIM(I8093), ""^\d+\s*min""), ""Unclassified"", IF(I8093 = """", ""NR"", I8093))"),"TV-MA")</f>
        <v>TV-MA</v>
      </c>
      <c r="R8093" s="5" t="str">
        <f t="shared" si="2"/>
        <v>Still</v>
      </c>
      <c r="S8093" s="5" t="str">
        <f>IFERROR(__xludf.DUMMYFUNCTION("""COMPUTED_VALUE"""),"Total Recall")</f>
        <v>Total Recall</v>
      </c>
      <c r="V8093" s="5"/>
      <c r="Y8093" s="5" t="str">
        <f>IFERROR(__xludf.DUMMYFUNCTION("REGEXEXTRACT(J8093, ""^\d+"")"),"100")</f>
        <v>100</v>
      </c>
      <c r="Z8093" s="5" t="str">
        <f>IFERROR(__xludf.DUMMYFUNCTION("REGEXEXTRACT(J8093, ""[A-Za-z ]+$"")")," min")</f>
        <v> min</v>
      </c>
      <c r="AA8093" s="5" t="str">
        <f>IFERROR(__xludf.DUMMYFUNCTION("IF(REGEXMATCH(Z8093, ""Season""), ""TV Show"", ""Movie"")"),"Movie")</f>
        <v>Movie</v>
      </c>
    </row>
    <row r="8094">
      <c r="A8094" s="1" t="s">
        <v>38949</v>
      </c>
      <c r="B8094" s="1" t="s">
        <v>27</v>
      </c>
      <c r="C8094" s="1" t="s">
        <v>38950</v>
      </c>
      <c r="D8094" s="1" t="s">
        <v>11595</v>
      </c>
      <c r="E8094" s="1" t="s">
        <v>38951</v>
      </c>
      <c r="F8094" s="1" t="s">
        <v>30</v>
      </c>
      <c r="G8094" s="1" t="s">
        <v>23564</v>
      </c>
      <c r="H8094" s="1">
        <v>2015.0</v>
      </c>
      <c r="I8094" s="1" t="s">
        <v>136</v>
      </c>
      <c r="J8094" s="1" t="s">
        <v>79</v>
      </c>
      <c r="K8094" s="1" t="s">
        <v>34</v>
      </c>
      <c r="L8094" s="1" t="s">
        <v>38952</v>
      </c>
      <c r="M8094" s="2" t="s">
        <v>12</v>
      </c>
      <c r="N8094" s="4">
        <f t="shared" si="1"/>
        <v>43405</v>
      </c>
      <c r="O8094" s="5" t="str">
        <f>IFERROR(__xludf.DUMMYFUNCTION("IF(REGEXMATCH(TRIM(I8094), ""^\d+\s*min""), ""Unclassified"", IF(I8094 = """", ""NR"", I8094))"),"TV-PG")</f>
        <v>TV-PG</v>
      </c>
      <c r="R8094" s="5" t="str">
        <f t="shared" si="2"/>
        <v>Stink!</v>
      </c>
      <c r="S8094" s="5" t="str">
        <f>IFERROR(__xludf.DUMMYFUNCTION("""COMPUTED_VALUE"""),"Tottaa Pataaka Item Maal")</f>
        <v>Tottaa Pataaka Item Maal</v>
      </c>
      <c r="V8094" s="5"/>
      <c r="Y8094" s="5" t="str">
        <f>IFERROR(__xludf.DUMMYFUNCTION("REGEXEXTRACT(J8094, ""^\d+"")"),"91")</f>
        <v>91</v>
      </c>
      <c r="Z8094" s="5" t="str">
        <f>IFERROR(__xludf.DUMMYFUNCTION("REGEXEXTRACT(J8094, ""[A-Za-z ]+$"")")," min")</f>
        <v> min</v>
      </c>
      <c r="AA8094" s="5" t="str">
        <f>IFERROR(__xludf.DUMMYFUNCTION("IF(REGEXMATCH(Z8094, ""Season""), ""TV Show"", ""Movie"")"),"Movie")</f>
        <v>Movie</v>
      </c>
    </row>
    <row r="8095">
      <c r="A8095" s="1" t="s">
        <v>38953</v>
      </c>
      <c r="B8095" s="1" t="s">
        <v>37</v>
      </c>
      <c r="C8095" s="1" t="s">
        <v>38954</v>
      </c>
      <c r="E8095" s="1" t="s">
        <v>38955</v>
      </c>
      <c r="F8095" s="1" t="s">
        <v>897</v>
      </c>
      <c r="G8095" s="1" t="s">
        <v>33926</v>
      </c>
      <c r="H8095" s="1">
        <v>2010.0</v>
      </c>
      <c r="I8095" s="1" t="s">
        <v>136</v>
      </c>
      <c r="J8095" s="1" t="s">
        <v>51</v>
      </c>
      <c r="K8095" s="1" t="s">
        <v>290</v>
      </c>
      <c r="L8095" s="1" t="s">
        <v>38956</v>
      </c>
      <c r="M8095" s="2" t="s">
        <v>12</v>
      </c>
      <c r="N8095" s="4">
        <f t="shared" si="1"/>
        <v>43085</v>
      </c>
      <c r="O8095" s="5" t="str">
        <f>IFERROR(__xludf.DUMMYFUNCTION("IF(REGEXMATCH(TRIM(I8095), ""^\d+\s*min""), ""Unclassified"", IF(I8095 = """", ""NR"", I8095))"),"TV-PG")</f>
        <v>TV-PG</v>
      </c>
      <c r="R8095" s="5" t="str">
        <f t="shared" si="2"/>
        <v>Stoked</v>
      </c>
      <c r="S8095" s="5" t="str">
        <f>IFERROR(__xludf.DUMMYFUNCTION("""COMPUTED_VALUE"""),"Touch Your Heart")</f>
        <v>Touch Your Heart</v>
      </c>
      <c r="V8095" s="5"/>
      <c r="Y8095" s="5" t="str">
        <f>IFERROR(__xludf.DUMMYFUNCTION("REGEXEXTRACT(J8095, ""^\d+"")"),"1")</f>
        <v>1</v>
      </c>
      <c r="Z8095" s="5" t="str">
        <f>IFERROR(__xludf.DUMMYFUNCTION("REGEXEXTRACT(J8095, ""[A-Za-z ]+$"")")," Season")</f>
        <v> Season</v>
      </c>
      <c r="AA8095" s="5" t="str">
        <f>IFERROR(__xludf.DUMMYFUNCTION("IF(REGEXMATCH(Z8095, ""Season""), ""TV Show"", ""Movie"")"),"TV Show")</f>
        <v>TV Show</v>
      </c>
    </row>
    <row r="8096">
      <c r="A8096" s="1" t="s">
        <v>38957</v>
      </c>
      <c r="B8096" s="1" t="s">
        <v>37</v>
      </c>
      <c r="C8096" s="1" t="s">
        <v>38958</v>
      </c>
      <c r="E8096" s="1" t="s">
        <v>38959</v>
      </c>
      <c r="F8096" s="1" t="s">
        <v>749</v>
      </c>
      <c r="G8096" s="1" t="s">
        <v>20110</v>
      </c>
      <c r="H8096" s="1">
        <v>2017.0</v>
      </c>
      <c r="I8096" s="1" t="s">
        <v>289</v>
      </c>
      <c r="J8096" s="1" t="s">
        <v>51</v>
      </c>
      <c r="K8096" s="1" t="s">
        <v>637</v>
      </c>
      <c r="L8096" s="1" t="s">
        <v>38960</v>
      </c>
      <c r="M8096" s="2" t="s">
        <v>12</v>
      </c>
      <c r="N8096" s="4">
        <f t="shared" si="1"/>
        <v>43647</v>
      </c>
      <c r="O8096" s="5" t="str">
        <f>IFERROR(__xludf.DUMMYFUNCTION("IF(REGEXMATCH(TRIM(I8096), ""^\d+\s*min""), ""Unclassified"", IF(I8096 = """", ""NR"", I8096))"),"TV-Y7")</f>
        <v>TV-Y7</v>
      </c>
      <c r="R8096" s="5" t="str">
        <f t="shared" si="2"/>
        <v>Stone Age</v>
      </c>
      <c r="S8096" s="5" t="str">
        <f>IFERROR(__xludf.DUMMYFUNCTION("""COMPUTED_VALUE"""),"Towies")</f>
        <v>Towies</v>
      </c>
      <c r="V8096" s="5"/>
      <c r="Y8096" s="5" t="str">
        <f>IFERROR(__xludf.DUMMYFUNCTION("REGEXEXTRACT(J8096, ""^\d+"")"),"1")</f>
        <v>1</v>
      </c>
      <c r="Z8096" s="5" t="str">
        <f>IFERROR(__xludf.DUMMYFUNCTION("REGEXEXTRACT(J8096, ""[A-Za-z ]+$"")")," Season")</f>
        <v> Season</v>
      </c>
      <c r="AA8096" s="5" t="str">
        <f>IFERROR(__xludf.DUMMYFUNCTION("IF(REGEXMATCH(Z8096, ""Season""), ""TV Show"", ""Movie"")"),"TV Show")</f>
        <v>TV Show</v>
      </c>
    </row>
    <row r="8097">
      <c r="A8097" s="1" t="s">
        <v>38961</v>
      </c>
      <c r="B8097" s="1" t="s">
        <v>27</v>
      </c>
      <c r="C8097" s="1" t="s">
        <v>38962</v>
      </c>
      <c r="D8097" s="1" t="s">
        <v>1508</v>
      </c>
      <c r="E8097" s="1" t="s">
        <v>38963</v>
      </c>
      <c r="F8097" s="1" t="s">
        <v>30</v>
      </c>
      <c r="G8097" s="1" t="s">
        <v>27276</v>
      </c>
      <c r="H8097" s="1">
        <v>2014.0</v>
      </c>
      <c r="I8097" s="1" t="s">
        <v>32</v>
      </c>
      <c r="J8097" s="1" t="s">
        <v>519</v>
      </c>
      <c r="K8097" s="1" t="s">
        <v>3768</v>
      </c>
      <c r="L8097" s="1" t="s">
        <v>38964</v>
      </c>
      <c r="M8097" s="2" t="s">
        <v>12</v>
      </c>
      <c r="N8097" s="4">
        <f t="shared" si="1"/>
        <v>42986</v>
      </c>
      <c r="O8097" s="5" t="str">
        <f>IFERROR(__xludf.DUMMYFUNCTION("IF(REGEXMATCH(TRIM(I8097), ""^\d+\s*min""), ""Unclassified"", IF(I8097 = """", ""NR"", I8097))"),"PG-13")</f>
        <v>PG-13</v>
      </c>
      <c r="R8097" s="5" t="str">
        <f t="shared" si="2"/>
        <v>Stonehearst Asylum</v>
      </c>
      <c r="S8097" s="5" t="str">
        <f>IFERROR(__xludf.DUMMYFUNCTION("""COMPUTED_VALUE"""),"Toy Boy")</f>
        <v>Toy Boy</v>
      </c>
      <c r="V8097" s="5"/>
      <c r="Y8097" s="5" t="str">
        <f>IFERROR(__xludf.DUMMYFUNCTION("REGEXEXTRACT(J8097, ""^\d+"")"),"113")</f>
        <v>113</v>
      </c>
      <c r="Z8097" s="5" t="str">
        <f>IFERROR(__xludf.DUMMYFUNCTION("REGEXEXTRACT(J8097, ""[A-Za-z ]+$"")")," min")</f>
        <v> min</v>
      </c>
      <c r="AA8097" s="5" t="str">
        <f>IFERROR(__xludf.DUMMYFUNCTION("IF(REGEXMATCH(Z8097, ""Season""), ""TV Show"", ""Movie"")"),"Movie")</f>
        <v>Movie</v>
      </c>
    </row>
    <row r="8098">
      <c r="A8098" s="1" t="s">
        <v>38965</v>
      </c>
      <c r="B8098" s="1" t="s">
        <v>27</v>
      </c>
      <c r="C8098" s="1" t="s">
        <v>38966</v>
      </c>
      <c r="D8098" s="1" t="s">
        <v>1108</v>
      </c>
      <c r="F8098" s="1" t="s">
        <v>38967</v>
      </c>
      <c r="G8098" s="1" t="s">
        <v>38968</v>
      </c>
      <c r="H8098" s="1">
        <v>2014.0</v>
      </c>
      <c r="I8098" s="1" t="s">
        <v>30231</v>
      </c>
      <c r="J8098" s="1" t="s">
        <v>433</v>
      </c>
      <c r="K8098" s="1" t="s">
        <v>520</v>
      </c>
      <c r="L8098" s="1" t="s">
        <v>38969</v>
      </c>
      <c r="M8098" s="2" t="s">
        <v>12</v>
      </c>
      <c r="N8098" s="4">
        <f t="shared" si="1"/>
        <v>42050</v>
      </c>
      <c r="O8098" s="5" t="str">
        <f>IFERROR(__xludf.DUMMYFUNCTION("IF(REGEXMATCH(TRIM(I8098), ""^\d+\s*min""), ""Unclassified"", IF(I8098 = """", ""NR"", I8098))"),"NR")</f>
        <v>NR</v>
      </c>
      <c r="R8098" s="5" t="str">
        <f t="shared" si="2"/>
        <v>Stop At Nothing: The Lance Armstrong Story</v>
      </c>
      <c r="S8098" s="5" t="str">
        <f>IFERROR(__xludf.DUMMYFUNCTION("""COMPUTED_VALUE"""),"Tracers")</f>
        <v>Tracers</v>
      </c>
      <c r="V8098" s="5"/>
      <c r="Y8098" s="5" t="str">
        <f>IFERROR(__xludf.DUMMYFUNCTION("REGEXEXTRACT(J8098, ""^\d+"")"),"100")</f>
        <v>100</v>
      </c>
      <c r="Z8098" s="5" t="str">
        <f>IFERROR(__xludf.DUMMYFUNCTION("REGEXEXTRACT(J8098, ""[A-Za-z ]+$"")")," min")</f>
        <v> min</v>
      </c>
      <c r="AA8098" s="5" t="str">
        <f>IFERROR(__xludf.DUMMYFUNCTION("IF(REGEXMATCH(Z8098, ""Season""), ""TV Show"", ""Movie"")"),"Movie")</f>
        <v>Movie</v>
      </c>
    </row>
    <row r="8099">
      <c r="A8099" s="1" t="s">
        <v>38970</v>
      </c>
      <c r="B8099" s="1" t="s">
        <v>37</v>
      </c>
      <c r="C8099" s="1" t="s">
        <v>38971</v>
      </c>
      <c r="E8099" s="1" t="s">
        <v>38972</v>
      </c>
      <c r="F8099" s="1" t="s">
        <v>30</v>
      </c>
      <c r="G8099" s="1" t="s">
        <v>34831</v>
      </c>
      <c r="H8099" s="1">
        <v>2015.0</v>
      </c>
      <c r="I8099" s="1" t="s">
        <v>42</v>
      </c>
      <c r="J8099" s="1" t="s">
        <v>51</v>
      </c>
      <c r="K8099" s="1" t="s">
        <v>1520</v>
      </c>
      <c r="L8099" s="1" t="s">
        <v>38973</v>
      </c>
      <c r="M8099" s="2" t="s">
        <v>12</v>
      </c>
      <c r="N8099" s="4">
        <f t="shared" si="1"/>
        <v>43668</v>
      </c>
      <c r="O8099" s="5" t="str">
        <f>IFERROR(__xludf.DUMMYFUNCTION("IF(REGEXMATCH(TRIM(I8099), ""^\d+\s*min""), ""Unclassified"", IF(I8099 = """", ""NR"", I8099))"),"TV-MA")</f>
        <v>TV-MA</v>
      </c>
      <c r="R8099" s="5" t="str">
        <f t="shared" si="2"/>
        <v>Storage Wars: Northern Treasures</v>
      </c>
      <c r="S8099" s="5" t="str">
        <f>IFERROR(__xludf.DUMMYFUNCTION("""COMPUTED_VALUE"""),"Tracy Morgan: Staying Alive")</f>
        <v>Tracy Morgan: Staying Alive</v>
      </c>
      <c r="V8099" s="5"/>
      <c r="Y8099" s="5" t="str">
        <f>IFERROR(__xludf.DUMMYFUNCTION("REGEXEXTRACT(J8099, ""^\d+"")"),"1")</f>
        <v>1</v>
      </c>
      <c r="Z8099" s="5" t="str">
        <f>IFERROR(__xludf.DUMMYFUNCTION("REGEXEXTRACT(J8099, ""[A-Za-z ]+$"")")," Season")</f>
        <v> Season</v>
      </c>
      <c r="AA8099" s="5" t="str">
        <f>IFERROR(__xludf.DUMMYFUNCTION("IF(REGEXMATCH(Z8099, ""Season""), ""TV Show"", ""Movie"")"),"TV Show")</f>
        <v>TV Show</v>
      </c>
    </row>
    <row r="8100">
      <c r="A8100" s="1" t="s">
        <v>38974</v>
      </c>
      <c r="B8100" s="1" t="s">
        <v>27</v>
      </c>
      <c r="C8100" s="1" t="s">
        <v>38975</v>
      </c>
      <c r="D8100" s="1" t="s">
        <v>18596</v>
      </c>
      <c r="E8100" s="1" t="s">
        <v>38976</v>
      </c>
      <c r="F8100" s="1" t="s">
        <v>63</v>
      </c>
      <c r="G8100" s="1" t="s">
        <v>27021</v>
      </c>
      <c r="H8100" s="1">
        <v>2017.0</v>
      </c>
      <c r="I8100" s="1" t="s">
        <v>136</v>
      </c>
      <c r="J8100" s="1" t="s">
        <v>2505</v>
      </c>
      <c r="K8100" s="1" t="s">
        <v>215</v>
      </c>
      <c r="L8100" s="1" t="s">
        <v>38977</v>
      </c>
      <c r="M8100" s="2" t="s">
        <v>12</v>
      </c>
      <c r="N8100" s="4">
        <f t="shared" si="1"/>
        <v>43023</v>
      </c>
      <c r="O8100" s="5" t="str">
        <f>IFERROR(__xludf.DUMMYFUNCTION("IF(REGEXMATCH(TRIM(I8100), ""^\d+\s*min""), ""Unclassified"", IF(I8100 = """", ""NR"", I8100))"),"TV-PG")</f>
        <v>TV-PG</v>
      </c>
      <c r="R8100" s="5" t="str">
        <f t="shared" si="2"/>
        <v>Story Of An Egg</v>
      </c>
      <c r="S8100" s="5" t="str">
        <f>IFERROR(__xludf.DUMMYFUNCTION("""COMPUTED_VALUE"""),"Traffic Signal")</f>
        <v>Traffic Signal</v>
      </c>
      <c r="V8100" s="5"/>
      <c r="Y8100" s="5" t="str">
        <f>IFERROR(__xludf.DUMMYFUNCTION("REGEXEXTRACT(J8100, ""^\d+"")"),"132")</f>
        <v>132</v>
      </c>
      <c r="Z8100" s="5" t="str">
        <f>IFERROR(__xludf.DUMMYFUNCTION("REGEXEXTRACT(J8100, ""[A-Za-z ]+$"")")," min")</f>
        <v> min</v>
      </c>
      <c r="AA8100" s="5" t="str">
        <f>IFERROR(__xludf.DUMMYFUNCTION("IF(REGEXMATCH(Z8100, ""Season""), ""TV Show"", ""Movie"")"),"Movie")</f>
        <v>Movie</v>
      </c>
    </row>
    <row r="8101">
      <c r="A8101" s="1" t="s">
        <v>38978</v>
      </c>
      <c r="B8101" s="1" t="s">
        <v>27</v>
      </c>
      <c r="C8101" s="1" t="s">
        <v>38979</v>
      </c>
      <c r="D8101" s="1" t="s">
        <v>10076</v>
      </c>
      <c r="E8101" s="1" t="s">
        <v>38980</v>
      </c>
      <c r="F8101" s="1" t="s">
        <v>30</v>
      </c>
      <c r="G8101" s="1" t="s">
        <v>13218</v>
      </c>
      <c r="H8101" s="1">
        <v>2020.0</v>
      </c>
      <c r="I8101" s="1" t="s">
        <v>42</v>
      </c>
      <c r="J8101" s="1" t="s">
        <v>322</v>
      </c>
      <c r="K8101" s="1" t="s">
        <v>4742</v>
      </c>
      <c r="L8101" s="1" t="s">
        <v>38981</v>
      </c>
      <c r="M8101" s="2" t="s">
        <v>12</v>
      </c>
      <c r="N8101" s="4">
        <f t="shared" si="1"/>
        <v>44008</v>
      </c>
      <c r="O8101" s="5" t="str">
        <f>IFERROR(__xludf.DUMMYFUNCTION("IF(REGEXMATCH(TRIM(I8101), ""^\d+\s*min""), ""Unclassified"", IF(I8101 = """", ""NR"", I8101))"),"TV-MA")</f>
        <v>TV-MA</v>
      </c>
      <c r="R8101" s="5" t="str">
        <f t="shared" si="2"/>
        <v>Straight Up</v>
      </c>
      <c r="S8101" s="5" t="str">
        <f>IFERROR(__xludf.DUMMYFUNCTION("""COMPUTED_VALUE"""),"Tragic Jungle")</f>
        <v>Tragic Jungle</v>
      </c>
      <c r="V8101" s="5"/>
      <c r="Y8101" s="5" t="str">
        <f>IFERROR(__xludf.DUMMYFUNCTION("REGEXEXTRACT(J8101, ""^\d+"")"),"96")</f>
        <v>96</v>
      </c>
      <c r="Z8101" s="5" t="str">
        <f>IFERROR(__xludf.DUMMYFUNCTION("REGEXEXTRACT(J8101, ""[A-Za-z ]+$"")")," min")</f>
        <v> min</v>
      </c>
      <c r="AA8101" s="5" t="str">
        <f>IFERROR(__xludf.DUMMYFUNCTION("IF(REGEXMATCH(Z8101, ""Season""), ""TV Show"", ""Movie"")"),"Movie")</f>
        <v>Movie</v>
      </c>
    </row>
    <row r="8102">
      <c r="A8102" s="1" t="s">
        <v>38982</v>
      </c>
      <c r="B8102" s="1" t="s">
        <v>27</v>
      </c>
      <c r="C8102" s="1" t="s">
        <v>38983</v>
      </c>
      <c r="D8102" s="1" t="s">
        <v>19828</v>
      </c>
      <c r="E8102" s="1" t="s">
        <v>38984</v>
      </c>
      <c r="F8102" s="1" t="s">
        <v>1106</v>
      </c>
      <c r="G8102" s="1" t="s">
        <v>31724</v>
      </c>
      <c r="H8102" s="1">
        <v>2019.0</v>
      </c>
      <c r="I8102" s="1" t="s">
        <v>32</v>
      </c>
      <c r="J8102" s="1" t="s">
        <v>322</v>
      </c>
      <c r="K8102" s="1" t="s">
        <v>394</v>
      </c>
      <c r="L8102" s="1" t="s">
        <v>38985</v>
      </c>
      <c r="M8102" s="2" t="s">
        <v>12</v>
      </c>
      <c r="N8102" s="4">
        <f t="shared" si="1"/>
        <v>44073</v>
      </c>
      <c r="O8102" s="5" t="str">
        <f>IFERROR(__xludf.DUMMYFUNCTION("IF(REGEXMATCH(TRIM(I8102), ""^\d+\s*min""), ""Unclassified"", IF(I8102 = """", ""NR"", I8102))"),"PG-13")</f>
        <v>PG-13</v>
      </c>
      <c r="R8102" s="5" t="str">
        <f t="shared" si="2"/>
        <v>Strange But True</v>
      </c>
      <c r="S8102" s="5" t="str">
        <f>IFERROR(__xludf.DUMMYFUNCTION("""COMPUTED_VALUE"""),"Trailer Park Boys")</f>
        <v>Trailer Park Boys</v>
      </c>
      <c r="V8102" s="5"/>
      <c r="Y8102" s="5" t="str">
        <f>IFERROR(__xludf.DUMMYFUNCTION("REGEXEXTRACT(J8102, ""^\d+"")"),"96")</f>
        <v>96</v>
      </c>
      <c r="Z8102" s="5" t="str">
        <f>IFERROR(__xludf.DUMMYFUNCTION("REGEXEXTRACT(J8102, ""[A-Za-z ]+$"")")," min")</f>
        <v> min</v>
      </c>
      <c r="AA8102" s="5" t="str">
        <f>IFERROR(__xludf.DUMMYFUNCTION("IF(REGEXMATCH(Z8102, ""Season""), ""TV Show"", ""Movie"")"),"Movie")</f>
        <v>Movie</v>
      </c>
    </row>
    <row r="8103">
      <c r="A8103" s="1" t="s">
        <v>38986</v>
      </c>
      <c r="B8103" s="1" t="s">
        <v>27</v>
      </c>
      <c r="C8103" s="1" t="s">
        <v>38987</v>
      </c>
      <c r="D8103" s="1" t="s">
        <v>14540</v>
      </c>
      <c r="E8103" s="1" t="s">
        <v>38988</v>
      </c>
      <c r="F8103" s="1" t="s">
        <v>692</v>
      </c>
      <c r="G8103" s="1" t="s">
        <v>10969</v>
      </c>
      <c r="H8103" s="1">
        <v>2006.0</v>
      </c>
      <c r="I8103" s="1" t="s">
        <v>32</v>
      </c>
      <c r="J8103" s="1" t="s">
        <v>519</v>
      </c>
      <c r="K8103" s="1" t="s">
        <v>813</v>
      </c>
      <c r="L8103" s="1" t="s">
        <v>38989</v>
      </c>
      <c r="M8103" s="2" t="s">
        <v>12</v>
      </c>
      <c r="N8103" s="4">
        <f t="shared" si="1"/>
        <v>44105</v>
      </c>
      <c r="O8103" s="5" t="str">
        <f>IFERROR(__xludf.DUMMYFUNCTION("IF(REGEXMATCH(TRIM(I8103), ""^\d+\s*min""), ""Unclassified"", IF(I8103 = """", ""NR"", I8103))"),"PG-13")</f>
        <v>PG-13</v>
      </c>
      <c r="R8103" s="5" t="str">
        <f t="shared" si="2"/>
        <v>Stranger Than Fiction</v>
      </c>
      <c r="S8103" s="5" t="str">
        <f>IFERROR(__xludf.DUMMYFUNCTION("""COMPUTED_VALUE"""),"Trailer Park Boys Live At The North Pole")</f>
        <v>Trailer Park Boys Live At The North Pole</v>
      </c>
      <c r="V8103" s="5"/>
      <c r="Y8103" s="5" t="str">
        <f>IFERROR(__xludf.DUMMYFUNCTION("REGEXEXTRACT(J8103, ""^\d+"")"),"113")</f>
        <v>113</v>
      </c>
      <c r="Z8103" s="5" t="str">
        <f>IFERROR(__xludf.DUMMYFUNCTION("REGEXEXTRACT(J8103, ""[A-Za-z ]+$"")")," min")</f>
        <v> min</v>
      </c>
      <c r="AA8103" s="5" t="str">
        <f>IFERROR(__xludf.DUMMYFUNCTION("IF(REGEXMATCH(Z8103, ""Season""), ""TV Show"", ""Movie"")"),"Movie")</f>
        <v>Movie</v>
      </c>
    </row>
    <row r="8104">
      <c r="A8104" s="1" t="s">
        <v>38990</v>
      </c>
      <c r="B8104" s="1" t="s">
        <v>37</v>
      </c>
      <c r="C8104" s="1" t="s">
        <v>38991</v>
      </c>
      <c r="E8104" s="1" t="s">
        <v>38992</v>
      </c>
      <c r="F8104" s="1" t="s">
        <v>38993</v>
      </c>
      <c r="G8104" s="1" t="s">
        <v>31602</v>
      </c>
      <c r="H8104" s="1">
        <v>2015.0</v>
      </c>
      <c r="I8104" s="1" t="s">
        <v>206</v>
      </c>
      <c r="J8104" s="1" t="s">
        <v>51</v>
      </c>
      <c r="K8104" s="1" t="s">
        <v>290</v>
      </c>
      <c r="L8104" s="1" t="s">
        <v>38994</v>
      </c>
      <c r="M8104" s="2" t="s">
        <v>12</v>
      </c>
      <c r="N8104" s="4">
        <f t="shared" si="1"/>
        <v>42370</v>
      </c>
      <c r="O8104" s="5" t="str">
        <f>IFERROR(__xludf.DUMMYFUNCTION("IF(REGEXMATCH(TRIM(I8104), ""^\d+\s*min""), ""Unclassified"", IF(I8104 = """", ""NR"", I8104))"),"TV-Y")</f>
        <v>TV-Y</v>
      </c>
      <c r="R8104" s="5" t="str">
        <f t="shared" si="2"/>
        <v>Strawberry Shortcake: Berry Bitty Adventures</v>
      </c>
      <c r="S8104" s="5" t="str">
        <f>IFERROR(__xludf.DUMMYFUNCTION("""COMPUTED_VALUE"""),"Trailer Park Boys Live In F**Kin' Dublin")</f>
        <v>Trailer Park Boys Live In F**Kin' Dublin</v>
      </c>
      <c r="V8104" s="5"/>
      <c r="Y8104" s="5" t="str">
        <f>IFERROR(__xludf.DUMMYFUNCTION("REGEXEXTRACT(J8104, ""^\d+"")"),"1")</f>
        <v>1</v>
      </c>
      <c r="Z8104" s="5" t="str">
        <f>IFERROR(__xludf.DUMMYFUNCTION("REGEXEXTRACT(J8104, ""[A-Za-z ]+$"")")," Season")</f>
        <v> Season</v>
      </c>
      <c r="AA8104" s="5" t="str">
        <f>IFERROR(__xludf.DUMMYFUNCTION("IF(REGEXMATCH(Z8104, ""Season""), ""TV Show"", ""Movie"")"),"TV Show")</f>
        <v>TV Show</v>
      </c>
    </row>
    <row r="8105">
      <c r="A8105" s="1" t="s">
        <v>38995</v>
      </c>
      <c r="B8105" s="1" t="s">
        <v>27</v>
      </c>
      <c r="C8105" s="1" t="s">
        <v>38996</v>
      </c>
      <c r="D8105" s="1" t="s">
        <v>3085</v>
      </c>
      <c r="E8105" s="1" t="s">
        <v>38997</v>
      </c>
      <c r="F8105" s="1" t="s">
        <v>5969</v>
      </c>
      <c r="G8105" s="1" t="s">
        <v>16947</v>
      </c>
      <c r="H8105" s="1">
        <v>1992.0</v>
      </c>
      <c r="I8105" s="1" t="s">
        <v>78</v>
      </c>
      <c r="J8105" s="1" t="s">
        <v>465</v>
      </c>
      <c r="K8105" s="1" t="s">
        <v>38998</v>
      </c>
      <c r="L8105" s="1" t="s">
        <v>38999</v>
      </c>
      <c r="M8105" s="2" t="s">
        <v>12</v>
      </c>
      <c r="N8105" s="4">
        <f t="shared" si="1"/>
        <v>43831</v>
      </c>
      <c r="O8105" s="5" t="str">
        <f>IFERROR(__xludf.DUMMYFUNCTION("IF(REGEXMATCH(TRIM(I8105), ""^\d+\s*min""), ""Unclassified"", IF(I8105 = """", ""NR"", I8105))"),"PG")</f>
        <v>PG</v>
      </c>
      <c r="R8105" s="5" t="str">
        <f t="shared" si="2"/>
        <v>Strictly Ballroom</v>
      </c>
      <c r="S8105" s="5" t="str">
        <f>IFERROR(__xludf.DUMMYFUNCTION("""COMPUTED_VALUE"""),"Trailer Park Boys: Countdown To Liquor Day")</f>
        <v>Trailer Park Boys: Countdown To Liquor Day</v>
      </c>
      <c r="V8105" s="5"/>
      <c r="Y8105" s="5" t="str">
        <f>IFERROR(__xludf.DUMMYFUNCTION("REGEXEXTRACT(J8105, ""^\d+"")"),"95")</f>
        <v>95</v>
      </c>
      <c r="Z8105" s="5" t="str">
        <f>IFERROR(__xludf.DUMMYFUNCTION("REGEXEXTRACT(J8105, ""[A-Za-z ]+$"")")," min")</f>
        <v> min</v>
      </c>
      <c r="AA8105" s="5" t="str">
        <f>IFERROR(__xludf.DUMMYFUNCTION("IF(REGEXMATCH(Z8105, ""Season""), ""TV Show"", ""Movie"")"),"Movie")</f>
        <v>Movie</v>
      </c>
    </row>
    <row r="8106">
      <c r="A8106" s="1" t="s">
        <v>39000</v>
      </c>
      <c r="B8106" s="1" t="s">
        <v>27</v>
      </c>
      <c r="C8106" s="1" t="s">
        <v>39001</v>
      </c>
      <c r="D8106" s="1" t="s">
        <v>7319</v>
      </c>
      <c r="F8106" s="1" t="s">
        <v>21618</v>
      </c>
      <c r="G8106" s="1" t="s">
        <v>28360</v>
      </c>
      <c r="H8106" s="1">
        <v>2016.0</v>
      </c>
      <c r="I8106" s="1" t="s">
        <v>42</v>
      </c>
      <c r="J8106" s="1" t="s">
        <v>471</v>
      </c>
      <c r="K8106" s="1" t="s">
        <v>5201</v>
      </c>
      <c r="L8106" s="1" t="s">
        <v>39002</v>
      </c>
      <c r="M8106" s="2" t="s">
        <v>12</v>
      </c>
      <c r="N8106" s="4">
        <f t="shared" si="1"/>
        <v>42832</v>
      </c>
      <c r="O8106" s="5" t="str">
        <f>IFERROR(__xludf.DUMMYFUNCTION("IF(REGEXMATCH(TRIM(I8106), ""^\d+\s*min""), ""Unclassified"", IF(I8106 = """", ""NR"", I8106))"),"TV-MA")</f>
        <v>TV-MA</v>
      </c>
      <c r="R8106" s="5" t="str">
        <f t="shared" si="2"/>
        <v>Strike A Pose</v>
      </c>
      <c r="S8106" s="5" t="str">
        <f>IFERROR(__xludf.DUMMYFUNCTION("""COMPUTED_VALUE"""),"Trailer Park Boys: Drunk, High And Unemployed: Live In Austin")</f>
        <v>Trailer Park Boys: Drunk, High And Unemployed: Live In Austin</v>
      </c>
      <c r="V8106" s="5"/>
      <c r="Y8106" s="5" t="str">
        <f>IFERROR(__xludf.DUMMYFUNCTION("REGEXEXTRACT(J8106, ""^\d+"")"),"85")</f>
        <v>85</v>
      </c>
      <c r="Z8106" s="5" t="str">
        <f>IFERROR(__xludf.DUMMYFUNCTION("REGEXEXTRACT(J8106, ""[A-Za-z ]+$"")")," min")</f>
        <v> min</v>
      </c>
      <c r="AA8106" s="5" t="str">
        <f>IFERROR(__xludf.DUMMYFUNCTION("IF(REGEXMATCH(Z8106, ""Season""), ""TV Show"", ""Movie"")"),"Movie")</f>
        <v>Movie</v>
      </c>
    </row>
    <row r="8107">
      <c r="A8107" s="1" t="s">
        <v>39003</v>
      </c>
      <c r="B8107" s="1" t="s">
        <v>27</v>
      </c>
      <c r="C8107" s="1" t="s">
        <v>39004</v>
      </c>
      <c r="D8107" s="1" t="s">
        <v>3625</v>
      </c>
      <c r="E8107" s="1" t="s">
        <v>39005</v>
      </c>
      <c r="F8107" s="1" t="s">
        <v>30</v>
      </c>
      <c r="G8107" s="1" t="s">
        <v>19361</v>
      </c>
      <c r="H8107" s="1">
        <v>1981.0</v>
      </c>
      <c r="I8107" s="1" t="s">
        <v>378</v>
      </c>
      <c r="J8107" s="1" t="s">
        <v>256</v>
      </c>
      <c r="K8107" s="1" t="s">
        <v>2174</v>
      </c>
      <c r="L8107" s="1" t="s">
        <v>39006</v>
      </c>
      <c r="M8107" s="2" t="s">
        <v>12</v>
      </c>
      <c r="N8107" s="4">
        <f t="shared" si="1"/>
        <v>43709</v>
      </c>
      <c r="O8107" s="5" t="str">
        <f>IFERROR(__xludf.DUMMYFUNCTION("IF(REGEXMATCH(TRIM(I8107), ""^\d+\s*min""), ""Unclassified"", IF(I8107 = """", ""NR"", I8107))"),"R")</f>
        <v>R</v>
      </c>
      <c r="R8107" s="5" t="str">
        <f t="shared" si="2"/>
        <v>Stripes</v>
      </c>
      <c r="S8107" s="5" t="str">
        <f>IFERROR(__xludf.DUMMYFUNCTION("""COMPUTED_VALUE"""),"Trailer Park Boys: Out Of The Park: Europe")</f>
        <v>Trailer Park Boys: Out Of The Park: Europe</v>
      </c>
      <c r="V8107" s="5"/>
      <c r="Y8107" s="5" t="str">
        <f>IFERROR(__xludf.DUMMYFUNCTION("REGEXEXTRACT(J8107, ""^\d+"")"),"106")</f>
        <v>106</v>
      </c>
      <c r="Z8107" s="5" t="str">
        <f>IFERROR(__xludf.DUMMYFUNCTION("REGEXEXTRACT(J8107, ""[A-Za-z ]+$"")")," min")</f>
        <v> min</v>
      </c>
      <c r="AA8107" s="5" t="str">
        <f>IFERROR(__xludf.DUMMYFUNCTION("IF(REGEXMATCH(Z8107, ""Season""), ""TV Show"", ""Movie"")"),"Movie")</f>
        <v>Movie</v>
      </c>
    </row>
    <row r="8108">
      <c r="A8108" s="1" t="s">
        <v>39007</v>
      </c>
      <c r="B8108" s="1" t="s">
        <v>27</v>
      </c>
      <c r="C8108" s="1" t="s">
        <v>39008</v>
      </c>
      <c r="D8108" s="1" t="s">
        <v>1832</v>
      </c>
      <c r="E8108" s="1" t="s">
        <v>39009</v>
      </c>
      <c r="F8108" s="1" t="s">
        <v>30</v>
      </c>
      <c r="G8108" s="1" t="s">
        <v>8506</v>
      </c>
      <c r="H8108" s="1">
        <v>1996.0</v>
      </c>
      <c r="I8108" s="1" t="s">
        <v>378</v>
      </c>
      <c r="J8108" s="1" t="s">
        <v>743</v>
      </c>
      <c r="K8108" s="1" t="s">
        <v>107</v>
      </c>
      <c r="L8108" s="1" t="s">
        <v>39010</v>
      </c>
      <c r="M8108" s="2" t="s">
        <v>12</v>
      </c>
      <c r="N8108" s="4">
        <f t="shared" si="1"/>
        <v>44197</v>
      </c>
      <c r="O8108" s="5" t="str">
        <f>IFERROR(__xludf.DUMMYFUNCTION("IF(REGEXMATCH(TRIM(I8108), ""^\d+\s*min""), ""Unclassified"", IF(I8108 = """", ""NR"", I8108))"),"R")</f>
        <v>R</v>
      </c>
      <c r="R8108" s="5" t="str">
        <f t="shared" si="2"/>
        <v>Striptease</v>
      </c>
      <c r="S8108" s="5" t="str">
        <f>IFERROR(__xludf.DUMMYFUNCTION("""COMPUTED_VALUE"""),"Trailer Park Boys: Out Of The Park: Usa")</f>
        <v>Trailer Park Boys: Out Of The Park: Usa</v>
      </c>
      <c r="V8108" s="5"/>
      <c r="Y8108" s="5" t="str">
        <f>IFERROR(__xludf.DUMMYFUNCTION("REGEXEXTRACT(J8108, ""^\d+"")"),"117")</f>
        <v>117</v>
      </c>
      <c r="Z8108" s="5" t="str">
        <f>IFERROR(__xludf.DUMMYFUNCTION("REGEXEXTRACT(J8108, ""[A-Za-z ]+$"")")," min")</f>
        <v> min</v>
      </c>
      <c r="AA8108" s="5" t="str">
        <f>IFERROR(__xludf.DUMMYFUNCTION("IF(REGEXMATCH(Z8108, ""Season""), ""TV Show"", ""Movie"")"),"Movie")</f>
        <v>Movie</v>
      </c>
    </row>
    <row r="8109">
      <c r="A8109" s="1" t="s">
        <v>39011</v>
      </c>
      <c r="B8109" s="1" t="s">
        <v>37</v>
      </c>
      <c r="C8109" s="1" t="s">
        <v>39012</v>
      </c>
      <c r="E8109" s="1" t="s">
        <v>39013</v>
      </c>
      <c r="F8109" s="1" t="s">
        <v>749</v>
      </c>
      <c r="G8109" s="1" t="s">
        <v>17876</v>
      </c>
      <c r="H8109" s="1">
        <v>2017.0</v>
      </c>
      <c r="I8109" s="1" t="s">
        <v>97</v>
      </c>
      <c r="J8109" s="1" t="s">
        <v>51</v>
      </c>
      <c r="K8109" s="1" t="s">
        <v>6338</v>
      </c>
      <c r="L8109" s="1" t="s">
        <v>39014</v>
      </c>
      <c r="M8109" s="2" t="s">
        <v>12</v>
      </c>
      <c r="N8109" s="4">
        <f t="shared" si="1"/>
        <v>43793</v>
      </c>
      <c r="O8109" s="5" t="str">
        <f>IFERROR(__xludf.DUMMYFUNCTION("IF(REGEXMATCH(TRIM(I8109), ""^\d+\s*min""), ""Unclassified"", IF(I8109 = """", ""NR"", I8109))"),"TV-14")</f>
        <v>TV-14</v>
      </c>
      <c r="R8109" s="5" t="str">
        <f t="shared" si="2"/>
        <v>Strong Girl Bong-Soon</v>
      </c>
      <c r="S8109" s="5" t="str">
        <f>IFERROR(__xludf.DUMMYFUNCTION("""COMPUTED_VALUE"""),"Trailer Park Boys: Say Goodnight To The Bad Guys")</f>
        <v>Trailer Park Boys: Say Goodnight To The Bad Guys</v>
      </c>
      <c r="V8109" s="5"/>
      <c r="Y8109" s="5" t="str">
        <f>IFERROR(__xludf.DUMMYFUNCTION("REGEXEXTRACT(J8109, ""^\d+"")"),"1")</f>
        <v>1</v>
      </c>
      <c r="Z8109" s="5" t="str">
        <f>IFERROR(__xludf.DUMMYFUNCTION("REGEXEXTRACT(J8109, ""[A-Za-z ]+$"")")," Season")</f>
        <v> Season</v>
      </c>
      <c r="AA8109" s="5" t="str">
        <f>IFERROR(__xludf.DUMMYFUNCTION("IF(REGEXMATCH(Z8109, ""Season""), ""TV Show"", ""Movie"")"),"TV Show")</f>
        <v>TV Show</v>
      </c>
    </row>
    <row r="8110">
      <c r="A8110" s="1" t="s">
        <v>39015</v>
      </c>
      <c r="B8110" s="1" t="s">
        <v>27</v>
      </c>
      <c r="C8110" s="1" t="s">
        <v>39016</v>
      </c>
      <c r="D8110" s="1" t="s">
        <v>563</v>
      </c>
      <c r="E8110" s="1" t="s">
        <v>39017</v>
      </c>
      <c r="F8110" s="1" t="s">
        <v>1992</v>
      </c>
      <c r="G8110" s="1" t="s">
        <v>39018</v>
      </c>
      <c r="H8110" s="1">
        <v>2016.0</v>
      </c>
      <c r="I8110" s="1" t="s">
        <v>30231</v>
      </c>
      <c r="J8110" s="1" t="s">
        <v>2566</v>
      </c>
      <c r="K8110" s="1" t="s">
        <v>306</v>
      </c>
      <c r="L8110" s="1" t="s">
        <v>39019</v>
      </c>
      <c r="M8110" s="2" t="s">
        <v>12</v>
      </c>
      <c r="N8110" s="4">
        <f t="shared" si="1"/>
        <v>42777</v>
      </c>
      <c r="O8110" s="5" t="str">
        <f>IFERROR(__xludf.DUMMYFUNCTION("IF(REGEXMATCH(TRIM(I8110), ""^\d+\s*min""), ""Unclassified"", IF(I8110 = """", ""NR"", I8110))"),"NR")</f>
        <v>NR</v>
      </c>
      <c r="R8110" s="5" t="str">
        <f t="shared" si="2"/>
        <v>Stronger Than The World</v>
      </c>
      <c r="S8110" s="5" t="str">
        <f>IFERROR(__xludf.DUMMYFUNCTION("""COMPUTED_VALUE"""),"Trailer Park Boys: The Animated Series")</f>
        <v>Trailer Park Boys: The Animated Series</v>
      </c>
      <c r="V8110" s="5"/>
      <c r="Y8110" s="5" t="str">
        <f>IFERROR(__xludf.DUMMYFUNCTION("REGEXEXTRACT(J8110, ""^\d+"")"),"123")</f>
        <v>123</v>
      </c>
      <c r="Z8110" s="5" t="str">
        <f>IFERROR(__xludf.DUMMYFUNCTION("REGEXEXTRACT(J8110, ""[A-Za-z ]+$"")")," min")</f>
        <v> min</v>
      </c>
      <c r="AA8110" s="5" t="str">
        <f>IFERROR(__xludf.DUMMYFUNCTION("IF(REGEXMATCH(Z8110, ""Season""), ""TV Show"", ""Movie"")"),"Movie")</f>
        <v>Movie</v>
      </c>
    </row>
    <row r="8111">
      <c r="A8111" s="1" t="s">
        <v>39020</v>
      </c>
      <c r="B8111" s="1" t="s">
        <v>37</v>
      </c>
      <c r="C8111" s="1" t="s">
        <v>39021</v>
      </c>
      <c r="G8111" s="1" t="s">
        <v>22428</v>
      </c>
      <c r="H8111" s="1">
        <v>2018.0</v>
      </c>
      <c r="I8111" s="1" t="s">
        <v>136</v>
      </c>
      <c r="J8111" s="1" t="s">
        <v>51</v>
      </c>
      <c r="K8111" s="1" t="s">
        <v>507</v>
      </c>
      <c r="L8111" s="1" t="s">
        <v>39022</v>
      </c>
      <c r="M8111" s="2" t="s">
        <v>12</v>
      </c>
      <c r="N8111" s="4">
        <f t="shared" si="1"/>
        <v>43483</v>
      </c>
      <c r="O8111" s="5" t="str">
        <f>IFERROR(__xludf.DUMMYFUNCTION("IF(REGEXMATCH(TRIM(I8111), ""^\d+\s*min""), ""Unclassified"", IF(I8111 = """", ""NR"", I8111))"),"TV-PG")</f>
        <v>TV-PG</v>
      </c>
      <c r="R8111" s="5" t="str">
        <f t="shared" si="2"/>
        <v>Strongland</v>
      </c>
      <c r="S8111" s="5" t="str">
        <f>IFERROR(__xludf.DUMMYFUNCTION("""COMPUTED_VALUE"""),"Trailer Park Boys: The Movie")</f>
        <v>Trailer Park Boys: The Movie</v>
      </c>
      <c r="V8111" s="5"/>
      <c r="Y8111" s="5" t="str">
        <f>IFERROR(__xludf.DUMMYFUNCTION("REGEXEXTRACT(J8111, ""^\d+"")"),"1")</f>
        <v>1</v>
      </c>
      <c r="Z8111" s="5" t="str">
        <f>IFERROR(__xludf.DUMMYFUNCTION("REGEXEXTRACT(J8111, ""[A-Za-z ]+$"")")," Season")</f>
        <v> Season</v>
      </c>
      <c r="AA8111" s="5" t="str">
        <f>IFERROR(__xludf.DUMMYFUNCTION("IF(REGEXMATCH(Z8111, ""Season""), ""TV Show"", ""Movie"")"),"TV Show")</f>
        <v>TV Show</v>
      </c>
    </row>
    <row r="8112">
      <c r="A8112" s="1" t="s">
        <v>39023</v>
      </c>
      <c r="B8112" s="1" t="s">
        <v>27</v>
      </c>
      <c r="C8112" s="1" t="s">
        <v>39024</v>
      </c>
      <c r="D8112" s="1" t="s">
        <v>3695</v>
      </c>
      <c r="E8112" s="1" t="s">
        <v>39025</v>
      </c>
      <c r="F8112" s="1" t="s">
        <v>30</v>
      </c>
      <c r="G8112" s="1" t="s">
        <v>16947</v>
      </c>
      <c r="H8112" s="1">
        <v>2002.0</v>
      </c>
      <c r="I8112" s="1" t="s">
        <v>78</v>
      </c>
      <c r="J8112" s="1" t="s">
        <v>1737</v>
      </c>
      <c r="K8112" s="1" t="s">
        <v>137</v>
      </c>
      <c r="L8112" s="1" t="s">
        <v>39026</v>
      </c>
      <c r="M8112" s="2" t="s">
        <v>12</v>
      </c>
      <c r="N8112" s="4">
        <f t="shared" si="1"/>
        <v>43831</v>
      </c>
      <c r="O8112" s="5" t="str">
        <f>IFERROR(__xludf.DUMMYFUNCTION("IF(REGEXMATCH(TRIM(I8112), ""^\d+\s*min""), ""Unclassified"", IF(I8112 = """", ""NR"", I8112))"),"PG")</f>
        <v>PG</v>
      </c>
      <c r="R8112" s="5" t="str">
        <f t="shared" si="2"/>
        <v>Stuart Little 2</v>
      </c>
      <c r="S8112" s="5" t="str">
        <f>IFERROR(__xludf.DUMMYFUNCTION("""COMPUTED_VALUE"""),"Trailer Park Boys: Xmas Special")</f>
        <v>Trailer Park Boys: Xmas Special</v>
      </c>
      <c r="V8112" s="5"/>
      <c r="Y8112" s="5" t="str">
        <f>IFERROR(__xludf.DUMMYFUNCTION("REGEXEXTRACT(J8112, ""^\d+"")"),"78")</f>
        <v>78</v>
      </c>
      <c r="Z8112" s="5" t="str">
        <f>IFERROR(__xludf.DUMMYFUNCTION("REGEXEXTRACT(J8112, ""[A-Za-z ]+$"")")," min")</f>
        <v> min</v>
      </c>
      <c r="AA8112" s="5" t="str">
        <f>IFERROR(__xludf.DUMMYFUNCTION("IF(REGEXMATCH(Z8112, ""Season""), ""TV Show"", ""Movie"")"),"Movie")</f>
        <v>Movie</v>
      </c>
    </row>
    <row r="8113">
      <c r="A8113" s="1" t="s">
        <v>39027</v>
      </c>
      <c r="B8113" s="1" t="s">
        <v>27</v>
      </c>
      <c r="C8113" s="1" t="s">
        <v>39028</v>
      </c>
      <c r="D8113" s="1" t="s">
        <v>9845</v>
      </c>
      <c r="E8113" s="1" t="s">
        <v>39029</v>
      </c>
      <c r="F8113" s="1" t="s">
        <v>30</v>
      </c>
      <c r="G8113" s="1" t="s">
        <v>18151</v>
      </c>
      <c r="H8113" s="1">
        <v>2019.0</v>
      </c>
      <c r="I8113" s="1" t="s">
        <v>42</v>
      </c>
      <c r="J8113" s="1" t="s">
        <v>465</v>
      </c>
      <c r="K8113" s="1" t="s">
        <v>323</v>
      </c>
      <c r="L8113" s="1" t="s">
        <v>39030</v>
      </c>
      <c r="M8113" s="2" t="s">
        <v>12</v>
      </c>
      <c r="N8113" s="4">
        <f t="shared" si="1"/>
        <v>43780</v>
      </c>
      <c r="O8113" s="5" t="str">
        <f>IFERROR(__xludf.DUMMYFUNCTION("IF(REGEXMATCH(TRIM(I8113), ""^\d+\s*min""), ""Unclassified"", IF(I8113 = """", ""NR"", I8113))"),"TV-MA")</f>
        <v>TV-MA</v>
      </c>
      <c r="R8113" s="5" t="str">
        <f t="shared" si="2"/>
        <v>Submission</v>
      </c>
      <c r="S8113" s="5" t="str">
        <f>IFERROR(__xludf.DUMMYFUNCTION("""COMPUTED_VALUE"""),"Train Of The Dead")</f>
        <v>Train Of The Dead</v>
      </c>
      <c r="V8113" s="5"/>
      <c r="Y8113" s="5" t="str">
        <f>IFERROR(__xludf.DUMMYFUNCTION("REGEXEXTRACT(J8113, ""^\d+"")"),"95")</f>
        <v>95</v>
      </c>
      <c r="Z8113" s="5" t="str">
        <f>IFERROR(__xludf.DUMMYFUNCTION("REGEXEXTRACT(J8113, ""[A-Za-z ]+$"")")," min")</f>
        <v> min</v>
      </c>
      <c r="AA8113" s="5" t="str">
        <f>IFERROR(__xludf.DUMMYFUNCTION("IF(REGEXMATCH(Z8113, ""Season""), ""TV Show"", ""Movie"")"),"Movie")</f>
        <v>Movie</v>
      </c>
    </row>
    <row r="8114">
      <c r="A8114" s="1" t="s">
        <v>39031</v>
      </c>
      <c r="B8114" s="1" t="s">
        <v>27</v>
      </c>
      <c r="C8114" s="1" t="s">
        <v>39032</v>
      </c>
      <c r="D8114" s="1" t="s">
        <v>21497</v>
      </c>
      <c r="E8114" s="1" t="s">
        <v>39033</v>
      </c>
      <c r="F8114" s="1" t="s">
        <v>21126</v>
      </c>
      <c r="G8114" s="1" t="s">
        <v>39034</v>
      </c>
      <c r="H8114" s="1">
        <v>2015.0</v>
      </c>
      <c r="I8114" s="1" t="s">
        <v>30231</v>
      </c>
      <c r="J8114" s="1" t="s">
        <v>1369</v>
      </c>
      <c r="K8114" s="1" t="s">
        <v>298</v>
      </c>
      <c r="L8114" s="1" t="s">
        <v>39035</v>
      </c>
      <c r="M8114" s="2" t="s">
        <v>12</v>
      </c>
      <c r="N8114" s="4">
        <f t="shared" si="1"/>
        <v>42291</v>
      </c>
      <c r="O8114" s="5" t="str">
        <f>IFERROR(__xludf.DUMMYFUNCTION("IF(REGEXMATCH(TRIM(I8114), ""^\d+\s*min""), ""Unclassified"", IF(I8114 = """", ""NR"", I8114))"),"NR")</f>
        <v>NR</v>
      </c>
      <c r="R8114" s="5" t="str">
        <f t="shared" si="2"/>
        <v>Suburra</v>
      </c>
      <c r="S8114" s="5" t="str">
        <f>IFERROR(__xludf.DUMMYFUNCTION("""COMPUTED_VALUE"""),"Train To Busan")</f>
        <v>Train To Busan</v>
      </c>
      <c r="V8114" s="5"/>
      <c r="Y8114" s="5" t="str">
        <f>IFERROR(__xludf.DUMMYFUNCTION("REGEXEXTRACT(J8114, ""^\d+"")"),"135")</f>
        <v>135</v>
      </c>
      <c r="Z8114" s="5" t="str">
        <f>IFERROR(__xludf.DUMMYFUNCTION("REGEXEXTRACT(J8114, ""[A-Za-z ]+$"")")," min")</f>
        <v> min</v>
      </c>
      <c r="AA8114" s="5" t="str">
        <f>IFERROR(__xludf.DUMMYFUNCTION("IF(REGEXMATCH(Z8114, ""Season""), ""TV Show"", ""Movie"")"),"Movie")</f>
        <v>Movie</v>
      </c>
    </row>
    <row r="8115">
      <c r="A8115" s="1" t="s">
        <v>39036</v>
      </c>
      <c r="B8115" s="1" t="s">
        <v>27</v>
      </c>
      <c r="C8115" s="1" t="s">
        <v>39037</v>
      </c>
      <c r="D8115" s="1" t="s">
        <v>4512</v>
      </c>
      <c r="E8115" s="1" t="s">
        <v>39038</v>
      </c>
      <c r="F8115" s="1" t="s">
        <v>2796</v>
      </c>
      <c r="G8115" s="1" t="s">
        <v>31151</v>
      </c>
      <c r="H8115" s="1">
        <v>2011.0</v>
      </c>
      <c r="I8115" s="1" t="s">
        <v>42</v>
      </c>
      <c r="J8115" s="1" t="s">
        <v>2281</v>
      </c>
      <c r="K8115" s="1" t="s">
        <v>230</v>
      </c>
      <c r="L8115" s="1" t="s">
        <v>39039</v>
      </c>
      <c r="M8115" s="2" t="s">
        <v>12</v>
      </c>
      <c r="N8115" s="4">
        <f t="shared" si="1"/>
        <v>43348</v>
      </c>
      <c r="O8115" s="5" t="str">
        <f>IFERROR(__xludf.DUMMYFUNCTION("IF(REGEXMATCH(TRIM(I8115), ""^\d+\s*min""), ""Unclassified"", IF(I8115 = """", ""NR"", I8115))"),"TV-MA")</f>
        <v>TV-MA</v>
      </c>
      <c r="R8115" s="5" t="str">
        <f t="shared" si="2"/>
        <v>Suckseed</v>
      </c>
      <c r="S8115" s="5" t="str">
        <f>IFERROR(__xludf.DUMMYFUNCTION("""COMPUTED_VALUE"""),"Training Day")</f>
        <v>Training Day</v>
      </c>
      <c r="V8115" s="5"/>
      <c r="Y8115" s="5" t="str">
        <f>IFERROR(__xludf.DUMMYFUNCTION("REGEXEXTRACT(J8115, ""^\d+"")"),"130")</f>
        <v>130</v>
      </c>
      <c r="Z8115" s="5" t="str">
        <f>IFERROR(__xludf.DUMMYFUNCTION("REGEXEXTRACT(J8115, ""[A-Za-z ]+$"")")," min")</f>
        <v> min</v>
      </c>
      <c r="AA8115" s="5" t="str">
        <f>IFERROR(__xludf.DUMMYFUNCTION("IF(REGEXMATCH(Z8115, ""Season""), ""TV Show"", ""Movie"")"),"Movie")</f>
        <v>Movie</v>
      </c>
    </row>
    <row r="8116">
      <c r="A8116" s="1" t="s">
        <v>39040</v>
      </c>
      <c r="B8116" s="1" t="s">
        <v>27</v>
      </c>
      <c r="C8116" s="1" t="s">
        <v>39041</v>
      </c>
      <c r="D8116" s="1" t="s">
        <v>23987</v>
      </c>
      <c r="E8116" s="1" t="s">
        <v>39042</v>
      </c>
      <c r="F8116" s="1" t="s">
        <v>63</v>
      </c>
      <c r="G8116" s="1" t="s">
        <v>24964</v>
      </c>
      <c r="H8116" s="1">
        <v>2018.0</v>
      </c>
      <c r="I8116" s="1" t="s">
        <v>97</v>
      </c>
      <c r="J8116" s="1" t="s">
        <v>379</v>
      </c>
      <c r="K8116" s="1" t="s">
        <v>583</v>
      </c>
      <c r="L8116" s="1" t="s">
        <v>39043</v>
      </c>
      <c r="M8116" s="2" t="s">
        <v>12</v>
      </c>
      <c r="N8116" s="4">
        <f t="shared" si="1"/>
        <v>43313</v>
      </c>
      <c r="O8116" s="5" t="str">
        <f>IFERROR(__xludf.DUMMYFUNCTION("IF(REGEXMATCH(TRIM(I8116), ""^\d+\s*min""), ""Unclassified"", IF(I8116 = """", ""NR"", I8116))"),"TV-14")</f>
        <v>TV-14</v>
      </c>
      <c r="R8116" s="5" t="str">
        <f t="shared" si="2"/>
        <v>Sudani From Nigeria</v>
      </c>
      <c r="S8116" s="5" t="str">
        <f>IFERROR(__xludf.DUMMYFUNCTION("""COMPUTED_VALUE"""),"Trainspotting")</f>
        <v>Trainspotting</v>
      </c>
      <c r="V8116" s="5"/>
      <c r="Y8116" s="5" t="str">
        <f>IFERROR(__xludf.DUMMYFUNCTION("REGEXEXTRACT(J8116, ""^\d+"")"),"115")</f>
        <v>115</v>
      </c>
      <c r="Z8116" s="5" t="str">
        <f>IFERROR(__xludf.DUMMYFUNCTION("REGEXEXTRACT(J8116, ""[A-Za-z ]+$"")")," min")</f>
        <v> min</v>
      </c>
      <c r="AA8116" s="5" t="str">
        <f>IFERROR(__xludf.DUMMYFUNCTION("IF(REGEXMATCH(Z8116, ""Season""), ""TV Show"", ""Movie"")"),"Movie")</f>
        <v>Movie</v>
      </c>
    </row>
    <row r="8117">
      <c r="A8117" s="1" t="s">
        <v>39044</v>
      </c>
      <c r="B8117" s="1" t="s">
        <v>27</v>
      </c>
      <c r="C8117" s="1" t="s">
        <v>39045</v>
      </c>
      <c r="D8117" s="1" t="s">
        <v>3265</v>
      </c>
      <c r="E8117" s="1" t="s">
        <v>39046</v>
      </c>
      <c r="F8117" s="1" t="s">
        <v>3333</v>
      </c>
      <c r="G8117" s="1" t="s">
        <v>29635</v>
      </c>
      <c r="H8117" s="1">
        <v>2014.0</v>
      </c>
      <c r="I8117" s="1" t="s">
        <v>42</v>
      </c>
      <c r="J8117" s="1" t="s">
        <v>835</v>
      </c>
      <c r="K8117" s="1" t="s">
        <v>631</v>
      </c>
      <c r="L8117" s="1" t="s">
        <v>39047</v>
      </c>
      <c r="M8117" s="2" t="s">
        <v>12</v>
      </c>
      <c r="N8117" s="4">
        <f t="shared" si="1"/>
        <v>42552</v>
      </c>
      <c r="O8117" s="5" t="str">
        <f>IFERROR(__xludf.DUMMYFUNCTION("IF(REGEXMATCH(TRIM(I8117), ""^\d+\s*min""), ""Unclassified"", IF(I8117 = """", ""NR"", I8117))"),"TV-MA")</f>
        <v>TV-MA</v>
      </c>
      <c r="R8117" s="5" t="str">
        <f t="shared" si="2"/>
        <v>Suicide (Hitabdut)</v>
      </c>
      <c r="S8117" s="5" t="str">
        <f>IFERROR(__xludf.DUMMYFUNCTION("""COMPUTED_VALUE"""),"Traitor")</f>
        <v>Traitor</v>
      </c>
      <c r="V8117" s="5"/>
      <c r="Y8117" s="5" t="str">
        <f>IFERROR(__xludf.DUMMYFUNCTION("REGEXEXTRACT(J8117, ""^\d+"")"),"114")</f>
        <v>114</v>
      </c>
      <c r="Z8117" s="5" t="str">
        <f>IFERROR(__xludf.DUMMYFUNCTION("REGEXEXTRACT(J8117, ""[A-Za-z ]+$"")")," min")</f>
        <v> min</v>
      </c>
      <c r="AA8117" s="5" t="str">
        <f>IFERROR(__xludf.DUMMYFUNCTION("IF(REGEXMATCH(Z8117, ""Season""), ""TV Show"", ""Movie"")"),"Movie")</f>
        <v>Movie</v>
      </c>
    </row>
    <row r="8118">
      <c r="A8118" s="1" t="s">
        <v>39048</v>
      </c>
      <c r="B8118" s="1" t="s">
        <v>27</v>
      </c>
      <c r="C8118" s="1" t="s">
        <v>39049</v>
      </c>
      <c r="D8118" s="1" t="s">
        <v>20548</v>
      </c>
      <c r="E8118" s="1" t="s">
        <v>39050</v>
      </c>
      <c r="F8118" s="1" t="s">
        <v>39051</v>
      </c>
      <c r="G8118" s="1" t="s">
        <v>27960</v>
      </c>
      <c r="H8118" s="1">
        <v>2014.0</v>
      </c>
      <c r="I8118" s="1" t="s">
        <v>42</v>
      </c>
      <c r="J8118" s="1" t="s">
        <v>1256</v>
      </c>
      <c r="K8118" s="1" t="s">
        <v>679</v>
      </c>
      <c r="L8118" s="1" t="s">
        <v>39052</v>
      </c>
      <c r="M8118" s="2" t="s">
        <v>12</v>
      </c>
      <c r="N8118" s="4">
        <f t="shared" si="1"/>
        <v>42891</v>
      </c>
      <c r="O8118" s="5" t="str">
        <f>IFERROR(__xludf.DUMMYFUNCTION("IF(REGEXMATCH(TRIM(I8118), ""^\d+\s*min""), ""Unclassified"", IF(I8118 = """", ""NR"", I8118))"),"TV-MA")</f>
        <v>TV-MA</v>
      </c>
      <c r="R8118" s="5" t="str">
        <f t="shared" si="2"/>
        <v>Suite Française</v>
      </c>
      <c r="S8118" s="5" t="str">
        <f>IFERROR(__xludf.DUMMYFUNCTION("""COMPUTED_VALUE"""),"Traitors")</f>
        <v>Traitors</v>
      </c>
      <c r="V8118" s="5"/>
      <c r="Y8118" s="5" t="str">
        <f>IFERROR(__xludf.DUMMYFUNCTION("REGEXEXTRACT(J8118, ""^\d+"")"),"107")</f>
        <v>107</v>
      </c>
      <c r="Z8118" s="5" t="str">
        <f>IFERROR(__xludf.DUMMYFUNCTION("REGEXEXTRACT(J8118, ""[A-Za-z ]+$"")")," min")</f>
        <v> min</v>
      </c>
      <c r="AA8118" s="5" t="str">
        <f>IFERROR(__xludf.DUMMYFUNCTION("IF(REGEXMATCH(Z8118, ""Season""), ""TV Show"", ""Movie"")"),"Movie")</f>
        <v>Movie</v>
      </c>
    </row>
    <row r="8119">
      <c r="A8119" s="1" t="s">
        <v>39053</v>
      </c>
      <c r="B8119" s="1" t="s">
        <v>37</v>
      </c>
      <c r="C8119" s="1" t="s">
        <v>39054</v>
      </c>
      <c r="E8119" s="1" t="s">
        <v>39055</v>
      </c>
      <c r="F8119" s="1" t="s">
        <v>749</v>
      </c>
      <c r="G8119" s="1" t="s">
        <v>17643</v>
      </c>
      <c r="H8119" s="1">
        <v>2018.0</v>
      </c>
      <c r="I8119" s="1" t="s">
        <v>42</v>
      </c>
      <c r="J8119" s="1" t="s">
        <v>51</v>
      </c>
      <c r="K8119" s="1" t="s">
        <v>4219</v>
      </c>
      <c r="L8119" s="1" t="s">
        <v>39056</v>
      </c>
      <c r="M8119" s="2" t="s">
        <v>12</v>
      </c>
      <c r="N8119" s="4">
        <f t="shared" si="1"/>
        <v>43800</v>
      </c>
      <c r="O8119" s="5" t="str">
        <f>IFERROR(__xludf.DUMMYFUNCTION("IF(REGEXMATCH(TRIM(I8119), ""^\d+\s*min""), ""Unclassified"", IF(I8119 = """", ""NR"", I8119))"),"TV-MA")</f>
        <v>TV-MA</v>
      </c>
      <c r="R8119" s="5" t="str">
        <f t="shared" si="2"/>
        <v>Suits</v>
      </c>
      <c r="S8119" s="5" t="str">
        <f>IFERROR(__xludf.DUMMYFUNCTION("""COMPUTED_VALUE"""),"Tramps")</f>
        <v>Tramps</v>
      </c>
      <c r="V8119" s="5"/>
      <c r="Y8119" s="5" t="str">
        <f>IFERROR(__xludf.DUMMYFUNCTION("REGEXEXTRACT(J8119, ""^\d+"")"),"1")</f>
        <v>1</v>
      </c>
      <c r="Z8119" s="5" t="str">
        <f>IFERROR(__xludf.DUMMYFUNCTION("REGEXEXTRACT(J8119, ""[A-Za-z ]+$"")")," Season")</f>
        <v> Season</v>
      </c>
      <c r="AA8119" s="5" t="str">
        <f>IFERROR(__xludf.DUMMYFUNCTION("IF(REGEXMATCH(Z8119, ""Season""), ""TV Show"", ""Movie"")"),"TV Show")</f>
        <v>TV Show</v>
      </c>
    </row>
    <row r="8120">
      <c r="A8120" s="1" t="s">
        <v>39057</v>
      </c>
      <c r="B8120" s="1" t="s">
        <v>27</v>
      </c>
      <c r="C8120" s="1" t="s">
        <v>39058</v>
      </c>
      <c r="D8120" s="1" t="s">
        <v>11843</v>
      </c>
      <c r="E8120" s="1" t="s">
        <v>39059</v>
      </c>
      <c r="F8120" s="1" t="s">
        <v>30</v>
      </c>
      <c r="G8120" s="1" t="s">
        <v>15645</v>
      </c>
      <c r="H8120" s="1">
        <v>2019.0</v>
      </c>
      <c r="I8120" s="1" t="s">
        <v>42</v>
      </c>
      <c r="J8120" s="1" t="s">
        <v>454</v>
      </c>
      <c r="K8120" s="1" t="s">
        <v>1099</v>
      </c>
      <c r="L8120" s="1" t="s">
        <v>39060</v>
      </c>
      <c r="M8120" s="2" t="s">
        <v>12</v>
      </c>
      <c r="N8120" s="4">
        <f t="shared" si="1"/>
        <v>43909</v>
      </c>
      <c r="O8120" s="5" t="str">
        <f>IFERROR(__xludf.DUMMYFUNCTION("IF(REGEXMATCH(TRIM(I8120), ""^\d+\s*min""), ""Unclassified"", IF(I8120 = """", ""NR"", I8120))"),"TV-MA")</f>
        <v>TV-MA</v>
      </c>
      <c r="R8120" s="5" t="str">
        <f t="shared" si="2"/>
        <v>Summer Night</v>
      </c>
      <c r="S8120" s="5" t="str">
        <f>IFERROR(__xludf.DUMMYFUNCTION("""COMPUTED_VALUE"""),"Transcendence")</f>
        <v>Transcendence</v>
      </c>
      <c r="V8120" s="5"/>
      <c r="Y8120" s="5" t="str">
        <f>IFERROR(__xludf.DUMMYFUNCTION("REGEXEXTRACT(J8120, ""^\d+"")"),"93")</f>
        <v>93</v>
      </c>
      <c r="Z8120" s="5" t="str">
        <f>IFERROR(__xludf.DUMMYFUNCTION("REGEXEXTRACT(J8120, ""[A-Za-z ]+$"")")," min")</f>
        <v> min</v>
      </c>
      <c r="AA8120" s="5" t="str">
        <f>IFERROR(__xludf.DUMMYFUNCTION("IF(REGEXMATCH(Z8120, ""Season""), ""TV Show"", ""Movie"")"),"Movie")</f>
        <v>Movie</v>
      </c>
    </row>
    <row r="8121">
      <c r="A8121" s="1" t="s">
        <v>39061</v>
      </c>
      <c r="B8121" s="1" t="s">
        <v>27</v>
      </c>
      <c r="C8121" s="1" t="s">
        <v>39062</v>
      </c>
      <c r="D8121" s="1" t="s">
        <v>12473</v>
      </c>
      <c r="E8121" s="1" t="s">
        <v>39063</v>
      </c>
      <c r="F8121" s="1" t="s">
        <v>39064</v>
      </c>
      <c r="G8121" s="1" t="s">
        <v>39065</v>
      </c>
      <c r="H8121" s="1">
        <v>2015.0</v>
      </c>
      <c r="I8121" s="1" t="s">
        <v>42</v>
      </c>
      <c r="J8121" s="1" t="s">
        <v>170</v>
      </c>
      <c r="K8121" s="1" t="s">
        <v>5099</v>
      </c>
      <c r="L8121" s="1" t="s">
        <v>39066</v>
      </c>
      <c r="M8121" s="2" t="s">
        <v>12</v>
      </c>
      <c r="N8121" s="4">
        <f t="shared" si="1"/>
        <v>42561</v>
      </c>
      <c r="O8121" s="5" t="str">
        <f>IFERROR(__xludf.DUMMYFUNCTION("IF(REGEXMATCH(TRIM(I8121), ""^\d+\s*min""), ""Unclassified"", IF(I8121 = """", ""NR"", I8121))"),"TV-MA")</f>
        <v>TV-MA</v>
      </c>
      <c r="R8121" s="5" t="str">
        <f t="shared" si="2"/>
        <v>Summer Of '92</v>
      </c>
      <c r="S8121" s="5" t="str">
        <f>IFERROR(__xludf.DUMMYFUNCTION("""COMPUTED_VALUE"""),"Transfers")</f>
        <v>Transfers</v>
      </c>
      <c r="V8121" s="5"/>
      <c r="Y8121" s="5" t="str">
        <f>IFERROR(__xludf.DUMMYFUNCTION("REGEXEXTRACT(J8121, ""^\d+"")"),"94")</f>
        <v>94</v>
      </c>
      <c r="Z8121" s="5" t="str">
        <f>IFERROR(__xludf.DUMMYFUNCTION("REGEXEXTRACT(J8121, ""[A-Za-z ]+$"")")," min")</f>
        <v> min</v>
      </c>
      <c r="AA8121" s="5" t="str">
        <f>IFERROR(__xludf.DUMMYFUNCTION("IF(REGEXMATCH(Z8121, ""Season""), ""TV Show"", ""Movie"")"),"Movie")</f>
        <v>Movie</v>
      </c>
    </row>
    <row r="8122">
      <c r="A8122" s="1" t="s">
        <v>39067</v>
      </c>
      <c r="B8122" s="1" t="s">
        <v>27</v>
      </c>
      <c r="C8122" s="1" t="s">
        <v>39068</v>
      </c>
      <c r="D8122" s="1" t="s">
        <v>17605</v>
      </c>
      <c r="E8122" s="1" t="s">
        <v>39069</v>
      </c>
      <c r="F8122" s="1" t="s">
        <v>8402</v>
      </c>
      <c r="G8122" s="1" t="s">
        <v>28500</v>
      </c>
      <c r="H8122" s="1">
        <v>2014.0</v>
      </c>
      <c r="I8122" s="1" t="s">
        <v>42</v>
      </c>
      <c r="J8122" s="1" t="s">
        <v>471</v>
      </c>
      <c r="K8122" s="1" t="s">
        <v>89</v>
      </c>
      <c r="L8122" s="1" t="s">
        <v>39070</v>
      </c>
      <c r="M8122" s="2" t="s">
        <v>12</v>
      </c>
      <c r="N8122" s="4">
        <f t="shared" si="1"/>
        <v>42809</v>
      </c>
      <c r="O8122" s="5" t="str">
        <f>IFERROR(__xludf.DUMMYFUNCTION("IF(REGEXMATCH(TRIM(I8122), ""^\d+\s*min""), ""Unclassified"", IF(I8122 = """", ""NR"", I8122))"),"TV-MA")</f>
        <v>TV-MA</v>
      </c>
      <c r="R8122" s="5" t="str">
        <f t="shared" si="2"/>
        <v>Sunrise</v>
      </c>
      <c r="S8122" s="5" t="str">
        <f>IFERROR(__xludf.DUMMYFUNCTION("""COMPUTED_VALUE"""),"Transformer")</f>
        <v>Transformer</v>
      </c>
      <c r="V8122" s="5"/>
      <c r="Y8122" s="5" t="str">
        <f>IFERROR(__xludf.DUMMYFUNCTION("REGEXEXTRACT(J8122, ""^\d+"")"),"85")</f>
        <v>85</v>
      </c>
      <c r="Z8122" s="5" t="str">
        <f>IFERROR(__xludf.DUMMYFUNCTION("REGEXEXTRACT(J8122, ""[A-Za-z ]+$"")")," min")</f>
        <v> min</v>
      </c>
      <c r="AA8122" s="5" t="str">
        <f>IFERROR(__xludf.DUMMYFUNCTION("IF(REGEXMATCH(Z8122, ""Season""), ""TV Show"", ""Movie"")"),"Movie")</f>
        <v>Movie</v>
      </c>
    </row>
    <row r="8123">
      <c r="A8123" s="1" t="s">
        <v>39071</v>
      </c>
      <c r="B8123" s="1" t="s">
        <v>37</v>
      </c>
      <c r="C8123" s="1" t="s">
        <v>39072</v>
      </c>
      <c r="E8123" s="1" t="s">
        <v>31065</v>
      </c>
      <c r="F8123" s="1" t="s">
        <v>63</v>
      </c>
      <c r="G8123" s="1" t="s">
        <v>20166</v>
      </c>
      <c r="H8123" s="1">
        <v>2019.0</v>
      </c>
      <c r="I8123" s="1" t="s">
        <v>206</v>
      </c>
      <c r="J8123" s="1" t="s">
        <v>51</v>
      </c>
      <c r="K8123" s="1" t="s">
        <v>290</v>
      </c>
      <c r="L8123" s="1" t="s">
        <v>39073</v>
      </c>
      <c r="M8123" s="2" t="s">
        <v>12</v>
      </c>
      <c r="N8123" s="4">
        <f t="shared" si="1"/>
        <v>43644</v>
      </c>
      <c r="O8123" s="5" t="str">
        <f>IFERROR(__xludf.DUMMYFUNCTION("IF(REGEXMATCH(TRIM(I8123), ""^\d+\s*min""), ""Unclassified"", IF(I8123 = """", ""NR"", I8123))"),"TV-Y")</f>
        <v>TV-Y</v>
      </c>
      <c r="R8123" s="5" t="str">
        <f t="shared" si="2"/>
        <v>Super Bheem</v>
      </c>
      <c r="S8123" s="5" t="str">
        <f>IFERROR(__xludf.DUMMYFUNCTION("""COMPUTED_VALUE"""),"Transformers Prime")</f>
        <v>Transformers Prime</v>
      </c>
      <c r="V8123" s="5"/>
      <c r="Y8123" s="5" t="str">
        <f>IFERROR(__xludf.DUMMYFUNCTION("REGEXEXTRACT(J8123, ""^\d+"")"),"1")</f>
        <v>1</v>
      </c>
      <c r="Z8123" s="5" t="str">
        <f>IFERROR(__xludf.DUMMYFUNCTION("REGEXEXTRACT(J8123, ""[A-Za-z ]+$"")")," Season")</f>
        <v> Season</v>
      </c>
      <c r="AA8123" s="5" t="str">
        <f>IFERROR(__xludf.DUMMYFUNCTION("IF(REGEXMATCH(Z8123, ""Season""), ""TV Show"", ""Movie"")"),"TV Show")</f>
        <v>TV Show</v>
      </c>
    </row>
    <row r="8124">
      <c r="A8124" s="1" t="s">
        <v>39074</v>
      </c>
      <c r="B8124" s="1" t="s">
        <v>27</v>
      </c>
      <c r="C8124" s="1" t="s">
        <v>39075</v>
      </c>
      <c r="D8124" s="1" t="s">
        <v>21897</v>
      </c>
      <c r="E8124" s="1" t="s">
        <v>31065</v>
      </c>
      <c r="F8124" s="1" t="s">
        <v>63</v>
      </c>
      <c r="G8124" s="1" t="s">
        <v>20318</v>
      </c>
      <c r="H8124" s="1">
        <v>2018.0</v>
      </c>
      <c r="I8124" s="1" t="s">
        <v>289</v>
      </c>
      <c r="J8124" s="1" t="s">
        <v>919</v>
      </c>
      <c r="K8124" s="1" t="s">
        <v>80</v>
      </c>
      <c r="L8124" s="1" t="s">
        <v>39076</v>
      </c>
      <c r="M8124" s="2" t="s">
        <v>12</v>
      </c>
      <c r="N8124" s="4">
        <f t="shared" si="1"/>
        <v>43634</v>
      </c>
      <c r="O8124" s="5" t="str">
        <f>IFERROR(__xludf.DUMMYFUNCTION("IF(REGEXMATCH(TRIM(I8124), ""^\d+\s*min""), ""Unclassified"", IF(I8124 = """", ""NR"", I8124))"),"TV-Y7")</f>
        <v>TV-Y7</v>
      </c>
      <c r="R8124" s="5" t="str">
        <f t="shared" si="2"/>
        <v>Super Bheem Bana Vajraveer</v>
      </c>
      <c r="S8124" s="5" t="str">
        <f>IFERROR(__xludf.DUMMYFUNCTION("""COMPUTED_VALUE"""),"Transformers Rescue Bots Academy")</f>
        <v>Transformers Rescue Bots Academy</v>
      </c>
      <c r="V8124" s="5"/>
      <c r="Y8124" s="5" t="str">
        <f>IFERROR(__xludf.DUMMYFUNCTION("REGEXEXTRACT(J8124, ""^\d+"")"),"63")</f>
        <v>63</v>
      </c>
      <c r="Z8124" s="5" t="str">
        <f>IFERROR(__xludf.DUMMYFUNCTION("REGEXEXTRACT(J8124, ""[A-Za-z ]+$"")")," min")</f>
        <v> min</v>
      </c>
      <c r="AA8124" s="5" t="str">
        <f>IFERROR(__xludf.DUMMYFUNCTION("IF(REGEXMATCH(Z8124, ""Season""), ""TV Show"", ""Movie"")"),"Movie")</f>
        <v>Movie</v>
      </c>
    </row>
    <row r="8125">
      <c r="A8125" s="1" t="s">
        <v>39077</v>
      </c>
      <c r="B8125" s="1" t="s">
        <v>27</v>
      </c>
      <c r="C8125" s="1" t="s">
        <v>39078</v>
      </c>
      <c r="D8125" s="1" t="s">
        <v>12872</v>
      </c>
      <c r="E8125" s="1" t="s">
        <v>39079</v>
      </c>
      <c r="F8125" s="1" t="s">
        <v>30</v>
      </c>
      <c r="G8125" s="1" t="s">
        <v>26481</v>
      </c>
      <c r="H8125" s="1">
        <v>2017.0</v>
      </c>
      <c r="I8125" s="1" t="s">
        <v>42</v>
      </c>
      <c r="J8125" s="1" t="s">
        <v>106</v>
      </c>
      <c r="K8125" s="1" t="s">
        <v>2327</v>
      </c>
      <c r="L8125" s="1" t="s">
        <v>39080</v>
      </c>
      <c r="M8125" s="2" t="s">
        <v>12</v>
      </c>
      <c r="N8125" s="4">
        <f t="shared" si="1"/>
        <v>43101</v>
      </c>
      <c r="O8125" s="5" t="str">
        <f>IFERROR(__xludf.DUMMYFUNCTION("IF(REGEXMATCH(TRIM(I8125), ""^\d+\s*min""), ""Unclassified"", IF(I8125 = """", ""NR"", I8125))"),"TV-MA")</f>
        <v>TV-MA</v>
      </c>
      <c r="R8125" s="5" t="str">
        <f t="shared" si="2"/>
        <v>Super Dark Times</v>
      </c>
      <c r="S8125" s="5" t="str">
        <f>IFERROR(__xludf.DUMMYFUNCTION("""COMPUTED_VALUE"""),"Transformers: Cyberverse")</f>
        <v>Transformers: Cyberverse</v>
      </c>
      <c r="V8125" s="5"/>
      <c r="Y8125" s="5" t="str">
        <f>IFERROR(__xludf.DUMMYFUNCTION("REGEXEXTRACT(J8125, ""^\d+"")"),"104")</f>
        <v>104</v>
      </c>
      <c r="Z8125" s="5" t="str">
        <f>IFERROR(__xludf.DUMMYFUNCTION("REGEXEXTRACT(J8125, ""[A-Za-z ]+$"")")," min")</f>
        <v> min</v>
      </c>
      <c r="AA8125" s="5" t="str">
        <f>IFERROR(__xludf.DUMMYFUNCTION("IF(REGEXMATCH(Z8125, ""Season""), ""TV Show"", ""Movie"")"),"Movie")</f>
        <v>Movie</v>
      </c>
    </row>
    <row r="8126">
      <c r="A8126" s="1" t="s">
        <v>39081</v>
      </c>
      <c r="B8126" s="1" t="s">
        <v>27</v>
      </c>
      <c r="C8126" s="1" t="s">
        <v>39082</v>
      </c>
      <c r="D8126" s="1" t="s">
        <v>9619</v>
      </c>
      <c r="E8126" s="1" t="s">
        <v>39083</v>
      </c>
      <c r="F8126" s="1" t="s">
        <v>63</v>
      </c>
      <c r="G8126" s="1" t="s">
        <v>26089</v>
      </c>
      <c r="H8126" s="1">
        <v>2014.0</v>
      </c>
      <c r="I8126" s="1" t="s">
        <v>136</v>
      </c>
      <c r="J8126" s="1" t="s">
        <v>127</v>
      </c>
      <c r="K8126" s="1" t="s">
        <v>583</v>
      </c>
      <c r="L8126" s="1" t="s">
        <v>39084</v>
      </c>
      <c r="M8126" s="2" t="s">
        <v>12</v>
      </c>
      <c r="N8126" s="4">
        <f t="shared" si="1"/>
        <v>43160</v>
      </c>
      <c r="O8126" s="5" t="str">
        <f>IFERROR(__xludf.DUMMYFUNCTION("IF(REGEXMATCH(TRIM(I8126), ""^\d+\s*min""), ""Unclassified"", IF(I8126 = """", ""NR"", I8126))"),"TV-PG")</f>
        <v>TV-PG</v>
      </c>
      <c r="R8126" s="5" t="str">
        <f t="shared" si="2"/>
        <v>Super Nani</v>
      </c>
      <c r="S8126" s="5" t="str">
        <f>IFERROR(__xludf.DUMMYFUNCTION("""COMPUTED_VALUE"""),"Transformers: Rescue Bots")</f>
        <v>Transformers: Rescue Bots</v>
      </c>
      <c r="V8126" s="5"/>
      <c r="Y8126" s="5" t="str">
        <f>IFERROR(__xludf.DUMMYFUNCTION("REGEXEXTRACT(J8126, ""^\d+"")"),"127")</f>
        <v>127</v>
      </c>
      <c r="Z8126" s="5" t="str">
        <f>IFERROR(__xludf.DUMMYFUNCTION("REGEXEXTRACT(J8126, ""[A-Za-z ]+$"")")," min")</f>
        <v> min</v>
      </c>
      <c r="AA8126" s="5" t="str">
        <f>IFERROR(__xludf.DUMMYFUNCTION("IF(REGEXMATCH(Z8126, ""Season""), ""TV Show"", ""Movie"")"),"Movie")</f>
        <v>Movie</v>
      </c>
    </row>
    <row r="8127">
      <c r="A8127" s="1" t="s">
        <v>39085</v>
      </c>
      <c r="B8127" s="1" t="s">
        <v>37</v>
      </c>
      <c r="C8127" s="1" t="s">
        <v>39086</v>
      </c>
      <c r="E8127" s="1" t="s">
        <v>39087</v>
      </c>
      <c r="F8127" s="1" t="s">
        <v>33042</v>
      </c>
      <c r="G8127" s="1" t="s">
        <v>9391</v>
      </c>
      <c r="H8127" s="1">
        <v>2020.0</v>
      </c>
      <c r="I8127" s="1" t="s">
        <v>206</v>
      </c>
      <c r="J8127" s="1" t="s">
        <v>276</v>
      </c>
      <c r="K8127" s="1" t="s">
        <v>637</v>
      </c>
      <c r="L8127" s="1" t="s">
        <v>39088</v>
      </c>
      <c r="M8127" s="2" t="s">
        <v>12</v>
      </c>
      <c r="N8127" s="4">
        <f t="shared" si="1"/>
        <v>44166</v>
      </c>
      <c r="O8127" s="5" t="str">
        <f>IFERROR(__xludf.DUMMYFUNCTION("IF(REGEXMATCH(TRIM(I8127), ""^\d+\s*min""), ""Unclassified"", IF(I8127 = """", ""NR"", I8127))"),"TV-Y")</f>
        <v>TV-Y</v>
      </c>
      <c r="R8127" s="5" t="str">
        <f t="shared" si="2"/>
        <v>Super Wings</v>
      </c>
      <c r="S8127" s="5" t="str">
        <f>IFERROR(__xludf.DUMMYFUNCTION("""COMPUTED_VALUE"""),"Transformers: Robots In Disguise")</f>
        <v>Transformers: Robots In Disguise</v>
      </c>
      <c r="V8127" s="5"/>
      <c r="Y8127" s="5" t="str">
        <f>IFERROR(__xludf.DUMMYFUNCTION("REGEXEXTRACT(J8127, ""^\d+"")"),"3")</f>
        <v>3</v>
      </c>
      <c r="Z8127" s="5" t="str">
        <f>IFERROR(__xludf.DUMMYFUNCTION("REGEXEXTRACT(J8127, ""[A-Za-z ]+$"")")," Seasons")</f>
        <v> Seasons</v>
      </c>
      <c r="AA8127" s="5" t="str">
        <f>IFERROR(__xludf.DUMMYFUNCTION("IF(REGEXMATCH(Z8127, ""Season""), ""TV Show"", ""Movie"")"),"TV Show")</f>
        <v>TV Show</v>
      </c>
    </row>
    <row r="8128">
      <c r="A8128" s="1" t="s">
        <v>39089</v>
      </c>
      <c r="B8128" s="1" t="s">
        <v>27</v>
      </c>
      <c r="C8128" s="1" t="s">
        <v>39090</v>
      </c>
      <c r="D8128" s="1" t="s">
        <v>8677</v>
      </c>
      <c r="E8128" s="1" t="s">
        <v>39091</v>
      </c>
      <c r="F8128" s="1" t="s">
        <v>30</v>
      </c>
      <c r="G8128" s="1" t="s">
        <v>8506</v>
      </c>
      <c r="H8128" s="1">
        <v>2007.0</v>
      </c>
      <c r="I8128" s="1" t="s">
        <v>378</v>
      </c>
      <c r="J8128" s="1" t="s">
        <v>519</v>
      </c>
      <c r="K8128" s="1" t="s">
        <v>1020</v>
      </c>
      <c r="L8128" s="1" t="s">
        <v>39092</v>
      </c>
      <c r="M8128" s="2" t="s">
        <v>12</v>
      </c>
      <c r="N8128" s="4">
        <f t="shared" si="1"/>
        <v>44197</v>
      </c>
      <c r="O8128" s="5" t="str">
        <f>IFERROR(__xludf.DUMMYFUNCTION("IF(REGEXMATCH(TRIM(I8128), ""^\d+\s*min""), ""Unclassified"", IF(I8128 = """", ""NR"", I8128))"),"R")</f>
        <v>R</v>
      </c>
      <c r="R8128" s="5" t="str">
        <f t="shared" si="2"/>
        <v>Superbad</v>
      </c>
      <c r="S8128" s="5" t="str">
        <f>IFERROR(__xludf.DUMMYFUNCTION("""COMPUTED_VALUE"""),"Transformers: War For Cybertron Trilogy")</f>
        <v>Transformers: War For Cybertron Trilogy</v>
      </c>
      <c r="V8128" s="5"/>
      <c r="Y8128" s="5" t="str">
        <f>IFERROR(__xludf.DUMMYFUNCTION("REGEXEXTRACT(J8128, ""^\d+"")"),"113")</f>
        <v>113</v>
      </c>
      <c r="Z8128" s="5" t="str">
        <f>IFERROR(__xludf.DUMMYFUNCTION("REGEXEXTRACT(J8128, ""[A-Za-z ]+$"")")," min")</f>
        <v> min</v>
      </c>
      <c r="AA8128" s="5" t="str">
        <f>IFERROR(__xludf.DUMMYFUNCTION("IF(REGEXMATCH(Z8128, ""Season""), ""TV Show"", ""Movie"")"),"Movie")</f>
        <v>Movie</v>
      </c>
    </row>
    <row r="8129">
      <c r="A8129" s="1" t="s">
        <v>39093</v>
      </c>
      <c r="B8129" s="1" t="s">
        <v>27</v>
      </c>
      <c r="C8129" s="1" t="s">
        <v>39094</v>
      </c>
      <c r="D8129" s="1" t="s">
        <v>8584</v>
      </c>
      <c r="E8129" s="1" t="s">
        <v>39095</v>
      </c>
      <c r="F8129" s="1" t="s">
        <v>30</v>
      </c>
      <c r="G8129" s="1" t="s">
        <v>18333</v>
      </c>
      <c r="H8129" s="1">
        <v>1972.0</v>
      </c>
      <c r="I8129" s="1" t="s">
        <v>378</v>
      </c>
      <c r="J8129" s="1" t="s">
        <v>79</v>
      </c>
      <c r="K8129" s="1" t="s">
        <v>342</v>
      </c>
      <c r="L8129" s="1" t="s">
        <v>39096</v>
      </c>
      <c r="M8129" s="2" t="s">
        <v>12</v>
      </c>
      <c r="N8129" s="4">
        <f t="shared" si="1"/>
        <v>43770</v>
      </c>
      <c r="O8129" s="5" t="str">
        <f>IFERROR(__xludf.DUMMYFUNCTION("IF(REGEXMATCH(TRIM(I8129), ""^\d+\s*min""), ""Unclassified"", IF(I8129 = """", ""NR"", I8129))"),"R")</f>
        <v>R</v>
      </c>
      <c r="R8129" s="5" t="str">
        <f t="shared" si="2"/>
        <v>Superfly</v>
      </c>
      <c r="S8129" s="5" t="str">
        <f>IFERROR(__xludf.DUMMYFUNCTION("""COMPUTED_VALUE"""),"Transformers: War For Cybertron: Earthrise")</f>
        <v>Transformers: War For Cybertron: Earthrise</v>
      </c>
      <c r="V8129" s="5"/>
      <c r="Y8129" s="5" t="str">
        <f>IFERROR(__xludf.DUMMYFUNCTION("REGEXEXTRACT(J8129, ""^\d+"")"),"91")</f>
        <v>91</v>
      </c>
      <c r="Z8129" s="5" t="str">
        <f>IFERROR(__xludf.DUMMYFUNCTION("REGEXEXTRACT(J8129, ""[A-Za-z ]+$"")")," min")</f>
        <v> min</v>
      </c>
      <c r="AA8129" s="5" t="str">
        <f>IFERROR(__xludf.DUMMYFUNCTION("IF(REGEXMATCH(Z8129, ""Season""), ""TV Show"", ""Movie"")"),"Movie")</f>
        <v>Movie</v>
      </c>
    </row>
    <row r="8130">
      <c r="A8130" s="1" t="s">
        <v>39097</v>
      </c>
      <c r="B8130" s="1" t="s">
        <v>27</v>
      </c>
      <c r="C8130" s="1" t="s">
        <v>39098</v>
      </c>
      <c r="D8130" s="1" t="s">
        <v>3962</v>
      </c>
      <c r="E8130" s="1" t="s">
        <v>39099</v>
      </c>
      <c r="F8130" s="1" t="s">
        <v>30</v>
      </c>
      <c r="G8130" s="1" t="s">
        <v>18985</v>
      </c>
      <c r="H8130" s="1">
        <v>2006.0</v>
      </c>
      <c r="I8130" s="1" t="s">
        <v>32</v>
      </c>
      <c r="J8130" s="1" t="s">
        <v>965</v>
      </c>
      <c r="K8130" s="1" t="s">
        <v>942</v>
      </c>
      <c r="L8130" s="1" t="s">
        <v>39100</v>
      </c>
      <c r="M8130" s="2" t="s">
        <v>12</v>
      </c>
      <c r="N8130" s="4">
        <f t="shared" si="1"/>
        <v>43739</v>
      </c>
      <c r="O8130" s="5" t="str">
        <f>IFERROR(__xludf.DUMMYFUNCTION("IF(REGEXMATCH(TRIM(I8130), ""^\d+\s*min""), ""Unclassified"", IF(I8130 = """", ""NR"", I8130))"),"PG-13")</f>
        <v>PG-13</v>
      </c>
      <c r="R8130" s="5" t="str">
        <f t="shared" si="2"/>
        <v>Superman Returns</v>
      </c>
      <c r="S8130" s="5" t="str">
        <f>IFERROR(__xludf.DUMMYFUNCTION("""COMPUTED_VALUE"""),"Transformers: War For Cybertron: Kingdom")</f>
        <v>Transformers: War For Cybertron: Kingdom</v>
      </c>
      <c r="V8130" s="5"/>
      <c r="Y8130" s="5" t="str">
        <f>IFERROR(__xludf.DUMMYFUNCTION("REGEXEXTRACT(J8130, ""^\d+"")"),"154")</f>
        <v>154</v>
      </c>
      <c r="Z8130" s="5" t="str">
        <f>IFERROR(__xludf.DUMMYFUNCTION("REGEXEXTRACT(J8130, ""[A-Za-z ]+$"")")," min")</f>
        <v> min</v>
      </c>
      <c r="AA8130" s="5" t="str">
        <f>IFERROR(__xludf.DUMMYFUNCTION("IF(REGEXMATCH(Z8130, ""Season""), ""TV Show"", ""Movie"")"),"Movie")</f>
        <v>Movie</v>
      </c>
    </row>
    <row r="8131">
      <c r="A8131" s="1" t="s">
        <v>39101</v>
      </c>
      <c r="B8131" s="1" t="s">
        <v>37</v>
      </c>
      <c r="C8131" s="1" t="s">
        <v>39102</v>
      </c>
      <c r="F8131" s="1" t="s">
        <v>96</v>
      </c>
      <c r="G8131" s="1" t="s">
        <v>28552</v>
      </c>
      <c r="H8131" s="1">
        <v>2016.0</v>
      </c>
      <c r="I8131" s="1" t="s">
        <v>136</v>
      </c>
      <c r="J8131" s="1" t="s">
        <v>51</v>
      </c>
      <c r="K8131" s="1" t="s">
        <v>29581</v>
      </c>
      <c r="L8131" s="1" t="s">
        <v>39103</v>
      </c>
      <c r="M8131" s="2" t="s">
        <v>12</v>
      </c>
      <c r="N8131" s="4">
        <f t="shared" si="1"/>
        <v>42795</v>
      </c>
      <c r="O8131" s="5" t="str">
        <f>IFERROR(__xludf.DUMMYFUNCTION("IF(REGEXMATCH(TRIM(I8131), ""^\d+\s*min""), ""Unclassified"", IF(I8131 = """", ""NR"", I8131))"),"TV-PG")</f>
        <v>TV-PG</v>
      </c>
      <c r="R8131" s="5" t="str">
        <f t="shared" si="2"/>
        <v>Supernature: Wild Flyers</v>
      </c>
      <c r="S8131" s="5" t="str">
        <f>IFERROR(__xludf.DUMMYFUNCTION("""COMPUTED_VALUE"""),"Trash")</f>
        <v>Trash</v>
      </c>
      <c r="V8131" s="5"/>
      <c r="Y8131" s="5" t="str">
        <f>IFERROR(__xludf.DUMMYFUNCTION("REGEXEXTRACT(J8131, ""^\d+"")"),"1")</f>
        <v>1</v>
      </c>
      <c r="Z8131" s="5" t="str">
        <f>IFERROR(__xludf.DUMMYFUNCTION("REGEXEXTRACT(J8131, ""[A-Za-z ]+$"")")," Season")</f>
        <v> Season</v>
      </c>
      <c r="AA8131" s="5" t="str">
        <f>IFERROR(__xludf.DUMMYFUNCTION("IF(REGEXMATCH(Z8131, ""Season""), ""TV Show"", ""Movie"")"),"TV Show")</f>
        <v>TV Show</v>
      </c>
    </row>
    <row r="8132">
      <c r="A8132" s="1" t="s">
        <v>39104</v>
      </c>
      <c r="B8132" s="1" t="s">
        <v>27</v>
      </c>
      <c r="C8132" s="1" t="s">
        <v>39105</v>
      </c>
      <c r="D8132" s="1" t="s">
        <v>39106</v>
      </c>
      <c r="E8132" s="1" t="s">
        <v>39107</v>
      </c>
      <c r="F8132" s="1" t="s">
        <v>30</v>
      </c>
      <c r="G8132" s="1" t="s">
        <v>17941</v>
      </c>
      <c r="H8132" s="1">
        <v>1999.0</v>
      </c>
      <c r="I8132" s="1" t="s">
        <v>32</v>
      </c>
      <c r="J8132" s="1" t="s">
        <v>1001</v>
      </c>
      <c r="K8132" s="1" t="s">
        <v>239</v>
      </c>
      <c r="L8132" s="1" t="s">
        <v>39108</v>
      </c>
      <c r="M8132" s="2" t="s">
        <v>12</v>
      </c>
      <c r="N8132" s="4">
        <f t="shared" si="1"/>
        <v>43789</v>
      </c>
      <c r="O8132" s="5" t="str">
        <f>IFERROR(__xludf.DUMMYFUNCTION("IF(REGEXMATCH(TRIM(I8132), ""^\d+\s*min""), ""Unclassified"", IF(I8132 = """", ""NR"", I8132))"),"PG-13")</f>
        <v>PG-13</v>
      </c>
      <c r="R8132" s="5" t="str">
        <f t="shared" si="2"/>
        <v>Superstar</v>
      </c>
      <c r="S8132" s="5" t="str">
        <f>IFERROR(__xludf.DUMMYFUNCTION("""COMPUTED_VALUE"""),"Trash Fire")</f>
        <v>Trash Fire</v>
      </c>
      <c r="V8132" s="5"/>
      <c r="Y8132" s="5" t="str">
        <f>IFERROR(__xludf.DUMMYFUNCTION("REGEXEXTRACT(J8132, ""^\d+"")"),"82")</f>
        <v>82</v>
      </c>
      <c r="Z8132" s="5" t="str">
        <f>IFERROR(__xludf.DUMMYFUNCTION("REGEXEXTRACT(J8132, ""[A-Za-z ]+$"")")," min")</f>
        <v> min</v>
      </c>
      <c r="AA8132" s="5" t="str">
        <f>IFERROR(__xludf.DUMMYFUNCTION("IF(REGEXMATCH(Z8132, ""Season""), ""TV Show"", ""Movie"")"),"Movie")</f>
        <v>Movie</v>
      </c>
    </row>
    <row r="8133">
      <c r="A8133" s="1" t="s">
        <v>39109</v>
      </c>
      <c r="B8133" s="1" t="s">
        <v>27</v>
      </c>
      <c r="C8133" s="1" t="s">
        <v>39110</v>
      </c>
      <c r="D8133" s="1" t="s">
        <v>2080</v>
      </c>
      <c r="E8133" s="1" t="s">
        <v>39111</v>
      </c>
      <c r="F8133" s="1" t="s">
        <v>2873</v>
      </c>
      <c r="G8133" s="1" t="s">
        <v>24064</v>
      </c>
      <c r="H8133" s="1">
        <v>2016.0</v>
      </c>
      <c r="I8133" s="1" t="s">
        <v>97</v>
      </c>
      <c r="J8133" s="1" t="s">
        <v>357</v>
      </c>
      <c r="K8133" s="1" t="s">
        <v>679</v>
      </c>
      <c r="L8133" s="1" t="s">
        <v>39112</v>
      </c>
      <c r="M8133" s="2" t="s">
        <v>12</v>
      </c>
      <c r="N8133" s="4">
        <f t="shared" si="1"/>
        <v>43382</v>
      </c>
      <c r="O8133" s="5" t="str">
        <f>IFERROR(__xludf.DUMMYFUNCTION("IF(REGEXMATCH(TRIM(I8133), ""^\d+\s*min""), ""Unclassified"", IF(I8133 = """", ""NR"", I8133))"),"TV-14")</f>
        <v>TV-14</v>
      </c>
      <c r="R8133" s="5" t="str">
        <f t="shared" si="2"/>
        <v>Surat Dari Praha</v>
      </c>
      <c r="S8133" s="5" t="str">
        <f>IFERROR(__xludf.DUMMYFUNCTION("""COMPUTED_VALUE"""),"Trash Truck")</f>
        <v>Trash Truck</v>
      </c>
      <c r="V8133" s="5"/>
      <c r="Y8133" s="5" t="str">
        <f>IFERROR(__xludf.DUMMYFUNCTION("REGEXEXTRACT(J8133, ""^\d+"")"),"98")</f>
        <v>98</v>
      </c>
      <c r="Z8133" s="5" t="str">
        <f>IFERROR(__xludf.DUMMYFUNCTION("REGEXEXTRACT(J8133, ""[A-Za-z ]+$"")")," min")</f>
        <v> min</v>
      </c>
      <c r="AA8133" s="5" t="str">
        <f>IFERROR(__xludf.DUMMYFUNCTION("IF(REGEXMATCH(Z8133, ""Season""), ""TV Show"", ""Movie"")"),"Movie")</f>
        <v>Movie</v>
      </c>
    </row>
    <row r="8134">
      <c r="A8134" s="1" t="s">
        <v>39113</v>
      </c>
      <c r="B8134" s="1" t="s">
        <v>37</v>
      </c>
      <c r="C8134" s="1" t="s">
        <v>39114</v>
      </c>
      <c r="E8134" s="1" t="s">
        <v>15070</v>
      </c>
      <c r="F8134" s="1" t="s">
        <v>30</v>
      </c>
      <c r="G8134" s="1" t="s">
        <v>15066</v>
      </c>
      <c r="H8134" s="1">
        <v>2020.0</v>
      </c>
      <c r="I8134" s="1" t="s">
        <v>42</v>
      </c>
      <c r="J8134" s="1" t="s">
        <v>51</v>
      </c>
      <c r="K8134" s="1" t="s">
        <v>2043</v>
      </c>
      <c r="L8134" s="1" t="s">
        <v>39115</v>
      </c>
      <c r="M8134" s="2" t="s">
        <v>12</v>
      </c>
      <c r="N8134" s="4">
        <f t="shared" si="1"/>
        <v>43934</v>
      </c>
      <c r="O8134" s="5" t="str">
        <f>IFERROR(__xludf.DUMMYFUNCTION("IF(REGEXMATCH(TRIM(I8134), ""^\d+\s*min""), ""Unclassified"", IF(I8134 = """", ""NR"", I8134))"),"TV-MA")</f>
        <v>TV-MA</v>
      </c>
      <c r="R8134" s="5" t="str">
        <f t="shared" si="2"/>
        <v>Surviving R. Kelly Part Ii: The Reckoning</v>
      </c>
      <c r="S8134" s="5" t="str">
        <f>IFERROR(__xludf.DUMMYFUNCTION("""COMPUTED_VALUE"""),"Travel Mates 2")</f>
        <v>Travel Mates 2</v>
      </c>
      <c r="V8134" s="5"/>
      <c r="Y8134" s="5" t="str">
        <f>IFERROR(__xludf.DUMMYFUNCTION("REGEXEXTRACT(J8134, ""^\d+"")"),"1")</f>
        <v>1</v>
      </c>
      <c r="Z8134" s="5" t="str">
        <f>IFERROR(__xludf.DUMMYFUNCTION("REGEXEXTRACT(J8134, ""[A-Za-z ]+$"")")," Season")</f>
        <v> Season</v>
      </c>
      <c r="AA8134" s="5" t="str">
        <f>IFERROR(__xludf.DUMMYFUNCTION("IF(REGEXMATCH(Z8134, ""Season""), ""TV Show"", ""Movie"")"),"TV Show")</f>
        <v>TV Show</v>
      </c>
    </row>
    <row r="8135">
      <c r="A8135" s="1" t="s">
        <v>39116</v>
      </c>
      <c r="B8135" s="1" t="s">
        <v>27</v>
      </c>
      <c r="C8135" s="1" t="s">
        <v>39117</v>
      </c>
      <c r="D8135" s="1" t="s">
        <v>15301</v>
      </c>
      <c r="E8135" s="1" t="s">
        <v>39118</v>
      </c>
      <c r="F8135" s="1" t="s">
        <v>30</v>
      </c>
      <c r="G8135" s="7">
        <v>43244.0</v>
      </c>
      <c r="H8135" s="1">
        <v>2017.0</v>
      </c>
      <c r="I8135" s="1" t="s">
        <v>42</v>
      </c>
      <c r="J8135" s="1" t="s">
        <v>238</v>
      </c>
      <c r="K8135" s="1" t="s">
        <v>34</v>
      </c>
      <c r="L8135" s="1" t="s">
        <v>39119</v>
      </c>
      <c r="M8135" s="2" t="s">
        <v>12</v>
      </c>
      <c r="N8135" s="4">
        <f t="shared" si="1"/>
        <v>43244</v>
      </c>
      <c r="O8135" s="5" t="str">
        <f>IFERROR(__xludf.DUMMYFUNCTION("IF(REGEXMATCH(TRIM(I8135), ""^\d+\s*min""), ""Unclassified"", IF(I8135 = """", ""NR"", I8135))"),"TV-MA")</f>
        <v>TV-MA</v>
      </c>
      <c r="R8135" s="5" t="str">
        <f t="shared" si="2"/>
        <v>Survivors Guide To Prison</v>
      </c>
      <c r="S8135" s="5" t="str">
        <f>IFERROR(__xludf.DUMMYFUNCTION("""COMPUTED_VALUE"""),"Travelers")</f>
        <v>Travelers</v>
      </c>
      <c r="V8135" s="5"/>
      <c r="Y8135" s="5" t="str">
        <f>IFERROR(__xludf.DUMMYFUNCTION("REGEXEXTRACT(J8135, ""^\d+"")"),"103")</f>
        <v>103</v>
      </c>
      <c r="Z8135" s="5" t="str">
        <f>IFERROR(__xludf.DUMMYFUNCTION("REGEXEXTRACT(J8135, ""[A-Za-z ]+$"")")," min")</f>
        <v> min</v>
      </c>
      <c r="AA8135" s="5" t="str">
        <f>IFERROR(__xludf.DUMMYFUNCTION("IF(REGEXMATCH(Z8135, ""Season""), ""TV Show"", ""Movie"")"),"Movie")</f>
        <v>Movie</v>
      </c>
    </row>
    <row r="8136">
      <c r="A8136" s="1" t="s">
        <v>39120</v>
      </c>
      <c r="B8136" s="1" t="s">
        <v>27</v>
      </c>
      <c r="C8136" s="1" t="s">
        <v>39121</v>
      </c>
      <c r="D8136" s="1" t="s">
        <v>2238</v>
      </c>
      <c r="E8136" s="1" t="s">
        <v>39122</v>
      </c>
      <c r="F8136" s="1" t="s">
        <v>30</v>
      </c>
      <c r="G8136" s="1" t="s">
        <v>33801</v>
      </c>
      <c r="H8136" s="1">
        <v>2017.0</v>
      </c>
      <c r="I8136" s="1" t="s">
        <v>42</v>
      </c>
      <c r="J8136" s="1" t="s">
        <v>1144</v>
      </c>
      <c r="K8136" s="1" t="s">
        <v>1212</v>
      </c>
      <c r="L8136" s="1" t="s">
        <v>39123</v>
      </c>
      <c r="M8136" s="2" t="s">
        <v>12</v>
      </c>
      <c r="N8136" s="4">
        <f t="shared" si="1"/>
        <v>43444</v>
      </c>
      <c r="O8136" s="5" t="str">
        <f>IFERROR(__xludf.DUMMYFUNCTION("IF(REGEXMATCH(TRIM(I8136), ""^\d+\s*min""), ""Unclassified"", IF(I8136 = """", ""NR"", I8136))"),"TV-MA")</f>
        <v>TV-MA</v>
      </c>
      <c r="R8136" s="5" t="str">
        <f t="shared" si="2"/>
        <v>Susanne Bartsch: On Top</v>
      </c>
      <c r="S8136" s="5" t="str">
        <f>IFERROR(__xludf.DUMMYFUNCTION("""COMPUTED_VALUE"""),"Travis Scott: Look Mom I Can Fly")</f>
        <v>Travis Scott: Look Mom I Can Fly</v>
      </c>
      <c r="V8136" s="5"/>
      <c r="Y8136" s="5" t="str">
        <f>IFERROR(__xludf.DUMMYFUNCTION("REGEXEXTRACT(J8136, ""^\d+"")"),"86")</f>
        <v>86</v>
      </c>
      <c r="Z8136" s="5" t="str">
        <f>IFERROR(__xludf.DUMMYFUNCTION("REGEXEXTRACT(J8136, ""[A-Za-z ]+$"")")," min")</f>
        <v> min</v>
      </c>
      <c r="AA8136" s="5" t="str">
        <f>IFERROR(__xludf.DUMMYFUNCTION("IF(REGEXMATCH(Z8136, ""Season""), ""TV Show"", ""Movie"")"),"Movie")</f>
        <v>Movie</v>
      </c>
    </row>
    <row r="8137">
      <c r="A8137" s="1" t="s">
        <v>39124</v>
      </c>
      <c r="B8137" s="1" t="s">
        <v>27</v>
      </c>
      <c r="C8137" s="1" t="s">
        <v>39125</v>
      </c>
      <c r="D8137" s="1" t="s">
        <v>15289</v>
      </c>
      <c r="F8137" s="1" t="s">
        <v>30</v>
      </c>
      <c r="G8137" s="1" t="s">
        <v>28552</v>
      </c>
      <c r="H8137" s="1">
        <v>2016.0</v>
      </c>
      <c r="I8137" s="1" t="s">
        <v>506</v>
      </c>
      <c r="J8137" s="1" t="s">
        <v>665</v>
      </c>
      <c r="K8137" s="1" t="s">
        <v>34</v>
      </c>
      <c r="L8137" s="1" t="s">
        <v>39126</v>
      </c>
      <c r="M8137" s="2" t="s">
        <v>12</v>
      </c>
      <c r="N8137" s="4">
        <f t="shared" si="1"/>
        <v>42795</v>
      </c>
      <c r="O8137" s="5" t="str">
        <f>IFERROR(__xludf.DUMMYFUNCTION("IF(REGEXMATCH(TRIM(I8137), ""^\d+\s*min""), ""Unclassified"", IF(I8137 = """", ""NR"", I8137))"),"TV-G")</f>
        <v>TV-G</v>
      </c>
      <c r="R8137" s="5" t="str">
        <f t="shared" si="2"/>
        <v>Sustainable</v>
      </c>
      <c r="S8137" s="5" t="str">
        <f>IFERROR(__xludf.DUMMYFUNCTION("""COMPUTED_VALUE"""),"Tread")</f>
        <v>Tread</v>
      </c>
      <c r="V8137" s="5"/>
      <c r="Y8137" s="5" t="str">
        <f>IFERROR(__xludf.DUMMYFUNCTION("REGEXEXTRACT(J8137, ""^\d+"")"),"92")</f>
        <v>92</v>
      </c>
      <c r="Z8137" s="5" t="str">
        <f>IFERROR(__xludf.DUMMYFUNCTION("REGEXEXTRACT(J8137, ""[A-Za-z ]+$"")")," min")</f>
        <v> min</v>
      </c>
      <c r="AA8137" s="5" t="str">
        <f>IFERROR(__xludf.DUMMYFUNCTION("IF(REGEXMATCH(Z8137, ""Season""), ""TV Show"", ""Movie"")"),"Movie")</f>
        <v>Movie</v>
      </c>
    </row>
    <row r="8138">
      <c r="A8138" s="1" t="s">
        <v>39127</v>
      </c>
      <c r="B8138" s="1" t="s">
        <v>27</v>
      </c>
      <c r="C8138" s="1" t="s">
        <v>39128</v>
      </c>
      <c r="D8138" s="1" t="s">
        <v>3074</v>
      </c>
      <c r="E8138" s="1" t="s">
        <v>39129</v>
      </c>
      <c r="F8138" s="1" t="s">
        <v>63</v>
      </c>
      <c r="G8138" s="1" t="s">
        <v>17078</v>
      </c>
      <c r="H8138" s="1">
        <v>1977.0</v>
      </c>
      <c r="I8138" s="1" t="s">
        <v>136</v>
      </c>
      <c r="J8138" s="1" t="s">
        <v>2566</v>
      </c>
      <c r="K8138" s="1" t="s">
        <v>89</v>
      </c>
      <c r="L8138" s="1" t="s">
        <v>39130</v>
      </c>
      <c r="M8138" s="2" t="s">
        <v>12</v>
      </c>
      <c r="N8138" s="4">
        <f t="shared" si="1"/>
        <v>43830</v>
      </c>
      <c r="O8138" s="5" t="str">
        <f>IFERROR(__xludf.DUMMYFUNCTION("IF(REGEXMATCH(TRIM(I8138), ""^\d+\s*min""), ""Unclassified"", IF(I8138 = """", ""NR"", I8138))"),"TV-PG")</f>
        <v>TV-PG</v>
      </c>
      <c r="R8138" s="5" t="str">
        <f t="shared" si="2"/>
        <v>Swami</v>
      </c>
      <c r="S8138" s="5" t="str">
        <f>IFERROR(__xludf.DUMMYFUNCTION("""COMPUTED_VALUE"""),"Treasures From The Wreck Of The Unbelievable")</f>
        <v>Treasures From The Wreck Of The Unbelievable</v>
      </c>
      <c r="V8138" s="5"/>
      <c r="Y8138" s="5" t="str">
        <f>IFERROR(__xludf.DUMMYFUNCTION("REGEXEXTRACT(J8138, ""^\d+"")"),"123")</f>
        <v>123</v>
      </c>
      <c r="Z8138" s="5" t="str">
        <f>IFERROR(__xludf.DUMMYFUNCTION("REGEXEXTRACT(J8138, ""[A-Za-z ]+$"")")," min")</f>
        <v> min</v>
      </c>
      <c r="AA8138" s="5" t="str">
        <f>IFERROR(__xludf.DUMMYFUNCTION("IF(REGEXMATCH(Z8138, ""Season""), ""TV Show"", ""Movie"")"),"Movie")</f>
        <v>Movie</v>
      </c>
    </row>
    <row r="8139">
      <c r="A8139" s="1" t="s">
        <v>39131</v>
      </c>
      <c r="B8139" s="1" t="s">
        <v>37</v>
      </c>
      <c r="C8139" s="1" t="s">
        <v>39132</v>
      </c>
      <c r="E8139" s="1" t="s">
        <v>39133</v>
      </c>
      <c r="G8139" s="7">
        <v>43221.0</v>
      </c>
      <c r="H8139" s="1">
        <v>2018.0</v>
      </c>
      <c r="I8139" s="1" t="s">
        <v>97</v>
      </c>
      <c r="J8139" s="1" t="s">
        <v>51</v>
      </c>
      <c r="K8139" s="1" t="s">
        <v>402</v>
      </c>
      <c r="L8139" s="1" t="s">
        <v>39134</v>
      </c>
      <c r="M8139" s="2" t="s">
        <v>12</v>
      </c>
      <c r="N8139" s="4">
        <f t="shared" si="1"/>
        <v>43221</v>
      </c>
      <c r="O8139" s="5" t="str">
        <f>IFERROR(__xludf.DUMMYFUNCTION("IF(REGEXMATCH(TRIM(I8139), ""^\d+\s*min""), ""Unclassified"", IF(I8139 = """", ""NR"", I8139))"),"TV-14")</f>
        <v>TV-14</v>
      </c>
      <c r="R8139" s="5" t="str">
        <f t="shared" si="2"/>
        <v>Swami Baba Ramdev: The Untold Story</v>
      </c>
      <c r="S8139" s="5" t="str">
        <f>IFERROR(__xludf.DUMMYFUNCTION("""COMPUTED_VALUE"""),"Tree House Tales")</f>
        <v>Tree House Tales</v>
      </c>
      <c r="V8139" s="5"/>
      <c r="Y8139" s="5" t="str">
        <f>IFERROR(__xludf.DUMMYFUNCTION("REGEXEXTRACT(J8139, ""^\d+"")"),"1")</f>
        <v>1</v>
      </c>
      <c r="Z8139" s="5" t="str">
        <f>IFERROR(__xludf.DUMMYFUNCTION("REGEXEXTRACT(J8139, ""[A-Za-z ]+$"")")," Season")</f>
        <v> Season</v>
      </c>
      <c r="AA8139" s="5" t="str">
        <f>IFERROR(__xludf.DUMMYFUNCTION("IF(REGEXMATCH(Z8139, ""Season""), ""TV Show"", ""Movie"")"),"TV Show")</f>
        <v>TV Show</v>
      </c>
    </row>
    <row r="8140">
      <c r="A8140" s="1" t="s">
        <v>39135</v>
      </c>
      <c r="B8140" s="1" t="s">
        <v>27</v>
      </c>
      <c r="C8140" s="1" t="s">
        <v>39136</v>
      </c>
      <c r="D8140" s="1" t="s">
        <v>1129</v>
      </c>
      <c r="E8140" s="1" t="s">
        <v>39137</v>
      </c>
      <c r="F8140" s="1" t="s">
        <v>692</v>
      </c>
      <c r="G8140" s="1" t="s">
        <v>16947</v>
      </c>
      <c r="H8140" s="1">
        <v>2007.0</v>
      </c>
      <c r="I8140" s="1" t="s">
        <v>378</v>
      </c>
      <c r="J8140" s="1" t="s">
        <v>349</v>
      </c>
      <c r="K8140" s="1" t="s">
        <v>39138</v>
      </c>
      <c r="L8140" s="1" t="s">
        <v>39139</v>
      </c>
      <c r="M8140" s="2" t="s">
        <v>12</v>
      </c>
      <c r="N8140" s="4">
        <f t="shared" si="1"/>
        <v>43831</v>
      </c>
      <c r="O8140" s="5" t="str">
        <f>IFERROR(__xludf.DUMMYFUNCTION("IF(REGEXMATCH(TRIM(I8140), ""^\d+\s*min""), ""Unclassified"", IF(I8140 = """", ""NR"", I8140))"),"R")</f>
        <v>R</v>
      </c>
      <c r="R8140" s="5" t="str">
        <f t="shared" si="2"/>
        <v>Sweeney Todd: The Demon Barber Of Fleet Street</v>
      </c>
      <c r="S8140" s="5" t="str">
        <f>IFERROR(__xludf.DUMMYFUNCTION("""COMPUTED_VALUE"""),"Tree Man")</f>
        <v>Tree Man</v>
      </c>
      <c r="V8140" s="5"/>
      <c r="Y8140" s="5" t="str">
        <f>IFERROR(__xludf.DUMMYFUNCTION("REGEXEXTRACT(J8140, ""^\d+"")"),"116")</f>
        <v>116</v>
      </c>
      <c r="Z8140" s="5" t="str">
        <f>IFERROR(__xludf.DUMMYFUNCTION("REGEXEXTRACT(J8140, ""[A-Za-z ]+$"")")," min")</f>
        <v> min</v>
      </c>
      <c r="AA8140" s="5" t="str">
        <f>IFERROR(__xludf.DUMMYFUNCTION("IF(REGEXMATCH(Z8140, ""Season""), ""TV Show"", ""Movie"")"),"Movie")</f>
        <v>Movie</v>
      </c>
    </row>
    <row r="8141">
      <c r="A8141" s="1" t="s">
        <v>39140</v>
      </c>
      <c r="B8141" s="1" t="s">
        <v>27</v>
      </c>
      <c r="C8141" s="1" t="s">
        <v>39141</v>
      </c>
      <c r="D8141" s="1" t="s">
        <v>10128</v>
      </c>
      <c r="E8141" s="1" t="s">
        <v>39142</v>
      </c>
      <c r="F8141" s="1" t="s">
        <v>897</v>
      </c>
      <c r="G8141" s="1" t="s">
        <v>17643</v>
      </c>
      <c r="H8141" s="1">
        <v>2017.0</v>
      </c>
      <c r="I8141" s="1" t="s">
        <v>378</v>
      </c>
      <c r="J8141" s="1" t="s">
        <v>454</v>
      </c>
      <c r="K8141" s="1" t="s">
        <v>2327</v>
      </c>
      <c r="L8141" s="1" t="s">
        <v>39143</v>
      </c>
      <c r="M8141" s="2" t="s">
        <v>12</v>
      </c>
      <c r="N8141" s="4">
        <f t="shared" si="1"/>
        <v>43800</v>
      </c>
      <c r="O8141" s="5" t="str">
        <f>IFERROR(__xludf.DUMMYFUNCTION("IF(REGEXMATCH(TRIM(I8141), ""^\d+\s*min""), ""Unclassified"", IF(I8141 = """", ""NR"", I8141))"),"R")</f>
        <v>R</v>
      </c>
      <c r="R8141" s="5" t="str">
        <f t="shared" si="2"/>
        <v>Sweet Virginia</v>
      </c>
      <c r="S8141" s="5" t="str">
        <f>IFERROR(__xludf.DUMMYFUNCTION("""COMPUTED_VALUE"""),"Treehouse Detectives")</f>
        <v>Treehouse Detectives</v>
      </c>
      <c r="V8141" s="5"/>
      <c r="Y8141" s="5" t="str">
        <f>IFERROR(__xludf.DUMMYFUNCTION("REGEXEXTRACT(J8141, ""^\d+"")"),"93")</f>
        <v>93</v>
      </c>
      <c r="Z8141" s="5" t="str">
        <f>IFERROR(__xludf.DUMMYFUNCTION("REGEXEXTRACT(J8141, ""[A-Za-z ]+$"")")," min")</f>
        <v> min</v>
      </c>
      <c r="AA8141" s="5" t="str">
        <f>IFERROR(__xludf.DUMMYFUNCTION("IF(REGEXMATCH(Z8141, ""Season""), ""TV Show"", ""Movie"")"),"Movie")</f>
        <v>Movie</v>
      </c>
    </row>
    <row r="8142">
      <c r="A8142" s="1" t="s">
        <v>39144</v>
      </c>
      <c r="B8142" s="1" t="s">
        <v>27</v>
      </c>
      <c r="C8142" s="1" t="s">
        <v>39145</v>
      </c>
      <c r="D8142" s="1" t="s">
        <v>5430</v>
      </c>
      <c r="E8142" s="1" t="s">
        <v>39146</v>
      </c>
      <c r="F8142" s="1" t="s">
        <v>23293</v>
      </c>
      <c r="G8142" s="1" t="s">
        <v>22309</v>
      </c>
      <c r="H8142" s="1">
        <v>2016.0</v>
      </c>
      <c r="I8142" s="1" t="s">
        <v>378</v>
      </c>
      <c r="J8142" s="1" t="s">
        <v>247</v>
      </c>
      <c r="K8142" s="1" t="s">
        <v>836</v>
      </c>
      <c r="L8142" s="1" t="s">
        <v>39147</v>
      </c>
      <c r="M8142" s="2" t="s">
        <v>12</v>
      </c>
      <c r="N8142" s="4">
        <f t="shared" si="1"/>
        <v>43495</v>
      </c>
      <c r="O8142" s="5" t="str">
        <f>IFERROR(__xludf.DUMMYFUNCTION("IF(REGEXMATCH(TRIM(I8142), ""^\d+\s*min""), ""Unclassified"", IF(I8142 = """", ""NR"", I8142))"),"R")</f>
        <v>R</v>
      </c>
      <c r="R8142" s="5" t="str">
        <f t="shared" si="2"/>
        <v>Swiss Army Man</v>
      </c>
      <c r="S8142" s="5" t="str">
        <f>IFERROR(__xludf.DUMMYFUNCTION("""COMPUTED_VALUE"""),"Tremors")</f>
        <v>Tremors</v>
      </c>
      <c r="V8142" s="5"/>
      <c r="Y8142" s="5" t="str">
        <f>IFERROR(__xludf.DUMMYFUNCTION("REGEXEXTRACT(J8142, ""^\d+"")"),"97")</f>
        <v>97</v>
      </c>
      <c r="Z8142" s="5" t="str">
        <f>IFERROR(__xludf.DUMMYFUNCTION("REGEXEXTRACT(J8142, ""[A-Za-z ]+$"")")," min")</f>
        <v> min</v>
      </c>
      <c r="AA8142" s="5" t="str">
        <f>IFERROR(__xludf.DUMMYFUNCTION("IF(REGEXMATCH(Z8142, ""Season""), ""TV Show"", ""Movie"")"),"Movie")</f>
        <v>Movie</v>
      </c>
    </row>
    <row r="8143">
      <c r="A8143" s="1" t="s">
        <v>39148</v>
      </c>
      <c r="B8143" s="1" t="s">
        <v>27</v>
      </c>
      <c r="C8143" s="1" t="s">
        <v>39149</v>
      </c>
      <c r="D8143" s="1" t="s">
        <v>6388</v>
      </c>
      <c r="E8143" s="1" t="s">
        <v>39150</v>
      </c>
      <c r="F8143" s="1" t="s">
        <v>1064</v>
      </c>
      <c r="G8143" s="1" t="s">
        <v>27926</v>
      </c>
      <c r="H8143" s="1">
        <v>2016.0</v>
      </c>
      <c r="I8143" s="1" t="s">
        <v>42</v>
      </c>
      <c r="J8143" s="1" t="s">
        <v>912</v>
      </c>
      <c r="K8143" s="1" t="s">
        <v>306</v>
      </c>
      <c r="L8143" s="1" t="s">
        <v>39151</v>
      </c>
      <c r="M8143" s="2" t="s">
        <v>12</v>
      </c>
      <c r="N8143" s="4">
        <f t="shared" si="1"/>
        <v>42896</v>
      </c>
      <c r="O8143" s="5" t="str">
        <f>IFERROR(__xludf.DUMMYFUNCTION("IF(REGEXMATCH(TRIM(I8143), ""^\d+\s*min""), ""Unclassified"", IF(I8143 = """", ""NR"", I8143))"),"TV-MA")</f>
        <v>TV-MA</v>
      </c>
      <c r="R8143" s="5" t="str">
        <f t="shared" si="2"/>
        <v>Sword Master</v>
      </c>
      <c r="S8143" s="5" t="str">
        <f>IFERROR(__xludf.DUMMYFUNCTION("""COMPUTED_VALUE"""),"Tremors 2: Aftershocks")</f>
        <v>Tremors 2: Aftershocks</v>
      </c>
      <c r="V8143" s="5"/>
      <c r="Y8143" s="5" t="str">
        <f>IFERROR(__xludf.DUMMYFUNCTION("REGEXEXTRACT(J8143, ""^\d+"")"),"108")</f>
        <v>108</v>
      </c>
      <c r="Z8143" s="5" t="str">
        <f>IFERROR(__xludf.DUMMYFUNCTION("REGEXEXTRACT(J8143, ""[A-Za-z ]+$"")")," min")</f>
        <v> min</v>
      </c>
      <c r="AA8143" s="5" t="str">
        <f>IFERROR(__xludf.DUMMYFUNCTION("IF(REGEXMATCH(Z8143, ""Season""), ""TV Show"", ""Movie"")"),"Movie")</f>
        <v>Movie</v>
      </c>
    </row>
    <row r="8144">
      <c r="A8144" s="1" t="s">
        <v>39152</v>
      </c>
      <c r="B8144" s="1" t="s">
        <v>27</v>
      </c>
      <c r="C8144" s="1" t="s">
        <v>39153</v>
      </c>
      <c r="D8144" s="1" t="s">
        <v>4534</v>
      </c>
      <c r="E8144" s="1" t="s">
        <v>39154</v>
      </c>
      <c r="F8144" s="1" t="s">
        <v>1119</v>
      </c>
      <c r="G8144" s="1" t="s">
        <v>24803</v>
      </c>
      <c r="H8144" s="1">
        <v>1980.0</v>
      </c>
      <c r="I8144" s="1" t="s">
        <v>378</v>
      </c>
      <c r="J8144" s="1" t="s">
        <v>1091</v>
      </c>
      <c r="K8144" s="1" t="s">
        <v>1066</v>
      </c>
      <c r="L8144" s="1" t="s">
        <v>39155</v>
      </c>
      <c r="M8144" s="2" t="s">
        <v>12</v>
      </c>
      <c r="N8144" s="4">
        <f t="shared" si="1"/>
        <v>43328</v>
      </c>
      <c r="O8144" s="5" t="str">
        <f>IFERROR(__xludf.DUMMYFUNCTION("IF(REGEXMATCH(TRIM(I8144), ""^\d+\s*min""), ""Unclassified"", IF(I8144 = """", ""NR"", I8144))"),"R")</f>
        <v>R</v>
      </c>
      <c r="R8144" s="5" t="str">
        <f t="shared" si="2"/>
        <v>Sword Masters: Two Champions Of Shaolin</v>
      </c>
      <c r="S8144" s="5" t="str">
        <f>IFERROR(__xludf.DUMMYFUNCTION("""COMPUTED_VALUE"""),"Tremors 3: Back To Perfection")</f>
        <v>Tremors 3: Back To Perfection</v>
      </c>
      <c r="V8144" s="5"/>
      <c r="Y8144" s="5" t="str">
        <f>IFERROR(__xludf.DUMMYFUNCTION("REGEXEXTRACT(J8144, ""^\d+"")"),"101")</f>
        <v>101</v>
      </c>
      <c r="Z8144" s="5" t="str">
        <f>IFERROR(__xludf.DUMMYFUNCTION("REGEXEXTRACT(J8144, ""[A-Za-z ]+$"")")," min")</f>
        <v> min</v>
      </c>
      <c r="AA8144" s="5" t="str">
        <f>IFERROR(__xludf.DUMMYFUNCTION("IF(REGEXMATCH(Z8144, ""Season""), ""TV Show"", ""Movie"")"),"Movie")</f>
        <v>Movie</v>
      </c>
    </row>
    <row r="8145">
      <c r="A8145" s="1" t="s">
        <v>39156</v>
      </c>
      <c r="B8145" s="1" t="s">
        <v>37</v>
      </c>
      <c r="C8145" s="1" t="s">
        <v>39157</v>
      </c>
      <c r="E8145" s="1" t="s">
        <v>39158</v>
      </c>
      <c r="F8145" s="1" t="s">
        <v>30</v>
      </c>
      <c r="G8145" s="1" t="s">
        <v>17333</v>
      </c>
      <c r="H8145" s="1">
        <v>2010.0</v>
      </c>
      <c r="I8145" s="1" t="s">
        <v>136</v>
      </c>
      <c r="J8145" s="1" t="s">
        <v>51</v>
      </c>
      <c r="K8145" s="1" t="s">
        <v>290</v>
      </c>
      <c r="L8145" s="1" t="s">
        <v>39159</v>
      </c>
      <c r="M8145" s="2" t="s">
        <v>12</v>
      </c>
      <c r="N8145" s="4">
        <f t="shared" si="1"/>
        <v>43814</v>
      </c>
      <c r="O8145" s="5" t="str">
        <f>IFERROR(__xludf.DUMMYFUNCTION("IF(REGEXMATCH(TRIM(I8145), ""^\d+\s*min""), ""Unclassified"", IF(I8145 = """", ""NR"", I8145))"),"TV-PG")</f>
        <v>TV-PG</v>
      </c>
      <c r="R8145" s="5" t="str">
        <f t="shared" si="2"/>
        <v>Sym-Bionic Titan</v>
      </c>
      <c r="S8145" s="5" t="str">
        <f>IFERROR(__xludf.DUMMYFUNCTION("""COMPUTED_VALUE"""),"Tremors 4: The Legend Begins")</f>
        <v>Tremors 4: The Legend Begins</v>
      </c>
      <c r="V8145" s="5"/>
      <c r="Y8145" s="5" t="str">
        <f>IFERROR(__xludf.DUMMYFUNCTION("REGEXEXTRACT(J8145, ""^\d+"")"),"1")</f>
        <v>1</v>
      </c>
      <c r="Z8145" s="5" t="str">
        <f>IFERROR(__xludf.DUMMYFUNCTION("REGEXEXTRACT(J8145, ""[A-Za-z ]+$"")")," Season")</f>
        <v> Season</v>
      </c>
      <c r="AA8145" s="5" t="str">
        <f>IFERROR(__xludf.DUMMYFUNCTION("IF(REGEXMATCH(Z8145, ""Season""), ""TV Show"", ""Movie"")"),"TV Show")</f>
        <v>TV Show</v>
      </c>
    </row>
    <row r="8146">
      <c r="A8146" s="1" t="s">
        <v>39160</v>
      </c>
      <c r="B8146" s="1" t="s">
        <v>27</v>
      </c>
      <c r="C8146" s="1" t="s">
        <v>39161</v>
      </c>
      <c r="D8146" s="1" t="s">
        <v>21811</v>
      </c>
      <c r="E8146" s="1" t="s">
        <v>39162</v>
      </c>
      <c r="F8146" s="1" t="s">
        <v>63</v>
      </c>
      <c r="G8146" s="1" t="s">
        <v>26089</v>
      </c>
      <c r="H8146" s="1">
        <v>1999.0</v>
      </c>
      <c r="I8146" s="1" t="s">
        <v>136</v>
      </c>
      <c r="J8146" s="1" t="s">
        <v>7419</v>
      </c>
      <c r="K8146" s="1" t="s">
        <v>1429</v>
      </c>
      <c r="L8146" s="1" t="s">
        <v>39163</v>
      </c>
      <c r="M8146" s="2" t="s">
        <v>12</v>
      </c>
      <c r="N8146" s="4">
        <f t="shared" si="1"/>
        <v>43160</v>
      </c>
      <c r="O8146" s="5" t="str">
        <f>IFERROR(__xludf.DUMMYFUNCTION("IF(REGEXMATCH(TRIM(I8146), ""^\d+\s*min""), ""Unclassified"", IF(I8146 = """", ""NR"", I8146))"),"TV-PG")</f>
        <v>TV-PG</v>
      </c>
      <c r="R8146" s="5" t="str">
        <f t="shared" si="2"/>
        <v>Taal</v>
      </c>
      <c r="S8146" s="5" t="str">
        <f>IFERROR(__xludf.DUMMYFUNCTION("""COMPUTED_VALUE"""),"Tremors 5: Bloodline")</f>
        <v>Tremors 5: Bloodline</v>
      </c>
      <c r="V8146" s="5"/>
      <c r="Y8146" s="5" t="str">
        <f>IFERROR(__xludf.DUMMYFUNCTION("REGEXEXTRACT(J8146, ""^\d+"")"),"177")</f>
        <v>177</v>
      </c>
      <c r="Z8146" s="5" t="str">
        <f>IFERROR(__xludf.DUMMYFUNCTION("REGEXEXTRACT(J8146, ""[A-Za-z ]+$"")")," min")</f>
        <v> min</v>
      </c>
      <c r="AA8146" s="5" t="str">
        <f>IFERROR(__xludf.DUMMYFUNCTION("IF(REGEXMATCH(Z8146, ""Season""), ""TV Show"", ""Movie"")"),"Movie")</f>
        <v>Movie</v>
      </c>
    </row>
    <row r="8147">
      <c r="A8147" s="1" t="s">
        <v>39164</v>
      </c>
      <c r="B8147" s="1" t="s">
        <v>27</v>
      </c>
      <c r="C8147" s="1" t="s">
        <v>39165</v>
      </c>
      <c r="D8147" s="1" t="s">
        <v>20428</v>
      </c>
      <c r="E8147" s="1" t="s">
        <v>39166</v>
      </c>
      <c r="F8147" s="1" t="s">
        <v>63</v>
      </c>
      <c r="G8147" s="1" t="s">
        <v>25097</v>
      </c>
      <c r="H8147" s="1">
        <v>2008.0</v>
      </c>
      <c r="I8147" s="1" t="s">
        <v>97</v>
      </c>
      <c r="J8147" s="1" t="s">
        <v>465</v>
      </c>
      <c r="K8147" s="1" t="s">
        <v>128</v>
      </c>
      <c r="L8147" s="1" t="s">
        <v>39167</v>
      </c>
      <c r="M8147" s="2" t="s">
        <v>12</v>
      </c>
      <c r="N8147" s="4">
        <f t="shared" si="1"/>
        <v>43296</v>
      </c>
      <c r="O8147" s="5" t="str">
        <f>IFERROR(__xludf.DUMMYFUNCTION("IF(REGEXMATCH(TRIM(I8147), ""^\d+\s*min""), ""Unclassified"", IF(I8147 = """", ""NR"", I8147))"),"TV-14")</f>
        <v>TV-14</v>
      </c>
      <c r="R8147" s="5" t="str">
        <f t="shared" si="2"/>
        <v>Tahaan</v>
      </c>
      <c r="S8147" s="5" t="str">
        <f>IFERROR(__xludf.DUMMYFUNCTION("""COMPUTED_VALUE"""),"Tremors 6: A Cold Day In Hell")</f>
        <v>Tremors 6: A Cold Day In Hell</v>
      </c>
      <c r="V8147" s="5"/>
      <c r="Y8147" s="5" t="str">
        <f>IFERROR(__xludf.DUMMYFUNCTION("REGEXEXTRACT(J8147, ""^\d+"")"),"95")</f>
        <v>95</v>
      </c>
      <c r="Z8147" s="5" t="str">
        <f>IFERROR(__xludf.DUMMYFUNCTION("REGEXEXTRACT(J8147, ""[A-Za-z ]+$"")")," min")</f>
        <v> min</v>
      </c>
      <c r="AA8147" s="5" t="str">
        <f>IFERROR(__xludf.DUMMYFUNCTION("IF(REGEXMATCH(Z8147, ""Season""), ""TV Show"", ""Movie"")"),"Movie")</f>
        <v>Movie</v>
      </c>
    </row>
    <row r="8148">
      <c r="A8148" s="1" t="s">
        <v>39168</v>
      </c>
      <c r="B8148" s="1" t="s">
        <v>27</v>
      </c>
      <c r="C8148" s="1" t="s">
        <v>39169</v>
      </c>
      <c r="D8148" s="1" t="s">
        <v>15180</v>
      </c>
      <c r="E8148" s="1" t="s">
        <v>39170</v>
      </c>
      <c r="F8148" s="1" t="s">
        <v>1205</v>
      </c>
      <c r="G8148" s="7">
        <v>43601.0</v>
      </c>
      <c r="H8148" s="1">
        <v>2011.0</v>
      </c>
      <c r="I8148" s="1" t="s">
        <v>378</v>
      </c>
      <c r="J8148" s="1" t="s">
        <v>247</v>
      </c>
      <c r="K8148" s="1" t="s">
        <v>813</v>
      </c>
      <c r="L8148" s="1" t="s">
        <v>39171</v>
      </c>
      <c r="M8148" s="2" t="s">
        <v>12</v>
      </c>
      <c r="N8148" s="4">
        <f t="shared" si="1"/>
        <v>43601</v>
      </c>
      <c r="O8148" s="5" t="str">
        <f>IFERROR(__xludf.DUMMYFUNCTION("IF(REGEXMATCH(TRIM(I8148), ""^\d+\s*min""), ""Unclassified"", IF(I8148 = """", ""NR"", I8148))"),"R")</f>
        <v>R</v>
      </c>
      <c r="R8148" s="5" t="str">
        <f t="shared" si="2"/>
        <v>Take Me Home Tonight</v>
      </c>
      <c r="S8148" s="5" t="str">
        <f>IFERROR(__xludf.DUMMYFUNCTION("""COMPUTED_VALUE"""),"Tremors: Shrieker Island")</f>
        <v>Tremors: Shrieker Island</v>
      </c>
      <c r="V8148" s="5"/>
      <c r="Y8148" s="5" t="str">
        <f>IFERROR(__xludf.DUMMYFUNCTION("REGEXEXTRACT(J8148, ""^\d+"")"),"97")</f>
        <v>97</v>
      </c>
      <c r="Z8148" s="5" t="str">
        <f>IFERROR(__xludf.DUMMYFUNCTION("REGEXEXTRACT(J8148, ""[A-Za-z ]+$"")")," min")</f>
        <v> min</v>
      </c>
      <c r="AA8148" s="5" t="str">
        <f>IFERROR(__xludf.DUMMYFUNCTION("IF(REGEXMATCH(Z8148, ""Season""), ""TV Show"", ""Movie"")"),"Movie")</f>
        <v>Movie</v>
      </c>
    </row>
    <row r="8149">
      <c r="A8149" s="1" t="s">
        <v>39172</v>
      </c>
      <c r="B8149" s="1" t="s">
        <v>37</v>
      </c>
      <c r="C8149" s="1" t="s">
        <v>39173</v>
      </c>
      <c r="E8149" s="1" t="s">
        <v>39174</v>
      </c>
      <c r="F8149" s="1" t="s">
        <v>718</v>
      </c>
      <c r="G8149" s="1" t="s">
        <v>39175</v>
      </c>
      <c r="H8149" s="1">
        <v>2018.0</v>
      </c>
      <c r="I8149" s="1" t="s">
        <v>97</v>
      </c>
      <c r="J8149" s="1" t="s">
        <v>43</v>
      </c>
      <c r="K8149" s="1" t="s">
        <v>22442</v>
      </c>
      <c r="L8149" s="1" t="s">
        <v>39176</v>
      </c>
      <c r="M8149" s="2" t="s">
        <v>12</v>
      </c>
      <c r="N8149" s="1" t="str">
        <f t="shared" si="1"/>
        <v>#N/A</v>
      </c>
      <c r="O8149" s="5" t="str">
        <f>IFERROR(__xludf.DUMMYFUNCTION("IF(REGEXMATCH(TRIM(I8149), ""^\d+\s*min""), ""Unclassified"", IF(I8149 = """", ""NR"", I8149))"),"TV-14")</f>
        <v>TV-14</v>
      </c>
      <c r="R8149" s="5" t="str">
        <f t="shared" si="2"/>
        <v>Taken</v>
      </c>
      <c r="S8149" s="5" t="str">
        <f>IFERROR(__xludf.DUMMYFUNCTION("""COMPUTED_VALUE"""),"Trese")</f>
        <v>Trese</v>
      </c>
      <c r="V8149" s="5"/>
      <c r="Y8149" s="5" t="str">
        <f>IFERROR(__xludf.DUMMYFUNCTION("REGEXEXTRACT(J8149, ""^\d+"")"),"2")</f>
        <v>2</v>
      </c>
      <c r="Z8149" s="5" t="str">
        <f>IFERROR(__xludf.DUMMYFUNCTION("REGEXEXTRACT(J8149, ""[A-Za-z ]+$"")")," Seasons")</f>
        <v> Seasons</v>
      </c>
      <c r="AA8149" s="5" t="str">
        <f>IFERROR(__xludf.DUMMYFUNCTION("IF(REGEXMATCH(Z8149, ""Season""), ""TV Show"", ""Movie"")"),"TV Show")</f>
        <v>TV Show</v>
      </c>
    </row>
    <row r="8150">
      <c r="A8150" s="1" t="s">
        <v>39177</v>
      </c>
      <c r="B8150" s="1" t="s">
        <v>37</v>
      </c>
      <c r="C8150" s="1" t="s">
        <v>39178</v>
      </c>
      <c r="E8150" s="1" t="s">
        <v>39179</v>
      </c>
      <c r="F8150" s="1" t="s">
        <v>686</v>
      </c>
      <c r="G8150" s="1" t="s">
        <v>20166</v>
      </c>
      <c r="H8150" s="1">
        <v>1993.0</v>
      </c>
      <c r="I8150" s="1" t="s">
        <v>42</v>
      </c>
      <c r="J8150" s="1" t="s">
        <v>51</v>
      </c>
      <c r="K8150" s="1" t="s">
        <v>2709</v>
      </c>
      <c r="L8150" s="1" t="s">
        <v>39180</v>
      </c>
      <c r="M8150" s="2" t="s">
        <v>12</v>
      </c>
      <c r="N8150" s="4">
        <f t="shared" si="1"/>
        <v>43644</v>
      </c>
      <c r="O8150" s="5" t="str">
        <f>IFERROR(__xludf.DUMMYFUNCTION("IF(REGEXMATCH(TRIM(I8150), ""^\d+\s*min""), ""Unclassified"", IF(I8150 = """", ""NR"", I8150))"),"TV-MA")</f>
        <v>TV-MA</v>
      </c>
      <c r="R8150" s="5" t="str">
        <f t="shared" si="2"/>
        <v>Tales Of The City (1993)</v>
      </c>
      <c r="S8150" s="5" t="str">
        <f>IFERROR(__xludf.DUMMYFUNCTION("""COMPUTED_VALUE"""),"Trese After Dark")</f>
        <v>Trese After Dark</v>
      </c>
      <c r="V8150" s="5"/>
      <c r="Y8150" s="5" t="str">
        <f>IFERROR(__xludf.DUMMYFUNCTION("REGEXEXTRACT(J8150, ""^\d+"")"),"1")</f>
        <v>1</v>
      </c>
      <c r="Z8150" s="5" t="str">
        <f>IFERROR(__xludf.DUMMYFUNCTION("REGEXEXTRACT(J8150, ""[A-Za-z ]+$"")")," Season")</f>
        <v> Season</v>
      </c>
      <c r="AA8150" s="5" t="str">
        <f>IFERROR(__xludf.DUMMYFUNCTION("IF(REGEXMATCH(Z8150, ""Season""), ""TV Show"", ""Movie"")"),"TV Show")</f>
        <v>TV Show</v>
      </c>
    </row>
    <row r="8151">
      <c r="A8151" s="1" t="s">
        <v>39181</v>
      </c>
      <c r="B8151" s="1" t="s">
        <v>27</v>
      </c>
      <c r="C8151" s="1" t="s">
        <v>39182</v>
      </c>
      <c r="D8151" s="1" t="s">
        <v>16641</v>
      </c>
      <c r="E8151" s="1" t="s">
        <v>39183</v>
      </c>
      <c r="F8151" s="1" t="s">
        <v>63</v>
      </c>
      <c r="G8151" s="1" t="s">
        <v>27021</v>
      </c>
      <c r="H8151" s="1">
        <v>2014.0</v>
      </c>
      <c r="I8151" s="1" t="s">
        <v>42</v>
      </c>
      <c r="J8151" s="1" t="s">
        <v>264</v>
      </c>
      <c r="K8151" s="1" t="s">
        <v>10724</v>
      </c>
      <c r="L8151" s="1" t="s">
        <v>39184</v>
      </c>
      <c r="M8151" s="2" t="s">
        <v>12</v>
      </c>
      <c r="N8151" s="4">
        <f t="shared" si="1"/>
        <v>43023</v>
      </c>
      <c r="O8151" s="5" t="str">
        <f>IFERROR(__xludf.DUMMYFUNCTION("IF(REGEXMATCH(TRIM(I8151), ""^\d+\s*min""), ""Unclassified"", IF(I8151 = """", ""NR"", I8151))"),"TV-MA")</f>
        <v>TV-MA</v>
      </c>
      <c r="R8151" s="5" t="str">
        <f t="shared" si="2"/>
        <v>Tamanchey</v>
      </c>
      <c r="S8151" s="5" t="str">
        <f>IFERROR(__xludf.DUMMYFUNCTION("""COMPUTED_VALUE"""),"Trespass Against Us")</f>
        <v>Trespass Against Us</v>
      </c>
      <c r="V8151" s="5"/>
      <c r="Y8151" s="5" t="str">
        <f>IFERROR(__xludf.DUMMYFUNCTION("REGEXEXTRACT(J8151, ""^\d+"")"),"111")</f>
        <v>111</v>
      </c>
      <c r="Z8151" s="5" t="str">
        <f>IFERROR(__xludf.DUMMYFUNCTION("REGEXEXTRACT(J8151, ""[A-Za-z ]+$"")")," min")</f>
        <v> min</v>
      </c>
      <c r="AA8151" s="5" t="str">
        <f>IFERROR(__xludf.DUMMYFUNCTION("IF(REGEXMATCH(Z8151, ""Season""), ""TV Show"", ""Movie"")"),"Movie")</f>
        <v>Movie</v>
      </c>
    </row>
    <row r="8152">
      <c r="A8152" s="1" t="s">
        <v>39185</v>
      </c>
      <c r="B8152" s="1" t="s">
        <v>27</v>
      </c>
      <c r="C8152" s="1" t="s">
        <v>39186</v>
      </c>
      <c r="D8152" s="1" t="s">
        <v>12120</v>
      </c>
      <c r="E8152" s="1" t="s">
        <v>39187</v>
      </c>
      <c r="F8152" s="1" t="s">
        <v>664</v>
      </c>
      <c r="G8152" s="1" t="s">
        <v>26089</v>
      </c>
      <c r="H8152" s="1">
        <v>2015.0</v>
      </c>
      <c r="I8152" s="1" t="s">
        <v>42</v>
      </c>
      <c r="J8152" s="1" t="s">
        <v>2452</v>
      </c>
      <c r="K8152" s="1" t="s">
        <v>631</v>
      </c>
      <c r="L8152" s="1" t="s">
        <v>39188</v>
      </c>
      <c r="M8152" s="2" t="s">
        <v>12</v>
      </c>
      <c r="N8152" s="4">
        <f t="shared" si="1"/>
        <v>43160</v>
      </c>
      <c r="O8152" s="5" t="str">
        <f>IFERROR(__xludf.DUMMYFUNCTION("IF(REGEXMATCH(TRIM(I8152), ""^\d+\s*min""), ""Unclassified"", IF(I8152 = """", ""NR"", I8152))"),"TV-MA")</f>
        <v>TV-MA</v>
      </c>
      <c r="R8152" s="5" t="str">
        <f t="shared" si="2"/>
        <v>Tarif De Nuit</v>
      </c>
      <c r="S8152" s="5" t="str">
        <f>IFERROR(__xludf.DUMMYFUNCTION("""COMPUTED_VALUE"""),"Trevor Noah: Afraid Of The Dark")</f>
        <v>Trevor Noah: Afraid Of The Dark</v>
      </c>
      <c r="V8152" s="5"/>
      <c r="Y8152" s="5" t="str">
        <f>IFERROR(__xludf.DUMMYFUNCTION("REGEXEXTRACT(J8152, ""^\d+"")"),"81")</f>
        <v>81</v>
      </c>
      <c r="Z8152" s="5" t="str">
        <f>IFERROR(__xludf.DUMMYFUNCTION("REGEXEXTRACT(J8152, ""[A-Za-z ]+$"")")," min")</f>
        <v> min</v>
      </c>
      <c r="AA8152" s="5" t="str">
        <f>IFERROR(__xludf.DUMMYFUNCTION("IF(REGEXMATCH(Z8152, ""Season""), ""TV Show"", ""Movie"")"),"Movie")</f>
        <v>Movie</v>
      </c>
    </row>
    <row r="8153">
      <c r="A8153" s="1" t="s">
        <v>39189</v>
      </c>
      <c r="B8153" s="1" t="s">
        <v>27</v>
      </c>
      <c r="C8153" s="1" t="s">
        <v>39190</v>
      </c>
      <c r="D8153" s="1" t="s">
        <v>4679</v>
      </c>
      <c r="E8153" s="1" t="s">
        <v>39191</v>
      </c>
      <c r="F8153" s="1" t="s">
        <v>30</v>
      </c>
      <c r="G8153" s="1" t="s">
        <v>25302</v>
      </c>
      <c r="H8153" s="1">
        <v>1999.0</v>
      </c>
      <c r="I8153" s="1" t="s">
        <v>770</v>
      </c>
      <c r="J8153" s="1" t="s">
        <v>1191</v>
      </c>
      <c r="K8153" s="1" t="s">
        <v>80</v>
      </c>
      <c r="L8153" s="1" t="s">
        <v>39192</v>
      </c>
      <c r="M8153" s="2" t="s">
        <v>12</v>
      </c>
      <c r="N8153" s="4">
        <f t="shared" si="1"/>
        <v>43274</v>
      </c>
      <c r="O8153" s="5" t="str">
        <f>IFERROR(__xludf.DUMMYFUNCTION("IF(REGEXMATCH(TRIM(I8153), ""^\d+\s*min""), ""Unclassified"", IF(I8153 = """", ""NR"", I8153))"),"G")</f>
        <v>G</v>
      </c>
      <c r="R8153" s="5" t="str">
        <f t="shared" si="2"/>
        <v>Tarzan</v>
      </c>
      <c r="S8153" s="5" t="str">
        <f>IFERROR(__xludf.DUMMYFUNCTION("""COMPUTED_VALUE"""),"Trevor Noah: Son Of Patricia")</f>
        <v>Trevor Noah: Son Of Patricia</v>
      </c>
      <c r="V8153" s="5"/>
      <c r="Y8153" s="5" t="str">
        <f>IFERROR(__xludf.DUMMYFUNCTION("REGEXEXTRACT(J8153, ""^\d+"")"),"89")</f>
        <v>89</v>
      </c>
      <c r="Z8153" s="5" t="str">
        <f>IFERROR(__xludf.DUMMYFUNCTION("REGEXEXTRACT(J8153, ""[A-Za-z ]+$"")")," min")</f>
        <v> min</v>
      </c>
      <c r="AA8153" s="5" t="str">
        <f>IFERROR(__xludf.DUMMYFUNCTION("IF(REGEXMATCH(Z8153, ""Season""), ""TV Show"", ""Movie"")"),"Movie")</f>
        <v>Movie</v>
      </c>
    </row>
    <row r="8154">
      <c r="A8154" s="1" t="s">
        <v>39193</v>
      </c>
      <c r="B8154" s="1" t="s">
        <v>27</v>
      </c>
      <c r="C8154" s="1" t="s">
        <v>39194</v>
      </c>
      <c r="D8154" s="1" t="s">
        <v>3836</v>
      </c>
      <c r="E8154" s="1" t="s">
        <v>39195</v>
      </c>
      <c r="F8154" s="1" t="s">
        <v>30</v>
      </c>
      <c r="G8154" s="1" t="s">
        <v>27862</v>
      </c>
      <c r="H8154" s="1">
        <v>2005.0</v>
      </c>
      <c r="I8154" s="1" t="s">
        <v>770</v>
      </c>
      <c r="J8154" s="1" t="s">
        <v>4699</v>
      </c>
      <c r="K8154" s="1" t="s">
        <v>80</v>
      </c>
      <c r="L8154" s="1" t="s">
        <v>39196</v>
      </c>
      <c r="M8154" s="2" t="s">
        <v>12</v>
      </c>
      <c r="N8154" s="4">
        <f t="shared" si="1"/>
        <v>42909</v>
      </c>
      <c r="O8154" s="5" t="str">
        <f>IFERROR(__xludf.DUMMYFUNCTION("IF(REGEXMATCH(TRIM(I8154), ""^\d+\s*min""), ""Unclassified"", IF(I8154 = """", ""NR"", I8154))"),"G")</f>
        <v>G</v>
      </c>
      <c r="R8154" s="5" t="str">
        <f t="shared" si="2"/>
        <v>Tarzan 2</v>
      </c>
      <c r="S8154" s="5" t="str">
        <f>IFERROR(__xludf.DUMMYFUNCTION("""COMPUTED_VALUE"""),"Triad Princess")</f>
        <v>Triad Princess</v>
      </c>
      <c r="V8154" s="5"/>
      <c r="Y8154" s="5" t="str">
        <f>IFERROR(__xludf.DUMMYFUNCTION("REGEXEXTRACT(J8154, ""^\d+"")"),"72")</f>
        <v>72</v>
      </c>
      <c r="Z8154" s="5" t="str">
        <f>IFERROR(__xludf.DUMMYFUNCTION("REGEXEXTRACT(J8154, ""[A-Za-z ]+$"")")," min")</f>
        <v> min</v>
      </c>
      <c r="AA8154" s="5" t="str">
        <f>IFERROR(__xludf.DUMMYFUNCTION("IF(REGEXMATCH(Z8154, ""Season""), ""TV Show"", ""Movie"")"),"Movie")</f>
        <v>Movie</v>
      </c>
    </row>
    <row r="8155">
      <c r="A8155" s="1" t="s">
        <v>39197</v>
      </c>
      <c r="B8155" s="1" t="s">
        <v>27</v>
      </c>
      <c r="C8155" s="1" t="s">
        <v>39198</v>
      </c>
      <c r="D8155" s="1" t="s">
        <v>13776</v>
      </c>
      <c r="E8155" s="1" t="s">
        <v>39199</v>
      </c>
      <c r="F8155" s="1" t="s">
        <v>3309</v>
      </c>
      <c r="G8155" s="7">
        <v>43594.0</v>
      </c>
      <c r="H8155" s="1">
        <v>2013.0</v>
      </c>
      <c r="I8155" s="1" t="s">
        <v>97</v>
      </c>
      <c r="J8155" s="1" t="s">
        <v>1243</v>
      </c>
      <c r="K8155" s="1" t="s">
        <v>199</v>
      </c>
      <c r="L8155" s="1" t="s">
        <v>39200</v>
      </c>
      <c r="M8155" s="2" t="s">
        <v>12</v>
      </c>
      <c r="N8155" s="4">
        <f t="shared" si="1"/>
        <v>43594</v>
      </c>
      <c r="O8155" s="5" t="str">
        <f>IFERROR(__xludf.DUMMYFUNCTION("IF(REGEXMATCH(TRIM(I8155), ""^\d+\s*min""), ""Unclassified"", IF(I8155 = """", ""NR"", I8155))"),"TV-14")</f>
        <v>TV-14</v>
      </c>
      <c r="R8155" s="5" t="str">
        <f t="shared" si="2"/>
        <v>Tattah</v>
      </c>
      <c r="S8155" s="5" t="str">
        <f>IFERROR(__xludf.DUMMYFUNCTION("""COMPUTED_VALUE"""),"Trial 4")</f>
        <v>Trial 4</v>
      </c>
      <c r="V8155" s="5"/>
      <c r="Y8155" s="5" t="str">
        <f>IFERROR(__xludf.DUMMYFUNCTION("REGEXEXTRACT(J8155, ""^\d+"")"),"112")</f>
        <v>112</v>
      </c>
      <c r="Z8155" s="5" t="str">
        <f>IFERROR(__xludf.DUMMYFUNCTION("REGEXEXTRACT(J8155, ""[A-Za-z ]+$"")")," min")</f>
        <v> min</v>
      </c>
      <c r="AA8155" s="5" t="str">
        <f>IFERROR(__xludf.DUMMYFUNCTION("IF(REGEXMATCH(Z8155, ""Season""), ""TV Show"", ""Movie"")"),"Movie")</f>
        <v>Movie</v>
      </c>
    </row>
    <row r="8156">
      <c r="A8156" s="1" t="s">
        <v>39201</v>
      </c>
      <c r="B8156" s="1" t="s">
        <v>27</v>
      </c>
      <c r="C8156" s="1" t="s">
        <v>39202</v>
      </c>
      <c r="D8156" s="1" t="s">
        <v>39203</v>
      </c>
      <c r="E8156" s="1" t="s">
        <v>39204</v>
      </c>
      <c r="F8156" s="1" t="s">
        <v>30</v>
      </c>
      <c r="G8156" s="1" t="s">
        <v>20110</v>
      </c>
      <c r="H8156" s="1">
        <v>2016.0</v>
      </c>
      <c r="I8156" s="1" t="s">
        <v>289</v>
      </c>
      <c r="J8156" s="1" t="s">
        <v>575</v>
      </c>
      <c r="K8156" s="1" t="s">
        <v>80</v>
      </c>
      <c r="L8156" s="1" t="s">
        <v>39205</v>
      </c>
      <c r="M8156" s="2" t="s">
        <v>12</v>
      </c>
      <c r="N8156" s="4">
        <f t="shared" si="1"/>
        <v>43647</v>
      </c>
      <c r="O8156" s="5" t="str">
        <f>IFERROR(__xludf.DUMMYFUNCTION("IF(REGEXMATCH(TRIM(I8156), ""^\d+\s*min""), ""Unclassified"", IF(I8156 = """", ""NR"", I8156))"),"TV-Y7")</f>
        <v>TV-Y7</v>
      </c>
      <c r="R8156" s="5" t="str">
        <f t="shared" si="2"/>
        <v>Tayo The Little Bus Movie: Mission Ace</v>
      </c>
      <c r="S8156" s="5" t="str">
        <f>IFERROR(__xludf.DUMMYFUNCTION("""COMPUTED_VALUE"""),"Trial By Media")</f>
        <v>Trial By Media</v>
      </c>
      <c r="V8156" s="5"/>
      <c r="Y8156" s="5" t="str">
        <f>IFERROR(__xludf.DUMMYFUNCTION("REGEXEXTRACT(J8156, ""^\d+"")"),"48")</f>
        <v>48</v>
      </c>
      <c r="Z8156" s="5" t="str">
        <f>IFERROR(__xludf.DUMMYFUNCTION("REGEXEXTRACT(J8156, ""[A-Za-z ]+$"")")," min")</f>
        <v> min</v>
      </c>
      <c r="AA8156" s="5" t="str">
        <f>IFERROR(__xludf.DUMMYFUNCTION("IF(REGEXMATCH(Z8156, ""Season""), ""TV Show"", ""Movie"")"),"Movie")</f>
        <v>Movie</v>
      </c>
    </row>
    <row r="8157">
      <c r="A8157" s="1" t="s">
        <v>39206</v>
      </c>
      <c r="B8157" s="1" t="s">
        <v>27</v>
      </c>
      <c r="C8157" s="1" t="s">
        <v>39207</v>
      </c>
      <c r="D8157" s="1" t="s">
        <v>21329</v>
      </c>
      <c r="F8157" s="1" t="s">
        <v>30</v>
      </c>
      <c r="G8157" s="1" t="s">
        <v>27212</v>
      </c>
      <c r="H8157" s="1">
        <v>2017.0</v>
      </c>
      <c r="I8157" s="1" t="s">
        <v>97</v>
      </c>
      <c r="J8157" s="1" t="s">
        <v>2452</v>
      </c>
      <c r="K8157" s="1" t="s">
        <v>34</v>
      </c>
      <c r="L8157" s="1" t="s">
        <v>39208</v>
      </c>
      <c r="M8157" s="2" t="s">
        <v>12</v>
      </c>
      <c r="N8157" s="4">
        <f t="shared" si="1"/>
        <v>43003</v>
      </c>
      <c r="O8157" s="5" t="str">
        <f>IFERROR(__xludf.DUMMYFUNCTION("IF(REGEXMATCH(TRIM(I8157), ""^\d+\s*min""), ""Unclassified"", IF(I8157 = """", ""NR"", I8157))"),"TV-14")</f>
        <v>TV-14</v>
      </c>
      <c r="R8157" s="5" t="str">
        <f t="shared" si="2"/>
        <v>Teach Us All</v>
      </c>
      <c r="S8157" s="5" t="str">
        <f>IFERROR(__xludf.DUMMYFUNCTION("""COMPUTED_VALUE"""),"Tribes Of Europa")</f>
        <v>Tribes Of Europa</v>
      </c>
      <c r="V8157" s="5"/>
      <c r="Y8157" s="5" t="str">
        <f>IFERROR(__xludf.DUMMYFUNCTION("REGEXEXTRACT(J8157, ""^\d+"")"),"81")</f>
        <v>81</v>
      </c>
      <c r="Z8157" s="5" t="str">
        <f>IFERROR(__xludf.DUMMYFUNCTION("REGEXEXTRACT(J8157, ""[A-Za-z ]+$"")")," min")</f>
        <v> min</v>
      </c>
      <c r="AA8157" s="5" t="str">
        <f>IFERROR(__xludf.DUMMYFUNCTION("IF(REGEXMATCH(Z8157, ""Season""), ""TV Show"", ""Movie"")"),"Movie")</f>
        <v>Movie</v>
      </c>
    </row>
    <row r="8158">
      <c r="A8158" s="1" t="s">
        <v>39209</v>
      </c>
      <c r="B8158" s="1" t="s">
        <v>27</v>
      </c>
      <c r="C8158" s="1" t="s">
        <v>39210</v>
      </c>
      <c r="D8158" s="1" t="s">
        <v>13582</v>
      </c>
      <c r="E8158" s="1" t="s">
        <v>39211</v>
      </c>
      <c r="F8158" s="1" t="s">
        <v>63</v>
      </c>
      <c r="G8158" s="1" t="s">
        <v>26089</v>
      </c>
      <c r="H8158" s="1">
        <v>2010.0</v>
      </c>
      <c r="I8158" s="1" t="s">
        <v>136</v>
      </c>
      <c r="J8158" s="1" t="s">
        <v>4242</v>
      </c>
      <c r="K8158" s="1" t="s">
        <v>298</v>
      </c>
      <c r="L8158" s="1" t="s">
        <v>39212</v>
      </c>
      <c r="M8158" s="2" t="s">
        <v>12</v>
      </c>
      <c r="N8158" s="4">
        <f t="shared" si="1"/>
        <v>43160</v>
      </c>
      <c r="O8158" s="5" t="str">
        <f>IFERROR(__xludf.DUMMYFUNCTION("IF(REGEXMATCH(TRIM(I8158), ""^\d+\s*min""), ""Unclassified"", IF(I8158 = """", ""NR"", I8158))"),"TV-PG")</f>
        <v>TV-PG</v>
      </c>
      <c r="R8158" s="5" t="str">
        <f t="shared" si="2"/>
        <v>Teen Patti</v>
      </c>
      <c r="S8158" s="5" t="str">
        <f>IFERROR(__xludf.DUMMYFUNCTION("""COMPUTED_VALUE"""),"Tribhanga - Tedhi Medhi Crazy")</f>
        <v>Tribhanga - Tedhi Medhi Crazy</v>
      </c>
      <c r="V8158" s="5"/>
      <c r="Y8158" s="5" t="str">
        <f>IFERROR(__xludf.DUMMYFUNCTION("REGEXEXTRACT(J8158, ""^\d+"")"),"137")</f>
        <v>137</v>
      </c>
      <c r="Z8158" s="5" t="str">
        <f>IFERROR(__xludf.DUMMYFUNCTION("REGEXEXTRACT(J8158, ""[A-Za-z ]+$"")")," min")</f>
        <v> min</v>
      </c>
      <c r="AA8158" s="5" t="str">
        <f>IFERROR(__xludf.DUMMYFUNCTION("IF(REGEXMATCH(Z8158, ""Season""), ""TV Show"", ""Movie"")"),"Movie")</f>
        <v>Movie</v>
      </c>
    </row>
    <row r="8159">
      <c r="A8159" s="1" t="s">
        <v>39213</v>
      </c>
      <c r="B8159" s="1" t="s">
        <v>27</v>
      </c>
      <c r="C8159" s="1" t="s">
        <v>39214</v>
      </c>
      <c r="D8159" s="1" t="s">
        <v>11255</v>
      </c>
      <c r="E8159" s="1" t="s">
        <v>39215</v>
      </c>
      <c r="F8159" s="1" t="s">
        <v>30</v>
      </c>
      <c r="G8159" s="1" t="s">
        <v>28769</v>
      </c>
      <c r="H8159" s="1">
        <v>2016.0</v>
      </c>
      <c r="I8159" s="1" t="s">
        <v>42</v>
      </c>
      <c r="J8159" s="1" t="s">
        <v>1191</v>
      </c>
      <c r="K8159" s="1" t="s">
        <v>4730</v>
      </c>
      <c r="L8159" s="1" t="s">
        <v>39216</v>
      </c>
      <c r="M8159" s="2" t="s">
        <v>12</v>
      </c>
      <c r="N8159" s="4">
        <f t="shared" si="1"/>
        <v>42750</v>
      </c>
      <c r="O8159" s="5" t="str">
        <f>IFERROR(__xludf.DUMMYFUNCTION("IF(REGEXMATCH(TRIM(I8159), ""^\d+\s*min""), ""Unclassified"", IF(I8159 = """", ""NR"", I8159))"),"TV-MA")</f>
        <v>TV-MA</v>
      </c>
      <c r="R8159" s="5" t="str">
        <f t="shared" si="2"/>
        <v>Teenage Cocktail</v>
      </c>
      <c r="S8159" s="5" t="str">
        <f>IFERROR(__xludf.DUMMYFUNCTION("""COMPUTED_VALUE"""),"Trigger Warning With Killer Mike")</f>
        <v>Trigger Warning With Killer Mike</v>
      </c>
      <c r="V8159" s="5"/>
      <c r="Y8159" s="5" t="str">
        <f>IFERROR(__xludf.DUMMYFUNCTION("REGEXEXTRACT(J8159, ""^\d+"")"),"89")</f>
        <v>89</v>
      </c>
      <c r="Z8159" s="5" t="str">
        <f>IFERROR(__xludf.DUMMYFUNCTION("REGEXEXTRACT(J8159, ""[A-Za-z ]+$"")")," min")</f>
        <v> min</v>
      </c>
      <c r="AA8159" s="5" t="str">
        <f>IFERROR(__xludf.DUMMYFUNCTION("IF(REGEXMATCH(Z8159, ""Season""), ""TV Show"", ""Movie"")"),"Movie")</f>
        <v>Movie</v>
      </c>
    </row>
    <row r="8160">
      <c r="A8160" s="1" t="s">
        <v>39217</v>
      </c>
      <c r="B8160" s="1" t="s">
        <v>27</v>
      </c>
      <c r="C8160" s="1" t="s">
        <v>39218</v>
      </c>
      <c r="D8160" s="1" t="s">
        <v>12860</v>
      </c>
      <c r="E8160" s="1" t="s">
        <v>39219</v>
      </c>
      <c r="F8160" s="1" t="s">
        <v>9457</v>
      </c>
      <c r="G8160" s="7">
        <v>43586.0</v>
      </c>
      <c r="H8160" s="1">
        <v>2007.0</v>
      </c>
      <c r="I8160" s="1" t="s">
        <v>78</v>
      </c>
      <c r="J8160" s="1" t="s">
        <v>630</v>
      </c>
      <c r="K8160" s="1" t="s">
        <v>137</v>
      </c>
      <c r="L8160" s="1" t="s">
        <v>39220</v>
      </c>
      <c r="M8160" s="2" t="s">
        <v>12</v>
      </c>
      <c r="N8160" s="4">
        <f t="shared" si="1"/>
        <v>43586</v>
      </c>
      <c r="O8160" s="5" t="str">
        <f>IFERROR(__xludf.DUMMYFUNCTION("IF(REGEXMATCH(TRIM(I8160), ""^\d+\s*min""), ""Unclassified"", IF(I8160 = """", ""NR"", I8160))"),"PG")</f>
        <v>PG</v>
      </c>
      <c r="R8160" s="5" t="str">
        <f t="shared" si="2"/>
        <v>Teenage Mutant Ninja Turtles</v>
      </c>
      <c r="S8160" s="5" t="str">
        <f>IFERROR(__xludf.DUMMYFUNCTION("""COMPUTED_VALUE"""),"Trikal (Past, Present, Future)")</f>
        <v>Trikal (Past, Present, Future)</v>
      </c>
      <c r="V8160" s="5"/>
      <c r="Y8160" s="5" t="str">
        <f>IFERROR(__xludf.DUMMYFUNCTION("REGEXEXTRACT(J8160, ""^\d+"")"),"87")</f>
        <v>87</v>
      </c>
      <c r="Z8160" s="5" t="str">
        <f>IFERROR(__xludf.DUMMYFUNCTION("REGEXEXTRACT(J8160, ""[A-Za-z ]+$"")")," min")</f>
        <v> min</v>
      </c>
      <c r="AA8160" s="5" t="str">
        <f>IFERROR(__xludf.DUMMYFUNCTION("IF(REGEXMATCH(Z8160, ""Season""), ""TV Show"", ""Movie"")"),"Movie")</f>
        <v>Movie</v>
      </c>
    </row>
    <row r="8161">
      <c r="A8161" s="1" t="s">
        <v>39221</v>
      </c>
      <c r="B8161" s="1" t="s">
        <v>27</v>
      </c>
      <c r="C8161" s="1" t="s">
        <v>39222</v>
      </c>
      <c r="D8161" s="1" t="s">
        <v>15777</v>
      </c>
      <c r="E8161" s="1" t="s">
        <v>39223</v>
      </c>
      <c r="F8161" s="1" t="s">
        <v>39224</v>
      </c>
      <c r="G8161" s="1" t="s">
        <v>16947</v>
      </c>
      <c r="H8161" s="1">
        <v>1991.0</v>
      </c>
      <c r="I8161" s="1" t="s">
        <v>78</v>
      </c>
      <c r="J8161" s="1" t="s">
        <v>428</v>
      </c>
      <c r="K8161" s="1" t="s">
        <v>137</v>
      </c>
      <c r="L8161" s="1" t="s">
        <v>39225</v>
      </c>
      <c r="M8161" s="2" t="s">
        <v>12</v>
      </c>
      <c r="N8161" s="4">
        <f t="shared" si="1"/>
        <v>43831</v>
      </c>
      <c r="O8161" s="5" t="str">
        <f>IFERROR(__xludf.DUMMYFUNCTION("IF(REGEXMATCH(TRIM(I8161), ""^\d+\s*min""), ""Unclassified"", IF(I8161 = """", ""NR"", I8161))"),"PG")</f>
        <v>PG</v>
      </c>
      <c r="R8161" s="5" t="str">
        <f t="shared" si="2"/>
        <v>Teenage Mutant Ninja Turtles Ii: The Secret Of The Ooze</v>
      </c>
      <c r="S8161" s="5" t="str">
        <f>IFERROR(__xludf.DUMMYFUNCTION("""COMPUTED_VALUE"""),"Trimurti")</f>
        <v>Trimurti</v>
      </c>
      <c r="V8161" s="5"/>
      <c r="Y8161" s="5" t="str">
        <f>IFERROR(__xludf.DUMMYFUNCTION("REGEXEXTRACT(J8161, ""^\d+"")"),"88")</f>
        <v>88</v>
      </c>
      <c r="Z8161" s="5" t="str">
        <f>IFERROR(__xludf.DUMMYFUNCTION("REGEXEXTRACT(J8161, ""[A-Za-z ]+$"")")," min")</f>
        <v> min</v>
      </c>
      <c r="AA8161" s="5" t="str">
        <f>IFERROR(__xludf.DUMMYFUNCTION("IF(REGEXMATCH(Z8161, ""Season""), ""TV Show"", ""Movie"")"),"Movie")</f>
        <v>Movie</v>
      </c>
    </row>
    <row r="8162">
      <c r="A8162" s="1" t="s">
        <v>39226</v>
      </c>
      <c r="B8162" s="1" t="s">
        <v>27</v>
      </c>
      <c r="C8162" s="1" t="s">
        <v>39227</v>
      </c>
      <c r="D8162" s="1" t="s">
        <v>21625</v>
      </c>
      <c r="E8162" s="1" t="s">
        <v>39228</v>
      </c>
      <c r="G8162" s="1" t="s">
        <v>16947</v>
      </c>
      <c r="H8162" s="1">
        <v>1990.0</v>
      </c>
      <c r="I8162" s="1" t="s">
        <v>78</v>
      </c>
      <c r="J8162" s="1" t="s">
        <v>170</v>
      </c>
      <c r="K8162" s="1" t="s">
        <v>973</v>
      </c>
      <c r="L8162" s="1" t="s">
        <v>39229</v>
      </c>
      <c r="M8162" s="2" t="s">
        <v>12</v>
      </c>
      <c r="N8162" s="4">
        <f t="shared" si="1"/>
        <v>43831</v>
      </c>
      <c r="O8162" s="5" t="str">
        <f>IFERROR(__xludf.DUMMYFUNCTION("IF(REGEXMATCH(TRIM(I8162), ""^\d+\s*min""), ""Unclassified"", IF(I8162 = """", ""NR"", I8162))"),"PG")</f>
        <v>PG</v>
      </c>
      <c r="R8162" s="5" t="str">
        <f t="shared" si="2"/>
        <v>Teenage Mutant Ninja Turtles: The Movie</v>
      </c>
      <c r="S8162" s="5" t="str">
        <f>IFERROR(__xludf.DUMMYFUNCTION("""COMPUTED_VALUE"""),"Trinkets")</f>
        <v>Trinkets</v>
      </c>
      <c r="V8162" s="5"/>
      <c r="Y8162" s="5" t="str">
        <f>IFERROR(__xludf.DUMMYFUNCTION("REGEXEXTRACT(J8162, ""^\d+"")"),"94")</f>
        <v>94</v>
      </c>
      <c r="Z8162" s="5" t="str">
        <f>IFERROR(__xludf.DUMMYFUNCTION("REGEXEXTRACT(J8162, ""[A-Za-z ]+$"")")," min")</f>
        <v> min</v>
      </c>
      <c r="AA8162" s="5" t="str">
        <f>IFERROR(__xludf.DUMMYFUNCTION("IF(REGEXMATCH(Z8162, ""Season""), ""TV Show"", ""Movie"")"),"Movie")</f>
        <v>Movie</v>
      </c>
    </row>
    <row r="8163">
      <c r="A8163" s="1" t="s">
        <v>39230</v>
      </c>
      <c r="B8163" s="1" t="s">
        <v>27</v>
      </c>
      <c r="C8163" s="1" t="s">
        <v>39231</v>
      </c>
      <c r="D8163" s="1" t="s">
        <v>7477</v>
      </c>
      <c r="E8163" s="1" t="s">
        <v>39232</v>
      </c>
      <c r="F8163" s="1" t="s">
        <v>63</v>
      </c>
      <c r="G8163" s="1" t="s">
        <v>24887</v>
      </c>
      <c r="H8163" s="1">
        <v>2010.0</v>
      </c>
      <c r="I8163" s="1" t="s">
        <v>136</v>
      </c>
      <c r="J8163" s="1" t="s">
        <v>88</v>
      </c>
      <c r="K8163" s="1" t="s">
        <v>230</v>
      </c>
      <c r="L8163" s="1" t="s">
        <v>39233</v>
      </c>
      <c r="M8163" s="2" t="s">
        <v>12</v>
      </c>
      <c r="N8163" s="4">
        <f t="shared" si="1"/>
        <v>43314</v>
      </c>
      <c r="O8163" s="5" t="str">
        <f>IFERROR(__xludf.DUMMYFUNCTION("IF(REGEXMATCH(TRIM(I8163), ""^\d+\s*min""), ""Unclassified"", IF(I8163 = """", ""NR"", I8163))"),"TV-PG")</f>
        <v>TV-PG</v>
      </c>
      <c r="R8163" s="5" t="str">
        <f t="shared" si="2"/>
        <v>Tees Maar Khan</v>
      </c>
      <c r="S8163" s="5" t="str">
        <f>IFERROR(__xludf.DUMMYFUNCTION("""COMPUTED_VALUE"""),"Trio And A Bed")</f>
        <v>Trio And A Bed</v>
      </c>
      <c r="V8163" s="5"/>
      <c r="Y8163" s="5" t="str">
        <f>IFERROR(__xludf.DUMMYFUNCTION("REGEXEXTRACT(J8163, ""^\d+"")"),"125")</f>
        <v>125</v>
      </c>
      <c r="Z8163" s="5" t="str">
        <f>IFERROR(__xludf.DUMMYFUNCTION("REGEXEXTRACT(J8163, ""[A-Za-z ]+$"")")," min")</f>
        <v> min</v>
      </c>
      <c r="AA8163" s="5" t="str">
        <f>IFERROR(__xludf.DUMMYFUNCTION("IF(REGEXMATCH(Z8163, ""Season""), ""TV Show"", ""Movie"")"),"Movie")</f>
        <v>Movie</v>
      </c>
    </row>
    <row r="8164">
      <c r="A8164" s="1" t="s">
        <v>39234</v>
      </c>
      <c r="B8164" s="1" t="s">
        <v>27</v>
      </c>
      <c r="C8164" s="1" t="s">
        <v>39235</v>
      </c>
      <c r="D8164" s="1" t="s">
        <v>6892</v>
      </c>
      <c r="F8164" s="1" t="s">
        <v>39236</v>
      </c>
      <c r="G8164" s="1" t="s">
        <v>29051</v>
      </c>
      <c r="H8164" s="1">
        <v>2016.0</v>
      </c>
      <c r="I8164" s="1" t="s">
        <v>289</v>
      </c>
      <c r="J8164" s="1" t="s">
        <v>155</v>
      </c>
      <c r="K8164" s="1" t="s">
        <v>80</v>
      </c>
      <c r="L8164" s="1" t="s">
        <v>39237</v>
      </c>
      <c r="M8164" s="2" t="s">
        <v>12</v>
      </c>
      <c r="N8164" s="4">
        <f t="shared" si="1"/>
        <v>42705</v>
      </c>
      <c r="O8164" s="5" t="str">
        <f>IFERROR(__xludf.DUMMYFUNCTION("IF(REGEXMATCH(TRIM(I8164), ""^\d+\s*min""), ""Unclassified"", IF(I8164 = """", ""NR"", I8164))"),"TV-Y7")</f>
        <v>TV-Y7</v>
      </c>
      <c r="R8164" s="5" t="str">
        <f t="shared" si="2"/>
        <v>Tellur Aliens</v>
      </c>
      <c r="S8164" s="5" t="str">
        <f>IFERROR(__xludf.DUMMYFUNCTION("""COMPUTED_VALUE"""),"Trip To Bhangarh: Asia'S Most Haunted Place")</f>
        <v>Trip To Bhangarh: Asia'S Most Haunted Place</v>
      </c>
      <c r="V8164" s="5"/>
      <c r="Y8164" s="5" t="str">
        <f>IFERROR(__xludf.DUMMYFUNCTION("REGEXEXTRACT(J8164, ""^\d+"")"),"67")</f>
        <v>67</v>
      </c>
      <c r="Z8164" s="5" t="str">
        <f>IFERROR(__xludf.DUMMYFUNCTION("REGEXEXTRACT(J8164, ""[A-Za-z ]+$"")")," min")</f>
        <v> min</v>
      </c>
      <c r="AA8164" s="5" t="str">
        <f>IFERROR(__xludf.DUMMYFUNCTION("IF(REGEXMATCH(Z8164, ""Season""), ""TV Show"", ""Movie"")"),"Movie")</f>
        <v>Movie</v>
      </c>
    </row>
    <row r="8165">
      <c r="A8165" s="1" t="s">
        <v>39238</v>
      </c>
      <c r="B8165" s="1" t="s">
        <v>27</v>
      </c>
      <c r="C8165" s="1" t="s">
        <v>39239</v>
      </c>
      <c r="D8165" s="1" t="s">
        <v>16572</v>
      </c>
      <c r="E8165" s="1" t="s">
        <v>39240</v>
      </c>
      <c r="F8165" s="1" t="s">
        <v>39241</v>
      </c>
      <c r="G8165" s="1" t="s">
        <v>25097</v>
      </c>
      <c r="H8165" s="1">
        <v>2017.0</v>
      </c>
      <c r="I8165" s="1" t="s">
        <v>42</v>
      </c>
      <c r="J8165" s="1" t="s">
        <v>912</v>
      </c>
      <c r="K8165" s="1" t="s">
        <v>128</v>
      </c>
      <c r="L8165" s="1" t="s">
        <v>39242</v>
      </c>
      <c r="M8165" s="2" t="s">
        <v>12</v>
      </c>
      <c r="N8165" s="4">
        <f t="shared" si="1"/>
        <v>43296</v>
      </c>
      <c r="O8165" s="5" t="str">
        <f>IFERROR(__xludf.DUMMYFUNCTION("IF(REGEXMATCH(TRIM(I8165), ""^\d+\s*min""), ""Unclassified"", IF(I8165 = """", ""NR"", I8165))"),"TV-MA")</f>
        <v>TV-MA</v>
      </c>
      <c r="R8165" s="5" t="str">
        <f t="shared" si="2"/>
        <v>Temporada De Caza</v>
      </c>
      <c r="S8165" s="5" t="str">
        <f>IFERROR(__xludf.DUMMYFUNCTION("""COMPUTED_VALUE"""),"Triple 9")</f>
        <v>Triple 9</v>
      </c>
      <c r="V8165" s="5"/>
      <c r="Y8165" s="5" t="str">
        <f>IFERROR(__xludf.DUMMYFUNCTION("REGEXEXTRACT(J8165, ""^\d+"")"),"108")</f>
        <v>108</v>
      </c>
      <c r="Z8165" s="5" t="str">
        <f>IFERROR(__xludf.DUMMYFUNCTION("REGEXEXTRACT(J8165, ""[A-Za-z ]+$"")")," min")</f>
        <v> min</v>
      </c>
      <c r="AA8165" s="5" t="str">
        <f>IFERROR(__xludf.DUMMYFUNCTION("IF(REGEXMATCH(Z8165, ""Season""), ""TV Show"", ""Movie"")"),"Movie")</f>
        <v>Movie</v>
      </c>
    </row>
    <row r="8166">
      <c r="A8166" s="1" t="s">
        <v>39243</v>
      </c>
      <c r="B8166" s="1" t="s">
        <v>27</v>
      </c>
      <c r="C8166" s="1" t="s">
        <v>39244</v>
      </c>
      <c r="D8166" s="1" t="s">
        <v>39245</v>
      </c>
      <c r="E8166" s="1" t="s">
        <v>39246</v>
      </c>
      <c r="F8166" s="1" t="s">
        <v>1119</v>
      </c>
      <c r="G8166" s="1" t="s">
        <v>22148</v>
      </c>
      <c r="H8166" s="1">
        <v>2015.0</v>
      </c>
      <c r="I8166" s="1" t="s">
        <v>42</v>
      </c>
      <c r="J8166" s="1" t="s">
        <v>447</v>
      </c>
      <c r="K8166" s="1" t="s">
        <v>89</v>
      </c>
      <c r="L8166" s="1" t="s">
        <v>39247</v>
      </c>
      <c r="M8166" s="2" t="s">
        <v>12</v>
      </c>
      <c r="N8166" s="4">
        <f t="shared" si="1"/>
        <v>43508</v>
      </c>
      <c r="O8166" s="5" t="str">
        <f>IFERROR(__xludf.DUMMYFUNCTION("IF(REGEXMATCH(TRIM(I8166), ""^\d+\s*min""), ""Unclassified"", IF(I8166 = """", ""NR"", I8166))"),"TV-MA")</f>
        <v>TV-MA</v>
      </c>
      <c r="R8166" s="5" t="str">
        <f t="shared" si="2"/>
        <v>Ten Years</v>
      </c>
      <c r="S8166" s="5" t="str">
        <f>IFERROR(__xludf.DUMMYFUNCTION("""COMPUTED_VALUE"""),"Triple Frontier")</f>
        <v>Triple Frontier</v>
      </c>
      <c r="V8166" s="5"/>
      <c r="Y8166" s="5" t="str">
        <f>IFERROR(__xludf.DUMMYFUNCTION("REGEXEXTRACT(J8166, ""^\d+"")"),"102")</f>
        <v>102</v>
      </c>
      <c r="Z8166" s="5" t="str">
        <f>IFERROR(__xludf.DUMMYFUNCTION("REGEXEXTRACT(J8166, ""[A-Za-z ]+$"")")," min")</f>
        <v> min</v>
      </c>
      <c r="AA8166" s="5" t="str">
        <f>IFERROR(__xludf.DUMMYFUNCTION("IF(REGEXMATCH(Z8166, ""Season""), ""TV Show"", ""Movie"")"),"Movie")</f>
        <v>Movie</v>
      </c>
    </row>
    <row r="8167">
      <c r="A8167" s="1" t="s">
        <v>39248</v>
      </c>
      <c r="B8167" s="1" t="s">
        <v>37</v>
      </c>
      <c r="C8167" s="1" t="s">
        <v>39249</v>
      </c>
      <c r="E8167" s="1" t="s">
        <v>39250</v>
      </c>
      <c r="F8167" s="1" t="s">
        <v>162</v>
      </c>
      <c r="G8167" s="1" t="s">
        <v>26505</v>
      </c>
      <c r="H8167" s="1">
        <v>2010.0</v>
      </c>
      <c r="I8167" s="1" t="s">
        <v>136</v>
      </c>
      <c r="J8167" s="1" t="s">
        <v>51</v>
      </c>
      <c r="K8167" s="1" t="s">
        <v>1822</v>
      </c>
      <c r="L8167" s="1" t="s">
        <v>39251</v>
      </c>
      <c r="M8167" s="2" t="s">
        <v>12</v>
      </c>
      <c r="N8167" s="4">
        <f t="shared" si="1"/>
        <v>43100</v>
      </c>
      <c r="O8167" s="5" t="str">
        <f>IFERROR(__xludf.DUMMYFUNCTION("IF(REGEXMATCH(TRIM(I8167), ""^\d+\s*min""), ""Unclassified"", IF(I8167 = """", ""NR"", I8167))"),"TV-PG")</f>
        <v>TV-PG</v>
      </c>
      <c r="R8167" s="5" t="str">
        <f t="shared" si="2"/>
        <v>Teresa</v>
      </c>
      <c r="S8167" s="5" t="str">
        <f>IFERROR(__xludf.DUMMYFUNCTION("""COMPUTED_VALUE"""),"Triple Threat")</f>
        <v>Triple Threat</v>
      </c>
      <c r="V8167" s="5"/>
      <c r="Y8167" s="5" t="str">
        <f>IFERROR(__xludf.DUMMYFUNCTION("REGEXEXTRACT(J8167, ""^\d+"")"),"1")</f>
        <v>1</v>
      </c>
      <c r="Z8167" s="5" t="str">
        <f>IFERROR(__xludf.DUMMYFUNCTION("REGEXEXTRACT(J8167, ""[A-Za-z ]+$"")")," Season")</f>
        <v> Season</v>
      </c>
      <c r="AA8167" s="5" t="str">
        <f>IFERROR(__xludf.DUMMYFUNCTION("IF(REGEXMATCH(Z8167, ""Season""), ""TV Show"", ""Movie"")"),"TV Show")</f>
        <v>TV Show</v>
      </c>
    </row>
    <row r="8168">
      <c r="A8168" s="1" t="s">
        <v>39252</v>
      </c>
      <c r="B8168" s="1" t="s">
        <v>27</v>
      </c>
      <c r="C8168" s="1" t="s">
        <v>39253</v>
      </c>
      <c r="D8168" s="1" t="s">
        <v>11719</v>
      </c>
      <c r="E8168" s="1" t="s">
        <v>39254</v>
      </c>
      <c r="F8168" s="1" t="s">
        <v>39255</v>
      </c>
      <c r="G8168" s="1" t="s">
        <v>16947</v>
      </c>
      <c r="H8168" s="1">
        <v>2003.0</v>
      </c>
      <c r="I8168" s="1" t="s">
        <v>378</v>
      </c>
      <c r="J8168" s="1" t="s">
        <v>1065</v>
      </c>
      <c r="K8168" s="1" t="s">
        <v>942</v>
      </c>
      <c r="L8168" s="1" t="s">
        <v>39256</v>
      </c>
      <c r="M8168" s="2" t="s">
        <v>12</v>
      </c>
      <c r="N8168" s="4">
        <f t="shared" si="1"/>
        <v>43831</v>
      </c>
      <c r="O8168" s="5" t="str">
        <f>IFERROR(__xludf.DUMMYFUNCTION("IF(REGEXMATCH(TRIM(I8168), ""^\d+\s*min""), ""Unclassified"", IF(I8168 = """", ""NR"", I8168))"),"R")</f>
        <v>R</v>
      </c>
      <c r="R8168" s="5" t="str">
        <f t="shared" si="2"/>
        <v>Terminator 3: Rise Of The Machines</v>
      </c>
      <c r="S8168" s="5" t="str">
        <f>IFERROR(__xludf.DUMMYFUNCTION("""COMPUTED_VALUE"""),"Trippin' With The Kandasamys")</f>
        <v>Trippin' With The Kandasamys</v>
      </c>
      <c r="V8168" s="5"/>
      <c r="Y8168" s="5" t="str">
        <f>IFERROR(__xludf.DUMMYFUNCTION("REGEXEXTRACT(J8168, ""^\d+"")"),"109")</f>
        <v>109</v>
      </c>
      <c r="Z8168" s="5" t="str">
        <f>IFERROR(__xludf.DUMMYFUNCTION("REGEXEXTRACT(J8168, ""[A-Za-z ]+$"")")," min")</f>
        <v> min</v>
      </c>
      <c r="AA8168" s="5" t="str">
        <f>IFERROR(__xludf.DUMMYFUNCTION("IF(REGEXMATCH(Z8168, ""Season""), ""TV Show"", ""Movie"")"),"Movie")</f>
        <v>Movie</v>
      </c>
    </row>
    <row r="8169">
      <c r="A8169" s="1" t="s">
        <v>39257</v>
      </c>
      <c r="B8169" s="1" t="s">
        <v>27</v>
      </c>
      <c r="C8169" s="1" t="s">
        <v>39258</v>
      </c>
      <c r="D8169" s="1" t="s">
        <v>3523</v>
      </c>
      <c r="E8169" s="1" t="s">
        <v>39259</v>
      </c>
      <c r="F8169" s="1" t="s">
        <v>39260</v>
      </c>
      <c r="G8169" s="1" t="s">
        <v>16947</v>
      </c>
      <c r="H8169" s="1">
        <v>2009.0</v>
      </c>
      <c r="I8169" s="1" t="s">
        <v>32</v>
      </c>
      <c r="J8169" s="1" t="s">
        <v>379</v>
      </c>
      <c r="K8169" s="1" t="s">
        <v>942</v>
      </c>
      <c r="L8169" s="1" t="s">
        <v>39261</v>
      </c>
      <c r="M8169" s="2" t="s">
        <v>12</v>
      </c>
      <c r="N8169" s="4">
        <f t="shared" si="1"/>
        <v>43831</v>
      </c>
      <c r="O8169" s="5" t="str">
        <f>IFERROR(__xludf.DUMMYFUNCTION("IF(REGEXMATCH(TRIM(I8169), ""^\d+\s*min""), ""Unclassified"", IF(I8169 = """", ""NR"", I8169))"),"PG-13")</f>
        <v>PG-13</v>
      </c>
      <c r="R8169" s="5" t="str">
        <f t="shared" si="2"/>
        <v>Terminator Salvation</v>
      </c>
      <c r="S8169" s="5" t="str">
        <f>IFERROR(__xludf.DUMMYFUNCTION("""COMPUTED_VALUE"""),"Triumph Of The Heart")</f>
        <v>Triumph Of The Heart</v>
      </c>
      <c r="V8169" s="5"/>
      <c r="Y8169" s="5" t="str">
        <f>IFERROR(__xludf.DUMMYFUNCTION("REGEXEXTRACT(J8169, ""^\d+"")"),"115")</f>
        <v>115</v>
      </c>
      <c r="Z8169" s="5" t="str">
        <f>IFERROR(__xludf.DUMMYFUNCTION("REGEXEXTRACT(J8169, ""[A-Za-z ]+$"")")," min")</f>
        <v> min</v>
      </c>
      <c r="AA8169" s="5" t="str">
        <f>IFERROR(__xludf.DUMMYFUNCTION("IF(REGEXMATCH(Z8169, ""Season""), ""TV Show"", ""Movie"")"),"Movie")</f>
        <v>Movie</v>
      </c>
    </row>
    <row r="8170">
      <c r="A8170" s="1" t="s">
        <v>39262</v>
      </c>
      <c r="B8170" s="1" t="s">
        <v>27</v>
      </c>
      <c r="C8170" s="1" t="s">
        <v>39263</v>
      </c>
      <c r="D8170" s="1" t="s">
        <v>23776</v>
      </c>
      <c r="E8170" s="1" t="s">
        <v>39264</v>
      </c>
      <c r="F8170" s="1" t="s">
        <v>664</v>
      </c>
      <c r="G8170" s="7">
        <v>42491.0</v>
      </c>
      <c r="H8170" s="1">
        <v>2015.0</v>
      </c>
      <c r="I8170" s="1" t="s">
        <v>136</v>
      </c>
      <c r="J8170" s="1" t="s">
        <v>357</v>
      </c>
      <c r="K8170" s="1" t="s">
        <v>156</v>
      </c>
      <c r="L8170" s="1" t="s">
        <v>39265</v>
      </c>
      <c r="M8170" s="2" t="s">
        <v>12</v>
      </c>
      <c r="N8170" s="4">
        <f t="shared" si="1"/>
        <v>42491</v>
      </c>
      <c r="O8170" s="5" t="str">
        <f>IFERROR(__xludf.DUMMYFUNCTION("IF(REGEXMATCH(TRIM(I8170), ""^\d+\s*min""), ""Unclassified"", IF(I8170 = """", ""NR"", I8170))"),"TV-PG")</f>
        <v>TV-PG</v>
      </c>
      <c r="R8170" s="5" t="str">
        <f t="shared" si="2"/>
        <v>Terra</v>
      </c>
      <c r="S8170" s="5" t="str">
        <f>IFERROR(__xludf.DUMMYFUNCTION("""COMPUTED_VALUE"""),"Trixie Mattel: Moving Parts")</f>
        <v>Trixie Mattel: Moving Parts</v>
      </c>
      <c r="V8170" s="5"/>
      <c r="Y8170" s="5" t="str">
        <f>IFERROR(__xludf.DUMMYFUNCTION("REGEXEXTRACT(J8170, ""^\d+"")"),"98")</f>
        <v>98</v>
      </c>
      <c r="Z8170" s="5" t="str">
        <f>IFERROR(__xludf.DUMMYFUNCTION("REGEXEXTRACT(J8170, ""[A-Za-z ]+$"")")," min")</f>
        <v> min</v>
      </c>
      <c r="AA8170" s="5" t="str">
        <f>IFERROR(__xludf.DUMMYFUNCTION("IF(REGEXMATCH(Z8170, ""Season""), ""TV Show"", ""Movie"")"),"Movie")</f>
        <v>Movie</v>
      </c>
    </row>
    <row r="8171">
      <c r="A8171" s="1" t="s">
        <v>39266</v>
      </c>
      <c r="B8171" s="1" t="s">
        <v>27</v>
      </c>
      <c r="C8171" s="1" t="s">
        <v>39267</v>
      </c>
      <c r="D8171" s="1" t="s">
        <v>5375</v>
      </c>
      <c r="E8171" s="1" t="s">
        <v>39268</v>
      </c>
      <c r="F8171" s="1" t="s">
        <v>30</v>
      </c>
      <c r="G8171" s="1" t="s">
        <v>24649</v>
      </c>
      <c r="H8171" s="1">
        <v>2017.0</v>
      </c>
      <c r="I8171" s="1" t="s">
        <v>42</v>
      </c>
      <c r="J8171" s="1" t="s">
        <v>1608</v>
      </c>
      <c r="K8171" s="1" t="s">
        <v>18588</v>
      </c>
      <c r="L8171" s="1" t="s">
        <v>39269</v>
      </c>
      <c r="M8171" s="2" t="s">
        <v>12</v>
      </c>
      <c r="N8171" s="4">
        <f t="shared" si="1"/>
        <v>43344</v>
      </c>
      <c r="O8171" s="5" t="str">
        <f>IFERROR(__xludf.DUMMYFUNCTION("IF(REGEXMATCH(TRIM(I8171), ""^\d+\s*min""), ""Unclassified"", IF(I8171 = """", ""NR"", I8171))"),"TV-MA")</f>
        <v>TV-MA</v>
      </c>
      <c r="R8171" s="5" t="str">
        <f t="shared" si="2"/>
        <v>Terrifier</v>
      </c>
      <c r="S8171" s="5" t="str">
        <f>IFERROR(__xludf.DUMMYFUNCTION("""COMPUTED_VALUE"""),"Trollhunters")</f>
        <v>Trollhunters</v>
      </c>
      <c r="V8171" s="5"/>
      <c r="Y8171" s="5" t="str">
        <f>IFERROR(__xludf.DUMMYFUNCTION("REGEXEXTRACT(J8171, ""^\d+"")"),"84")</f>
        <v>84</v>
      </c>
      <c r="Z8171" s="5" t="str">
        <f>IFERROR(__xludf.DUMMYFUNCTION("REGEXEXTRACT(J8171, ""[A-Za-z ]+$"")")," min")</f>
        <v> min</v>
      </c>
      <c r="AA8171" s="5" t="str">
        <f>IFERROR(__xludf.DUMMYFUNCTION("IF(REGEXMATCH(Z8171, ""Season""), ""TV Show"", ""Movie"")"),"Movie")</f>
        <v>Movie</v>
      </c>
    </row>
    <row r="8172">
      <c r="A8172" s="1" t="s">
        <v>39270</v>
      </c>
      <c r="B8172" s="1" t="s">
        <v>27</v>
      </c>
      <c r="C8172" s="1" t="s">
        <v>39271</v>
      </c>
      <c r="D8172" s="1" t="s">
        <v>21877</v>
      </c>
      <c r="E8172" s="1" t="s">
        <v>39272</v>
      </c>
      <c r="F8172" s="1" t="s">
        <v>63</v>
      </c>
      <c r="G8172" s="1" t="s">
        <v>27021</v>
      </c>
      <c r="H8172" s="1">
        <v>2016.0</v>
      </c>
      <c r="I8172" s="1" t="s">
        <v>136</v>
      </c>
      <c r="J8172" s="1" t="s">
        <v>1428</v>
      </c>
      <c r="K8172" s="1" t="s">
        <v>215</v>
      </c>
      <c r="L8172" s="1" t="s">
        <v>39273</v>
      </c>
      <c r="M8172" s="2" t="s">
        <v>12</v>
      </c>
      <c r="N8172" s="4">
        <f t="shared" si="1"/>
        <v>43023</v>
      </c>
      <c r="O8172" s="5" t="str">
        <f>IFERROR(__xludf.DUMMYFUNCTION("IF(REGEXMATCH(TRIM(I8172), ""^\d+\s*min""), ""Unclassified"", IF(I8172 = """", ""NR"", I8172))"),"TV-PG")</f>
        <v>TV-PG</v>
      </c>
      <c r="R8172" s="5" t="str">
        <f t="shared" si="2"/>
        <v>Teshan</v>
      </c>
      <c r="S8172" s="5" t="str">
        <f>IFERROR(__xludf.DUMMYFUNCTION("""COMPUTED_VALUE"""),"Trollhunters: Rise Of The Titans")</f>
        <v>Trollhunters: Rise Of The Titans</v>
      </c>
      <c r="V8172" s="5"/>
      <c r="Y8172" s="5" t="str">
        <f>IFERROR(__xludf.DUMMYFUNCTION("REGEXEXTRACT(J8172, ""^\d+"")"),"133")</f>
        <v>133</v>
      </c>
      <c r="Z8172" s="5" t="str">
        <f>IFERROR(__xludf.DUMMYFUNCTION("REGEXEXTRACT(J8172, ""[A-Za-z ]+$"")")," min")</f>
        <v> min</v>
      </c>
      <c r="AA8172" s="5" t="str">
        <f>IFERROR(__xludf.DUMMYFUNCTION("IF(REGEXMATCH(Z8172, ""Season""), ""TV Show"", ""Movie"")"),"Movie")</f>
        <v>Movie</v>
      </c>
    </row>
    <row r="8173">
      <c r="A8173" s="1" t="s">
        <v>39274</v>
      </c>
      <c r="B8173" s="1" t="s">
        <v>27</v>
      </c>
      <c r="C8173" s="1" t="s">
        <v>39275</v>
      </c>
      <c r="D8173" s="1" t="s">
        <v>18415</v>
      </c>
      <c r="E8173" s="1" t="s">
        <v>39276</v>
      </c>
      <c r="F8173" s="1" t="s">
        <v>23617</v>
      </c>
      <c r="G8173" s="1" t="s">
        <v>26674</v>
      </c>
      <c r="H8173" s="1">
        <v>2012.0</v>
      </c>
      <c r="I8173" s="1" t="s">
        <v>42</v>
      </c>
      <c r="J8173" s="1" t="s">
        <v>941</v>
      </c>
      <c r="K8173" s="1" t="s">
        <v>1421</v>
      </c>
      <c r="L8173" s="1" t="s">
        <v>39277</v>
      </c>
      <c r="M8173" s="2" t="s">
        <v>12</v>
      </c>
      <c r="N8173" s="4">
        <f t="shared" si="1"/>
        <v>43070</v>
      </c>
      <c r="O8173" s="5" t="str">
        <f>IFERROR(__xludf.DUMMYFUNCTION("IF(REGEXMATCH(TRIM(I8173), ""^\d+\s*min""), ""Unclassified"", IF(I8173 = """", ""NR"", I8173))"),"TV-MA")</f>
        <v>TV-MA</v>
      </c>
      <c r="R8173" s="5" t="str">
        <f t="shared" si="2"/>
        <v>Tezz</v>
      </c>
      <c r="S8173" s="5" t="str">
        <f>IFERROR(__xludf.DUMMYFUNCTION("""COMPUTED_VALUE"""),"Trolls Holiday Special")</f>
        <v>Trolls Holiday Special</v>
      </c>
      <c r="V8173" s="5"/>
      <c r="Y8173" s="5" t="str">
        <f>IFERROR(__xludf.DUMMYFUNCTION("REGEXEXTRACT(J8173, ""^\d+"")"),"121")</f>
        <v>121</v>
      </c>
      <c r="Z8173" s="5" t="str">
        <f>IFERROR(__xludf.DUMMYFUNCTION("REGEXEXTRACT(J8173, ""[A-Za-z ]+$"")")," min")</f>
        <v> min</v>
      </c>
      <c r="AA8173" s="5" t="str">
        <f>IFERROR(__xludf.DUMMYFUNCTION("IF(REGEXMATCH(Z8173, ""Season""), ""TV Show"", ""Movie"")"),"Movie")</f>
        <v>Movie</v>
      </c>
    </row>
    <row r="8174">
      <c r="A8174" s="1" t="s">
        <v>39278</v>
      </c>
      <c r="B8174" s="1" t="s">
        <v>37</v>
      </c>
      <c r="C8174" s="1" t="s">
        <v>39279</v>
      </c>
      <c r="D8174" s="1" t="s">
        <v>6453</v>
      </c>
      <c r="E8174" s="1" t="s">
        <v>39280</v>
      </c>
      <c r="F8174" s="1" t="s">
        <v>63</v>
      </c>
      <c r="G8174" s="1" t="s">
        <v>25882</v>
      </c>
      <c r="H8174" s="1">
        <v>2015.0</v>
      </c>
      <c r="I8174" s="1" t="s">
        <v>289</v>
      </c>
      <c r="J8174" s="1" t="s">
        <v>51</v>
      </c>
      <c r="K8174" s="1" t="s">
        <v>314</v>
      </c>
      <c r="L8174" s="1" t="s">
        <v>39281</v>
      </c>
      <c r="M8174" s="2" t="s">
        <v>12</v>
      </c>
      <c r="N8174" s="4">
        <f t="shared" si="1"/>
        <v>43190</v>
      </c>
      <c r="O8174" s="5" t="str">
        <f>IFERROR(__xludf.DUMMYFUNCTION("IF(REGEXMATCH(TRIM(I8174), ""^\d+\s*min""), ""Unclassified"", IF(I8174 = """", ""NR"", I8174))"),"TV-Y7")</f>
        <v>TV-Y7</v>
      </c>
      <c r="R8174" s="5" t="str">
        <f t="shared" si="2"/>
        <v>Th Eena Meena Deeka Chase Comedy Show</v>
      </c>
      <c r="S8174" s="5" t="str">
        <f>IFERROR(__xludf.DUMMYFUNCTION("""COMPUTED_VALUE"""),"Trolls: The Beat Goes On!")</f>
        <v>Trolls: The Beat Goes On!</v>
      </c>
      <c r="V8174" s="5"/>
      <c r="Y8174" s="5" t="str">
        <f>IFERROR(__xludf.DUMMYFUNCTION("REGEXEXTRACT(J8174, ""^\d+"")"),"1")</f>
        <v>1</v>
      </c>
      <c r="Z8174" s="5" t="str">
        <f>IFERROR(__xludf.DUMMYFUNCTION("REGEXEXTRACT(J8174, ""[A-Za-z ]+$"")")," Season")</f>
        <v> Season</v>
      </c>
      <c r="AA8174" s="5" t="str">
        <f>IFERROR(__xludf.DUMMYFUNCTION("IF(REGEXMATCH(Z8174, ""Season""), ""TV Show"", ""Movie"")"),"TV Show")</f>
        <v>TV Show</v>
      </c>
    </row>
    <row r="8175">
      <c r="A8175" s="1" t="s">
        <v>39282</v>
      </c>
      <c r="B8175" s="1" t="s">
        <v>37</v>
      </c>
      <c r="C8175" s="1" t="s">
        <v>39283</v>
      </c>
      <c r="F8175" s="1" t="s">
        <v>63</v>
      </c>
      <c r="G8175" s="7">
        <v>43610.0</v>
      </c>
      <c r="H8175" s="1">
        <v>2019.0</v>
      </c>
      <c r="I8175" s="1" t="s">
        <v>42</v>
      </c>
      <c r="J8175" s="1" t="s">
        <v>51</v>
      </c>
      <c r="K8175" s="1" t="s">
        <v>1045</v>
      </c>
      <c r="L8175" s="1" t="s">
        <v>13250</v>
      </c>
      <c r="M8175" s="2" t="s">
        <v>12</v>
      </c>
      <c r="N8175" s="4">
        <f t="shared" si="1"/>
        <v>43610</v>
      </c>
      <c r="O8175" s="5" t="str">
        <f>IFERROR(__xludf.DUMMYFUNCTION("IF(REGEXMATCH(TRIM(I8175), ""^\d+\s*min""), ""Unclassified"", IF(I8175 = """", ""NR"", I8175))"),"TV-MA")</f>
        <v>TV-MA</v>
      </c>
      <c r="R8175" s="5" t="str">
        <f t="shared" si="2"/>
        <v>Thackeray</v>
      </c>
      <c r="S8175" s="5" t="str">
        <f>IFERROR(__xludf.DUMMYFUNCTION("""COMPUTED_VALUE"""),"Trophy")</f>
        <v>Trophy</v>
      </c>
      <c r="V8175" s="5"/>
      <c r="Y8175" s="5" t="str">
        <f>IFERROR(__xludf.DUMMYFUNCTION("REGEXEXTRACT(J8175, ""^\d+"")"),"1")</f>
        <v>1</v>
      </c>
      <c r="Z8175" s="5" t="str">
        <f>IFERROR(__xludf.DUMMYFUNCTION("REGEXEXTRACT(J8175, ""[A-Za-z ]+$"")")," Season")</f>
        <v> Season</v>
      </c>
      <c r="AA8175" s="5" t="str">
        <f>IFERROR(__xludf.DUMMYFUNCTION("IF(REGEXMATCH(Z8175, ""Season""), ""TV Show"", ""Movie"")"),"TV Show")</f>
        <v>TV Show</v>
      </c>
    </row>
    <row r="8176">
      <c r="A8176" s="1" t="s">
        <v>39284</v>
      </c>
      <c r="B8176" s="1" t="s">
        <v>37</v>
      </c>
      <c r="C8176" s="1" t="s">
        <v>39285</v>
      </c>
      <c r="E8176" s="1" t="s">
        <v>39286</v>
      </c>
      <c r="F8176" s="1" t="s">
        <v>30</v>
      </c>
      <c r="G8176" s="1" t="s">
        <v>34060</v>
      </c>
      <c r="H8176" s="1">
        <v>2005.0</v>
      </c>
      <c r="I8176" s="1" t="s">
        <v>97</v>
      </c>
      <c r="J8176" s="1" t="s">
        <v>3285</v>
      </c>
      <c r="K8176" s="1" t="s">
        <v>270</v>
      </c>
      <c r="L8176" s="1" t="s">
        <v>39287</v>
      </c>
      <c r="M8176" s="2" t="s">
        <v>12</v>
      </c>
      <c r="N8176" s="1" t="str">
        <f t="shared" si="1"/>
        <v>#N/A</v>
      </c>
      <c r="O8176" s="5" t="str">
        <f>IFERROR(__xludf.DUMMYFUNCTION("IF(REGEXMATCH(TRIM(I8176), ""^\d+\s*min""), ""Unclassified"", IF(I8176 = """", ""NR"", I8176))"),"TV-14")</f>
        <v>TV-14</v>
      </c>
      <c r="R8176" s="5" t="str">
        <f t="shared" si="2"/>
        <v>That '70S Show</v>
      </c>
      <c r="S8176" s="5" t="str">
        <f>IFERROR(__xludf.DUMMYFUNCTION("""COMPUTED_VALUE"""),"Trotro")</f>
        <v>Trotro</v>
      </c>
      <c r="V8176" s="5"/>
      <c r="Y8176" s="5" t="str">
        <f>IFERROR(__xludf.DUMMYFUNCTION("REGEXEXTRACT(J8176, ""^\d+"")"),"8")</f>
        <v>8</v>
      </c>
      <c r="Z8176" s="5" t="str">
        <f>IFERROR(__xludf.DUMMYFUNCTION("REGEXEXTRACT(J8176, ""[A-Za-z ]+$"")")," Seasons")</f>
        <v> Seasons</v>
      </c>
      <c r="AA8176" s="5" t="str">
        <f>IFERROR(__xludf.DUMMYFUNCTION("IF(REGEXMATCH(Z8176, ""Season""), ""TV Show"", ""Movie"")"),"TV Show")</f>
        <v>TV Show</v>
      </c>
    </row>
    <row r="8177">
      <c r="A8177" s="1" t="s">
        <v>39288</v>
      </c>
      <c r="B8177" s="1" t="s">
        <v>37</v>
      </c>
      <c r="C8177" s="1" t="s">
        <v>39289</v>
      </c>
      <c r="F8177" s="1" t="s">
        <v>30</v>
      </c>
      <c r="G8177" s="1" t="s">
        <v>37597</v>
      </c>
      <c r="H8177" s="1">
        <v>2018.0</v>
      </c>
      <c r="I8177" s="1" t="s">
        <v>42</v>
      </c>
      <c r="J8177" s="1" t="s">
        <v>51</v>
      </c>
      <c r="K8177" s="1" t="s">
        <v>1261</v>
      </c>
      <c r="L8177" s="1" t="s">
        <v>39290</v>
      </c>
      <c r="M8177" s="2" t="s">
        <v>12</v>
      </c>
      <c r="N8177" s="4">
        <f t="shared" si="1"/>
        <v>43515</v>
      </c>
      <c r="O8177" s="5" t="str">
        <f>IFERROR(__xludf.DUMMYFUNCTION("IF(REGEXMATCH(TRIM(I8177), ""^\d+\s*min""), ""Unclassified"", IF(I8177 = """", ""NR"", I8177))"),"TV-MA")</f>
        <v>TV-MA</v>
      </c>
      <c r="R8177" s="5" t="str">
        <f t="shared" si="2"/>
        <v>The 2000S</v>
      </c>
      <c r="S8177" s="5" t="str">
        <f>IFERROR(__xludf.DUMMYFUNCTION("""COMPUTED_VALUE"""),"Trotsky")</f>
        <v>Trotsky</v>
      </c>
      <c r="V8177" s="5"/>
      <c r="Y8177" s="5" t="str">
        <f>IFERROR(__xludf.DUMMYFUNCTION("REGEXEXTRACT(J8177, ""^\d+"")"),"1")</f>
        <v>1</v>
      </c>
      <c r="Z8177" s="5" t="str">
        <f>IFERROR(__xludf.DUMMYFUNCTION("REGEXEXTRACT(J8177, ""[A-Za-z ]+$"")")," Season")</f>
        <v> Season</v>
      </c>
      <c r="AA8177" s="5" t="str">
        <f>IFERROR(__xludf.DUMMYFUNCTION("IF(REGEXMATCH(Z8177, ""Season""), ""TV Show"", ""Movie"")"),"TV Show")</f>
        <v>TV Show</v>
      </c>
    </row>
    <row r="8178">
      <c r="A8178" s="1" t="s">
        <v>39291</v>
      </c>
      <c r="B8178" s="1" t="s">
        <v>27</v>
      </c>
      <c r="C8178" s="1" t="s">
        <v>39292</v>
      </c>
      <c r="D8178" s="1" t="s">
        <v>16421</v>
      </c>
      <c r="F8178" s="1" t="s">
        <v>30</v>
      </c>
      <c r="G8178" s="1" t="s">
        <v>18015</v>
      </c>
      <c r="H8178" s="1">
        <v>2016.0</v>
      </c>
      <c r="I8178" s="1" t="s">
        <v>42</v>
      </c>
      <c r="J8178" s="1" t="s">
        <v>433</v>
      </c>
      <c r="K8178" s="1" t="s">
        <v>645</v>
      </c>
      <c r="L8178" s="1" t="s">
        <v>39293</v>
      </c>
      <c r="M8178" s="2" t="s">
        <v>12</v>
      </c>
      <c r="N8178" s="4">
        <f t="shared" si="1"/>
        <v>43784</v>
      </c>
      <c r="O8178" s="5" t="str">
        <f>IFERROR(__xludf.DUMMYFUNCTION("IF(REGEXMATCH(TRIM(I8178), ""^\d+\s*min""), ""Unclassified"", IF(I8178 = """", ""NR"", I8178))"),"TV-MA")</f>
        <v>TV-MA</v>
      </c>
      <c r="R8178" s="5" t="str">
        <f t="shared" si="2"/>
        <v>The 24 Hour War</v>
      </c>
      <c r="S8178" s="5" t="str">
        <f>IFERROR(__xludf.DUMMYFUNCTION("""COMPUTED_VALUE"""),"Troy")</f>
        <v>Troy</v>
      </c>
      <c r="V8178" s="5"/>
      <c r="Y8178" s="5" t="str">
        <f>IFERROR(__xludf.DUMMYFUNCTION("REGEXEXTRACT(J8178, ""^\d+"")"),"100")</f>
        <v>100</v>
      </c>
      <c r="Z8178" s="5" t="str">
        <f>IFERROR(__xludf.DUMMYFUNCTION("REGEXEXTRACT(J8178, ""[A-Za-z ]+$"")")," min")</f>
        <v> min</v>
      </c>
      <c r="AA8178" s="5" t="str">
        <f>IFERROR(__xludf.DUMMYFUNCTION("IF(REGEXMATCH(Z8178, ""Season""), ""TV Show"", ""Movie"")"),"Movie")</f>
        <v>Movie</v>
      </c>
    </row>
    <row r="8179">
      <c r="A8179" s="1" t="s">
        <v>39294</v>
      </c>
      <c r="B8179" s="1" t="s">
        <v>27</v>
      </c>
      <c r="C8179" s="1" t="s">
        <v>39295</v>
      </c>
      <c r="D8179" s="1" t="s">
        <v>16199</v>
      </c>
      <c r="E8179" s="1" t="s">
        <v>39296</v>
      </c>
      <c r="F8179" s="1" t="s">
        <v>10325</v>
      </c>
      <c r="G8179" s="1" t="s">
        <v>25782</v>
      </c>
      <c r="H8179" s="1">
        <v>2016.0</v>
      </c>
      <c r="I8179" s="1" t="s">
        <v>42</v>
      </c>
      <c r="J8179" s="1" t="s">
        <v>743</v>
      </c>
      <c r="K8179" s="1" t="s">
        <v>306</v>
      </c>
      <c r="L8179" s="1" t="s">
        <v>39297</v>
      </c>
      <c r="M8179" s="2" t="s">
        <v>12</v>
      </c>
      <c r="N8179" s="4">
        <f t="shared" si="1"/>
        <v>43196</v>
      </c>
      <c r="O8179" s="5" t="str">
        <f>IFERROR(__xludf.DUMMYFUNCTION("IF(REGEXMATCH(TRIM(I8179), ""^\d+\s*min""), ""Unclassified"", IF(I8179 = """", ""NR"", I8179))"),"TV-MA")</f>
        <v>TV-MA</v>
      </c>
      <c r="R8179" s="5" t="str">
        <f t="shared" si="2"/>
        <v>The 4Th Company</v>
      </c>
      <c r="S8179" s="5" t="str">
        <f>IFERROR(__xludf.DUMMYFUNCTION("""COMPUTED_VALUE"""),"Troy: The Odyssey")</f>
        <v>Troy: The Odyssey</v>
      </c>
      <c r="V8179" s="5"/>
      <c r="Y8179" s="5" t="str">
        <f>IFERROR(__xludf.DUMMYFUNCTION("REGEXEXTRACT(J8179, ""^\d+"")"),"117")</f>
        <v>117</v>
      </c>
      <c r="Z8179" s="5" t="str">
        <f>IFERROR(__xludf.DUMMYFUNCTION("REGEXEXTRACT(J8179, ""[A-Za-z ]+$"")")," min")</f>
        <v> min</v>
      </c>
      <c r="AA8179" s="5" t="str">
        <f>IFERROR(__xludf.DUMMYFUNCTION("IF(REGEXMATCH(Z8179, ""Season""), ""TV Show"", ""Movie"")"),"Movie")</f>
        <v>Movie</v>
      </c>
    </row>
    <row r="8180">
      <c r="A8180" s="1" t="s">
        <v>39298</v>
      </c>
      <c r="B8180" s="1" t="s">
        <v>27</v>
      </c>
      <c r="C8180" s="1" t="s">
        <v>39299</v>
      </c>
      <c r="D8180" s="1" t="s">
        <v>15337</v>
      </c>
      <c r="F8180" s="1" t="s">
        <v>1106</v>
      </c>
      <c r="G8180" s="1" t="s">
        <v>20110</v>
      </c>
      <c r="H8180" s="1">
        <v>2018.0</v>
      </c>
      <c r="I8180" s="1" t="s">
        <v>97</v>
      </c>
      <c r="J8180" s="1" t="s">
        <v>1737</v>
      </c>
      <c r="K8180" s="1" t="s">
        <v>156</v>
      </c>
      <c r="L8180" s="1" t="s">
        <v>39300</v>
      </c>
      <c r="M8180" s="2" t="s">
        <v>12</v>
      </c>
      <c r="N8180" s="4">
        <f t="shared" si="1"/>
        <v>43647</v>
      </c>
      <c r="O8180" s="5" t="str">
        <f>IFERROR(__xludf.DUMMYFUNCTION("IF(REGEXMATCH(TRIM(I8180), ""^\d+\s*min""), ""Unclassified"", IF(I8180 = """", ""NR"", I8180))"),"TV-14")</f>
        <v>TV-14</v>
      </c>
      <c r="R8180" s="5" t="str">
        <f t="shared" si="2"/>
        <v>The Accountant Of Auschwitz</v>
      </c>
      <c r="S8180" s="5" t="str">
        <f>IFERROR(__xludf.DUMMYFUNCTION("""COMPUTED_VALUE"""),"Truckbhar Swapna")</f>
        <v>Truckbhar Swapna</v>
      </c>
      <c r="V8180" s="5"/>
      <c r="Y8180" s="5" t="str">
        <f>IFERROR(__xludf.DUMMYFUNCTION("REGEXEXTRACT(J8180, ""^\d+"")"),"78")</f>
        <v>78</v>
      </c>
      <c r="Z8180" s="5" t="str">
        <f>IFERROR(__xludf.DUMMYFUNCTION("REGEXEXTRACT(J8180, ""[A-Za-z ]+$"")")," min")</f>
        <v> min</v>
      </c>
      <c r="AA8180" s="5" t="str">
        <f>IFERROR(__xludf.DUMMYFUNCTION("IF(REGEXMATCH(Z8180, ""Season""), ""TV Show"", ""Movie"")"),"Movie")</f>
        <v>Movie</v>
      </c>
    </row>
    <row r="8181">
      <c r="A8181" s="1" t="s">
        <v>39301</v>
      </c>
      <c r="B8181" s="1" t="s">
        <v>27</v>
      </c>
      <c r="C8181" s="1" t="s">
        <v>39302</v>
      </c>
      <c r="D8181" s="1" t="s">
        <v>17525</v>
      </c>
      <c r="E8181" s="1" t="s">
        <v>39303</v>
      </c>
      <c r="F8181" s="1" t="s">
        <v>30</v>
      </c>
      <c r="G8181" s="1" t="s">
        <v>25097</v>
      </c>
      <c r="H8181" s="1">
        <v>2015.0</v>
      </c>
      <c r="I8181" s="1" t="s">
        <v>378</v>
      </c>
      <c r="J8181" s="1" t="s">
        <v>630</v>
      </c>
      <c r="K8181" s="1" t="s">
        <v>394</v>
      </c>
      <c r="L8181" s="1" t="s">
        <v>39304</v>
      </c>
      <c r="M8181" s="2" t="s">
        <v>12</v>
      </c>
      <c r="N8181" s="4">
        <f t="shared" si="1"/>
        <v>43296</v>
      </c>
      <c r="O8181" s="5" t="str">
        <f>IFERROR(__xludf.DUMMYFUNCTION("IF(REGEXMATCH(TRIM(I8181), ""^\d+\s*min""), ""Unclassified"", IF(I8181 = """", ""NR"", I8181))"),"R")</f>
        <v>R</v>
      </c>
      <c r="R8181" s="5" t="str">
        <f t="shared" si="2"/>
        <v>The Adderall Diaries</v>
      </c>
      <c r="S8181" s="5" t="str">
        <f>IFERROR(__xludf.DUMMYFUNCTION("""COMPUTED_VALUE"""),"True And The Rainbow Kingdom")</f>
        <v>True And The Rainbow Kingdom</v>
      </c>
      <c r="V8181" s="5"/>
      <c r="Y8181" s="5" t="str">
        <f>IFERROR(__xludf.DUMMYFUNCTION("REGEXEXTRACT(J8181, ""^\d+"")"),"87")</f>
        <v>87</v>
      </c>
      <c r="Z8181" s="5" t="str">
        <f>IFERROR(__xludf.DUMMYFUNCTION("REGEXEXTRACT(J8181, ""[A-Za-z ]+$"")")," min")</f>
        <v> min</v>
      </c>
      <c r="AA8181" s="5" t="str">
        <f>IFERROR(__xludf.DUMMYFUNCTION("IF(REGEXMATCH(Z8181, ""Season""), ""TV Show"", ""Movie"")"),"Movie")</f>
        <v>Movie</v>
      </c>
    </row>
    <row r="8182">
      <c r="A8182" s="1" t="s">
        <v>39305</v>
      </c>
      <c r="B8182" s="1" t="s">
        <v>37</v>
      </c>
      <c r="C8182" s="1" t="s">
        <v>39306</v>
      </c>
      <c r="E8182" s="1" t="s">
        <v>39307</v>
      </c>
      <c r="G8182" s="1" t="s">
        <v>27242</v>
      </c>
      <c r="H8182" s="1">
        <v>2010.0</v>
      </c>
      <c r="I8182" s="1" t="s">
        <v>136</v>
      </c>
      <c r="J8182" s="1" t="s">
        <v>43</v>
      </c>
      <c r="K8182" s="1" t="s">
        <v>402</v>
      </c>
      <c r="L8182" s="1" t="s">
        <v>39308</v>
      </c>
      <c r="M8182" s="2" t="s">
        <v>12</v>
      </c>
      <c r="N8182" s="4">
        <f t="shared" si="1"/>
        <v>42996</v>
      </c>
      <c r="O8182" s="5" t="str">
        <f>IFERROR(__xludf.DUMMYFUNCTION("IF(REGEXMATCH(TRIM(I8182), ""^\d+\s*min""), ""Unclassified"", IF(I8182 = """", ""NR"", I8182))"),"TV-PG")</f>
        <v>TV-PG</v>
      </c>
      <c r="R8182" s="5" t="str">
        <f t="shared" si="2"/>
        <v>The Adjusters</v>
      </c>
      <c r="S8182" s="5" t="str">
        <f>IFERROR(__xludf.DUMMYFUNCTION("""COMPUTED_VALUE"""),"True Grit")</f>
        <v>True Grit</v>
      </c>
      <c r="V8182" s="5"/>
      <c r="Y8182" s="5" t="str">
        <f>IFERROR(__xludf.DUMMYFUNCTION("REGEXEXTRACT(J8182, ""^\d+"")"),"2")</f>
        <v>2</v>
      </c>
      <c r="Z8182" s="5" t="str">
        <f>IFERROR(__xludf.DUMMYFUNCTION("REGEXEXTRACT(J8182, ""[A-Za-z ]+$"")")," Seasons")</f>
        <v> Seasons</v>
      </c>
      <c r="AA8182" s="5" t="str">
        <f>IFERROR(__xludf.DUMMYFUNCTION("IF(REGEXMATCH(Z8182, ""Season""), ""TV Show"", ""Movie"")"),"TV Show")</f>
        <v>TV Show</v>
      </c>
    </row>
    <row r="8183">
      <c r="A8183" s="1" t="s">
        <v>39309</v>
      </c>
      <c r="B8183" s="1" t="s">
        <v>27</v>
      </c>
      <c r="C8183" s="1" t="s">
        <v>39310</v>
      </c>
      <c r="D8183" s="1" t="s">
        <v>8308</v>
      </c>
      <c r="E8183" s="1" t="s">
        <v>39311</v>
      </c>
      <c r="F8183" s="1" t="s">
        <v>1106</v>
      </c>
      <c r="G8183" s="7">
        <v>42865.0</v>
      </c>
      <c r="H8183" s="1">
        <v>2016.0</v>
      </c>
      <c r="I8183" s="1" t="s">
        <v>289</v>
      </c>
      <c r="J8183" s="1" t="s">
        <v>428</v>
      </c>
      <c r="K8183" s="1" t="s">
        <v>80</v>
      </c>
      <c r="L8183" s="1" t="s">
        <v>39312</v>
      </c>
      <c r="M8183" s="2" t="s">
        <v>12</v>
      </c>
      <c r="N8183" s="4">
        <f t="shared" si="1"/>
        <v>42865</v>
      </c>
      <c r="O8183" s="5" t="str">
        <f>IFERROR(__xludf.DUMMYFUNCTION("IF(REGEXMATCH(TRIM(I8183), ""^\d+\s*min""), ""Unclassified"", IF(I8183 = """", ""NR"", I8183))"),"TV-Y7")</f>
        <v>TV-Y7</v>
      </c>
      <c r="R8183" s="5" t="str">
        <f t="shared" si="2"/>
        <v>The Adventure Club</v>
      </c>
      <c r="S8183" s="5" t="str">
        <f>IFERROR(__xludf.DUMMYFUNCTION("""COMPUTED_VALUE"""),"True Memoirs Of An International Assassin")</f>
        <v>True Memoirs Of An International Assassin</v>
      </c>
      <c r="V8183" s="5"/>
      <c r="Y8183" s="5" t="str">
        <f>IFERROR(__xludf.DUMMYFUNCTION("REGEXEXTRACT(J8183, ""^\d+"")"),"88")</f>
        <v>88</v>
      </c>
      <c r="Z8183" s="5" t="str">
        <f>IFERROR(__xludf.DUMMYFUNCTION("REGEXEXTRACT(J8183, ""[A-Za-z ]+$"")")," min")</f>
        <v> min</v>
      </c>
      <c r="AA8183" s="5" t="str">
        <f>IFERROR(__xludf.DUMMYFUNCTION("IF(REGEXMATCH(Z8183, ""Season""), ""TV Show"", ""Movie"")"),"Movie")</f>
        <v>Movie</v>
      </c>
    </row>
    <row r="8184">
      <c r="A8184" s="1" t="s">
        <v>39313</v>
      </c>
      <c r="B8184" s="1" t="s">
        <v>37</v>
      </c>
      <c r="C8184" s="1" t="s">
        <v>39314</v>
      </c>
      <c r="E8184" s="1" t="s">
        <v>39315</v>
      </c>
      <c r="F8184" s="1" t="s">
        <v>221</v>
      </c>
      <c r="H8184" s="1">
        <v>2015.0</v>
      </c>
      <c r="I8184" s="1" t="s">
        <v>289</v>
      </c>
      <c r="J8184" s="1" t="s">
        <v>43</v>
      </c>
      <c r="K8184" s="1" t="s">
        <v>314</v>
      </c>
      <c r="L8184" s="1" t="s">
        <v>39316</v>
      </c>
      <c r="M8184" s="2" t="s">
        <v>12</v>
      </c>
      <c r="N8184" s="1" t="str">
        <f t="shared" si="1"/>
        <v>#VALUE!</v>
      </c>
      <c r="O8184" s="5" t="str">
        <f>IFERROR(__xludf.DUMMYFUNCTION("IF(REGEXMATCH(TRIM(I8184), ""^\d+\s*min""), ""Unclassified"", IF(I8184 = """", ""NR"", I8184))"),"TV-Y7")</f>
        <v>TV-Y7</v>
      </c>
      <c r="R8184" s="5" t="str">
        <f t="shared" si="2"/>
        <v>The Adventures Of Figaro Pho</v>
      </c>
      <c r="S8184" s="5" t="str">
        <f>IFERROR(__xludf.DUMMYFUNCTION("""COMPUTED_VALUE"""),"True To The Game")</f>
        <v>True To The Game</v>
      </c>
      <c r="V8184" s="5"/>
      <c r="Y8184" s="5" t="str">
        <f>IFERROR(__xludf.DUMMYFUNCTION("REGEXEXTRACT(J8184, ""^\d+"")"),"2")</f>
        <v>2</v>
      </c>
      <c r="Z8184" s="5" t="str">
        <f>IFERROR(__xludf.DUMMYFUNCTION("REGEXEXTRACT(J8184, ""[A-Za-z ]+$"")")," Seasons")</f>
        <v> Seasons</v>
      </c>
      <c r="AA8184" s="5" t="str">
        <f>IFERROR(__xludf.DUMMYFUNCTION("IF(REGEXMATCH(Z8184, ""Season""), ""TV Show"", ""Movie"")"),"TV Show")</f>
        <v>TV Show</v>
      </c>
    </row>
    <row r="8185">
      <c r="A8185" s="1" t="s">
        <v>39317</v>
      </c>
      <c r="B8185" s="1" t="s">
        <v>27</v>
      </c>
      <c r="C8185" s="1" t="s">
        <v>39318</v>
      </c>
      <c r="D8185" s="1" t="s">
        <v>5217</v>
      </c>
      <c r="E8185" s="1" t="s">
        <v>39319</v>
      </c>
      <c r="F8185" s="1" t="s">
        <v>30</v>
      </c>
      <c r="G8185" s="1" t="s">
        <v>9365</v>
      </c>
      <c r="H8185" s="1">
        <v>2005.0</v>
      </c>
      <c r="I8185" s="1" t="s">
        <v>78</v>
      </c>
      <c r="J8185" s="1" t="s">
        <v>454</v>
      </c>
      <c r="K8185" s="1" t="s">
        <v>80</v>
      </c>
      <c r="L8185" s="1" t="s">
        <v>39320</v>
      </c>
      <c r="M8185" s="2" t="s">
        <v>12</v>
      </c>
      <c r="N8185" s="4">
        <f t="shared" si="1"/>
        <v>44167</v>
      </c>
      <c r="O8185" s="5" t="str">
        <f>IFERROR(__xludf.DUMMYFUNCTION("IF(REGEXMATCH(TRIM(I8185), ""^\d+\s*min""), ""Unclassified"", IF(I8185 = """", ""NR"", I8185))"),"PG")</f>
        <v>PG</v>
      </c>
      <c r="R8185" s="5" t="str">
        <f t="shared" si="2"/>
        <v>The Adventures Of Sharkboy And Lavagirl</v>
      </c>
      <c r="S8185" s="5" t="str">
        <f>IFERROR(__xludf.DUMMYFUNCTION("""COMPUTED_VALUE"""),"True Tunes")</f>
        <v>True Tunes</v>
      </c>
      <c r="V8185" s="5"/>
      <c r="Y8185" s="5" t="str">
        <f>IFERROR(__xludf.DUMMYFUNCTION("REGEXEXTRACT(J8185, ""^\d+"")"),"93")</f>
        <v>93</v>
      </c>
      <c r="Z8185" s="5" t="str">
        <f>IFERROR(__xludf.DUMMYFUNCTION("REGEXEXTRACT(J8185, ""[A-Za-z ]+$"")")," min")</f>
        <v> min</v>
      </c>
      <c r="AA8185" s="5" t="str">
        <f>IFERROR(__xludf.DUMMYFUNCTION("IF(REGEXMATCH(Z8185, ""Season""), ""TV Show"", ""Movie"")"),"Movie")</f>
        <v>Movie</v>
      </c>
    </row>
    <row r="8186">
      <c r="A8186" s="1" t="s">
        <v>39321</v>
      </c>
      <c r="B8186" s="1" t="s">
        <v>27</v>
      </c>
      <c r="C8186" s="1" t="s">
        <v>39322</v>
      </c>
      <c r="D8186" s="1" t="s">
        <v>339</v>
      </c>
      <c r="E8186" s="1" t="s">
        <v>39323</v>
      </c>
      <c r="F8186" s="1" t="s">
        <v>39324</v>
      </c>
      <c r="G8186" s="1" t="s">
        <v>17941</v>
      </c>
      <c r="H8186" s="1">
        <v>2011.0</v>
      </c>
      <c r="I8186" s="1" t="s">
        <v>78</v>
      </c>
      <c r="J8186" s="1" t="s">
        <v>1256</v>
      </c>
      <c r="K8186" s="1" t="s">
        <v>80</v>
      </c>
      <c r="L8186" s="1" t="s">
        <v>39325</v>
      </c>
      <c r="M8186" s="2" t="s">
        <v>12</v>
      </c>
      <c r="N8186" s="4">
        <f t="shared" si="1"/>
        <v>43789</v>
      </c>
      <c r="O8186" s="5" t="str">
        <f>IFERROR(__xludf.DUMMYFUNCTION("IF(REGEXMATCH(TRIM(I8186), ""^\d+\s*min""), ""Unclassified"", IF(I8186 = """", ""NR"", I8186))"),"PG")</f>
        <v>PG</v>
      </c>
      <c r="R8186" s="5" t="str">
        <f t="shared" si="2"/>
        <v>The Adventures Of Tintin</v>
      </c>
      <c r="S8186" s="5" t="str">
        <f>IFERROR(__xludf.DUMMYFUNCTION("""COMPUTED_VALUE"""),"True: Friendship Day")</f>
        <v>True: Friendship Day</v>
      </c>
      <c r="V8186" s="5"/>
      <c r="Y8186" s="5" t="str">
        <f>IFERROR(__xludf.DUMMYFUNCTION("REGEXEXTRACT(J8186, ""^\d+"")"),"107")</f>
        <v>107</v>
      </c>
      <c r="Z8186" s="5" t="str">
        <f>IFERROR(__xludf.DUMMYFUNCTION("REGEXEXTRACT(J8186, ""[A-Za-z ]+$"")")," min")</f>
        <v> min</v>
      </c>
      <c r="AA8186" s="5" t="str">
        <f>IFERROR(__xludf.DUMMYFUNCTION("IF(REGEXMATCH(Z8186, ""Season""), ""TV Show"", ""Movie"")"),"Movie")</f>
        <v>Movie</v>
      </c>
    </row>
    <row r="8187">
      <c r="A8187" s="1" t="s">
        <v>39326</v>
      </c>
      <c r="B8187" s="1" t="s">
        <v>27</v>
      </c>
      <c r="C8187" s="1" t="s">
        <v>39327</v>
      </c>
      <c r="D8187" s="1" t="s">
        <v>7301</v>
      </c>
      <c r="E8187" s="1" t="s">
        <v>39328</v>
      </c>
      <c r="F8187" s="1" t="s">
        <v>1815</v>
      </c>
      <c r="G8187" s="1" t="s">
        <v>25842</v>
      </c>
      <c r="H8187" s="1">
        <v>2007.0</v>
      </c>
      <c r="I8187" s="1" t="s">
        <v>42</v>
      </c>
      <c r="J8187" s="1" t="s">
        <v>416</v>
      </c>
      <c r="K8187" s="1" t="s">
        <v>5704</v>
      </c>
      <c r="L8187" s="1" t="s">
        <v>39329</v>
      </c>
      <c r="M8187" s="2" t="s">
        <v>12</v>
      </c>
      <c r="N8187" s="4">
        <f t="shared" si="1"/>
        <v>43191</v>
      </c>
      <c r="O8187" s="5" t="str">
        <f>IFERROR(__xludf.DUMMYFUNCTION("IF(REGEXMATCH(TRIM(I8187), ""^\d+\s*min""), ""Unclassified"", IF(I8187 = """", ""NR"", I8187))"),"TV-MA")</f>
        <v>TV-MA</v>
      </c>
      <c r="R8187" s="5" t="str">
        <f t="shared" si="2"/>
        <v>The Aerial</v>
      </c>
      <c r="S8187" s="5" t="str">
        <f>IFERROR(__xludf.DUMMYFUNCTION("""COMPUTED_VALUE"""),"True: Grabbleapple Harvest")</f>
        <v>True: Grabbleapple Harvest</v>
      </c>
      <c r="V8187" s="5"/>
      <c r="Y8187" s="5" t="str">
        <f>IFERROR(__xludf.DUMMYFUNCTION("REGEXEXTRACT(J8187, ""^\d+"")"),"99")</f>
        <v>99</v>
      </c>
      <c r="Z8187" s="5" t="str">
        <f>IFERROR(__xludf.DUMMYFUNCTION("REGEXEXTRACT(J8187, ""[A-Za-z ]+$"")")," min")</f>
        <v> min</v>
      </c>
      <c r="AA8187" s="5" t="str">
        <f>IFERROR(__xludf.DUMMYFUNCTION("IF(REGEXMATCH(Z8187, ""Season""), ""TV Show"", ""Movie"")"),"Movie")</f>
        <v>Movie</v>
      </c>
    </row>
    <row r="8188">
      <c r="A8188" s="1" t="s">
        <v>39330</v>
      </c>
      <c r="B8188" s="1" t="s">
        <v>27</v>
      </c>
      <c r="C8188" s="1" t="s">
        <v>39331</v>
      </c>
      <c r="D8188" s="1" t="s">
        <v>39332</v>
      </c>
      <c r="E8188" s="1" t="s">
        <v>39333</v>
      </c>
      <c r="F8188" s="1" t="s">
        <v>749</v>
      </c>
      <c r="G8188" s="1" t="s">
        <v>26481</v>
      </c>
      <c r="H8188" s="1">
        <v>2016.0</v>
      </c>
      <c r="I8188" s="1" t="s">
        <v>42</v>
      </c>
      <c r="J8188" s="1" t="s">
        <v>1704</v>
      </c>
      <c r="K8188" s="1" t="s">
        <v>306</v>
      </c>
      <c r="L8188" s="1" t="s">
        <v>39334</v>
      </c>
      <c r="M8188" s="2" t="s">
        <v>12</v>
      </c>
      <c r="N8188" s="4">
        <f t="shared" si="1"/>
        <v>43101</v>
      </c>
      <c r="O8188" s="5" t="str">
        <f>IFERROR(__xludf.DUMMYFUNCTION("IF(REGEXMATCH(TRIM(I8188), ""^\d+\s*min""), ""Unclassified"", IF(I8188 = """", ""NR"", I8188))"),"TV-MA")</f>
        <v>TV-MA</v>
      </c>
      <c r="R8188" s="5" t="str">
        <f t="shared" si="2"/>
        <v>The Age Of Shadows</v>
      </c>
      <c r="S8188" s="5" t="str">
        <f>IFERROR(__xludf.DUMMYFUNCTION("""COMPUTED_VALUE"""),"True: Happy Hearts Day")</f>
        <v>True: Happy Hearts Day</v>
      </c>
      <c r="V8188" s="5"/>
      <c r="Y8188" s="5" t="str">
        <f>IFERROR(__xludf.DUMMYFUNCTION("REGEXEXTRACT(J8188, ""^\d+"")"),"140")</f>
        <v>140</v>
      </c>
      <c r="Z8188" s="5" t="str">
        <f>IFERROR(__xludf.DUMMYFUNCTION("REGEXEXTRACT(J8188, ""[A-Za-z ]+$"")")," min")</f>
        <v> min</v>
      </c>
      <c r="AA8188" s="5" t="str">
        <f>IFERROR(__xludf.DUMMYFUNCTION("IF(REGEXMATCH(Z8188, ""Season""), ""TV Show"", ""Movie"")"),"Movie")</f>
        <v>Movie</v>
      </c>
    </row>
    <row r="8189">
      <c r="A8189" s="1" t="s">
        <v>39335</v>
      </c>
      <c r="B8189" s="1" t="s">
        <v>27</v>
      </c>
      <c r="C8189" s="1" t="s">
        <v>39336</v>
      </c>
      <c r="D8189" s="1" t="s">
        <v>4824</v>
      </c>
      <c r="E8189" s="1" t="s">
        <v>39337</v>
      </c>
      <c r="F8189" s="1" t="s">
        <v>30</v>
      </c>
      <c r="G8189" s="1" t="s">
        <v>8506</v>
      </c>
      <c r="H8189" s="1">
        <v>1995.0</v>
      </c>
      <c r="I8189" s="1" t="s">
        <v>32</v>
      </c>
      <c r="J8189" s="1" t="s">
        <v>519</v>
      </c>
      <c r="K8189" s="1" t="s">
        <v>1099</v>
      </c>
      <c r="L8189" s="1" t="s">
        <v>39338</v>
      </c>
      <c r="M8189" s="2" t="s">
        <v>12</v>
      </c>
      <c r="N8189" s="4">
        <f t="shared" si="1"/>
        <v>44197</v>
      </c>
      <c r="O8189" s="5" t="str">
        <f>IFERROR(__xludf.DUMMYFUNCTION("IF(REGEXMATCH(TRIM(I8189), ""^\d+\s*min""), ""Unclassified"", IF(I8189 = """", ""NR"", I8189))"),"PG-13")</f>
        <v>PG-13</v>
      </c>
      <c r="R8189" s="5" t="str">
        <f t="shared" si="2"/>
        <v>The American President</v>
      </c>
      <c r="S8189" s="5" t="str">
        <f>IFERROR(__xludf.DUMMYFUNCTION("""COMPUTED_VALUE"""),"True: Magical Friends")</f>
        <v>True: Magical Friends</v>
      </c>
      <c r="V8189" s="5"/>
      <c r="Y8189" s="5" t="str">
        <f>IFERROR(__xludf.DUMMYFUNCTION("REGEXEXTRACT(J8189, ""^\d+"")"),"113")</f>
        <v>113</v>
      </c>
      <c r="Z8189" s="5" t="str">
        <f>IFERROR(__xludf.DUMMYFUNCTION("REGEXEXTRACT(J8189, ""[A-Za-z ]+$"")")," min")</f>
        <v> min</v>
      </c>
      <c r="AA8189" s="5" t="str">
        <f>IFERROR(__xludf.DUMMYFUNCTION("IF(REGEXMATCH(Z8189, ""Season""), ""TV Show"", ""Movie"")"),"Movie")</f>
        <v>Movie</v>
      </c>
    </row>
    <row r="8190">
      <c r="A8190" s="1" t="s">
        <v>39339</v>
      </c>
      <c r="B8190" s="1" t="s">
        <v>27</v>
      </c>
      <c r="C8190" s="1" t="s">
        <v>39340</v>
      </c>
      <c r="D8190" s="1" t="s">
        <v>1873</v>
      </c>
      <c r="E8190" s="1" t="s">
        <v>39341</v>
      </c>
      <c r="F8190" s="1" t="s">
        <v>30</v>
      </c>
      <c r="G8190" s="1" t="s">
        <v>16947</v>
      </c>
      <c r="H8190" s="1">
        <v>2005.0</v>
      </c>
      <c r="I8190" s="1" t="s">
        <v>378</v>
      </c>
      <c r="J8190" s="1" t="s">
        <v>1191</v>
      </c>
      <c r="K8190" s="1" t="s">
        <v>1551</v>
      </c>
      <c r="L8190" s="1" t="s">
        <v>39342</v>
      </c>
      <c r="M8190" s="2" t="s">
        <v>12</v>
      </c>
      <c r="N8190" s="4">
        <f t="shared" si="1"/>
        <v>43831</v>
      </c>
      <c r="O8190" s="5" t="str">
        <f>IFERROR(__xludf.DUMMYFUNCTION("IF(REGEXMATCH(TRIM(I8190), ""^\d+\s*min""), ""Unclassified"", IF(I8190 = """", ""NR"", I8190))"),"R")</f>
        <v>R</v>
      </c>
      <c r="R8190" s="5" t="str">
        <f t="shared" si="2"/>
        <v>The Amityville Horror</v>
      </c>
      <c r="S8190" s="5" t="str">
        <f>IFERROR(__xludf.DUMMYFUNCTION("""COMPUTED_VALUE"""),"True: Rainbow Rescue")</f>
        <v>True: Rainbow Rescue</v>
      </c>
      <c r="V8190" s="5"/>
      <c r="Y8190" s="5" t="str">
        <f>IFERROR(__xludf.DUMMYFUNCTION("REGEXEXTRACT(J8190, ""^\d+"")"),"89")</f>
        <v>89</v>
      </c>
      <c r="Z8190" s="5" t="str">
        <f>IFERROR(__xludf.DUMMYFUNCTION("REGEXEXTRACT(J8190, ""[A-Za-z ]+$"")")," min")</f>
        <v> min</v>
      </c>
      <c r="AA8190" s="5" t="str">
        <f>IFERROR(__xludf.DUMMYFUNCTION("IF(REGEXMATCH(Z8190, ""Season""), ""TV Show"", ""Movie"")"),"Movie")</f>
        <v>Movie</v>
      </c>
    </row>
    <row r="8191">
      <c r="A8191" s="1" t="s">
        <v>39343</v>
      </c>
      <c r="B8191" s="1" t="s">
        <v>37</v>
      </c>
      <c r="C8191" s="1" t="s">
        <v>39344</v>
      </c>
      <c r="E8191" s="1" t="s">
        <v>39345</v>
      </c>
      <c r="F8191" s="1" t="s">
        <v>30</v>
      </c>
      <c r="G8191" s="1" t="s">
        <v>31513</v>
      </c>
      <c r="H8191" s="1">
        <v>1967.0</v>
      </c>
      <c r="I8191" s="1" t="s">
        <v>506</v>
      </c>
      <c r="J8191" s="1" t="s">
        <v>3285</v>
      </c>
      <c r="K8191" s="1" t="s">
        <v>26463</v>
      </c>
      <c r="L8191" s="1" t="s">
        <v>39346</v>
      </c>
      <c r="M8191" s="2" t="s">
        <v>12</v>
      </c>
      <c r="N8191" s="1" t="str">
        <f t="shared" si="1"/>
        <v>#N/A</v>
      </c>
      <c r="O8191" s="5" t="str">
        <f>IFERROR(__xludf.DUMMYFUNCTION("IF(REGEXMATCH(TRIM(I8191), ""^\d+\s*min""), ""Unclassified"", IF(I8191 = """", ""NR"", I8191))"),"TV-G")</f>
        <v>TV-G</v>
      </c>
      <c r="R8191" s="5" t="str">
        <f t="shared" si="2"/>
        <v>The Andy Griffith Show</v>
      </c>
      <c r="S8191" s="5" t="str">
        <f>IFERROR(__xludf.DUMMYFUNCTION("""COMPUTED_VALUE"""),"True: Terrific Tales")</f>
        <v>True: Terrific Tales</v>
      </c>
      <c r="V8191" s="5"/>
      <c r="Y8191" s="5" t="str">
        <f>IFERROR(__xludf.DUMMYFUNCTION("REGEXEXTRACT(J8191, ""^\d+"")"),"8")</f>
        <v>8</v>
      </c>
      <c r="Z8191" s="5" t="str">
        <f>IFERROR(__xludf.DUMMYFUNCTION("REGEXEXTRACT(J8191, ""[A-Za-z ]+$"")")," Seasons")</f>
        <v> Seasons</v>
      </c>
      <c r="AA8191" s="5" t="str">
        <f>IFERROR(__xludf.DUMMYFUNCTION("IF(REGEXMATCH(Z8191, ""Season""), ""TV Show"", ""Movie"")"),"TV Show")</f>
        <v>TV Show</v>
      </c>
    </row>
    <row r="8192">
      <c r="A8192" s="1" t="s">
        <v>39347</v>
      </c>
      <c r="B8192" s="1" t="s">
        <v>27</v>
      </c>
      <c r="C8192" s="1" t="s">
        <v>39348</v>
      </c>
      <c r="D8192" s="1" t="s">
        <v>22465</v>
      </c>
      <c r="E8192" s="1" t="s">
        <v>39349</v>
      </c>
      <c r="F8192" s="1" t="s">
        <v>39350</v>
      </c>
      <c r="G8192" s="1" t="s">
        <v>16034</v>
      </c>
      <c r="H8192" s="1">
        <v>2019.0</v>
      </c>
      <c r="I8192" s="1" t="s">
        <v>78</v>
      </c>
      <c r="J8192" s="1" t="s">
        <v>247</v>
      </c>
      <c r="K8192" s="1" t="s">
        <v>137</v>
      </c>
      <c r="L8192" s="1" t="s">
        <v>39351</v>
      </c>
      <c r="M8192" s="2" t="s">
        <v>12</v>
      </c>
      <c r="N8192" s="4">
        <f t="shared" si="1"/>
        <v>43888</v>
      </c>
      <c r="O8192" s="5" t="str">
        <f>IFERROR(__xludf.DUMMYFUNCTION("IF(REGEXMATCH(TRIM(I8192), ""^\d+\s*min""), ""Unclassified"", IF(I8192 = """", ""NR"", I8192))"),"PG")</f>
        <v>PG</v>
      </c>
      <c r="R8192" s="5" t="str">
        <f t="shared" si="2"/>
        <v>The Angry Birds Movie 2</v>
      </c>
      <c r="S8192" s="5" t="str">
        <f>IFERROR(__xludf.DUMMYFUNCTION("""COMPUTED_VALUE"""),"True: Tricky Treat Day")</f>
        <v>True: Tricky Treat Day</v>
      </c>
      <c r="V8192" s="5"/>
      <c r="Y8192" s="5" t="str">
        <f>IFERROR(__xludf.DUMMYFUNCTION("REGEXEXTRACT(J8192, ""^\d+"")"),"97")</f>
        <v>97</v>
      </c>
      <c r="Z8192" s="5" t="str">
        <f>IFERROR(__xludf.DUMMYFUNCTION("REGEXEXTRACT(J8192, ""[A-Za-z ]+$"")")," min")</f>
        <v> min</v>
      </c>
      <c r="AA8192" s="5" t="str">
        <f>IFERROR(__xludf.DUMMYFUNCTION("IF(REGEXMATCH(Z8192, ""Season""), ""TV Show"", ""Movie"")"),"Movie")</f>
        <v>Movie</v>
      </c>
    </row>
    <row r="8193">
      <c r="A8193" s="1" t="s">
        <v>39352</v>
      </c>
      <c r="B8193" s="1" t="s">
        <v>27</v>
      </c>
      <c r="C8193" s="1" t="s">
        <v>39353</v>
      </c>
      <c r="D8193" s="1" t="s">
        <v>6320</v>
      </c>
      <c r="F8193" s="1" t="s">
        <v>30</v>
      </c>
      <c r="G8193" s="1" t="s">
        <v>15789</v>
      </c>
      <c r="H8193" s="1">
        <v>2019.0</v>
      </c>
      <c r="I8193" s="1" t="s">
        <v>42</v>
      </c>
      <c r="J8193" s="1" t="s">
        <v>247</v>
      </c>
      <c r="K8193" s="1" t="s">
        <v>34</v>
      </c>
      <c r="L8193" s="1" t="s">
        <v>39354</v>
      </c>
      <c r="M8193" s="2" t="s">
        <v>12</v>
      </c>
      <c r="N8193" s="4">
        <f t="shared" si="1"/>
        <v>43901</v>
      </c>
      <c r="O8193" s="5" t="str">
        <f>IFERROR(__xludf.DUMMYFUNCTION("IF(REGEXMATCH(TRIM(I8193), ""^\d+\s*min""), ""Unclassified"", IF(I8193 = """", ""NR"", I8193))"),"TV-MA")</f>
        <v>TV-MA</v>
      </c>
      <c r="R8193" s="5" t="str">
        <f t="shared" si="2"/>
        <v>The Animal People</v>
      </c>
      <c r="S8193" s="5" t="str">
        <f>IFERROR(__xludf.DUMMYFUNCTION("""COMPUTED_VALUE"""),"True: Winter Wishes")</f>
        <v>True: Winter Wishes</v>
      </c>
      <c r="V8193" s="5"/>
      <c r="Y8193" s="5" t="str">
        <f>IFERROR(__xludf.DUMMYFUNCTION("REGEXEXTRACT(J8193, ""^\d+"")"),"97")</f>
        <v>97</v>
      </c>
      <c r="Z8193" s="5" t="str">
        <f>IFERROR(__xludf.DUMMYFUNCTION("REGEXEXTRACT(J8193, ""[A-Za-z ]+$"")")," min")</f>
        <v> min</v>
      </c>
      <c r="AA8193" s="5" t="str">
        <f>IFERROR(__xludf.DUMMYFUNCTION("IF(REGEXMATCH(Z8193, ""Season""), ""TV Show"", ""Movie"")"),"Movie")</f>
        <v>Movie</v>
      </c>
    </row>
    <row r="8194">
      <c r="A8194" s="1" t="s">
        <v>39355</v>
      </c>
      <c r="B8194" s="1" t="s">
        <v>27</v>
      </c>
      <c r="C8194" s="1" t="s">
        <v>39356</v>
      </c>
      <c r="D8194" s="1" t="s">
        <v>13776</v>
      </c>
      <c r="E8194" s="1" t="s">
        <v>39357</v>
      </c>
      <c r="F8194" s="1" t="s">
        <v>3309</v>
      </c>
      <c r="G8194" s="1" t="s">
        <v>20426</v>
      </c>
      <c r="H8194" s="1">
        <v>2010.0</v>
      </c>
      <c r="I8194" s="1" t="s">
        <v>97</v>
      </c>
      <c r="J8194" s="1" t="s">
        <v>912</v>
      </c>
      <c r="K8194" s="1" t="s">
        <v>583</v>
      </c>
      <c r="L8194" s="1" t="s">
        <v>39358</v>
      </c>
      <c r="M8194" s="2" t="s">
        <v>12</v>
      </c>
      <c r="N8194" s="4">
        <f t="shared" si="1"/>
        <v>43629</v>
      </c>
      <c r="O8194" s="5" t="str">
        <f>IFERROR(__xludf.DUMMYFUNCTION("IF(REGEXMATCH(TRIM(I8194), ""^\d+\s*min""), ""Unclassified"", IF(I8194 = """", ""NR"", I8194))"),"TV-14")</f>
        <v>TV-14</v>
      </c>
      <c r="R8194" s="5" t="str">
        <f t="shared" si="2"/>
        <v>The Ant'S Scream</v>
      </c>
      <c r="S8194" s="5" t="str">
        <f>IFERROR(__xludf.DUMMYFUNCTION("""COMPUTED_VALUE"""),"True: Wonderful Wishes")</f>
        <v>True: Wonderful Wishes</v>
      </c>
      <c r="V8194" s="5"/>
      <c r="Y8194" s="5" t="str">
        <f>IFERROR(__xludf.DUMMYFUNCTION("REGEXEXTRACT(J8194, ""^\d+"")"),"108")</f>
        <v>108</v>
      </c>
      <c r="Z8194" s="5" t="str">
        <f>IFERROR(__xludf.DUMMYFUNCTION("REGEXEXTRACT(J8194, ""[A-Za-z ]+$"")")," min")</f>
        <v> min</v>
      </c>
      <c r="AA8194" s="5" t="str">
        <f>IFERROR(__xludf.DUMMYFUNCTION("IF(REGEXMATCH(Z8194, ""Season""), ""TV Show"", ""Movie"")"),"Movie")</f>
        <v>Movie</v>
      </c>
    </row>
    <row r="8195">
      <c r="A8195" s="1" t="s">
        <v>39359</v>
      </c>
      <c r="B8195" s="1" t="s">
        <v>37</v>
      </c>
      <c r="C8195" s="1" t="s">
        <v>39360</v>
      </c>
      <c r="E8195" s="1" t="s">
        <v>39361</v>
      </c>
      <c r="F8195" s="1" t="s">
        <v>9219</v>
      </c>
      <c r="G8195" s="1" t="s">
        <v>33528</v>
      </c>
      <c r="H8195" s="1">
        <v>2014.0</v>
      </c>
      <c r="I8195" s="1" t="s">
        <v>136</v>
      </c>
      <c r="J8195" s="1" t="s">
        <v>43</v>
      </c>
      <c r="K8195" s="1" t="s">
        <v>1520</v>
      </c>
      <c r="L8195" s="1" t="s">
        <v>39362</v>
      </c>
      <c r="M8195" s="2" t="s">
        <v>12</v>
      </c>
      <c r="N8195" s="1" t="str">
        <f t="shared" si="1"/>
        <v>#N/A</v>
      </c>
      <c r="O8195" s="5" t="str">
        <f>IFERROR(__xludf.DUMMYFUNCTION("IF(REGEXMATCH(TRIM(I8195), ""^\d+\s*min""), ""Unclassified"", IF(I8195 = """", ""NR"", I8195))"),"TV-PG")</f>
        <v>TV-PG</v>
      </c>
      <c r="R8195" s="5" t="str">
        <f t="shared" si="2"/>
        <v>The Apartment</v>
      </c>
      <c r="S8195" s="5" t="str">
        <f>IFERROR(__xludf.DUMMYFUNCTION("""COMPUTED_VALUE"""),"True: Wuzzle Wegg Day")</f>
        <v>True: Wuzzle Wegg Day</v>
      </c>
      <c r="V8195" s="5"/>
      <c r="Y8195" s="5" t="str">
        <f>IFERROR(__xludf.DUMMYFUNCTION("REGEXEXTRACT(J8195, ""^\d+"")"),"2")</f>
        <v>2</v>
      </c>
      <c r="Z8195" s="5" t="str">
        <f>IFERROR(__xludf.DUMMYFUNCTION("REGEXEXTRACT(J8195, ""[A-Za-z ]+$"")")," Seasons")</f>
        <v> Seasons</v>
      </c>
      <c r="AA8195" s="5" t="str">
        <f>IFERROR(__xludf.DUMMYFUNCTION("IF(REGEXMATCH(Z8195, ""Season""), ""TV Show"", ""Movie"")"),"TV Show")</f>
        <v>TV Show</v>
      </c>
    </row>
    <row r="8196">
      <c r="A8196" s="1" t="s">
        <v>39363</v>
      </c>
      <c r="B8196" s="1" t="s">
        <v>27</v>
      </c>
      <c r="C8196" s="1" t="s">
        <v>39364</v>
      </c>
      <c r="D8196" s="1" t="s">
        <v>7538</v>
      </c>
      <c r="E8196" s="1" t="s">
        <v>39365</v>
      </c>
      <c r="F8196" s="1" t="s">
        <v>39366</v>
      </c>
      <c r="G8196" s="7">
        <v>42865.0</v>
      </c>
      <c r="H8196" s="1">
        <v>2015.0</v>
      </c>
      <c r="I8196" s="1" t="s">
        <v>42</v>
      </c>
      <c r="J8196" s="1" t="s">
        <v>729</v>
      </c>
      <c r="K8196" s="1" t="s">
        <v>583</v>
      </c>
      <c r="L8196" s="1" t="s">
        <v>39367</v>
      </c>
      <c r="M8196" s="2" t="s">
        <v>12</v>
      </c>
      <c r="N8196" s="4">
        <f t="shared" si="1"/>
        <v>42865</v>
      </c>
      <c r="O8196" s="5" t="str">
        <f>IFERROR(__xludf.DUMMYFUNCTION("IF(REGEXMATCH(TRIM(I8196), ""^\d+\s*min""), ""Unclassified"", IF(I8196 = """", ""NR"", I8196))"),"TV-MA")</f>
        <v>TV-MA</v>
      </c>
      <c r="R8196" s="5" t="str">
        <f t="shared" si="2"/>
        <v>The Apostate</v>
      </c>
      <c r="S8196" s="5" t="str">
        <f>IFERROR(__xludf.DUMMYFUNCTION("""COMPUTED_VALUE"""),"Trumbo")</f>
        <v>Trumbo</v>
      </c>
      <c r="V8196" s="5"/>
      <c r="Y8196" s="5" t="str">
        <f>IFERROR(__xludf.DUMMYFUNCTION("REGEXEXTRACT(J8196, ""^\d+"")"),"80")</f>
        <v>80</v>
      </c>
      <c r="Z8196" s="5" t="str">
        <f>IFERROR(__xludf.DUMMYFUNCTION("REGEXEXTRACT(J8196, ""[A-Za-z ]+$"")")," min")</f>
        <v> min</v>
      </c>
      <c r="AA8196" s="5" t="str">
        <f>IFERROR(__xludf.DUMMYFUNCTION("IF(REGEXMATCH(Z8196, ""Season""), ""TV Show"", ""Movie"")"),"Movie")</f>
        <v>Movie</v>
      </c>
    </row>
    <row r="8197">
      <c r="A8197" s="1" t="s">
        <v>39368</v>
      </c>
      <c r="B8197" s="1" t="s">
        <v>27</v>
      </c>
      <c r="C8197" s="1" t="s">
        <v>39369</v>
      </c>
      <c r="D8197" s="1" t="s">
        <v>11726</v>
      </c>
      <c r="E8197" s="1" t="s">
        <v>39370</v>
      </c>
      <c r="F8197" s="1" t="s">
        <v>1979</v>
      </c>
      <c r="G8197" s="1" t="s">
        <v>31467</v>
      </c>
      <c r="H8197" s="1">
        <v>2013.0</v>
      </c>
      <c r="I8197" s="1" t="s">
        <v>378</v>
      </c>
      <c r="J8197" s="1" t="s">
        <v>33</v>
      </c>
      <c r="K8197" s="1" t="s">
        <v>8798</v>
      </c>
      <c r="L8197" s="1" t="s">
        <v>39371</v>
      </c>
      <c r="M8197" s="2" t="s">
        <v>12</v>
      </c>
      <c r="N8197" s="4">
        <f t="shared" si="1"/>
        <v>43442</v>
      </c>
      <c r="O8197" s="5" t="str">
        <f>IFERROR(__xludf.DUMMYFUNCTION("IF(REGEXMATCH(TRIM(I8197), ""^\d+\s*min""), ""Unclassified"", IF(I8197 = """", ""NR"", I8197))"),"R")</f>
        <v>R</v>
      </c>
      <c r="R8197" s="5" t="str">
        <f t="shared" si="2"/>
        <v>The Art Of The Steal</v>
      </c>
      <c r="S8197" s="5" t="str">
        <f>IFERROR(__xludf.DUMMYFUNCTION("""COMPUTED_VALUE"""),"Trump: An American Dream")</f>
        <v>Trump: An American Dream</v>
      </c>
      <c r="V8197" s="5"/>
      <c r="Y8197" s="5" t="str">
        <f>IFERROR(__xludf.DUMMYFUNCTION("REGEXEXTRACT(J8197, ""^\d+"")"),"90")</f>
        <v>90</v>
      </c>
      <c r="Z8197" s="5" t="str">
        <f>IFERROR(__xludf.DUMMYFUNCTION("REGEXEXTRACT(J8197, ""[A-Za-z ]+$"")")," min")</f>
        <v> min</v>
      </c>
      <c r="AA8197" s="5" t="str">
        <f>IFERROR(__xludf.DUMMYFUNCTION("IF(REGEXMATCH(Z8197, ""Season""), ""TV Show"", ""Movie"")"),"Movie")</f>
        <v>Movie</v>
      </c>
    </row>
    <row r="8198">
      <c r="A8198" s="1" t="s">
        <v>39372</v>
      </c>
      <c r="B8198" s="1" t="s">
        <v>27</v>
      </c>
      <c r="C8198" s="1" t="s">
        <v>39373</v>
      </c>
      <c r="D8198" s="1" t="s">
        <v>4871</v>
      </c>
      <c r="E8198" s="1" t="s">
        <v>39374</v>
      </c>
      <c r="F8198" s="1" t="s">
        <v>897</v>
      </c>
      <c r="G8198" s="1" t="s">
        <v>13089</v>
      </c>
      <c r="H8198" s="1">
        <v>2000.0</v>
      </c>
      <c r="I8198" s="1" t="s">
        <v>378</v>
      </c>
      <c r="J8198" s="1" t="s">
        <v>743</v>
      </c>
      <c r="K8198" s="1" t="s">
        <v>380</v>
      </c>
      <c r="L8198" s="1" t="s">
        <v>39375</v>
      </c>
      <c r="M8198" s="2" t="s">
        <v>12</v>
      </c>
      <c r="N8198" s="4">
        <f t="shared" si="1"/>
        <v>44013</v>
      </c>
      <c r="O8198" s="5" t="str">
        <f>IFERROR(__xludf.DUMMYFUNCTION("IF(REGEXMATCH(TRIM(I8198), ""^\d+\s*min""), ""Unclassified"", IF(I8198 = """", ""NR"", I8198))"),"R")</f>
        <v>R</v>
      </c>
      <c r="R8198" s="5" t="str">
        <f t="shared" si="2"/>
        <v>The Art Of War</v>
      </c>
      <c r="S8198" s="5" t="str">
        <f>IFERROR(__xludf.DUMMYFUNCTION("""COMPUTED_VALUE"""),"Truth Or Dare")</f>
        <v>Truth Or Dare</v>
      </c>
      <c r="V8198" s="5"/>
      <c r="Y8198" s="5" t="str">
        <f>IFERROR(__xludf.DUMMYFUNCTION("REGEXEXTRACT(J8198, ""^\d+"")"),"117")</f>
        <v>117</v>
      </c>
      <c r="Z8198" s="5" t="str">
        <f>IFERROR(__xludf.DUMMYFUNCTION("REGEXEXTRACT(J8198, ""[A-Za-z ]+$"")")," min")</f>
        <v> min</v>
      </c>
      <c r="AA8198" s="5" t="str">
        <f>IFERROR(__xludf.DUMMYFUNCTION("IF(REGEXMATCH(Z8198, ""Season""), ""TV Show"", ""Movie"")"),"Movie")</f>
        <v>Movie</v>
      </c>
    </row>
    <row r="8199">
      <c r="A8199" s="1" t="s">
        <v>39376</v>
      </c>
      <c r="B8199" s="1" t="s">
        <v>27</v>
      </c>
      <c r="C8199" s="1" t="s">
        <v>39377</v>
      </c>
      <c r="D8199" s="1" t="s">
        <v>3753</v>
      </c>
      <c r="E8199" s="1" t="s">
        <v>39378</v>
      </c>
      <c r="F8199" s="1" t="s">
        <v>39379</v>
      </c>
      <c r="G8199" s="1" t="s">
        <v>15712</v>
      </c>
      <c r="H8199" s="1">
        <v>2016.0</v>
      </c>
      <c r="I8199" s="1" t="s">
        <v>378</v>
      </c>
      <c r="J8199" s="1" t="s">
        <v>465</v>
      </c>
      <c r="K8199" s="1" t="s">
        <v>380</v>
      </c>
      <c r="L8199" s="1" t="s">
        <v>39380</v>
      </c>
      <c r="M8199" s="2" t="s">
        <v>12</v>
      </c>
      <c r="N8199" s="4">
        <f t="shared" si="1"/>
        <v>43905</v>
      </c>
      <c r="O8199" s="5" t="str">
        <f>IFERROR(__xludf.DUMMYFUNCTION("IF(REGEXMATCH(TRIM(I8199), ""^\d+\s*min""), ""Unclassified"", IF(I8199 = """", ""NR"", I8199))"),"R")</f>
        <v>R</v>
      </c>
      <c r="R8199" s="5" t="str">
        <f t="shared" si="2"/>
        <v>The Assignment</v>
      </c>
      <c r="S8199" s="5" t="str">
        <f>IFERROR(__xludf.DUMMYFUNCTION("""COMPUTED_VALUE"""),"Tu Hai Mera Sunday")</f>
        <v>Tu Hai Mera Sunday</v>
      </c>
      <c r="V8199" s="5"/>
      <c r="Y8199" s="5" t="str">
        <f>IFERROR(__xludf.DUMMYFUNCTION("REGEXEXTRACT(J8199, ""^\d+"")"),"95")</f>
        <v>95</v>
      </c>
      <c r="Z8199" s="5" t="str">
        <f>IFERROR(__xludf.DUMMYFUNCTION("REGEXEXTRACT(J8199, ""[A-Za-z ]+$"")")," min")</f>
        <v> min</v>
      </c>
      <c r="AA8199" s="5" t="str">
        <f>IFERROR(__xludf.DUMMYFUNCTION("IF(REGEXMATCH(Z8199, ""Season""), ""TV Show"", ""Movie"")"),"Movie")</f>
        <v>Movie</v>
      </c>
    </row>
    <row r="8200">
      <c r="A8200" s="1" t="s">
        <v>39381</v>
      </c>
      <c r="B8200" s="1" t="s">
        <v>27</v>
      </c>
      <c r="C8200" s="1" t="s">
        <v>39382</v>
      </c>
      <c r="D8200" s="1" t="s">
        <v>1775</v>
      </c>
      <c r="E8200" s="1" t="s">
        <v>39383</v>
      </c>
      <c r="F8200" s="1" t="s">
        <v>686</v>
      </c>
      <c r="G8200" s="1" t="s">
        <v>22770</v>
      </c>
      <c r="H8200" s="1">
        <v>2016.0</v>
      </c>
      <c r="I8200" s="1" t="s">
        <v>378</v>
      </c>
      <c r="J8200" s="1" t="s">
        <v>1144</v>
      </c>
      <c r="K8200" s="1" t="s">
        <v>18588</v>
      </c>
      <c r="L8200" s="1" t="s">
        <v>39384</v>
      </c>
      <c r="M8200" s="2" t="s">
        <v>12</v>
      </c>
      <c r="N8200" s="4">
        <f t="shared" si="1"/>
        <v>43464</v>
      </c>
      <c r="O8200" s="5" t="str">
        <f>IFERROR(__xludf.DUMMYFUNCTION("IF(REGEXMATCH(TRIM(I8200), ""^\d+\s*min""), ""Unclassified"", IF(I8200 = """", ""NR"", I8200))"),"R")</f>
        <v>R</v>
      </c>
      <c r="R8200" s="5" t="str">
        <f t="shared" si="2"/>
        <v>The Autopsy Of Jane Doe</v>
      </c>
      <c r="S8200" s="5" t="str">
        <f>IFERROR(__xludf.DUMMYFUNCTION("""COMPUTED_VALUE"""),"Tuca &amp; Bertie")</f>
        <v>Tuca &amp; Bertie</v>
      </c>
      <c r="V8200" s="5"/>
      <c r="Y8200" s="5" t="str">
        <f>IFERROR(__xludf.DUMMYFUNCTION("REGEXEXTRACT(J8200, ""^\d+"")"),"86")</f>
        <v>86</v>
      </c>
      <c r="Z8200" s="5" t="str">
        <f>IFERROR(__xludf.DUMMYFUNCTION("REGEXEXTRACT(J8200, ""[A-Za-z ]+$"")")," min")</f>
        <v> min</v>
      </c>
      <c r="AA8200" s="5" t="str">
        <f>IFERROR(__xludf.DUMMYFUNCTION("IF(REGEXMATCH(Z8200, ""Season""), ""TV Show"", ""Movie"")"),"Movie")</f>
        <v>Movie</v>
      </c>
    </row>
    <row r="8201">
      <c r="A8201" s="1" t="s">
        <v>39385</v>
      </c>
      <c r="B8201" s="1" t="s">
        <v>37</v>
      </c>
      <c r="C8201" s="1" t="s">
        <v>39386</v>
      </c>
      <c r="G8201" s="1" t="s">
        <v>17643</v>
      </c>
      <c r="H8201" s="1">
        <v>2009.0</v>
      </c>
      <c r="I8201" s="1" t="s">
        <v>97</v>
      </c>
      <c r="J8201" s="1" t="s">
        <v>51</v>
      </c>
      <c r="K8201" s="1" t="s">
        <v>4008</v>
      </c>
      <c r="L8201" s="1" t="s">
        <v>39387</v>
      </c>
      <c r="M8201" s="2" t="s">
        <v>12</v>
      </c>
      <c r="N8201" s="4">
        <f t="shared" si="1"/>
        <v>43800</v>
      </c>
      <c r="O8201" s="5" t="str">
        <f>IFERROR(__xludf.DUMMYFUNCTION("IF(REGEXMATCH(TRIM(I8201), ""^\d+\s*min""), ""Unclassified"", IF(I8201 = """", ""NR"", I8201))"),"TV-14")</f>
        <v>TV-14</v>
      </c>
      <c r="R8201" s="5" t="str">
        <f t="shared" si="2"/>
        <v>The Bachelor</v>
      </c>
      <c r="S8201" s="5" t="str">
        <f>IFERROR(__xludf.DUMMYFUNCTION("""COMPUTED_VALUE"""),"Tucker And Dale Vs. Evil")</f>
        <v>Tucker And Dale Vs. Evil</v>
      </c>
      <c r="V8201" s="5"/>
      <c r="Y8201" s="5" t="str">
        <f>IFERROR(__xludf.DUMMYFUNCTION("REGEXEXTRACT(J8201, ""^\d+"")"),"1")</f>
        <v>1</v>
      </c>
      <c r="Z8201" s="5" t="str">
        <f>IFERROR(__xludf.DUMMYFUNCTION("REGEXEXTRACT(J8201, ""[A-Za-z ]+$"")")," Season")</f>
        <v> Season</v>
      </c>
      <c r="AA8201" s="5" t="str">
        <f>IFERROR(__xludf.DUMMYFUNCTION("IF(REGEXMATCH(Z8201, ""Season""), ""TV Show"", ""Movie"")"),"TV Show")</f>
        <v>TV Show</v>
      </c>
    </row>
    <row r="8202">
      <c r="A8202" s="1" t="s">
        <v>39388</v>
      </c>
      <c r="B8202" s="1" t="s">
        <v>27</v>
      </c>
      <c r="C8202" s="1" t="s">
        <v>39389</v>
      </c>
      <c r="D8202" s="1" t="s">
        <v>13244</v>
      </c>
      <c r="E8202" s="1" t="s">
        <v>39390</v>
      </c>
      <c r="F8202" s="1" t="s">
        <v>30</v>
      </c>
      <c r="G8202" s="1" t="s">
        <v>26204</v>
      </c>
      <c r="H8202" s="1">
        <v>2017.0</v>
      </c>
      <c r="I8202" s="1" t="s">
        <v>97</v>
      </c>
      <c r="J8202" s="1" t="s">
        <v>433</v>
      </c>
      <c r="K8202" s="1" t="s">
        <v>805</v>
      </c>
      <c r="L8202" s="1" t="s">
        <v>39391</v>
      </c>
      <c r="M8202" s="2" t="s">
        <v>12</v>
      </c>
      <c r="N8202" s="4">
        <f t="shared" si="1"/>
        <v>43152</v>
      </c>
      <c r="O8202" s="5" t="str">
        <f>IFERROR(__xludf.DUMMYFUNCTION("IF(REGEXMATCH(TRIM(I8202), ""^\d+\s*min""), ""Unclassified"", IF(I8202 = """", ""NR"", I8202))"),"TV-14")</f>
        <v>TV-14</v>
      </c>
      <c r="R8202" s="5" t="str">
        <f t="shared" si="2"/>
        <v>The Bachelors</v>
      </c>
      <c r="S8202" s="5" t="str">
        <f>IFERROR(__xludf.DUMMYFUNCTION("""COMPUTED_VALUE"""),"Tuesdays &amp; Fridays")</f>
        <v>Tuesdays &amp; Fridays</v>
      </c>
      <c r="V8202" s="5"/>
      <c r="Y8202" s="5" t="str">
        <f>IFERROR(__xludf.DUMMYFUNCTION("REGEXEXTRACT(J8202, ""^\d+"")"),"100")</f>
        <v>100</v>
      </c>
      <c r="Z8202" s="5" t="str">
        <f>IFERROR(__xludf.DUMMYFUNCTION("REGEXEXTRACT(J8202, ""[A-Za-z ]+$"")")," min")</f>
        <v> min</v>
      </c>
      <c r="AA8202" s="5" t="str">
        <f>IFERROR(__xludf.DUMMYFUNCTION("IF(REGEXMATCH(Z8202, ""Season""), ""TV Show"", ""Movie"")"),"Movie")</f>
        <v>Movie</v>
      </c>
    </row>
    <row r="8203">
      <c r="A8203" s="1" t="s">
        <v>39392</v>
      </c>
      <c r="B8203" s="1" t="s">
        <v>27</v>
      </c>
      <c r="C8203" s="1" t="s">
        <v>39393</v>
      </c>
      <c r="D8203" s="1" t="s">
        <v>7012</v>
      </c>
      <c r="E8203" s="1" t="s">
        <v>39394</v>
      </c>
      <c r="F8203" s="1" t="s">
        <v>96</v>
      </c>
      <c r="G8203" s="1" t="s">
        <v>22981</v>
      </c>
      <c r="H8203" s="1">
        <v>2015.0</v>
      </c>
      <c r="I8203" s="1" t="s">
        <v>42</v>
      </c>
      <c r="J8203" s="1" t="s">
        <v>630</v>
      </c>
      <c r="K8203" s="1" t="s">
        <v>239</v>
      </c>
      <c r="L8203" s="1" t="s">
        <v>39395</v>
      </c>
      <c r="M8203" s="2" t="s">
        <v>12</v>
      </c>
      <c r="N8203" s="4">
        <f t="shared" si="1"/>
        <v>43449</v>
      </c>
      <c r="O8203" s="5" t="str">
        <f>IFERROR(__xludf.DUMMYFUNCTION("IF(REGEXMATCH(TRIM(I8203), ""^\d+\s*min""), ""Unclassified"", IF(I8203 = """", ""NR"", I8203))"),"TV-MA")</f>
        <v>TV-MA</v>
      </c>
      <c r="R8203" s="5" t="str">
        <f t="shared" si="2"/>
        <v>The Bad Education Movie</v>
      </c>
      <c r="S8203" s="5" t="str">
        <f>IFERROR(__xludf.DUMMYFUNCTION("""COMPUTED_VALUE"""),"Tughlaq Durbar")</f>
        <v>Tughlaq Durbar</v>
      </c>
      <c r="V8203" s="5"/>
      <c r="Y8203" s="5" t="str">
        <f>IFERROR(__xludf.DUMMYFUNCTION("REGEXEXTRACT(J8203, ""^\d+"")"),"87")</f>
        <v>87</v>
      </c>
      <c r="Z8203" s="5" t="str">
        <f>IFERROR(__xludf.DUMMYFUNCTION("REGEXEXTRACT(J8203, ""[A-Za-z ]+$"")")," min")</f>
        <v> min</v>
      </c>
      <c r="AA8203" s="5" t="str">
        <f>IFERROR(__xludf.DUMMYFUNCTION("IF(REGEXMATCH(Z8203, ""Season""), ""TV Show"", ""Movie"")"),"Movie")</f>
        <v>Movie</v>
      </c>
    </row>
    <row r="8204">
      <c r="A8204" s="1" t="s">
        <v>39396</v>
      </c>
      <c r="B8204" s="1" t="s">
        <v>27</v>
      </c>
      <c r="C8204" s="1" t="s">
        <v>39397</v>
      </c>
      <c r="D8204" s="1" t="s">
        <v>12636</v>
      </c>
      <c r="F8204" s="1" t="s">
        <v>30</v>
      </c>
      <c r="G8204" s="1" t="s">
        <v>28377</v>
      </c>
      <c r="H8204" s="1">
        <v>2016.0</v>
      </c>
      <c r="I8204" s="1" t="s">
        <v>42</v>
      </c>
      <c r="J8204" s="1" t="s">
        <v>1091</v>
      </c>
      <c r="K8204" s="1" t="s">
        <v>34</v>
      </c>
      <c r="L8204" s="1" t="s">
        <v>39398</v>
      </c>
      <c r="M8204" s="2" t="s">
        <v>12</v>
      </c>
      <c r="N8204" s="4">
        <f t="shared" si="1"/>
        <v>42826</v>
      </c>
      <c r="O8204" s="5" t="str">
        <f>IFERROR(__xludf.DUMMYFUNCTION("IF(REGEXMATCH(TRIM(I8204), ""^\d+\s*min""), ""Unclassified"", IF(I8204 = """", ""NR"", I8204))"),"TV-MA")</f>
        <v>TV-MA</v>
      </c>
      <c r="R8204" s="5" t="str">
        <f t="shared" si="2"/>
        <v>The Bad Kids</v>
      </c>
      <c r="S8204" s="5" t="str">
        <f>IFERROR(__xludf.DUMMYFUNCTION("""COMPUTED_VALUE"""),"Tughlaq Durbar (Telugu)")</f>
        <v>Tughlaq Durbar (Telugu)</v>
      </c>
      <c r="V8204" s="5"/>
      <c r="Y8204" s="5" t="str">
        <f>IFERROR(__xludf.DUMMYFUNCTION("REGEXEXTRACT(J8204, ""^\d+"")"),"101")</f>
        <v>101</v>
      </c>
      <c r="Z8204" s="5" t="str">
        <f>IFERROR(__xludf.DUMMYFUNCTION("REGEXEXTRACT(J8204, ""[A-Za-z ]+$"")")," min")</f>
        <v> min</v>
      </c>
      <c r="AA8204" s="5" t="str">
        <f>IFERROR(__xludf.DUMMYFUNCTION("IF(REGEXMATCH(Z8204, ""Season""), ""TV Show"", ""Movie"")"),"Movie")</f>
        <v>Movie</v>
      </c>
    </row>
    <row r="8205">
      <c r="A8205" s="1" t="s">
        <v>39399</v>
      </c>
      <c r="B8205" s="1" t="s">
        <v>27</v>
      </c>
      <c r="C8205" s="1" t="s">
        <v>39400</v>
      </c>
      <c r="D8205" s="1" t="s">
        <v>11517</v>
      </c>
      <c r="E8205" s="1" t="s">
        <v>39401</v>
      </c>
      <c r="F8205" s="1" t="s">
        <v>1119</v>
      </c>
      <c r="G8205" s="1" t="s">
        <v>24803</v>
      </c>
      <c r="H8205" s="1">
        <v>1993.0</v>
      </c>
      <c r="I8205" s="1" t="s">
        <v>97</v>
      </c>
      <c r="J8205" s="1" t="s">
        <v>490</v>
      </c>
      <c r="K8205" s="1" t="s">
        <v>1066</v>
      </c>
      <c r="L8205" s="1" t="s">
        <v>39402</v>
      </c>
      <c r="M8205" s="2" t="s">
        <v>12</v>
      </c>
      <c r="N8205" s="4">
        <f t="shared" si="1"/>
        <v>43328</v>
      </c>
      <c r="O8205" s="5" t="str">
        <f>IFERROR(__xludf.DUMMYFUNCTION("IF(REGEXMATCH(TRIM(I8205), ""^\d+\s*min""), ""Unclassified"", IF(I8205 = """", ""NR"", I8205))"),"TV-14")</f>
        <v>TV-14</v>
      </c>
      <c r="R8205" s="5" t="str">
        <f t="shared" si="2"/>
        <v>The Bare-Footed Kid</v>
      </c>
      <c r="S8205" s="5" t="str">
        <f>IFERROR(__xludf.DUMMYFUNCTION("""COMPUTED_VALUE"""),"Tukaram")</f>
        <v>Tukaram</v>
      </c>
      <c r="V8205" s="5"/>
      <c r="Y8205" s="5" t="str">
        <f>IFERROR(__xludf.DUMMYFUNCTION("REGEXEXTRACT(J8205, ""^\d+"")"),"83")</f>
        <v>83</v>
      </c>
      <c r="Z8205" s="5" t="str">
        <f>IFERROR(__xludf.DUMMYFUNCTION("REGEXEXTRACT(J8205, ""[A-Za-z ]+$"")")," min")</f>
        <v> min</v>
      </c>
      <c r="AA8205" s="5" t="str">
        <f>IFERROR(__xludf.DUMMYFUNCTION("IF(REGEXMATCH(Z8205, ""Season""), ""TV Show"", ""Movie"")"),"Movie")</f>
        <v>Movie</v>
      </c>
    </row>
    <row r="8206">
      <c r="A8206" s="1" t="s">
        <v>39403</v>
      </c>
      <c r="B8206" s="1" t="s">
        <v>27</v>
      </c>
      <c r="C8206" s="1" t="s">
        <v>39404</v>
      </c>
      <c r="D8206" s="1" t="s">
        <v>3804</v>
      </c>
      <c r="E8206" s="1" t="s">
        <v>39405</v>
      </c>
      <c r="F8206" s="1" t="s">
        <v>30</v>
      </c>
      <c r="G8206" s="1" t="s">
        <v>36616</v>
      </c>
      <c r="H8206" s="1">
        <v>2018.0</v>
      </c>
      <c r="I8206" s="1" t="s">
        <v>42</v>
      </c>
      <c r="J8206" s="1" t="s">
        <v>1191</v>
      </c>
      <c r="K8206" s="1" t="s">
        <v>3768</v>
      </c>
      <c r="L8206" s="1" t="s">
        <v>39406</v>
      </c>
      <c r="M8206" s="2" t="s">
        <v>12</v>
      </c>
      <c r="N8206" s="4">
        <f t="shared" si="1"/>
        <v>43564</v>
      </c>
      <c r="O8206" s="5" t="str">
        <f>IFERROR(__xludf.DUMMYFUNCTION("IF(REGEXMATCH(TRIM(I8206), ""^\d+\s*min""), ""Unclassified"", IF(I8206 = """", ""NR"", I8206))"),"TV-MA")</f>
        <v>TV-MA</v>
      </c>
      <c r="R8206" s="5" t="str">
        <f t="shared" si="2"/>
        <v>The Basement</v>
      </c>
      <c r="S8206" s="5" t="str">
        <f>IFERROR(__xludf.DUMMYFUNCTION("""COMPUTED_VALUE"""),"Tum Milo Toh Sahi")</f>
        <v>Tum Milo Toh Sahi</v>
      </c>
      <c r="V8206" s="5"/>
      <c r="Y8206" s="5" t="str">
        <f>IFERROR(__xludf.DUMMYFUNCTION("REGEXEXTRACT(J8206, ""^\d+"")"),"89")</f>
        <v>89</v>
      </c>
      <c r="Z8206" s="5" t="str">
        <f>IFERROR(__xludf.DUMMYFUNCTION("REGEXEXTRACT(J8206, ""[A-Za-z ]+$"")")," min")</f>
        <v> min</v>
      </c>
      <c r="AA8206" s="5" t="str">
        <f>IFERROR(__xludf.DUMMYFUNCTION("IF(REGEXMATCH(Z8206, ""Season""), ""TV Show"", ""Movie"")"),"Movie")</f>
        <v>Movie</v>
      </c>
    </row>
    <row r="8207">
      <c r="A8207" s="1" t="s">
        <v>39407</v>
      </c>
      <c r="B8207" s="1" t="s">
        <v>27</v>
      </c>
      <c r="C8207" s="1" t="s">
        <v>39408</v>
      </c>
      <c r="D8207" s="1" t="s">
        <v>11301</v>
      </c>
      <c r="E8207" s="1" t="s">
        <v>39409</v>
      </c>
      <c r="F8207" s="1" t="s">
        <v>30</v>
      </c>
      <c r="G8207" s="1" t="s">
        <v>28421</v>
      </c>
      <c r="H8207" s="1">
        <v>1942.0</v>
      </c>
      <c r="I8207" s="1" t="s">
        <v>97</v>
      </c>
      <c r="J8207" s="1" t="s">
        <v>39410</v>
      </c>
      <c r="K8207" s="1" t="s">
        <v>35403</v>
      </c>
      <c r="L8207" s="1" t="s">
        <v>39411</v>
      </c>
      <c r="M8207" s="2" t="s">
        <v>12</v>
      </c>
      <c r="N8207" s="4">
        <f t="shared" si="1"/>
        <v>42825</v>
      </c>
      <c r="O8207" s="5" t="str">
        <f>IFERROR(__xludf.DUMMYFUNCTION("IF(REGEXMATCH(TRIM(I8207), ""^\d+\s*min""), ""Unclassified"", IF(I8207 = """", ""NR"", I8207))"),"TV-14")</f>
        <v>TV-14</v>
      </c>
      <c r="R8207" s="5" t="str">
        <f t="shared" si="2"/>
        <v>The Battle Of Midway</v>
      </c>
      <c r="S8207" s="5" t="str">
        <f>IFERROR(__xludf.DUMMYFUNCTION("""COMPUTED_VALUE"""),"Tumi Or Not Tumi")</f>
        <v>Tumi Or Not Tumi</v>
      </c>
      <c r="V8207" s="5"/>
      <c r="Y8207" s="5" t="str">
        <f>IFERROR(__xludf.DUMMYFUNCTION("REGEXEXTRACT(J8207, ""^\d+"")"),"18")</f>
        <v>18</v>
      </c>
      <c r="Z8207" s="5" t="str">
        <f>IFERROR(__xludf.DUMMYFUNCTION("REGEXEXTRACT(J8207, ""[A-Za-z ]+$"")")," min")</f>
        <v> min</v>
      </c>
      <c r="AA8207" s="5" t="str">
        <f>IFERROR(__xludf.DUMMYFUNCTION("IF(REGEXMATCH(Z8207, ""Season""), ""TV Show"", ""Movie"")"),"Movie")</f>
        <v>Movie</v>
      </c>
    </row>
    <row r="8208">
      <c r="A8208" s="1" t="s">
        <v>39412</v>
      </c>
      <c r="B8208" s="1" t="s">
        <v>37</v>
      </c>
      <c r="C8208" s="1" t="s">
        <v>39413</v>
      </c>
      <c r="E8208" s="1" t="s">
        <v>39414</v>
      </c>
      <c r="G8208" s="1" t="s">
        <v>27242</v>
      </c>
      <c r="H8208" s="1">
        <v>2012.0</v>
      </c>
      <c r="I8208" s="1" t="s">
        <v>42</v>
      </c>
      <c r="J8208" s="1" t="s">
        <v>51</v>
      </c>
      <c r="K8208" s="1" t="s">
        <v>402</v>
      </c>
      <c r="L8208" s="1" t="s">
        <v>39415</v>
      </c>
      <c r="M8208" s="2" t="s">
        <v>12</v>
      </c>
      <c r="N8208" s="4">
        <f t="shared" si="1"/>
        <v>42996</v>
      </c>
      <c r="O8208" s="5" t="str">
        <f>IFERROR(__xludf.DUMMYFUNCTION("IF(REGEXMATCH(TRIM(I8208), ""^\d+\s*min""), ""Unclassified"", IF(I8208 = """", ""NR"", I8208))"),"TV-MA")</f>
        <v>TV-MA</v>
      </c>
      <c r="R8208" s="5" t="str">
        <f t="shared" si="2"/>
        <v>The Beat</v>
      </c>
      <c r="S8208" s="5" t="str">
        <f>IFERROR(__xludf.DUMMYFUNCTION("""COMPUTED_VALUE"""),"Tuna Girl")</f>
        <v>Tuna Girl</v>
      </c>
      <c r="V8208" s="5"/>
      <c r="Y8208" s="5" t="str">
        <f>IFERROR(__xludf.DUMMYFUNCTION("REGEXEXTRACT(J8208, ""^\d+"")"),"1")</f>
        <v>1</v>
      </c>
      <c r="Z8208" s="5" t="str">
        <f>IFERROR(__xludf.DUMMYFUNCTION("REGEXEXTRACT(J8208, ""[A-Za-z ]+$"")")," Season")</f>
        <v> Season</v>
      </c>
      <c r="AA8208" s="5" t="str">
        <f>IFERROR(__xludf.DUMMYFUNCTION("IF(REGEXMATCH(Z8208, ""Season""), ""TV Show"", ""Movie"")"),"TV Show")</f>
        <v>TV Show</v>
      </c>
    </row>
    <row r="8209">
      <c r="A8209" s="1" t="s">
        <v>39416</v>
      </c>
      <c r="B8209" s="1" t="s">
        <v>37</v>
      </c>
      <c r="C8209" s="1" t="s">
        <v>39417</v>
      </c>
      <c r="D8209" s="1" t="s">
        <v>7312</v>
      </c>
      <c r="F8209" s="1" t="s">
        <v>1992</v>
      </c>
      <c r="G8209" s="1" t="s">
        <v>29154</v>
      </c>
      <c r="H8209" s="1">
        <v>2016.0</v>
      </c>
      <c r="I8209" s="1" t="s">
        <v>136</v>
      </c>
      <c r="J8209" s="1" t="s">
        <v>51</v>
      </c>
      <c r="K8209" s="1" t="s">
        <v>3350</v>
      </c>
      <c r="L8209" s="1" t="s">
        <v>39418</v>
      </c>
      <c r="M8209" s="2" t="s">
        <v>12</v>
      </c>
      <c r="N8209" s="4">
        <f t="shared" si="1"/>
        <v>42685</v>
      </c>
      <c r="O8209" s="5" t="str">
        <f>IFERROR(__xludf.DUMMYFUNCTION("IF(REGEXMATCH(TRIM(I8209), ""^\d+\s*min""), ""Unclassified"", IF(I8209 = """", ""NR"", I8209))"),"TV-PG")</f>
        <v>TV-PG</v>
      </c>
      <c r="R8209" s="5" t="str">
        <f t="shared" si="2"/>
        <v>The Beginning Of Life: The Series</v>
      </c>
      <c r="S8209" s="5" t="str">
        <f>IFERROR(__xludf.DUMMYFUNCTION("""COMPUTED_VALUE"""),"Tundukkan Playboy Itu")</f>
        <v>Tundukkan Playboy Itu</v>
      </c>
      <c r="V8209" s="5"/>
      <c r="Y8209" s="5" t="str">
        <f>IFERROR(__xludf.DUMMYFUNCTION("REGEXEXTRACT(J8209, ""^\d+"")"),"1")</f>
        <v>1</v>
      </c>
      <c r="Z8209" s="5" t="str">
        <f>IFERROR(__xludf.DUMMYFUNCTION("REGEXEXTRACT(J8209, ""[A-Za-z ]+$"")")," Season")</f>
        <v> Season</v>
      </c>
      <c r="AA8209" s="5" t="str">
        <f>IFERROR(__xludf.DUMMYFUNCTION("IF(REGEXMATCH(Z8209, ""Season""), ""TV Show"", ""Movie"")"),"TV Show")</f>
        <v>TV Show</v>
      </c>
    </row>
    <row r="8210">
      <c r="A8210" s="1" t="s">
        <v>39419</v>
      </c>
      <c r="B8210" s="1" t="s">
        <v>37</v>
      </c>
      <c r="C8210" s="1" t="s">
        <v>39420</v>
      </c>
      <c r="E8210" s="1" t="s">
        <v>39421</v>
      </c>
      <c r="F8210" s="1" t="s">
        <v>96</v>
      </c>
      <c r="G8210" s="1" t="s">
        <v>22239</v>
      </c>
      <c r="H8210" s="1">
        <v>2011.0</v>
      </c>
      <c r="I8210" s="1" t="s">
        <v>97</v>
      </c>
      <c r="J8210" s="1" t="s">
        <v>51</v>
      </c>
      <c r="K8210" s="1" t="s">
        <v>29581</v>
      </c>
      <c r="L8210" s="1" t="s">
        <v>39422</v>
      </c>
      <c r="M8210" s="2" t="s">
        <v>12</v>
      </c>
      <c r="N8210" s="4">
        <f t="shared" si="1"/>
        <v>43497</v>
      </c>
      <c r="O8210" s="5" t="str">
        <f>IFERROR(__xludf.DUMMYFUNCTION("IF(REGEXMATCH(TRIM(I8210), ""^\d+\s*min""), ""Unclassified"", IF(I8210 = """", ""NR"", I8210))"),"TV-14")</f>
        <v>TV-14</v>
      </c>
      <c r="R8210" s="5" t="str">
        <f t="shared" si="2"/>
        <v>The Bible'S Buried Secrets</v>
      </c>
      <c r="S8210" s="5" t="str">
        <f>IFERROR(__xludf.DUMMYFUNCTION("""COMPUTED_VALUE"""),"Tune In For Love")</f>
        <v>Tune In For Love</v>
      </c>
      <c r="V8210" s="5"/>
      <c r="Y8210" s="5" t="str">
        <f>IFERROR(__xludf.DUMMYFUNCTION("REGEXEXTRACT(J8210, ""^\d+"")"),"1")</f>
        <v>1</v>
      </c>
      <c r="Z8210" s="5" t="str">
        <f>IFERROR(__xludf.DUMMYFUNCTION("REGEXEXTRACT(J8210, ""[A-Za-z ]+$"")")," Season")</f>
        <v> Season</v>
      </c>
      <c r="AA8210" s="5" t="str">
        <f>IFERROR(__xludf.DUMMYFUNCTION("IF(REGEXMATCH(Z8210, ""Season""), ""TV Show"", ""Movie"")"),"TV Show")</f>
        <v>TV Show</v>
      </c>
    </row>
    <row r="8211">
      <c r="A8211" s="1" t="s">
        <v>39423</v>
      </c>
      <c r="B8211" s="1" t="s">
        <v>37</v>
      </c>
      <c r="C8211" s="1" t="s">
        <v>39424</v>
      </c>
      <c r="E8211" s="1" t="s">
        <v>39425</v>
      </c>
      <c r="F8211" s="1" t="s">
        <v>96</v>
      </c>
      <c r="G8211" s="1" t="s">
        <v>22239</v>
      </c>
      <c r="H8211" s="1">
        <v>2015.0</v>
      </c>
      <c r="I8211" s="1" t="s">
        <v>136</v>
      </c>
      <c r="J8211" s="1" t="s">
        <v>51</v>
      </c>
      <c r="K8211" s="1" t="s">
        <v>99</v>
      </c>
      <c r="L8211" s="1" t="s">
        <v>39426</v>
      </c>
      <c r="M8211" s="2" t="s">
        <v>12</v>
      </c>
      <c r="N8211" s="4">
        <f t="shared" si="1"/>
        <v>43497</v>
      </c>
      <c r="O8211" s="5" t="str">
        <f>IFERROR(__xludf.DUMMYFUNCTION("IF(REGEXMATCH(TRIM(I8211), ""^\d+\s*min""), ""Unclassified"", IF(I8211 = """", ""NR"", I8211))"),"TV-PG")</f>
        <v>TV-PG</v>
      </c>
      <c r="R8211" s="5" t="str">
        <f t="shared" si="2"/>
        <v>The Big Catch</v>
      </c>
      <c r="S8211" s="5" t="str">
        <f>IFERROR(__xludf.DUMMYFUNCTION("""COMPUTED_VALUE"""),"Tunisian Victory")</f>
        <v>Tunisian Victory</v>
      </c>
      <c r="V8211" s="5"/>
      <c r="Y8211" s="5" t="str">
        <f>IFERROR(__xludf.DUMMYFUNCTION("REGEXEXTRACT(J8211, ""^\d+"")"),"1")</f>
        <v>1</v>
      </c>
      <c r="Z8211" s="5" t="str">
        <f>IFERROR(__xludf.DUMMYFUNCTION("REGEXEXTRACT(J8211, ""[A-Za-z ]+$"")")," Season")</f>
        <v> Season</v>
      </c>
      <c r="AA8211" s="5" t="str">
        <f>IFERROR(__xludf.DUMMYFUNCTION("IF(REGEXMATCH(Z8211, ""Season""), ""TV Show"", ""Movie"")"),"TV Show")</f>
        <v>TV Show</v>
      </c>
    </row>
    <row r="8212">
      <c r="A8212" s="1" t="s">
        <v>39427</v>
      </c>
      <c r="B8212" s="1" t="s">
        <v>27</v>
      </c>
      <c r="C8212" s="1" t="s">
        <v>39428</v>
      </c>
      <c r="D8212" s="1" t="s">
        <v>22778</v>
      </c>
      <c r="E8212" s="1" t="s">
        <v>39429</v>
      </c>
      <c r="F8212" s="1" t="s">
        <v>30</v>
      </c>
      <c r="G8212" s="1" t="s">
        <v>22684</v>
      </c>
      <c r="H8212" s="1">
        <v>2018.0</v>
      </c>
      <c r="I8212" s="1" t="s">
        <v>42</v>
      </c>
      <c r="J8212" s="1" t="s">
        <v>4699</v>
      </c>
      <c r="K8212" s="1" t="s">
        <v>34</v>
      </c>
      <c r="L8212" s="1" t="s">
        <v>39430</v>
      </c>
      <c r="M8212" s="2" t="s">
        <v>12</v>
      </c>
      <c r="N8212" s="4">
        <f t="shared" si="1"/>
        <v>43465</v>
      </c>
      <c r="O8212" s="5" t="str">
        <f>IFERROR(__xludf.DUMMYFUNCTION("IF(REGEXMATCH(TRIM(I8212), ""^\d+\s*min""), ""Unclassified"", IF(I8212 = """", ""NR"", I8212))"),"TV-MA")</f>
        <v>TV-MA</v>
      </c>
      <c r="R8212" s="5" t="str">
        <f t="shared" si="2"/>
        <v>The Bill Murray Stories: Life Lessons Learned From A Mythical Man</v>
      </c>
      <c r="S8212" s="5" t="str">
        <f>IFERROR(__xludf.DUMMYFUNCTION("""COMPUTED_VALUE"""),"Tunnel")</f>
        <v>Tunnel</v>
      </c>
      <c r="V8212" s="5"/>
      <c r="Y8212" s="5" t="str">
        <f>IFERROR(__xludf.DUMMYFUNCTION("REGEXEXTRACT(J8212, ""^\d+"")"),"72")</f>
        <v>72</v>
      </c>
      <c r="Z8212" s="5" t="str">
        <f>IFERROR(__xludf.DUMMYFUNCTION("REGEXEXTRACT(J8212, ""[A-Za-z ]+$"")")," min")</f>
        <v> min</v>
      </c>
      <c r="AA8212" s="5" t="str">
        <f>IFERROR(__xludf.DUMMYFUNCTION("IF(REGEXMATCH(Z8212, ""Season""), ""TV Show"", ""Movie"")"),"Movie")</f>
        <v>Movie</v>
      </c>
    </row>
    <row r="8213">
      <c r="A8213" s="1" t="s">
        <v>39431</v>
      </c>
      <c r="B8213" s="1" t="s">
        <v>27</v>
      </c>
      <c r="C8213" s="1" t="s">
        <v>39432</v>
      </c>
      <c r="D8213" s="1" t="s">
        <v>19744</v>
      </c>
      <c r="E8213" s="1" t="s">
        <v>39433</v>
      </c>
      <c r="F8213" s="1" t="s">
        <v>30</v>
      </c>
      <c r="G8213" s="1" t="s">
        <v>27516</v>
      </c>
      <c r="H8213" s="1">
        <v>2016.0</v>
      </c>
      <c r="I8213" s="1" t="s">
        <v>42</v>
      </c>
      <c r="J8213" s="1" t="s">
        <v>465</v>
      </c>
      <c r="K8213" s="1" t="s">
        <v>1551</v>
      </c>
      <c r="L8213" s="1" t="s">
        <v>39434</v>
      </c>
      <c r="M8213" s="2" t="s">
        <v>12</v>
      </c>
      <c r="N8213" s="4">
        <f t="shared" si="1"/>
        <v>42954</v>
      </c>
      <c r="O8213" s="5" t="str">
        <f>IFERROR(__xludf.DUMMYFUNCTION("IF(REGEXMATCH(TRIM(I8213), ""^\d+\s*min""), ""Unclassified"", IF(I8213 = """", ""NR"", I8213))"),"TV-MA")</f>
        <v>TV-MA</v>
      </c>
      <c r="R8213" s="5" t="str">
        <f t="shared" si="2"/>
        <v>The Black Room</v>
      </c>
      <c r="S8213" s="5" t="str">
        <f>IFERROR(__xludf.DUMMYFUNCTION("""COMPUTED_VALUE"""),"Turbo")</f>
        <v>Turbo</v>
      </c>
      <c r="V8213" s="5"/>
      <c r="Y8213" s="5" t="str">
        <f>IFERROR(__xludf.DUMMYFUNCTION("REGEXEXTRACT(J8213, ""^\d+"")"),"95")</f>
        <v>95</v>
      </c>
      <c r="Z8213" s="5" t="str">
        <f>IFERROR(__xludf.DUMMYFUNCTION("REGEXEXTRACT(J8213, ""[A-Za-z ]+$"")")," min")</f>
        <v> min</v>
      </c>
      <c r="AA8213" s="5" t="str">
        <f>IFERROR(__xludf.DUMMYFUNCTION("IF(REGEXMATCH(Z8213, ""Season""), ""TV Show"", ""Movie"")"),"Movie")</f>
        <v>Movie</v>
      </c>
    </row>
    <row r="8214">
      <c r="A8214" s="1" t="s">
        <v>39435</v>
      </c>
      <c r="B8214" s="1" t="s">
        <v>27</v>
      </c>
      <c r="C8214" s="1" t="s">
        <v>39436</v>
      </c>
      <c r="D8214" s="1" t="s">
        <v>17350</v>
      </c>
      <c r="E8214" s="1" t="s">
        <v>39437</v>
      </c>
      <c r="F8214" s="1" t="s">
        <v>1979</v>
      </c>
      <c r="G8214" s="7">
        <v>43603.0</v>
      </c>
      <c r="H8214" s="1">
        <v>2015.0</v>
      </c>
      <c r="I8214" s="1" t="s">
        <v>378</v>
      </c>
      <c r="J8214" s="1" t="s">
        <v>465</v>
      </c>
      <c r="K8214" s="1" t="s">
        <v>18588</v>
      </c>
      <c r="L8214" s="1" t="s">
        <v>39438</v>
      </c>
      <c r="M8214" s="2" t="s">
        <v>12</v>
      </c>
      <c r="N8214" s="4">
        <f t="shared" si="1"/>
        <v>43603</v>
      </c>
      <c r="O8214" s="5" t="str">
        <f>IFERROR(__xludf.DUMMYFUNCTION("IF(REGEXMATCH(TRIM(I8214), ""^\d+\s*min""), ""Unclassified"", IF(I8214 = """", ""NR"", I8214))"),"R")</f>
        <v>R</v>
      </c>
      <c r="R8214" s="5" t="str">
        <f t="shared" si="2"/>
        <v>The Blackcoat'S Daughter</v>
      </c>
      <c r="S8214" s="5" t="str">
        <f>IFERROR(__xludf.DUMMYFUNCTION("""COMPUTED_VALUE"""),"Turbo Fast")</f>
        <v>Turbo Fast</v>
      </c>
      <c r="V8214" s="5"/>
      <c r="Y8214" s="5" t="str">
        <f>IFERROR(__xludf.DUMMYFUNCTION("REGEXEXTRACT(J8214, ""^\d+"")"),"95")</f>
        <v>95</v>
      </c>
      <c r="Z8214" s="5" t="str">
        <f>IFERROR(__xludf.DUMMYFUNCTION("REGEXEXTRACT(J8214, ""[A-Za-z ]+$"")")," min")</f>
        <v> min</v>
      </c>
      <c r="AA8214" s="5" t="str">
        <f>IFERROR(__xludf.DUMMYFUNCTION("IF(REGEXMATCH(Z8214, ""Season""), ""TV Show"", ""Movie"")"),"Movie")</f>
        <v>Movie</v>
      </c>
    </row>
    <row r="8215">
      <c r="A8215" s="1" t="s">
        <v>39439</v>
      </c>
      <c r="B8215" s="1" t="s">
        <v>27</v>
      </c>
      <c r="C8215" s="1" t="s">
        <v>39440</v>
      </c>
      <c r="D8215" s="1" t="s">
        <v>18226</v>
      </c>
      <c r="E8215" s="1" t="s">
        <v>39441</v>
      </c>
      <c r="F8215" s="1" t="s">
        <v>30</v>
      </c>
      <c r="G8215" s="1" t="s">
        <v>21407</v>
      </c>
      <c r="H8215" s="1">
        <v>2016.0</v>
      </c>
      <c r="I8215" s="1" t="s">
        <v>378</v>
      </c>
      <c r="J8215" s="1" t="s">
        <v>357</v>
      </c>
      <c r="K8215" s="1" t="s">
        <v>2275</v>
      </c>
      <c r="L8215" s="1" t="s">
        <v>39442</v>
      </c>
      <c r="M8215" s="2" t="s">
        <v>12</v>
      </c>
      <c r="N8215" s="4">
        <f t="shared" si="1"/>
        <v>43553</v>
      </c>
      <c r="O8215" s="5" t="str">
        <f>IFERROR(__xludf.DUMMYFUNCTION("IF(REGEXMATCH(TRIM(I8215), ""^\d+\s*min""), ""Unclassified"", IF(I8215 = """", ""NR"", I8215))"),"R")</f>
        <v>R</v>
      </c>
      <c r="R8215" s="5" t="str">
        <f t="shared" si="2"/>
        <v>The Bleeder</v>
      </c>
      <c r="S8215" s="5" t="str">
        <f>IFERROR(__xludf.DUMMYFUNCTION("""COMPUTED_VALUE"""),"Turkish Dance School")</f>
        <v>Turkish Dance School</v>
      </c>
      <c r="V8215" s="5"/>
      <c r="Y8215" s="5" t="str">
        <f>IFERROR(__xludf.DUMMYFUNCTION("REGEXEXTRACT(J8215, ""^\d+"")"),"98")</f>
        <v>98</v>
      </c>
      <c r="Z8215" s="5" t="str">
        <f>IFERROR(__xludf.DUMMYFUNCTION("REGEXEXTRACT(J8215, ""[A-Za-z ]+$"")")," min")</f>
        <v> min</v>
      </c>
      <c r="AA8215" s="5" t="str">
        <f>IFERROR(__xludf.DUMMYFUNCTION("IF(REGEXMATCH(Z8215, ""Season""), ""TV Show"", ""Movie"")"),"Movie")</f>
        <v>Movie</v>
      </c>
    </row>
    <row r="8216">
      <c r="A8216" s="1" t="s">
        <v>39443</v>
      </c>
      <c r="B8216" s="1" t="s">
        <v>37</v>
      </c>
      <c r="C8216" s="1" t="s">
        <v>39444</v>
      </c>
      <c r="D8216" s="1" t="s">
        <v>892</v>
      </c>
      <c r="E8216" s="1" t="s">
        <v>5968</v>
      </c>
      <c r="F8216" s="1" t="s">
        <v>96</v>
      </c>
      <c r="G8216" s="1" t="s">
        <v>36843</v>
      </c>
      <c r="H8216" s="1">
        <v>2001.0</v>
      </c>
      <c r="I8216" s="1" t="s">
        <v>506</v>
      </c>
      <c r="J8216" s="1" t="s">
        <v>51</v>
      </c>
      <c r="K8216" s="1" t="s">
        <v>544</v>
      </c>
      <c r="L8216" s="1" t="s">
        <v>39445</v>
      </c>
      <c r="M8216" s="2" t="s">
        <v>12</v>
      </c>
      <c r="N8216" s="4">
        <f t="shared" si="1"/>
        <v>42287</v>
      </c>
      <c r="O8216" s="5" t="str">
        <f>IFERROR(__xludf.DUMMYFUNCTION("IF(REGEXMATCH(TRIM(I8216), ""^\d+\s*min""), ""Unclassified"", IF(I8216 = """", ""NR"", I8216))"),"TV-G")</f>
        <v>TV-G</v>
      </c>
      <c r="R8216" s="5" t="str">
        <f t="shared" si="2"/>
        <v>The Blue Planet: A Natural History Of The Oceans</v>
      </c>
      <c r="S8216" s="5" t="str">
        <f>IFERROR(__xludf.DUMMYFUNCTION("""COMPUTED_VALUE"""),"Turn Up Charlie")</f>
        <v>Turn Up Charlie</v>
      </c>
      <c r="V8216" s="5"/>
      <c r="Y8216" s="5" t="str">
        <f>IFERROR(__xludf.DUMMYFUNCTION("REGEXEXTRACT(J8216, ""^\d+"")"),"1")</f>
        <v>1</v>
      </c>
      <c r="Z8216" s="5" t="str">
        <f>IFERROR(__xludf.DUMMYFUNCTION("REGEXEXTRACT(J8216, ""[A-Za-z ]+$"")")," Season")</f>
        <v> Season</v>
      </c>
      <c r="AA8216" s="5" t="str">
        <f>IFERROR(__xludf.DUMMYFUNCTION("IF(REGEXMATCH(Z8216, ""Season""), ""TV Show"", ""Movie"")"),"TV Show")</f>
        <v>TV Show</v>
      </c>
    </row>
    <row r="8217">
      <c r="A8217" s="1" t="s">
        <v>39446</v>
      </c>
      <c r="B8217" s="1" t="s">
        <v>27</v>
      </c>
      <c r="C8217" s="1" t="s">
        <v>39447</v>
      </c>
      <c r="D8217" s="1" t="s">
        <v>12825</v>
      </c>
      <c r="F8217" s="1" t="s">
        <v>30</v>
      </c>
      <c r="G8217" s="1" t="s">
        <v>27569</v>
      </c>
      <c r="H8217" s="1">
        <v>2016.0</v>
      </c>
      <c r="I8217" s="1" t="s">
        <v>97</v>
      </c>
      <c r="J8217" s="1" t="s">
        <v>1847</v>
      </c>
      <c r="K8217" s="1" t="s">
        <v>34</v>
      </c>
      <c r="L8217" s="1" t="s">
        <v>39448</v>
      </c>
      <c r="M8217" s="2" t="s">
        <v>12</v>
      </c>
      <c r="N8217" s="4">
        <f t="shared" si="1"/>
        <v>42948</v>
      </c>
      <c r="O8217" s="5" t="str">
        <f>IFERROR(__xludf.DUMMYFUNCTION("IF(REGEXMATCH(TRIM(I8217), ""^\d+\s*min""), ""Unclassified"", IF(I8217 = """", ""NR"", I8217))"),"TV-14")</f>
        <v>TV-14</v>
      </c>
      <c r="R8217" s="5" t="str">
        <f t="shared" si="2"/>
        <v>The Bomb</v>
      </c>
      <c r="S8217" s="5" t="str">
        <f>IFERROR(__xludf.DUMMYFUNCTION("""COMPUTED_VALUE"""),"Turn: Washington'S Spies")</f>
        <v>Turn: Washington'S Spies</v>
      </c>
      <c r="V8217" s="5"/>
      <c r="Y8217" s="5" t="str">
        <f>IFERROR(__xludf.DUMMYFUNCTION("REGEXEXTRACT(J8217, ""^\d+"")"),"59")</f>
        <v>59</v>
      </c>
      <c r="Z8217" s="5" t="str">
        <f>IFERROR(__xludf.DUMMYFUNCTION("REGEXEXTRACT(J8217, ""[A-Za-z ]+$"")")," min")</f>
        <v> min</v>
      </c>
      <c r="AA8217" s="5" t="str">
        <f>IFERROR(__xludf.DUMMYFUNCTION("IF(REGEXMATCH(Z8217, ""Season""), ""TV Show"", ""Movie"")"),"Movie")</f>
        <v>Movie</v>
      </c>
    </row>
    <row r="8218">
      <c r="A8218" s="1" t="s">
        <v>39449</v>
      </c>
      <c r="B8218" s="1" t="s">
        <v>37</v>
      </c>
      <c r="C8218" s="1" t="s">
        <v>39450</v>
      </c>
      <c r="E8218" s="1" t="s">
        <v>39451</v>
      </c>
      <c r="F8218" s="1" t="s">
        <v>96</v>
      </c>
      <c r="G8218" s="1" t="s">
        <v>22239</v>
      </c>
      <c r="H8218" s="1">
        <v>2011.0</v>
      </c>
      <c r="I8218" s="1" t="s">
        <v>42</v>
      </c>
      <c r="J8218" s="1" t="s">
        <v>51</v>
      </c>
      <c r="K8218" s="1" t="s">
        <v>4190</v>
      </c>
      <c r="L8218" s="1" t="s">
        <v>39452</v>
      </c>
      <c r="M8218" s="2" t="s">
        <v>12</v>
      </c>
      <c r="N8218" s="4">
        <f t="shared" si="1"/>
        <v>43497</v>
      </c>
      <c r="O8218" s="5" t="str">
        <f>IFERROR(__xludf.DUMMYFUNCTION("IF(REGEXMATCH(TRIM(I8218), ""^\d+\s*min""), ""Unclassified"", IF(I8218 = """", ""NR"", I8218))"),"TV-MA")</f>
        <v>TV-MA</v>
      </c>
      <c r="R8218" s="5" t="str">
        <f t="shared" si="2"/>
        <v>The Bomb Squad</v>
      </c>
      <c r="S8218" s="5" t="str">
        <f>IFERROR(__xludf.DUMMYFUNCTION("""COMPUTED_VALUE"""),"Turning Point: 9/11 And The War On Terror")</f>
        <v>Turning Point: 9/11 And The War On Terror</v>
      </c>
      <c r="V8218" s="5"/>
      <c r="Y8218" s="5" t="str">
        <f>IFERROR(__xludf.DUMMYFUNCTION("REGEXEXTRACT(J8218, ""^\d+"")"),"1")</f>
        <v>1</v>
      </c>
      <c r="Z8218" s="5" t="str">
        <f>IFERROR(__xludf.DUMMYFUNCTION("REGEXEXTRACT(J8218, ""[A-Za-z ]+$"")")," Season")</f>
        <v> Season</v>
      </c>
      <c r="AA8218" s="5" t="str">
        <f>IFERROR(__xludf.DUMMYFUNCTION("IF(REGEXMATCH(Z8218, ""Season""), ""TV Show"", ""Movie"")"),"TV Show")</f>
        <v>TV Show</v>
      </c>
    </row>
    <row r="8219">
      <c r="A8219" s="1" t="s">
        <v>39453</v>
      </c>
      <c r="B8219" s="1" t="s">
        <v>27</v>
      </c>
      <c r="C8219" s="1" t="s">
        <v>39454</v>
      </c>
      <c r="D8219" s="1" t="s">
        <v>906</v>
      </c>
      <c r="E8219" s="1" t="s">
        <v>39455</v>
      </c>
      <c r="F8219" s="1" t="s">
        <v>30</v>
      </c>
      <c r="G8219" s="1" t="s">
        <v>20110</v>
      </c>
      <c r="H8219" s="1">
        <v>2010.0</v>
      </c>
      <c r="I8219" s="1" t="s">
        <v>378</v>
      </c>
      <c r="J8219" s="1" t="s">
        <v>870</v>
      </c>
      <c r="K8219" s="1" t="s">
        <v>942</v>
      </c>
      <c r="L8219" s="1" t="s">
        <v>39456</v>
      </c>
      <c r="M8219" s="2" t="s">
        <v>12</v>
      </c>
      <c r="N8219" s="4">
        <f t="shared" si="1"/>
        <v>43647</v>
      </c>
      <c r="O8219" s="5" t="str">
        <f>IFERROR(__xludf.DUMMYFUNCTION("IF(REGEXMATCH(TRIM(I8219), ""^\d+\s*min""), ""Unclassified"", IF(I8219 = """", ""NR"", I8219))"),"R")</f>
        <v>R</v>
      </c>
      <c r="R8219" s="5" t="str">
        <f t="shared" si="2"/>
        <v>The Book Of Eli</v>
      </c>
      <c r="S8219" s="5" t="str">
        <f>IFERROR(__xludf.DUMMYFUNCTION("""COMPUTED_VALUE"""),"Tusk")</f>
        <v>Tusk</v>
      </c>
      <c r="V8219" s="5"/>
      <c r="Y8219" s="5" t="str">
        <f>IFERROR(__xludf.DUMMYFUNCTION("REGEXEXTRACT(J8219, ""^\d+"")"),"118")</f>
        <v>118</v>
      </c>
      <c r="Z8219" s="5" t="str">
        <f>IFERROR(__xludf.DUMMYFUNCTION("REGEXEXTRACT(J8219, ""[A-Za-z ]+$"")")," min")</f>
        <v> min</v>
      </c>
      <c r="AA8219" s="5" t="str">
        <f>IFERROR(__xludf.DUMMYFUNCTION("IF(REGEXMATCH(Z8219, ""Season""), ""TV Show"", ""Movie"")"),"Movie")</f>
        <v>Movie</v>
      </c>
    </row>
    <row r="8220">
      <c r="A8220" s="1" t="s">
        <v>39457</v>
      </c>
      <c r="B8220" s="1" t="s">
        <v>27</v>
      </c>
      <c r="C8220" s="1" t="s">
        <v>39458</v>
      </c>
      <c r="D8220" s="1" t="s">
        <v>17255</v>
      </c>
      <c r="E8220" s="1" t="s">
        <v>39459</v>
      </c>
      <c r="F8220" s="1" t="s">
        <v>664</v>
      </c>
      <c r="G8220" s="1" t="s">
        <v>28526</v>
      </c>
      <c r="H8220" s="1">
        <v>2015.0</v>
      </c>
      <c r="I8220" s="1" t="s">
        <v>42</v>
      </c>
      <c r="J8220" s="1" t="s">
        <v>357</v>
      </c>
      <c r="K8220" s="1" t="s">
        <v>679</v>
      </c>
      <c r="L8220" s="1" t="s">
        <v>39460</v>
      </c>
      <c r="M8220" s="2" t="s">
        <v>12</v>
      </c>
      <c r="N8220" s="4">
        <f t="shared" si="1"/>
        <v>42804</v>
      </c>
      <c r="O8220" s="5" t="str">
        <f>IFERROR(__xludf.DUMMYFUNCTION("IF(REGEXMATCH(TRIM(I8220), ""^\d+\s*min""), ""Unclassified"", IF(I8220 = """", ""NR"", I8220))"),"TV-MA")</f>
        <v>TV-MA</v>
      </c>
      <c r="R8220" s="5" t="str">
        <f t="shared" si="2"/>
        <v>The Boss'S Daughter</v>
      </c>
      <c r="S8220" s="5" t="str">
        <f>IFERROR(__xludf.DUMMYFUNCTION("""COMPUTED_VALUE"""),"Twelve Forever")</f>
        <v>Twelve Forever</v>
      </c>
      <c r="V8220" s="5"/>
      <c r="Y8220" s="5" t="str">
        <f>IFERROR(__xludf.DUMMYFUNCTION("REGEXEXTRACT(J8220, ""^\d+"")"),"98")</f>
        <v>98</v>
      </c>
      <c r="Z8220" s="5" t="str">
        <f>IFERROR(__xludf.DUMMYFUNCTION("REGEXEXTRACT(J8220, ""[A-Za-z ]+$"")")," min")</f>
        <v> min</v>
      </c>
      <c r="AA8220" s="5" t="str">
        <f>IFERROR(__xludf.DUMMYFUNCTION("IF(REGEXMATCH(Z8220, ""Season""), ""TV Show"", ""Movie"")"),"Movie")</f>
        <v>Movie</v>
      </c>
    </row>
    <row r="8221">
      <c r="A8221" s="1" t="s">
        <v>39461</v>
      </c>
      <c r="B8221" s="1" t="s">
        <v>27</v>
      </c>
      <c r="C8221" s="1" t="s">
        <v>39462</v>
      </c>
      <c r="D8221" s="1" t="s">
        <v>2034</v>
      </c>
      <c r="E8221" s="1" t="s">
        <v>39463</v>
      </c>
      <c r="F8221" s="1" t="s">
        <v>30</v>
      </c>
      <c r="G8221" s="1" t="s">
        <v>18985</v>
      </c>
      <c r="H8221" s="1">
        <v>2010.0</v>
      </c>
      <c r="I8221" s="1" t="s">
        <v>32</v>
      </c>
      <c r="J8221" s="1" t="s">
        <v>264</v>
      </c>
      <c r="K8221" s="1" t="s">
        <v>13997</v>
      </c>
      <c r="L8221" s="1" t="s">
        <v>39464</v>
      </c>
      <c r="M8221" s="2" t="s">
        <v>12</v>
      </c>
      <c r="N8221" s="4">
        <f t="shared" si="1"/>
        <v>43739</v>
      </c>
      <c r="O8221" s="5" t="str">
        <f>IFERROR(__xludf.DUMMYFUNCTION("IF(REGEXMATCH(TRIM(I8221), ""^\d+\s*min""), ""Unclassified"", IF(I8221 = """", ""NR"", I8221))"),"PG-13")</f>
        <v>PG-13</v>
      </c>
      <c r="R8221" s="5" t="str">
        <f t="shared" si="2"/>
        <v>The Bounty Hunter</v>
      </c>
      <c r="S8221" s="5" t="str">
        <f>IFERROR(__xludf.DUMMYFUNCTION("""COMPUTED_VALUE"""),"Twice")</f>
        <v>Twice</v>
      </c>
      <c r="V8221" s="5"/>
      <c r="Y8221" s="5" t="str">
        <f>IFERROR(__xludf.DUMMYFUNCTION("REGEXEXTRACT(J8221, ""^\d+"")"),"111")</f>
        <v>111</v>
      </c>
      <c r="Z8221" s="5" t="str">
        <f>IFERROR(__xludf.DUMMYFUNCTION("REGEXEXTRACT(J8221, ""[A-Za-z ]+$"")")," min")</f>
        <v> min</v>
      </c>
      <c r="AA8221" s="5" t="str">
        <f>IFERROR(__xludf.DUMMYFUNCTION("IF(REGEXMATCH(Z8221, ""Season""), ""TV Show"", ""Movie"")"),"Movie")</f>
        <v>Movie</v>
      </c>
    </row>
    <row r="8222">
      <c r="A8222" s="1" t="s">
        <v>39465</v>
      </c>
      <c r="B8222" s="1" t="s">
        <v>27</v>
      </c>
      <c r="C8222" s="1" t="s">
        <v>39466</v>
      </c>
      <c r="D8222" s="1" t="s">
        <v>19156</v>
      </c>
      <c r="E8222" s="1" t="s">
        <v>39467</v>
      </c>
      <c r="F8222" s="1" t="s">
        <v>30</v>
      </c>
      <c r="G8222" s="1" t="s">
        <v>20561</v>
      </c>
      <c r="H8222" s="1">
        <v>2009.0</v>
      </c>
      <c r="I8222" s="1" t="s">
        <v>32</v>
      </c>
      <c r="J8222" s="1" t="s">
        <v>349</v>
      </c>
      <c r="K8222" s="1" t="s">
        <v>658</v>
      </c>
      <c r="L8222" s="1" t="s">
        <v>39468</v>
      </c>
      <c r="M8222" s="2" t="s">
        <v>12</v>
      </c>
      <c r="N8222" s="4">
        <f t="shared" si="1"/>
        <v>43617</v>
      </c>
      <c r="O8222" s="5" t="str">
        <f>IFERROR(__xludf.DUMMYFUNCTION("IF(REGEXMATCH(TRIM(I8222), ""^\d+\s*min""), ""Unclassified"", IF(I8222 = """", ""NR"", I8222))"),"PG-13")</f>
        <v>PG-13</v>
      </c>
      <c r="R8222" s="5" t="str">
        <f t="shared" si="2"/>
        <v>The Box</v>
      </c>
      <c r="S8222" s="5" t="str">
        <f>IFERROR(__xludf.DUMMYFUNCTION("""COMPUTED_VALUE"""),"Twice Upon A Time")</f>
        <v>Twice Upon A Time</v>
      </c>
      <c r="V8222" s="5"/>
      <c r="Y8222" s="5" t="str">
        <f>IFERROR(__xludf.DUMMYFUNCTION("REGEXEXTRACT(J8222, ""^\d+"")"),"116")</f>
        <v>116</v>
      </c>
      <c r="Z8222" s="5" t="str">
        <f>IFERROR(__xludf.DUMMYFUNCTION("REGEXEXTRACT(J8222, ""[A-Za-z ]+$"")")," min")</f>
        <v> min</v>
      </c>
      <c r="AA8222" s="5" t="str">
        <f>IFERROR(__xludf.DUMMYFUNCTION("IF(REGEXMATCH(Z8222, ""Season""), ""TV Show"", ""Movie"")"),"Movie")</f>
        <v>Movie</v>
      </c>
    </row>
    <row r="8223">
      <c r="A8223" s="1" t="s">
        <v>39469</v>
      </c>
      <c r="B8223" s="1" t="s">
        <v>27</v>
      </c>
      <c r="C8223" s="1" t="s">
        <v>39470</v>
      </c>
      <c r="D8223" s="1" t="s">
        <v>23608</v>
      </c>
      <c r="E8223" s="1" t="s">
        <v>39471</v>
      </c>
      <c r="F8223" s="1" t="s">
        <v>39472</v>
      </c>
      <c r="G8223" s="1" t="s">
        <v>13808</v>
      </c>
      <c r="H8223" s="1">
        <v>2016.0</v>
      </c>
      <c r="I8223" s="1" t="s">
        <v>32</v>
      </c>
      <c r="J8223" s="1" t="s">
        <v>247</v>
      </c>
      <c r="K8223" s="1" t="s">
        <v>18588</v>
      </c>
      <c r="L8223" s="1" t="s">
        <v>39473</v>
      </c>
      <c r="M8223" s="2" t="s">
        <v>12</v>
      </c>
      <c r="N8223" s="4">
        <f t="shared" si="1"/>
        <v>43983</v>
      </c>
      <c r="O8223" s="5" t="str">
        <f>IFERROR(__xludf.DUMMYFUNCTION("IF(REGEXMATCH(TRIM(I8223), ""^\d+\s*min""), ""Unclassified"", IF(I8223 = """", ""NR"", I8223))"),"PG-13")</f>
        <v>PG-13</v>
      </c>
      <c r="R8223" s="5" t="str">
        <f t="shared" si="2"/>
        <v>The Boy</v>
      </c>
      <c r="S8223" s="5" t="str">
        <f>IFERROR(__xludf.DUMMYFUNCTION("""COMPUTED_VALUE"""),"Twilight")</f>
        <v>Twilight</v>
      </c>
      <c r="V8223" s="5"/>
      <c r="Y8223" s="5" t="str">
        <f>IFERROR(__xludf.DUMMYFUNCTION("REGEXEXTRACT(J8223, ""^\d+"")"),"97")</f>
        <v>97</v>
      </c>
      <c r="Z8223" s="5" t="str">
        <f>IFERROR(__xludf.DUMMYFUNCTION("REGEXEXTRACT(J8223, ""[A-Za-z ]+$"")")," min")</f>
        <v> min</v>
      </c>
      <c r="AA8223" s="5" t="str">
        <f>IFERROR(__xludf.DUMMYFUNCTION("IF(REGEXMATCH(Z8223, ""Season""), ""TV Show"", ""Movie"")"),"Movie")</f>
        <v>Movie</v>
      </c>
    </row>
    <row r="8224">
      <c r="A8224" s="1" t="s">
        <v>39474</v>
      </c>
      <c r="B8224" s="1" t="s">
        <v>27</v>
      </c>
      <c r="C8224" s="1" t="s">
        <v>39475</v>
      </c>
      <c r="D8224" s="1" t="s">
        <v>14863</v>
      </c>
      <c r="E8224" s="1" t="s">
        <v>39476</v>
      </c>
      <c r="F8224" s="1" t="s">
        <v>686</v>
      </c>
      <c r="G8224" s="1" t="s">
        <v>22635</v>
      </c>
      <c r="H8224" s="1">
        <v>2008.0</v>
      </c>
      <c r="I8224" s="1" t="s">
        <v>32</v>
      </c>
      <c r="J8224" s="1" t="s">
        <v>465</v>
      </c>
      <c r="K8224" s="1" t="s">
        <v>89</v>
      </c>
      <c r="L8224" s="1" t="s">
        <v>39477</v>
      </c>
      <c r="M8224" s="2" t="s">
        <v>12</v>
      </c>
      <c r="N8224" s="4">
        <f t="shared" si="1"/>
        <v>43466</v>
      </c>
      <c r="O8224" s="5" t="str">
        <f>IFERROR(__xludf.DUMMYFUNCTION("IF(REGEXMATCH(TRIM(I8224), ""^\d+\s*min""), ""Unclassified"", IF(I8224 = """", ""NR"", I8224))"),"PG-13")</f>
        <v>PG-13</v>
      </c>
      <c r="R8224" s="5" t="str">
        <f t="shared" si="2"/>
        <v>The Boy In The Striped Pajamas</v>
      </c>
      <c r="S8224" s="5" t="str">
        <f>IFERROR(__xludf.DUMMYFUNCTION("""COMPUTED_VALUE"""),"Twin Murders: The Silence Of The White City")</f>
        <v>Twin Murders: The Silence Of The White City</v>
      </c>
      <c r="V8224" s="5"/>
      <c r="Y8224" s="5" t="str">
        <f>IFERROR(__xludf.DUMMYFUNCTION("REGEXEXTRACT(J8224, ""^\d+"")"),"95")</f>
        <v>95</v>
      </c>
      <c r="Z8224" s="5" t="str">
        <f>IFERROR(__xludf.DUMMYFUNCTION("REGEXEXTRACT(J8224, ""[A-Za-z ]+$"")")," min")</f>
        <v> min</v>
      </c>
      <c r="AA8224" s="5" t="str">
        <f>IFERROR(__xludf.DUMMYFUNCTION("IF(REGEXMATCH(Z8224, ""Season""), ""TV Show"", ""Movie"")"),"Movie")</f>
        <v>Movie</v>
      </c>
    </row>
    <row r="8225">
      <c r="A8225" s="1" t="s">
        <v>39478</v>
      </c>
      <c r="B8225" s="1" t="s">
        <v>27</v>
      </c>
      <c r="C8225" s="1" t="s">
        <v>39479</v>
      </c>
      <c r="D8225" s="1" t="s">
        <v>16683</v>
      </c>
      <c r="E8225" s="1" t="s">
        <v>39480</v>
      </c>
      <c r="F8225" s="1" t="s">
        <v>30</v>
      </c>
      <c r="G8225" s="1" t="s">
        <v>18333</v>
      </c>
      <c r="H8225" s="1">
        <v>2007.0</v>
      </c>
      <c r="I8225" s="1" t="s">
        <v>378</v>
      </c>
      <c r="J8225" s="1" t="s">
        <v>393</v>
      </c>
      <c r="K8225" s="1" t="s">
        <v>394</v>
      </c>
      <c r="L8225" s="1" t="s">
        <v>39481</v>
      </c>
      <c r="M8225" s="2" t="s">
        <v>12</v>
      </c>
      <c r="N8225" s="4">
        <f t="shared" si="1"/>
        <v>43770</v>
      </c>
      <c r="O8225" s="5" t="str">
        <f>IFERROR(__xludf.DUMMYFUNCTION("IF(REGEXMATCH(TRIM(I8225), ""^\d+\s*min""), ""Unclassified"", IF(I8225 = """", ""NR"", I8225))"),"R")</f>
        <v>R</v>
      </c>
      <c r="R8225" s="5" t="str">
        <f t="shared" si="2"/>
        <v>The Brave One</v>
      </c>
      <c r="S8225" s="5" t="str">
        <f>IFERROR(__xludf.DUMMYFUNCTION("""COMPUTED_VALUE"""),"Twin Peaks")</f>
        <v>Twin Peaks</v>
      </c>
      <c r="V8225" s="5"/>
      <c r="Y8225" s="5" t="str">
        <f>IFERROR(__xludf.DUMMYFUNCTION("REGEXEXTRACT(J8225, ""^\d+"")"),"122")</f>
        <v>122</v>
      </c>
      <c r="Z8225" s="5" t="str">
        <f>IFERROR(__xludf.DUMMYFUNCTION("REGEXEXTRACT(J8225, ""[A-Za-z ]+$"")")," min")</f>
        <v> min</v>
      </c>
      <c r="AA8225" s="5" t="str">
        <f>IFERROR(__xludf.DUMMYFUNCTION("IF(REGEXMATCH(Z8225, ""Season""), ""TV Show"", ""Movie"")"),"Movie")</f>
        <v>Movie</v>
      </c>
    </row>
    <row r="8226">
      <c r="A8226" s="1" t="s">
        <v>39482</v>
      </c>
      <c r="B8226" s="1" t="s">
        <v>27</v>
      </c>
      <c r="C8226" s="1" t="s">
        <v>39483</v>
      </c>
      <c r="D8226" s="1" t="s">
        <v>12723</v>
      </c>
      <c r="E8226" s="1" t="s">
        <v>39484</v>
      </c>
      <c r="F8226" s="1" t="s">
        <v>30</v>
      </c>
      <c r="G8226" s="7">
        <v>43603.0</v>
      </c>
      <c r="H8226" s="1">
        <v>2019.0</v>
      </c>
      <c r="I8226" s="1" t="s">
        <v>42</v>
      </c>
      <c r="J8226" s="1" t="s">
        <v>465</v>
      </c>
      <c r="K8226" s="1" t="s">
        <v>9047</v>
      </c>
      <c r="L8226" s="1" t="s">
        <v>39485</v>
      </c>
      <c r="M8226" s="2" t="s">
        <v>12</v>
      </c>
      <c r="N8226" s="4">
        <f t="shared" si="1"/>
        <v>43603</v>
      </c>
      <c r="O8226" s="5" t="str">
        <f>IFERROR(__xludf.DUMMYFUNCTION("IF(REGEXMATCH(TRIM(I8226), ""^\d+\s*min""), ""Unclassified"", IF(I8226 = """", ""NR"", I8226))"),"TV-MA")</f>
        <v>TV-MA</v>
      </c>
      <c r="R8226" s="5" t="str">
        <f t="shared" si="2"/>
        <v>The Brawler</v>
      </c>
      <c r="S8226" s="5" t="str">
        <f>IFERROR(__xludf.DUMMYFUNCTION("""COMPUTED_VALUE"""),"Twins Mission")</f>
        <v>Twins Mission</v>
      </c>
      <c r="V8226" s="5"/>
      <c r="Y8226" s="5" t="str">
        <f>IFERROR(__xludf.DUMMYFUNCTION("REGEXEXTRACT(J8226, ""^\d+"")"),"95")</f>
        <v>95</v>
      </c>
      <c r="Z8226" s="5" t="str">
        <f>IFERROR(__xludf.DUMMYFUNCTION("REGEXEXTRACT(J8226, ""[A-Za-z ]+$"")")," min")</f>
        <v> min</v>
      </c>
      <c r="AA8226" s="5" t="str">
        <f>IFERROR(__xludf.DUMMYFUNCTION("IF(REGEXMATCH(Z8226, ""Season""), ""TV Show"", ""Movie"")"),"Movie")</f>
        <v>Movie</v>
      </c>
    </row>
    <row r="8227">
      <c r="A8227" s="1" t="s">
        <v>39486</v>
      </c>
      <c r="B8227" s="1" t="s">
        <v>27</v>
      </c>
      <c r="C8227" s="1" t="s">
        <v>39487</v>
      </c>
      <c r="D8227" s="1" t="s">
        <v>17049</v>
      </c>
      <c r="E8227" s="1" t="s">
        <v>39488</v>
      </c>
      <c r="F8227" s="1" t="s">
        <v>39489</v>
      </c>
      <c r="G8227" s="1" t="s">
        <v>26209</v>
      </c>
      <c r="H8227" s="1">
        <v>2017.0</v>
      </c>
      <c r="I8227" s="1" t="s">
        <v>32</v>
      </c>
      <c r="J8227" s="1" t="s">
        <v>454</v>
      </c>
      <c r="K8227" s="1" t="s">
        <v>2983</v>
      </c>
      <c r="L8227" s="1" t="s">
        <v>39490</v>
      </c>
      <c r="M8227" s="2" t="s">
        <v>12</v>
      </c>
      <c r="N8227" s="4">
        <f t="shared" si="1"/>
        <v>43151</v>
      </c>
      <c r="O8227" s="5" t="str">
        <f>IFERROR(__xludf.DUMMYFUNCTION("IF(REGEXMATCH(TRIM(I8227), ""^\d+\s*min""), ""Unclassified"", IF(I8227 = """", ""NR"", I8227))"),"PG-13")</f>
        <v>PG-13</v>
      </c>
      <c r="R8227" s="5" t="str">
        <f t="shared" si="2"/>
        <v>The Breadwinner</v>
      </c>
      <c r="S8227" s="5" t="str">
        <f>IFERROR(__xludf.DUMMYFUNCTION("""COMPUTED_VALUE"""),"Twinsanity")</f>
        <v>Twinsanity</v>
      </c>
      <c r="V8227" s="5"/>
      <c r="Y8227" s="5" t="str">
        <f>IFERROR(__xludf.DUMMYFUNCTION("REGEXEXTRACT(J8227, ""^\d+"")"),"93")</f>
        <v>93</v>
      </c>
      <c r="Z8227" s="5" t="str">
        <f>IFERROR(__xludf.DUMMYFUNCTION("REGEXEXTRACT(J8227, ""[A-Za-z ]+$"")")," min")</f>
        <v> min</v>
      </c>
      <c r="AA8227" s="5" t="str">
        <f>IFERROR(__xludf.DUMMYFUNCTION("IF(REGEXMATCH(Z8227, ""Season""), ""TV Show"", ""Movie"")"),"Movie")</f>
        <v>Movie</v>
      </c>
    </row>
    <row r="8228">
      <c r="A8228" s="1" t="s">
        <v>39491</v>
      </c>
      <c r="B8228" s="1" t="s">
        <v>27</v>
      </c>
      <c r="C8228" s="1" t="s">
        <v>39492</v>
      </c>
      <c r="D8228" s="1" t="s">
        <v>6784</v>
      </c>
      <c r="E8228" s="1" t="s">
        <v>39493</v>
      </c>
      <c r="F8228" s="1" t="s">
        <v>30</v>
      </c>
      <c r="G8228" s="1" t="s">
        <v>19961</v>
      </c>
      <c r="H8228" s="1">
        <v>2006.0</v>
      </c>
      <c r="I8228" s="1" t="s">
        <v>32</v>
      </c>
      <c r="J8228" s="1" t="s">
        <v>1256</v>
      </c>
      <c r="K8228" s="1" t="s">
        <v>1099</v>
      </c>
      <c r="L8228" s="1" t="s">
        <v>39494</v>
      </c>
      <c r="M8228" s="2" t="s">
        <v>12</v>
      </c>
      <c r="N8228" s="4">
        <f t="shared" si="1"/>
        <v>43662</v>
      </c>
      <c r="O8228" s="5" t="str">
        <f>IFERROR(__xludf.DUMMYFUNCTION("IF(REGEXMATCH(TRIM(I8228), ""^\d+\s*min""), ""Unclassified"", IF(I8228 = """", ""NR"", I8228))"),"PG-13")</f>
        <v>PG-13</v>
      </c>
      <c r="R8228" s="5" t="str">
        <f t="shared" si="2"/>
        <v>The Break-Up</v>
      </c>
      <c r="S8228" s="5" t="str">
        <f>IFERROR(__xludf.DUMMYFUNCTION("""COMPUTED_VALUE"""),"Twirlywoos")</f>
        <v>Twirlywoos</v>
      </c>
      <c r="V8228" s="5"/>
      <c r="Y8228" s="5" t="str">
        <f>IFERROR(__xludf.DUMMYFUNCTION("REGEXEXTRACT(J8228, ""^\d+"")"),"107")</f>
        <v>107</v>
      </c>
      <c r="Z8228" s="5" t="str">
        <f>IFERROR(__xludf.DUMMYFUNCTION("REGEXEXTRACT(J8228, ""[A-Za-z ]+$"")")," min")</f>
        <v> min</v>
      </c>
      <c r="AA8228" s="5" t="str">
        <f>IFERROR(__xludf.DUMMYFUNCTION("IF(REGEXMATCH(Z8228, ""Season""), ""TV Show"", ""Movie"")"),"Movie")</f>
        <v>Movie</v>
      </c>
    </row>
    <row r="8229">
      <c r="A8229" s="1" t="s">
        <v>39495</v>
      </c>
      <c r="B8229" s="1" t="s">
        <v>27</v>
      </c>
      <c r="C8229" s="1" t="s">
        <v>39496</v>
      </c>
      <c r="D8229" s="1" t="s">
        <v>10013</v>
      </c>
      <c r="E8229" s="1" t="s">
        <v>39497</v>
      </c>
      <c r="F8229" s="1" t="s">
        <v>400</v>
      </c>
      <c r="G8229" s="1" t="s">
        <v>19361</v>
      </c>
      <c r="H8229" s="1">
        <v>2017.0</v>
      </c>
      <c r="I8229" s="1" t="s">
        <v>97</v>
      </c>
      <c r="J8229" s="1" t="s">
        <v>804</v>
      </c>
      <c r="K8229" s="1" t="s">
        <v>679</v>
      </c>
      <c r="L8229" s="1" t="s">
        <v>39498</v>
      </c>
      <c r="M8229" s="2" t="s">
        <v>12</v>
      </c>
      <c r="N8229" s="4">
        <f t="shared" si="1"/>
        <v>43709</v>
      </c>
      <c r="O8229" s="5" t="str">
        <f>IFERROR(__xludf.DUMMYFUNCTION("IF(REGEXMATCH(TRIM(I8229), ""^\d+\s*min""), ""Unclassified"", IF(I8229 = """", ""NR"", I8229))"),"TV-14")</f>
        <v>TV-14</v>
      </c>
      <c r="R8229" s="5" t="str">
        <f t="shared" si="2"/>
        <v>The Bridge</v>
      </c>
      <c r="S8229" s="5" t="str">
        <f>IFERROR(__xludf.DUMMYFUNCTION("""COMPUTED_VALUE"""),"Twisted Trunk, Big Fat Body")</f>
        <v>Twisted Trunk, Big Fat Body</v>
      </c>
      <c r="V8229" s="5"/>
      <c r="Y8229" s="5" t="str">
        <f>IFERROR(__xludf.DUMMYFUNCTION("REGEXEXTRACT(J8229, ""^\d+"")"),"119")</f>
        <v>119</v>
      </c>
      <c r="Z8229" s="5" t="str">
        <f>IFERROR(__xludf.DUMMYFUNCTION("REGEXEXTRACT(J8229, ""[A-Za-z ]+$"")")," min")</f>
        <v> min</v>
      </c>
      <c r="AA8229" s="5" t="str">
        <f>IFERROR(__xludf.DUMMYFUNCTION("IF(REGEXMATCH(Z8229, ""Season""), ""TV Show"", ""Movie"")"),"Movie")</f>
        <v>Movie</v>
      </c>
    </row>
    <row r="8230">
      <c r="A8230" s="1" t="s">
        <v>39499</v>
      </c>
      <c r="B8230" s="1" t="s">
        <v>27</v>
      </c>
      <c r="C8230" s="1" t="s">
        <v>39500</v>
      </c>
      <c r="D8230" s="1" t="s">
        <v>22335</v>
      </c>
      <c r="E8230" s="1" t="s">
        <v>39501</v>
      </c>
      <c r="F8230" s="1" t="s">
        <v>39502</v>
      </c>
      <c r="G8230" s="1" t="s">
        <v>20110</v>
      </c>
      <c r="H8230" s="1">
        <v>2005.0</v>
      </c>
      <c r="I8230" s="1" t="s">
        <v>32</v>
      </c>
      <c r="J8230" s="1" t="s">
        <v>804</v>
      </c>
      <c r="K8230" s="1" t="s">
        <v>942</v>
      </c>
      <c r="L8230" s="1" t="s">
        <v>39503</v>
      </c>
      <c r="M8230" s="2" t="s">
        <v>12</v>
      </c>
      <c r="N8230" s="4">
        <f t="shared" si="1"/>
        <v>43647</v>
      </c>
      <c r="O8230" s="5" t="str">
        <f>IFERROR(__xludf.DUMMYFUNCTION("IF(REGEXMATCH(TRIM(I8230), ""^\d+\s*min""), ""Unclassified"", IF(I8230 = """", ""NR"", I8230))"),"PG-13")</f>
        <v>PG-13</v>
      </c>
      <c r="R8230" s="5" t="str">
        <f t="shared" si="2"/>
        <v>The Brothers Grimm</v>
      </c>
      <c r="S8230" s="5" t="str">
        <f>IFERROR(__xludf.DUMMYFUNCTION("""COMPUTED_VALUE"""),"Two Catalonias")</f>
        <v>Two Catalonias</v>
      </c>
      <c r="V8230" s="5"/>
      <c r="Y8230" s="5" t="str">
        <f>IFERROR(__xludf.DUMMYFUNCTION("REGEXEXTRACT(J8230, ""^\d+"")"),"119")</f>
        <v>119</v>
      </c>
      <c r="Z8230" s="5" t="str">
        <f>IFERROR(__xludf.DUMMYFUNCTION("REGEXEXTRACT(J8230, ""[A-Za-z ]+$"")")," min")</f>
        <v> min</v>
      </c>
      <c r="AA8230" s="5" t="str">
        <f>IFERROR(__xludf.DUMMYFUNCTION("IF(REGEXMATCH(Z8230, ""Season""), ""TV Show"", ""Movie"")"),"Movie")</f>
        <v>Movie</v>
      </c>
    </row>
    <row r="8231">
      <c r="A8231" s="1" t="s">
        <v>39504</v>
      </c>
      <c r="B8231" s="1" t="s">
        <v>27</v>
      </c>
      <c r="C8231" s="1" t="s">
        <v>39505</v>
      </c>
      <c r="D8231" s="1" t="s">
        <v>4824</v>
      </c>
      <c r="E8231" s="1" t="s">
        <v>39506</v>
      </c>
      <c r="F8231" s="1" t="s">
        <v>30</v>
      </c>
      <c r="G8231" s="1" t="s">
        <v>18985</v>
      </c>
      <c r="H8231" s="1">
        <v>2007.0</v>
      </c>
      <c r="I8231" s="1" t="s">
        <v>32</v>
      </c>
      <c r="J8231" s="1" t="s">
        <v>247</v>
      </c>
      <c r="K8231" s="1" t="s">
        <v>107</v>
      </c>
      <c r="L8231" s="1" t="s">
        <v>39507</v>
      </c>
      <c r="M8231" s="2" t="s">
        <v>12</v>
      </c>
      <c r="N8231" s="4">
        <f t="shared" si="1"/>
        <v>43739</v>
      </c>
      <c r="O8231" s="5" t="str">
        <f>IFERROR(__xludf.DUMMYFUNCTION("IF(REGEXMATCH(TRIM(I8231), ""^\d+\s*min""), ""Unclassified"", IF(I8231 = """", ""NR"", I8231))"),"PG-13")</f>
        <v>PG-13</v>
      </c>
      <c r="R8231" s="5" t="str">
        <f t="shared" si="2"/>
        <v>The Bucket List</v>
      </c>
      <c r="S8231" s="5" t="str">
        <f>IFERROR(__xludf.DUMMYFUNCTION("""COMPUTED_VALUE"""),"Two Distant Strangers")</f>
        <v>Two Distant Strangers</v>
      </c>
      <c r="V8231" s="5"/>
      <c r="Y8231" s="5" t="str">
        <f>IFERROR(__xludf.DUMMYFUNCTION("REGEXEXTRACT(J8231, ""^\d+"")"),"97")</f>
        <v>97</v>
      </c>
      <c r="Z8231" s="5" t="str">
        <f>IFERROR(__xludf.DUMMYFUNCTION("REGEXEXTRACT(J8231, ""[A-Za-z ]+$"")")," min")</f>
        <v> min</v>
      </c>
      <c r="AA8231" s="5" t="str">
        <f>IFERROR(__xludf.DUMMYFUNCTION("IF(REGEXMATCH(Z8231, ""Season""), ""TV Show"", ""Movie"")"),"Movie")</f>
        <v>Movie</v>
      </c>
    </row>
    <row r="8232">
      <c r="A8232" s="1" t="s">
        <v>39508</v>
      </c>
      <c r="B8232" s="1" t="s">
        <v>27</v>
      </c>
      <c r="C8232" s="1" t="s">
        <v>39509</v>
      </c>
      <c r="D8232" s="1" t="s">
        <v>9480</v>
      </c>
      <c r="E8232" s="1" t="s">
        <v>39510</v>
      </c>
      <c r="G8232" s="7">
        <v>43594.0</v>
      </c>
      <c r="H8232" s="1">
        <v>2013.0</v>
      </c>
      <c r="I8232" s="1" t="s">
        <v>42</v>
      </c>
      <c r="J8232" s="1" t="s">
        <v>322</v>
      </c>
      <c r="K8232" s="1" t="s">
        <v>199</v>
      </c>
      <c r="L8232" s="1" t="s">
        <v>39511</v>
      </c>
      <c r="M8232" s="2" t="s">
        <v>12</v>
      </c>
      <c r="N8232" s="4">
        <f t="shared" si="1"/>
        <v>43594</v>
      </c>
      <c r="O8232" s="5" t="str">
        <f>IFERROR(__xludf.DUMMYFUNCTION("IF(REGEXMATCH(TRIM(I8232), ""^\d+\s*min""), ""Unclassified"", IF(I8232 = """", ""NR"", I8232))"),"TV-MA")</f>
        <v>TV-MA</v>
      </c>
      <c r="R8232" s="5" t="str">
        <f t="shared" si="2"/>
        <v>The Bulbul'S Nest</v>
      </c>
      <c r="S8232" s="5" t="str">
        <f>IFERROR(__xludf.DUMMYFUNCTION("""COMPUTED_VALUE"""),"Two Fathers")</f>
        <v>Two Fathers</v>
      </c>
      <c r="V8232" s="5"/>
      <c r="Y8232" s="5" t="str">
        <f>IFERROR(__xludf.DUMMYFUNCTION("REGEXEXTRACT(J8232, ""^\d+"")"),"96")</f>
        <v>96</v>
      </c>
      <c r="Z8232" s="5" t="str">
        <f>IFERROR(__xludf.DUMMYFUNCTION("REGEXEXTRACT(J8232, ""[A-Za-z ]+$"")")," min")</f>
        <v> min</v>
      </c>
      <c r="AA8232" s="5" t="str">
        <f>IFERROR(__xludf.DUMMYFUNCTION("IF(REGEXMATCH(Z8232, ""Season""), ""TV Show"", ""Movie"")"),"Movie")</f>
        <v>Movie</v>
      </c>
    </row>
    <row r="8233">
      <c r="A8233" s="1" t="s">
        <v>39512</v>
      </c>
      <c r="B8233" s="1" t="s">
        <v>27</v>
      </c>
      <c r="C8233" s="1" t="s">
        <v>39513</v>
      </c>
      <c r="E8233" s="1" t="s">
        <v>39514</v>
      </c>
      <c r="F8233" s="1" t="s">
        <v>1119</v>
      </c>
      <c r="G8233" s="1" t="s">
        <v>24513</v>
      </c>
      <c r="H8233" s="1">
        <v>1983.0</v>
      </c>
      <c r="I8233" s="1" t="s">
        <v>97</v>
      </c>
      <c r="J8233" s="1" t="s">
        <v>238</v>
      </c>
      <c r="K8233" s="1" t="s">
        <v>306</v>
      </c>
      <c r="L8233" s="1" t="s">
        <v>39515</v>
      </c>
      <c r="M8233" s="2" t="s">
        <v>12</v>
      </c>
      <c r="N8233" s="4">
        <f t="shared" si="1"/>
        <v>43363</v>
      </c>
      <c r="O8233" s="5" t="str">
        <f>IFERROR(__xludf.DUMMYFUNCTION("IF(REGEXMATCH(TRIM(I8233), ""^\d+\s*min""), ""Unclassified"", IF(I8233 = """", ""NR"", I8233))"),"TV-14")</f>
        <v>TV-14</v>
      </c>
      <c r="R8233" s="5" t="str">
        <f t="shared" si="2"/>
        <v>The Bund</v>
      </c>
      <c r="S8233" s="5" t="str">
        <f>IFERROR(__xludf.DUMMYFUNCTION("""COMPUTED_VALUE"""),"Two Graves")</f>
        <v>Two Graves</v>
      </c>
      <c r="V8233" s="5"/>
      <c r="Y8233" s="5" t="str">
        <f>IFERROR(__xludf.DUMMYFUNCTION("REGEXEXTRACT(J8233, ""^\d+"")"),"103")</f>
        <v>103</v>
      </c>
      <c r="Z8233" s="5" t="str">
        <f>IFERROR(__xludf.DUMMYFUNCTION("REGEXEXTRACT(J8233, ""[A-Za-z ]+$"")")," min")</f>
        <v> min</v>
      </c>
      <c r="AA8233" s="5" t="str">
        <f>IFERROR(__xludf.DUMMYFUNCTION("IF(REGEXMATCH(Z8233, ""Season""), ""TV Show"", ""Movie"")"),"Movie")</f>
        <v>Movie</v>
      </c>
    </row>
    <row r="8234">
      <c r="A8234" s="1" t="s">
        <v>39516</v>
      </c>
      <c r="B8234" s="1" t="s">
        <v>27</v>
      </c>
      <c r="C8234" s="1" t="s">
        <v>39517</v>
      </c>
      <c r="D8234" s="1" t="s">
        <v>21433</v>
      </c>
      <c r="E8234" s="1" t="s">
        <v>39518</v>
      </c>
      <c r="F8234" s="1" t="s">
        <v>2296</v>
      </c>
      <c r="G8234" s="1" t="s">
        <v>21360</v>
      </c>
      <c r="H8234" s="1">
        <v>2017.0</v>
      </c>
      <c r="I8234" s="1" t="s">
        <v>32</v>
      </c>
      <c r="J8234" s="1" t="s">
        <v>322</v>
      </c>
      <c r="K8234" s="1" t="s">
        <v>3768</v>
      </c>
      <c r="L8234" s="1" t="s">
        <v>39519</v>
      </c>
      <c r="M8234" s="2" t="s">
        <v>12</v>
      </c>
      <c r="N8234" s="4">
        <f t="shared" si="1"/>
        <v>43556</v>
      </c>
      <c r="O8234" s="5" t="str">
        <f>IFERROR(__xludf.DUMMYFUNCTION("IF(REGEXMATCH(TRIM(I8234), ""^\d+\s*min""), ""Unclassified"", IF(I8234 = """", ""NR"", I8234))"),"PG-13")</f>
        <v>PG-13</v>
      </c>
      <c r="R8234" s="5" t="str">
        <f t="shared" si="2"/>
        <v>The Bye Bye Man</v>
      </c>
      <c r="S8234" s="5" t="str">
        <f>IFERROR(__xludf.DUMMYFUNCTION("""COMPUTED_VALUE"""),"Two Lovers And A Bear")</f>
        <v>Two Lovers And A Bear</v>
      </c>
      <c r="V8234" s="5"/>
      <c r="Y8234" s="5" t="str">
        <f>IFERROR(__xludf.DUMMYFUNCTION("REGEXEXTRACT(J8234, ""^\d+"")"),"96")</f>
        <v>96</v>
      </c>
      <c r="Z8234" s="5" t="str">
        <f>IFERROR(__xludf.DUMMYFUNCTION("REGEXEXTRACT(J8234, ""[A-Za-z ]+$"")")," min")</f>
        <v> min</v>
      </c>
      <c r="AA8234" s="5" t="str">
        <f>IFERROR(__xludf.DUMMYFUNCTION("IF(REGEXMATCH(Z8234, ""Season""), ""TV Show"", ""Movie"")"),"Movie")</f>
        <v>Movie</v>
      </c>
    </row>
    <row r="8235">
      <c r="A8235" s="1" t="s">
        <v>39520</v>
      </c>
      <c r="B8235" s="1" t="s">
        <v>27</v>
      </c>
      <c r="C8235" s="1" t="s">
        <v>39521</v>
      </c>
      <c r="D8235" s="1" t="s">
        <v>8594</v>
      </c>
      <c r="E8235" s="1" t="s">
        <v>39522</v>
      </c>
      <c r="F8235" s="1" t="s">
        <v>30</v>
      </c>
      <c r="G8235" s="1" t="s">
        <v>15574</v>
      </c>
      <c r="H8235" s="1">
        <v>2019.0</v>
      </c>
      <c r="I8235" s="1" t="s">
        <v>42</v>
      </c>
      <c r="J8235" s="1" t="s">
        <v>256</v>
      </c>
      <c r="K8235" s="1" t="s">
        <v>5435</v>
      </c>
      <c r="L8235" s="1" t="s">
        <v>39523</v>
      </c>
      <c r="M8235" s="2" t="s">
        <v>12</v>
      </c>
      <c r="N8235" s="4">
        <f t="shared" si="1"/>
        <v>43913</v>
      </c>
      <c r="O8235" s="5" t="str">
        <f>IFERROR(__xludf.DUMMYFUNCTION("IF(REGEXMATCH(TRIM(I8235), ""^\d+\s*min""), ""Unclassified"", IF(I8235 = """", ""NR"", I8235))"),"TV-MA")</f>
        <v>TV-MA</v>
      </c>
      <c r="R8235" s="5" t="str">
        <f t="shared" si="2"/>
        <v>The Bygone</v>
      </c>
      <c r="S8235" s="5" t="str">
        <f>IFERROR(__xludf.DUMMYFUNCTION("""COMPUTED_VALUE"""),"Two Sentence Horror Stories")</f>
        <v>Two Sentence Horror Stories</v>
      </c>
      <c r="V8235" s="5"/>
      <c r="Y8235" s="5" t="str">
        <f>IFERROR(__xludf.DUMMYFUNCTION("REGEXEXTRACT(J8235, ""^\d+"")"),"106")</f>
        <v>106</v>
      </c>
      <c r="Z8235" s="5" t="str">
        <f>IFERROR(__xludf.DUMMYFUNCTION("REGEXEXTRACT(J8235, ""[A-Za-z ]+$"")")," min")</f>
        <v> min</v>
      </c>
      <c r="AA8235" s="5" t="str">
        <f>IFERROR(__xludf.DUMMYFUNCTION("IF(REGEXMATCH(Z8235, ""Season""), ""TV Show"", ""Movie"")"),"Movie")</f>
        <v>Movie</v>
      </c>
    </row>
    <row r="8236">
      <c r="A8236" s="1" t="s">
        <v>39524</v>
      </c>
      <c r="B8236" s="1" t="s">
        <v>27</v>
      </c>
      <c r="C8236" s="1" t="s">
        <v>39525</v>
      </c>
      <c r="D8236" s="1" t="s">
        <v>17142</v>
      </c>
      <c r="E8236" s="1" t="s">
        <v>39526</v>
      </c>
      <c r="F8236" s="1" t="s">
        <v>39527</v>
      </c>
      <c r="G8236" s="1" t="s">
        <v>23112</v>
      </c>
      <c r="H8236" s="1">
        <v>2017.0</v>
      </c>
      <c r="I8236" s="1" t="s">
        <v>97</v>
      </c>
      <c r="J8236" s="1" t="s">
        <v>1065</v>
      </c>
      <c r="K8236" s="1" t="s">
        <v>89</v>
      </c>
      <c r="L8236" s="1" t="s">
        <v>39528</v>
      </c>
      <c r="M8236" s="2" t="s">
        <v>12</v>
      </c>
      <c r="N8236" s="4">
        <f t="shared" si="1"/>
        <v>43438</v>
      </c>
      <c r="O8236" s="5" t="str">
        <f>IFERROR(__xludf.DUMMYFUNCTION("IF(REGEXMATCH(TRIM(I8236), ""^\d+\s*min""), ""Unclassified"", IF(I8236 = """", ""NR"", I8236))"),"TV-14")</f>
        <v>TV-14</v>
      </c>
      <c r="R8236" s="5" t="str">
        <f t="shared" si="2"/>
        <v>The Cakemaker</v>
      </c>
      <c r="S8236" s="5" t="str">
        <f>IFERROR(__xludf.DUMMYFUNCTION("""COMPUTED_VALUE"""),"Twogether")</f>
        <v>Twogether</v>
      </c>
      <c r="V8236" s="5"/>
      <c r="Y8236" s="5" t="str">
        <f>IFERROR(__xludf.DUMMYFUNCTION("REGEXEXTRACT(J8236, ""^\d+"")"),"109")</f>
        <v>109</v>
      </c>
      <c r="Z8236" s="5" t="str">
        <f>IFERROR(__xludf.DUMMYFUNCTION("REGEXEXTRACT(J8236, ""[A-Za-z ]+$"")")," min")</f>
        <v> min</v>
      </c>
      <c r="AA8236" s="5" t="str">
        <f>IFERROR(__xludf.DUMMYFUNCTION("IF(REGEXMATCH(Z8236, ""Season""), ""TV Show"", ""Movie"")"),"Movie")</f>
        <v>Movie</v>
      </c>
    </row>
    <row r="8237">
      <c r="A8237" s="1" t="s">
        <v>39529</v>
      </c>
      <c r="B8237" s="1" t="s">
        <v>37</v>
      </c>
      <c r="C8237" s="1" t="s">
        <v>39530</v>
      </c>
      <c r="D8237" s="1" t="s">
        <v>3989</v>
      </c>
      <c r="F8237" s="1" t="s">
        <v>63</v>
      </c>
      <c r="G8237" s="1" t="s">
        <v>21360</v>
      </c>
      <c r="H8237" s="1">
        <v>2018.0</v>
      </c>
      <c r="I8237" s="1" t="s">
        <v>42</v>
      </c>
      <c r="J8237" s="1" t="s">
        <v>51</v>
      </c>
      <c r="K8237" s="1" t="s">
        <v>1520</v>
      </c>
      <c r="L8237" s="1" t="s">
        <v>39531</v>
      </c>
      <c r="M8237" s="2" t="s">
        <v>12</v>
      </c>
      <c r="N8237" s="4">
        <f t="shared" si="1"/>
        <v>43556</v>
      </c>
      <c r="O8237" s="5" t="str">
        <f>IFERROR(__xludf.DUMMYFUNCTION("IF(REGEXMATCH(TRIM(I8237), ""^\d+\s*min""), ""Unclassified"", IF(I8237 = """", ""NR"", I8237))"),"TV-MA")</f>
        <v>TV-MA</v>
      </c>
      <c r="R8237" s="5" t="str">
        <f t="shared" si="2"/>
        <v>The Calling</v>
      </c>
      <c r="S8237" s="5" t="str">
        <f>IFERROR(__xludf.DUMMYFUNCTION("""COMPUTED_VALUE"""),"Tyke Elephant Outlaw")</f>
        <v>Tyke Elephant Outlaw</v>
      </c>
      <c r="V8237" s="5"/>
      <c r="Y8237" s="5" t="str">
        <f>IFERROR(__xludf.DUMMYFUNCTION("REGEXEXTRACT(J8237, ""^\d+"")"),"1")</f>
        <v>1</v>
      </c>
      <c r="Z8237" s="5" t="str">
        <f>IFERROR(__xludf.DUMMYFUNCTION("REGEXEXTRACT(J8237, ""[A-Za-z ]+$"")")," Season")</f>
        <v> Season</v>
      </c>
      <c r="AA8237" s="5" t="str">
        <f>IFERROR(__xludf.DUMMYFUNCTION("IF(REGEXMATCH(Z8237, ""Season""), ""TV Show"", ""Movie"")"),"TV Show")</f>
        <v>TV Show</v>
      </c>
    </row>
    <row r="8238">
      <c r="A8238" s="1" t="s">
        <v>39532</v>
      </c>
      <c r="B8238" s="1" t="s">
        <v>27</v>
      </c>
      <c r="C8238" s="1" t="s">
        <v>39533</v>
      </c>
      <c r="D8238" s="1" t="s">
        <v>2705</v>
      </c>
      <c r="E8238" s="1" t="s">
        <v>39534</v>
      </c>
      <c r="F8238" s="1" t="s">
        <v>1106</v>
      </c>
      <c r="G8238" s="1" t="s">
        <v>25047</v>
      </c>
      <c r="H8238" s="1">
        <v>2014.0</v>
      </c>
      <c r="I8238" s="1" t="s">
        <v>378</v>
      </c>
      <c r="J8238" s="1" t="s">
        <v>1243</v>
      </c>
      <c r="K8238" s="1" t="s">
        <v>394</v>
      </c>
      <c r="L8238" s="1" t="s">
        <v>39535</v>
      </c>
      <c r="M8238" s="2" t="s">
        <v>12</v>
      </c>
      <c r="N8238" s="4">
        <f t="shared" si="1"/>
        <v>43301</v>
      </c>
      <c r="O8238" s="5" t="str">
        <f>IFERROR(__xludf.DUMMYFUNCTION("IF(REGEXMATCH(TRIM(I8238), ""^\d+\s*min""), ""Unclassified"", IF(I8238 = """", ""NR"", I8238))"),"R")</f>
        <v>R</v>
      </c>
      <c r="R8238" s="5" t="str">
        <f t="shared" si="2"/>
        <v>The Captive</v>
      </c>
      <c r="S8238" s="5" t="str">
        <f>IFERROR(__xludf.DUMMYFUNCTION("""COMPUTED_VALUE"""),"Typewriter")</f>
        <v>Typewriter</v>
      </c>
      <c r="V8238" s="5"/>
      <c r="Y8238" s="5" t="str">
        <f>IFERROR(__xludf.DUMMYFUNCTION("REGEXEXTRACT(J8238, ""^\d+"")"),"112")</f>
        <v>112</v>
      </c>
      <c r="Z8238" s="5" t="str">
        <f>IFERROR(__xludf.DUMMYFUNCTION("REGEXEXTRACT(J8238, ""[A-Za-z ]+$"")")," min")</f>
        <v> min</v>
      </c>
      <c r="AA8238" s="5" t="str">
        <f>IFERROR(__xludf.DUMMYFUNCTION("IF(REGEXMATCH(Z8238, ""Season""), ""TV Show"", ""Movie"")"),"Movie")</f>
        <v>Movie</v>
      </c>
    </row>
    <row r="8239">
      <c r="A8239" s="1" t="s">
        <v>39536</v>
      </c>
      <c r="B8239" s="1" t="s">
        <v>27</v>
      </c>
      <c r="C8239" s="1" t="s">
        <v>39537</v>
      </c>
      <c r="D8239" s="1" t="s">
        <v>7017</v>
      </c>
      <c r="E8239" s="1" t="s">
        <v>39538</v>
      </c>
      <c r="F8239" s="1" t="s">
        <v>30</v>
      </c>
      <c r="G8239" s="1" t="s">
        <v>13808</v>
      </c>
      <c r="H8239" s="1">
        <v>1977.0</v>
      </c>
      <c r="I8239" s="1" t="s">
        <v>78</v>
      </c>
      <c r="J8239" s="1" t="s">
        <v>322</v>
      </c>
      <c r="K8239" s="1" t="s">
        <v>4847</v>
      </c>
      <c r="L8239" s="1" t="s">
        <v>39539</v>
      </c>
      <c r="M8239" s="2" t="s">
        <v>12</v>
      </c>
      <c r="N8239" s="4">
        <f t="shared" si="1"/>
        <v>43983</v>
      </c>
      <c r="O8239" s="5" t="str">
        <f>IFERROR(__xludf.DUMMYFUNCTION("IF(REGEXMATCH(TRIM(I8239), ""^\d+\s*min""), ""Unclassified"", IF(I8239 = """", ""NR"", I8239))"),"PG")</f>
        <v>PG</v>
      </c>
      <c r="R8239" s="5" t="str">
        <f t="shared" si="2"/>
        <v>The Car</v>
      </c>
      <c r="S8239" s="5" t="str">
        <f>IFERROR(__xludf.DUMMYFUNCTION("""COMPUTED_VALUE"""),"Tyson")</f>
        <v>Tyson</v>
      </c>
      <c r="V8239" s="5"/>
      <c r="Y8239" s="5" t="str">
        <f>IFERROR(__xludf.DUMMYFUNCTION("REGEXEXTRACT(J8239, ""^\d+"")"),"96")</f>
        <v>96</v>
      </c>
      <c r="Z8239" s="5" t="str">
        <f>IFERROR(__xludf.DUMMYFUNCTION("REGEXEXTRACT(J8239, ""[A-Za-z ]+$"")")," min")</f>
        <v> min</v>
      </c>
      <c r="AA8239" s="5" t="str">
        <f>IFERROR(__xludf.DUMMYFUNCTION("IF(REGEXMATCH(Z8239, ""Season""), ""TV Show"", ""Movie"")"),"Movie")</f>
        <v>Movie</v>
      </c>
    </row>
    <row r="8240">
      <c r="A8240" s="1" t="s">
        <v>39540</v>
      </c>
      <c r="B8240" s="1" t="s">
        <v>27</v>
      </c>
      <c r="C8240" s="1" t="s">
        <v>39541</v>
      </c>
      <c r="D8240" s="1" t="s">
        <v>20689</v>
      </c>
      <c r="E8240" s="1" t="s">
        <v>39542</v>
      </c>
      <c r="F8240" s="1" t="s">
        <v>30</v>
      </c>
      <c r="G8240" s="7">
        <v>43221.0</v>
      </c>
      <c r="H8240" s="1">
        <v>2017.0</v>
      </c>
      <c r="I8240" s="1" t="s">
        <v>42</v>
      </c>
      <c r="J8240" s="1" t="s">
        <v>4639</v>
      </c>
      <c r="K8240" s="1" t="s">
        <v>645</v>
      </c>
      <c r="L8240" s="1" t="s">
        <v>39543</v>
      </c>
      <c r="M8240" s="2" t="s">
        <v>12</v>
      </c>
      <c r="N8240" s="4">
        <f t="shared" si="1"/>
        <v>43221</v>
      </c>
      <c r="O8240" s="5" t="str">
        <f>IFERROR(__xludf.DUMMYFUNCTION("IF(REGEXMATCH(TRIM(I8240), ""^\d+\s*min""), ""Unclassified"", IF(I8240 = """", ""NR"", I8240))"),"TV-MA")</f>
        <v>TV-MA</v>
      </c>
      <c r="R8240" s="5" t="str">
        <f t="shared" si="2"/>
        <v>The Carter Effect</v>
      </c>
      <c r="S8240" s="5" t="str">
        <f>IFERROR(__xludf.DUMMYFUNCTION("""COMPUTED_VALUE"""),"U Turn")</f>
        <v>U Turn</v>
      </c>
      <c r="V8240" s="5"/>
      <c r="Y8240" s="5" t="str">
        <f>IFERROR(__xludf.DUMMYFUNCTION("REGEXEXTRACT(J8240, ""^\d+"")"),"60")</f>
        <v>60</v>
      </c>
      <c r="Z8240" s="5" t="str">
        <f>IFERROR(__xludf.DUMMYFUNCTION("REGEXEXTRACT(J8240, ""[A-Za-z ]+$"")")," min")</f>
        <v> min</v>
      </c>
      <c r="AA8240" s="5" t="str">
        <f>IFERROR(__xludf.DUMMYFUNCTION("IF(REGEXMATCH(Z8240, ""Season""), ""TV Show"", ""Movie"")"),"Movie")</f>
        <v>Movie</v>
      </c>
    </row>
    <row r="8241">
      <c r="A8241" s="1" t="s">
        <v>39544</v>
      </c>
      <c r="B8241" s="1" t="s">
        <v>27</v>
      </c>
      <c r="C8241" s="1" t="s">
        <v>39545</v>
      </c>
      <c r="D8241" s="1" t="s">
        <v>11579</v>
      </c>
      <c r="E8241" s="1" t="s">
        <v>39546</v>
      </c>
      <c r="F8241" s="1" t="s">
        <v>30</v>
      </c>
      <c r="G8241" s="1" t="s">
        <v>26772</v>
      </c>
      <c r="H8241" s="1">
        <v>2017.0</v>
      </c>
      <c r="I8241" s="1" t="s">
        <v>136</v>
      </c>
      <c r="J8241" s="1" t="s">
        <v>519</v>
      </c>
      <c r="K8241" s="1" t="s">
        <v>1198</v>
      </c>
      <c r="L8241" s="1" t="s">
        <v>39547</v>
      </c>
      <c r="M8241" s="2" t="s">
        <v>12</v>
      </c>
      <c r="N8241" s="4">
        <f t="shared" si="1"/>
        <v>43060</v>
      </c>
      <c r="O8241" s="5" t="str">
        <f>IFERROR(__xludf.DUMMYFUNCTION("IF(REGEXMATCH(TRIM(I8241), ""^\d+\s*min""), ""Unclassified"", IF(I8241 = """", ""NR"", I8241))"),"TV-PG")</f>
        <v>TV-PG</v>
      </c>
      <c r="R8241" s="5" t="str">
        <f t="shared" si="2"/>
        <v>The Case For Christ</v>
      </c>
      <c r="S8241" s="5" t="str">
        <f>IFERROR(__xludf.DUMMYFUNCTION("""COMPUTED_VALUE"""),"U-Turn")</f>
        <v>U-Turn</v>
      </c>
      <c r="V8241" s="5"/>
      <c r="Y8241" s="5" t="str">
        <f>IFERROR(__xludf.DUMMYFUNCTION("REGEXEXTRACT(J8241, ""^\d+"")"),"113")</f>
        <v>113</v>
      </c>
      <c r="Z8241" s="5" t="str">
        <f>IFERROR(__xludf.DUMMYFUNCTION("REGEXEXTRACT(J8241, ""[A-Za-z ]+$"")")," min")</f>
        <v> min</v>
      </c>
      <c r="AA8241" s="5" t="str">
        <f>IFERROR(__xludf.DUMMYFUNCTION("IF(REGEXMATCH(Z8241, ""Season""), ""TV Show"", ""Movie"")"),"Movie")</f>
        <v>Movie</v>
      </c>
    </row>
    <row r="8242">
      <c r="A8242" s="1" t="s">
        <v>39548</v>
      </c>
      <c r="B8242" s="1" t="s">
        <v>27</v>
      </c>
      <c r="C8242" s="1" t="s">
        <v>39549</v>
      </c>
      <c r="D8242" s="1" t="s">
        <v>22216</v>
      </c>
      <c r="E8242" s="1" t="s">
        <v>39550</v>
      </c>
      <c r="F8242" s="1" t="s">
        <v>3309</v>
      </c>
      <c r="G8242" s="1" t="s">
        <v>20426</v>
      </c>
      <c r="H8242" s="1">
        <v>2017.0</v>
      </c>
      <c r="I8242" s="1" t="s">
        <v>42</v>
      </c>
      <c r="J8242" s="1" t="s">
        <v>3458</v>
      </c>
      <c r="K8242" s="1" t="s">
        <v>306</v>
      </c>
      <c r="L8242" s="1" t="s">
        <v>39551</v>
      </c>
      <c r="M8242" s="2" t="s">
        <v>12</v>
      </c>
      <c r="N8242" s="4">
        <f t="shared" si="1"/>
        <v>43629</v>
      </c>
      <c r="O8242" s="5" t="str">
        <f>IFERROR(__xludf.DUMMYFUNCTION("IF(REGEXMATCH(TRIM(I8242), ""^\d+\s*min""), ""Unclassified"", IF(I8242 = """", ""NR"", I8242))"),"TV-MA")</f>
        <v>TV-MA</v>
      </c>
      <c r="R8242" s="5" t="str">
        <f t="shared" si="2"/>
        <v>The Cell</v>
      </c>
      <c r="S8242" s="5" t="str">
        <f>IFERROR(__xludf.DUMMYFUNCTION("""COMPUTED_VALUE"""),"Udaan")</f>
        <v>Udaan</v>
      </c>
      <c r="V8242" s="5"/>
      <c r="Y8242" s="5" t="str">
        <f>IFERROR(__xludf.DUMMYFUNCTION("REGEXEXTRACT(J8242, ""^\d+"")"),"126")</f>
        <v>126</v>
      </c>
      <c r="Z8242" s="5" t="str">
        <f>IFERROR(__xludf.DUMMYFUNCTION("REGEXEXTRACT(J8242, ""[A-Za-z ]+$"")")," min")</f>
        <v> min</v>
      </c>
      <c r="AA8242" s="5" t="str">
        <f>IFERROR(__xludf.DUMMYFUNCTION("IF(REGEXMATCH(Z8242, ""Season""), ""TV Show"", ""Movie"")"),"Movie")</f>
        <v>Movie</v>
      </c>
    </row>
    <row r="8243">
      <c r="A8243" s="1" t="s">
        <v>39552</v>
      </c>
      <c r="B8243" s="1" t="s">
        <v>27</v>
      </c>
      <c r="C8243" s="1" t="s">
        <v>39553</v>
      </c>
      <c r="D8243" s="1" t="s">
        <v>10013</v>
      </c>
      <c r="E8243" s="1" t="s">
        <v>39554</v>
      </c>
      <c r="F8243" s="1" t="s">
        <v>400</v>
      </c>
      <c r="G8243" s="1" t="s">
        <v>19361</v>
      </c>
      <c r="H8243" s="1">
        <v>2016.0</v>
      </c>
      <c r="I8243" s="1" t="s">
        <v>97</v>
      </c>
      <c r="J8243" s="1" t="s">
        <v>1065</v>
      </c>
      <c r="K8243" s="1" t="s">
        <v>298</v>
      </c>
      <c r="L8243" s="1" t="s">
        <v>39555</v>
      </c>
      <c r="M8243" s="2" t="s">
        <v>12</v>
      </c>
      <c r="N8243" s="4">
        <f t="shared" si="1"/>
        <v>43709</v>
      </c>
      <c r="O8243" s="5" t="str">
        <f>IFERROR(__xludf.DUMMYFUNCTION("IF(REGEXMATCH(TRIM(I8243), ""^\d+\s*min""), ""Unclassified"", IF(I8243 = """", ""NR"", I8243))"),"TV-14")</f>
        <v>TV-14</v>
      </c>
      <c r="R8243" s="5" t="str">
        <f t="shared" si="2"/>
        <v>The Ceo</v>
      </c>
      <c r="S8243" s="5" t="str">
        <f>IFERROR(__xludf.DUMMYFUNCTION("""COMPUTED_VALUE"""),"Udta Punjab")</f>
        <v>Udta Punjab</v>
      </c>
      <c r="V8243" s="5"/>
      <c r="Y8243" s="5" t="str">
        <f>IFERROR(__xludf.DUMMYFUNCTION("REGEXEXTRACT(J8243, ""^\d+"")"),"109")</f>
        <v>109</v>
      </c>
      <c r="Z8243" s="5" t="str">
        <f>IFERROR(__xludf.DUMMYFUNCTION("REGEXEXTRACT(J8243, ""[A-Za-z ]+$"")")," min")</f>
        <v> min</v>
      </c>
      <c r="AA8243" s="5" t="str">
        <f>IFERROR(__xludf.DUMMYFUNCTION("IF(REGEXMATCH(Z8243, ""Season""), ""TV Show"", ""Movie"")"),"Movie")</f>
        <v>Movie</v>
      </c>
    </row>
    <row r="8244">
      <c r="A8244" s="1" t="s">
        <v>39556</v>
      </c>
      <c r="B8244" s="1" t="s">
        <v>27</v>
      </c>
      <c r="C8244" s="1" t="s">
        <v>39557</v>
      </c>
      <c r="D8244" s="1" t="s">
        <v>5264</v>
      </c>
      <c r="E8244" s="1" t="s">
        <v>39558</v>
      </c>
      <c r="F8244" s="1" t="s">
        <v>30</v>
      </c>
      <c r="G8244" s="1" t="s">
        <v>39559</v>
      </c>
      <c r="H8244" s="1">
        <v>2016.0</v>
      </c>
      <c r="I8244" s="1" t="s">
        <v>378</v>
      </c>
      <c r="J8244" s="1" t="s">
        <v>454</v>
      </c>
      <c r="K8244" s="1" t="s">
        <v>3768</v>
      </c>
      <c r="L8244" s="1" t="s">
        <v>39560</v>
      </c>
      <c r="M8244" s="2" t="s">
        <v>12</v>
      </c>
      <c r="N8244" s="4">
        <f t="shared" si="1"/>
        <v>42770</v>
      </c>
      <c r="O8244" s="5" t="str">
        <f>IFERROR(__xludf.DUMMYFUNCTION("IF(REGEXMATCH(TRIM(I8244), ""^\d+\s*min""), ""Unclassified"", IF(I8244 = """", ""NR"", I8244))"),"R")</f>
        <v>R</v>
      </c>
      <c r="R8244" s="5" t="str">
        <f t="shared" si="2"/>
        <v>The Charnel House</v>
      </c>
      <c r="S8244" s="5" t="str">
        <f>IFERROR(__xludf.DUMMYFUNCTION("""COMPUTED_VALUE"""),"Ugly")</f>
        <v>Ugly</v>
      </c>
      <c r="V8244" s="5"/>
      <c r="Y8244" s="5" t="str">
        <f>IFERROR(__xludf.DUMMYFUNCTION("REGEXEXTRACT(J8244, ""^\d+"")"),"93")</f>
        <v>93</v>
      </c>
      <c r="Z8244" s="5" t="str">
        <f>IFERROR(__xludf.DUMMYFUNCTION("REGEXEXTRACT(J8244, ""[A-Za-z ]+$"")")," min")</f>
        <v> min</v>
      </c>
      <c r="AA8244" s="5" t="str">
        <f>IFERROR(__xludf.DUMMYFUNCTION("IF(REGEXMATCH(Z8244, ""Season""), ""TV Show"", ""Movie"")"),"Movie")</f>
        <v>Movie</v>
      </c>
    </row>
    <row r="8245">
      <c r="A8245" s="1" t="s">
        <v>39561</v>
      </c>
      <c r="B8245" s="1" t="s">
        <v>37</v>
      </c>
      <c r="C8245" s="1" t="s">
        <v>39562</v>
      </c>
      <c r="E8245" s="1" t="s">
        <v>39563</v>
      </c>
      <c r="F8245" s="1" t="s">
        <v>221</v>
      </c>
      <c r="G8245" s="1" t="s">
        <v>19813</v>
      </c>
      <c r="H8245" s="1">
        <v>2017.0</v>
      </c>
      <c r="I8245" s="1" t="s">
        <v>97</v>
      </c>
      <c r="J8245" s="1" t="s">
        <v>51</v>
      </c>
      <c r="K8245" s="1" t="s">
        <v>1520</v>
      </c>
      <c r="L8245" s="1" t="s">
        <v>39564</v>
      </c>
      <c r="M8245" s="2" t="s">
        <v>12</v>
      </c>
      <c r="N8245" s="4">
        <f t="shared" si="1"/>
        <v>43678</v>
      </c>
      <c r="O8245" s="5" t="str">
        <f>IFERROR(__xludf.DUMMYFUNCTION("IF(REGEXMATCH(TRIM(I8245), ""^\d+\s*min""), ""Unclassified"", IF(I8245 = """", ""NR"", I8245))"),"TV-14")</f>
        <v>TV-14</v>
      </c>
      <c r="R8245" s="5" t="str">
        <f t="shared" si="2"/>
        <v>The Chefs' Line</v>
      </c>
      <c r="S8245" s="5" t="str">
        <f>IFERROR(__xludf.DUMMYFUNCTION("""COMPUTED_VALUE"""),"Ugly Aur Pagli")</f>
        <v>Ugly Aur Pagli</v>
      </c>
      <c r="V8245" s="5"/>
      <c r="Y8245" s="5" t="str">
        <f>IFERROR(__xludf.DUMMYFUNCTION("REGEXEXTRACT(J8245, ""^\d+"")"),"1")</f>
        <v>1</v>
      </c>
      <c r="Z8245" s="5" t="str">
        <f>IFERROR(__xludf.DUMMYFUNCTION("REGEXEXTRACT(J8245, ""[A-Za-z ]+$"")")," Season")</f>
        <v> Season</v>
      </c>
      <c r="AA8245" s="5" t="str">
        <f>IFERROR(__xludf.DUMMYFUNCTION("IF(REGEXMATCH(Z8245, ""Season""), ""TV Show"", ""Movie"")"),"TV Show")</f>
        <v>TV Show</v>
      </c>
    </row>
    <row r="8246">
      <c r="A8246" s="1" t="s">
        <v>39565</v>
      </c>
      <c r="B8246" s="1" t="s">
        <v>27</v>
      </c>
      <c r="C8246" s="1" t="s">
        <v>39566</v>
      </c>
      <c r="D8246" s="1" t="s">
        <v>14260</v>
      </c>
      <c r="E8246" s="1" t="s">
        <v>39567</v>
      </c>
      <c r="F8246" s="1" t="s">
        <v>3309</v>
      </c>
      <c r="G8246" s="1" t="s">
        <v>20298</v>
      </c>
      <c r="H8246" s="1">
        <v>2010.0</v>
      </c>
      <c r="I8246" s="1" t="s">
        <v>42</v>
      </c>
      <c r="J8246" s="1" t="s">
        <v>1091</v>
      </c>
      <c r="K8246" s="1" t="s">
        <v>1429</v>
      </c>
      <c r="L8246" s="1" t="s">
        <v>39568</v>
      </c>
      <c r="M8246" s="2" t="s">
        <v>12</v>
      </c>
      <c r="N8246" s="4">
        <f t="shared" si="1"/>
        <v>43636</v>
      </c>
      <c r="O8246" s="5" t="str">
        <f>IFERROR(__xludf.DUMMYFUNCTION("IF(REGEXMATCH(TRIM(I8246), ""^\d+\s*min""), ""Unclassified"", IF(I8246 = """", ""NR"", I8246))"),"TV-MA")</f>
        <v>TV-MA</v>
      </c>
      <c r="R8246" s="5" t="str">
        <f t="shared" si="2"/>
        <v>The Chord</v>
      </c>
      <c r="S8246" s="5" t="str">
        <f>IFERROR(__xludf.DUMMYFUNCTION("""COMPUTED_VALUE"""),"Ugly Delicious")</f>
        <v>Ugly Delicious</v>
      </c>
      <c r="V8246" s="5"/>
      <c r="Y8246" s="5" t="str">
        <f>IFERROR(__xludf.DUMMYFUNCTION("REGEXEXTRACT(J8246, ""^\d+"")"),"101")</f>
        <v>101</v>
      </c>
      <c r="Z8246" s="5" t="str">
        <f>IFERROR(__xludf.DUMMYFUNCTION("REGEXEXTRACT(J8246, ""[A-Za-z ]+$"")")," min")</f>
        <v> min</v>
      </c>
      <c r="AA8246" s="5" t="str">
        <f>IFERROR(__xludf.DUMMYFUNCTION("IF(REGEXMATCH(Z8246, ""Season""), ""TV Show"", ""Movie"")"),"Movie")</f>
        <v>Movie</v>
      </c>
    </row>
    <row r="8247">
      <c r="A8247" s="1" t="s">
        <v>39569</v>
      </c>
      <c r="B8247" s="1" t="s">
        <v>27</v>
      </c>
      <c r="C8247" s="1" t="s">
        <v>39570</v>
      </c>
      <c r="D8247" s="1" t="s">
        <v>2359</v>
      </c>
      <c r="E8247" s="1" t="s">
        <v>39571</v>
      </c>
      <c r="F8247" s="1" t="s">
        <v>24790</v>
      </c>
      <c r="G8247" s="1" t="s">
        <v>28328</v>
      </c>
      <c r="H8247" s="1">
        <v>2016.0</v>
      </c>
      <c r="I8247" s="1" t="s">
        <v>97</v>
      </c>
      <c r="J8247" s="1" t="s">
        <v>264</v>
      </c>
      <c r="K8247" s="1" t="s">
        <v>298</v>
      </c>
      <c r="L8247" s="1" t="s">
        <v>39572</v>
      </c>
      <c r="M8247" s="2" t="s">
        <v>12</v>
      </c>
      <c r="N8247" s="4">
        <f t="shared" si="1"/>
        <v>42839</v>
      </c>
      <c r="O8247" s="5" t="str">
        <f>IFERROR(__xludf.DUMMYFUNCTION("IF(REGEXMATCH(TRIM(I8247), ""^\d+\s*min""), ""Unclassified"", IF(I8247 = """", ""NR"", I8247))"),"TV-14")</f>
        <v>TV-14</v>
      </c>
      <c r="R8247" s="5" t="str">
        <f t="shared" si="2"/>
        <v>The Chosen</v>
      </c>
      <c r="S8247" s="5" t="str">
        <f>IFERROR(__xludf.DUMMYFUNCTION("""COMPUTED_VALUE"""),"Ugly Duckling")</f>
        <v>Ugly Duckling</v>
      </c>
      <c r="V8247" s="5"/>
      <c r="Y8247" s="5" t="str">
        <f>IFERROR(__xludf.DUMMYFUNCTION("REGEXEXTRACT(J8247, ""^\d+"")"),"111")</f>
        <v>111</v>
      </c>
      <c r="Z8247" s="5" t="str">
        <f>IFERROR(__xludf.DUMMYFUNCTION("REGEXEXTRACT(J8247, ""[A-Za-z ]+$"")")," min")</f>
        <v> min</v>
      </c>
      <c r="AA8247" s="5" t="str">
        <f>IFERROR(__xludf.DUMMYFUNCTION("IF(REGEXMATCH(Z8247, ""Season""), ""TV Show"", ""Movie"")"),"Movie")</f>
        <v>Movie</v>
      </c>
    </row>
    <row r="8248">
      <c r="A8248" s="1" t="s">
        <v>39573</v>
      </c>
      <c r="B8248" s="1" t="s">
        <v>27</v>
      </c>
      <c r="C8248" s="1" t="s">
        <v>39574</v>
      </c>
      <c r="D8248" s="1" t="s">
        <v>5395</v>
      </c>
      <c r="E8248" s="1" t="s">
        <v>39575</v>
      </c>
      <c r="F8248" s="1" t="s">
        <v>39576</v>
      </c>
      <c r="G8248" s="7">
        <v>42498.0</v>
      </c>
      <c r="H8248" s="1">
        <v>2015.0</v>
      </c>
      <c r="I8248" s="1" t="s">
        <v>42</v>
      </c>
      <c r="J8248" s="1" t="s">
        <v>1256</v>
      </c>
      <c r="K8248" s="1" t="s">
        <v>89</v>
      </c>
      <c r="L8248" s="1" t="s">
        <v>39577</v>
      </c>
      <c r="M8248" s="2" t="s">
        <v>12</v>
      </c>
      <c r="N8248" s="4">
        <f t="shared" si="1"/>
        <v>42498</v>
      </c>
      <c r="O8248" s="5" t="str">
        <f>IFERROR(__xludf.DUMMYFUNCTION("IF(REGEXMATCH(TRIM(I8248), ""^\d+\s*min""), ""Unclassified"", IF(I8248 = """", ""NR"", I8248))"),"TV-MA")</f>
        <v>TV-MA</v>
      </c>
      <c r="R8248" s="5" t="str">
        <f t="shared" si="2"/>
        <v>The Chosen Ones</v>
      </c>
      <c r="S8248" s="5" t="str">
        <f>IFERROR(__xludf.DUMMYFUNCTION("""COMPUTED_VALUE"""),"Ujala")</f>
        <v>Ujala</v>
      </c>
      <c r="V8248" s="5"/>
      <c r="Y8248" s="5" t="str">
        <f>IFERROR(__xludf.DUMMYFUNCTION("REGEXEXTRACT(J8248, ""^\d+"")"),"107")</f>
        <v>107</v>
      </c>
      <c r="Z8248" s="5" t="str">
        <f>IFERROR(__xludf.DUMMYFUNCTION("REGEXEXTRACT(J8248, ""[A-Za-z ]+$"")")," min")</f>
        <v> min</v>
      </c>
      <c r="AA8248" s="5" t="str">
        <f>IFERROR(__xludf.DUMMYFUNCTION("IF(REGEXMATCH(Z8248, ""Season""), ""TV Show"", ""Movie"")"),"Movie")</f>
        <v>Movie</v>
      </c>
    </row>
    <row r="8249">
      <c r="A8249" s="1" t="s">
        <v>39578</v>
      </c>
      <c r="B8249" s="1" t="s">
        <v>27</v>
      </c>
      <c r="C8249" s="1" t="s">
        <v>39579</v>
      </c>
      <c r="D8249" s="1" t="s">
        <v>11460</v>
      </c>
      <c r="E8249" s="1" t="s">
        <v>39580</v>
      </c>
      <c r="F8249" s="1" t="s">
        <v>686</v>
      </c>
      <c r="G8249" s="1" t="s">
        <v>18333</v>
      </c>
      <c r="H8249" s="1">
        <v>2013.0</v>
      </c>
      <c r="I8249" s="1" t="s">
        <v>78</v>
      </c>
      <c r="J8249" s="1" t="s">
        <v>433</v>
      </c>
      <c r="K8249" s="1" t="s">
        <v>1198</v>
      </c>
      <c r="L8249" s="1" t="s">
        <v>39581</v>
      </c>
      <c r="M8249" s="2" t="s">
        <v>12</v>
      </c>
      <c r="N8249" s="4">
        <f t="shared" si="1"/>
        <v>43770</v>
      </c>
      <c r="O8249" s="5" t="str">
        <f>IFERROR(__xludf.DUMMYFUNCTION("IF(REGEXMATCH(TRIM(I8249), ""^\d+\s*min""), ""Unclassified"", IF(I8249 = """", ""NR"", I8249))"),"PG")</f>
        <v>PG</v>
      </c>
      <c r="R8249" s="5" t="str">
        <f t="shared" si="2"/>
        <v>The Christmas Candle</v>
      </c>
      <c r="S8249" s="5" t="str">
        <f>IFERROR(__xludf.DUMMYFUNCTION("""COMPUTED_VALUE"""),"Ultimate Beastmaster")</f>
        <v>Ultimate Beastmaster</v>
      </c>
      <c r="V8249" s="5"/>
      <c r="Y8249" s="5" t="str">
        <f>IFERROR(__xludf.DUMMYFUNCTION("REGEXEXTRACT(J8249, ""^\d+"")"),"100")</f>
        <v>100</v>
      </c>
      <c r="Z8249" s="5" t="str">
        <f>IFERROR(__xludf.DUMMYFUNCTION("REGEXEXTRACT(J8249, ""[A-Za-z ]+$"")")," min")</f>
        <v> min</v>
      </c>
      <c r="AA8249" s="5" t="str">
        <f>IFERROR(__xludf.DUMMYFUNCTION("IF(REGEXMATCH(Z8249, ""Season""), ""TV Show"", ""Movie"")"),"Movie")</f>
        <v>Movie</v>
      </c>
    </row>
    <row r="8250">
      <c r="A8250" s="1" t="s">
        <v>39582</v>
      </c>
      <c r="B8250" s="1" t="s">
        <v>27</v>
      </c>
      <c r="C8250" s="1" t="s">
        <v>39583</v>
      </c>
      <c r="D8250" s="1" t="s">
        <v>15563</v>
      </c>
      <c r="E8250" s="1" t="s">
        <v>39584</v>
      </c>
      <c r="F8250" s="1" t="s">
        <v>30</v>
      </c>
      <c r="G8250" s="1" t="s">
        <v>21838</v>
      </c>
      <c r="H8250" s="1">
        <v>2016.0</v>
      </c>
      <c r="I8250" s="1" t="s">
        <v>136</v>
      </c>
      <c r="J8250" s="1" t="s">
        <v>665</v>
      </c>
      <c r="K8250" s="1" t="s">
        <v>137</v>
      </c>
      <c r="L8250" s="1" t="s">
        <v>39585</v>
      </c>
      <c r="M8250" s="2" t="s">
        <v>12</v>
      </c>
      <c r="N8250" s="4">
        <f t="shared" si="1"/>
        <v>43525</v>
      </c>
      <c r="O8250" s="5" t="str">
        <f>IFERROR(__xludf.DUMMYFUNCTION("IF(REGEXMATCH(TRIM(I8250), ""^\d+\s*min""), ""Unclassified"", IF(I8250 = """", ""NR"", I8250))"),"TV-PG")</f>
        <v>TV-PG</v>
      </c>
      <c r="R8250" s="5" t="str">
        <f t="shared" si="2"/>
        <v>The Christmas Project</v>
      </c>
      <c r="S8250" s="5" t="str">
        <f>IFERROR(__xludf.DUMMYFUNCTION("""COMPUTED_VALUE"""),"Ultimate Beastmaster México")</f>
        <v>Ultimate Beastmaster México</v>
      </c>
      <c r="V8250" s="5"/>
      <c r="Y8250" s="5" t="str">
        <f>IFERROR(__xludf.DUMMYFUNCTION("REGEXEXTRACT(J8250, ""^\d+"")"),"92")</f>
        <v>92</v>
      </c>
      <c r="Z8250" s="5" t="str">
        <f>IFERROR(__xludf.DUMMYFUNCTION("REGEXEXTRACT(J8250, ""[A-Za-z ]+$"")")," min")</f>
        <v> min</v>
      </c>
      <c r="AA8250" s="5" t="str">
        <f>IFERROR(__xludf.DUMMYFUNCTION("IF(REGEXMATCH(Z8250, ""Season""), ""TV Show"", ""Movie"")"),"Movie")</f>
        <v>Movie</v>
      </c>
    </row>
    <row r="8251">
      <c r="A8251" s="1" t="s">
        <v>39586</v>
      </c>
      <c r="B8251" s="1" t="s">
        <v>27</v>
      </c>
      <c r="C8251" s="1" t="s">
        <v>39587</v>
      </c>
      <c r="D8251" s="1" t="s">
        <v>17073</v>
      </c>
      <c r="E8251" s="1" t="s">
        <v>39588</v>
      </c>
      <c r="F8251" s="1" t="s">
        <v>30</v>
      </c>
      <c r="G8251" s="1" t="s">
        <v>18333</v>
      </c>
      <c r="H8251" s="1">
        <v>1965.0</v>
      </c>
      <c r="I8251" s="1" t="s">
        <v>97</v>
      </c>
      <c r="J8251" s="1" t="s">
        <v>238</v>
      </c>
      <c r="K8251" s="1" t="s">
        <v>1164</v>
      </c>
      <c r="L8251" s="1" t="s">
        <v>39589</v>
      </c>
      <c r="M8251" s="2" t="s">
        <v>12</v>
      </c>
      <c r="N8251" s="4">
        <f t="shared" si="1"/>
        <v>43770</v>
      </c>
      <c r="O8251" s="5" t="str">
        <f>IFERROR(__xludf.DUMMYFUNCTION("IF(REGEXMATCH(TRIM(I8251), ""^\d+\s*min""), ""Unclassified"", IF(I8251 = """", ""NR"", I8251))"),"TV-14")</f>
        <v>TV-14</v>
      </c>
      <c r="R8251" s="5" t="str">
        <f t="shared" si="2"/>
        <v>The Cincinnati Kid</v>
      </c>
      <c r="S8251" s="5" t="str">
        <f>IFERROR(__xludf.DUMMYFUNCTION("""COMPUTED_VALUE"""),"Ultraman")</f>
        <v>Ultraman</v>
      </c>
      <c r="V8251" s="5"/>
      <c r="Y8251" s="5" t="str">
        <f>IFERROR(__xludf.DUMMYFUNCTION("REGEXEXTRACT(J8251, ""^\d+"")"),"103")</f>
        <v>103</v>
      </c>
      <c r="Z8251" s="5" t="str">
        <f>IFERROR(__xludf.DUMMYFUNCTION("REGEXEXTRACT(J8251, ""[A-Za-z ]+$"")")," min")</f>
        <v> min</v>
      </c>
      <c r="AA8251" s="5" t="str">
        <f>IFERROR(__xludf.DUMMYFUNCTION("IF(REGEXMATCH(Z8251, ""Season""), ""TV Show"", ""Movie"")"),"Movie")</f>
        <v>Movie</v>
      </c>
    </row>
    <row r="8252">
      <c r="A8252" s="1" t="s">
        <v>39590</v>
      </c>
      <c r="B8252" s="1" t="s">
        <v>37</v>
      </c>
      <c r="C8252" s="1" t="s">
        <v>39591</v>
      </c>
      <c r="E8252" s="1" t="s">
        <v>39592</v>
      </c>
      <c r="F8252" s="1" t="s">
        <v>96</v>
      </c>
      <c r="G8252" s="1" t="s">
        <v>26295</v>
      </c>
      <c r="H8252" s="1">
        <v>2011.0</v>
      </c>
      <c r="I8252" s="1" t="s">
        <v>136</v>
      </c>
      <c r="J8252" s="1" t="s">
        <v>51</v>
      </c>
      <c r="K8252" s="1" t="s">
        <v>544</v>
      </c>
      <c r="L8252" s="1" t="s">
        <v>39593</v>
      </c>
      <c r="M8252" s="2" t="s">
        <v>12</v>
      </c>
      <c r="N8252" s="4">
        <f t="shared" si="1"/>
        <v>43132</v>
      </c>
      <c r="O8252" s="5" t="str">
        <f>IFERROR(__xludf.DUMMYFUNCTION("IF(REGEXMATCH(TRIM(I8252), ""^\d+\s*min""), ""Unclassified"", IF(I8252 = """", ""NR"", I8252))"),"TV-PG")</f>
        <v>TV-PG</v>
      </c>
      <c r="R8252" s="5" t="str">
        <f t="shared" si="2"/>
        <v>The Code</v>
      </c>
      <c r="S8252" s="5" t="str">
        <f>IFERROR(__xludf.DUMMYFUNCTION("""COMPUTED_VALUE"""),"Ultramarine Magmell")</f>
        <v>Ultramarine Magmell</v>
      </c>
      <c r="V8252" s="5"/>
      <c r="Y8252" s="5" t="str">
        <f>IFERROR(__xludf.DUMMYFUNCTION("REGEXEXTRACT(J8252, ""^\d+"")"),"1")</f>
        <v>1</v>
      </c>
      <c r="Z8252" s="5" t="str">
        <f>IFERROR(__xludf.DUMMYFUNCTION("REGEXEXTRACT(J8252, ""[A-Za-z ]+$"")")," Season")</f>
        <v> Season</v>
      </c>
      <c r="AA8252" s="5" t="str">
        <f>IFERROR(__xludf.DUMMYFUNCTION("IF(REGEXMATCH(Z8252, ""Season""), ""TV Show"", ""Movie"")"),"TV Show")</f>
        <v>TV Show</v>
      </c>
    </row>
    <row r="8253">
      <c r="A8253" s="1" t="s">
        <v>39594</v>
      </c>
      <c r="B8253" s="1" t="s">
        <v>27</v>
      </c>
      <c r="C8253" s="1" t="s">
        <v>39595</v>
      </c>
      <c r="D8253" s="1" t="s">
        <v>5808</v>
      </c>
      <c r="E8253" s="1" t="s">
        <v>39596</v>
      </c>
      <c r="F8253" s="1" t="s">
        <v>30</v>
      </c>
      <c r="G8253" s="1" t="s">
        <v>24995</v>
      </c>
      <c r="H8253" s="1">
        <v>2010.0</v>
      </c>
      <c r="I8253" s="1" t="s">
        <v>378</v>
      </c>
      <c r="J8253" s="1" t="s">
        <v>305</v>
      </c>
      <c r="K8253" s="1" t="s">
        <v>1320</v>
      </c>
      <c r="L8253" s="1" t="s">
        <v>39597</v>
      </c>
      <c r="M8253" s="2" t="s">
        <v>12</v>
      </c>
      <c r="N8253" s="4">
        <f t="shared" si="1"/>
        <v>43309</v>
      </c>
      <c r="O8253" s="5" t="str">
        <f>IFERROR(__xludf.DUMMYFUNCTION("IF(REGEXMATCH(TRIM(I8253), ""^\d+\s*min""), ""Unclassified"", IF(I8253 = """", ""NR"", I8253))"),"R")</f>
        <v>R</v>
      </c>
      <c r="R8253" s="5" t="str">
        <f t="shared" si="2"/>
        <v>The Company Men</v>
      </c>
      <c r="S8253" s="5" t="str">
        <f>IFERROR(__xludf.DUMMYFUNCTION("""COMPUTED_VALUE"""),"Ultras")</f>
        <v>Ultras</v>
      </c>
      <c r="V8253" s="5"/>
      <c r="Y8253" s="5" t="str">
        <f>IFERROR(__xludf.DUMMYFUNCTION("REGEXEXTRACT(J8253, ""^\d+"")"),"105")</f>
        <v>105</v>
      </c>
      <c r="Z8253" s="5" t="str">
        <f>IFERROR(__xludf.DUMMYFUNCTION("REGEXEXTRACT(J8253, ""[A-Za-z ]+$"")")," min")</f>
        <v> min</v>
      </c>
      <c r="AA8253" s="5" t="str">
        <f>IFERROR(__xludf.DUMMYFUNCTION("IF(REGEXMATCH(Z8253, ""Season""), ""TV Show"", ""Movie"")"),"Movie")</f>
        <v>Movie</v>
      </c>
    </row>
    <row r="8254">
      <c r="A8254" s="1" t="s">
        <v>39598</v>
      </c>
      <c r="B8254" s="1" t="s">
        <v>27</v>
      </c>
      <c r="C8254" s="1" t="s">
        <v>39599</v>
      </c>
      <c r="D8254" s="1" t="s">
        <v>9126</v>
      </c>
      <c r="E8254" s="1" t="s">
        <v>39600</v>
      </c>
      <c r="F8254" s="1" t="s">
        <v>30</v>
      </c>
      <c r="G8254" s="1" t="s">
        <v>33304</v>
      </c>
      <c r="H8254" s="1">
        <v>2018.0</v>
      </c>
      <c r="I8254" s="1" t="s">
        <v>97</v>
      </c>
      <c r="J8254" s="1" t="s">
        <v>238</v>
      </c>
      <c r="K8254" s="1" t="s">
        <v>813</v>
      </c>
      <c r="L8254" s="1" t="s">
        <v>39601</v>
      </c>
      <c r="M8254" s="2" t="s">
        <v>12</v>
      </c>
      <c r="N8254" s="4">
        <f t="shared" si="1"/>
        <v>43669</v>
      </c>
      <c r="O8254" s="5" t="str">
        <f>IFERROR(__xludf.DUMMYFUNCTION("IF(REGEXMATCH(TRIM(I8254), ""^\d+\s*min""), ""Unclassified"", IF(I8254 = """", ""NR"", I8254))"),"TV-14")</f>
        <v>TV-14</v>
      </c>
      <c r="R8254" s="5" t="str">
        <f t="shared" si="2"/>
        <v>The Competition</v>
      </c>
      <c r="S8254" s="5" t="str">
        <f>IFERROR(__xludf.DUMMYFUNCTION("""COMPUTED_VALUE"""),"Ultraviolet")</f>
        <v>Ultraviolet</v>
      </c>
      <c r="V8254" s="5"/>
      <c r="Y8254" s="5" t="str">
        <f>IFERROR(__xludf.DUMMYFUNCTION("REGEXEXTRACT(J8254, ""^\d+"")"),"103")</f>
        <v>103</v>
      </c>
      <c r="Z8254" s="5" t="str">
        <f>IFERROR(__xludf.DUMMYFUNCTION("REGEXEXTRACT(J8254, ""[A-Za-z ]+$"")")," min")</f>
        <v> min</v>
      </c>
      <c r="AA8254" s="5" t="str">
        <f>IFERROR(__xludf.DUMMYFUNCTION("IF(REGEXMATCH(Z8254, ""Season""), ""TV Show"", ""Movie"")"),"Movie")</f>
        <v>Movie</v>
      </c>
    </row>
    <row r="8255">
      <c r="A8255" s="1" t="s">
        <v>39602</v>
      </c>
      <c r="B8255" s="1" t="s">
        <v>27</v>
      </c>
      <c r="C8255" s="1" t="s">
        <v>39603</v>
      </c>
      <c r="D8255" s="1" t="s">
        <v>3533</v>
      </c>
      <c r="E8255" s="1" t="s">
        <v>39604</v>
      </c>
      <c r="F8255" s="1" t="s">
        <v>1106</v>
      </c>
      <c r="G8255" s="1" t="s">
        <v>32875</v>
      </c>
      <c r="H8255" s="1">
        <v>2016.0</v>
      </c>
      <c r="I8255" s="1" t="s">
        <v>32</v>
      </c>
      <c r="J8255" s="1" t="s">
        <v>1091</v>
      </c>
      <c r="K8255" s="1" t="s">
        <v>836</v>
      </c>
      <c r="L8255" s="1" t="s">
        <v>39605</v>
      </c>
      <c r="M8255" s="2" t="s">
        <v>12</v>
      </c>
      <c r="N8255" s="4">
        <f t="shared" si="1"/>
        <v>43502</v>
      </c>
      <c r="O8255" s="5" t="str">
        <f>IFERROR(__xludf.DUMMYFUNCTION("IF(REGEXMATCH(TRIM(I8255), ""^\d+\s*min""), ""Unclassified"", IF(I8255 = """", ""NR"", I8255))"),"PG-13")</f>
        <v>PG-13</v>
      </c>
      <c r="R8255" s="5" t="str">
        <f t="shared" si="2"/>
        <v>The Confirmation</v>
      </c>
      <c r="S8255" s="5" t="str">
        <f>IFERROR(__xludf.DUMMYFUNCTION("""COMPUTED_VALUE"""),"Uma Maheswara Ugra Roopasya")</f>
        <v>Uma Maheswara Ugra Roopasya</v>
      </c>
      <c r="V8255" s="5"/>
      <c r="Y8255" s="5" t="str">
        <f>IFERROR(__xludf.DUMMYFUNCTION("REGEXEXTRACT(J8255, ""^\d+"")"),"101")</f>
        <v>101</v>
      </c>
      <c r="Z8255" s="5" t="str">
        <f>IFERROR(__xludf.DUMMYFUNCTION("REGEXEXTRACT(J8255, ""[A-Za-z ]+$"")")," min")</f>
        <v> min</v>
      </c>
      <c r="AA8255" s="5" t="str">
        <f>IFERROR(__xludf.DUMMYFUNCTION("IF(REGEXMATCH(Z8255, ""Season""), ""TV Show"", ""Movie"")"),"Movie")</f>
        <v>Movie</v>
      </c>
    </row>
    <row r="8256">
      <c r="A8256" s="1" t="s">
        <v>39606</v>
      </c>
      <c r="B8256" s="1" t="s">
        <v>27</v>
      </c>
      <c r="C8256" s="1" t="s">
        <v>39607</v>
      </c>
      <c r="D8256" s="1" t="s">
        <v>2488</v>
      </c>
      <c r="E8256" s="1" t="s">
        <v>39608</v>
      </c>
      <c r="F8256" s="1" t="s">
        <v>39609</v>
      </c>
      <c r="G8256" s="1" t="s">
        <v>19477</v>
      </c>
      <c r="H8256" s="1">
        <v>2013.0</v>
      </c>
      <c r="I8256" s="1" t="s">
        <v>42</v>
      </c>
      <c r="J8256" s="1" t="s">
        <v>2566</v>
      </c>
      <c r="K8256" s="1" t="s">
        <v>5704</v>
      </c>
      <c r="L8256" s="1" t="s">
        <v>39610</v>
      </c>
      <c r="M8256" s="2" t="s">
        <v>12</v>
      </c>
      <c r="N8256" s="4">
        <f t="shared" si="1"/>
        <v>43700</v>
      </c>
      <c r="O8256" s="5" t="str">
        <f>IFERROR(__xludf.DUMMYFUNCTION("IF(REGEXMATCH(TRIM(I8256), ""^\d+\s*min""), ""Unclassified"", IF(I8256 = """", ""NR"", I8256))"),"TV-MA")</f>
        <v>TV-MA</v>
      </c>
      <c r="R8256" s="5" t="str">
        <f t="shared" si="2"/>
        <v>The Congress</v>
      </c>
      <c r="S8256" s="5" t="str">
        <f>IFERROR(__xludf.DUMMYFUNCTION("""COMPUTED_VALUE"""),"Umrika")</f>
        <v>Umrika</v>
      </c>
      <c r="V8256" s="5"/>
      <c r="Y8256" s="5" t="str">
        <f>IFERROR(__xludf.DUMMYFUNCTION("REGEXEXTRACT(J8256, ""^\d+"")"),"123")</f>
        <v>123</v>
      </c>
      <c r="Z8256" s="5" t="str">
        <f>IFERROR(__xludf.DUMMYFUNCTION("REGEXEXTRACT(J8256, ""[A-Za-z ]+$"")")," min")</f>
        <v> min</v>
      </c>
      <c r="AA8256" s="5" t="str">
        <f>IFERROR(__xludf.DUMMYFUNCTION("IF(REGEXMATCH(Z8256, ""Season""), ""TV Show"", ""Movie"")"),"Movie")</f>
        <v>Movie</v>
      </c>
    </row>
    <row r="8257">
      <c r="A8257" s="1" t="s">
        <v>39611</v>
      </c>
      <c r="B8257" s="1" t="s">
        <v>27</v>
      </c>
      <c r="C8257" s="1" t="s">
        <v>39612</v>
      </c>
      <c r="D8257" s="1" t="s">
        <v>1635</v>
      </c>
      <c r="E8257" s="1" t="s">
        <v>39613</v>
      </c>
      <c r="F8257" s="1" t="s">
        <v>3309</v>
      </c>
      <c r="G8257" s="1" t="s">
        <v>21074</v>
      </c>
      <c r="H8257" s="1">
        <v>2011.0</v>
      </c>
      <c r="I8257" s="1" t="s">
        <v>97</v>
      </c>
      <c r="J8257" s="1" t="s">
        <v>835</v>
      </c>
      <c r="K8257" s="1" t="s">
        <v>9309</v>
      </c>
      <c r="L8257" s="1" t="s">
        <v>39614</v>
      </c>
      <c r="M8257" s="2" t="s">
        <v>12</v>
      </c>
      <c r="N8257" s="4">
        <f t="shared" si="1"/>
        <v>43580</v>
      </c>
      <c r="O8257" s="5" t="str">
        <f>IFERROR(__xludf.DUMMYFUNCTION("IF(REGEXMATCH(TRIM(I8257), ""^\d+\s*min""), ""Unclassified"", IF(I8257 = """", ""NR"", I8257))"),"TV-14")</f>
        <v>TV-14</v>
      </c>
      <c r="R8257" s="5" t="str">
        <f t="shared" si="2"/>
        <v>The Consul'S Son</v>
      </c>
      <c r="S8257" s="5" t="str">
        <f>IFERROR(__xludf.DUMMYFUNCTION("""COMPUTED_VALUE"""),"Un Plus Une")</f>
        <v>Un Plus Une</v>
      </c>
      <c r="V8257" s="5"/>
      <c r="Y8257" s="5" t="str">
        <f>IFERROR(__xludf.DUMMYFUNCTION("REGEXEXTRACT(J8257, ""^\d+"")"),"114")</f>
        <v>114</v>
      </c>
      <c r="Z8257" s="5" t="str">
        <f>IFERROR(__xludf.DUMMYFUNCTION("REGEXEXTRACT(J8257, ""[A-Za-z ]+$"")")," min")</f>
        <v> min</v>
      </c>
      <c r="AA8257" s="5" t="str">
        <f>IFERROR(__xludf.DUMMYFUNCTION("IF(REGEXMATCH(Z8257, ""Season""), ""TV Show"", ""Movie"")"),"Movie")</f>
        <v>Movie</v>
      </c>
    </row>
    <row r="8258">
      <c r="A8258" s="1" t="s">
        <v>39615</v>
      </c>
      <c r="B8258" s="1" t="s">
        <v>27</v>
      </c>
      <c r="C8258" s="1" t="s">
        <v>39616</v>
      </c>
      <c r="D8258" s="1" t="s">
        <v>1886</v>
      </c>
      <c r="E8258" s="1" t="s">
        <v>39617</v>
      </c>
      <c r="F8258" s="1" t="s">
        <v>30</v>
      </c>
      <c r="G8258" s="1" t="s">
        <v>16947</v>
      </c>
      <c r="H8258" s="1">
        <v>1996.0</v>
      </c>
      <c r="I8258" s="1" t="s">
        <v>378</v>
      </c>
      <c r="J8258" s="1" t="s">
        <v>1091</v>
      </c>
      <c r="K8258" s="1" t="s">
        <v>3768</v>
      </c>
      <c r="L8258" s="1" t="s">
        <v>39618</v>
      </c>
      <c r="M8258" s="2" t="s">
        <v>12</v>
      </c>
      <c r="N8258" s="4">
        <f t="shared" si="1"/>
        <v>43831</v>
      </c>
      <c r="O8258" s="5" t="str">
        <f>IFERROR(__xludf.DUMMYFUNCTION("IF(REGEXMATCH(TRIM(I8258), ""^\d+\s*min""), ""Unclassified"", IF(I8258 = """", ""NR"", I8258))"),"R")</f>
        <v>R</v>
      </c>
      <c r="R8258" s="5" t="str">
        <f t="shared" si="2"/>
        <v>The Craft</v>
      </c>
      <c r="S8258" s="5" t="str">
        <f>IFERROR(__xludf.DUMMYFUNCTION("""COMPUTED_VALUE"""),"Una")</f>
        <v>Una</v>
      </c>
      <c r="V8258" s="5"/>
      <c r="Y8258" s="5" t="str">
        <f>IFERROR(__xludf.DUMMYFUNCTION("REGEXEXTRACT(J8258, ""^\d+"")"),"101")</f>
        <v>101</v>
      </c>
      <c r="Z8258" s="5" t="str">
        <f>IFERROR(__xludf.DUMMYFUNCTION("REGEXEXTRACT(J8258, ""[A-Za-z ]+$"")")," min")</f>
        <v> min</v>
      </c>
      <c r="AA8258" s="5" t="str">
        <f>IFERROR(__xludf.DUMMYFUNCTION("IF(REGEXMATCH(Z8258, ""Season""), ""TV Show"", ""Movie"")"),"Movie")</f>
        <v>Movie</v>
      </c>
    </row>
    <row r="8259">
      <c r="A8259" s="1" t="s">
        <v>39619</v>
      </c>
      <c r="B8259" s="1" t="s">
        <v>37</v>
      </c>
      <c r="C8259" s="1" t="s">
        <v>39620</v>
      </c>
      <c r="E8259" s="1" t="s">
        <v>39621</v>
      </c>
      <c r="F8259" s="1" t="s">
        <v>749</v>
      </c>
      <c r="G8259" s="1" t="s">
        <v>39622</v>
      </c>
      <c r="H8259" s="1">
        <v>2016.0</v>
      </c>
      <c r="I8259" s="1" t="s">
        <v>97</v>
      </c>
      <c r="J8259" s="1" t="s">
        <v>43</v>
      </c>
      <c r="K8259" s="1" t="s">
        <v>4219</v>
      </c>
      <c r="L8259" s="1" t="s">
        <v>39623</v>
      </c>
      <c r="M8259" s="2" t="s">
        <v>12</v>
      </c>
      <c r="N8259" s="1" t="str">
        <f t="shared" si="1"/>
        <v>#N/A</v>
      </c>
      <c r="O8259" s="5" t="str">
        <f>IFERROR(__xludf.DUMMYFUNCTION("IF(REGEXMATCH(TRIM(I8259), ""^\d+\s*min""), ""Unclassified"", IF(I8259 = """", ""NR"", I8259))"),"TV-14")</f>
        <v>TV-14</v>
      </c>
      <c r="R8259" s="5" t="str">
        <f t="shared" si="2"/>
        <v>The Cravings</v>
      </c>
      <c r="S8259" s="5" t="str">
        <f>IFERROR(__xludf.DUMMYFUNCTION("""COMPUTED_VALUE"""),"Unabomber - In His Own Words")</f>
        <v>Unabomber - In His Own Words</v>
      </c>
      <c r="V8259" s="5"/>
      <c r="Y8259" s="5" t="str">
        <f>IFERROR(__xludf.DUMMYFUNCTION("REGEXEXTRACT(J8259, ""^\d+"")"),"2")</f>
        <v>2</v>
      </c>
      <c r="Z8259" s="5" t="str">
        <f>IFERROR(__xludf.DUMMYFUNCTION("REGEXEXTRACT(J8259, ""[A-Za-z ]+$"")")," Seasons")</f>
        <v> Seasons</v>
      </c>
      <c r="AA8259" s="5" t="str">
        <f>IFERROR(__xludf.DUMMYFUNCTION("IF(REGEXMATCH(Z8259, ""Season""), ""TV Show"", ""Movie"")"),"TV Show")</f>
        <v>TV Show</v>
      </c>
    </row>
    <row r="8260">
      <c r="A8260" s="1" t="s">
        <v>39624</v>
      </c>
      <c r="B8260" s="1" t="s">
        <v>27</v>
      </c>
      <c r="C8260" s="1" t="s">
        <v>39625</v>
      </c>
      <c r="D8260" s="1" t="s">
        <v>13059</v>
      </c>
      <c r="E8260" s="1" t="s">
        <v>39626</v>
      </c>
      <c r="F8260" s="1" t="s">
        <v>30</v>
      </c>
      <c r="G8260" s="1" t="s">
        <v>19838</v>
      </c>
      <c r="H8260" s="1">
        <v>2013.0</v>
      </c>
      <c r="I8260" s="1" t="s">
        <v>78</v>
      </c>
      <c r="J8260" s="1" t="s">
        <v>416</v>
      </c>
      <c r="K8260" s="1" t="s">
        <v>137</v>
      </c>
      <c r="L8260" s="1" t="s">
        <v>39627</v>
      </c>
      <c r="M8260" s="2" t="s">
        <v>12</v>
      </c>
      <c r="N8260" s="4">
        <f t="shared" si="1"/>
        <v>43675</v>
      </c>
      <c r="O8260" s="5" t="str">
        <f>IFERROR(__xludf.DUMMYFUNCTION("IF(REGEXMATCH(TRIM(I8260), ""^\d+\s*min""), ""Unclassified"", IF(I8260 = """", ""NR"", I8260))"),"PG")</f>
        <v>PG</v>
      </c>
      <c r="R8260" s="5" t="str">
        <f t="shared" si="2"/>
        <v>The Croods</v>
      </c>
      <c r="S8260" s="5" t="str">
        <f>IFERROR(__xludf.DUMMYFUNCTION("""COMPUTED_VALUE"""),"Unaccompanied Minors")</f>
        <v>Unaccompanied Minors</v>
      </c>
      <c r="V8260" s="5"/>
      <c r="Y8260" s="5" t="str">
        <f>IFERROR(__xludf.DUMMYFUNCTION("REGEXEXTRACT(J8260, ""^\d+"")"),"99")</f>
        <v>99</v>
      </c>
      <c r="Z8260" s="5" t="str">
        <f>IFERROR(__xludf.DUMMYFUNCTION("REGEXEXTRACT(J8260, ""[A-Za-z ]+$"")")," min")</f>
        <v> min</v>
      </c>
      <c r="AA8260" s="5" t="str">
        <f>IFERROR(__xludf.DUMMYFUNCTION("IF(REGEXMATCH(Z8260, ""Season""), ""TV Show"", ""Movie"")"),"Movie")</f>
        <v>Movie</v>
      </c>
    </row>
    <row r="8261">
      <c r="A8261" s="1" t="s">
        <v>39628</v>
      </c>
      <c r="B8261" s="1" t="s">
        <v>27</v>
      </c>
      <c r="C8261" s="1" t="s">
        <v>39629</v>
      </c>
      <c r="D8261" s="1" t="s">
        <v>1157</v>
      </c>
      <c r="E8261" s="1" t="s">
        <v>39630</v>
      </c>
      <c r="F8261" s="1" t="s">
        <v>30</v>
      </c>
      <c r="G8261" s="1" t="s">
        <v>22635</v>
      </c>
      <c r="H8261" s="1">
        <v>1994.0</v>
      </c>
      <c r="I8261" s="1" t="s">
        <v>378</v>
      </c>
      <c r="J8261" s="1" t="s">
        <v>447</v>
      </c>
      <c r="K8261" s="1" t="s">
        <v>4754</v>
      </c>
      <c r="L8261" s="1" t="s">
        <v>39631</v>
      </c>
      <c r="M8261" s="2" t="s">
        <v>12</v>
      </c>
      <c r="N8261" s="4">
        <f t="shared" si="1"/>
        <v>43466</v>
      </c>
      <c r="O8261" s="5" t="str">
        <f>IFERROR(__xludf.DUMMYFUNCTION("IF(REGEXMATCH(TRIM(I8261), ""^\d+\s*min""), ""Unclassified"", IF(I8261 = """", ""NR"", I8261))"),"R")</f>
        <v>R</v>
      </c>
      <c r="R8261" s="5" t="str">
        <f t="shared" si="2"/>
        <v>The Crow</v>
      </c>
      <c r="S8261" s="5" t="str">
        <f>IFERROR(__xludf.DUMMYFUNCTION("""COMPUTED_VALUE"""),"Unacknowledged")</f>
        <v>Unacknowledged</v>
      </c>
      <c r="V8261" s="5"/>
      <c r="Y8261" s="5" t="str">
        <f>IFERROR(__xludf.DUMMYFUNCTION("REGEXEXTRACT(J8261, ""^\d+"")"),"102")</f>
        <v>102</v>
      </c>
      <c r="Z8261" s="5" t="str">
        <f>IFERROR(__xludf.DUMMYFUNCTION("REGEXEXTRACT(J8261, ""[A-Za-z ]+$"")")," min")</f>
        <v> min</v>
      </c>
      <c r="AA8261" s="5" t="str">
        <f>IFERROR(__xludf.DUMMYFUNCTION("IF(REGEXMATCH(Z8261, ""Season""), ""TV Show"", ""Movie"")"),"Movie")</f>
        <v>Movie</v>
      </c>
    </row>
    <row r="8262">
      <c r="A8262" s="1" t="s">
        <v>39632</v>
      </c>
      <c r="B8262" s="1" t="s">
        <v>27</v>
      </c>
      <c r="C8262" s="1" t="s">
        <v>39633</v>
      </c>
      <c r="D8262" s="1" t="s">
        <v>14664</v>
      </c>
      <c r="E8262" s="1" t="s">
        <v>39634</v>
      </c>
      <c r="F8262" s="1" t="s">
        <v>2446</v>
      </c>
      <c r="G8262" s="1" t="s">
        <v>18985</v>
      </c>
      <c r="H8262" s="1">
        <v>1970.0</v>
      </c>
      <c r="I8262" s="1" t="s">
        <v>136</v>
      </c>
      <c r="J8262" s="1" t="s">
        <v>2636</v>
      </c>
      <c r="K8262" s="1" t="s">
        <v>1999</v>
      </c>
      <c r="L8262" s="1" t="s">
        <v>39635</v>
      </c>
      <c r="M8262" s="2" t="s">
        <v>12</v>
      </c>
      <c r="N8262" s="4">
        <f t="shared" si="1"/>
        <v>43739</v>
      </c>
      <c r="O8262" s="5" t="str">
        <f>IFERROR(__xludf.DUMMYFUNCTION("IF(REGEXMATCH(TRIM(I8262), ""^\d+\s*min""), ""Unclassified"", IF(I8262 = """", ""NR"", I8262))"),"TV-PG")</f>
        <v>TV-PG</v>
      </c>
      <c r="R8262" s="5" t="str">
        <f t="shared" si="2"/>
        <v>The Cruise</v>
      </c>
      <c r="S8262" s="5" t="str">
        <f>IFERROR(__xludf.DUMMYFUNCTION("""COMPUTED_VALUE"""),"Unauthorized Living")</f>
        <v>Unauthorized Living</v>
      </c>
      <c r="V8262" s="5"/>
      <c r="Y8262" s="5" t="str">
        <f>IFERROR(__xludf.DUMMYFUNCTION("REGEXEXTRACT(J8262, ""^\d+"")"),"66")</f>
        <v>66</v>
      </c>
      <c r="Z8262" s="5" t="str">
        <f>IFERROR(__xludf.DUMMYFUNCTION("REGEXEXTRACT(J8262, ""[A-Za-z ]+$"")")," min")</f>
        <v> min</v>
      </c>
      <c r="AA8262" s="5" t="str">
        <f>IFERROR(__xludf.DUMMYFUNCTION("IF(REGEXMATCH(Z8262, ""Season""), ""TV Show"", ""Movie"")"),"Movie")</f>
        <v>Movie</v>
      </c>
    </row>
    <row r="8263">
      <c r="A8263" s="1" t="s">
        <v>39636</v>
      </c>
      <c r="B8263" s="1" t="s">
        <v>27</v>
      </c>
      <c r="C8263" s="1" t="s">
        <v>39637</v>
      </c>
      <c r="D8263" s="1" t="s">
        <v>16683</v>
      </c>
      <c r="E8263" s="1" t="s">
        <v>39638</v>
      </c>
      <c r="F8263" s="1" t="s">
        <v>18023</v>
      </c>
      <c r="G8263" s="1" t="s">
        <v>16947</v>
      </c>
      <c r="H8263" s="1">
        <v>1992.0</v>
      </c>
      <c r="I8263" s="1" t="s">
        <v>378</v>
      </c>
      <c r="J8263" s="1" t="s">
        <v>1243</v>
      </c>
      <c r="K8263" s="1" t="s">
        <v>39639</v>
      </c>
      <c r="L8263" s="1" t="s">
        <v>39640</v>
      </c>
      <c r="M8263" s="2" t="s">
        <v>12</v>
      </c>
      <c r="N8263" s="4">
        <f t="shared" si="1"/>
        <v>43831</v>
      </c>
      <c r="O8263" s="5" t="str">
        <f>IFERROR(__xludf.DUMMYFUNCTION("IF(REGEXMATCH(TRIM(I8263), ""^\d+\s*min""), ""Unclassified"", IF(I8263 = """", ""NR"", I8263))"),"R")</f>
        <v>R</v>
      </c>
      <c r="R8263" s="5" t="str">
        <f t="shared" si="2"/>
        <v>The Crying Game</v>
      </c>
      <c r="S8263" s="5" t="str">
        <f>IFERROR(__xludf.DUMMYFUNCTION("""COMPUTED_VALUE"""),"Unbelievable")</f>
        <v>Unbelievable</v>
      </c>
      <c r="V8263" s="5"/>
      <c r="Y8263" s="5" t="str">
        <f>IFERROR(__xludf.DUMMYFUNCTION("REGEXEXTRACT(J8263, ""^\d+"")"),"112")</f>
        <v>112</v>
      </c>
      <c r="Z8263" s="5" t="str">
        <f>IFERROR(__xludf.DUMMYFUNCTION("REGEXEXTRACT(J8263, ""[A-Za-z ]+$"")")," min")</f>
        <v> min</v>
      </c>
      <c r="AA8263" s="5" t="str">
        <f>IFERROR(__xludf.DUMMYFUNCTION("IF(REGEXMATCH(Z8263, ""Season""), ""TV Show"", ""Movie"")"),"Movie")</f>
        <v>Movie</v>
      </c>
    </row>
    <row r="8264">
      <c r="A8264" s="1" t="s">
        <v>39641</v>
      </c>
      <c r="B8264" s="1" t="s">
        <v>37</v>
      </c>
      <c r="C8264" s="1" t="s">
        <v>39642</v>
      </c>
      <c r="E8264" s="1" t="s">
        <v>31016</v>
      </c>
      <c r="F8264" s="1" t="s">
        <v>30</v>
      </c>
      <c r="G8264" s="1" t="s">
        <v>19237</v>
      </c>
      <c r="H8264" s="1">
        <v>2016.0</v>
      </c>
      <c r="I8264" s="1" t="s">
        <v>136</v>
      </c>
      <c r="J8264" s="1" t="s">
        <v>51</v>
      </c>
      <c r="K8264" s="1" t="s">
        <v>736</v>
      </c>
      <c r="L8264" s="1" t="s">
        <v>39643</v>
      </c>
      <c r="M8264" s="2" t="s">
        <v>12</v>
      </c>
      <c r="N8264" s="4">
        <f t="shared" si="1"/>
        <v>43723</v>
      </c>
      <c r="O8264" s="5" t="str">
        <f>IFERROR(__xludf.DUMMYFUNCTION("IF(REGEXMATCH(TRIM(I8264), ""^\d+\s*min""), ""Unclassified"", IF(I8264 = """", ""NR"", I8264))"),"TV-PG")</f>
        <v>TV-PG</v>
      </c>
      <c r="R8264" s="5" t="str">
        <f t="shared" si="2"/>
        <v>The Curse Of Oak Island</v>
      </c>
      <c r="S8264" s="5" t="str">
        <f>IFERROR(__xludf.DUMMYFUNCTION("""COMPUTED_VALUE"""),"Unbreakable Kimmy Schmidt")</f>
        <v>Unbreakable Kimmy Schmidt</v>
      </c>
      <c r="V8264" s="5"/>
      <c r="Y8264" s="5" t="str">
        <f>IFERROR(__xludf.DUMMYFUNCTION("REGEXEXTRACT(J8264, ""^\d+"")"),"1")</f>
        <v>1</v>
      </c>
      <c r="Z8264" s="5" t="str">
        <f>IFERROR(__xludf.DUMMYFUNCTION("REGEXEXTRACT(J8264, ""[A-Za-z ]+$"")")," Season")</f>
        <v> Season</v>
      </c>
      <c r="AA8264" s="5" t="str">
        <f>IFERROR(__xludf.DUMMYFUNCTION("IF(REGEXMATCH(Z8264, ""Season""), ""TV Show"", ""Movie"")"),"TV Show")</f>
        <v>TV Show</v>
      </c>
    </row>
    <row r="8265">
      <c r="A8265" s="1" t="s">
        <v>39644</v>
      </c>
      <c r="B8265" s="1" t="s">
        <v>27</v>
      </c>
      <c r="C8265" s="1" t="s">
        <v>39645</v>
      </c>
      <c r="D8265" s="1" t="s">
        <v>10222</v>
      </c>
      <c r="E8265" s="1" t="s">
        <v>39646</v>
      </c>
      <c r="F8265" s="1" t="s">
        <v>686</v>
      </c>
      <c r="G8265" s="1" t="s">
        <v>33994</v>
      </c>
      <c r="H8265" s="1">
        <v>2015.0</v>
      </c>
      <c r="I8265" s="1" t="s">
        <v>378</v>
      </c>
      <c r="J8265" s="1" t="s">
        <v>1091</v>
      </c>
      <c r="K8265" s="1" t="s">
        <v>239</v>
      </c>
      <c r="L8265" s="1" t="s">
        <v>39647</v>
      </c>
      <c r="M8265" s="2" t="s">
        <v>12</v>
      </c>
      <c r="N8265" s="4">
        <f t="shared" si="1"/>
        <v>42827</v>
      </c>
      <c r="O8265" s="5" t="str">
        <f>IFERROR(__xludf.DUMMYFUNCTION("IF(REGEXMATCH(TRIM(I8265), ""^\d+\s*min""), ""Unclassified"", IF(I8265 = """", ""NR"", I8265))"),"R")</f>
        <v>R</v>
      </c>
      <c r="R8265" s="5" t="str">
        <f t="shared" si="2"/>
        <v>The D Train</v>
      </c>
      <c r="S8265" s="5" t="str">
        <f>IFERROR(__xludf.DUMMYFUNCTION("""COMPUTED_VALUE"""),"Unbreakable Kimmy Schmidt: Kimmy Vs. The Reverend")</f>
        <v>Unbreakable Kimmy Schmidt: Kimmy Vs. The Reverend</v>
      </c>
      <c r="V8265" s="5"/>
      <c r="Y8265" s="5" t="str">
        <f>IFERROR(__xludf.DUMMYFUNCTION("REGEXEXTRACT(J8265, ""^\d+"")"),"101")</f>
        <v>101</v>
      </c>
      <c r="Z8265" s="5" t="str">
        <f>IFERROR(__xludf.DUMMYFUNCTION("REGEXEXTRACT(J8265, ""[A-Za-z ]+$"")")," min")</f>
        <v> min</v>
      </c>
      <c r="AA8265" s="5" t="str">
        <f>IFERROR(__xludf.DUMMYFUNCTION("IF(REGEXMATCH(Z8265, ""Season""), ""TV Show"", ""Movie"")"),"Movie")</f>
        <v>Movie</v>
      </c>
    </row>
    <row r="8266">
      <c r="A8266" s="1" t="s">
        <v>39648</v>
      </c>
      <c r="B8266" s="1" t="s">
        <v>27</v>
      </c>
      <c r="C8266" s="1" t="s">
        <v>39649</v>
      </c>
      <c r="D8266" s="1" t="s">
        <v>20534</v>
      </c>
      <c r="E8266" s="1" t="s">
        <v>39650</v>
      </c>
      <c r="F8266" s="1" t="s">
        <v>63</v>
      </c>
      <c r="G8266" s="1" t="s">
        <v>26481</v>
      </c>
      <c r="H8266" s="1">
        <v>2009.0</v>
      </c>
      <c r="I8266" s="1" t="s">
        <v>97</v>
      </c>
      <c r="J8266" s="1" t="s">
        <v>416</v>
      </c>
      <c r="K8266" s="1" t="s">
        <v>128</v>
      </c>
      <c r="L8266" s="1" t="s">
        <v>39651</v>
      </c>
      <c r="M8266" s="2" t="s">
        <v>12</v>
      </c>
      <c r="N8266" s="4">
        <f t="shared" si="1"/>
        <v>43101</v>
      </c>
      <c r="O8266" s="5" t="str">
        <f>IFERROR(__xludf.DUMMYFUNCTION("IF(REGEXMATCH(TRIM(I8266), ""^\d+\s*min""), ""Unclassified"", IF(I8266 = """", ""NR"", I8266))"),"TV-14")</f>
        <v>TV-14</v>
      </c>
      <c r="R8266" s="5" t="str">
        <f t="shared" si="2"/>
        <v>The Damned Rain</v>
      </c>
      <c r="S8266" s="5" t="str">
        <f>IFERROR(__xludf.DUMMYFUNCTION("""COMPUTED_VALUE"""),"Unbridled")</f>
        <v>Unbridled</v>
      </c>
      <c r="V8266" s="5"/>
      <c r="Y8266" s="5" t="str">
        <f>IFERROR(__xludf.DUMMYFUNCTION("REGEXEXTRACT(J8266, ""^\d+"")"),"99")</f>
        <v>99</v>
      </c>
      <c r="Z8266" s="5" t="str">
        <f>IFERROR(__xludf.DUMMYFUNCTION("REGEXEXTRACT(J8266, ""[A-Za-z ]+$"")")," min")</f>
        <v> min</v>
      </c>
      <c r="AA8266" s="5" t="str">
        <f>IFERROR(__xludf.DUMMYFUNCTION("IF(REGEXMATCH(Z8266, ""Season""), ""TV Show"", ""Movie"")"),"Movie")</f>
        <v>Movie</v>
      </c>
    </row>
    <row r="8267">
      <c r="A8267" s="1" t="s">
        <v>39652</v>
      </c>
      <c r="B8267" s="1" t="s">
        <v>27</v>
      </c>
      <c r="C8267" s="1" t="s">
        <v>39653</v>
      </c>
      <c r="D8267" s="1" t="s">
        <v>9565</v>
      </c>
      <c r="E8267" s="1" t="s">
        <v>39654</v>
      </c>
      <c r="F8267" s="1" t="s">
        <v>2873</v>
      </c>
      <c r="G8267" s="1" t="s">
        <v>31467</v>
      </c>
      <c r="H8267" s="1">
        <v>2011.0</v>
      </c>
      <c r="I8267" s="1" t="s">
        <v>42</v>
      </c>
      <c r="J8267" s="1" t="s">
        <v>305</v>
      </c>
      <c r="K8267" s="1" t="s">
        <v>679</v>
      </c>
      <c r="L8267" s="1" t="s">
        <v>39655</v>
      </c>
      <c r="M8267" s="2" t="s">
        <v>12</v>
      </c>
      <c r="N8267" s="4">
        <f t="shared" si="1"/>
        <v>43442</v>
      </c>
      <c r="O8267" s="5" t="str">
        <f>IFERROR(__xludf.DUMMYFUNCTION("IF(REGEXMATCH(TRIM(I8267), ""^\d+\s*min""), ""Unclassified"", IF(I8267 = """", ""NR"", I8267))"),"TV-MA")</f>
        <v>TV-MA</v>
      </c>
      <c r="R8267" s="5" t="str">
        <f t="shared" si="2"/>
        <v>The Dancer</v>
      </c>
      <c r="S8267" s="5" t="str">
        <f>IFERROR(__xludf.DUMMYFUNCTION("""COMPUTED_VALUE"""),"Unbroken")</f>
        <v>Unbroken</v>
      </c>
      <c r="V8267" s="5"/>
      <c r="Y8267" s="5" t="str">
        <f>IFERROR(__xludf.DUMMYFUNCTION("REGEXEXTRACT(J8267, ""^\d+"")"),"105")</f>
        <v>105</v>
      </c>
      <c r="Z8267" s="5" t="str">
        <f>IFERROR(__xludf.DUMMYFUNCTION("REGEXEXTRACT(J8267, ""[A-Za-z ]+$"")")," min")</f>
        <v> min</v>
      </c>
      <c r="AA8267" s="5" t="str">
        <f>IFERROR(__xludf.DUMMYFUNCTION("IF(REGEXMATCH(Z8267, ""Season""), ""TV Show"", ""Movie"")"),"Movie")</f>
        <v>Movie</v>
      </c>
    </row>
    <row r="8268">
      <c r="A8268" s="1" t="s">
        <v>39656</v>
      </c>
      <c r="B8268" s="1" t="s">
        <v>27</v>
      </c>
      <c r="C8268" s="1" t="s">
        <v>39657</v>
      </c>
      <c r="D8268" s="1" t="s">
        <v>7887</v>
      </c>
      <c r="E8268" s="1" t="s">
        <v>39658</v>
      </c>
      <c r="F8268" s="1" t="s">
        <v>692</v>
      </c>
      <c r="G8268" s="7">
        <v>43586.0</v>
      </c>
      <c r="H8268" s="1">
        <v>1982.0</v>
      </c>
      <c r="I8268" s="1" t="s">
        <v>78</v>
      </c>
      <c r="J8268" s="1" t="s">
        <v>454</v>
      </c>
      <c r="K8268" s="1" t="s">
        <v>80</v>
      </c>
      <c r="L8268" s="1" t="s">
        <v>39659</v>
      </c>
      <c r="M8268" s="2" t="s">
        <v>12</v>
      </c>
      <c r="N8268" s="4">
        <f t="shared" si="1"/>
        <v>43586</v>
      </c>
      <c r="O8268" s="5" t="str">
        <f>IFERROR(__xludf.DUMMYFUNCTION("IF(REGEXMATCH(TRIM(I8268), ""^\d+\s*min""), ""Unclassified"", IF(I8268 = """", ""NR"", I8268))"),"PG")</f>
        <v>PG</v>
      </c>
      <c r="R8268" s="5" t="str">
        <f t="shared" si="2"/>
        <v>The Dark Crystal</v>
      </c>
      <c r="S8268" s="5" t="str">
        <f>IFERROR(__xludf.DUMMYFUNCTION("""COMPUTED_VALUE"""),"Uncertain Glory")</f>
        <v>Uncertain Glory</v>
      </c>
      <c r="V8268" s="5"/>
      <c r="Y8268" s="5" t="str">
        <f>IFERROR(__xludf.DUMMYFUNCTION("REGEXEXTRACT(J8268, ""^\d+"")"),"93")</f>
        <v>93</v>
      </c>
      <c r="Z8268" s="5" t="str">
        <f>IFERROR(__xludf.DUMMYFUNCTION("REGEXEXTRACT(J8268, ""[A-Za-z ]+$"")")," min")</f>
        <v> min</v>
      </c>
      <c r="AA8268" s="5" t="str">
        <f>IFERROR(__xludf.DUMMYFUNCTION("IF(REGEXMATCH(Z8268, ""Season""), ""TV Show"", ""Movie"")"),"Movie")</f>
        <v>Movie</v>
      </c>
    </row>
    <row r="8269">
      <c r="A8269" s="1" t="s">
        <v>39660</v>
      </c>
      <c r="B8269" s="1" t="s">
        <v>27</v>
      </c>
      <c r="C8269" s="1" t="s">
        <v>39661</v>
      </c>
      <c r="D8269" s="1" t="s">
        <v>22226</v>
      </c>
      <c r="E8269" s="1" t="s">
        <v>39662</v>
      </c>
      <c r="F8269" s="1" t="s">
        <v>63</v>
      </c>
      <c r="G8269" s="1" t="s">
        <v>17078</v>
      </c>
      <c r="H8269" s="1">
        <v>2018.0</v>
      </c>
      <c r="I8269" s="1" t="s">
        <v>42</v>
      </c>
      <c r="J8269" s="1" t="s">
        <v>941</v>
      </c>
      <c r="K8269" s="1" t="s">
        <v>128</v>
      </c>
      <c r="L8269" s="1" t="s">
        <v>39663</v>
      </c>
      <c r="M8269" s="2" t="s">
        <v>12</v>
      </c>
      <c r="N8269" s="4">
        <f t="shared" si="1"/>
        <v>43830</v>
      </c>
      <c r="O8269" s="5" t="str">
        <f>IFERROR(__xludf.DUMMYFUNCTION("IF(REGEXMATCH(TRIM(I8269), ""^\d+\s*min""), ""Unclassified"", IF(I8269 = """", ""NR"", I8269))"),"TV-MA")</f>
        <v>TV-MA</v>
      </c>
      <c r="R8269" s="5" t="str">
        <f t="shared" si="2"/>
        <v>The Dark Side Of Life: Mumbai City</v>
      </c>
      <c r="S8269" s="5" t="str">
        <f>IFERROR(__xludf.DUMMYFUNCTION("""COMPUTED_VALUE"""),"Unchained Fate")</f>
        <v>Unchained Fate</v>
      </c>
      <c r="V8269" s="5"/>
      <c r="Y8269" s="5" t="str">
        <f>IFERROR(__xludf.DUMMYFUNCTION("REGEXEXTRACT(J8269, ""^\d+"")"),"121")</f>
        <v>121</v>
      </c>
      <c r="Z8269" s="5" t="str">
        <f>IFERROR(__xludf.DUMMYFUNCTION("REGEXEXTRACT(J8269, ""[A-Za-z ]+$"")")," min")</f>
        <v> min</v>
      </c>
      <c r="AA8269" s="5" t="str">
        <f>IFERROR(__xludf.DUMMYFUNCTION("IF(REGEXMATCH(Z8269, ""Season""), ""TV Show"", ""Movie"")"),"Movie")</f>
        <v>Movie</v>
      </c>
    </row>
    <row r="8270">
      <c r="A8270" s="1" t="s">
        <v>39664</v>
      </c>
      <c r="B8270" s="1" t="s">
        <v>27</v>
      </c>
      <c r="C8270" s="1" t="s">
        <v>39665</v>
      </c>
      <c r="F8270" s="1" t="s">
        <v>96</v>
      </c>
      <c r="G8270" s="1" t="s">
        <v>25302</v>
      </c>
      <c r="H8270" s="1">
        <v>2016.0</v>
      </c>
      <c r="I8270" s="1" t="s">
        <v>42</v>
      </c>
      <c r="J8270" s="1" t="s">
        <v>6281</v>
      </c>
      <c r="K8270" s="1" t="s">
        <v>15076</v>
      </c>
      <c r="L8270" s="1" t="s">
        <v>39666</v>
      </c>
      <c r="M8270" s="2" t="s">
        <v>12</v>
      </c>
      <c r="N8270" s="4">
        <f t="shared" si="1"/>
        <v>43274</v>
      </c>
      <c r="O8270" s="5" t="str">
        <f>IFERROR(__xludf.DUMMYFUNCTION("IF(REGEXMATCH(TRIM(I8270), ""^\d+\s*min""), ""Unclassified"", IF(I8270 = """", ""NR"", I8270))"),"TV-MA")</f>
        <v>TV-MA</v>
      </c>
      <c r="R8270" s="5" t="str">
        <f t="shared" si="2"/>
        <v>The Darkest Dawn</v>
      </c>
      <c r="S8270" s="5" t="str">
        <f>IFERROR(__xludf.DUMMYFUNCTION("""COMPUTED_VALUE"""),"Unchained: The Untold Story Of Freestyle Motocross")</f>
        <v>Unchained: The Untold Story Of Freestyle Motocross</v>
      </c>
      <c r="V8270" s="5"/>
      <c r="Y8270" s="5" t="str">
        <f>IFERROR(__xludf.DUMMYFUNCTION("REGEXEXTRACT(J8270, ""^\d+"")"),"75")</f>
        <v>75</v>
      </c>
      <c r="Z8270" s="5" t="str">
        <f>IFERROR(__xludf.DUMMYFUNCTION("REGEXEXTRACT(J8270, ""[A-Za-z ]+$"")")," min")</f>
        <v> min</v>
      </c>
      <c r="AA8270" s="5" t="str">
        <f>IFERROR(__xludf.DUMMYFUNCTION("IF(REGEXMATCH(Z8270, ""Season""), ""TV Show"", ""Movie"")"),"Movie")</f>
        <v>Movie</v>
      </c>
    </row>
    <row r="8271">
      <c r="A8271" s="1" t="s">
        <v>39667</v>
      </c>
      <c r="B8271" s="1" t="s">
        <v>27</v>
      </c>
      <c r="C8271" s="1" t="s">
        <v>39668</v>
      </c>
      <c r="D8271" s="1" t="s">
        <v>8070</v>
      </c>
      <c r="E8271" s="1" t="s">
        <v>39669</v>
      </c>
      <c r="F8271" s="1" t="s">
        <v>221</v>
      </c>
      <c r="G8271" s="1" t="s">
        <v>39670</v>
      </c>
      <c r="H8271" s="1">
        <v>2015.0</v>
      </c>
      <c r="I8271" s="1" t="s">
        <v>42</v>
      </c>
      <c r="J8271" s="1" t="s">
        <v>465</v>
      </c>
      <c r="K8271" s="1" t="s">
        <v>805</v>
      </c>
      <c r="L8271" s="1" t="s">
        <v>39671</v>
      </c>
      <c r="M8271" s="2" t="s">
        <v>12</v>
      </c>
      <c r="N8271" s="4">
        <f t="shared" si="1"/>
        <v>42851</v>
      </c>
      <c r="O8271" s="5" t="str">
        <f>IFERROR(__xludf.DUMMYFUNCTION("IF(REGEXMATCH(TRIM(I8271), ""^\d+\s*min""), ""Unclassified"", IF(I8271 = """", ""NR"", I8271))"),"TV-MA")</f>
        <v>TV-MA</v>
      </c>
      <c r="R8271" s="5" t="str">
        <f t="shared" si="2"/>
        <v>The Daughter</v>
      </c>
      <c r="S8271" s="5" t="str">
        <f>IFERROR(__xludf.DUMMYFUNCTION("""COMPUTED_VALUE"""),"Uncle Naji In Uae")</f>
        <v>Uncle Naji In Uae</v>
      </c>
      <c r="V8271" s="5"/>
      <c r="Y8271" s="5" t="str">
        <f>IFERROR(__xludf.DUMMYFUNCTION("REGEXEXTRACT(J8271, ""^\d+"")"),"95")</f>
        <v>95</v>
      </c>
      <c r="Z8271" s="5" t="str">
        <f>IFERROR(__xludf.DUMMYFUNCTION("REGEXEXTRACT(J8271, ""[A-Za-z ]+$"")")," min")</f>
        <v> min</v>
      </c>
      <c r="AA8271" s="5" t="str">
        <f>IFERROR(__xludf.DUMMYFUNCTION("IF(REGEXMATCH(Z8271, ""Season""), ""TV Show"", ""Movie"")"),"Movie")</f>
        <v>Movie</v>
      </c>
    </row>
    <row r="8272">
      <c r="A8272" s="1" t="s">
        <v>39672</v>
      </c>
      <c r="B8272" s="1" t="s">
        <v>27</v>
      </c>
      <c r="C8272" s="1" t="s">
        <v>39673</v>
      </c>
      <c r="D8272" s="1" t="s">
        <v>18034</v>
      </c>
      <c r="E8272" s="1" t="s">
        <v>39674</v>
      </c>
      <c r="F8272" s="1" t="s">
        <v>39675</v>
      </c>
      <c r="G8272" s="1" t="s">
        <v>21815</v>
      </c>
      <c r="H8272" s="1">
        <v>2017.0</v>
      </c>
      <c r="I8272" s="1" t="s">
        <v>42</v>
      </c>
      <c r="J8272" s="1" t="s">
        <v>433</v>
      </c>
      <c r="K8272" s="1" t="s">
        <v>645</v>
      </c>
      <c r="L8272" s="1" t="s">
        <v>39676</v>
      </c>
      <c r="M8272" s="2" t="s">
        <v>12</v>
      </c>
      <c r="N8272" s="4">
        <f t="shared" si="1"/>
        <v>43528</v>
      </c>
      <c r="O8272" s="5" t="str">
        <f>IFERROR(__xludf.DUMMYFUNCTION("IF(REGEXMATCH(TRIM(I8272), ""^\d+\s*min""), ""Unclassified"", IF(I8272 = """", ""NR"", I8272))"),"TV-MA")</f>
        <v>TV-MA</v>
      </c>
      <c r="R8272" s="5" t="str">
        <f t="shared" si="2"/>
        <v>The Dawn Wall</v>
      </c>
      <c r="S8272" s="5" t="str">
        <f>IFERROR(__xludf.DUMMYFUNCTION("""COMPUTED_VALUE"""),"Uncorked")</f>
        <v>Uncorked</v>
      </c>
      <c r="V8272" s="5"/>
      <c r="Y8272" s="5" t="str">
        <f>IFERROR(__xludf.DUMMYFUNCTION("REGEXEXTRACT(J8272, ""^\d+"")"),"100")</f>
        <v>100</v>
      </c>
      <c r="Z8272" s="5" t="str">
        <f>IFERROR(__xludf.DUMMYFUNCTION("REGEXEXTRACT(J8272, ""[A-Za-z ]+$"")")," min")</f>
        <v> min</v>
      </c>
      <c r="AA8272" s="5" t="str">
        <f>IFERROR(__xludf.DUMMYFUNCTION("IF(REGEXMATCH(Z8272, ""Season""), ""TV Show"", ""Movie"")"),"Movie")</f>
        <v>Movie</v>
      </c>
    </row>
    <row r="8273">
      <c r="A8273" s="1" t="s">
        <v>39677</v>
      </c>
      <c r="B8273" s="1" t="s">
        <v>37</v>
      </c>
      <c r="C8273" s="1" t="s">
        <v>39678</v>
      </c>
      <c r="E8273" s="1" t="s">
        <v>39679</v>
      </c>
      <c r="F8273" s="1" t="s">
        <v>18419</v>
      </c>
      <c r="G8273" s="1" t="s">
        <v>39680</v>
      </c>
      <c r="H8273" s="1">
        <v>2015.0</v>
      </c>
      <c r="I8273" s="1" t="s">
        <v>289</v>
      </c>
      <c r="J8273" s="1" t="s">
        <v>43</v>
      </c>
      <c r="K8273" s="1" t="s">
        <v>314</v>
      </c>
      <c r="L8273" s="1" t="s">
        <v>39681</v>
      </c>
      <c r="M8273" s="2" t="s">
        <v>12</v>
      </c>
      <c r="N8273" s="1" t="str">
        <f t="shared" si="1"/>
        <v>#N/A</v>
      </c>
      <c r="O8273" s="5" t="str">
        <f>IFERROR(__xludf.DUMMYFUNCTION("IF(REGEXMATCH(TRIM(I8273), ""^\d+\s*min""), ""Unclassified"", IF(I8273 = """", ""NR"", I8273))"),"TV-Y7")</f>
        <v>TV-Y7</v>
      </c>
      <c r="R8273" s="5" t="str">
        <f t="shared" si="2"/>
        <v>The Day My Butt Went Psycho!</v>
      </c>
      <c r="S8273" s="5" t="str">
        <f>IFERROR(__xludf.DUMMYFUNCTION("""COMPUTED_VALUE"""),"Uncovered")</f>
        <v>Uncovered</v>
      </c>
      <c r="V8273" s="5"/>
      <c r="Y8273" s="5" t="str">
        <f>IFERROR(__xludf.DUMMYFUNCTION("REGEXEXTRACT(J8273, ""^\d+"")"),"2")</f>
        <v>2</v>
      </c>
      <c r="Z8273" s="5" t="str">
        <f>IFERROR(__xludf.DUMMYFUNCTION("REGEXEXTRACT(J8273, ""[A-Za-z ]+$"")")," Seasons")</f>
        <v> Seasons</v>
      </c>
      <c r="AA8273" s="5" t="str">
        <f>IFERROR(__xludf.DUMMYFUNCTION("IF(REGEXMATCH(Z8273, ""Season""), ""TV Show"", ""Movie"")"),"TV Show")</f>
        <v>TV Show</v>
      </c>
    </row>
    <row r="8274">
      <c r="A8274" s="1" t="s">
        <v>39682</v>
      </c>
      <c r="B8274" s="1" t="s">
        <v>27</v>
      </c>
      <c r="C8274" s="1" t="s">
        <v>39683</v>
      </c>
      <c r="D8274" s="1" t="s">
        <v>7998</v>
      </c>
      <c r="E8274" s="1" t="s">
        <v>39684</v>
      </c>
      <c r="F8274" s="1" t="s">
        <v>39224</v>
      </c>
      <c r="G8274" s="1" t="s">
        <v>8506</v>
      </c>
      <c r="H8274" s="1">
        <v>2006.0</v>
      </c>
      <c r="I8274" s="1" t="s">
        <v>378</v>
      </c>
      <c r="J8274" s="1" t="s">
        <v>7280</v>
      </c>
      <c r="K8274" s="1" t="s">
        <v>394</v>
      </c>
      <c r="L8274" s="1" t="s">
        <v>39685</v>
      </c>
      <c r="M8274" s="2" t="s">
        <v>12</v>
      </c>
      <c r="N8274" s="4">
        <f t="shared" si="1"/>
        <v>44197</v>
      </c>
      <c r="O8274" s="5" t="str">
        <f>IFERROR(__xludf.DUMMYFUNCTION("IF(REGEXMATCH(TRIM(I8274), ""^\d+\s*min""), ""Unclassified"", IF(I8274 = """", ""NR"", I8274))"),"R")</f>
        <v>R</v>
      </c>
      <c r="R8274" s="5" t="str">
        <f t="shared" si="2"/>
        <v>The Departed</v>
      </c>
      <c r="S8274" s="5" t="str">
        <f>IFERROR(__xludf.DUMMYFUNCTION("""COMPUTED_VALUE"""),"Uncut Gems")</f>
        <v>Uncut Gems</v>
      </c>
      <c r="V8274" s="5"/>
      <c r="Y8274" s="5" t="str">
        <f>IFERROR(__xludf.DUMMYFUNCTION("REGEXEXTRACT(J8274, ""^\d+"")"),"151")</f>
        <v>151</v>
      </c>
      <c r="Z8274" s="5" t="str">
        <f>IFERROR(__xludf.DUMMYFUNCTION("REGEXEXTRACT(J8274, ""[A-Za-z ]+$"")")," min")</f>
        <v> min</v>
      </c>
      <c r="AA8274" s="5" t="str">
        <f>IFERROR(__xludf.DUMMYFUNCTION("IF(REGEXMATCH(Z8274, ""Season""), ""TV Show"", ""Movie"")"),"Movie")</f>
        <v>Movie</v>
      </c>
    </row>
    <row r="8275">
      <c r="A8275" s="1" t="s">
        <v>39686</v>
      </c>
      <c r="B8275" s="1" t="s">
        <v>27</v>
      </c>
      <c r="C8275" s="1" t="s">
        <v>39687</v>
      </c>
      <c r="D8275" s="1" t="s">
        <v>4272</v>
      </c>
      <c r="E8275" s="1" t="s">
        <v>39688</v>
      </c>
      <c r="F8275" s="1" t="s">
        <v>7457</v>
      </c>
      <c r="G8275" s="1" t="s">
        <v>23509</v>
      </c>
      <c r="H8275" s="1">
        <v>2017.0</v>
      </c>
      <c r="I8275" s="1" t="s">
        <v>97</v>
      </c>
      <c r="J8275" s="1" t="s">
        <v>1737</v>
      </c>
      <c r="K8275" s="1" t="s">
        <v>128</v>
      </c>
      <c r="L8275" s="1" t="s">
        <v>39689</v>
      </c>
      <c r="M8275" s="2" t="s">
        <v>12</v>
      </c>
      <c r="N8275" s="4">
        <f t="shared" si="1"/>
        <v>43412</v>
      </c>
      <c r="O8275" s="5" t="str">
        <f>IFERROR(__xludf.DUMMYFUNCTION("IF(REGEXMATCH(TRIM(I8275), ""^\d+\s*min""), ""Unclassified"", IF(I8275 = """", ""NR"", I8275))"),"TV-14")</f>
        <v>TV-14</v>
      </c>
      <c r="R8275" s="5" t="str">
        <f t="shared" si="2"/>
        <v>The Desert Bride</v>
      </c>
      <c r="S8275" s="5" t="str">
        <f>IFERROR(__xludf.DUMMYFUNCTION("""COMPUTED_VALUE"""),"Undefeated")</f>
        <v>Undefeated</v>
      </c>
      <c r="V8275" s="5"/>
      <c r="Y8275" s="5" t="str">
        <f>IFERROR(__xludf.DUMMYFUNCTION("REGEXEXTRACT(J8275, ""^\d+"")"),"78")</f>
        <v>78</v>
      </c>
      <c r="Z8275" s="5" t="str">
        <f>IFERROR(__xludf.DUMMYFUNCTION("REGEXEXTRACT(J8275, ""[A-Za-z ]+$"")")," min")</f>
        <v> min</v>
      </c>
      <c r="AA8275" s="5" t="str">
        <f>IFERROR(__xludf.DUMMYFUNCTION("IF(REGEXMATCH(Z8275, ""Season""), ""TV Show"", ""Movie"")"),"Movie")</f>
        <v>Movie</v>
      </c>
    </row>
    <row r="8276">
      <c r="A8276" s="1" t="s">
        <v>39690</v>
      </c>
      <c r="B8276" s="1" t="s">
        <v>27</v>
      </c>
      <c r="C8276" s="1" t="s">
        <v>39691</v>
      </c>
      <c r="D8276" s="1" t="s">
        <v>3485</v>
      </c>
      <c r="E8276" s="1" t="s">
        <v>39692</v>
      </c>
      <c r="F8276" s="1" t="s">
        <v>30</v>
      </c>
      <c r="G8276" s="1" t="s">
        <v>22059</v>
      </c>
      <c r="H8276" s="1">
        <v>2017.0</v>
      </c>
      <c r="I8276" s="1" t="s">
        <v>97</v>
      </c>
      <c r="J8276" s="1" t="s">
        <v>471</v>
      </c>
      <c r="K8276" s="1" t="s">
        <v>3768</v>
      </c>
      <c r="L8276" s="1" t="s">
        <v>39693</v>
      </c>
      <c r="M8276" s="2" t="s">
        <v>12</v>
      </c>
      <c r="N8276" s="4">
        <f t="shared" si="1"/>
        <v>43511</v>
      </c>
      <c r="O8276" s="5" t="str">
        <f>IFERROR(__xludf.DUMMYFUNCTION("IF(REGEXMATCH(TRIM(I8276), ""^\d+\s*min""), ""Unclassified"", IF(I8276 = """", ""NR"", I8276))"),"TV-14")</f>
        <v>TV-14</v>
      </c>
      <c r="R8276" s="5" t="str">
        <f t="shared" si="2"/>
        <v>The Detained</v>
      </c>
      <c r="S8276" s="5" t="str">
        <f>IFERROR(__xludf.DUMMYFUNCTION("""COMPUTED_VALUE"""),"Under An Arctic Sky")</f>
        <v>Under An Arctic Sky</v>
      </c>
      <c r="V8276" s="5"/>
      <c r="Y8276" s="5" t="str">
        <f>IFERROR(__xludf.DUMMYFUNCTION("REGEXEXTRACT(J8276, ""^\d+"")"),"85")</f>
        <v>85</v>
      </c>
      <c r="Z8276" s="5" t="str">
        <f>IFERROR(__xludf.DUMMYFUNCTION("REGEXEXTRACT(J8276, ""[A-Za-z ]+$"")")," min")</f>
        <v> min</v>
      </c>
      <c r="AA8276" s="5" t="str">
        <f>IFERROR(__xludf.DUMMYFUNCTION("IF(REGEXMATCH(Z8276, ""Season""), ""TV Show"", ""Movie"")"),"Movie")</f>
        <v>Movie</v>
      </c>
    </row>
    <row r="8277">
      <c r="A8277" s="1" t="s">
        <v>39694</v>
      </c>
      <c r="B8277" s="1" t="s">
        <v>27</v>
      </c>
      <c r="C8277" s="1" t="s">
        <v>39695</v>
      </c>
      <c r="D8277" s="1" t="s">
        <v>23619</v>
      </c>
      <c r="F8277" s="1" t="s">
        <v>1162</v>
      </c>
      <c r="G8277" s="1" t="s">
        <v>39696</v>
      </c>
      <c r="H8277" s="1">
        <v>2017.0</v>
      </c>
      <c r="I8277" s="1" t="s">
        <v>136</v>
      </c>
      <c r="J8277" s="1" t="s">
        <v>1993</v>
      </c>
      <c r="K8277" s="1" t="s">
        <v>34255</v>
      </c>
      <c r="L8277" s="1" t="s">
        <v>39697</v>
      </c>
      <c r="M8277" s="2" t="s">
        <v>12</v>
      </c>
      <c r="N8277" s="4">
        <f t="shared" si="1"/>
        <v>43304</v>
      </c>
      <c r="O8277" s="5" t="str">
        <f>IFERROR(__xludf.DUMMYFUNCTION("IF(REGEXMATCH(TRIM(I8277), ""^\d+\s*min""), ""Unclassified"", IF(I8277 = """", ""NR"", I8277))"),"TV-PG")</f>
        <v>TV-PG</v>
      </c>
      <c r="R8277" s="5" t="str">
        <f t="shared" si="2"/>
        <v>The Devil And Father Amorth</v>
      </c>
      <c r="S8277" s="5" t="str">
        <f>IFERROR(__xludf.DUMMYFUNCTION("""COMPUTED_VALUE"""),"Under Arrest")</f>
        <v>Under Arrest</v>
      </c>
      <c r="V8277" s="5"/>
      <c r="Y8277" s="5" t="str">
        <f>IFERROR(__xludf.DUMMYFUNCTION("REGEXEXTRACT(J8277, ""^\d+"")"),"69")</f>
        <v>69</v>
      </c>
      <c r="Z8277" s="5" t="str">
        <f>IFERROR(__xludf.DUMMYFUNCTION("REGEXEXTRACT(J8277, ""[A-Za-z ]+$"")")," min")</f>
        <v> min</v>
      </c>
      <c r="AA8277" s="5" t="str">
        <f>IFERROR(__xludf.DUMMYFUNCTION("IF(REGEXMATCH(Z8277, ""Season""), ""TV Show"", ""Movie"")"),"Movie")</f>
        <v>Movie</v>
      </c>
    </row>
    <row r="8278">
      <c r="A8278" s="1" t="s">
        <v>39698</v>
      </c>
      <c r="B8278" s="1" t="s">
        <v>27</v>
      </c>
      <c r="C8278" s="1" t="s">
        <v>39699</v>
      </c>
      <c r="D8278" s="1" t="s">
        <v>23608</v>
      </c>
      <c r="E8278" s="1" t="s">
        <v>39700</v>
      </c>
      <c r="F8278" s="1" t="s">
        <v>30</v>
      </c>
      <c r="G8278" s="1" t="s">
        <v>17941</v>
      </c>
      <c r="H8278" s="1">
        <v>2012.0</v>
      </c>
      <c r="I8278" s="1" t="s">
        <v>378</v>
      </c>
      <c r="J8278" s="1" t="s">
        <v>1608</v>
      </c>
      <c r="K8278" s="1" t="s">
        <v>3768</v>
      </c>
      <c r="L8278" s="1" t="s">
        <v>39701</v>
      </c>
      <c r="M8278" s="2" t="s">
        <v>12</v>
      </c>
      <c r="N8278" s="4">
        <f t="shared" si="1"/>
        <v>43789</v>
      </c>
      <c r="O8278" s="5" t="str">
        <f>IFERROR(__xludf.DUMMYFUNCTION("IF(REGEXMATCH(TRIM(I8278), ""^\d+\s*min""), ""Unclassified"", IF(I8278 = """", ""NR"", I8278))"),"R")</f>
        <v>R</v>
      </c>
      <c r="R8278" s="5" t="str">
        <f t="shared" si="2"/>
        <v>The Devil Inside</v>
      </c>
      <c r="S8278" s="5" t="str">
        <f>IFERROR(__xludf.DUMMYFUNCTION("""COMPUTED_VALUE"""),"Under Siege")</f>
        <v>Under Siege</v>
      </c>
      <c r="V8278" s="5"/>
      <c r="Y8278" s="5" t="str">
        <f>IFERROR(__xludf.DUMMYFUNCTION("REGEXEXTRACT(J8278, ""^\d+"")"),"84")</f>
        <v>84</v>
      </c>
      <c r="Z8278" s="5" t="str">
        <f>IFERROR(__xludf.DUMMYFUNCTION("REGEXEXTRACT(J8278, ""[A-Za-z ]+$"")")," min")</f>
        <v> min</v>
      </c>
      <c r="AA8278" s="5" t="str">
        <f>IFERROR(__xludf.DUMMYFUNCTION("IF(REGEXMATCH(Z8278, ""Season""), ""TV Show"", ""Movie"")"),"Movie")</f>
        <v>Movie</v>
      </c>
    </row>
    <row r="8279">
      <c r="A8279" s="1" t="s">
        <v>39702</v>
      </c>
      <c r="B8279" s="1" t="s">
        <v>37</v>
      </c>
      <c r="C8279" s="1" t="s">
        <v>39703</v>
      </c>
      <c r="E8279" s="1" t="s">
        <v>39704</v>
      </c>
      <c r="F8279" s="1" t="s">
        <v>415</v>
      </c>
      <c r="G8279" s="1" t="s">
        <v>21360</v>
      </c>
      <c r="H8279" s="1">
        <v>2013.0</v>
      </c>
      <c r="I8279" s="1" t="s">
        <v>97</v>
      </c>
      <c r="J8279" s="1" t="s">
        <v>51</v>
      </c>
      <c r="K8279" s="1" t="s">
        <v>2439</v>
      </c>
      <c r="L8279" s="1" t="s">
        <v>39705</v>
      </c>
      <c r="M8279" s="2" t="s">
        <v>12</v>
      </c>
      <c r="N8279" s="4">
        <f t="shared" si="1"/>
        <v>43556</v>
      </c>
      <c r="O8279" s="5" t="str">
        <f>IFERROR(__xludf.DUMMYFUNCTION("IF(REGEXMATCH(TRIM(I8279), ""^\d+\s*min""), ""Unclassified"", IF(I8279 = """", ""NR"", I8279))"),"TV-14")</f>
        <v>TV-14</v>
      </c>
      <c r="R8279" s="5" t="str">
        <f t="shared" si="2"/>
        <v>The Devil Is A Part-Timer!</v>
      </c>
      <c r="S8279" s="5" t="str">
        <f>IFERROR(__xludf.DUMMYFUNCTION("""COMPUTED_VALUE"""),"Under Suspicion: Uncovering The Wesphael Case")</f>
        <v>Under Suspicion: Uncovering The Wesphael Case</v>
      </c>
      <c r="V8279" s="5"/>
      <c r="Y8279" s="5" t="str">
        <f>IFERROR(__xludf.DUMMYFUNCTION("REGEXEXTRACT(J8279, ""^\d+"")"),"1")</f>
        <v>1</v>
      </c>
      <c r="Z8279" s="5" t="str">
        <f>IFERROR(__xludf.DUMMYFUNCTION("REGEXEXTRACT(J8279, ""[A-Za-z ]+$"")")," Season")</f>
        <v> Season</v>
      </c>
      <c r="AA8279" s="5" t="str">
        <f>IFERROR(__xludf.DUMMYFUNCTION("IF(REGEXMATCH(Z8279, ""Season""), ""TV Show"", ""Movie"")"),"TV Show")</f>
        <v>TV Show</v>
      </c>
    </row>
    <row r="8280">
      <c r="A8280" s="1" t="s">
        <v>39706</v>
      </c>
      <c r="B8280" s="1" t="s">
        <v>27</v>
      </c>
      <c r="C8280" s="1" t="s">
        <v>39707</v>
      </c>
      <c r="D8280" s="1" t="s">
        <v>21525</v>
      </c>
      <c r="F8280" s="1" t="s">
        <v>30</v>
      </c>
      <c r="G8280" s="1" t="s">
        <v>22472</v>
      </c>
      <c r="H8280" s="1">
        <v>2018.0</v>
      </c>
      <c r="I8280" s="1" t="s">
        <v>97</v>
      </c>
      <c r="J8280" s="1" t="s">
        <v>428</v>
      </c>
      <c r="K8280" s="1" t="s">
        <v>34</v>
      </c>
      <c r="L8280" s="1" t="s">
        <v>39708</v>
      </c>
      <c r="M8280" s="2" t="s">
        <v>12</v>
      </c>
      <c r="N8280" s="4">
        <f t="shared" si="1"/>
        <v>43480</v>
      </c>
      <c r="O8280" s="5" t="str">
        <f>IFERROR(__xludf.DUMMYFUNCTION("IF(REGEXMATCH(TRIM(I8280), ""^\d+\s*min""), ""Unclassified"", IF(I8280 = """", ""NR"", I8280))"),"TV-14")</f>
        <v>TV-14</v>
      </c>
      <c r="R8280" s="5" t="str">
        <f t="shared" si="2"/>
        <v>The Devil We Know</v>
      </c>
      <c r="S8280" s="5" t="str">
        <f>IFERROR(__xludf.DUMMYFUNCTION("""COMPUTED_VALUE"""),"Under The Black Moonlight")</f>
        <v>Under The Black Moonlight</v>
      </c>
      <c r="V8280" s="5"/>
      <c r="Y8280" s="5" t="str">
        <f>IFERROR(__xludf.DUMMYFUNCTION("REGEXEXTRACT(J8280, ""^\d+"")"),"88")</f>
        <v>88</v>
      </c>
      <c r="Z8280" s="5" t="str">
        <f>IFERROR(__xludf.DUMMYFUNCTION("REGEXEXTRACT(J8280, ""[A-Za-z ]+$"")")," min")</f>
        <v> min</v>
      </c>
      <c r="AA8280" s="5" t="str">
        <f>IFERROR(__xludf.DUMMYFUNCTION("IF(REGEXMATCH(Z8280, ""Season""), ""TV Show"", ""Movie"")"),"Movie")</f>
        <v>Movie</v>
      </c>
    </row>
    <row r="8281">
      <c r="A8281" s="1" t="s">
        <v>39709</v>
      </c>
      <c r="B8281" s="1" t="s">
        <v>27</v>
      </c>
      <c r="C8281" s="1" t="s">
        <v>39710</v>
      </c>
      <c r="D8281" s="1" t="s">
        <v>1443</v>
      </c>
      <c r="E8281" s="1" t="s">
        <v>39711</v>
      </c>
      <c r="F8281" s="1" t="s">
        <v>30</v>
      </c>
      <c r="G8281" s="1" t="s">
        <v>24964</v>
      </c>
      <c r="H8281" s="1">
        <v>2015.0</v>
      </c>
      <c r="I8281" s="1" t="s">
        <v>42</v>
      </c>
      <c r="J8281" s="1" t="s">
        <v>1144</v>
      </c>
      <c r="K8281" s="1" t="s">
        <v>17209</v>
      </c>
      <c r="L8281" s="1" t="s">
        <v>39712</v>
      </c>
      <c r="M8281" s="2" t="s">
        <v>12</v>
      </c>
      <c r="N8281" s="4">
        <f t="shared" si="1"/>
        <v>43313</v>
      </c>
      <c r="O8281" s="5" t="str">
        <f>IFERROR(__xludf.DUMMYFUNCTION("IF(REGEXMATCH(TRIM(I8281), ""^\d+\s*min""), ""Unclassified"", IF(I8281 = """", ""NR"", I8281))"),"TV-MA")</f>
        <v>TV-MA</v>
      </c>
      <c r="R8281" s="5" t="str">
        <f t="shared" si="2"/>
        <v>The Diabolical</v>
      </c>
      <c r="S8281" s="5" t="str">
        <f>IFERROR(__xludf.DUMMYFUNCTION("""COMPUTED_VALUE"""),"Under The Bombs")</f>
        <v>Under The Bombs</v>
      </c>
      <c r="V8281" s="5"/>
      <c r="Y8281" s="5" t="str">
        <f>IFERROR(__xludf.DUMMYFUNCTION("REGEXEXTRACT(J8281, ""^\d+"")"),"86")</f>
        <v>86</v>
      </c>
      <c r="Z8281" s="5" t="str">
        <f>IFERROR(__xludf.DUMMYFUNCTION("REGEXEXTRACT(J8281, ""[A-Za-z ]+$"")")," min")</f>
        <v> min</v>
      </c>
      <c r="AA8281" s="5" t="str">
        <f>IFERROR(__xludf.DUMMYFUNCTION("IF(REGEXMATCH(Z8281, ""Season""), ""TV Show"", ""Movie"")"),"Movie")</f>
        <v>Movie</v>
      </c>
    </row>
    <row r="8282">
      <c r="A8282" s="1" t="s">
        <v>39713</v>
      </c>
      <c r="B8282" s="1" t="s">
        <v>27</v>
      </c>
      <c r="C8282" s="1" t="s">
        <v>39714</v>
      </c>
      <c r="D8282" s="1" t="s">
        <v>19283</v>
      </c>
      <c r="E8282" s="1" t="s">
        <v>39715</v>
      </c>
      <c r="F8282" s="1" t="s">
        <v>2873</v>
      </c>
      <c r="G8282" s="1" t="s">
        <v>24114</v>
      </c>
      <c r="H8282" s="1">
        <v>2009.0</v>
      </c>
      <c r="I8282" s="1" t="s">
        <v>136</v>
      </c>
      <c r="J8282" s="1" t="s">
        <v>941</v>
      </c>
      <c r="K8282" s="1" t="s">
        <v>128</v>
      </c>
      <c r="L8282" s="1" t="s">
        <v>39716</v>
      </c>
      <c r="M8282" s="2" t="s">
        <v>12</v>
      </c>
      <c r="N8282" s="4">
        <f t="shared" si="1"/>
        <v>43377</v>
      </c>
      <c r="O8282" s="5" t="str">
        <f>IFERROR(__xludf.DUMMYFUNCTION("IF(REGEXMATCH(TRIM(I8282), ""^\d+\s*min""), ""Unclassified"", IF(I8282 = """", ""NR"", I8282))"),"TV-PG")</f>
        <v>TV-PG</v>
      </c>
      <c r="R8282" s="5" t="str">
        <f t="shared" si="2"/>
        <v>The Dreamer</v>
      </c>
      <c r="S8282" s="5" t="str">
        <f>IFERROR(__xludf.DUMMYFUNCTION("""COMPUTED_VALUE"""),"Under The Eiffel Tower")</f>
        <v>Under The Eiffel Tower</v>
      </c>
      <c r="V8282" s="5"/>
      <c r="Y8282" s="5" t="str">
        <f>IFERROR(__xludf.DUMMYFUNCTION("REGEXEXTRACT(J8282, ""^\d+"")"),"121")</f>
        <v>121</v>
      </c>
      <c r="Z8282" s="5" t="str">
        <f>IFERROR(__xludf.DUMMYFUNCTION("REGEXEXTRACT(J8282, ""[A-Za-z ]+$"")")," min")</f>
        <v> min</v>
      </c>
      <c r="AA8282" s="5" t="str">
        <f>IFERROR(__xludf.DUMMYFUNCTION("IF(REGEXMATCH(Z8282, ""Season""), ""TV Show"", ""Movie"")"),"Movie")</f>
        <v>Movie</v>
      </c>
    </row>
    <row r="8283">
      <c r="A8283" s="1" t="s">
        <v>39717</v>
      </c>
      <c r="B8283" s="1" t="s">
        <v>27</v>
      </c>
      <c r="C8283" s="1" t="s">
        <v>39718</v>
      </c>
      <c r="D8283" s="1" t="s">
        <v>3329</v>
      </c>
      <c r="E8283" s="1" t="s">
        <v>39719</v>
      </c>
      <c r="F8283" s="1" t="s">
        <v>39224</v>
      </c>
      <c r="G8283" s="1" t="s">
        <v>27321</v>
      </c>
      <c r="H8283" s="1">
        <v>2016.0</v>
      </c>
      <c r="I8283" s="1" t="s">
        <v>42</v>
      </c>
      <c r="J8283" s="1" t="s">
        <v>416</v>
      </c>
      <c r="K8283" s="1" t="s">
        <v>171</v>
      </c>
      <c r="L8283" s="1" t="s">
        <v>39720</v>
      </c>
      <c r="M8283" s="2" t="s">
        <v>12</v>
      </c>
      <c r="N8283" s="4">
        <f t="shared" si="1"/>
        <v>42979</v>
      </c>
      <c r="O8283" s="5" t="str">
        <f>IFERROR(__xludf.DUMMYFUNCTION("IF(REGEXMATCH(TRIM(I8283), ""^\d+\s*min""), ""Unclassified"", IF(I8283 = """", ""NR"", I8283))"),"TV-MA")</f>
        <v>TV-MA</v>
      </c>
      <c r="R8283" s="5" t="str">
        <f t="shared" si="2"/>
        <v>The Drowning</v>
      </c>
      <c r="S8283" s="5" t="str">
        <f>IFERROR(__xludf.DUMMYFUNCTION("""COMPUTED_VALUE"""),"Under The Riccione Sun")</f>
        <v>Under The Riccione Sun</v>
      </c>
      <c r="V8283" s="5"/>
      <c r="Y8283" s="5" t="str">
        <f>IFERROR(__xludf.DUMMYFUNCTION("REGEXEXTRACT(J8283, ""^\d+"")"),"99")</f>
        <v>99</v>
      </c>
      <c r="Z8283" s="5" t="str">
        <f>IFERROR(__xludf.DUMMYFUNCTION("REGEXEXTRACT(J8283, ""[A-Za-z ]+$"")")," min")</f>
        <v> min</v>
      </c>
      <c r="AA8283" s="5" t="str">
        <f>IFERROR(__xludf.DUMMYFUNCTION("IF(REGEXMATCH(Z8283, ""Season""), ""TV Show"", ""Movie"")"),"Movie")</f>
        <v>Movie</v>
      </c>
    </row>
    <row r="8284">
      <c r="A8284" s="1" t="s">
        <v>39721</v>
      </c>
      <c r="B8284" s="1" t="s">
        <v>37</v>
      </c>
      <c r="C8284" s="1" t="s">
        <v>39722</v>
      </c>
      <c r="E8284" s="1" t="s">
        <v>39723</v>
      </c>
      <c r="F8284" s="1" t="s">
        <v>1106</v>
      </c>
      <c r="G8284" s="1" t="s">
        <v>24734</v>
      </c>
      <c r="H8284" s="1">
        <v>2011.0</v>
      </c>
      <c r="I8284" s="1" t="s">
        <v>42</v>
      </c>
      <c r="J8284" s="1" t="s">
        <v>51</v>
      </c>
      <c r="K8284" s="1" t="s">
        <v>1294</v>
      </c>
      <c r="L8284" s="1" t="s">
        <v>39724</v>
      </c>
      <c r="M8284" s="2" t="s">
        <v>12</v>
      </c>
      <c r="N8284" s="4">
        <f t="shared" si="1"/>
        <v>43336</v>
      </c>
      <c r="O8284" s="5" t="str">
        <f>IFERROR(__xludf.DUMMYFUNCTION("IF(REGEXMATCH(TRIM(I8284), ""^\d+\s*min""), ""Unclassified"", IF(I8284 = """", ""NR"", I8284))"),"TV-MA")</f>
        <v>TV-MA</v>
      </c>
      <c r="R8284" s="5" t="str">
        <f t="shared" si="2"/>
        <v>The Drunk And On Drugs Happy Funtime Hour</v>
      </c>
      <c r="S8284" s="5" t="str">
        <f>IFERROR(__xludf.DUMMYFUNCTION("""COMPUTED_VALUE"""),"Under The Shadow")</f>
        <v>Under The Shadow</v>
      </c>
      <c r="V8284" s="5"/>
      <c r="Y8284" s="5" t="str">
        <f>IFERROR(__xludf.DUMMYFUNCTION("REGEXEXTRACT(J8284, ""^\d+"")"),"1")</f>
        <v>1</v>
      </c>
      <c r="Z8284" s="5" t="str">
        <f>IFERROR(__xludf.DUMMYFUNCTION("REGEXEXTRACT(J8284, ""[A-Za-z ]+$"")")," Season")</f>
        <v> Season</v>
      </c>
      <c r="AA8284" s="5" t="str">
        <f>IFERROR(__xludf.DUMMYFUNCTION("IF(REGEXMATCH(Z8284, ""Season""), ""TV Show"", ""Movie"")"),"TV Show")</f>
        <v>TV Show</v>
      </c>
    </row>
    <row r="8285">
      <c r="A8285" s="1" t="s">
        <v>39725</v>
      </c>
      <c r="B8285" s="1" t="s">
        <v>27</v>
      </c>
      <c r="C8285" s="1" t="s">
        <v>39726</v>
      </c>
      <c r="D8285" s="1" t="s">
        <v>12946</v>
      </c>
      <c r="E8285" s="1" t="s">
        <v>39727</v>
      </c>
      <c r="F8285" s="1" t="s">
        <v>30</v>
      </c>
      <c r="G8285" s="1" t="s">
        <v>20552</v>
      </c>
      <c r="H8285" s="1">
        <v>2016.0</v>
      </c>
      <c r="I8285" s="1" t="s">
        <v>378</v>
      </c>
      <c r="J8285" s="1" t="s">
        <v>297</v>
      </c>
      <c r="K8285" s="1" t="s">
        <v>805</v>
      </c>
      <c r="L8285" s="1" t="s">
        <v>39728</v>
      </c>
      <c r="M8285" s="2" t="s">
        <v>12</v>
      </c>
      <c r="N8285" s="4">
        <f t="shared" si="1"/>
        <v>43618</v>
      </c>
      <c r="O8285" s="5" t="str">
        <f>IFERROR(__xludf.DUMMYFUNCTION("IF(REGEXMATCH(TRIM(I8285), ""^\d+\s*min""), ""Unclassified"", IF(I8285 = """", ""NR"", I8285))"),"R")</f>
        <v>R</v>
      </c>
      <c r="R8285" s="5" t="str">
        <f t="shared" si="2"/>
        <v>The Duel</v>
      </c>
      <c r="S8285" s="5" t="str">
        <f>IFERROR(__xludf.DUMMYFUNCTION("""COMPUTED_VALUE"""),"Under The Skin")</f>
        <v>Under The Skin</v>
      </c>
      <c r="V8285" s="5"/>
      <c r="Y8285" s="5" t="str">
        <f>IFERROR(__xludf.DUMMYFUNCTION("REGEXEXTRACT(J8285, ""^\d+"")"),"110")</f>
        <v>110</v>
      </c>
      <c r="Z8285" s="5" t="str">
        <f>IFERROR(__xludf.DUMMYFUNCTION("REGEXEXTRACT(J8285, ""[A-Za-z ]+$"")")," min")</f>
        <v> min</v>
      </c>
      <c r="AA8285" s="5" t="str">
        <f>IFERROR(__xludf.DUMMYFUNCTION("IF(REGEXMATCH(Z8285, ""Season""), ""TV Show"", ""Movie"")"),"Movie")</f>
        <v>Movie</v>
      </c>
    </row>
    <row r="8286">
      <c r="A8286" s="1" t="s">
        <v>39729</v>
      </c>
      <c r="B8286" s="1" t="s">
        <v>27</v>
      </c>
      <c r="C8286" s="1" t="s">
        <v>39730</v>
      </c>
      <c r="D8286" s="1" t="s">
        <v>10373</v>
      </c>
      <c r="E8286" s="1" t="s">
        <v>39731</v>
      </c>
      <c r="F8286" s="1" t="s">
        <v>30</v>
      </c>
      <c r="G8286" s="1" t="s">
        <v>16947</v>
      </c>
      <c r="H8286" s="1">
        <v>2005.0</v>
      </c>
      <c r="I8286" s="1" t="s">
        <v>32</v>
      </c>
      <c r="J8286" s="1" t="s">
        <v>106</v>
      </c>
      <c r="K8286" s="1" t="s">
        <v>973</v>
      </c>
      <c r="L8286" s="1" t="s">
        <v>39732</v>
      </c>
      <c r="M8286" s="2" t="s">
        <v>12</v>
      </c>
      <c r="N8286" s="4">
        <f t="shared" si="1"/>
        <v>43831</v>
      </c>
      <c r="O8286" s="5" t="str">
        <f>IFERROR(__xludf.DUMMYFUNCTION("IF(REGEXMATCH(TRIM(I8286), ""^\d+\s*min""), ""Unclassified"", IF(I8286 = """", ""NR"", I8286))"),"PG-13")</f>
        <v>PG-13</v>
      </c>
      <c r="R8286" s="5" t="str">
        <f t="shared" si="2"/>
        <v>The Dukes Of Hazzard</v>
      </c>
      <c r="S8286" s="5" t="str">
        <f>IFERROR(__xludf.DUMMYFUNCTION("""COMPUTED_VALUE"""),"Undercover")</f>
        <v>Undercover</v>
      </c>
      <c r="V8286" s="5"/>
      <c r="Y8286" s="5" t="str">
        <f>IFERROR(__xludf.DUMMYFUNCTION("REGEXEXTRACT(J8286, ""^\d+"")"),"104")</f>
        <v>104</v>
      </c>
      <c r="Z8286" s="5" t="str">
        <f>IFERROR(__xludf.DUMMYFUNCTION("REGEXEXTRACT(J8286, ""[A-Za-z ]+$"")")," min")</f>
        <v> min</v>
      </c>
      <c r="AA8286" s="5" t="str">
        <f>IFERROR(__xludf.DUMMYFUNCTION("IF(REGEXMATCH(Z8286, ""Season""), ""TV Show"", ""Movie"")"),"Movie")</f>
        <v>Movie</v>
      </c>
    </row>
    <row r="8287">
      <c r="A8287" s="1" t="s">
        <v>39733</v>
      </c>
      <c r="B8287" s="1" t="s">
        <v>27</v>
      </c>
      <c r="C8287" s="1" t="s">
        <v>39734</v>
      </c>
      <c r="D8287" s="1" t="s">
        <v>19411</v>
      </c>
      <c r="E8287" s="1" t="s">
        <v>39735</v>
      </c>
      <c r="F8287" s="1" t="s">
        <v>30</v>
      </c>
      <c r="G8287" s="1" t="s">
        <v>16947</v>
      </c>
      <c r="H8287" s="1">
        <v>2007.0</v>
      </c>
      <c r="I8287" s="1" t="s">
        <v>378</v>
      </c>
      <c r="J8287" s="1" t="s">
        <v>465</v>
      </c>
      <c r="K8287" s="1" t="s">
        <v>973</v>
      </c>
      <c r="L8287" s="1" t="s">
        <v>39736</v>
      </c>
      <c r="M8287" s="2" t="s">
        <v>12</v>
      </c>
      <c r="N8287" s="4">
        <f t="shared" si="1"/>
        <v>43831</v>
      </c>
      <c r="O8287" s="5" t="str">
        <f>IFERROR(__xludf.DUMMYFUNCTION("IF(REGEXMATCH(TRIM(I8287), ""^\d+\s*min""), ""Unclassified"", IF(I8287 = """", ""NR"", I8287))"),"R")</f>
        <v>R</v>
      </c>
      <c r="R8287" s="5" t="str">
        <f t="shared" si="2"/>
        <v>The Dukes Of Hazzard: The Beginning</v>
      </c>
      <c r="S8287" s="5" t="str">
        <f>IFERROR(__xludf.DUMMYFUNCTION("""COMPUTED_VALUE"""),"Undercover Brother 2")</f>
        <v>Undercover Brother 2</v>
      </c>
      <c r="V8287" s="5"/>
      <c r="Y8287" s="5" t="str">
        <f>IFERROR(__xludf.DUMMYFUNCTION("REGEXEXTRACT(J8287, ""^\d+"")"),"95")</f>
        <v>95</v>
      </c>
      <c r="Z8287" s="5" t="str">
        <f>IFERROR(__xludf.DUMMYFUNCTION("REGEXEXTRACT(J8287, ""[A-Za-z ]+$"")")," min")</f>
        <v> min</v>
      </c>
      <c r="AA8287" s="5" t="str">
        <f>IFERROR(__xludf.DUMMYFUNCTION("IF(REGEXMATCH(Z8287, ""Season""), ""TV Show"", ""Movie"")"),"Movie")</f>
        <v>Movie</v>
      </c>
    </row>
    <row r="8288">
      <c r="A8288" s="1" t="s">
        <v>39737</v>
      </c>
      <c r="B8288" s="1" t="s">
        <v>27</v>
      </c>
      <c r="C8288" s="1" t="s">
        <v>39738</v>
      </c>
      <c r="D8288" s="1" t="s">
        <v>17693</v>
      </c>
      <c r="E8288" s="1" t="s">
        <v>39739</v>
      </c>
      <c r="F8288" s="1" t="s">
        <v>39740</v>
      </c>
      <c r="G8288" s="1" t="s">
        <v>39741</v>
      </c>
      <c r="H8288" s="1">
        <v>2015.0</v>
      </c>
      <c r="I8288" s="1" t="s">
        <v>42</v>
      </c>
      <c r="J8288" s="1" t="s">
        <v>322</v>
      </c>
      <c r="K8288" s="1" t="s">
        <v>128</v>
      </c>
      <c r="L8288" s="1" t="s">
        <v>39742</v>
      </c>
      <c r="M8288" s="2" t="s">
        <v>12</v>
      </c>
      <c r="N8288" s="4">
        <f t="shared" si="1"/>
        <v>42978</v>
      </c>
      <c r="O8288" s="5" t="str">
        <f>IFERROR(__xludf.DUMMYFUNCTION("IF(REGEXMATCH(TRIM(I8288), ""^\d+\s*min""), ""Unclassified"", IF(I8288 = """", ""NR"", I8288))"),"TV-MA")</f>
        <v>TV-MA</v>
      </c>
      <c r="R8288" s="5" t="str">
        <f t="shared" si="2"/>
        <v>The Eichmann Show</v>
      </c>
      <c r="S8288" s="5" t="str">
        <f>IFERROR(__xludf.DUMMYFUNCTION("""COMPUTED_VALUE"""),"Undercover Grandpa")</f>
        <v>Undercover Grandpa</v>
      </c>
      <c r="V8288" s="5"/>
      <c r="Y8288" s="5" t="str">
        <f>IFERROR(__xludf.DUMMYFUNCTION("REGEXEXTRACT(J8288, ""^\d+"")"),"96")</f>
        <v>96</v>
      </c>
      <c r="Z8288" s="5" t="str">
        <f>IFERROR(__xludf.DUMMYFUNCTION("REGEXEXTRACT(J8288, ""[A-Za-z ]+$"")")," min")</f>
        <v> min</v>
      </c>
      <c r="AA8288" s="5" t="str">
        <f>IFERROR(__xludf.DUMMYFUNCTION("IF(REGEXMATCH(Z8288, ""Season""), ""TV Show"", ""Movie"")"),"Movie")</f>
        <v>Movie</v>
      </c>
    </row>
    <row r="8289">
      <c r="A8289" s="1" t="s">
        <v>39743</v>
      </c>
      <c r="B8289" s="1" t="s">
        <v>37</v>
      </c>
      <c r="C8289" s="1" t="s">
        <v>39744</v>
      </c>
      <c r="F8289" s="1" t="s">
        <v>30</v>
      </c>
      <c r="G8289" s="1" t="s">
        <v>24442</v>
      </c>
      <c r="H8289" s="1">
        <v>2016.0</v>
      </c>
      <c r="I8289" s="1" t="s">
        <v>136</v>
      </c>
      <c r="J8289" s="1" t="s">
        <v>51</v>
      </c>
      <c r="K8289" s="1" t="s">
        <v>1261</v>
      </c>
      <c r="L8289" s="1" t="s">
        <v>39745</v>
      </c>
      <c r="M8289" s="2" t="s">
        <v>12</v>
      </c>
      <c r="N8289" s="4">
        <f t="shared" si="1"/>
        <v>43373</v>
      </c>
      <c r="O8289" s="5" t="str">
        <f>IFERROR(__xludf.DUMMYFUNCTION("IF(REGEXMATCH(TRIM(I8289), ""^\d+\s*min""), ""Unclassified"", IF(I8289 = """", ""NR"", I8289))"),"TV-PG")</f>
        <v>TV-PG</v>
      </c>
      <c r="R8289" s="5" t="str">
        <f t="shared" si="2"/>
        <v>The Eighties</v>
      </c>
      <c r="S8289" s="5" t="str">
        <f>IFERROR(__xludf.DUMMYFUNCTION("""COMPUTED_VALUE"""),"Undercover Law")</f>
        <v>Undercover Law</v>
      </c>
      <c r="V8289" s="5"/>
      <c r="Y8289" s="5" t="str">
        <f>IFERROR(__xludf.DUMMYFUNCTION("REGEXEXTRACT(J8289, ""^\d+"")"),"1")</f>
        <v>1</v>
      </c>
      <c r="Z8289" s="5" t="str">
        <f>IFERROR(__xludf.DUMMYFUNCTION("REGEXEXTRACT(J8289, ""[A-Za-z ]+$"")")," Season")</f>
        <v> Season</v>
      </c>
      <c r="AA8289" s="5" t="str">
        <f>IFERROR(__xludf.DUMMYFUNCTION("IF(REGEXMATCH(Z8289, ""Season""), ""TV Show"", ""Movie"")"),"TV Show")</f>
        <v>TV Show</v>
      </c>
    </row>
    <row r="8290">
      <c r="A8290" s="1" t="s">
        <v>39746</v>
      </c>
      <c r="B8290" s="1" t="s">
        <v>27</v>
      </c>
      <c r="C8290" s="1" t="s">
        <v>39747</v>
      </c>
      <c r="D8290" s="1" t="s">
        <v>10064</v>
      </c>
      <c r="E8290" s="1" t="s">
        <v>39748</v>
      </c>
      <c r="F8290" s="1" t="s">
        <v>30</v>
      </c>
      <c r="G8290" s="1" t="s">
        <v>30969</v>
      </c>
      <c r="H8290" s="1">
        <v>2015.0</v>
      </c>
      <c r="I8290" s="1" t="s">
        <v>378</v>
      </c>
      <c r="J8290" s="1" t="s">
        <v>256</v>
      </c>
      <c r="K8290" s="1" t="s">
        <v>1320</v>
      </c>
      <c r="L8290" s="1" t="s">
        <v>39749</v>
      </c>
      <c r="M8290" s="2" t="s">
        <v>12</v>
      </c>
      <c r="N8290" s="4">
        <f t="shared" si="1"/>
        <v>43307</v>
      </c>
      <c r="O8290" s="5" t="str">
        <f>IFERROR(__xludf.DUMMYFUNCTION("IF(REGEXMATCH(TRIM(I8290), ""^\d+\s*min""), ""Unclassified"", IF(I8290 = """", ""NR"", I8290))"),"R")</f>
        <v>R</v>
      </c>
      <c r="R8290" s="5" t="str">
        <f t="shared" si="2"/>
        <v>The End Of The Tour</v>
      </c>
      <c r="S8290" s="5" t="str">
        <f>IFERROR(__xludf.DUMMYFUNCTION("""COMPUTED_VALUE"""),"Undercover: How To Operate Behind Enemy Lines")</f>
        <v>Undercover: How To Operate Behind Enemy Lines</v>
      </c>
      <c r="V8290" s="5"/>
      <c r="Y8290" s="5" t="str">
        <f>IFERROR(__xludf.DUMMYFUNCTION("REGEXEXTRACT(J8290, ""^\d+"")"),"106")</f>
        <v>106</v>
      </c>
      <c r="Z8290" s="5" t="str">
        <f>IFERROR(__xludf.DUMMYFUNCTION("REGEXEXTRACT(J8290, ""[A-Za-z ]+$"")")," min")</f>
        <v> min</v>
      </c>
      <c r="AA8290" s="5" t="str">
        <f>IFERROR(__xludf.DUMMYFUNCTION("IF(REGEXMATCH(Z8290, ""Season""), ""TV Show"", ""Movie"")"),"Movie")</f>
        <v>Movie</v>
      </c>
    </row>
    <row r="8291">
      <c r="A8291" s="1" t="s">
        <v>39750</v>
      </c>
      <c r="B8291" s="1" t="s">
        <v>27</v>
      </c>
      <c r="C8291" s="1" t="s">
        <v>39751</v>
      </c>
      <c r="D8291" s="1" t="s">
        <v>6176</v>
      </c>
      <c r="E8291" s="1" t="s">
        <v>39752</v>
      </c>
      <c r="F8291" s="1" t="s">
        <v>30</v>
      </c>
      <c r="G8291" s="1" t="s">
        <v>24518</v>
      </c>
      <c r="H8291" s="1">
        <v>2017.0</v>
      </c>
      <c r="I8291" s="1" t="s">
        <v>42</v>
      </c>
      <c r="J8291" s="1" t="s">
        <v>1243</v>
      </c>
      <c r="K8291" s="1" t="s">
        <v>15646</v>
      </c>
      <c r="L8291" s="1" t="s">
        <v>39753</v>
      </c>
      <c r="M8291" s="2" t="s">
        <v>12</v>
      </c>
      <c r="N8291" s="4">
        <f t="shared" si="1"/>
        <v>43362</v>
      </c>
      <c r="O8291" s="5" t="str">
        <f>IFERROR(__xludf.DUMMYFUNCTION("IF(REGEXMATCH(TRIM(I8291), ""^\d+\s*min""), ""Unclassified"", IF(I8291 = """", ""NR"", I8291))"),"TV-MA")</f>
        <v>TV-MA</v>
      </c>
      <c r="R8291" s="5" t="str">
        <f t="shared" si="2"/>
        <v>The Endless</v>
      </c>
      <c r="S8291" s="5" t="str">
        <f>IFERROR(__xludf.DUMMYFUNCTION("""COMPUTED_VALUE"""),"Underdogs")</f>
        <v>Underdogs</v>
      </c>
      <c r="V8291" s="5"/>
      <c r="Y8291" s="5" t="str">
        <f>IFERROR(__xludf.DUMMYFUNCTION("REGEXEXTRACT(J8291, ""^\d+"")"),"112")</f>
        <v>112</v>
      </c>
      <c r="Z8291" s="5" t="str">
        <f>IFERROR(__xludf.DUMMYFUNCTION("REGEXEXTRACT(J8291, ""[A-Za-z ]+$"")")," min")</f>
        <v> min</v>
      </c>
      <c r="AA8291" s="5" t="str">
        <f>IFERROR(__xludf.DUMMYFUNCTION("IF(REGEXMATCH(Z8291, ""Season""), ""TV Show"", ""Movie"")"),"Movie")</f>
        <v>Movie</v>
      </c>
    </row>
    <row r="8292">
      <c r="A8292" s="1" t="s">
        <v>39754</v>
      </c>
      <c r="B8292" s="1" t="s">
        <v>27</v>
      </c>
      <c r="C8292" s="1" t="s">
        <v>39755</v>
      </c>
      <c r="D8292" s="1" t="s">
        <v>20220</v>
      </c>
      <c r="E8292" s="1" t="s">
        <v>39756</v>
      </c>
      <c r="F8292" s="1" t="s">
        <v>30</v>
      </c>
      <c r="G8292" s="1" t="s">
        <v>16855</v>
      </c>
      <c r="H8292" s="1">
        <v>1981.0</v>
      </c>
      <c r="I8292" s="1" t="s">
        <v>42</v>
      </c>
      <c r="J8292" s="1" t="s">
        <v>471</v>
      </c>
      <c r="K8292" s="1" t="s">
        <v>32111</v>
      </c>
      <c r="L8292" s="1" t="s">
        <v>39757</v>
      </c>
      <c r="M8292" s="2" t="s">
        <v>12</v>
      </c>
      <c r="N8292" s="4">
        <f t="shared" si="1"/>
        <v>43840</v>
      </c>
      <c r="O8292" s="5" t="str">
        <f>IFERROR(__xludf.DUMMYFUNCTION("IF(REGEXMATCH(TRIM(I8292), ""^\d+\s*min""), ""Unclassified"", IF(I8292 = """", ""NR"", I8292))"),"TV-MA")</f>
        <v>TV-MA</v>
      </c>
      <c r="R8292" s="5" t="str">
        <f t="shared" si="2"/>
        <v>The Evil Dead</v>
      </c>
      <c r="S8292" s="5" t="str">
        <f>IFERROR(__xludf.DUMMYFUNCTION("""COMPUTED_VALUE"""),"Underworld")</f>
        <v>Underworld</v>
      </c>
      <c r="V8292" s="5"/>
      <c r="Y8292" s="5" t="str">
        <f>IFERROR(__xludf.DUMMYFUNCTION("REGEXEXTRACT(J8292, ""^\d+"")"),"85")</f>
        <v>85</v>
      </c>
      <c r="Z8292" s="5" t="str">
        <f>IFERROR(__xludf.DUMMYFUNCTION("REGEXEXTRACT(J8292, ""[A-Za-z ]+$"")")," min")</f>
        <v> min</v>
      </c>
      <c r="AA8292" s="5" t="str">
        <f>IFERROR(__xludf.DUMMYFUNCTION("IF(REGEXMATCH(Z8292, ""Season""), ""TV Show"", ""Movie"")"),"Movie")</f>
        <v>Movie</v>
      </c>
    </row>
    <row r="8293">
      <c r="A8293" s="1" t="s">
        <v>39758</v>
      </c>
      <c r="B8293" s="1" t="s">
        <v>27</v>
      </c>
      <c r="C8293" s="1" t="s">
        <v>39759</v>
      </c>
      <c r="D8293" s="1" t="s">
        <v>6011</v>
      </c>
      <c r="E8293" s="1" t="s">
        <v>39760</v>
      </c>
      <c r="F8293" s="1" t="s">
        <v>686</v>
      </c>
      <c r="G8293" s="1" t="s">
        <v>19844</v>
      </c>
      <c r="H8293" s="1">
        <v>2016.0</v>
      </c>
      <c r="I8293" s="1" t="s">
        <v>378</v>
      </c>
      <c r="J8293" s="1" t="s">
        <v>1256</v>
      </c>
      <c r="K8293" s="1" t="s">
        <v>828</v>
      </c>
      <c r="L8293" s="1" t="s">
        <v>39761</v>
      </c>
      <c r="M8293" s="2" t="s">
        <v>12</v>
      </c>
      <c r="N8293" s="4">
        <f t="shared" si="1"/>
        <v>43672</v>
      </c>
      <c r="O8293" s="5" t="str">
        <f>IFERROR(__xludf.DUMMYFUNCTION("IF(REGEXMATCH(TRIM(I8293), ""^\d+\s*min""), ""Unclassified"", IF(I8293 = """", ""NR"", I8293))"),"R")</f>
        <v>R</v>
      </c>
      <c r="R8293" s="5" t="str">
        <f t="shared" si="2"/>
        <v>The Exception</v>
      </c>
      <c r="S8293" s="5" t="str">
        <f>IFERROR(__xludf.DUMMYFUNCTION("""COMPUTED_VALUE"""),"Underworld: Awakening")</f>
        <v>Underworld: Awakening</v>
      </c>
      <c r="V8293" s="5"/>
      <c r="Y8293" s="5" t="str">
        <f>IFERROR(__xludf.DUMMYFUNCTION("REGEXEXTRACT(J8293, ""^\d+"")"),"107")</f>
        <v>107</v>
      </c>
      <c r="Z8293" s="5" t="str">
        <f>IFERROR(__xludf.DUMMYFUNCTION("REGEXEXTRACT(J8293, ""[A-Za-z ]+$"")")," min")</f>
        <v> min</v>
      </c>
      <c r="AA8293" s="5" t="str">
        <f>IFERROR(__xludf.DUMMYFUNCTION("IF(REGEXMATCH(Z8293, ""Season""), ""TV Show"", ""Movie"")"),"Movie")</f>
        <v>Movie</v>
      </c>
    </row>
    <row r="8294">
      <c r="A8294" s="1" t="s">
        <v>39762</v>
      </c>
      <c r="B8294" s="1" t="s">
        <v>27</v>
      </c>
      <c r="C8294" s="1" t="s">
        <v>39763</v>
      </c>
      <c r="D8294" s="1" t="s">
        <v>10214</v>
      </c>
      <c r="E8294" s="1" t="s">
        <v>39764</v>
      </c>
      <c r="F8294" s="1" t="s">
        <v>30</v>
      </c>
      <c r="G8294" s="1" t="s">
        <v>39765</v>
      </c>
      <c r="H8294" s="1">
        <v>2016.0</v>
      </c>
      <c r="I8294" s="1" t="s">
        <v>378</v>
      </c>
      <c r="J8294" s="1" t="s">
        <v>1171</v>
      </c>
      <c r="K8294" s="1" t="s">
        <v>7235</v>
      </c>
      <c r="L8294" s="1" t="s">
        <v>39766</v>
      </c>
      <c r="M8294" s="2" t="s">
        <v>12</v>
      </c>
      <c r="N8294" s="4">
        <f t="shared" si="1"/>
        <v>42831</v>
      </c>
      <c r="O8294" s="5" t="str">
        <f>IFERROR(__xludf.DUMMYFUNCTION("IF(REGEXMATCH(TRIM(I8294), ""^\d+\s*min""), ""Unclassified"", IF(I8294 = """", ""NR"", I8294))"),"R")</f>
        <v>R</v>
      </c>
      <c r="R8294" s="5" t="str">
        <f t="shared" si="2"/>
        <v>The Eyes Of My Mother</v>
      </c>
      <c r="S8294" s="5" t="str">
        <f>IFERROR(__xludf.DUMMYFUNCTION("""COMPUTED_VALUE"""),"Underworld: Rise Of The Lycans")</f>
        <v>Underworld: Rise Of The Lycans</v>
      </c>
      <c r="V8294" s="5"/>
      <c r="Y8294" s="5" t="str">
        <f>IFERROR(__xludf.DUMMYFUNCTION("REGEXEXTRACT(J8294, ""^\d+"")"),"76")</f>
        <v>76</v>
      </c>
      <c r="Z8294" s="5" t="str">
        <f>IFERROR(__xludf.DUMMYFUNCTION("REGEXEXTRACT(J8294, ""[A-Za-z ]+$"")")," min")</f>
        <v> min</v>
      </c>
      <c r="AA8294" s="5" t="str">
        <f>IFERROR(__xludf.DUMMYFUNCTION("IF(REGEXMATCH(Z8294, ""Season""), ""TV Show"", ""Movie"")"),"Movie")</f>
        <v>Movie</v>
      </c>
    </row>
    <row r="8295">
      <c r="A8295" s="1" t="s">
        <v>39767</v>
      </c>
      <c r="B8295" s="1" t="s">
        <v>37</v>
      </c>
      <c r="C8295" s="1" t="s">
        <v>39768</v>
      </c>
      <c r="D8295" s="1" t="s">
        <v>15801</v>
      </c>
      <c r="E8295" s="1" t="s">
        <v>39769</v>
      </c>
      <c r="F8295" s="1" t="s">
        <v>96</v>
      </c>
      <c r="G8295" s="1" t="s">
        <v>28421</v>
      </c>
      <c r="H8295" s="1">
        <v>2012.0</v>
      </c>
      <c r="I8295" s="1" t="s">
        <v>42</v>
      </c>
      <c r="J8295" s="1" t="s">
        <v>51</v>
      </c>
      <c r="K8295" s="1" t="s">
        <v>33440</v>
      </c>
      <c r="L8295" s="1" t="s">
        <v>39770</v>
      </c>
      <c r="M8295" s="2" t="s">
        <v>12</v>
      </c>
      <c r="N8295" s="4">
        <f t="shared" si="1"/>
        <v>42825</v>
      </c>
      <c r="O8295" s="5" t="str">
        <f>IFERROR(__xludf.DUMMYFUNCTION("IF(REGEXMATCH(TRIM(I8295), ""^\d+\s*min""), ""Unclassified"", IF(I8295 = """", ""NR"", I8295))"),"TV-MA")</f>
        <v>TV-MA</v>
      </c>
      <c r="R8295" s="5" t="str">
        <f t="shared" si="2"/>
        <v>The Fear</v>
      </c>
      <c r="S8295" s="5" t="str">
        <f>IFERROR(__xludf.DUMMYFUNCTION("""COMPUTED_VALUE"""),"Unexpectedly Yours")</f>
        <v>Unexpectedly Yours</v>
      </c>
      <c r="V8295" s="5"/>
      <c r="Y8295" s="5" t="str">
        <f>IFERROR(__xludf.DUMMYFUNCTION("REGEXEXTRACT(J8295, ""^\d+"")"),"1")</f>
        <v>1</v>
      </c>
      <c r="Z8295" s="5" t="str">
        <f>IFERROR(__xludf.DUMMYFUNCTION("REGEXEXTRACT(J8295, ""[A-Za-z ]+$"")")," Season")</f>
        <v> Season</v>
      </c>
      <c r="AA8295" s="5" t="str">
        <f>IFERROR(__xludf.DUMMYFUNCTION("IF(REGEXMATCH(Z8295, ""Season""), ""TV Show"", ""Movie"")"),"TV Show")</f>
        <v>TV Show</v>
      </c>
    </row>
    <row r="8296">
      <c r="A8296" s="1" t="s">
        <v>39771</v>
      </c>
      <c r="B8296" s="1" t="s">
        <v>27</v>
      </c>
      <c r="C8296" s="1" t="s">
        <v>39772</v>
      </c>
      <c r="D8296" s="1" t="s">
        <v>6150</v>
      </c>
      <c r="F8296" s="1" t="s">
        <v>96</v>
      </c>
      <c r="G8296" s="1" t="s">
        <v>29673</v>
      </c>
      <c r="H8296" s="1">
        <v>2015.0</v>
      </c>
      <c r="I8296" s="1" t="s">
        <v>42</v>
      </c>
      <c r="J8296" s="1" t="s">
        <v>465</v>
      </c>
      <c r="K8296" s="1" t="s">
        <v>156</v>
      </c>
      <c r="L8296" s="1" t="s">
        <v>39773</v>
      </c>
      <c r="M8296" s="2" t="s">
        <v>12</v>
      </c>
      <c r="N8296" s="4">
        <f t="shared" si="1"/>
        <v>42522</v>
      </c>
      <c r="O8296" s="5" t="str">
        <f>IFERROR(__xludf.DUMMYFUNCTION("IF(REGEXMATCH(TRIM(I8296), ""^\d+\s*min""), ""Unclassified"", IF(I8296 = """", ""NR"", I8296))"),"TV-MA")</f>
        <v>TV-MA</v>
      </c>
      <c r="R8296" s="5" t="str">
        <f t="shared" si="2"/>
        <v>The Fear Of 13</v>
      </c>
      <c r="S8296" s="5" t="str">
        <f>IFERROR(__xludf.DUMMYFUNCTION("""COMPUTED_VALUE"""),"Unfinished Song")</f>
        <v>Unfinished Song</v>
      </c>
      <c r="V8296" s="5"/>
      <c r="Y8296" s="5" t="str">
        <f>IFERROR(__xludf.DUMMYFUNCTION("REGEXEXTRACT(J8296, ""^\d+"")"),"95")</f>
        <v>95</v>
      </c>
      <c r="Z8296" s="5" t="str">
        <f>IFERROR(__xludf.DUMMYFUNCTION("REGEXEXTRACT(J8296, ""[A-Za-z ]+$"")")," min")</f>
        <v> min</v>
      </c>
      <c r="AA8296" s="5" t="str">
        <f>IFERROR(__xludf.DUMMYFUNCTION("IF(REGEXMATCH(Z8296, ""Season""), ""TV Show"", ""Movie"")"),"Movie")</f>
        <v>Movie</v>
      </c>
    </row>
    <row r="8297">
      <c r="A8297" s="1" t="s">
        <v>39774</v>
      </c>
      <c r="B8297" s="1" t="s">
        <v>27</v>
      </c>
      <c r="C8297" s="1" t="s">
        <v>39775</v>
      </c>
      <c r="D8297" s="1" t="s">
        <v>39776</v>
      </c>
      <c r="E8297" s="1" t="s">
        <v>39777</v>
      </c>
      <c r="F8297" s="1" t="s">
        <v>30</v>
      </c>
      <c r="G8297" s="1" t="s">
        <v>25185</v>
      </c>
      <c r="H8297" s="1">
        <v>2018.0</v>
      </c>
      <c r="I8297" s="1" t="s">
        <v>42</v>
      </c>
      <c r="J8297" s="1" t="s">
        <v>428</v>
      </c>
      <c r="K8297" s="1" t="s">
        <v>4742</v>
      </c>
      <c r="L8297" s="1" t="s">
        <v>39778</v>
      </c>
      <c r="M8297" s="2" t="s">
        <v>12</v>
      </c>
      <c r="N8297" s="4">
        <f t="shared" si="1"/>
        <v>43282</v>
      </c>
      <c r="O8297" s="5" t="str">
        <f>IFERROR(__xludf.DUMMYFUNCTION("IF(REGEXMATCH(TRIM(I8297), ""^\d+\s*min""), ""Unclassified"", IF(I8297 = """", ""NR"", I8297))"),"TV-MA")</f>
        <v>TV-MA</v>
      </c>
      <c r="R8297" s="5" t="str">
        <f t="shared" si="2"/>
        <v>The Feels</v>
      </c>
      <c r="S8297" s="5" t="str">
        <f>IFERROR(__xludf.DUMMYFUNCTION("""COMPUTED_VALUE"""),"Unfriended")</f>
        <v>Unfriended</v>
      </c>
      <c r="V8297" s="5"/>
      <c r="Y8297" s="5" t="str">
        <f>IFERROR(__xludf.DUMMYFUNCTION("REGEXEXTRACT(J8297, ""^\d+"")"),"88")</f>
        <v>88</v>
      </c>
      <c r="Z8297" s="5" t="str">
        <f>IFERROR(__xludf.DUMMYFUNCTION("REGEXEXTRACT(J8297, ""[A-Za-z ]+$"")")," min")</f>
        <v> min</v>
      </c>
      <c r="AA8297" s="5" t="str">
        <f>IFERROR(__xludf.DUMMYFUNCTION("IF(REGEXMATCH(Z8297, ""Season""), ""TV Show"", ""Movie"")"),"Movie")</f>
        <v>Movie</v>
      </c>
    </row>
    <row r="8298">
      <c r="A8298" s="1" t="s">
        <v>39779</v>
      </c>
      <c r="B8298" s="1" t="s">
        <v>27</v>
      </c>
      <c r="C8298" s="1" t="s">
        <v>39780</v>
      </c>
      <c r="D8298" s="1" t="s">
        <v>4307</v>
      </c>
      <c r="E8298" s="1" t="s">
        <v>39781</v>
      </c>
      <c r="F8298" s="1" t="s">
        <v>30</v>
      </c>
      <c r="G8298" s="1" t="s">
        <v>22527</v>
      </c>
      <c r="H8298" s="1">
        <v>2010.0</v>
      </c>
      <c r="I8298" s="1" t="s">
        <v>378</v>
      </c>
      <c r="J8298" s="1" t="s">
        <v>349</v>
      </c>
      <c r="K8298" s="1" t="s">
        <v>2275</v>
      </c>
      <c r="L8298" s="1" t="s">
        <v>39782</v>
      </c>
      <c r="M8298" s="2" t="s">
        <v>12</v>
      </c>
      <c r="N8298" s="4">
        <f t="shared" si="1"/>
        <v>43478</v>
      </c>
      <c r="O8298" s="5" t="str">
        <f>IFERROR(__xludf.DUMMYFUNCTION("IF(REGEXMATCH(TRIM(I8298), ""^\d+\s*min""), ""Unclassified"", IF(I8298 = """", ""NR"", I8298))"),"R")</f>
        <v>R</v>
      </c>
      <c r="R8298" s="5" t="str">
        <f t="shared" si="2"/>
        <v>The Fighter</v>
      </c>
      <c r="S8298" s="5" t="str">
        <f>IFERROR(__xludf.DUMMYFUNCTION("""COMPUTED_VALUE"""),"Ungli")</f>
        <v>Ungli</v>
      </c>
      <c r="V8298" s="5"/>
      <c r="Y8298" s="5" t="str">
        <f>IFERROR(__xludf.DUMMYFUNCTION("REGEXEXTRACT(J8298, ""^\d+"")"),"116")</f>
        <v>116</v>
      </c>
      <c r="Z8298" s="5" t="str">
        <f>IFERROR(__xludf.DUMMYFUNCTION("REGEXEXTRACT(J8298, ""[A-Za-z ]+$"")")," min")</f>
        <v> min</v>
      </c>
      <c r="AA8298" s="5" t="str">
        <f>IFERROR(__xludf.DUMMYFUNCTION("IF(REGEXMATCH(Z8298, ""Season""), ""TV Show"", ""Movie"")"),"Movie")</f>
        <v>Movie</v>
      </c>
    </row>
    <row r="8299">
      <c r="A8299" s="1" t="s">
        <v>39783</v>
      </c>
      <c r="B8299" s="1" t="s">
        <v>27</v>
      </c>
      <c r="C8299" s="1" t="s">
        <v>39784</v>
      </c>
      <c r="D8299" s="1" t="s">
        <v>10013</v>
      </c>
      <c r="E8299" s="1" t="s">
        <v>39785</v>
      </c>
      <c r="F8299" s="1" t="s">
        <v>400</v>
      </c>
      <c r="G8299" s="1" t="s">
        <v>18985</v>
      </c>
      <c r="H8299" s="1">
        <v>2009.0</v>
      </c>
      <c r="I8299" s="1" t="s">
        <v>97</v>
      </c>
      <c r="J8299" s="1" t="s">
        <v>941</v>
      </c>
      <c r="K8299" s="1" t="s">
        <v>1592</v>
      </c>
      <c r="L8299" s="1" t="s">
        <v>39786</v>
      </c>
      <c r="M8299" s="2" t="s">
        <v>12</v>
      </c>
      <c r="N8299" s="4">
        <f t="shared" si="1"/>
        <v>43739</v>
      </c>
      <c r="O8299" s="5" t="str">
        <f>IFERROR(__xludf.DUMMYFUNCTION("IF(REGEXMATCH(TRIM(I8299), ""^\d+\s*min""), ""Unclassified"", IF(I8299 = """", ""NR"", I8299))"),"TV-14")</f>
        <v>TV-14</v>
      </c>
      <c r="R8299" s="5" t="str">
        <f t="shared" si="2"/>
        <v>The Figurine (Araromire)</v>
      </c>
      <c r="S8299" s="5" t="str">
        <f>IFERROR(__xludf.DUMMYFUNCTION("""COMPUTED_VALUE"""),"Unicorn Store")</f>
        <v>Unicorn Store</v>
      </c>
      <c r="V8299" s="5"/>
      <c r="Y8299" s="5" t="str">
        <f>IFERROR(__xludf.DUMMYFUNCTION("REGEXEXTRACT(J8299, ""^\d+"")"),"121")</f>
        <v>121</v>
      </c>
      <c r="Z8299" s="5" t="str">
        <f>IFERROR(__xludf.DUMMYFUNCTION("REGEXEXTRACT(J8299, ""[A-Za-z ]+$"")")," min")</f>
        <v> min</v>
      </c>
      <c r="AA8299" s="5" t="str">
        <f>IFERROR(__xludf.DUMMYFUNCTION("IF(REGEXMATCH(Z8299, ""Season""), ""TV Show"", ""Movie"")"),"Movie")</f>
        <v>Movie</v>
      </c>
    </row>
    <row r="8300">
      <c r="A8300" s="1" t="s">
        <v>39787</v>
      </c>
      <c r="B8300" s="1" t="s">
        <v>27</v>
      </c>
      <c r="C8300" s="1" t="s">
        <v>39788</v>
      </c>
      <c r="D8300" s="1" t="s">
        <v>6101</v>
      </c>
      <c r="E8300" s="1" t="s">
        <v>39789</v>
      </c>
      <c r="F8300" s="1" t="s">
        <v>30</v>
      </c>
      <c r="G8300" s="1" t="s">
        <v>16947</v>
      </c>
      <c r="H8300" s="1">
        <v>2009.0</v>
      </c>
      <c r="I8300" s="1" t="s">
        <v>378</v>
      </c>
      <c r="J8300" s="1" t="s">
        <v>1001</v>
      </c>
      <c r="K8300" s="1" t="s">
        <v>1551</v>
      </c>
      <c r="L8300" s="1" t="s">
        <v>39790</v>
      </c>
      <c r="M8300" s="2" t="s">
        <v>12</v>
      </c>
      <c r="N8300" s="4">
        <f t="shared" si="1"/>
        <v>43831</v>
      </c>
      <c r="O8300" s="5" t="str">
        <f>IFERROR(__xludf.DUMMYFUNCTION("IF(REGEXMATCH(TRIM(I8300), ""^\d+\s*min""), ""Unclassified"", IF(I8300 = """", ""NR"", I8300))"),"R")</f>
        <v>R</v>
      </c>
      <c r="R8300" s="5" t="str">
        <f t="shared" si="2"/>
        <v>The Final Destination</v>
      </c>
      <c r="S8300" s="5" t="str">
        <f>IFERROR(__xludf.DUMMYFUNCTION("""COMPUTED_VALUE"""),"Union Leader")</f>
        <v>Union Leader</v>
      </c>
      <c r="V8300" s="5"/>
      <c r="Y8300" s="5" t="str">
        <f>IFERROR(__xludf.DUMMYFUNCTION("REGEXEXTRACT(J8300, ""^\d+"")"),"82")</f>
        <v>82</v>
      </c>
      <c r="Z8300" s="5" t="str">
        <f>IFERROR(__xludf.DUMMYFUNCTION("REGEXEXTRACT(J8300, ""[A-Za-z ]+$"")")," min")</f>
        <v> min</v>
      </c>
      <c r="AA8300" s="5" t="str">
        <f>IFERROR(__xludf.DUMMYFUNCTION("IF(REGEXMATCH(Z8300, ""Season""), ""TV Show"", ""Movie"")"),"Movie")</f>
        <v>Movie</v>
      </c>
    </row>
    <row r="8301">
      <c r="A8301" s="1" t="s">
        <v>39791</v>
      </c>
      <c r="B8301" s="1" t="s">
        <v>27</v>
      </c>
      <c r="C8301" s="1" t="s">
        <v>39792</v>
      </c>
      <c r="D8301" s="1" t="s">
        <v>5122</v>
      </c>
      <c r="E8301" s="1" t="s">
        <v>39793</v>
      </c>
      <c r="F8301" s="1" t="s">
        <v>39794</v>
      </c>
      <c r="G8301" s="1" t="s">
        <v>39795</v>
      </c>
      <c r="H8301" s="1">
        <v>2014.0</v>
      </c>
      <c r="I8301" s="1" t="s">
        <v>97</v>
      </c>
      <c r="J8301" s="1" t="s">
        <v>630</v>
      </c>
      <c r="K8301" s="1" t="s">
        <v>1320</v>
      </c>
      <c r="L8301" s="1" t="s">
        <v>39796</v>
      </c>
      <c r="M8301" s="2" t="s">
        <v>12</v>
      </c>
      <c r="N8301" s="4">
        <f t="shared" si="1"/>
        <v>42633</v>
      </c>
      <c r="O8301" s="5" t="str">
        <f>IFERROR(__xludf.DUMMYFUNCTION("IF(REGEXMATCH(TRIM(I8301), ""^\d+\s*min""), ""Unclassified"", IF(I8301 = """", ""NR"", I8301))"),"TV-14")</f>
        <v>TV-14</v>
      </c>
      <c r="R8301" s="5" t="str">
        <f t="shared" si="2"/>
        <v>The First Line</v>
      </c>
      <c r="S8301" s="5" t="str">
        <f>IFERROR(__xludf.DUMMYFUNCTION("""COMPUTED_VALUE"""),"Unit 42")</f>
        <v>Unit 42</v>
      </c>
      <c r="V8301" s="5"/>
      <c r="Y8301" s="5" t="str">
        <f>IFERROR(__xludf.DUMMYFUNCTION("REGEXEXTRACT(J8301, ""^\d+"")"),"87")</f>
        <v>87</v>
      </c>
      <c r="Z8301" s="5" t="str">
        <f>IFERROR(__xludf.DUMMYFUNCTION("REGEXEXTRACT(J8301, ""[A-Za-z ]+$"")")," min")</f>
        <v> min</v>
      </c>
      <c r="AA8301" s="5" t="str">
        <f>IFERROR(__xludf.DUMMYFUNCTION("IF(REGEXMATCH(Z8301, ""Season""), ""TV Show"", ""Movie"")"),"Movie")</f>
        <v>Movie</v>
      </c>
    </row>
    <row r="8302">
      <c r="A8302" s="1" t="s">
        <v>39797</v>
      </c>
      <c r="B8302" s="1" t="s">
        <v>27</v>
      </c>
      <c r="C8302" s="1" t="s">
        <v>39798</v>
      </c>
      <c r="D8302" s="1" t="s">
        <v>19655</v>
      </c>
      <c r="E8302" s="1" t="s">
        <v>39799</v>
      </c>
      <c r="F8302" s="1" t="s">
        <v>1992</v>
      </c>
      <c r="G8302" s="1" t="s">
        <v>17632</v>
      </c>
      <c r="H8302" s="1">
        <v>2019.0</v>
      </c>
      <c r="I8302" s="1" t="s">
        <v>42</v>
      </c>
      <c r="J8302" s="1" t="s">
        <v>3060</v>
      </c>
      <c r="K8302" s="1" t="s">
        <v>199</v>
      </c>
      <c r="L8302" s="1" t="s">
        <v>39800</v>
      </c>
      <c r="M8302" s="2" t="s">
        <v>12</v>
      </c>
      <c r="N8302" s="4">
        <f t="shared" si="1"/>
        <v>43802</v>
      </c>
      <c r="O8302" s="5" t="str">
        <f>IFERROR(__xludf.DUMMYFUNCTION("IF(REGEXMATCH(TRIM(I8302), ""^\d+\s*min""), ""Unclassified"", IF(I8302 = """", ""NR"", I8302))"),"TV-MA")</f>
        <v>TV-MA</v>
      </c>
      <c r="R8302" s="5" t="str">
        <f t="shared" si="2"/>
        <v>The First Temptation Of Christ</v>
      </c>
      <c r="S8302" s="5" t="str">
        <f>IFERROR(__xludf.DUMMYFUNCTION("""COMPUTED_VALUE"""),"Universal Soldier: The Return")</f>
        <v>Universal Soldier: The Return</v>
      </c>
      <c r="V8302" s="5"/>
      <c r="Y8302" s="5" t="str">
        <f>IFERROR(__xludf.DUMMYFUNCTION("REGEXEXTRACT(J8302, ""^\d+"")"),"46")</f>
        <v>46</v>
      </c>
      <c r="Z8302" s="5" t="str">
        <f>IFERROR(__xludf.DUMMYFUNCTION("REGEXEXTRACT(J8302, ""[A-Za-z ]+$"")")," min")</f>
        <v> min</v>
      </c>
      <c r="AA8302" s="5" t="str">
        <f>IFERROR(__xludf.DUMMYFUNCTION("IF(REGEXMATCH(Z8302, ""Season""), ""TV Show"", ""Movie"")"),"Movie")</f>
        <v>Movie</v>
      </c>
    </row>
    <row r="8303">
      <c r="A8303" s="1" t="s">
        <v>39801</v>
      </c>
      <c r="B8303" s="1" t="s">
        <v>27</v>
      </c>
      <c r="C8303" s="1" t="s">
        <v>39802</v>
      </c>
      <c r="D8303" s="1" t="s">
        <v>39803</v>
      </c>
      <c r="E8303" s="1" t="s">
        <v>39804</v>
      </c>
      <c r="F8303" s="1" t="s">
        <v>30</v>
      </c>
      <c r="G8303" s="1" t="s">
        <v>17941</v>
      </c>
      <c r="H8303" s="1">
        <v>1996.0</v>
      </c>
      <c r="I8303" s="1" t="s">
        <v>78</v>
      </c>
      <c r="J8303" s="1" t="s">
        <v>238</v>
      </c>
      <c r="K8303" s="1" t="s">
        <v>239</v>
      </c>
      <c r="L8303" s="1" t="s">
        <v>39805</v>
      </c>
      <c r="M8303" s="2" t="s">
        <v>12</v>
      </c>
      <c r="N8303" s="4">
        <f t="shared" si="1"/>
        <v>43789</v>
      </c>
      <c r="O8303" s="5" t="str">
        <f>IFERROR(__xludf.DUMMYFUNCTION("IF(REGEXMATCH(TRIM(I8303), ""^\d+\s*min""), ""Unclassified"", IF(I8303 = """", ""NR"", I8303))"),"PG")</f>
        <v>PG</v>
      </c>
      <c r="R8303" s="5" t="str">
        <f t="shared" si="2"/>
        <v>The First Wives Club</v>
      </c>
      <c r="S8303" s="5" t="str">
        <f>IFERROR(__xludf.DUMMYFUNCTION("""COMPUTED_VALUE"""),"Unknown")</f>
        <v>Unknown</v>
      </c>
      <c r="V8303" s="5"/>
      <c r="Y8303" s="5" t="str">
        <f>IFERROR(__xludf.DUMMYFUNCTION("REGEXEXTRACT(J8303, ""^\d+"")"),"103")</f>
        <v>103</v>
      </c>
      <c r="Z8303" s="5" t="str">
        <f>IFERROR(__xludf.DUMMYFUNCTION("REGEXEXTRACT(J8303, ""[A-Za-z ]+$"")")," min")</f>
        <v> min</v>
      </c>
      <c r="AA8303" s="5" t="str">
        <f>IFERROR(__xludf.DUMMYFUNCTION("IF(REGEXMATCH(Z8303, ""Season""), ""TV Show"", ""Movie"")"),"Movie")</f>
        <v>Movie</v>
      </c>
    </row>
    <row r="8304">
      <c r="A8304" s="1" t="s">
        <v>39806</v>
      </c>
      <c r="B8304" s="1" t="s">
        <v>37</v>
      </c>
      <c r="C8304" s="1" t="s">
        <v>39807</v>
      </c>
      <c r="D8304" s="1" t="s">
        <v>14952</v>
      </c>
      <c r="E8304" s="1" t="s">
        <v>39808</v>
      </c>
      <c r="F8304" s="1" t="s">
        <v>96</v>
      </c>
      <c r="G8304" s="1" t="s">
        <v>27248</v>
      </c>
      <c r="H8304" s="1">
        <v>2016.0</v>
      </c>
      <c r="I8304" s="1" t="s">
        <v>42</v>
      </c>
      <c r="J8304" s="1" t="s">
        <v>51</v>
      </c>
      <c r="K8304" s="1" t="s">
        <v>33440</v>
      </c>
      <c r="L8304" s="1" t="s">
        <v>39809</v>
      </c>
      <c r="M8304" s="2" t="s">
        <v>12</v>
      </c>
      <c r="N8304" s="4">
        <f t="shared" si="1"/>
        <v>42993</v>
      </c>
      <c r="O8304" s="5" t="str">
        <f>IFERROR(__xludf.DUMMYFUNCTION("IF(REGEXMATCH(TRIM(I8304), ""^\d+\s*min""), ""Unclassified"", IF(I8304 = """", ""NR"", I8304))"),"TV-MA")</f>
        <v>TV-MA</v>
      </c>
      <c r="R8304" s="5" t="str">
        <f t="shared" si="2"/>
        <v>The Five</v>
      </c>
      <c r="S8304" s="5" t="str">
        <f>IFERROR(__xludf.DUMMYFUNCTION("""COMPUTED_VALUE"""),"Unknown Origins")</f>
        <v>Unknown Origins</v>
      </c>
      <c r="V8304" s="5"/>
      <c r="Y8304" s="5" t="str">
        <f>IFERROR(__xludf.DUMMYFUNCTION("REGEXEXTRACT(J8304, ""^\d+"")"),"1")</f>
        <v>1</v>
      </c>
      <c r="Z8304" s="5" t="str">
        <f>IFERROR(__xludf.DUMMYFUNCTION("REGEXEXTRACT(J8304, ""[A-Za-z ]+$"")")," Season")</f>
        <v> Season</v>
      </c>
      <c r="AA8304" s="5" t="str">
        <f>IFERROR(__xludf.DUMMYFUNCTION("IF(REGEXMATCH(Z8304, ""Season""), ""TV Show"", ""Movie"")"),"TV Show")</f>
        <v>TV Show</v>
      </c>
    </row>
    <row r="8305">
      <c r="A8305" s="1" t="s">
        <v>39810</v>
      </c>
      <c r="B8305" s="1" t="s">
        <v>27</v>
      </c>
      <c r="C8305" s="1" t="s">
        <v>39811</v>
      </c>
      <c r="D8305" s="1" t="s">
        <v>4534</v>
      </c>
      <c r="E8305" s="1" t="s">
        <v>39812</v>
      </c>
      <c r="F8305" s="1" t="s">
        <v>1119</v>
      </c>
      <c r="G8305" s="1" t="s">
        <v>33562</v>
      </c>
      <c r="H8305" s="1">
        <v>1978.0</v>
      </c>
      <c r="I8305" s="1" t="s">
        <v>378</v>
      </c>
      <c r="J8305" s="1" t="s">
        <v>247</v>
      </c>
      <c r="K8305" s="1" t="s">
        <v>3459</v>
      </c>
      <c r="L8305" s="1" t="s">
        <v>39813</v>
      </c>
      <c r="M8305" s="2" t="s">
        <v>12</v>
      </c>
      <c r="N8305" s="4">
        <f t="shared" si="1"/>
        <v>43312</v>
      </c>
      <c r="O8305" s="5" t="str">
        <f>IFERROR(__xludf.DUMMYFUNCTION("IF(REGEXMATCH(TRIM(I8305), ""^\d+\s*min""), ""Unclassified"", IF(I8305 = """", ""NR"", I8305))"),"R")</f>
        <v>R</v>
      </c>
      <c r="R8305" s="5" t="str">
        <f t="shared" si="2"/>
        <v>The Five Venoms</v>
      </c>
      <c r="S8305" s="5" t="str">
        <f>IFERROR(__xludf.DUMMYFUNCTION("""COMPUTED_VALUE"""),"Unlucky Ploy")</f>
        <v>Unlucky Ploy</v>
      </c>
      <c r="V8305" s="5"/>
      <c r="Y8305" s="5" t="str">
        <f>IFERROR(__xludf.DUMMYFUNCTION("REGEXEXTRACT(J8305, ""^\d+"")"),"97")</f>
        <v>97</v>
      </c>
      <c r="Z8305" s="5" t="str">
        <f>IFERROR(__xludf.DUMMYFUNCTION("REGEXEXTRACT(J8305, ""[A-Za-z ]+$"")")," min")</f>
        <v> min</v>
      </c>
      <c r="AA8305" s="5" t="str">
        <f>IFERROR(__xludf.DUMMYFUNCTION("IF(REGEXMATCH(Z8305, ""Season""), ""TV Show"", ""Movie"")"),"Movie")</f>
        <v>Movie</v>
      </c>
    </row>
    <row r="8306">
      <c r="A8306" s="1" t="s">
        <v>39814</v>
      </c>
      <c r="B8306" s="1" t="s">
        <v>27</v>
      </c>
      <c r="C8306" s="1" t="s">
        <v>39815</v>
      </c>
      <c r="D8306" s="1" t="s">
        <v>2123</v>
      </c>
      <c r="E8306" s="1" t="s">
        <v>39816</v>
      </c>
      <c r="F8306" s="1" t="s">
        <v>30</v>
      </c>
      <c r="G8306" s="1" t="s">
        <v>18985</v>
      </c>
      <c r="H8306" s="1">
        <v>1994.0</v>
      </c>
      <c r="I8306" s="1" t="s">
        <v>78</v>
      </c>
      <c r="J8306" s="1" t="s">
        <v>79</v>
      </c>
      <c r="K8306" s="1" t="s">
        <v>137</v>
      </c>
      <c r="L8306" s="1" t="s">
        <v>39817</v>
      </c>
      <c r="M8306" s="2" t="s">
        <v>12</v>
      </c>
      <c r="N8306" s="4">
        <f t="shared" si="1"/>
        <v>43739</v>
      </c>
      <c r="O8306" s="5" t="str">
        <f>IFERROR(__xludf.DUMMYFUNCTION("IF(REGEXMATCH(TRIM(I8306), ""^\d+\s*min""), ""Unclassified"", IF(I8306 = """", ""NR"", I8306))"),"PG")</f>
        <v>PG</v>
      </c>
      <c r="R8306" s="5" t="str">
        <f t="shared" si="2"/>
        <v>The Flintstones</v>
      </c>
      <c r="S8306" s="5" t="str">
        <f>IFERROR(__xludf.DUMMYFUNCTION("""COMPUTED_VALUE"""),"Unnatural Selection")</f>
        <v>Unnatural Selection</v>
      </c>
      <c r="V8306" s="5"/>
      <c r="Y8306" s="5" t="str">
        <f>IFERROR(__xludf.DUMMYFUNCTION("REGEXEXTRACT(J8306, ""^\d+"")"),"91")</f>
        <v>91</v>
      </c>
      <c r="Z8306" s="5" t="str">
        <f>IFERROR(__xludf.DUMMYFUNCTION("REGEXEXTRACT(J8306, ""[A-Za-z ]+$"")")," min")</f>
        <v> min</v>
      </c>
      <c r="AA8306" s="5" t="str">
        <f>IFERROR(__xludf.DUMMYFUNCTION("IF(REGEXMATCH(Z8306, ""Season""), ""TV Show"", ""Movie"")"),"Movie")</f>
        <v>Movie</v>
      </c>
    </row>
    <row r="8307">
      <c r="A8307" s="1" t="s">
        <v>39818</v>
      </c>
      <c r="B8307" s="1" t="s">
        <v>27</v>
      </c>
      <c r="C8307" s="1" t="s">
        <v>39819</v>
      </c>
      <c r="D8307" s="1" t="s">
        <v>2123</v>
      </c>
      <c r="E8307" s="1" t="s">
        <v>39820</v>
      </c>
      <c r="F8307" s="1" t="s">
        <v>30</v>
      </c>
      <c r="G8307" s="1" t="s">
        <v>18985</v>
      </c>
      <c r="H8307" s="1">
        <v>2000.0</v>
      </c>
      <c r="I8307" s="1" t="s">
        <v>78</v>
      </c>
      <c r="J8307" s="1" t="s">
        <v>79</v>
      </c>
      <c r="K8307" s="1" t="s">
        <v>10074</v>
      </c>
      <c r="L8307" s="1" t="s">
        <v>39821</v>
      </c>
      <c r="M8307" s="2" t="s">
        <v>12</v>
      </c>
      <c r="N8307" s="4">
        <f t="shared" si="1"/>
        <v>43739</v>
      </c>
      <c r="O8307" s="5" t="str">
        <f>IFERROR(__xludf.DUMMYFUNCTION("IF(REGEXMATCH(TRIM(I8307), ""^\d+\s*min""), ""Unclassified"", IF(I8307 = """", ""NR"", I8307))"),"PG")</f>
        <v>PG</v>
      </c>
      <c r="R8307" s="5" t="str">
        <f t="shared" si="2"/>
        <v>The Flintstones In Viva Rock Vegas</v>
      </c>
      <c r="S8307" s="5" t="str">
        <f>IFERROR(__xludf.DUMMYFUNCTION("""COMPUTED_VALUE"""),"Unorthodox")</f>
        <v>Unorthodox</v>
      </c>
      <c r="V8307" s="5"/>
      <c r="Y8307" s="5" t="str">
        <f>IFERROR(__xludf.DUMMYFUNCTION("REGEXEXTRACT(J8307, ""^\d+"")"),"91")</f>
        <v>91</v>
      </c>
      <c r="Z8307" s="5" t="str">
        <f>IFERROR(__xludf.DUMMYFUNCTION("REGEXEXTRACT(J8307, ""[A-Za-z ]+$"")")," min")</f>
        <v> min</v>
      </c>
      <c r="AA8307" s="5" t="str">
        <f>IFERROR(__xludf.DUMMYFUNCTION("IF(REGEXMATCH(Z8307, ""Season""), ""TV Show"", ""Movie"")"),"Movie")</f>
        <v>Movie</v>
      </c>
    </row>
    <row r="8308">
      <c r="A8308" s="1" t="s">
        <v>39822</v>
      </c>
      <c r="B8308" s="1" t="s">
        <v>27</v>
      </c>
      <c r="C8308" s="1" t="s">
        <v>39823</v>
      </c>
      <c r="D8308" s="1" t="s">
        <v>15483</v>
      </c>
      <c r="E8308" s="1" t="s">
        <v>39824</v>
      </c>
      <c r="F8308" s="1" t="s">
        <v>1119</v>
      </c>
      <c r="G8308" s="1" t="s">
        <v>24995</v>
      </c>
      <c r="H8308" s="1">
        <v>1975.0</v>
      </c>
      <c r="I8308" s="1" t="s">
        <v>42</v>
      </c>
      <c r="J8308" s="1" t="s">
        <v>1091</v>
      </c>
      <c r="K8308" s="1" t="s">
        <v>306</v>
      </c>
      <c r="L8308" s="1" t="s">
        <v>39825</v>
      </c>
      <c r="M8308" s="2" t="s">
        <v>12</v>
      </c>
      <c r="N8308" s="4">
        <f t="shared" si="1"/>
        <v>43309</v>
      </c>
      <c r="O8308" s="5" t="str">
        <f>IFERROR(__xludf.DUMMYFUNCTION("IF(REGEXMATCH(TRIM(I8308), ""^\d+\s*min""), ""Unclassified"", IF(I8308 = """", ""NR"", I8308))"),"TV-MA")</f>
        <v>TV-MA</v>
      </c>
      <c r="R8308" s="5" t="str">
        <f t="shared" si="2"/>
        <v>The Flying Guillotine</v>
      </c>
      <c r="S8308" s="5" t="str">
        <f>IFERROR(__xludf.DUMMYFUNCTION("""COMPUTED_VALUE"""),"Unrequited Love")</f>
        <v>Unrequited Love</v>
      </c>
      <c r="V8308" s="5"/>
      <c r="Y8308" s="5" t="str">
        <f>IFERROR(__xludf.DUMMYFUNCTION("REGEXEXTRACT(J8308, ""^\d+"")"),"101")</f>
        <v>101</v>
      </c>
      <c r="Z8308" s="5" t="str">
        <f>IFERROR(__xludf.DUMMYFUNCTION("REGEXEXTRACT(J8308, ""[A-Za-z ]+$"")")," min")</f>
        <v> min</v>
      </c>
      <c r="AA8308" s="5" t="str">
        <f>IFERROR(__xludf.DUMMYFUNCTION("IF(REGEXMATCH(Z8308, ""Season""), ""TV Show"", ""Movie"")"),"Movie")</f>
        <v>Movie</v>
      </c>
    </row>
    <row r="8309">
      <c r="A8309" s="1" t="s">
        <v>39826</v>
      </c>
      <c r="B8309" s="1" t="s">
        <v>27</v>
      </c>
      <c r="C8309" s="1" t="s">
        <v>39827</v>
      </c>
      <c r="D8309" s="1" t="s">
        <v>3695</v>
      </c>
      <c r="E8309" s="1" t="s">
        <v>39828</v>
      </c>
      <c r="F8309" s="1" t="s">
        <v>2296</v>
      </c>
      <c r="G8309" s="1" t="s">
        <v>20110</v>
      </c>
      <c r="H8309" s="1">
        <v>2008.0</v>
      </c>
      <c r="I8309" s="1" t="s">
        <v>32</v>
      </c>
      <c r="J8309" s="1" t="s">
        <v>106</v>
      </c>
      <c r="K8309" s="1" t="s">
        <v>942</v>
      </c>
      <c r="L8309" s="1" t="s">
        <v>39829</v>
      </c>
      <c r="M8309" s="2" t="s">
        <v>12</v>
      </c>
      <c r="N8309" s="4">
        <f t="shared" si="1"/>
        <v>43647</v>
      </c>
      <c r="O8309" s="5" t="str">
        <f>IFERROR(__xludf.DUMMYFUNCTION("IF(REGEXMATCH(TRIM(I8309), ""^\d+\s*min""), ""Unclassified"", IF(I8309 = """", ""NR"", I8309))"),"PG-13")</f>
        <v>PG-13</v>
      </c>
      <c r="R8309" s="5" t="str">
        <f t="shared" si="2"/>
        <v>The Forbidden Kingdom</v>
      </c>
      <c r="S8309" s="5" t="str">
        <f>IFERROR(__xludf.DUMMYFUNCTION("""COMPUTED_VALUE"""),"Unrest")</f>
        <v>Unrest</v>
      </c>
      <c r="V8309" s="5"/>
      <c r="Y8309" s="5" t="str">
        <f>IFERROR(__xludf.DUMMYFUNCTION("REGEXEXTRACT(J8309, ""^\d+"")"),"104")</f>
        <v>104</v>
      </c>
      <c r="Z8309" s="5" t="str">
        <f>IFERROR(__xludf.DUMMYFUNCTION("REGEXEXTRACT(J8309, ""[A-Za-z ]+$"")")," min")</f>
        <v> min</v>
      </c>
      <c r="AA8309" s="5" t="str">
        <f>IFERROR(__xludf.DUMMYFUNCTION("IF(REGEXMATCH(Z8309, ""Season""), ""TV Show"", ""Movie"")"),"Movie")</f>
        <v>Movie</v>
      </c>
    </row>
    <row r="8310">
      <c r="A8310" s="1" t="s">
        <v>39830</v>
      </c>
      <c r="B8310" s="1" t="s">
        <v>27</v>
      </c>
      <c r="C8310" s="1" t="s">
        <v>39831</v>
      </c>
      <c r="D8310" s="1" t="s">
        <v>18039</v>
      </c>
      <c r="F8310" s="1" t="s">
        <v>30</v>
      </c>
      <c r="G8310" s="1" t="s">
        <v>26320</v>
      </c>
      <c r="H8310" s="1">
        <v>2017.0</v>
      </c>
      <c r="I8310" s="1" t="s">
        <v>42</v>
      </c>
      <c r="J8310" s="1" t="s">
        <v>665</v>
      </c>
      <c r="K8310" s="1" t="s">
        <v>34</v>
      </c>
      <c r="L8310" s="1" t="s">
        <v>39832</v>
      </c>
      <c r="M8310" s="2" t="s">
        <v>12</v>
      </c>
      <c r="N8310" s="4">
        <f t="shared" si="1"/>
        <v>43129</v>
      </c>
      <c r="O8310" s="5" t="str">
        <f>IFERROR(__xludf.DUMMYFUNCTION("IF(REGEXMATCH(TRIM(I8310), ""^\d+\s*min""), ""Unclassified"", IF(I8310 = """", ""NR"", I8310))"),"TV-MA")</f>
        <v>TV-MA</v>
      </c>
      <c r="R8310" s="5" t="str">
        <f t="shared" si="2"/>
        <v>The Force</v>
      </c>
      <c r="S8310" s="5" t="str">
        <f>IFERROR(__xludf.DUMMYFUNCTION("""COMPUTED_VALUE"""),"Unriddle")</f>
        <v>Unriddle</v>
      </c>
      <c r="V8310" s="5"/>
      <c r="Y8310" s="5" t="str">
        <f>IFERROR(__xludf.DUMMYFUNCTION("REGEXEXTRACT(J8310, ""^\d+"")"),"92")</f>
        <v>92</v>
      </c>
      <c r="Z8310" s="5" t="str">
        <f>IFERROR(__xludf.DUMMYFUNCTION("REGEXEXTRACT(J8310, ""[A-Za-z ]+$"")")," min")</f>
        <v> min</v>
      </c>
      <c r="AA8310" s="5" t="str">
        <f>IFERROR(__xludf.DUMMYFUNCTION("IF(REGEXMATCH(Z8310, ""Season""), ""TV Show"", ""Movie"")"),"Movie")</f>
        <v>Movie</v>
      </c>
    </row>
    <row r="8311">
      <c r="A8311" s="1" t="s">
        <v>39833</v>
      </c>
      <c r="B8311" s="1" t="s">
        <v>27</v>
      </c>
      <c r="C8311" s="1" t="s">
        <v>39834</v>
      </c>
      <c r="D8311" s="1" t="s">
        <v>1012</v>
      </c>
      <c r="E8311" s="1" t="s">
        <v>39835</v>
      </c>
      <c r="F8311" s="1" t="s">
        <v>39836</v>
      </c>
      <c r="G8311" s="1" t="s">
        <v>16236</v>
      </c>
      <c r="H8311" s="1">
        <v>2017.0</v>
      </c>
      <c r="I8311" s="1" t="s">
        <v>378</v>
      </c>
      <c r="J8311" s="1" t="s">
        <v>519</v>
      </c>
      <c r="K8311" s="1" t="s">
        <v>1066</v>
      </c>
      <c r="L8311" s="1" t="s">
        <v>39837</v>
      </c>
      <c r="M8311" s="2" t="s">
        <v>12</v>
      </c>
      <c r="N8311" s="4">
        <f t="shared" si="1"/>
        <v>43875</v>
      </c>
      <c r="O8311" s="5" t="str">
        <f>IFERROR(__xludf.DUMMYFUNCTION("IF(REGEXMATCH(TRIM(I8311), ""^\d+\s*min""), ""Unclassified"", IF(I8311 = """", ""NR"", I8311))"),"R")</f>
        <v>R</v>
      </c>
      <c r="R8311" s="5" t="str">
        <f t="shared" si="2"/>
        <v>The Foreigner</v>
      </c>
      <c r="S8311" s="5" t="str">
        <f>IFERROR(__xludf.DUMMYFUNCTION("""COMPUTED_VALUE"""),"Unroyal")</f>
        <v>Unroyal</v>
      </c>
      <c r="V8311" s="5"/>
      <c r="Y8311" s="5" t="str">
        <f>IFERROR(__xludf.DUMMYFUNCTION("REGEXEXTRACT(J8311, ""^\d+"")"),"113")</f>
        <v>113</v>
      </c>
      <c r="Z8311" s="5" t="str">
        <f>IFERROR(__xludf.DUMMYFUNCTION("REGEXEXTRACT(J8311, ""[A-Za-z ]+$"")")," min")</f>
        <v> min</v>
      </c>
      <c r="AA8311" s="5" t="str">
        <f>IFERROR(__xludf.DUMMYFUNCTION("IF(REGEXMATCH(Z8311, ""Season""), ""TV Show"", ""Movie"")"),"Movie")</f>
        <v>Movie</v>
      </c>
    </row>
    <row r="8312">
      <c r="A8312" s="1" t="s">
        <v>39838</v>
      </c>
      <c r="B8312" s="1" t="s">
        <v>27</v>
      </c>
      <c r="C8312" s="1" t="s">
        <v>39839</v>
      </c>
      <c r="D8312" s="1" t="s">
        <v>17189</v>
      </c>
      <c r="E8312" s="1" t="s">
        <v>39840</v>
      </c>
      <c r="F8312" s="1" t="s">
        <v>96</v>
      </c>
      <c r="G8312" s="1" t="s">
        <v>39841</v>
      </c>
      <c r="H8312" s="1">
        <v>2014.0</v>
      </c>
      <c r="I8312" s="1" t="s">
        <v>42</v>
      </c>
      <c r="J8312" s="1" t="s">
        <v>1191</v>
      </c>
      <c r="K8312" s="1" t="s">
        <v>1551</v>
      </c>
      <c r="L8312" s="1" t="s">
        <v>39842</v>
      </c>
      <c r="M8312" s="2" t="s">
        <v>12</v>
      </c>
      <c r="N8312" s="4">
        <f t="shared" si="1"/>
        <v>42989</v>
      </c>
      <c r="O8312" s="5" t="str">
        <f>IFERROR(__xludf.DUMMYFUNCTION("IF(REGEXMATCH(TRIM(I8312), ""^\d+\s*min""), ""Unclassified"", IF(I8312 = """", ""NR"", I8312))"),"TV-MA")</f>
        <v>TV-MA</v>
      </c>
      <c r="R8312" s="5" t="str">
        <f t="shared" si="2"/>
        <v>The Forgotten</v>
      </c>
      <c r="S8312" s="5" t="str">
        <f>IFERROR(__xludf.DUMMYFUNCTION("""COMPUTED_VALUE"""),"Unruly Friends")</f>
        <v>Unruly Friends</v>
      </c>
      <c r="V8312" s="5"/>
      <c r="Y8312" s="5" t="str">
        <f>IFERROR(__xludf.DUMMYFUNCTION("REGEXEXTRACT(J8312, ""^\d+"")"),"89")</f>
        <v>89</v>
      </c>
      <c r="Z8312" s="5" t="str">
        <f>IFERROR(__xludf.DUMMYFUNCTION("REGEXEXTRACT(J8312, ""[A-Za-z ]+$"")")," min")</f>
        <v> min</v>
      </c>
      <c r="AA8312" s="5" t="str">
        <f>IFERROR(__xludf.DUMMYFUNCTION("IF(REGEXMATCH(Z8312, ""Season""), ""TV Show"", ""Movie"")"),"Movie")</f>
        <v>Movie</v>
      </c>
    </row>
    <row r="8313">
      <c r="A8313" s="1" t="s">
        <v>39843</v>
      </c>
      <c r="B8313" s="1" t="s">
        <v>37</v>
      </c>
      <c r="C8313" s="1" t="s">
        <v>39844</v>
      </c>
      <c r="E8313" s="1" t="s">
        <v>39845</v>
      </c>
      <c r="F8313" s="1" t="s">
        <v>30</v>
      </c>
      <c r="G8313" s="1" t="s">
        <v>39846</v>
      </c>
      <c r="H8313" s="1">
        <v>2017.0</v>
      </c>
      <c r="I8313" s="1" t="s">
        <v>97</v>
      </c>
      <c r="J8313" s="1" t="s">
        <v>189</v>
      </c>
      <c r="K8313" s="1" t="s">
        <v>2709</v>
      </c>
      <c r="L8313" s="1" t="s">
        <v>39847</v>
      </c>
      <c r="M8313" s="2" t="s">
        <v>12</v>
      </c>
      <c r="N8313" s="1" t="str">
        <f t="shared" si="1"/>
        <v>#N/A</v>
      </c>
      <c r="O8313" s="5" t="str">
        <f>IFERROR(__xludf.DUMMYFUNCTION("IF(REGEXMATCH(TRIM(I8313), ""^\d+\s*min""), ""Unclassified"", IF(I8313 = """", ""NR"", I8313))"),"TV-14")</f>
        <v>TV-14</v>
      </c>
      <c r="R8313" s="5" t="str">
        <f t="shared" si="2"/>
        <v>The Fosters</v>
      </c>
      <c r="S8313" s="5" t="str">
        <f>IFERROR(__xludf.DUMMYFUNCTION("""COMPUTED_VALUE"""),"Unsolved")</f>
        <v>Unsolved</v>
      </c>
      <c r="V8313" s="5"/>
      <c r="Y8313" s="5" t="str">
        <f>IFERROR(__xludf.DUMMYFUNCTION("REGEXEXTRACT(J8313, ""^\d+"")"),"5")</f>
        <v>5</v>
      </c>
      <c r="Z8313" s="5" t="str">
        <f>IFERROR(__xludf.DUMMYFUNCTION("REGEXEXTRACT(J8313, ""[A-Za-z ]+$"")")," Seasons")</f>
        <v> Seasons</v>
      </c>
      <c r="AA8313" s="5" t="str">
        <f>IFERROR(__xludf.DUMMYFUNCTION("IF(REGEXMATCH(Z8313, ""Season""), ""TV Show"", ""Movie"")"),"TV Show")</f>
        <v>TV Show</v>
      </c>
    </row>
    <row r="8314">
      <c r="A8314" s="1" t="s">
        <v>39848</v>
      </c>
      <c r="B8314" s="1" t="s">
        <v>27</v>
      </c>
      <c r="C8314" s="1" t="s">
        <v>39849</v>
      </c>
      <c r="D8314" s="1" t="s">
        <v>11371</v>
      </c>
      <c r="E8314" s="1" t="s">
        <v>39850</v>
      </c>
      <c r="F8314" s="1" t="s">
        <v>36362</v>
      </c>
      <c r="G8314" s="1" t="s">
        <v>12031</v>
      </c>
      <c r="H8314" s="1">
        <v>2016.0</v>
      </c>
      <c r="I8314" s="1" t="s">
        <v>32</v>
      </c>
      <c r="J8314" s="1" t="s">
        <v>379</v>
      </c>
      <c r="K8314" s="1" t="s">
        <v>805</v>
      </c>
      <c r="L8314" s="1" t="s">
        <v>39851</v>
      </c>
      <c r="M8314" s="2" t="s">
        <v>12</v>
      </c>
      <c r="N8314" s="4">
        <f t="shared" si="1"/>
        <v>44064</v>
      </c>
      <c r="O8314" s="5" t="str">
        <f>IFERROR(__xludf.DUMMYFUNCTION("IF(REGEXMATCH(TRIM(I8314), ""^\d+\s*min""), ""Unclassified"", IF(I8314 = """", ""NR"", I8314))"),"PG-13")</f>
        <v>PG-13</v>
      </c>
      <c r="R8314" s="5" t="str">
        <f t="shared" si="2"/>
        <v>The Founder</v>
      </c>
      <c r="S8314" s="5" t="str">
        <f>IFERROR(__xludf.DUMMYFUNCTION("""COMPUTED_VALUE"""),"Unsolved Mysteries")</f>
        <v>Unsolved Mysteries</v>
      </c>
      <c r="V8314" s="5"/>
      <c r="Y8314" s="5" t="str">
        <f>IFERROR(__xludf.DUMMYFUNCTION("REGEXEXTRACT(J8314, ""^\d+"")"),"115")</f>
        <v>115</v>
      </c>
      <c r="Z8314" s="5" t="str">
        <f>IFERROR(__xludf.DUMMYFUNCTION("REGEXEXTRACT(J8314, ""[A-Za-z ]+$"")")," min")</f>
        <v> min</v>
      </c>
      <c r="AA8314" s="5" t="str">
        <f>IFERROR(__xludf.DUMMYFUNCTION("IF(REGEXMATCH(Z8314, ""Season""), ""TV Show"", ""Movie"")"),"Movie")</f>
        <v>Movie</v>
      </c>
    </row>
    <row r="8315">
      <c r="A8315" s="1" t="s">
        <v>39852</v>
      </c>
      <c r="B8315" s="1" t="s">
        <v>27</v>
      </c>
      <c r="C8315" s="1" t="s">
        <v>39853</v>
      </c>
      <c r="D8315" s="1" t="s">
        <v>22606</v>
      </c>
      <c r="E8315" s="1" t="s">
        <v>39854</v>
      </c>
      <c r="F8315" s="1" t="s">
        <v>2715</v>
      </c>
      <c r="G8315" s="1" t="s">
        <v>27097</v>
      </c>
      <c r="H8315" s="1">
        <v>2016.0</v>
      </c>
      <c r="I8315" s="1" t="s">
        <v>136</v>
      </c>
      <c r="J8315" s="1" t="s">
        <v>1608</v>
      </c>
      <c r="K8315" s="1" t="s">
        <v>645</v>
      </c>
      <c r="L8315" s="1" t="s">
        <v>39855</v>
      </c>
      <c r="M8315" s="2" t="s">
        <v>12</v>
      </c>
      <c r="N8315" s="4">
        <f t="shared" si="1"/>
        <v>43009</v>
      </c>
      <c r="O8315" s="5" t="str">
        <f>IFERROR(__xludf.DUMMYFUNCTION("IF(REGEXMATCH(TRIM(I8315), ""^\d+\s*min""), ""Unclassified"", IF(I8315 = """", ""NR"", I8315))"),"TV-PG")</f>
        <v>TV-PG</v>
      </c>
      <c r="R8315" s="5" t="str">
        <f t="shared" si="2"/>
        <v>The Free Man</v>
      </c>
      <c r="S8315" s="5" t="str">
        <f>IFERROR(__xludf.DUMMYFUNCTION("""COMPUTED_VALUE"""),"Unspeakable Acts")</f>
        <v>Unspeakable Acts</v>
      </c>
      <c r="V8315" s="5"/>
      <c r="Y8315" s="5" t="str">
        <f>IFERROR(__xludf.DUMMYFUNCTION("REGEXEXTRACT(J8315, ""^\d+"")"),"84")</f>
        <v>84</v>
      </c>
      <c r="Z8315" s="5" t="str">
        <f>IFERROR(__xludf.DUMMYFUNCTION("REGEXEXTRACT(J8315, ""[A-Za-z ]+$"")")," min")</f>
        <v> min</v>
      </c>
      <c r="AA8315" s="5" t="str">
        <f>IFERROR(__xludf.DUMMYFUNCTION("IF(REGEXMATCH(Z8315, ""Season""), ""TV Show"", ""Movie"")"),"Movie")</f>
        <v>Movie</v>
      </c>
    </row>
    <row r="8316">
      <c r="A8316" s="1" t="s">
        <v>39856</v>
      </c>
      <c r="B8316" s="1" t="s">
        <v>27</v>
      </c>
      <c r="C8316" s="1" t="s">
        <v>39857</v>
      </c>
      <c r="D8316" s="1" t="s">
        <v>20653</v>
      </c>
      <c r="E8316" s="1" t="s">
        <v>39858</v>
      </c>
      <c r="F8316" s="1" t="s">
        <v>30</v>
      </c>
      <c r="G8316" s="1" t="s">
        <v>11956</v>
      </c>
      <c r="H8316" s="1">
        <v>2013.0</v>
      </c>
      <c r="I8316" s="1" t="s">
        <v>378</v>
      </c>
      <c r="J8316" s="1" t="s">
        <v>256</v>
      </c>
      <c r="K8316" s="1" t="s">
        <v>394</v>
      </c>
      <c r="L8316" s="1" t="s">
        <v>39859</v>
      </c>
      <c r="M8316" s="2" t="s">
        <v>12</v>
      </c>
      <c r="N8316" s="4">
        <f t="shared" si="1"/>
        <v>44070</v>
      </c>
      <c r="O8316" s="5" t="str">
        <f>IFERROR(__xludf.DUMMYFUNCTION("IF(REGEXMATCH(TRIM(I8316), ""^\d+\s*min""), ""Unclassified"", IF(I8316 = """", ""NR"", I8316))"),"R")</f>
        <v>R</v>
      </c>
      <c r="R8316" s="5" t="str">
        <f t="shared" si="2"/>
        <v>The Frozen Ground</v>
      </c>
      <c r="S8316" s="5" t="str">
        <f>IFERROR(__xludf.DUMMYFUNCTION("""COMPUTED_VALUE"""),"Unstoppable")</f>
        <v>Unstoppable</v>
      </c>
      <c r="V8316" s="5"/>
      <c r="Y8316" s="5" t="str">
        <f>IFERROR(__xludf.DUMMYFUNCTION("REGEXEXTRACT(J8316, ""^\d+"")"),"106")</f>
        <v>106</v>
      </c>
      <c r="Z8316" s="5" t="str">
        <f>IFERROR(__xludf.DUMMYFUNCTION("REGEXEXTRACT(J8316, ""[A-Za-z ]+$"")")," min")</f>
        <v> min</v>
      </c>
      <c r="AA8316" s="5" t="str">
        <f>IFERROR(__xludf.DUMMYFUNCTION("IF(REGEXMATCH(Z8316, ""Season""), ""TV Show"", ""Movie"")"),"Movie")</f>
        <v>Movie</v>
      </c>
    </row>
    <row r="8317">
      <c r="A8317" s="1" t="s">
        <v>39860</v>
      </c>
      <c r="B8317" s="1" t="s">
        <v>37</v>
      </c>
      <c r="C8317" s="1" t="s">
        <v>39861</v>
      </c>
      <c r="E8317" s="1" t="s">
        <v>39862</v>
      </c>
      <c r="F8317" s="1" t="s">
        <v>686</v>
      </c>
      <c r="G8317" s="1" t="s">
        <v>39863</v>
      </c>
      <c r="H8317" s="1">
        <v>2015.0</v>
      </c>
      <c r="I8317" s="1" t="s">
        <v>206</v>
      </c>
      <c r="J8317" s="1" t="s">
        <v>43</v>
      </c>
      <c r="K8317" s="1" t="s">
        <v>712</v>
      </c>
      <c r="L8317" s="1" t="s">
        <v>39864</v>
      </c>
      <c r="M8317" s="2" t="s">
        <v>12</v>
      </c>
      <c r="N8317" s="1" t="str">
        <f t="shared" si="1"/>
        <v>#N/A</v>
      </c>
      <c r="O8317" s="5" t="str">
        <f>IFERROR(__xludf.DUMMYFUNCTION("IF(REGEXMATCH(TRIM(I8317), ""^\d+\s*min""), ""Unclassified"", IF(I8317 = """", ""NR"", I8317))"),"TV-Y")</f>
        <v>TV-Y</v>
      </c>
      <c r="R8317" s="5" t="str">
        <f t="shared" si="2"/>
        <v>The Furchester Hotel</v>
      </c>
      <c r="S8317" s="5" t="str">
        <f>IFERROR(__xludf.DUMMYFUNCTION("""COMPUTED_VALUE"""),"Untamed Romania")</f>
        <v>Untamed Romania</v>
      </c>
      <c r="V8317" s="5"/>
      <c r="Y8317" s="5" t="str">
        <f>IFERROR(__xludf.DUMMYFUNCTION("REGEXEXTRACT(J8317, ""^\d+"")"),"2")</f>
        <v>2</v>
      </c>
      <c r="Z8317" s="5" t="str">
        <f>IFERROR(__xludf.DUMMYFUNCTION("REGEXEXTRACT(J8317, ""[A-Za-z ]+$"")")," Seasons")</f>
        <v> Seasons</v>
      </c>
      <c r="AA8317" s="5" t="str">
        <f>IFERROR(__xludf.DUMMYFUNCTION("IF(REGEXMATCH(Z8317, ""Season""), ""TV Show"", ""Movie"")"),"TV Show")</f>
        <v>TV Show</v>
      </c>
    </row>
    <row r="8318">
      <c r="A8318" s="1" t="s">
        <v>39865</v>
      </c>
      <c r="B8318" s="1" t="s">
        <v>37</v>
      </c>
      <c r="C8318" s="1" t="s">
        <v>39866</v>
      </c>
      <c r="F8318" s="1" t="s">
        <v>8498</v>
      </c>
      <c r="G8318" s="1" t="s">
        <v>29635</v>
      </c>
      <c r="H8318" s="1">
        <v>2007.0</v>
      </c>
      <c r="I8318" s="1" t="s">
        <v>136</v>
      </c>
      <c r="J8318" s="1" t="s">
        <v>51</v>
      </c>
      <c r="K8318" s="1" t="s">
        <v>3350</v>
      </c>
      <c r="L8318" s="1" t="s">
        <v>39867</v>
      </c>
      <c r="M8318" s="2" t="s">
        <v>12</v>
      </c>
      <c r="N8318" s="4">
        <f t="shared" si="1"/>
        <v>42552</v>
      </c>
      <c r="O8318" s="5" t="str">
        <f>IFERROR(__xludf.DUMMYFUNCTION("IF(REGEXMATCH(TRIM(I8318), ""^\d+\s*min""), ""Unclassified"", IF(I8318 = """", ""NR"", I8318))"),"TV-PG")</f>
        <v>TV-PG</v>
      </c>
      <c r="R8318" s="5" t="str">
        <f t="shared" si="2"/>
        <v>The Future Of Water</v>
      </c>
      <c r="S8318" s="5" t="str">
        <f>IFERROR(__xludf.DUMMYFUNCTION("""COMPUTED_VALUE"""),"Until Dawn")</f>
        <v>Until Dawn</v>
      </c>
      <c r="V8318" s="5"/>
      <c r="Y8318" s="5" t="str">
        <f>IFERROR(__xludf.DUMMYFUNCTION("REGEXEXTRACT(J8318, ""^\d+"")"),"1")</f>
        <v>1</v>
      </c>
      <c r="Z8318" s="5" t="str">
        <f>IFERROR(__xludf.DUMMYFUNCTION("REGEXEXTRACT(J8318, ""[A-Za-z ]+$"")")," Season")</f>
        <v> Season</v>
      </c>
      <c r="AA8318" s="5" t="str">
        <f>IFERROR(__xludf.DUMMYFUNCTION("IF(REGEXMATCH(Z8318, ""Season""), ""TV Show"", ""Movie"")"),"TV Show")</f>
        <v>TV Show</v>
      </c>
    </row>
    <row r="8319">
      <c r="A8319" s="1" t="s">
        <v>39868</v>
      </c>
      <c r="B8319" s="1" t="s">
        <v>27</v>
      </c>
      <c r="C8319" s="1" t="s">
        <v>39869</v>
      </c>
      <c r="D8319" s="1" t="s">
        <v>16741</v>
      </c>
      <c r="E8319" s="1" t="s">
        <v>39870</v>
      </c>
      <c r="F8319" s="1" t="s">
        <v>2873</v>
      </c>
      <c r="G8319" s="1" t="s">
        <v>31467</v>
      </c>
      <c r="H8319" s="1">
        <v>2003.0</v>
      </c>
      <c r="I8319" s="1" t="s">
        <v>97</v>
      </c>
      <c r="J8319" s="1" t="s">
        <v>341</v>
      </c>
      <c r="K8319" s="1" t="s">
        <v>583</v>
      </c>
      <c r="L8319" s="1" t="s">
        <v>39871</v>
      </c>
      <c r="M8319" s="2" t="s">
        <v>12</v>
      </c>
      <c r="N8319" s="4">
        <f t="shared" si="1"/>
        <v>43442</v>
      </c>
      <c r="O8319" s="5" t="str">
        <f>IFERROR(__xludf.DUMMYFUNCTION("IF(REGEXMATCH(TRIM(I8319), ""^\d+\s*min""), ""Unclassified"", IF(I8319 = """", ""NR"", I8319))"),"TV-14")</f>
        <v>TV-14</v>
      </c>
      <c r="R8319" s="5" t="str">
        <f t="shared" si="2"/>
        <v>The Gathering</v>
      </c>
      <c r="S8319" s="5" t="str">
        <f>IFERROR(__xludf.DUMMYFUNCTION("""COMPUTED_VALUE"""),"Until Midnight")</f>
        <v>Until Midnight</v>
      </c>
      <c r="V8319" s="5"/>
      <c r="Y8319" s="5" t="str">
        <f>IFERROR(__xludf.DUMMYFUNCTION("REGEXEXTRACT(J8319, ""^\d+"")"),"124")</f>
        <v>124</v>
      </c>
      <c r="Z8319" s="5" t="str">
        <f>IFERROR(__xludf.DUMMYFUNCTION("REGEXEXTRACT(J8319, ""[A-Za-z ]+$"")")," min")</f>
        <v> min</v>
      </c>
      <c r="AA8319" s="5" t="str">
        <f>IFERROR(__xludf.DUMMYFUNCTION("IF(REGEXMATCH(Z8319, ""Season""), ""TV Show"", ""Movie"")"),"Movie")</f>
        <v>Movie</v>
      </c>
    </row>
    <row r="8320">
      <c r="A8320" s="1" t="s">
        <v>39872</v>
      </c>
      <c r="B8320" s="1" t="s">
        <v>27</v>
      </c>
      <c r="C8320" s="1" t="s">
        <v>39873</v>
      </c>
      <c r="D8320" s="1" t="s">
        <v>14771</v>
      </c>
      <c r="F8320" s="1" t="s">
        <v>30</v>
      </c>
      <c r="G8320" s="1" t="s">
        <v>22293</v>
      </c>
      <c r="H8320" s="1">
        <v>2018.0</v>
      </c>
      <c r="I8320" s="1" t="s">
        <v>42</v>
      </c>
      <c r="J8320" s="1" t="s">
        <v>490</v>
      </c>
      <c r="K8320" s="1" t="s">
        <v>645</v>
      </c>
      <c r="L8320" s="1" t="s">
        <v>39874</v>
      </c>
      <c r="M8320" s="2" t="s">
        <v>12</v>
      </c>
      <c r="N8320" s="4">
        <f t="shared" si="1"/>
        <v>43496</v>
      </c>
      <c r="O8320" s="5" t="str">
        <f>IFERROR(__xludf.DUMMYFUNCTION("IF(REGEXMATCH(TRIM(I8320), ""^\d+\s*min""), ""Unclassified"", IF(I8320 = """", ""NR"", I8320))"),"TV-MA")</f>
        <v>TV-MA</v>
      </c>
      <c r="R8320" s="5" t="str">
        <f t="shared" si="2"/>
        <v>The Gentleman Driver</v>
      </c>
      <c r="S8320" s="5" t="str">
        <f>IFERROR(__xludf.DUMMYFUNCTION("""COMPUTED_VALUE"""),"Untold: Breaking Point")</f>
        <v>Untold: Breaking Point</v>
      </c>
      <c r="V8320" s="5"/>
      <c r="Y8320" s="5" t="str">
        <f>IFERROR(__xludf.DUMMYFUNCTION("REGEXEXTRACT(J8320, ""^\d+"")"),"83")</f>
        <v>83</v>
      </c>
      <c r="Z8320" s="5" t="str">
        <f>IFERROR(__xludf.DUMMYFUNCTION("REGEXEXTRACT(J8320, ""[A-Za-z ]+$"")")," min")</f>
        <v> min</v>
      </c>
      <c r="AA8320" s="5" t="str">
        <f>IFERROR(__xludf.DUMMYFUNCTION("IF(REGEXMATCH(Z8320, ""Season""), ""TV Show"", ""Movie"")"),"Movie")</f>
        <v>Movie</v>
      </c>
    </row>
    <row r="8321">
      <c r="A8321" s="1" t="s">
        <v>39875</v>
      </c>
      <c r="B8321" s="1" t="s">
        <v>27</v>
      </c>
      <c r="C8321" s="1" t="s">
        <v>39876</v>
      </c>
      <c r="D8321" s="1" t="s">
        <v>5116</v>
      </c>
      <c r="E8321" s="1" t="s">
        <v>39877</v>
      </c>
      <c r="F8321" s="1" t="s">
        <v>30</v>
      </c>
      <c r="G8321" s="1" t="s">
        <v>15138</v>
      </c>
      <c r="H8321" s="1">
        <v>2019.0</v>
      </c>
      <c r="I8321" s="1" t="s">
        <v>42</v>
      </c>
      <c r="J8321" s="1" t="s">
        <v>1256</v>
      </c>
      <c r="K8321" s="1" t="s">
        <v>2327</v>
      </c>
      <c r="L8321" s="1" t="s">
        <v>39878</v>
      </c>
      <c r="M8321" s="2" t="s">
        <v>12</v>
      </c>
      <c r="N8321" s="4">
        <f t="shared" si="1"/>
        <v>43928</v>
      </c>
      <c r="O8321" s="5" t="str">
        <f>IFERROR(__xludf.DUMMYFUNCTION("IF(REGEXMATCH(TRIM(I8321), ""^\d+\s*min""), ""Unclassified"", IF(I8321 = """", ""NR"", I8321))"),"TV-MA")</f>
        <v>TV-MA</v>
      </c>
      <c r="R8321" s="5" t="str">
        <f t="shared" si="2"/>
        <v>The Ghost Who Walks</v>
      </c>
      <c r="S8321" s="5" t="str">
        <f>IFERROR(__xludf.DUMMYFUNCTION("""COMPUTED_VALUE"""),"Untold: Caitlyn Jenner")</f>
        <v>Untold: Caitlyn Jenner</v>
      </c>
      <c r="V8321" s="5"/>
      <c r="Y8321" s="5" t="str">
        <f>IFERROR(__xludf.DUMMYFUNCTION("REGEXEXTRACT(J8321, ""^\d+"")"),"107")</f>
        <v>107</v>
      </c>
      <c r="Z8321" s="5" t="str">
        <f>IFERROR(__xludf.DUMMYFUNCTION("REGEXEXTRACT(J8321, ""[A-Za-z ]+$"")")," min")</f>
        <v> min</v>
      </c>
      <c r="AA8321" s="5" t="str">
        <f>IFERROR(__xludf.DUMMYFUNCTION("IF(REGEXMATCH(Z8321, ""Season""), ""TV Show"", ""Movie"")"),"Movie")</f>
        <v>Movie</v>
      </c>
    </row>
    <row r="8322">
      <c r="A8322" s="1" t="s">
        <v>39879</v>
      </c>
      <c r="B8322" s="1" t="s">
        <v>27</v>
      </c>
      <c r="C8322" s="1" t="s">
        <v>39880</v>
      </c>
      <c r="D8322" s="1" t="s">
        <v>3725</v>
      </c>
      <c r="E8322" s="1" t="s">
        <v>39881</v>
      </c>
      <c r="F8322" s="1" t="s">
        <v>39882</v>
      </c>
      <c r="G8322" s="1" t="s">
        <v>8464</v>
      </c>
      <c r="H8322" s="1">
        <v>2011.0</v>
      </c>
      <c r="I8322" s="1" t="s">
        <v>378</v>
      </c>
      <c r="J8322" s="1" t="s">
        <v>6611</v>
      </c>
      <c r="K8322" s="1" t="s">
        <v>394</v>
      </c>
      <c r="L8322" s="1" t="s">
        <v>39883</v>
      </c>
      <c r="M8322" s="2" t="s">
        <v>12</v>
      </c>
      <c r="N8322" s="4">
        <f t="shared" si="1"/>
        <v>44201</v>
      </c>
      <c r="O8322" s="5" t="str">
        <f>IFERROR(__xludf.DUMMYFUNCTION("IF(REGEXMATCH(TRIM(I8322), ""^\d+\s*min""), ""Unclassified"", IF(I8322 = """", ""NR"", I8322))"),"R")</f>
        <v>R</v>
      </c>
      <c r="R8322" s="5" t="str">
        <f t="shared" si="2"/>
        <v>The Girl With The Dragon Tattoo</v>
      </c>
      <c r="S8322" s="5" t="str">
        <f>IFERROR(__xludf.DUMMYFUNCTION("""COMPUTED_VALUE"""),"Untold: Crime &amp; Penalties")</f>
        <v>Untold: Crime &amp; Penalties</v>
      </c>
      <c r="V8322" s="5"/>
      <c r="Y8322" s="5" t="str">
        <f>IFERROR(__xludf.DUMMYFUNCTION("REGEXEXTRACT(J8322, ""^\d+"")"),"158")</f>
        <v>158</v>
      </c>
      <c r="Z8322" s="5" t="str">
        <f>IFERROR(__xludf.DUMMYFUNCTION("REGEXEXTRACT(J8322, ""[A-Za-z ]+$"")")," min")</f>
        <v> min</v>
      </c>
      <c r="AA8322" s="5" t="str">
        <f>IFERROR(__xludf.DUMMYFUNCTION("IF(REGEXMATCH(Z8322, ""Season""), ""TV Show"", ""Movie"")"),"Movie")</f>
        <v>Movie</v>
      </c>
    </row>
    <row r="8323">
      <c r="A8323" s="1" t="s">
        <v>39884</v>
      </c>
      <c r="B8323" s="1" t="s">
        <v>37</v>
      </c>
      <c r="C8323" s="1" t="s">
        <v>39885</v>
      </c>
      <c r="F8323" s="1" t="s">
        <v>63</v>
      </c>
      <c r="G8323" s="1" t="s">
        <v>27988</v>
      </c>
      <c r="H8323" s="1">
        <v>2016.0</v>
      </c>
      <c r="I8323" s="1" t="s">
        <v>506</v>
      </c>
      <c r="J8323" s="1" t="s">
        <v>51</v>
      </c>
      <c r="K8323" s="1" t="s">
        <v>507</v>
      </c>
      <c r="L8323" s="1" t="s">
        <v>39886</v>
      </c>
      <c r="M8323" s="2" t="s">
        <v>12</v>
      </c>
      <c r="N8323" s="4">
        <f t="shared" si="1"/>
        <v>42887</v>
      </c>
      <c r="O8323" s="5" t="str">
        <f>IFERROR(__xludf.DUMMYFUNCTION("IF(REGEXMATCH(TRIM(I8323), ""^\d+\s*min""), ""Unclassified"", IF(I8323 = """", ""NR"", I8323))"),"TV-G")</f>
        <v>TV-G</v>
      </c>
      <c r="R8323" s="5" t="str">
        <f t="shared" si="2"/>
        <v>The Golden Years With Javed Akhtar</v>
      </c>
      <c r="S8323" s="5" t="str">
        <f>IFERROR(__xludf.DUMMYFUNCTION("""COMPUTED_VALUE"""),"Untold: Deal With The Devil")</f>
        <v>Untold: Deal With The Devil</v>
      </c>
      <c r="V8323" s="5"/>
      <c r="Y8323" s="5" t="str">
        <f>IFERROR(__xludf.DUMMYFUNCTION("REGEXEXTRACT(J8323, ""^\d+"")"),"1")</f>
        <v>1</v>
      </c>
      <c r="Z8323" s="5" t="str">
        <f>IFERROR(__xludf.DUMMYFUNCTION("REGEXEXTRACT(J8323, ""[A-Za-z ]+$"")")," Season")</f>
        <v> Season</v>
      </c>
      <c r="AA8323" s="5" t="str">
        <f>IFERROR(__xludf.DUMMYFUNCTION("IF(REGEXMATCH(Z8323, ""Season""), ""TV Show"", ""Movie"")"),"TV Show")</f>
        <v>TV Show</v>
      </c>
    </row>
    <row r="8324">
      <c r="A8324" s="1" t="s">
        <v>39887</v>
      </c>
      <c r="B8324" s="1" t="s">
        <v>27</v>
      </c>
      <c r="C8324" s="1" t="s">
        <v>39888</v>
      </c>
      <c r="D8324" s="1" t="s">
        <v>6646</v>
      </c>
      <c r="E8324" s="1" t="s">
        <v>39889</v>
      </c>
      <c r="F8324" s="1" t="s">
        <v>3333</v>
      </c>
      <c r="G8324" s="1" t="s">
        <v>20212</v>
      </c>
      <c r="H8324" s="1">
        <v>2018.0</v>
      </c>
      <c r="I8324" s="1" t="s">
        <v>42</v>
      </c>
      <c r="J8324" s="1" t="s">
        <v>465</v>
      </c>
      <c r="K8324" s="1" t="s">
        <v>1972</v>
      </c>
      <c r="L8324" s="1" t="s">
        <v>39890</v>
      </c>
      <c r="M8324" s="2" t="s">
        <v>12</v>
      </c>
      <c r="N8324" s="4">
        <f t="shared" si="1"/>
        <v>43642</v>
      </c>
      <c r="O8324" s="5" t="str">
        <f>IFERROR(__xludf.DUMMYFUNCTION("IF(REGEXMATCH(TRIM(I8324), ""^\d+\s*min""), ""Unclassified"", IF(I8324 = """", ""NR"", I8324))"),"TV-MA")</f>
        <v>TV-MA</v>
      </c>
      <c r="R8324" s="5" t="str">
        <f t="shared" si="2"/>
        <v>The Golem</v>
      </c>
      <c r="S8324" s="5" t="str">
        <f>IFERROR(__xludf.DUMMYFUNCTION("""COMPUTED_VALUE"""),"Untold: Malice At The Palace")</f>
        <v>Untold: Malice At The Palace</v>
      </c>
      <c r="V8324" s="5"/>
      <c r="Y8324" s="5" t="str">
        <f>IFERROR(__xludf.DUMMYFUNCTION("REGEXEXTRACT(J8324, ""^\d+"")"),"95")</f>
        <v>95</v>
      </c>
      <c r="Z8324" s="5" t="str">
        <f>IFERROR(__xludf.DUMMYFUNCTION("REGEXEXTRACT(J8324, ""[A-Za-z ]+$"")")," min")</f>
        <v> min</v>
      </c>
      <c r="AA8324" s="5" t="str">
        <f>IFERROR(__xludf.DUMMYFUNCTION("IF(REGEXMATCH(Z8324, ""Season""), ""TV Show"", ""Movie"")"),"Movie")</f>
        <v>Movie</v>
      </c>
    </row>
    <row r="8325">
      <c r="A8325" s="1" t="s">
        <v>39891</v>
      </c>
      <c r="B8325" s="1" t="s">
        <v>27</v>
      </c>
      <c r="C8325" s="1" t="s">
        <v>39892</v>
      </c>
      <c r="D8325" s="1" t="s">
        <v>17778</v>
      </c>
      <c r="E8325" s="1" t="s">
        <v>39893</v>
      </c>
      <c r="F8325" s="1" t="s">
        <v>30</v>
      </c>
      <c r="G8325" s="1" t="s">
        <v>26351</v>
      </c>
      <c r="H8325" s="1">
        <v>2017.0</v>
      </c>
      <c r="I8325" s="1" t="s">
        <v>32</v>
      </c>
      <c r="J8325" s="1" t="s">
        <v>247</v>
      </c>
      <c r="K8325" s="1" t="s">
        <v>1099</v>
      </c>
      <c r="L8325" s="1" t="s">
        <v>39894</v>
      </c>
      <c r="M8325" s="2" t="s">
        <v>12</v>
      </c>
      <c r="N8325" s="4">
        <f t="shared" si="1"/>
        <v>43124</v>
      </c>
      <c r="O8325" s="5" t="str">
        <f>IFERROR(__xludf.DUMMYFUNCTION("IF(REGEXMATCH(TRIM(I8325), ""^\d+\s*min""), ""Unclassified"", IF(I8325 = """", ""NR"", I8325))"),"PG-13")</f>
        <v>PG-13</v>
      </c>
      <c r="R8325" s="5" t="str">
        <f t="shared" si="2"/>
        <v>The Good Catholic</v>
      </c>
      <c r="S8325" s="5" t="str">
        <f>IFERROR(__xludf.DUMMYFUNCTION("""COMPUTED_VALUE"""),"Up Among The Stars")</f>
        <v>Up Among The Stars</v>
      </c>
      <c r="V8325" s="5"/>
      <c r="Y8325" s="5" t="str">
        <f>IFERROR(__xludf.DUMMYFUNCTION("REGEXEXTRACT(J8325, ""^\d+"")"),"97")</f>
        <v>97</v>
      </c>
      <c r="Z8325" s="5" t="str">
        <f>IFERROR(__xludf.DUMMYFUNCTION("REGEXEXTRACT(J8325, ""[A-Za-z ]+$"")")," min")</f>
        <v> min</v>
      </c>
      <c r="AA8325" s="5" t="str">
        <f>IFERROR(__xludf.DUMMYFUNCTION("IF(REGEXMATCH(Z8325, ""Season""), ""TV Show"", ""Movie"")"),"Movie")</f>
        <v>Movie</v>
      </c>
    </row>
    <row r="8326">
      <c r="A8326" s="1" t="s">
        <v>39895</v>
      </c>
      <c r="B8326" s="1" t="s">
        <v>27</v>
      </c>
      <c r="C8326" s="1" t="s">
        <v>39896</v>
      </c>
      <c r="D8326" s="1" t="s">
        <v>12485</v>
      </c>
      <c r="E8326" s="1" t="s">
        <v>39897</v>
      </c>
      <c r="F8326" s="1" t="s">
        <v>30</v>
      </c>
      <c r="G8326" s="1" t="s">
        <v>29027</v>
      </c>
      <c r="H8326" s="1">
        <v>2016.0</v>
      </c>
      <c r="I8326" s="1" t="s">
        <v>42</v>
      </c>
      <c r="J8326" s="1" t="s">
        <v>247</v>
      </c>
      <c r="K8326" s="1" t="s">
        <v>2327</v>
      </c>
      <c r="L8326" s="1" t="s">
        <v>39898</v>
      </c>
      <c r="M8326" s="2" t="s">
        <v>12</v>
      </c>
      <c r="N8326" s="4">
        <f t="shared" si="1"/>
        <v>42709</v>
      </c>
      <c r="O8326" s="5" t="str">
        <f>IFERROR(__xludf.DUMMYFUNCTION("IF(REGEXMATCH(TRIM(I8326), ""^\d+\s*min""), ""Unclassified"", IF(I8326 = """", ""NR"", I8326))"),"TV-MA")</f>
        <v>TV-MA</v>
      </c>
      <c r="R8326" s="5" t="str">
        <f t="shared" si="2"/>
        <v>The Good Neighbor</v>
      </c>
      <c r="S8326" s="5" t="str">
        <f>IFERROR(__xludf.DUMMYFUNCTION("""COMPUTED_VALUE"""),"Up In The Air")</f>
        <v>Up In The Air</v>
      </c>
      <c r="V8326" s="5"/>
      <c r="Y8326" s="5" t="str">
        <f>IFERROR(__xludf.DUMMYFUNCTION("REGEXEXTRACT(J8326, ""^\d+"")"),"97")</f>
        <v>97</v>
      </c>
      <c r="Z8326" s="5" t="str">
        <f>IFERROR(__xludf.DUMMYFUNCTION("REGEXEXTRACT(J8326, ""[A-Za-z ]+$"")")," min")</f>
        <v> min</v>
      </c>
      <c r="AA8326" s="5" t="str">
        <f>IFERROR(__xludf.DUMMYFUNCTION("IF(REGEXMATCH(Z8326, ""Season""), ""TV Show"", ""Movie"")"),"Movie")</f>
        <v>Movie</v>
      </c>
    </row>
    <row r="8327">
      <c r="A8327" s="1" t="s">
        <v>39899</v>
      </c>
      <c r="B8327" s="1" t="s">
        <v>27</v>
      </c>
      <c r="C8327" s="1" t="s">
        <v>39900</v>
      </c>
      <c r="D8327" s="1" t="s">
        <v>16659</v>
      </c>
      <c r="E8327" s="1" t="s">
        <v>39901</v>
      </c>
      <c r="F8327" s="1" t="s">
        <v>30</v>
      </c>
      <c r="G8327" s="1" t="s">
        <v>17941</v>
      </c>
      <c r="H8327" s="1">
        <v>2009.0</v>
      </c>
      <c r="I8327" s="1" t="s">
        <v>378</v>
      </c>
      <c r="J8327" s="1" t="s">
        <v>1191</v>
      </c>
      <c r="K8327" s="1" t="s">
        <v>239</v>
      </c>
      <c r="L8327" s="1" t="s">
        <v>39902</v>
      </c>
      <c r="M8327" s="2" t="s">
        <v>12</v>
      </c>
      <c r="N8327" s="4">
        <f t="shared" si="1"/>
        <v>43789</v>
      </c>
      <c r="O8327" s="5" t="str">
        <f>IFERROR(__xludf.DUMMYFUNCTION("IF(REGEXMATCH(TRIM(I8327), ""^\d+\s*min""), ""Unclassified"", IF(I8327 = """", ""NR"", I8327))"),"R")</f>
        <v>R</v>
      </c>
      <c r="R8327" s="5" t="str">
        <f t="shared" si="2"/>
        <v>The Goods: Live Hard, Sell Hard</v>
      </c>
      <c r="S8327" s="5" t="str">
        <f>IFERROR(__xludf.DUMMYFUNCTION("""COMPUTED_VALUE"""),"Up North")</f>
        <v>Up North</v>
      </c>
      <c r="V8327" s="5"/>
      <c r="Y8327" s="5" t="str">
        <f>IFERROR(__xludf.DUMMYFUNCTION("REGEXEXTRACT(J8327, ""^\d+"")"),"89")</f>
        <v>89</v>
      </c>
      <c r="Z8327" s="5" t="str">
        <f>IFERROR(__xludf.DUMMYFUNCTION("REGEXEXTRACT(J8327, ""[A-Za-z ]+$"")")," min")</f>
        <v> min</v>
      </c>
      <c r="AA8327" s="5" t="str">
        <f>IFERROR(__xludf.DUMMYFUNCTION("IF(REGEXMATCH(Z8327, ""Season""), ""TV Show"", ""Movie"")"),"Movie")</f>
        <v>Movie</v>
      </c>
    </row>
    <row r="8328">
      <c r="A8328" s="1" t="s">
        <v>39903</v>
      </c>
      <c r="B8328" s="1" t="s">
        <v>27</v>
      </c>
      <c r="C8328" s="1" t="s">
        <v>39904</v>
      </c>
      <c r="D8328" s="1" t="s">
        <v>5818</v>
      </c>
      <c r="E8328" s="1" t="s">
        <v>39905</v>
      </c>
      <c r="F8328" s="1" t="s">
        <v>39906</v>
      </c>
      <c r="G8328" s="1" t="s">
        <v>23875</v>
      </c>
      <c r="H8328" s="1">
        <v>2014.0</v>
      </c>
      <c r="I8328" s="1" t="s">
        <v>97</v>
      </c>
      <c r="J8328" s="1" t="s">
        <v>198</v>
      </c>
      <c r="K8328" s="1" t="s">
        <v>1198</v>
      </c>
      <c r="L8328" s="1" t="s">
        <v>39907</v>
      </c>
      <c r="M8328" s="2" t="s">
        <v>12</v>
      </c>
      <c r="N8328" s="4">
        <f t="shared" si="1"/>
        <v>43393</v>
      </c>
      <c r="O8328" s="5" t="str">
        <f>IFERROR(__xludf.DUMMYFUNCTION("IF(REGEXMATCH(TRIM(I8328), ""^\d+\s*min""), ""Unclassified"", IF(I8328 = """", ""NR"", I8328))"),"TV-14")</f>
        <v>TV-14</v>
      </c>
      <c r="R8328" s="5" t="str">
        <f t="shared" si="2"/>
        <v>The Gospel Of John</v>
      </c>
      <c r="S8328" s="5" t="str">
        <f>IFERROR(__xludf.DUMMYFUNCTION("""COMPUTED_VALUE"""),"Upin &amp; Ipin")</f>
        <v>Upin &amp; Ipin</v>
      </c>
      <c r="V8328" s="5"/>
      <c r="Y8328" s="5" t="str">
        <f>IFERROR(__xludf.DUMMYFUNCTION("REGEXEXTRACT(J8328, ""^\d+"")"),"161")</f>
        <v>161</v>
      </c>
      <c r="Z8328" s="5" t="str">
        <f>IFERROR(__xludf.DUMMYFUNCTION("REGEXEXTRACT(J8328, ""[A-Za-z ]+$"")")," min")</f>
        <v> min</v>
      </c>
      <c r="AA8328" s="5" t="str">
        <f>IFERROR(__xludf.DUMMYFUNCTION("IF(REGEXMATCH(Z8328, ""Season""), ""TV Show"", ""Movie"")"),"Movie")</f>
        <v>Movie</v>
      </c>
    </row>
    <row r="8329">
      <c r="A8329" s="1" t="s">
        <v>39908</v>
      </c>
      <c r="B8329" s="1" t="s">
        <v>27</v>
      </c>
      <c r="C8329" s="1" t="s">
        <v>39909</v>
      </c>
      <c r="D8329" s="1" t="s">
        <v>5818</v>
      </c>
      <c r="E8329" s="1" t="s">
        <v>39910</v>
      </c>
      <c r="F8329" s="1" t="s">
        <v>39911</v>
      </c>
      <c r="G8329" s="1" t="s">
        <v>23880</v>
      </c>
      <c r="H8329" s="1">
        <v>2015.0</v>
      </c>
      <c r="I8329" s="1" t="s">
        <v>97</v>
      </c>
      <c r="J8329" s="1" t="s">
        <v>39912</v>
      </c>
      <c r="K8329" s="1" t="s">
        <v>1198</v>
      </c>
      <c r="L8329" s="1" t="s">
        <v>39913</v>
      </c>
      <c r="M8329" s="2" t="s">
        <v>12</v>
      </c>
      <c r="N8329" s="4">
        <f t="shared" si="1"/>
        <v>43392</v>
      </c>
      <c r="O8329" s="5" t="str">
        <f>IFERROR(__xludf.DUMMYFUNCTION("IF(REGEXMATCH(TRIM(I8329), ""^\d+\s*min""), ""Unclassified"", IF(I8329 = """", ""NR"", I8329))"),"TV-14")</f>
        <v>TV-14</v>
      </c>
      <c r="R8329" s="5" t="str">
        <f t="shared" si="2"/>
        <v>The Gospel Of Luke</v>
      </c>
      <c r="S8329" s="5" t="str">
        <f>IFERROR(__xludf.DUMMYFUNCTION("""COMPUTED_VALUE"""),"Uppena")</f>
        <v>Uppena</v>
      </c>
      <c r="V8329" s="5"/>
      <c r="Y8329" s="5" t="str">
        <f>IFERROR(__xludf.DUMMYFUNCTION("REGEXEXTRACT(J8329, ""^\d+"")"),"205")</f>
        <v>205</v>
      </c>
      <c r="Z8329" s="5" t="str">
        <f>IFERROR(__xludf.DUMMYFUNCTION("REGEXEXTRACT(J8329, ""[A-Za-z ]+$"")")," min")</f>
        <v> min</v>
      </c>
      <c r="AA8329" s="5" t="str">
        <f>IFERROR(__xludf.DUMMYFUNCTION("IF(REGEXMATCH(Z8329, ""Season""), ""TV Show"", ""Movie"")"),"Movie")</f>
        <v>Movie</v>
      </c>
    </row>
    <row r="8330">
      <c r="A8330" s="1" t="s">
        <v>39914</v>
      </c>
      <c r="B8330" s="1" t="s">
        <v>27</v>
      </c>
      <c r="C8330" s="1" t="s">
        <v>39915</v>
      </c>
      <c r="D8330" s="1" t="s">
        <v>5818</v>
      </c>
      <c r="E8330" s="1" t="s">
        <v>39916</v>
      </c>
      <c r="G8330" s="1" t="s">
        <v>23880</v>
      </c>
      <c r="H8330" s="1">
        <v>2015.0</v>
      </c>
      <c r="I8330" s="1" t="s">
        <v>97</v>
      </c>
      <c r="J8330" s="1" t="s">
        <v>2566</v>
      </c>
      <c r="K8330" s="1" t="s">
        <v>1198</v>
      </c>
      <c r="L8330" s="1" t="s">
        <v>39917</v>
      </c>
      <c r="M8330" s="2" t="s">
        <v>12</v>
      </c>
      <c r="N8330" s="4">
        <f t="shared" si="1"/>
        <v>43392</v>
      </c>
      <c r="O8330" s="5" t="str">
        <f>IFERROR(__xludf.DUMMYFUNCTION("IF(REGEXMATCH(TRIM(I8330), ""^\d+\s*min""), ""Unclassified"", IF(I8330 = """", ""NR"", I8330))"),"TV-14")</f>
        <v>TV-14</v>
      </c>
      <c r="R8330" s="5" t="str">
        <f t="shared" si="2"/>
        <v>The Gospel Of Mark</v>
      </c>
      <c r="S8330" s="5" t="str">
        <f>IFERROR(__xludf.DUMMYFUNCTION("""COMPUTED_VALUE"""),"Uppity: The Willy T. Ribbs Story")</f>
        <v>Uppity: The Willy T. Ribbs Story</v>
      </c>
      <c r="V8330" s="5"/>
      <c r="Y8330" s="5" t="str">
        <f>IFERROR(__xludf.DUMMYFUNCTION("REGEXEXTRACT(J8330, ""^\d+"")"),"123")</f>
        <v>123</v>
      </c>
      <c r="Z8330" s="5" t="str">
        <f>IFERROR(__xludf.DUMMYFUNCTION("REGEXEXTRACT(J8330, ""[A-Za-z ]+$"")")," min")</f>
        <v> min</v>
      </c>
      <c r="AA8330" s="5" t="str">
        <f>IFERROR(__xludf.DUMMYFUNCTION("IF(REGEXMATCH(Z8330, ""Season""), ""TV Show"", ""Movie"")"),"Movie")</f>
        <v>Movie</v>
      </c>
    </row>
    <row r="8331">
      <c r="A8331" s="1" t="s">
        <v>39918</v>
      </c>
      <c r="B8331" s="1" t="s">
        <v>27</v>
      </c>
      <c r="C8331" s="1" t="s">
        <v>39919</v>
      </c>
      <c r="D8331" s="1" t="s">
        <v>5818</v>
      </c>
      <c r="E8331" s="1" t="s">
        <v>39920</v>
      </c>
      <c r="G8331" s="1" t="s">
        <v>23880</v>
      </c>
      <c r="H8331" s="1">
        <v>2014.0</v>
      </c>
      <c r="I8331" s="1" t="s">
        <v>97</v>
      </c>
      <c r="J8331" s="1" t="s">
        <v>14321</v>
      </c>
      <c r="K8331" s="1" t="s">
        <v>1198</v>
      </c>
      <c r="L8331" s="1" t="s">
        <v>39921</v>
      </c>
      <c r="M8331" s="2" t="s">
        <v>12</v>
      </c>
      <c r="N8331" s="4">
        <f t="shared" si="1"/>
        <v>43392</v>
      </c>
      <c r="O8331" s="5" t="str">
        <f>IFERROR(__xludf.DUMMYFUNCTION("IF(REGEXMATCH(TRIM(I8331), ""^\d+\s*min""), ""Unclassified"", IF(I8331 = """", ""NR"", I8331))"),"TV-14")</f>
        <v>TV-14</v>
      </c>
      <c r="R8331" s="5" t="str">
        <f t="shared" si="2"/>
        <v>The Gospel Of Matthew</v>
      </c>
      <c r="S8331" s="5" t="str">
        <f>IFERROR(__xludf.DUMMYFUNCTION("""COMPUTED_VALUE"""),"Upstarts")</f>
        <v>Upstarts</v>
      </c>
      <c r="V8331" s="5"/>
      <c r="Y8331" s="5" t="str">
        <f>IFERROR(__xludf.DUMMYFUNCTION("REGEXEXTRACT(J8331, ""^\d+"")"),"190")</f>
        <v>190</v>
      </c>
      <c r="Z8331" s="5" t="str">
        <f>IFERROR(__xludf.DUMMYFUNCTION("REGEXEXTRACT(J8331, ""[A-Za-z ]+$"")")," min")</f>
        <v> min</v>
      </c>
      <c r="AA8331" s="5" t="str">
        <f>IFERROR(__xludf.DUMMYFUNCTION("IF(REGEXMATCH(Z8331, ""Season""), ""TV Show"", ""Movie"")"),"Movie")</f>
        <v>Movie</v>
      </c>
    </row>
    <row r="8332">
      <c r="A8332" s="1" t="s">
        <v>39922</v>
      </c>
      <c r="B8332" s="1" t="s">
        <v>27</v>
      </c>
      <c r="C8332" s="1" t="s">
        <v>39923</v>
      </c>
      <c r="E8332" s="1" t="s">
        <v>39924</v>
      </c>
      <c r="F8332" s="1" t="s">
        <v>749</v>
      </c>
      <c r="G8332" s="1" t="s">
        <v>21267</v>
      </c>
      <c r="H8332" s="1">
        <v>2018.0</v>
      </c>
      <c r="I8332" s="1" t="s">
        <v>42</v>
      </c>
      <c r="J8332" s="1" t="s">
        <v>1383</v>
      </c>
      <c r="K8332" s="1" t="s">
        <v>306</v>
      </c>
      <c r="L8332" s="1" t="s">
        <v>39925</v>
      </c>
      <c r="M8332" s="2" t="s">
        <v>12</v>
      </c>
      <c r="N8332" s="4">
        <f t="shared" si="1"/>
        <v>43563</v>
      </c>
      <c r="O8332" s="5" t="str">
        <f>IFERROR(__xludf.DUMMYFUNCTION("IF(REGEXMATCH(TRIM(I8332), ""^\d+\s*min""), ""Unclassified"", IF(I8332 = """", ""NR"", I8332))"),"TV-MA")</f>
        <v>TV-MA</v>
      </c>
      <c r="R8332" s="5" t="str">
        <f t="shared" si="2"/>
        <v>The Great Battle</v>
      </c>
      <c r="S8332" s="5" t="str">
        <f>IFERROR(__xludf.DUMMYFUNCTION("""COMPUTED_VALUE"""),"Uriyadi 2")</f>
        <v>Uriyadi 2</v>
      </c>
      <c r="V8332" s="5"/>
      <c r="Y8332" s="5" t="str">
        <f>IFERROR(__xludf.DUMMYFUNCTION("REGEXEXTRACT(J8332, ""^\d+"")"),"136")</f>
        <v>136</v>
      </c>
      <c r="Z8332" s="5" t="str">
        <f>IFERROR(__xludf.DUMMYFUNCTION("REGEXEXTRACT(J8332, ""[A-Za-z ]+$"")")," min")</f>
        <v> min</v>
      </c>
      <c r="AA8332" s="5" t="str">
        <f>IFERROR(__xludf.DUMMYFUNCTION("IF(REGEXMATCH(Z8332, ""Season""), ""TV Show"", ""Movie"")"),"Movie")</f>
        <v>Movie</v>
      </c>
    </row>
    <row r="8333">
      <c r="A8333" s="1" t="s">
        <v>39926</v>
      </c>
      <c r="B8333" s="1" t="s">
        <v>37</v>
      </c>
      <c r="C8333" s="1" t="s">
        <v>39927</v>
      </c>
      <c r="E8333" s="1" t="s">
        <v>39928</v>
      </c>
      <c r="F8333" s="1" t="s">
        <v>96</v>
      </c>
      <c r="G8333" s="1" t="s">
        <v>23134</v>
      </c>
      <c r="H8333" s="1">
        <v>2018.0</v>
      </c>
      <c r="I8333" s="1" t="s">
        <v>136</v>
      </c>
      <c r="J8333" s="1" t="s">
        <v>148</v>
      </c>
      <c r="K8333" s="1" t="s">
        <v>99</v>
      </c>
      <c r="L8333" s="1" t="s">
        <v>39929</v>
      </c>
      <c r="M8333" s="2" t="s">
        <v>12</v>
      </c>
      <c r="N8333" s="4">
        <f t="shared" si="1"/>
        <v>43435</v>
      </c>
      <c r="O8333" s="5" t="str">
        <f>IFERROR(__xludf.DUMMYFUNCTION("IF(REGEXMATCH(TRIM(I8333), ""^\d+\s*min""), ""Unclassified"", IF(I8333 = """", ""NR"", I8333))"),"TV-PG")</f>
        <v>TV-PG</v>
      </c>
      <c r="R8333" s="5" t="str">
        <f t="shared" si="2"/>
        <v>The Great British Baking Show: Masterclass</v>
      </c>
      <c r="S8333" s="5" t="str">
        <f>IFERROR(__xludf.DUMMYFUNCTION("""COMPUTED_VALUE"""),"Urvi")</f>
        <v>Urvi</v>
      </c>
      <c r="V8333" s="5"/>
      <c r="Y8333" s="5" t="str">
        <f>IFERROR(__xludf.DUMMYFUNCTION("REGEXEXTRACT(J8333, ""^\d+"")"),"4")</f>
        <v>4</v>
      </c>
      <c r="Z8333" s="5" t="str">
        <f>IFERROR(__xludf.DUMMYFUNCTION("REGEXEXTRACT(J8333, ""[A-Za-z ]+$"")")," Seasons")</f>
        <v> Seasons</v>
      </c>
      <c r="AA8333" s="5" t="str">
        <f>IFERROR(__xludf.DUMMYFUNCTION("IF(REGEXMATCH(Z8333, ""Season""), ""TV Show"", ""Movie"")"),"TV Show")</f>
        <v>TV Show</v>
      </c>
    </row>
    <row r="8334">
      <c r="A8334" s="1" t="s">
        <v>39930</v>
      </c>
      <c r="B8334" s="1" t="s">
        <v>27</v>
      </c>
      <c r="C8334" s="1" t="s">
        <v>39931</v>
      </c>
      <c r="D8334" s="1" t="s">
        <v>20865</v>
      </c>
      <c r="E8334" s="1" t="s">
        <v>39932</v>
      </c>
      <c r="F8334" s="1" t="s">
        <v>63</v>
      </c>
      <c r="G8334" s="1" t="s">
        <v>17078</v>
      </c>
      <c r="H8334" s="1">
        <v>1979.0</v>
      </c>
      <c r="I8334" s="1" t="s">
        <v>97</v>
      </c>
      <c r="J8334" s="1" t="s">
        <v>198</v>
      </c>
      <c r="K8334" s="1" t="s">
        <v>927</v>
      </c>
      <c r="L8334" s="1" t="s">
        <v>39933</v>
      </c>
      <c r="M8334" s="2" t="s">
        <v>12</v>
      </c>
      <c r="N8334" s="4">
        <f t="shared" si="1"/>
        <v>43830</v>
      </c>
      <c r="O8334" s="5" t="str">
        <f>IFERROR(__xludf.DUMMYFUNCTION("IF(REGEXMATCH(TRIM(I8334), ""^\d+\s*min""), ""Unclassified"", IF(I8334 = """", ""NR"", I8334))"),"TV-14")</f>
        <v>TV-14</v>
      </c>
      <c r="R8334" s="5" t="str">
        <f t="shared" si="2"/>
        <v>The Great Gambler</v>
      </c>
      <c r="S8334" s="5" t="str">
        <f>IFERROR(__xludf.DUMMYFUNCTION("""COMPUTED_VALUE"""),"Urzila Carlson: Overqualified Loser")</f>
        <v>Urzila Carlson: Overqualified Loser</v>
      </c>
      <c r="V8334" s="5"/>
      <c r="Y8334" s="5" t="str">
        <f>IFERROR(__xludf.DUMMYFUNCTION("REGEXEXTRACT(J8334, ""^\d+"")"),"161")</f>
        <v>161</v>
      </c>
      <c r="Z8334" s="5" t="str">
        <f>IFERROR(__xludf.DUMMYFUNCTION("REGEXEXTRACT(J8334, ""[A-Za-z ]+$"")")," min")</f>
        <v> min</v>
      </c>
      <c r="AA8334" s="5" t="str">
        <f>IFERROR(__xludf.DUMMYFUNCTION("IF(REGEXMATCH(Z8334, ""Season""), ""TV Show"", ""Movie"")"),"Movie")</f>
        <v>Movie</v>
      </c>
    </row>
    <row r="8335">
      <c r="A8335" s="1" t="s">
        <v>39934</v>
      </c>
      <c r="B8335" s="1" t="s">
        <v>27</v>
      </c>
      <c r="C8335" s="1" t="s">
        <v>39935</v>
      </c>
      <c r="D8335" s="1" t="s">
        <v>11273</v>
      </c>
      <c r="E8335" s="1" t="s">
        <v>39936</v>
      </c>
      <c r="F8335" s="1" t="s">
        <v>5656</v>
      </c>
      <c r="G8335" s="1" t="s">
        <v>18333</v>
      </c>
      <c r="H8335" s="1">
        <v>2005.0</v>
      </c>
      <c r="I8335" s="1" t="s">
        <v>378</v>
      </c>
      <c r="J8335" s="1" t="s">
        <v>1428</v>
      </c>
      <c r="K8335" s="1" t="s">
        <v>323</v>
      </c>
      <c r="L8335" s="1" t="s">
        <v>39937</v>
      </c>
      <c r="M8335" s="2" t="s">
        <v>12</v>
      </c>
      <c r="N8335" s="4">
        <f t="shared" si="1"/>
        <v>43770</v>
      </c>
      <c r="O8335" s="5" t="str">
        <f>IFERROR(__xludf.DUMMYFUNCTION("IF(REGEXMATCH(TRIM(I8335), ""^\d+\s*min""), ""Unclassified"", IF(I8335 = """", ""NR"", I8335))"),"R")</f>
        <v>R</v>
      </c>
      <c r="R8335" s="5" t="str">
        <f t="shared" si="2"/>
        <v>The Great Raid</v>
      </c>
      <c r="S8335" s="5" t="str">
        <f>IFERROR(__xludf.DUMMYFUNCTION("""COMPUTED_VALUE"""),"Us And Them")</f>
        <v>Us And Them</v>
      </c>
      <c r="V8335" s="5"/>
      <c r="Y8335" s="5" t="str">
        <f>IFERROR(__xludf.DUMMYFUNCTION("REGEXEXTRACT(J8335, ""^\d+"")"),"133")</f>
        <v>133</v>
      </c>
      <c r="Z8335" s="5" t="str">
        <f>IFERROR(__xludf.DUMMYFUNCTION("REGEXEXTRACT(J8335, ""[A-Za-z ]+$"")")," min")</f>
        <v> min</v>
      </c>
      <c r="AA8335" s="5" t="str">
        <f>IFERROR(__xludf.DUMMYFUNCTION("IF(REGEXMATCH(Z8335, ""Season""), ""TV Show"", ""Movie"")"),"Movie")</f>
        <v>Movie</v>
      </c>
    </row>
    <row r="8336">
      <c r="A8336" s="1" t="s">
        <v>39938</v>
      </c>
      <c r="B8336" s="1" t="s">
        <v>37</v>
      </c>
      <c r="C8336" s="1" t="s">
        <v>39939</v>
      </c>
      <c r="E8336" s="1" t="s">
        <v>39940</v>
      </c>
      <c r="F8336" s="1" t="s">
        <v>96</v>
      </c>
      <c r="G8336" s="1" t="s">
        <v>28421</v>
      </c>
      <c r="H8336" s="1">
        <v>2013.0</v>
      </c>
      <c r="I8336" s="1" t="s">
        <v>30231</v>
      </c>
      <c r="J8336" s="1" t="s">
        <v>51</v>
      </c>
      <c r="K8336" s="1" t="s">
        <v>3274</v>
      </c>
      <c r="L8336" s="1" t="s">
        <v>39941</v>
      </c>
      <c r="M8336" s="2" t="s">
        <v>12</v>
      </c>
      <c r="N8336" s="4">
        <f t="shared" si="1"/>
        <v>42825</v>
      </c>
      <c r="O8336" s="5" t="str">
        <f>IFERROR(__xludf.DUMMYFUNCTION("IF(REGEXMATCH(TRIM(I8336), ""^\d+\s*min""), ""Unclassified"", IF(I8336 = """", ""NR"", I8336))"),"NR")</f>
        <v>NR</v>
      </c>
      <c r="R8336" s="5" t="str">
        <f t="shared" si="2"/>
        <v>The Great Train Robbery</v>
      </c>
      <c r="S8336" s="5" t="str">
        <f>IFERROR(__xludf.DUMMYFUNCTION("""COMPUTED_VALUE"""),"Use For My Talent")</f>
        <v>Use For My Talent</v>
      </c>
      <c r="V8336" s="5"/>
      <c r="Y8336" s="5" t="str">
        <f>IFERROR(__xludf.DUMMYFUNCTION("REGEXEXTRACT(J8336, ""^\d+"")"),"1")</f>
        <v>1</v>
      </c>
      <c r="Z8336" s="5" t="str">
        <f>IFERROR(__xludf.DUMMYFUNCTION("REGEXEXTRACT(J8336, ""[A-Za-z ]+$"")")," Season")</f>
        <v> Season</v>
      </c>
      <c r="AA8336" s="5" t="str">
        <f>IFERROR(__xludf.DUMMYFUNCTION("IF(REGEXMATCH(Z8336, ""Season""), ""TV Show"", ""Movie"")"),"TV Show")</f>
        <v>TV Show</v>
      </c>
    </row>
    <row r="8337">
      <c r="A8337" s="1" t="s">
        <v>39942</v>
      </c>
      <c r="B8337" s="1" t="s">
        <v>27</v>
      </c>
      <c r="C8337" s="1" t="s">
        <v>39943</v>
      </c>
      <c r="D8337" s="1" t="s">
        <v>15880</v>
      </c>
      <c r="E8337" s="1" t="s">
        <v>39944</v>
      </c>
      <c r="F8337" s="1" t="s">
        <v>30</v>
      </c>
      <c r="G8337" s="1" t="s">
        <v>14946</v>
      </c>
      <c r="H8337" s="1">
        <v>2011.0</v>
      </c>
      <c r="I8337" s="1" t="s">
        <v>32</v>
      </c>
      <c r="J8337" s="1" t="s">
        <v>804</v>
      </c>
      <c r="K8337" s="1" t="s">
        <v>973</v>
      </c>
      <c r="L8337" s="1" t="s">
        <v>39945</v>
      </c>
      <c r="M8337" s="2" t="s">
        <v>12</v>
      </c>
      <c r="N8337" s="4">
        <f t="shared" si="1"/>
        <v>43939</v>
      </c>
      <c r="O8337" s="5" t="str">
        <f>IFERROR(__xludf.DUMMYFUNCTION("IF(REGEXMATCH(TRIM(I8337), ""^\d+\s*min""), ""Unclassified"", IF(I8337 = """", ""NR"", I8337))"),"PG-13")</f>
        <v>PG-13</v>
      </c>
      <c r="R8337" s="5" t="str">
        <f t="shared" si="2"/>
        <v>The Green Hornet</v>
      </c>
      <c r="S8337" s="5" t="str">
        <f>IFERROR(__xludf.DUMMYFUNCTION("""COMPUTED_VALUE"""),"Used Goods")</f>
        <v>Used Goods</v>
      </c>
      <c r="V8337" s="5"/>
      <c r="Y8337" s="5" t="str">
        <f>IFERROR(__xludf.DUMMYFUNCTION("REGEXEXTRACT(J8337, ""^\d+"")"),"119")</f>
        <v>119</v>
      </c>
      <c r="Z8337" s="5" t="str">
        <f>IFERROR(__xludf.DUMMYFUNCTION("REGEXEXTRACT(J8337, ""[A-Za-z ]+$"")")," min")</f>
        <v> min</v>
      </c>
      <c r="AA8337" s="5" t="str">
        <f>IFERROR(__xludf.DUMMYFUNCTION("IF(REGEXMATCH(Z8337, ""Season""), ""TV Show"", ""Movie"")"),"Movie")</f>
        <v>Movie</v>
      </c>
    </row>
    <row r="8338">
      <c r="A8338" s="1" t="s">
        <v>39946</v>
      </c>
      <c r="B8338" s="1" t="s">
        <v>37</v>
      </c>
      <c r="C8338" s="1" t="s">
        <v>39947</v>
      </c>
      <c r="E8338" s="1" t="s">
        <v>39948</v>
      </c>
      <c r="F8338" s="1" t="s">
        <v>30</v>
      </c>
      <c r="G8338" s="1" t="s">
        <v>21824</v>
      </c>
      <c r="H8338" s="1">
        <v>2013.0</v>
      </c>
      <c r="I8338" s="1" t="s">
        <v>42</v>
      </c>
      <c r="J8338" s="1" t="s">
        <v>51</v>
      </c>
      <c r="K8338" s="1" t="s">
        <v>270</v>
      </c>
      <c r="L8338" s="1" t="s">
        <v>39949</v>
      </c>
      <c r="M8338" s="2" t="s">
        <v>12</v>
      </c>
      <c r="N8338" s="4">
        <f t="shared" si="1"/>
        <v>43526</v>
      </c>
      <c r="O8338" s="5" t="str">
        <f>IFERROR(__xludf.DUMMYFUNCTION("IF(REGEXMATCH(TRIM(I8338), ""^\d+\s*min""), ""Unclassified"", IF(I8338 = """", ""NR"", I8338))"),"TV-MA")</f>
        <v>TV-MA</v>
      </c>
      <c r="R8338" s="5" t="str">
        <f t="shared" si="2"/>
        <v>The Guild</v>
      </c>
      <c r="S8338" s="5" t="str">
        <f>IFERROR(__xludf.DUMMYFUNCTION("""COMPUTED_VALUE"""),"Uss Indianapolis: Men Of Courage")</f>
        <v>Uss Indianapolis: Men Of Courage</v>
      </c>
      <c r="V8338" s="5"/>
      <c r="Y8338" s="5" t="str">
        <f>IFERROR(__xludf.DUMMYFUNCTION("REGEXEXTRACT(J8338, ""^\d+"")"),"1")</f>
        <v>1</v>
      </c>
      <c r="Z8338" s="5" t="str">
        <f>IFERROR(__xludf.DUMMYFUNCTION("REGEXEXTRACT(J8338, ""[A-Za-z ]+$"")")," Season")</f>
        <v> Season</v>
      </c>
      <c r="AA8338" s="5" t="str">
        <f>IFERROR(__xludf.DUMMYFUNCTION("IF(REGEXMATCH(Z8338, ""Season""), ""TV Show"", ""Movie"")"),"TV Show")</f>
        <v>TV Show</v>
      </c>
    </row>
    <row r="8339">
      <c r="A8339" s="1" t="s">
        <v>39950</v>
      </c>
      <c r="B8339" s="1" t="s">
        <v>27</v>
      </c>
      <c r="C8339" s="1" t="s">
        <v>39951</v>
      </c>
      <c r="D8339" s="1" t="s">
        <v>15653</v>
      </c>
      <c r="E8339" s="1" t="s">
        <v>39952</v>
      </c>
      <c r="F8339" s="1" t="s">
        <v>30</v>
      </c>
      <c r="G8339" s="1" t="s">
        <v>26632</v>
      </c>
      <c r="H8339" s="1">
        <v>2017.0</v>
      </c>
      <c r="I8339" s="1" t="s">
        <v>378</v>
      </c>
      <c r="J8339" s="1" t="s">
        <v>170</v>
      </c>
      <c r="K8339" s="1" t="s">
        <v>1551</v>
      </c>
      <c r="L8339" s="1" t="s">
        <v>39953</v>
      </c>
      <c r="M8339" s="2" t="s">
        <v>12</v>
      </c>
      <c r="N8339" s="4">
        <f t="shared" si="1"/>
        <v>43080</v>
      </c>
      <c r="O8339" s="5" t="str">
        <f>IFERROR(__xludf.DUMMYFUNCTION("IF(REGEXMATCH(TRIM(I8339), ""^\d+\s*min""), ""Unclassified"", IF(I8339 = """", ""NR"", I8339))"),"R")</f>
        <v>R</v>
      </c>
      <c r="R8339" s="5" t="str">
        <f t="shared" si="2"/>
        <v>The Hatred</v>
      </c>
      <c r="S8339" s="5" t="str">
        <f>IFERROR(__xludf.DUMMYFUNCTION("""COMPUTED_VALUE"""),"Uyare")</f>
        <v>Uyare</v>
      </c>
      <c r="V8339" s="5"/>
      <c r="Y8339" s="5" t="str">
        <f>IFERROR(__xludf.DUMMYFUNCTION("REGEXEXTRACT(J8339, ""^\d+"")"),"94")</f>
        <v>94</v>
      </c>
      <c r="Z8339" s="5" t="str">
        <f>IFERROR(__xludf.DUMMYFUNCTION("REGEXEXTRACT(J8339, ""[A-Za-z ]+$"")")," min")</f>
        <v> min</v>
      </c>
      <c r="AA8339" s="5" t="str">
        <f>IFERROR(__xludf.DUMMYFUNCTION("IF(REGEXMATCH(Z8339, ""Season""), ""TV Show"", ""Movie"")"),"Movie")</f>
        <v>Movie</v>
      </c>
    </row>
    <row r="8340">
      <c r="A8340" s="1" t="s">
        <v>39954</v>
      </c>
      <c r="B8340" s="1" t="s">
        <v>27</v>
      </c>
      <c r="C8340" s="1" t="s">
        <v>39955</v>
      </c>
      <c r="D8340" s="1" t="s">
        <v>15937</v>
      </c>
      <c r="E8340" s="1" t="s">
        <v>39956</v>
      </c>
      <c r="F8340" s="1" t="s">
        <v>30</v>
      </c>
      <c r="G8340" s="1" t="s">
        <v>24114</v>
      </c>
      <c r="H8340" s="1">
        <v>2008.0</v>
      </c>
      <c r="I8340" s="1" t="s">
        <v>32</v>
      </c>
      <c r="J8340" s="1" t="s">
        <v>471</v>
      </c>
      <c r="K8340" s="1" t="s">
        <v>3768</v>
      </c>
      <c r="L8340" s="1" t="s">
        <v>39957</v>
      </c>
      <c r="M8340" s="2" t="s">
        <v>12</v>
      </c>
      <c r="N8340" s="4">
        <f t="shared" si="1"/>
        <v>43377</v>
      </c>
      <c r="O8340" s="5" t="str">
        <f>IFERROR(__xludf.DUMMYFUNCTION("IF(REGEXMATCH(TRIM(I8340), ""^\d+\s*min""), ""Unclassified"", IF(I8340 = """", ""NR"", I8340))"),"PG-13")</f>
        <v>PG-13</v>
      </c>
      <c r="R8340" s="5" t="str">
        <f t="shared" si="2"/>
        <v>The Haunting Of Molly Hartley</v>
      </c>
      <c r="S8340" s="5" t="str">
        <f>IFERROR(__xludf.DUMMYFUNCTION("""COMPUTED_VALUE"""),"V For Vendetta")</f>
        <v>V For Vendetta</v>
      </c>
      <c r="V8340" s="5"/>
      <c r="Y8340" s="5" t="str">
        <f>IFERROR(__xludf.DUMMYFUNCTION("REGEXEXTRACT(J8340, ""^\d+"")"),"85")</f>
        <v>85</v>
      </c>
      <c r="Z8340" s="5" t="str">
        <f>IFERROR(__xludf.DUMMYFUNCTION("REGEXEXTRACT(J8340, ""[A-Za-z ]+$"")")," min")</f>
        <v> min</v>
      </c>
      <c r="AA8340" s="5" t="str">
        <f>IFERROR(__xludf.DUMMYFUNCTION("IF(REGEXMATCH(Z8340, ""Season""), ""TV Show"", ""Movie"")"),"Movie")</f>
        <v>Movie</v>
      </c>
    </row>
    <row r="8341">
      <c r="A8341" s="1" t="s">
        <v>39958</v>
      </c>
      <c r="B8341" s="1" t="s">
        <v>27</v>
      </c>
      <c r="C8341" s="1" t="s">
        <v>39959</v>
      </c>
      <c r="D8341" s="1" t="s">
        <v>17473</v>
      </c>
      <c r="E8341" s="1" t="s">
        <v>39960</v>
      </c>
      <c r="F8341" s="1" t="s">
        <v>39961</v>
      </c>
      <c r="G8341" s="1" t="s">
        <v>13808</v>
      </c>
      <c r="H8341" s="1">
        <v>2017.0</v>
      </c>
      <c r="I8341" s="1" t="s">
        <v>97</v>
      </c>
      <c r="J8341" s="1" t="s">
        <v>912</v>
      </c>
      <c r="K8341" s="1" t="s">
        <v>5064</v>
      </c>
      <c r="L8341" s="1" t="s">
        <v>39962</v>
      </c>
      <c r="M8341" s="2" t="s">
        <v>12</v>
      </c>
      <c r="N8341" s="4">
        <f t="shared" si="1"/>
        <v>43983</v>
      </c>
      <c r="O8341" s="5" t="str">
        <f>IFERROR(__xludf.DUMMYFUNCTION("IF(REGEXMATCH(TRIM(I8341), ""^\d+\s*min""), ""Unclassified"", IF(I8341 = """", ""NR"", I8341))"),"TV-14")</f>
        <v>TV-14</v>
      </c>
      <c r="R8341" s="5" t="str">
        <f t="shared" si="2"/>
        <v>The Healer</v>
      </c>
      <c r="S8341" s="5" t="str">
        <f>IFERROR(__xludf.DUMMYFUNCTION("""COMPUTED_VALUE"""),"V Wars")</f>
        <v>V Wars</v>
      </c>
      <c r="V8341" s="5"/>
      <c r="Y8341" s="5" t="str">
        <f>IFERROR(__xludf.DUMMYFUNCTION("REGEXEXTRACT(J8341, ""^\d+"")"),"108")</f>
        <v>108</v>
      </c>
      <c r="Z8341" s="5" t="str">
        <f>IFERROR(__xludf.DUMMYFUNCTION("REGEXEXTRACT(J8341, ""[A-Za-z ]+$"")")," min")</f>
        <v> min</v>
      </c>
      <c r="AA8341" s="5" t="str">
        <f>IFERROR(__xludf.DUMMYFUNCTION("IF(REGEXMATCH(Z8341, ""Season""), ""TV Show"", ""Movie"")"),"Movie")</f>
        <v>Movie</v>
      </c>
    </row>
    <row r="8342">
      <c r="A8342" s="1" t="s">
        <v>39963</v>
      </c>
      <c r="B8342" s="1" t="s">
        <v>27</v>
      </c>
      <c r="C8342" s="1" t="s">
        <v>39964</v>
      </c>
      <c r="D8342" s="1" t="s">
        <v>15411</v>
      </c>
      <c r="F8342" s="1" t="s">
        <v>1106</v>
      </c>
      <c r="G8342" s="7">
        <v>43592.0</v>
      </c>
      <c r="H8342" s="1">
        <v>2018.0</v>
      </c>
      <c r="I8342" s="1" t="s">
        <v>42</v>
      </c>
      <c r="J8342" s="1" t="s">
        <v>5650</v>
      </c>
      <c r="K8342" s="1" t="s">
        <v>34</v>
      </c>
      <c r="L8342" s="1" t="s">
        <v>39965</v>
      </c>
      <c r="M8342" s="2" t="s">
        <v>12</v>
      </c>
      <c r="N8342" s="4">
        <f t="shared" si="1"/>
        <v>43592</v>
      </c>
      <c r="O8342" s="5" t="str">
        <f>IFERROR(__xludf.DUMMYFUNCTION("IF(REGEXMATCH(TRIM(I8342), ""^\d+\s*min""), ""Unclassified"", IF(I8342 = """", ""NR"", I8342))"),"TV-MA")</f>
        <v>TV-MA</v>
      </c>
      <c r="R8342" s="5" t="str">
        <f t="shared" si="2"/>
        <v>The Heat: A Kitchen (R)Evolution</v>
      </c>
      <c r="S8342" s="5" t="str">
        <f>IFERROR(__xludf.DUMMYFUNCTION("""COMPUTED_VALUE"""),"V.R. Troopers")</f>
        <v>V.R. Troopers</v>
      </c>
      <c r="V8342" s="5"/>
      <c r="Y8342" s="5" t="str">
        <f>IFERROR(__xludf.DUMMYFUNCTION("REGEXEXTRACT(J8342, ""^\d+"")"),"71")</f>
        <v>71</v>
      </c>
      <c r="Z8342" s="5" t="str">
        <f>IFERROR(__xludf.DUMMYFUNCTION("REGEXEXTRACT(J8342, ""[A-Za-z ]+$"")")," min")</f>
        <v> min</v>
      </c>
      <c r="AA8342" s="5" t="str">
        <f>IFERROR(__xludf.DUMMYFUNCTION("IF(REGEXMATCH(Z8342, ""Season""), ""TV Show"", ""Movie"")"),"Movie")</f>
        <v>Movie</v>
      </c>
    </row>
    <row r="8343">
      <c r="A8343" s="1" t="s">
        <v>39966</v>
      </c>
      <c r="B8343" s="1" t="s">
        <v>27</v>
      </c>
      <c r="C8343" s="1" t="s">
        <v>39967</v>
      </c>
      <c r="D8343" s="1" t="s">
        <v>7084</v>
      </c>
      <c r="E8343" s="1" t="s">
        <v>39968</v>
      </c>
      <c r="F8343" s="1" t="s">
        <v>30</v>
      </c>
      <c r="G8343" s="1" t="s">
        <v>13808</v>
      </c>
      <c r="H8343" s="1">
        <v>2011.0</v>
      </c>
      <c r="I8343" s="1" t="s">
        <v>32</v>
      </c>
      <c r="J8343" s="1" t="s">
        <v>229</v>
      </c>
      <c r="K8343" s="1" t="s">
        <v>805</v>
      </c>
      <c r="L8343" s="1" t="s">
        <v>39969</v>
      </c>
      <c r="M8343" s="2" t="s">
        <v>12</v>
      </c>
      <c r="N8343" s="4">
        <f t="shared" si="1"/>
        <v>43983</v>
      </c>
      <c r="O8343" s="5" t="str">
        <f>IFERROR(__xludf.DUMMYFUNCTION("IF(REGEXMATCH(TRIM(I8343), ""^\d+\s*min""), ""Unclassified"", IF(I8343 = """", ""NR"", I8343))"),"PG-13")</f>
        <v>PG-13</v>
      </c>
      <c r="R8343" s="5" t="str">
        <f t="shared" si="2"/>
        <v>The Help</v>
      </c>
      <c r="S8343" s="5" t="str">
        <f>IFERROR(__xludf.DUMMYFUNCTION("""COMPUTED_VALUE"""),"Vagabond")</f>
        <v>Vagabond</v>
      </c>
      <c r="V8343" s="5"/>
      <c r="Y8343" s="5" t="str">
        <f>IFERROR(__xludf.DUMMYFUNCTION("REGEXEXTRACT(J8343, ""^\d+"")"),"147")</f>
        <v>147</v>
      </c>
      <c r="Z8343" s="5" t="str">
        <f>IFERROR(__xludf.DUMMYFUNCTION("REGEXEXTRACT(J8343, ""[A-Za-z ]+$"")")," min")</f>
        <v> min</v>
      </c>
      <c r="AA8343" s="5" t="str">
        <f>IFERROR(__xludf.DUMMYFUNCTION("IF(REGEXMATCH(Z8343, ""Season""), ""TV Show"", ""Movie"")"),"Movie")</f>
        <v>Movie</v>
      </c>
    </row>
    <row r="8344">
      <c r="A8344" s="1" t="s">
        <v>39970</v>
      </c>
      <c r="B8344" s="1" t="s">
        <v>27</v>
      </c>
      <c r="C8344" s="1" t="s">
        <v>39971</v>
      </c>
      <c r="D8344" s="1" t="s">
        <v>4315</v>
      </c>
      <c r="E8344" s="1" t="s">
        <v>39972</v>
      </c>
      <c r="F8344" s="1" t="s">
        <v>1106</v>
      </c>
      <c r="G8344" s="1" t="s">
        <v>19351</v>
      </c>
      <c r="H8344" s="1">
        <v>2017.0</v>
      </c>
      <c r="I8344" s="1" t="s">
        <v>42</v>
      </c>
      <c r="J8344" s="1" t="s">
        <v>428</v>
      </c>
      <c r="K8344" s="1" t="s">
        <v>1551</v>
      </c>
      <c r="L8344" s="1" t="s">
        <v>39973</v>
      </c>
      <c r="M8344" s="2" t="s">
        <v>12</v>
      </c>
      <c r="N8344" s="4">
        <f t="shared" si="1"/>
        <v>43712</v>
      </c>
      <c r="O8344" s="5" t="str">
        <f>IFERROR(__xludf.DUMMYFUNCTION("IF(REGEXMATCH(TRIM(I8344), ""^\d+\s*min""), ""Unclassified"", IF(I8344 = """", ""NR"", I8344))"),"TV-MA")</f>
        <v>TV-MA</v>
      </c>
      <c r="R8344" s="5" t="str">
        <f t="shared" si="2"/>
        <v>The Heretics</v>
      </c>
      <c r="S8344" s="5" t="str">
        <f>IFERROR(__xludf.DUMMYFUNCTION("""COMPUTED_VALUE"""),"Vai Anitta")</f>
        <v>Vai Anitta</v>
      </c>
      <c r="V8344" s="5"/>
      <c r="Y8344" s="5" t="str">
        <f>IFERROR(__xludf.DUMMYFUNCTION("REGEXEXTRACT(J8344, ""^\d+"")"),"88")</f>
        <v>88</v>
      </c>
      <c r="Z8344" s="5" t="str">
        <f>IFERROR(__xludf.DUMMYFUNCTION("REGEXEXTRACT(J8344, ""[A-Za-z ]+$"")")," min")</f>
        <v> min</v>
      </c>
      <c r="AA8344" s="5" t="str">
        <f>IFERROR(__xludf.DUMMYFUNCTION("IF(REGEXMATCH(Z8344, ""Season""), ""TV Show"", ""Movie"")"),"Movie")</f>
        <v>Movie</v>
      </c>
    </row>
    <row r="8345">
      <c r="A8345" s="1" t="s">
        <v>39974</v>
      </c>
      <c r="B8345" s="1" t="s">
        <v>27</v>
      </c>
      <c r="C8345" s="1" t="s">
        <v>39975</v>
      </c>
      <c r="D8345" s="1" t="s">
        <v>22332</v>
      </c>
      <c r="E8345" s="1" t="s">
        <v>39976</v>
      </c>
      <c r="F8345" s="1" t="s">
        <v>784</v>
      </c>
      <c r="G8345" s="1" t="s">
        <v>29673</v>
      </c>
      <c r="H8345" s="1">
        <v>2015.0</v>
      </c>
      <c r="I8345" s="1" t="s">
        <v>42</v>
      </c>
      <c r="J8345" s="1" t="s">
        <v>416</v>
      </c>
      <c r="K8345" s="1" t="s">
        <v>128</v>
      </c>
      <c r="L8345" s="1" t="s">
        <v>39977</v>
      </c>
      <c r="M8345" s="2" t="s">
        <v>12</v>
      </c>
      <c r="N8345" s="4">
        <f t="shared" si="1"/>
        <v>42522</v>
      </c>
      <c r="O8345" s="5" t="str">
        <f>IFERROR(__xludf.DUMMYFUNCTION("IF(REGEXMATCH(TRIM(I8345), ""^\d+\s*min""), ""Unclassified"", IF(I8345 = """", ""NR"", I8345))"),"TV-MA")</f>
        <v>TV-MA</v>
      </c>
      <c r="R8345" s="5" t="str">
        <f t="shared" si="2"/>
        <v>The Heroes Of Evil</v>
      </c>
      <c r="S8345" s="5" t="str">
        <f>IFERROR(__xludf.DUMMYFUNCTION("""COMPUTED_VALUE"""),"Valentine'S Day")</f>
        <v>Valentine'S Day</v>
      </c>
      <c r="V8345" s="5"/>
      <c r="Y8345" s="5" t="str">
        <f>IFERROR(__xludf.DUMMYFUNCTION("REGEXEXTRACT(J8345, ""^\d+"")"),"99")</f>
        <v>99</v>
      </c>
      <c r="Z8345" s="5" t="str">
        <f>IFERROR(__xludf.DUMMYFUNCTION("REGEXEXTRACT(J8345, ""[A-Za-z ]+$"")")," min")</f>
        <v> min</v>
      </c>
      <c r="AA8345" s="5" t="str">
        <f>IFERROR(__xludf.DUMMYFUNCTION("IF(REGEXMATCH(Z8345, ""Season""), ""TV Show"", ""Movie"")"),"Movie")</f>
        <v>Movie</v>
      </c>
    </row>
    <row r="8346">
      <c r="A8346" s="1" t="s">
        <v>39978</v>
      </c>
      <c r="B8346" s="1" t="s">
        <v>27</v>
      </c>
      <c r="C8346" s="1" t="s">
        <v>39979</v>
      </c>
      <c r="D8346" s="1" t="s">
        <v>14822</v>
      </c>
      <c r="E8346" s="1" t="s">
        <v>39980</v>
      </c>
      <c r="F8346" s="1" t="s">
        <v>30</v>
      </c>
      <c r="G8346" s="1" t="s">
        <v>39981</v>
      </c>
      <c r="H8346" s="1">
        <v>2017.0</v>
      </c>
      <c r="I8346" s="1" t="s">
        <v>42</v>
      </c>
      <c r="J8346" s="1" t="s">
        <v>322</v>
      </c>
      <c r="K8346" s="1" t="s">
        <v>1320</v>
      </c>
      <c r="L8346" s="1" t="s">
        <v>39982</v>
      </c>
      <c r="M8346" s="2" t="s">
        <v>12</v>
      </c>
      <c r="N8346" s="4">
        <f t="shared" si="1"/>
        <v>43157</v>
      </c>
      <c r="O8346" s="5" t="str">
        <f>IFERROR(__xludf.DUMMYFUNCTION("IF(REGEXMATCH(TRIM(I8346), ""^\d+\s*min""), ""Unclassified"", IF(I8346 = """", ""NR"", I8346))"),"TV-MA")</f>
        <v>TV-MA</v>
      </c>
      <c r="R8346" s="5" t="str">
        <f t="shared" si="2"/>
        <v>The Heyday Of The Insensitive Bastards</v>
      </c>
      <c r="S8346" s="5" t="str">
        <f>IFERROR(__xludf.DUMMYFUNCTION("""COMPUTED_VALUE"""),"Valentino")</f>
        <v>Valentino</v>
      </c>
      <c r="V8346" s="5"/>
      <c r="Y8346" s="5" t="str">
        <f>IFERROR(__xludf.DUMMYFUNCTION("REGEXEXTRACT(J8346, ""^\d+"")"),"96")</f>
        <v>96</v>
      </c>
      <c r="Z8346" s="5" t="str">
        <f>IFERROR(__xludf.DUMMYFUNCTION("REGEXEXTRACT(J8346, ""[A-Za-z ]+$"")")," min")</f>
        <v> min</v>
      </c>
      <c r="AA8346" s="5" t="str">
        <f>IFERROR(__xludf.DUMMYFUNCTION("IF(REGEXMATCH(Z8346, ""Season""), ""TV Show"", ""Movie"")"),"Movie")</f>
        <v>Movie</v>
      </c>
    </row>
    <row r="8347">
      <c r="A8347" s="1" t="s">
        <v>39983</v>
      </c>
      <c r="B8347" s="1" t="s">
        <v>27</v>
      </c>
      <c r="C8347" s="1" t="s">
        <v>39984</v>
      </c>
      <c r="D8347" s="1" t="s">
        <v>8567</v>
      </c>
      <c r="E8347" s="1" t="s">
        <v>39985</v>
      </c>
      <c r="F8347" s="1" t="s">
        <v>30</v>
      </c>
      <c r="G8347" s="1" t="s">
        <v>28495</v>
      </c>
      <c r="H8347" s="1">
        <v>2016.0</v>
      </c>
      <c r="I8347" s="1" t="s">
        <v>378</v>
      </c>
      <c r="J8347" s="1" t="s">
        <v>247</v>
      </c>
      <c r="K8347" s="1" t="s">
        <v>380</v>
      </c>
      <c r="L8347" s="1" t="s">
        <v>39986</v>
      </c>
      <c r="M8347" s="2" t="s">
        <v>12</v>
      </c>
      <c r="N8347" s="4">
        <f t="shared" si="1"/>
        <v>42810</v>
      </c>
      <c r="O8347" s="5" t="str">
        <f>IFERROR(__xludf.DUMMYFUNCTION("IF(REGEXMATCH(TRIM(I8347), ""^\d+\s*min""), ""Unclassified"", IF(I8347 = """", ""NR"", I8347))"),"R")</f>
        <v>R</v>
      </c>
      <c r="R8347" s="5" t="str">
        <f t="shared" si="2"/>
        <v>The Hollow Point</v>
      </c>
      <c r="S8347" s="5" t="str">
        <f>IFERROR(__xludf.DUMMYFUNCTION("""COMPUTED_VALUE"""),"Valeria")</f>
        <v>Valeria</v>
      </c>
      <c r="V8347" s="5"/>
      <c r="Y8347" s="5" t="str">
        <f>IFERROR(__xludf.DUMMYFUNCTION("REGEXEXTRACT(J8347, ""^\d+"")"),"97")</f>
        <v>97</v>
      </c>
      <c r="Z8347" s="5" t="str">
        <f>IFERROR(__xludf.DUMMYFUNCTION("REGEXEXTRACT(J8347, ""[A-Za-z ]+$"")")," min")</f>
        <v> min</v>
      </c>
      <c r="AA8347" s="5" t="str">
        <f>IFERROR(__xludf.DUMMYFUNCTION("IF(REGEXMATCH(Z8347, ""Season""), ""TV Show"", ""Movie"")"),"Movie")</f>
        <v>Movie</v>
      </c>
    </row>
    <row r="8348">
      <c r="A8348" s="1" t="s">
        <v>39987</v>
      </c>
      <c r="B8348" s="1" t="s">
        <v>27</v>
      </c>
      <c r="C8348" s="1" t="s">
        <v>39988</v>
      </c>
      <c r="D8348" s="1" t="s">
        <v>17080</v>
      </c>
      <c r="E8348" s="1" t="s">
        <v>39989</v>
      </c>
      <c r="F8348" s="1" t="s">
        <v>2796</v>
      </c>
      <c r="G8348" s="1" t="s">
        <v>25035</v>
      </c>
      <c r="H8348" s="1">
        <v>2005.0</v>
      </c>
      <c r="I8348" s="1" t="s">
        <v>97</v>
      </c>
      <c r="J8348" s="1" t="s">
        <v>665</v>
      </c>
      <c r="K8348" s="1" t="s">
        <v>34454</v>
      </c>
      <c r="L8348" s="1" t="s">
        <v>39990</v>
      </c>
      <c r="M8348" s="2" t="s">
        <v>12</v>
      </c>
      <c r="N8348" s="4">
        <f t="shared" si="1"/>
        <v>43306</v>
      </c>
      <c r="O8348" s="5" t="str">
        <f>IFERROR(__xludf.DUMMYFUNCTION("IF(REGEXMATCH(TRIM(I8348), ""^\d+\s*min""), ""Unclassified"", IF(I8348 = """", ""NR"", I8348))"),"TV-14")</f>
        <v>TV-14</v>
      </c>
      <c r="R8348" s="5" t="str">
        <f t="shared" si="2"/>
        <v>The Holy Man</v>
      </c>
      <c r="S8348" s="5" t="str">
        <f>IFERROR(__xludf.DUMMYFUNCTION("""COMPUTED_VALUE"""),"Valor")</f>
        <v>Valor</v>
      </c>
      <c r="V8348" s="5"/>
      <c r="Y8348" s="5" t="str">
        <f>IFERROR(__xludf.DUMMYFUNCTION("REGEXEXTRACT(J8348, ""^\d+"")"),"92")</f>
        <v>92</v>
      </c>
      <c r="Z8348" s="5" t="str">
        <f>IFERROR(__xludf.DUMMYFUNCTION("REGEXEXTRACT(J8348, ""[A-Za-z ]+$"")")," min")</f>
        <v> min</v>
      </c>
      <c r="AA8348" s="5" t="str">
        <f>IFERROR(__xludf.DUMMYFUNCTION("IF(REGEXMATCH(Z8348, ""Season""), ""TV Show"", ""Movie"")"),"Movie")</f>
        <v>Movie</v>
      </c>
    </row>
    <row r="8349">
      <c r="A8349" s="1" t="s">
        <v>39991</v>
      </c>
      <c r="B8349" s="1" t="s">
        <v>37</v>
      </c>
      <c r="C8349" s="1" t="s">
        <v>39992</v>
      </c>
      <c r="E8349" s="1" t="s">
        <v>39993</v>
      </c>
      <c r="G8349" s="1" t="s">
        <v>27970</v>
      </c>
      <c r="H8349" s="1">
        <v>2015.0</v>
      </c>
      <c r="I8349" s="1" t="s">
        <v>136</v>
      </c>
      <c r="J8349" s="1" t="s">
        <v>51</v>
      </c>
      <c r="K8349" s="1" t="s">
        <v>13255</v>
      </c>
      <c r="L8349" s="1" t="s">
        <v>39994</v>
      </c>
      <c r="M8349" s="2" t="s">
        <v>12</v>
      </c>
      <c r="N8349" s="4">
        <f t="shared" si="1"/>
        <v>42888</v>
      </c>
      <c r="O8349" s="5" t="str">
        <f>IFERROR(__xludf.DUMMYFUNCTION("IF(REGEXMATCH(TRIM(I8349), ""^\d+\s*min""), ""Unclassified"", IF(I8349 = """", ""NR"", I8349))"),"TV-PG")</f>
        <v>TV-PG</v>
      </c>
      <c r="R8349" s="5" t="str">
        <f t="shared" si="2"/>
        <v>The Homecoming</v>
      </c>
      <c r="S8349" s="5" t="str">
        <f>IFERROR(__xludf.DUMMYFUNCTION("""COMPUTED_VALUE"""),"Vampire Academy")</f>
        <v>Vampire Academy</v>
      </c>
      <c r="V8349" s="5"/>
      <c r="Y8349" s="5" t="str">
        <f>IFERROR(__xludf.DUMMYFUNCTION("REGEXEXTRACT(J8349, ""^\d+"")"),"1")</f>
        <v>1</v>
      </c>
      <c r="Z8349" s="5" t="str">
        <f>IFERROR(__xludf.DUMMYFUNCTION("REGEXEXTRACT(J8349, ""[A-Za-z ]+$"")")," Season")</f>
        <v> Season</v>
      </c>
      <c r="AA8349" s="5" t="str">
        <f>IFERROR(__xludf.DUMMYFUNCTION("IF(REGEXMATCH(Z8349, ""Season""), ""TV Show"", ""Movie"")"),"TV Show")</f>
        <v>TV Show</v>
      </c>
    </row>
    <row r="8350">
      <c r="A8350" s="1" t="s">
        <v>39995</v>
      </c>
      <c r="B8350" s="1" t="s">
        <v>27</v>
      </c>
      <c r="C8350" s="1" t="s">
        <v>39996</v>
      </c>
      <c r="D8350" s="1" t="s">
        <v>5358</v>
      </c>
      <c r="F8350" s="1" t="s">
        <v>30</v>
      </c>
      <c r="G8350" s="1" t="s">
        <v>27835</v>
      </c>
      <c r="H8350" s="1">
        <v>2016.0</v>
      </c>
      <c r="I8350" s="1" t="s">
        <v>97</v>
      </c>
      <c r="J8350" s="1" t="s">
        <v>6391</v>
      </c>
      <c r="K8350" s="1" t="s">
        <v>34</v>
      </c>
      <c r="L8350" s="1" t="s">
        <v>39997</v>
      </c>
      <c r="M8350" s="2" t="s">
        <v>12</v>
      </c>
      <c r="N8350" s="4">
        <f t="shared" si="1"/>
        <v>42916</v>
      </c>
      <c r="O8350" s="5" t="str">
        <f>IFERROR(__xludf.DUMMYFUNCTION("IF(REGEXMATCH(TRIM(I8350), ""^\d+\s*min""), ""Unclassified"", IF(I8350 = """", ""NR"", I8350))"),"TV-14")</f>
        <v>TV-14</v>
      </c>
      <c r="R8350" s="5" t="str">
        <f t="shared" si="2"/>
        <v>The House On Coco Road</v>
      </c>
      <c r="S8350" s="5" t="str">
        <f>IFERROR(__xludf.DUMMYFUNCTION("""COMPUTED_VALUE"""),"Vampire Knight")</f>
        <v>Vampire Knight</v>
      </c>
      <c r="V8350" s="5"/>
      <c r="Y8350" s="5" t="str">
        <f>IFERROR(__xludf.DUMMYFUNCTION("REGEXEXTRACT(J8350, ""^\d+"")"),"79")</f>
        <v>79</v>
      </c>
      <c r="Z8350" s="5" t="str">
        <f>IFERROR(__xludf.DUMMYFUNCTION("REGEXEXTRACT(J8350, ""[A-Za-z ]+$"")")," min")</f>
        <v> min</v>
      </c>
      <c r="AA8350" s="5" t="str">
        <f>IFERROR(__xludf.DUMMYFUNCTION("IF(REGEXMATCH(Z8350, ""Season""), ""TV Show"", ""Movie"")"),"Movie")</f>
        <v>Movie</v>
      </c>
    </row>
    <row r="8351">
      <c r="A8351" s="1" t="s">
        <v>39998</v>
      </c>
      <c r="B8351" s="1" t="s">
        <v>37</v>
      </c>
      <c r="C8351" s="1" t="s">
        <v>39999</v>
      </c>
      <c r="E8351" s="1" t="s">
        <v>40000</v>
      </c>
      <c r="F8351" s="1" t="s">
        <v>63</v>
      </c>
      <c r="G8351" s="1" t="s">
        <v>28421</v>
      </c>
      <c r="H8351" s="1">
        <v>2015.0</v>
      </c>
      <c r="I8351" s="1" t="s">
        <v>136</v>
      </c>
      <c r="J8351" s="1" t="s">
        <v>276</v>
      </c>
      <c r="K8351" s="1" t="s">
        <v>1520</v>
      </c>
      <c r="L8351" s="1" t="s">
        <v>40001</v>
      </c>
      <c r="M8351" s="2" t="s">
        <v>12</v>
      </c>
      <c r="N8351" s="4">
        <f t="shared" si="1"/>
        <v>42825</v>
      </c>
      <c r="O8351" s="5" t="str">
        <f>IFERROR(__xludf.DUMMYFUNCTION("IF(REGEXMATCH(TRIM(I8351), ""^\d+\s*min""), ""Unclassified"", IF(I8351 = """", ""NR"", I8351))"),"TV-PG")</f>
        <v>TV-PG</v>
      </c>
      <c r="R8351" s="5" t="str">
        <f t="shared" si="2"/>
        <v>The House That Made Me</v>
      </c>
      <c r="S8351" s="5" t="str">
        <f>IFERROR(__xludf.DUMMYFUNCTION("""COMPUTED_VALUE"""),"Vampires")</f>
        <v>Vampires</v>
      </c>
      <c r="V8351" s="5"/>
      <c r="Y8351" s="5" t="str">
        <f>IFERROR(__xludf.DUMMYFUNCTION("REGEXEXTRACT(J8351, ""^\d+"")"),"3")</f>
        <v>3</v>
      </c>
      <c r="Z8351" s="5" t="str">
        <f>IFERROR(__xludf.DUMMYFUNCTION("REGEXEXTRACT(J8351, ""[A-Za-z ]+$"")")," Seasons")</f>
        <v> Seasons</v>
      </c>
      <c r="AA8351" s="5" t="str">
        <f>IFERROR(__xludf.DUMMYFUNCTION("IF(REGEXMATCH(Z8351, ""Season""), ""TV Show"", ""Movie"")"),"TV Show")</f>
        <v>TV Show</v>
      </c>
    </row>
    <row r="8352">
      <c r="A8352" s="1" t="s">
        <v>40002</v>
      </c>
      <c r="B8352" s="1" t="s">
        <v>27</v>
      </c>
      <c r="C8352" s="1" t="s">
        <v>40003</v>
      </c>
      <c r="D8352" s="1" t="s">
        <v>19875</v>
      </c>
      <c r="F8352" s="1" t="s">
        <v>63</v>
      </c>
      <c r="G8352" s="1" t="s">
        <v>28377</v>
      </c>
      <c r="H8352" s="1">
        <v>2013.0</v>
      </c>
      <c r="I8352" s="1" t="s">
        <v>136</v>
      </c>
      <c r="J8352" s="1" t="s">
        <v>8606</v>
      </c>
      <c r="K8352" s="1" t="s">
        <v>2892</v>
      </c>
      <c r="L8352" s="1" t="s">
        <v>40004</v>
      </c>
      <c r="M8352" s="2" t="s">
        <v>12</v>
      </c>
      <c r="N8352" s="4">
        <f t="shared" si="1"/>
        <v>42826</v>
      </c>
      <c r="O8352" s="5" t="str">
        <f>IFERROR(__xludf.DUMMYFUNCTION("IF(REGEXMATCH(TRIM(I8352), ""^\d+\s*min""), ""Unclassified"", IF(I8352 = """", ""NR"", I8352))"),"TV-PG")</f>
        <v>TV-PG</v>
      </c>
      <c r="R8352" s="5" t="str">
        <f t="shared" si="2"/>
        <v>The Human Factor: The Untold Story Of The Bombay Film Orchestras</v>
      </c>
      <c r="S8352" s="5" t="str">
        <f>IFERROR(__xludf.DUMMYFUNCTION("""COMPUTED_VALUE"""),"Vampires Vs. The Bronx")</f>
        <v>Vampires Vs. The Bronx</v>
      </c>
      <c r="V8352" s="5"/>
      <c r="Y8352" s="5" t="str">
        <f>IFERROR(__xludf.DUMMYFUNCTION("REGEXEXTRACT(J8352, ""^\d+"")"),"53")</f>
        <v>53</v>
      </c>
      <c r="Z8352" s="5" t="str">
        <f>IFERROR(__xludf.DUMMYFUNCTION("REGEXEXTRACT(J8352, ""[A-Za-z ]+$"")")," min")</f>
        <v> min</v>
      </c>
      <c r="AA8352" s="5" t="str">
        <f>IFERROR(__xludf.DUMMYFUNCTION("IF(REGEXMATCH(Z8352, ""Season""), ""TV Show"", ""Movie"")"),"Movie")</f>
        <v>Movie</v>
      </c>
    </row>
    <row r="8353">
      <c r="A8353" s="1" t="s">
        <v>40005</v>
      </c>
      <c r="B8353" s="1" t="s">
        <v>27</v>
      </c>
      <c r="C8353" s="1" t="s">
        <v>40006</v>
      </c>
      <c r="D8353" s="1" t="s">
        <v>19371</v>
      </c>
      <c r="E8353" s="1" t="s">
        <v>40007</v>
      </c>
      <c r="F8353" s="1" t="s">
        <v>1106</v>
      </c>
      <c r="G8353" s="1" t="s">
        <v>22928</v>
      </c>
      <c r="H8353" s="1">
        <v>2017.0</v>
      </c>
      <c r="I8353" s="1" t="s">
        <v>378</v>
      </c>
      <c r="J8353" s="1" t="s">
        <v>170</v>
      </c>
      <c r="K8353" s="1" t="s">
        <v>942</v>
      </c>
      <c r="L8353" s="1" t="s">
        <v>40008</v>
      </c>
      <c r="M8353" s="2" t="s">
        <v>12</v>
      </c>
      <c r="N8353" s="4">
        <f t="shared" si="1"/>
        <v>43452</v>
      </c>
      <c r="O8353" s="5" t="str">
        <f>IFERROR(__xludf.DUMMYFUNCTION("IF(REGEXMATCH(TRIM(I8353), ""^\d+\s*min""), ""Unclassified"", IF(I8353 = """", ""NR"", I8353))"),"R")</f>
        <v>R</v>
      </c>
      <c r="R8353" s="5" t="str">
        <f t="shared" si="2"/>
        <v>The Humanity Bureau</v>
      </c>
      <c r="S8353" s="5" t="str">
        <f>IFERROR(__xludf.DUMMYFUNCTION("""COMPUTED_VALUE"""),"Van Helsing")</f>
        <v>Van Helsing</v>
      </c>
      <c r="V8353" s="5"/>
      <c r="Y8353" s="5" t="str">
        <f>IFERROR(__xludf.DUMMYFUNCTION("REGEXEXTRACT(J8353, ""^\d+"")"),"94")</f>
        <v>94</v>
      </c>
      <c r="Z8353" s="5" t="str">
        <f>IFERROR(__xludf.DUMMYFUNCTION("REGEXEXTRACT(J8353, ""[A-Za-z ]+$"")")," min")</f>
        <v> min</v>
      </c>
      <c r="AA8353" s="5" t="str">
        <f>IFERROR(__xludf.DUMMYFUNCTION("IF(REGEXMATCH(Z8353, ""Season""), ""TV Show"", ""Movie"")"),"Movie")</f>
        <v>Movie</v>
      </c>
    </row>
    <row r="8354">
      <c r="A8354" s="1" t="s">
        <v>40009</v>
      </c>
      <c r="B8354" s="1" t="s">
        <v>27</v>
      </c>
      <c r="C8354" s="1" t="s">
        <v>40010</v>
      </c>
      <c r="D8354" s="1" t="s">
        <v>909</v>
      </c>
      <c r="E8354" s="1" t="s">
        <v>40011</v>
      </c>
      <c r="F8354" s="1" t="s">
        <v>40012</v>
      </c>
      <c r="G8354" s="1" t="s">
        <v>22293</v>
      </c>
      <c r="H8354" s="1">
        <v>2014.0</v>
      </c>
      <c r="I8354" s="1" t="s">
        <v>78</v>
      </c>
      <c r="J8354" s="1" t="s">
        <v>2566</v>
      </c>
      <c r="K8354" s="1" t="s">
        <v>107</v>
      </c>
      <c r="L8354" s="1" t="s">
        <v>40013</v>
      </c>
      <c r="M8354" s="2" t="s">
        <v>12</v>
      </c>
      <c r="N8354" s="4">
        <f t="shared" si="1"/>
        <v>43496</v>
      </c>
      <c r="O8354" s="5" t="str">
        <f>IFERROR(__xludf.DUMMYFUNCTION("IF(REGEXMATCH(TRIM(I8354), ""^\d+\s*min""), ""Unclassified"", IF(I8354 = """", ""NR"", I8354))"),"PG")</f>
        <v>PG</v>
      </c>
      <c r="R8354" s="5" t="str">
        <f t="shared" si="2"/>
        <v>The Hundred-Foot Journey</v>
      </c>
      <c r="S8354" s="5" t="str">
        <f>IFERROR(__xludf.DUMMYFUNCTION("""COMPUTED_VALUE"""),"Vanjagar Ulagam")</f>
        <v>Vanjagar Ulagam</v>
      </c>
      <c r="V8354" s="5"/>
      <c r="Y8354" s="5" t="str">
        <f>IFERROR(__xludf.DUMMYFUNCTION("REGEXEXTRACT(J8354, ""^\d+"")"),"123")</f>
        <v>123</v>
      </c>
      <c r="Z8354" s="5" t="str">
        <f>IFERROR(__xludf.DUMMYFUNCTION("REGEXEXTRACT(J8354, ""[A-Za-z ]+$"")")," min")</f>
        <v> min</v>
      </c>
      <c r="AA8354" s="5" t="str">
        <f>IFERROR(__xludf.DUMMYFUNCTION("IF(REGEXMATCH(Z8354, ""Season""), ""TV Show"", ""Movie"")"),"Movie")</f>
        <v>Movie</v>
      </c>
    </row>
    <row r="8355">
      <c r="A8355" s="1" t="s">
        <v>40014</v>
      </c>
      <c r="B8355" s="1" t="s">
        <v>37</v>
      </c>
      <c r="C8355" s="1" t="s">
        <v>40015</v>
      </c>
      <c r="E8355" s="1" t="s">
        <v>5968</v>
      </c>
      <c r="F8355" s="1" t="s">
        <v>96</v>
      </c>
      <c r="G8355" s="7">
        <v>42869.0</v>
      </c>
      <c r="H8355" s="1">
        <v>2015.0</v>
      </c>
      <c r="I8355" s="1" t="s">
        <v>136</v>
      </c>
      <c r="J8355" s="1" t="s">
        <v>51</v>
      </c>
      <c r="K8355" s="1" t="s">
        <v>29581</v>
      </c>
      <c r="L8355" s="1" t="s">
        <v>40016</v>
      </c>
      <c r="M8355" s="2" t="s">
        <v>12</v>
      </c>
      <c r="N8355" s="4">
        <f t="shared" si="1"/>
        <v>42869</v>
      </c>
      <c r="O8355" s="5" t="str">
        <f>IFERROR(__xludf.DUMMYFUNCTION("IF(REGEXMATCH(TRIM(I8355), ""^\d+\s*min""), ""Unclassified"", IF(I8355 = """", ""NR"", I8355))"),"TV-PG")</f>
        <v>TV-PG</v>
      </c>
      <c r="R8355" s="5" t="str">
        <f t="shared" si="2"/>
        <v>The Hunt</v>
      </c>
      <c r="S8355" s="5" t="str">
        <f>IFERROR(__xludf.DUMMYFUNCTION("""COMPUTED_VALUE"""),"Vantage Point")</f>
        <v>Vantage Point</v>
      </c>
      <c r="V8355" s="5"/>
      <c r="Y8355" s="5" t="str">
        <f>IFERROR(__xludf.DUMMYFUNCTION("REGEXEXTRACT(J8355, ""^\d+"")"),"1")</f>
        <v>1</v>
      </c>
      <c r="Z8355" s="5" t="str">
        <f>IFERROR(__xludf.DUMMYFUNCTION("REGEXEXTRACT(J8355, ""[A-Za-z ]+$"")")," Season")</f>
        <v> Season</v>
      </c>
      <c r="AA8355" s="5" t="str">
        <f>IFERROR(__xludf.DUMMYFUNCTION("IF(REGEXMATCH(Z8355, ""Season""), ""TV Show"", ""Movie"")"),"TV Show")</f>
        <v>TV Show</v>
      </c>
    </row>
    <row r="8356">
      <c r="A8356" s="1" t="s">
        <v>40017</v>
      </c>
      <c r="B8356" s="1" t="s">
        <v>27</v>
      </c>
      <c r="C8356" s="1" t="s">
        <v>40018</v>
      </c>
      <c r="D8356" s="1" t="s">
        <v>19314</v>
      </c>
      <c r="E8356" s="1" t="s">
        <v>40019</v>
      </c>
      <c r="F8356" s="1" t="s">
        <v>686</v>
      </c>
      <c r="G8356" s="1" t="s">
        <v>40020</v>
      </c>
      <c r="H8356" s="1">
        <v>2018.0</v>
      </c>
      <c r="I8356" s="1" t="s">
        <v>32</v>
      </c>
      <c r="J8356" s="1" t="s">
        <v>238</v>
      </c>
      <c r="K8356" s="1" t="s">
        <v>380</v>
      </c>
      <c r="L8356" s="1" t="s">
        <v>40021</v>
      </c>
      <c r="M8356" s="2" t="s">
        <v>12</v>
      </c>
      <c r="N8356" s="4">
        <f t="shared" si="1"/>
        <v>43369</v>
      </c>
      <c r="O8356" s="5" t="str">
        <f>IFERROR(__xludf.DUMMYFUNCTION("IF(REGEXMATCH(TRIM(I8356), ""^\d+\s*min""), ""Unclassified"", IF(I8356 = """", ""NR"", I8356))"),"PG-13")</f>
        <v>PG-13</v>
      </c>
      <c r="R8356" s="5" t="str">
        <f t="shared" si="2"/>
        <v>The Hurricane Heist</v>
      </c>
      <c r="S8356" s="5" t="str">
        <f>IFERROR(__xludf.DUMMYFUNCTION("""COMPUTED_VALUE"""),"Varane Avashyamund")</f>
        <v>Varane Avashyamund</v>
      </c>
      <c r="V8356" s="5"/>
      <c r="Y8356" s="5" t="str">
        <f>IFERROR(__xludf.DUMMYFUNCTION("REGEXEXTRACT(J8356, ""^\d+"")"),"103")</f>
        <v>103</v>
      </c>
      <c r="Z8356" s="5" t="str">
        <f>IFERROR(__xludf.DUMMYFUNCTION("REGEXEXTRACT(J8356, ""[A-Za-z ]+$"")")," min")</f>
        <v> min</v>
      </c>
      <c r="AA8356" s="5" t="str">
        <f>IFERROR(__xludf.DUMMYFUNCTION("IF(REGEXMATCH(Z8356, ""Season""), ""TV Show"", ""Movie"")"),"Movie")</f>
        <v>Movie</v>
      </c>
    </row>
    <row r="8357">
      <c r="A8357" s="1" t="s">
        <v>40022</v>
      </c>
      <c r="B8357" s="1" t="s">
        <v>27</v>
      </c>
      <c r="C8357" s="1" t="s">
        <v>40023</v>
      </c>
      <c r="D8357" s="1" t="s">
        <v>19637</v>
      </c>
      <c r="E8357" s="1" t="s">
        <v>7395</v>
      </c>
      <c r="F8357" s="1" t="s">
        <v>30</v>
      </c>
      <c r="G8357" s="1" t="s">
        <v>28697</v>
      </c>
      <c r="H8357" s="1">
        <v>2016.0</v>
      </c>
      <c r="I8357" s="1" t="s">
        <v>32</v>
      </c>
      <c r="J8357" s="1" t="s">
        <v>264</v>
      </c>
      <c r="K8357" s="1" t="s">
        <v>645</v>
      </c>
      <c r="L8357" s="1" t="s">
        <v>40024</v>
      </c>
      <c r="M8357" s="2" t="s">
        <v>12</v>
      </c>
      <c r="N8357" s="4">
        <f t="shared" si="1"/>
        <v>42767</v>
      </c>
      <c r="O8357" s="5" t="str">
        <f>IFERROR(__xludf.DUMMYFUNCTION("IF(REGEXMATCH(TRIM(I8357), ""^\d+\s*min""), ""Unclassified"", IF(I8357 = """", ""NR"", I8357))"),"PG-13")</f>
        <v>PG-13</v>
      </c>
      <c r="R8357" s="5" t="str">
        <f t="shared" si="2"/>
        <v>The Hurt Business</v>
      </c>
      <c r="S8357" s="5" t="str">
        <f>IFERROR(__xludf.DUMMYFUNCTION("""COMPUTED_VALUE"""),"Vaya")</f>
        <v>Vaya</v>
      </c>
      <c r="V8357" s="5"/>
      <c r="Y8357" s="5" t="str">
        <f>IFERROR(__xludf.DUMMYFUNCTION("REGEXEXTRACT(J8357, ""^\d+"")"),"111")</f>
        <v>111</v>
      </c>
      <c r="Z8357" s="5" t="str">
        <f>IFERROR(__xludf.DUMMYFUNCTION("REGEXEXTRACT(J8357, ""[A-Za-z ]+$"")")," min")</f>
        <v> min</v>
      </c>
      <c r="AA8357" s="5" t="str">
        <f>IFERROR(__xludf.DUMMYFUNCTION("IF(REGEXMATCH(Z8357, ""Season""), ""TV Show"", ""Movie"")"),"Movie")</f>
        <v>Movie</v>
      </c>
    </row>
    <row r="8358">
      <c r="A8358" s="1" t="s">
        <v>40025</v>
      </c>
      <c r="B8358" s="1" t="s">
        <v>27</v>
      </c>
      <c r="C8358" s="1" t="s">
        <v>40026</v>
      </c>
      <c r="D8358" s="1" t="s">
        <v>22335</v>
      </c>
      <c r="E8358" s="1" t="s">
        <v>40027</v>
      </c>
      <c r="F8358" s="1" t="s">
        <v>40028</v>
      </c>
      <c r="G8358" s="1" t="s">
        <v>21733</v>
      </c>
      <c r="H8358" s="1">
        <v>2009.0</v>
      </c>
      <c r="I8358" s="1" t="s">
        <v>32</v>
      </c>
      <c r="J8358" s="1" t="s">
        <v>2566</v>
      </c>
      <c r="K8358" s="1" t="s">
        <v>942</v>
      </c>
      <c r="L8358" s="1" t="s">
        <v>40029</v>
      </c>
      <c r="M8358" s="2" t="s">
        <v>12</v>
      </c>
      <c r="N8358" s="4">
        <f t="shared" si="1"/>
        <v>43532</v>
      </c>
      <c r="O8358" s="5" t="str">
        <f>IFERROR(__xludf.DUMMYFUNCTION("IF(REGEXMATCH(TRIM(I8358), ""^\d+\s*min""), ""Unclassified"", IF(I8358 = """", ""NR"", I8358))"),"PG-13")</f>
        <v>PG-13</v>
      </c>
      <c r="R8358" s="5" t="str">
        <f t="shared" si="2"/>
        <v>The Imaginarium Of Doctor Parnassus</v>
      </c>
      <c r="S8358" s="5" t="str">
        <f>IFERROR(__xludf.DUMMYFUNCTION("""COMPUTED_VALUE"""),"Veerappan")</f>
        <v>Veerappan</v>
      </c>
      <c r="V8358" s="5"/>
      <c r="Y8358" s="5" t="str">
        <f>IFERROR(__xludf.DUMMYFUNCTION("REGEXEXTRACT(J8358, ""^\d+"")"),"123")</f>
        <v>123</v>
      </c>
      <c r="Z8358" s="5" t="str">
        <f>IFERROR(__xludf.DUMMYFUNCTION("REGEXEXTRACT(J8358, ""[A-Za-z ]+$"")")," min")</f>
        <v> min</v>
      </c>
      <c r="AA8358" s="5" t="str">
        <f>IFERROR(__xludf.DUMMYFUNCTION("IF(REGEXMATCH(Z8358, ""Season""), ""TV Show"", ""Movie"")"),"Movie")</f>
        <v>Movie</v>
      </c>
    </row>
    <row r="8359">
      <c r="A8359" s="1" t="s">
        <v>40030</v>
      </c>
      <c r="B8359" s="1" t="s">
        <v>37</v>
      </c>
      <c r="C8359" s="1" t="s">
        <v>40031</v>
      </c>
      <c r="E8359" s="1" t="s">
        <v>40032</v>
      </c>
      <c r="F8359" s="1" t="s">
        <v>96</v>
      </c>
      <c r="G8359" s="1" t="s">
        <v>32866</v>
      </c>
      <c r="H8359" s="1">
        <v>2010.0</v>
      </c>
      <c r="I8359" s="1" t="s">
        <v>42</v>
      </c>
      <c r="J8359" s="1" t="s">
        <v>276</v>
      </c>
      <c r="K8359" s="1" t="s">
        <v>22840</v>
      </c>
      <c r="L8359" s="1" t="s">
        <v>40033</v>
      </c>
      <c r="M8359" s="2" t="s">
        <v>12</v>
      </c>
      <c r="N8359" s="1" t="str">
        <f t="shared" si="1"/>
        <v>#N/A</v>
      </c>
      <c r="O8359" s="5" t="str">
        <f>IFERROR(__xludf.DUMMYFUNCTION("IF(REGEXMATCH(TRIM(I8359), ""^\d+\s*min""), ""Unclassified"", IF(I8359 = """", ""NR"", I8359))"),"TV-MA")</f>
        <v>TV-MA</v>
      </c>
      <c r="R8359" s="5" t="str">
        <f t="shared" si="2"/>
        <v>The Inbetweeners</v>
      </c>
      <c r="S8359" s="5" t="str">
        <f>IFERROR(__xludf.DUMMYFUNCTION("""COMPUTED_VALUE"""),"Veerey Ki Wedding")</f>
        <v>Veerey Ki Wedding</v>
      </c>
      <c r="V8359" s="5"/>
      <c r="Y8359" s="5" t="str">
        <f>IFERROR(__xludf.DUMMYFUNCTION("REGEXEXTRACT(J8359, ""^\d+"")"),"3")</f>
        <v>3</v>
      </c>
      <c r="Z8359" s="5" t="str">
        <f>IFERROR(__xludf.DUMMYFUNCTION("REGEXEXTRACT(J8359, ""[A-Za-z ]+$"")")," Seasons")</f>
        <v> Seasons</v>
      </c>
      <c r="AA8359" s="5" t="str">
        <f>IFERROR(__xludf.DUMMYFUNCTION("IF(REGEXMATCH(Z8359, ""Season""), ""TV Show"", ""Movie"")"),"TV Show")</f>
        <v>TV Show</v>
      </c>
    </row>
    <row r="8360">
      <c r="A8360" s="1" t="s">
        <v>40034</v>
      </c>
      <c r="B8360" s="1" t="s">
        <v>27</v>
      </c>
      <c r="C8360" s="1" t="s">
        <v>40035</v>
      </c>
      <c r="D8360" s="1" t="s">
        <v>9659</v>
      </c>
      <c r="E8360" s="1" t="s">
        <v>40036</v>
      </c>
      <c r="F8360" s="1" t="s">
        <v>162</v>
      </c>
      <c r="G8360" s="1" t="s">
        <v>40037</v>
      </c>
      <c r="H8360" s="1">
        <v>2014.0</v>
      </c>
      <c r="I8360" s="1" t="s">
        <v>42</v>
      </c>
      <c r="J8360" s="1" t="s">
        <v>433</v>
      </c>
      <c r="K8360" s="1" t="s">
        <v>14389</v>
      </c>
      <c r="L8360" s="1" t="s">
        <v>40038</v>
      </c>
      <c r="M8360" s="2" t="s">
        <v>12</v>
      </c>
      <c r="N8360" s="4">
        <f t="shared" si="1"/>
        <v>42905</v>
      </c>
      <c r="O8360" s="5" t="str">
        <f>IFERROR(__xludf.DUMMYFUNCTION("IF(REGEXMATCH(TRIM(I8360), ""^\d+\s*min""), ""Unclassified"", IF(I8360 = """", ""NR"", I8360))"),"TV-MA")</f>
        <v>TV-MA</v>
      </c>
      <c r="R8360" s="5" t="str">
        <f t="shared" si="2"/>
        <v>The Incident</v>
      </c>
      <c r="S8360" s="5" t="str">
        <f>IFERROR(__xludf.DUMMYFUNCTION("""COMPUTED_VALUE"""),"Vegas Baby")</f>
        <v>Vegas Baby</v>
      </c>
      <c r="V8360" s="5"/>
      <c r="Y8360" s="5" t="str">
        <f>IFERROR(__xludf.DUMMYFUNCTION("REGEXEXTRACT(J8360, ""^\d+"")"),"100")</f>
        <v>100</v>
      </c>
      <c r="Z8360" s="5" t="str">
        <f>IFERROR(__xludf.DUMMYFUNCTION("REGEXEXTRACT(J8360, ""[A-Za-z ]+$"")")," min")</f>
        <v> min</v>
      </c>
      <c r="AA8360" s="5" t="str">
        <f>IFERROR(__xludf.DUMMYFUNCTION("IF(REGEXMATCH(Z8360, ""Season""), ""TV Show"", ""Movie"")"),"Movie")</f>
        <v>Movie</v>
      </c>
    </row>
    <row r="8361">
      <c r="A8361" s="1" t="s">
        <v>40039</v>
      </c>
      <c r="B8361" s="1" t="s">
        <v>27</v>
      </c>
      <c r="C8361" s="1" t="s">
        <v>40040</v>
      </c>
      <c r="D8361" s="1" t="s">
        <v>18182</v>
      </c>
      <c r="E8361" s="1" t="s">
        <v>40041</v>
      </c>
      <c r="F8361" s="1" t="s">
        <v>4478</v>
      </c>
      <c r="G8361" s="1" t="s">
        <v>21838</v>
      </c>
      <c r="H8361" s="1">
        <v>2018.0</v>
      </c>
      <c r="I8361" s="1" t="s">
        <v>506</v>
      </c>
      <c r="J8361" s="1" t="s">
        <v>6281</v>
      </c>
      <c r="K8361" s="1" t="s">
        <v>80</v>
      </c>
      <c r="L8361" s="1" t="s">
        <v>40042</v>
      </c>
      <c r="M8361" s="2" t="s">
        <v>12</v>
      </c>
      <c r="N8361" s="4">
        <f t="shared" si="1"/>
        <v>43525</v>
      </c>
      <c r="O8361" s="5" t="str">
        <f>IFERROR(__xludf.DUMMYFUNCTION("IF(REGEXMATCH(TRIM(I8361), ""^\d+\s*min""), ""Unclassified"", IF(I8361 = """", ""NR"", I8361))"),"TV-G")</f>
        <v>TV-G</v>
      </c>
      <c r="R8361" s="5" t="str">
        <f t="shared" si="2"/>
        <v>The Incredible Story Of The Giant Pear</v>
      </c>
      <c r="S8361" s="5" t="str">
        <f>IFERROR(__xludf.DUMMYFUNCTION("""COMPUTED_VALUE"""),"Veggietales In The City")</f>
        <v>Veggietales In The City</v>
      </c>
      <c r="V8361" s="5"/>
      <c r="Y8361" s="5" t="str">
        <f>IFERROR(__xludf.DUMMYFUNCTION("REGEXEXTRACT(J8361, ""^\d+"")"),"75")</f>
        <v>75</v>
      </c>
      <c r="Z8361" s="5" t="str">
        <f>IFERROR(__xludf.DUMMYFUNCTION("REGEXEXTRACT(J8361, ""[A-Za-z ]+$"")")," min")</f>
        <v> min</v>
      </c>
      <c r="AA8361" s="5" t="str">
        <f>IFERROR(__xludf.DUMMYFUNCTION("IF(REGEXMATCH(Z8361, ""Season""), ""TV Show"", ""Movie"")"),"Movie")</f>
        <v>Movie</v>
      </c>
    </row>
    <row r="8362">
      <c r="A8362" s="1" t="s">
        <v>40043</v>
      </c>
      <c r="B8362" s="1" t="s">
        <v>27</v>
      </c>
      <c r="C8362" s="1" t="s">
        <v>40044</v>
      </c>
      <c r="D8362" s="1" t="s">
        <v>3599</v>
      </c>
      <c r="E8362" s="1" t="s">
        <v>40045</v>
      </c>
      <c r="F8362" s="1" t="s">
        <v>30</v>
      </c>
      <c r="G8362" s="1" t="s">
        <v>22309</v>
      </c>
      <c r="H8362" s="1">
        <v>2018.0</v>
      </c>
      <c r="I8362" s="1" t="s">
        <v>78</v>
      </c>
      <c r="J8362" s="1" t="s">
        <v>870</v>
      </c>
      <c r="K8362" s="1" t="s">
        <v>137</v>
      </c>
      <c r="L8362" s="1" t="s">
        <v>34793</v>
      </c>
      <c r="M8362" s="2" t="s">
        <v>12</v>
      </c>
      <c r="N8362" s="4">
        <f t="shared" si="1"/>
        <v>43495</v>
      </c>
      <c r="O8362" s="5" t="str">
        <f>IFERROR(__xludf.DUMMYFUNCTION("IF(REGEXMATCH(TRIM(I8362), ""^\d+\s*min""), ""Unclassified"", IF(I8362 = """", ""NR"", I8362))"),"PG")</f>
        <v>PG</v>
      </c>
      <c r="R8362" s="5" t="str">
        <f t="shared" si="2"/>
        <v>The Incredibles 2</v>
      </c>
      <c r="S8362" s="5" t="str">
        <f>IFERROR(__xludf.DUMMYFUNCTION("""COMPUTED_VALUE"""),"Veggietales In The House")</f>
        <v>Veggietales In The House</v>
      </c>
      <c r="V8362" s="5"/>
      <c r="Y8362" s="5" t="str">
        <f>IFERROR(__xludf.DUMMYFUNCTION("REGEXEXTRACT(J8362, ""^\d+"")"),"118")</f>
        <v>118</v>
      </c>
      <c r="Z8362" s="5" t="str">
        <f>IFERROR(__xludf.DUMMYFUNCTION("REGEXEXTRACT(J8362, ""[A-Za-z ]+$"")")," min")</f>
        <v> min</v>
      </c>
      <c r="AA8362" s="5" t="str">
        <f>IFERROR(__xludf.DUMMYFUNCTION("IF(REGEXMATCH(Z8362, ""Season""), ""TV Show"", ""Movie"")"),"Movie")</f>
        <v>Movie</v>
      </c>
    </row>
    <row r="8363">
      <c r="A8363" s="1" t="s">
        <v>40046</v>
      </c>
      <c r="B8363" s="1" t="s">
        <v>27</v>
      </c>
      <c r="C8363" s="1" t="s">
        <v>40047</v>
      </c>
      <c r="D8363" s="1" t="s">
        <v>7882</v>
      </c>
      <c r="E8363" s="1" t="s">
        <v>40048</v>
      </c>
      <c r="F8363" s="1" t="s">
        <v>30</v>
      </c>
      <c r="G8363" s="1" t="s">
        <v>10136</v>
      </c>
      <c r="H8363" s="1">
        <v>1995.0</v>
      </c>
      <c r="I8363" s="1" t="s">
        <v>78</v>
      </c>
      <c r="J8363" s="1" t="s">
        <v>322</v>
      </c>
      <c r="K8363" s="1" t="s">
        <v>771</v>
      </c>
      <c r="L8363" s="1" t="s">
        <v>40049</v>
      </c>
      <c r="M8363" s="2" t="s">
        <v>12</v>
      </c>
      <c r="N8363" s="4">
        <f t="shared" si="1"/>
        <v>44136</v>
      </c>
      <c r="O8363" s="5" t="str">
        <f>IFERROR(__xludf.DUMMYFUNCTION("IF(REGEXMATCH(TRIM(I8363), ""^\d+\s*min""), ""Unclassified"", IF(I8363 = """", ""NR"", I8363))"),"PG")</f>
        <v>PG</v>
      </c>
      <c r="R8363" s="5" t="str">
        <f t="shared" si="2"/>
        <v>The Indian In The Cupboard</v>
      </c>
      <c r="S8363" s="5" t="str">
        <f>IFERROR(__xludf.DUMMYFUNCTION("""COMPUTED_VALUE"""),"Velvet")</f>
        <v>Velvet</v>
      </c>
      <c r="V8363" s="5"/>
      <c r="Y8363" s="5" t="str">
        <f>IFERROR(__xludf.DUMMYFUNCTION("REGEXEXTRACT(J8363, ""^\d+"")"),"96")</f>
        <v>96</v>
      </c>
      <c r="Z8363" s="5" t="str">
        <f>IFERROR(__xludf.DUMMYFUNCTION("REGEXEXTRACT(J8363, ""[A-Za-z ]+$"")")," min")</f>
        <v> min</v>
      </c>
      <c r="AA8363" s="5" t="str">
        <f>IFERROR(__xludf.DUMMYFUNCTION("IF(REGEXMATCH(Z8363, ""Season""), ""TV Show"", ""Movie"")"),"Movie")</f>
        <v>Movie</v>
      </c>
    </row>
    <row r="8364">
      <c r="A8364" s="1" t="s">
        <v>40050</v>
      </c>
      <c r="B8364" s="1" t="s">
        <v>27</v>
      </c>
      <c r="C8364" s="1" t="s">
        <v>40051</v>
      </c>
      <c r="D8364" s="1" t="s">
        <v>18728</v>
      </c>
      <c r="E8364" s="1" t="s">
        <v>40052</v>
      </c>
      <c r="F8364" s="1" t="s">
        <v>30</v>
      </c>
      <c r="G8364" s="1" t="s">
        <v>24964</v>
      </c>
      <c r="H8364" s="1">
        <v>2009.0</v>
      </c>
      <c r="I8364" s="1" t="s">
        <v>378</v>
      </c>
      <c r="J8364" s="1" t="s">
        <v>912</v>
      </c>
      <c r="K8364" s="1" t="s">
        <v>107</v>
      </c>
      <c r="L8364" s="1" t="s">
        <v>40053</v>
      </c>
      <c r="M8364" s="2" t="s">
        <v>12</v>
      </c>
      <c r="N8364" s="4">
        <f t="shared" si="1"/>
        <v>43313</v>
      </c>
      <c r="O8364" s="5" t="str">
        <f>IFERROR(__xludf.DUMMYFUNCTION("IF(REGEXMATCH(TRIM(I8364), ""^\d+\s*min""), ""Unclassified"", IF(I8364 = """", ""NR"", I8364))"),"R")</f>
        <v>R</v>
      </c>
      <c r="R8364" s="5" t="str">
        <f t="shared" si="2"/>
        <v>The Informant!</v>
      </c>
      <c r="S8364" s="5" t="str">
        <f>IFERROR(__xludf.DUMMYFUNCTION("""COMPUTED_VALUE"""),"Velvet Buzzsaw")</f>
        <v>Velvet Buzzsaw</v>
      </c>
      <c r="V8364" s="5"/>
      <c r="Y8364" s="5" t="str">
        <f>IFERROR(__xludf.DUMMYFUNCTION("REGEXEXTRACT(J8364, ""^\d+"")"),"108")</f>
        <v>108</v>
      </c>
      <c r="Z8364" s="5" t="str">
        <f>IFERROR(__xludf.DUMMYFUNCTION("REGEXEXTRACT(J8364, ""[A-Za-z ]+$"")")," min")</f>
        <v> min</v>
      </c>
      <c r="AA8364" s="5" t="str">
        <f>IFERROR(__xludf.DUMMYFUNCTION("IF(REGEXMATCH(Z8364, ""Season""), ""TV Show"", ""Movie"")"),"Movie")</f>
        <v>Movie</v>
      </c>
    </row>
    <row r="8365">
      <c r="A8365" s="1" t="s">
        <v>40054</v>
      </c>
      <c r="B8365" s="1" t="s">
        <v>27</v>
      </c>
      <c r="C8365" s="1" t="s">
        <v>40055</v>
      </c>
      <c r="D8365" s="1" t="s">
        <v>7591</v>
      </c>
      <c r="E8365" s="1" t="s">
        <v>40056</v>
      </c>
      <c r="F8365" s="1" t="s">
        <v>96</v>
      </c>
      <c r="G8365" s="7">
        <v>42870.0</v>
      </c>
      <c r="H8365" s="1">
        <v>2016.0</v>
      </c>
      <c r="I8365" s="1" t="s">
        <v>42</v>
      </c>
      <c r="J8365" s="1" t="s">
        <v>416</v>
      </c>
      <c r="K8365" s="1" t="s">
        <v>298</v>
      </c>
      <c r="L8365" s="1" t="s">
        <v>40057</v>
      </c>
      <c r="M8365" s="2" t="s">
        <v>12</v>
      </c>
      <c r="N8365" s="4">
        <f t="shared" si="1"/>
        <v>42870</v>
      </c>
      <c r="O8365" s="5" t="str">
        <f>IFERROR(__xludf.DUMMYFUNCTION("IF(REGEXMATCH(TRIM(I8365), ""^\d+\s*min""), ""Unclassified"", IF(I8365 = """", ""NR"", I8365))"),"TV-MA")</f>
        <v>TV-MA</v>
      </c>
      <c r="R8365" s="5" t="str">
        <f t="shared" si="2"/>
        <v>The Intent</v>
      </c>
      <c r="S8365" s="5" t="str">
        <f>IFERROR(__xludf.DUMMYFUNCTION("""COMPUTED_VALUE"""),"Velvet Colección")</f>
        <v>Velvet Colección</v>
      </c>
      <c r="V8365" s="5"/>
      <c r="Y8365" s="5" t="str">
        <f>IFERROR(__xludf.DUMMYFUNCTION("REGEXEXTRACT(J8365, ""^\d+"")"),"99")</f>
        <v>99</v>
      </c>
      <c r="Z8365" s="5" t="str">
        <f>IFERROR(__xludf.DUMMYFUNCTION("REGEXEXTRACT(J8365, ""[A-Za-z ]+$"")")," min")</f>
        <v> min</v>
      </c>
      <c r="AA8365" s="5" t="str">
        <f>IFERROR(__xludf.DUMMYFUNCTION("IF(REGEXMATCH(Z8365, ""Season""), ""TV Show"", ""Movie"")"),"Movie")</f>
        <v>Movie</v>
      </c>
    </row>
    <row r="8366">
      <c r="A8366" s="1" t="s">
        <v>40058</v>
      </c>
      <c r="B8366" s="1" t="s">
        <v>27</v>
      </c>
      <c r="C8366" s="1" t="s">
        <v>40059</v>
      </c>
      <c r="D8366" s="1" t="s">
        <v>7598</v>
      </c>
      <c r="E8366" s="1" t="s">
        <v>40060</v>
      </c>
      <c r="F8366" s="1" t="s">
        <v>96</v>
      </c>
      <c r="G8366" s="1" t="s">
        <v>22028</v>
      </c>
      <c r="H8366" s="1">
        <v>2018.0</v>
      </c>
      <c r="I8366" s="1" t="s">
        <v>42</v>
      </c>
      <c r="J8366" s="1" t="s">
        <v>238</v>
      </c>
      <c r="K8366" s="1" t="s">
        <v>128</v>
      </c>
      <c r="L8366" s="1" t="s">
        <v>40061</v>
      </c>
      <c r="M8366" s="2" t="s">
        <v>12</v>
      </c>
      <c r="N8366" s="4">
        <f t="shared" si="1"/>
        <v>43517</v>
      </c>
      <c r="O8366" s="5" t="str">
        <f>IFERROR(__xludf.DUMMYFUNCTION("IF(REGEXMATCH(TRIM(I8366), ""^\d+\s*min""), ""Unclassified"", IF(I8366 = """", ""NR"", I8366))"),"TV-MA")</f>
        <v>TV-MA</v>
      </c>
      <c r="R8366" s="5" t="str">
        <f t="shared" si="2"/>
        <v>The Intent 2: The Come Up</v>
      </c>
      <c r="S8366" s="5" t="str">
        <f>IFERROR(__xludf.DUMMYFUNCTION("""COMPUTED_VALUE"""),"Velvet Colección: Grand Finale")</f>
        <v>Velvet Colección: Grand Finale</v>
      </c>
      <c r="V8366" s="5"/>
      <c r="Y8366" s="5" t="str">
        <f>IFERROR(__xludf.DUMMYFUNCTION("REGEXEXTRACT(J8366, ""^\d+"")"),"103")</f>
        <v>103</v>
      </c>
      <c r="Z8366" s="5" t="str">
        <f>IFERROR(__xludf.DUMMYFUNCTION("REGEXEXTRACT(J8366, ""[A-Za-z ]+$"")")," min")</f>
        <v> min</v>
      </c>
      <c r="AA8366" s="5" t="str">
        <f>IFERROR(__xludf.DUMMYFUNCTION("IF(REGEXMATCH(Z8366, ""Season""), ""TV Show"", ""Movie"")"),"Movie")</f>
        <v>Movie</v>
      </c>
    </row>
    <row r="8367">
      <c r="A8367" s="1" t="s">
        <v>40062</v>
      </c>
      <c r="B8367" s="1" t="s">
        <v>27</v>
      </c>
      <c r="C8367" s="1" t="s">
        <v>40063</v>
      </c>
      <c r="D8367" s="1" t="s">
        <v>19244</v>
      </c>
      <c r="E8367" s="1" t="s">
        <v>40064</v>
      </c>
      <c r="F8367" s="1" t="s">
        <v>30</v>
      </c>
      <c r="G8367" s="1" t="s">
        <v>16947</v>
      </c>
      <c r="H8367" s="1">
        <v>2009.0</v>
      </c>
      <c r="I8367" s="1" t="s">
        <v>32</v>
      </c>
      <c r="J8367" s="1" t="s">
        <v>416</v>
      </c>
      <c r="K8367" s="1" t="s">
        <v>813</v>
      </c>
      <c r="L8367" s="1" t="s">
        <v>40065</v>
      </c>
      <c r="M8367" s="2" t="s">
        <v>12</v>
      </c>
      <c r="N8367" s="4">
        <f t="shared" si="1"/>
        <v>43831</v>
      </c>
      <c r="O8367" s="5" t="str">
        <f>IFERROR(__xludf.DUMMYFUNCTION("IF(REGEXMATCH(TRIM(I8367), ""^\d+\s*min""), ""Unclassified"", IF(I8367 = """", ""NR"", I8367))"),"PG-13")</f>
        <v>PG-13</v>
      </c>
      <c r="R8367" s="5" t="str">
        <f t="shared" si="2"/>
        <v>The Invention Of Lying</v>
      </c>
      <c r="S8367" s="5" t="str">
        <f>IFERROR(__xludf.DUMMYFUNCTION("""COMPUTED_VALUE"""),"Vendetta: Truth, Lies And The Mafia")</f>
        <v>Vendetta: Truth, Lies And The Mafia</v>
      </c>
      <c r="V8367" s="5"/>
      <c r="Y8367" s="5" t="str">
        <f>IFERROR(__xludf.DUMMYFUNCTION("REGEXEXTRACT(J8367, ""^\d+"")"),"99")</f>
        <v>99</v>
      </c>
      <c r="Z8367" s="5" t="str">
        <f>IFERROR(__xludf.DUMMYFUNCTION("REGEXEXTRACT(J8367, ""[A-Za-z ]+$"")")," min")</f>
        <v> min</v>
      </c>
      <c r="AA8367" s="5" t="str">
        <f>IFERROR(__xludf.DUMMYFUNCTION("IF(REGEXMATCH(Z8367, ""Season""), ""TV Show"", ""Movie"")"),"Movie")</f>
        <v>Movie</v>
      </c>
    </row>
    <row r="8368">
      <c r="A8368" s="1" t="s">
        <v>40066</v>
      </c>
      <c r="B8368" s="1" t="s">
        <v>37</v>
      </c>
      <c r="C8368" s="1" t="s">
        <v>40067</v>
      </c>
      <c r="E8368" s="1" t="s">
        <v>40068</v>
      </c>
      <c r="F8368" s="1" t="s">
        <v>96</v>
      </c>
      <c r="G8368" s="1" t="s">
        <v>15863</v>
      </c>
      <c r="H8368" s="1">
        <v>2018.0</v>
      </c>
      <c r="I8368" s="1" t="s">
        <v>42</v>
      </c>
      <c r="J8368" s="1" t="s">
        <v>43</v>
      </c>
      <c r="K8368" s="1" t="s">
        <v>142</v>
      </c>
      <c r="L8368" s="1" t="s">
        <v>40069</v>
      </c>
      <c r="M8368" s="2" t="s">
        <v>12</v>
      </c>
      <c r="N8368" s="4">
        <f t="shared" si="1"/>
        <v>43895</v>
      </c>
      <c r="O8368" s="5" t="str">
        <f>IFERROR(__xludf.DUMMYFUNCTION("IF(REGEXMATCH(TRIM(I8368), ""^\d+\s*min""), ""Unclassified"", IF(I8368 = """", ""NR"", I8368))"),"TV-MA")</f>
        <v>TV-MA</v>
      </c>
      <c r="R8368" s="5" t="str">
        <f t="shared" si="2"/>
        <v>The Investigator: A British Crime Story</v>
      </c>
      <c r="S8368" s="5" t="str">
        <f>IFERROR(__xludf.DUMMYFUNCTION("""COMPUTED_VALUE"""),"Veronica")</f>
        <v>Veronica</v>
      </c>
      <c r="V8368" s="5"/>
      <c r="Y8368" s="5" t="str">
        <f>IFERROR(__xludf.DUMMYFUNCTION("REGEXEXTRACT(J8368, ""^\d+"")"),"2")</f>
        <v>2</v>
      </c>
      <c r="Z8368" s="5" t="str">
        <f>IFERROR(__xludf.DUMMYFUNCTION("REGEXEXTRACT(J8368, ""[A-Za-z ]+$"")")," Seasons")</f>
        <v> Seasons</v>
      </c>
      <c r="AA8368" s="5" t="str">
        <f>IFERROR(__xludf.DUMMYFUNCTION("IF(REGEXMATCH(Z8368, ""Season""), ""TV Show"", ""Movie"")"),"TV Show")</f>
        <v>TV Show</v>
      </c>
    </row>
    <row r="8369">
      <c r="A8369" s="1" t="s">
        <v>40070</v>
      </c>
      <c r="B8369" s="1" t="s">
        <v>27</v>
      </c>
      <c r="C8369" s="1" t="s">
        <v>40071</v>
      </c>
      <c r="D8369" s="1" t="s">
        <v>12457</v>
      </c>
      <c r="E8369" s="1" t="s">
        <v>40072</v>
      </c>
      <c r="F8369" s="1" t="s">
        <v>30</v>
      </c>
      <c r="G8369" s="1" t="s">
        <v>40073</v>
      </c>
      <c r="H8369" s="1">
        <v>2015.0</v>
      </c>
      <c r="I8369" s="1" t="s">
        <v>42</v>
      </c>
      <c r="J8369" s="1" t="s">
        <v>433</v>
      </c>
      <c r="K8369" s="1" t="s">
        <v>18588</v>
      </c>
      <c r="L8369" s="1" t="s">
        <v>40074</v>
      </c>
      <c r="M8369" s="2" t="s">
        <v>12</v>
      </c>
      <c r="N8369" s="4">
        <f t="shared" si="1"/>
        <v>42559</v>
      </c>
      <c r="O8369" s="5" t="str">
        <f>IFERROR(__xludf.DUMMYFUNCTION("IF(REGEXMATCH(TRIM(I8369), ""^\d+\s*min""), ""Unclassified"", IF(I8369 = """", ""NR"", I8369))"),"TV-MA")</f>
        <v>TV-MA</v>
      </c>
      <c r="R8369" s="5" t="str">
        <f t="shared" si="2"/>
        <v>The Invitation</v>
      </c>
      <c r="S8369" s="5" t="str">
        <f>IFERROR(__xludf.DUMMYFUNCTION("""COMPUTED_VALUE"""),"Verónica")</f>
        <v>Verónica</v>
      </c>
      <c r="V8369" s="5"/>
      <c r="Y8369" s="5" t="str">
        <f>IFERROR(__xludf.DUMMYFUNCTION("REGEXEXTRACT(J8369, ""^\d+"")"),"100")</f>
        <v>100</v>
      </c>
      <c r="Z8369" s="5" t="str">
        <f>IFERROR(__xludf.DUMMYFUNCTION("REGEXEXTRACT(J8369, ""[A-Za-z ]+$"")")," min")</f>
        <v> min</v>
      </c>
      <c r="AA8369" s="5" t="str">
        <f>IFERROR(__xludf.DUMMYFUNCTION("IF(REGEXMATCH(Z8369, ""Season""), ""TV Show"", ""Movie"")"),"Movie")</f>
        <v>Movie</v>
      </c>
    </row>
    <row r="8370">
      <c r="A8370" s="1" t="s">
        <v>40075</v>
      </c>
      <c r="B8370" s="1" t="s">
        <v>37</v>
      </c>
      <c r="C8370" s="1" t="s">
        <v>40076</v>
      </c>
      <c r="E8370" s="1" t="s">
        <v>40077</v>
      </c>
      <c r="G8370" s="1" t="s">
        <v>29051</v>
      </c>
      <c r="H8370" s="1">
        <v>2008.0</v>
      </c>
      <c r="I8370" s="1" t="s">
        <v>42</v>
      </c>
      <c r="J8370" s="1" t="s">
        <v>51</v>
      </c>
      <c r="K8370" s="1" t="s">
        <v>2043</v>
      </c>
      <c r="L8370" s="1" t="s">
        <v>40078</v>
      </c>
      <c r="M8370" s="2" t="s">
        <v>12</v>
      </c>
      <c r="N8370" s="4">
        <f t="shared" si="1"/>
        <v>42705</v>
      </c>
      <c r="O8370" s="5" t="str">
        <f>IFERROR(__xludf.DUMMYFUNCTION("IF(REGEXMATCH(TRIM(I8370), ""^\d+\s*min""), ""Unclassified"", IF(I8370 = """", ""NR"", I8370))"),"TV-MA")</f>
        <v>TV-MA</v>
      </c>
      <c r="R8370" s="5" t="str">
        <f t="shared" si="2"/>
        <v>The Irish Mob</v>
      </c>
      <c r="S8370" s="5" t="str">
        <f>IFERROR(__xludf.DUMMYFUNCTION("""COMPUTED_VALUE"""),"Versailles")</f>
        <v>Versailles</v>
      </c>
      <c r="V8370" s="5"/>
      <c r="Y8370" s="5" t="str">
        <f>IFERROR(__xludf.DUMMYFUNCTION("REGEXEXTRACT(J8370, ""^\d+"")"),"1")</f>
        <v>1</v>
      </c>
      <c r="Z8370" s="5" t="str">
        <f>IFERROR(__xludf.DUMMYFUNCTION("REGEXEXTRACT(J8370, ""[A-Za-z ]+$"")")," Season")</f>
        <v> Season</v>
      </c>
      <c r="AA8370" s="5" t="str">
        <f>IFERROR(__xludf.DUMMYFUNCTION("IF(REGEXMATCH(Z8370, ""Season""), ""TV Show"", ""Movie"")"),"TV Show")</f>
        <v>TV Show</v>
      </c>
    </row>
    <row r="8371">
      <c r="A8371" s="1" t="s">
        <v>40079</v>
      </c>
      <c r="B8371" s="1" t="s">
        <v>27</v>
      </c>
      <c r="C8371" s="1" t="s">
        <v>40080</v>
      </c>
      <c r="D8371" s="1" t="s">
        <v>18239</v>
      </c>
      <c r="E8371" s="1" t="s">
        <v>40081</v>
      </c>
      <c r="F8371" s="1" t="s">
        <v>18004</v>
      </c>
      <c r="G8371" s="1" t="s">
        <v>40082</v>
      </c>
      <c r="H8371" s="1">
        <v>2011.0</v>
      </c>
      <c r="I8371" s="1" t="s">
        <v>32</v>
      </c>
      <c r="J8371" s="1" t="s">
        <v>305</v>
      </c>
      <c r="K8371" s="1" t="s">
        <v>128</v>
      </c>
      <c r="L8371" s="1" t="s">
        <v>40083</v>
      </c>
      <c r="M8371" s="2" t="s">
        <v>12</v>
      </c>
      <c r="N8371" s="4">
        <f t="shared" si="1"/>
        <v>43653</v>
      </c>
      <c r="O8371" s="5" t="str">
        <f>IFERROR(__xludf.DUMMYFUNCTION("IF(REGEXMATCH(TRIM(I8371), ""^\d+\s*min""), ""Unclassified"", IF(I8371 = """", ""NR"", I8371))"),"PG-13")</f>
        <v>PG-13</v>
      </c>
      <c r="R8371" s="5" t="str">
        <f t="shared" si="2"/>
        <v>The Iron Lady</v>
      </c>
      <c r="S8371" s="5" t="str">
        <f>IFERROR(__xludf.DUMMYFUNCTION("""COMPUTED_VALUE"""),"Verses Of Love")</f>
        <v>Verses Of Love</v>
      </c>
      <c r="V8371" s="5"/>
      <c r="Y8371" s="5" t="str">
        <f>IFERROR(__xludf.DUMMYFUNCTION("REGEXEXTRACT(J8371, ""^\d+"")"),"105")</f>
        <v>105</v>
      </c>
      <c r="Z8371" s="5" t="str">
        <f>IFERROR(__xludf.DUMMYFUNCTION("REGEXEXTRACT(J8371, ""[A-Za-z ]+$"")")," min")</f>
        <v> min</v>
      </c>
      <c r="AA8371" s="5" t="str">
        <f>IFERROR(__xludf.DUMMYFUNCTION("IF(REGEXMATCH(Z8371, ""Season""), ""TV Show"", ""Movie"")"),"Movie")</f>
        <v>Movie</v>
      </c>
    </row>
    <row r="8372">
      <c r="A8372" s="1" t="s">
        <v>40084</v>
      </c>
      <c r="B8372" s="1" t="s">
        <v>27</v>
      </c>
      <c r="C8372" s="1" t="s">
        <v>40085</v>
      </c>
      <c r="D8372" s="1" t="s">
        <v>3225</v>
      </c>
      <c r="F8372" s="1" t="s">
        <v>664</v>
      </c>
      <c r="G8372" s="1" t="s">
        <v>26477</v>
      </c>
      <c r="H8372" s="1">
        <v>2015.0</v>
      </c>
      <c r="I8372" s="1" t="s">
        <v>97</v>
      </c>
      <c r="J8372" s="1" t="s">
        <v>8095</v>
      </c>
      <c r="K8372" s="1" t="s">
        <v>156</v>
      </c>
      <c r="L8372" s="1" t="s">
        <v>40086</v>
      </c>
      <c r="M8372" s="2" t="s">
        <v>12</v>
      </c>
      <c r="N8372" s="4">
        <f t="shared" si="1"/>
        <v>43102</v>
      </c>
      <c r="O8372" s="5" t="str">
        <f>IFERROR(__xludf.DUMMYFUNCTION("IF(REGEXMATCH(TRIM(I8372), ""^\d+\s*min""), ""Unclassified"", IF(I8372 = """", ""NR"", I8372))"),"TV-14")</f>
        <v>TV-14</v>
      </c>
      <c r="R8372" s="5" t="str">
        <f t="shared" si="2"/>
        <v>The Jack King Affair</v>
      </c>
      <c r="S8372" s="5" t="str">
        <f>IFERROR(__xludf.DUMMYFUNCTION("""COMPUTED_VALUE"""),"Verses Of Love 2")</f>
        <v>Verses Of Love 2</v>
      </c>
      <c r="V8372" s="5"/>
      <c r="Y8372" s="5" t="str">
        <f>IFERROR(__xludf.DUMMYFUNCTION("REGEXEXTRACT(J8372, ""^\d+"")"),"52")</f>
        <v>52</v>
      </c>
      <c r="Z8372" s="5" t="str">
        <f>IFERROR(__xludf.DUMMYFUNCTION("REGEXEXTRACT(J8372, ""[A-Za-z ]+$"")")," min")</f>
        <v> min</v>
      </c>
      <c r="AA8372" s="5" t="str">
        <f>IFERROR(__xludf.DUMMYFUNCTION("IF(REGEXMATCH(Z8372, ""Season""), ""TV Show"", ""Movie"")"),"Movie")</f>
        <v>Movie</v>
      </c>
    </row>
    <row r="8373">
      <c r="A8373" s="1" t="s">
        <v>40087</v>
      </c>
      <c r="B8373" s="1" t="s">
        <v>37</v>
      </c>
      <c r="C8373" s="1" t="s">
        <v>40088</v>
      </c>
      <c r="E8373" s="1" t="s">
        <v>40089</v>
      </c>
      <c r="F8373" s="1" t="s">
        <v>30</v>
      </c>
      <c r="G8373" s="1" t="s">
        <v>26674</v>
      </c>
      <c r="H8373" s="1">
        <v>2010.0</v>
      </c>
      <c r="I8373" s="1" t="s">
        <v>136</v>
      </c>
      <c r="J8373" s="1" t="s">
        <v>51</v>
      </c>
      <c r="K8373" s="1" t="s">
        <v>791</v>
      </c>
      <c r="L8373" s="1" t="s">
        <v>40090</v>
      </c>
      <c r="M8373" s="2" t="s">
        <v>12</v>
      </c>
      <c r="N8373" s="4">
        <f t="shared" si="1"/>
        <v>43070</v>
      </c>
      <c r="O8373" s="5" t="str">
        <f>IFERROR(__xludf.DUMMYFUNCTION("IF(REGEXMATCH(TRIM(I8373), ""^\d+\s*min""), ""Unclassified"", IF(I8373 = """", ""NR"", I8373))"),"TV-PG")</f>
        <v>TV-PG</v>
      </c>
      <c r="R8373" s="5" t="str">
        <f t="shared" si="2"/>
        <v>The Jaime Maussan Show</v>
      </c>
      <c r="S8373" s="5" t="str">
        <f>IFERROR(__xludf.DUMMYFUNCTION("""COMPUTED_VALUE"""),"Very Big Shot")</f>
        <v>Very Big Shot</v>
      </c>
      <c r="V8373" s="5"/>
      <c r="Y8373" s="5" t="str">
        <f>IFERROR(__xludf.DUMMYFUNCTION("REGEXEXTRACT(J8373, ""^\d+"")"),"1")</f>
        <v>1</v>
      </c>
      <c r="Z8373" s="5" t="str">
        <f>IFERROR(__xludf.DUMMYFUNCTION("REGEXEXTRACT(J8373, ""[A-Za-z ]+$"")")," Season")</f>
        <v> Season</v>
      </c>
      <c r="AA8373" s="5" t="str">
        <f>IFERROR(__xludf.DUMMYFUNCTION("IF(REGEXMATCH(Z8373, ""Season""), ""TV Show"", ""Movie"")"),"TV Show")</f>
        <v>TV Show</v>
      </c>
    </row>
    <row r="8374">
      <c r="A8374" s="1" t="s">
        <v>40091</v>
      </c>
      <c r="B8374" s="1" t="s">
        <v>27</v>
      </c>
      <c r="C8374" s="1" t="s">
        <v>40092</v>
      </c>
      <c r="D8374" s="1" t="s">
        <v>19576</v>
      </c>
      <c r="E8374" s="1" t="s">
        <v>40093</v>
      </c>
      <c r="F8374" s="1" t="s">
        <v>30</v>
      </c>
      <c r="G8374" s="1" t="s">
        <v>21733</v>
      </c>
      <c r="H8374" s="1">
        <v>2007.0</v>
      </c>
      <c r="I8374" s="1" t="s">
        <v>32</v>
      </c>
      <c r="J8374" s="1" t="s">
        <v>256</v>
      </c>
      <c r="K8374" s="1" t="s">
        <v>1099</v>
      </c>
      <c r="L8374" s="1" t="s">
        <v>40094</v>
      </c>
      <c r="M8374" s="2" t="s">
        <v>12</v>
      </c>
      <c r="N8374" s="4">
        <f t="shared" si="1"/>
        <v>43532</v>
      </c>
      <c r="O8374" s="5" t="str">
        <f>IFERROR(__xludf.DUMMYFUNCTION("IF(REGEXMATCH(TRIM(I8374), ""^\d+\s*min""), ""Unclassified"", IF(I8374 = """", ""NR"", I8374))"),"PG-13")</f>
        <v>PG-13</v>
      </c>
      <c r="R8374" s="5" t="str">
        <f t="shared" si="2"/>
        <v>The Jane Austen Book Club</v>
      </c>
      <c r="S8374" s="5" t="str">
        <f>IFERROR(__xludf.DUMMYFUNCTION("""COMPUTED_VALUE"""),"Vettai")</f>
        <v>Vettai</v>
      </c>
      <c r="V8374" s="5"/>
      <c r="Y8374" s="5" t="str">
        <f>IFERROR(__xludf.DUMMYFUNCTION("REGEXEXTRACT(J8374, ""^\d+"")"),"106")</f>
        <v>106</v>
      </c>
      <c r="Z8374" s="5" t="str">
        <f>IFERROR(__xludf.DUMMYFUNCTION("REGEXEXTRACT(J8374, ""[A-Za-z ]+$"")")," min")</f>
        <v> min</v>
      </c>
      <c r="AA8374" s="5" t="str">
        <f>IFERROR(__xludf.DUMMYFUNCTION("IF(REGEXMATCH(Z8374, ""Season""), ""TV Show"", ""Movie"")"),"Movie")</f>
        <v>Movie</v>
      </c>
    </row>
    <row r="8375">
      <c r="A8375" s="1" t="s">
        <v>40095</v>
      </c>
      <c r="B8375" s="1" t="s">
        <v>37</v>
      </c>
      <c r="C8375" s="1" t="s">
        <v>40096</v>
      </c>
      <c r="E8375" s="1" t="s">
        <v>40097</v>
      </c>
      <c r="F8375" s="1" t="s">
        <v>40098</v>
      </c>
      <c r="G8375" s="7">
        <v>43596.0</v>
      </c>
      <c r="H8375" s="1">
        <v>2010.0</v>
      </c>
      <c r="I8375" s="1" t="s">
        <v>289</v>
      </c>
      <c r="J8375" s="1" t="s">
        <v>51</v>
      </c>
      <c r="K8375" s="1" t="s">
        <v>290</v>
      </c>
      <c r="L8375" s="1" t="s">
        <v>40099</v>
      </c>
      <c r="M8375" s="2" t="s">
        <v>12</v>
      </c>
      <c r="N8375" s="4">
        <f t="shared" si="1"/>
        <v>43596</v>
      </c>
      <c r="O8375" s="5" t="str">
        <f>IFERROR(__xludf.DUMMYFUNCTION("IF(REGEXMATCH(TRIM(I8375), ""^\d+\s*min""), ""Unclassified"", IF(I8375 = """", ""NR"", I8375))"),"TV-Y7")</f>
        <v>TV-Y7</v>
      </c>
      <c r="R8375" s="5" t="str">
        <f t="shared" si="2"/>
        <v>The Jungle Book</v>
      </c>
      <c r="S8375" s="5" t="str">
        <f>IFERROR(__xludf.DUMMYFUNCTION("""COMPUTED_VALUE"""),"Vexed")</f>
        <v>Vexed</v>
      </c>
      <c r="V8375" s="5"/>
      <c r="Y8375" s="5" t="str">
        <f>IFERROR(__xludf.DUMMYFUNCTION("REGEXEXTRACT(J8375, ""^\d+"")"),"1")</f>
        <v>1</v>
      </c>
      <c r="Z8375" s="5" t="str">
        <f>IFERROR(__xludf.DUMMYFUNCTION("REGEXEXTRACT(J8375, ""[A-Za-z ]+$"")")," Season")</f>
        <v> Season</v>
      </c>
      <c r="AA8375" s="5" t="str">
        <f>IFERROR(__xludf.DUMMYFUNCTION("IF(REGEXMATCH(Z8375, ""Season""), ""TV Show"", ""Movie"")"),"TV Show")</f>
        <v>TV Show</v>
      </c>
    </row>
    <row r="8376">
      <c r="A8376" s="1" t="s">
        <v>40100</v>
      </c>
      <c r="B8376" s="1" t="s">
        <v>27</v>
      </c>
      <c r="C8376" s="1" t="s">
        <v>40101</v>
      </c>
      <c r="D8376" s="1" t="s">
        <v>19283</v>
      </c>
      <c r="E8376" s="1" t="s">
        <v>40102</v>
      </c>
      <c r="F8376" s="1" t="s">
        <v>2873</v>
      </c>
      <c r="G8376" s="1" t="s">
        <v>23794</v>
      </c>
      <c r="H8376" s="1">
        <v>2013.0</v>
      </c>
      <c r="I8376" s="1" t="s">
        <v>136</v>
      </c>
      <c r="J8376" s="1" t="s">
        <v>33</v>
      </c>
      <c r="K8376" s="1" t="s">
        <v>128</v>
      </c>
      <c r="L8376" s="1" t="s">
        <v>40103</v>
      </c>
      <c r="M8376" s="2" t="s">
        <v>12</v>
      </c>
      <c r="N8376" s="4">
        <f t="shared" si="1"/>
        <v>43403</v>
      </c>
      <c r="O8376" s="5" t="str">
        <f>IFERROR(__xludf.DUMMYFUNCTION("IF(REGEXMATCH(TRIM(I8376), ""^\d+\s*min""), ""Unclassified"", IF(I8376 = """", ""NR"", I8376))"),"TV-PG")</f>
        <v>TV-PG</v>
      </c>
      <c r="R8376" s="5" t="str">
        <f t="shared" si="2"/>
        <v>The Jungle School</v>
      </c>
      <c r="S8376" s="5" t="str">
        <f>IFERROR(__xludf.DUMMYFUNCTION("""COMPUTED_VALUE"""),"Viceroy'S House")</f>
        <v>Viceroy'S House</v>
      </c>
      <c r="V8376" s="5"/>
      <c r="Y8376" s="5" t="str">
        <f>IFERROR(__xludf.DUMMYFUNCTION("REGEXEXTRACT(J8376, ""^\d+"")"),"90")</f>
        <v>90</v>
      </c>
      <c r="Z8376" s="5" t="str">
        <f>IFERROR(__xludf.DUMMYFUNCTION("REGEXEXTRACT(J8376, ""[A-Za-z ]+$"")")," min")</f>
        <v> min</v>
      </c>
      <c r="AA8376" s="5" t="str">
        <f>IFERROR(__xludf.DUMMYFUNCTION("IF(REGEXMATCH(Z8376, ""Season""), ""TV Show"", ""Movie"")"),"Movie")</f>
        <v>Movie</v>
      </c>
    </row>
    <row r="8377">
      <c r="A8377" s="1" t="s">
        <v>40104</v>
      </c>
      <c r="B8377" s="1" t="s">
        <v>27</v>
      </c>
      <c r="C8377" s="1" t="s">
        <v>40105</v>
      </c>
      <c r="D8377" s="1" t="s">
        <v>12420</v>
      </c>
      <c r="E8377" s="1" t="s">
        <v>40106</v>
      </c>
      <c r="F8377" s="1" t="s">
        <v>30</v>
      </c>
      <c r="G8377" s="1" t="s">
        <v>24649</v>
      </c>
      <c r="H8377" s="1">
        <v>2017.0</v>
      </c>
      <c r="I8377" s="1" t="s">
        <v>32</v>
      </c>
      <c r="J8377" s="1" t="s">
        <v>465</v>
      </c>
      <c r="K8377" s="1" t="s">
        <v>394</v>
      </c>
      <c r="L8377" s="1" t="s">
        <v>40107</v>
      </c>
      <c r="M8377" s="2" t="s">
        <v>12</v>
      </c>
      <c r="N8377" s="4">
        <f t="shared" si="1"/>
        <v>43344</v>
      </c>
      <c r="O8377" s="5" t="str">
        <f>IFERROR(__xludf.DUMMYFUNCTION("IF(REGEXMATCH(TRIM(I8377), ""^\d+\s*min""), ""Unclassified"", IF(I8377 = """", ""NR"", I8377))"),"PG-13")</f>
        <v>PG-13</v>
      </c>
      <c r="R8377" s="5" t="str">
        <f t="shared" si="2"/>
        <v>The Keeping Hours</v>
      </c>
      <c r="S8377" s="5" t="str">
        <f>IFERROR(__xludf.DUMMYFUNCTION("""COMPUTED_VALUE"""),"Victim Number 8")</f>
        <v>Victim Number 8</v>
      </c>
      <c r="V8377" s="5"/>
      <c r="Y8377" s="5" t="str">
        <f>IFERROR(__xludf.DUMMYFUNCTION("REGEXEXTRACT(J8377, ""^\d+"")"),"95")</f>
        <v>95</v>
      </c>
      <c r="Z8377" s="5" t="str">
        <f>IFERROR(__xludf.DUMMYFUNCTION("REGEXEXTRACT(J8377, ""[A-Za-z ]+$"")")," min")</f>
        <v> min</v>
      </c>
      <c r="AA8377" s="5" t="str">
        <f>IFERROR(__xludf.DUMMYFUNCTION("IF(REGEXMATCH(Z8377, ""Season""), ""TV Show"", ""Movie"")"),"Movie")</f>
        <v>Movie</v>
      </c>
    </row>
    <row r="8378">
      <c r="A8378" s="1" t="s">
        <v>40108</v>
      </c>
      <c r="B8378" s="1" t="s">
        <v>37</v>
      </c>
      <c r="C8378" s="1" t="s">
        <v>40109</v>
      </c>
      <c r="E8378" s="1" t="s">
        <v>40110</v>
      </c>
      <c r="G8378" s="7">
        <v>43586.0</v>
      </c>
      <c r="H8378" s="1">
        <v>2019.0</v>
      </c>
      <c r="I8378" s="1" t="s">
        <v>136</v>
      </c>
      <c r="J8378" s="1" t="s">
        <v>51</v>
      </c>
      <c r="K8378" s="1" t="s">
        <v>440</v>
      </c>
      <c r="L8378" s="1" t="s">
        <v>40111</v>
      </c>
      <c r="M8378" s="2" t="s">
        <v>12</v>
      </c>
      <c r="N8378" s="4">
        <f t="shared" si="1"/>
        <v>43586</v>
      </c>
      <c r="O8378" s="5" t="str">
        <f>IFERROR(__xludf.DUMMYFUNCTION("IF(REGEXMATCH(TRIM(I8378), ""^\d+\s*min""), ""Unclassified"", IF(I8378 = """", ""NR"", I8378))"),"TV-PG")</f>
        <v>TV-PG</v>
      </c>
      <c r="R8378" s="5" t="str">
        <f t="shared" si="2"/>
        <v>The Kindness Diaries</v>
      </c>
      <c r="S8378" s="5" t="str">
        <f>IFERROR(__xludf.DUMMYFUNCTION("""COMPUTED_VALUE"""),"Victim Of Beauty")</f>
        <v>Victim Of Beauty</v>
      </c>
      <c r="V8378" s="5"/>
      <c r="Y8378" s="5" t="str">
        <f>IFERROR(__xludf.DUMMYFUNCTION("REGEXEXTRACT(J8378, ""^\d+"")"),"1")</f>
        <v>1</v>
      </c>
      <c r="Z8378" s="5" t="str">
        <f>IFERROR(__xludf.DUMMYFUNCTION("REGEXEXTRACT(J8378, ""[A-Za-z ]+$"")")," Season")</f>
        <v> Season</v>
      </c>
      <c r="AA8378" s="5" t="str">
        <f>IFERROR(__xludf.DUMMYFUNCTION("IF(REGEXMATCH(Z8378, ""Season""), ""TV Show"", ""Movie"")"),"TV Show")</f>
        <v>TV Show</v>
      </c>
    </row>
    <row r="8379">
      <c r="A8379" s="1" t="s">
        <v>40112</v>
      </c>
      <c r="B8379" s="1" t="s">
        <v>27</v>
      </c>
      <c r="C8379" s="1" t="s">
        <v>40113</v>
      </c>
      <c r="D8379" s="1" t="s">
        <v>12116</v>
      </c>
      <c r="E8379" s="1" t="s">
        <v>40114</v>
      </c>
      <c r="F8379" s="1" t="s">
        <v>8005</v>
      </c>
      <c r="G8379" s="1" t="s">
        <v>25385</v>
      </c>
      <c r="H8379" s="1">
        <v>2010.0</v>
      </c>
      <c r="I8379" s="1" t="s">
        <v>378</v>
      </c>
      <c r="J8379" s="1" t="s">
        <v>870</v>
      </c>
      <c r="K8379" s="1" t="s">
        <v>128</v>
      </c>
      <c r="L8379" s="1" t="s">
        <v>40115</v>
      </c>
      <c r="M8379" s="2" t="s">
        <v>12</v>
      </c>
      <c r="N8379" s="4">
        <f t="shared" si="1"/>
        <v>43253</v>
      </c>
      <c r="O8379" s="5" t="str">
        <f>IFERROR(__xludf.DUMMYFUNCTION("IF(REGEXMATCH(TRIM(I8379), ""^\d+\s*min""), ""Unclassified"", IF(I8379 = """", ""NR"", I8379))"),"R")</f>
        <v>R</v>
      </c>
      <c r="R8379" s="5" t="str">
        <f t="shared" si="2"/>
        <v>The King'S Speech</v>
      </c>
      <c r="S8379" s="5" t="str">
        <f>IFERROR(__xludf.DUMMYFUNCTION("""COMPUTED_VALUE"""),"Victor")</f>
        <v>Victor</v>
      </c>
      <c r="V8379" s="5"/>
      <c r="Y8379" s="5" t="str">
        <f>IFERROR(__xludf.DUMMYFUNCTION("REGEXEXTRACT(J8379, ""^\d+"")"),"118")</f>
        <v>118</v>
      </c>
      <c r="Z8379" s="5" t="str">
        <f>IFERROR(__xludf.DUMMYFUNCTION("REGEXEXTRACT(J8379, ""[A-Za-z ]+$"")")," min")</f>
        <v> min</v>
      </c>
      <c r="AA8379" s="5" t="str">
        <f>IFERROR(__xludf.DUMMYFUNCTION("IF(REGEXMATCH(Z8379, ""Season""), ""TV Show"", ""Movie"")"),"Movie")</f>
        <v>Movie</v>
      </c>
    </row>
    <row r="8380">
      <c r="A8380" s="1" t="s">
        <v>40116</v>
      </c>
      <c r="B8380" s="1" t="s">
        <v>37</v>
      </c>
      <c r="C8380" s="1" t="s">
        <v>40117</v>
      </c>
      <c r="E8380" s="1" t="s">
        <v>40118</v>
      </c>
      <c r="F8380" s="1" t="s">
        <v>1979</v>
      </c>
      <c r="G8380" s="1" t="s">
        <v>40119</v>
      </c>
      <c r="H8380" s="1">
        <v>2009.0</v>
      </c>
      <c r="I8380" s="1" t="s">
        <v>42</v>
      </c>
      <c r="J8380" s="1" t="s">
        <v>439</v>
      </c>
      <c r="K8380" s="1" t="s">
        <v>3083</v>
      </c>
      <c r="L8380" s="1" t="s">
        <v>40120</v>
      </c>
      <c r="M8380" s="2" t="s">
        <v>12</v>
      </c>
      <c r="N8380" s="1" t="str">
        <f t="shared" si="1"/>
        <v>#N/A</v>
      </c>
      <c r="O8380" s="5" t="str">
        <f>IFERROR(__xludf.DUMMYFUNCTION("IF(REGEXMATCH(TRIM(I8380), ""^\d+\s*min""), ""Unclassified"", IF(I8380 = """", ""NR"", I8380))"),"TV-MA")</f>
        <v>TV-MA</v>
      </c>
      <c r="R8380" s="5" t="str">
        <f t="shared" si="2"/>
        <v>The L Word</v>
      </c>
      <c r="S8380" s="5" t="str">
        <f>IFERROR(__xludf.DUMMYFUNCTION("""COMPUTED_VALUE"""),"Victorious")</f>
        <v>Victorious</v>
      </c>
      <c r="V8380" s="5"/>
      <c r="Y8380" s="5" t="str">
        <f>IFERROR(__xludf.DUMMYFUNCTION("REGEXEXTRACT(J8380, ""^\d+"")"),"6")</f>
        <v>6</v>
      </c>
      <c r="Z8380" s="5" t="str">
        <f>IFERROR(__xludf.DUMMYFUNCTION("REGEXEXTRACT(J8380, ""[A-Za-z ]+$"")")," Seasons")</f>
        <v> Seasons</v>
      </c>
      <c r="AA8380" s="5" t="str">
        <f>IFERROR(__xludf.DUMMYFUNCTION("IF(REGEXMATCH(Z8380, ""Season""), ""TV Show"", ""Movie"")"),"TV Show")</f>
        <v>TV Show</v>
      </c>
    </row>
    <row r="8381">
      <c r="A8381" s="1" t="s">
        <v>40121</v>
      </c>
      <c r="B8381" s="1" t="s">
        <v>37</v>
      </c>
      <c r="C8381" s="1" t="s">
        <v>40122</v>
      </c>
      <c r="E8381" s="1" t="s">
        <v>40123</v>
      </c>
      <c r="F8381" s="1" t="s">
        <v>749</v>
      </c>
      <c r="G8381" s="1" t="s">
        <v>26311</v>
      </c>
      <c r="H8381" s="1">
        <v>2017.0</v>
      </c>
      <c r="I8381" s="1" t="s">
        <v>42</v>
      </c>
      <c r="J8381" s="1" t="s">
        <v>51</v>
      </c>
      <c r="K8381" s="1" t="s">
        <v>13832</v>
      </c>
      <c r="L8381" s="1" t="s">
        <v>40124</v>
      </c>
      <c r="M8381" s="2" t="s">
        <v>12</v>
      </c>
      <c r="N8381" s="4">
        <f t="shared" si="1"/>
        <v>43130</v>
      </c>
      <c r="O8381" s="5" t="str">
        <f>IFERROR(__xludf.DUMMYFUNCTION("IF(REGEXMATCH(TRIM(I8381), ""^\d+\s*min""), ""Unclassified"", IF(I8381 = """", ""NR"", I8381))"),"TV-MA")</f>
        <v>TV-MA</v>
      </c>
      <c r="R8381" s="5" t="str">
        <f t="shared" si="2"/>
        <v>The Lady In Dignity</v>
      </c>
      <c r="S8381" s="5" t="str">
        <f>IFERROR(__xludf.DUMMYFUNCTION("""COMPUTED_VALUE"""),"Vientos De Agua")</f>
        <v>Vientos De Agua</v>
      </c>
      <c r="V8381" s="5"/>
      <c r="Y8381" s="5" t="str">
        <f>IFERROR(__xludf.DUMMYFUNCTION("REGEXEXTRACT(J8381, ""^\d+"")"),"1")</f>
        <v>1</v>
      </c>
      <c r="Z8381" s="5" t="str">
        <f>IFERROR(__xludf.DUMMYFUNCTION("REGEXEXTRACT(J8381, ""[A-Za-z ]+$"")")," Season")</f>
        <v> Season</v>
      </c>
      <c r="AA8381" s="5" t="str">
        <f>IFERROR(__xludf.DUMMYFUNCTION("IF(REGEXMATCH(Z8381, ""Season""), ""TV Show"", ""Movie"")"),"TV Show")</f>
        <v>TV Show</v>
      </c>
    </row>
    <row r="8382">
      <c r="A8382" s="1" t="s">
        <v>40125</v>
      </c>
      <c r="B8382" s="1" t="s">
        <v>27</v>
      </c>
      <c r="C8382" s="1" t="s">
        <v>40126</v>
      </c>
      <c r="D8382" s="1" t="s">
        <v>952</v>
      </c>
      <c r="E8382" s="1" t="s">
        <v>40127</v>
      </c>
      <c r="F8382" s="1" t="s">
        <v>30</v>
      </c>
      <c r="G8382" s="1" t="s">
        <v>19361</v>
      </c>
      <c r="H8382" s="1">
        <v>2006.0</v>
      </c>
      <c r="I8382" s="1" t="s">
        <v>78</v>
      </c>
      <c r="J8382" s="1" t="s">
        <v>357</v>
      </c>
      <c r="K8382" s="1" t="s">
        <v>3815</v>
      </c>
      <c r="L8382" s="1" t="s">
        <v>40128</v>
      </c>
      <c r="M8382" s="2" t="s">
        <v>12</v>
      </c>
      <c r="N8382" s="4">
        <f t="shared" si="1"/>
        <v>43709</v>
      </c>
      <c r="O8382" s="5" t="str">
        <f>IFERROR(__xludf.DUMMYFUNCTION("IF(REGEXMATCH(TRIM(I8382), ""^\d+\s*min""), ""Unclassified"", IF(I8382 = """", ""NR"", I8382))"),"PG")</f>
        <v>PG</v>
      </c>
      <c r="R8382" s="5" t="str">
        <f t="shared" si="2"/>
        <v>The Lake House</v>
      </c>
      <c r="S8382" s="5" t="str">
        <f>IFERROR(__xludf.DUMMYFUNCTION("""COMPUTED_VALUE"""),"Viking Destiny")</f>
        <v>Viking Destiny</v>
      </c>
      <c r="V8382" s="5"/>
      <c r="Y8382" s="5" t="str">
        <f>IFERROR(__xludf.DUMMYFUNCTION("REGEXEXTRACT(J8382, ""^\d+"")"),"98")</f>
        <v>98</v>
      </c>
      <c r="Z8382" s="5" t="str">
        <f>IFERROR(__xludf.DUMMYFUNCTION("REGEXEXTRACT(J8382, ""[A-Za-z ]+$"")")," min")</f>
        <v> min</v>
      </c>
      <c r="AA8382" s="5" t="str">
        <f>IFERROR(__xludf.DUMMYFUNCTION("IF(REGEXMATCH(Z8382, ""Season""), ""TV Show"", ""Movie"")"),"Movie")</f>
        <v>Movie</v>
      </c>
    </row>
    <row r="8383">
      <c r="A8383" s="1" t="s">
        <v>40129</v>
      </c>
      <c r="B8383" s="1" t="s">
        <v>27</v>
      </c>
      <c r="C8383" s="1" t="s">
        <v>40130</v>
      </c>
      <c r="D8383" s="1" t="s">
        <v>22561</v>
      </c>
      <c r="E8383" s="1" t="s">
        <v>40131</v>
      </c>
      <c r="F8383" s="1" t="s">
        <v>30</v>
      </c>
      <c r="G8383" s="1" t="s">
        <v>31303</v>
      </c>
      <c r="H8383" s="1">
        <v>2017.0</v>
      </c>
      <c r="I8383" s="1" t="s">
        <v>78</v>
      </c>
      <c r="J8383" s="1" t="s">
        <v>1144</v>
      </c>
      <c r="K8383" s="1" t="s">
        <v>40132</v>
      </c>
      <c r="L8383" s="1" t="s">
        <v>40133</v>
      </c>
      <c r="M8383" s="2" t="s">
        <v>12</v>
      </c>
      <c r="N8383" s="4">
        <f t="shared" si="1"/>
        <v>43255</v>
      </c>
      <c r="O8383" s="5" t="str">
        <f>IFERROR(__xludf.DUMMYFUNCTION("IF(REGEXMATCH(TRIM(I8383), ""^\d+\s*min""), ""Unclassified"", IF(I8383 = """", ""NR"", I8383))"),"PG")</f>
        <v>PG</v>
      </c>
      <c r="R8383" s="5" t="str">
        <f t="shared" si="2"/>
        <v>The Lamb</v>
      </c>
      <c r="S8383" s="5" t="str">
        <f>IFERROR(__xludf.DUMMYFUNCTION("""COMPUTED_VALUE"""),"Vikings Unearthed")</f>
        <v>Vikings Unearthed</v>
      </c>
      <c r="V8383" s="5"/>
      <c r="Y8383" s="5" t="str">
        <f>IFERROR(__xludf.DUMMYFUNCTION("REGEXEXTRACT(J8383, ""^\d+"")"),"86")</f>
        <v>86</v>
      </c>
      <c r="Z8383" s="5" t="str">
        <f>IFERROR(__xludf.DUMMYFUNCTION("REGEXEXTRACT(J8383, ""[A-Za-z ]+$"")")," min")</f>
        <v> min</v>
      </c>
      <c r="AA8383" s="5" t="str">
        <f>IFERROR(__xludf.DUMMYFUNCTION("IF(REGEXMATCH(Z8383, ""Season""), ""TV Show"", ""Movie"")"),"Movie")</f>
        <v>Movie</v>
      </c>
    </row>
    <row r="8384">
      <c r="A8384" s="1" t="s">
        <v>40134</v>
      </c>
      <c r="B8384" s="1" t="s">
        <v>27</v>
      </c>
      <c r="C8384" s="1" t="s">
        <v>40135</v>
      </c>
      <c r="D8384" s="1" t="s">
        <v>18281</v>
      </c>
      <c r="E8384" s="1" t="s">
        <v>40136</v>
      </c>
      <c r="F8384" s="1" t="s">
        <v>40137</v>
      </c>
      <c r="G8384" s="1" t="s">
        <v>28840</v>
      </c>
      <c r="H8384" s="1">
        <v>2016.0</v>
      </c>
      <c r="I8384" s="1" t="s">
        <v>42</v>
      </c>
      <c r="J8384" s="1" t="s">
        <v>1608</v>
      </c>
      <c r="K8384" s="1" t="s">
        <v>156</v>
      </c>
      <c r="L8384" s="1" t="s">
        <v>40138</v>
      </c>
      <c r="M8384" s="2" t="s">
        <v>12</v>
      </c>
      <c r="N8384" s="4">
        <f t="shared" si="1"/>
        <v>42736</v>
      </c>
      <c r="O8384" s="5" t="str">
        <f>IFERROR(__xludf.DUMMYFUNCTION("IF(REGEXMATCH(TRIM(I8384), ""^\d+\s*min""), ""Unclassified"", IF(I8384 = """", ""NR"", I8384))"),"TV-MA")</f>
        <v>TV-MA</v>
      </c>
      <c r="R8384" s="5" t="str">
        <f t="shared" si="2"/>
        <v>The Land Of The Enlightened</v>
      </c>
      <c r="S8384" s="5" t="str">
        <f>IFERROR(__xludf.DUMMYFUNCTION("""COMPUTED_VALUE"""),"Villain")</f>
        <v>Villain</v>
      </c>
      <c r="V8384" s="5"/>
      <c r="Y8384" s="5" t="str">
        <f>IFERROR(__xludf.DUMMYFUNCTION("REGEXEXTRACT(J8384, ""^\d+"")"),"84")</f>
        <v>84</v>
      </c>
      <c r="Z8384" s="5" t="str">
        <f>IFERROR(__xludf.DUMMYFUNCTION("REGEXEXTRACT(J8384, ""[A-Za-z ]+$"")")," min")</f>
        <v> min</v>
      </c>
      <c r="AA8384" s="5" t="str">
        <f>IFERROR(__xludf.DUMMYFUNCTION("IF(REGEXMATCH(Z8384, ""Season""), ""TV Show"", ""Movie"")"),"Movie")</f>
        <v>Movie</v>
      </c>
    </row>
    <row r="8385">
      <c r="A8385" s="1" t="s">
        <v>40139</v>
      </c>
      <c r="B8385" s="1" t="s">
        <v>27</v>
      </c>
      <c r="C8385" s="1" t="s">
        <v>40140</v>
      </c>
      <c r="D8385" s="1" t="s">
        <v>8478</v>
      </c>
      <c r="E8385" s="1" t="s">
        <v>40141</v>
      </c>
      <c r="F8385" s="1" t="s">
        <v>221</v>
      </c>
      <c r="G8385" s="1" t="s">
        <v>29185</v>
      </c>
      <c r="H8385" s="1">
        <v>1992.0</v>
      </c>
      <c r="I8385" s="1" t="s">
        <v>378</v>
      </c>
      <c r="J8385" s="1" t="s">
        <v>454</v>
      </c>
      <c r="K8385" s="1" t="s">
        <v>1164</v>
      </c>
      <c r="L8385" s="1" t="s">
        <v>40142</v>
      </c>
      <c r="M8385" s="2" t="s">
        <v>12</v>
      </c>
      <c r="N8385" s="4">
        <f t="shared" si="1"/>
        <v>42675</v>
      </c>
      <c r="O8385" s="5" t="str">
        <f>IFERROR(__xludf.DUMMYFUNCTION("IF(REGEXMATCH(TRIM(I8385), ""^\d+\s*min""), ""Unclassified"", IF(I8385 = """", ""NR"", I8385))"),"R")</f>
        <v>R</v>
      </c>
      <c r="R8385" s="5" t="str">
        <f t="shared" si="2"/>
        <v>The Last Days Of Chez Nous</v>
      </c>
      <c r="S8385" s="5" t="str">
        <f>IFERROR(__xludf.DUMMYFUNCTION("""COMPUTED_VALUE"""),"Vince And Kath And James")</f>
        <v>Vince And Kath And James</v>
      </c>
      <c r="V8385" s="5"/>
      <c r="Y8385" s="5" t="str">
        <f>IFERROR(__xludf.DUMMYFUNCTION("REGEXEXTRACT(J8385, ""^\d+"")"),"93")</f>
        <v>93</v>
      </c>
      <c r="Z8385" s="5" t="str">
        <f>IFERROR(__xludf.DUMMYFUNCTION("REGEXEXTRACT(J8385, ""[A-Za-z ]+$"")")," min")</f>
        <v> min</v>
      </c>
      <c r="AA8385" s="5" t="str">
        <f>IFERROR(__xludf.DUMMYFUNCTION("IF(REGEXMATCH(Z8385, ""Season""), ""TV Show"", ""Movie"")"),"Movie")</f>
        <v>Movie</v>
      </c>
    </row>
    <row r="8386">
      <c r="A8386" s="1" t="s">
        <v>40143</v>
      </c>
      <c r="B8386" s="1" t="s">
        <v>27</v>
      </c>
      <c r="C8386" s="1" t="s">
        <v>40144</v>
      </c>
      <c r="D8386" s="1" t="s">
        <v>5637</v>
      </c>
      <c r="E8386" s="1" t="s">
        <v>40145</v>
      </c>
      <c r="F8386" s="1" t="s">
        <v>718</v>
      </c>
      <c r="G8386" s="1" t="s">
        <v>19361</v>
      </c>
      <c r="H8386" s="1">
        <v>2010.0</v>
      </c>
      <c r="I8386" s="1" t="s">
        <v>32</v>
      </c>
      <c r="J8386" s="1" t="s">
        <v>428</v>
      </c>
      <c r="K8386" s="1" t="s">
        <v>18588</v>
      </c>
      <c r="L8386" s="1" t="s">
        <v>40146</v>
      </c>
      <c r="M8386" s="2" t="s">
        <v>12</v>
      </c>
      <c r="N8386" s="4">
        <f t="shared" si="1"/>
        <v>43709</v>
      </c>
      <c r="O8386" s="5" t="str">
        <f>IFERROR(__xludf.DUMMYFUNCTION("IF(REGEXMATCH(TRIM(I8386), ""^\d+\s*min""), ""Unclassified"", IF(I8386 = """", ""NR"", I8386))"),"PG-13")</f>
        <v>PG-13</v>
      </c>
      <c r="R8386" s="5" t="str">
        <f t="shared" si="2"/>
        <v>The Last Exorcism</v>
      </c>
      <c r="S8386" s="5" t="str">
        <f>IFERROR(__xludf.DUMMYFUNCTION("""COMPUTED_VALUE"""),"Vincent N Roxxy")</f>
        <v>Vincent N Roxxy</v>
      </c>
      <c r="V8386" s="5"/>
      <c r="Y8386" s="5" t="str">
        <f>IFERROR(__xludf.DUMMYFUNCTION("REGEXEXTRACT(J8386, ""^\d+"")"),"88")</f>
        <v>88</v>
      </c>
      <c r="Z8386" s="5" t="str">
        <f>IFERROR(__xludf.DUMMYFUNCTION("REGEXEXTRACT(J8386, ""[A-Za-z ]+$"")")," min")</f>
        <v> min</v>
      </c>
      <c r="AA8386" s="5" t="str">
        <f>IFERROR(__xludf.DUMMYFUNCTION("IF(REGEXMATCH(Z8386, ""Season""), ""TV Show"", ""Movie"")"),"Movie")</f>
        <v>Movie</v>
      </c>
    </row>
    <row r="8387">
      <c r="A8387" s="1" t="s">
        <v>40147</v>
      </c>
      <c r="B8387" s="1" t="s">
        <v>27</v>
      </c>
      <c r="C8387" s="1" t="s">
        <v>40148</v>
      </c>
      <c r="D8387" s="1" t="s">
        <v>8557</v>
      </c>
      <c r="E8387" s="1" t="s">
        <v>40149</v>
      </c>
      <c r="F8387" s="1" t="s">
        <v>30</v>
      </c>
      <c r="G8387" s="1" t="s">
        <v>16838</v>
      </c>
      <c r="H8387" s="1">
        <v>2016.0</v>
      </c>
      <c r="I8387" s="1" t="s">
        <v>378</v>
      </c>
      <c r="J8387" s="1" t="s">
        <v>2859</v>
      </c>
      <c r="K8387" s="1" t="s">
        <v>805</v>
      </c>
      <c r="L8387" s="1" t="s">
        <v>40150</v>
      </c>
      <c r="M8387" s="2" t="s">
        <v>12</v>
      </c>
      <c r="N8387" s="4">
        <f t="shared" si="1"/>
        <v>43843</v>
      </c>
      <c r="O8387" s="5" t="str">
        <f>IFERROR(__xludf.DUMMYFUNCTION("IF(REGEXMATCH(TRIM(I8387), ""^\d+\s*min""), ""Unclassified"", IF(I8387 = """", ""NR"", I8387))"),"R")</f>
        <v>R</v>
      </c>
      <c r="R8387" s="5" t="str">
        <f t="shared" si="2"/>
        <v>The Last Face</v>
      </c>
      <c r="S8387" s="5" t="str">
        <f>IFERROR(__xludf.DUMMYFUNCTION("""COMPUTED_VALUE"""),"Vincenzo")</f>
        <v>Vincenzo</v>
      </c>
      <c r="V8387" s="5"/>
      <c r="Y8387" s="5" t="str">
        <f>IFERROR(__xludf.DUMMYFUNCTION("REGEXEXTRACT(J8387, ""^\d+"")"),"131")</f>
        <v>131</v>
      </c>
      <c r="Z8387" s="5" t="str">
        <f>IFERROR(__xludf.DUMMYFUNCTION("REGEXEXTRACT(J8387, ""[A-Za-z ]+$"")")," min")</f>
        <v> min</v>
      </c>
      <c r="AA8387" s="5" t="str">
        <f>IFERROR(__xludf.DUMMYFUNCTION("IF(REGEXMATCH(Z8387, ""Season""), ""TV Show"", ""Movie"")"),"Movie")</f>
        <v>Movie</v>
      </c>
    </row>
    <row r="8388">
      <c r="A8388" s="1" t="s">
        <v>40151</v>
      </c>
      <c r="B8388" s="1" t="s">
        <v>27</v>
      </c>
      <c r="C8388" s="1" t="s">
        <v>40152</v>
      </c>
      <c r="D8388" s="1" t="s">
        <v>19655</v>
      </c>
      <c r="E8388" s="1" t="s">
        <v>40153</v>
      </c>
      <c r="F8388" s="1" t="s">
        <v>1992</v>
      </c>
      <c r="G8388" s="1" t="s">
        <v>22850</v>
      </c>
      <c r="H8388" s="1">
        <v>2018.0</v>
      </c>
      <c r="I8388" s="1" t="s">
        <v>42</v>
      </c>
      <c r="J8388" s="1" t="s">
        <v>10890</v>
      </c>
      <c r="K8388" s="1" t="s">
        <v>199</v>
      </c>
      <c r="L8388" s="1" t="s">
        <v>40154</v>
      </c>
      <c r="M8388" s="2" t="s">
        <v>12</v>
      </c>
      <c r="N8388" s="4">
        <f t="shared" si="1"/>
        <v>43455</v>
      </c>
      <c r="O8388" s="5" t="str">
        <f>IFERROR(__xludf.DUMMYFUNCTION("IF(REGEXMATCH(TRIM(I8388), ""^\d+\s*min""), ""Unclassified"", IF(I8388 = """", ""NR"", I8388))"),"TV-MA")</f>
        <v>TV-MA</v>
      </c>
      <c r="R8388" s="5" t="str">
        <f t="shared" si="2"/>
        <v>The Last Hangover</v>
      </c>
      <c r="S8388" s="5" t="str">
        <f>IFERROR(__xludf.DUMMYFUNCTION("""COMPUTED_VALUE"""),"Violet Evergarden")</f>
        <v>Violet Evergarden</v>
      </c>
      <c r="V8388" s="5"/>
      <c r="Y8388" s="5" t="str">
        <f>IFERROR(__xludf.DUMMYFUNCTION("REGEXEXTRACT(J8388, ""^\d+"")"),"44")</f>
        <v>44</v>
      </c>
      <c r="Z8388" s="5" t="str">
        <f>IFERROR(__xludf.DUMMYFUNCTION("REGEXEXTRACT(J8388, ""[A-Za-z ]+$"")")," min")</f>
        <v> min</v>
      </c>
      <c r="AA8388" s="5" t="str">
        <f>IFERROR(__xludf.DUMMYFUNCTION("IF(REGEXMATCH(Z8388, ""Season""), ""TV Show"", ""Movie"")"),"Movie")</f>
        <v>Movie</v>
      </c>
    </row>
    <row r="8389">
      <c r="A8389" s="1" t="s">
        <v>40155</v>
      </c>
      <c r="B8389" s="1" t="s">
        <v>27</v>
      </c>
      <c r="C8389" s="1" t="s">
        <v>40156</v>
      </c>
      <c r="D8389" s="1" t="s">
        <v>14827</v>
      </c>
      <c r="E8389" s="1" t="s">
        <v>40157</v>
      </c>
      <c r="F8389" s="1" t="s">
        <v>96</v>
      </c>
      <c r="G8389" s="7">
        <v>42516.0</v>
      </c>
      <c r="H8389" s="1">
        <v>2014.0</v>
      </c>
      <c r="I8389" s="1" t="s">
        <v>136</v>
      </c>
      <c r="J8389" s="1" t="s">
        <v>322</v>
      </c>
      <c r="K8389" s="1" t="s">
        <v>34</v>
      </c>
      <c r="L8389" s="1" t="s">
        <v>40158</v>
      </c>
      <c r="M8389" s="2" t="s">
        <v>12</v>
      </c>
      <c r="N8389" s="4">
        <f t="shared" si="1"/>
        <v>42516</v>
      </c>
      <c r="O8389" s="5" t="str">
        <f>IFERROR(__xludf.DUMMYFUNCTION("IF(REGEXMATCH(TRIM(I8389), ""^\d+\s*min""), ""Unclassified"", IF(I8389 = """", ""NR"", I8389))"),"TV-PG")</f>
        <v>TV-PG</v>
      </c>
      <c r="R8389" s="5" t="str">
        <f t="shared" si="2"/>
        <v>The Last Man On The Moon</v>
      </c>
      <c r="S8389" s="5" t="str">
        <f>IFERROR(__xludf.DUMMYFUNCTION("""COMPUTED_VALUE"""),"Violet Evergarden: Eternity And The Auto Memory Doll")</f>
        <v>Violet Evergarden: Eternity And The Auto Memory Doll</v>
      </c>
      <c r="V8389" s="5"/>
      <c r="Y8389" s="5" t="str">
        <f>IFERROR(__xludf.DUMMYFUNCTION("REGEXEXTRACT(J8389, ""^\d+"")"),"96")</f>
        <v>96</v>
      </c>
      <c r="Z8389" s="5" t="str">
        <f>IFERROR(__xludf.DUMMYFUNCTION("REGEXEXTRACT(J8389, ""[A-Za-z ]+$"")")," min")</f>
        <v> min</v>
      </c>
      <c r="AA8389" s="5" t="str">
        <f>IFERROR(__xludf.DUMMYFUNCTION("IF(REGEXMATCH(Z8389, ""Season""), ""TV Show"", ""Movie"")"),"Movie")</f>
        <v>Movie</v>
      </c>
    </row>
    <row r="8390">
      <c r="A8390" s="1" t="s">
        <v>40159</v>
      </c>
      <c r="B8390" s="1" t="s">
        <v>27</v>
      </c>
      <c r="C8390" s="1" t="s">
        <v>40160</v>
      </c>
      <c r="D8390" s="1" t="s">
        <v>6362</v>
      </c>
      <c r="F8390" s="1" t="s">
        <v>30</v>
      </c>
      <c r="G8390" s="1" t="s">
        <v>40161</v>
      </c>
      <c r="H8390" s="1">
        <v>2018.0</v>
      </c>
      <c r="I8390" s="1" t="s">
        <v>97</v>
      </c>
      <c r="J8390" s="1" t="s">
        <v>1583</v>
      </c>
      <c r="K8390" s="1" t="s">
        <v>34</v>
      </c>
      <c r="L8390" s="1" t="s">
        <v>40162</v>
      </c>
      <c r="M8390" s="2" t="s">
        <v>12</v>
      </c>
      <c r="N8390" s="4">
        <f t="shared" si="1"/>
        <v>43576</v>
      </c>
      <c r="O8390" s="5" t="str">
        <f>IFERROR(__xludf.DUMMYFUNCTION("IF(REGEXMATCH(TRIM(I8390), ""^\d+\s*min""), ""Unclassified"", IF(I8390 = """", ""NR"", I8390))"),"TV-14")</f>
        <v>TV-14</v>
      </c>
      <c r="R8390" s="5" t="str">
        <f t="shared" si="2"/>
        <v>The Last Resort</v>
      </c>
      <c r="S8390" s="5" t="str">
        <f>IFERROR(__xludf.DUMMYFUNCTION("""COMPUTED_VALUE"""),"Violet Evergarden: Special")</f>
        <v>Violet Evergarden: Special</v>
      </c>
      <c r="V8390" s="5"/>
      <c r="Y8390" s="5" t="str">
        <f>IFERROR(__xludf.DUMMYFUNCTION("REGEXEXTRACT(J8390, ""^\d+"")"),"70")</f>
        <v>70</v>
      </c>
      <c r="Z8390" s="5" t="str">
        <f>IFERROR(__xludf.DUMMYFUNCTION("REGEXEXTRACT(J8390, ""[A-Za-z ]+$"")")," min")</f>
        <v> min</v>
      </c>
      <c r="AA8390" s="5" t="str">
        <f>IFERROR(__xludf.DUMMYFUNCTION("IF(REGEXMATCH(Z8390, ""Season""), ""TV Show"", ""Movie"")"),"Movie")</f>
        <v>Movie</v>
      </c>
    </row>
    <row r="8391">
      <c r="A8391" s="1" t="s">
        <v>40163</v>
      </c>
      <c r="B8391" s="1" t="s">
        <v>27</v>
      </c>
      <c r="C8391" s="1" t="s">
        <v>40164</v>
      </c>
      <c r="D8391" s="1" t="s">
        <v>19367</v>
      </c>
      <c r="E8391" s="1" t="s">
        <v>40165</v>
      </c>
      <c r="F8391" s="1" t="s">
        <v>30</v>
      </c>
      <c r="G8391" s="1" t="s">
        <v>18534</v>
      </c>
      <c r="H8391" s="1">
        <v>2019.0</v>
      </c>
      <c r="I8391" s="1" t="s">
        <v>78</v>
      </c>
      <c r="J8391" s="1" t="s">
        <v>428</v>
      </c>
      <c r="K8391" s="1" t="s">
        <v>2275</v>
      </c>
      <c r="L8391" s="1" t="s">
        <v>40166</v>
      </c>
      <c r="M8391" s="2" t="s">
        <v>12</v>
      </c>
      <c r="N8391" s="4">
        <f t="shared" si="1"/>
        <v>43764</v>
      </c>
      <c r="O8391" s="5" t="str">
        <f>IFERROR(__xludf.DUMMYFUNCTION("IF(REGEXMATCH(TRIM(I8391), ""^\d+\s*min""), ""Unclassified"", IF(I8391 = """", ""NR"", I8391))"),"PG")</f>
        <v>PG</v>
      </c>
      <c r="R8391" s="5" t="str">
        <f t="shared" si="2"/>
        <v>The Last Whistle</v>
      </c>
      <c r="S8391" s="5" t="str">
        <f>IFERROR(__xludf.DUMMYFUNCTION("""COMPUTED_VALUE"""),"Vir Das: Abroad Understanding")</f>
        <v>Vir Das: Abroad Understanding</v>
      </c>
      <c r="V8391" s="5"/>
      <c r="Y8391" s="5" t="str">
        <f>IFERROR(__xludf.DUMMYFUNCTION("REGEXEXTRACT(J8391, ""^\d+"")"),"88")</f>
        <v>88</v>
      </c>
      <c r="Z8391" s="5" t="str">
        <f>IFERROR(__xludf.DUMMYFUNCTION("REGEXEXTRACT(J8391, ""[A-Za-z ]+$"")")," min")</f>
        <v> min</v>
      </c>
      <c r="AA8391" s="5" t="str">
        <f>IFERROR(__xludf.DUMMYFUNCTION("IF(REGEXMATCH(Z8391, ""Season""), ""TV Show"", ""Movie"")"),"Movie")</f>
        <v>Movie</v>
      </c>
    </row>
    <row r="8392">
      <c r="A8392" s="1" t="s">
        <v>40167</v>
      </c>
      <c r="B8392" s="1" t="s">
        <v>27</v>
      </c>
      <c r="C8392" s="1" t="s">
        <v>40168</v>
      </c>
      <c r="D8392" s="1" t="s">
        <v>1189</v>
      </c>
      <c r="F8392" s="1" t="s">
        <v>30</v>
      </c>
      <c r="G8392" s="1" t="s">
        <v>26674</v>
      </c>
      <c r="H8392" s="1">
        <v>2017.0</v>
      </c>
      <c r="I8392" s="1" t="s">
        <v>42</v>
      </c>
      <c r="J8392" s="1" t="s">
        <v>630</v>
      </c>
      <c r="K8392" s="1" t="s">
        <v>34</v>
      </c>
      <c r="L8392" s="1" t="s">
        <v>40169</v>
      </c>
      <c r="M8392" s="2" t="s">
        <v>12</v>
      </c>
      <c r="N8392" s="4">
        <f t="shared" si="1"/>
        <v>43070</v>
      </c>
      <c r="O8392" s="5" t="str">
        <f>IFERROR(__xludf.DUMMYFUNCTION("IF(REGEXMATCH(TRIM(I8392), ""^\d+\s*min""), ""Unclassified"", IF(I8392 = """", ""NR"", I8392))"),"TV-MA")</f>
        <v>TV-MA</v>
      </c>
      <c r="R8392" s="5" t="str">
        <f t="shared" si="2"/>
        <v>The Legend Of 420</v>
      </c>
      <c r="S8392" s="5" t="str">
        <f>IFERROR(__xludf.DUMMYFUNCTION("""COMPUTED_VALUE"""),"Vir Das: For India")</f>
        <v>Vir Das: For India</v>
      </c>
      <c r="V8392" s="5"/>
      <c r="Y8392" s="5" t="str">
        <f>IFERROR(__xludf.DUMMYFUNCTION("REGEXEXTRACT(J8392, ""^\d+"")"),"87")</f>
        <v>87</v>
      </c>
      <c r="Z8392" s="5" t="str">
        <f>IFERROR(__xludf.DUMMYFUNCTION("REGEXEXTRACT(J8392, ""[A-Za-z ]+$"")")," min")</f>
        <v> min</v>
      </c>
      <c r="AA8392" s="5" t="str">
        <f>IFERROR(__xludf.DUMMYFUNCTION("IF(REGEXMATCH(Z8392, ""Season""), ""TV Show"", ""Movie"")"),"Movie")</f>
        <v>Movie</v>
      </c>
    </row>
    <row r="8393">
      <c r="A8393" s="1" t="s">
        <v>40170</v>
      </c>
      <c r="B8393" s="1" t="s">
        <v>27</v>
      </c>
      <c r="C8393" s="1" t="s">
        <v>40171</v>
      </c>
      <c r="D8393" s="1" t="s">
        <v>14447</v>
      </c>
      <c r="E8393" s="1" t="s">
        <v>40172</v>
      </c>
      <c r="F8393" s="1" t="s">
        <v>63</v>
      </c>
      <c r="G8393" s="1" t="s">
        <v>21360</v>
      </c>
      <c r="H8393" s="1">
        <v>2016.0</v>
      </c>
      <c r="I8393" s="1" t="s">
        <v>97</v>
      </c>
      <c r="J8393" s="1" t="s">
        <v>870</v>
      </c>
      <c r="K8393" s="1" t="s">
        <v>583</v>
      </c>
      <c r="L8393" s="1" t="s">
        <v>40173</v>
      </c>
      <c r="M8393" s="2" t="s">
        <v>12</v>
      </c>
      <c r="N8393" s="4">
        <f t="shared" si="1"/>
        <v>43556</v>
      </c>
      <c r="O8393" s="5" t="str">
        <f>IFERROR(__xludf.DUMMYFUNCTION("IF(REGEXMATCH(TRIM(I8393), ""^\d+\s*min""), ""Unclassified"", IF(I8393 = """", ""NR"", I8393))"),"TV-14")</f>
        <v>TV-14</v>
      </c>
      <c r="R8393" s="5" t="str">
        <f t="shared" si="2"/>
        <v>The Legend Of Michael Mishra</v>
      </c>
      <c r="S8393" s="5" t="str">
        <f>IFERROR(__xludf.DUMMYFUNCTION("""COMPUTED_VALUE"""),"Vir Das: Losing It")</f>
        <v>Vir Das: Losing It</v>
      </c>
      <c r="V8393" s="5"/>
      <c r="Y8393" s="5" t="str">
        <f>IFERROR(__xludf.DUMMYFUNCTION("REGEXEXTRACT(J8393, ""^\d+"")"),"118")</f>
        <v>118</v>
      </c>
      <c r="Z8393" s="5" t="str">
        <f>IFERROR(__xludf.DUMMYFUNCTION("REGEXEXTRACT(J8393, ""[A-Za-z ]+$"")")," min")</f>
        <v> min</v>
      </c>
      <c r="AA8393" s="5" t="str">
        <f>IFERROR(__xludf.DUMMYFUNCTION("IF(REGEXMATCH(Z8393, ""Season""), ""TV Show"", ""Movie"")"),"Movie")</f>
        <v>Movie</v>
      </c>
    </row>
    <row r="8394">
      <c r="A8394" s="1" t="s">
        <v>40174</v>
      </c>
      <c r="B8394" s="1" t="s">
        <v>37</v>
      </c>
      <c r="C8394" s="1" t="s">
        <v>40175</v>
      </c>
      <c r="E8394" s="1" t="s">
        <v>40176</v>
      </c>
      <c r="G8394" s="1" t="s">
        <v>40177</v>
      </c>
      <c r="H8394" s="1">
        <v>2013.0</v>
      </c>
      <c r="I8394" s="1" t="s">
        <v>97</v>
      </c>
      <c r="J8394" s="1" t="s">
        <v>51</v>
      </c>
      <c r="K8394" s="1" t="s">
        <v>1362</v>
      </c>
      <c r="L8394" s="1" t="s">
        <v>40178</v>
      </c>
      <c r="M8394" s="2" t="s">
        <v>12</v>
      </c>
      <c r="N8394" s="4">
        <f t="shared" si="1"/>
        <v>43029</v>
      </c>
      <c r="O8394" s="5" t="str">
        <f>IFERROR(__xludf.DUMMYFUNCTION("IF(REGEXMATCH(TRIM(I8394), ""^\d+\s*min""), ""Unclassified"", IF(I8394 = """", ""NR"", I8394))"),"TV-14")</f>
        <v>TV-14</v>
      </c>
      <c r="R8394" s="5" t="str">
        <f t="shared" si="2"/>
        <v>The Liar</v>
      </c>
      <c r="S8394" s="5" t="str">
        <f>IFERROR(__xludf.DUMMYFUNCTION("""COMPUTED_VALUE"""),"Vir Das: Outside In - The Lockdown Special")</f>
        <v>Vir Das: Outside In - The Lockdown Special</v>
      </c>
      <c r="V8394" s="5"/>
      <c r="Y8394" s="5" t="str">
        <f>IFERROR(__xludf.DUMMYFUNCTION("REGEXEXTRACT(J8394, ""^\d+"")"),"1")</f>
        <v>1</v>
      </c>
      <c r="Z8394" s="5" t="str">
        <f>IFERROR(__xludf.DUMMYFUNCTION("REGEXEXTRACT(J8394, ""[A-Za-z ]+$"")")," Season")</f>
        <v> Season</v>
      </c>
      <c r="AA8394" s="5" t="str">
        <f>IFERROR(__xludf.DUMMYFUNCTION("IF(REGEXMATCH(Z8394, ""Season""), ""TV Show"", ""Movie"")"),"TV Show")</f>
        <v>TV Show</v>
      </c>
    </row>
    <row r="8395">
      <c r="A8395" s="1" t="s">
        <v>40179</v>
      </c>
      <c r="B8395" s="1" t="s">
        <v>27</v>
      </c>
      <c r="C8395" s="1" t="s">
        <v>40180</v>
      </c>
      <c r="D8395" s="1" t="s">
        <v>10576</v>
      </c>
      <c r="E8395" s="1" t="s">
        <v>40181</v>
      </c>
      <c r="F8395" s="1" t="s">
        <v>1979</v>
      </c>
      <c r="G8395" s="1" t="s">
        <v>22829</v>
      </c>
      <c r="H8395" s="1">
        <v>2017.0</v>
      </c>
      <c r="I8395" s="1" t="s">
        <v>378</v>
      </c>
      <c r="J8395" s="1" t="s">
        <v>1191</v>
      </c>
      <c r="K8395" s="1" t="s">
        <v>1749</v>
      </c>
      <c r="L8395" s="1" t="s">
        <v>40182</v>
      </c>
      <c r="M8395" s="2" t="s">
        <v>12</v>
      </c>
      <c r="N8395" s="4">
        <f t="shared" si="1"/>
        <v>43457</v>
      </c>
      <c r="O8395" s="5" t="str">
        <f>IFERROR(__xludf.DUMMYFUNCTION("IF(REGEXMATCH(TRIM(I8395), ""^\d+\s*min""), ""Unclassified"", IF(I8395 = """", ""NR"", I8395))"),"R")</f>
        <v>R</v>
      </c>
      <c r="R8395" s="5" t="str">
        <f t="shared" si="2"/>
        <v>The Little Hours</v>
      </c>
      <c r="S8395" s="5" t="str">
        <f>IFERROR(__xludf.DUMMYFUNCTION("""COMPUTED_VALUE"""),"Vir: The Robot Boy")</f>
        <v>Vir: The Robot Boy</v>
      </c>
      <c r="V8395" s="5"/>
      <c r="Y8395" s="5" t="str">
        <f>IFERROR(__xludf.DUMMYFUNCTION("REGEXEXTRACT(J8395, ""^\d+"")"),"89")</f>
        <v>89</v>
      </c>
      <c r="Z8395" s="5" t="str">
        <f>IFERROR(__xludf.DUMMYFUNCTION("REGEXEXTRACT(J8395, ""[A-Za-z ]+$"")")," min")</f>
        <v> min</v>
      </c>
      <c r="AA8395" s="5" t="str">
        <f>IFERROR(__xludf.DUMMYFUNCTION("IF(REGEXMATCH(Z8395, ""Season""), ""TV Show"", ""Movie"")"),"Movie")</f>
        <v>Movie</v>
      </c>
    </row>
    <row r="8396">
      <c r="A8396" s="1" t="s">
        <v>40183</v>
      </c>
      <c r="B8396" s="1" t="s">
        <v>27</v>
      </c>
      <c r="C8396" s="1" t="s">
        <v>40184</v>
      </c>
      <c r="D8396" s="1" t="s">
        <v>3496</v>
      </c>
      <c r="E8396" s="1" t="s">
        <v>40185</v>
      </c>
      <c r="F8396" s="1" t="s">
        <v>30</v>
      </c>
      <c r="G8396" s="1" t="s">
        <v>23134</v>
      </c>
      <c r="H8396" s="1">
        <v>2018.0</v>
      </c>
      <c r="I8396" s="1" t="s">
        <v>78</v>
      </c>
      <c r="J8396" s="1" t="s">
        <v>471</v>
      </c>
      <c r="K8396" s="1" t="s">
        <v>771</v>
      </c>
      <c r="L8396" s="1" t="s">
        <v>40186</v>
      </c>
      <c r="M8396" s="2" t="s">
        <v>12</v>
      </c>
      <c r="N8396" s="4">
        <f t="shared" si="1"/>
        <v>43435</v>
      </c>
      <c r="O8396" s="5" t="str">
        <f>IFERROR(__xludf.DUMMYFUNCTION("IF(REGEXMATCH(TRIM(I8396), ""^\d+\s*min""), ""Unclassified"", IF(I8396 = """", ""NR"", I8396))"),"PG")</f>
        <v>PG</v>
      </c>
      <c r="R8396" s="5" t="str">
        <f t="shared" si="2"/>
        <v>The Little Mermaid</v>
      </c>
      <c r="S8396" s="5" t="str">
        <f>IFERROR(__xludf.DUMMYFUNCTION("""COMPUTED_VALUE"""),"Virgin River")</f>
        <v>Virgin River</v>
      </c>
      <c r="V8396" s="5"/>
      <c r="Y8396" s="5" t="str">
        <f>IFERROR(__xludf.DUMMYFUNCTION("REGEXEXTRACT(J8396, ""^\d+"")"),"85")</f>
        <v>85</v>
      </c>
      <c r="Z8396" s="5" t="str">
        <f>IFERROR(__xludf.DUMMYFUNCTION("REGEXEXTRACT(J8396, ""[A-Za-z ]+$"")")," min")</f>
        <v> min</v>
      </c>
      <c r="AA8396" s="5" t="str">
        <f>IFERROR(__xludf.DUMMYFUNCTION("IF(REGEXMATCH(Z8396, ""Season""), ""TV Show"", ""Movie"")"),"Movie")</f>
        <v>Movie</v>
      </c>
    </row>
    <row r="8397">
      <c r="A8397" s="1" t="s">
        <v>40187</v>
      </c>
      <c r="B8397" s="1" t="s">
        <v>27</v>
      </c>
      <c r="C8397" s="1" t="s">
        <v>40188</v>
      </c>
      <c r="D8397" s="1" t="s">
        <v>14907</v>
      </c>
      <c r="E8397" s="1" t="s">
        <v>40189</v>
      </c>
      <c r="F8397" s="1" t="s">
        <v>40190</v>
      </c>
      <c r="G8397" s="1" t="s">
        <v>10003</v>
      </c>
      <c r="H8397" s="1">
        <v>2015.0</v>
      </c>
      <c r="I8397" s="1" t="s">
        <v>78</v>
      </c>
      <c r="J8397" s="1" t="s">
        <v>1256</v>
      </c>
      <c r="K8397" s="1" t="s">
        <v>80</v>
      </c>
      <c r="L8397" s="1" t="s">
        <v>40191</v>
      </c>
      <c r="M8397" s="2" t="s">
        <v>12</v>
      </c>
      <c r="N8397" s="4">
        <f t="shared" si="1"/>
        <v>44141</v>
      </c>
      <c r="O8397" s="5" t="str">
        <f>IFERROR(__xludf.DUMMYFUNCTION("IF(REGEXMATCH(TRIM(I8397), ""^\d+\s*min""), ""Unclassified"", IF(I8397 = """", ""NR"", I8397))"),"PG")</f>
        <v>PG</v>
      </c>
      <c r="R8397" s="5" t="str">
        <f t="shared" si="2"/>
        <v>The Little Prince</v>
      </c>
      <c r="S8397" s="5" t="str">
        <f>IFERROR(__xludf.DUMMYFUNCTION("""COMPUTED_VALUE"""),"Virsa")</f>
        <v>Virsa</v>
      </c>
      <c r="V8397" s="5"/>
      <c r="Y8397" s="5" t="str">
        <f>IFERROR(__xludf.DUMMYFUNCTION("REGEXEXTRACT(J8397, ""^\d+"")"),"107")</f>
        <v>107</v>
      </c>
      <c r="Z8397" s="5" t="str">
        <f>IFERROR(__xludf.DUMMYFUNCTION("REGEXEXTRACT(J8397, ""[A-Za-z ]+$"")")," min")</f>
        <v> min</v>
      </c>
      <c r="AA8397" s="5" t="str">
        <f>IFERROR(__xludf.DUMMYFUNCTION("IF(REGEXMATCH(Z8397, ""Season""), ""TV Show"", ""Movie"")"),"Movie")</f>
        <v>Movie</v>
      </c>
    </row>
    <row r="8398">
      <c r="A8398" s="1" t="s">
        <v>40192</v>
      </c>
      <c r="B8398" s="1" t="s">
        <v>27</v>
      </c>
      <c r="C8398" s="1" t="s">
        <v>40193</v>
      </c>
      <c r="D8398" s="1" t="s">
        <v>3780</v>
      </c>
      <c r="E8398" s="1" t="s">
        <v>40194</v>
      </c>
      <c r="F8398" s="1" t="s">
        <v>2492</v>
      </c>
      <c r="G8398" s="1" t="s">
        <v>21602</v>
      </c>
      <c r="H8398" s="1">
        <v>2006.0</v>
      </c>
      <c r="I8398" s="1" t="s">
        <v>378</v>
      </c>
      <c r="J8398" s="1" t="s">
        <v>2414</v>
      </c>
      <c r="K8398" s="1" t="s">
        <v>298</v>
      </c>
      <c r="L8398" s="1" t="s">
        <v>40195</v>
      </c>
      <c r="M8398" s="2" t="s">
        <v>12</v>
      </c>
      <c r="N8398" s="4">
        <f t="shared" si="1"/>
        <v>43539</v>
      </c>
      <c r="O8398" s="5" t="str">
        <f>IFERROR(__xludf.DUMMYFUNCTION("IF(REGEXMATCH(TRIM(I8398), ""^\d+\s*min""), ""Unclassified"", IF(I8398 = """", ""NR"", I8398))"),"R")</f>
        <v>R</v>
      </c>
      <c r="R8398" s="5" t="str">
        <f t="shared" si="2"/>
        <v>The Lives Of Others</v>
      </c>
      <c r="S8398" s="5" t="str">
        <f>IFERROR(__xludf.DUMMYFUNCTION("""COMPUTED_VALUE"""),"Virunga")</f>
        <v>Virunga</v>
      </c>
      <c r="V8398" s="5"/>
      <c r="Y8398" s="5" t="str">
        <f>IFERROR(__xludf.DUMMYFUNCTION("REGEXEXTRACT(J8398, ""^\d+"")"),"138")</f>
        <v>138</v>
      </c>
      <c r="Z8398" s="5" t="str">
        <f>IFERROR(__xludf.DUMMYFUNCTION("REGEXEXTRACT(J8398, ""[A-Za-z ]+$"")")," min")</f>
        <v> min</v>
      </c>
      <c r="AA8398" s="5" t="str">
        <f>IFERROR(__xludf.DUMMYFUNCTION("IF(REGEXMATCH(Z8398, ""Season""), ""TV Show"", ""Movie"")"),"Movie")</f>
        <v>Movie</v>
      </c>
    </row>
    <row r="8399">
      <c r="A8399" s="1" t="s">
        <v>40196</v>
      </c>
      <c r="B8399" s="1" t="s">
        <v>37</v>
      </c>
      <c r="C8399" s="1" t="s">
        <v>40197</v>
      </c>
      <c r="E8399" s="1" t="s">
        <v>40198</v>
      </c>
      <c r="F8399" s="1" t="s">
        <v>30</v>
      </c>
      <c r="G8399" s="1" t="s">
        <v>29787</v>
      </c>
      <c r="H8399" s="1">
        <v>2015.0</v>
      </c>
      <c r="I8399" s="1" t="s">
        <v>97</v>
      </c>
      <c r="J8399" s="1" t="s">
        <v>51</v>
      </c>
      <c r="K8399" s="1" t="s">
        <v>4173</v>
      </c>
      <c r="L8399" s="1" t="s">
        <v>40199</v>
      </c>
      <c r="M8399" s="2" t="s">
        <v>12</v>
      </c>
      <c r="N8399" s="4">
        <f t="shared" si="1"/>
        <v>42401</v>
      </c>
      <c r="O8399" s="5" t="str">
        <f>IFERROR(__xludf.DUMMYFUNCTION("IF(REGEXMATCH(TRIM(I8399), ""^\d+\s*min""), ""Unclassified"", IF(I8399 = """", ""NR"", I8399))"),"TV-14")</f>
        <v>TV-14</v>
      </c>
      <c r="R8399" s="5" t="str">
        <f t="shared" si="2"/>
        <v>The Lizzie Borden Chronicles</v>
      </c>
      <c r="S8399" s="5" t="str">
        <f>IFERROR(__xludf.DUMMYFUNCTION("""COMPUTED_VALUE"""),"Virunga: Gorillas In Peril")</f>
        <v>Virunga: Gorillas In Peril</v>
      </c>
      <c r="V8399" s="5"/>
      <c r="Y8399" s="5" t="str">
        <f>IFERROR(__xludf.DUMMYFUNCTION("REGEXEXTRACT(J8399, ""^\d+"")"),"1")</f>
        <v>1</v>
      </c>
      <c r="Z8399" s="5" t="str">
        <f>IFERROR(__xludf.DUMMYFUNCTION("REGEXEXTRACT(J8399, ""[A-Za-z ]+$"")")," Season")</f>
        <v> Season</v>
      </c>
      <c r="AA8399" s="5" t="str">
        <f>IFERROR(__xludf.DUMMYFUNCTION("IF(REGEXMATCH(Z8399, ""Season""), ""TV Show"", ""Movie"")"),"TV Show")</f>
        <v>TV Show</v>
      </c>
    </row>
    <row r="8400">
      <c r="A8400" s="1" t="s">
        <v>40200</v>
      </c>
      <c r="B8400" s="1" t="s">
        <v>27</v>
      </c>
      <c r="C8400" s="1" t="s">
        <v>40201</v>
      </c>
      <c r="D8400" s="1" t="s">
        <v>15162</v>
      </c>
      <c r="E8400" s="1" t="s">
        <v>40202</v>
      </c>
      <c r="F8400" s="1" t="s">
        <v>40203</v>
      </c>
      <c r="G8400" s="1" t="s">
        <v>23123</v>
      </c>
      <c r="H8400" s="1">
        <v>2015.0</v>
      </c>
      <c r="I8400" s="1" t="s">
        <v>378</v>
      </c>
      <c r="J8400" s="1" t="s">
        <v>804</v>
      </c>
      <c r="K8400" s="1" t="s">
        <v>215</v>
      </c>
      <c r="L8400" s="1" t="s">
        <v>40204</v>
      </c>
      <c r="M8400" s="2" t="s">
        <v>12</v>
      </c>
      <c r="N8400" s="4">
        <f t="shared" si="1"/>
        <v>43436</v>
      </c>
      <c r="O8400" s="5" t="str">
        <f>IFERROR(__xludf.DUMMYFUNCTION("IF(REGEXMATCH(TRIM(I8400), ""^\d+\s*min""), ""Unclassified"", IF(I8400 = """", ""NR"", I8400))"),"R")</f>
        <v>R</v>
      </c>
      <c r="R8400" s="5" t="str">
        <f t="shared" si="2"/>
        <v>The Lobster</v>
      </c>
      <c r="S8400" s="5" t="str">
        <f>IFERROR(__xludf.DUMMYFUNCTION("""COMPUTED_VALUE"""),"Viswasapoorvam Mansoor")</f>
        <v>Viswasapoorvam Mansoor</v>
      </c>
      <c r="V8400" s="5"/>
      <c r="Y8400" s="5" t="str">
        <f>IFERROR(__xludf.DUMMYFUNCTION("REGEXEXTRACT(J8400, ""^\d+"")"),"119")</f>
        <v>119</v>
      </c>
      <c r="Z8400" s="5" t="str">
        <f>IFERROR(__xludf.DUMMYFUNCTION("REGEXEXTRACT(J8400, ""[A-Za-z ]+$"")")," min")</f>
        <v> min</v>
      </c>
      <c r="AA8400" s="5" t="str">
        <f>IFERROR(__xludf.DUMMYFUNCTION("IF(REGEXMATCH(Z8400, ""Season""), ""TV Show"", ""Movie"")"),"Movie")</f>
        <v>Movie</v>
      </c>
    </row>
    <row r="8401">
      <c r="A8401" s="1" t="s">
        <v>40205</v>
      </c>
      <c r="B8401" s="1" t="s">
        <v>27</v>
      </c>
      <c r="C8401" s="1" t="s">
        <v>40206</v>
      </c>
      <c r="D8401" s="1" t="s">
        <v>3810</v>
      </c>
      <c r="E8401" s="1" t="s">
        <v>40207</v>
      </c>
      <c r="F8401" s="1" t="s">
        <v>1453</v>
      </c>
      <c r="G8401" s="1" t="s">
        <v>33186</v>
      </c>
      <c r="H8401" s="1">
        <v>2017.0</v>
      </c>
      <c r="I8401" s="1" t="s">
        <v>378</v>
      </c>
      <c r="J8401" s="1" t="s">
        <v>454</v>
      </c>
      <c r="K8401" s="1" t="s">
        <v>1441</v>
      </c>
      <c r="L8401" s="1" t="s">
        <v>40208</v>
      </c>
      <c r="M8401" s="2" t="s">
        <v>12</v>
      </c>
      <c r="N8401" s="4">
        <f t="shared" si="1"/>
        <v>43335</v>
      </c>
      <c r="O8401" s="5" t="str">
        <f>IFERROR(__xludf.DUMMYFUNCTION("IF(REGEXMATCH(TRIM(I8401), ""^\d+\s*min""), ""Unclassified"", IF(I8401 = """", ""NR"", I8401))"),"R")</f>
        <v>R</v>
      </c>
      <c r="R8401" s="5" t="str">
        <f t="shared" si="2"/>
        <v>The Lodgers</v>
      </c>
      <c r="S8401" s="5" t="str">
        <f>IFERROR(__xludf.DUMMYFUNCTION("""COMPUTED_VALUE"""),"Vitti Dandu")</f>
        <v>Vitti Dandu</v>
      </c>
      <c r="V8401" s="5"/>
      <c r="Y8401" s="5" t="str">
        <f>IFERROR(__xludf.DUMMYFUNCTION("REGEXEXTRACT(J8401, ""^\d+"")"),"93")</f>
        <v>93</v>
      </c>
      <c r="Z8401" s="5" t="str">
        <f>IFERROR(__xludf.DUMMYFUNCTION("REGEXEXTRACT(J8401, ""[A-Za-z ]+$"")")," min")</f>
        <v> min</v>
      </c>
      <c r="AA8401" s="5" t="str">
        <f>IFERROR(__xludf.DUMMYFUNCTION("IF(REGEXMATCH(Z8401, ""Season""), ""TV Show"", ""Movie"")"),"Movie")</f>
        <v>Movie</v>
      </c>
    </row>
    <row r="8402">
      <c r="A8402" s="1" t="s">
        <v>40209</v>
      </c>
      <c r="B8402" s="1" t="s">
        <v>27</v>
      </c>
      <c r="C8402" s="1" t="s">
        <v>40210</v>
      </c>
      <c r="D8402" s="1" t="s">
        <v>10413</v>
      </c>
      <c r="F8402" s="1" t="s">
        <v>30</v>
      </c>
      <c r="G8402" s="1" t="s">
        <v>40211</v>
      </c>
      <c r="H8402" s="1">
        <v>2019.0</v>
      </c>
      <c r="I8402" s="1" t="s">
        <v>136</v>
      </c>
      <c r="J8402" s="1" t="s">
        <v>630</v>
      </c>
      <c r="K8402" s="1" t="s">
        <v>25796</v>
      </c>
      <c r="L8402" s="1" t="s">
        <v>40212</v>
      </c>
      <c r="M8402" s="2" t="s">
        <v>12</v>
      </c>
      <c r="N8402" s="4">
        <f t="shared" si="1"/>
        <v>43639</v>
      </c>
      <c r="O8402" s="5" t="str">
        <f>IFERROR(__xludf.DUMMYFUNCTION("IF(REGEXMATCH(TRIM(I8402), ""^\d+\s*min""), ""Unclassified"", IF(I8402 = """", ""NR"", I8402))"),"TV-PG")</f>
        <v>TV-PG</v>
      </c>
      <c r="R8402" s="5" t="str">
        <f t="shared" si="2"/>
        <v>The Long Goodbye: The Kara Tippetts Story</v>
      </c>
      <c r="S8402" s="5" t="str">
        <f>IFERROR(__xludf.DUMMYFUNCTION("""COMPUTED_VALUE"""),"Vivah")</f>
        <v>Vivah</v>
      </c>
      <c r="V8402" s="5"/>
      <c r="Y8402" s="5" t="str">
        <f>IFERROR(__xludf.DUMMYFUNCTION("REGEXEXTRACT(J8402, ""^\d+"")"),"87")</f>
        <v>87</v>
      </c>
      <c r="Z8402" s="5" t="str">
        <f>IFERROR(__xludf.DUMMYFUNCTION("REGEXEXTRACT(J8402, ""[A-Za-z ]+$"")")," min")</f>
        <v> min</v>
      </c>
      <c r="AA8402" s="5" t="str">
        <f>IFERROR(__xludf.DUMMYFUNCTION("IF(REGEXMATCH(Z8402, ""Season""), ""TV Show"", ""Movie"")"),"Movie")</f>
        <v>Movie</v>
      </c>
    </row>
    <row r="8403">
      <c r="A8403" s="1" t="s">
        <v>40213</v>
      </c>
      <c r="B8403" s="1" t="s">
        <v>27</v>
      </c>
      <c r="C8403" s="1" t="s">
        <v>40214</v>
      </c>
      <c r="D8403" s="1" t="s">
        <v>19400</v>
      </c>
      <c r="E8403" s="1" t="s">
        <v>40215</v>
      </c>
      <c r="F8403" s="1" t="s">
        <v>30</v>
      </c>
      <c r="G8403" s="1" t="s">
        <v>17941</v>
      </c>
      <c r="H8403" s="1">
        <v>1974.0</v>
      </c>
      <c r="I8403" s="1" t="s">
        <v>378</v>
      </c>
      <c r="J8403" s="1" t="s">
        <v>941</v>
      </c>
      <c r="K8403" s="1" t="s">
        <v>40216</v>
      </c>
      <c r="L8403" s="1" t="s">
        <v>40217</v>
      </c>
      <c r="M8403" s="2" t="s">
        <v>12</v>
      </c>
      <c r="N8403" s="4">
        <f t="shared" si="1"/>
        <v>43789</v>
      </c>
      <c r="O8403" s="5" t="str">
        <f>IFERROR(__xludf.DUMMYFUNCTION("IF(REGEXMATCH(TRIM(I8403), ""^\d+\s*min""), ""Unclassified"", IF(I8403 = """", ""NR"", I8403))"),"R")</f>
        <v>R</v>
      </c>
      <c r="R8403" s="5" t="str">
        <f t="shared" si="2"/>
        <v>The Longest Yard</v>
      </c>
      <c r="S8403" s="5" t="str">
        <f>IFERROR(__xludf.DUMMYFUNCTION("""COMPUTED_VALUE"""),"Vivo")</f>
        <v>Vivo</v>
      </c>
      <c r="V8403" s="5"/>
      <c r="Y8403" s="5" t="str">
        <f>IFERROR(__xludf.DUMMYFUNCTION("REGEXEXTRACT(J8403, ""^\d+"")"),"121")</f>
        <v>121</v>
      </c>
      <c r="Z8403" s="5" t="str">
        <f>IFERROR(__xludf.DUMMYFUNCTION("REGEXEXTRACT(J8403, ""[A-Za-z ]+$"")")," min")</f>
        <v> min</v>
      </c>
      <c r="AA8403" s="5" t="str">
        <f>IFERROR(__xludf.DUMMYFUNCTION("IF(REGEXMATCH(Z8403, ""Season""), ""TV Show"", ""Movie"")"),"Movie")</f>
        <v>Movie</v>
      </c>
    </row>
    <row r="8404">
      <c r="A8404" s="1" t="s">
        <v>40218</v>
      </c>
      <c r="B8404" s="1" t="s">
        <v>27</v>
      </c>
      <c r="C8404" s="1" t="s">
        <v>40219</v>
      </c>
      <c r="D8404" s="1" t="s">
        <v>7927</v>
      </c>
      <c r="E8404" s="1" t="s">
        <v>40220</v>
      </c>
      <c r="F8404" s="1" t="s">
        <v>30</v>
      </c>
      <c r="G8404" s="1" t="s">
        <v>22309</v>
      </c>
      <c r="H8404" s="1">
        <v>2008.0</v>
      </c>
      <c r="I8404" s="1" t="s">
        <v>78</v>
      </c>
      <c r="J8404" s="1" t="s">
        <v>465</v>
      </c>
      <c r="K8404" s="1" t="s">
        <v>40221</v>
      </c>
      <c r="L8404" s="1" t="s">
        <v>40222</v>
      </c>
      <c r="M8404" s="2" t="s">
        <v>12</v>
      </c>
      <c r="N8404" s="4">
        <f t="shared" si="1"/>
        <v>43495</v>
      </c>
      <c r="O8404" s="5" t="str">
        <f>IFERROR(__xludf.DUMMYFUNCTION("IF(REGEXMATCH(TRIM(I8404), ""^\d+\s*min""), ""Unclassified"", IF(I8404 = """", ""NR"", I8404))"),"PG")</f>
        <v>PG</v>
      </c>
      <c r="R8404" s="5" t="str">
        <f t="shared" si="2"/>
        <v>The Longshots</v>
      </c>
      <c r="S8404" s="5" t="str">
        <f>IFERROR(__xludf.DUMMYFUNCTION("""COMPUTED_VALUE"""),"Vizontele")</f>
        <v>Vizontele</v>
      </c>
      <c r="V8404" s="5"/>
      <c r="Y8404" s="5" t="str">
        <f>IFERROR(__xludf.DUMMYFUNCTION("REGEXEXTRACT(J8404, ""^\d+"")"),"95")</f>
        <v>95</v>
      </c>
      <c r="Z8404" s="5" t="str">
        <f>IFERROR(__xludf.DUMMYFUNCTION("REGEXEXTRACT(J8404, ""[A-Za-z ]+$"")")," min")</f>
        <v> min</v>
      </c>
      <c r="AA8404" s="5" t="str">
        <f>IFERROR(__xludf.DUMMYFUNCTION("IF(REGEXMATCH(Z8404, ""Season""), ""TV Show"", ""Movie"")"),"Movie")</f>
        <v>Movie</v>
      </c>
    </row>
    <row r="8405">
      <c r="A8405" s="1" t="s">
        <v>40223</v>
      </c>
      <c r="B8405" s="1" t="s">
        <v>27</v>
      </c>
      <c r="C8405" s="1" t="s">
        <v>40224</v>
      </c>
      <c r="D8405" s="1" t="s">
        <v>11924</v>
      </c>
      <c r="F8405" s="1" t="s">
        <v>40225</v>
      </c>
      <c r="G8405" s="1" t="s">
        <v>29760</v>
      </c>
      <c r="H8405" s="1">
        <v>2014.0</v>
      </c>
      <c r="I8405" s="1" t="s">
        <v>32</v>
      </c>
      <c r="J8405" s="1" t="s">
        <v>238</v>
      </c>
      <c r="K8405" s="1" t="s">
        <v>156</v>
      </c>
      <c r="L8405" s="1" t="s">
        <v>40226</v>
      </c>
      <c r="M8405" s="2" t="s">
        <v>12</v>
      </c>
      <c r="N8405" s="4">
        <f t="shared" si="1"/>
        <v>42426</v>
      </c>
      <c r="O8405" s="5" t="str">
        <f>IFERROR(__xludf.DUMMYFUNCTION("IF(REGEXMATCH(TRIM(I8405), ""^\d+\s*min""), ""Unclassified"", IF(I8405 = """", ""NR"", I8405))"),"PG-13")</f>
        <v>PG-13</v>
      </c>
      <c r="R8405" s="5" t="str">
        <f t="shared" si="2"/>
        <v>The Look Of Silence</v>
      </c>
      <c r="S8405" s="5" t="str">
        <f>IFERROR(__xludf.DUMMYFUNCTION("""COMPUTED_VALUE"""),"Vizontele Tuuba")</f>
        <v>Vizontele Tuuba</v>
      </c>
      <c r="V8405" s="5"/>
      <c r="Y8405" s="5" t="str">
        <f>IFERROR(__xludf.DUMMYFUNCTION("REGEXEXTRACT(J8405, ""^\d+"")"),"103")</f>
        <v>103</v>
      </c>
      <c r="Z8405" s="5" t="str">
        <f>IFERROR(__xludf.DUMMYFUNCTION("REGEXEXTRACT(J8405, ""[A-Za-z ]+$"")")," min")</f>
        <v> min</v>
      </c>
      <c r="AA8405" s="5" t="str">
        <f>IFERROR(__xludf.DUMMYFUNCTION("IF(REGEXMATCH(Z8405, ""Season""), ""TV Show"", ""Movie"")"),"Movie")</f>
        <v>Movie</v>
      </c>
    </row>
    <row r="8406">
      <c r="A8406" s="1" t="s">
        <v>40227</v>
      </c>
      <c r="B8406" s="1" t="s">
        <v>27</v>
      </c>
      <c r="C8406" s="1" t="s">
        <v>40228</v>
      </c>
      <c r="D8406" s="1" t="s">
        <v>5701</v>
      </c>
      <c r="E8406" s="1" t="s">
        <v>40229</v>
      </c>
      <c r="F8406" s="1" t="s">
        <v>40230</v>
      </c>
      <c r="G8406" s="1" t="s">
        <v>16947</v>
      </c>
      <c r="H8406" s="1">
        <v>2003.0</v>
      </c>
      <c r="I8406" s="1" t="s">
        <v>32</v>
      </c>
      <c r="J8406" s="1" t="s">
        <v>40231</v>
      </c>
      <c r="K8406" s="1" t="s">
        <v>942</v>
      </c>
      <c r="L8406" s="1" t="s">
        <v>40232</v>
      </c>
      <c r="M8406" s="2" t="s">
        <v>12</v>
      </c>
      <c r="N8406" s="4">
        <f t="shared" si="1"/>
        <v>43831</v>
      </c>
      <c r="O8406" s="5" t="str">
        <f>IFERROR(__xludf.DUMMYFUNCTION("IF(REGEXMATCH(TRIM(I8406), ""^\d+\s*min""), ""Unclassified"", IF(I8406 = """", ""NR"", I8406))"),"PG-13")</f>
        <v>PG-13</v>
      </c>
      <c r="R8406" s="5" t="str">
        <f t="shared" si="2"/>
        <v>The Lord Of The Rings: The Return Of The King</v>
      </c>
      <c r="S8406" s="5" t="str">
        <f>IFERROR(__xludf.DUMMYFUNCTION("""COMPUTED_VALUE"""),"Vodka Diaries")</f>
        <v>Vodka Diaries</v>
      </c>
      <c r="V8406" s="5"/>
      <c r="Y8406" s="5" t="str">
        <f>IFERROR(__xludf.DUMMYFUNCTION("REGEXEXTRACT(J8406, ""^\d+"")"),"201")</f>
        <v>201</v>
      </c>
      <c r="Z8406" s="5" t="str">
        <f>IFERROR(__xludf.DUMMYFUNCTION("REGEXEXTRACT(J8406, ""[A-Za-z ]+$"")")," min")</f>
        <v> min</v>
      </c>
      <c r="AA8406" s="5" t="str">
        <f>IFERROR(__xludf.DUMMYFUNCTION("IF(REGEXMATCH(Z8406, ""Season""), ""TV Show"", ""Movie"")"),"Movie")</f>
        <v>Movie</v>
      </c>
    </row>
    <row r="8407">
      <c r="A8407" s="1" t="s">
        <v>40233</v>
      </c>
      <c r="B8407" s="1" t="s">
        <v>27</v>
      </c>
      <c r="C8407" s="1" t="s">
        <v>40234</v>
      </c>
      <c r="D8407" s="1" t="s">
        <v>5701</v>
      </c>
      <c r="E8407" s="1" t="s">
        <v>40235</v>
      </c>
      <c r="F8407" s="1" t="s">
        <v>40230</v>
      </c>
      <c r="G8407" s="1" t="s">
        <v>16947</v>
      </c>
      <c r="H8407" s="1">
        <v>2002.0</v>
      </c>
      <c r="I8407" s="1" t="s">
        <v>32</v>
      </c>
      <c r="J8407" s="1" t="s">
        <v>28702</v>
      </c>
      <c r="K8407" s="1" t="s">
        <v>942</v>
      </c>
      <c r="L8407" s="1" t="s">
        <v>40236</v>
      </c>
      <c r="M8407" s="2" t="s">
        <v>12</v>
      </c>
      <c r="N8407" s="4">
        <f t="shared" si="1"/>
        <v>43831</v>
      </c>
      <c r="O8407" s="5" t="str">
        <f>IFERROR(__xludf.DUMMYFUNCTION("IF(REGEXMATCH(TRIM(I8407), ""^\d+\s*min""), ""Unclassified"", IF(I8407 = """", ""NR"", I8407))"),"PG-13")</f>
        <v>PG-13</v>
      </c>
      <c r="R8407" s="5" t="str">
        <f t="shared" si="2"/>
        <v>The Lord Of The Rings: The Two Towers</v>
      </c>
      <c r="S8407" s="5" t="str">
        <f>IFERROR(__xludf.DUMMYFUNCTION("""COMPUTED_VALUE"""),"Voice")</f>
        <v>Voice</v>
      </c>
      <c r="V8407" s="5"/>
      <c r="Y8407" s="5" t="str">
        <f>IFERROR(__xludf.DUMMYFUNCTION("REGEXEXTRACT(J8407, ""^\d+"")"),"179")</f>
        <v>179</v>
      </c>
      <c r="Z8407" s="5" t="str">
        <f>IFERROR(__xludf.DUMMYFUNCTION("REGEXEXTRACT(J8407, ""[A-Za-z ]+$"")")," min")</f>
        <v> min</v>
      </c>
      <c r="AA8407" s="5" t="str">
        <f>IFERROR(__xludf.DUMMYFUNCTION("IF(REGEXMATCH(Z8407, ""Season""), ""TV Show"", ""Movie"")"),"Movie")</f>
        <v>Movie</v>
      </c>
    </row>
    <row r="8408">
      <c r="A8408" s="1" t="s">
        <v>40237</v>
      </c>
      <c r="B8408" s="1" t="s">
        <v>27</v>
      </c>
      <c r="C8408" s="1" t="s">
        <v>40238</v>
      </c>
      <c r="D8408" s="1" t="s">
        <v>14628</v>
      </c>
      <c r="E8408" s="1" t="s">
        <v>40239</v>
      </c>
      <c r="F8408" s="1" t="s">
        <v>6171</v>
      </c>
      <c r="G8408" s="1" t="s">
        <v>17941</v>
      </c>
      <c r="H8408" s="1">
        <v>2008.0</v>
      </c>
      <c r="I8408" s="1" t="s">
        <v>32</v>
      </c>
      <c r="J8408" s="1" t="s">
        <v>630</v>
      </c>
      <c r="K8408" s="1" t="s">
        <v>10251</v>
      </c>
      <c r="L8408" s="1" t="s">
        <v>40240</v>
      </c>
      <c r="M8408" s="2" t="s">
        <v>12</v>
      </c>
      <c r="N8408" s="4">
        <f t="shared" si="1"/>
        <v>43789</v>
      </c>
      <c r="O8408" s="5" t="str">
        <f>IFERROR(__xludf.DUMMYFUNCTION("IF(REGEXMATCH(TRIM(I8408), ""^\d+\s*min""), ""Unclassified"", IF(I8408 = """", ""NR"", I8408))"),"PG-13")</f>
        <v>PG-13</v>
      </c>
      <c r="R8408" s="5" t="str">
        <f t="shared" si="2"/>
        <v>The Love Guru</v>
      </c>
      <c r="S8408" s="5" t="str">
        <f>IFERROR(__xludf.DUMMYFUNCTION("""COMPUTED_VALUE"""),"Voiceless")</f>
        <v>Voiceless</v>
      </c>
      <c r="V8408" s="5"/>
      <c r="Y8408" s="5" t="str">
        <f>IFERROR(__xludf.DUMMYFUNCTION("REGEXEXTRACT(J8408, ""^\d+"")"),"87")</f>
        <v>87</v>
      </c>
      <c r="Z8408" s="5" t="str">
        <f>IFERROR(__xludf.DUMMYFUNCTION("REGEXEXTRACT(J8408, ""[A-Za-z ]+$"")")," min")</f>
        <v> min</v>
      </c>
      <c r="AA8408" s="5" t="str">
        <f>IFERROR(__xludf.DUMMYFUNCTION("IF(REGEXMATCH(Z8408, ""Season""), ""TV Show"", ""Movie"")"),"Movie")</f>
        <v>Movie</v>
      </c>
    </row>
    <row r="8409">
      <c r="A8409" s="1" t="s">
        <v>40241</v>
      </c>
      <c r="B8409" s="1" t="s">
        <v>27</v>
      </c>
      <c r="C8409" s="1" t="s">
        <v>40242</v>
      </c>
      <c r="D8409" s="1" t="s">
        <v>19416</v>
      </c>
      <c r="F8409" s="1" t="s">
        <v>96</v>
      </c>
      <c r="G8409" s="1" t="s">
        <v>35317</v>
      </c>
      <c r="H8409" s="1">
        <v>2016.0</v>
      </c>
      <c r="I8409" s="1" t="s">
        <v>97</v>
      </c>
      <c r="J8409" s="1" t="s">
        <v>357</v>
      </c>
      <c r="K8409" s="1" t="s">
        <v>156</v>
      </c>
      <c r="L8409" s="1" t="s">
        <v>40243</v>
      </c>
      <c r="M8409" s="2" t="s">
        <v>12</v>
      </c>
      <c r="N8409" s="4">
        <f t="shared" si="1"/>
        <v>42789</v>
      </c>
      <c r="O8409" s="5" t="str">
        <f>IFERROR(__xludf.DUMMYFUNCTION("IF(REGEXMATCH(TRIM(I8409), ""^\d+\s*min""), ""Unclassified"", IF(I8409 = """", ""NR"", I8409))"),"TV-14")</f>
        <v>TV-14</v>
      </c>
      <c r="R8409" s="5" t="str">
        <f t="shared" si="2"/>
        <v>The Lovers And The Despot</v>
      </c>
      <c r="S8409" s="5" t="str">
        <f>IFERROR(__xludf.DUMMYFUNCTION("""COMPUTED_VALUE"""),"Voices Of Fire")</f>
        <v>Voices Of Fire</v>
      </c>
      <c r="V8409" s="5"/>
      <c r="Y8409" s="5" t="str">
        <f>IFERROR(__xludf.DUMMYFUNCTION("REGEXEXTRACT(J8409, ""^\d+"")"),"98")</f>
        <v>98</v>
      </c>
      <c r="Z8409" s="5" t="str">
        <f>IFERROR(__xludf.DUMMYFUNCTION("REGEXEXTRACT(J8409, ""[A-Za-z ]+$"")")," min")</f>
        <v> min</v>
      </c>
      <c r="AA8409" s="5" t="str">
        <f>IFERROR(__xludf.DUMMYFUNCTION("IF(REGEXMATCH(Z8409, ""Season""), ""TV Show"", ""Movie"")"),"Movie")</f>
        <v>Movie</v>
      </c>
    </row>
    <row r="8410">
      <c r="A8410" s="1" t="s">
        <v>40244</v>
      </c>
      <c r="B8410" s="1" t="s">
        <v>27</v>
      </c>
      <c r="C8410" s="1" t="s">
        <v>40245</v>
      </c>
      <c r="D8410" s="1" t="s">
        <v>21442</v>
      </c>
      <c r="E8410" s="1" t="s">
        <v>40246</v>
      </c>
      <c r="F8410" s="1" t="s">
        <v>2446</v>
      </c>
      <c r="G8410" s="1" t="s">
        <v>18985</v>
      </c>
      <c r="H8410" s="1">
        <v>1982.0</v>
      </c>
      <c r="I8410" s="1" t="s">
        <v>97</v>
      </c>
      <c r="J8410" s="1" t="s">
        <v>1001</v>
      </c>
      <c r="K8410" s="1" t="s">
        <v>128</v>
      </c>
      <c r="L8410" s="1" t="s">
        <v>40247</v>
      </c>
      <c r="M8410" s="2" t="s">
        <v>12</v>
      </c>
      <c r="N8410" s="4">
        <f t="shared" si="1"/>
        <v>43739</v>
      </c>
      <c r="O8410" s="5" t="str">
        <f>IFERROR(__xludf.DUMMYFUNCTION("IF(REGEXMATCH(TRIM(I8410), ""^\d+\s*min""), ""Unclassified"", IF(I8410 = """", ""NR"", I8410))"),"TV-14")</f>
        <v>TV-14</v>
      </c>
      <c r="R8410" s="5" t="str">
        <f t="shared" si="2"/>
        <v>The Lynx</v>
      </c>
      <c r="S8410" s="5" t="str">
        <f>IFERROR(__xludf.DUMMYFUNCTION("""COMPUTED_VALUE"""),"Voltron: Legendary Defender")</f>
        <v>Voltron: Legendary Defender</v>
      </c>
      <c r="V8410" s="5"/>
      <c r="Y8410" s="5" t="str">
        <f>IFERROR(__xludf.DUMMYFUNCTION("REGEXEXTRACT(J8410, ""^\d+"")"),"82")</f>
        <v>82</v>
      </c>
      <c r="Z8410" s="5" t="str">
        <f>IFERROR(__xludf.DUMMYFUNCTION("REGEXEXTRACT(J8410, ""[A-Za-z ]+$"")")," min")</f>
        <v> min</v>
      </c>
      <c r="AA8410" s="5" t="str">
        <f>IFERROR(__xludf.DUMMYFUNCTION("IF(REGEXMATCH(Z8410, ""Season""), ""TV Show"", ""Movie"")"),"Movie")</f>
        <v>Movie</v>
      </c>
    </row>
    <row r="8411">
      <c r="A8411" s="1" t="s">
        <v>40248</v>
      </c>
      <c r="B8411" s="1" t="s">
        <v>27</v>
      </c>
      <c r="C8411" s="1" t="s">
        <v>40249</v>
      </c>
      <c r="D8411" s="1" t="s">
        <v>11538</v>
      </c>
      <c r="E8411" s="1" t="s">
        <v>40250</v>
      </c>
      <c r="F8411" s="1" t="s">
        <v>1119</v>
      </c>
      <c r="G8411" s="1" t="s">
        <v>24803</v>
      </c>
      <c r="H8411" s="1">
        <v>1993.0</v>
      </c>
      <c r="I8411" s="1" t="s">
        <v>97</v>
      </c>
      <c r="J8411" s="1" t="s">
        <v>471</v>
      </c>
      <c r="K8411" s="1" t="s">
        <v>1408</v>
      </c>
      <c r="L8411" s="1" t="s">
        <v>40251</v>
      </c>
      <c r="M8411" s="2" t="s">
        <v>12</v>
      </c>
      <c r="N8411" s="4">
        <f t="shared" si="1"/>
        <v>43328</v>
      </c>
      <c r="O8411" s="5" t="str">
        <f>IFERROR(__xludf.DUMMYFUNCTION("IF(REGEXMATCH(TRIM(I8411), ""^\d+\s*min""), ""Unclassified"", IF(I8411 = """", ""NR"", I8411))"),"TV-14")</f>
        <v>TV-14</v>
      </c>
      <c r="R8411" s="5" t="str">
        <f t="shared" si="2"/>
        <v>The Mad Monk</v>
      </c>
      <c r="S8411" s="5" t="str">
        <f>IFERROR(__xludf.DUMMYFUNCTION("""COMPUTED_VALUE"""),"Voulez-Vous Rire Avec Moi Ce Soir?")</f>
        <v>Voulez-Vous Rire Avec Moi Ce Soir?</v>
      </c>
      <c r="V8411" s="5"/>
      <c r="Y8411" s="5" t="str">
        <f>IFERROR(__xludf.DUMMYFUNCTION("REGEXEXTRACT(J8411, ""^\d+"")"),"85")</f>
        <v>85</v>
      </c>
      <c r="Z8411" s="5" t="str">
        <f>IFERROR(__xludf.DUMMYFUNCTION("REGEXEXTRACT(J8411, ""[A-Za-z ]+$"")")," min")</f>
        <v> min</v>
      </c>
      <c r="AA8411" s="5" t="str">
        <f>IFERROR(__xludf.DUMMYFUNCTION("IF(REGEXMATCH(Z8411, ""Season""), ""TV Show"", ""Movie"")"),"Movie")</f>
        <v>Movie</v>
      </c>
    </row>
    <row r="8412">
      <c r="A8412" s="1" t="s">
        <v>40252</v>
      </c>
      <c r="B8412" s="1" t="s">
        <v>27</v>
      </c>
      <c r="C8412" s="1" t="s">
        <v>40253</v>
      </c>
      <c r="D8412" s="1" t="s">
        <v>19524</v>
      </c>
      <c r="E8412" s="1" t="s">
        <v>40254</v>
      </c>
      <c r="F8412" s="1" t="s">
        <v>40255</v>
      </c>
      <c r="G8412" s="1" t="s">
        <v>25712</v>
      </c>
      <c r="H8412" s="1">
        <v>2017.0</v>
      </c>
      <c r="I8412" s="1" t="s">
        <v>136</v>
      </c>
      <c r="J8412" s="1" t="s">
        <v>33</v>
      </c>
      <c r="K8412" s="1" t="s">
        <v>34</v>
      </c>
      <c r="L8412" s="1" t="s">
        <v>40256</v>
      </c>
      <c r="M8412" s="2" t="s">
        <v>12</v>
      </c>
      <c r="N8412" s="4">
        <f t="shared" si="1"/>
        <v>43214</v>
      </c>
      <c r="O8412" s="5" t="str">
        <f>IFERROR(__xludf.DUMMYFUNCTION("IF(REGEXMATCH(TRIM(I8412), ""^\d+\s*min""), ""Unclassified"", IF(I8412 = """", ""NR"", I8412))"),"TV-PG")</f>
        <v>TV-PG</v>
      </c>
      <c r="R8412" s="5" t="str">
        <f t="shared" si="2"/>
        <v>The Magic Pill</v>
      </c>
      <c r="S8412" s="5" t="str">
        <f>IFERROR(__xludf.DUMMYFUNCTION("""COMPUTED_VALUE"""),"Voyeur")</f>
        <v>Voyeur</v>
      </c>
      <c r="V8412" s="5"/>
      <c r="Y8412" s="5" t="str">
        <f>IFERROR(__xludf.DUMMYFUNCTION("REGEXEXTRACT(J8412, ""^\d+"")"),"90")</f>
        <v>90</v>
      </c>
      <c r="Z8412" s="5" t="str">
        <f>IFERROR(__xludf.DUMMYFUNCTION("REGEXEXTRACT(J8412, ""[A-Za-z ]+$"")")," min")</f>
        <v> min</v>
      </c>
      <c r="AA8412" s="5" t="str">
        <f>IFERROR(__xludf.DUMMYFUNCTION("IF(REGEXMATCH(Z8412, ""Season""), ""TV Show"", ""Movie"")"),"Movie")</f>
        <v>Movie</v>
      </c>
    </row>
    <row r="8413">
      <c r="A8413" s="1" t="s">
        <v>40257</v>
      </c>
      <c r="B8413" s="1" t="s">
        <v>37</v>
      </c>
      <c r="C8413" s="1" t="s">
        <v>40258</v>
      </c>
      <c r="E8413" s="1" t="s">
        <v>5968</v>
      </c>
      <c r="F8413" s="1" t="s">
        <v>33719</v>
      </c>
      <c r="G8413" s="1" t="s">
        <v>33720</v>
      </c>
      <c r="H8413" s="1">
        <v>2012.0</v>
      </c>
      <c r="I8413" s="1" t="s">
        <v>136</v>
      </c>
      <c r="J8413" s="1" t="s">
        <v>51</v>
      </c>
      <c r="K8413" s="1" t="s">
        <v>29581</v>
      </c>
      <c r="L8413" s="1" t="s">
        <v>40259</v>
      </c>
      <c r="M8413" s="2" t="s">
        <v>12</v>
      </c>
      <c r="N8413" s="4">
        <f t="shared" si="1"/>
        <v>42397</v>
      </c>
      <c r="O8413" s="5" t="str">
        <f>IFERROR(__xludf.DUMMYFUNCTION("IF(REGEXMATCH(TRIM(I8413), ""^\d+\s*min""), ""Unclassified"", IF(I8413 = """", ""NR"", I8413))"),"TV-PG")</f>
        <v>TV-PG</v>
      </c>
      <c r="R8413" s="5" t="str">
        <f t="shared" si="2"/>
        <v>The Making Of Frozen Planet</v>
      </c>
      <c r="S8413" s="5" t="str">
        <f>IFERROR(__xludf.DUMMYFUNCTION("""COMPUTED_VALUE"""),"Vroomiz")</f>
        <v>Vroomiz</v>
      </c>
      <c r="V8413" s="5"/>
      <c r="Y8413" s="5" t="str">
        <f>IFERROR(__xludf.DUMMYFUNCTION("REGEXEXTRACT(J8413, ""^\d+"")"),"1")</f>
        <v>1</v>
      </c>
      <c r="Z8413" s="5" t="str">
        <f>IFERROR(__xludf.DUMMYFUNCTION("REGEXEXTRACT(J8413, ""[A-Za-z ]+$"")")," Season")</f>
        <v> Season</v>
      </c>
      <c r="AA8413" s="5" t="str">
        <f>IFERROR(__xludf.DUMMYFUNCTION("IF(REGEXMATCH(Z8413, ""Season""), ""TV Show"", ""Movie"")"),"TV Show")</f>
        <v>TV Show</v>
      </c>
    </row>
    <row r="8414">
      <c r="A8414" s="1" t="s">
        <v>40260</v>
      </c>
      <c r="B8414" s="1" t="s">
        <v>27</v>
      </c>
      <c r="C8414" s="1" t="s">
        <v>40261</v>
      </c>
      <c r="D8414" s="1" t="s">
        <v>11401</v>
      </c>
      <c r="E8414" s="1" t="s">
        <v>40262</v>
      </c>
      <c r="F8414" s="1" t="s">
        <v>30</v>
      </c>
      <c r="G8414" s="1" t="s">
        <v>26427</v>
      </c>
      <c r="H8414" s="1">
        <v>2009.0</v>
      </c>
      <c r="I8414" s="1" t="s">
        <v>97</v>
      </c>
      <c r="J8414" s="1" t="s">
        <v>2626</v>
      </c>
      <c r="K8414" s="1" t="s">
        <v>700</v>
      </c>
      <c r="L8414" s="1" t="s">
        <v>40263</v>
      </c>
      <c r="M8414" s="2" t="s">
        <v>12</v>
      </c>
      <c r="N8414" s="4">
        <f t="shared" si="1"/>
        <v>43112</v>
      </c>
      <c r="O8414" s="5" t="str">
        <f>IFERROR(__xludf.DUMMYFUNCTION("IF(REGEXMATCH(TRIM(I8414), ""^\d+\s*min""), ""Unclassified"", IF(I8414 = """", ""NR"", I8414))"),"TV-14")</f>
        <v>TV-14</v>
      </c>
      <c r="R8414" s="5" t="str">
        <f t="shared" si="2"/>
        <v>The Man Who Would Be Polka King</v>
      </c>
      <c r="S8414" s="5" t="str">
        <f>IFERROR(__xludf.DUMMYFUNCTION("""COMPUTED_VALUE"""),"Vs.")</f>
        <v>Vs.</v>
      </c>
      <c r="V8414" s="5"/>
      <c r="Y8414" s="5" t="str">
        <f>IFERROR(__xludf.DUMMYFUNCTION("REGEXEXTRACT(J8414, ""^\d+"")"),"68")</f>
        <v>68</v>
      </c>
      <c r="Z8414" s="5" t="str">
        <f>IFERROR(__xludf.DUMMYFUNCTION("REGEXEXTRACT(J8414, ""[A-Za-z ]+$"")")," min")</f>
        <v> min</v>
      </c>
      <c r="AA8414" s="5" t="str">
        <f>IFERROR(__xludf.DUMMYFUNCTION("IF(REGEXMATCH(Z8414, ""Season""), ""TV Show"", ""Movie"")"),"Movie")</f>
        <v>Movie</v>
      </c>
    </row>
    <row r="8415">
      <c r="A8415" s="1" t="s">
        <v>40264</v>
      </c>
      <c r="B8415" s="1" t="s">
        <v>27</v>
      </c>
      <c r="C8415" s="1" t="s">
        <v>40265</v>
      </c>
      <c r="D8415" s="1" t="s">
        <v>1012</v>
      </c>
      <c r="E8415" s="1" t="s">
        <v>40266</v>
      </c>
      <c r="F8415" s="1" t="s">
        <v>40267</v>
      </c>
      <c r="G8415" s="1" t="s">
        <v>16947</v>
      </c>
      <c r="H8415" s="1">
        <v>1998.0</v>
      </c>
      <c r="I8415" s="1" t="s">
        <v>32</v>
      </c>
      <c r="J8415" s="1" t="s">
        <v>2414</v>
      </c>
      <c r="K8415" s="1" t="s">
        <v>3783</v>
      </c>
      <c r="L8415" s="1" t="s">
        <v>40268</v>
      </c>
      <c r="M8415" s="2" t="s">
        <v>12</v>
      </c>
      <c r="N8415" s="4">
        <f t="shared" si="1"/>
        <v>43831</v>
      </c>
      <c r="O8415" s="5" t="str">
        <f>IFERROR(__xludf.DUMMYFUNCTION("IF(REGEXMATCH(TRIM(I8415), ""^\d+\s*min""), ""Unclassified"", IF(I8415 = """", ""NR"", I8415))"),"PG-13")</f>
        <v>PG-13</v>
      </c>
      <c r="R8415" s="5" t="str">
        <f t="shared" si="2"/>
        <v>The Mask Of Zorro</v>
      </c>
      <c r="S8415" s="5" t="str">
        <f>IFERROR(__xludf.DUMMYFUNCTION("""COMPUTED_VALUE"""),"W. Kamau Bell: Private School Negro")</f>
        <v>W. Kamau Bell: Private School Negro</v>
      </c>
      <c r="V8415" s="5"/>
      <c r="Y8415" s="5" t="str">
        <f>IFERROR(__xludf.DUMMYFUNCTION("REGEXEXTRACT(J8415, ""^\d+"")"),"138")</f>
        <v>138</v>
      </c>
      <c r="Z8415" s="5" t="str">
        <f>IFERROR(__xludf.DUMMYFUNCTION("REGEXEXTRACT(J8415, ""[A-Za-z ]+$"")")," min")</f>
        <v> min</v>
      </c>
      <c r="AA8415" s="5" t="str">
        <f>IFERROR(__xludf.DUMMYFUNCTION("IF(REGEXMATCH(Z8415, ""Season""), ""TV Show"", ""Movie"")"),"Movie")</f>
        <v>Movie</v>
      </c>
    </row>
    <row r="8416">
      <c r="A8416" s="1" t="s">
        <v>40269</v>
      </c>
      <c r="B8416" s="1" t="s">
        <v>27</v>
      </c>
      <c r="C8416" s="1" t="s">
        <v>40270</v>
      </c>
      <c r="D8416" s="1" t="s">
        <v>13779</v>
      </c>
      <c r="E8416" s="1" t="s">
        <v>40271</v>
      </c>
      <c r="F8416" s="1" t="s">
        <v>30</v>
      </c>
      <c r="G8416" s="1" t="s">
        <v>18333</v>
      </c>
      <c r="H8416" s="1">
        <v>1999.0</v>
      </c>
      <c r="I8416" s="1" t="s">
        <v>378</v>
      </c>
      <c r="J8416" s="1" t="s">
        <v>1383</v>
      </c>
      <c r="K8416" s="1" t="s">
        <v>942</v>
      </c>
      <c r="L8416" s="1" t="s">
        <v>40272</v>
      </c>
      <c r="M8416" s="2" t="s">
        <v>12</v>
      </c>
      <c r="N8416" s="4">
        <f t="shared" si="1"/>
        <v>43770</v>
      </c>
      <c r="O8416" s="5" t="str">
        <f>IFERROR(__xludf.DUMMYFUNCTION("IF(REGEXMATCH(TRIM(I8416), ""^\d+\s*min""), ""Unclassified"", IF(I8416 = """", ""NR"", I8416))"),"R")</f>
        <v>R</v>
      </c>
      <c r="R8416" s="5" t="str">
        <f t="shared" si="2"/>
        <v>The Matrix</v>
      </c>
      <c r="S8416" s="5" t="str">
        <f>IFERROR(__xludf.DUMMYFUNCTION("""COMPUTED_VALUE"""),"W.E.")</f>
        <v>W.E.</v>
      </c>
      <c r="V8416" s="5"/>
      <c r="Y8416" s="5" t="str">
        <f>IFERROR(__xludf.DUMMYFUNCTION("REGEXEXTRACT(J8416, ""^\d+"")"),"136")</f>
        <v>136</v>
      </c>
      <c r="Z8416" s="5" t="str">
        <f>IFERROR(__xludf.DUMMYFUNCTION("REGEXEXTRACT(J8416, ""[A-Za-z ]+$"")")," min")</f>
        <v> min</v>
      </c>
      <c r="AA8416" s="5" t="str">
        <f>IFERROR(__xludf.DUMMYFUNCTION("IF(REGEXMATCH(Z8416, ""Season""), ""TV Show"", ""Movie"")"),"Movie")</f>
        <v>Movie</v>
      </c>
    </row>
    <row r="8417">
      <c r="A8417" s="1" t="s">
        <v>40273</v>
      </c>
      <c r="B8417" s="1" t="s">
        <v>27</v>
      </c>
      <c r="C8417" s="1" t="s">
        <v>40274</v>
      </c>
      <c r="D8417" s="1" t="s">
        <v>13779</v>
      </c>
      <c r="E8417" s="1" t="s">
        <v>40275</v>
      </c>
      <c r="F8417" s="1" t="s">
        <v>30</v>
      </c>
      <c r="G8417" s="1" t="s">
        <v>18333</v>
      </c>
      <c r="H8417" s="1">
        <v>2003.0</v>
      </c>
      <c r="I8417" s="1" t="s">
        <v>378</v>
      </c>
      <c r="J8417" s="1" t="s">
        <v>2414</v>
      </c>
      <c r="K8417" s="1" t="s">
        <v>942</v>
      </c>
      <c r="L8417" s="1" t="s">
        <v>40276</v>
      </c>
      <c r="M8417" s="2" t="s">
        <v>12</v>
      </c>
      <c r="N8417" s="4">
        <f t="shared" si="1"/>
        <v>43770</v>
      </c>
      <c r="O8417" s="5" t="str">
        <f>IFERROR(__xludf.DUMMYFUNCTION("IF(REGEXMATCH(TRIM(I8417), ""^\d+\s*min""), ""Unclassified"", IF(I8417 = """", ""NR"", I8417))"),"R")</f>
        <v>R</v>
      </c>
      <c r="R8417" s="5" t="str">
        <f t="shared" si="2"/>
        <v>The Matrix Reloaded</v>
      </c>
      <c r="S8417" s="5" t="str">
        <f>IFERROR(__xludf.DUMMYFUNCTION("""COMPUTED_VALUE"""),"W/ Bob &amp; David")</f>
        <v>W/ Bob &amp; David</v>
      </c>
      <c r="V8417" s="5"/>
      <c r="Y8417" s="5" t="str">
        <f>IFERROR(__xludf.DUMMYFUNCTION("REGEXEXTRACT(J8417, ""^\d+"")"),"138")</f>
        <v>138</v>
      </c>
      <c r="Z8417" s="5" t="str">
        <f>IFERROR(__xludf.DUMMYFUNCTION("REGEXEXTRACT(J8417, ""[A-Za-z ]+$"")")," min")</f>
        <v> min</v>
      </c>
      <c r="AA8417" s="5" t="str">
        <f>IFERROR(__xludf.DUMMYFUNCTION("IF(REGEXMATCH(Z8417, ""Season""), ""TV Show"", ""Movie"")"),"Movie")</f>
        <v>Movie</v>
      </c>
    </row>
    <row r="8418">
      <c r="A8418" s="1" t="s">
        <v>40277</v>
      </c>
      <c r="B8418" s="1" t="s">
        <v>27</v>
      </c>
      <c r="C8418" s="1" t="s">
        <v>40278</v>
      </c>
      <c r="D8418" s="1" t="s">
        <v>13779</v>
      </c>
      <c r="E8418" s="1" t="s">
        <v>40279</v>
      </c>
      <c r="F8418" s="1" t="s">
        <v>30</v>
      </c>
      <c r="G8418" s="1" t="s">
        <v>18333</v>
      </c>
      <c r="H8418" s="1">
        <v>2003.0</v>
      </c>
      <c r="I8418" s="1" t="s">
        <v>378</v>
      </c>
      <c r="J8418" s="1" t="s">
        <v>1273</v>
      </c>
      <c r="K8418" s="1" t="s">
        <v>942</v>
      </c>
      <c r="L8418" s="1" t="s">
        <v>40280</v>
      </c>
      <c r="M8418" s="2" t="s">
        <v>12</v>
      </c>
      <c r="N8418" s="4">
        <f t="shared" si="1"/>
        <v>43770</v>
      </c>
      <c r="O8418" s="5" t="str">
        <f>IFERROR(__xludf.DUMMYFUNCTION("IF(REGEXMATCH(TRIM(I8418), ""^\d+\s*min""), ""Unclassified"", IF(I8418 = """", ""NR"", I8418))"),"R")</f>
        <v>R</v>
      </c>
      <c r="R8418" s="5" t="str">
        <f t="shared" si="2"/>
        <v>The Matrix Revolutions</v>
      </c>
      <c r="S8418" s="5" t="str">
        <f>IFERROR(__xludf.DUMMYFUNCTION("""COMPUTED_VALUE"""),"W/O Ram")</f>
        <v>W/O Ram</v>
      </c>
      <c r="V8418" s="5"/>
      <c r="Y8418" s="5" t="str">
        <f>IFERROR(__xludf.DUMMYFUNCTION("REGEXEXTRACT(J8418, ""^\d+"")"),"129")</f>
        <v>129</v>
      </c>
      <c r="Z8418" s="5" t="str">
        <f>IFERROR(__xludf.DUMMYFUNCTION("REGEXEXTRACT(J8418, ""[A-Za-z ]+$"")")," min")</f>
        <v> min</v>
      </c>
      <c r="AA8418" s="5" t="str">
        <f>IFERROR(__xludf.DUMMYFUNCTION("IF(REGEXMATCH(Z8418, ""Season""), ""TV Show"", ""Movie"")"),"Movie")</f>
        <v>Movie</v>
      </c>
    </row>
    <row r="8419">
      <c r="A8419" s="1" t="s">
        <v>40281</v>
      </c>
      <c r="B8419" s="1" t="s">
        <v>27</v>
      </c>
      <c r="C8419" s="1" t="s">
        <v>40282</v>
      </c>
      <c r="D8419" s="1" t="s">
        <v>12700</v>
      </c>
      <c r="E8419" s="1" t="s">
        <v>35230</v>
      </c>
      <c r="F8419" s="1" t="s">
        <v>30</v>
      </c>
      <c r="G8419" s="1" t="s">
        <v>21088</v>
      </c>
      <c r="H8419" s="1">
        <v>2018.0</v>
      </c>
      <c r="I8419" s="1" t="s">
        <v>97</v>
      </c>
      <c r="J8419" s="1" t="s">
        <v>349</v>
      </c>
      <c r="K8419" s="1" t="s">
        <v>34</v>
      </c>
      <c r="L8419" s="1" t="s">
        <v>40283</v>
      </c>
      <c r="M8419" s="2" t="s">
        <v>12</v>
      </c>
      <c r="N8419" s="4">
        <f t="shared" si="1"/>
        <v>43574</v>
      </c>
      <c r="O8419" s="5" t="str">
        <f>IFERROR(__xludf.DUMMYFUNCTION("IF(REGEXMATCH(TRIM(I8419), ""^\d+\s*min""), ""Unclassified"", IF(I8419 = """", ""NR"", I8419))"),"TV-14")</f>
        <v>TV-14</v>
      </c>
      <c r="R8419" s="5" t="str">
        <f t="shared" si="2"/>
        <v>The Mayo Clinic</v>
      </c>
      <c r="S8419" s="5" t="str">
        <f>IFERROR(__xludf.DUMMYFUNCTION("""COMPUTED_VALUE"""),"W1A")</f>
        <v>W1A</v>
      </c>
      <c r="V8419" s="5"/>
      <c r="Y8419" s="5" t="str">
        <f>IFERROR(__xludf.DUMMYFUNCTION("REGEXEXTRACT(J8419, ""^\d+"")"),"116")</f>
        <v>116</v>
      </c>
      <c r="Z8419" s="5" t="str">
        <f>IFERROR(__xludf.DUMMYFUNCTION("REGEXEXTRACT(J8419, ""[A-Za-z ]+$"")")," min")</f>
        <v> min</v>
      </c>
      <c r="AA8419" s="5" t="str">
        <f>IFERROR(__xludf.DUMMYFUNCTION("IF(REGEXMATCH(Z8419, ""Season""), ""TV Show"", ""Movie"")"),"Movie")</f>
        <v>Movie</v>
      </c>
    </row>
    <row r="8420">
      <c r="A8420" s="1" t="s">
        <v>40284</v>
      </c>
      <c r="B8420" s="1" t="s">
        <v>27</v>
      </c>
      <c r="C8420" s="1" t="s">
        <v>40285</v>
      </c>
      <c r="D8420" s="1" t="s">
        <v>40286</v>
      </c>
      <c r="E8420" s="1" t="s">
        <v>40287</v>
      </c>
      <c r="F8420" s="1" t="s">
        <v>749</v>
      </c>
      <c r="G8420" s="1" t="s">
        <v>27160</v>
      </c>
      <c r="H8420" s="1">
        <v>2017.0</v>
      </c>
      <c r="I8420" s="1" t="s">
        <v>42</v>
      </c>
      <c r="J8420" s="1" t="s">
        <v>2281</v>
      </c>
      <c r="K8420" s="1" t="s">
        <v>128</v>
      </c>
      <c r="L8420" s="1" t="s">
        <v>40288</v>
      </c>
      <c r="M8420" s="2" t="s">
        <v>12</v>
      </c>
      <c r="N8420" s="4">
        <f t="shared" si="1"/>
        <v>43008</v>
      </c>
      <c r="O8420" s="5" t="str">
        <f>IFERROR(__xludf.DUMMYFUNCTION("IF(REGEXMATCH(TRIM(I8420), ""^\d+\s*min""), ""Unclassified"", IF(I8420 = """", ""NR"", I8420))"),"TV-MA")</f>
        <v>TV-MA</v>
      </c>
      <c r="R8420" s="5" t="str">
        <f t="shared" si="2"/>
        <v>The Mayor</v>
      </c>
      <c r="S8420" s="5" t="str">
        <f>IFERROR(__xludf.DUMMYFUNCTION("""COMPUTED_VALUE"""),"Waar")</f>
        <v>Waar</v>
      </c>
      <c r="V8420" s="5"/>
      <c r="Y8420" s="5" t="str">
        <f>IFERROR(__xludf.DUMMYFUNCTION("REGEXEXTRACT(J8420, ""^\d+"")"),"130")</f>
        <v>130</v>
      </c>
      <c r="Z8420" s="5" t="str">
        <f>IFERROR(__xludf.DUMMYFUNCTION("REGEXEXTRACT(J8420, ""[A-Za-z ]+$"")")," min")</f>
        <v> min</v>
      </c>
      <c r="AA8420" s="5" t="str">
        <f>IFERROR(__xludf.DUMMYFUNCTION("IF(REGEXMATCH(Z8420, ""Season""), ""TV Show"", ""Movie"")"),"Movie")</f>
        <v>Movie</v>
      </c>
    </row>
    <row r="8421">
      <c r="A8421" s="1" t="s">
        <v>40289</v>
      </c>
      <c r="B8421" s="1" t="s">
        <v>27</v>
      </c>
      <c r="C8421" s="1" t="s">
        <v>40290</v>
      </c>
      <c r="D8421" s="1" t="s">
        <v>23648</v>
      </c>
      <c r="F8421" s="1" t="s">
        <v>30</v>
      </c>
      <c r="G8421" s="1" t="s">
        <v>28421</v>
      </c>
      <c r="H8421" s="1">
        <v>1944.0</v>
      </c>
      <c r="I8421" s="1" t="s">
        <v>136</v>
      </c>
      <c r="J8421" s="1" t="s">
        <v>18322</v>
      </c>
      <c r="K8421" s="1" t="s">
        <v>35403</v>
      </c>
      <c r="L8421" s="1" t="s">
        <v>40291</v>
      </c>
      <c r="M8421" s="2" t="s">
        <v>12</v>
      </c>
      <c r="N8421" s="4">
        <f t="shared" si="1"/>
        <v>42825</v>
      </c>
      <c r="O8421" s="5" t="str">
        <f>IFERROR(__xludf.DUMMYFUNCTION("IF(REGEXMATCH(TRIM(I8421), ""^\d+\s*min""), ""Unclassified"", IF(I8421 = """", ""NR"", I8421))"),"TV-PG")</f>
        <v>TV-PG</v>
      </c>
      <c r="R8421" s="5" t="str">
        <f t="shared" si="2"/>
        <v>The Memphis Belle: A Story Of Aflying Fortress</v>
      </c>
      <c r="S8421" s="5" t="str">
        <f>IFERROR(__xludf.DUMMYFUNCTION("""COMPUTED_VALUE"""),"Waarrior Savitri")</f>
        <v>Waarrior Savitri</v>
      </c>
      <c r="V8421" s="5"/>
      <c r="Y8421" s="5" t="str">
        <f>IFERROR(__xludf.DUMMYFUNCTION("REGEXEXTRACT(J8421, ""^\d+"")"),"40")</f>
        <v>40</v>
      </c>
      <c r="Z8421" s="5" t="str">
        <f>IFERROR(__xludf.DUMMYFUNCTION("REGEXEXTRACT(J8421, ""[A-Za-z ]+$"")")," min")</f>
        <v> min</v>
      </c>
      <c r="AA8421" s="5" t="str">
        <f>IFERROR(__xludf.DUMMYFUNCTION("IF(REGEXMATCH(Z8421, ""Season""), ""TV Show"", ""Movie"")"),"Movie")</f>
        <v>Movie</v>
      </c>
    </row>
    <row r="8422">
      <c r="A8422" s="1" t="s">
        <v>40292</v>
      </c>
      <c r="B8422" s="1" t="s">
        <v>27</v>
      </c>
      <c r="C8422" s="1" t="s">
        <v>40293</v>
      </c>
      <c r="D8422" s="1" t="s">
        <v>8613</v>
      </c>
      <c r="E8422" s="1" t="s">
        <v>40294</v>
      </c>
      <c r="F8422" s="1" t="s">
        <v>692</v>
      </c>
      <c r="G8422" s="1" t="s">
        <v>20527</v>
      </c>
      <c r="H8422" s="1">
        <v>2009.0</v>
      </c>
      <c r="I8422" s="1" t="s">
        <v>378</v>
      </c>
      <c r="J8422" s="1" t="s">
        <v>170</v>
      </c>
      <c r="K8422" s="1" t="s">
        <v>239</v>
      </c>
      <c r="L8422" s="1" t="s">
        <v>40295</v>
      </c>
      <c r="M8422" s="2" t="s">
        <v>12</v>
      </c>
      <c r="N8422" s="4">
        <f t="shared" si="1"/>
        <v>43620</v>
      </c>
      <c r="O8422" s="5" t="str">
        <f>IFERROR(__xludf.DUMMYFUNCTION("IF(REGEXMATCH(TRIM(I8422), ""^\d+\s*min""), ""Unclassified"", IF(I8422 = """", ""NR"", I8422))"),"R")</f>
        <v>R</v>
      </c>
      <c r="R8422" s="5" t="str">
        <f t="shared" si="2"/>
        <v>The Men Who Stare At Goats</v>
      </c>
      <c r="S8422" s="5" t="str">
        <f>IFERROR(__xludf.DUMMYFUNCTION("""COMPUTED_VALUE"""),"Wadi")</f>
        <v>Wadi</v>
      </c>
      <c r="V8422" s="5"/>
      <c r="Y8422" s="5" t="str">
        <f>IFERROR(__xludf.DUMMYFUNCTION("REGEXEXTRACT(J8422, ""^\d+"")"),"94")</f>
        <v>94</v>
      </c>
      <c r="Z8422" s="5" t="str">
        <f>IFERROR(__xludf.DUMMYFUNCTION("REGEXEXTRACT(J8422, ""[A-Za-z ]+$"")")," min")</f>
        <v> min</v>
      </c>
      <c r="AA8422" s="5" t="str">
        <f>IFERROR(__xludf.DUMMYFUNCTION("IF(REGEXMATCH(Z8422, ""Season""), ""TV Show"", ""Movie"")"),"Movie")</f>
        <v>Movie</v>
      </c>
    </row>
    <row r="8423">
      <c r="A8423" s="1" t="s">
        <v>40296</v>
      </c>
      <c r="B8423" s="1" t="s">
        <v>37</v>
      </c>
      <c r="C8423" s="1" t="s">
        <v>40297</v>
      </c>
      <c r="E8423" s="1" t="s">
        <v>40298</v>
      </c>
      <c r="F8423" s="1" t="s">
        <v>30</v>
      </c>
      <c r="G8423" s="1" t="s">
        <v>40299</v>
      </c>
      <c r="H8423" s="1">
        <v>2015.0</v>
      </c>
      <c r="I8423" s="1" t="s">
        <v>97</v>
      </c>
      <c r="J8423" s="1" t="s">
        <v>51</v>
      </c>
      <c r="K8423" s="1" t="s">
        <v>1616</v>
      </c>
      <c r="L8423" s="1" t="s">
        <v>40300</v>
      </c>
      <c r="M8423" s="2" t="s">
        <v>12</v>
      </c>
      <c r="N8423" s="4">
        <f t="shared" si="1"/>
        <v>42477</v>
      </c>
      <c r="O8423" s="5" t="str">
        <f>IFERROR(__xludf.DUMMYFUNCTION("IF(REGEXMATCH(TRIM(I8423), ""^\d+\s*min""), ""Unclassified"", IF(I8423 = """", ""NR"", I8423))"),"TV-14")</f>
        <v>TV-14</v>
      </c>
      <c r="R8423" s="5" t="str">
        <f t="shared" si="2"/>
        <v>The Messengers</v>
      </c>
      <c r="S8423" s="5" t="str">
        <f>IFERROR(__xludf.DUMMYFUNCTION("""COMPUTED_VALUE"""),"Wadjda")</f>
        <v>Wadjda</v>
      </c>
      <c r="V8423" s="5"/>
      <c r="Y8423" s="5" t="str">
        <f>IFERROR(__xludf.DUMMYFUNCTION("REGEXEXTRACT(J8423, ""^\d+"")"),"1")</f>
        <v>1</v>
      </c>
      <c r="Z8423" s="5" t="str">
        <f>IFERROR(__xludf.DUMMYFUNCTION("REGEXEXTRACT(J8423, ""[A-Za-z ]+$"")")," Season")</f>
        <v> Season</v>
      </c>
      <c r="AA8423" s="5" t="str">
        <f>IFERROR(__xludf.DUMMYFUNCTION("IF(REGEXMATCH(Z8423, ""Season""), ""TV Show"", ""Movie"")"),"TV Show")</f>
        <v>TV Show</v>
      </c>
    </row>
    <row r="8424">
      <c r="A8424" s="1" t="s">
        <v>40301</v>
      </c>
      <c r="B8424" s="1" t="s">
        <v>37</v>
      </c>
      <c r="C8424" s="1" t="s">
        <v>40302</v>
      </c>
      <c r="E8424" s="1" t="s">
        <v>40303</v>
      </c>
      <c r="F8424" s="1" t="s">
        <v>30</v>
      </c>
      <c r="G8424" s="1" t="s">
        <v>34060</v>
      </c>
      <c r="H8424" s="1">
        <v>2016.0</v>
      </c>
      <c r="I8424" s="1" t="s">
        <v>136</v>
      </c>
      <c r="J8424" s="1" t="s">
        <v>189</v>
      </c>
      <c r="K8424" s="1" t="s">
        <v>1261</v>
      </c>
      <c r="L8424" s="1" t="s">
        <v>40304</v>
      </c>
      <c r="M8424" s="2" t="s">
        <v>12</v>
      </c>
      <c r="N8424" s="1" t="str">
        <f t="shared" si="1"/>
        <v>#N/A</v>
      </c>
      <c r="O8424" s="5" t="str">
        <f>IFERROR(__xludf.DUMMYFUNCTION("IF(REGEXMATCH(TRIM(I8424), ""^\d+\s*min""), ""Unclassified"", IF(I8424 = """", ""NR"", I8424))"),"TV-PG")</f>
        <v>TV-PG</v>
      </c>
      <c r="R8424" s="5" t="str">
        <f t="shared" si="2"/>
        <v>The Mind Of A Chef</v>
      </c>
      <c r="S8424" s="5" t="str">
        <f>IFERROR(__xludf.DUMMYFUNCTION("""COMPUTED_VALUE"""),"Waffles + Mochi")</f>
        <v>Waffles + Mochi</v>
      </c>
      <c r="V8424" s="5"/>
      <c r="Y8424" s="5" t="str">
        <f>IFERROR(__xludf.DUMMYFUNCTION("REGEXEXTRACT(J8424, ""^\d+"")"),"5")</f>
        <v>5</v>
      </c>
      <c r="Z8424" s="5" t="str">
        <f>IFERROR(__xludf.DUMMYFUNCTION("REGEXEXTRACT(J8424, ""[A-Za-z ]+$"")")," Seasons")</f>
        <v> Seasons</v>
      </c>
      <c r="AA8424" s="5" t="str">
        <f>IFERROR(__xludf.DUMMYFUNCTION("IF(REGEXMATCH(Z8424, ""Season""), ""TV Show"", ""Movie"")"),"TV Show")</f>
        <v>TV Show</v>
      </c>
    </row>
    <row r="8425">
      <c r="A8425" s="1" t="s">
        <v>40305</v>
      </c>
      <c r="B8425" s="1" t="s">
        <v>37</v>
      </c>
      <c r="C8425" s="1" t="s">
        <v>40306</v>
      </c>
      <c r="F8425" s="1" t="s">
        <v>664</v>
      </c>
      <c r="G8425" s="1" t="s">
        <v>40307</v>
      </c>
      <c r="H8425" s="1">
        <v>2012.0</v>
      </c>
      <c r="I8425" s="1" t="s">
        <v>506</v>
      </c>
      <c r="J8425" s="1" t="s">
        <v>43</v>
      </c>
      <c r="K8425" s="1" t="s">
        <v>314</v>
      </c>
      <c r="L8425" s="1" t="s">
        <v>40308</v>
      </c>
      <c r="M8425" s="2" t="s">
        <v>12</v>
      </c>
      <c r="N8425" s="1" t="str">
        <f t="shared" si="1"/>
        <v>#N/A</v>
      </c>
      <c r="O8425" s="5" t="str">
        <f>IFERROR(__xludf.DUMMYFUNCTION("IF(REGEXMATCH(TRIM(I8425), ""^\d+\s*min""), ""Unclassified"", IF(I8425 = """", ""NR"", I8425))"),"TV-G")</f>
        <v>TV-G</v>
      </c>
      <c r="R8425" s="5" t="str">
        <f t="shared" si="2"/>
        <v>The Minimighty Kids</v>
      </c>
      <c r="S8425" s="5" t="str">
        <f>IFERROR(__xludf.DUMMYFUNCTION("""COMPUTED_VALUE"""),"Wait, My Youth")</f>
        <v>Wait, My Youth</v>
      </c>
      <c r="V8425" s="5"/>
      <c r="Y8425" s="5" t="str">
        <f>IFERROR(__xludf.DUMMYFUNCTION("REGEXEXTRACT(J8425, ""^\d+"")"),"2")</f>
        <v>2</v>
      </c>
      <c r="Z8425" s="5" t="str">
        <f>IFERROR(__xludf.DUMMYFUNCTION("REGEXEXTRACT(J8425, ""[A-Za-z ]+$"")")," Seasons")</f>
        <v> Seasons</v>
      </c>
      <c r="AA8425" s="5" t="str">
        <f>IFERROR(__xludf.DUMMYFUNCTION("IF(REGEXMATCH(Z8425, ""Season""), ""TV Show"", ""Movie"")"),"TV Show")</f>
        <v>TV Show</v>
      </c>
    </row>
    <row r="8426">
      <c r="A8426" s="1" t="s">
        <v>40309</v>
      </c>
      <c r="B8426" s="1" t="s">
        <v>37</v>
      </c>
      <c r="C8426" s="1" t="s">
        <v>40310</v>
      </c>
      <c r="E8426" s="1" t="s">
        <v>40311</v>
      </c>
      <c r="F8426" s="1" t="s">
        <v>784</v>
      </c>
      <c r="G8426" s="1" t="s">
        <v>40312</v>
      </c>
      <c r="H8426" s="1">
        <v>2017.0</v>
      </c>
      <c r="I8426" s="1" t="s">
        <v>42</v>
      </c>
      <c r="J8426" s="1" t="s">
        <v>276</v>
      </c>
      <c r="K8426" s="1" t="s">
        <v>177</v>
      </c>
      <c r="L8426" s="1" t="s">
        <v>40313</v>
      </c>
      <c r="M8426" s="2" t="s">
        <v>12</v>
      </c>
      <c r="N8426" s="1" t="str">
        <f t="shared" si="1"/>
        <v>#N/A</v>
      </c>
      <c r="O8426" s="5" t="str">
        <f>IFERROR(__xludf.DUMMYFUNCTION("IF(REGEXMATCH(TRIM(I8426), ""^\d+\s*min""), ""Unclassified"", IF(I8426 = """", ""NR"", I8426))"),"TV-MA")</f>
        <v>TV-MA</v>
      </c>
      <c r="R8426" s="5" t="str">
        <f t="shared" si="2"/>
        <v>The Ministry Of Time</v>
      </c>
      <c r="S8426" s="5" t="str">
        <f>IFERROR(__xludf.DUMMYFUNCTION("""COMPUTED_VALUE"""),"Waiting")</f>
        <v>Waiting</v>
      </c>
      <c r="V8426" s="5"/>
      <c r="Y8426" s="5" t="str">
        <f>IFERROR(__xludf.DUMMYFUNCTION("REGEXEXTRACT(J8426, ""^\d+"")"),"3")</f>
        <v>3</v>
      </c>
      <c r="Z8426" s="5" t="str">
        <f>IFERROR(__xludf.DUMMYFUNCTION("REGEXEXTRACT(J8426, ""[A-Za-z ]+$"")")," Seasons")</f>
        <v> Seasons</v>
      </c>
      <c r="AA8426" s="5" t="str">
        <f>IFERROR(__xludf.DUMMYFUNCTION("IF(REGEXMATCH(Z8426, ""Season""), ""TV Show"", ""Movie"")"),"TV Show")</f>
        <v>TV Show</v>
      </c>
    </row>
    <row r="8427">
      <c r="A8427" s="1" t="s">
        <v>40314</v>
      </c>
      <c r="B8427" s="1" t="s">
        <v>27</v>
      </c>
      <c r="C8427" s="1" t="s">
        <v>40315</v>
      </c>
      <c r="D8427" s="1" t="s">
        <v>14244</v>
      </c>
      <c r="E8427" s="1" t="s">
        <v>40316</v>
      </c>
      <c r="F8427" s="1" t="s">
        <v>4478</v>
      </c>
      <c r="G8427" s="1" t="s">
        <v>29014</v>
      </c>
      <c r="H8427" s="1">
        <v>2016.0</v>
      </c>
      <c r="I8427" s="1" t="s">
        <v>42</v>
      </c>
      <c r="J8427" s="1" t="s">
        <v>106</v>
      </c>
      <c r="K8427" s="1" t="s">
        <v>89</v>
      </c>
      <c r="L8427" s="1" t="s">
        <v>40317</v>
      </c>
      <c r="M8427" s="2" t="s">
        <v>12</v>
      </c>
      <c r="N8427" s="4">
        <f t="shared" si="1"/>
        <v>42710</v>
      </c>
      <c r="O8427" s="5" t="str">
        <f>IFERROR(__xludf.DUMMYFUNCTION("IF(REGEXMATCH(TRIM(I8427), ""^\d+\s*min""), ""Unclassified"", IF(I8427 = """", ""NR"", I8427))"),"TV-MA")</f>
        <v>TV-MA</v>
      </c>
      <c r="R8427" s="5" t="str">
        <f t="shared" si="2"/>
        <v>The Model</v>
      </c>
      <c r="S8427" s="5" t="str">
        <f>IFERROR(__xludf.DUMMYFUNCTION("""COMPUTED_VALUE"""),"Waiting For ""Superman""")</f>
        <v>Waiting For "Superman"</v>
      </c>
      <c r="V8427" s="5"/>
      <c r="Y8427" s="5" t="str">
        <f>IFERROR(__xludf.DUMMYFUNCTION("REGEXEXTRACT(J8427, ""^\d+"")"),"104")</f>
        <v>104</v>
      </c>
      <c r="Z8427" s="5" t="str">
        <f>IFERROR(__xludf.DUMMYFUNCTION("REGEXEXTRACT(J8427, ""[A-Za-z ]+$"")")," min")</f>
        <v> min</v>
      </c>
      <c r="AA8427" s="5" t="str">
        <f>IFERROR(__xludf.DUMMYFUNCTION("IF(REGEXMATCH(Z8427, ""Season""), ""TV Show"", ""Movie"")"),"Movie")</f>
        <v>Movie</v>
      </c>
    </row>
    <row r="8428">
      <c r="A8428" s="1" t="s">
        <v>40318</v>
      </c>
      <c r="B8428" s="1" t="s">
        <v>27</v>
      </c>
      <c r="C8428" s="1" t="s">
        <v>40319</v>
      </c>
      <c r="D8428" s="1" t="s">
        <v>3766</v>
      </c>
      <c r="E8428" s="1" t="s">
        <v>40320</v>
      </c>
      <c r="F8428" s="1" t="s">
        <v>897</v>
      </c>
      <c r="G8428" s="1" t="s">
        <v>22581</v>
      </c>
      <c r="H8428" s="1">
        <v>2016.0</v>
      </c>
      <c r="I8428" s="1" t="s">
        <v>378</v>
      </c>
      <c r="J8428" s="1" t="s">
        <v>79</v>
      </c>
      <c r="K8428" s="1" t="s">
        <v>7235</v>
      </c>
      <c r="L8428" s="1" t="s">
        <v>40321</v>
      </c>
      <c r="M8428" s="2" t="s">
        <v>12</v>
      </c>
      <c r="N8428" s="4">
        <f t="shared" si="1"/>
        <v>43474</v>
      </c>
      <c r="O8428" s="5" t="str">
        <f>IFERROR(__xludf.DUMMYFUNCTION("IF(REGEXMATCH(TRIM(I8428), ""^\d+\s*min""), ""Unclassified"", IF(I8428 = """", ""NR"", I8428))"),"R")</f>
        <v>R</v>
      </c>
      <c r="R8428" s="5" t="str">
        <f t="shared" si="2"/>
        <v>The Monster</v>
      </c>
      <c r="S8428" s="5" t="str">
        <f>IFERROR(__xludf.DUMMYFUNCTION("""COMPUTED_VALUE"""),"Waiting...")</f>
        <v>Waiting...</v>
      </c>
      <c r="V8428" s="5"/>
      <c r="Y8428" s="5" t="str">
        <f>IFERROR(__xludf.DUMMYFUNCTION("REGEXEXTRACT(J8428, ""^\d+"")"),"91")</f>
        <v>91</v>
      </c>
      <c r="Z8428" s="5" t="str">
        <f>IFERROR(__xludf.DUMMYFUNCTION("REGEXEXTRACT(J8428, ""[A-Za-z ]+$"")")," min")</f>
        <v> min</v>
      </c>
      <c r="AA8428" s="5" t="str">
        <f>IFERROR(__xludf.DUMMYFUNCTION("IF(REGEXMATCH(Z8428, ""Season""), ""TV Show"", ""Movie"")"),"Movie")</f>
        <v>Movie</v>
      </c>
    </row>
    <row r="8429">
      <c r="A8429" s="1" t="s">
        <v>40322</v>
      </c>
      <c r="B8429" s="1" t="s">
        <v>27</v>
      </c>
      <c r="C8429" s="1" t="s">
        <v>40323</v>
      </c>
      <c r="D8429" s="1" t="s">
        <v>11232</v>
      </c>
      <c r="E8429" s="1" t="s">
        <v>40324</v>
      </c>
      <c r="F8429" s="1" t="s">
        <v>2715</v>
      </c>
      <c r="G8429" s="1" t="s">
        <v>40325</v>
      </c>
      <c r="H8429" s="1">
        <v>2015.0</v>
      </c>
      <c r="I8429" s="1" t="s">
        <v>42</v>
      </c>
      <c r="J8429" s="1" t="s">
        <v>1583</v>
      </c>
      <c r="K8429" s="1" t="s">
        <v>805</v>
      </c>
      <c r="L8429" s="1" t="s">
        <v>40326</v>
      </c>
      <c r="M8429" s="2" t="s">
        <v>12</v>
      </c>
      <c r="N8429" s="4">
        <f t="shared" si="1"/>
        <v>42353</v>
      </c>
      <c r="O8429" s="5" t="str">
        <f>IFERROR(__xludf.DUMMYFUNCTION("IF(REGEXMATCH(TRIM(I8429), ""^\d+\s*min""), ""Unclassified"", IF(I8429 = """", ""NR"", I8429))"),"TV-MA")</f>
        <v>TV-MA</v>
      </c>
      <c r="R8429" s="5" t="str">
        <f t="shared" si="2"/>
        <v>The Monster Of Mangatiti</v>
      </c>
      <c r="S8429" s="5" t="str">
        <f>IFERROR(__xludf.DUMMYFUNCTION("""COMPUTED_VALUE"""),"Wake Up")</f>
        <v>Wake Up</v>
      </c>
      <c r="V8429" s="5"/>
      <c r="Y8429" s="5" t="str">
        <f>IFERROR(__xludf.DUMMYFUNCTION("REGEXEXTRACT(J8429, ""^\d+"")"),"70")</f>
        <v>70</v>
      </c>
      <c r="Z8429" s="5" t="str">
        <f>IFERROR(__xludf.DUMMYFUNCTION("REGEXEXTRACT(J8429, ""[A-Za-z ]+$"")")," min")</f>
        <v> min</v>
      </c>
      <c r="AA8429" s="5" t="str">
        <f>IFERROR(__xludf.DUMMYFUNCTION("IF(REGEXMATCH(Z8429, ""Season""), ""TV Show"", ""Movie"")"),"Movie")</f>
        <v>Movie</v>
      </c>
    </row>
    <row r="8430">
      <c r="A8430" s="1" t="s">
        <v>40327</v>
      </c>
      <c r="B8430" s="1" t="s">
        <v>37</v>
      </c>
      <c r="C8430" s="1" t="s">
        <v>40328</v>
      </c>
      <c r="F8430" s="1" t="s">
        <v>30</v>
      </c>
      <c r="G8430" s="1" t="s">
        <v>26239</v>
      </c>
      <c r="H8430" s="1">
        <v>2018.0</v>
      </c>
      <c r="I8430" s="1" t="s">
        <v>42</v>
      </c>
      <c r="J8430" s="1" t="s">
        <v>51</v>
      </c>
      <c r="K8430" s="1" t="s">
        <v>1261</v>
      </c>
      <c r="L8430" s="1" t="s">
        <v>40329</v>
      </c>
      <c r="M8430" s="2" t="s">
        <v>12</v>
      </c>
      <c r="N8430" s="4">
        <f t="shared" si="1"/>
        <v>43145</v>
      </c>
      <c r="O8430" s="5" t="str">
        <f>IFERROR(__xludf.DUMMYFUNCTION("IF(REGEXMATCH(TRIM(I8430), ""^\d+\s*min""), ""Unclassified"", IF(I8430 = """", ""NR"", I8430))"),"TV-MA")</f>
        <v>TV-MA</v>
      </c>
      <c r="R8430" s="5" t="str">
        <f t="shared" si="2"/>
        <v>The Mortified Guide</v>
      </c>
      <c r="S8430" s="5" t="str">
        <f>IFERROR(__xludf.DUMMYFUNCTION("""COMPUTED_VALUE"""),"Wake Up Sid")</f>
        <v>Wake Up Sid</v>
      </c>
      <c r="V8430" s="5"/>
      <c r="Y8430" s="5" t="str">
        <f>IFERROR(__xludf.DUMMYFUNCTION("REGEXEXTRACT(J8430, ""^\d+"")"),"1")</f>
        <v>1</v>
      </c>
      <c r="Z8430" s="5" t="str">
        <f>IFERROR(__xludf.DUMMYFUNCTION("REGEXEXTRACT(J8430, ""[A-Za-z ]+$"")")," Season")</f>
        <v> Season</v>
      </c>
      <c r="AA8430" s="5" t="str">
        <f>IFERROR(__xludf.DUMMYFUNCTION("IF(REGEXMATCH(Z8430, ""Season""), ""TV Show"", ""Movie"")"),"TV Show")</f>
        <v>TV Show</v>
      </c>
    </row>
    <row r="8431">
      <c r="A8431" s="1" t="s">
        <v>40330</v>
      </c>
      <c r="B8431" s="1" t="s">
        <v>37</v>
      </c>
      <c r="C8431" s="1" t="s">
        <v>40331</v>
      </c>
      <c r="E8431" s="1" t="s">
        <v>40332</v>
      </c>
      <c r="F8431" s="1" t="s">
        <v>3834</v>
      </c>
      <c r="G8431" s="1" t="s">
        <v>34559</v>
      </c>
      <c r="H8431" s="1">
        <v>2017.0</v>
      </c>
      <c r="I8431" s="1" t="s">
        <v>42</v>
      </c>
      <c r="J8431" s="1" t="s">
        <v>51</v>
      </c>
      <c r="K8431" s="1" t="s">
        <v>1531</v>
      </c>
      <c r="L8431" s="1" t="s">
        <v>40333</v>
      </c>
      <c r="M8431" s="2" t="s">
        <v>12</v>
      </c>
      <c r="N8431" s="4">
        <f t="shared" si="1"/>
        <v>42936</v>
      </c>
      <c r="O8431" s="5" t="str">
        <f>IFERROR(__xludf.DUMMYFUNCTION("IF(REGEXMATCH(TRIM(I8431), ""^\d+\s*min""), ""Unclassified"", IF(I8431 = """", ""NR"", I8431))"),"TV-MA")</f>
        <v>TV-MA</v>
      </c>
      <c r="R8431" s="5" t="str">
        <f t="shared" si="2"/>
        <v>The Most Beautiful Hands Of Delhi</v>
      </c>
      <c r="S8431" s="5" t="str">
        <f>IFERROR(__xludf.DUMMYFUNCTION("""COMPUTED_VALUE"""),"Wakefield")</f>
        <v>Wakefield</v>
      </c>
      <c r="V8431" s="5"/>
      <c r="Y8431" s="5" t="str">
        <f>IFERROR(__xludf.DUMMYFUNCTION("REGEXEXTRACT(J8431, ""^\d+"")"),"1")</f>
        <v>1</v>
      </c>
      <c r="Z8431" s="5" t="str">
        <f>IFERROR(__xludf.DUMMYFUNCTION("REGEXEXTRACT(J8431, ""[A-Za-z ]+$"")")," Season")</f>
        <v> Season</v>
      </c>
      <c r="AA8431" s="5" t="str">
        <f>IFERROR(__xludf.DUMMYFUNCTION("IF(REGEXMATCH(Z8431, ""Season""), ""TV Show"", ""Movie"")"),"TV Show")</f>
        <v>TV Show</v>
      </c>
    </row>
    <row r="8432">
      <c r="A8432" s="1" t="s">
        <v>40334</v>
      </c>
      <c r="B8432" s="1" t="s">
        <v>27</v>
      </c>
      <c r="C8432" s="1" t="s">
        <v>40335</v>
      </c>
      <c r="D8432" s="1" t="s">
        <v>9979</v>
      </c>
      <c r="E8432" s="1" t="s">
        <v>40336</v>
      </c>
      <c r="F8432" s="1" t="s">
        <v>30</v>
      </c>
      <c r="G8432" s="1" t="s">
        <v>11804</v>
      </c>
      <c r="H8432" s="1">
        <v>2011.0</v>
      </c>
      <c r="I8432" s="1" t="s">
        <v>78</v>
      </c>
      <c r="J8432" s="1" t="s">
        <v>106</v>
      </c>
      <c r="K8432" s="1" t="s">
        <v>137</v>
      </c>
      <c r="L8432" s="1" t="s">
        <v>40337</v>
      </c>
      <c r="M8432" s="2" t="s">
        <v>12</v>
      </c>
      <c r="N8432" s="4">
        <f t="shared" si="1"/>
        <v>44075</v>
      </c>
      <c r="O8432" s="5" t="str">
        <f>IFERROR(__xludf.DUMMYFUNCTION("IF(REGEXMATCH(TRIM(I8432), ""^\d+\s*min""), ""Unclassified"", IF(I8432 = """", ""NR"", I8432))"),"PG")</f>
        <v>PG</v>
      </c>
      <c r="R8432" s="5" t="str">
        <f t="shared" si="2"/>
        <v>The Muppets</v>
      </c>
      <c r="S8432" s="5" t="str">
        <f>IFERROR(__xludf.DUMMYFUNCTION("""COMPUTED_VALUE"""),"Wakfu")</f>
        <v>Wakfu</v>
      </c>
      <c r="V8432" s="5"/>
      <c r="Y8432" s="5" t="str">
        <f>IFERROR(__xludf.DUMMYFUNCTION("REGEXEXTRACT(J8432, ""^\d+"")"),"104")</f>
        <v>104</v>
      </c>
      <c r="Z8432" s="5" t="str">
        <f>IFERROR(__xludf.DUMMYFUNCTION("REGEXEXTRACT(J8432, ""[A-Za-z ]+$"")")," min")</f>
        <v> min</v>
      </c>
      <c r="AA8432" s="5" t="str">
        <f>IFERROR(__xludf.DUMMYFUNCTION("IF(REGEXMATCH(Z8432, ""Season""), ""TV Show"", ""Movie"")"),"Movie")</f>
        <v>Movie</v>
      </c>
    </row>
    <row r="8433">
      <c r="A8433" s="1" t="s">
        <v>40338</v>
      </c>
      <c r="B8433" s="1" t="s">
        <v>37</v>
      </c>
      <c r="C8433" s="1" t="s">
        <v>40339</v>
      </c>
      <c r="F8433" s="1" t="s">
        <v>96</v>
      </c>
      <c r="G8433" s="1" t="s">
        <v>28421</v>
      </c>
      <c r="H8433" s="1">
        <v>2015.0</v>
      </c>
      <c r="I8433" s="1" t="s">
        <v>42</v>
      </c>
      <c r="J8433" s="1" t="s">
        <v>51</v>
      </c>
      <c r="K8433" s="1" t="s">
        <v>142</v>
      </c>
      <c r="L8433" s="1" t="s">
        <v>40340</v>
      </c>
      <c r="M8433" s="2" t="s">
        <v>12</v>
      </c>
      <c r="N8433" s="4">
        <f t="shared" si="1"/>
        <v>42825</v>
      </c>
      <c r="O8433" s="5" t="str">
        <f>IFERROR(__xludf.DUMMYFUNCTION("IF(REGEXMATCH(TRIM(I8433), ""^\d+\s*min""), ""Unclassified"", IF(I8433 = """", ""NR"", I8433))"),"TV-MA")</f>
        <v>TV-MA</v>
      </c>
      <c r="R8433" s="5" t="str">
        <f t="shared" si="2"/>
        <v>The Murder Detectives</v>
      </c>
      <c r="S8433" s="5" t="str">
        <f>IFERROR(__xludf.DUMMYFUNCTION("""COMPUTED_VALUE"""),"Wakfu: The Quest For The Six Eliatrope Dofus")</f>
        <v>Wakfu: The Quest For The Six Eliatrope Dofus</v>
      </c>
      <c r="V8433" s="5"/>
      <c r="Y8433" s="5" t="str">
        <f>IFERROR(__xludf.DUMMYFUNCTION("REGEXEXTRACT(J8433, ""^\d+"")"),"1")</f>
        <v>1</v>
      </c>
      <c r="Z8433" s="5" t="str">
        <f>IFERROR(__xludf.DUMMYFUNCTION("REGEXEXTRACT(J8433, ""[A-Za-z ]+$"")")," Season")</f>
        <v> Season</v>
      </c>
      <c r="AA8433" s="5" t="str">
        <f>IFERROR(__xludf.DUMMYFUNCTION("IF(REGEXMATCH(Z8433, ""Season""), ""TV Show"", ""Movie"")"),"TV Show")</f>
        <v>TV Show</v>
      </c>
    </row>
    <row r="8434">
      <c r="A8434" s="1" t="s">
        <v>40341</v>
      </c>
      <c r="B8434" s="1" t="s">
        <v>27</v>
      </c>
      <c r="C8434" s="1" t="s">
        <v>40342</v>
      </c>
      <c r="D8434" s="1" t="s">
        <v>15782</v>
      </c>
      <c r="E8434" s="1" t="s">
        <v>40343</v>
      </c>
      <c r="F8434" s="1" t="s">
        <v>1779</v>
      </c>
      <c r="G8434" s="1" t="s">
        <v>25185</v>
      </c>
      <c r="H8434" s="1">
        <v>2017.0</v>
      </c>
      <c r="I8434" s="1" t="s">
        <v>136</v>
      </c>
      <c r="J8434" s="1" t="s">
        <v>379</v>
      </c>
      <c r="K8434" s="1" t="s">
        <v>1429</v>
      </c>
      <c r="L8434" s="1" t="s">
        <v>40344</v>
      </c>
      <c r="M8434" s="2" t="s">
        <v>12</v>
      </c>
      <c r="N8434" s="4">
        <f t="shared" si="1"/>
        <v>43282</v>
      </c>
      <c r="O8434" s="5" t="str">
        <f>IFERROR(__xludf.DUMMYFUNCTION("IF(REGEXMATCH(TRIM(I8434), ""^\d+\s*min""), ""Unclassified"", IF(I8434 = """", ""NR"", I8434))"),"TV-PG")</f>
        <v>TV-PG</v>
      </c>
      <c r="R8434" s="5" t="str">
        <f t="shared" si="2"/>
        <v>The Music Of Silence</v>
      </c>
      <c r="S8434" s="5" t="str">
        <f>IFERROR(__xludf.DUMMYFUNCTION("""COMPUTED_VALUE"""),"Walk Away From Love")</f>
        <v>Walk Away From Love</v>
      </c>
      <c r="V8434" s="5"/>
      <c r="Y8434" s="5" t="str">
        <f>IFERROR(__xludf.DUMMYFUNCTION("REGEXEXTRACT(J8434, ""^\d+"")"),"115")</f>
        <v>115</v>
      </c>
      <c r="Z8434" s="5" t="str">
        <f>IFERROR(__xludf.DUMMYFUNCTION("REGEXEXTRACT(J8434, ""[A-Za-z ]+$"")")," min")</f>
        <v> min</v>
      </c>
      <c r="AA8434" s="5" t="str">
        <f>IFERROR(__xludf.DUMMYFUNCTION("IF(REGEXMATCH(Z8434, ""Season""), ""TV Show"", ""Movie"")"),"Movie")</f>
        <v>Movie</v>
      </c>
    </row>
    <row r="8435">
      <c r="A8435" s="1" t="s">
        <v>40345</v>
      </c>
      <c r="B8435" s="1" t="s">
        <v>27</v>
      </c>
      <c r="C8435" s="1" t="s">
        <v>40346</v>
      </c>
      <c r="D8435" s="1" t="s">
        <v>1142</v>
      </c>
      <c r="E8435" s="1" t="s">
        <v>40347</v>
      </c>
      <c r="G8435" s="1" t="s">
        <v>16947</v>
      </c>
      <c r="H8435" s="1">
        <v>1991.0</v>
      </c>
      <c r="I8435" s="1" t="s">
        <v>32</v>
      </c>
      <c r="J8435" s="1" t="s">
        <v>471</v>
      </c>
      <c r="K8435" s="1" t="s">
        <v>239</v>
      </c>
      <c r="L8435" s="1" t="s">
        <v>40348</v>
      </c>
      <c r="M8435" s="2" t="s">
        <v>12</v>
      </c>
      <c r="N8435" s="4">
        <f t="shared" si="1"/>
        <v>43831</v>
      </c>
      <c r="O8435" s="5" t="str">
        <f>IFERROR(__xludf.DUMMYFUNCTION("IF(REGEXMATCH(TRIM(I8435), ""^\d+\s*min""), ""Unclassified"", IF(I8435 = """", ""NR"", I8435))"),"PG-13")</f>
        <v>PG-13</v>
      </c>
      <c r="R8435" s="5" t="str">
        <f t="shared" si="2"/>
        <v>The Naked Gun 2 1/2: The Smell Of Fear</v>
      </c>
      <c r="S8435" s="5" t="str">
        <f>IFERROR(__xludf.DUMMYFUNCTION("""COMPUTED_VALUE"""),"Walk Of Shame")</f>
        <v>Walk Of Shame</v>
      </c>
      <c r="V8435" s="5"/>
      <c r="Y8435" s="5" t="str">
        <f>IFERROR(__xludf.DUMMYFUNCTION("REGEXEXTRACT(J8435, ""^\d+"")"),"85")</f>
        <v>85</v>
      </c>
      <c r="Z8435" s="5" t="str">
        <f>IFERROR(__xludf.DUMMYFUNCTION("REGEXEXTRACT(J8435, ""[A-Za-z ]+$"")")," min")</f>
        <v> min</v>
      </c>
      <c r="AA8435" s="5" t="str">
        <f>IFERROR(__xludf.DUMMYFUNCTION("IF(REGEXMATCH(Z8435, ""Season""), ""TV Show"", ""Movie"")"),"Movie")</f>
        <v>Movie</v>
      </c>
    </row>
    <row r="8436">
      <c r="A8436" s="1" t="s">
        <v>40349</v>
      </c>
      <c r="B8436" s="1" t="s">
        <v>27</v>
      </c>
      <c r="C8436" s="1" t="s">
        <v>40350</v>
      </c>
      <c r="D8436" s="1" t="s">
        <v>1142</v>
      </c>
      <c r="E8436" s="1" t="s">
        <v>40351</v>
      </c>
      <c r="F8436" s="1" t="s">
        <v>30</v>
      </c>
      <c r="G8436" s="1" t="s">
        <v>8506</v>
      </c>
      <c r="H8436" s="1">
        <v>1988.0</v>
      </c>
      <c r="I8436" s="1" t="s">
        <v>32</v>
      </c>
      <c r="J8436" s="1" t="s">
        <v>471</v>
      </c>
      <c r="K8436" s="1" t="s">
        <v>1020</v>
      </c>
      <c r="L8436" s="1" t="s">
        <v>40352</v>
      </c>
      <c r="M8436" s="2" t="s">
        <v>12</v>
      </c>
      <c r="N8436" s="4">
        <f t="shared" si="1"/>
        <v>44197</v>
      </c>
      <c r="O8436" s="5" t="str">
        <f>IFERROR(__xludf.DUMMYFUNCTION("IF(REGEXMATCH(TRIM(I8436), ""^\d+\s*min""), ""Unclassified"", IF(I8436 = """", ""NR"", I8436))"),"PG-13")</f>
        <v>PG-13</v>
      </c>
      <c r="R8436" s="5" t="str">
        <f t="shared" si="2"/>
        <v>The Naked Gun: From The Files Of Police Squad!</v>
      </c>
      <c r="S8436" s="5" t="str">
        <f>IFERROR(__xludf.DUMMYFUNCTION("""COMPUTED_VALUE"""),"Walk With Me")</f>
        <v>Walk With Me</v>
      </c>
      <c r="V8436" s="5"/>
      <c r="Y8436" s="5" t="str">
        <f>IFERROR(__xludf.DUMMYFUNCTION("REGEXEXTRACT(J8436, ""^\d+"")"),"85")</f>
        <v>85</v>
      </c>
      <c r="Z8436" s="5" t="str">
        <f>IFERROR(__xludf.DUMMYFUNCTION("REGEXEXTRACT(J8436, ""[A-Za-z ]+$"")")," min")</f>
        <v> min</v>
      </c>
      <c r="AA8436" s="5" t="str">
        <f>IFERROR(__xludf.DUMMYFUNCTION("IF(REGEXMATCH(Z8436, ""Season""), ""TV Show"", ""Movie"")"),"Movie")</f>
        <v>Movie</v>
      </c>
    </row>
    <row r="8437">
      <c r="A8437" s="1" t="s">
        <v>40353</v>
      </c>
      <c r="B8437" s="1" t="s">
        <v>27</v>
      </c>
      <c r="C8437" s="1" t="s">
        <v>40354</v>
      </c>
      <c r="D8437" s="1" t="s">
        <v>3028</v>
      </c>
      <c r="E8437" s="1" t="s">
        <v>40355</v>
      </c>
      <c r="F8437" s="1" t="s">
        <v>30</v>
      </c>
      <c r="G8437" s="1" t="s">
        <v>16947</v>
      </c>
      <c r="H8437" s="1">
        <v>1984.0</v>
      </c>
      <c r="I8437" s="1" t="s">
        <v>78</v>
      </c>
      <c r="J8437" s="1" t="s">
        <v>2414</v>
      </c>
      <c r="K8437" s="1" t="s">
        <v>37844</v>
      </c>
      <c r="L8437" s="1" t="s">
        <v>40356</v>
      </c>
      <c r="M8437" s="2" t="s">
        <v>12</v>
      </c>
      <c r="N8437" s="4">
        <f t="shared" si="1"/>
        <v>43831</v>
      </c>
      <c r="O8437" s="5" t="str">
        <f>IFERROR(__xludf.DUMMYFUNCTION("IF(REGEXMATCH(TRIM(I8437), ""^\d+\s*min""), ""Unclassified"", IF(I8437 = """", ""NR"", I8437))"),"PG")</f>
        <v>PG</v>
      </c>
      <c r="R8437" s="5" t="str">
        <f t="shared" si="2"/>
        <v>The Natural</v>
      </c>
      <c r="S8437" s="5" t="str">
        <f>IFERROR(__xludf.DUMMYFUNCTION("""COMPUTED_VALUE"""),"Walk. Ride. Rodeo.")</f>
        <v>Walk. Ride. Rodeo.</v>
      </c>
      <c r="V8437" s="5"/>
      <c r="Y8437" s="5" t="str">
        <f>IFERROR(__xludf.DUMMYFUNCTION("REGEXEXTRACT(J8437, ""^\d+"")"),"138")</f>
        <v>138</v>
      </c>
      <c r="Z8437" s="5" t="str">
        <f>IFERROR(__xludf.DUMMYFUNCTION("REGEXEXTRACT(J8437, ""[A-Za-z ]+$"")")," min")</f>
        <v> min</v>
      </c>
      <c r="AA8437" s="5" t="str">
        <f>IFERROR(__xludf.DUMMYFUNCTION("IF(REGEXMATCH(Z8437, ""Season""), ""TV Show"", ""Movie"")"),"Movie")</f>
        <v>Movie</v>
      </c>
    </row>
    <row r="8438">
      <c r="A8438" s="1" t="s">
        <v>40357</v>
      </c>
      <c r="B8438" s="1" t="s">
        <v>27</v>
      </c>
      <c r="C8438" s="1" t="s">
        <v>40358</v>
      </c>
      <c r="D8438" s="1" t="s">
        <v>21785</v>
      </c>
      <c r="F8438" s="1" t="s">
        <v>30</v>
      </c>
      <c r="G8438" s="1" t="s">
        <v>28421</v>
      </c>
      <c r="H8438" s="1">
        <v>1944.0</v>
      </c>
      <c r="I8438" s="1" t="s">
        <v>97</v>
      </c>
      <c r="J8438" s="1" t="s">
        <v>18322</v>
      </c>
      <c r="K8438" s="1" t="s">
        <v>35403</v>
      </c>
      <c r="L8438" s="1" t="s">
        <v>40359</v>
      </c>
      <c r="M8438" s="2" t="s">
        <v>12</v>
      </c>
      <c r="N8438" s="4">
        <f t="shared" si="1"/>
        <v>42825</v>
      </c>
      <c r="O8438" s="5" t="str">
        <f>IFERROR(__xludf.DUMMYFUNCTION("IF(REGEXMATCH(TRIM(I8438), ""^\d+\s*min""), ""Unclassified"", IF(I8438 = """", ""NR"", I8438))"),"TV-14")</f>
        <v>TV-14</v>
      </c>
      <c r="R8438" s="5" t="str">
        <f t="shared" si="2"/>
        <v>The Negro Soldier</v>
      </c>
      <c r="S8438" s="5" t="str">
        <f>IFERROR(__xludf.DUMMYFUNCTION("""COMPUTED_VALUE"""),"Walking Out")</f>
        <v>Walking Out</v>
      </c>
      <c r="V8438" s="5"/>
      <c r="Y8438" s="5" t="str">
        <f>IFERROR(__xludf.DUMMYFUNCTION("REGEXEXTRACT(J8438, ""^\d+"")"),"40")</f>
        <v>40</v>
      </c>
      <c r="Z8438" s="5" t="str">
        <f>IFERROR(__xludf.DUMMYFUNCTION("REGEXEXTRACT(J8438, ""[A-Za-z ]+$"")")," min")</f>
        <v> min</v>
      </c>
      <c r="AA8438" s="5" t="str">
        <f>IFERROR(__xludf.DUMMYFUNCTION("IF(REGEXMATCH(Z8438, ""Season""), ""TV Show"", ""Movie"")"),"Movie")</f>
        <v>Movie</v>
      </c>
    </row>
    <row r="8439">
      <c r="A8439" s="1" t="s">
        <v>40360</v>
      </c>
      <c r="B8439" s="1" t="s">
        <v>37</v>
      </c>
      <c r="C8439" s="1" t="s">
        <v>40361</v>
      </c>
      <c r="E8439" s="1" t="s">
        <v>2976</v>
      </c>
      <c r="F8439" s="1" t="s">
        <v>30</v>
      </c>
      <c r="G8439" s="1" t="s">
        <v>8499</v>
      </c>
      <c r="H8439" s="1">
        <v>2021.0</v>
      </c>
      <c r="I8439" s="1" t="s">
        <v>42</v>
      </c>
      <c r="J8439" s="1" t="s">
        <v>51</v>
      </c>
      <c r="K8439" s="1" t="s">
        <v>2512</v>
      </c>
      <c r="L8439" s="1" t="s">
        <v>40362</v>
      </c>
      <c r="M8439" s="2" t="s">
        <v>12</v>
      </c>
      <c r="N8439" s="4">
        <f t="shared" si="1"/>
        <v>44198</v>
      </c>
      <c r="O8439" s="5" t="str">
        <f>IFERROR(__xludf.DUMMYFUNCTION("IF(REGEXMATCH(TRIM(I8439), ""^\d+\s*min""), ""Unclassified"", IF(I8439 = """", ""NR"", I8439))"),"TV-MA")</f>
        <v>TV-MA</v>
      </c>
      <c r="R8439" s="5" t="str">
        <f t="shared" si="2"/>
        <v>The Netflix Afterparty</v>
      </c>
      <c r="S8439" s="5" t="str">
        <f>IFERROR(__xludf.DUMMYFUNCTION("""COMPUTED_VALUE"""),"Walt Disney Animation Studios Short Films Collection")</f>
        <v>Walt Disney Animation Studios Short Films Collection</v>
      </c>
      <c r="V8439" s="5"/>
      <c r="Y8439" s="5" t="str">
        <f>IFERROR(__xludf.DUMMYFUNCTION("REGEXEXTRACT(J8439, ""^\d+"")"),"1")</f>
        <v>1</v>
      </c>
      <c r="Z8439" s="5" t="str">
        <f>IFERROR(__xludf.DUMMYFUNCTION("REGEXEXTRACT(J8439, ""[A-Za-z ]+$"")")," Season")</f>
        <v> Season</v>
      </c>
      <c r="AA8439" s="5" t="str">
        <f>IFERROR(__xludf.DUMMYFUNCTION("IF(REGEXMATCH(Z8439, ""Season""), ""TV Show"", ""Movie"")"),"TV Show")</f>
        <v>TV Show</v>
      </c>
    </row>
    <row r="8440">
      <c r="A8440" s="1" t="s">
        <v>40363</v>
      </c>
      <c r="B8440" s="1" t="s">
        <v>27</v>
      </c>
      <c r="C8440" s="1" t="s">
        <v>40364</v>
      </c>
      <c r="D8440" s="1" t="s">
        <v>4204</v>
      </c>
      <c r="E8440" s="1" t="s">
        <v>40365</v>
      </c>
      <c r="F8440" s="1" t="s">
        <v>1106</v>
      </c>
      <c r="G8440" s="1" t="s">
        <v>21156</v>
      </c>
      <c r="H8440" s="1">
        <v>2018.0</v>
      </c>
      <c r="I8440" s="1" t="s">
        <v>42</v>
      </c>
      <c r="J8440" s="1" t="s">
        <v>1001</v>
      </c>
      <c r="K8440" s="1" t="s">
        <v>5739</v>
      </c>
      <c r="L8440" s="1" t="s">
        <v>40366</v>
      </c>
      <c r="M8440" s="2" t="s">
        <v>12</v>
      </c>
      <c r="N8440" s="4">
        <f t="shared" si="1"/>
        <v>43570</v>
      </c>
      <c r="O8440" s="5" t="str">
        <f>IFERROR(__xludf.DUMMYFUNCTION("IF(REGEXMATCH(TRIM(I8440), ""^\d+\s*min""), ""Unclassified"", IF(I8440 = """", ""NR"", I8440))"),"TV-MA")</f>
        <v>TV-MA</v>
      </c>
      <c r="R8440" s="5" t="str">
        <f t="shared" si="2"/>
        <v>The New Romantic</v>
      </c>
      <c r="S8440" s="5" t="str">
        <f>IFERROR(__xludf.DUMMYFUNCTION("""COMPUTED_VALUE"""),"Wanda Sykes: Not Normal")</f>
        <v>Wanda Sykes: Not Normal</v>
      </c>
      <c r="V8440" s="5"/>
      <c r="Y8440" s="5" t="str">
        <f>IFERROR(__xludf.DUMMYFUNCTION("REGEXEXTRACT(J8440, ""^\d+"")"),"82")</f>
        <v>82</v>
      </c>
      <c r="Z8440" s="5" t="str">
        <f>IFERROR(__xludf.DUMMYFUNCTION("REGEXEXTRACT(J8440, ""[A-Za-z ]+$"")")," min")</f>
        <v> min</v>
      </c>
      <c r="AA8440" s="5" t="str">
        <f>IFERROR(__xludf.DUMMYFUNCTION("IF(REGEXMATCH(Z8440, ""Season""), ""TV Show"", ""Movie"")"),"Movie")</f>
        <v>Movie</v>
      </c>
    </row>
    <row r="8441">
      <c r="A8441" s="1" t="s">
        <v>40367</v>
      </c>
      <c r="B8441" s="1" t="s">
        <v>37</v>
      </c>
      <c r="C8441" s="1" t="s">
        <v>40368</v>
      </c>
      <c r="F8441" s="1" t="s">
        <v>30</v>
      </c>
      <c r="G8441" s="1" t="s">
        <v>24442</v>
      </c>
      <c r="H8441" s="1">
        <v>2017.0</v>
      </c>
      <c r="I8441" s="1" t="s">
        <v>97</v>
      </c>
      <c r="J8441" s="1" t="s">
        <v>51</v>
      </c>
      <c r="K8441" s="1" t="s">
        <v>1261</v>
      </c>
      <c r="L8441" s="1" t="s">
        <v>40369</v>
      </c>
      <c r="M8441" s="2" t="s">
        <v>12</v>
      </c>
      <c r="N8441" s="4">
        <f t="shared" si="1"/>
        <v>43373</v>
      </c>
      <c r="O8441" s="5" t="str">
        <f>IFERROR(__xludf.DUMMYFUNCTION("IF(REGEXMATCH(TRIM(I8441), ""^\d+\s*min""), ""Unclassified"", IF(I8441 = """", ""NR"", I8441))"),"TV-14")</f>
        <v>TV-14</v>
      </c>
      <c r="R8441" s="5" t="str">
        <f t="shared" si="2"/>
        <v>The Nineties</v>
      </c>
      <c r="S8441" s="5" t="str">
        <f>IFERROR(__xludf.DUMMYFUNCTION("""COMPUTED_VALUE"""),"Wandering Stars")</f>
        <v>Wandering Stars</v>
      </c>
      <c r="V8441" s="5"/>
      <c r="Y8441" s="5" t="str">
        <f>IFERROR(__xludf.DUMMYFUNCTION("REGEXEXTRACT(J8441, ""^\d+"")"),"1")</f>
        <v>1</v>
      </c>
      <c r="Z8441" s="5" t="str">
        <f>IFERROR(__xludf.DUMMYFUNCTION("REGEXEXTRACT(J8441, ""[A-Za-z ]+$"")")," Season")</f>
        <v> Season</v>
      </c>
      <c r="AA8441" s="5" t="str">
        <f>IFERROR(__xludf.DUMMYFUNCTION("IF(REGEXMATCH(Z8441, ""Season""), ""TV Show"", ""Movie"")"),"TV Show")</f>
        <v>TV Show</v>
      </c>
    </row>
    <row r="8442">
      <c r="A8442" s="1" t="s">
        <v>40370</v>
      </c>
      <c r="B8442" s="1" t="s">
        <v>27</v>
      </c>
      <c r="C8442" s="1" t="s">
        <v>40371</v>
      </c>
      <c r="D8442" s="1" t="s">
        <v>21472</v>
      </c>
      <c r="F8442" s="1" t="s">
        <v>2492</v>
      </c>
      <c r="G8442" s="1" t="s">
        <v>40372</v>
      </c>
      <c r="H8442" s="1">
        <v>2016.0</v>
      </c>
      <c r="I8442" s="1" t="s">
        <v>97</v>
      </c>
      <c r="J8442" s="1" t="s">
        <v>33</v>
      </c>
      <c r="K8442" s="1" t="s">
        <v>156</v>
      </c>
      <c r="L8442" s="1" t="s">
        <v>40373</v>
      </c>
      <c r="M8442" s="2" t="s">
        <v>12</v>
      </c>
      <c r="N8442" s="4">
        <f t="shared" si="1"/>
        <v>42732</v>
      </c>
      <c r="O8442" s="5" t="str">
        <f>IFERROR(__xludf.DUMMYFUNCTION("IF(REGEXMATCH(TRIM(I8442), ""^\d+\s*min""), ""Unclassified"", IF(I8442 = """", ""NR"", I8442))"),"TV-14")</f>
        <v>TV-14</v>
      </c>
      <c r="R8442" s="5" t="str">
        <f t="shared" si="2"/>
        <v>The Nsu-Complex</v>
      </c>
      <c r="S8442" s="5" t="str">
        <f>IFERROR(__xludf.DUMMYFUNCTION("""COMPUTED_VALUE"""),"Wanderlust")</f>
        <v>Wanderlust</v>
      </c>
      <c r="V8442" s="5"/>
      <c r="Y8442" s="5" t="str">
        <f>IFERROR(__xludf.DUMMYFUNCTION("REGEXEXTRACT(J8442, ""^\d+"")"),"90")</f>
        <v>90</v>
      </c>
      <c r="Z8442" s="5" t="str">
        <f>IFERROR(__xludf.DUMMYFUNCTION("REGEXEXTRACT(J8442, ""[A-Za-z ]+$"")")," min")</f>
        <v> min</v>
      </c>
      <c r="AA8442" s="5" t="str">
        <f>IFERROR(__xludf.DUMMYFUNCTION("IF(REGEXMATCH(Z8442, ""Season""), ""TV Show"", ""Movie"")"),"Movie")</f>
        <v>Movie</v>
      </c>
    </row>
    <row r="8443">
      <c r="A8443" s="1" t="s">
        <v>40374</v>
      </c>
      <c r="B8443" s="1" t="s">
        <v>27</v>
      </c>
      <c r="C8443" s="1" t="s">
        <v>40375</v>
      </c>
      <c r="D8443" s="1" t="s">
        <v>13408</v>
      </c>
      <c r="E8443" s="1" t="s">
        <v>40376</v>
      </c>
      <c r="F8443" s="1" t="s">
        <v>30</v>
      </c>
      <c r="G8443" s="7">
        <v>43613.0</v>
      </c>
      <c r="H8443" s="1">
        <v>2018.0</v>
      </c>
      <c r="I8443" s="1" t="s">
        <v>78</v>
      </c>
      <c r="J8443" s="1" t="s">
        <v>416</v>
      </c>
      <c r="K8443" s="1" t="s">
        <v>80</v>
      </c>
      <c r="L8443" s="1" t="s">
        <v>40377</v>
      </c>
      <c r="M8443" s="2" t="s">
        <v>12</v>
      </c>
      <c r="N8443" s="4">
        <f t="shared" si="1"/>
        <v>43613</v>
      </c>
      <c r="O8443" s="5" t="str">
        <f>IFERROR(__xludf.DUMMYFUNCTION("IF(REGEXMATCH(TRIM(I8443), ""^\d+\s*min""), ""Unclassified"", IF(I8443 = """", ""NR"", I8443))"),"PG")</f>
        <v>PG</v>
      </c>
      <c r="R8443" s="5" t="str">
        <f t="shared" si="2"/>
        <v>The Nutcracker And The Four Realms</v>
      </c>
      <c r="S8443" s="5" t="str">
        <f>IFERROR(__xludf.DUMMYFUNCTION("""COMPUTED_VALUE"""),"Wannabe Courageous")</f>
        <v>Wannabe Courageous</v>
      </c>
      <c r="V8443" s="5"/>
      <c r="Y8443" s="5" t="str">
        <f>IFERROR(__xludf.DUMMYFUNCTION("REGEXEXTRACT(J8443, ""^\d+"")"),"99")</f>
        <v>99</v>
      </c>
      <c r="Z8443" s="5" t="str">
        <f>IFERROR(__xludf.DUMMYFUNCTION("REGEXEXTRACT(J8443, ""[A-Za-z ]+$"")")," min")</f>
        <v> min</v>
      </c>
      <c r="AA8443" s="5" t="str">
        <f>IFERROR(__xludf.DUMMYFUNCTION("IF(REGEXMATCH(Z8443, ""Season""), ""TV Show"", ""Movie"")"),"Movie")</f>
        <v>Movie</v>
      </c>
    </row>
    <row r="8444">
      <c r="A8444" s="1" t="s">
        <v>40378</v>
      </c>
      <c r="B8444" s="1" t="s">
        <v>37</v>
      </c>
      <c r="C8444" s="1" t="s">
        <v>40379</v>
      </c>
      <c r="E8444" s="1" t="s">
        <v>40380</v>
      </c>
      <c r="F8444" s="1" t="s">
        <v>30</v>
      </c>
      <c r="G8444" s="1" t="s">
        <v>40381</v>
      </c>
      <c r="H8444" s="1">
        <v>2012.0</v>
      </c>
      <c r="I8444" s="1" t="s">
        <v>97</v>
      </c>
      <c r="J8444" s="1" t="s">
        <v>98</v>
      </c>
      <c r="K8444" s="1" t="s">
        <v>270</v>
      </c>
      <c r="L8444" s="1" t="s">
        <v>40382</v>
      </c>
      <c r="M8444" s="2" t="s">
        <v>12</v>
      </c>
      <c r="N8444" s="1" t="str">
        <f t="shared" si="1"/>
        <v>#N/A</v>
      </c>
      <c r="O8444" s="5" t="str">
        <f>IFERROR(__xludf.DUMMYFUNCTION("IF(REGEXMATCH(TRIM(I8444), ""^\d+\s*min""), ""Unclassified"", IF(I8444 = """", ""NR"", I8444))"),"TV-14")</f>
        <v>TV-14</v>
      </c>
      <c r="R8444" s="5" t="str">
        <f t="shared" si="2"/>
        <v>The Office (U.S.)</v>
      </c>
      <c r="S8444" s="5" t="str">
        <f>IFERROR(__xludf.DUMMYFUNCTION("""COMPUTED_VALUE"""),"Wanted")</f>
        <v>Wanted</v>
      </c>
      <c r="V8444" s="5"/>
      <c r="Y8444" s="5" t="str">
        <f>IFERROR(__xludf.DUMMYFUNCTION("REGEXEXTRACT(J8444, ""^\d+"")"),"9")</f>
        <v>9</v>
      </c>
      <c r="Z8444" s="5" t="str">
        <f>IFERROR(__xludf.DUMMYFUNCTION("REGEXEXTRACT(J8444, ""[A-Za-z ]+$"")")," Seasons")</f>
        <v> Seasons</v>
      </c>
      <c r="AA8444" s="5" t="str">
        <f>IFERROR(__xludf.DUMMYFUNCTION("IF(REGEXMATCH(Z8444, ""Season""), ""TV Show"", ""Movie"")"),"TV Show")</f>
        <v>TV Show</v>
      </c>
    </row>
    <row r="8445">
      <c r="A8445" s="1" t="s">
        <v>40383</v>
      </c>
      <c r="B8445" s="1" t="s">
        <v>27</v>
      </c>
      <c r="C8445" s="1" t="s">
        <v>40384</v>
      </c>
      <c r="D8445" s="1" t="s">
        <v>28433</v>
      </c>
      <c r="E8445" s="1" t="s">
        <v>40385</v>
      </c>
      <c r="F8445" s="1" t="s">
        <v>30</v>
      </c>
      <c r="G8445" s="7">
        <v>43615.0</v>
      </c>
      <c r="H8445" s="1">
        <v>2014.0</v>
      </c>
      <c r="I8445" s="1" t="s">
        <v>378</v>
      </c>
      <c r="J8445" s="1" t="s">
        <v>79</v>
      </c>
      <c r="K8445" s="1" t="s">
        <v>836</v>
      </c>
      <c r="L8445" s="1" t="s">
        <v>40386</v>
      </c>
      <c r="M8445" s="2" t="s">
        <v>12</v>
      </c>
      <c r="N8445" s="4">
        <f t="shared" si="1"/>
        <v>43615</v>
      </c>
      <c r="O8445" s="5" t="str">
        <f>IFERROR(__xludf.DUMMYFUNCTION("IF(REGEXMATCH(TRIM(I8445), ""^\d+\s*min""), ""Unclassified"", IF(I8445 = """", ""NR"", I8445))"),"R")</f>
        <v>R</v>
      </c>
      <c r="R8445" s="5" t="str">
        <f t="shared" si="2"/>
        <v>The One I Love</v>
      </c>
      <c r="S8445" s="5" t="str">
        <f>IFERROR(__xludf.DUMMYFUNCTION("""COMPUTED_VALUE"""),"War")</f>
        <v>War</v>
      </c>
      <c r="V8445" s="5"/>
      <c r="Y8445" s="5" t="str">
        <f>IFERROR(__xludf.DUMMYFUNCTION("REGEXEXTRACT(J8445, ""^\d+"")"),"91")</f>
        <v>91</v>
      </c>
      <c r="Z8445" s="5" t="str">
        <f>IFERROR(__xludf.DUMMYFUNCTION("REGEXEXTRACT(J8445, ""[A-Za-z ]+$"")")," min")</f>
        <v> min</v>
      </c>
      <c r="AA8445" s="5" t="str">
        <f>IFERROR(__xludf.DUMMYFUNCTION("IF(REGEXMATCH(Z8445, ""Season""), ""TV Show"", ""Movie"")"),"Movie")</f>
        <v>Movie</v>
      </c>
    </row>
    <row r="8446">
      <c r="A8446" s="1" t="s">
        <v>40387</v>
      </c>
      <c r="B8446" s="1" t="s">
        <v>27</v>
      </c>
      <c r="C8446" s="1" t="s">
        <v>40388</v>
      </c>
      <c r="D8446" s="1" t="s">
        <v>21541</v>
      </c>
      <c r="E8446" s="1" t="s">
        <v>40389</v>
      </c>
      <c r="F8446" s="1" t="s">
        <v>4287</v>
      </c>
      <c r="G8446" s="1" t="s">
        <v>21917</v>
      </c>
      <c r="H8446" s="1">
        <v>2008.0</v>
      </c>
      <c r="I8446" s="1" t="s">
        <v>136</v>
      </c>
      <c r="J8446" s="1" t="s">
        <v>256</v>
      </c>
      <c r="K8446" s="1" t="s">
        <v>199</v>
      </c>
      <c r="L8446" s="1" t="s">
        <v>40390</v>
      </c>
      <c r="M8446" s="2" t="s">
        <v>12</v>
      </c>
      <c r="N8446" s="4">
        <f t="shared" si="1"/>
        <v>43523</v>
      </c>
      <c r="O8446" s="5" t="str">
        <f>IFERROR(__xludf.DUMMYFUNCTION("IF(REGEXMATCH(TRIM(I8446), ""^\d+\s*min""), ""Unclassified"", IF(I8446 = """", ""NR"", I8446))"),"TV-PG")</f>
        <v>TV-PG</v>
      </c>
      <c r="R8446" s="5" t="str">
        <f t="shared" si="2"/>
        <v>The Only Mother To You All</v>
      </c>
      <c r="S8446" s="5" t="str">
        <f>IFERROR(__xludf.DUMMYFUNCTION("""COMPUTED_VALUE"""),"War Against Women")</f>
        <v>War Against Women</v>
      </c>
      <c r="V8446" s="5"/>
      <c r="Y8446" s="5" t="str">
        <f>IFERROR(__xludf.DUMMYFUNCTION("REGEXEXTRACT(J8446, ""^\d+"")"),"106")</f>
        <v>106</v>
      </c>
      <c r="Z8446" s="5" t="str">
        <f>IFERROR(__xludf.DUMMYFUNCTION("REGEXEXTRACT(J8446, ""[A-Za-z ]+$"")")," min")</f>
        <v> min</v>
      </c>
      <c r="AA8446" s="5" t="str">
        <f>IFERROR(__xludf.DUMMYFUNCTION("IF(REGEXMATCH(Z8446, ""Season""), ""TV Show"", ""Movie"")"),"Movie")</f>
        <v>Movie</v>
      </c>
    </row>
    <row r="8447">
      <c r="A8447" s="1" t="s">
        <v>40391</v>
      </c>
      <c r="B8447" s="1" t="s">
        <v>27</v>
      </c>
      <c r="C8447" s="1" t="s">
        <v>40392</v>
      </c>
      <c r="D8447" s="1" t="s">
        <v>3707</v>
      </c>
      <c r="E8447" s="1" t="s">
        <v>40393</v>
      </c>
      <c r="F8447" s="1" t="s">
        <v>30</v>
      </c>
      <c r="G8447" s="1" t="s">
        <v>16460</v>
      </c>
      <c r="H8447" s="1">
        <v>2010.0</v>
      </c>
      <c r="I8447" s="1" t="s">
        <v>32</v>
      </c>
      <c r="J8447" s="1" t="s">
        <v>912</v>
      </c>
      <c r="K8447" s="1" t="s">
        <v>973</v>
      </c>
      <c r="L8447" s="1" t="s">
        <v>40394</v>
      </c>
      <c r="M8447" s="2" t="s">
        <v>12</v>
      </c>
      <c r="N8447" s="4">
        <f t="shared" si="1"/>
        <v>43862</v>
      </c>
      <c r="O8447" s="5" t="str">
        <f>IFERROR(__xludf.DUMMYFUNCTION("IF(REGEXMATCH(TRIM(I8447), ""^\d+\s*min""), ""Unclassified"", IF(I8447 = """", ""NR"", I8447))"),"PG-13")</f>
        <v>PG-13</v>
      </c>
      <c r="R8447" s="5" t="str">
        <f t="shared" si="2"/>
        <v>The Other Guys</v>
      </c>
      <c r="S8447" s="5" t="str">
        <f>IFERROR(__xludf.DUMMYFUNCTION("""COMPUTED_VALUE"""),"War Chhod Na Yaar")</f>
        <v>War Chhod Na Yaar</v>
      </c>
      <c r="V8447" s="5"/>
      <c r="Y8447" s="5" t="str">
        <f>IFERROR(__xludf.DUMMYFUNCTION("REGEXEXTRACT(J8447, ""^\d+"")"),"108")</f>
        <v>108</v>
      </c>
      <c r="Z8447" s="5" t="str">
        <f>IFERROR(__xludf.DUMMYFUNCTION("REGEXEXTRACT(J8447, ""[A-Za-z ]+$"")")," min")</f>
        <v> min</v>
      </c>
      <c r="AA8447" s="5" t="str">
        <f>IFERROR(__xludf.DUMMYFUNCTION("IF(REGEXMATCH(Z8447, ""Season""), ""TV Show"", ""Movie"")"),"Movie")</f>
        <v>Movie</v>
      </c>
    </row>
    <row r="8448">
      <c r="A8448" s="1" t="s">
        <v>40395</v>
      </c>
      <c r="B8448" s="1" t="s">
        <v>27</v>
      </c>
      <c r="C8448" s="1" t="s">
        <v>40396</v>
      </c>
      <c r="D8448" s="1" t="s">
        <v>11283</v>
      </c>
      <c r="E8448" s="1" t="s">
        <v>40397</v>
      </c>
      <c r="F8448" s="1" t="s">
        <v>96</v>
      </c>
      <c r="G8448" s="1" t="s">
        <v>24964</v>
      </c>
      <c r="H8448" s="1">
        <v>2001.0</v>
      </c>
      <c r="I8448" s="1" t="s">
        <v>378</v>
      </c>
      <c r="J8448" s="1" t="s">
        <v>170</v>
      </c>
      <c r="K8448" s="1" t="s">
        <v>973</v>
      </c>
      <c r="L8448" s="1" t="s">
        <v>40398</v>
      </c>
      <c r="M8448" s="2" t="s">
        <v>12</v>
      </c>
      <c r="N8448" s="4">
        <f t="shared" si="1"/>
        <v>43313</v>
      </c>
      <c r="O8448" s="5" t="str">
        <f>IFERROR(__xludf.DUMMYFUNCTION("IF(REGEXMATCH(TRIM(I8448), ""^\d+\s*min""), ""Unclassified"", IF(I8448 = """", ""NR"", I8448))"),"R")</f>
        <v>R</v>
      </c>
      <c r="R8448" s="5" t="str">
        <f t="shared" si="2"/>
        <v>The Parole Officer</v>
      </c>
      <c r="S8448" s="5" t="str">
        <f>IFERROR(__xludf.DUMMYFUNCTION("""COMPUTED_VALUE"""),"War Dogs")</f>
        <v>War Dogs</v>
      </c>
      <c r="V8448" s="5"/>
      <c r="Y8448" s="5" t="str">
        <f>IFERROR(__xludf.DUMMYFUNCTION("REGEXEXTRACT(J8448, ""^\d+"")"),"94")</f>
        <v>94</v>
      </c>
      <c r="Z8448" s="5" t="str">
        <f>IFERROR(__xludf.DUMMYFUNCTION("REGEXEXTRACT(J8448, ""[A-Za-z ]+$"")")," min")</f>
        <v> min</v>
      </c>
      <c r="AA8448" s="5" t="str">
        <f>IFERROR(__xludf.DUMMYFUNCTION("IF(REGEXMATCH(Z8448, ""Season""), ""TV Show"", ""Movie"")"),"Movie")</f>
        <v>Movie</v>
      </c>
    </row>
    <row r="8449">
      <c r="A8449" s="1" t="s">
        <v>40399</v>
      </c>
      <c r="B8449" s="1" t="s">
        <v>27</v>
      </c>
      <c r="C8449" s="1" t="s">
        <v>40400</v>
      </c>
      <c r="D8449" s="1" t="s">
        <v>3125</v>
      </c>
      <c r="E8449" s="1" t="s">
        <v>40401</v>
      </c>
      <c r="F8449" s="1" t="s">
        <v>96</v>
      </c>
      <c r="G8449" s="1" t="s">
        <v>22635</v>
      </c>
      <c r="H8449" s="1">
        <v>2016.0</v>
      </c>
      <c r="I8449" s="1" t="s">
        <v>30231</v>
      </c>
      <c r="J8449" s="1" t="s">
        <v>630</v>
      </c>
      <c r="K8449" s="1" t="s">
        <v>4730</v>
      </c>
      <c r="L8449" s="1" t="s">
        <v>40402</v>
      </c>
      <c r="M8449" s="2" t="s">
        <v>12</v>
      </c>
      <c r="N8449" s="4">
        <f t="shared" si="1"/>
        <v>43466</v>
      </c>
      <c r="O8449" s="5" t="str">
        <f>IFERROR(__xludf.DUMMYFUNCTION("IF(REGEXMATCH(TRIM(I8449), ""^\d+\s*min""), ""Unclassified"", IF(I8449 = """", ""NR"", I8449))"),"NR")</f>
        <v>NR</v>
      </c>
      <c r="R8449" s="5" t="str">
        <f t="shared" si="2"/>
        <v>The Pass</v>
      </c>
      <c r="S8449" s="5" t="str">
        <f>IFERROR(__xludf.DUMMYFUNCTION("""COMPUTED_VALUE"""),"War Horse")</f>
        <v>War Horse</v>
      </c>
      <c r="V8449" s="5"/>
      <c r="Y8449" s="5" t="str">
        <f>IFERROR(__xludf.DUMMYFUNCTION("REGEXEXTRACT(J8449, ""^\d+"")"),"87")</f>
        <v>87</v>
      </c>
      <c r="Z8449" s="5" t="str">
        <f>IFERROR(__xludf.DUMMYFUNCTION("REGEXEXTRACT(J8449, ""[A-Za-z ]+$"")")," min")</f>
        <v> min</v>
      </c>
      <c r="AA8449" s="5" t="str">
        <f>IFERROR(__xludf.DUMMYFUNCTION("IF(REGEXMATCH(Z8449, ""Season""), ""TV Show"", ""Movie"")"),"Movie")</f>
        <v>Movie</v>
      </c>
    </row>
    <row r="8450">
      <c r="A8450" s="1" t="s">
        <v>40403</v>
      </c>
      <c r="B8450" s="1" t="s">
        <v>27</v>
      </c>
      <c r="C8450" s="1" t="s">
        <v>40404</v>
      </c>
      <c r="D8450" s="1" t="s">
        <v>16152</v>
      </c>
      <c r="E8450" s="1" t="s">
        <v>40405</v>
      </c>
      <c r="F8450" s="1" t="s">
        <v>30</v>
      </c>
      <c r="G8450" s="1" t="s">
        <v>16947</v>
      </c>
      <c r="H8450" s="1">
        <v>1997.0</v>
      </c>
      <c r="I8450" s="1" t="s">
        <v>378</v>
      </c>
      <c r="J8450" s="1" t="s">
        <v>341</v>
      </c>
      <c r="K8450" s="1" t="s">
        <v>380</v>
      </c>
      <c r="L8450" s="1" t="s">
        <v>40406</v>
      </c>
      <c r="M8450" s="2" t="s">
        <v>12</v>
      </c>
      <c r="N8450" s="4">
        <f t="shared" si="1"/>
        <v>43831</v>
      </c>
      <c r="O8450" s="5" t="str">
        <f>IFERROR(__xludf.DUMMYFUNCTION("IF(REGEXMATCH(TRIM(I8450), ""^\d+\s*min""), ""Unclassified"", IF(I8450 = """", ""NR"", I8450))"),"R")</f>
        <v>R</v>
      </c>
      <c r="R8450" s="5" t="str">
        <f t="shared" si="2"/>
        <v>The Peacemaker</v>
      </c>
      <c r="S8450" s="5" t="str">
        <f>IFERROR(__xludf.DUMMYFUNCTION("""COMPUTED_VALUE"""),"War Machine")</f>
        <v>War Machine</v>
      </c>
      <c r="V8450" s="5"/>
      <c r="Y8450" s="5" t="str">
        <f>IFERROR(__xludf.DUMMYFUNCTION("REGEXEXTRACT(J8450, ""^\d+"")"),"124")</f>
        <v>124</v>
      </c>
      <c r="Z8450" s="5" t="str">
        <f>IFERROR(__xludf.DUMMYFUNCTION("REGEXEXTRACT(J8450, ""[A-Za-z ]+$"")")," min")</f>
        <v> min</v>
      </c>
      <c r="AA8450" s="5" t="str">
        <f>IFERROR(__xludf.DUMMYFUNCTION("IF(REGEXMATCH(Z8450, ""Season""), ""TV Show"", ""Movie"")"),"Movie")</f>
        <v>Movie</v>
      </c>
    </row>
    <row r="8451">
      <c r="A8451" s="1" t="s">
        <v>40407</v>
      </c>
      <c r="B8451" s="1" t="s">
        <v>27</v>
      </c>
      <c r="C8451" s="1" t="s">
        <v>40408</v>
      </c>
      <c r="D8451" s="1" t="s">
        <v>865</v>
      </c>
      <c r="E8451" s="1" t="s">
        <v>40409</v>
      </c>
      <c r="F8451" s="1" t="s">
        <v>30</v>
      </c>
      <c r="G8451" s="1" t="s">
        <v>18333</v>
      </c>
      <c r="H8451" s="1">
        <v>1993.0</v>
      </c>
      <c r="I8451" s="1" t="s">
        <v>32</v>
      </c>
      <c r="J8451" s="1" t="s">
        <v>2274</v>
      </c>
      <c r="K8451" s="1" t="s">
        <v>394</v>
      </c>
      <c r="L8451" s="1" t="s">
        <v>40410</v>
      </c>
      <c r="M8451" s="2" t="s">
        <v>12</v>
      </c>
      <c r="N8451" s="4">
        <f t="shared" si="1"/>
        <v>43770</v>
      </c>
      <c r="O8451" s="5" t="str">
        <f>IFERROR(__xludf.DUMMYFUNCTION("IF(REGEXMATCH(TRIM(I8451), ""^\d+\s*min""), ""Unclassified"", IF(I8451 = """", ""NR"", I8451))"),"PG-13")</f>
        <v>PG-13</v>
      </c>
      <c r="R8451" s="5" t="str">
        <f t="shared" si="2"/>
        <v>The Pelican Brief</v>
      </c>
      <c r="S8451" s="5" t="str">
        <f>IFERROR(__xludf.DUMMYFUNCTION("""COMPUTED_VALUE"""),"War On Everyone")</f>
        <v>War On Everyone</v>
      </c>
      <c r="V8451" s="5"/>
      <c r="Y8451" s="5" t="str">
        <f>IFERROR(__xludf.DUMMYFUNCTION("REGEXEXTRACT(J8451, ""^\d+"")"),"141")</f>
        <v>141</v>
      </c>
      <c r="Z8451" s="5" t="str">
        <f>IFERROR(__xludf.DUMMYFUNCTION("REGEXEXTRACT(J8451, ""[A-Za-z ]+$"")")," min")</f>
        <v> min</v>
      </c>
      <c r="AA8451" s="5" t="str">
        <f>IFERROR(__xludf.DUMMYFUNCTION("IF(REGEXMATCH(Z8451, ""Season""), ""TV Show"", ""Movie"")"),"Movie")</f>
        <v>Movie</v>
      </c>
    </row>
    <row r="8452">
      <c r="A8452" s="1" t="s">
        <v>40411</v>
      </c>
      <c r="B8452" s="1" t="s">
        <v>27</v>
      </c>
      <c r="C8452" s="1" t="s">
        <v>40412</v>
      </c>
      <c r="D8452" s="1" t="s">
        <v>10527</v>
      </c>
      <c r="G8452" s="1" t="s">
        <v>24649</v>
      </c>
      <c r="H8452" s="1">
        <v>2018.0</v>
      </c>
      <c r="I8452" s="1" t="s">
        <v>97</v>
      </c>
      <c r="J8452" s="1" t="s">
        <v>454</v>
      </c>
      <c r="K8452" s="1" t="s">
        <v>520</v>
      </c>
      <c r="L8452" s="1" t="s">
        <v>40413</v>
      </c>
      <c r="M8452" s="2" t="s">
        <v>12</v>
      </c>
      <c r="N8452" s="4">
        <f t="shared" si="1"/>
        <v>43344</v>
      </c>
      <c r="O8452" s="5" t="str">
        <f>IFERROR(__xludf.DUMMYFUNCTION("IF(REGEXMATCH(TRIM(I8452), ""^\d+\s*min""), ""Unclassified"", IF(I8452 = """", ""NR"", I8452))"),"TV-14")</f>
        <v>TV-14</v>
      </c>
      <c r="R8452" s="5" t="str">
        <f t="shared" si="2"/>
        <v>The Perfect Day</v>
      </c>
      <c r="S8452" s="5" t="str">
        <f>IFERROR(__xludf.DUMMYFUNCTION("""COMPUTED_VALUE"""),"Warda")</f>
        <v>Warda</v>
      </c>
      <c r="V8452" s="5"/>
      <c r="Y8452" s="5" t="str">
        <f>IFERROR(__xludf.DUMMYFUNCTION("REGEXEXTRACT(J8452, ""^\d+"")"),"93")</f>
        <v>93</v>
      </c>
      <c r="Z8452" s="5" t="str">
        <f>IFERROR(__xludf.DUMMYFUNCTION("REGEXEXTRACT(J8452, ""[A-Za-z ]+$"")")," min")</f>
        <v> min</v>
      </c>
      <c r="AA8452" s="5" t="str">
        <f>IFERROR(__xludf.DUMMYFUNCTION("IF(REGEXMATCH(Z8452, ""Season""), ""TV Show"", ""Movie"")"),"Movie")</f>
        <v>Movie</v>
      </c>
    </row>
    <row r="8453">
      <c r="A8453" s="1" t="s">
        <v>40414</v>
      </c>
      <c r="B8453" s="1" t="s">
        <v>27</v>
      </c>
      <c r="C8453" s="1" t="s">
        <v>40415</v>
      </c>
      <c r="D8453" s="1" t="s">
        <v>21544</v>
      </c>
      <c r="E8453" s="1" t="s">
        <v>40416</v>
      </c>
      <c r="F8453" s="1" t="s">
        <v>30</v>
      </c>
      <c r="G8453" s="1" t="s">
        <v>15215</v>
      </c>
      <c r="H8453" s="1">
        <v>2012.0</v>
      </c>
      <c r="I8453" s="1" t="s">
        <v>32</v>
      </c>
      <c r="J8453" s="1" t="s">
        <v>238</v>
      </c>
      <c r="K8453" s="1" t="s">
        <v>107</v>
      </c>
      <c r="L8453" s="1" t="s">
        <v>40417</v>
      </c>
      <c r="M8453" s="2" t="s">
        <v>12</v>
      </c>
      <c r="N8453" s="4">
        <f t="shared" si="1"/>
        <v>43922</v>
      </c>
      <c r="O8453" s="5" t="str">
        <f>IFERROR(__xludf.DUMMYFUNCTION("IF(REGEXMATCH(TRIM(I8453), ""^\d+\s*min""), ""Unclassified"", IF(I8453 = """", ""NR"", I8453))"),"PG-13")</f>
        <v>PG-13</v>
      </c>
      <c r="R8453" s="5" t="str">
        <f t="shared" si="2"/>
        <v>The Perks Of Being A Wallflower</v>
      </c>
      <c r="S8453" s="5" t="str">
        <f>IFERROR(__xludf.DUMMYFUNCTION("""COMPUTED_VALUE"""),"Warehoused")</f>
        <v>Warehoused</v>
      </c>
      <c r="V8453" s="5"/>
      <c r="Y8453" s="5" t="str">
        <f>IFERROR(__xludf.DUMMYFUNCTION("REGEXEXTRACT(J8453, ""^\d+"")"),"103")</f>
        <v>103</v>
      </c>
      <c r="Z8453" s="5" t="str">
        <f>IFERROR(__xludf.DUMMYFUNCTION("REGEXEXTRACT(J8453, ""[A-Za-z ]+$"")")," min")</f>
        <v> min</v>
      </c>
      <c r="AA8453" s="5" t="str">
        <f>IFERROR(__xludf.DUMMYFUNCTION("IF(REGEXMATCH(Z8453, ""Season""), ""TV Show"", ""Movie"")"),"Movie")</f>
        <v>Movie</v>
      </c>
    </row>
    <row r="8454">
      <c r="A8454" s="1" t="s">
        <v>40418</v>
      </c>
      <c r="B8454" s="1" t="s">
        <v>27</v>
      </c>
      <c r="C8454" s="1" t="s">
        <v>40419</v>
      </c>
      <c r="D8454" s="1" t="s">
        <v>11182</v>
      </c>
      <c r="E8454" s="1" t="s">
        <v>40420</v>
      </c>
      <c r="F8454" s="1" t="s">
        <v>686</v>
      </c>
      <c r="G8454" s="1" t="s">
        <v>20561</v>
      </c>
      <c r="H8454" s="1">
        <v>2004.0</v>
      </c>
      <c r="I8454" s="1" t="s">
        <v>32</v>
      </c>
      <c r="J8454" s="1" t="s">
        <v>2274</v>
      </c>
      <c r="K8454" s="1" t="s">
        <v>3822</v>
      </c>
      <c r="L8454" s="1" t="s">
        <v>40421</v>
      </c>
      <c r="M8454" s="2" t="s">
        <v>12</v>
      </c>
      <c r="N8454" s="4">
        <f t="shared" si="1"/>
        <v>43617</v>
      </c>
      <c r="O8454" s="5" t="str">
        <f>IFERROR(__xludf.DUMMYFUNCTION("IF(REGEXMATCH(TRIM(I8454), ""^\d+\s*min""), ""Unclassified"", IF(I8454 = """", ""NR"", I8454))"),"PG-13")</f>
        <v>PG-13</v>
      </c>
      <c r="R8454" s="5" t="str">
        <f t="shared" si="2"/>
        <v>The Phantom Of The Opera</v>
      </c>
      <c r="S8454" s="5" t="str">
        <f>IFERROR(__xludf.DUMMYFUNCTION("""COMPUTED_VALUE"""),"Warrior")</f>
        <v>Warrior</v>
      </c>
      <c r="V8454" s="5"/>
      <c r="Y8454" s="5" t="str">
        <f>IFERROR(__xludf.DUMMYFUNCTION("REGEXEXTRACT(J8454, ""^\d+"")"),"141")</f>
        <v>141</v>
      </c>
      <c r="Z8454" s="5" t="str">
        <f>IFERROR(__xludf.DUMMYFUNCTION("REGEXEXTRACT(J8454, ""[A-Za-z ]+$"")")," min")</f>
        <v> min</v>
      </c>
      <c r="AA8454" s="5" t="str">
        <f>IFERROR(__xludf.DUMMYFUNCTION("IF(REGEXMATCH(Z8454, ""Season""), ""TV Show"", ""Movie"")"),"Movie")</f>
        <v>Movie</v>
      </c>
    </row>
    <row r="8455">
      <c r="A8455" s="1" t="s">
        <v>40422</v>
      </c>
      <c r="B8455" s="1" t="s">
        <v>27</v>
      </c>
      <c r="C8455" s="1" t="s">
        <v>40423</v>
      </c>
      <c r="D8455" s="1" t="s">
        <v>18211</v>
      </c>
      <c r="E8455" s="1" t="s">
        <v>40424</v>
      </c>
      <c r="F8455" s="1" t="s">
        <v>2492</v>
      </c>
      <c r="G8455" s="1" t="s">
        <v>29937</v>
      </c>
      <c r="H8455" s="1">
        <v>2013.0</v>
      </c>
      <c r="I8455" s="1" t="s">
        <v>378</v>
      </c>
      <c r="J8455" s="1" t="s">
        <v>3511</v>
      </c>
      <c r="K8455" s="1" t="s">
        <v>306</v>
      </c>
      <c r="L8455" s="1" t="s">
        <v>40425</v>
      </c>
      <c r="M8455" s="2" t="s">
        <v>12</v>
      </c>
      <c r="N8455" s="4">
        <f t="shared" si="1"/>
        <v>42200</v>
      </c>
      <c r="O8455" s="5" t="str">
        <f>IFERROR(__xludf.DUMMYFUNCTION("IF(REGEXMATCH(TRIM(I8455), ""^\d+\s*min""), ""Unclassified"", IF(I8455 = """", ""NR"", I8455))"),"R")</f>
        <v>R</v>
      </c>
      <c r="R8455" s="5" t="str">
        <f t="shared" si="2"/>
        <v>The Physician</v>
      </c>
      <c r="S8455" s="5" t="str">
        <f>IFERROR(__xludf.DUMMYFUNCTION("""COMPUTED_VALUE"""),"Warrior Nun")</f>
        <v>Warrior Nun</v>
      </c>
      <c r="V8455" s="5"/>
      <c r="Y8455" s="5" t="str">
        <f>IFERROR(__xludf.DUMMYFUNCTION("REGEXEXTRACT(J8455, ""^\d+"")"),"155")</f>
        <v>155</v>
      </c>
      <c r="Z8455" s="5" t="str">
        <f>IFERROR(__xludf.DUMMYFUNCTION("REGEXEXTRACT(J8455, ""[A-Za-z ]+$"")")," min")</f>
        <v> min</v>
      </c>
      <c r="AA8455" s="5" t="str">
        <f>IFERROR(__xludf.DUMMYFUNCTION("IF(REGEXMATCH(Z8455, ""Season""), ""TV Show"", ""Movie"")"),"Movie")</f>
        <v>Movie</v>
      </c>
    </row>
    <row r="8456">
      <c r="A8456" s="1" t="s">
        <v>40426</v>
      </c>
      <c r="B8456" s="1" t="s">
        <v>27</v>
      </c>
      <c r="C8456" s="1" t="s">
        <v>40427</v>
      </c>
      <c r="D8456" s="1" t="s">
        <v>11250</v>
      </c>
      <c r="E8456" s="1" t="s">
        <v>40428</v>
      </c>
      <c r="F8456" s="1" t="s">
        <v>5311</v>
      </c>
      <c r="G8456" s="1" t="s">
        <v>20110</v>
      </c>
      <c r="H8456" s="1">
        <v>2006.0</v>
      </c>
      <c r="I8456" s="1" t="s">
        <v>78</v>
      </c>
      <c r="J8456" s="1" t="s">
        <v>454</v>
      </c>
      <c r="K8456" s="1" t="s">
        <v>137</v>
      </c>
      <c r="L8456" s="1" t="s">
        <v>40429</v>
      </c>
      <c r="M8456" s="2" t="s">
        <v>12</v>
      </c>
      <c r="N8456" s="4">
        <f t="shared" si="1"/>
        <v>43647</v>
      </c>
      <c r="O8456" s="5" t="str">
        <f>IFERROR(__xludf.DUMMYFUNCTION("IF(REGEXMATCH(TRIM(I8456), ""^\d+\s*min""), ""Unclassified"", IF(I8456 = """", ""NR"", I8456))"),"PG")</f>
        <v>PG</v>
      </c>
      <c r="R8456" s="5" t="str">
        <f t="shared" si="2"/>
        <v>The Pink Panther</v>
      </c>
      <c r="S8456" s="5" t="str">
        <f>IFERROR(__xludf.DUMMYFUNCTION("""COMPUTED_VALUE"""),"Wartime Portraits")</f>
        <v>Wartime Portraits</v>
      </c>
      <c r="V8456" s="5"/>
      <c r="Y8456" s="5" t="str">
        <f>IFERROR(__xludf.DUMMYFUNCTION("REGEXEXTRACT(J8456, ""^\d+"")"),"93")</f>
        <v>93</v>
      </c>
      <c r="Z8456" s="5" t="str">
        <f>IFERROR(__xludf.DUMMYFUNCTION("REGEXEXTRACT(J8456, ""[A-Za-z ]+$"")")," min")</f>
        <v> min</v>
      </c>
      <c r="AA8456" s="5" t="str">
        <f>IFERROR(__xludf.DUMMYFUNCTION("IF(REGEXMATCH(Z8456, ""Season""), ""TV Show"", ""Movie"")"),"Movie")</f>
        <v>Movie</v>
      </c>
    </row>
    <row r="8457">
      <c r="A8457" s="1" t="s">
        <v>40430</v>
      </c>
      <c r="B8457" s="1" t="s">
        <v>27</v>
      </c>
      <c r="C8457" s="1" t="s">
        <v>40431</v>
      </c>
      <c r="D8457" s="1" t="s">
        <v>17903</v>
      </c>
      <c r="E8457" s="1" t="s">
        <v>40432</v>
      </c>
      <c r="F8457" s="1" t="s">
        <v>30</v>
      </c>
      <c r="G8457" s="1" t="s">
        <v>40433</v>
      </c>
      <c r="H8457" s="1">
        <v>2014.0</v>
      </c>
      <c r="I8457" s="1" t="s">
        <v>770</v>
      </c>
      <c r="J8457" s="1" t="s">
        <v>1737</v>
      </c>
      <c r="K8457" s="1" t="s">
        <v>80</v>
      </c>
      <c r="L8457" s="1" t="s">
        <v>40434</v>
      </c>
      <c r="M8457" s="2" t="s">
        <v>12</v>
      </c>
      <c r="N8457" s="4">
        <f t="shared" si="1"/>
        <v>41805</v>
      </c>
      <c r="O8457" s="5" t="str">
        <f>IFERROR(__xludf.DUMMYFUNCTION("IF(REGEXMATCH(TRIM(I8457), ""^\d+\s*min""), ""Unclassified"", IF(I8457 = """", ""NR"", I8457))"),"G")</f>
        <v>G</v>
      </c>
      <c r="R8457" s="5" t="str">
        <f t="shared" si="2"/>
        <v>The Pirate Fairy</v>
      </c>
      <c r="S8457" s="5" t="str">
        <f>IFERROR(__xludf.DUMMYFUNCTION("""COMPUTED_VALUE"""),"Was It Love?")</f>
        <v>Was It Love?</v>
      </c>
      <c r="V8457" s="5"/>
      <c r="Y8457" s="5" t="str">
        <f>IFERROR(__xludf.DUMMYFUNCTION("REGEXEXTRACT(J8457, ""^\d+"")"),"78")</f>
        <v>78</v>
      </c>
      <c r="Z8457" s="5" t="str">
        <f>IFERROR(__xludf.DUMMYFUNCTION("REGEXEXTRACT(J8457, ""[A-Za-z ]+$"")")," min")</f>
        <v> min</v>
      </c>
      <c r="AA8457" s="5" t="str">
        <f>IFERROR(__xludf.DUMMYFUNCTION("IF(REGEXMATCH(Z8457, ""Season""), ""TV Show"", ""Movie"")"),"Movie")</f>
        <v>Movie</v>
      </c>
    </row>
    <row r="8458">
      <c r="A8458" s="1" t="s">
        <v>40435</v>
      </c>
      <c r="B8458" s="1" t="s">
        <v>27</v>
      </c>
      <c r="C8458" s="1" t="s">
        <v>40436</v>
      </c>
      <c r="D8458" s="1" t="s">
        <v>3951</v>
      </c>
      <c r="E8458" s="1" t="s">
        <v>40437</v>
      </c>
      <c r="F8458" s="1" t="s">
        <v>40438</v>
      </c>
      <c r="G8458" s="1" t="s">
        <v>26089</v>
      </c>
      <c r="H8458" s="1">
        <v>2017.0</v>
      </c>
      <c r="I8458" s="1" t="s">
        <v>378</v>
      </c>
      <c r="J8458" s="1" t="s">
        <v>870</v>
      </c>
      <c r="K8458" s="1" t="s">
        <v>805</v>
      </c>
      <c r="L8458" s="1" t="s">
        <v>40439</v>
      </c>
      <c r="M8458" s="2" t="s">
        <v>12</v>
      </c>
      <c r="N8458" s="4">
        <f t="shared" si="1"/>
        <v>43160</v>
      </c>
      <c r="O8458" s="5" t="str">
        <f>IFERROR(__xludf.DUMMYFUNCTION("IF(REGEXMATCH(TRIM(I8458), ""^\d+\s*min""), ""Unclassified"", IF(I8458 = """", ""NR"", I8458))"),"R")</f>
        <v>R</v>
      </c>
      <c r="R8458" s="5" t="str">
        <f t="shared" si="2"/>
        <v>The Pirates Of Somalia</v>
      </c>
      <c r="S8458" s="5" t="str">
        <f>IFERROR(__xludf.DUMMYFUNCTION("""COMPUTED_VALUE"""),"Wasp Network")</f>
        <v>Wasp Network</v>
      </c>
      <c r="V8458" s="5"/>
      <c r="Y8458" s="5" t="str">
        <f>IFERROR(__xludf.DUMMYFUNCTION("REGEXEXTRACT(J8458, ""^\d+"")"),"118")</f>
        <v>118</v>
      </c>
      <c r="Z8458" s="5" t="str">
        <f>IFERROR(__xludf.DUMMYFUNCTION("REGEXEXTRACT(J8458, ""[A-Za-z ]+$"")")," min")</f>
        <v> min</v>
      </c>
      <c r="AA8458" s="5" t="str">
        <f>IFERROR(__xludf.DUMMYFUNCTION("IF(REGEXMATCH(Z8458, ""Season""), ""TV Show"", ""Movie"")"),"Movie")</f>
        <v>Movie</v>
      </c>
    </row>
    <row r="8459">
      <c r="A8459" s="1" t="s">
        <v>40440</v>
      </c>
      <c r="B8459" s="1" t="s">
        <v>27</v>
      </c>
      <c r="C8459" s="1" t="s">
        <v>40441</v>
      </c>
      <c r="D8459" s="1" t="s">
        <v>18011</v>
      </c>
      <c r="E8459" s="1" t="s">
        <v>40442</v>
      </c>
      <c r="F8459" s="1" t="s">
        <v>686</v>
      </c>
      <c r="G8459" s="1" t="s">
        <v>10969</v>
      </c>
      <c r="H8459" s="1">
        <v>2012.0</v>
      </c>
      <c r="I8459" s="1" t="s">
        <v>78</v>
      </c>
      <c r="J8459" s="1" t="s">
        <v>428</v>
      </c>
      <c r="K8459" s="1" t="s">
        <v>137</v>
      </c>
      <c r="L8459" s="1" t="s">
        <v>40443</v>
      </c>
      <c r="M8459" s="2" t="s">
        <v>12</v>
      </c>
      <c r="N8459" s="4">
        <f t="shared" si="1"/>
        <v>44105</v>
      </c>
      <c r="O8459" s="5" t="str">
        <f>IFERROR(__xludf.DUMMYFUNCTION("IF(REGEXMATCH(TRIM(I8459), ""^\d+\s*min""), ""Unclassified"", IF(I8459 = """", ""NR"", I8459))"),"PG")</f>
        <v>PG</v>
      </c>
      <c r="R8459" s="5" t="str">
        <f t="shared" si="2"/>
        <v>The Pirates! Band Of Misfits</v>
      </c>
      <c r="S8459" s="5" t="str">
        <f>IFERROR(__xludf.DUMMYFUNCTION("""COMPUTED_VALUE"""),"Wassup Man Go!")</f>
        <v>Wassup Man Go!</v>
      </c>
      <c r="V8459" s="5"/>
      <c r="Y8459" s="5" t="str">
        <f>IFERROR(__xludf.DUMMYFUNCTION("REGEXEXTRACT(J8459, ""^\d+"")"),"88")</f>
        <v>88</v>
      </c>
      <c r="Z8459" s="5" t="str">
        <f>IFERROR(__xludf.DUMMYFUNCTION("REGEXEXTRACT(J8459, ""[A-Za-z ]+$"")")," min")</f>
        <v> min</v>
      </c>
      <c r="AA8459" s="5" t="str">
        <f>IFERROR(__xludf.DUMMYFUNCTION("IF(REGEXMATCH(Z8459, ""Season""), ""TV Show"", ""Movie"")"),"Movie")</f>
        <v>Movie</v>
      </c>
    </row>
    <row r="8460">
      <c r="A8460" s="1" t="s">
        <v>40444</v>
      </c>
      <c r="B8460" s="1" t="s">
        <v>27</v>
      </c>
      <c r="C8460" s="1" t="s">
        <v>40445</v>
      </c>
      <c r="D8460" s="1" t="s">
        <v>6372</v>
      </c>
      <c r="E8460" s="1" t="s">
        <v>40446</v>
      </c>
      <c r="F8460" s="1" t="s">
        <v>30</v>
      </c>
      <c r="G8460" s="7">
        <v>42871.0</v>
      </c>
      <c r="H8460" s="1">
        <v>2012.0</v>
      </c>
      <c r="I8460" s="1" t="s">
        <v>378</v>
      </c>
      <c r="J8460" s="1" t="s">
        <v>1704</v>
      </c>
      <c r="K8460" s="1" t="s">
        <v>1320</v>
      </c>
      <c r="L8460" s="1" t="s">
        <v>40447</v>
      </c>
      <c r="M8460" s="2" t="s">
        <v>12</v>
      </c>
      <c r="N8460" s="4">
        <f t="shared" si="1"/>
        <v>42871</v>
      </c>
      <c r="O8460" s="5" t="str">
        <f>IFERROR(__xludf.DUMMYFUNCTION("IF(REGEXMATCH(TRIM(I8460), ""^\d+\s*min""), ""Unclassified"", IF(I8460 = """", ""NR"", I8460))"),"R")</f>
        <v>R</v>
      </c>
      <c r="R8460" s="5" t="str">
        <f t="shared" si="2"/>
        <v>The Place Beyond The Pines</v>
      </c>
      <c r="S8460" s="5" t="str">
        <f>IFERROR(__xludf.DUMMYFUNCTION("""COMPUTED_VALUE"""),"Watchman")</f>
        <v>Watchman</v>
      </c>
      <c r="V8460" s="5"/>
      <c r="Y8460" s="5" t="str">
        <f>IFERROR(__xludf.DUMMYFUNCTION("REGEXEXTRACT(J8460, ""^\d+"")"),"140")</f>
        <v>140</v>
      </c>
      <c r="Z8460" s="5" t="str">
        <f>IFERROR(__xludf.DUMMYFUNCTION("REGEXEXTRACT(J8460, ""[A-Za-z ]+$"")")," min")</f>
        <v> min</v>
      </c>
      <c r="AA8460" s="5" t="str">
        <f>IFERROR(__xludf.DUMMYFUNCTION("IF(REGEXMATCH(Z8460, ""Season""), ""TV Show"", ""Movie"")"),"Movie")</f>
        <v>Movie</v>
      </c>
    </row>
    <row r="8461">
      <c r="A8461" s="1" t="s">
        <v>40448</v>
      </c>
      <c r="B8461" s="1" t="s">
        <v>27</v>
      </c>
      <c r="C8461" s="1" t="s">
        <v>40449</v>
      </c>
      <c r="D8461" s="1" t="s">
        <v>12605</v>
      </c>
      <c r="E8461" s="1" t="s">
        <v>40450</v>
      </c>
      <c r="F8461" s="1" t="s">
        <v>63</v>
      </c>
      <c r="G8461" s="1" t="s">
        <v>26089</v>
      </c>
      <c r="H8461" s="1">
        <v>2015.0</v>
      </c>
      <c r="I8461" s="1" t="s">
        <v>42</v>
      </c>
      <c r="J8461" s="1" t="s">
        <v>341</v>
      </c>
      <c r="K8461" s="1" t="s">
        <v>298</v>
      </c>
      <c r="L8461" s="1" t="s">
        <v>40451</v>
      </c>
      <c r="M8461" s="2" t="s">
        <v>12</v>
      </c>
      <c r="N8461" s="4">
        <f t="shared" si="1"/>
        <v>43160</v>
      </c>
      <c r="O8461" s="5" t="str">
        <f>IFERROR(__xludf.DUMMYFUNCTION("IF(REGEXMATCH(TRIM(I8461), ""^\d+\s*min""), ""Unclassified"", IF(I8461 = """", ""NR"", I8461))"),"TV-MA")</f>
        <v>TV-MA</v>
      </c>
      <c r="R8461" s="5" t="str">
        <f t="shared" si="2"/>
        <v>The Plan</v>
      </c>
      <c r="S8461" s="5" t="str">
        <f>IFERROR(__xludf.DUMMYFUNCTION("""COMPUTED_VALUE"""),"Water &amp; Power: A California Heist")</f>
        <v>Water &amp; Power: A California Heist</v>
      </c>
      <c r="V8461" s="5"/>
      <c r="Y8461" s="5" t="str">
        <f>IFERROR(__xludf.DUMMYFUNCTION("REGEXEXTRACT(J8461, ""^\d+"")"),"124")</f>
        <v>124</v>
      </c>
      <c r="Z8461" s="5" t="str">
        <f>IFERROR(__xludf.DUMMYFUNCTION("REGEXEXTRACT(J8461, ""[A-Za-z ]+$"")")," min")</f>
        <v> min</v>
      </c>
      <c r="AA8461" s="5" t="str">
        <f>IFERROR(__xludf.DUMMYFUNCTION("IF(REGEXMATCH(Z8461, ""Season""), ""TV Show"", ""Movie"")"),"Movie")</f>
        <v>Movie</v>
      </c>
    </row>
    <row r="8462">
      <c r="A8462" s="1" t="s">
        <v>40452</v>
      </c>
      <c r="B8462" s="1" t="s">
        <v>27</v>
      </c>
      <c r="C8462" s="1" t="s">
        <v>40453</v>
      </c>
      <c r="D8462" s="1" t="s">
        <v>601</v>
      </c>
      <c r="E8462" s="1" t="s">
        <v>40454</v>
      </c>
      <c r="F8462" s="1" t="s">
        <v>3309</v>
      </c>
      <c r="G8462" s="1" t="s">
        <v>20298</v>
      </c>
      <c r="H8462" s="1">
        <v>2012.0</v>
      </c>
      <c r="I8462" s="1" t="s">
        <v>42</v>
      </c>
      <c r="J8462" s="1" t="s">
        <v>297</v>
      </c>
      <c r="K8462" s="1" t="s">
        <v>199</v>
      </c>
      <c r="L8462" s="1" t="s">
        <v>40455</v>
      </c>
      <c r="M8462" s="2" t="s">
        <v>12</v>
      </c>
      <c r="N8462" s="4">
        <f t="shared" si="1"/>
        <v>43636</v>
      </c>
      <c r="O8462" s="5" t="str">
        <f>IFERROR(__xludf.DUMMYFUNCTION("IF(REGEXMATCH(TRIM(I8462), ""^\d+\s*min""), ""Unclassified"", IF(I8462 = """", ""NR"", I8462))"),"TV-MA")</f>
        <v>TV-MA</v>
      </c>
      <c r="R8462" s="5" t="str">
        <f t="shared" si="2"/>
        <v>The Player</v>
      </c>
      <c r="S8462" s="5" t="str">
        <f>IFERROR(__xludf.DUMMYFUNCTION("""COMPUTED_VALUE"""),"Waterschool")</f>
        <v>Waterschool</v>
      </c>
      <c r="V8462" s="5"/>
      <c r="Y8462" s="5" t="str">
        <f>IFERROR(__xludf.DUMMYFUNCTION("REGEXEXTRACT(J8462, ""^\d+"")"),"110")</f>
        <v>110</v>
      </c>
      <c r="Z8462" s="5" t="str">
        <f>IFERROR(__xludf.DUMMYFUNCTION("REGEXEXTRACT(J8462, ""[A-Za-z ]+$"")")," min")</f>
        <v> min</v>
      </c>
      <c r="AA8462" s="5" t="str">
        <f>IFERROR(__xludf.DUMMYFUNCTION("IF(REGEXMATCH(Z8462, ""Season""), ""TV Show"", ""Movie"")"),"Movie")</f>
        <v>Movie</v>
      </c>
    </row>
    <row r="8463">
      <c r="A8463" s="1" t="s">
        <v>40456</v>
      </c>
      <c r="B8463" s="1" t="s">
        <v>27</v>
      </c>
      <c r="C8463" s="1" t="s">
        <v>40457</v>
      </c>
      <c r="D8463" s="1" t="s">
        <v>2135</v>
      </c>
      <c r="E8463" s="1" t="s">
        <v>40458</v>
      </c>
      <c r="F8463" s="1" t="s">
        <v>30</v>
      </c>
      <c r="G8463" s="1" t="s">
        <v>8506</v>
      </c>
      <c r="H8463" s="1">
        <v>2004.0</v>
      </c>
      <c r="I8463" s="1" t="s">
        <v>770</v>
      </c>
      <c r="J8463" s="1" t="s">
        <v>433</v>
      </c>
      <c r="K8463" s="1" t="s">
        <v>80</v>
      </c>
      <c r="L8463" s="1" t="s">
        <v>40459</v>
      </c>
      <c r="M8463" s="2" t="s">
        <v>12</v>
      </c>
      <c r="N8463" s="4">
        <f t="shared" si="1"/>
        <v>44197</v>
      </c>
      <c r="O8463" s="5" t="str">
        <f>IFERROR(__xludf.DUMMYFUNCTION("IF(REGEXMATCH(TRIM(I8463), ""^\d+\s*min""), ""Unclassified"", IF(I8463 = """", ""NR"", I8463))"),"G")</f>
        <v>G</v>
      </c>
      <c r="R8463" s="5" t="str">
        <f t="shared" si="2"/>
        <v>The Polar Express</v>
      </c>
      <c r="S8463" s="5" t="str">
        <f>IFERROR(__xludf.DUMMYFUNCTION("""COMPUTED_VALUE"""),"Watership Down")</f>
        <v>Watership Down</v>
      </c>
      <c r="V8463" s="5"/>
      <c r="Y8463" s="5" t="str">
        <f>IFERROR(__xludf.DUMMYFUNCTION("REGEXEXTRACT(J8463, ""^\d+"")"),"100")</f>
        <v>100</v>
      </c>
      <c r="Z8463" s="5" t="str">
        <f>IFERROR(__xludf.DUMMYFUNCTION("REGEXEXTRACT(J8463, ""[A-Za-z ]+$"")")," min")</f>
        <v> min</v>
      </c>
      <c r="AA8463" s="5" t="str">
        <f>IFERROR(__xludf.DUMMYFUNCTION("IF(REGEXMATCH(Z8463, ""Season""), ""TV Show"", ""Movie"")"),"Movie")</f>
        <v>Movie</v>
      </c>
    </row>
    <row r="8464">
      <c r="A8464" s="1" t="s">
        <v>40460</v>
      </c>
      <c r="B8464" s="1" t="s">
        <v>27</v>
      </c>
      <c r="C8464" s="1" t="s">
        <v>40461</v>
      </c>
      <c r="D8464" s="1" t="s">
        <v>40462</v>
      </c>
      <c r="F8464" s="1" t="s">
        <v>1979</v>
      </c>
      <c r="G8464" s="1" t="s">
        <v>24734</v>
      </c>
      <c r="H8464" s="1">
        <v>2017.0</v>
      </c>
      <c r="I8464" s="1" t="s">
        <v>97</v>
      </c>
      <c r="J8464" s="1" t="s">
        <v>322</v>
      </c>
      <c r="K8464" s="1" t="s">
        <v>34</v>
      </c>
      <c r="L8464" s="1" t="s">
        <v>40463</v>
      </c>
      <c r="M8464" s="2" t="s">
        <v>12</v>
      </c>
      <c r="N8464" s="4">
        <f t="shared" si="1"/>
        <v>43336</v>
      </c>
      <c r="O8464" s="5" t="str">
        <f>IFERROR(__xludf.DUMMYFUNCTION("IF(REGEXMATCH(TRIM(I8464), ""^\d+\s*min""), ""Unclassified"", IF(I8464 = """", ""NR"", I8464))"),"TV-14")</f>
        <v>TV-14</v>
      </c>
      <c r="R8464" s="5" t="str">
        <f t="shared" si="2"/>
        <v>The Power Of Grayskull: The Definitive History Of He-Man And The Masters Of The Universe</v>
      </c>
      <c r="S8464" s="5" t="str">
        <f>IFERROR(__xludf.DUMMYFUNCTION("""COMPUTED_VALUE"""),"Wave Of Cinema: 90'S Generation")</f>
        <v>Wave Of Cinema: 90'S Generation</v>
      </c>
      <c r="V8464" s="5"/>
      <c r="Y8464" s="5" t="str">
        <f>IFERROR(__xludf.DUMMYFUNCTION("REGEXEXTRACT(J8464, ""^\d+"")"),"96")</f>
        <v>96</v>
      </c>
      <c r="Z8464" s="5" t="str">
        <f>IFERROR(__xludf.DUMMYFUNCTION("REGEXEXTRACT(J8464, ""[A-Za-z ]+$"")")," min")</f>
        <v> min</v>
      </c>
      <c r="AA8464" s="5" t="str">
        <f>IFERROR(__xludf.DUMMYFUNCTION("IF(REGEXMATCH(Z8464, ""Season""), ""TV Show"", ""Movie"")"),"Movie")</f>
        <v>Movie</v>
      </c>
    </row>
    <row r="8465">
      <c r="A8465" s="1" t="s">
        <v>40464</v>
      </c>
      <c r="B8465" s="1" t="s">
        <v>27</v>
      </c>
      <c r="C8465" s="1" t="s">
        <v>40465</v>
      </c>
      <c r="D8465" s="1" t="s">
        <v>40466</v>
      </c>
      <c r="E8465" s="1" t="s">
        <v>40467</v>
      </c>
      <c r="F8465" s="1" t="s">
        <v>749</v>
      </c>
      <c r="G8465" s="1" t="s">
        <v>27097</v>
      </c>
      <c r="H8465" s="1">
        <v>2004.0</v>
      </c>
      <c r="I8465" s="1" t="s">
        <v>42</v>
      </c>
      <c r="J8465" s="1" t="s">
        <v>349</v>
      </c>
      <c r="K8465" s="1" t="s">
        <v>583</v>
      </c>
      <c r="L8465" s="1" t="s">
        <v>40468</v>
      </c>
      <c r="M8465" s="2" t="s">
        <v>12</v>
      </c>
      <c r="N8465" s="4">
        <f t="shared" si="1"/>
        <v>43009</v>
      </c>
      <c r="O8465" s="5" t="str">
        <f>IFERROR(__xludf.DUMMYFUNCTION("IF(REGEXMATCH(TRIM(I8465), ""^\d+\s*min""), ""Unclassified"", IF(I8465 = """", ""NR"", I8465))"),"TV-MA")</f>
        <v>TV-MA</v>
      </c>
      <c r="R8465" s="5" t="str">
        <f t="shared" si="2"/>
        <v>The President'S Barber</v>
      </c>
      <c r="S8465" s="5" t="str">
        <f>IFERROR(__xludf.DUMMYFUNCTION("""COMPUTED_VALUE"""),"Wave Of Cinema: Filosofi Kopi")</f>
        <v>Wave Of Cinema: Filosofi Kopi</v>
      </c>
      <c r="V8465" s="5"/>
      <c r="Y8465" s="5" t="str">
        <f>IFERROR(__xludf.DUMMYFUNCTION("REGEXEXTRACT(J8465, ""^\d+"")"),"116")</f>
        <v>116</v>
      </c>
      <c r="Z8465" s="5" t="str">
        <f>IFERROR(__xludf.DUMMYFUNCTION("REGEXEXTRACT(J8465, ""[A-Za-z ]+$"")")," min")</f>
        <v> min</v>
      </c>
      <c r="AA8465" s="5" t="str">
        <f>IFERROR(__xludf.DUMMYFUNCTION("IF(REGEXMATCH(Z8465, ""Season""), ""TV Show"", ""Movie"")"),"Movie")</f>
        <v>Movie</v>
      </c>
    </row>
    <row r="8466">
      <c r="A8466" s="1" t="s">
        <v>40469</v>
      </c>
      <c r="B8466" s="1" t="s">
        <v>27</v>
      </c>
      <c r="C8466" s="1" t="s">
        <v>40470</v>
      </c>
      <c r="D8466" s="1" t="s">
        <v>3745</v>
      </c>
      <c r="E8466" s="1" t="s">
        <v>40471</v>
      </c>
      <c r="F8466" s="1" t="s">
        <v>692</v>
      </c>
      <c r="G8466" s="1" t="s">
        <v>21989</v>
      </c>
      <c r="H8466" s="1">
        <v>2014.0</v>
      </c>
      <c r="I8466" s="1" t="s">
        <v>378</v>
      </c>
      <c r="J8466" s="1" t="s">
        <v>79</v>
      </c>
      <c r="K8466" s="1" t="s">
        <v>380</v>
      </c>
      <c r="L8466" s="1" t="s">
        <v>40472</v>
      </c>
      <c r="M8466" s="2" t="s">
        <v>12</v>
      </c>
      <c r="N8466" s="4">
        <f t="shared" si="1"/>
        <v>43518</v>
      </c>
      <c r="O8466" s="5" t="str">
        <f>IFERROR(__xludf.DUMMYFUNCTION("IF(REGEXMATCH(TRIM(I8466), ""^\d+\s*min""), ""Unclassified"", IF(I8466 = """", ""NR"", I8466))"),"R")</f>
        <v>R</v>
      </c>
      <c r="R8466" s="5" t="str">
        <f t="shared" si="2"/>
        <v>The Prince</v>
      </c>
      <c r="S8466" s="5" t="str">
        <f>IFERROR(__xludf.DUMMYFUNCTION("""COMPUTED_VALUE"""),"Wave Of Cinema: One Day We'Ll Talk About Today")</f>
        <v>Wave Of Cinema: One Day We'Ll Talk About Today</v>
      </c>
      <c r="V8466" s="5"/>
      <c r="Y8466" s="5" t="str">
        <f>IFERROR(__xludf.DUMMYFUNCTION("REGEXEXTRACT(J8466, ""^\d+"")"),"91")</f>
        <v>91</v>
      </c>
      <c r="Z8466" s="5" t="str">
        <f>IFERROR(__xludf.DUMMYFUNCTION("REGEXEXTRACT(J8466, ""[A-Za-z ]+$"")")," min")</f>
        <v> min</v>
      </c>
      <c r="AA8466" s="5" t="str">
        <f>IFERROR(__xludf.DUMMYFUNCTION("IF(REGEXMATCH(Z8466, ""Season""), ""TV Show"", ""Movie"")"),"Movie")</f>
        <v>Movie</v>
      </c>
    </row>
    <row r="8467">
      <c r="A8467" s="1" t="s">
        <v>40473</v>
      </c>
      <c r="B8467" s="1" t="s">
        <v>27</v>
      </c>
      <c r="C8467" s="1" t="s">
        <v>40474</v>
      </c>
      <c r="D8467" s="1" t="s">
        <v>14991</v>
      </c>
      <c r="E8467" s="1" t="s">
        <v>40475</v>
      </c>
      <c r="F8467" s="1" t="s">
        <v>5311</v>
      </c>
      <c r="G8467" s="1" t="s">
        <v>10969</v>
      </c>
      <c r="H8467" s="1">
        <v>2004.0</v>
      </c>
      <c r="I8467" s="1" t="s">
        <v>78</v>
      </c>
      <c r="J8467" s="1" t="s">
        <v>264</v>
      </c>
      <c r="K8467" s="1" t="s">
        <v>813</v>
      </c>
      <c r="L8467" s="1" t="s">
        <v>40476</v>
      </c>
      <c r="M8467" s="2" t="s">
        <v>12</v>
      </c>
      <c r="N8467" s="4">
        <f t="shared" si="1"/>
        <v>44105</v>
      </c>
      <c r="O8467" s="5" t="str">
        <f>IFERROR(__xludf.DUMMYFUNCTION("IF(REGEXMATCH(TRIM(I8467), ""^\d+\s*min""), ""Unclassified"", IF(I8467 = """", ""NR"", I8467))"),"PG")</f>
        <v>PG</v>
      </c>
      <c r="R8467" s="5" t="str">
        <f t="shared" si="2"/>
        <v>The Prince &amp; Me</v>
      </c>
      <c r="S8467" s="5" t="str">
        <f>IFERROR(__xludf.DUMMYFUNCTION("""COMPUTED_VALUE"""),"Wave Of Cinema: Surat Dari Timur")</f>
        <v>Wave Of Cinema: Surat Dari Timur</v>
      </c>
      <c r="V8467" s="5"/>
      <c r="Y8467" s="5" t="str">
        <f>IFERROR(__xludf.DUMMYFUNCTION("REGEXEXTRACT(J8467, ""^\d+"")"),"111")</f>
        <v>111</v>
      </c>
      <c r="Z8467" s="5" t="str">
        <f>IFERROR(__xludf.DUMMYFUNCTION("REGEXEXTRACT(J8467, ""[A-Za-z ]+$"")")," min")</f>
        <v> min</v>
      </c>
      <c r="AA8467" s="5" t="str">
        <f>IFERROR(__xludf.DUMMYFUNCTION("IF(REGEXMATCH(Z8467, ""Season""), ""TV Show"", ""Movie"")"),"Movie")</f>
        <v>Movie</v>
      </c>
    </row>
    <row r="8468">
      <c r="A8468" s="1" t="s">
        <v>40477</v>
      </c>
      <c r="B8468" s="1" t="s">
        <v>27</v>
      </c>
      <c r="C8468" s="1" t="s">
        <v>40478</v>
      </c>
      <c r="D8468" s="1" t="s">
        <v>19781</v>
      </c>
      <c r="E8468" s="1" t="s">
        <v>40479</v>
      </c>
      <c r="F8468" s="1" t="s">
        <v>30</v>
      </c>
      <c r="G8468" s="1" t="s">
        <v>19961</v>
      </c>
      <c r="H8468" s="1">
        <v>2009.0</v>
      </c>
      <c r="I8468" s="1" t="s">
        <v>770</v>
      </c>
      <c r="J8468" s="1" t="s">
        <v>357</v>
      </c>
      <c r="K8468" s="1" t="s">
        <v>80</v>
      </c>
      <c r="L8468" s="1" t="s">
        <v>40480</v>
      </c>
      <c r="M8468" s="2" t="s">
        <v>12</v>
      </c>
      <c r="N8468" s="4">
        <f t="shared" si="1"/>
        <v>43662</v>
      </c>
      <c r="O8468" s="5" t="str">
        <f>IFERROR(__xludf.DUMMYFUNCTION("IF(REGEXMATCH(TRIM(I8468), ""^\d+\s*min""), ""Unclassified"", IF(I8468 = """", ""NR"", I8468))"),"G")</f>
        <v>G</v>
      </c>
      <c r="R8468" s="5" t="str">
        <f t="shared" si="2"/>
        <v>The Princess And The Frog</v>
      </c>
      <c r="S8468" s="5" t="str">
        <f>IFERROR(__xludf.DUMMYFUNCTION("""COMPUTED_VALUE"""),"Way Back Into Love")</f>
        <v>Way Back Into Love</v>
      </c>
      <c r="V8468" s="5"/>
      <c r="Y8468" s="5" t="str">
        <f>IFERROR(__xludf.DUMMYFUNCTION("REGEXEXTRACT(J8468, ""^\d+"")"),"98")</f>
        <v>98</v>
      </c>
      <c r="Z8468" s="5" t="str">
        <f>IFERROR(__xludf.DUMMYFUNCTION("REGEXEXTRACT(J8468, ""[A-Za-z ]+$"")")," min")</f>
        <v> min</v>
      </c>
      <c r="AA8468" s="5" t="str">
        <f>IFERROR(__xludf.DUMMYFUNCTION("IF(REGEXMATCH(Z8468, ""Season""), ""TV Show"", ""Movie"")"),"Movie")</f>
        <v>Movie</v>
      </c>
    </row>
    <row r="8469">
      <c r="A8469" s="1" t="s">
        <v>40481</v>
      </c>
      <c r="B8469" s="1" t="s">
        <v>27</v>
      </c>
      <c r="C8469" s="1" t="s">
        <v>40482</v>
      </c>
      <c r="D8469" s="1" t="s">
        <v>16468</v>
      </c>
      <c r="E8469" s="1" t="s">
        <v>40483</v>
      </c>
      <c r="F8469" s="1" t="s">
        <v>749</v>
      </c>
      <c r="G8469" s="1" t="s">
        <v>40484</v>
      </c>
      <c r="H8469" s="1">
        <v>2017.0</v>
      </c>
      <c r="I8469" s="1" t="s">
        <v>42</v>
      </c>
      <c r="J8469" s="1" t="s">
        <v>88</v>
      </c>
      <c r="K8469" s="1" t="s">
        <v>306</v>
      </c>
      <c r="L8469" s="1" t="s">
        <v>40485</v>
      </c>
      <c r="M8469" s="2" t="s">
        <v>12</v>
      </c>
      <c r="N8469" s="4">
        <f t="shared" si="1"/>
        <v>43057</v>
      </c>
      <c r="O8469" s="5" t="str">
        <f>IFERROR(__xludf.DUMMYFUNCTION("IF(REGEXMATCH(TRIM(I8469), ""^\d+\s*min""), ""Unclassified"", IF(I8469 = """", ""NR"", I8469))"),"TV-MA")</f>
        <v>TV-MA</v>
      </c>
      <c r="R8469" s="5" t="str">
        <f t="shared" si="2"/>
        <v>The Prison</v>
      </c>
      <c r="S8469" s="5" t="str">
        <f>IFERROR(__xludf.DUMMYFUNCTION("""COMPUTED_VALUE"""),"Wazir")</f>
        <v>Wazir</v>
      </c>
      <c r="V8469" s="5"/>
      <c r="Y8469" s="5" t="str">
        <f>IFERROR(__xludf.DUMMYFUNCTION("REGEXEXTRACT(J8469, ""^\d+"")"),"125")</f>
        <v>125</v>
      </c>
      <c r="Z8469" s="5" t="str">
        <f>IFERROR(__xludf.DUMMYFUNCTION("REGEXEXTRACT(J8469, ""[A-Za-z ]+$"")")," min")</f>
        <v> min</v>
      </c>
      <c r="AA8469" s="5" t="str">
        <f>IFERROR(__xludf.DUMMYFUNCTION("IF(REGEXMATCH(Z8469, ""Season""), ""TV Show"", ""Movie"")"),"Movie")</f>
        <v>Movie</v>
      </c>
    </row>
    <row r="8470">
      <c r="A8470" s="1" t="s">
        <v>40486</v>
      </c>
      <c r="B8470" s="1" t="s">
        <v>27</v>
      </c>
      <c r="C8470" s="1" t="s">
        <v>40487</v>
      </c>
      <c r="D8470" s="1" t="s">
        <v>11419</v>
      </c>
      <c r="E8470" s="1" t="s">
        <v>40488</v>
      </c>
      <c r="F8470" s="1" t="s">
        <v>30</v>
      </c>
      <c r="G8470" s="1" t="s">
        <v>19742</v>
      </c>
      <c r="H8470" s="1">
        <v>2019.0</v>
      </c>
      <c r="I8470" s="1" t="s">
        <v>97</v>
      </c>
      <c r="J8470" s="1" t="s">
        <v>1171</v>
      </c>
      <c r="K8470" s="1" t="s">
        <v>34</v>
      </c>
      <c r="L8470" s="1" t="s">
        <v>40489</v>
      </c>
      <c r="M8470" s="2" t="s">
        <v>12</v>
      </c>
      <c r="N8470" s="4">
        <f t="shared" si="1"/>
        <v>43684</v>
      </c>
      <c r="O8470" s="5" t="str">
        <f>IFERROR(__xludf.DUMMYFUNCTION("IF(REGEXMATCH(TRIM(I8470), ""^\d+\s*min""), ""Unclassified"", IF(I8470 = """", ""NR"", I8470))"),"TV-14")</f>
        <v>TV-14</v>
      </c>
      <c r="R8470" s="5" t="str">
        <f t="shared" si="2"/>
        <v>The Pursuit</v>
      </c>
      <c r="S8470" s="5" t="str">
        <f>IFERROR(__xludf.DUMMYFUNCTION("""COMPUTED_VALUE"""),"We Are All For The Fatherland")</f>
        <v>We Are All For The Fatherland</v>
      </c>
      <c r="V8470" s="5"/>
      <c r="Y8470" s="5" t="str">
        <f>IFERROR(__xludf.DUMMYFUNCTION("REGEXEXTRACT(J8470, ""^\d+"")"),"76")</f>
        <v>76</v>
      </c>
      <c r="Z8470" s="5" t="str">
        <f>IFERROR(__xludf.DUMMYFUNCTION("REGEXEXTRACT(J8470, ""[A-Za-z ]+$"")")," min")</f>
        <v> min</v>
      </c>
      <c r="AA8470" s="5" t="str">
        <f>IFERROR(__xludf.DUMMYFUNCTION("IF(REGEXMATCH(Z8470, ""Season""), ""TV Show"", ""Movie"")"),"Movie")</f>
        <v>Movie</v>
      </c>
    </row>
    <row r="8471">
      <c r="A8471" s="1" t="s">
        <v>40490</v>
      </c>
      <c r="B8471" s="1" t="s">
        <v>27</v>
      </c>
      <c r="C8471" s="1" t="s">
        <v>40491</v>
      </c>
      <c r="D8471" s="1" t="s">
        <v>3671</v>
      </c>
      <c r="E8471" s="1" t="s">
        <v>40492</v>
      </c>
      <c r="F8471" s="1" t="s">
        <v>30</v>
      </c>
      <c r="G8471" s="1" t="s">
        <v>18985</v>
      </c>
      <c r="H8471" s="1">
        <v>2006.0</v>
      </c>
      <c r="I8471" s="1" t="s">
        <v>32</v>
      </c>
      <c r="J8471" s="1" t="s">
        <v>743</v>
      </c>
      <c r="K8471" s="1" t="s">
        <v>805</v>
      </c>
      <c r="L8471" s="1" t="s">
        <v>40493</v>
      </c>
      <c r="M8471" s="2" t="s">
        <v>12</v>
      </c>
      <c r="N8471" s="4">
        <f t="shared" si="1"/>
        <v>43739</v>
      </c>
      <c r="O8471" s="5" t="str">
        <f>IFERROR(__xludf.DUMMYFUNCTION("IF(REGEXMATCH(TRIM(I8471), ""^\d+\s*min""), ""Unclassified"", IF(I8471 = """", ""NR"", I8471))"),"PG-13")</f>
        <v>PG-13</v>
      </c>
      <c r="R8471" s="5" t="str">
        <f t="shared" si="2"/>
        <v>The Pursuit Of Happyness</v>
      </c>
      <c r="S8471" s="5" t="str">
        <f>IFERROR(__xludf.DUMMYFUNCTION("""COMPUTED_VALUE"""),"We Are Family")</f>
        <v>We Are Family</v>
      </c>
      <c r="V8471" s="5"/>
      <c r="Y8471" s="5" t="str">
        <f>IFERROR(__xludf.DUMMYFUNCTION("REGEXEXTRACT(J8471, ""^\d+"")"),"117")</f>
        <v>117</v>
      </c>
      <c r="Z8471" s="5" t="str">
        <f>IFERROR(__xludf.DUMMYFUNCTION("REGEXEXTRACT(J8471, ""[A-Za-z ]+$"")")," min")</f>
        <v> min</v>
      </c>
      <c r="AA8471" s="5" t="str">
        <f>IFERROR(__xludf.DUMMYFUNCTION("IF(REGEXMATCH(Z8471, ""Season""), ""TV Show"", ""Movie"")"),"Movie")</f>
        <v>Movie</v>
      </c>
    </row>
    <row r="8472">
      <c r="A8472" s="1" t="s">
        <v>40494</v>
      </c>
      <c r="B8472" s="1" t="s">
        <v>27</v>
      </c>
      <c r="C8472" s="1" t="s">
        <v>40495</v>
      </c>
      <c r="D8472" s="1" t="s">
        <v>8617</v>
      </c>
      <c r="E8472" s="1" t="s">
        <v>40496</v>
      </c>
      <c r="F8472" s="1" t="s">
        <v>30</v>
      </c>
      <c r="G8472" s="1" t="s">
        <v>20457</v>
      </c>
      <c r="H8472" s="1">
        <v>2018.0</v>
      </c>
      <c r="I8472" s="1" t="s">
        <v>42</v>
      </c>
      <c r="J8472" s="1" t="s">
        <v>33</v>
      </c>
      <c r="K8472" s="1" t="s">
        <v>645</v>
      </c>
      <c r="L8472" s="1" t="s">
        <v>40497</v>
      </c>
      <c r="M8472" s="2" t="s">
        <v>12</v>
      </c>
      <c r="N8472" s="4">
        <f t="shared" si="1"/>
        <v>43623</v>
      </c>
      <c r="O8472" s="5" t="str">
        <f>IFERROR(__xludf.DUMMYFUNCTION("IF(REGEXMATCH(TRIM(I8472), ""^\d+\s*min""), ""Unclassified"", IF(I8472 = """", ""NR"", I8472))"),"TV-MA")</f>
        <v>TV-MA</v>
      </c>
      <c r="R8472" s="5" t="str">
        <f t="shared" si="2"/>
        <v>The Push</v>
      </c>
      <c r="S8472" s="5" t="str">
        <f>IFERROR(__xludf.DUMMYFUNCTION("""COMPUTED_VALUE"""),"We Are Legends")</f>
        <v>We Are Legends</v>
      </c>
      <c r="V8472" s="5"/>
      <c r="Y8472" s="5" t="str">
        <f>IFERROR(__xludf.DUMMYFUNCTION("REGEXEXTRACT(J8472, ""^\d+"")"),"90")</f>
        <v>90</v>
      </c>
      <c r="Z8472" s="5" t="str">
        <f>IFERROR(__xludf.DUMMYFUNCTION("REGEXEXTRACT(J8472, ""[A-Za-z ]+$"")")," min")</f>
        <v> min</v>
      </c>
      <c r="AA8472" s="5" t="str">
        <f>IFERROR(__xludf.DUMMYFUNCTION("IF(REGEXMATCH(Z8472, ""Season""), ""TV Show"", ""Movie"")"),"Movie")</f>
        <v>Movie</v>
      </c>
    </row>
    <row r="8473">
      <c r="A8473" s="1" t="s">
        <v>40498</v>
      </c>
      <c r="B8473" s="1" t="s">
        <v>37</v>
      </c>
      <c r="C8473" s="1" t="s">
        <v>40499</v>
      </c>
      <c r="E8473" s="1" t="s">
        <v>40500</v>
      </c>
      <c r="F8473" s="1" t="s">
        <v>1106</v>
      </c>
      <c r="G8473" s="1" t="s">
        <v>40501</v>
      </c>
      <c r="H8473" s="1">
        <v>2009.0</v>
      </c>
      <c r="I8473" s="1" t="s">
        <v>136</v>
      </c>
      <c r="J8473" s="1" t="s">
        <v>51</v>
      </c>
      <c r="K8473" s="1" t="s">
        <v>736</v>
      </c>
      <c r="L8473" s="1" t="s">
        <v>40502</v>
      </c>
      <c r="M8473" s="2" t="s">
        <v>12</v>
      </c>
      <c r="N8473" s="4">
        <f t="shared" si="1"/>
        <v>42408</v>
      </c>
      <c r="O8473" s="5" t="str">
        <f>IFERROR(__xludf.DUMMYFUNCTION("IF(REGEXMATCH(TRIM(I8473), ""^\d+\s*min""), ""Unclassified"", IF(I8473 = """", ""NR"", I8473))"),"TV-PG")</f>
        <v>TV-PG</v>
      </c>
      <c r="R8473" s="5" t="str">
        <f t="shared" si="2"/>
        <v>The Pyramid Code</v>
      </c>
      <c r="S8473" s="5" t="str">
        <f>IFERROR(__xludf.DUMMYFUNCTION("""COMPUTED_VALUE"""),"We Are One")</f>
        <v>We Are One</v>
      </c>
      <c r="V8473" s="5"/>
      <c r="Y8473" s="5" t="str">
        <f>IFERROR(__xludf.DUMMYFUNCTION("REGEXEXTRACT(J8473, ""^\d+"")"),"1")</f>
        <v>1</v>
      </c>
      <c r="Z8473" s="5" t="str">
        <f>IFERROR(__xludf.DUMMYFUNCTION("REGEXEXTRACT(J8473, ""[A-Za-z ]+$"")")," Season")</f>
        <v> Season</v>
      </c>
      <c r="AA8473" s="5" t="str">
        <f>IFERROR(__xludf.DUMMYFUNCTION("IF(REGEXMATCH(Z8473, ""Season""), ""TV Show"", ""Movie"")"),"TV Show")</f>
        <v>TV Show</v>
      </c>
    </row>
    <row r="8474">
      <c r="A8474" s="1" t="s">
        <v>40503</v>
      </c>
      <c r="B8474" s="1" t="s">
        <v>27</v>
      </c>
      <c r="C8474" s="1" t="s">
        <v>40504</v>
      </c>
      <c r="D8474" s="1" t="s">
        <v>19283</v>
      </c>
      <c r="E8474" s="1" t="s">
        <v>40505</v>
      </c>
      <c r="F8474" s="1" t="s">
        <v>2873</v>
      </c>
      <c r="G8474" s="1" t="s">
        <v>40506</v>
      </c>
      <c r="H8474" s="1">
        <v>2008.0</v>
      </c>
      <c r="I8474" s="1" t="s">
        <v>136</v>
      </c>
      <c r="J8474" s="1" t="s">
        <v>804</v>
      </c>
      <c r="K8474" s="1" t="s">
        <v>2983</v>
      </c>
      <c r="L8474" s="1" t="s">
        <v>40507</v>
      </c>
      <c r="M8474" s="2" t="s">
        <v>12</v>
      </c>
      <c r="N8474" s="4">
        <f t="shared" si="1"/>
        <v>43394</v>
      </c>
      <c r="O8474" s="5" t="str">
        <f>IFERROR(__xludf.DUMMYFUNCTION("IF(REGEXMATCH(TRIM(I8474), ""^\d+\s*min""), ""Unclassified"", IF(I8474 = """", ""NR"", I8474))"),"TV-PG")</f>
        <v>TV-PG</v>
      </c>
      <c r="R8474" s="5" t="str">
        <f t="shared" si="2"/>
        <v>The Rainbow Troops</v>
      </c>
      <c r="S8474" s="5" t="str">
        <f>IFERROR(__xludf.DUMMYFUNCTION("""COMPUTED_VALUE"""),"We Are The Champions")</f>
        <v>We Are The Champions</v>
      </c>
      <c r="V8474" s="5"/>
      <c r="Y8474" s="5" t="str">
        <f>IFERROR(__xludf.DUMMYFUNCTION("REGEXEXTRACT(J8474, ""^\d+"")"),"119")</f>
        <v>119</v>
      </c>
      <c r="Z8474" s="5" t="str">
        <f>IFERROR(__xludf.DUMMYFUNCTION("REGEXEXTRACT(J8474, ""[A-Za-z ]+$"")")," min")</f>
        <v> min</v>
      </c>
      <c r="AA8474" s="5" t="str">
        <f>IFERROR(__xludf.DUMMYFUNCTION("IF(REGEXMATCH(Z8474, ""Season""), ""TV Show"", ""Movie"")"),"Movie")</f>
        <v>Movie</v>
      </c>
    </row>
    <row r="8475">
      <c r="A8475" s="1" t="s">
        <v>40508</v>
      </c>
      <c r="B8475" s="1" t="s">
        <v>27</v>
      </c>
      <c r="C8475" s="1" t="s">
        <v>40509</v>
      </c>
      <c r="D8475" s="1" t="s">
        <v>7791</v>
      </c>
      <c r="E8475" s="1" t="s">
        <v>40510</v>
      </c>
      <c r="F8475" s="1" t="s">
        <v>1205</v>
      </c>
      <c r="G8475" s="1" t="s">
        <v>17941</v>
      </c>
      <c r="H8475" s="1">
        <v>1997.0</v>
      </c>
      <c r="I8475" s="1" t="s">
        <v>32</v>
      </c>
      <c r="J8475" s="1" t="s">
        <v>1383</v>
      </c>
      <c r="K8475" s="1" t="s">
        <v>394</v>
      </c>
      <c r="L8475" s="1" t="s">
        <v>40511</v>
      </c>
      <c r="M8475" s="2" t="s">
        <v>12</v>
      </c>
      <c r="N8475" s="4">
        <f t="shared" si="1"/>
        <v>43789</v>
      </c>
      <c r="O8475" s="5" t="str">
        <f>IFERROR(__xludf.DUMMYFUNCTION("IF(REGEXMATCH(TRIM(I8475), ""^\d+\s*min""), ""Unclassified"", IF(I8475 = """", ""NR"", I8475))"),"PG-13")</f>
        <v>PG-13</v>
      </c>
      <c r="R8475" s="5" t="str">
        <f t="shared" si="2"/>
        <v>The Rainmaker</v>
      </c>
      <c r="S8475" s="5" t="str">
        <f>IFERROR(__xludf.DUMMYFUNCTION("""COMPUTED_VALUE"""),"We Are The Wave")</f>
        <v>We Are The Wave</v>
      </c>
      <c r="V8475" s="5"/>
      <c r="Y8475" s="5" t="str">
        <f>IFERROR(__xludf.DUMMYFUNCTION("REGEXEXTRACT(J8475, ""^\d+"")"),"136")</f>
        <v>136</v>
      </c>
      <c r="Z8475" s="5" t="str">
        <f>IFERROR(__xludf.DUMMYFUNCTION("REGEXEXTRACT(J8475, ""[A-Za-z ]+$"")")," min")</f>
        <v> min</v>
      </c>
      <c r="AA8475" s="5" t="str">
        <f>IFERROR(__xludf.DUMMYFUNCTION("IF(REGEXMATCH(Z8475, ""Season""), ""TV Show"", ""Movie"")"),"Movie")</f>
        <v>Movie</v>
      </c>
    </row>
    <row r="8476">
      <c r="A8476" s="1" t="s">
        <v>40512</v>
      </c>
      <c r="B8476" s="1" t="s">
        <v>37</v>
      </c>
      <c r="C8476" s="1" t="s">
        <v>40513</v>
      </c>
      <c r="E8476" s="1" t="s">
        <v>40514</v>
      </c>
      <c r="F8476" s="1" t="s">
        <v>30</v>
      </c>
      <c r="G8476" s="1" t="s">
        <v>19237</v>
      </c>
      <c r="H8476" s="1">
        <v>2016.0</v>
      </c>
      <c r="I8476" s="1" t="s">
        <v>97</v>
      </c>
      <c r="J8476" s="1" t="s">
        <v>51</v>
      </c>
      <c r="K8476" s="1" t="s">
        <v>440</v>
      </c>
      <c r="L8476" s="1" t="s">
        <v>40515</v>
      </c>
      <c r="M8476" s="2" t="s">
        <v>12</v>
      </c>
      <c r="N8476" s="4">
        <f t="shared" si="1"/>
        <v>43723</v>
      </c>
      <c r="O8476" s="5" t="str">
        <f>IFERROR(__xludf.DUMMYFUNCTION("IF(REGEXMATCH(TRIM(I8476), ""^\d+\s*min""), ""Unclassified"", IF(I8476 = """", ""NR"", I8476))"),"TV-14")</f>
        <v>TV-14</v>
      </c>
      <c r="R8476" s="5" t="str">
        <f t="shared" si="2"/>
        <v>The Rap Game</v>
      </c>
      <c r="S8476" s="5" t="str">
        <f>IFERROR(__xludf.DUMMYFUNCTION("""COMPUTED_VALUE"""),"We Are Young. We Are Strong.")</f>
        <v>We Are Young. We Are Strong.</v>
      </c>
      <c r="V8476" s="5"/>
      <c r="Y8476" s="5" t="str">
        <f>IFERROR(__xludf.DUMMYFUNCTION("REGEXEXTRACT(J8476, ""^\d+"")"),"1")</f>
        <v>1</v>
      </c>
      <c r="Z8476" s="5" t="str">
        <f>IFERROR(__xludf.DUMMYFUNCTION("REGEXEXTRACT(J8476, ""[A-Za-z ]+$"")")," Season")</f>
        <v> Season</v>
      </c>
      <c r="AA8476" s="5" t="str">
        <f>IFERROR(__xludf.DUMMYFUNCTION("IF(REGEXMATCH(Z8476, ""Season""), ""TV Show"", ""Movie"")"),"TV Show")</f>
        <v>TV Show</v>
      </c>
    </row>
    <row r="8477">
      <c r="A8477" s="1" t="s">
        <v>40516</v>
      </c>
      <c r="B8477" s="1" t="s">
        <v>27</v>
      </c>
      <c r="C8477" s="1" t="s">
        <v>40517</v>
      </c>
      <c r="D8477" s="1" t="s">
        <v>16174</v>
      </c>
      <c r="F8477" s="1" t="s">
        <v>63</v>
      </c>
      <c r="G8477" s="1" t="s">
        <v>28840</v>
      </c>
      <c r="H8477" s="1">
        <v>2010.0</v>
      </c>
      <c r="I8477" s="1" t="s">
        <v>136</v>
      </c>
      <c r="J8477" s="1" t="s">
        <v>8095</v>
      </c>
      <c r="K8477" s="1" t="s">
        <v>156</v>
      </c>
      <c r="L8477" s="1" t="s">
        <v>40518</v>
      </c>
      <c r="M8477" s="2" t="s">
        <v>12</v>
      </c>
      <c r="N8477" s="4">
        <f t="shared" si="1"/>
        <v>42736</v>
      </c>
      <c r="O8477" s="5" t="str">
        <f>IFERROR(__xludf.DUMMYFUNCTION("IF(REGEXMATCH(TRIM(I8477), ""^\d+\s*min""), ""Unclassified"", IF(I8477 = """", ""NR"", I8477))"),"TV-PG")</f>
        <v>TV-PG</v>
      </c>
      <c r="R8477" s="5" t="str">
        <f t="shared" si="2"/>
        <v>The Rat Race</v>
      </c>
      <c r="S8477" s="5" t="str">
        <f>IFERROR(__xludf.DUMMYFUNCTION("""COMPUTED_VALUE"""),"We Are Your Friends")</f>
        <v>We Are Your Friends</v>
      </c>
      <c r="V8477" s="5"/>
      <c r="Y8477" s="5" t="str">
        <f>IFERROR(__xludf.DUMMYFUNCTION("REGEXEXTRACT(J8477, ""^\d+"")"),"52")</f>
        <v>52</v>
      </c>
      <c r="Z8477" s="5" t="str">
        <f>IFERROR(__xludf.DUMMYFUNCTION("REGEXEXTRACT(J8477, ""[A-Za-z ]+$"")")," min")</f>
        <v> min</v>
      </c>
      <c r="AA8477" s="5" t="str">
        <f>IFERROR(__xludf.DUMMYFUNCTION("IF(REGEXMATCH(Z8477, ""Season""), ""TV Show"", ""Movie"")"),"Movie")</f>
        <v>Movie</v>
      </c>
    </row>
    <row r="8478">
      <c r="A8478" s="1" t="s">
        <v>40519</v>
      </c>
      <c r="B8478" s="1" t="s">
        <v>37</v>
      </c>
      <c r="C8478" s="1" t="s">
        <v>40520</v>
      </c>
      <c r="E8478" s="1" t="s">
        <v>40521</v>
      </c>
      <c r="F8478" s="1" t="s">
        <v>96</v>
      </c>
      <c r="G8478" s="1" t="s">
        <v>26519</v>
      </c>
      <c r="H8478" s="1">
        <v>2006.0</v>
      </c>
      <c r="I8478" s="1" t="s">
        <v>42</v>
      </c>
      <c r="J8478" s="1" t="s">
        <v>51</v>
      </c>
      <c r="K8478" s="1" t="s">
        <v>544</v>
      </c>
      <c r="L8478" s="1" t="s">
        <v>40522</v>
      </c>
      <c r="M8478" s="2" t="s">
        <v>12</v>
      </c>
      <c r="N8478" s="4">
        <f t="shared" si="1"/>
        <v>43098</v>
      </c>
      <c r="O8478" s="5" t="str">
        <f>IFERROR(__xludf.DUMMYFUNCTION("IF(REGEXMATCH(TRIM(I8478), ""^\d+\s*min""), ""Unclassified"", IF(I8478 = """", ""NR"", I8478))"),"TV-MA")</f>
        <v>TV-MA</v>
      </c>
      <c r="R8478" s="5" t="str">
        <f t="shared" si="2"/>
        <v>The Real Football Factories</v>
      </c>
      <c r="S8478" s="5" t="str">
        <f>IFERROR(__xludf.DUMMYFUNCTION("""COMPUTED_VALUE"""),"We Are: The Brooklyn Saints")</f>
        <v>We Are: The Brooklyn Saints</v>
      </c>
      <c r="V8478" s="5"/>
      <c r="Y8478" s="5" t="str">
        <f>IFERROR(__xludf.DUMMYFUNCTION("REGEXEXTRACT(J8478, ""^\d+"")"),"1")</f>
        <v>1</v>
      </c>
      <c r="Z8478" s="5" t="str">
        <f>IFERROR(__xludf.DUMMYFUNCTION("REGEXEXTRACT(J8478, ""[A-Za-z ]+$"")")," Season")</f>
        <v> Season</v>
      </c>
      <c r="AA8478" s="5" t="str">
        <f>IFERROR(__xludf.DUMMYFUNCTION("IF(REGEXMATCH(Z8478, ""Season""), ""TV Show"", ""Movie"")"),"TV Show")</f>
        <v>TV Show</v>
      </c>
    </row>
    <row r="8479">
      <c r="A8479" s="1" t="s">
        <v>40523</v>
      </c>
      <c r="B8479" s="1" t="s">
        <v>27</v>
      </c>
      <c r="C8479" s="1" t="s">
        <v>40524</v>
      </c>
      <c r="D8479" s="1" t="s">
        <v>12813</v>
      </c>
      <c r="E8479" s="1" t="s">
        <v>40525</v>
      </c>
      <c r="F8479" s="1" t="s">
        <v>40526</v>
      </c>
      <c r="G8479" s="1" t="s">
        <v>27893</v>
      </c>
      <c r="H8479" s="1">
        <v>2015.0</v>
      </c>
      <c r="I8479" s="1" t="s">
        <v>136</v>
      </c>
      <c r="J8479" s="1" t="s">
        <v>2452</v>
      </c>
      <c r="K8479" s="1" t="s">
        <v>645</v>
      </c>
      <c r="L8479" s="1" t="s">
        <v>40527</v>
      </c>
      <c r="M8479" s="2" t="s">
        <v>12</v>
      </c>
      <c r="N8479" s="4">
        <f t="shared" si="1"/>
        <v>42902</v>
      </c>
      <c r="O8479" s="5" t="str">
        <f>IFERROR(__xludf.DUMMYFUNCTION("IF(REGEXMATCH(TRIM(I8479), ""^\d+\s*min""), ""Unclassified"", IF(I8479 = """", ""NR"", I8479))"),"TV-PG")</f>
        <v>TV-PG</v>
      </c>
      <c r="R8479" s="5" t="str">
        <f t="shared" si="2"/>
        <v>The Real Miyagi</v>
      </c>
      <c r="S8479" s="5" t="str">
        <f>IFERROR(__xludf.DUMMYFUNCTION("""COMPUTED_VALUE"""),"We Bare Bears")</f>
        <v>We Bare Bears</v>
      </c>
      <c r="V8479" s="5"/>
      <c r="Y8479" s="5" t="str">
        <f>IFERROR(__xludf.DUMMYFUNCTION("REGEXEXTRACT(J8479, ""^\d+"")"),"81")</f>
        <v>81</v>
      </c>
      <c r="Z8479" s="5" t="str">
        <f>IFERROR(__xludf.DUMMYFUNCTION("REGEXEXTRACT(J8479, ""[A-Za-z ]+$"")")," min")</f>
        <v> min</v>
      </c>
      <c r="AA8479" s="5" t="str">
        <f>IFERROR(__xludf.DUMMYFUNCTION("IF(REGEXMATCH(Z8479, ""Season""), ""TV Show"", ""Movie"")"),"Movie")</f>
        <v>Movie</v>
      </c>
    </row>
    <row r="8480">
      <c r="A8480" s="1" t="s">
        <v>40528</v>
      </c>
      <c r="B8480" s="1" t="s">
        <v>27</v>
      </c>
      <c r="C8480" s="1" t="s">
        <v>40529</v>
      </c>
      <c r="D8480" s="1" t="s">
        <v>20860</v>
      </c>
      <c r="E8480" s="1" t="s">
        <v>40530</v>
      </c>
      <c r="F8480" s="1" t="s">
        <v>30</v>
      </c>
      <c r="G8480" s="1" t="s">
        <v>21911</v>
      </c>
      <c r="H8480" s="1">
        <v>2016.0</v>
      </c>
      <c r="I8480" s="1" t="s">
        <v>42</v>
      </c>
      <c r="J8480" s="1" t="s">
        <v>4558</v>
      </c>
      <c r="K8480" s="1" t="s">
        <v>645</v>
      </c>
      <c r="L8480" s="1" t="s">
        <v>40531</v>
      </c>
      <c r="M8480" s="2" t="s">
        <v>12</v>
      </c>
      <c r="N8480" s="4">
        <f t="shared" si="1"/>
        <v>43524</v>
      </c>
      <c r="O8480" s="5" t="str">
        <f>IFERROR(__xludf.DUMMYFUNCTION("IF(REGEXMATCH(TRIM(I8480), ""^\d+\s*min""), ""Unclassified"", IF(I8480 = """", ""NR"", I8480))"),"TV-MA")</f>
        <v>TV-MA</v>
      </c>
      <c r="R8480" s="5" t="str">
        <f t="shared" si="2"/>
        <v>The Rebound</v>
      </c>
      <c r="S8480" s="5" t="str">
        <f>IFERROR(__xludf.DUMMYFUNCTION("""COMPUTED_VALUE"""),"We Belong Together")</f>
        <v>We Belong Together</v>
      </c>
      <c r="V8480" s="5"/>
      <c r="Y8480" s="5" t="str">
        <f>IFERROR(__xludf.DUMMYFUNCTION("REGEXEXTRACT(J8480, ""^\d+"")"),"77")</f>
        <v>77</v>
      </c>
      <c r="Z8480" s="5" t="str">
        <f>IFERROR(__xludf.DUMMYFUNCTION("REGEXEXTRACT(J8480, ""[A-Za-z ]+$"")")," min")</f>
        <v> min</v>
      </c>
      <c r="AA8480" s="5" t="str">
        <f>IFERROR(__xludf.DUMMYFUNCTION("IF(REGEXMATCH(Z8480, ""Season""), ""TV Show"", ""Movie"")"),"Movie")</f>
        <v>Movie</v>
      </c>
    </row>
    <row r="8481">
      <c r="A8481" s="1" t="s">
        <v>40532</v>
      </c>
      <c r="B8481" s="1" t="s">
        <v>27</v>
      </c>
      <c r="C8481" s="1" t="s">
        <v>40533</v>
      </c>
      <c r="D8481" s="1" t="s">
        <v>9193</v>
      </c>
      <c r="F8481" s="1" t="s">
        <v>30</v>
      </c>
      <c r="G8481" s="1" t="s">
        <v>25185</v>
      </c>
      <c r="H8481" s="1">
        <v>2017.0</v>
      </c>
      <c r="I8481" s="1" t="s">
        <v>97</v>
      </c>
      <c r="J8481" s="1" t="s">
        <v>985</v>
      </c>
      <c r="K8481" s="1" t="s">
        <v>645</v>
      </c>
      <c r="L8481" s="1" t="s">
        <v>40534</v>
      </c>
      <c r="M8481" s="2" t="s">
        <v>12</v>
      </c>
      <c r="N8481" s="4">
        <f t="shared" si="1"/>
        <v>43282</v>
      </c>
      <c r="O8481" s="5" t="str">
        <f>IFERROR(__xludf.DUMMYFUNCTION("IF(REGEXMATCH(TRIM(I8481), ""^\d+\s*min""), ""Unclassified"", IF(I8481 = """", ""NR"", I8481))"),"TV-14")</f>
        <v>TV-14</v>
      </c>
      <c r="R8481" s="5" t="str">
        <f t="shared" si="2"/>
        <v>The Redeemed And The Dominant: Fittest On Earth</v>
      </c>
      <c r="S8481" s="5" t="str">
        <f>IFERROR(__xludf.DUMMYFUNCTION("""COMPUTED_VALUE"""),"We Can Be Heroes")</f>
        <v>We Can Be Heroes</v>
      </c>
      <c r="V8481" s="5"/>
      <c r="Y8481" s="5" t="str">
        <f>IFERROR(__xludf.DUMMYFUNCTION("REGEXEXTRACT(J8481, ""^\d+"")"),"120")</f>
        <v>120</v>
      </c>
      <c r="Z8481" s="5" t="str">
        <f>IFERROR(__xludf.DUMMYFUNCTION("REGEXEXTRACT(J8481, ""[A-Za-z ]+$"")")," min")</f>
        <v> min</v>
      </c>
      <c r="AA8481" s="5" t="str">
        <f>IFERROR(__xludf.DUMMYFUNCTION("IF(REGEXMATCH(Z8481, ""Season""), ""TV Show"", ""Movie"")"),"Movie")</f>
        <v>Movie</v>
      </c>
    </row>
    <row r="8482">
      <c r="A8482" s="1" t="s">
        <v>40535</v>
      </c>
      <c r="B8482" s="1" t="s">
        <v>27</v>
      </c>
      <c r="C8482" s="1" t="s">
        <v>40536</v>
      </c>
      <c r="D8482" s="1" t="s">
        <v>40537</v>
      </c>
      <c r="E8482" s="1" t="s">
        <v>40538</v>
      </c>
      <c r="F8482" s="1" t="s">
        <v>2715</v>
      </c>
      <c r="G8482" s="1" t="s">
        <v>26481</v>
      </c>
      <c r="H8482" s="1">
        <v>2016.0</v>
      </c>
      <c r="I8482" s="1" t="s">
        <v>42</v>
      </c>
      <c r="J8482" s="1" t="s">
        <v>447</v>
      </c>
      <c r="K8482" s="1" t="s">
        <v>89</v>
      </c>
      <c r="L8482" s="1" t="s">
        <v>40539</v>
      </c>
      <c r="M8482" s="2" t="s">
        <v>12</v>
      </c>
      <c r="N8482" s="4">
        <f t="shared" si="1"/>
        <v>43101</v>
      </c>
      <c r="O8482" s="5" t="str">
        <f>IFERROR(__xludf.DUMMYFUNCTION("IF(REGEXMATCH(TRIM(I8482), ""^\d+\s*min""), ""Unclassified"", IF(I8482 = """", ""NR"", I8482))"),"TV-MA")</f>
        <v>TV-MA</v>
      </c>
      <c r="R8482" s="5" t="str">
        <f t="shared" si="2"/>
        <v>The Rehearsal</v>
      </c>
      <c r="S8482" s="5" t="str">
        <f>IFERROR(__xludf.DUMMYFUNCTION("""COMPUTED_VALUE"""),"We Have Always Lived In The Castle")</f>
        <v>We Have Always Lived In The Castle</v>
      </c>
      <c r="V8482" s="5"/>
      <c r="Y8482" s="5" t="str">
        <f>IFERROR(__xludf.DUMMYFUNCTION("REGEXEXTRACT(J8482, ""^\d+"")"),"102")</f>
        <v>102</v>
      </c>
      <c r="Z8482" s="5" t="str">
        <f>IFERROR(__xludf.DUMMYFUNCTION("REGEXEXTRACT(J8482, ""[A-Za-z ]+$"")")," min")</f>
        <v> min</v>
      </c>
      <c r="AA8482" s="5" t="str">
        <f>IFERROR(__xludf.DUMMYFUNCTION("IF(REGEXMATCH(Z8482, ""Season""), ""TV Show"", ""Movie"")"),"Movie")</f>
        <v>Movie</v>
      </c>
    </row>
    <row r="8483">
      <c r="A8483" s="1" t="s">
        <v>40540</v>
      </c>
      <c r="B8483" s="1" t="s">
        <v>27</v>
      </c>
      <c r="C8483" s="1" t="s">
        <v>40541</v>
      </c>
      <c r="D8483" s="1" t="s">
        <v>612</v>
      </c>
      <c r="E8483" s="1" t="s">
        <v>40542</v>
      </c>
      <c r="G8483" s="1" t="s">
        <v>20510</v>
      </c>
      <c r="H8483" s="1">
        <v>2015.0</v>
      </c>
      <c r="I8483" s="1" t="s">
        <v>97</v>
      </c>
      <c r="J8483" s="1" t="s">
        <v>33</v>
      </c>
      <c r="K8483" s="1" t="s">
        <v>128</v>
      </c>
      <c r="L8483" s="1" t="s">
        <v>40543</v>
      </c>
      <c r="M8483" s="2" t="s">
        <v>12</v>
      </c>
      <c r="N8483" s="4">
        <f t="shared" si="1"/>
        <v>43622</v>
      </c>
      <c r="O8483" s="5" t="str">
        <f>IFERROR(__xludf.DUMMYFUNCTION("IF(REGEXMATCH(TRIM(I8483), ""^\d+\s*min""), ""Unclassified"", IF(I8483 = """", ""NR"", I8483))"),"TV-14")</f>
        <v>TV-14</v>
      </c>
      <c r="R8483" s="5" t="str">
        <f t="shared" si="2"/>
        <v>The Republic Of Imbaba</v>
      </c>
      <c r="S8483" s="5" t="str">
        <f>IFERROR(__xludf.DUMMYFUNCTION("""COMPUTED_VALUE"""),"We Need To Talk")</f>
        <v>We Need To Talk</v>
      </c>
      <c r="V8483" s="5"/>
      <c r="Y8483" s="5" t="str">
        <f>IFERROR(__xludf.DUMMYFUNCTION("REGEXEXTRACT(J8483, ""^\d+"")"),"90")</f>
        <v>90</v>
      </c>
      <c r="Z8483" s="5" t="str">
        <f>IFERROR(__xludf.DUMMYFUNCTION("REGEXEXTRACT(J8483, ""[A-Za-z ]+$"")")," min")</f>
        <v> min</v>
      </c>
      <c r="AA8483" s="5" t="str">
        <f>IFERROR(__xludf.DUMMYFUNCTION("IF(REGEXMATCH(Z8483, ""Season""), ""TV Show"", ""Movie"")"),"Movie")</f>
        <v>Movie</v>
      </c>
    </row>
    <row r="8484">
      <c r="A8484" s="1" t="s">
        <v>40544</v>
      </c>
      <c r="B8484" s="1" t="s">
        <v>37</v>
      </c>
      <c r="C8484" s="1" t="s">
        <v>40545</v>
      </c>
      <c r="E8484" s="1" t="s">
        <v>40546</v>
      </c>
      <c r="F8484" s="1" t="s">
        <v>664</v>
      </c>
      <c r="G8484" s="1" t="s">
        <v>22043</v>
      </c>
      <c r="H8484" s="1">
        <v>2015.0</v>
      </c>
      <c r="I8484" s="1" t="s">
        <v>42</v>
      </c>
      <c r="J8484" s="1" t="s">
        <v>51</v>
      </c>
      <c r="K8484" s="1" t="s">
        <v>9281</v>
      </c>
      <c r="L8484" s="1" t="s">
        <v>40547</v>
      </c>
      <c r="M8484" s="2" t="s">
        <v>12</v>
      </c>
      <c r="N8484" s="4">
        <f t="shared" si="1"/>
        <v>43513</v>
      </c>
      <c r="O8484" s="5" t="str">
        <f>IFERROR(__xludf.DUMMYFUNCTION("IF(REGEXMATCH(TRIM(I8484), ""^\d+\s*min""), ""Unclassified"", IF(I8484 = """", ""NR"", I8484))"),"TV-MA")</f>
        <v>TV-MA</v>
      </c>
      <c r="R8484" s="5" t="str">
        <f t="shared" si="2"/>
        <v>The Returned</v>
      </c>
      <c r="S8484" s="5" t="str">
        <f>IFERROR(__xludf.DUMMYFUNCTION("""COMPUTED_VALUE"""),"We Speak Dance")</f>
        <v>We Speak Dance</v>
      </c>
      <c r="V8484" s="5"/>
      <c r="Y8484" s="5" t="str">
        <f>IFERROR(__xludf.DUMMYFUNCTION("REGEXEXTRACT(J8484, ""^\d+"")"),"1")</f>
        <v>1</v>
      </c>
      <c r="Z8484" s="5" t="str">
        <f>IFERROR(__xludf.DUMMYFUNCTION("REGEXEXTRACT(J8484, ""[A-Za-z ]+$"")")," Season")</f>
        <v> Season</v>
      </c>
      <c r="AA8484" s="5" t="str">
        <f>IFERROR(__xludf.DUMMYFUNCTION("IF(REGEXMATCH(Z8484, ""Season""), ""TV Show"", ""Movie"")"),"TV Show")</f>
        <v>TV Show</v>
      </c>
    </row>
    <row r="8485">
      <c r="A8485" s="1" t="s">
        <v>40548</v>
      </c>
      <c r="B8485" s="1" t="s">
        <v>27</v>
      </c>
      <c r="C8485" s="1" t="s">
        <v>40549</v>
      </c>
      <c r="D8485" s="1" t="s">
        <v>21620</v>
      </c>
      <c r="E8485" s="1" t="s">
        <v>40550</v>
      </c>
      <c r="F8485" s="1" t="s">
        <v>40551</v>
      </c>
      <c r="G8485" s="1" t="s">
        <v>33545</v>
      </c>
      <c r="H8485" s="1">
        <v>2016.0</v>
      </c>
      <c r="I8485" s="1" t="s">
        <v>42</v>
      </c>
      <c r="J8485" s="1" t="s">
        <v>33</v>
      </c>
      <c r="K8485" s="1" t="s">
        <v>1441</v>
      </c>
      <c r="L8485" s="1" t="s">
        <v>40552</v>
      </c>
      <c r="M8485" s="2" t="s">
        <v>12</v>
      </c>
      <c r="N8485" s="4">
        <f t="shared" si="1"/>
        <v>42751</v>
      </c>
      <c r="O8485" s="5" t="str">
        <f>IFERROR(__xludf.DUMMYFUNCTION("IF(REGEXMATCH(TRIM(I8485), ""^\d+\s*min""), ""Unclassified"", IF(I8485 = """", ""NR"", I8485))"),"TV-MA")</f>
        <v>TV-MA</v>
      </c>
      <c r="R8485" s="5" t="str">
        <f t="shared" si="2"/>
        <v>The Rezort</v>
      </c>
      <c r="S8485" s="5" t="str">
        <f>IFERROR(__xludf.DUMMYFUNCTION("""COMPUTED_VALUE"""),"We Summon The Darkness")</f>
        <v>We Summon The Darkness</v>
      </c>
      <c r="V8485" s="5"/>
      <c r="Y8485" s="5" t="str">
        <f>IFERROR(__xludf.DUMMYFUNCTION("REGEXEXTRACT(J8485, ""^\d+"")"),"90")</f>
        <v>90</v>
      </c>
      <c r="Z8485" s="5" t="str">
        <f>IFERROR(__xludf.DUMMYFUNCTION("REGEXEXTRACT(J8485, ""[A-Za-z ]+$"")")," min")</f>
        <v> min</v>
      </c>
      <c r="AA8485" s="5" t="str">
        <f>IFERROR(__xludf.DUMMYFUNCTION("IF(REGEXMATCH(Z8485, ""Season""), ""TV Show"", ""Movie"")"),"Movie")</f>
        <v>Movie</v>
      </c>
    </row>
    <row r="8486">
      <c r="A8486" s="1" t="s">
        <v>40553</v>
      </c>
      <c r="B8486" s="1" t="s">
        <v>27</v>
      </c>
      <c r="C8486" s="1" t="s">
        <v>40554</v>
      </c>
      <c r="D8486" s="1" t="s">
        <v>6300</v>
      </c>
      <c r="E8486" s="1" t="s">
        <v>40555</v>
      </c>
      <c r="F8486" s="1" t="s">
        <v>40556</v>
      </c>
      <c r="G8486" s="1" t="s">
        <v>39981</v>
      </c>
      <c r="H8486" s="1">
        <v>2016.0</v>
      </c>
      <c r="I8486" s="1" t="s">
        <v>42</v>
      </c>
      <c r="J8486" s="1" t="s">
        <v>665</v>
      </c>
      <c r="K8486" s="1" t="s">
        <v>15157</v>
      </c>
      <c r="L8486" s="1" t="s">
        <v>40557</v>
      </c>
      <c r="M8486" s="2" t="s">
        <v>12</v>
      </c>
      <c r="N8486" s="4">
        <f t="shared" si="1"/>
        <v>43157</v>
      </c>
      <c r="O8486" s="5" t="str">
        <f>IFERROR(__xludf.DUMMYFUNCTION("IF(REGEXMATCH(TRIM(I8486), ""^\d+\s*min""), ""Unclassified"", IF(I8486 = """", ""NR"", I8486))"),"TV-MA")</f>
        <v>TV-MA</v>
      </c>
      <c r="R8486" s="5" t="str">
        <f t="shared" si="2"/>
        <v>The Rift: The Dark Side Of The Moon</v>
      </c>
      <c r="S8486" s="5" t="str">
        <f>IFERROR(__xludf.DUMMYFUNCTION("""COMPUTED_VALUE"""),"We The Animals")</f>
        <v>We The Animals</v>
      </c>
      <c r="V8486" s="5"/>
      <c r="Y8486" s="5" t="str">
        <f>IFERROR(__xludf.DUMMYFUNCTION("REGEXEXTRACT(J8486, ""^\d+"")"),"92")</f>
        <v>92</v>
      </c>
      <c r="Z8486" s="5" t="str">
        <f>IFERROR(__xludf.DUMMYFUNCTION("REGEXEXTRACT(J8486, ""[A-Za-z ]+$"")")," min")</f>
        <v> min</v>
      </c>
      <c r="AA8486" s="5" t="str">
        <f>IFERROR(__xludf.DUMMYFUNCTION("IF(REGEXMATCH(Z8486, ""Season""), ""TV Show"", ""Movie"")"),"Movie")</f>
        <v>Movie</v>
      </c>
    </row>
    <row r="8487">
      <c r="A8487" s="1" t="s">
        <v>40558</v>
      </c>
      <c r="B8487" s="1" t="s">
        <v>27</v>
      </c>
      <c r="C8487" s="1" t="s">
        <v>40559</v>
      </c>
      <c r="D8487" s="1" t="s">
        <v>8859</v>
      </c>
      <c r="E8487" s="1" t="s">
        <v>40560</v>
      </c>
      <c r="F8487" s="1" t="s">
        <v>3309</v>
      </c>
      <c r="G8487" s="1" t="s">
        <v>20426</v>
      </c>
      <c r="H8487" s="1">
        <v>2011.0</v>
      </c>
      <c r="I8487" s="1" t="s">
        <v>97</v>
      </c>
      <c r="J8487" s="1" t="s">
        <v>454</v>
      </c>
      <c r="K8487" s="1" t="s">
        <v>679</v>
      </c>
      <c r="L8487" s="1" t="s">
        <v>40561</v>
      </c>
      <c r="M8487" s="2" t="s">
        <v>12</v>
      </c>
      <c r="N8487" s="4">
        <f t="shared" si="1"/>
        <v>43629</v>
      </c>
      <c r="O8487" s="5" t="str">
        <f>IFERROR(__xludf.DUMMYFUNCTION("IF(REGEXMATCH(TRIM(I8487), ""^\d+\s*min""), ""Unclassified"", IF(I8487 = """", ""NR"", I8487))"),"TV-14")</f>
        <v>TV-14</v>
      </c>
      <c r="R8487" s="5" t="str">
        <f t="shared" si="2"/>
        <v>The Right One</v>
      </c>
      <c r="S8487" s="5" t="str">
        <f>IFERROR(__xludf.DUMMYFUNCTION("""COMPUTED_VALUE"""),"We The People")</f>
        <v>We The People</v>
      </c>
      <c r="V8487" s="5"/>
      <c r="Y8487" s="5" t="str">
        <f>IFERROR(__xludf.DUMMYFUNCTION("REGEXEXTRACT(J8487, ""^\d+"")"),"93")</f>
        <v>93</v>
      </c>
      <c r="Z8487" s="5" t="str">
        <f>IFERROR(__xludf.DUMMYFUNCTION("REGEXEXTRACT(J8487, ""[A-Za-z ]+$"")")," min")</f>
        <v> min</v>
      </c>
      <c r="AA8487" s="5" t="str">
        <f>IFERROR(__xludf.DUMMYFUNCTION("IF(REGEXMATCH(Z8487, ""Season""), ""TV Show"", ""Movie"")"),"Movie")</f>
        <v>Movie</v>
      </c>
    </row>
    <row r="8488">
      <c r="A8488" s="1" t="s">
        <v>40562</v>
      </c>
      <c r="B8488" s="1" t="s">
        <v>27</v>
      </c>
      <c r="C8488" s="1" t="s">
        <v>40563</v>
      </c>
      <c r="D8488" s="1" t="s">
        <v>8589</v>
      </c>
      <c r="E8488" s="1" t="s">
        <v>40564</v>
      </c>
      <c r="F8488" s="1" t="s">
        <v>30</v>
      </c>
      <c r="G8488" s="1" t="s">
        <v>16947</v>
      </c>
      <c r="H8488" s="1">
        <v>2002.0</v>
      </c>
      <c r="I8488" s="1" t="s">
        <v>32</v>
      </c>
      <c r="J8488" s="1" t="s">
        <v>349</v>
      </c>
      <c r="K8488" s="1" t="s">
        <v>3768</v>
      </c>
      <c r="L8488" s="1" t="s">
        <v>40565</v>
      </c>
      <c r="M8488" s="2" t="s">
        <v>12</v>
      </c>
      <c r="N8488" s="4">
        <f t="shared" si="1"/>
        <v>43831</v>
      </c>
      <c r="O8488" s="5" t="str">
        <f>IFERROR(__xludf.DUMMYFUNCTION("IF(REGEXMATCH(TRIM(I8488), ""^\d+\s*min""), ""Unclassified"", IF(I8488 = """", ""NR"", I8488))"),"PG-13")</f>
        <v>PG-13</v>
      </c>
      <c r="R8488" s="5" t="str">
        <f t="shared" si="2"/>
        <v>The Ring</v>
      </c>
      <c r="S8488" s="5" t="str">
        <f>IFERROR(__xludf.DUMMYFUNCTION("""COMPUTED_VALUE"""),"We, The Marines")</f>
        <v>We, The Marines</v>
      </c>
      <c r="V8488" s="5"/>
      <c r="Y8488" s="5" t="str">
        <f>IFERROR(__xludf.DUMMYFUNCTION("REGEXEXTRACT(J8488, ""^\d+"")"),"116")</f>
        <v>116</v>
      </c>
      <c r="Z8488" s="5" t="str">
        <f>IFERROR(__xludf.DUMMYFUNCTION("REGEXEXTRACT(J8488, ""[A-Za-z ]+$"")")," min")</f>
        <v> min</v>
      </c>
      <c r="AA8488" s="5" t="str">
        <f>IFERROR(__xludf.DUMMYFUNCTION("IF(REGEXMATCH(Z8488, ""Season""), ""TV Show"", ""Movie"")"),"Movie")</f>
        <v>Movie</v>
      </c>
    </row>
    <row r="8489">
      <c r="A8489" s="1" t="s">
        <v>40566</v>
      </c>
      <c r="B8489" s="1" t="s">
        <v>27</v>
      </c>
      <c r="C8489" s="1" t="s">
        <v>40567</v>
      </c>
      <c r="D8489" s="1" t="s">
        <v>13906</v>
      </c>
      <c r="E8489" s="1" t="s">
        <v>40568</v>
      </c>
      <c r="F8489" s="1" t="s">
        <v>96</v>
      </c>
      <c r="G8489" s="1" t="s">
        <v>28495</v>
      </c>
      <c r="H8489" s="1">
        <v>2014.0</v>
      </c>
      <c r="I8489" s="1" t="s">
        <v>378</v>
      </c>
      <c r="J8489" s="1" t="s">
        <v>1256</v>
      </c>
      <c r="K8489" s="1" t="s">
        <v>128</v>
      </c>
      <c r="L8489" s="1" t="s">
        <v>40569</v>
      </c>
      <c r="M8489" s="2" t="s">
        <v>12</v>
      </c>
      <c r="N8489" s="4">
        <f t="shared" si="1"/>
        <v>42810</v>
      </c>
      <c r="O8489" s="5" t="str">
        <f>IFERROR(__xludf.DUMMYFUNCTION("IF(REGEXMATCH(TRIM(I8489), ""^\d+\s*min""), ""Unclassified"", IF(I8489 = """", ""NR"", I8489))"),"R")</f>
        <v>R</v>
      </c>
      <c r="R8489" s="5" t="str">
        <f t="shared" si="2"/>
        <v>The Riot Club</v>
      </c>
      <c r="S8489" s="5" t="str">
        <f>IFERROR(__xludf.DUMMYFUNCTION("""COMPUTED_VALUE"""),"We'Ll Be Right Back After The Break")</f>
        <v>We'Ll Be Right Back After The Break</v>
      </c>
      <c r="V8489" s="5"/>
      <c r="Y8489" s="5" t="str">
        <f>IFERROR(__xludf.DUMMYFUNCTION("REGEXEXTRACT(J8489, ""^\d+"")"),"107")</f>
        <v>107</v>
      </c>
      <c r="Z8489" s="5" t="str">
        <f>IFERROR(__xludf.DUMMYFUNCTION("REGEXEXTRACT(J8489, ""[A-Za-z ]+$"")")," min")</f>
        <v> min</v>
      </c>
      <c r="AA8489" s="5" t="str">
        <f>IFERROR(__xludf.DUMMYFUNCTION("IF(REGEXMATCH(Z8489, ""Season""), ""TV Show"", ""Movie"")"),"Movie")</f>
        <v>Movie</v>
      </c>
    </row>
    <row r="8490">
      <c r="A8490" s="1" t="s">
        <v>40570</v>
      </c>
      <c r="B8490" s="1" t="s">
        <v>27</v>
      </c>
      <c r="C8490" s="1" t="s">
        <v>40571</v>
      </c>
      <c r="D8490" s="1" t="s">
        <v>16462</v>
      </c>
      <c r="E8490" s="1" t="s">
        <v>40572</v>
      </c>
      <c r="F8490" s="1" t="s">
        <v>30</v>
      </c>
      <c r="G8490" s="1" t="s">
        <v>32066</v>
      </c>
      <c r="H8490" s="1">
        <v>2016.0</v>
      </c>
      <c r="I8490" s="1" t="s">
        <v>30231</v>
      </c>
      <c r="J8490" s="1" t="s">
        <v>630</v>
      </c>
      <c r="K8490" s="1" t="s">
        <v>1320</v>
      </c>
      <c r="L8490" s="1" t="s">
        <v>40573</v>
      </c>
      <c r="M8490" s="2" t="s">
        <v>12</v>
      </c>
      <c r="N8490" s="4">
        <f t="shared" si="1"/>
        <v>42749</v>
      </c>
      <c r="O8490" s="5" t="str">
        <f>IFERROR(__xludf.DUMMYFUNCTION("IF(REGEXMATCH(TRIM(I8490), ""^\d+\s*min""), ""Unclassified"", IF(I8490 = """", ""NR"", I8490))"),"NR")</f>
        <v>NR</v>
      </c>
      <c r="R8490" s="5" t="str">
        <f t="shared" si="2"/>
        <v>The River Thief</v>
      </c>
      <c r="S8490" s="5" t="str">
        <f>IFERROR(__xludf.DUMMYFUNCTION("""COMPUTED_VALUE"""),"We'Re Lalaloopsy")</f>
        <v>We'Re Lalaloopsy</v>
      </c>
      <c r="V8490" s="5"/>
      <c r="Y8490" s="5" t="str">
        <f>IFERROR(__xludf.DUMMYFUNCTION("REGEXEXTRACT(J8490, ""^\d+"")"),"87")</f>
        <v>87</v>
      </c>
      <c r="Z8490" s="5" t="str">
        <f>IFERROR(__xludf.DUMMYFUNCTION("REGEXEXTRACT(J8490, ""[A-Za-z ]+$"")")," min")</f>
        <v> min</v>
      </c>
      <c r="AA8490" s="5" t="str">
        <f>IFERROR(__xludf.DUMMYFUNCTION("IF(REGEXMATCH(Z8490, ""Season""), ""TV Show"", ""Movie"")"),"Movie")</f>
        <v>Movie</v>
      </c>
    </row>
    <row r="8491">
      <c r="A8491" s="1" t="s">
        <v>40574</v>
      </c>
      <c r="B8491" s="1" t="s">
        <v>27</v>
      </c>
      <c r="C8491" s="1" t="s">
        <v>40575</v>
      </c>
      <c r="D8491" s="1" t="s">
        <v>5314</v>
      </c>
      <c r="E8491" s="1" t="s">
        <v>40576</v>
      </c>
      <c r="F8491" s="1" t="s">
        <v>30</v>
      </c>
      <c r="G8491" s="1" t="s">
        <v>24649</v>
      </c>
      <c r="H8491" s="1">
        <v>1994.0</v>
      </c>
      <c r="I8491" s="1" t="s">
        <v>32</v>
      </c>
      <c r="J8491" s="1" t="s">
        <v>264</v>
      </c>
      <c r="K8491" s="1" t="s">
        <v>380</v>
      </c>
      <c r="L8491" s="1" t="s">
        <v>40577</v>
      </c>
      <c r="M8491" s="2" t="s">
        <v>12</v>
      </c>
      <c r="N8491" s="4">
        <f t="shared" si="1"/>
        <v>43344</v>
      </c>
      <c r="O8491" s="5" t="str">
        <f>IFERROR(__xludf.DUMMYFUNCTION("IF(REGEXMATCH(TRIM(I8491), ""^\d+\s*min""), ""Unclassified"", IF(I8491 = """", ""NR"", I8491))"),"PG-13")</f>
        <v>PG-13</v>
      </c>
      <c r="R8491" s="5" t="str">
        <f t="shared" si="2"/>
        <v>The River Wild</v>
      </c>
      <c r="S8491" s="5" t="str">
        <f>IFERROR(__xludf.DUMMYFUNCTION("""COMPUTED_VALUE"""),"We'Re No Animals")</f>
        <v>We'Re No Animals</v>
      </c>
      <c r="V8491" s="5"/>
      <c r="Y8491" s="5" t="str">
        <f>IFERROR(__xludf.DUMMYFUNCTION("REGEXEXTRACT(J8491, ""^\d+"")"),"111")</f>
        <v>111</v>
      </c>
      <c r="Z8491" s="5" t="str">
        <f>IFERROR(__xludf.DUMMYFUNCTION("REGEXEXTRACT(J8491, ""[A-Za-z ]+$"")")," min")</f>
        <v> min</v>
      </c>
      <c r="AA8491" s="5" t="str">
        <f>IFERROR(__xludf.DUMMYFUNCTION("IF(REGEXMATCH(Z8491, ""Season""), ""TV Show"", ""Movie"")"),"Movie")</f>
        <v>Movie</v>
      </c>
    </row>
    <row r="8492">
      <c r="A8492" s="1" t="s">
        <v>40578</v>
      </c>
      <c r="B8492" s="1" t="s">
        <v>37</v>
      </c>
      <c r="C8492" s="1" t="s">
        <v>40579</v>
      </c>
      <c r="E8492" s="1" t="s">
        <v>40580</v>
      </c>
      <c r="F8492" s="1" t="s">
        <v>1078</v>
      </c>
      <c r="G8492" s="1" t="s">
        <v>24649</v>
      </c>
      <c r="H8492" s="1">
        <v>2017.0</v>
      </c>
      <c r="I8492" s="1" t="s">
        <v>97</v>
      </c>
      <c r="J8492" s="1" t="s">
        <v>51</v>
      </c>
      <c r="K8492" s="1" t="s">
        <v>402</v>
      </c>
      <c r="L8492" s="1" t="s">
        <v>40581</v>
      </c>
      <c r="M8492" s="2" t="s">
        <v>12</v>
      </c>
      <c r="N8492" s="4">
        <f t="shared" si="1"/>
        <v>43344</v>
      </c>
      <c r="O8492" s="5" t="str">
        <f>IFERROR(__xludf.DUMMYFUNCTION("IF(REGEXMATCH(TRIM(I8492), ""^\d+\s*min""), ""Unclassified"", IF(I8492 = """", ""NR"", I8492))"),"TV-14")</f>
        <v>TV-14</v>
      </c>
      <c r="R8492" s="5" t="str">
        <f t="shared" si="2"/>
        <v>The Road To Calvary</v>
      </c>
      <c r="S8492" s="5" t="str">
        <f>IFERROR(__xludf.DUMMYFUNCTION("""COMPUTED_VALUE"""),"Weapon Of Choice")</f>
        <v>Weapon Of Choice</v>
      </c>
      <c r="V8492" s="5"/>
      <c r="Y8492" s="5" t="str">
        <f>IFERROR(__xludf.DUMMYFUNCTION("REGEXEXTRACT(J8492, ""^\d+"")"),"1")</f>
        <v>1</v>
      </c>
      <c r="Z8492" s="5" t="str">
        <f>IFERROR(__xludf.DUMMYFUNCTION("REGEXEXTRACT(J8492, ""[A-Za-z ]+$"")")," Season")</f>
        <v> Season</v>
      </c>
      <c r="AA8492" s="5" t="str">
        <f>IFERROR(__xludf.DUMMYFUNCTION("IF(REGEXMATCH(Z8492, ""Season""), ""TV Show"", ""Movie"")"),"TV Show")</f>
        <v>TV Show</v>
      </c>
    </row>
    <row r="8493">
      <c r="A8493" s="1" t="s">
        <v>40582</v>
      </c>
      <c r="B8493" s="1" t="s">
        <v>27</v>
      </c>
      <c r="C8493" s="1" t="s">
        <v>40583</v>
      </c>
      <c r="D8493" s="1" t="s">
        <v>8862</v>
      </c>
      <c r="E8493" s="1" t="s">
        <v>40584</v>
      </c>
      <c r="F8493" s="1" t="s">
        <v>96</v>
      </c>
      <c r="G8493" s="1" t="s">
        <v>21491</v>
      </c>
      <c r="H8493" s="1">
        <v>2016.0</v>
      </c>
      <c r="I8493" s="1" t="s">
        <v>42</v>
      </c>
      <c r="J8493" s="1" t="s">
        <v>1091</v>
      </c>
      <c r="K8493" s="1" t="s">
        <v>2892</v>
      </c>
      <c r="L8493" s="1" t="s">
        <v>40585</v>
      </c>
      <c r="M8493" s="2" t="s">
        <v>12</v>
      </c>
      <c r="N8493" s="4">
        <f t="shared" si="1"/>
        <v>43546</v>
      </c>
      <c r="O8493" s="5" t="str">
        <f>IFERROR(__xludf.DUMMYFUNCTION("IF(REGEXMATCH(TRIM(I8493), ""^\d+\s*min""), ""Unclassified"", IF(I8493 = """", ""NR"", I8493))"),"TV-MA")</f>
        <v>TV-MA</v>
      </c>
      <c r="R8493" s="5" t="str">
        <f t="shared" si="2"/>
        <v>The Rolling Stones: Olé Olé Olé! A Trip Across Latin America</v>
      </c>
      <c r="S8493" s="5" t="str">
        <f>IFERROR(__xludf.DUMMYFUNCTION("""COMPUTED_VALUE"""),"Weather Forecast")</f>
        <v>Weather Forecast</v>
      </c>
      <c r="V8493" s="5"/>
      <c r="Y8493" s="5" t="str">
        <f>IFERROR(__xludf.DUMMYFUNCTION("REGEXEXTRACT(J8493, ""^\d+"")"),"101")</f>
        <v>101</v>
      </c>
      <c r="Z8493" s="5" t="str">
        <f>IFERROR(__xludf.DUMMYFUNCTION("REGEXEXTRACT(J8493, ""[A-Za-z ]+$"")")," min")</f>
        <v> min</v>
      </c>
      <c r="AA8493" s="5" t="str">
        <f>IFERROR(__xludf.DUMMYFUNCTION("IF(REGEXMATCH(Z8493, ""Season""), ""TV Show"", ""Movie"")"),"Movie")</f>
        <v>Movie</v>
      </c>
    </row>
    <row r="8494">
      <c r="A8494" s="1" t="s">
        <v>40586</v>
      </c>
      <c r="B8494" s="1" t="s">
        <v>27</v>
      </c>
      <c r="C8494" s="1" t="s">
        <v>40587</v>
      </c>
      <c r="D8494" s="1" t="s">
        <v>4878</v>
      </c>
      <c r="E8494" s="1" t="s">
        <v>40588</v>
      </c>
      <c r="F8494" s="1" t="s">
        <v>30</v>
      </c>
      <c r="G8494" s="1" t="s">
        <v>15215</v>
      </c>
      <c r="H8494" s="1">
        <v>2011.0</v>
      </c>
      <c r="I8494" s="1" t="s">
        <v>32</v>
      </c>
      <c r="J8494" s="1" t="s">
        <v>79</v>
      </c>
      <c r="K8494" s="1" t="s">
        <v>171</v>
      </c>
      <c r="L8494" s="1" t="s">
        <v>40589</v>
      </c>
      <c r="M8494" s="2" t="s">
        <v>12</v>
      </c>
      <c r="N8494" s="4">
        <f t="shared" si="1"/>
        <v>43922</v>
      </c>
      <c r="O8494" s="5" t="str">
        <f>IFERROR(__xludf.DUMMYFUNCTION("IF(REGEXMATCH(TRIM(I8494), ""^\d+\s*min""), ""Unclassified"", IF(I8494 = """", ""NR"", I8494))"),"PG-13")</f>
        <v>PG-13</v>
      </c>
      <c r="R8494" s="5" t="str">
        <f t="shared" si="2"/>
        <v>The Roommate</v>
      </c>
      <c r="S8494" s="5" t="str">
        <f>IFERROR(__xludf.DUMMYFUNCTION("""COMPUTED_VALUE"""),"Wedding Unplanned")</f>
        <v>Wedding Unplanned</v>
      </c>
      <c r="V8494" s="5"/>
      <c r="Y8494" s="5" t="str">
        <f>IFERROR(__xludf.DUMMYFUNCTION("REGEXEXTRACT(J8494, ""^\d+"")"),"91")</f>
        <v>91</v>
      </c>
      <c r="Z8494" s="5" t="str">
        <f>IFERROR(__xludf.DUMMYFUNCTION("REGEXEXTRACT(J8494, ""[A-Za-z ]+$"")")," min")</f>
        <v> min</v>
      </c>
      <c r="AA8494" s="5" t="str">
        <f>IFERROR(__xludf.DUMMYFUNCTION("IF(REGEXMATCH(Z8494, ""Season""), ""TV Show"", ""Movie"")"),"Movie")</f>
        <v>Movie</v>
      </c>
    </row>
    <row r="8495">
      <c r="A8495" s="1" t="s">
        <v>40590</v>
      </c>
      <c r="B8495" s="1" t="s">
        <v>27</v>
      </c>
      <c r="C8495" s="1" t="s">
        <v>40591</v>
      </c>
      <c r="D8495" s="1" t="s">
        <v>6045</v>
      </c>
      <c r="E8495" s="1" t="s">
        <v>40592</v>
      </c>
      <c r="F8495" s="1" t="s">
        <v>972</v>
      </c>
      <c r="G8495" s="1" t="s">
        <v>25080</v>
      </c>
      <c r="H8495" s="1">
        <v>2014.0</v>
      </c>
      <c r="I8495" s="1" t="s">
        <v>378</v>
      </c>
      <c r="J8495" s="1" t="s">
        <v>238</v>
      </c>
      <c r="K8495" s="1" t="s">
        <v>631</v>
      </c>
      <c r="L8495" s="1" t="s">
        <v>40593</v>
      </c>
      <c r="M8495" s="2" t="s">
        <v>12</v>
      </c>
      <c r="N8495" s="4">
        <f t="shared" si="1"/>
        <v>43300</v>
      </c>
      <c r="O8495" s="5" t="str">
        <f>IFERROR(__xludf.DUMMYFUNCTION("IF(REGEXMATCH(TRIM(I8495), ""^\d+\s*min""), ""Unclassified"", IF(I8495 = """", ""NR"", I8495))"),"R")</f>
        <v>R</v>
      </c>
      <c r="R8495" s="5" t="str">
        <f t="shared" si="2"/>
        <v>The Rover</v>
      </c>
      <c r="S8495" s="5" t="str">
        <f>IFERROR(__xludf.DUMMYFUNCTION("""COMPUTED_VALUE"""),"Wedy Atkalam")</f>
        <v>Wedy Atkalam</v>
      </c>
      <c r="V8495" s="5"/>
      <c r="Y8495" s="5" t="str">
        <f>IFERROR(__xludf.DUMMYFUNCTION("REGEXEXTRACT(J8495, ""^\d+"")"),"103")</f>
        <v>103</v>
      </c>
      <c r="Z8495" s="5" t="str">
        <f>IFERROR(__xludf.DUMMYFUNCTION("REGEXEXTRACT(J8495, ""[A-Za-z ]+$"")")," min")</f>
        <v> min</v>
      </c>
      <c r="AA8495" s="5" t="str">
        <f>IFERROR(__xludf.DUMMYFUNCTION("IF(REGEXMATCH(Z8495, ""Season""), ""TV Show"", ""Movie"")"),"Movie")</f>
        <v>Movie</v>
      </c>
    </row>
    <row r="8496">
      <c r="A8496" s="1" t="s">
        <v>40594</v>
      </c>
      <c r="B8496" s="1" t="s">
        <v>27</v>
      </c>
      <c r="C8496" s="1" t="s">
        <v>40595</v>
      </c>
      <c r="D8496" s="1" t="s">
        <v>3929</v>
      </c>
      <c r="E8496" s="1" t="s">
        <v>40596</v>
      </c>
      <c r="F8496" s="1" t="s">
        <v>692</v>
      </c>
      <c r="G8496" s="1" t="s">
        <v>17529</v>
      </c>
      <c r="H8496" s="1">
        <v>2011.0</v>
      </c>
      <c r="I8496" s="1" t="s">
        <v>378</v>
      </c>
      <c r="J8496" s="1" t="s">
        <v>985</v>
      </c>
      <c r="K8496" s="1" t="s">
        <v>107</v>
      </c>
      <c r="L8496" s="1" t="s">
        <v>40597</v>
      </c>
      <c r="M8496" s="2" t="s">
        <v>12</v>
      </c>
      <c r="N8496" s="4">
        <f t="shared" si="1"/>
        <v>43805</v>
      </c>
      <c r="O8496" s="5" t="str">
        <f>IFERROR(__xludf.DUMMYFUNCTION("IF(REGEXMATCH(TRIM(I8496), ""^\d+\s*min""), ""Unclassified"", IF(I8496 = """", ""NR"", I8496))"),"R")</f>
        <v>R</v>
      </c>
      <c r="R8496" s="5" t="str">
        <f t="shared" si="2"/>
        <v>The Rum Diary</v>
      </c>
      <c r="S8496" s="5" t="str">
        <f>IFERROR(__xludf.DUMMYFUNCTION("""COMPUTED_VALUE"""),"Weed The People")</f>
        <v>Weed The People</v>
      </c>
      <c r="V8496" s="5"/>
      <c r="Y8496" s="5" t="str">
        <f>IFERROR(__xludf.DUMMYFUNCTION("REGEXEXTRACT(J8496, ""^\d+"")"),"120")</f>
        <v>120</v>
      </c>
      <c r="Z8496" s="5" t="str">
        <f>IFERROR(__xludf.DUMMYFUNCTION("REGEXEXTRACT(J8496, ""[A-Za-z ]+$"")")," min")</f>
        <v> min</v>
      </c>
      <c r="AA8496" s="5" t="str">
        <f>IFERROR(__xludf.DUMMYFUNCTION("IF(REGEXMATCH(Z8496, ""Season""), ""TV Show"", ""Movie"")"),"Movie")</f>
        <v>Movie</v>
      </c>
    </row>
    <row r="8497">
      <c r="A8497" s="1" t="s">
        <v>40598</v>
      </c>
      <c r="B8497" s="1" t="s">
        <v>27</v>
      </c>
      <c r="C8497" s="1" t="s">
        <v>40599</v>
      </c>
      <c r="D8497" s="1" t="s">
        <v>2770</v>
      </c>
      <c r="E8497" s="1" t="s">
        <v>40600</v>
      </c>
      <c r="F8497" s="1" t="s">
        <v>30</v>
      </c>
      <c r="G8497" s="1" t="s">
        <v>27276</v>
      </c>
      <c r="H8497" s="1">
        <v>2015.0</v>
      </c>
      <c r="I8497" s="1" t="s">
        <v>378</v>
      </c>
      <c r="J8497" s="1" t="s">
        <v>33</v>
      </c>
      <c r="K8497" s="1" t="s">
        <v>1320</v>
      </c>
      <c r="L8497" s="1" t="s">
        <v>40601</v>
      </c>
      <c r="M8497" s="2" t="s">
        <v>12</v>
      </c>
      <c r="N8497" s="4">
        <f t="shared" si="1"/>
        <v>42986</v>
      </c>
      <c r="O8497" s="5" t="str">
        <f>IFERROR(__xludf.DUMMYFUNCTION("IF(REGEXMATCH(TRIM(I8497), ""^\d+\s*min""), ""Unclassified"", IF(I8497 = """", ""NR"", I8497))"),"R")</f>
        <v>R</v>
      </c>
      <c r="R8497" s="5" t="str">
        <f t="shared" si="2"/>
        <v>The Runner</v>
      </c>
      <c r="S8497" s="5" t="str">
        <f>IFERROR(__xludf.DUMMYFUNCTION("""COMPUTED_VALUE"""),"Weeds")</f>
        <v>Weeds</v>
      </c>
      <c r="V8497" s="5"/>
      <c r="Y8497" s="5" t="str">
        <f>IFERROR(__xludf.DUMMYFUNCTION("REGEXEXTRACT(J8497, ""^\d+"")"),"90")</f>
        <v>90</v>
      </c>
      <c r="Z8497" s="5" t="str">
        <f>IFERROR(__xludf.DUMMYFUNCTION("REGEXEXTRACT(J8497, ""[A-Za-z ]+$"")")," min")</f>
        <v> min</v>
      </c>
      <c r="AA8497" s="5" t="str">
        <f>IFERROR(__xludf.DUMMYFUNCTION("IF(REGEXMATCH(Z8497, ""Season""), ""TV Show"", ""Movie"")"),"Movie")</f>
        <v>Movie</v>
      </c>
    </row>
    <row r="8498">
      <c r="A8498" s="1" t="s">
        <v>40602</v>
      </c>
      <c r="B8498" s="1" t="s">
        <v>27</v>
      </c>
      <c r="C8498" s="1" t="s">
        <v>40603</v>
      </c>
      <c r="D8498" s="1" t="s">
        <v>13155</v>
      </c>
      <c r="E8498" s="1" t="s">
        <v>40604</v>
      </c>
      <c r="F8498" s="1" t="s">
        <v>40605</v>
      </c>
      <c r="G8498" s="1" t="s">
        <v>32687</v>
      </c>
      <c r="H8498" s="1">
        <v>2014.0</v>
      </c>
      <c r="I8498" s="1" t="s">
        <v>378</v>
      </c>
      <c r="J8498" s="1" t="s">
        <v>665</v>
      </c>
      <c r="K8498" s="1" t="s">
        <v>89</v>
      </c>
      <c r="L8498" s="1" t="s">
        <v>40606</v>
      </c>
      <c r="M8498" s="2" t="s">
        <v>12</v>
      </c>
      <c r="N8498" s="4">
        <f t="shared" si="1"/>
        <v>42796</v>
      </c>
      <c r="O8498" s="5" t="str">
        <f>IFERROR(__xludf.DUMMYFUNCTION("IF(REGEXMATCH(TRIM(I8498), ""^\d+\s*min""), ""Unclassified"", IF(I8498 = """", ""NR"", I8498))"),"R")</f>
        <v>R</v>
      </c>
      <c r="R8498" s="5" t="str">
        <f t="shared" si="2"/>
        <v>The Salvation</v>
      </c>
      <c r="S8498" s="5" t="str">
        <f>IFERROR(__xludf.DUMMYFUNCTION("""COMPUTED_VALUE"""),"Weeds On Fire")</f>
        <v>Weeds On Fire</v>
      </c>
      <c r="V8498" s="5"/>
      <c r="Y8498" s="5" t="str">
        <f>IFERROR(__xludf.DUMMYFUNCTION("REGEXEXTRACT(J8498, ""^\d+"")"),"92")</f>
        <v>92</v>
      </c>
      <c r="Z8498" s="5" t="str">
        <f>IFERROR(__xludf.DUMMYFUNCTION("REGEXEXTRACT(J8498, ""[A-Za-z ]+$"")")," min")</f>
        <v> min</v>
      </c>
      <c r="AA8498" s="5" t="str">
        <f>IFERROR(__xludf.DUMMYFUNCTION("IF(REGEXMATCH(Z8498, ""Season""), ""TV Show"", ""Movie"")"),"Movie")</f>
        <v>Movie</v>
      </c>
    </row>
    <row r="8499">
      <c r="A8499" s="1" t="s">
        <v>40607</v>
      </c>
      <c r="B8499" s="1" t="s">
        <v>27</v>
      </c>
      <c r="C8499" s="1" t="s">
        <v>40608</v>
      </c>
      <c r="D8499" s="1" t="s">
        <v>12012</v>
      </c>
      <c r="E8499" s="1" t="s">
        <v>40609</v>
      </c>
      <c r="F8499" s="1" t="s">
        <v>221</v>
      </c>
      <c r="G8499" s="1" t="s">
        <v>21046</v>
      </c>
      <c r="H8499" s="1">
        <v>2012.0</v>
      </c>
      <c r="I8499" s="1" t="s">
        <v>32</v>
      </c>
      <c r="J8499" s="1" t="s">
        <v>416</v>
      </c>
      <c r="K8499" s="1" t="s">
        <v>836</v>
      </c>
      <c r="L8499" s="1" t="s">
        <v>40610</v>
      </c>
      <c r="M8499" s="2" t="s">
        <v>12</v>
      </c>
      <c r="N8499" s="4">
        <f t="shared" si="1"/>
        <v>43581</v>
      </c>
      <c r="O8499" s="5" t="str">
        <f>IFERROR(__xludf.DUMMYFUNCTION("IF(REGEXMATCH(TRIM(I8499), ""^\d+\s*min""), ""Unclassified"", IF(I8499 = """", ""NR"", I8499))"),"PG-13")</f>
        <v>PG-13</v>
      </c>
      <c r="R8499" s="5" t="str">
        <f t="shared" si="2"/>
        <v>The Sapphires</v>
      </c>
      <c r="S8499" s="5" t="str">
        <f>IFERROR(__xludf.DUMMYFUNCTION("""COMPUTED_VALUE"""),"Weird Wonders Of The World")</f>
        <v>Weird Wonders Of The World</v>
      </c>
      <c r="V8499" s="5"/>
      <c r="Y8499" s="5" t="str">
        <f>IFERROR(__xludf.DUMMYFUNCTION("REGEXEXTRACT(J8499, ""^\d+"")"),"99")</f>
        <v>99</v>
      </c>
      <c r="Z8499" s="5" t="str">
        <f>IFERROR(__xludf.DUMMYFUNCTION("REGEXEXTRACT(J8499, ""[A-Za-z ]+$"")")," min")</f>
        <v> min</v>
      </c>
      <c r="AA8499" s="5" t="str">
        <f>IFERROR(__xludf.DUMMYFUNCTION("IF(REGEXMATCH(Z8499, ""Season""), ""TV Show"", ""Movie"")"),"Movie")</f>
        <v>Movie</v>
      </c>
    </row>
    <row r="8500">
      <c r="A8500" s="1" t="s">
        <v>40611</v>
      </c>
      <c r="B8500" s="1" t="s">
        <v>27</v>
      </c>
      <c r="C8500" s="1" t="s">
        <v>40612</v>
      </c>
      <c r="D8500" s="1" t="s">
        <v>7882</v>
      </c>
      <c r="E8500" s="1" t="s">
        <v>40613</v>
      </c>
      <c r="F8500" s="1" t="s">
        <v>40614</v>
      </c>
      <c r="G8500" s="1" t="s">
        <v>17797</v>
      </c>
      <c r="H8500" s="1">
        <v>2001.0</v>
      </c>
      <c r="I8500" s="1" t="s">
        <v>378</v>
      </c>
      <c r="J8500" s="1" t="s">
        <v>341</v>
      </c>
      <c r="K8500" s="1" t="s">
        <v>394</v>
      </c>
      <c r="L8500" s="1" t="s">
        <v>40615</v>
      </c>
      <c r="M8500" s="2" t="s">
        <v>12</v>
      </c>
      <c r="N8500" s="4">
        <f t="shared" si="1"/>
        <v>43797</v>
      </c>
      <c r="O8500" s="5" t="str">
        <f>IFERROR(__xludf.DUMMYFUNCTION("IF(REGEXMATCH(TRIM(I8500), ""^\d+\s*min""), ""Unclassified"", IF(I8500 = """", ""NR"", I8500))"),"R")</f>
        <v>R</v>
      </c>
      <c r="R8500" s="5" t="str">
        <f t="shared" si="2"/>
        <v>The Score</v>
      </c>
      <c r="S8500" s="5" t="str">
        <f>IFERROR(__xludf.DUMMYFUNCTION("""COMPUTED_VALUE"""),"Welcome")</f>
        <v>Welcome</v>
      </c>
      <c r="V8500" s="5"/>
      <c r="Y8500" s="5" t="str">
        <f>IFERROR(__xludf.DUMMYFUNCTION("REGEXEXTRACT(J8500, ""^\d+"")"),"124")</f>
        <v>124</v>
      </c>
      <c r="Z8500" s="5" t="str">
        <f>IFERROR(__xludf.DUMMYFUNCTION("REGEXEXTRACT(J8500, ""[A-Za-z ]+$"")")," min")</f>
        <v> min</v>
      </c>
      <c r="AA8500" s="5" t="str">
        <f>IFERROR(__xludf.DUMMYFUNCTION("IF(REGEXMATCH(Z8500, ""Season""), ""TV Show"", ""Movie"")"),"Movie")</f>
        <v>Movie</v>
      </c>
    </row>
    <row r="8501">
      <c r="A8501" s="1" t="s">
        <v>40616</v>
      </c>
      <c r="B8501" s="1" t="s">
        <v>27</v>
      </c>
      <c r="C8501" s="1" t="s">
        <v>40617</v>
      </c>
      <c r="D8501" s="1" t="s">
        <v>8828</v>
      </c>
      <c r="E8501" s="1" t="s">
        <v>40618</v>
      </c>
      <c r="F8501" s="1" t="s">
        <v>30</v>
      </c>
      <c r="G8501" s="1" t="s">
        <v>23509</v>
      </c>
      <c r="H8501" s="1">
        <v>2015.0</v>
      </c>
      <c r="I8501" s="1" t="s">
        <v>32</v>
      </c>
      <c r="J8501" s="1" t="s">
        <v>264</v>
      </c>
      <c r="K8501" s="1" t="s">
        <v>805</v>
      </c>
      <c r="L8501" s="1" t="s">
        <v>40619</v>
      </c>
      <c r="M8501" s="2" t="s">
        <v>12</v>
      </c>
      <c r="N8501" s="4">
        <f t="shared" si="1"/>
        <v>43412</v>
      </c>
      <c r="O8501" s="5" t="str">
        <f>IFERROR(__xludf.DUMMYFUNCTION("IF(REGEXMATCH(TRIM(I8501), ""^\d+\s*min""), ""Unclassified"", IF(I8501 = """", ""NR"", I8501))"),"PG-13")</f>
        <v>PG-13</v>
      </c>
      <c r="R8501" s="5" t="str">
        <f t="shared" si="2"/>
        <v>The Sea Of Trees</v>
      </c>
      <c r="S8501" s="5" t="str">
        <f>IFERROR(__xludf.DUMMYFUNCTION("""COMPUTED_VALUE"""),"Welcome 2 Karachi")</f>
        <v>Welcome 2 Karachi</v>
      </c>
      <c r="V8501" s="5"/>
      <c r="Y8501" s="5" t="str">
        <f>IFERROR(__xludf.DUMMYFUNCTION("REGEXEXTRACT(J8501, ""^\d+"")"),"111")</f>
        <v>111</v>
      </c>
      <c r="Z8501" s="5" t="str">
        <f>IFERROR(__xludf.DUMMYFUNCTION("REGEXEXTRACT(J8501, ""[A-Za-z ]+$"")")," min")</f>
        <v> min</v>
      </c>
      <c r="AA8501" s="5" t="str">
        <f>IFERROR(__xludf.DUMMYFUNCTION("IF(REGEXMATCH(Z8501, ""Season""), ""TV Show"", ""Movie"")"),"Movie")</f>
        <v>Movie</v>
      </c>
    </row>
    <row r="8502">
      <c r="A8502" s="1" t="s">
        <v>40620</v>
      </c>
      <c r="B8502" s="1" t="s">
        <v>27</v>
      </c>
      <c r="C8502" s="1" t="s">
        <v>40621</v>
      </c>
      <c r="D8502" s="1" t="s">
        <v>21538</v>
      </c>
      <c r="F8502" s="1" t="s">
        <v>30</v>
      </c>
      <c r="G8502" s="1" t="s">
        <v>25842</v>
      </c>
      <c r="H8502" s="1">
        <v>2016.0</v>
      </c>
      <c r="I8502" s="1" t="s">
        <v>506</v>
      </c>
      <c r="J8502" s="1" t="s">
        <v>5362</v>
      </c>
      <c r="K8502" s="1" t="s">
        <v>34</v>
      </c>
      <c r="L8502" s="1" t="s">
        <v>40622</v>
      </c>
      <c r="M8502" s="2" t="s">
        <v>12</v>
      </c>
      <c r="N8502" s="4">
        <f t="shared" si="1"/>
        <v>43191</v>
      </c>
      <c r="O8502" s="5" t="str">
        <f>IFERROR(__xludf.DUMMYFUNCTION("IF(REGEXMATCH(TRIM(I8502), ""^\d+\s*min""), ""Unclassified"", IF(I8502 = """", ""NR"", I8502))"),"TV-G")</f>
        <v>TV-G</v>
      </c>
      <c r="R8502" s="5" t="str">
        <f t="shared" si="2"/>
        <v>The Search For Life In Space</v>
      </c>
      <c r="S8502" s="5" t="str">
        <f>IFERROR(__xludf.DUMMYFUNCTION("""COMPUTED_VALUE"""),"Welcome Home")</f>
        <v>Welcome Home</v>
      </c>
      <c r="V8502" s="5"/>
      <c r="Y8502" s="5" t="str">
        <f>IFERROR(__xludf.DUMMYFUNCTION("REGEXEXTRACT(J8502, ""^\d+"")"),"32")</f>
        <v>32</v>
      </c>
      <c r="Z8502" s="5" t="str">
        <f>IFERROR(__xludf.DUMMYFUNCTION("REGEXEXTRACT(J8502, ""[A-Za-z ]+$"")")," min")</f>
        <v> min</v>
      </c>
      <c r="AA8502" s="5" t="str">
        <f>IFERROR(__xludf.DUMMYFUNCTION("IF(REGEXMATCH(Z8502, ""Season""), ""TV Show"", ""Movie"")"),"Movie")</f>
        <v>Movie</v>
      </c>
    </row>
    <row r="8503">
      <c r="A8503" s="1" t="s">
        <v>40623</v>
      </c>
      <c r="B8503" s="1" t="s">
        <v>27</v>
      </c>
      <c r="C8503" s="1" t="s">
        <v>40624</v>
      </c>
      <c r="D8503" s="1" t="s">
        <v>4778</v>
      </c>
      <c r="E8503" s="1" t="s">
        <v>40625</v>
      </c>
      <c r="F8503" s="1" t="s">
        <v>16759</v>
      </c>
      <c r="G8503" s="1" t="s">
        <v>17146</v>
      </c>
      <c r="H8503" s="1">
        <v>2019.0</v>
      </c>
      <c r="I8503" s="1" t="s">
        <v>78</v>
      </c>
      <c r="J8503" s="1" t="s">
        <v>1144</v>
      </c>
      <c r="K8503" s="1" t="s">
        <v>137</v>
      </c>
      <c r="L8503" s="1" t="s">
        <v>40626</v>
      </c>
      <c r="M8503" s="2" t="s">
        <v>12</v>
      </c>
      <c r="N8503" s="4">
        <f t="shared" si="1"/>
        <v>43826</v>
      </c>
      <c r="O8503" s="5" t="str">
        <f>IFERROR(__xludf.DUMMYFUNCTION("IF(REGEXMATCH(TRIM(I8503), ""^\d+\s*min""), ""Unclassified"", IF(I8503 = """", ""NR"", I8503))"),"PG")</f>
        <v>PG</v>
      </c>
      <c r="R8503" s="5" t="str">
        <f t="shared" si="2"/>
        <v>The Secret Life Of Pets 2</v>
      </c>
      <c r="S8503" s="5" t="str">
        <f>IFERROR(__xludf.DUMMYFUNCTION("""COMPUTED_VALUE"""),"Welcome Home Roscoe Jenkins")</f>
        <v>Welcome Home Roscoe Jenkins</v>
      </c>
      <c r="V8503" s="5"/>
      <c r="Y8503" s="5" t="str">
        <f>IFERROR(__xludf.DUMMYFUNCTION("REGEXEXTRACT(J8503, ""^\d+"")"),"86")</f>
        <v>86</v>
      </c>
      <c r="Z8503" s="5" t="str">
        <f>IFERROR(__xludf.DUMMYFUNCTION("REGEXEXTRACT(J8503, ""[A-Za-z ]+$"")")," min")</f>
        <v> min</v>
      </c>
      <c r="AA8503" s="5" t="str">
        <f>IFERROR(__xludf.DUMMYFUNCTION("IF(REGEXMATCH(Z8503, ""Season""), ""TV Show"", ""Movie"")"),"Movie")</f>
        <v>Movie</v>
      </c>
    </row>
    <row r="8504">
      <c r="A8504" s="1" t="s">
        <v>40627</v>
      </c>
      <c r="B8504" s="1" t="s">
        <v>27</v>
      </c>
      <c r="C8504" s="1" t="s">
        <v>40628</v>
      </c>
      <c r="D8504" s="1" t="s">
        <v>8335</v>
      </c>
      <c r="F8504" s="1" t="s">
        <v>30</v>
      </c>
      <c r="G8504" s="1" t="s">
        <v>28328</v>
      </c>
      <c r="H8504" s="1">
        <v>2014.0</v>
      </c>
      <c r="I8504" s="1" t="s">
        <v>378</v>
      </c>
      <c r="J8504" s="1" t="s">
        <v>106</v>
      </c>
      <c r="K8504" s="1" t="s">
        <v>34</v>
      </c>
      <c r="L8504" s="1" t="s">
        <v>40629</v>
      </c>
      <c r="M8504" s="2" t="s">
        <v>12</v>
      </c>
      <c r="N8504" s="4">
        <f t="shared" si="1"/>
        <v>42839</v>
      </c>
      <c r="O8504" s="5" t="str">
        <f>IFERROR(__xludf.DUMMYFUNCTION("IF(REGEXMATCH(TRIM(I8504), ""^\d+\s*min""), ""Unclassified"", IF(I8504 = """", ""NR"", I8504))"),"R")</f>
        <v>R</v>
      </c>
      <c r="R8504" s="5" t="str">
        <f t="shared" si="2"/>
        <v>The Seven Five</v>
      </c>
      <c r="S8504" s="5" t="str">
        <f>IFERROR(__xludf.DUMMYFUNCTION("""COMPUTED_VALUE"""),"Welcome Mr. President")</f>
        <v>Welcome Mr. President</v>
      </c>
      <c r="V8504" s="5"/>
      <c r="Y8504" s="5" t="str">
        <f>IFERROR(__xludf.DUMMYFUNCTION("REGEXEXTRACT(J8504, ""^\d+"")"),"104")</f>
        <v>104</v>
      </c>
      <c r="Z8504" s="5" t="str">
        <f>IFERROR(__xludf.DUMMYFUNCTION("REGEXEXTRACT(J8504, ""[A-Za-z ]+$"")")," min")</f>
        <v> min</v>
      </c>
      <c r="AA8504" s="5" t="str">
        <f>IFERROR(__xludf.DUMMYFUNCTION("IF(REGEXMATCH(Z8504, ""Season""), ""TV Show"", ""Movie"")"),"Movie")</f>
        <v>Movie</v>
      </c>
    </row>
    <row r="8505">
      <c r="A8505" s="1" t="s">
        <v>40630</v>
      </c>
      <c r="B8505" s="1" t="s">
        <v>37</v>
      </c>
      <c r="C8505" s="1" t="s">
        <v>40631</v>
      </c>
      <c r="F8505" s="1" t="s">
        <v>30</v>
      </c>
      <c r="G8505" s="1" t="s">
        <v>24442</v>
      </c>
      <c r="H8505" s="1">
        <v>2015.0</v>
      </c>
      <c r="I8505" s="1" t="s">
        <v>136</v>
      </c>
      <c r="J8505" s="1" t="s">
        <v>51</v>
      </c>
      <c r="K8505" s="1" t="s">
        <v>1261</v>
      </c>
      <c r="L8505" s="1" t="s">
        <v>40632</v>
      </c>
      <c r="M8505" s="2" t="s">
        <v>12</v>
      </c>
      <c r="N8505" s="4">
        <f t="shared" si="1"/>
        <v>43373</v>
      </c>
      <c r="O8505" s="5" t="str">
        <f>IFERROR(__xludf.DUMMYFUNCTION("IF(REGEXMATCH(TRIM(I8505), ""^\d+\s*min""), ""Unclassified"", IF(I8505 = """", ""NR"", I8505))"),"TV-PG")</f>
        <v>TV-PG</v>
      </c>
      <c r="R8505" s="5" t="str">
        <f t="shared" si="2"/>
        <v>The Seventies</v>
      </c>
      <c r="S8505" s="5" t="str">
        <f>IFERROR(__xludf.DUMMYFUNCTION("""COMPUTED_VALUE"""),"Welcome To Monster High: The Origin Story")</f>
        <v>Welcome To Monster High: The Origin Story</v>
      </c>
      <c r="V8505" s="5"/>
      <c r="Y8505" s="5" t="str">
        <f>IFERROR(__xludf.DUMMYFUNCTION("REGEXEXTRACT(J8505, ""^\d+"")"),"1")</f>
        <v>1</v>
      </c>
      <c r="Z8505" s="5" t="str">
        <f>IFERROR(__xludf.DUMMYFUNCTION("REGEXEXTRACT(J8505, ""[A-Za-z ]+$"")")," Season")</f>
        <v> Season</v>
      </c>
      <c r="AA8505" s="5" t="str">
        <f>IFERROR(__xludf.DUMMYFUNCTION("IF(REGEXMATCH(Z8505, ""Season""), ""TV Show"", ""Movie"")"),"TV Show")</f>
        <v>TV Show</v>
      </c>
    </row>
    <row r="8506">
      <c r="A8506" s="1" t="s">
        <v>40633</v>
      </c>
      <c r="B8506" s="1" t="s">
        <v>27</v>
      </c>
      <c r="C8506" s="1" t="s">
        <v>40634</v>
      </c>
      <c r="D8506" s="1" t="s">
        <v>285</v>
      </c>
      <c r="E8506" s="1" t="s">
        <v>40635</v>
      </c>
      <c r="F8506" s="1" t="s">
        <v>63</v>
      </c>
      <c r="G8506" s="1" t="s">
        <v>26089</v>
      </c>
      <c r="H8506" s="1">
        <v>2014.0</v>
      </c>
      <c r="I8506" s="1" t="s">
        <v>42</v>
      </c>
      <c r="J8506" s="1" t="s">
        <v>2566</v>
      </c>
      <c r="K8506" s="1" t="s">
        <v>230</v>
      </c>
      <c r="L8506" s="1" t="s">
        <v>40636</v>
      </c>
      <c r="M8506" s="2" t="s">
        <v>12</v>
      </c>
      <c r="N8506" s="4">
        <f t="shared" si="1"/>
        <v>43160</v>
      </c>
      <c r="O8506" s="5" t="str">
        <f>IFERROR(__xludf.DUMMYFUNCTION("IF(REGEXMATCH(TRIM(I8506), ""^\d+\s*min""), ""Unclassified"", IF(I8506 = """", ""NR"", I8506))"),"TV-MA")</f>
        <v>TV-MA</v>
      </c>
      <c r="R8506" s="5" t="str">
        <f t="shared" si="2"/>
        <v>The Shaukeens</v>
      </c>
      <c r="S8506" s="5" t="str">
        <f>IFERROR(__xludf.DUMMYFUNCTION("""COMPUTED_VALUE"""),"Welcome To New York")</f>
        <v>Welcome To New York</v>
      </c>
      <c r="V8506" s="5"/>
      <c r="Y8506" s="5" t="str">
        <f>IFERROR(__xludf.DUMMYFUNCTION("REGEXEXTRACT(J8506, ""^\d+"")"),"123")</f>
        <v>123</v>
      </c>
      <c r="Z8506" s="5" t="str">
        <f>IFERROR(__xludf.DUMMYFUNCTION("REGEXEXTRACT(J8506, ""[A-Za-z ]+$"")")," min")</f>
        <v> min</v>
      </c>
      <c r="AA8506" s="5" t="str">
        <f>IFERROR(__xludf.DUMMYFUNCTION("IF(REGEXMATCH(Z8506, ""Season""), ""TV Show"", ""Movie"")"),"Movie")</f>
        <v>Movie</v>
      </c>
    </row>
    <row r="8507">
      <c r="A8507" s="1" t="s">
        <v>40637</v>
      </c>
      <c r="B8507" s="1" t="s">
        <v>27</v>
      </c>
      <c r="C8507" s="1" t="s">
        <v>40638</v>
      </c>
      <c r="D8507" s="1" t="s">
        <v>8438</v>
      </c>
      <c r="E8507" s="1" t="s">
        <v>40639</v>
      </c>
      <c r="F8507" s="1" t="s">
        <v>30</v>
      </c>
      <c r="G8507" s="1" t="s">
        <v>13808</v>
      </c>
      <c r="H8507" s="1">
        <v>2017.0</v>
      </c>
      <c r="I8507" s="1" t="s">
        <v>42</v>
      </c>
      <c r="J8507" s="1" t="s">
        <v>305</v>
      </c>
      <c r="K8507" s="1" t="s">
        <v>805</v>
      </c>
      <c r="L8507" s="1" t="s">
        <v>40640</v>
      </c>
      <c r="M8507" s="2" t="s">
        <v>12</v>
      </c>
      <c r="N8507" s="4">
        <f t="shared" si="1"/>
        <v>43983</v>
      </c>
      <c r="O8507" s="5" t="str">
        <f>IFERROR(__xludf.DUMMYFUNCTION("IF(REGEXMATCH(TRIM(I8507), ""^\d+\s*min""), ""Unclassified"", IF(I8507 = """", ""NR"", I8507))"),"TV-MA")</f>
        <v>TV-MA</v>
      </c>
      <c r="R8507" s="5" t="str">
        <f t="shared" si="2"/>
        <v>The Show</v>
      </c>
      <c r="S8507" s="5" t="str">
        <f>IFERROR(__xludf.DUMMYFUNCTION("""COMPUTED_VALUE"""),"Welcome To Sajjanpur")</f>
        <v>Welcome To Sajjanpur</v>
      </c>
      <c r="V8507" s="5"/>
      <c r="Y8507" s="5" t="str">
        <f>IFERROR(__xludf.DUMMYFUNCTION("REGEXEXTRACT(J8507, ""^\d+"")"),"105")</f>
        <v>105</v>
      </c>
      <c r="Z8507" s="5" t="str">
        <f>IFERROR(__xludf.DUMMYFUNCTION("REGEXEXTRACT(J8507, ""[A-Za-z ]+$"")")," min")</f>
        <v> min</v>
      </c>
      <c r="AA8507" s="5" t="str">
        <f>IFERROR(__xludf.DUMMYFUNCTION("IF(REGEXMATCH(Z8507, ""Season""), ""TV Show"", ""Movie"")"),"Movie")</f>
        <v>Movie</v>
      </c>
    </row>
    <row r="8508">
      <c r="A8508" s="1" t="s">
        <v>40641</v>
      </c>
      <c r="B8508" s="1" t="s">
        <v>27</v>
      </c>
      <c r="C8508" s="1" t="s">
        <v>40642</v>
      </c>
      <c r="D8508" s="1" t="s">
        <v>6551</v>
      </c>
      <c r="E8508" s="1" t="s">
        <v>40643</v>
      </c>
      <c r="F8508" s="1" t="s">
        <v>1779</v>
      </c>
      <c r="G8508" s="1" t="s">
        <v>9889</v>
      </c>
      <c r="H8508" s="1">
        <v>1955.0</v>
      </c>
      <c r="I8508" s="1" t="s">
        <v>97</v>
      </c>
      <c r="J8508" s="1" t="s">
        <v>247</v>
      </c>
      <c r="K8508" s="1" t="s">
        <v>38389</v>
      </c>
      <c r="L8508" s="1" t="s">
        <v>40644</v>
      </c>
      <c r="M8508" s="2" t="s">
        <v>12</v>
      </c>
      <c r="N8508" s="4">
        <f t="shared" si="1"/>
        <v>44148</v>
      </c>
      <c r="O8508" s="5" t="str">
        <f>IFERROR(__xludf.DUMMYFUNCTION("IF(REGEXMATCH(TRIM(I8508), ""^\d+\s*min""), ""Unclassified"", IF(I8508 = """", ""NR"", I8508))"),"TV-14")</f>
        <v>TV-14</v>
      </c>
      <c r="R8508" s="5" t="str">
        <f t="shared" si="2"/>
        <v>The Sign Of Venus</v>
      </c>
      <c r="S8508" s="5" t="str">
        <f>IFERROR(__xludf.DUMMYFUNCTION("""COMPUTED_VALUE"""),"Welcome To Sudden Death")</f>
        <v>Welcome To Sudden Death</v>
      </c>
      <c r="V8508" s="5"/>
      <c r="Y8508" s="5" t="str">
        <f>IFERROR(__xludf.DUMMYFUNCTION("REGEXEXTRACT(J8508, ""^\d+"")"),"97")</f>
        <v>97</v>
      </c>
      <c r="Z8508" s="5" t="str">
        <f>IFERROR(__xludf.DUMMYFUNCTION("REGEXEXTRACT(J8508, ""[A-Za-z ]+$"")")," min")</f>
        <v> min</v>
      </c>
      <c r="AA8508" s="5" t="str">
        <f>IFERROR(__xludf.DUMMYFUNCTION("IF(REGEXMATCH(Z8508, ""Season""), ""TV Show"", ""Movie"")"),"Movie")</f>
        <v>Movie</v>
      </c>
    </row>
    <row r="8509">
      <c r="A8509" s="1" t="s">
        <v>40645</v>
      </c>
      <c r="B8509" s="1" t="s">
        <v>27</v>
      </c>
      <c r="C8509" s="1" t="s">
        <v>40646</v>
      </c>
      <c r="D8509" s="1" t="s">
        <v>23613</v>
      </c>
      <c r="E8509" s="1" t="s">
        <v>40647</v>
      </c>
      <c r="F8509" s="1" t="s">
        <v>30</v>
      </c>
      <c r="G8509" s="1" t="s">
        <v>25111</v>
      </c>
      <c r="H8509" s="1">
        <v>2014.0</v>
      </c>
      <c r="I8509" s="1" t="s">
        <v>32</v>
      </c>
      <c r="J8509" s="1" t="s">
        <v>247</v>
      </c>
      <c r="K8509" s="1" t="s">
        <v>658</v>
      </c>
      <c r="L8509" s="1" t="s">
        <v>40648</v>
      </c>
      <c r="M8509" s="2" t="s">
        <v>12</v>
      </c>
      <c r="N8509" s="4">
        <f t="shared" si="1"/>
        <v>43294</v>
      </c>
      <c r="O8509" s="5" t="str">
        <f>IFERROR(__xludf.DUMMYFUNCTION("IF(REGEXMATCH(TRIM(I8509), ""^\d+\s*min""), ""Unclassified"", IF(I8509 = """", ""NR"", I8509))"),"PG-13")</f>
        <v>PG-13</v>
      </c>
      <c r="R8509" s="5" t="str">
        <f t="shared" si="2"/>
        <v>The Signal</v>
      </c>
      <c r="S8509" s="5" t="str">
        <f>IFERROR(__xludf.DUMMYFUNCTION("""COMPUTED_VALUE"""),"Welcome To The Family")</f>
        <v>Welcome To The Family</v>
      </c>
      <c r="V8509" s="5"/>
      <c r="Y8509" s="5" t="str">
        <f>IFERROR(__xludf.DUMMYFUNCTION("REGEXEXTRACT(J8509, ""^\d+"")"),"97")</f>
        <v>97</v>
      </c>
      <c r="Z8509" s="5" t="str">
        <f>IFERROR(__xludf.DUMMYFUNCTION("REGEXEXTRACT(J8509, ""[A-Za-z ]+$"")")," min")</f>
        <v> min</v>
      </c>
      <c r="AA8509" s="5" t="str">
        <f>IFERROR(__xludf.DUMMYFUNCTION("IF(REGEXMATCH(Z8509, ""Season""), ""TV Show"", ""Movie"")"),"Movie")</f>
        <v>Movie</v>
      </c>
    </row>
    <row r="8510">
      <c r="A8510" s="1" t="s">
        <v>40649</v>
      </c>
      <c r="B8510" s="1" t="s">
        <v>27</v>
      </c>
      <c r="C8510" s="1" t="s">
        <v>40650</v>
      </c>
      <c r="D8510" s="1" t="s">
        <v>9659</v>
      </c>
      <c r="E8510" s="1" t="s">
        <v>40651</v>
      </c>
      <c r="F8510" s="1" t="s">
        <v>162</v>
      </c>
      <c r="G8510" s="1" t="s">
        <v>28769</v>
      </c>
      <c r="H8510" s="1">
        <v>2015.0</v>
      </c>
      <c r="I8510" s="1" t="s">
        <v>30231</v>
      </c>
      <c r="J8510" s="1" t="s">
        <v>33</v>
      </c>
      <c r="K8510" s="1" t="s">
        <v>1972</v>
      </c>
      <c r="L8510" s="1" t="s">
        <v>40652</v>
      </c>
      <c r="M8510" s="2" t="s">
        <v>12</v>
      </c>
      <c r="N8510" s="4">
        <f t="shared" si="1"/>
        <v>42750</v>
      </c>
      <c r="O8510" s="5" t="str">
        <f>IFERROR(__xludf.DUMMYFUNCTION("IF(REGEXMATCH(TRIM(I8510), ""^\d+\s*min""), ""Unclassified"", IF(I8510 = """", ""NR"", I8510))"),"NR")</f>
        <v>NR</v>
      </c>
      <c r="R8510" s="5" t="str">
        <f t="shared" si="2"/>
        <v>The Similars</v>
      </c>
      <c r="S8510" s="5" t="str">
        <f>IFERROR(__xludf.DUMMYFUNCTION("""COMPUTED_VALUE"""),"Welcome To Willits")</f>
        <v>Welcome To Willits</v>
      </c>
      <c r="V8510" s="5"/>
      <c r="Y8510" s="5" t="str">
        <f>IFERROR(__xludf.DUMMYFUNCTION("REGEXEXTRACT(J8510, ""^\d+"")"),"90")</f>
        <v>90</v>
      </c>
      <c r="Z8510" s="5" t="str">
        <f>IFERROR(__xludf.DUMMYFUNCTION("REGEXEXTRACT(J8510, ""[A-Za-z ]+$"")")," min")</f>
        <v> min</v>
      </c>
      <c r="AA8510" s="5" t="str">
        <f>IFERROR(__xludf.DUMMYFUNCTION("IF(REGEXMATCH(Z8510, ""Season""), ""TV Show"", ""Movie"")"),"Movie")</f>
        <v>Movie</v>
      </c>
    </row>
    <row r="8511">
      <c r="A8511" s="1" t="s">
        <v>40653</v>
      </c>
      <c r="B8511" s="1" t="s">
        <v>27</v>
      </c>
      <c r="C8511" s="1" t="s">
        <v>40654</v>
      </c>
      <c r="D8511" s="1" t="s">
        <v>21929</v>
      </c>
      <c r="E8511" s="1" t="s">
        <v>40655</v>
      </c>
      <c r="F8511" s="1" t="s">
        <v>2873</v>
      </c>
      <c r="G8511" s="1" t="s">
        <v>24452</v>
      </c>
      <c r="H8511" s="1">
        <v>2013.0</v>
      </c>
      <c r="I8511" s="1" t="s">
        <v>97</v>
      </c>
      <c r="J8511" s="1" t="s">
        <v>24904</v>
      </c>
      <c r="K8511" s="1" t="s">
        <v>679</v>
      </c>
      <c r="L8511" s="1" t="s">
        <v>40656</v>
      </c>
      <c r="M8511" s="2" t="s">
        <v>12</v>
      </c>
      <c r="N8511" s="4">
        <f t="shared" si="1"/>
        <v>43371</v>
      </c>
      <c r="O8511" s="5" t="str">
        <f>IFERROR(__xludf.DUMMYFUNCTION("IF(REGEXMATCH(TRIM(I8511), ""^\d+\s*min""), ""Unclassified"", IF(I8511 = """", ""NR"", I8511))"),"TV-14")</f>
        <v>TV-14</v>
      </c>
      <c r="R8511" s="5" t="str">
        <f t="shared" si="2"/>
        <v>The Sinking Of Van Der Wijck</v>
      </c>
      <c r="S8511" s="5" t="str">
        <f>IFERROR(__xludf.DUMMYFUNCTION("""COMPUTED_VALUE"""),"Well Done Abba")</f>
        <v>Well Done Abba</v>
      </c>
      <c r="V8511" s="5"/>
      <c r="Y8511" s="5" t="str">
        <f>IFERROR(__xludf.DUMMYFUNCTION("REGEXEXTRACT(J8511, ""^\d+"")"),"163")</f>
        <v>163</v>
      </c>
      <c r="Z8511" s="5" t="str">
        <f>IFERROR(__xludf.DUMMYFUNCTION("REGEXEXTRACT(J8511, ""[A-Za-z ]+$"")")," min")</f>
        <v> min</v>
      </c>
      <c r="AA8511" s="5" t="str">
        <f>IFERROR(__xludf.DUMMYFUNCTION("IF(REGEXMATCH(Z8511, ""Season""), ""TV Show"", ""Movie"")"),"Movie")</f>
        <v>Movie</v>
      </c>
    </row>
    <row r="8512">
      <c r="A8512" s="1" t="s">
        <v>40657</v>
      </c>
      <c r="B8512" s="1" t="s">
        <v>37</v>
      </c>
      <c r="C8512" s="1" t="s">
        <v>40658</v>
      </c>
      <c r="E8512" s="1" t="s">
        <v>40659</v>
      </c>
      <c r="F8512" s="1" t="s">
        <v>38507</v>
      </c>
      <c r="G8512" s="1" t="s">
        <v>40660</v>
      </c>
      <c r="H8512" s="1">
        <v>2017.0</v>
      </c>
      <c r="I8512" s="1" t="s">
        <v>42</v>
      </c>
      <c r="J8512" s="1" t="s">
        <v>276</v>
      </c>
      <c r="K8512" s="1" t="s">
        <v>1362</v>
      </c>
      <c r="L8512" s="1" t="s">
        <v>40661</v>
      </c>
      <c r="M8512" s="2" t="s">
        <v>12</v>
      </c>
      <c r="N8512" s="1" t="str">
        <f t="shared" si="1"/>
        <v>#N/A</v>
      </c>
      <c r="O8512" s="5" t="str">
        <f>IFERROR(__xludf.DUMMYFUNCTION("IF(REGEXMATCH(TRIM(I8512), ""^\d+\s*min""), ""Unclassified"", IF(I8512 = """", ""NR"", I8512))"),"TV-MA")</f>
        <v>TV-MA</v>
      </c>
      <c r="R8512" s="5" t="str">
        <f t="shared" si="2"/>
        <v>The Sniffer</v>
      </c>
      <c r="S8512" s="5" t="str">
        <f>IFERROR(__xludf.DUMMYFUNCTION("""COMPUTED_VALUE"""),"Well-Intended Love")</f>
        <v>Well-Intended Love</v>
      </c>
      <c r="V8512" s="5"/>
      <c r="Y8512" s="5" t="str">
        <f>IFERROR(__xludf.DUMMYFUNCTION("REGEXEXTRACT(J8512, ""^\d+"")"),"3")</f>
        <v>3</v>
      </c>
      <c r="Z8512" s="5" t="str">
        <f>IFERROR(__xludf.DUMMYFUNCTION("REGEXEXTRACT(J8512, ""[A-Za-z ]+$"")")," Seasons")</f>
        <v> Seasons</v>
      </c>
      <c r="AA8512" s="5" t="str">
        <f>IFERROR(__xludf.DUMMYFUNCTION("IF(REGEXMATCH(Z8512, ""Season""), ""TV Show"", ""Movie"")"),"TV Show")</f>
        <v>TV Show</v>
      </c>
    </row>
    <row r="8513">
      <c r="A8513" s="1" t="s">
        <v>40662</v>
      </c>
      <c r="B8513" s="1" t="s">
        <v>27</v>
      </c>
      <c r="C8513" s="1" t="s">
        <v>40663</v>
      </c>
      <c r="D8513" s="1" t="s">
        <v>3725</v>
      </c>
      <c r="E8513" s="1" t="s">
        <v>40664</v>
      </c>
      <c r="F8513" s="1" t="s">
        <v>30</v>
      </c>
      <c r="G8513" s="1" t="s">
        <v>15215</v>
      </c>
      <c r="H8513" s="1">
        <v>2010.0</v>
      </c>
      <c r="I8513" s="1" t="s">
        <v>32</v>
      </c>
      <c r="J8513" s="1" t="s">
        <v>941</v>
      </c>
      <c r="K8513" s="1" t="s">
        <v>805</v>
      </c>
      <c r="L8513" s="1" t="s">
        <v>40665</v>
      </c>
      <c r="M8513" s="2" t="s">
        <v>12</v>
      </c>
      <c r="N8513" s="4">
        <f t="shared" si="1"/>
        <v>43922</v>
      </c>
      <c r="O8513" s="5" t="str">
        <f>IFERROR(__xludf.DUMMYFUNCTION("IF(REGEXMATCH(TRIM(I8513), ""^\d+\s*min""), ""Unclassified"", IF(I8513 = """", ""NR"", I8513))"),"PG-13")</f>
        <v>PG-13</v>
      </c>
      <c r="R8513" s="5" t="str">
        <f t="shared" si="2"/>
        <v>The Social Network</v>
      </c>
      <c r="S8513" s="5" t="str">
        <f>IFERROR(__xludf.DUMMYFUNCTION("""COMPUTED_VALUE"""),"Wentworth")</f>
        <v>Wentworth</v>
      </c>
      <c r="V8513" s="5"/>
      <c r="Y8513" s="5" t="str">
        <f>IFERROR(__xludf.DUMMYFUNCTION("REGEXEXTRACT(J8513, ""^\d+"")"),"121")</f>
        <v>121</v>
      </c>
      <c r="Z8513" s="5" t="str">
        <f>IFERROR(__xludf.DUMMYFUNCTION("REGEXEXTRACT(J8513, ""[A-Za-z ]+$"")")," min")</f>
        <v> min</v>
      </c>
      <c r="AA8513" s="5" t="str">
        <f>IFERROR(__xludf.DUMMYFUNCTION("IF(REGEXMATCH(Z8513, ""Season""), ""TV Show"", ""Movie"")"),"Movie")</f>
        <v>Movie</v>
      </c>
    </row>
    <row r="8514">
      <c r="A8514" s="1" t="s">
        <v>40666</v>
      </c>
      <c r="B8514" s="1" t="s">
        <v>27</v>
      </c>
      <c r="C8514" s="1" t="s">
        <v>40667</v>
      </c>
      <c r="D8514" s="1" t="s">
        <v>4356</v>
      </c>
      <c r="E8514" s="1" t="s">
        <v>40668</v>
      </c>
      <c r="F8514" s="1" t="s">
        <v>30</v>
      </c>
      <c r="G8514" s="1" t="s">
        <v>20561</v>
      </c>
      <c r="H8514" s="1">
        <v>2016.0</v>
      </c>
      <c r="I8514" s="1" t="s">
        <v>32</v>
      </c>
      <c r="J8514" s="1" t="s">
        <v>985</v>
      </c>
      <c r="K8514" s="1" t="s">
        <v>40669</v>
      </c>
      <c r="L8514" s="1" t="s">
        <v>40670</v>
      </c>
      <c r="M8514" s="2" t="s">
        <v>12</v>
      </c>
      <c r="N8514" s="4">
        <f t="shared" si="1"/>
        <v>43617</v>
      </c>
      <c r="O8514" s="5" t="str">
        <f>IFERROR(__xludf.DUMMYFUNCTION("IF(REGEXMATCH(TRIM(I8514), ""^\d+\s*min""), ""Unclassified"", IF(I8514 = """", ""NR"", I8514))"),"PG-13")</f>
        <v>PG-13</v>
      </c>
      <c r="R8514" s="5" t="str">
        <f t="shared" si="2"/>
        <v>The Space Between Us</v>
      </c>
      <c r="S8514" s="5" t="str">
        <f>IFERROR(__xludf.DUMMYFUNCTION("""COMPUTED_VALUE"""),"West Beirut")</f>
        <v>West Beirut</v>
      </c>
      <c r="V8514" s="5"/>
      <c r="Y8514" s="5" t="str">
        <f>IFERROR(__xludf.DUMMYFUNCTION("REGEXEXTRACT(J8514, ""^\d+"")"),"120")</f>
        <v>120</v>
      </c>
      <c r="Z8514" s="5" t="str">
        <f>IFERROR(__xludf.DUMMYFUNCTION("REGEXEXTRACT(J8514, ""[A-Za-z ]+$"")")," min")</f>
        <v> min</v>
      </c>
      <c r="AA8514" s="5" t="str">
        <f>IFERROR(__xludf.DUMMYFUNCTION("IF(REGEXMATCH(Z8514, ""Season""), ""TV Show"", ""Movie"")"),"Movie")</f>
        <v>Movie</v>
      </c>
    </row>
    <row r="8515">
      <c r="A8515" s="1" t="s">
        <v>40671</v>
      </c>
      <c r="B8515" s="1" t="s">
        <v>27</v>
      </c>
      <c r="C8515" s="1" t="s">
        <v>40672</v>
      </c>
      <c r="D8515" s="1" t="s">
        <v>10064</v>
      </c>
      <c r="E8515" s="1" t="s">
        <v>40673</v>
      </c>
      <c r="F8515" s="1" t="s">
        <v>30</v>
      </c>
      <c r="G8515" s="1" t="s">
        <v>25097</v>
      </c>
      <c r="H8515" s="1">
        <v>2013.0</v>
      </c>
      <c r="I8515" s="1" t="s">
        <v>378</v>
      </c>
      <c r="J8515" s="1" t="s">
        <v>465</v>
      </c>
      <c r="K8515" s="1" t="s">
        <v>1538</v>
      </c>
      <c r="L8515" s="1" t="s">
        <v>40674</v>
      </c>
      <c r="M8515" s="2" t="s">
        <v>12</v>
      </c>
      <c r="N8515" s="4">
        <f t="shared" si="1"/>
        <v>43296</v>
      </c>
      <c r="O8515" s="5" t="str">
        <f>IFERROR(__xludf.DUMMYFUNCTION("IF(REGEXMATCH(TRIM(I8515), ""^\d+\s*min""), ""Unclassified"", IF(I8515 = """", ""NR"", I8515))"),"R")</f>
        <v>R</v>
      </c>
      <c r="R8515" s="5" t="str">
        <f t="shared" si="2"/>
        <v>The Spectacular Now</v>
      </c>
      <c r="S8515" s="5" t="str">
        <f>IFERROR(__xludf.DUMMYFUNCTION("""COMPUTED_VALUE"""),"West Coast")</f>
        <v>West Coast</v>
      </c>
      <c r="V8515" s="5"/>
      <c r="Y8515" s="5" t="str">
        <f>IFERROR(__xludf.DUMMYFUNCTION("REGEXEXTRACT(J8515, ""^\d+"")"),"95")</f>
        <v>95</v>
      </c>
      <c r="Z8515" s="5" t="str">
        <f>IFERROR(__xludf.DUMMYFUNCTION("REGEXEXTRACT(J8515, ""[A-Za-z ]+$"")")," min")</f>
        <v> min</v>
      </c>
      <c r="AA8515" s="5" t="str">
        <f>IFERROR(__xludf.DUMMYFUNCTION("IF(REGEXMATCH(Z8515, ""Season""), ""TV Show"", ""Movie"")"),"Movie")</f>
        <v>Movie</v>
      </c>
    </row>
    <row r="8516">
      <c r="A8516" s="1" t="s">
        <v>40675</v>
      </c>
      <c r="B8516" s="1" t="s">
        <v>27</v>
      </c>
      <c r="C8516" s="1" t="s">
        <v>40676</v>
      </c>
      <c r="D8516" s="1" t="s">
        <v>13186</v>
      </c>
      <c r="E8516" s="1" t="s">
        <v>40677</v>
      </c>
      <c r="F8516" s="1" t="s">
        <v>2446</v>
      </c>
      <c r="G8516" s="1" t="s">
        <v>18985</v>
      </c>
      <c r="H8516" s="1">
        <v>1978.0</v>
      </c>
      <c r="I8516" s="1" t="s">
        <v>42</v>
      </c>
      <c r="J8516" s="1" t="s">
        <v>1608</v>
      </c>
      <c r="K8516" s="1" t="s">
        <v>89</v>
      </c>
      <c r="L8516" s="1" t="s">
        <v>40678</v>
      </c>
      <c r="M8516" s="2" t="s">
        <v>12</v>
      </c>
      <c r="N8516" s="4">
        <f t="shared" si="1"/>
        <v>43739</v>
      </c>
      <c r="O8516" s="5" t="str">
        <f>IFERROR(__xludf.DUMMYFUNCTION("IF(REGEXMATCH(TRIM(I8516), ""^\d+\s*min""), ""Unclassified"", IF(I8516 = """", ""NR"", I8516))"),"TV-MA")</f>
        <v>TV-MA</v>
      </c>
      <c r="R8516" s="5" t="str">
        <f t="shared" si="2"/>
        <v>The Spiral</v>
      </c>
      <c r="S8516" s="5" t="str">
        <f>IFERROR(__xludf.DUMMYFUNCTION("""COMPUTED_VALUE"""),"West Coast Customs")</f>
        <v>West Coast Customs</v>
      </c>
      <c r="V8516" s="5"/>
      <c r="Y8516" s="5" t="str">
        <f>IFERROR(__xludf.DUMMYFUNCTION("REGEXEXTRACT(J8516, ""^\d+"")"),"84")</f>
        <v>84</v>
      </c>
      <c r="Z8516" s="5" t="str">
        <f>IFERROR(__xludf.DUMMYFUNCTION("REGEXEXTRACT(J8516, ""[A-Za-z ]+$"")")," min")</f>
        <v> min</v>
      </c>
      <c r="AA8516" s="5" t="str">
        <f>IFERROR(__xludf.DUMMYFUNCTION("IF(REGEXMATCH(Z8516, ""Season""), ""TV Show"", ""Movie"")"),"Movie")</f>
        <v>Movie</v>
      </c>
    </row>
    <row r="8517">
      <c r="A8517" s="1" t="s">
        <v>40679</v>
      </c>
      <c r="B8517" s="1" t="s">
        <v>27</v>
      </c>
      <c r="C8517" s="1" t="s">
        <v>40680</v>
      </c>
      <c r="D8517" s="1" t="s">
        <v>2123</v>
      </c>
      <c r="E8517" s="1" t="s">
        <v>40681</v>
      </c>
      <c r="F8517" s="1" t="s">
        <v>30</v>
      </c>
      <c r="G8517" s="1" t="s">
        <v>10136</v>
      </c>
      <c r="H8517" s="1">
        <v>2010.0</v>
      </c>
      <c r="I8517" s="1" t="s">
        <v>78</v>
      </c>
      <c r="J8517" s="1" t="s">
        <v>170</v>
      </c>
      <c r="K8517" s="1" t="s">
        <v>1178</v>
      </c>
      <c r="L8517" s="1" t="s">
        <v>40682</v>
      </c>
      <c r="M8517" s="2" t="s">
        <v>12</v>
      </c>
      <c r="N8517" s="4">
        <f t="shared" si="1"/>
        <v>44136</v>
      </c>
      <c r="O8517" s="5" t="str">
        <f>IFERROR(__xludf.DUMMYFUNCTION("IF(REGEXMATCH(TRIM(I8517), ""^\d+\s*min""), ""Unclassified"", IF(I8517 = """", ""NR"", I8517))"),"PG")</f>
        <v>PG</v>
      </c>
      <c r="R8517" s="5" t="str">
        <f t="shared" si="2"/>
        <v>The Spy Next Door</v>
      </c>
      <c r="S8517" s="5" t="str">
        <f>IFERROR(__xludf.DUMMYFUNCTION("""COMPUTED_VALUE"""),"Westerplatte Resists")</f>
        <v>Westerplatte Resists</v>
      </c>
      <c r="V8517" s="5"/>
      <c r="Y8517" s="5" t="str">
        <f>IFERROR(__xludf.DUMMYFUNCTION("REGEXEXTRACT(J8517, ""^\d+"")"),"94")</f>
        <v>94</v>
      </c>
      <c r="Z8517" s="5" t="str">
        <f>IFERROR(__xludf.DUMMYFUNCTION("REGEXEXTRACT(J8517, ""[A-Za-z ]+$"")")," min")</f>
        <v> min</v>
      </c>
      <c r="AA8517" s="5" t="str">
        <f>IFERROR(__xludf.DUMMYFUNCTION("IF(REGEXMATCH(Z8517, ""Season""), ""TV Show"", ""Movie"")"),"Movie")</f>
        <v>Movie</v>
      </c>
    </row>
    <row r="8518">
      <c r="A8518" s="1" t="s">
        <v>40683</v>
      </c>
      <c r="B8518" s="1" t="s">
        <v>27</v>
      </c>
      <c r="C8518" s="1" t="s">
        <v>40684</v>
      </c>
      <c r="D8518" s="1" t="s">
        <v>22434</v>
      </c>
      <c r="F8518" s="1" t="s">
        <v>96</v>
      </c>
      <c r="G8518" s="1" t="s">
        <v>21281</v>
      </c>
      <c r="H8518" s="1">
        <v>2019.0</v>
      </c>
      <c r="I8518" s="1" t="s">
        <v>42</v>
      </c>
      <c r="J8518" s="1" t="s">
        <v>170</v>
      </c>
      <c r="K8518" s="1" t="s">
        <v>156</v>
      </c>
      <c r="L8518" s="1" t="s">
        <v>40685</v>
      </c>
      <c r="M8518" s="2" t="s">
        <v>12</v>
      </c>
      <c r="N8518" s="4">
        <f t="shared" si="1"/>
        <v>43560</v>
      </c>
      <c r="O8518" s="5" t="str">
        <f>IFERROR(__xludf.DUMMYFUNCTION("IF(REGEXMATCH(TRIM(I8518), ""^\d+\s*min""), ""Unclassified"", IF(I8518 = """", ""NR"", I8518))"),"TV-MA")</f>
        <v>TV-MA</v>
      </c>
      <c r="R8518" s="5" t="str">
        <f t="shared" si="2"/>
        <v>The Spy Who Fell To Earth</v>
      </c>
      <c r="S8518" s="5" t="str">
        <f>IFERROR(__xludf.DUMMYFUNCTION("""COMPUTED_VALUE"""),"Westside")</f>
        <v>Westside</v>
      </c>
      <c r="V8518" s="5"/>
      <c r="Y8518" s="5" t="str">
        <f>IFERROR(__xludf.DUMMYFUNCTION("REGEXEXTRACT(J8518, ""^\d+"")"),"94")</f>
        <v>94</v>
      </c>
      <c r="Z8518" s="5" t="str">
        <f>IFERROR(__xludf.DUMMYFUNCTION("REGEXEXTRACT(J8518, ""[A-Za-z ]+$"")")," min")</f>
        <v> min</v>
      </c>
      <c r="AA8518" s="5" t="str">
        <f>IFERROR(__xludf.DUMMYFUNCTION("IF(REGEXMATCH(Z8518, ""Season""), ""TV Show"", ""Movie"")"),"Movie")</f>
        <v>Movie</v>
      </c>
    </row>
    <row r="8519">
      <c r="A8519" s="1" t="s">
        <v>40686</v>
      </c>
      <c r="B8519" s="1" t="s">
        <v>27</v>
      </c>
      <c r="C8519" s="1" t="s">
        <v>40687</v>
      </c>
      <c r="D8519" s="1" t="s">
        <v>13280</v>
      </c>
      <c r="E8519" s="1" t="s">
        <v>40688</v>
      </c>
      <c r="F8519" s="1" t="s">
        <v>30</v>
      </c>
      <c r="G8519" s="1" t="s">
        <v>40689</v>
      </c>
      <c r="H8519" s="1">
        <v>2015.0</v>
      </c>
      <c r="I8519" s="1" t="s">
        <v>378</v>
      </c>
      <c r="J8519" s="1" t="s">
        <v>393</v>
      </c>
      <c r="K8519" s="1" t="s">
        <v>2327</v>
      </c>
      <c r="L8519" s="1" t="s">
        <v>40690</v>
      </c>
      <c r="M8519" s="2" t="s">
        <v>12</v>
      </c>
      <c r="N8519" s="4">
        <f t="shared" si="1"/>
        <v>42903</v>
      </c>
      <c r="O8519" s="5" t="str">
        <f>IFERROR(__xludf.DUMMYFUNCTION("IF(REGEXMATCH(TRIM(I8519), ""^\d+\s*min""), ""Unclassified"", IF(I8519 = """", ""NR"", I8519))"),"R")</f>
        <v>R</v>
      </c>
      <c r="R8519" s="5" t="str">
        <f t="shared" si="2"/>
        <v>The Stanford Prison Experiment</v>
      </c>
      <c r="S8519" s="5" t="str">
        <f>IFERROR(__xludf.DUMMYFUNCTION("""COMPUTED_VALUE"""),"Westside Story")</f>
        <v>Westside Story</v>
      </c>
      <c r="V8519" s="5"/>
      <c r="Y8519" s="5" t="str">
        <f>IFERROR(__xludf.DUMMYFUNCTION("REGEXEXTRACT(J8519, ""^\d+"")"),"122")</f>
        <v>122</v>
      </c>
      <c r="Z8519" s="5" t="str">
        <f>IFERROR(__xludf.DUMMYFUNCTION("REGEXEXTRACT(J8519, ""[A-Za-z ]+$"")")," min")</f>
        <v> min</v>
      </c>
      <c r="AA8519" s="5" t="str">
        <f>IFERROR(__xludf.DUMMYFUNCTION("IF(REGEXMATCH(Z8519, ""Season""), ""TV Show"", ""Movie"")"),"Movie")</f>
        <v>Movie</v>
      </c>
    </row>
    <row r="8520">
      <c r="A8520" s="1" t="s">
        <v>40691</v>
      </c>
      <c r="B8520" s="1" t="s">
        <v>37</v>
      </c>
      <c r="C8520" s="1" t="s">
        <v>40692</v>
      </c>
      <c r="E8520" s="1" t="s">
        <v>28452</v>
      </c>
      <c r="F8520" s="1" t="s">
        <v>30</v>
      </c>
      <c r="G8520" s="1" t="s">
        <v>32682</v>
      </c>
      <c r="H8520" s="1">
        <v>2017.0</v>
      </c>
      <c r="I8520" s="1" t="s">
        <v>97</v>
      </c>
      <c r="J8520" s="1" t="s">
        <v>43</v>
      </c>
      <c r="K8520" s="1" t="s">
        <v>1261</v>
      </c>
      <c r="L8520" s="1" t="s">
        <v>40693</v>
      </c>
      <c r="M8520" s="2" t="s">
        <v>12</v>
      </c>
      <c r="N8520" s="1" t="str">
        <f t="shared" si="1"/>
        <v>#N/A</v>
      </c>
      <c r="O8520" s="5" t="str">
        <f>IFERROR(__xludf.DUMMYFUNCTION("IF(REGEXMATCH(TRIM(I8520), ""^\d+\s*min""), ""Unclassified"", IF(I8520 = """", ""NR"", I8520))"),"TV-14")</f>
        <v>TV-14</v>
      </c>
      <c r="R8520" s="5" t="str">
        <f t="shared" si="2"/>
        <v>The Story Of God With Morgan Freeman</v>
      </c>
      <c r="S8520" s="5" t="str">
        <f>IFERROR(__xludf.DUMMYFUNCTION("""COMPUTED_VALUE"""),"Westside Vs. The World")</f>
        <v>Westside Vs. The World</v>
      </c>
      <c r="V8520" s="5"/>
      <c r="Y8520" s="5" t="str">
        <f>IFERROR(__xludf.DUMMYFUNCTION("REGEXEXTRACT(J8520, ""^\d+"")"),"2")</f>
        <v>2</v>
      </c>
      <c r="Z8520" s="5" t="str">
        <f>IFERROR(__xludf.DUMMYFUNCTION("REGEXEXTRACT(J8520, ""[A-Za-z ]+$"")")," Seasons")</f>
        <v> Seasons</v>
      </c>
      <c r="AA8520" s="5" t="str">
        <f>IFERROR(__xludf.DUMMYFUNCTION("IF(REGEXMATCH(Z8520, ""Season""), ""TV Show"", ""Movie"")"),"TV Show")</f>
        <v>TV Show</v>
      </c>
    </row>
    <row r="8521">
      <c r="A8521" s="1" t="s">
        <v>40694</v>
      </c>
      <c r="B8521" s="1" t="s">
        <v>37</v>
      </c>
      <c r="C8521" s="1" t="s">
        <v>40695</v>
      </c>
      <c r="E8521" s="1" t="s">
        <v>28452</v>
      </c>
      <c r="F8521" s="1" t="s">
        <v>30</v>
      </c>
      <c r="G8521" s="1" t="s">
        <v>22239</v>
      </c>
      <c r="H8521" s="1">
        <v>2017.0</v>
      </c>
      <c r="I8521" s="1" t="s">
        <v>97</v>
      </c>
      <c r="J8521" s="1" t="s">
        <v>51</v>
      </c>
      <c r="K8521" s="1" t="s">
        <v>1261</v>
      </c>
      <c r="L8521" s="1" t="s">
        <v>40696</v>
      </c>
      <c r="M8521" s="2" t="s">
        <v>12</v>
      </c>
      <c r="N8521" s="4">
        <f t="shared" si="1"/>
        <v>43497</v>
      </c>
      <c r="O8521" s="5" t="str">
        <f>IFERROR(__xludf.DUMMYFUNCTION("IF(REGEXMATCH(TRIM(I8521), ""^\d+\s*min""), ""Unclassified"", IF(I8521 = """", ""NR"", I8521))"),"TV-14")</f>
        <v>TV-14</v>
      </c>
      <c r="R8521" s="5" t="str">
        <f t="shared" si="2"/>
        <v>The Story Of Us With Morgan Freeman</v>
      </c>
      <c r="S8521" s="5" t="str">
        <f>IFERROR(__xludf.DUMMYFUNCTION("""COMPUTED_VALUE"""),"Wet Hot American Summer")</f>
        <v>Wet Hot American Summer</v>
      </c>
      <c r="V8521" s="5"/>
      <c r="Y8521" s="5" t="str">
        <f>IFERROR(__xludf.DUMMYFUNCTION("REGEXEXTRACT(J8521, ""^\d+"")"),"1")</f>
        <v>1</v>
      </c>
      <c r="Z8521" s="5" t="str">
        <f>IFERROR(__xludf.DUMMYFUNCTION("REGEXEXTRACT(J8521, ""[A-Za-z ]+$"")")," Season")</f>
        <v> Season</v>
      </c>
      <c r="AA8521" s="5" t="str">
        <f>IFERROR(__xludf.DUMMYFUNCTION("IF(REGEXMATCH(Z8521, ""Season""), ""TV Show"", ""Movie"")"),"TV Show")</f>
        <v>TV Show</v>
      </c>
    </row>
    <row r="8522">
      <c r="A8522" s="1" t="s">
        <v>40697</v>
      </c>
      <c r="B8522" s="1" t="s">
        <v>27</v>
      </c>
      <c r="C8522" s="1" t="s">
        <v>40698</v>
      </c>
      <c r="D8522" s="1" t="s">
        <v>21735</v>
      </c>
      <c r="E8522" s="1" t="s">
        <v>40699</v>
      </c>
      <c r="F8522" s="1" t="s">
        <v>30</v>
      </c>
      <c r="G8522" s="1" t="s">
        <v>21602</v>
      </c>
      <c r="H8522" s="1">
        <v>2017.0</v>
      </c>
      <c r="I8522" s="1" t="s">
        <v>97</v>
      </c>
      <c r="J8522" s="1" t="s">
        <v>33</v>
      </c>
      <c r="K8522" s="1" t="s">
        <v>171</v>
      </c>
      <c r="L8522" s="1" t="s">
        <v>40700</v>
      </c>
      <c r="M8522" s="2" t="s">
        <v>12</v>
      </c>
      <c r="N8522" s="4">
        <f t="shared" si="1"/>
        <v>43539</v>
      </c>
      <c r="O8522" s="5" t="str">
        <f>IFERROR(__xludf.DUMMYFUNCTION("IF(REGEXMATCH(TRIM(I8522), ""^\d+\s*min""), ""Unclassified"", IF(I8522 = """", ""NR"", I8522))"),"TV-14")</f>
        <v>TV-14</v>
      </c>
      <c r="R8522" s="5" t="str">
        <f t="shared" si="2"/>
        <v>The Student</v>
      </c>
      <c r="S8522" s="5" t="str">
        <f>IFERROR(__xludf.DUMMYFUNCTION("""COMPUTED_VALUE"""),"Wet Hot American Summer: Ten Years Later")</f>
        <v>Wet Hot American Summer: Ten Years Later</v>
      </c>
      <c r="V8522" s="5"/>
      <c r="Y8522" s="5" t="str">
        <f>IFERROR(__xludf.DUMMYFUNCTION("REGEXEXTRACT(J8522, ""^\d+"")"),"90")</f>
        <v>90</v>
      </c>
      <c r="Z8522" s="5" t="str">
        <f>IFERROR(__xludf.DUMMYFUNCTION("REGEXEXTRACT(J8522, ""[A-Za-z ]+$"")")," min")</f>
        <v> min</v>
      </c>
      <c r="AA8522" s="5" t="str">
        <f>IFERROR(__xludf.DUMMYFUNCTION("IF(REGEXMATCH(Z8522, ""Season""), ""TV Show"", ""Movie"")"),"Movie")</f>
        <v>Movie</v>
      </c>
    </row>
    <row r="8523">
      <c r="A8523" s="1" t="s">
        <v>40701</v>
      </c>
      <c r="B8523" s="1" t="s">
        <v>27</v>
      </c>
      <c r="C8523" s="1" t="s">
        <v>40702</v>
      </c>
      <c r="D8523" s="1" t="s">
        <v>5214</v>
      </c>
      <c r="F8523" s="1" t="s">
        <v>96</v>
      </c>
      <c r="G8523" s="1" t="s">
        <v>37488</v>
      </c>
      <c r="H8523" s="1">
        <v>2015.0</v>
      </c>
      <c r="I8523" s="1" t="s">
        <v>42</v>
      </c>
      <c r="J8523" s="1" t="s">
        <v>79</v>
      </c>
      <c r="K8523" s="1" t="s">
        <v>156</v>
      </c>
      <c r="L8523" s="1" t="s">
        <v>40703</v>
      </c>
      <c r="M8523" s="2" t="s">
        <v>12</v>
      </c>
      <c r="N8523" s="4">
        <f t="shared" si="1"/>
        <v>42803</v>
      </c>
      <c r="O8523" s="5" t="str">
        <f>IFERROR(__xludf.DUMMYFUNCTION("IF(REGEXMATCH(TRIM(I8523), ""^\d+\s*min""), ""Unclassified"", IF(I8523 = """", ""NR"", I8523))"),"TV-MA")</f>
        <v>TV-MA</v>
      </c>
      <c r="R8523" s="5" t="str">
        <f t="shared" si="2"/>
        <v>The Sunshine Makers</v>
      </c>
      <c r="S8523" s="5" t="str">
        <f>IFERROR(__xludf.DUMMYFUNCTION("""COMPUTED_VALUE"""),"What / If")</f>
        <v>What / If</v>
      </c>
      <c r="V8523" s="5"/>
      <c r="Y8523" s="5" t="str">
        <f>IFERROR(__xludf.DUMMYFUNCTION("REGEXEXTRACT(J8523, ""^\d+"")"),"91")</f>
        <v>91</v>
      </c>
      <c r="Z8523" s="5" t="str">
        <f>IFERROR(__xludf.DUMMYFUNCTION("REGEXEXTRACT(J8523, ""[A-Za-z ]+$"")")," min")</f>
        <v> min</v>
      </c>
      <c r="AA8523" s="5" t="str">
        <f>IFERROR(__xludf.DUMMYFUNCTION("IF(REGEXMATCH(Z8523, ""Season""), ""TV Show"", ""Movie"")"),"Movie")</f>
        <v>Movie</v>
      </c>
    </row>
    <row r="8524">
      <c r="A8524" s="1" t="s">
        <v>40704</v>
      </c>
      <c r="B8524" s="1" t="s">
        <v>27</v>
      </c>
      <c r="C8524" s="1" t="s">
        <v>40705</v>
      </c>
      <c r="D8524" s="1" t="s">
        <v>21510</v>
      </c>
      <c r="E8524" s="1" t="s">
        <v>40706</v>
      </c>
      <c r="F8524" s="1" t="s">
        <v>30</v>
      </c>
      <c r="G8524" s="1" t="s">
        <v>22051</v>
      </c>
      <c r="H8524" s="1">
        <v>2017.0</v>
      </c>
      <c r="I8524" s="1" t="s">
        <v>378</v>
      </c>
      <c r="J8524" s="1" t="s">
        <v>1191</v>
      </c>
      <c r="K8524" s="1" t="s">
        <v>1551</v>
      </c>
      <c r="L8524" s="1" t="s">
        <v>40707</v>
      </c>
      <c r="M8524" s="2" t="s">
        <v>12</v>
      </c>
      <c r="N8524" s="4">
        <f t="shared" si="1"/>
        <v>43512</v>
      </c>
      <c r="O8524" s="5" t="str">
        <f>IFERROR(__xludf.DUMMYFUNCTION("IF(REGEXMATCH(TRIM(I8524), ""^\d+\s*min""), ""Unclassified"", IF(I8524 = """", ""NR"", I8524))"),"R")</f>
        <v>R</v>
      </c>
      <c r="R8524" s="5" t="str">
        <f t="shared" si="2"/>
        <v>The Super</v>
      </c>
      <c r="S8524" s="5" t="str">
        <f>IFERROR(__xludf.DUMMYFUNCTION("""COMPUTED_VALUE"""),"What A Girl Wants")</f>
        <v>What A Girl Wants</v>
      </c>
      <c r="V8524" s="5"/>
      <c r="Y8524" s="5" t="str">
        <f>IFERROR(__xludf.DUMMYFUNCTION("REGEXEXTRACT(J8524, ""^\d+"")"),"89")</f>
        <v>89</v>
      </c>
      <c r="Z8524" s="5" t="str">
        <f>IFERROR(__xludf.DUMMYFUNCTION("REGEXEXTRACT(J8524, ""[A-Za-z ]+$"")")," min")</f>
        <v> min</v>
      </c>
      <c r="AA8524" s="5" t="str">
        <f>IFERROR(__xludf.DUMMYFUNCTION("IF(REGEXMATCH(Z8524, ""Season""), ""TV Show"", ""Movie"")"),"Movie")</f>
        <v>Movie</v>
      </c>
    </row>
    <row r="8525">
      <c r="A8525" s="1" t="s">
        <v>40708</v>
      </c>
      <c r="B8525" s="1" t="s">
        <v>37</v>
      </c>
      <c r="C8525" s="1" t="s">
        <v>40709</v>
      </c>
      <c r="E8525" s="1" t="s">
        <v>40710</v>
      </c>
      <c r="F8525" s="1" t="s">
        <v>897</v>
      </c>
      <c r="G8525" s="7">
        <v>42512.0</v>
      </c>
      <c r="H8525" s="1">
        <v>1989.0</v>
      </c>
      <c r="I8525" s="1" t="s">
        <v>289</v>
      </c>
      <c r="J8525" s="1" t="s">
        <v>51</v>
      </c>
      <c r="K8525" s="1" t="s">
        <v>290</v>
      </c>
      <c r="L8525" s="1" t="s">
        <v>40711</v>
      </c>
      <c r="M8525" s="2" t="s">
        <v>12</v>
      </c>
      <c r="N8525" s="4">
        <f t="shared" si="1"/>
        <v>42512</v>
      </c>
      <c r="O8525" s="5" t="str">
        <f>IFERROR(__xludf.DUMMYFUNCTION("IF(REGEXMATCH(TRIM(I8525), ""^\d+\s*min""), ""Unclassified"", IF(I8525 = """", ""NR"", I8525))"),"TV-Y7")</f>
        <v>TV-Y7</v>
      </c>
      <c r="R8525" s="5" t="str">
        <f t="shared" si="2"/>
        <v>The Super Mario Bros. Super Show!</v>
      </c>
      <c r="S8525" s="5" t="str">
        <f>IFERROR(__xludf.DUMMYFUNCTION("""COMPUTED_VALUE"""),"What A Wonderful Family!")</f>
        <v>What A Wonderful Family!</v>
      </c>
      <c r="V8525" s="5"/>
      <c r="Y8525" s="5" t="str">
        <f>IFERROR(__xludf.DUMMYFUNCTION("REGEXEXTRACT(J8525, ""^\d+"")"),"1")</f>
        <v>1</v>
      </c>
      <c r="Z8525" s="5" t="str">
        <f>IFERROR(__xludf.DUMMYFUNCTION("REGEXEXTRACT(J8525, ""[A-Za-z ]+$"")")," Season")</f>
        <v> Season</v>
      </c>
      <c r="AA8525" s="5" t="str">
        <f>IFERROR(__xludf.DUMMYFUNCTION("IF(REGEXMATCH(Z8525, ""Season""), ""TV Show"", ""Movie"")"),"TV Show")</f>
        <v>TV Show</v>
      </c>
    </row>
    <row r="8526">
      <c r="A8526" s="1" t="s">
        <v>40712</v>
      </c>
      <c r="B8526" s="1" t="s">
        <v>27</v>
      </c>
      <c r="C8526" s="1" t="s">
        <v>40713</v>
      </c>
      <c r="D8526" s="1" t="s">
        <v>23584</v>
      </c>
      <c r="F8526" s="1" t="s">
        <v>30</v>
      </c>
      <c r="G8526" s="1" t="s">
        <v>40714</v>
      </c>
      <c r="H8526" s="1">
        <v>2018.0</v>
      </c>
      <c r="I8526" s="1" t="s">
        <v>97</v>
      </c>
      <c r="J8526" s="1" t="s">
        <v>357</v>
      </c>
      <c r="K8526" s="1" t="s">
        <v>34</v>
      </c>
      <c r="L8526" s="1" t="s">
        <v>40715</v>
      </c>
      <c r="M8526" s="2" t="s">
        <v>12</v>
      </c>
      <c r="N8526" s="4">
        <f t="shared" si="1"/>
        <v>43342</v>
      </c>
      <c r="O8526" s="5" t="str">
        <f>IFERROR(__xludf.DUMMYFUNCTION("IF(REGEXMATCH(TRIM(I8526), ""^\d+\s*min""), ""Unclassified"", IF(I8526 = """", ""NR"", I8526))"),"TV-14")</f>
        <v>TV-14</v>
      </c>
      <c r="R8526" s="5" t="str">
        <f t="shared" si="2"/>
        <v>The Surrounding Game</v>
      </c>
      <c r="S8526" s="5" t="str">
        <f>IFERROR(__xludf.DUMMYFUNCTION("""COMPUTED_VALUE"""),"What Are The Odds?")</f>
        <v>What Are The Odds?</v>
      </c>
      <c r="V8526" s="5"/>
      <c r="Y8526" s="5" t="str">
        <f>IFERROR(__xludf.DUMMYFUNCTION("REGEXEXTRACT(J8526, ""^\d+"")"),"98")</f>
        <v>98</v>
      </c>
      <c r="Z8526" s="5" t="str">
        <f>IFERROR(__xludf.DUMMYFUNCTION("REGEXEXTRACT(J8526, ""[A-Za-z ]+$"")")," min")</f>
        <v> min</v>
      </c>
      <c r="AA8526" s="5" t="str">
        <f>IFERROR(__xludf.DUMMYFUNCTION("IF(REGEXMATCH(Z8526, ""Season""), ""TV Show"", ""Movie"")"),"Movie")</f>
        <v>Movie</v>
      </c>
    </row>
    <row r="8527">
      <c r="A8527" s="1" t="s">
        <v>40716</v>
      </c>
      <c r="B8527" s="1" t="s">
        <v>27</v>
      </c>
      <c r="C8527" s="1" t="s">
        <v>40717</v>
      </c>
      <c r="D8527" s="1" t="s">
        <v>2307</v>
      </c>
      <c r="E8527" s="1" t="s">
        <v>40718</v>
      </c>
      <c r="F8527" s="1" t="s">
        <v>692</v>
      </c>
      <c r="G8527" s="1" t="s">
        <v>19361</v>
      </c>
      <c r="H8527" s="1">
        <v>2009.0</v>
      </c>
      <c r="I8527" s="1" t="s">
        <v>378</v>
      </c>
      <c r="J8527" s="1" t="s">
        <v>256</v>
      </c>
      <c r="K8527" s="1" t="s">
        <v>380</v>
      </c>
      <c r="L8527" s="1" t="s">
        <v>40719</v>
      </c>
      <c r="M8527" s="2" t="s">
        <v>12</v>
      </c>
      <c r="N8527" s="4">
        <f t="shared" si="1"/>
        <v>43709</v>
      </c>
      <c r="O8527" s="5" t="str">
        <f>IFERROR(__xludf.DUMMYFUNCTION("IF(REGEXMATCH(TRIM(I8527), ""^\d+\s*min""), ""Unclassified"", IF(I8527 = """", ""NR"", I8527))"),"R")</f>
        <v>R</v>
      </c>
      <c r="R8527" s="5" t="str">
        <f t="shared" si="2"/>
        <v>The Taking Of Pelham 123</v>
      </c>
      <c r="S8527" s="5" t="str">
        <f>IFERROR(__xludf.DUMMYFUNCTION("""COMPUTED_VALUE"""),"What Did I Mess")</f>
        <v>What Did I Mess</v>
      </c>
      <c r="V8527" s="5"/>
      <c r="Y8527" s="5" t="str">
        <f>IFERROR(__xludf.DUMMYFUNCTION("REGEXEXTRACT(J8527, ""^\d+"")"),"106")</f>
        <v>106</v>
      </c>
      <c r="Z8527" s="5" t="str">
        <f>IFERROR(__xludf.DUMMYFUNCTION("REGEXEXTRACT(J8527, ""[A-Za-z ]+$"")")," min")</f>
        <v> min</v>
      </c>
      <c r="AA8527" s="5" t="str">
        <f>IFERROR(__xludf.DUMMYFUNCTION("IF(REGEXMATCH(Z8527, ""Season""), ""TV Show"", ""Movie"")"),"Movie")</f>
        <v>Movie</v>
      </c>
    </row>
    <row r="8528">
      <c r="A8528" s="1" t="s">
        <v>40720</v>
      </c>
      <c r="B8528" s="1" t="s">
        <v>27</v>
      </c>
      <c r="C8528" s="1" t="s">
        <v>40721</v>
      </c>
      <c r="D8528" s="1" t="s">
        <v>962</v>
      </c>
      <c r="E8528" s="1" t="s">
        <v>40722</v>
      </c>
      <c r="F8528" s="1" t="s">
        <v>30</v>
      </c>
      <c r="G8528" s="1" t="s">
        <v>16947</v>
      </c>
      <c r="H8528" s="1">
        <v>1999.0</v>
      </c>
      <c r="I8528" s="1" t="s">
        <v>378</v>
      </c>
      <c r="J8528" s="1" t="s">
        <v>1938</v>
      </c>
      <c r="K8528" s="1" t="s">
        <v>394</v>
      </c>
      <c r="L8528" s="1" t="s">
        <v>40723</v>
      </c>
      <c r="M8528" s="2" t="s">
        <v>12</v>
      </c>
      <c r="N8528" s="4">
        <f t="shared" si="1"/>
        <v>43831</v>
      </c>
      <c r="O8528" s="5" t="str">
        <f>IFERROR(__xludf.DUMMYFUNCTION("IF(REGEXMATCH(TRIM(I8528), ""^\d+\s*min""), ""Unclassified"", IF(I8528 = """", ""NR"", I8528))"),"R")</f>
        <v>R</v>
      </c>
      <c r="R8528" s="5" t="str">
        <f t="shared" si="2"/>
        <v>The Talented Mr. Ripley</v>
      </c>
      <c r="S8528" s="5" t="str">
        <f>IFERROR(__xludf.DUMMYFUNCTION("""COMPUTED_VALUE"""),"What Did Jack Do?")</f>
        <v>What Did Jack Do?</v>
      </c>
      <c r="V8528" s="5"/>
      <c r="Y8528" s="5" t="str">
        <f>IFERROR(__xludf.DUMMYFUNCTION("REGEXEXTRACT(J8528, ""^\d+"")"),"139")</f>
        <v>139</v>
      </c>
      <c r="Z8528" s="5" t="str">
        <f>IFERROR(__xludf.DUMMYFUNCTION("REGEXEXTRACT(J8528, ""[A-Za-z ]+$"")")," min")</f>
        <v> min</v>
      </c>
      <c r="AA8528" s="5" t="str">
        <f>IFERROR(__xludf.DUMMYFUNCTION("IF(REGEXMATCH(Z8528, ""Season""), ""TV Show"", ""Movie"")"),"Movie")</f>
        <v>Movie</v>
      </c>
    </row>
    <row r="8529">
      <c r="A8529" s="1" t="s">
        <v>40724</v>
      </c>
      <c r="B8529" s="1" t="s">
        <v>27</v>
      </c>
      <c r="C8529" s="1" t="s">
        <v>40725</v>
      </c>
      <c r="D8529" s="1" t="s">
        <v>22611</v>
      </c>
      <c r="E8529" s="1" t="s">
        <v>40726</v>
      </c>
      <c r="F8529" s="1" t="s">
        <v>30</v>
      </c>
      <c r="G8529" s="1" t="s">
        <v>18639</v>
      </c>
      <c r="H8529" s="1">
        <v>1974.0</v>
      </c>
      <c r="I8529" s="1" t="s">
        <v>378</v>
      </c>
      <c r="J8529" s="1" t="s">
        <v>490</v>
      </c>
      <c r="K8529" s="1" t="s">
        <v>24059</v>
      </c>
      <c r="L8529" s="1" t="s">
        <v>40727</v>
      </c>
      <c r="M8529" s="2" t="s">
        <v>12</v>
      </c>
      <c r="N8529" s="4">
        <f t="shared" si="1"/>
        <v>43760</v>
      </c>
      <c r="O8529" s="5" t="str">
        <f>IFERROR(__xludf.DUMMYFUNCTION("IF(REGEXMATCH(TRIM(I8529), ""^\d+\s*min""), ""Unclassified"", IF(I8529 = """", ""NR"", I8529))"),"R")</f>
        <v>R</v>
      </c>
      <c r="R8529" s="5" t="str">
        <f t="shared" si="2"/>
        <v>The Texas Chainsaw Massacre</v>
      </c>
      <c r="S8529" s="5" t="str">
        <f>IFERROR(__xludf.DUMMYFUNCTION("""COMPUTED_VALUE"""),"What Dreams May Come")</f>
        <v>What Dreams May Come</v>
      </c>
      <c r="V8529" s="5"/>
      <c r="Y8529" s="5" t="str">
        <f>IFERROR(__xludf.DUMMYFUNCTION("REGEXEXTRACT(J8529, ""^\d+"")"),"83")</f>
        <v>83</v>
      </c>
      <c r="Z8529" s="5" t="str">
        <f>IFERROR(__xludf.DUMMYFUNCTION("REGEXEXTRACT(J8529, ""[A-Za-z ]+$"")")," min")</f>
        <v> min</v>
      </c>
      <c r="AA8529" s="5" t="str">
        <f>IFERROR(__xludf.DUMMYFUNCTION("IF(REGEXMATCH(Z8529, ""Season""), ""TV Show"", ""Movie"")"),"Movie")</f>
        <v>Movie</v>
      </c>
    </row>
    <row r="8530">
      <c r="A8530" s="1" t="s">
        <v>40728</v>
      </c>
      <c r="B8530" s="1" t="s">
        <v>27</v>
      </c>
      <c r="C8530" s="1" t="s">
        <v>40729</v>
      </c>
      <c r="D8530" s="1" t="s">
        <v>16252</v>
      </c>
      <c r="E8530" s="1" t="s">
        <v>40730</v>
      </c>
      <c r="F8530" s="1" t="s">
        <v>3309</v>
      </c>
      <c r="G8530" s="1" t="s">
        <v>20510</v>
      </c>
      <c r="H8530" s="1">
        <v>2013.0</v>
      </c>
      <c r="I8530" s="1" t="s">
        <v>97</v>
      </c>
      <c r="J8530" s="1" t="s">
        <v>322</v>
      </c>
      <c r="K8530" s="1" t="s">
        <v>128</v>
      </c>
      <c r="L8530" s="1" t="s">
        <v>40731</v>
      </c>
      <c r="M8530" s="2" t="s">
        <v>12</v>
      </c>
      <c r="N8530" s="4">
        <f t="shared" si="1"/>
        <v>43622</v>
      </c>
      <c r="O8530" s="5" t="str">
        <f>IFERROR(__xludf.DUMMYFUNCTION("IF(REGEXMATCH(TRIM(I8530), ""^\d+\s*min""), ""Unclassified"", IF(I8530 = """", ""NR"", I8530))"),"TV-14")</f>
        <v>TV-14</v>
      </c>
      <c r="R8530" s="5" t="str">
        <f t="shared" si="2"/>
        <v>The Thief And The Imbecile</v>
      </c>
      <c r="S8530" s="5" t="str">
        <f>IFERROR(__xludf.DUMMYFUNCTION("""COMPUTED_VALUE"""),"What Happened To Monday")</f>
        <v>What Happened To Monday</v>
      </c>
      <c r="V8530" s="5"/>
      <c r="Y8530" s="5" t="str">
        <f>IFERROR(__xludf.DUMMYFUNCTION("REGEXEXTRACT(J8530, ""^\d+"")"),"96")</f>
        <v>96</v>
      </c>
      <c r="Z8530" s="5" t="str">
        <f>IFERROR(__xludf.DUMMYFUNCTION("REGEXEXTRACT(J8530, ""[A-Za-z ]+$"")")," min")</f>
        <v> min</v>
      </c>
      <c r="AA8530" s="5" t="str">
        <f>IFERROR(__xludf.DUMMYFUNCTION("IF(REGEXMATCH(Z8530, ""Season""), ""TV Show"", ""Movie"")"),"Movie")</f>
        <v>Movie</v>
      </c>
    </row>
    <row r="8531">
      <c r="A8531" s="1" t="s">
        <v>40732</v>
      </c>
      <c r="B8531" s="1" t="s">
        <v>27</v>
      </c>
      <c r="C8531" s="1" t="s">
        <v>40733</v>
      </c>
      <c r="D8531" s="1" t="s">
        <v>13617</v>
      </c>
      <c r="E8531" s="1" t="s">
        <v>40734</v>
      </c>
      <c r="F8531" s="1" t="s">
        <v>30</v>
      </c>
      <c r="G8531" s="1" t="s">
        <v>25777</v>
      </c>
      <c r="H8531" s="1">
        <v>2016.0</v>
      </c>
      <c r="I8531" s="1" t="s">
        <v>97</v>
      </c>
      <c r="J8531" s="1" t="s">
        <v>170</v>
      </c>
      <c r="K8531" s="1" t="s">
        <v>836</v>
      </c>
      <c r="L8531" s="1" t="s">
        <v>40735</v>
      </c>
      <c r="M8531" s="2" t="s">
        <v>12</v>
      </c>
      <c r="N8531" s="4">
        <f t="shared" si="1"/>
        <v>43199</v>
      </c>
      <c r="O8531" s="5" t="str">
        <f>IFERROR(__xludf.DUMMYFUNCTION("IF(REGEXMATCH(TRIM(I8531), ""^\d+\s*min""), ""Unclassified"", IF(I8531 = """", ""NR"", I8531))"),"TV-14")</f>
        <v>TV-14</v>
      </c>
      <c r="R8531" s="5" t="str">
        <f t="shared" si="2"/>
        <v>The Tiger Hunter</v>
      </c>
      <c r="S8531" s="5" t="str">
        <f>IFERROR(__xludf.DUMMYFUNCTION("""COMPUTED_VALUE"""),"What Happened To Mr. Cha?")</f>
        <v>What Happened To Mr. Cha?</v>
      </c>
      <c r="V8531" s="5"/>
      <c r="Y8531" s="5" t="str">
        <f>IFERROR(__xludf.DUMMYFUNCTION("REGEXEXTRACT(J8531, ""^\d+"")"),"94")</f>
        <v>94</v>
      </c>
      <c r="Z8531" s="5" t="str">
        <f>IFERROR(__xludf.DUMMYFUNCTION("REGEXEXTRACT(J8531, ""[A-Za-z ]+$"")")," min")</f>
        <v> min</v>
      </c>
      <c r="AA8531" s="5" t="str">
        <f>IFERROR(__xludf.DUMMYFUNCTION("IF(REGEXMATCH(Z8531, ""Season""), ""TV Show"", ""Movie"")"),"Movie")</f>
        <v>Movie</v>
      </c>
    </row>
    <row r="8532">
      <c r="A8532" s="1" t="s">
        <v>40736</v>
      </c>
      <c r="B8532" s="1" t="s">
        <v>27</v>
      </c>
      <c r="C8532" s="1" t="s">
        <v>40737</v>
      </c>
      <c r="D8532" s="1" t="s">
        <v>13504</v>
      </c>
      <c r="E8532" s="1" t="s">
        <v>40738</v>
      </c>
      <c r="F8532" s="1" t="s">
        <v>96</v>
      </c>
      <c r="G8532" s="1" t="s">
        <v>23564</v>
      </c>
      <c r="H8532" s="1">
        <v>2017.0</v>
      </c>
      <c r="I8532" s="1" t="s">
        <v>506</v>
      </c>
      <c r="J8532" s="1" t="s">
        <v>4693</v>
      </c>
      <c r="K8532" s="1" t="s">
        <v>34</v>
      </c>
      <c r="L8532" s="1" t="s">
        <v>40739</v>
      </c>
      <c r="M8532" s="2" t="s">
        <v>12</v>
      </c>
      <c r="N8532" s="4">
        <f t="shared" si="1"/>
        <v>43405</v>
      </c>
      <c r="O8532" s="5" t="str">
        <f>IFERROR(__xludf.DUMMYFUNCTION("IF(REGEXMATCH(TRIM(I8532), ""^\d+\s*min""), ""Unclassified"", IF(I8532 = """", ""NR"", I8532))"),"TV-G")</f>
        <v>TV-G</v>
      </c>
      <c r="R8532" s="5" t="str">
        <f t="shared" si="2"/>
        <v>The Tigers Of Scotland</v>
      </c>
      <c r="S8532" s="5" t="str">
        <f>IFERROR(__xludf.DUMMYFUNCTION("""COMPUTED_VALUE"""),"What Happened, Miss Simone?")</f>
        <v>What Happened, Miss Simone?</v>
      </c>
      <c r="V8532" s="5"/>
      <c r="Y8532" s="5" t="str">
        <f>IFERROR(__xludf.DUMMYFUNCTION("REGEXEXTRACT(J8532, ""^\d+"")"),"58")</f>
        <v>58</v>
      </c>
      <c r="Z8532" s="5" t="str">
        <f>IFERROR(__xludf.DUMMYFUNCTION("REGEXEXTRACT(J8532, ""[A-Za-z ]+$"")")," min")</f>
        <v> min</v>
      </c>
      <c r="AA8532" s="5" t="str">
        <f>IFERROR(__xludf.DUMMYFUNCTION("IF(REGEXMATCH(Z8532, ""Season""), ""TV Show"", ""Movie"")"),"Movie")</f>
        <v>Movie</v>
      </c>
    </row>
    <row r="8533">
      <c r="A8533" s="1" t="s">
        <v>40740</v>
      </c>
      <c r="B8533" s="1" t="s">
        <v>27</v>
      </c>
      <c r="C8533" s="1" t="s">
        <v>40741</v>
      </c>
      <c r="D8533" s="1" t="s">
        <v>21242</v>
      </c>
      <c r="E8533" s="1" t="s">
        <v>40742</v>
      </c>
      <c r="F8533" s="1" t="s">
        <v>34283</v>
      </c>
      <c r="G8533" s="1" t="s">
        <v>17882</v>
      </c>
      <c r="H8533" s="1">
        <v>2002.0</v>
      </c>
      <c r="I8533" s="1" t="s">
        <v>32</v>
      </c>
      <c r="J8533" s="1" t="s">
        <v>322</v>
      </c>
      <c r="K8533" s="1" t="s">
        <v>942</v>
      </c>
      <c r="L8533" s="1" t="s">
        <v>40743</v>
      </c>
      <c r="M8533" s="2" t="s">
        <v>12</v>
      </c>
      <c r="N8533" s="4">
        <f t="shared" si="1"/>
        <v>43792</v>
      </c>
      <c r="O8533" s="5" t="str">
        <f>IFERROR(__xludf.DUMMYFUNCTION("IF(REGEXMATCH(TRIM(I8533), ""^\d+\s*min""), ""Unclassified"", IF(I8533 = """", ""NR"", I8533))"),"PG-13")</f>
        <v>PG-13</v>
      </c>
      <c r="R8533" s="5" t="str">
        <f t="shared" si="2"/>
        <v>The Time Machine</v>
      </c>
      <c r="S8533" s="5" t="str">
        <f>IFERROR(__xludf.DUMMYFUNCTION("""COMPUTED_VALUE"""),"What Happens To My Family")</f>
        <v>What Happens To My Family</v>
      </c>
      <c r="V8533" s="5"/>
      <c r="Y8533" s="5" t="str">
        <f>IFERROR(__xludf.DUMMYFUNCTION("REGEXEXTRACT(J8533, ""^\d+"")"),"96")</f>
        <v>96</v>
      </c>
      <c r="Z8533" s="5" t="str">
        <f>IFERROR(__xludf.DUMMYFUNCTION("REGEXEXTRACT(J8533, ""[A-Za-z ]+$"")")," min")</f>
        <v> min</v>
      </c>
      <c r="AA8533" s="5" t="str">
        <f>IFERROR(__xludf.DUMMYFUNCTION("IF(REGEXMATCH(Z8533, ""Season""), ""TV Show"", ""Movie"")"),"Movie")</f>
        <v>Movie</v>
      </c>
    </row>
    <row r="8534">
      <c r="A8534" s="1" t="s">
        <v>40744</v>
      </c>
      <c r="B8534" s="1" t="s">
        <v>27</v>
      </c>
      <c r="C8534" s="1" t="s">
        <v>40745</v>
      </c>
      <c r="D8534" s="1" t="s">
        <v>19515</v>
      </c>
      <c r="E8534" s="1" t="s">
        <v>40746</v>
      </c>
      <c r="F8534" s="1" t="s">
        <v>30</v>
      </c>
      <c r="G8534" s="1" t="s">
        <v>18985</v>
      </c>
      <c r="H8534" s="1">
        <v>2009.0</v>
      </c>
      <c r="I8534" s="1" t="s">
        <v>32</v>
      </c>
      <c r="J8534" s="1" t="s">
        <v>1256</v>
      </c>
      <c r="K8534" s="1" t="s">
        <v>3815</v>
      </c>
      <c r="L8534" s="1" t="s">
        <v>40747</v>
      </c>
      <c r="M8534" s="2" t="s">
        <v>12</v>
      </c>
      <c r="N8534" s="4">
        <f t="shared" si="1"/>
        <v>43739</v>
      </c>
      <c r="O8534" s="5" t="str">
        <f>IFERROR(__xludf.DUMMYFUNCTION("IF(REGEXMATCH(TRIM(I8534), ""^\d+\s*min""), ""Unclassified"", IF(I8534 = """", ""NR"", I8534))"),"PG-13")</f>
        <v>PG-13</v>
      </c>
      <c r="R8534" s="5" t="str">
        <f t="shared" si="2"/>
        <v>The Time Traveler'S Wife</v>
      </c>
      <c r="S8534" s="5" t="str">
        <f>IFERROR(__xludf.DUMMYFUNCTION("""COMPUTED_VALUE"""),"What If?")</f>
        <v>What If?</v>
      </c>
      <c r="V8534" s="5"/>
      <c r="Y8534" s="5" t="str">
        <f>IFERROR(__xludf.DUMMYFUNCTION("REGEXEXTRACT(J8534, ""^\d+"")"),"107")</f>
        <v>107</v>
      </c>
      <c r="Z8534" s="5" t="str">
        <f>IFERROR(__xludf.DUMMYFUNCTION("REGEXEXTRACT(J8534, ""[A-Za-z ]+$"")")," min")</f>
        <v> min</v>
      </c>
      <c r="AA8534" s="5" t="str">
        <f>IFERROR(__xludf.DUMMYFUNCTION("IF(REGEXMATCH(Z8534, ""Season""), ""TV Show"", ""Movie"")"),"Movie")</f>
        <v>Movie</v>
      </c>
    </row>
    <row r="8535">
      <c r="A8535" s="1" t="s">
        <v>40748</v>
      </c>
      <c r="B8535" s="1" t="s">
        <v>37</v>
      </c>
      <c r="C8535" s="1" t="s">
        <v>40749</v>
      </c>
      <c r="E8535" s="1" t="s">
        <v>40750</v>
      </c>
      <c r="F8535" s="1" t="s">
        <v>30</v>
      </c>
      <c r="G8535" s="1" t="s">
        <v>26362</v>
      </c>
      <c r="H8535" s="1">
        <v>2016.0</v>
      </c>
      <c r="I8535" s="1" t="s">
        <v>42</v>
      </c>
      <c r="J8535" s="1" t="s">
        <v>51</v>
      </c>
      <c r="K8535" s="1" t="s">
        <v>2043</v>
      </c>
      <c r="L8535" s="1" t="s">
        <v>40751</v>
      </c>
      <c r="M8535" s="2" t="s">
        <v>12</v>
      </c>
      <c r="N8535" s="4">
        <f t="shared" si="1"/>
        <v>43122</v>
      </c>
      <c r="O8535" s="5" t="str">
        <f>IFERROR(__xludf.DUMMYFUNCTION("IF(REGEXMATCH(TRIM(I8535), ""^\d+\s*min""), ""Unclassified"", IF(I8535 = """", ""NR"", I8535))"),"TV-MA")</f>
        <v>TV-MA</v>
      </c>
      <c r="R8535" s="5" t="str">
        <f t="shared" si="2"/>
        <v>The Traffickers</v>
      </c>
      <c r="S8535" s="5" t="str">
        <f>IFERROR(__xludf.DUMMYFUNCTION("""COMPUTED_VALUE"""),"What In The World Happened?")</f>
        <v>What In The World Happened?</v>
      </c>
      <c r="V8535" s="5"/>
      <c r="Y8535" s="5" t="str">
        <f>IFERROR(__xludf.DUMMYFUNCTION("REGEXEXTRACT(J8535, ""^\d+"")"),"1")</f>
        <v>1</v>
      </c>
      <c r="Z8535" s="5" t="str">
        <f>IFERROR(__xludf.DUMMYFUNCTION("REGEXEXTRACT(J8535, ""[A-Za-z ]+$"")")," Season")</f>
        <v> Season</v>
      </c>
      <c r="AA8535" s="5" t="str">
        <f>IFERROR(__xludf.DUMMYFUNCTION("IF(REGEXMATCH(Z8535, ""Season""), ""TV Show"", ""Movie"")"),"TV Show")</f>
        <v>TV Show</v>
      </c>
    </row>
    <row r="8536">
      <c r="A8536" s="1" t="s">
        <v>40752</v>
      </c>
      <c r="B8536" s="1" t="s">
        <v>27</v>
      </c>
      <c r="C8536" s="1" t="s">
        <v>40753</v>
      </c>
      <c r="D8536" s="1" t="s">
        <v>3668</v>
      </c>
      <c r="E8536" s="1" t="s">
        <v>40754</v>
      </c>
      <c r="F8536" s="1" t="s">
        <v>30</v>
      </c>
      <c r="G8536" s="1" t="s">
        <v>17643</v>
      </c>
      <c r="H8536" s="1">
        <v>2017.0</v>
      </c>
      <c r="I8536" s="1" t="s">
        <v>378</v>
      </c>
      <c r="J8536" s="1" t="s">
        <v>106</v>
      </c>
      <c r="K8536" s="1" t="s">
        <v>9047</v>
      </c>
      <c r="L8536" s="1" t="s">
        <v>40755</v>
      </c>
      <c r="M8536" s="2" t="s">
        <v>12</v>
      </c>
      <c r="N8536" s="4">
        <f t="shared" si="1"/>
        <v>43800</v>
      </c>
      <c r="O8536" s="5" t="str">
        <f>IFERROR(__xludf.DUMMYFUNCTION("IF(REGEXMATCH(TRIM(I8536), ""^\d+\s*min""), ""Unclassified"", IF(I8536 = """", ""NR"", I8536))"),"R")</f>
        <v>R</v>
      </c>
      <c r="R8536" s="5" t="str">
        <f t="shared" si="2"/>
        <v>The Tribes Of Palos Verdes</v>
      </c>
      <c r="S8536" s="5" t="str">
        <f>IFERROR(__xludf.DUMMYFUNCTION("""COMPUTED_VALUE"""),"What Is Love?")</f>
        <v>What Is Love?</v>
      </c>
      <c r="V8536" s="5"/>
      <c r="Y8536" s="5" t="str">
        <f>IFERROR(__xludf.DUMMYFUNCTION("REGEXEXTRACT(J8536, ""^\d+"")"),"104")</f>
        <v>104</v>
      </c>
      <c r="Z8536" s="5" t="str">
        <f>IFERROR(__xludf.DUMMYFUNCTION("REGEXEXTRACT(J8536, ""[A-Za-z ]+$"")")," min")</f>
        <v> min</v>
      </c>
      <c r="AA8536" s="5" t="str">
        <f>IFERROR(__xludf.DUMMYFUNCTION("IF(REGEXMATCH(Z8536, ""Season""), ""TV Show"", ""Movie"")"),"Movie")</f>
        <v>Movie</v>
      </c>
    </row>
    <row r="8537">
      <c r="A8537" s="1" t="s">
        <v>40756</v>
      </c>
      <c r="B8537" s="1" t="s">
        <v>27</v>
      </c>
      <c r="C8537" s="1" t="s">
        <v>40757</v>
      </c>
      <c r="D8537" s="1" t="s">
        <v>5971</v>
      </c>
      <c r="E8537" s="1" t="s">
        <v>40758</v>
      </c>
      <c r="F8537" s="1" t="s">
        <v>30</v>
      </c>
      <c r="G8537" s="1" t="s">
        <v>26481</v>
      </c>
      <c r="H8537" s="1">
        <v>1996.0</v>
      </c>
      <c r="I8537" s="1" t="s">
        <v>378</v>
      </c>
      <c r="J8537" s="1" t="s">
        <v>170</v>
      </c>
      <c r="K8537" s="1" t="s">
        <v>171</v>
      </c>
      <c r="L8537" s="1" t="s">
        <v>40759</v>
      </c>
      <c r="M8537" s="2" t="s">
        <v>12</v>
      </c>
      <c r="N8537" s="4">
        <f t="shared" si="1"/>
        <v>43101</v>
      </c>
      <c r="O8537" s="5" t="str">
        <f>IFERROR(__xludf.DUMMYFUNCTION("IF(REGEXMATCH(TRIM(I8537), ""^\d+\s*min""), ""Unclassified"", IF(I8537 = """", ""NR"", I8537))"),"R")</f>
        <v>R</v>
      </c>
      <c r="R8537" s="5" t="str">
        <f t="shared" si="2"/>
        <v>The Trigger Effect</v>
      </c>
      <c r="S8537" s="5" t="str">
        <f>IFERROR(__xludf.DUMMYFUNCTION("""COMPUTED_VALUE"""),"What Keeps You Alive")</f>
        <v>What Keeps You Alive</v>
      </c>
      <c r="V8537" s="5"/>
      <c r="Y8537" s="5" t="str">
        <f>IFERROR(__xludf.DUMMYFUNCTION("REGEXEXTRACT(J8537, ""^\d+"")"),"94")</f>
        <v>94</v>
      </c>
      <c r="Z8537" s="5" t="str">
        <f>IFERROR(__xludf.DUMMYFUNCTION("REGEXEXTRACT(J8537, ""[A-Za-z ]+$"")")," min")</f>
        <v> min</v>
      </c>
      <c r="AA8537" s="5" t="str">
        <f>IFERROR(__xludf.DUMMYFUNCTION("IF(REGEXMATCH(Z8537, ""Season""), ""TV Show"", ""Movie"")"),"Movie")</f>
        <v>Movie</v>
      </c>
    </row>
    <row r="8538">
      <c r="A8538" s="1" t="s">
        <v>40760</v>
      </c>
      <c r="B8538" s="1" t="s">
        <v>27</v>
      </c>
      <c r="C8538" s="1" t="s">
        <v>40761</v>
      </c>
      <c r="D8538" s="1" t="s">
        <v>4990</v>
      </c>
      <c r="E8538" s="1" t="s">
        <v>40762</v>
      </c>
      <c r="F8538" s="1" t="s">
        <v>96</v>
      </c>
      <c r="G8538" s="1" t="s">
        <v>26627</v>
      </c>
      <c r="H8538" s="1">
        <v>2016.0</v>
      </c>
      <c r="I8538" s="1" t="s">
        <v>42</v>
      </c>
      <c r="J8538" s="1" t="s">
        <v>912</v>
      </c>
      <c r="K8538" s="1" t="s">
        <v>239</v>
      </c>
      <c r="L8538" s="1" t="s">
        <v>40763</v>
      </c>
      <c r="M8538" s="2" t="s">
        <v>12</v>
      </c>
      <c r="N8538" s="4">
        <f t="shared" si="1"/>
        <v>43081</v>
      </c>
      <c r="O8538" s="5" t="str">
        <f>IFERROR(__xludf.DUMMYFUNCTION("IF(REGEXMATCH(TRIM(I8538), ""^\d+\s*min""), ""Unclassified"", IF(I8538 = """", ""NR"", I8538))"),"TV-MA")</f>
        <v>TV-MA</v>
      </c>
      <c r="R8538" s="5" t="str">
        <f t="shared" si="2"/>
        <v>The Trip To Spain</v>
      </c>
      <c r="S8538" s="5" t="str">
        <f>IFERROR(__xludf.DUMMYFUNCTION("""COMPUTED_VALUE"""),"What Lies Below")</f>
        <v>What Lies Below</v>
      </c>
      <c r="V8538" s="5"/>
      <c r="Y8538" s="5" t="str">
        <f>IFERROR(__xludf.DUMMYFUNCTION("REGEXEXTRACT(J8538, ""^\d+"")"),"108")</f>
        <v>108</v>
      </c>
      <c r="Z8538" s="5" t="str">
        <f>IFERROR(__xludf.DUMMYFUNCTION("REGEXEXTRACT(J8538, ""[A-Za-z ]+$"")")," min")</f>
        <v> min</v>
      </c>
      <c r="AA8538" s="5" t="str">
        <f>IFERROR(__xludf.DUMMYFUNCTION("IF(REGEXMATCH(Z8538, ""Season""), ""TV Show"", ""Movie"")"),"Movie")</f>
        <v>Movie</v>
      </c>
    </row>
    <row r="8539">
      <c r="A8539" s="1" t="s">
        <v>40764</v>
      </c>
      <c r="B8539" s="1" t="s">
        <v>27</v>
      </c>
      <c r="C8539" s="1" t="s">
        <v>40765</v>
      </c>
      <c r="D8539" s="1" t="s">
        <v>3136</v>
      </c>
      <c r="E8539" s="1" t="s">
        <v>40766</v>
      </c>
      <c r="F8539" s="1" t="s">
        <v>30</v>
      </c>
      <c r="G8539" s="1" t="s">
        <v>21360</v>
      </c>
      <c r="H8539" s="1">
        <v>2015.0</v>
      </c>
      <c r="I8539" s="1" t="s">
        <v>378</v>
      </c>
      <c r="J8539" s="1" t="s">
        <v>79</v>
      </c>
      <c r="K8539" s="1" t="s">
        <v>171</v>
      </c>
      <c r="L8539" s="1" t="s">
        <v>40767</v>
      </c>
      <c r="M8539" s="2" t="s">
        <v>12</v>
      </c>
      <c r="N8539" s="4">
        <f t="shared" si="1"/>
        <v>43556</v>
      </c>
      <c r="O8539" s="5" t="str">
        <f>IFERROR(__xludf.DUMMYFUNCTION("IF(REGEXMATCH(TRIM(I8539), ""^\d+\s*min""), ""Unclassified"", IF(I8539 = """", ""NR"", I8539))"),"R")</f>
        <v>R</v>
      </c>
      <c r="R8539" s="5" t="str">
        <f t="shared" si="2"/>
        <v>The Trust</v>
      </c>
      <c r="S8539" s="5" t="str">
        <f>IFERROR(__xludf.DUMMYFUNCTION("""COMPUTED_VALUE"""),"What Lies Beneath")</f>
        <v>What Lies Beneath</v>
      </c>
      <c r="V8539" s="5"/>
      <c r="Y8539" s="5" t="str">
        <f>IFERROR(__xludf.DUMMYFUNCTION("REGEXEXTRACT(J8539, ""^\d+"")"),"91")</f>
        <v>91</v>
      </c>
      <c r="Z8539" s="5" t="str">
        <f>IFERROR(__xludf.DUMMYFUNCTION("REGEXEXTRACT(J8539, ""[A-Za-z ]+$"")")," min")</f>
        <v> min</v>
      </c>
      <c r="AA8539" s="5" t="str">
        <f>IFERROR(__xludf.DUMMYFUNCTION("IF(REGEXMATCH(Z8539, ""Season""), ""TV Show"", ""Movie"")"),"Movie")</f>
        <v>Movie</v>
      </c>
    </row>
    <row r="8540">
      <c r="A8540" s="1" t="s">
        <v>40768</v>
      </c>
      <c r="B8540" s="1" t="s">
        <v>27</v>
      </c>
      <c r="C8540" s="1" t="s">
        <v>40769</v>
      </c>
      <c r="D8540" s="1" t="s">
        <v>5842</v>
      </c>
      <c r="E8540" s="1" t="s">
        <v>40770</v>
      </c>
      <c r="F8540" s="1" t="s">
        <v>96</v>
      </c>
      <c r="G8540" s="1" t="s">
        <v>27569</v>
      </c>
      <c r="H8540" s="1">
        <v>2016.0</v>
      </c>
      <c r="I8540" s="1" t="s">
        <v>97</v>
      </c>
      <c r="J8540" s="1" t="s">
        <v>4693</v>
      </c>
      <c r="K8540" s="1" t="s">
        <v>156</v>
      </c>
      <c r="L8540" s="1" t="s">
        <v>40771</v>
      </c>
      <c r="M8540" s="2" t="s">
        <v>12</v>
      </c>
      <c r="N8540" s="4">
        <f t="shared" si="1"/>
        <v>42948</v>
      </c>
      <c r="O8540" s="5" t="str">
        <f>IFERROR(__xludf.DUMMYFUNCTION("IF(REGEXMATCH(TRIM(I8540), ""^\d+\s*min""), ""Unclassified"", IF(I8540 = """", ""NR"", I8540))"),"TV-14")</f>
        <v>TV-14</v>
      </c>
      <c r="R8540" s="5" t="str">
        <f t="shared" si="2"/>
        <v>The Truth About Alcohol</v>
      </c>
      <c r="S8540" s="5" t="str">
        <f>IFERROR(__xludf.DUMMYFUNCTION("""COMPUTED_VALUE"""),"What Makes A Psychopath?")</f>
        <v>What Makes A Psychopath?</v>
      </c>
      <c r="V8540" s="5"/>
      <c r="Y8540" s="5" t="str">
        <f>IFERROR(__xludf.DUMMYFUNCTION("REGEXEXTRACT(J8540, ""^\d+"")"),"58")</f>
        <v>58</v>
      </c>
      <c r="Z8540" s="5" t="str">
        <f>IFERROR(__xludf.DUMMYFUNCTION("REGEXEXTRACT(J8540, ""[A-Za-z ]+$"")")," min")</f>
        <v> min</v>
      </c>
      <c r="AA8540" s="5" t="str">
        <f>IFERROR(__xludf.DUMMYFUNCTION("IF(REGEXMATCH(Z8540, ""Season""), ""TV Show"", ""Movie"")"),"Movie")</f>
        <v>Movie</v>
      </c>
    </row>
    <row r="8541">
      <c r="A8541" s="1" t="s">
        <v>40772</v>
      </c>
      <c r="B8541" s="1" t="s">
        <v>37</v>
      </c>
      <c r="C8541" s="1" t="s">
        <v>40773</v>
      </c>
      <c r="E8541" s="1" t="s">
        <v>40774</v>
      </c>
      <c r="F8541" s="1" t="s">
        <v>40775</v>
      </c>
      <c r="G8541" s="1" t="s">
        <v>40776</v>
      </c>
      <c r="H8541" s="1">
        <v>2010.0</v>
      </c>
      <c r="I8541" s="1" t="s">
        <v>42</v>
      </c>
      <c r="J8541" s="1" t="s">
        <v>148</v>
      </c>
      <c r="K8541" s="1" t="s">
        <v>2709</v>
      </c>
      <c r="L8541" s="1" t="s">
        <v>40777</v>
      </c>
      <c r="M8541" s="2" t="s">
        <v>12</v>
      </c>
      <c r="N8541" s="1" t="str">
        <f t="shared" si="1"/>
        <v>#N/A</v>
      </c>
      <c r="O8541" s="5" t="str">
        <f>IFERROR(__xludf.DUMMYFUNCTION("IF(REGEXMATCH(TRIM(I8541), ""^\d+\s*min""), ""Unclassified"", IF(I8541 = """", ""NR"", I8541))"),"TV-MA")</f>
        <v>TV-MA</v>
      </c>
      <c r="R8541" s="5" t="str">
        <f t="shared" si="2"/>
        <v>The Tudors</v>
      </c>
      <c r="S8541" s="5" t="str">
        <f>IFERROR(__xludf.DUMMYFUNCTION("""COMPUTED_VALUE"""),"What She Put On The Table")</f>
        <v>What She Put On The Table</v>
      </c>
      <c r="V8541" s="5"/>
      <c r="Y8541" s="5" t="str">
        <f>IFERROR(__xludf.DUMMYFUNCTION("REGEXEXTRACT(J8541, ""^\d+"")"),"4")</f>
        <v>4</v>
      </c>
      <c r="Z8541" s="5" t="str">
        <f>IFERROR(__xludf.DUMMYFUNCTION("REGEXEXTRACT(J8541, ""[A-Za-z ]+$"")")," Seasons")</f>
        <v> Seasons</v>
      </c>
      <c r="AA8541" s="5" t="str">
        <f>IFERROR(__xludf.DUMMYFUNCTION("IF(REGEXMATCH(Z8541, ""Season""), ""TV Show"", ""Movie"")"),"TV Show")</f>
        <v>TV Show</v>
      </c>
    </row>
    <row r="8542">
      <c r="A8542" s="1" t="s">
        <v>40778</v>
      </c>
      <c r="B8542" s="1" t="s">
        <v>27</v>
      </c>
      <c r="C8542" s="1" t="s">
        <v>40779</v>
      </c>
      <c r="D8542" s="1" t="s">
        <v>12819</v>
      </c>
      <c r="E8542" s="1" t="s">
        <v>40780</v>
      </c>
      <c r="F8542" s="1" t="s">
        <v>30</v>
      </c>
      <c r="G8542" s="1" t="s">
        <v>18333</v>
      </c>
      <c r="H8542" s="1">
        <v>2002.0</v>
      </c>
      <c r="I8542" s="1" t="s">
        <v>32</v>
      </c>
      <c r="J8542" s="1" t="s">
        <v>416</v>
      </c>
      <c r="K8542" s="1" t="s">
        <v>973</v>
      </c>
      <c r="L8542" s="1" t="s">
        <v>40781</v>
      </c>
      <c r="M8542" s="2" t="s">
        <v>12</v>
      </c>
      <c r="N8542" s="4">
        <f t="shared" si="1"/>
        <v>43770</v>
      </c>
      <c r="O8542" s="5" t="str">
        <f>IFERROR(__xludf.DUMMYFUNCTION("IF(REGEXMATCH(TRIM(I8542), ""^\d+\s*min""), ""Unclassified"", IF(I8542 = """", ""NR"", I8542))"),"PG-13")</f>
        <v>PG-13</v>
      </c>
      <c r="R8542" s="5" t="str">
        <f t="shared" si="2"/>
        <v>The Tuxedo</v>
      </c>
      <c r="S8542" s="5" t="str">
        <f>IFERROR(__xludf.DUMMYFUNCTION("""COMPUTED_VALUE"""),"What Still Remains")</f>
        <v>What Still Remains</v>
      </c>
      <c r="V8542" s="5"/>
      <c r="Y8542" s="5" t="str">
        <f>IFERROR(__xludf.DUMMYFUNCTION("REGEXEXTRACT(J8542, ""^\d+"")"),"99")</f>
        <v>99</v>
      </c>
      <c r="Z8542" s="5" t="str">
        <f>IFERROR(__xludf.DUMMYFUNCTION("REGEXEXTRACT(J8542, ""[A-Za-z ]+$"")")," min")</f>
        <v> min</v>
      </c>
      <c r="AA8542" s="5" t="str">
        <f>IFERROR(__xludf.DUMMYFUNCTION("IF(REGEXMATCH(Z8542, ""Season""), ""TV Show"", ""Movie"")"),"Movie")</f>
        <v>Movie</v>
      </c>
    </row>
    <row r="8543">
      <c r="A8543" s="1" t="s">
        <v>40782</v>
      </c>
      <c r="B8543" s="1" t="s">
        <v>37</v>
      </c>
      <c r="C8543" s="1" t="s">
        <v>40783</v>
      </c>
      <c r="E8543" s="1" t="s">
        <v>40784</v>
      </c>
      <c r="F8543" s="1" t="s">
        <v>30</v>
      </c>
      <c r="G8543" s="1" t="s">
        <v>27735</v>
      </c>
      <c r="H8543" s="1">
        <v>1963.0</v>
      </c>
      <c r="I8543" s="1" t="s">
        <v>97</v>
      </c>
      <c r="J8543" s="1" t="s">
        <v>148</v>
      </c>
      <c r="K8543" s="1" t="s">
        <v>40785</v>
      </c>
      <c r="L8543" s="1" t="s">
        <v>40786</v>
      </c>
      <c r="M8543" s="2" t="s">
        <v>12</v>
      </c>
      <c r="N8543" s="4">
        <f t="shared" si="1"/>
        <v>42917</v>
      </c>
      <c r="O8543" s="5" t="str">
        <f>IFERROR(__xludf.DUMMYFUNCTION("IF(REGEXMATCH(TRIM(I8543), ""^\d+\s*min""), ""Unclassified"", IF(I8543 = """", ""NR"", I8543))"),"TV-14")</f>
        <v>TV-14</v>
      </c>
      <c r="R8543" s="5" t="str">
        <f t="shared" si="2"/>
        <v>The Twilight Zone (Original Series)</v>
      </c>
      <c r="S8543" s="5" t="str">
        <f>IFERROR(__xludf.DUMMYFUNCTION("""COMPUTED_VALUE"""),"What The F* Is Going On?")</f>
        <v>What The F* Is Going On?</v>
      </c>
      <c r="V8543" s="5"/>
      <c r="Y8543" s="5" t="str">
        <f>IFERROR(__xludf.DUMMYFUNCTION("REGEXEXTRACT(J8543, ""^\d+"")"),"4")</f>
        <v>4</v>
      </c>
      <c r="Z8543" s="5" t="str">
        <f>IFERROR(__xludf.DUMMYFUNCTION("REGEXEXTRACT(J8543, ""[A-Za-z ]+$"")")," Seasons")</f>
        <v> Seasons</v>
      </c>
      <c r="AA8543" s="5" t="str">
        <f>IFERROR(__xludf.DUMMYFUNCTION("IF(REGEXMATCH(Z8543, ""Season""), ""TV Show"", ""Movie"")"),"TV Show")</f>
        <v>TV Show</v>
      </c>
    </row>
    <row r="8544">
      <c r="A8544" s="1" t="s">
        <v>40787</v>
      </c>
      <c r="B8544" s="1" t="s">
        <v>27</v>
      </c>
      <c r="C8544" s="1" t="s">
        <v>40788</v>
      </c>
      <c r="D8544" s="1" t="s">
        <v>253</v>
      </c>
      <c r="E8544" s="1" t="s">
        <v>40789</v>
      </c>
      <c r="F8544" s="1" t="s">
        <v>30</v>
      </c>
      <c r="G8544" s="1" t="s">
        <v>21074</v>
      </c>
      <c r="H8544" s="1">
        <v>2009.0</v>
      </c>
      <c r="I8544" s="1" t="s">
        <v>378</v>
      </c>
      <c r="J8544" s="1" t="s">
        <v>322</v>
      </c>
      <c r="K8544" s="1" t="s">
        <v>813</v>
      </c>
      <c r="L8544" s="1" t="s">
        <v>40790</v>
      </c>
      <c r="M8544" s="2" t="s">
        <v>12</v>
      </c>
      <c r="N8544" s="4">
        <f t="shared" si="1"/>
        <v>43580</v>
      </c>
      <c r="O8544" s="5" t="str">
        <f>IFERROR(__xludf.DUMMYFUNCTION("IF(REGEXMATCH(TRIM(I8544), ""^\d+\s*min""), ""Unclassified"", IF(I8544 = """", ""NR"", I8544))"),"R")</f>
        <v>R</v>
      </c>
      <c r="R8544" s="5" t="str">
        <f t="shared" si="2"/>
        <v>The Ugly Truth</v>
      </c>
      <c r="S8544" s="5" t="str">
        <f>IFERROR(__xludf.DUMMYFUNCTION("""COMPUTED_VALUE"""),"What The Fish")</f>
        <v>What The Fish</v>
      </c>
      <c r="V8544" s="5"/>
      <c r="Y8544" s="5" t="str">
        <f>IFERROR(__xludf.DUMMYFUNCTION("REGEXEXTRACT(J8544, ""^\d+"")"),"96")</f>
        <v>96</v>
      </c>
      <c r="Z8544" s="5" t="str">
        <f>IFERROR(__xludf.DUMMYFUNCTION("REGEXEXTRACT(J8544, ""[A-Za-z ]+$"")")," min")</f>
        <v> min</v>
      </c>
      <c r="AA8544" s="5" t="str">
        <f>IFERROR(__xludf.DUMMYFUNCTION("IF(REGEXMATCH(Z8544, ""Season""), ""TV Show"", ""Movie"")"),"Movie")</f>
        <v>Movie</v>
      </c>
    </row>
    <row r="8545">
      <c r="A8545" s="1" t="s">
        <v>40791</v>
      </c>
      <c r="B8545" s="1" t="s">
        <v>27</v>
      </c>
      <c r="C8545" s="1" t="s">
        <v>40792</v>
      </c>
      <c r="D8545" s="1" t="s">
        <v>18298</v>
      </c>
      <c r="E8545" s="1" t="s">
        <v>40793</v>
      </c>
      <c r="F8545" s="1" t="s">
        <v>2796</v>
      </c>
      <c r="G8545" s="1" t="s">
        <v>24986</v>
      </c>
      <c r="H8545" s="1">
        <v>2011.0</v>
      </c>
      <c r="I8545" s="1" t="s">
        <v>42</v>
      </c>
      <c r="J8545" s="1" t="s">
        <v>454</v>
      </c>
      <c r="K8545" s="1" t="s">
        <v>1441</v>
      </c>
      <c r="L8545" s="1" t="s">
        <v>40794</v>
      </c>
      <c r="M8545" s="2" t="s">
        <v>12</v>
      </c>
      <c r="N8545" s="4">
        <f t="shared" si="1"/>
        <v>43311</v>
      </c>
      <c r="O8545" s="5" t="str">
        <f>IFERROR(__xludf.DUMMYFUNCTION("IF(REGEXMATCH(TRIM(I8545), ""^\d+\s*min""), ""Unclassified"", IF(I8545 = """", ""NR"", I8545))"),"TV-MA")</f>
        <v>TV-MA</v>
      </c>
      <c r="R8545" s="5" t="str">
        <f t="shared" si="2"/>
        <v>The Unborn Child</v>
      </c>
      <c r="S8545" s="5" t="str">
        <f>IFERROR(__xludf.DUMMYFUNCTION("""COMPUTED_VALUE"""),"What The Health")</f>
        <v>What The Health</v>
      </c>
      <c r="V8545" s="5"/>
      <c r="Y8545" s="5" t="str">
        <f>IFERROR(__xludf.DUMMYFUNCTION("REGEXEXTRACT(J8545, ""^\d+"")"),"93")</f>
        <v>93</v>
      </c>
      <c r="Z8545" s="5" t="str">
        <f>IFERROR(__xludf.DUMMYFUNCTION("REGEXEXTRACT(J8545, ""[A-Za-z ]+$"")")," min")</f>
        <v> min</v>
      </c>
      <c r="AA8545" s="5" t="str">
        <f>IFERROR(__xludf.DUMMYFUNCTION("IF(REGEXMATCH(Z8545, ""Season""), ""TV Show"", ""Movie"")"),"Movie")</f>
        <v>Movie</v>
      </c>
    </row>
    <row r="8546">
      <c r="A8546" s="1" t="s">
        <v>40795</v>
      </c>
      <c r="B8546" s="1" t="s">
        <v>37</v>
      </c>
      <c r="C8546" s="1" t="s">
        <v>40796</v>
      </c>
      <c r="E8546" s="1" t="s">
        <v>40797</v>
      </c>
      <c r="G8546" s="1" t="s">
        <v>25323</v>
      </c>
      <c r="H8546" s="1">
        <v>2017.0</v>
      </c>
      <c r="I8546" s="1" t="s">
        <v>42</v>
      </c>
      <c r="J8546" s="1" t="s">
        <v>51</v>
      </c>
      <c r="K8546" s="1" t="s">
        <v>1830</v>
      </c>
      <c r="L8546" s="1" t="s">
        <v>40798</v>
      </c>
      <c r="M8546" s="2" t="s">
        <v>12</v>
      </c>
      <c r="N8546" s="4">
        <f t="shared" si="1"/>
        <v>43270</v>
      </c>
      <c r="O8546" s="5" t="str">
        <f>IFERROR(__xludf.DUMMYFUNCTION("IF(REGEXMATCH(TRIM(I8546), ""^\d+\s*min""), ""Unclassified"", IF(I8546 = """", ""NR"", I8546))"),"TV-MA")</f>
        <v>TV-MA</v>
      </c>
      <c r="R8546" s="5" t="str">
        <f t="shared" si="2"/>
        <v>The Underwear</v>
      </c>
      <c r="S8546" s="5" t="str">
        <f>IFERROR(__xludf.DUMMYFUNCTION("""COMPUTED_VALUE"""),"What The Jatt!!")</f>
        <v>What The Jatt!!</v>
      </c>
      <c r="V8546" s="5"/>
      <c r="Y8546" s="5" t="str">
        <f>IFERROR(__xludf.DUMMYFUNCTION("REGEXEXTRACT(J8546, ""^\d+"")"),"1")</f>
        <v>1</v>
      </c>
      <c r="Z8546" s="5" t="str">
        <f>IFERROR(__xludf.DUMMYFUNCTION("REGEXEXTRACT(J8546, ""[A-Za-z ]+$"")")," Season")</f>
        <v> Season</v>
      </c>
      <c r="AA8546" s="5" t="str">
        <f>IFERROR(__xludf.DUMMYFUNCTION("IF(REGEXMATCH(Z8546, ""Season""), ""TV Show"", ""Movie"")"),"TV Show")</f>
        <v>TV Show</v>
      </c>
    </row>
    <row r="8547">
      <c r="A8547" s="1" t="s">
        <v>40799</v>
      </c>
      <c r="B8547" s="1" t="s">
        <v>37</v>
      </c>
      <c r="C8547" s="1" t="s">
        <v>40800</v>
      </c>
      <c r="E8547" s="1" t="s">
        <v>14478</v>
      </c>
      <c r="F8547" s="1" t="s">
        <v>30</v>
      </c>
      <c r="G8547" s="1" t="s">
        <v>19237</v>
      </c>
      <c r="H8547" s="1">
        <v>2009.0</v>
      </c>
      <c r="I8547" s="1" t="s">
        <v>97</v>
      </c>
      <c r="J8547" s="1" t="s">
        <v>51</v>
      </c>
      <c r="K8547" s="1" t="s">
        <v>736</v>
      </c>
      <c r="L8547" s="1" t="s">
        <v>40801</v>
      </c>
      <c r="M8547" s="2" t="s">
        <v>12</v>
      </c>
      <c r="N8547" s="4">
        <f t="shared" si="1"/>
        <v>43723</v>
      </c>
      <c r="O8547" s="5" t="str">
        <f>IFERROR(__xludf.DUMMYFUNCTION("IF(REGEXMATCH(TRIM(I8547), ""^\d+\s*min""), ""Unclassified"", IF(I8547 = """", ""NR"", I8547))"),"TV-14")</f>
        <v>TV-14</v>
      </c>
      <c r="R8547" s="5" t="str">
        <f t="shared" si="2"/>
        <v>The Universe</v>
      </c>
      <c r="S8547" s="5" t="str">
        <f>IFERROR(__xludf.DUMMYFUNCTION("""COMPUTED_VALUE"""),"What The Love! With Karan Johar")</f>
        <v>What The Love! With Karan Johar</v>
      </c>
      <c r="V8547" s="5"/>
      <c r="Y8547" s="5" t="str">
        <f>IFERROR(__xludf.DUMMYFUNCTION("REGEXEXTRACT(J8547, ""^\d+"")"),"1")</f>
        <v>1</v>
      </c>
      <c r="Z8547" s="5" t="str">
        <f>IFERROR(__xludf.DUMMYFUNCTION("REGEXEXTRACT(J8547, ""[A-Za-z ]+$"")")," Season")</f>
        <v> Season</v>
      </c>
      <c r="AA8547" s="5" t="str">
        <f>IFERROR(__xludf.DUMMYFUNCTION("IF(REGEXMATCH(Z8547, ""Season""), ""TV Show"", ""Movie"")"),"TV Show")</f>
        <v>TV Show</v>
      </c>
    </row>
    <row r="8548">
      <c r="A8548" s="1" t="s">
        <v>40802</v>
      </c>
      <c r="B8548" s="1" t="s">
        <v>27</v>
      </c>
      <c r="C8548" s="1" t="s">
        <v>40803</v>
      </c>
      <c r="D8548" s="1" t="s">
        <v>10522</v>
      </c>
      <c r="E8548" s="1" t="s">
        <v>40804</v>
      </c>
      <c r="F8548" s="1" t="s">
        <v>7438</v>
      </c>
      <c r="G8548" s="1" t="s">
        <v>26627</v>
      </c>
      <c r="H8548" s="1">
        <v>2016.0</v>
      </c>
      <c r="I8548" s="1" t="s">
        <v>42</v>
      </c>
      <c r="J8548" s="1" t="s">
        <v>256</v>
      </c>
      <c r="K8548" s="1" t="s">
        <v>128</v>
      </c>
      <c r="L8548" s="1" t="s">
        <v>40805</v>
      </c>
      <c r="M8548" s="2" t="s">
        <v>12</v>
      </c>
      <c r="N8548" s="4">
        <f t="shared" si="1"/>
        <v>43081</v>
      </c>
      <c r="O8548" s="5" t="str">
        <f>IFERROR(__xludf.DUMMYFUNCTION("IF(REGEXMATCH(TRIM(I8548), ""^\d+\s*min""), ""Unclassified"", IF(I8548 = """", ""NR"", I8548))"),"TV-MA")</f>
        <v>TV-MA</v>
      </c>
      <c r="R8548" s="5" t="str">
        <f t="shared" si="2"/>
        <v>The Unknown Girl</v>
      </c>
      <c r="S8548" s="5" t="str">
        <f>IFERROR(__xludf.DUMMYFUNCTION("""COMPUTED_VALUE"""),"What We Started")</f>
        <v>What We Started</v>
      </c>
      <c r="V8548" s="5"/>
      <c r="Y8548" s="5" t="str">
        <f>IFERROR(__xludf.DUMMYFUNCTION("REGEXEXTRACT(J8548, ""^\d+"")"),"106")</f>
        <v>106</v>
      </c>
      <c r="Z8548" s="5" t="str">
        <f>IFERROR(__xludf.DUMMYFUNCTION("REGEXEXTRACT(J8548, ""[A-Za-z ]+$"")")," min")</f>
        <v> min</v>
      </c>
      <c r="AA8548" s="5" t="str">
        <f>IFERROR(__xludf.DUMMYFUNCTION("IF(REGEXMATCH(Z8548, ""Season""), ""TV Show"", ""Movie"")"),"Movie")</f>
        <v>Movie</v>
      </c>
    </row>
    <row r="8549">
      <c r="A8549" s="1" t="s">
        <v>40806</v>
      </c>
      <c r="B8549" s="1" t="s">
        <v>27</v>
      </c>
      <c r="C8549" s="1" t="s">
        <v>40807</v>
      </c>
      <c r="D8549" s="1" t="s">
        <v>7274</v>
      </c>
      <c r="E8549" s="1" t="s">
        <v>40808</v>
      </c>
      <c r="F8549" s="1" t="s">
        <v>30</v>
      </c>
      <c r="G8549" s="1" t="s">
        <v>21989</v>
      </c>
      <c r="H8549" s="1">
        <v>2013.0</v>
      </c>
      <c r="I8549" s="1" t="s">
        <v>32</v>
      </c>
      <c r="J8549" s="1" t="s">
        <v>238</v>
      </c>
      <c r="K8549" s="1" t="s">
        <v>34</v>
      </c>
      <c r="L8549" s="1" t="s">
        <v>40809</v>
      </c>
      <c r="M8549" s="2" t="s">
        <v>12</v>
      </c>
      <c r="N8549" s="4">
        <f t="shared" si="1"/>
        <v>43518</v>
      </c>
      <c r="O8549" s="5" t="str">
        <f>IFERROR(__xludf.DUMMYFUNCTION("IF(REGEXMATCH(TRIM(I8549), ""^\d+\s*min""), ""Unclassified"", IF(I8549 = """", ""NR"", I8549))"),"PG-13")</f>
        <v>PG-13</v>
      </c>
      <c r="R8549" s="5" t="str">
        <f t="shared" si="2"/>
        <v>The Unknown Known</v>
      </c>
      <c r="S8549" s="5" t="str">
        <f>IFERROR(__xludf.DUMMYFUNCTION("""COMPUTED_VALUE"""),"What We Wanted")</f>
        <v>What We Wanted</v>
      </c>
      <c r="V8549" s="5"/>
      <c r="Y8549" s="5" t="str">
        <f>IFERROR(__xludf.DUMMYFUNCTION("REGEXEXTRACT(J8549, ""^\d+"")"),"103")</f>
        <v>103</v>
      </c>
      <c r="Z8549" s="5" t="str">
        <f>IFERROR(__xludf.DUMMYFUNCTION("REGEXEXTRACT(J8549, ""[A-Za-z ]+$"")")," min")</f>
        <v> min</v>
      </c>
      <c r="AA8549" s="5" t="str">
        <f>IFERROR(__xludf.DUMMYFUNCTION("IF(REGEXMATCH(Z8549, ""Season""), ""TV Show"", ""Movie"")"),"Movie")</f>
        <v>Movie</v>
      </c>
    </row>
    <row r="8550">
      <c r="A8550" s="1" t="s">
        <v>40810</v>
      </c>
      <c r="B8550" s="1" t="s">
        <v>27</v>
      </c>
      <c r="C8550" s="1" t="s">
        <v>40811</v>
      </c>
      <c r="D8550" s="1" t="s">
        <v>14897</v>
      </c>
      <c r="E8550" s="1" t="s">
        <v>40812</v>
      </c>
      <c r="F8550" s="1" t="s">
        <v>30</v>
      </c>
      <c r="G8550" s="1" t="s">
        <v>14932</v>
      </c>
      <c r="H8550" s="1">
        <v>2015.0</v>
      </c>
      <c r="I8550" s="1" t="s">
        <v>32</v>
      </c>
      <c r="J8550" s="1" t="s">
        <v>79</v>
      </c>
      <c r="K8550" s="1" t="s">
        <v>3768</v>
      </c>
      <c r="L8550" s="1" t="s">
        <v>40813</v>
      </c>
      <c r="M8550" s="2" t="s">
        <v>12</v>
      </c>
      <c r="N8550" s="4">
        <f t="shared" si="1"/>
        <v>43941</v>
      </c>
      <c r="O8550" s="5" t="str">
        <f>IFERROR(__xludf.DUMMYFUNCTION("IF(REGEXMATCH(TRIM(I8550), ""^\d+\s*min""), ""Unclassified"", IF(I8550 = """", ""NR"", I8550))"),"PG-13")</f>
        <v>PG-13</v>
      </c>
      <c r="R8550" s="5" t="str">
        <f t="shared" si="2"/>
        <v>The Vatican Tapes</v>
      </c>
      <c r="S8550" s="5" t="str">
        <f>IFERROR(__xludf.DUMMYFUNCTION("""COMPUTED_VALUE"""),"What Would Sophia Loren Do?")</f>
        <v>What Would Sophia Loren Do?</v>
      </c>
      <c r="V8550" s="5"/>
      <c r="Y8550" s="5" t="str">
        <f>IFERROR(__xludf.DUMMYFUNCTION("REGEXEXTRACT(J8550, ""^\d+"")"),"91")</f>
        <v>91</v>
      </c>
      <c r="Z8550" s="5" t="str">
        <f>IFERROR(__xludf.DUMMYFUNCTION("REGEXEXTRACT(J8550, ""[A-Za-z ]+$"")")," min")</f>
        <v> min</v>
      </c>
      <c r="AA8550" s="5" t="str">
        <f>IFERROR(__xludf.DUMMYFUNCTION("IF(REGEXMATCH(Z8550, ""Season""), ""TV Show"", ""Movie"")"),"Movie")</f>
        <v>Movie</v>
      </c>
    </row>
    <row r="8551">
      <c r="A8551" s="1" t="s">
        <v>40814</v>
      </c>
      <c r="B8551" s="1" t="s">
        <v>37</v>
      </c>
      <c r="C8551" s="1" t="s">
        <v>40815</v>
      </c>
      <c r="D8551" s="1" t="s">
        <v>12706</v>
      </c>
      <c r="F8551" s="1" t="s">
        <v>30</v>
      </c>
      <c r="G8551" s="1" t="s">
        <v>40816</v>
      </c>
      <c r="H8551" s="1">
        <v>2017.0</v>
      </c>
      <c r="I8551" s="1" t="s">
        <v>42</v>
      </c>
      <c r="J8551" s="1" t="s">
        <v>51</v>
      </c>
      <c r="K8551" s="1" t="s">
        <v>1261</v>
      </c>
      <c r="L8551" s="1" t="s">
        <v>40817</v>
      </c>
      <c r="M8551" s="2" t="s">
        <v>12</v>
      </c>
      <c r="N8551" s="4">
        <f t="shared" si="1"/>
        <v>43271</v>
      </c>
      <c r="O8551" s="5" t="str">
        <f>IFERROR(__xludf.DUMMYFUNCTION("IF(REGEXMATCH(TRIM(I8551), ""^\d+\s*min""), ""Unclassified"", IF(I8551 = """", ""NR"", I8551))"),"TV-MA")</f>
        <v>TV-MA</v>
      </c>
      <c r="R8551" s="5" t="str">
        <f t="shared" si="2"/>
        <v>The Vietnam War: A Film By Ken Burns And Lynn Novick</v>
      </c>
      <c r="S8551" s="5" t="str">
        <f>IFERROR(__xludf.DUMMYFUNCTION("""COMPUTED_VALUE"""),"What'S Eating Gilbert Grape")</f>
        <v>What'S Eating Gilbert Grape</v>
      </c>
      <c r="V8551" s="5"/>
      <c r="Y8551" s="5" t="str">
        <f>IFERROR(__xludf.DUMMYFUNCTION("REGEXEXTRACT(J8551, ""^\d+"")"),"1")</f>
        <v>1</v>
      </c>
      <c r="Z8551" s="5" t="str">
        <f>IFERROR(__xludf.DUMMYFUNCTION("REGEXEXTRACT(J8551, ""[A-Za-z ]+$"")")," Season")</f>
        <v> Season</v>
      </c>
      <c r="AA8551" s="5" t="str">
        <f>IFERROR(__xludf.DUMMYFUNCTION("IF(REGEXMATCH(Z8551, ""Season""), ""TV Show"", ""Movie"")"),"TV Show")</f>
        <v>TV Show</v>
      </c>
    </row>
    <row r="8552">
      <c r="A8552" s="1" t="s">
        <v>40818</v>
      </c>
      <c r="B8552" s="1" t="s">
        <v>27</v>
      </c>
      <c r="C8552" s="1" t="s">
        <v>40819</v>
      </c>
      <c r="D8552" s="1" t="s">
        <v>17372</v>
      </c>
      <c r="E8552" s="1" t="s">
        <v>40820</v>
      </c>
      <c r="F8552" s="1" t="s">
        <v>3309</v>
      </c>
      <c r="G8552" s="1" t="s">
        <v>30396</v>
      </c>
      <c r="H8552" s="1">
        <v>2015.0</v>
      </c>
      <c r="I8552" s="1" t="s">
        <v>97</v>
      </c>
      <c r="J8552" s="1" t="s">
        <v>357</v>
      </c>
      <c r="K8552" s="1" t="s">
        <v>306</v>
      </c>
      <c r="L8552" s="1" t="s">
        <v>40821</v>
      </c>
      <c r="M8552" s="2" t="s">
        <v>12</v>
      </c>
      <c r="N8552" s="4">
        <f t="shared" si="1"/>
        <v>43573</v>
      </c>
      <c r="O8552" s="5" t="str">
        <f>IFERROR(__xludf.DUMMYFUNCTION("IF(REGEXMATCH(TRIM(I8552), ""^\d+\s*min""), ""Unclassified"", IF(I8552 = """", ""NR"", I8552))"),"TV-14")</f>
        <v>TV-14</v>
      </c>
      <c r="R8552" s="5" t="str">
        <f t="shared" si="2"/>
        <v>The Walls Of The Moon</v>
      </c>
      <c r="S8552" s="5" t="str">
        <f>IFERROR(__xludf.DUMMYFUNCTION("""COMPUTED_VALUE"""),"What'S New Scooby-Doo?")</f>
        <v>What'S New Scooby-Doo?</v>
      </c>
      <c r="V8552" s="5"/>
      <c r="Y8552" s="5" t="str">
        <f>IFERROR(__xludf.DUMMYFUNCTION("REGEXEXTRACT(J8552, ""^\d+"")"),"98")</f>
        <v>98</v>
      </c>
      <c r="Z8552" s="5" t="str">
        <f>IFERROR(__xludf.DUMMYFUNCTION("REGEXEXTRACT(J8552, ""[A-Za-z ]+$"")")," min")</f>
        <v> min</v>
      </c>
      <c r="AA8552" s="5" t="str">
        <f>IFERROR(__xludf.DUMMYFUNCTION("IF(REGEXMATCH(Z8552, ""Season""), ""TV Show"", ""Movie"")"),"Movie")</f>
        <v>Movie</v>
      </c>
    </row>
    <row r="8553">
      <c r="A8553" s="1" t="s">
        <v>40822</v>
      </c>
      <c r="B8553" s="1" t="s">
        <v>37</v>
      </c>
      <c r="C8553" s="1" t="s">
        <v>40823</v>
      </c>
      <c r="E8553" s="1" t="s">
        <v>40824</v>
      </c>
      <c r="F8553" s="1" t="s">
        <v>30</v>
      </c>
      <c r="G8553" s="1" t="s">
        <v>28597</v>
      </c>
      <c r="H8553" s="1">
        <v>2007.0</v>
      </c>
      <c r="I8553" s="1" t="s">
        <v>97</v>
      </c>
      <c r="J8553" s="1" t="s">
        <v>51</v>
      </c>
      <c r="K8553" s="1" t="s">
        <v>1261</v>
      </c>
      <c r="L8553" s="1" t="s">
        <v>40825</v>
      </c>
      <c r="M8553" s="2" t="s">
        <v>12</v>
      </c>
      <c r="N8553" s="4">
        <f t="shared" si="1"/>
        <v>42788</v>
      </c>
      <c r="O8553" s="5" t="str">
        <f>IFERROR(__xludf.DUMMYFUNCTION("IF(REGEXMATCH(TRIM(I8553), ""^\d+\s*min""), ""Unclassified"", IF(I8553 = """", ""NR"", I8553))"),"TV-14")</f>
        <v>TV-14</v>
      </c>
      <c r="R8553" s="5" t="str">
        <f t="shared" si="2"/>
        <v>The War: A Film By Ken Burns And Lynn Novick</v>
      </c>
      <c r="S8553" s="5" t="str">
        <f>IFERROR(__xludf.DUMMYFUNCTION("""COMPUTED_VALUE"""),"What'S Up With Love?")</f>
        <v>What'S Up With Love?</v>
      </c>
      <c r="V8553" s="5"/>
      <c r="Y8553" s="5" t="str">
        <f>IFERROR(__xludf.DUMMYFUNCTION("REGEXEXTRACT(J8553, ""^\d+"")"),"1")</f>
        <v>1</v>
      </c>
      <c r="Z8553" s="5" t="str">
        <f>IFERROR(__xludf.DUMMYFUNCTION("REGEXEXTRACT(J8553, ""[A-Za-z ]+$"")")," Season")</f>
        <v> Season</v>
      </c>
      <c r="AA8553" s="5" t="str">
        <f>IFERROR(__xludf.DUMMYFUNCTION("IF(REGEXMATCH(Z8553, ""Season""), ""TV Show"", ""Movie"")"),"TV Show")</f>
        <v>TV Show</v>
      </c>
    </row>
    <row r="8554">
      <c r="A8554" s="1" t="s">
        <v>40826</v>
      </c>
      <c r="B8554" s="1" t="s">
        <v>27</v>
      </c>
      <c r="C8554" s="1" t="s">
        <v>40827</v>
      </c>
      <c r="D8554" s="1" t="s">
        <v>19910</v>
      </c>
      <c r="E8554" s="1" t="s">
        <v>40828</v>
      </c>
      <c r="F8554" s="1" t="s">
        <v>972</v>
      </c>
      <c r="G8554" s="1" t="s">
        <v>40829</v>
      </c>
      <c r="H8554" s="1">
        <v>2014.0</v>
      </c>
      <c r="I8554" s="1" t="s">
        <v>378</v>
      </c>
      <c r="J8554" s="1" t="s">
        <v>264</v>
      </c>
      <c r="K8554" s="1" t="s">
        <v>128</v>
      </c>
      <c r="L8554" s="1" t="s">
        <v>40830</v>
      </c>
      <c r="M8554" s="2" t="s">
        <v>12</v>
      </c>
      <c r="N8554" s="4">
        <f t="shared" si="1"/>
        <v>43745</v>
      </c>
      <c r="O8554" s="5" t="str">
        <f>IFERROR(__xludf.DUMMYFUNCTION("IF(REGEXMATCH(TRIM(I8554), ""^\d+\s*min""), ""Unclassified"", IF(I8554 = """", ""NR"", I8554))"),"R")</f>
        <v>R</v>
      </c>
      <c r="R8554" s="5" t="str">
        <f t="shared" si="2"/>
        <v>The Water Diviner</v>
      </c>
      <c r="S8554" s="5" t="str">
        <f>IFERROR(__xludf.DUMMYFUNCTION("""COMPUTED_VALUE"""),"What'S Up?")</f>
        <v>What'S Up?</v>
      </c>
      <c r="V8554" s="5"/>
      <c r="Y8554" s="5" t="str">
        <f>IFERROR(__xludf.DUMMYFUNCTION("REGEXEXTRACT(J8554, ""^\d+"")"),"111")</f>
        <v>111</v>
      </c>
      <c r="Z8554" s="5" t="str">
        <f>IFERROR(__xludf.DUMMYFUNCTION("REGEXEXTRACT(J8554, ""[A-Za-z ]+$"")")," min")</f>
        <v> min</v>
      </c>
      <c r="AA8554" s="5" t="str">
        <f>IFERROR(__xludf.DUMMYFUNCTION("IF(REGEXMATCH(Z8554, ""Season""), ""TV Show"", ""Movie"")"),"Movie")</f>
        <v>Movie</v>
      </c>
    </row>
    <row r="8555">
      <c r="A8555" s="1" t="s">
        <v>40831</v>
      </c>
      <c r="B8555" s="1" t="s">
        <v>27</v>
      </c>
      <c r="C8555" s="1" t="s">
        <v>40832</v>
      </c>
      <c r="D8555" s="1" t="s">
        <v>10427</v>
      </c>
      <c r="E8555" s="1" t="s">
        <v>40833</v>
      </c>
      <c r="F8555" s="1" t="s">
        <v>40834</v>
      </c>
      <c r="G8555" s="1" t="s">
        <v>23564</v>
      </c>
      <c r="H8555" s="1">
        <v>2007.0</v>
      </c>
      <c r="I8555" s="1" t="s">
        <v>78</v>
      </c>
      <c r="J8555" s="1" t="s">
        <v>1243</v>
      </c>
      <c r="K8555" s="1" t="s">
        <v>80</v>
      </c>
      <c r="L8555" s="1" t="s">
        <v>40835</v>
      </c>
      <c r="M8555" s="2" t="s">
        <v>12</v>
      </c>
      <c r="N8555" s="4">
        <f t="shared" si="1"/>
        <v>43405</v>
      </c>
      <c r="O8555" s="5" t="str">
        <f>IFERROR(__xludf.DUMMYFUNCTION("IF(REGEXMATCH(TRIM(I8555), ""^\d+\s*min""), ""Unclassified"", IF(I8555 = """", ""NR"", I8555))"),"PG")</f>
        <v>PG</v>
      </c>
      <c r="R8555" s="5" t="str">
        <f t="shared" si="2"/>
        <v>The Water Horse: Legend Of The Deep</v>
      </c>
      <c r="S8555" s="5" t="str">
        <f>IFERROR(__xludf.DUMMYFUNCTION("""COMPUTED_VALUE"""),"What'S Your Raashee?")</f>
        <v>What'S Your Raashee?</v>
      </c>
      <c r="V8555" s="5"/>
      <c r="Y8555" s="5" t="str">
        <f>IFERROR(__xludf.DUMMYFUNCTION("REGEXEXTRACT(J8555, ""^\d+"")"),"112")</f>
        <v>112</v>
      </c>
      <c r="Z8555" s="5" t="str">
        <f>IFERROR(__xludf.DUMMYFUNCTION("REGEXEXTRACT(J8555, ""[A-Za-z ]+$"")")," min")</f>
        <v> min</v>
      </c>
      <c r="AA8555" s="5" t="str">
        <f>IFERROR(__xludf.DUMMYFUNCTION("IF(REGEXMATCH(Z8555, ""Season""), ""TV Show"", ""Movie"")"),"Movie")</f>
        <v>Movie</v>
      </c>
    </row>
    <row r="8556">
      <c r="A8556" s="1" t="s">
        <v>40836</v>
      </c>
      <c r="B8556" s="1" t="s">
        <v>27</v>
      </c>
      <c r="C8556" s="1" t="s">
        <v>40837</v>
      </c>
      <c r="D8556" s="1" t="s">
        <v>7864</v>
      </c>
      <c r="E8556" s="1" t="s">
        <v>40838</v>
      </c>
      <c r="F8556" s="1" t="s">
        <v>30</v>
      </c>
      <c r="G8556" s="1" t="s">
        <v>40839</v>
      </c>
      <c r="H8556" s="1">
        <v>1998.0</v>
      </c>
      <c r="I8556" s="1" t="s">
        <v>32</v>
      </c>
      <c r="J8556" s="1" t="s">
        <v>33</v>
      </c>
      <c r="K8556" s="1" t="s">
        <v>10251</v>
      </c>
      <c r="L8556" s="1" t="s">
        <v>40840</v>
      </c>
      <c r="M8556" s="2" t="s">
        <v>12</v>
      </c>
      <c r="N8556" s="4">
        <f t="shared" si="1"/>
        <v>42802</v>
      </c>
      <c r="O8556" s="5" t="str">
        <f>IFERROR(__xludf.DUMMYFUNCTION("IF(REGEXMATCH(TRIM(I8556), ""^\d+\s*min""), ""Unclassified"", IF(I8556 = """", ""NR"", I8556))"),"PG-13")</f>
        <v>PG-13</v>
      </c>
      <c r="R8556" s="5" t="str">
        <f t="shared" si="2"/>
        <v>The Waterboy</v>
      </c>
      <c r="S8556" s="5" t="str">
        <f>IFERROR(__xludf.DUMMYFUNCTION("""COMPUTED_VALUE"""),"Wheel Of Fortune")</f>
        <v>Wheel Of Fortune</v>
      </c>
      <c r="V8556" s="5"/>
      <c r="Y8556" s="5" t="str">
        <f>IFERROR(__xludf.DUMMYFUNCTION("REGEXEXTRACT(J8556, ""^\d+"")"),"90")</f>
        <v>90</v>
      </c>
      <c r="Z8556" s="5" t="str">
        <f>IFERROR(__xludf.DUMMYFUNCTION("REGEXEXTRACT(J8556, ""[A-Za-z ]+$"")")," min")</f>
        <v> min</v>
      </c>
      <c r="AA8556" s="5" t="str">
        <f>IFERROR(__xludf.DUMMYFUNCTION("IF(REGEXMATCH(Z8556, ""Season""), ""TV Show"", ""Movie"")"),"Movie")</f>
        <v>Movie</v>
      </c>
    </row>
    <row r="8557">
      <c r="A8557" s="1" t="s">
        <v>40841</v>
      </c>
      <c r="B8557" s="1" t="s">
        <v>27</v>
      </c>
      <c r="C8557" s="1" t="s">
        <v>40842</v>
      </c>
      <c r="D8557" s="1" t="s">
        <v>4598</v>
      </c>
      <c r="E8557" s="1" t="s">
        <v>40843</v>
      </c>
      <c r="F8557" s="1" t="s">
        <v>4287</v>
      </c>
      <c r="G8557" s="1" t="s">
        <v>21528</v>
      </c>
      <c r="H8557" s="1">
        <v>2006.0</v>
      </c>
      <c r="I8557" s="1" t="s">
        <v>136</v>
      </c>
      <c r="J8557" s="1" t="s">
        <v>1091</v>
      </c>
      <c r="K8557" s="1" t="s">
        <v>1441</v>
      </c>
      <c r="L8557" s="1" t="s">
        <v>40844</v>
      </c>
      <c r="M8557" s="2" t="s">
        <v>12</v>
      </c>
      <c r="N8557" s="4">
        <f t="shared" si="1"/>
        <v>43545</v>
      </c>
      <c r="O8557" s="5" t="str">
        <f>IFERROR(__xludf.DUMMYFUNCTION("IF(REGEXMATCH(TRIM(I8557), ""^\d+\s*min""), ""Unclassified"", IF(I8557 = """", ""NR"", I8557))"),"TV-PG")</f>
        <v>TV-PG</v>
      </c>
      <c r="R8557" s="5" t="str">
        <f t="shared" si="2"/>
        <v>The Wedding Curse</v>
      </c>
      <c r="S8557" s="5" t="str">
        <f>IFERROR(__xludf.DUMMYFUNCTION("""COMPUTED_VALUE"""),"Wheelman")</f>
        <v>Wheelman</v>
      </c>
      <c r="V8557" s="5"/>
      <c r="Y8557" s="5" t="str">
        <f>IFERROR(__xludf.DUMMYFUNCTION("REGEXEXTRACT(J8557, ""^\d+"")"),"101")</f>
        <v>101</v>
      </c>
      <c r="Z8557" s="5" t="str">
        <f>IFERROR(__xludf.DUMMYFUNCTION("REGEXEXTRACT(J8557, ""[A-Za-z ]+$"")")," min")</f>
        <v> min</v>
      </c>
      <c r="AA8557" s="5" t="str">
        <f>IFERROR(__xludf.DUMMYFUNCTION("IF(REGEXMATCH(Z8557, ""Season""), ""TV Show"", ""Movie"")"),"Movie")</f>
        <v>Movie</v>
      </c>
    </row>
    <row r="8558">
      <c r="A8558" s="1" t="s">
        <v>40845</v>
      </c>
      <c r="B8558" s="1" t="s">
        <v>27</v>
      </c>
      <c r="C8558" s="1" t="s">
        <v>40846</v>
      </c>
      <c r="D8558" s="1" t="s">
        <v>12095</v>
      </c>
      <c r="E8558" s="1" t="s">
        <v>40847</v>
      </c>
      <c r="F8558" s="1" t="s">
        <v>400</v>
      </c>
      <c r="G8558" s="1" t="s">
        <v>19166</v>
      </c>
      <c r="H8558" s="1">
        <v>2017.0</v>
      </c>
      <c r="I8558" s="1" t="s">
        <v>97</v>
      </c>
      <c r="J8558" s="1" t="s">
        <v>357</v>
      </c>
      <c r="K8558" s="1" t="s">
        <v>215</v>
      </c>
      <c r="L8558" s="1" t="s">
        <v>40848</v>
      </c>
      <c r="M8558" s="2" t="s">
        <v>12</v>
      </c>
      <c r="N8558" s="4">
        <f t="shared" si="1"/>
        <v>43729</v>
      </c>
      <c r="O8558" s="5" t="str">
        <f>IFERROR(__xludf.DUMMYFUNCTION("IF(REGEXMATCH(TRIM(I8558), ""^\d+\s*min""), ""Unclassified"", IF(I8558 = """", ""NR"", I8558))"),"TV-14")</f>
        <v>TV-14</v>
      </c>
      <c r="R8558" s="5" t="str">
        <f t="shared" si="2"/>
        <v>The Wedding Party 2: Destination Dubai</v>
      </c>
      <c r="S8558" s="5" t="str">
        <f>IFERROR(__xludf.DUMMYFUNCTION("""COMPUTED_VALUE"""),"Wheels Of Fortune")</f>
        <v>Wheels Of Fortune</v>
      </c>
      <c r="V8558" s="5"/>
      <c r="Y8558" s="5" t="str">
        <f>IFERROR(__xludf.DUMMYFUNCTION("REGEXEXTRACT(J8558, ""^\d+"")"),"98")</f>
        <v>98</v>
      </c>
      <c r="Z8558" s="5" t="str">
        <f>IFERROR(__xludf.DUMMYFUNCTION("REGEXEXTRACT(J8558, ""[A-Za-z ]+$"")")," min")</f>
        <v> min</v>
      </c>
      <c r="AA8558" s="5" t="str">
        <f>IFERROR(__xludf.DUMMYFUNCTION("IF(REGEXMATCH(Z8558, ""Season""), ""TV Show"", ""Movie"")"),"Movie")</f>
        <v>Movie</v>
      </c>
    </row>
    <row r="8559">
      <c r="A8559" s="1" t="s">
        <v>40849</v>
      </c>
      <c r="B8559" s="1" t="s">
        <v>37</v>
      </c>
      <c r="C8559" s="1" t="s">
        <v>40850</v>
      </c>
      <c r="E8559" s="1" t="s">
        <v>40851</v>
      </c>
      <c r="F8559" s="1" t="s">
        <v>30</v>
      </c>
      <c r="G8559" s="1" t="s">
        <v>40852</v>
      </c>
      <c r="H8559" s="1">
        <v>2005.0</v>
      </c>
      <c r="I8559" s="1" t="s">
        <v>97</v>
      </c>
      <c r="J8559" s="1" t="s">
        <v>1809</v>
      </c>
      <c r="K8559" s="1" t="s">
        <v>2709</v>
      </c>
      <c r="L8559" s="1" t="s">
        <v>40853</v>
      </c>
      <c r="M8559" s="2" t="s">
        <v>12</v>
      </c>
      <c r="N8559" s="1" t="str">
        <f t="shared" si="1"/>
        <v>#N/A</v>
      </c>
      <c r="O8559" s="5" t="str">
        <f>IFERROR(__xludf.DUMMYFUNCTION("IF(REGEXMATCH(TRIM(I8559), ""^\d+\s*min""), ""Unclassified"", IF(I8559 = """", ""NR"", I8559))"),"TV-14")</f>
        <v>TV-14</v>
      </c>
      <c r="R8559" s="5" t="str">
        <f t="shared" si="2"/>
        <v>The West Wing</v>
      </c>
      <c r="S8559" s="5" t="str">
        <f>IFERROR(__xludf.DUMMYFUNCTION("""COMPUTED_VALUE"""),"When Angels Sleep")</f>
        <v>When Angels Sleep</v>
      </c>
      <c r="V8559" s="5"/>
      <c r="Y8559" s="5" t="str">
        <f>IFERROR(__xludf.DUMMYFUNCTION("REGEXEXTRACT(J8559, ""^\d+"")"),"7")</f>
        <v>7</v>
      </c>
      <c r="Z8559" s="5" t="str">
        <f>IFERROR(__xludf.DUMMYFUNCTION("REGEXEXTRACT(J8559, ""[A-Za-z ]+$"")")," Seasons")</f>
        <v> Seasons</v>
      </c>
      <c r="AA8559" s="5" t="str">
        <f>IFERROR(__xludf.DUMMYFUNCTION("IF(REGEXMATCH(Z8559, ""Season""), ""TV Show"", ""Movie"")"),"TV Show")</f>
        <v>TV Show</v>
      </c>
    </row>
    <row r="8560">
      <c r="A8560" s="1" t="s">
        <v>40854</v>
      </c>
      <c r="B8560" s="1" t="s">
        <v>27</v>
      </c>
      <c r="C8560" s="1" t="s">
        <v>40855</v>
      </c>
      <c r="D8560" s="1" t="s">
        <v>19434</v>
      </c>
      <c r="E8560" s="1" t="s">
        <v>40856</v>
      </c>
      <c r="F8560" s="1" t="s">
        <v>1319</v>
      </c>
      <c r="G8560" s="1" t="s">
        <v>40857</v>
      </c>
      <c r="H8560" s="1">
        <v>2015.0</v>
      </c>
      <c r="I8560" s="1" t="s">
        <v>378</v>
      </c>
      <c r="J8560" s="1" t="s">
        <v>665</v>
      </c>
      <c r="K8560" s="1" t="s">
        <v>7235</v>
      </c>
      <c r="L8560" s="1" t="s">
        <v>40858</v>
      </c>
      <c r="M8560" s="2" t="s">
        <v>12</v>
      </c>
      <c r="N8560" s="4">
        <f t="shared" si="1"/>
        <v>43360</v>
      </c>
      <c r="O8560" s="5" t="str">
        <f>IFERROR(__xludf.DUMMYFUNCTION("IF(REGEXMATCH(TRIM(I8560), ""^\d+\s*min""), ""Unclassified"", IF(I8560 = """", ""NR"", I8560))"),"R")</f>
        <v>R</v>
      </c>
      <c r="R8560" s="5" t="str">
        <f t="shared" si="2"/>
        <v>The Witch</v>
      </c>
      <c r="S8560" s="5" t="str">
        <f>IFERROR(__xludf.DUMMYFUNCTION("""COMPUTED_VALUE"""),"When Calls The Heart")</f>
        <v>When Calls The Heart</v>
      </c>
      <c r="V8560" s="5"/>
      <c r="Y8560" s="5" t="str">
        <f>IFERROR(__xludf.DUMMYFUNCTION("REGEXEXTRACT(J8560, ""^\d+"")"),"92")</f>
        <v>92</v>
      </c>
      <c r="Z8560" s="5" t="str">
        <f>IFERROR(__xludf.DUMMYFUNCTION("REGEXEXTRACT(J8560, ""[A-Za-z ]+$"")")," min")</f>
        <v> min</v>
      </c>
      <c r="AA8560" s="5" t="str">
        <f>IFERROR(__xludf.DUMMYFUNCTION("IF(REGEXMATCH(Z8560, ""Season""), ""TV Show"", ""Movie"")"),"Movie")</f>
        <v>Movie</v>
      </c>
    </row>
    <row r="8561">
      <c r="A8561" s="1" t="s">
        <v>40859</v>
      </c>
      <c r="B8561" s="1" t="s">
        <v>27</v>
      </c>
      <c r="C8561" s="1" t="s">
        <v>40860</v>
      </c>
      <c r="D8561" s="1" t="s">
        <v>13285</v>
      </c>
      <c r="E8561" s="1" t="s">
        <v>40861</v>
      </c>
      <c r="F8561" s="1" t="s">
        <v>30</v>
      </c>
      <c r="G8561" s="1" t="s">
        <v>22239</v>
      </c>
      <c r="H8561" s="1">
        <v>2018.0</v>
      </c>
      <c r="I8561" s="1" t="s">
        <v>97</v>
      </c>
      <c r="J8561" s="1" t="s">
        <v>428</v>
      </c>
      <c r="K8561" s="1" t="s">
        <v>3768</v>
      </c>
      <c r="L8561" s="1" t="s">
        <v>40862</v>
      </c>
      <c r="M8561" s="2" t="s">
        <v>12</v>
      </c>
      <c r="N8561" s="4">
        <f t="shared" si="1"/>
        <v>43497</v>
      </c>
      <c r="O8561" s="5" t="str">
        <f>IFERROR(__xludf.DUMMYFUNCTION("IF(REGEXMATCH(TRIM(I8561), ""^\d+\s*min""), ""Unclassified"", IF(I8561 = """", ""NR"", I8561))"),"TV-14")</f>
        <v>TV-14</v>
      </c>
      <c r="R8561" s="5" t="str">
        <f t="shared" si="2"/>
        <v>The Witch Files</v>
      </c>
      <c r="S8561" s="5" t="str">
        <f>IFERROR(__xludf.DUMMYFUNCTION("""COMPUTED_VALUE"""),"When Hari Got Married")</f>
        <v>When Hari Got Married</v>
      </c>
      <c r="V8561" s="5"/>
      <c r="Y8561" s="5" t="str">
        <f>IFERROR(__xludf.DUMMYFUNCTION("REGEXEXTRACT(J8561, ""^\d+"")"),"88")</f>
        <v>88</v>
      </c>
      <c r="Z8561" s="5" t="str">
        <f>IFERROR(__xludf.DUMMYFUNCTION("REGEXEXTRACT(J8561, ""[A-Za-z ]+$"")")," min")</f>
        <v> min</v>
      </c>
      <c r="AA8561" s="5" t="str">
        <f>IFERROR(__xludf.DUMMYFUNCTION("IF(REGEXMATCH(Z8561, ""Season""), ""TV Show"", ""Movie"")"),"Movie")</f>
        <v>Movie</v>
      </c>
    </row>
    <row r="8562">
      <c r="A8562" s="1" t="s">
        <v>40863</v>
      </c>
      <c r="B8562" s="1" t="s">
        <v>37</v>
      </c>
      <c r="C8562" s="1" t="s">
        <v>40864</v>
      </c>
      <c r="E8562" s="1" t="s">
        <v>40865</v>
      </c>
      <c r="F8562" s="1" t="s">
        <v>3892</v>
      </c>
      <c r="G8562" s="1" t="s">
        <v>29495</v>
      </c>
      <c r="H8562" s="1">
        <v>2010.0</v>
      </c>
      <c r="I8562" s="1" t="s">
        <v>42</v>
      </c>
      <c r="J8562" s="1" t="s">
        <v>51</v>
      </c>
      <c r="K8562" s="1" t="s">
        <v>64</v>
      </c>
      <c r="L8562" s="1" t="s">
        <v>40866</v>
      </c>
      <c r="M8562" s="2" t="s">
        <v>12</v>
      </c>
      <c r="N8562" s="4">
        <f t="shared" si="1"/>
        <v>42614</v>
      </c>
      <c r="O8562" s="5" t="str">
        <f>IFERROR(__xludf.DUMMYFUNCTION("IF(REGEXMATCH(TRIM(I8562), ""^\d+\s*min""), ""Unclassified"", IF(I8562 = """", ""NR"", I8562))"),"TV-MA")</f>
        <v>TV-MA</v>
      </c>
      <c r="R8562" s="5" t="str">
        <f t="shared" si="2"/>
        <v>The Womanizer</v>
      </c>
      <c r="S8562" s="5" t="str">
        <f>IFERROR(__xludf.DUMMYFUNCTION("""COMPUTED_VALUE"""),"When Heroes Fly")</f>
        <v>When Heroes Fly</v>
      </c>
      <c r="V8562" s="5"/>
      <c r="Y8562" s="5" t="str">
        <f>IFERROR(__xludf.DUMMYFUNCTION("REGEXEXTRACT(J8562, ""^\d+"")"),"1")</f>
        <v>1</v>
      </c>
      <c r="Z8562" s="5" t="str">
        <f>IFERROR(__xludf.DUMMYFUNCTION("REGEXEXTRACT(J8562, ""[A-Za-z ]+$"")")," Season")</f>
        <v> Season</v>
      </c>
      <c r="AA8562" s="5" t="str">
        <f>IFERROR(__xludf.DUMMYFUNCTION("IF(REGEXMATCH(Z8562, ""Season""), ""TV Show"", ""Movie"")"),"TV Show")</f>
        <v>TV Show</v>
      </c>
    </row>
    <row r="8563">
      <c r="A8563" s="1" t="s">
        <v>40867</v>
      </c>
      <c r="B8563" s="1" t="s">
        <v>27</v>
      </c>
      <c r="C8563" s="1" t="s">
        <v>40868</v>
      </c>
      <c r="D8563" s="1" t="s">
        <v>16696</v>
      </c>
      <c r="F8563" s="1" t="s">
        <v>96</v>
      </c>
      <c r="G8563" s="1" t="s">
        <v>27569</v>
      </c>
      <c r="H8563" s="1">
        <v>2016.0</v>
      </c>
      <c r="I8563" s="1" t="s">
        <v>42</v>
      </c>
      <c r="J8563" s="1" t="s">
        <v>5207</v>
      </c>
      <c r="K8563" s="1" t="s">
        <v>156</v>
      </c>
      <c r="L8563" s="1" t="s">
        <v>40869</v>
      </c>
      <c r="M8563" s="2" t="s">
        <v>12</v>
      </c>
      <c r="N8563" s="4">
        <f t="shared" si="1"/>
        <v>42948</v>
      </c>
      <c r="O8563" s="5" t="str">
        <f>IFERROR(__xludf.DUMMYFUNCTION("IF(REGEXMATCH(TRIM(I8563), ""^\d+\s*min""), ""Unclassified"", IF(I8563 = """", ""NR"", I8563))"),"TV-MA")</f>
        <v>TV-MA</v>
      </c>
      <c r="R8563" s="5" t="str">
        <f t="shared" si="2"/>
        <v>The Women Who Kill Lions</v>
      </c>
      <c r="S8563" s="5" t="str">
        <f>IFERROR(__xludf.DUMMYFUNCTION("""COMPUTED_VALUE"""),"When I See You Again")</f>
        <v>When I See You Again</v>
      </c>
      <c r="V8563" s="5"/>
      <c r="Y8563" s="5" t="str">
        <f>IFERROR(__xludf.DUMMYFUNCTION("REGEXEXTRACT(J8563, ""^\d+"")"),"47")</f>
        <v>47</v>
      </c>
      <c r="Z8563" s="5" t="str">
        <f>IFERROR(__xludf.DUMMYFUNCTION("REGEXEXTRACT(J8563, ""[A-Za-z ]+$"")")," min")</f>
        <v> min</v>
      </c>
      <c r="AA8563" s="5" t="str">
        <f>IFERROR(__xludf.DUMMYFUNCTION("IF(REGEXMATCH(Z8563, ""Season""), ""TV Show"", ""Movie"")"),"Movie")</f>
        <v>Movie</v>
      </c>
    </row>
    <row r="8564">
      <c r="A8564" s="1" t="s">
        <v>40870</v>
      </c>
      <c r="B8564" s="1" t="s">
        <v>27</v>
      </c>
      <c r="C8564" s="1" t="s">
        <v>40871</v>
      </c>
      <c r="D8564" s="1" t="s">
        <v>7046</v>
      </c>
      <c r="E8564" s="1" t="s">
        <v>40872</v>
      </c>
      <c r="F8564" s="1" t="s">
        <v>3333</v>
      </c>
      <c r="G8564" s="1" t="s">
        <v>26581</v>
      </c>
      <c r="H8564" s="1">
        <v>2016.0</v>
      </c>
      <c r="I8564" s="1" t="s">
        <v>136</v>
      </c>
      <c r="J8564" s="1" t="s">
        <v>433</v>
      </c>
      <c r="K8564" s="1" t="s">
        <v>26321</v>
      </c>
      <c r="L8564" s="1" t="s">
        <v>40873</v>
      </c>
      <c r="M8564" s="2" t="s">
        <v>12</v>
      </c>
      <c r="N8564" s="4">
        <f t="shared" si="1"/>
        <v>43088</v>
      </c>
      <c r="O8564" s="5" t="str">
        <f>IFERROR(__xludf.DUMMYFUNCTION("IF(REGEXMATCH(TRIM(I8564), ""^\d+\s*min""), ""Unclassified"", IF(I8564 = """", ""NR"", I8564))"),"TV-PG")</f>
        <v>TV-PG</v>
      </c>
      <c r="R8564" s="5" t="str">
        <f t="shared" si="2"/>
        <v>The Women'S Balcony</v>
      </c>
      <c r="S8564" s="5" t="str">
        <f>IFERROR(__xludf.DUMMYFUNCTION("""COMPUTED_VALUE"""),"When Love Happens")</f>
        <v>When Love Happens</v>
      </c>
      <c r="V8564" s="5"/>
      <c r="Y8564" s="5" t="str">
        <f>IFERROR(__xludf.DUMMYFUNCTION("REGEXEXTRACT(J8564, ""^\d+"")"),"100")</f>
        <v>100</v>
      </c>
      <c r="Z8564" s="5" t="str">
        <f>IFERROR(__xludf.DUMMYFUNCTION("REGEXEXTRACT(J8564, ""[A-Za-z ]+$"")")," min")</f>
        <v> min</v>
      </c>
      <c r="AA8564" s="5" t="str">
        <f>IFERROR(__xludf.DUMMYFUNCTION("IF(REGEXMATCH(Z8564, ""Season""), ""TV Show"", ""Movie"")"),"Movie")</f>
        <v>Movie</v>
      </c>
    </row>
    <row r="8565">
      <c r="A8565" s="1" t="s">
        <v>40874</v>
      </c>
      <c r="B8565" s="1" t="s">
        <v>27</v>
      </c>
      <c r="C8565" s="1" t="s">
        <v>40875</v>
      </c>
      <c r="D8565" s="1" t="s">
        <v>13458</v>
      </c>
      <c r="E8565" s="1" t="s">
        <v>40876</v>
      </c>
      <c r="F8565" s="1" t="s">
        <v>664</v>
      </c>
      <c r="G8565" s="1" t="s">
        <v>23468</v>
      </c>
      <c r="H8565" s="1">
        <v>2017.0</v>
      </c>
      <c r="I8565" s="1" t="s">
        <v>42</v>
      </c>
      <c r="J8565" s="1" t="s">
        <v>835</v>
      </c>
      <c r="K8565" s="1" t="s">
        <v>128</v>
      </c>
      <c r="L8565" s="1" t="s">
        <v>40877</v>
      </c>
      <c r="M8565" s="2" t="s">
        <v>12</v>
      </c>
      <c r="N8565" s="4">
        <f t="shared" si="1"/>
        <v>43414</v>
      </c>
      <c r="O8565" s="5" t="str">
        <f>IFERROR(__xludf.DUMMYFUNCTION("IF(REGEXMATCH(TRIM(I8565), ""^\d+\s*min""), ""Unclassified"", IF(I8565 = """", ""NR"", I8565))"),"TV-MA")</f>
        <v>TV-MA</v>
      </c>
      <c r="R8565" s="5" t="str">
        <f t="shared" si="2"/>
        <v>The Workshop</v>
      </c>
      <c r="S8565" s="5" t="str">
        <f>IFERROR(__xludf.DUMMYFUNCTION("""COMPUTED_VALUE"""),"When The Camellia Blooms")</f>
        <v>When The Camellia Blooms</v>
      </c>
      <c r="V8565" s="5"/>
      <c r="Y8565" s="5" t="str">
        <f>IFERROR(__xludf.DUMMYFUNCTION("REGEXEXTRACT(J8565, ""^\d+"")"),"114")</f>
        <v>114</v>
      </c>
      <c r="Z8565" s="5" t="str">
        <f>IFERROR(__xludf.DUMMYFUNCTION("REGEXEXTRACT(J8565, ""[A-Za-z ]+$"")")," min")</f>
        <v> min</v>
      </c>
      <c r="AA8565" s="5" t="str">
        <f>IFERROR(__xludf.DUMMYFUNCTION("IF(REGEXMATCH(Z8565, ""Season""), ""TV Show"", ""Movie"")"),"Movie")</f>
        <v>Movie</v>
      </c>
    </row>
    <row r="8566">
      <c r="A8566" s="1" t="s">
        <v>40878</v>
      </c>
      <c r="B8566" s="1" t="s">
        <v>27</v>
      </c>
      <c r="C8566" s="1" t="s">
        <v>40879</v>
      </c>
      <c r="D8566" s="1" t="s">
        <v>15532</v>
      </c>
      <c r="E8566" s="1" t="s">
        <v>40880</v>
      </c>
      <c r="F8566" s="1" t="s">
        <v>686</v>
      </c>
      <c r="G8566" s="1" t="s">
        <v>17078</v>
      </c>
      <c r="H8566" s="1">
        <v>1999.0</v>
      </c>
      <c r="I8566" s="1" t="s">
        <v>32</v>
      </c>
      <c r="J8566" s="1" t="s">
        <v>757</v>
      </c>
      <c r="K8566" s="1" t="s">
        <v>380</v>
      </c>
      <c r="L8566" s="1" t="s">
        <v>40881</v>
      </c>
      <c r="M8566" s="2" t="s">
        <v>12</v>
      </c>
      <c r="N8566" s="4">
        <f t="shared" si="1"/>
        <v>43830</v>
      </c>
      <c r="O8566" s="5" t="str">
        <f>IFERROR(__xludf.DUMMYFUNCTION("IF(REGEXMATCH(TRIM(I8566), ""^\d+\s*min""), ""Unclassified"", IF(I8566 = """", ""NR"", I8566))"),"PG-13")</f>
        <v>PG-13</v>
      </c>
      <c r="R8566" s="5" t="str">
        <f t="shared" si="2"/>
        <v>The World Is Not Enough</v>
      </c>
      <c r="S8566" s="5" t="str">
        <f>IFERROR(__xludf.DUMMYFUNCTION("""COMPUTED_VALUE"""),"When They See Us")</f>
        <v>When They See Us</v>
      </c>
      <c r="V8566" s="5"/>
      <c r="Y8566" s="5" t="str">
        <f>IFERROR(__xludf.DUMMYFUNCTION("REGEXEXTRACT(J8566, ""^\d+"")"),"128")</f>
        <v>128</v>
      </c>
      <c r="Z8566" s="5" t="str">
        <f>IFERROR(__xludf.DUMMYFUNCTION("REGEXEXTRACT(J8566, ""[A-Za-z ]+$"")")," min")</f>
        <v> min</v>
      </c>
      <c r="AA8566" s="5" t="str">
        <f>IFERROR(__xludf.DUMMYFUNCTION("IF(REGEXMATCH(Z8566, ""Season""), ""TV Show"", ""Movie"")"),"Movie")</f>
        <v>Movie</v>
      </c>
    </row>
    <row r="8567">
      <c r="A8567" s="1" t="s">
        <v>40882</v>
      </c>
      <c r="B8567" s="1" t="s">
        <v>27</v>
      </c>
      <c r="C8567" s="1" t="s">
        <v>40883</v>
      </c>
      <c r="D8567" s="1" t="s">
        <v>23228</v>
      </c>
      <c r="E8567" s="1" t="s">
        <v>40884</v>
      </c>
      <c r="F8567" s="1" t="s">
        <v>96</v>
      </c>
      <c r="G8567" s="1" t="s">
        <v>21360</v>
      </c>
      <c r="H8567" s="1">
        <v>2018.0</v>
      </c>
      <c r="I8567" s="1" t="s">
        <v>136</v>
      </c>
      <c r="J8567" s="1" t="s">
        <v>8606</v>
      </c>
      <c r="K8567" s="1" t="s">
        <v>34</v>
      </c>
      <c r="L8567" s="1" t="s">
        <v>40885</v>
      </c>
      <c r="M8567" s="2" t="s">
        <v>12</v>
      </c>
      <c r="N8567" s="4">
        <f t="shared" si="1"/>
        <v>43556</v>
      </c>
      <c r="O8567" s="5" t="str">
        <f>IFERROR(__xludf.DUMMYFUNCTION("IF(REGEXMATCH(TRIM(I8567), ""^\d+\s*min""), ""Unclassified"", IF(I8567 = """", ""NR"", I8567))"),"TV-PG")</f>
        <v>TV-PG</v>
      </c>
      <c r="R8567" s="5" t="str">
        <f t="shared" si="2"/>
        <v>The World'S Most Wanted Animal</v>
      </c>
      <c r="S8567" s="5" t="str">
        <f>IFERROR(__xludf.DUMMYFUNCTION("""COMPUTED_VALUE"""),"When Two Worlds Collide")</f>
        <v>When Two Worlds Collide</v>
      </c>
      <c r="V8567" s="5"/>
      <c r="Y8567" s="5" t="str">
        <f>IFERROR(__xludf.DUMMYFUNCTION("REGEXEXTRACT(J8567, ""^\d+"")"),"53")</f>
        <v>53</v>
      </c>
      <c r="Z8567" s="5" t="str">
        <f>IFERROR(__xludf.DUMMYFUNCTION("REGEXEXTRACT(J8567, ""[A-Za-z ]+$"")")," min")</f>
        <v> min</v>
      </c>
      <c r="AA8567" s="5" t="str">
        <f>IFERROR(__xludf.DUMMYFUNCTION("IF(REGEXMATCH(Z8567, ""Season""), ""TV Show"", ""Movie"")"),"Movie")</f>
        <v>Movie</v>
      </c>
    </row>
    <row r="8568">
      <c r="A8568" s="1" t="s">
        <v>40886</v>
      </c>
      <c r="B8568" s="1" t="s">
        <v>27</v>
      </c>
      <c r="C8568" s="1" t="s">
        <v>40887</v>
      </c>
      <c r="D8568" s="1" t="s">
        <v>8353</v>
      </c>
      <c r="E8568" s="1" t="s">
        <v>40888</v>
      </c>
      <c r="F8568" s="1" t="s">
        <v>1106</v>
      </c>
      <c r="G8568" s="1" t="s">
        <v>20318</v>
      </c>
      <c r="H8568" s="1">
        <v>2017.0</v>
      </c>
      <c r="I8568" s="1" t="s">
        <v>97</v>
      </c>
      <c r="J8568" s="1" t="s">
        <v>1191</v>
      </c>
      <c r="K8568" s="1" t="s">
        <v>171</v>
      </c>
      <c r="L8568" s="1" t="s">
        <v>40889</v>
      </c>
      <c r="M8568" s="2" t="s">
        <v>12</v>
      </c>
      <c r="N8568" s="4">
        <f t="shared" si="1"/>
        <v>43634</v>
      </c>
      <c r="O8568" s="5" t="str">
        <f>IFERROR(__xludf.DUMMYFUNCTION("IF(REGEXMATCH(TRIM(I8568), ""^\d+\s*min""), ""Unclassified"", IF(I8568 = """", ""NR"", I8568))"),"TV-14")</f>
        <v>TV-14</v>
      </c>
      <c r="R8568" s="5" t="str">
        <f t="shared" si="2"/>
        <v>The Wrong Babysitter</v>
      </c>
      <c r="S8568" s="5" t="str">
        <f>IFERROR(__xludf.DUMMYFUNCTION("""COMPUTED_VALUE"""),"When We First Met")</f>
        <v>When We First Met</v>
      </c>
      <c r="V8568" s="5"/>
      <c r="Y8568" s="5" t="str">
        <f>IFERROR(__xludf.DUMMYFUNCTION("REGEXEXTRACT(J8568, ""^\d+"")"),"89")</f>
        <v>89</v>
      </c>
      <c r="Z8568" s="5" t="str">
        <f>IFERROR(__xludf.DUMMYFUNCTION("REGEXEXTRACT(J8568, ""[A-Za-z ]+$"")")," min")</f>
        <v> min</v>
      </c>
      <c r="AA8568" s="5" t="str">
        <f>IFERROR(__xludf.DUMMYFUNCTION("IF(REGEXMATCH(Z8568, ""Season""), ""TV Show"", ""Movie"")"),"Movie")</f>
        <v>Movie</v>
      </c>
    </row>
    <row r="8569">
      <c r="A8569" s="1" t="s">
        <v>40890</v>
      </c>
      <c r="B8569" s="1" t="s">
        <v>37</v>
      </c>
      <c r="C8569" s="1" t="s">
        <v>40891</v>
      </c>
      <c r="E8569" s="1" t="s">
        <v>40892</v>
      </c>
      <c r="F8569" s="1" t="s">
        <v>2059</v>
      </c>
      <c r="G8569" s="1" t="s">
        <v>29495</v>
      </c>
      <c r="H8569" s="1">
        <v>2009.0</v>
      </c>
      <c r="I8569" s="1" t="s">
        <v>136</v>
      </c>
      <c r="J8569" s="1" t="s">
        <v>51</v>
      </c>
      <c r="K8569" s="1" t="s">
        <v>64</v>
      </c>
      <c r="L8569" s="1" t="s">
        <v>40893</v>
      </c>
      <c r="M8569" s="2" t="s">
        <v>12</v>
      </c>
      <c r="N8569" s="4">
        <f t="shared" si="1"/>
        <v>42614</v>
      </c>
      <c r="O8569" s="5" t="str">
        <f>IFERROR(__xludf.DUMMYFUNCTION("IF(REGEXMATCH(TRIM(I8569), ""^\d+\s*min""), ""Unclassified"", IF(I8569 = """", ""NR"", I8569))"),"TV-PG")</f>
        <v>TV-PG</v>
      </c>
      <c r="R8569" s="5" t="str">
        <f t="shared" si="2"/>
        <v>The Year Of Happiness And Love</v>
      </c>
      <c r="S8569" s="5" t="str">
        <f>IFERROR(__xludf.DUMMYFUNCTION("""COMPUTED_VALUE"""),"Where The Money Is")</f>
        <v>Where The Money Is</v>
      </c>
      <c r="V8569" s="5"/>
      <c r="Y8569" s="5" t="str">
        <f>IFERROR(__xludf.DUMMYFUNCTION("REGEXEXTRACT(J8569, ""^\d+"")"),"1")</f>
        <v>1</v>
      </c>
      <c r="Z8569" s="5" t="str">
        <f>IFERROR(__xludf.DUMMYFUNCTION("REGEXEXTRACT(J8569, ""[A-Za-z ]+$"")")," Season")</f>
        <v> Season</v>
      </c>
      <c r="AA8569" s="5" t="str">
        <f>IFERROR(__xludf.DUMMYFUNCTION("IF(REGEXMATCH(Z8569, ""Season""), ""TV Show"", ""Movie"")"),"TV Show")</f>
        <v>TV Show</v>
      </c>
    </row>
    <row r="8570">
      <c r="A8570" s="1" t="s">
        <v>40894</v>
      </c>
      <c r="B8570" s="1" t="s">
        <v>27</v>
      </c>
      <c r="C8570" s="1" t="s">
        <v>40895</v>
      </c>
      <c r="D8570" s="1" t="s">
        <v>17969</v>
      </c>
      <c r="E8570" s="1" t="s">
        <v>40896</v>
      </c>
      <c r="F8570" s="1" t="s">
        <v>1453</v>
      </c>
      <c r="G8570" s="1" t="s">
        <v>37488</v>
      </c>
      <c r="H8570" s="1">
        <v>2016.0</v>
      </c>
      <c r="I8570" s="1" t="s">
        <v>42</v>
      </c>
      <c r="J8570" s="1" t="s">
        <v>490</v>
      </c>
      <c r="K8570" s="1" t="s">
        <v>199</v>
      </c>
      <c r="L8570" s="1" t="s">
        <v>40897</v>
      </c>
      <c r="M8570" s="2" t="s">
        <v>12</v>
      </c>
      <c r="N8570" s="4">
        <f t="shared" si="1"/>
        <v>42803</v>
      </c>
      <c r="O8570" s="5" t="str">
        <f>IFERROR(__xludf.DUMMYFUNCTION("IF(REGEXMATCH(TRIM(I8570), ""^\d+\s*min""), ""Unclassified"", IF(I8570 = """", ""NR"", I8570))"),"TV-MA")</f>
        <v>TV-MA</v>
      </c>
      <c r="R8570" s="5" t="str">
        <f t="shared" si="2"/>
        <v>The Young Offenders</v>
      </c>
      <c r="S8570" s="5" t="str">
        <f>IFERROR(__xludf.DUMMYFUNCTION("""COMPUTED_VALUE"""),"Where'S The Money")</f>
        <v>Where'S The Money</v>
      </c>
      <c r="V8570" s="5"/>
      <c r="Y8570" s="5" t="str">
        <f>IFERROR(__xludf.DUMMYFUNCTION("REGEXEXTRACT(J8570, ""^\d+"")"),"83")</f>
        <v>83</v>
      </c>
      <c r="Z8570" s="5" t="str">
        <f>IFERROR(__xludf.DUMMYFUNCTION("REGEXEXTRACT(J8570, ""[A-Za-z ]+$"")")," min")</f>
        <v> min</v>
      </c>
      <c r="AA8570" s="5" t="str">
        <f>IFERROR(__xludf.DUMMYFUNCTION("IF(REGEXMATCH(Z8570, ""Season""), ""TV Show"", ""Movie"")"),"Movie")</f>
        <v>Movie</v>
      </c>
    </row>
    <row r="8571">
      <c r="A8571" s="1" t="s">
        <v>40898</v>
      </c>
      <c r="B8571" s="1" t="s">
        <v>27</v>
      </c>
      <c r="C8571" s="1" t="s">
        <v>40899</v>
      </c>
      <c r="D8571" s="1" t="s">
        <v>22087</v>
      </c>
      <c r="E8571" s="1" t="s">
        <v>40900</v>
      </c>
      <c r="F8571" s="1" t="s">
        <v>1119</v>
      </c>
      <c r="G8571" s="1" t="s">
        <v>24803</v>
      </c>
      <c r="H8571" s="1">
        <v>1985.0</v>
      </c>
      <c r="I8571" s="1" t="s">
        <v>97</v>
      </c>
      <c r="J8571" s="1" t="s">
        <v>471</v>
      </c>
      <c r="K8571" s="1" t="s">
        <v>1328</v>
      </c>
      <c r="L8571" s="1" t="s">
        <v>40901</v>
      </c>
      <c r="M8571" s="2" t="s">
        <v>12</v>
      </c>
      <c r="N8571" s="4">
        <f t="shared" si="1"/>
        <v>43328</v>
      </c>
      <c r="O8571" s="5" t="str">
        <f>IFERROR(__xludf.DUMMYFUNCTION("IF(REGEXMATCH(TRIM(I8571), ""^\d+\s*min""), ""Unclassified"", IF(I8571 = """", ""NR"", I8571))"),"TV-14")</f>
        <v>TV-14</v>
      </c>
      <c r="R8571" s="5" t="str">
        <f t="shared" si="2"/>
        <v>The Young Vagabond</v>
      </c>
      <c r="S8571" s="5" t="str">
        <f>IFERROR(__xludf.DUMMYFUNCTION("""COMPUTED_VALUE"""),"While We'Re Young")</f>
        <v>While We'Re Young</v>
      </c>
      <c r="V8571" s="5"/>
      <c r="Y8571" s="5" t="str">
        <f>IFERROR(__xludf.DUMMYFUNCTION("REGEXEXTRACT(J8571, ""^\d+"")"),"85")</f>
        <v>85</v>
      </c>
      <c r="Z8571" s="5" t="str">
        <f>IFERROR(__xludf.DUMMYFUNCTION("REGEXEXTRACT(J8571, ""[A-Za-z ]+$"")")," min")</f>
        <v> min</v>
      </c>
      <c r="AA8571" s="5" t="str">
        <f>IFERROR(__xludf.DUMMYFUNCTION("IF(REGEXMATCH(Z8571, ""Season""), ""TV Show"", ""Movie"")"),"Movie")</f>
        <v>Movie</v>
      </c>
    </row>
    <row r="8572">
      <c r="A8572" s="1" t="s">
        <v>40902</v>
      </c>
      <c r="B8572" s="1" t="s">
        <v>27</v>
      </c>
      <c r="C8572" s="1" t="s">
        <v>40903</v>
      </c>
      <c r="D8572" s="1" t="s">
        <v>18084</v>
      </c>
      <c r="E8572" s="1" t="s">
        <v>40904</v>
      </c>
      <c r="F8572" s="1" t="s">
        <v>1106</v>
      </c>
      <c r="G8572" s="1" t="s">
        <v>27668</v>
      </c>
      <c r="H8572" s="1">
        <v>2016.0</v>
      </c>
      <c r="I8572" s="1" t="s">
        <v>136</v>
      </c>
      <c r="J8572" s="1" t="s">
        <v>170</v>
      </c>
      <c r="K8572" s="1" t="s">
        <v>34</v>
      </c>
      <c r="L8572" s="1" t="s">
        <v>40905</v>
      </c>
      <c r="M8572" s="2" t="s">
        <v>12</v>
      </c>
      <c r="N8572" s="4">
        <f t="shared" si="1"/>
        <v>42934</v>
      </c>
      <c r="O8572" s="5" t="str">
        <f>IFERROR(__xludf.DUMMYFUNCTION("IF(REGEXMATCH(TRIM(I8572), ""^\d+\s*min""), ""Unclassified"", IF(I8572 = """", ""NR"", I8572))"),"TV-PG")</f>
        <v>TV-PG</v>
      </c>
      <c r="R8572" s="5" t="str">
        <f t="shared" si="2"/>
        <v>Theater Of Life</v>
      </c>
      <c r="S8572" s="5" t="str">
        <f>IFERROR(__xludf.DUMMYFUNCTION("""COMPUTED_VALUE"""),"Whindersson Nunes: Adult")</f>
        <v>Whindersson Nunes: Adult</v>
      </c>
      <c r="V8572" s="5"/>
      <c r="Y8572" s="5" t="str">
        <f>IFERROR(__xludf.DUMMYFUNCTION("REGEXEXTRACT(J8572, ""^\d+"")"),"94")</f>
        <v>94</v>
      </c>
      <c r="Z8572" s="5" t="str">
        <f>IFERROR(__xludf.DUMMYFUNCTION("REGEXEXTRACT(J8572, ""[A-Za-z ]+$"")")," min")</f>
        <v> min</v>
      </c>
      <c r="AA8572" s="5" t="str">
        <f>IFERROR(__xludf.DUMMYFUNCTION("IF(REGEXMATCH(Z8572, ""Season""), ""TV Show"", ""Movie"")"),"Movie")</f>
        <v>Movie</v>
      </c>
    </row>
    <row r="8573">
      <c r="A8573" s="1" t="s">
        <v>40906</v>
      </c>
      <c r="B8573" s="1" t="s">
        <v>27</v>
      </c>
      <c r="C8573" s="1" t="s">
        <v>40907</v>
      </c>
      <c r="D8573" s="1" t="s">
        <v>20074</v>
      </c>
      <c r="E8573" s="1" t="s">
        <v>40908</v>
      </c>
      <c r="F8573" s="1" t="s">
        <v>63</v>
      </c>
      <c r="G8573" s="1" t="s">
        <v>25185</v>
      </c>
      <c r="H8573" s="1">
        <v>2017.0</v>
      </c>
      <c r="I8573" s="1" t="s">
        <v>97</v>
      </c>
      <c r="J8573" s="1" t="s">
        <v>106</v>
      </c>
      <c r="K8573" s="1" t="s">
        <v>679</v>
      </c>
      <c r="L8573" s="1" t="s">
        <v>40909</v>
      </c>
      <c r="M8573" s="2" t="s">
        <v>12</v>
      </c>
      <c r="N8573" s="4">
        <f t="shared" si="1"/>
        <v>43282</v>
      </c>
      <c r="O8573" s="5" t="str">
        <f>IFERROR(__xludf.DUMMYFUNCTION("IF(REGEXMATCH(TRIM(I8573), ""^\d+\s*min""), ""Unclassified"", IF(I8573 = """", ""NR"", I8573))"),"TV-14")</f>
        <v>TV-14</v>
      </c>
      <c r="R8573" s="5" t="str">
        <f t="shared" si="2"/>
        <v>Theeram</v>
      </c>
      <c r="S8573" s="5" t="str">
        <f>IFERROR(__xludf.DUMMYFUNCTION("""COMPUTED_VALUE"""),"Whipped")</f>
        <v>Whipped</v>
      </c>
      <c r="V8573" s="5"/>
      <c r="Y8573" s="5" t="str">
        <f>IFERROR(__xludf.DUMMYFUNCTION("REGEXEXTRACT(J8573, ""^\d+"")"),"104")</f>
        <v>104</v>
      </c>
      <c r="Z8573" s="5" t="str">
        <f>IFERROR(__xludf.DUMMYFUNCTION("REGEXEXTRACT(J8573, ""[A-Za-z ]+$"")")," min")</f>
        <v> min</v>
      </c>
      <c r="AA8573" s="5" t="str">
        <f>IFERROR(__xludf.DUMMYFUNCTION("IF(REGEXMATCH(Z8573, ""Season""), ""TV Show"", ""Movie"")"),"Movie")</f>
        <v>Movie</v>
      </c>
    </row>
    <row r="8574">
      <c r="A8574" s="1" t="s">
        <v>40910</v>
      </c>
      <c r="B8574" s="1" t="s">
        <v>27</v>
      </c>
      <c r="C8574" s="1" t="s">
        <v>40911</v>
      </c>
      <c r="D8574" s="1" t="s">
        <v>4492</v>
      </c>
      <c r="E8574" s="1" t="s">
        <v>40912</v>
      </c>
      <c r="F8574" s="1" t="s">
        <v>30</v>
      </c>
      <c r="G8574" s="1" t="s">
        <v>18333</v>
      </c>
      <c r="H8574" s="1">
        <v>1988.0</v>
      </c>
      <c r="I8574" s="1" t="s">
        <v>32</v>
      </c>
      <c r="J8574" s="1" t="s">
        <v>1191</v>
      </c>
      <c r="K8574" s="1" t="s">
        <v>700</v>
      </c>
      <c r="L8574" s="1" t="s">
        <v>40913</v>
      </c>
      <c r="M8574" s="2" t="s">
        <v>12</v>
      </c>
      <c r="N8574" s="4">
        <f t="shared" si="1"/>
        <v>43770</v>
      </c>
      <c r="O8574" s="5" t="str">
        <f>IFERROR(__xludf.DUMMYFUNCTION("IF(REGEXMATCH(TRIM(I8574), ""^\d+\s*min""), ""Unclassified"", IF(I8574 = """", ""NR"", I8574))"),"PG-13")</f>
        <v>PG-13</v>
      </c>
      <c r="R8574" s="5" t="str">
        <f t="shared" si="2"/>
        <v>Thelonious Monk: Straight, No Chaser</v>
      </c>
      <c r="S8574" s="5" t="str">
        <f>IFERROR(__xludf.DUMMYFUNCTION("""COMPUTED_VALUE"""),"Whisky")</f>
        <v>Whisky</v>
      </c>
      <c r="V8574" s="5"/>
      <c r="Y8574" s="5" t="str">
        <f>IFERROR(__xludf.DUMMYFUNCTION("REGEXEXTRACT(J8574, ""^\d+"")"),"89")</f>
        <v>89</v>
      </c>
      <c r="Z8574" s="5" t="str">
        <f>IFERROR(__xludf.DUMMYFUNCTION("REGEXEXTRACT(J8574, ""[A-Za-z ]+$"")")," min")</f>
        <v> min</v>
      </c>
      <c r="AA8574" s="5" t="str">
        <f>IFERROR(__xludf.DUMMYFUNCTION("IF(REGEXMATCH(Z8574, ""Season""), ""TV Show"", ""Movie"")"),"Movie")</f>
        <v>Movie</v>
      </c>
    </row>
    <row r="8575">
      <c r="A8575" s="1" t="s">
        <v>40914</v>
      </c>
      <c r="B8575" s="1" t="s">
        <v>27</v>
      </c>
      <c r="C8575" s="1" t="s">
        <v>40915</v>
      </c>
      <c r="D8575" s="1" t="s">
        <v>6138</v>
      </c>
      <c r="F8575" s="1" t="s">
        <v>30</v>
      </c>
      <c r="G8575" s="1" t="s">
        <v>28901</v>
      </c>
      <c r="H8575" s="1">
        <v>2016.0</v>
      </c>
      <c r="I8575" s="1" t="s">
        <v>97</v>
      </c>
      <c r="J8575" s="1" t="s">
        <v>1144</v>
      </c>
      <c r="K8575" s="1" t="s">
        <v>34</v>
      </c>
      <c r="L8575" s="1" t="s">
        <v>40916</v>
      </c>
      <c r="M8575" s="2" t="s">
        <v>12</v>
      </c>
      <c r="N8575" s="4">
        <f t="shared" si="1"/>
        <v>42720</v>
      </c>
      <c r="O8575" s="5" t="str">
        <f>IFERROR(__xludf.DUMMYFUNCTION("IF(REGEXMATCH(TRIM(I8575), ""^\d+\s*min""), ""Unclassified"", IF(I8575 = """", ""NR"", I8575))"),"TV-14")</f>
        <v>TV-14</v>
      </c>
      <c r="R8575" s="5" t="str">
        <f t="shared" si="2"/>
        <v>Theo Who Lived</v>
      </c>
      <c r="S8575" s="5" t="str">
        <f>IFERROR(__xludf.DUMMYFUNCTION("""COMPUTED_VALUE"""),"Whispers")</f>
        <v>Whispers</v>
      </c>
      <c r="V8575" s="5"/>
      <c r="Y8575" s="5" t="str">
        <f>IFERROR(__xludf.DUMMYFUNCTION("REGEXEXTRACT(J8575, ""^\d+"")"),"86")</f>
        <v>86</v>
      </c>
      <c r="Z8575" s="5" t="str">
        <f>IFERROR(__xludf.DUMMYFUNCTION("REGEXEXTRACT(J8575, ""[A-Za-z ]+$"")")," min")</f>
        <v> min</v>
      </c>
      <c r="AA8575" s="5" t="str">
        <f>IFERROR(__xludf.DUMMYFUNCTION("IF(REGEXMATCH(Z8575, ""Season""), ""TV Show"", ""Movie"")"),"Movie")</f>
        <v>Movie</v>
      </c>
    </row>
    <row r="8576">
      <c r="A8576" s="1" t="s">
        <v>40917</v>
      </c>
      <c r="B8576" s="1" t="s">
        <v>37</v>
      </c>
      <c r="C8576" s="1" t="s">
        <v>40918</v>
      </c>
      <c r="E8576" s="1" t="s">
        <v>40919</v>
      </c>
      <c r="F8576" s="1" t="s">
        <v>2796</v>
      </c>
      <c r="G8576" s="1" t="s">
        <v>21838</v>
      </c>
      <c r="H8576" s="1">
        <v>2014.0</v>
      </c>
      <c r="I8576" s="1" t="s">
        <v>97</v>
      </c>
      <c r="J8576" s="1" t="s">
        <v>51</v>
      </c>
      <c r="K8576" s="1" t="s">
        <v>9484</v>
      </c>
      <c r="L8576" s="1" t="s">
        <v>40920</v>
      </c>
      <c r="M8576" s="2" t="s">
        <v>12</v>
      </c>
      <c r="N8576" s="4">
        <f t="shared" si="1"/>
        <v>43525</v>
      </c>
      <c r="O8576" s="5" t="str">
        <f>IFERROR(__xludf.DUMMYFUNCTION("IF(REGEXMATCH(TRIM(I8576), ""^\d+\s*min""), ""Unclassified"", IF(I8576 = """", ""NR"", I8576))"),"TV-14")</f>
        <v>TV-14</v>
      </c>
      <c r="R8576" s="5" t="str">
        <f t="shared" si="2"/>
        <v>Thirteen Terrors</v>
      </c>
      <c r="S8576" s="5" t="str">
        <f>IFERROR(__xludf.DUMMYFUNCTION("""COMPUTED_VALUE"""),"White Boy")</f>
        <v>White Boy</v>
      </c>
      <c r="V8576" s="5"/>
      <c r="Y8576" s="5" t="str">
        <f>IFERROR(__xludf.DUMMYFUNCTION("REGEXEXTRACT(J8576, ""^\d+"")"),"1")</f>
        <v>1</v>
      </c>
      <c r="Z8576" s="5" t="str">
        <f>IFERROR(__xludf.DUMMYFUNCTION("REGEXEXTRACT(J8576, ""[A-Za-z ]+$"")")," Season")</f>
        <v> Season</v>
      </c>
      <c r="AA8576" s="5" t="str">
        <f>IFERROR(__xludf.DUMMYFUNCTION("IF(REGEXMATCH(Z8576, ""Season""), ""TV Show"", ""Movie"")"),"TV Show")</f>
        <v>TV Show</v>
      </c>
    </row>
    <row r="8577">
      <c r="A8577" s="1" t="s">
        <v>40921</v>
      </c>
      <c r="B8577" s="1" t="s">
        <v>37</v>
      </c>
      <c r="C8577" s="1" t="s">
        <v>40922</v>
      </c>
      <c r="E8577" s="1" t="s">
        <v>40923</v>
      </c>
      <c r="F8577" s="1" t="s">
        <v>749</v>
      </c>
      <c r="G8577" s="7">
        <v>42877.0</v>
      </c>
      <c r="H8577" s="1">
        <v>2015.0</v>
      </c>
      <c r="I8577" s="1" t="s">
        <v>97</v>
      </c>
      <c r="J8577" s="1" t="s">
        <v>51</v>
      </c>
      <c r="K8577" s="1" t="s">
        <v>7164</v>
      </c>
      <c r="L8577" s="1" t="s">
        <v>40924</v>
      </c>
      <c r="M8577" s="2" t="s">
        <v>12</v>
      </c>
      <c r="N8577" s="4">
        <f t="shared" si="1"/>
        <v>42877</v>
      </c>
      <c r="O8577" s="5" t="str">
        <f>IFERROR(__xludf.DUMMYFUNCTION("IF(REGEXMATCH(TRIM(I8577), ""^\d+\s*min""), ""Unclassified"", IF(I8577 = """", ""NR"", I8577))"),"TV-14")</f>
        <v>TV-14</v>
      </c>
      <c r="R8577" s="5" t="str">
        <f t="shared" si="2"/>
        <v>This Is My Love</v>
      </c>
      <c r="S8577" s="5" t="str">
        <f>IFERROR(__xludf.DUMMYFUNCTION("""COMPUTED_VALUE"""),"White Chamber")</f>
        <v>White Chamber</v>
      </c>
      <c r="V8577" s="5"/>
      <c r="Y8577" s="5" t="str">
        <f>IFERROR(__xludf.DUMMYFUNCTION("REGEXEXTRACT(J8577, ""^\d+"")"),"1")</f>
        <v>1</v>
      </c>
      <c r="Z8577" s="5" t="str">
        <f>IFERROR(__xludf.DUMMYFUNCTION("REGEXEXTRACT(J8577, ""[A-Za-z ]+$"")")," Season")</f>
        <v> Season</v>
      </c>
      <c r="AA8577" s="5" t="str">
        <f>IFERROR(__xludf.DUMMYFUNCTION("IF(REGEXMATCH(Z8577, ""Season""), ""TV Show"", ""Movie"")"),"TV Show")</f>
        <v>TV Show</v>
      </c>
    </row>
    <row r="8578">
      <c r="A8578" s="1" t="s">
        <v>40925</v>
      </c>
      <c r="B8578" s="1" t="s">
        <v>27</v>
      </c>
      <c r="C8578" s="1" t="s">
        <v>40926</v>
      </c>
      <c r="D8578" s="1" t="s">
        <v>6378</v>
      </c>
      <c r="E8578" s="1" t="s">
        <v>40927</v>
      </c>
      <c r="F8578" s="1" t="s">
        <v>3892</v>
      </c>
      <c r="G8578" s="1" t="s">
        <v>40928</v>
      </c>
      <c r="H8578" s="1">
        <v>2017.0</v>
      </c>
      <c r="I8578" s="1" t="s">
        <v>136</v>
      </c>
      <c r="J8578" s="1" t="s">
        <v>1256</v>
      </c>
      <c r="K8578" s="1" t="s">
        <v>215</v>
      </c>
      <c r="L8578" s="1" t="s">
        <v>40929</v>
      </c>
      <c r="M8578" s="2" t="s">
        <v>12</v>
      </c>
      <c r="N8578" s="4">
        <f t="shared" si="1"/>
        <v>43022</v>
      </c>
      <c r="O8578" s="5" t="str">
        <f>IFERROR(__xludf.DUMMYFUNCTION("IF(REGEXMATCH(TRIM(I8578), ""^\d+\s*min""), ""Unclassified"", IF(I8578 = """", ""NR"", I8578))"),"TV-PG")</f>
        <v>TV-PG</v>
      </c>
      <c r="R8578" s="5" t="str">
        <f t="shared" si="2"/>
        <v>This Is Not What I Expected</v>
      </c>
      <c r="S8578" s="5" t="str">
        <f>IFERROR(__xludf.DUMMYFUNCTION("""COMPUTED_VALUE"""),"White Christmas")</f>
        <v>White Christmas</v>
      </c>
      <c r="V8578" s="5"/>
      <c r="Y8578" s="5" t="str">
        <f>IFERROR(__xludf.DUMMYFUNCTION("REGEXEXTRACT(J8578, ""^\d+"")"),"107")</f>
        <v>107</v>
      </c>
      <c r="Z8578" s="5" t="str">
        <f>IFERROR(__xludf.DUMMYFUNCTION("REGEXEXTRACT(J8578, ""[A-Za-z ]+$"")")," min")</f>
        <v> min</v>
      </c>
      <c r="AA8578" s="5" t="str">
        <f>IFERROR(__xludf.DUMMYFUNCTION("IF(REGEXMATCH(Z8578, ""Season""), ""TV Show"", ""Movie"")"),"Movie")</f>
        <v>Movie</v>
      </c>
    </row>
    <row r="8579">
      <c r="A8579" s="1" t="s">
        <v>40930</v>
      </c>
      <c r="B8579" s="1" t="s">
        <v>27</v>
      </c>
      <c r="C8579" s="1" t="s">
        <v>40931</v>
      </c>
      <c r="D8579" s="1" t="s">
        <v>23667</v>
      </c>
      <c r="F8579" s="1" t="s">
        <v>671</v>
      </c>
      <c r="G8579" s="1" t="s">
        <v>40325</v>
      </c>
      <c r="H8579" s="1">
        <v>2015.0</v>
      </c>
      <c r="I8579" s="1" t="s">
        <v>30231</v>
      </c>
      <c r="J8579" s="1" t="s">
        <v>4558</v>
      </c>
      <c r="K8579" s="1" t="s">
        <v>2892</v>
      </c>
      <c r="L8579" s="1" t="s">
        <v>40932</v>
      </c>
      <c r="M8579" s="2" t="s">
        <v>12</v>
      </c>
      <c r="N8579" s="4">
        <f t="shared" si="1"/>
        <v>42353</v>
      </c>
      <c r="O8579" s="5" t="str">
        <f>IFERROR(__xludf.DUMMYFUNCTION("IF(REGEXMATCH(TRIM(I8579), ""^\d+\s*min""), ""Unclassified"", IF(I8579 = """", ""NR"", I8579))"),"NR")</f>
        <v>NR</v>
      </c>
      <c r="R8579" s="5" t="str">
        <f t="shared" si="2"/>
        <v>This Was Tomorrow</v>
      </c>
      <c r="S8579" s="5" t="str">
        <f>IFERROR(__xludf.DUMMYFUNCTION("""COMPUTED_VALUE"""),"White Fang")</f>
        <v>White Fang</v>
      </c>
      <c r="V8579" s="5"/>
      <c r="Y8579" s="5" t="str">
        <f>IFERROR(__xludf.DUMMYFUNCTION("REGEXEXTRACT(J8579, ""^\d+"")"),"77")</f>
        <v>77</v>
      </c>
      <c r="Z8579" s="5" t="str">
        <f>IFERROR(__xludf.DUMMYFUNCTION("REGEXEXTRACT(J8579, ""[A-Za-z ]+$"")")," min")</f>
        <v> min</v>
      </c>
      <c r="AA8579" s="5" t="str">
        <f>IFERROR(__xludf.DUMMYFUNCTION("IF(REGEXMATCH(Z8579, ""Season""), ""TV Show"", ""Movie"")"),"Movie")</f>
        <v>Movie</v>
      </c>
    </row>
    <row r="8580">
      <c r="A8580" s="1" t="s">
        <v>40933</v>
      </c>
      <c r="B8580" s="1" t="s">
        <v>27</v>
      </c>
      <c r="C8580" s="1" t="s">
        <v>40934</v>
      </c>
      <c r="D8580" s="1" t="s">
        <v>18507</v>
      </c>
      <c r="E8580" s="1" t="s">
        <v>40935</v>
      </c>
      <c r="F8580" s="1" t="s">
        <v>8173</v>
      </c>
      <c r="G8580" s="1" t="s">
        <v>37488</v>
      </c>
      <c r="H8580" s="1">
        <v>2015.0</v>
      </c>
      <c r="I8580" s="1" t="s">
        <v>42</v>
      </c>
      <c r="J8580" s="1" t="s">
        <v>2566</v>
      </c>
      <c r="K8580" s="1" t="s">
        <v>89</v>
      </c>
      <c r="L8580" s="1" t="s">
        <v>40936</v>
      </c>
      <c r="M8580" s="2" t="s">
        <v>12</v>
      </c>
      <c r="N8580" s="4">
        <f t="shared" si="1"/>
        <v>42803</v>
      </c>
      <c r="O8580" s="5" t="str">
        <f>IFERROR(__xludf.DUMMYFUNCTION("IF(REGEXMATCH(TRIM(I8580), ""^\d+\s*min""), ""Unclassified"", IF(I8580 = """", ""NR"", I8580))"),"TV-MA")</f>
        <v>TV-MA</v>
      </c>
      <c r="R8580" s="5" t="str">
        <f t="shared" si="2"/>
        <v>Thithi</v>
      </c>
      <c r="S8580" s="5" t="str">
        <f>IFERROR(__xludf.DUMMYFUNCTION("""COMPUTED_VALUE"""),"White Girl")</f>
        <v>White Girl</v>
      </c>
      <c r="V8580" s="5"/>
      <c r="Y8580" s="5" t="str">
        <f>IFERROR(__xludf.DUMMYFUNCTION("REGEXEXTRACT(J8580, ""^\d+"")"),"123")</f>
        <v>123</v>
      </c>
      <c r="Z8580" s="5" t="str">
        <f>IFERROR(__xludf.DUMMYFUNCTION("REGEXEXTRACT(J8580, ""[A-Za-z ]+$"")")," min")</f>
        <v> min</v>
      </c>
      <c r="AA8580" s="5" t="str">
        <f>IFERROR(__xludf.DUMMYFUNCTION("IF(REGEXMATCH(Z8580, ""Season""), ""TV Show"", ""Movie"")"),"Movie")</f>
        <v>Movie</v>
      </c>
    </row>
    <row r="8581">
      <c r="A8581" s="1" t="s">
        <v>40937</v>
      </c>
      <c r="B8581" s="1" t="s">
        <v>27</v>
      </c>
      <c r="C8581" s="1" t="s">
        <v>40938</v>
      </c>
      <c r="D8581" s="1" t="s">
        <v>3447</v>
      </c>
      <c r="E8581" s="1" t="s">
        <v>40939</v>
      </c>
      <c r="F8581" s="1" t="s">
        <v>2796</v>
      </c>
      <c r="G8581" s="1" t="s">
        <v>26413</v>
      </c>
      <c r="H8581" s="1">
        <v>2017.0</v>
      </c>
      <c r="I8581" s="1" t="s">
        <v>42</v>
      </c>
      <c r="J8581" s="1" t="s">
        <v>393</v>
      </c>
      <c r="K8581" s="1" t="s">
        <v>20579</v>
      </c>
      <c r="L8581" s="1" t="s">
        <v>40940</v>
      </c>
      <c r="M8581" s="2" t="s">
        <v>12</v>
      </c>
      <c r="N8581" s="4">
        <f t="shared" si="1"/>
        <v>43115</v>
      </c>
      <c r="O8581" s="5" t="str">
        <f>IFERROR(__xludf.DUMMYFUNCTION("IF(REGEXMATCH(TRIM(I8581), ""^\d+\s*min""), ""Unclassified"", IF(I8581 = """", ""NR"", I8581))"),"TV-MA")</f>
        <v>TV-MA</v>
      </c>
      <c r="R8581" s="5" t="str">
        <f t="shared" si="2"/>
        <v>Thong Dee Fun Khao</v>
      </c>
      <c r="S8581" s="5" t="str">
        <f>IFERROR(__xludf.DUMMYFUNCTION("""COMPUTED_VALUE"""),"White Gold")</f>
        <v>White Gold</v>
      </c>
      <c r="V8581" s="5"/>
      <c r="Y8581" s="5" t="str">
        <f>IFERROR(__xludf.DUMMYFUNCTION("REGEXEXTRACT(J8581, ""^\d+"")"),"122")</f>
        <v>122</v>
      </c>
      <c r="Z8581" s="5" t="str">
        <f>IFERROR(__xludf.DUMMYFUNCTION("REGEXEXTRACT(J8581, ""[A-Za-z ]+$"")")," min")</f>
        <v> min</v>
      </c>
      <c r="AA8581" s="5" t="str">
        <f>IFERROR(__xludf.DUMMYFUNCTION("IF(REGEXMATCH(Z8581, ""Season""), ""TV Show"", ""Movie"")"),"Movie")</f>
        <v>Movie</v>
      </c>
    </row>
    <row r="8582">
      <c r="A8582" s="1" t="s">
        <v>40941</v>
      </c>
      <c r="B8582" s="1" t="s">
        <v>27</v>
      </c>
      <c r="C8582" s="1" t="s">
        <v>40942</v>
      </c>
      <c r="D8582" s="1" t="s">
        <v>11021</v>
      </c>
      <c r="E8582" s="1" t="s">
        <v>40943</v>
      </c>
      <c r="F8582" s="1" t="s">
        <v>30</v>
      </c>
      <c r="G8582" s="1" t="s">
        <v>40944</v>
      </c>
      <c r="H8582" s="1">
        <v>2017.0</v>
      </c>
      <c r="I8582" s="1" t="s">
        <v>32</v>
      </c>
      <c r="J8582" s="1" t="s">
        <v>2859</v>
      </c>
      <c r="K8582" s="1" t="s">
        <v>3505</v>
      </c>
      <c r="L8582" s="1" t="s">
        <v>40945</v>
      </c>
      <c r="M8582" s="2" t="s">
        <v>12</v>
      </c>
      <c r="N8582" s="4">
        <f t="shared" si="1"/>
        <v>43256</v>
      </c>
      <c r="O8582" s="5" t="str">
        <f>IFERROR(__xludf.DUMMYFUNCTION("IF(REGEXMATCH(TRIM(I8582), ""^\d+\s*min""), ""Unclassified"", IF(I8582 = """", ""NR"", I8582))"),"PG-13")</f>
        <v>PG-13</v>
      </c>
      <c r="R8582" s="5" t="str">
        <f t="shared" si="2"/>
        <v>Thor: Ragnarok</v>
      </c>
      <c r="S8582" s="5" t="str">
        <f>IFERROR(__xludf.DUMMYFUNCTION("""COMPUTED_VALUE"""),"White Island")</f>
        <v>White Island</v>
      </c>
      <c r="V8582" s="5"/>
      <c r="Y8582" s="5" t="str">
        <f>IFERROR(__xludf.DUMMYFUNCTION("REGEXEXTRACT(J8582, ""^\d+"")"),"131")</f>
        <v>131</v>
      </c>
      <c r="Z8582" s="5" t="str">
        <f>IFERROR(__xludf.DUMMYFUNCTION("REGEXEXTRACT(J8582, ""[A-Za-z ]+$"")")," min")</f>
        <v> min</v>
      </c>
      <c r="AA8582" s="5" t="str">
        <f>IFERROR(__xludf.DUMMYFUNCTION("IF(REGEXMATCH(Z8582, ""Season""), ""TV Show"", ""Movie"")"),"Movie")</f>
        <v>Movie</v>
      </c>
    </row>
    <row r="8583">
      <c r="A8583" s="1" t="s">
        <v>40946</v>
      </c>
      <c r="B8583" s="1" t="s">
        <v>27</v>
      </c>
      <c r="C8583" s="1" t="s">
        <v>40947</v>
      </c>
      <c r="D8583" s="1" t="s">
        <v>10669</v>
      </c>
      <c r="E8583" s="1" t="s">
        <v>40948</v>
      </c>
      <c r="F8583" s="1" t="s">
        <v>897</v>
      </c>
      <c r="G8583" s="1" t="s">
        <v>15037</v>
      </c>
      <c r="H8583" s="1">
        <v>2011.0</v>
      </c>
      <c r="I8583" s="1" t="s">
        <v>289</v>
      </c>
      <c r="J8583" s="1" t="s">
        <v>4558</v>
      </c>
      <c r="K8583" s="1" t="s">
        <v>80</v>
      </c>
      <c r="L8583" s="1" t="s">
        <v>40949</v>
      </c>
      <c r="M8583" s="2" t="s">
        <v>12</v>
      </c>
      <c r="N8583" s="4">
        <f t="shared" si="1"/>
        <v>43936</v>
      </c>
      <c r="O8583" s="5" t="str">
        <f>IFERROR(__xludf.DUMMYFUNCTION("IF(REGEXMATCH(TRIM(I8583), ""^\d+\s*min""), ""Unclassified"", IF(I8583 = """", ""NR"", I8583))"),"TV-Y7")</f>
        <v>TV-Y7</v>
      </c>
      <c r="R8583" s="5" t="str">
        <f t="shared" si="2"/>
        <v>Thor: Tales Of Asgard</v>
      </c>
      <c r="S8583" s="5" t="str">
        <f>IFERROR(__xludf.DUMMYFUNCTION("""COMPUTED_VALUE"""),"White Lines")</f>
        <v>White Lines</v>
      </c>
      <c r="V8583" s="5"/>
      <c r="Y8583" s="5" t="str">
        <f>IFERROR(__xludf.DUMMYFUNCTION("REGEXEXTRACT(J8583, ""^\d+"")"),"77")</f>
        <v>77</v>
      </c>
      <c r="Z8583" s="5" t="str">
        <f>IFERROR(__xludf.DUMMYFUNCTION("REGEXEXTRACT(J8583, ""[A-Za-z ]+$"")")," min")</f>
        <v> min</v>
      </c>
      <c r="AA8583" s="5" t="str">
        <f>IFERROR(__xludf.DUMMYFUNCTION("IF(REGEXMATCH(Z8583, ""Season""), ""TV Show"", ""Movie"")"),"Movie")</f>
        <v>Movie</v>
      </c>
    </row>
    <row r="8584">
      <c r="A8584" s="1" t="s">
        <v>40950</v>
      </c>
      <c r="B8584" s="1" t="s">
        <v>27</v>
      </c>
      <c r="C8584" s="1" t="s">
        <v>40951</v>
      </c>
      <c r="D8584" s="1" t="s">
        <v>3240</v>
      </c>
      <c r="E8584" s="1" t="s">
        <v>40952</v>
      </c>
      <c r="F8584" s="1" t="s">
        <v>96</v>
      </c>
      <c r="G8584" s="1" t="s">
        <v>40953</v>
      </c>
      <c r="H8584" s="1">
        <v>2010.0</v>
      </c>
      <c r="I8584" s="1" t="s">
        <v>30231</v>
      </c>
      <c r="J8584" s="1" t="s">
        <v>88</v>
      </c>
      <c r="K8584" s="1" t="s">
        <v>128</v>
      </c>
      <c r="L8584" s="1" t="s">
        <v>40954</v>
      </c>
      <c r="M8584" s="2" t="s">
        <v>12</v>
      </c>
      <c r="N8584" s="4">
        <f t="shared" si="1"/>
        <v>42676</v>
      </c>
      <c r="O8584" s="5" t="str">
        <f>IFERROR(__xludf.DUMMYFUNCTION("IF(REGEXMATCH(TRIM(I8584), ""^\d+\s*min""), ""Unclassified"", IF(I8584 = """", ""NR"", I8584))"),"NR")</f>
        <v>NR</v>
      </c>
      <c r="R8584" s="5" t="str">
        <f t="shared" si="2"/>
        <v>Thorne: Scaredy Cat</v>
      </c>
      <c r="S8584" s="5" t="str">
        <f>IFERROR(__xludf.DUMMYFUNCTION("""COMPUTED_VALUE"""),"White Nights")</f>
        <v>White Nights</v>
      </c>
      <c r="V8584" s="5"/>
      <c r="Y8584" s="5" t="str">
        <f>IFERROR(__xludf.DUMMYFUNCTION("REGEXEXTRACT(J8584, ""^\d+"")"),"125")</f>
        <v>125</v>
      </c>
      <c r="Z8584" s="5" t="str">
        <f>IFERROR(__xludf.DUMMYFUNCTION("REGEXEXTRACT(J8584, ""[A-Za-z ]+$"")")," min")</f>
        <v> min</v>
      </c>
      <c r="AA8584" s="5" t="str">
        <f>IFERROR(__xludf.DUMMYFUNCTION("IF(REGEXMATCH(Z8584, ""Season""), ""TV Show"", ""Movie"")"),"Movie")</f>
        <v>Movie</v>
      </c>
    </row>
    <row r="8585">
      <c r="A8585" s="1" t="s">
        <v>40955</v>
      </c>
      <c r="B8585" s="1" t="s">
        <v>27</v>
      </c>
      <c r="C8585" s="1" t="s">
        <v>40956</v>
      </c>
      <c r="D8585" s="1" t="s">
        <v>21588</v>
      </c>
      <c r="E8585" s="1" t="s">
        <v>40957</v>
      </c>
      <c r="F8585" s="1" t="s">
        <v>40958</v>
      </c>
      <c r="G8585" s="1" t="s">
        <v>40953</v>
      </c>
      <c r="H8585" s="1">
        <v>2010.0</v>
      </c>
      <c r="I8585" s="1" t="s">
        <v>30231</v>
      </c>
      <c r="J8585" s="1" t="s">
        <v>88</v>
      </c>
      <c r="K8585" s="1" t="s">
        <v>128</v>
      </c>
      <c r="L8585" s="1" t="s">
        <v>40959</v>
      </c>
      <c r="M8585" s="2" t="s">
        <v>12</v>
      </c>
      <c r="N8585" s="4">
        <f t="shared" si="1"/>
        <v>42676</v>
      </c>
      <c r="O8585" s="5" t="str">
        <f>IFERROR(__xludf.DUMMYFUNCTION("IF(REGEXMATCH(TRIM(I8585), ""^\d+\s*min""), ""Unclassified"", IF(I8585 = """", ""NR"", I8585))"),"NR")</f>
        <v>NR</v>
      </c>
      <c r="R8585" s="5" t="str">
        <f t="shared" si="2"/>
        <v>Thorne: Sleepyhead</v>
      </c>
      <c r="S8585" s="5" t="str">
        <f>IFERROR(__xludf.DUMMYFUNCTION("""COMPUTED_VALUE"""),"White Rabbit Project")</f>
        <v>White Rabbit Project</v>
      </c>
      <c r="V8585" s="5"/>
      <c r="Y8585" s="5" t="str">
        <f>IFERROR(__xludf.DUMMYFUNCTION("REGEXEXTRACT(J8585, ""^\d+"")"),"125")</f>
        <v>125</v>
      </c>
      <c r="Z8585" s="5" t="str">
        <f>IFERROR(__xludf.DUMMYFUNCTION("REGEXEXTRACT(J8585, ""[A-Za-z ]+$"")")," min")</f>
        <v> min</v>
      </c>
      <c r="AA8585" s="5" t="str">
        <f>IFERROR(__xludf.DUMMYFUNCTION("IF(REGEXMATCH(Z8585, ""Season""), ""TV Show"", ""Movie"")"),"Movie")</f>
        <v>Movie</v>
      </c>
    </row>
    <row r="8586">
      <c r="A8586" s="1" t="s">
        <v>40960</v>
      </c>
      <c r="B8586" s="1" t="s">
        <v>27</v>
      </c>
      <c r="C8586" s="1" t="s">
        <v>40961</v>
      </c>
      <c r="D8586" s="1" t="s">
        <v>11517</v>
      </c>
      <c r="E8586" s="1" t="s">
        <v>40962</v>
      </c>
      <c r="F8586" s="1" t="s">
        <v>12646</v>
      </c>
      <c r="G8586" s="1" t="s">
        <v>27965</v>
      </c>
      <c r="H8586" s="1">
        <v>2016.0</v>
      </c>
      <c r="I8586" s="1" t="s">
        <v>42</v>
      </c>
      <c r="J8586" s="1" t="s">
        <v>428</v>
      </c>
      <c r="K8586" s="1" t="s">
        <v>1066</v>
      </c>
      <c r="L8586" s="1" t="s">
        <v>40963</v>
      </c>
      <c r="M8586" s="2" t="s">
        <v>12</v>
      </c>
      <c r="N8586" s="4">
        <f t="shared" si="1"/>
        <v>42889</v>
      </c>
      <c r="O8586" s="5" t="str">
        <f>IFERROR(__xludf.DUMMYFUNCTION("IF(REGEXMATCH(TRIM(I8586), ""^\d+\s*min""), ""Unclassified"", IF(I8586 = """", ""NR"", I8586))"),"TV-MA")</f>
        <v>TV-MA</v>
      </c>
      <c r="R8586" s="5" t="str">
        <f t="shared" si="2"/>
        <v>Three</v>
      </c>
      <c r="S8586" s="5" t="str">
        <f>IFERROR(__xludf.DUMMYFUNCTION("""COMPUTED_VALUE"""),"Whitney Cummings: Can I Touch It?")</f>
        <v>Whitney Cummings: Can I Touch It?</v>
      </c>
      <c r="V8586" s="5"/>
      <c r="Y8586" s="5" t="str">
        <f>IFERROR(__xludf.DUMMYFUNCTION("REGEXEXTRACT(J8586, ""^\d+"")"),"88")</f>
        <v>88</v>
      </c>
      <c r="Z8586" s="5" t="str">
        <f>IFERROR(__xludf.DUMMYFUNCTION("REGEXEXTRACT(J8586, ""[A-Za-z ]+$"")")," min")</f>
        <v> min</v>
      </c>
      <c r="AA8586" s="5" t="str">
        <f>IFERROR(__xludf.DUMMYFUNCTION("IF(REGEXMATCH(Z8586, ""Season""), ""TV Show"", ""Movie"")"),"Movie")</f>
        <v>Movie</v>
      </c>
    </row>
    <row r="8587">
      <c r="A8587" s="1" t="s">
        <v>40964</v>
      </c>
      <c r="B8587" s="1" t="s">
        <v>27</v>
      </c>
      <c r="C8587" s="1" t="s">
        <v>40965</v>
      </c>
      <c r="D8587" s="1" t="s">
        <v>16215</v>
      </c>
      <c r="E8587" s="1" t="s">
        <v>40966</v>
      </c>
      <c r="G8587" s="1" t="s">
        <v>20298</v>
      </c>
      <c r="H8587" s="1">
        <v>2010.0</v>
      </c>
      <c r="I8587" s="1" t="s">
        <v>97</v>
      </c>
      <c r="J8587" s="1" t="s">
        <v>322</v>
      </c>
      <c r="K8587" s="1" t="s">
        <v>583</v>
      </c>
      <c r="L8587" s="1" t="s">
        <v>40967</v>
      </c>
      <c r="M8587" s="2" t="s">
        <v>12</v>
      </c>
      <c r="N8587" s="4">
        <f t="shared" si="1"/>
        <v>43636</v>
      </c>
      <c r="O8587" s="5" t="str">
        <f>IFERROR(__xludf.DUMMYFUNCTION("IF(REGEXMATCH(TRIM(I8587), ""^\d+\s*min""), ""Unclassified"", IF(I8587 = """", ""NR"", I8587))"),"TV-14")</f>
        <v>TV-14</v>
      </c>
      <c r="R8587" s="5" t="str">
        <f t="shared" si="2"/>
        <v>Three-Quarters Decent</v>
      </c>
      <c r="S8587" s="5" t="str">
        <f>IFERROR(__xludf.DUMMYFUNCTION("""COMPUTED_VALUE"""),"Whitney Cummings: Money Shot")</f>
        <v>Whitney Cummings: Money Shot</v>
      </c>
      <c r="V8587" s="5"/>
      <c r="Y8587" s="5" t="str">
        <f>IFERROR(__xludf.DUMMYFUNCTION("REGEXEXTRACT(J8587, ""^\d+"")"),"96")</f>
        <v>96</v>
      </c>
      <c r="Z8587" s="5" t="str">
        <f>IFERROR(__xludf.DUMMYFUNCTION("REGEXEXTRACT(J8587, ""[A-Za-z ]+$"")")," min")</f>
        <v> min</v>
      </c>
      <c r="AA8587" s="5" t="str">
        <f>IFERROR(__xludf.DUMMYFUNCTION("IF(REGEXMATCH(Z8587, ""Season""), ""TV Show"", ""Movie"")"),"Movie")</f>
        <v>Movie</v>
      </c>
    </row>
    <row r="8588">
      <c r="A8588" s="1" t="s">
        <v>40968</v>
      </c>
      <c r="B8588" s="1" t="s">
        <v>27</v>
      </c>
      <c r="C8588" s="1" t="s">
        <v>40969</v>
      </c>
      <c r="D8588" s="1" t="s">
        <v>11756</v>
      </c>
      <c r="E8588" s="1" t="s">
        <v>40970</v>
      </c>
      <c r="F8588" s="1" t="s">
        <v>30</v>
      </c>
      <c r="G8588" s="1" t="s">
        <v>26274</v>
      </c>
      <c r="H8588" s="1">
        <v>2017.0</v>
      </c>
      <c r="I8588" s="1" t="s">
        <v>42</v>
      </c>
      <c r="J8588" s="1" t="s">
        <v>454</v>
      </c>
      <c r="K8588" s="1" t="s">
        <v>394</v>
      </c>
      <c r="L8588" s="1" t="s">
        <v>40971</v>
      </c>
      <c r="M8588" s="2" t="s">
        <v>12</v>
      </c>
      <c r="N8588" s="4">
        <f t="shared" si="1"/>
        <v>43136</v>
      </c>
      <c r="O8588" s="5" t="str">
        <f>IFERROR(__xludf.DUMMYFUNCTION("IF(REGEXMATCH(TRIM(I8588), ""^\d+\s*min""), ""Unclassified"", IF(I8588 = """", ""NR"", I8588))"),"TV-MA")</f>
        <v>TV-MA</v>
      </c>
      <c r="R8588" s="5" t="str">
        <f t="shared" si="2"/>
        <v>Thumper</v>
      </c>
      <c r="S8588" s="5" t="str">
        <f>IFERROR(__xludf.DUMMYFUNCTION("""COMPUTED_VALUE"""),"Who Am I")</f>
        <v>Who Am I</v>
      </c>
      <c r="V8588" s="5"/>
      <c r="Y8588" s="5" t="str">
        <f>IFERROR(__xludf.DUMMYFUNCTION("REGEXEXTRACT(J8588, ""^\d+"")"),"93")</f>
        <v>93</v>
      </c>
      <c r="Z8588" s="5" t="str">
        <f>IFERROR(__xludf.DUMMYFUNCTION("REGEXEXTRACT(J8588, ""[A-Za-z ]+$"")")," min")</f>
        <v> min</v>
      </c>
      <c r="AA8588" s="5" t="str">
        <f>IFERROR(__xludf.DUMMYFUNCTION("IF(REGEXMATCH(Z8588, ""Season""), ""TV Show"", ""Movie"")"),"Movie")</f>
        <v>Movie</v>
      </c>
    </row>
    <row r="8589">
      <c r="A8589" s="1" t="s">
        <v>40972</v>
      </c>
      <c r="B8589" s="1" t="s">
        <v>27</v>
      </c>
      <c r="C8589" s="1" t="s">
        <v>40973</v>
      </c>
      <c r="D8589" s="1" t="s">
        <v>23653</v>
      </c>
      <c r="E8589" s="1" t="s">
        <v>40974</v>
      </c>
      <c r="F8589" s="1" t="s">
        <v>30</v>
      </c>
      <c r="G8589" s="1" t="s">
        <v>28421</v>
      </c>
      <c r="H8589" s="1">
        <v>1947.0</v>
      </c>
      <c r="I8589" s="1" t="s">
        <v>136</v>
      </c>
      <c r="J8589" s="1" t="s">
        <v>7390</v>
      </c>
      <c r="K8589" s="1" t="s">
        <v>35403</v>
      </c>
      <c r="L8589" s="1" t="s">
        <v>40975</v>
      </c>
      <c r="M8589" s="2" t="s">
        <v>12</v>
      </c>
      <c r="N8589" s="4">
        <f t="shared" si="1"/>
        <v>42825</v>
      </c>
      <c r="O8589" s="5" t="str">
        <f>IFERROR(__xludf.DUMMYFUNCTION("IF(REGEXMATCH(TRIM(I8589), ""^\d+\s*min""), ""Unclassified"", IF(I8589 = """", ""NR"", I8589))"),"TV-PG")</f>
        <v>TV-PG</v>
      </c>
      <c r="R8589" s="5" t="str">
        <f t="shared" si="2"/>
        <v>Thunderbolt</v>
      </c>
      <c r="S8589" s="5" t="str">
        <f>IFERROR(__xludf.DUMMYFUNCTION("""COMPUTED_VALUE"""),"Who Killed Little Gregory?")</f>
        <v>Who Killed Little Gregory?</v>
      </c>
      <c r="V8589" s="5"/>
      <c r="Y8589" s="5" t="str">
        <f>IFERROR(__xludf.DUMMYFUNCTION("REGEXEXTRACT(J8589, ""^\d+"")"),"42")</f>
        <v>42</v>
      </c>
      <c r="Z8589" s="5" t="str">
        <f>IFERROR(__xludf.DUMMYFUNCTION("REGEXEXTRACT(J8589, ""[A-Za-z ]+$"")")," min")</f>
        <v> min</v>
      </c>
      <c r="AA8589" s="5" t="str">
        <f>IFERROR(__xludf.DUMMYFUNCTION("IF(REGEXMATCH(Z8589, ""Season""), ""TV Show"", ""Movie"")"),"Movie")</f>
        <v>Movie</v>
      </c>
    </row>
    <row r="8590">
      <c r="A8590" s="1" t="s">
        <v>40976</v>
      </c>
      <c r="B8590" s="1" t="s">
        <v>37</v>
      </c>
      <c r="C8590" s="1" t="s">
        <v>40977</v>
      </c>
      <c r="E8590" s="1" t="s">
        <v>40978</v>
      </c>
      <c r="F8590" s="1" t="s">
        <v>3892</v>
      </c>
      <c r="G8590" s="1" t="s">
        <v>26248</v>
      </c>
      <c r="H8590" s="1">
        <v>2017.0</v>
      </c>
      <c r="I8590" s="1" t="s">
        <v>97</v>
      </c>
      <c r="J8590" s="1" t="s">
        <v>51</v>
      </c>
      <c r="K8590" s="1" t="s">
        <v>1362</v>
      </c>
      <c r="L8590" s="1" t="s">
        <v>40979</v>
      </c>
      <c r="M8590" s="2" t="s">
        <v>12</v>
      </c>
      <c r="N8590" s="4">
        <f t="shared" si="1"/>
        <v>43140</v>
      </c>
      <c r="O8590" s="5" t="str">
        <f>IFERROR(__xludf.DUMMYFUNCTION("IF(REGEXMATCH(TRIM(I8590), ""^\d+\s*min""), ""Unclassified"", IF(I8590 = """", ""NR"", I8590))"),"TV-14")</f>
        <v>TV-14</v>
      </c>
      <c r="R8590" s="5" t="str">
        <f t="shared" si="2"/>
        <v>Tientsin Mystic</v>
      </c>
      <c r="S8590" s="5" t="str">
        <f>IFERROR(__xludf.DUMMYFUNCTION("""COMPUTED_VALUE"""),"Who Killed Malcolm X?")</f>
        <v>Who Killed Malcolm X?</v>
      </c>
      <c r="V8590" s="5"/>
      <c r="Y8590" s="5" t="str">
        <f>IFERROR(__xludf.DUMMYFUNCTION("REGEXEXTRACT(J8590, ""^\d+"")"),"1")</f>
        <v>1</v>
      </c>
      <c r="Z8590" s="5" t="str">
        <f>IFERROR(__xludf.DUMMYFUNCTION("REGEXEXTRACT(J8590, ""[A-Za-z ]+$"")")," Season")</f>
        <v> Season</v>
      </c>
      <c r="AA8590" s="5" t="str">
        <f>IFERROR(__xludf.DUMMYFUNCTION("IF(REGEXMATCH(Z8590, ""Season""), ""TV Show"", ""Movie"")"),"TV Show")</f>
        <v>TV Show</v>
      </c>
    </row>
    <row r="8591">
      <c r="A8591" s="1" t="s">
        <v>40980</v>
      </c>
      <c r="B8591" s="1" t="s">
        <v>27</v>
      </c>
      <c r="C8591" s="1" t="s">
        <v>40981</v>
      </c>
      <c r="D8591" s="1" t="s">
        <v>13741</v>
      </c>
      <c r="E8591" s="1" t="s">
        <v>40982</v>
      </c>
      <c r="F8591" s="1" t="s">
        <v>3892</v>
      </c>
      <c r="G8591" s="1" t="s">
        <v>27735</v>
      </c>
      <c r="H8591" s="1">
        <v>2016.0</v>
      </c>
      <c r="I8591" s="1" t="s">
        <v>97</v>
      </c>
      <c r="J8591" s="1" t="s">
        <v>912</v>
      </c>
      <c r="K8591" s="1" t="s">
        <v>298</v>
      </c>
      <c r="L8591" s="1" t="s">
        <v>40983</v>
      </c>
      <c r="M8591" s="2" t="s">
        <v>12</v>
      </c>
      <c r="N8591" s="4">
        <f t="shared" si="1"/>
        <v>42917</v>
      </c>
      <c r="O8591" s="5" t="str">
        <f>IFERROR(__xludf.DUMMYFUNCTION("IF(REGEXMATCH(TRIM(I8591), ""^\d+\s*min""), ""Unclassified"", IF(I8591 = """", ""NR"", I8591))"),"TV-14")</f>
        <v>TV-14</v>
      </c>
      <c r="R8591" s="5" t="str">
        <f t="shared" si="2"/>
        <v>Tik Tok</v>
      </c>
      <c r="S8591" s="5" t="str">
        <f>IFERROR(__xludf.DUMMYFUNCTION("""COMPUTED_VALUE"""),"Who Killed Sara?")</f>
        <v>Who Killed Sara?</v>
      </c>
      <c r="V8591" s="5"/>
      <c r="Y8591" s="5" t="str">
        <f>IFERROR(__xludf.DUMMYFUNCTION("REGEXEXTRACT(J8591, ""^\d+"")"),"108")</f>
        <v>108</v>
      </c>
      <c r="Z8591" s="5" t="str">
        <f>IFERROR(__xludf.DUMMYFUNCTION("REGEXEXTRACT(J8591, ""[A-Za-z ]+$"")")," min")</f>
        <v> min</v>
      </c>
      <c r="AA8591" s="5" t="str">
        <f>IFERROR(__xludf.DUMMYFUNCTION("IF(REGEXMATCH(Z8591, ""Season""), ""TV Show"", ""Movie"")"),"Movie")</f>
        <v>Movie</v>
      </c>
    </row>
    <row r="8592">
      <c r="A8592" s="1" t="s">
        <v>40984</v>
      </c>
      <c r="B8592" s="1" t="s">
        <v>27</v>
      </c>
      <c r="C8592" s="1" t="s">
        <v>40985</v>
      </c>
      <c r="D8592" s="1" t="s">
        <v>492</v>
      </c>
      <c r="E8592" s="1" t="s">
        <v>40986</v>
      </c>
      <c r="F8592" s="1" t="s">
        <v>63</v>
      </c>
      <c r="G8592" s="1" t="s">
        <v>24964</v>
      </c>
      <c r="H8592" s="1">
        <v>2017.0</v>
      </c>
      <c r="I8592" s="1" t="s">
        <v>42</v>
      </c>
      <c r="J8592" s="1" t="s">
        <v>7280</v>
      </c>
      <c r="K8592" s="1" t="s">
        <v>128</v>
      </c>
      <c r="L8592" s="1" t="s">
        <v>40987</v>
      </c>
      <c r="M8592" s="2" t="s">
        <v>12</v>
      </c>
      <c r="N8592" s="4">
        <f t="shared" si="1"/>
        <v>43313</v>
      </c>
      <c r="O8592" s="5" t="str">
        <f>IFERROR(__xludf.DUMMYFUNCTION("IF(REGEXMATCH(TRIM(I8592), ""^\d+\s*min""), ""Unclassified"", IF(I8592 = """", ""NR"", I8592))"),"TV-MA")</f>
        <v>TV-MA</v>
      </c>
      <c r="R8592" s="5" t="str">
        <f t="shared" si="2"/>
        <v>Tikli And Laxmi Bomb</v>
      </c>
      <c r="S8592" s="5" t="str">
        <f>IFERROR(__xludf.DUMMYFUNCTION("""COMPUTED_VALUE"""),"Who The F**K Is That Guy?")</f>
        <v>Who The F**K Is That Guy?</v>
      </c>
      <c r="V8592" s="5"/>
      <c r="Y8592" s="5" t="str">
        <f>IFERROR(__xludf.DUMMYFUNCTION("REGEXEXTRACT(J8592, ""^\d+"")"),"151")</f>
        <v>151</v>
      </c>
      <c r="Z8592" s="5" t="str">
        <f>IFERROR(__xludf.DUMMYFUNCTION("REGEXEXTRACT(J8592, ""[A-Za-z ]+$"")")," min")</f>
        <v> min</v>
      </c>
      <c r="AA8592" s="5" t="str">
        <f>IFERROR(__xludf.DUMMYFUNCTION("IF(REGEXMATCH(Z8592, ""Season""), ""TV Show"", ""Movie"")"),"Movie")</f>
        <v>Movie</v>
      </c>
    </row>
    <row r="8593">
      <c r="A8593" s="1" t="s">
        <v>40988</v>
      </c>
      <c r="B8593" s="1" t="s">
        <v>27</v>
      </c>
      <c r="C8593" s="1" t="s">
        <v>40989</v>
      </c>
      <c r="D8593" s="1" t="s">
        <v>20278</v>
      </c>
      <c r="E8593" s="1" t="s">
        <v>40990</v>
      </c>
      <c r="F8593" s="1" t="s">
        <v>63</v>
      </c>
      <c r="G8593" s="1" t="s">
        <v>26481</v>
      </c>
      <c r="H8593" s="1">
        <v>2013.0</v>
      </c>
      <c r="I8593" s="1" t="s">
        <v>97</v>
      </c>
      <c r="J8593" s="1" t="s">
        <v>88</v>
      </c>
      <c r="K8593" s="1" t="s">
        <v>583</v>
      </c>
      <c r="L8593" s="1" t="s">
        <v>40991</v>
      </c>
      <c r="M8593" s="2" t="s">
        <v>12</v>
      </c>
      <c r="N8593" s="4">
        <f t="shared" si="1"/>
        <v>43101</v>
      </c>
      <c r="O8593" s="5" t="str">
        <f>IFERROR(__xludf.DUMMYFUNCTION("IF(REGEXMATCH(TRIM(I8593), ""^\d+\s*min""), ""Unclassified"", IF(I8593 = """", ""NR"", I8593))"),"TV-14")</f>
        <v>TV-14</v>
      </c>
      <c r="R8593" s="5" t="str">
        <f t="shared" si="2"/>
        <v>Time Please</v>
      </c>
      <c r="S8593" s="5" t="str">
        <f>IFERROR(__xludf.DUMMYFUNCTION("""COMPUTED_VALUE"""),"Who Would You Take To A Deserted Island?")</f>
        <v>Who Would You Take To A Deserted Island?</v>
      </c>
      <c r="V8593" s="5"/>
      <c r="Y8593" s="5" t="str">
        <f>IFERROR(__xludf.DUMMYFUNCTION("REGEXEXTRACT(J8593, ""^\d+"")"),"125")</f>
        <v>125</v>
      </c>
      <c r="Z8593" s="5" t="str">
        <f>IFERROR(__xludf.DUMMYFUNCTION("REGEXEXTRACT(J8593, ""[A-Za-z ]+$"")")," min")</f>
        <v> min</v>
      </c>
      <c r="AA8593" s="5" t="str">
        <f>IFERROR(__xludf.DUMMYFUNCTION("IF(REGEXMATCH(Z8593, ""Season""), ""TV Show"", ""Movie"")"),"Movie")</f>
        <v>Movie</v>
      </c>
    </row>
    <row r="8594">
      <c r="A8594" s="1" t="s">
        <v>40992</v>
      </c>
      <c r="B8594" s="1" t="s">
        <v>37</v>
      </c>
      <c r="C8594" s="1" t="s">
        <v>40993</v>
      </c>
      <c r="E8594" s="1" t="s">
        <v>40994</v>
      </c>
      <c r="G8594" s="1" t="s">
        <v>27242</v>
      </c>
      <c r="H8594" s="1">
        <v>2009.0</v>
      </c>
      <c r="I8594" s="1" t="s">
        <v>97</v>
      </c>
      <c r="J8594" s="1" t="s">
        <v>51</v>
      </c>
      <c r="K8594" s="1" t="s">
        <v>402</v>
      </c>
      <c r="L8594" s="1" t="s">
        <v>40995</v>
      </c>
      <c r="M8594" s="2" t="s">
        <v>12</v>
      </c>
      <c r="N8594" s="4">
        <f t="shared" si="1"/>
        <v>42996</v>
      </c>
      <c r="O8594" s="5" t="str">
        <f>IFERROR(__xludf.DUMMYFUNCTION("IF(REGEXMATCH(TRIM(I8594), ""^\d+\s*min""), ""Unclassified"", IF(I8594 = """", ""NR"", I8594))"),"TV-14")</f>
        <v>TV-14</v>
      </c>
      <c r="R8594" s="5" t="str">
        <f t="shared" si="2"/>
        <v>Timeless Season</v>
      </c>
      <c r="S8594" s="5" t="str">
        <f>IFERROR(__xludf.DUMMYFUNCTION("""COMPUTED_VALUE"""),"Who'S That Knocking At My Door?")</f>
        <v>Who'S That Knocking At My Door?</v>
      </c>
      <c r="V8594" s="5"/>
      <c r="Y8594" s="5" t="str">
        <f>IFERROR(__xludf.DUMMYFUNCTION("REGEXEXTRACT(J8594, ""^\d+"")"),"1")</f>
        <v>1</v>
      </c>
      <c r="Z8594" s="5" t="str">
        <f>IFERROR(__xludf.DUMMYFUNCTION("REGEXEXTRACT(J8594, ""[A-Za-z ]+$"")")," Season")</f>
        <v> Season</v>
      </c>
      <c r="AA8594" s="5" t="str">
        <f>IFERROR(__xludf.DUMMYFUNCTION("IF(REGEXMATCH(Z8594, ""Season""), ""TV Show"", ""Movie"")"),"TV Show")</f>
        <v>TV Show</v>
      </c>
    </row>
    <row r="8595">
      <c r="A8595" s="1" t="s">
        <v>40996</v>
      </c>
      <c r="B8595" s="1" t="s">
        <v>37</v>
      </c>
      <c r="C8595" s="1" t="s">
        <v>40997</v>
      </c>
      <c r="E8595" s="1" t="s">
        <v>40998</v>
      </c>
      <c r="G8595" s="1" t="s">
        <v>26182</v>
      </c>
      <c r="H8595" s="1">
        <v>2014.0</v>
      </c>
      <c r="I8595" s="1" t="s">
        <v>97</v>
      </c>
      <c r="J8595" s="1" t="s">
        <v>51</v>
      </c>
      <c r="K8595" s="1" t="s">
        <v>112</v>
      </c>
      <c r="L8595" s="1" t="s">
        <v>40999</v>
      </c>
      <c r="M8595" s="2" t="s">
        <v>12</v>
      </c>
      <c r="N8595" s="4">
        <f t="shared" si="1"/>
        <v>43154</v>
      </c>
      <c r="O8595" s="5" t="str">
        <f>IFERROR(__xludf.DUMMYFUNCTION("IF(REGEXMATCH(TRIM(I8595), ""^\d+\s*min""), ""Unclassified"", IF(I8595 = """", ""NR"", I8595))"),"TV-14")</f>
        <v>TV-14</v>
      </c>
      <c r="R8595" s="5" t="str">
        <f t="shared" si="2"/>
        <v>Timeline</v>
      </c>
      <c r="S8595" s="5" t="str">
        <f>IFERROR(__xludf.DUMMYFUNCTION("""COMPUTED_VALUE"""),"Who'S The Boss")</f>
        <v>Who'S The Boss</v>
      </c>
      <c r="V8595" s="5"/>
      <c r="Y8595" s="5" t="str">
        <f>IFERROR(__xludf.DUMMYFUNCTION("REGEXEXTRACT(J8595, ""^\d+"")"),"1")</f>
        <v>1</v>
      </c>
      <c r="Z8595" s="5" t="str">
        <f>IFERROR(__xludf.DUMMYFUNCTION("REGEXEXTRACT(J8595, ""[A-Za-z ]+$"")")," Season")</f>
        <v> Season</v>
      </c>
      <c r="AA8595" s="5" t="str">
        <f>IFERROR(__xludf.DUMMYFUNCTION("IF(REGEXMATCH(Z8595, ""Season""), ""TV Show"", ""Movie"")"),"TV Show")</f>
        <v>TV Show</v>
      </c>
    </row>
    <row r="8596">
      <c r="A8596" s="1" t="s">
        <v>41000</v>
      </c>
      <c r="B8596" s="1" t="s">
        <v>27</v>
      </c>
      <c r="C8596" s="1" t="s">
        <v>41001</v>
      </c>
      <c r="D8596" s="1" t="s">
        <v>21664</v>
      </c>
      <c r="E8596" s="1" t="s">
        <v>41002</v>
      </c>
      <c r="F8596" s="1" t="s">
        <v>30</v>
      </c>
      <c r="G8596" s="7">
        <v>42141.0</v>
      </c>
      <c r="H8596" s="1">
        <v>2014.0</v>
      </c>
      <c r="I8596" s="1" t="s">
        <v>770</v>
      </c>
      <c r="J8596" s="1" t="s">
        <v>1737</v>
      </c>
      <c r="K8596" s="1" t="s">
        <v>80</v>
      </c>
      <c r="L8596" s="1" t="s">
        <v>41003</v>
      </c>
      <c r="M8596" s="2" t="s">
        <v>12</v>
      </c>
      <c r="N8596" s="4">
        <f t="shared" si="1"/>
        <v>42141</v>
      </c>
      <c r="O8596" s="5" t="str">
        <f>IFERROR(__xludf.DUMMYFUNCTION("IF(REGEXMATCH(TRIM(I8596), ""^\d+\s*min""), ""Unclassified"", IF(I8596 = """", ""NR"", I8596))"),"G")</f>
        <v>G</v>
      </c>
      <c r="R8596" s="5" t="str">
        <f t="shared" si="2"/>
        <v>Tinker Bell And The Legend Of The Neverbeast</v>
      </c>
      <c r="S8596" s="5" t="str">
        <f>IFERROR(__xludf.DUMMYFUNCTION("""COMPUTED_VALUE"""),"Who'S The One")</f>
        <v>Who'S The One</v>
      </c>
      <c r="V8596" s="5"/>
      <c r="Y8596" s="5" t="str">
        <f>IFERROR(__xludf.DUMMYFUNCTION("REGEXEXTRACT(J8596, ""^\d+"")"),"78")</f>
        <v>78</v>
      </c>
      <c r="Z8596" s="5" t="str">
        <f>IFERROR(__xludf.DUMMYFUNCTION("REGEXEXTRACT(J8596, ""[A-Za-z ]+$"")")," min")</f>
        <v> min</v>
      </c>
      <c r="AA8596" s="5" t="str">
        <f>IFERROR(__xludf.DUMMYFUNCTION("IF(REGEXMATCH(Z8596, ""Season""), ""TV Show"", ""Movie"")"),"Movie")</f>
        <v>Movie</v>
      </c>
    </row>
    <row r="8597">
      <c r="A8597" s="1" t="s">
        <v>41004</v>
      </c>
      <c r="B8597" s="1" t="s">
        <v>27</v>
      </c>
      <c r="C8597" s="1" t="s">
        <v>41005</v>
      </c>
      <c r="D8597" s="1" t="s">
        <v>21340</v>
      </c>
      <c r="E8597" s="1" t="s">
        <v>41006</v>
      </c>
      <c r="F8597" s="1" t="s">
        <v>30</v>
      </c>
      <c r="G8597" s="1" t="s">
        <v>21586</v>
      </c>
      <c r="H8597" s="1">
        <v>2018.0</v>
      </c>
      <c r="I8597" s="1" t="s">
        <v>97</v>
      </c>
      <c r="J8597" s="1" t="s">
        <v>247</v>
      </c>
      <c r="K8597" s="1" t="s">
        <v>5269</v>
      </c>
      <c r="L8597" s="1" t="s">
        <v>41007</v>
      </c>
      <c r="M8597" s="2" t="s">
        <v>12</v>
      </c>
      <c r="N8597" s="4">
        <f t="shared" si="1"/>
        <v>43543</v>
      </c>
      <c r="O8597" s="5" t="str">
        <f>IFERROR(__xludf.DUMMYFUNCTION("IF(REGEXMATCH(TRIM(I8597), ""^\d+\s*min""), ""Unclassified"", IF(I8597 = """", ""NR"", I8597))"),"TV-14")</f>
        <v>TV-14</v>
      </c>
      <c r="R8597" s="5" t="str">
        <f t="shared" si="2"/>
        <v>Tinker'</v>
      </c>
      <c r="S8597" s="5" t="str">
        <f>IFERROR(__xludf.DUMMYFUNCTION("""COMPUTED_VALUE"""),"Whose Streets?")</f>
        <v>Whose Streets?</v>
      </c>
      <c r="V8597" s="5"/>
      <c r="Y8597" s="5" t="str">
        <f>IFERROR(__xludf.DUMMYFUNCTION("REGEXEXTRACT(J8597, ""^\d+"")"),"97")</f>
        <v>97</v>
      </c>
      <c r="Z8597" s="5" t="str">
        <f>IFERROR(__xludf.DUMMYFUNCTION("REGEXEXTRACT(J8597, ""[A-Za-z ]+$"")")," min")</f>
        <v> min</v>
      </c>
      <c r="AA8597" s="5" t="str">
        <f>IFERROR(__xludf.DUMMYFUNCTION("IF(REGEXMATCH(Z8597, ""Season""), ""TV Show"", ""Movie"")"),"Movie")</f>
        <v>Movie</v>
      </c>
    </row>
    <row r="8598">
      <c r="A8598" s="1" t="s">
        <v>41008</v>
      </c>
      <c r="B8598" s="1" t="s">
        <v>37</v>
      </c>
      <c r="C8598" s="1" t="s">
        <v>41009</v>
      </c>
      <c r="E8598" s="1" t="s">
        <v>41010</v>
      </c>
      <c r="F8598" s="1" t="s">
        <v>41011</v>
      </c>
      <c r="G8598" s="1" t="s">
        <v>27321</v>
      </c>
      <c r="H8598" s="1">
        <v>2014.0</v>
      </c>
      <c r="I8598" s="1" t="s">
        <v>206</v>
      </c>
      <c r="J8598" s="1" t="s">
        <v>51</v>
      </c>
      <c r="K8598" s="1" t="s">
        <v>290</v>
      </c>
      <c r="L8598" s="1" t="s">
        <v>41012</v>
      </c>
      <c r="M8598" s="2" t="s">
        <v>12</v>
      </c>
      <c r="N8598" s="4">
        <f t="shared" si="1"/>
        <v>42979</v>
      </c>
      <c r="O8598" s="5" t="str">
        <f>IFERROR(__xludf.DUMMYFUNCTION("IF(REGEXMATCH(TRIM(I8598), ""^\d+\s*min""), ""Unclassified"", IF(I8598 = """", ""NR"", I8598))"),"TV-Y")</f>
        <v>TV-Y</v>
      </c>
      <c r="R8598" s="5" t="str">
        <f t="shared" si="2"/>
        <v>Tip The Mouse</v>
      </c>
      <c r="S8598" s="5" t="str">
        <f>IFERROR(__xludf.DUMMYFUNCTION("""COMPUTED_VALUE"""),"Whose Vote Counts, Explained")</f>
        <v>Whose Vote Counts, Explained</v>
      </c>
      <c r="V8598" s="5"/>
      <c r="Y8598" s="5" t="str">
        <f>IFERROR(__xludf.DUMMYFUNCTION("REGEXEXTRACT(J8598, ""^\d+"")"),"1")</f>
        <v>1</v>
      </c>
      <c r="Z8598" s="5" t="str">
        <f>IFERROR(__xludf.DUMMYFUNCTION("REGEXEXTRACT(J8598, ""[A-Za-z ]+$"")")," Season")</f>
        <v> Season</v>
      </c>
      <c r="AA8598" s="5" t="str">
        <f>IFERROR(__xludf.DUMMYFUNCTION("IF(REGEXMATCH(Z8598, ""Season""), ""TV Show"", ""Movie"")"),"TV Show")</f>
        <v>TV Show</v>
      </c>
    </row>
    <row r="8599">
      <c r="A8599" s="1" t="s">
        <v>41013</v>
      </c>
      <c r="B8599" s="1" t="s">
        <v>27</v>
      </c>
      <c r="C8599" s="1" t="s">
        <v>41014</v>
      </c>
      <c r="D8599" s="1" t="s">
        <v>6860</v>
      </c>
      <c r="F8599" s="1" t="s">
        <v>41015</v>
      </c>
      <c r="G8599" s="1" t="s">
        <v>28840</v>
      </c>
      <c r="H8599" s="1">
        <v>2016.0</v>
      </c>
      <c r="I8599" s="1" t="s">
        <v>97</v>
      </c>
      <c r="J8599" s="1" t="s">
        <v>1608</v>
      </c>
      <c r="K8599" s="1" t="s">
        <v>34</v>
      </c>
      <c r="L8599" s="1" t="s">
        <v>41016</v>
      </c>
      <c r="M8599" s="2" t="s">
        <v>12</v>
      </c>
      <c r="N8599" s="4">
        <f t="shared" si="1"/>
        <v>42736</v>
      </c>
      <c r="O8599" s="5" t="str">
        <f>IFERROR(__xludf.DUMMYFUNCTION("IF(REGEXMATCH(TRIM(I8599), ""^\d+\s*min""), ""Unclassified"", IF(I8599 = """", ""NR"", I8599))"),"TV-14")</f>
        <v>TV-14</v>
      </c>
      <c r="R8599" s="5" t="str">
        <f t="shared" si="2"/>
        <v>To Be A Miss</v>
      </c>
      <c r="S8599" s="5" t="str">
        <f>IFERROR(__xludf.DUMMYFUNCTION("""COMPUTED_VALUE"""),"Why Are We Getting So Fat?")</f>
        <v>Why Are We Getting So Fat?</v>
      </c>
      <c r="V8599" s="5"/>
      <c r="Y8599" s="5" t="str">
        <f>IFERROR(__xludf.DUMMYFUNCTION("REGEXEXTRACT(J8599, ""^\d+"")"),"84")</f>
        <v>84</v>
      </c>
      <c r="Z8599" s="5" t="str">
        <f>IFERROR(__xludf.DUMMYFUNCTION("REGEXEXTRACT(J8599, ""[A-Za-z ]+$"")")," min")</f>
        <v> min</v>
      </c>
      <c r="AA8599" s="5" t="str">
        <f>IFERROR(__xludf.DUMMYFUNCTION("IF(REGEXMATCH(Z8599, ""Season""), ""TV Show"", ""Movie"")"),"Movie")</f>
        <v>Movie</v>
      </c>
    </row>
    <row r="8600">
      <c r="A8600" s="1" t="s">
        <v>41017</v>
      </c>
      <c r="B8600" s="1" t="s">
        <v>27</v>
      </c>
      <c r="C8600" s="1" t="s">
        <v>41018</v>
      </c>
      <c r="D8600" s="1" t="s">
        <v>3108</v>
      </c>
      <c r="E8600" s="1" t="s">
        <v>41019</v>
      </c>
      <c r="F8600" s="1" t="s">
        <v>30</v>
      </c>
      <c r="G8600" s="1" t="s">
        <v>19813</v>
      </c>
      <c r="H8600" s="1">
        <v>1995.0</v>
      </c>
      <c r="I8600" s="1" t="s">
        <v>32</v>
      </c>
      <c r="J8600" s="1" t="s">
        <v>912</v>
      </c>
      <c r="K8600" s="1" t="s">
        <v>41020</v>
      </c>
      <c r="L8600" s="1" t="s">
        <v>41021</v>
      </c>
      <c r="M8600" s="2" t="s">
        <v>12</v>
      </c>
      <c r="N8600" s="4">
        <f t="shared" si="1"/>
        <v>43678</v>
      </c>
      <c r="O8600" s="5" t="str">
        <f>IFERROR(__xludf.DUMMYFUNCTION("IF(REGEXMATCH(TRIM(I8600), ""^\d+\s*min""), ""Unclassified"", IF(I8600 = """", ""NR"", I8600))"),"PG-13")</f>
        <v>PG-13</v>
      </c>
      <c r="R8600" s="5" t="str">
        <f t="shared" si="2"/>
        <v>To Wong Foo, Thanks For Everything! Julie Newmar</v>
      </c>
      <c r="S8600" s="5" t="str">
        <f>IFERROR(__xludf.DUMMYFUNCTION("""COMPUTED_VALUE"""),"Why Are You Like This")</f>
        <v>Why Are You Like This</v>
      </c>
      <c r="V8600" s="5"/>
      <c r="Y8600" s="5" t="str">
        <f>IFERROR(__xludf.DUMMYFUNCTION("REGEXEXTRACT(J8600, ""^\d+"")"),"108")</f>
        <v>108</v>
      </c>
      <c r="Z8600" s="5" t="str">
        <f>IFERROR(__xludf.DUMMYFUNCTION("REGEXEXTRACT(J8600, ""[A-Za-z ]+$"")")," min")</f>
        <v> min</v>
      </c>
      <c r="AA8600" s="5" t="str">
        <f>IFERROR(__xludf.DUMMYFUNCTION("IF(REGEXMATCH(Z8600, ""Season""), ""TV Show"", ""Movie"")"),"Movie")</f>
        <v>Movie</v>
      </c>
    </row>
    <row r="8601">
      <c r="A8601" s="1" t="s">
        <v>41022</v>
      </c>
      <c r="B8601" s="1" t="s">
        <v>37</v>
      </c>
      <c r="C8601" s="1" t="s">
        <v>41023</v>
      </c>
      <c r="D8601" s="1" t="s">
        <v>15592</v>
      </c>
      <c r="E8601" s="1" t="s">
        <v>41024</v>
      </c>
      <c r="F8601" s="1" t="s">
        <v>96</v>
      </c>
      <c r="G8601" s="1" t="s">
        <v>27321</v>
      </c>
      <c r="H8601" s="1">
        <v>2015.0</v>
      </c>
      <c r="I8601" s="1" t="s">
        <v>42</v>
      </c>
      <c r="J8601" s="1" t="s">
        <v>276</v>
      </c>
      <c r="K8601" s="1" t="s">
        <v>32636</v>
      </c>
      <c r="L8601" s="1" t="s">
        <v>41025</v>
      </c>
      <c r="M8601" s="2" t="s">
        <v>12</v>
      </c>
      <c r="N8601" s="4">
        <f t="shared" si="1"/>
        <v>42979</v>
      </c>
      <c r="O8601" s="5" t="str">
        <f>IFERROR(__xludf.DUMMYFUNCTION("IF(REGEXMATCH(TRIM(I8601), ""^\d+\s*min""), ""Unclassified"", IF(I8601 = """", ""NR"", I8601))"),"TV-MA")</f>
        <v>TV-MA</v>
      </c>
      <c r="R8601" s="5" t="str">
        <f t="shared" si="2"/>
        <v>Toast Of London</v>
      </c>
      <c r="S8601" s="5" t="str">
        <f>IFERROR(__xludf.DUMMYFUNCTION("""COMPUTED_VALUE"""),"Why Did You Kill Me?")</f>
        <v>Why Did You Kill Me?</v>
      </c>
      <c r="V8601" s="5"/>
      <c r="Y8601" s="5" t="str">
        <f>IFERROR(__xludf.DUMMYFUNCTION("REGEXEXTRACT(J8601, ""^\d+"")"),"3")</f>
        <v>3</v>
      </c>
      <c r="Z8601" s="5" t="str">
        <f>IFERROR(__xludf.DUMMYFUNCTION("REGEXEXTRACT(J8601, ""[A-Za-z ]+$"")")," Seasons")</f>
        <v> Seasons</v>
      </c>
      <c r="AA8601" s="5" t="str">
        <f>IFERROR(__xludf.DUMMYFUNCTION("IF(REGEXMATCH(Z8601, ""Season""), ""TV Show"", ""Movie"")"),"TV Show")</f>
        <v>TV Show</v>
      </c>
    </row>
    <row r="8602">
      <c r="A8602" s="1" t="s">
        <v>41026</v>
      </c>
      <c r="B8602" s="1" t="s">
        <v>37</v>
      </c>
      <c r="C8602" s="1" t="s">
        <v>41027</v>
      </c>
      <c r="E8602" s="1" t="s">
        <v>41028</v>
      </c>
      <c r="F8602" s="1" t="s">
        <v>1106</v>
      </c>
      <c r="G8602" s="1" t="s">
        <v>41029</v>
      </c>
      <c r="H8602" s="1">
        <v>2018.0</v>
      </c>
      <c r="I8602" s="1" t="s">
        <v>289</v>
      </c>
      <c r="J8602" s="1" t="s">
        <v>43</v>
      </c>
      <c r="K8602" s="1" t="s">
        <v>637</v>
      </c>
      <c r="L8602" s="1" t="s">
        <v>41030</v>
      </c>
      <c r="M8602" s="2" t="s">
        <v>12</v>
      </c>
      <c r="N8602" s="4">
        <f t="shared" si="1"/>
        <v>43719</v>
      </c>
      <c r="O8602" s="5" t="str">
        <f>IFERROR(__xludf.DUMMYFUNCTION("IF(REGEXMATCH(TRIM(I8602), ""^\d+\s*min""), ""Unclassified"", IF(I8602 = """", ""NR"", I8602))"),"TV-Y7")</f>
        <v>TV-Y7</v>
      </c>
      <c r="R8602" s="5" t="str">
        <f t="shared" si="2"/>
        <v>Tobot</v>
      </c>
      <c r="S8602" s="5" t="str">
        <f>IFERROR(__xludf.DUMMYFUNCTION("""COMPUTED_VALUE"""),"Why Do Fools Fall In Love")</f>
        <v>Why Do Fools Fall In Love</v>
      </c>
      <c r="V8602" s="5"/>
      <c r="Y8602" s="5" t="str">
        <f>IFERROR(__xludf.DUMMYFUNCTION("REGEXEXTRACT(J8602, ""^\d+"")"),"2")</f>
        <v>2</v>
      </c>
      <c r="Z8602" s="5" t="str">
        <f>IFERROR(__xludf.DUMMYFUNCTION("REGEXEXTRACT(J8602, ""[A-Za-z ]+$"")")," Seasons")</f>
        <v> Seasons</v>
      </c>
      <c r="AA8602" s="5" t="str">
        <f>IFERROR(__xludf.DUMMYFUNCTION("IF(REGEXMATCH(Z8602, ""Season""), ""TV Show"", ""Movie"")"),"TV Show")</f>
        <v>TV Show</v>
      </c>
    </row>
    <row r="8603">
      <c r="A8603" s="1" t="s">
        <v>41031</v>
      </c>
      <c r="B8603" s="1" t="s">
        <v>27</v>
      </c>
      <c r="C8603" s="1" t="s">
        <v>41032</v>
      </c>
      <c r="D8603" s="1" t="s">
        <v>13301</v>
      </c>
      <c r="F8603" s="1" t="s">
        <v>41033</v>
      </c>
      <c r="G8603" s="1" t="s">
        <v>27097</v>
      </c>
      <c r="H8603" s="1">
        <v>2017.0</v>
      </c>
      <c r="I8603" s="1" t="s">
        <v>97</v>
      </c>
      <c r="J8603" s="1" t="s">
        <v>1191</v>
      </c>
      <c r="K8603" s="1" t="s">
        <v>2892</v>
      </c>
      <c r="L8603" s="1" t="s">
        <v>41034</v>
      </c>
      <c r="M8603" s="2" t="s">
        <v>12</v>
      </c>
      <c r="N8603" s="4">
        <f t="shared" si="1"/>
        <v>43009</v>
      </c>
      <c r="O8603" s="5" t="str">
        <f>IFERROR(__xludf.DUMMYFUNCTION("IF(REGEXMATCH(TRIM(I8603), ""^\d+\s*min""), ""Unclassified"", IF(I8603 = """", ""NR"", I8603))"),"TV-14")</f>
        <v>TV-14</v>
      </c>
      <c r="R8603" s="5" t="str">
        <f t="shared" si="2"/>
        <v>Tokyo Idols</v>
      </c>
      <c r="S8603" s="5" t="str">
        <f>IFERROR(__xludf.DUMMYFUNCTION("""COMPUTED_VALUE"""),"Why Knot")</f>
        <v>Why Knot</v>
      </c>
      <c r="V8603" s="5"/>
      <c r="Y8603" s="5" t="str">
        <f>IFERROR(__xludf.DUMMYFUNCTION("REGEXEXTRACT(J8603, ""^\d+"")"),"89")</f>
        <v>89</v>
      </c>
      <c r="Z8603" s="5" t="str">
        <f>IFERROR(__xludf.DUMMYFUNCTION("REGEXEXTRACT(J8603, ""[A-Za-z ]+$"")")," min")</f>
        <v> min</v>
      </c>
      <c r="AA8603" s="5" t="str">
        <f>IFERROR(__xludf.DUMMYFUNCTION("IF(REGEXMATCH(Z8603, ""Season""), ""TV Show"", ""Movie"")"),"Movie")</f>
        <v>Movie</v>
      </c>
    </row>
    <row r="8604">
      <c r="A8604" s="1" t="s">
        <v>41035</v>
      </c>
      <c r="B8604" s="1" t="s">
        <v>27</v>
      </c>
      <c r="C8604" s="1" t="s">
        <v>41036</v>
      </c>
      <c r="D8604" s="1" t="s">
        <v>18163</v>
      </c>
      <c r="E8604" s="1" t="s">
        <v>41037</v>
      </c>
      <c r="G8604" s="1" t="s">
        <v>17333</v>
      </c>
      <c r="H8604" s="1">
        <v>2001.0</v>
      </c>
      <c r="I8604" s="1" t="s">
        <v>289</v>
      </c>
      <c r="J8604" s="1" t="s">
        <v>4639</v>
      </c>
      <c r="K8604" s="1" t="s">
        <v>137</v>
      </c>
      <c r="L8604" s="1" t="s">
        <v>41038</v>
      </c>
      <c r="M8604" s="2" t="s">
        <v>12</v>
      </c>
      <c r="N8604" s="4">
        <f t="shared" si="1"/>
        <v>43814</v>
      </c>
      <c r="O8604" s="5" t="str">
        <f>IFERROR(__xludf.DUMMYFUNCTION("IF(REGEXMATCH(TRIM(I8604), ""^\d+\s*min""), ""Unclassified"", IF(I8604 = """", ""NR"", I8604))"),"TV-Y7")</f>
        <v>TV-Y7</v>
      </c>
      <c r="R8604" s="5" t="str">
        <f t="shared" si="2"/>
        <v>Tom And Jerry: The Magic Ring</v>
      </c>
      <c r="S8604" s="5" t="str">
        <f>IFERROR(__xludf.DUMMYFUNCTION("""COMPUTED_VALUE"""),"Why Me?")</f>
        <v>Why Me?</v>
      </c>
      <c r="V8604" s="5"/>
      <c r="Y8604" s="5" t="str">
        <f>IFERROR(__xludf.DUMMYFUNCTION("REGEXEXTRACT(J8604, ""^\d+"")"),"60")</f>
        <v>60</v>
      </c>
      <c r="Z8604" s="5" t="str">
        <f>IFERROR(__xludf.DUMMYFUNCTION("REGEXEXTRACT(J8604, ""[A-Za-z ]+$"")")," min")</f>
        <v> min</v>
      </c>
      <c r="AA8604" s="5" t="str">
        <f>IFERROR(__xludf.DUMMYFUNCTION("IF(REGEXMATCH(Z8604, ""Season""), ""TV Show"", ""Movie"")"),"Movie")</f>
        <v>Movie</v>
      </c>
    </row>
    <row r="8605">
      <c r="A8605" s="1" t="s">
        <v>41039</v>
      </c>
      <c r="B8605" s="1" t="s">
        <v>27</v>
      </c>
      <c r="C8605" s="1" t="s">
        <v>41040</v>
      </c>
      <c r="D8605" s="1" t="s">
        <v>19704</v>
      </c>
      <c r="E8605" s="1" t="s">
        <v>41041</v>
      </c>
      <c r="F8605" s="1" t="s">
        <v>686</v>
      </c>
      <c r="G8605" s="1" t="s">
        <v>17078</v>
      </c>
      <c r="H8605" s="1">
        <v>1997.0</v>
      </c>
      <c r="I8605" s="1" t="s">
        <v>32</v>
      </c>
      <c r="J8605" s="1" t="s">
        <v>804</v>
      </c>
      <c r="K8605" s="1" t="s">
        <v>380</v>
      </c>
      <c r="L8605" s="1" t="s">
        <v>41042</v>
      </c>
      <c r="M8605" s="2" t="s">
        <v>12</v>
      </c>
      <c r="N8605" s="4">
        <f t="shared" si="1"/>
        <v>43830</v>
      </c>
      <c r="O8605" s="5" t="str">
        <f>IFERROR(__xludf.DUMMYFUNCTION("IF(REGEXMATCH(TRIM(I8605), ""^\d+\s*min""), ""Unclassified"", IF(I8605 = """", ""NR"", I8605))"),"PG-13")</f>
        <v>PG-13</v>
      </c>
      <c r="R8605" s="5" t="str">
        <f t="shared" si="2"/>
        <v>Tomorrow Never Dies</v>
      </c>
      <c r="S8605" s="5" t="str">
        <f>IFERROR(__xludf.DUMMYFUNCTION("""COMPUTED_VALUE"""),"Why We Fight: The Battle Of Russia")</f>
        <v>Why We Fight: The Battle Of Russia</v>
      </c>
      <c r="V8605" s="5"/>
      <c r="Y8605" s="5" t="str">
        <f>IFERROR(__xludf.DUMMYFUNCTION("REGEXEXTRACT(J8605, ""^\d+"")"),"119")</f>
        <v>119</v>
      </c>
      <c r="Z8605" s="5" t="str">
        <f>IFERROR(__xludf.DUMMYFUNCTION("REGEXEXTRACT(J8605, ""[A-Za-z ]+$"")")," min")</f>
        <v> min</v>
      </c>
      <c r="AA8605" s="5" t="str">
        <f>IFERROR(__xludf.DUMMYFUNCTION("IF(REGEXMATCH(Z8605, ""Season""), ""TV Show"", ""Movie"")"),"Movie")</f>
        <v>Movie</v>
      </c>
    </row>
    <row r="8606">
      <c r="A8606" s="1" t="s">
        <v>41043</v>
      </c>
      <c r="B8606" s="1" t="s">
        <v>37</v>
      </c>
      <c r="C8606" s="1" t="s">
        <v>41044</v>
      </c>
      <c r="F8606" s="1" t="s">
        <v>41045</v>
      </c>
      <c r="G8606" s="1" t="s">
        <v>21602</v>
      </c>
      <c r="H8606" s="1">
        <v>2018.0</v>
      </c>
      <c r="I8606" s="1" t="s">
        <v>97</v>
      </c>
      <c r="J8606" s="1" t="s">
        <v>51</v>
      </c>
      <c r="K8606" s="1" t="s">
        <v>29581</v>
      </c>
      <c r="L8606" s="1" t="s">
        <v>41046</v>
      </c>
      <c r="M8606" s="2" t="s">
        <v>12</v>
      </c>
      <c r="N8606" s="4">
        <f t="shared" si="1"/>
        <v>43539</v>
      </c>
      <c r="O8606" s="5" t="str">
        <f>IFERROR(__xludf.DUMMYFUNCTION("IF(REGEXMATCH(TRIM(I8606), ""^\d+\s*min""), ""Unclassified"", IF(I8606 = """", ""NR"", I8606))"),"TV-14")</f>
        <v>TV-14</v>
      </c>
      <c r="R8606" s="5" t="str">
        <f t="shared" si="2"/>
        <v>Top 10 Secrets And Mysteries</v>
      </c>
      <c r="S8606" s="5" t="str">
        <f>IFERROR(__xludf.DUMMYFUNCTION("""COMPUTED_VALUE"""),"Wild Alaska")</f>
        <v>Wild Alaska</v>
      </c>
      <c r="V8606" s="5"/>
      <c r="Y8606" s="5" t="str">
        <f>IFERROR(__xludf.DUMMYFUNCTION("REGEXEXTRACT(J8606, ""^\d+"")"),"1")</f>
        <v>1</v>
      </c>
      <c r="Z8606" s="5" t="str">
        <f>IFERROR(__xludf.DUMMYFUNCTION("REGEXEXTRACT(J8606, ""[A-Za-z ]+$"")")," Season")</f>
        <v> Season</v>
      </c>
      <c r="AA8606" s="5" t="str">
        <f>IFERROR(__xludf.DUMMYFUNCTION("IF(REGEXMATCH(Z8606, ""Season""), ""TV Show"", ""Movie"")"),"TV Show")</f>
        <v>TV Show</v>
      </c>
    </row>
    <row r="8607">
      <c r="A8607" s="1" t="s">
        <v>41047</v>
      </c>
      <c r="B8607" s="1" t="s">
        <v>37</v>
      </c>
      <c r="C8607" s="1" t="s">
        <v>41048</v>
      </c>
      <c r="F8607" s="1" t="s">
        <v>30</v>
      </c>
      <c r="G8607" s="1" t="s">
        <v>22684</v>
      </c>
      <c r="H8607" s="1">
        <v>2018.0</v>
      </c>
      <c r="I8607" s="1" t="s">
        <v>42</v>
      </c>
      <c r="J8607" s="1" t="s">
        <v>276</v>
      </c>
      <c r="K8607" s="1" t="s">
        <v>440</v>
      </c>
      <c r="L8607" s="1" t="s">
        <v>41049</v>
      </c>
      <c r="M8607" s="2" t="s">
        <v>12</v>
      </c>
      <c r="N8607" s="4">
        <f t="shared" si="1"/>
        <v>43465</v>
      </c>
      <c r="O8607" s="5" t="str">
        <f>IFERROR(__xludf.DUMMYFUNCTION("IF(REGEXMATCH(TRIM(I8607), ""^\d+\s*min""), ""Unclassified"", IF(I8607 = """", ""NR"", I8607))"),"TV-MA")</f>
        <v>TV-MA</v>
      </c>
      <c r="R8607" s="5" t="str">
        <f t="shared" si="2"/>
        <v>Top Grier</v>
      </c>
      <c r="S8607" s="5" t="str">
        <f>IFERROR(__xludf.DUMMYFUNCTION("""COMPUTED_VALUE"""),"Wild Arabia")</f>
        <v>Wild Arabia</v>
      </c>
      <c r="V8607" s="5"/>
      <c r="Y8607" s="5" t="str">
        <f>IFERROR(__xludf.DUMMYFUNCTION("REGEXEXTRACT(J8607, ""^\d+"")"),"3")</f>
        <v>3</v>
      </c>
      <c r="Z8607" s="5" t="str">
        <f>IFERROR(__xludf.DUMMYFUNCTION("REGEXEXTRACT(J8607, ""[A-Za-z ]+$"")")," Seasons")</f>
        <v> Seasons</v>
      </c>
      <c r="AA8607" s="5" t="str">
        <f>IFERROR(__xludf.DUMMYFUNCTION("IF(REGEXMATCH(Z8607, ""Season""), ""TV Show"", ""Movie"")"),"TV Show")</f>
        <v>TV Show</v>
      </c>
    </row>
    <row r="8608">
      <c r="A8608" s="1" t="s">
        <v>41050</v>
      </c>
      <c r="B8608" s="1" t="s">
        <v>27</v>
      </c>
      <c r="C8608" s="1" t="s">
        <v>41051</v>
      </c>
      <c r="D8608" s="1" t="s">
        <v>3982</v>
      </c>
      <c r="E8608" s="1" t="s">
        <v>41052</v>
      </c>
      <c r="F8608" s="1" t="s">
        <v>63</v>
      </c>
      <c r="G8608" s="1" t="s">
        <v>26089</v>
      </c>
      <c r="H8608" s="1">
        <v>2016.0</v>
      </c>
      <c r="I8608" s="1" t="s">
        <v>97</v>
      </c>
      <c r="J8608" s="1" t="s">
        <v>630</v>
      </c>
      <c r="K8608" s="1" t="s">
        <v>89</v>
      </c>
      <c r="L8608" s="1" t="s">
        <v>41053</v>
      </c>
      <c r="M8608" s="2" t="s">
        <v>12</v>
      </c>
      <c r="N8608" s="4">
        <f t="shared" si="1"/>
        <v>43160</v>
      </c>
      <c r="O8608" s="5" t="str">
        <f>IFERROR(__xludf.DUMMYFUNCTION("IF(REGEXMATCH(TRIM(I8608), ""^\d+\s*min""), ""Unclassified"", IF(I8608 = """", ""NR"", I8608))"),"TV-14")</f>
        <v>TV-14</v>
      </c>
      <c r="R8608" s="5" t="str">
        <f t="shared" si="2"/>
        <v>Tope: The Bait</v>
      </c>
      <c r="S8608" s="5" t="str">
        <f>IFERROR(__xludf.DUMMYFUNCTION("""COMPUTED_VALUE"""),"Wild Child")</f>
        <v>Wild Child</v>
      </c>
      <c r="V8608" s="5"/>
      <c r="Y8608" s="5" t="str">
        <f>IFERROR(__xludf.DUMMYFUNCTION("REGEXEXTRACT(J8608, ""^\d+"")"),"87")</f>
        <v>87</v>
      </c>
      <c r="Z8608" s="5" t="str">
        <f>IFERROR(__xludf.DUMMYFUNCTION("REGEXEXTRACT(J8608, ""[A-Za-z ]+$"")")," min")</f>
        <v> min</v>
      </c>
      <c r="AA8608" s="5" t="str">
        <f>IFERROR(__xludf.DUMMYFUNCTION("IF(REGEXMATCH(Z8608, ""Season""), ""TV Show"", ""Movie"")"),"Movie")</f>
        <v>Movie</v>
      </c>
    </row>
    <row r="8609">
      <c r="A8609" s="1" t="s">
        <v>41054</v>
      </c>
      <c r="B8609" s="1" t="s">
        <v>27</v>
      </c>
      <c r="C8609" s="1" t="s">
        <v>41055</v>
      </c>
      <c r="D8609" s="1" t="s">
        <v>14692</v>
      </c>
      <c r="E8609" s="1" t="s">
        <v>41056</v>
      </c>
      <c r="F8609" s="1" t="s">
        <v>30</v>
      </c>
      <c r="G8609" s="1" t="s">
        <v>11470</v>
      </c>
      <c r="H8609" s="1">
        <v>2001.0</v>
      </c>
      <c r="I8609" s="1" t="s">
        <v>32</v>
      </c>
      <c r="J8609" s="1" t="s">
        <v>106</v>
      </c>
      <c r="K8609" s="1" t="s">
        <v>1099</v>
      </c>
      <c r="L8609" s="1" t="s">
        <v>41057</v>
      </c>
      <c r="M8609" s="2" t="s">
        <v>12</v>
      </c>
      <c r="N8609" s="4">
        <f t="shared" si="1"/>
        <v>44089</v>
      </c>
      <c r="O8609" s="5" t="str">
        <f>IFERROR(__xludf.DUMMYFUNCTION("IF(REGEXMATCH(TRIM(I8609), ""^\d+\s*min""), ""Unclassified"", IF(I8609 = """", ""NR"", I8609))"),"PG-13")</f>
        <v>PG-13</v>
      </c>
      <c r="R8609" s="5" t="str">
        <f t="shared" si="2"/>
        <v>Tortilla Soup</v>
      </c>
      <c r="S8609" s="5" t="str">
        <f>IFERROR(__xludf.DUMMYFUNCTION("""COMPUTED_VALUE"""),"Wild District")</f>
        <v>Wild District</v>
      </c>
      <c r="V8609" s="5"/>
      <c r="Y8609" s="5" t="str">
        <f>IFERROR(__xludf.DUMMYFUNCTION("REGEXEXTRACT(J8609, ""^\d+"")"),"104")</f>
        <v>104</v>
      </c>
      <c r="Z8609" s="5" t="str">
        <f>IFERROR(__xludf.DUMMYFUNCTION("REGEXEXTRACT(J8609, ""[A-Za-z ]+$"")")," min")</f>
        <v> min</v>
      </c>
      <c r="AA8609" s="5" t="str">
        <f>IFERROR(__xludf.DUMMYFUNCTION("IF(REGEXMATCH(Z8609, ""Season""), ""TV Show"", ""Movie"")"),"Movie")</f>
        <v>Movie</v>
      </c>
    </row>
    <row r="8610">
      <c r="A8610" s="1" t="s">
        <v>41058</v>
      </c>
      <c r="B8610" s="1" t="s">
        <v>27</v>
      </c>
      <c r="C8610" s="1" t="s">
        <v>41059</v>
      </c>
      <c r="D8610" s="1" t="s">
        <v>23505</v>
      </c>
      <c r="E8610" s="1" t="s">
        <v>41060</v>
      </c>
      <c r="F8610" s="1" t="s">
        <v>30</v>
      </c>
      <c r="G8610" s="1" t="s">
        <v>36431</v>
      </c>
      <c r="H8610" s="1">
        <v>2016.0</v>
      </c>
      <c r="I8610" s="1" t="s">
        <v>30231</v>
      </c>
      <c r="J8610" s="1" t="s">
        <v>170</v>
      </c>
      <c r="K8610" s="1" t="s">
        <v>239</v>
      </c>
      <c r="L8610" s="1" t="s">
        <v>41061</v>
      </c>
      <c r="M8610" s="2" t="s">
        <v>12</v>
      </c>
      <c r="N8610" s="4">
        <f t="shared" si="1"/>
        <v>42723</v>
      </c>
      <c r="O8610" s="5" t="str">
        <f>IFERROR(__xludf.DUMMYFUNCTION("IF(REGEXMATCH(TRIM(I8610), ""^\d+\s*min""), ""Unclassified"", IF(I8610 = """", ""NR"", I8610))"),"NR")</f>
        <v>NR</v>
      </c>
      <c r="R8610" s="5" t="str">
        <f t="shared" si="2"/>
        <v>Total Frat Movie</v>
      </c>
      <c r="S8610" s="5" t="str">
        <f>IFERROR(__xludf.DUMMYFUNCTION("""COMPUTED_VALUE"""),"Wild Dog")</f>
        <v>Wild Dog</v>
      </c>
      <c r="V8610" s="5"/>
      <c r="Y8610" s="5" t="str">
        <f>IFERROR(__xludf.DUMMYFUNCTION("REGEXEXTRACT(J8610, ""^\d+"")"),"94")</f>
        <v>94</v>
      </c>
      <c r="Z8610" s="5" t="str">
        <f>IFERROR(__xludf.DUMMYFUNCTION("REGEXEXTRACT(J8610, ""[A-Za-z ]+$"")")," min")</f>
        <v> min</v>
      </c>
      <c r="AA8610" s="5" t="str">
        <f>IFERROR(__xludf.DUMMYFUNCTION("IF(REGEXMATCH(Z8610, ""Season""), ""TV Show"", ""Movie"")"),"Movie")</f>
        <v>Movie</v>
      </c>
    </row>
    <row r="8611">
      <c r="A8611" s="1" t="s">
        <v>41062</v>
      </c>
      <c r="B8611" s="1" t="s">
        <v>37</v>
      </c>
      <c r="C8611" s="1" t="s">
        <v>41063</v>
      </c>
      <c r="G8611" s="1" t="s">
        <v>26532</v>
      </c>
      <c r="H8611" s="1">
        <v>2016.0</v>
      </c>
      <c r="I8611" s="1" t="s">
        <v>42</v>
      </c>
      <c r="J8611" s="1" t="s">
        <v>51</v>
      </c>
      <c r="K8611" s="1" t="s">
        <v>1520</v>
      </c>
      <c r="L8611" s="1" t="s">
        <v>41064</v>
      </c>
      <c r="M8611" s="2" t="s">
        <v>12</v>
      </c>
      <c r="N8611" s="4">
        <f t="shared" si="1"/>
        <v>43096</v>
      </c>
      <c r="O8611" s="5" t="str">
        <f>IFERROR(__xludf.DUMMYFUNCTION("IF(REGEXMATCH(TRIM(I8611), ""^\d+\s*min""), ""Unclassified"", IF(I8611 = """", ""NR"", I8611))"),"TV-MA")</f>
        <v>TV-MA</v>
      </c>
      <c r="R8611" s="5" t="str">
        <f t="shared" si="2"/>
        <v>Towies</v>
      </c>
      <c r="S8611" s="5" t="str">
        <f>IFERROR(__xludf.DUMMYFUNCTION("""COMPUTED_VALUE"""),"Wild Oats")</f>
        <v>Wild Oats</v>
      </c>
      <c r="V8611" s="5"/>
      <c r="Y8611" s="5" t="str">
        <f>IFERROR(__xludf.DUMMYFUNCTION("REGEXEXTRACT(J8611, ""^\d+"")"),"1")</f>
        <v>1</v>
      </c>
      <c r="Z8611" s="5" t="str">
        <f>IFERROR(__xludf.DUMMYFUNCTION("REGEXEXTRACT(J8611, ""[A-Za-z ]+$"")")," Season")</f>
        <v> Season</v>
      </c>
      <c r="AA8611" s="5" t="str">
        <f>IFERROR(__xludf.DUMMYFUNCTION("IF(REGEXMATCH(Z8611, ""Season""), ""TV Show"", ""Movie"")"),"TV Show")</f>
        <v>TV Show</v>
      </c>
    </row>
    <row r="8612">
      <c r="A8612" s="1" t="s">
        <v>41065</v>
      </c>
      <c r="B8612" s="1" t="s">
        <v>27</v>
      </c>
      <c r="C8612" s="1" t="s">
        <v>41066</v>
      </c>
      <c r="D8612" s="1" t="s">
        <v>4669</v>
      </c>
      <c r="E8612" s="1" t="s">
        <v>41067</v>
      </c>
      <c r="F8612" s="1" t="s">
        <v>30</v>
      </c>
      <c r="G8612" s="1" t="s">
        <v>18639</v>
      </c>
      <c r="H8612" s="1">
        <v>2015.0</v>
      </c>
      <c r="I8612" s="1" t="s">
        <v>32</v>
      </c>
      <c r="J8612" s="1" t="s">
        <v>170</v>
      </c>
      <c r="K8612" s="1" t="s">
        <v>380</v>
      </c>
      <c r="L8612" s="1" t="s">
        <v>41068</v>
      </c>
      <c r="M8612" s="2" t="s">
        <v>12</v>
      </c>
      <c r="N8612" s="4">
        <f t="shared" si="1"/>
        <v>43760</v>
      </c>
      <c r="O8612" s="5" t="str">
        <f>IFERROR(__xludf.DUMMYFUNCTION("IF(REGEXMATCH(TRIM(I8612), ""^\d+\s*min""), ""Unclassified"", IF(I8612 = """", ""NR"", I8612))"),"PG-13")</f>
        <v>PG-13</v>
      </c>
      <c r="R8612" s="5" t="str">
        <f t="shared" si="2"/>
        <v>Tracers</v>
      </c>
      <c r="S8612" s="5" t="str">
        <f>IFERROR(__xludf.DUMMYFUNCTION("""COMPUTED_VALUE"""),"Wild Wild Country")</f>
        <v>Wild Wild Country</v>
      </c>
      <c r="V8612" s="5"/>
      <c r="Y8612" s="5" t="str">
        <f>IFERROR(__xludf.DUMMYFUNCTION("REGEXEXTRACT(J8612, ""^\d+"")"),"94")</f>
        <v>94</v>
      </c>
      <c r="Z8612" s="5" t="str">
        <f>IFERROR(__xludf.DUMMYFUNCTION("REGEXEXTRACT(J8612, ""[A-Za-z ]+$"")")," min")</f>
        <v> min</v>
      </c>
      <c r="AA8612" s="5" t="str">
        <f>IFERROR(__xludf.DUMMYFUNCTION("IF(REGEXMATCH(Z8612, ""Season""), ""TV Show"", ""Movie"")"),"Movie")</f>
        <v>Movie</v>
      </c>
    </row>
    <row r="8613">
      <c r="A8613" s="1" t="s">
        <v>41069</v>
      </c>
      <c r="B8613" s="1" t="s">
        <v>27</v>
      </c>
      <c r="C8613" s="1" t="s">
        <v>41070</v>
      </c>
      <c r="D8613" s="1" t="s">
        <v>14228</v>
      </c>
      <c r="E8613" s="1" t="s">
        <v>41071</v>
      </c>
      <c r="F8613" s="1" t="s">
        <v>63</v>
      </c>
      <c r="G8613" s="1" t="s">
        <v>17078</v>
      </c>
      <c r="H8613" s="1">
        <v>2007.0</v>
      </c>
      <c r="I8613" s="1" t="s">
        <v>42</v>
      </c>
      <c r="J8613" s="1" t="s">
        <v>2281</v>
      </c>
      <c r="K8613" s="1" t="s">
        <v>89</v>
      </c>
      <c r="L8613" s="1" t="s">
        <v>41072</v>
      </c>
      <c r="M8613" s="2" t="s">
        <v>12</v>
      </c>
      <c r="N8613" s="4">
        <f t="shared" si="1"/>
        <v>43830</v>
      </c>
      <c r="O8613" s="5" t="str">
        <f>IFERROR(__xludf.DUMMYFUNCTION("IF(REGEXMATCH(TRIM(I8613), ""^\d+\s*min""), ""Unclassified"", IF(I8613 = """", ""NR"", I8613))"),"TV-MA")</f>
        <v>TV-MA</v>
      </c>
      <c r="R8613" s="5" t="str">
        <f t="shared" si="2"/>
        <v>Traffic Signal</v>
      </c>
      <c r="S8613" s="5" t="str">
        <f>IFERROR(__xludf.DUMMYFUNCTION("""COMPUTED_VALUE"""),"Wild Wild West")</f>
        <v>Wild Wild West</v>
      </c>
      <c r="V8613" s="5"/>
      <c r="Y8613" s="5" t="str">
        <f>IFERROR(__xludf.DUMMYFUNCTION("REGEXEXTRACT(J8613, ""^\d+"")"),"130")</f>
        <v>130</v>
      </c>
      <c r="Z8613" s="5" t="str">
        <f>IFERROR(__xludf.DUMMYFUNCTION("REGEXEXTRACT(J8613, ""[A-Za-z ]+$"")")," min")</f>
        <v> min</v>
      </c>
      <c r="AA8613" s="5" t="str">
        <f>IFERROR(__xludf.DUMMYFUNCTION("IF(REGEXMATCH(Z8613, ""Season""), ""TV Show"", ""Movie"")"),"Movie")</f>
        <v>Movie</v>
      </c>
    </row>
    <row r="8614">
      <c r="A8614" s="1" t="s">
        <v>41073</v>
      </c>
      <c r="B8614" s="1" t="s">
        <v>27</v>
      </c>
      <c r="C8614" s="1" t="s">
        <v>41074</v>
      </c>
      <c r="D8614" s="1" t="s">
        <v>21880</v>
      </c>
      <c r="E8614" s="1" t="s">
        <v>41075</v>
      </c>
      <c r="F8614" s="1" t="s">
        <v>2796</v>
      </c>
      <c r="G8614" s="1" t="s">
        <v>25035</v>
      </c>
      <c r="H8614" s="1">
        <v>2007.0</v>
      </c>
      <c r="I8614" s="1" t="s">
        <v>42</v>
      </c>
      <c r="J8614" s="1" t="s">
        <v>428</v>
      </c>
      <c r="K8614" s="1" t="s">
        <v>1441</v>
      </c>
      <c r="L8614" s="1" t="s">
        <v>41076</v>
      </c>
      <c r="M8614" s="2" t="s">
        <v>12</v>
      </c>
      <c r="N8614" s="4">
        <f t="shared" si="1"/>
        <v>43306</v>
      </c>
      <c r="O8614" s="5" t="str">
        <f>IFERROR(__xludf.DUMMYFUNCTION("IF(REGEXMATCH(TRIM(I8614), ""^\d+\s*min""), ""Unclassified"", IF(I8614 = """", ""NR"", I8614))"),"TV-MA")</f>
        <v>TV-MA</v>
      </c>
      <c r="R8614" s="5" t="str">
        <f t="shared" si="2"/>
        <v>Train Of The Dead</v>
      </c>
      <c r="S8614" s="5" t="str">
        <f>IFERROR(__xludf.DUMMYFUNCTION("""COMPUTED_VALUE"""),"Wildlife")</f>
        <v>Wildlife</v>
      </c>
      <c r="V8614" s="5"/>
      <c r="Y8614" s="5" t="str">
        <f>IFERROR(__xludf.DUMMYFUNCTION("REGEXEXTRACT(J8614, ""^\d+"")"),"88")</f>
        <v>88</v>
      </c>
      <c r="Z8614" s="5" t="str">
        <f>IFERROR(__xludf.DUMMYFUNCTION("REGEXEXTRACT(J8614, ""[A-Za-z ]+$"")")," min")</f>
        <v> min</v>
      </c>
      <c r="AA8614" s="5" t="str">
        <f>IFERROR(__xludf.DUMMYFUNCTION("IF(REGEXMATCH(Z8614, ""Season""), ""TV Show"", ""Movie"")"),"Movie")</f>
        <v>Movie</v>
      </c>
    </row>
    <row r="8615">
      <c r="A8615" s="1" t="s">
        <v>41077</v>
      </c>
      <c r="B8615" s="1" t="s">
        <v>27</v>
      </c>
      <c r="C8615" s="1" t="s">
        <v>41078</v>
      </c>
      <c r="D8615" s="1" t="s">
        <v>25707</v>
      </c>
      <c r="E8615" s="1" t="s">
        <v>41079</v>
      </c>
      <c r="F8615" s="1" t="s">
        <v>749</v>
      </c>
      <c r="G8615" s="1" t="s">
        <v>28469</v>
      </c>
      <c r="H8615" s="1">
        <v>2016.0</v>
      </c>
      <c r="I8615" s="1" t="s">
        <v>42</v>
      </c>
      <c r="J8615" s="1" t="s">
        <v>870</v>
      </c>
      <c r="K8615" s="1" t="s">
        <v>1376</v>
      </c>
      <c r="L8615" s="1" t="s">
        <v>41080</v>
      </c>
      <c r="M8615" s="2" t="s">
        <v>12</v>
      </c>
      <c r="N8615" s="4">
        <f t="shared" si="1"/>
        <v>42812</v>
      </c>
      <c r="O8615" s="5" t="str">
        <f>IFERROR(__xludf.DUMMYFUNCTION("IF(REGEXMATCH(TRIM(I8615), ""^\d+\s*min""), ""Unclassified"", IF(I8615 = """", ""NR"", I8615))"),"TV-MA")</f>
        <v>TV-MA</v>
      </c>
      <c r="R8615" s="5" t="str">
        <f t="shared" si="2"/>
        <v>Train To Busan</v>
      </c>
      <c r="S8615" s="5" t="str">
        <f>IFERROR(__xludf.DUMMYFUNCTION("""COMPUTED_VALUE"""),"Wildling")</f>
        <v>Wildling</v>
      </c>
      <c r="V8615" s="5"/>
      <c r="Y8615" s="5" t="str">
        <f>IFERROR(__xludf.DUMMYFUNCTION("REGEXEXTRACT(J8615, ""^\d+"")"),"118")</f>
        <v>118</v>
      </c>
      <c r="Z8615" s="5" t="str">
        <f>IFERROR(__xludf.DUMMYFUNCTION("REGEXEXTRACT(J8615, ""[A-Za-z ]+$"")")," min")</f>
        <v> min</v>
      </c>
      <c r="AA8615" s="5" t="str">
        <f>IFERROR(__xludf.DUMMYFUNCTION("IF(REGEXMATCH(Z8615, ""Season""), ""TV Show"", ""Movie"")"),"Movie")</f>
        <v>Movie</v>
      </c>
    </row>
    <row r="8616">
      <c r="A8616" s="1" t="s">
        <v>41081</v>
      </c>
      <c r="B8616" s="1" t="s">
        <v>27</v>
      </c>
      <c r="C8616" s="1" t="s">
        <v>41082</v>
      </c>
      <c r="D8616" s="1" t="s">
        <v>5680</v>
      </c>
      <c r="E8616" s="1" t="s">
        <v>41083</v>
      </c>
      <c r="F8616" s="1" t="s">
        <v>96</v>
      </c>
      <c r="G8616" s="1" t="s">
        <v>18985</v>
      </c>
      <c r="H8616" s="1">
        <v>1996.0</v>
      </c>
      <c r="I8616" s="1" t="s">
        <v>378</v>
      </c>
      <c r="J8616" s="1" t="s">
        <v>170</v>
      </c>
      <c r="K8616" s="1" t="s">
        <v>30960</v>
      </c>
      <c r="L8616" s="1" t="s">
        <v>41084</v>
      </c>
      <c r="M8616" s="2" t="s">
        <v>12</v>
      </c>
      <c r="N8616" s="4">
        <f t="shared" si="1"/>
        <v>43739</v>
      </c>
      <c r="O8616" s="5" t="str">
        <f>IFERROR(__xludf.DUMMYFUNCTION("IF(REGEXMATCH(TRIM(I8616), ""^\d+\s*min""), ""Unclassified"", IF(I8616 = """", ""NR"", I8616))"),"R")</f>
        <v>R</v>
      </c>
      <c r="R8616" s="5" t="str">
        <f t="shared" si="2"/>
        <v>Trainspotting</v>
      </c>
      <c r="S8616" s="5" t="str">
        <f>IFERROR(__xludf.DUMMYFUNCTION("""COMPUTED_VALUE"""),"Williams")</f>
        <v>Williams</v>
      </c>
      <c r="V8616" s="5"/>
      <c r="Y8616" s="5" t="str">
        <f>IFERROR(__xludf.DUMMYFUNCTION("REGEXEXTRACT(J8616, ""^\d+"")"),"94")</f>
        <v>94</v>
      </c>
      <c r="Z8616" s="5" t="str">
        <f>IFERROR(__xludf.DUMMYFUNCTION("REGEXEXTRACT(J8616, ""[A-Za-z ]+$"")")," min")</f>
        <v> min</v>
      </c>
      <c r="AA8616" s="5" t="str">
        <f>IFERROR(__xludf.DUMMYFUNCTION("IF(REGEXMATCH(Z8616, ""Season""), ""TV Show"", ""Movie"")"),"Movie")</f>
        <v>Movie</v>
      </c>
    </row>
    <row r="8617">
      <c r="A8617" s="1" t="s">
        <v>41085</v>
      </c>
      <c r="B8617" s="1" t="s">
        <v>27</v>
      </c>
      <c r="C8617" s="1" t="s">
        <v>41086</v>
      </c>
      <c r="D8617" s="1" t="s">
        <v>10647</v>
      </c>
      <c r="E8617" s="1" t="s">
        <v>41087</v>
      </c>
      <c r="F8617" s="1" t="s">
        <v>30</v>
      </c>
      <c r="G8617" s="1" t="s">
        <v>25185</v>
      </c>
      <c r="H8617" s="1">
        <v>2008.0</v>
      </c>
      <c r="I8617" s="1" t="s">
        <v>32</v>
      </c>
      <c r="J8617" s="1" t="s">
        <v>835</v>
      </c>
      <c r="K8617" s="1" t="s">
        <v>394</v>
      </c>
      <c r="L8617" s="1" t="s">
        <v>41088</v>
      </c>
      <c r="M8617" s="2" t="s">
        <v>12</v>
      </c>
      <c r="N8617" s="4">
        <f t="shared" si="1"/>
        <v>43282</v>
      </c>
      <c r="O8617" s="5" t="str">
        <f>IFERROR(__xludf.DUMMYFUNCTION("IF(REGEXMATCH(TRIM(I8617), ""^\d+\s*min""), ""Unclassified"", IF(I8617 = """", ""NR"", I8617))"),"PG-13")</f>
        <v>PG-13</v>
      </c>
      <c r="R8617" s="5" t="str">
        <f t="shared" si="2"/>
        <v>Traitor</v>
      </c>
      <c r="S8617" s="5" t="str">
        <f>IFERROR(__xludf.DUMMYFUNCTION("""COMPUTED_VALUE"""),"Willy And The Guardians Of The Lake: Tales From The Lakeside Winter Adventure")</f>
        <v>Willy And The Guardians Of The Lake: Tales From The Lakeside Winter Adventure</v>
      </c>
      <c r="V8617" s="5"/>
      <c r="Y8617" s="5" t="str">
        <f>IFERROR(__xludf.DUMMYFUNCTION("REGEXEXTRACT(J8617, ""^\d+"")"),"114")</f>
        <v>114</v>
      </c>
      <c r="Z8617" s="5" t="str">
        <f>IFERROR(__xludf.DUMMYFUNCTION("REGEXEXTRACT(J8617, ""[A-Za-z ]+$"")")," min")</f>
        <v> min</v>
      </c>
      <c r="AA8617" s="5" t="str">
        <f>IFERROR(__xludf.DUMMYFUNCTION("IF(REGEXMATCH(Z8617, ""Season""), ""TV Show"", ""Movie"")"),"Movie")</f>
        <v>Movie</v>
      </c>
    </row>
    <row r="8618">
      <c r="A8618" s="1" t="s">
        <v>41089</v>
      </c>
      <c r="B8618" s="1" t="s">
        <v>27</v>
      </c>
      <c r="C8618" s="1" t="s">
        <v>41090</v>
      </c>
      <c r="D8618" s="1" t="s">
        <v>23489</v>
      </c>
      <c r="E8618" s="1" t="s">
        <v>41091</v>
      </c>
      <c r="F8618" s="1" t="s">
        <v>41092</v>
      </c>
      <c r="G8618" s="1" t="s">
        <v>23564</v>
      </c>
      <c r="H8618" s="1">
        <v>2014.0</v>
      </c>
      <c r="I8618" s="1" t="s">
        <v>32</v>
      </c>
      <c r="J8618" s="1" t="s">
        <v>804</v>
      </c>
      <c r="K8618" s="1" t="s">
        <v>658</v>
      </c>
      <c r="L8618" s="1" t="s">
        <v>41093</v>
      </c>
      <c r="M8618" s="2" t="s">
        <v>12</v>
      </c>
      <c r="N8618" s="4">
        <f t="shared" si="1"/>
        <v>43405</v>
      </c>
      <c r="O8618" s="5" t="str">
        <f>IFERROR(__xludf.DUMMYFUNCTION("IF(REGEXMATCH(TRIM(I8618), ""^\d+\s*min""), ""Unclassified"", IF(I8618 = """", ""NR"", I8618))"),"PG-13")</f>
        <v>PG-13</v>
      </c>
      <c r="R8618" s="5" t="str">
        <f t="shared" si="2"/>
        <v>Transcendence</v>
      </c>
      <c r="S8618" s="5" t="str">
        <f>IFERROR(__xludf.DUMMYFUNCTION("""COMPUTED_VALUE"""),"Willy Wonka &amp; The Chocolate Factory")</f>
        <v>Willy Wonka &amp; The Chocolate Factory</v>
      </c>
      <c r="V8618" s="5"/>
      <c r="Y8618" s="5" t="str">
        <f>IFERROR(__xludf.DUMMYFUNCTION("REGEXEXTRACT(J8618, ""^\d+"")"),"119")</f>
        <v>119</v>
      </c>
      <c r="Z8618" s="5" t="str">
        <f>IFERROR(__xludf.DUMMYFUNCTION("REGEXEXTRACT(J8618, ""[A-Za-z ]+$"")")," min")</f>
        <v> min</v>
      </c>
      <c r="AA8618" s="5" t="str">
        <f>IFERROR(__xludf.DUMMYFUNCTION("IF(REGEXMATCH(Z8618, ""Season""), ""TV Show"", ""Movie"")"),"Movie")</f>
        <v>Movie</v>
      </c>
    </row>
    <row r="8619">
      <c r="A8619" s="1" t="s">
        <v>41094</v>
      </c>
      <c r="B8619" s="1" t="s">
        <v>27</v>
      </c>
      <c r="C8619" s="1" t="s">
        <v>41095</v>
      </c>
      <c r="D8619" s="1" t="s">
        <v>21564</v>
      </c>
      <c r="E8619" s="1" t="s">
        <v>41096</v>
      </c>
      <c r="F8619" s="1" t="s">
        <v>41097</v>
      </c>
      <c r="G8619" s="1" t="s">
        <v>22635</v>
      </c>
      <c r="H8619" s="1">
        <v>2014.0</v>
      </c>
      <c r="I8619" s="1" t="s">
        <v>378</v>
      </c>
      <c r="J8619" s="1" t="s">
        <v>835</v>
      </c>
      <c r="K8619" s="1" t="s">
        <v>2327</v>
      </c>
      <c r="L8619" s="1" t="s">
        <v>41098</v>
      </c>
      <c r="M8619" s="2" t="s">
        <v>12</v>
      </c>
      <c r="N8619" s="4">
        <f t="shared" si="1"/>
        <v>43466</v>
      </c>
      <c r="O8619" s="5" t="str">
        <f>IFERROR(__xludf.DUMMYFUNCTION("IF(REGEXMATCH(TRIM(I8619), ""^\d+\s*min""), ""Unclassified"", IF(I8619 = """", ""NR"", I8619))"),"R")</f>
        <v>R</v>
      </c>
      <c r="R8619" s="5" t="str">
        <f t="shared" si="2"/>
        <v>Trash</v>
      </c>
      <c r="S8619" s="5" t="str">
        <f>IFERROR(__xludf.DUMMYFUNCTION("""COMPUTED_VALUE"""),"Win It All")</f>
        <v>Win It All</v>
      </c>
      <c r="V8619" s="5"/>
      <c r="Y8619" s="5" t="str">
        <f>IFERROR(__xludf.DUMMYFUNCTION("REGEXEXTRACT(J8619, ""^\d+"")"),"114")</f>
        <v>114</v>
      </c>
      <c r="Z8619" s="5" t="str">
        <f>IFERROR(__xludf.DUMMYFUNCTION("REGEXEXTRACT(J8619, ""[A-Za-z ]+$"")")," min")</f>
        <v> min</v>
      </c>
      <c r="AA8619" s="5" t="str">
        <f>IFERROR(__xludf.DUMMYFUNCTION("IF(REGEXMATCH(Z8619, ""Season""), ""TV Show"", ""Movie"")"),"Movie")</f>
        <v>Movie</v>
      </c>
    </row>
    <row r="8620">
      <c r="A8620" s="1" t="s">
        <v>41099</v>
      </c>
      <c r="B8620" s="1" t="s">
        <v>27</v>
      </c>
      <c r="C8620" s="1" t="s">
        <v>41100</v>
      </c>
      <c r="D8620" s="1" t="s">
        <v>19115</v>
      </c>
      <c r="E8620" s="1" t="s">
        <v>41101</v>
      </c>
      <c r="F8620" s="1" t="s">
        <v>30</v>
      </c>
      <c r="G8620" s="1" t="s">
        <v>41102</v>
      </c>
      <c r="H8620" s="1">
        <v>2016.0</v>
      </c>
      <c r="I8620" s="1" t="s">
        <v>378</v>
      </c>
      <c r="J8620" s="1" t="s">
        <v>170</v>
      </c>
      <c r="K8620" s="1" t="s">
        <v>836</v>
      </c>
      <c r="L8620" s="1" t="s">
        <v>41103</v>
      </c>
      <c r="M8620" s="2" t="s">
        <v>12</v>
      </c>
      <c r="N8620" s="4">
        <f t="shared" si="1"/>
        <v>42768</v>
      </c>
      <c r="O8620" s="5" t="str">
        <f>IFERROR(__xludf.DUMMYFUNCTION("IF(REGEXMATCH(TRIM(I8620), ""^\d+\s*min""), ""Unclassified"", IF(I8620 = """", ""NR"", I8620))"),"R")</f>
        <v>R</v>
      </c>
      <c r="R8620" s="5" t="str">
        <f t="shared" si="2"/>
        <v>Trash Fire</v>
      </c>
      <c r="S8620" s="5" t="str">
        <f>IFERROR(__xludf.DUMMYFUNCTION("""COMPUTED_VALUE"""),"Win The Wilderness")</f>
        <v>Win The Wilderness</v>
      </c>
      <c r="V8620" s="5"/>
      <c r="Y8620" s="5" t="str">
        <f>IFERROR(__xludf.DUMMYFUNCTION("REGEXEXTRACT(J8620, ""^\d+"")"),"94")</f>
        <v>94</v>
      </c>
      <c r="Z8620" s="5" t="str">
        <f>IFERROR(__xludf.DUMMYFUNCTION("REGEXEXTRACT(J8620, ""[A-Za-z ]+$"")")," min")</f>
        <v> min</v>
      </c>
      <c r="AA8620" s="5" t="str">
        <f>IFERROR(__xludf.DUMMYFUNCTION("IF(REGEXMATCH(Z8620, ""Season""), ""TV Show"", ""Movie"")"),"Movie")</f>
        <v>Movie</v>
      </c>
    </row>
    <row r="8621">
      <c r="A8621" s="1" t="s">
        <v>41104</v>
      </c>
      <c r="B8621" s="1" t="s">
        <v>27</v>
      </c>
      <c r="C8621" s="1" t="s">
        <v>41105</v>
      </c>
      <c r="D8621" s="1" t="s">
        <v>1870</v>
      </c>
      <c r="F8621" s="1" t="s">
        <v>96</v>
      </c>
      <c r="G8621" s="1" t="s">
        <v>26481</v>
      </c>
      <c r="H8621" s="1">
        <v>2017.0</v>
      </c>
      <c r="I8621" s="1" t="s">
        <v>506</v>
      </c>
      <c r="J8621" s="1" t="s">
        <v>1001</v>
      </c>
      <c r="K8621" s="1" t="s">
        <v>28509</v>
      </c>
      <c r="L8621" s="1" t="s">
        <v>41106</v>
      </c>
      <c r="M8621" s="2" t="s">
        <v>12</v>
      </c>
      <c r="N8621" s="4">
        <f t="shared" si="1"/>
        <v>43101</v>
      </c>
      <c r="O8621" s="5" t="str">
        <f>IFERROR(__xludf.DUMMYFUNCTION("IF(REGEXMATCH(TRIM(I8621), ""^\d+\s*min""), ""Unclassified"", IF(I8621 = """", ""NR"", I8621))"),"TV-G")</f>
        <v>TV-G</v>
      </c>
      <c r="R8621" s="5" t="str">
        <f t="shared" si="2"/>
        <v>Treasures From The Wreck Of The Unbelievable</v>
      </c>
      <c r="S8621" s="5" t="str">
        <f>IFERROR(__xludf.DUMMYFUNCTION("""COMPUTED_VALUE"""),"Winchester")</f>
        <v>Winchester</v>
      </c>
      <c r="V8621" s="5"/>
      <c r="Y8621" s="5" t="str">
        <f>IFERROR(__xludf.DUMMYFUNCTION("REGEXEXTRACT(J8621, ""^\d+"")"),"82")</f>
        <v>82</v>
      </c>
      <c r="Z8621" s="5" t="str">
        <f>IFERROR(__xludf.DUMMYFUNCTION("REGEXEXTRACT(J8621, ""[A-Za-z ]+$"")")," min")</f>
        <v> min</v>
      </c>
      <c r="AA8621" s="5" t="str">
        <f>IFERROR(__xludf.DUMMYFUNCTION("IF(REGEXMATCH(Z8621, ""Season""), ""TV Show"", ""Movie"")"),"Movie")</f>
        <v>Movie</v>
      </c>
    </row>
    <row r="8622">
      <c r="A8622" s="1" t="s">
        <v>41107</v>
      </c>
      <c r="B8622" s="1" t="s">
        <v>27</v>
      </c>
      <c r="C8622" s="1" t="s">
        <v>41108</v>
      </c>
      <c r="D8622" s="1" t="s">
        <v>11617</v>
      </c>
      <c r="F8622" s="1" t="s">
        <v>1106</v>
      </c>
      <c r="G8622" s="1" t="s">
        <v>29185</v>
      </c>
      <c r="H8622" s="1">
        <v>2015.0</v>
      </c>
      <c r="I8622" s="1" t="s">
        <v>136</v>
      </c>
      <c r="J8622" s="1" t="s">
        <v>1001</v>
      </c>
      <c r="K8622" s="1" t="s">
        <v>34</v>
      </c>
      <c r="L8622" s="1" t="s">
        <v>41109</v>
      </c>
      <c r="M8622" s="2" t="s">
        <v>12</v>
      </c>
      <c r="N8622" s="4">
        <f t="shared" si="1"/>
        <v>42675</v>
      </c>
      <c r="O8622" s="5" t="str">
        <f>IFERROR(__xludf.DUMMYFUNCTION("IF(REGEXMATCH(TRIM(I8622), ""^\d+\s*min""), ""Unclassified"", IF(I8622 = """", ""NR"", I8622))"),"TV-PG")</f>
        <v>TV-PG</v>
      </c>
      <c r="R8622" s="5" t="str">
        <f t="shared" si="2"/>
        <v>Tree Man</v>
      </c>
      <c r="S8622" s="5" t="str">
        <f>IFERROR(__xludf.DUMMYFUNCTION("""COMPUTED_VALUE"""),"Wind River")</f>
        <v>Wind River</v>
      </c>
      <c r="V8622" s="5"/>
      <c r="Y8622" s="5" t="str">
        <f>IFERROR(__xludf.DUMMYFUNCTION("REGEXEXTRACT(J8622, ""^\d+"")"),"82")</f>
        <v>82</v>
      </c>
      <c r="Z8622" s="5" t="str">
        <f>IFERROR(__xludf.DUMMYFUNCTION("REGEXEXTRACT(J8622, ""[A-Za-z ]+$"")")," min")</f>
        <v> min</v>
      </c>
      <c r="AA8622" s="5" t="str">
        <f>IFERROR(__xludf.DUMMYFUNCTION("IF(REGEXMATCH(Z8622, ""Season""), ""TV Show"", ""Movie"")"),"Movie")</f>
        <v>Movie</v>
      </c>
    </row>
    <row r="8623">
      <c r="A8623" s="1" t="s">
        <v>41110</v>
      </c>
      <c r="B8623" s="1" t="s">
        <v>27</v>
      </c>
      <c r="C8623" s="1" t="s">
        <v>41111</v>
      </c>
      <c r="D8623" s="1" t="s">
        <v>19809</v>
      </c>
      <c r="E8623" s="1" t="s">
        <v>41112</v>
      </c>
      <c r="F8623" s="1" t="s">
        <v>30</v>
      </c>
      <c r="G8623" s="1" t="s">
        <v>16947</v>
      </c>
      <c r="H8623" s="1">
        <v>1990.0</v>
      </c>
      <c r="I8623" s="1" t="s">
        <v>32</v>
      </c>
      <c r="J8623" s="1" t="s">
        <v>322</v>
      </c>
      <c r="K8623" s="1" t="s">
        <v>35334</v>
      </c>
      <c r="L8623" s="1" t="s">
        <v>41113</v>
      </c>
      <c r="M8623" s="2" t="s">
        <v>12</v>
      </c>
      <c r="N8623" s="4">
        <f t="shared" si="1"/>
        <v>43831</v>
      </c>
      <c r="O8623" s="5" t="str">
        <f>IFERROR(__xludf.DUMMYFUNCTION("IF(REGEXMATCH(TRIM(I8623), ""^\d+\s*min""), ""Unclassified"", IF(I8623 = """", ""NR"", I8623))"),"PG-13")</f>
        <v>PG-13</v>
      </c>
      <c r="R8623" s="5" t="str">
        <f t="shared" si="2"/>
        <v>Tremors</v>
      </c>
      <c r="S8623" s="5" t="str">
        <f>IFERROR(__xludf.DUMMYFUNCTION("""COMPUTED_VALUE"""),"Wine Country")</f>
        <v>Wine Country</v>
      </c>
      <c r="V8623" s="5"/>
      <c r="Y8623" s="5" t="str">
        <f>IFERROR(__xludf.DUMMYFUNCTION("REGEXEXTRACT(J8623, ""^\d+"")"),"96")</f>
        <v>96</v>
      </c>
      <c r="Z8623" s="5" t="str">
        <f>IFERROR(__xludf.DUMMYFUNCTION("REGEXEXTRACT(J8623, ""[A-Za-z ]+$"")")," min")</f>
        <v> min</v>
      </c>
      <c r="AA8623" s="5" t="str">
        <f>IFERROR(__xludf.DUMMYFUNCTION("IF(REGEXMATCH(Z8623, ""Season""), ""TV Show"", ""Movie"")"),"Movie")</f>
        <v>Movie</v>
      </c>
    </row>
    <row r="8624">
      <c r="A8624" s="1" t="s">
        <v>41114</v>
      </c>
      <c r="B8624" s="1" t="s">
        <v>27</v>
      </c>
      <c r="C8624" s="1" t="s">
        <v>41115</v>
      </c>
      <c r="D8624" s="1" t="s">
        <v>19982</v>
      </c>
      <c r="E8624" s="1" t="s">
        <v>41116</v>
      </c>
      <c r="G8624" s="1" t="s">
        <v>16947</v>
      </c>
      <c r="H8624" s="1">
        <v>1995.0</v>
      </c>
      <c r="I8624" s="1" t="s">
        <v>32</v>
      </c>
      <c r="J8624" s="1" t="s">
        <v>433</v>
      </c>
      <c r="K8624" s="1" t="s">
        <v>41117</v>
      </c>
      <c r="L8624" s="1" t="s">
        <v>41118</v>
      </c>
      <c r="M8624" s="2" t="s">
        <v>12</v>
      </c>
      <c r="N8624" s="4">
        <f t="shared" si="1"/>
        <v>43831</v>
      </c>
      <c r="O8624" s="5" t="str">
        <f>IFERROR(__xludf.DUMMYFUNCTION("IF(REGEXMATCH(TRIM(I8624), ""^\d+\s*min""), ""Unclassified"", IF(I8624 = """", ""NR"", I8624))"),"PG-13")</f>
        <v>PG-13</v>
      </c>
      <c r="R8624" s="5" t="str">
        <f t="shared" si="2"/>
        <v>Tremors 2: Aftershocks</v>
      </c>
      <c r="S8624" s="5" t="str">
        <f>IFERROR(__xludf.DUMMYFUNCTION("""COMPUTED_VALUE"""),"Winnie")</f>
        <v>Winnie</v>
      </c>
      <c r="V8624" s="5"/>
      <c r="Y8624" s="5" t="str">
        <f>IFERROR(__xludf.DUMMYFUNCTION("REGEXEXTRACT(J8624, ""^\d+"")"),"100")</f>
        <v>100</v>
      </c>
      <c r="Z8624" s="5" t="str">
        <f>IFERROR(__xludf.DUMMYFUNCTION("REGEXEXTRACT(J8624, ""[A-Za-z ]+$"")")," min")</f>
        <v> min</v>
      </c>
      <c r="AA8624" s="5" t="str">
        <f>IFERROR(__xludf.DUMMYFUNCTION("IF(REGEXMATCH(Z8624, ""Season""), ""TV Show"", ""Movie"")"),"Movie")</f>
        <v>Movie</v>
      </c>
    </row>
    <row r="8625">
      <c r="A8625" s="1" t="s">
        <v>41119</v>
      </c>
      <c r="B8625" s="1" t="s">
        <v>27</v>
      </c>
      <c r="C8625" s="1" t="s">
        <v>41120</v>
      </c>
      <c r="D8625" s="1" t="s">
        <v>3698</v>
      </c>
      <c r="E8625" s="1" t="s">
        <v>41121</v>
      </c>
      <c r="F8625" s="1" t="s">
        <v>30</v>
      </c>
      <c r="G8625" s="1" t="s">
        <v>16947</v>
      </c>
      <c r="H8625" s="1">
        <v>2001.0</v>
      </c>
      <c r="I8625" s="1" t="s">
        <v>78</v>
      </c>
      <c r="J8625" s="1" t="s">
        <v>106</v>
      </c>
      <c r="K8625" s="1" t="s">
        <v>41117</v>
      </c>
      <c r="L8625" s="1" t="s">
        <v>41122</v>
      </c>
      <c r="M8625" s="2" t="s">
        <v>12</v>
      </c>
      <c r="N8625" s="4">
        <f t="shared" si="1"/>
        <v>43831</v>
      </c>
      <c r="O8625" s="5" t="str">
        <f>IFERROR(__xludf.DUMMYFUNCTION("IF(REGEXMATCH(TRIM(I8625), ""^\d+\s*min""), ""Unclassified"", IF(I8625 = """", ""NR"", I8625))"),"PG")</f>
        <v>PG</v>
      </c>
      <c r="R8625" s="5" t="str">
        <f t="shared" si="2"/>
        <v>Tremors 3: Back To Perfection</v>
      </c>
      <c r="S8625" s="5" t="str">
        <f>IFERROR(__xludf.DUMMYFUNCTION("""COMPUTED_VALUE"""),"Winsanity")</f>
        <v>Winsanity</v>
      </c>
      <c r="V8625" s="5"/>
      <c r="Y8625" s="5" t="str">
        <f>IFERROR(__xludf.DUMMYFUNCTION("REGEXEXTRACT(J8625, ""^\d+"")"),"104")</f>
        <v>104</v>
      </c>
      <c r="Z8625" s="5" t="str">
        <f>IFERROR(__xludf.DUMMYFUNCTION("REGEXEXTRACT(J8625, ""[A-Za-z ]+$"")")," min")</f>
        <v> min</v>
      </c>
      <c r="AA8625" s="5" t="str">
        <f>IFERROR(__xludf.DUMMYFUNCTION("IF(REGEXMATCH(Z8625, ""Season""), ""TV Show"", ""Movie"")"),"Movie")</f>
        <v>Movie</v>
      </c>
    </row>
    <row r="8626">
      <c r="A8626" s="1" t="s">
        <v>41123</v>
      </c>
      <c r="B8626" s="1" t="s">
        <v>27</v>
      </c>
      <c r="C8626" s="1" t="s">
        <v>41124</v>
      </c>
      <c r="D8626" s="1" t="s">
        <v>19982</v>
      </c>
      <c r="E8626" s="1" t="s">
        <v>41125</v>
      </c>
      <c r="F8626" s="1" t="s">
        <v>30</v>
      </c>
      <c r="G8626" s="1" t="s">
        <v>16947</v>
      </c>
      <c r="H8626" s="1">
        <v>2004.0</v>
      </c>
      <c r="I8626" s="1" t="s">
        <v>32</v>
      </c>
      <c r="J8626" s="1" t="s">
        <v>1091</v>
      </c>
      <c r="K8626" s="1" t="s">
        <v>41117</v>
      </c>
      <c r="L8626" s="1" t="s">
        <v>41126</v>
      </c>
      <c r="M8626" s="2" t="s">
        <v>12</v>
      </c>
      <c r="N8626" s="4">
        <f t="shared" si="1"/>
        <v>43831</v>
      </c>
      <c r="O8626" s="5" t="str">
        <f>IFERROR(__xludf.DUMMYFUNCTION("IF(REGEXMATCH(TRIM(I8626), ""^\d+\s*min""), ""Unclassified"", IF(I8626 = """", ""NR"", I8626))"),"PG-13")</f>
        <v>PG-13</v>
      </c>
      <c r="R8626" s="5" t="str">
        <f t="shared" si="2"/>
        <v>Tremors 4: The Legend Begins</v>
      </c>
      <c r="S8626" s="5" t="str">
        <f>IFERROR(__xludf.DUMMYFUNCTION("""COMPUTED_VALUE"""),"Winter Of Our Dreams")</f>
        <v>Winter Of Our Dreams</v>
      </c>
      <c r="V8626" s="5"/>
      <c r="Y8626" s="5" t="str">
        <f>IFERROR(__xludf.DUMMYFUNCTION("REGEXEXTRACT(J8626, ""^\d+"")"),"101")</f>
        <v>101</v>
      </c>
      <c r="Z8626" s="5" t="str">
        <f>IFERROR(__xludf.DUMMYFUNCTION("REGEXEXTRACT(J8626, ""[A-Za-z ]+$"")")," min")</f>
        <v> min</v>
      </c>
      <c r="AA8626" s="5" t="str">
        <f>IFERROR(__xludf.DUMMYFUNCTION("IF(REGEXMATCH(Z8626, ""Season""), ""TV Show"", ""Movie"")"),"Movie")</f>
        <v>Movie</v>
      </c>
    </row>
    <row r="8627">
      <c r="A8627" s="1" t="s">
        <v>41127</v>
      </c>
      <c r="B8627" s="1" t="s">
        <v>27</v>
      </c>
      <c r="C8627" s="1" t="s">
        <v>41128</v>
      </c>
      <c r="D8627" s="1" t="s">
        <v>4791</v>
      </c>
      <c r="E8627" s="1" t="s">
        <v>41129</v>
      </c>
      <c r="F8627" s="1" t="s">
        <v>940</v>
      </c>
      <c r="G8627" s="1" t="s">
        <v>16947</v>
      </c>
      <c r="H8627" s="1">
        <v>2015.0</v>
      </c>
      <c r="I8627" s="1" t="s">
        <v>32</v>
      </c>
      <c r="J8627" s="1" t="s">
        <v>416</v>
      </c>
      <c r="K8627" s="1" t="s">
        <v>41117</v>
      </c>
      <c r="L8627" s="1" t="s">
        <v>41130</v>
      </c>
      <c r="M8627" s="2" t="s">
        <v>12</v>
      </c>
      <c r="N8627" s="4">
        <f t="shared" si="1"/>
        <v>43831</v>
      </c>
      <c r="O8627" s="5" t="str">
        <f>IFERROR(__xludf.DUMMYFUNCTION("IF(REGEXMATCH(TRIM(I8627), ""^\d+\s*min""), ""Unclassified"", IF(I8627 = """", ""NR"", I8627))"),"PG-13")</f>
        <v>PG-13</v>
      </c>
      <c r="R8627" s="5" t="str">
        <f t="shared" si="2"/>
        <v>Tremors 5: Bloodline</v>
      </c>
      <c r="S8627" s="5" t="str">
        <f>IFERROR(__xludf.DUMMYFUNCTION("""COMPUTED_VALUE"""),"Winter On Fire: Ukraine'S Fight For Freedom")</f>
        <v>Winter On Fire: Ukraine'S Fight For Freedom</v>
      </c>
      <c r="V8627" s="5"/>
      <c r="Y8627" s="5" t="str">
        <f>IFERROR(__xludf.DUMMYFUNCTION("REGEXEXTRACT(J8627, ""^\d+"")"),"99")</f>
        <v>99</v>
      </c>
      <c r="Z8627" s="5" t="str">
        <f>IFERROR(__xludf.DUMMYFUNCTION("REGEXEXTRACT(J8627, ""[A-Za-z ]+$"")")," min")</f>
        <v> min</v>
      </c>
      <c r="AA8627" s="5" t="str">
        <f>IFERROR(__xludf.DUMMYFUNCTION("IF(REGEXMATCH(Z8627, ""Season""), ""TV Show"", ""Movie"")"),"Movie")</f>
        <v>Movie</v>
      </c>
    </row>
    <row r="8628">
      <c r="A8628" s="1" t="s">
        <v>41131</v>
      </c>
      <c r="B8628" s="1" t="s">
        <v>27</v>
      </c>
      <c r="C8628" s="1" t="s">
        <v>41132</v>
      </c>
      <c r="D8628" s="1" t="s">
        <v>4791</v>
      </c>
      <c r="E8628" s="1" t="s">
        <v>41133</v>
      </c>
      <c r="F8628" s="1" t="s">
        <v>30271</v>
      </c>
      <c r="G8628" s="7">
        <v>43221.0</v>
      </c>
      <c r="H8628" s="1">
        <v>2018.0</v>
      </c>
      <c r="I8628" s="1" t="s">
        <v>32</v>
      </c>
      <c r="J8628" s="1" t="s">
        <v>357</v>
      </c>
      <c r="K8628" s="1" t="s">
        <v>41134</v>
      </c>
      <c r="L8628" s="1" t="s">
        <v>41135</v>
      </c>
      <c r="M8628" s="2" t="s">
        <v>12</v>
      </c>
      <c r="N8628" s="4">
        <f t="shared" si="1"/>
        <v>43221</v>
      </c>
      <c r="O8628" s="5" t="str">
        <f>IFERROR(__xludf.DUMMYFUNCTION("IF(REGEXMATCH(TRIM(I8628), ""^\d+\s*min""), ""Unclassified"", IF(I8628 = """", ""NR"", I8628))"),"PG-13")</f>
        <v>PG-13</v>
      </c>
      <c r="R8628" s="5" t="str">
        <f t="shared" si="2"/>
        <v>Tremors 6: A Cold Day In Hell</v>
      </c>
      <c r="S8628" s="5" t="str">
        <f>IFERROR(__xludf.DUMMYFUNCTION("""COMPUTED_VALUE"""),"Winter Sun")</f>
        <v>Winter Sun</v>
      </c>
      <c r="V8628" s="5"/>
      <c r="Y8628" s="5" t="str">
        <f>IFERROR(__xludf.DUMMYFUNCTION("REGEXEXTRACT(J8628, ""^\d+"")"),"98")</f>
        <v>98</v>
      </c>
      <c r="Z8628" s="5" t="str">
        <f>IFERROR(__xludf.DUMMYFUNCTION("REGEXEXTRACT(J8628, ""[A-Za-z ]+$"")")," min")</f>
        <v> min</v>
      </c>
      <c r="AA8628" s="5" t="str">
        <f>IFERROR(__xludf.DUMMYFUNCTION("IF(REGEXMATCH(Z8628, ""Season""), ""TV Show"", ""Movie"")"),"Movie")</f>
        <v>Movie</v>
      </c>
    </row>
    <row r="8629">
      <c r="A8629" s="1" t="s">
        <v>41136</v>
      </c>
      <c r="B8629" s="1" t="s">
        <v>27</v>
      </c>
      <c r="C8629" s="1" t="s">
        <v>41137</v>
      </c>
      <c r="D8629" s="1" t="s">
        <v>449</v>
      </c>
      <c r="E8629" s="1" t="s">
        <v>41138</v>
      </c>
      <c r="F8629" s="1" t="s">
        <v>96</v>
      </c>
      <c r="G8629" s="1" t="s">
        <v>21989</v>
      </c>
      <c r="H8629" s="1">
        <v>2016.0</v>
      </c>
      <c r="I8629" s="1" t="s">
        <v>378</v>
      </c>
      <c r="J8629" s="1" t="s">
        <v>433</v>
      </c>
      <c r="K8629" s="1" t="s">
        <v>805</v>
      </c>
      <c r="L8629" s="1" t="s">
        <v>41139</v>
      </c>
      <c r="M8629" s="2" t="s">
        <v>12</v>
      </c>
      <c r="N8629" s="4">
        <f t="shared" si="1"/>
        <v>43518</v>
      </c>
      <c r="O8629" s="5" t="str">
        <f>IFERROR(__xludf.DUMMYFUNCTION("IF(REGEXMATCH(TRIM(I8629), ""^\d+\s*min""), ""Unclassified"", IF(I8629 = """", ""NR"", I8629))"),"R")</f>
        <v>R</v>
      </c>
      <c r="R8629" s="5" t="str">
        <f t="shared" si="2"/>
        <v>Trespass Against Us</v>
      </c>
      <c r="S8629" s="5" t="str">
        <f>IFERROR(__xludf.DUMMYFUNCTION("""COMPUTED_VALUE"""),"Winter'S Bone")</f>
        <v>Winter'S Bone</v>
      </c>
      <c r="V8629" s="5"/>
      <c r="Y8629" s="5" t="str">
        <f>IFERROR(__xludf.DUMMYFUNCTION("REGEXEXTRACT(J8629, ""^\d+"")"),"100")</f>
        <v>100</v>
      </c>
      <c r="Z8629" s="5" t="str">
        <f>IFERROR(__xludf.DUMMYFUNCTION("REGEXEXTRACT(J8629, ""[A-Za-z ]+$"")")," min")</f>
        <v> min</v>
      </c>
      <c r="AA8629" s="5" t="str">
        <f>IFERROR(__xludf.DUMMYFUNCTION("IF(REGEXMATCH(Z8629, ""Season""), ""TV Show"", ""Movie"")"),"Movie")</f>
        <v>Movie</v>
      </c>
    </row>
    <row r="8630">
      <c r="A8630" s="1" t="s">
        <v>41140</v>
      </c>
      <c r="B8630" s="1" t="s">
        <v>27</v>
      </c>
      <c r="C8630" s="1" t="s">
        <v>41141</v>
      </c>
      <c r="D8630" s="1" t="s">
        <v>9789</v>
      </c>
      <c r="E8630" s="1" t="s">
        <v>41142</v>
      </c>
      <c r="F8630" s="1" t="s">
        <v>63</v>
      </c>
      <c r="G8630" s="1" t="s">
        <v>17078</v>
      </c>
      <c r="H8630" s="1">
        <v>1985.0</v>
      </c>
      <c r="I8630" s="1" t="s">
        <v>97</v>
      </c>
      <c r="J8630" s="1" t="s">
        <v>7413</v>
      </c>
      <c r="K8630" s="1" t="s">
        <v>836</v>
      </c>
      <c r="L8630" s="1" t="s">
        <v>41143</v>
      </c>
      <c r="M8630" s="2" t="s">
        <v>12</v>
      </c>
      <c r="N8630" s="4">
        <f t="shared" si="1"/>
        <v>43830</v>
      </c>
      <c r="O8630" s="5" t="str">
        <f>IFERROR(__xludf.DUMMYFUNCTION("IF(REGEXMATCH(TRIM(I8630), ""^\d+\s*min""), ""Unclassified"", IF(I8630 = """", ""NR"", I8630))"),"TV-14")</f>
        <v>TV-14</v>
      </c>
      <c r="R8630" s="5" t="str">
        <f t="shared" si="2"/>
        <v>Trikal (Past, Present, Future)</v>
      </c>
      <c r="S8630" s="5" t="str">
        <f>IFERROR(__xludf.DUMMYFUNCTION("""COMPUTED_VALUE"""),"Winx Club")</f>
        <v>Winx Club</v>
      </c>
      <c r="V8630" s="5"/>
      <c r="Y8630" s="5" t="str">
        <f>IFERROR(__xludf.DUMMYFUNCTION("REGEXEXTRACT(J8630, ""^\d+"")"),"134")</f>
        <v>134</v>
      </c>
      <c r="Z8630" s="5" t="str">
        <f>IFERROR(__xludf.DUMMYFUNCTION("REGEXEXTRACT(J8630, ""[A-Za-z ]+$"")")," min")</f>
        <v> min</v>
      </c>
      <c r="AA8630" s="5" t="str">
        <f>IFERROR(__xludf.DUMMYFUNCTION("IF(REGEXMATCH(Z8630, ""Season""), ""TV Show"", ""Movie"")"),"Movie")</f>
        <v>Movie</v>
      </c>
    </row>
    <row r="8631">
      <c r="A8631" s="1" t="s">
        <v>41144</v>
      </c>
      <c r="B8631" s="1" t="s">
        <v>27</v>
      </c>
      <c r="C8631" s="1" t="s">
        <v>41145</v>
      </c>
      <c r="D8631" s="1" t="s">
        <v>15213</v>
      </c>
      <c r="E8631" s="1" t="s">
        <v>41146</v>
      </c>
      <c r="F8631" s="1" t="s">
        <v>63</v>
      </c>
      <c r="G8631" s="1" t="s">
        <v>26089</v>
      </c>
      <c r="H8631" s="1">
        <v>1995.0</v>
      </c>
      <c r="I8631" s="1" t="s">
        <v>136</v>
      </c>
      <c r="J8631" s="1" t="s">
        <v>6683</v>
      </c>
      <c r="K8631" s="1" t="s">
        <v>306</v>
      </c>
      <c r="L8631" s="1" t="s">
        <v>41147</v>
      </c>
      <c r="M8631" s="2" t="s">
        <v>12</v>
      </c>
      <c r="N8631" s="4">
        <f t="shared" si="1"/>
        <v>43160</v>
      </c>
      <c r="O8631" s="5" t="str">
        <f>IFERROR(__xludf.DUMMYFUNCTION("IF(REGEXMATCH(TRIM(I8631), ""^\d+\s*min""), ""Unclassified"", IF(I8631 = """", ""NR"", I8631))"),"TV-PG")</f>
        <v>TV-PG</v>
      </c>
      <c r="R8631" s="5" t="str">
        <f t="shared" si="2"/>
        <v>Trimurti</v>
      </c>
      <c r="S8631" s="5" t="str">
        <f>IFERROR(__xludf.DUMMYFUNCTION("""COMPUTED_VALUE"""),"Wira")</f>
        <v>Wira</v>
      </c>
      <c r="V8631" s="5"/>
      <c r="Y8631" s="5" t="str">
        <f>IFERROR(__xludf.DUMMYFUNCTION("REGEXEXTRACT(J8631, ""^\d+"")"),"173")</f>
        <v>173</v>
      </c>
      <c r="Z8631" s="5" t="str">
        <f>IFERROR(__xludf.DUMMYFUNCTION("REGEXEXTRACT(J8631, ""[A-Za-z ]+$"")")," min")</f>
        <v> min</v>
      </c>
      <c r="AA8631" s="5" t="str">
        <f>IFERROR(__xludf.DUMMYFUNCTION("IF(REGEXMATCH(Z8631, ""Season""), ""TV Show"", ""Movie"")"),"Movie")</f>
        <v>Movie</v>
      </c>
    </row>
    <row r="8632">
      <c r="A8632" s="1" t="s">
        <v>41148</v>
      </c>
      <c r="B8632" s="1" t="s">
        <v>27</v>
      </c>
      <c r="C8632" s="1" t="s">
        <v>41149</v>
      </c>
      <c r="D8632" s="1" t="s">
        <v>10993</v>
      </c>
      <c r="E8632" s="1" t="s">
        <v>41150</v>
      </c>
      <c r="F8632" s="1" t="s">
        <v>63</v>
      </c>
      <c r="G8632" s="1" t="s">
        <v>26883</v>
      </c>
      <c r="H8632" s="1">
        <v>2014.0</v>
      </c>
      <c r="I8632" s="1" t="s">
        <v>42</v>
      </c>
      <c r="J8632" s="1" t="s">
        <v>519</v>
      </c>
      <c r="K8632" s="1" t="s">
        <v>631</v>
      </c>
      <c r="L8632" s="1" t="s">
        <v>41151</v>
      </c>
      <c r="M8632" s="2" t="s">
        <v>12</v>
      </c>
      <c r="N8632" s="4">
        <f t="shared" si="1"/>
        <v>43040</v>
      </c>
      <c r="O8632" s="5" t="str">
        <f>IFERROR(__xludf.DUMMYFUNCTION("IF(REGEXMATCH(TRIM(I8632), ""^\d+\s*min""), ""Unclassified"", IF(I8632 = """", ""NR"", I8632))"),"TV-MA")</f>
        <v>TV-MA</v>
      </c>
      <c r="R8632" s="5" t="str">
        <f t="shared" si="2"/>
        <v>Trip To Bhangarh: Asia'S Most Haunted Place</v>
      </c>
      <c r="S8632" s="5" t="str">
        <f>IFERROR(__xludf.DUMMYFUNCTION("""COMPUTED_VALUE"""),"Wish Dragon")</f>
        <v>Wish Dragon</v>
      </c>
      <c r="V8632" s="5"/>
      <c r="Y8632" s="5" t="str">
        <f>IFERROR(__xludf.DUMMYFUNCTION("REGEXEXTRACT(J8632, ""^\d+"")"),"113")</f>
        <v>113</v>
      </c>
      <c r="Z8632" s="5" t="str">
        <f>IFERROR(__xludf.DUMMYFUNCTION("REGEXEXTRACT(J8632, ""[A-Za-z ]+$"")")," min")</f>
        <v> min</v>
      </c>
      <c r="AA8632" s="5" t="str">
        <f>IFERROR(__xludf.DUMMYFUNCTION("IF(REGEXMATCH(Z8632, ""Season""), ""TV Show"", ""Movie"")"),"Movie")</f>
        <v>Movie</v>
      </c>
    </row>
    <row r="8633">
      <c r="A8633" s="1" t="s">
        <v>41152</v>
      </c>
      <c r="B8633" s="1" t="s">
        <v>27</v>
      </c>
      <c r="C8633" s="1" t="s">
        <v>41153</v>
      </c>
      <c r="D8633" s="1" t="s">
        <v>16795</v>
      </c>
      <c r="E8633" s="1" t="s">
        <v>41154</v>
      </c>
      <c r="F8633" s="1" t="s">
        <v>30</v>
      </c>
      <c r="G8633" s="1" t="s">
        <v>15467</v>
      </c>
      <c r="H8633" s="1">
        <v>2019.0</v>
      </c>
      <c r="I8633" s="1" t="s">
        <v>42</v>
      </c>
      <c r="J8633" s="1" t="s">
        <v>79</v>
      </c>
      <c r="K8633" s="1" t="s">
        <v>700</v>
      </c>
      <c r="L8633" s="1" t="s">
        <v>41155</v>
      </c>
      <c r="M8633" s="2" t="s">
        <v>12</v>
      </c>
      <c r="N8633" s="4">
        <f t="shared" si="1"/>
        <v>43917</v>
      </c>
      <c r="O8633" s="5" t="str">
        <f>IFERROR(__xludf.DUMMYFUNCTION("IF(REGEXMATCH(TRIM(I8633), ""^\d+\s*min""), ""Unclassified"", IF(I8633 = """", ""NR"", I8633))"),"TV-MA")</f>
        <v>TV-MA</v>
      </c>
      <c r="R8633" s="5" t="str">
        <f t="shared" si="2"/>
        <v>Trixie Mattel: Moving Parts</v>
      </c>
      <c r="S8633" s="5" t="str">
        <f>IFERROR(__xludf.DUMMYFUNCTION("""COMPUTED_VALUE"""),"Wish I Was Here")</f>
        <v>Wish I Was Here</v>
      </c>
      <c r="V8633" s="5"/>
      <c r="Y8633" s="5" t="str">
        <f>IFERROR(__xludf.DUMMYFUNCTION("REGEXEXTRACT(J8633, ""^\d+"")"),"91")</f>
        <v>91</v>
      </c>
      <c r="Z8633" s="5" t="str">
        <f>IFERROR(__xludf.DUMMYFUNCTION("REGEXEXTRACT(J8633, ""[A-Za-z ]+$"")")," min")</f>
        <v> min</v>
      </c>
      <c r="AA8633" s="5" t="str">
        <f>IFERROR(__xludf.DUMMYFUNCTION("IF(REGEXMATCH(Z8633, ""Season""), ""TV Show"", ""Movie"")"),"Movie")</f>
        <v>Movie</v>
      </c>
    </row>
    <row r="8634">
      <c r="A8634" s="1" t="s">
        <v>41156</v>
      </c>
      <c r="B8634" s="1" t="s">
        <v>27</v>
      </c>
      <c r="C8634" s="1" t="s">
        <v>41157</v>
      </c>
      <c r="D8634" s="1" t="s">
        <v>20970</v>
      </c>
      <c r="F8634" s="1" t="s">
        <v>41158</v>
      </c>
      <c r="G8634" s="1" t="s">
        <v>41159</v>
      </c>
      <c r="H8634" s="1">
        <v>2017.0</v>
      </c>
      <c r="I8634" s="1" t="s">
        <v>42</v>
      </c>
      <c r="J8634" s="1" t="s">
        <v>297</v>
      </c>
      <c r="K8634" s="1" t="s">
        <v>156</v>
      </c>
      <c r="L8634" s="1" t="s">
        <v>41160</v>
      </c>
      <c r="M8634" s="2" t="s">
        <v>12</v>
      </c>
      <c r="N8634" s="4">
        <f t="shared" si="1"/>
        <v>43144</v>
      </c>
      <c r="O8634" s="5" t="str">
        <f>IFERROR(__xludf.DUMMYFUNCTION("IF(REGEXMATCH(TRIM(I8634), ""^\d+\s*min""), ""Unclassified"", IF(I8634 = """", ""NR"", I8634))"),"TV-MA")</f>
        <v>TV-MA</v>
      </c>
      <c r="R8634" s="5" t="str">
        <f t="shared" si="2"/>
        <v>Trophy</v>
      </c>
      <c r="S8634" s="5" t="str">
        <f>IFERROR(__xludf.DUMMYFUNCTION("""COMPUTED_VALUE"""),"Wish Man")</f>
        <v>Wish Man</v>
      </c>
      <c r="V8634" s="5"/>
      <c r="Y8634" s="5" t="str">
        <f>IFERROR(__xludf.DUMMYFUNCTION("REGEXEXTRACT(J8634, ""^\d+"")"),"110")</f>
        <v>110</v>
      </c>
      <c r="Z8634" s="5" t="str">
        <f>IFERROR(__xludf.DUMMYFUNCTION("REGEXEXTRACT(J8634, ""[A-Za-z ]+$"")")," min")</f>
        <v> min</v>
      </c>
      <c r="AA8634" s="5" t="str">
        <f>IFERROR(__xludf.DUMMYFUNCTION("IF(REGEXMATCH(Z8634, ""Season""), ""TV Show"", ""Movie"")"),"Movie")</f>
        <v>Movie</v>
      </c>
    </row>
    <row r="8635">
      <c r="A8635" s="1" t="s">
        <v>41161</v>
      </c>
      <c r="B8635" s="1" t="s">
        <v>37</v>
      </c>
      <c r="C8635" s="1" t="s">
        <v>41162</v>
      </c>
      <c r="E8635" s="1" t="s">
        <v>41163</v>
      </c>
      <c r="F8635" s="1" t="s">
        <v>1078</v>
      </c>
      <c r="G8635" s="1" t="s">
        <v>33801</v>
      </c>
      <c r="H8635" s="1">
        <v>2017.0</v>
      </c>
      <c r="I8635" s="1" t="s">
        <v>42</v>
      </c>
      <c r="J8635" s="1" t="s">
        <v>51</v>
      </c>
      <c r="K8635" s="1" t="s">
        <v>402</v>
      </c>
      <c r="L8635" s="1" t="s">
        <v>41164</v>
      </c>
      <c r="M8635" s="2" t="s">
        <v>12</v>
      </c>
      <c r="N8635" s="4">
        <f t="shared" si="1"/>
        <v>43444</v>
      </c>
      <c r="O8635" s="5" t="str">
        <f>IFERROR(__xludf.DUMMYFUNCTION("IF(REGEXMATCH(TRIM(I8635), ""^\d+\s*min""), ""Unclassified"", IF(I8635 = """", ""NR"", I8635))"),"TV-MA")</f>
        <v>TV-MA</v>
      </c>
      <c r="R8635" s="5" t="str">
        <f t="shared" si="2"/>
        <v>Trotsky</v>
      </c>
      <c r="S8635" s="5" t="str">
        <f>IFERROR(__xludf.DUMMYFUNCTION("""COMPUTED_VALUE"""),"Wish Upon A Unicorn")</f>
        <v>Wish Upon A Unicorn</v>
      </c>
      <c r="V8635" s="5"/>
      <c r="Y8635" s="5" t="str">
        <f>IFERROR(__xludf.DUMMYFUNCTION("REGEXEXTRACT(J8635, ""^\d+"")"),"1")</f>
        <v>1</v>
      </c>
      <c r="Z8635" s="5" t="str">
        <f>IFERROR(__xludf.DUMMYFUNCTION("REGEXEXTRACT(J8635, ""[A-Za-z ]+$"")")," Season")</f>
        <v> Season</v>
      </c>
      <c r="AA8635" s="5" t="str">
        <f>IFERROR(__xludf.DUMMYFUNCTION("IF(REGEXMATCH(Z8635, ""Season""), ""TV Show"", ""Movie"")"),"TV Show")</f>
        <v>TV Show</v>
      </c>
    </row>
    <row r="8636">
      <c r="A8636" s="1" t="s">
        <v>41165</v>
      </c>
      <c r="B8636" s="1" t="s">
        <v>27</v>
      </c>
      <c r="C8636" s="1" t="s">
        <v>41166</v>
      </c>
      <c r="D8636" s="1" t="s">
        <v>22305</v>
      </c>
      <c r="E8636" s="1" t="s">
        <v>41167</v>
      </c>
      <c r="F8636" s="1" t="s">
        <v>30</v>
      </c>
      <c r="G8636" s="1" t="s">
        <v>35522</v>
      </c>
      <c r="H8636" s="1">
        <v>2017.0</v>
      </c>
      <c r="I8636" s="1" t="s">
        <v>42</v>
      </c>
      <c r="J8636" s="1" t="s">
        <v>33</v>
      </c>
      <c r="K8636" s="1" t="s">
        <v>380</v>
      </c>
      <c r="L8636" s="1" t="s">
        <v>41168</v>
      </c>
      <c r="M8636" s="2" t="s">
        <v>12</v>
      </c>
      <c r="N8636" s="4">
        <f t="shared" si="1"/>
        <v>43171</v>
      </c>
      <c r="O8636" s="5" t="str">
        <f>IFERROR(__xludf.DUMMYFUNCTION("IF(REGEXMATCH(TRIM(I8636), ""^\d+\s*min""), ""Unclassified"", IF(I8636 = """", ""NR"", I8636))"),"TV-MA")</f>
        <v>TV-MA</v>
      </c>
      <c r="R8636" s="5" t="str">
        <f t="shared" si="2"/>
        <v>Troy: The Odyssey</v>
      </c>
      <c r="S8636" s="5" t="str">
        <f>IFERROR(__xludf.DUMMYFUNCTION("""COMPUTED_VALUE"""),"Wish You")</f>
        <v>Wish You</v>
      </c>
      <c r="V8636" s="5"/>
      <c r="Y8636" s="5" t="str">
        <f>IFERROR(__xludf.DUMMYFUNCTION("REGEXEXTRACT(J8636, ""^\d+"")"),"90")</f>
        <v>90</v>
      </c>
      <c r="Z8636" s="5" t="str">
        <f>IFERROR(__xludf.DUMMYFUNCTION("REGEXEXTRACT(J8636, ""[A-Za-z ]+$"")")," min")</f>
        <v> min</v>
      </c>
      <c r="AA8636" s="5" t="str">
        <f>IFERROR(__xludf.DUMMYFUNCTION("IF(REGEXMATCH(Z8636, ""Season""), ""TV Show"", ""Movie"")"),"Movie")</f>
        <v>Movie</v>
      </c>
    </row>
    <row r="8637">
      <c r="A8637" s="1" t="s">
        <v>41169</v>
      </c>
      <c r="B8637" s="1" t="s">
        <v>27</v>
      </c>
      <c r="C8637" s="1" t="s">
        <v>41170</v>
      </c>
      <c r="D8637" s="1" t="s">
        <v>9260</v>
      </c>
      <c r="E8637" s="1" t="s">
        <v>41171</v>
      </c>
      <c r="F8637" s="1" t="s">
        <v>30</v>
      </c>
      <c r="G8637" s="1" t="s">
        <v>16947</v>
      </c>
      <c r="H8637" s="1">
        <v>1969.0</v>
      </c>
      <c r="I8637" s="1" t="s">
        <v>770</v>
      </c>
      <c r="J8637" s="1" t="s">
        <v>757</v>
      </c>
      <c r="K8637" s="1" t="s">
        <v>1164</v>
      </c>
      <c r="L8637" s="1" t="s">
        <v>41172</v>
      </c>
      <c r="M8637" s="2" t="s">
        <v>12</v>
      </c>
      <c r="N8637" s="4">
        <f t="shared" si="1"/>
        <v>43831</v>
      </c>
      <c r="O8637" s="5" t="str">
        <f>IFERROR(__xludf.DUMMYFUNCTION("IF(REGEXMATCH(TRIM(I8637), ""^\d+\s*min""), ""Unclassified"", IF(I8637 = """", ""NR"", I8637))"),"G")</f>
        <v>G</v>
      </c>
      <c r="R8637" s="5" t="str">
        <f t="shared" si="2"/>
        <v>True Grit</v>
      </c>
      <c r="S8637" s="5" t="str">
        <f>IFERROR(__xludf.DUMMYFUNCTION("""COMPUTED_VALUE"""),"Witches: A Century Of Murder")</f>
        <v>Witches: A Century Of Murder</v>
      </c>
      <c r="V8637" s="5"/>
      <c r="Y8637" s="5" t="str">
        <f>IFERROR(__xludf.DUMMYFUNCTION("REGEXEXTRACT(J8637, ""^\d+"")"),"128")</f>
        <v>128</v>
      </c>
      <c r="Z8637" s="5" t="str">
        <f>IFERROR(__xludf.DUMMYFUNCTION("REGEXEXTRACT(J8637, ""[A-Za-z ]+$"")")," min")</f>
        <v> min</v>
      </c>
      <c r="AA8637" s="5" t="str">
        <f>IFERROR(__xludf.DUMMYFUNCTION("IF(REGEXMATCH(Z8637, ""Season""), ""TV Show"", ""Movie"")"),"Movie")</f>
        <v>Movie</v>
      </c>
    </row>
    <row r="8638">
      <c r="A8638" s="1" t="s">
        <v>41173</v>
      </c>
      <c r="B8638" s="1" t="s">
        <v>27</v>
      </c>
      <c r="C8638" s="1" t="s">
        <v>41174</v>
      </c>
      <c r="D8638" s="1" t="s">
        <v>41175</v>
      </c>
      <c r="E8638" s="1" t="s">
        <v>41176</v>
      </c>
      <c r="F8638" s="1" t="s">
        <v>30</v>
      </c>
      <c r="G8638" s="1" t="s">
        <v>26089</v>
      </c>
      <c r="H8638" s="1">
        <v>2017.0</v>
      </c>
      <c r="I8638" s="1" t="s">
        <v>378</v>
      </c>
      <c r="J8638" s="1" t="s">
        <v>912</v>
      </c>
      <c r="K8638" s="1" t="s">
        <v>805</v>
      </c>
      <c r="L8638" s="1" t="s">
        <v>41177</v>
      </c>
      <c r="M8638" s="2" t="s">
        <v>12</v>
      </c>
      <c r="N8638" s="4">
        <f t="shared" si="1"/>
        <v>43160</v>
      </c>
      <c r="O8638" s="5" t="str">
        <f>IFERROR(__xludf.DUMMYFUNCTION("IF(REGEXMATCH(TRIM(I8638), ""^\d+\s*min""), ""Unclassified"", IF(I8638 = """", ""NR"", I8638))"),"R")</f>
        <v>R</v>
      </c>
      <c r="R8638" s="5" t="str">
        <f t="shared" si="2"/>
        <v>True To The Game</v>
      </c>
      <c r="S8638" s="5" t="str">
        <f>IFERROR(__xludf.DUMMYFUNCTION("""COMPUTED_VALUE"""),"Withdrawn")</f>
        <v>Withdrawn</v>
      </c>
      <c r="V8638" s="5"/>
      <c r="Y8638" s="5" t="str">
        <f>IFERROR(__xludf.DUMMYFUNCTION("REGEXEXTRACT(J8638, ""^\d+"")"),"108")</f>
        <v>108</v>
      </c>
      <c r="Z8638" s="5" t="str">
        <f>IFERROR(__xludf.DUMMYFUNCTION("REGEXEXTRACT(J8638, ""[A-Za-z ]+$"")")," min")</f>
        <v> min</v>
      </c>
      <c r="AA8638" s="5" t="str">
        <f>IFERROR(__xludf.DUMMYFUNCTION("IF(REGEXMATCH(Z8638, ""Season""), ""TV Show"", ""Movie"")"),"Movie")</f>
        <v>Movie</v>
      </c>
    </row>
    <row r="8639">
      <c r="A8639" s="1" t="s">
        <v>41178</v>
      </c>
      <c r="B8639" s="1" t="s">
        <v>27</v>
      </c>
      <c r="C8639" s="1" t="s">
        <v>41179</v>
      </c>
      <c r="D8639" s="1" t="s">
        <v>3493</v>
      </c>
      <c r="E8639" s="1" t="s">
        <v>41180</v>
      </c>
      <c r="F8639" s="1" t="s">
        <v>30</v>
      </c>
      <c r="G8639" s="7">
        <v>43970.0</v>
      </c>
      <c r="H8639" s="1">
        <v>2015.0</v>
      </c>
      <c r="I8639" s="1" t="s">
        <v>378</v>
      </c>
      <c r="J8639" s="1" t="s">
        <v>341</v>
      </c>
      <c r="K8639" s="1" t="s">
        <v>1320</v>
      </c>
      <c r="L8639" s="1" t="s">
        <v>41181</v>
      </c>
      <c r="M8639" s="2" t="s">
        <v>12</v>
      </c>
      <c r="N8639" s="4">
        <f t="shared" si="1"/>
        <v>43970</v>
      </c>
      <c r="O8639" s="5" t="str">
        <f>IFERROR(__xludf.DUMMYFUNCTION("IF(REGEXMATCH(TRIM(I8639), ""^\d+\s*min""), ""Unclassified"", IF(I8639 = """", ""NR"", I8639))"),"R")</f>
        <v>R</v>
      </c>
      <c r="R8639" s="5" t="str">
        <f t="shared" si="2"/>
        <v>Trumbo</v>
      </c>
      <c r="S8639" s="5" t="str">
        <f>IFERROR(__xludf.DUMMYFUNCTION("""COMPUTED_VALUE"""),"Without Gorky")</f>
        <v>Without Gorky</v>
      </c>
      <c r="V8639" s="5"/>
      <c r="Y8639" s="5" t="str">
        <f>IFERROR(__xludf.DUMMYFUNCTION("REGEXEXTRACT(J8639, ""^\d+"")"),"124")</f>
        <v>124</v>
      </c>
      <c r="Z8639" s="5" t="str">
        <f>IFERROR(__xludf.DUMMYFUNCTION("REGEXEXTRACT(J8639, ""[A-Za-z ]+$"")")," min")</f>
        <v> min</v>
      </c>
      <c r="AA8639" s="5" t="str">
        <f>IFERROR(__xludf.DUMMYFUNCTION("IF(REGEXMATCH(Z8639, ""Season""), ""TV Show"", ""Movie"")"),"Movie")</f>
        <v>Movie</v>
      </c>
    </row>
    <row r="8640">
      <c r="A8640" s="1" t="s">
        <v>41182</v>
      </c>
      <c r="B8640" s="1" t="s">
        <v>27</v>
      </c>
      <c r="C8640" s="1" t="s">
        <v>41183</v>
      </c>
      <c r="D8640" s="1" t="s">
        <v>6924</v>
      </c>
      <c r="E8640" s="1" t="s">
        <v>41184</v>
      </c>
      <c r="F8640" s="1" t="s">
        <v>41185</v>
      </c>
      <c r="G8640" s="1" t="s">
        <v>21407</v>
      </c>
      <c r="H8640" s="1">
        <v>2010.0</v>
      </c>
      <c r="I8640" s="1" t="s">
        <v>378</v>
      </c>
      <c r="J8640" s="1" t="s">
        <v>1191</v>
      </c>
      <c r="K8640" s="1" t="s">
        <v>20491</v>
      </c>
      <c r="L8640" s="1" t="s">
        <v>41186</v>
      </c>
      <c r="M8640" s="2" t="s">
        <v>12</v>
      </c>
      <c r="N8640" s="4">
        <f t="shared" si="1"/>
        <v>43553</v>
      </c>
      <c r="O8640" s="5" t="str">
        <f>IFERROR(__xludf.DUMMYFUNCTION("IF(REGEXMATCH(TRIM(I8640), ""^\d+\s*min""), ""Unclassified"", IF(I8640 = """", ""NR"", I8640))"),"R")</f>
        <v>R</v>
      </c>
      <c r="R8640" s="5" t="str">
        <f t="shared" si="2"/>
        <v>Tucker And Dale Vs. Evil</v>
      </c>
      <c r="S8640" s="5" t="str">
        <f>IFERROR(__xludf.DUMMYFUNCTION("""COMPUTED_VALUE"""),"Wives On Strike")</f>
        <v>Wives On Strike</v>
      </c>
      <c r="V8640" s="5"/>
      <c r="Y8640" s="5" t="str">
        <f>IFERROR(__xludf.DUMMYFUNCTION("REGEXEXTRACT(J8640, ""^\d+"")"),"89")</f>
        <v>89</v>
      </c>
      <c r="Z8640" s="5" t="str">
        <f>IFERROR(__xludf.DUMMYFUNCTION("REGEXEXTRACT(J8640, ""[A-Za-z ]+$"")")," min")</f>
        <v> min</v>
      </c>
      <c r="AA8640" s="5" t="str">
        <f>IFERROR(__xludf.DUMMYFUNCTION("IF(REGEXMATCH(Z8640, ""Season""), ""TV Show"", ""Movie"")"),"Movie")</f>
        <v>Movie</v>
      </c>
    </row>
    <row r="8641">
      <c r="A8641" s="1" t="s">
        <v>41187</v>
      </c>
      <c r="B8641" s="1" t="s">
        <v>27</v>
      </c>
      <c r="C8641" s="1" t="s">
        <v>41188</v>
      </c>
      <c r="D8641" s="1" t="s">
        <v>4388</v>
      </c>
      <c r="E8641" s="1" t="s">
        <v>41189</v>
      </c>
      <c r="F8641" s="1" t="s">
        <v>63</v>
      </c>
      <c r="G8641" s="1" t="s">
        <v>26235</v>
      </c>
      <c r="H8641" s="1">
        <v>2012.0</v>
      </c>
      <c r="I8641" s="1" t="s">
        <v>136</v>
      </c>
      <c r="J8641" s="1" t="s">
        <v>6105</v>
      </c>
      <c r="K8641" s="1" t="s">
        <v>3585</v>
      </c>
      <c r="L8641" s="1" t="s">
        <v>41190</v>
      </c>
      <c r="M8641" s="2" t="s">
        <v>12</v>
      </c>
      <c r="N8641" s="4">
        <f t="shared" si="1"/>
        <v>43146</v>
      </c>
      <c r="O8641" s="5" t="str">
        <f>IFERROR(__xludf.DUMMYFUNCTION("IF(REGEXMATCH(TRIM(I8641), ""^\d+\s*min""), ""Unclassified"", IF(I8641 = """", ""NR"", I8641))"),"TV-PG")</f>
        <v>TV-PG</v>
      </c>
      <c r="R8641" s="5" t="str">
        <f t="shared" si="2"/>
        <v>Tukaram</v>
      </c>
      <c r="S8641" s="5" t="str">
        <f>IFERROR(__xludf.DUMMYFUNCTION("""COMPUTED_VALUE"""),"Wives On Strike: The Revolution")</f>
        <v>Wives On Strike: The Revolution</v>
      </c>
      <c r="V8641" s="5"/>
      <c r="Y8641" s="5" t="str">
        <f>IFERROR(__xludf.DUMMYFUNCTION("REGEXEXTRACT(J8641, ""^\d+"")"),"162")</f>
        <v>162</v>
      </c>
      <c r="Z8641" s="5" t="str">
        <f>IFERROR(__xludf.DUMMYFUNCTION("REGEXEXTRACT(J8641, ""[A-Za-z ]+$"")")," min")</f>
        <v> min</v>
      </c>
      <c r="AA8641" s="5" t="str">
        <f>IFERROR(__xludf.DUMMYFUNCTION("IF(REGEXMATCH(Z8641, ""Season""), ""TV Show"", ""Movie"")"),"Movie")</f>
        <v>Movie</v>
      </c>
    </row>
    <row r="8642">
      <c r="A8642" s="1" t="s">
        <v>41191</v>
      </c>
      <c r="B8642" s="1" t="s">
        <v>27</v>
      </c>
      <c r="C8642" s="1" t="s">
        <v>41192</v>
      </c>
      <c r="D8642" s="1" t="s">
        <v>7851</v>
      </c>
      <c r="E8642" s="1" t="s">
        <v>41193</v>
      </c>
      <c r="F8642" s="1" t="s">
        <v>692</v>
      </c>
      <c r="G8642" s="1" t="s">
        <v>28421</v>
      </c>
      <c r="H8642" s="1">
        <v>1944.0</v>
      </c>
      <c r="I8642" s="1" t="s">
        <v>97</v>
      </c>
      <c r="J8642" s="1" t="s">
        <v>1171</v>
      </c>
      <c r="K8642" s="1" t="s">
        <v>35403</v>
      </c>
      <c r="L8642" s="1" t="s">
        <v>41194</v>
      </c>
      <c r="M8642" s="2" t="s">
        <v>12</v>
      </c>
      <c r="N8642" s="4">
        <f t="shared" si="1"/>
        <v>42825</v>
      </c>
      <c r="O8642" s="5" t="str">
        <f>IFERROR(__xludf.DUMMYFUNCTION("IF(REGEXMATCH(TRIM(I8642), ""^\d+\s*min""), ""Unclassified"", IF(I8642 = """", ""NR"", I8642))"),"TV-14")</f>
        <v>TV-14</v>
      </c>
      <c r="R8642" s="5" t="str">
        <f t="shared" si="2"/>
        <v>Tunisian Victory</v>
      </c>
      <c r="S8642" s="5" t="str">
        <f>IFERROR(__xludf.DUMMYFUNCTION("""COMPUTED_VALUE"""),"Wizards: Tales Of Arcadia")</f>
        <v>Wizards: Tales Of Arcadia</v>
      </c>
      <c r="V8642" s="5"/>
      <c r="Y8642" s="5" t="str">
        <f>IFERROR(__xludf.DUMMYFUNCTION("REGEXEXTRACT(J8642, ""^\d+"")"),"76")</f>
        <v>76</v>
      </c>
      <c r="Z8642" s="5" t="str">
        <f>IFERROR(__xludf.DUMMYFUNCTION("REGEXEXTRACT(J8642, ""[A-Za-z ]+$"")")," min")</f>
        <v> min</v>
      </c>
      <c r="AA8642" s="5" t="str">
        <f>IFERROR(__xludf.DUMMYFUNCTION("IF(REGEXMATCH(Z8642, ""Season""), ""TV Show"", ""Movie"")"),"Movie")</f>
        <v>Movie</v>
      </c>
    </row>
    <row r="8643">
      <c r="A8643" s="1" t="s">
        <v>41195</v>
      </c>
      <c r="B8643" s="1" t="s">
        <v>27</v>
      </c>
      <c r="C8643" s="1" t="s">
        <v>41196</v>
      </c>
      <c r="D8643" s="1" t="s">
        <v>6166</v>
      </c>
      <c r="E8643" s="1" t="s">
        <v>41197</v>
      </c>
      <c r="F8643" s="1" t="s">
        <v>30</v>
      </c>
      <c r="G8643" s="1" t="s">
        <v>19297</v>
      </c>
      <c r="H8643" s="1">
        <v>2013.0</v>
      </c>
      <c r="I8643" s="1" t="s">
        <v>78</v>
      </c>
      <c r="J8643" s="1" t="s">
        <v>322</v>
      </c>
      <c r="K8643" s="1" t="s">
        <v>137</v>
      </c>
      <c r="L8643" s="1" t="s">
        <v>41198</v>
      </c>
      <c r="M8643" s="2" t="s">
        <v>12</v>
      </c>
      <c r="N8643" s="4">
        <f t="shared" si="1"/>
        <v>43720</v>
      </c>
      <c r="O8643" s="5" t="str">
        <f>IFERROR(__xludf.DUMMYFUNCTION("IF(REGEXMATCH(TRIM(I8643), ""^\d+\s*min""), ""Unclassified"", IF(I8643 = """", ""NR"", I8643))"),"PG")</f>
        <v>PG</v>
      </c>
      <c r="R8643" s="5" t="str">
        <f t="shared" si="2"/>
        <v>Turbo</v>
      </c>
      <c r="S8643" s="5" t="str">
        <f>IFERROR(__xludf.DUMMYFUNCTION("""COMPUTED_VALUE"""),"Wolf")</f>
        <v>Wolf</v>
      </c>
      <c r="V8643" s="5"/>
      <c r="Y8643" s="5" t="str">
        <f>IFERROR(__xludf.DUMMYFUNCTION("REGEXEXTRACT(J8643, ""^\d+"")"),"96")</f>
        <v>96</v>
      </c>
      <c r="Z8643" s="5" t="str">
        <f>IFERROR(__xludf.DUMMYFUNCTION("REGEXEXTRACT(J8643, ""[A-Za-z ]+$"")")," min")</f>
        <v> min</v>
      </c>
      <c r="AA8643" s="5" t="str">
        <f>IFERROR(__xludf.DUMMYFUNCTION("IF(REGEXMATCH(Z8643, ""Season""), ""TV Show"", ""Movie"")"),"Movie")</f>
        <v>Movie</v>
      </c>
    </row>
    <row r="8644">
      <c r="A8644" s="1" t="s">
        <v>41199</v>
      </c>
      <c r="B8644" s="1" t="s">
        <v>27</v>
      </c>
      <c r="C8644" s="1" t="s">
        <v>41200</v>
      </c>
      <c r="D8644" s="1" t="s">
        <v>5737</v>
      </c>
      <c r="E8644" s="1" t="s">
        <v>41201</v>
      </c>
      <c r="F8644" s="1" t="s">
        <v>30</v>
      </c>
      <c r="G8644" s="1" t="s">
        <v>25039</v>
      </c>
      <c r="H8644" s="1">
        <v>2014.0</v>
      </c>
      <c r="I8644" s="1" t="s">
        <v>378</v>
      </c>
      <c r="J8644" s="1" t="s">
        <v>447</v>
      </c>
      <c r="K8644" s="1" t="s">
        <v>1551</v>
      </c>
      <c r="L8644" s="1" t="s">
        <v>41202</v>
      </c>
      <c r="M8644" s="2" t="s">
        <v>12</v>
      </c>
      <c r="N8644" s="4">
        <f t="shared" si="1"/>
        <v>43305</v>
      </c>
      <c r="O8644" s="5" t="str">
        <f>IFERROR(__xludf.DUMMYFUNCTION("IF(REGEXMATCH(TRIM(I8644), ""^\d+\s*min""), ""Unclassified"", IF(I8644 = """", ""NR"", I8644))"),"R")</f>
        <v>R</v>
      </c>
      <c r="R8644" s="5" t="str">
        <f t="shared" si="2"/>
        <v>Tusk</v>
      </c>
      <c r="S8644" s="5" t="str">
        <f>IFERROR(__xludf.DUMMYFUNCTION("""COMPUTED_VALUE"""),"Wolves")</f>
        <v>Wolves</v>
      </c>
      <c r="V8644" s="5"/>
      <c r="Y8644" s="5" t="str">
        <f>IFERROR(__xludf.DUMMYFUNCTION("REGEXEXTRACT(J8644, ""^\d+"")"),"102")</f>
        <v>102</v>
      </c>
      <c r="Z8644" s="5" t="str">
        <f>IFERROR(__xludf.DUMMYFUNCTION("REGEXEXTRACT(J8644, ""[A-Za-z ]+$"")")," min")</f>
        <v> min</v>
      </c>
      <c r="AA8644" s="5" t="str">
        <f>IFERROR(__xludf.DUMMYFUNCTION("IF(REGEXMATCH(Z8644, ""Season""), ""TV Show"", ""Movie"")"),"Movie")</f>
        <v>Movie</v>
      </c>
    </row>
    <row r="8645">
      <c r="A8645" s="1" t="s">
        <v>41203</v>
      </c>
      <c r="B8645" s="1" t="s">
        <v>27</v>
      </c>
      <c r="C8645" s="1" t="s">
        <v>41204</v>
      </c>
      <c r="D8645" s="1" t="s">
        <v>9324</v>
      </c>
      <c r="E8645" s="1" t="s">
        <v>41205</v>
      </c>
      <c r="F8645" s="1" t="s">
        <v>6651</v>
      </c>
      <c r="G8645" s="1" t="s">
        <v>26505</v>
      </c>
      <c r="H8645" s="1">
        <v>2010.0</v>
      </c>
      <c r="I8645" s="1" t="s">
        <v>97</v>
      </c>
      <c r="J8645" s="1" t="s">
        <v>8606</v>
      </c>
      <c r="K8645" s="1" t="s">
        <v>156</v>
      </c>
      <c r="L8645" s="1" t="s">
        <v>41206</v>
      </c>
      <c r="M8645" s="2" t="s">
        <v>12</v>
      </c>
      <c r="N8645" s="4">
        <f t="shared" si="1"/>
        <v>43100</v>
      </c>
      <c r="O8645" s="5" t="str">
        <f>IFERROR(__xludf.DUMMYFUNCTION("IF(REGEXMATCH(TRIM(I8645), ""^\d+\s*min""), ""Unclassified"", IF(I8645 = """", ""NR"", I8645))"),"TV-14")</f>
        <v>TV-14</v>
      </c>
      <c r="R8645" s="5" t="str">
        <f t="shared" si="2"/>
        <v>Twice</v>
      </c>
      <c r="S8645" s="5" t="str">
        <f>IFERROR(__xludf.DUMMYFUNCTION("""COMPUTED_VALUE"""),"Women Behind Bars")</f>
        <v>Women Behind Bars</v>
      </c>
      <c r="V8645" s="5"/>
      <c r="Y8645" s="5" t="str">
        <f>IFERROR(__xludf.DUMMYFUNCTION("REGEXEXTRACT(J8645, ""^\d+"")"),"53")</f>
        <v>53</v>
      </c>
      <c r="Z8645" s="5" t="str">
        <f>IFERROR(__xludf.DUMMYFUNCTION("REGEXEXTRACT(J8645, ""[A-Za-z ]+$"")")," min")</f>
        <v> min</v>
      </c>
      <c r="AA8645" s="5" t="str">
        <f>IFERROR(__xludf.DUMMYFUNCTION("IF(REGEXMATCH(Z8645, ""Season""), ""TV Show"", ""Movie"")"),"Movie")</f>
        <v>Movie</v>
      </c>
    </row>
    <row r="8646">
      <c r="A8646" s="1" t="s">
        <v>41207</v>
      </c>
      <c r="B8646" s="1" t="s">
        <v>37</v>
      </c>
      <c r="C8646" s="1" t="s">
        <v>41208</v>
      </c>
      <c r="E8646" s="1" t="s">
        <v>41209</v>
      </c>
      <c r="F8646" s="1" t="s">
        <v>30</v>
      </c>
      <c r="G8646" s="1" t="s">
        <v>27735</v>
      </c>
      <c r="H8646" s="1">
        <v>1990.0</v>
      </c>
      <c r="I8646" s="1" t="s">
        <v>97</v>
      </c>
      <c r="J8646" s="1" t="s">
        <v>43</v>
      </c>
      <c r="K8646" s="1" t="s">
        <v>41210</v>
      </c>
      <c r="L8646" s="1" t="s">
        <v>41211</v>
      </c>
      <c r="M8646" s="2" t="s">
        <v>12</v>
      </c>
      <c r="N8646" s="4">
        <f t="shared" si="1"/>
        <v>42917</v>
      </c>
      <c r="O8646" s="5" t="str">
        <f>IFERROR(__xludf.DUMMYFUNCTION("IF(REGEXMATCH(TRIM(I8646), ""^\d+\s*min""), ""Unclassified"", IF(I8646 = """", ""NR"", I8646))"),"TV-14")</f>
        <v>TV-14</v>
      </c>
      <c r="R8646" s="5" t="str">
        <f t="shared" si="2"/>
        <v>Twin Peaks</v>
      </c>
      <c r="S8646" s="5" t="str">
        <f>IFERROR(__xludf.DUMMYFUNCTION("""COMPUTED_VALUE"""),"Women Of Mafia 2")</f>
        <v>Women Of Mafia 2</v>
      </c>
      <c r="V8646" s="5"/>
      <c r="Y8646" s="5" t="str">
        <f>IFERROR(__xludf.DUMMYFUNCTION("REGEXEXTRACT(J8646, ""^\d+"")"),"2")</f>
        <v>2</v>
      </c>
      <c r="Z8646" s="5" t="str">
        <f>IFERROR(__xludf.DUMMYFUNCTION("REGEXEXTRACT(J8646, ""[A-Za-z ]+$"")")," Seasons")</f>
        <v> Seasons</v>
      </c>
      <c r="AA8646" s="5" t="str">
        <f>IFERROR(__xludf.DUMMYFUNCTION("IF(REGEXMATCH(Z8646, ""Season""), ""TV Show"", ""Movie"")"),"TV Show")</f>
        <v>TV Show</v>
      </c>
    </row>
    <row r="8647">
      <c r="A8647" s="1" t="s">
        <v>41212</v>
      </c>
      <c r="B8647" s="1" t="s">
        <v>27</v>
      </c>
      <c r="C8647" s="1" t="s">
        <v>41213</v>
      </c>
      <c r="D8647" s="1" t="s">
        <v>4022</v>
      </c>
      <c r="E8647" s="1" t="s">
        <v>41214</v>
      </c>
      <c r="F8647" s="1" t="s">
        <v>30</v>
      </c>
      <c r="G8647" s="1" t="s">
        <v>21602</v>
      </c>
      <c r="H8647" s="1">
        <v>2018.0</v>
      </c>
      <c r="I8647" s="1" t="s">
        <v>42</v>
      </c>
      <c r="J8647" s="1" t="s">
        <v>1144</v>
      </c>
      <c r="K8647" s="1" t="s">
        <v>18588</v>
      </c>
      <c r="L8647" s="1" t="s">
        <v>41215</v>
      </c>
      <c r="M8647" s="2" t="s">
        <v>12</v>
      </c>
      <c r="N8647" s="4">
        <f t="shared" si="1"/>
        <v>43539</v>
      </c>
      <c r="O8647" s="5" t="str">
        <f>IFERROR(__xludf.DUMMYFUNCTION("IF(REGEXMATCH(TRIM(I8647), ""^\d+\s*min""), ""Unclassified"", IF(I8647 = """", ""NR"", I8647))"),"TV-MA")</f>
        <v>TV-MA</v>
      </c>
      <c r="R8647" s="5" t="str">
        <f t="shared" si="2"/>
        <v>Twinsanity</v>
      </c>
      <c r="S8647" s="5" t="str">
        <f>IFERROR(__xludf.DUMMYFUNCTION("""COMPUTED_VALUE"""),"Women Of The Night")</f>
        <v>Women Of The Night</v>
      </c>
      <c r="V8647" s="5"/>
      <c r="Y8647" s="5" t="str">
        <f>IFERROR(__xludf.DUMMYFUNCTION("REGEXEXTRACT(J8647, ""^\d+"")"),"86")</f>
        <v>86</v>
      </c>
      <c r="Z8647" s="5" t="str">
        <f>IFERROR(__xludf.DUMMYFUNCTION("REGEXEXTRACT(J8647, ""[A-Za-z ]+$"")")," min")</f>
        <v> min</v>
      </c>
      <c r="AA8647" s="5" t="str">
        <f>IFERROR(__xludf.DUMMYFUNCTION("IF(REGEXMATCH(Z8647, ""Season""), ""TV Show"", ""Movie"")"),"Movie")</f>
        <v>Movie</v>
      </c>
    </row>
    <row r="8648">
      <c r="A8648" s="1" t="s">
        <v>41216</v>
      </c>
      <c r="B8648" s="1" t="s">
        <v>37</v>
      </c>
      <c r="C8648" s="1" t="s">
        <v>41217</v>
      </c>
      <c r="E8648" s="1" t="s">
        <v>41218</v>
      </c>
      <c r="F8648" s="1" t="s">
        <v>96</v>
      </c>
      <c r="G8648" s="7">
        <v>43966.0</v>
      </c>
      <c r="H8648" s="1">
        <v>2018.0</v>
      </c>
      <c r="I8648" s="1" t="s">
        <v>206</v>
      </c>
      <c r="J8648" s="1" t="s">
        <v>43</v>
      </c>
      <c r="K8648" s="1" t="s">
        <v>712</v>
      </c>
      <c r="L8648" s="1" t="s">
        <v>41219</v>
      </c>
      <c r="M8648" s="2" t="s">
        <v>12</v>
      </c>
      <c r="N8648" s="4">
        <f t="shared" si="1"/>
        <v>43966</v>
      </c>
      <c r="O8648" s="5" t="str">
        <f>IFERROR(__xludf.DUMMYFUNCTION("IF(REGEXMATCH(TRIM(I8648), ""^\d+\s*min""), ""Unclassified"", IF(I8648 = """", ""NR"", I8648))"),"TV-Y")</f>
        <v>TV-Y</v>
      </c>
      <c r="R8648" s="5" t="str">
        <f t="shared" si="2"/>
        <v>Twirlywoos</v>
      </c>
      <c r="S8648" s="5" t="str">
        <f>IFERROR(__xludf.DUMMYFUNCTION("""COMPUTED_VALUE"""),"Wonder Boy")</f>
        <v>Wonder Boy</v>
      </c>
      <c r="V8648" s="5"/>
      <c r="Y8648" s="5" t="str">
        <f>IFERROR(__xludf.DUMMYFUNCTION("REGEXEXTRACT(J8648, ""^\d+"")"),"2")</f>
        <v>2</v>
      </c>
      <c r="Z8648" s="5" t="str">
        <f>IFERROR(__xludf.DUMMYFUNCTION("REGEXEXTRACT(J8648, ""[A-Za-z ]+$"")")," Seasons")</f>
        <v> Seasons</v>
      </c>
      <c r="AA8648" s="5" t="str">
        <f>IFERROR(__xludf.DUMMYFUNCTION("IF(REGEXMATCH(Z8648, ""Season""), ""TV Show"", ""Movie"")"),"TV Show")</f>
        <v>TV Show</v>
      </c>
    </row>
    <row r="8649">
      <c r="A8649" s="1" t="s">
        <v>41220</v>
      </c>
      <c r="B8649" s="1" t="s">
        <v>27</v>
      </c>
      <c r="C8649" s="1" t="s">
        <v>41221</v>
      </c>
      <c r="E8649" s="1" t="s">
        <v>41222</v>
      </c>
      <c r="F8649" s="1" t="s">
        <v>63</v>
      </c>
      <c r="G8649" s="1" t="s">
        <v>28769</v>
      </c>
      <c r="H8649" s="1">
        <v>2015.0</v>
      </c>
      <c r="I8649" s="1" t="s">
        <v>97</v>
      </c>
      <c r="J8649" s="1" t="s">
        <v>1191</v>
      </c>
      <c r="K8649" s="1" t="s">
        <v>128</v>
      </c>
      <c r="L8649" s="1" t="s">
        <v>41223</v>
      </c>
      <c r="M8649" s="2" t="s">
        <v>12</v>
      </c>
      <c r="N8649" s="4">
        <f t="shared" si="1"/>
        <v>42750</v>
      </c>
      <c r="O8649" s="5" t="str">
        <f>IFERROR(__xludf.DUMMYFUNCTION("IF(REGEXMATCH(TRIM(I8649), ""^\d+\s*min""), ""Unclassified"", IF(I8649 = """", ""NR"", I8649))"),"TV-14")</f>
        <v>TV-14</v>
      </c>
      <c r="R8649" s="5" t="str">
        <f t="shared" si="2"/>
        <v>Twisted Trunk, Big Fat Body</v>
      </c>
      <c r="S8649" s="5" t="str">
        <f>IFERROR(__xludf.DUMMYFUNCTION("""COMPUTED_VALUE"""),"Wonho Chung: Live In New York")</f>
        <v>Wonho Chung: Live In New York</v>
      </c>
      <c r="V8649" s="5"/>
      <c r="Y8649" s="5" t="str">
        <f>IFERROR(__xludf.DUMMYFUNCTION("REGEXEXTRACT(J8649, ""^\d+"")"),"89")</f>
        <v>89</v>
      </c>
      <c r="Z8649" s="5" t="str">
        <f>IFERROR(__xludf.DUMMYFUNCTION("REGEXEXTRACT(J8649, ""[A-Za-z ]+$"")")," min")</f>
        <v> min</v>
      </c>
      <c r="AA8649" s="5" t="str">
        <f>IFERROR(__xludf.DUMMYFUNCTION("IF(REGEXMATCH(Z8649, ""Season""), ""TV Show"", ""Movie"")"),"Movie")</f>
        <v>Movie</v>
      </c>
    </row>
    <row r="8650">
      <c r="A8650" s="1" t="s">
        <v>41224</v>
      </c>
      <c r="B8650" s="1" t="s">
        <v>27</v>
      </c>
      <c r="C8650" s="1" t="s">
        <v>41225</v>
      </c>
      <c r="D8650" s="1" t="s">
        <v>8213</v>
      </c>
      <c r="E8650" s="1" t="s">
        <v>41226</v>
      </c>
      <c r="F8650" s="1" t="s">
        <v>96</v>
      </c>
      <c r="G8650" s="7">
        <v>43586.0</v>
      </c>
      <c r="H8650" s="1">
        <v>2018.0</v>
      </c>
      <c r="I8650" s="1" t="s">
        <v>42</v>
      </c>
      <c r="J8650" s="1" t="s">
        <v>729</v>
      </c>
      <c r="K8650" s="1" t="s">
        <v>171</v>
      </c>
      <c r="L8650" s="1" t="s">
        <v>41227</v>
      </c>
      <c r="M8650" s="2" t="s">
        <v>12</v>
      </c>
      <c r="N8650" s="4">
        <f t="shared" si="1"/>
        <v>43586</v>
      </c>
      <c r="O8650" s="5" t="str">
        <f>IFERROR(__xludf.DUMMYFUNCTION("IF(REGEXMATCH(TRIM(I8650), ""^\d+\s*min""), ""Unclassified"", IF(I8650 = """", ""NR"", I8650))"),"TV-MA")</f>
        <v>TV-MA</v>
      </c>
      <c r="R8650" s="5" t="str">
        <f t="shared" si="2"/>
        <v>Two Graves</v>
      </c>
      <c r="S8650" s="5" t="str">
        <f>IFERROR(__xludf.DUMMYFUNCTION("""COMPUTED_VALUE"""),"Woodshock")</f>
        <v>Woodshock</v>
      </c>
      <c r="V8650" s="5"/>
      <c r="Y8650" s="5" t="str">
        <f>IFERROR(__xludf.DUMMYFUNCTION("REGEXEXTRACT(J8650, ""^\d+"")"),"80")</f>
        <v>80</v>
      </c>
      <c r="Z8650" s="5" t="str">
        <f>IFERROR(__xludf.DUMMYFUNCTION("REGEXEXTRACT(J8650, ""[A-Za-z ]+$"")")," min")</f>
        <v> min</v>
      </c>
      <c r="AA8650" s="5" t="str">
        <f>IFERROR(__xludf.DUMMYFUNCTION("IF(REGEXMATCH(Z8650, ""Season""), ""TV Show"", ""Movie"")"),"Movie")</f>
        <v>Movie</v>
      </c>
    </row>
    <row r="8651">
      <c r="A8651" s="1" t="s">
        <v>41228</v>
      </c>
      <c r="B8651" s="1" t="s">
        <v>27</v>
      </c>
      <c r="C8651" s="1" t="s">
        <v>41229</v>
      </c>
      <c r="D8651" s="1" t="s">
        <v>10469</v>
      </c>
      <c r="E8651" s="1" t="s">
        <v>41230</v>
      </c>
      <c r="F8651" s="1" t="s">
        <v>1106</v>
      </c>
      <c r="G8651" s="7">
        <v>42857.0</v>
      </c>
      <c r="H8651" s="1">
        <v>2016.0</v>
      </c>
      <c r="I8651" s="1" t="s">
        <v>378</v>
      </c>
      <c r="J8651" s="1" t="s">
        <v>465</v>
      </c>
      <c r="K8651" s="1" t="s">
        <v>1538</v>
      </c>
      <c r="L8651" s="1" t="s">
        <v>41231</v>
      </c>
      <c r="M8651" s="2" t="s">
        <v>12</v>
      </c>
      <c r="N8651" s="4">
        <f t="shared" si="1"/>
        <v>42857</v>
      </c>
      <c r="O8651" s="5" t="str">
        <f>IFERROR(__xludf.DUMMYFUNCTION("IF(REGEXMATCH(TRIM(I8651), ""^\d+\s*min""), ""Unclassified"", IF(I8651 = """", ""NR"", I8651))"),"R")</f>
        <v>R</v>
      </c>
      <c r="R8651" s="5" t="str">
        <f t="shared" si="2"/>
        <v>Two Lovers And A Bear</v>
      </c>
      <c r="S8651" s="5" t="str">
        <f>IFERROR(__xludf.DUMMYFUNCTION("""COMPUTED_VALUE"""),"Woodstock")</f>
        <v>Woodstock</v>
      </c>
      <c r="V8651" s="5"/>
      <c r="Y8651" s="5" t="str">
        <f>IFERROR(__xludf.DUMMYFUNCTION("REGEXEXTRACT(J8651, ""^\d+"")"),"95")</f>
        <v>95</v>
      </c>
      <c r="Z8651" s="5" t="str">
        <f>IFERROR(__xludf.DUMMYFUNCTION("REGEXEXTRACT(J8651, ""[A-Za-z ]+$"")")," min")</f>
        <v> min</v>
      </c>
      <c r="AA8651" s="5" t="str">
        <f>IFERROR(__xludf.DUMMYFUNCTION("IF(REGEXMATCH(Z8651, ""Season""), ""TV Show"", ""Movie"")"),"Movie")</f>
        <v>Movie</v>
      </c>
    </row>
    <row r="8652">
      <c r="A8652" s="1" t="s">
        <v>41232</v>
      </c>
      <c r="B8652" s="1" t="s">
        <v>27</v>
      </c>
      <c r="C8652" s="1" t="s">
        <v>41233</v>
      </c>
      <c r="D8652" s="1" t="s">
        <v>21981</v>
      </c>
      <c r="F8652" s="1" t="s">
        <v>221</v>
      </c>
      <c r="G8652" s="1" t="s">
        <v>29842</v>
      </c>
      <c r="H8652" s="1">
        <v>2015.0</v>
      </c>
      <c r="I8652" s="1" t="s">
        <v>97</v>
      </c>
      <c r="J8652" s="1" t="s">
        <v>1737</v>
      </c>
      <c r="K8652" s="1" t="s">
        <v>156</v>
      </c>
      <c r="L8652" s="1" t="s">
        <v>41234</v>
      </c>
      <c r="M8652" s="2" t="s">
        <v>12</v>
      </c>
      <c r="N8652" s="4">
        <f t="shared" si="1"/>
        <v>42339</v>
      </c>
      <c r="O8652" s="5" t="str">
        <f>IFERROR(__xludf.DUMMYFUNCTION("IF(REGEXMATCH(TRIM(I8652), ""^\d+\s*min""), ""Unclassified"", IF(I8652 = """", ""NR"", I8652))"),"TV-14")</f>
        <v>TV-14</v>
      </c>
      <c r="R8652" s="5" t="str">
        <f t="shared" si="2"/>
        <v>Tyke Elephant Outlaw</v>
      </c>
      <c r="S8652" s="5" t="str">
        <f>IFERROR(__xludf.DUMMYFUNCTION("""COMPUTED_VALUE"""),"Woody Woodpecker")</f>
        <v>Woody Woodpecker</v>
      </c>
      <c r="V8652" s="5"/>
      <c r="Y8652" s="5" t="str">
        <f>IFERROR(__xludf.DUMMYFUNCTION("REGEXEXTRACT(J8652, ""^\d+"")"),"78")</f>
        <v>78</v>
      </c>
      <c r="Z8652" s="5" t="str">
        <f>IFERROR(__xludf.DUMMYFUNCTION("REGEXEXTRACT(J8652, ""[A-Za-z ]+$"")")," min")</f>
        <v> min</v>
      </c>
      <c r="AA8652" s="5" t="str">
        <f>IFERROR(__xludf.DUMMYFUNCTION("IF(REGEXMATCH(Z8652, ""Season""), ""TV Show"", ""Movie"")"),"Movie")</f>
        <v>Movie</v>
      </c>
    </row>
    <row r="8653">
      <c r="A8653" s="1" t="s">
        <v>41235</v>
      </c>
      <c r="B8653" s="1" t="s">
        <v>27</v>
      </c>
      <c r="C8653" s="1" t="s">
        <v>41236</v>
      </c>
      <c r="D8653" s="1" t="s">
        <v>8329</v>
      </c>
      <c r="E8653" s="1" t="s">
        <v>41237</v>
      </c>
      <c r="F8653" s="1" t="s">
        <v>2321</v>
      </c>
      <c r="G8653" s="1" t="s">
        <v>21838</v>
      </c>
      <c r="H8653" s="1">
        <v>2008.0</v>
      </c>
      <c r="I8653" s="1" t="s">
        <v>378</v>
      </c>
      <c r="J8653" s="1" t="s">
        <v>33</v>
      </c>
      <c r="K8653" s="1" t="s">
        <v>645</v>
      </c>
      <c r="L8653" s="1" t="s">
        <v>41238</v>
      </c>
      <c r="M8653" s="2" t="s">
        <v>12</v>
      </c>
      <c r="N8653" s="4">
        <f t="shared" si="1"/>
        <v>43525</v>
      </c>
      <c r="O8653" s="5" t="str">
        <f>IFERROR(__xludf.DUMMYFUNCTION("IF(REGEXMATCH(TRIM(I8653), ""^\d+\s*min""), ""Unclassified"", IF(I8653 = """", ""NR"", I8653))"),"R")</f>
        <v>R</v>
      </c>
      <c r="R8653" s="5" t="str">
        <f t="shared" si="2"/>
        <v>Tyson</v>
      </c>
      <c r="S8653" s="5" t="str">
        <f>IFERROR(__xludf.DUMMYFUNCTION("""COMPUTED_VALUE"""),"Word Of Honor")</f>
        <v>Word Of Honor</v>
      </c>
      <c r="V8653" s="5"/>
      <c r="Y8653" s="5" t="str">
        <f>IFERROR(__xludf.DUMMYFUNCTION("REGEXEXTRACT(J8653, ""^\d+"")"),"90")</f>
        <v>90</v>
      </c>
      <c r="Z8653" s="5" t="str">
        <f>IFERROR(__xludf.DUMMYFUNCTION("REGEXEXTRACT(J8653, ""[A-Za-z ]+$"")")," min")</f>
        <v> min</v>
      </c>
      <c r="AA8653" s="5" t="str">
        <f>IFERROR(__xludf.DUMMYFUNCTION("IF(REGEXMATCH(Z8653, ""Season""), ""TV Show"", ""Movie"")"),"Movie")</f>
        <v>Movie</v>
      </c>
    </row>
    <row r="8654">
      <c r="A8654" s="1" t="s">
        <v>41239</v>
      </c>
      <c r="B8654" s="1" t="s">
        <v>27</v>
      </c>
      <c r="C8654" s="1" t="s">
        <v>41240</v>
      </c>
      <c r="D8654" s="1" t="s">
        <v>2398</v>
      </c>
      <c r="E8654" s="1" t="s">
        <v>41241</v>
      </c>
      <c r="F8654" s="1" t="s">
        <v>63</v>
      </c>
      <c r="G8654" s="1" t="s">
        <v>28552</v>
      </c>
      <c r="H8654" s="1">
        <v>2013.0</v>
      </c>
      <c r="I8654" s="1" t="s">
        <v>30231</v>
      </c>
      <c r="J8654" s="1" t="s">
        <v>88</v>
      </c>
      <c r="K8654" s="1" t="s">
        <v>298</v>
      </c>
      <c r="L8654" s="1" t="s">
        <v>41242</v>
      </c>
      <c r="M8654" s="2" t="s">
        <v>12</v>
      </c>
      <c r="N8654" s="4">
        <f t="shared" si="1"/>
        <v>42795</v>
      </c>
      <c r="O8654" s="5" t="str">
        <f>IFERROR(__xludf.DUMMYFUNCTION("IF(REGEXMATCH(TRIM(I8654), ""^\d+\s*min""), ""Unclassified"", IF(I8654 = """", ""NR"", I8654))"),"NR")</f>
        <v>NR</v>
      </c>
      <c r="R8654" s="5" t="str">
        <f t="shared" si="2"/>
        <v>Ugly</v>
      </c>
      <c r="S8654" s="5" t="str">
        <f>IFERROR(__xludf.DUMMYFUNCTION("""COMPUTED_VALUE"""),"Word Party")</f>
        <v>Word Party</v>
      </c>
      <c r="V8654" s="5"/>
      <c r="Y8654" s="5" t="str">
        <f>IFERROR(__xludf.DUMMYFUNCTION("REGEXEXTRACT(J8654, ""^\d+"")"),"125")</f>
        <v>125</v>
      </c>
      <c r="Z8654" s="5" t="str">
        <f>IFERROR(__xludf.DUMMYFUNCTION("REGEXEXTRACT(J8654, ""[A-Za-z ]+$"")")," min")</f>
        <v> min</v>
      </c>
      <c r="AA8654" s="5" t="str">
        <f>IFERROR(__xludf.DUMMYFUNCTION("IF(REGEXMATCH(Z8654, ""Season""), ""TV Show"", ""Movie"")"),"Movie")</f>
        <v>Movie</v>
      </c>
    </row>
    <row r="8655">
      <c r="A8655" s="1" t="s">
        <v>41243</v>
      </c>
      <c r="B8655" s="1" t="s">
        <v>37</v>
      </c>
      <c r="C8655" s="1" t="s">
        <v>41244</v>
      </c>
      <c r="E8655" s="1" t="s">
        <v>41245</v>
      </c>
      <c r="F8655" s="1" t="s">
        <v>2796</v>
      </c>
      <c r="G8655" s="1" t="s">
        <v>22059</v>
      </c>
      <c r="H8655" s="1">
        <v>2015.0</v>
      </c>
      <c r="I8655" s="1" t="s">
        <v>97</v>
      </c>
      <c r="J8655" s="1" t="s">
        <v>148</v>
      </c>
      <c r="K8655" s="1" t="s">
        <v>1907</v>
      </c>
      <c r="L8655" s="1" t="s">
        <v>41246</v>
      </c>
      <c r="M8655" s="2" t="s">
        <v>12</v>
      </c>
      <c r="N8655" s="4">
        <f t="shared" si="1"/>
        <v>43511</v>
      </c>
      <c r="O8655" s="5" t="str">
        <f>IFERROR(__xludf.DUMMYFUNCTION("IF(REGEXMATCH(TRIM(I8655), ""^\d+\s*min""), ""Unclassified"", IF(I8655 = """", ""NR"", I8655))"),"TV-14")</f>
        <v>TV-14</v>
      </c>
      <c r="R8655" s="5" t="str">
        <f t="shared" si="2"/>
        <v>Ugly Duckling</v>
      </c>
      <c r="S8655" s="5" t="str">
        <f>IFERROR(__xludf.DUMMYFUNCTION("""COMPUTED_VALUE"""),"Word Party Songs")</f>
        <v>Word Party Songs</v>
      </c>
      <c r="V8655" s="5"/>
      <c r="Y8655" s="5" t="str">
        <f>IFERROR(__xludf.DUMMYFUNCTION("REGEXEXTRACT(J8655, ""^\d+"")"),"4")</f>
        <v>4</v>
      </c>
      <c r="Z8655" s="5" t="str">
        <f>IFERROR(__xludf.DUMMYFUNCTION("REGEXEXTRACT(J8655, ""[A-Za-z ]+$"")")," Seasons")</f>
        <v> Seasons</v>
      </c>
      <c r="AA8655" s="5" t="str">
        <f>IFERROR(__xludf.DUMMYFUNCTION("IF(REGEXMATCH(Z8655, ""Season""), ""TV Show"", ""Movie"")"),"TV Show")</f>
        <v>TV Show</v>
      </c>
    </row>
    <row r="8656">
      <c r="A8656" s="1" t="s">
        <v>41247</v>
      </c>
      <c r="B8656" s="1" t="s">
        <v>27</v>
      </c>
      <c r="C8656" s="1" t="s">
        <v>41248</v>
      </c>
      <c r="D8656" s="1" t="s">
        <v>3213</v>
      </c>
      <c r="E8656" s="1" t="s">
        <v>41249</v>
      </c>
      <c r="F8656" s="1" t="s">
        <v>1319</v>
      </c>
      <c r="G8656" s="1" t="s">
        <v>25842</v>
      </c>
      <c r="H8656" s="1">
        <v>2016.0</v>
      </c>
      <c r="I8656" s="1" t="s">
        <v>378</v>
      </c>
      <c r="J8656" s="1" t="s">
        <v>170</v>
      </c>
      <c r="K8656" s="1" t="s">
        <v>128</v>
      </c>
      <c r="L8656" s="1" t="s">
        <v>41250</v>
      </c>
      <c r="M8656" s="2" t="s">
        <v>12</v>
      </c>
      <c r="N8656" s="4">
        <f t="shared" si="1"/>
        <v>43191</v>
      </c>
      <c r="O8656" s="5" t="str">
        <f>IFERROR(__xludf.DUMMYFUNCTION("IF(REGEXMATCH(TRIM(I8656), ""^\d+\s*min""), ""Unclassified"", IF(I8656 = """", ""NR"", I8656))"),"R")</f>
        <v>R</v>
      </c>
      <c r="R8656" s="5" t="str">
        <f t="shared" si="2"/>
        <v>Una</v>
      </c>
      <c r="S8656" s="5" t="str">
        <f>IFERROR(__xludf.DUMMYFUNCTION("""COMPUTED_VALUE"""),"Words Bubble Up Like Soda Pop")</f>
        <v>Words Bubble Up Like Soda Pop</v>
      </c>
      <c r="V8656" s="5"/>
      <c r="Y8656" s="5" t="str">
        <f>IFERROR(__xludf.DUMMYFUNCTION("REGEXEXTRACT(J8656, ""^\d+"")"),"94")</f>
        <v>94</v>
      </c>
      <c r="Z8656" s="5" t="str">
        <f>IFERROR(__xludf.DUMMYFUNCTION("REGEXEXTRACT(J8656, ""[A-Za-z ]+$"")")," min")</f>
        <v> min</v>
      </c>
      <c r="AA8656" s="5" t="str">
        <f>IFERROR(__xludf.DUMMYFUNCTION("IF(REGEXMATCH(Z8656, ""Season""), ""TV Show"", ""Movie"")"),"Movie")</f>
        <v>Movie</v>
      </c>
    </row>
    <row r="8657">
      <c r="A8657" s="1" t="s">
        <v>41251</v>
      </c>
      <c r="B8657" s="1" t="s">
        <v>27</v>
      </c>
      <c r="C8657" s="1" t="s">
        <v>41252</v>
      </c>
      <c r="D8657" s="1" t="s">
        <v>17714</v>
      </c>
      <c r="E8657" s="1" t="s">
        <v>41253</v>
      </c>
      <c r="F8657" s="1" t="s">
        <v>30</v>
      </c>
      <c r="G8657" s="1" t="s">
        <v>18985</v>
      </c>
      <c r="H8657" s="1">
        <v>2006.0</v>
      </c>
      <c r="I8657" s="1" t="s">
        <v>78</v>
      </c>
      <c r="J8657" s="1" t="s">
        <v>33</v>
      </c>
      <c r="K8657" s="1" t="s">
        <v>137</v>
      </c>
      <c r="L8657" s="1" t="s">
        <v>41254</v>
      </c>
      <c r="M8657" s="2" t="s">
        <v>12</v>
      </c>
      <c r="N8657" s="4">
        <f t="shared" si="1"/>
        <v>43739</v>
      </c>
      <c r="O8657" s="5" t="str">
        <f>IFERROR(__xludf.DUMMYFUNCTION("IF(REGEXMATCH(TRIM(I8657), ""^\d+\s*min""), ""Unclassified"", IF(I8657 = """", ""NR"", I8657))"),"PG")</f>
        <v>PG</v>
      </c>
      <c r="R8657" s="5" t="str">
        <f t="shared" si="2"/>
        <v>Unaccompanied Minors</v>
      </c>
      <c r="S8657" s="5" t="str">
        <f>IFERROR(__xludf.DUMMYFUNCTION("""COMPUTED_VALUE"""),"Work It")</f>
        <v>Work It</v>
      </c>
      <c r="V8657" s="5"/>
      <c r="Y8657" s="5" t="str">
        <f>IFERROR(__xludf.DUMMYFUNCTION("REGEXEXTRACT(J8657, ""^\d+"")"),"90")</f>
        <v>90</v>
      </c>
      <c r="Z8657" s="5" t="str">
        <f>IFERROR(__xludf.DUMMYFUNCTION("REGEXEXTRACT(J8657, ""[A-Za-z ]+$"")")," min")</f>
        <v> min</v>
      </c>
      <c r="AA8657" s="5" t="str">
        <f>IFERROR(__xludf.DUMMYFUNCTION("IF(REGEXMATCH(Z8657, ""Season""), ""TV Show"", ""Movie"")"),"Movie")</f>
        <v>Movie</v>
      </c>
    </row>
    <row r="8658">
      <c r="A8658" s="1" t="s">
        <v>41255</v>
      </c>
      <c r="B8658" s="1" t="s">
        <v>27</v>
      </c>
      <c r="C8658" s="1" t="s">
        <v>41256</v>
      </c>
      <c r="D8658" s="1" t="s">
        <v>15743</v>
      </c>
      <c r="F8658" s="1" t="s">
        <v>30</v>
      </c>
      <c r="G8658" s="1" t="s">
        <v>31250</v>
      </c>
      <c r="H8658" s="1">
        <v>2017.0</v>
      </c>
      <c r="I8658" s="1" t="s">
        <v>42</v>
      </c>
      <c r="J8658" s="1" t="s">
        <v>106</v>
      </c>
      <c r="K8658" s="1" t="s">
        <v>34</v>
      </c>
      <c r="L8658" s="1" t="s">
        <v>41257</v>
      </c>
      <c r="M8658" s="2" t="s">
        <v>12</v>
      </c>
      <c r="N8658" s="4">
        <f t="shared" si="1"/>
        <v>42968</v>
      </c>
      <c r="O8658" s="5" t="str">
        <f>IFERROR(__xludf.DUMMYFUNCTION("IF(REGEXMATCH(TRIM(I8658), ""^\d+\s*min""), ""Unclassified"", IF(I8658 = """", ""NR"", I8658))"),"TV-MA")</f>
        <v>TV-MA</v>
      </c>
      <c r="R8658" s="5" t="str">
        <f t="shared" si="2"/>
        <v>Unacknowledged</v>
      </c>
      <c r="S8658" s="5" t="str">
        <f>IFERROR(__xludf.DUMMYFUNCTION("""COMPUTED_VALUE"""),"Workin' Moms")</f>
        <v>Workin' Moms</v>
      </c>
      <c r="V8658" s="5"/>
      <c r="Y8658" s="5" t="str">
        <f>IFERROR(__xludf.DUMMYFUNCTION("REGEXEXTRACT(J8658, ""^\d+"")"),"104")</f>
        <v>104</v>
      </c>
      <c r="Z8658" s="5" t="str">
        <f>IFERROR(__xludf.DUMMYFUNCTION("REGEXEXTRACT(J8658, ""[A-Za-z ]+$"")")," min")</f>
        <v> min</v>
      </c>
      <c r="AA8658" s="5" t="str">
        <f>IFERROR(__xludf.DUMMYFUNCTION("IF(REGEXMATCH(Z8658, ""Season""), ""TV Show"", ""Movie"")"),"Movie")</f>
        <v>Movie</v>
      </c>
    </row>
    <row r="8659">
      <c r="A8659" s="1" t="s">
        <v>41258</v>
      </c>
      <c r="B8659" s="1" t="s">
        <v>27</v>
      </c>
      <c r="C8659" s="1" t="s">
        <v>41259</v>
      </c>
      <c r="D8659" s="1" t="s">
        <v>4684</v>
      </c>
      <c r="E8659" s="1" t="s">
        <v>41260</v>
      </c>
      <c r="F8659" s="1" t="s">
        <v>30</v>
      </c>
      <c r="G8659" s="1" t="s">
        <v>26596</v>
      </c>
      <c r="H8659" s="1">
        <v>2017.0</v>
      </c>
      <c r="I8659" s="1" t="s">
        <v>97</v>
      </c>
      <c r="J8659" s="1" t="s">
        <v>18322</v>
      </c>
      <c r="K8659" s="1" t="s">
        <v>41261</v>
      </c>
      <c r="L8659" s="1" t="s">
        <v>41262</v>
      </c>
      <c r="M8659" s="2" t="s">
        <v>12</v>
      </c>
      <c r="N8659" s="4">
        <f t="shared" si="1"/>
        <v>43084</v>
      </c>
      <c r="O8659" s="5" t="str">
        <f>IFERROR(__xludf.DUMMYFUNCTION("IF(REGEXMATCH(TRIM(I8659), ""^\d+\s*min""), ""Unclassified"", IF(I8659 = """", ""NR"", I8659))"),"TV-14")</f>
        <v>TV-14</v>
      </c>
      <c r="R8659" s="5" t="str">
        <f t="shared" si="2"/>
        <v>Under An Arctic Sky</v>
      </c>
      <c r="S8659" s="5" t="str">
        <f>IFERROR(__xludf.DUMMYFUNCTION("""COMPUTED_VALUE"""),"Working Title")</f>
        <v>Working Title</v>
      </c>
      <c r="V8659" s="5"/>
      <c r="Y8659" s="5" t="str">
        <f>IFERROR(__xludf.DUMMYFUNCTION("REGEXEXTRACT(J8659, ""^\d+"")"),"40")</f>
        <v>40</v>
      </c>
      <c r="Z8659" s="5" t="str">
        <f>IFERROR(__xludf.DUMMYFUNCTION("REGEXEXTRACT(J8659, ""[A-Za-z ]+$"")")," min")</f>
        <v> min</v>
      </c>
      <c r="AA8659" s="5" t="str">
        <f>IFERROR(__xludf.DUMMYFUNCTION("IF(REGEXMATCH(Z8659, ""Season""), ""TV Show"", ""Movie"")"),"Movie")</f>
        <v>Movie</v>
      </c>
    </row>
    <row r="8660">
      <c r="A8660" s="1" t="s">
        <v>41263</v>
      </c>
      <c r="B8660" s="1" t="s">
        <v>27</v>
      </c>
      <c r="C8660" s="1" t="s">
        <v>41264</v>
      </c>
      <c r="D8660" s="1" t="s">
        <v>11682</v>
      </c>
      <c r="E8660" s="1" t="s">
        <v>41265</v>
      </c>
      <c r="F8660" s="1" t="s">
        <v>41266</v>
      </c>
      <c r="G8660" s="1" t="s">
        <v>25097</v>
      </c>
      <c r="H8660" s="1">
        <v>2013.0</v>
      </c>
      <c r="I8660" s="1" t="s">
        <v>378</v>
      </c>
      <c r="J8660" s="1" t="s">
        <v>912</v>
      </c>
      <c r="K8660" s="1" t="s">
        <v>89</v>
      </c>
      <c r="L8660" s="1" t="s">
        <v>41267</v>
      </c>
      <c r="M8660" s="2" t="s">
        <v>12</v>
      </c>
      <c r="N8660" s="4">
        <f t="shared" si="1"/>
        <v>43296</v>
      </c>
      <c r="O8660" s="5" t="str">
        <f>IFERROR(__xludf.DUMMYFUNCTION("IF(REGEXMATCH(TRIM(I8660), ""^\d+\s*min""), ""Unclassified"", IF(I8660 = """", ""NR"", I8660))"),"R")</f>
        <v>R</v>
      </c>
      <c r="R8660" s="5" t="str">
        <f t="shared" si="2"/>
        <v>Under The Skin</v>
      </c>
      <c r="S8660" s="5" t="str">
        <f>IFERROR(__xludf.DUMMYFUNCTION("""COMPUTED_VALUE"""),"World At Your Feet")</f>
        <v>World At Your Feet</v>
      </c>
      <c r="V8660" s="5"/>
      <c r="Y8660" s="5" t="str">
        <f>IFERROR(__xludf.DUMMYFUNCTION("REGEXEXTRACT(J8660, ""^\d+"")"),"108")</f>
        <v>108</v>
      </c>
      <c r="Z8660" s="5" t="str">
        <f>IFERROR(__xludf.DUMMYFUNCTION("REGEXEXTRACT(J8660, ""[A-Za-z ]+$"")")," min")</f>
        <v> min</v>
      </c>
      <c r="AA8660" s="5" t="str">
        <f>IFERROR(__xludf.DUMMYFUNCTION("IF(REGEXMATCH(Z8660, ""Season""), ""TV Show"", ""Movie"")"),"Movie")</f>
        <v>Movie</v>
      </c>
    </row>
    <row r="8661">
      <c r="A8661" s="1" t="s">
        <v>41268</v>
      </c>
      <c r="B8661" s="1" t="s">
        <v>27</v>
      </c>
      <c r="C8661" s="1" t="s">
        <v>41269</v>
      </c>
      <c r="D8661" s="1" t="s">
        <v>7237</v>
      </c>
      <c r="E8661" s="1" t="s">
        <v>41270</v>
      </c>
      <c r="F8661" s="1" t="s">
        <v>1106</v>
      </c>
      <c r="G8661" s="1" t="s">
        <v>26883</v>
      </c>
      <c r="H8661" s="1">
        <v>2016.0</v>
      </c>
      <c r="I8661" s="1" t="s">
        <v>32</v>
      </c>
      <c r="J8661" s="1" t="s">
        <v>170</v>
      </c>
      <c r="K8661" s="1" t="s">
        <v>1178</v>
      </c>
      <c r="L8661" s="1" t="s">
        <v>41271</v>
      </c>
      <c r="M8661" s="2" t="s">
        <v>12</v>
      </c>
      <c r="N8661" s="4">
        <f t="shared" si="1"/>
        <v>43040</v>
      </c>
      <c r="O8661" s="5" t="str">
        <f>IFERROR(__xludf.DUMMYFUNCTION("IF(REGEXMATCH(TRIM(I8661), ""^\d+\s*min""), ""Unclassified"", IF(I8661 = """", ""NR"", I8661))"),"PG-13")</f>
        <v>PG-13</v>
      </c>
      <c r="R8661" s="5" t="str">
        <f t="shared" si="2"/>
        <v>Undercover Grandpa</v>
      </c>
      <c r="S8661" s="5" t="str">
        <f>IFERROR(__xludf.DUMMYFUNCTION("""COMPUTED_VALUE"""),"World Famous Lover")</f>
        <v>World Famous Lover</v>
      </c>
      <c r="V8661" s="5"/>
      <c r="Y8661" s="5" t="str">
        <f>IFERROR(__xludf.DUMMYFUNCTION("REGEXEXTRACT(J8661, ""^\d+"")"),"94")</f>
        <v>94</v>
      </c>
      <c r="Z8661" s="5" t="str">
        <f>IFERROR(__xludf.DUMMYFUNCTION("REGEXEXTRACT(J8661, ""[A-Za-z ]+$"")")," min")</f>
        <v> min</v>
      </c>
      <c r="AA8661" s="5" t="str">
        <f>IFERROR(__xludf.DUMMYFUNCTION("IF(REGEXMATCH(Z8661, ""Season""), ""TV Show"", ""Movie"")"),"Movie")</f>
        <v>Movie</v>
      </c>
    </row>
    <row r="8662">
      <c r="A8662" s="1" t="s">
        <v>41272</v>
      </c>
      <c r="B8662" s="1" t="s">
        <v>27</v>
      </c>
      <c r="C8662" s="1" t="s">
        <v>41273</v>
      </c>
      <c r="D8662" s="1" t="s">
        <v>11301</v>
      </c>
      <c r="F8662" s="1" t="s">
        <v>30</v>
      </c>
      <c r="G8662" s="1" t="s">
        <v>28421</v>
      </c>
      <c r="H8662" s="1">
        <v>1943.0</v>
      </c>
      <c r="I8662" s="1" t="s">
        <v>136</v>
      </c>
      <c r="J8662" s="1" t="s">
        <v>207</v>
      </c>
      <c r="K8662" s="1" t="s">
        <v>35403</v>
      </c>
      <c r="L8662" s="1" t="s">
        <v>41274</v>
      </c>
      <c r="M8662" s="2" t="s">
        <v>12</v>
      </c>
      <c r="N8662" s="4">
        <f t="shared" si="1"/>
        <v>42825</v>
      </c>
      <c r="O8662" s="5" t="str">
        <f>IFERROR(__xludf.DUMMYFUNCTION("IF(REGEXMATCH(TRIM(I8662), ""^\d+\s*min""), ""Unclassified"", IF(I8662 = """", ""NR"", I8662))"),"TV-PG")</f>
        <v>TV-PG</v>
      </c>
      <c r="R8662" s="5" t="str">
        <f t="shared" si="2"/>
        <v>Undercover: How To Operate Behind Enemy Lines</v>
      </c>
      <c r="S8662" s="5" t="str">
        <f>IFERROR(__xludf.DUMMYFUNCTION("""COMPUTED_VALUE"""),"World Of Winx")</f>
        <v>World Of Winx</v>
      </c>
      <c r="V8662" s="5"/>
      <c r="Y8662" s="5" t="str">
        <f>IFERROR(__xludf.DUMMYFUNCTION("REGEXEXTRACT(J8662, ""^\d+"")"),"61")</f>
        <v>61</v>
      </c>
      <c r="Z8662" s="5" t="str">
        <f>IFERROR(__xludf.DUMMYFUNCTION("REGEXEXTRACT(J8662, ""[A-Za-z ]+$"")")," min")</f>
        <v> min</v>
      </c>
      <c r="AA8662" s="5" t="str">
        <f>IFERROR(__xludf.DUMMYFUNCTION("IF(REGEXMATCH(Z8662, ""Season""), ""TV Show"", ""Movie"")"),"Movie")</f>
        <v>Movie</v>
      </c>
    </row>
    <row r="8663">
      <c r="A8663" s="1" t="s">
        <v>41275</v>
      </c>
      <c r="B8663" s="1" t="s">
        <v>27</v>
      </c>
      <c r="C8663" s="1" t="s">
        <v>41276</v>
      </c>
      <c r="D8663" s="1" t="s">
        <v>17693</v>
      </c>
      <c r="E8663" s="1" t="s">
        <v>41277</v>
      </c>
      <c r="F8663" s="1" t="s">
        <v>3374</v>
      </c>
      <c r="G8663" s="1" t="s">
        <v>34831</v>
      </c>
      <c r="H8663" s="1">
        <v>2012.0</v>
      </c>
      <c r="I8663" s="1" t="s">
        <v>32</v>
      </c>
      <c r="J8663" s="1" t="s">
        <v>170</v>
      </c>
      <c r="K8663" s="1" t="s">
        <v>836</v>
      </c>
      <c r="L8663" s="1" t="s">
        <v>41278</v>
      </c>
      <c r="M8663" s="2" t="s">
        <v>12</v>
      </c>
      <c r="N8663" s="4">
        <f t="shared" si="1"/>
        <v>43668</v>
      </c>
      <c r="O8663" s="5" t="str">
        <f>IFERROR(__xludf.DUMMYFUNCTION("IF(REGEXMATCH(TRIM(I8663), ""^\d+\s*min""), ""Unclassified"", IF(I8663 = """", ""NR"", I8663))"),"PG-13")</f>
        <v>PG-13</v>
      </c>
      <c r="R8663" s="5" t="str">
        <f t="shared" si="2"/>
        <v>Unfinished Song</v>
      </c>
      <c r="S8663" s="5" t="str">
        <f>IFERROR(__xludf.DUMMYFUNCTION("""COMPUTED_VALUE"""),"World Trade Center")</f>
        <v>World Trade Center</v>
      </c>
      <c r="V8663" s="5"/>
      <c r="Y8663" s="5" t="str">
        <f>IFERROR(__xludf.DUMMYFUNCTION("REGEXEXTRACT(J8663, ""^\d+"")"),"94")</f>
        <v>94</v>
      </c>
      <c r="Z8663" s="5" t="str">
        <f>IFERROR(__xludf.DUMMYFUNCTION("REGEXEXTRACT(J8663, ""[A-Za-z ]+$"")")," min")</f>
        <v> min</v>
      </c>
      <c r="AA8663" s="5" t="str">
        <f>IFERROR(__xludf.DUMMYFUNCTION("IF(REGEXMATCH(Z8663, ""Season""), ""TV Show"", ""Movie"")"),"Movie")</f>
        <v>Movie</v>
      </c>
    </row>
    <row r="8664">
      <c r="A8664" s="1" t="s">
        <v>41279</v>
      </c>
      <c r="B8664" s="1" t="s">
        <v>27</v>
      </c>
      <c r="C8664" s="1" t="s">
        <v>41280</v>
      </c>
      <c r="D8664" s="1" t="s">
        <v>20385</v>
      </c>
      <c r="E8664" s="1" t="s">
        <v>41281</v>
      </c>
      <c r="F8664" s="1" t="s">
        <v>37776</v>
      </c>
      <c r="G8664" s="1" t="s">
        <v>17078</v>
      </c>
      <c r="H8664" s="1">
        <v>2017.0</v>
      </c>
      <c r="I8664" s="1" t="s">
        <v>97</v>
      </c>
      <c r="J8664" s="1" t="s">
        <v>305</v>
      </c>
      <c r="K8664" s="1" t="s">
        <v>89</v>
      </c>
      <c r="L8664" s="1" t="s">
        <v>41282</v>
      </c>
      <c r="M8664" s="2" t="s">
        <v>12</v>
      </c>
      <c r="N8664" s="4">
        <f t="shared" si="1"/>
        <v>43830</v>
      </c>
      <c r="O8664" s="5" t="str">
        <f>IFERROR(__xludf.DUMMYFUNCTION("IF(REGEXMATCH(TRIM(I8664), ""^\d+\s*min""), ""Unclassified"", IF(I8664 = """", ""NR"", I8664))"),"TV-14")</f>
        <v>TV-14</v>
      </c>
      <c r="R8664" s="5" t="str">
        <f t="shared" si="2"/>
        <v>Union Leader</v>
      </c>
      <c r="S8664" s="5" t="str">
        <f>IFERROR(__xludf.DUMMYFUNCTION("""COMPUTED_VALUE"""),"World War Ii In Colour")</f>
        <v>World War Ii In Colour</v>
      </c>
      <c r="V8664" s="5"/>
      <c r="Y8664" s="5" t="str">
        <f>IFERROR(__xludf.DUMMYFUNCTION("REGEXEXTRACT(J8664, ""^\d+"")"),"105")</f>
        <v>105</v>
      </c>
      <c r="Z8664" s="5" t="str">
        <f>IFERROR(__xludf.DUMMYFUNCTION("REGEXEXTRACT(J8664, ""[A-Za-z ]+$"")")," min")</f>
        <v> min</v>
      </c>
      <c r="AA8664" s="5" t="str">
        <f>IFERROR(__xludf.DUMMYFUNCTION("IF(REGEXMATCH(Z8664, ""Season""), ""TV Show"", ""Movie"")"),"Movie")</f>
        <v>Movie</v>
      </c>
    </row>
    <row r="8665">
      <c r="A8665" s="1" t="s">
        <v>41283</v>
      </c>
      <c r="B8665" s="1" t="s">
        <v>27</v>
      </c>
      <c r="C8665" s="1" t="s">
        <v>41284</v>
      </c>
      <c r="D8665" s="1" t="s">
        <v>21042</v>
      </c>
      <c r="E8665" s="1" t="s">
        <v>41285</v>
      </c>
      <c r="F8665" s="1" t="s">
        <v>3309</v>
      </c>
      <c r="G8665" s="1" t="s">
        <v>20298</v>
      </c>
      <c r="H8665" s="1">
        <v>2011.0</v>
      </c>
      <c r="I8665" s="1" t="s">
        <v>97</v>
      </c>
      <c r="J8665" s="1" t="s">
        <v>490</v>
      </c>
      <c r="K8665" s="1" t="s">
        <v>631</v>
      </c>
      <c r="L8665" s="1" t="s">
        <v>41286</v>
      </c>
      <c r="M8665" s="2" t="s">
        <v>12</v>
      </c>
      <c r="N8665" s="4">
        <f t="shared" si="1"/>
        <v>43636</v>
      </c>
      <c r="O8665" s="5" t="str">
        <f>IFERROR(__xludf.DUMMYFUNCTION("IF(REGEXMATCH(TRIM(I8665), ""^\d+\s*min""), ""Unclassified"", IF(I8665 = """", ""NR"", I8665))"),"TV-14")</f>
        <v>TV-14</v>
      </c>
      <c r="R8665" s="5" t="str">
        <f t="shared" si="2"/>
        <v>Unruly Friends</v>
      </c>
      <c r="S8665" s="5" t="str">
        <f>IFERROR(__xludf.DUMMYFUNCTION("""COMPUTED_VALUE"""),"World'S Busiest Cities")</f>
        <v>World'S Busiest Cities</v>
      </c>
      <c r="V8665" s="5"/>
      <c r="Y8665" s="5" t="str">
        <f>IFERROR(__xludf.DUMMYFUNCTION("REGEXEXTRACT(J8665, ""^\d+"")"),"83")</f>
        <v>83</v>
      </c>
      <c r="Z8665" s="5" t="str">
        <f>IFERROR(__xludf.DUMMYFUNCTION("REGEXEXTRACT(J8665, ""[A-Za-z ]+$"")")," min")</f>
        <v> min</v>
      </c>
      <c r="AA8665" s="5" t="str">
        <f>IFERROR(__xludf.DUMMYFUNCTION("IF(REGEXMATCH(Z8665, ""Season""), ""TV Show"", ""Movie"")"),"Movie")</f>
        <v>Movie</v>
      </c>
    </row>
    <row r="8666">
      <c r="A8666" s="1" t="s">
        <v>41287</v>
      </c>
      <c r="B8666" s="1" t="s">
        <v>27</v>
      </c>
      <c r="C8666" s="1" t="s">
        <v>41288</v>
      </c>
      <c r="D8666" s="1" t="s">
        <v>10294</v>
      </c>
      <c r="E8666" s="1" t="s">
        <v>41289</v>
      </c>
      <c r="F8666" s="1" t="s">
        <v>30</v>
      </c>
      <c r="G8666" s="1" t="s">
        <v>16947</v>
      </c>
      <c r="H8666" s="1">
        <v>2009.0</v>
      </c>
      <c r="I8666" s="1" t="s">
        <v>378</v>
      </c>
      <c r="J8666" s="1" t="s">
        <v>297</v>
      </c>
      <c r="K8666" s="1" t="s">
        <v>1099</v>
      </c>
      <c r="L8666" s="1" t="s">
        <v>41290</v>
      </c>
      <c r="M8666" s="2" t="s">
        <v>12</v>
      </c>
      <c r="N8666" s="4">
        <f t="shared" si="1"/>
        <v>43831</v>
      </c>
      <c r="O8666" s="5" t="str">
        <f>IFERROR(__xludf.DUMMYFUNCTION("IF(REGEXMATCH(TRIM(I8666), ""^\d+\s*min""), ""Unclassified"", IF(I8666 = """", ""NR"", I8666))"),"R")</f>
        <v>R</v>
      </c>
      <c r="R8666" s="5" t="str">
        <f t="shared" si="2"/>
        <v>Up In The Air</v>
      </c>
      <c r="S8666" s="5" t="str">
        <f>IFERROR(__xludf.DUMMYFUNCTION("""COMPUTED_VALUE"""),"World'S Most Wanted")</f>
        <v>World'S Most Wanted</v>
      </c>
      <c r="V8666" s="5"/>
      <c r="Y8666" s="5" t="str">
        <f>IFERROR(__xludf.DUMMYFUNCTION("REGEXEXTRACT(J8666, ""^\d+"")"),"110")</f>
        <v>110</v>
      </c>
      <c r="Z8666" s="5" t="str">
        <f>IFERROR(__xludf.DUMMYFUNCTION("REGEXEXTRACT(J8666, ""[A-Za-z ]+$"")")," min")</f>
        <v> min</v>
      </c>
      <c r="AA8666" s="5" t="str">
        <f>IFERROR(__xludf.DUMMYFUNCTION("IF(REGEXMATCH(Z8666, ""Season""), ""TV Show"", ""Movie"")"),"Movie")</f>
        <v>Movie</v>
      </c>
    </row>
    <row r="8667">
      <c r="A8667" s="1" t="s">
        <v>41291</v>
      </c>
      <c r="B8667" s="1" t="s">
        <v>27</v>
      </c>
      <c r="C8667" s="1" t="s">
        <v>41292</v>
      </c>
      <c r="D8667" s="1" t="s">
        <v>18324</v>
      </c>
      <c r="E8667" s="1" t="s">
        <v>41293</v>
      </c>
      <c r="F8667" s="1" t="s">
        <v>63</v>
      </c>
      <c r="G8667" s="1" t="s">
        <v>26413</v>
      </c>
      <c r="H8667" s="1">
        <v>2017.0</v>
      </c>
      <c r="I8667" s="1" t="s">
        <v>42</v>
      </c>
      <c r="J8667" s="1" t="s">
        <v>941</v>
      </c>
      <c r="K8667" s="1" t="s">
        <v>89</v>
      </c>
      <c r="L8667" s="1" t="s">
        <v>41294</v>
      </c>
      <c r="M8667" s="2" t="s">
        <v>12</v>
      </c>
      <c r="N8667" s="4">
        <f t="shared" si="1"/>
        <v>43115</v>
      </c>
      <c r="O8667" s="5" t="str">
        <f>IFERROR(__xludf.DUMMYFUNCTION("IF(REGEXMATCH(TRIM(I8667), ""^\d+\s*min""), ""Unclassified"", IF(I8667 = """", ""NR"", I8667))"),"TV-MA")</f>
        <v>TV-MA</v>
      </c>
      <c r="R8667" s="5" t="str">
        <f t="shared" si="2"/>
        <v>Urvi</v>
      </c>
      <c r="S8667" s="5" t="str">
        <f>IFERROR(__xludf.DUMMYFUNCTION("""COMPUTED_VALUE"""),"World'S Weirdest Homes")</f>
        <v>World'S Weirdest Homes</v>
      </c>
      <c r="V8667" s="5"/>
      <c r="Y8667" s="5" t="str">
        <f>IFERROR(__xludf.DUMMYFUNCTION("REGEXEXTRACT(J8667, ""^\d+"")"),"121")</f>
        <v>121</v>
      </c>
      <c r="Z8667" s="5" t="str">
        <f>IFERROR(__xludf.DUMMYFUNCTION("REGEXEXTRACT(J8667, ""[A-Za-z ]+$"")")," min")</f>
        <v> min</v>
      </c>
      <c r="AA8667" s="5" t="str">
        <f>IFERROR(__xludf.DUMMYFUNCTION("IF(REGEXMATCH(Z8667, ""Season""), ""TV Show"", ""Movie"")"),"Movie")</f>
        <v>Movie</v>
      </c>
    </row>
    <row r="8668">
      <c r="A8668" s="1" t="s">
        <v>41295</v>
      </c>
      <c r="B8668" s="1" t="s">
        <v>27</v>
      </c>
      <c r="C8668" s="1" t="s">
        <v>41296</v>
      </c>
      <c r="D8668" s="1" t="s">
        <v>16215</v>
      </c>
      <c r="E8668" s="1" t="s">
        <v>41297</v>
      </c>
      <c r="F8668" s="1" t="s">
        <v>3309</v>
      </c>
      <c r="G8668" s="1" t="s">
        <v>19361</v>
      </c>
      <c r="H8668" s="1">
        <v>2018.0</v>
      </c>
      <c r="I8668" s="1" t="s">
        <v>97</v>
      </c>
      <c r="J8668" s="1" t="s">
        <v>465</v>
      </c>
      <c r="K8668" s="1" t="s">
        <v>1328</v>
      </c>
      <c r="L8668" s="1" t="s">
        <v>41298</v>
      </c>
      <c r="M8668" s="2" t="s">
        <v>12</v>
      </c>
      <c r="N8668" s="4">
        <f t="shared" si="1"/>
        <v>43709</v>
      </c>
      <c r="O8668" s="5" t="str">
        <f>IFERROR(__xludf.DUMMYFUNCTION("IF(REGEXMATCH(TRIM(I8668), ""^\d+\s*min""), ""Unclassified"", IF(I8668 = """", ""NR"", I8668))"),"TV-14")</f>
        <v>TV-14</v>
      </c>
      <c r="R8668" s="5" t="str">
        <f t="shared" si="2"/>
        <v>Used Goods</v>
      </c>
      <c r="S8668" s="5" t="str">
        <f>IFERROR(__xludf.DUMMYFUNCTION("""COMPUTED_VALUE"""),"Wormwood")</f>
        <v>Wormwood</v>
      </c>
      <c r="V8668" s="5"/>
      <c r="Y8668" s="5" t="str">
        <f>IFERROR(__xludf.DUMMYFUNCTION("REGEXEXTRACT(J8668, ""^\d+"")"),"95")</f>
        <v>95</v>
      </c>
      <c r="Z8668" s="5" t="str">
        <f>IFERROR(__xludf.DUMMYFUNCTION("REGEXEXTRACT(J8668, ""[A-Za-z ]+$"")")," min")</f>
        <v> min</v>
      </c>
      <c r="AA8668" s="5" t="str">
        <f>IFERROR(__xludf.DUMMYFUNCTION("IF(REGEXMATCH(Z8668, ""Season""), ""TV Show"", ""Movie"")"),"Movie")</f>
        <v>Movie</v>
      </c>
    </row>
    <row r="8669">
      <c r="A8669" s="1" t="s">
        <v>41299</v>
      </c>
      <c r="B8669" s="1" t="s">
        <v>27</v>
      </c>
      <c r="C8669" s="1" t="s">
        <v>41300</v>
      </c>
      <c r="D8669" s="1" t="s">
        <v>14783</v>
      </c>
      <c r="E8669" s="1" t="s">
        <v>41301</v>
      </c>
      <c r="F8669" s="1" t="s">
        <v>30</v>
      </c>
      <c r="G8669" s="1" t="s">
        <v>19119</v>
      </c>
      <c r="H8669" s="1">
        <v>2016.0</v>
      </c>
      <c r="I8669" s="1" t="s">
        <v>378</v>
      </c>
      <c r="J8669" s="1" t="s">
        <v>2281</v>
      </c>
      <c r="K8669" s="1" t="s">
        <v>380</v>
      </c>
      <c r="L8669" s="1" t="s">
        <v>41302</v>
      </c>
      <c r="M8669" s="2" t="s">
        <v>12</v>
      </c>
      <c r="N8669" s="4">
        <f t="shared" si="1"/>
        <v>43733</v>
      </c>
      <c r="O8669" s="5" t="str">
        <f>IFERROR(__xludf.DUMMYFUNCTION("IF(REGEXMATCH(TRIM(I8669), ""^\d+\s*min""), ""Unclassified"", IF(I8669 = """", ""NR"", I8669))"),"R")</f>
        <v>R</v>
      </c>
      <c r="R8669" s="5" t="str">
        <f t="shared" si="2"/>
        <v>Uss Indianapolis: Men Of Courage</v>
      </c>
      <c r="S8669" s="5" t="str">
        <f>IFERROR(__xludf.DUMMYFUNCTION("""COMPUTED_VALUE"""),"Worn Stories")</f>
        <v>Worn Stories</v>
      </c>
      <c r="V8669" s="5"/>
      <c r="Y8669" s="5" t="str">
        <f>IFERROR(__xludf.DUMMYFUNCTION("REGEXEXTRACT(J8669, ""^\d+"")"),"130")</f>
        <v>130</v>
      </c>
      <c r="Z8669" s="5" t="str">
        <f>IFERROR(__xludf.DUMMYFUNCTION("REGEXEXTRACT(J8669, ""[A-Za-z ]+$"")")," min")</f>
        <v> min</v>
      </c>
      <c r="AA8669" s="5" t="str">
        <f>IFERROR(__xludf.DUMMYFUNCTION("IF(REGEXMATCH(Z8669, ""Season""), ""TV Show"", ""Movie"")"),"Movie")</f>
        <v>Movie</v>
      </c>
    </row>
    <row r="8670">
      <c r="A8670" s="1" t="s">
        <v>41303</v>
      </c>
      <c r="B8670" s="1" t="s">
        <v>27</v>
      </c>
      <c r="C8670" s="1" t="s">
        <v>41304</v>
      </c>
      <c r="D8670" s="1" t="s">
        <v>4881</v>
      </c>
      <c r="E8670" s="1" t="s">
        <v>41305</v>
      </c>
      <c r="F8670" s="1" t="s">
        <v>18562</v>
      </c>
      <c r="G8670" s="1" t="s">
        <v>24201</v>
      </c>
      <c r="H8670" s="1">
        <v>2005.0</v>
      </c>
      <c r="I8670" s="1" t="s">
        <v>378</v>
      </c>
      <c r="J8670" s="1" t="s">
        <v>2505</v>
      </c>
      <c r="K8670" s="1" t="s">
        <v>2282</v>
      </c>
      <c r="L8670" s="1" t="s">
        <v>41306</v>
      </c>
      <c r="M8670" s="2" t="s">
        <v>12</v>
      </c>
      <c r="N8670" s="4">
        <f t="shared" si="1"/>
        <v>43374</v>
      </c>
      <c r="O8670" s="5" t="str">
        <f>IFERROR(__xludf.DUMMYFUNCTION("IF(REGEXMATCH(TRIM(I8670), ""^\d+\s*min""), ""Unclassified"", IF(I8670 = """", ""NR"", I8670))"),"R")</f>
        <v>R</v>
      </c>
      <c r="R8670" s="5" t="str">
        <f t="shared" si="2"/>
        <v>V For Vendetta</v>
      </c>
      <c r="S8670" s="5" t="str">
        <f>IFERROR(__xludf.DUMMYFUNCTION("""COMPUTED_VALUE"""),"Worth")</f>
        <v>Worth</v>
      </c>
      <c r="V8670" s="5"/>
      <c r="Y8670" s="5" t="str">
        <f>IFERROR(__xludf.DUMMYFUNCTION("REGEXEXTRACT(J8670, ""^\d+"")"),"132")</f>
        <v>132</v>
      </c>
      <c r="Z8670" s="5" t="str">
        <f>IFERROR(__xludf.DUMMYFUNCTION("REGEXEXTRACT(J8670, ""[A-Za-z ]+$"")")," min")</f>
        <v> min</v>
      </c>
      <c r="AA8670" s="5" t="str">
        <f>IFERROR(__xludf.DUMMYFUNCTION("IF(REGEXMATCH(Z8670, ""Season""), ""TV Show"", ""Movie"")"),"Movie")</f>
        <v>Movie</v>
      </c>
    </row>
    <row r="8671">
      <c r="A8671" s="1" t="s">
        <v>41307</v>
      </c>
      <c r="B8671" s="1" t="s">
        <v>37</v>
      </c>
      <c r="C8671" s="1" t="s">
        <v>41308</v>
      </c>
      <c r="E8671" s="1" t="s">
        <v>41309</v>
      </c>
      <c r="F8671" s="1" t="s">
        <v>30</v>
      </c>
      <c r="G8671" s="1" t="s">
        <v>31602</v>
      </c>
      <c r="H8671" s="1">
        <v>1995.0</v>
      </c>
      <c r="I8671" s="1" t="s">
        <v>506</v>
      </c>
      <c r="J8671" s="1" t="s">
        <v>43</v>
      </c>
      <c r="K8671" s="1" t="s">
        <v>290</v>
      </c>
      <c r="L8671" s="1" t="s">
        <v>41310</v>
      </c>
      <c r="M8671" s="2" t="s">
        <v>12</v>
      </c>
      <c r="N8671" s="4">
        <f t="shared" si="1"/>
        <v>42370</v>
      </c>
      <c r="O8671" s="5" t="str">
        <f>IFERROR(__xludf.DUMMYFUNCTION("IF(REGEXMATCH(TRIM(I8671), ""^\d+\s*min""), ""Unclassified"", IF(I8671 = """", ""NR"", I8671))"),"TV-G")</f>
        <v>TV-G</v>
      </c>
      <c r="R8671" s="5" t="str">
        <f t="shared" si="2"/>
        <v>V.R. Troopers</v>
      </c>
      <c r="S8671" s="5" t="str">
        <f>IFERROR(__xludf.DUMMYFUNCTION("""COMPUTED_VALUE"""),"Would You Rather")</f>
        <v>Would You Rather</v>
      </c>
      <c r="V8671" s="5"/>
      <c r="Y8671" s="5" t="str">
        <f>IFERROR(__xludf.DUMMYFUNCTION("REGEXEXTRACT(J8671, ""^\d+"")"),"2")</f>
        <v>2</v>
      </c>
      <c r="Z8671" s="5" t="str">
        <f>IFERROR(__xludf.DUMMYFUNCTION("REGEXEXTRACT(J8671, ""[A-Za-z ]+$"")")," Seasons")</f>
        <v> Seasons</v>
      </c>
      <c r="AA8671" s="5" t="str">
        <f>IFERROR(__xludf.DUMMYFUNCTION("IF(REGEXMATCH(Z8671, ""Season""), ""TV Show"", ""Movie"")"),"TV Show")</f>
        <v>TV Show</v>
      </c>
    </row>
    <row r="8672">
      <c r="A8672" s="1" t="s">
        <v>41311</v>
      </c>
      <c r="B8672" s="1" t="s">
        <v>27</v>
      </c>
      <c r="C8672" s="1" t="s">
        <v>41312</v>
      </c>
      <c r="D8672" s="1" t="s">
        <v>17924</v>
      </c>
      <c r="E8672" s="1" t="s">
        <v>41313</v>
      </c>
      <c r="F8672" s="1" t="s">
        <v>30</v>
      </c>
      <c r="G8672" s="1" t="s">
        <v>18333</v>
      </c>
      <c r="H8672" s="1">
        <v>2008.0</v>
      </c>
      <c r="I8672" s="1" t="s">
        <v>32</v>
      </c>
      <c r="J8672" s="1" t="s">
        <v>33</v>
      </c>
      <c r="K8672" s="1" t="s">
        <v>380</v>
      </c>
      <c r="L8672" s="1" t="s">
        <v>41314</v>
      </c>
      <c r="M8672" s="2" t="s">
        <v>12</v>
      </c>
      <c r="N8672" s="4">
        <f t="shared" si="1"/>
        <v>43770</v>
      </c>
      <c r="O8672" s="5" t="str">
        <f>IFERROR(__xludf.DUMMYFUNCTION("IF(REGEXMATCH(TRIM(I8672), ""^\d+\s*min""), ""Unclassified"", IF(I8672 = """", ""NR"", I8672))"),"PG-13")</f>
        <v>PG-13</v>
      </c>
      <c r="R8672" s="5" t="str">
        <f t="shared" si="2"/>
        <v>Vantage Point</v>
      </c>
      <c r="S8672" s="5" t="str">
        <f>IFERROR(__xludf.DUMMYFUNCTION("""COMPUTED_VALUE"""),"Wrong Kind Of Black")</f>
        <v>Wrong Kind Of Black</v>
      </c>
      <c r="V8672" s="5"/>
      <c r="Y8672" s="5" t="str">
        <f>IFERROR(__xludf.DUMMYFUNCTION("REGEXEXTRACT(J8672, ""^\d+"")"),"90")</f>
        <v>90</v>
      </c>
      <c r="Z8672" s="5" t="str">
        <f>IFERROR(__xludf.DUMMYFUNCTION("REGEXEXTRACT(J8672, ""[A-Za-z ]+$"")")," min")</f>
        <v> min</v>
      </c>
      <c r="AA8672" s="5" t="str">
        <f>IFERROR(__xludf.DUMMYFUNCTION("IF(REGEXMATCH(Z8672, ""Season""), ""TV Show"", ""Movie"")"),"Movie")</f>
        <v>Movie</v>
      </c>
    </row>
    <row r="8673">
      <c r="A8673" s="1" t="s">
        <v>41315</v>
      </c>
      <c r="B8673" s="1" t="s">
        <v>27</v>
      </c>
      <c r="C8673" s="1" t="s">
        <v>41316</v>
      </c>
      <c r="D8673" s="1" t="s">
        <v>2479</v>
      </c>
      <c r="E8673" s="1" t="s">
        <v>41317</v>
      </c>
      <c r="F8673" s="1" t="s">
        <v>63</v>
      </c>
      <c r="G8673" s="1" t="s">
        <v>27021</v>
      </c>
      <c r="H8673" s="1">
        <v>2016.0</v>
      </c>
      <c r="I8673" s="1" t="s">
        <v>97</v>
      </c>
      <c r="J8673" s="1" t="s">
        <v>743</v>
      </c>
      <c r="K8673" s="1" t="s">
        <v>306</v>
      </c>
      <c r="L8673" s="1" t="s">
        <v>41318</v>
      </c>
      <c r="M8673" s="2" t="s">
        <v>12</v>
      </c>
      <c r="N8673" s="4">
        <f t="shared" si="1"/>
        <v>43023</v>
      </c>
      <c r="O8673" s="5" t="str">
        <f>IFERROR(__xludf.DUMMYFUNCTION("IF(REGEXMATCH(TRIM(I8673), ""^\d+\s*min""), ""Unclassified"", IF(I8673 = """", ""NR"", I8673))"),"TV-14")</f>
        <v>TV-14</v>
      </c>
      <c r="R8673" s="5" t="str">
        <f t="shared" si="2"/>
        <v>Veerappan</v>
      </c>
      <c r="S8673" s="5" t="str">
        <f>IFERROR(__xludf.DUMMYFUNCTION("""COMPUTED_VALUE"""),"Wrong No.")</f>
        <v>Wrong No.</v>
      </c>
      <c r="V8673" s="5"/>
      <c r="Y8673" s="5" t="str">
        <f>IFERROR(__xludf.DUMMYFUNCTION("REGEXEXTRACT(J8673, ""^\d+"")"),"117")</f>
        <v>117</v>
      </c>
      <c r="Z8673" s="5" t="str">
        <f>IFERROR(__xludf.DUMMYFUNCTION("REGEXEXTRACT(J8673, ""[A-Za-z ]+$"")")," min")</f>
        <v> min</v>
      </c>
      <c r="AA8673" s="5" t="str">
        <f>IFERROR(__xludf.DUMMYFUNCTION("IF(REGEXMATCH(Z8673, ""Season""), ""TV Show"", ""Movie"")"),"Movie")</f>
        <v>Movie</v>
      </c>
    </row>
    <row r="8674">
      <c r="A8674" s="1" t="s">
        <v>41319</v>
      </c>
      <c r="B8674" s="1" t="s">
        <v>27</v>
      </c>
      <c r="C8674" s="1" t="s">
        <v>41320</v>
      </c>
      <c r="D8674" s="1" t="s">
        <v>2638</v>
      </c>
      <c r="E8674" s="1" t="s">
        <v>41321</v>
      </c>
      <c r="F8674" s="1" t="s">
        <v>63</v>
      </c>
      <c r="G8674" s="1" t="s">
        <v>17078</v>
      </c>
      <c r="H8674" s="1">
        <v>2018.0</v>
      </c>
      <c r="I8674" s="1" t="s">
        <v>97</v>
      </c>
      <c r="J8674" s="1" t="s">
        <v>2281</v>
      </c>
      <c r="K8674" s="1" t="s">
        <v>583</v>
      </c>
      <c r="L8674" s="1" t="s">
        <v>41322</v>
      </c>
      <c r="M8674" s="2" t="s">
        <v>12</v>
      </c>
      <c r="N8674" s="4">
        <f t="shared" si="1"/>
        <v>43830</v>
      </c>
      <c r="O8674" s="5" t="str">
        <f>IFERROR(__xludf.DUMMYFUNCTION("IF(REGEXMATCH(TRIM(I8674), ""^\d+\s*min""), ""Unclassified"", IF(I8674 = """", ""NR"", I8674))"),"TV-14")</f>
        <v>TV-14</v>
      </c>
      <c r="R8674" s="5" t="str">
        <f t="shared" si="2"/>
        <v>Veerey Ki Wedding</v>
      </c>
      <c r="S8674" s="5" t="str">
        <f>IFERROR(__xludf.DUMMYFUNCTION("""COMPUTED_VALUE"""),"Wrong Side Raju")</f>
        <v>Wrong Side Raju</v>
      </c>
      <c r="V8674" s="5"/>
      <c r="Y8674" s="5" t="str">
        <f>IFERROR(__xludf.DUMMYFUNCTION("REGEXEXTRACT(J8674, ""^\d+"")"),"130")</f>
        <v>130</v>
      </c>
      <c r="Z8674" s="5" t="str">
        <f>IFERROR(__xludf.DUMMYFUNCTION("REGEXEXTRACT(J8674, ""[A-Za-z ]+$"")")," min")</f>
        <v> min</v>
      </c>
      <c r="AA8674" s="5" t="str">
        <f>IFERROR(__xludf.DUMMYFUNCTION("IF(REGEXMATCH(Z8674, ""Season""), ""TV Show"", ""Movie"")"),"Movie")</f>
        <v>Movie</v>
      </c>
    </row>
    <row r="8675">
      <c r="A8675" s="1" t="s">
        <v>41323</v>
      </c>
      <c r="B8675" s="1" t="s">
        <v>27</v>
      </c>
      <c r="C8675" s="1" t="s">
        <v>41324</v>
      </c>
      <c r="D8675" s="1" t="s">
        <v>1522</v>
      </c>
      <c r="F8675" s="1" t="s">
        <v>30</v>
      </c>
      <c r="G8675" s="1" t="s">
        <v>41325</v>
      </c>
      <c r="H8675" s="1">
        <v>2016.0</v>
      </c>
      <c r="I8675" s="1" t="s">
        <v>97</v>
      </c>
      <c r="J8675" s="1" t="s">
        <v>1737</v>
      </c>
      <c r="K8675" s="1" t="s">
        <v>34</v>
      </c>
      <c r="L8675" s="1" t="s">
        <v>41326</v>
      </c>
      <c r="M8675" s="2" t="s">
        <v>12</v>
      </c>
      <c r="N8675" s="4">
        <f t="shared" si="1"/>
        <v>42920</v>
      </c>
      <c r="O8675" s="5" t="str">
        <f>IFERROR(__xludf.DUMMYFUNCTION("IF(REGEXMATCH(TRIM(I8675), ""^\d+\s*min""), ""Unclassified"", IF(I8675 = """", ""NR"", I8675))"),"TV-14")</f>
        <v>TV-14</v>
      </c>
      <c r="R8675" s="5" t="str">
        <f t="shared" si="2"/>
        <v>Vegas Baby</v>
      </c>
      <c r="S8675" s="5" t="str">
        <f>IFERROR(__xludf.DUMMYFUNCTION("""COMPUTED_VALUE"""),"Wu Assassins")</f>
        <v>Wu Assassins</v>
      </c>
      <c r="V8675" s="5"/>
      <c r="Y8675" s="5" t="str">
        <f>IFERROR(__xludf.DUMMYFUNCTION("REGEXEXTRACT(J8675, ""^\d+"")"),"78")</f>
        <v>78</v>
      </c>
      <c r="Z8675" s="5" t="str">
        <f>IFERROR(__xludf.DUMMYFUNCTION("REGEXEXTRACT(J8675, ""[A-Za-z ]+$"")")," min")</f>
        <v> min</v>
      </c>
      <c r="AA8675" s="5" t="str">
        <f>IFERROR(__xludf.DUMMYFUNCTION("IF(REGEXMATCH(Z8675, ""Season""), ""TV Show"", ""Movie"")"),"Movie")</f>
        <v>Movie</v>
      </c>
    </row>
    <row r="8676">
      <c r="A8676" s="1" t="s">
        <v>41327</v>
      </c>
      <c r="B8676" s="1" t="s">
        <v>27</v>
      </c>
      <c r="C8676" s="1" t="s">
        <v>41328</v>
      </c>
      <c r="D8676" s="1" t="s">
        <v>8805</v>
      </c>
      <c r="E8676" s="1" t="s">
        <v>41329</v>
      </c>
      <c r="F8676" s="1" t="s">
        <v>41330</v>
      </c>
      <c r="G8676" s="1" t="s">
        <v>26627</v>
      </c>
      <c r="H8676" s="1">
        <v>2017.0</v>
      </c>
      <c r="I8676" s="1" t="s">
        <v>30231</v>
      </c>
      <c r="J8676" s="1" t="s">
        <v>256</v>
      </c>
      <c r="K8676" s="1" t="s">
        <v>805</v>
      </c>
      <c r="L8676" s="1" t="s">
        <v>41331</v>
      </c>
      <c r="M8676" s="2" t="s">
        <v>12</v>
      </c>
      <c r="N8676" s="4">
        <f t="shared" si="1"/>
        <v>43081</v>
      </c>
      <c r="O8676" s="5" t="str">
        <f>IFERROR(__xludf.DUMMYFUNCTION("IF(REGEXMATCH(TRIM(I8676), ""^\d+\s*min""), ""Unclassified"", IF(I8676 = """", ""NR"", I8676))"),"NR")</f>
        <v>NR</v>
      </c>
      <c r="R8676" s="5" t="str">
        <f t="shared" si="2"/>
        <v>Viceroy'S House</v>
      </c>
      <c r="S8676" s="5" t="str">
        <f>IFERROR(__xludf.DUMMYFUNCTION("""COMPUTED_VALUE"""),"Wwii In Hd")</f>
        <v>Wwii In Hd</v>
      </c>
      <c r="V8676" s="5"/>
      <c r="Y8676" s="5" t="str">
        <f>IFERROR(__xludf.DUMMYFUNCTION("REGEXEXTRACT(J8676, ""^\d+"")"),"106")</f>
        <v>106</v>
      </c>
      <c r="Z8676" s="5" t="str">
        <f>IFERROR(__xludf.DUMMYFUNCTION("REGEXEXTRACT(J8676, ""[A-Za-z ]+$"")")," min")</f>
        <v> min</v>
      </c>
      <c r="AA8676" s="5" t="str">
        <f>IFERROR(__xludf.DUMMYFUNCTION("IF(REGEXMATCH(Z8676, ""Season""), ""TV Show"", ""Movie"")"),"Movie")</f>
        <v>Movie</v>
      </c>
    </row>
    <row r="8677">
      <c r="A8677" s="1" t="s">
        <v>41332</v>
      </c>
      <c r="B8677" s="1" t="s">
        <v>27</v>
      </c>
      <c r="C8677" s="1" t="s">
        <v>41333</v>
      </c>
      <c r="D8677" s="1" t="s">
        <v>3646</v>
      </c>
      <c r="E8677" s="1" t="s">
        <v>41334</v>
      </c>
      <c r="F8677" s="1" t="s">
        <v>30</v>
      </c>
      <c r="G8677" s="1" t="s">
        <v>27663</v>
      </c>
      <c r="H8677" s="1">
        <v>2015.0</v>
      </c>
      <c r="I8677" s="1" t="s">
        <v>32</v>
      </c>
      <c r="J8677" s="1" t="s">
        <v>297</v>
      </c>
      <c r="K8677" s="1" t="s">
        <v>805</v>
      </c>
      <c r="L8677" s="1" t="s">
        <v>41335</v>
      </c>
      <c r="M8677" s="2" t="s">
        <v>12</v>
      </c>
      <c r="N8677" s="4">
        <f t="shared" si="1"/>
        <v>42940</v>
      </c>
      <c r="O8677" s="5" t="str">
        <f>IFERROR(__xludf.DUMMYFUNCTION("IF(REGEXMATCH(TRIM(I8677), ""^\d+\s*min""), ""Unclassified"", IF(I8677 = """", ""NR"", I8677))"),"PG-13")</f>
        <v>PG-13</v>
      </c>
      <c r="R8677" s="5" t="str">
        <f t="shared" si="2"/>
        <v>Victor</v>
      </c>
      <c r="S8677" s="5" t="str">
        <f>IFERROR(__xludf.DUMMYFUNCTION("""COMPUTED_VALUE"""),"Wwii: Report From The Aleutians")</f>
        <v>Wwii: Report From The Aleutians</v>
      </c>
      <c r="V8677" s="5"/>
      <c r="Y8677" s="5" t="str">
        <f>IFERROR(__xludf.DUMMYFUNCTION("REGEXEXTRACT(J8677, ""^\d+"")"),"110")</f>
        <v>110</v>
      </c>
      <c r="Z8677" s="5" t="str">
        <f>IFERROR(__xludf.DUMMYFUNCTION("REGEXEXTRACT(J8677, ""[A-Za-z ]+$"")")," min")</f>
        <v> min</v>
      </c>
      <c r="AA8677" s="5" t="str">
        <f>IFERROR(__xludf.DUMMYFUNCTION("IF(REGEXMATCH(Z8677, ""Season""), ""TV Show"", ""Movie"")"),"Movie")</f>
        <v>Movie</v>
      </c>
    </row>
    <row r="8678">
      <c r="A8678" s="1" t="s">
        <v>41336</v>
      </c>
      <c r="B8678" s="1" t="s">
        <v>27</v>
      </c>
      <c r="C8678" s="1" t="s">
        <v>41337</v>
      </c>
      <c r="D8678" s="1" t="s">
        <v>5982</v>
      </c>
      <c r="E8678" s="1" t="s">
        <v>41338</v>
      </c>
      <c r="F8678" s="1" t="s">
        <v>3560</v>
      </c>
      <c r="G8678" s="1" t="s">
        <v>22230</v>
      </c>
      <c r="H8678" s="1">
        <v>2018.0</v>
      </c>
      <c r="I8678" s="1" t="s">
        <v>378</v>
      </c>
      <c r="J8678" s="1" t="s">
        <v>79</v>
      </c>
      <c r="K8678" s="1" t="s">
        <v>942</v>
      </c>
      <c r="L8678" s="1" t="s">
        <v>41339</v>
      </c>
      <c r="M8678" s="2" t="s">
        <v>12</v>
      </c>
      <c r="N8678" s="4">
        <f t="shared" si="1"/>
        <v>43498</v>
      </c>
      <c r="O8678" s="5" t="str">
        <f>IFERROR(__xludf.DUMMYFUNCTION("IF(REGEXMATCH(TRIM(I8678), ""^\d+\s*min""), ""Unclassified"", IF(I8678 = """", ""NR"", I8678))"),"R")</f>
        <v>R</v>
      </c>
      <c r="R8678" s="5" t="str">
        <f t="shared" si="2"/>
        <v>Viking Destiny</v>
      </c>
      <c r="S8678" s="5" t="str">
        <f>IFERROR(__xludf.DUMMYFUNCTION("""COMPUTED_VALUE"""),"Wyatt Cenac: Brooklyn")</f>
        <v>Wyatt Cenac: Brooklyn</v>
      </c>
      <c r="V8678" s="5"/>
      <c r="Y8678" s="5" t="str">
        <f>IFERROR(__xludf.DUMMYFUNCTION("REGEXEXTRACT(J8678, ""^\d+"")"),"91")</f>
        <v>91</v>
      </c>
      <c r="Z8678" s="5" t="str">
        <f>IFERROR(__xludf.DUMMYFUNCTION("REGEXEXTRACT(J8678, ""[A-Za-z ]+$"")")," min")</f>
        <v> min</v>
      </c>
      <c r="AA8678" s="5" t="str">
        <f>IFERROR(__xludf.DUMMYFUNCTION("IF(REGEXMATCH(Z8678, ""Season""), ""TV Show"", ""Movie"")"),"Movie")</f>
        <v>Movie</v>
      </c>
    </row>
    <row r="8679">
      <c r="A8679" s="1" t="s">
        <v>41340</v>
      </c>
      <c r="B8679" s="1" t="s">
        <v>27</v>
      </c>
      <c r="C8679" s="1" t="s">
        <v>41341</v>
      </c>
      <c r="D8679" s="1" t="s">
        <v>9120</v>
      </c>
      <c r="E8679" s="1" t="s">
        <v>36966</v>
      </c>
      <c r="F8679" s="1" t="s">
        <v>30</v>
      </c>
      <c r="G8679" s="1" t="s">
        <v>28552</v>
      </c>
      <c r="H8679" s="1">
        <v>2016.0</v>
      </c>
      <c r="I8679" s="1" t="s">
        <v>136</v>
      </c>
      <c r="J8679" s="1" t="s">
        <v>519</v>
      </c>
      <c r="K8679" s="1" t="s">
        <v>34</v>
      </c>
      <c r="L8679" s="1" t="s">
        <v>41342</v>
      </c>
      <c r="M8679" s="2" t="s">
        <v>12</v>
      </c>
      <c r="N8679" s="4">
        <f t="shared" si="1"/>
        <v>42795</v>
      </c>
      <c r="O8679" s="5" t="str">
        <f>IFERROR(__xludf.DUMMYFUNCTION("IF(REGEXMATCH(TRIM(I8679), ""^\d+\s*min""), ""Unclassified"", IF(I8679 = """", ""NR"", I8679))"),"TV-PG")</f>
        <v>TV-PG</v>
      </c>
      <c r="R8679" s="5" t="str">
        <f t="shared" si="2"/>
        <v>Vikings Unearthed</v>
      </c>
      <c r="S8679" s="5" t="str">
        <f>IFERROR(__xludf.DUMMYFUNCTION("""COMPUTED_VALUE"""),"Wyatt Earp")</f>
        <v>Wyatt Earp</v>
      </c>
      <c r="V8679" s="5"/>
      <c r="Y8679" s="5" t="str">
        <f>IFERROR(__xludf.DUMMYFUNCTION("REGEXEXTRACT(J8679, ""^\d+"")"),"113")</f>
        <v>113</v>
      </c>
      <c r="Z8679" s="5" t="str">
        <f>IFERROR(__xludf.DUMMYFUNCTION("REGEXEXTRACT(J8679, ""[A-Za-z ]+$"")")," min")</f>
        <v> min</v>
      </c>
      <c r="AA8679" s="5" t="str">
        <f>IFERROR(__xludf.DUMMYFUNCTION("IF(REGEXMATCH(Z8679, ""Season""), ""TV Show"", ""Movie"")"),"Movie")</f>
        <v>Movie</v>
      </c>
    </row>
    <row r="8680">
      <c r="A8680" s="1" t="s">
        <v>41343</v>
      </c>
      <c r="B8680" s="1" t="s">
        <v>27</v>
      </c>
      <c r="C8680" s="1" t="s">
        <v>41344</v>
      </c>
      <c r="D8680" s="1" t="s">
        <v>8175</v>
      </c>
      <c r="E8680" s="1" t="s">
        <v>41345</v>
      </c>
      <c r="F8680" s="1" t="s">
        <v>30</v>
      </c>
      <c r="G8680" s="1" t="s">
        <v>31667</v>
      </c>
      <c r="H8680" s="1">
        <v>2016.0</v>
      </c>
      <c r="I8680" s="1" t="s">
        <v>378</v>
      </c>
      <c r="J8680" s="1" t="s">
        <v>1091</v>
      </c>
      <c r="K8680" s="1" t="s">
        <v>394</v>
      </c>
      <c r="L8680" s="1" t="s">
        <v>41346</v>
      </c>
      <c r="M8680" s="2" t="s">
        <v>12</v>
      </c>
      <c r="N8680" s="4">
        <f t="shared" si="1"/>
        <v>42980</v>
      </c>
      <c r="O8680" s="5" t="str">
        <f>IFERROR(__xludf.DUMMYFUNCTION("IF(REGEXMATCH(TRIM(I8680), ""^\d+\s*min""), ""Unclassified"", IF(I8680 = """", ""NR"", I8680))"),"R")</f>
        <v>R</v>
      </c>
      <c r="R8680" s="5" t="str">
        <f t="shared" si="2"/>
        <v>Vincent N Roxxy</v>
      </c>
      <c r="S8680" s="5" t="str">
        <f>IFERROR(__xludf.DUMMYFUNCTION("""COMPUTED_VALUE"""),"Wynonna Earp")</f>
        <v>Wynonna Earp</v>
      </c>
      <c r="V8680" s="5"/>
      <c r="Y8680" s="5" t="str">
        <f>IFERROR(__xludf.DUMMYFUNCTION("REGEXEXTRACT(J8680, ""^\d+"")"),"101")</f>
        <v>101</v>
      </c>
      <c r="Z8680" s="5" t="str">
        <f>IFERROR(__xludf.DUMMYFUNCTION("REGEXEXTRACT(J8680, ""[A-Za-z ]+$"")")," min")</f>
        <v> min</v>
      </c>
      <c r="AA8680" s="5" t="str">
        <f>IFERROR(__xludf.DUMMYFUNCTION("IF(REGEXMATCH(Z8680, ""Season""), ""TV Show"", ""Movie"")"),"Movie")</f>
        <v>Movie</v>
      </c>
    </row>
    <row r="8681">
      <c r="A8681" s="1" t="s">
        <v>41347</v>
      </c>
      <c r="B8681" s="1" t="s">
        <v>37</v>
      </c>
      <c r="C8681" s="1" t="s">
        <v>41348</v>
      </c>
      <c r="E8681" s="1" t="s">
        <v>41349</v>
      </c>
      <c r="G8681" s="1" t="s">
        <v>25882</v>
      </c>
      <c r="H8681" s="1">
        <v>2013.0</v>
      </c>
      <c r="I8681" s="1" t="s">
        <v>289</v>
      </c>
      <c r="J8681" s="1" t="s">
        <v>43</v>
      </c>
      <c r="K8681" s="1" t="s">
        <v>290</v>
      </c>
      <c r="L8681" s="1" t="s">
        <v>41350</v>
      </c>
      <c r="M8681" s="2" t="s">
        <v>12</v>
      </c>
      <c r="N8681" s="4">
        <f t="shared" si="1"/>
        <v>43190</v>
      </c>
      <c r="O8681" s="5" t="str">
        <f>IFERROR(__xludf.DUMMYFUNCTION("IF(REGEXMATCH(TRIM(I8681), ""^\d+\s*min""), ""Unclassified"", IF(I8681 = """", ""NR"", I8681))"),"TV-Y7")</f>
        <v>TV-Y7</v>
      </c>
      <c r="R8681" s="5" t="str">
        <f t="shared" si="2"/>
        <v>Vir: The Robot Boy</v>
      </c>
      <c r="S8681" s="5" t="str">
        <f>IFERROR(__xludf.DUMMYFUNCTION("""COMPUTED_VALUE"""),"X Large")</f>
        <v>X Large</v>
      </c>
      <c r="V8681" s="5"/>
      <c r="Y8681" s="5" t="str">
        <f>IFERROR(__xludf.DUMMYFUNCTION("REGEXEXTRACT(J8681, ""^\d+"")"),"2")</f>
        <v>2</v>
      </c>
      <c r="Z8681" s="5" t="str">
        <f>IFERROR(__xludf.DUMMYFUNCTION("REGEXEXTRACT(J8681, ""[A-Za-z ]+$"")")," Seasons")</f>
        <v> Seasons</v>
      </c>
      <c r="AA8681" s="5" t="str">
        <f>IFERROR(__xludf.DUMMYFUNCTION("IF(REGEXMATCH(Z8681, ""Season""), ""TV Show"", ""Movie"")"),"TV Show")</f>
        <v>TV Show</v>
      </c>
    </row>
    <row r="8682">
      <c r="A8682" s="1" t="s">
        <v>41351</v>
      </c>
      <c r="B8682" s="1" t="s">
        <v>27</v>
      </c>
      <c r="C8682" s="1" t="s">
        <v>41352</v>
      </c>
      <c r="D8682" s="1" t="s">
        <v>17416</v>
      </c>
      <c r="E8682" s="1" t="s">
        <v>41353</v>
      </c>
      <c r="F8682" s="1" t="s">
        <v>63</v>
      </c>
      <c r="G8682" s="1" t="s">
        <v>25185</v>
      </c>
      <c r="H8682" s="1">
        <v>2017.0</v>
      </c>
      <c r="I8682" s="1" t="s">
        <v>97</v>
      </c>
      <c r="J8682" s="1" t="s">
        <v>88</v>
      </c>
      <c r="K8682" s="1" t="s">
        <v>128</v>
      </c>
      <c r="L8682" s="1" t="s">
        <v>41354</v>
      </c>
      <c r="M8682" s="2" t="s">
        <v>12</v>
      </c>
      <c r="N8682" s="4">
        <f t="shared" si="1"/>
        <v>43282</v>
      </c>
      <c r="O8682" s="5" t="str">
        <f>IFERROR(__xludf.DUMMYFUNCTION("IF(REGEXMATCH(TRIM(I8682), ""^\d+\s*min""), ""Unclassified"", IF(I8682 = """", ""NR"", I8682))"),"TV-14")</f>
        <v>TV-14</v>
      </c>
      <c r="R8682" s="5" t="str">
        <f t="shared" si="2"/>
        <v>Viswasapoorvam Mansoor</v>
      </c>
      <c r="S8682" s="5" t="str">
        <f>IFERROR(__xludf.DUMMYFUNCTION("""COMPUTED_VALUE"""),"X: Past Is Present")</f>
        <v>X: Past Is Present</v>
      </c>
      <c r="V8682" s="5"/>
      <c r="Y8682" s="5" t="str">
        <f>IFERROR(__xludf.DUMMYFUNCTION("REGEXEXTRACT(J8682, ""^\d+"")"),"125")</f>
        <v>125</v>
      </c>
      <c r="Z8682" s="5" t="str">
        <f>IFERROR(__xludf.DUMMYFUNCTION("REGEXEXTRACT(J8682, ""[A-Za-z ]+$"")")," min")</f>
        <v> min</v>
      </c>
      <c r="AA8682" s="5" t="str">
        <f>IFERROR(__xludf.DUMMYFUNCTION("IF(REGEXMATCH(Z8682, ""Season""), ""TV Show"", ""Movie"")"),"Movie")</f>
        <v>Movie</v>
      </c>
    </row>
    <row r="8683">
      <c r="A8683" s="1" t="s">
        <v>41355</v>
      </c>
      <c r="B8683" s="1" t="s">
        <v>27</v>
      </c>
      <c r="C8683" s="1" t="s">
        <v>41356</v>
      </c>
      <c r="D8683" s="1" t="s">
        <v>8097</v>
      </c>
      <c r="E8683" s="1" t="s">
        <v>41357</v>
      </c>
      <c r="F8683" s="1" t="s">
        <v>63</v>
      </c>
      <c r="G8683" s="1" t="s">
        <v>27682</v>
      </c>
      <c r="H8683" s="1">
        <v>2014.0</v>
      </c>
      <c r="I8683" s="1" t="s">
        <v>97</v>
      </c>
      <c r="J8683" s="1" t="s">
        <v>349</v>
      </c>
      <c r="K8683" s="1" t="s">
        <v>128</v>
      </c>
      <c r="L8683" s="1" t="s">
        <v>41358</v>
      </c>
      <c r="M8683" s="2" t="s">
        <v>12</v>
      </c>
      <c r="N8683" s="4">
        <f t="shared" si="1"/>
        <v>42931</v>
      </c>
      <c r="O8683" s="5" t="str">
        <f>IFERROR(__xludf.DUMMYFUNCTION("IF(REGEXMATCH(TRIM(I8683), ""^\d+\s*min""), ""Unclassified"", IF(I8683 = """", ""NR"", I8683))"),"TV-14")</f>
        <v>TV-14</v>
      </c>
      <c r="R8683" s="5" t="str">
        <f t="shared" si="2"/>
        <v>Vitti Dandu</v>
      </c>
      <c r="S8683" s="5" t="str">
        <f>IFERROR(__xludf.DUMMYFUNCTION("""COMPUTED_VALUE"""),"Xico'S Journey")</f>
        <v>Xico'S Journey</v>
      </c>
      <c r="V8683" s="5"/>
      <c r="Y8683" s="5" t="str">
        <f>IFERROR(__xludf.DUMMYFUNCTION("REGEXEXTRACT(J8683, ""^\d+"")"),"116")</f>
        <v>116</v>
      </c>
      <c r="Z8683" s="5" t="str">
        <f>IFERROR(__xludf.DUMMYFUNCTION("REGEXEXTRACT(J8683, ""[A-Za-z ]+$"")")," min")</f>
        <v> min</v>
      </c>
      <c r="AA8683" s="5" t="str">
        <f>IFERROR(__xludf.DUMMYFUNCTION("IF(REGEXMATCH(Z8683, ""Season""), ""TV Show"", ""Movie"")"),"Movie")</f>
        <v>Movie</v>
      </c>
    </row>
    <row r="8684">
      <c r="A8684" s="1" t="s">
        <v>41359</v>
      </c>
      <c r="B8684" s="1" t="s">
        <v>27</v>
      </c>
      <c r="C8684" s="1" t="s">
        <v>41360</v>
      </c>
      <c r="D8684" s="1" t="s">
        <v>5463</v>
      </c>
      <c r="E8684" s="1" t="s">
        <v>41361</v>
      </c>
      <c r="F8684" s="1" t="s">
        <v>188</v>
      </c>
      <c r="G8684" s="1" t="s">
        <v>28526</v>
      </c>
      <c r="H8684" s="1">
        <v>2004.0</v>
      </c>
      <c r="I8684" s="1" t="s">
        <v>30231</v>
      </c>
      <c r="J8684" s="1" t="s">
        <v>256</v>
      </c>
      <c r="K8684" s="1" t="s">
        <v>583</v>
      </c>
      <c r="L8684" s="1" t="s">
        <v>41362</v>
      </c>
      <c r="M8684" s="2" t="s">
        <v>12</v>
      </c>
      <c r="N8684" s="4">
        <f t="shared" si="1"/>
        <v>42804</v>
      </c>
      <c r="O8684" s="5" t="str">
        <f>IFERROR(__xludf.DUMMYFUNCTION("IF(REGEXMATCH(TRIM(I8684), ""^\d+\s*min""), ""Unclassified"", IF(I8684 = """", ""NR"", I8684))"),"NR")</f>
        <v>NR</v>
      </c>
      <c r="R8684" s="5" t="str">
        <f t="shared" si="2"/>
        <v>Vizontele Tuuba</v>
      </c>
      <c r="S8684" s="5" t="str">
        <f>IFERROR(__xludf.DUMMYFUNCTION("""COMPUTED_VALUE"""),"Xoxo")</f>
        <v>Xoxo</v>
      </c>
      <c r="V8684" s="5"/>
      <c r="Y8684" s="5" t="str">
        <f>IFERROR(__xludf.DUMMYFUNCTION("REGEXEXTRACT(J8684, ""^\d+"")"),"106")</f>
        <v>106</v>
      </c>
      <c r="Z8684" s="5" t="str">
        <f>IFERROR(__xludf.DUMMYFUNCTION("REGEXEXTRACT(J8684, ""[A-Za-z ]+$"")")," min")</f>
        <v> min</v>
      </c>
      <c r="AA8684" s="5" t="str">
        <f>IFERROR(__xludf.DUMMYFUNCTION("IF(REGEXMATCH(Z8684, ""Season""), ""TV Show"", ""Movie"")"),"Movie")</f>
        <v>Movie</v>
      </c>
    </row>
    <row r="8685">
      <c r="A8685" s="1" t="s">
        <v>41363</v>
      </c>
      <c r="B8685" s="1" t="s">
        <v>27</v>
      </c>
      <c r="C8685" s="1" t="s">
        <v>41364</v>
      </c>
      <c r="D8685" s="1" t="s">
        <v>13251</v>
      </c>
      <c r="E8685" s="1" t="s">
        <v>41365</v>
      </c>
      <c r="F8685" s="1" t="s">
        <v>63</v>
      </c>
      <c r="G8685" s="1" t="s">
        <v>17078</v>
      </c>
      <c r="H8685" s="1">
        <v>2018.0</v>
      </c>
      <c r="I8685" s="1" t="s">
        <v>97</v>
      </c>
      <c r="J8685" s="1" t="s">
        <v>519</v>
      </c>
      <c r="K8685" s="1" t="s">
        <v>298</v>
      </c>
      <c r="L8685" s="1" t="s">
        <v>41366</v>
      </c>
      <c r="M8685" s="2" t="s">
        <v>12</v>
      </c>
      <c r="N8685" s="4">
        <f t="shared" si="1"/>
        <v>43830</v>
      </c>
      <c r="O8685" s="5" t="str">
        <f>IFERROR(__xludf.DUMMYFUNCTION("IF(REGEXMATCH(TRIM(I8685), ""^\d+\s*min""), ""Unclassified"", IF(I8685 = """", ""NR"", I8685))"),"TV-14")</f>
        <v>TV-14</v>
      </c>
      <c r="R8685" s="5" t="str">
        <f t="shared" si="2"/>
        <v>Vodka Diaries</v>
      </c>
      <c r="S8685" s="5" t="str">
        <f>IFERROR(__xludf.DUMMYFUNCTION("""COMPUTED_VALUE"""),"Xtreme")</f>
        <v>Xtreme</v>
      </c>
      <c r="V8685" s="5"/>
      <c r="Y8685" s="5" t="str">
        <f>IFERROR(__xludf.DUMMYFUNCTION("REGEXEXTRACT(J8685, ""^\d+"")"),"113")</f>
        <v>113</v>
      </c>
      <c r="Z8685" s="5" t="str">
        <f>IFERROR(__xludf.DUMMYFUNCTION("REGEXEXTRACT(J8685, ""[A-Za-z ]+$"")")," min")</f>
        <v> min</v>
      </c>
      <c r="AA8685" s="5" t="str">
        <f>IFERROR(__xludf.DUMMYFUNCTION("IF(REGEXMATCH(Z8685, ""Season""), ""TV Show"", ""Movie"")"),"Movie")</f>
        <v>Movie</v>
      </c>
    </row>
    <row r="8686">
      <c r="A8686" s="1" t="s">
        <v>41367</v>
      </c>
      <c r="B8686" s="1" t="s">
        <v>37</v>
      </c>
      <c r="C8686" s="1" t="s">
        <v>41368</v>
      </c>
      <c r="E8686" s="1" t="s">
        <v>41369</v>
      </c>
      <c r="F8686" s="1" t="s">
        <v>749</v>
      </c>
      <c r="G8686" s="1" t="s">
        <v>41370</v>
      </c>
      <c r="H8686" s="1">
        <v>2016.0</v>
      </c>
      <c r="I8686" s="1" t="s">
        <v>206</v>
      </c>
      <c r="J8686" s="1" t="s">
        <v>276</v>
      </c>
      <c r="K8686" s="1" t="s">
        <v>637</v>
      </c>
      <c r="L8686" s="1" t="s">
        <v>41371</v>
      </c>
      <c r="M8686" s="2" t="s">
        <v>12</v>
      </c>
      <c r="N8686" s="1" t="str">
        <f t="shared" si="1"/>
        <v>#N/A</v>
      </c>
      <c r="O8686" s="5" t="str">
        <f>IFERROR(__xludf.DUMMYFUNCTION("IF(REGEXMATCH(TRIM(I8686), ""^\d+\s*min""), ""Unclassified"", IF(I8686 = """", ""NR"", I8686))"),"TV-Y")</f>
        <v>TV-Y</v>
      </c>
      <c r="R8686" s="5" t="str">
        <f t="shared" si="2"/>
        <v>Vroomiz</v>
      </c>
      <c r="S8686" s="5" t="str">
        <f>IFERROR(__xludf.DUMMYFUNCTION("""COMPUTED_VALUE"""),"Xv: Beyond The Tryline")</f>
        <v>Xv: Beyond The Tryline</v>
      </c>
      <c r="V8686" s="5"/>
      <c r="Y8686" s="5" t="str">
        <f>IFERROR(__xludf.DUMMYFUNCTION("REGEXEXTRACT(J8686, ""^\d+"")"),"3")</f>
        <v>3</v>
      </c>
      <c r="Z8686" s="5" t="str">
        <f>IFERROR(__xludf.DUMMYFUNCTION("REGEXEXTRACT(J8686, ""[A-Za-z ]+$"")")," Seasons")</f>
        <v> Seasons</v>
      </c>
      <c r="AA8686" s="5" t="str">
        <f>IFERROR(__xludf.DUMMYFUNCTION("IF(REGEXMATCH(Z8686, ""Season""), ""TV Show"", ""Movie"")"),"TV Show")</f>
        <v>TV Show</v>
      </c>
    </row>
    <row r="8687">
      <c r="A8687" s="1" t="s">
        <v>41372</v>
      </c>
      <c r="B8687" s="1" t="s">
        <v>27</v>
      </c>
      <c r="C8687" s="1" t="s">
        <v>41373</v>
      </c>
      <c r="D8687" s="1" t="s">
        <v>6777</v>
      </c>
      <c r="E8687" s="1" t="s">
        <v>41374</v>
      </c>
      <c r="F8687" s="1" t="s">
        <v>96</v>
      </c>
      <c r="G8687" s="1" t="s">
        <v>20308</v>
      </c>
      <c r="H8687" s="1">
        <v>2018.0</v>
      </c>
      <c r="I8687" s="1" t="s">
        <v>42</v>
      </c>
      <c r="J8687" s="1" t="s">
        <v>416</v>
      </c>
      <c r="K8687" s="1" t="s">
        <v>805</v>
      </c>
      <c r="L8687" s="1" t="s">
        <v>41375</v>
      </c>
      <c r="M8687" s="2" t="s">
        <v>12</v>
      </c>
      <c r="N8687" s="4">
        <f t="shared" si="1"/>
        <v>43635</v>
      </c>
      <c r="O8687" s="5" t="str">
        <f>IFERROR(__xludf.DUMMYFUNCTION("IF(REGEXMATCH(TRIM(I8687), ""^\d+\s*min""), ""Unclassified"", IF(I8687 = """", ""NR"", I8687))"),"TV-MA")</f>
        <v>TV-MA</v>
      </c>
      <c r="R8687" s="5" t="str">
        <f t="shared" si="2"/>
        <v>Vs.</v>
      </c>
      <c r="S8687" s="5" t="str">
        <f>IFERROR(__xludf.DUMMYFUNCTION("""COMPUTED_VALUE"""),"Xx")</f>
        <v>Xx</v>
      </c>
      <c r="V8687" s="5"/>
      <c r="Y8687" s="5" t="str">
        <f>IFERROR(__xludf.DUMMYFUNCTION("REGEXEXTRACT(J8687, ""^\d+"")"),"99")</f>
        <v>99</v>
      </c>
      <c r="Z8687" s="5" t="str">
        <f>IFERROR(__xludf.DUMMYFUNCTION("REGEXEXTRACT(J8687, ""[A-Za-z ]+$"")")," min")</f>
        <v> min</v>
      </c>
      <c r="AA8687" s="5" t="str">
        <f>IFERROR(__xludf.DUMMYFUNCTION("IF(REGEXMATCH(Z8687, ""Season""), ""TV Show"", ""Movie"")"),"Movie")</f>
        <v>Movie</v>
      </c>
    </row>
    <row r="8688">
      <c r="A8688" s="1" t="s">
        <v>41376</v>
      </c>
      <c r="B8688" s="1" t="s">
        <v>27</v>
      </c>
      <c r="C8688" s="1" t="s">
        <v>41377</v>
      </c>
      <c r="D8688" s="1" t="s">
        <v>3387</v>
      </c>
      <c r="E8688" s="1" t="s">
        <v>41378</v>
      </c>
      <c r="F8688" s="1" t="s">
        <v>19350</v>
      </c>
      <c r="G8688" s="1" t="s">
        <v>27735</v>
      </c>
      <c r="H8688" s="1">
        <v>2013.0</v>
      </c>
      <c r="I8688" s="1" t="s">
        <v>42</v>
      </c>
      <c r="J8688" s="1" t="s">
        <v>2281</v>
      </c>
      <c r="K8688" s="1" t="s">
        <v>1066</v>
      </c>
      <c r="L8688" s="1" t="s">
        <v>41379</v>
      </c>
      <c r="M8688" s="2" t="s">
        <v>12</v>
      </c>
      <c r="N8688" s="4">
        <f t="shared" si="1"/>
        <v>42917</v>
      </c>
      <c r="O8688" s="5" t="str">
        <f>IFERROR(__xludf.DUMMYFUNCTION("IF(REGEXMATCH(TRIM(I8688), ""^\d+\s*min""), ""Unclassified"", IF(I8688 = """", ""NR"", I8688))"),"TV-MA")</f>
        <v>TV-MA</v>
      </c>
      <c r="R8688" s="5" t="str">
        <f t="shared" si="2"/>
        <v>Waar</v>
      </c>
      <c r="S8688" s="5" t="str">
        <f>IFERROR(__xludf.DUMMYFUNCTION("""COMPUTED_VALUE"""),"Xxx")</f>
        <v>Xxx</v>
      </c>
      <c r="V8688" s="5"/>
      <c r="Y8688" s="5" t="str">
        <f>IFERROR(__xludf.DUMMYFUNCTION("REGEXEXTRACT(J8688, ""^\d+"")"),"130")</f>
        <v>130</v>
      </c>
      <c r="Z8688" s="5" t="str">
        <f>IFERROR(__xludf.DUMMYFUNCTION("REGEXEXTRACT(J8688, ""[A-Za-z ]+$"")")," min")</f>
        <v> min</v>
      </c>
      <c r="AA8688" s="5" t="str">
        <f>IFERROR(__xludf.DUMMYFUNCTION("IF(REGEXMATCH(Z8688, ""Season""), ""TV Show"", ""Movie"")"),"Movie")</f>
        <v>Movie</v>
      </c>
    </row>
    <row r="8689">
      <c r="A8689" s="1" t="s">
        <v>41380</v>
      </c>
      <c r="B8689" s="1" t="s">
        <v>27</v>
      </c>
      <c r="C8689" s="1" t="s">
        <v>41381</v>
      </c>
      <c r="D8689" s="1" t="s">
        <v>17550</v>
      </c>
      <c r="E8689" s="1" t="s">
        <v>41382</v>
      </c>
      <c r="F8689" s="1" t="s">
        <v>63</v>
      </c>
      <c r="G8689" s="1" t="s">
        <v>26883</v>
      </c>
      <c r="H8689" s="1">
        <v>2016.0</v>
      </c>
      <c r="I8689" s="1" t="s">
        <v>97</v>
      </c>
      <c r="J8689" s="1" t="s">
        <v>985</v>
      </c>
      <c r="K8689" s="1" t="s">
        <v>13636</v>
      </c>
      <c r="L8689" s="1" t="s">
        <v>41383</v>
      </c>
      <c r="M8689" s="2" t="s">
        <v>12</v>
      </c>
      <c r="N8689" s="4">
        <f t="shared" si="1"/>
        <v>43040</v>
      </c>
      <c r="O8689" s="5" t="str">
        <f>IFERROR(__xludf.DUMMYFUNCTION("IF(REGEXMATCH(TRIM(I8689), ""^\d+\s*min""), ""Unclassified"", IF(I8689 = """", ""NR"", I8689))"),"TV-14")</f>
        <v>TV-14</v>
      </c>
      <c r="R8689" s="5" t="str">
        <f t="shared" si="2"/>
        <v>Waarrior Savitri</v>
      </c>
      <c r="S8689" s="5" t="str">
        <f>IFERROR(__xludf.DUMMYFUNCTION("""COMPUTED_VALUE"""),"Xxx: State Of The Union")</f>
        <v>Xxx: State Of The Union</v>
      </c>
      <c r="V8689" s="5"/>
      <c r="Y8689" s="5" t="str">
        <f>IFERROR(__xludf.DUMMYFUNCTION("REGEXEXTRACT(J8689, ""^\d+"")"),"120")</f>
        <v>120</v>
      </c>
      <c r="Z8689" s="5" t="str">
        <f>IFERROR(__xludf.DUMMYFUNCTION("REGEXEXTRACT(J8689, ""[A-Za-z ]+$"")")," min")</f>
        <v> min</v>
      </c>
      <c r="AA8689" s="5" t="str">
        <f>IFERROR(__xludf.DUMMYFUNCTION("IF(REGEXMATCH(Z8689, ""Season""), ""TV Show"", ""Movie"")"),"Movie")</f>
        <v>Movie</v>
      </c>
    </row>
    <row r="8690">
      <c r="A8690" s="1" t="s">
        <v>41384</v>
      </c>
      <c r="B8690" s="1" t="s">
        <v>27</v>
      </c>
      <c r="C8690" s="1" t="s">
        <v>41385</v>
      </c>
      <c r="D8690" s="1" t="s">
        <v>2384</v>
      </c>
      <c r="E8690" s="1" t="s">
        <v>41386</v>
      </c>
      <c r="F8690" s="1" t="s">
        <v>63</v>
      </c>
      <c r="G8690" s="7">
        <v>43221.0</v>
      </c>
      <c r="H8690" s="1">
        <v>2015.0</v>
      </c>
      <c r="I8690" s="1" t="s">
        <v>42</v>
      </c>
      <c r="J8690" s="1" t="s">
        <v>170</v>
      </c>
      <c r="K8690" s="1" t="s">
        <v>128</v>
      </c>
      <c r="L8690" s="1" t="s">
        <v>41387</v>
      </c>
      <c r="M8690" s="2" t="s">
        <v>12</v>
      </c>
      <c r="N8690" s="4">
        <f t="shared" si="1"/>
        <v>43221</v>
      </c>
      <c r="O8690" s="5" t="str">
        <f>IFERROR(__xludf.DUMMYFUNCTION("IF(REGEXMATCH(TRIM(I8690), ""^\d+\s*min""), ""Unclassified"", IF(I8690 = """", ""NR"", I8690))"),"TV-MA")</f>
        <v>TV-MA</v>
      </c>
      <c r="R8690" s="5" t="str">
        <f t="shared" si="2"/>
        <v>Waiting</v>
      </c>
      <c r="S8690" s="5" t="str">
        <f>IFERROR(__xludf.DUMMYFUNCTION("""COMPUTED_VALUE"""),"Y Tu Mamá También")</f>
        <v>Y Tu Mamá También</v>
      </c>
      <c r="V8690" s="5"/>
      <c r="Y8690" s="5" t="str">
        <f>IFERROR(__xludf.DUMMYFUNCTION("REGEXEXTRACT(J8690, ""^\d+"")"),"94")</f>
        <v>94</v>
      </c>
      <c r="Z8690" s="5" t="str">
        <f>IFERROR(__xludf.DUMMYFUNCTION("REGEXEXTRACT(J8690, ""[A-Za-z ]+$"")")," min")</f>
        <v> min</v>
      </c>
      <c r="AA8690" s="5" t="str">
        <f>IFERROR(__xludf.DUMMYFUNCTION("IF(REGEXMATCH(Z8690, ""Season""), ""TV Show"", ""Movie"")"),"Movie")</f>
        <v>Movie</v>
      </c>
    </row>
    <row r="8691">
      <c r="A8691" s="1" t="s">
        <v>41388</v>
      </c>
      <c r="B8691" s="1" t="s">
        <v>27</v>
      </c>
      <c r="C8691" s="1" t="s">
        <v>41389</v>
      </c>
      <c r="D8691" s="1" t="s">
        <v>41390</v>
      </c>
      <c r="E8691" s="1" t="s">
        <v>41391</v>
      </c>
      <c r="F8691" s="1" t="s">
        <v>30</v>
      </c>
      <c r="G8691" s="1" t="s">
        <v>11264</v>
      </c>
      <c r="H8691" s="1">
        <v>2005.0</v>
      </c>
      <c r="I8691" s="1" t="s">
        <v>378</v>
      </c>
      <c r="J8691" s="1" t="s">
        <v>170</v>
      </c>
      <c r="K8691" s="1" t="s">
        <v>1749</v>
      </c>
      <c r="L8691" s="1" t="s">
        <v>41392</v>
      </c>
      <c r="M8691" s="2" t="s">
        <v>12</v>
      </c>
      <c r="N8691" s="4">
        <f t="shared" si="1"/>
        <v>44097</v>
      </c>
      <c r="O8691" s="5" t="str">
        <f>IFERROR(__xludf.DUMMYFUNCTION("IF(REGEXMATCH(TRIM(I8691), ""^\d+\s*min""), ""Unclassified"", IF(I8691 = """", ""NR"", I8691))"),"R")</f>
        <v>R</v>
      </c>
      <c r="R8691" s="5" t="str">
        <f t="shared" si="2"/>
        <v>Waiting...</v>
      </c>
      <c r="S8691" s="5" t="str">
        <f>IFERROR(__xludf.DUMMYFUNCTION("""COMPUTED_VALUE"""),"Y.M.I.: Yeh Mera India")</f>
        <v>Y.M.I.: Yeh Mera India</v>
      </c>
      <c r="V8691" s="5"/>
      <c r="Y8691" s="5" t="str">
        <f>IFERROR(__xludf.DUMMYFUNCTION("REGEXEXTRACT(J8691, ""^\d+"")"),"94")</f>
        <v>94</v>
      </c>
      <c r="Z8691" s="5" t="str">
        <f>IFERROR(__xludf.DUMMYFUNCTION("REGEXEXTRACT(J8691, ""[A-Za-z ]+$"")")," min")</f>
        <v> min</v>
      </c>
      <c r="AA8691" s="5" t="str">
        <f>IFERROR(__xludf.DUMMYFUNCTION("IF(REGEXMATCH(Z8691, ""Season""), ""TV Show"", ""Movie"")"),"Movie")</f>
        <v>Movie</v>
      </c>
    </row>
    <row r="8692">
      <c r="A8692" s="1" t="s">
        <v>41393</v>
      </c>
      <c r="B8692" s="1" t="s">
        <v>37</v>
      </c>
      <c r="C8692" s="1" t="s">
        <v>41394</v>
      </c>
      <c r="E8692" s="1" t="s">
        <v>41395</v>
      </c>
      <c r="G8692" s="1" t="s">
        <v>25882</v>
      </c>
      <c r="H8692" s="1">
        <v>2017.0</v>
      </c>
      <c r="I8692" s="1" t="s">
        <v>97</v>
      </c>
      <c r="J8692" s="1" t="s">
        <v>43</v>
      </c>
      <c r="K8692" s="1" t="s">
        <v>402</v>
      </c>
      <c r="L8692" s="1" t="s">
        <v>41396</v>
      </c>
      <c r="M8692" s="2" t="s">
        <v>12</v>
      </c>
      <c r="N8692" s="4">
        <f t="shared" si="1"/>
        <v>43190</v>
      </c>
      <c r="O8692" s="5" t="str">
        <f>IFERROR(__xludf.DUMMYFUNCTION("IF(REGEXMATCH(TRIM(I8692), ""^\d+\s*min""), ""Unclassified"", IF(I8692 = """", ""NR"", I8692))"),"TV-14")</f>
        <v>TV-14</v>
      </c>
      <c r="R8692" s="5" t="str">
        <f t="shared" si="2"/>
        <v>Wake Up</v>
      </c>
      <c r="S8692" s="5" t="str">
        <f>IFERROR(__xludf.DUMMYFUNCTION("""COMPUTED_VALUE"""),"Ya No Estoy Aquí: Una Conversación Entre Guillermo Del Toro Y Alfonso Cuarón")</f>
        <v>Ya No Estoy Aquí: Una Conversación Entre Guillermo Del Toro Y Alfonso Cuarón</v>
      </c>
      <c r="V8692" s="5"/>
      <c r="Y8692" s="5" t="str">
        <f>IFERROR(__xludf.DUMMYFUNCTION("REGEXEXTRACT(J8692, ""^\d+"")"),"2")</f>
        <v>2</v>
      </c>
      <c r="Z8692" s="5" t="str">
        <f>IFERROR(__xludf.DUMMYFUNCTION("REGEXEXTRACT(J8692, ""[A-Za-z ]+$"")")," Seasons")</f>
        <v> Seasons</v>
      </c>
      <c r="AA8692" s="5" t="str">
        <f>IFERROR(__xludf.DUMMYFUNCTION("IF(REGEXMATCH(Z8692, ""Season""), ""TV Show"", ""Movie"")"),"TV Show")</f>
        <v>TV Show</v>
      </c>
    </row>
    <row r="8693">
      <c r="A8693" s="1" t="s">
        <v>41397</v>
      </c>
      <c r="B8693" s="1" t="s">
        <v>27</v>
      </c>
      <c r="C8693" s="1" t="s">
        <v>41398</v>
      </c>
      <c r="D8693" s="1" t="s">
        <v>19576</v>
      </c>
      <c r="E8693" s="1" t="s">
        <v>41399</v>
      </c>
      <c r="F8693" s="1" t="s">
        <v>30</v>
      </c>
      <c r="G8693" s="1" t="s">
        <v>21824</v>
      </c>
      <c r="H8693" s="1">
        <v>2016.0</v>
      </c>
      <c r="I8693" s="1" t="s">
        <v>378</v>
      </c>
      <c r="J8693" s="1" t="s">
        <v>1065</v>
      </c>
      <c r="K8693" s="1" t="s">
        <v>805</v>
      </c>
      <c r="L8693" s="1" t="s">
        <v>41400</v>
      </c>
      <c r="M8693" s="2" t="s">
        <v>12</v>
      </c>
      <c r="N8693" s="4">
        <f t="shared" si="1"/>
        <v>43526</v>
      </c>
      <c r="O8693" s="5" t="str">
        <f>IFERROR(__xludf.DUMMYFUNCTION("IF(REGEXMATCH(TRIM(I8693), ""^\d+\s*min""), ""Unclassified"", IF(I8693 = """", ""NR"", I8693))"),"R")</f>
        <v>R</v>
      </c>
      <c r="R8693" s="5" t="str">
        <f t="shared" si="2"/>
        <v>Wakefield</v>
      </c>
      <c r="S8693" s="5" t="str">
        <f>IFERROR(__xludf.DUMMYFUNCTION("""COMPUTED_VALUE"""),"Yaadein")</f>
        <v>Yaadein</v>
      </c>
      <c r="V8693" s="5"/>
      <c r="Y8693" s="5" t="str">
        <f>IFERROR(__xludf.DUMMYFUNCTION("REGEXEXTRACT(J8693, ""^\d+"")"),"109")</f>
        <v>109</v>
      </c>
      <c r="Z8693" s="5" t="str">
        <f>IFERROR(__xludf.DUMMYFUNCTION("REGEXEXTRACT(J8693, ""[A-Za-z ]+$"")")," min")</f>
        <v> min</v>
      </c>
      <c r="AA8693" s="5" t="str">
        <f>IFERROR(__xludf.DUMMYFUNCTION("IF(REGEXMATCH(Z8693, ""Season""), ""TV Show"", ""Movie"")"),"Movie")</f>
        <v>Movie</v>
      </c>
    </row>
    <row r="8694">
      <c r="A8694" s="1" t="s">
        <v>41401</v>
      </c>
      <c r="B8694" s="1" t="s">
        <v>27</v>
      </c>
      <c r="C8694" s="1" t="s">
        <v>41402</v>
      </c>
      <c r="D8694" s="1" t="s">
        <v>14550</v>
      </c>
      <c r="E8694" s="1" t="s">
        <v>41403</v>
      </c>
      <c r="F8694" s="1" t="s">
        <v>96</v>
      </c>
      <c r="G8694" s="1" t="s">
        <v>26537</v>
      </c>
      <c r="H8694" s="1">
        <v>2017.0</v>
      </c>
      <c r="I8694" s="1" t="s">
        <v>136</v>
      </c>
      <c r="J8694" s="1" t="s">
        <v>170</v>
      </c>
      <c r="K8694" s="1" t="s">
        <v>34</v>
      </c>
      <c r="L8694" s="1" t="s">
        <v>41404</v>
      </c>
      <c r="M8694" s="2" t="s">
        <v>12</v>
      </c>
      <c r="N8694" s="4">
        <f t="shared" si="1"/>
        <v>43095</v>
      </c>
      <c r="O8694" s="5" t="str">
        <f>IFERROR(__xludf.DUMMYFUNCTION("IF(REGEXMATCH(TRIM(I8694), ""^\d+\s*min""), ""Unclassified"", IF(I8694 = """", ""NR"", I8694))"),"TV-PG")</f>
        <v>TV-PG</v>
      </c>
      <c r="R8694" s="5" t="str">
        <f t="shared" si="2"/>
        <v>Walk With Me</v>
      </c>
      <c r="S8694" s="5" t="str">
        <f>IFERROR(__xludf.DUMMYFUNCTION("""COMPUTED_VALUE"""),"Yaar Gaddar")</f>
        <v>Yaar Gaddar</v>
      </c>
      <c r="V8694" s="5"/>
      <c r="Y8694" s="5" t="str">
        <f>IFERROR(__xludf.DUMMYFUNCTION("REGEXEXTRACT(J8694, ""^\d+"")"),"94")</f>
        <v>94</v>
      </c>
      <c r="Z8694" s="5" t="str">
        <f>IFERROR(__xludf.DUMMYFUNCTION("REGEXEXTRACT(J8694, ""[A-Za-z ]+$"")")," min")</f>
        <v> min</v>
      </c>
      <c r="AA8694" s="5" t="str">
        <f>IFERROR(__xludf.DUMMYFUNCTION("IF(REGEXMATCH(Z8694, ""Season""), ""TV Show"", ""Movie"")"),"Movie")</f>
        <v>Movie</v>
      </c>
    </row>
    <row r="8695">
      <c r="A8695" s="1" t="s">
        <v>41405</v>
      </c>
      <c r="B8695" s="1" t="s">
        <v>27</v>
      </c>
      <c r="C8695" s="1" t="s">
        <v>41406</v>
      </c>
      <c r="D8695" s="1" t="s">
        <v>1180</v>
      </c>
      <c r="E8695" s="1" t="s">
        <v>41407</v>
      </c>
      <c r="F8695" s="1" t="s">
        <v>30</v>
      </c>
      <c r="G8695" s="1" t="s">
        <v>18985</v>
      </c>
      <c r="H8695" s="1">
        <v>2017.0</v>
      </c>
      <c r="I8695" s="1" t="s">
        <v>32</v>
      </c>
      <c r="J8695" s="1" t="s">
        <v>322</v>
      </c>
      <c r="K8695" s="1" t="s">
        <v>2327</v>
      </c>
      <c r="L8695" s="1" t="s">
        <v>41408</v>
      </c>
      <c r="M8695" s="2" t="s">
        <v>12</v>
      </c>
      <c r="N8695" s="4">
        <f t="shared" si="1"/>
        <v>43739</v>
      </c>
      <c r="O8695" s="5" t="str">
        <f>IFERROR(__xludf.DUMMYFUNCTION("IF(REGEXMATCH(TRIM(I8695), ""^\d+\s*min""), ""Unclassified"", IF(I8695 = """", ""NR"", I8695))"),"PG-13")</f>
        <v>PG-13</v>
      </c>
      <c r="R8695" s="5" t="str">
        <f t="shared" si="2"/>
        <v>Walking Out</v>
      </c>
      <c r="S8695" s="5" t="str">
        <f>IFERROR(__xludf.DUMMYFUNCTION("""COMPUTED_VALUE"""),"Yaara O Dildaara")</f>
        <v>Yaara O Dildaara</v>
      </c>
      <c r="V8695" s="5"/>
      <c r="Y8695" s="5" t="str">
        <f>IFERROR(__xludf.DUMMYFUNCTION("REGEXEXTRACT(J8695, ""^\d+"")"),"96")</f>
        <v>96</v>
      </c>
      <c r="Z8695" s="5" t="str">
        <f>IFERROR(__xludf.DUMMYFUNCTION("REGEXEXTRACT(J8695, ""[A-Za-z ]+$"")")," min")</f>
        <v> min</v>
      </c>
      <c r="AA8695" s="5" t="str">
        <f>IFERROR(__xludf.DUMMYFUNCTION("IF(REGEXMATCH(Z8695, ""Season""), ""TV Show"", ""Movie"")"),"Movie")</f>
        <v>Movie</v>
      </c>
    </row>
    <row r="8696">
      <c r="A8696" s="1" t="s">
        <v>41409</v>
      </c>
      <c r="B8696" s="1" t="s">
        <v>27</v>
      </c>
      <c r="C8696" s="1" t="s">
        <v>41410</v>
      </c>
      <c r="D8696" s="1" t="s">
        <v>18188</v>
      </c>
      <c r="E8696" s="1" t="s">
        <v>41411</v>
      </c>
      <c r="F8696" s="1" t="s">
        <v>897</v>
      </c>
      <c r="G8696" s="1" t="s">
        <v>21360</v>
      </c>
      <c r="H8696" s="1">
        <v>2007.0</v>
      </c>
      <c r="I8696" s="1" t="s">
        <v>378</v>
      </c>
      <c r="J8696" s="1" t="s">
        <v>238</v>
      </c>
      <c r="K8696" s="1" t="s">
        <v>380</v>
      </c>
      <c r="L8696" s="1" t="s">
        <v>41412</v>
      </c>
      <c r="M8696" s="2" t="s">
        <v>12</v>
      </c>
      <c r="N8696" s="4">
        <f t="shared" si="1"/>
        <v>43556</v>
      </c>
      <c r="O8696" s="5" t="str">
        <f>IFERROR(__xludf.DUMMYFUNCTION("IF(REGEXMATCH(TRIM(I8696), ""^\d+\s*min""), ""Unclassified"", IF(I8696 = """", ""NR"", I8696))"),"R")</f>
        <v>R</v>
      </c>
      <c r="R8696" s="5" t="str">
        <f t="shared" si="2"/>
        <v>War</v>
      </c>
      <c r="S8696" s="5" t="str">
        <f>IFERROR(__xludf.DUMMYFUNCTION("""COMPUTED_VALUE"""),"Yamla Pagla Deewana 2")</f>
        <v>Yamla Pagla Deewana 2</v>
      </c>
      <c r="V8696" s="5"/>
      <c r="Y8696" s="5" t="str">
        <f>IFERROR(__xludf.DUMMYFUNCTION("REGEXEXTRACT(J8696, ""^\d+"")"),"103")</f>
        <v>103</v>
      </c>
      <c r="Z8696" s="5" t="str">
        <f>IFERROR(__xludf.DUMMYFUNCTION("REGEXEXTRACT(J8696, ""[A-Za-z ]+$"")")," min")</f>
        <v> min</v>
      </c>
      <c r="AA8696" s="5" t="str">
        <f>IFERROR(__xludf.DUMMYFUNCTION("IF(REGEXMATCH(Z8696, ""Season""), ""TV Show"", ""Movie"")"),"Movie")</f>
        <v>Movie</v>
      </c>
    </row>
    <row r="8697">
      <c r="A8697" s="1" t="s">
        <v>41413</v>
      </c>
      <c r="B8697" s="1" t="s">
        <v>27</v>
      </c>
      <c r="C8697" s="1" t="s">
        <v>41414</v>
      </c>
      <c r="D8697" s="1" t="s">
        <v>7488</v>
      </c>
      <c r="E8697" s="1" t="s">
        <v>41415</v>
      </c>
      <c r="F8697" s="1" t="s">
        <v>63</v>
      </c>
      <c r="G8697" s="1" t="s">
        <v>21824</v>
      </c>
      <c r="H8697" s="1">
        <v>2013.0</v>
      </c>
      <c r="I8697" s="1" t="s">
        <v>97</v>
      </c>
      <c r="J8697" s="1" t="s">
        <v>1065</v>
      </c>
      <c r="K8697" s="1" t="s">
        <v>583</v>
      </c>
      <c r="L8697" s="1" t="s">
        <v>41416</v>
      </c>
      <c r="M8697" s="2" t="s">
        <v>12</v>
      </c>
      <c r="N8697" s="4">
        <f t="shared" si="1"/>
        <v>43526</v>
      </c>
      <c r="O8697" s="5" t="str">
        <f>IFERROR(__xludf.DUMMYFUNCTION("IF(REGEXMATCH(TRIM(I8697), ""^\d+\s*min""), ""Unclassified"", IF(I8697 = """", ""NR"", I8697))"),"TV-14")</f>
        <v>TV-14</v>
      </c>
      <c r="R8697" s="5" t="str">
        <f t="shared" si="2"/>
        <v>War Chhod Na Yaar</v>
      </c>
      <c r="S8697" s="5" t="str">
        <f>IFERROR(__xludf.DUMMYFUNCTION("""COMPUTED_VALUE"""),"Yanda Kartavya Aahe")</f>
        <v>Yanda Kartavya Aahe</v>
      </c>
      <c r="V8697" s="5"/>
      <c r="Y8697" s="5" t="str">
        <f>IFERROR(__xludf.DUMMYFUNCTION("REGEXEXTRACT(J8697, ""^\d+"")"),"109")</f>
        <v>109</v>
      </c>
      <c r="Z8697" s="5" t="str">
        <f>IFERROR(__xludf.DUMMYFUNCTION("REGEXEXTRACT(J8697, ""[A-Za-z ]+$"")")," min")</f>
        <v> min</v>
      </c>
      <c r="AA8697" s="5" t="str">
        <f>IFERROR(__xludf.DUMMYFUNCTION("IF(REGEXMATCH(Z8697, ""Season""), ""TV Show"", ""Movie"")"),"Movie")</f>
        <v>Movie</v>
      </c>
    </row>
    <row r="8698">
      <c r="A8698" s="1" t="s">
        <v>41417</v>
      </c>
      <c r="B8698" s="1" t="s">
        <v>27</v>
      </c>
      <c r="C8698" s="1" t="s">
        <v>41418</v>
      </c>
      <c r="D8698" s="1" t="s">
        <v>339</v>
      </c>
      <c r="E8698" s="1" t="s">
        <v>41419</v>
      </c>
      <c r="F8698" s="1" t="s">
        <v>4497</v>
      </c>
      <c r="G8698" s="7">
        <v>43591.0</v>
      </c>
      <c r="H8698" s="1">
        <v>2011.0</v>
      </c>
      <c r="I8698" s="1" t="s">
        <v>32</v>
      </c>
      <c r="J8698" s="1" t="s">
        <v>229</v>
      </c>
      <c r="K8698" s="1" t="s">
        <v>805</v>
      </c>
      <c r="L8698" s="1" t="s">
        <v>41420</v>
      </c>
      <c r="M8698" s="2" t="s">
        <v>12</v>
      </c>
      <c r="N8698" s="4">
        <f t="shared" si="1"/>
        <v>43591</v>
      </c>
      <c r="O8698" s="5" t="str">
        <f>IFERROR(__xludf.DUMMYFUNCTION("IF(REGEXMATCH(TRIM(I8698), ""^\d+\s*min""), ""Unclassified"", IF(I8698 = """", ""NR"", I8698))"),"PG-13")</f>
        <v>PG-13</v>
      </c>
      <c r="R8698" s="5" t="str">
        <f t="shared" si="2"/>
        <v>War Horse</v>
      </c>
      <c r="S8698" s="5" t="str">
        <f>IFERROR(__xludf.DUMMYFUNCTION("""COMPUTED_VALUE"""),"Yankee")</f>
        <v>Yankee</v>
      </c>
      <c r="V8698" s="5"/>
      <c r="Y8698" s="5" t="str">
        <f>IFERROR(__xludf.DUMMYFUNCTION("REGEXEXTRACT(J8698, ""^\d+"")"),"147")</f>
        <v>147</v>
      </c>
      <c r="Z8698" s="5" t="str">
        <f>IFERROR(__xludf.DUMMYFUNCTION("REGEXEXTRACT(J8698, ""[A-Za-z ]+$"")")," min")</f>
        <v> min</v>
      </c>
      <c r="AA8698" s="5" t="str">
        <f>IFERROR(__xludf.DUMMYFUNCTION("IF(REGEXMATCH(Z8698, ""Season""), ""TV Show"", ""Movie"")"),"Movie")</f>
        <v>Movie</v>
      </c>
    </row>
    <row r="8699">
      <c r="A8699" s="1" t="s">
        <v>41421</v>
      </c>
      <c r="B8699" s="1" t="s">
        <v>27</v>
      </c>
      <c r="C8699" s="1" t="s">
        <v>41422</v>
      </c>
      <c r="D8699" s="1" t="s">
        <v>41423</v>
      </c>
      <c r="E8699" s="1" t="s">
        <v>41424</v>
      </c>
      <c r="F8699" s="1" t="s">
        <v>96</v>
      </c>
      <c r="G8699" s="1" t="s">
        <v>17632</v>
      </c>
      <c r="H8699" s="1">
        <v>2016.0</v>
      </c>
      <c r="I8699" s="1" t="s">
        <v>378</v>
      </c>
      <c r="J8699" s="1" t="s">
        <v>357</v>
      </c>
      <c r="K8699" s="1" t="s">
        <v>973</v>
      </c>
      <c r="L8699" s="1" t="s">
        <v>41425</v>
      </c>
      <c r="M8699" s="2" t="s">
        <v>12</v>
      </c>
      <c r="N8699" s="4">
        <f t="shared" si="1"/>
        <v>43802</v>
      </c>
      <c r="O8699" s="5" t="str">
        <f>IFERROR(__xludf.DUMMYFUNCTION("IF(REGEXMATCH(TRIM(I8699), ""^\d+\s*min""), ""Unclassified"", IF(I8699 = """", ""NR"", I8699))"),"R")</f>
        <v>R</v>
      </c>
      <c r="R8699" s="5" t="str">
        <f t="shared" si="2"/>
        <v>War On Everyone</v>
      </c>
      <c r="S8699" s="5" t="str">
        <f>IFERROR(__xludf.DUMMYFUNCTION("""COMPUTED_VALUE"""),"Yanxi Palace: Princess Adventures")</f>
        <v>Yanxi Palace: Princess Adventures</v>
      </c>
      <c r="V8699" s="5"/>
      <c r="Y8699" s="5" t="str">
        <f>IFERROR(__xludf.DUMMYFUNCTION("REGEXEXTRACT(J8699, ""^\d+"")"),"98")</f>
        <v>98</v>
      </c>
      <c r="Z8699" s="5" t="str">
        <f>IFERROR(__xludf.DUMMYFUNCTION("REGEXEXTRACT(J8699, ""[A-Za-z ]+$"")")," min")</f>
        <v> min</v>
      </c>
      <c r="AA8699" s="5" t="str">
        <f>IFERROR(__xludf.DUMMYFUNCTION("IF(REGEXMATCH(Z8699, ""Season""), ""TV Show"", ""Movie"")"),"Movie")</f>
        <v>Movie</v>
      </c>
    </row>
    <row r="8700">
      <c r="A8700" s="1" t="s">
        <v>41426</v>
      </c>
      <c r="B8700" s="1" t="s">
        <v>27</v>
      </c>
      <c r="C8700" s="1" t="s">
        <v>41427</v>
      </c>
      <c r="D8700" s="1" t="s">
        <v>8859</v>
      </c>
      <c r="E8700" s="1" t="s">
        <v>41428</v>
      </c>
      <c r="F8700" s="1" t="s">
        <v>3309</v>
      </c>
      <c r="G8700" s="1" t="s">
        <v>30396</v>
      </c>
      <c r="H8700" s="1">
        <v>2014.0</v>
      </c>
      <c r="I8700" s="1" t="s">
        <v>97</v>
      </c>
      <c r="J8700" s="1" t="s">
        <v>5120</v>
      </c>
      <c r="K8700" s="1" t="s">
        <v>1972</v>
      </c>
      <c r="L8700" s="1" t="s">
        <v>41429</v>
      </c>
      <c r="M8700" s="2" t="s">
        <v>12</v>
      </c>
      <c r="N8700" s="4">
        <f t="shared" si="1"/>
        <v>43573</v>
      </c>
      <c r="O8700" s="5" t="str">
        <f>IFERROR(__xludf.DUMMYFUNCTION("IF(REGEXMATCH(TRIM(I8700), ""^\d+\s*min""), ""Unclassified"", IF(I8700 = """", ""NR"", I8700))"),"TV-14")</f>
        <v>TV-14</v>
      </c>
      <c r="R8700" s="5" t="str">
        <f t="shared" si="2"/>
        <v>Warda</v>
      </c>
      <c r="S8700" s="5" t="str">
        <f>IFERROR(__xludf.DUMMYFUNCTION("""COMPUTED_VALUE"""),"Yasuke")</f>
        <v>Yasuke</v>
      </c>
      <c r="V8700" s="5"/>
      <c r="Y8700" s="5" t="str">
        <f>IFERROR(__xludf.DUMMYFUNCTION("REGEXEXTRACT(J8700, ""^\d+"")"),"73")</f>
        <v>73</v>
      </c>
      <c r="Z8700" s="5" t="str">
        <f>IFERROR(__xludf.DUMMYFUNCTION("REGEXEXTRACT(J8700, ""[A-Za-z ]+$"")")," min")</f>
        <v> min</v>
      </c>
      <c r="AA8700" s="5" t="str">
        <f>IFERROR(__xludf.DUMMYFUNCTION("IF(REGEXMATCH(Z8700, ""Season""), ""TV Show"", ""Movie"")"),"Movie")</f>
        <v>Movie</v>
      </c>
    </row>
    <row r="8701">
      <c r="A8701" s="1" t="s">
        <v>41430</v>
      </c>
      <c r="B8701" s="1" t="s">
        <v>27</v>
      </c>
      <c r="C8701" s="1" t="s">
        <v>41431</v>
      </c>
      <c r="D8701" s="1" t="s">
        <v>9867</v>
      </c>
      <c r="E8701" s="1" t="s">
        <v>41432</v>
      </c>
      <c r="F8701" s="1" t="s">
        <v>162</v>
      </c>
      <c r="G8701" s="1" t="s">
        <v>26883</v>
      </c>
      <c r="H8701" s="1">
        <v>2015.0</v>
      </c>
      <c r="I8701" s="1" t="s">
        <v>97</v>
      </c>
      <c r="J8701" s="1" t="s">
        <v>665</v>
      </c>
      <c r="K8701" s="1" t="s">
        <v>583</v>
      </c>
      <c r="L8701" s="1" t="s">
        <v>41433</v>
      </c>
      <c r="M8701" s="2" t="s">
        <v>12</v>
      </c>
      <c r="N8701" s="4">
        <f t="shared" si="1"/>
        <v>43040</v>
      </c>
      <c r="O8701" s="5" t="str">
        <f>IFERROR(__xludf.DUMMYFUNCTION("IF(REGEXMATCH(TRIM(I8701), ""^\d+\s*min""), ""Unclassified"", IF(I8701 = """", ""NR"", I8701))"),"TV-14")</f>
        <v>TV-14</v>
      </c>
      <c r="R8701" s="5" t="str">
        <f t="shared" si="2"/>
        <v>Warehoused</v>
      </c>
      <c r="S8701" s="5" t="str">
        <f>IFERROR(__xludf.DUMMYFUNCTION("""COMPUTED_VALUE"""),"Yeh Ballet")</f>
        <v>Yeh Ballet</v>
      </c>
      <c r="V8701" s="5"/>
      <c r="Y8701" s="5" t="str">
        <f>IFERROR(__xludf.DUMMYFUNCTION("REGEXEXTRACT(J8701, ""^\d+"")"),"92")</f>
        <v>92</v>
      </c>
      <c r="Z8701" s="5" t="str">
        <f>IFERROR(__xludf.DUMMYFUNCTION("REGEXEXTRACT(J8701, ""[A-Za-z ]+$"")")," min")</f>
        <v> min</v>
      </c>
      <c r="AA8701" s="5" t="str">
        <f>IFERROR(__xludf.DUMMYFUNCTION("IF(REGEXMATCH(Z8701, ""Season""), ""TV Show"", ""Movie"")"),"Movie")</f>
        <v>Movie</v>
      </c>
    </row>
    <row r="8702">
      <c r="A8702" s="1" t="s">
        <v>41434</v>
      </c>
      <c r="B8702" s="1" t="s">
        <v>37</v>
      </c>
      <c r="C8702" s="1" t="s">
        <v>41435</v>
      </c>
      <c r="F8702" s="1" t="s">
        <v>2446</v>
      </c>
      <c r="G8702" s="1" t="s">
        <v>29473</v>
      </c>
      <c r="H8702" s="1">
        <v>2014.0</v>
      </c>
      <c r="I8702" s="1" t="s">
        <v>42</v>
      </c>
      <c r="J8702" s="1" t="s">
        <v>51</v>
      </c>
      <c r="K8702" s="1" t="s">
        <v>507</v>
      </c>
      <c r="L8702" s="1" t="s">
        <v>41436</v>
      </c>
      <c r="M8702" s="2" t="s">
        <v>12</v>
      </c>
      <c r="N8702" s="4">
        <f t="shared" si="1"/>
        <v>42628</v>
      </c>
      <c r="O8702" s="5" t="str">
        <f>IFERROR(__xludf.DUMMYFUNCTION("IF(REGEXMATCH(TRIM(I8702), ""^\d+\s*min""), ""Unclassified"", IF(I8702 = """", ""NR"", I8702))"),"TV-MA")</f>
        <v>TV-MA</v>
      </c>
      <c r="R8702" s="5" t="str">
        <f t="shared" si="2"/>
        <v>Wartime Portraits</v>
      </c>
      <c r="S8702" s="5" t="str">
        <f>IFERROR(__xludf.DUMMYFUNCTION("""COMPUTED_VALUE"""),"Yeh Hai Bakrapur")</f>
        <v>Yeh Hai Bakrapur</v>
      </c>
      <c r="V8702" s="5"/>
      <c r="Y8702" s="5" t="str">
        <f>IFERROR(__xludf.DUMMYFUNCTION("REGEXEXTRACT(J8702, ""^\d+"")"),"1")</f>
        <v>1</v>
      </c>
      <c r="Z8702" s="5" t="str">
        <f>IFERROR(__xludf.DUMMYFUNCTION("REGEXEXTRACT(J8702, ""[A-Za-z ]+$"")")," Season")</f>
        <v> Season</v>
      </c>
      <c r="AA8702" s="5" t="str">
        <f>IFERROR(__xludf.DUMMYFUNCTION("IF(REGEXMATCH(Z8702, ""Season""), ""TV Show"", ""Movie"")"),"TV Show")</f>
        <v>TV Show</v>
      </c>
    </row>
    <row r="8703">
      <c r="A8703" s="1" t="s">
        <v>41437</v>
      </c>
      <c r="B8703" s="1" t="s">
        <v>27</v>
      </c>
      <c r="C8703" s="1" t="s">
        <v>41438</v>
      </c>
      <c r="D8703" s="1" t="s">
        <v>14755</v>
      </c>
      <c r="F8703" s="1" t="s">
        <v>30</v>
      </c>
      <c r="G8703" s="1" t="s">
        <v>26295</v>
      </c>
      <c r="H8703" s="1">
        <v>2017.0</v>
      </c>
      <c r="I8703" s="1" t="s">
        <v>78</v>
      </c>
      <c r="J8703" s="1" t="s">
        <v>1737</v>
      </c>
      <c r="K8703" s="1" t="s">
        <v>34</v>
      </c>
      <c r="L8703" s="1" t="s">
        <v>41439</v>
      </c>
      <c r="M8703" s="2" t="s">
        <v>12</v>
      </c>
      <c r="N8703" s="4">
        <f t="shared" si="1"/>
        <v>43132</v>
      </c>
      <c r="O8703" s="5" t="str">
        <f>IFERROR(__xludf.DUMMYFUNCTION("IF(REGEXMATCH(TRIM(I8703), ""^\d+\s*min""), ""Unclassified"", IF(I8703 = """", ""NR"", I8703))"),"PG")</f>
        <v>PG</v>
      </c>
      <c r="R8703" s="5" t="str">
        <f t="shared" si="2"/>
        <v>Water &amp; Power: A California Heist</v>
      </c>
      <c r="S8703" s="5" t="str">
        <f>IFERROR(__xludf.DUMMYFUNCTION("""COMPUTED_VALUE"""),"Yeh Meri Family")</f>
        <v>Yeh Meri Family</v>
      </c>
      <c r="V8703" s="5"/>
      <c r="Y8703" s="5" t="str">
        <f>IFERROR(__xludf.DUMMYFUNCTION("REGEXEXTRACT(J8703, ""^\d+"")"),"78")</f>
        <v>78</v>
      </c>
      <c r="Z8703" s="5" t="str">
        <f>IFERROR(__xludf.DUMMYFUNCTION("REGEXEXTRACT(J8703, ""[A-Za-z ]+$"")")," min")</f>
        <v> min</v>
      </c>
      <c r="AA8703" s="5" t="str">
        <f>IFERROR(__xludf.DUMMYFUNCTION("IF(REGEXMATCH(Z8703, ""Season""), ""TV Show"", ""Movie"")"),"Movie")</f>
        <v>Movie</v>
      </c>
    </row>
    <row r="8704">
      <c r="A8704" s="1" t="s">
        <v>41440</v>
      </c>
      <c r="B8704" s="1" t="s">
        <v>27</v>
      </c>
      <c r="C8704" s="1" t="s">
        <v>41441</v>
      </c>
      <c r="D8704" s="1" t="s">
        <v>22482</v>
      </c>
      <c r="F8704" s="1" t="s">
        <v>41442</v>
      </c>
      <c r="G8704" s="1" t="s">
        <v>25035</v>
      </c>
      <c r="H8704" s="1">
        <v>2018.0</v>
      </c>
      <c r="I8704" s="1" t="s">
        <v>506</v>
      </c>
      <c r="J8704" s="1" t="s">
        <v>2626</v>
      </c>
      <c r="K8704" s="1" t="s">
        <v>34</v>
      </c>
      <c r="L8704" s="1" t="s">
        <v>41443</v>
      </c>
      <c r="M8704" s="2" t="s">
        <v>12</v>
      </c>
      <c r="N8704" s="4">
        <f t="shared" si="1"/>
        <v>43306</v>
      </c>
      <c r="O8704" s="5" t="str">
        <f>IFERROR(__xludf.DUMMYFUNCTION("IF(REGEXMATCH(TRIM(I8704), ""^\d+\s*min""), ""Unclassified"", IF(I8704 = """", ""NR"", I8704))"),"TV-G")</f>
        <v>TV-G</v>
      </c>
      <c r="R8704" s="5" t="str">
        <f t="shared" si="2"/>
        <v>Waterschool</v>
      </c>
      <c r="S8704" s="5" t="str">
        <f>IFERROR(__xludf.DUMMYFUNCTION("""COMPUTED_VALUE"""),"Yellowbird")</f>
        <v>Yellowbird</v>
      </c>
      <c r="V8704" s="5"/>
      <c r="Y8704" s="5" t="str">
        <f>IFERROR(__xludf.DUMMYFUNCTION("REGEXEXTRACT(J8704, ""^\d+"")"),"68")</f>
        <v>68</v>
      </c>
      <c r="Z8704" s="5" t="str">
        <f>IFERROR(__xludf.DUMMYFUNCTION("REGEXEXTRACT(J8704, ""[A-Za-z ]+$"")")," min")</f>
        <v> min</v>
      </c>
      <c r="AA8704" s="5" t="str">
        <f>IFERROR(__xludf.DUMMYFUNCTION("IF(REGEXMATCH(Z8704, ""Season""), ""TV Show"", ""Movie"")"),"Movie")</f>
        <v>Movie</v>
      </c>
    </row>
    <row r="8705">
      <c r="A8705" s="1" t="s">
        <v>41444</v>
      </c>
      <c r="B8705" s="1" t="s">
        <v>27</v>
      </c>
      <c r="C8705" s="1" t="s">
        <v>41445</v>
      </c>
      <c r="D8705" s="1" t="s">
        <v>15371</v>
      </c>
      <c r="E8705" s="1" t="s">
        <v>41446</v>
      </c>
      <c r="F8705" s="1" t="s">
        <v>16771</v>
      </c>
      <c r="G8705" s="1" t="s">
        <v>16603</v>
      </c>
      <c r="H8705" s="1">
        <v>2015.0</v>
      </c>
      <c r="I8705" s="1" t="s">
        <v>378</v>
      </c>
      <c r="J8705" s="1" t="s">
        <v>322</v>
      </c>
      <c r="K8705" s="1" t="s">
        <v>15369</v>
      </c>
      <c r="L8705" s="1" t="s">
        <v>41447</v>
      </c>
      <c r="M8705" s="2" t="s">
        <v>12</v>
      </c>
      <c r="N8705" s="4">
        <f t="shared" si="1"/>
        <v>43857</v>
      </c>
      <c r="O8705" s="5" t="str">
        <f>IFERROR(__xludf.DUMMYFUNCTION("IF(REGEXMATCH(TRIM(I8705), ""^\d+\s*min""), ""Unclassified"", IF(I8705 = """", ""NR"", I8705))"),"R")</f>
        <v>R</v>
      </c>
      <c r="R8705" s="5" t="str">
        <f t="shared" si="2"/>
        <v>We Are Your Friends</v>
      </c>
      <c r="S8705" s="5" t="str">
        <f>IFERROR(__xludf.DUMMYFUNCTION("""COMPUTED_VALUE"""),"Yes Day")</f>
        <v>Yes Day</v>
      </c>
      <c r="V8705" s="5"/>
      <c r="Y8705" s="5" t="str">
        <f>IFERROR(__xludf.DUMMYFUNCTION("REGEXEXTRACT(J8705, ""^\d+"")"),"96")</f>
        <v>96</v>
      </c>
      <c r="Z8705" s="5" t="str">
        <f>IFERROR(__xludf.DUMMYFUNCTION("REGEXEXTRACT(J8705, ""[A-Za-z ]+$"")")," min")</f>
        <v> min</v>
      </c>
      <c r="AA8705" s="5" t="str">
        <f>IFERROR(__xludf.DUMMYFUNCTION("IF(REGEXMATCH(Z8705, ""Season""), ""TV Show"", ""Movie"")"),"Movie")</f>
        <v>Movie</v>
      </c>
    </row>
    <row r="8706">
      <c r="A8706" s="1" t="s">
        <v>41448</v>
      </c>
      <c r="B8706" s="1" t="s">
        <v>27</v>
      </c>
      <c r="C8706" s="1" t="s">
        <v>41449</v>
      </c>
      <c r="D8706" s="1" t="s">
        <v>4821</v>
      </c>
      <c r="E8706" s="1" t="s">
        <v>41450</v>
      </c>
      <c r="F8706" s="1" t="s">
        <v>30</v>
      </c>
      <c r="G8706" s="1" t="s">
        <v>19961</v>
      </c>
      <c r="H8706" s="1">
        <v>2018.0</v>
      </c>
      <c r="I8706" s="1" t="s">
        <v>97</v>
      </c>
      <c r="J8706" s="1" t="s">
        <v>490</v>
      </c>
      <c r="K8706" s="1" t="s">
        <v>171</v>
      </c>
      <c r="L8706" s="1" t="s">
        <v>41451</v>
      </c>
      <c r="M8706" s="2" t="s">
        <v>12</v>
      </c>
      <c r="N8706" s="4">
        <f t="shared" si="1"/>
        <v>43662</v>
      </c>
      <c r="O8706" s="5" t="str">
        <f>IFERROR(__xludf.DUMMYFUNCTION("IF(REGEXMATCH(TRIM(I8706), ""^\d+\s*min""), ""Unclassified"", IF(I8706 = """", ""NR"", I8706))"),"TV-14")</f>
        <v>TV-14</v>
      </c>
      <c r="R8706" s="5" t="str">
        <f t="shared" si="2"/>
        <v>We Belong Together</v>
      </c>
      <c r="S8706" s="5" t="str">
        <f>IFERROR(__xludf.DUMMYFUNCTION("""COMPUTED_VALUE"""),"Yes Man")</f>
        <v>Yes Man</v>
      </c>
      <c r="V8706" s="5"/>
      <c r="Y8706" s="5" t="str">
        <f>IFERROR(__xludf.DUMMYFUNCTION("REGEXEXTRACT(J8706, ""^\d+"")"),"83")</f>
        <v>83</v>
      </c>
      <c r="Z8706" s="5" t="str">
        <f>IFERROR(__xludf.DUMMYFUNCTION("REGEXEXTRACT(J8706, ""[A-Za-z ]+$"")")," min")</f>
        <v> min</v>
      </c>
      <c r="AA8706" s="5" t="str">
        <f>IFERROR(__xludf.DUMMYFUNCTION("IF(REGEXMATCH(Z8706, ""Season""), ""TV Show"", ""Movie"")"),"Movie")</f>
        <v>Movie</v>
      </c>
    </row>
    <row r="8707">
      <c r="A8707" s="1" t="s">
        <v>41452</v>
      </c>
      <c r="B8707" s="1" t="s">
        <v>27</v>
      </c>
      <c r="C8707" s="1" t="s">
        <v>41453</v>
      </c>
      <c r="D8707" s="1" t="s">
        <v>6130</v>
      </c>
      <c r="E8707" s="1" t="s">
        <v>41454</v>
      </c>
      <c r="F8707" s="1" t="s">
        <v>784</v>
      </c>
      <c r="G8707" s="1" t="s">
        <v>29495</v>
      </c>
      <c r="H8707" s="1">
        <v>2016.0</v>
      </c>
      <c r="I8707" s="1" t="s">
        <v>42</v>
      </c>
      <c r="J8707" s="1" t="s">
        <v>79</v>
      </c>
      <c r="K8707" s="1" t="s">
        <v>215</v>
      </c>
      <c r="L8707" s="1" t="s">
        <v>41455</v>
      </c>
      <c r="M8707" s="2" t="s">
        <v>12</v>
      </c>
      <c r="N8707" s="4">
        <f t="shared" si="1"/>
        <v>42614</v>
      </c>
      <c r="O8707" s="5" t="str">
        <f>IFERROR(__xludf.DUMMYFUNCTION("IF(REGEXMATCH(TRIM(I8707), ""^\d+\s*min""), ""Unclassified"", IF(I8707 = """", ""NR"", I8707))"),"TV-MA")</f>
        <v>TV-MA</v>
      </c>
      <c r="R8707" s="5" t="str">
        <f t="shared" si="2"/>
        <v>We Need To Talk</v>
      </c>
      <c r="S8707" s="5" t="str">
        <f>IFERROR(__xludf.DUMMYFUNCTION("""COMPUTED_VALUE"""),"Yes Or No")</f>
        <v>Yes Or No</v>
      </c>
      <c r="V8707" s="5"/>
      <c r="Y8707" s="5" t="str">
        <f>IFERROR(__xludf.DUMMYFUNCTION("REGEXEXTRACT(J8707, ""^\d+"")"),"91")</f>
        <v>91</v>
      </c>
      <c r="Z8707" s="5" t="str">
        <f>IFERROR(__xludf.DUMMYFUNCTION("REGEXEXTRACT(J8707, ""[A-Za-z ]+$"")")," min")</f>
        <v> min</v>
      </c>
      <c r="AA8707" s="5" t="str">
        <f>IFERROR(__xludf.DUMMYFUNCTION("IF(REGEXMATCH(Z8707, ""Season""), ""TV Show"", ""Movie"")"),"Movie")</f>
        <v>Movie</v>
      </c>
    </row>
    <row r="8708">
      <c r="A8708" s="1" t="s">
        <v>41456</v>
      </c>
      <c r="B8708" s="1" t="s">
        <v>27</v>
      </c>
      <c r="C8708" s="1" t="s">
        <v>41457</v>
      </c>
      <c r="D8708" s="1" t="s">
        <v>10793</v>
      </c>
      <c r="E8708" s="1" t="s">
        <v>41458</v>
      </c>
      <c r="F8708" s="1" t="s">
        <v>30</v>
      </c>
      <c r="G8708" s="1" t="s">
        <v>41459</v>
      </c>
      <c r="H8708" s="1">
        <v>2018.0</v>
      </c>
      <c r="I8708" s="1" t="s">
        <v>378</v>
      </c>
      <c r="J8708" s="1" t="s">
        <v>454</v>
      </c>
      <c r="K8708" s="1" t="s">
        <v>1320</v>
      </c>
      <c r="L8708" s="1" t="s">
        <v>41460</v>
      </c>
      <c r="M8708" s="2" t="s">
        <v>12</v>
      </c>
      <c r="N8708" s="4">
        <f t="shared" si="1"/>
        <v>43507</v>
      </c>
      <c r="O8708" s="5" t="str">
        <f>IFERROR(__xludf.DUMMYFUNCTION("IF(REGEXMATCH(TRIM(I8708), ""^\d+\s*min""), ""Unclassified"", IF(I8708 = """", ""NR"", I8708))"),"R")</f>
        <v>R</v>
      </c>
      <c r="R8708" s="5" t="str">
        <f t="shared" si="2"/>
        <v>We The Animals</v>
      </c>
      <c r="S8708" s="5" t="str">
        <f>IFERROR(__xludf.DUMMYFUNCTION("""COMPUTED_VALUE"""),"Yes Or No 2")</f>
        <v>Yes Or No 2</v>
      </c>
      <c r="V8708" s="5"/>
      <c r="Y8708" s="5" t="str">
        <f>IFERROR(__xludf.DUMMYFUNCTION("REGEXEXTRACT(J8708, ""^\d+"")"),"93")</f>
        <v>93</v>
      </c>
      <c r="Z8708" s="5" t="str">
        <f>IFERROR(__xludf.DUMMYFUNCTION("REGEXEXTRACT(J8708, ""[A-Za-z ]+$"")")," min")</f>
        <v> min</v>
      </c>
      <c r="AA8708" s="5" t="str">
        <f>IFERROR(__xludf.DUMMYFUNCTION("IF(REGEXMATCH(Z8708, ""Season""), ""TV Show"", ""Movie"")"),"Movie")</f>
        <v>Movie</v>
      </c>
    </row>
    <row r="8709">
      <c r="A8709" s="1" t="s">
        <v>41461</v>
      </c>
      <c r="B8709" s="1" t="s">
        <v>27</v>
      </c>
      <c r="C8709" s="1" t="s">
        <v>41462</v>
      </c>
      <c r="D8709" s="1" t="s">
        <v>33046</v>
      </c>
      <c r="F8709" s="1" t="s">
        <v>30</v>
      </c>
      <c r="G8709" s="1" t="s">
        <v>25185</v>
      </c>
      <c r="H8709" s="1">
        <v>2017.0</v>
      </c>
      <c r="I8709" s="1" t="s">
        <v>136</v>
      </c>
      <c r="J8709" s="1" t="s">
        <v>3123</v>
      </c>
      <c r="K8709" s="1" t="s">
        <v>156</v>
      </c>
      <c r="L8709" s="1" t="s">
        <v>41463</v>
      </c>
      <c r="M8709" s="2" t="s">
        <v>12</v>
      </c>
      <c r="N8709" s="4">
        <f t="shared" si="1"/>
        <v>43282</v>
      </c>
      <c r="O8709" s="5" t="str">
        <f>IFERROR(__xludf.DUMMYFUNCTION("IF(REGEXMATCH(TRIM(I8709), ""^\d+\s*min""), ""Unclassified"", IF(I8709 = """", ""NR"", I8709))"),"TV-PG")</f>
        <v>TV-PG</v>
      </c>
      <c r="R8709" s="5" t="str">
        <f t="shared" si="2"/>
        <v>We, The Marines</v>
      </c>
      <c r="S8709" s="5" t="str">
        <f>IFERROR(__xludf.DUMMYFUNCTION("""COMPUTED_VALUE"""),"Yes Or No 2.5")</f>
        <v>Yes Or No 2.5</v>
      </c>
      <c r="V8709" s="5"/>
      <c r="Y8709" s="5" t="str">
        <f>IFERROR(__xludf.DUMMYFUNCTION("REGEXEXTRACT(J8709, ""^\d+"")"),"38")</f>
        <v>38</v>
      </c>
      <c r="Z8709" s="5" t="str">
        <f>IFERROR(__xludf.DUMMYFUNCTION("REGEXEXTRACT(J8709, ""[A-Za-z ]+$"")")," min")</f>
        <v> min</v>
      </c>
      <c r="AA8709" s="5" t="str">
        <f>IFERROR(__xludf.DUMMYFUNCTION("IF(REGEXMATCH(Z8709, ""Season""), ""TV Show"", ""Movie"")"),"Movie")</f>
        <v>Movie</v>
      </c>
    </row>
    <row r="8710">
      <c r="A8710" s="1" t="s">
        <v>41464</v>
      </c>
      <c r="B8710" s="1" t="s">
        <v>27</v>
      </c>
      <c r="C8710" s="1" t="s">
        <v>41465</v>
      </c>
      <c r="D8710" s="1" t="s">
        <v>952</v>
      </c>
      <c r="E8710" s="1" t="s">
        <v>41466</v>
      </c>
      <c r="F8710" s="1" t="s">
        <v>15085</v>
      </c>
      <c r="G8710" s="1" t="s">
        <v>27472</v>
      </c>
      <c r="H8710" s="1">
        <v>2015.0</v>
      </c>
      <c r="I8710" s="1" t="s">
        <v>42</v>
      </c>
      <c r="J8710" s="1" t="s">
        <v>170</v>
      </c>
      <c r="K8710" s="1" t="s">
        <v>836</v>
      </c>
      <c r="L8710" s="1" t="s">
        <v>41467</v>
      </c>
      <c r="M8710" s="2" t="s">
        <v>12</v>
      </c>
      <c r="N8710" s="4">
        <f t="shared" si="1"/>
        <v>42962</v>
      </c>
      <c r="O8710" s="5" t="str">
        <f>IFERROR(__xludf.DUMMYFUNCTION("IF(REGEXMATCH(TRIM(I8710), ""^\d+\s*min""), ""Unclassified"", IF(I8710 = """", ""NR"", I8710))"),"TV-MA")</f>
        <v>TV-MA</v>
      </c>
      <c r="R8710" s="5" t="str">
        <f t="shared" si="2"/>
        <v>We'Re No Animals</v>
      </c>
      <c r="S8710" s="5" t="str">
        <f>IFERROR(__xludf.DUMMYFUNCTION("""COMPUTED_VALUE"""),"Yes We Can!")</f>
        <v>Yes We Can!</v>
      </c>
      <c r="V8710" s="5"/>
      <c r="Y8710" s="5" t="str">
        <f>IFERROR(__xludf.DUMMYFUNCTION("REGEXEXTRACT(J8710, ""^\d+"")"),"94")</f>
        <v>94</v>
      </c>
      <c r="Z8710" s="5" t="str">
        <f>IFERROR(__xludf.DUMMYFUNCTION("REGEXEXTRACT(J8710, ""[A-Za-z ]+$"")")," min")</f>
        <v> min</v>
      </c>
      <c r="AA8710" s="5" t="str">
        <f>IFERROR(__xludf.DUMMYFUNCTION("IF(REGEXMATCH(Z8710, ""Season""), ""TV Show"", ""Movie"")"),"Movie")</f>
        <v>Movie</v>
      </c>
    </row>
    <row r="8711">
      <c r="A8711" s="1" t="s">
        <v>41468</v>
      </c>
      <c r="B8711" s="1" t="s">
        <v>27</v>
      </c>
      <c r="C8711" s="1" t="s">
        <v>41469</v>
      </c>
      <c r="D8711" s="1" t="s">
        <v>2340</v>
      </c>
      <c r="E8711" s="1" t="s">
        <v>41470</v>
      </c>
      <c r="F8711" s="1" t="s">
        <v>2446</v>
      </c>
      <c r="G8711" s="1" t="s">
        <v>18985</v>
      </c>
      <c r="H8711" s="1">
        <v>1983.0</v>
      </c>
      <c r="I8711" s="1" t="s">
        <v>42</v>
      </c>
      <c r="J8711" s="1" t="s">
        <v>79</v>
      </c>
      <c r="K8711" s="1" t="s">
        <v>128</v>
      </c>
      <c r="L8711" s="1" t="s">
        <v>41471</v>
      </c>
      <c r="M8711" s="2" t="s">
        <v>12</v>
      </c>
      <c r="N8711" s="4">
        <f t="shared" si="1"/>
        <v>43739</v>
      </c>
      <c r="O8711" s="5" t="str">
        <f>IFERROR(__xludf.DUMMYFUNCTION("IF(REGEXMATCH(TRIM(I8711), ""^\d+\s*min""), ""Unclassified"", IF(I8711 = """", ""NR"", I8711))"),"TV-MA")</f>
        <v>TV-MA</v>
      </c>
      <c r="R8711" s="5" t="str">
        <f t="shared" si="2"/>
        <v>Weather Forecast</v>
      </c>
      <c r="S8711" s="5" t="str">
        <f>IFERROR(__xludf.DUMMYFUNCTION("""COMPUTED_VALUE"""),"Yes, God, Yes")</f>
        <v>Yes, God, Yes</v>
      </c>
      <c r="V8711" s="5"/>
      <c r="Y8711" s="5" t="str">
        <f>IFERROR(__xludf.DUMMYFUNCTION("REGEXEXTRACT(J8711, ""^\d+"")"),"91")</f>
        <v>91</v>
      </c>
      <c r="Z8711" s="5" t="str">
        <f>IFERROR(__xludf.DUMMYFUNCTION("REGEXEXTRACT(J8711, ""[A-Za-z ]+$"")")," min")</f>
        <v> min</v>
      </c>
      <c r="AA8711" s="5" t="str">
        <f>IFERROR(__xludf.DUMMYFUNCTION("IF(REGEXMATCH(Z8711, ""Season""), ""TV Show"", ""Movie"")"),"Movie")</f>
        <v>Movie</v>
      </c>
    </row>
    <row r="8712">
      <c r="A8712" s="1" t="s">
        <v>41472</v>
      </c>
      <c r="B8712" s="1" t="s">
        <v>37</v>
      </c>
      <c r="C8712" s="1" t="s">
        <v>41473</v>
      </c>
      <c r="E8712" s="1" t="s">
        <v>41474</v>
      </c>
      <c r="F8712" s="1" t="s">
        <v>30</v>
      </c>
      <c r="G8712" s="1" t="s">
        <v>41475</v>
      </c>
      <c r="H8712" s="1">
        <v>2012.0</v>
      </c>
      <c r="I8712" s="1" t="s">
        <v>42</v>
      </c>
      <c r="J8712" s="1" t="s">
        <v>3285</v>
      </c>
      <c r="K8712" s="1" t="s">
        <v>149</v>
      </c>
      <c r="L8712" s="1" t="s">
        <v>41476</v>
      </c>
      <c r="M8712" s="2" t="s">
        <v>12</v>
      </c>
      <c r="N8712" s="4">
        <f t="shared" si="1"/>
        <v>41730</v>
      </c>
      <c r="O8712" s="5" t="str">
        <f>IFERROR(__xludf.DUMMYFUNCTION("IF(REGEXMATCH(TRIM(I8712), ""^\d+\s*min""), ""Unclassified"", IF(I8712 = """", ""NR"", I8712))"),"TV-MA")</f>
        <v>TV-MA</v>
      </c>
      <c r="R8712" s="5" t="str">
        <f t="shared" si="2"/>
        <v>Weeds</v>
      </c>
      <c r="S8712" s="5" t="str">
        <f>IFERROR(__xludf.DUMMYFUNCTION("""COMPUTED_VALUE"""),"Yg Future Strategy Office")</f>
        <v>Yg Future Strategy Office</v>
      </c>
      <c r="V8712" s="5"/>
      <c r="Y8712" s="5" t="str">
        <f>IFERROR(__xludf.DUMMYFUNCTION("REGEXEXTRACT(J8712, ""^\d+"")"),"8")</f>
        <v>8</v>
      </c>
      <c r="Z8712" s="5" t="str">
        <f>IFERROR(__xludf.DUMMYFUNCTION("REGEXEXTRACT(J8712, ""[A-Za-z ]+$"")")," Seasons")</f>
        <v> Seasons</v>
      </c>
      <c r="AA8712" s="5" t="str">
        <f>IFERROR(__xludf.DUMMYFUNCTION("IF(REGEXMATCH(Z8712, ""Season""), ""TV Show"", ""Movie"")"),"TV Show")</f>
        <v>TV Show</v>
      </c>
    </row>
    <row r="8713">
      <c r="A8713" s="1" t="s">
        <v>41477</v>
      </c>
      <c r="B8713" s="1" t="s">
        <v>27</v>
      </c>
      <c r="C8713" s="1" t="s">
        <v>41478</v>
      </c>
      <c r="D8713" s="1" t="s">
        <v>4560</v>
      </c>
      <c r="E8713" s="1" t="s">
        <v>41479</v>
      </c>
      <c r="F8713" s="1" t="s">
        <v>1119</v>
      </c>
      <c r="G8713" s="1" t="s">
        <v>41480</v>
      </c>
      <c r="H8713" s="1">
        <v>2016.0</v>
      </c>
      <c r="I8713" s="1" t="s">
        <v>42</v>
      </c>
      <c r="J8713" s="1" t="s">
        <v>465</v>
      </c>
      <c r="K8713" s="1" t="s">
        <v>89</v>
      </c>
      <c r="L8713" s="1" t="s">
        <v>41481</v>
      </c>
      <c r="M8713" s="2" t="s">
        <v>12</v>
      </c>
      <c r="N8713" s="4">
        <f t="shared" si="1"/>
        <v>43370</v>
      </c>
      <c r="O8713" s="5" t="str">
        <f>IFERROR(__xludf.DUMMYFUNCTION("IF(REGEXMATCH(TRIM(I8713), ""^\d+\s*min""), ""Unclassified"", IF(I8713 = """", ""NR"", I8713))"),"TV-MA")</f>
        <v>TV-MA</v>
      </c>
      <c r="R8713" s="5" t="str">
        <f t="shared" si="2"/>
        <v>Weeds On Fire</v>
      </c>
      <c r="S8713" s="5" t="str">
        <f>IFERROR(__xludf.DUMMYFUNCTION("""COMPUTED_VALUE"""),"Yo-Kai Watch")</f>
        <v>Yo-Kai Watch</v>
      </c>
      <c r="V8713" s="5"/>
      <c r="Y8713" s="5" t="str">
        <f>IFERROR(__xludf.DUMMYFUNCTION("REGEXEXTRACT(J8713, ""^\d+"")"),"95")</f>
        <v>95</v>
      </c>
      <c r="Z8713" s="5" t="str">
        <f>IFERROR(__xludf.DUMMYFUNCTION("REGEXEXTRACT(J8713, ""[A-Za-z ]+$"")")," min")</f>
        <v> min</v>
      </c>
      <c r="AA8713" s="5" t="str">
        <f>IFERROR(__xludf.DUMMYFUNCTION("IF(REGEXMATCH(Z8713, ""Season""), ""TV Show"", ""Movie"")"),"Movie")</f>
        <v>Movie</v>
      </c>
    </row>
    <row r="8714">
      <c r="A8714" s="1" t="s">
        <v>41482</v>
      </c>
      <c r="B8714" s="1" t="s">
        <v>37</v>
      </c>
      <c r="C8714" s="1" t="s">
        <v>41483</v>
      </c>
      <c r="E8714" s="1" t="s">
        <v>36854</v>
      </c>
      <c r="F8714" s="1" t="s">
        <v>96</v>
      </c>
      <c r="G8714" s="1" t="s">
        <v>41484</v>
      </c>
      <c r="H8714" s="1">
        <v>2016.0</v>
      </c>
      <c r="I8714" s="1" t="s">
        <v>136</v>
      </c>
      <c r="J8714" s="1" t="s">
        <v>43</v>
      </c>
      <c r="K8714" s="1" t="s">
        <v>29581</v>
      </c>
      <c r="L8714" s="1" t="s">
        <v>41485</v>
      </c>
      <c r="M8714" s="2" t="s">
        <v>12</v>
      </c>
      <c r="N8714" s="1" t="str">
        <f t="shared" si="1"/>
        <v>#N/A</v>
      </c>
      <c r="O8714" s="5" t="str">
        <f>IFERROR(__xludf.DUMMYFUNCTION("IF(REGEXMATCH(TRIM(I8714), ""^\d+\s*min""), ""Unclassified"", IF(I8714 = """", ""NR"", I8714))"),"TV-PG")</f>
        <v>TV-PG</v>
      </c>
      <c r="R8714" s="5" t="str">
        <f t="shared" si="2"/>
        <v>Weird Wonders Of The World</v>
      </c>
      <c r="S8714" s="5" t="str">
        <f>IFERROR(__xludf.DUMMYFUNCTION("""COMPUTED_VALUE"""),"Yo-Kai Watch: The Movie")</f>
        <v>Yo-Kai Watch: The Movie</v>
      </c>
      <c r="V8714" s="5"/>
      <c r="Y8714" s="5" t="str">
        <f>IFERROR(__xludf.DUMMYFUNCTION("REGEXEXTRACT(J8714, ""^\d+"")"),"2")</f>
        <v>2</v>
      </c>
      <c r="Z8714" s="5" t="str">
        <f>IFERROR(__xludf.DUMMYFUNCTION("REGEXEXTRACT(J8714, ""[A-Za-z ]+$"")")," Seasons")</f>
        <v> Seasons</v>
      </c>
      <c r="AA8714" s="5" t="str">
        <f>IFERROR(__xludf.DUMMYFUNCTION("IF(REGEXMATCH(Z8714, ""Season""), ""TV Show"", ""Movie"")"),"TV Show")</f>
        <v>TV Show</v>
      </c>
    </row>
    <row r="8715">
      <c r="A8715" s="1" t="s">
        <v>41486</v>
      </c>
      <c r="B8715" s="1" t="s">
        <v>27</v>
      </c>
      <c r="C8715" s="1" t="s">
        <v>41487</v>
      </c>
      <c r="D8715" s="1" t="s">
        <v>2618</v>
      </c>
      <c r="E8715" s="1" t="s">
        <v>41488</v>
      </c>
      <c r="F8715" s="1" t="s">
        <v>63</v>
      </c>
      <c r="G8715" s="1" t="s">
        <v>26089</v>
      </c>
      <c r="H8715" s="1">
        <v>2015.0</v>
      </c>
      <c r="I8715" s="1" t="s">
        <v>42</v>
      </c>
      <c r="J8715" s="1" t="s">
        <v>341</v>
      </c>
      <c r="K8715" s="1" t="s">
        <v>199</v>
      </c>
      <c r="L8715" s="1" t="s">
        <v>41489</v>
      </c>
      <c r="M8715" s="2" t="s">
        <v>12</v>
      </c>
      <c r="N8715" s="4">
        <f t="shared" si="1"/>
        <v>43160</v>
      </c>
      <c r="O8715" s="5" t="str">
        <f>IFERROR(__xludf.DUMMYFUNCTION("IF(REGEXMATCH(TRIM(I8715), ""^\d+\s*min""), ""Unclassified"", IF(I8715 = """", ""NR"", I8715))"),"TV-MA")</f>
        <v>TV-MA</v>
      </c>
      <c r="R8715" s="5" t="str">
        <f t="shared" si="2"/>
        <v>Welcome 2 Karachi</v>
      </c>
      <c r="S8715" s="5" t="str">
        <f>IFERROR(__xludf.DUMMYFUNCTION("""COMPUTED_VALUE"""),"Yoga Hosers")</f>
        <v>Yoga Hosers</v>
      </c>
      <c r="V8715" s="5"/>
      <c r="Y8715" s="5" t="str">
        <f>IFERROR(__xludf.DUMMYFUNCTION("REGEXEXTRACT(J8715, ""^\d+"")"),"124")</f>
        <v>124</v>
      </c>
      <c r="Z8715" s="5" t="str">
        <f>IFERROR(__xludf.DUMMYFUNCTION("REGEXEXTRACT(J8715, ""[A-Za-z ]+$"")")," min")</f>
        <v> min</v>
      </c>
      <c r="AA8715" s="5" t="str">
        <f>IFERROR(__xludf.DUMMYFUNCTION("IF(REGEXMATCH(Z8715, ""Season""), ""TV Show"", ""Movie"")"),"Movie")</f>
        <v>Movie</v>
      </c>
    </row>
    <row r="8716">
      <c r="A8716" s="1" t="s">
        <v>41490</v>
      </c>
      <c r="B8716" s="1" t="s">
        <v>27</v>
      </c>
      <c r="C8716" s="1" t="s">
        <v>41491</v>
      </c>
      <c r="D8716" s="1" t="s">
        <v>21570</v>
      </c>
      <c r="E8716" s="1" t="s">
        <v>41492</v>
      </c>
      <c r="F8716" s="1" t="s">
        <v>30</v>
      </c>
      <c r="G8716" s="1" t="s">
        <v>27097</v>
      </c>
      <c r="H8716" s="1">
        <v>2016.0</v>
      </c>
      <c r="I8716" s="1" t="s">
        <v>289</v>
      </c>
      <c r="J8716" s="1" t="s">
        <v>5120</v>
      </c>
      <c r="K8716" s="1" t="s">
        <v>80</v>
      </c>
      <c r="L8716" s="1" t="s">
        <v>41493</v>
      </c>
      <c r="M8716" s="2" t="s">
        <v>12</v>
      </c>
      <c r="N8716" s="4">
        <f t="shared" si="1"/>
        <v>43009</v>
      </c>
      <c r="O8716" s="5" t="str">
        <f>IFERROR(__xludf.DUMMYFUNCTION("IF(REGEXMATCH(TRIM(I8716), ""^\d+\s*min""), ""Unclassified"", IF(I8716 = """", ""NR"", I8716))"),"TV-Y7")</f>
        <v>TV-Y7</v>
      </c>
      <c r="R8716" s="5" t="str">
        <f t="shared" si="2"/>
        <v>Welcome To Monster High: The Origin Story</v>
      </c>
      <c r="S8716" s="5" t="str">
        <f>IFERROR(__xludf.DUMMYFUNCTION("""COMPUTED_VALUE"""),"Yoko")</f>
        <v>Yoko</v>
      </c>
      <c r="V8716" s="5"/>
      <c r="Y8716" s="5" t="str">
        <f>IFERROR(__xludf.DUMMYFUNCTION("REGEXEXTRACT(J8716, ""^\d+"")"),"73")</f>
        <v>73</v>
      </c>
      <c r="Z8716" s="5" t="str">
        <f>IFERROR(__xludf.DUMMYFUNCTION("REGEXEXTRACT(J8716, ""[A-Za-z ]+$"")")," min")</f>
        <v> min</v>
      </c>
      <c r="AA8716" s="5" t="str">
        <f>IFERROR(__xludf.DUMMYFUNCTION("IF(REGEXMATCH(Z8716, ""Season""), ""TV Show"", ""Movie"")"),"Movie")</f>
        <v>Movie</v>
      </c>
    </row>
    <row r="8717">
      <c r="A8717" s="1" t="s">
        <v>41494</v>
      </c>
      <c r="B8717" s="1" t="s">
        <v>27</v>
      </c>
      <c r="C8717" s="1" t="s">
        <v>41495</v>
      </c>
      <c r="D8717" s="1" t="s">
        <v>217</v>
      </c>
      <c r="E8717" s="1" t="s">
        <v>41496</v>
      </c>
      <c r="F8717" s="1" t="s">
        <v>2321</v>
      </c>
      <c r="G8717" s="1" t="s">
        <v>41497</v>
      </c>
      <c r="H8717" s="1">
        <v>2014.0</v>
      </c>
      <c r="I8717" s="1" t="s">
        <v>378</v>
      </c>
      <c r="J8717" s="1" t="s">
        <v>912</v>
      </c>
      <c r="K8717" s="1" t="s">
        <v>1320</v>
      </c>
      <c r="L8717" s="1" t="s">
        <v>41498</v>
      </c>
      <c r="M8717" s="2" t="s">
        <v>12</v>
      </c>
      <c r="N8717" s="4">
        <f t="shared" si="1"/>
        <v>42817</v>
      </c>
      <c r="O8717" s="5" t="str">
        <f>IFERROR(__xludf.DUMMYFUNCTION("IF(REGEXMATCH(TRIM(I8717), ""^\d+\s*min""), ""Unclassified"", IF(I8717 = """", ""NR"", I8717))"),"R")</f>
        <v>R</v>
      </c>
      <c r="R8717" s="5" t="str">
        <f t="shared" si="2"/>
        <v>Welcome To New York</v>
      </c>
      <c r="S8717" s="5" t="str">
        <f>IFERROR(__xludf.DUMMYFUNCTION("""COMPUTED_VALUE"""),"Yoko And His Friends")</f>
        <v>Yoko And His Friends</v>
      </c>
      <c r="V8717" s="5"/>
      <c r="Y8717" s="5" t="str">
        <f>IFERROR(__xludf.DUMMYFUNCTION("REGEXEXTRACT(J8717, ""^\d+"")"),"108")</f>
        <v>108</v>
      </c>
      <c r="Z8717" s="5" t="str">
        <f>IFERROR(__xludf.DUMMYFUNCTION("REGEXEXTRACT(J8717, ""[A-Za-z ]+$"")")," min")</f>
        <v> min</v>
      </c>
      <c r="AA8717" s="5" t="str">
        <f>IFERROR(__xludf.DUMMYFUNCTION("IF(REGEXMATCH(Z8717, ""Season""), ""TV Show"", ""Movie"")"),"Movie")</f>
        <v>Movie</v>
      </c>
    </row>
    <row r="8718">
      <c r="A8718" s="1" t="s">
        <v>41499</v>
      </c>
      <c r="B8718" s="1" t="s">
        <v>27</v>
      </c>
      <c r="C8718" s="1" t="s">
        <v>41500</v>
      </c>
      <c r="D8718" s="1" t="s">
        <v>22905</v>
      </c>
      <c r="E8718" s="1" t="s">
        <v>41501</v>
      </c>
      <c r="F8718" s="1" t="s">
        <v>30</v>
      </c>
      <c r="G8718" s="1" t="s">
        <v>26265</v>
      </c>
      <c r="H8718" s="1">
        <v>2017.0</v>
      </c>
      <c r="I8718" s="1" t="s">
        <v>42</v>
      </c>
      <c r="J8718" s="1" t="s">
        <v>1608</v>
      </c>
      <c r="K8718" s="1" t="s">
        <v>20491</v>
      </c>
      <c r="L8718" s="1" t="s">
        <v>41502</v>
      </c>
      <c r="M8718" s="2" t="s">
        <v>12</v>
      </c>
      <c r="N8718" s="4">
        <f t="shared" si="1"/>
        <v>43137</v>
      </c>
      <c r="O8718" s="5" t="str">
        <f>IFERROR(__xludf.DUMMYFUNCTION("IF(REGEXMATCH(TRIM(I8718), ""^\d+\s*min""), ""Unclassified"", IF(I8718 = """", ""NR"", I8718))"),"TV-MA")</f>
        <v>TV-MA</v>
      </c>
      <c r="R8718" s="5" t="str">
        <f t="shared" si="2"/>
        <v>Welcome To Willits</v>
      </c>
      <c r="S8718" s="5" t="str">
        <f>IFERROR(__xludf.DUMMYFUNCTION("""COMPUTED_VALUE"""),"Yom")</f>
        <v>Yom</v>
      </c>
      <c r="V8718" s="5"/>
      <c r="Y8718" s="5" t="str">
        <f>IFERROR(__xludf.DUMMYFUNCTION("REGEXEXTRACT(J8718, ""^\d+"")"),"84")</f>
        <v>84</v>
      </c>
      <c r="Z8718" s="5" t="str">
        <f>IFERROR(__xludf.DUMMYFUNCTION("REGEXEXTRACT(J8718, ""[A-Za-z ]+$"")")," min")</f>
        <v> min</v>
      </c>
      <c r="AA8718" s="5" t="str">
        <f>IFERROR(__xludf.DUMMYFUNCTION("IF(REGEXMATCH(Z8718, ""Season""), ""TV Show"", ""Movie"")"),"Movie")</f>
        <v>Movie</v>
      </c>
    </row>
    <row r="8719">
      <c r="A8719" s="1" t="s">
        <v>41503</v>
      </c>
      <c r="B8719" s="1" t="s">
        <v>27</v>
      </c>
      <c r="C8719" s="1" t="s">
        <v>41504</v>
      </c>
      <c r="D8719" s="1" t="s">
        <v>21442</v>
      </c>
      <c r="E8719" s="1" t="s">
        <v>41505</v>
      </c>
      <c r="F8719" s="1" t="s">
        <v>2446</v>
      </c>
      <c r="G8719" s="1" t="s">
        <v>18985</v>
      </c>
      <c r="H8719" s="1">
        <v>1967.0</v>
      </c>
      <c r="I8719" s="1" t="s">
        <v>42</v>
      </c>
      <c r="J8719" s="1" t="s">
        <v>454</v>
      </c>
      <c r="K8719" s="1" t="s">
        <v>2012</v>
      </c>
      <c r="L8719" s="1" t="s">
        <v>41506</v>
      </c>
      <c r="M8719" s="2" t="s">
        <v>12</v>
      </c>
      <c r="N8719" s="4">
        <f t="shared" si="1"/>
        <v>43739</v>
      </c>
      <c r="O8719" s="5" t="str">
        <f>IFERROR(__xludf.DUMMYFUNCTION("IF(REGEXMATCH(TRIM(I8719), ""^\d+\s*min""), ""Unclassified"", IF(I8719 = """", ""NR"", I8719))"),"TV-MA")</f>
        <v>TV-MA</v>
      </c>
      <c r="R8719" s="5" t="str">
        <f t="shared" si="2"/>
        <v>Westerplatte Resists</v>
      </c>
      <c r="S8719" s="5" t="str">
        <f>IFERROR(__xludf.DUMMYFUNCTION("""COMPUTED_VALUE"""),"Yoo Byung Jae: Discomfort Zone")</f>
        <v>Yoo Byung Jae: Discomfort Zone</v>
      </c>
      <c r="V8719" s="5"/>
      <c r="Y8719" s="5" t="str">
        <f>IFERROR(__xludf.DUMMYFUNCTION("REGEXEXTRACT(J8719, ""^\d+"")"),"93")</f>
        <v>93</v>
      </c>
      <c r="Z8719" s="5" t="str">
        <f>IFERROR(__xludf.DUMMYFUNCTION("REGEXEXTRACT(J8719, ""[A-Za-z ]+$"")")," min")</f>
        <v> min</v>
      </c>
      <c r="AA8719" s="5" t="str">
        <f>IFERROR(__xludf.DUMMYFUNCTION("IF(REGEXMATCH(Z8719, ""Season""), ""TV Show"", ""Movie"")"),"Movie")</f>
        <v>Movie</v>
      </c>
    </row>
    <row r="8720">
      <c r="A8720" s="1" t="s">
        <v>41507</v>
      </c>
      <c r="B8720" s="1" t="s">
        <v>27</v>
      </c>
      <c r="C8720" s="1" t="s">
        <v>41508</v>
      </c>
      <c r="D8720" s="1" t="s">
        <v>15637</v>
      </c>
      <c r="E8720" s="1" t="s">
        <v>41509</v>
      </c>
      <c r="G8720" s="1" t="s">
        <v>19659</v>
      </c>
      <c r="H8720" s="1">
        <v>2019.0</v>
      </c>
      <c r="I8720" s="1" t="s">
        <v>42</v>
      </c>
      <c r="J8720" s="1" t="s">
        <v>322</v>
      </c>
      <c r="K8720" s="1" t="s">
        <v>645</v>
      </c>
      <c r="L8720" s="1" t="s">
        <v>41510</v>
      </c>
      <c r="M8720" s="2" t="s">
        <v>12</v>
      </c>
      <c r="N8720" s="4">
        <f t="shared" si="1"/>
        <v>43686</v>
      </c>
      <c r="O8720" s="5" t="str">
        <f>IFERROR(__xludf.DUMMYFUNCTION("IF(REGEXMATCH(TRIM(I8720), ""^\d+\s*min""), ""Unclassified"", IF(I8720 = """", ""NR"", I8720))"),"TV-MA")</f>
        <v>TV-MA</v>
      </c>
      <c r="R8720" s="5" t="str">
        <f t="shared" si="2"/>
        <v>Westside Vs. The World</v>
      </c>
      <c r="S8720" s="5" t="str">
        <f>IFERROR(__xludf.DUMMYFUNCTION("""COMPUTED_VALUE"""),"Yoo Byung Jae: Too Much Information")</f>
        <v>Yoo Byung Jae: Too Much Information</v>
      </c>
      <c r="V8720" s="5"/>
      <c r="Y8720" s="5" t="str">
        <f>IFERROR(__xludf.DUMMYFUNCTION("REGEXEXTRACT(J8720, ""^\d+"")"),"96")</f>
        <v>96</v>
      </c>
      <c r="Z8720" s="5" t="str">
        <f>IFERROR(__xludf.DUMMYFUNCTION("REGEXEXTRACT(J8720, ""[A-Za-z ]+$"")")," min")</f>
        <v> min</v>
      </c>
      <c r="AA8720" s="5" t="str">
        <f>IFERROR(__xludf.DUMMYFUNCTION("IF(REGEXMATCH(Z8720, ""Season""), ""TV Show"", ""Movie"")"),"Movie")</f>
        <v>Movie</v>
      </c>
    </row>
    <row r="8721">
      <c r="A8721" s="1" t="s">
        <v>41511</v>
      </c>
      <c r="B8721" s="1" t="s">
        <v>27</v>
      </c>
      <c r="C8721" s="1" t="s">
        <v>41512</v>
      </c>
      <c r="D8721" s="1" t="s">
        <v>9452</v>
      </c>
      <c r="E8721" s="1" t="s">
        <v>41513</v>
      </c>
      <c r="F8721" s="1" t="s">
        <v>3892</v>
      </c>
      <c r="G8721" s="1" t="s">
        <v>25185</v>
      </c>
      <c r="H8721" s="1">
        <v>2017.0</v>
      </c>
      <c r="I8721" s="1" t="s">
        <v>97</v>
      </c>
      <c r="J8721" s="1" t="s">
        <v>447</v>
      </c>
      <c r="K8721" s="1" t="s">
        <v>583</v>
      </c>
      <c r="L8721" s="1" t="s">
        <v>41514</v>
      </c>
      <c r="M8721" s="2" t="s">
        <v>12</v>
      </c>
      <c r="N8721" s="4">
        <f t="shared" si="1"/>
        <v>43282</v>
      </c>
      <c r="O8721" s="5" t="str">
        <f>IFERROR(__xludf.DUMMYFUNCTION("IF(REGEXMATCH(TRIM(I8721), ""^\d+\s*min""), ""Unclassified"", IF(I8721 = """", ""NR"", I8721))"),"TV-14")</f>
        <v>TV-14</v>
      </c>
      <c r="R8721" s="5" t="str">
        <f t="shared" si="2"/>
        <v>What A Wonderful Family!</v>
      </c>
      <c r="S8721" s="5" t="str">
        <f>IFERROR(__xludf.DUMMYFUNCTION("""COMPUTED_VALUE"""),"Yoohoo To The Rescue")</f>
        <v>Yoohoo To The Rescue</v>
      </c>
      <c r="V8721" s="5"/>
      <c r="Y8721" s="5" t="str">
        <f>IFERROR(__xludf.DUMMYFUNCTION("REGEXEXTRACT(J8721, ""^\d+"")"),"102")</f>
        <v>102</v>
      </c>
      <c r="Z8721" s="5" t="str">
        <f>IFERROR(__xludf.DUMMYFUNCTION("REGEXEXTRACT(J8721, ""[A-Za-z ]+$"")")," min")</f>
        <v> min</v>
      </c>
      <c r="AA8721" s="5" t="str">
        <f>IFERROR(__xludf.DUMMYFUNCTION("IF(REGEXMATCH(Z8721, ""Season""), ""TV Show"", ""Movie"")"),"Movie")</f>
        <v>Movie</v>
      </c>
    </row>
    <row r="8722">
      <c r="A8722" s="1" t="s">
        <v>41515</v>
      </c>
      <c r="B8722" s="1" t="s">
        <v>37</v>
      </c>
      <c r="C8722" s="1" t="s">
        <v>41516</v>
      </c>
      <c r="E8722" s="1" t="s">
        <v>41517</v>
      </c>
      <c r="F8722" s="1" t="s">
        <v>188</v>
      </c>
      <c r="G8722" s="7">
        <v>42860.0</v>
      </c>
      <c r="H8722" s="1">
        <v>2016.0</v>
      </c>
      <c r="I8722" s="1" t="s">
        <v>97</v>
      </c>
      <c r="J8722" s="1" t="s">
        <v>51</v>
      </c>
      <c r="K8722" s="1" t="s">
        <v>1531</v>
      </c>
      <c r="L8722" s="1" t="s">
        <v>41518</v>
      </c>
      <c r="M8722" s="2" t="s">
        <v>12</v>
      </c>
      <c r="N8722" s="4">
        <f t="shared" si="1"/>
        <v>42860</v>
      </c>
      <c r="O8722" s="5" t="str">
        <f>IFERROR(__xludf.DUMMYFUNCTION("IF(REGEXMATCH(TRIM(I8722), ""^\d+\s*min""), ""Unclassified"", IF(I8722 = """", ""NR"", I8722))"),"TV-14")</f>
        <v>TV-14</v>
      </c>
      <c r="R8722" s="5" t="str">
        <f t="shared" si="2"/>
        <v>What Happens To My Family</v>
      </c>
      <c r="S8722" s="5" t="str">
        <f>IFERROR(__xludf.DUMMYFUNCTION("""COMPUTED_VALUE"""),"You")</f>
        <v>You</v>
      </c>
      <c r="V8722" s="5"/>
      <c r="Y8722" s="5" t="str">
        <f>IFERROR(__xludf.DUMMYFUNCTION("REGEXEXTRACT(J8722, ""^\d+"")"),"1")</f>
        <v>1</v>
      </c>
      <c r="Z8722" s="5" t="str">
        <f>IFERROR(__xludf.DUMMYFUNCTION("REGEXEXTRACT(J8722, ""[A-Za-z ]+$"")")," Season")</f>
        <v> Season</v>
      </c>
      <c r="AA8722" s="5" t="str">
        <f>IFERROR(__xludf.DUMMYFUNCTION("IF(REGEXMATCH(Z8722, ""Season""), ""TV Show"", ""Movie"")"),"TV Show")</f>
        <v>TV Show</v>
      </c>
    </row>
    <row r="8723">
      <c r="A8723" s="1" t="s">
        <v>41519</v>
      </c>
      <c r="B8723" s="1" t="s">
        <v>37</v>
      </c>
      <c r="C8723" s="1" t="s">
        <v>41520</v>
      </c>
      <c r="E8723" s="1" t="s">
        <v>41521</v>
      </c>
      <c r="F8723" s="1" t="s">
        <v>2059</v>
      </c>
      <c r="G8723" s="1" t="s">
        <v>28840</v>
      </c>
      <c r="H8723" s="1">
        <v>2012.0</v>
      </c>
      <c r="I8723" s="1" t="s">
        <v>97</v>
      </c>
      <c r="J8723" s="1" t="s">
        <v>51</v>
      </c>
      <c r="K8723" s="1" t="s">
        <v>64</v>
      </c>
      <c r="L8723" s="1" t="s">
        <v>41522</v>
      </c>
      <c r="M8723" s="2" t="s">
        <v>12</v>
      </c>
      <c r="N8723" s="4">
        <f t="shared" si="1"/>
        <v>42736</v>
      </c>
      <c r="O8723" s="5" t="str">
        <f>IFERROR(__xludf.DUMMYFUNCTION("IF(REGEXMATCH(TRIM(I8723), ""^\d+\s*min""), ""Unclassified"", IF(I8723 = """", ""NR"", I8723))"),"TV-14")</f>
        <v>TV-14</v>
      </c>
      <c r="R8723" s="5" t="str">
        <f t="shared" si="2"/>
        <v>What Is Love?</v>
      </c>
      <c r="S8723" s="5" t="str">
        <f>IFERROR(__xludf.DUMMYFUNCTION("""COMPUTED_VALUE"""),"You Are My Home")</f>
        <v>You Are My Home</v>
      </c>
      <c r="V8723" s="5"/>
      <c r="Y8723" s="5" t="str">
        <f>IFERROR(__xludf.DUMMYFUNCTION("REGEXEXTRACT(J8723, ""^\d+"")"),"1")</f>
        <v>1</v>
      </c>
      <c r="Z8723" s="5" t="str">
        <f>IFERROR(__xludf.DUMMYFUNCTION("REGEXEXTRACT(J8723, ""[A-Za-z ]+$"")")," Season")</f>
        <v> Season</v>
      </c>
      <c r="AA8723" s="5" t="str">
        <f>IFERROR(__xludf.DUMMYFUNCTION("IF(REGEXMATCH(Z8723, ""Season""), ""TV Show"", ""Movie"")"),"TV Show")</f>
        <v>TV Show</v>
      </c>
    </row>
    <row r="8724">
      <c r="A8724" s="1" t="s">
        <v>41523</v>
      </c>
      <c r="B8724" s="1" t="s">
        <v>27</v>
      </c>
      <c r="C8724" s="1" t="s">
        <v>41524</v>
      </c>
      <c r="D8724" s="1" t="s">
        <v>2135</v>
      </c>
      <c r="E8724" s="1" t="s">
        <v>41525</v>
      </c>
      <c r="F8724" s="1" t="s">
        <v>30</v>
      </c>
      <c r="G8724" s="1" t="s">
        <v>16947</v>
      </c>
      <c r="H8724" s="1">
        <v>2000.0</v>
      </c>
      <c r="I8724" s="1" t="s">
        <v>32</v>
      </c>
      <c r="J8724" s="1" t="s">
        <v>2281</v>
      </c>
      <c r="K8724" s="1" t="s">
        <v>3768</v>
      </c>
      <c r="L8724" s="1" t="s">
        <v>41526</v>
      </c>
      <c r="M8724" s="2" t="s">
        <v>12</v>
      </c>
      <c r="N8724" s="4">
        <f t="shared" si="1"/>
        <v>43831</v>
      </c>
      <c r="O8724" s="5" t="str">
        <f>IFERROR(__xludf.DUMMYFUNCTION("IF(REGEXMATCH(TRIM(I8724), ""^\d+\s*min""), ""Unclassified"", IF(I8724 = """", ""NR"", I8724))"),"PG-13")</f>
        <v>PG-13</v>
      </c>
      <c r="R8724" s="5" t="str">
        <f t="shared" si="2"/>
        <v>What Lies Beneath</v>
      </c>
      <c r="S8724" s="5" t="str">
        <f>IFERROR(__xludf.DUMMYFUNCTION("""COMPUTED_VALUE"""),"You Are My Spring")</f>
        <v>You Are My Spring</v>
      </c>
      <c r="V8724" s="5"/>
      <c r="Y8724" s="5" t="str">
        <f>IFERROR(__xludf.DUMMYFUNCTION("REGEXEXTRACT(J8724, ""^\d+"")"),"130")</f>
        <v>130</v>
      </c>
      <c r="Z8724" s="5" t="str">
        <f>IFERROR(__xludf.DUMMYFUNCTION("REGEXEXTRACT(J8724, ""[A-Za-z ]+$"")")," min")</f>
        <v> min</v>
      </c>
      <c r="AA8724" s="5" t="str">
        <f>IFERROR(__xludf.DUMMYFUNCTION("IF(REGEXMATCH(Z8724, ""Season""), ""TV Show"", ""Movie"")"),"Movie")</f>
        <v>Movie</v>
      </c>
    </row>
    <row r="8725">
      <c r="A8725" s="1" t="s">
        <v>41527</v>
      </c>
      <c r="B8725" s="1" t="s">
        <v>27</v>
      </c>
      <c r="C8725" s="1" t="s">
        <v>41528</v>
      </c>
      <c r="D8725" s="1" t="s">
        <v>18950</v>
      </c>
      <c r="F8725" s="1" t="s">
        <v>96</v>
      </c>
      <c r="G8725" s="1" t="s">
        <v>22239</v>
      </c>
      <c r="H8725" s="1">
        <v>2017.0</v>
      </c>
      <c r="I8725" s="1" t="s">
        <v>97</v>
      </c>
      <c r="J8725" s="1" t="s">
        <v>8095</v>
      </c>
      <c r="K8725" s="1" t="s">
        <v>34</v>
      </c>
      <c r="L8725" s="1" t="s">
        <v>41529</v>
      </c>
      <c r="M8725" s="2" t="s">
        <v>12</v>
      </c>
      <c r="N8725" s="4">
        <f t="shared" si="1"/>
        <v>43497</v>
      </c>
      <c r="O8725" s="5" t="str">
        <f>IFERROR(__xludf.DUMMYFUNCTION("IF(REGEXMATCH(TRIM(I8725), ""^\d+\s*min""), ""Unclassified"", IF(I8725 = """", ""NR"", I8725))"),"TV-14")</f>
        <v>TV-14</v>
      </c>
      <c r="R8725" s="5" t="str">
        <f t="shared" si="2"/>
        <v>What Makes A Psychopath?</v>
      </c>
      <c r="S8725" s="5" t="str">
        <f>IFERROR(__xludf.DUMMYFUNCTION("""COMPUTED_VALUE"""),"You Can Tutu")</f>
        <v>You Can Tutu</v>
      </c>
      <c r="V8725" s="5"/>
      <c r="Y8725" s="5" t="str">
        <f>IFERROR(__xludf.DUMMYFUNCTION("REGEXEXTRACT(J8725, ""^\d+"")"),"52")</f>
        <v>52</v>
      </c>
      <c r="Z8725" s="5" t="str">
        <f>IFERROR(__xludf.DUMMYFUNCTION("REGEXEXTRACT(J8725, ""[A-Za-z ]+$"")")," min")</f>
        <v> min</v>
      </c>
      <c r="AA8725" s="5" t="str">
        <f>IFERROR(__xludf.DUMMYFUNCTION("IF(REGEXMATCH(Z8725, ""Season""), ""TV Show"", ""Movie"")"),"Movie")</f>
        <v>Movie</v>
      </c>
    </row>
    <row r="8726">
      <c r="A8726" s="1" t="s">
        <v>41530</v>
      </c>
      <c r="B8726" s="1" t="s">
        <v>27</v>
      </c>
      <c r="C8726" s="1" t="s">
        <v>41531</v>
      </c>
      <c r="D8726" s="1" t="s">
        <v>11884</v>
      </c>
      <c r="E8726" s="1" t="s">
        <v>41532</v>
      </c>
      <c r="F8726" s="1" t="s">
        <v>30</v>
      </c>
      <c r="G8726" s="1" t="s">
        <v>22850</v>
      </c>
      <c r="H8726" s="1">
        <v>2018.0</v>
      </c>
      <c r="I8726" s="1" t="s">
        <v>97</v>
      </c>
      <c r="J8726" s="1" t="s">
        <v>79</v>
      </c>
      <c r="K8726" s="1" t="s">
        <v>394</v>
      </c>
      <c r="L8726" s="1" t="s">
        <v>41533</v>
      </c>
      <c r="M8726" s="2" t="s">
        <v>12</v>
      </c>
      <c r="N8726" s="4">
        <f t="shared" si="1"/>
        <v>43455</v>
      </c>
      <c r="O8726" s="5" t="str">
        <f>IFERROR(__xludf.DUMMYFUNCTION("IF(REGEXMATCH(TRIM(I8726), ""^\d+\s*min""), ""Unclassified"", IF(I8726 = """", ""NR"", I8726))"),"TV-14")</f>
        <v>TV-14</v>
      </c>
      <c r="R8726" s="5" t="str">
        <f t="shared" si="2"/>
        <v>What Still Remains</v>
      </c>
      <c r="S8726" s="5" t="str">
        <f>IFERROR(__xludf.DUMMYFUNCTION("""COMPUTED_VALUE"""),"You Can’T Fight Christmas")</f>
        <v>You Can’T Fight Christmas</v>
      </c>
      <c r="V8726" s="5"/>
      <c r="Y8726" s="5" t="str">
        <f>IFERROR(__xludf.DUMMYFUNCTION("REGEXEXTRACT(J8726, ""^\d+"")"),"91")</f>
        <v>91</v>
      </c>
      <c r="Z8726" s="5" t="str">
        <f>IFERROR(__xludf.DUMMYFUNCTION("REGEXEXTRACT(J8726, ""[A-Za-z ]+$"")")," min")</f>
        <v> min</v>
      </c>
      <c r="AA8726" s="5" t="str">
        <f>IFERROR(__xludf.DUMMYFUNCTION("IF(REGEXMATCH(Z8726, ""Season""), ""TV Show"", ""Movie"")"),"Movie")</f>
        <v>Movie</v>
      </c>
    </row>
    <row r="8727">
      <c r="A8727" s="1" t="s">
        <v>41534</v>
      </c>
      <c r="B8727" s="1" t="s">
        <v>27</v>
      </c>
      <c r="C8727" s="1" t="s">
        <v>41535</v>
      </c>
      <c r="D8727" s="1" t="s">
        <v>19887</v>
      </c>
      <c r="E8727" s="1" t="s">
        <v>41536</v>
      </c>
      <c r="F8727" s="1" t="s">
        <v>2873</v>
      </c>
      <c r="G8727" s="1" t="s">
        <v>31467</v>
      </c>
      <c r="H8727" s="1">
        <v>2002.0</v>
      </c>
      <c r="I8727" s="1" t="s">
        <v>378</v>
      </c>
      <c r="J8727" s="1" t="s">
        <v>297</v>
      </c>
      <c r="K8727" s="1" t="s">
        <v>679</v>
      </c>
      <c r="L8727" s="1" t="s">
        <v>41537</v>
      </c>
      <c r="M8727" s="2" t="s">
        <v>12</v>
      </c>
      <c r="N8727" s="4">
        <f t="shared" si="1"/>
        <v>43442</v>
      </c>
      <c r="O8727" s="5" t="str">
        <f>IFERROR(__xludf.DUMMYFUNCTION("IF(REGEXMATCH(TRIM(I8727), ""^\d+\s*min""), ""Unclassified"", IF(I8727 = """", ""NR"", I8727))"),"R")</f>
        <v>R</v>
      </c>
      <c r="R8727" s="5" t="str">
        <f t="shared" si="2"/>
        <v>What'S Up With Love?</v>
      </c>
      <c r="S8727" s="5" t="str">
        <f>IFERROR(__xludf.DUMMYFUNCTION("""COMPUTED_VALUE"""),"You Cannot Hide")</f>
        <v>You Cannot Hide</v>
      </c>
      <c r="V8727" s="5"/>
      <c r="Y8727" s="5" t="str">
        <f>IFERROR(__xludf.DUMMYFUNCTION("REGEXEXTRACT(J8727, ""^\d+"")"),"110")</f>
        <v>110</v>
      </c>
      <c r="Z8727" s="5" t="str">
        <f>IFERROR(__xludf.DUMMYFUNCTION("REGEXEXTRACT(J8727, ""[A-Za-z ]+$"")")," min")</f>
        <v> min</v>
      </c>
      <c r="AA8727" s="5" t="str">
        <f>IFERROR(__xludf.DUMMYFUNCTION("IF(REGEXMATCH(Z8727, ""Season""), ""TV Show"", ""Movie"")"),"Movie")</f>
        <v>Movie</v>
      </c>
    </row>
    <row r="8728">
      <c r="A8728" s="1" t="s">
        <v>41538</v>
      </c>
      <c r="B8728" s="1" t="s">
        <v>37</v>
      </c>
      <c r="C8728" s="1" t="s">
        <v>41539</v>
      </c>
      <c r="E8728" s="1" t="s">
        <v>41540</v>
      </c>
      <c r="F8728" s="1" t="s">
        <v>30</v>
      </c>
      <c r="G8728" s="1" t="s">
        <v>22776</v>
      </c>
      <c r="H8728" s="1">
        <v>2017.0</v>
      </c>
      <c r="I8728" s="1" t="s">
        <v>136</v>
      </c>
      <c r="J8728" s="1" t="s">
        <v>189</v>
      </c>
      <c r="K8728" s="1" t="s">
        <v>2709</v>
      </c>
      <c r="L8728" s="1" t="s">
        <v>41541</v>
      </c>
      <c r="M8728" s="2" t="s">
        <v>12</v>
      </c>
      <c r="N8728" s="4">
        <f t="shared" si="1"/>
        <v>43463</v>
      </c>
      <c r="O8728" s="5" t="str">
        <f>IFERROR(__xludf.DUMMYFUNCTION("IF(REGEXMATCH(TRIM(I8728), ""^\d+\s*min""), ""Unclassified"", IF(I8728 = """", ""NR"", I8728))"),"TV-PG")</f>
        <v>TV-PG</v>
      </c>
      <c r="R8728" s="5" t="str">
        <f t="shared" si="2"/>
        <v>When Calls The Heart</v>
      </c>
      <c r="S8728" s="5" t="str">
        <f>IFERROR(__xludf.DUMMYFUNCTION("""COMPUTED_VALUE"""),"You Carry Me")</f>
        <v>You Carry Me</v>
      </c>
      <c r="V8728" s="5"/>
      <c r="Y8728" s="5" t="str">
        <f>IFERROR(__xludf.DUMMYFUNCTION("REGEXEXTRACT(J8728, ""^\d+"")"),"5")</f>
        <v>5</v>
      </c>
      <c r="Z8728" s="5" t="str">
        <f>IFERROR(__xludf.DUMMYFUNCTION("REGEXEXTRACT(J8728, ""[A-Za-z ]+$"")")," Seasons")</f>
        <v> Seasons</v>
      </c>
      <c r="AA8728" s="5" t="str">
        <f>IFERROR(__xludf.DUMMYFUNCTION("IF(REGEXMATCH(Z8728, ""Season""), ""TV Show"", ""Movie"")"),"TV Show")</f>
        <v>TV Show</v>
      </c>
    </row>
    <row r="8729">
      <c r="A8729" s="1" t="s">
        <v>41542</v>
      </c>
      <c r="B8729" s="1" t="s">
        <v>27</v>
      </c>
      <c r="C8729" s="1" t="s">
        <v>41543</v>
      </c>
      <c r="D8729" s="1" t="s">
        <v>19293</v>
      </c>
      <c r="F8729" s="1" t="s">
        <v>24119</v>
      </c>
      <c r="G8729" s="1" t="s">
        <v>41544</v>
      </c>
      <c r="H8729" s="1">
        <v>2013.0</v>
      </c>
      <c r="I8729" s="1" t="s">
        <v>30231</v>
      </c>
      <c r="J8729" s="1" t="s">
        <v>6281</v>
      </c>
      <c r="K8729" s="1" t="s">
        <v>156</v>
      </c>
      <c r="L8729" s="1" t="s">
        <v>41545</v>
      </c>
      <c r="M8729" s="2" t="s">
        <v>12</v>
      </c>
      <c r="N8729" s="4">
        <f t="shared" si="1"/>
        <v>42729</v>
      </c>
      <c r="O8729" s="5" t="str">
        <f>IFERROR(__xludf.DUMMYFUNCTION("IF(REGEXMATCH(TRIM(I8729), ""^\d+\s*min""), ""Unclassified"", IF(I8729 = """", ""NR"", I8729))"),"NR")</f>
        <v>NR</v>
      </c>
      <c r="R8729" s="5" t="str">
        <f t="shared" si="2"/>
        <v>When Hari Got Married</v>
      </c>
      <c r="S8729" s="5" t="str">
        <f>IFERROR(__xludf.DUMMYFUNCTION("""COMPUTED_VALUE"""),"You Changed My Life")</f>
        <v>You Changed My Life</v>
      </c>
      <c r="V8729" s="5"/>
      <c r="Y8729" s="5" t="str">
        <f>IFERROR(__xludf.DUMMYFUNCTION("REGEXEXTRACT(J8729, ""^\d+"")"),"75")</f>
        <v>75</v>
      </c>
      <c r="Z8729" s="5" t="str">
        <f>IFERROR(__xludf.DUMMYFUNCTION("REGEXEXTRACT(J8729, ""[A-Za-z ]+$"")")," min")</f>
        <v> min</v>
      </c>
      <c r="AA8729" s="5" t="str">
        <f>IFERROR(__xludf.DUMMYFUNCTION("IF(REGEXMATCH(Z8729, ""Season""), ""TV Show"", ""Movie"")"),"Movie")</f>
        <v>Movie</v>
      </c>
    </row>
    <row r="8730">
      <c r="A8730" s="1" t="s">
        <v>41546</v>
      </c>
      <c r="B8730" s="1" t="s">
        <v>27</v>
      </c>
      <c r="C8730" s="1" t="s">
        <v>41547</v>
      </c>
      <c r="D8730" s="1" t="s">
        <v>9204</v>
      </c>
      <c r="F8730" s="1" t="s">
        <v>41548</v>
      </c>
      <c r="G8730" s="1" t="s">
        <v>41549</v>
      </c>
      <c r="H8730" s="1">
        <v>2016.0</v>
      </c>
      <c r="I8730" s="1" t="s">
        <v>97</v>
      </c>
      <c r="J8730" s="1" t="s">
        <v>238</v>
      </c>
      <c r="K8730" s="1" t="s">
        <v>156</v>
      </c>
      <c r="L8730" s="1" t="s">
        <v>41550</v>
      </c>
      <c r="M8730" s="2" t="s">
        <v>12</v>
      </c>
      <c r="N8730" s="4">
        <f t="shared" si="1"/>
        <v>42704</v>
      </c>
      <c r="O8730" s="5" t="str">
        <f>IFERROR(__xludf.DUMMYFUNCTION("IF(REGEXMATCH(TRIM(I8730), ""^\d+\s*min""), ""Unclassified"", IF(I8730 = """", ""NR"", I8730))"),"TV-14")</f>
        <v>TV-14</v>
      </c>
      <c r="R8730" s="5" t="str">
        <f t="shared" si="2"/>
        <v>When Two Worlds Collide</v>
      </c>
      <c r="S8730" s="5" t="str">
        <f>IFERROR(__xludf.DUMMYFUNCTION("""COMPUTED_VALUE"""),"You Don'T Mess With The Zohan")</f>
        <v>You Don'T Mess With The Zohan</v>
      </c>
      <c r="V8730" s="5"/>
      <c r="Y8730" s="5" t="str">
        <f>IFERROR(__xludf.DUMMYFUNCTION("REGEXEXTRACT(J8730, ""^\d+"")"),"103")</f>
        <v>103</v>
      </c>
      <c r="Z8730" s="5" t="str">
        <f>IFERROR(__xludf.DUMMYFUNCTION("REGEXEXTRACT(J8730, ""[A-Za-z ]+$"")")," min")</f>
        <v> min</v>
      </c>
      <c r="AA8730" s="5" t="str">
        <f>IFERROR(__xludf.DUMMYFUNCTION("IF(REGEXMATCH(Z8730, ""Season""), ""TV Show"", ""Movie"")"),"Movie")</f>
        <v>Movie</v>
      </c>
    </row>
    <row r="8731">
      <c r="A8731" s="1" t="s">
        <v>41551</v>
      </c>
      <c r="B8731" s="1" t="s">
        <v>27</v>
      </c>
      <c r="C8731" s="1" t="s">
        <v>41552</v>
      </c>
      <c r="D8731" s="1" t="s">
        <v>14653</v>
      </c>
      <c r="E8731" s="1" t="s">
        <v>41553</v>
      </c>
      <c r="F8731" s="1" t="s">
        <v>41554</v>
      </c>
      <c r="G8731" s="1" t="s">
        <v>16793</v>
      </c>
      <c r="H8731" s="1">
        <v>2000.0</v>
      </c>
      <c r="I8731" s="1" t="s">
        <v>32</v>
      </c>
      <c r="J8731" s="1" t="s">
        <v>1191</v>
      </c>
      <c r="K8731" s="1" t="s">
        <v>617</v>
      </c>
      <c r="L8731" s="1" t="s">
        <v>41555</v>
      </c>
      <c r="M8731" s="2" t="s">
        <v>12</v>
      </c>
      <c r="N8731" s="4">
        <f t="shared" si="1"/>
        <v>43845</v>
      </c>
      <c r="O8731" s="5" t="str">
        <f>IFERROR(__xludf.DUMMYFUNCTION("IF(REGEXMATCH(TRIM(I8731), ""^\d+\s*min""), ""Unclassified"", IF(I8731 = """", ""NR"", I8731))"),"PG-13")</f>
        <v>PG-13</v>
      </c>
      <c r="R8731" s="5" t="str">
        <f t="shared" si="2"/>
        <v>Where The Money Is</v>
      </c>
      <c r="S8731" s="5" t="str">
        <f>IFERROR(__xludf.DUMMYFUNCTION("""COMPUTED_VALUE"""),"You Get Me")</f>
        <v>You Get Me</v>
      </c>
      <c r="V8731" s="5"/>
      <c r="Y8731" s="5" t="str">
        <f>IFERROR(__xludf.DUMMYFUNCTION("REGEXEXTRACT(J8731, ""^\d+"")"),"89")</f>
        <v>89</v>
      </c>
      <c r="Z8731" s="5" t="str">
        <f>IFERROR(__xludf.DUMMYFUNCTION("REGEXEXTRACT(J8731, ""[A-Za-z ]+$"")")," min")</f>
        <v> min</v>
      </c>
      <c r="AA8731" s="5" t="str">
        <f>IFERROR(__xludf.DUMMYFUNCTION("IF(REGEXMATCH(Z8731, ""Season""), ""TV Show"", ""Movie"")"),"Movie")</f>
        <v>Movie</v>
      </c>
    </row>
    <row r="8732">
      <c r="A8732" s="1" t="s">
        <v>41556</v>
      </c>
      <c r="B8732" s="1" t="s">
        <v>27</v>
      </c>
      <c r="C8732" s="1" t="s">
        <v>41557</v>
      </c>
      <c r="D8732" s="1" t="s">
        <v>12857</v>
      </c>
      <c r="E8732" s="1" t="s">
        <v>41558</v>
      </c>
      <c r="F8732" s="1" t="s">
        <v>30</v>
      </c>
      <c r="G8732" s="1" t="s">
        <v>26362</v>
      </c>
      <c r="H8732" s="1">
        <v>2017.0</v>
      </c>
      <c r="I8732" s="1" t="s">
        <v>378</v>
      </c>
      <c r="J8732" s="1" t="s">
        <v>1144</v>
      </c>
      <c r="K8732" s="1" t="s">
        <v>239</v>
      </c>
      <c r="L8732" s="1" t="s">
        <v>41559</v>
      </c>
      <c r="M8732" s="2" t="s">
        <v>12</v>
      </c>
      <c r="N8732" s="4">
        <f t="shared" si="1"/>
        <v>43122</v>
      </c>
      <c r="O8732" s="5" t="str">
        <f>IFERROR(__xludf.DUMMYFUNCTION("IF(REGEXMATCH(TRIM(I8732), ""^\d+\s*min""), ""Unclassified"", IF(I8732 = """", ""NR"", I8732))"),"R")</f>
        <v>R</v>
      </c>
      <c r="R8732" s="5" t="str">
        <f t="shared" si="2"/>
        <v>Where'S The Money</v>
      </c>
      <c r="S8732" s="5" t="str">
        <f>IFERROR(__xludf.DUMMYFUNCTION("""COMPUTED_VALUE"""),"You Vs. Wild")</f>
        <v>You Vs. Wild</v>
      </c>
      <c r="V8732" s="5"/>
      <c r="Y8732" s="5" t="str">
        <f>IFERROR(__xludf.DUMMYFUNCTION("REGEXEXTRACT(J8732, ""^\d+"")"),"86")</f>
        <v>86</v>
      </c>
      <c r="Z8732" s="5" t="str">
        <f>IFERROR(__xludf.DUMMYFUNCTION("REGEXEXTRACT(J8732, ""[A-Za-z ]+$"")")," min")</f>
        <v> min</v>
      </c>
      <c r="AA8732" s="5" t="str">
        <f>IFERROR(__xludf.DUMMYFUNCTION("IF(REGEXMATCH(Z8732, ""Season""), ""TV Show"", ""Movie"")"),"Movie")</f>
        <v>Movie</v>
      </c>
    </row>
    <row r="8733">
      <c r="A8733" s="1" t="s">
        <v>41560</v>
      </c>
      <c r="B8733" s="1" t="s">
        <v>27</v>
      </c>
      <c r="C8733" s="1" t="s">
        <v>41561</v>
      </c>
      <c r="D8733" s="1" t="s">
        <v>16989</v>
      </c>
      <c r="E8733" s="1" t="s">
        <v>41562</v>
      </c>
      <c r="F8733" s="1" t="s">
        <v>30</v>
      </c>
      <c r="G8733" s="1" t="s">
        <v>41563</v>
      </c>
      <c r="H8733" s="1">
        <v>2015.0</v>
      </c>
      <c r="I8733" s="1" t="s">
        <v>378</v>
      </c>
      <c r="J8733" s="1" t="s">
        <v>247</v>
      </c>
      <c r="K8733" s="1" t="s">
        <v>836</v>
      </c>
      <c r="L8733" s="1" t="s">
        <v>41564</v>
      </c>
      <c r="M8733" s="2" t="s">
        <v>12</v>
      </c>
      <c r="N8733" s="4">
        <f t="shared" si="1"/>
        <v>43031</v>
      </c>
      <c r="O8733" s="5" t="str">
        <f>IFERROR(__xludf.DUMMYFUNCTION("IF(REGEXMATCH(TRIM(I8733), ""^\d+\s*min""), ""Unclassified"", IF(I8733 = """", ""NR"", I8733))"),"R")</f>
        <v>R</v>
      </c>
      <c r="R8733" s="5" t="str">
        <f t="shared" si="2"/>
        <v>While We'Re Young</v>
      </c>
      <c r="S8733" s="5" t="str">
        <f>IFERROR(__xludf.DUMMYFUNCTION("""COMPUTED_VALUE"""),"You Vs. Wild: Out Cold")</f>
        <v>You Vs. Wild: Out Cold</v>
      </c>
      <c r="V8733" s="5"/>
      <c r="Y8733" s="5" t="str">
        <f>IFERROR(__xludf.DUMMYFUNCTION("REGEXEXTRACT(J8733, ""^\d+"")"),"97")</f>
        <v>97</v>
      </c>
      <c r="Z8733" s="5" t="str">
        <f>IFERROR(__xludf.DUMMYFUNCTION("REGEXEXTRACT(J8733, ""[A-Za-z ]+$"")")," min")</f>
        <v> min</v>
      </c>
      <c r="AA8733" s="5" t="str">
        <f>IFERROR(__xludf.DUMMYFUNCTION("IF(REGEXMATCH(Z8733, ""Season""), ""TV Show"", ""Movie"")"),"Movie")</f>
        <v>Movie</v>
      </c>
    </row>
    <row r="8734">
      <c r="A8734" s="1" t="s">
        <v>41565</v>
      </c>
      <c r="B8734" s="1" t="s">
        <v>27</v>
      </c>
      <c r="C8734" s="1" t="s">
        <v>41566</v>
      </c>
      <c r="D8734" s="1" t="s">
        <v>17757</v>
      </c>
      <c r="E8734" s="1" t="s">
        <v>41567</v>
      </c>
      <c r="F8734" s="1" t="s">
        <v>96</v>
      </c>
      <c r="G8734" s="1" t="s">
        <v>19813</v>
      </c>
      <c r="H8734" s="1">
        <v>2018.0</v>
      </c>
      <c r="I8734" s="1" t="s">
        <v>42</v>
      </c>
      <c r="J8734" s="1" t="s">
        <v>1191</v>
      </c>
      <c r="K8734" s="1" t="s">
        <v>658</v>
      </c>
      <c r="L8734" s="1" t="s">
        <v>41568</v>
      </c>
      <c r="M8734" s="2" t="s">
        <v>12</v>
      </c>
      <c r="N8734" s="4">
        <f t="shared" si="1"/>
        <v>43678</v>
      </c>
      <c r="O8734" s="5" t="str">
        <f>IFERROR(__xludf.DUMMYFUNCTION("IF(REGEXMATCH(TRIM(I8734), ""^\d+\s*min""), ""Unclassified"", IF(I8734 = """", ""NR"", I8734))"),"TV-MA")</f>
        <v>TV-MA</v>
      </c>
      <c r="R8734" s="5" t="str">
        <f t="shared" si="2"/>
        <v>White Chamber</v>
      </c>
      <c r="S8734" s="5" t="str">
        <f>IFERROR(__xludf.DUMMYFUNCTION("""COMPUTED_VALUE"""),"You'Re Everything To Me")</f>
        <v>You'Re Everything To Me</v>
      </c>
      <c r="V8734" s="5"/>
      <c r="Y8734" s="5" t="str">
        <f>IFERROR(__xludf.DUMMYFUNCTION("REGEXEXTRACT(J8734, ""^\d+"")"),"89")</f>
        <v>89</v>
      </c>
      <c r="Z8734" s="5" t="str">
        <f>IFERROR(__xludf.DUMMYFUNCTION("REGEXEXTRACT(J8734, ""[A-Za-z ]+$"")")," min")</f>
        <v> min</v>
      </c>
      <c r="AA8734" s="5" t="str">
        <f>IFERROR(__xludf.DUMMYFUNCTION("IF(REGEXMATCH(Z8734, ""Season""), ""TV Show"", ""Movie"")"),"Movie")</f>
        <v>Movie</v>
      </c>
    </row>
    <row r="8735">
      <c r="A8735" s="1" t="s">
        <v>41569</v>
      </c>
      <c r="B8735" s="1" t="s">
        <v>27</v>
      </c>
      <c r="C8735" s="1" t="s">
        <v>41570</v>
      </c>
      <c r="D8735" s="1" t="s">
        <v>3245</v>
      </c>
      <c r="E8735" s="1" t="s">
        <v>41571</v>
      </c>
      <c r="F8735" s="1" t="s">
        <v>96</v>
      </c>
      <c r="G8735" s="1" t="s">
        <v>27212</v>
      </c>
      <c r="H8735" s="1">
        <v>2016.0</v>
      </c>
      <c r="I8735" s="1" t="s">
        <v>42</v>
      </c>
      <c r="J8735" s="1" t="s">
        <v>79</v>
      </c>
      <c r="K8735" s="1" t="s">
        <v>30449</v>
      </c>
      <c r="L8735" s="1" t="s">
        <v>41572</v>
      </c>
      <c r="M8735" s="2" t="s">
        <v>12</v>
      </c>
      <c r="N8735" s="4">
        <f t="shared" si="1"/>
        <v>43003</v>
      </c>
      <c r="O8735" s="5" t="str">
        <f>IFERROR(__xludf.DUMMYFUNCTION("IF(REGEXMATCH(TRIM(I8735), ""^\d+\s*min""), ""Unclassified"", IF(I8735 = """", ""NR"", I8735))"),"TV-MA")</f>
        <v>TV-MA</v>
      </c>
      <c r="R8735" s="5" t="str">
        <f t="shared" si="2"/>
        <v>White Island</v>
      </c>
      <c r="S8735" s="5" t="str">
        <f>IFERROR(__xludf.DUMMYFUNCTION("""COMPUTED_VALUE"""),"You'Re My Boss")</f>
        <v>You'Re My Boss</v>
      </c>
      <c r="V8735" s="5"/>
      <c r="Y8735" s="5" t="str">
        <f>IFERROR(__xludf.DUMMYFUNCTION("REGEXEXTRACT(J8735, ""^\d+"")"),"91")</f>
        <v>91</v>
      </c>
      <c r="Z8735" s="5" t="str">
        <f>IFERROR(__xludf.DUMMYFUNCTION("REGEXEXTRACT(J8735, ""[A-Za-z ]+$"")")," min")</f>
        <v> min</v>
      </c>
      <c r="AA8735" s="5" t="str">
        <f>IFERROR(__xludf.DUMMYFUNCTION("IF(REGEXMATCH(Z8735, ""Season""), ""TV Show"", ""Movie"")"),"Movie")</f>
        <v>Movie</v>
      </c>
    </row>
    <row r="8736">
      <c r="A8736" s="1" t="s">
        <v>41573</v>
      </c>
      <c r="B8736" s="1" t="s">
        <v>27</v>
      </c>
      <c r="C8736" s="1" t="s">
        <v>41574</v>
      </c>
      <c r="D8736" s="1" t="s">
        <v>6698</v>
      </c>
      <c r="E8736" s="1" t="s">
        <v>41575</v>
      </c>
      <c r="F8736" s="1" t="s">
        <v>30</v>
      </c>
      <c r="G8736" s="1" t="s">
        <v>27321</v>
      </c>
      <c r="H8736" s="1">
        <v>2017.0</v>
      </c>
      <c r="I8736" s="1" t="s">
        <v>42</v>
      </c>
      <c r="J8736" s="1" t="s">
        <v>1737</v>
      </c>
      <c r="K8736" s="1" t="s">
        <v>31492</v>
      </c>
      <c r="L8736" s="1" t="s">
        <v>41576</v>
      </c>
      <c r="M8736" s="2" t="s">
        <v>12</v>
      </c>
      <c r="N8736" s="4">
        <f t="shared" si="1"/>
        <v>42979</v>
      </c>
      <c r="O8736" s="5" t="str">
        <f>IFERROR(__xludf.DUMMYFUNCTION("IF(REGEXMATCH(TRIM(I8736), ""^\d+\s*min""), ""Unclassified"", IF(I8736 = """", ""NR"", I8736))"),"TV-MA")</f>
        <v>TV-MA</v>
      </c>
      <c r="R8736" s="5" t="str">
        <f t="shared" si="2"/>
        <v>Who The F**K Is That Guy?</v>
      </c>
      <c r="S8736" s="5" t="str">
        <f>IFERROR(__xludf.DUMMYFUNCTION("""COMPUTED_VALUE"""),"You'Re My Destiny")</f>
        <v>You'Re My Destiny</v>
      </c>
      <c r="V8736" s="5"/>
      <c r="Y8736" s="5" t="str">
        <f>IFERROR(__xludf.DUMMYFUNCTION("REGEXEXTRACT(J8736, ""^\d+"")"),"78")</f>
        <v>78</v>
      </c>
      <c r="Z8736" s="5" t="str">
        <f>IFERROR(__xludf.DUMMYFUNCTION("REGEXEXTRACT(J8736, ""[A-Za-z ]+$"")")," min")</f>
        <v> min</v>
      </c>
      <c r="AA8736" s="5" t="str">
        <f>IFERROR(__xludf.DUMMYFUNCTION("IF(REGEXMATCH(Z8736, ""Season""), ""TV Show"", ""Movie"")"),"Movie")</f>
        <v>Movie</v>
      </c>
    </row>
    <row r="8737">
      <c r="A8737" s="1" t="s">
        <v>41577</v>
      </c>
      <c r="B8737" s="1" t="s">
        <v>27</v>
      </c>
      <c r="C8737" s="1" t="s">
        <v>41578</v>
      </c>
      <c r="D8737" s="1" t="s">
        <v>7998</v>
      </c>
      <c r="E8737" s="1" t="s">
        <v>41579</v>
      </c>
      <c r="F8737" s="1" t="s">
        <v>30</v>
      </c>
      <c r="G8737" s="1" t="s">
        <v>20110</v>
      </c>
      <c r="H8737" s="1">
        <v>1967.0</v>
      </c>
      <c r="I8737" s="1" t="s">
        <v>378</v>
      </c>
      <c r="J8737" s="1" t="s">
        <v>33</v>
      </c>
      <c r="K8737" s="1" t="s">
        <v>1767</v>
      </c>
      <c r="L8737" s="1" t="s">
        <v>41580</v>
      </c>
      <c r="M8737" s="2" t="s">
        <v>12</v>
      </c>
      <c r="N8737" s="4">
        <f t="shared" si="1"/>
        <v>43647</v>
      </c>
      <c r="O8737" s="5" t="str">
        <f>IFERROR(__xludf.DUMMYFUNCTION("IF(REGEXMATCH(TRIM(I8737), ""^\d+\s*min""), ""Unclassified"", IF(I8737 = """", ""NR"", I8737))"),"R")</f>
        <v>R</v>
      </c>
      <c r="R8737" s="5" t="str">
        <f t="shared" si="2"/>
        <v>Who'S That Knocking At My Door?</v>
      </c>
      <c r="S8737" s="5" t="str">
        <f>IFERROR(__xludf.DUMMYFUNCTION("""COMPUTED_VALUE"""),"You'Ve Got This")</f>
        <v>You'Ve Got This</v>
      </c>
      <c r="V8737" s="5"/>
      <c r="Y8737" s="5" t="str">
        <f>IFERROR(__xludf.DUMMYFUNCTION("REGEXEXTRACT(J8737, ""^\d+"")"),"90")</f>
        <v>90</v>
      </c>
      <c r="Z8737" s="5" t="str">
        <f>IFERROR(__xludf.DUMMYFUNCTION("REGEXEXTRACT(J8737, ""[A-Za-z ]+$"")")," min")</f>
        <v> min</v>
      </c>
      <c r="AA8737" s="5" t="str">
        <f>IFERROR(__xludf.DUMMYFUNCTION("IF(REGEXMATCH(Z8737, ""Season""), ""TV Show"", ""Movie"")"),"Movie")</f>
        <v>Movie</v>
      </c>
    </row>
    <row r="8738">
      <c r="A8738" s="1" t="s">
        <v>41581</v>
      </c>
      <c r="B8738" s="1" t="s">
        <v>37</v>
      </c>
      <c r="C8738" s="1" t="s">
        <v>41582</v>
      </c>
      <c r="E8738" s="1" t="s">
        <v>41583</v>
      </c>
      <c r="F8738" s="1" t="s">
        <v>2059</v>
      </c>
      <c r="G8738" s="1" t="s">
        <v>28840</v>
      </c>
      <c r="H8738" s="1">
        <v>2011.0</v>
      </c>
      <c r="I8738" s="1" t="s">
        <v>97</v>
      </c>
      <c r="J8738" s="1" t="s">
        <v>51</v>
      </c>
      <c r="K8738" s="1" t="s">
        <v>64</v>
      </c>
      <c r="L8738" s="1" t="s">
        <v>41584</v>
      </c>
      <c r="M8738" s="2" t="s">
        <v>12</v>
      </c>
      <c r="N8738" s="4">
        <f t="shared" si="1"/>
        <v>42736</v>
      </c>
      <c r="O8738" s="5" t="str">
        <f>IFERROR(__xludf.DUMMYFUNCTION("IF(REGEXMATCH(TRIM(I8738), ""^\d+\s*min""), ""Unclassified"", IF(I8738 = """", ""NR"", I8738))"),"TV-14")</f>
        <v>TV-14</v>
      </c>
      <c r="R8738" s="5" t="str">
        <f t="shared" si="2"/>
        <v>Who'S The One</v>
      </c>
      <c r="S8738" s="5" t="str">
        <f>IFERROR(__xludf.DUMMYFUNCTION("""COMPUTED_VALUE"""),"Young &amp; Hungry")</f>
        <v>Young &amp; Hungry</v>
      </c>
      <c r="V8738" s="5"/>
      <c r="Y8738" s="5" t="str">
        <f>IFERROR(__xludf.DUMMYFUNCTION("REGEXEXTRACT(J8738, ""^\d+"")"),"1")</f>
        <v>1</v>
      </c>
      <c r="Z8738" s="5" t="str">
        <f>IFERROR(__xludf.DUMMYFUNCTION("REGEXEXTRACT(J8738, ""[A-Za-z ]+$"")")," Season")</f>
        <v> Season</v>
      </c>
      <c r="AA8738" s="5" t="str">
        <f>IFERROR(__xludf.DUMMYFUNCTION("IF(REGEXMATCH(Z8738, ""Season""), ""TV Show"", ""Movie"")"),"TV Show")</f>
        <v>TV Show</v>
      </c>
    </row>
    <row r="8739">
      <c r="A8739" s="1" t="s">
        <v>41585</v>
      </c>
      <c r="B8739" s="1" t="s">
        <v>27</v>
      </c>
      <c r="C8739" s="1" t="s">
        <v>41586</v>
      </c>
      <c r="D8739" s="1" t="s">
        <v>16138</v>
      </c>
      <c r="E8739" s="1" t="s">
        <v>41587</v>
      </c>
      <c r="F8739" s="1" t="s">
        <v>96</v>
      </c>
      <c r="G8739" s="1" t="s">
        <v>22239</v>
      </c>
      <c r="H8739" s="1">
        <v>2016.0</v>
      </c>
      <c r="I8739" s="1" t="s">
        <v>97</v>
      </c>
      <c r="J8739" s="1" t="s">
        <v>9034</v>
      </c>
      <c r="K8739" s="1" t="s">
        <v>34</v>
      </c>
      <c r="L8739" s="1" t="s">
        <v>41588</v>
      </c>
      <c r="M8739" s="2" t="s">
        <v>12</v>
      </c>
      <c r="N8739" s="4">
        <f t="shared" si="1"/>
        <v>43497</v>
      </c>
      <c r="O8739" s="5" t="str">
        <f>IFERROR(__xludf.DUMMYFUNCTION("IF(REGEXMATCH(TRIM(I8739), ""^\d+\s*min""), ""Unclassified"", IF(I8739 = """", ""NR"", I8739))"),"TV-14")</f>
        <v>TV-14</v>
      </c>
      <c r="R8739" s="5" t="str">
        <f t="shared" si="2"/>
        <v>Why Are We Getting So Fat?</v>
      </c>
      <c r="S8739" s="5" t="str">
        <f>IFERROR(__xludf.DUMMYFUNCTION("""COMPUTED_VALUE"""),"Young Adult")</f>
        <v>Young Adult</v>
      </c>
      <c r="V8739" s="5"/>
      <c r="Y8739" s="5" t="str">
        <f>IFERROR(__xludf.DUMMYFUNCTION("REGEXEXTRACT(J8739, ""^\d+"")"),"50")</f>
        <v>50</v>
      </c>
      <c r="Z8739" s="5" t="str">
        <f>IFERROR(__xludf.DUMMYFUNCTION("REGEXEXTRACT(J8739, ""[A-Za-z ]+$"")")," min")</f>
        <v> min</v>
      </c>
      <c r="AA8739" s="5" t="str">
        <f>IFERROR(__xludf.DUMMYFUNCTION("IF(REGEXMATCH(Z8739, ""Season""), ""TV Show"", ""Movie"")"),"Movie")</f>
        <v>Movie</v>
      </c>
    </row>
    <row r="8740">
      <c r="A8740" s="1" t="s">
        <v>41589</v>
      </c>
      <c r="B8740" s="1" t="s">
        <v>27</v>
      </c>
      <c r="C8740" s="1" t="s">
        <v>41590</v>
      </c>
      <c r="D8740" s="1" t="s">
        <v>6464</v>
      </c>
      <c r="F8740" s="1" t="s">
        <v>41591</v>
      </c>
      <c r="G8740" s="1" t="s">
        <v>27021</v>
      </c>
      <c r="H8740" s="1">
        <v>2016.0</v>
      </c>
      <c r="I8740" s="1" t="s">
        <v>42</v>
      </c>
      <c r="J8740" s="1" t="s">
        <v>1608</v>
      </c>
      <c r="K8740" s="1" t="s">
        <v>34</v>
      </c>
      <c r="L8740" s="1" t="s">
        <v>41592</v>
      </c>
      <c r="M8740" s="2" t="s">
        <v>12</v>
      </c>
      <c r="N8740" s="4">
        <f t="shared" si="1"/>
        <v>43023</v>
      </c>
      <c r="O8740" s="5" t="str">
        <f>IFERROR(__xludf.DUMMYFUNCTION("IF(REGEXMATCH(TRIM(I8740), ""^\d+\s*min""), ""Unclassified"", IF(I8740 = """", ""NR"", I8740))"),"TV-MA")</f>
        <v>TV-MA</v>
      </c>
      <c r="R8740" s="5" t="str">
        <f t="shared" si="2"/>
        <v>Why Knot</v>
      </c>
      <c r="S8740" s="5" t="str">
        <f>IFERROR(__xludf.DUMMYFUNCTION("""COMPUTED_VALUE"""),"Young Royals")</f>
        <v>Young Royals</v>
      </c>
      <c r="V8740" s="5"/>
      <c r="Y8740" s="5" t="str">
        <f>IFERROR(__xludf.DUMMYFUNCTION("REGEXEXTRACT(J8740, ""^\d+"")"),"84")</f>
        <v>84</v>
      </c>
      <c r="Z8740" s="5" t="str">
        <f>IFERROR(__xludf.DUMMYFUNCTION("REGEXEXTRACT(J8740, ""[A-Za-z ]+$"")")," min")</f>
        <v> min</v>
      </c>
      <c r="AA8740" s="5" t="str">
        <f>IFERROR(__xludf.DUMMYFUNCTION("IF(REGEXMATCH(Z8740, ""Season""), ""TV Show"", ""Movie"")"),"Movie")</f>
        <v>Movie</v>
      </c>
    </row>
    <row r="8741">
      <c r="A8741" s="1" t="s">
        <v>41593</v>
      </c>
      <c r="B8741" s="1" t="s">
        <v>27</v>
      </c>
      <c r="C8741" s="1" t="s">
        <v>41594</v>
      </c>
      <c r="D8741" s="1" t="s">
        <v>7845</v>
      </c>
      <c r="F8741" s="1" t="s">
        <v>30</v>
      </c>
      <c r="G8741" s="1" t="s">
        <v>28421</v>
      </c>
      <c r="H8741" s="1">
        <v>1943.0</v>
      </c>
      <c r="I8741" s="1" t="s">
        <v>136</v>
      </c>
      <c r="J8741" s="1" t="s">
        <v>1001</v>
      </c>
      <c r="K8741" s="1" t="s">
        <v>34</v>
      </c>
      <c r="L8741" s="1" t="s">
        <v>41595</v>
      </c>
      <c r="M8741" s="2" t="s">
        <v>12</v>
      </c>
      <c r="N8741" s="4">
        <f t="shared" si="1"/>
        <v>42825</v>
      </c>
      <c r="O8741" s="5" t="str">
        <f>IFERROR(__xludf.DUMMYFUNCTION("IF(REGEXMATCH(TRIM(I8741), ""^\d+\s*min""), ""Unclassified"", IF(I8741 = """", ""NR"", I8741))"),"TV-PG")</f>
        <v>TV-PG</v>
      </c>
      <c r="R8741" s="5" t="str">
        <f t="shared" si="2"/>
        <v>Why We Fight: The Battle Of Russia</v>
      </c>
      <c r="S8741" s="5" t="str">
        <f>IFERROR(__xludf.DUMMYFUNCTION("""COMPUTED_VALUE"""),"Young Tiger")</f>
        <v>Young Tiger</v>
      </c>
      <c r="V8741" s="5"/>
      <c r="Y8741" s="5" t="str">
        <f>IFERROR(__xludf.DUMMYFUNCTION("REGEXEXTRACT(J8741, ""^\d+"")"),"82")</f>
        <v>82</v>
      </c>
      <c r="Z8741" s="5" t="str">
        <f>IFERROR(__xludf.DUMMYFUNCTION("REGEXEXTRACT(J8741, ""[A-Za-z ]+$"")")," min")</f>
        <v> min</v>
      </c>
      <c r="AA8741" s="5" t="str">
        <f>IFERROR(__xludf.DUMMYFUNCTION("IF(REGEXMATCH(Z8741, ""Season""), ""TV Show"", ""Movie"")"),"Movie")</f>
        <v>Movie</v>
      </c>
    </row>
    <row r="8742">
      <c r="A8742" s="1" t="s">
        <v>41596</v>
      </c>
      <c r="B8742" s="1" t="s">
        <v>37</v>
      </c>
      <c r="C8742" s="1" t="s">
        <v>41597</v>
      </c>
      <c r="E8742" s="1" t="s">
        <v>41598</v>
      </c>
      <c r="F8742" s="1" t="s">
        <v>96</v>
      </c>
      <c r="G8742" s="1" t="s">
        <v>28421</v>
      </c>
      <c r="H8742" s="1">
        <v>2015.0</v>
      </c>
      <c r="I8742" s="1" t="s">
        <v>136</v>
      </c>
      <c r="J8742" s="1" t="s">
        <v>51</v>
      </c>
      <c r="K8742" s="1" t="s">
        <v>29581</v>
      </c>
      <c r="L8742" s="1" t="s">
        <v>41599</v>
      </c>
      <c r="M8742" s="2" t="s">
        <v>12</v>
      </c>
      <c r="N8742" s="4">
        <f t="shared" si="1"/>
        <v>42825</v>
      </c>
      <c r="O8742" s="5" t="str">
        <f>IFERROR(__xludf.DUMMYFUNCTION("IF(REGEXMATCH(TRIM(I8742), ""^\d+\s*min""), ""Unclassified"", IF(I8742 = """", ""NR"", I8742))"),"TV-PG")</f>
        <v>TV-PG</v>
      </c>
      <c r="R8742" s="5" t="str">
        <f t="shared" si="2"/>
        <v>Wild Alaska</v>
      </c>
      <c r="S8742" s="5" t="str">
        <f>IFERROR(__xludf.DUMMYFUNCTION("""COMPUTED_VALUE"""),"Young Wallander")</f>
        <v>Young Wallander</v>
      </c>
      <c r="V8742" s="5"/>
      <c r="Y8742" s="5" t="str">
        <f>IFERROR(__xludf.DUMMYFUNCTION("REGEXEXTRACT(J8742, ""^\d+"")"),"1")</f>
        <v>1</v>
      </c>
      <c r="Z8742" s="5" t="str">
        <f>IFERROR(__xludf.DUMMYFUNCTION("REGEXEXTRACT(J8742, ""[A-Za-z ]+$"")")," Season")</f>
        <v> Season</v>
      </c>
      <c r="AA8742" s="5" t="str">
        <f>IFERROR(__xludf.DUMMYFUNCTION("IF(REGEXMATCH(Z8742, ""Season""), ""TV Show"", ""Movie"")"),"TV Show")</f>
        <v>TV Show</v>
      </c>
    </row>
    <row r="8743">
      <c r="A8743" s="1" t="s">
        <v>41600</v>
      </c>
      <c r="B8743" s="1" t="s">
        <v>37</v>
      </c>
      <c r="C8743" s="1" t="s">
        <v>41601</v>
      </c>
      <c r="E8743" s="1" t="s">
        <v>41602</v>
      </c>
      <c r="F8743" s="1" t="s">
        <v>96</v>
      </c>
      <c r="G8743" s="1" t="s">
        <v>28421</v>
      </c>
      <c r="H8743" s="1">
        <v>2013.0</v>
      </c>
      <c r="I8743" s="1" t="s">
        <v>136</v>
      </c>
      <c r="J8743" s="1" t="s">
        <v>51</v>
      </c>
      <c r="K8743" s="1" t="s">
        <v>29581</v>
      </c>
      <c r="L8743" s="1" t="s">
        <v>41603</v>
      </c>
      <c r="M8743" s="2" t="s">
        <v>12</v>
      </c>
      <c r="N8743" s="4">
        <f t="shared" si="1"/>
        <v>42825</v>
      </c>
      <c r="O8743" s="5" t="str">
        <f>IFERROR(__xludf.DUMMYFUNCTION("IF(REGEXMATCH(TRIM(I8743), ""^\d+\s*min""), ""Unclassified"", IF(I8743 = """", ""NR"", I8743))"),"TV-PG")</f>
        <v>TV-PG</v>
      </c>
      <c r="R8743" s="5" t="str">
        <f t="shared" si="2"/>
        <v>Wild Arabia</v>
      </c>
      <c r="S8743" s="5" t="str">
        <f>IFERROR(__xludf.DUMMYFUNCTION("""COMPUTED_VALUE"""),"Your Excellency")</f>
        <v>Your Excellency</v>
      </c>
      <c r="V8743" s="5"/>
      <c r="Y8743" s="5" t="str">
        <f>IFERROR(__xludf.DUMMYFUNCTION("REGEXEXTRACT(J8743, ""^\d+"")"),"1")</f>
        <v>1</v>
      </c>
      <c r="Z8743" s="5" t="str">
        <f>IFERROR(__xludf.DUMMYFUNCTION("REGEXEXTRACT(J8743, ""[A-Za-z ]+$"")")," Season")</f>
        <v> Season</v>
      </c>
      <c r="AA8743" s="5" t="str">
        <f>IFERROR(__xludf.DUMMYFUNCTION("IF(REGEXMATCH(Z8743, ""Season""), ""TV Show"", ""Movie"")"),"TV Show")</f>
        <v>TV Show</v>
      </c>
    </row>
    <row r="8744">
      <c r="A8744" s="1" t="s">
        <v>41604</v>
      </c>
      <c r="B8744" s="1" t="s">
        <v>27</v>
      </c>
      <c r="C8744" s="1" t="s">
        <v>41605</v>
      </c>
      <c r="D8744" s="1" t="s">
        <v>3033</v>
      </c>
      <c r="E8744" s="1" t="s">
        <v>41606</v>
      </c>
      <c r="F8744" s="1" t="s">
        <v>30</v>
      </c>
      <c r="G8744" s="1" t="s">
        <v>16947</v>
      </c>
      <c r="H8744" s="1">
        <v>1999.0</v>
      </c>
      <c r="I8744" s="1" t="s">
        <v>32</v>
      </c>
      <c r="J8744" s="1" t="s">
        <v>256</v>
      </c>
      <c r="K8744" s="1" t="s">
        <v>3505</v>
      </c>
      <c r="L8744" s="1" t="s">
        <v>41607</v>
      </c>
      <c r="M8744" s="2" t="s">
        <v>12</v>
      </c>
      <c r="N8744" s="4">
        <f t="shared" si="1"/>
        <v>43831</v>
      </c>
      <c r="O8744" s="5" t="str">
        <f>IFERROR(__xludf.DUMMYFUNCTION("IF(REGEXMATCH(TRIM(I8744), ""^\d+\s*min""), ""Unclassified"", IF(I8744 = """", ""NR"", I8744))"),"PG-13")</f>
        <v>PG-13</v>
      </c>
      <c r="R8744" s="5" t="str">
        <f t="shared" si="2"/>
        <v>Wild Wild West</v>
      </c>
      <c r="S8744" s="5" t="str">
        <f>IFERROR(__xludf.DUMMYFUNCTION("""COMPUTED_VALUE"""),"Your Lie In April")</f>
        <v>Your Lie In April</v>
      </c>
      <c r="V8744" s="5"/>
      <c r="Y8744" s="5" t="str">
        <f>IFERROR(__xludf.DUMMYFUNCTION("REGEXEXTRACT(J8744, ""^\d+"")"),"106")</f>
        <v>106</v>
      </c>
      <c r="Z8744" s="5" t="str">
        <f>IFERROR(__xludf.DUMMYFUNCTION("REGEXEXTRACT(J8744, ""[A-Za-z ]+$"")")," min")</f>
        <v> min</v>
      </c>
      <c r="AA8744" s="5" t="str">
        <f>IFERROR(__xludf.DUMMYFUNCTION("IF(REGEXMATCH(Z8744, ""Season""), ""TV Show"", ""Movie"")"),"Movie")</f>
        <v>Movie</v>
      </c>
    </row>
    <row r="8745">
      <c r="A8745" s="1" t="s">
        <v>41608</v>
      </c>
      <c r="B8745" s="1" t="s">
        <v>27</v>
      </c>
      <c r="C8745" s="1" t="s">
        <v>41609</v>
      </c>
      <c r="D8745" s="1" t="s">
        <v>17704</v>
      </c>
      <c r="E8745" s="1" t="s">
        <v>41610</v>
      </c>
      <c r="F8745" s="1" t="s">
        <v>30</v>
      </c>
      <c r="G8745" s="1" t="s">
        <v>11804</v>
      </c>
      <c r="H8745" s="1">
        <v>2018.0</v>
      </c>
      <c r="I8745" s="1" t="s">
        <v>32</v>
      </c>
      <c r="J8745" s="1" t="s">
        <v>305</v>
      </c>
      <c r="K8745" s="1" t="s">
        <v>1320</v>
      </c>
      <c r="L8745" s="1" t="s">
        <v>41611</v>
      </c>
      <c r="M8745" s="2" t="s">
        <v>12</v>
      </c>
      <c r="N8745" s="4">
        <f t="shared" si="1"/>
        <v>44075</v>
      </c>
      <c r="O8745" s="5" t="str">
        <f>IFERROR(__xludf.DUMMYFUNCTION("IF(REGEXMATCH(TRIM(I8745), ""^\d+\s*min""), ""Unclassified"", IF(I8745 = """", ""NR"", I8745))"),"PG-13")</f>
        <v>PG-13</v>
      </c>
      <c r="R8745" s="5" t="str">
        <f t="shared" si="2"/>
        <v>Wildlife</v>
      </c>
      <c r="S8745" s="5" t="str">
        <f>IFERROR(__xludf.DUMMYFUNCTION("""COMPUTED_VALUE"""),"Your Name Engraved Herein")</f>
        <v>Your Name Engraved Herein</v>
      </c>
      <c r="V8745" s="5"/>
      <c r="Y8745" s="5" t="str">
        <f>IFERROR(__xludf.DUMMYFUNCTION("REGEXEXTRACT(J8745, ""^\d+"")"),"105")</f>
        <v>105</v>
      </c>
      <c r="Z8745" s="5" t="str">
        <f>IFERROR(__xludf.DUMMYFUNCTION("REGEXEXTRACT(J8745, ""[A-Za-z ]+$"")")," min")</f>
        <v> min</v>
      </c>
      <c r="AA8745" s="5" t="str">
        <f>IFERROR(__xludf.DUMMYFUNCTION("IF(REGEXMATCH(Z8745, ""Season""), ""TV Show"", ""Movie"")"),"Movie")</f>
        <v>Movie</v>
      </c>
    </row>
    <row r="8746">
      <c r="A8746" s="1" t="s">
        <v>41612</v>
      </c>
      <c r="B8746" s="1" t="s">
        <v>27</v>
      </c>
      <c r="C8746" s="1" t="s">
        <v>41613</v>
      </c>
      <c r="D8746" s="1" t="s">
        <v>16311</v>
      </c>
      <c r="F8746" s="1" t="s">
        <v>96</v>
      </c>
      <c r="G8746" s="1" t="s">
        <v>41614</v>
      </c>
      <c r="H8746" s="1">
        <v>2017.0</v>
      </c>
      <c r="I8746" s="1" t="s">
        <v>42</v>
      </c>
      <c r="J8746" s="1" t="s">
        <v>305</v>
      </c>
      <c r="K8746" s="1" t="s">
        <v>520</v>
      </c>
      <c r="L8746" s="1" t="s">
        <v>41615</v>
      </c>
      <c r="M8746" s="2" t="s">
        <v>12</v>
      </c>
      <c r="N8746" s="4">
        <f t="shared" si="1"/>
        <v>43043</v>
      </c>
      <c r="O8746" s="5" t="str">
        <f>IFERROR(__xludf.DUMMYFUNCTION("IF(REGEXMATCH(TRIM(I8746), ""^\d+\s*min""), ""Unclassified"", IF(I8746 = """", ""NR"", I8746))"),"TV-MA")</f>
        <v>TV-MA</v>
      </c>
      <c r="R8746" s="5" t="str">
        <f t="shared" si="2"/>
        <v>Williams</v>
      </c>
      <c r="S8746" s="5" t="str">
        <f>IFERROR(__xludf.DUMMYFUNCTION("""COMPUTED_VALUE"""),"Your Son")</f>
        <v>Your Son</v>
      </c>
      <c r="V8746" s="5"/>
      <c r="Y8746" s="5" t="str">
        <f>IFERROR(__xludf.DUMMYFUNCTION("REGEXEXTRACT(J8746, ""^\d+"")"),"105")</f>
        <v>105</v>
      </c>
      <c r="Z8746" s="5" t="str">
        <f>IFERROR(__xludf.DUMMYFUNCTION("REGEXEXTRACT(J8746, ""[A-Za-z ]+$"")")," min")</f>
        <v> min</v>
      </c>
      <c r="AA8746" s="5" t="str">
        <f>IFERROR(__xludf.DUMMYFUNCTION("IF(REGEXMATCH(Z8746, ""Season""), ""TV Show"", ""Movie"")"),"Movie")</f>
        <v>Movie</v>
      </c>
    </row>
    <row r="8747">
      <c r="A8747" s="1" t="s">
        <v>41616</v>
      </c>
      <c r="B8747" s="1" t="s">
        <v>27</v>
      </c>
      <c r="C8747" s="1" t="s">
        <v>41617</v>
      </c>
      <c r="D8747" s="1" t="s">
        <v>15462</v>
      </c>
      <c r="E8747" s="1" t="s">
        <v>41618</v>
      </c>
      <c r="F8747" s="1" t="s">
        <v>41619</v>
      </c>
      <c r="G8747" s="1" t="s">
        <v>16947</v>
      </c>
      <c r="H8747" s="1">
        <v>1971.0</v>
      </c>
      <c r="I8747" s="1" t="s">
        <v>770</v>
      </c>
      <c r="J8747" s="1" t="s">
        <v>433</v>
      </c>
      <c r="K8747" s="1" t="s">
        <v>9877</v>
      </c>
      <c r="L8747" s="1" t="s">
        <v>41620</v>
      </c>
      <c r="M8747" s="2" t="s">
        <v>12</v>
      </c>
      <c r="N8747" s="4">
        <f t="shared" si="1"/>
        <v>43831</v>
      </c>
      <c r="O8747" s="5" t="str">
        <f>IFERROR(__xludf.DUMMYFUNCTION("IF(REGEXMATCH(TRIM(I8747), ""^\d+\s*min""), ""Unclassified"", IF(I8747 = """", ""NR"", I8747))"),"G")</f>
        <v>G</v>
      </c>
      <c r="R8747" s="5" t="str">
        <f t="shared" si="2"/>
        <v>Willy Wonka &amp; The Chocolate Factory</v>
      </c>
      <c r="S8747" s="5" t="str">
        <f>IFERROR(__xludf.DUMMYFUNCTION("""COMPUTED_VALUE"""),"Yours Fatefully")</f>
        <v>Yours Fatefully</v>
      </c>
      <c r="V8747" s="5"/>
      <c r="Y8747" s="5" t="str">
        <f>IFERROR(__xludf.DUMMYFUNCTION("REGEXEXTRACT(J8747, ""^\d+"")"),"100")</f>
        <v>100</v>
      </c>
      <c r="Z8747" s="5" t="str">
        <f>IFERROR(__xludf.DUMMYFUNCTION("REGEXEXTRACT(J8747, ""[A-Za-z ]+$"")")," min")</f>
        <v> min</v>
      </c>
      <c r="AA8747" s="5" t="str">
        <f>IFERROR(__xludf.DUMMYFUNCTION("IF(REGEXMATCH(Z8747, ""Season""), ""TV Show"", ""Movie"")"),"Movie")</f>
        <v>Movie</v>
      </c>
    </row>
    <row r="8748">
      <c r="A8748" s="1" t="s">
        <v>41621</v>
      </c>
      <c r="B8748" s="1" t="s">
        <v>27</v>
      </c>
      <c r="C8748" s="1" t="s">
        <v>41622</v>
      </c>
      <c r="D8748" s="1" t="s">
        <v>17629</v>
      </c>
      <c r="F8748" s="1" t="s">
        <v>41623</v>
      </c>
      <c r="G8748" s="1" t="s">
        <v>39981</v>
      </c>
      <c r="H8748" s="1">
        <v>2017.0</v>
      </c>
      <c r="I8748" s="1" t="s">
        <v>97</v>
      </c>
      <c r="J8748" s="1" t="s">
        <v>471</v>
      </c>
      <c r="K8748" s="1" t="s">
        <v>156</v>
      </c>
      <c r="L8748" s="1" t="s">
        <v>41624</v>
      </c>
      <c r="M8748" s="2" t="s">
        <v>12</v>
      </c>
      <c r="N8748" s="4">
        <f t="shared" si="1"/>
        <v>43157</v>
      </c>
      <c r="O8748" s="5" t="str">
        <f>IFERROR(__xludf.DUMMYFUNCTION("IF(REGEXMATCH(TRIM(I8748), ""^\d+\s*min""), ""Unclassified"", IF(I8748 = """", ""NR"", I8748))"),"TV-14")</f>
        <v>TV-14</v>
      </c>
      <c r="R8748" s="5" t="str">
        <f t="shared" si="2"/>
        <v>Winnie</v>
      </c>
      <c r="S8748" s="5" t="str">
        <f>IFERROR(__xludf.DUMMYFUNCTION("""COMPUTED_VALUE"""),"Yours Sincerely, Kanan Gill")</f>
        <v>Yours Sincerely, Kanan Gill</v>
      </c>
      <c r="V8748" s="5"/>
      <c r="Y8748" s="5" t="str">
        <f>IFERROR(__xludf.DUMMYFUNCTION("REGEXEXTRACT(J8748, ""^\d+"")"),"85")</f>
        <v>85</v>
      </c>
      <c r="Z8748" s="5" t="str">
        <f>IFERROR(__xludf.DUMMYFUNCTION("REGEXEXTRACT(J8748, ""[A-Za-z ]+$"")")," min")</f>
        <v> min</v>
      </c>
      <c r="AA8748" s="5" t="str">
        <f>IFERROR(__xludf.DUMMYFUNCTION("IF(REGEXMATCH(Z8748, ""Season""), ""TV Show"", ""Movie"")"),"Movie")</f>
        <v>Movie</v>
      </c>
    </row>
    <row r="8749">
      <c r="A8749" s="1" t="s">
        <v>41625</v>
      </c>
      <c r="B8749" s="1" t="s">
        <v>37</v>
      </c>
      <c r="C8749" s="1" t="s">
        <v>41626</v>
      </c>
      <c r="E8749" s="1" t="s">
        <v>41627</v>
      </c>
      <c r="F8749" s="1" t="s">
        <v>30</v>
      </c>
      <c r="G8749" s="1" t="s">
        <v>22981</v>
      </c>
      <c r="H8749" s="1">
        <v>2016.0</v>
      </c>
      <c r="I8749" s="1" t="s">
        <v>506</v>
      </c>
      <c r="J8749" s="1" t="s">
        <v>51</v>
      </c>
      <c r="K8749" s="1" t="s">
        <v>440</v>
      </c>
      <c r="L8749" s="1" t="s">
        <v>41628</v>
      </c>
      <c r="M8749" s="2" t="s">
        <v>12</v>
      </c>
      <c r="N8749" s="4">
        <f t="shared" si="1"/>
        <v>43449</v>
      </c>
      <c r="O8749" s="5" t="str">
        <f>IFERROR(__xludf.DUMMYFUNCTION("IF(REGEXMATCH(TRIM(I8749), ""^\d+\s*min""), ""Unclassified"", IF(I8749 = """", ""NR"", I8749))"),"TV-G")</f>
        <v>TV-G</v>
      </c>
      <c r="R8749" s="5" t="str">
        <f t="shared" si="2"/>
        <v>Winsanity</v>
      </c>
      <c r="S8749" s="5" t="str">
        <f>IFERROR(__xludf.DUMMYFUNCTION("""COMPUTED_VALUE"""),"Yours, Mine And Ours")</f>
        <v>Yours, Mine And Ours</v>
      </c>
      <c r="V8749" s="5"/>
      <c r="Y8749" s="5" t="str">
        <f>IFERROR(__xludf.DUMMYFUNCTION("REGEXEXTRACT(J8749, ""^\d+"")"),"1")</f>
        <v>1</v>
      </c>
      <c r="Z8749" s="5" t="str">
        <f>IFERROR(__xludf.DUMMYFUNCTION("REGEXEXTRACT(J8749, ""[A-Za-z ]+$"")")," Season")</f>
        <v> Season</v>
      </c>
      <c r="AA8749" s="5" t="str">
        <f>IFERROR(__xludf.DUMMYFUNCTION("IF(REGEXMATCH(Z8749, ""Season""), ""TV Show"", ""Movie"")"),"TV Show")</f>
        <v>TV Show</v>
      </c>
    </row>
    <row r="8750">
      <c r="A8750" s="1" t="s">
        <v>41629</v>
      </c>
      <c r="B8750" s="1" t="s">
        <v>27</v>
      </c>
      <c r="C8750" s="1" t="s">
        <v>41630</v>
      </c>
      <c r="D8750" s="1" t="s">
        <v>11283</v>
      </c>
      <c r="E8750" s="1" t="s">
        <v>41631</v>
      </c>
      <c r="F8750" s="1" t="s">
        <v>221</v>
      </c>
      <c r="G8750" s="1" t="s">
        <v>29185</v>
      </c>
      <c r="H8750" s="1">
        <v>1981.0</v>
      </c>
      <c r="I8750" s="1" t="s">
        <v>30231</v>
      </c>
      <c r="J8750" s="1" t="s">
        <v>1144</v>
      </c>
      <c r="K8750" s="1" t="s">
        <v>1164</v>
      </c>
      <c r="L8750" s="1" t="s">
        <v>41632</v>
      </c>
      <c r="M8750" s="2" t="s">
        <v>12</v>
      </c>
      <c r="N8750" s="4">
        <f t="shared" si="1"/>
        <v>42675</v>
      </c>
      <c r="O8750" s="5" t="str">
        <f>IFERROR(__xludf.DUMMYFUNCTION("IF(REGEXMATCH(TRIM(I8750), ""^\d+\s*min""), ""Unclassified"", IF(I8750 = """", ""NR"", I8750))"),"NR")</f>
        <v>NR</v>
      </c>
      <c r="R8750" s="5" t="str">
        <f t="shared" si="2"/>
        <v>Winter Of Our Dreams</v>
      </c>
      <c r="S8750" s="5" t="str">
        <f>IFERROR(__xludf.DUMMYFUNCTION("""COMPUTED_VALUE"""),"Yowamushi Pedal")</f>
        <v>Yowamushi Pedal</v>
      </c>
      <c r="V8750" s="5"/>
      <c r="Y8750" s="5" t="str">
        <f>IFERROR(__xludf.DUMMYFUNCTION("REGEXEXTRACT(J8750, ""^\d+"")"),"86")</f>
        <v>86</v>
      </c>
      <c r="Z8750" s="5" t="str">
        <f>IFERROR(__xludf.DUMMYFUNCTION("REGEXEXTRACT(J8750, ""[A-Za-z ]+$"")")," min")</f>
        <v> min</v>
      </c>
      <c r="AA8750" s="5" t="str">
        <f>IFERROR(__xludf.DUMMYFUNCTION("IF(REGEXMATCH(Z8750, ""Season""), ""TV Show"", ""Movie"")"),"Movie")</f>
        <v>Movie</v>
      </c>
    </row>
    <row r="8751">
      <c r="A8751" s="1" t="s">
        <v>41633</v>
      </c>
      <c r="B8751" s="1" t="s">
        <v>37</v>
      </c>
      <c r="C8751" s="1" t="s">
        <v>41634</v>
      </c>
      <c r="E8751" s="1" t="s">
        <v>41635</v>
      </c>
      <c r="F8751" s="1" t="s">
        <v>188</v>
      </c>
      <c r="G8751" s="1" t="s">
        <v>27569</v>
      </c>
      <c r="H8751" s="1">
        <v>2014.0</v>
      </c>
      <c r="I8751" s="1" t="s">
        <v>42</v>
      </c>
      <c r="J8751" s="1" t="s">
        <v>51</v>
      </c>
      <c r="K8751" s="1" t="s">
        <v>283</v>
      </c>
      <c r="L8751" s="1" t="s">
        <v>41636</v>
      </c>
      <c r="M8751" s="2" t="s">
        <v>12</v>
      </c>
      <c r="N8751" s="4">
        <f t="shared" si="1"/>
        <v>42948</v>
      </c>
      <c r="O8751" s="5" t="str">
        <f>IFERROR(__xludf.DUMMYFUNCTION("IF(REGEXMATCH(TRIM(I8751), ""^\d+\s*min""), ""Unclassified"", IF(I8751 = """", ""NR"", I8751))"),"TV-MA")</f>
        <v>TV-MA</v>
      </c>
      <c r="R8751" s="5" t="str">
        <f t="shared" si="2"/>
        <v>Winter Sun</v>
      </c>
      <c r="S8751" s="5" t="str">
        <f>IFERROR(__xludf.DUMMYFUNCTION("""COMPUTED_VALUE"""),"Yu-Gi-Oh!")</f>
        <v>Yu-Gi-Oh!</v>
      </c>
      <c r="V8751" s="5"/>
      <c r="Y8751" s="5" t="str">
        <f>IFERROR(__xludf.DUMMYFUNCTION("REGEXEXTRACT(J8751, ""^\d+"")"),"1")</f>
        <v>1</v>
      </c>
      <c r="Z8751" s="5" t="str">
        <f>IFERROR(__xludf.DUMMYFUNCTION("REGEXEXTRACT(J8751, ""[A-Za-z ]+$"")")," Season")</f>
        <v> Season</v>
      </c>
      <c r="AA8751" s="5" t="str">
        <f>IFERROR(__xludf.DUMMYFUNCTION("IF(REGEXMATCH(Z8751, ""Season""), ""TV Show"", ""Movie"")"),"TV Show")</f>
        <v>TV Show</v>
      </c>
    </row>
    <row r="8752">
      <c r="A8752" s="1" t="s">
        <v>41637</v>
      </c>
      <c r="B8752" s="1" t="s">
        <v>27</v>
      </c>
      <c r="C8752" s="1" t="s">
        <v>41638</v>
      </c>
      <c r="D8752" s="1" t="s">
        <v>6266</v>
      </c>
      <c r="E8752" s="1" t="s">
        <v>41639</v>
      </c>
      <c r="F8752" s="1" t="s">
        <v>30</v>
      </c>
      <c r="G8752" s="1" t="s">
        <v>21838</v>
      </c>
      <c r="H8752" s="1">
        <v>2010.0</v>
      </c>
      <c r="I8752" s="1" t="s">
        <v>378</v>
      </c>
      <c r="J8752" s="1" t="s">
        <v>433</v>
      </c>
      <c r="K8752" s="1" t="s">
        <v>1320</v>
      </c>
      <c r="L8752" s="1" t="s">
        <v>41640</v>
      </c>
      <c r="M8752" s="2" t="s">
        <v>12</v>
      </c>
      <c r="N8752" s="4">
        <f t="shared" si="1"/>
        <v>43525</v>
      </c>
      <c r="O8752" s="5" t="str">
        <f>IFERROR(__xludf.DUMMYFUNCTION("IF(REGEXMATCH(TRIM(I8752), ""^\d+\s*min""), ""Unclassified"", IF(I8752 = """", ""NR"", I8752))"),"R")</f>
        <v>R</v>
      </c>
      <c r="R8752" s="5" t="str">
        <f t="shared" si="2"/>
        <v>Winter'S Bone</v>
      </c>
      <c r="S8752" s="5" t="str">
        <f>IFERROR(__xludf.DUMMYFUNCTION("""COMPUTED_VALUE"""),"Yu-Gi-Oh! Arc-V")</f>
        <v>Yu-Gi-Oh! Arc-V</v>
      </c>
      <c r="V8752" s="5"/>
      <c r="Y8752" s="5" t="str">
        <f>IFERROR(__xludf.DUMMYFUNCTION("REGEXEXTRACT(J8752, ""^\d+"")"),"100")</f>
        <v>100</v>
      </c>
      <c r="Z8752" s="5" t="str">
        <f>IFERROR(__xludf.DUMMYFUNCTION("REGEXEXTRACT(J8752, ""[A-Za-z ]+$"")")," min")</f>
        <v> min</v>
      </c>
      <c r="AA8752" s="5" t="str">
        <f>IFERROR(__xludf.DUMMYFUNCTION("IF(REGEXMATCH(Z8752, ""Season""), ""TV Show"", ""Movie"")"),"Movie")</f>
        <v>Movie</v>
      </c>
    </row>
    <row r="8753">
      <c r="A8753" s="1" t="s">
        <v>41641</v>
      </c>
      <c r="B8753" s="1" t="s">
        <v>27</v>
      </c>
      <c r="C8753" s="1" t="s">
        <v>41642</v>
      </c>
      <c r="D8753" s="1" t="s">
        <v>23957</v>
      </c>
      <c r="E8753" s="1" t="s">
        <v>41643</v>
      </c>
      <c r="F8753" s="1" t="s">
        <v>30</v>
      </c>
      <c r="G8753" s="1" t="s">
        <v>24803</v>
      </c>
      <c r="H8753" s="1">
        <v>2014.0</v>
      </c>
      <c r="I8753" s="1" t="s">
        <v>378</v>
      </c>
      <c r="J8753" s="1" t="s">
        <v>256</v>
      </c>
      <c r="K8753" s="1" t="s">
        <v>836</v>
      </c>
      <c r="L8753" s="1" t="s">
        <v>41644</v>
      </c>
      <c r="M8753" s="2" t="s">
        <v>12</v>
      </c>
      <c r="N8753" s="4">
        <f t="shared" si="1"/>
        <v>43328</v>
      </c>
      <c r="O8753" s="5" t="str">
        <f>IFERROR(__xludf.DUMMYFUNCTION("IF(REGEXMATCH(TRIM(I8753), ""^\d+\s*min""), ""Unclassified"", IF(I8753 = """", ""NR"", I8753))"),"R")</f>
        <v>R</v>
      </c>
      <c r="R8753" s="5" t="str">
        <f t="shared" si="2"/>
        <v>Wish I Was Here</v>
      </c>
      <c r="S8753" s="5" t="str">
        <f>IFERROR(__xludf.DUMMYFUNCTION("""COMPUTED_VALUE"""),"Yucatán")</f>
        <v>Yucatán</v>
      </c>
      <c r="V8753" s="5"/>
      <c r="Y8753" s="5" t="str">
        <f>IFERROR(__xludf.DUMMYFUNCTION("REGEXEXTRACT(J8753, ""^\d+"")"),"106")</f>
        <v>106</v>
      </c>
      <c r="Z8753" s="5" t="str">
        <f>IFERROR(__xludf.DUMMYFUNCTION("REGEXEXTRACT(J8753, ""[A-Za-z ]+$"")")," min")</f>
        <v> min</v>
      </c>
      <c r="AA8753" s="5" t="str">
        <f>IFERROR(__xludf.DUMMYFUNCTION("IF(REGEXMATCH(Z8753, ""Season""), ""TV Show"", ""Movie"")"),"Movie")</f>
        <v>Movie</v>
      </c>
    </row>
    <row r="8754">
      <c r="A8754" s="1" t="s">
        <v>41645</v>
      </c>
      <c r="B8754" s="1" t="s">
        <v>27</v>
      </c>
      <c r="C8754" s="1" t="s">
        <v>41646</v>
      </c>
      <c r="D8754" s="1" t="s">
        <v>22375</v>
      </c>
      <c r="E8754" s="1" t="s">
        <v>41647</v>
      </c>
      <c r="F8754" s="1" t="s">
        <v>30</v>
      </c>
      <c r="G8754" s="1" t="s">
        <v>17632</v>
      </c>
      <c r="H8754" s="1">
        <v>2019.0</v>
      </c>
      <c r="I8754" s="1" t="s">
        <v>97</v>
      </c>
      <c r="J8754" s="1" t="s">
        <v>912</v>
      </c>
      <c r="K8754" s="1" t="s">
        <v>771</v>
      </c>
      <c r="L8754" s="1" t="s">
        <v>41648</v>
      </c>
      <c r="M8754" s="2" t="s">
        <v>12</v>
      </c>
      <c r="N8754" s="4">
        <f t="shared" si="1"/>
        <v>43802</v>
      </c>
      <c r="O8754" s="5" t="str">
        <f>IFERROR(__xludf.DUMMYFUNCTION("IF(REGEXMATCH(TRIM(I8754), ""^\d+\s*min""), ""Unclassified"", IF(I8754 = """", ""NR"", I8754))"),"TV-14")</f>
        <v>TV-14</v>
      </c>
      <c r="R8754" s="5" t="str">
        <f t="shared" si="2"/>
        <v>Wish Man</v>
      </c>
      <c r="S8754" s="5" t="str">
        <f>IFERROR(__xludf.DUMMYFUNCTION("""COMPUTED_VALUE"""),"Yummy Mummies")</f>
        <v>Yummy Mummies</v>
      </c>
      <c r="V8754" s="5"/>
      <c r="Y8754" s="5" t="str">
        <f>IFERROR(__xludf.DUMMYFUNCTION("REGEXEXTRACT(J8754, ""^\d+"")"),"108")</f>
        <v>108</v>
      </c>
      <c r="Z8754" s="5" t="str">
        <f>IFERROR(__xludf.DUMMYFUNCTION("REGEXEXTRACT(J8754, ""[A-Za-z ]+$"")")," min")</f>
        <v> min</v>
      </c>
      <c r="AA8754" s="5" t="str">
        <f>IFERROR(__xludf.DUMMYFUNCTION("IF(REGEXMATCH(Z8754, ""Season""), ""TV Show"", ""Movie"")"),"Movie")</f>
        <v>Movie</v>
      </c>
    </row>
    <row r="8755">
      <c r="A8755" s="1" t="s">
        <v>41649</v>
      </c>
      <c r="B8755" s="1" t="s">
        <v>27</v>
      </c>
      <c r="C8755" s="1" t="s">
        <v>41650</v>
      </c>
      <c r="D8755" s="1" t="s">
        <v>514</v>
      </c>
      <c r="E8755" s="1" t="s">
        <v>41651</v>
      </c>
      <c r="F8755" s="1" t="s">
        <v>1106</v>
      </c>
      <c r="G8755" s="7">
        <v>43221.0</v>
      </c>
      <c r="H8755" s="1">
        <v>2017.0</v>
      </c>
      <c r="I8755" s="1" t="s">
        <v>42</v>
      </c>
      <c r="J8755" s="1" t="s">
        <v>2699</v>
      </c>
      <c r="K8755" s="1" t="s">
        <v>1320</v>
      </c>
      <c r="L8755" s="1" t="s">
        <v>41652</v>
      </c>
      <c r="M8755" s="2" t="s">
        <v>12</v>
      </c>
      <c r="N8755" s="4">
        <f t="shared" si="1"/>
        <v>43221</v>
      </c>
      <c r="O8755" s="5" t="str">
        <f>IFERROR(__xludf.DUMMYFUNCTION("IF(REGEXMATCH(TRIM(I8755), ""^\d+\s*min""), ""Unclassified"", IF(I8755 = """", ""NR"", I8755))"),"TV-MA")</f>
        <v>TV-MA</v>
      </c>
      <c r="R8755" s="5" t="str">
        <f t="shared" si="2"/>
        <v>Withdrawn</v>
      </c>
      <c r="S8755" s="5" t="str">
        <f>IFERROR(__xludf.DUMMYFUNCTION("""COMPUTED_VALUE"""),"Yunus Emre")</f>
        <v>Yunus Emre</v>
      </c>
      <c r="V8755" s="5"/>
      <c r="Y8755" s="5" t="str">
        <f>IFERROR(__xludf.DUMMYFUNCTION("REGEXEXTRACT(J8755, ""^\d+"")"),"74")</f>
        <v>74</v>
      </c>
      <c r="Z8755" s="5" t="str">
        <f>IFERROR(__xludf.DUMMYFUNCTION("REGEXEXTRACT(J8755, ""[A-Za-z ]+$"")")," min")</f>
        <v> min</v>
      </c>
      <c r="AA8755" s="5" t="str">
        <f>IFERROR(__xludf.DUMMYFUNCTION("IF(REGEXMATCH(Z8755, ""Season""), ""TV Show"", ""Movie"")"),"Movie")</f>
        <v>Movie</v>
      </c>
    </row>
    <row r="8756">
      <c r="A8756" s="1" t="s">
        <v>41653</v>
      </c>
      <c r="B8756" s="1" t="s">
        <v>27</v>
      </c>
      <c r="C8756" s="1" t="s">
        <v>41654</v>
      </c>
      <c r="D8756" s="1" t="s">
        <v>3039</v>
      </c>
      <c r="E8756" s="1" t="s">
        <v>41655</v>
      </c>
      <c r="F8756" s="1" t="s">
        <v>30</v>
      </c>
      <c r="G8756" s="1" t="s">
        <v>21407</v>
      </c>
      <c r="H8756" s="1">
        <v>2016.0</v>
      </c>
      <c r="I8756" s="1" t="s">
        <v>378</v>
      </c>
      <c r="J8756" s="1" t="s">
        <v>1065</v>
      </c>
      <c r="K8756" s="1" t="s">
        <v>9047</v>
      </c>
      <c r="L8756" s="1" t="s">
        <v>41656</v>
      </c>
      <c r="M8756" s="2" t="s">
        <v>12</v>
      </c>
      <c r="N8756" s="4">
        <f t="shared" si="1"/>
        <v>43553</v>
      </c>
      <c r="O8756" s="5" t="str">
        <f>IFERROR(__xludf.DUMMYFUNCTION("IF(REGEXMATCH(TRIM(I8756), ""^\d+\s*min""), ""Unclassified"", IF(I8756 = """", ""NR"", I8756))"),"R")</f>
        <v>R</v>
      </c>
      <c r="R8756" s="5" t="str">
        <f t="shared" si="2"/>
        <v>Wolves</v>
      </c>
      <c r="S8756" s="5" t="str">
        <f>IFERROR(__xludf.DUMMYFUNCTION("""COMPUTED_VALUE"""),"Yuva")</f>
        <v>Yuva</v>
      </c>
      <c r="V8756" s="5"/>
      <c r="Y8756" s="5" t="str">
        <f>IFERROR(__xludf.DUMMYFUNCTION("REGEXEXTRACT(J8756, ""^\d+"")"),"109")</f>
        <v>109</v>
      </c>
      <c r="Z8756" s="5" t="str">
        <f>IFERROR(__xludf.DUMMYFUNCTION("REGEXEXTRACT(J8756, ""[A-Za-z ]+$"")")," min")</f>
        <v> min</v>
      </c>
      <c r="AA8756" s="5" t="str">
        <f>IFERROR(__xludf.DUMMYFUNCTION("IF(REGEXMATCH(Z8756, ""Season""), ""TV Show"", ""Movie"")"),"Movie")</f>
        <v>Movie</v>
      </c>
    </row>
    <row r="8757">
      <c r="A8757" s="1" t="s">
        <v>41657</v>
      </c>
      <c r="B8757" s="1" t="s">
        <v>37</v>
      </c>
      <c r="C8757" s="1" t="s">
        <v>41658</v>
      </c>
      <c r="F8757" s="1" t="s">
        <v>30</v>
      </c>
      <c r="G8757" s="1" t="s">
        <v>34390</v>
      </c>
      <c r="H8757" s="1">
        <v>2010.0</v>
      </c>
      <c r="I8757" s="1" t="s">
        <v>97</v>
      </c>
      <c r="J8757" s="1" t="s">
        <v>276</v>
      </c>
      <c r="K8757" s="1" t="s">
        <v>2043</v>
      </c>
      <c r="L8757" s="1" t="s">
        <v>41659</v>
      </c>
      <c r="M8757" s="2" t="s">
        <v>12</v>
      </c>
      <c r="N8757" s="1" t="str">
        <f t="shared" si="1"/>
        <v>#N/A</v>
      </c>
      <c r="O8757" s="5" t="str">
        <f>IFERROR(__xludf.DUMMYFUNCTION("IF(REGEXMATCH(TRIM(I8757), ""^\d+\s*min""), ""Unclassified"", IF(I8757 = """", ""NR"", I8757))"),"TV-14")</f>
        <v>TV-14</v>
      </c>
      <c r="R8757" s="5" t="str">
        <f t="shared" si="2"/>
        <v>Women Behind Bars</v>
      </c>
      <c r="S8757" s="5" t="str">
        <f>IFERROR(__xludf.DUMMYFUNCTION("""COMPUTED_VALUE"""),"Z Nation")</f>
        <v>Z Nation</v>
      </c>
      <c r="V8757" s="5"/>
      <c r="Y8757" s="5" t="str">
        <f>IFERROR(__xludf.DUMMYFUNCTION("REGEXEXTRACT(J8757, ""^\d+"")"),"3")</f>
        <v>3</v>
      </c>
      <c r="Z8757" s="5" t="str">
        <f>IFERROR(__xludf.DUMMYFUNCTION("REGEXEXTRACT(J8757, ""[A-Za-z ]+$"")")," Seasons")</f>
        <v> Seasons</v>
      </c>
      <c r="AA8757" s="5" t="str">
        <f>IFERROR(__xludf.DUMMYFUNCTION("IF(REGEXMATCH(Z8757, ""Season""), ""TV Show"", ""Movie"")"),"TV Show")</f>
        <v>TV Show</v>
      </c>
    </row>
    <row r="8758">
      <c r="A8758" s="1" t="s">
        <v>41660</v>
      </c>
      <c r="B8758" s="1" t="s">
        <v>27</v>
      </c>
      <c r="C8758" s="1" t="s">
        <v>41661</v>
      </c>
      <c r="D8758" s="1" t="s">
        <v>2966</v>
      </c>
      <c r="F8758" s="1" t="s">
        <v>30</v>
      </c>
      <c r="G8758" s="1" t="s">
        <v>19633</v>
      </c>
      <c r="H8758" s="1">
        <v>2019.0</v>
      </c>
      <c r="I8758" s="1" t="s">
        <v>42</v>
      </c>
      <c r="J8758" s="1" t="s">
        <v>247</v>
      </c>
      <c r="K8758" s="1" t="s">
        <v>700</v>
      </c>
      <c r="L8758" s="1" t="s">
        <v>41662</v>
      </c>
      <c r="M8758" s="2" t="s">
        <v>12</v>
      </c>
      <c r="N8758" s="4">
        <f t="shared" si="1"/>
        <v>43690</v>
      </c>
      <c r="O8758" s="5" t="str">
        <f>IFERROR(__xludf.DUMMYFUNCTION("IF(REGEXMATCH(TRIM(I8758), ""^\d+\s*min""), ""Unclassified"", IF(I8758 = """", ""NR"", I8758))"),"TV-MA")</f>
        <v>TV-MA</v>
      </c>
      <c r="R8758" s="5" t="str">
        <f t="shared" si="2"/>
        <v>Woodstock</v>
      </c>
      <c r="S8758" s="5" t="str">
        <f>IFERROR(__xludf.DUMMYFUNCTION("""COMPUTED_VALUE"""),"Z4")</f>
        <v>Z4</v>
      </c>
      <c r="V8758" s="5"/>
      <c r="Y8758" s="5" t="str">
        <f>IFERROR(__xludf.DUMMYFUNCTION("REGEXEXTRACT(J8758, ""^\d+"")"),"97")</f>
        <v>97</v>
      </c>
      <c r="Z8758" s="5" t="str">
        <f>IFERROR(__xludf.DUMMYFUNCTION("REGEXEXTRACT(J8758, ""[A-Za-z ]+$"")")," min")</f>
        <v> min</v>
      </c>
      <c r="AA8758" s="5" t="str">
        <f>IFERROR(__xludf.DUMMYFUNCTION("IF(REGEXMATCH(Z8758, ""Season""), ""TV Show"", ""Movie"")"),"Movie")</f>
        <v>Movie</v>
      </c>
    </row>
    <row r="8759">
      <c r="A8759" s="1" t="s">
        <v>41663</v>
      </c>
      <c r="B8759" s="1" t="s">
        <v>27</v>
      </c>
      <c r="C8759" s="1" t="s">
        <v>41664</v>
      </c>
      <c r="D8759" s="1" t="s">
        <v>7098</v>
      </c>
      <c r="E8759" s="1" t="s">
        <v>41665</v>
      </c>
      <c r="F8759" s="1" t="s">
        <v>30</v>
      </c>
      <c r="G8759" s="1" t="s">
        <v>17941</v>
      </c>
      <c r="H8759" s="1">
        <v>2006.0</v>
      </c>
      <c r="I8759" s="1" t="s">
        <v>32</v>
      </c>
      <c r="J8759" s="1" t="s">
        <v>1273</v>
      </c>
      <c r="K8759" s="1" t="s">
        <v>323</v>
      </c>
      <c r="L8759" s="1" t="s">
        <v>41666</v>
      </c>
      <c r="M8759" s="2" t="s">
        <v>12</v>
      </c>
      <c r="N8759" s="4">
        <f t="shared" si="1"/>
        <v>43789</v>
      </c>
      <c r="O8759" s="5" t="str">
        <f>IFERROR(__xludf.DUMMYFUNCTION("IF(REGEXMATCH(TRIM(I8759), ""^\d+\s*min""), ""Unclassified"", IF(I8759 = """", ""NR"", I8759))"),"PG-13")</f>
        <v>PG-13</v>
      </c>
      <c r="R8759" s="5" t="str">
        <f t="shared" si="2"/>
        <v>World Trade Center</v>
      </c>
      <c r="S8759" s="5" t="str">
        <f>IFERROR(__xludf.DUMMYFUNCTION("""COMPUTED_VALUE"""),"Zac And Mia")</f>
        <v>Zac And Mia</v>
      </c>
      <c r="V8759" s="5"/>
      <c r="Y8759" s="5" t="str">
        <f>IFERROR(__xludf.DUMMYFUNCTION("REGEXEXTRACT(J8759, ""^\d+"")"),"129")</f>
        <v>129</v>
      </c>
      <c r="Z8759" s="5" t="str">
        <f>IFERROR(__xludf.DUMMYFUNCTION("REGEXEXTRACT(J8759, ""[A-Za-z ]+$"")")," min")</f>
        <v> min</v>
      </c>
      <c r="AA8759" s="5" t="str">
        <f>IFERROR(__xludf.DUMMYFUNCTION("IF(REGEXMATCH(Z8759, ""Season""), ""TV Show"", ""Movie"")"),"Movie")</f>
        <v>Movie</v>
      </c>
    </row>
    <row r="8760">
      <c r="A8760" s="1" t="s">
        <v>41667</v>
      </c>
      <c r="B8760" s="1" t="s">
        <v>37</v>
      </c>
      <c r="C8760" s="1" t="s">
        <v>41668</v>
      </c>
      <c r="E8760" s="1" t="s">
        <v>41669</v>
      </c>
      <c r="F8760" s="1" t="s">
        <v>96</v>
      </c>
      <c r="G8760" s="1" t="s">
        <v>22239</v>
      </c>
      <c r="H8760" s="1">
        <v>2017.0</v>
      </c>
      <c r="I8760" s="1" t="s">
        <v>136</v>
      </c>
      <c r="J8760" s="1" t="s">
        <v>51</v>
      </c>
      <c r="K8760" s="1" t="s">
        <v>4190</v>
      </c>
      <c r="L8760" s="1" t="s">
        <v>41670</v>
      </c>
      <c r="M8760" s="2" t="s">
        <v>12</v>
      </c>
      <c r="N8760" s="4">
        <f t="shared" si="1"/>
        <v>43497</v>
      </c>
      <c r="O8760" s="5" t="str">
        <f>IFERROR(__xludf.DUMMYFUNCTION("IF(REGEXMATCH(TRIM(I8760), ""^\d+\s*min""), ""Unclassified"", IF(I8760 = """", ""NR"", I8760))"),"TV-PG")</f>
        <v>TV-PG</v>
      </c>
      <c r="R8760" s="5" t="str">
        <f t="shared" si="2"/>
        <v>World'S Busiest Cities</v>
      </c>
      <c r="S8760" s="5" t="str">
        <f>IFERROR(__xludf.DUMMYFUNCTION("""COMPUTED_VALUE"""),"Zach Galifianakis: Live At The Purple Onion")</f>
        <v>Zach Galifianakis: Live At The Purple Onion</v>
      </c>
      <c r="V8760" s="5"/>
      <c r="Y8760" s="5" t="str">
        <f>IFERROR(__xludf.DUMMYFUNCTION("REGEXEXTRACT(J8760, ""^\d+"")"),"1")</f>
        <v>1</v>
      </c>
      <c r="Z8760" s="5" t="str">
        <f>IFERROR(__xludf.DUMMYFUNCTION("REGEXEXTRACT(J8760, ""[A-Za-z ]+$"")")," Season")</f>
        <v> Season</v>
      </c>
      <c r="AA8760" s="5" t="str">
        <f>IFERROR(__xludf.DUMMYFUNCTION("IF(REGEXMATCH(Z8760, ""Season""), ""TV Show"", ""Movie"")"),"TV Show")</f>
        <v>TV Show</v>
      </c>
    </row>
    <row r="8761">
      <c r="A8761" s="1" t="s">
        <v>41671</v>
      </c>
      <c r="B8761" s="1" t="s">
        <v>27</v>
      </c>
      <c r="C8761" s="1" t="s">
        <v>41672</v>
      </c>
      <c r="D8761" s="1" t="s">
        <v>21775</v>
      </c>
      <c r="E8761" s="1" t="s">
        <v>41673</v>
      </c>
      <c r="G8761" s="1" t="s">
        <v>22239</v>
      </c>
      <c r="H8761" s="1">
        <v>2015.0</v>
      </c>
      <c r="I8761" s="1" t="s">
        <v>136</v>
      </c>
      <c r="J8761" s="1" t="s">
        <v>4677</v>
      </c>
      <c r="K8761" s="1" t="s">
        <v>2032</v>
      </c>
      <c r="L8761" s="1" t="s">
        <v>41674</v>
      </c>
      <c r="M8761" s="2" t="s">
        <v>12</v>
      </c>
      <c r="N8761" s="4">
        <f t="shared" si="1"/>
        <v>43497</v>
      </c>
      <c r="O8761" s="5" t="str">
        <f>IFERROR(__xludf.DUMMYFUNCTION("IF(REGEXMATCH(TRIM(I8761), ""^\d+\s*min""), ""Unclassified"", IF(I8761 = """", ""NR"", I8761))"),"TV-PG")</f>
        <v>TV-PG</v>
      </c>
      <c r="R8761" s="5" t="str">
        <f t="shared" si="2"/>
        <v>World'S Weirdest Homes</v>
      </c>
      <c r="S8761" s="5" t="str">
        <f>IFERROR(__xludf.DUMMYFUNCTION("""COMPUTED_VALUE"""),"Zack And Miri Make A Porno")</f>
        <v>Zack And Miri Make A Porno</v>
      </c>
      <c r="V8761" s="5"/>
      <c r="Y8761" s="5" t="str">
        <f>IFERROR(__xludf.DUMMYFUNCTION("REGEXEXTRACT(J8761, ""^\d+"")"),"49")</f>
        <v>49</v>
      </c>
      <c r="Z8761" s="5" t="str">
        <f>IFERROR(__xludf.DUMMYFUNCTION("REGEXEXTRACT(J8761, ""[A-Za-z ]+$"")")," min")</f>
        <v> min</v>
      </c>
      <c r="AA8761" s="5" t="str">
        <f>IFERROR(__xludf.DUMMYFUNCTION("IF(REGEXMATCH(Z8761, ""Season""), ""TV Show"", ""Movie"")"),"Movie")</f>
        <v>Movie</v>
      </c>
    </row>
    <row r="8762">
      <c r="A8762" s="1" t="s">
        <v>41675</v>
      </c>
      <c r="B8762" s="1" t="s">
        <v>27</v>
      </c>
      <c r="C8762" s="1" t="s">
        <v>41676</v>
      </c>
      <c r="D8762" s="1" t="s">
        <v>5952</v>
      </c>
      <c r="E8762" s="1" t="s">
        <v>41677</v>
      </c>
      <c r="F8762" s="1" t="s">
        <v>30</v>
      </c>
      <c r="G8762" s="1" t="s">
        <v>20516</v>
      </c>
      <c r="H8762" s="1">
        <v>2013.0</v>
      </c>
      <c r="I8762" s="1" t="s">
        <v>42</v>
      </c>
      <c r="J8762" s="1" t="s">
        <v>454</v>
      </c>
      <c r="K8762" s="1" t="s">
        <v>18588</v>
      </c>
      <c r="L8762" s="1" t="s">
        <v>41678</v>
      </c>
      <c r="M8762" s="2" t="s">
        <v>12</v>
      </c>
      <c r="N8762" s="4">
        <f t="shared" si="1"/>
        <v>43621</v>
      </c>
      <c r="O8762" s="5" t="str">
        <f>IFERROR(__xludf.DUMMYFUNCTION("IF(REGEXMATCH(TRIM(I8762), ""^\d+\s*min""), ""Unclassified"", IF(I8762 = """", ""NR"", I8762))"),"TV-MA")</f>
        <v>TV-MA</v>
      </c>
      <c r="R8762" s="5" t="str">
        <f t="shared" si="2"/>
        <v>Would You Rather</v>
      </c>
      <c r="S8762" s="5" t="str">
        <f>IFERROR(__xludf.DUMMYFUNCTION("""COMPUTED_VALUE"""),"Zak Storm")</f>
        <v>Zak Storm</v>
      </c>
      <c r="V8762" s="5"/>
      <c r="Y8762" s="5" t="str">
        <f>IFERROR(__xludf.DUMMYFUNCTION("REGEXEXTRACT(J8762, ""^\d+"")"),"93")</f>
        <v>93</v>
      </c>
      <c r="Z8762" s="5" t="str">
        <f>IFERROR(__xludf.DUMMYFUNCTION("REGEXEXTRACT(J8762, ""[A-Za-z ]+$"")")," min")</f>
        <v> min</v>
      </c>
      <c r="AA8762" s="5" t="str">
        <f>IFERROR(__xludf.DUMMYFUNCTION("IF(REGEXMATCH(Z8762, ""Season""), ""TV Show"", ""Movie"")"),"Movie")</f>
        <v>Movie</v>
      </c>
    </row>
    <row r="8763">
      <c r="A8763" s="1" t="s">
        <v>41679</v>
      </c>
      <c r="B8763" s="1" t="s">
        <v>27</v>
      </c>
      <c r="C8763" s="1" t="s">
        <v>41680</v>
      </c>
      <c r="D8763" s="1" t="s">
        <v>23796</v>
      </c>
      <c r="E8763" s="1" t="s">
        <v>41681</v>
      </c>
      <c r="F8763" s="1" t="s">
        <v>19350</v>
      </c>
      <c r="G8763" s="1" t="s">
        <v>27735</v>
      </c>
      <c r="H8763" s="1">
        <v>2015.0</v>
      </c>
      <c r="I8763" s="1" t="s">
        <v>97</v>
      </c>
      <c r="J8763" s="1" t="s">
        <v>1428</v>
      </c>
      <c r="K8763" s="1" t="s">
        <v>215</v>
      </c>
      <c r="L8763" s="1" t="s">
        <v>41682</v>
      </c>
      <c r="M8763" s="2" t="s">
        <v>12</v>
      </c>
      <c r="N8763" s="4">
        <f t="shared" si="1"/>
        <v>42917</v>
      </c>
      <c r="O8763" s="5" t="str">
        <f>IFERROR(__xludf.DUMMYFUNCTION("IF(REGEXMATCH(TRIM(I8763), ""^\d+\s*min""), ""Unclassified"", IF(I8763 = """", ""NR"", I8763))"),"TV-14")</f>
        <v>TV-14</v>
      </c>
      <c r="R8763" s="5" t="str">
        <f t="shared" si="2"/>
        <v>Wrong No.</v>
      </c>
      <c r="S8763" s="5" t="str">
        <f>IFERROR(__xludf.DUMMYFUNCTION("""COMPUTED_VALUE"""),"Zaki Chan")</f>
        <v>Zaki Chan</v>
      </c>
      <c r="V8763" s="5"/>
      <c r="Y8763" s="5" t="str">
        <f>IFERROR(__xludf.DUMMYFUNCTION("REGEXEXTRACT(J8763, ""^\d+"")"),"133")</f>
        <v>133</v>
      </c>
      <c r="Z8763" s="5" t="str">
        <f>IFERROR(__xludf.DUMMYFUNCTION("REGEXEXTRACT(J8763, ""[A-Za-z ]+$"")")," min")</f>
        <v> min</v>
      </c>
      <c r="AA8763" s="5" t="str">
        <f>IFERROR(__xludf.DUMMYFUNCTION("IF(REGEXMATCH(Z8763, ""Season""), ""TV Show"", ""Movie"")"),"Movie")</f>
        <v>Movie</v>
      </c>
    </row>
    <row r="8764">
      <c r="A8764" s="1" t="s">
        <v>41683</v>
      </c>
      <c r="B8764" s="1" t="s">
        <v>27</v>
      </c>
      <c r="C8764" s="1" t="s">
        <v>41684</v>
      </c>
      <c r="D8764" s="1" t="s">
        <v>16112</v>
      </c>
      <c r="E8764" s="1" t="s">
        <v>41685</v>
      </c>
      <c r="F8764" s="1" t="s">
        <v>63</v>
      </c>
      <c r="G8764" s="1" t="s">
        <v>27097</v>
      </c>
      <c r="H8764" s="1">
        <v>2016.0</v>
      </c>
      <c r="I8764" s="1" t="s">
        <v>42</v>
      </c>
      <c r="J8764" s="1" t="s">
        <v>1704</v>
      </c>
      <c r="K8764" s="1" t="s">
        <v>128</v>
      </c>
      <c r="L8764" s="1" t="s">
        <v>41686</v>
      </c>
      <c r="M8764" s="2" t="s">
        <v>12</v>
      </c>
      <c r="N8764" s="4">
        <f t="shared" si="1"/>
        <v>43009</v>
      </c>
      <c r="O8764" s="5" t="str">
        <f>IFERROR(__xludf.DUMMYFUNCTION("IF(REGEXMATCH(TRIM(I8764), ""^\d+\s*min""), ""Unclassified"", IF(I8764 = """", ""NR"", I8764))"),"TV-MA")</f>
        <v>TV-MA</v>
      </c>
      <c r="R8764" s="5" t="str">
        <f t="shared" si="2"/>
        <v>Wrong Side Raju</v>
      </c>
      <c r="S8764" s="5" t="str">
        <f>IFERROR(__xludf.DUMMYFUNCTION("""COMPUTED_VALUE"""),"Zapped")</f>
        <v>Zapped</v>
      </c>
      <c r="V8764" s="5"/>
      <c r="Y8764" s="5" t="str">
        <f>IFERROR(__xludf.DUMMYFUNCTION("REGEXEXTRACT(J8764, ""^\d+"")"),"140")</f>
        <v>140</v>
      </c>
      <c r="Z8764" s="5" t="str">
        <f>IFERROR(__xludf.DUMMYFUNCTION("REGEXEXTRACT(J8764, ""[A-Za-z ]+$"")")," min")</f>
        <v> min</v>
      </c>
      <c r="AA8764" s="5" t="str">
        <f>IFERROR(__xludf.DUMMYFUNCTION("IF(REGEXMATCH(Z8764, ""Season""), ""TV Show"", ""Movie"")"),"Movie")</f>
        <v>Movie</v>
      </c>
    </row>
    <row r="8765">
      <c r="A8765" s="1" t="s">
        <v>41687</v>
      </c>
      <c r="B8765" s="1" t="s">
        <v>27</v>
      </c>
      <c r="C8765" s="1" t="s">
        <v>41688</v>
      </c>
      <c r="D8765" s="1" t="s">
        <v>11349</v>
      </c>
      <c r="F8765" s="1" t="s">
        <v>30</v>
      </c>
      <c r="G8765" s="1" t="s">
        <v>28421</v>
      </c>
      <c r="H8765" s="1">
        <v>1943.0</v>
      </c>
      <c r="I8765" s="1" t="s">
        <v>136</v>
      </c>
      <c r="J8765" s="1" t="s">
        <v>9520</v>
      </c>
      <c r="K8765" s="1" t="s">
        <v>34</v>
      </c>
      <c r="L8765" s="1" t="s">
        <v>41689</v>
      </c>
      <c r="M8765" s="2" t="s">
        <v>12</v>
      </c>
      <c r="N8765" s="4">
        <f t="shared" si="1"/>
        <v>42825</v>
      </c>
      <c r="O8765" s="5" t="str">
        <f>IFERROR(__xludf.DUMMYFUNCTION("IF(REGEXMATCH(TRIM(I8765), ""^\d+\s*min""), ""Unclassified"", IF(I8765 = """", ""NR"", I8765))"),"TV-PG")</f>
        <v>TV-PG</v>
      </c>
      <c r="R8765" s="5" t="str">
        <f t="shared" si="2"/>
        <v>Wwii: Report From The Aleutians</v>
      </c>
      <c r="S8765" s="5" t="str">
        <f>IFERROR(__xludf.DUMMYFUNCTION("""COMPUTED_VALUE"""),"Zathura")</f>
        <v>Zathura</v>
      </c>
      <c r="V8765" s="5"/>
      <c r="Y8765" s="5" t="str">
        <f>IFERROR(__xludf.DUMMYFUNCTION("REGEXEXTRACT(J8765, ""^\d+"")"),"45")</f>
        <v>45</v>
      </c>
      <c r="Z8765" s="5" t="str">
        <f>IFERROR(__xludf.DUMMYFUNCTION("REGEXEXTRACT(J8765, ""[A-Za-z ]+$"")")," min")</f>
        <v> min</v>
      </c>
      <c r="AA8765" s="5" t="str">
        <f>IFERROR(__xludf.DUMMYFUNCTION("IF(REGEXMATCH(Z8765, ""Season""), ""TV Show"", ""Movie"")"),"Movie")</f>
        <v>Movie</v>
      </c>
    </row>
    <row r="8766">
      <c r="A8766" s="1" t="s">
        <v>41690</v>
      </c>
      <c r="B8766" s="1" t="s">
        <v>27</v>
      </c>
      <c r="C8766" s="1" t="s">
        <v>41691</v>
      </c>
      <c r="D8766" s="1" t="s">
        <v>13476</v>
      </c>
      <c r="E8766" s="1" t="s">
        <v>41692</v>
      </c>
      <c r="F8766" s="1" t="s">
        <v>30</v>
      </c>
      <c r="G8766" s="1" t="s">
        <v>16947</v>
      </c>
      <c r="H8766" s="1">
        <v>1994.0</v>
      </c>
      <c r="I8766" s="1" t="s">
        <v>32</v>
      </c>
      <c r="J8766" s="1" t="s">
        <v>41693</v>
      </c>
      <c r="K8766" s="1" t="s">
        <v>380</v>
      </c>
      <c r="L8766" s="1" t="s">
        <v>41694</v>
      </c>
      <c r="M8766" s="2" t="s">
        <v>12</v>
      </c>
      <c r="N8766" s="4">
        <f t="shared" si="1"/>
        <v>43831</v>
      </c>
      <c r="O8766" s="5" t="str">
        <f>IFERROR(__xludf.DUMMYFUNCTION("IF(REGEXMATCH(TRIM(I8766), ""^\d+\s*min""), ""Unclassified"", IF(I8766 = """", ""NR"", I8766))"),"PG-13")</f>
        <v>PG-13</v>
      </c>
      <c r="R8766" s="5" t="str">
        <f t="shared" si="2"/>
        <v>Wyatt Earp</v>
      </c>
      <c r="S8766" s="5" t="str">
        <f>IFERROR(__xludf.DUMMYFUNCTION("""COMPUTED_VALUE"""),"Zed Plus")</f>
        <v>Zed Plus</v>
      </c>
      <c r="V8766" s="5"/>
      <c r="Y8766" s="5" t="str">
        <f>IFERROR(__xludf.DUMMYFUNCTION("REGEXEXTRACT(J8766, ""^\d+"")"),"191")</f>
        <v>191</v>
      </c>
      <c r="Z8766" s="5" t="str">
        <f>IFERROR(__xludf.DUMMYFUNCTION("REGEXEXTRACT(J8766, ""[A-Za-z ]+$"")")," min")</f>
        <v> min</v>
      </c>
      <c r="AA8766" s="5" t="str">
        <f>IFERROR(__xludf.DUMMYFUNCTION("IF(REGEXMATCH(Z8766, ""Season""), ""TV Show"", ""Movie"")"),"Movie")</f>
        <v>Movie</v>
      </c>
    </row>
    <row r="8767">
      <c r="A8767" s="1" t="s">
        <v>41695</v>
      </c>
      <c r="B8767" s="1" t="s">
        <v>27</v>
      </c>
      <c r="C8767" s="1" t="s">
        <v>41696</v>
      </c>
      <c r="D8767" s="1" t="s">
        <v>11952</v>
      </c>
      <c r="E8767" s="1" t="s">
        <v>41697</v>
      </c>
      <c r="F8767" s="1" t="s">
        <v>1979</v>
      </c>
      <c r="G8767" s="1" t="s">
        <v>31816</v>
      </c>
      <c r="H8767" s="1">
        <v>2017.0</v>
      </c>
      <c r="I8767" s="1" t="s">
        <v>378</v>
      </c>
      <c r="J8767" s="1" t="s">
        <v>2452</v>
      </c>
      <c r="K8767" s="1" t="s">
        <v>1551</v>
      </c>
      <c r="L8767" s="1" t="s">
        <v>41698</v>
      </c>
      <c r="M8767" s="2" t="s">
        <v>12</v>
      </c>
      <c r="N8767" s="4">
        <f t="shared" si="1"/>
        <v>42908</v>
      </c>
      <c r="O8767" s="5" t="str">
        <f>IFERROR(__xludf.DUMMYFUNCTION("IF(REGEXMATCH(TRIM(I8767), ""^\d+\s*min""), ""Unclassified"", IF(I8767 = """", ""NR"", I8767))"),"R")</f>
        <v>R</v>
      </c>
      <c r="R8767" s="5" t="str">
        <f t="shared" si="2"/>
        <v>Xx</v>
      </c>
      <c r="S8767" s="5" t="str">
        <f>IFERROR(__xludf.DUMMYFUNCTION("""COMPUTED_VALUE"""),"Zenda")</f>
        <v>Zenda</v>
      </c>
      <c r="V8767" s="5"/>
      <c r="Y8767" s="5" t="str">
        <f>IFERROR(__xludf.DUMMYFUNCTION("REGEXEXTRACT(J8767, ""^\d+"")"),"81")</f>
        <v>81</v>
      </c>
      <c r="Z8767" s="5" t="str">
        <f>IFERROR(__xludf.DUMMYFUNCTION("REGEXEXTRACT(J8767, ""[A-Za-z ]+$"")")," min")</f>
        <v> min</v>
      </c>
      <c r="AA8767" s="5" t="str">
        <f>IFERROR(__xludf.DUMMYFUNCTION("IF(REGEXMATCH(Z8767, ""Season""), ""TV Show"", ""Movie"")"),"Movie")</f>
        <v>Movie</v>
      </c>
    </row>
    <row r="8768">
      <c r="A8768" s="1" t="s">
        <v>41699</v>
      </c>
      <c r="B8768" s="1" t="s">
        <v>27</v>
      </c>
      <c r="C8768" s="1" t="s">
        <v>41700</v>
      </c>
      <c r="D8768" s="1" t="s">
        <v>19314</v>
      </c>
      <c r="E8768" s="1" t="s">
        <v>41701</v>
      </c>
      <c r="F8768" s="1" t="s">
        <v>30</v>
      </c>
      <c r="G8768" s="1" t="s">
        <v>22635</v>
      </c>
      <c r="H8768" s="1">
        <v>2002.0</v>
      </c>
      <c r="I8768" s="1" t="s">
        <v>32</v>
      </c>
      <c r="J8768" s="1" t="s">
        <v>341</v>
      </c>
      <c r="K8768" s="1" t="s">
        <v>5584</v>
      </c>
      <c r="L8768" s="1" t="s">
        <v>41702</v>
      </c>
      <c r="M8768" s="2" t="s">
        <v>12</v>
      </c>
      <c r="N8768" s="4">
        <f t="shared" si="1"/>
        <v>43466</v>
      </c>
      <c r="O8768" s="5" t="str">
        <f>IFERROR(__xludf.DUMMYFUNCTION("IF(REGEXMATCH(TRIM(I8768), ""^\d+\s*min""), ""Unclassified"", IF(I8768 = """", ""NR"", I8768))"),"PG-13")</f>
        <v>PG-13</v>
      </c>
      <c r="R8768" s="5" t="str">
        <f t="shared" si="2"/>
        <v>Xxx</v>
      </c>
      <c r="S8768" s="5" t="str">
        <f>IFERROR(__xludf.DUMMYFUNCTION("""COMPUTED_VALUE"""),"Zero")</f>
        <v>Zero</v>
      </c>
      <c r="V8768" s="5"/>
      <c r="Y8768" s="5" t="str">
        <f>IFERROR(__xludf.DUMMYFUNCTION("REGEXEXTRACT(J8768, ""^\d+"")"),"124")</f>
        <v>124</v>
      </c>
      <c r="Z8768" s="5" t="str">
        <f>IFERROR(__xludf.DUMMYFUNCTION("REGEXEXTRACT(J8768, ""[A-Za-z ]+$"")")," min")</f>
        <v> min</v>
      </c>
      <c r="AA8768" s="5" t="str">
        <f>IFERROR(__xludf.DUMMYFUNCTION("IF(REGEXMATCH(Z8768, ""Season""), ""TV Show"", ""Movie"")"),"Movie")</f>
        <v>Movie</v>
      </c>
    </row>
    <row r="8769">
      <c r="A8769" s="1" t="s">
        <v>41703</v>
      </c>
      <c r="B8769" s="1" t="s">
        <v>27</v>
      </c>
      <c r="C8769" s="1" t="s">
        <v>41704</v>
      </c>
      <c r="D8769" s="1" t="s">
        <v>13565</v>
      </c>
      <c r="E8769" s="1" t="s">
        <v>41705</v>
      </c>
      <c r="F8769" s="1" t="s">
        <v>30</v>
      </c>
      <c r="G8769" s="1" t="s">
        <v>22635</v>
      </c>
      <c r="H8769" s="1">
        <v>2005.0</v>
      </c>
      <c r="I8769" s="1" t="s">
        <v>32</v>
      </c>
      <c r="J8769" s="1" t="s">
        <v>1091</v>
      </c>
      <c r="K8769" s="1" t="s">
        <v>380</v>
      </c>
      <c r="L8769" s="1" t="s">
        <v>41706</v>
      </c>
      <c r="M8769" s="2" t="s">
        <v>12</v>
      </c>
      <c r="N8769" s="4">
        <f t="shared" si="1"/>
        <v>43466</v>
      </c>
      <c r="O8769" s="5" t="str">
        <f>IFERROR(__xludf.DUMMYFUNCTION("IF(REGEXMATCH(TRIM(I8769), ""^\d+\s*min""), ""Unclassified"", IF(I8769 = """", ""NR"", I8769))"),"PG-13")</f>
        <v>PG-13</v>
      </c>
      <c r="R8769" s="5" t="str">
        <f t="shared" si="2"/>
        <v>Xxx: State Of The Union</v>
      </c>
      <c r="S8769" s="5" t="str">
        <f>IFERROR(__xludf.DUMMYFUNCTION("""COMPUTED_VALUE"""),"Zero Chill")</f>
        <v>Zero Chill</v>
      </c>
      <c r="V8769" s="5"/>
      <c r="Y8769" s="5" t="str">
        <f>IFERROR(__xludf.DUMMYFUNCTION("REGEXEXTRACT(J8769, ""^\d+"")"),"101")</f>
        <v>101</v>
      </c>
      <c r="Z8769" s="5" t="str">
        <f>IFERROR(__xludf.DUMMYFUNCTION("REGEXEXTRACT(J8769, ""[A-Za-z ]+$"")")," min")</f>
        <v> min</v>
      </c>
      <c r="AA8769" s="5" t="str">
        <f>IFERROR(__xludf.DUMMYFUNCTION("IF(REGEXMATCH(Z8769, ""Season""), ""TV Show"", ""Movie"")"),"Movie")</f>
        <v>Movie</v>
      </c>
    </row>
    <row r="8770">
      <c r="A8770" s="1" t="s">
        <v>41707</v>
      </c>
      <c r="B8770" s="1" t="s">
        <v>27</v>
      </c>
      <c r="C8770" s="1" t="s">
        <v>41708</v>
      </c>
      <c r="D8770" s="1" t="s">
        <v>1303</v>
      </c>
      <c r="E8770" s="1" t="s">
        <v>41709</v>
      </c>
      <c r="F8770" s="1" t="s">
        <v>162</v>
      </c>
      <c r="G8770" s="1" t="s">
        <v>27988</v>
      </c>
      <c r="H8770" s="1">
        <v>2001.0</v>
      </c>
      <c r="I8770" s="1" t="s">
        <v>378</v>
      </c>
      <c r="J8770" s="1" t="s">
        <v>256</v>
      </c>
      <c r="K8770" s="1" t="s">
        <v>89</v>
      </c>
      <c r="L8770" s="1" t="s">
        <v>41710</v>
      </c>
      <c r="M8770" s="2" t="s">
        <v>12</v>
      </c>
      <c r="N8770" s="4">
        <f t="shared" si="1"/>
        <v>42887</v>
      </c>
      <c r="O8770" s="5" t="str">
        <f>IFERROR(__xludf.DUMMYFUNCTION("IF(REGEXMATCH(TRIM(I8770), ""^\d+\s*min""), ""Unclassified"", IF(I8770 = """", ""NR"", I8770))"),"R")</f>
        <v>R</v>
      </c>
      <c r="R8770" s="5" t="str">
        <f t="shared" si="2"/>
        <v>Y Tu Mamá También</v>
      </c>
      <c r="S8770" s="5" t="str">
        <f>IFERROR(__xludf.DUMMYFUNCTION("""COMPUTED_VALUE"""),"Zero Hour")</f>
        <v>Zero Hour</v>
      </c>
      <c r="V8770" s="5"/>
      <c r="Y8770" s="5" t="str">
        <f>IFERROR(__xludf.DUMMYFUNCTION("REGEXEXTRACT(J8770, ""^\d+"")"),"106")</f>
        <v>106</v>
      </c>
      <c r="Z8770" s="5" t="str">
        <f>IFERROR(__xludf.DUMMYFUNCTION("REGEXEXTRACT(J8770, ""[A-Za-z ]+$"")")," min")</f>
        <v> min</v>
      </c>
      <c r="AA8770" s="5" t="str">
        <f>IFERROR(__xludf.DUMMYFUNCTION("IF(REGEXMATCH(Z8770, ""Season""), ""TV Show"", ""Movie"")"),"Movie")</f>
        <v>Movie</v>
      </c>
    </row>
    <row r="8771">
      <c r="A8771" s="1" t="s">
        <v>41711</v>
      </c>
      <c r="B8771" s="1" t="s">
        <v>27</v>
      </c>
      <c r="C8771" s="1" t="s">
        <v>41712</v>
      </c>
      <c r="D8771" s="1" t="s">
        <v>16450</v>
      </c>
      <c r="E8771" s="1" t="s">
        <v>41713</v>
      </c>
      <c r="F8771" s="1" t="s">
        <v>63</v>
      </c>
      <c r="G8771" s="1" t="s">
        <v>26089</v>
      </c>
      <c r="H8771" s="1">
        <v>2008.0</v>
      </c>
      <c r="I8771" s="1" t="s">
        <v>42</v>
      </c>
      <c r="J8771" s="1" t="s">
        <v>4242</v>
      </c>
      <c r="K8771" s="1" t="s">
        <v>89</v>
      </c>
      <c r="L8771" s="1" t="s">
        <v>41714</v>
      </c>
      <c r="M8771" s="2" t="s">
        <v>12</v>
      </c>
      <c r="N8771" s="4">
        <f t="shared" si="1"/>
        <v>43160</v>
      </c>
      <c r="O8771" s="5" t="str">
        <f>IFERROR(__xludf.DUMMYFUNCTION("IF(REGEXMATCH(TRIM(I8771), ""^\d+\s*min""), ""Unclassified"", IF(I8771 = """", ""NR"", I8771))"),"TV-MA")</f>
        <v>TV-MA</v>
      </c>
      <c r="R8771" s="5" t="str">
        <f t="shared" si="2"/>
        <v>Y.M.I.: Yeh Mera India</v>
      </c>
      <c r="S8771" s="5" t="str">
        <f>IFERROR(__xludf.DUMMYFUNCTION("""COMPUTED_VALUE"""),"Zig &amp; Sharko")</f>
        <v>Zig &amp; Sharko</v>
      </c>
      <c r="V8771" s="5"/>
      <c r="Y8771" s="5" t="str">
        <f>IFERROR(__xludf.DUMMYFUNCTION("REGEXEXTRACT(J8771, ""^\d+"")"),"137")</f>
        <v>137</v>
      </c>
      <c r="Z8771" s="5" t="str">
        <f>IFERROR(__xludf.DUMMYFUNCTION("REGEXEXTRACT(J8771, ""[A-Za-z ]+$"")")," min")</f>
        <v> min</v>
      </c>
      <c r="AA8771" s="5" t="str">
        <f>IFERROR(__xludf.DUMMYFUNCTION("IF(REGEXMATCH(Z8771, ""Season""), ""TV Show"", ""Movie"")"),"Movie")</f>
        <v>Movie</v>
      </c>
    </row>
    <row r="8772">
      <c r="A8772" s="1" t="s">
        <v>41715</v>
      </c>
      <c r="B8772" s="1" t="s">
        <v>27</v>
      </c>
      <c r="C8772" s="1" t="s">
        <v>41716</v>
      </c>
      <c r="D8772" s="1" t="s">
        <v>21811</v>
      </c>
      <c r="E8772" s="1" t="s">
        <v>41717</v>
      </c>
      <c r="F8772" s="1" t="s">
        <v>63</v>
      </c>
      <c r="G8772" s="1" t="s">
        <v>26089</v>
      </c>
      <c r="H8772" s="1">
        <v>2001.0</v>
      </c>
      <c r="I8772" s="1" t="s">
        <v>97</v>
      </c>
      <c r="J8772" s="1" t="s">
        <v>9630</v>
      </c>
      <c r="K8772" s="1" t="s">
        <v>679</v>
      </c>
      <c r="L8772" s="1" t="s">
        <v>41718</v>
      </c>
      <c r="M8772" s="2" t="s">
        <v>12</v>
      </c>
      <c r="N8772" s="4">
        <f t="shared" si="1"/>
        <v>43160</v>
      </c>
      <c r="O8772" s="5" t="str">
        <f>IFERROR(__xludf.DUMMYFUNCTION("IF(REGEXMATCH(TRIM(I8772), ""^\d+\s*min""), ""Unclassified"", IF(I8772 = """", ""NR"", I8772))"),"TV-14")</f>
        <v>TV-14</v>
      </c>
      <c r="R8772" s="5" t="str">
        <f t="shared" si="2"/>
        <v>Yaadein</v>
      </c>
      <c r="S8772" s="5" t="str">
        <f>IFERROR(__xludf.DUMMYFUNCTION("""COMPUTED_VALUE"""),"Zindagi Gulzar Hai")</f>
        <v>Zindagi Gulzar Hai</v>
      </c>
      <c r="V8772" s="5"/>
      <c r="Y8772" s="5" t="str">
        <f>IFERROR(__xludf.DUMMYFUNCTION("REGEXEXTRACT(J8772, ""^\d+"")"),"171")</f>
        <v>171</v>
      </c>
      <c r="Z8772" s="5" t="str">
        <f>IFERROR(__xludf.DUMMYFUNCTION("REGEXEXTRACT(J8772, ""[A-Za-z ]+$"")")," min")</f>
        <v> min</v>
      </c>
      <c r="AA8772" s="5" t="str">
        <f>IFERROR(__xludf.DUMMYFUNCTION("IF(REGEXMATCH(Z8772, ""Season""), ""TV Show"", ""Movie"")"),"Movie")</f>
        <v>Movie</v>
      </c>
    </row>
    <row r="8773">
      <c r="A8773" s="1" t="s">
        <v>41719</v>
      </c>
      <c r="B8773" s="1" t="s">
        <v>27</v>
      </c>
      <c r="C8773" s="1" t="s">
        <v>41720</v>
      </c>
      <c r="D8773" s="1" t="s">
        <v>13192</v>
      </c>
      <c r="E8773" s="1" t="s">
        <v>41721</v>
      </c>
      <c r="F8773" s="1" t="s">
        <v>63</v>
      </c>
      <c r="G8773" s="1" t="s">
        <v>26883</v>
      </c>
      <c r="H8773" s="1">
        <v>2011.0</v>
      </c>
      <c r="I8773" s="1" t="s">
        <v>97</v>
      </c>
      <c r="J8773" s="1" t="s">
        <v>2505</v>
      </c>
      <c r="K8773" s="1" t="s">
        <v>1429</v>
      </c>
      <c r="L8773" s="1" t="s">
        <v>41722</v>
      </c>
      <c r="M8773" s="2" t="s">
        <v>12</v>
      </c>
      <c r="N8773" s="4">
        <f t="shared" si="1"/>
        <v>43040</v>
      </c>
      <c r="O8773" s="5" t="str">
        <f>IFERROR(__xludf.DUMMYFUNCTION("IF(REGEXMATCH(TRIM(I8773), ""^\d+\s*min""), ""Unclassified"", IF(I8773 = """", ""NR"", I8773))"),"TV-14")</f>
        <v>TV-14</v>
      </c>
      <c r="R8773" s="5" t="str">
        <f t="shared" si="2"/>
        <v>Yaara O Dildaara</v>
      </c>
      <c r="S8773" s="5" t="str">
        <f>IFERROR(__xludf.DUMMYFUNCTION("""COMPUTED_VALUE"""),"Zindagi In Short")</f>
        <v>Zindagi In Short</v>
      </c>
      <c r="V8773" s="5"/>
      <c r="Y8773" s="5" t="str">
        <f>IFERROR(__xludf.DUMMYFUNCTION("REGEXEXTRACT(J8773, ""^\d+"")"),"132")</f>
        <v>132</v>
      </c>
      <c r="Z8773" s="5" t="str">
        <f>IFERROR(__xludf.DUMMYFUNCTION("REGEXEXTRACT(J8773, ""[A-Za-z ]+$"")")," min")</f>
        <v> min</v>
      </c>
      <c r="AA8773" s="5" t="str">
        <f>IFERROR(__xludf.DUMMYFUNCTION("IF(REGEXMATCH(Z8773, ""Season""), ""TV Show"", ""Movie"")"),"Movie")</f>
        <v>Movie</v>
      </c>
    </row>
    <row r="8774">
      <c r="A8774" s="1" t="s">
        <v>41723</v>
      </c>
      <c r="B8774" s="1" t="s">
        <v>27</v>
      </c>
      <c r="C8774" s="1" t="s">
        <v>41724</v>
      </c>
      <c r="D8774" s="1" t="s">
        <v>1388</v>
      </c>
      <c r="E8774" s="1" t="s">
        <v>41725</v>
      </c>
      <c r="F8774" s="1" t="s">
        <v>63</v>
      </c>
      <c r="G8774" s="7">
        <v>42856.0</v>
      </c>
      <c r="H8774" s="1">
        <v>2013.0</v>
      </c>
      <c r="I8774" s="1" t="s">
        <v>97</v>
      </c>
      <c r="J8774" s="1" t="s">
        <v>229</v>
      </c>
      <c r="K8774" s="1" t="s">
        <v>1328</v>
      </c>
      <c r="L8774" s="1" t="s">
        <v>41726</v>
      </c>
      <c r="M8774" s="2" t="s">
        <v>12</v>
      </c>
      <c r="N8774" s="4">
        <f t="shared" si="1"/>
        <v>42856</v>
      </c>
      <c r="O8774" s="5" t="str">
        <f>IFERROR(__xludf.DUMMYFUNCTION("IF(REGEXMATCH(TRIM(I8774), ""^\d+\s*min""), ""Unclassified"", IF(I8774 = """", ""NR"", I8774))"),"TV-14")</f>
        <v>TV-14</v>
      </c>
      <c r="R8774" s="5" t="str">
        <f t="shared" si="2"/>
        <v>Yamla Pagla Deewana 2</v>
      </c>
      <c r="S8774" s="5" t="str">
        <f>IFERROR(__xludf.DUMMYFUNCTION("""COMPUTED_VALUE"""),"Zindagi Kitni Haseen Hay")</f>
        <v>Zindagi Kitni Haseen Hay</v>
      </c>
      <c r="V8774" s="5"/>
      <c r="Y8774" s="5" t="str">
        <f>IFERROR(__xludf.DUMMYFUNCTION("REGEXEXTRACT(J8774, ""^\d+"")"),"147")</f>
        <v>147</v>
      </c>
      <c r="Z8774" s="5" t="str">
        <f>IFERROR(__xludf.DUMMYFUNCTION("REGEXEXTRACT(J8774, ""[A-Za-z ]+$"")")," min")</f>
        <v> min</v>
      </c>
      <c r="AA8774" s="5" t="str">
        <f>IFERROR(__xludf.DUMMYFUNCTION("IF(REGEXMATCH(Z8774, ""Season""), ""TV Show"", ""Movie"")"),"Movie")</f>
        <v>Movie</v>
      </c>
    </row>
    <row r="8775">
      <c r="A8775" s="1" t="s">
        <v>41727</v>
      </c>
      <c r="B8775" s="1" t="s">
        <v>27</v>
      </c>
      <c r="C8775" s="1" t="s">
        <v>41728</v>
      </c>
      <c r="D8775" s="1" t="s">
        <v>12594</v>
      </c>
      <c r="E8775" s="1" t="s">
        <v>41729</v>
      </c>
      <c r="F8775" s="1" t="s">
        <v>63</v>
      </c>
      <c r="G8775" s="1" t="s">
        <v>26481</v>
      </c>
      <c r="H8775" s="1">
        <v>2006.0</v>
      </c>
      <c r="I8775" s="1" t="s">
        <v>136</v>
      </c>
      <c r="J8775" s="1" t="s">
        <v>7280</v>
      </c>
      <c r="K8775" s="1" t="s">
        <v>583</v>
      </c>
      <c r="L8775" s="1" t="s">
        <v>41730</v>
      </c>
      <c r="M8775" s="2" t="s">
        <v>12</v>
      </c>
      <c r="N8775" s="4">
        <f t="shared" si="1"/>
        <v>43101</v>
      </c>
      <c r="O8775" s="5" t="str">
        <f>IFERROR(__xludf.DUMMYFUNCTION("IF(REGEXMATCH(TRIM(I8775), ""^\d+\s*min""), ""Unclassified"", IF(I8775 = """", ""NR"", I8775))"),"TV-PG")</f>
        <v>TV-PG</v>
      </c>
      <c r="R8775" s="5" t="str">
        <f t="shared" si="2"/>
        <v>Yanda Kartavya Aahe</v>
      </c>
      <c r="S8775" s="5" t="str">
        <f>IFERROR(__xludf.DUMMYFUNCTION("""COMPUTED_VALUE"""),"Zindagi Na Milegi Dobara")</f>
        <v>Zindagi Na Milegi Dobara</v>
      </c>
      <c r="V8775" s="5"/>
      <c r="Y8775" s="5" t="str">
        <f>IFERROR(__xludf.DUMMYFUNCTION("REGEXEXTRACT(J8775, ""^\d+"")"),"151")</f>
        <v>151</v>
      </c>
      <c r="Z8775" s="5" t="str">
        <f>IFERROR(__xludf.DUMMYFUNCTION("REGEXEXTRACT(J8775, ""[A-Za-z ]+$"")")," min")</f>
        <v> min</v>
      </c>
      <c r="AA8775" s="5" t="str">
        <f>IFERROR(__xludf.DUMMYFUNCTION("IF(REGEXMATCH(Z8775, ""Season""), ""TV Show"", ""Movie"")"),"Movie")</f>
        <v>Movie</v>
      </c>
    </row>
    <row r="8776">
      <c r="A8776" s="1" t="s">
        <v>41731</v>
      </c>
      <c r="B8776" s="1" t="s">
        <v>27</v>
      </c>
      <c r="C8776" s="11" t="s">
        <v>41732</v>
      </c>
      <c r="D8776" s="1" t="s">
        <v>308</v>
      </c>
      <c r="E8776" s="1" t="s">
        <v>41733</v>
      </c>
      <c r="F8776" s="1" t="s">
        <v>41734</v>
      </c>
      <c r="G8776" s="1" t="s">
        <v>18639</v>
      </c>
      <c r="H8776" s="1">
        <v>2018.0</v>
      </c>
      <c r="I8776" s="1" t="s">
        <v>97</v>
      </c>
      <c r="J8776" s="1" t="s">
        <v>247</v>
      </c>
      <c r="K8776" s="1" t="s">
        <v>89</v>
      </c>
      <c r="L8776" s="1" t="s">
        <v>41735</v>
      </c>
      <c r="M8776" s="2" t="s">
        <v>12</v>
      </c>
      <c r="N8776" s="4">
        <f t="shared" si="1"/>
        <v>43760</v>
      </c>
      <c r="O8776" s="5" t="str">
        <f>IFERROR(__xludf.DUMMYFUNCTION("IF(REGEXMATCH(TRIM(I8776), ""^\d+\s*min""), ""Unclassified"", IF(I8776 = """", ""NR"", I8776))"),"TV-14")</f>
        <v>TV-14</v>
      </c>
      <c r="R8776" s="5" t="str">
        <f t="shared" si="2"/>
        <v>يوم الدين</v>
      </c>
      <c r="S8776" s="5" t="str">
        <f>IFERROR(__xludf.DUMMYFUNCTION("""COMPUTED_VALUE"""),"Zinzana")</f>
        <v>Zinzana</v>
      </c>
      <c r="V8776" s="5"/>
      <c r="Y8776" s="5" t="str">
        <f>IFERROR(__xludf.DUMMYFUNCTION("REGEXEXTRACT(J8776, ""^\d+"")"),"97")</f>
        <v>97</v>
      </c>
      <c r="Z8776" s="5" t="str">
        <f>IFERROR(__xludf.DUMMYFUNCTION("REGEXEXTRACT(J8776, ""[A-Za-z ]+$"")")," min")</f>
        <v> min</v>
      </c>
      <c r="AA8776" s="5" t="str">
        <f>IFERROR(__xludf.DUMMYFUNCTION("IF(REGEXMATCH(Z8776, ""Season""), ""TV Show"", ""Movie"")"),"Movie")</f>
        <v>Movie</v>
      </c>
    </row>
    <row r="8777">
      <c r="A8777" s="1" t="s">
        <v>41736</v>
      </c>
      <c r="B8777" s="1" t="s">
        <v>37</v>
      </c>
      <c r="C8777" s="1" t="s">
        <v>41737</v>
      </c>
      <c r="E8777" s="1" t="s">
        <v>41738</v>
      </c>
      <c r="F8777" s="1" t="s">
        <v>63</v>
      </c>
      <c r="G8777" s="1" t="s">
        <v>24683</v>
      </c>
      <c r="H8777" s="1">
        <v>2018.0</v>
      </c>
      <c r="I8777" s="1" t="s">
        <v>136</v>
      </c>
      <c r="J8777" s="1" t="s">
        <v>51</v>
      </c>
      <c r="K8777" s="1" t="s">
        <v>1294</v>
      </c>
      <c r="L8777" s="1" t="s">
        <v>41739</v>
      </c>
      <c r="M8777" s="2" t="s">
        <v>12</v>
      </c>
      <c r="N8777" s="4">
        <f t="shared" si="1"/>
        <v>43343</v>
      </c>
      <c r="O8777" s="5" t="str">
        <f>IFERROR(__xludf.DUMMYFUNCTION("IF(REGEXMATCH(TRIM(I8777), ""^\d+\s*min""), ""Unclassified"", IF(I8777 = """", ""NR"", I8777))"),"TV-PG")</f>
        <v>TV-PG</v>
      </c>
      <c r="R8777" s="5" t="str">
        <f t="shared" si="2"/>
        <v>Yeh Meri Family</v>
      </c>
      <c r="S8777" s="5" t="str">
        <f>IFERROR(__xludf.DUMMYFUNCTION("""COMPUTED_VALUE"""),"Zion")</f>
        <v>Zion</v>
      </c>
      <c r="V8777" s="5"/>
      <c r="Y8777" s="5" t="str">
        <f>IFERROR(__xludf.DUMMYFUNCTION("REGEXEXTRACT(J8777, ""^\d+"")"),"1")</f>
        <v>1</v>
      </c>
      <c r="Z8777" s="5" t="str">
        <f>IFERROR(__xludf.DUMMYFUNCTION("REGEXEXTRACT(J8777, ""[A-Za-z ]+$"")")," Season")</f>
        <v> Season</v>
      </c>
      <c r="AA8777" s="5" t="str">
        <f>IFERROR(__xludf.DUMMYFUNCTION("IF(REGEXMATCH(Z8777, ""Season""), ""TV Show"", ""Movie"")"),"TV Show")</f>
        <v>TV Show</v>
      </c>
    </row>
    <row r="8778">
      <c r="A8778" s="1" t="s">
        <v>41740</v>
      </c>
      <c r="B8778" s="1" t="s">
        <v>27</v>
      </c>
      <c r="C8778" s="1" t="s">
        <v>41741</v>
      </c>
      <c r="D8778" s="1" t="s">
        <v>4855</v>
      </c>
      <c r="E8778" s="1" t="s">
        <v>41742</v>
      </c>
      <c r="F8778" s="1" t="s">
        <v>3217</v>
      </c>
      <c r="G8778" s="1" t="s">
        <v>41743</v>
      </c>
      <c r="H8778" s="1">
        <v>2014.0</v>
      </c>
      <c r="I8778" s="1" t="s">
        <v>78</v>
      </c>
      <c r="J8778" s="1" t="s">
        <v>33</v>
      </c>
      <c r="K8778" s="1" t="s">
        <v>137</v>
      </c>
      <c r="L8778" s="1" t="s">
        <v>41744</v>
      </c>
      <c r="M8778" s="2" t="s">
        <v>12</v>
      </c>
      <c r="N8778" s="4">
        <f t="shared" si="1"/>
        <v>42221</v>
      </c>
      <c r="O8778" s="5" t="str">
        <f>IFERROR(__xludf.DUMMYFUNCTION("IF(REGEXMATCH(TRIM(I8778), ""^\d+\s*min""), ""Unclassified"", IF(I8778 = """", ""NR"", I8778))"),"PG")</f>
        <v>PG</v>
      </c>
      <c r="R8778" s="5" t="str">
        <f t="shared" si="2"/>
        <v>Yellowbird</v>
      </c>
      <c r="S8778" s="5" t="str">
        <f>IFERROR(__xludf.DUMMYFUNCTION("""COMPUTED_VALUE"""),"Zipi &amp; Zape Y La Isla Del Capitan")</f>
        <v>Zipi &amp; Zape Y La Isla Del Capitan</v>
      </c>
      <c r="V8778" s="5"/>
      <c r="Y8778" s="5" t="str">
        <f>IFERROR(__xludf.DUMMYFUNCTION("REGEXEXTRACT(J8778, ""^\d+"")"),"90")</f>
        <v>90</v>
      </c>
      <c r="Z8778" s="5" t="str">
        <f>IFERROR(__xludf.DUMMYFUNCTION("REGEXEXTRACT(J8778, ""[A-Za-z ]+$"")")," min")</f>
        <v> min</v>
      </c>
      <c r="AA8778" s="5" t="str">
        <f>IFERROR(__xludf.DUMMYFUNCTION("IF(REGEXMATCH(Z8778, ""Season""), ""TV Show"", ""Movie"")"),"Movie")</f>
        <v>Movie</v>
      </c>
    </row>
    <row r="8779">
      <c r="A8779" s="1" t="s">
        <v>41745</v>
      </c>
      <c r="B8779" s="1" t="s">
        <v>27</v>
      </c>
      <c r="C8779" s="1" t="s">
        <v>41746</v>
      </c>
      <c r="D8779" s="1" t="s">
        <v>20478</v>
      </c>
      <c r="E8779" s="1" t="s">
        <v>41747</v>
      </c>
      <c r="F8779" s="1" t="s">
        <v>2796</v>
      </c>
      <c r="G8779" s="1" t="s">
        <v>41748</v>
      </c>
      <c r="H8779" s="1">
        <v>2010.0</v>
      </c>
      <c r="I8779" s="1" t="s">
        <v>136</v>
      </c>
      <c r="J8779" s="1" t="s">
        <v>264</v>
      </c>
      <c r="K8779" s="1" t="s">
        <v>41749</v>
      </c>
      <c r="L8779" s="1" t="s">
        <v>41750</v>
      </c>
      <c r="M8779" s="2" t="s">
        <v>12</v>
      </c>
      <c r="N8779" s="4">
        <f t="shared" si="1"/>
        <v>43440</v>
      </c>
      <c r="O8779" s="5" t="str">
        <f>IFERROR(__xludf.DUMMYFUNCTION("IF(REGEXMATCH(TRIM(I8779), ""^\d+\s*min""), ""Unclassified"", IF(I8779 = """", ""NR"", I8779))"),"TV-PG")</f>
        <v>TV-PG</v>
      </c>
      <c r="R8779" s="5" t="str">
        <f t="shared" si="2"/>
        <v>Yes Or No</v>
      </c>
      <c r="S8779" s="5" t="str">
        <f>IFERROR(__xludf.DUMMYFUNCTION("""COMPUTED_VALUE"""),"Zodiac")</f>
        <v>Zodiac</v>
      </c>
      <c r="V8779" s="5"/>
      <c r="Y8779" s="5" t="str">
        <f>IFERROR(__xludf.DUMMYFUNCTION("REGEXEXTRACT(J8779, ""^\d+"")"),"111")</f>
        <v>111</v>
      </c>
      <c r="Z8779" s="5" t="str">
        <f>IFERROR(__xludf.DUMMYFUNCTION("REGEXEXTRACT(J8779, ""[A-Za-z ]+$"")")," min")</f>
        <v> min</v>
      </c>
      <c r="AA8779" s="5" t="str">
        <f>IFERROR(__xludf.DUMMYFUNCTION("IF(REGEXMATCH(Z8779, ""Season""), ""TV Show"", ""Movie"")"),"Movie")</f>
        <v>Movie</v>
      </c>
    </row>
    <row r="8780">
      <c r="A8780" s="1" t="s">
        <v>41751</v>
      </c>
      <c r="B8780" s="1" t="s">
        <v>27</v>
      </c>
      <c r="C8780" s="1" t="s">
        <v>41752</v>
      </c>
      <c r="D8780" s="1" t="s">
        <v>20478</v>
      </c>
      <c r="E8780" s="1" t="s">
        <v>41753</v>
      </c>
      <c r="F8780" s="1" t="s">
        <v>2796</v>
      </c>
      <c r="G8780" s="1" t="s">
        <v>23509</v>
      </c>
      <c r="H8780" s="1">
        <v>2012.0</v>
      </c>
      <c r="I8780" s="1" t="s">
        <v>136</v>
      </c>
      <c r="J8780" s="1" t="s">
        <v>1243</v>
      </c>
      <c r="K8780" s="1" t="s">
        <v>41749</v>
      </c>
      <c r="L8780" s="1" t="s">
        <v>41754</v>
      </c>
      <c r="M8780" s="2" t="s">
        <v>12</v>
      </c>
      <c r="N8780" s="4">
        <f t="shared" si="1"/>
        <v>43412</v>
      </c>
      <c r="O8780" s="5" t="str">
        <f>IFERROR(__xludf.DUMMYFUNCTION("IF(REGEXMATCH(TRIM(I8780), ""^\d+\s*min""), ""Unclassified"", IF(I8780 = """", ""NR"", I8780))"),"TV-PG")</f>
        <v>TV-PG</v>
      </c>
      <c r="R8780" s="5" t="str">
        <f t="shared" si="2"/>
        <v>Yes Or No 2</v>
      </c>
      <c r="S8780" s="5" t="str">
        <f>IFERROR(__xludf.DUMMYFUNCTION("""COMPUTED_VALUE"""),"Zoé: Panoramas")</f>
        <v>Zoé: Panoramas</v>
      </c>
      <c r="V8780" s="5"/>
      <c r="Y8780" s="5" t="str">
        <f>IFERROR(__xludf.DUMMYFUNCTION("REGEXEXTRACT(J8780, ""^\d+"")"),"112")</f>
        <v>112</v>
      </c>
      <c r="Z8780" s="5" t="str">
        <f>IFERROR(__xludf.DUMMYFUNCTION("REGEXEXTRACT(J8780, ""[A-Za-z ]+$"")")," min")</f>
        <v> min</v>
      </c>
      <c r="AA8780" s="5" t="str">
        <f>IFERROR(__xludf.DUMMYFUNCTION("IF(REGEXMATCH(Z8780, ""Season""), ""TV Show"", ""Movie"")"),"Movie")</f>
        <v>Movie</v>
      </c>
    </row>
    <row r="8781">
      <c r="A8781" s="1" t="s">
        <v>41755</v>
      </c>
      <c r="B8781" s="1" t="s">
        <v>27</v>
      </c>
      <c r="C8781" s="1" t="s">
        <v>41756</v>
      </c>
      <c r="D8781" s="1" t="s">
        <v>13043</v>
      </c>
      <c r="E8781" s="1" t="s">
        <v>41757</v>
      </c>
      <c r="F8781" s="1" t="s">
        <v>2796</v>
      </c>
      <c r="G8781" s="1" t="s">
        <v>23509</v>
      </c>
      <c r="H8781" s="1">
        <v>2015.0</v>
      </c>
      <c r="I8781" s="1" t="s">
        <v>136</v>
      </c>
      <c r="J8781" s="1" t="s">
        <v>1256</v>
      </c>
      <c r="K8781" s="1" t="s">
        <v>41749</v>
      </c>
      <c r="L8781" s="1" t="s">
        <v>41758</v>
      </c>
      <c r="M8781" s="2" t="s">
        <v>12</v>
      </c>
      <c r="N8781" s="4">
        <f t="shared" si="1"/>
        <v>43412</v>
      </c>
      <c r="O8781" s="5" t="str">
        <f>IFERROR(__xludf.DUMMYFUNCTION("IF(REGEXMATCH(TRIM(I8781), ""^\d+\s*min""), ""Unclassified"", IF(I8781 = """", ""NR"", I8781))"),"TV-PG")</f>
        <v>TV-PG</v>
      </c>
      <c r="R8781" s="5" t="str">
        <f t="shared" si="2"/>
        <v>Yes Or No 2.5</v>
      </c>
      <c r="S8781" s="5" t="str">
        <f>IFERROR(__xludf.DUMMYFUNCTION("""COMPUTED_VALUE"""),"Zoids Wild")</f>
        <v>Zoids Wild</v>
      </c>
      <c r="V8781" s="5"/>
      <c r="Y8781" s="5" t="str">
        <f>IFERROR(__xludf.DUMMYFUNCTION("REGEXEXTRACT(J8781, ""^\d+"")"),"107")</f>
        <v>107</v>
      </c>
      <c r="Z8781" s="5" t="str">
        <f>IFERROR(__xludf.DUMMYFUNCTION("REGEXEXTRACT(J8781, ""[A-Za-z ]+$"")")," min")</f>
        <v> min</v>
      </c>
      <c r="AA8781" s="5" t="str">
        <f>IFERROR(__xludf.DUMMYFUNCTION("IF(REGEXMATCH(Z8781, ""Season""), ""TV Show"", ""Movie"")"),"Movie")</f>
        <v>Movie</v>
      </c>
    </row>
    <row r="8782">
      <c r="A8782" s="1" t="s">
        <v>41759</v>
      </c>
      <c r="B8782" s="1" t="s">
        <v>37</v>
      </c>
      <c r="C8782" s="1" t="s">
        <v>41760</v>
      </c>
      <c r="E8782" s="1" t="s">
        <v>41761</v>
      </c>
      <c r="F8782" s="1" t="s">
        <v>30</v>
      </c>
      <c r="G8782" s="1" t="s">
        <v>29713</v>
      </c>
      <c r="H8782" s="1">
        <v>2015.0</v>
      </c>
      <c r="I8782" s="1" t="s">
        <v>289</v>
      </c>
      <c r="J8782" s="1" t="s">
        <v>51</v>
      </c>
      <c r="K8782" s="1" t="s">
        <v>623</v>
      </c>
      <c r="L8782" s="1" t="s">
        <v>41762</v>
      </c>
      <c r="M8782" s="2" t="s">
        <v>12</v>
      </c>
      <c r="N8782" s="4">
        <f t="shared" si="1"/>
        <v>42461</v>
      </c>
      <c r="O8782" s="5" t="str">
        <f>IFERROR(__xludf.DUMMYFUNCTION("IF(REGEXMATCH(TRIM(I8782), ""^\d+\s*min""), ""Unclassified"", IF(I8782 = """", ""NR"", I8782))"),"TV-Y7")</f>
        <v>TV-Y7</v>
      </c>
      <c r="R8782" s="5" t="str">
        <f t="shared" si="2"/>
        <v>Yo-Kai Watch</v>
      </c>
      <c r="S8782" s="5" t="str">
        <f>IFERROR(__xludf.DUMMYFUNCTION("""COMPUTED_VALUE"""),"Zokkomon")</f>
        <v>Zokkomon</v>
      </c>
      <c r="V8782" s="5"/>
      <c r="Y8782" s="5" t="str">
        <f>IFERROR(__xludf.DUMMYFUNCTION("REGEXEXTRACT(J8782, ""^\d+"")"),"1")</f>
        <v>1</v>
      </c>
      <c r="Z8782" s="5" t="str">
        <f>IFERROR(__xludf.DUMMYFUNCTION("REGEXEXTRACT(J8782, ""[A-Za-z ]+$"")")," Season")</f>
        <v> Season</v>
      </c>
      <c r="AA8782" s="5" t="str">
        <f>IFERROR(__xludf.DUMMYFUNCTION("IF(REGEXMATCH(Z8782, ""Season""), ""TV Show"", ""Movie"")"),"TV Show")</f>
        <v>TV Show</v>
      </c>
    </row>
    <row r="8783">
      <c r="A8783" s="1" t="s">
        <v>41763</v>
      </c>
      <c r="B8783" s="1" t="s">
        <v>27</v>
      </c>
      <c r="C8783" s="1" t="s">
        <v>41764</v>
      </c>
      <c r="D8783" s="1" t="s">
        <v>14922</v>
      </c>
      <c r="E8783" s="1" t="s">
        <v>41765</v>
      </c>
      <c r="F8783" s="1" t="s">
        <v>6651</v>
      </c>
      <c r="G8783" s="1" t="s">
        <v>29051</v>
      </c>
      <c r="H8783" s="1">
        <v>2016.0</v>
      </c>
      <c r="I8783" s="1" t="s">
        <v>289</v>
      </c>
      <c r="J8783" s="1" t="s">
        <v>322</v>
      </c>
      <c r="K8783" s="1" t="s">
        <v>13575</v>
      </c>
      <c r="L8783" s="1" t="s">
        <v>41766</v>
      </c>
      <c r="M8783" s="2" t="s">
        <v>12</v>
      </c>
      <c r="N8783" s="4">
        <f t="shared" si="1"/>
        <v>42705</v>
      </c>
      <c r="O8783" s="5" t="str">
        <f>IFERROR(__xludf.DUMMYFUNCTION("IF(REGEXMATCH(TRIM(I8783), ""^\d+\s*min""), ""Unclassified"", IF(I8783 = """", ""NR"", I8783))"),"TV-Y7")</f>
        <v>TV-Y7</v>
      </c>
      <c r="R8783" s="5" t="str">
        <f t="shared" si="2"/>
        <v>Yo-Kai Watch: The Movie</v>
      </c>
      <c r="S8783" s="5" t="str">
        <f>IFERROR(__xludf.DUMMYFUNCTION("""COMPUTED_VALUE"""),"Zombie Dumb")</f>
        <v>Zombie Dumb</v>
      </c>
      <c r="V8783" s="5"/>
      <c r="Y8783" s="5" t="str">
        <f>IFERROR(__xludf.DUMMYFUNCTION("REGEXEXTRACT(J8783, ""^\d+"")"),"96")</f>
        <v>96</v>
      </c>
      <c r="Z8783" s="5" t="str">
        <f>IFERROR(__xludf.DUMMYFUNCTION("REGEXEXTRACT(J8783, ""[A-Za-z ]+$"")")," min")</f>
        <v> min</v>
      </c>
      <c r="AA8783" s="5" t="str">
        <f>IFERROR(__xludf.DUMMYFUNCTION("IF(REGEXMATCH(Z8783, ""Season""), ""TV Show"", ""Movie"")"),"Movie")</f>
        <v>Movie</v>
      </c>
    </row>
    <row r="8784">
      <c r="A8784" s="1" t="s">
        <v>41767</v>
      </c>
      <c r="B8784" s="1" t="s">
        <v>27</v>
      </c>
      <c r="C8784" s="1" t="s">
        <v>41768</v>
      </c>
      <c r="D8784" s="1" t="s">
        <v>5737</v>
      </c>
      <c r="E8784" s="1" t="s">
        <v>41769</v>
      </c>
      <c r="F8784" s="1" t="s">
        <v>30</v>
      </c>
      <c r="G8784" s="1" t="s">
        <v>29042</v>
      </c>
      <c r="H8784" s="1">
        <v>2016.0</v>
      </c>
      <c r="I8784" s="1" t="s">
        <v>32</v>
      </c>
      <c r="J8784" s="1" t="s">
        <v>428</v>
      </c>
      <c r="K8784" s="1" t="s">
        <v>20491</v>
      </c>
      <c r="L8784" s="1" t="s">
        <v>41770</v>
      </c>
      <c r="M8784" s="2" t="s">
        <v>12</v>
      </c>
      <c r="N8784" s="4">
        <f t="shared" si="1"/>
        <v>42706</v>
      </c>
      <c r="O8784" s="5" t="str">
        <f>IFERROR(__xludf.DUMMYFUNCTION("IF(REGEXMATCH(TRIM(I8784), ""^\d+\s*min""), ""Unclassified"", IF(I8784 = """", ""NR"", I8784))"),"PG-13")</f>
        <v>PG-13</v>
      </c>
      <c r="R8784" s="5" t="str">
        <f t="shared" si="2"/>
        <v>Yoga Hosers</v>
      </c>
      <c r="S8784" s="5" t="str">
        <f>IFERROR(__xludf.DUMMYFUNCTION("""COMPUTED_VALUE"""),"Zombieland")</f>
        <v>Zombieland</v>
      </c>
      <c r="V8784" s="5"/>
      <c r="Y8784" s="5" t="str">
        <f>IFERROR(__xludf.DUMMYFUNCTION("REGEXEXTRACT(J8784, ""^\d+"")"),"88")</f>
        <v>88</v>
      </c>
      <c r="Z8784" s="5" t="str">
        <f>IFERROR(__xludf.DUMMYFUNCTION("REGEXEXTRACT(J8784, ""[A-Za-z ]+$"")")," min")</f>
        <v> min</v>
      </c>
      <c r="AA8784" s="5" t="str">
        <f>IFERROR(__xludf.DUMMYFUNCTION("IF(REGEXMATCH(Z8784, ""Season""), ""TV Show"", ""Movie"")"),"Movie")</f>
        <v>Movie</v>
      </c>
    </row>
    <row r="8785">
      <c r="A8785" s="1" t="s">
        <v>41771</v>
      </c>
      <c r="B8785" s="1" t="s">
        <v>37</v>
      </c>
      <c r="C8785" s="1" t="s">
        <v>41772</v>
      </c>
      <c r="E8785" s="1" t="s">
        <v>41773</v>
      </c>
      <c r="G8785" s="1" t="s">
        <v>25302</v>
      </c>
      <c r="H8785" s="1">
        <v>2016.0</v>
      </c>
      <c r="I8785" s="1" t="s">
        <v>206</v>
      </c>
      <c r="J8785" s="1" t="s">
        <v>51</v>
      </c>
      <c r="K8785" s="1" t="s">
        <v>290</v>
      </c>
      <c r="L8785" s="1" t="s">
        <v>41774</v>
      </c>
      <c r="M8785" s="2" t="s">
        <v>12</v>
      </c>
      <c r="N8785" s="4">
        <f t="shared" si="1"/>
        <v>43274</v>
      </c>
      <c r="O8785" s="5" t="str">
        <f>IFERROR(__xludf.DUMMYFUNCTION("IF(REGEXMATCH(TRIM(I8785), ""^\d+\s*min""), ""Unclassified"", IF(I8785 = """", ""NR"", I8785))"),"TV-Y")</f>
        <v>TV-Y</v>
      </c>
      <c r="R8785" s="5" t="str">
        <f t="shared" si="2"/>
        <v>Yoko</v>
      </c>
      <c r="S8785" s="5" t="str">
        <f>IFERROR(__xludf.DUMMYFUNCTION("""COMPUTED_VALUE"""),"Zona Rosa")</f>
        <v>Zona Rosa</v>
      </c>
      <c r="V8785" s="5"/>
      <c r="Y8785" s="5" t="str">
        <f>IFERROR(__xludf.DUMMYFUNCTION("REGEXEXTRACT(J8785, ""^\d+"")"),"1")</f>
        <v>1</v>
      </c>
      <c r="Z8785" s="5" t="str">
        <f>IFERROR(__xludf.DUMMYFUNCTION("REGEXEXTRACT(J8785, ""[A-Za-z ]+$"")")," Season")</f>
        <v> Season</v>
      </c>
      <c r="AA8785" s="5" t="str">
        <f>IFERROR(__xludf.DUMMYFUNCTION("IF(REGEXMATCH(Z8785, ""Season""), ""TV Show"", ""Movie"")"),"TV Show")</f>
        <v>TV Show</v>
      </c>
    </row>
    <row r="8786">
      <c r="A8786" s="1" t="s">
        <v>41775</v>
      </c>
      <c r="B8786" s="1" t="s">
        <v>27</v>
      </c>
      <c r="C8786" s="1" t="s">
        <v>41776</v>
      </c>
      <c r="E8786" s="1" t="s">
        <v>41773</v>
      </c>
      <c r="F8786" s="1" t="s">
        <v>41777</v>
      </c>
      <c r="G8786" s="1" t="s">
        <v>25302</v>
      </c>
      <c r="H8786" s="1">
        <v>2015.0</v>
      </c>
      <c r="I8786" s="1" t="s">
        <v>206</v>
      </c>
      <c r="J8786" s="1" t="s">
        <v>1737</v>
      </c>
      <c r="K8786" s="1" t="s">
        <v>80</v>
      </c>
      <c r="L8786" s="1" t="s">
        <v>41778</v>
      </c>
      <c r="M8786" s="2" t="s">
        <v>12</v>
      </c>
      <c r="N8786" s="4">
        <f t="shared" si="1"/>
        <v>43274</v>
      </c>
      <c r="O8786" s="5" t="str">
        <f>IFERROR(__xludf.DUMMYFUNCTION("IF(REGEXMATCH(TRIM(I8786), ""^\d+\s*min""), ""Unclassified"", IF(I8786 = """", ""NR"", I8786))"),"TV-Y")</f>
        <v>TV-Y</v>
      </c>
      <c r="R8786" s="5" t="str">
        <f t="shared" si="2"/>
        <v>Yoko And His Friends</v>
      </c>
      <c r="S8786" s="5" t="str">
        <f>IFERROR(__xludf.DUMMYFUNCTION("""COMPUTED_VALUE"""),"Zoo")</f>
        <v>Zoo</v>
      </c>
      <c r="V8786" s="5"/>
      <c r="Y8786" s="5" t="str">
        <f>IFERROR(__xludf.DUMMYFUNCTION("REGEXEXTRACT(J8786, ""^\d+"")"),"78")</f>
        <v>78</v>
      </c>
      <c r="Z8786" s="5" t="str">
        <f>IFERROR(__xludf.DUMMYFUNCTION("REGEXEXTRACT(J8786, ""[A-Za-z ]+$"")")," min")</f>
        <v> min</v>
      </c>
      <c r="AA8786" s="5" t="str">
        <f>IFERROR(__xludf.DUMMYFUNCTION("IF(REGEXMATCH(Z8786, ""Season""), ""TV Show"", ""Movie"")"),"Movie")</f>
        <v>Movie</v>
      </c>
    </row>
    <row r="8787">
      <c r="A8787" s="1" t="s">
        <v>41779</v>
      </c>
      <c r="B8787" s="1" t="s">
        <v>37</v>
      </c>
      <c r="C8787" s="1" t="s">
        <v>41780</v>
      </c>
      <c r="E8787" s="1" t="s">
        <v>41781</v>
      </c>
      <c r="G8787" s="1" t="s">
        <v>25380</v>
      </c>
      <c r="H8787" s="1">
        <v>2016.0</v>
      </c>
      <c r="I8787" s="1" t="s">
        <v>289</v>
      </c>
      <c r="J8787" s="1" t="s">
        <v>51</v>
      </c>
      <c r="K8787" s="1" t="s">
        <v>290</v>
      </c>
      <c r="L8787" s="1" t="s">
        <v>41782</v>
      </c>
      <c r="M8787" s="2" t="s">
        <v>12</v>
      </c>
      <c r="N8787" s="4">
        <f t="shared" si="1"/>
        <v>43258</v>
      </c>
      <c r="O8787" s="5" t="str">
        <f>IFERROR(__xludf.DUMMYFUNCTION("IF(REGEXMATCH(TRIM(I8787), ""^\d+\s*min""), ""Unclassified"", IF(I8787 = """", ""NR"", I8787))"),"TV-Y7")</f>
        <v>TV-Y7</v>
      </c>
      <c r="R8787" s="5" t="str">
        <f t="shared" si="2"/>
        <v>Yom</v>
      </c>
      <c r="S8787" s="5" t="str">
        <f>IFERROR(__xludf.DUMMYFUNCTION("""COMPUTED_VALUE"""),"Zoom")</f>
        <v>Zoom</v>
      </c>
      <c r="V8787" s="5"/>
      <c r="Y8787" s="5" t="str">
        <f>IFERROR(__xludf.DUMMYFUNCTION("REGEXEXTRACT(J8787, ""^\d+"")"),"1")</f>
        <v>1</v>
      </c>
      <c r="Z8787" s="5" t="str">
        <f>IFERROR(__xludf.DUMMYFUNCTION("REGEXEXTRACT(J8787, ""[A-Za-z ]+$"")")," Season")</f>
        <v> Season</v>
      </c>
      <c r="AA8787" s="5" t="str">
        <f>IFERROR(__xludf.DUMMYFUNCTION("IF(REGEXMATCH(Z8787, ""Season""), ""TV Show"", ""Movie"")"),"TV Show")</f>
        <v>TV Show</v>
      </c>
    </row>
    <row r="8788">
      <c r="A8788" s="1" t="s">
        <v>41783</v>
      </c>
      <c r="B8788" s="1" t="s">
        <v>27</v>
      </c>
      <c r="C8788" s="1" t="s">
        <v>41784</v>
      </c>
      <c r="D8788" s="1" t="s">
        <v>9984</v>
      </c>
      <c r="E8788" s="1" t="s">
        <v>41785</v>
      </c>
      <c r="F8788" s="1" t="s">
        <v>96</v>
      </c>
      <c r="G8788" s="1" t="s">
        <v>26505</v>
      </c>
      <c r="H8788" s="1">
        <v>2017.0</v>
      </c>
      <c r="I8788" s="1" t="s">
        <v>506</v>
      </c>
      <c r="J8788" s="1" t="s">
        <v>630</v>
      </c>
      <c r="K8788" s="1" t="s">
        <v>80</v>
      </c>
      <c r="L8788" s="1" t="s">
        <v>41786</v>
      </c>
      <c r="M8788" s="2" t="s">
        <v>12</v>
      </c>
      <c r="N8788" s="4">
        <f t="shared" si="1"/>
        <v>43100</v>
      </c>
      <c r="O8788" s="5" t="str">
        <f>IFERROR(__xludf.DUMMYFUNCTION("IF(REGEXMATCH(TRIM(I8788), ""^\d+\s*min""), ""Unclassified"", IF(I8788 = """", ""NR"", I8788))"),"TV-G")</f>
        <v>TV-G</v>
      </c>
      <c r="R8788" s="5" t="str">
        <f t="shared" si="2"/>
        <v>You Can Tutu</v>
      </c>
      <c r="S8788" s="5" t="str">
        <f>IFERROR(__xludf.DUMMYFUNCTION("""COMPUTED_VALUE"""),"Zoot Suit")</f>
        <v>Zoot Suit</v>
      </c>
      <c r="V8788" s="5"/>
      <c r="Y8788" s="5" t="str">
        <f>IFERROR(__xludf.DUMMYFUNCTION("REGEXEXTRACT(J8788, ""^\d+"")"),"87")</f>
        <v>87</v>
      </c>
      <c r="Z8788" s="5" t="str">
        <f>IFERROR(__xludf.DUMMYFUNCTION("REGEXEXTRACT(J8788, ""[A-Za-z ]+$"")")," min")</f>
        <v> min</v>
      </c>
      <c r="AA8788" s="5" t="str">
        <f>IFERROR(__xludf.DUMMYFUNCTION("IF(REGEXMATCH(Z8788, ""Season""), ""TV Show"", ""Movie"")"),"Movie")</f>
        <v>Movie</v>
      </c>
    </row>
    <row r="8789">
      <c r="A8789" s="1" t="s">
        <v>41787</v>
      </c>
      <c r="B8789" s="1" t="s">
        <v>27</v>
      </c>
      <c r="C8789" s="1" t="s">
        <v>41788</v>
      </c>
      <c r="D8789" s="1" t="s">
        <v>12763</v>
      </c>
      <c r="E8789" s="1" t="s">
        <v>41789</v>
      </c>
      <c r="F8789" s="1" t="s">
        <v>30</v>
      </c>
      <c r="G8789" s="1" t="s">
        <v>26581</v>
      </c>
      <c r="H8789" s="1">
        <v>2017.0</v>
      </c>
      <c r="I8789" s="1" t="s">
        <v>136</v>
      </c>
      <c r="J8789" s="1" t="s">
        <v>471</v>
      </c>
      <c r="K8789" s="1" t="s">
        <v>813</v>
      </c>
      <c r="L8789" s="1" t="s">
        <v>41790</v>
      </c>
      <c r="M8789" s="2" t="s">
        <v>12</v>
      </c>
      <c r="N8789" s="4">
        <f t="shared" si="1"/>
        <v>43088</v>
      </c>
      <c r="O8789" s="5" t="str">
        <f>IFERROR(__xludf.DUMMYFUNCTION("IF(REGEXMATCH(TRIM(I8789), ""^\d+\s*min""), ""Unclassified"", IF(I8789 = """", ""NR"", I8789))"),"TV-PG")</f>
        <v>TV-PG</v>
      </c>
      <c r="R8789" s="5" t="str">
        <f t="shared" si="2"/>
        <v>You Can’T Fight Christmas</v>
      </c>
      <c r="S8789" s="5" t="str">
        <f>IFERROR(__xludf.DUMMYFUNCTION("""COMPUTED_VALUE"""),"Zozo")</f>
        <v>Zozo</v>
      </c>
      <c r="V8789" s="5"/>
      <c r="Y8789" s="5" t="str">
        <f>IFERROR(__xludf.DUMMYFUNCTION("REGEXEXTRACT(J8789, ""^\d+"")"),"85")</f>
        <v>85</v>
      </c>
      <c r="Z8789" s="5" t="str">
        <f>IFERROR(__xludf.DUMMYFUNCTION("REGEXEXTRACT(J8789, ""[A-Za-z ]+$"")")," min")</f>
        <v> min</v>
      </c>
      <c r="AA8789" s="5" t="str">
        <f>IFERROR(__xludf.DUMMYFUNCTION("IF(REGEXMATCH(Z8789, ""Season""), ""TV Show"", ""Movie"")"),"Movie")</f>
        <v>Movie</v>
      </c>
    </row>
    <row r="8790">
      <c r="A8790" s="1" t="s">
        <v>41791</v>
      </c>
      <c r="B8790" s="1" t="s">
        <v>27</v>
      </c>
      <c r="C8790" s="1" t="s">
        <v>41792</v>
      </c>
      <c r="D8790" s="1" t="s">
        <v>9776</v>
      </c>
      <c r="E8790" s="1" t="s">
        <v>41793</v>
      </c>
      <c r="F8790" s="1" t="s">
        <v>41794</v>
      </c>
      <c r="G8790" s="1" t="s">
        <v>29635</v>
      </c>
      <c r="H8790" s="1">
        <v>2015.0</v>
      </c>
      <c r="I8790" s="1" t="s">
        <v>42</v>
      </c>
      <c r="J8790" s="1" t="s">
        <v>11571</v>
      </c>
      <c r="K8790" s="1" t="s">
        <v>128</v>
      </c>
      <c r="L8790" s="1" t="s">
        <v>41795</v>
      </c>
      <c r="M8790" s="2" t="s">
        <v>12</v>
      </c>
      <c r="N8790" s="4">
        <f t="shared" si="1"/>
        <v>42552</v>
      </c>
      <c r="O8790" s="5" t="str">
        <f>IFERROR(__xludf.DUMMYFUNCTION("IF(REGEXMATCH(TRIM(I8790), ""^\d+\s*min""), ""Unclassified"", IF(I8790 = """", ""NR"", I8790))"),"TV-MA")</f>
        <v>TV-MA</v>
      </c>
      <c r="R8790" s="5" t="str">
        <f t="shared" si="2"/>
        <v>You Carry Me</v>
      </c>
      <c r="S8790" s="5" t="str">
        <f>IFERROR(__xludf.DUMMYFUNCTION("""COMPUTED_VALUE"""),"Zubaan")</f>
        <v>Zubaan</v>
      </c>
      <c r="V8790" s="5"/>
      <c r="Y8790" s="5" t="str">
        <f>IFERROR(__xludf.DUMMYFUNCTION("REGEXEXTRACT(J8790, ""^\d+"")"),"157")</f>
        <v>157</v>
      </c>
      <c r="Z8790" s="5" t="str">
        <f>IFERROR(__xludf.DUMMYFUNCTION("REGEXEXTRACT(J8790, ""[A-Za-z ]+$"")")," min")</f>
        <v> min</v>
      </c>
      <c r="AA8790" s="5" t="str">
        <f>IFERROR(__xludf.DUMMYFUNCTION("IF(REGEXMATCH(Z8790, ""Season""), ""TV Show"", ""Movie"")"),"Movie")</f>
        <v>Movie</v>
      </c>
    </row>
    <row r="8791">
      <c r="A8791" s="1" t="s">
        <v>41796</v>
      </c>
      <c r="B8791" s="1" t="s">
        <v>27</v>
      </c>
      <c r="C8791" s="1" t="s">
        <v>41797</v>
      </c>
      <c r="D8791" s="1" t="s">
        <v>4260</v>
      </c>
      <c r="E8791" s="1" t="s">
        <v>41798</v>
      </c>
      <c r="F8791" s="1" t="s">
        <v>4287</v>
      </c>
      <c r="G8791" s="1" t="s">
        <v>21917</v>
      </c>
      <c r="H8791" s="1">
        <v>2009.0</v>
      </c>
      <c r="I8791" s="1" t="s">
        <v>136</v>
      </c>
      <c r="J8791" s="1" t="s">
        <v>349</v>
      </c>
      <c r="K8791" s="1" t="s">
        <v>583</v>
      </c>
      <c r="L8791" s="1" t="s">
        <v>41799</v>
      </c>
      <c r="M8791" s="2" t="s">
        <v>12</v>
      </c>
      <c r="N8791" s="4">
        <f t="shared" si="1"/>
        <v>43523</v>
      </c>
      <c r="O8791" s="5" t="str">
        <f>IFERROR(__xludf.DUMMYFUNCTION("IF(REGEXMATCH(TRIM(I8791), ""^\d+\s*min""), ""Unclassified"", IF(I8791 = """", ""NR"", I8791))"),"TV-PG")</f>
        <v>TV-PG</v>
      </c>
      <c r="R8791" s="5" t="str">
        <f t="shared" si="2"/>
        <v>You Changed My Life</v>
      </c>
      <c r="S8791" s="5" t="str">
        <f>IFERROR(__xludf.DUMMYFUNCTION("""COMPUTED_VALUE"""),"Zulu Man In Japan")</f>
        <v>Zulu Man In Japan</v>
      </c>
      <c r="V8791" s="5"/>
      <c r="Y8791" s="5" t="str">
        <f>IFERROR(__xludf.DUMMYFUNCTION("REGEXEXTRACT(J8791, ""^\d+"")"),"116")</f>
        <v>116</v>
      </c>
      <c r="Z8791" s="5" t="str">
        <f>IFERROR(__xludf.DUMMYFUNCTION("REGEXEXTRACT(J8791, ""[A-Za-z ]+$"")")," min")</f>
        <v> min</v>
      </c>
      <c r="AA8791" s="5" t="str">
        <f>IFERROR(__xludf.DUMMYFUNCTION("IF(REGEXMATCH(Z8791, ""Season""), ""TV Show"", ""Movie"")"),"Movie")</f>
        <v>Movie</v>
      </c>
    </row>
    <row r="8792">
      <c r="A8792" s="1" t="s">
        <v>41800</v>
      </c>
      <c r="B8792" s="1" t="s">
        <v>27</v>
      </c>
      <c r="C8792" s="1" t="s">
        <v>41801</v>
      </c>
      <c r="D8792" s="1" t="s">
        <v>235</v>
      </c>
      <c r="E8792" s="1" t="s">
        <v>41802</v>
      </c>
      <c r="F8792" s="1" t="s">
        <v>30</v>
      </c>
      <c r="G8792" s="1" t="s">
        <v>19361</v>
      </c>
      <c r="H8792" s="1">
        <v>2008.0</v>
      </c>
      <c r="I8792" s="1" t="s">
        <v>34754</v>
      </c>
      <c r="J8792" s="1" t="s">
        <v>519</v>
      </c>
      <c r="K8792" s="1" t="s">
        <v>973</v>
      </c>
      <c r="L8792" s="1" t="s">
        <v>41803</v>
      </c>
      <c r="M8792" s="2" t="s">
        <v>12</v>
      </c>
      <c r="N8792" s="4">
        <f t="shared" si="1"/>
        <v>43709</v>
      </c>
      <c r="O8792" s="5" t="str">
        <f>IFERROR(__xludf.DUMMYFUNCTION("IF(REGEXMATCH(TRIM(I8792), ""^\d+\s*min""), ""Unclassified"", IF(I8792 = """", ""NR"", I8792))"),"UR")</f>
        <v>UR</v>
      </c>
      <c r="R8792" s="5" t="str">
        <f t="shared" si="2"/>
        <v>You Don'T Mess With The Zohan</v>
      </c>
      <c r="S8792" s="5" t="str">
        <f>IFERROR(__xludf.DUMMYFUNCTION("""COMPUTED_VALUE"""),"Zumbo'S Just Desserts")</f>
        <v>Zumbo'S Just Desserts</v>
      </c>
      <c r="V8792" s="5"/>
      <c r="Y8792" s="5" t="str">
        <f>IFERROR(__xludf.DUMMYFUNCTION("REGEXEXTRACT(J8792, ""^\d+"")"),"113")</f>
        <v>113</v>
      </c>
      <c r="Z8792" s="5" t="str">
        <f>IFERROR(__xludf.DUMMYFUNCTION("REGEXEXTRACT(J8792, ""[A-Za-z ]+$"")")," min")</f>
        <v> min</v>
      </c>
      <c r="AA8792" s="5" t="str">
        <f>IFERROR(__xludf.DUMMYFUNCTION("IF(REGEXMATCH(Z8792, ""Season""), ""TV Show"", ""Movie"")"),"Movie")</f>
        <v>Movie</v>
      </c>
    </row>
    <row r="8793">
      <c r="A8793" s="1" t="s">
        <v>41804</v>
      </c>
      <c r="B8793" s="1" t="s">
        <v>27</v>
      </c>
      <c r="C8793" s="1" t="s">
        <v>41805</v>
      </c>
      <c r="D8793" s="1" t="s">
        <v>10294</v>
      </c>
      <c r="E8793" s="1" t="s">
        <v>41806</v>
      </c>
      <c r="F8793" s="1" t="s">
        <v>30</v>
      </c>
      <c r="G8793" s="1" t="s">
        <v>17941</v>
      </c>
      <c r="H8793" s="1">
        <v>2011.0</v>
      </c>
      <c r="I8793" s="1" t="s">
        <v>378</v>
      </c>
      <c r="J8793" s="1" t="s">
        <v>170</v>
      </c>
      <c r="K8793" s="1" t="s">
        <v>836</v>
      </c>
      <c r="L8793" s="1" t="s">
        <v>41807</v>
      </c>
      <c r="M8793" s="2" t="s">
        <v>12</v>
      </c>
      <c r="N8793" s="4">
        <f t="shared" si="1"/>
        <v>43789</v>
      </c>
      <c r="O8793" s="5" t="str">
        <f>IFERROR(__xludf.DUMMYFUNCTION("IF(REGEXMATCH(TRIM(I8793), ""^\d+\s*min""), ""Unclassified"", IF(I8793 = """", ""NR"", I8793))"),"R")</f>
        <v>R</v>
      </c>
      <c r="R8793" s="5" t="str">
        <f t="shared" si="2"/>
        <v>Young Adult</v>
      </c>
      <c r="S8793" s="5" t="str">
        <f>IFERROR(__xludf.DUMMYFUNCTION("""COMPUTED_VALUE"""),"Zz Top: That Little Ol' Band From Texas")</f>
        <v>Zz Top: That Little Ol' Band From Texas</v>
      </c>
      <c r="V8793" s="5"/>
      <c r="Y8793" s="5" t="str">
        <f>IFERROR(__xludf.DUMMYFUNCTION("REGEXEXTRACT(J8793, ""^\d+"")"),"94")</f>
        <v>94</v>
      </c>
      <c r="Z8793" s="5" t="str">
        <f>IFERROR(__xludf.DUMMYFUNCTION("REGEXEXTRACT(J8793, ""[A-Za-z ]+$"")")," min")</f>
        <v> min</v>
      </c>
      <c r="AA8793" s="5" t="str">
        <f>IFERROR(__xludf.DUMMYFUNCTION("IF(REGEXMATCH(Z8793, ""Season""), ""TV Show"", ""Movie"")"),"Movie")</f>
        <v>Movie</v>
      </c>
    </row>
    <row r="8794">
      <c r="A8794" s="1" t="s">
        <v>41808</v>
      </c>
      <c r="B8794" s="1" t="s">
        <v>27</v>
      </c>
      <c r="C8794" s="1" t="s">
        <v>41809</v>
      </c>
      <c r="D8794" s="1" t="s">
        <v>16364</v>
      </c>
      <c r="E8794" s="1" t="s">
        <v>41810</v>
      </c>
      <c r="F8794" s="1" t="s">
        <v>1119</v>
      </c>
      <c r="G8794" s="1" t="s">
        <v>29185</v>
      </c>
      <c r="H8794" s="1">
        <v>1973.0</v>
      </c>
      <c r="I8794" s="1" t="s">
        <v>30231</v>
      </c>
      <c r="J8794" s="1" t="s">
        <v>2452</v>
      </c>
      <c r="K8794" s="1" t="s">
        <v>1066</v>
      </c>
      <c r="L8794" s="1" t="s">
        <v>41811</v>
      </c>
      <c r="M8794" s="2" t="s">
        <v>12</v>
      </c>
      <c r="N8794" s="4">
        <f t="shared" si="1"/>
        <v>42675</v>
      </c>
      <c r="O8794" s="5" t="str">
        <f>IFERROR(__xludf.DUMMYFUNCTION("IF(REGEXMATCH(TRIM(I8794), ""^\d+\s*min""), ""Unclassified"", IF(I8794 = """", ""NR"", I8794))"),"NR")</f>
        <v>NR</v>
      </c>
      <c r="R8794" s="5" t="str">
        <f t="shared" si="2"/>
        <v>Young Tiger</v>
      </c>
      <c r="S8794" s="5" t="str">
        <f>IFERROR(__xludf.DUMMYFUNCTION("""COMPUTED_VALUE"""),"اشتباك")</f>
        <v>اشتباك</v>
      </c>
      <c r="V8794" s="5"/>
      <c r="Y8794" s="5" t="str">
        <f>IFERROR(__xludf.DUMMYFUNCTION("REGEXEXTRACT(J8794, ""^\d+"")"),"81")</f>
        <v>81</v>
      </c>
      <c r="Z8794" s="5" t="str">
        <f>IFERROR(__xludf.DUMMYFUNCTION("REGEXEXTRACT(J8794, ""[A-Za-z ]+$"")")," min")</f>
        <v> min</v>
      </c>
      <c r="AA8794" s="5" t="str">
        <f>IFERROR(__xludf.DUMMYFUNCTION("IF(REGEXMATCH(Z8794, ""Season""), ""TV Show"", ""Movie"")"),"Movie")</f>
        <v>Movie</v>
      </c>
    </row>
    <row r="8795">
      <c r="A8795" s="1" t="s">
        <v>41812</v>
      </c>
      <c r="B8795" s="1" t="s">
        <v>27</v>
      </c>
      <c r="C8795" s="1" t="s">
        <v>41813</v>
      </c>
      <c r="D8795" s="1" t="s">
        <v>684</v>
      </c>
      <c r="E8795" s="1" t="s">
        <v>41814</v>
      </c>
      <c r="F8795" s="1" t="s">
        <v>30</v>
      </c>
      <c r="G8795" s="1" t="s">
        <v>17941</v>
      </c>
      <c r="H8795" s="1">
        <v>2005.0</v>
      </c>
      <c r="I8795" s="1" t="s">
        <v>78</v>
      </c>
      <c r="J8795" s="1" t="s">
        <v>428</v>
      </c>
      <c r="K8795" s="1" t="s">
        <v>137</v>
      </c>
      <c r="L8795" s="1" t="s">
        <v>41815</v>
      </c>
      <c r="M8795" s="2" t="s">
        <v>12</v>
      </c>
      <c r="N8795" s="4">
        <f t="shared" si="1"/>
        <v>43789</v>
      </c>
      <c r="O8795" s="5" t="str">
        <f>IFERROR(__xludf.DUMMYFUNCTION("IF(REGEXMATCH(TRIM(I8795), ""^\d+\s*min""), ""Unclassified"", IF(I8795 = """", ""NR"", I8795))"),"PG")</f>
        <v>PG</v>
      </c>
      <c r="R8795" s="5" t="str">
        <f t="shared" si="2"/>
        <v>Yours, Mine And Ours</v>
      </c>
      <c r="S8795" s="5" t="str">
        <f>IFERROR(__xludf.DUMMYFUNCTION("""COMPUTED_VALUE"""),"الف مبروك")</f>
        <v>الف مبروك</v>
      </c>
      <c r="V8795" s="5"/>
      <c r="Y8795" s="5" t="str">
        <f>IFERROR(__xludf.DUMMYFUNCTION("REGEXEXTRACT(J8795, ""^\d+"")"),"88")</f>
        <v>88</v>
      </c>
      <c r="Z8795" s="5" t="str">
        <f>IFERROR(__xludf.DUMMYFUNCTION("REGEXEXTRACT(J8795, ""[A-Za-z ]+$"")")," min")</f>
        <v> min</v>
      </c>
      <c r="AA8795" s="5" t="str">
        <f>IFERROR(__xludf.DUMMYFUNCTION("IF(REGEXMATCH(Z8795, ""Season""), ""TV Show"", ""Movie"")"),"Movie")</f>
        <v>Movie</v>
      </c>
    </row>
    <row r="8796">
      <c r="A8796" s="1" t="s">
        <v>41816</v>
      </c>
      <c r="B8796" s="1" t="s">
        <v>27</v>
      </c>
      <c r="C8796" s="11" t="s">
        <v>41817</v>
      </c>
      <c r="D8796" s="1" t="s">
        <v>5190</v>
      </c>
      <c r="E8796" s="1" t="s">
        <v>41818</v>
      </c>
      <c r="F8796" s="1" t="s">
        <v>13379</v>
      </c>
      <c r="G8796" s="1" t="s">
        <v>24038</v>
      </c>
      <c r="H8796" s="1">
        <v>2016.0</v>
      </c>
      <c r="I8796" s="1" t="s">
        <v>97</v>
      </c>
      <c r="J8796" s="1" t="s">
        <v>357</v>
      </c>
      <c r="K8796" s="1" t="s">
        <v>89</v>
      </c>
      <c r="L8796" s="1" t="s">
        <v>41819</v>
      </c>
      <c r="M8796" s="2" t="s">
        <v>12</v>
      </c>
      <c r="N8796" s="4">
        <f t="shared" si="1"/>
        <v>43384</v>
      </c>
      <c r="O8796" s="5" t="str">
        <f>IFERROR(__xludf.DUMMYFUNCTION("IF(REGEXMATCH(TRIM(I8796), ""^\d+\s*min""), ""Unclassified"", IF(I8796 = """", ""NR"", I8796))"),"TV-14")</f>
        <v>TV-14</v>
      </c>
      <c r="R8796" s="5" t="str">
        <f t="shared" si="2"/>
        <v>اشتباك</v>
      </c>
      <c r="S8796" s="5" t="str">
        <f>IFERROR(__xludf.DUMMYFUNCTION("""COMPUTED_VALUE"""),"دفعة القاهرة")</f>
        <v>دفعة القاهرة</v>
      </c>
      <c r="V8796" s="5"/>
      <c r="Y8796" s="5" t="str">
        <f>IFERROR(__xludf.DUMMYFUNCTION("REGEXEXTRACT(J8796, ""^\d+"")"),"98")</f>
        <v>98</v>
      </c>
      <c r="Z8796" s="5" t="str">
        <f>IFERROR(__xludf.DUMMYFUNCTION("REGEXEXTRACT(J8796, ""[A-Za-z ]+$"")")," min")</f>
        <v> min</v>
      </c>
      <c r="AA8796" s="5" t="str">
        <f>IFERROR(__xludf.DUMMYFUNCTION("IF(REGEXMATCH(Z8796, ""Season""), ""TV Show"", ""Movie"")"),"Movie")</f>
        <v>Movie</v>
      </c>
    </row>
    <row r="8797">
      <c r="A8797" s="1" t="s">
        <v>41820</v>
      </c>
      <c r="B8797" s="1" t="s">
        <v>37</v>
      </c>
      <c r="C8797" s="1" t="s">
        <v>41821</v>
      </c>
      <c r="E8797" s="1" t="s">
        <v>41822</v>
      </c>
      <c r="F8797" s="1" t="s">
        <v>41823</v>
      </c>
      <c r="G8797" s="7">
        <v>43221.0</v>
      </c>
      <c r="H8797" s="1">
        <v>2015.0</v>
      </c>
      <c r="I8797" s="1" t="s">
        <v>289</v>
      </c>
      <c r="J8797" s="1" t="s">
        <v>43</v>
      </c>
      <c r="K8797" s="1" t="s">
        <v>623</v>
      </c>
      <c r="L8797" s="1" t="s">
        <v>41824</v>
      </c>
      <c r="M8797" s="2" t="s">
        <v>12</v>
      </c>
      <c r="N8797" s="4">
        <f t="shared" si="1"/>
        <v>43221</v>
      </c>
      <c r="O8797" s="5" t="str">
        <f>IFERROR(__xludf.DUMMYFUNCTION("IF(REGEXMATCH(TRIM(I8797), ""^\d+\s*min""), ""Unclassified"", IF(I8797 = """", ""NR"", I8797))"),"TV-Y7")</f>
        <v>TV-Y7</v>
      </c>
      <c r="R8797" s="5" t="str">
        <f t="shared" si="2"/>
        <v>Yu-Gi-Oh! Arc-V</v>
      </c>
      <c r="S8797" s="5" t="str">
        <f>IFERROR(__xludf.DUMMYFUNCTION("""COMPUTED_VALUE"""),"يوم الدين")</f>
        <v>يوم الدين</v>
      </c>
      <c r="V8797" s="5"/>
      <c r="Y8797" s="5" t="str">
        <f>IFERROR(__xludf.DUMMYFUNCTION("REGEXEXTRACT(J8797, ""^\d+"")"),"2")</f>
        <v>2</v>
      </c>
      <c r="Z8797" s="5" t="str">
        <f>IFERROR(__xludf.DUMMYFUNCTION("REGEXEXTRACT(J8797, ""[A-Za-z ]+$"")")," Seasons")</f>
        <v> Seasons</v>
      </c>
      <c r="AA8797" s="5" t="str">
        <f>IFERROR(__xludf.DUMMYFUNCTION("IF(REGEXMATCH(Z8797, ""Season""), ""TV Show"", ""Movie"")"),"TV Show")</f>
        <v>TV Show</v>
      </c>
    </row>
    <row r="8798">
      <c r="A8798" s="1" t="s">
        <v>41825</v>
      </c>
      <c r="B8798" s="1" t="s">
        <v>37</v>
      </c>
      <c r="C8798" s="1" t="s">
        <v>41826</v>
      </c>
      <c r="E8798" s="1" t="s">
        <v>41827</v>
      </c>
      <c r="F8798" s="1" t="s">
        <v>188</v>
      </c>
      <c r="G8798" s="1" t="s">
        <v>28764</v>
      </c>
      <c r="H8798" s="1">
        <v>2016.0</v>
      </c>
      <c r="I8798" s="1" t="s">
        <v>136</v>
      </c>
      <c r="J8798" s="1" t="s">
        <v>43</v>
      </c>
      <c r="K8798" s="1" t="s">
        <v>402</v>
      </c>
      <c r="L8798" s="1" t="s">
        <v>41828</v>
      </c>
      <c r="M8798" s="2" t="s">
        <v>12</v>
      </c>
      <c r="N8798" s="4">
        <f t="shared" si="1"/>
        <v>42752</v>
      </c>
      <c r="O8798" s="5" t="str">
        <f>IFERROR(__xludf.DUMMYFUNCTION("IF(REGEXMATCH(TRIM(I8798), ""^\d+\s*min""), ""Unclassified"", IF(I8798 = """", ""NR"", I8798))"),"TV-PG")</f>
        <v>TV-PG</v>
      </c>
      <c r="R8798" s="5" t="str">
        <f t="shared" si="2"/>
        <v>Yunus Emre</v>
      </c>
      <c r="S8798" s="5" t="str">
        <f>IFERROR(__xludf.DUMMYFUNCTION("""COMPUTED_VALUE"""),"แผนร้ายนายเจ้าเล่ห์")</f>
        <v>แผนร้ายนายเจ้าเล่ห์</v>
      </c>
      <c r="V8798" s="5"/>
      <c r="Y8798" s="5" t="str">
        <f>IFERROR(__xludf.DUMMYFUNCTION("REGEXEXTRACT(J8798, ""^\d+"")"),"2")</f>
        <v>2</v>
      </c>
      <c r="Z8798" s="5" t="str">
        <f>IFERROR(__xludf.DUMMYFUNCTION("REGEXEXTRACT(J8798, ""[A-Za-z ]+$"")")," Seasons")</f>
        <v> Seasons</v>
      </c>
      <c r="AA8798" s="5" t="str">
        <f>IFERROR(__xludf.DUMMYFUNCTION("IF(REGEXMATCH(Z8798, ""Season""), ""TV Show"", ""Movie"")"),"TV Show")</f>
        <v>TV Show</v>
      </c>
    </row>
    <row r="8799">
      <c r="A8799" s="1" t="s">
        <v>41829</v>
      </c>
      <c r="B8799" s="1" t="s">
        <v>37</v>
      </c>
      <c r="C8799" s="1" t="s">
        <v>41830</v>
      </c>
      <c r="E8799" s="1" t="s">
        <v>41831</v>
      </c>
      <c r="F8799" s="1" t="s">
        <v>41832</v>
      </c>
      <c r="G8799" s="1" t="s">
        <v>24559</v>
      </c>
      <c r="H8799" s="1">
        <v>2016.0</v>
      </c>
      <c r="I8799" s="1" t="s">
        <v>289</v>
      </c>
      <c r="J8799" s="1" t="s">
        <v>276</v>
      </c>
      <c r="K8799" s="1" t="s">
        <v>290</v>
      </c>
      <c r="L8799" s="1" t="s">
        <v>41833</v>
      </c>
      <c r="M8799" s="2" t="s">
        <v>12</v>
      </c>
      <c r="N8799" s="4">
        <f t="shared" si="1"/>
        <v>43356</v>
      </c>
      <c r="O8799" s="5" t="str">
        <f>IFERROR(__xludf.DUMMYFUNCTION("IF(REGEXMATCH(TRIM(I8799), ""^\d+\s*min""), ""Unclassified"", IF(I8799 = """", ""NR"", I8799))"),"TV-Y7")</f>
        <v>TV-Y7</v>
      </c>
      <c r="R8799" s="5" t="str">
        <f t="shared" si="2"/>
        <v>Zak Storm</v>
      </c>
      <c r="S8799" s="5" t="str">
        <f>IFERROR(__xludf.DUMMYFUNCTION("""COMPUTED_VALUE"""),"마녀사냥")</f>
        <v>마녀사냥</v>
      </c>
      <c r="V8799" s="5"/>
      <c r="Y8799" s="5" t="str">
        <f>IFERROR(__xludf.DUMMYFUNCTION("REGEXEXTRACT(J8799, ""^\d+"")"),"3")</f>
        <v>3</v>
      </c>
      <c r="Z8799" s="5" t="str">
        <f>IFERROR(__xludf.DUMMYFUNCTION("REGEXEXTRACT(J8799, ""[A-Za-z ]+$"")")," Seasons")</f>
        <v> Seasons</v>
      </c>
      <c r="AA8799" s="5" t="str">
        <f>IFERROR(__xludf.DUMMYFUNCTION("IF(REGEXMATCH(Z8799, ""Season""), ""TV Show"", ""Movie"")"),"TV Show")</f>
        <v>TV Show</v>
      </c>
    </row>
    <row r="8800">
      <c r="A8800" s="1" t="s">
        <v>41834</v>
      </c>
      <c r="B8800" s="1" t="s">
        <v>27</v>
      </c>
      <c r="C8800" s="1" t="s">
        <v>41835</v>
      </c>
      <c r="D8800" s="1" t="s">
        <v>4377</v>
      </c>
      <c r="E8800" s="1" t="s">
        <v>41836</v>
      </c>
      <c r="F8800" s="1" t="s">
        <v>63</v>
      </c>
      <c r="G8800" s="1" t="s">
        <v>17078</v>
      </c>
      <c r="H8800" s="1">
        <v>2014.0</v>
      </c>
      <c r="I8800" s="1" t="s">
        <v>42</v>
      </c>
      <c r="J8800" s="1" t="s">
        <v>2859</v>
      </c>
      <c r="K8800" s="1" t="s">
        <v>583</v>
      </c>
      <c r="L8800" s="1" t="s">
        <v>41837</v>
      </c>
      <c r="M8800" s="2" t="s">
        <v>12</v>
      </c>
      <c r="N8800" s="4">
        <f t="shared" si="1"/>
        <v>43830</v>
      </c>
      <c r="O8800" s="5" t="str">
        <f>IFERROR(__xludf.DUMMYFUNCTION("IF(REGEXMATCH(TRIM(I8800), ""^\d+\s*min""), ""Unclassified"", IF(I8800 = """", ""NR"", I8800))"),"TV-MA")</f>
        <v>TV-MA</v>
      </c>
      <c r="R8800" s="5" t="str">
        <f t="shared" si="2"/>
        <v>Zed Plus</v>
      </c>
      <c r="S8800" s="5" t="str">
        <f>IFERROR(__xludf.DUMMYFUNCTION("""COMPUTED_VALUE"""),"반드시 잡는다")</f>
        <v>반드시 잡는다</v>
      </c>
      <c r="V8800" s="5"/>
      <c r="Y8800" s="5" t="str">
        <f>IFERROR(__xludf.DUMMYFUNCTION("REGEXEXTRACT(J8800, ""^\d+"")"),"131")</f>
        <v>131</v>
      </c>
      <c r="Z8800" s="5" t="str">
        <f>IFERROR(__xludf.DUMMYFUNCTION("REGEXEXTRACT(J8800, ""[A-Za-z ]+$"")")," min")</f>
        <v> min</v>
      </c>
      <c r="AA8800" s="5" t="str">
        <f>IFERROR(__xludf.DUMMYFUNCTION("IF(REGEXMATCH(Z8800, ""Season""), ""TV Show"", ""Movie"")"),"Movie")</f>
        <v>Movie</v>
      </c>
    </row>
    <row r="8801">
      <c r="A8801" s="1" t="s">
        <v>41838</v>
      </c>
      <c r="B8801" s="1" t="s">
        <v>27</v>
      </c>
      <c r="C8801" s="1" t="s">
        <v>41839</v>
      </c>
      <c r="D8801" s="1" t="s">
        <v>2784</v>
      </c>
      <c r="E8801" s="1" t="s">
        <v>41840</v>
      </c>
      <c r="F8801" s="1" t="s">
        <v>63</v>
      </c>
      <c r="G8801" s="1" t="s">
        <v>26235</v>
      </c>
      <c r="H8801" s="1">
        <v>2009.0</v>
      </c>
      <c r="I8801" s="1" t="s">
        <v>97</v>
      </c>
      <c r="J8801" s="1" t="s">
        <v>985</v>
      </c>
      <c r="K8801" s="1" t="s">
        <v>128</v>
      </c>
      <c r="L8801" s="1" t="s">
        <v>41841</v>
      </c>
      <c r="M8801" s="2" t="s">
        <v>12</v>
      </c>
      <c r="N8801" s="4">
        <f t="shared" si="1"/>
        <v>43146</v>
      </c>
      <c r="O8801" s="5" t="str">
        <f>IFERROR(__xludf.DUMMYFUNCTION("IF(REGEXMATCH(TRIM(I8801), ""^\d+\s*min""), ""Unclassified"", IF(I8801 = """", ""NR"", I8801))"),"TV-14")</f>
        <v>TV-14</v>
      </c>
      <c r="R8801" s="5" t="str">
        <f t="shared" si="2"/>
        <v>Zenda</v>
      </c>
      <c r="S8801" s="5" t="str">
        <f>IFERROR(__xludf.DUMMYFUNCTION("""COMPUTED_VALUE"""),"최강전사 미니특공대 : 영웅의 탄생")</f>
        <v>최강전사 미니특공대 : 영웅의 탄생</v>
      </c>
      <c r="V8801" s="5"/>
      <c r="Y8801" s="5" t="str">
        <f>IFERROR(__xludf.DUMMYFUNCTION("REGEXEXTRACT(J8801, ""^\d+"")"),"120")</f>
        <v>120</v>
      </c>
      <c r="Z8801" s="5" t="str">
        <f>IFERROR(__xludf.DUMMYFUNCTION("REGEXEXTRACT(J8801, ""[A-Za-z ]+$"")")," min")</f>
        <v> min</v>
      </c>
      <c r="AA8801" s="5" t="str">
        <f>IFERROR(__xludf.DUMMYFUNCTION("IF(REGEXMATCH(Z8801, ""Season""), ""TV Show"", ""Movie"")"),"Movie")</f>
        <v>Movie</v>
      </c>
    </row>
    <row r="8802">
      <c r="A8802" s="1" t="s">
        <v>41842</v>
      </c>
      <c r="B8802" s="1" t="s">
        <v>37</v>
      </c>
      <c r="C8802" s="1" t="s">
        <v>41843</v>
      </c>
      <c r="E8802" s="1" t="s">
        <v>41844</v>
      </c>
      <c r="F8802" s="1" t="s">
        <v>19350</v>
      </c>
      <c r="G8802" s="1" t="s">
        <v>28914</v>
      </c>
      <c r="H8802" s="1">
        <v>2012.0</v>
      </c>
      <c r="I8802" s="1" t="s">
        <v>136</v>
      </c>
      <c r="J8802" s="1" t="s">
        <v>51</v>
      </c>
      <c r="K8802" s="1" t="s">
        <v>1907</v>
      </c>
      <c r="L8802" s="1" t="s">
        <v>41845</v>
      </c>
      <c r="M8802" s="2" t="s">
        <v>12</v>
      </c>
      <c r="N8802" s="4">
        <f t="shared" si="1"/>
        <v>42719</v>
      </c>
      <c r="O8802" s="5" t="str">
        <f>IFERROR(__xludf.DUMMYFUNCTION("IF(REGEXMATCH(TRIM(I8802), ""^\d+\s*min""), ""Unclassified"", IF(I8802 = """", ""NR"", I8802))"),"TV-PG")</f>
        <v>TV-PG</v>
      </c>
      <c r="R8802" s="5" t="str">
        <f t="shared" si="2"/>
        <v>Zindagi Gulzar Hai</v>
      </c>
      <c r="S8802" s="5" t="str">
        <f>IFERROR(__xludf.DUMMYFUNCTION("""COMPUTED_VALUE"""),"忍者ハットリくん")</f>
        <v>忍者ハットリくん</v>
      </c>
      <c r="V8802" s="5"/>
      <c r="Y8802" s="5" t="str">
        <f>IFERROR(__xludf.DUMMYFUNCTION("REGEXEXTRACT(J8802, ""^\d+"")"),"1")</f>
        <v>1</v>
      </c>
      <c r="Z8802" s="5" t="str">
        <f>IFERROR(__xludf.DUMMYFUNCTION("REGEXEXTRACT(J8802, ""[A-Za-z ]+$"")")," Season")</f>
        <v> Season</v>
      </c>
      <c r="AA8802" s="5" t="str">
        <f>IFERROR(__xludf.DUMMYFUNCTION("IF(REGEXMATCH(Z8802, ""Season""), ""TV Show"", ""Movie"")"),"TV Show")</f>
        <v>TV Show</v>
      </c>
    </row>
    <row r="8803">
      <c r="A8803" s="1" t="s">
        <v>41846</v>
      </c>
      <c r="B8803" s="1" t="s">
        <v>27</v>
      </c>
      <c r="C8803" s="1" t="s">
        <v>41847</v>
      </c>
      <c r="D8803" s="1" t="s">
        <v>14334</v>
      </c>
      <c r="E8803" s="1" t="s">
        <v>41848</v>
      </c>
      <c r="F8803" s="1" t="s">
        <v>41849</v>
      </c>
      <c r="G8803" s="1" t="s">
        <v>41850</v>
      </c>
      <c r="H8803" s="1">
        <v>2015.0</v>
      </c>
      <c r="I8803" s="1" t="s">
        <v>42</v>
      </c>
      <c r="J8803" s="1" t="s">
        <v>322</v>
      </c>
      <c r="K8803" s="1" t="s">
        <v>298</v>
      </c>
      <c r="L8803" s="1" t="s">
        <v>41851</v>
      </c>
      <c r="M8803" s="2" t="s">
        <v>12</v>
      </c>
      <c r="N8803" s="4">
        <f t="shared" si="1"/>
        <v>42438</v>
      </c>
      <c r="O8803" s="5" t="str">
        <f>IFERROR(__xludf.DUMMYFUNCTION("IF(REGEXMATCH(TRIM(I8803), ""^\d+\s*min""), ""Unclassified"", IF(I8803 = """", ""NR"", I8803))"),"TV-MA")</f>
        <v>TV-MA</v>
      </c>
      <c r="R8803" s="5" t="str">
        <f t="shared" si="2"/>
        <v>Zinzana</v>
      </c>
      <c r="S8803" s="5" t="str">
        <f>IFERROR(__xludf.DUMMYFUNCTION("""COMPUTED_VALUE"""),"海的儿子")</f>
        <v>海的儿子</v>
      </c>
      <c r="V8803" s="5"/>
      <c r="Y8803" s="5" t="str">
        <f>IFERROR(__xludf.DUMMYFUNCTION("REGEXEXTRACT(J8803, ""^\d+"")"),"96")</f>
        <v>96</v>
      </c>
      <c r="Z8803" s="5" t="str">
        <f>IFERROR(__xludf.DUMMYFUNCTION("REGEXEXTRACT(J8803, ""[A-Za-z ]+$"")")," min")</f>
        <v> min</v>
      </c>
      <c r="AA8803" s="5" t="str">
        <f>IFERROR(__xludf.DUMMYFUNCTION("IF(REGEXMATCH(Z8803, ""Season""), ""TV Show"", ""Movie"")"),"Movie")</f>
        <v>Movie</v>
      </c>
    </row>
    <row r="8804">
      <c r="A8804" s="1" t="s">
        <v>41852</v>
      </c>
      <c r="B8804" s="1" t="s">
        <v>27</v>
      </c>
      <c r="C8804" s="1" t="s">
        <v>41853</v>
      </c>
      <c r="D8804" s="1" t="s">
        <v>3725</v>
      </c>
      <c r="E8804" s="1" t="s">
        <v>41854</v>
      </c>
      <c r="F8804" s="1" t="s">
        <v>30</v>
      </c>
      <c r="G8804" s="1" t="s">
        <v>17941</v>
      </c>
      <c r="H8804" s="1">
        <v>2007.0</v>
      </c>
      <c r="I8804" s="1" t="s">
        <v>378</v>
      </c>
      <c r="J8804" s="1" t="s">
        <v>6611</v>
      </c>
      <c r="K8804" s="1" t="s">
        <v>41855</v>
      </c>
      <c r="L8804" s="1" t="s">
        <v>41856</v>
      </c>
      <c r="M8804" s="2" t="s">
        <v>12</v>
      </c>
      <c r="N8804" s="4">
        <f t="shared" si="1"/>
        <v>43789</v>
      </c>
      <c r="O8804" s="5" t="str">
        <f>IFERROR(__xludf.DUMMYFUNCTION("IF(REGEXMATCH(TRIM(I8804), ""^\d+\s*min""), ""Unclassified"", IF(I8804 = """", ""NR"", I8804))"),"R")</f>
        <v>R</v>
      </c>
      <c r="R8804" s="5" t="str">
        <f t="shared" si="2"/>
        <v>Zodiac</v>
      </c>
      <c r="S8804" s="5"/>
      <c r="V8804" s="5"/>
      <c r="Y8804" s="5" t="str">
        <f>IFERROR(__xludf.DUMMYFUNCTION("REGEXEXTRACT(J8804, ""^\d+"")"),"158")</f>
        <v>158</v>
      </c>
      <c r="Z8804" s="5" t="str">
        <f>IFERROR(__xludf.DUMMYFUNCTION("REGEXEXTRACT(J8804, ""[A-Za-z ]+$"")")," min")</f>
        <v> min</v>
      </c>
      <c r="AA8804" s="5" t="str">
        <f>IFERROR(__xludf.DUMMYFUNCTION("IF(REGEXMATCH(Z8804, ""Season""), ""TV Show"", ""Movie"")"),"Movie")</f>
        <v>Movie</v>
      </c>
    </row>
    <row r="8805">
      <c r="A8805" s="1" t="s">
        <v>41857</v>
      </c>
      <c r="B8805" s="1" t="s">
        <v>37</v>
      </c>
      <c r="C8805" s="1" t="s">
        <v>41858</v>
      </c>
      <c r="G8805" s="1" t="s">
        <v>20110</v>
      </c>
      <c r="H8805" s="1">
        <v>2018.0</v>
      </c>
      <c r="I8805" s="1" t="s">
        <v>289</v>
      </c>
      <c r="J8805" s="1" t="s">
        <v>43</v>
      </c>
      <c r="K8805" s="1" t="s">
        <v>3268</v>
      </c>
      <c r="L8805" s="1" t="s">
        <v>41859</v>
      </c>
      <c r="M8805" s="2" t="s">
        <v>12</v>
      </c>
      <c r="N8805" s="4">
        <f t="shared" si="1"/>
        <v>43647</v>
      </c>
      <c r="O8805" s="5" t="str">
        <f>IFERROR(__xludf.DUMMYFUNCTION("IF(REGEXMATCH(TRIM(I8805), ""^\d+\s*min""), ""Unclassified"", IF(I8805 = """", ""NR"", I8805))"),"TV-Y7")</f>
        <v>TV-Y7</v>
      </c>
      <c r="R8805" s="5" t="str">
        <f t="shared" si="2"/>
        <v>Zombie Dumb</v>
      </c>
      <c r="V8805" s="5"/>
      <c r="Y8805" s="5" t="str">
        <f>IFERROR(__xludf.DUMMYFUNCTION("REGEXEXTRACT(J8805, ""^\d+"")"),"2")</f>
        <v>2</v>
      </c>
      <c r="Z8805" s="5" t="str">
        <f>IFERROR(__xludf.DUMMYFUNCTION("REGEXEXTRACT(J8805, ""[A-Za-z ]+$"")")," Seasons")</f>
        <v> Seasons</v>
      </c>
      <c r="AA8805" s="5" t="str">
        <f>IFERROR(__xludf.DUMMYFUNCTION("IF(REGEXMATCH(Z8805, ""Season""), ""TV Show"", ""Movie"")"),"TV Show")</f>
        <v>TV Show</v>
      </c>
    </row>
    <row r="8806">
      <c r="A8806" s="1" t="s">
        <v>41860</v>
      </c>
      <c r="B8806" s="1" t="s">
        <v>27</v>
      </c>
      <c r="C8806" s="1" t="s">
        <v>41861</v>
      </c>
      <c r="D8806" s="1" t="s">
        <v>19860</v>
      </c>
      <c r="E8806" s="1" t="s">
        <v>41862</v>
      </c>
      <c r="F8806" s="1" t="s">
        <v>30</v>
      </c>
      <c r="G8806" s="1" t="s">
        <v>18333</v>
      </c>
      <c r="H8806" s="1">
        <v>2009.0</v>
      </c>
      <c r="I8806" s="1" t="s">
        <v>378</v>
      </c>
      <c r="J8806" s="1" t="s">
        <v>428</v>
      </c>
      <c r="K8806" s="1" t="s">
        <v>4525</v>
      </c>
      <c r="L8806" s="1" t="s">
        <v>41863</v>
      </c>
      <c r="M8806" s="2" t="s">
        <v>12</v>
      </c>
      <c r="N8806" s="4">
        <f t="shared" si="1"/>
        <v>43770</v>
      </c>
      <c r="O8806" s="5" t="str">
        <f>IFERROR(__xludf.DUMMYFUNCTION("IF(REGEXMATCH(TRIM(I8806), ""^\d+\s*min""), ""Unclassified"", IF(I8806 = """", ""NR"", I8806))"),"R")</f>
        <v>R</v>
      </c>
      <c r="R8806" s="5" t="str">
        <f t="shared" si="2"/>
        <v>Zombieland</v>
      </c>
      <c r="V8806" s="5"/>
      <c r="Y8806" s="5" t="str">
        <f>IFERROR(__xludf.DUMMYFUNCTION("REGEXEXTRACT(J8806, ""^\d+"")"),"88")</f>
        <v>88</v>
      </c>
      <c r="Z8806" s="5" t="str">
        <f>IFERROR(__xludf.DUMMYFUNCTION("REGEXEXTRACT(J8806, ""[A-Za-z ]+$"")")," min")</f>
        <v> min</v>
      </c>
      <c r="AA8806" s="5" t="str">
        <f>IFERROR(__xludf.DUMMYFUNCTION("IF(REGEXMATCH(Z8806, ""Season""), ""TV Show"", ""Movie"")"),"Movie")</f>
        <v>Movie</v>
      </c>
    </row>
    <row r="8807">
      <c r="A8807" s="1" t="s">
        <v>41864</v>
      </c>
      <c r="B8807" s="1" t="s">
        <v>27</v>
      </c>
      <c r="C8807" s="1" t="s">
        <v>41865</v>
      </c>
      <c r="D8807" s="1" t="s">
        <v>17979</v>
      </c>
      <c r="E8807" s="1" t="s">
        <v>41866</v>
      </c>
      <c r="F8807" s="1" t="s">
        <v>30</v>
      </c>
      <c r="G8807" s="1" t="s">
        <v>41867</v>
      </c>
      <c r="H8807" s="1">
        <v>2006.0</v>
      </c>
      <c r="I8807" s="1" t="s">
        <v>78</v>
      </c>
      <c r="J8807" s="1" t="s">
        <v>428</v>
      </c>
      <c r="K8807" s="1" t="s">
        <v>137</v>
      </c>
      <c r="L8807" s="1" t="s">
        <v>41868</v>
      </c>
      <c r="M8807" s="2" t="s">
        <v>12</v>
      </c>
      <c r="N8807" s="4">
        <f t="shared" si="1"/>
        <v>43841</v>
      </c>
      <c r="O8807" s="5" t="str">
        <f>IFERROR(__xludf.DUMMYFUNCTION("IF(REGEXMATCH(TRIM(I8807), ""^\d+\s*min""), ""Unclassified"", IF(I8807 = """", ""NR"", I8807))"),"PG")</f>
        <v>PG</v>
      </c>
      <c r="R8807" s="5" t="str">
        <f t="shared" si="2"/>
        <v>Zoom</v>
      </c>
      <c r="V8807" s="5"/>
      <c r="Y8807" s="5" t="str">
        <f>IFERROR(__xludf.DUMMYFUNCTION("REGEXEXTRACT(J8807, ""^\d+"")"),"88")</f>
        <v>88</v>
      </c>
      <c r="Z8807" s="5" t="str">
        <f>IFERROR(__xludf.DUMMYFUNCTION("REGEXEXTRACT(J8807, ""[A-Za-z ]+$"")")," min")</f>
        <v> min</v>
      </c>
      <c r="AA8807" s="5" t="str">
        <f>IFERROR(__xludf.DUMMYFUNCTION("IF(REGEXMATCH(Z8807, ""Season""), ""TV Show"", ""Movie"")"),"Movie")</f>
        <v>Movie</v>
      </c>
    </row>
    <row r="8808">
      <c r="A8808" s="1" t="s">
        <v>41869</v>
      </c>
      <c r="B8808" s="1" t="s">
        <v>27</v>
      </c>
      <c r="C8808" s="1" t="s">
        <v>41870</v>
      </c>
      <c r="D8808" s="1" t="s">
        <v>16352</v>
      </c>
      <c r="E8808" s="1" t="s">
        <v>41871</v>
      </c>
      <c r="F8808" s="1" t="s">
        <v>63</v>
      </c>
      <c r="G8808" s="1" t="s">
        <v>21824</v>
      </c>
      <c r="H8808" s="1">
        <v>2015.0</v>
      </c>
      <c r="I8808" s="1" t="s">
        <v>97</v>
      </c>
      <c r="J8808" s="1" t="s">
        <v>264</v>
      </c>
      <c r="K8808" s="1" t="s">
        <v>1429</v>
      </c>
      <c r="L8808" s="1" t="s">
        <v>41872</v>
      </c>
      <c r="M8808" s="2" t="s">
        <v>12</v>
      </c>
      <c r="N8808" s="4">
        <f t="shared" si="1"/>
        <v>43526</v>
      </c>
      <c r="O8808" s="5" t="str">
        <f>IFERROR(__xludf.DUMMYFUNCTION("IF(REGEXMATCH(TRIM(I8808), ""^\d+\s*min""), ""Unclassified"", IF(I8808 = """", ""NR"", I8808))"),"TV-14")</f>
        <v>TV-14</v>
      </c>
      <c r="R8808" s="5" t="str">
        <f t="shared" si="2"/>
        <v>Zubaan</v>
      </c>
      <c r="V8808" s="5"/>
      <c r="Y8808" s="5" t="str">
        <f>IFERROR(__xludf.DUMMYFUNCTION("REGEXEXTRACT(J8808, ""^\d+"")"),"111")</f>
        <v>111</v>
      </c>
      <c r="Z8808" s="5" t="str">
        <f>IFERROR(__xludf.DUMMYFUNCTION("REGEXEXTRACT(J8808, ""[A-Za-z ]+$"")")," min")</f>
        <v> min</v>
      </c>
      <c r="AA8808" s="5" t="str">
        <f>IFERROR(__xludf.DUMMYFUNCTION("IF(REGEXMATCH(Z8808, ""Season""), ""TV Show"", ""Movie"")"),"Movie")</f>
        <v>Movie</v>
      </c>
    </row>
    <row r="8809">
      <c r="N8809" s="1"/>
      <c r="V8809" s="5"/>
    </row>
    <row r="8810">
      <c r="N8810" s="1"/>
      <c r="V8810" s="5"/>
    </row>
    <row r="8811">
      <c r="N8811" s="1"/>
      <c r="V8811" s="5"/>
    </row>
    <row r="8812">
      <c r="N8812" s="1"/>
      <c r="V8812" s="5"/>
    </row>
    <row r="8813">
      <c r="N8813" s="1"/>
      <c r="V8813" s="5"/>
    </row>
    <row r="8814">
      <c r="N8814" s="1"/>
      <c r="V8814" s="5"/>
    </row>
    <row r="8815">
      <c r="N8815" s="1"/>
      <c r="V8815" s="5"/>
    </row>
    <row r="8816">
      <c r="N8816" s="1"/>
      <c r="V8816" s="5"/>
    </row>
    <row r="8817">
      <c r="N8817" s="1"/>
      <c r="V8817" s="5"/>
    </row>
    <row r="8818">
      <c r="N8818" s="1"/>
      <c r="V8818" s="5"/>
    </row>
    <row r="8819">
      <c r="N8819" s="1"/>
      <c r="V8819" s="5"/>
    </row>
    <row r="8820">
      <c r="N8820" s="1"/>
      <c r="V8820" s="5"/>
    </row>
    <row r="8821">
      <c r="N8821" s="1"/>
      <c r="V8821" s="5"/>
    </row>
    <row r="8822">
      <c r="N8822" s="1"/>
      <c r="V8822" s="5"/>
    </row>
    <row r="8823">
      <c r="N8823" s="1"/>
      <c r="V8823" s="5"/>
    </row>
    <row r="8824">
      <c r="N8824" s="1"/>
      <c r="V8824" s="5"/>
    </row>
    <row r="8825">
      <c r="N8825" s="1"/>
      <c r="V8825" s="5"/>
    </row>
    <row r="8826">
      <c r="N8826" s="1"/>
      <c r="V8826" s="5"/>
    </row>
    <row r="8827">
      <c r="N8827" s="1"/>
      <c r="V8827" s="5"/>
    </row>
    <row r="8828">
      <c r="N8828" s="1"/>
      <c r="V8828" s="5"/>
    </row>
    <row r="8829">
      <c r="N8829" s="1"/>
      <c r="V8829" s="5"/>
    </row>
    <row r="8830">
      <c r="N8830" s="1"/>
      <c r="V8830" s="5"/>
    </row>
    <row r="8831">
      <c r="N8831" s="1"/>
      <c r="V8831" s="5"/>
    </row>
    <row r="8832">
      <c r="N8832" s="1"/>
      <c r="V8832" s="5"/>
    </row>
    <row r="8833">
      <c r="N8833" s="1"/>
      <c r="V8833" s="5"/>
    </row>
    <row r="8834">
      <c r="N8834" s="1"/>
      <c r="V8834" s="5"/>
    </row>
    <row r="8835">
      <c r="N8835" s="1"/>
      <c r="V8835" s="5"/>
    </row>
    <row r="8836">
      <c r="N8836" s="1"/>
      <c r="V8836" s="5"/>
    </row>
    <row r="8837">
      <c r="N8837" s="1"/>
      <c r="V8837" s="5"/>
    </row>
    <row r="8838">
      <c r="N8838" s="1"/>
      <c r="V8838" s="5"/>
    </row>
    <row r="8839">
      <c r="N8839" s="1"/>
      <c r="V8839" s="5"/>
    </row>
    <row r="8840">
      <c r="N8840" s="1"/>
      <c r="V8840" s="5"/>
    </row>
    <row r="8841">
      <c r="N8841" s="1"/>
      <c r="V8841" s="5"/>
    </row>
    <row r="8842">
      <c r="N8842" s="1"/>
      <c r="V8842" s="5"/>
    </row>
    <row r="8843">
      <c r="N8843" s="1"/>
      <c r="V8843" s="5"/>
    </row>
    <row r="8844">
      <c r="N8844" s="1"/>
      <c r="V8844" s="5"/>
    </row>
    <row r="8845">
      <c r="N8845" s="1"/>
      <c r="V8845" s="5"/>
    </row>
    <row r="8846">
      <c r="N8846" s="1"/>
      <c r="V8846" s="5"/>
    </row>
    <row r="8847">
      <c r="N8847" s="1"/>
      <c r="V8847" s="5"/>
    </row>
    <row r="8848">
      <c r="N8848" s="1"/>
      <c r="V8848" s="5"/>
    </row>
    <row r="8849">
      <c r="N8849" s="1"/>
      <c r="V8849" s="5"/>
    </row>
    <row r="8850">
      <c r="N8850" s="1"/>
      <c r="V8850" s="5"/>
    </row>
    <row r="8851">
      <c r="N8851" s="1"/>
      <c r="V8851" s="5"/>
    </row>
    <row r="8852">
      <c r="N8852" s="1"/>
      <c r="V8852" s="5"/>
    </row>
    <row r="8853">
      <c r="N8853" s="1"/>
      <c r="V8853" s="5"/>
    </row>
    <row r="8854">
      <c r="N8854" s="1"/>
      <c r="V8854" s="5"/>
    </row>
    <row r="8855">
      <c r="N8855" s="1"/>
      <c r="V8855" s="5"/>
    </row>
    <row r="8856">
      <c r="N8856" s="1"/>
      <c r="V8856" s="5"/>
    </row>
    <row r="8857">
      <c r="N8857" s="1"/>
      <c r="V8857" s="5"/>
    </row>
    <row r="8858">
      <c r="N8858" s="1"/>
      <c r="V8858" s="5"/>
    </row>
    <row r="8859">
      <c r="N8859" s="1"/>
      <c r="V8859" s="5"/>
    </row>
    <row r="8860">
      <c r="N8860" s="1"/>
      <c r="V8860" s="5"/>
    </row>
    <row r="8861">
      <c r="N8861" s="1"/>
      <c r="V8861" s="5"/>
    </row>
    <row r="8862">
      <c r="N8862" s="1"/>
      <c r="V8862" s="5"/>
    </row>
    <row r="8863">
      <c r="N8863" s="1"/>
      <c r="V8863" s="5"/>
    </row>
    <row r="8864">
      <c r="N8864" s="1"/>
      <c r="V8864" s="5"/>
    </row>
    <row r="8865">
      <c r="N8865" s="1"/>
      <c r="V8865" s="5"/>
    </row>
    <row r="8866">
      <c r="N8866" s="1"/>
      <c r="V8866" s="5"/>
    </row>
    <row r="8867">
      <c r="N8867" s="1"/>
      <c r="V8867" s="5"/>
    </row>
    <row r="8868">
      <c r="N8868" s="1"/>
      <c r="V8868" s="5"/>
    </row>
    <row r="8869">
      <c r="N8869" s="1"/>
      <c r="V8869" s="5"/>
    </row>
    <row r="8870">
      <c r="N8870" s="1"/>
      <c r="V8870" s="5"/>
    </row>
    <row r="8871">
      <c r="N8871" s="1"/>
      <c r="V8871" s="5"/>
    </row>
    <row r="8872">
      <c r="N8872" s="1"/>
      <c r="V8872" s="5"/>
    </row>
    <row r="8873">
      <c r="N8873" s="1"/>
      <c r="V8873" s="5"/>
    </row>
    <row r="8874">
      <c r="N8874" s="1"/>
      <c r="V8874" s="5"/>
    </row>
    <row r="8875">
      <c r="N8875" s="1"/>
      <c r="V8875" s="5"/>
    </row>
    <row r="8876">
      <c r="N8876" s="1"/>
      <c r="V8876" s="5"/>
    </row>
    <row r="8877">
      <c r="N8877" s="1"/>
      <c r="V8877" s="5"/>
    </row>
    <row r="8878">
      <c r="N8878" s="1"/>
      <c r="V8878" s="5"/>
    </row>
    <row r="8879">
      <c r="N8879" s="1"/>
      <c r="V8879" s="5"/>
    </row>
    <row r="8880">
      <c r="N8880" s="1"/>
      <c r="V8880" s="5"/>
    </row>
    <row r="8881">
      <c r="N8881" s="1"/>
      <c r="V8881" s="5"/>
    </row>
    <row r="8882">
      <c r="N8882" s="1"/>
      <c r="V8882" s="5"/>
    </row>
    <row r="8883">
      <c r="N8883" s="1"/>
      <c r="V8883" s="5"/>
    </row>
    <row r="8884">
      <c r="N8884" s="1"/>
      <c r="V8884" s="5"/>
    </row>
    <row r="8885">
      <c r="N8885" s="1"/>
      <c r="V8885" s="5"/>
    </row>
    <row r="8886">
      <c r="N8886" s="1"/>
      <c r="V8886" s="5"/>
    </row>
    <row r="8887">
      <c r="N8887" s="1"/>
      <c r="V8887" s="5"/>
    </row>
    <row r="8888">
      <c r="N8888" s="1"/>
      <c r="V8888" s="5"/>
    </row>
    <row r="8889">
      <c r="N8889" s="1"/>
      <c r="V8889" s="5"/>
    </row>
    <row r="8890">
      <c r="N8890" s="1"/>
      <c r="V8890" s="5"/>
    </row>
    <row r="8891">
      <c r="N8891" s="1"/>
      <c r="V8891" s="5"/>
    </row>
    <row r="8892">
      <c r="N8892" s="1"/>
      <c r="V8892" s="5"/>
    </row>
    <row r="8893">
      <c r="N8893" s="1"/>
      <c r="V8893" s="5"/>
    </row>
    <row r="8894">
      <c r="N8894" s="1"/>
      <c r="V8894" s="5"/>
    </row>
    <row r="8895">
      <c r="N8895" s="1"/>
      <c r="V8895" s="5"/>
    </row>
    <row r="8896">
      <c r="N8896" s="1"/>
      <c r="V8896" s="5"/>
    </row>
    <row r="8897">
      <c r="N8897" s="1"/>
      <c r="V8897" s="5"/>
    </row>
    <row r="8898">
      <c r="N8898" s="1"/>
      <c r="V8898" s="5"/>
    </row>
    <row r="8899">
      <c r="N8899" s="1"/>
      <c r="V8899" s="5"/>
    </row>
    <row r="8900">
      <c r="N8900" s="1"/>
      <c r="V8900" s="5"/>
    </row>
    <row r="8901">
      <c r="N8901" s="1"/>
      <c r="V8901" s="5"/>
    </row>
    <row r="8902">
      <c r="N8902" s="1"/>
      <c r="V8902" s="5"/>
    </row>
    <row r="8903">
      <c r="N8903" s="1"/>
      <c r="V8903" s="5"/>
    </row>
    <row r="8904">
      <c r="N8904" s="1"/>
      <c r="V8904" s="5"/>
    </row>
    <row r="8905">
      <c r="N8905" s="1"/>
      <c r="V8905" s="5"/>
    </row>
    <row r="8906">
      <c r="N8906" s="1"/>
      <c r="V8906" s="5"/>
    </row>
    <row r="8907">
      <c r="N8907" s="1"/>
      <c r="V8907" s="5"/>
    </row>
    <row r="8908">
      <c r="N8908" s="1"/>
      <c r="V8908" s="5"/>
    </row>
    <row r="8909">
      <c r="N8909" s="1"/>
      <c r="V8909" s="5"/>
    </row>
    <row r="8910">
      <c r="N8910" s="1"/>
      <c r="V8910" s="5"/>
    </row>
    <row r="8911">
      <c r="N8911" s="1"/>
      <c r="V8911" s="5"/>
    </row>
    <row r="8912">
      <c r="N8912" s="1"/>
      <c r="V8912" s="5"/>
    </row>
    <row r="8913">
      <c r="N8913" s="1"/>
      <c r="V8913" s="5"/>
    </row>
    <row r="8914">
      <c r="N8914" s="1"/>
      <c r="V8914" s="5"/>
    </row>
    <row r="8915">
      <c r="N8915" s="1"/>
      <c r="V8915" s="5"/>
    </row>
    <row r="8916">
      <c r="N8916" s="1"/>
      <c r="V8916" s="5"/>
    </row>
    <row r="8917">
      <c r="N8917" s="1"/>
      <c r="V8917" s="5"/>
    </row>
    <row r="8918">
      <c r="N8918" s="1"/>
      <c r="V8918" s="5"/>
    </row>
    <row r="8919">
      <c r="N8919" s="1"/>
      <c r="V8919" s="5"/>
    </row>
    <row r="8920">
      <c r="N8920" s="1"/>
      <c r="V8920" s="5"/>
    </row>
    <row r="8921">
      <c r="N8921" s="1"/>
      <c r="V8921" s="5"/>
    </row>
    <row r="8922">
      <c r="N8922" s="1"/>
      <c r="V8922" s="5"/>
    </row>
    <row r="8923">
      <c r="N8923" s="1"/>
      <c r="V8923" s="5"/>
    </row>
    <row r="8924">
      <c r="N8924" s="1"/>
      <c r="V8924" s="5"/>
    </row>
    <row r="8925">
      <c r="N8925" s="1"/>
      <c r="V8925" s="5"/>
    </row>
    <row r="8926">
      <c r="N8926" s="1"/>
      <c r="V8926" s="5"/>
    </row>
    <row r="8927">
      <c r="N8927" s="1"/>
      <c r="V8927" s="5"/>
    </row>
    <row r="8928">
      <c r="N8928" s="1"/>
      <c r="V8928" s="5"/>
    </row>
    <row r="8929">
      <c r="N8929" s="1"/>
      <c r="V8929" s="5"/>
    </row>
    <row r="8930">
      <c r="N8930" s="1"/>
      <c r="V8930" s="5"/>
    </row>
    <row r="8931">
      <c r="N8931" s="1"/>
      <c r="V8931" s="5"/>
    </row>
    <row r="8932">
      <c r="N8932" s="1"/>
      <c r="V8932" s="5"/>
    </row>
    <row r="8933">
      <c r="N8933" s="1"/>
      <c r="V8933" s="5"/>
    </row>
    <row r="8934">
      <c r="N8934" s="1"/>
      <c r="V8934" s="5"/>
    </row>
    <row r="8935">
      <c r="N8935" s="1"/>
      <c r="V8935" s="5"/>
    </row>
    <row r="8936">
      <c r="N8936" s="1"/>
      <c r="V8936" s="5"/>
    </row>
    <row r="8937">
      <c r="N8937" s="1"/>
      <c r="V8937" s="5"/>
    </row>
    <row r="8938">
      <c r="N8938" s="1"/>
      <c r="V8938" s="5"/>
    </row>
    <row r="8939">
      <c r="N8939" s="1"/>
      <c r="V8939" s="5"/>
    </row>
    <row r="8940">
      <c r="N8940" s="1"/>
      <c r="V8940" s="5"/>
    </row>
    <row r="8941">
      <c r="N8941" s="1"/>
      <c r="V8941" s="5"/>
    </row>
    <row r="8942">
      <c r="N8942" s="1"/>
      <c r="V8942" s="5"/>
    </row>
    <row r="8943">
      <c r="N8943" s="1"/>
      <c r="V8943" s="5"/>
    </row>
    <row r="8944">
      <c r="N8944" s="1"/>
      <c r="V8944" s="5"/>
    </row>
    <row r="8945">
      <c r="N8945" s="1"/>
      <c r="V8945" s="5"/>
    </row>
    <row r="8946">
      <c r="N8946" s="1"/>
      <c r="V8946" s="5"/>
    </row>
    <row r="8947">
      <c r="N8947" s="1"/>
      <c r="V8947" s="5"/>
    </row>
    <row r="8948">
      <c r="N8948" s="1"/>
      <c r="V8948" s="5"/>
    </row>
    <row r="8949">
      <c r="N8949" s="1"/>
      <c r="V8949" s="5"/>
    </row>
    <row r="8950">
      <c r="N8950" s="1"/>
      <c r="V8950" s="5"/>
    </row>
    <row r="8951">
      <c r="N8951" s="1"/>
      <c r="V8951" s="5"/>
    </row>
    <row r="8952">
      <c r="N8952" s="1"/>
      <c r="V8952" s="5"/>
    </row>
    <row r="8953">
      <c r="N8953" s="1"/>
      <c r="V8953" s="5"/>
    </row>
    <row r="8954">
      <c r="N8954" s="1"/>
      <c r="V8954" s="5"/>
    </row>
    <row r="8955">
      <c r="N8955" s="1"/>
      <c r="V8955" s="5"/>
    </row>
    <row r="8956">
      <c r="N8956" s="1"/>
      <c r="V8956" s="5"/>
    </row>
    <row r="8957">
      <c r="N8957" s="1"/>
      <c r="V8957" s="5"/>
    </row>
    <row r="8958">
      <c r="N8958" s="1"/>
      <c r="V8958" s="5"/>
    </row>
    <row r="8959">
      <c r="N8959" s="1"/>
      <c r="V8959" s="5"/>
    </row>
    <row r="8960">
      <c r="N8960" s="1"/>
      <c r="V8960" s="5"/>
    </row>
    <row r="8961">
      <c r="N8961" s="1"/>
      <c r="V8961" s="5"/>
    </row>
    <row r="8962">
      <c r="N8962" s="1"/>
      <c r="V8962" s="5"/>
    </row>
    <row r="8963">
      <c r="N8963" s="1"/>
      <c r="V8963" s="5"/>
    </row>
    <row r="8964">
      <c r="N8964" s="1"/>
      <c r="V8964" s="5"/>
    </row>
    <row r="8965">
      <c r="N8965" s="1"/>
      <c r="V8965" s="5"/>
    </row>
    <row r="8966">
      <c r="N8966" s="1"/>
      <c r="V8966" s="5"/>
    </row>
    <row r="8967">
      <c r="N8967" s="1"/>
      <c r="V8967" s="5"/>
    </row>
    <row r="8968">
      <c r="N8968" s="1"/>
      <c r="V8968" s="5"/>
    </row>
    <row r="8969">
      <c r="N8969" s="1"/>
      <c r="V8969" s="5"/>
    </row>
    <row r="8970">
      <c r="N8970" s="1"/>
      <c r="V8970" s="5"/>
    </row>
    <row r="8971">
      <c r="N8971" s="1"/>
      <c r="V8971" s="5"/>
    </row>
    <row r="8972">
      <c r="N8972" s="1"/>
      <c r="V8972" s="5"/>
    </row>
    <row r="8973">
      <c r="N8973" s="1"/>
      <c r="V8973" s="5"/>
    </row>
    <row r="8974">
      <c r="N8974" s="1"/>
      <c r="V8974" s="5"/>
    </row>
    <row r="8975">
      <c r="N8975" s="1"/>
      <c r="V8975" s="5"/>
    </row>
    <row r="8976">
      <c r="N8976" s="1"/>
      <c r="V8976" s="5"/>
    </row>
    <row r="8977">
      <c r="N8977" s="1"/>
      <c r="V8977" s="5"/>
    </row>
    <row r="8978">
      <c r="N8978" s="1"/>
      <c r="V8978" s="5"/>
    </row>
    <row r="8979">
      <c r="N8979" s="1"/>
      <c r="V8979" s="5"/>
    </row>
    <row r="8980">
      <c r="N8980" s="1"/>
      <c r="V8980" s="5"/>
    </row>
    <row r="8981">
      <c r="N8981" s="1"/>
      <c r="V8981" s="5"/>
    </row>
    <row r="8982">
      <c r="N8982" s="1"/>
      <c r="V8982" s="5"/>
    </row>
    <row r="8983">
      <c r="N8983" s="1"/>
      <c r="V8983" s="5"/>
    </row>
    <row r="8984">
      <c r="N8984" s="1"/>
      <c r="V8984" s="5"/>
    </row>
    <row r="8985">
      <c r="N8985" s="1"/>
      <c r="V8985" s="5"/>
    </row>
    <row r="8986">
      <c r="N8986" s="1"/>
      <c r="V8986" s="5"/>
    </row>
    <row r="8987">
      <c r="N8987" s="1"/>
      <c r="V8987" s="5"/>
    </row>
    <row r="8988">
      <c r="N8988" s="1"/>
      <c r="V8988" s="5"/>
    </row>
    <row r="8989">
      <c r="N8989" s="1"/>
      <c r="V8989" s="5"/>
    </row>
    <row r="8990">
      <c r="N8990" s="1"/>
      <c r="V8990" s="5"/>
    </row>
    <row r="8991">
      <c r="N8991" s="1"/>
      <c r="V8991" s="5"/>
    </row>
    <row r="8992">
      <c r="N8992" s="1"/>
      <c r="V8992" s="5"/>
    </row>
    <row r="8993">
      <c r="N8993" s="1"/>
      <c r="V8993" s="5"/>
    </row>
    <row r="8994">
      <c r="N8994" s="1"/>
      <c r="V8994" s="5"/>
    </row>
    <row r="8995">
      <c r="N8995" s="1"/>
      <c r="V8995" s="5"/>
    </row>
    <row r="8996">
      <c r="N8996" s="1"/>
      <c r="V8996" s="5"/>
    </row>
    <row r="8997">
      <c r="N8997" s="1"/>
      <c r="V8997" s="5"/>
    </row>
    <row r="8998">
      <c r="N8998" s="1"/>
      <c r="V8998" s="5"/>
    </row>
    <row r="8999">
      <c r="N8999" s="1"/>
      <c r="V8999" s="5"/>
    </row>
    <row r="9000">
      <c r="N9000" s="1"/>
      <c r="V9000" s="5"/>
    </row>
    <row r="9001">
      <c r="N9001" s="1"/>
      <c r="V9001" s="5"/>
    </row>
    <row r="9002">
      <c r="N9002" s="1"/>
      <c r="V9002" s="5"/>
    </row>
    <row r="9003">
      <c r="N9003" s="1"/>
      <c r="V9003" s="5"/>
    </row>
    <row r="9004">
      <c r="N9004" s="1"/>
      <c r="V9004" s="5"/>
    </row>
    <row r="9005">
      <c r="N9005" s="1"/>
      <c r="V9005" s="5"/>
    </row>
    <row r="9006">
      <c r="N9006" s="1"/>
      <c r="V9006" s="5"/>
    </row>
    <row r="9007">
      <c r="N9007" s="1"/>
      <c r="V9007" s="5"/>
    </row>
    <row r="9008">
      <c r="N9008" s="1"/>
      <c r="V9008" s="5"/>
    </row>
    <row r="9009">
      <c r="N9009" s="1"/>
      <c r="V9009" s="5"/>
    </row>
    <row r="9010">
      <c r="N9010" s="1"/>
      <c r="V9010" s="5"/>
    </row>
    <row r="9011">
      <c r="N9011" s="1"/>
      <c r="V9011" s="5"/>
    </row>
    <row r="9012">
      <c r="N9012" s="1"/>
      <c r="V9012" s="5"/>
    </row>
    <row r="9013">
      <c r="N9013" s="1"/>
      <c r="V9013" s="5"/>
    </row>
    <row r="9014">
      <c r="N9014" s="1"/>
      <c r="V9014" s="5"/>
    </row>
    <row r="9015">
      <c r="N9015" s="1"/>
      <c r="V9015" s="5"/>
    </row>
    <row r="9016">
      <c r="N9016" s="1"/>
      <c r="V9016" s="5"/>
    </row>
    <row r="9017">
      <c r="N9017" s="1"/>
      <c r="V9017" s="5"/>
    </row>
    <row r="9018">
      <c r="N9018" s="1"/>
      <c r="V9018" s="5"/>
    </row>
    <row r="9019">
      <c r="N9019" s="1"/>
      <c r="V9019" s="5"/>
    </row>
    <row r="9020">
      <c r="N9020" s="1"/>
      <c r="V9020" s="5"/>
    </row>
    <row r="9021">
      <c r="N9021" s="1"/>
      <c r="V9021" s="5"/>
    </row>
    <row r="9022">
      <c r="N9022" s="1"/>
      <c r="V9022" s="5"/>
    </row>
    <row r="9023">
      <c r="N9023" s="1"/>
      <c r="V9023" s="5"/>
    </row>
    <row r="9024">
      <c r="N9024" s="1"/>
      <c r="V9024" s="5"/>
    </row>
    <row r="9025">
      <c r="N9025" s="1"/>
      <c r="V9025" s="5"/>
    </row>
    <row r="9026">
      <c r="N9026" s="1"/>
      <c r="V9026" s="5"/>
    </row>
    <row r="9027">
      <c r="N9027" s="1"/>
      <c r="V9027" s="5"/>
    </row>
    <row r="9028">
      <c r="N9028" s="1"/>
      <c r="V9028" s="5"/>
    </row>
    <row r="9029">
      <c r="N9029" s="1"/>
      <c r="V9029" s="5"/>
    </row>
    <row r="9030">
      <c r="N9030" s="1"/>
      <c r="V9030" s="5"/>
    </row>
    <row r="9031">
      <c r="N9031" s="1"/>
      <c r="V9031" s="5"/>
    </row>
    <row r="9032">
      <c r="N9032" s="1"/>
      <c r="V9032" s="5"/>
    </row>
    <row r="9033">
      <c r="N9033" s="1"/>
      <c r="V9033" s="5"/>
    </row>
    <row r="9034">
      <c r="N9034" s="1"/>
      <c r="V9034" s="5"/>
    </row>
    <row r="9035">
      <c r="N9035" s="1"/>
      <c r="V9035" s="5"/>
    </row>
    <row r="9036">
      <c r="N9036" s="1"/>
      <c r="V9036" s="5"/>
    </row>
    <row r="9037">
      <c r="N9037" s="1"/>
      <c r="V9037" s="5"/>
    </row>
    <row r="9038">
      <c r="N9038" s="1"/>
      <c r="V9038" s="5"/>
    </row>
    <row r="9039">
      <c r="N9039" s="1"/>
      <c r="V9039" s="5"/>
    </row>
    <row r="9040">
      <c r="N9040" s="1"/>
      <c r="V9040" s="5"/>
    </row>
    <row r="9041">
      <c r="N9041" s="1"/>
      <c r="V9041" s="5"/>
    </row>
    <row r="9042">
      <c r="N9042" s="1"/>
      <c r="V9042" s="5"/>
    </row>
    <row r="9043">
      <c r="N9043" s="1"/>
      <c r="V9043" s="5"/>
    </row>
    <row r="9044">
      <c r="N9044" s="1"/>
      <c r="V9044" s="5"/>
    </row>
    <row r="9045">
      <c r="N9045" s="1"/>
      <c r="V9045" s="5"/>
    </row>
    <row r="9046">
      <c r="N9046" s="1"/>
      <c r="V9046" s="5"/>
    </row>
    <row r="9047">
      <c r="N9047" s="1"/>
      <c r="V9047" s="5"/>
    </row>
    <row r="9048">
      <c r="N9048" s="1"/>
      <c r="V9048" s="5"/>
    </row>
    <row r="9049">
      <c r="N9049" s="1"/>
      <c r="V9049" s="5"/>
    </row>
    <row r="9050">
      <c r="N9050" s="1"/>
      <c r="V9050" s="5"/>
    </row>
    <row r="9051">
      <c r="N9051" s="1"/>
      <c r="V9051" s="5"/>
    </row>
    <row r="9052">
      <c r="N9052" s="1"/>
      <c r="V9052" s="5"/>
    </row>
    <row r="9053">
      <c r="N9053" s="1"/>
      <c r="V9053" s="5"/>
    </row>
    <row r="9054">
      <c r="N9054" s="1"/>
      <c r="V9054" s="5"/>
    </row>
    <row r="9055">
      <c r="N9055" s="1"/>
      <c r="V9055" s="5"/>
    </row>
    <row r="9056">
      <c r="N9056" s="1"/>
      <c r="V9056" s="5"/>
    </row>
    <row r="9057">
      <c r="N9057" s="1"/>
      <c r="V9057" s="5"/>
    </row>
    <row r="9058">
      <c r="N9058" s="1"/>
      <c r="V9058" s="5"/>
    </row>
    <row r="9059">
      <c r="N9059" s="1"/>
      <c r="V9059" s="5"/>
    </row>
    <row r="9060">
      <c r="N9060" s="1"/>
      <c r="V9060" s="5"/>
    </row>
    <row r="9061">
      <c r="N9061" s="1"/>
      <c r="V9061" s="5"/>
    </row>
    <row r="9062">
      <c r="N9062" s="1"/>
      <c r="V9062" s="5"/>
    </row>
    <row r="9063">
      <c r="N9063" s="1"/>
      <c r="V9063" s="5"/>
    </row>
    <row r="9064">
      <c r="N9064" s="1"/>
      <c r="V9064" s="5"/>
    </row>
    <row r="9065">
      <c r="N9065" s="1"/>
      <c r="V9065" s="5"/>
    </row>
    <row r="9066">
      <c r="N9066" s="1"/>
      <c r="V9066" s="5"/>
    </row>
    <row r="9067">
      <c r="N9067" s="1"/>
      <c r="V9067" s="5"/>
    </row>
    <row r="9068">
      <c r="N9068" s="1"/>
      <c r="V9068" s="5"/>
    </row>
    <row r="9069">
      <c r="N9069" s="1"/>
      <c r="V9069" s="5"/>
    </row>
    <row r="9070">
      <c r="N9070" s="1"/>
      <c r="V9070" s="5"/>
    </row>
    <row r="9071">
      <c r="N9071" s="1"/>
      <c r="V9071" s="5"/>
    </row>
    <row r="9072">
      <c r="N9072" s="1"/>
      <c r="V9072" s="5"/>
    </row>
    <row r="9073">
      <c r="N9073" s="1"/>
      <c r="V9073" s="5"/>
    </row>
    <row r="9074">
      <c r="N9074" s="1"/>
      <c r="V9074" s="5"/>
    </row>
    <row r="9075">
      <c r="N9075" s="1"/>
      <c r="V9075" s="5"/>
    </row>
    <row r="9076">
      <c r="N9076" s="1"/>
      <c r="V9076" s="5"/>
    </row>
    <row r="9077">
      <c r="N9077" s="1"/>
      <c r="V9077" s="5"/>
    </row>
    <row r="9078">
      <c r="N9078" s="1"/>
      <c r="V9078" s="5"/>
    </row>
    <row r="9079">
      <c r="N9079" s="1"/>
      <c r="V9079" s="5"/>
    </row>
    <row r="9080">
      <c r="N9080" s="1"/>
      <c r="V9080" s="5"/>
    </row>
    <row r="9081">
      <c r="N9081" s="1"/>
      <c r="V9081" s="5"/>
    </row>
    <row r="9082">
      <c r="N9082" s="1"/>
      <c r="V9082" s="5"/>
    </row>
    <row r="9083">
      <c r="N9083" s="1"/>
      <c r="V9083" s="5"/>
    </row>
    <row r="9084">
      <c r="N9084" s="1"/>
      <c r="V9084" s="5"/>
    </row>
    <row r="9085">
      <c r="N9085" s="1"/>
      <c r="V9085" s="5"/>
    </row>
    <row r="9086">
      <c r="N9086" s="1"/>
      <c r="V9086" s="5"/>
    </row>
    <row r="9087">
      <c r="N9087" s="1"/>
      <c r="V9087" s="5"/>
    </row>
    <row r="9088">
      <c r="N9088" s="1"/>
      <c r="V9088" s="5"/>
    </row>
    <row r="9089">
      <c r="N9089" s="1"/>
      <c r="V9089" s="5"/>
    </row>
    <row r="9090">
      <c r="N9090" s="1"/>
      <c r="V9090" s="5"/>
    </row>
    <row r="9091">
      <c r="N9091" s="1"/>
      <c r="V9091" s="5"/>
    </row>
    <row r="9092">
      <c r="N9092" s="1"/>
      <c r="V9092" s="5"/>
    </row>
    <row r="9093">
      <c r="N9093" s="1"/>
      <c r="V9093" s="5"/>
    </row>
    <row r="9094">
      <c r="N9094" s="1"/>
      <c r="V9094" s="5"/>
    </row>
    <row r="9095">
      <c r="N9095" s="1"/>
      <c r="V9095" s="5"/>
    </row>
    <row r="9096">
      <c r="N9096" s="1"/>
      <c r="V9096" s="5"/>
    </row>
    <row r="9097">
      <c r="N9097" s="1"/>
      <c r="V9097" s="5"/>
    </row>
    <row r="9098">
      <c r="N9098" s="1"/>
      <c r="V9098" s="5"/>
    </row>
    <row r="9099">
      <c r="N9099" s="1"/>
      <c r="V9099" s="5"/>
    </row>
    <row r="9100">
      <c r="N9100" s="1"/>
      <c r="V9100" s="5"/>
    </row>
    <row r="9101">
      <c r="N9101" s="1"/>
      <c r="V9101" s="5"/>
    </row>
    <row r="9102">
      <c r="N9102" s="1"/>
      <c r="V9102" s="5"/>
    </row>
    <row r="9103">
      <c r="N9103" s="1"/>
      <c r="V9103" s="5"/>
    </row>
    <row r="9104">
      <c r="N9104" s="1"/>
      <c r="V9104" s="5"/>
    </row>
    <row r="9105">
      <c r="N9105" s="1"/>
      <c r="V9105" s="5"/>
    </row>
    <row r="9106">
      <c r="N9106" s="1"/>
      <c r="V9106" s="5"/>
    </row>
    <row r="9107">
      <c r="N9107" s="1"/>
      <c r="V9107" s="5"/>
    </row>
    <row r="9108">
      <c r="N9108" s="1"/>
      <c r="V9108" s="5"/>
    </row>
    <row r="9109">
      <c r="N9109" s="1"/>
      <c r="V9109" s="5"/>
    </row>
    <row r="9110">
      <c r="N9110" s="1"/>
      <c r="V9110" s="5"/>
    </row>
    <row r="9111">
      <c r="N9111" s="1"/>
      <c r="V9111" s="5"/>
    </row>
    <row r="9112">
      <c r="N9112" s="1"/>
      <c r="V9112" s="5"/>
    </row>
    <row r="9113">
      <c r="N9113" s="1"/>
      <c r="V9113" s="5"/>
    </row>
    <row r="9114">
      <c r="N9114" s="1"/>
      <c r="V9114" s="5"/>
    </row>
    <row r="9115">
      <c r="N9115" s="1"/>
      <c r="V9115" s="5"/>
    </row>
    <row r="9116">
      <c r="N9116" s="1"/>
      <c r="V9116" s="5"/>
    </row>
    <row r="9117">
      <c r="N9117" s="1"/>
      <c r="V9117" s="5"/>
    </row>
    <row r="9118">
      <c r="N9118" s="1"/>
      <c r="V9118" s="5"/>
    </row>
    <row r="9119">
      <c r="N9119" s="1"/>
      <c r="V9119" s="5"/>
    </row>
    <row r="9120">
      <c r="N9120" s="1"/>
      <c r="V9120" s="5"/>
    </row>
    <row r="9121">
      <c r="N9121" s="1"/>
      <c r="V9121" s="5"/>
    </row>
    <row r="9122">
      <c r="N9122" s="1"/>
      <c r="V9122" s="5"/>
    </row>
    <row r="9123">
      <c r="N9123" s="1"/>
      <c r="V9123" s="5"/>
    </row>
    <row r="9124">
      <c r="N9124" s="1"/>
      <c r="V9124" s="5"/>
    </row>
    <row r="9125">
      <c r="N9125" s="1"/>
      <c r="V9125" s="5"/>
    </row>
    <row r="9126">
      <c r="N9126" s="1"/>
      <c r="V9126" s="5"/>
    </row>
    <row r="9127">
      <c r="N9127" s="1"/>
      <c r="V9127" s="5"/>
    </row>
    <row r="9128">
      <c r="N9128" s="1"/>
      <c r="V9128" s="5"/>
    </row>
    <row r="9129">
      <c r="N9129" s="1"/>
      <c r="V9129" s="5"/>
    </row>
    <row r="9130">
      <c r="N9130" s="1"/>
      <c r="V9130" s="5"/>
    </row>
    <row r="9131">
      <c r="N9131" s="1"/>
      <c r="V9131" s="5"/>
    </row>
    <row r="9132">
      <c r="N9132" s="1"/>
      <c r="V9132" s="5"/>
    </row>
    <row r="9133">
      <c r="N9133" s="1"/>
      <c r="V9133" s="5"/>
    </row>
    <row r="9134">
      <c r="N9134" s="1"/>
      <c r="V9134" s="5"/>
    </row>
    <row r="9135">
      <c r="N9135" s="1"/>
      <c r="V9135" s="5"/>
    </row>
    <row r="9136">
      <c r="N9136" s="1"/>
      <c r="V9136" s="5"/>
    </row>
    <row r="9137">
      <c r="N9137" s="1"/>
      <c r="V9137" s="5"/>
    </row>
    <row r="9138">
      <c r="N9138" s="1"/>
      <c r="V9138" s="5"/>
    </row>
    <row r="9139">
      <c r="N9139" s="1"/>
      <c r="V9139" s="5"/>
    </row>
    <row r="9140">
      <c r="N9140" s="1"/>
      <c r="V9140" s="5"/>
    </row>
    <row r="9141">
      <c r="N9141" s="1"/>
      <c r="V9141" s="5"/>
    </row>
    <row r="9142">
      <c r="N9142" s="1"/>
      <c r="V9142" s="5"/>
    </row>
    <row r="9143">
      <c r="N9143" s="1"/>
      <c r="V9143" s="5"/>
    </row>
    <row r="9144">
      <c r="N9144" s="1"/>
      <c r="V9144" s="5"/>
    </row>
    <row r="9145">
      <c r="N9145" s="1"/>
      <c r="V9145" s="5"/>
    </row>
    <row r="9146">
      <c r="N9146" s="1"/>
      <c r="V9146" s="5"/>
    </row>
    <row r="9147">
      <c r="N9147" s="1"/>
      <c r="V9147" s="5"/>
    </row>
    <row r="9148">
      <c r="N9148" s="1"/>
      <c r="V9148" s="5"/>
    </row>
    <row r="9149">
      <c r="N9149" s="1"/>
      <c r="V9149" s="5"/>
    </row>
    <row r="9150">
      <c r="N9150" s="1"/>
      <c r="V9150" s="5"/>
    </row>
    <row r="9151">
      <c r="N9151" s="1"/>
      <c r="V9151" s="5"/>
    </row>
    <row r="9152">
      <c r="N9152" s="1"/>
      <c r="V9152" s="5"/>
    </row>
    <row r="9153">
      <c r="N9153" s="1"/>
      <c r="V9153" s="5"/>
    </row>
    <row r="9154">
      <c r="N9154" s="1"/>
      <c r="V9154" s="5"/>
    </row>
    <row r="9155">
      <c r="N9155" s="1"/>
      <c r="V9155" s="5"/>
    </row>
    <row r="9156">
      <c r="N9156" s="1"/>
      <c r="V9156" s="5"/>
    </row>
    <row r="9157">
      <c r="N9157" s="1"/>
      <c r="V9157" s="5"/>
    </row>
    <row r="9158">
      <c r="N9158" s="1"/>
      <c r="V9158" s="5"/>
    </row>
    <row r="9159">
      <c r="N9159" s="1"/>
      <c r="V9159" s="5"/>
    </row>
    <row r="9160">
      <c r="N9160" s="1"/>
      <c r="V9160" s="5"/>
    </row>
    <row r="9161">
      <c r="N9161" s="1"/>
      <c r="V9161" s="5"/>
    </row>
    <row r="9162">
      <c r="N9162" s="1"/>
      <c r="V9162" s="5"/>
    </row>
    <row r="9163">
      <c r="N9163" s="1"/>
      <c r="V9163" s="5"/>
    </row>
    <row r="9164">
      <c r="N9164" s="1"/>
      <c r="V9164" s="5"/>
    </row>
    <row r="9165">
      <c r="N9165" s="1"/>
      <c r="V9165" s="5"/>
    </row>
    <row r="9166">
      <c r="N9166" s="1"/>
      <c r="V9166" s="5"/>
    </row>
    <row r="9167">
      <c r="N9167" s="1"/>
      <c r="V9167" s="5"/>
    </row>
    <row r="9168">
      <c r="N9168" s="1"/>
      <c r="V9168" s="5"/>
    </row>
    <row r="9169">
      <c r="N9169" s="1"/>
      <c r="V9169" s="5"/>
    </row>
    <row r="9170">
      <c r="N9170" s="1"/>
      <c r="V9170" s="5"/>
    </row>
    <row r="9171">
      <c r="N9171" s="1"/>
      <c r="V9171" s="5"/>
    </row>
    <row r="9172">
      <c r="N9172" s="1"/>
      <c r="V9172" s="5"/>
    </row>
    <row r="9173">
      <c r="N9173" s="1"/>
      <c r="V9173" s="5"/>
    </row>
    <row r="9174">
      <c r="N9174" s="1"/>
      <c r="V9174" s="5"/>
    </row>
    <row r="9175">
      <c r="N9175" s="1"/>
      <c r="V9175" s="5"/>
    </row>
    <row r="9176">
      <c r="N9176" s="1"/>
      <c r="V9176" s="5"/>
    </row>
    <row r="9177">
      <c r="N9177" s="1"/>
      <c r="V9177" s="5"/>
    </row>
    <row r="9178">
      <c r="N9178" s="1"/>
      <c r="V9178" s="5"/>
    </row>
    <row r="9179">
      <c r="N9179" s="1"/>
      <c r="V9179" s="5"/>
    </row>
    <row r="9180">
      <c r="N9180" s="1"/>
      <c r="V9180" s="5"/>
    </row>
    <row r="9181">
      <c r="N9181" s="1"/>
      <c r="V9181" s="5"/>
    </row>
    <row r="9182">
      <c r="N9182" s="1"/>
      <c r="V9182" s="5"/>
    </row>
    <row r="9183">
      <c r="N9183" s="1"/>
      <c r="V9183" s="5"/>
    </row>
    <row r="9184">
      <c r="N9184" s="1"/>
      <c r="V9184" s="5"/>
    </row>
    <row r="9185">
      <c r="N9185" s="1"/>
      <c r="V9185" s="5"/>
    </row>
    <row r="9186">
      <c r="N9186" s="1"/>
      <c r="V9186" s="5"/>
    </row>
    <row r="9187">
      <c r="N9187" s="1"/>
      <c r="V9187" s="5"/>
    </row>
    <row r="9188">
      <c r="N9188" s="1"/>
      <c r="V9188" s="5"/>
    </row>
    <row r="9189">
      <c r="N9189" s="1"/>
      <c r="V9189" s="5"/>
    </row>
    <row r="9190">
      <c r="N9190" s="1"/>
      <c r="V9190" s="5"/>
    </row>
    <row r="9191">
      <c r="N9191" s="1"/>
      <c r="V9191" s="5"/>
    </row>
    <row r="9192">
      <c r="N9192" s="1"/>
      <c r="V9192" s="5"/>
    </row>
    <row r="9193">
      <c r="N9193" s="1"/>
      <c r="V9193" s="5"/>
    </row>
    <row r="9194">
      <c r="N9194" s="1"/>
      <c r="V9194" s="5"/>
    </row>
    <row r="9195">
      <c r="N9195" s="1"/>
      <c r="V9195" s="5"/>
    </row>
    <row r="9196">
      <c r="N9196" s="1"/>
      <c r="V9196" s="5"/>
    </row>
    <row r="9197">
      <c r="N9197" s="1"/>
      <c r="V9197" s="5"/>
    </row>
    <row r="9198">
      <c r="N9198" s="1"/>
      <c r="V9198" s="5"/>
    </row>
    <row r="9199">
      <c r="N9199" s="1"/>
      <c r="V9199" s="5"/>
    </row>
    <row r="9200">
      <c r="N9200" s="1"/>
      <c r="V9200" s="5"/>
    </row>
    <row r="9201">
      <c r="N9201" s="1"/>
      <c r="V9201" s="5"/>
    </row>
    <row r="9202">
      <c r="N9202" s="1"/>
      <c r="V9202" s="5"/>
    </row>
    <row r="9203">
      <c r="N9203" s="1"/>
      <c r="V9203" s="5"/>
    </row>
    <row r="9204">
      <c r="N9204" s="1"/>
      <c r="V9204" s="5"/>
    </row>
    <row r="9205">
      <c r="N9205" s="1"/>
      <c r="V9205" s="5"/>
    </row>
    <row r="9206">
      <c r="N9206" s="1"/>
      <c r="V9206" s="5"/>
    </row>
    <row r="9207">
      <c r="N9207" s="1"/>
      <c r="V9207" s="5"/>
    </row>
    <row r="9208">
      <c r="N9208" s="1"/>
      <c r="V9208" s="5"/>
    </row>
    <row r="9209">
      <c r="N9209" s="1"/>
      <c r="V9209" s="5"/>
    </row>
    <row r="9210">
      <c r="N9210" s="1"/>
      <c r="V9210" s="5"/>
    </row>
    <row r="9211">
      <c r="N9211" s="1"/>
      <c r="V9211" s="5"/>
    </row>
    <row r="9212">
      <c r="N9212" s="1"/>
      <c r="V9212" s="5"/>
    </row>
    <row r="9213">
      <c r="N9213" s="1"/>
      <c r="V9213" s="5"/>
    </row>
    <row r="9214">
      <c r="N9214" s="1"/>
      <c r="V9214" s="5"/>
    </row>
    <row r="9215">
      <c r="N9215" s="1"/>
      <c r="V9215" s="5"/>
    </row>
    <row r="9216">
      <c r="N9216" s="1"/>
      <c r="V9216" s="5"/>
    </row>
    <row r="9217">
      <c r="N9217" s="1"/>
      <c r="V9217" s="5"/>
    </row>
    <row r="9218">
      <c r="N9218" s="1"/>
      <c r="V9218" s="5"/>
    </row>
    <row r="9219">
      <c r="N9219" s="1"/>
      <c r="V9219" s="5"/>
    </row>
    <row r="9220">
      <c r="N9220" s="1"/>
      <c r="V9220" s="5"/>
    </row>
    <row r="9221">
      <c r="N9221" s="1"/>
      <c r="V9221" s="5"/>
    </row>
    <row r="9222">
      <c r="N9222" s="1"/>
      <c r="V9222" s="5"/>
    </row>
    <row r="9223">
      <c r="N9223" s="1"/>
      <c r="V9223" s="5"/>
    </row>
    <row r="9224">
      <c r="N9224" s="1"/>
      <c r="V9224" s="5"/>
    </row>
    <row r="9225">
      <c r="N9225" s="1"/>
      <c r="V9225" s="5"/>
    </row>
    <row r="9226">
      <c r="N9226" s="1"/>
      <c r="V9226" s="5"/>
    </row>
    <row r="9227">
      <c r="N9227" s="1"/>
      <c r="V9227" s="5"/>
    </row>
    <row r="9228">
      <c r="N9228" s="1"/>
      <c r="V9228" s="5"/>
    </row>
    <row r="9229">
      <c r="N9229" s="1"/>
      <c r="V9229" s="5"/>
    </row>
    <row r="9230">
      <c r="N9230" s="1"/>
      <c r="V9230" s="5"/>
    </row>
    <row r="9231">
      <c r="N9231" s="1"/>
      <c r="V9231" s="5"/>
    </row>
    <row r="9232">
      <c r="N9232" s="1"/>
      <c r="V9232" s="5"/>
    </row>
    <row r="9233">
      <c r="N9233" s="1"/>
      <c r="V9233" s="5"/>
    </row>
    <row r="9234">
      <c r="N9234" s="1"/>
      <c r="V9234" s="5"/>
    </row>
    <row r="9235">
      <c r="N9235" s="1"/>
      <c r="V9235" s="5"/>
    </row>
    <row r="9236">
      <c r="N9236" s="1"/>
      <c r="V9236" s="5"/>
    </row>
    <row r="9237">
      <c r="N9237" s="1"/>
      <c r="V9237" s="5"/>
    </row>
    <row r="9238">
      <c r="N9238" s="1"/>
      <c r="V9238" s="5"/>
    </row>
    <row r="9239">
      <c r="N9239" s="1"/>
      <c r="V9239" s="5"/>
    </row>
    <row r="9240">
      <c r="N9240" s="1"/>
      <c r="V9240" s="5"/>
    </row>
    <row r="9241">
      <c r="N9241" s="1"/>
      <c r="V9241" s="5"/>
    </row>
    <row r="9242">
      <c r="N9242" s="1"/>
      <c r="V9242" s="5"/>
    </row>
    <row r="9243">
      <c r="N9243" s="1"/>
      <c r="V9243" s="5"/>
    </row>
    <row r="9244">
      <c r="N9244" s="1"/>
      <c r="V9244" s="5"/>
    </row>
    <row r="9245">
      <c r="N9245" s="1"/>
      <c r="V9245" s="5"/>
    </row>
    <row r="9246">
      <c r="N9246" s="1"/>
      <c r="V9246" s="5"/>
    </row>
    <row r="9247">
      <c r="N9247" s="1"/>
      <c r="V9247" s="5"/>
    </row>
    <row r="9248">
      <c r="N9248" s="1"/>
      <c r="V9248" s="5"/>
    </row>
    <row r="9249">
      <c r="N9249" s="1"/>
      <c r="V9249" s="5"/>
    </row>
    <row r="9250">
      <c r="N9250" s="1"/>
      <c r="V9250" s="5"/>
    </row>
    <row r="9251">
      <c r="N9251" s="1"/>
      <c r="V9251" s="5"/>
    </row>
    <row r="9252">
      <c r="N9252" s="1"/>
      <c r="V9252" s="5"/>
    </row>
    <row r="9253">
      <c r="N9253" s="1"/>
      <c r="V9253" s="5"/>
    </row>
    <row r="9254">
      <c r="N9254" s="1"/>
      <c r="V9254" s="5"/>
    </row>
    <row r="9255">
      <c r="N9255" s="1"/>
      <c r="V9255" s="5"/>
    </row>
    <row r="9256">
      <c r="N9256" s="1"/>
      <c r="V9256" s="5"/>
    </row>
    <row r="9257">
      <c r="N9257" s="1"/>
      <c r="V9257" s="5"/>
    </row>
    <row r="9258">
      <c r="N9258" s="1"/>
      <c r="V9258" s="5"/>
    </row>
    <row r="9259">
      <c r="N9259" s="1"/>
      <c r="V9259" s="5"/>
    </row>
    <row r="9260">
      <c r="N9260" s="1"/>
      <c r="V9260" s="5"/>
    </row>
    <row r="9261">
      <c r="N9261" s="1"/>
      <c r="V9261" s="5"/>
    </row>
    <row r="9262">
      <c r="N9262" s="1"/>
      <c r="V9262" s="5"/>
    </row>
    <row r="9263">
      <c r="N9263" s="1"/>
      <c r="V9263" s="5"/>
    </row>
    <row r="9264">
      <c r="N9264" s="1"/>
      <c r="V9264" s="5"/>
    </row>
    <row r="9265">
      <c r="N9265" s="1"/>
      <c r="V9265" s="5"/>
    </row>
    <row r="9266">
      <c r="N9266" s="1"/>
      <c r="V9266" s="5"/>
    </row>
    <row r="9267">
      <c r="N9267" s="1"/>
      <c r="V9267" s="5"/>
    </row>
    <row r="9268">
      <c r="N9268" s="1"/>
      <c r="V9268" s="5"/>
    </row>
    <row r="9269">
      <c r="N9269" s="1"/>
      <c r="V9269" s="5"/>
    </row>
    <row r="9270">
      <c r="N9270" s="1"/>
      <c r="V9270" s="5"/>
    </row>
    <row r="9271">
      <c r="N9271" s="1"/>
      <c r="V9271" s="5"/>
    </row>
    <row r="9272">
      <c r="N9272" s="1"/>
      <c r="V9272" s="5"/>
    </row>
    <row r="9273">
      <c r="N9273" s="1"/>
      <c r="V9273" s="5"/>
    </row>
    <row r="9274">
      <c r="N9274" s="1"/>
      <c r="V9274" s="5"/>
    </row>
    <row r="9275">
      <c r="N9275" s="1"/>
      <c r="V9275" s="5"/>
    </row>
    <row r="9276">
      <c r="N9276" s="1"/>
      <c r="V9276" s="5"/>
    </row>
    <row r="9277">
      <c r="N9277" s="1"/>
      <c r="V9277" s="5"/>
    </row>
    <row r="9278">
      <c r="N9278" s="1"/>
      <c r="V9278" s="5"/>
    </row>
    <row r="9279">
      <c r="N9279" s="1"/>
      <c r="V9279" s="5"/>
    </row>
    <row r="9280">
      <c r="N9280" s="1"/>
      <c r="V9280" s="5"/>
    </row>
    <row r="9281">
      <c r="N9281" s="1"/>
      <c r="V9281" s="5"/>
    </row>
    <row r="9282">
      <c r="N9282" s="1"/>
      <c r="V9282" s="5"/>
    </row>
    <row r="9283">
      <c r="N9283" s="1"/>
      <c r="V9283" s="5"/>
    </row>
    <row r="9284">
      <c r="N9284" s="1"/>
      <c r="V9284" s="5"/>
    </row>
    <row r="9285">
      <c r="N9285" s="1"/>
      <c r="V9285" s="5"/>
    </row>
    <row r="9286">
      <c r="N9286" s="1"/>
      <c r="V9286" s="5"/>
    </row>
    <row r="9287">
      <c r="N9287" s="1"/>
      <c r="V9287" s="5"/>
    </row>
    <row r="9288">
      <c r="N9288" s="1"/>
      <c r="V9288" s="5"/>
    </row>
    <row r="9289">
      <c r="N9289" s="1"/>
      <c r="V9289" s="5"/>
    </row>
    <row r="9290">
      <c r="N9290" s="1"/>
      <c r="V9290" s="5"/>
    </row>
    <row r="9291">
      <c r="N9291" s="1"/>
      <c r="V9291" s="5"/>
    </row>
    <row r="9292">
      <c r="N9292" s="1"/>
      <c r="V9292" s="5"/>
    </row>
    <row r="9293">
      <c r="N9293" s="1"/>
      <c r="V9293" s="5"/>
    </row>
    <row r="9294">
      <c r="N9294" s="1"/>
      <c r="V9294" s="5"/>
    </row>
    <row r="9295">
      <c r="N9295" s="1"/>
      <c r="V9295" s="5"/>
    </row>
    <row r="9296">
      <c r="N9296" s="1"/>
      <c r="V9296" s="5"/>
    </row>
    <row r="9297">
      <c r="N9297" s="1"/>
      <c r="V9297" s="5"/>
    </row>
    <row r="9298">
      <c r="N9298" s="1"/>
      <c r="V9298" s="5"/>
    </row>
    <row r="9299">
      <c r="N9299" s="1"/>
      <c r="V9299" s="5"/>
    </row>
    <row r="9300">
      <c r="N9300" s="1"/>
      <c r="V9300" s="5"/>
    </row>
    <row r="9301">
      <c r="N9301" s="1"/>
      <c r="V9301" s="5"/>
    </row>
    <row r="9302">
      <c r="N9302" s="1"/>
      <c r="V9302" s="5"/>
    </row>
    <row r="9303">
      <c r="N9303" s="1"/>
      <c r="V9303" s="5"/>
    </row>
    <row r="9304">
      <c r="N9304" s="1"/>
      <c r="V9304" s="5"/>
    </row>
    <row r="9305">
      <c r="N9305" s="1"/>
      <c r="V9305" s="5"/>
    </row>
    <row r="9306">
      <c r="N9306" s="1"/>
      <c r="V9306" s="5"/>
    </row>
    <row r="9307">
      <c r="N9307" s="1"/>
      <c r="V9307" s="5"/>
    </row>
    <row r="9308">
      <c r="N9308" s="1"/>
      <c r="V9308" s="5"/>
    </row>
    <row r="9309">
      <c r="N9309" s="1"/>
      <c r="V9309" s="5"/>
    </row>
    <row r="9310">
      <c r="N9310" s="1"/>
      <c r="V9310" s="5"/>
    </row>
    <row r="9311">
      <c r="N9311" s="1"/>
      <c r="V9311" s="5"/>
    </row>
    <row r="9312">
      <c r="N9312" s="1"/>
      <c r="V9312" s="5"/>
    </row>
    <row r="9313">
      <c r="N9313" s="1"/>
      <c r="V9313" s="5"/>
    </row>
    <row r="9314">
      <c r="N9314" s="1"/>
      <c r="V9314" s="5"/>
    </row>
    <row r="9315">
      <c r="N9315" s="1"/>
      <c r="V9315" s="5"/>
    </row>
    <row r="9316">
      <c r="N9316" s="1"/>
      <c r="V9316" s="5"/>
    </row>
    <row r="9317">
      <c r="N9317" s="1"/>
      <c r="V9317" s="5"/>
    </row>
    <row r="9318">
      <c r="N9318" s="1"/>
      <c r="V9318" s="5"/>
    </row>
    <row r="9319">
      <c r="N9319" s="1"/>
      <c r="V9319" s="5"/>
    </row>
    <row r="9320">
      <c r="N9320" s="1"/>
      <c r="V9320" s="5"/>
    </row>
    <row r="9321">
      <c r="N9321" s="1"/>
      <c r="V9321" s="5"/>
    </row>
    <row r="9322">
      <c r="N9322" s="1"/>
      <c r="V9322" s="5"/>
    </row>
    <row r="9323">
      <c r="N9323" s="1"/>
      <c r="V9323" s="5"/>
    </row>
    <row r="9324">
      <c r="N9324" s="1"/>
      <c r="V9324" s="5"/>
    </row>
    <row r="9325">
      <c r="N9325" s="1"/>
      <c r="V9325" s="5"/>
    </row>
    <row r="9326">
      <c r="N9326" s="1"/>
      <c r="V9326" s="5"/>
    </row>
    <row r="9327">
      <c r="N9327" s="1"/>
      <c r="V9327" s="5"/>
    </row>
    <row r="9328">
      <c r="N9328" s="1"/>
      <c r="V9328" s="5"/>
    </row>
    <row r="9329">
      <c r="N9329" s="1"/>
      <c r="V9329" s="5"/>
    </row>
    <row r="9330">
      <c r="N9330" s="1"/>
      <c r="V9330" s="5"/>
    </row>
    <row r="9331">
      <c r="N9331" s="1"/>
      <c r="V9331" s="5"/>
    </row>
    <row r="9332">
      <c r="N9332" s="1"/>
      <c r="V9332" s="5"/>
    </row>
    <row r="9333">
      <c r="N9333" s="1"/>
      <c r="V9333" s="5"/>
    </row>
    <row r="9334">
      <c r="N9334" s="1"/>
      <c r="V9334" s="5"/>
    </row>
    <row r="9335">
      <c r="N9335" s="1"/>
      <c r="V9335" s="5"/>
    </row>
    <row r="9336">
      <c r="N9336" s="1"/>
      <c r="V9336" s="5"/>
    </row>
    <row r="9337">
      <c r="N9337" s="1"/>
      <c r="V9337" s="5"/>
    </row>
    <row r="9338">
      <c r="N9338" s="1"/>
      <c r="V9338" s="5"/>
    </row>
    <row r="9339">
      <c r="N9339" s="1"/>
      <c r="V9339" s="5"/>
    </row>
    <row r="9340">
      <c r="N9340" s="1"/>
      <c r="V9340" s="5"/>
    </row>
    <row r="9341">
      <c r="N9341" s="1"/>
      <c r="V9341" s="5"/>
    </row>
    <row r="9342">
      <c r="N9342" s="1"/>
      <c r="V9342" s="5"/>
    </row>
    <row r="9343">
      <c r="N9343" s="1"/>
      <c r="V9343" s="5"/>
    </row>
    <row r="9344">
      <c r="N9344" s="1"/>
      <c r="V9344" s="5"/>
    </row>
    <row r="9345">
      <c r="N9345" s="1"/>
      <c r="V9345" s="5"/>
    </row>
    <row r="9346">
      <c r="N9346" s="1"/>
      <c r="V9346" s="5"/>
    </row>
    <row r="9347">
      <c r="N9347" s="1"/>
      <c r="V9347" s="5"/>
    </row>
    <row r="9348">
      <c r="N9348" s="1"/>
      <c r="V9348" s="5"/>
    </row>
    <row r="9349">
      <c r="N9349" s="1"/>
      <c r="V9349" s="5"/>
    </row>
    <row r="9350">
      <c r="N9350" s="1"/>
      <c r="V9350" s="5"/>
    </row>
    <row r="9351">
      <c r="N9351" s="1"/>
      <c r="V9351" s="5"/>
    </row>
    <row r="9352">
      <c r="N9352" s="1"/>
      <c r="V9352" s="5"/>
    </row>
    <row r="9353">
      <c r="N9353" s="1"/>
      <c r="V9353" s="5"/>
    </row>
    <row r="9354">
      <c r="N9354" s="1"/>
      <c r="V9354" s="5"/>
    </row>
    <row r="9355">
      <c r="N9355" s="1"/>
      <c r="V9355" s="5"/>
    </row>
    <row r="9356">
      <c r="N9356" s="1"/>
      <c r="V9356" s="5"/>
    </row>
    <row r="9357">
      <c r="N9357" s="1"/>
      <c r="V9357" s="5"/>
    </row>
    <row r="9358">
      <c r="N9358" s="1"/>
      <c r="V9358" s="5"/>
    </row>
    <row r="9359">
      <c r="N9359" s="1"/>
      <c r="V9359" s="5"/>
    </row>
    <row r="9360">
      <c r="N9360" s="1"/>
      <c r="V9360" s="5"/>
    </row>
    <row r="9361">
      <c r="N9361" s="1"/>
      <c r="V9361" s="5"/>
    </row>
    <row r="9362">
      <c r="N9362" s="1"/>
      <c r="V9362" s="5"/>
    </row>
    <row r="9363">
      <c r="N9363" s="1"/>
      <c r="V9363" s="5"/>
    </row>
    <row r="9364">
      <c r="N9364" s="1"/>
      <c r="V9364" s="5"/>
    </row>
    <row r="9365">
      <c r="N9365" s="1"/>
      <c r="V9365" s="5"/>
    </row>
    <row r="9366">
      <c r="N9366" s="1"/>
      <c r="V9366" s="5"/>
    </row>
    <row r="9367">
      <c r="N9367" s="1"/>
      <c r="V9367" s="5"/>
    </row>
    <row r="9368">
      <c r="N9368" s="1"/>
      <c r="V9368" s="5"/>
    </row>
    <row r="9369">
      <c r="N9369" s="1"/>
      <c r="V9369" s="5"/>
    </row>
    <row r="9370">
      <c r="N9370" s="1"/>
      <c r="V9370" s="5"/>
    </row>
    <row r="9371">
      <c r="N9371" s="1"/>
      <c r="V9371" s="5"/>
    </row>
    <row r="9372">
      <c r="N9372" s="1"/>
      <c r="V9372" s="5"/>
    </row>
    <row r="9373">
      <c r="N9373" s="1"/>
      <c r="V9373" s="5"/>
    </row>
    <row r="9374">
      <c r="N9374" s="1"/>
      <c r="V9374" s="5"/>
    </row>
    <row r="9375">
      <c r="N9375" s="1"/>
      <c r="V9375" s="5"/>
    </row>
    <row r="9376">
      <c r="N9376" s="1"/>
      <c r="V9376" s="5"/>
    </row>
    <row r="9377">
      <c r="N9377" s="1"/>
      <c r="V9377" s="5"/>
    </row>
    <row r="9378">
      <c r="N9378" s="1"/>
      <c r="V9378" s="5"/>
    </row>
    <row r="9379">
      <c r="N9379" s="1"/>
      <c r="V9379" s="5"/>
    </row>
    <row r="9380">
      <c r="N9380" s="1"/>
      <c r="V9380" s="5"/>
    </row>
    <row r="9381">
      <c r="N9381" s="1"/>
      <c r="V9381" s="5"/>
    </row>
    <row r="9382">
      <c r="N9382" s="1"/>
      <c r="V9382" s="5"/>
    </row>
    <row r="9383">
      <c r="N9383" s="1"/>
      <c r="V9383" s="5"/>
    </row>
    <row r="9384">
      <c r="N9384" s="1"/>
      <c r="V9384" s="5"/>
    </row>
    <row r="9385">
      <c r="N9385" s="1"/>
      <c r="V9385" s="5"/>
    </row>
    <row r="9386">
      <c r="N9386" s="1"/>
      <c r="V9386" s="5"/>
    </row>
    <row r="9387">
      <c r="N9387" s="1"/>
      <c r="V9387" s="5"/>
    </row>
    <row r="9388">
      <c r="N9388" s="1"/>
      <c r="V9388" s="5"/>
    </row>
    <row r="9389">
      <c r="N9389" s="1"/>
      <c r="V9389" s="5"/>
    </row>
    <row r="9390">
      <c r="N9390" s="1"/>
      <c r="V9390" s="5"/>
    </row>
    <row r="9391">
      <c r="N9391" s="1"/>
      <c r="V9391" s="5"/>
    </row>
    <row r="9392">
      <c r="N9392" s="1"/>
      <c r="V9392" s="5"/>
    </row>
    <row r="9393">
      <c r="N9393" s="1"/>
      <c r="V9393" s="5"/>
    </row>
    <row r="9394">
      <c r="N9394" s="1"/>
      <c r="V9394" s="5"/>
    </row>
    <row r="9395">
      <c r="N9395" s="1"/>
      <c r="V9395" s="5"/>
    </row>
    <row r="9396">
      <c r="N9396" s="1"/>
      <c r="V9396" s="5"/>
    </row>
    <row r="9397">
      <c r="N9397" s="1"/>
      <c r="V9397" s="5"/>
    </row>
    <row r="9398">
      <c r="N9398" s="1"/>
      <c r="V9398" s="5"/>
    </row>
    <row r="9399">
      <c r="N9399" s="1"/>
      <c r="V9399" s="5"/>
    </row>
    <row r="9400">
      <c r="N9400" s="1"/>
      <c r="V9400" s="5"/>
    </row>
    <row r="9401">
      <c r="N9401" s="1"/>
      <c r="V9401" s="5"/>
    </row>
    <row r="9402">
      <c r="N9402" s="1"/>
      <c r="V9402" s="5"/>
    </row>
    <row r="9403">
      <c r="N9403" s="1"/>
      <c r="V9403" s="5"/>
    </row>
    <row r="9404">
      <c r="N9404" s="1"/>
      <c r="V9404" s="5"/>
    </row>
    <row r="9405">
      <c r="N9405" s="1"/>
      <c r="V9405" s="5"/>
    </row>
    <row r="9406">
      <c r="N9406" s="1"/>
      <c r="V9406" s="5"/>
    </row>
    <row r="9407">
      <c r="N9407" s="1"/>
      <c r="V9407" s="5"/>
    </row>
    <row r="9408">
      <c r="N9408" s="1"/>
      <c r="V9408" s="5"/>
    </row>
    <row r="9409">
      <c r="N9409" s="1"/>
      <c r="V9409" s="5"/>
    </row>
    <row r="9410">
      <c r="N9410" s="1"/>
      <c r="V9410" s="5"/>
    </row>
    <row r="9411">
      <c r="N9411" s="1"/>
      <c r="V9411" s="5"/>
    </row>
    <row r="9412">
      <c r="N9412" s="1"/>
      <c r="V9412" s="5"/>
    </row>
    <row r="9413">
      <c r="N9413" s="1"/>
      <c r="V9413" s="5"/>
    </row>
    <row r="9414">
      <c r="N9414" s="1"/>
      <c r="V9414" s="5"/>
    </row>
    <row r="9415">
      <c r="N9415" s="1"/>
      <c r="V9415" s="5"/>
    </row>
    <row r="9416">
      <c r="N9416" s="1"/>
      <c r="V9416" s="5"/>
    </row>
    <row r="9417">
      <c r="N9417" s="1"/>
      <c r="V9417" s="5"/>
    </row>
    <row r="9418">
      <c r="N9418" s="1"/>
      <c r="V9418" s="5"/>
    </row>
    <row r="9419">
      <c r="N9419" s="1"/>
      <c r="V9419" s="5"/>
    </row>
    <row r="9420">
      <c r="N9420" s="1"/>
      <c r="V9420" s="5"/>
    </row>
    <row r="9421">
      <c r="N9421" s="1"/>
      <c r="V9421" s="5"/>
    </row>
    <row r="9422">
      <c r="N9422" s="1"/>
      <c r="V9422" s="5"/>
    </row>
    <row r="9423">
      <c r="N9423" s="1"/>
      <c r="V9423" s="5"/>
    </row>
    <row r="9424">
      <c r="N9424" s="1"/>
      <c r="V9424" s="5"/>
    </row>
    <row r="9425">
      <c r="N9425" s="1"/>
      <c r="V9425" s="5"/>
    </row>
    <row r="9426">
      <c r="N9426" s="1"/>
      <c r="V9426" s="5"/>
    </row>
    <row r="9427">
      <c r="N9427" s="1"/>
      <c r="V9427" s="5"/>
    </row>
    <row r="9428">
      <c r="N9428" s="1"/>
      <c r="V9428" s="5"/>
    </row>
    <row r="9429">
      <c r="N9429" s="1"/>
      <c r="V9429" s="5"/>
    </row>
    <row r="9430">
      <c r="N9430" s="1"/>
      <c r="V9430" s="5"/>
    </row>
    <row r="9431">
      <c r="N9431" s="1"/>
      <c r="V9431" s="5"/>
    </row>
    <row r="9432">
      <c r="N9432" s="1"/>
      <c r="V9432" s="5"/>
    </row>
    <row r="9433">
      <c r="N9433" s="1"/>
      <c r="V9433" s="5"/>
    </row>
    <row r="9434">
      <c r="N9434" s="1"/>
      <c r="V9434" s="5"/>
    </row>
    <row r="9435">
      <c r="N9435" s="1"/>
      <c r="V9435" s="5"/>
    </row>
    <row r="9436">
      <c r="N9436" s="1"/>
      <c r="V9436" s="5"/>
    </row>
    <row r="9437">
      <c r="N9437" s="1"/>
      <c r="V9437" s="5"/>
    </row>
    <row r="9438">
      <c r="N9438" s="1"/>
      <c r="V9438" s="5"/>
    </row>
    <row r="9439">
      <c r="N9439" s="1"/>
      <c r="V9439" s="5"/>
    </row>
    <row r="9440">
      <c r="N9440" s="1"/>
      <c r="V9440" s="5"/>
    </row>
    <row r="9441">
      <c r="N9441" s="1"/>
      <c r="V9441" s="5"/>
    </row>
    <row r="9442">
      <c r="N9442" s="1"/>
      <c r="V9442" s="5"/>
    </row>
    <row r="9443">
      <c r="N9443" s="1"/>
      <c r="V9443" s="5"/>
    </row>
    <row r="9444">
      <c r="N9444" s="1"/>
      <c r="V9444" s="5"/>
    </row>
    <row r="9445">
      <c r="N9445" s="1"/>
      <c r="V9445" s="5"/>
    </row>
    <row r="9446">
      <c r="N9446" s="1"/>
      <c r="V9446" s="5"/>
    </row>
    <row r="9447">
      <c r="N9447" s="1"/>
      <c r="V9447" s="5"/>
    </row>
    <row r="9448">
      <c r="N9448" s="1"/>
      <c r="V9448" s="5"/>
    </row>
    <row r="9449">
      <c r="N9449" s="1"/>
      <c r="V9449" s="5"/>
    </row>
    <row r="9450">
      <c r="N9450" s="1"/>
      <c r="V9450" s="5"/>
    </row>
    <row r="9451">
      <c r="N9451" s="1"/>
      <c r="V9451" s="5"/>
    </row>
    <row r="9452">
      <c r="N9452" s="1"/>
      <c r="V9452" s="5"/>
    </row>
    <row r="9453">
      <c r="N9453" s="1"/>
      <c r="V9453" s="5"/>
    </row>
    <row r="9454">
      <c r="N9454" s="1"/>
      <c r="V9454" s="5"/>
    </row>
    <row r="9455">
      <c r="N9455" s="1"/>
      <c r="V9455" s="5"/>
    </row>
    <row r="9456">
      <c r="N9456" s="1"/>
      <c r="V9456" s="5"/>
    </row>
    <row r="9457">
      <c r="N9457" s="1"/>
      <c r="V9457" s="5"/>
    </row>
    <row r="9458">
      <c r="N9458" s="1"/>
      <c r="V9458" s="5"/>
    </row>
    <row r="9459">
      <c r="N9459" s="1"/>
      <c r="V9459" s="5"/>
    </row>
    <row r="9460">
      <c r="N9460" s="1"/>
      <c r="V9460" s="5"/>
    </row>
    <row r="9461">
      <c r="N9461" s="1"/>
      <c r="V9461" s="5"/>
    </row>
    <row r="9462">
      <c r="N9462" s="1"/>
      <c r="V9462" s="5"/>
    </row>
    <row r="9463">
      <c r="N9463" s="1"/>
      <c r="V9463" s="5"/>
    </row>
    <row r="9464">
      <c r="N9464" s="1"/>
      <c r="V9464" s="5"/>
    </row>
    <row r="9465">
      <c r="N9465" s="1"/>
      <c r="V9465" s="5"/>
    </row>
    <row r="9466">
      <c r="N9466" s="1"/>
      <c r="V9466" s="5"/>
    </row>
    <row r="9467">
      <c r="N9467" s="1"/>
      <c r="V9467" s="5"/>
    </row>
    <row r="9468">
      <c r="N9468" s="1"/>
      <c r="V9468" s="5"/>
    </row>
    <row r="9469">
      <c r="N9469" s="1"/>
      <c r="V9469" s="5"/>
    </row>
    <row r="9470">
      <c r="N9470" s="1"/>
      <c r="V9470" s="5"/>
    </row>
    <row r="9471">
      <c r="N9471" s="1"/>
      <c r="V9471" s="5"/>
    </row>
    <row r="9472">
      <c r="N9472" s="1"/>
      <c r="V9472" s="5"/>
    </row>
    <row r="9473">
      <c r="N9473" s="1"/>
      <c r="V9473" s="5"/>
    </row>
    <row r="9474">
      <c r="N9474" s="1"/>
      <c r="V9474" s="5"/>
    </row>
    <row r="9475">
      <c r="N9475" s="1"/>
      <c r="V9475" s="5"/>
    </row>
    <row r="9476">
      <c r="N9476" s="1"/>
      <c r="V9476" s="5"/>
    </row>
    <row r="9477">
      <c r="N9477" s="1"/>
      <c r="V9477" s="5"/>
    </row>
    <row r="9478">
      <c r="N9478" s="1"/>
      <c r="V9478" s="5"/>
    </row>
    <row r="9479">
      <c r="N9479" s="1"/>
      <c r="V9479" s="5"/>
    </row>
    <row r="9480">
      <c r="N9480" s="1"/>
      <c r="V9480" s="5"/>
    </row>
    <row r="9481">
      <c r="N9481" s="1"/>
      <c r="V9481" s="5"/>
    </row>
    <row r="9482">
      <c r="N9482" s="1"/>
      <c r="V9482" s="5"/>
    </row>
    <row r="9483">
      <c r="N9483" s="1"/>
      <c r="V9483" s="5"/>
    </row>
    <row r="9484">
      <c r="N9484" s="1"/>
      <c r="V9484" s="5"/>
    </row>
    <row r="9485">
      <c r="N9485" s="1"/>
      <c r="V9485" s="5"/>
    </row>
    <row r="9486">
      <c r="N9486" s="1"/>
      <c r="V9486" s="5"/>
    </row>
    <row r="9487">
      <c r="N9487" s="1"/>
      <c r="V9487" s="5"/>
    </row>
    <row r="9488">
      <c r="N9488" s="1"/>
      <c r="V9488" s="5"/>
    </row>
    <row r="9489">
      <c r="N9489" s="1"/>
      <c r="V9489" s="5"/>
    </row>
    <row r="9490">
      <c r="N9490" s="1"/>
      <c r="V9490" s="5"/>
    </row>
    <row r="9491">
      <c r="N9491" s="1"/>
      <c r="V9491" s="5"/>
    </row>
    <row r="9492">
      <c r="N9492" s="1"/>
      <c r="V9492" s="5"/>
    </row>
    <row r="9493">
      <c r="N9493" s="1"/>
      <c r="V9493" s="5"/>
    </row>
    <row r="9494">
      <c r="N9494" s="1"/>
      <c r="V9494" s="5"/>
    </row>
    <row r="9495">
      <c r="N9495" s="1"/>
      <c r="V9495" s="5"/>
    </row>
    <row r="9496">
      <c r="N9496" s="1"/>
      <c r="V9496" s="5"/>
    </row>
    <row r="9497">
      <c r="N9497" s="1"/>
      <c r="V9497" s="5"/>
    </row>
    <row r="9498">
      <c r="N9498" s="1"/>
      <c r="V9498" s="5"/>
    </row>
    <row r="9499">
      <c r="N9499" s="1"/>
      <c r="V9499" s="5"/>
    </row>
    <row r="9500">
      <c r="N9500" s="1"/>
      <c r="V9500" s="5"/>
    </row>
    <row r="9501">
      <c r="N9501" s="1"/>
      <c r="V9501" s="5"/>
    </row>
    <row r="9502">
      <c r="N9502" s="1"/>
      <c r="V9502" s="5"/>
    </row>
    <row r="9503">
      <c r="N9503" s="1"/>
      <c r="V9503" s="5"/>
    </row>
    <row r="9504">
      <c r="N9504" s="1"/>
      <c r="V9504" s="5"/>
    </row>
    <row r="9505">
      <c r="N9505" s="1"/>
      <c r="V9505" s="5"/>
    </row>
    <row r="9506">
      <c r="N9506" s="1"/>
      <c r="V9506" s="5"/>
    </row>
    <row r="9507">
      <c r="N9507" s="1"/>
      <c r="V9507" s="5"/>
    </row>
    <row r="9508">
      <c r="N9508" s="1"/>
      <c r="V9508" s="5"/>
    </row>
    <row r="9509">
      <c r="N9509" s="1"/>
      <c r="V9509" s="5"/>
    </row>
    <row r="9510">
      <c r="N9510" s="1"/>
      <c r="V9510" s="5"/>
    </row>
    <row r="9511">
      <c r="N9511" s="1"/>
      <c r="V9511" s="5"/>
    </row>
    <row r="9512">
      <c r="N9512" s="1"/>
      <c r="V9512" s="5"/>
    </row>
    <row r="9513">
      <c r="N9513" s="1"/>
      <c r="V9513" s="5"/>
    </row>
    <row r="9514">
      <c r="N9514" s="1"/>
      <c r="V9514" s="5"/>
    </row>
    <row r="9515">
      <c r="N9515" s="1"/>
      <c r="V9515" s="5"/>
    </row>
    <row r="9516">
      <c r="N9516" s="1"/>
      <c r="V9516" s="5"/>
    </row>
    <row r="9517">
      <c r="N9517" s="1"/>
      <c r="V9517" s="5"/>
    </row>
    <row r="9518">
      <c r="N9518" s="1"/>
      <c r="V9518" s="5"/>
    </row>
    <row r="9519">
      <c r="N9519" s="1"/>
      <c r="V9519" s="5"/>
    </row>
    <row r="9520">
      <c r="N9520" s="1"/>
      <c r="V9520" s="5"/>
    </row>
    <row r="9521">
      <c r="N9521" s="1"/>
      <c r="V9521" s="5"/>
    </row>
    <row r="9522">
      <c r="N9522" s="1"/>
      <c r="V9522" s="5"/>
    </row>
    <row r="9523">
      <c r="N9523" s="1"/>
      <c r="V9523" s="5"/>
    </row>
    <row r="9524">
      <c r="N9524" s="1"/>
      <c r="V9524" s="5"/>
    </row>
    <row r="9525">
      <c r="N9525" s="1"/>
      <c r="V9525" s="5"/>
    </row>
    <row r="9526">
      <c r="N9526" s="1"/>
      <c r="V9526" s="5"/>
    </row>
    <row r="9527">
      <c r="N9527" s="1"/>
      <c r="V9527" s="5"/>
    </row>
    <row r="9528">
      <c r="N9528" s="1"/>
      <c r="V9528" s="5"/>
    </row>
    <row r="9529">
      <c r="N9529" s="1"/>
      <c r="V9529" s="5"/>
    </row>
    <row r="9530">
      <c r="N9530" s="1"/>
      <c r="V9530" s="5"/>
    </row>
    <row r="9531">
      <c r="N9531" s="1"/>
      <c r="V9531" s="5"/>
    </row>
    <row r="9532">
      <c r="N9532" s="1"/>
      <c r="V9532" s="5"/>
    </row>
    <row r="9533">
      <c r="N9533" s="1"/>
      <c r="V9533" s="5"/>
    </row>
    <row r="9534">
      <c r="N9534" s="1"/>
      <c r="V9534" s="5"/>
    </row>
    <row r="9535">
      <c r="N9535" s="1"/>
      <c r="V9535" s="5"/>
    </row>
    <row r="9536">
      <c r="N9536" s="1"/>
      <c r="V9536" s="5"/>
    </row>
    <row r="9537">
      <c r="N9537" s="1"/>
      <c r="V9537" s="5"/>
    </row>
    <row r="9538">
      <c r="N9538" s="1"/>
      <c r="V9538" s="5"/>
    </row>
    <row r="9539">
      <c r="N9539" s="1"/>
      <c r="V9539" s="5"/>
    </row>
    <row r="9540">
      <c r="N9540" s="1"/>
      <c r="V9540" s="5"/>
    </row>
    <row r="9541">
      <c r="N9541" s="1"/>
      <c r="V9541" s="5"/>
    </row>
    <row r="9542">
      <c r="N9542" s="1"/>
      <c r="V9542" s="5"/>
    </row>
    <row r="9543">
      <c r="N9543" s="1"/>
      <c r="V9543" s="5"/>
    </row>
    <row r="9544">
      <c r="N9544" s="1"/>
      <c r="V9544" s="5"/>
    </row>
    <row r="9545">
      <c r="N9545" s="1"/>
      <c r="V9545" s="5"/>
    </row>
    <row r="9546">
      <c r="N9546" s="1"/>
      <c r="V9546" s="5"/>
    </row>
    <row r="9547">
      <c r="N9547" s="1"/>
      <c r="V9547" s="5"/>
    </row>
    <row r="9548">
      <c r="N9548" s="1"/>
      <c r="V9548" s="5"/>
    </row>
    <row r="9549">
      <c r="N9549" s="1"/>
      <c r="V9549" s="5"/>
    </row>
    <row r="9550">
      <c r="N9550" s="1"/>
      <c r="V9550" s="5"/>
    </row>
    <row r="9551">
      <c r="N9551" s="1"/>
      <c r="V9551" s="5"/>
    </row>
    <row r="9552">
      <c r="N9552" s="1"/>
      <c r="V9552" s="5"/>
    </row>
    <row r="9553">
      <c r="N9553" s="1"/>
      <c r="V9553" s="5"/>
    </row>
    <row r="9554">
      <c r="N9554" s="1"/>
      <c r="V9554" s="5"/>
    </row>
    <row r="9555">
      <c r="N9555" s="1"/>
      <c r="V9555" s="5"/>
    </row>
    <row r="9556">
      <c r="N9556" s="1"/>
      <c r="V9556" s="5"/>
    </row>
    <row r="9557">
      <c r="N9557" s="1"/>
      <c r="V9557" s="5"/>
    </row>
    <row r="9558">
      <c r="N9558" s="1"/>
      <c r="V9558" s="5"/>
    </row>
    <row r="9559">
      <c r="N9559" s="1"/>
      <c r="V9559" s="5"/>
    </row>
    <row r="9560">
      <c r="N9560" s="1"/>
      <c r="V9560" s="5"/>
    </row>
    <row r="9561">
      <c r="N9561" s="1"/>
      <c r="V9561" s="5"/>
    </row>
    <row r="9562">
      <c r="N9562" s="1"/>
      <c r="V9562" s="5"/>
    </row>
    <row r="9563">
      <c r="N9563" s="1"/>
      <c r="V9563" s="5"/>
    </row>
    <row r="9564">
      <c r="N9564" s="1"/>
      <c r="V9564" s="5"/>
    </row>
    <row r="9565">
      <c r="N9565" s="1"/>
      <c r="V9565" s="5"/>
    </row>
    <row r="9566">
      <c r="N9566" s="1"/>
      <c r="V9566" s="5"/>
    </row>
    <row r="9567">
      <c r="N9567" s="1"/>
      <c r="V9567" s="5"/>
    </row>
    <row r="9568">
      <c r="N9568" s="1"/>
      <c r="V9568" s="5"/>
    </row>
    <row r="9569">
      <c r="N9569" s="1"/>
      <c r="V9569" s="5"/>
    </row>
    <row r="9570">
      <c r="N9570" s="1"/>
      <c r="V9570" s="5"/>
    </row>
    <row r="9571">
      <c r="N9571" s="1"/>
      <c r="V9571" s="5"/>
    </row>
    <row r="9572">
      <c r="N9572" s="1"/>
      <c r="V9572" s="5"/>
    </row>
    <row r="9573">
      <c r="N9573" s="1"/>
      <c r="V9573" s="5"/>
    </row>
    <row r="9574">
      <c r="N9574" s="1"/>
      <c r="V9574" s="5"/>
    </row>
    <row r="9575">
      <c r="N9575" s="1"/>
      <c r="V9575" s="5"/>
    </row>
    <row r="9576">
      <c r="N9576" s="1"/>
      <c r="V9576" s="5"/>
    </row>
    <row r="9577">
      <c r="N9577" s="1"/>
      <c r="V9577" s="5"/>
    </row>
    <row r="9578">
      <c r="N9578" s="1"/>
      <c r="V9578" s="5"/>
    </row>
    <row r="9579">
      <c r="N9579" s="1"/>
      <c r="V9579" s="5"/>
    </row>
    <row r="9580">
      <c r="N9580" s="1"/>
      <c r="V9580" s="5"/>
    </row>
    <row r="9581">
      <c r="N9581" s="1"/>
      <c r="V9581" s="5"/>
    </row>
    <row r="9582">
      <c r="N9582" s="1"/>
      <c r="V9582" s="5"/>
    </row>
    <row r="9583">
      <c r="N9583" s="1"/>
      <c r="V9583" s="5"/>
    </row>
    <row r="9584">
      <c r="N9584" s="1"/>
      <c r="V9584" s="5"/>
    </row>
    <row r="9585">
      <c r="N9585" s="1"/>
      <c r="V9585" s="5"/>
    </row>
    <row r="9586">
      <c r="N9586" s="1"/>
      <c r="V9586" s="5"/>
    </row>
    <row r="9587">
      <c r="N9587" s="1"/>
      <c r="V9587" s="5"/>
    </row>
    <row r="9588">
      <c r="N9588" s="1"/>
      <c r="V9588" s="5"/>
    </row>
    <row r="9589">
      <c r="N9589" s="1"/>
      <c r="V9589" s="5"/>
    </row>
    <row r="9590">
      <c r="N9590" s="1"/>
      <c r="V9590" s="5"/>
    </row>
    <row r="9591">
      <c r="N9591" s="1"/>
      <c r="V9591" s="5"/>
    </row>
    <row r="9592">
      <c r="N9592" s="1"/>
      <c r="V9592" s="5"/>
    </row>
    <row r="9593">
      <c r="N9593" s="1"/>
      <c r="V9593" s="5"/>
    </row>
    <row r="9594">
      <c r="N9594" s="1"/>
      <c r="V9594" s="5"/>
    </row>
    <row r="9595">
      <c r="N9595" s="1"/>
      <c r="V9595" s="5"/>
    </row>
    <row r="9596">
      <c r="N9596" s="1"/>
      <c r="V9596" s="5"/>
    </row>
    <row r="9597">
      <c r="N9597" s="1"/>
      <c r="V9597" s="5"/>
    </row>
    <row r="9598">
      <c r="N9598" s="1"/>
      <c r="V9598" s="5"/>
    </row>
    <row r="9599">
      <c r="N9599" s="1"/>
      <c r="V9599" s="5"/>
    </row>
    <row r="9600">
      <c r="N9600" s="1"/>
      <c r="V9600" s="5"/>
    </row>
    <row r="9601">
      <c r="N9601" s="1"/>
      <c r="V9601" s="5"/>
    </row>
    <row r="9602">
      <c r="N9602" s="1"/>
      <c r="V9602" s="5"/>
    </row>
    <row r="9603">
      <c r="N9603" s="1"/>
      <c r="V9603" s="5"/>
    </row>
    <row r="9604">
      <c r="N9604" s="1"/>
      <c r="V9604" s="5"/>
    </row>
    <row r="9605">
      <c r="N9605" s="1"/>
      <c r="V9605" s="5"/>
    </row>
    <row r="9606">
      <c r="N9606" s="1"/>
      <c r="V9606" s="5"/>
    </row>
    <row r="9607">
      <c r="N9607" s="1"/>
      <c r="V9607" s="5"/>
    </row>
    <row r="9608">
      <c r="N9608" s="1"/>
      <c r="V9608" s="5"/>
    </row>
    <row r="9609">
      <c r="N9609" s="1"/>
      <c r="V9609" s="5"/>
    </row>
    <row r="9610">
      <c r="N9610" s="1"/>
      <c r="V9610" s="5"/>
    </row>
    <row r="9611">
      <c r="N9611" s="1"/>
      <c r="V9611" s="5"/>
    </row>
    <row r="9612">
      <c r="N9612" s="1"/>
      <c r="V9612" s="5"/>
    </row>
    <row r="9613">
      <c r="N9613" s="1"/>
      <c r="V9613" s="5"/>
    </row>
    <row r="9614">
      <c r="N9614" s="1"/>
      <c r="V9614" s="5"/>
    </row>
    <row r="9615">
      <c r="N9615" s="1"/>
      <c r="V9615" s="5"/>
    </row>
    <row r="9616">
      <c r="N9616" s="1"/>
      <c r="V9616" s="5"/>
    </row>
    <row r="9617">
      <c r="N9617" s="1"/>
      <c r="V9617" s="5"/>
    </row>
    <row r="9618">
      <c r="N9618" s="1"/>
      <c r="V9618" s="5"/>
    </row>
    <row r="9619">
      <c r="N9619" s="1"/>
      <c r="V9619" s="5"/>
    </row>
    <row r="9620">
      <c r="N9620" s="1"/>
      <c r="V9620" s="5"/>
    </row>
    <row r="9621">
      <c r="N9621" s="1"/>
      <c r="V9621" s="5"/>
    </row>
    <row r="9622">
      <c r="N9622" s="1"/>
      <c r="V9622" s="5"/>
    </row>
    <row r="9623">
      <c r="N9623" s="1"/>
      <c r="V9623" s="5"/>
    </row>
    <row r="9624">
      <c r="N9624" s="1"/>
      <c r="V9624" s="5"/>
    </row>
    <row r="9625">
      <c r="N9625" s="1"/>
      <c r="V9625" s="5"/>
    </row>
    <row r="9626">
      <c r="N9626" s="1"/>
      <c r="V9626" s="5"/>
    </row>
    <row r="9627">
      <c r="N9627" s="1"/>
      <c r="V9627" s="5"/>
    </row>
    <row r="9628">
      <c r="N9628" s="1"/>
      <c r="V9628" s="5"/>
    </row>
    <row r="9629">
      <c r="N9629" s="1"/>
      <c r="V9629" s="5"/>
    </row>
    <row r="9630">
      <c r="N9630" s="1"/>
      <c r="V9630" s="5"/>
    </row>
    <row r="9631">
      <c r="N9631" s="1"/>
      <c r="V9631" s="5"/>
    </row>
    <row r="9632">
      <c r="N9632" s="1"/>
      <c r="V9632" s="5"/>
    </row>
    <row r="9633">
      <c r="N9633" s="1"/>
      <c r="V9633" s="5"/>
    </row>
    <row r="9634">
      <c r="N9634" s="1"/>
      <c r="V9634" s="5"/>
    </row>
    <row r="9635">
      <c r="N9635" s="1"/>
      <c r="V9635" s="5"/>
    </row>
    <row r="9636">
      <c r="N9636" s="1"/>
      <c r="V9636" s="5"/>
    </row>
    <row r="9637">
      <c r="N9637" s="1"/>
      <c r="V9637" s="5"/>
    </row>
    <row r="9638">
      <c r="N9638" s="1"/>
      <c r="V9638" s="5"/>
    </row>
    <row r="9639">
      <c r="N9639" s="1"/>
      <c r="V9639" s="5"/>
    </row>
    <row r="9640">
      <c r="N9640" s="1"/>
      <c r="V9640" s="5"/>
    </row>
    <row r="9641">
      <c r="N9641" s="1"/>
      <c r="V9641" s="5"/>
    </row>
    <row r="9642">
      <c r="N9642" s="1"/>
      <c r="V9642" s="5"/>
    </row>
    <row r="9643">
      <c r="N9643" s="1"/>
      <c r="V9643" s="5"/>
    </row>
    <row r="9644">
      <c r="N9644" s="1"/>
      <c r="V9644" s="5"/>
    </row>
    <row r="9645">
      <c r="N9645" s="1"/>
      <c r="V9645" s="5"/>
    </row>
    <row r="9646">
      <c r="N9646" s="1"/>
      <c r="V9646" s="5"/>
    </row>
    <row r="9647">
      <c r="N9647" s="1"/>
      <c r="V9647" s="5"/>
    </row>
    <row r="9648">
      <c r="N9648" s="1"/>
      <c r="V9648" s="5"/>
    </row>
    <row r="9649">
      <c r="N9649" s="1"/>
      <c r="V9649" s="5"/>
    </row>
    <row r="9650">
      <c r="N9650" s="1"/>
      <c r="V9650" s="5"/>
    </row>
    <row r="9651">
      <c r="N9651" s="1"/>
      <c r="V9651" s="5"/>
    </row>
    <row r="9652">
      <c r="N9652" s="1"/>
      <c r="V9652" s="5"/>
    </row>
    <row r="9653">
      <c r="N9653" s="1"/>
      <c r="V9653" s="5"/>
    </row>
    <row r="9654">
      <c r="N9654" s="1"/>
      <c r="V9654" s="5"/>
    </row>
    <row r="9655">
      <c r="N9655" s="1"/>
      <c r="V9655" s="5"/>
    </row>
    <row r="9656">
      <c r="N9656" s="1"/>
      <c r="V9656" s="5"/>
    </row>
    <row r="9657">
      <c r="N9657" s="1"/>
      <c r="V9657" s="5"/>
    </row>
    <row r="9658">
      <c r="N9658" s="1"/>
      <c r="V9658" s="5"/>
    </row>
    <row r="9659">
      <c r="N9659" s="1"/>
      <c r="V9659" s="5"/>
    </row>
    <row r="9660">
      <c r="N9660" s="1"/>
      <c r="V9660" s="5"/>
    </row>
    <row r="9661">
      <c r="N9661" s="1"/>
      <c r="V9661" s="5"/>
    </row>
    <row r="9662">
      <c r="N9662" s="1"/>
      <c r="V9662" s="5"/>
    </row>
    <row r="9663">
      <c r="N9663" s="1"/>
      <c r="V9663" s="5"/>
    </row>
    <row r="9664">
      <c r="N9664" s="1"/>
      <c r="V9664" s="5"/>
    </row>
    <row r="9665">
      <c r="N9665" s="1"/>
      <c r="V9665" s="5"/>
    </row>
    <row r="9666">
      <c r="N9666" s="1"/>
      <c r="V9666" s="5"/>
    </row>
    <row r="9667">
      <c r="N9667" s="1"/>
      <c r="V9667" s="5"/>
    </row>
    <row r="9668">
      <c r="N9668" s="1"/>
      <c r="V9668" s="5"/>
    </row>
    <row r="9669">
      <c r="N9669" s="1"/>
      <c r="V9669" s="5"/>
    </row>
    <row r="9670">
      <c r="N9670" s="1"/>
      <c r="V9670" s="5"/>
    </row>
    <row r="9671">
      <c r="N9671" s="1"/>
      <c r="V9671" s="5"/>
    </row>
    <row r="9672">
      <c r="N9672" s="1"/>
      <c r="V9672" s="5"/>
    </row>
    <row r="9673">
      <c r="N9673" s="1"/>
      <c r="V9673" s="5"/>
    </row>
    <row r="9674">
      <c r="N9674" s="1"/>
      <c r="V9674" s="5"/>
    </row>
    <row r="9675">
      <c r="N9675" s="1"/>
      <c r="V9675" s="5"/>
    </row>
    <row r="9676">
      <c r="N9676" s="1"/>
      <c r="V9676" s="5"/>
    </row>
    <row r="9677">
      <c r="N9677" s="1"/>
      <c r="V9677" s="5"/>
    </row>
    <row r="9678">
      <c r="N9678" s="1"/>
      <c r="V9678" s="5"/>
    </row>
    <row r="9679">
      <c r="N9679" s="1"/>
      <c r="V9679" s="5"/>
    </row>
    <row r="9680">
      <c r="N9680" s="1"/>
      <c r="V9680" s="5"/>
    </row>
    <row r="9681">
      <c r="N9681" s="1"/>
      <c r="V9681" s="5"/>
    </row>
    <row r="9682">
      <c r="N9682" s="1"/>
      <c r="V9682" s="5"/>
    </row>
    <row r="9683">
      <c r="N9683" s="1"/>
      <c r="V9683" s="5"/>
    </row>
    <row r="9684">
      <c r="N9684" s="1"/>
      <c r="V9684" s="5"/>
    </row>
    <row r="9685">
      <c r="N9685" s="1"/>
      <c r="V9685" s="5"/>
    </row>
    <row r="9686">
      <c r="N9686" s="1"/>
      <c r="V9686" s="5"/>
    </row>
    <row r="9687">
      <c r="N9687" s="1"/>
      <c r="V9687" s="5"/>
    </row>
    <row r="9688">
      <c r="N9688" s="1"/>
      <c r="V9688" s="5"/>
    </row>
    <row r="9689">
      <c r="N9689" s="1"/>
      <c r="V9689" s="5"/>
    </row>
    <row r="9690">
      <c r="N9690" s="1"/>
      <c r="V9690" s="5"/>
    </row>
    <row r="9691">
      <c r="N9691" s="1"/>
      <c r="V9691" s="5"/>
    </row>
    <row r="9692">
      <c r="N9692" s="1"/>
      <c r="V9692" s="5"/>
    </row>
    <row r="9693">
      <c r="N9693" s="1"/>
      <c r="V9693" s="5"/>
    </row>
    <row r="9694">
      <c r="N9694" s="1"/>
      <c r="V9694" s="5"/>
    </row>
    <row r="9695">
      <c r="N9695" s="1"/>
      <c r="V9695" s="5"/>
    </row>
    <row r="9696">
      <c r="N9696" s="1"/>
      <c r="V9696" s="5"/>
    </row>
    <row r="9697">
      <c r="N9697" s="1"/>
      <c r="V9697" s="5"/>
    </row>
    <row r="9698">
      <c r="N9698" s="1"/>
      <c r="V9698" s="5"/>
    </row>
    <row r="9699">
      <c r="N9699" s="1"/>
      <c r="V9699" s="5"/>
    </row>
    <row r="9700">
      <c r="N9700" s="1"/>
      <c r="V9700" s="5"/>
    </row>
    <row r="9701">
      <c r="N9701" s="1"/>
      <c r="V9701" s="5"/>
    </row>
    <row r="9702">
      <c r="N9702" s="1"/>
      <c r="V9702" s="5"/>
    </row>
    <row r="9703">
      <c r="N9703" s="1"/>
      <c r="V9703" s="5"/>
    </row>
    <row r="9704">
      <c r="N9704" s="1"/>
      <c r="V9704" s="5"/>
    </row>
    <row r="9705">
      <c r="N9705" s="1"/>
      <c r="V9705" s="5"/>
    </row>
    <row r="9706">
      <c r="N9706" s="1"/>
      <c r="V9706" s="5"/>
    </row>
    <row r="9707">
      <c r="N9707" s="1"/>
      <c r="V9707" s="5"/>
    </row>
    <row r="9708">
      <c r="N9708" s="1"/>
      <c r="V9708" s="5"/>
    </row>
    <row r="9709">
      <c r="N9709" s="1"/>
      <c r="V9709" s="5"/>
    </row>
    <row r="9710">
      <c r="N9710" s="1"/>
      <c r="V9710" s="5"/>
    </row>
    <row r="9711">
      <c r="N9711" s="1"/>
      <c r="V9711" s="5"/>
    </row>
    <row r="9712">
      <c r="N9712" s="1"/>
      <c r="V9712" s="5"/>
    </row>
    <row r="9713">
      <c r="N9713" s="1"/>
      <c r="V9713" s="5"/>
    </row>
    <row r="9714">
      <c r="N9714" s="1"/>
      <c r="V9714" s="5"/>
    </row>
    <row r="9715">
      <c r="N9715" s="1"/>
      <c r="V9715" s="5"/>
    </row>
    <row r="9716">
      <c r="N9716" s="1"/>
      <c r="V9716" s="5"/>
    </row>
    <row r="9717">
      <c r="N9717" s="1"/>
      <c r="V9717" s="5"/>
    </row>
    <row r="9718">
      <c r="N9718" s="1"/>
      <c r="V9718" s="5"/>
    </row>
    <row r="9719">
      <c r="N9719" s="1"/>
      <c r="V9719" s="5"/>
    </row>
    <row r="9720">
      <c r="N9720" s="1"/>
      <c r="V9720" s="5"/>
    </row>
    <row r="9721">
      <c r="N9721" s="1"/>
      <c r="V9721" s="5"/>
    </row>
    <row r="9722">
      <c r="N9722" s="1"/>
      <c r="V9722" s="5"/>
    </row>
    <row r="9723">
      <c r="N9723" s="1"/>
      <c r="V9723" s="5"/>
    </row>
    <row r="9724">
      <c r="N9724" s="1"/>
      <c r="V9724" s="5"/>
    </row>
    <row r="9725">
      <c r="N9725" s="1"/>
      <c r="V9725" s="5"/>
    </row>
    <row r="9726">
      <c r="N9726" s="1"/>
      <c r="V9726" s="5"/>
    </row>
    <row r="9727">
      <c r="N9727" s="1"/>
      <c r="V9727" s="5"/>
    </row>
    <row r="9728">
      <c r="N9728" s="1"/>
      <c r="V9728" s="5"/>
    </row>
    <row r="9729">
      <c r="N9729" s="1"/>
      <c r="V9729" s="5"/>
    </row>
    <row r="9730">
      <c r="N9730" s="1"/>
      <c r="V9730" s="5"/>
    </row>
    <row r="9731">
      <c r="N9731" s="1"/>
      <c r="V9731" s="5"/>
    </row>
    <row r="9732">
      <c r="N9732" s="1"/>
      <c r="V9732" s="5"/>
    </row>
    <row r="9733">
      <c r="N9733" s="1"/>
      <c r="V9733" s="5"/>
    </row>
    <row r="9734">
      <c r="N9734" s="1"/>
      <c r="V9734" s="5"/>
    </row>
    <row r="9735">
      <c r="N9735" s="1"/>
      <c r="V9735" s="5"/>
    </row>
    <row r="9736">
      <c r="N9736" s="1"/>
      <c r="V9736" s="5"/>
    </row>
    <row r="9737">
      <c r="N9737" s="1"/>
      <c r="V9737" s="5"/>
    </row>
    <row r="9738">
      <c r="N9738" s="1"/>
      <c r="V9738" s="5"/>
    </row>
    <row r="9739">
      <c r="N9739" s="1"/>
      <c r="V9739" s="5"/>
    </row>
    <row r="9740">
      <c r="N9740" s="1"/>
      <c r="V9740" s="5"/>
    </row>
    <row r="9741">
      <c r="N9741" s="1"/>
      <c r="V9741" s="5"/>
    </row>
    <row r="9742">
      <c r="N9742" s="1"/>
      <c r="V9742" s="5"/>
    </row>
    <row r="9743">
      <c r="N9743" s="1"/>
      <c r="V9743" s="5"/>
    </row>
    <row r="9744">
      <c r="N9744" s="1"/>
      <c r="V9744" s="5"/>
    </row>
    <row r="9745">
      <c r="N9745" s="1"/>
      <c r="V9745" s="5"/>
    </row>
    <row r="9746">
      <c r="N9746" s="1"/>
      <c r="V9746" s="5"/>
    </row>
    <row r="9747">
      <c r="N9747" s="1"/>
      <c r="V9747" s="5"/>
    </row>
    <row r="9748">
      <c r="N9748" s="1"/>
      <c r="V9748" s="5"/>
    </row>
    <row r="9749">
      <c r="N9749" s="1"/>
      <c r="V9749" s="5"/>
    </row>
    <row r="9750">
      <c r="N9750" s="1"/>
      <c r="V9750" s="5"/>
    </row>
    <row r="9751">
      <c r="N9751" s="1"/>
      <c r="V9751" s="5"/>
    </row>
    <row r="9752">
      <c r="N9752" s="1"/>
      <c r="V9752" s="5"/>
    </row>
    <row r="9753">
      <c r="N9753" s="1"/>
      <c r="V9753" s="5"/>
    </row>
    <row r="9754">
      <c r="N9754" s="1"/>
      <c r="V9754" s="5"/>
    </row>
    <row r="9755">
      <c r="N9755" s="1"/>
      <c r="V9755" s="5"/>
    </row>
    <row r="9756">
      <c r="N9756" s="1"/>
      <c r="V9756" s="5"/>
    </row>
    <row r="9757">
      <c r="N9757" s="1"/>
      <c r="V9757" s="5"/>
    </row>
    <row r="9758">
      <c r="N9758" s="1"/>
      <c r="V9758" s="5"/>
    </row>
    <row r="9759">
      <c r="N9759" s="1"/>
      <c r="V9759" s="5"/>
    </row>
    <row r="9760">
      <c r="N9760" s="1"/>
      <c r="V9760" s="5"/>
    </row>
    <row r="9761">
      <c r="N9761" s="1"/>
      <c r="V9761" s="5"/>
    </row>
    <row r="9762">
      <c r="N9762" s="1"/>
      <c r="V9762" s="5"/>
    </row>
    <row r="9763">
      <c r="N9763" s="1"/>
      <c r="V9763" s="5"/>
    </row>
    <row r="9764">
      <c r="N9764" s="1"/>
      <c r="V9764" s="5"/>
    </row>
    <row r="9765">
      <c r="N9765" s="1"/>
      <c r="V9765" s="5"/>
    </row>
    <row r="9766">
      <c r="N9766" s="1"/>
      <c r="V9766" s="5"/>
    </row>
    <row r="9767">
      <c r="N9767" s="1"/>
      <c r="V9767" s="5"/>
    </row>
    <row r="9768">
      <c r="N9768" s="1"/>
      <c r="V9768" s="5"/>
    </row>
    <row r="9769">
      <c r="N9769" s="1"/>
      <c r="V9769" s="5"/>
    </row>
    <row r="9770">
      <c r="N9770" s="1"/>
      <c r="V9770" s="5"/>
    </row>
    <row r="9771">
      <c r="N9771" s="1"/>
      <c r="V9771" s="5"/>
    </row>
    <row r="9772">
      <c r="N9772" s="1"/>
      <c r="V9772" s="5"/>
    </row>
    <row r="9773">
      <c r="N9773" s="1"/>
      <c r="V9773" s="5"/>
    </row>
    <row r="9774">
      <c r="N9774" s="1"/>
      <c r="V9774" s="5"/>
    </row>
    <row r="9775">
      <c r="N9775" s="1"/>
      <c r="V9775" s="5"/>
    </row>
    <row r="9776">
      <c r="N9776" s="1"/>
      <c r="V9776" s="5"/>
    </row>
    <row r="9777">
      <c r="N9777" s="1"/>
      <c r="V9777" s="5"/>
    </row>
    <row r="9778">
      <c r="N9778" s="1"/>
      <c r="V9778" s="5"/>
    </row>
    <row r="9779">
      <c r="N9779" s="1"/>
      <c r="V9779" s="5"/>
    </row>
    <row r="9780">
      <c r="N9780" s="1"/>
      <c r="V9780" s="5"/>
    </row>
    <row r="9781">
      <c r="N9781" s="1"/>
      <c r="V9781" s="5"/>
    </row>
    <row r="9782">
      <c r="N9782" s="1"/>
      <c r="V9782" s="5"/>
    </row>
    <row r="9783">
      <c r="N9783" s="1"/>
      <c r="V9783" s="5"/>
    </row>
    <row r="9784">
      <c r="N9784" s="1"/>
      <c r="V9784" s="5"/>
    </row>
    <row r="9785">
      <c r="N9785" s="1"/>
      <c r="V9785" s="5"/>
    </row>
    <row r="9786">
      <c r="N9786" s="1"/>
      <c r="V9786" s="5"/>
    </row>
    <row r="9787">
      <c r="N9787" s="1"/>
      <c r="V9787" s="5"/>
    </row>
    <row r="9788">
      <c r="N9788" s="1"/>
      <c r="V9788" s="5"/>
    </row>
    <row r="9789">
      <c r="N9789" s="1"/>
      <c r="V9789" s="5"/>
    </row>
    <row r="9790">
      <c r="N9790" s="1"/>
      <c r="V9790" s="5"/>
    </row>
    <row r="9791">
      <c r="N9791" s="1"/>
      <c r="V9791" s="5"/>
    </row>
    <row r="9792">
      <c r="N9792" s="1"/>
      <c r="V9792" s="5"/>
    </row>
    <row r="9793">
      <c r="N9793" s="1"/>
      <c r="V9793" s="5"/>
    </row>
    <row r="9794">
      <c r="N9794" s="1"/>
      <c r="V9794" s="5"/>
    </row>
    <row r="9795">
      <c r="N9795" s="1"/>
      <c r="V9795" s="5"/>
    </row>
    <row r="9796">
      <c r="N9796" s="1"/>
      <c r="V9796" s="5"/>
    </row>
    <row r="9797">
      <c r="N9797" s="1"/>
      <c r="V9797" s="5"/>
    </row>
    <row r="9798">
      <c r="N9798" s="1"/>
      <c r="V9798" s="5"/>
    </row>
    <row r="9799">
      <c r="N9799" s="1"/>
      <c r="V9799" s="5"/>
    </row>
    <row r="9800">
      <c r="N9800" s="1"/>
      <c r="V9800" s="5"/>
    </row>
    <row r="9801">
      <c r="N9801" s="1"/>
      <c r="V9801" s="5"/>
    </row>
    <row r="9802">
      <c r="N9802" s="1"/>
      <c r="V9802" s="5"/>
    </row>
    <row r="9803">
      <c r="N9803" s="1"/>
      <c r="V9803" s="5"/>
    </row>
    <row r="9804">
      <c r="N9804" s="1"/>
      <c r="V9804" s="5"/>
    </row>
    <row r="9805">
      <c r="N9805" s="1"/>
      <c r="V9805" s="5"/>
    </row>
    <row r="9806">
      <c r="N9806" s="1"/>
      <c r="V9806" s="5"/>
    </row>
    <row r="9807">
      <c r="N9807" s="1"/>
      <c r="V9807" s="5"/>
    </row>
    <row r="9808">
      <c r="N9808" s="1"/>
      <c r="V9808" s="5"/>
    </row>
    <row r="9809">
      <c r="N9809" s="1"/>
      <c r="V9809" s="5"/>
    </row>
    <row r="9810">
      <c r="N9810" s="1"/>
      <c r="V9810" s="5"/>
    </row>
    <row r="9811">
      <c r="N9811" s="1"/>
      <c r="V9811" s="5"/>
    </row>
    <row r="9812">
      <c r="N9812" s="1"/>
      <c r="V9812" s="5"/>
    </row>
    <row r="9813">
      <c r="N9813" s="1"/>
      <c r="V9813" s="5"/>
    </row>
    <row r="9814">
      <c r="N9814" s="1"/>
      <c r="V9814" s="5"/>
    </row>
    <row r="9815">
      <c r="N9815" s="1"/>
      <c r="V9815" s="5"/>
    </row>
    <row r="9816">
      <c r="N9816" s="1"/>
      <c r="V9816" s="5"/>
    </row>
    <row r="9817">
      <c r="N9817" s="1"/>
      <c r="V9817" s="5"/>
    </row>
    <row r="9818">
      <c r="N9818" s="1"/>
      <c r="V9818" s="5"/>
    </row>
    <row r="9819">
      <c r="N9819" s="1"/>
      <c r="V9819" s="5"/>
    </row>
    <row r="9820">
      <c r="N9820" s="1"/>
      <c r="V9820" s="5"/>
    </row>
    <row r="9821">
      <c r="N9821" s="1"/>
      <c r="V9821" s="5"/>
    </row>
    <row r="9822">
      <c r="N9822" s="1"/>
      <c r="V9822" s="5"/>
    </row>
    <row r="9823">
      <c r="N9823" s="1"/>
      <c r="V9823" s="5"/>
    </row>
    <row r="9824">
      <c r="N9824" s="1"/>
      <c r="V9824" s="5"/>
    </row>
    <row r="9825">
      <c r="N9825" s="1"/>
      <c r="V9825" s="5"/>
    </row>
    <row r="9826">
      <c r="N9826" s="1"/>
      <c r="V9826" s="5"/>
    </row>
    <row r="9827">
      <c r="N9827" s="1"/>
      <c r="V9827" s="5"/>
    </row>
    <row r="9828">
      <c r="N9828" s="1"/>
      <c r="V9828" s="5"/>
    </row>
    <row r="9829">
      <c r="N9829" s="1"/>
      <c r="V9829" s="5"/>
    </row>
    <row r="9830">
      <c r="N9830" s="1"/>
      <c r="V9830" s="5"/>
    </row>
    <row r="9831">
      <c r="N9831" s="1"/>
      <c r="V9831" s="5"/>
    </row>
    <row r="9832">
      <c r="N9832" s="1"/>
      <c r="V9832" s="5"/>
    </row>
    <row r="9833">
      <c r="N9833" s="1"/>
      <c r="V9833" s="5"/>
    </row>
    <row r="9834">
      <c r="N9834" s="1"/>
      <c r="V9834" s="5"/>
    </row>
    <row r="9835">
      <c r="N9835" s="1"/>
      <c r="V9835" s="5"/>
    </row>
    <row r="9836">
      <c r="N9836" s="1"/>
      <c r="V9836" s="5"/>
    </row>
    <row r="9837">
      <c r="N9837" s="1"/>
      <c r="V9837" s="5"/>
    </row>
    <row r="9838">
      <c r="N9838" s="1"/>
      <c r="V9838" s="5"/>
    </row>
    <row r="9839">
      <c r="N9839" s="1"/>
      <c r="V9839" s="5"/>
    </row>
    <row r="9840">
      <c r="N9840" s="1"/>
      <c r="V9840" s="5"/>
    </row>
    <row r="9841">
      <c r="N9841" s="1"/>
      <c r="V9841" s="5"/>
    </row>
    <row r="9842">
      <c r="N9842" s="1"/>
      <c r="V9842" s="5"/>
    </row>
    <row r="9843">
      <c r="N9843" s="1"/>
      <c r="V9843" s="5"/>
    </row>
    <row r="9844">
      <c r="N9844" s="1"/>
      <c r="V9844" s="5"/>
    </row>
    <row r="9845">
      <c r="N9845" s="1"/>
      <c r="V9845" s="5"/>
    </row>
    <row r="9846">
      <c r="N9846" s="1"/>
      <c r="V9846" s="5"/>
    </row>
    <row r="9847">
      <c r="N9847" s="1"/>
      <c r="V9847" s="5"/>
    </row>
    <row r="9848">
      <c r="N9848" s="1"/>
      <c r="V9848" s="5"/>
    </row>
    <row r="9849">
      <c r="N9849" s="1"/>
      <c r="V9849" s="5"/>
    </row>
    <row r="9850">
      <c r="N9850" s="1"/>
      <c r="V9850" s="5"/>
    </row>
    <row r="9851">
      <c r="N9851" s="1"/>
      <c r="V9851" s="5"/>
    </row>
    <row r="9852">
      <c r="N9852" s="1"/>
      <c r="V9852" s="5"/>
    </row>
    <row r="9853">
      <c r="N9853" s="1"/>
      <c r="V9853" s="5"/>
    </row>
    <row r="9854">
      <c r="N9854" s="1"/>
      <c r="V9854" s="5"/>
    </row>
    <row r="9855">
      <c r="N9855" s="1"/>
      <c r="V9855" s="5"/>
    </row>
    <row r="9856">
      <c r="N9856" s="1"/>
      <c r="V9856" s="5"/>
    </row>
    <row r="9857">
      <c r="N9857" s="1"/>
      <c r="V9857" s="5"/>
    </row>
    <row r="9858">
      <c r="N9858" s="1"/>
      <c r="V9858" s="5"/>
    </row>
    <row r="9859">
      <c r="N9859" s="1"/>
      <c r="V9859" s="5"/>
    </row>
    <row r="9860">
      <c r="N9860" s="1"/>
      <c r="V9860" s="5"/>
    </row>
    <row r="9861">
      <c r="N9861" s="1"/>
      <c r="V9861" s="5"/>
    </row>
    <row r="9862">
      <c r="N9862" s="1"/>
      <c r="V9862" s="5"/>
    </row>
    <row r="9863">
      <c r="N9863" s="1"/>
      <c r="V9863" s="5"/>
    </row>
    <row r="9864">
      <c r="N9864" s="1"/>
      <c r="V9864" s="5"/>
    </row>
    <row r="9865">
      <c r="N9865" s="1"/>
      <c r="V9865" s="5"/>
    </row>
    <row r="9866">
      <c r="N9866" s="1"/>
      <c r="V9866" s="5"/>
    </row>
    <row r="9867">
      <c r="N9867" s="1"/>
      <c r="V9867" s="5"/>
    </row>
    <row r="9868">
      <c r="N9868" s="1"/>
      <c r="V9868" s="5"/>
    </row>
    <row r="9869">
      <c r="N9869" s="1"/>
      <c r="V9869" s="5"/>
    </row>
    <row r="9870">
      <c r="N9870" s="1"/>
      <c r="V9870" s="5"/>
    </row>
    <row r="9871">
      <c r="N9871" s="1"/>
      <c r="V9871" s="5"/>
    </row>
    <row r="9872">
      <c r="N9872" s="1"/>
      <c r="V9872" s="5"/>
    </row>
    <row r="9873">
      <c r="N9873" s="1"/>
      <c r="V9873" s="5"/>
    </row>
    <row r="9874">
      <c r="N9874" s="1"/>
      <c r="V9874" s="5"/>
    </row>
    <row r="9875">
      <c r="N9875" s="1"/>
      <c r="V9875" s="5"/>
    </row>
    <row r="9876">
      <c r="N9876" s="1"/>
      <c r="V9876" s="5"/>
    </row>
    <row r="9877">
      <c r="N9877" s="1"/>
      <c r="V9877" s="5"/>
    </row>
    <row r="9878">
      <c r="N9878" s="1"/>
      <c r="V9878" s="5"/>
    </row>
    <row r="9879">
      <c r="N9879" s="1"/>
      <c r="V9879" s="5"/>
    </row>
    <row r="9880">
      <c r="N9880" s="1"/>
      <c r="V9880" s="5"/>
    </row>
    <row r="9881">
      <c r="N9881" s="1"/>
      <c r="V9881" s="5"/>
    </row>
    <row r="9882">
      <c r="N9882" s="1"/>
      <c r="V9882" s="5"/>
    </row>
    <row r="9883">
      <c r="N9883" s="1"/>
      <c r="V9883" s="5"/>
    </row>
    <row r="9884">
      <c r="N9884" s="1"/>
      <c r="V9884" s="5"/>
    </row>
    <row r="9885">
      <c r="N9885" s="1"/>
      <c r="V9885" s="5"/>
    </row>
    <row r="9886">
      <c r="N9886" s="1"/>
      <c r="V9886" s="5"/>
    </row>
    <row r="9887">
      <c r="N9887" s="1"/>
      <c r="V9887" s="5"/>
    </row>
    <row r="9888">
      <c r="N9888" s="1"/>
      <c r="V9888" s="5"/>
    </row>
    <row r="9889">
      <c r="N9889" s="1"/>
      <c r="V9889" s="5"/>
    </row>
    <row r="9890">
      <c r="N9890" s="1"/>
      <c r="V9890" s="5"/>
    </row>
    <row r="9891">
      <c r="N9891" s="1"/>
      <c r="V9891" s="5"/>
    </row>
    <row r="9892">
      <c r="N9892" s="1"/>
      <c r="V9892" s="5"/>
    </row>
    <row r="9893">
      <c r="N9893" s="1"/>
      <c r="V9893" s="5"/>
    </row>
    <row r="9894">
      <c r="N9894" s="1"/>
      <c r="V9894" s="5"/>
    </row>
    <row r="9895">
      <c r="N9895" s="1"/>
      <c r="V9895" s="5"/>
    </row>
    <row r="9896">
      <c r="N9896" s="1"/>
      <c r="V9896" s="5"/>
    </row>
    <row r="9897">
      <c r="N9897" s="1"/>
      <c r="V9897" s="5"/>
    </row>
    <row r="9898">
      <c r="N9898" s="1"/>
      <c r="V9898" s="5"/>
    </row>
    <row r="9899">
      <c r="N9899" s="1"/>
      <c r="V9899" s="5"/>
    </row>
    <row r="9900">
      <c r="N9900" s="1"/>
      <c r="V9900" s="5"/>
    </row>
    <row r="9901">
      <c r="N9901" s="1"/>
      <c r="V9901" s="5"/>
    </row>
    <row r="9902">
      <c r="N9902" s="1"/>
      <c r="V9902" s="5"/>
    </row>
    <row r="9903">
      <c r="N9903" s="1"/>
      <c r="V9903" s="5"/>
    </row>
    <row r="9904">
      <c r="N9904" s="1"/>
      <c r="V9904" s="5"/>
    </row>
    <row r="9905">
      <c r="N9905" s="1"/>
      <c r="V9905" s="5"/>
    </row>
    <row r="9906">
      <c r="N9906" s="1"/>
      <c r="V9906" s="5"/>
    </row>
    <row r="9907">
      <c r="N9907" s="1"/>
      <c r="V9907" s="5"/>
    </row>
    <row r="9908">
      <c r="N9908" s="1"/>
      <c r="V9908" s="5"/>
    </row>
    <row r="9909">
      <c r="N9909" s="1"/>
      <c r="V9909" s="5"/>
    </row>
    <row r="9910">
      <c r="N9910" s="1"/>
      <c r="V9910" s="5"/>
    </row>
    <row r="9911">
      <c r="N9911" s="1"/>
      <c r="V9911" s="5"/>
    </row>
    <row r="9912">
      <c r="N9912" s="1"/>
      <c r="V9912" s="5"/>
    </row>
    <row r="9913">
      <c r="N9913" s="1"/>
      <c r="V9913" s="5"/>
    </row>
    <row r="9914">
      <c r="N9914" s="1"/>
      <c r="V9914" s="5"/>
    </row>
    <row r="9915">
      <c r="N9915" s="1"/>
      <c r="V9915" s="5"/>
    </row>
    <row r="9916">
      <c r="N9916" s="1"/>
      <c r="V9916" s="5"/>
    </row>
    <row r="9917">
      <c r="N9917" s="1"/>
      <c r="V9917" s="5"/>
    </row>
    <row r="9918">
      <c r="N9918" s="1"/>
      <c r="V9918" s="5"/>
    </row>
    <row r="9919">
      <c r="N9919" s="1"/>
      <c r="V9919" s="5"/>
    </row>
    <row r="9920">
      <c r="N9920" s="1"/>
      <c r="V9920" s="5"/>
    </row>
    <row r="9921">
      <c r="N9921" s="1"/>
      <c r="V9921" s="5"/>
    </row>
    <row r="9922">
      <c r="N9922" s="1"/>
      <c r="V9922" s="5"/>
    </row>
    <row r="9923">
      <c r="N9923" s="1"/>
      <c r="V9923" s="5"/>
    </row>
    <row r="9924">
      <c r="N9924" s="1"/>
      <c r="V9924" s="5"/>
    </row>
    <row r="9925">
      <c r="N9925" s="1"/>
      <c r="V9925" s="5"/>
    </row>
    <row r="9926">
      <c r="N9926" s="1"/>
      <c r="V9926" s="5"/>
    </row>
    <row r="9927">
      <c r="N9927" s="1"/>
      <c r="V9927" s="5"/>
    </row>
    <row r="9928">
      <c r="N9928" s="1"/>
      <c r="V9928" s="5"/>
    </row>
    <row r="9929">
      <c r="N9929" s="1"/>
      <c r="V9929" s="5"/>
    </row>
    <row r="9930">
      <c r="N9930" s="1"/>
      <c r="V9930" s="5"/>
    </row>
    <row r="9931">
      <c r="N9931" s="1"/>
      <c r="V9931" s="5"/>
    </row>
    <row r="9932">
      <c r="N9932" s="1"/>
      <c r="V9932" s="5"/>
    </row>
    <row r="9933">
      <c r="N9933" s="1"/>
      <c r="V9933" s="5"/>
    </row>
    <row r="9934">
      <c r="N9934" s="1"/>
      <c r="V9934" s="5"/>
    </row>
    <row r="9935">
      <c r="N9935" s="1"/>
      <c r="V9935" s="5"/>
    </row>
    <row r="9936">
      <c r="N9936" s="1"/>
      <c r="V9936" s="5"/>
    </row>
    <row r="9937">
      <c r="N9937" s="1"/>
      <c r="V9937" s="5"/>
    </row>
    <row r="9938">
      <c r="N9938" s="1"/>
      <c r="V9938" s="5"/>
    </row>
    <row r="9939">
      <c r="N9939" s="1"/>
      <c r="V9939" s="5"/>
    </row>
    <row r="9940">
      <c r="N9940" s="1"/>
      <c r="V9940" s="5"/>
    </row>
    <row r="9941">
      <c r="N9941" s="1"/>
      <c r="V9941" s="5"/>
    </row>
    <row r="9942">
      <c r="N9942" s="1"/>
      <c r="V9942" s="5"/>
    </row>
    <row r="9943">
      <c r="N9943" s="1"/>
      <c r="V9943" s="5"/>
    </row>
    <row r="9944">
      <c r="N9944" s="1"/>
      <c r="V9944" s="5"/>
    </row>
    <row r="9945">
      <c r="N9945" s="1"/>
      <c r="V9945" s="5"/>
    </row>
    <row r="9946">
      <c r="N9946" s="1"/>
      <c r="V9946" s="5"/>
    </row>
    <row r="9947">
      <c r="N9947" s="1"/>
      <c r="V9947" s="5"/>
    </row>
    <row r="9948">
      <c r="N9948" s="1"/>
      <c r="V9948" s="5"/>
    </row>
    <row r="9949">
      <c r="N9949" s="1"/>
      <c r="V9949" s="5"/>
    </row>
    <row r="9950">
      <c r="N9950" s="1"/>
      <c r="V9950" s="5"/>
    </row>
    <row r="9951">
      <c r="N9951" s="1"/>
      <c r="V9951" s="5"/>
    </row>
    <row r="9952">
      <c r="N9952" s="1"/>
      <c r="V9952" s="5"/>
    </row>
    <row r="9953">
      <c r="N9953" s="1"/>
      <c r="V9953" s="5"/>
    </row>
    <row r="9954">
      <c r="N9954" s="1"/>
      <c r="V9954" s="5"/>
    </row>
    <row r="9955">
      <c r="N9955" s="1"/>
      <c r="V9955" s="5"/>
    </row>
    <row r="9956">
      <c r="N9956" s="1"/>
      <c r="V9956" s="5"/>
    </row>
    <row r="9957">
      <c r="N9957" s="1"/>
      <c r="V9957" s="5"/>
    </row>
    <row r="9958">
      <c r="N9958" s="1"/>
      <c r="V9958" s="5"/>
    </row>
    <row r="9959">
      <c r="N9959" s="1"/>
      <c r="V9959" s="5"/>
    </row>
    <row r="9960">
      <c r="N9960" s="1"/>
      <c r="V9960" s="5"/>
    </row>
    <row r="9961">
      <c r="N9961" s="1"/>
      <c r="V9961" s="5"/>
    </row>
    <row r="9962">
      <c r="N9962" s="1"/>
      <c r="V9962" s="5"/>
    </row>
    <row r="9963">
      <c r="N9963" s="1"/>
      <c r="V9963" s="5"/>
    </row>
    <row r="9964">
      <c r="N9964" s="1"/>
      <c r="V9964" s="5"/>
    </row>
    <row r="9965">
      <c r="N9965" s="1"/>
      <c r="V9965" s="5"/>
    </row>
    <row r="9966">
      <c r="N9966" s="1"/>
      <c r="V9966" s="5"/>
    </row>
    <row r="9967">
      <c r="N9967" s="1"/>
      <c r="V9967" s="5"/>
    </row>
    <row r="9968">
      <c r="N9968" s="1"/>
      <c r="V9968" s="5"/>
    </row>
    <row r="9969">
      <c r="N9969" s="1"/>
      <c r="V9969" s="5"/>
    </row>
    <row r="9970">
      <c r="N9970" s="1"/>
      <c r="V9970" s="5"/>
    </row>
    <row r="9971">
      <c r="N9971" s="1"/>
      <c r="V9971" s="5"/>
    </row>
    <row r="9972">
      <c r="N9972" s="1"/>
      <c r="V9972" s="5"/>
    </row>
    <row r="9973">
      <c r="N9973" s="1"/>
      <c r="V9973" s="5"/>
    </row>
    <row r="9974">
      <c r="N9974" s="1"/>
      <c r="V9974" s="5"/>
    </row>
    <row r="9975">
      <c r="N9975" s="1"/>
      <c r="V9975" s="5"/>
    </row>
    <row r="9976">
      <c r="N9976" s="1"/>
      <c r="V9976" s="5"/>
    </row>
    <row r="9977">
      <c r="N9977" s="1"/>
      <c r="V9977" s="5"/>
    </row>
    <row r="9978">
      <c r="N9978" s="1"/>
      <c r="V9978" s="5"/>
    </row>
    <row r="9979">
      <c r="N9979" s="1"/>
      <c r="V9979" s="5"/>
    </row>
    <row r="9980">
      <c r="N9980" s="1"/>
      <c r="V9980" s="5"/>
    </row>
    <row r="9981">
      <c r="N9981" s="1"/>
      <c r="V9981" s="5"/>
    </row>
    <row r="9982">
      <c r="N9982" s="1"/>
      <c r="V9982" s="5"/>
    </row>
    <row r="9983">
      <c r="N9983" s="1"/>
      <c r="V9983" s="5"/>
    </row>
    <row r="9984">
      <c r="N9984" s="1"/>
      <c r="V9984" s="5"/>
    </row>
    <row r="9985">
      <c r="N9985" s="1"/>
      <c r="V9985" s="5"/>
    </row>
    <row r="9986">
      <c r="N9986" s="1"/>
      <c r="V9986" s="5"/>
    </row>
    <row r="9987">
      <c r="N9987" s="1"/>
      <c r="V9987" s="5"/>
    </row>
    <row r="9988">
      <c r="N9988" s="1"/>
      <c r="V9988" s="5"/>
    </row>
    <row r="9989">
      <c r="N9989" s="1"/>
      <c r="V9989" s="5"/>
    </row>
    <row r="9990">
      <c r="N9990" s="1"/>
      <c r="V9990" s="5"/>
    </row>
    <row r="9991">
      <c r="N9991" s="1"/>
      <c r="V9991" s="5"/>
    </row>
    <row r="9992">
      <c r="N9992" s="1"/>
      <c r="V9992" s="5"/>
    </row>
    <row r="9993">
      <c r="N9993" s="1"/>
      <c r="V9993" s="5"/>
    </row>
    <row r="9994">
      <c r="N9994" s="1"/>
      <c r="V9994" s="5"/>
    </row>
    <row r="9995">
      <c r="N9995" s="1"/>
      <c r="V9995" s="5"/>
    </row>
    <row r="9996">
      <c r="N9996" s="1"/>
      <c r="V9996" s="5"/>
    </row>
    <row r="9997">
      <c r="N9997" s="1"/>
      <c r="V9997" s="5"/>
    </row>
    <row r="9998">
      <c r="N9998" s="1"/>
      <c r="V9998" s="5"/>
    </row>
    <row r="9999">
      <c r="N9999" s="1"/>
      <c r="V9999" s="5"/>
    </row>
    <row r="10000">
      <c r="N10000" s="1"/>
      <c r="V10000" s="5"/>
    </row>
    <row r="10001">
      <c r="N10001" s="1"/>
      <c r="V10001" s="5"/>
    </row>
    <row r="10002">
      <c r="N10002" s="1"/>
      <c r="V10002" s="5"/>
    </row>
    <row r="10003">
      <c r="N10003" s="1"/>
      <c r="V10003" s="5"/>
    </row>
    <row r="10004">
      <c r="N10004" s="1"/>
      <c r="V10004" s="5"/>
    </row>
    <row r="10005">
      <c r="N10005" s="1"/>
      <c r="V10005" s="5"/>
    </row>
    <row r="10006">
      <c r="N10006" s="1"/>
      <c r="V10006" s="5"/>
    </row>
    <row r="10007">
      <c r="N10007" s="1"/>
      <c r="V10007" s="5"/>
    </row>
    <row r="10008">
      <c r="N10008" s="1"/>
      <c r="V10008" s="5"/>
    </row>
    <row r="10009">
      <c r="N10009" s="1"/>
      <c r="V10009" s="5"/>
    </row>
    <row r="10010">
      <c r="N10010" s="1"/>
      <c r="V10010" s="5"/>
    </row>
    <row r="10011">
      <c r="N10011" s="1"/>
      <c r="V10011" s="5"/>
    </row>
    <row r="10012">
      <c r="N10012" s="1"/>
      <c r="V10012" s="5"/>
    </row>
    <row r="10013">
      <c r="N10013" s="1"/>
      <c r="V10013" s="5"/>
    </row>
    <row r="10014">
      <c r="N10014" s="1"/>
      <c r="V10014" s="5"/>
    </row>
    <row r="10015">
      <c r="N10015" s="1"/>
      <c r="V10015" s="5"/>
    </row>
    <row r="10016">
      <c r="N10016" s="1"/>
      <c r="V10016" s="5"/>
    </row>
    <row r="10017">
      <c r="N10017" s="1"/>
      <c r="V10017" s="5"/>
    </row>
    <row r="10018">
      <c r="N10018" s="1"/>
      <c r="V10018" s="5"/>
    </row>
    <row r="10019">
      <c r="N10019" s="1"/>
      <c r="V10019" s="5"/>
    </row>
    <row r="10020">
      <c r="N10020" s="1"/>
      <c r="V10020" s="5"/>
    </row>
    <row r="10021">
      <c r="N10021" s="1"/>
      <c r="V10021" s="5"/>
    </row>
    <row r="10022">
      <c r="N10022" s="1"/>
      <c r="V10022" s="5"/>
    </row>
    <row r="10023">
      <c r="N10023" s="1"/>
      <c r="V10023" s="5"/>
    </row>
    <row r="10024">
      <c r="N10024" s="1"/>
      <c r="V10024" s="5"/>
    </row>
    <row r="10025">
      <c r="N10025" s="1"/>
      <c r="V10025" s="5"/>
    </row>
    <row r="10026">
      <c r="N10026" s="1"/>
      <c r="V10026" s="5"/>
    </row>
    <row r="10027">
      <c r="N10027" s="1"/>
      <c r="V10027" s="5"/>
    </row>
    <row r="10028">
      <c r="N10028" s="1"/>
      <c r="V10028" s="5"/>
    </row>
    <row r="10029">
      <c r="N10029" s="1"/>
      <c r="V10029" s="5"/>
    </row>
    <row r="10030">
      <c r="N10030" s="1"/>
      <c r="V10030" s="5"/>
    </row>
    <row r="10031">
      <c r="N10031" s="1"/>
      <c r="V10031" s="5"/>
    </row>
    <row r="10032">
      <c r="N10032" s="1"/>
      <c r="V10032" s="5"/>
    </row>
    <row r="10033">
      <c r="N10033" s="1"/>
      <c r="V10033" s="5"/>
    </row>
    <row r="10034">
      <c r="N10034" s="1"/>
      <c r="V10034" s="5"/>
    </row>
    <row r="10035">
      <c r="N10035" s="1"/>
      <c r="V10035" s="5"/>
    </row>
    <row r="10036">
      <c r="N10036" s="1"/>
      <c r="V10036" s="5"/>
    </row>
    <row r="10037">
      <c r="N10037" s="1"/>
      <c r="V10037" s="5"/>
    </row>
    <row r="10038">
      <c r="N10038" s="1"/>
      <c r="V10038" s="5"/>
    </row>
    <row r="10039">
      <c r="N10039" s="1"/>
      <c r="V10039" s="5"/>
    </row>
    <row r="10040">
      <c r="N10040" s="1"/>
      <c r="V10040" s="5"/>
    </row>
    <row r="10041">
      <c r="N10041" s="1"/>
      <c r="V10041" s="5"/>
    </row>
    <row r="10042">
      <c r="N10042" s="1"/>
      <c r="V10042" s="5"/>
    </row>
    <row r="10043">
      <c r="N10043" s="1"/>
      <c r="V10043" s="5"/>
    </row>
    <row r="10044">
      <c r="N10044" s="1"/>
      <c r="V10044" s="5"/>
    </row>
    <row r="10045">
      <c r="N10045" s="1"/>
      <c r="V10045" s="5"/>
    </row>
    <row r="10046">
      <c r="N10046" s="1"/>
      <c r="V10046" s="5"/>
    </row>
    <row r="10047">
      <c r="N10047" s="1"/>
      <c r="V10047" s="5"/>
    </row>
    <row r="10048">
      <c r="N10048" s="1"/>
      <c r="V10048" s="5"/>
    </row>
    <row r="10049">
      <c r="N10049" s="1"/>
      <c r="V10049" s="5"/>
    </row>
    <row r="10050">
      <c r="N10050" s="1"/>
      <c r="V10050" s="5"/>
    </row>
    <row r="10051">
      <c r="N10051" s="1"/>
      <c r="V10051" s="5"/>
    </row>
    <row r="10052">
      <c r="N10052" s="1"/>
      <c r="V10052" s="5"/>
    </row>
    <row r="10053">
      <c r="N10053" s="1"/>
      <c r="V10053" s="5"/>
    </row>
    <row r="10054">
      <c r="N10054" s="1"/>
      <c r="V10054" s="5"/>
    </row>
    <row r="10055">
      <c r="N10055" s="1"/>
      <c r="V10055" s="5"/>
    </row>
    <row r="10056">
      <c r="N10056" s="1"/>
      <c r="V10056" s="5"/>
    </row>
    <row r="10057">
      <c r="N10057" s="1"/>
      <c r="V10057" s="5"/>
    </row>
    <row r="10058">
      <c r="N10058" s="1"/>
      <c r="V10058" s="5"/>
    </row>
    <row r="10059">
      <c r="N10059" s="1"/>
      <c r="V10059" s="5"/>
    </row>
    <row r="10060">
      <c r="N10060" s="1"/>
      <c r="V10060" s="5"/>
    </row>
    <row r="10061">
      <c r="N10061" s="1"/>
      <c r="V10061" s="5"/>
    </row>
    <row r="10062">
      <c r="N10062" s="1"/>
      <c r="V10062" s="5"/>
    </row>
    <row r="10063">
      <c r="N10063" s="1"/>
      <c r="V10063" s="5"/>
    </row>
    <row r="10064">
      <c r="N10064" s="1"/>
      <c r="V10064" s="5"/>
    </row>
    <row r="10065">
      <c r="N10065" s="1"/>
      <c r="V10065" s="5"/>
    </row>
    <row r="10066">
      <c r="N10066" s="1"/>
      <c r="V10066" s="5"/>
    </row>
    <row r="10067">
      <c r="N10067" s="1"/>
      <c r="V10067" s="5"/>
    </row>
    <row r="10068">
      <c r="N10068" s="1"/>
      <c r="V10068" s="5"/>
    </row>
    <row r="10069">
      <c r="N10069" s="1"/>
      <c r="V10069" s="5"/>
    </row>
    <row r="10070">
      <c r="N10070" s="1"/>
      <c r="V10070" s="5"/>
    </row>
    <row r="10071">
      <c r="N10071" s="1"/>
      <c r="V10071" s="5"/>
    </row>
    <row r="10072">
      <c r="N10072" s="1"/>
      <c r="V10072" s="5"/>
    </row>
    <row r="10073">
      <c r="N10073" s="1"/>
      <c r="V10073" s="5"/>
    </row>
    <row r="10074">
      <c r="N10074" s="1"/>
      <c r="V10074" s="5"/>
    </row>
    <row r="10075">
      <c r="N10075" s="1"/>
      <c r="V10075" s="5"/>
    </row>
    <row r="10076">
      <c r="N10076" s="1"/>
      <c r="V10076" s="5"/>
    </row>
    <row r="10077">
      <c r="N10077" s="1"/>
      <c r="V10077" s="5"/>
    </row>
    <row r="10078">
      <c r="N10078" s="1"/>
      <c r="V10078" s="5"/>
    </row>
    <row r="10079">
      <c r="N10079" s="1"/>
      <c r="V10079" s="5"/>
    </row>
    <row r="10080">
      <c r="N10080" s="1"/>
      <c r="V10080" s="5"/>
    </row>
    <row r="10081">
      <c r="N10081" s="1"/>
      <c r="V10081" s="5"/>
    </row>
    <row r="10082">
      <c r="N10082" s="1"/>
      <c r="V10082" s="5"/>
    </row>
    <row r="10083">
      <c r="N10083" s="1"/>
      <c r="V10083" s="5"/>
    </row>
    <row r="10084">
      <c r="N10084" s="1"/>
      <c r="V10084" s="5"/>
    </row>
    <row r="10085">
      <c r="N10085" s="1"/>
      <c r="V10085" s="5"/>
    </row>
    <row r="10086">
      <c r="N10086" s="1"/>
      <c r="V10086" s="5"/>
    </row>
    <row r="10087">
      <c r="N10087" s="1"/>
      <c r="V10087" s="5"/>
    </row>
    <row r="10088">
      <c r="N10088" s="1"/>
      <c r="V10088" s="5"/>
    </row>
    <row r="10089">
      <c r="N10089" s="1"/>
      <c r="V10089" s="5"/>
    </row>
    <row r="10090">
      <c r="N10090" s="1"/>
      <c r="V10090" s="5"/>
    </row>
    <row r="10091">
      <c r="N10091" s="1"/>
      <c r="V10091" s="5"/>
    </row>
    <row r="10092">
      <c r="N10092" s="1"/>
      <c r="V10092" s="5"/>
    </row>
    <row r="10093">
      <c r="N10093" s="1"/>
      <c r="V10093" s="5"/>
    </row>
    <row r="10094">
      <c r="N10094" s="1"/>
      <c r="V10094" s="5"/>
    </row>
    <row r="10095">
      <c r="N10095" s="1"/>
      <c r="V10095" s="5"/>
    </row>
    <row r="10096">
      <c r="N10096" s="1"/>
      <c r="V10096" s="5"/>
    </row>
    <row r="10097">
      <c r="N10097" s="1"/>
      <c r="V10097" s="5"/>
    </row>
    <row r="10098">
      <c r="N10098" s="1"/>
      <c r="V10098" s="5"/>
    </row>
    <row r="10099">
      <c r="N10099" s="1"/>
      <c r="V10099" s="5"/>
    </row>
    <row r="10100">
      <c r="N10100" s="1"/>
      <c r="V10100" s="5"/>
    </row>
    <row r="10101">
      <c r="N10101" s="1"/>
      <c r="V10101" s="5"/>
    </row>
    <row r="10102">
      <c r="N10102" s="1"/>
      <c r="V10102" s="5"/>
    </row>
    <row r="10103">
      <c r="N10103" s="1"/>
      <c r="V10103" s="5"/>
    </row>
    <row r="10104">
      <c r="N10104" s="1"/>
      <c r="V10104" s="5"/>
    </row>
    <row r="10105">
      <c r="N10105" s="1"/>
      <c r="V10105" s="5"/>
    </row>
    <row r="10106">
      <c r="N10106" s="1"/>
      <c r="V10106" s="5"/>
    </row>
    <row r="10107">
      <c r="N10107" s="1"/>
      <c r="V10107" s="5"/>
    </row>
    <row r="10108">
      <c r="N10108" s="1"/>
      <c r="V10108" s="5"/>
    </row>
    <row r="10109">
      <c r="N10109" s="1"/>
      <c r="V10109" s="5"/>
    </row>
    <row r="10110">
      <c r="N10110" s="1"/>
      <c r="V10110" s="5"/>
    </row>
    <row r="10111">
      <c r="N10111" s="1"/>
      <c r="V10111" s="5"/>
    </row>
    <row r="10112">
      <c r="N10112" s="1"/>
      <c r="V10112" s="5"/>
    </row>
    <row r="10113">
      <c r="N10113" s="1"/>
      <c r="V10113" s="5"/>
    </row>
    <row r="10114">
      <c r="N10114" s="1"/>
      <c r="V10114" s="5"/>
    </row>
    <row r="10115">
      <c r="N10115" s="1"/>
      <c r="V10115" s="5"/>
    </row>
    <row r="10116">
      <c r="N10116" s="1"/>
      <c r="V10116" s="5"/>
    </row>
    <row r="10117">
      <c r="N10117" s="1"/>
      <c r="V10117" s="5"/>
    </row>
    <row r="10118">
      <c r="N10118" s="1"/>
      <c r="V10118" s="5"/>
    </row>
    <row r="10119">
      <c r="N10119" s="1"/>
      <c r="V10119" s="5"/>
    </row>
    <row r="10120">
      <c r="N10120" s="1"/>
      <c r="V10120" s="5"/>
    </row>
    <row r="10121">
      <c r="N10121" s="1"/>
      <c r="V10121" s="5"/>
    </row>
    <row r="10122">
      <c r="N10122" s="1"/>
      <c r="V10122" s="5"/>
    </row>
    <row r="10123">
      <c r="N10123" s="1"/>
      <c r="V10123" s="5"/>
    </row>
    <row r="10124">
      <c r="N10124" s="1"/>
      <c r="V10124" s="5"/>
    </row>
    <row r="10125">
      <c r="N10125" s="1"/>
      <c r="V10125" s="5"/>
    </row>
    <row r="10126">
      <c r="N10126" s="1"/>
      <c r="V10126" s="5"/>
    </row>
    <row r="10127">
      <c r="N10127" s="1"/>
      <c r="V10127" s="5"/>
    </row>
    <row r="10128">
      <c r="N10128" s="1"/>
      <c r="V10128" s="5"/>
    </row>
    <row r="10129">
      <c r="N10129" s="1"/>
      <c r="V10129" s="5"/>
    </row>
    <row r="10130">
      <c r="N10130" s="1"/>
      <c r="V10130" s="5"/>
    </row>
    <row r="10131">
      <c r="N10131" s="1"/>
      <c r="V10131" s="5"/>
    </row>
    <row r="10132">
      <c r="N10132" s="1"/>
      <c r="V10132" s="5"/>
    </row>
    <row r="10133">
      <c r="N10133" s="1"/>
      <c r="V10133" s="5"/>
    </row>
    <row r="10134">
      <c r="N10134" s="1"/>
      <c r="V10134" s="5"/>
    </row>
    <row r="10135">
      <c r="N10135" s="1"/>
      <c r="V10135" s="5"/>
    </row>
    <row r="10136">
      <c r="N10136" s="1"/>
      <c r="V10136" s="5"/>
    </row>
    <row r="10137">
      <c r="N10137" s="1"/>
      <c r="V10137" s="5"/>
    </row>
    <row r="10138">
      <c r="N10138" s="1"/>
      <c r="V10138" s="5"/>
    </row>
    <row r="10139">
      <c r="N10139" s="1"/>
      <c r="V10139" s="5"/>
    </row>
    <row r="10140">
      <c r="N10140" s="1"/>
      <c r="V10140" s="5"/>
    </row>
    <row r="10141">
      <c r="N10141" s="1"/>
      <c r="V10141" s="5"/>
    </row>
    <row r="10142">
      <c r="N10142" s="1"/>
      <c r="V10142" s="5"/>
    </row>
    <row r="10143">
      <c r="N10143" s="1"/>
      <c r="V10143" s="5"/>
    </row>
    <row r="10144">
      <c r="N10144" s="1"/>
      <c r="V10144" s="5"/>
    </row>
    <row r="10145">
      <c r="N10145" s="1"/>
      <c r="V10145" s="5"/>
    </row>
    <row r="10146">
      <c r="N10146" s="1"/>
      <c r="V10146" s="5"/>
    </row>
    <row r="10147">
      <c r="N10147" s="1"/>
      <c r="V10147" s="5"/>
    </row>
    <row r="10148">
      <c r="N10148" s="1"/>
      <c r="V10148" s="5"/>
    </row>
    <row r="10149">
      <c r="N10149" s="1"/>
      <c r="V10149" s="5"/>
    </row>
    <row r="10150">
      <c r="N10150" s="1"/>
      <c r="V10150" s="5"/>
    </row>
    <row r="10151">
      <c r="N10151" s="1"/>
      <c r="V10151" s="5"/>
    </row>
    <row r="10152">
      <c r="N10152" s="1"/>
      <c r="V10152" s="5"/>
    </row>
    <row r="10153">
      <c r="N10153" s="1"/>
      <c r="V10153" s="5"/>
    </row>
    <row r="10154">
      <c r="N10154" s="1"/>
      <c r="V10154" s="5"/>
    </row>
    <row r="10155">
      <c r="N10155" s="1"/>
      <c r="V10155" s="5"/>
    </row>
    <row r="10156">
      <c r="N10156" s="1"/>
      <c r="V10156" s="5"/>
    </row>
    <row r="10157">
      <c r="N10157" s="1"/>
      <c r="V10157" s="5"/>
    </row>
    <row r="10158">
      <c r="N10158" s="1"/>
      <c r="V10158" s="5"/>
    </row>
    <row r="10159">
      <c r="N10159" s="1"/>
      <c r="V10159" s="5"/>
    </row>
    <row r="10160">
      <c r="N10160" s="1"/>
      <c r="V10160" s="5"/>
    </row>
    <row r="10161">
      <c r="N10161" s="1"/>
      <c r="V10161" s="5"/>
    </row>
    <row r="10162">
      <c r="N10162" s="1"/>
      <c r="V10162" s="5"/>
    </row>
    <row r="10163">
      <c r="N10163" s="1"/>
      <c r="V10163" s="5"/>
    </row>
    <row r="10164">
      <c r="N10164" s="1"/>
      <c r="V10164" s="5"/>
    </row>
    <row r="10165">
      <c r="N10165" s="1"/>
      <c r="V10165" s="5"/>
    </row>
    <row r="10166">
      <c r="N10166" s="1"/>
      <c r="V10166" s="5"/>
    </row>
    <row r="10167">
      <c r="N10167" s="1"/>
      <c r="V10167" s="5"/>
    </row>
    <row r="10168">
      <c r="N10168" s="1"/>
      <c r="V10168" s="5"/>
    </row>
    <row r="10169">
      <c r="N10169" s="1"/>
      <c r="V10169" s="5"/>
    </row>
    <row r="10170">
      <c r="N10170" s="1"/>
      <c r="V10170" s="5"/>
    </row>
    <row r="10171">
      <c r="N10171" s="1"/>
      <c r="V10171" s="5"/>
    </row>
    <row r="10172">
      <c r="N10172" s="1"/>
      <c r="V10172" s="5"/>
    </row>
    <row r="10173">
      <c r="N10173" s="1"/>
      <c r="V10173" s="5"/>
    </row>
    <row r="10174">
      <c r="N10174" s="1"/>
      <c r="V10174" s="5"/>
    </row>
    <row r="10175">
      <c r="N10175" s="1"/>
      <c r="V10175" s="5"/>
    </row>
    <row r="10176">
      <c r="N10176" s="1"/>
      <c r="V10176" s="5"/>
    </row>
    <row r="10177">
      <c r="N10177" s="1"/>
      <c r="V10177" s="5"/>
    </row>
    <row r="10178">
      <c r="N10178" s="1"/>
      <c r="V10178" s="5"/>
    </row>
    <row r="10179">
      <c r="N10179" s="1"/>
      <c r="V10179" s="5"/>
    </row>
    <row r="10180">
      <c r="N10180" s="1"/>
      <c r="V10180" s="5"/>
    </row>
    <row r="10181">
      <c r="N10181" s="1"/>
      <c r="V10181" s="5"/>
    </row>
    <row r="10182">
      <c r="N10182" s="1"/>
      <c r="V10182" s="5"/>
    </row>
    <row r="10183">
      <c r="N10183" s="1"/>
      <c r="V10183" s="5"/>
    </row>
    <row r="10184">
      <c r="N10184" s="1"/>
      <c r="V10184" s="5"/>
    </row>
    <row r="10185">
      <c r="N10185" s="1"/>
      <c r="V10185" s="5"/>
    </row>
    <row r="10186">
      <c r="N10186" s="1"/>
      <c r="V10186" s="5"/>
    </row>
    <row r="10187">
      <c r="N10187" s="1"/>
      <c r="V10187" s="5"/>
    </row>
    <row r="10188">
      <c r="N10188" s="1"/>
      <c r="V10188" s="5"/>
    </row>
    <row r="10189">
      <c r="N10189" s="1"/>
      <c r="V10189" s="5"/>
    </row>
    <row r="10190">
      <c r="N10190" s="1"/>
      <c r="V10190" s="5"/>
    </row>
    <row r="10191">
      <c r="N10191" s="1"/>
      <c r="V10191" s="5"/>
    </row>
    <row r="10192">
      <c r="N10192" s="1"/>
      <c r="V10192" s="5"/>
    </row>
    <row r="10193">
      <c r="N10193" s="1"/>
      <c r="V10193" s="5"/>
    </row>
    <row r="10194">
      <c r="N10194" s="1"/>
      <c r="V10194" s="5"/>
    </row>
    <row r="10195">
      <c r="N10195" s="1"/>
      <c r="V10195" s="5"/>
    </row>
    <row r="10196">
      <c r="N10196" s="1"/>
      <c r="V10196" s="5"/>
    </row>
    <row r="10197">
      <c r="N10197" s="1"/>
      <c r="V10197" s="5"/>
    </row>
    <row r="10198">
      <c r="N10198" s="1"/>
      <c r="V10198" s="5"/>
    </row>
    <row r="10199">
      <c r="N10199" s="1"/>
      <c r="V10199" s="5"/>
    </row>
    <row r="10200">
      <c r="N10200" s="1"/>
      <c r="V10200" s="5"/>
    </row>
    <row r="10201">
      <c r="N10201" s="1"/>
      <c r="V10201" s="5"/>
    </row>
    <row r="10202">
      <c r="N10202" s="1"/>
      <c r="V10202" s="5"/>
    </row>
    <row r="10203">
      <c r="N10203" s="1"/>
      <c r="V10203" s="5"/>
    </row>
    <row r="10204">
      <c r="N10204" s="1"/>
      <c r="V10204" s="5"/>
    </row>
    <row r="10205">
      <c r="N10205" s="1"/>
      <c r="V10205" s="5"/>
    </row>
    <row r="10206">
      <c r="N10206" s="1"/>
      <c r="V10206" s="5"/>
    </row>
    <row r="10207">
      <c r="N10207" s="1"/>
      <c r="V10207" s="5"/>
    </row>
    <row r="10208">
      <c r="N10208" s="1"/>
      <c r="V10208" s="5"/>
    </row>
    <row r="10209">
      <c r="N10209" s="1"/>
      <c r="V10209" s="5"/>
    </row>
    <row r="10210">
      <c r="N10210" s="1"/>
      <c r="V10210" s="5"/>
    </row>
    <row r="10211">
      <c r="N10211" s="1"/>
      <c r="V10211" s="5"/>
    </row>
    <row r="10212">
      <c r="N10212" s="1"/>
      <c r="V10212" s="5"/>
    </row>
    <row r="10213">
      <c r="N10213" s="1"/>
      <c r="V10213" s="5"/>
    </row>
    <row r="10214">
      <c r="N10214" s="1"/>
      <c r="V10214" s="5"/>
    </row>
    <row r="10215">
      <c r="N10215" s="1"/>
      <c r="V10215" s="5"/>
    </row>
    <row r="10216">
      <c r="N10216" s="1"/>
      <c r="V10216" s="5"/>
    </row>
    <row r="10217">
      <c r="N10217" s="1"/>
      <c r="V10217" s="5"/>
    </row>
    <row r="10218">
      <c r="N10218" s="1"/>
      <c r="V10218" s="5"/>
    </row>
    <row r="10219">
      <c r="N10219" s="1"/>
      <c r="V10219" s="5"/>
    </row>
    <row r="10220">
      <c r="N10220" s="1"/>
      <c r="V10220" s="5"/>
    </row>
    <row r="10221">
      <c r="N10221" s="1"/>
      <c r="V10221" s="5"/>
    </row>
    <row r="10222">
      <c r="N10222" s="1"/>
      <c r="V10222" s="5"/>
    </row>
    <row r="10223">
      <c r="N10223" s="1"/>
      <c r="V10223" s="5"/>
    </row>
    <row r="10224">
      <c r="N10224" s="1"/>
      <c r="V10224" s="5"/>
    </row>
    <row r="10225">
      <c r="N10225" s="1"/>
      <c r="V10225" s="5"/>
    </row>
    <row r="10226">
      <c r="N10226" s="1"/>
      <c r="V10226" s="5"/>
    </row>
    <row r="10227">
      <c r="N10227" s="1"/>
      <c r="V10227" s="5"/>
    </row>
    <row r="10228">
      <c r="N10228" s="1"/>
      <c r="V10228" s="5"/>
    </row>
    <row r="10229">
      <c r="N10229" s="1"/>
      <c r="V10229" s="5"/>
    </row>
    <row r="10230">
      <c r="N10230" s="1"/>
      <c r="V10230" s="5"/>
    </row>
    <row r="10231">
      <c r="N10231" s="1"/>
      <c r="V10231" s="5"/>
    </row>
    <row r="10232">
      <c r="N10232" s="1"/>
      <c r="V10232" s="5"/>
    </row>
    <row r="10233">
      <c r="N10233" s="1"/>
      <c r="V10233" s="5"/>
    </row>
    <row r="10234">
      <c r="N10234" s="1"/>
      <c r="V10234" s="5"/>
    </row>
    <row r="10235">
      <c r="N10235" s="1"/>
      <c r="V10235" s="5"/>
    </row>
    <row r="10236">
      <c r="N10236" s="1"/>
      <c r="V10236" s="5"/>
    </row>
    <row r="10237">
      <c r="N10237" s="1"/>
      <c r="V10237" s="5"/>
    </row>
    <row r="10238">
      <c r="N10238" s="1"/>
      <c r="V10238" s="5"/>
    </row>
    <row r="10239">
      <c r="N10239" s="1"/>
      <c r="V10239" s="5"/>
    </row>
    <row r="10240">
      <c r="N10240" s="1"/>
      <c r="V10240" s="5"/>
    </row>
    <row r="10241">
      <c r="N10241" s="1"/>
      <c r="V10241" s="5"/>
    </row>
    <row r="10242">
      <c r="N10242" s="1"/>
      <c r="V10242" s="5"/>
    </row>
    <row r="10243">
      <c r="N10243" s="1"/>
      <c r="V10243" s="5"/>
    </row>
    <row r="10244">
      <c r="N10244" s="1"/>
      <c r="V10244" s="5"/>
    </row>
    <row r="10245">
      <c r="N10245" s="1"/>
      <c r="V10245" s="5"/>
    </row>
    <row r="10246">
      <c r="N10246" s="1"/>
      <c r="V10246" s="5"/>
    </row>
    <row r="10247">
      <c r="N10247" s="1"/>
      <c r="V10247" s="5"/>
    </row>
    <row r="10248">
      <c r="N10248" s="1"/>
      <c r="V10248" s="5"/>
    </row>
    <row r="10249">
      <c r="N10249" s="1"/>
      <c r="V10249" s="5"/>
    </row>
    <row r="10250">
      <c r="N10250" s="1"/>
      <c r="V10250" s="5"/>
    </row>
    <row r="10251">
      <c r="N10251" s="1"/>
      <c r="V10251" s="5"/>
    </row>
    <row r="10252">
      <c r="N10252" s="1"/>
      <c r="V10252" s="5"/>
    </row>
    <row r="10253">
      <c r="N10253" s="1"/>
      <c r="V10253" s="5"/>
    </row>
    <row r="10254">
      <c r="N10254" s="1"/>
      <c r="V10254" s="5"/>
    </row>
    <row r="10255">
      <c r="N10255" s="1"/>
      <c r="V10255" s="5"/>
    </row>
    <row r="10256">
      <c r="N10256" s="1"/>
      <c r="V10256" s="5"/>
    </row>
    <row r="10257">
      <c r="N10257" s="1"/>
      <c r="V10257" s="5"/>
    </row>
    <row r="10258">
      <c r="N10258" s="1"/>
      <c r="V10258" s="5"/>
    </row>
    <row r="10259">
      <c r="N10259" s="1"/>
      <c r="V10259" s="5"/>
    </row>
    <row r="10260">
      <c r="N10260" s="1"/>
      <c r="V10260" s="5"/>
    </row>
    <row r="10261">
      <c r="N10261" s="1"/>
      <c r="V10261" s="5"/>
    </row>
    <row r="10262">
      <c r="N10262" s="1"/>
      <c r="V10262" s="5"/>
    </row>
    <row r="10263">
      <c r="N10263" s="1"/>
      <c r="V10263" s="5"/>
    </row>
    <row r="10264">
      <c r="N10264" s="1"/>
      <c r="V10264" s="5"/>
    </row>
    <row r="10265">
      <c r="N10265" s="1"/>
      <c r="V10265" s="5"/>
    </row>
    <row r="10266">
      <c r="N10266" s="1"/>
      <c r="V10266" s="5"/>
    </row>
    <row r="10267">
      <c r="N10267" s="1"/>
      <c r="V10267" s="5"/>
    </row>
    <row r="10268">
      <c r="N10268" s="1"/>
      <c r="V10268" s="5"/>
    </row>
    <row r="10269">
      <c r="N10269" s="1"/>
      <c r="V10269" s="5"/>
    </row>
    <row r="10270">
      <c r="N10270" s="1"/>
      <c r="V10270" s="5"/>
    </row>
    <row r="10271">
      <c r="N10271" s="1"/>
      <c r="V10271" s="5"/>
    </row>
    <row r="10272">
      <c r="N10272" s="1"/>
      <c r="V10272" s="5"/>
    </row>
    <row r="10273">
      <c r="N10273" s="1"/>
      <c r="V10273" s="5"/>
    </row>
    <row r="10274">
      <c r="N10274" s="1"/>
      <c r="V10274" s="5"/>
    </row>
    <row r="10275">
      <c r="N10275" s="1"/>
      <c r="V10275" s="5"/>
    </row>
    <row r="10276">
      <c r="N10276" s="1"/>
      <c r="V10276" s="5"/>
    </row>
    <row r="10277">
      <c r="N10277" s="1"/>
      <c r="V10277" s="5"/>
    </row>
    <row r="10278">
      <c r="N10278" s="1"/>
      <c r="V10278" s="5"/>
    </row>
    <row r="10279">
      <c r="N10279" s="1"/>
      <c r="V10279" s="5"/>
    </row>
    <row r="10280">
      <c r="N10280" s="1"/>
      <c r="V10280" s="5"/>
    </row>
    <row r="10281">
      <c r="N10281" s="1"/>
      <c r="V10281" s="5"/>
    </row>
    <row r="10282">
      <c r="N10282" s="1"/>
      <c r="V10282" s="5"/>
    </row>
    <row r="10283">
      <c r="N10283" s="1"/>
      <c r="V10283" s="5"/>
    </row>
    <row r="10284">
      <c r="N10284" s="1"/>
      <c r="V10284" s="5"/>
    </row>
    <row r="10285">
      <c r="N10285" s="1"/>
      <c r="V10285" s="5"/>
    </row>
    <row r="10286">
      <c r="N10286" s="1"/>
      <c r="V10286" s="5"/>
    </row>
    <row r="10287">
      <c r="N10287" s="1"/>
      <c r="V10287" s="5"/>
    </row>
    <row r="10288">
      <c r="N10288" s="1"/>
      <c r="V10288" s="5"/>
    </row>
    <row r="10289">
      <c r="N10289" s="1"/>
      <c r="V10289" s="5"/>
    </row>
    <row r="10290">
      <c r="N10290" s="1"/>
      <c r="V10290" s="5"/>
    </row>
    <row r="10291">
      <c r="N10291" s="1"/>
      <c r="V10291" s="5"/>
    </row>
    <row r="10292">
      <c r="N10292" s="1"/>
      <c r="V10292" s="5"/>
    </row>
    <row r="10293">
      <c r="N10293" s="1"/>
      <c r="V10293" s="5"/>
    </row>
    <row r="10294">
      <c r="N10294" s="1"/>
      <c r="V10294" s="5"/>
    </row>
    <row r="10295">
      <c r="N10295" s="1"/>
      <c r="V10295" s="5"/>
    </row>
    <row r="10296">
      <c r="N10296" s="1"/>
      <c r="V10296" s="5"/>
    </row>
    <row r="10297">
      <c r="N10297" s="1"/>
      <c r="V10297" s="5"/>
    </row>
    <row r="10298">
      <c r="N10298" s="1"/>
      <c r="V10298" s="5"/>
    </row>
    <row r="10299">
      <c r="N10299" s="1"/>
      <c r="V10299" s="5"/>
    </row>
    <row r="10300">
      <c r="N10300" s="1"/>
      <c r="V10300" s="5"/>
    </row>
    <row r="10301">
      <c r="N10301" s="1"/>
      <c r="V10301" s="5"/>
    </row>
    <row r="10302">
      <c r="N10302" s="1"/>
      <c r="V10302" s="5"/>
    </row>
    <row r="10303">
      <c r="N10303" s="1"/>
      <c r="V10303" s="5"/>
    </row>
    <row r="10304">
      <c r="N10304" s="1"/>
      <c r="V10304" s="5"/>
    </row>
    <row r="10305">
      <c r="N10305" s="1"/>
      <c r="V10305" s="5"/>
    </row>
    <row r="10306">
      <c r="N10306" s="1"/>
      <c r="V10306" s="5"/>
    </row>
    <row r="10307">
      <c r="N10307" s="1"/>
      <c r="V10307" s="5"/>
    </row>
    <row r="10308">
      <c r="N10308" s="1"/>
      <c r="V10308" s="5"/>
    </row>
    <row r="10309">
      <c r="N10309" s="1"/>
      <c r="V10309" s="5"/>
    </row>
    <row r="10310">
      <c r="N10310" s="1"/>
      <c r="V10310" s="5"/>
    </row>
    <row r="10311">
      <c r="N10311" s="1"/>
      <c r="V10311" s="5"/>
    </row>
    <row r="10312">
      <c r="N10312" s="1"/>
      <c r="V10312" s="5"/>
    </row>
    <row r="10313">
      <c r="N10313" s="1"/>
      <c r="V10313" s="5"/>
    </row>
    <row r="10314">
      <c r="N10314" s="1"/>
      <c r="V10314" s="5"/>
    </row>
    <row r="10315">
      <c r="N10315" s="1"/>
      <c r="V10315" s="5"/>
    </row>
    <row r="10316">
      <c r="N10316" s="1"/>
      <c r="V10316" s="5"/>
    </row>
    <row r="10317">
      <c r="N10317" s="1"/>
      <c r="V10317" s="5"/>
    </row>
    <row r="10318">
      <c r="N10318" s="1"/>
      <c r="V10318" s="5"/>
    </row>
    <row r="10319">
      <c r="N10319" s="1"/>
      <c r="V10319" s="5"/>
    </row>
    <row r="10320">
      <c r="N10320" s="1"/>
      <c r="V10320" s="5"/>
    </row>
    <row r="10321">
      <c r="N10321" s="1"/>
      <c r="V10321" s="5"/>
    </row>
    <row r="10322">
      <c r="N10322" s="1"/>
      <c r="V10322" s="5"/>
    </row>
    <row r="10323">
      <c r="N10323" s="1"/>
      <c r="V10323" s="5"/>
    </row>
    <row r="10324">
      <c r="N10324" s="1"/>
      <c r="V10324" s="5"/>
    </row>
    <row r="10325">
      <c r="N10325" s="1"/>
      <c r="V10325" s="5"/>
    </row>
    <row r="10326">
      <c r="N10326" s="1"/>
      <c r="V10326" s="5"/>
    </row>
    <row r="10327">
      <c r="N10327" s="1"/>
      <c r="V10327" s="5"/>
    </row>
    <row r="10328">
      <c r="N10328" s="1"/>
      <c r="V10328" s="5"/>
    </row>
    <row r="10329">
      <c r="N10329" s="1"/>
      <c r="V10329" s="5"/>
    </row>
    <row r="10330">
      <c r="N10330" s="1"/>
      <c r="V10330" s="5"/>
    </row>
    <row r="10331">
      <c r="N10331" s="1"/>
      <c r="V10331" s="5"/>
    </row>
    <row r="10332">
      <c r="N10332" s="1"/>
      <c r="V10332" s="5"/>
    </row>
    <row r="10333">
      <c r="N10333" s="1"/>
      <c r="V10333" s="5"/>
    </row>
    <row r="10334">
      <c r="N10334" s="1"/>
      <c r="V10334" s="5"/>
    </row>
    <row r="10335">
      <c r="N10335" s="1"/>
      <c r="V10335" s="5"/>
    </row>
    <row r="10336">
      <c r="N10336" s="1"/>
      <c r="V10336" s="5"/>
    </row>
    <row r="10337">
      <c r="N10337" s="1"/>
      <c r="V10337" s="5"/>
    </row>
    <row r="10338">
      <c r="N10338" s="1"/>
      <c r="V10338" s="5"/>
    </row>
    <row r="10339">
      <c r="N10339" s="1"/>
      <c r="V10339" s="5"/>
    </row>
    <row r="10340">
      <c r="N10340" s="1"/>
      <c r="V10340" s="5"/>
    </row>
    <row r="10341">
      <c r="N10341" s="1"/>
      <c r="V10341" s="5"/>
    </row>
    <row r="10342">
      <c r="N10342" s="1"/>
      <c r="V10342" s="5"/>
    </row>
    <row r="10343">
      <c r="N10343" s="1"/>
      <c r="V10343" s="5"/>
    </row>
    <row r="10344">
      <c r="N10344" s="1"/>
      <c r="V10344" s="5"/>
    </row>
    <row r="10345">
      <c r="N10345" s="1"/>
      <c r="V10345" s="5"/>
    </row>
    <row r="10346">
      <c r="N10346" s="1"/>
      <c r="V10346" s="5"/>
    </row>
    <row r="10347">
      <c r="N10347" s="1"/>
      <c r="V10347" s="5"/>
    </row>
    <row r="10348">
      <c r="N10348" s="1"/>
      <c r="V10348" s="5"/>
    </row>
    <row r="10349">
      <c r="N10349" s="1"/>
      <c r="V10349" s="5"/>
    </row>
    <row r="10350">
      <c r="N10350" s="1"/>
      <c r="V10350" s="5"/>
    </row>
    <row r="10351">
      <c r="N10351" s="1"/>
      <c r="V10351" s="5"/>
    </row>
    <row r="10352">
      <c r="N10352" s="1"/>
      <c r="V10352" s="5"/>
    </row>
    <row r="10353">
      <c r="N10353" s="1"/>
      <c r="V10353" s="5"/>
    </row>
    <row r="10354">
      <c r="N10354" s="1"/>
      <c r="V10354" s="5"/>
    </row>
    <row r="10355">
      <c r="N10355" s="1"/>
      <c r="V10355" s="5"/>
    </row>
    <row r="10356">
      <c r="N10356" s="1"/>
      <c r="V10356" s="5"/>
    </row>
    <row r="10357">
      <c r="N10357" s="1"/>
      <c r="V10357" s="5"/>
    </row>
    <row r="10358">
      <c r="N10358" s="1"/>
      <c r="V10358" s="5"/>
    </row>
    <row r="10359">
      <c r="N10359" s="1"/>
      <c r="V10359" s="5"/>
    </row>
    <row r="10360">
      <c r="N10360" s="1"/>
      <c r="V10360" s="5"/>
    </row>
    <row r="10361">
      <c r="N10361" s="1"/>
      <c r="V10361" s="5"/>
    </row>
    <row r="10362">
      <c r="N10362" s="1"/>
      <c r="V10362" s="5"/>
    </row>
    <row r="10363">
      <c r="N10363" s="1"/>
      <c r="V10363" s="5"/>
    </row>
    <row r="10364">
      <c r="N10364" s="1"/>
      <c r="V10364" s="5"/>
    </row>
    <row r="10365">
      <c r="N10365" s="1"/>
      <c r="V10365" s="5"/>
    </row>
    <row r="10366">
      <c r="N10366" s="1"/>
      <c r="V10366" s="5"/>
    </row>
    <row r="10367">
      <c r="N10367" s="1"/>
      <c r="V10367" s="5"/>
    </row>
    <row r="10368">
      <c r="N10368" s="1"/>
      <c r="V10368" s="5"/>
    </row>
    <row r="10369">
      <c r="N10369" s="1"/>
      <c r="V10369" s="5"/>
    </row>
    <row r="10370">
      <c r="N10370" s="1"/>
      <c r="V10370" s="5"/>
    </row>
    <row r="10371">
      <c r="N10371" s="1"/>
      <c r="V10371" s="5"/>
    </row>
    <row r="10372">
      <c r="N10372" s="1"/>
      <c r="V10372" s="5"/>
    </row>
    <row r="10373">
      <c r="N10373" s="1"/>
      <c r="V10373" s="5"/>
    </row>
    <row r="10374">
      <c r="N10374" s="1"/>
      <c r="V10374" s="5"/>
    </row>
    <row r="10375">
      <c r="N10375" s="1"/>
      <c r="V10375" s="5"/>
    </row>
    <row r="10376">
      <c r="N10376" s="1"/>
      <c r="V10376" s="5"/>
    </row>
    <row r="10377">
      <c r="N10377" s="1"/>
      <c r="V10377" s="5"/>
    </row>
    <row r="10378">
      <c r="N10378" s="1"/>
      <c r="V10378" s="5"/>
    </row>
    <row r="10379">
      <c r="N10379" s="1"/>
      <c r="V10379" s="5"/>
    </row>
    <row r="10380">
      <c r="N10380" s="1"/>
      <c r="V10380" s="5"/>
    </row>
    <row r="10381">
      <c r="N10381" s="1"/>
      <c r="V10381" s="5"/>
    </row>
    <row r="10382">
      <c r="N10382" s="1"/>
      <c r="V10382" s="5"/>
    </row>
    <row r="10383">
      <c r="N10383" s="1"/>
      <c r="V10383" s="5"/>
    </row>
    <row r="10384">
      <c r="N10384" s="1"/>
      <c r="V10384" s="5"/>
    </row>
    <row r="10385">
      <c r="N10385" s="1"/>
      <c r="V10385" s="5"/>
    </row>
    <row r="10386">
      <c r="N10386" s="1"/>
      <c r="V10386" s="5"/>
    </row>
    <row r="10387">
      <c r="N10387" s="1"/>
      <c r="V10387" s="5"/>
    </row>
    <row r="10388">
      <c r="N10388" s="1"/>
      <c r="V10388" s="5"/>
    </row>
    <row r="10389">
      <c r="N10389" s="1"/>
      <c r="V10389" s="5"/>
    </row>
    <row r="10390">
      <c r="N10390" s="1"/>
      <c r="V10390" s="5"/>
    </row>
    <row r="10391">
      <c r="N10391" s="1"/>
      <c r="V10391" s="5"/>
    </row>
    <row r="10392">
      <c r="N10392" s="1"/>
      <c r="V10392" s="5"/>
    </row>
    <row r="10393">
      <c r="N10393" s="1"/>
      <c r="V10393" s="5"/>
    </row>
    <row r="10394">
      <c r="N10394" s="1"/>
      <c r="V10394" s="5"/>
    </row>
    <row r="10395">
      <c r="N10395" s="1"/>
      <c r="V10395" s="5"/>
    </row>
    <row r="10396">
      <c r="N10396" s="1"/>
      <c r="V10396" s="5"/>
    </row>
    <row r="10397">
      <c r="N10397" s="1"/>
      <c r="V10397" s="5"/>
    </row>
    <row r="10398">
      <c r="N10398" s="1"/>
      <c r="V10398" s="5"/>
    </row>
    <row r="10399">
      <c r="N10399" s="1"/>
      <c r="V10399" s="5"/>
    </row>
    <row r="10400">
      <c r="N10400" s="1"/>
      <c r="V10400" s="5"/>
    </row>
    <row r="10401">
      <c r="N10401" s="1"/>
      <c r="V10401" s="5"/>
    </row>
    <row r="10402">
      <c r="N10402" s="1"/>
      <c r="V10402" s="5"/>
    </row>
    <row r="10403">
      <c r="N10403" s="1"/>
      <c r="V10403" s="5"/>
    </row>
    <row r="10404">
      <c r="N10404" s="1"/>
      <c r="V10404" s="5"/>
    </row>
    <row r="10405">
      <c r="N10405" s="1"/>
      <c r="V10405" s="5"/>
    </row>
    <row r="10406">
      <c r="N10406" s="1"/>
      <c r="V10406" s="5"/>
    </row>
    <row r="10407">
      <c r="N10407" s="1"/>
      <c r="V10407" s="5"/>
    </row>
    <row r="10408">
      <c r="N10408" s="1"/>
      <c r="V10408" s="5"/>
    </row>
    <row r="10409">
      <c r="N10409" s="1"/>
      <c r="V10409" s="5"/>
    </row>
    <row r="10410">
      <c r="N10410" s="1"/>
      <c r="V10410" s="5"/>
    </row>
    <row r="10411">
      <c r="N10411" s="1"/>
      <c r="V10411" s="5"/>
    </row>
    <row r="10412">
      <c r="N10412" s="1"/>
      <c r="V10412" s="5"/>
    </row>
    <row r="10413">
      <c r="N10413" s="1"/>
      <c r="V10413" s="5"/>
    </row>
    <row r="10414">
      <c r="N10414" s="1"/>
      <c r="V10414" s="5"/>
    </row>
    <row r="10415">
      <c r="N10415" s="1"/>
      <c r="V10415" s="5"/>
    </row>
    <row r="10416">
      <c r="N10416" s="1"/>
      <c r="V10416" s="5"/>
    </row>
    <row r="10417">
      <c r="N10417" s="1"/>
      <c r="V10417" s="5"/>
    </row>
    <row r="10418">
      <c r="N10418" s="1"/>
      <c r="V10418" s="5"/>
    </row>
    <row r="10419">
      <c r="N10419" s="1"/>
      <c r="V10419" s="5"/>
    </row>
    <row r="10420">
      <c r="N10420" s="1"/>
      <c r="V10420" s="5"/>
    </row>
    <row r="10421">
      <c r="N10421" s="1"/>
      <c r="V10421" s="5"/>
    </row>
    <row r="10422">
      <c r="N10422" s="1"/>
      <c r="V10422" s="5"/>
    </row>
    <row r="10423">
      <c r="N10423" s="1"/>
      <c r="V10423" s="5"/>
    </row>
    <row r="10424">
      <c r="N10424" s="1"/>
      <c r="V10424" s="5"/>
    </row>
    <row r="10425">
      <c r="N10425" s="1"/>
      <c r="V10425" s="5"/>
    </row>
    <row r="10426">
      <c r="N10426" s="1"/>
      <c r="V10426" s="5"/>
    </row>
    <row r="10427">
      <c r="N10427" s="1"/>
      <c r="V10427" s="5"/>
    </row>
    <row r="10428">
      <c r="N10428" s="1"/>
      <c r="V10428" s="5"/>
    </row>
    <row r="10429">
      <c r="N10429" s="1"/>
      <c r="V10429" s="5"/>
    </row>
    <row r="10430">
      <c r="N10430" s="1"/>
      <c r="V10430" s="5"/>
    </row>
    <row r="10431">
      <c r="N10431" s="1"/>
      <c r="V10431" s="5"/>
    </row>
    <row r="10432">
      <c r="N10432" s="1"/>
      <c r="V10432" s="5"/>
    </row>
    <row r="10433">
      <c r="N10433" s="1"/>
      <c r="V10433" s="5"/>
    </row>
    <row r="10434">
      <c r="N10434" s="1"/>
      <c r="V10434" s="5"/>
    </row>
    <row r="10435">
      <c r="N10435" s="1"/>
      <c r="V10435" s="5"/>
    </row>
    <row r="10436">
      <c r="N10436" s="1"/>
      <c r="V10436" s="5"/>
    </row>
    <row r="10437">
      <c r="N10437" s="1"/>
      <c r="V10437" s="5"/>
    </row>
    <row r="10438">
      <c r="N10438" s="1"/>
      <c r="V10438" s="5"/>
    </row>
    <row r="10439">
      <c r="N10439" s="1"/>
      <c r="V10439" s="5"/>
    </row>
    <row r="10440">
      <c r="N10440" s="1"/>
      <c r="V10440" s="5"/>
    </row>
    <row r="10441">
      <c r="N10441" s="1"/>
      <c r="V10441" s="5"/>
    </row>
    <row r="10442">
      <c r="N10442" s="1"/>
      <c r="V10442" s="5"/>
    </row>
    <row r="10443">
      <c r="N10443" s="1"/>
      <c r="V10443" s="5"/>
    </row>
    <row r="10444">
      <c r="N10444" s="1"/>
      <c r="V10444" s="5"/>
    </row>
    <row r="10445">
      <c r="N10445" s="1"/>
      <c r="V10445" s="5"/>
    </row>
    <row r="10446">
      <c r="N10446" s="1"/>
      <c r="V10446" s="5"/>
    </row>
    <row r="10447">
      <c r="N10447" s="1"/>
      <c r="V10447" s="5"/>
    </row>
    <row r="10448">
      <c r="N10448" s="1"/>
      <c r="V10448" s="5"/>
    </row>
    <row r="10449">
      <c r="N10449" s="1"/>
      <c r="V10449" s="5"/>
    </row>
    <row r="10450">
      <c r="N10450" s="1"/>
      <c r="V10450" s="5"/>
    </row>
    <row r="10451">
      <c r="N10451" s="1"/>
      <c r="V10451" s="5"/>
    </row>
    <row r="10452">
      <c r="N10452" s="1"/>
      <c r="V10452" s="5"/>
    </row>
    <row r="10453">
      <c r="N10453" s="1"/>
      <c r="V10453" s="5"/>
    </row>
    <row r="10454">
      <c r="N10454" s="1"/>
      <c r="V10454" s="5"/>
    </row>
    <row r="10455">
      <c r="N10455" s="1"/>
      <c r="V10455" s="5"/>
    </row>
    <row r="10456">
      <c r="N10456" s="1"/>
      <c r="V10456" s="5"/>
    </row>
    <row r="10457">
      <c r="N10457" s="1"/>
      <c r="V10457" s="5"/>
    </row>
    <row r="10458">
      <c r="N10458" s="1"/>
      <c r="V10458" s="5"/>
    </row>
    <row r="10459">
      <c r="N10459" s="1"/>
      <c r="V10459" s="5"/>
    </row>
    <row r="10460">
      <c r="N10460" s="1"/>
      <c r="V10460" s="5"/>
    </row>
    <row r="10461">
      <c r="N10461" s="1"/>
      <c r="V10461" s="5"/>
    </row>
    <row r="10462">
      <c r="N10462" s="1"/>
      <c r="V10462" s="5"/>
    </row>
    <row r="10463">
      <c r="N10463" s="1"/>
      <c r="V10463" s="5"/>
    </row>
    <row r="10464">
      <c r="N10464" s="1"/>
      <c r="V10464" s="5"/>
    </row>
    <row r="10465">
      <c r="N10465" s="1"/>
      <c r="V10465" s="5"/>
    </row>
    <row r="10466">
      <c r="N10466" s="1"/>
      <c r="V10466" s="5"/>
    </row>
    <row r="10467">
      <c r="N10467" s="1"/>
      <c r="V10467" s="5"/>
    </row>
    <row r="10468">
      <c r="N10468" s="1"/>
      <c r="V10468" s="5"/>
    </row>
    <row r="10469">
      <c r="N10469" s="1"/>
      <c r="V10469" s="5"/>
    </row>
    <row r="10470">
      <c r="N10470" s="1"/>
      <c r="V10470" s="5"/>
    </row>
    <row r="10471">
      <c r="N10471" s="1"/>
      <c r="V10471" s="5"/>
    </row>
    <row r="10472">
      <c r="N10472" s="1"/>
      <c r="V10472" s="5"/>
    </row>
    <row r="10473">
      <c r="N10473" s="1"/>
      <c r="V10473" s="5"/>
    </row>
    <row r="10474">
      <c r="N10474" s="1"/>
      <c r="V10474" s="5"/>
    </row>
    <row r="10475">
      <c r="N10475" s="1"/>
      <c r="V10475" s="5"/>
    </row>
    <row r="10476">
      <c r="N10476" s="1"/>
      <c r="V10476" s="5"/>
    </row>
    <row r="10477">
      <c r="N10477" s="1"/>
      <c r="V10477" s="5"/>
    </row>
    <row r="10478">
      <c r="N10478" s="1"/>
      <c r="V10478" s="5"/>
    </row>
    <row r="10479">
      <c r="N10479" s="1"/>
      <c r="V10479" s="5"/>
    </row>
    <row r="10480">
      <c r="N10480" s="1"/>
      <c r="V10480" s="5"/>
    </row>
    <row r="10481">
      <c r="N10481" s="1"/>
      <c r="V10481" s="5"/>
    </row>
    <row r="10482">
      <c r="N10482" s="1"/>
      <c r="V10482" s="5"/>
    </row>
    <row r="10483">
      <c r="N10483" s="1"/>
      <c r="V10483" s="5"/>
    </row>
    <row r="10484">
      <c r="N10484" s="1"/>
      <c r="V10484" s="5"/>
    </row>
    <row r="10485">
      <c r="N10485" s="1"/>
      <c r="V10485" s="5"/>
    </row>
    <row r="10486">
      <c r="N10486" s="1"/>
      <c r="V10486" s="5"/>
    </row>
    <row r="10487">
      <c r="N10487" s="1"/>
      <c r="V10487" s="5"/>
    </row>
    <row r="10488">
      <c r="N10488" s="1"/>
      <c r="V10488" s="5"/>
    </row>
    <row r="10489">
      <c r="N10489" s="1"/>
      <c r="V10489" s="5"/>
    </row>
    <row r="10490">
      <c r="N10490" s="1"/>
      <c r="V10490" s="5"/>
    </row>
    <row r="10491">
      <c r="N10491" s="1"/>
      <c r="V10491" s="5"/>
    </row>
    <row r="10492">
      <c r="N10492" s="1"/>
      <c r="V10492" s="5"/>
    </row>
    <row r="10493">
      <c r="N10493" s="1"/>
      <c r="V10493" s="5"/>
    </row>
    <row r="10494">
      <c r="N10494" s="1"/>
      <c r="V10494" s="5"/>
    </row>
    <row r="10495">
      <c r="N10495" s="1"/>
      <c r="V10495" s="5"/>
    </row>
    <row r="10496">
      <c r="N10496" s="1"/>
      <c r="V10496" s="5"/>
    </row>
    <row r="10497">
      <c r="N10497" s="1"/>
      <c r="V10497" s="5"/>
    </row>
    <row r="10498">
      <c r="N10498" s="1"/>
      <c r="V10498" s="5"/>
    </row>
    <row r="10499">
      <c r="N10499" s="1"/>
      <c r="V10499" s="5"/>
    </row>
    <row r="10500">
      <c r="N10500" s="1"/>
      <c r="V10500" s="5"/>
    </row>
    <row r="10501">
      <c r="N10501" s="1"/>
      <c r="V10501" s="5"/>
    </row>
    <row r="10502">
      <c r="N10502" s="1"/>
      <c r="V10502" s="5"/>
    </row>
    <row r="10503">
      <c r="N10503" s="1"/>
      <c r="V10503" s="5"/>
    </row>
    <row r="10504">
      <c r="N10504" s="1"/>
      <c r="V10504" s="5"/>
    </row>
    <row r="10505">
      <c r="N10505" s="1"/>
      <c r="V10505" s="5"/>
    </row>
    <row r="10506">
      <c r="N10506" s="1"/>
      <c r="V10506" s="5"/>
    </row>
    <row r="10507">
      <c r="N10507" s="1"/>
      <c r="V10507" s="5"/>
    </row>
    <row r="10508">
      <c r="N10508" s="1"/>
      <c r="V10508" s="5"/>
    </row>
    <row r="10509">
      <c r="N10509" s="1"/>
      <c r="V10509" s="5"/>
    </row>
    <row r="10510">
      <c r="N10510" s="1"/>
      <c r="V10510" s="5"/>
    </row>
    <row r="10511">
      <c r="N10511" s="1"/>
      <c r="V10511" s="5"/>
    </row>
    <row r="10512">
      <c r="N10512" s="1"/>
      <c r="V10512" s="5"/>
    </row>
    <row r="10513">
      <c r="N10513" s="1"/>
      <c r="V10513" s="5"/>
    </row>
    <row r="10514">
      <c r="N10514" s="1"/>
      <c r="V10514" s="5"/>
    </row>
    <row r="10515">
      <c r="N10515" s="1"/>
      <c r="V10515" s="5"/>
    </row>
    <row r="10516">
      <c r="N10516" s="1"/>
      <c r="V10516" s="5"/>
    </row>
    <row r="10517">
      <c r="N10517" s="1"/>
      <c r="V10517" s="5"/>
    </row>
    <row r="10518">
      <c r="N10518" s="1"/>
      <c r="V10518" s="5"/>
    </row>
    <row r="10519">
      <c r="N10519" s="1"/>
      <c r="V10519" s="5"/>
    </row>
    <row r="10520">
      <c r="N10520" s="1"/>
      <c r="V10520" s="5"/>
    </row>
    <row r="10521">
      <c r="N10521" s="1"/>
      <c r="V10521" s="5"/>
    </row>
    <row r="10522">
      <c r="N10522" s="1"/>
      <c r="V10522" s="5"/>
    </row>
    <row r="10523">
      <c r="N10523" s="1"/>
      <c r="V10523" s="5"/>
    </row>
    <row r="10524">
      <c r="N10524" s="1"/>
      <c r="V10524" s="5"/>
    </row>
    <row r="10525">
      <c r="N10525" s="1"/>
      <c r="V10525" s="5"/>
    </row>
    <row r="10526">
      <c r="N10526" s="1"/>
      <c r="V10526" s="5"/>
    </row>
    <row r="10527">
      <c r="N10527" s="1"/>
      <c r="V10527" s="5"/>
    </row>
    <row r="10528">
      <c r="N10528" s="1"/>
      <c r="V10528" s="5"/>
    </row>
    <row r="10529">
      <c r="N10529" s="1"/>
      <c r="V10529" s="5"/>
    </row>
    <row r="10530">
      <c r="N10530" s="1"/>
      <c r="V10530" s="5"/>
    </row>
    <row r="10531">
      <c r="N10531" s="1"/>
      <c r="V10531" s="5"/>
    </row>
    <row r="10532">
      <c r="N10532" s="1"/>
      <c r="V10532" s="5"/>
    </row>
    <row r="10533">
      <c r="N10533" s="1"/>
      <c r="V10533" s="5"/>
    </row>
    <row r="10534">
      <c r="N10534" s="1"/>
      <c r="V10534" s="5"/>
    </row>
    <row r="10535">
      <c r="N10535" s="1"/>
      <c r="V10535" s="5"/>
    </row>
    <row r="10536">
      <c r="N10536" s="1"/>
      <c r="V10536" s="5"/>
    </row>
    <row r="10537">
      <c r="N10537" s="1"/>
      <c r="V10537" s="5"/>
    </row>
    <row r="10538">
      <c r="N10538" s="1"/>
      <c r="V10538" s="5"/>
    </row>
    <row r="10539">
      <c r="N10539" s="1"/>
      <c r="V10539" s="5"/>
    </row>
    <row r="10540">
      <c r="N10540" s="1"/>
      <c r="V10540" s="5"/>
    </row>
    <row r="10541">
      <c r="N10541" s="1"/>
      <c r="V10541" s="5"/>
    </row>
    <row r="10542">
      <c r="N10542" s="1"/>
      <c r="V10542" s="5"/>
    </row>
    <row r="10543">
      <c r="N10543" s="1"/>
      <c r="V10543" s="5"/>
    </row>
    <row r="10544">
      <c r="N10544" s="1"/>
      <c r="V10544" s="5"/>
    </row>
    <row r="10545">
      <c r="N10545" s="1"/>
      <c r="V10545" s="5"/>
    </row>
    <row r="10546">
      <c r="N10546" s="1"/>
      <c r="V10546" s="5"/>
    </row>
    <row r="10547">
      <c r="N10547" s="1"/>
      <c r="V10547" s="5"/>
    </row>
    <row r="10548">
      <c r="N10548" s="1"/>
      <c r="V10548" s="5"/>
    </row>
    <row r="10549">
      <c r="N10549" s="1"/>
      <c r="V10549" s="5"/>
    </row>
    <row r="10550">
      <c r="N10550" s="1"/>
      <c r="V10550" s="5"/>
    </row>
    <row r="10551">
      <c r="N10551" s="1"/>
      <c r="V10551" s="5"/>
    </row>
    <row r="10552">
      <c r="N10552" s="1"/>
      <c r="V10552" s="5"/>
    </row>
    <row r="10553">
      <c r="N10553" s="1"/>
      <c r="V10553" s="5"/>
    </row>
    <row r="10554">
      <c r="N10554" s="1"/>
      <c r="V10554" s="5"/>
    </row>
    <row r="10555">
      <c r="N10555" s="1"/>
      <c r="V10555" s="5"/>
    </row>
    <row r="10556">
      <c r="N10556" s="1"/>
      <c r="V10556" s="5"/>
    </row>
    <row r="10557">
      <c r="N10557" s="1"/>
      <c r="V10557" s="5"/>
    </row>
    <row r="10558">
      <c r="N10558" s="1"/>
      <c r="V10558" s="5"/>
    </row>
    <row r="10559">
      <c r="N10559" s="1"/>
      <c r="V10559" s="5"/>
    </row>
    <row r="10560">
      <c r="N10560" s="1"/>
      <c r="V10560" s="5"/>
    </row>
    <row r="10561">
      <c r="N10561" s="1"/>
      <c r="V10561" s="5"/>
    </row>
    <row r="10562">
      <c r="N10562" s="1"/>
      <c r="V10562" s="5"/>
    </row>
    <row r="10563">
      <c r="N10563" s="1"/>
      <c r="V10563" s="5"/>
    </row>
    <row r="10564">
      <c r="N10564" s="1"/>
      <c r="V10564" s="5"/>
    </row>
    <row r="10565">
      <c r="N10565" s="1"/>
      <c r="V10565" s="5"/>
    </row>
    <row r="10566">
      <c r="N10566" s="1"/>
      <c r="V10566" s="5"/>
    </row>
    <row r="10567">
      <c r="N10567" s="1"/>
      <c r="V10567" s="5"/>
    </row>
    <row r="10568">
      <c r="N10568" s="1"/>
      <c r="V10568" s="5"/>
    </row>
    <row r="10569">
      <c r="N10569" s="1"/>
      <c r="V10569" s="5"/>
    </row>
    <row r="10570">
      <c r="N10570" s="1"/>
      <c r="V10570" s="5"/>
    </row>
    <row r="10571">
      <c r="N10571" s="1"/>
      <c r="V10571" s="5"/>
    </row>
    <row r="10572">
      <c r="N10572" s="1"/>
      <c r="V10572" s="5"/>
    </row>
    <row r="10573">
      <c r="N10573" s="1"/>
      <c r="V10573" s="5"/>
    </row>
    <row r="10574">
      <c r="N10574" s="1"/>
      <c r="V10574" s="5"/>
    </row>
    <row r="10575">
      <c r="N10575" s="1"/>
      <c r="V10575" s="5"/>
    </row>
    <row r="10576">
      <c r="N10576" s="1"/>
      <c r="V10576" s="5"/>
    </row>
    <row r="10577">
      <c r="N10577" s="1"/>
      <c r="V10577" s="5"/>
    </row>
    <row r="10578">
      <c r="N10578" s="1"/>
      <c r="V10578" s="5"/>
    </row>
    <row r="10579">
      <c r="N10579" s="1"/>
      <c r="V10579" s="5"/>
    </row>
    <row r="10580">
      <c r="N10580" s="1"/>
      <c r="V10580" s="5"/>
    </row>
    <row r="10581">
      <c r="N10581" s="1"/>
      <c r="V10581" s="5"/>
    </row>
    <row r="10582">
      <c r="N10582" s="1"/>
      <c r="V10582" s="5"/>
    </row>
    <row r="10583">
      <c r="N10583" s="1"/>
      <c r="V10583" s="5"/>
    </row>
    <row r="10584">
      <c r="N10584" s="1"/>
      <c r="V10584" s="5"/>
    </row>
    <row r="10585">
      <c r="N10585" s="1"/>
      <c r="V10585" s="5"/>
    </row>
    <row r="10586">
      <c r="N10586" s="1"/>
      <c r="V10586" s="5"/>
    </row>
    <row r="10587">
      <c r="N10587" s="1"/>
      <c r="V10587" s="5"/>
    </row>
    <row r="10588">
      <c r="N10588" s="1"/>
      <c r="V10588" s="5"/>
    </row>
    <row r="10589">
      <c r="N10589" s="1"/>
      <c r="V10589" s="5"/>
    </row>
    <row r="10590">
      <c r="N10590" s="1"/>
      <c r="V10590" s="5"/>
    </row>
    <row r="10591">
      <c r="N10591" s="1"/>
      <c r="V10591" s="5"/>
    </row>
    <row r="10592">
      <c r="N10592" s="1"/>
      <c r="V10592" s="5"/>
    </row>
    <row r="10593">
      <c r="N10593" s="1"/>
      <c r="V10593" s="5"/>
    </row>
    <row r="10594">
      <c r="N10594" s="1"/>
      <c r="V10594" s="5"/>
    </row>
    <row r="10595">
      <c r="N10595" s="1"/>
      <c r="V10595" s="5"/>
    </row>
    <row r="10596">
      <c r="N10596" s="1"/>
      <c r="V10596" s="5"/>
    </row>
    <row r="10597">
      <c r="N10597" s="1"/>
      <c r="V10597" s="5"/>
    </row>
    <row r="10598">
      <c r="N10598" s="1"/>
      <c r="V10598" s="5"/>
    </row>
    <row r="10599">
      <c r="N10599" s="1"/>
      <c r="V10599" s="5"/>
    </row>
    <row r="10600">
      <c r="N10600" s="1"/>
      <c r="V10600" s="5"/>
    </row>
    <row r="10601">
      <c r="N10601" s="1"/>
      <c r="V10601" s="5"/>
    </row>
    <row r="10602">
      <c r="N10602" s="1"/>
      <c r="V10602" s="5"/>
    </row>
    <row r="10603">
      <c r="N10603" s="1"/>
      <c r="V10603" s="5"/>
    </row>
    <row r="10604">
      <c r="N10604" s="1"/>
      <c r="V10604" s="5"/>
    </row>
    <row r="10605">
      <c r="N10605" s="1"/>
      <c r="V10605" s="5"/>
    </row>
    <row r="10606">
      <c r="N10606" s="1"/>
      <c r="V10606" s="5"/>
    </row>
    <row r="10607">
      <c r="N10607" s="1"/>
      <c r="V10607" s="5"/>
    </row>
    <row r="10608">
      <c r="N10608" s="1"/>
      <c r="V10608" s="5"/>
    </row>
    <row r="10609">
      <c r="N10609" s="1"/>
      <c r="V10609" s="5"/>
    </row>
    <row r="10610">
      <c r="N10610" s="1"/>
      <c r="V10610" s="5"/>
    </row>
    <row r="10611">
      <c r="N10611" s="1"/>
      <c r="V10611" s="5"/>
    </row>
    <row r="10612">
      <c r="N10612" s="1"/>
      <c r="V10612" s="5"/>
    </row>
    <row r="10613">
      <c r="N10613" s="1"/>
      <c r="V10613" s="5"/>
    </row>
    <row r="10614">
      <c r="N10614" s="1"/>
      <c r="V10614" s="5"/>
    </row>
    <row r="10615">
      <c r="N10615" s="1"/>
      <c r="V10615" s="5"/>
    </row>
    <row r="10616">
      <c r="N10616" s="1"/>
      <c r="V10616" s="5"/>
    </row>
    <row r="10617">
      <c r="N10617" s="1"/>
      <c r="V10617" s="5"/>
    </row>
    <row r="10618">
      <c r="N10618" s="1"/>
      <c r="V10618" s="5"/>
    </row>
    <row r="10619">
      <c r="N10619" s="1"/>
      <c r="V10619" s="5"/>
    </row>
    <row r="10620">
      <c r="N10620" s="1"/>
      <c r="V10620" s="5"/>
    </row>
    <row r="10621">
      <c r="N10621" s="1"/>
      <c r="V10621" s="5"/>
    </row>
    <row r="10622">
      <c r="N10622" s="1"/>
      <c r="V10622" s="5"/>
    </row>
    <row r="10623">
      <c r="N10623" s="1"/>
      <c r="V10623" s="5"/>
    </row>
    <row r="10624">
      <c r="N10624" s="1"/>
      <c r="V10624" s="5"/>
    </row>
    <row r="10625">
      <c r="N10625" s="1"/>
      <c r="V10625" s="5"/>
    </row>
    <row r="10626">
      <c r="N10626" s="1"/>
      <c r="V10626" s="5"/>
    </row>
    <row r="10627">
      <c r="N10627" s="1"/>
      <c r="V10627" s="5"/>
    </row>
    <row r="10628">
      <c r="N10628" s="1"/>
      <c r="V10628" s="5"/>
    </row>
    <row r="10629">
      <c r="N10629" s="1"/>
      <c r="V10629" s="5"/>
    </row>
    <row r="10630">
      <c r="N10630" s="1"/>
      <c r="V10630" s="5"/>
    </row>
    <row r="10631">
      <c r="N10631" s="1"/>
      <c r="V10631" s="5"/>
    </row>
    <row r="10632">
      <c r="N10632" s="1"/>
      <c r="V10632" s="5"/>
    </row>
    <row r="10633">
      <c r="N10633" s="1"/>
      <c r="V10633" s="5"/>
    </row>
    <row r="10634">
      <c r="N10634" s="1"/>
      <c r="V10634" s="5"/>
    </row>
    <row r="10635">
      <c r="N10635" s="1"/>
      <c r="V10635" s="5"/>
    </row>
    <row r="10636">
      <c r="N10636" s="1"/>
      <c r="V10636" s="5"/>
    </row>
    <row r="10637">
      <c r="N10637" s="1"/>
      <c r="V10637" s="5"/>
    </row>
    <row r="10638">
      <c r="N10638" s="1"/>
      <c r="V10638" s="5"/>
    </row>
    <row r="10639">
      <c r="N10639" s="1"/>
      <c r="V10639" s="5"/>
    </row>
    <row r="10640">
      <c r="N10640" s="1"/>
      <c r="V10640" s="5"/>
    </row>
    <row r="10641">
      <c r="N10641" s="1"/>
      <c r="V10641" s="5"/>
    </row>
    <row r="10642">
      <c r="N10642" s="1"/>
      <c r="V10642" s="5"/>
    </row>
    <row r="10643">
      <c r="N10643" s="1"/>
      <c r="V10643" s="5"/>
    </row>
    <row r="10644">
      <c r="N10644" s="1"/>
      <c r="V10644" s="5"/>
    </row>
    <row r="10645">
      <c r="N10645" s="1"/>
      <c r="V10645" s="5"/>
    </row>
    <row r="10646">
      <c r="N10646" s="1"/>
      <c r="V10646" s="5"/>
    </row>
    <row r="10647">
      <c r="N10647" s="1"/>
      <c r="V10647" s="5"/>
    </row>
    <row r="10648">
      <c r="N10648" s="1"/>
      <c r="V10648" s="5"/>
    </row>
    <row r="10649">
      <c r="N10649" s="1"/>
      <c r="V10649" s="5"/>
    </row>
    <row r="10650">
      <c r="N10650" s="1"/>
      <c r="V10650" s="5"/>
    </row>
    <row r="10651">
      <c r="N10651" s="1"/>
      <c r="V10651" s="5"/>
    </row>
    <row r="10652">
      <c r="N10652" s="1"/>
      <c r="V10652" s="5"/>
    </row>
    <row r="10653">
      <c r="N10653" s="1"/>
      <c r="V10653" s="5"/>
    </row>
    <row r="10654">
      <c r="N10654" s="1"/>
      <c r="V10654" s="5"/>
    </row>
    <row r="10655">
      <c r="N10655" s="1"/>
      <c r="V10655" s="5"/>
    </row>
    <row r="10656">
      <c r="N10656" s="1"/>
      <c r="V10656" s="5"/>
    </row>
    <row r="10657">
      <c r="N10657" s="1"/>
      <c r="V10657" s="5"/>
    </row>
    <row r="10658">
      <c r="N10658" s="1"/>
      <c r="V10658" s="5"/>
    </row>
    <row r="10659">
      <c r="N10659" s="1"/>
      <c r="V10659" s="5"/>
    </row>
    <row r="10660">
      <c r="N10660" s="1"/>
      <c r="V10660" s="5"/>
    </row>
    <row r="10661">
      <c r="N10661" s="1"/>
      <c r="V10661" s="5"/>
    </row>
    <row r="10662">
      <c r="N10662" s="1"/>
      <c r="V10662" s="5"/>
    </row>
    <row r="10663">
      <c r="N10663" s="1"/>
      <c r="V10663" s="5"/>
    </row>
    <row r="10664">
      <c r="N10664" s="1"/>
      <c r="V10664" s="5"/>
    </row>
    <row r="10665">
      <c r="N10665" s="1"/>
      <c r="V10665" s="5"/>
    </row>
    <row r="10666">
      <c r="N10666" s="1"/>
      <c r="V10666" s="5"/>
    </row>
    <row r="10667">
      <c r="N10667" s="1"/>
      <c r="V10667" s="5"/>
    </row>
    <row r="10668">
      <c r="N10668" s="1"/>
      <c r="V10668" s="5"/>
    </row>
    <row r="10669">
      <c r="N10669" s="1"/>
      <c r="V10669" s="5"/>
    </row>
    <row r="10670">
      <c r="N10670" s="1"/>
      <c r="V10670" s="5"/>
    </row>
    <row r="10671">
      <c r="N10671" s="1"/>
      <c r="V10671" s="5"/>
    </row>
    <row r="10672">
      <c r="N10672" s="1"/>
      <c r="V10672" s="5"/>
    </row>
    <row r="10673">
      <c r="N10673" s="1"/>
      <c r="V10673" s="5"/>
    </row>
    <row r="10674">
      <c r="N10674" s="1"/>
      <c r="V10674" s="5"/>
    </row>
    <row r="10675">
      <c r="N10675" s="1"/>
      <c r="V10675" s="5"/>
    </row>
    <row r="10676">
      <c r="N10676" s="1"/>
      <c r="V10676" s="5"/>
    </row>
    <row r="10677">
      <c r="N10677" s="1"/>
      <c r="V10677" s="5"/>
    </row>
    <row r="10678">
      <c r="N10678" s="1"/>
      <c r="V10678" s="5"/>
    </row>
    <row r="10679">
      <c r="N10679" s="1"/>
      <c r="V10679" s="5"/>
    </row>
    <row r="10680">
      <c r="N10680" s="1"/>
      <c r="V10680" s="5"/>
    </row>
    <row r="10681">
      <c r="N10681" s="1"/>
      <c r="V10681" s="5"/>
    </row>
    <row r="10682">
      <c r="N10682" s="1"/>
      <c r="V10682" s="5"/>
    </row>
    <row r="10683">
      <c r="N10683" s="1"/>
      <c r="V10683" s="5"/>
    </row>
    <row r="10684">
      <c r="N10684" s="1"/>
      <c r="V10684" s="5"/>
    </row>
    <row r="10685">
      <c r="N10685" s="1"/>
      <c r="V10685" s="5"/>
    </row>
    <row r="10686">
      <c r="N10686" s="1"/>
      <c r="V10686" s="5"/>
    </row>
    <row r="10687">
      <c r="N10687" s="1"/>
      <c r="V10687" s="5"/>
    </row>
    <row r="10688">
      <c r="N10688" s="1"/>
      <c r="V10688" s="5"/>
    </row>
    <row r="10689">
      <c r="N10689" s="1"/>
      <c r="V10689" s="5"/>
    </row>
    <row r="10690">
      <c r="N10690" s="1"/>
      <c r="V10690" s="5"/>
    </row>
    <row r="10691">
      <c r="N10691" s="1"/>
      <c r="V10691" s="5"/>
    </row>
    <row r="10692">
      <c r="N10692" s="1"/>
      <c r="V10692" s="5"/>
    </row>
    <row r="10693">
      <c r="N10693" s="1"/>
      <c r="V10693" s="5"/>
    </row>
    <row r="10694">
      <c r="N10694" s="1"/>
      <c r="V10694" s="5"/>
    </row>
    <row r="10695">
      <c r="N10695" s="1"/>
      <c r="V10695" s="5"/>
    </row>
    <row r="10696">
      <c r="N10696" s="1"/>
      <c r="V10696" s="5"/>
    </row>
    <row r="10697">
      <c r="N10697" s="1"/>
      <c r="V10697" s="5"/>
    </row>
    <row r="10698">
      <c r="N10698" s="1"/>
      <c r="V10698" s="5"/>
    </row>
    <row r="10699">
      <c r="N10699" s="1"/>
      <c r="V10699" s="5"/>
    </row>
    <row r="10700">
      <c r="N10700" s="1"/>
      <c r="V10700" s="5"/>
    </row>
    <row r="10701">
      <c r="N10701" s="1"/>
      <c r="V10701" s="5"/>
    </row>
    <row r="10702">
      <c r="N10702" s="1"/>
      <c r="V10702" s="5"/>
    </row>
    <row r="10703">
      <c r="N10703" s="1"/>
      <c r="V10703" s="5"/>
    </row>
    <row r="10704">
      <c r="N10704" s="1"/>
      <c r="V10704" s="5"/>
    </row>
    <row r="10705">
      <c r="N10705" s="1"/>
      <c r="V10705" s="5"/>
    </row>
    <row r="10706">
      <c r="N10706" s="1"/>
      <c r="V10706" s="5"/>
    </row>
    <row r="10707">
      <c r="N10707" s="1"/>
      <c r="V10707" s="5"/>
    </row>
    <row r="10708">
      <c r="N10708" s="1"/>
      <c r="V10708" s="5"/>
    </row>
    <row r="10709">
      <c r="N10709" s="1"/>
      <c r="V10709" s="5"/>
    </row>
    <row r="10710">
      <c r="N10710" s="1"/>
      <c r="V10710" s="5"/>
    </row>
    <row r="10711">
      <c r="N10711" s="1"/>
      <c r="V10711" s="5"/>
    </row>
    <row r="10712">
      <c r="N10712" s="1"/>
      <c r="V10712" s="5"/>
    </row>
    <row r="10713">
      <c r="N10713" s="1"/>
      <c r="V10713" s="5"/>
    </row>
    <row r="10714">
      <c r="N10714" s="1"/>
      <c r="V10714" s="5"/>
    </row>
    <row r="10715">
      <c r="N10715" s="1"/>
      <c r="V10715" s="5"/>
    </row>
    <row r="10716">
      <c r="N10716" s="1"/>
      <c r="V10716" s="5"/>
    </row>
    <row r="10717">
      <c r="N10717" s="1"/>
      <c r="V10717" s="5"/>
    </row>
    <row r="10718">
      <c r="N10718" s="1"/>
      <c r="V10718" s="5"/>
    </row>
    <row r="10719">
      <c r="N10719" s="1"/>
      <c r="V10719" s="5"/>
    </row>
    <row r="10720">
      <c r="N10720" s="1"/>
      <c r="V10720" s="5"/>
    </row>
    <row r="10721">
      <c r="N10721" s="1"/>
      <c r="V10721" s="5"/>
    </row>
    <row r="10722">
      <c r="N10722" s="1"/>
      <c r="V10722" s="5"/>
    </row>
    <row r="10723">
      <c r="N10723" s="1"/>
      <c r="V10723" s="5"/>
    </row>
    <row r="10724">
      <c r="N10724" s="1"/>
      <c r="V10724" s="5"/>
    </row>
    <row r="10725">
      <c r="N10725" s="1"/>
      <c r="V10725" s="5"/>
    </row>
    <row r="10726">
      <c r="N10726" s="1"/>
      <c r="V10726" s="5"/>
    </row>
    <row r="10727">
      <c r="N10727" s="1"/>
      <c r="V10727" s="5"/>
    </row>
    <row r="10728">
      <c r="N10728" s="1"/>
      <c r="V10728" s="5"/>
    </row>
    <row r="10729">
      <c r="N10729" s="1"/>
      <c r="V10729" s="5"/>
    </row>
    <row r="10730">
      <c r="N10730" s="1"/>
      <c r="V10730" s="5"/>
    </row>
    <row r="10731">
      <c r="N10731" s="1"/>
      <c r="V10731" s="5"/>
    </row>
    <row r="10732">
      <c r="N10732" s="1"/>
      <c r="V10732" s="5"/>
    </row>
    <row r="10733">
      <c r="N10733" s="1"/>
      <c r="V10733" s="5"/>
    </row>
    <row r="10734">
      <c r="N10734" s="1"/>
      <c r="V10734" s="5"/>
    </row>
    <row r="10735">
      <c r="N10735" s="1"/>
      <c r="V10735" s="5"/>
    </row>
    <row r="10736">
      <c r="N10736" s="1"/>
      <c r="V10736" s="5"/>
    </row>
    <row r="10737">
      <c r="N10737" s="1"/>
      <c r="V10737" s="5"/>
    </row>
    <row r="10738">
      <c r="N10738" s="1"/>
      <c r="V10738" s="5"/>
    </row>
    <row r="10739">
      <c r="N10739" s="1"/>
      <c r="V10739" s="5"/>
    </row>
    <row r="10740">
      <c r="N10740" s="1"/>
      <c r="V10740" s="5"/>
    </row>
    <row r="10741">
      <c r="N10741" s="1"/>
      <c r="V10741" s="5"/>
    </row>
    <row r="10742">
      <c r="N10742" s="1"/>
      <c r="V10742" s="5"/>
    </row>
    <row r="10743">
      <c r="N10743" s="1"/>
      <c r="V10743" s="5"/>
    </row>
    <row r="10744">
      <c r="N10744" s="1"/>
      <c r="V10744" s="5"/>
    </row>
    <row r="10745">
      <c r="N10745" s="1"/>
      <c r="V10745" s="5"/>
    </row>
    <row r="10746">
      <c r="N10746" s="1"/>
      <c r="V10746" s="5"/>
    </row>
    <row r="10747">
      <c r="N10747" s="1"/>
      <c r="V10747" s="5"/>
    </row>
    <row r="10748">
      <c r="N10748" s="1"/>
      <c r="V10748" s="5"/>
    </row>
    <row r="10749">
      <c r="N10749" s="1"/>
      <c r="V10749" s="5"/>
    </row>
    <row r="10750">
      <c r="N10750" s="1"/>
      <c r="V10750" s="5"/>
    </row>
    <row r="10751">
      <c r="N10751" s="1"/>
      <c r="V10751" s="5"/>
    </row>
    <row r="10752">
      <c r="N10752" s="1"/>
      <c r="V10752" s="5"/>
    </row>
    <row r="10753">
      <c r="N10753" s="1"/>
      <c r="V10753" s="5"/>
    </row>
    <row r="10754">
      <c r="N10754" s="1"/>
      <c r="V10754" s="5"/>
    </row>
    <row r="10755">
      <c r="N10755" s="1"/>
      <c r="V10755" s="5"/>
    </row>
    <row r="10756">
      <c r="N10756" s="1"/>
      <c r="V10756" s="5"/>
    </row>
    <row r="10757">
      <c r="N10757" s="1"/>
      <c r="V10757" s="5"/>
    </row>
    <row r="10758">
      <c r="N10758" s="1"/>
      <c r="V10758" s="5"/>
    </row>
    <row r="10759">
      <c r="N10759" s="1"/>
      <c r="V10759" s="5"/>
    </row>
    <row r="10760">
      <c r="N10760" s="1"/>
      <c r="V10760" s="5"/>
    </row>
    <row r="10761">
      <c r="N10761" s="1"/>
      <c r="V10761" s="5"/>
    </row>
    <row r="10762">
      <c r="N10762" s="1"/>
      <c r="V10762" s="5"/>
    </row>
    <row r="10763">
      <c r="N10763" s="1"/>
      <c r="V10763" s="5"/>
    </row>
    <row r="10764">
      <c r="N10764" s="1"/>
      <c r="V10764" s="5"/>
    </row>
    <row r="10765">
      <c r="N10765" s="1"/>
      <c r="V10765" s="5"/>
    </row>
    <row r="10766">
      <c r="N10766" s="1"/>
      <c r="V10766" s="5"/>
    </row>
    <row r="10767">
      <c r="N10767" s="1"/>
      <c r="V10767" s="5"/>
    </row>
    <row r="10768">
      <c r="N10768" s="1"/>
      <c r="V10768" s="5"/>
    </row>
    <row r="10769">
      <c r="N10769" s="1"/>
      <c r="V10769" s="5"/>
    </row>
    <row r="10770">
      <c r="N10770" s="1"/>
      <c r="V10770" s="5"/>
    </row>
    <row r="10771">
      <c r="N10771" s="1"/>
      <c r="V10771" s="5"/>
    </row>
    <row r="10772">
      <c r="N10772" s="1"/>
      <c r="V10772" s="5"/>
    </row>
    <row r="10773">
      <c r="N10773" s="1"/>
      <c r="V10773" s="5"/>
    </row>
    <row r="10774">
      <c r="N10774" s="1"/>
      <c r="V10774" s="5"/>
    </row>
    <row r="10775">
      <c r="N10775" s="1"/>
      <c r="V10775" s="5"/>
    </row>
    <row r="10776">
      <c r="N10776" s="1"/>
      <c r="V10776" s="5"/>
    </row>
    <row r="10777">
      <c r="N10777" s="1"/>
      <c r="V10777" s="5"/>
    </row>
    <row r="10778">
      <c r="N10778" s="1"/>
      <c r="V10778" s="5"/>
    </row>
    <row r="10779">
      <c r="N10779" s="1"/>
      <c r="V10779" s="5"/>
    </row>
    <row r="10780">
      <c r="N10780" s="1"/>
      <c r="V10780" s="5"/>
    </row>
    <row r="10781">
      <c r="N10781" s="1"/>
      <c r="V10781" s="5"/>
    </row>
    <row r="10782">
      <c r="N10782" s="1"/>
      <c r="V10782" s="5"/>
    </row>
    <row r="10783">
      <c r="N10783" s="1"/>
      <c r="V10783" s="5"/>
    </row>
    <row r="10784">
      <c r="N10784" s="1"/>
      <c r="V10784" s="5"/>
    </row>
    <row r="10785">
      <c r="N10785" s="1"/>
      <c r="V10785" s="5"/>
    </row>
    <row r="10786">
      <c r="N10786" s="1"/>
      <c r="V10786" s="5"/>
    </row>
    <row r="10787">
      <c r="N10787" s="1"/>
      <c r="V10787" s="5"/>
    </row>
    <row r="10788">
      <c r="N10788" s="1"/>
      <c r="V10788" s="5"/>
    </row>
    <row r="10789">
      <c r="N10789" s="1"/>
      <c r="V10789" s="5"/>
    </row>
    <row r="10790">
      <c r="N10790" s="1"/>
      <c r="V10790" s="5"/>
    </row>
    <row r="10791">
      <c r="N10791" s="1"/>
      <c r="V10791" s="5"/>
    </row>
    <row r="10792">
      <c r="N10792" s="1"/>
      <c r="V10792" s="5"/>
    </row>
    <row r="10793">
      <c r="N10793" s="1"/>
      <c r="V10793" s="5"/>
    </row>
    <row r="10794">
      <c r="N10794" s="1"/>
      <c r="V10794" s="5"/>
    </row>
    <row r="10795">
      <c r="N10795" s="1"/>
      <c r="V10795" s="5"/>
    </row>
    <row r="10796">
      <c r="N10796" s="1"/>
      <c r="V10796" s="5"/>
    </row>
    <row r="10797">
      <c r="N10797" s="1"/>
      <c r="V10797" s="5"/>
    </row>
    <row r="10798">
      <c r="N10798" s="1"/>
      <c r="V10798" s="5"/>
    </row>
    <row r="10799">
      <c r="N10799" s="1"/>
      <c r="V10799" s="5"/>
    </row>
    <row r="10800">
      <c r="N10800" s="1"/>
      <c r="V10800" s="5"/>
    </row>
    <row r="10801">
      <c r="N10801" s="1"/>
      <c r="V10801" s="5"/>
    </row>
    <row r="10802">
      <c r="N10802" s="1"/>
      <c r="V10802" s="5"/>
    </row>
    <row r="10803">
      <c r="N10803" s="1"/>
      <c r="V10803" s="5"/>
    </row>
    <row r="10804">
      <c r="N10804" s="1"/>
      <c r="V10804" s="5"/>
    </row>
    <row r="10805">
      <c r="N10805" s="1"/>
      <c r="V10805" s="5"/>
    </row>
    <row r="10806">
      <c r="N10806" s="1"/>
      <c r="V10806" s="5"/>
    </row>
    <row r="10807">
      <c r="N10807" s="1"/>
      <c r="V10807" s="5"/>
    </row>
    <row r="10808">
      <c r="N10808" s="1"/>
      <c r="V10808" s="5"/>
    </row>
    <row r="10809">
      <c r="N10809" s="1"/>
      <c r="V10809" s="5"/>
    </row>
    <row r="10810">
      <c r="N10810" s="1"/>
      <c r="V10810" s="5"/>
    </row>
    <row r="10811">
      <c r="N10811" s="1"/>
      <c r="V10811" s="5"/>
    </row>
    <row r="10812">
      <c r="N10812" s="1"/>
      <c r="V10812" s="5"/>
    </row>
    <row r="10813">
      <c r="N10813" s="1"/>
      <c r="V10813" s="5"/>
    </row>
    <row r="10814">
      <c r="N10814" s="1"/>
      <c r="V10814" s="5"/>
    </row>
    <row r="10815">
      <c r="N10815" s="1"/>
      <c r="V10815" s="5"/>
    </row>
    <row r="10816">
      <c r="N10816" s="1"/>
      <c r="V10816" s="5"/>
    </row>
    <row r="10817">
      <c r="N10817" s="1"/>
      <c r="V10817" s="5"/>
    </row>
    <row r="10818">
      <c r="N10818" s="1"/>
      <c r="V10818" s="5"/>
    </row>
    <row r="10819">
      <c r="N10819" s="1"/>
      <c r="V10819" s="5"/>
    </row>
    <row r="10820">
      <c r="N10820" s="1"/>
      <c r="V10820" s="5"/>
    </row>
    <row r="10821">
      <c r="N10821" s="1"/>
      <c r="V10821" s="5"/>
    </row>
    <row r="10822">
      <c r="N10822" s="1"/>
      <c r="V10822" s="5"/>
    </row>
    <row r="10823">
      <c r="N10823" s="1"/>
      <c r="V10823" s="5"/>
    </row>
    <row r="10824">
      <c r="N10824" s="1"/>
      <c r="V10824" s="5"/>
    </row>
    <row r="10825">
      <c r="N10825" s="1"/>
      <c r="V10825" s="5"/>
    </row>
    <row r="10826">
      <c r="N10826" s="1"/>
      <c r="V10826" s="5"/>
    </row>
    <row r="10827">
      <c r="N10827" s="1"/>
      <c r="V10827" s="5"/>
    </row>
    <row r="10828">
      <c r="N10828" s="1"/>
      <c r="V10828" s="5"/>
    </row>
    <row r="10829">
      <c r="N10829" s="1"/>
      <c r="V10829" s="5"/>
    </row>
    <row r="10830">
      <c r="N10830" s="1"/>
      <c r="V10830" s="5"/>
    </row>
    <row r="10831">
      <c r="N10831" s="1"/>
      <c r="V10831" s="5"/>
    </row>
    <row r="10832">
      <c r="N10832" s="1"/>
      <c r="V10832" s="5"/>
    </row>
    <row r="10833">
      <c r="N10833" s="1"/>
      <c r="V10833" s="5"/>
    </row>
    <row r="10834">
      <c r="N10834" s="1"/>
      <c r="V10834" s="5"/>
    </row>
    <row r="10835">
      <c r="N10835" s="1"/>
      <c r="V10835" s="5"/>
    </row>
    <row r="10836">
      <c r="N10836" s="1"/>
      <c r="V10836" s="5"/>
    </row>
    <row r="10837">
      <c r="N10837" s="1"/>
      <c r="V10837" s="5"/>
    </row>
    <row r="10838">
      <c r="N10838" s="1"/>
      <c r="V10838" s="5"/>
    </row>
    <row r="10839">
      <c r="N10839" s="1"/>
      <c r="V10839" s="5"/>
    </row>
    <row r="10840">
      <c r="N10840" s="1"/>
      <c r="V10840" s="5"/>
    </row>
    <row r="10841">
      <c r="N10841" s="1"/>
      <c r="V10841" s="5"/>
    </row>
    <row r="10842">
      <c r="N10842" s="1"/>
      <c r="V10842" s="5"/>
    </row>
    <row r="10843">
      <c r="N10843" s="1"/>
      <c r="V10843" s="5"/>
    </row>
    <row r="10844">
      <c r="N10844" s="1"/>
      <c r="V10844" s="5"/>
    </row>
    <row r="10845">
      <c r="N10845" s="1"/>
      <c r="V10845" s="5"/>
    </row>
    <row r="10846">
      <c r="N10846" s="1"/>
      <c r="V10846" s="5"/>
    </row>
    <row r="10847">
      <c r="N10847" s="1"/>
      <c r="V10847" s="5"/>
    </row>
    <row r="10848">
      <c r="N10848" s="1"/>
      <c r="V10848" s="5"/>
    </row>
    <row r="10849">
      <c r="N10849" s="1"/>
      <c r="V10849" s="5"/>
    </row>
    <row r="10850">
      <c r="N10850" s="1"/>
      <c r="V10850" s="5"/>
    </row>
    <row r="10851">
      <c r="N10851" s="1"/>
      <c r="V10851" s="5"/>
    </row>
    <row r="10852">
      <c r="N10852" s="1"/>
      <c r="V10852" s="5"/>
    </row>
    <row r="10853">
      <c r="N10853" s="1"/>
      <c r="V10853" s="5"/>
    </row>
    <row r="10854">
      <c r="N10854" s="1"/>
      <c r="V10854" s="5"/>
    </row>
    <row r="10855">
      <c r="N10855" s="1"/>
      <c r="V10855" s="5"/>
    </row>
    <row r="10856">
      <c r="N10856" s="1"/>
      <c r="V10856" s="5"/>
    </row>
    <row r="10857">
      <c r="N10857" s="1"/>
      <c r="V10857" s="5"/>
    </row>
    <row r="10858">
      <c r="N10858" s="1"/>
      <c r="V10858" s="5"/>
    </row>
    <row r="10859">
      <c r="N10859" s="1"/>
      <c r="V10859" s="5"/>
    </row>
    <row r="10860">
      <c r="N10860" s="1"/>
      <c r="V10860" s="5"/>
    </row>
    <row r="10861">
      <c r="N10861" s="1"/>
      <c r="V10861" s="5"/>
    </row>
    <row r="10862">
      <c r="N10862" s="1"/>
      <c r="V10862" s="5"/>
    </row>
    <row r="10863">
      <c r="N10863" s="1"/>
      <c r="V10863" s="5"/>
    </row>
    <row r="10864">
      <c r="N10864" s="1"/>
      <c r="V10864" s="5"/>
    </row>
    <row r="10865">
      <c r="N10865" s="1"/>
      <c r="V10865" s="5"/>
    </row>
    <row r="10866">
      <c r="N10866" s="1"/>
      <c r="V10866" s="5"/>
    </row>
    <row r="10867">
      <c r="N10867" s="1"/>
      <c r="V10867" s="5"/>
    </row>
    <row r="10868">
      <c r="N10868" s="1"/>
      <c r="V10868" s="5"/>
    </row>
    <row r="10869">
      <c r="N10869" s="1"/>
      <c r="V10869" s="5"/>
    </row>
    <row r="10870">
      <c r="N10870" s="1"/>
      <c r="V10870" s="5"/>
    </row>
    <row r="10871">
      <c r="N10871" s="1"/>
      <c r="V10871" s="5"/>
    </row>
    <row r="10872">
      <c r="N10872" s="1"/>
      <c r="V10872" s="5"/>
    </row>
    <row r="10873">
      <c r="N10873" s="1"/>
      <c r="V10873" s="5"/>
    </row>
    <row r="10874">
      <c r="N10874" s="1"/>
      <c r="V10874" s="5"/>
    </row>
    <row r="10875">
      <c r="N10875" s="1"/>
      <c r="V10875" s="5"/>
    </row>
    <row r="10876">
      <c r="N10876" s="1"/>
      <c r="V10876" s="5"/>
    </row>
    <row r="10877">
      <c r="N10877" s="1"/>
      <c r="V10877" s="5"/>
    </row>
    <row r="10878">
      <c r="N10878" s="1"/>
      <c r="V10878" s="5"/>
    </row>
    <row r="10879">
      <c r="N10879" s="1"/>
      <c r="V10879" s="5"/>
    </row>
    <row r="10880">
      <c r="N10880" s="1"/>
      <c r="V10880" s="5"/>
    </row>
    <row r="10881">
      <c r="N10881" s="1"/>
      <c r="V10881" s="5"/>
    </row>
    <row r="10882">
      <c r="N10882" s="1"/>
      <c r="V10882" s="5"/>
    </row>
    <row r="10883">
      <c r="N10883" s="1"/>
      <c r="V10883" s="5"/>
    </row>
    <row r="10884">
      <c r="N10884" s="1"/>
      <c r="V10884" s="5"/>
    </row>
    <row r="10885">
      <c r="N10885" s="1"/>
      <c r="V10885" s="5"/>
    </row>
    <row r="10886">
      <c r="N10886" s="1"/>
      <c r="V10886" s="5"/>
    </row>
    <row r="10887">
      <c r="N10887" s="1"/>
      <c r="V10887" s="5"/>
    </row>
    <row r="10888">
      <c r="N10888" s="1"/>
      <c r="V10888" s="5"/>
    </row>
    <row r="10889">
      <c r="N10889" s="1"/>
      <c r="V10889" s="5"/>
    </row>
    <row r="10890">
      <c r="N10890" s="1"/>
      <c r="V10890" s="5"/>
    </row>
    <row r="10891">
      <c r="N10891" s="1"/>
      <c r="V10891" s="5"/>
    </row>
    <row r="10892">
      <c r="N10892" s="1"/>
      <c r="V10892" s="5"/>
    </row>
    <row r="10893">
      <c r="N10893" s="1"/>
      <c r="V10893" s="5"/>
    </row>
    <row r="10894">
      <c r="N10894" s="1"/>
      <c r="V10894" s="5"/>
    </row>
    <row r="10895">
      <c r="N10895" s="1"/>
      <c r="V10895" s="5"/>
    </row>
    <row r="10896">
      <c r="N10896" s="1"/>
      <c r="V10896" s="5"/>
    </row>
    <row r="10897">
      <c r="N10897" s="1"/>
      <c r="V10897" s="5"/>
    </row>
    <row r="10898">
      <c r="N10898" s="1"/>
      <c r="V10898" s="5"/>
    </row>
    <row r="10899">
      <c r="N10899" s="1"/>
      <c r="V10899" s="5"/>
    </row>
    <row r="10900">
      <c r="N10900" s="1"/>
      <c r="V10900" s="5"/>
    </row>
    <row r="10901">
      <c r="N10901" s="1"/>
      <c r="V10901" s="5"/>
    </row>
    <row r="10902">
      <c r="N10902" s="1"/>
      <c r="V10902" s="5"/>
    </row>
    <row r="10903">
      <c r="N10903" s="1"/>
      <c r="V10903" s="5"/>
    </row>
    <row r="10904">
      <c r="N10904" s="1"/>
      <c r="V10904" s="5"/>
    </row>
    <row r="10905">
      <c r="N10905" s="1"/>
      <c r="V10905" s="5"/>
    </row>
    <row r="10906">
      <c r="N10906" s="1"/>
      <c r="V10906" s="5"/>
    </row>
    <row r="10907">
      <c r="N10907" s="1"/>
      <c r="V10907" s="5"/>
    </row>
    <row r="10908">
      <c r="N10908" s="1"/>
      <c r="V10908" s="5"/>
    </row>
    <row r="10909">
      <c r="N10909" s="1"/>
      <c r="V10909" s="5"/>
    </row>
    <row r="10910">
      <c r="N10910" s="1"/>
      <c r="V10910" s="5"/>
    </row>
    <row r="10911">
      <c r="N10911" s="1"/>
      <c r="V10911" s="5"/>
    </row>
    <row r="10912">
      <c r="N10912" s="1"/>
      <c r="V10912" s="5"/>
    </row>
    <row r="10913">
      <c r="N10913" s="1"/>
      <c r="V10913" s="5"/>
    </row>
    <row r="10914">
      <c r="N10914" s="1"/>
      <c r="V10914" s="5"/>
    </row>
    <row r="10915">
      <c r="N10915" s="1"/>
      <c r="V10915" s="5"/>
    </row>
    <row r="10916">
      <c r="N10916" s="1"/>
      <c r="V10916" s="5"/>
    </row>
    <row r="10917">
      <c r="N10917" s="1"/>
      <c r="V10917" s="5"/>
    </row>
    <row r="10918">
      <c r="N10918" s="1"/>
      <c r="V10918" s="5"/>
    </row>
    <row r="10919">
      <c r="N10919" s="1"/>
      <c r="V10919" s="5"/>
    </row>
    <row r="10920">
      <c r="N10920" s="1"/>
      <c r="V10920" s="5"/>
    </row>
    <row r="10921">
      <c r="N10921" s="1"/>
      <c r="V10921" s="5"/>
    </row>
    <row r="10922">
      <c r="N10922" s="1"/>
      <c r="V10922" s="5"/>
    </row>
    <row r="10923">
      <c r="N10923" s="1"/>
      <c r="V10923" s="5"/>
    </row>
    <row r="10924">
      <c r="N10924" s="1"/>
      <c r="V10924" s="5"/>
    </row>
    <row r="10925">
      <c r="N10925" s="1"/>
      <c r="V10925" s="5"/>
    </row>
    <row r="10926">
      <c r="N10926" s="1"/>
      <c r="V10926" s="5"/>
    </row>
    <row r="10927">
      <c r="N10927" s="1"/>
      <c r="V10927" s="5"/>
    </row>
    <row r="10928">
      <c r="N10928" s="1"/>
      <c r="V10928" s="5"/>
    </row>
    <row r="10929">
      <c r="N10929" s="1"/>
      <c r="V10929" s="5"/>
    </row>
    <row r="10930">
      <c r="N10930" s="1"/>
      <c r="V10930" s="5"/>
    </row>
    <row r="10931">
      <c r="N10931" s="1"/>
      <c r="V10931" s="5"/>
    </row>
    <row r="10932">
      <c r="N10932" s="1"/>
      <c r="V10932" s="5"/>
    </row>
    <row r="10933">
      <c r="N10933" s="1"/>
      <c r="V10933" s="5"/>
    </row>
    <row r="10934">
      <c r="N10934" s="1"/>
      <c r="V10934" s="5"/>
    </row>
    <row r="10935">
      <c r="N10935" s="1"/>
      <c r="V10935" s="5"/>
    </row>
    <row r="10936">
      <c r="N10936" s="1"/>
      <c r="V10936" s="5"/>
    </row>
    <row r="10937">
      <c r="N10937" s="1"/>
      <c r="V10937" s="5"/>
    </row>
    <row r="10938">
      <c r="N10938" s="1"/>
      <c r="V10938" s="5"/>
    </row>
    <row r="10939">
      <c r="N10939" s="1"/>
      <c r="V10939" s="5"/>
    </row>
    <row r="10940">
      <c r="N10940" s="1"/>
      <c r="V10940" s="5"/>
    </row>
    <row r="10941">
      <c r="N10941" s="1"/>
      <c r="V10941" s="5"/>
    </row>
    <row r="10942">
      <c r="N10942" s="1"/>
      <c r="V10942" s="5"/>
    </row>
    <row r="10943">
      <c r="N10943" s="1"/>
      <c r="V10943" s="5"/>
    </row>
    <row r="10944">
      <c r="N10944" s="1"/>
      <c r="V10944" s="5"/>
    </row>
    <row r="10945">
      <c r="N10945" s="1"/>
      <c r="V10945" s="5"/>
    </row>
    <row r="10946">
      <c r="N10946" s="1"/>
      <c r="V10946" s="5"/>
    </row>
    <row r="10947">
      <c r="N10947" s="1"/>
      <c r="V10947" s="5"/>
    </row>
    <row r="10948">
      <c r="N10948" s="1"/>
      <c r="V10948" s="5"/>
    </row>
    <row r="10949">
      <c r="N10949" s="1"/>
      <c r="V10949" s="5"/>
    </row>
    <row r="10950">
      <c r="N10950" s="1"/>
      <c r="V10950" s="5"/>
    </row>
    <row r="10951">
      <c r="N10951" s="1"/>
      <c r="V10951" s="5"/>
    </row>
    <row r="10952">
      <c r="N10952" s="1"/>
      <c r="V10952" s="5"/>
    </row>
    <row r="10953">
      <c r="N10953" s="1"/>
      <c r="V10953" s="5"/>
    </row>
    <row r="10954">
      <c r="N10954" s="1"/>
      <c r="V10954" s="5"/>
    </row>
    <row r="10955">
      <c r="N10955" s="1"/>
      <c r="V10955" s="5"/>
    </row>
    <row r="10956">
      <c r="N10956" s="1"/>
      <c r="V10956" s="5"/>
    </row>
    <row r="10957">
      <c r="N10957" s="1"/>
      <c r="V10957" s="5"/>
    </row>
    <row r="10958">
      <c r="N10958" s="1"/>
      <c r="V10958" s="5"/>
    </row>
    <row r="10959">
      <c r="N10959" s="1"/>
      <c r="V10959" s="5"/>
    </row>
    <row r="10960">
      <c r="N10960" s="1"/>
      <c r="V10960" s="5"/>
    </row>
    <row r="10961">
      <c r="N10961" s="1"/>
      <c r="V10961" s="5"/>
    </row>
    <row r="10962">
      <c r="N10962" s="1"/>
      <c r="V10962" s="5"/>
    </row>
    <row r="10963">
      <c r="N10963" s="1"/>
      <c r="V10963" s="5"/>
    </row>
    <row r="10964">
      <c r="N10964" s="1"/>
      <c r="V10964" s="5"/>
    </row>
    <row r="10965">
      <c r="N10965" s="1"/>
      <c r="V10965" s="5"/>
    </row>
    <row r="10966">
      <c r="N10966" s="1"/>
      <c r="V10966" s="5"/>
    </row>
    <row r="10967">
      <c r="N10967" s="1"/>
      <c r="V10967" s="5"/>
    </row>
    <row r="10968">
      <c r="N10968" s="1"/>
      <c r="V10968" s="5"/>
    </row>
    <row r="10969">
      <c r="N10969" s="1"/>
      <c r="V10969" s="5"/>
    </row>
    <row r="10970">
      <c r="N10970" s="1"/>
      <c r="V10970" s="5"/>
    </row>
    <row r="10971">
      <c r="N10971" s="1"/>
      <c r="V10971" s="5"/>
    </row>
    <row r="10972">
      <c r="N10972" s="1"/>
      <c r="V10972" s="5"/>
    </row>
    <row r="10973">
      <c r="N10973" s="1"/>
      <c r="V10973" s="5"/>
    </row>
    <row r="10974">
      <c r="N10974" s="1"/>
      <c r="V10974" s="5"/>
    </row>
    <row r="10975">
      <c r="N10975" s="1"/>
      <c r="V10975" s="5"/>
    </row>
    <row r="10976">
      <c r="N10976" s="1"/>
      <c r="V10976" s="5"/>
    </row>
    <row r="10977">
      <c r="N10977" s="1"/>
      <c r="V10977" s="5"/>
    </row>
    <row r="10978">
      <c r="N10978" s="1"/>
      <c r="V10978" s="5"/>
    </row>
    <row r="10979">
      <c r="N10979" s="1"/>
      <c r="V10979" s="5"/>
    </row>
    <row r="10980">
      <c r="N10980" s="1"/>
      <c r="V10980" s="5"/>
    </row>
    <row r="10981">
      <c r="N10981" s="1"/>
      <c r="V10981" s="5"/>
    </row>
    <row r="10982">
      <c r="N10982" s="1"/>
      <c r="V10982" s="5"/>
    </row>
    <row r="10983">
      <c r="N10983" s="1"/>
      <c r="V10983" s="5"/>
    </row>
    <row r="10984">
      <c r="N10984" s="1"/>
      <c r="V10984" s="5"/>
    </row>
    <row r="10985">
      <c r="N10985" s="1"/>
      <c r="V10985" s="5"/>
    </row>
    <row r="10986">
      <c r="N10986" s="1"/>
      <c r="V10986" s="5"/>
    </row>
    <row r="10987">
      <c r="N10987" s="1"/>
      <c r="V10987" s="5"/>
    </row>
    <row r="10988">
      <c r="N10988" s="1"/>
      <c r="V10988" s="5"/>
    </row>
    <row r="10989">
      <c r="N10989" s="1"/>
      <c r="V10989" s="5"/>
    </row>
    <row r="10990">
      <c r="N10990" s="1"/>
      <c r="V10990" s="5"/>
    </row>
    <row r="10991">
      <c r="N10991" s="1"/>
      <c r="V10991" s="5"/>
    </row>
    <row r="10992">
      <c r="N10992" s="1"/>
      <c r="V10992" s="5"/>
    </row>
    <row r="10993">
      <c r="N10993" s="1"/>
      <c r="V10993" s="5"/>
    </row>
    <row r="10994">
      <c r="N10994" s="1"/>
      <c r="V10994" s="5"/>
    </row>
    <row r="10995">
      <c r="N10995" s="1"/>
      <c r="V10995" s="5"/>
    </row>
    <row r="10996">
      <c r="N10996" s="1"/>
      <c r="V10996" s="5"/>
    </row>
    <row r="10997">
      <c r="N10997" s="1"/>
      <c r="V10997" s="5"/>
    </row>
    <row r="10998">
      <c r="N10998" s="1"/>
      <c r="V10998" s="5"/>
    </row>
    <row r="10999">
      <c r="N10999" s="1"/>
      <c r="V10999" s="5"/>
    </row>
    <row r="11000">
      <c r="N11000" s="1"/>
      <c r="V11000" s="5"/>
    </row>
    <row r="11001">
      <c r="N11001" s="1"/>
      <c r="V11001" s="5"/>
    </row>
    <row r="11002">
      <c r="N11002" s="1"/>
      <c r="V11002" s="5"/>
    </row>
    <row r="11003">
      <c r="N11003" s="1"/>
      <c r="V11003" s="5"/>
    </row>
    <row r="11004">
      <c r="N11004" s="1"/>
      <c r="V11004" s="5"/>
    </row>
    <row r="11005">
      <c r="N11005" s="1"/>
      <c r="V11005" s="5"/>
    </row>
    <row r="11006">
      <c r="N11006" s="1"/>
      <c r="V11006" s="5"/>
    </row>
    <row r="11007">
      <c r="N11007" s="1"/>
      <c r="V11007" s="5"/>
    </row>
    <row r="11008">
      <c r="N11008" s="1"/>
      <c r="V11008" s="5"/>
    </row>
    <row r="11009">
      <c r="N11009" s="1"/>
      <c r="V11009" s="5"/>
    </row>
    <row r="11010">
      <c r="N11010" s="1"/>
      <c r="V11010" s="5"/>
    </row>
    <row r="11011">
      <c r="N11011" s="1"/>
      <c r="V11011" s="5"/>
    </row>
    <row r="11012">
      <c r="N11012" s="1"/>
      <c r="V11012" s="5"/>
    </row>
    <row r="11013">
      <c r="N11013" s="1"/>
      <c r="V11013" s="5"/>
    </row>
    <row r="11014">
      <c r="N11014" s="1"/>
      <c r="V11014" s="5"/>
    </row>
    <row r="11015">
      <c r="N11015" s="1"/>
      <c r="V11015" s="5"/>
    </row>
    <row r="11016">
      <c r="N11016" s="1"/>
      <c r="V11016" s="5"/>
    </row>
    <row r="11017">
      <c r="N11017" s="1"/>
      <c r="V11017" s="5"/>
    </row>
    <row r="11018">
      <c r="N11018" s="1"/>
      <c r="V11018" s="5"/>
    </row>
    <row r="11019">
      <c r="N11019" s="1"/>
      <c r="V11019" s="5"/>
    </row>
    <row r="11020">
      <c r="N11020" s="1"/>
      <c r="V11020" s="5"/>
    </row>
    <row r="11021">
      <c r="N11021" s="1"/>
      <c r="V11021" s="5"/>
    </row>
    <row r="11022">
      <c r="N11022" s="1"/>
      <c r="V11022" s="5"/>
    </row>
    <row r="11023">
      <c r="N11023" s="1"/>
      <c r="V11023" s="5"/>
    </row>
    <row r="11024">
      <c r="N11024" s="1"/>
      <c r="V11024" s="5"/>
    </row>
    <row r="11025">
      <c r="N11025" s="1"/>
      <c r="V11025" s="5"/>
    </row>
    <row r="11026">
      <c r="N11026" s="1"/>
      <c r="V11026" s="5"/>
    </row>
    <row r="11027">
      <c r="N11027" s="1"/>
      <c r="V11027" s="5"/>
    </row>
    <row r="11028">
      <c r="N11028" s="1"/>
      <c r="V11028" s="5"/>
    </row>
    <row r="11029">
      <c r="N11029" s="1"/>
      <c r="V11029" s="5"/>
    </row>
    <row r="11030">
      <c r="N11030" s="1"/>
      <c r="V11030" s="5"/>
    </row>
    <row r="11031">
      <c r="N11031" s="1"/>
      <c r="V11031" s="5"/>
    </row>
    <row r="11032">
      <c r="N11032" s="1"/>
      <c r="V11032" s="5"/>
    </row>
    <row r="11033">
      <c r="N11033" s="1"/>
      <c r="V11033" s="5"/>
    </row>
    <row r="11034">
      <c r="N11034" s="1"/>
      <c r="V11034" s="5"/>
    </row>
    <row r="11035">
      <c r="N11035" s="1"/>
      <c r="V11035" s="5"/>
    </row>
    <row r="11036">
      <c r="N11036" s="1"/>
      <c r="V11036" s="5"/>
    </row>
    <row r="11037">
      <c r="N11037" s="1"/>
      <c r="V11037" s="5"/>
    </row>
    <row r="11038">
      <c r="N11038" s="1"/>
      <c r="V11038" s="5"/>
    </row>
    <row r="11039">
      <c r="N11039" s="1"/>
      <c r="V11039" s="5"/>
    </row>
    <row r="11040">
      <c r="N11040" s="1"/>
      <c r="V11040" s="5"/>
    </row>
    <row r="11041">
      <c r="N11041" s="1"/>
      <c r="V11041" s="5"/>
    </row>
    <row r="11042">
      <c r="N11042" s="1"/>
      <c r="V11042" s="5"/>
    </row>
    <row r="11043">
      <c r="N11043" s="1"/>
      <c r="V11043" s="5"/>
    </row>
    <row r="11044">
      <c r="N11044" s="1"/>
      <c r="V11044" s="5"/>
    </row>
    <row r="11045">
      <c r="N11045" s="1"/>
      <c r="V11045" s="5"/>
    </row>
    <row r="11046">
      <c r="N11046" s="1"/>
      <c r="V11046" s="5"/>
    </row>
    <row r="11047">
      <c r="N11047" s="1"/>
      <c r="V11047" s="5"/>
    </row>
    <row r="11048">
      <c r="N11048" s="1"/>
      <c r="V11048" s="5"/>
    </row>
    <row r="11049">
      <c r="N11049" s="1"/>
      <c r="V11049" s="5"/>
    </row>
    <row r="11050">
      <c r="N11050" s="1"/>
      <c r="V11050" s="5"/>
    </row>
    <row r="11051">
      <c r="N11051" s="1"/>
      <c r="V11051" s="5"/>
    </row>
    <row r="11052">
      <c r="N11052" s="1"/>
      <c r="V11052" s="5"/>
    </row>
    <row r="11053">
      <c r="N11053" s="1"/>
      <c r="V11053" s="5"/>
    </row>
    <row r="11054">
      <c r="N11054" s="1"/>
      <c r="V11054" s="5"/>
    </row>
    <row r="11055">
      <c r="N11055" s="1"/>
      <c r="V11055" s="5"/>
    </row>
    <row r="11056">
      <c r="N11056" s="1"/>
      <c r="V11056" s="5"/>
    </row>
    <row r="11057">
      <c r="N11057" s="1"/>
      <c r="V11057" s="5"/>
    </row>
    <row r="11058">
      <c r="N11058" s="1"/>
      <c r="V11058" s="5"/>
    </row>
    <row r="11059">
      <c r="N11059" s="1"/>
      <c r="V11059" s="5"/>
    </row>
    <row r="11060">
      <c r="N11060" s="1"/>
      <c r="V11060" s="5"/>
    </row>
    <row r="11061">
      <c r="N11061" s="1"/>
      <c r="V11061" s="5"/>
    </row>
    <row r="11062">
      <c r="N11062" s="1"/>
      <c r="V11062" s="5"/>
    </row>
    <row r="11063">
      <c r="N11063" s="1"/>
      <c r="V11063" s="5"/>
    </row>
    <row r="11064">
      <c r="N11064" s="1"/>
      <c r="V11064" s="5"/>
    </row>
    <row r="11065">
      <c r="N11065" s="1"/>
      <c r="V11065" s="5"/>
    </row>
    <row r="11066">
      <c r="N11066" s="1"/>
      <c r="V11066" s="5"/>
    </row>
    <row r="11067">
      <c r="N11067" s="1"/>
      <c r="V11067" s="5"/>
    </row>
    <row r="11068">
      <c r="N11068" s="1"/>
      <c r="V11068" s="5"/>
    </row>
    <row r="11069">
      <c r="N11069" s="1"/>
      <c r="V11069" s="5"/>
    </row>
    <row r="11070">
      <c r="N11070" s="1"/>
      <c r="V11070" s="5"/>
    </row>
    <row r="11071">
      <c r="N11071" s="1"/>
      <c r="V11071" s="5"/>
    </row>
    <row r="11072">
      <c r="N11072" s="1"/>
      <c r="V11072" s="5"/>
    </row>
    <row r="11073">
      <c r="N11073" s="1"/>
      <c r="V11073" s="5"/>
    </row>
    <row r="11074">
      <c r="N11074" s="1"/>
      <c r="V11074" s="5"/>
    </row>
    <row r="11075">
      <c r="N11075" s="1"/>
      <c r="V11075" s="5"/>
    </row>
    <row r="11076">
      <c r="N11076" s="1"/>
      <c r="V11076" s="5"/>
    </row>
    <row r="11077">
      <c r="N11077" s="1"/>
      <c r="V11077" s="5"/>
    </row>
    <row r="11078">
      <c r="N11078" s="1"/>
      <c r="V11078" s="5"/>
    </row>
    <row r="11079">
      <c r="N11079" s="1"/>
      <c r="V11079" s="5"/>
    </row>
    <row r="11080">
      <c r="N11080" s="1"/>
      <c r="V11080" s="5"/>
    </row>
    <row r="11081">
      <c r="N11081" s="1"/>
      <c r="V11081" s="5"/>
    </row>
    <row r="11082">
      <c r="N11082" s="1"/>
      <c r="V11082" s="5"/>
    </row>
    <row r="11083">
      <c r="N11083" s="1"/>
      <c r="V11083" s="5"/>
    </row>
    <row r="11084">
      <c r="N11084" s="1"/>
      <c r="V11084" s="5"/>
    </row>
    <row r="11085">
      <c r="N11085" s="1"/>
      <c r="V11085" s="5"/>
    </row>
    <row r="11086">
      <c r="N11086" s="1"/>
      <c r="V11086" s="5"/>
    </row>
    <row r="11087">
      <c r="N11087" s="1"/>
      <c r="V11087" s="5"/>
    </row>
    <row r="11088">
      <c r="N11088" s="1"/>
      <c r="V11088" s="5"/>
    </row>
    <row r="11089">
      <c r="N11089" s="1"/>
      <c r="V11089" s="5"/>
    </row>
    <row r="11090">
      <c r="N11090" s="1"/>
      <c r="V11090" s="5"/>
    </row>
    <row r="11091">
      <c r="N11091" s="1"/>
      <c r="V11091" s="5"/>
    </row>
    <row r="11092">
      <c r="N11092" s="1"/>
      <c r="V11092" s="5"/>
    </row>
    <row r="11093">
      <c r="N11093" s="1"/>
      <c r="V11093" s="5"/>
    </row>
    <row r="11094">
      <c r="N11094" s="1"/>
      <c r="V11094" s="5"/>
    </row>
    <row r="11095">
      <c r="N11095" s="1"/>
      <c r="V11095" s="5"/>
    </row>
    <row r="11096">
      <c r="N11096" s="1"/>
      <c r="V11096" s="5"/>
    </row>
    <row r="11097">
      <c r="N11097" s="1"/>
      <c r="V11097" s="5"/>
    </row>
    <row r="11098">
      <c r="N11098" s="1"/>
      <c r="V11098" s="5"/>
    </row>
    <row r="11099">
      <c r="N11099" s="1"/>
      <c r="V11099" s="5"/>
    </row>
    <row r="11100">
      <c r="N11100" s="1"/>
      <c r="V11100" s="5"/>
    </row>
    <row r="11101">
      <c r="N11101" s="1"/>
      <c r="V11101" s="5"/>
    </row>
    <row r="11102">
      <c r="N11102" s="1"/>
      <c r="V11102" s="5"/>
    </row>
    <row r="11103">
      <c r="N11103" s="1"/>
      <c r="V11103" s="5"/>
    </row>
    <row r="11104">
      <c r="N11104" s="1"/>
      <c r="V11104" s="5"/>
    </row>
    <row r="11105">
      <c r="N11105" s="1"/>
      <c r="V11105" s="5"/>
    </row>
    <row r="11106">
      <c r="N11106" s="1"/>
      <c r="V11106" s="5"/>
    </row>
    <row r="11107">
      <c r="N11107" s="1"/>
      <c r="V11107" s="5"/>
    </row>
    <row r="11108">
      <c r="N11108" s="1"/>
      <c r="V11108" s="5"/>
    </row>
    <row r="11109">
      <c r="N11109" s="1"/>
      <c r="V11109" s="5"/>
    </row>
    <row r="11110">
      <c r="N11110" s="1"/>
      <c r="V11110" s="5"/>
    </row>
    <row r="11111">
      <c r="N11111" s="1"/>
      <c r="V11111" s="5"/>
    </row>
    <row r="11112">
      <c r="N11112" s="1"/>
      <c r="V11112" s="5"/>
    </row>
    <row r="11113">
      <c r="N11113" s="1"/>
      <c r="V11113" s="5"/>
    </row>
    <row r="11114">
      <c r="N11114" s="1"/>
      <c r="V11114" s="5"/>
    </row>
    <row r="11115">
      <c r="N11115" s="1"/>
      <c r="V11115" s="5"/>
    </row>
    <row r="11116">
      <c r="N11116" s="1"/>
      <c r="V11116" s="5"/>
    </row>
    <row r="11117">
      <c r="N11117" s="1"/>
      <c r="V11117" s="5"/>
    </row>
    <row r="11118">
      <c r="N11118" s="1"/>
      <c r="V11118" s="5"/>
    </row>
    <row r="11119">
      <c r="N11119" s="1"/>
      <c r="V11119" s="5"/>
    </row>
    <row r="11120">
      <c r="N11120" s="1"/>
      <c r="V11120" s="5"/>
    </row>
    <row r="11121">
      <c r="N11121" s="1"/>
      <c r="V11121" s="5"/>
    </row>
    <row r="11122">
      <c r="N11122" s="1"/>
      <c r="V11122" s="5"/>
    </row>
    <row r="11123">
      <c r="N11123" s="1"/>
      <c r="V11123" s="5"/>
    </row>
    <row r="11124">
      <c r="N11124" s="1"/>
      <c r="V11124" s="5"/>
    </row>
    <row r="11125">
      <c r="N11125" s="1"/>
      <c r="V11125" s="5"/>
    </row>
    <row r="11126">
      <c r="N11126" s="1"/>
      <c r="V11126" s="5"/>
    </row>
    <row r="11127">
      <c r="N11127" s="1"/>
      <c r="V11127" s="5"/>
    </row>
    <row r="11128">
      <c r="N11128" s="1"/>
      <c r="V11128" s="5"/>
    </row>
    <row r="11129">
      <c r="N11129" s="1"/>
      <c r="V11129" s="5"/>
    </row>
    <row r="11130">
      <c r="N11130" s="1"/>
      <c r="V11130" s="5"/>
    </row>
    <row r="11131">
      <c r="N11131" s="1"/>
      <c r="V11131" s="5"/>
    </row>
    <row r="11132">
      <c r="N11132" s="1"/>
      <c r="V11132" s="5"/>
    </row>
    <row r="11133">
      <c r="N11133" s="1"/>
      <c r="V11133" s="5"/>
    </row>
    <row r="11134">
      <c r="N11134" s="1"/>
      <c r="V11134" s="5"/>
    </row>
    <row r="11135">
      <c r="N11135" s="1"/>
      <c r="V11135" s="5"/>
    </row>
    <row r="11136">
      <c r="N11136" s="1"/>
      <c r="V11136" s="5"/>
    </row>
    <row r="11137">
      <c r="N11137" s="1"/>
      <c r="V11137" s="5"/>
    </row>
    <row r="11138">
      <c r="N11138" s="1"/>
      <c r="V11138" s="5"/>
    </row>
    <row r="11139">
      <c r="N11139" s="1"/>
      <c r="V11139" s="5"/>
    </row>
    <row r="11140">
      <c r="N11140" s="1"/>
      <c r="V11140" s="5"/>
    </row>
    <row r="11141">
      <c r="N11141" s="1"/>
      <c r="V11141" s="5"/>
    </row>
    <row r="11142">
      <c r="N11142" s="1"/>
      <c r="V11142" s="5"/>
    </row>
    <row r="11143">
      <c r="N11143" s="1"/>
      <c r="V11143" s="5"/>
    </row>
    <row r="11144">
      <c r="N11144" s="1"/>
      <c r="V11144" s="5"/>
    </row>
    <row r="11145">
      <c r="N11145" s="1"/>
      <c r="V11145" s="5"/>
    </row>
    <row r="11146">
      <c r="N11146" s="1"/>
      <c r="V11146" s="5"/>
    </row>
    <row r="11147">
      <c r="N11147" s="1"/>
      <c r="V11147" s="5"/>
    </row>
    <row r="11148">
      <c r="N11148" s="1"/>
      <c r="V11148" s="5"/>
    </row>
    <row r="11149">
      <c r="N11149" s="1"/>
      <c r="V11149" s="5"/>
    </row>
    <row r="11150">
      <c r="N11150" s="1"/>
      <c r="V11150" s="5"/>
    </row>
    <row r="11151">
      <c r="N11151" s="1"/>
      <c r="V11151" s="5"/>
    </row>
    <row r="11152">
      <c r="N11152" s="1"/>
      <c r="V11152" s="5"/>
    </row>
    <row r="11153">
      <c r="N11153" s="1"/>
      <c r="V11153" s="5"/>
    </row>
    <row r="11154">
      <c r="N11154" s="1"/>
      <c r="V11154" s="5"/>
    </row>
    <row r="11155">
      <c r="N11155" s="1"/>
      <c r="V11155" s="5"/>
    </row>
    <row r="11156">
      <c r="N11156" s="1"/>
      <c r="V11156" s="5"/>
    </row>
    <row r="11157">
      <c r="N11157" s="1"/>
      <c r="V11157" s="5"/>
    </row>
    <row r="11158">
      <c r="N11158" s="1"/>
      <c r="V11158" s="5"/>
    </row>
    <row r="11159">
      <c r="N11159" s="1"/>
      <c r="V11159" s="5"/>
    </row>
    <row r="11160">
      <c r="N11160" s="1"/>
      <c r="V11160" s="5"/>
    </row>
    <row r="11161">
      <c r="N11161" s="1"/>
      <c r="V11161" s="5"/>
    </row>
    <row r="11162">
      <c r="N11162" s="1"/>
      <c r="V11162" s="5"/>
    </row>
    <row r="11163">
      <c r="N11163" s="1"/>
      <c r="V11163" s="5"/>
    </row>
    <row r="11164">
      <c r="N11164" s="1"/>
      <c r="V11164" s="5"/>
    </row>
    <row r="11165">
      <c r="N11165" s="1"/>
      <c r="V11165" s="5"/>
    </row>
    <row r="11166">
      <c r="N11166" s="1"/>
      <c r="V11166" s="5"/>
    </row>
    <row r="11167">
      <c r="N11167" s="1"/>
      <c r="V11167" s="5"/>
    </row>
    <row r="11168">
      <c r="N11168" s="1"/>
      <c r="V11168" s="5"/>
    </row>
    <row r="11169">
      <c r="N11169" s="1"/>
      <c r="V11169" s="5"/>
    </row>
    <row r="11170">
      <c r="N11170" s="1"/>
      <c r="V11170" s="5"/>
    </row>
    <row r="11171">
      <c r="N11171" s="1"/>
      <c r="V11171" s="5"/>
    </row>
    <row r="11172">
      <c r="N11172" s="1"/>
      <c r="V11172" s="5"/>
    </row>
    <row r="11173">
      <c r="N11173" s="1"/>
      <c r="V11173" s="5"/>
    </row>
    <row r="11174">
      <c r="N11174" s="1"/>
      <c r="V11174" s="5"/>
    </row>
    <row r="11175">
      <c r="N11175" s="1"/>
      <c r="V11175" s="5"/>
    </row>
    <row r="11176">
      <c r="N11176" s="1"/>
      <c r="V11176" s="5"/>
    </row>
    <row r="11177">
      <c r="N11177" s="1"/>
      <c r="V11177" s="5"/>
    </row>
    <row r="11178">
      <c r="N11178" s="1"/>
      <c r="V11178" s="5"/>
    </row>
    <row r="11179">
      <c r="N11179" s="1"/>
      <c r="V11179" s="5"/>
    </row>
    <row r="11180">
      <c r="N11180" s="1"/>
      <c r="V11180" s="5"/>
    </row>
    <row r="11181">
      <c r="N11181" s="1"/>
      <c r="V11181" s="5"/>
    </row>
    <row r="11182">
      <c r="N11182" s="1"/>
      <c r="V11182" s="5"/>
    </row>
    <row r="11183">
      <c r="N11183" s="1"/>
      <c r="V11183" s="5"/>
    </row>
    <row r="11184">
      <c r="N11184" s="1"/>
      <c r="V11184" s="5"/>
    </row>
    <row r="11185">
      <c r="N11185" s="1"/>
      <c r="V11185" s="5"/>
    </row>
    <row r="11186">
      <c r="N11186" s="1"/>
      <c r="V11186" s="5"/>
    </row>
    <row r="11187">
      <c r="N11187" s="1"/>
      <c r="V11187" s="5"/>
    </row>
    <row r="11188">
      <c r="N11188" s="1"/>
      <c r="V11188" s="5"/>
    </row>
    <row r="11189">
      <c r="N11189" s="1"/>
      <c r="V11189" s="5"/>
    </row>
    <row r="11190">
      <c r="N11190" s="1"/>
      <c r="V11190" s="5"/>
    </row>
    <row r="11191">
      <c r="N11191" s="1"/>
      <c r="V11191" s="5"/>
    </row>
    <row r="11192">
      <c r="N11192" s="1"/>
      <c r="V11192" s="5"/>
    </row>
    <row r="11193">
      <c r="N11193" s="1"/>
      <c r="V11193" s="5"/>
    </row>
    <row r="11194">
      <c r="N11194" s="1"/>
      <c r="V11194" s="5"/>
    </row>
    <row r="11195">
      <c r="N11195" s="1"/>
      <c r="V11195" s="5"/>
    </row>
    <row r="11196">
      <c r="N11196" s="1"/>
      <c r="V11196" s="5"/>
    </row>
    <row r="11197">
      <c r="N11197" s="1"/>
      <c r="V11197" s="5"/>
    </row>
    <row r="11198">
      <c r="N11198" s="1"/>
      <c r="V11198" s="5"/>
    </row>
    <row r="11199">
      <c r="N11199" s="1"/>
      <c r="V11199" s="5"/>
    </row>
    <row r="11200">
      <c r="N11200" s="1"/>
      <c r="V11200" s="5"/>
    </row>
    <row r="11201">
      <c r="N11201" s="1"/>
      <c r="V11201" s="5"/>
    </row>
    <row r="11202">
      <c r="N11202" s="1"/>
      <c r="V11202" s="5"/>
    </row>
    <row r="11203">
      <c r="N11203" s="1"/>
      <c r="V11203" s="5"/>
    </row>
    <row r="11204">
      <c r="N11204" s="1"/>
      <c r="V11204" s="5"/>
    </row>
    <row r="11205">
      <c r="N11205" s="1"/>
      <c r="V11205" s="5"/>
    </row>
    <row r="11206">
      <c r="N11206" s="1"/>
      <c r="V11206" s="5"/>
    </row>
    <row r="11207">
      <c r="N11207" s="1"/>
      <c r="V11207" s="5"/>
    </row>
    <row r="11208">
      <c r="N11208" s="1"/>
      <c r="V11208" s="5"/>
    </row>
    <row r="11209">
      <c r="N11209" s="1"/>
      <c r="V11209" s="5"/>
    </row>
    <row r="11210">
      <c r="N11210" s="1"/>
      <c r="V11210" s="5"/>
    </row>
    <row r="11211">
      <c r="N11211" s="1"/>
      <c r="V11211" s="5"/>
    </row>
    <row r="11212">
      <c r="N11212" s="1"/>
      <c r="V11212" s="5"/>
    </row>
    <row r="11213">
      <c r="N11213" s="1"/>
      <c r="V11213" s="5"/>
    </row>
    <row r="11214">
      <c r="N11214" s="1"/>
      <c r="V11214" s="5"/>
    </row>
    <row r="11215">
      <c r="N11215" s="1"/>
      <c r="V11215" s="5"/>
    </row>
    <row r="11216">
      <c r="N11216" s="1"/>
      <c r="V11216" s="5"/>
    </row>
    <row r="11217">
      <c r="N11217" s="1"/>
      <c r="V11217" s="5"/>
    </row>
    <row r="11218">
      <c r="N11218" s="1"/>
      <c r="V11218" s="5"/>
    </row>
    <row r="11219">
      <c r="N11219" s="1"/>
      <c r="V11219" s="5"/>
    </row>
    <row r="11220">
      <c r="N11220" s="1"/>
      <c r="V11220" s="5"/>
    </row>
    <row r="11221">
      <c r="N11221" s="1"/>
      <c r="V11221" s="5"/>
    </row>
    <row r="11222">
      <c r="N11222" s="1"/>
      <c r="V11222" s="5"/>
    </row>
    <row r="11223">
      <c r="N11223" s="1"/>
      <c r="V11223" s="5"/>
    </row>
    <row r="11224">
      <c r="N11224" s="1"/>
      <c r="V11224" s="5"/>
    </row>
    <row r="11225">
      <c r="N11225" s="1"/>
      <c r="V11225" s="5"/>
    </row>
    <row r="11226">
      <c r="N11226" s="1"/>
      <c r="V11226" s="5"/>
    </row>
    <row r="11227">
      <c r="N11227" s="1"/>
      <c r="V11227" s="5"/>
    </row>
    <row r="11228">
      <c r="N11228" s="1"/>
      <c r="V11228" s="5"/>
    </row>
    <row r="11229">
      <c r="N11229" s="1"/>
      <c r="V11229" s="5"/>
    </row>
    <row r="11230">
      <c r="N11230" s="1"/>
      <c r="V11230" s="5"/>
    </row>
    <row r="11231">
      <c r="N11231" s="1"/>
      <c r="V11231" s="5"/>
    </row>
    <row r="11232">
      <c r="N11232" s="1"/>
      <c r="V11232" s="5"/>
    </row>
    <row r="11233">
      <c r="N11233" s="1"/>
      <c r="V11233" s="5"/>
    </row>
    <row r="11234">
      <c r="N11234" s="1"/>
      <c r="V11234" s="5"/>
    </row>
    <row r="11235">
      <c r="N11235" s="1"/>
      <c r="V11235" s="5"/>
    </row>
    <row r="11236">
      <c r="N11236" s="1"/>
      <c r="V11236" s="5"/>
    </row>
    <row r="11237">
      <c r="N11237" s="1"/>
      <c r="V11237" s="5"/>
    </row>
    <row r="11238">
      <c r="N11238" s="1"/>
      <c r="V11238" s="5"/>
    </row>
    <row r="11239">
      <c r="N11239" s="1"/>
      <c r="V11239" s="5"/>
    </row>
    <row r="11240">
      <c r="N11240" s="1"/>
      <c r="V11240" s="5"/>
    </row>
    <row r="11241">
      <c r="N11241" s="1"/>
      <c r="V11241" s="5"/>
    </row>
    <row r="11242">
      <c r="N11242" s="1"/>
      <c r="V11242" s="5"/>
    </row>
    <row r="11243">
      <c r="N11243" s="1"/>
      <c r="V11243" s="5"/>
    </row>
    <row r="11244">
      <c r="N11244" s="1"/>
      <c r="V11244" s="5"/>
    </row>
    <row r="11245">
      <c r="N11245" s="1"/>
      <c r="V11245" s="5"/>
    </row>
    <row r="11246">
      <c r="N11246" s="1"/>
      <c r="V11246" s="5"/>
    </row>
    <row r="11247">
      <c r="N11247" s="1"/>
      <c r="V11247" s="5"/>
    </row>
    <row r="11248">
      <c r="N11248" s="1"/>
      <c r="V11248" s="5"/>
    </row>
    <row r="11249">
      <c r="N11249" s="1"/>
      <c r="V11249" s="5"/>
    </row>
    <row r="11250">
      <c r="N11250" s="1"/>
      <c r="V11250" s="5"/>
    </row>
    <row r="11251">
      <c r="N11251" s="1"/>
      <c r="V11251" s="5"/>
    </row>
    <row r="11252">
      <c r="N11252" s="1"/>
      <c r="V11252" s="5"/>
    </row>
    <row r="11253">
      <c r="N11253" s="1"/>
      <c r="V11253" s="5"/>
    </row>
    <row r="11254">
      <c r="N11254" s="1"/>
      <c r="V11254" s="5"/>
    </row>
    <row r="11255">
      <c r="N11255" s="1"/>
      <c r="V11255" s="5"/>
    </row>
    <row r="11256">
      <c r="N11256" s="1"/>
      <c r="V11256" s="5"/>
    </row>
    <row r="11257">
      <c r="N11257" s="1"/>
      <c r="V11257" s="5"/>
    </row>
    <row r="11258">
      <c r="N11258" s="1"/>
      <c r="V11258" s="5"/>
    </row>
    <row r="11259">
      <c r="N11259" s="1"/>
      <c r="V11259" s="5"/>
    </row>
    <row r="11260">
      <c r="N11260" s="1"/>
      <c r="V11260" s="5"/>
    </row>
    <row r="11261">
      <c r="N11261" s="1"/>
      <c r="V11261" s="5"/>
    </row>
    <row r="11262">
      <c r="N11262" s="1"/>
      <c r="V11262" s="5"/>
    </row>
    <row r="11263">
      <c r="N11263" s="1"/>
      <c r="V11263" s="5"/>
    </row>
    <row r="11264">
      <c r="N11264" s="1"/>
      <c r="V11264" s="5"/>
    </row>
    <row r="11265">
      <c r="N11265" s="1"/>
      <c r="V11265" s="5"/>
    </row>
    <row r="11266">
      <c r="N11266" s="1"/>
      <c r="V11266" s="5"/>
    </row>
    <row r="11267">
      <c r="N11267" s="1"/>
      <c r="V11267" s="5"/>
    </row>
    <row r="11268">
      <c r="N11268" s="1"/>
      <c r="V11268" s="5"/>
    </row>
    <row r="11269">
      <c r="N11269" s="1"/>
      <c r="V11269" s="5"/>
    </row>
    <row r="11270">
      <c r="N11270" s="1"/>
      <c r="V11270" s="5"/>
    </row>
    <row r="11271">
      <c r="N11271" s="1"/>
      <c r="V11271" s="5"/>
    </row>
    <row r="11272">
      <c r="N11272" s="1"/>
      <c r="V11272" s="5"/>
    </row>
    <row r="11273">
      <c r="N11273" s="1"/>
      <c r="V11273" s="5"/>
    </row>
    <row r="11274">
      <c r="N11274" s="1"/>
      <c r="V11274" s="5"/>
    </row>
    <row r="11275">
      <c r="N11275" s="1"/>
      <c r="V11275" s="5"/>
    </row>
    <row r="11276">
      <c r="N11276" s="1"/>
      <c r="V11276" s="5"/>
    </row>
    <row r="11277">
      <c r="N11277" s="1"/>
      <c r="V11277" s="5"/>
    </row>
    <row r="11278">
      <c r="N11278" s="1"/>
      <c r="V11278" s="5"/>
    </row>
    <row r="11279">
      <c r="N11279" s="1"/>
      <c r="V11279" s="5"/>
    </row>
    <row r="11280">
      <c r="N11280" s="1"/>
      <c r="V11280" s="5"/>
    </row>
    <row r="11281">
      <c r="N11281" s="1"/>
      <c r="V11281" s="5"/>
    </row>
    <row r="11282">
      <c r="N11282" s="1"/>
      <c r="V11282" s="5"/>
    </row>
    <row r="11283">
      <c r="N11283" s="1"/>
      <c r="V11283" s="5"/>
    </row>
    <row r="11284">
      <c r="N11284" s="1"/>
      <c r="V11284" s="5"/>
    </row>
    <row r="11285">
      <c r="N11285" s="1"/>
      <c r="V11285" s="5"/>
    </row>
    <row r="11286">
      <c r="N11286" s="1"/>
      <c r="V11286" s="5"/>
    </row>
    <row r="11287">
      <c r="N11287" s="1"/>
      <c r="V11287" s="5"/>
    </row>
    <row r="11288">
      <c r="N11288" s="1"/>
      <c r="V11288" s="5"/>
    </row>
    <row r="11289">
      <c r="N11289" s="1"/>
      <c r="V11289" s="5"/>
    </row>
    <row r="11290">
      <c r="N11290" s="1"/>
      <c r="V11290" s="5"/>
    </row>
    <row r="11291">
      <c r="N11291" s="1"/>
      <c r="V11291" s="5"/>
    </row>
    <row r="11292">
      <c r="N11292" s="1"/>
      <c r="V11292" s="5"/>
    </row>
    <row r="11293">
      <c r="N11293" s="1"/>
      <c r="V11293" s="5"/>
    </row>
    <row r="11294">
      <c r="N11294" s="1"/>
      <c r="V11294" s="5"/>
    </row>
    <row r="11295">
      <c r="N11295" s="1"/>
      <c r="V11295" s="5"/>
    </row>
    <row r="11296">
      <c r="N11296" s="1"/>
      <c r="V11296" s="5"/>
    </row>
    <row r="11297">
      <c r="N11297" s="1"/>
      <c r="V11297" s="5"/>
    </row>
    <row r="11298">
      <c r="N11298" s="1"/>
      <c r="V11298" s="5"/>
    </row>
    <row r="11299">
      <c r="N11299" s="1"/>
      <c r="V11299" s="5"/>
    </row>
    <row r="11300">
      <c r="N11300" s="1"/>
      <c r="V11300" s="5"/>
    </row>
    <row r="11301">
      <c r="N11301" s="1"/>
      <c r="V11301" s="5"/>
    </row>
    <row r="11302">
      <c r="N11302" s="1"/>
      <c r="V11302" s="5"/>
    </row>
    <row r="11303">
      <c r="N11303" s="1"/>
      <c r="V11303" s="5"/>
    </row>
    <row r="11304">
      <c r="N11304" s="1"/>
      <c r="V11304" s="5"/>
    </row>
    <row r="11305">
      <c r="N11305" s="1"/>
      <c r="V11305" s="5"/>
    </row>
    <row r="11306">
      <c r="N11306" s="1"/>
      <c r="V11306" s="5"/>
    </row>
    <row r="11307">
      <c r="N11307" s="1"/>
      <c r="V11307" s="5"/>
    </row>
    <row r="11308">
      <c r="N11308" s="1"/>
      <c r="V11308" s="5"/>
    </row>
    <row r="11309">
      <c r="N11309" s="1"/>
      <c r="V11309" s="5"/>
    </row>
    <row r="11310">
      <c r="N11310" s="1"/>
      <c r="V11310" s="5"/>
    </row>
    <row r="11311">
      <c r="N11311" s="1"/>
      <c r="V11311" s="5"/>
    </row>
    <row r="11312">
      <c r="N11312" s="1"/>
      <c r="V11312" s="5"/>
    </row>
    <row r="11313">
      <c r="N11313" s="1"/>
      <c r="V11313" s="5"/>
    </row>
    <row r="11314">
      <c r="N11314" s="1"/>
      <c r="V11314" s="5"/>
    </row>
    <row r="11315">
      <c r="N11315" s="1"/>
      <c r="V11315" s="5"/>
    </row>
    <row r="11316">
      <c r="N11316" s="1"/>
      <c r="V11316" s="5"/>
    </row>
    <row r="11317">
      <c r="N11317" s="1"/>
      <c r="V11317" s="5"/>
    </row>
    <row r="11318">
      <c r="N11318" s="1"/>
      <c r="V11318" s="5"/>
    </row>
    <row r="11319">
      <c r="N11319" s="1"/>
      <c r="V11319" s="5"/>
    </row>
    <row r="11320">
      <c r="N11320" s="1"/>
      <c r="V11320" s="5"/>
    </row>
    <row r="11321">
      <c r="N11321" s="1"/>
      <c r="V11321" s="5"/>
    </row>
    <row r="11322">
      <c r="N11322" s="1"/>
      <c r="V11322" s="5"/>
    </row>
    <row r="11323">
      <c r="N11323" s="1"/>
      <c r="V11323" s="5"/>
    </row>
    <row r="11324">
      <c r="N11324" s="1"/>
      <c r="V11324" s="5"/>
    </row>
    <row r="11325">
      <c r="N11325" s="1"/>
      <c r="V11325" s="5"/>
    </row>
    <row r="11326">
      <c r="N11326" s="1"/>
      <c r="V11326" s="5"/>
    </row>
    <row r="11327">
      <c r="N11327" s="1"/>
      <c r="V11327" s="5"/>
    </row>
    <row r="11328">
      <c r="N11328" s="1"/>
      <c r="V11328" s="5"/>
    </row>
    <row r="11329">
      <c r="N11329" s="1"/>
      <c r="V11329" s="5"/>
    </row>
    <row r="11330">
      <c r="N11330" s="1"/>
      <c r="V11330" s="5"/>
    </row>
    <row r="11331">
      <c r="N11331" s="1"/>
      <c r="V11331" s="5"/>
    </row>
    <row r="11332">
      <c r="N11332" s="1"/>
      <c r="V11332" s="5"/>
    </row>
    <row r="11333">
      <c r="N11333" s="1"/>
      <c r="V11333" s="5"/>
    </row>
    <row r="11334">
      <c r="N11334" s="1"/>
      <c r="V11334" s="5"/>
    </row>
    <row r="11335">
      <c r="N11335" s="1"/>
      <c r="V11335" s="5"/>
    </row>
    <row r="11336">
      <c r="N11336" s="1"/>
      <c r="V11336" s="5"/>
    </row>
    <row r="11337">
      <c r="N11337" s="1"/>
      <c r="V11337" s="5"/>
    </row>
    <row r="11338">
      <c r="N11338" s="1"/>
      <c r="V11338" s="5"/>
    </row>
    <row r="11339">
      <c r="N11339" s="1"/>
      <c r="V11339" s="5"/>
    </row>
    <row r="11340">
      <c r="N11340" s="1"/>
      <c r="V11340" s="5"/>
    </row>
    <row r="11341">
      <c r="N11341" s="1"/>
      <c r="V11341" s="5"/>
    </row>
    <row r="11342">
      <c r="N11342" s="1"/>
      <c r="V11342" s="5"/>
    </row>
    <row r="11343">
      <c r="N11343" s="1"/>
      <c r="V11343" s="5"/>
    </row>
    <row r="11344">
      <c r="N11344" s="1"/>
      <c r="V11344" s="5"/>
    </row>
    <row r="11345">
      <c r="N11345" s="1"/>
      <c r="V11345" s="5"/>
    </row>
    <row r="11346">
      <c r="N11346" s="1"/>
      <c r="V11346" s="5"/>
    </row>
    <row r="11347">
      <c r="N11347" s="1"/>
      <c r="V11347" s="5"/>
    </row>
    <row r="11348">
      <c r="N11348" s="1"/>
      <c r="V11348" s="5"/>
    </row>
    <row r="11349">
      <c r="N11349" s="1"/>
      <c r="V11349" s="5"/>
    </row>
    <row r="11350">
      <c r="N11350" s="1"/>
      <c r="V11350" s="5"/>
    </row>
    <row r="11351">
      <c r="N11351" s="1"/>
      <c r="V11351" s="5"/>
    </row>
    <row r="11352">
      <c r="N11352" s="1"/>
      <c r="V11352" s="5"/>
    </row>
    <row r="11353">
      <c r="N11353" s="1"/>
      <c r="V11353" s="5"/>
    </row>
    <row r="11354">
      <c r="N11354" s="1"/>
      <c r="V11354" s="5"/>
    </row>
    <row r="11355">
      <c r="N11355" s="1"/>
      <c r="V11355" s="5"/>
    </row>
    <row r="11356">
      <c r="N11356" s="1"/>
      <c r="V11356" s="5"/>
    </row>
    <row r="11357">
      <c r="N11357" s="1"/>
      <c r="V11357" s="5"/>
    </row>
    <row r="11358">
      <c r="N11358" s="1"/>
      <c r="V11358" s="5"/>
    </row>
    <row r="11359">
      <c r="N11359" s="1"/>
      <c r="V11359" s="5"/>
    </row>
    <row r="11360">
      <c r="N11360" s="1"/>
      <c r="V11360" s="5"/>
    </row>
    <row r="11361">
      <c r="N11361" s="1"/>
      <c r="V11361" s="5"/>
    </row>
    <row r="11362">
      <c r="N11362" s="1"/>
      <c r="V11362" s="5"/>
    </row>
    <row r="11363">
      <c r="N11363" s="1"/>
      <c r="V11363" s="5"/>
    </row>
    <row r="11364">
      <c r="N11364" s="1"/>
      <c r="V11364" s="5"/>
    </row>
    <row r="11365">
      <c r="N11365" s="1"/>
      <c r="V11365" s="5"/>
    </row>
    <row r="11366">
      <c r="N11366" s="1"/>
      <c r="V11366" s="5"/>
    </row>
    <row r="11367">
      <c r="N11367" s="1"/>
      <c r="V11367" s="5"/>
    </row>
    <row r="11368">
      <c r="N11368" s="1"/>
      <c r="V11368" s="5"/>
    </row>
    <row r="11369">
      <c r="N11369" s="1"/>
      <c r="V11369" s="5"/>
    </row>
    <row r="11370">
      <c r="N11370" s="1"/>
      <c r="V11370" s="5"/>
    </row>
    <row r="11371">
      <c r="N11371" s="1"/>
      <c r="V11371" s="5"/>
    </row>
    <row r="11372">
      <c r="N11372" s="1"/>
      <c r="V11372" s="5"/>
    </row>
    <row r="11373">
      <c r="N11373" s="1"/>
      <c r="V11373" s="5"/>
    </row>
    <row r="11374">
      <c r="N11374" s="1"/>
      <c r="V11374" s="5"/>
    </row>
    <row r="11375">
      <c r="N11375" s="1"/>
      <c r="V11375" s="5"/>
    </row>
    <row r="11376">
      <c r="N11376" s="1"/>
      <c r="V11376" s="5"/>
    </row>
    <row r="11377">
      <c r="N11377" s="1"/>
      <c r="V11377" s="5"/>
    </row>
    <row r="11378">
      <c r="N11378" s="1"/>
      <c r="V11378" s="5"/>
    </row>
    <row r="11379">
      <c r="N11379" s="1"/>
      <c r="V11379" s="5"/>
    </row>
    <row r="11380">
      <c r="N11380" s="1"/>
      <c r="V11380" s="5"/>
    </row>
    <row r="11381">
      <c r="N11381" s="1"/>
      <c r="V11381" s="5"/>
    </row>
    <row r="11382">
      <c r="N11382" s="1"/>
      <c r="V11382" s="5"/>
    </row>
    <row r="11383">
      <c r="N11383" s="1"/>
      <c r="V11383" s="5"/>
    </row>
    <row r="11384">
      <c r="N11384" s="1"/>
      <c r="V11384" s="5"/>
    </row>
    <row r="11385">
      <c r="N11385" s="1"/>
      <c r="V11385" s="5"/>
    </row>
    <row r="11386">
      <c r="N11386" s="1"/>
      <c r="V11386" s="5"/>
    </row>
    <row r="11387">
      <c r="N11387" s="1"/>
      <c r="V11387" s="5"/>
    </row>
    <row r="11388">
      <c r="N11388" s="1"/>
      <c r="V11388" s="5"/>
    </row>
    <row r="11389">
      <c r="N11389" s="1"/>
      <c r="V11389" s="5"/>
    </row>
    <row r="11390">
      <c r="N11390" s="1"/>
      <c r="V11390" s="5"/>
    </row>
    <row r="11391">
      <c r="N11391" s="1"/>
      <c r="V11391" s="5"/>
    </row>
    <row r="11392">
      <c r="N11392" s="1"/>
      <c r="V11392" s="5"/>
    </row>
    <row r="11393">
      <c r="N11393" s="1"/>
      <c r="V11393" s="5"/>
    </row>
    <row r="11394">
      <c r="N11394" s="1"/>
      <c r="V11394" s="5"/>
    </row>
    <row r="11395">
      <c r="N11395" s="1"/>
      <c r="V11395" s="5"/>
    </row>
    <row r="11396">
      <c r="N11396" s="1"/>
      <c r="V11396" s="5"/>
    </row>
    <row r="11397">
      <c r="N11397" s="1"/>
      <c r="V11397" s="5"/>
    </row>
    <row r="11398">
      <c r="N11398" s="1"/>
      <c r="V11398" s="5"/>
    </row>
    <row r="11399">
      <c r="N11399" s="1"/>
      <c r="V11399" s="5"/>
    </row>
    <row r="11400">
      <c r="N11400" s="1"/>
      <c r="V11400" s="5"/>
    </row>
    <row r="11401">
      <c r="N11401" s="1"/>
      <c r="V11401" s="5"/>
    </row>
    <row r="11402">
      <c r="N11402" s="1"/>
      <c r="V11402" s="5"/>
    </row>
    <row r="11403">
      <c r="N11403" s="1"/>
      <c r="V11403" s="5"/>
    </row>
    <row r="11404">
      <c r="N11404" s="1"/>
      <c r="V11404" s="5"/>
    </row>
    <row r="11405">
      <c r="N11405" s="1"/>
      <c r="V11405" s="5"/>
    </row>
    <row r="11406">
      <c r="N11406" s="1"/>
      <c r="V11406" s="5"/>
    </row>
    <row r="11407">
      <c r="N11407" s="1"/>
      <c r="V11407" s="5"/>
    </row>
    <row r="11408">
      <c r="N11408" s="1"/>
      <c r="V11408" s="5"/>
    </row>
    <row r="11409">
      <c r="N11409" s="1"/>
      <c r="V11409" s="5"/>
    </row>
    <row r="11410">
      <c r="N11410" s="1"/>
      <c r="V11410" s="5"/>
    </row>
    <row r="11411">
      <c r="N11411" s="1"/>
      <c r="V11411" s="5"/>
    </row>
    <row r="11412">
      <c r="N11412" s="1"/>
      <c r="V11412" s="5"/>
    </row>
    <row r="11413">
      <c r="N11413" s="1"/>
      <c r="V11413" s="5"/>
    </row>
    <row r="11414">
      <c r="N11414" s="1"/>
      <c r="V11414" s="5"/>
    </row>
    <row r="11415">
      <c r="N11415" s="1"/>
      <c r="V11415" s="5"/>
    </row>
    <row r="11416">
      <c r="N11416" s="1"/>
      <c r="V11416" s="5"/>
    </row>
    <row r="11417">
      <c r="N11417" s="1"/>
      <c r="V11417" s="5"/>
    </row>
    <row r="11418">
      <c r="N11418" s="1"/>
      <c r="V11418" s="5"/>
    </row>
    <row r="11419">
      <c r="N11419" s="1"/>
      <c r="V11419" s="5"/>
    </row>
    <row r="11420">
      <c r="N11420" s="1"/>
      <c r="V11420" s="5"/>
    </row>
    <row r="11421">
      <c r="N11421" s="1"/>
      <c r="V11421" s="5"/>
    </row>
    <row r="11422">
      <c r="N11422" s="1"/>
      <c r="V11422" s="5"/>
    </row>
    <row r="11423">
      <c r="N11423" s="1"/>
      <c r="V11423" s="5"/>
    </row>
    <row r="11424">
      <c r="N11424" s="1"/>
      <c r="V11424" s="5"/>
    </row>
    <row r="11425">
      <c r="N11425" s="1"/>
      <c r="V11425" s="5"/>
    </row>
    <row r="11426">
      <c r="N11426" s="1"/>
      <c r="V11426" s="5"/>
    </row>
    <row r="11427">
      <c r="N11427" s="1"/>
      <c r="V11427" s="5"/>
    </row>
    <row r="11428">
      <c r="N11428" s="1"/>
      <c r="V11428" s="5"/>
    </row>
    <row r="11429">
      <c r="N11429" s="1"/>
      <c r="V11429" s="5"/>
    </row>
    <row r="11430">
      <c r="N11430" s="1"/>
      <c r="V11430" s="5"/>
    </row>
    <row r="11431">
      <c r="N11431" s="1"/>
      <c r="V11431" s="5"/>
    </row>
    <row r="11432">
      <c r="N11432" s="1"/>
      <c r="V11432" s="5"/>
    </row>
    <row r="11433">
      <c r="N11433" s="1"/>
      <c r="V11433" s="5"/>
    </row>
    <row r="11434">
      <c r="N11434" s="1"/>
      <c r="V11434" s="5"/>
    </row>
    <row r="11435">
      <c r="N11435" s="1"/>
      <c r="V11435" s="5"/>
    </row>
    <row r="11436">
      <c r="N11436" s="1"/>
      <c r="V11436" s="5"/>
    </row>
    <row r="11437">
      <c r="N11437" s="1"/>
      <c r="V11437" s="5"/>
    </row>
    <row r="11438">
      <c r="N11438" s="1"/>
      <c r="V11438" s="5"/>
    </row>
    <row r="11439">
      <c r="N11439" s="1"/>
      <c r="V11439" s="5"/>
    </row>
    <row r="11440">
      <c r="N11440" s="1"/>
      <c r="V11440" s="5"/>
    </row>
    <row r="11441">
      <c r="N11441" s="1"/>
      <c r="V11441" s="5"/>
    </row>
    <row r="11442">
      <c r="N11442" s="1"/>
      <c r="V11442" s="5"/>
    </row>
    <row r="11443">
      <c r="N11443" s="1"/>
      <c r="V11443" s="5"/>
    </row>
    <row r="11444">
      <c r="N11444" s="1"/>
      <c r="V11444" s="5"/>
    </row>
    <row r="11445">
      <c r="N11445" s="1"/>
      <c r="V11445" s="5"/>
    </row>
    <row r="11446">
      <c r="N11446" s="1"/>
      <c r="V11446" s="5"/>
    </row>
    <row r="11447">
      <c r="N11447" s="1"/>
      <c r="V11447" s="5"/>
    </row>
    <row r="11448">
      <c r="N11448" s="1"/>
      <c r="V11448" s="5"/>
    </row>
    <row r="11449">
      <c r="N11449" s="1"/>
      <c r="V11449" s="5"/>
    </row>
    <row r="11450">
      <c r="N11450" s="1"/>
      <c r="V11450" s="5"/>
    </row>
    <row r="11451">
      <c r="N11451" s="1"/>
      <c r="V11451" s="5"/>
    </row>
    <row r="11452">
      <c r="N11452" s="1"/>
      <c r="V11452" s="5"/>
    </row>
    <row r="11453">
      <c r="N11453" s="1"/>
      <c r="V11453" s="5"/>
    </row>
    <row r="11454">
      <c r="N11454" s="1"/>
      <c r="V11454" s="5"/>
    </row>
    <row r="11455">
      <c r="N11455" s="1"/>
      <c r="V11455" s="5"/>
    </row>
    <row r="11456">
      <c r="N11456" s="1"/>
      <c r="V11456" s="5"/>
    </row>
    <row r="11457">
      <c r="N11457" s="1"/>
      <c r="V11457" s="5"/>
    </row>
    <row r="11458">
      <c r="N11458" s="1"/>
      <c r="V11458" s="5"/>
    </row>
    <row r="11459">
      <c r="N11459" s="1"/>
      <c r="V11459" s="5"/>
    </row>
    <row r="11460">
      <c r="N11460" s="1"/>
      <c r="V11460" s="5"/>
    </row>
    <row r="11461">
      <c r="N11461" s="1"/>
      <c r="V11461" s="5"/>
    </row>
    <row r="11462">
      <c r="N11462" s="1"/>
      <c r="V11462" s="5"/>
    </row>
    <row r="11463">
      <c r="N11463" s="1"/>
      <c r="V11463" s="5"/>
    </row>
    <row r="11464">
      <c r="N11464" s="1"/>
      <c r="V11464" s="5"/>
    </row>
    <row r="11465">
      <c r="N11465" s="1"/>
      <c r="V11465" s="5"/>
    </row>
    <row r="11466">
      <c r="N11466" s="1"/>
      <c r="V11466" s="5"/>
    </row>
    <row r="11467">
      <c r="N11467" s="1"/>
      <c r="V11467" s="5"/>
    </row>
    <row r="11468">
      <c r="N11468" s="1"/>
      <c r="V11468" s="5"/>
    </row>
    <row r="11469">
      <c r="N11469" s="1"/>
      <c r="V11469" s="5"/>
    </row>
    <row r="11470">
      <c r="N11470" s="1"/>
      <c r="V11470" s="5"/>
    </row>
    <row r="11471">
      <c r="N11471" s="1"/>
      <c r="V11471" s="5"/>
    </row>
    <row r="11472">
      <c r="N11472" s="1"/>
      <c r="V11472" s="5"/>
    </row>
    <row r="11473">
      <c r="N11473" s="1"/>
      <c r="V11473" s="5"/>
    </row>
    <row r="11474">
      <c r="N11474" s="1"/>
      <c r="V11474" s="5"/>
    </row>
    <row r="11475">
      <c r="N11475" s="1"/>
      <c r="V11475" s="5"/>
    </row>
    <row r="11476">
      <c r="N11476" s="1"/>
      <c r="V11476" s="5"/>
    </row>
    <row r="11477">
      <c r="N11477" s="1"/>
      <c r="V11477" s="5"/>
    </row>
    <row r="11478">
      <c r="N11478" s="1"/>
      <c r="V11478" s="5"/>
    </row>
    <row r="11479">
      <c r="N11479" s="1"/>
      <c r="V11479" s="5"/>
    </row>
    <row r="11480">
      <c r="N11480" s="1"/>
      <c r="V11480" s="5"/>
    </row>
    <row r="11481">
      <c r="N11481" s="1"/>
      <c r="V11481" s="5"/>
    </row>
    <row r="11482">
      <c r="N11482" s="1"/>
      <c r="V11482" s="5"/>
    </row>
    <row r="11483">
      <c r="N11483" s="1"/>
      <c r="V11483" s="5"/>
    </row>
    <row r="11484">
      <c r="N11484" s="1"/>
      <c r="V11484" s="5"/>
    </row>
    <row r="11485">
      <c r="N11485" s="1"/>
      <c r="V11485" s="5"/>
    </row>
    <row r="11486">
      <c r="N11486" s="1"/>
      <c r="V11486" s="5"/>
    </row>
    <row r="11487">
      <c r="N11487" s="1"/>
      <c r="V11487" s="5"/>
    </row>
    <row r="11488">
      <c r="N11488" s="1"/>
      <c r="V11488" s="5"/>
    </row>
    <row r="11489">
      <c r="N11489" s="1"/>
      <c r="V11489" s="5"/>
    </row>
    <row r="11490">
      <c r="N11490" s="1"/>
      <c r="V11490" s="5"/>
    </row>
    <row r="11491">
      <c r="N11491" s="1"/>
      <c r="V11491" s="5"/>
    </row>
    <row r="11492">
      <c r="N11492" s="1"/>
      <c r="V11492" s="5"/>
    </row>
    <row r="11493">
      <c r="N11493" s="1"/>
      <c r="V11493" s="5"/>
    </row>
    <row r="11494">
      <c r="N11494" s="1"/>
      <c r="V11494" s="5"/>
    </row>
    <row r="11495">
      <c r="N11495" s="1"/>
      <c r="V11495" s="5"/>
    </row>
    <row r="11496">
      <c r="N11496" s="1"/>
      <c r="V11496" s="5"/>
    </row>
    <row r="11497">
      <c r="N11497" s="1"/>
      <c r="V11497" s="5"/>
    </row>
    <row r="11498">
      <c r="N11498" s="1"/>
      <c r="V11498" s="5"/>
    </row>
    <row r="11499">
      <c r="N11499" s="1"/>
      <c r="V11499" s="5"/>
    </row>
    <row r="11500">
      <c r="N11500" s="1"/>
      <c r="V11500" s="5"/>
    </row>
    <row r="11501">
      <c r="N11501" s="1"/>
      <c r="V11501" s="5"/>
    </row>
    <row r="11502">
      <c r="N11502" s="1"/>
      <c r="V11502" s="5"/>
    </row>
    <row r="11503">
      <c r="N11503" s="1"/>
      <c r="V11503" s="5"/>
    </row>
    <row r="11504">
      <c r="N11504" s="1"/>
      <c r="V11504" s="5"/>
    </row>
    <row r="11505">
      <c r="N11505" s="1"/>
      <c r="V11505" s="5"/>
    </row>
    <row r="11506">
      <c r="N11506" s="1"/>
      <c r="V11506" s="5"/>
    </row>
    <row r="11507">
      <c r="N11507" s="1"/>
      <c r="V11507" s="5"/>
    </row>
    <row r="11508">
      <c r="N11508" s="1"/>
      <c r="V11508" s="5"/>
    </row>
    <row r="11509">
      <c r="N11509" s="1"/>
      <c r="V11509" s="5"/>
    </row>
    <row r="11510">
      <c r="N11510" s="1"/>
      <c r="V11510" s="5"/>
    </row>
    <row r="11511">
      <c r="N11511" s="1"/>
      <c r="V11511" s="5"/>
    </row>
    <row r="11512">
      <c r="N11512" s="1"/>
      <c r="V11512" s="5"/>
    </row>
    <row r="11513">
      <c r="N11513" s="1"/>
      <c r="V11513" s="5"/>
    </row>
    <row r="11514">
      <c r="N11514" s="1"/>
      <c r="V11514" s="5"/>
    </row>
    <row r="11515">
      <c r="N11515" s="1"/>
      <c r="V11515" s="5"/>
    </row>
    <row r="11516">
      <c r="N11516" s="1"/>
      <c r="V11516" s="5"/>
    </row>
    <row r="11517">
      <c r="N11517" s="1"/>
      <c r="V11517" s="5"/>
    </row>
    <row r="11518">
      <c r="N11518" s="1"/>
      <c r="V11518" s="5"/>
    </row>
    <row r="11519">
      <c r="N11519" s="1"/>
      <c r="V11519" s="5"/>
    </row>
    <row r="11520">
      <c r="N11520" s="1"/>
      <c r="V11520" s="5"/>
    </row>
    <row r="11521">
      <c r="N11521" s="1"/>
      <c r="V11521" s="5"/>
    </row>
    <row r="11522">
      <c r="N11522" s="1"/>
      <c r="V11522" s="5"/>
    </row>
    <row r="11523">
      <c r="N11523" s="1"/>
      <c r="V11523" s="5"/>
    </row>
    <row r="11524">
      <c r="N11524" s="1"/>
      <c r="V11524" s="5"/>
    </row>
    <row r="11525">
      <c r="N11525" s="1"/>
      <c r="V11525" s="5"/>
    </row>
    <row r="11526">
      <c r="N11526" s="1"/>
      <c r="V11526" s="5"/>
    </row>
    <row r="11527">
      <c r="N11527" s="1"/>
      <c r="V11527" s="5"/>
    </row>
    <row r="11528">
      <c r="N11528" s="1"/>
      <c r="V11528" s="5"/>
    </row>
    <row r="11529">
      <c r="N11529" s="1"/>
      <c r="V11529" s="5"/>
    </row>
    <row r="11530">
      <c r="N11530" s="1"/>
      <c r="V11530" s="5"/>
    </row>
    <row r="11531">
      <c r="N11531" s="1"/>
      <c r="V11531" s="5"/>
    </row>
    <row r="11532">
      <c r="N11532" s="1"/>
      <c r="V11532" s="5"/>
    </row>
    <row r="11533">
      <c r="N11533" s="1"/>
      <c r="V11533" s="5"/>
    </row>
    <row r="11534">
      <c r="N11534" s="1"/>
      <c r="V11534" s="5"/>
    </row>
    <row r="11535">
      <c r="N11535" s="1"/>
      <c r="V11535" s="5"/>
    </row>
    <row r="11536">
      <c r="N11536" s="1"/>
      <c r="V11536" s="5"/>
    </row>
    <row r="11537">
      <c r="N11537" s="1"/>
      <c r="V11537" s="5"/>
    </row>
    <row r="11538">
      <c r="N11538" s="1"/>
      <c r="V11538" s="5"/>
    </row>
    <row r="11539">
      <c r="N11539" s="1"/>
      <c r="V11539" s="5"/>
    </row>
    <row r="11540">
      <c r="N11540" s="1"/>
      <c r="V11540" s="5"/>
    </row>
    <row r="11541">
      <c r="N11541" s="1"/>
      <c r="V11541" s="5"/>
    </row>
    <row r="11542">
      <c r="N11542" s="1"/>
      <c r="V11542" s="5"/>
    </row>
    <row r="11543">
      <c r="N11543" s="1"/>
      <c r="V11543" s="5"/>
    </row>
    <row r="11544">
      <c r="N11544" s="1"/>
      <c r="V11544" s="5"/>
    </row>
    <row r="11545">
      <c r="N11545" s="1"/>
      <c r="V11545" s="5"/>
    </row>
    <row r="11546">
      <c r="N11546" s="1"/>
      <c r="V11546" s="5"/>
    </row>
    <row r="11547">
      <c r="N11547" s="1"/>
      <c r="V11547" s="5"/>
    </row>
    <row r="11548">
      <c r="N11548" s="1"/>
      <c r="V11548" s="5"/>
    </row>
    <row r="11549">
      <c r="N11549" s="1"/>
      <c r="V11549" s="5"/>
    </row>
    <row r="11550">
      <c r="N11550" s="1"/>
      <c r="V11550" s="5"/>
    </row>
    <row r="11551">
      <c r="N11551" s="1"/>
      <c r="V11551" s="5"/>
    </row>
    <row r="11552">
      <c r="N11552" s="1"/>
      <c r="V11552" s="5"/>
    </row>
    <row r="11553">
      <c r="N11553" s="1"/>
      <c r="V11553" s="5"/>
    </row>
    <row r="11554">
      <c r="N11554" s="1"/>
      <c r="V11554" s="5"/>
    </row>
    <row r="11555">
      <c r="N11555" s="1"/>
      <c r="V11555" s="5"/>
    </row>
    <row r="11556">
      <c r="N11556" s="1"/>
      <c r="V11556" s="5"/>
    </row>
    <row r="11557">
      <c r="N11557" s="1"/>
      <c r="V11557" s="5"/>
    </row>
    <row r="11558">
      <c r="N11558" s="1"/>
      <c r="V11558" s="5"/>
    </row>
    <row r="11559">
      <c r="N11559" s="1"/>
      <c r="V11559" s="5"/>
    </row>
    <row r="11560">
      <c r="N11560" s="1"/>
      <c r="V11560" s="5"/>
    </row>
    <row r="11561">
      <c r="N11561" s="1"/>
      <c r="V11561" s="5"/>
    </row>
    <row r="11562">
      <c r="N11562" s="1"/>
      <c r="V11562" s="5"/>
    </row>
    <row r="11563">
      <c r="N11563" s="1"/>
      <c r="V11563" s="5"/>
    </row>
    <row r="11564">
      <c r="N11564" s="1"/>
      <c r="V11564" s="5"/>
    </row>
    <row r="11565">
      <c r="N11565" s="1"/>
      <c r="V11565" s="5"/>
    </row>
    <row r="11566">
      <c r="N11566" s="1"/>
      <c r="V11566" s="5"/>
    </row>
    <row r="11567">
      <c r="N11567" s="1"/>
      <c r="V11567" s="5"/>
    </row>
    <row r="11568">
      <c r="N11568" s="1"/>
      <c r="V11568" s="5"/>
    </row>
    <row r="11569">
      <c r="N11569" s="1"/>
      <c r="V11569" s="5"/>
    </row>
    <row r="11570">
      <c r="N11570" s="1"/>
      <c r="V11570" s="5"/>
    </row>
    <row r="11571">
      <c r="N11571" s="1"/>
      <c r="V11571" s="5"/>
    </row>
    <row r="11572">
      <c r="N11572" s="1"/>
      <c r="V11572" s="5"/>
    </row>
    <row r="11573">
      <c r="N11573" s="1"/>
      <c r="V11573" s="5"/>
    </row>
    <row r="11574">
      <c r="N11574" s="1"/>
      <c r="V11574" s="5"/>
    </row>
    <row r="11575">
      <c r="N11575" s="1"/>
      <c r="V11575" s="5"/>
    </row>
    <row r="11576">
      <c r="N11576" s="1"/>
      <c r="V11576" s="5"/>
    </row>
    <row r="11577">
      <c r="N11577" s="1"/>
      <c r="V11577" s="5"/>
    </row>
    <row r="11578">
      <c r="N11578" s="1"/>
      <c r="V11578" s="5"/>
    </row>
    <row r="11579">
      <c r="N11579" s="1"/>
      <c r="V11579" s="5"/>
    </row>
    <row r="11580">
      <c r="N11580" s="1"/>
      <c r="V11580" s="5"/>
    </row>
    <row r="11581">
      <c r="N11581" s="1"/>
      <c r="V11581" s="5"/>
    </row>
    <row r="11582">
      <c r="N11582" s="1"/>
      <c r="V11582" s="5"/>
    </row>
    <row r="11583">
      <c r="N11583" s="1"/>
      <c r="V11583" s="5"/>
    </row>
    <row r="11584">
      <c r="N11584" s="1"/>
      <c r="V11584" s="5"/>
    </row>
    <row r="11585">
      <c r="N11585" s="1"/>
      <c r="V11585" s="5"/>
    </row>
    <row r="11586">
      <c r="N11586" s="1"/>
      <c r="V11586" s="5"/>
    </row>
    <row r="11587">
      <c r="N11587" s="1"/>
      <c r="V11587" s="5"/>
    </row>
    <row r="11588">
      <c r="N11588" s="1"/>
      <c r="V11588" s="5"/>
    </row>
    <row r="11589">
      <c r="N11589" s="1"/>
      <c r="V11589" s="5"/>
    </row>
    <row r="11590">
      <c r="N11590" s="1"/>
      <c r="V11590" s="5"/>
    </row>
    <row r="11591">
      <c r="N11591" s="1"/>
      <c r="V11591" s="5"/>
    </row>
    <row r="11592">
      <c r="N11592" s="1"/>
      <c r="V11592" s="5"/>
    </row>
    <row r="11593">
      <c r="N11593" s="1"/>
      <c r="V11593" s="5"/>
    </row>
    <row r="11594">
      <c r="N11594" s="1"/>
      <c r="V11594" s="5"/>
    </row>
    <row r="11595">
      <c r="N11595" s="1"/>
      <c r="V11595" s="5"/>
    </row>
    <row r="11596">
      <c r="N11596" s="1"/>
      <c r="V11596" s="5"/>
    </row>
    <row r="11597">
      <c r="N11597" s="1"/>
      <c r="V11597" s="5"/>
    </row>
    <row r="11598">
      <c r="N11598" s="1"/>
      <c r="V11598" s="5"/>
    </row>
    <row r="11599">
      <c r="N11599" s="1"/>
      <c r="V11599" s="5"/>
    </row>
    <row r="11600">
      <c r="N11600" s="1"/>
      <c r="V11600" s="5"/>
    </row>
    <row r="11601">
      <c r="N11601" s="1"/>
      <c r="V11601" s="5"/>
    </row>
    <row r="11602">
      <c r="N11602" s="1"/>
      <c r="V11602" s="5"/>
    </row>
    <row r="11603">
      <c r="N11603" s="1"/>
      <c r="V11603" s="5"/>
    </row>
    <row r="11604">
      <c r="N11604" s="1"/>
      <c r="V11604" s="5"/>
    </row>
    <row r="11605">
      <c r="N11605" s="1"/>
      <c r="V11605" s="5"/>
    </row>
    <row r="11606">
      <c r="N11606" s="1"/>
      <c r="V11606" s="5"/>
    </row>
    <row r="11607">
      <c r="N11607" s="1"/>
      <c r="V11607" s="5"/>
    </row>
    <row r="11608">
      <c r="N11608" s="1"/>
      <c r="V11608" s="5"/>
    </row>
    <row r="11609">
      <c r="N11609" s="1"/>
      <c r="V11609" s="5"/>
    </row>
    <row r="11610">
      <c r="N11610" s="1"/>
      <c r="V11610" s="5"/>
    </row>
    <row r="11611">
      <c r="N11611" s="1"/>
      <c r="V11611" s="5"/>
    </row>
    <row r="11612">
      <c r="N11612" s="1"/>
      <c r="V11612" s="5"/>
    </row>
    <row r="11613">
      <c r="N11613" s="1"/>
      <c r="V11613" s="5"/>
    </row>
    <row r="11614">
      <c r="N11614" s="1"/>
      <c r="V11614" s="5"/>
    </row>
    <row r="11615">
      <c r="N11615" s="1"/>
      <c r="V11615" s="5"/>
    </row>
    <row r="11616">
      <c r="N11616" s="1"/>
      <c r="V11616" s="5"/>
    </row>
    <row r="11617">
      <c r="N11617" s="1"/>
      <c r="V11617" s="5"/>
    </row>
    <row r="11618">
      <c r="N11618" s="1"/>
      <c r="V11618" s="5"/>
    </row>
    <row r="11619">
      <c r="N11619" s="1"/>
      <c r="V11619" s="5"/>
    </row>
    <row r="11620">
      <c r="N11620" s="1"/>
      <c r="V11620" s="5"/>
    </row>
    <row r="11621">
      <c r="N11621" s="1"/>
      <c r="V11621" s="5"/>
    </row>
    <row r="11622">
      <c r="N11622" s="1"/>
      <c r="V11622" s="5"/>
    </row>
    <row r="11623">
      <c r="N11623" s="1"/>
      <c r="V11623" s="5"/>
    </row>
    <row r="11624">
      <c r="N11624" s="1"/>
      <c r="V11624" s="5"/>
    </row>
    <row r="11625">
      <c r="N11625" s="1"/>
      <c r="V11625" s="5"/>
    </row>
    <row r="11626">
      <c r="N11626" s="1"/>
      <c r="V11626" s="5"/>
    </row>
    <row r="11627">
      <c r="N11627" s="1"/>
      <c r="V11627" s="5"/>
    </row>
    <row r="11628">
      <c r="N11628" s="1"/>
      <c r="V11628" s="5"/>
    </row>
    <row r="11629">
      <c r="N11629" s="1"/>
      <c r="V11629" s="5"/>
    </row>
    <row r="11630">
      <c r="N11630" s="1"/>
      <c r="V11630" s="5"/>
    </row>
    <row r="11631">
      <c r="N11631" s="1"/>
      <c r="V11631" s="5"/>
    </row>
    <row r="11632">
      <c r="N11632" s="1"/>
      <c r="V11632" s="5"/>
    </row>
    <row r="11633">
      <c r="N11633" s="1"/>
      <c r="V11633" s="5"/>
    </row>
    <row r="11634">
      <c r="N11634" s="1"/>
      <c r="V11634" s="5"/>
    </row>
    <row r="11635">
      <c r="N11635" s="1"/>
      <c r="V11635" s="5"/>
    </row>
    <row r="11636">
      <c r="N11636" s="1"/>
      <c r="V11636" s="5"/>
    </row>
    <row r="11637">
      <c r="N11637" s="1"/>
      <c r="V11637" s="5"/>
    </row>
    <row r="11638">
      <c r="N11638" s="1"/>
      <c r="V11638" s="5"/>
    </row>
    <row r="11639">
      <c r="N11639" s="1"/>
      <c r="V11639" s="5"/>
    </row>
    <row r="11640">
      <c r="N11640" s="1"/>
      <c r="V11640" s="5"/>
    </row>
    <row r="11641">
      <c r="N11641" s="1"/>
      <c r="V11641" s="5"/>
    </row>
    <row r="11642">
      <c r="N11642" s="1"/>
      <c r="V11642" s="5"/>
    </row>
    <row r="11643">
      <c r="N11643" s="1"/>
      <c r="V11643" s="5"/>
    </row>
    <row r="11644">
      <c r="N11644" s="1"/>
      <c r="V11644" s="5"/>
    </row>
    <row r="11645">
      <c r="N11645" s="1"/>
      <c r="V11645" s="5"/>
    </row>
    <row r="11646">
      <c r="N11646" s="1"/>
      <c r="V11646" s="5"/>
    </row>
    <row r="11647">
      <c r="N11647" s="1"/>
      <c r="V11647" s="5"/>
    </row>
    <row r="11648">
      <c r="N11648" s="1"/>
      <c r="V11648" s="5"/>
    </row>
    <row r="11649">
      <c r="N11649" s="1"/>
      <c r="V11649" s="5"/>
    </row>
    <row r="11650">
      <c r="N11650" s="1"/>
      <c r="V11650" s="5"/>
    </row>
    <row r="11651">
      <c r="N11651" s="1"/>
      <c r="V11651" s="5"/>
    </row>
    <row r="11652">
      <c r="N11652" s="1"/>
      <c r="V11652" s="5"/>
    </row>
    <row r="11653">
      <c r="N11653" s="1"/>
      <c r="V11653" s="5"/>
    </row>
    <row r="11654">
      <c r="N11654" s="1"/>
      <c r="V11654" s="5"/>
    </row>
    <row r="11655">
      <c r="N11655" s="1"/>
      <c r="V11655" s="5"/>
    </row>
    <row r="11656">
      <c r="N11656" s="1"/>
      <c r="V11656" s="5"/>
    </row>
    <row r="11657">
      <c r="N11657" s="1"/>
      <c r="V11657" s="5"/>
    </row>
    <row r="11658">
      <c r="N11658" s="1"/>
      <c r="V11658" s="5"/>
    </row>
    <row r="11659">
      <c r="N11659" s="1"/>
      <c r="V11659" s="5"/>
    </row>
    <row r="11660">
      <c r="N11660" s="1"/>
      <c r="V11660" s="5"/>
    </row>
    <row r="11661">
      <c r="N11661" s="1"/>
      <c r="V11661" s="5"/>
    </row>
    <row r="11662">
      <c r="N11662" s="1"/>
      <c r="V11662" s="5"/>
    </row>
    <row r="11663">
      <c r="N11663" s="1"/>
      <c r="V11663" s="5"/>
    </row>
    <row r="11664">
      <c r="N11664" s="1"/>
      <c r="V11664" s="5"/>
    </row>
    <row r="11665">
      <c r="N11665" s="1"/>
      <c r="V11665" s="5"/>
    </row>
    <row r="11666">
      <c r="N11666" s="1"/>
      <c r="V11666" s="5"/>
    </row>
    <row r="11667">
      <c r="N11667" s="1"/>
      <c r="V11667" s="5"/>
    </row>
    <row r="11668">
      <c r="N11668" s="1"/>
      <c r="V11668" s="5"/>
    </row>
    <row r="11669">
      <c r="N11669" s="1"/>
      <c r="V11669" s="5"/>
    </row>
    <row r="11670">
      <c r="N11670" s="1"/>
      <c r="V11670" s="5"/>
    </row>
    <row r="11671">
      <c r="N11671" s="1"/>
      <c r="V11671" s="5"/>
    </row>
    <row r="11672">
      <c r="N11672" s="1"/>
      <c r="V11672" s="5"/>
    </row>
    <row r="11673">
      <c r="N11673" s="1"/>
      <c r="V11673" s="5"/>
    </row>
    <row r="11674">
      <c r="N11674" s="1"/>
      <c r="V11674" s="5"/>
    </row>
    <row r="11675">
      <c r="N11675" s="1"/>
      <c r="V11675" s="5"/>
    </row>
    <row r="11676">
      <c r="N11676" s="1"/>
      <c r="V11676" s="5"/>
    </row>
    <row r="11677">
      <c r="N11677" s="1"/>
      <c r="V11677" s="5"/>
    </row>
    <row r="11678">
      <c r="N11678" s="1"/>
      <c r="V11678" s="5"/>
    </row>
    <row r="11679">
      <c r="N11679" s="1"/>
      <c r="V11679" s="5"/>
    </row>
    <row r="11680">
      <c r="N11680" s="1"/>
      <c r="V11680" s="5"/>
    </row>
    <row r="11681">
      <c r="N11681" s="1"/>
      <c r="V11681" s="5"/>
    </row>
    <row r="11682">
      <c r="N11682" s="1"/>
      <c r="V11682" s="5"/>
    </row>
    <row r="11683">
      <c r="N11683" s="1"/>
      <c r="V11683" s="5"/>
    </row>
    <row r="11684">
      <c r="N11684" s="1"/>
      <c r="V11684" s="5"/>
    </row>
    <row r="11685">
      <c r="N11685" s="1"/>
      <c r="V11685" s="5"/>
    </row>
    <row r="11686">
      <c r="N11686" s="1"/>
      <c r="V11686" s="5"/>
    </row>
    <row r="11687">
      <c r="N11687" s="1"/>
      <c r="V11687" s="5"/>
    </row>
    <row r="11688">
      <c r="N11688" s="1"/>
      <c r="V11688" s="5"/>
    </row>
    <row r="11689">
      <c r="N11689" s="1"/>
      <c r="V11689" s="5"/>
    </row>
    <row r="11690">
      <c r="N11690" s="1"/>
      <c r="V11690" s="5"/>
    </row>
    <row r="11691">
      <c r="N11691" s="1"/>
      <c r="V11691" s="5"/>
    </row>
    <row r="11692">
      <c r="N11692" s="1"/>
      <c r="V11692" s="5"/>
    </row>
    <row r="11693">
      <c r="N11693" s="1"/>
      <c r="V11693" s="5"/>
    </row>
    <row r="11694">
      <c r="N11694" s="1"/>
      <c r="V11694" s="5"/>
    </row>
    <row r="11695">
      <c r="N11695" s="1"/>
      <c r="V11695" s="5"/>
    </row>
    <row r="11696">
      <c r="N11696" s="1"/>
      <c r="V11696" s="5"/>
    </row>
    <row r="11697">
      <c r="N11697" s="1"/>
      <c r="V11697" s="5"/>
    </row>
    <row r="11698">
      <c r="N11698" s="1"/>
      <c r="V11698" s="5"/>
    </row>
    <row r="11699">
      <c r="N11699" s="1"/>
      <c r="V11699" s="5"/>
    </row>
    <row r="11700">
      <c r="N11700" s="1"/>
      <c r="V11700" s="5"/>
    </row>
    <row r="11701">
      <c r="N11701" s="1"/>
      <c r="V11701" s="5"/>
    </row>
    <row r="11702">
      <c r="N11702" s="1"/>
      <c r="V11702" s="5"/>
    </row>
    <row r="11703">
      <c r="N11703" s="1"/>
      <c r="V11703" s="5"/>
    </row>
    <row r="11704">
      <c r="N11704" s="1"/>
      <c r="V11704" s="5"/>
    </row>
    <row r="11705">
      <c r="N11705" s="1"/>
      <c r="V11705" s="5"/>
    </row>
    <row r="11706">
      <c r="N11706" s="1"/>
      <c r="V11706" s="5"/>
    </row>
    <row r="11707">
      <c r="N11707" s="1"/>
      <c r="V11707" s="5"/>
    </row>
    <row r="11708">
      <c r="N11708" s="1"/>
      <c r="V11708" s="5"/>
    </row>
    <row r="11709">
      <c r="N11709" s="1"/>
      <c r="V11709" s="5"/>
    </row>
    <row r="11710">
      <c r="N11710" s="1"/>
      <c r="V11710" s="5"/>
    </row>
    <row r="11711">
      <c r="N11711" s="1"/>
      <c r="V11711" s="5"/>
    </row>
    <row r="11712">
      <c r="N11712" s="1"/>
      <c r="V11712" s="5"/>
    </row>
    <row r="11713">
      <c r="N11713" s="1"/>
      <c r="V11713" s="5"/>
    </row>
    <row r="11714">
      <c r="N11714" s="1"/>
      <c r="V11714" s="5"/>
    </row>
    <row r="11715">
      <c r="N11715" s="1"/>
      <c r="V11715" s="5"/>
    </row>
    <row r="11716">
      <c r="N11716" s="1"/>
      <c r="V11716" s="5"/>
    </row>
    <row r="11717">
      <c r="N11717" s="1"/>
      <c r="V11717" s="5"/>
    </row>
    <row r="11718">
      <c r="N11718" s="1"/>
      <c r="V11718" s="5"/>
    </row>
    <row r="11719">
      <c r="N11719" s="1"/>
      <c r="V11719" s="5"/>
    </row>
    <row r="11720">
      <c r="N11720" s="1"/>
      <c r="V11720" s="5"/>
    </row>
    <row r="11721">
      <c r="N11721" s="1"/>
      <c r="V11721" s="5"/>
    </row>
    <row r="11722">
      <c r="N11722" s="1"/>
      <c r="V11722" s="5"/>
    </row>
    <row r="11723">
      <c r="N11723" s="1"/>
      <c r="V11723" s="5"/>
    </row>
    <row r="11724">
      <c r="N11724" s="1"/>
      <c r="V11724" s="5"/>
    </row>
    <row r="11725">
      <c r="N11725" s="1"/>
      <c r="V11725" s="5"/>
    </row>
    <row r="11726">
      <c r="N11726" s="1"/>
      <c r="V11726" s="5"/>
    </row>
    <row r="11727">
      <c r="N11727" s="1"/>
      <c r="V11727" s="5"/>
    </row>
    <row r="11728">
      <c r="N11728" s="1"/>
      <c r="V11728" s="5"/>
    </row>
    <row r="11729">
      <c r="N11729" s="1"/>
      <c r="V11729" s="5"/>
    </row>
    <row r="11730">
      <c r="N11730" s="1"/>
      <c r="V11730" s="5"/>
    </row>
    <row r="11731">
      <c r="N11731" s="1"/>
      <c r="V11731" s="5"/>
    </row>
    <row r="11732">
      <c r="N11732" s="1"/>
      <c r="V11732" s="5"/>
    </row>
    <row r="11733">
      <c r="N11733" s="1"/>
      <c r="V11733" s="5"/>
    </row>
    <row r="11734">
      <c r="N11734" s="1"/>
      <c r="V11734" s="5"/>
    </row>
    <row r="11735">
      <c r="N11735" s="1"/>
      <c r="V11735" s="5"/>
    </row>
    <row r="11736">
      <c r="N11736" s="1"/>
      <c r="V11736" s="5"/>
    </row>
    <row r="11737">
      <c r="N11737" s="1"/>
      <c r="V11737" s="5"/>
    </row>
    <row r="11738">
      <c r="N11738" s="1"/>
      <c r="V11738" s="5"/>
    </row>
    <row r="11739">
      <c r="N11739" s="1"/>
      <c r="V11739" s="5"/>
    </row>
    <row r="11740">
      <c r="N11740" s="1"/>
      <c r="V11740" s="5"/>
    </row>
    <row r="11741">
      <c r="N11741" s="1"/>
      <c r="V11741" s="5"/>
    </row>
    <row r="11742">
      <c r="N11742" s="1"/>
      <c r="V11742" s="5"/>
    </row>
    <row r="11743">
      <c r="N11743" s="1"/>
      <c r="V11743" s="5"/>
    </row>
    <row r="11744">
      <c r="N11744" s="1"/>
      <c r="V11744" s="5"/>
    </row>
    <row r="11745">
      <c r="N11745" s="1"/>
      <c r="V11745" s="5"/>
    </row>
    <row r="11746">
      <c r="N11746" s="1"/>
      <c r="V11746" s="5"/>
    </row>
    <row r="11747">
      <c r="N11747" s="1"/>
      <c r="V11747" s="5"/>
    </row>
    <row r="11748">
      <c r="N11748" s="1"/>
      <c r="V11748" s="5"/>
    </row>
    <row r="11749">
      <c r="N11749" s="1"/>
      <c r="V11749" s="5"/>
    </row>
    <row r="11750">
      <c r="N11750" s="1"/>
      <c r="V11750" s="5"/>
    </row>
    <row r="11751">
      <c r="N11751" s="1"/>
      <c r="V11751" s="5"/>
    </row>
    <row r="11752">
      <c r="N11752" s="1"/>
      <c r="V11752" s="5"/>
    </row>
    <row r="11753">
      <c r="N11753" s="1"/>
      <c r="V11753" s="5"/>
    </row>
    <row r="11754">
      <c r="N11754" s="1"/>
      <c r="V11754" s="5"/>
    </row>
    <row r="11755">
      <c r="N11755" s="1"/>
      <c r="V11755" s="5"/>
    </row>
    <row r="11756">
      <c r="N11756" s="1"/>
      <c r="V11756" s="5"/>
    </row>
    <row r="11757">
      <c r="N11757" s="1"/>
      <c r="V11757" s="5"/>
    </row>
    <row r="11758">
      <c r="N11758" s="1"/>
      <c r="V11758" s="5"/>
    </row>
    <row r="11759">
      <c r="N11759" s="1"/>
      <c r="V11759" s="5"/>
    </row>
    <row r="11760">
      <c r="N11760" s="1"/>
      <c r="V11760" s="5"/>
    </row>
    <row r="11761">
      <c r="N11761" s="1"/>
      <c r="V11761" s="5"/>
    </row>
    <row r="11762">
      <c r="N11762" s="1"/>
      <c r="V11762" s="5"/>
    </row>
    <row r="11763">
      <c r="N11763" s="1"/>
      <c r="V11763" s="5"/>
    </row>
    <row r="11764">
      <c r="N11764" s="1"/>
      <c r="V11764" s="5"/>
    </row>
    <row r="11765">
      <c r="N11765" s="1"/>
      <c r="V11765" s="5"/>
    </row>
    <row r="11766">
      <c r="N11766" s="1"/>
      <c r="V11766" s="5"/>
    </row>
    <row r="11767">
      <c r="N11767" s="1"/>
      <c r="V11767" s="5"/>
    </row>
    <row r="11768">
      <c r="N11768" s="1"/>
      <c r="V11768" s="5"/>
    </row>
    <row r="11769">
      <c r="N11769" s="1"/>
      <c r="V11769" s="5"/>
    </row>
    <row r="11770">
      <c r="N11770" s="1"/>
      <c r="V11770" s="5"/>
    </row>
    <row r="11771">
      <c r="N11771" s="1"/>
      <c r="V11771" s="5"/>
    </row>
    <row r="11772">
      <c r="N11772" s="1"/>
      <c r="V11772" s="5"/>
    </row>
    <row r="11773">
      <c r="N11773" s="1"/>
      <c r="V11773" s="5"/>
    </row>
    <row r="11774">
      <c r="N11774" s="1"/>
      <c r="V11774" s="5"/>
    </row>
    <row r="11775">
      <c r="N11775" s="1"/>
      <c r="V11775" s="5"/>
    </row>
    <row r="11776">
      <c r="N11776" s="1"/>
      <c r="V11776" s="5"/>
    </row>
    <row r="11777">
      <c r="N11777" s="1"/>
      <c r="V11777" s="5"/>
    </row>
    <row r="11778">
      <c r="N11778" s="1"/>
      <c r="V11778" s="5"/>
    </row>
    <row r="11779">
      <c r="N11779" s="1"/>
      <c r="V11779" s="5"/>
    </row>
    <row r="11780">
      <c r="N11780" s="1"/>
      <c r="V11780" s="5"/>
    </row>
    <row r="11781">
      <c r="N11781" s="1"/>
      <c r="V11781" s="5"/>
    </row>
    <row r="11782">
      <c r="N11782" s="1"/>
      <c r="V11782" s="5"/>
    </row>
    <row r="11783">
      <c r="N11783" s="1"/>
      <c r="V11783" s="5"/>
    </row>
    <row r="11784">
      <c r="N11784" s="1"/>
      <c r="V11784" s="5"/>
    </row>
    <row r="11785">
      <c r="N11785" s="1"/>
      <c r="V11785" s="5"/>
    </row>
    <row r="11786">
      <c r="N11786" s="1"/>
      <c r="V11786" s="5"/>
    </row>
    <row r="11787">
      <c r="N11787" s="1"/>
      <c r="V11787" s="5"/>
    </row>
    <row r="11788">
      <c r="N11788" s="1"/>
      <c r="V11788" s="5"/>
    </row>
    <row r="11789">
      <c r="N11789" s="1"/>
      <c r="V11789" s="5"/>
    </row>
    <row r="11790">
      <c r="N11790" s="1"/>
      <c r="V11790" s="5"/>
    </row>
    <row r="11791">
      <c r="N11791" s="1"/>
      <c r="V11791" s="5"/>
    </row>
    <row r="11792">
      <c r="N11792" s="1"/>
      <c r="V11792" s="5"/>
    </row>
    <row r="11793">
      <c r="N11793" s="1"/>
      <c r="V11793" s="5"/>
    </row>
    <row r="11794">
      <c r="N11794" s="1"/>
      <c r="V11794" s="5"/>
    </row>
    <row r="11795">
      <c r="N11795" s="1"/>
      <c r="V11795" s="5"/>
    </row>
    <row r="11796">
      <c r="N11796" s="1"/>
      <c r="V11796" s="5"/>
    </row>
    <row r="11797">
      <c r="N11797" s="1"/>
      <c r="V11797" s="5"/>
    </row>
    <row r="11798">
      <c r="N11798" s="1"/>
      <c r="V11798" s="5"/>
    </row>
    <row r="11799">
      <c r="N11799" s="1"/>
      <c r="V11799" s="5"/>
    </row>
    <row r="11800">
      <c r="N11800" s="1"/>
      <c r="V11800" s="5"/>
    </row>
    <row r="11801">
      <c r="N11801" s="1"/>
      <c r="V11801" s="5"/>
    </row>
    <row r="11802">
      <c r="N11802" s="1"/>
      <c r="V11802" s="5"/>
    </row>
    <row r="11803">
      <c r="N11803" s="1"/>
      <c r="V11803" s="5"/>
    </row>
    <row r="11804">
      <c r="N11804" s="1"/>
      <c r="V11804" s="5"/>
    </row>
    <row r="11805">
      <c r="N11805" s="1"/>
      <c r="V11805" s="5"/>
    </row>
    <row r="11806">
      <c r="N11806" s="1"/>
      <c r="V11806" s="5"/>
    </row>
    <row r="11807">
      <c r="N11807" s="1"/>
      <c r="V11807" s="5"/>
    </row>
    <row r="11808">
      <c r="N11808" s="1"/>
      <c r="V11808" s="5"/>
    </row>
    <row r="11809">
      <c r="N11809" s="1"/>
      <c r="V11809" s="5"/>
    </row>
    <row r="11810">
      <c r="N11810" s="1"/>
      <c r="V11810" s="5"/>
    </row>
    <row r="11811">
      <c r="N11811" s="1"/>
      <c r="V11811" s="5"/>
    </row>
    <row r="11812">
      <c r="N11812" s="1"/>
      <c r="V11812" s="5"/>
    </row>
    <row r="11813">
      <c r="N11813" s="1"/>
      <c r="V11813" s="5"/>
    </row>
    <row r="11814">
      <c r="N11814" s="1"/>
      <c r="V11814" s="5"/>
    </row>
    <row r="11815">
      <c r="N11815" s="1"/>
      <c r="V11815" s="5"/>
    </row>
    <row r="11816">
      <c r="N11816" s="1"/>
      <c r="V11816" s="5"/>
    </row>
    <row r="11817">
      <c r="N11817" s="1"/>
      <c r="V11817" s="5"/>
    </row>
    <row r="11818">
      <c r="N11818" s="1"/>
      <c r="V11818" s="5"/>
    </row>
    <row r="11819">
      <c r="N11819" s="1"/>
      <c r="V11819" s="5"/>
    </row>
    <row r="11820">
      <c r="N11820" s="1"/>
      <c r="V11820" s="5"/>
    </row>
    <row r="11821">
      <c r="N11821" s="1"/>
      <c r="V11821" s="5"/>
    </row>
    <row r="11822">
      <c r="N11822" s="1"/>
      <c r="V11822" s="5"/>
    </row>
    <row r="11823">
      <c r="N11823" s="1"/>
      <c r="V11823" s="5"/>
    </row>
    <row r="11824">
      <c r="N11824" s="1"/>
      <c r="V11824" s="5"/>
    </row>
    <row r="11825">
      <c r="N11825" s="1"/>
      <c r="V11825" s="5"/>
    </row>
    <row r="11826">
      <c r="N11826" s="1"/>
      <c r="V11826" s="5"/>
    </row>
    <row r="11827">
      <c r="N11827" s="1"/>
      <c r="V11827" s="5"/>
    </row>
    <row r="11828">
      <c r="N11828" s="1"/>
      <c r="V11828" s="5"/>
    </row>
    <row r="11829">
      <c r="N11829" s="1"/>
      <c r="V11829" s="5"/>
    </row>
    <row r="11830">
      <c r="N11830" s="1"/>
      <c r="V11830" s="5"/>
    </row>
    <row r="11831">
      <c r="N11831" s="1"/>
      <c r="V11831" s="5"/>
    </row>
    <row r="11832">
      <c r="N11832" s="1"/>
      <c r="V11832" s="5"/>
    </row>
    <row r="11833">
      <c r="N11833" s="1"/>
      <c r="V11833" s="5"/>
    </row>
    <row r="11834">
      <c r="N11834" s="1"/>
      <c r="V11834" s="5"/>
    </row>
    <row r="11835">
      <c r="N11835" s="1"/>
      <c r="V11835" s="5"/>
    </row>
    <row r="11836">
      <c r="N11836" s="1"/>
      <c r="V11836" s="5"/>
    </row>
    <row r="11837">
      <c r="N11837" s="1"/>
      <c r="V11837" s="5"/>
    </row>
    <row r="11838">
      <c r="N11838" s="1"/>
      <c r="V11838" s="5"/>
    </row>
    <row r="11839">
      <c r="N11839" s="1"/>
      <c r="V11839" s="5"/>
    </row>
    <row r="11840">
      <c r="N11840" s="1"/>
      <c r="V11840" s="5"/>
    </row>
    <row r="11841">
      <c r="N11841" s="1"/>
      <c r="V11841" s="5"/>
    </row>
    <row r="11842">
      <c r="N11842" s="1"/>
      <c r="V11842" s="5"/>
    </row>
    <row r="11843">
      <c r="N11843" s="1"/>
      <c r="V11843" s="5"/>
    </row>
    <row r="11844">
      <c r="N11844" s="1"/>
      <c r="V11844" s="5"/>
    </row>
    <row r="11845">
      <c r="N11845" s="1"/>
      <c r="V11845" s="5"/>
    </row>
    <row r="11846">
      <c r="N11846" s="1"/>
      <c r="V11846" s="5"/>
    </row>
    <row r="11847">
      <c r="N11847" s="1"/>
      <c r="V11847" s="5"/>
    </row>
    <row r="11848">
      <c r="N11848" s="1"/>
      <c r="V11848" s="5"/>
    </row>
    <row r="11849">
      <c r="N11849" s="1"/>
      <c r="V11849" s="5"/>
    </row>
    <row r="11850">
      <c r="N11850" s="1"/>
      <c r="V11850" s="5"/>
    </row>
    <row r="11851">
      <c r="N11851" s="1"/>
      <c r="V11851" s="5"/>
    </row>
    <row r="11852">
      <c r="N11852" s="1"/>
      <c r="V11852" s="5"/>
    </row>
    <row r="11853">
      <c r="N11853" s="1"/>
      <c r="V11853" s="5"/>
    </row>
    <row r="11854">
      <c r="N11854" s="1"/>
      <c r="V11854" s="5"/>
    </row>
    <row r="11855">
      <c r="N11855" s="1"/>
      <c r="V11855" s="5"/>
    </row>
    <row r="11856">
      <c r="N11856" s="1"/>
      <c r="V11856" s="5"/>
    </row>
    <row r="11857">
      <c r="N11857" s="1"/>
      <c r="V11857" s="5"/>
    </row>
    <row r="11858">
      <c r="N11858" s="1"/>
      <c r="V11858" s="5"/>
    </row>
    <row r="11859">
      <c r="N11859" s="1"/>
      <c r="V11859" s="5"/>
    </row>
    <row r="11860">
      <c r="N11860" s="1"/>
      <c r="V11860" s="5"/>
    </row>
    <row r="11861">
      <c r="N11861" s="1"/>
      <c r="V11861" s="5"/>
    </row>
    <row r="11862">
      <c r="N11862" s="1"/>
      <c r="V11862" s="5"/>
    </row>
    <row r="11863">
      <c r="N11863" s="1"/>
      <c r="V11863" s="5"/>
    </row>
    <row r="11864">
      <c r="N11864" s="1"/>
      <c r="V11864" s="5"/>
    </row>
    <row r="11865">
      <c r="N11865" s="1"/>
      <c r="V11865" s="5"/>
    </row>
    <row r="11866">
      <c r="N11866" s="1"/>
      <c r="V11866" s="5"/>
    </row>
    <row r="11867">
      <c r="N11867" s="1"/>
      <c r="V11867" s="5"/>
    </row>
    <row r="11868">
      <c r="N11868" s="1"/>
      <c r="V11868" s="5"/>
    </row>
    <row r="11869">
      <c r="N11869" s="1"/>
      <c r="V11869" s="5"/>
    </row>
    <row r="11870">
      <c r="N11870" s="1"/>
      <c r="V11870" s="5"/>
    </row>
    <row r="11871">
      <c r="N11871" s="1"/>
      <c r="V11871" s="5"/>
    </row>
    <row r="11872">
      <c r="N11872" s="1"/>
      <c r="V11872" s="5"/>
    </row>
    <row r="11873">
      <c r="N11873" s="1"/>
      <c r="V11873" s="5"/>
    </row>
    <row r="11874">
      <c r="N11874" s="1"/>
      <c r="V11874" s="5"/>
    </row>
    <row r="11875">
      <c r="N11875" s="1"/>
      <c r="V11875" s="5"/>
    </row>
    <row r="11876">
      <c r="N11876" s="1"/>
      <c r="V11876" s="5"/>
    </row>
    <row r="11877">
      <c r="N11877" s="1"/>
      <c r="V11877" s="5"/>
    </row>
    <row r="11878">
      <c r="N11878" s="1"/>
      <c r="V11878" s="5"/>
    </row>
    <row r="11879">
      <c r="N11879" s="1"/>
      <c r="V11879" s="5"/>
    </row>
    <row r="11880">
      <c r="N11880" s="1"/>
      <c r="V11880" s="5"/>
    </row>
    <row r="11881">
      <c r="N11881" s="1"/>
      <c r="V11881" s="5"/>
    </row>
    <row r="11882">
      <c r="N11882" s="1"/>
      <c r="V11882" s="5"/>
    </row>
    <row r="11883">
      <c r="N11883" s="1"/>
      <c r="V11883" s="5"/>
    </row>
    <row r="11884">
      <c r="N11884" s="1"/>
      <c r="V11884" s="5"/>
    </row>
    <row r="11885">
      <c r="N11885" s="1"/>
      <c r="V11885" s="5"/>
    </row>
    <row r="11886">
      <c r="N11886" s="1"/>
      <c r="V11886" s="5"/>
    </row>
    <row r="11887">
      <c r="N11887" s="1"/>
      <c r="V11887" s="5"/>
    </row>
    <row r="11888">
      <c r="N11888" s="1"/>
      <c r="V11888" s="5"/>
    </row>
    <row r="11889">
      <c r="N11889" s="1"/>
      <c r="V11889" s="5"/>
    </row>
    <row r="11890">
      <c r="N11890" s="1"/>
      <c r="V11890" s="5"/>
    </row>
    <row r="11891">
      <c r="N11891" s="1"/>
      <c r="V11891" s="5"/>
    </row>
    <row r="11892">
      <c r="N11892" s="1"/>
      <c r="V11892" s="5"/>
    </row>
    <row r="11893">
      <c r="N11893" s="1"/>
      <c r="V11893" s="5"/>
    </row>
    <row r="11894">
      <c r="N11894" s="1"/>
      <c r="V11894" s="5"/>
    </row>
    <row r="11895">
      <c r="N11895" s="1"/>
      <c r="V11895" s="5"/>
    </row>
    <row r="11896">
      <c r="N11896" s="1"/>
      <c r="V11896" s="5"/>
    </row>
    <row r="11897">
      <c r="N11897" s="1"/>
      <c r="V11897" s="5"/>
    </row>
    <row r="11898">
      <c r="N11898" s="1"/>
      <c r="V11898" s="5"/>
    </row>
    <row r="11899">
      <c r="N11899" s="1"/>
      <c r="V11899" s="5"/>
    </row>
    <row r="11900">
      <c r="N11900" s="1"/>
      <c r="V11900" s="5"/>
    </row>
    <row r="11901">
      <c r="N11901" s="1"/>
      <c r="V11901" s="5"/>
    </row>
    <row r="11902">
      <c r="N11902" s="1"/>
      <c r="V11902" s="5"/>
    </row>
    <row r="11903">
      <c r="N11903" s="1"/>
      <c r="V11903" s="5"/>
    </row>
    <row r="11904">
      <c r="N11904" s="1"/>
      <c r="V11904" s="5"/>
    </row>
    <row r="11905">
      <c r="N11905" s="1"/>
      <c r="V11905" s="5"/>
    </row>
    <row r="11906">
      <c r="N11906" s="1"/>
      <c r="V11906" s="5"/>
    </row>
    <row r="11907">
      <c r="N11907" s="1"/>
      <c r="V11907" s="5"/>
    </row>
    <row r="11908">
      <c r="N11908" s="1"/>
      <c r="V11908" s="5"/>
    </row>
    <row r="11909">
      <c r="N11909" s="1"/>
      <c r="V11909" s="5"/>
    </row>
    <row r="11910">
      <c r="N11910" s="1"/>
      <c r="V11910" s="5"/>
    </row>
    <row r="11911">
      <c r="N11911" s="1"/>
      <c r="V11911" s="5"/>
    </row>
    <row r="11912">
      <c r="N11912" s="1"/>
      <c r="V11912" s="5"/>
    </row>
    <row r="11913">
      <c r="N11913" s="1"/>
      <c r="V11913" s="5"/>
    </row>
    <row r="11914">
      <c r="N11914" s="1"/>
      <c r="V11914" s="5"/>
    </row>
    <row r="11915">
      <c r="N11915" s="1"/>
      <c r="V11915" s="5"/>
    </row>
    <row r="11916">
      <c r="N11916" s="1"/>
      <c r="V11916" s="5"/>
    </row>
    <row r="11917">
      <c r="N11917" s="1"/>
      <c r="V11917" s="5"/>
    </row>
    <row r="11918">
      <c r="N11918" s="1"/>
      <c r="V11918" s="5"/>
    </row>
    <row r="11919">
      <c r="N11919" s="1"/>
      <c r="V11919" s="5"/>
    </row>
    <row r="11920">
      <c r="N11920" s="1"/>
      <c r="V11920" s="5"/>
    </row>
    <row r="11921">
      <c r="N11921" s="1"/>
      <c r="V11921" s="5"/>
    </row>
    <row r="11922">
      <c r="N11922" s="1"/>
      <c r="V11922" s="5"/>
    </row>
    <row r="11923">
      <c r="N11923" s="1"/>
      <c r="V11923" s="5"/>
    </row>
    <row r="11924">
      <c r="N11924" s="1"/>
      <c r="V11924" s="5"/>
    </row>
    <row r="11925">
      <c r="N11925" s="1"/>
      <c r="V11925" s="5"/>
    </row>
    <row r="11926">
      <c r="N11926" s="1"/>
      <c r="V11926" s="5"/>
    </row>
    <row r="11927">
      <c r="N11927" s="1"/>
      <c r="V11927" s="5"/>
    </row>
    <row r="11928">
      <c r="N11928" s="1"/>
      <c r="V11928" s="5"/>
    </row>
    <row r="11929">
      <c r="N11929" s="1"/>
      <c r="V11929" s="5"/>
    </row>
    <row r="11930">
      <c r="N11930" s="1"/>
      <c r="V11930" s="5"/>
    </row>
    <row r="11931">
      <c r="N11931" s="1"/>
      <c r="V11931" s="5"/>
    </row>
    <row r="11932">
      <c r="N11932" s="1"/>
      <c r="V11932" s="5"/>
    </row>
    <row r="11933">
      <c r="N11933" s="1"/>
      <c r="V11933" s="5"/>
    </row>
    <row r="11934">
      <c r="N11934" s="1"/>
      <c r="V11934" s="5"/>
    </row>
    <row r="11935">
      <c r="N11935" s="1"/>
      <c r="V11935" s="5"/>
    </row>
    <row r="11936">
      <c r="N11936" s="1"/>
      <c r="V11936" s="5"/>
    </row>
    <row r="11937">
      <c r="N11937" s="1"/>
      <c r="V11937" s="5"/>
    </row>
    <row r="11938">
      <c r="N11938" s="1"/>
      <c r="V11938" s="5"/>
    </row>
    <row r="11939">
      <c r="N11939" s="1"/>
      <c r="V11939" s="5"/>
    </row>
    <row r="11940">
      <c r="N11940" s="1"/>
      <c r="V11940" s="5"/>
    </row>
    <row r="11941">
      <c r="N11941" s="1"/>
      <c r="V11941" s="5"/>
    </row>
    <row r="11942">
      <c r="N11942" s="1"/>
      <c r="V11942" s="5"/>
    </row>
    <row r="11943">
      <c r="N11943" s="1"/>
      <c r="V11943" s="5"/>
    </row>
    <row r="11944">
      <c r="N11944" s="1"/>
      <c r="V11944" s="5"/>
    </row>
    <row r="11945">
      <c r="N11945" s="1"/>
      <c r="V11945" s="5"/>
    </row>
    <row r="11946">
      <c r="N11946" s="1"/>
      <c r="V11946" s="5"/>
    </row>
    <row r="11947">
      <c r="N11947" s="1"/>
      <c r="V11947" s="5"/>
    </row>
    <row r="11948">
      <c r="N11948" s="1"/>
      <c r="V11948" s="5"/>
    </row>
    <row r="11949">
      <c r="N11949" s="1"/>
      <c r="V11949" s="5"/>
    </row>
    <row r="11950">
      <c r="N11950" s="1"/>
      <c r="V11950" s="5"/>
    </row>
    <row r="11951">
      <c r="N11951" s="1"/>
      <c r="V11951" s="5"/>
    </row>
    <row r="11952">
      <c r="N11952" s="1"/>
      <c r="V11952" s="5"/>
    </row>
    <row r="11953">
      <c r="N11953" s="1"/>
      <c r="V11953" s="5"/>
    </row>
    <row r="11954">
      <c r="N11954" s="1"/>
      <c r="V11954" s="5"/>
    </row>
    <row r="11955">
      <c r="N11955" s="1"/>
      <c r="V11955" s="5"/>
    </row>
    <row r="11956">
      <c r="N11956" s="1"/>
      <c r="V11956" s="5"/>
    </row>
    <row r="11957">
      <c r="N11957" s="1"/>
      <c r="V11957" s="5"/>
    </row>
    <row r="11958">
      <c r="N11958" s="1"/>
      <c r="V11958" s="5"/>
    </row>
    <row r="11959">
      <c r="N11959" s="1"/>
      <c r="V11959" s="5"/>
    </row>
    <row r="11960">
      <c r="N11960" s="1"/>
      <c r="V11960" s="5"/>
    </row>
    <row r="11961">
      <c r="N11961" s="1"/>
      <c r="V11961" s="5"/>
    </row>
    <row r="11962">
      <c r="N11962" s="1"/>
      <c r="V11962" s="5"/>
    </row>
    <row r="11963">
      <c r="N11963" s="1"/>
      <c r="V11963" s="5"/>
    </row>
    <row r="11964">
      <c r="N11964" s="1"/>
      <c r="V11964" s="5"/>
    </row>
    <row r="11965">
      <c r="N11965" s="1"/>
      <c r="V11965" s="5"/>
    </row>
    <row r="11966">
      <c r="N11966" s="1"/>
      <c r="V11966" s="5"/>
    </row>
    <row r="11967">
      <c r="N11967" s="1"/>
      <c r="V11967" s="5"/>
    </row>
    <row r="11968">
      <c r="N11968" s="1"/>
      <c r="V11968" s="5"/>
    </row>
    <row r="11969">
      <c r="N11969" s="1"/>
      <c r="V11969" s="5"/>
    </row>
    <row r="11970">
      <c r="N11970" s="1"/>
      <c r="V11970" s="5"/>
    </row>
    <row r="11971">
      <c r="N11971" s="1"/>
      <c r="V11971" s="5"/>
    </row>
    <row r="11972">
      <c r="N11972" s="1"/>
      <c r="V11972" s="5"/>
    </row>
    <row r="11973">
      <c r="N11973" s="1"/>
      <c r="V11973" s="5"/>
    </row>
    <row r="11974">
      <c r="N11974" s="1"/>
      <c r="V11974" s="5"/>
    </row>
    <row r="11975">
      <c r="N11975" s="1"/>
      <c r="V11975" s="5"/>
    </row>
    <row r="11976">
      <c r="N11976" s="1"/>
      <c r="V11976" s="5"/>
    </row>
    <row r="11977">
      <c r="N11977" s="1"/>
      <c r="V11977" s="5"/>
    </row>
    <row r="11978">
      <c r="N11978" s="1"/>
      <c r="V11978" s="5"/>
    </row>
    <row r="11979">
      <c r="N11979" s="1"/>
      <c r="V11979" s="5"/>
    </row>
    <row r="11980">
      <c r="N11980" s="1"/>
      <c r="V11980" s="5"/>
    </row>
    <row r="11981">
      <c r="N11981" s="1"/>
      <c r="V11981" s="5"/>
    </row>
    <row r="11982">
      <c r="N11982" s="1"/>
      <c r="V11982" s="5"/>
    </row>
    <row r="11983">
      <c r="N11983" s="1"/>
      <c r="V11983" s="5"/>
    </row>
    <row r="11984">
      <c r="N11984" s="1"/>
      <c r="V11984" s="5"/>
    </row>
    <row r="11985">
      <c r="N11985" s="1"/>
      <c r="V11985" s="5"/>
    </row>
    <row r="11986">
      <c r="N11986" s="1"/>
      <c r="V11986" s="5"/>
    </row>
    <row r="11987">
      <c r="N11987" s="1"/>
      <c r="V11987" s="5"/>
    </row>
    <row r="11988">
      <c r="N11988" s="1"/>
      <c r="V11988" s="5"/>
    </row>
    <row r="11989">
      <c r="N11989" s="1"/>
      <c r="V11989" s="5"/>
    </row>
    <row r="11990">
      <c r="N11990" s="1"/>
      <c r="V11990" s="5"/>
    </row>
    <row r="11991">
      <c r="N11991" s="1"/>
      <c r="V11991" s="5"/>
    </row>
    <row r="11992">
      <c r="N11992" s="1"/>
      <c r="V11992" s="5"/>
    </row>
    <row r="11993">
      <c r="N11993" s="1"/>
      <c r="V11993" s="5"/>
    </row>
    <row r="11994">
      <c r="N11994" s="1"/>
      <c r="V11994" s="5"/>
    </row>
    <row r="11995">
      <c r="N11995" s="1"/>
      <c r="V11995" s="5"/>
    </row>
    <row r="11996">
      <c r="N11996" s="1"/>
      <c r="V11996" s="5"/>
    </row>
    <row r="11997">
      <c r="N11997" s="1"/>
      <c r="V11997" s="5"/>
    </row>
    <row r="11998">
      <c r="N11998" s="1"/>
      <c r="V11998" s="5"/>
    </row>
    <row r="11999">
      <c r="N11999" s="1"/>
      <c r="V11999" s="5"/>
    </row>
    <row r="12000">
      <c r="N12000" s="1"/>
      <c r="V12000" s="5"/>
    </row>
    <row r="12001">
      <c r="N12001" s="1"/>
      <c r="V12001" s="5"/>
    </row>
    <row r="12002">
      <c r="N12002" s="1"/>
      <c r="V12002" s="5"/>
    </row>
    <row r="12003">
      <c r="N12003" s="1"/>
      <c r="V12003" s="5"/>
    </row>
    <row r="12004">
      <c r="N12004" s="1"/>
      <c r="V12004" s="5"/>
    </row>
    <row r="12005">
      <c r="N12005" s="1"/>
      <c r="V12005" s="5"/>
    </row>
    <row r="12006">
      <c r="N12006" s="1"/>
      <c r="V12006" s="5"/>
    </row>
    <row r="12007">
      <c r="N12007" s="1"/>
      <c r="V12007" s="5"/>
    </row>
    <row r="12008">
      <c r="N12008" s="1"/>
      <c r="V12008" s="5"/>
    </row>
    <row r="12009">
      <c r="N12009" s="1"/>
      <c r="V12009" s="5"/>
    </row>
    <row r="12010">
      <c r="N12010" s="1"/>
      <c r="V12010" s="5"/>
    </row>
    <row r="12011">
      <c r="N12011" s="1"/>
      <c r="V12011" s="5"/>
    </row>
    <row r="12012">
      <c r="N12012" s="1"/>
      <c r="V12012" s="5"/>
    </row>
    <row r="12013">
      <c r="N12013" s="1"/>
      <c r="V12013" s="5"/>
    </row>
    <row r="12014">
      <c r="N12014" s="1"/>
      <c r="V12014" s="5"/>
    </row>
    <row r="12015">
      <c r="N12015" s="1"/>
      <c r="V12015" s="5"/>
    </row>
    <row r="12016">
      <c r="N12016" s="1"/>
      <c r="V12016" s="5"/>
    </row>
    <row r="12017">
      <c r="N12017" s="1"/>
      <c r="V12017" s="5"/>
    </row>
    <row r="12018">
      <c r="N12018" s="1"/>
      <c r="V12018" s="5"/>
    </row>
    <row r="12019">
      <c r="N12019" s="1"/>
      <c r="V12019" s="5"/>
    </row>
    <row r="12020">
      <c r="N12020" s="1"/>
      <c r="V12020" s="5"/>
    </row>
    <row r="12021">
      <c r="N12021" s="1"/>
      <c r="V12021" s="5"/>
    </row>
    <row r="12022">
      <c r="N12022" s="1"/>
      <c r="V12022" s="5"/>
    </row>
    <row r="12023">
      <c r="N12023" s="1"/>
      <c r="V12023" s="5"/>
    </row>
    <row r="12024">
      <c r="N12024" s="1"/>
      <c r="V12024" s="5"/>
    </row>
    <row r="12025">
      <c r="N12025" s="1"/>
      <c r="V12025" s="5"/>
    </row>
    <row r="12026">
      <c r="N12026" s="1"/>
      <c r="V12026" s="5"/>
    </row>
    <row r="12027">
      <c r="N12027" s="1"/>
      <c r="V12027" s="5"/>
    </row>
    <row r="12028">
      <c r="N12028" s="1"/>
      <c r="V12028" s="5"/>
    </row>
    <row r="12029">
      <c r="N12029" s="1"/>
      <c r="V12029" s="5"/>
    </row>
    <row r="12030">
      <c r="N12030" s="1"/>
      <c r="V12030" s="5"/>
    </row>
    <row r="12031">
      <c r="N12031" s="1"/>
      <c r="V12031" s="5"/>
    </row>
    <row r="12032">
      <c r="N12032" s="1"/>
      <c r="V12032" s="5"/>
    </row>
    <row r="12033">
      <c r="N12033" s="1"/>
      <c r="V12033" s="5"/>
    </row>
    <row r="12034">
      <c r="N12034" s="1"/>
      <c r="V12034" s="5"/>
    </row>
    <row r="12035">
      <c r="N12035" s="1"/>
      <c r="V12035" s="5"/>
    </row>
    <row r="12036">
      <c r="N12036" s="1"/>
      <c r="V12036" s="5"/>
    </row>
    <row r="12037">
      <c r="N12037" s="1"/>
      <c r="V12037" s="5"/>
    </row>
    <row r="12038">
      <c r="N12038" s="1"/>
      <c r="V12038" s="5"/>
    </row>
    <row r="12039">
      <c r="N12039" s="1"/>
      <c r="V12039" s="5"/>
    </row>
    <row r="12040">
      <c r="N12040" s="1"/>
      <c r="V12040" s="5"/>
    </row>
    <row r="12041">
      <c r="N12041" s="1"/>
      <c r="V12041" s="5"/>
    </row>
    <row r="12042">
      <c r="N12042" s="1"/>
      <c r="V12042" s="5"/>
    </row>
    <row r="12043">
      <c r="N12043" s="1"/>
      <c r="V12043" s="5"/>
    </row>
    <row r="12044">
      <c r="N12044" s="1"/>
      <c r="V12044" s="5"/>
    </row>
    <row r="12045">
      <c r="N12045" s="1"/>
      <c r="V12045" s="5"/>
    </row>
    <row r="12046">
      <c r="N12046" s="1"/>
      <c r="V12046" s="5"/>
    </row>
    <row r="12047">
      <c r="N12047" s="1"/>
      <c r="V12047" s="5"/>
    </row>
    <row r="12048">
      <c r="N12048" s="1"/>
      <c r="V12048" s="5"/>
    </row>
    <row r="12049">
      <c r="N12049" s="1"/>
      <c r="V12049" s="5"/>
    </row>
    <row r="12050">
      <c r="N12050" s="1"/>
      <c r="V12050" s="5"/>
    </row>
    <row r="12051">
      <c r="N12051" s="1"/>
      <c r="V12051" s="5"/>
    </row>
    <row r="12052">
      <c r="N12052" s="1"/>
      <c r="V12052" s="5"/>
    </row>
    <row r="12053">
      <c r="N12053" s="1"/>
      <c r="V12053" s="5"/>
    </row>
    <row r="12054">
      <c r="N12054" s="1"/>
      <c r="V12054" s="5"/>
    </row>
    <row r="12055">
      <c r="N12055" s="1"/>
      <c r="V12055" s="5"/>
    </row>
    <row r="12056">
      <c r="N12056" s="1"/>
      <c r="V12056" s="5"/>
    </row>
    <row r="12057">
      <c r="N12057" s="1"/>
      <c r="V12057" s="5"/>
    </row>
    <row r="12058">
      <c r="N12058" s="1"/>
      <c r="V12058" s="5"/>
    </row>
    <row r="12059">
      <c r="N12059" s="1"/>
      <c r="V12059" s="5"/>
    </row>
    <row r="12060">
      <c r="N12060" s="1"/>
      <c r="V12060" s="5"/>
    </row>
    <row r="12061">
      <c r="N12061" s="1"/>
      <c r="V12061" s="5"/>
    </row>
    <row r="12062">
      <c r="N12062" s="1"/>
      <c r="V12062" s="5"/>
    </row>
    <row r="12063">
      <c r="N12063" s="1"/>
      <c r="V12063" s="5"/>
    </row>
    <row r="12064">
      <c r="N12064" s="1"/>
      <c r="V12064" s="5"/>
    </row>
    <row r="12065">
      <c r="N12065" s="1"/>
      <c r="V12065" s="5"/>
    </row>
    <row r="12066">
      <c r="N12066" s="1"/>
      <c r="V12066" s="5"/>
    </row>
    <row r="12067">
      <c r="N12067" s="1"/>
      <c r="V12067" s="5"/>
    </row>
    <row r="12068">
      <c r="N12068" s="1"/>
      <c r="V12068" s="5"/>
    </row>
    <row r="12069">
      <c r="N12069" s="1"/>
      <c r="V12069" s="5"/>
    </row>
    <row r="12070">
      <c r="N12070" s="1"/>
      <c r="V12070" s="5"/>
    </row>
    <row r="12071">
      <c r="N12071" s="1"/>
      <c r="V12071" s="5"/>
    </row>
    <row r="12072">
      <c r="N12072" s="1"/>
      <c r="V12072" s="5"/>
    </row>
    <row r="12073">
      <c r="N12073" s="1"/>
      <c r="V12073" s="5"/>
    </row>
    <row r="12074">
      <c r="N12074" s="1"/>
      <c r="V12074" s="5"/>
    </row>
    <row r="12075">
      <c r="N12075" s="1"/>
      <c r="V12075" s="5"/>
    </row>
    <row r="12076">
      <c r="N12076" s="1"/>
      <c r="V12076" s="5"/>
    </row>
    <row r="12077">
      <c r="N12077" s="1"/>
      <c r="V12077" s="5"/>
    </row>
    <row r="12078">
      <c r="N12078" s="1"/>
      <c r="V12078" s="5"/>
    </row>
    <row r="12079">
      <c r="N12079" s="1"/>
      <c r="V12079" s="5"/>
    </row>
    <row r="12080">
      <c r="N12080" s="1"/>
      <c r="V12080" s="5"/>
    </row>
    <row r="12081">
      <c r="N12081" s="1"/>
      <c r="V12081" s="5"/>
    </row>
    <row r="12082">
      <c r="N12082" s="1"/>
      <c r="V12082" s="5"/>
    </row>
    <row r="12083">
      <c r="N12083" s="1"/>
      <c r="V12083" s="5"/>
    </row>
    <row r="12084">
      <c r="N12084" s="1"/>
      <c r="V12084" s="5"/>
    </row>
    <row r="12085">
      <c r="N12085" s="1"/>
      <c r="V12085" s="5"/>
    </row>
    <row r="12086">
      <c r="N12086" s="1"/>
      <c r="V12086" s="5"/>
    </row>
    <row r="12087">
      <c r="N12087" s="1"/>
      <c r="V12087" s="5"/>
    </row>
    <row r="12088">
      <c r="N12088" s="1"/>
      <c r="V12088" s="5"/>
    </row>
    <row r="12089">
      <c r="N12089" s="1"/>
      <c r="V12089" s="5"/>
    </row>
    <row r="12090">
      <c r="N12090" s="1"/>
      <c r="V12090" s="5"/>
    </row>
    <row r="12091">
      <c r="N12091" s="1"/>
      <c r="V12091" s="5"/>
    </row>
    <row r="12092">
      <c r="N12092" s="1"/>
      <c r="V12092" s="5"/>
    </row>
    <row r="12093">
      <c r="N12093" s="1"/>
      <c r="V12093" s="5"/>
    </row>
    <row r="12094">
      <c r="N12094" s="1"/>
      <c r="V12094" s="5"/>
    </row>
    <row r="12095">
      <c r="N12095" s="1"/>
      <c r="V12095" s="5"/>
    </row>
    <row r="12096">
      <c r="N12096" s="1"/>
      <c r="V12096" s="5"/>
    </row>
    <row r="12097">
      <c r="N12097" s="1"/>
      <c r="V12097" s="5"/>
    </row>
    <row r="12098">
      <c r="N12098" s="1"/>
      <c r="V12098" s="5"/>
    </row>
    <row r="12099">
      <c r="N12099" s="1"/>
      <c r="V12099" s="5"/>
    </row>
    <row r="12100">
      <c r="N12100" s="1"/>
      <c r="V12100" s="5"/>
    </row>
    <row r="12101">
      <c r="N12101" s="1"/>
      <c r="V12101" s="5"/>
    </row>
    <row r="12102">
      <c r="N12102" s="1"/>
      <c r="V12102" s="5"/>
    </row>
    <row r="12103">
      <c r="N12103" s="1"/>
      <c r="V12103" s="5"/>
    </row>
    <row r="12104">
      <c r="N12104" s="1"/>
      <c r="V12104" s="5"/>
    </row>
    <row r="12105">
      <c r="N12105" s="1"/>
      <c r="V12105" s="5"/>
    </row>
    <row r="12106">
      <c r="N12106" s="1"/>
      <c r="V12106" s="5"/>
    </row>
    <row r="12107">
      <c r="N12107" s="1"/>
      <c r="V12107" s="5"/>
    </row>
    <row r="12108">
      <c r="N12108" s="1"/>
      <c r="V12108" s="5"/>
    </row>
    <row r="12109">
      <c r="N12109" s="1"/>
      <c r="V12109" s="5"/>
    </row>
    <row r="12110">
      <c r="N12110" s="1"/>
      <c r="V12110" s="5"/>
    </row>
    <row r="12111">
      <c r="N12111" s="1"/>
      <c r="V12111" s="5"/>
    </row>
    <row r="12112">
      <c r="N12112" s="1"/>
      <c r="V12112" s="5"/>
    </row>
    <row r="12113">
      <c r="N12113" s="1"/>
      <c r="V12113" s="5"/>
    </row>
    <row r="12114">
      <c r="N12114" s="1"/>
      <c r="V12114" s="5"/>
    </row>
    <row r="12115">
      <c r="N12115" s="1"/>
      <c r="V12115" s="5"/>
    </row>
    <row r="12116">
      <c r="N12116" s="1"/>
      <c r="V12116" s="5"/>
    </row>
    <row r="12117">
      <c r="N12117" s="1"/>
      <c r="V12117" s="5"/>
    </row>
    <row r="12118">
      <c r="N12118" s="1"/>
      <c r="V12118" s="5"/>
    </row>
    <row r="12119">
      <c r="N12119" s="1"/>
      <c r="V12119" s="5"/>
    </row>
    <row r="12120">
      <c r="N12120" s="1"/>
      <c r="V12120" s="5"/>
    </row>
    <row r="12121">
      <c r="N12121" s="1"/>
      <c r="V12121" s="5"/>
    </row>
    <row r="12122">
      <c r="N12122" s="1"/>
      <c r="V12122" s="5"/>
    </row>
    <row r="12123">
      <c r="N12123" s="1"/>
      <c r="V12123" s="5"/>
    </row>
    <row r="12124">
      <c r="N12124" s="1"/>
      <c r="V12124" s="5"/>
    </row>
    <row r="12125">
      <c r="N12125" s="1"/>
      <c r="V12125" s="5"/>
    </row>
    <row r="12126">
      <c r="N12126" s="1"/>
      <c r="V12126" s="5"/>
    </row>
    <row r="12127">
      <c r="N12127" s="1"/>
      <c r="V12127" s="5"/>
    </row>
    <row r="12128">
      <c r="N12128" s="1"/>
      <c r="V12128" s="5"/>
    </row>
    <row r="12129">
      <c r="N12129" s="1"/>
      <c r="V12129" s="5"/>
    </row>
    <row r="12130">
      <c r="N12130" s="1"/>
      <c r="V12130" s="5"/>
    </row>
    <row r="12131">
      <c r="N12131" s="1"/>
      <c r="V12131" s="5"/>
    </row>
    <row r="12132">
      <c r="N12132" s="1"/>
      <c r="V12132" s="5"/>
    </row>
    <row r="12133">
      <c r="N12133" s="1"/>
      <c r="V12133" s="5"/>
    </row>
    <row r="12134">
      <c r="N12134" s="1"/>
      <c r="V12134" s="5"/>
    </row>
    <row r="12135">
      <c r="N12135" s="1"/>
      <c r="V12135" s="5"/>
    </row>
    <row r="12136">
      <c r="N12136" s="1"/>
      <c r="V12136" s="5"/>
    </row>
    <row r="12137">
      <c r="N12137" s="1"/>
      <c r="V12137" s="5"/>
    </row>
    <row r="12138">
      <c r="N12138" s="1"/>
      <c r="V12138" s="5"/>
    </row>
    <row r="12139">
      <c r="N12139" s="1"/>
      <c r="V12139" s="5"/>
    </row>
    <row r="12140">
      <c r="N12140" s="1"/>
      <c r="V12140" s="5"/>
    </row>
    <row r="12141">
      <c r="N12141" s="1"/>
      <c r="V12141" s="5"/>
    </row>
    <row r="12142">
      <c r="N12142" s="1"/>
      <c r="V12142" s="5"/>
    </row>
    <row r="12143">
      <c r="N12143" s="1"/>
      <c r="V12143" s="5"/>
    </row>
    <row r="12144">
      <c r="N12144" s="1"/>
      <c r="V12144" s="5"/>
    </row>
    <row r="12145">
      <c r="N12145" s="1"/>
      <c r="V12145" s="5"/>
    </row>
    <row r="12146">
      <c r="N12146" s="1"/>
      <c r="V12146" s="5"/>
    </row>
    <row r="12147">
      <c r="N12147" s="1"/>
      <c r="V12147" s="5"/>
    </row>
    <row r="12148">
      <c r="N12148" s="1"/>
      <c r="V12148" s="5"/>
    </row>
    <row r="12149">
      <c r="N12149" s="1"/>
      <c r="V12149" s="5"/>
    </row>
    <row r="12150">
      <c r="N12150" s="1"/>
      <c r="V12150" s="5"/>
    </row>
    <row r="12151">
      <c r="N12151" s="1"/>
      <c r="V12151" s="5"/>
    </row>
    <row r="12152">
      <c r="N12152" s="1"/>
      <c r="V12152" s="5"/>
    </row>
    <row r="12153">
      <c r="N12153" s="1"/>
      <c r="V12153" s="5"/>
    </row>
    <row r="12154">
      <c r="N12154" s="1"/>
      <c r="V12154" s="5"/>
    </row>
    <row r="12155">
      <c r="N12155" s="1"/>
      <c r="V12155" s="5"/>
    </row>
    <row r="12156">
      <c r="N12156" s="1"/>
      <c r="V12156" s="5"/>
    </row>
    <row r="12157">
      <c r="N12157" s="1"/>
      <c r="V12157" s="5"/>
    </row>
    <row r="12158">
      <c r="N12158" s="1"/>
      <c r="V12158" s="5"/>
    </row>
    <row r="12159">
      <c r="N12159" s="1"/>
      <c r="V12159" s="5"/>
    </row>
    <row r="12160">
      <c r="N12160" s="1"/>
      <c r="V12160" s="5"/>
    </row>
    <row r="12161">
      <c r="N12161" s="1"/>
      <c r="V12161" s="5"/>
    </row>
    <row r="12162">
      <c r="N12162" s="1"/>
      <c r="V12162" s="5"/>
    </row>
    <row r="12163">
      <c r="N12163" s="1"/>
      <c r="V12163" s="5"/>
    </row>
    <row r="12164">
      <c r="N12164" s="1"/>
      <c r="V12164" s="5"/>
    </row>
    <row r="12165">
      <c r="N12165" s="1"/>
      <c r="V12165" s="5"/>
    </row>
    <row r="12166">
      <c r="N12166" s="1"/>
      <c r="V12166" s="5"/>
    </row>
    <row r="12167">
      <c r="N12167" s="1"/>
      <c r="V12167" s="5"/>
    </row>
    <row r="12168">
      <c r="N12168" s="1"/>
      <c r="V12168" s="5"/>
    </row>
    <row r="12169">
      <c r="N12169" s="1"/>
      <c r="V12169" s="5"/>
    </row>
    <row r="12170">
      <c r="N12170" s="1"/>
      <c r="V12170" s="5"/>
    </row>
    <row r="12171">
      <c r="N12171" s="1"/>
      <c r="V12171" s="5"/>
    </row>
    <row r="12172">
      <c r="N12172" s="1"/>
      <c r="V12172" s="5"/>
    </row>
    <row r="12173">
      <c r="N12173" s="1"/>
      <c r="V12173" s="5"/>
    </row>
    <row r="12174">
      <c r="N12174" s="1"/>
      <c r="V12174" s="5"/>
    </row>
    <row r="12175">
      <c r="N12175" s="1"/>
      <c r="V12175" s="5"/>
    </row>
    <row r="12176">
      <c r="N12176" s="1"/>
      <c r="V12176" s="5"/>
    </row>
    <row r="12177">
      <c r="N12177" s="1"/>
      <c r="V12177" s="5"/>
    </row>
    <row r="12178">
      <c r="N12178" s="1"/>
      <c r="V12178" s="5"/>
    </row>
    <row r="12179">
      <c r="N12179" s="1"/>
      <c r="V12179" s="5"/>
    </row>
    <row r="12180">
      <c r="N12180" s="1"/>
      <c r="V12180" s="5"/>
    </row>
    <row r="12181">
      <c r="N12181" s="1"/>
      <c r="V12181" s="5"/>
    </row>
    <row r="12182">
      <c r="N12182" s="1"/>
      <c r="V12182" s="5"/>
    </row>
    <row r="12183">
      <c r="N12183" s="1"/>
      <c r="V12183" s="5"/>
    </row>
    <row r="12184">
      <c r="N12184" s="1"/>
      <c r="V12184" s="5"/>
    </row>
    <row r="12185">
      <c r="N12185" s="1"/>
      <c r="V12185" s="5"/>
    </row>
    <row r="12186">
      <c r="N12186" s="1"/>
      <c r="V12186" s="5"/>
    </row>
    <row r="12187">
      <c r="N12187" s="1"/>
      <c r="V12187" s="5"/>
    </row>
    <row r="12188">
      <c r="N12188" s="1"/>
      <c r="V12188" s="5"/>
    </row>
    <row r="12189">
      <c r="N12189" s="1"/>
      <c r="V12189" s="5"/>
    </row>
    <row r="12190">
      <c r="N12190" s="1"/>
      <c r="V12190" s="5"/>
    </row>
    <row r="12191">
      <c r="N12191" s="1"/>
      <c r="V12191" s="5"/>
    </row>
    <row r="12192">
      <c r="N12192" s="1"/>
      <c r="V12192" s="5"/>
    </row>
    <row r="12193">
      <c r="N12193" s="1"/>
      <c r="V12193" s="5"/>
    </row>
    <row r="12194">
      <c r="N12194" s="1"/>
      <c r="V12194" s="5"/>
    </row>
    <row r="12195">
      <c r="N12195" s="1"/>
      <c r="V12195" s="5"/>
    </row>
    <row r="12196">
      <c r="N12196" s="1"/>
      <c r="V12196" s="5"/>
    </row>
    <row r="12197">
      <c r="N12197" s="1"/>
      <c r="V12197" s="5"/>
    </row>
    <row r="12198">
      <c r="N12198" s="1"/>
      <c r="V12198" s="5"/>
    </row>
    <row r="12199">
      <c r="N12199" s="1"/>
      <c r="V12199" s="5"/>
    </row>
    <row r="12200">
      <c r="N12200" s="1"/>
      <c r="V12200" s="5"/>
    </row>
    <row r="12201">
      <c r="N12201" s="1"/>
      <c r="V12201" s="5"/>
    </row>
    <row r="12202">
      <c r="N12202" s="1"/>
      <c r="V12202" s="5"/>
    </row>
    <row r="12203">
      <c r="N12203" s="1"/>
      <c r="V12203" s="5"/>
    </row>
    <row r="12204">
      <c r="N12204" s="1"/>
      <c r="V12204" s="5"/>
    </row>
    <row r="12205">
      <c r="N12205" s="1"/>
      <c r="V12205" s="5"/>
    </row>
    <row r="12206">
      <c r="N12206" s="1"/>
      <c r="V12206" s="5"/>
    </row>
    <row r="12207">
      <c r="N12207" s="1"/>
      <c r="V12207" s="5"/>
    </row>
    <row r="12208">
      <c r="N12208" s="1"/>
      <c r="V12208" s="5"/>
    </row>
    <row r="12209">
      <c r="N12209" s="1"/>
      <c r="V12209" s="5"/>
    </row>
    <row r="12210">
      <c r="N12210" s="1"/>
      <c r="V12210" s="5"/>
    </row>
    <row r="12211">
      <c r="N12211" s="1"/>
      <c r="V12211" s="5"/>
    </row>
    <row r="12212">
      <c r="N12212" s="1"/>
      <c r="V12212" s="5"/>
    </row>
    <row r="12213">
      <c r="N12213" s="1"/>
      <c r="V12213" s="5"/>
    </row>
    <row r="12214">
      <c r="N12214" s="1"/>
      <c r="V12214" s="5"/>
    </row>
    <row r="12215">
      <c r="N12215" s="1"/>
      <c r="V12215" s="5"/>
    </row>
    <row r="12216">
      <c r="N12216" s="1"/>
      <c r="V12216" s="5"/>
    </row>
    <row r="12217">
      <c r="N12217" s="1"/>
      <c r="V12217" s="5"/>
    </row>
    <row r="12218">
      <c r="N12218" s="1"/>
      <c r="V12218" s="5"/>
    </row>
    <row r="12219">
      <c r="N12219" s="1"/>
      <c r="V12219" s="5"/>
    </row>
    <row r="12220">
      <c r="N12220" s="1"/>
      <c r="V12220" s="5"/>
    </row>
    <row r="12221">
      <c r="N12221" s="1"/>
      <c r="V12221" s="5"/>
    </row>
    <row r="12222">
      <c r="N12222" s="1"/>
      <c r="V12222" s="5"/>
    </row>
    <row r="12223">
      <c r="N12223" s="1"/>
      <c r="V12223" s="5"/>
    </row>
    <row r="12224">
      <c r="N12224" s="1"/>
      <c r="V12224" s="5"/>
    </row>
    <row r="12225">
      <c r="N12225" s="1"/>
      <c r="V12225" s="5"/>
    </row>
    <row r="12226">
      <c r="N12226" s="1"/>
      <c r="V12226" s="5"/>
    </row>
    <row r="12227">
      <c r="N12227" s="1"/>
      <c r="V12227" s="5"/>
    </row>
    <row r="12228">
      <c r="N12228" s="1"/>
      <c r="V12228" s="5"/>
    </row>
    <row r="12229">
      <c r="N12229" s="1"/>
      <c r="V12229" s="5"/>
    </row>
    <row r="12230">
      <c r="N12230" s="1"/>
      <c r="V12230" s="5"/>
    </row>
    <row r="12231">
      <c r="N12231" s="1"/>
      <c r="V12231" s="5"/>
    </row>
    <row r="12232">
      <c r="N12232" s="1"/>
      <c r="V12232" s="5"/>
    </row>
    <row r="12233">
      <c r="N12233" s="1"/>
      <c r="V12233" s="5"/>
    </row>
    <row r="12234">
      <c r="N12234" s="1"/>
      <c r="V12234" s="5"/>
    </row>
    <row r="12235">
      <c r="N12235" s="1"/>
      <c r="V12235" s="5"/>
    </row>
    <row r="12236">
      <c r="N12236" s="1"/>
      <c r="V12236" s="5"/>
    </row>
    <row r="12237">
      <c r="N12237" s="1"/>
      <c r="V12237" s="5"/>
    </row>
    <row r="12238">
      <c r="N12238" s="1"/>
      <c r="V12238" s="5"/>
    </row>
    <row r="12239">
      <c r="N12239" s="1"/>
      <c r="V12239" s="5"/>
    </row>
    <row r="12240">
      <c r="N12240" s="1"/>
      <c r="V12240" s="5"/>
    </row>
    <row r="12241">
      <c r="N12241" s="1"/>
      <c r="V12241" s="5"/>
    </row>
    <row r="12242">
      <c r="N12242" s="1"/>
      <c r="V12242" s="5"/>
    </row>
    <row r="12243">
      <c r="N12243" s="1"/>
      <c r="V12243" s="5"/>
    </row>
    <row r="12244">
      <c r="N12244" s="1"/>
      <c r="V12244" s="5"/>
    </row>
    <row r="12245">
      <c r="N12245" s="1"/>
      <c r="V12245" s="5"/>
    </row>
    <row r="12246">
      <c r="N12246" s="1"/>
      <c r="V12246" s="5"/>
    </row>
    <row r="12247">
      <c r="N12247" s="1"/>
      <c r="V12247" s="5"/>
    </row>
    <row r="12248">
      <c r="N12248" s="1"/>
      <c r="V12248" s="5"/>
    </row>
    <row r="12249">
      <c r="N12249" s="1"/>
      <c r="V12249" s="5"/>
    </row>
    <row r="12250">
      <c r="N12250" s="1"/>
      <c r="V12250" s="5"/>
    </row>
    <row r="12251">
      <c r="N12251" s="1"/>
      <c r="V12251" s="5"/>
    </row>
    <row r="12252">
      <c r="N12252" s="1"/>
      <c r="V12252" s="5"/>
    </row>
    <row r="12253">
      <c r="N12253" s="1"/>
      <c r="V12253" s="5"/>
    </row>
    <row r="12254">
      <c r="N12254" s="1"/>
      <c r="V12254" s="5"/>
    </row>
    <row r="12255">
      <c r="N12255" s="1"/>
      <c r="V12255" s="5"/>
    </row>
    <row r="12256">
      <c r="N12256" s="1"/>
      <c r="V12256" s="5"/>
    </row>
    <row r="12257">
      <c r="N12257" s="1"/>
      <c r="V12257" s="5"/>
    </row>
    <row r="12258">
      <c r="N12258" s="1"/>
      <c r="V12258" s="5"/>
    </row>
    <row r="12259">
      <c r="N12259" s="1"/>
      <c r="V12259" s="5"/>
    </row>
    <row r="12260">
      <c r="N12260" s="1"/>
      <c r="V12260" s="5"/>
    </row>
    <row r="12261">
      <c r="N12261" s="1"/>
      <c r="V12261" s="5"/>
    </row>
    <row r="12262">
      <c r="N12262" s="1"/>
      <c r="V12262" s="5"/>
    </row>
    <row r="12263">
      <c r="N12263" s="1"/>
      <c r="V12263" s="5"/>
    </row>
    <row r="12264">
      <c r="N12264" s="1"/>
      <c r="V12264" s="5"/>
    </row>
    <row r="12265">
      <c r="N12265" s="1"/>
      <c r="V12265" s="5"/>
    </row>
    <row r="12266">
      <c r="N12266" s="1"/>
      <c r="V12266" s="5"/>
    </row>
    <row r="12267">
      <c r="N12267" s="1"/>
      <c r="V12267" s="5"/>
    </row>
    <row r="12268">
      <c r="N12268" s="1"/>
      <c r="V12268" s="5"/>
    </row>
    <row r="12269">
      <c r="N12269" s="1"/>
      <c r="V12269" s="5"/>
    </row>
    <row r="12270">
      <c r="N12270" s="1"/>
      <c r="V12270" s="5"/>
    </row>
    <row r="12271">
      <c r="N12271" s="1"/>
      <c r="V12271" s="5"/>
    </row>
    <row r="12272">
      <c r="N12272" s="1"/>
      <c r="V12272" s="5"/>
    </row>
    <row r="12273">
      <c r="N12273" s="1"/>
      <c r="V12273" s="5"/>
    </row>
    <row r="12274">
      <c r="N12274" s="1"/>
      <c r="V12274" s="5"/>
    </row>
    <row r="12275">
      <c r="N12275" s="1"/>
      <c r="V12275" s="5"/>
    </row>
    <row r="12276">
      <c r="N12276" s="1"/>
      <c r="V12276" s="5"/>
    </row>
    <row r="12277">
      <c r="N12277" s="1"/>
      <c r="V12277" s="5"/>
    </row>
    <row r="12278">
      <c r="N12278" s="1"/>
      <c r="V12278" s="5"/>
    </row>
    <row r="12279">
      <c r="N12279" s="1"/>
      <c r="V12279" s="5"/>
    </row>
    <row r="12280">
      <c r="N12280" s="1"/>
      <c r="V12280" s="5"/>
    </row>
    <row r="12281">
      <c r="N12281" s="1"/>
      <c r="V12281" s="5"/>
    </row>
    <row r="12282">
      <c r="N12282" s="1"/>
      <c r="V12282" s="5"/>
    </row>
    <row r="12283">
      <c r="N12283" s="1"/>
      <c r="V12283" s="5"/>
    </row>
    <row r="12284">
      <c r="N12284" s="1"/>
      <c r="V12284" s="5"/>
    </row>
    <row r="12285">
      <c r="N12285" s="1"/>
      <c r="V12285" s="5"/>
    </row>
    <row r="12286">
      <c r="N12286" s="1"/>
      <c r="V12286" s="5"/>
    </row>
    <row r="12287">
      <c r="N12287" s="1"/>
      <c r="V12287" s="5"/>
    </row>
    <row r="12288">
      <c r="N12288" s="1"/>
      <c r="V12288" s="5"/>
    </row>
    <row r="12289">
      <c r="N12289" s="1"/>
      <c r="V12289" s="5"/>
    </row>
    <row r="12290">
      <c r="N12290" s="1"/>
      <c r="V12290" s="5"/>
    </row>
    <row r="12291">
      <c r="N12291" s="1"/>
      <c r="V12291" s="5"/>
    </row>
    <row r="12292">
      <c r="N12292" s="1"/>
      <c r="V12292" s="5"/>
    </row>
    <row r="12293">
      <c r="N12293" s="1"/>
      <c r="V12293" s="5"/>
    </row>
    <row r="12294">
      <c r="N12294" s="1"/>
      <c r="V12294" s="5"/>
    </row>
    <row r="12295">
      <c r="N12295" s="1"/>
      <c r="V12295" s="5"/>
    </row>
    <row r="12296">
      <c r="N12296" s="1"/>
      <c r="V12296" s="5"/>
    </row>
    <row r="12297">
      <c r="N12297" s="1"/>
      <c r="V12297" s="5"/>
    </row>
    <row r="12298">
      <c r="N12298" s="1"/>
      <c r="V12298" s="5"/>
    </row>
    <row r="12299">
      <c r="N12299" s="1"/>
      <c r="V12299" s="5"/>
    </row>
    <row r="12300">
      <c r="N12300" s="1"/>
      <c r="V12300" s="5"/>
    </row>
    <row r="12301">
      <c r="N12301" s="1"/>
      <c r="V12301" s="5"/>
    </row>
    <row r="12302">
      <c r="N12302" s="1"/>
      <c r="V12302" s="5"/>
    </row>
    <row r="12303">
      <c r="N12303" s="1"/>
      <c r="V12303" s="5"/>
    </row>
    <row r="12304">
      <c r="N12304" s="1"/>
      <c r="V12304" s="5"/>
    </row>
    <row r="12305">
      <c r="N12305" s="1"/>
      <c r="V12305" s="5"/>
    </row>
    <row r="12306">
      <c r="N12306" s="1"/>
      <c r="V12306" s="5"/>
    </row>
    <row r="12307">
      <c r="N12307" s="1"/>
      <c r="V12307" s="5"/>
    </row>
    <row r="12308">
      <c r="N12308" s="1"/>
      <c r="V12308" s="5"/>
    </row>
    <row r="12309">
      <c r="N12309" s="1"/>
      <c r="V12309" s="5"/>
    </row>
    <row r="12310">
      <c r="N12310" s="1"/>
      <c r="V12310" s="5"/>
    </row>
    <row r="12311">
      <c r="N12311" s="1"/>
      <c r="V12311" s="5"/>
    </row>
    <row r="12312">
      <c r="N12312" s="1"/>
      <c r="V12312" s="5"/>
    </row>
    <row r="12313">
      <c r="N12313" s="1"/>
      <c r="V12313" s="5"/>
    </row>
    <row r="12314">
      <c r="N12314" s="1"/>
      <c r="V12314" s="5"/>
    </row>
    <row r="12315">
      <c r="N12315" s="1"/>
      <c r="V12315" s="5"/>
    </row>
    <row r="12316">
      <c r="N12316" s="1"/>
      <c r="V12316" s="5"/>
    </row>
    <row r="12317">
      <c r="N12317" s="1"/>
      <c r="V12317" s="5"/>
    </row>
    <row r="12318">
      <c r="N12318" s="1"/>
      <c r="V12318" s="5"/>
    </row>
    <row r="12319">
      <c r="N12319" s="1"/>
      <c r="V12319" s="5"/>
    </row>
    <row r="12320">
      <c r="N12320" s="1"/>
      <c r="V12320" s="5"/>
    </row>
    <row r="12321">
      <c r="N12321" s="1"/>
      <c r="V12321" s="5"/>
    </row>
    <row r="12322">
      <c r="N12322" s="1"/>
      <c r="V12322" s="5"/>
    </row>
    <row r="12323">
      <c r="N12323" s="1"/>
      <c r="V12323" s="5"/>
    </row>
    <row r="12324">
      <c r="N12324" s="1"/>
      <c r="V12324" s="5"/>
    </row>
    <row r="12325">
      <c r="N12325" s="1"/>
      <c r="V12325" s="5"/>
    </row>
    <row r="12326">
      <c r="N12326" s="1"/>
      <c r="V12326" s="5"/>
    </row>
    <row r="12327">
      <c r="N12327" s="1"/>
      <c r="V12327" s="5"/>
    </row>
    <row r="12328">
      <c r="N12328" s="1"/>
      <c r="V12328" s="5"/>
    </row>
    <row r="12329">
      <c r="N12329" s="1"/>
      <c r="V12329" s="5"/>
    </row>
    <row r="12330">
      <c r="N12330" s="1"/>
      <c r="V12330" s="5"/>
    </row>
    <row r="12331">
      <c r="N12331" s="1"/>
      <c r="V12331" s="5"/>
    </row>
    <row r="12332">
      <c r="N12332" s="1"/>
      <c r="V12332" s="5"/>
    </row>
    <row r="12333">
      <c r="N12333" s="1"/>
      <c r="V12333" s="5"/>
    </row>
    <row r="12334">
      <c r="N12334" s="1"/>
      <c r="V12334" s="5"/>
    </row>
    <row r="12335">
      <c r="N12335" s="1"/>
      <c r="V12335" s="5"/>
    </row>
    <row r="12336">
      <c r="N12336" s="1"/>
      <c r="V12336" s="5"/>
    </row>
    <row r="12337">
      <c r="N12337" s="1"/>
      <c r="V12337" s="5"/>
    </row>
    <row r="12338">
      <c r="N12338" s="1"/>
      <c r="V12338" s="5"/>
    </row>
    <row r="12339">
      <c r="N12339" s="1"/>
      <c r="V12339" s="5"/>
    </row>
    <row r="12340">
      <c r="N12340" s="1"/>
      <c r="V12340" s="5"/>
    </row>
    <row r="12341">
      <c r="N12341" s="1"/>
      <c r="V12341" s="5"/>
    </row>
    <row r="12342">
      <c r="N12342" s="1"/>
      <c r="V12342" s="5"/>
    </row>
    <row r="12343">
      <c r="N12343" s="1"/>
      <c r="V12343" s="5"/>
    </row>
    <row r="12344">
      <c r="N12344" s="1"/>
      <c r="V12344" s="5"/>
    </row>
    <row r="12345">
      <c r="N12345" s="1"/>
      <c r="V12345" s="5"/>
    </row>
    <row r="12346">
      <c r="N12346" s="1"/>
      <c r="V12346" s="5"/>
    </row>
    <row r="12347">
      <c r="N12347" s="1"/>
      <c r="V12347" s="5"/>
    </row>
    <row r="12348">
      <c r="N12348" s="1"/>
      <c r="V12348" s="5"/>
    </row>
    <row r="12349">
      <c r="N12349" s="1"/>
      <c r="V12349" s="5"/>
    </row>
    <row r="12350">
      <c r="N12350" s="1"/>
      <c r="V12350" s="5"/>
    </row>
    <row r="12351">
      <c r="N12351" s="1"/>
      <c r="V12351" s="5"/>
    </row>
    <row r="12352">
      <c r="N12352" s="1"/>
      <c r="V12352" s="5"/>
    </row>
    <row r="12353">
      <c r="N12353" s="1"/>
      <c r="V12353" s="5"/>
    </row>
    <row r="12354">
      <c r="N12354" s="1"/>
      <c r="V12354" s="5"/>
    </row>
    <row r="12355">
      <c r="N12355" s="1"/>
      <c r="V12355" s="5"/>
    </row>
    <row r="12356">
      <c r="N12356" s="1"/>
      <c r="V12356" s="5"/>
    </row>
    <row r="12357">
      <c r="N12357" s="1"/>
      <c r="V12357" s="5"/>
    </row>
    <row r="12358">
      <c r="N12358" s="1"/>
      <c r="V12358" s="5"/>
    </row>
    <row r="12359">
      <c r="N12359" s="1"/>
      <c r="V12359" s="5"/>
    </row>
    <row r="12360">
      <c r="N12360" s="1"/>
      <c r="V12360" s="5"/>
    </row>
    <row r="12361">
      <c r="N12361" s="1"/>
      <c r="V12361" s="5"/>
    </row>
    <row r="12362">
      <c r="N12362" s="1"/>
      <c r="V12362" s="5"/>
    </row>
    <row r="12363">
      <c r="N12363" s="1"/>
      <c r="V12363" s="5"/>
    </row>
    <row r="12364">
      <c r="N12364" s="1"/>
      <c r="V12364" s="5"/>
    </row>
    <row r="12365">
      <c r="N12365" s="1"/>
      <c r="V12365" s="5"/>
    </row>
    <row r="12366">
      <c r="N12366" s="1"/>
      <c r="V12366" s="5"/>
    </row>
    <row r="12367">
      <c r="N12367" s="1"/>
      <c r="V12367" s="5"/>
    </row>
    <row r="12368">
      <c r="N12368" s="1"/>
      <c r="V12368" s="5"/>
    </row>
    <row r="12369">
      <c r="N12369" s="1"/>
      <c r="V12369" s="5"/>
    </row>
    <row r="12370">
      <c r="N12370" s="1"/>
      <c r="V12370" s="5"/>
    </row>
    <row r="12371">
      <c r="N12371" s="1"/>
      <c r="V12371" s="5"/>
    </row>
    <row r="12372">
      <c r="N12372" s="1"/>
      <c r="V12372" s="5"/>
    </row>
    <row r="12373">
      <c r="N12373" s="1"/>
      <c r="V12373" s="5"/>
    </row>
    <row r="12374">
      <c r="N12374" s="1"/>
      <c r="V12374" s="5"/>
    </row>
    <row r="12375">
      <c r="N12375" s="1"/>
      <c r="V12375" s="5"/>
    </row>
    <row r="12376">
      <c r="N12376" s="1"/>
      <c r="V12376" s="5"/>
    </row>
    <row r="12377">
      <c r="N12377" s="1"/>
      <c r="V12377" s="5"/>
    </row>
    <row r="12378">
      <c r="N12378" s="1"/>
      <c r="V12378" s="5"/>
    </row>
    <row r="12379">
      <c r="N12379" s="1"/>
      <c r="V12379" s="5"/>
    </row>
    <row r="12380">
      <c r="N12380" s="1"/>
      <c r="V12380" s="5"/>
    </row>
    <row r="12381">
      <c r="N12381" s="1"/>
      <c r="V12381" s="5"/>
    </row>
    <row r="12382">
      <c r="N12382" s="1"/>
      <c r="V12382" s="5"/>
    </row>
    <row r="12383">
      <c r="N12383" s="1"/>
      <c r="V12383" s="5"/>
    </row>
    <row r="12384">
      <c r="N12384" s="1"/>
      <c r="V12384" s="5"/>
    </row>
    <row r="12385">
      <c r="N12385" s="1"/>
      <c r="V12385" s="5"/>
    </row>
    <row r="12386">
      <c r="N12386" s="1"/>
      <c r="V12386" s="5"/>
    </row>
    <row r="12387">
      <c r="N12387" s="1"/>
      <c r="V12387" s="5"/>
    </row>
    <row r="12388">
      <c r="N12388" s="1"/>
      <c r="V12388" s="5"/>
    </row>
    <row r="12389">
      <c r="N12389" s="1"/>
      <c r="V12389" s="5"/>
    </row>
    <row r="12390">
      <c r="N12390" s="1"/>
      <c r="V12390" s="5"/>
    </row>
    <row r="12391">
      <c r="N12391" s="1"/>
      <c r="V12391" s="5"/>
    </row>
    <row r="12392">
      <c r="N12392" s="1"/>
      <c r="V12392" s="5"/>
    </row>
    <row r="12393">
      <c r="N12393" s="1"/>
      <c r="V12393" s="5"/>
    </row>
    <row r="12394">
      <c r="N12394" s="1"/>
      <c r="V12394" s="5"/>
    </row>
    <row r="12395">
      <c r="N12395" s="1"/>
      <c r="V12395" s="5"/>
    </row>
    <row r="12396">
      <c r="N12396" s="1"/>
      <c r="V12396" s="5"/>
    </row>
    <row r="12397">
      <c r="N12397" s="1"/>
      <c r="V12397" s="5"/>
    </row>
    <row r="12398">
      <c r="N12398" s="1"/>
      <c r="V12398" s="5"/>
    </row>
    <row r="12399">
      <c r="N12399" s="1"/>
      <c r="V12399" s="5"/>
    </row>
    <row r="12400">
      <c r="N12400" s="1"/>
      <c r="V12400" s="5"/>
    </row>
    <row r="12401">
      <c r="N12401" s="1"/>
      <c r="V12401" s="5"/>
    </row>
    <row r="12402">
      <c r="N12402" s="1"/>
      <c r="V12402" s="5"/>
    </row>
    <row r="12403">
      <c r="N12403" s="1"/>
      <c r="V12403" s="5"/>
    </row>
    <row r="12404">
      <c r="N12404" s="1"/>
      <c r="V12404" s="5"/>
    </row>
    <row r="12405">
      <c r="N12405" s="1"/>
      <c r="V12405" s="5"/>
    </row>
    <row r="12406">
      <c r="N12406" s="1"/>
      <c r="V12406" s="5"/>
    </row>
    <row r="12407">
      <c r="N12407" s="1"/>
      <c r="V12407" s="5"/>
    </row>
    <row r="12408">
      <c r="N12408" s="1"/>
      <c r="V12408" s="5"/>
    </row>
    <row r="12409">
      <c r="N12409" s="1"/>
      <c r="V12409" s="5"/>
    </row>
    <row r="12410">
      <c r="N12410" s="1"/>
      <c r="V12410" s="5"/>
    </row>
    <row r="12411">
      <c r="N12411" s="1"/>
      <c r="V12411" s="5"/>
    </row>
    <row r="12412">
      <c r="N12412" s="1"/>
      <c r="V12412" s="5"/>
    </row>
    <row r="12413">
      <c r="N12413" s="1"/>
      <c r="V12413" s="5"/>
    </row>
    <row r="12414">
      <c r="N12414" s="1"/>
      <c r="V12414" s="5"/>
    </row>
    <row r="12415">
      <c r="N12415" s="1"/>
      <c r="V12415" s="5"/>
    </row>
    <row r="12416">
      <c r="N12416" s="1"/>
      <c r="V12416" s="5"/>
    </row>
    <row r="12417">
      <c r="N12417" s="1"/>
      <c r="V12417" s="5"/>
    </row>
    <row r="12418">
      <c r="N12418" s="1"/>
      <c r="V12418" s="5"/>
    </row>
    <row r="12419">
      <c r="N12419" s="1"/>
      <c r="V12419" s="5"/>
    </row>
    <row r="12420">
      <c r="N12420" s="1"/>
      <c r="V12420" s="5"/>
    </row>
    <row r="12421">
      <c r="N12421" s="1"/>
      <c r="V12421" s="5"/>
    </row>
    <row r="12422">
      <c r="N12422" s="1"/>
      <c r="V12422" s="5"/>
    </row>
    <row r="12423">
      <c r="N12423" s="1"/>
      <c r="V12423" s="5"/>
    </row>
    <row r="12424">
      <c r="N12424" s="1"/>
      <c r="V12424" s="5"/>
    </row>
    <row r="12425">
      <c r="N12425" s="1"/>
      <c r="V12425" s="5"/>
    </row>
    <row r="12426">
      <c r="N12426" s="1"/>
      <c r="V12426" s="5"/>
    </row>
    <row r="12427">
      <c r="N12427" s="1"/>
      <c r="V12427" s="5"/>
    </row>
    <row r="12428">
      <c r="N12428" s="1"/>
      <c r="V12428" s="5"/>
    </row>
    <row r="12429">
      <c r="N12429" s="1"/>
      <c r="V12429" s="5"/>
    </row>
    <row r="12430">
      <c r="N12430" s="1"/>
      <c r="V12430" s="5"/>
    </row>
    <row r="12431">
      <c r="N12431" s="1"/>
      <c r="V12431" s="5"/>
    </row>
    <row r="12432">
      <c r="N12432" s="1"/>
      <c r="V12432" s="5"/>
    </row>
    <row r="12433">
      <c r="N12433" s="1"/>
      <c r="V12433" s="5"/>
    </row>
    <row r="12434">
      <c r="N12434" s="1"/>
      <c r="V12434" s="5"/>
    </row>
    <row r="12435">
      <c r="N12435" s="1"/>
      <c r="V12435" s="5"/>
    </row>
    <row r="12436">
      <c r="N12436" s="1"/>
      <c r="V12436" s="5"/>
    </row>
    <row r="12437">
      <c r="N12437" s="1"/>
      <c r="V12437" s="5"/>
    </row>
    <row r="12438">
      <c r="N12438" s="1"/>
      <c r="V12438" s="5"/>
    </row>
    <row r="12439">
      <c r="N12439" s="1"/>
      <c r="V12439" s="5"/>
    </row>
    <row r="12440">
      <c r="N12440" s="1"/>
      <c r="V12440" s="5"/>
    </row>
    <row r="12441">
      <c r="N12441" s="1"/>
      <c r="V12441" s="5"/>
    </row>
    <row r="12442">
      <c r="N12442" s="1"/>
      <c r="V12442" s="5"/>
    </row>
    <row r="12443">
      <c r="N12443" s="1"/>
      <c r="V12443" s="5"/>
    </row>
    <row r="12444">
      <c r="N12444" s="1"/>
      <c r="V12444" s="5"/>
    </row>
    <row r="12445">
      <c r="N12445" s="1"/>
      <c r="V12445" s="5"/>
    </row>
    <row r="12446">
      <c r="N12446" s="1"/>
      <c r="V12446" s="5"/>
    </row>
    <row r="12447">
      <c r="N12447" s="1"/>
      <c r="V12447" s="5"/>
    </row>
    <row r="12448">
      <c r="N12448" s="1"/>
      <c r="V12448" s="5"/>
    </row>
    <row r="12449">
      <c r="N12449" s="1"/>
      <c r="V12449" s="5"/>
    </row>
    <row r="12450">
      <c r="N12450" s="1"/>
      <c r="V12450" s="5"/>
    </row>
    <row r="12451">
      <c r="N12451" s="1"/>
      <c r="V12451" s="5"/>
    </row>
    <row r="12452">
      <c r="N12452" s="1"/>
      <c r="V12452" s="5"/>
    </row>
    <row r="12453">
      <c r="N12453" s="1"/>
      <c r="V12453" s="5"/>
    </row>
    <row r="12454">
      <c r="N12454" s="1"/>
      <c r="V12454" s="5"/>
    </row>
    <row r="12455">
      <c r="N12455" s="1"/>
      <c r="V12455" s="5"/>
    </row>
    <row r="12456">
      <c r="N12456" s="1"/>
      <c r="V12456" s="5"/>
    </row>
    <row r="12457">
      <c r="N12457" s="1"/>
      <c r="V12457" s="5"/>
    </row>
    <row r="12458">
      <c r="N12458" s="1"/>
      <c r="V12458" s="5"/>
    </row>
    <row r="12459">
      <c r="N12459" s="1"/>
      <c r="V12459" s="5"/>
    </row>
    <row r="12460">
      <c r="N12460" s="1"/>
      <c r="V12460" s="5"/>
    </row>
    <row r="12461">
      <c r="N12461" s="1"/>
      <c r="V12461" s="5"/>
    </row>
    <row r="12462">
      <c r="N12462" s="1"/>
      <c r="V12462" s="5"/>
    </row>
    <row r="12463">
      <c r="N12463" s="1"/>
      <c r="V12463" s="5"/>
    </row>
    <row r="12464">
      <c r="N12464" s="1"/>
      <c r="V12464" s="5"/>
    </row>
    <row r="12465">
      <c r="N12465" s="1"/>
      <c r="V12465" s="5"/>
    </row>
    <row r="12466">
      <c r="N12466" s="1"/>
      <c r="V12466" s="5"/>
    </row>
    <row r="12467">
      <c r="N12467" s="1"/>
      <c r="V12467" s="5"/>
    </row>
    <row r="12468">
      <c r="N12468" s="1"/>
      <c r="V12468" s="5"/>
    </row>
    <row r="12469">
      <c r="N12469" s="1"/>
      <c r="V12469" s="5"/>
    </row>
    <row r="12470">
      <c r="N12470" s="1"/>
      <c r="V12470" s="5"/>
    </row>
    <row r="12471">
      <c r="N12471" s="1"/>
      <c r="V12471" s="5"/>
    </row>
    <row r="12472">
      <c r="N12472" s="1"/>
      <c r="V12472" s="5"/>
    </row>
    <row r="12473">
      <c r="N12473" s="1"/>
      <c r="V12473" s="5"/>
    </row>
    <row r="12474">
      <c r="N12474" s="1"/>
      <c r="V12474" s="5"/>
    </row>
    <row r="12475">
      <c r="N12475" s="1"/>
      <c r="V12475" s="5"/>
    </row>
    <row r="12476">
      <c r="N12476" s="1"/>
      <c r="V12476" s="5"/>
    </row>
    <row r="12477">
      <c r="N12477" s="1"/>
      <c r="V12477" s="5"/>
    </row>
    <row r="12478">
      <c r="N12478" s="1"/>
      <c r="V12478" s="5"/>
    </row>
    <row r="12479">
      <c r="N12479" s="1"/>
      <c r="V12479" s="5"/>
    </row>
    <row r="12480">
      <c r="N12480" s="1"/>
      <c r="V12480" s="5"/>
    </row>
    <row r="12481">
      <c r="N12481" s="1"/>
      <c r="V12481" s="5"/>
    </row>
    <row r="12482">
      <c r="N12482" s="1"/>
      <c r="V12482" s="5"/>
    </row>
    <row r="12483">
      <c r="N12483" s="1"/>
      <c r="V12483" s="5"/>
    </row>
    <row r="12484">
      <c r="N12484" s="1"/>
      <c r="V12484" s="5"/>
    </row>
    <row r="12485">
      <c r="N12485" s="1"/>
      <c r="V12485" s="5"/>
    </row>
    <row r="12486">
      <c r="N12486" s="1"/>
      <c r="V12486" s="5"/>
    </row>
    <row r="12487">
      <c r="N12487" s="1"/>
      <c r="V12487" s="5"/>
    </row>
    <row r="12488">
      <c r="N12488" s="1"/>
      <c r="V12488" s="5"/>
    </row>
    <row r="12489">
      <c r="N12489" s="1"/>
      <c r="V12489" s="5"/>
    </row>
    <row r="12490">
      <c r="N12490" s="1"/>
      <c r="V12490" s="5"/>
    </row>
    <row r="12491">
      <c r="N12491" s="1"/>
      <c r="V12491" s="5"/>
    </row>
    <row r="12492">
      <c r="N12492" s="1"/>
      <c r="V12492" s="5"/>
    </row>
    <row r="12493">
      <c r="N12493" s="1"/>
      <c r="V12493" s="5"/>
    </row>
    <row r="12494">
      <c r="N12494" s="1"/>
      <c r="V12494" s="5"/>
    </row>
    <row r="12495">
      <c r="N12495" s="1"/>
      <c r="V12495" s="5"/>
    </row>
    <row r="12496">
      <c r="N12496" s="1"/>
      <c r="V12496" s="5"/>
    </row>
    <row r="12497">
      <c r="N12497" s="1"/>
      <c r="V12497" s="5"/>
    </row>
    <row r="12498">
      <c r="N12498" s="1"/>
      <c r="V12498" s="5"/>
    </row>
    <row r="12499">
      <c r="N12499" s="1"/>
      <c r="V12499" s="5"/>
    </row>
    <row r="12500">
      <c r="N12500" s="1"/>
      <c r="V12500" s="5"/>
    </row>
    <row r="12501">
      <c r="N12501" s="1"/>
      <c r="V12501" s="5"/>
    </row>
    <row r="12502">
      <c r="N12502" s="1"/>
      <c r="V12502" s="5"/>
    </row>
    <row r="12503">
      <c r="N12503" s="1"/>
      <c r="V12503" s="5"/>
    </row>
    <row r="12504">
      <c r="N12504" s="1"/>
      <c r="V12504" s="5"/>
    </row>
    <row r="12505">
      <c r="N12505" s="1"/>
      <c r="V12505" s="5"/>
    </row>
    <row r="12506">
      <c r="N12506" s="1"/>
      <c r="V12506" s="5"/>
    </row>
    <row r="12507">
      <c r="N12507" s="1"/>
      <c r="V12507" s="5"/>
    </row>
    <row r="12508">
      <c r="N12508" s="1"/>
      <c r="V12508" s="5"/>
    </row>
    <row r="12509">
      <c r="N12509" s="1"/>
      <c r="V12509" s="5"/>
    </row>
    <row r="12510">
      <c r="N12510" s="1"/>
      <c r="V12510" s="5"/>
    </row>
    <row r="12511">
      <c r="N12511" s="1"/>
      <c r="V12511" s="5"/>
    </row>
    <row r="12512">
      <c r="N12512" s="1"/>
      <c r="V12512" s="5"/>
    </row>
    <row r="12513">
      <c r="N12513" s="1"/>
      <c r="V12513" s="5"/>
    </row>
    <row r="12514">
      <c r="N12514" s="1"/>
      <c r="V12514" s="5"/>
    </row>
    <row r="12515">
      <c r="N12515" s="1"/>
      <c r="V12515" s="5"/>
    </row>
    <row r="12516">
      <c r="N12516" s="1"/>
      <c r="V12516" s="5"/>
    </row>
    <row r="12517">
      <c r="N12517" s="1"/>
      <c r="V12517" s="5"/>
    </row>
    <row r="12518">
      <c r="N12518" s="1"/>
      <c r="V12518" s="5"/>
    </row>
    <row r="12519">
      <c r="N12519" s="1"/>
      <c r="V12519" s="5"/>
    </row>
    <row r="12520">
      <c r="N12520" s="1"/>
      <c r="V12520" s="5"/>
    </row>
    <row r="12521">
      <c r="N12521" s="1"/>
      <c r="V12521" s="5"/>
    </row>
    <row r="12522">
      <c r="N12522" s="1"/>
      <c r="V12522" s="5"/>
    </row>
    <row r="12523">
      <c r="N12523" s="1"/>
      <c r="V12523" s="5"/>
    </row>
    <row r="12524">
      <c r="N12524" s="1"/>
      <c r="V12524" s="5"/>
    </row>
    <row r="12525">
      <c r="N12525" s="1"/>
      <c r="V12525" s="5"/>
    </row>
    <row r="12526">
      <c r="N12526" s="1"/>
      <c r="V12526" s="5"/>
    </row>
    <row r="12527">
      <c r="N12527" s="1"/>
      <c r="V12527" s="5"/>
    </row>
    <row r="12528">
      <c r="N12528" s="1"/>
      <c r="V12528" s="5"/>
    </row>
    <row r="12529">
      <c r="N12529" s="1"/>
      <c r="V12529" s="5"/>
    </row>
    <row r="12530">
      <c r="N12530" s="1"/>
      <c r="V12530" s="5"/>
    </row>
    <row r="12531">
      <c r="N12531" s="1"/>
      <c r="V12531" s="5"/>
    </row>
    <row r="12532">
      <c r="N12532" s="1"/>
      <c r="V12532" s="5"/>
    </row>
    <row r="12533">
      <c r="N12533" s="1"/>
      <c r="V12533" s="5"/>
    </row>
    <row r="12534">
      <c r="N12534" s="1"/>
      <c r="V12534" s="5"/>
    </row>
    <row r="12535">
      <c r="N12535" s="1"/>
      <c r="V12535" s="5"/>
    </row>
    <row r="12536">
      <c r="N12536" s="1"/>
      <c r="V12536" s="5"/>
    </row>
    <row r="12537">
      <c r="N12537" s="1"/>
      <c r="V12537" s="5"/>
    </row>
    <row r="12538">
      <c r="N12538" s="1"/>
      <c r="V12538" s="5"/>
    </row>
    <row r="12539">
      <c r="N12539" s="1"/>
      <c r="V12539" s="5"/>
    </row>
    <row r="12540">
      <c r="N12540" s="1"/>
      <c r="V12540" s="5"/>
    </row>
    <row r="12541">
      <c r="N12541" s="1"/>
      <c r="V12541" s="5"/>
    </row>
    <row r="12542">
      <c r="N12542" s="1"/>
      <c r="V12542" s="5"/>
    </row>
    <row r="12543">
      <c r="N12543" s="1"/>
      <c r="V12543" s="5"/>
    </row>
    <row r="12544">
      <c r="N12544" s="1"/>
      <c r="V12544" s="5"/>
    </row>
    <row r="12545">
      <c r="N12545" s="1"/>
      <c r="V12545" s="5"/>
    </row>
    <row r="12546">
      <c r="N12546" s="1"/>
      <c r="V12546" s="5"/>
    </row>
    <row r="12547">
      <c r="N12547" s="1"/>
      <c r="V12547" s="5"/>
    </row>
    <row r="12548">
      <c r="N12548" s="1"/>
      <c r="V12548" s="5"/>
    </row>
    <row r="12549">
      <c r="N12549" s="1"/>
      <c r="V12549" s="5"/>
    </row>
    <row r="12550">
      <c r="N12550" s="1"/>
      <c r="V12550" s="5"/>
    </row>
    <row r="12551">
      <c r="N12551" s="1"/>
      <c r="V12551" s="5"/>
    </row>
    <row r="12552">
      <c r="N12552" s="1"/>
      <c r="V12552" s="5"/>
    </row>
    <row r="12553">
      <c r="N12553" s="1"/>
      <c r="V12553" s="5"/>
    </row>
    <row r="12554">
      <c r="N12554" s="1"/>
      <c r="V12554" s="5"/>
    </row>
    <row r="12555">
      <c r="N12555" s="1"/>
      <c r="V12555" s="5"/>
    </row>
    <row r="12556">
      <c r="N12556" s="1"/>
      <c r="V12556" s="5"/>
    </row>
    <row r="12557">
      <c r="N12557" s="1"/>
      <c r="V12557" s="5"/>
    </row>
    <row r="12558">
      <c r="N12558" s="1"/>
      <c r="V12558" s="5"/>
    </row>
    <row r="12559">
      <c r="N12559" s="1"/>
      <c r="V12559" s="5"/>
    </row>
    <row r="12560">
      <c r="N12560" s="1"/>
      <c r="V12560" s="5"/>
    </row>
    <row r="12561">
      <c r="N12561" s="1"/>
      <c r="V12561" s="5"/>
    </row>
    <row r="12562">
      <c r="N12562" s="1"/>
      <c r="V12562" s="5"/>
    </row>
    <row r="12563">
      <c r="N12563" s="1"/>
      <c r="V12563" s="5"/>
    </row>
    <row r="12564">
      <c r="N12564" s="1"/>
      <c r="V12564" s="5"/>
    </row>
    <row r="12565">
      <c r="N12565" s="1"/>
      <c r="V12565" s="5"/>
    </row>
    <row r="12566">
      <c r="N12566" s="1"/>
      <c r="V12566" s="5"/>
    </row>
    <row r="12567">
      <c r="N12567" s="1"/>
      <c r="V12567" s="5"/>
    </row>
    <row r="12568">
      <c r="N12568" s="1"/>
      <c r="V12568" s="5"/>
    </row>
    <row r="12569">
      <c r="N12569" s="1"/>
      <c r="V12569" s="5"/>
    </row>
    <row r="12570">
      <c r="N12570" s="1"/>
      <c r="V12570" s="5"/>
    </row>
    <row r="12571">
      <c r="N12571" s="1"/>
      <c r="V12571" s="5"/>
    </row>
    <row r="12572">
      <c r="N12572" s="1"/>
      <c r="V12572" s="5"/>
    </row>
    <row r="12573">
      <c r="N12573" s="1"/>
      <c r="V12573" s="5"/>
    </row>
    <row r="12574">
      <c r="N12574" s="1"/>
      <c r="V12574" s="5"/>
    </row>
    <row r="12575">
      <c r="N12575" s="1"/>
      <c r="V12575" s="5"/>
    </row>
    <row r="12576">
      <c r="N12576" s="1"/>
      <c r="V12576" s="5"/>
    </row>
    <row r="12577">
      <c r="N12577" s="1"/>
      <c r="V12577" s="5"/>
    </row>
    <row r="12578">
      <c r="N12578" s="1"/>
      <c r="V12578" s="5"/>
    </row>
    <row r="12579">
      <c r="N12579" s="1"/>
      <c r="V12579" s="5"/>
    </row>
    <row r="12580">
      <c r="N12580" s="1"/>
      <c r="V12580" s="5"/>
    </row>
    <row r="12581">
      <c r="N12581" s="1"/>
      <c r="V12581" s="5"/>
    </row>
    <row r="12582">
      <c r="N12582" s="1"/>
      <c r="V12582" s="5"/>
    </row>
    <row r="12583">
      <c r="N12583" s="1"/>
      <c r="V12583" s="5"/>
    </row>
    <row r="12584">
      <c r="N12584" s="1"/>
      <c r="V12584" s="5"/>
    </row>
    <row r="12585">
      <c r="N12585" s="1"/>
      <c r="V12585" s="5"/>
    </row>
    <row r="12586">
      <c r="N12586" s="1"/>
      <c r="V12586" s="5"/>
    </row>
    <row r="12587">
      <c r="N12587" s="1"/>
      <c r="V12587" s="5"/>
    </row>
    <row r="12588">
      <c r="N12588" s="1"/>
      <c r="V12588" s="5"/>
    </row>
    <row r="12589">
      <c r="N12589" s="1"/>
      <c r="V12589" s="5"/>
    </row>
    <row r="12590">
      <c r="N12590" s="1"/>
      <c r="V12590" s="5"/>
    </row>
    <row r="12591">
      <c r="N12591" s="1"/>
      <c r="V12591" s="5"/>
    </row>
    <row r="12592">
      <c r="N12592" s="1"/>
      <c r="V12592" s="5"/>
    </row>
    <row r="12593">
      <c r="N12593" s="1"/>
      <c r="V12593" s="5"/>
    </row>
    <row r="12594">
      <c r="N12594" s="1"/>
      <c r="V12594" s="5"/>
    </row>
    <row r="12595">
      <c r="N12595" s="1"/>
      <c r="V12595" s="5"/>
    </row>
    <row r="12596">
      <c r="N12596" s="1"/>
      <c r="V12596" s="5"/>
    </row>
    <row r="12597">
      <c r="N12597" s="1"/>
      <c r="V12597" s="5"/>
    </row>
    <row r="12598">
      <c r="N12598" s="1"/>
      <c r="V12598" s="5"/>
    </row>
    <row r="12599">
      <c r="N12599" s="1"/>
      <c r="V12599" s="5"/>
    </row>
    <row r="12600">
      <c r="N12600" s="1"/>
      <c r="V12600" s="5"/>
    </row>
    <row r="12601">
      <c r="N12601" s="1"/>
      <c r="V12601" s="5"/>
    </row>
    <row r="12602">
      <c r="N12602" s="1"/>
      <c r="V12602" s="5"/>
    </row>
    <row r="12603">
      <c r="N12603" s="1"/>
      <c r="V12603" s="5"/>
    </row>
    <row r="12604">
      <c r="N12604" s="1"/>
      <c r="V12604" s="5"/>
    </row>
    <row r="12605">
      <c r="N12605" s="1"/>
      <c r="V12605" s="5"/>
    </row>
    <row r="12606">
      <c r="N12606" s="1"/>
      <c r="V12606" s="5"/>
    </row>
    <row r="12607">
      <c r="N12607" s="1"/>
      <c r="V12607" s="5"/>
    </row>
    <row r="12608">
      <c r="N12608" s="1"/>
      <c r="V12608" s="5"/>
    </row>
    <row r="12609">
      <c r="N12609" s="1"/>
      <c r="V12609" s="5"/>
    </row>
    <row r="12610">
      <c r="N12610" s="1"/>
      <c r="V12610" s="5"/>
    </row>
    <row r="12611">
      <c r="N12611" s="1"/>
      <c r="V12611" s="5"/>
    </row>
    <row r="12612">
      <c r="N12612" s="1"/>
      <c r="V12612" s="5"/>
    </row>
    <row r="12613">
      <c r="N12613" s="1"/>
      <c r="V12613" s="5"/>
    </row>
    <row r="12614">
      <c r="N12614" s="1"/>
      <c r="V12614" s="5"/>
    </row>
    <row r="12615">
      <c r="N12615" s="1"/>
      <c r="V12615" s="5"/>
    </row>
    <row r="12616">
      <c r="N12616" s="1"/>
      <c r="V12616" s="5"/>
    </row>
    <row r="12617">
      <c r="N12617" s="1"/>
      <c r="V12617" s="5"/>
    </row>
    <row r="12618">
      <c r="N12618" s="1"/>
      <c r="V12618" s="5"/>
    </row>
    <row r="12619">
      <c r="N12619" s="1"/>
      <c r="V12619" s="5"/>
    </row>
    <row r="12620">
      <c r="N12620" s="1"/>
      <c r="V12620" s="5"/>
    </row>
    <row r="12621">
      <c r="N12621" s="1"/>
      <c r="V12621" s="5"/>
    </row>
    <row r="12622">
      <c r="N12622" s="1"/>
      <c r="V12622" s="5"/>
    </row>
    <row r="12623">
      <c r="N12623" s="1"/>
      <c r="V12623" s="5"/>
    </row>
    <row r="12624">
      <c r="N12624" s="1"/>
      <c r="V12624" s="5"/>
    </row>
    <row r="12625">
      <c r="N12625" s="1"/>
      <c r="V12625" s="5"/>
    </row>
    <row r="12626">
      <c r="N12626" s="1"/>
      <c r="V12626" s="5"/>
    </row>
    <row r="12627">
      <c r="N12627" s="1"/>
      <c r="V12627" s="5"/>
    </row>
    <row r="12628">
      <c r="N12628" s="1"/>
      <c r="V12628" s="5"/>
    </row>
    <row r="12629">
      <c r="N12629" s="1"/>
      <c r="V12629" s="5"/>
    </row>
    <row r="12630">
      <c r="N12630" s="1"/>
      <c r="V12630" s="5"/>
    </row>
    <row r="12631">
      <c r="N12631" s="1"/>
      <c r="V12631" s="5"/>
    </row>
    <row r="12632">
      <c r="N12632" s="1"/>
      <c r="V12632" s="5"/>
    </row>
    <row r="12633">
      <c r="N12633" s="1"/>
      <c r="V12633" s="5"/>
    </row>
    <row r="12634">
      <c r="N12634" s="1"/>
      <c r="V12634" s="5"/>
    </row>
    <row r="12635">
      <c r="N12635" s="1"/>
      <c r="V12635" s="5"/>
    </row>
    <row r="12636">
      <c r="N12636" s="1"/>
      <c r="V12636" s="5"/>
    </row>
    <row r="12637">
      <c r="N12637" s="1"/>
      <c r="V12637" s="5"/>
    </row>
    <row r="12638">
      <c r="N12638" s="1"/>
      <c r="V12638" s="5"/>
    </row>
    <row r="12639">
      <c r="N12639" s="1"/>
      <c r="V12639" s="5"/>
    </row>
    <row r="12640">
      <c r="N12640" s="1"/>
      <c r="V12640" s="5"/>
    </row>
    <row r="12641">
      <c r="N12641" s="1"/>
      <c r="V12641" s="5"/>
    </row>
    <row r="12642">
      <c r="N12642" s="1"/>
      <c r="V12642" s="5"/>
    </row>
    <row r="12643">
      <c r="N12643" s="1"/>
      <c r="V12643" s="5"/>
    </row>
    <row r="12644">
      <c r="N12644" s="1"/>
      <c r="V12644" s="5"/>
    </row>
    <row r="12645">
      <c r="N12645" s="1"/>
      <c r="V12645" s="5"/>
    </row>
    <row r="12646">
      <c r="N12646" s="1"/>
      <c r="V12646" s="5"/>
    </row>
    <row r="12647">
      <c r="N12647" s="1"/>
      <c r="V12647" s="5"/>
    </row>
    <row r="12648">
      <c r="N12648" s="1"/>
      <c r="V12648" s="5"/>
    </row>
    <row r="12649">
      <c r="N12649" s="1"/>
      <c r="V12649" s="5"/>
    </row>
    <row r="12650">
      <c r="N12650" s="1"/>
      <c r="V12650" s="5"/>
    </row>
    <row r="12651">
      <c r="N12651" s="1"/>
      <c r="V12651" s="5"/>
    </row>
    <row r="12652">
      <c r="N12652" s="1"/>
      <c r="V12652" s="5"/>
    </row>
    <row r="12653">
      <c r="N12653" s="1"/>
      <c r="V12653" s="5"/>
    </row>
    <row r="12654">
      <c r="N12654" s="1"/>
      <c r="V12654" s="5"/>
    </row>
    <row r="12655">
      <c r="N12655" s="1"/>
      <c r="V12655" s="5"/>
    </row>
    <row r="12656">
      <c r="N12656" s="1"/>
      <c r="V12656" s="5"/>
    </row>
    <row r="12657">
      <c r="N12657" s="1"/>
      <c r="V12657" s="5"/>
    </row>
    <row r="12658">
      <c r="N12658" s="1"/>
      <c r="V12658" s="5"/>
    </row>
    <row r="12659">
      <c r="N12659" s="1"/>
      <c r="V12659" s="5"/>
    </row>
    <row r="12660">
      <c r="N12660" s="1"/>
      <c r="V12660" s="5"/>
    </row>
    <row r="12661">
      <c r="N12661" s="1"/>
      <c r="V12661" s="5"/>
    </row>
    <row r="12662">
      <c r="N12662" s="1"/>
      <c r="V12662" s="5"/>
    </row>
    <row r="12663">
      <c r="N12663" s="1"/>
      <c r="V12663" s="5"/>
    </row>
    <row r="12664">
      <c r="N12664" s="1"/>
      <c r="V12664" s="5"/>
    </row>
    <row r="12665">
      <c r="N12665" s="1"/>
      <c r="V12665" s="5"/>
    </row>
    <row r="12666">
      <c r="N12666" s="1"/>
      <c r="V12666" s="5"/>
    </row>
    <row r="12667">
      <c r="N12667" s="1"/>
      <c r="V12667" s="5"/>
    </row>
    <row r="12668">
      <c r="N12668" s="1"/>
      <c r="V12668" s="5"/>
    </row>
    <row r="12669">
      <c r="N12669" s="1"/>
      <c r="V12669" s="5"/>
    </row>
    <row r="12670">
      <c r="N12670" s="1"/>
      <c r="V12670" s="5"/>
    </row>
    <row r="12671">
      <c r="N12671" s="1"/>
      <c r="V12671" s="5"/>
    </row>
    <row r="12672">
      <c r="N12672" s="1"/>
      <c r="V12672" s="5"/>
    </row>
    <row r="12673">
      <c r="N12673" s="1"/>
      <c r="V12673" s="5"/>
    </row>
    <row r="12674">
      <c r="N12674" s="1"/>
      <c r="V12674" s="5"/>
    </row>
    <row r="12675">
      <c r="N12675" s="1"/>
      <c r="V12675" s="5"/>
    </row>
    <row r="12676">
      <c r="N12676" s="1"/>
      <c r="V12676" s="5"/>
    </row>
    <row r="12677">
      <c r="N12677" s="1"/>
      <c r="V12677" s="5"/>
    </row>
    <row r="12678">
      <c r="N12678" s="1"/>
      <c r="V12678" s="5"/>
    </row>
    <row r="12679">
      <c r="N12679" s="1"/>
      <c r="V12679" s="5"/>
    </row>
    <row r="12680">
      <c r="N12680" s="1"/>
      <c r="V12680" s="5"/>
    </row>
    <row r="12681">
      <c r="N12681" s="1"/>
      <c r="V12681" s="5"/>
    </row>
    <row r="12682">
      <c r="N12682" s="1"/>
      <c r="V12682" s="5"/>
    </row>
    <row r="12683">
      <c r="N12683" s="1"/>
      <c r="V12683" s="5"/>
    </row>
    <row r="12684">
      <c r="N12684" s="1"/>
      <c r="V12684" s="5"/>
    </row>
    <row r="12685">
      <c r="N12685" s="1"/>
      <c r="V12685" s="5"/>
    </row>
    <row r="12686">
      <c r="N12686" s="1"/>
      <c r="V12686" s="5"/>
    </row>
    <row r="12687">
      <c r="N12687" s="1"/>
      <c r="V12687" s="5"/>
    </row>
    <row r="12688">
      <c r="N12688" s="1"/>
      <c r="V12688" s="5"/>
    </row>
    <row r="12689">
      <c r="N12689" s="1"/>
      <c r="V12689" s="5"/>
    </row>
    <row r="12690">
      <c r="N12690" s="1"/>
      <c r="V12690" s="5"/>
    </row>
    <row r="12691">
      <c r="N12691" s="1"/>
      <c r="V12691" s="5"/>
    </row>
    <row r="12692">
      <c r="N12692" s="1"/>
      <c r="V12692" s="5"/>
    </row>
    <row r="12693">
      <c r="N12693" s="1"/>
      <c r="V12693" s="5"/>
    </row>
    <row r="12694">
      <c r="N12694" s="1"/>
      <c r="V12694" s="5"/>
    </row>
    <row r="12695">
      <c r="N12695" s="1"/>
      <c r="V12695" s="5"/>
    </row>
    <row r="12696">
      <c r="N12696" s="1"/>
      <c r="V12696" s="5"/>
    </row>
    <row r="12697">
      <c r="N12697" s="1"/>
      <c r="V12697" s="5"/>
    </row>
    <row r="12698">
      <c r="N12698" s="1"/>
      <c r="V12698" s="5"/>
    </row>
    <row r="12699">
      <c r="N12699" s="1"/>
      <c r="V12699" s="5"/>
    </row>
    <row r="12700">
      <c r="N12700" s="1"/>
      <c r="V12700" s="5"/>
    </row>
    <row r="12701">
      <c r="N12701" s="1"/>
      <c r="V12701" s="5"/>
    </row>
    <row r="12702">
      <c r="N12702" s="1"/>
      <c r="V12702" s="5"/>
    </row>
    <row r="12703">
      <c r="N12703" s="1"/>
      <c r="V12703" s="5"/>
    </row>
    <row r="12704">
      <c r="N12704" s="1"/>
      <c r="V12704" s="5"/>
    </row>
    <row r="12705">
      <c r="N12705" s="1"/>
      <c r="V12705" s="5"/>
    </row>
    <row r="12706">
      <c r="N12706" s="1"/>
      <c r="V12706" s="5"/>
    </row>
    <row r="12707">
      <c r="N12707" s="1"/>
      <c r="V12707" s="5"/>
    </row>
    <row r="12708">
      <c r="N12708" s="1"/>
      <c r="V12708" s="5"/>
    </row>
    <row r="12709">
      <c r="N12709" s="1"/>
      <c r="V12709" s="5"/>
    </row>
    <row r="12710">
      <c r="N12710" s="1"/>
      <c r="V12710" s="5"/>
    </row>
    <row r="12711">
      <c r="N12711" s="1"/>
      <c r="V12711" s="5"/>
    </row>
    <row r="12712">
      <c r="N12712" s="1"/>
      <c r="V12712" s="5"/>
    </row>
    <row r="12713">
      <c r="N12713" s="1"/>
      <c r="V12713" s="5"/>
    </row>
    <row r="12714">
      <c r="N12714" s="1"/>
      <c r="V12714" s="5"/>
    </row>
    <row r="12715">
      <c r="N12715" s="1"/>
      <c r="V12715" s="5"/>
    </row>
    <row r="12716">
      <c r="N12716" s="1"/>
      <c r="V12716" s="5"/>
    </row>
    <row r="12717">
      <c r="N12717" s="1"/>
      <c r="V12717" s="5"/>
    </row>
    <row r="12718">
      <c r="N12718" s="1"/>
      <c r="V12718" s="5"/>
    </row>
    <row r="12719">
      <c r="N12719" s="1"/>
      <c r="V12719" s="5"/>
    </row>
    <row r="12720">
      <c r="N12720" s="1"/>
      <c r="V12720" s="5"/>
    </row>
    <row r="12721">
      <c r="N12721" s="1"/>
      <c r="V12721" s="5"/>
    </row>
    <row r="12722">
      <c r="N12722" s="1"/>
      <c r="V12722" s="5"/>
    </row>
    <row r="12723">
      <c r="N12723" s="1"/>
      <c r="V12723" s="5"/>
    </row>
    <row r="12724">
      <c r="N12724" s="1"/>
      <c r="V12724" s="5"/>
    </row>
    <row r="12725">
      <c r="N12725" s="1"/>
      <c r="V12725" s="5"/>
    </row>
    <row r="12726">
      <c r="N12726" s="1"/>
      <c r="V12726" s="5"/>
    </row>
    <row r="12727">
      <c r="N12727" s="1"/>
      <c r="V12727" s="5"/>
    </row>
    <row r="12728">
      <c r="N12728" s="1"/>
      <c r="V12728" s="5"/>
    </row>
    <row r="12729">
      <c r="N12729" s="1"/>
      <c r="V12729" s="5"/>
    </row>
    <row r="12730">
      <c r="N12730" s="1"/>
      <c r="V12730" s="5"/>
    </row>
    <row r="12731">
      <c r="N12731" s="1"/>
      <c r="V12731" s="5"/>
    </row>
    <row r="12732">
      <c r="N12732" s="1"/>
      <c r="V12732" s="5"/>
    </row>
    <row r="12733">
      <c r="N12733" s="1"/>
      <c r="V12733" s="5"/>
    </row>
    <row r="12734">
      <c r="N12734" s="1"/>
      <c r="V12734" s="5"/>
    </row>
    <row r="12735">
      <c r="N12735" s="1"/>
      <c r="V12735" s="5"/>
    </row>
    <row r="12736">
      <c r="N12736" s="1"/>
      <c r="V12736" s="5"/>
    </row>
    <row r="12737">
      <c r="N12737" s="1"/>
      <c r="V12737" s="5"/>
    </row>
    <row r="12738">
      <c r="N12738" s="1"/>
      <c r="V12738" s="5"/>
    </row>
    <row r="12739">
      <c r="N12739" s="1"/>
      <c r="V12739" s="5"/>
    </row>
    <row r="12740">
      <c r="N12740" s="1"/>
      <c r="V12740" s="5"/>
    </row>
    <row r="12741">
      <c r="N12741" s="1"/>
      <c r="V12741" s="5"/>
    </row>
    <row r="12742">
      <c r="N12742" s="1"/>
      <c r="V12742" s="5"/>
    </row>
    <row r="12743">
      <c r="N12743" s="1"/>
      <c r="V12743" s="5"/>
    </row>
    <row r="12744">
      <c r="N12744" s="1"/>
      <c r="V12744" s="5"/>
    </row>
    <row r="12745">
      <c r="N12745" s="1"/>
      <c r="V12745" s="5"/>
    </row>
    <row r="12746">
      <c r="N12746" s="1"/>
      <c r="V12746" s="5"/>
    </row>
    <row r="12747">
      <c r="N12747" s="1"/>
      <c r="V12747" s="5"/>
    </row>
    <row r="12748">
      <c r="N12748" s="1"/>
      <c r="V12748" s="5"/>
    </row>
    <row r="12749">
      <c r="N12749" s="1"/>
      <c r="V12749" s="5"/>
    </row>
    <row r="12750">
      <c r="N12750" s="1"/>
      <c r="V12750" s="5"/>
    </row>
    <row r="12751">
      <c r="N12751" s="1"/>
      <c r="V12751" s="5"/>
    </row>
    <row r="12752">
      <c r="N12752" s="1"/>
      <c r="V12752" s="5"/>
    </row>
    <row r="12753">
      <c r="N12753" s="1"/>
      <c r="V12753" s="5"/>
    </row>
    <row r="12754">
      <c r="N12754" s="1"/>
      <c r="V12754" s="5"/>
    </row>
    <row r="12755">
      <c r="N12755" s="1"/>
      <c r="V12755" s="5"/>
    </row>
    <row r="12756">
      <c r="N12756" s="1"/>
      <c r="V12756" s="5"/>
    </row>
    <row r="12757">
      <c r="N12757" s="1"/>
      <c r="V12757" s="5"/>
    </row>
    <row r="12758">
      <c r="N12758" s="1"/>
      <c r="V12758" s="5"/>
    </row>
    <row r="12759">
      <c r="N12759" s="1"/>
      <c r="V12759" s="5"/>
    </row>
    <row r="12760">
      <c r="N12760" s="1"/>
      <c r="V12760" s="5"/>
    </row>
    <row r="12761">
      <c r="N12761" s="1"/>
      <c r="V12761" s="5"/>
    </row>
    <row r="12762">
      <c r="N12762" s="1"/>
      <c r="V12762" s="5"/>
    </row>
    <row r="12763">
      <c r="N12763" s="1"/>
      <c r="V12763" s="5"/>
    </row>
    <row r="12764">
      <c r="N12764" s="1"/>
      <c r="V12764" s="5"/>
    </row>
    <row r="12765">
      <c r="N12765" s="1"/>
      <c r="V12765" s="5"/>
    </row>
    <row r="12766">
      <c r="N12766" s="1"/>
      <c r="V12766" s="5"/>
    </row>
    <row r="12767">
      <c r="N12767" s="1"/>
      <c r="V12767" s="5"/>
    </row>
    <row r="12768">
      <c r="N12768" s="1"/>
      <c r="V12768" s="5"/>
    </row>
    <row r="12769">
      <c r="N12769" s="1"/>
      <c r="V12769" s="5"/>
    </row>
    <row r="12770">
      <c r="N12770" s="1"/>
      <c r="V12770" s="5"/>
    </row>
    <row r="12771">
      <c r="N12771" s="1"/>
      <c r="V12771" s="5"/>
    </row>
    <row r="12772">
      <c r="N12772" s="1"/>
      <c r="V12772" s="5"/>
    </row>
    <row r="12773">
      <c r="N12773" s="1"/>
      <c r="V12773" s="5"/>
    </row>
    <row r="12774">
      <c r="N12774" s="1"/>
      <c r="V12774" s="5"/>
    </row>
    <row r="12775">
      <c r="N12775" s="1"/>
      <c r="V12775" s="5"/>
    </row>
    <row r="12776">
      <c r="N12776" s="1"/>
      <c r="V12776" s="5"/>
    </row>
    <row r="12777">
      <c r="N12777" s="1"/>
      <c r="V12777" s="5"/>
    </row>
    <row r="12778">
      <c r="N12778" s="1"/>
      <c r="V12778" s="5"/>
    </row>
    <row r="12779">
      <c r="N12779" s="1"/>
      <c r="V12779" s="5"/>
    </row>
    <row r="12780">
      <c r="N12780" s="1"/>
      <c r="V12780" s="5"/>
    </row>
    <row r="12781">
      <c r="N12781" s="1"/>
      <c r="V12781" s="5"/>
    </row>
    <row r="12782">
      <c r="N12782" s="1"/>
      <c r="V12782" s="5"/>
    </row>
    <row r="12783">
      <c r="N12783" s="1"/>
      <c r="V12783" s="5"/>
    </row>
    <row r="12784">
      <c r="N12784" s="1"/>
      <c r="V12784" s="5"/>
    </row>
    <row r="12785">
      <c r="N12785" s="1"/>
      <c r="V12785" s="5"/>
    </row>
    <row r="12786">
      <c r="N12786" s="1"/>
      <c r="V12786" s="5"/>
    </row>
    <row r="12787">
      <c r="N12787" s="1"/>
      <c r="V12787" s="5"/>
    </row>
    <row r="12788">
      <c r="N12788" s="1"/>
      <c r="V12788" s="5"/>
    </row>
    <row r="12789">
      <c r="N12789" s="1"/>
      <c r="V12789" s="5"/>
    </row>
    <row r="12790">
      <c r="N12790" s="1"/>
      <c r="V12790" s="5"/>
    </row>
    <row r="12791">
      <c r="N12791" s="1"/>
      <c r="V12791" s="5"/>
    </row>
    <row r="12792">
      <c r="N12792" s="1"/>
      <c r="V12792" s="5"/>
    </row>
    <row r="12793">
      <c r="N12793" s="1"/>
      <c r="V12793" s="5"/>
    </row>
    <row r="12794">
      <c r="N12794" s="1"/>
      <c r="V12794" s="5"/>
    </row>
    <row r="12795">
      <c r="N12795" s="1"/>
      <c r="V12795" s="5"/>
    </row>
    <row r="12796">
      <c r="N12796" s="1"/>
      <c r="V12796" s="5"/>
    </row>
    <row r="12797">
      <c r="N12797" s="1"/>
      <c r="V12797" s="5"/>
    </row>
    <row r="12798">
      <c r="N12798" s="1"/>
      <c r="V12798" s="5"/>
    </row>
    <row r="12799">
      <c r="N12799" s="1"/>
      <c r="V12799" s="5"/>
    </row>
    <row r="12800">
      <c r="N12800" s="1"/>
      <c r="V12800" s="5"/>
    </row>
    <row r="12801">
      <c r="N12801" s="1"/>
      <c r="V12801" s="5"/>
    </row>
    <row r="12802">
      <c r="N12802" s="1"/>
      <c r="V12802" s="5"/>
    </row>
    <row r="12803">
      <c r="N12803" s="1"/>
      <c r="V12803" s="5"/>
    </row>
    <row r="12804">
      <c r="N12804" s="1"/>
      <c r="V12804" s="5"/>
    </row>
    <row r="12805">
      <c r="N12805" s="1"/>
      <c r="V12805" s="5"/>
    </row>
    <row r="12806">
      <c r="N12806" s="1"/>
      <c r="V12806" s="5"/>
    </row>
    <row r="12807">
      <c r="N12807" s="1"/>
      <c r="V12807" s="5"/>
    </row>
    <row r="12808">
      <c r="N12808" s="1"/>
      <c r="V12808" s="5"/>
    </row>
    <row r="12809">
      <c r="N12809" s="1"/>
      <c r="V12809" s="5"/>
    </row>
    <row r="12810">
      <c r="N12810" s="1"/>
      <c r="V12810" s="5"/>
    </row>
    <row r="12811">
      <c r="N12811" s="1"/>
      <c r="V12811" s="5"/>
    </row>
    <row r="12812">
      <c r="N12812" s="1"/>
      <c r="V12812" s="5"/>
    </row>
    <row r="12813">
      <c r="N12813" s="1"/>
      <c r="V12813" s="5"/>
    </row>
    <row r="12814">
      <c r="N12814" s="1"/>
      <c r="V12814" s="5"/>
    </row>
    <row r="12815">
      <c r="N12815" s="1"/>
      <c r="V12815" s="5"/>
    </row>
    <row r="12816">
      <c r="N12816" s="1"/>
      <c r="V12816" s="5"/>
    </row>
    <row r="12817">
      <c r="N12817" s="1"/>
      <c r="V12817" s="5"/>
    </row>
    <row r="12818">
      <c r="N12818" s="1"/>
      <c r="V12818" s="5"/>
    </row>
    <row r="12819">
      <c r="N12819" s="1"/>
      <c r="V12819" s="5"/>
    </row>
    <row r="12820">
      <c r="N12820" s="1"/>
      <c r="V12820" s="5"/>
    </row>
    <row r="12821">
      <c r="N12821" s="1"/>
      <c r="V12821" s="5"/>
    </row>
    <row r="12822">
      <c r="N12822" s="1"/>
      <c r="V12822" s="5"/>
    </row>
    <row r="12823">
      <c r="N12823" s="1"/>
      <c r="V12823" s="5"/>
    </row>
    <row r="12824">
      <c r="N12824" s="1"/>
      <c r="V12824" s="5"/>
    </row>
    <row r="12825">
      <c r="N12825" s="1"/>
      <c r="V12825" s="5"/>
    </row>
    <row r="12826">
      <c r="N12826" s="1"/>
      <c r="V12826" s="5"/>
    </row>
    <row r="12827">
      <c r="N12827" s="1"/>
      <c r="V12827" s="5"/>
    </row>
    <row r="12828">
      <c r="N12828" s="1"/>
      <c r="V12828" s="5"/>
    </row>
    <row r="12829">
      <c r="N12829" s="1"/>
      <c r="V12829" s="5"/>
    </row>
    <row r="12830">
      <c r="N12830" s="1"/>
      <c r="V12830" s="5"/>
    </row>
    <row r="12831">
      <c r="N12831" s="1"/>
      <c r="V12831" s="5"/>
    </row>
    <row r="12832">
      <c r="N12832" s="1"/>
      <c r="V12832" s="5"/>
    </row>
    <row r="12833">
      <c r="N12833" s="1"/>
      <c r="V12833" s="5"/>
    </row>
    <row r="12834">
      <c r="N12834" s="1"/>
      <c r="V12834" s="5"/>
    </row>
    <row r="12835">
      <c r="N12835" s="1"/>
      <c r="V12835" s="5"/>
    </row>
    <row r="12836">
      <c r="N12836" s="1"/>
      <c r="V12836" s="5"/>
    </row>
    <row r="12837">
      <c r="N12837" s="1"/>
      <c r="V12837" s="5"/>
    </row>
    <row r="12838">
      <c r="N12838" s="1"/>
      <c r="V12838" s="5"/>
    </row>
    <row r="12839">
      <c r="N12839" s="1"/>
      <c r="V12839" s="5"/>
    </row>
    <row r="12840">
      <c r="N12840" s="1"/>
      <c r="V12840" s="5"/>
    </row>
    <row r="12841">
      <c r="N12841" s="1"/>
      <c r="V12841" s="5"/>
    </row>
    <row r="12842">
      <c r="N12842" s="1"/>
      <c r="V12842" s="5"/>
    </row>
    <row r="12843">
      <c r="N12843" s="1"/>
      <c r="V12843" s="5"/>
    </row>
    <row r="12844">
      <c r="N12844" s="1"/>
      <c r="V12844" s="5"/>
    </row>
    <row r="12845">
      <c r="N12845" s="1"/>
      <c r="V12845" s="5"/>
    </row>
    <row r="12846">
      <c r="N12846" s="1"/>
      <c r="V12846" s="5"/>
    </row>
    <row r="12847">
      <c r="N12847" s="1"/>
      <c r="V12847" s="5"/>
    </row>
    <row r="12848">
      <c r="N12848" s="1"/>
      <c r="V12848" s="5"/>
    </row>
    <row r="12849">
      <c r="N12849" s="1"/>
      <c r="V12849" s="5"/>
    </row>
    <row r="12850">
      <c r="N12850" s="1"/>
      <c r="V12850" s="5"/>
    </row>
    <row r="12851">
      <c r="N12851" s="1"/>
      <c r="V12851" s="5"/>
    </row>
    <row r="12852">
      <c r="N12852" s="1"/>
      <c r="V12852" s="5"/>
    </row>
    <row r="12853">
      <c r="N12853" s="1"/>
      <c r="V12853" s="5"/>
    </row>
    <row r="12854">
      <c r="N12854" s="1"/>
      <c r="V12854" s="5"/>
    </row>
    <row r="12855">
      <c r="N12855" s="1"/>
      <c r="V12855" s="5"/>
    </row>
    <row r="12856">
      <c r="N12856" s="1"/>
      <c r="V12856" s="5"/>
    </row>
    <row r="12857">
      <c r="N12857" s="1"/>
      <c r="V12857" s="5"/>
    </row>
    <row r="12858">
      <c r="N12858" s="1"/>
      <c r="V12858" s="5"/>
    </row>
    <row r="12859">
      <c r="N12859" s="1"/>
      <c r="V12859" s="5"/>
    </row>
    <row r="12860">
      <c r="N12860" s="1"/>
      <c r="V12860" s="5"/>
    </row>
    <row r="12861">
      <c r="N12861" s="1"/>
      <c r="V12861" s="5"/>
    </row>
    <row r="12862">
      <c r="N12862" s="1"/>
      <c r="V12862" s="5"/>
    </row>
    <row r="12863">
      <c r="N12863" s="1"/>
      <c r="V12863" s="5"/>
    </row>
    <row r="12864">
      <c r="N12864" s="1"/>
      <c r="V12864" s="5"/>
    </row>
    <row r="12865">
      <c r="N12865" s="1"/>
      <c r="V12865" s="5"/>
    </row>
    <row r="12866">
      <c r="N12866" s="1"/>
      <c r="V12866" s="5"/>
    </row>
    <row r="12867">
      <c r="N12867" s="1"/>
      <c r="V12867" s="5"/>
    </row>
    <row r="12868">
      <c r="N12868" s="1"/>
      <c r="V12868" s="5"/>
    </row>
    <row r="12869">
      <c r="N12869" s="1"/>
      <c r="V12869" s="5"/>
    </row>
    <row r="12870">
      <c r="N12870" s="1"/>
      <c r="V12870" s="5"/>
    </row>
    <row r="12871">
      <c r="N12871" s="1"/>
      <c r="V12871" s="5"/>
    </row>
    <row r="12872">
      <c r="N12872" s="1"/>
      <c r="V12872" s="5"/>
    </row>
    <row r="12873">
      <c r="N12873" s="1"/>
      <c r="V12873" s="5"/>
    </row>
    <row r="12874">
      <c r="N12874" s="1"/>
      <c r="V12874" s="5"/>
    </row>
    <row r="12875">
      <c r="N12875" s="1"/>
      <c r="V12875" s="5"/>
    </row>
    <row r="12876">
      <c r="N12876" s="1"/>
      <c r="V12876" s="5"/>
    </row>
    <row r="12877">
      <c r="N12877" s="1"/>
      <c r="V12877" s="5"/>
    </row>
    <row r="12878">
      <c r="N12878" s="1"/>
      <c r="V12878" s="5"/>
    </row>
    <row r="12879">
      <c r="N12879" s="1"/>
      <c r="V12879" s="5"/>
    </row>
    <row r="12880">
      <c r="N12880" s="1"/>
      <c r="V12880" s="5"/>
    </row>
    <row r="12881">
      <c r="N12881" s="1"/>
      <c r="V12881" s="5"/>
    </row>
    <row r="12882">
      <c r="N12882" s="1"/>
      <c r="V12882" s="5"/>
    </row>
    <row r="12883">
      <c r="N12883" s="1"/>
      <c r="V12883" s="5"/>
    </row>
    <row r="12884">
      <c r="N12884" s="1"/>
      <c r="V12884" s="5"/>
    </row>
    <row r="12885">
      <c r="N12885" s="1"/>
      <c r="V12885" s="5"/>
    </row>
    <row r="12886">
      <c r="N12886" s="1"/>
      <c r="V12886" s="5"/>
    </row>
    <row r="12887">
      <c r="N12887" s="1"/>
      <c r="V12887" s="5"/>
    </row>
    <row r="12888">
      <c r="N12888" s="1"/>
      <c r="V12888" s="5"/>
    </row>
    <row r="12889">
      <c r="N12889" s="1"/>
      <c r="V12889" s="5"/>
    </row>
    <row r="12890">
      <c r="N12890" s="1"/>
      <c r="V12890" s="5"/>
    </row>
    <row r="12891">
      <c r="N12891" s="1"/>
      <c r="V12891" s="5"/>
    </row>
    <row r="12892">
      <c r="N12892" s="1"/>
      <c r="V12892" s="5"/>
    </row>
    <row r="12893">
      <c r="N12893" s="1"/>
      <c r="V12893" s="5"/>
    </row>
    <row r="12894">
      <c r="N12894" s="1"/>
      <c r="V12894" s="5"/>
    </row>
    <row r="12895">
      <c r="N12895" s="1"/>
      <c r="V12895" s="5"/>
    </row>
    <row r="12896">
      <c r="N12896" s="1"/>
      <c r="V12896" s="5"/>
    </row>
    <row r="12897">
      <c r="N12897" s="1"/>
      <c r="V12897" s="5"/>
    </row>
    <row r="12898">
      <c r="N12898" s="1"/>
      <c r="V12898" s="5"/>
    </row>
    <row r="12899">
      <c r="N12899" s="1"/>
      <c r="V12899" s="5"/>
    </row>
    <row r="12900">
      <c r="N12900" s="1"/>
      <c r="V12900" s="5"/>
    </row>
    <row r="12901">
      <c r="N12901" s="1"/>
      <c r="V12901" s="5"/>
    </row>
    <row r="12902">
      <c r="N12902" s="1"/>
      <c r="V12902" s="5"/>
    </row>
    <row r="12903">
      <c r="N12903" s="1"/>
      <c r="V12903" s="5"/>
    </row>
    <row r="12904">
      <c r="N12904" s="1"/>
      <c r="V12904" s="5"/>
    </row>
    <row r="12905">
      <c r="N12905" s="1"/>
      <c r="V12905" s="5"/>
    </row>
    <row r="12906">
      <c r="N12906" s="1"/>
      <c r="V12906" s="5"/>
    </row>
    <row r="12907">
      <c r="N12907" s="1"/>
      <c r="V12907" s="5"/>
    </row>
    <row r="12908">
      <c r="N12908" s="1"/>
      <c r="V12908" s="5"/>
    </row>
    <row r="12909">
      <c r="N12909" s="1"/>
      <c r="V12909" s="5"/>
    </row>
    <row r="12910">
      <c r="N12910" s="1"/>
      <c r="V12910" s="5"/>
    </row>
    <row r="12911">
      <c r="N12911" s="1"/>
      <c r="V12911" s="5"/>
    </row>
    <row r="12912">
      <c r="N12912" s="1"/>
      <c r="V12912" s="5"/>
    </row>
    <row r="12913">
      <c r="N12913" s="1"/>
      <c r="V12913" s="5"/>
    </row>
    <row r="12914">
      <c r="N12914" s="1"/>
      <c r="V12914" s="5"/>
    </row>
    <row r="12915">
      <c r="N12915" s="1"/>
      <c r="V12915" s="5"/>
    </row>
    <row r="12916">
      <c r="N12916" s="1"/>
      <c r="V12916" s="5"/>
    </row>
    <row r="12917">
      <c r="N12917" s="1"/>
      <c r="V12917" s="5"/>
    </row>
    <row r="12918">
      <c r="N12918" s="1"/>
      <c r="V12918" s="5"/>
    </row>
    <row r="12919">
      <c r="N12919" s="1"/>
      <c r="V12919" s="5"/>
    </row>
    <row r="12920">
      <c r="N12920" s="1"/>
      <c r="V12920" s="5"/>
    </row>
    <row r="12921">
      <c r="N12921" s="1"/>
      <c r="V12921" s="5"/>
    </row>
    <row r="12922">
      <c r="N12922" s="1"/>
      <c r="V12922" s="5"/>
    </row>
    <row r="12923">
      <c r="N12923" s="1"/>
      <c r="V12923" s="5"/>
    </row>
    <row r="12924">
      <c r="N12924" s="1"/>
      <c r="V12924" s="5"/>
    </row>
    <row r="12925">
      <c r="N12925" s="1"/>
      <c r="V12925" s="5"/>
    </row>
    <row r="12926">
      <c r="N12926" s="1"/>
      <c r="V12926" s="5"/>
    </row>
    <row r="12927">
      <c r="N12927" s="1"/>
      <c r="V12927" s="5"/>
    </row>
    <row r="12928">
      <c r="N12928" s="1"/>
      <c r="V12928" s="5"/>
    </row>
    <row r="12929">
      <c r="N12929" s="1"/>
      <c r="V12929" s="5"/>
    </row>
    <row r="12930">
      <c r="N12930" s="1"/>
      <c r="V12930" s="5"/>
    </row>
    <row r="12931">
      <c r="N12931" s="1"/>
      <c r="V12931" s="5"/>
    </row>
    <row r="12932">
      <c r="N12932" s="1"/>
      <c r="V12932" s="5"/>
    </row>
    <row r="12933">
      <c r="N12933" s="1"/>
      <c r="V12933" s="5"/>
    </row>
    <row r="12934">
      <c r="N12934" s="1"/>
      <c r="V12934" s="5"/>
    </row>
    <row r="12935">
      <c r="N12935" s="1"/>
      <c r="V12935" s="5"/>
    </row>
    <row r="12936">
      <c r="N12936" s="1"/>
      <c r="V12936" s="5"/>
    </row>
    <row r="12937">
      <c r="N12937" s="1"/>
      <c r="V12937" s="5"/>
    </row>
    <row r="12938">
      <c r="N12938" s="1"/>
      <c r="V12938" s="5"/>
    </row>
    <row r="12939">
      <c r="N12939" s="1"/>
      <c r="V12939" s="5"/>
    </row>
    <row r="12940">
      <c r="N12940" s="1"/>
      <c r="V12940" s="5"/>
    </row>
    <row r="12941">
      <c r="N12941" s="1"/>
      <c r="V12941" s="5"/>
    </row>
    <row r="12942">
      <c r="N12942" s="1"/>
      <c r="V12942" s="5"/>
    </row>
    <row r="12943">
      <c r="N12943" s="1"/>
      <c r="V12943" s="5"/>
    </row>
    <row r="12944">
      <c r="N12944" s="1"/>
      <c r="V12944" s="5"/>
    </row>
    <row r="12945">
      <c r="N12945" s="1"/>
      <c r="V12945" s="5"/>
    </row>
    <row r="12946">
      <c r="N12946" s="1"/>
      <c r="V12946" s="5"/>
    </row>
    <row r="12947">
      <c r="N12947" s="1"/>
      <c r="V12947" s="5"/>
    </row>
    <row r="12948">
      <c r="N12948" s="1"/>
      <c r="V12948" s="5"/>
    </row>
    <row r="12949">
      <c r="N12949" s="1"/>
      <c r="V12949" s="5"/>
    </row>
    <row r="12950">
      <c r="N12950" s="1"/>
      <c r="V12950" s="5"/>
    </row>
    <row r="12951">
      <c r="N12951" s="1"/>
      <c r="V12951" s="5"/>
    </row>
    <row r="12952">
      <c r="N12952" s="1"/>
      <c r="V12952" s="5"/>
    </row>
    <row r="12953">
      <c r="N12953" s="1"/>
      <c r="V12953" s="5"/>
    </row>
    <row r="12954">
      <c r="N12954" s="1"/>
      <c r="V12954" s="5"/>
    </row>
    <row r="12955">
      <c r="N12955" s="1"/>
      <c r="V12955" s="5"/>
    </row>
    <row r="12956">
      <c r="N12956" s="1"/>
      <c r="V12956" s="5"/>
    </row>
    <row r="12957">
      <c r="N12957" s="1"/>
      <c r="V12957" s="5"/>
    </row>
    <row r="12958">
      <c r="N12958" s="1"/>
      <c r="V12958" s="5"/>
    </row>
    <row r="12959">
      <c r="N12959" s="1"/>
      <c r="V12959" s="5"/>
    </row>
    <row r="12960">
      <c r="N12960" s="1"/>
      <c r="V12960" s="5"/>
    </row>
    <row r="12961">
      <c r="N12961" s="1"/>
      <c r="V12961" s="5"/>
    </row>
    <row r="12962">
      <c r="N12962" s="1"/>
      <c r="V12962" s="5"/>
    </row>
    <row r="12963">
      <c r="N12963" s="1"/>
      <c r="V12963" s="5"/>
    </row>
    <row r="12964">
      <c r="N12964" s="1"/>
      <c r="V12964" s="5"/>
    </row>
    <row r="12965">
      <c r="N12965" s="1"/>
      <c r="V12965" s="5"/>
    </row>
    <row r="12966">
      <c r="N12966" s="1"/>
      <c r="V12966" s="5"/>
    </row>
    <row r="12967">
      <c r="N12967" s="1"/>
      <c r="V12967" s="5"/>
    </row>
    <row r="12968">
      <c r="N12968" s="1"/>
      <c r="V12968" s="5"/>
    </row>
    <row r="12969">
      <c r="N12969" s="1"/>
      <c r="V12969" s="5"/>
    </row>
    <row r="12970">
      <c r="N12970" s="1"/>
      <c r="V12970" s="5"/>
    </row>
    <row r="12971">
      <c r="N12971" s="1"/>
      <c r="V12971" s="5"/>
    </row>
    <row r="12972">
      <c r="N12972" s="1"/>
      <c r="V12972" s="5"/>
    </row>
    <row r="12973">
      <c r="N12973" s="1"/>
      <c r="V12973" s="5"/>
    </row>
    <row r="12974">
      <c r="N12974" s="1"/>
      <c r="V12974" s="5"/>
    </row>
    <row r="12975">
      <c r="N12975" s="1"/>
      <c r="V12975" s="5"/>
    </row>
    <row r="12976">
      <c r="N12976" s="1"/>
      <c r="V12976" s="5"/>
    </row>
    <row r="12977">
      <c r="N12977" s="1"/>
      <c r="V12977" s="5"/>
    </row>
    <row r="12978">
      <c r="N12978" s="1"/>
      <c r="V12978" s="5"/>
    </row>
    <row r="12979">
      <c r="N12979" s="1"/>
      <c r="V12979" s="5"/>
    </row>
    <row r="12980">
      <c r="N12980" s="1"/>
      <c r="V12980" s="5"/>
    </row>
    <row r="12981">
      <c r="N12981" s="1"/>
      <c r="V12981" s="5"/>
    </row>
    <row r="12982">
      <c r="N12982" s="1"/>
      <c r="V12982" s="5"/>
    </row>
    <row r="12983">
      <c r="N12983" s="1"/>
      <c r="V12983" s="5"/>
    </row>
    <row r="12984">
      <c r="N12984" s="1"/>
      <c r="V12984" s="5"/>
    </row>
    <row r="12985">
      <c r="N12985" s="1"/>
      <c r="V12985" s="5"/>
    </row>
    <row r="12986">
      <c r="N12986" s="1"/>
      <c r="V12986" s="5"/>
    </row>
    <row r="12987">
      <c r="N12987" s="1"/>
      <c r="V12987" s="5"/>
    </row>
    <row r="12988">
      <c r="N12988" s="1"/>
      <c r="V12988" s="5"/>
    </row>
    <row r="12989">
      <c r="N12989" s="1"/>
      <c r="V12989" s="5"/>
    </row>
    <row r="12990">
      <c r="N12990" s="1"/>
      <c r="V12990" s="5"/>
    </row>
    <row r="12991">
      <c r="N12991" s="1"/>
      <c r="V12991" s="5"/>
    </row>
    <row r="12992">
      <c r="N12992" s="1"/>
      <c r="V12992" s="5"/>
    </row>
    <row r="12993">
      <c r="N12993" s="1"/>
      <c r="V12993" s="5"/>
    </row>
    <row r="12994">
      <c r="N12994" s="1"/>
      <c r="V12994" s="5"/>
    </row>
    <row r="12995">
      <c r="N12995" s="1"/>
      <c r="V12995" s="5"/>
    </row>
    <row r="12996">
      <c r="N12996" s="1"/>
      <c r="V12996" s="5"/>
    </row>
    <row r="12997">
      <c r="N12997" s="1"/>
      <c r="V12997" s="5"/>
    </row>
    <row r="12998">
      <c r="N12998" s="1"/>
      <c r="V12998" s="5"/>
    </row>
    <row r="12999">
      <c r="N12999" s="1"/>
      <c r="V12999" s="5"/>
    </row>
    <row r="13000">
      <c r="N13000" s="1"/>
      <c r="V13000" s="5"/>
    </row>
    <row r="13001">
      <c r="N13001" s="1"/>
      <c r="V13001" s="5"/>
    </row>
    <row r="13002">
      <c r="N13002" s="1"/>
      <c r="V13002" s="5"/>
    </row>
    <row r="13003">
      <c r="N13003" s="1"/>
      <c r="V13003" s="5"/>
    </row>
    <row r="13004">
      <c r="N13004" s="1"/>
      <c r="V13004" s="5"/>
    </row>
    <row r="13005">
      <c r="N13005" s="1"/>
      <c r="V13005" s="5"/>
    </row>
    <row r="13006">
      <c r="N13006" s="1"/>
      <c r="V13006" s="5"/>
    </row>
    <row r="13007">
      <c r="N13007" s="1"/>
      <c r="V13007" s="5"/>
    </row>
    <row r="13008">
      <c r="N13008" s="1"/>
      <c r="V13008" s="5"/>
    </row>
    <row r="13009">
      <c r="N13009" s="1"/>
      <c r="V13009" s="5"/>
    </row>
    <row r="13010">
      <c r="N13010" s="1"/>
      <c r="V13010" s="5"/>
    </row>
    <row r="13011">
      <c r="N13011" s="1"/>
      <c r="V13011" s="5"/>
    </row>
    <row r="13012">
      <c r="N13012" s="1"/>
      <c r="V13012" s="5"/>
    </row>
    <row r="13013">
      <c r="N13013" s="1"/>
      <c r="V13013" s="5"/>
    </row>
    <row r="13014">
      <c r="N13014" s="1"/>
      <c r="V13014" s="5"/>
    </row>
    <row r="13015">
      <c r="N13015" s="1"/>
      <c r="V13015" s="5"/>
    </row>
    <row r="13016">
      <c r="N13016" s="1"/>
      <c r="V13016" s="5"/>
    </row>
    <row r="13017">
      <c r="N13017" s="1"/>
      <c r="V13017" s="5"/>
    </row>
    <row r="13018">
      <c r="N13018" s="1"/>
      <c r="V13018" s="5"/>
    </row>
    <row r="13019">
      <c r="N13019" s="1"/>
      <c r="V13019" s="5"/>
    </row>
    <row r="13020">
      <c r="N13020" s="1"/>
      <c r="V13020" s="5"/>
    </row>
    <row r="13021">
      <c r="N13021" s="1"/>
      <c r="V13021" s="5"/>
    </row>
    <row r="13022">
      <c r="N13022" s="1"/>
      <c r="V13022" s="5"/>
    </row>
    <row r="13023">
      <c r="N13023" s="1"/>
      <c r="V13023" s="5"/>
    </row>
    <row r="13024">
      <c r="N13024" s="1"/>
      <c r="V13024" s="5"/>
    </row>
    <row r="13025">
      <c r="N13025" s="1"/>
      <c r="V13025" s="5"/>
    </row>
    <row r="13026">
      <c r="N13026" s="1"/>
      <c r="V13026" s="5"/>
    </row>
    <row r="13027">
      <c r="N13027" s="1"/>
      <c r="V13027" s="5"/>
    </row>
    <row r="13028">
      <c r="N13028" s="1"/>
      <c r="V13028" s="5"/>
    </row>
    <row r="13029">
      <c r="N13029" s="1"/>
      <c r="V13029" s="5"/>
    </row>
    <row r="13030">
      <c r="N13030" s="1"/>
      <c r="V13030" s="5"/>
    </row>
    <row r="13031">
      <c r="N13031" s="1"/>
      <c r="V13031" s="5"/>
    </row>
    <row r="13032">
      <c r="N13032" s="1"/>
      <c r="V13032" s="5"/>
    </row>
    <row r="13033">
      <c r="N13033" s="1"/>
      <c r="V13033" s="5"/>
    </row>
    <row r="13034">
      <c r="N13034" s="1"/>
      <c r="V13034" s="5"/>
    </row>
    <row r="13035">
      <c r="N13035" s="1"/>
      <c r="V13035" s="5"/>
    </row>
    <row r="13036">
      <c r="N13036" s="1"/>
      <c r="V13036" s="5"/>
    </row>
    <row r="13037">
      <c r="N13037" s="1"/>
      <c r="V13037" s="5"/>
    </row>
    <row r="13038">
      <c r="N13038" s="1"/>
      <c r="V13038" s="5"/>
    </row>
    <row r="13039">
      <c r="N13039" s="1"/>
      <c r="V13039" s="5"/>
    </row>
    <row r="13040">
      <c r="N13040" s="1"/>
      <c r="V13040" s="5"/>
    </row>
    <row r="13041">
      <c r="N13041" s="1"/>
      <c r="V13041" s="5"/>
    </row>
    <row r="13042">
      <c r="N13042" s="1"/>
      <c r="V13042" s="5"/>
    </row>
    <row r="13043">
      <c r="N13043" s="1"/>
      <c r="V13043" s="5"/>
    </row>
    <row r="13044">
      <c r="N13044" s="1"/>
      <c r="V13044" s="5"/>
    </row>
    <row r="13045">
      <c r="N13045" s="1"/>
      <c r="V13045" s="5"/>
    </row>
    <row r="13046">
      <c r="N13046" s="1"/>
      <c r="V13046" s="5"/>
    </row>
    <row r="13047">
      <c r="N13047" s="1"/>
      <c r="V13047" s="5"/>
    </row>
    <row r="13048">
      <c r="N13048" s="1"/>
      <c r="V13048" s="5"/>
    </row>
    <row r="13049">
      <c r="N13049" s="1"/>
      <c r="V13049" s="5"/>
    </row>
    <row r="13050">
      <c r="N13050" s="1"/>
      <c r="V13050" s="5"/>
    </row>
    <row r="13051">
      <c r="N13051" s="1"/>
      <c r="V13051" s="5"/>
    </row>
    <row r="13052">
      <c r="N13052" s="1"/>
      <c r="V13052" s="5"/>
    </row>
    <row r="13053">
      <c r="N13053" s="1"/>
      <c r="V13053" s="5"/>
    </row>
    <row r="13054">
      <c r="N13054" s="1"/>
      <c r="V13054" s="5"/>
    </row>
    <row r="13055">
      <c r="N13055" s="1"/>
      <c r="V13055" s="5"/>
    </row>
    <row r="13056">
      <c r="N13056" s="1"/>
      <c r="V13056" s="5"/>
    </row>
    <row r="13057">
      <c r="N13057" s="1"/>
      <c r="V13057" s="5"/>
    </row>
    <row r="13058">
      <c r="N13058" s="1"/>
      <c r="V13058" s="5"/>
    </row>
    <row r="13059">
      <c r="N13059" s="1"/>
      <c r="V13059" s="5"/>
    </row>
    <row r="13060">
      <c r="N13060" s="1"/>
      <c r="V13060" s="5"/>
    </row>
    <row r="13061">
      <c r="N13061" s="1"/>
      <c r="V13061" s="5"/>
    </row>
    <row r="13062">
      <c r="N13062" s="1"/>
      <c r="V13062" s="5"/>
    </row>
    <row r="13063">
      <c r="N13063" s="1"/>
      <c r="V13063" s="5"/>
    </row>
    <row r="13064">
      <c r="N13064" s="1"/>
      <c r="V13064" s="5"/>
    </row>
    <row r="13065">
      <c r="N13065" s="1"/>
      <c r="V13065" s="5"/>
    </row>
    <row r="13066">
      <c r="N13066" s="1"/>
      <c r="V13066" s="5"/>
    </row>
    <row r="13067">
      <c r="N13067" s="1"/>
      <c r="V13067" s="5"/>
    </row>
    <row r="13068">
      <c r="N13068" s="1"/>
      <c r="V13068" s="5"/>
    </row>
    <row r="13069">
      <c r="N13069" s="1"/>
      <c r="V13069" s="5"/>
    </row>
    <row r="13070">
      <c r="N13070" s="1"/>
      <c r="V13070" s="5"/>
    </row>
    <row r="13071">
      <c r="N13071" s="1"/>
      <c r="V13071" s="5"/>
    </row>
    <row r="13072">
      <c r="N13072" s="1"/>
      <c r="V13072" s="5"/>
    </row>
    <row r="13073">
      <c r="N13073" s="1"/>
      <c r="V13073" s="5"/>
    </row>
    <row r="13074">
      <c r="N13074" s="1"/>
      <c r="V13074" s="5"/>
    </row>
    <row r="13075">
      <c r="N13075" s="1"/>
      <c r="V13075" s="5"/>
    </row>
    <row r="13076">
      <c r="N13076" s="1"/>
      <c r="V13076" s="5"/>
    </row>
    <row r="13077">
      <c r="N13077" s="1"/>
      <c r="V13077" s="5"/>
    </row>
    <row r="13078">
      <c r="N13078" s="1"/>
      <c r="V13078" s="5"/>
    </row>
    <row r="13079">
      <c r="N13079" s="1"/>
      <c r="V13079" s="5"/>
    </row>
    <row r="13080">
      <c r="N13080" s="1"/>
      <c r="V13080" s="5"/>
    </row>
    <row r="13081">
      <c r="N13081" s="1"/>
      <c r="V13081" s="5"/>
    </row>
    <row r="13082">
      <c r="N13082" s="1"/>
      <c r="V13082" s="5"/>
    </row>
    <row r="13083">
      <c r="N13083" s="1"/>
      <c r="V13083" s="5"/>
    </row>
    <row r="13084">
      <c r="N13084" s="1"/>
      <c r="V13084" s="5"/>
    </row>
    <row r="13085">
      <c r="N13085" s="1"/>
      <c r="V13085" s="5"/>
    </row>
    <row r="13086">
      <c r="N13086" s="1"/>
      <c r="V13086" s="5"/>
    </row>
    <row r="13087">
      <c r="N13087" s="1"/>
      <c r="V13087" s="5"/>
    </row>
    <row r="13088">
      <c r="N13088" s="1"/>
      <c r="V13088" s="5"/>
    </row>
    <row r="13089">
      <c r="N13089" s="1"/>
      <c r="V13089" s="5"/>
    </row>
    <row r="13090">
      <c r="N13090" s="1"/>
      <c r="V13090" s="5"/>
    </row>
    <row r="13091">
      <c r="N13091" s="1"/>
      <c r="V13091" s="5"/>
    </row>
    <row r="13092">
      <c r="N13092" s="1"/>
      <c r="V13092" s="5"/>
    </row>
    <row r="13093">
      <c r="N13093" s="1"/>
      <c r="V13093" s="5"/>
    </row>
    <row r="13094">
      <c r="N13094" s="1"/>
      <c r="V13094" s="5"/>
    </row>
    <row r="13095">
      <c r="N13095" s="1"/>
      <c r="V13095" s="5"/>
    </row>
    <row r="13096">
      <c r="N13096" s="1"/>
      <c r="V13096" s="5"/>
    </row>
    <row r="13097">
      <c r="N13097" s="1"/>
      <c r="V13097" s="5"/>
    </row>
    <row r="13098">
      <c r="N13098" s="1"/>
      <c r="V13098" s="5"/>
    </row>
    <row r="13099">
      <c r="N13099" s="1"/>
      <c r="V13099" s="5"/>
    </row>
    <row r="13100">
      <c r="N13100" s="1"/>
      <c r="V13100" s="5"/>
    </row>
    <row r="13101">
      <c r="N13101" s="1"/>
      <c r="V13101" s="5"/>
    </row>
    <row r="13102">
      <c r="N13102" s="1"/>
      <c r="V13102" s="5"/>
    </row>
    <row r="13103">
      <c r="N13103" s="1"/>
      <c r="V13103" s="5"/>
    </row>
    <row r="13104">
      <c r="N13104" s="1"/>
      <c r="V13104" s="5"/>
    </row>
    <row r="13105">
      <c r="N13105" s="1"/>
      <c r="V13105" s="5"/>
    </row>
    <row r="13106">
      <c r="N13106" s="1"/>
      <c r="V13106" s="5"/>
    </row>
    <row r="13107">
      <c r="N13107" s="1"/>
      <c r="V13107" s="5"/>
    </row>
    <row r="13108">
      <c r="N13108" s="1"/>
      <c r="V13108" s="5"/>
    </row>
    <row r="13109">
      <c r="N13109" s="1"/>
      <c r="V13109" s="5"/>
    </row>
    <row r="13110">
      <c r="N13110" s="1"/>
      <c r="V13110" s="5"/>
    </row>
    <row r="13111">
      <c r="N13111" s="1"/>
      <c r="V13111" s="5"/>
    </row>
    <row r="13112">
      <c r="N13112" s="1"/>
      <c r="V13112" s="5"/>
    </row>
    <row r="13113">
      <c r="N13113" s="1"/>
      <c r="V13113" s="5"/>
    </row>
    <row r="13114">
      <c r="N13114" s="1"/>
      <c r="V13114" s="5"/>
    </row>
    <row r="13115">
      <c r="N13115" s="1"/>
      <c r="V13115" s="5"/>
    </row>
    <row r="13116">
      <c r="N13116" s="1"/>
      <c r="V13116" s="5"/>
    </row>
    <row r="13117">
      <c r="N13117" s="1"/>
      <c r="V13117" s="5"/>
    </row>
    <row r="13118">
      <c r="N13118" s="1"/>
      <c r="V13118" s="5"/>
    </row>
    <row r="13119">
      <c r="N13119" s="1"/>
      <c r="V13119" s="5"/>
    </row>
    <row r="13120">
      <c r="N13120" s="1"/>
      <c r="V13120" s="5"/>
    </row>
    <row r="13121">
      <c r="N13121" s="1"/>
      <c r="V13121" s="5"/>
    </row>
    <row r="13122">
      <c r="N13122" s="1"/>
      <c r="V13122" s="5"/>
    </row>
    <row r="13123">
      <c r="N13123" s="1"/>
      <c r="V13123" s="5"/>
    </row>
    <row r="13124">
      <c r="N13124" s="1"/>
      <c r="V13124" s="5"/>
    </row>
    <row r="13125">
      <c r="N13125" s="1"/>
      <c r="V13125" s="5"/>
    </row>
    <row r="13126">
      <c r="N13126" s="1"/>
      <c r="V13126" s="5"/>
    </row>
    <row r="13127">
      <c r="N13127" s="1"/>
      <c r="V13127" s="5"/>
    </row>
    <row r="13128">
      <c r="N13128" s="1"/>
      <c r="V13128" s="5"/>
    </row>
    <row r="13129">
      <c r="N13129" s="1"/>
      <c r="V13129" s="5"/>
    </row>
    <row r="13130">
      <c r="N13130" s="1"/>
      <c r="V13130" s="5"/>
    </row>
    <row r="13131">
      <c r="N13131" s="1"/>
      <c r="V13131" s="5"/>
    </row>
    <row r="13132">
      <c r="N13132" s="1"/>
      <c r="V13132" s="5"/>
    </row>
    <row r="13133">
      <c r="N13133" s="1"/>
      <c r="V13133" s="5"/>
    </row>
    <row r="13134">
      <c r="N13134" s="1"/>
      <c r="V13134" s="5"/>
    </row>
    <row r="13135">
      <c r="N13135" s="1"/>
      <c r="V13135" s="5"/>
    </row>
    <row r="13136">
      <c r="N13136" s="1"/>
      <c r="V13136" s="5"/>
    </row>
    <row r="13137">
      <c r="N13137" s="1"/>
      <c r="V13137" s="5"/>
    </row>
    <row r="13138">
      <c r="N13138" s="1"/>
      <c r="V13138" s="5"/>
    </row>
    <row r="13139">
      <c r="N13139" s="1"/>
      <c r="V13139" s="5"/>
    </row>
    <row r="13140">
      <c r="N13140" s="1"/>
      <c r="V13140" s="5"/>
    </row>
    <row r="13141">
      <c r="N13141" s="1"/>
      <c r="V13141" s="5"/>
    </row>
    <row r="13142">
      <c r="N13142" s="1"/>
      <c r="V13142" s="5"/>
    </row>
    <row r="13143">
      <c r="N13143" s="1"/>
      <c r="V13143" s="5"/>
    </row>
    <row r="13144">
      <c r="N13144" s="1"/>
      <c r="V13144" s="5"/>
    </row>
    <row r="13145">
      <c r="N13145" s="1"/>
      <c r="V13145" s="5"/>
    </row>
    <row r="13146">
      <c r="N13146" s="1"/>
      <c r="V13146" s="5"/>
    </row>
    <row r="13147">
      <c r="N13147" s="1"/>
      <c r="V13147" s="5"/>
    </row>
    <row r="13148">
      <c r="N13148" s="1"/>
      <c r="V13148" s="5"/>
    </row>
    <row r="13149">
      <c r="N13149" s="1"/>
      <c r="V13149" s="5"/>
    </row>
    <row r="13150">
      <c r="N13150" s="1"/>
      <c r="V13150" s="5"/>
    </row>
    <row r="13151">
      <c r="N13151" s="1"/>
      <c r="V13151" s="5"/>
    </row>
    <row r="13152">
      <c r="N13152" s="1"/>
      <c r="V13152" s="5"/>
    </row>
    <row r="13153">
      <c r="N13153" s="1"/>
      <c r="V13153" s="5"/>
    </row>
    <row r="13154">
      <c r="N13154" s="1"/>
      <c r="V13154" s="5"/>
    </row>
    <row r="13155">
      <c r="N13155" s="1"/>
      <c r="V13155" s="5"/>
    </row>
    <row r="13156">
      <c r="N13156" s="1"/>
      <c r="V13156" s="5"/>
    </row>
    <row r="13157">
      <c r="N13157" s="1"/>
      <c r="V13157" s="5"/>
    </row>
    <row r="13158">
      <c r="N13158" s="1"/>
      <c r="V13158" s="5"/>
    </row>
    <row r="13159">
      <c r="N13159" s="1"/>
      <c r="V13159" s="5"/>
    </row>
    <row r="13160">
      <c r="N13160" s="1"/>
      <c r="V13160" s="5"/>
    </row>
    <row r="13161">
      <c r="N13161" s="1"/>
      <c r="V13161" s="5"/>
    </row>
    <row r="13162">
      <c r="N13162" s="1"/>
      <c r="V13162" s="5"/>
    </row>
    <row r="13163">
      <c r="N13163" s="1"/>
      <c r="V13163" s="5"/>
    </row>
    <row r="13164">
      <c r="N13164" s="1"/>
      <c r="V13164" s="5"/>
    </row>
    <row r="13165">
      <c r="N13165" s="1"/>
      <c r="V13165" s="5"/>
    </row>
    <row r="13166">
      <c r="N13166" s="1"/>
      <c r="V13166" s="5"/>
    </row>
    <row r="13167">
      <c r="N13167" s="1"/>
      <c r="V13167" s="5"/>
    </row>
    <row r="13168">
      <c r="N13168" s="1"/>
      <c r="V13168" s="5"/>
    </row>
    <row r="13169">
      <c r="N13169" s="1"/>
      <c r="V13169" s="5"/>
    </row>
    <row r="13170">
      <c r="N13170" s="1"/>
      <c r="V13170" s="5"/>
    </row>
    <row r="13171">
      <c r="N13171" s="1"/>
      <c r="V13171" s="5"/>
    </row>
    <row r="13172">
      <c r="N13172" s="1"/>
      <c r="V13172" s="5"/>
    </row>
    <row r="13173">
      <c r="N13173" s="1"/>
      <c r="V13173" s="5"/>
    </row>
    <row r="13174">
      <c r="N13174" s="1"/>
      <c r="V13174" s="5"/>
    </row>
    <row r="13175">
      <c r="N13175" s="1"/>
      <c r="V13175" s="5"/>
    </row>
    <row r="13176">
      <c r="N13176" s="1"/>
      <c r="V13176" s="5"/>
    </row>
    <row r="13177">
      <c r="N13177" s="1"/>
      <c r="V13177" s="5"/>
    </row>
    <row r="13178">
      <c r="N13178" s="1"/>
      <c r="V13178" s="5"/>
    </row>
    <row r="13179">
      <c r="N13179" s="1"/>
      <c r="V13179" s="5"/>
    </row>
    <row r="13180">
      <c r="N13180" s="1"/>
      <c r="V13180" s="5"/>
    </row>
    <row r="13181">
      <c r="N13181" s="1"/>
      <c r="V13181" s="5"/>
    </row>
    <row r="13182">
      <c r="N13182" s="1"/>
      <c r="V13182" s="5"/>
    </row>
    <row r="13183">
      <c r="N13183" s="1"/>
      <c r="V13183" s="5"/>
    </row>
    <row r="13184">
      <c r="N13184" s="1"/>
      <c r="V13184" s="5"/>
    </row>
    <row r="13185">
      <c r="N13185" s="1"/>
      <c r="V13185" s="5"/>
    </row>
    <row r="13186">
      <c r="N13186" s="1"/>
      <c r="V13186" s="5"/>
    </row>
    <row r="13187">
      <c r="N13187" s="1"/>
      <c r="V13187" s="5"/>
    </row>
    <row r="13188">
      <c r="N13188" s="1"/>
      <c r="V13188" s="5"/>
    </row>
    <row r="13189">
      <c r="N13189" s="1"/>
      <c r="V13189" s="5"/>
    </row>
    <row r="13190">
      <c r="N13190" s="1"/>
      <c r="V13190" s="5"/>
    </row>
    <row r="13191">
      <c r="N13191" s="1"/>
      <c r="V13191" s="5"/>
    </row>
    <row r="13192">
      <c r="N13192" s="1"/>
      <c r="V13192" s="5"/>
    </row>
    <row r="13193">
      <c r="N13193" s="1"/>
      <c r="V13193" s="5"/>
    </row>
    <row r="13194">
      <c r="N13194" s="1"/>
      <c r="V13194" s="5"/>
    </row>
    <row r="13195">
      <c r="N13195" s="1"/>
      <c r="V13195" s="5"/>
    </row>
    <row r="13196">
      <c r="N13196" s="1"/>
      <c r="V13196" s="5"/>
    </row>
    <row r="13197">
      <c r="N13197" s="1"/>
      <c r="V13197" s="5"/>
    </row>
    <row r="13198">
      <c r="N13198" s="1"/>
      <c r="V13198" s="5"/>
    </row>
    <row r="13199">
      <c r="N13199" s="1"/>
      <c r="V13199" s="5"/>
    </row>
    <row r="13200">
      <c r="N13200" s="1"/>
      <c r="V13200" s="5"/>
    </row>
    <row r="13201">
      <c r="N13201" s="1"/>
      <c r="V13201" s="5"/>
    </row>
    <row r="13202">
      <c r="N13202" s="1"/>
      <c r="V13202" s="5"/>
    </row>
    <row r="13203">
      <c r="N13203" s="1"/>
      <c r="V13203" s="5"/>
    </row>
    <row r="13204">
      <c r="N13204" s="1"/>
      <c r="V13204" s="5"/>
    </row>
    <row r="13205">
      <c r="N13205" s="1"/>
      <c r="V13205" s="5"/>
    </row>
    <row r="13206">
      <c r="N13206" s="1"/>
      <c r="V13206" s="5"/>
    </row>
    <row r="13207">
      <c r="N13207" s="1"/>
      <c r="V13207" s="5"/>
    </row>
    <row r="13208">
      <c r="N13208" s="1"/>
      <c r="V13208" s="5"/>
    </row>
    <row r="13209">
      <c r="N13209" s="1"/>
      <c r="V13209" s="5"/>
    </row>
    <row r="13210">
      <c r="N13210" s="1"/>
      <c r="V13210" s="5"/>
    </row>
    <row r="13211">
      <c r="N13211" s="1"/>
      <c r="V13211" s="5"/>
    </row>
    <row r="13212">
      <c r="N13212" s="1"/>
      <c r="V13212" s="5"/>
    </row>
    <row r="13213">
      <c r="N13213" s="1"/>
      <c r="V13213" s="5"/>
    </row>
    <row r="13214">
      <c r="N13214" s="1"/>
      <c r="V13214" s="5"/>
    </row>
    <row r="13215">
      <c r="N13215" s="1"/>
      <c r="V13215" s="5"/>
    </row>
    <row r="13216">
      <c r="N13216" s="1"/>
      <c r="V13216" s="5"/>
    </row>
    <row r="13217">
      <c r="N13217" s="1"/>
      <c r="V13217" s="5"/>
    </row>
    <row r="13218">
      <c r="N13218" s="1"/>
      <c r="V13218" s="5"/>
    </row>
    <row r="13219">
      <c r="N13219" s="1"/>
      <c r="V13219" s="5"/>
    </row>
    <row r="13220">
      <c r="N13220" s="1"/>
      <c r="V13220" s="5"/>
    </row>
    <row r="13221">
      <c r="N13221" s="1"/>
      <c r="V13221" s="5"/>
    </row>
    <row r="13222">
      <c r="N13222" s="1"/>
      <c r="V13222" s="5"/>
    </row>
    <row r="13223">
      <c r="N13223" s="1"/>
      <c r="V13223" s="5"/>
    </row>
    <row r="13224">
      <c r="N13224" s="1"/>
      <c r="V13224" s="5"/>
    </row>
    <row r="13225">
      <c r="N13225" s="1"/>
      <c r="V13225" s="5"/>
    </row>
    <row r="13226">
      <c r="N13226" s="1"/>
      <c r="V13226" s="5"/>
    </row>
    <row r="13227">
      <c r="N13227" s="1"/>
      <c r="V13227" s="5"/>
    </row>
    <row r="13228">
      <c r="N13228" s="1"/>
      <c r="V13228" s="5"/>
    </row>
    <row r="13229">
      <c r="N13229" s="1"/>
      <c r="V13229" s="5"/>
    </row>
    <row r="13230">
      <c r="N13230" s="1"/>
      <c r="V13230" s="5"/>
    </row>
    <row r="13231">
      <c r="N13231" s="1"/>
      <c r="V13231" s="5"/>
    </row>
    <row r="13232">
      <c r="N13232" s="1"/>
      <c r="V13232" s="5"/>
    </row>
    <row r="13233">
      <c r="N13233" s="1"/>
      <c r="V13233" s="5"/>
    </row>
    <row r="13234">
      <c r="N13234" s="1"/>
      <c r="V13234" s="5"/>
    </row>
    <row r="13235">
      <c r="N13235" s="1"/>
      <c r="V13235" s="5"/>
    </row>
    <row r="13236">
      <c r="N13236" s="1"/>
      <c r="V13236" s="5"/>
    </row>
    <row r="13237">
      <c r="N13237" s="1"/>
      <c r="V13237" s="5"/>
    </row>
    <row r="13238">
      <c r="N13238" s="1"/>
      <c r="V13238" s="5"/>
    </row>
    <row r="13239">
      <c r="N13239" s="1"/>
      <c r="V13239" s="5"/>
    </row>
    <row r="13240">
      <c r="N13240" s="1"/>
      <c r="V13240" s="5"/>
    </row>
    <row r="13241">
      <c r="N13241" s="1"/>
      <c r="V13241" s="5"/>
    </row>
    <row r="13242">
      <c r="N13242" s="1"/>
      <c r="V13242" s="5"/>
    </row>
    <row r="13243">
      <c r="N13243" s="1"/>
      <c r="V13243" s="5"/>
    </row>
    <row r="13244">
      <c r="N13244" s="1"/>
      <c r="V13244" s="5"/>
    </row>
    <row r="13245">
      <c r="N13245" s="1"/>
      <c r="V13245" s="5"/>
    </row>
    <row r="13246">
      <c r="N13246" s="1"/>
      <c r="V13246" s="5"/>
    </row>
    <row r="13247">
      <c r="N13247" s="1"/>
      <c r="V13247" s="5"/>
    </row>
    <row r="13248">
      <c r="N13248" s="1"/>
      <c r="V13248" s="5"/>
    </row>
    <row r="13249">
      <c r="N13249" s="1"/>
      <c r="V13249" s="5"/>
    </row>
    <row r="13250">
      <c r="N13250" s="1"/>
      <c r="V13250" s="5"/>
    </row>
    <row r="13251">
      <c r="N13251" s="1"/>
      <c r="V13251" s="5"/>
    </row>
    <row r="13252">
      <c r="N13252" s="1"/>
      <c r="V13252" s="5"/>
    </row>
    <row r="13253">
      <c r="N13253" s="1"/>
      <c r="V13253" s="5"/>
    </row>
    <row r="13254">
      <c r="N13254" s="1"/>
      <c r="V13254" s="5"/>
    </row>
    <row r="13255">
      <c r="N13255" s="1"/>
      <c r="V13255" s="5"/>
    </row>
    <row r="13256">
      <c r="N13256" s="1"/>
      <c r="V13256" s="5"/>
    </row>
    <row r="13257">
      <c r="N13257" s="1"/>
      <c r="V13257" s="5"/>
    </row>
    <row r="13258">
      <c r="N13258" s="1"/>
      <c r="V13258" s="5"/>
    </row>
    <row r="13259">
      <c r="N13259" s="1"/>
      <c r="V13259" s="5"/>
    </row>
    <row r="13260">
      <c r="N13260" s="1"/>
      <c r="V13260" s="5"/>
    </row>
    <row r="13261">
      <c r="N13261" s="1"/>
      <c r="V13261" s="5"/>
    </row>
    <row r="13262">
      <c r="N13262" s="1"/>
      <c r="V13262" s="5"/>
    </row>
    <row r="13263">
      <c r="N13263" s="1"/>
      <c r="V13263" s="5"/>
    </row>
    <row r="13264">
      <c r="N13264" s="1"/>
      <c r="V13264" s="5"/>
    </row>
    <row r="13265">
      <c r="N13265" s="1"/>
      <c r="V13265" s="5"/>
    </row>
    <row r="13266">
      <c r="N13266" s="1"/>
      <c r="V13266" s="5"/>
    </row>
    <row r="13267">
      <c r="N13267" s="1"/>
      <c r="V13267" s="5"/>
    </row>
    <row r="13268">
      <c r="N13268" s="1"/>
      <c r="V13268" s="5"/>
    </row>
    <row r="13269">
      <c r="N13269" s="1"/>
      <c r="V13269" s="5"/>
    </row>
    <row r="13270">
      <c r="N13270" s="1"/>
      <c r="V13270" s="5"/>
    </row>
    <row r="13271">
      <c r="N13271" s="1"/>
      <c r="V13271" s="5"/>
    </row>
    <row r="13272">
      <c r="N13272" s="1"/>
      <c r="V13272" s="5"/>
    </row>
    <row r="13273">
      <c r="N13273" s="1"/>
      <c r="V13273" s="5"/>
    </row>
    <row r="13274">
      <c r="N13274" s="1"/>
      <c r="V13274" s="5"/>
    </row>
    <row r="13275">
      <c r="N13275" s="1"/>
      <c r="V13275" s="5"/>
    </row>
    <row r="13276">
      <c r="N13276" s="1"/>
      <c r="V13276" s="5"/>
    </row>
    <row r="13277">
      <c r="N13277" s="1"/>
      <c r="V13277" s="5"/>
    </row>
    <row r="13278">
      <c r="N13278" s="1"/>
      <c r="V13278" s="5"/>
    </row>
    <row r="13279">
      <c r="N13279" s="1"/>
      <c r="V13279" s="5"/>
    </row>
    <row r="13280">
      <c r="N13280" s="1"/>
      <c r="V13280" s="5"/>
    </row>
    <row r="13281">
      <c r="N13281" s="1"/>
      <c r="V13281" s="5"/>
    </row>
    <row r="13282">
      <c r="N13282" s="1"/>
      <c r="V13282" s="5"/>
    </row>
    <row r="13283">
      <c r="N13283" s="1"/>
      <c r="V13283" s="5"/>
    </row>
    <row r="13284">
      <c r="N13284" s="1"/>
      <c r="V13284" s="5"/>
    </row>
    <row r="13285">
      <c r="N13285" s="1"/>
      <c r="V13285" s="5"/>
    </row>
    <row r="13286">
      <c r="N13286" s="1"/>
      <c r="V13286" s="5"/>
    </row>
    <row r="13287">
      <c r="N13287" s="1"/>
      <c r="V13287" s="5"/>
    </row>
    <row r="13288">
      <c r="N13288" s="1"/>
      <c r="V13288" s="5"/>
    </row>
    <row r="13289">
      <c r="N13289" s="1"/>
      <c r="V13289" s="5"/>
    </row>
    <row r="13290">
      <c r="N13290" s="1"/>
      <c r="V13290" s="5"/>
    </row>
    <row r="13291">
      <c r="N13291" s="1"/>
      <c r="V13291" s="5"/>
    </row>
    <row r="13292">
      <c r="N13292" s="1"/>
      <c r="V13292" s="5"/>
    </row>
    <row r="13293">
      <c r="N13293" s="1"/>
      <c r="V13293" s="5"/>
    </row>
    <row r="13294">
      <c r="N13294" s="1"/>
      <c r="V13294" s="5"/>
    </row>
    <row r="13295">
      <c r="N13295" s="1"/>
      <c r="V13295" s="5"/>
    </row>
    <row r="13296">
      <c r="N13296" s="1"/>
      <c r="V13296" s="5"/>
    </row>
    <row r="13297">
      <c r="N13297" s="1"/>
      <c r="V13297" s="5"/>
    </row>
    <row r="13298">
      <c r="N13298" s="1"/>
      <c r="V13298" s="5"/>
    </row>
    <row r="13299">
      <c r="N13299" s="1"/>
      <c r="V13299" s="5"/>
    </row>
    <row r="13300">
      <c r="N13300" s="1"/>
      <c r="V13300" s="5"/>
    </row>
    <row r="13301">
      <c r="N13301" s="1"/>
      <c r="V13301" s="5"/>
    </row>
    <row r="13302">
      <c r="N13302" s="1"/>
      <c r="V13302" s="5"/>
    </row>
    <row r="13303">
      <c r="N13303" s="1"/>
      <c r="V13303" s="5"/>
    </row>
    <row r="13304">
      <c r="N13304" s="1"/>
      <c r="V13304" s="5"/>
    </row>
    <row r="13305">
      <c r="N13305" s="1"/>
      <c r="V13305" s="5"/>
    </row>
    <row r="13306">
      <c r="N13306" s="1"/>
      <c r="V13306" s="5"/>
    </row>
    <row r="13307">
      <c r="N13307" s="1"/>
      <c r="V13307" s="5"/>
    </row>
    <row r="13308">
      <c r="N13308" s="1"/>
      <c r="V13308" s="5"/>
    </row>
    <row r="13309">
      <c r="N13309" s="1"/>
      <c r="V13309" s="5"/>
    </row>
    <row r="13310">
      <c r="N13310" s="1"/>
      <c r="V13310" s="5"/>
    </row>
    <row r="13311">
      <c r="N13311" s="1"/>
      <c r="V13311" s="5"/>
    </row>
    <row r="13312">
      <c r="N13312" s="1"/>
      <c r="V13312" s="5"/>
    </row>
    <row r="13313">
      <c r="N13313" s="1"/>
      <c r="V13313" s="5"/>
    </row>
    <row r="13314">
      <c r="N13314" s="1"/>
      <c r="V13314" s="5"/>
    </row>
    <row r="13315">
      <c r="N13315" s="1"/>
      <c r="V13315" s="5"/>
    </row>
    <row r="13316">
      <c r="N13316" s="1"/>
      <c r="V13316" s="5"/>
    </row>
    <row r="13317">
      <c r="N13317" s="1"/>
      <c r="V13317" s="5"/>
    </row>
    <row r="13318">
      <c r="N13318" s="1"/>
      <c r="V13318" s="5"/>
    </row>
    <row r="13319">
      <c r="N13319" s="1"/>
      <c r="V13319" s="5"/>
    </row>
    <row r="13320">
      <c r="N13320" s="1"/>
      <c r="V13320" s="5"/>
    </row>
    <row r="13321">
      <c r="N13321" s="1"/>
      <c r="V13321" s="5"/>
    </row>
    <row r="13322">
      <c r="N13322" s="1"/>
      <c r="V13322" s="5"/>
    </row>
    <row r="13323">
      <c r="N13323" s="1"/>
      <c r="V13323" s="5"/>
    </row>
    <row r="13324">
      <c r="N13324" s="1"/>
      <c r="V13324" s="5"/>
    </row>
    <row r="13325">
      <c r="N13325" s="1"/>
      <c r="V13325" s="5"/>
    </row>
    <row r="13326">
      <c r="N13326" s="1"/>
      <c r="V13326" s="5"/>
    </row>
    <row r="13327">
      <c r="N13327" s="1"/>
      <c r="V13327" s="5"/>
    </row>
    <row r="13328">
      <c r="N13328" s="1"/>
      <c r="V13328" s="5"/>
    </row>
    <row r="13329">
      <c r="N13329" s="1"/>
      <c r="V13329" s="5"/>
    </row>
    <row r="13330">
      <c r="N13330" s="1"/>
      <c r="V13330" s="5"/>
    </row>
    <row r="13331">
      <c r="N13331" s="1"/>
      <c r="V13331" s="5"/>
    </row>
    <row r="13332">
      <c r="N13332" s="1"/>
      <c r="V13332" s="5"/>
    </row>
    <row r="13333">
      <c r="N13333" s="1"/>
      <c r="V13333" s="5"/>
    </row>
    <row r="13334">
      <c r="N13334" s="1"/>
      <c r="V13334" s="5"/>
    </row>
    <row r="13335">
      <c r="N13335" s="1"/>
      <c r="V13335" s="5"/>
    </row>
    <row r="13336">
      <c r="N13336" s="1"/>
      <c r="V13336" s="5"/>
    </row>
    <row r="13337">
      <c r="N13337" s="1"/>
      <c r="V13337" s="5"/>
    </row>
    <row r="13338">
      <c r="N13338" s="1"/>
      <c r="V13338" s="5"/>
    </row>
    <row r="13339">
      <c r="N13339" s="1"/>
      <c r="V13339" s="5"/>
    </row>
    <row r="13340">
      <c r="N13340" s="1"/>
      <c r="V13340" s="5"/>
    </row>
    <row r="13341">
      <c r="N13341" s="1"/>
      <c r="V13341" s="5"/>
    </row>
    <row r="13342">
      <c r="N13342" s="1"/>
      <c r="V13342" s="5"/>
    </row>
    <row r="13343">
      <c r="N13343" s="1"/>
      <c r="V13343" s="5"/>
    </row>
    <row r="13344">
      <c r="N13344" s="1"/>
      <c r="V13344" s="5"/>
    </row>
    <row r="13345">
      <c r="N13345" s="1"/>
      <c r="V13345" s="5"/>
    </row>
    <row r="13346">
      <c r="N13346" s="1"/>
      <c r="V13346" s="5"/>
    </row>
    <row r="13347">
      <c r="N13347" s="1"/>
      <c r="V13347" s="5"/>
    </row>
    <row r="13348">
      <c r="N13348" s="1"/>
      <c r="V13348" s="5"/>
    </row>
    <row r="13349">
      <c r="N13349" s="1"/>
      <c r="V13349" s="5"/>
    </row>
    <row r="13350">
      <c r="N13350" s="1"/>
      <c r="V13350" s="5"/>
    </row>
    <row r="13351">
      <c r="N13351" s="1"/>
      <c r="V13351" s="5"/>
    </row>
    <row r="13352">
      <c r="N13352" s="1"/>
      <c r="V13352" s="5"/>
    </row>
    <row r="13353">
      <c r="N13353" s="1"/>
      <c r="V13353" s="5"/>
    </row>
    <row r="13354">
      <c r="N13354" s="1"/>
      <c r="V13354" s="5"/>
    </row>
    <row r="13355">
      <c r="N13355" s="1"/>
      <c r="V13355" s="5"/>
    </row>
    <row r="13356">
      <c r="N13356" s="1"/>
      <c r="V13356" s="5"/>
    </row>
    <row r="13357">
      <c r="N13357" s="1"/>
      <c r="V13357" s="5"/>
    </row>
    <row r="13358">
      <c r="N13358" s="1"/>
      <c r="V13358" s="5"/>
    </row>
    <row r="13359">
      <c r="N13359" s="1"/>
      <c r="V13359" s="5"/>
    </row>
    <row r="13360">
      <c r="N13360" s="1"/>
      <c r="V13360" s="5"/>
    </row>
    <row r="13361">
      <c r="N13361" s="1"/>
      <c r="V13361" s="5"/>
    </row>
    <row r="13362">
      <c r="N13362" s="1"/>
      <c r="V13362" s="5"/>
    </row>
    <row r="13363">
      <c r="N13363" s="1"/>
      <c r="V13363" s="5"/>
    </row>
    <row r="13364">
      <c r="N13364" s="1"/>
      <c r="V13364" s="5"/>
    </row>
    <row r="13365">
      <c r="N13365" s="1"/>
      <c r="V13365" s="5"/>
    </row>
    <row r="13366">
      <c r="N13366" s="1"/>
      <c r="V13366" s="5"/>
    </row>
    <row r="13367">
      <c r="N13367" s="1"/>
      <c r="V13367" s="5"/>
    </row>
    <row r="13368">
      <c r="N13368" s="1"/>
      <c r="V13368" s="5"/>
    </row>
    <row r="13369">
      <c r="N13369" s="1"/>
      <c r="V13369" s="5"/>
    </row>
    <row r="13370">
      <c r="N13370" s="1"/>
      <c r="V13370" s="5"/>
    </row>
    <row r="13371">
      <c r="N13371" s="1"/>
      <c r="V13371" s="5"/>
    </row>
    <row r="13372">
      <c r="N13372" s="1"/>
      <c r="V13372" s="5"/>
    </row>
    <row r="13373">
      <c r="N13373" s="1"/>
      <c r="V13373" s="5"/>
    </row>
    <row r="13374">
      <c r="N13374" s="1"/>
      <c r="V13374" s="5"/>
    </row>
    <row r="13375">
      <c r="N13375" s="1"/>
      <c r="V13375" s="5"/>
    </row>
    <row r="13376">
      <c r="N13376" s="1"/>
      <c r="V13376" s="5"/>
    </row>
    <row r="13377">
      <c r="N13377" s="1"/>
      <c r="V13377" s="5"/>
    </row>
    <row r="13378">
      <c r="N13378" s="1"/>
      <c r="V13378" s="5"/>
    </row>
    <row r="13379">
      <c r="N13379" s="1"/>
      <c r="V13379" s="5"/>
    </row>
    <row r="13380">
      <c r="N13380" s="1"/>
      <c r="V13380" s="5"/>
    </row>
    <row r="13381">
      <c r="N13381" s="1"/>
      <c r="V13381" s="5"/>
    </row>
    <row r="13382">
      <c r="N13382" s="1"/>
      <c r="V13382" s="5"/>
    </row>
    <row r="13383">
      <c r="N13383" s="1"/>
      <c r="V13383" s="5"/>
    </row>
    <row r="13384">
      <c r="N13384" s="1"/>
      <c r="V13384" s="5"/>
    </row>
    <row r="13385">
      <c r="N13385" s="1"/>
      <c r="V13385" s="5"/>
    </row>
    <row r="13386">
      <c r="N13386" s="1"/>
      <c r="V13386" s="5"/>
    </row>
    <row r="13387">
      <c r="N13387" s="1"/>
      <c r="V13387" s="5"/>
    </row>
    <row r="13388">
      <c r="N13388" s="1"/>
      <c r="V13388" s="5"/>
    </row>
    <row r="13389">
      <c r="N13389" s="1"/>
      <c r="V13389" s="5"/>
    </row>
    <row r="13390">
      <c r="N13390" s="1"/>
      <c r="V13390" s="5"/>
    </row>
    <row r="13391">
      <c r="N13391" s="1"/>
      <c r="V13391" s="5"/>
    </row>
    <row r="13392">
      <c r="N13392" s="1"/>
      <c r="V13392" s="5"/>
    </row>
    <row r="13393">
      <c r="N13393" s="1"/>
      <c r="V13393" s="5"/>
    </row>
    <row r="13394">
      <c r="N13394" s="1"/>
      <c r="V13394" s="5"/>
    </row>
    <row r="13395">
      <c r="N13395" s="1"/>
      <c r="V13395" s="5"/>
    </row>
    <row r="13396">
      <c r="N13396" s="1"/>
      <c r="V13396" s="5"/>
    </row>
    <row r="13397">
      <c r="N13397" s="1"/>
      <c r="V13397" s="5"/>
    </row>
    <row r="13398">
      <c r="N13398" s="1"/>
      <c r="V13398" s="5"/>
    </row>
    <row r="13399">
      <c r="N13399" s="1"/>
      <c r="V13399" s="5"/>
    </row>
    <row r="13400">
      <c r="N13400" s="1"/>
      <c r="V13400" s="5"/>
    </row>
    <row r="13401">
      <c r="N13401" s="1"/>
      <c r="V13401" s="5"/>
    </row>
    <row r="13402">
      <c r="N13402" s="1"/>
      <c r="V13402" s="5"/>
    </row>
    <row r="13403">
      <c r="N13403" s="1"/>
      <c r="V13403" s="5"/>
    </row>
    <row r="13404">
      <c r="N13404" s="1"/>
      <c r="V13404" s="5"/>
    </row>
    <row r="13405">
      <c r="N13405" s="1"/>
      <c r="V13405" s="5"/>
    </row>
    <row r="13406">
      <c r="N13406" s="1"/>
      <c r="V13406" s="5"/>
    </row>
    <row r="13407">
      <c r="N13407" s="1"/>
      <c r="V13407" s="5"/>
    </row>
    <row r="13408">
      <c r="N13408" s="1"/>
      <c r="V13408" s="5"/>
    </row>
    <row r="13409">
      <c r="N13409" s="1"/>
      <c r="V13409" s="5"/>
    </row>
    <row r="13410">
      <c r="N13410" s="1"/>
      <c r="V13410" s="5"/>
    </row>
    <row r="13411">
      <c r="N13411" s="1"/>
      <c r="V13411" s="5"/>
    </row>
    <row r="13412">
      <c r="N13412" s="1"/>
      <c r="V13412" s="5"/>
    </row>
    <row r="13413">
      <c r="N13413" s="1"/>
      <c r="V13413" s="5"/>
    </row>
    <row r="13414">
      <c r="N13414" s="1"/>
      <c r="V13414" s="5"/>
    </row>
    <row r="13415">
      <c r="N13415" s="1"/>
      <c r="V13415" s="5"/>
    </row>
    <row r="13416">
      <c r="N13416" s="1"/>
      <c r="V13416" s="5"/>
    </row>
    <row r="13417">
      <c r="N13417" s="1"/>
      <c r="V13417" s="5"/>
    </row>
    <row r="13418">
      <c r="N13418" s="1"/>
      <c r="V13418" s="5"/>
    </row>
    <row r="13419">
      <c r="N13419" s="1"/>
      <c r="V13419" s="5"/>
    </row>
    <row r="13420">
      <c r="N13420" s="1"/>
      <c r="V13420" s="5"/>
    </row>
    <row r="13421">
      <c r="N13421" s="1"/>
      <c r="V13421" s="5"/>
    </row>
    <row r="13422">
      <c r="N13422" s="1"/>
      <c r="V13422" s="5"/>
    </row>
    <row r="13423">
      <c r="N13423" s="1"/>
      <c r="V13423" s="5"/>
    </row>
    <row r="13424">
      <c r="N13424" s="1"/>
      <c r="V13424" s="5"/>
    </row>
    <row r="13425">
      <c r="N13425" s="1"/>
      <c r="V13425" s="5"/>
    </row>
    <row r="13426">
      <c r="N13426" s="1"/>
      <c r="V13426" s="5"/>
    </row>
    <row r="13427">
      <c r="N13427" s="1"/>
      <c r="V13427" s="5"/>
    </row>
    <row r="13428">
      <c r="N13428" s="1"/>
      <c r="V13428" s="5"/>
    </row>
    <row r="13429">
      <c r="N13429" s="1"/>
      <c r="V13429" s="5"/>
    </row>
    <row r="13430">
      <c r="N13430" s="1"/>
      <c r="V13430" s="5"/>
    </row>
    <row r="13431">
      <c r="N13431" s="1"/>
      <c r="V13431" s="5"/>
    </row>
    <row r="13432">
      <c r="N13432" s="1"/>
      <c r="V13432" s="5"/>
    </row>
    <row r="13433">
      <c r="N13433" s="1"/>
      <c r="V13433" s="5"/>
    </row>
    <row r="13434">
      <c r="N13434" s="1"/>
      <c r="V13434" s="5"/>
    </row>
    <row r="13435">
      <c r="N13435" s="1"/>
      <c r="V13435" s="5"/>
    </row>
    <row r="13436">
      <c r="N13436" s="1"/>
      <c r="V13436" s="5"/>
    </row>
    <row r="13437">
      <c r="N13437" s="1"/>
      <c r="V13437" s="5"/>
    </row>
    <row r="13438">
      <c r="N13438" s="1"/>
      <c r="V13438" s="5"/>
    </row>
    <row r="13439">
      <c r="N13439" s="1"/>
      <c r="V13439" s="5"/>
    </row>
    <row r="13440">
      <c r="N13440" s="1"/>
      <c r="V13440" s="5"/>
    </row>
    <row r="13441">
      <c r="N13441" s="1"/>
      <c r="V13441" s="5"/>
    </row>
    <row r="13442">
      <c r="N13442" s="1"/>
      <c r="V13442" s="5"/>
    </row>
    <row r="13443">
      <c r="N13443" s="1"/>
      <c r="V13443" s="5"/>
    </row>
    <row r="13444">
      <c r="N13444" s="1"/>
      <c r="V13444" s="5"/>
    </row>
    <row r="13445">
      <c r="N13445" s="1"/>
      <c r="V13445" s="5"/>
    </row>
    <row r="13446">
      <c r="N13446" s="1"/>
      <c r="V13446" s="5"/>
    </row>
    <row r="13447">
      <c r="N13447" s="1"/>
      <c r="V13447" s="5"/>
    </row>
    <row r="13448">
      <c r="N13448" s="1"/>
      <c r="V13448" s="5"/>
    </row>
    <row r="13449">
      <c r="N13449" s="1"/>
      <c r="V13449" s="5"/>
    </row>
    <row r="13450">
      <c r="N13450" s="1"/>
      <c r="V13450" s="5"/>
    </row>
    <row r="13451">
      <c r="N13451" s="1"/>
      <c r="V13451" s="5"/>
    </row>
    <row r="13452">
      <c r="N13452" s="1"/>
      <c r="V13452" s="5"/>
    </row>
    <row r="13453">
      <c r="N13453" s="1"/>
      <c r="V13453" s="5"/>
    </row>
    <row r="13454">
      <c r="N13454" s="1"/>
      <c r="V13454" s="5"/>
    </row>
    <row r="13455">
      <c r="N13455" s="1"/>
      <c r="V13455" s="5"/>
    </row>
    <row r="13456">
      <c r="N13456" s="1"/>
      <c r="V13456" s="5"/>
    </row>
    <row r="13457">
      <c r="N13457" s="1"/>
      <c r="V13457" s="5"/>
    </row>
    <row r="13458">
      <c r="N13458" s="1"/>
      <c r="V13458" s="5"/>
    </row>
    <row r="13459">
      <c r="N13459" s="1"/>
      <c r="V13459" s="5"/>
    </row>
    <row r="13460">
      <c r="N13460" s="1"/>
      <c r="V13460" s="5"/>
    </row>
    <row r="13461">
      <c r="N13461" s="1"/>
      <c r="V13461" s="5"/>
    </row>
    <row r="13462">
      <c r="N13462" s="1"/>
      <c r="V13462" s="5"/>
    </row>
    <row r="13463">
      <c r="N13463" s="1"/>
      <c r="V13463" s="5"/>
    </row>
    <row r="13464">
      <c r="N13464" s="1"/>
      <c r="V13464" s="5"/>
    </row>
    <row r="13465">
      <c r="N13465" s="1"/>
      <c r="V13465" s="5"/>
    </row>
    <row r="13466">
      <c r="N13466" s="1"/>
      <c r="V13466" s="5"/>
    </row>
    <row r="13467">
      <c r="N13467" s="1"/>
      <c r="V13467" s="5"/>
    </row>
    <row r="13468">
      <c r="N13468" s="1"/>
      <c r="V13468" s="5"/>
    </row>
    <row r="13469">
      <c r="N13469" s="1"/>
      <c r="V13469" s="5"/>
    </row>
    <row r="13470">
      <c r="N13470" s="1"/>
      <c r="V13470" s="5"/>
    </row>
    <row r="13471">
      <c r="N13471" s="1"/>
      <c r="V13471" s="5"/>
    </row>
    <row r="13472">
      <c r="N13472" s="1"/>
      <c r="V13472" s="5"/>
    </row>
    <row r="13473">
      <c r="N13473" s="1"/>
      <c r="V13473" s="5"/>
    </row>
    <row r="13474">
      <c r="N13474" s="1"/>
      <c r="V13474" s="5"/>
    </row>
    <row r="13475">
      <c r="N13475" s="1"/>
      <c r="V13475" s="5"/>
    </row>
    <row r="13476">
      <c r="N13476" s="1"/>
      <c r="V13476" s="5"/>
    </row>
    <row r="13477">
      <c r="N13477" s="1"/>
      <c r="V13477" s="5"/>
    </row>
    <row r="13478">
      <c r="N13478" s="1"/>
      <c r="V13478" s="5"/>
    </row>
    <row r="13479">
      <c r="N13479" s="1"/>
      <c r="V13479" s="5"/>
    </row>
    <row r="13480">
      <c r="N13480" s="1"/>
      <c r="V13480" s="5"/>
    </row>
    <row r="13481">
      <c r="N13481" s="1"/>
      <c r="V13481" s="5"/>
    </row>
    <row r="13482">
      <c r="N13482" s="1"/>
      <c r="V13482" s="5"/>
    </row>
    <row r="13483">
      <c r="N13483" s="1"/>
      <c r="V13483" s="5"/>
    </row>
    <row r="13484">
      <c r="N13484" s="1"/>
      <c r="V13484" s="5"/>
    </row>
    <row r="13485">
      <c r="N13485" s="1"/>
      <c r="V13485" s="5"/>
    </row>
    <row r="13486">
      <c r="N13486" s="1"/>
      <c r="V13486" s="5"/>
    </row>
    <row r="13487">
      <c r="N13487" s="1"/>
      <c r="V13487" s="5"/>
    </row>
    <row r="13488">
      <c r="N13488" s="1"/>
      <c r="V13488" s="5"/>
    </row>
    <row r="13489">
      <c r="N13489" s="1"/>
      <c r="V13489" s="5"/>
    </row>
    <row r="13490">
      <c r="N13490" s="1"/>
      <c r="V13490" s="5"/>
    </row>
    <row r="13491">
      <c r="N13491" s="1"/>
      <c r="V13491" s="5"/>
    </row>
    <row r="13492">
      <c r="N13492" s="1"/>
      <c r="V13492" s="5"/>
    </row>
    <row r="13493">
      <c r="N13493" s="1"/>
      <c r="V13493" s="5"/>
    </row>
    <row r="13494">
      <c r="N13494" s="1"/>
      <c r="V13494" s="5"/>
    </row>
    <row r="13495">
      <c r="N13495" s="1"/>
      <c r="V13495" s="5"/>
    </row>
    <row r="13496">
      <c r="N13496" s="1"/>
      <c r="V13496" s="5"/>
    </row>
    <row r="13497">
      <c r="N13497" s="1"/>
      <c r="V13497" s="5"/>
    </row>
    <row r="13498">
      <c r="N13498" s="1"/>
      <c r="V13498" s="5"/>
    </row>
    <row r="13499">
      <c r="N13499" s="1"/>
      <c r="V13499" s="5"/>
    </row>
    <row r="13500">
      <c r="N13500" s="1"/>
      <c r="V13500" s="5"/>
    </row>
    <row r="13501">
      <c r="N13501" s="1"/>
      <c r="V13501" s="5"/>
    </row>
    <row r="13502">
      <c r="N13502" s="1"/>
      <c r="V13502" s="5"/>
    </row>
    <row r="13503">
      <c r="N13503" s="1"/>
      <c r="V13503" s="5"/>
    </row>
    <row r="13504">
      <c r="N13504" s="1"/>
      <c r="V13504" s="5"/>
    </row>
    <row r="13505">
      <c r="N13505" s="1"/>
      <c r="V13505" s="5"/>
    </row>
    <row r="13506">
      <c r="N13506" s="1"/>
      <c r="V13506" s="5"/>
    </row>
    <row r="13507">
      <c r="N13507" s="1"/>
      <c r="V13507" s="5"/>
    </row>
    <row r="13508">
      <c r="N13508" s="1"/>
      <c r="V13508" s="5"/>
    </row>
    <row r="13509">
      <c r="N13509" s="1"/>
      <c r="V13509" s="5"/>
    </row>
    <row r="13510">
      <c r="N13510" s="1"/>
      <c r="V13510" s="5"/>
    </row>
    <row r="13511">
      <c r="N13511" s="1"/>
      <c r="V13511" s="5"/>
    </row>
    <row r="13512">
      <c r="N13512" s="1"/>
      <c r="V13512" s="5"/>
    </row>
    <row r="13513">
      <c r="N13513" s="1"/>
      <c r="V13513" s="5"/>
    </row>
    <row r="13514">
      <c r="N13514" s="1"/>
      <c r="V13514" s="5"/>
    </row>
    <row r="13515">
      <c r="N13515" s="1"/>
      <c r="V13515" s="5"/>
    </row>
    <row r="13516">
      <c r="N13516" s="1"/>
      <c r="V13516" s="5"/>
    </row>
    <row r="13517">
      <c r="N13517" s="1"/>
      <c r="V13517" s="5"/>
    </row>
    <row r="13518">
      <c r="N13518" s="1"/>
      <c r="V13518" s="5"/>
    </row>
    <row r="13519">
      <c r="N13519" s="1"/>
      <c r="V13519" s="5"/>
    </row>
    <row r="13520">
      <c r="N13520" s="1"/>
      <c r="V13520" s="5"/>
    </row>
    <row r="13521">
      <c r="N13521" s="1"/>
      <c r="V13521" s="5"/>
    </row>
    <row r="13522">
      <c r="N13522" s="1"/>
      <c r="V13522" s="5"/>
    </row>
    <row r="13523">
      <c r="N13523" s="1"/>
      <c r="V13523" s="5"/>
    </row>
    <row r="13524">
      <c r="N13524" s="1"/>
      <c r="V13524" s="5"/>
    </row>
    <row r="13525">
      <c r="N13525" s="1"/>
      <c r="V13525" s="5"/>
    </row>
    <row r="13526">
      <c r="N13526" s="1"/>
      <c r="V13526" s="5"/>
    </row>
    <row r="13527">
      <c r="N13527" s="1"/>
      <c r="V13527" s="5"/>
    </row>
    <row r="13528">
      <c r="N13528" s="1"/>
      <c r="V13528" s="5"/>
    </row>
    <row r="13529">
      <c r="N13529" s="1"/>
      <c r="V13529" s="5"/>
    </row>
    <row r="13530">
      <c r="N13530" s="1"/>
      <c r="V13530" s="5"/>
    </row>
    <row r="13531">
      <c r="N13531" s="1"/>
      <c r="V13531" s="5"/>
    </row>
    <row r="13532">
      <c r="N13532" s="1"/>
      <c r="V13532" s="5"/>
    </row>
    <row r="13533">
      <c r="N13533" s="1"/>
      <c r="V13533" s="5"/>
    </row>
    <row r="13534">
      <c r="N13534" s="1"/>
      <c r="V13534" s="5"/>
    </row>
    <row r="13535">
      <c r="N13535" s="1"/>
      <c r="V13535" s="5"/>
    </row>
    <row r="13536">
      <c r="N13536" s="1"/>
      <c r="V13536" s="5"/>
    </row>
    <row r="13537">
      <c r="N13537" s="1"/>
      <c r="V13537" s="5"/>
    </row>
    <row r="13538">
      <c r="N13538" s="1"/>
      <c r="V13538" s="5"/>
    </row>
    <row r="13539">
      <c r="N13539" s="1"/>
      <c r="V13539" s="5"/>
    </row>
    <row r="13540">
      <c r="N13540" s="1"/>
      <c r="V13540" s="5"/>
    </row>
    <row r="13541">
      <c r="N13541" s="1"/>
      <c r="V13541" s="5"/>
    </row>
    <row r="13542">
      <c r="N13542" s="1"/>
      <c r="V13542" s="5"/>
    </row>
    <row r="13543">
      <c r="N13543" s="1"/>
      <c r="V13543" s="5"/>
    </row>
    <row r="13544">
      <c r="N13544" s="1"/>
      <c r="V13544" s="5"/>
    </row>
    <row r="13545">
      <c r="N13545" s="1"/>
      <c r="V13545" s="5"/>
    </row>
    <row r="13546">
      <c r="N13546" s="1"/>
      <c r="V13546" s="5"/>
    </row>
    <row r="13547">
      <c r="N13547" s="1"/>
      <c r="V13547" s="5"/>
    </row>
    <row r="13548">
      <c r="N13548" s="1"/>
      <c r="V13548" s="5"/>
    </row>
    <row r="13549">
      <c r="N13549" s="1"/>
      <c r="V13549" s="5"/>
    </row>
    <row r="13550">
      <c r="N13550" s="1"/>
      <c r="V13550" s="5"/>
    </row>
    <row r="13551">
      <c r="N13551" s="1"/>
      <c r="V13551" s="5"/>
    </row>
    <row r="13552">
      <c r="N13552" s="1"/>
      <c r="V13552" s="5"/>
    </row>
    <row r="13553">
      <c r="N13553" s="1"/>
      <c r="V13553" s="5"/>
    </row>
    <row r="13554">
      <c r="N13554" s="1"/>
      <c r="V13554" s="5"/>
    </row>
    <row r="13555">
      <c r="N13555" s="1"/>
      <c r="V13555" s="5"/>
    </row>
    <row r="13556">
      <c r="N13556" s="1"/>
      <c r="V13556" s="5"/>
    </row>
    <row r="13557">
      <c r="N13557" s="1"/>
      <c r="V13557" s="5"/>
    </row>
    <row r="13558">
      <c r="N13558" s="1"/>
      <c r="V13558" s="5"/>
    </row>
    <row r="13559">
      <c r="N13559" s="1"/>
      <c r="V13559" s="5"/>
    </row>
    <row r="13560">
      <c r="N13560" s="1"/>
      <c r="V13560" s="5"/>
    </row>
    <row r="13561">
      <c r="N13561" s="1"/>
      <c r="V13561" s="5"/>
    </row>
    <row r="13562">
      <c r="N13562" s="1"/>
      <c r="V13562" s="5"/>
    </row>
    <row r="13563">
      <c r="N13563" s="1"/>
      <c r="V13563" s="5"/>
    </row>
    <row r="13564">
      <c r="N13564" s="1"/>
      <c r="V13564" s="5"/>
    </row>
    <row r="13565">
      <c r="N13565" s="1"/>
      <c r="V13565" s="5"/>
    </row>
    <row r="13566">
      <c r="N13566" s="1"/>
      <c r="V13566" s="5"/>
    </row>
    <row r="13567">
      <c r="N13567" s="1"/>
      <c r="V13567" s="5"/>
    </row>
    <row r="13568">
      <c r="N13568" s="1"/>
      <c r="V13568" s="5"/>
    </row>
    <row r="13569">
      <c r="N13569" s="1"/>
      <c r="V13569" s="5"/>
    </row>
    <row r="13570">
      <c r="N13570" s="1"/>
      <c r="V13570" s="5"/>
    </row>
    <row r="13571">
      <c r="N13571" s="1"/>
      <c r="V13571" s="5"/>
    </row>
    <row r="13572">
      <c r="N13572" s="1"/>
      <c r="V13572" s="5"/>
    </row>
    <row r="13573">
      <c r="N13573" s="1"/>
      <c r="V13573" s="5"/>
    </row>
    <row r="13574">
      <c r="N13574" s="1"/>
      <c r="V13574" s="5"/>
    </row>
    <row r="13575">
      <c r="N13575" s="1"/>
      <c r="V13575" s="5"/>
    </row>
    <row r="13576">
      <c r="N13576" s="1"/>
      <c r="V13576" s="5"/>
    </row>
    <row r="13577">
      <c r="N13577" s="1"/>
      <c r="V13577" s="5"/>
    </row>
    <row r="13578">
      <c r="N13578" s="1"/>
      <c r="V13578" s="5"/>
    </row>
    <row r="13579">
      <c r="N13579" s="1"/>
      <c r="V13579" s="5"/>
    </row>
    <row r="13580">
      <c r="N13580" s="1"/>
      <c r="V13580" s="5"/>
    </row>
    <row r="13581">
      <c r="N13581" s="1"/>
      <c r="V13581" s="5"/>
    </row>
    <row r="13582">
      <c r="N13582" s="1"/>
      <c r="V13582" s="5"/>
    </row>
    <row r="13583">
      <c r="N13583" s="1"/>
      <c r="V13583" s="5"/>
    </row>
    <row r="13584">
      <c r="N13584" s="1"/>
      <c r="V13584" s="5"/>
    </row>
    <row r="13585">
      <c r="N13585" s="1"/>
      <c r="V13585" s="5"/>
    </row>
    <row r="13586">
      <c r="N13586" s="1"/>
      <c r="V13586" s="5"/>
    </row>
    <row r="13587">
      <c r="N13587" s="1"/>
      <c r="V13587" s="5"/>
    </row>
    <row r="13588">
      <c r="N13588" s="1"/>
      <c r="V13588" s="5"/>
    </row>
    <row r="13589">
      <c r="N13589" s="1"/>
      <c r="V13589" s="5"/>
    </row>
    <row r="13590">
      <c r="N13590" s="1"/>
      <c r="V13590" s="5"/>
    </row>
    <row r="13591">
      <c r="N13591" s="1"/>
      <c r="V13591" s="5"/>
    </row>
    <row r="13592">
      <c r="N13592" s="1"/>
      <c r="V13592" s="5"/>
    </row>
    <row r="13593">
      <c r="N13593" s="1"/>
      <c r="V13593" s="5"/>
    </row>
    <row r="13594">
      <c r="N13594" s="1"/>
      <c r="V13594" s="5"/>
    </row>
    <row r="13595">
      <c r="N13595" s="1"/>
      <c r="V13595" s="5"/>
    </row>
    <row r="13596">
      <c r="N13596" s="1"/>
      <c r="V13596" s="5"/>
    </row>
    <row r="13597">
      <c r="N13597" s="1"/>
      <c r="V13597" s="5"/>
    </row>
    <row r="13598">
      <c r="N13598" s="1"/>
      <c r="V13598" s="5"/>
    </row>
    <row r="13599">
      <c r="N13599" s="1"/>
      <c r="V13599" s="5"/>
    </row>
    <row r="13600">
      <c r="N13600" s="1"/>
      <c r="V13600" s="5"/>
    </row>
    <row r="13601">
      <c r="N13601" s="1"/>
      <c r="V13601" s="5"/>
    </row>
    <row r="13602">
      <c r="N13602" s="1"/>
      <c r="V13602" s="5"/>
    </row>
    <row r="13603">
      <c r="N13603" s="1"/>
      <c r="V13603" s="5"/>
    </row>
    <row r="13604">
      <c r="N13604" s="1"/>
      <c r="V13604" s="5"/>
    </row>
    <row r="13605">
      <c r="N13605" s="1"/>
      <c r="V13605" s="5"/>
    </row>
    <row r="13606">
      <c r="N13606" s="1"/>
      <c r="V13606" s="5"/>
    </row>
    <row r="13607">
      <c r="N13607" s="1"/>
      <c r="V13607" s="5"/>
    </row>
    <row r="13608">
      <c r="N13608" s="1"/>
      <c r="V13608" s="5"/>
    </row>
    <row r="13609">
      <c r="N13609" s="1"/>
      <c r="V13609" s="5"/>
    </row>
    <row r="13610">
      <c r="N13610" s="1"/>
      <c r="V13610" s="5"/>
    </row>
    <row r="13611">
      <c r="N13611" s="1"/>
      <c r="V13611" s="5"/>
    </row>
    <row r="13612">
      <c r="N13612" s="1"/>
      <c r="V13612" s="5"/>
    </row>
    <row r="13613">
      <c r="N13613" s="1"/>
      <c r="V13613" s="5"/>
    </row>
    <row r="13614">
      <c r="N13614" s="1"/>
      <c r="V13614" s="5"/>
    </row>
    <row r="13615">
      <c r="N13615" s="1"/>
      <c r="V13615" s="5"/>
    </row>
    <row r="13616">
      <c r="N13616" s="1"/>
      <c r="V13616" s="5"/>
    </row>
    <row r="13617">
      <c r="N13617" s="1"/>
      <c r="V13617" s="5"/>
    </row>
    <row r="13618">
      <c r="N13618" s="1"/>
      <c r="V13618" s="5"/>
    </row>
    <row r="13619">
      <c r="N13619" s="1"/>
      <c r="V13619" s="5"/>
    </row>
    <row r="13620">
      <c r="N13620" s="1"/>
      <c r="V13620" s="5"/>
    </row>
    <row r="13621">
      <c r="N13621" s="1"/>
      <c r="V13621" s="5"/>
    </row>
    <row r="13622">
      <c r="N13622" s="1"/>
      <c r="V13622" s="5"/>
    </row>
    <row r="13623">
      <c r="N13623" s="1"/>
      <c r="V13623" s="5"/>
    </row>
    <row r="13624">
      <c r="N13624" s="1"/>
      <c r="V13624" s="5"/>
    </row>
    <row r="13625">
      <c r="N13625" s="1"/>
      <c r="V13625" s="5"/>
    </row>
    <row r="13626">
      <c r="N13626" s="1"/>
      <c r="V13626" s="5"/>
    </row>
    <row r="13627">
      <c r="N13627" s="1"/>
      <c r="V13627" s="5"/>
    </row>
    <row r="13628">
      <c r="N13628" s="1"/>
      <c r="V13628" s="5"/>
    </row>
    <row r="13629">
      <c r="N13629" s="1"/>
      <c r="V13629" s="5"/>
    </row>
    <row r="13630">
      <c r="N13630" s="1"/>
      <c r="V13630" s="5"/>
    </row>
    <row r="13631">
      <c r="N13631" s="1"/>
      <c r="V13631" s="5"/>
    </row>
    <row r="13632">
      <c r="N13632" s="1"/>
      <c r="V13632" s="5"/>
    </row>
    <row r="13633">
      <c r="N13633" s="1"/>
      <c r="V13633" s="5"/>
    </row>
    <row r="13634">
      <c r="N13634" s="1"/>
      <c r="V13634" s="5"/>
    </row>
    <row r="13635">
      <c r="N13635" s="1"/>
      <c r="V13635" s="5"/>
    </row>
    <row r="13636">
      <c r="N13636" s="1"/>
      <c r="V13636" s="5"/>
    </row>
    <row r="13637">
      <c r="N13637" s="1"/>
      <c r="V13637" s="5"/>
    </row>
    <row r="13638">
      <c r="N13638" s="1"/>
      <c r="V13638" s="5"/>
    </row>
    <row r="13639">
      <c r="N13639" s="1"/>
      <c r="V13639" s="5"/>
    </row>
    <row r="13640">
      <c r="N13640" s="1"/>
      <c r="V13640" s="5"/>
    </row>
    <row r="13641">
      <c r="N13641" s="1"/>
      <c r="V13641" s="5"/>
    </row>
    <row r="13642">
      <c r="N13642" s="1"/>
      <c r="V13642" s="5"/>
    </row>
    <row r="13643">
      <c r="N13643" s="1"/>
      <c r="V13643" s="5"/>
    </row>
    <row r="13644">
      <c r="N13644" s="1"/>
      <c r="V13644" s="5"/>
    </row>
    <row r="13645">
      <c r="N13645" s="1"/>
      <c r="V13645" s="5"/>
    </row>
    <row r="13646">
      <c r="N13646" s="1"/>
      <c r="V13646" s="5"/>
    </row>
    <row r="13647">
      <c r="N13647" s="1"/>
      <c r="V13647" s="5"/>
    </row>
    <row r="13648">
      <c r="N13648" s="1"/>
      <c r="V13648" s="5"/>
    </row>
    <row r="13649">
      <c r="N13649" s="1"/>
      <c r="V13649" s="5"/>
    </row>
    <row r="13650">
      <c r="N13650" s="1"/>
      <c r="V13650" s="5"/>
    </row>
    <row r="13651">
      <c r="N13651" s="1"/>
      <c r="V13651" s="5"/>
    </row>
    <row r="13652">
      <c r="N13652" s="1"/>
      <c r="V13652" s="5"/>
    </row>
    <row r="13653">
      <c r="N13653" s="1"/>
      <c r="V13653" s="5"/>
    </row>
    <row r="13654">
      <c r="N13654" s="1"/>
      <c r="V13654" s="5"/>
    </row>
    <row r="13655">
      <c r="N13655" s="1"/>
      <c r="V13655" s="5"/>
    </row>
    <row r="13656">
      <c r="N13656" s="1"/>
      <c r="V13656" s="5"/>
    </row>
    <row r="13657">
      <c r="N13657" s="1"/>
      <c r="V13657" s="5"/>
    </row>
    <row r="13658">
      <c r="N13658" s="1"/>
      <c r="V13658" s="5"/>
    </row>
    <row r="13659">
      <c r="N13659" s="1"/>
      <c r="V13659" s="5"/>
    </row>
    <row r="13660">
      <c r="N13660" s="1"/>
      <c r="V13660" s="5"/>
    </row>
    <row r="13661">
      <c r="N13661" s="1"/>
      <c r="V13661" s="5"/>
    </row>
    <row r="13662">
      <c r="N13662" s="1"/>
      <c r="V13662" s="5"/>
    </row>
    <row r="13663">
      <c r="N13663" s="1"/>
      <c r="V13663" s="5"/>
    </row>
    <row r="13664">
      <c r="N13664" s="1"/>
      <c r="V13664" s="5"/>
    </row>
    <row r="13665">
      <c r="N13665" s="1"/>
      <c r="V13665" s="5"/>
    </row>
    <row r="13666">
      <c r="N13666" s="1"/>
      <c r="V13666" s="5"/>
    </row>
    <row r="13667">
      <c r="N13667" s="1"/>
      <c r="V13667" s="5"/>
    </row>
    <row r="13668">
      <c r="N13668" s="1"/>
      <c r="V13668" s="5"/>
    </row>
    <row r="13669">
      <c r="N13669" s="1"/>
      <c r="V13669" s="5"/>
    </row>
    <row r="13670">
      <c r="N13670" s="1"/>
      <c r="V13670" s="5"/>
    </row>
    <row r="13671">
      <c r="N13671" s="1"/>
      <c r="V13671" s="5"/>
    </row>
    <row r="13672">
      <c r="N13672" s="1"/>
      <c r="V13672" s="5"/>
    </row>
    <row r="13673">
      <c r="N13673" s="1"/>
      <c r="V13673" s="5"/>
    </row>
    <row r="13674">
      <c r="N13674" s="1"/>
      <c r="V13674" s="5"/>
    </row>
    <row r="13675">
      <c r="N13675" s="1"/>
      <c r="V13675" s="5"/>
    </row>
    <row r="13676">
      <c r="N13676" s="1"/>
      <c r="V13676" s="5"/>
    </row>
    <row r="13677">
      <c r="N13677" s="1"/>
      <c r="V13677" s="5"/>
    </row>
    <row r="13678">
      <c r="N13678" s="1"/>
      <c r="V13678" s="5"/>
    </row>
    <row r="13679">
      <c r="N13679" s="1"/>
      <c r="V13679" s="5"/>
    </row>
    <row r="13680">
      <c r="N13680" s="1"/>
      <c r="V13680" s="5"/>
    </row>
    <row r="13681">
      <c r="N13681" s="1"/>
      <c r="V13681" s="5"/>
    </row>
    <row r="13682">
      <c r="N13682" s="1"/>
      <c r="V13682" s="5"/>
    </row>
    <row r="13683">
      <c r="N13683" s="1"/>
      <c r="V13683" s="5"/>
    </row>
    <row r="13684">
      <c r="N13684" s="1"/>
      <c r="V13684" s="5"/>
    </row>
    <row r="13685">
      <c r="N13685" s="1"/>
      <c r="V13685" s="5"/>
    </row>
    <row r="13686">
      <c r="N13686" s="1"/>
      <c r="V13686" s="5"/>
    </row>
    <row r="13687">
      <c r="N13687" s="1"/>
      <c r="V13687" s="5"/>
    </row>
    <row r="13688">
      <c r="N13688" s="1"/>
      <c r="V13688" s="5"/>
    </row>
    <row r="13689">
      <c r="N13689" s="1"/>
      <c r="V13689" s="5"/>
    </row>
    <row r="13690">
      <c r="N13690" s="1"/>
      <c r="V13690" s="5"/>
    </row>
    <row r="13691">
      <c r="N13691" s="1"/>
      <c r="V13691" s="5"/>
    </row>
    <row r="13692">
      <c r="N13692" s="1"/>
      <c r="V13692" s="5"/>
    </row>
    <row r="13693">
      <c r="N13693" s="1"/>
      <c r="V13693" s="5"/>
    </row>
    <row r="13694">
      <c r="N13694" s="1"/>
      <c r="V13694" s="5"/>
    </row>
    <row r="13695">
      <c r="N13695" s="1"/>
      <c r="V13695" s="5"/>
    </row>
    <row r="13696">
      <c r="N13696" s="1"/>
      <c r="V13696" s="5"/>
    </row>
    <row r="13697">
      <c r="N13697" s="1"/>
      <c r="V13697" s="5"/>
    </row>
    <row r="13698">
      <c r="N13698" s="1"/>
      <c r="V13698" s="5"/>
    </row>
    <row r="13699">
      <c r="N13699" s="1"/>
      <c r="V13699" s="5"/>
    </row>
    <row r="13700">
      <c r="N13700" s="1"/>
      <c r="V13700" s="5"/>
    </row>
    <row r="13701">
      <c r="N13701" s="1"/>
      <c r="V13701" s="5"/>
    </row>
    <row r="13702">
      <c r="N13702" s="1"/>
      <c r="V13702" s="5"/>
    </row>
    <row r="13703">
      <c r="N13703" s="1"/>
      <c r="V13703" s="5"/>
    </row>
    <row r="13704">
      <c r="N13704" s="1"/>
      <c r="V13704" s="5"/>
    </row>
    <row r="13705">
      <c r="N13705" s="1"/>
      <c r="V13705" s="5"/>
    </row>
    <row r="13706">
      <c r="N13706" s="1"/>
      <c r="V13706" s="5"/>
    </row>
    <row r="13707">
      <c r="N13707" s="1"/>
      <c r="V13707" s="5"/>
    </row>
    <row r="13708">
      <c r="N13708" s="1"/>
      <c r="V13708" s="5"/>
    </row>
    <row r="13709">
      <c r="N13709" s="1"/>
      <c r="V13709" s="5"/>
    </row>
    <row r="13710">
      <c r="N13710" s="1"/>
      <c r="V13710" s="5"/>
    </row>
    <row r="13711">
      <c r="N13711" s="1"/>
      <c r="V13711" s="5"/>
    </row>
    <row r="13712">
      <c r="N13712" s="1"/>
      <c r="V13712" s="5"/>
    </row>
    <row r="13713">
      <c r="N13713" s="1"/>
      <c r="V13713" s="5"/>
    </row>
    <row r="13714">
      <c r="N13714" s="1"/>
      <c r="V13714" s="5"/>
    </row>
    <row r="13715">
      <c r="N13715" s="1"/>
      <c r="V13715" s="5"/>
    </row>
    <row r="13716">
      <c r="N13716" s="1"/>
      <c r="V13716" s="5"/>
    </row>
    <row r="13717">
      <c r="N13717" s="1"/>
      <c r="V13717" s="5"/>
    </row>
    <row r="13718">
      <c r="N13718" s="1"/>
      <c r="V13718" s="5"/>
    </row>
    <row r="13719">
      <c r="N13719" s="1"/>
      <c r="V13719" s="5"/>
    </row>
    <row r="13720">
      <c r="N13720" s="1"/>
      <c r="V13720" s="5"/>
    </row>
    <row r="13721">
      <c r="N13721" s="1"/>
      <c r="V13721" s="5"/>
    </row>
    <row r="13722">
      <c r="N13722" s="1"/>
      <c r="V13722" s="5"/>
    </row>
    <row r="13723">
      <c r="N13723" s="1"/>
      <c r="V13723" s="5"/>
    </row>
    <row r="13724">
      <c r="N13724" s="1"/>
      <c r="V13724" s="5"/>
    </row>
    <row r="13725">
      <c r="N13725" s="1"/>
      <c r="V13725" s="5"/>
    </row>
    <row r="13726">
      <c r="N13726" s="1"/>
      <c r="V13726" s="5"/>
    </row>
    <row r="13727">
      <c r="N13727" s="1"/>
      <c r="V13727" s="5"/>
    </row>
    <row r="13728">
      <c r="N13728" s="1"/>
      <c r="V13728" s="5"/>
    </row>
    <row r="13729">
      <c r="N13729" s="1"/>
      <c r="V13729" s="5"/>
    </row>
    <row r="13730">
      <c r="N13730" s="1"/>
      <c r="V13730" s="5"/>
    </row>
    <row r="13731">
      <c r="N13731" s="1"/>
      <c r="V13731" s="5"/>
    </row>
    <row r="13732">
      <c r="N13732" s="1"/>
      <c r="V13732" s="5"/>
    </row>
    <row r="13733">
      <c r="N13733" s="1"/>
      <c r="V13733" s="5"/>
    </row>
    <row r="13734">
      <c r="N13734" s="1"/>
      <c r="V13734" s="5"/>
    </row>
    <row r="13735">
      <c r="N13735" s="1"/>
      <c r="V13735" s="5"/>
    </row>
    <row r="13736">
      <c r="N13736" s="1"/>
      <c r="V13736" s="5"/>
    </row>
    <row r="13737">
      <c r="N13737" s="1"/>
      <c r="V13737" s="5"/>
    </row>
    <row r="13738">
      <c r="N13738" s="1"/>
      <c r="V13738" s="5"/>
    </row>
    <row r="13739">
      <c r="N13739" s="1"/>
      <c r="V13739" s="5"/>
    </row>
    <row r="13740">
      <c r="N13740" s="1"/>
      <c r="V13740" s="5"/>
    </row>
    <row r="13741">
      <c r="N13741" s="1"/>
      <c r="V13741" s="5"/>
    </row>
    <row r="13742">
      <c r="N13742" s="1"/>
      <c r="V13742" s="5"/>
    </row>
    <row r="13743">
      <c r="N13743" s="1"/>
      <c r="V13743" s="5"/>
    </row>
    <row r="13744">
      <c r="N13744" s="1"/>
      <c r="V13744" s="5"/>
    </row>
    <row r="13745">
      <c r="N13745" s="1"/>
      <c r="V13745" s="5"/>
    </row>
    <row r="13746">
      <c r="N13746" s="1"/>
      <c r="V13746" s="5"/>
    </row>
    <row r="13747">
      <c r="N13747" s="1"/>
      <c r="V13747" s="5"/>
    </row>
    <row r="13748">
      <c r="N13748" s="1"/>
      <c r="V13748" s="5"/>
    </row>
    <row r="13749">
      <c r="N13749" s="1"/>
      <c r="V13749" s="5"/>
    </row>
    <row r="13750">
      <c r="N13750" s="1"/>
      <c r="V13750" s="5"/>
    </row>
    <row r="13751">
      <c r="N13751" s="1"/>
      <c r="V13751" s="5"/>
    </row>
    <row r="13752">
      <c r="N13752" s="1"/>
      <c r="V13752" s="5"/>
    </row>
    <row r="13753">
      <c r="N13753" s="1"/>
      <c r="V13753" s="5"/>
    </row>
    <row r="13754">
      <c r="N13754" s="1"/>
      <c r="V13754" s="5"/>
    </row>
    <row r="13755">
      <c r="N13755" s="1"/>
      <c r="V13755" s="5"/>
    </row>
    <row r="13756">
      <c r="N13756" s="1"/>
      <c r="V13756" s="5"/>
    </row>
    <row r="13757">
      <c r="N13757" s="1"/>
      <c r="V13757" s="5"/>
    </row>
    <row r="13758">
      <c r="N13758" s="1"/>
      <c r="V13758" s="5"/>
    </row>
    <row r="13759">
      <c r="N13759" s="1"/>
      <c r="V13759" s="5"/>
    </row>
    <row r="13760">
      <c r="N13760" s="1"/>
      <c r="V13760" s="5"/>
    </row>
    <row r="13761">
      <c r="N13761" s="1"/>
      <c r="V13761" s="5"/>
    </row>
    <row r="13762">
      <c r="N13762" s="1"/>
      <c r="V13762" s="5"/>
    </row>
    <row r="13763">
      <c r="N13763" s="1"/>
      <c r="V13763" s="5"/>
    </row>
    <row r="13764">
      <c r="N13764" s="1"/>
      <c r="V13764" s="5"/>
    </row>
    <row r="13765">
      <c r="N13765" s="1"/>
      <c r="V13765" s="5"/>
    </row>
    <row r="13766">
      <c r="N13766" s="1"/>
      <c r="V13766" s="5"/>
    </row>
    <row r="13767">
      <c r="N13767" s="1"/>
      <c r="V13767" s="5"/>
    </row>
    <row r="13768">
      <c r="N13768" s="1"/>
      <c r="V13768" s="5"/>
    </row>
    <row r="13769">
      <c r="N13769" s="1"/>
      <c r="V13769" s="5"/>
    </row>
    <row r="13770">
      <c r="N13770" s="1"/>
      <c r="V13770" s="5"/>
    </row>
    <row r="13771">
      <c r="N13771" s="1"/>
      <c r="V13771" s="5"/>
    </row>
    <row r="13772">
      <c r="N13772" s="1"/>
      <c r="V13772" s="5"/>
    </row>
    <row r="13773">
      <c r="N13773" s="1"/>
      <c r="V13773" s="5"/>
    </row>
    <row r="13774">
      <c r="N13774" s="1"/>
      <c r="V13774" s="5"/>
    </row>
    <row r="13775">
      <c r="N13775" s="1"/>
      <c r="V13775" s="5"/>
    </row>
    <row r="13776">
      <c r="N13776" s="1"/>
      <c r="V13776" s="5"/>
    </row>
    <row r="13777">
      <c r="N13777" s="1"/>
      <c r="V13777" s="5"/>
    </row>
    <row r="13778">
      <c r="N13778" s="1"/>
      <c r="V13778" s="5"/>
    </row>
    <row r="13779">
      <c r="N13779" s="1"/>
      <c r="V13779" s="5"/>
    </row>
    <row r="13780">
      <c r="N13780" s="1"/>
      <c r="V13780" s="5"/>
    </row>
    <row r="13781">
      <c r="N13781" s="1"/>
      <c r="V13781" s="5"/>
    </row>
    <row r="13782">
      <c r="N13782" s="1"/>
      <c r="V13782" s="5"/>
    </row>
    <row r="13783">
      <c r="N13783" s="1"/>
      <c r="V13783" s="5"/>
    </row>
    <row r="13784">
      <c r="N13784" s="1"/>
      <c r="V13784" s="5"/>
    </row>
    <row r="13785">
      <c r="N13785" s="1"/>
      <c r="V13785" s="5"/>
    </row>
    <row r="13786">
      <c r="N13786" s="1"/>
      <c r="V13786" s="5"/>
    </row>
    <row r="13787">
      <c r="N13787" s="1"/>
      <c r="V13787" s="5"/>
    </row>
    <row r="13788">
      <c r="N13788" s="1"/>
      <c r="V13788" s="5"/>
    </row>
    <row r="13789">
      <c r="N13789" s="1"/>
      <c r="V13789" s="5"/>
    </row>
    <row r="13790">
      <c r="N13790" s="1"/>
      <c r="V13790" s="5"/>
    </row>
    <row r="13791">
      <c r="N13791" s="1"/>
      <c r="V13791" s="5"/>
    </row>
    <row r="13792">
      <c r="N13792" s="1"/>
      <c r="V13792" s="5"/>
    </row>
    <row r="13793">
      <c r="N13793" s="1"/>
      <c r="V13793" s="5"/>
    </row>
    <row r="13794">
      <c r="N13794" s="1"/>
      <c r="V13794" s="5"/>
    </row>
    <row r="13795">
      <c r="N13795" s="1"/>
      <c r="V13795" s="5"/>
    </row>
    <row r="13796">
      <c r="N13796" s="1"/>
      <c r="V13796" s="5"/>
    </row>
    <row r="13797">
      <c r="N13797" s="1"/>
      <c r="V13797" s="5"/>
    </row>
    <row r="13798">
      <c r="N13798" s="1"/>
      <c r="V13798" s="5"/>
    </row>
    <row r="13799">
      <c r="N13799" s="1"/>
      <c r="V13799" s="5"/>
    </row>
    <row r="13800">
      <c r="N13800" s="1"/>
      <c r="V13800" s="5"/>
    </row>
    <row r="13801">
      <c r="N13801" s="1"/>
      <c r="V13801" s="5"/>
    </row>
    <row r="13802">
      <c r="N13802" s="1"/>
      <c r="V13802" s="5"/>
    </row>
    <row r="13803">
      <c r="N13803" s="1"/>
      <c r="V13803" s="5"/>
    </row>
    <row r="13804">
      <c r="N13804" s="1"/>
      <c r="V13804" s="5"/>
    </row>
    <row r="13805">
      <c r="N13805" s="1"/>
      <c r="V13805" s="5"/>
    </row>
    <row r="13806">
      <c r="N13806" s="1"/>
      <c r="V13806" s="5"/>
    </row>
    <row r="13807">
      <c r="N13807" s="1"/>
      <c r="V13807" s="5"/>
    </row>
    <row r="13808">
      <c r="N13808" s="1"/>
      <c r="V13808" s="5"/>
    </row>
    <row r="13809">
      <c r="N13809" s="1"/>
      <c r="V13809" s="5"/>
    </row>
    <row r="13810">
      <c r="N13810" s="1"/>
      <c r="V13810" s="5"/>
    </row>
    <row r="13811">
      <c r="N13811" s="1"/>
      <c r="V13811" s="5"/>
    </row>
    <row r="13812">
      <c r="N13812" s="1"/>
      <c r="V13812" s="5"/>
    </row>
    <row r="13813">
      <c r="N13813" s="1"/>
      <c r="V13813" s="5"/>
    </row>
    <row r="13814">
      <c r="N13814" s="1"/>
      <c r="V13814" s="5"/>
    </row>
    <row r="13815">
      <c r="N13815" s="1"/>
      <c r="V13815" s="5"/>
    </row>
    <row r="13816">
      <c r="N13816" s="1"/>
      <c r="V13816" s="5"/>
    </row>
    <row r="13817">
      <c r="N13817" s="1"/>
      <c r="V13817" s="5"/>
    </row>
    <row r="13818">
      <c r="N13818" s="1"/>
      <c r="V13818" s="5"/>
    </row>
    <row r="13819">
      <c r="N13819" s="1"/>
      <c r="V13819" s="5"/>
    </row>
    <row r="13820">
      <c r="N13820" s="1"/>
      <c r="V13820" s="5"/>
    </row>
    <row r="13821">
      <c r="N13821" s="1"/>
      <c r="V13821" s="5"/>
    </row>
    <row r="13822">
      <c r="N13822" s="1"/>
      <c r="V13822" s="5"/>
    </row>
    <row r="13823">
      <c r="N13823" s="1"/>
      <c r="V13823" s="5"/>
    </row>
    <row r="13824">
      <c r="N13824" s="1"/>
      <c r="V13824" s="5"/>
    </row>
    <row r="13825">
      <c r="N13825" s="1"/>
      <c r="V13825" s="5"/>
    </row>
    <row r="13826">
      <c r="N13826" s="1"/>
      <c r="V13826" s="5"/>
    </row>
    <row r="13827">
      <c r="N13827" s="1"/>
      <c r="V13827" s="5"/>
    </row>
    <row r="13828">
      <c r="N13828" s="1"/>
      <c r="V13828" s="5"/>
    </row>
    <row r="13829">
      <c r="N13829" s="1"/>
      <c r="V13829" s="5"/>
    </row>
    <row r="13830">
      <c r="N13830" s="1"/>
      <c r="V13830" s="5"/>
    </row>
    <row r="13831">
      <c r="N13831" s="1"/>
      <c r="V13831" s="5"/>
    </row>
    <row r="13832">
      <c r="N13832" s="1"/>
      <c r="V13832" s="5"/>
    </row>
    <row r="13833">
      <c r="N13833" s="1"/>
      <c r="V13833" s="5"/>
    </row>
    <row r="13834">
      <c r="N13834" s="1"/>
      <c r="V13834" s="5"/>
    </row>
    <row r="13835">
      <c r="N13835" s="1"/>
      <c r="V13835" s="5"/>
    </row>
    <row r="13836">
      <c r="N13836" s="1"/>
      <c r="V13836" s="5"/>
    </row>
    <row r="13837">
      <c r="N13837" s="1"/>
      <c r="V13837" s="5"/>
    </row>
    <row r="13838">
      <c r="N13838" s="1"/>
      <c r="V13838" s="5"/>
    </row>
    <row r="13839">
      <c r="N13839" s="1"/>
      <c r="V13839" s="5"/>
    </row>
    <row r="13840">
      <c r="N13840" s="1"/>
      <c r="V13840" s="5"/>
    </row>
    <row r="13841">
      <c r="N13841" s="1"/>
      <c r="V13841" s="5"/>
    </row>
    <row r="13842">
      <c r="N13842" s="1"/>
      <c r="V13842" s="5"/>
    </row>
    <row r="13843">
      <c r="N13843" s="1"/>
      <c r="V13843" s="5"/>
    </row>
    <row r="13844">
      <c r="N13844" s="1"/>
      <c r="V13844" s="5"/>
    </row>
    <row r="13845">
      <c r="N13845" s="1"/>
      <c r="V13845" s="5"/>
    </row>
    <row r="13846">
      <c r="N13846" s="1"/>
      <c r="V13846" s="5"/>
    </row>
    <row r="13847">
      <c r="N13847" s="1"/>
      <c r="V13847" s="5"/>
    </row>
    <row r="13848">
      <c r="N13848" s="1"/>
      <c r="V13848" s="5"/>
    </row>
    <row r="13849">
      <c r="N13849" s="1"/>
      <c r="V13849" s="5"/>
    </row>
    <row r="13850">
      <c r="N13850" s="1"/>
      <c r="V13850" s="5"/>
    </row>
    <row r="13851">
      <c r="N13851" s="1"/>
      <c r="V13851" s="5"/>
    </row>
    <row r="13852">
      <c r="N13852" s="1"/>
      <c r="V13852" s="5"/>
    </row>
    <row r="13853">
      <c r="N13853" s="1"/>
      <c r="V13853" s="5"/>
    </row>
    <row r="13854">
      <c r="N13854" s="1"/>
      <c r="V13854" s="5"/>
    </row>
    <row r="13855">
      <c r="N13855" s="1"/>
      <c r="V13855" s="5"/>
    </row>
    <row r="13856">
      <c r="N13856" s="1"/>
      <c r="V13856" s="5"/>
    </row>
    <row r="13857">
      <c r="N13857" s="1"/>
      <c r="V13857" s="5"/>
    </row>
    <row r="13858">
      <c r="N13858" s="1"/>
      <c r="V13858" s="5"/>
    </row>
    <row r="13859">
      <c r="N13859" s="1"/>
      <c r="V13859" s="5"/>
    </row>
    <row r="13860">
      <c r="N13860" s="1"/>
      <c r="V13860" s="5"/>
    </row>
    <row r="13861">
      <c r="N13861" s="1"/>
      <c r="V13861" s="5"/>
    </row>
    <row r="13862">
      <c r="N13862" s="1"/>
      <c r="V13862" s="5"/>
    </row>
    <row r="13863">
      <c r="N13863" s="1"/>
      <c r="V13863" s="5"/>
    </row>
    <row r="13864">
      <c r="N13864" s="1"/>
      <c r="V13864" s="5"/>
    </row>
    <row r="13865">
      <c r="N13865" s="1"/>
      <c r="V13865" s="5"/>
    </row>
    <row r="13866">
      <c r="N13866" s="1"/>
      <c r="V13866" s="5"/>
    </row>
    <row r="13867">
      <c r="N13867" s="1"/>
      <c r="V13867" s="5"/>
    </row>
    <row r="13868">
      <c r="N13868" s="1"/>
      <c r="V13868" s="5"/>
    </row>
    <row r="13869">
      <c r="N13869" s="1"/>
      <c r="V13869" s="5"/>
    </row>
    <row r="13870">
      <c r="N13870" s="1"/>
      <c r="V13870" s="5"/>
    </row>
    <row r="13871">
      <c r="N13871" s="1"/>
      <c r="V13871" s="5"/>
    </row>
    <row r="13872">
      <c r="N13872" s="1"/>
      <c r="V13872" s="5"/>
    </row>
    <row r="13873">
      <c r="N13873" s="1"/>
      <c r="V13873" s="5"/>
    </row>
    <row r="13874">
      <c r="N13874" s="1"/>
      <c r="V13874" s="5"/>
    </row>
    <row r="13875">
      <c r="N13875" s="1"/>
      <c r="V13875" s="5"/>
    </row>
    <row r="13876">
      <c r="N13876" s="1"/>
      <c r="V13876" s="5"/>
    </row>
    <row r="13877">
      <c r="N13877" s="1"/>
      <c r="V13877" s="5"/>
    </row>
    <row r="13878">
      <c r="N13878" s="1"/>
      <c r="V13878" s="5"/>
    </row>
    <row r="13879">
      <c r="N13879" s="1"/>
      <c r="V13879" s="5"/>
    </row>
    <row r="13880">
      <c r="N13880" s="1"/>
      <c r="V13880" s="5"/>
    </row>
    <row r="13881">
      <c r="N13881" s="1"/>
      <c r="V13881" s="5"/>
    </row>
    <row r="13882">
      <c r="N13882" s="1"/>
      <c r="V13882" s="5"/>
    </row>
    <row r="13883">
      <c r="N13883" s="1"/>
      <c r="V13883" s="5"/>
    </row>
    <row r="13884">
      <c r="N13884" s="1"/>
      <c r="V13884" s="5"/>
    </row>
    <row r="13885">
      <c r="N13885" s="1"/>
      <c r="V13885" s="5"/>
    </row>
    <row r="13886">
      <c r="N13886" s="1"/>
      <c r="V13886" s="5"/>
    </row>
    <row r="13887">
      <c r="N13887" s="1"/>
      <c r="V13887" s="5"/>
    </row>
    <row r="13888">
      <c r="N13888" s="1"/>
      <c r="V13888" s="5"/>
    </row>
    <row r="13889">
      <c r="N13889" s="1"/>
      <c r="V13889" s="5"/>
    </row>
    <row r="13890">
      <c r="N13890" s="1"/>
      <c r="V13890" s="5"/>
    </row>
    <row r="13891">
      <c r="N13891" s="1"/>
      <c r="V13891" s="5"/>
    </row>
    <row r="13892">
      <c r="N13892" s="1"/>
      <c r="V13892" s="5"/>
    </row>
    <row r="13893">
      <c r="N13893" s="1"/>
      <c r="V13893" s="5"/>
    </row>
    <row r="13894">
      <c r="N13894" s="1"/>
      <c r="V13894" s="5"/>
    </row>
    <row r="13895">
      <c r="N13895" s="1"/>
      <c r="V13895" s="5"/>
    </row>
    <row r="13896">
      <c r="N13896" s="1"/>
      <c r="V13896" s="5"/>
    </row>
    <row r="13897">
      <c r="N13897" s="1"/>
      <c r="V13897" s="5"/>
    </row>
    <row r="13898">
      <c r="N13898" s="1"/>
      <c r="V13898" s="5"/>
    </row>
    <row r="13899">
      <c r="N13899" s="1"/>
      <c r="V13899" s="5"/>
    </row>
    <row r="13900">
      <c r="N13900" s="1"/>
      <c r="V13900" s="5"/>
    </row>
    <row r="13901">
      <c r="N13901" s="1"/>
      <c r="V13901" s="5"/>
    </row>
    <row r="13902">
      <c r="N13902" s="1"/>
      <c r="V13902" s="5"/>
    </row>
    <row r="13903">
      <c r="N13903" s="1"/>
      <c r="V13903" s="5"/>
    </row>
    <row r="13904">
      <c r="N13904" s="1"/>
      <c r="V13904" s="5"/>
    </row>
    <row r="13905">
      <c r="N13905" s="1"/>
      <c r="V13905" s="5"/>
    </row>
    <row r="13906">
      <c r="N13906" s="1"/>
      <c r="V13906" s="5"/>
    </row>
    <row r="13907">
      <c r="N13907" s="1"/>
      <c r="V13907" s="5"/>
    </row>
    <row r="13908">
      <c r="N13908" s="1"/>
      <c r="V13908" s="5"/>
    </row>
    <row r="13909">
      <c r="N13909" s="1"/>
      <c r="V13909" s="5"/>
    </row>
    <row r="13910">
      <c r="N13910" s="1"/>
      <c r="V13910" s="5"/>
    </row>
    <row r="13911">
      <c r="N13911" s="1"/>
      <c r="V13911" s="5"/>
    </row>
    <row r="13912">
      <c r="N13912" s="1"/>
      <c r="V13912" s="5"/>
    </row>
    <row r="13913">
      <c r="N13913" s="1"/>
      <c r="V13913" s="5"/>
    </row>
    <row r="13914">
      <c r="N13914" s="1"/>
      <c r="V13914" s="5"/>
    </row>
    <row r="13915">
      <c r="N13915" s="1"/>
      <c r="V13915" s="5"/>
    </row>
    <row r="13916">
      <c r="N13916" s="1"/>
      <c r="V13916" s="5"/>
    </row>
    <row r="13917">
      <c r="N13917" s="1"/>
      <c r="V13917" s="5"/>
    </row>
    <row r="13918">
      <c r="N13918" s="1"/>
      <c r="V13918" s="5"/>
    </row>
    <row r="13919">
      <c r="N13919" s="1"/>
      <c r="V13919" s="5"/>
    </row>
    <row r="13920">
      <c r="N13920" s="1"/>
      <c r="V13920" s="5"/>
    </row>
    <row r="13921">
      <c r="N13921" s="1"/>
      <c r="V13921" s="5"/>
    </row>
    <row r="13922">
      <c r="N13922" s="1"/>
      <c r="V13922" s="5"/>
    </row>
    <row r="13923">
      <c r="N13923" s="1"/>
      <c r="V13923" s="5"/>
    </row>
    <row r="13924">
      <c r="N13924" s="1"/>
      <c r="V13924" s="5"/>
    </row>
    <row r="13925">
      <c r="N13925" s="1"/>
      <c r="V13925" s="5"/>
    </row>
    <row r="13926">
      <c r="N13926" s="1"/>
      <c r="V13926" s="5"/>
    </row>
    <row r="13927">
      <c r="N13927" s="1"/>
      <c r="V13927" s="5"/>
    </row>
    <row r="13928">
      <c r="N13928" s="1"/>
      <c r="V13928" s="5"/>
    </row>
    <row r="13929">
      <c r="N13929" s="1"/>
      <c r="V13929" s="5"/>
    </row>
    <row r="13930">
      <c r="N13930" s="1"/>
      <c r="V13930" s="5"/>
    </row>
    <row r="13931">
      <c r="N13931" s="1"/>
      <c r="V13931" s="5"/>
    </row>
    <row r="13932">
      <c r="N13932" s="1"/>
      <c r="V13932" s="5"/>
    </row>
    <row r="13933">
      <c r="N13933" s="1"/>
      <c r="V13933" s="5"/>
    </row>
    <row r="13934">
      <c r="N13934" s="1"/>
      <c r="V13934" s="5"/>
    </row>
    <row r="13935">
      <c r="N13935" s="1"/>
      <c r="V13935" s="5"/>
    </row>
    <row r="13936">
      <c r="N13936" s="1"/>
      <c r="V13936" s="5"/>
    </row>
    <row r="13937">
      <c r="N13937" s="1"/>
      <c r="V13937" s="5"/>
    </row>
    <row r="13938">
      <c r="N13938" s="1"/>
      <c r="V13938" s="5"/>
    </row>
    <row r="13939">
      <c r="N13939" s="1"/>
      <c r="V13939" s="5"/>
    </row>
    <row r="13940">
      <c r="N13940" s="1"/>
      <c r="V13940" s="5"/>
    </row>
    <row r="13941">
      <c r="N13941" s="1"/>
      <c r="V13941" s="5"/>
    </row>
    <row r="13942">
      <c r="N13942" s="1"/>
      <c r="V13942" s="5"/>
    </row>
    <row r="13943">
      <c r="N13943" s="1"/>
      <c r="V13943" s="5"/>
    </row>
    <row r="13944">
      <c r="N13944" s="1"/>
      <c r="V13944" s="5"/>
    </row>
    <row r="13945">
      <c r="N13945" s="1"/>
      <c r="V13945" s="5"/>
    </row>
    <row r="13946">
      <c r="N13946" s="1"/>
      <c r="V13946" s="5"/>
    </row>
    <row r="13947">
      <c r="N13947" s="1"/>
      <c r="V13947" s="5"/>
    </row>
    <row r="13948">
      <c r="N13948" s="1"/>
      <c r="V13948" s="5"/>
    </row>
    <row r="13949">
      <c r="N13949" s="1"/>
      <c r="V13949" s="5"/>
    </row>
    <row r="13950">
      <c r="N13950" s="1"/>
      <c r="V13950" s="5"/>
    </row>
    <row r="13951">
      <c r="N13951" s="1"/>
      <c r="V13951" s="5"/>
    </row>
    <row r="13952">
      <c r="N13952" s="1"/>
      <c r="V13952" s="5"/>
    </row>
    <row r="13953">
      <c r="N13953" s="1"/>
      <c r="V13953" s="5"/>
    </row>
    <row r="13954">
      <c r="N13954" s="1"/>
      <c r="V13954" s="5"/>
    </row>
    <row r="13955">
      <c r="N13955" s="1"/>
      <c r="V13955" s="5"/>
    </row>
    <row r="13956">
      <c r="N13956" s="1"/>
      <c r="V13956" s="5"/>
    </row>
    <row r="13957">
      <c r="N13957" s="1"/>
      <c r="V13957" s="5"/>
    </row>
    <row r="13958">
      <c r="N13958" s="1"/>
      <c r="V13958" s="5"/>
    </row>
    <row r="13959">
      <c r="N13959" s="1"/>
      <c r="V13959" s="5"/>
    </row>
    <row r="13960">
      <c r="N13960" s="1"/>
      <c r="V13960" s="5"/>
    </row>
    <row r="13961">
      <c r="N13961" s="1"/>
      <c r="V13961" s="5"/>
    </row>
    <row r="13962">
      <c r="N13962" s="1"/>
      <c r="V13962" s="5"/>
    </row>
    <row r="13963">
      <c r="N13963" s="1"/>
      <c r="V13963" s="5"/>
    </row>
    <row r="13964">
      <c r="N13964" s="1"/>
      <c r="V13964" s="5"/>
    </row>
    <row r="13965">
      <c r="N13965" s="1"/>
      <c r="V13965" s="5"/>
    </row>
    <row r="13966">
      <c r="N13966" s="1"/>
      <c r="V13966" s="5"/>
    </row>
    <row r="13967">
      <c r="N13967" s="1"/>
      <c r="V13967" s="5"/>
    </row>
    <row r="13968">
      <c r="N13968" s="1"/>
      <c r="V13968" s="5"/>
    </row>
    <row r="13969">
      <c r="N13969" s="1"/>
      <c r="V13969" s="5"/>
    </row>
    <row r="13970">
      <c r="N13970" s="1"/>
      <c r="V13970" s="5"/>
    </row>
    <row r="13971">
      <c r="N13971" s="1"/>
      <c r="V13971" s="5"/>
    </row>
    <row r="13972">
      <c r="N13972" s="1"/>
      <c r="V13972" s="5"/>
    </row>
    <row r="13973">
      <c r="N13973" s="1"/>
      <c r="V13973" s="5"/>
    </row>
    <row r="13974">
      <c r="N13974" s="1"/>
      <c r="V13974" s="5"/>
    </row>
    <row r="13975">
      <c r="N13975" s="1"/>
      <c r="V13975" s="5"/>
    </row>
    <row r="13976">
      <c r="N13976" s="1"/>
      <c r="V13976" s="5"/>
    </row>
    <row r="13977">
      <c r="N13977" s="1"/>
      <c r="V13977" s="5"/>
    </row>
    <row r="13978">
      <c r="N13978" s="1"/>
      <c r="V13978" s="5"/>
    </row>
    <row r="13979">
      <c r="N13979" s="1"/>
      <c r="V13979" s="5"/>
    </row>
    <row r="13980">
      <c r="N13980" s="1"/>
      <c r="V13980" s="5"/>
    </row>
    <row r="13981">
      <c r="N13981" s="1"/>
      <c r="V13981" s="5"/>
    </row>
    <row r="13982">
      <c r="N13982" s="1"/>
      <c r="V13982" s="5"/>
    </row>
    <row r="13983">
      <c r="N13983" s="1"/>
      <c r="V13983" s="5"/>
    </row>
    <row r="13984">
      <c r="N13984" s="1"/>
      <c r="V13984" s="5"/>
    </row>
    <row r="13985">
      <c r="N13985" s="1"/>
      <c r="V13985" s="5"/>
    </row>
    <row r="13986">
      <c r="N13986" s="1"/>
      <c r="V13986" s="5"/>
    </row>
    <row r="13987">
      <c r="N13987" s="1"/>
      <c r="V13987" s="5"/>
    </row>
    <row r="13988">
      <c r="N13988" s="1"/>
      <c r="V13988" s="5"/>
    </row>
    <row r="13989">
      <c r="N13989" s="1"/>
      <c r="V13989" s="5"/>
    </row>
    <row r="13990">
      <c r="N13990" s="1"/>
      <c r="V13990" s="5"/>
    </row>
    <row r="13991">
      <c r="N13991" s="1"/>
      <c r="V13991" s="5"/>
    </row>
    <row r="13992">
      <c r="N13992" s="1"/>
      <c r="V13992" s="5"/>
    </row>
    <row r="13993">
      <c r="N13993" s="1"/>
      <c r="V13993" s="5"/>
    </row>
    <row r="13994">
      <c r="N13994" s="1"/>
      <c r="V13994" s="5"/>
    </row>
    <row r="13995">
      <c r="N13995" s="1"/>
      <c r="V13995" s="5"/>
    </row>
    <row r="13996">
      <c r="N13996" s="1"/>
      <c r="V13996" s="5"/>
    </row>
    <row r="13997">
      <c r="N13997" s="1"/>
      <c r="V13997" s="5"/>
    </row>
    <row r="13998">
      <c r="N13998" s="1"/>
      <c r="V13998" s="5"/>
    </row>
    <row r="13999">
      <c r="N13999" s="1"/>
      <c r="V13999" s="5"/>
    </row>
    <row r="14000">
      <c r="N14000" s="1"/>
      <c r="V14000" s="5"/>
    </row>
    <row r="14001">
      <c r="N14001" s="1"/>
      <c r="V14001" s="5"/>
    </row>
    <row r="14002">
      <c r="N14002" s="1"/>
      <c r="V14002" s="5"/>
    </row>
    <row r="14003">
      <c r="N14003" s="1"/>
      <c r="V14003" s="5"/>
    </row>
    <row r="14004">
      <c r="N14004" s="1"/>
      <c r="V14004" s="5"/>
    </row>
    <row r="14005">
      <c r="N14005" s="1"/>
      <c r="V14005" s="5"/>
    </row>
    <row r="14006">
      <c r="N14006" s="1"/>
      <c r="V14006" s="5"/>
    </row>
    <row r="14007">
      <c r="N14007" s="1"/>
      <c r="V14007" s="5"/>
    </row>
    <row r="14008">
      <c r="N14008" s="1"/>
      <c r="V14008" s="5"/>
    </row>
    <row r="14009">
      <c r="N14009" s="1"/>
      <c r="V14009" s="5"/>
    </row>
    <row r="14010">
      <c r="N14010" s="1"/>
      <c r="V14010" s="5"/>
    </row>
    <row r="14011">
      <c r="N14011" s="1"/>
      <c r="V14011" s="5"/>
    </row>
    <row r="14012">
      <c r="N14012" s="1"/>
      <c r="V14012" s="5"/>
    </row>
    <row r="14013">
      <c r="N14013" s="1"/>
      <c r="V14013" s="5"/>
    </row>
    <row r="14014">
      <c r="N14014" s="1"/>
      <c r="V14014" s="5"/>
    </row>
    <row r="14015">
      <c r="N14015" s="1"/>
      <c r="V14015" s="5"/>
    </row>
    <row r="14016">
      <c r="N14016" s="1"/>
      <c r="V14016" s="5"/>
    </row>
    <row r="14017">
      <c r="N14017" s="1"/>
      <c r="V14017" s="5"/>
    </row>
    <row r="14018">
      <c r="N14018" s="1"/>
      <c r="V14018" s="5"/>
    </row>
    <row r="14019">
      <c r="N14019" s="1"/>
      <c r="V14019" s="5"/>
    </row>
    <row r="14020">
      <c r="N14020" s="1"/>
      <c r="V14020" s="5"/>
    </row>
    <row r="14021">
      <c r="N14021" s="1"/>
      <c r="V14021" s="5"/>
    </row>
    <row r="14022">
      <c r="N14022" s="1"/>
      <c r="V14022" s="5"/>
    </row>
    <row r="14023">
      <c r="N14023" s="1"/>
      <c r="V14023" s="5"/>
    </row>
    <row r="14024">
      <c r="N14024" s="1"/>
      <c r="V14024" s="5"/>
    </row>
    <row r="14025">
      <c r="N14025" s="1"/>
      <c r="V14025" s="5"/>
    </row>
    <row r="14026">
      <c r="N14026" s="1"/>
      <c r="V14026" s="5"/>
    </row>
    <row r="14027">
      <c r="N14027" s="1"/>
      <c r="V14027" s="5"/>
    </row>
    <row r="14028">
      <c r="N14028" s="1"/>
      <c r="V14028" s="5"/>
    </row>
    <row r="14029">
      <c r="N14029" s="1"/>
      <c r="V14029" s="5"/>
    </row>
    <row r="14030">
      <c r="N14030" s="1"/>
      <c r="V14030" s="5"/>
    </row>
    <row r="14031">
      <c r="N14031" s="1"/>
      <c r="V14031" s="5"/>
    </row>
    <row r="14032">
      <c r="N14032" s="1"/>
      <c r="V14032" s="5"/>
    </row>
    <row r="14033">
      <c r="N14033" s="1"/>
      <c r="V14033" s="5"/>
    </row>
    <row r="14034">
      <c r="N14034" s="1"/>
      <c r="V14034" s="5"/>
    </row>
    <row r="14035">
      <c r="N14035" s="1"/>
      <c r="V14035" s="5"/>
    </row>
    <row r="14036">
      <c r="N14036" s="1"/>
      <c r="V14036" s="5"/>
    </row>
    <row r="14037">
      <c r="N14037" s="1"/>
      <c r="V14037" s="5"/>
    </row>
    <row r="14038">
      <c r="N14038" s="1"/>
      <c r="V14038" s="5"/>
    </row>
    <row r="14039">
      <c r="N14039" s="1"/>
      <c r="V14039" s="5"/>
    </row>
    <row r="14040">
      <c r="N14040" s="1"/>
      <c r="V14040" s="5"/>
    </row>
    <row r="14041">
      <c r="N14041" s="1"/>
      <c r="V14041" s="5"/>
    </row>
    <row r="14042">
      <c r="N14042" s="1"/>
      <c r="V14042" s="5"/>
    </row>
    <row r="14043">
      <c r="N14043" s="1"/>
      <c r="V14043" s="5"/>
    </row>
    <row r="14044">
      <c r="N14044" s="1"/>
      <c r="V14044" s="5"/>
    </row>
    <row r="14045">
      <c r="N14045" s="1"/>
      <c r="V14045" s="5"/>
    </row>
    <row r="14046">
      <c r="N14046" s="1"/>
      <c r="V14046" s="5"/>
    </row>
    <row r="14047">
      <c r="N14047" s="1"/>
      <c r="V14047" s="5"/>
    </row>
    <row r="14048">
      <c r="N14048" s="1"/>
      <c r="V14048" s="5"/>
    </row>
    <row r="14049">
      <c r="N14049" s="1"/>
      <c r="V14049" s="5"/>
    </row>
    <row r="14050">
      <c r="N14050" s="1"/>
      <c r="V14050" s="5"/>
    </row>
    <row r="14051">
      <c r="N14051" s="1"/>
      <c r="V14051" s="5"/>
    </row>
    <row r="14052">
      <c r="N14052" s="1"/>
      <c r="V14052" s="5"/>
    </row>
    <row r="14053">
      <c r="N14053" s="1"/>
      <c r="V14053" s="5"/>
    </row>
    <row r="14054">
      <c r="N14054" s="1"/>
      <c r="V14054" s="5"/>
    </row>
    <row r="14055">
      <c r="N14055" s="1"/>
      <c r="V14055" s="5"/>
    </row>
    <row r="14056">
      <c r="N14056" s="1"/>
      <c r="V14056" s="5"/>
    </row>
    <row r="14057">
      <c r="N14057" s="1"/>
      <c r="V14057" s="5"/>
    </row>
    <row r="14058">
      <c r="N14058" s="1"/>
      <c r="V14058" s="5"/>
    </row>
    <row r="14059">
      <c r="N14059" s="1"/>
      <c r="V14059" s="5"/>
    </row>
    <row r="14060">
      <c r="N14060" s="1"/>
      <c r="V14060" s="5"/>
    </row>
    <row r="14061">
      <c r="N14061" s="1"/>
      <c r="V14061" s="5"/>
    </row>
    <row r="14062">
      <c r="N14062" s="1"/>
      <c r="V14062" s="5"/>
    </row>
    <row r="14063">
      <c r="N14063" s="1"/>
      <c r="V14063" s="5"/>
    </row>
    <row r="14064">
      <c r="N14064" s="1"/>
      <c r="V14064" s="5"/>
    </row>
    <row r="14065">
      <c r="N14065" s="1"/>
      <c r="V14065" s="5"/>
    </row>
    <row r="14066">
      <c r="N14066" s="1"/>
      <c r="V14066" s="5"/>
    </row>
    <row r="14067">
      <c r="N14067" s="1"/>
      <c r="V14067" s="5"/>
    </row>
    <row r="14068">
      <c r="N14068" s="1"/>
      <c r="V14068" s="5"/>
    </row>
    <row r="14069">
      <c r="N14069" s="1"/>
      <c r="V14069" s="5"/>
    </row>
    <row r="14070">
      <c r="N14070" s="1"/>
      <c r="V14070" s="5"/>
    </row>
    <row r="14071">
      <c r="N14071" s="1"/>
      <c r="V14071" s="5"/>
    </row>
    <row r="14072">
      <c r="N14072" s="1"/>
      <c r="V14072" s="5"/>
    </row>
    <row r="14073">
      <c r="N14073" s="1"/>
      <c r="V14073" s="5"/>
    </row>
    <row r="14074">
      <c r="N14074" s="1"/>
      <c r="V14074" s="5"/>
    </row>
    <row r="14075">
      <c r="N14075" s="1"/>
      <c r="V14075" s="5"/>
    </row>
    <row r="14076">
      <c r="N14076" s="1"/>
      <c r="V14076" s="5"/>
    </row>
    <row r="14077">
      <c r="N14077" s="1"/>
      <c r="V14077" s="5"/>
    </row>
    <row r="14078">
      <c r="N14078" s="1"/>
      <c r="V14078" s="5"/>
    </row>
    <row r="14079">
      <c r="N14079" s="1"/>
      <c r="V14079" s="5"/>
    </row>
    <row r="14080">
      <c r="N14080" s="1"/>
      <c r="V14080" s="5"/>
    </row>
    <row r="14081">
      <c r="N14081" s="1"/>
      <c r="V14081" s="5"/>
    </row>
    <row r="14082">
      <c r="N14082" s="1"/>
      <c r="V14082" s="5"/>
    </row>
    <row r="14083">
      <c r="N14083" s="1"/>
      <c r="V14083" s="5"/>
    </row>
    <row r="14084">
      <c r="N14084" s="1"/>
      <c r="V14084" s="5"/>
    </row>
    <row r="14085">
      <c r="N14085" s="1"/>
      <c r="V14085" s="5"/>
    </row>
    <row r="14086">
      <c r="N14086" s="1"/>
      <c r="V14086" s="5"/>
    </row>
    <row r="14087">
      <c r="N14087" s="1"/>
      <c r="V14087" s="5"/>
    </row>
    <row r="14088">
      <c r="N14088" s="1"/>
      <c r="V14088" s="5"/>
    </row>
    <row r="14089">
      <c r="N14089" s="1"/>
      <c r="V14089" s="5"/>
    </row>
    <row r="14090">
      <c r="N14090" s="1"/>
      <c r="V14090" s="5"/>
    </row>
    <row r="14091">
      <c r="N14091" s="1"/>
      <c r="V14091" s="5"/>
    </row>
    <row r="14092">
      <c r="N14092" s="1"/>
      <c r="V14092" s="5"/>
    </row>
    <row r="14093">
      <c r="N14093" s="1"/>
      <c r="V14093" s="5"/>
    </row>
    <row r="14094">
      <c r="N14094" s="1"/>
      <c r="V14094" s="5"/>
    </row>
    <row r="14095">
      <c r="N14095" s="1"/>
      <c r="V14095" s="5"/>
    </row>
    <row r="14096">
      <c r="N14096" s="1"/>
      <c r="V14096" s="5"/>
    </row>
    <row r="14097">
      <c r="N14097" s="1"/>
      <c r="V14097" s="5"/>
    </row>
    <row r="14098">
      <c r="N14098" s="1"/>
      <c r="V14098" s="5"/>
    </row>
    <row r="14099">
      <c r="N14099" s="1"/>
      <c r="V14099" s="5"/>
    </row>
    <row r="14100">
      <c r="N14100" s="1"/>
      <c r="V14100" s="5"/>
    </row>
    <row r="14101">
      <c r="N14101" s="1"/>
      <c r="V14101" s="5"/>
    </row>
    <row r="14102">
      <c r="N14102" s="1"/>
      <c r="V14102" s="5"/>
    </row>
    <row r="14103">
      <c r="N14103" s="1"/>
      <c r="V14103" s="5"/>
    </row>
    <row r="14104">
      <c r="N14104" s="1"/>
      <c r="V14104" s="5"/>
    </row>
    <row r="14105">
      <c r="N14105" s="1"/>
      <c r="V14105" s="5"/>
    </row>
    <row r="14106">
      <c r="N14106" s="1"/>
      <c r="V14106" s="5"/>
    </row>
    <row r="14107">
      <c r="N14107" s="1"/>
      <c r="V14107" s="5"/>
    </row>
    <row r="14108">
      <c r="N14108" s="1"/>
      <c r="V14108" s="5"/>
    </row>
    <row r="14109">
      <c r="N14109" s="1"/>
      <c r="V14109" s="5"/>
    </row>
    <row r="14110">
      <c r="N14110" s="1"/>
      <c r="V14110" s="5"/>
    </row>
    <row r="14111">
      <c r="N14111" s="1"/>
      <c r="V14111" s="5"/>
    </row>
    <row r="14112">
      <c r="N14112" s="1"/>
      <c r="V14112" s="5"/>
    </row>
    <row r="14113">
      <c r="N14113" s="1"/>
      <c r="V14113" s="5"/>
    </row>
    <row r="14114">
      <c r="N14114" s="1"/>
      <c r="V14114" s="5"/>
    </row>
    <row r="14115">
      <c r="N14115" s="1"/>
      <c r="V14115" s="5"/>
    </row>
    <row r="14116">
      <c r="N14116" s="1"/>
      <c r="V14116" s="5"/>
    </row>
    <row r="14117">
      <c r="N14117" s="1"/>
      <c r="V14117" s="5"/>
    </row>
    <row r="14118">
      <c r="N14118" s="1"/>
      <c r="V14118" s="5"/>
    </row>
    <row r="14119">
      <c r="N14119" s="1"/>
      <c r="V14119" s="5"/>
    </row>
    <row r="14120">
      <c r="N14120" s="1"/>
      <c r="V14120" s="5"/>
    </row>
    <row r="14121">
      <c r="N14121" s="1"/>
      <c r="V14121" s="5"/>
    </row>
    <row r="14122">
      <c r="N14122" s="1"/>
      <c r="V14122" s="5"/>
    </row>
    <row r="14123">
      <c r="N14123" s="1"/>
      <c r="V14123" s="5"/>
    </row>
    <row r="14124">
      <c r="N14124" s="1"/>
      <c r="V14124" s="5"/>
    </row>
    <row r="14125">
      <c r="N14125" s="1"/>
      <c r="V14125" s="5"/>
    </row>
    <row r="14126">
      <c r="N14126" s="1"/>
      <c r="V14126" s="5"/>
    </row>
    <row r="14127">
      <c r="N14127" s="1"/>
      <c r="V14127" s="5"/>
    </row>
    <row r="14128">
      <c r="N14128" s="1"/>
      <c r="V14128" s="5"/>
    </row>
    <row r="14129">
      <c r="N14129" s="1"/>
      <c r="V14129" s="5"/>
    </row>
    <row r="14130">
      <c r="N14130" s="1"/>
      <c r="V14130" s="5"/>
    </row>
    <row r="14131">
      <c r="N14131" s="1"/>
      <c r="V14131" s="5"/>
    </row>
    <row r="14132">
      <c r="N14132" s="1"/>
      <c r="V14132" s="5"/>
    </row>
    <row r="14133">
      <c r="N14133" s="1"/>
      <c r="V14133" s="5"/>
    </row>
    <row r="14134">
      <c r="N14134" s="1"/>
      <c r="V14134" s="5"/>
    </row>
    <row r="14135">
      <c r="N14135" s="1"/>
      <c r="V14135" s="5"/>
    </row>
    <row r="14136">
      <c r="N14136" s="1"/>
      <c r="V14136" s="5"/>
    </row>
    <row r="14137">
      <c r="N14137" s="1"/>
      <c r="V14137" s="5"/>
    </row>
    <row r="14138">
      <c r="N14138" s="1"/>
      <c r="V14138" s="5"/>
    </row>
    <row r="14139">
      <c r="N14139" s="1"/>
      <c r="V14139" s="5"/>
    </row>
    <row r="14140">
      <c r="N14140" s="1"/>
      <c r="V14140" s="5"/>
    </row>
    <row r="14141">
      <c r="N14141" s="1"/>
      <c r="V14141" s="5"/>
    </row>
    <row r="14142">
      <c r="N14142" s="1"/>
      <c r="V14142" s="5"/>
    </row>
    <row r="14143">
      <c r="N14143" s="1"/>
      <c r="V14143" s="5"/>
    </row>
    <row r="14144">
      <c r="N14144" s="1"/>
      <c r="V14144" s="5"/>
    </row>
    <row r="14145">
      <c r="N14145" s="1"/>
      <c r="V14145" s="5"/>
    </row>
    <row r="14146">
      <c r="N14146" s="1"/>
      <c r="V14146" s="5"/>
    </row>
    <row r="14147">
      <c r="N14147" s="1"/>
      <c r="V14147" s="5"/>
    </row>
    <row r="14148">
      <c r="N14148" s="1"/>
      <c r="V14148" s="5"/>
    </row>
    <row r="14149">
      <c r="N14149" s="1"/>
      <c r="V14149" s="5"/>
    </row>
    <row r="14150">
      <c r="N14150" s="1"/>
      <c r="V14150" s="5"/>
    </row>
    <row r="14151">
      <c r="N14151" s="1"/>
      <c r="V14151" s="5"/>
    </row>
    <row r="14152">
      <c r="N14152" s="1"/>
      <c r="V14152" s="5"/>
    </row>
    <row r="14153">
      <c r="N14153" s="1"/>
      <c r="V14153" s="5"/>
    </row>
    <row r="14154">
      <c r="N14154" s="1"/>
      <c r="V14154" s="5"/>
    </row>
    <row r="14155">
      <c r="N14155" s="1"/>
      <c r="V14155" s="5"/>
    </row>
    <row r="14156">
      <c r="N14156" s="1"/>
      <c r="V14156" s="5"/>
    </row>
    <row r="14157">
      <c r="N14157" s="1"/>
      <c r="V14157" s="5"/>
    </row>
    <row r="14158">
      <c r="N14158" s="1"/>
      <c r="V14158" s="5"/>
    </row>
    <row r="14159">
      <c r="N14159" s="1"/>
      <c r="V14159" s="5"/>
    </row>
    <row r="14160">
      <c r="N14160" s="1"/>
      <c r="V14160" s="5"/>
    </row>
    <row r="14161">
      <c r="N14161" s="1"/>
      <c r="V14161" s="5"/>
    </row>
    <row r="14162">
      <c r="N14162" s="1"/>
      <c r="V14162" s="5"/>
    </row>
    <row r="14163">
      <c r="N14163" s="1"/>
      <c r="V14163" s="5"/>
    </row>
    <row r="14164">
      <c r="N14164" s="1"/>
      <c r="V14164" s="5"/>
    </row>
    <row r="14165">
      <c r="N14165" s="1"/>
      <c r="V14165" s="5"/>
    </row>
    <row r="14166">
      <c r="N14166" s="1"/>
      <c r="V14166" s="5"/>
    </row>
    <row r="14167">
      <c r="N14167" s="1"/>
      <c r="V14167" s="5"/>
    </row>
    <row r="14168">
      <c r="N14168" s="1"/>
      <c r="V14168" s="5"/>
    </row>
    <row r="14169">
      <c r="N14169" s="1"/>
      <c r="V14169" s="5"/>
    </row>
    <row r="14170">
      <c r="N14170" s="1"/>
      <c r="V14170" s="5"/>
    </row>
    <row r="14171">
      <c r="N14171" s="1"/>
      <c r="V14171" s="5"/>
    </row>
    <row r="14172">
      <c r="N14172" s="1"/>
      <c r="V14172" s="5"/>
    </row>
    <row r="14173">
      <c r="N14173" s="1"/>
      <c r="V14173" s="5"/>
    </row>
    <row r="14174">
      <c r="N14174" s="1"/>
      <c r="V14174" s="5"/>
    </row>
    <row r="14175">
      <c r="N14175" s="1"/>
      <c r="V14175" s="5"/>
    </row>
    <row r="14176">
      <c r="N14176" s="1"/>
      <c r="V14176" s="5"/>
    </row>
    <row r="14177">
      <c r="N14177" s="1"/>
      <c r="V14177" s="5"/>
    </row>
    <row r="14178">
      <c r="N14178" s="1"/>
      <c r="V14178" s="5"/>
    </row>
    <row r="14179">
      <c r="N14179" s="1"/>
      <c r="V14179" s="5"/>
    </row>
    <row r="14180">
      <c r="N14180" s="1"/>
      <c r="V14180" s="5"/>
    </row>
    <row r="14181">
      <c r="N14181" s="1"/>
      <c r="V14181" s="5"/>
    </row>
    <row r="14182">
      <c r="N14182" s="1"/>
      <c r="V14182" s="5"/>
    </row>
    <row r="14183">
      <c r="N14183" s="1"/>
      <c r="V14183" s="5"/>
    </row>
    <row r="14184">
      <c r="N14184" s="1"/>
      <c r="V14184" s="5"/>
    </row>
    <row r="14185">
      <c r="N14185" s="1"/>
      <c r="V14185" s="5"/>
    </row>
    <row r="14186">
      <c r="N14186" s="1"/>
      <c r="V14186" s="5"/>
    </row>
    <row r="14187">
      <c r="N14187" s="1"/>
      <c r="V14187" s="5"/>
    </row>
    <row r="14188">
      <c r="N14188" s="1"/>
      <c r="V14188" s="5"/>
    </row>
    <row r="14189">
      <c r="N14189" s="1"/>
      <c r="V14189" s="5"/>
    </row>
    <row r="14190">
      <c r="N14190" s="1"/>
      <c r="V14190" s="5"/>
    </row>
    <row r="14191">
      <c r="N14191" s="1"/>
      <c r="V14191" s="5"/>
    </row>
    <row r="14192">
      <c r="N14192" s="1"/>
      <c r="V14192" s="5"/>
    </row>
    <row r="14193">
      <c r="N14193" s="1"/>
      <c r="V14193" s="5"/>
    </row>
    <row r="14194">
      <c r="N14194" s="1"/>
      <c r="V14194" s="5"/>
    </row>
    <row r="14195">
      <c r="N14195" s="1"/>
      <c r="V14195" s="5"/>
    </row>
    <row r="14196">
      <c r="N14196" s="1"/>
      <c r="V14196" s="5"/>
    </row>
    <row r="14197">
      <c r="N14197" s="1"/>
      <c r="V14197" s="5"/>
    </row>
    <row r="14198">
      <c r="N14198" s="1"/>
      <c r="V14198" s="5"/>
    </row>
    <row r="14199">
      <c r="N14199" s="1"/>
      <c r="V14199" s="5"/>
    </row>
    <row r="14200">
      <c r="N14200" s="1"/>
      <c r="V14200" s="5"/>
    </row>
    <row r="14201">
      <c r="N14201" s="1"/>
      <c r="V14201" s="5"/>
    </row>
    <row r="14202">
      <c r="N14202" s="1"/>
      <c r="V14202" s="5"/>
    </row>
    <row r="14203">
      <c r="N14203" s="1"/>
      <c r="V14203" s="5"/>
    </row>
    <row r="14204">
      <c r="N14204" s="1"/>
      <c r="V14204" s="5"/>
    </row>
    <row r="14205">
      <c r="N14205" s="1"/>
      <c r="V14205" s="5"/>
    </row>
    <row r="14206">
      <c r="N14206" s="1"/>
      <c r="V14206" s="5"/>
    </row>
    <row r="14207">
      <c r="N14207" s="1"/>
      <c r="V14207" s="5"/>
    </row>
    <row r="14208">
      <c r="N14208" s="1"/>
      <c r="V14208" s="5"/>
    </row>
    <row r="14209">
      <c r="N14209" s="1"/>
      <c r="V14209" s="5"/>
    </row>
    <row r="14210">
      <c r="N14210" s="1"/>
      <c r="V14210" s="5"/>
    </row>
    <row r="14211">
      <c r="N14211" s="1"/>
      <c r="V14211" s="5"/>
    </row>
    <row r="14212">
      <c r="N14212" s="1"/>
      <c r="V14212" s="5"/>
    </row>
    <row r="14213">
      <c r="N14213" s="1"/>
      <c r="V14213" s="5"/>
    </row>
    <row r="14214">
      <c r="N14214" s="1"/>
      <c r="V14214" s="5"/>
    </row>
    <row r="14215">
      <c r="N14215" s="1"/>
      <c r="V14215" s="5"/>
    </row>
    <row r="14216">
      <c r="N14216" s="1"/>
      <c r="V14216" s="5"/>
    </row>
    <row r="14217">
      <c r="N14217" s="1"/>
      <c r="V14217" s="5"/>
    </row>
    <row r="14218">
      <c r="N14218" s="1"/>
      <c r="V14218" s="5"/>
    </row>
    <row r="14219">
      <c r="N14219" s="1"/>
      <c r="V14219" s="5"/>
    </row>
    <row r="14220">
      <c r="N14220" s="1"/>
      <c r="V14220" s="5"/>
    </row>
    <row r="14221">
      <c r="N14221" s="1"/>
      <c r="V14221" s="5"/>
    </row>
    <row r="14222">
      <c r="N14222" s="1"/>
      <c r="V14222" s="5"/>
    </row>
    <row r="14223">
      <c r="N14223" s="1"/>
      <c r="V14223" s="5"/>
    </row>
    <row r="14224">
      <c r="N14224" s="1"/>
      <c r="V14224" s="5"/>
    </row>
    <row r="14225">
      <c r="N14225" s="1"/>
      <c r="V14225" s="5"/>
    </row>
    <row r="14226">
      <c r="N14226" s="1"/>
      <c r="V14226" s="5"/>
    </row>
    <row r="14227">
      <c r="N14227" s="1"/>
      <c r="V14227" s="5"/>
    </row>
    <row r="14228">
      <c r="N14228" s="1"/>
      <c r="V14228" s="5"/>
    </row>
    <row r="14229">
      <c r="N14229" s="1"/>
      <c r="V14229" s="5"/>
    </row>
    <row r="14230">
      <c r="N14230" s="1"/>
      <c r="V14230" s="5"/>
    </row>
    <row r="14231">
      <c r="N14231" s="1"/>
      <c r="V14231" s="5"/>
    </row>
    <row r="14232">
      <c r="N14232" s="1"/>
      <c r="V14232" s="5"/>
    </row>
    <row r="14233">
      <c r="N14233" s="1"/>
      <c r="V14233" s="5"/>
    </row>
    <row r="14234">
      <c r="N14234" s="1"/>
      <c r="V14234" s="5"/>
    </row>
    <row r="14235">
      <c r="N14235" s="1"/>
      <c r="V14235" s="5"/>
    </row>
    <row r="14236">
      <c r="N14236" s="1"/>
      <c r="V14236" s="5"/>
    </row>
    <row r="14237">
      <c r="N14237" s="1"/>
      <c r="V14237" s="5"/>
    </row>
    <row r="14238">
      <c r="N14238" s="1"/>
      <c r="V14238" s="5"/>
    </row>
    <row r="14239">
      <c r="N14239" s="1"/>
      <c r="V14239" s="5"/>
    </row>
    <row r="14240">
      <c r="N14240" s="1"/>
      <c r="V14240" s="5"/>
    </row>
    <row r="14241">
      <c r="N14241" s="1"/>
      <c r="V14241" s="5"/>
    </row>
    <row r="14242">
      <c r="N14242" s="1"/>
      <c r="V14242" s="5"/>
    </row>
    <row r="14243">
      <c r="N14243" s="1"/>
      <c r="V14243" s="5"/>
    </row>
    <row r="14244">
      <c r="N14244" s="1"/>
      <c r="V14244" s="5"/>
    </row>
    <row r="14245">
      <c r="N14245" s="1"/>
      <c r="V14245" s="5"/>
    </row>
    <row r="14246">
      <c r="N14246" s="1"/>
      <c r="V14246" s="5"/>
    </row>
    <row r="14247">
      <c r="N14247" s="1"/>
      <c r="V14247" s="5"/>
    </row>
    <row r="14248">
      <c r="N14248" s="1"/>
      <c r="V14248" s="5"/>
    </row>
    <row r="14249">
      <c r="N14249" s="1"/>
      <c r="V14249" s="5"/>
    </row>
    <row r="14250">
      <c r="N14250" s="1"/>
      <c r="V14250" s="5"/>
    </row>
    <row r="14251">
      <c r="N14251" s="1"/>
      <c r="V14251" s="5"/>
    </row>
    <row r="14252">
      <c r="N14252" s="1"/>
      <c r="V14252" s="5"/>
    </row>
    <row r="14253">
      <c r="N14253" s="1"/>
      <c r="V14253" s="5"/>
    </row>
    <row r="14254">
      <c r="N14254" s="1"/>
      <c r="V14254" s="5"/>
    </row>
    <row r="14255">
      <c r="N14255" s="1"/>
      <c r="V14255" s="5"/>
    </row>
    <row r="14256">
      <c r="N14256" s="1"/>
      <c r="V14256" s="5"/>
    </row>
    <row r="14257">
      <c r="N14257" s="1"/>
      <c r="V14257" s="5"/>
    </row>
    <row r="14258">
      <c r="N14258" s="1"/>
      <c r="V14258" s="5"/>
    </row>
    <row r="14259">
      <c r="N14259" s="1"/>
      <c r="V14259" s="5"/>
    </row>
    <row r="14260">
      <c r="N14260" s="1"/>
      <c r="V14260" s="5"/>
    </row>
    <row r="14261">
      <c r="N14261" s="1"/>
      <c r="V14261" s="5"/>
    </row>
    <row r="14262">
      <c r="N14262" s="1"/>
      <c r="V14262" s="5"/>
    </row>
    <row r="14263">
      <c r="N14263" s="1"/>
      <c r="V14263" s="5"/>
    </row>
    <row r="14264">
      <c r="N14264" s="1"/>
      <c r="V14264" s="5"/>
    </row>
    <row r="14265">
      <c r="N14265" s="1"/>
      <c r="V14265" s="5"/>
    </row>
    <row r="14266">
      <c r="N14266" s="1"/>
      <c r="V14266" s="5"/>
    </row>
    <row r="14267">
      <c r="N14267" s="1"/>
      <c r="V14267" s="5"/>
    </row>
    <row r="14268">
      <c r="N14268" s="1"/>
      <c r="V14268" s="5"/>
    </row>
    <row r="14269">
      <c r="N14269" s="1"/>
      <c r="V14269" s="5"/>
    </row>
    <row r="14270">
      <c r="N14270" s="1"/>
      <c r="V14270" s="5"/>
    </row>
    <row r="14271">
      <c r="N14271" s="1"/>
      <c r="V14271" s="5"/>
    </row>
    <row r="14272">
      <c r="N14272" s="1"/>
      <c r="V14272" s="5"/>
    </row>
    <row r="14273">
      <c r="N14273" s="1"/>
      <c r="V14273" s="5"/>
    </row>
    <row r="14274">
      <c r="N14274" s="1"/>
      <c r="V14274" s="5"/>
    </row>
    <row r="14275">
      <c r="N14275" s="1"/>
      <c r="V14275" s="5"/>
    </row>
    <row r="14276">
      <c r="N14276" s="1"/>
      <c r="V14276" s="5"/>
    </row>
    <row r="14277">
      <c r="N14277" s="1"/>
      <c r="V14277" s="5"/>
    </row>
    <row r="14278">
      <c r="N14278" s="1"/>
      <c r="V14278" s="5"/>
    </row>
    <row r="14279">
      <c r="N14279" s="1"/>
      <c r="V14279" s="5"/>
    </row>
    <row r="14280">
      <c r="N14280" s="1"/>
      <c r="V14280" s="5"/>
    </row>
    <row r="14281">
      <c r="N14281" s="1"/>
      <c r="V14281" s="5"/>
    </row>
    <row r="14282">
      <c r="N14282" s="1"/>
      <c r="V14282" s="5"/>
    </row>
    <row r="14283">
      <c r="N14283" s="1"/>
      <c r="V14283" s="5"/>
    </row>
    <row r="14284">
      <c r="N14284" s="1"/>
      <c r="V14284" s="5"/>
    </row>
    <row r="14285">
      <c r="N14285" s="1"/>
      <c r="V14285" s="5"/>
    </row>
    <row r="14286">
      <c r="N14286" s="1"/>
      <c r="V14286" s="5"/>
    </row>
    <row r="14287">
      <c r="N14287" s="1"/>
      <c r="V14287" s="5"/>
    </row>
    <row r="14288">
      <c r="N14288" s="1"/>
      <c r="V14288" s="5"/>
    </row>
    <row r="14289">
      <c r="N14289" s="1"/>
      <c r="V14289" s="5"/>
    </row>
    <row r="14290">
      <c r="N14290" s="1"/>
      <c r="V14290" s="5"/>
    </row>
    <row r="14291">
      <c r="N14291" s="1"/>
      <c r="V14291" s="5"/>
    </row>
    <row r="14292">
      <c r="N14292" s="1"/>
      <c r="V14292" s="5"/>
    </row>
    <row r="14293">
      <c r="N14293" s="1"/>
      <c r="V14293" s="5"/>
    </row>
    <row r="14294">
      <c r="N14294" s="1"/>
      <c r="V14294" s="5"/>
    </row>
    <row r="14295">
      <c r="N14295" s="1"/>
      <c r="V14295" s="5"/>
    </row>
    <row r="14296">
      <c r="N14296" s="1"/>
      <c r="V14296" s="5"/>
    </row>
    <row r="14297">
      <c r="N14297" s="1"/>
      <c r="V14297" s="5"/>
    </row>
    <row r="14298">
      <c r="N14298" s="1"/>
      <c r="V14298" s="5"/>
    </row>
    <row r="14299">
      <c r="N14299" s="1"/>
      <c r="V14299" s="5"/>
    </row>
    <row r="14300">
      <c r="N14300" s="1"/>
      <c r="V14300" s="5"/>
    </row>
    <row r="14301">
      <c r="N14301" s="1"/>
      <c r="V14301" s="5"/>
    </row>
    <row r="14302">
      <c r="N14302" s="1"/>
      <c r="V14302" s="5"/>
    </row>
    <row r="14303">
      <c r="N14303" s="1"/>
      <c r="V14303" s="5"/>
    </row>
    <row r="14304">
      <c r="N14304" s="1"/>
      <c r="V14304" s="5"/>
    </row>
    <row r="14305">
      <c r="N14305" s="1"/>
      <c r="V14305" s="5"/>
    </row>
    <row r="14306">
      <c r="N14306" s="1"/>
      <c r="V14306" s="5"/>
    </row>
    <row r="14307">
      <c r="N14307" s="1"/>
      <c r="V14307" s="5"/>
    </row>
    <row r="14308">
      <c r="N14308" s="1"/>
      <c r="V14308" s="5"/>
    </row>
    <row r="14309">
      <c r="N14309" s="1"/>
      <c r="V14309" s="5"/>
    </row>
    <row r="14310">
      <c r="N14310" s="1"/>
      <c r="V14310" s="5"/>
    </row>
    <row r="14311">
      <c r="N14311" s="1"/>
      <c r="V14311" s="5"/>
    </row>
    <row r="14312">
      <c r="N14312" s="1"/>
      <c r="V14312" s="5"/>
    </row>
    <row r="14313">
      <c r="N14313" s="1"/>
      <c r="V14313" s="5"/>
    </row>
    <row r="14314">
      <c r="N14314" s="1"/>
      <c r="V14314" s="5"/>
    </row>
    <row r="14315">
      <c r="N14315" s="1"/>
      <c r="V14315" s="5"/>
    </row>
    <row r="14316">
      <c r="N14316" s="1"/>
      <c r="V14316" s="5"/>
    </row>
    <row r="14317">
      <c r="N14317" s="1"/>
      <c r="V14317" s="5"/>
    </row>
    <row r="14318">
      <c r="N14318" s="1"/>
      <c r="V14318" s="5"/>
    </row>
    <row r="14319">
      <c r="N14319" s="1"/>
      <c r="V14319" s="5"/>
    </row>
    <row r="14320">
      <c r="N14320" s="1"/>
      <c r="V14320" s="5"/>
    </row>
    <row r="14321">
      <c r="N14321" s="1"/>
      <c r="V14321" s="5"/>
    </row>
    <row r="14322">
      <c r="N14322" s="1"/>
      <c r="V14322" s="5"/>
    </row>
    <row r="14323">
      <c r="N14323" s="1"/>
      <c r="V14323" s="5"/>
    </row>
    <row r="14324">
      <c r="N14324" s="1"/>
      <c r="V14324" s="5"/>
    </row>
    <row r="14325">
      <c r="N14325" s="1"/>
      <c r="V14325" s="5"/>
    </row>
    <row r="14326">
      <c r="N14326" s="1"/>
      <c r="V14326" s="5"/>
    </row>
    <row r="14327">
      <c r="N14327" s="1"/>
      <c r="V14327" s="5"/>
    </row>
    <row r="14328">
      <c r="N14328" s="1"/>
      <c r="V14328" s="5"/>
    </row>
    <row r="14329">
      <c r="N14329" s="1"/>
      <c r="V14329" s="5"/>
    </row>
    <row r="14330">
      <c r="N14330" s="1"/>
      <c r="V14330" s="5"/>
    </row>
    <row r="14331">
      <c r="N14331" s="1"/>
      <c r="V14331" s="5"/>
    </row>
    <row r="14332">
      <c r="N14332" s="1"/>
      <c r="V14332" s="5"/>
    </row>
    <row r="14333">
      <c r="N14333" s="1"/>
      <c r="V14333" s="5"/>
    </row>
    <row r="14334">
      <c r="N14334" s="1"/>
      <c r="V14334" s="5"/>
    </row>
    <row r="14335">
      <c r="N14335" s="1"/>
      <c r="V14335" s="5"/>
    </row>
    <row r="14336">
      <c r="N14336" s="1"/>
      <c r="V14336" s="5"/>
    </row>
    <row r="14337">
      <c r="N14337" s="1"/>
      <c r="V14337" s="5"/>
    </row>
    <row r="14338">
      <c r="N14338" s="1"/>
      <c r="V14338" s="5"/>
    </row>
    <row r="14339">
      <c r="N14339" s="1"/>
      <c r="V14339" s="5"/>
    </row>
    <row r="14340">
      <c r="N14340" s="1"/>
      <c r="V14340" s="5"/>
    </row>
    <row r="14341">
      <c r="N14341" s="1"/>
      <c r="V14341" s="5"/>
    </row>
    <row r="14342">
      <c r="N14342" s="1"/>
      <c r="V14342" s="5"/>
    </row>
    <row r="14343">
      <c r="N14343" s="1"/>
      <c r="V14343" s="5"/>
    </row>
    <row r="14344">
      <c r="N14344" s="1"/>
      <c r="V14344" s="5"/>
    </row>
    <row r="14345">
      <c r="N14345" s="1"/>
      <c r="V14345" s="5"/>
    </row>
    <row r="14346">
      <c r="N14346" s="1"/>
      <c r="V14346" s="5"/>
    </row>
    <row r="14347">
      <c r="N14347" s="1"/>
      <c r="V14347" s="5"/>
    </row>
    <row r="14348">
      <c r="N14348" s="1"/>
      <c r="V14348" s="5"/>
    </row>
    <row r="14349">
      <c r="N14349" s="1"/>
      <c r="V14349" s="5"/>
    </row>
    <row r="14350">
      <c r="N14350" s="1"/>
      <c r="V14350" s="5"/>
    </row>
    <row r="14351">
      <c r="N14351" s="1"/>
      <c r="V14351" s="5"/>
    </row>
    <row r="14352">
      <c r="N14352" s="1"/>
      <c r="V14352" s="5"/>
    </row>
    <row r="14353">
      <c r="N14353" s="1"/>
      <c r="V14353" s="5"/>
    </row>
    <row r="14354">
      <c r="N14354" s="1"/>
      <c r="V14354" s="5"/>
    </row>
    <row r="14355">
      <c r="N14355" s="1"/>
      <c r="V14355" s="5"/>
    </row>
    <row r="14356">
      <c r="N14356" s="1"/>
      <c r="V14356" s="5"/>
    </row>
    <row r="14357">
      <c r="N14357" s="1"/>
      <c r="V14357" s="5"/>
    </row>
    <row r="14358">
      <c r="N14358" s="1"/>
      <c r="V14358" s="5"/>
    </row>
    <row r="14359">
      <c r="N14359" s="1"/>
      <c r="V14359" s="5"/>
    </row>
    <row r="14360">
      <c r="N14360" s="1"/>
      <c r="V14360" s="5"/>
    </row>
    <row r="14361">
      <c r="N14361" s="1"/>
      <c r="V14361" s="5"/>
    </row>
    <row r="14362">
      <c r="N14362" s="1"/>
      <c r="V14362" s="5"/>
    </row>
    <row r="14363">
      <c r="N14363" s="1"/>
      <c r="V14363" s="5"/>
    </row>
    <row r="14364">
      <c r="N14364" s="1"/>
      <c r="V14364" s="5"/>
    </row>
    <row r="14365">
      <c r="N14365" s="1"/>
      <c r="V14365" s="5"/>
    </row>
    <row r="14366">
      <c r="N14366" s="1"/>
      <c r="V14366" s="5"/>
    </row>
    <row r="14367">
      <c r="N14367" s="1"/>
      <c r="V14367" s="5"/>
    </row>
    <row r="14368">
      <c r="N14368" s="1"/>
      <c r="V14368" s="5"/>
    </row>
    <row r="14369">
      <c r="N14369" s="1"/>
      <c r="V14369" s="5"/>
    </row>
    <row r="14370">
      <c r="N14370" s="1"/>
      <c r="V14370" s="5"/>
    </row>
    <row r="14371">
      <c r="N14371" s="1"/>
      <c r="V14371" s="5"/>
    </row>
    <row r="14372">
      <c r="N14372" s="1"/>
      <c r="V14372" s="5"/>
    </row>
    <row r="14373">
      <c r="N14373" s="1"/>
      <c r="V14373" s="5"/>
    </row>
    <row r="14374">
      <c r="N14374" s="1"/>
      <c r="V14374" s="5"/>
    </row>
    <row r="14375">
      <c r="N14375" s="1"/>
      <c r="V14375" s="5"/>
    </row>
    <row r="14376">
      <c r="N14376" s="1"/>
      <c r="V14376" s="5"/>
    </row>
    <row r="14377">
      <c r="N14377" s="1"/>
      <c r="V14377" s="5"/>
    </row>
    <row r="14378">
      <c r="N14378" s="1"/>
      <c r="V14378" s="5"/>
    </row>
    <row r="14379">
      <c r="N14379" s="1"/>
      <c r="V14379" s="5"/>
    </row>
    <row r="14380">
      <c r="N14380" s="1"/>
      <c r="V14380" s="5"/>
    </row>
    <row r="14381">
      <c r="N14381" s="1"/>
      <c r="V14381" s="5"/>
    </row>
    <row r="14382">
      <c r="N14382" s="1"/>
      <c r="V14382" s="5"/>
    </row>
    <row r="14383">
      <c r="N14383" s="1"/>
      <c r="V14383" s="5"/>
    </row>
    <row r="14384">
      <c r="N14384" s="1"/>
      <c r="V14384" s="5"/>
    </row>
    <row r="14385">
      <c r="N14385" s="1"/>
      <c r="V14385" s="5"/>
    </row>
    <row r="14386">
      <c r="N14386" s="1"/>
      <c r="V14386" s="5"/>
    </row>
    <row r="14387">
      <c r="N14387" s="1"/>
      <c r="V14387" s="5"/>
    </row>
    <row r="14388">
      <c r="N14388" s="1"/>
      <c r="V14388" s="5"/>
    </row>
    <row r="14389">
      <c r="N14389" s="1"/>
      <c r="V14389" s="5"/>
    </row>
    <row r="14390">
      <c r="N14390" s="1"/>
      <c r="V14390" s="5"/>
    </row>
    <row r="14391">
      <c r="N14391" s="1"/>
      <c r="V14391" s="5"/>
    </row>
    <row r="14392">
      <c r="N14392" s="1"/>
      <c r="V14392" s="5"/>
    </row>
    <row r="14393">
      <c r="N14393" s="1"/>
      <c r="V14393" s="5"/>
    </row>
    <row r="14394">
      <c r="N14394" s="1"/>
      <c r="V14394" s="5"/>
    </row>
    <row r="14395">
      <c r="N14395" s="1"/>
      <c r="V14395" s="5"/>
    </row>
    <row r="14396">
      <c r="N14396" s="1"/>
      <c r="V14396" s="5"/>
    </row>
    <row r="14397">
      <c r="N14397" s="1"/>
      <c r="V14397" s="5"/>
    </row>
    <row r="14398">
      <c r="N14398" s="1"/>
      <c r="V14398" s="5"/>
    </row>
    <row r="14399">
      <c r="N14399" s="1"/>
      <c r="V14399" s="5"/>
    </row>
    <row r="14400">
      <c r="N14400" s="1"/>
      <c r="V14400" s="5"/>
    </row>
    <row r="14401">
      <c r="N14401" s="1"/>
      <c r="V14401" s="5"/>
    </row>
    <row r="14402">
      <c r="N14402" s="1"/>
      <c r="V14402" s="5"/>
    </row>
    <row r="14403">
      <c r="N14403" s="1"/>
      <c r="V14403" s="5"/>
    </row>
    <row r="14404">
      <c r="N14404" s="1"/>
      <c r="V14404" s="5"/>
    </row>
    <row r="14405">
      <c r="N14405" s="1"/>
      <c r="V14405" s="5"/>
    </row>
    <row r="14406">
      <c r="N14406" s="1"/>
      <c r="V14406" s="5"/>
    </row>
    <row r="14407">
      <c r="N14407" s="1"/>
      <c r="V14407" s="5"/>
    </row>
    <row r="14408">
      <c r="N14408" s="1"/>
      <c r="V14408" s="5"/>
    </row>
    <row r="14409">
      <c r="N14409" s="1"/>
      <c r="V14409" s="5"/>
    </row>
    <row r="14410">
      <c r="N14410" s="1"/>
      <c r="V14410" s="5"/>
    </row>
    <row r="14411">
      <c r="N14411" s="1"/>
      <c r="V14411" s="5"/>
    </row>
    <row r="14412">
      <c r="N14412" s="1"/>
      <c r="V14412" s="5"/>
    </row>
    <row r="14413">
      <c r="N14413" s="1"/>
      <c r="V14413" s="5"/>
    </row>
    <row r="14414">
      <c r="N14414" s="1"/>
      <c r="V14414" s="5"/>
    </row>
    <row r="14415">
      <c r="N14415" s="1"/>
      <c r="V14415" s="5"/>
    </row>
    <row r="14416">
      <c r="N14416" s="1"/>
      <c r="V14416" s="5"/>
    </row>
    <row r="14417">
      <c r="N14417" s="1"/>
      <c r="V14417" s="5"/>
    </row>
    <row r="14418">
      <c r="N14418" s="1"/>
      <c r="V14418" s="5"/>
    </row>
    <row r="14419">
      <c r="N14419" s="1"/>
      <c r="V14419" s="5"/>
    </row>
    <row r="14420">
      <c r="N14420" s="1"/>
      <c r="V14420" s="5"/>
    </row>
    <row r="14421">
      <c r="N14421" s="1"/>
      <c r="V14421" s="5"/>
    </row>
    <row r="14422">
      <c r="N14422" s="1"/>
      <c r="V14422" s="5"/>
    </row>
    <row r="14423">
      <c r="N14423" s="1"/>
      <c r="V14423" s="5"/>
    </row>
    <row r="14424">
      <c r="N14424" s="1"/>
      <c r="V14424" s="5"/>
    </row>
    <row r="14425">
      <c r="N14425" s="1"/>
      <c r="V14425" s="5"/>
    </row>
    <row r="14426">
      <c r="N14426" s="1"/>
      <c r="V14426" s="5"/>
    </row>
    <row r="14427">
      <c r="N14427" s="1"/>
      <c r="V14427" s="5"/>
    </row>
    <row r="14428">
      <c r="N14428" s="1"/>
      <c r="V14428" s="5"/>
    </row>
    <row r="14429">
      <c r="N14429" s="1"/>
      <c r="V14429" s="5"/>
    </row>
    <row r="14430">
      <c r="N14430" s="1"/>
      <c r="V14430" s="5"/>
    </row>
    <row r="14431">
      <c r="N14431" s="1"/>
      <c r="V14431" s="5"/>
    </row>
    <row r="14432">
      <c r="N14432" s="1"/>
      <c r="V14432" s="5"/>
    </row>
    <row r="14433">
      <c r="N14433" s="1"/>
      <c r="V14433" s="5"/>
    </row>
    <row r="14434">
      <c r="N14434" s="1"/>
      <c r="V14434" s="5"/>
    </row>
    <row r="14435">
      <c r="N14435" s="1"/>
      <c r="V14435" s="5"/>
    </row>
    <row r="14436">
      <c r="N14436" s="1"/>
      <c r="V14436" s="5"/>
    </row>
    <row r="14437">
      <c r="N14437" s="1"/>
      <c r="V14437" s="5"/>
    </row>
    <row r="14438">
      <c r="N14438" s="1"/>
      <c r="V14438" s="5"/>
    </row>
    <row r="14439">
      <c r="N14439" s="1"/>
      <c r="V14439" s="5"/>
    </row>
    <row r="14440">
      <c r="N14440" s="1"/>
      <c r="V14440" s="5"/>
    </row>
    <row r="14441">
      <c r="N14441" s="1"/>
      <c r="V14441" s="5"/>
    </row>
    <row r="14442">
      <c r="N14442" s="1"/>
      <c r="V14442" s="5"/>
    </row>
    <row r="14443">
      <c r="N14443" s="1"/>
      <c r="V14443" s="5"/>
    </row>
    <row r="14444">
      <c r="N14444" s="1"/>
      <c r="V14444" s="5"/>
    </row>
    <row r="14445">
      <c r="N14445" s="1"/>
      <c r="V14445" s="5"/>
    </row>
    <row r="14446">
      <c r="N14446" s="1"/>
      <c r="V14446" s="5"/>
    </row>
    <row r="14447">
      <c r="N14447" s="1"/>
      <c r="V14447" s="5"/>
    </row>
    <row r="14448">
      <c r="N14448" s="1"/>
      <c r="V14448" s="5"/>
    </row>
    <row r="14449">
      <c r="N14449" s="1"/>
      <c r="V14449" s="5"/>
    </row>
    <row r="14450">
      <c r="N14450" s="1"/>
      <c r="V14450" s="5"/>
    </row>
    <row r="14451">
      <c r="N14451" s="1"/>
      <c r="V14451" s="5"/>
    </row>
    <row r="14452">
      <c r="N14452" s="1"/>
      <c r="V14452" s="5"/>
    </row>
    <row r="14453">
      <c r="N14453" s="1"/>
      <c r="V14453" s="5"/>
    </row>
    <row r="14454">
      <c r="N14454" s="1"/>
      <c r="V14454" s="5"/>
    </row>
    <row r="14455">
      <c r="N14455" s="1"/>
      <c r="V14455" s="5"/>
    </row>
    <row r="14456">
      <c r="N14456" s="1"/>
      <c r="V14456" s="5"/>
    </row>
    <row r="14457">
      <c r="N14457" s="1"/>
      <c r="V14457" s="5"/>
    </row>
    <row r="14458">
      <c r="N14458" s="1"/>
      <c r="V14458" s="5"/>
    </row>
    <row r="14459">
      <c r="N14459" s="1"/>
      <c r="V14459" s="5"/>
    </row>
    <row r="14460">
      <c r="N14460" s="1"/>
      <c r="V14460" s="5"/>
    </row>
    <row r="14461">
      <c r="N14461" s="1"/>
      <c r="V14461" s="5"/>
    </row>
    <row r="14462">
      <c r="N14462" s="1"/>
      <c r="V14462" s="5"/>
    </row>
    <row r="14463">
      <c r="N14463" s="1"/>
      <c r="V14463" s="5"/>
    </row>
    <row r="14464">
      <c r="N14464" s="1"/>
      <c r="V14464" s="5"/>
    </row>
    <row r="14465">
      <c r="N14465" s="1"/>
      <c r="V14465" s="5"/>
    </row>
    <row r="14466">
      <c r="N14466" s="1"/>
      <c r="V14466" s="5"/>
    </row>
    <row r="14467">
      <c r="N14467" s="1"/>
      <c r="V14467" s="5"/>
    </row>
    <row r="14468">
      <c r="N14468" s="1"/>
      <c r="V14468" s="5"/>
    </row>
    <row r="14469">
      <c r="N14469" s="1"/>
      <c r="V14469" s="5"/>
    </row>
    <row r="14470">
      <c r="N14470" s="1"/>
      <c r="V14470" s="5"/>
    </row>
    <row r="14471">
      <c r="N14471" s="1"/>
      <c r="V14471" s="5"/>
    </row>
    <row r="14472">
      <c r="N14472" s="1"/>
      <c r="V14472" s="5"/>
    </row>
    <row r="14473">
      <c r="N14473" s="1"/>
      <c r="V14473" s="5"/>
    </row>
    <row r="14474">
      <c r="N14474" s="1"/>
      <c r="V14474" s="5"/>
    </row>
    <row r="14475">
      <c r="N14475" s="1"/>
      <c r="V14475" s="5"/>
    </row>
    <row r="14476">
      <c r="N14476" s="1"/>
      <c r="V14476" s="5"/>
    </row>
    <row r="14477">
      <c r="N14477" s="1"/>
      <c r="V14477" s="5"/>
    </row>
    <row r="14478">
      <c r="N14478" s="1"/>
      <c r="V14478" s="5"/>
    </row>
    <row r="14479">
      <c r="N14479" s="1"/>
      <c r="V14479" s="5"/>
    </row>
    <row r="14480">
      <c r="N14480" s="1"/>
      <c r="V14480" s="5"/>
    </row>
    <row r="14481">
      <c r="N14481" s="1"/>
      <c r="V14481" s="5"/>
    </row>
    <row r="14482">
      <c r="N14482" s="1"/>
      <c r="V14482" s="5"/>
    </row>
    <row r="14483">
      <c r="N14483" s="1"/>
      <c r="V14483" s="5"/>
    </row>
    <row r="14484">
      <c r="N14484" s="1"/>
      <c r="V14484" s="5"/>
    </row>
    <row r="14485">
      <c r="N14485" s="1"/>
      <c r="V14485" s="5"/>
    </row>
    <row r="14486">
      <c r="N14486" s="1"/>
      <c r="V14486" s="5"/>
    </row>
    <row r="14487">
      <c r="N14487" s="1"/>
      <c r="V14487" s="5"/>
    </row>
    <row r="14488">
      <c r="N14488" s="1"/>
      <c r="V14488" s="5"/>
    </row>
    <row r="14489">
      <c r="N14489" s="1"/>
      <c r="V14489" s="5"/>
    </row>
    <row r="14490">
      <c r="N14490" s="1"/>
      <c r="V14490" s="5"/>
    </row>
    <row r="14491">
      <c r="N14491" s="1"/>
      <c r="V14491" s="5"/>
    </row>
    <row r="14492">
      <c r="N14492" s="1"/>
      <c r="V14492" s="5"/>
    </row>
    <row r="14493">
      <c r="N14493" s="1"/>
      <c r="V14493" s="5"/>
    </row>
    <row r="14494">
      <c r="N14494" s="1"/>
      <c r="V14494" s="5"/>
    </row>
    <row r="14495">
      <c r="N14495" s="1"/>
      <c r="V14495" s="5"/>
    </row>
    <row r="14496">
      <c r="N14496" s="1"/>
      <c r="V14496" s="5"/>
    </row>
    <row r="14497">
      <c r="N14497" s="1"/>
      <c r="V14497" s="5"/>
    </row>
    <row r="14498">
      <c r="N14498" s="1"/>
      <c r="V14498" s="5"/>
    </row>
    <row r="14499">
      <c r="N14499" s="1"/>
      <c r="V14499" s="5"/>
    </row>
    <row r="14500">
      <c r="N14500" s="1"/>
      <c r="V14500" s="5"/>
    </row>
    <row r="14501">
      <c r="N14501" s="1"/>
      <c r="V14501" s="5"/>
    </row>
    <row r="14502">
      <c r="N14502" s="1"/>
      <c r="V14502" s="5"/>
    </row>
    <row r="14503">
      <c r="N14503" s="1"/>
      <c r="V14503" s="5"/>
    </row>
    <row r="14504">
      <c r="N14504" s="1"/>
      <c r="V14504" s="5"/>
    </row>
    <row r="14505">
      <c r="N14505" s="1"/>
      <c r="V14505" s="5"/>
    </row>
    <row r="14506">
      <c r="N14506" s="1"/>
      <c r="V14506" s="5"/>
    </row>
    <row r="14507">
      <c r="N14507" s="1"/>
      <c r="V14507" s="5"/>
    </row>
    <row r="14508">
      <c r="N14508" s="1"/>
      <c r="V14508" s="5"/>
    </row>
    <row r="14509">
      <c r="N14509" s="1"/>
      <c r="V14509" s="5"/>
    </row>
    <row r="14510">
      <c r="N14510" s="1"/>
      <c r="V14510" s="5"/>
    </row>
    <row r="14511">
      <c r="N14511" s="1"/>
      <c r="V14511" s="5"/>
    </row>
    <row r="14512">
      <c r="N14512" s="1"/>
      <c r="V14512" s="5"/>
    </row>
    <row r="14513">
      <c r="N14513" s="1"/>
      <c r="V14513" s="5"/>
    </row>
    <row r="14514">
      <c r="N14514" s="1"/>
      <c r="V14514" s="5"/>
    </row>
    <row r="14515">
      <c r="N14515" s="1"/>
      <c r="V14515" s="5"/>
    </row>
    <row r="14516">
      <c r="N14516" s="1"/>
      <c r="V14516" s="5"/>
    </row>
    <row r="14517">
      <c r="N14517" s="1"/>
      <c r="V14517" s="5"/>
    </row>
    <row r="14518">
      <c r="N14518" s="1"/>
      <c r="V14518" s="5"/>
    </row>
    <row r="14519">
      <c r="N14519" s="1"/>
      <c r="V14519" s="5"/>
    </row>
    <row r="14520">
      <c r="N14520" s="1"/>
      <c r="V14520" s="5"/>
    </row>
    <row r="14521">
      <c r="N14521" s="1"/>
      <c r="V14521" s="5"/>
    </row>
    <row r="14522">
      <c r="N14522" s="1"/>
      <c r="V14522" s="5"/>
    </row>
    <row r="14523">
      <c r="N14523" s="1"/>
      <c r="V14523" s="5"/>
    </row>
    <row r="14524">
      <c r="N14524" s="1"/>
      <c r="V14524" s="5"/>
    </row>
    <row r="14525">
      <c r="N14525" s="1"/>
      <c r="V14525" s="5"/>
    </row>
    <row r="14526">
      <c r="N14526" s="1"/>
      <c r="V14526" s="5"/>
    </row>
    <row r="14527">
      <c r="N14527" s="1"/>
      <c r="V14527" s="5"/>
    </row>
    <row r="14528">
      <c r="N14528" s="1"/>
      <c r="V14528" s="5"/>
    </row>
    <row r="14529">
      <c r="N14529" s="1"/>
      <c r="V14529" s="5"/>
    </row>
    <row r="14530">
      <c r="N14530" s="1"/>
      <c r="V14530" s="5"/>
    </row>
    <row r="14531">
      <c r="N14531" s="1"/>
      <c r="V14531" s="5"/>
    </row>
    <row r="14532">
      <c r="N14532" s="1"/>
      <c r="V14532" s="5"/>
    </row>
    <row r="14533">
      <c r="N14533" s="1"/>
      <c r="V14533" s="5"/>
    </row>
    <row r="14534">
      <c r="N14534" s="1"/>
      <c r="V14534" s="5"/>
    </row>
    <row r="14535">
      <c r="N14535" s="1"/>
      <c r="V14535" s="5"/>
    </row>
    <row r="14536">
      <c r="N14536" s="1"/>
      <c r="V14536" s="5"/>
    </row>
    <row r="14537">
      <c r="N14537" s="1"/>
      <c r="V14537" s="5"/>
    </row>
    <row r="14538">
      <c r="N14538" s="1"/>
      <c r="V14538" s="5"/>
    </row>
    <row r="14539">
      <c r="N14539" s="1"/>
      <c r="V14539" s="5"/>
    </row>
    <row r="14540">
      <c r="N14540" s="1"/>
      <c r="V14540" s="5"/>
    </row>
    <row r="14541">
      <c r="N14541" s="1"/>
      <c r="V14541" s="5"/>
    </row>
    <row r="14542">
      <c r="N14542" s="1"/>
      <c r="V14542" s="5"/>
    </row>
    <row r="14543">
      <c r="N14543" s="1"/>
      <c r="V14543" s="5"/>
    </row>
    <row r="14544">
      <c r="N14544" s="1"/>
      <c r="V14544" s="5"/>
    </row>
    <row r="14545">
      <c r="N14545" s="1"/>
      <c r="V14545" s="5"/>
    </row>
    <row r="14546">
      <c r="N14546" s="1"/>
      <c r="V14546" s="5"/>
    </row>
    <row r="14547">
      <c r="N14547" s="1"/>
      <c r="V14547" s="5"/>
    </row>
    <row r="14548">
      <c r="N14548" s="1"/>
      <c r="V14548" s="5"/>
    </row>
    <row r="14549">
      <c r="N14549" s="1"/>
      <c r="V14549" s="5"/>
    </row>
    <row r="14550">
      <c r="N14550" s="1"/>
      <c r="V14550" s="5"/>
    </row>
    <row r="14551">
      <c r="N14551" s="1"/>
      <c r="V14551" s="5"/>
    </row>
    <row r="14552">
      <c r="N14552" s="1"/>
      <c r="V14552" s="5"/>
    </row>
    <row r="14553">
      <c r="N14553" s="1"/>
      <c r="V14553" s="5"/>
    </row>
    <row r="14554">
      <c r="N14554" s="1"/>
      <c r="V14554" s="5"/>
    </row>
    <row r="14555">
      <c r="N14555" s="1"/>
      <c r="V14555" s="5"/>
    </row>
    <row r="14556">
      <c r="N14556" s="1"/>
      <c r="V14556" s="5"/>
    </row>
    <row r="14557">
      <c r="N14557" s="1"/>
      <c r="V14557" s="5"/>
    </row>
    <row r="14558">
      <c r="N14558" s="1"/>
      <c r="V14558" s="5"/>
    </row>
    <row r="14559">
      <c r="N14559" s="1"/>
      <c r="V14559" s="5"/>
    </row>
    <row r="14560">
      <c r="N14560" s="1"/>
      <c r="V14560" s="5"/>
    </row>
    <row r="14561">
      <c r="N14561" s="1"/>
      <c r="V14561" s="5"/>
    </row>
    <row r="14562">
      <c r="N14562" s="1"/>
      <c r="V14562" s="5"/>
    </row>
    <row r="14563">
      <c r="N14563" s="1"/>
      <c r="V14563" s="5"/>
    </row>
    <row r="14564">
      <c r="N14564" s="1"/>
      <c r="V14564" s="5"/>
    </row>
    <row r="14565">
      <c r="N14565" s="1"/>
      <c r="V14565" s="5"/>
    </row>
    <row r="14566">
      <c r="N14566" s="1"/>
      <c r="V14566" s="5"/>
    </row>
    <row r="14567">
      <c r="N14567" s="1"/>
      <c r="V14567" s="5"/>
    </row>
    <row r="14568">
      <c r="N14568" s="1"/>
      <c r="V14568" s="5"/>
    </row>
    <row r="14569">
      <c r="N14569" s="1"/>
      <c r="V14569" s="5"/>
    </row>
    <row r="14570">
      <c r="N14570" s="1"/>
      <c r="V14570" s="5"/>
    </row>
    <row r="14571">
      <c r="N14571" s="1"/>
      <c r="V14571" s="5"/>
    </row>
    <row r="14572">
      <c r="N14572" s="1"/>
      <c r="V14572" s="5"/>
    </row>
    <row r="14573">
      <c r="N14573" s="1"/>
      <c r="V14573" s="5"/>
    </row>
    <row r="14574">
      <c r="N14574" s="1"/>
      <c r="V14574" s="5"/>
    </row>
    <row r="14575">
      <c r="N14575" s="1"/>
      <c r="V14575" s="5"/>
    </row>
    <row r="14576">
      <c r="N14576" s="1"/>
      <c r="V14576" s="5"/>
    </row>
    <row r="14577">
      <c r="N14577" s="1"/>
      <c r="V14577" s="5"/>
    </row>
    <row r="14578">
      <c r="N14578" s="1"/>
      <c r="V14578" s="5"/>
    </row>
    <row r="14579">
      <c r="N14579" s="1"/>
      <c r="V14579" s="5"/>
    </row>
    <row r="14580">
      <c r="N14580" s="1"/>
      <c r="V14580" s="5"/>
    </row>
    <row r="14581">
      <c r="N14581" s="1"/>
      <c r="V14581" s="5"/>
    </row>
    <row r="14582">
      <c r="N14582" s="1"/>
      <c r="V14582" s="5"/>
    </row>
    <row r="14583">
      <c r="N14583" s="1"/>
      <c r="V14583" s="5"/>
    </row>
    <row r="14584">
      <c r="N14584" s="1"/>
      <c r="V14584" s="5"/>
    </row>
    <row r="14585">
      <c r="N14585" s="1"/>
      <c r="V14585" s="5"/>
    </row>
    <row r="14586">
      <c r="N14586" s="1"/>
      <c r="V14586" s="5"/>
    </row>
    <row r="14587">
      <c r="N14587" s="1"/>
      <c r="V14587" s="5"/>
    </row>
    <row r="14588">
      <c r="N14588" s="1"/>
      <c r="V14588" s="5"/>
    </row>
    <row r="14589">
      <c r="N14589" s="1"/>
      <c r="V14589" s="5"/>
    </row>
    <row r="14590">
      <c r="N14590" s="1"/>
      <c r="V14590" s="5"/>
    </row>
    <row r="14591">
      <c r="N14591" s="1"/>
      <c r="V14591" s="5"/>
    </row>
    <row r="14592">
      <c r="N14592" s="1"/>
      <c r="V14592" s="5"/>
    </row>
    <row r="14593">
      <c r="N14593" s="1"/>
      <c r="V14593" s="5"/>
    </row>
    <row r="14594">
      <c r="N14594" s="1"/>
      <c r="V14594" s="5"/>
    </row>
    <row r="14595">
      <c r="N14595" s="1"/>
      <c r="V14595" s="5"/>
    </row>
    <row r="14596">
      <c r="N14596" s="1"/>
      <c r="V14596" s="5"/>
    </row>
    <row r="14597">
      <c r="N14597" s="1"/>
      <c r="V14597" s="5"/>
    </row>
    <row r="14598">
      <c r="N14598" s="1"/>
      <c r="V14598" s="5"/>
    </row>
    <row r="14599">
      <c r="N14599" s="1"/>
      <c r="V14599" s="5"/>
    </row>
    <row r="14600">
      <c r="N14600" s="1"/>
      <c r="V14600" s="5"/>
    </row>
    <row r="14601">
      <c r="N14601" s="1"/>
      <c r="V14601" s="5"/>
    </row>
    <row r="14602">
      <c r="N14602" s="1"/>
      <c r="V14602" s="5"/>
    </row>
    <row r="14603">
      <c r="N14603" s="1"/>
      <c r="V14603" s="5"/>
    </row>
    <row r="14604">
      <c r="N14604" s="1"/>
      <c r="V14604" s="5"/>
    </row>
    <row r="14605">
      <c r="N14605" s="1"/>
      <c r="V14605" s="5"/>
    </row>
    <row r="14606">
      <c r="N14606" s="1"/>
      <c r="V14606" s="5"/>
    </row>
    <row r="14607">
      <c r="N14607" s="1"/>
      <c r="V14607" s="5"/>
    </row>
    <row r="14608">
      <c r="N14608" s="1"/>
      <c r="V14608" s="5"/>
    </row>
    <row r="14609">
      <c r="N14609" s="1"/>
      <c r="V14609" s="5"/>
    </row>
    <row r="14610">
      <c r="N14610" s="1"/>
      <c r="V14610" s="5"/>
    </row>
    <row r="14611">
      <c r="N14611" s="1"/>
      <c r="V14611" s="5"/>
    </row>
    <row r="14612">
      <c r="N14612" s="1"/>
      <c r="V14612" s="5"/>
    </row>
    <row r="14613">
      <c r="N14613" s="1"/>
      <c r="V14613" s="5"/>
    </row>
    <row r="14614">
      <c r="N14614" s="1"/>
      <c r="V14614" s="5"/>
    </row>
    <row r="14615">
      <c r="N14615" s="1"/>
      <c r="V14615" s="5"/>
    </row>
    <row r="14616">
      <c r="N14616" s="1"/>
      <c r="V14616" s="5"/>
    </row>
    <row r="14617">
      <c r="N14617" s="1"/>
      <c r="V14617" s="5"/>
    </row>
    <row r="14618">
      <c r="N14618" s="1"/>
      <c r="V14618" s="5"/>
    </row>
    <row r="14619">
      <c r="N14619" s="1"/>
      <c r="V14619" s="5"/>
    </row>
    <row r="14620">
      <c r="N14620" s="1"/>
      <c r="V14620" s="5"/>
    </row>
    <row r="14621">
      <c r="N14621" s="1"/>
      <c r="V14621" s="5"/>
    </row>
    <row r="14622">
      <c r="N14622" s="1"/>
      <c r="V14622" s="5"/>
    </row>
    <row r="14623">
      <c r="N14623" s="1"/>
      <c r="V14623" s="5"/>
    </row>
    <row r="14624">
      <c r="N14624" s="1"/>
      <c r="V14624" s="5"/>
    </row>
    <row r="14625">
      <c r="N14625" s="1"/>
      <c r="V14625" s="5"/>
    </row>
    <row r="14626">
      <c r="N14626" s="1"/>
      <c r="V14626" s="5"/>
    </row>
    <row r="14627">
      <c r="N14627" s="1"/>
      <c r="V14627" s="5"/>
    </row>
    <row r="14628">
      <c r="N14628" s="1"/>
      <c r="V14628" s="5"/>
    </row>
    <row r="14629">
      <c r="N14629" s="1"/>
      <c r="V14629" s="5"/>
    </row>
    <row r="14630">
      <c r="N14630" s="1"/>
      <c r="V14630" s="5"/>
    </row>
    <row r="14631">
      <c r="N14631" s="1"/>
      <c r="V14631" s="5"/>
    </row>
    <row r="14632">
      <c r="N14632" s="1"/>
      <c r="V14632" s="5"/>
    </row>
    <row r="14633">
      <c r="N14633" s="1"/>
      <c r="V14633" s="5"/>
    </row>
    <row r="14634">
      <c r="N14634" s="1"/>
      <c r="V14634" s="5"/>
    </row>
    <row r="14635">
      <c r="N14635" s="1"/>
      <c r="V14635" s="5"/>
    </row>
    <row r="14636">
      <c r="N14636" s="1"/>
      <c r="V14636" s="5"/>
    </row>
    <row r="14637">
      <c r="N14637" s="1"/>
      <c r="V14637" s="5"/>
    </row>
    <row r="14638">
      <c r="N14638" s="1"/>
      <c r="V14638" s="5"/>
    </row>
    <row r="14639">
      <c r="N14639" s="1"/>
      <c r="V14639" s="5"/>
    </row>
    <row r="14640">
      <c r="N14640" s="1"/>
      <c r="V14640" s="5"/>
    </row>
    <row r="14641">
      <c r="N14641" s="1"/>
      <c r="V14641" s="5"/>
    </row>
    <row r="14642">
      <c r="N14642" s="1"/>
      <c r="V14642" s="5"/>
    </row>
    <row r="14643">
      <c r="N14643" s="1"/>
      <c r="V14643" s="5"/>
    </row>
    <row r="14644">
      <c r="N14644" s="1"/>
      <c r="V14644" s="5"/>
    </row>
    <row r="14645">
      <c r="N14645" s="1"/>
      <c r="V14645" s="5"/>
    </row>
    <row r="14646">
      <c r="N14646" s="1"/>
      <c r="V14646" s="5"/>
    </row>
    <row r="14647">
      <c r="N14647" s="1"/>
      <c r="V14647" s="5"/>
    </row>
    <row r="14648">
      <c r="N14648" s="1"/>
      <c r="V14648" s="5"/>
    </row>
    <row r="14649">
      <c r="N14649" s="1"/>
      <c r="V14649" s="5"/>
    </row>
    <row r="14650">
      <c r="N14650" s="1"/>
      <c r="V14650" s="5"/>
    </row>
    <row r="14651">
      <c r="N14651" s="1"/>
      <c r="V14651" s="5"/>
    </row>
    <row r="14652">
      <c r="N14652" s="1"/>
      <c r="V14652" s="5"/>
    </row>
    <row r="14653">
      <c r="N14653" s="1"/>
      <c r="V14653" s="5"/>
    </row>
    <row r="14654">
      <c r="N14654" s="1"/>
      <c r="V14654" s="5"/>
    </row>
    <row r="14655">
      <c r="N14655" s="1"/>
      <c r="V14655" s="5"/>
    </row>
    <row r="14656">
      <c r="N14656" s="1"/>
      <c r="V14656" s="5"/>
    </row>
    <row r="14657">
      <c r="N14657" s="1"/>
      <c r="V14657" s="5"/>
    </row>
    <row r="14658">
      <c r="N14658" s="1"/>
      <c r="V14658" s="5"/>
    </row>
    <row r="14659">
      <c r="N14659" s="1"/>
      <c r="V14659" s="5"/>
    </row>
    <row r="14660">
      <c r="N14660" s="1"/>
      <c r="V14660" s="5"/>
    </row>
    <row r="14661">
      <c r="N14661" s="1"/>
      <c r="V14661" s="5"/>
    </row>
    <row r="14662">
      <c r="N14662" s="1"/>
      <c r="V14662" s="5"/>
    </row>
    <row r="14663">
      <c r="N14663" s="1"/>
      <c r="V14663" s="5"/>
    </row>
    <row r="14664">
      <c r="N14664" s="1"/>
      <c r="V14664" s="5"/>
    </row>
    <row r="14665">
      <c r="N14665" s="1"/>
      <c r="V14665" s="5"/>
    </row>
    <row r="14666">
      <c r="N14666" s="1"/>
      <c r="V14666" s="5"/>
    </row>
    <row r="14667">
      <c r="N14667" s="1"/>
      <c r="V14667" s="5"/>
    </row>
    <row r="14668">
      <c r="N14668" s="1"/>
      <c r="V14668" s="5"/>
    </row>
    <row r="14669">
      <c r="N14669" s="1"/>
      <c r="V14669" s="5"/>
    </row>
    <row r="14670">
      <c r="N14670" s="1"/>
      <c r="V14670" s="5"/>
    </row>
    <row r="14671">
      <c r="N14671" s="1"/>
      <c r="V14671" s="5"/>
    </row>
    <row r="14672">
      <c r="N14672" s="1"/>
      <c r="V14672" s="5"/>
    </row>
    <row r="14673">
      <c r="N14673" s="1"/>
      <c r="V14673" s="5"/>
    </row>
    <row r="14674">
      <c r="N14674" s="1"/>
      <c r="V14674" s="5"/>
    </row>
    <row r="14675">
      <c r="N14675" s="1"/>
      <c r="V14675" s="5"/>
    </row>
    <row r="14676">
      <c r="N14676" s="1"/>
      <c r="V14676" s="5"/>
    </row>
    <row r="14677">
      <c r="N14677" s="1"/>
      <c r="V14677" s="5"/>
    </row>
    <row r="14678">
      <c r="N14678" s="1"/>
      <c r="V14678" s="5"/>
    </row>
    <row r="14679">
      <c r="N14679" s="1"/>
      <c r="V14679" s="5"/>
    </row>
    <row r="14680">
      <c r="N14680" s="1"/>
      <c r="V14680" s="5"/>
    </row>
    <row r="14681">
      <c r="N14681" s="1"/>
      <c r="V14681" s="5"/>
    </row>
    <row r="14682">
      <c r="N14682" s="1"/>
      <c r="V14682" s="5"/>
    </row>
    <row r="14683">
      <c r="N14683" s="1"/>
      <c r="V14683" s="5"/>
    </row>
    <row r="14684">
      <c r="N14684" s="1"/>
      <c r="V14684" s="5"/>
    </row>
    <row r="14685">
      <c r="N14685" s="1"/>
      <c r="V14685" s="5"/>
    </row>
    <row r="14686">
      <c r="N14686" s="1"/>
      <c r="V14686" s="5"/>
    </row>
    <row r="14687">
      <c r="N14687" s="1"/>
      <c r="V14687" s="5"/>
    </row>
    <row r="14688">
      <c r="N14688" s="1"/>
      <c r="V14688" s="5"/>
    </row>
    <row r="14689">
      <c r="N14689" s="1"/>
      <c r="V14689" s="5"/>
    </row>
    <row r="14690">
      <c r="N14690" s="1"/>
      <c r="V14690" s="5"/>
    </row>
    <row r="14691">
      <c r="N14691" s="1"/>
      <c r="V14691" s="5"/>
    </row>
    <row r="14692">
      <c r="N14692" s="1"/>
      <c r="V14692" s="5"/>
    </row>
    <row r="14693">
      <c r="N14693" s="1"/>
      <c r="V14693" s="5"/>
    </row>
    <row r="14694">
      <c r="N14694" s="1"/>
      <c r="V14694" s="5"/>
    </row>
    <row r="14695">
      <c r="N14695" s="1"/>
      <c r="V14695" s="5"/>
    </row>
    <row r="14696">
      <c r="N14696" s="1"/>
      <c r="V14696" s="5"/>
    </row>
    <row r="14697">
      <c r="N14697" s="1"/>
      <c r="V14697" s="5"/>
    </row>
    <row r="14698">
      <c r="N14698" s="1"/>
      <c r="V14698" s="5"/>
    </row>
    <row r="14699">
      <c r="N14699" s="1"/>
      <c r="V14699" s="5"/>
    </row>
    <row r="14700">
      <c r="N14700" s="1"/>
      <c r="V14700" s="5"/>
    </row>
    <row r="14701">
      <c r="N14701" s="1"/>
      <c r="V14701" s="5"/>
    </row>
    <row r="14702">
      <c r="N14702" s="1"/>
      <c r="V14702" s="5"/>
    </row>
    <row r="14703">
      <c r="N14703" s="1"/>
      <c r="V14703" s="5"/>
    </row>
    <row r="14704">
      <c r="N14704" s="1"/>
      <c r="V14704" s="5"/>
    </row>
    <row r="14705">
      <c r="N14705" s="1"/>
      <c r="V14705" s="5"/>
    </row>
    <row r="14706">
      <c r="N14706" s="1"/>
      <c r="V14706" s="5"/>
    </row>
    <row r="14707">
      <c r="N14707" s="1"/>
      <c r="V14707" s="5"/>
    </row>
    <row r="14708">
      <c r="N14708" s="1"/>
      <c r="V14708" s="5"/>
    </row>
    <row r="14709">
      <c r="N14709" s="1"/>
      <c r="V14709" s="5"/>
    </row>
    <row r="14710">
      <c r="N14710" s="1"/>
      <c r="V14710" s="5"/>
    </row>
    <row r="14711">
      <c r="N14711" s="1"/>
      <c r="V14711" s="5"/>
    </row>
    <row r="14712">
      <c r="N14712" s="1"/>
      <c r="V14712" s="5"/>
    </row>
    <row r="14713">
      <c r="N14713" s="1"/>
      <c r="V14713" s="5"/>
    </row>
    <row r="14714">
      <c r="N14714" s="1"/>
      <c r="V14714" s="5"/>
    </row>
    <row r="14715">
      <c r="N14715" s="1"/>
      <c r="V14715" s="5"/>
    </row>
    <row r="14716">
      <c r="N14716" s="1"/>
      <c r="V14716" s="5"/>
    </row>
    <row r="14717">
      <c r="N14717" s="1"/>
      <c r="V14717" s="5"/>
    </row>
    <row r="14718">
      <c r="N14718" s="1"/>
      <c r="V14718" s="5"/>
    </row>
    <row r="14719">
      <c r="N14719" s="1"/>
      <c r="V14719" s="5"/>
    </row>
    <row r="14720">
      <c r="N14720" s="1"/>
      <c r="V14720" s="5"/>
    </row>
    <row r="14721">
      <c r="N14721" s="1"/>
      <c r="V14721" s="5"/>
    </row>
    <row r="14722">
      <c r="N14722" s="1"/>
      <c r="V14722" s="5"/>
    </row>
    <row r="14723">
      <c r="N14723" s="1"/>
      <c r="V14723" s="5"/>
    </row>
    <row r="14724">
      <c r="N14724" s="1"/>
      <c r="V14724" s="5"/>
    </row>
    <row r="14725">
      <c r="N14725" s="1"/>
      <c r="V14725" s="5"/>
    </row>
    <row r="14726">
      <c r="N14726" s="1"/>
      <c r="V14726" s="5"/>
    </row>
    <row r="14727">
      <c r="N14727" s="1"/>
      <c r="V14727" s="5"/>
    </row>
    <row r="14728">
      <c r="N14728" s="1"/>
      <c r="V14728" s="5"/>
    </row>
    <row r="14729">
      <c r="N14729" s="1"/>
      <c r="V14729" s="5"/>
    </row>
    <row r="14730">
      <c r="N14730" s="1"/>
      <c r="V14730" s="5"/>
    </row>
    <row r="14731">
      <c r="N14731" s="1"/>
      <c r="V14731" s="5"/>
    </row>
    <row r="14732">
      <c r="N14732" s="1"/>
      <c r="V14732" s="5"/>
    </row>
    <row r="14733">
      <c r="N14733" s="1"/>
      <c r="V14733" s="5"/>
    </row>
    <row r="14734">
      <c r="N14734" s="1"/>
      <c r="V14734" s="5"/>
    </row>
    <row r="14735">
      <c r="N14735" s="1"/>
      <c r="V14735" s="5"/>
    </row>
    <row r="14736">
      <c r="N14736" s="1"/>
      <c r="V14736" s="5"/>
    </row>
    <row r="14737">
      <c r="N14737" s="1"/>
      <c r="V14737" s="5"/>
    </row>
    <row r="14738">
      <c r="N14738" s="1"/>
      <c r="V14738" s="5"/>
    </row>
    <row r="14739">
      <c r="N14739" s="1"/>
      <c r="V14739" s="5"/>
    </row>
    <row r="14740">
      <c r="N14740" s="1"/>
      <c r="V14740" s="5"/>
    </row>
    <row r="14741">
      <c r="N14741" s="1"/>
      <c r="V14741" s="5"/>
    </row>
    <row r="14742">
      <c r="N14742" s="1"/>
      <c r="V14742" s="5"/>
    </row>
    <row r="14743">
      <c r="N14743" s="1"/>
      <c r="V14743" s="5"/>
    </row>
    <row r="14744">
      <c r="N14744" s="1"/>
      <c r="V14744" s="5"/>
    </row>
    <row r="14745">
      <c r="N14745" s="1"/>
      <c r="V14745" s="5"/>
    </row>
    <row r="14746">
      <c r="N14746" s="1"/>
      <c r="V14746" s="5"/>
    </row>
    <row r="14747">
      <c r="N14747" s="1"/>
      <c r="V14747" s="5"/>
    </row>
    <row r="14748">
      <c r="N14748" s="1"/>
      <c r="V14748" s="5"/>
    </row>
    <row r="14749">
      <c r="N14749" s="1"/>
      <c r="V14749" s="5"/>
    </row>
    <row r="14750">
      <c r="N14750" s="1"/>
      <c r="V14750" s="5"/>
    </row>
    <row r="14751">
      <c r="N14751" s="1"/>
      <c r="V14751" s="5"/>
    </row>
    <row r="14752">
      <c r="N14752" s="1"/>
      <c r="V14752" s="5"/>
    </row>
    <row r="14753">
      <c r="N14753" s="1"/>
      <c r="V14753" s="5"/>
    </row>
    <row r="14754">
      <c r="N14754" s="1"/>
      <c r="V14754" s="5"/>
    </row>
    <row r="14755">
      <c r="N14755" s="1"/>
      <c r="V14755" s="5"/>
    </row>
    <row r="14756">
      <c r="N14756" s="1"/>
      <c r="V14756" s="5"/>
    </row>
    <row r="14757">
      <c r="N14757" s="1"/>
      <c r="V14757" s="5"/>
    </row>
    <row r="14758">
      <c r="N14758" s="1"/>
      <c r="V14758" s="5"/>
    </row>
    <row r="14759">
      <c r="N14759" s="1"/>
      <c r="V14759" s="5"/>
    </row>
    <row r="14760">
      <c r="N14760" s="1"/>
      <c r="V14760" s="5"/>
    </row>
    <row r="14761">
      <c r="N14761" s="1"/>
      <c r="V14761" s="5"/>
    </row>
    <row r="14762">
      <c r="N14762" s="1"/>
      <c r="V14762" s="5"/>
    </row>
    <row r="14763">
      <c r="N14763" s="1"/>
      <c r="V14763" s="5"/>
    </row>
    <row r="14764">
      <c r="N14764" s="1"/>
      <c r="V14764" s="5"/>
    </row>
    <row r="14765">
      <c r="N14765" s="1"/>
      <c r="V14765" s="5"/>
    </row>
    <row r="14766">
      <c r="N14766" s="1"/>
      <c r="V14766" s="5"/>
    </row>
    <row r="14767">
      <c r="N14767" s="1"/>
      <c r="V14767" s="5"/>
    </row>
    <row r="14768">
      <c r="N14768" s="1"/>
      <c r="V14768" s="5"/>
    </row>
    <row r="14769">
      <c r="N14769" s="1"/>
      <c r="V14769" s="5"/>
    </row>
    <row r="14770">
      <c r="N14770" s="1"/>
      <c r="V14770" s="5"/>
    </row>
    <row r="14771">
      <c r="N14771" s="1"/>
      <c r="V14771" s="5"/>
    </row>
    <row r="14772">
      <c r="N14772" s="1"/>
      <c r="V14772" s="5"/>
    </row>
    <row r="14773">
      <c r="N14773" s="1"/>
      <c r="V14773" s="5"/>
    </row>
    <row r="14774">
      <c r="N14774" s="1"/>
      <c r="V14774" s="5"/>
    </row>
    <row r="14775">
      <c r="N14775" s="1"/>
      <c r="V14775" s="5"/>
    </row>
    <row r="14776">
      <c r="N14776" s="1"/>
      <c r="V14776" s="5"/>
    </row>
    <row r="14777">
      <c r="N14777" s="1"/>
      <c r="V14777" s="5"/>
    </row>
    <row r="14778">
      <c r="N14778" s="1"/>
      <c r="V14778" s="5"/>
    </row>
    <row r="14779">
      <c r="N14779" s="1"/>
      <c r="V14779" s="5"/>
    </row>
    <row r="14780">
      <c r="N14780" s="1"/>
      <c r="V14780" s="5"/>
    </row>
    <row r="14781">
      <c r="N14781" s="1"/>
      <c r="V14781" s="5"/>
    </row>
    <row r="14782">
      <c r="N14782" s="1"/>
      <c r="V14782" s="5"/>
    </row>
    <row r="14783">
      <c r="N14783" s="1"/>
      <c r="V14783" s="5"/>
    </row>
    <row r="14784">
      <c r="N14784" s="1"/>
      <c r="V14784" s="5"/>
    </row>
    <row r="14785">
      <c r="N14785" s="1"/>
      <c r="V14785" s="5"/>
    </row>
    <row r="14786">
      <c r="N14786" s="1"/>
      <c r="V14786" s="5"/>
    </row>
    <row r="14787">
      <c r="N14787" s="1"/>
      <c r="V14787" s="5"/>
    </row>
    <row r="14788">
      <c r="N14788" s="1"/>
      <c r="V14788" s="5"/>
    </row>
    <row r="14789">
      <c r="N14789" s="1"/>
      <c r="V14789" s="5"/>
    </row>
    <row r="14790">
      <c r="N14790" s="1"/>
      <c r="V14790" s="5"/>
    </row>
    <row r="14791">
      <c r="N14791" s="1"/>
      <c r="V14791" s="5"/>
    </row>
    <row r="14792">
      <c r="N14792" s="1"/>
      <c r="V14792" s="5"/>
    </row>
    <row r="14793">
      <c r="N14793" s="1"/>
      <c r="V14793" s="5"/>
    </row>
    <row r="14794">
      <c r="N14794" s="1"/>
      <c r="V14794" s="5"/>
    </row>
    <row r="14795">
      <c r="N14795" s="1"/>
      <c r="V14795" s="5"/>
    </row>
    <row r="14796">
      <c r="N14796" s="1"/>
      <c r="V14796" s="5"/>
    </row>
    <row r="14797">
      <c r="N14797" s="1"/>
      <c r="V14797" s="5"/>
    </row>
    <row r="14798">
      <c r="N14798" s="1"/>
      <c r="V14798" s="5"/>
    </row>
    <row r="14799">
      <c r="N14799" s="1"/>
      <c r="V14799" s="5"/>
    </row>
    <row r="14800">
      <c r="N14800" s="1"/>
      <c r="V14800" s="5"/>
    </row>
    <row r="14801">
      <c r="N14801" s="1"/>
      <c r="V14801" s="5"/>
    </row>
    <row r="14802">
      <c r="N14802" s="1"/>
      <c r="V14802" s="5"/>
    </row>
    <row r="14803">
      <c r="N14803" s="1"/>
      <c r="V14803" s="5"/>
    </row>
    <row r="14804">
      <c r="N14804" s="1"/>
      <c r="V14804" s="5"/>
    </row>
    <row r="14805">
      <c r="N14805" s="1"/>
      <c r="V14805" s="5"/>
    </row>
    <row r="14806">
      <c r="N14806" s="1"/>
      <c r="V14806" s="5"/>
    </row>
    <row r="14807">
      <c r="N14807" s="1"/>
      <c r="V14807" s="5"/>
    </row>
    <row r="14808">
      <c r="N14808" s="1"/>
      <c r="V14808" s="5"/>
    </row>
    <row r="14809">
      <c r="N14809" s="1"/>
      <c r="V14809" s="5"/>
    </row>
    <row r="14810">
      <c r="N14810" s="1"/>
      <c r="V14810" s="5"/>
    </row>
    <row r="14811">
      <c r="N14811" s="1"/>
      <c r="V14811" s="5"/>
    </row>
    <row r="14812">
      <c r="N14812" s="1"/>
      <c r="V14812" s="5"/>
    </row>
    <row r="14813">
      <c r="N14813" s="1"/>
      <c r="V14813" s="5"/>
    </row>
    <row r="14814">
      <c r="N14814" s="1"/>
      <c r="V14814" s="5"/>
    </row>
    <row r="14815">
      <c r="N14815" s="1"/>
      <c r="V14815" s="5"/>
    </row>
    <row r="14816">
      <c r="N14816" s="1"/>
      <c r="V14816" s="5"/>
    </row>
    <row r="14817">
      <c r="N14817" s="1"/>
      <c r="V14817" s="5"/>
    </row>
    <row r="14818">
      <c r="N14818" s="1"/>
      <c r="V14818" s="5"/>
    </row>
    <row r="14819">
      <c r="N14819" s="1"/>
      <c r="V14819" s="5"/>
    </row>
    <row r="14820">
      <c r="N14820" s="1"/>
      <c r="V14820" s="5"/>
    </row>
    <row r="14821">
      <c r="N14821" s="1"/>
      <c r="V14821" s="5"/>
    </row>
    <row r="14822">
      <c r="N14822" s="1"/>
      <c r="V14822" s="5"/>
    </row>
    <row r="14823">
      <c r="N14823" s="1"/>
      <c r="V14823" s="5"/>
    </row>
    <row r="14824">
      <c r="N14824" s="1"/>
      <c r="V14824" s="5"/>
    </row>
    <row r="14825">
      <c r="N14825" s="1"/>
      <c r="V14825" s="5"/>
    </row>
    <row r="14826">
      <c r="N14826" s="1"/>
      <c r="V14826" s="5"/>
    </row>
    <row r="14827">
      <c r="N14827" s="1"/>
      <c r="V14827" s="5"/>
    </row>
    <row r="14828">
      <c r="N14828" s="1"/>
      <c r="V14828" s="5"/>
    </row>
    <row r="14829">
      <c r="N14829" s="1"/>
      <c r="V14829" s="5"/>
    </row>
    <row r="14830">
      <c r="N14830" s="1"/>
      <c r="V14830" s="5"/>
    </row>
    <row r="14831">
      <c r="N14831" s="1"/>
      <c r="V14831" s="5"/>
    </row>
    <row r="14832">
      <c r="N14832" s="1"/>
      <c r="V14832" s="5"/>
    </row>
    <row r="14833">
      <c r="N14833" s="1"/>
      <c r="V14833" s="5"/>
    </row>
    <row r="14834">
      <c r="N14834" s="1"/>
      <c r="V14834" s="5"/>
    </row>
    <row r="14835">
      <c r="N14835" s="1"/>
      <c r="V14835" s="5"/>
    </row>
    <row r="14836">
      <c r="N14836" s="1"/>
      <c r="V14836" s="5"/>
    </row>
    <row r="14837">
      <c r="N14837" s="1"/>
      <c r="V14837" s="5"/>
    </row>
    <row r="14838">
      <c r="N14838" s="1"/>
      <c r="V14838" s="5"/>
    </row>
    <row r="14839">
      <c r="N14839" s="1"/>
      <c r="V14839" s="5"/>
    </row>
    <row r="14840">
      <c r="N14840" s="1"/>
      <c r="V14840" s="5"/>
    </row>
    <row r="14841">
      <c r="N14841" s="1"/>
      <c r="V14841" s="5"/>
    </row>
    <row r="14842">
      <c r="N14842" s="1"/>
      <c r="V14842" s="5"/>
    </row>
    <row r="14843">
      <c r="N14843" s="1"/>
      <c r="V14843" s="5"/>
    </row>
    <row r="14844">
      <c r="N14844" s="1"/>
      <c r="V14844" s="5"/>
    </row>
    <row r="14845">
      <c r="N14845" s="1"/>
      <c r="V14845" s="5"/>
    </row>
    <row r="14846">
      <c r="N14846" s="1"/>
      <c r="V14846" s="5"/>
    </row>
    <row r="14847">
      <c r="N14847" s="1"/>
      <c r="V14847" s="5"/>
    </row>
    <row r="14848">
      <c r="N14848" s="1"/>
      <c r="V14848" s="5"/>
    </row>
    <row r="14849">
      <c r="N14849" s="1"/>
      <c r="V14849" s="5"/>
    </row>
    <row r="14850">
      <c r="N14850" s="1"/>
      <c r="V14850" s="5"/>
    </row>
    <row r="14851">
      <c r="N14851" s="1"/>
      <c r="V14851" s="5"/>
    </row>
    <row r="14852">
      <c r="N14852" s="1"/>
      <c r="V14852" s="5"/>
    </row>
    <row r="14853">
      <c r="N14853" s="1"/>
      <c r="V14853" s="5"/>
    </row>
    <row r="14854">
      <c r="N14854" s="1"/>
      <c r="V14854" s="5"/>
    </row>
    <row r="14855">
      <c r="N14855" s="1"/>
      <c r="V14855" s="5"/>
    </row>
    <row r="14856">
      <c r="N14856" s="1"/>
      <c r="V14856" s="5"/>
    </row>
    <row r="14857">
      <c r="N14857" s="1"/>
      <c r="V14857" s="5"/>
    </row>
    <row r="14858">
      <c r="N14858" s="1"/>
      <c r="V14858" s="5"/>
    </row>
    <row r="14859">
      <c r="N14859" s="1"/>
      <c r="V14859" s="5"/>
    </row>
    <row r="14860">
      <c r="N14860" s="1"/>
      <c r="V14860" s="5"/>
    </row>
    <row r="14861">
      <c r="N14861" s="1"/>
      <c r="V14861" s="5"/>
    </row>
    <row r="14862">
      <c r="N14862" s="1"/>
      <c r="V14862" s="5"/>
    </row>
    <row r="14863">
      <c r="N14863" s="1"/>
      <c r="V14863" s="5"/>
    </row>
    <row r="14864">
      <c r="N14864" s="1"/>
      <c r="V14864" s="5"/>
    </row>
    <row r="14865">
      <c r="N14865" s="1"/>
      <c r="V14865" s="5"/>
    </row>
    <row r="14866">
      <c r="N14866" s="1"/>
      <c r="V14866" s="5"/>
    </row>
    <row r="14867">
      <c r="N14867" s="1"/>
      <c r="V14867" s="5"/>
    </row>
    <row r="14868">
      <c r="N14868" s="1"/>
      <c r="V14868" s="5"/>
    </row>
    <row r="14869">
      <c r="N14869" s="1"/>
      <c r="V14869" s="5"/>
    </row>
    <row r="14870">
      <c r="N14870" s="1"/>
      <c r="V14870" s="5"/>
    </row>
    <row r="14871">
      <c r="N14871" s="1"/>
      <c r="V14871" s="5"/>
    </row>
    <row r="14872">
      <c r="N14872" s="1"/>
      <c r="V14872" s="5"/>
    </row>
    <row r="14873">
      <c r="N14873" s="1"/>
      <c r="V14873" s="5"/>
    </row>
    <row r="14874">
      <c r="N14874" s="1"/>
      <c r="V14874" s="5"/>
    </row>
    <row r="14875">
      <c r="N14875" s="1"/>
      <c r="V14875" s="5"/>
    </row>
    <row r="14876">
      <c r="N14876" s="1"/>
      <c r="V14876" s="5"/>
    </row>
    <row r="14877">
      <c r="N14877" s="1"/>
      <c r="V14877" s="5"/>
    </row>
    <row r="14878">
      <c r="N14878" s="1"/>
      <c r="V14878" s="5"/>
    </row>
    <row r="14879">
      <c r="N14879" s="1"/>
      <c r="V14879" s="5"/>
    </row>
    <row r="14880">
      <c r="N14880" s="1"/>
      <c r="V14880" s="5"/>
    </row>
    <row r="14881">
      <c r="N14881" s="1"/>
      <c r="V14881" s="5"/>
    </row>
    <row r="14882">
      <c r="N14882" s="1"/>
      <c r="V14882" s="5"/>
    </row>
    <row r="14883">
      <c r="N14883" s="1"/>
      <c r="V14883" s="5"/>
    </row>
    <row r="14884">
      <c r="N14884" s="1"/>
      <c r="V14884" s="5"/>
    </row>
    <row r="14885">
      <c r="N14885" s="1"/>
      <c r="V14885" s="5"/>
    </row>
    <row r="14886">
      <c r="N14886" s="1"/>
      <c r="V14886" s="5"/>
    </row>
    <row r="14887">
      <c r="N14887" s="1"/>
      <c r="V14887" s="5"/>
    </row>
    <row r="14888">
      <c r="N14888" s="1"/>
      <c r="V14888" s="5"/>
    </row>
    <row r="14889">
      <c r="N14889" s="1"/>
      <c r="V14889" s="5"/>
    </row>
    <row r="14890">
      <c r="N14890" s="1"/>
      <c r="V14890" s="5"/>
    </row>
    <row r="14891">
      <c r="N14891" s="1"/>
      <c r="V14891" s="5"/>
    </row>
    <row r="14892">
      <c r="N14892" s="1"/>
      <c r="V14892" s="5"/>
    </row>
    <row r="14893">
      <c r="N14893" s="1"/>
      <c r="V14893" s="5"/>
    </row>
    <row r="14894">
      <c r="N14894" s="1"/>
      <c r="V14894" s="5"/>
    </row>
    <row r="14895">
      <c r="N14895" s="1"/>
      <c r="V14895" s="5"/>
    </row>
    <row r="14896">
      <c r="N14896" s="1"/>
      <c r="V14896" s="5"/>
    </row>
    <row r="14897">
      <c r="N14897" s="1"/>
      <c r="V14897" s="5"/>
    </row>
    <row r="14898">
      <c r="N14898" s="1"/>
      <c r="V14898" s="5"/>
    </row>
    <row r="14899">
      <c r="N14899" s="1"/>
      <c r="V14899" s="5"/>
    </row>
    <row r="14900">
      <c r="N14900" s="1"/>
      <c r="V14900" s="5"/>
    </row>
    <row r="14901">
      <c r="N14901" s="1"/>
      <c r="V14901" s="5"/>
    </row>
    <row r="14902">
      <c r="N14902" s="1"/>
      <c r="V14902" s="5"/>
    </row>
    <row r="14903">
      <c r="N14903" s="1"/>
      <c r="V14903" s="5"/>
    </row>
    <row r="14904">
      <c r="N14904" s="1"/>
      <c r="V14904" s="5"/>
    </row>
    <row r="14905">
      <c r="N14905" s="1"/>
      <c r="V14905" s="5"/>
    </row>
    <row r="14906">
      <c r="N14906" s="1"/>
      <c r="V14906" s="5"/>
    </row>
    <row r="14907">
      <c r="N14907" s="1"/>
      <c r="V14907" s="5"/>
    </row>
    <row r="14908">
      <c r="N14908" s="1"/>
      <c r="V14908" s="5"/>
    </row>
    <row r="14909">
      <c r="N14909" s="1"/>
      <c r="V14909" s="5"/>
    </row>
    <row r="14910">
      <c r="N14910" s="1"/>
      <c r="V14910" s="5"/>
    </row>
    <row r="14911">
      <c r="N14911" s="1"/>
      <c r="V14911" s="5"/>
    </row>
    <row r="14912">
      <c r="N14912" s="1"/>
      <c r="V14912" s="5"/>
    </row>
    <row r="14913">
      <c r="N14913" s="1"/>
      <c r="V14913" s="5"/>
    </row>
    <row r="14914">
      <c r="N14914" s="1"/>
      <c r="V14914" s="5"/>
    </row>
    <row r="14915">
      <c r="N14915" s="1"/>
      <c r="V14915" s="5"/>
    </row>
    <row r="14916">
      <c r="N14916" s="1"/>
      <c r="V14916" s="5"/>
    </row>
    <row r="14917">
      <c r="N14917" s="1"/>
      <c r="V14917" s="5"/>
    </row>
    <row r="14918">
      <c r="N14918" s="1"/>
      <c r="V14918" s="5"/>
    </row>
    <row r="14919">
      <c r="N14919" s="1"/>
      <c r="V14919" s="5"/>
    </row>
    <row r="14920">
      <c r="N14920" s="1"/>
      <c r="V14920" s="5"/>
    </row>
    <row r="14921">
      <c r="N14921" s="1"/>
      <c r="V14921" s="5"/>
    </row>
    <row r="14922">
      <c r="N14922" s="1"/>
      <c r="V14922" s="5"/>
    </row>
    <row r="14923">
      <c r="N14923" s="1"/>
      <c r="V14923" s="5"/>
    </row>
    <row r="14924">
      <c r="N14924" s="1"/>
      <c r="V14924" s="5"/>
    </row>
    <row r="14925">
      <c r="N14925" s="1"/>
      <c r="V14925" s="5"/>
    </row>
    <row r="14926">
      <c r="N14926" s="1"/>
      <c r="V14926" s="5"/>
    </row>
    <row r="14927">
      <c r="N14927" s="1"/>
      <c r="V14927" s="5"/>
    </row>
    <row r="14928">
      <c r="N14928" s="1"/>
      <c r="V14928" s="5"/>
    </row>
    <row r="14929">
      <c r="N14929" s="1"/>
      <c r="V14929" s="5"/>
    </row>
    <row r="14930">
      <c r="N14930" s="1"/>
      <c r="V14930" s="5"/>
    </row>
    <row r="14931">
      <c r="N14931" s="1"/>
      <c r="V14931" s="5"/>
    </row>
    <row r="14932">
      <c r="N14932" s="1"/>
      <c r="V14932" s="5"/>
    </row>
    <row r="14933">
      <c r="N14933" s="1"/>
      <c r="V14933" s="5"/>
    </row>
    <row r="14934">
      <c r="N14934" s="1"/>
      <c r="V14934" s="5"/>
    </row>
    <row r="14935">
      <c r="N14935" s="1"/>
      <c r="V14935" s="5"/>
    </row>
    <row r="14936">
      <c r="N14936" s="1"/>
      <c r="V14936" s="5"/>
    </row>
    <row r="14937">
      <c r="N14937" s="1"/>
      <c r="V14937" s="5"/>
    </row>
    <row r="14938">
      <c r="N14938" s="1"/>
      <c r="V14938" s="5"/>
    </row>
    <row r="14939">
      <c r="N14939" s="1"/>
      <c r="V14939" s="5"/>
    </row>
    <row r="14940">
      <c r="N14940" s="1"/>
      <c r="V14940" s="5"/>
    </row>
    <row r="14941">
      <c r="N14941" s="1"/>
      <c r="V14941" s="5"/>
    </row>
    <row r="14942">
      <c r="N14942" s="1"/>
      <c r="V14942" s="5"/>
    </row>
    <row r="14943">
      <c r="N14943" s="1"/>
      <c r="V14943" s="5"/>
    </row>
    <row r="14944">
      <c r="N14944" s="1"/>
      <c r="V14944" s="5"/>
    </row>
    <row r="14945">
      <c r="N14945" s="1"/>
      <c r="V14945" s="5"/>
    </row>
    <row r="14946">
      <c r="N14946" s="1"/>
      <c r="V14946" s="5"/>
    </row>
    <row r="14947">
      <c r="N14947" s="1"/>
      <c r="V14947" s="5"/>
    </row>
    <row r="14948">
      <c r="N14948" s="1"/>
      <c r="V14948" s="5"/>
    </row>
    <row r="14949">
      <c r="N14949" s="1"/>
      <c r="V14949" s="5"/>
    </row>
    <row r="14950">
      <c r="N14950" s="1"/>
      <c r="V14950" s="5"/>
    </row>
    <row r="14951">
      <c r="N14951" s="1"/>
      <c r="V14951" s="5"/>
    </row>
    <row r="14952">
      <c r="N14952" s="1"/>
      <c r="V14952" s="5"/>
    </row>
    <row r="14953">
      <c r="N14953" s="1"/>
      <c r="V14953" s="5"/>
    </row>
    <row r="14954">
      <c r="N14954" s="1"/>
      <c r="V14954" s="5"/>
    </row>
    <row r="14955">
      <c r="N14955" s="1"/>
      <c r="V14955" s="5"/>
    </row>
    <row r="14956">
      <c r="N14956" s="1"/>
      <c r="V14956" s="5"/>
    </row>
    <row r="14957">
      <c r="N14957" s="1"/>
      <c r="V14957" s="5"/>
    </row>
    <row r="14958">
      <c r="N14958" s="1"/>
      <c r="V14958" s="5"/>
    </row>
    <row r="14959">
      <c r="N14959" s="1"/>
      <c r="V14959" s="5"/>
    </row>
    <row r="14960">
      <c r="N14960" s="1"/>
      <c r="V14960" s="5"/>
    </row>
    <row r="14961">
      <c r="N14961" s="1"/>
      <c r="V14961" s="5"/>
    </row>
    <row r="14962">
      <c r="N14962" s="1"/>
      <c r="V14962" s="5"/>
    </row>
    <row r="14963">
      <c r="N14963" s="1"/>
      <c r="V14963" s="5"/>
    </row>
    <row r="14964">
      <c r="N14964" s="1"/>
      <c r="V14964" s="5"/>
    </row>
    <row r="14965">
      <c r="N14965" s="1"/>
      <c r="V14965" s="5"/>
    </row>
    <row r="14966">
      <c r="N14966" s="1"/>
      <c r="V14966" s="5"/>
    </row>
    <row r="14967">
      <c r="N14967" s="1"/>
      <c r="V14967" s="5"/>
    </row>
    <row r="14968">
      <c r="N14968" s="1"/>
      <c r="V14968" s="5"/>
    </row>
    <row r="14969">
      <c r="N14969" s="1"/>
      <c r="V14969" s="5"/>
    </row>
    <row r="14970">
      <c r="N14970" s="1"/>
      <c r="V14970" s="5"/>
    </row>
    <row r="14971">
      <c r="N14971" s="1"/>
      <c r="V14971" s="5"/>
    </row>
    <row r="14972">
      <c r="N14972" s="1"/>
      <c r="V14972" s="5"/>
    </row>
    <row r="14973">
      <c r="N14973" s="1"/>
      <c r="V14973" s="5"/>
    </row>
    <row r="14974">
      <c r="N14974" s="1"/>
      <c r="V14974" s="5"/>
    </row>
    <row r="14975">
      <c r="N14975" s="1"/>
      <c r="V14975" s="5"/>
    </row>
    <row r="14976">
      <c r="N14976" s="1"/>
      <c r="V14976" s="5"/>
    </row>
    <row r="14977">
      <c r="N14977" s="1"/>
      <c r="V14977" s="5"/>
    </row>
    <row r="14978">
      <c r="N14978" s="1"/>
      <c r="V14978" s="5"/>
    </row>
    <row r="14979">
      <c r="N14979" s="1"/>
      <c r="V14979" s="5"/>
    </row>
    <row r="14980">
      <c r="N14980" s="1"/>
      <c r="V14980" s="5"/>
    </row>
    <row r="14981">
      <c r="N14981" s="1"/>
      <c r="V14981" s="5"/>
    </row>
    <row r="14982">
      <c r="N14982" s="1"/>
      <c r="V14982" s="5"/>
    </row>
    <row r="14983">
      <c r="N14983" s="1"/>
      <c r="V14983" s="5"/>
    </row>
    <row r="14984">
      <c r="N14984" s="1"/>
      <c r="V14984" s="5"/>
    </row>
    <row r="14985">
      <c r="N14985" s="1"/>
      <c r="V14985" s="5"/>
    </row>
    <row r="14986">
      <c r="N14986" s="1"/>
      <c r="V14986" s="5"/>
    </row>
    <row r="14987">
      <c r="N14987" s="1"/>
      <c r="V14987" s="5"/>
    </row>
    <row r="14988">
      <c r="N14988" s="1"/>
      <c r="V14988" s="5"/>
    </row>
    <row r="14989">
      <c r="N14989" s="1"/>
      <c r="V14989" s="5"/>
    </row>
    <row r="14990">
      <c r="N14990" s="1"/>
      <c r="V14990" s="5"/>
    </row>
    <row r="14991">
      <c r="N14991" s="1"/>
      <c r="V14991" s="5"/>
    </row>
    <row r="14992">
      <c r="N14992" s="1"/>
      <c r="V14992" s="5"/>
    </row>
    <row r="14993">
      <c r="N14993" s="1"/>
      <c r="V14993" s="5"/>
    </row>
    <row r="14994">
      <c r="N14994" s="1"/>
      <c r="V14994" s="5"/>
    </row>
    <row r="14995">
      <c r="N14995" s="1"/>
      <c r="V14995" s="5"/>
    </row>
    <row r="14996">
      <c r="N14996" s="1"/>
      <c r="V14996" s="5"/>
    </row>
    <row r="14997">
      <c r="N14997" s="1"/>
      <c r="V14997" s="5"/>
    </row>
    <row r="14998">
      <c r="N14998" s="1"/>
      <c r="V14998" s="5"/>
    </row>
    <row r="14999">
      <c r="N14999" s="1"/>
      <c r="V14999" s="5"/>
    </row>
    <row r="15000">
      <c r="N15000" s="1"/>
      <c r="V15000" s="5"/>
    </row>
    <row r="15001">
      <c r="N15001" s="1"/>
      <c r="V15001" s="5"/>
    </row>
    <row r="15002">
      <c r="N15002" s="1"/>
      <c r="V15002" s="5"/>
    </row>
    <row r="15003">
      <c r="N15003" s="1"/>
      <c r="V15003" s="5"/>
    </row>
    <row r="15004">
      <c r="N15004" s="1"/>
      <c r="V15004" s="5"/>
    </row>
    <row r="15005">
      <c r="N15005" s="1"/>
      <c r="V15005" s="5"/>
    </row>
    <row r="15006">
      <c r="N15006" s="1"/>
      <c r="V15006" s="5"/>
    </row>
    <row r="15007">
      <c r="N15007" s="1"/>
      <c r="V15007" s="5"/>
    </row>
    <row r="15008">
      <c r="N15008" s="1"/>
      <c r="V15008" s="5"/>
    </row>
    <row r="15009">
      <c r="N15009" s="1"/>
      <c r="V15009" s="5"/>
    </row>
    <row r="15010">
      <c r="N15010" s="1"/>
      <c r="V15010" s="5"/>
    </row>
    <row r="15011">
      <c r="N15011" s="1"/>
      <c r="V15011" s="5"/>
    </row>
    <row r="15012">
      <c r="N15012" s="1"/>
      <c r="V15012" s="5"/>
    </row>
    <row r="15013">
      <c r="N15013" s="1"/>
      <c r="V15013" s="5"/>
    </row>
    <row r="15014">
      <c r="N15014" s="1"/>
      <c r="V15014" s="5"/>
    </row>
    <row r="15015">
      <c r="N15015" s="1"/>
      <c r="V15015" s="5"/>
    </row>
    <row r="15016">
      <c r="N15016" s="1"/>
      <c r="V15016" s="5"/>
    </row>
    <row r="15017">
      <c r="N15017" s="1"/>
      <c r="V15017" s="5"/>
    </row>
    <row r="15018">
      <c r="N15018" s="1"/>
      <c r="V15018" s="5"/>
    </row>
    <row r="15019">
      <c r="N15019" s="1"/>
      <c r="V15019" s="5"/>
    </row>
    <row r="15020">
      <c r="N15020" s="1"/>
      <c r="V15020" s="5"/>
    </row>
    <row r="15021">
      <c r="N15021" s="1"/>
      <c r="V15021" s="5"/>
    </row>
    <row r="15022">
      <c r="N15022" s="1"/>
      <c r="V15022" s="5"/>
    </row>
    <row r="15023">
      <c r="N15023" s="1"/>
      <c r="V15023" s="5"/>
    </row>
    <row r="15024">
      <c r="N15024" s="1"/>
      <c r="V15024" s="5"/>
    </row>
    <row r="15025">
      <c r="N15025" s="1"/>
      <c r="V15025" s="5"/>
    </row>
    <row r="15026">
      <c r="N15026" s="1"/>
      <c r="V15026" s="5"/>
    </row>
    <row r="15027">
      <c r="N15027" s="1"/>
      <c r="V15027" s="5"/>
    </row>
    <row r="15028">
      <c r="N15028" s="1"/>
      <c r="V15028" s="5"/>
    </row>
    <row r="15029">
      <c r="N15029" s="1"/>
      <c r="V15029" s="5"/>
    </row>
    <row r="15030">
      <c r="N15030" s="1"/>
      <c r="V15030" s="5"/>
    </row>
    <row r="15031">
      <c r="N15031" s="1"/>
      <c r="V15031" s="5"/>
    </row>
    <row r="15032">
      <c r="N15032" s="1"/>
      <c r="V15032" s="5"/>
    </row>
    <row r="15033">
      <c r="N15033" s="1"/>
      <c r="V15033" s="5"/>
    </row>
    <row r="15034">
      <c r="N15034" s="1"/>
      <c r="V15034" s="5"/>
    </row>
    <row r="15035">
      <c r="N15035" s="1"/>
      <c r="V15035" s="5"/>
    </row>
    <row r="15036">
      <c r="N15036" s="1"/>
      <c r="V15036" s="5"/>
    </row>
    <row r="15037">
      <c r="N15037" s="1"/>
      <c r="V15037" s="5"/>
    </row>
    <row r="15038">
      <c r="N15038" s="1"/>
      <c r="V15038" s="5"/>
    </row>
    <row r="15039">
      <c r="N15039" s="1"/>
      <c r="V15039" s="5"/>
    </row>
    <row r="15040">
      <c r="N15040" s="1"/>
      <c r="V15040" s="5"/>
    </row>
    <row r="15041">
      <c r="N15041" s="1"/>
      <c r="V15041" s="5"/>
    </row>
    <row r="15042">
      <c r="N15042" s="1"/>
      <c r="V15042" s="5"/>
    </row>
    <row r="15043">
      <c r="N15043" s="1"/>
      <c r="V15043" s="5"/>
    </row>
    <row r="15044">
      <c r="N15044" s="1"/>
      <c r="V15044" s="5"/>
    </row>
    <row r="15045">
      <c r="N15045" s="1"/>
      <c r="V15045" s="5"/>
    </row>
    <row r="15046">
      <c r="N15046" s="1"/>
      <c r="V15046" s="5"/>
    </row>
    <row r="15047">
      <c r="N15047" s="1"/>
      <c r="V15047" s="5"/>
    </row>
    <row r="15048">
      <c r="N15048" s="1"/>
      <c r="V15048" s="5"/>
    </row>
    <row r="15049">
      <c r="N15049" s="1"/>
      <c r="V15049" s="5"/>
    </row>
    <row r="15050">
      <c r="N15050" s="1"/>
      <c r="V15050" s="5"/>
    </row>
    <row r="15051">
      <c r="N15051" s="1"/>
      <c r="V15051" s="5"/>
    </row>
    <row r="15052">
      <c r="N15052" s="1"/>
      <c r="V15052" s="5"/>
    </row>
    <row r="15053">
      <c r="N15053" s="1"/>
      <c r="V15053" s="5"/>
    </row>
    <row r="15054">
      <c r="N15054" s="1"/>
      <c r="V15054" s="5"/>
    </row>
    <row r="15055">
      <c r="N15055" s="1"/>
      <c r="V15055" s="5"/>
    </row>
    <row r="15056">
      <c r="N15056" s="1"/>
      <c r="V15056" s="5"/>
    </row>
    <row r="15057">
      <c r="N15057" s="1"/>
      <c r="V15057" s="5"/>
    </row>
    <row r="15058">
      <c r="N15058" s="1"/>
      <c r="V15058" s="5"/>
    </row>
    <row r="15059">
      <c r="N15059" s="1"/>
      <c r="V15059" s="5"/>
    </row>
    <row r="15060">
      <c r="N15060" s="1"/>
      <c r="V15060" s="5"/>
    </row>
    <row r="15061">
      <c r="N15061" s="1"/>
      <c r="V15061" s="5"/>
    </row>
    <row r="15062">
      <c r="N15062" s="1"/>
      <c r="V15062" s="5"/>
    </row>
    <row r="15063">
      <c r="N15063" s="1"/>
      <c r="V15063" s="5"/>
    </row>
    <row r="15064">
      <c r="N15064" s="1"/>
      <c r="V15064" s="5"/>
    </row>
    <row r="15065">
      <c r="N15065" s="1"/>
      <c r="V15065" s="5"/>
    </row>
    <row r="15066">
      <c r="N15066" s="1"/>
      <c r="V15066" s="5"/>
    </row>
    <row r="15067">
      <c r="N15067" s="1"/>
      <c r="V15067" s="5"/>
    </row>
    <row r="15068">
      <c r="N15068" s="1"/>
      <c r="V15068" s="5"/>
    </row>
    <row r="15069">
      <c r="N15069" s="1"/>
      <c r="V15069" s="5"/>
    </row>
    <row r="15070">
      <c r="N15070" s="1"/>
      <c r="V15070" s="5"/>
    </row>
    <row r="15071">
      <c r="N15071" s="1"/>
      <c r="V15071" s="5"/>
    </row>
    <row r="15072">
      <c r="N15072" s="1"/>
      <c r="V15072" s="5"/>
    </row>
    <row r="15073">
      <c r="N15073" s="1"/>
      <c r="V15073" s="5"/>
    </row>
    <row r="15074">
      <c r="N15074" s="1"/>
      <c r="V15074" s="5"/>
    </row>
    <row r="15075">
      <c r="N15075" s="1"/>
      <c r="V15075" s="5"/>
    </row>
    <row r="15076">
      <c r="N15076" s="1"/>
      <c r="V15076" s="5"/>
    </row>
    <row r="15077">
      <c r="N15077" s="1"/>
      <c r="V15077" s="5"/>
    </row>
    <row r="15078">
      <c r="N15078" s="1"/>
      <c r="V15078" s="5"/>
    </row>
    <row r="15079">
      <c r="N15079" s="1"/>
      <c r="V15079" s="5"/>
    </row>
    <row r="15080">
      <c r="N15080" s="1"/>
      <c r="V15080" s="5"/>
    </row>
    <row r="15081">
      <c r="N15081" s="1"/>
      <c r="V15081" s="5"/>
    </row>
    <row r="15082">
      <c r="N15082" s="1"/>
      <c r="V15082" s="5"/>
    </row>
    <row r="15083">
      <c r="N15083" s="1"/>
      <c r="V15083" s="5"/>
    </row>
    <row r="15084">
      <c r="N15084" s="1"/>
      <c r="V15084" s="5"/>
    </row>
    <row r="15085">
      <c r="N15085" s="1"/>
      <c r="V15085" s="5"/>
    </row>
    <row r="15086">
      <c r="N15086" s="1"/>
      <c r="V15086" s="5"/>
    </row>
    <row r="15087">
      <c r="N15087" s="1"/>
      <c r="V15087" s="5"/>
    </row>
    <row r="15088">
      <c r="N15088" s="1"/>
      <c r="V15088" s="5"/>
    </row>
    <row r="15089">
      <c r="N15089" s="1"/>
      <c r="V15089" s="5"/>
    </row>
    <row r="15090">
      <c r="N15090" s="1"/>
      <c r="V15090" s="5"/>
    </row>
    <row r="15091">
      <c r="N15091" s="1"/>
      <c r="V15091" s="5"/>
    </row>
    <row r="15092">
      <c r="N15092" s="1"/>
      <c r="V15092" s="5"/>
    </row>
    <row r="15093">
      <c r="N15093" s="1"/>
      <c r="V15093" s="5"/>
    </row>
    <row r="15094">
      <c r="N15094" s="1"/>
      <c r="V15094" s="5"/>
    </row>
    <row r="15095">
      <c r="N15095" s="1"/>
      <c r="V15095" s="5"/>
    </row>
    <row r="15096">
      <c r="N15096" s="1"/>
      <c r="V15096" s="5"/>
    </row>
    <row r="15097">
      <c r="N15097" s="1"/>
      <c r="V15097" s="5"/>
    </row>
    <row r="15098">
      <c r="N15098" s="1"/>
      <c r="V15098" s="5"/>
    </row>
    <row r="15099">
      <c r="N15099" s="1"/>
      <c r="V15099" s="5"/>
    </row>
    <row r="15100">
      <c r="N15100" s="1"/>
      <c r="V15100" s="5"/>
    </row>
    <row r="15101">
      <c r="N15101" s="1"/>
      <c r="V15101" s="5"/>
    </row>
    <row r="15102">
      <c r="N15102" s="1"/>
      <c r="V15102" s="5"/>
    </row>
    <row r="15103">
      <c r="N15103" s="1"/>
      <c r="V15103" s="5"/>
    </row>
    <row r="15104">
      <c r="N15104" s="1"/>
      <c r="V15104" s="5"/>
    </row>
    <row r="15105">
      <c r="N15105" s="1"/>
      <c r="V15105" s="5"/>
    </row>
    <row r="15106">
      <c r="N15106" s="1"/>
      <c r="V15106" s="5"/>
    </row>
    <row r="15107">
      <c r="N15107" s="1"/>
      <c r="V15107" s="5"/>
    </row>
    <row r="15108">
      <c r="N15108" s="1"/>
      <c r="V15108" s="5"/>
    </row>
    <row r="15109">
      <c r="N15109" s="1"/>
      <c r="V15109" s="5"/>
    </row>
    <row r="15110">
      <c r="N15110" s="1"/>
      <c r="V15110" s="5"/>
    </row>
    <row r="15111">
      <c r="N15111" s="1"/>
      <c r="V15111" s="5"/>
    </row>
    <row r="15112">
      <c r="N15112" s="1"/>
      <c r="V15112" s="5"/>
    </row>
    <row r="15113">
      <c r="N15113" s="1"/>
      <c r="V15113" s="5"/>
    </row>
    <row r="15114">
      <c r="N15114" s="1"/>
      <c r="V15114" s="5"/>
    </row>
    <row r="15115">
      <c r="N15115" s="1"/>
      <c r="V15115" s="5"/>
    </row>
    <row r="15116">
      <c r="N15116" s="1"/>
      <c r="V15116" s="5"/>
    </row>
    <row r="15117">
      <c r="N15117" s="1"/>
      <c r="V15117" s="5"/>
    </row>
    <row r="15118">
      <c r="N15118" s="1"/>
      <c r="V15118" s="5"/>
    </row>
    <row r="15119">
      <c r="N15119" s="1"/>
      <c r="V15119" s="5"/>
    </row>
    <row r="15120">
      <c r="N15120" s="1"/>
      <c r="V15120" s="5"/>
    </row>
    <row r="15121">
      <c r="N15121" s="1"/>
      <c r="V15121" s="5"/>
    </row>
    <row r="15122">
      <c r="N15122" s="1"/>
      <c r="V15122" s="5"/>
    </row>
    <row r="15123">
      <c r="N15123" s="1"/>
      <c r="V15123" s="5"/>
    </row>
    <row r="15124">
      <c r="N15124" s="1"/>
      <c r="V15124" s="5"/>
    </row>
    <row r="15125">
      <c r="N15125" s="1"/>
      <c r="V15125" s="5"/>
    </row>
    <row r="15126">
      <c r="N15126" s="1"/>
      <c r="V15126" s="5"/>
    </row>
    <row r="15127">
      <c r="N15127" s="1"/>
      <c r="V15127" s="5"/>
    </row>
    <row r="15128">
      <c r="N15128" s="1"/>
      <c r="V15128" s="5"/>
    </row>
    <row r="15129">
      <c r="N15129" s="1"/>
      <c r="V15129" s="5"/>
    </row>
    <row r="15130">
      <c r="N15130" s="1"/>
      <c r="V15130" s="5"/>
    </row>
    <row r="15131">
      <c r="N15131" s="1"/>
      <c r="V15131" s="5"/>
    </row>
    <row r="15132">
      <c r="N15132" s="1"/>
      <c r="V15132" s="5"/>
    </row>
    <row r="15133">
      <c r="N15133" s="1"/>
      <c r="V15133" s="5"/>
    </row>
    <row r="15134">
      <c r="N15134" s="1"/>
      <c r="V15134" s="5"/>
    </row>
    <row r="15135">
      <c r="N15135" s="1"/>
      <c r="V15135" s="5"/>
    </row>
    <row r="15136">
      <c r="N15136" s="1"/>
      <c r="V15136" s="5"/>
    </row>
    <row r="15137">
      <c r="N15137" s="1"/>
      <c r="V15137" s="5"/>
    </row>
    <row r="15138">
      <c r="N15138" s="1"/>
      <c r="V15138" s="5"/>
    </row>
    <row r="15139">
      <c r="N15139" s="1"/>
      <c r="V15139" s="5"/>
    </row>
    <row r="15140">
      <c r="N15140" s="1"/>
      <c r="V15140" s="5"/>
    </row>
    <row r="15141">
      <c r="N15141" s="1"/>
      <c r="V15141" s="5"/>
    </row>
    <row r="15142">
      <c r="N15142" s="1"/>
      <c r="V15142" s="5"/>
    </row>
    <row r="15143">
      <c r="N15143" s="1"/>
      <c r="V15143" s="5"/>
    </row>
    <row r="15144">
      <c r="N15144" s="1"/>
      <c r="V15144" s="5"/>
    </row>
    <row r="15145">
      <c r="N15145" s="1"/>
      <c r="V15145" s="5"/>
    </row>
    <row r="15146">
      <c r="N15146" s="1"/>
      <c r="V15146" s="5"/>
    </row>
    <row r="15147">
      <c r="N15147" s="1"/>
      <c r="V15147" s="5"/>
    </row>
    <row r="15148">
      <c r="N15148" s="1"/>
      <c r="V15148" s="5"/>
    </row>
    <row r="15149">
      <c r="N15149" s="1"/>
      <c r="V15149" s="5"/>
    </row>
    <row r="15150">
      <c r="N15150" s="1"/>
      <c r="V15150" s="5"/>
    </row>
    <row r="15151">
      <c r="N15151" s="1"/>
      <c r="V15151" s="5"/>
    </row>
    <row r="15152">
      <c r="N15152" s="1"/>
      <c r="V15152" s="5"/>
    </row>
    <row r="15153">
      <c r="N15153" s="1"/>
      <c r="V15153" s="5"/>
    </row>
    <row r="15154">
      <c r="N15154" s="1"/>
      <c r="V15154" s="5"/>
    </row>
    <row r="15155">
      <c r="N15155" s="1"/>
      <c r="V15155" s="5"/>
    </row>
    <row r="15156">
      <c r="N15156" s="1"/>
      <c r="V15156" s="5"/>
    </row>
    <row r="15157">
      <c r="N15157" s="1"/>
      <c r="V15157" s="5"/>
    </row>
    <row r="15158">
      <c r="N15158" s="1"/>
      <c r="V15158" s="5"/>
    </row>
    <row r="15159">
      <c r="N15159" s="1"/>
      <c r="V15159" s="5"/>
    </row>
    <row r="15160">
      <c r="N15160" s="1"/>
      <c r="V15160" s="5"/>
    </row>
    <row r="15161">
      <c r="N15161" s="1"/>
      <c r="V15161" s="5"/>
    </row>
    <row r="15162">
      <c r="N15162" s="1"/>
      <c r="V15162" s="5"/>
    </row>
    <row r="15163">
      <c r="N15163" s="1"/>
      <c r="V15163" s="5"/>
    </row>
    <row r="15164">
      <c r="N15164" s="1"/>
      <c r="V15164" s="5"/>
    </row>
    <row r="15165">
      <c r="N15165" s="1"/>
      <c r="V15165" s="5"/>
    </row>
    <row r="15166">
      <c r="N15166" s="1"/>
      <c r="V15166" s="5"/>
    </row>
    <row r="15167">
      <c r="N15167" s="1"/>
      <c r="V15167" s="5"/>
    </row>
    <row r="15168">
      <c r="N15168" s="1"/>
      <c r="V15168" s="5"/>
    </row>
    <row r="15169">
      <c r="N15169" s="1"/>
      <c r="V15169" s="5"/>
    </row>
    <row r="15170">
      <c r="N15170" s="1"/>
      <c r="V15170" s="5"/>
    </row>
    <row r="15171">
      <c r="N15171" s="1"/>
      <c r="V15171" s="5"/>
    </row>
    <row r="15172">
      <c r="N15172" s="1"/>
      <c r="V15172" s="5"/>
    </row>
    <row r="15173">
      <c r="N15173" s="1"/>
      <c r="V15173" s="5"/>
    </row>
    <row r="15174">
      <c r="N15174" s="1"/>
      <c r="V15174" s="5"/>
    </row>
    <row r="15175">
      <c r="N15175" s="1"/>
      <c r="V15175" s="5"/>
    </row>
    <row r="15176">
      <c r="N15176" s="1"/>
      <c r="V15176" s="5"/>
    </row>
    <row r="15177">
      <c r="N15177" s="1"/>
      <c r="V15177" s="5"/>
    </row>
    <row r="15178">
      <c r="N15178" s="1"/>
      <c r="V15178" s="5"/>
    </row>
    <row r="15179">
      <c r="N15179" s="1"/>
      <c r="V15179" s="5"/>
    </row>
    <row r="15180">
      <c r="N15180" s="1"/>
      <c r="V15180" s="5"/>
    </row>
    <row r="15181">
      <c r="N15181" s="1"/>
      <c r="V15181" s="5"/>
    </row>
    <row r="15182">
      <c r="N15182" s="1"/>
      <c r="V15182" s="5"/>
    </row>
    <row r="15183">
      <c r="N15183" s="1"/>
      <c r="V15183" s="5"/>
    </row>
    <row r="15184">
      <c r="N15184" s="1"/>
      <c r="V15184" s="5"/>
    </row>
    <row r="15185">
      <c r="N15185" s="1"/>
      <c r="V15185" s="5"/>
    </row>
    <row r="15186">
      <c r="N15186" s="1"/>
      <c r="V15186" s="5"/>
    </row>
    <row r="15187">
      <c r="N15187" s="1"/>
      <c r="V15187" s="5"/>
    </row>
    <row r="15188">
      <c r="N15188" s="1"/>
      <c r="V15188" s="5"/>
    </row>
    <row r="15189">
      <c r="N15189" s="1"/>
      <c r="V15189" s="5"/>
    </row>
    <row r="15190">
      <c r="N15190" s="1"/>
      <c r="V15190" s="5"/>
    </row>
    <row r="15191">
      <c r="N15191" s="1"/>
      <c r="V15191" s="5"/>
    </row>
    <row r="15192">
      <c r="N15192" s="1"/>
      <c r="V15192" s="5"/>
    </row>
    <row r="15193">
      <c r="N15193" s="1"/>
      <c r="V15193" s="5"/>
    </row>
    <row r="15194">
      <c r="N15194" s="1"/>
      <c r="V15194" s="5"/>
    </row>
    <row r="15195">
      <c r="N15195" s="1"/>
      <c r="V15195" s="5"/>
    </row>
    <row r="15196">
      <c r="N15196" s="1"/>
      <c r="V15196" s="5"/>
    </row>
    <row r="15197">
      <c r="N15197" s="1"/>
      <c r="V15197" s="5"/>
    </row>
    <row r="15198">
      <c r="N15198" s="1"/>
      <c r="V15198" s="5"/>
    </row>
    <row r="15199">
      <c r="N15199" s="1"/>
      <c r="V15199" s="5"/>
    </row>
    <row r="15200">
      <c r="N15200" s="1"/>
      <c r="V15200" s="5"/>
    </row>
    <row r="15201">
      <c r="N15201" s="1"/>
      <c r="V15201" s="5"/>
    </row>
    <row r="15202">
      <c r="N15202" s="1"/>
      <c r="V15202" s="5"/>
    </row>
    <row r="15203">
      <c r="N15203" s="1"/>
      <c r="V15203" s="5"/>
    </row>
    <row r="15204">
      <c r="N15204" s="1"/>
      <c r="V15204" s="5"/>
    </row>
    <row r="15205">
      <c r="N15205" s="1"/>
      <c r="V15205" s="5"/>
    </row>
    <row r="15206">
      <c r="N15206" s="1"/>
      <c r="V15206" s="5"/>
    </row>
    <row r="15207">
      <c r="N15207" s="1"/>
      <c r="V15207" s="5"/>
    </row>
    <row r="15208">
      <c r="N15208" s="1"/>
      <c r="V15208" s="5"/>
    </row>
    <row r="15209">
      <c r="N15209" s="1"/>
      <c r="V15209" s="5"/>
    </row>
    <row r="15210">
      <c r="N15210" s="1"/>
      <c r="V15210" s="5"/>
    </row>
    <row r="15211">
      <c r="N15211" s="1"/>
      <c r="V15211" s="5"/>
    </row>
    <row r="15212">
      <c r="N15212" s="1"/>
      <c r="V15212" s="5"/>
    </row>
    <row r="15213">
      <c r="N15213" s="1"/>
      <c r="V15213" s="5"/>
    </row>
    <row r="15214">
      <c r="N15214" s="1"/>
      <c r="V15214" s="5"/>
    </row>
    <row r="15215">
      <c r="N15215" s="1"/>
      <c r="V15215" s="5"/>
    </row>
    <row r="15216">
      <c r="N15216" s="1"/>
      <c r="V15216" s="5"/>
    </row>
    <row r="15217">
      <c r="N15217" s="1"/>
      <c r="V15217" s="5"/>
    </row>
    <row r="15218">
      <c r="N15218" s="1"/>
      <c r="V15218" s="5"/>
    </row>
    <row r="15219">
      <c r="N15219" s="1"/>
      <c r="V15219" s="5"/>
    </row>
    <row r="15220">
      <c r="N15220" s="1"/>
      <c r="V15220" s="5"/>
    </row>
    <row r="15221">
      <c r="N15221" s="1"/>
      <c r="V15221" s="5"/>
    </row>
    <row r="15222">
      <c r="N15222" s="1"/>
      <c r="V15222" s="5"/>
    </row>
    <row r="15223">
      <c r="N15223" s="1"/>
      <c r="V15223" s="5"/>
    </row>
    <row r="15224">
      <c r="N15224" s="1"/>
      <c r="V15224" s="5"/>
    </row>
    <row r="15225">
      <c r="N15225" s="1"/>
      <c r="V15225" s="5"/>
    </row>
    <row r="15226">
      <c r="N15226" s="1"/>
      <c r="V15226" s="5"/>
    </row>
    <row r="15227">
      <c r="N15227" s="1"/>
      <c r="V15227" s="5"/>
    </row>
    <row r="15228">
      <c r="N15228" s="1"/>
      <c r="V15228" s="5"/>
    </row>
    <row r="15229">
      <c r="N15229" s="1"/>
      <c r="V15229" s="5"/>
    </row>
    <row r="15230">
      <c r="N15230" s="1"/>
      <c r="V15230" s="5"/>
    </row>
    <row r="15231">
      <c r="N15231" s="1"/>
      <c r="V15231" s="5"/>
    </row>
    <row r="15232">
      <c r="N15232" s="1"/>
      <c r="V15232" s="5"/>
    </row>
    <row r="15233">
      <c r="N15233" s="1"/>
      <c r="V15233" s="5"/>
    </row>
    <row r="15234">
      <c r="N15234" s="1"/>
      <c r="V15234" s="5"/>
    </row>
    <row r="15235">
      <c r="N15235" s="1"/>
      <c r="V15235" s="5"/>
    </row>
    <row r="15236">
      <c r="N15236" s="1"/>
      <c r="V15236" s="5"/>
    </row>
    <row r="15237">
      <c r="N15237" s="1"/>
      <c r="V15237" s="5"/>
    </row>
    <row r="15238">
      <c r="N15238" s="1"/>
      <c r="V15238" s="5"/>
    </row>
    <row r="15239">
      <c r="N15239" s="1"/>
      <c r="V15239" s="5"/>
    </row>
    <row r="15240">
      <c r="N15240" s="1"/>
      <c r="V15240" s="5"/>
    </row>
    <row r="15241">
      <c r="N15241" s="1"/>
      <c r="V15241" s="5"/>
    </row>
    <row r="15242">
      <c r="N15242" s="1"/>
      <c r="V15242" s="5"/>
    </row>
    <row r="15243">
      <c r="N15243" s="1"/>
      <c r="V15243" s="5"/>
    </row>
    <row r="15244">
      <c r="N15244" s="1"/>
      <c r="V15244" s="5"/>
    </row>
    <row r="15245">
      <c r="N15245" s="1"/>
      <c r="V15245" s="5"/>
    </row>
    <row r="15246">
      <c r="N15246" s="1"/>
      <c r="V15246" s="5"/>
    </row>
    <row r="15247">
      <c r="N15247" s="1"/>
      <c r="V15247" s="5"/>
    </row>
    <row r="15248">
      <c r="N15248" s="1"/>
      <c r="V15248" s="5"/>
    </row>
    <row r="15249">
      <c r="N15249" s="1"/>
      <c r="V15249" s="5"/>
    </row>
    <row r="15250">
      <c r="N15250" s="1"/>
      <c r="V15250" s="5"/>
    </row>
    <row r="15251">
      <c r="N15251" s="1"/>
      <c r="V15251" s="5"/>
    </row>
    <row r="15252">
      <c r="N15252" s="1"/>
      <c r="V15252" s="5"/>
    </row>
    <row r="15253">
      <c r="N15253" s="1"/>
      <c r="V15253" s="5"/>
    </row>
    <row r="15254">
      <c r="N15254" s="1"/>
      <c r="V15254" s="5"/>
    </row>
    <row r="15255">
      <c r="N15255" s="1"/>
      <c r="V15255" s="5"/>
    </row>
    <row r="15256">
      <c r="N15256" s="1"/>
      <c r="V15256" s="5"/>
    </row>
    <row r="15257">
      <c r="N15257" s="1"/>
      <c r="V15257" s="5"/>
    </row>
    <row r="15258">
      <c r="N15258" s="1"/>
      <c r="V15258" s="5"/>
    </row>
    <row r="15259">
      <c r="N15259" s="1"/>
      <c r="V15259" s="5"/>
    </row>
    <row r="15260">
      <c r="N15260" s="1"/>
      <c r="V15260" s="5"/>
    </row>
    <row r="15261">
      <c r="N15261" s="1"/>
      <c r="V15261" s="5"/>
    </row>
    <row r="15262">
      <c r="N15262" s="1"/>
      <c r="V15262" s="5"/>
    </row>
    <row r="15263">
      <c r="N15263" s="1"/>
      <c r="V15263" s="5"/>
    </row>
    <row r="15264">
      <c r="N15264" s="1"/>
      <c r="V15264" s="5"/>
    </row>
    <row r="15265">
      <c r="N15265" s="1"/>
      <c r="V15265" s="5"/>
    </row>
    <row r="15266">
      <c r="N15266" s="1"/>
      <c r="V15266" s="5"/>
    </row>
    <row r="15267">
      <c r="N15267" s="1"/>
      <c r="V15267" s="5"/>
    </row>
    <row r="15268">
      <c r="N15268" s="1"/>
      <c r="V15268" s="5"/>
    </row>
    <row r="15269">
      <c r="N15269" s="1"/>
      <c r="V15269" s="5"/>
    </row>
    <row r="15270">
      <c r="N15270" s="1"/>
      <c r="V15270" s="5"/>
    </row>
    <row r="15271">
      <c r="N15271" s="1"/>
      <c r="V15271" s="5"/>
    </row>
    <row r="15272">
      <c r="N15272" s="1"/>
      <c r="V15272" s="5"/>
    </row>
    <row r="15273">
      <c r="N15273" s="1"/>
      <c r="V15273" s="5"/>
    </row>
    <row r="15274">
      <c r="N15274" s="1"/>
      <c r="V15274" s="5"/>
    </row>
    <row r="15275">
      <c r="N15275" s="1"/>
      <c r="V15275" s="5"/>
    </row>
    <row r="15276">
      <c r="N15276" s="1"/>
      <c r="V15276" s="5"/>
    </row>
    <row r="15277">
      <c r="N15277" s="1"/>
      <c r="V15277" s="5"/>
    </row>
    <row r="15278">
      <c r="N15278" s="1"/>
      <c r="V15278" s="5"/>
    </row>
    <row r="15279">
      <c r="N15279" s="1"/>
      <c r="V15279" s="5"/>
    </row>
    <row r="15280">
      <c r="N15280" s="1"/>
      <c r="V15280" s="5"/>
    </row>
    <row r="15281">
      <c r="N15281" s="1"/>
      <c r="V15281" s="5"/>
    </row>
    <row r="15282">
      <c r="N15282" s="1"/>
      <c r="V15282" s="5"/>
    </row>
    <row r="15283">
      <c r="N15283" s="1"/>
      <c r="V15283" s="5"/>
    </row>
    <row r="15284">
      <c r="N15284" s="1"/>
      <c r="V15284" s="5"/>
    </row>
    <row r="15285">
      <c r="N15285" s="1"/>
      <c r="V15285" s="5"/>
    </row>
    <row r="15286">
      <c r="N15286" s="1"/>
      <c r="V15286" s="5"/>
    </row>
    <row r="15287">
      <c r="N15287" s="1"/>
      <c r="V15287" s="5"/>
    </row>
    <row r="15288">
      <c r="N15288" s="1"/>
      <c r="V15288" s="5"/>
    </row>
    <row r="15289">
      <c r="N15289" s="1"/>
      <c r="V15289" s="5"/>
    </row>
    <row r="15290">
      <c r="N15290" s="1"/>
      <c r="V15290" s="5"/>
    </row>
    <row r="15291">
      <c r="N15291" s="1"/>
      <c r="V15291" s="5"/>
    </row>
    <row r="15292">
      <c r="N15292" s="1"/>
      <c r="V15292" s="5"/>
    </row>
    <row r="15293">
      <c r="N15293" s="1"/>
      <c r="V15293" s="5"/>
    </row>
    <row r="15294">
      <c r="N15294" s="1"/>
      <c r="V15294" s="5"/>
    </row>
    <row r="15295">
      <c r="N15295" s="1"/>
      <c r="V15295" s="5"/>
    </row>
    <row r="15296">
      <c r="N15296" s="1"/>
      <c r="V15296" s="5"/>
    </row>
    <row r="15297">
      <c r="N15297" s="1"/>
      <c r="V15297" s="5"/>
    </row>
    <row r="15298">
      <c r="N15298" s="1"/>
      <c r="V15298" s="5"/>
    </row>
    <row r="15299">
      <c r="N15299" s="1"/>
      <c r="V15299" s="5"/>
    </row>
    <row r="15300">
      <c r="N15300" s="1"/>
      <c r="V15300" s="5"/>
    </row>
    <row r="15301">
      <c r="N15301" s="1"/>
      <c r="V15301" s="5"/>
    </row>
    <row r="15302">
      <c r="N15302" s="1"/>
      <c r="V15302" s="5"/>
    </row>
    <row r="15303">
      <c r="N15303" s="1"/>
      <c r="V15303" s="5"/>
    </row>
    <row r="15304">
      <c r="N15304" s="1"/>
      <c r="V15304" s="5"/>
    </row>
    <row r="15305">
      <c r="N15305" s="1"/>
      <c r="V15305" s="5"/>
    </row>
    <row r="15306">
      <c r="N15306" s="1"/>
      <c r="V15306" s="5"/>
    </row>
    <row r="15307">
      <c r="N15307" s="1"/>
      <c r="V15307" s="5"/>
    </row>
    <row r="15308">
      <c r="N15308" s="1"/>
      <c r="V15308" s="5"/>
    </row>
    <row r="15309">
      <c r="N15309" s="1"/>
      <c r="V15309" s="5"/>
    </row>
    <row r="15310">
      <c r="N15310" s="1"/>
      <c r="V15310" s="5"/>
    </row>
    <row r="15311">
      <c r="N15311" s="1"/>
      <c r="V15311" s="5"/>
    </row>
    <row r="15312">
      <c r="N15312" s="1"/>
      <c r="V15312" s="5"/>
    </row>
    <row r="15313">
      <c r="N15313" s="1"/>
      <c r="V15313" s="5"/>
    </row>
    <row r="15314">
      <c r="N15314" s="1"/>
      <c r="V15314" s="5"/>
    </row>
    <row r="15315">
      <c r="N15315" s="1"/>
      <c r="V15315" s="5"/>
    </row>
    <row r="15316">
      <c r="N15316" s="1"/>
      <c r="V15316" s="5"/>
    </row>
    <row r="15317">
      <c r="N15317" s="1"/>
      <c r="V15317" s="5"/>
    </row>
    <row r="15318">
      <c r="N15318" s="1"/>
      <c r="V15318" s="5"/>
    </row>
    <row r="15319">
      <c r="N15319" s="1"/>
      <c r="V15319" s="5"/>
    </row>
    <row r="15320">
      <c r="N15320" s="1"/>
      <c r="V15320" s="5"/>
    </row>
    <row r="15321">
      <c r="N15321" s="1"/>
      <c r="V15321" s="5"/>
    </row>
    <row r="15322">
      <c r="N15322" s="1"/>
      <c r="V15322" s="5"/>
    </row>
    <row r="15323">
      <c r="N15323" s="1"/>
      <c r="V15323" s="5"/>
    </row>
    <row r="15324">
      <c r="N15324" s="1"/>
      <c r="V15324" s="5"/>
    </row>
    <row r="15325">
      <c r="N15325" s="1"/>
      <c r="V15325" s="5"/>
    </row>
    <row r="15326">
      <c r="N15326" s="1"/>
      <c r="V15326" s="5"/>
    </row>
    <row r="15327">
      <c r="N15327" s="1"/>
      <c r="V15327" s="5"/>
    </row>
    <row r="15328">
      <c r="N15328" s="1"/>
      <c r="V15328" s="5"/>
    </row>
    <row r="15329">
      <c r="N15329" s="1"/>
      <c r="V15329" s="5"/>
    </row>
    <row r="15330">
      <c r="N15330" s="1"/>
      <c r="V15330" s="5"/>
    </row>
    <row r="15331">
      <c r="N15331" s="1"/>
      <c r="V15331" s="5"/>
    </row>
    <row r="15332">
      <c r="N15332" s="1"/>
      <c r="V15332" s="5"/>
    </row>
    <row r="15333">
      <c r="N15333" s="1"/>
      <c r="V15333" s="5"/>
    </row>
    <row r="15334">
      <c r="N15334" s="1"/>
      <c r="V15334" s="5"/>
    </row>
    <row r="15335">
      <c r="N15335" s="1"/>
      <c r="V15335" s="5"/>
    </row>
    <row r="15336">
      <c r="N15336" s="1"/>
      <c r="V15336" s="5"/>
    </row>
    <row r="15337">
      <c r="N15337" s="1"/>
      <c r="V15337" s="5"/>
    </row>
    <row r="15338">
      <c r="N15338" s="1"/>
      <c r="V15338" s="5"/>
    </row>
    <row r="15339">
      <c r="N15339" s="1"/>
      <c r="V15339" s="5"/>
    </row>
    <row r="15340">
      <c r="N15340" s="1"/>
      <c r="V15340" s="5"/>
    </row>
    <row r="15341">
      <c r="N15341" s="1"/>
      <c r="V15341" s="5"/>
    </row>
    <row r="15342">
      <c r="N15342" s="1"/>
      <c r="V15342" s="5"/>
    </row>
    <row r="15343">
      <c r="N15343" s="1"/>
      <c r="V15343" s="5"/>
    </row>
    <row r="15344">
      <c r="N15344" s="1"/>
      <c r="V15344" s="5"/>
    </row>
    <row r="15345">
      <c r="N15345" s="1"/>
      <c r="V15345" s="5"/>
    </row>
    <row r="15346">
      <c r="N15346" s="1"/>
      <c r="V15346" s="5"/>
    </row>
    <row r="15347">
      <c r="N15347" s="1"/>
      <c r="V15347" s="5"/>
    </row>
    <row r="15348">
      <c r="N15348" s="1"/>
      <c r="V15348" s="5"/>
    </row>
    <row r="15349">
      <c r="N15349" s="1"/>
      <c r="V15349" s="5"/>
    </row>
    <row r="15350">
      <c r="N15350" s="1"/>
      <c r="V15350" s="5"/>
    </row>
    <row r="15351">
      <c r="N15351" s="1"/>
      <c r="V15351" s="5"/>
    </row>
    <row r="15352">
      <c r="N15352" s="1"/>
      <c r="V15352" s="5"/>
    </row>
    <row r="15353">
      <c r="N15353" s="1"/>
      <c r="V15353" s="5"/>
    </row>
    <row r="15354">
      <c r="N15354" s="1"/>
      <c r="V15354" s="5"/>
    </row>
    <row r="15355">
      <c r="N15355" s="1"/>
      <c r="V15355" s="5"/>
    </row>
    <row r="15356">
      <c r="N15356" s="1"/>
      <c r="V15356" s="5"/>
    </row>
    <row r="15357">
      <c r="N15357" s="1"/>
      <c r="V15357" s="5"/>
    </row>
    <row r="15358">
      <c r="N15358" s="1"/>
      <c r="V15358" s="5"/>
    </row>
    <row r="15359">
      <c r="N15359" s="1"/>
      <c r="V15359" s="5"/>
    </row>
    <row r="15360">
      <c r="N15360" s="1"/>
      <c r="V15360" s="5"/>
    </row>
    <row r="15361">
      <c r="N15361" s="1"/>
      <c r="V15361" s="5"/>
    </row>
    <row r="15362">
      <c r="N15362" s="1"/>
      <c r="V15362" s="5"/>
    </row>
    <row r="15363">
      <c r="N15363" s="1"/>
      <c r="V15363" s="5"/>
    </row>
    <row r="15364">
      <c r="N15364" s="1"/>
      <c r="V15364" s="5"/>
    </row>
    <row r="15365">
      <c r="N15365" s="1"/>
      <c r="V15365" s="5"/>
    </row>
    <row r="15366">
      <c r="N15366" s="1"/>
      <c r="V15366" s="5"/>
    </row>
    <row r="15367">
      <c r="N15367" s="1"/>
      <c r="V15367" s="5"/>
    </row>
    <row r="15368">
      <c r="N15368" s="1"/>
      <c r="V15368" s="5"/>
    </row>
    <row r="15369">
      <c r="N15369" s="1"/>
      <c r="V15369" s="5"/>
    </row>
    <row r="15370">
      <c r="N15370" s="1"/>
      <c r="V15370" s="5"/>
    </row>
    <row r="15371">
      <c r="N15371" s="1"/>
      <c r="V15371" s="5"/>
    </row>
    <row r="15372">
      <c r="N15372" s="1"/>
      <c r="V15372" s="5"/>
    </row>
    <row r="15373">
      <c r="N15373" s="1"/>
      <c r="V15373" s="5"/>
    </row>
    <row r="15374">
      <c r="N15374" s="1"/>
      <c r="V15374" s="5"/>
    </row>
    <row r="15375">
      <c r="N15375" s="1"/>
      <c r="V15375" s="5"/>
    </row>
    <row r="15376">
      <c r="N15376" s="1"/>
      <c r="V15376" s="5"/>
    </row>
    <row r="15377">
      <c r="N15377" s="1"/>
      <c r="V15377" s="5"/>
    </row>
    <row r="15378">
      <c r="N15378" s="1"/>
      <c r="V15378" s="5"/>
    </row>
    <row r="15379">
      <c r="N15379" s="1"/>
      <c r="V15379" s="5"/>
    </row>
    <row r="15380">
      <c r="N15380" s="1"/>
      <c r="V15380" s="5"/>
    </row>
    <row r="15381">
      <c r="N15381" s="1"/>
      <c r="V15381" s="5"/>
    </row>
    <row r="15382">
      <c r="N15382" s="1"/>
      <c r="V15382" s="5"/>
    </row>
    <row r="15383">
      <c r="N15383" s="1"/>
      <c r="V15383" s="5"/>
    </row>
    <row r="15384">
      <c r="N15384" s="1"/>
      <c r="V15384" s="5"/>
    </row>
    <row r="15385">
      <c r="N15385" s="1"/>
      <c r="V15385" s="5"/>
    </row>
    <row r="15386">
      <c r="N15386" s="1"/>
      <c r="V15386" s="5"/>
    </row>
    <row r="15387">
      <c r="N15387" s="1"/>
      <c r="V15387" s="5"/>
    </row>
    <row r="15388">
      <c r="N15388" s="1"/>
      <c r="V15388" s="5"/>
    </row>
    <row r="15389">
      <c r="N15389" s="1"/>
      <c r="V15389" s="5"/>
    </row>
    <row r="15390">
      <c r="N15390" s="1"/>
      <c r="V15390" s="5"/>
    </row>
    <row r="15391">
      <c r="N15391" s="1"/>
      <c r="V15391" s="5"/>
    </row>
    <row r="15392">
      <c r="N15392" s="1"/>
      <c r="V15392" s="5"/>
    </row>
    <row r="15393">
      <c r="N15393" s="1"/>
      <c r="V15393" s="5"/>
    </row>
    <row r="15394">
      <c r="N15394" s="1"/>
      <c r="V15394" s="5"/>
    </row>
    <row r="15395">
      <c r="N15395" s="1"/>
      <c r="V15395" s="5"/>
    </row>
    <row r="15396">
      <c r="N15396" s="1"/>
      <c r="V15396" s="5"/>
    </row>
    <row r="15397">
      <c r="N15397" s="1"/>
      <c r="V15397" s="5"/>
    </row>
    <row r="15398">
      <c r="N15398" s="1"/>
      <c r="V15398" s="5"/>
    </row>
    <row r="15399">
      <c r="N15399" s="1"/>
      <c r="V15399" s="5"/>
    </row>
    <row r="15400">
      <c r="N15400" s="1"/>
      <c r="V15400" s="5"/>
    </row>
    <row r="15401">
      <c r="N15401" s="1"/>
      <c r="V15401" s="5"/>
    </row>
    <row r="15402">
      <c r="N15402" s="1"/>
      <c r="V15402" s="5"/>
    </row>
    <row r="15403">
      <c r="N15403" s="1"/>
      <c r="V15403" s="5"/>
    </row>
    <row r="15404">
      <c r="N15404" s="1"/>
      <c r="V15404" s="5"/>
    </row>
    <row r="15405">
      <c r="N15405" s="1"/>
      <c r="V15405" s="5"/>
    </row>
    <row r="15406">
      <c r="N15406" s="1"/>
      <c r="V15406" s="5"/>
    </row>
    <row r="15407">
      <c r="N15407" s="1"/>
      <c r="V15407" s="5"/>
    </row>
    <row r="15408">
      <c r="N15408" s="1"/>
      <c r="V15408" s="5"/>
    </row>
    <row r="15409">
      <c r="N15409" s="1"/>
      <c r="V15409" s="5"/>
    </row>
    <row r="15410">
      <c r="N15410" s="1"/>
      <c r="V15410" s="5"/>
    </row>
    <row r="15411">
      <c r="N15411" s="1"/>
      <c r="V15411" s="5"/>
    </row>
    <row r="15412">
      <c r="N15412" s="1"/>
      <c r="V15412" s="5"/>
    </row>
    <row r="15413">
      <c r="N15413" s="1"/>
      <c r="V15413" s="5"/>
    </row>
    <row r="15414">
      <c r="N15414" s="1"/>
      <c r="V15414" s="5"/>
    </row>
    <row r="15415">
      <c r="N15415" s="1"/>
      <c r="V15415" s="5"/>
    </row>
    <row r="15416">
      <c r="N15416" s="1"/>
      <c r="V15416" s="5"/>
    </row>
    <row r="15417">
      <c r="N15417" s="1"/>
      <c r="V15417" s="5"/>
    </row>
    <row r="15418">
      <c r="N15418" s="1"/>
      <c r="V15418" s="5"/>
    </row>
    <row r="15419">
      <c r="N15419" s="1"/>
      <c r="V15419" s="5"/>
    </row>
    <row r="15420">
      <c r="N15420" s="1"/>
      <c r="V15420" s="5"/>
    </row>
    <row r="15421">
      <c r="N15421" s="1"/>
      <c r="V15421" s="5"/>
    </row>
    <row r="15422">
      <c r="N15422" s="1"/>
      <c r="V15422" s="5"/>
    </row>
    <row r="15423">
      <c r="N15423" s="1"/>
      <c r="V15423" s="5"/>
    </row>
    <row r="15424">
      <c r="N15424" s="1"/>
      <c r="V15424" s="5"/>
    </row>
    <row r="15425">
      <c r="N15425" s="1"/>
      <c r="V15425" s="5"/>
    </row>
    <row r="15426">
      <c r="N15426" s="1"/>
      <c r="V15426" s="5"/>
    </row>
    <row r="15427">
      <c r="N15427" s="1"/>
      <c r="V15427" s="5"/>
    </row>
    <row r="15428">
      <c r="N15428" s="1"/>
      <c r="V15428" s="5"/>
    </row>
    <row r="15429">
      <c r="N15429" s="1"/>
      <c r="V15429" s="5"/>
    </row>
    <row r="15430">
      <c r="N15430" s="1"/>
      <c r="V15430" s="5"/>
    </row>
    <row r="15431">
      <c r="N15431" s="1"/>
      <c r="V15431" s="5"/>
    </row>
    <row r="15432">
      <c r="N15432" s="1"/>
      <c r="V15432" s="5"/>
    </row>
    <row r="15433">
      <c r="N15433" s="1"/>
      <c r="V15433" s="5"/>
    </row>
    <row r="15434">
      <c r="N15434" s="1"/>
      <c r="V15434" s="5"/>
    </row>
    <row r="15435">
      <c r="N15435" s="1"/>
      <c r="V15435" s="5"/>
    </row>
    <row r="15436">
      <c r="N15436" s="1"/>
      <c r="V15436" s="5"/>
    </row>
    <row r="15437">
      <c r="N15437" s="1"/>
      <c r="V15437" s="5"/>
    </row>
    <row r="15438">
      <c r="N15438" s="1"/>
      <c r="V15438" s="5"/>
    </row>
    <row r="15439">
      <c r="N15439" s="1"/>
      <c r="V15439" s="5"/>
    </row>
    <row r="15440">
      <c r="N15440" s="1"/>
      <c r="V15440" s="5"/>
    </row>
    <row r="15441">
      <c r="N15441" s="1"/>
      <c r="V15441" s="5"/>
    </row>
    <row r="15442">
      <c r="N15442" s="1"/>
      <c r="V15442" s="5"/>
    </row>
    <row r="15443">
      <c r="N15443" s="1"/>
      <c r="V15443" s="5"/>
    </row>
    <row r="15444">
      <c r="N15444" s="1"/>
      <c r="V15444" s="5"/>
    </row>
    <row r="15445">
      <c r="N15445" s="1"/>
      <c r="V15445" s="5"/>
    </row>
    <row r="15446">
      <c r="N15446" s="1"/>
      <c r="V15446" s="5"/>
    </row>
    <row r="15447">
      <c r="N15447" s="1"/>
      <c r="V15447" s="5"/>
    </row>
    <row r="15448">
      <c r="N15448" s="1"/>
      <c r="V15448" s="5"/>
    </row>
    <row r="15449">
      <c r="N15449" s="1"/>
      <c r="V15449" s="5"/>
    </row>
    <row r="15450">
      <c r="N15450" s="1"/>
      <c r="V15450" s="5"/>
    </row>
    <row r="15451">
      <c r="N15451" s="1"/>
      <c r="V15451" s="5"/>
    </row>
    <row r="15452">
      <c r="N15452" s="1"/>
      <c r="V15452" s="5"/>
    </row>
    <row r="15453">
      <c r="N15453" s="1"/>
      <c r="V15453" s="5"/>
    </row>
    <row r="15454">
      <c r="N15454" s="1"/>
      <c r="V15454" s="5"/>
    </row>
    <row r="15455">
      <c r="N15455" s="1"/>
      <c r="V15455" s="5"/>
    </row>
    <row r="15456">
      <c r="N15456" s="1"/>
      <c r="V15456" s="5"/>
    </row>
    <row r="15457">
      <c r="N15457" s="1"/>
      <c r="V15457" s="5"/>
    </row>
    <row r="15458">
      <c r="N15458" s="1"/>
      <c r="V15458" s="5"/>
    </row>
    <row r="15459">
      <c r="N15459" s="1"/>
      <c r="V15459" s="5"/>
    </row>
    <row r="15460">
      <c r="N15460" s="1"/>
      <c r="V15460" s="5"/>
    </row>
    <row r="15461">
      <c r="N15461" s="1"/>
      <c r="V15461" s="5"/>
    </row>
    <row r="15462">
      <c r="N15462" s="1"/>
      <c r="V15462" s="5"/>
    </row>
    <row r="15463">
      <c r="N15463" s="1"/>
      <c r="V15463" s="5"/>
    </row>
    <row r="15464">
      <c r="N15464" s="1"/>
      <c r="V15464" s="5"/>
    </row>
    <row r="15465">
      <c r="N15465" s="1"/>
      <c r="V15465" s="5"/>
    </row>
    <row r="15466">
      <c r="N15466" s="1"/>
      <c r="V15466" s="5"/>
    </row>
    <row r="15467">
      <c r="N15467" s="1"/>
      <c r="V15467" s="5"/>
    </row>
    <row r="15468">
      <c r="N15468" s="1"/>
      <c r="V15468" s="5"/>
    </row>
    <row r="15469">
      <c r="N15469" s="1"/>
      <c r="V15469" s="5"/>
    </row>
    <row r="15470">
      <c r="N15470" s="1"/>
      <c r="V15470" s="5"/>
    </row>
    <row r="15471">
      <c r="N15471" s="1"/>
      <c r="V15471" s="5"/>
    </row>
    <row r="15472">
      <c r="N15472" s="1"/>
      <c r="V15472" s="5"/>
    </row>
    <row r="15473">
      <c r="N15473" s="1"/>
      <c r="V15473" s="5"/>
    </row>
    <row r="15474">
      <c r="N15474" s="1"/>
      <c r="V15474" s="5"/>
    </row>
    <row r="15475">
      <c r="N15475" s="1"/>
      <c r="V15475" s="5"/>
    </row>
    <row r="15476">
      <c r="N15476" s="1"/>
      <c r="V15476" s="5"/>
    </row>
    <row r="15477">
      <c r="N15477" s="1"/>
      <c r="V15477" s="5"/>
    </row>
    <row r="15478">
      <c r="N15478" s="1"/>
      <c r="V15478" s="5"/>
    </row>
    <row r="15479">
      <c r="N15479" s="1"/>
      <c r="V15479" s="5"/>
    </row>
    <row r="15480">
      <c r="N15480" s="1"/>
      <c r="V15480" s="5"/>
    </row>
    <row r="15481">
      <c r="N15481" s="1"/>
      <c r="V15481" s="5"/>
    </row>
    <row r="15482">
      <c r="N15482" s="1"/>
      <c r="V15482" s="5"/>
    </row>
    <row r="15483">
      <c r="N15483" s="1"/>
      <c r="V15483" s="5"/>
    </row>
    <row r="15484">
      <c r="N15484" s="1"/>
      <c r="V15484" s="5"/>
    </row>
    <row r="15485">
      <c r="N15485" s="1"/>
      <c r="V15485" s="5"/>
    </row>
    <row r="15486">
      <c r="N15486" s="1"/>
      <c r="V15486" s="5"/>
    </row>
    <row r="15487">
      <c r="N15487" s="1"/>
      <c r="V15487" s="5"/>
    </row>
    <row r="15488">
      <c r="N15488" s="1"/>
      <c r="V15488" s="5"/>
    </row>
    <row r="15489">
      <c r="N15489" s="1"/>
      <c r="V15489" s="5"/>
    </row>
    <row r="15490">
      <c r="N15490" s="1"/>
      <c r="V15490" s="5"/>
    </row>
    <row r="15491">
      <c r="N15491" s="1"/>
      <c r="V15491" s="5"/>
    </row>
    <row r="15492">
      <c r="N15492" s="1"/>
      <c r="V15492" s="5"/>
    </row>
    <row r="15493">
      <c r="N15493" s="1"/>
      <c r="V15493" s="5"/>
    </row>
    <row r="15494">
      <c r="N15494" s="1"/>
      <c r="V15494" s="5"/>
    </row>
    <row r="15495">
      <c r="N15495" s="1"/>
      <c r="V15495" s="5"/>
    </row>
    <row r="15496">
      <c r="N15496" s="1"/>
      <c r="V15496" s="5"/>
    </row>
    <row r="15497">
      <c r="N15497" s="1"/>
      <c r="V15497" s="5"/>
    </row>
    <row r="15498">
      <c r="N15498" s="1"/>
      <c r="V15498" s="5"/>
    </row>
    <row r="15499">
      <c r="N15499" s="1"/>
      <c r="V15499" s="5"/>
    </row>
    <row r="15500">
      <c r="N15500" s="1"/>
      <c r="V15500" s="5"/>
    </row>
    <row r="15501">
      <c r="N15501" s="1"/>
      <c r="V15501" s="5"/>
    </row>
    <row r="15502">
      <c r="N15502" s="1"/>
      <c r="V15502" s="5"/>
    </row>
    <row r="15503">
      <c r="N15503" s="1"/>
      <c r="V15503" s="5"/>
    </row>
    <row r="15504">
      <c r="N15504" s="1"/>
      <c r="V15504" s="5"/>
    </row>
    <row r="15505">
      <c r="N15505" s="1"/>
      <c r="V15505" s="5"/>
    </row>
    <row r="15506">
      <c r="N15506" s="1"/>
      <c r="V15506" s="5"/>
    </row>
    <row r="15507">
      <c r="N15507" s="1"/>
      <c r="V15507" s="5"/>
    </row>
    <row r="15508">
      <c r="N15508" s="1"/>
      <c r="V15508" s="5"/>
    </row>
    <row r="15509">
      <c r="N15509" s="1"/>
      <c r="V15509" s="5"/>
    </row>
    <row r="15510">
      <c r="N15510" s="1"/>
      <c r="V15510" s="5"/>
    </row>
    <row r="15511">
      <c r="N15511" s="1"/>
      <c r="V15511" s="5"/>
    </row>
    <row r="15512">
      <c r="N15512" s="1"/>
      <c r="V15512" s="5"/>
    </row>
    <row r="15513">
      <c r="N15513" s="1"/>
      <c r="V15513" s="5"/>
    </row>
    <row r="15514">
      <c r="N15514" s="1"/>
      <c r="V15514" s="5"/>
    </row>
    <row r="15515">
      <c r="N15515" s="1"/>
      <c r="V15515" s="5"/>
    </row>
    <row r="15516">
      <c r="N15516" s="1"/>
      <c r="V15516" s="5"/>
    </row>
    <row r="15517">
      <c r="N15517" s="1"/>
      <c r="V15517" s="5"/>
    </row>
    <row r="15518">
      <c r="N15518" s="1"/>
      <c r="V15518" s="5"/>
    </row>
    <row r="15519">
      <c r="N15519" s="1"/>
      <c r="V15519" s="5"/>
    </row>
    <row r="15520">
      <c r="N15520" s="1"/>
      <c r="V15520" s="5"/>
    </row>
    <row r="15521">
      <c r="N15521" s="1"/>
      <c r="V15521" s="5"/>
    </row>
    <row r="15522">
      <c r="N15522" s="1"/>
      <c r="V15522" s="5"/>
    </row>
    <row r="15523">
      <c r="N15523" s="1"/>
      <c r="V15523" s="5"/>
    </row>
    <row r="15524">
      <c r="N15524" s="1"/>
      <c r="V15524" s="5"/>
    </row>
    <row r="15525">
      <c r="N15525" s="1"/>
      <c r="V15525" s="5"/>
    </row>
    <row r="15526">
      <c r="N15526" s="1"/>
      <c r="V15526" s="5"/>
    </row>
    <row r="15527">
      <c r="N15527" s="1"/>
      <c r="V15527" s="5"/>
    </row>
    <row r="15528">
      <c r="N15528" s="1"/>
      <c r="V15528" s="5"/>
    </row>
    <row r="15529">
      <c r="N15529" s="1"/>
      <c r="V15529" s="5"/>
    </row>
    <row r="15530">
      <c r="N15530" s="1"/>
      <c r="V15530" s="5"/>
    </row>
    <row r="15531">
      <c r="N15531" s="1"/>
      <c r="V15531" s="5"/>
    </row>
    <row r="15532">
      <c r="N15532" s="1"/>
      <c r="V15532" s="5"/>
    </row>
    <row r="15533">
      <c r="N15533" s="1"/>
      <c r="V15533" s="5"/>
    </row>
    <row r="15534">
      <c r="N15534" s="1"/>
      <c r="V15534" s="5"/>
    </row>
    <row r="15535">
      <c r="N15535" s="1"/>
      <c r="V15535" s="5"/>
    </row>
    <row r="15536">
      <c r="N15536" s="1"/>
      <c r="V15536" s="5"/>
    </row>
    <row r="15537">
      <c r="N15537" s="1"/>
      <c r="V15537" s="5"/>
    </row>
    <row r="15538">
      <c r="N15538" s="1"/>
      <c r="V15538" s="5"/>
    </row>
    <row r="15539">
      <c r="N15539" s="1"/>
      <c r="V15539" s="5"/>
    </row>
    <row r="15540">
      <c r="N15540" s="1"/>
      <c r="V15540" s="5"/>
    </row>
    <row r="15541">
      <c r="N15541" s="1"/>
      <c r="V15541" s="5"/>
    </row>
    <row r="15542">
      <c r="N15542" s="1"/>
      <c r="V15542" s="5"/>
    </row>
    <row r="15543">
      <c r="N15543" s="1"/>
      <c r="V15543" s="5"/>
    </row>
    <row r="15544">
      <c r="N15544" s="1"/>
      <c r="V15544" s="5"/>
    </row>
    <row r="15545">
      <c r="N15545" s="1"/>
      <c r="V15545" s="5"/>
    </row>
    <row r="15546">
      <c r="N15546" s="1"/>
      <c r="V15546" s="5"/>
    </row>
    <row r="15547">
      <c r="N15547" s="1"/>
      <c r="V15547" s="5"/>
    </row>
    <row r="15548">
      <c r="N15548" s="1"/>
      <c r="V15548" s="5"/>
    </row>
    <row r="15549">
      <c r="N15549" s="1"/>
      <c r="V15549" s="5"/>
    </row>
    <row r="15550">
      <c r="N15550" s="1"/>
      <c r="V15550" s="5"/>
    </row>
    <row r="15551">
      <c r="N15551" s="1"/>
      <c r="V15551" s="5"/>
    </row>
    <row r="15552">
      <c r="N15552" s="1"/>
      <c r="V15552" s="5"/>
    </row>
    <row r="15553">
      <c r="N15553" s="1"/>
      <c r="V15553" s="5"/>
    </row>
    <row r="15554">
      <c r="N15554" s="1"/>
      <c r="V15554" s="5"/>
    </row>
    <row r="15555">
      <c r="N15555" s="1"/>
      <c r="V15555" s="5"/>
    </row>
    <row r="15556">
      <c r="N15556" s="1"/>
      <c r="V15556" s="5"/>
    </row>
    <row r="15557">
      <c r="N15557" s="1"/>
      <c r="V15557" s="5"/>
    </row>
    <row r="15558">
      <c r="N15558" s="1"/>
      <c r="V15558" s="5"/>
    </row>
    <row r="15559">
      <c r="N15559" s="1"/>
      <c r="V15559" s="5"/>
    </row>
    <row r="15560">
      <c r="N15560" s="1"/>
      <c r="V15560" s="5"/>
    </row>
    <row r="15561">
      <c r="N15561" s="1"/>
      <c r="V15561" s="5"/>
    </row>
    <row r="15562">
      <c r="N15562" s="1"/>
      <c r="V15562" s="5"/>
    </row>
    <row r="15563">
      <c r="N15563" s="1"/>
      <c r="V15563" s="5"/>
    </row>
    <row r="15564">
      <c r="N15564" s="1"/>
      <c r="V15564" s="5"/>
    </row>
    <row r="15565">
      <c r="N15565" s="1"/>
      <c r="V15565" s="5"/>
    </row>
    <row r="15566">
      <c r="N15566" s="1"/>
      <c r="V15566" s="5"/>
    </row>
    <row r="15567">
      <c r="N15567" s="1"/>
      <c r="V15567" s="5"/>
    </row>
    <row r="15568">
      <c r="N15568" s="1"/>
      <c r="V15568" s="5"/>
    </row>
    <row r="15569">
      <c r="N15569" s="1"/>
      <c r="V15569" s="5"/>
    </row>
    <row r="15570">
      <c r="N15570" s="1"/>
      <c r="V15570" s="5"/>
    </row>
    <row r="15571">
      <c r="N15571" s="1"/>
      <c r="V15571" s="5"/>
    </row>
    <row r="15572">
      <c r="N15572" s="1"/>
      <c r="V15572" s="5"/>
    </row>
    <row r="15573">
      <c r="N15573" s="1"/>
      <c r="V15573" s="5"/>
    </row>
    <row r="15574">
      <c r="N15574" s="1"/>
      <c r="V15574" s="5"/>
    </row>
    <row r="15575">
      <c r="N15575" s="1"/>
      <c r="V15575" s="5"/>
    </row>
    <row r="15576">
      <c r="N15576" s="1"/>
      <c r="V15576" s="5"/>
    </row>
    <row r="15577">
      <c r="N15577" s="1"/>
      <c r="V15577" s="5"/>
    </row>
    <row r="15578">
      <c r="N15578" s="1"/>
      <c r="V15578" s="5"/>
    </row>
    <row r="15579">
      <c r="N15579" s="1"/>
      <c r="V15579" s="5"/>
    </row>
    <row r="15580">
      <c r="N15580" s="1"/>
      <c r="V15580" s="5"/>
    </row>
    <row r="15581">
      <c r="N15581" s="1"/>
      <c r="V15581" s="5"/>
    </row>
    <row r="15582">
      <c r="N15582" s="1"/>
      <c r="V15582" s="5"/>
    </row>
    <row r="15583">
      <c r="N15583" s="1"/>
      <c r="V15583" s="5"/>
    </row>
    <row r="15584">
      <c r="N15584" s="1"/>
      <c r="V15584" s="5"/>
    </row>
    <row r="15585">
      <c r="N15585" s="1"/>
      <c r="V15585" s="5"/>
    </row>
    <row r="15586">
      <c r="N15586" s="1"/>
      <c r="V15586" s="5"/>
    </row>
    <row r="15587">
      <c r="N15587" s="1"/>
      <c r="V15587" s="5"/>
    </row>
    <row r="15588">
      <c r="N15588" s="1"/>
      <c r="V15588" s="5"/>
    </row>
    <row r="15589">
      <c r="N15589" s="1"/>
      <c r="V15589" s="5"/>
    </row>
    <row r="15590">
      <c r="N15590" s="1"/>
      <c r="V15590" s="5"/>
    </row>
    <row r="15591">
      <c r="N15591" s="1"/>
      <c r="V15591" s="5"/>
    </row>
    <row r="15592">
      <c r="N15592" s="1"/>
      <c r="V15592" s="5"/>
    </row>
    <row r="15593">
      <c r="N15593" s="1"/>
      <c r="V15593" s="5"/>
    </row>
    <row r="15594">
      <c r="N15594" s="1"/>
      <c r="V15594" s="5"/>
    </row>
    <row r="15595">
      <c r="N15595" s="1"/>
      <c r="V15595" s="5"/>
    </row>
    <row r="15596">
      <c r="N15596" s="1"/>
      <c r="V15596" s="5"/>
    </row>
    <row r="15597">
      <c r="N15597" s="1"/>
      <c r="V15597" s="5"/>
    </row>
    <row r="15598">
      <c r="N15598" s="1"/>
      <c r="V15598" s="5"/>
    </row>
    <row r="15599">
      <c r="N15599" s="1"/>
      <c r="V15599" s="5"/>
    </row>
    <row r="15600">
      <c r="N15600" s="1"/>
      <c r="V15600" s="5"/>
    </row>
    <row r="15601">
      <c r="N15601" s="1"/>
      <c r="V15601" s="5"/>
    </row>
    <row r="15602">
      <c r="N15602" s="1"/>
      <c r="V15602" s="5"/>
    </row>
    <row r="15603">
      <c r="N15603" s="1"/>
      <c r="V15603" s="5"/>
    </row>
    <row r="15604">
      <c r="N15604" s="1"/>
      <c r="V15604" s="5"/>
    </row>
    <row r="15605">
      <c r="N15605" s="1"/>
      <c r="V15605" s="5"/>
    </row>
    <row r="15606">
      <c r="N15606" s="1"/>
      <c r="V15606" s="5"/>
    </row>
    <row r="15607">
      <c r="N15607" s="1"/>
      <c r="V15607" s="5"/>
    </row>
    <row r="15608">
      <c r="N15608" s="1"/>
      <c r="V15608" s="5"/>
    </row>
    <row r="15609">
      <c r="N15609" s="1"/>
      <c r="V15609" s="5"/>
    </row>
    <row r="15610">
      <c r="N15610" s="1"/>
      <c r="V15610" s="5"/>
    </row>
    <row r="15611">
      <c r="N15611" s="1"/>
      <c r="V15611" s="5"/>
    </row>
    <row r="15612">
      <c r="N15612" s="1"/>
      <c r="V15612" s="5"/>
    </row>
    <row r="15613">
      <c r="N15613" s="1"/>
      <c r="V15613" s="5"/>
    </row>
    <row r="15614">
      <c r="N15614" s="1"/>
      <c r="V15614" s="5"/>
    </row>
    <row r="15615">
      <c r="N15615" s="1"/>
      <c r="V15615" s="5"/>
    </row>
    <row r="15616">
      <c r="N15616" s="1"/>
      <c r="V15616" s="5"/>
    </row>
    <row r="15617">
      <c r="N15617" s="1"/>
      <c r="V15617" s="5"/>
    </row>
    <row r="15618">
      <c r="N15618" s="1"/>
      <c r="V15618" s="5"/>
    </row>
    <row r="15619">
      <c r="N15619" s="1"/>
      <c r="V15619" s="5"/>
    </row>
    <row r="15620">
      <c r="N15620" s="1"/>
      <c r="V15620" s="5"/>
    </row>
    <row r="15621">
      <c r="N15621" s="1"/>
      <c r="V15621" s="5"/>
    </row>
    <row r="15622">
      <c r="N15622" s="1"/>
      <c r="V15622" s="5"/>
    </row>
    <row r="15623">
      <c r="N15623" s="1"/>
      <c r="V15623" s="5"/>
    </row>
    <row r="15624">
      <c r="N15624" s="1"/>
      <c r="V15624" s="5"/>
    </row>
    <row r="15625">
      <c r="N15625" s="1"/>
      <c r="V15625" s="5"/>
    </row>
    <row r="15626">
      <c r="N15626" s="1"/>
      <c r="V15626" s="5"/>
    </row>
    <row r="15627">
      <c r="N15627" s="1"/>
      <c r="V15627" s="5"/>
    </row>
    <row r="15628">
      <c r="N15628" s="1"/>
      <c r="V15628" s="5"/>
    </row>
    <row r="15629">
      <c r="N15629" s="1"/>
      <c r="V15629" s="5"/>
    </row>
    <row r="15630">
      <c r="N15630" s="1"/>
      <c r="V15630" s="5"/>
    </row>
    <row r="15631">
      <c r="N15631" s="1"/>
      <c r="V15631" s="5"/>
    </row>
    <row r="15632">
      <c r="N15632" s="1"/>
      <c r="V15632" s="5"/>
    </row>
    <row r="15633">
      <c r="N15633" s="1"/>
      <c r="V15633" s="5"/>
    </row>
    <row r="15634">
      <c r="N15634" s="1"/>
      <c r="V15634" s="5"/>
    </row>
    <row r="15635">
      <c r="N15635" s="1"/>
      <c r="V15635" s="5"/>
    </row>
    <row r="15636">
      <c r="N15636" s="1"/>
      <c r="V15636" s="5"/>
    </row>
    <row r="15637">
      <c r="N15637" s="1"/>
      <c r="V15637" s="5"/>
    </row>
    <row r="15638">
      <c r="N15638" s="1"/>
      <c r="V15638" s="5"/>
    </row>
    <row r="15639">
      <c r="N15639" s="1"/>
      <c r="V15639" s="5"/>
    </row>
    <row r="15640">
      <c r="N15640" s="1"/>
      <c r="V15640" s="5"/>
    </row>
    <row r="15641">
      <c r="N15641" s="1"/>
      <c r="V15641" s="5"/>
    </row>
    <row r="15642">
      <c r="N15642" s="1"/>
      <c r="V15642" s="5"/>
    </row>
    <row r="15643">
      <c r="N15643" s="1"/>
      <c r="V15643" s="5"/>
    </row>
    <row r="15644">
      <c r="N15644" s="1"/>
      <c r="V15644" s="5"/>
    </row>
    <row r="15645">
      <c r="N15645" s="1"/>
      <c r="V15645" s="5"/>
    </row>
    <row r="15646">
      <c r="N15646" s="1"/>
      <c r="V15646" s="5"/>
    </row>
    <row r="15647">
      <c r="N15647" s="1"/>
      <c r="V15647" s="5"/>
    </row>
    <row r="15648">
      <c r="N15648" s="1"/>
      <c r="V15648" s="5"/>
    </row>
    <row r="15649">
      <c r="N15649" s="1"/>
      <c r="V15649" s="5"/>
    </row>
    <row r="15650">
      <c r="N15650" s="1"/>
      <c r="V15650" s="5"/>
    </row>
    <row r="15651">
      <c r="N15651" s="1"/>
      <c r="V15651" s="5"/>
    </row>
    <row r="15652">
      <c r="N15652" s="1"/>
      <c r="V15652" s="5"/>
    </row>
    <row r="15653">
      <c r="N15653" s="1"/>
      <c r="V15653" s="5"/>
    </row>
    <row r="15654">
      <c r="N15654" s="1"/>
      <c r="V15654" s="5"/>
    </row>
    <row r="15655">
      <c r="N15655" s="1"/>
      <c r="V15655" s="5"/>
    </row>
    <row r="15656">
      <c r="N15656" s="1"/>
      <c r="V15656" s="5"/>
    </row>
    <row r="15657">
      <c r="N15657" s="1"/>
      <c r="V15657" s="5"/>
    </row>
    <row r="15658">
      <c r="N15658" s="1"/>
      <c r="V15658" s="5"/>
    </row>
    <row r="15659">
      <c r="N15659" s="1"/>
      <c r="V15659" s="5"/>
    </row>
    <row r="15660">
      <c r="N15660" s="1"/>
      <c r="V15660" s="5"/>
    </row>
    <row r="15661">
      <c r="N15661" s="1"/>
      <c r="V15661" s="5"/>
    </row>
    <row r="15662">
      <c r="N15662" s="1"/>
      <c r="V15662" s="5"/>
    </row>
    <row r="15663">
      <c r="N15663" s="1"/>
      <c r="V15663" s="5"/>
    </row>
    <row r="15664">
      <c r="N15664" s="1"/>
      <c r="V15664" s="5"/>
    </row>
    <row r="15665">
      <c r="N15665" s="1"/>
      <c r="V15665" s="5"/>
    </row>
    <row r="15666">
      <c r="N15666" s="1"/>
      <c r="V15666" s="5"/>
    </row>
    <row r="15667">
      <c r="N15667" s="1"/>
      <c r="V15667" s="5"/>
    </row>
    <row r="15668">
      <c r="N15668" s="1"/>
      <c r="V15668" s="5"/>
    </row>
    <row r="15669">
      <c r="N15669" s="1"/>
      <c r="V15669" s="5"/>
    </row>
    <row r="15670">
      <c r="N15670" s="1"/>
      <c r="V15670" s="5"/>
    </row>
    <row r="15671">
      <c r="N15671" s="1"/>
      <c r="V15671" s="5"/>
    </row>
    <row r="15672">
      <c r="N15672" s="1"/>
      <c r="V15672" s="5"/>
    </row>
    <row r="15673">
      <c r="N15673" s="1"/>
      <c r="V15673" s="5"/>
    </row>
    <row r="15674">
      <c r="N15674" s="1"/>
      <c r="V15674" s="5"/>
    </row>
    <row r="15675">
      <c r="N15675" s="1"/>
      <c r="V15675" s="5"/>
    </row>
    <row r="15676">
      <c r="N15676" s="1"/>
      <c r="V15676" s="5"/>
    </row>
    <row r="15677">
      <c r="N15677" s="1"/>
      <c r="V15677" s="5"/>
    </row>
    <row r="15678">
      <c r="N15678" s="1"/>
      <c r="V15678" s="5"/>
    </row>
    <row r="15679">
      <c r="N15679" s="1"/>
      <c r="V15679" s="5"/>
    </row>
    <row r="15680">
      <c r="N15680" s="1"/>
      <c r="V15680" s="5"/>
    </row>
    <row r="15681">
      <c r="N15681" s="1"/>
      <c r="V15681" s="5"/>
    </row>
    <row r="15682">
      <c r="N15682" s="1"/>
      <c r="V15682" s="5"/>
    </row>
    <row r="15683">
      <c r="N15683" s="1"/>
      <c r="V15683" s="5"/>
    </row>
    <row r="15684">
      <c r="N15684" s="1"/>
      <c r="V15684" s="5"/>
    </row>
    <row r="15685">
      <c r="N15685" s="1"/>
      <c r="V15685" s="5"/>
    </row>
    <row r="15686">
      <c r="N15686" s="1"/>
      <c r="V15686" s="5"/>
    </row>
    <row r="15687">
      <c r="N15687" s="1"/>
      <c r="V15687" s="5"/>
    </row>
    <row r="15688">
      <c r="N15688" s="1"/>
      <c r="V15688" s="5"/>
    </row>
    <row r="15689">
      <c r="N15689" s="1"/>
      <c r="V15689" s="5"/>
    </row>
    <row r="15690">
      <c r="N15690" s="1"/>
      <c r="V15690" s="5"/>
    </row>
    <row r="15691">
      <c r="N15691" s="1"/>
      <c r="V15691" s="5"/>
    </row>
    <row r="15692">
      <c r="N15692" s="1"/>
      <c r="V15692" s="5"/>
    </row>
    <row r="15693">
      <c r="N15693" s="1"/>
      <c r="V15693" s="5"/>
    </row>
    <row r="15694">
      <c r="N15694" s="1"/>
      <c r="V15694" s="5"/>
    </row>
    <row r="15695">
      <c r="N15695" s="1"/>
      <c r="V15695" s="5"/>
    </row>
    <row r="15696">
      <c r="N15696" s="1"/>
      <c r="V15696" s="5"/>
    </row>
    <row r="15697">
      <c r="N15697" s="1"/>
      <c r="V15697" s="5"/>
    </row>
    <row r="15698">
      <c r="N15698" s="1"/>
      <c r="V15698" s="5"/>
    </row>
    <row r="15699">
      <c r="N15699" s="1"/>
      <c r="V15699" s="5"/>
    </row>
    <row r="15700">
      <c r="N15700" s="1"/>
      <c r="V15700" s="5"/>
    </row>
    <row r="15701">
      <c r="N15701" s="1"/>
      <c r="V15701" s="5"/>
    </row>
    <row r="15702">
      <c r="N15702" s="1"/>
      <c r="V15702" s="5"/>
    </row>
    <row r="15703">
      <c r="N15703" s="1"/>
      <c r="V15703" s="5"/>
    </row>
    <row r="15704">
      <c r="N15704" s="1"/>
      <c r="V15704" s="5"/>
    </row>
    <row r="15705">
      <c r="N15705" s="1"/>
      <c r="V15705" s="5"/>
    </row>
    <row r="15706">
      <c r="N15706" s="1"/>
      <c r="V15706" s="5"/>
    </row>
    <row r="15707">
      <c r="N15707" s="1"/>
      <c r="V15707" s="5"/>
    </row>
    <row r="15708">
      <c r="N15708" s="1"/>
      <c r="V15708" s="5"/>
    </row>
    <row r="15709">
      <c r="N15709" s="1"/>
      <c r="V15709" s="5"/>
    </row>
    <row r="15710">
      <c r="N15710" s="1"/>
      <c r="V15710" s="5"/>
    </row>
    <row r="15711">
      <c r="N15711" s="1"/>
      <c r="V15711" s="5"/>
    </row>
    <row r="15712">
      <c r="N15712" s="1"/>
      <c r="V15712" s="5"/>
    </row>
    <row r="15713">
      <c r="N15713" s="1"/>
      <c r="V15713" s="5"/>
    </row>
    <row r="15714">
      <c r="N15714" s="1"/>
      <c r="V15714" s="5"/>
    </row>
    <row r="15715">
      <c r="N15715" s="1"/>
      <c r="V15715" s="5"/>
    </row>
    <row r="15716">
      <c r="N15716" s="1"/>
      <c r="V15716" s="5"/>
    </row>
    <row r="15717">
      <c r="N15717" s="1"/>
      <c r="V15717" s="5"/>
    </row>
    <row r="15718">
      <c r="N15718" s="1"/>
      <c r="V15718" s="5"/>
    </row>
    <row r="15719">
      <c r="N15719" s="1"/>
      <c r="V15719" s="5"/>
    </row>
    <row r="15720">
      <c r="N15720" s="1"/>
      <c r="V15720" s="5"/>
    </row>
    <row r="15721">
      <c r="N15721" s="1"/>
      <c r="V15721" s="5"/>
    </row>
    <row r="15722">
      <c r="N15722" s="1"/>
      <c r="V15722" s="5"/>
    </row>
    <row r="15723">
      <c r="N15723" s="1"/>
      <c r="V15723" s="5"/>
    </row>
    <row r="15724">
      <c r="N15724" s="1"/>
      <c r="V15724" s="5"/>
    </row>
    <row r="15725">
      <c r="N15725" s="1"/>
      <c r="V15725" s="5"/>
    </row>
    <row r="15726">
      <c r="N15726" s="1"/>
      <c r="V15726" s="5"/>
    </row>
    <row r="15727">
      <c r="N15727" s="1"/>
      <c r="V15727" s="5"/>
    </row>
    <row r="15728">
      <c r="N15728" s="1"/>
      <c r="V15728" s="5"/>
    </row>
    <row r="15729">
      <c r="N15729" s="1"/>
      <c r="V15729" s="5"/>
    </row>
    <row r="15730">
      <c r="N15730" s="1"/>
      <c r="V15730" s="5"/>
    </row>
    <row r="15731">
      <c r="N15731" s="1"/>
      <c r="V15731" s="5"/>
    </row>
    <row r="15732">
      <c r="N15732" s="1"/>
      <c r="V15732" s="5"/>
    </row>
    <row r="15733">
      <c r="N15733" s="1"/>
      <c r="V15733" s="5"/>
    </row>
    <row r="15734">
      <c r="N15734" s="1"/>
      <c r="V15734" s="5"/>
    </row>
    <row r="15735">
      <c r="N15735" s="1"/>
      <c r="V15735" s="5"/>
    </row>
    <row r="15736">
      <c r="N15736" s="1"/>
      <c r="V15736" s="5"/>
    </row>
    <row r="15737">
      <c r="N15737" s="1"/>
      <c r="V15737" s="5"/>
    </row>
    <row r="15738">
      <c r="N15738" s="1"/>
      <c r="V15738" s="5"/>
    </row>
    <row r="15739">
      <c r="N15739" s="1"/>
      <c r="V15739" s="5"/>
    </row>
    <row r="15740">
      <c r="N15740" s="1"/>
      <c r="V15740" s="5"/>
    </row>
    <row r="15741">
      <c r="N15741" s="1"/>
      <c r="V15741" s="5"/>
    </row>
    <row r="15742">
      <c r="N15742" s="1"/>
      <c r="V15742" s="5"/>
    </row>
    <row r="15743">
      <c r="N15743" s="1"/>
      <c r="V15743" s="5"/>
    </row>
    <row r="15744">
      <c r="N15744" s="1"/>
      <c r="V15744" s="5"/>
    </row>
    <row r="15745">
      <c r="N15745" s="1"/>
      <c r="V15745" s="5"/>
    </row>
    <row r="15746">
      <c r="N15746" s="1"/>
      <c r="V15746" s="5"/>
    </row>
    <row r="15747">
      <c r="N15747" s="1"/>
      <c r="V15747" s="5"/>
    </row>
    <row r="15748">
      <c r="N15748" s="1"/>
      <c r="V15748" s="5"/>
    </row>
    <row r="15749">
      <c r="N15749" s="1"/>
      <c r="V15749" s="5"/>
    </row>
    <row r="15750">
      <c r="N15750" s="1"/>
      <c r="V15750" s="5"/>
    </row>
    <row r="15751">
      <c r="N15751" s="1"/>
      <c r="V15751" s="5"/>
    </row>
    <row r="15752">
      <c r="N15752" s="1"/>
      <c r="V15752" s="5"/>
    </row>
    <row r="15753">
      <c r="N15753" s="1"/>
      <c r="V15753" s="5"/>
    </row>
    <row r="15754">
      <c r="N15754" s="1"/>
      <c r="V15754" s="5"/>
    </row>
    <row r="15755">
      <c r="N15755" s="1"/>
      <c r="V15755" s="5"/>
    </row>
    <row r="15756">
      <c r="N15756" s="1"/>
      <c r="V15756" s="5"/>
    </row>
    <row r="15757">
      <c r="N15757" s="1"/>
      <c r="V15757" s="5"/>
    </row>
    <row r="15758">
      <c r="N15758" s="1"/>
      <c r="V15758" s="5"/>
    </row>
    <row r="15759">
      <c r="N15759" s="1"/>
      <c r="V15759" s="5"/>
    </row>
    <row r="15760">
      <c r="N15760" s="1"/>
      <c r="V15760" s="5"/>
    </row>
    <row r="15761">
      <c r="N15761" s="1"/>
      <c r="V15761" s="5"/>
    </row>
    <row r="15762">
      <c r="N15762" s="1"/>
      <c r="V15762" s="5"/>
    </row>
    <row r="15763">
      <c r="N15763" s="1"/>
      <c r="V15763" s="5"/>
    </row>
    <row r="15764">
      <c r="N15764" s="1"/>
      <c r="V15764" s="5"/>
    </row>
    <row r="15765">
      <c r="N15765" s="1"/>
      <c r="V15765" s="5"/>
    </row>
    <row r="15766">
      <c r="N15766" s="1"/>
      <c r="V15766" s="5"/>
    </row>
    <row r="15767">
      <c r="N15767" s="1"/>
      <c r="V15767" s="5"/>
    </row>
    <row r="15768">
      <c r="N15768" s="1"/>
      <c r="V15768" s="5"/>
    </row>
    <row r="15769">
      <c r="N15769" s="1"/>
      <c r="V15769" s="5"/>
    </row>
    <row r="15770">
      <c r="N15770" s="1"/>
      <c r="V15770" s="5"/>
    </row>
    <row r="15771">
      <c r="N15771" s="1"/>
      <c r="V15771" s="5"/>
    </row>
    <row r="15772">
      <c r="N15772" s="1"/>
      <c r="V15772" s="5"/>
    </row>
    <row r="15773">
      <c r="N15773" s="1"/>
      <c r="V15773" s="5"/>
    </row>
    <row r="15774">
      <c r="N15774" s="1"/>
      <c r="V15774" s="5"/>
    </row>
    <row r="15775">
      <c r="N15775" s="1"/>
      <c r="V15775" s="5"/>
    </row>
    <row r="15776">
      <c r="N15776" s="1"/>
      <c r="V15776" s="5"/>
    </row>
    <row r="15777">
      <c r="N15777" s="1"/>
      <c r="V15777" s="5"/>
    </row>
    <row r="15778">
      <c r="N15778" s="1"/>
      <c r="V15778" s="5"/>
    </row>
    <row r="15779">
      <c r="N15779" s="1"/>
      <c r="V15779" s="5"/>
    </row>
    <row r="15780">
      <c r="N15780" s="1"/>
      <c r="V15780" s="5"/>
    </row>
    <row r="15781">
      <c r="N15781" s="1"/>
      <c r="V15781" s="5"/>
    </row>
    <row r="15782">
      <c r="N15782" s="1"/>
      <c r="V15782" s="5"/>
    </row>
    <row r="15783">
      <c r="N15783" s="1"/>
      <c r="V15783" s="5"/>
    </row>
    <row r="15784">
      <c r="N15784" s="1"/>
      <c r="V15784" s="5"/>
    </row>
    <row r="15785">
      <c r="N15785" s="1"/>
      <c r="V15785" s="5"/>
    </row>
    <row r="15786">
      <c r="N15786" s="1"/>
      <c r="V15786" s="5"/>
    </row>
    <row r="15787">
      <c r="N15787" s="1"/>
      <c r="V15787" s="5"/>
    </row>
    <row r="15788">
      <c r="N15788" s="1"/>
      <c r="V15788" s="5"/>
    </row>
    <row r="15789">
      <c r="N15789" s="1"/>
      <c r="V15789" s="5"/>
    </row>
    <row r="15790">
      <c r="N15790" s="1"/>
      <c r="V15790" s="5"/>
    </row>
    <row r="15791">
      <c r="N15791" s="1"/>
      <c r="V15791" s="5"/>
    </row>
    <row r="15792">
      <c r="N15792" s="1"/>
      <c r="V15792" s="5"/>
    </row>
    <row r="15793">
      <c r="N15793" s="1"/>
      <c r="V15793" s="5"/>
    </row>
    <row r="15794">
      <c r="N15794" s="1"/>
      <c r="V15794" s="5"/>
    </row>
    <row r="15795">
      <c r="N15795" s="1"/>
      <c r="V15795" s="5"/>
    </row>
    <row r="15796">
      <c r="N15796" s="1"/>
      <c r="V15796" s="5"/>
    </row>
    <row r="15797">
      <c r="N15797" s="1"/>
      <c r="V15797" s="5"/>
    </row>
    <row r="15798">
      <c r="N15798" s="1"/>
      <c r="V15798" s="5"/>
    </row>
    <row r="15799">
      <c r="N15799" s="1"/>
      <c r="V15799" s="5"/>
    </row>
    <row r="15800">
      <c r="N15800" s="1"/>
      <c r="V15800" s="5"/>
    </row>
    <row r="15801">
      <c r="N15801" s="1"/>
      <c r="V15801" s="5"/>
    </row>
    <row r="15802">
      <c r="N15802" s="1"/>
      <c r="V15802" s="5"/>
    </row>
    <row r="15803">
      <c r="N15803" s="1"/>
      <c r="V15803" s="5"/>
    </row>
    <row r="15804">
      <c r="N15804" s="1"/>
      <c r="V15804" s="5"/>
    </row>
    <row r="15805">
      <c r="N15805" s="1"/>
      <c r="V15805" s="5"/>
    </row>
    <row r="15806">
      <c r="N15806" s="1"/>
      <c r="V15806" s="5"/>
    </row>
    <row r="15807">
      <c r="N15807" s="1"/>
      <c r="V15807" s="5"/>
    </row>
    <row r="15808">
      <c r="N15808" s="1"/>
      <c r="V15808" s="5"/>
    </row>
    <row r="15809">
      <c r="N15809" s="1"/>
      <c r="V15809" s="5"/>
    </row>
    <row r="15810">
      <c r="N15810" s="1"/>
      <c r="V15810" s="5"/>
    </row>
    <row r="15811">
      <c r="N15811" s="1"/>
      <c r="V15811" s="5"/>
    </row>
    <row r="15812">
      <c r="N15812" s="1"/>
      <c r="V15812" s="5"/>
    </row>
    <row r="15813">
      <c r="N15813" s="1"/>
      <c r="V15813" s="5"/>
    </row>
    <row r="15814">
      <c r="N15814" s="1"/>
      <c r="V15814" s="5"/>
    </row>
    <row r="15815">
      <c r="N15815" s="1"/>
      <c r="V15815" s="5"/>
    </row>
    <row r="15816">
      <c r="N15816" s="1"/>
      <c r="V15816" s="5"/>
    </row>
    <row r="15817">
      <c r="N15817" s="1"/>
      <c r="V15817" s="5"/>
    </row>
    <row r="15818">
      <c r="N15818" s="1"/>
      <c r="V15818" s="5"/>
    </row>
    <row r="15819">
      <c r="N15819" s="1"/>
      <c r="V15819" s="5"/>
    </row>
    <row r="15820">
      <c r="N15820" s="1"/>
      <c r="V15820" s="5"/>
    </row>
    <row r="15821">
      <c r="N15821" s="1"/>
      <c r="V15821" s="5"/>
    </row>
    <row r="15822">
      <c r="N15822" s="1"/>
      <c r="V15822" s="5"/>
    </row>
    <row r="15823">
      <c r="N15823" s="1"/>
      <c r="V15823" s="5"/>
    </row>
    <row r="15824">
      <c r="N15824" s="1"/>
      <c r="V15824" s="5"/>
    </row>
    <row r="15825">
      <c r="N15825" s="1"/>
      <c r="V15825" s="5"/>
    </row>
    <row r="15826">
      <c r="N15826" s="1"/>
      <c r="V15826" s="5"/>
    </row>
    <row r="15827">
      <c r="N15827" s="1"/>
      <c r="V15827" s="5"/>
    </row>
    <row r="15828">
      <c r="N15828" s="1"/>
      <c r="V15828" s="5"/>
    </row>
    <row r="15829">
      <c r="N15829" s="1"/>
      <c r="V15829" s="5"/>
    </row>
    <row r="15830">
      <c r="N15830" s="1"/>
      <c r="V15830" s="5"/>
    </row>
    <row r="15831">
      <c r="N15831" s="1"/>
      <c r="V15831" s="5"/>
    </row>
    <row r="15832">
      <c r="N15832" s="1"/>
      <c r="V15832" s="5"/>
    </row>
    <row r="15833">
      <c r="N15833" s="1"/>
      <c r="V15833" s="5"/>
    </row>
    <row r="15834">
      <c r="N15834" s="1"/>
      <c r="V15834" s="5"/>
    </row>
    <row r="15835">
      <c r="N15835" s="1"/>
      <c r="V15835" s="5"/>
    </row>
    <row r="15836">
      <c r="N15836" s="1"/>
      <c r="V15836" s="5"/>
    </row>
    <row r="15837">
      <c r="N15837" s="1"/>
      <c r="V15837" s="5"/>
    </row>
    <row r="15838">
      <c r="N15838" s="1"/>
      <c r="V15838" s="5"/>
    </row>
    <row r="15839">
      <c r="N15839" s="1"/>
      <c r="V15839" s="5"/>
    </row>
    <row r="15840">
      <c r="N15840" s="1"/>
      <c r="V15840" s="5"/>
    </row>
    <row r="15841">
      <c r="N15841" s="1"/>
      <c r="V15841" s="5"/>
    </row>
    <row r="15842">
      <c r="N15842" s="1"/>
      <c r="V15842" s="5"/>
    </row>
    <row r="15843">
      <c r="N15843" s="1"/>
      <c r="V15843" s="5"/>
    </row>
    <row r="15844">
      <c r="N15844" s="1"/>
      <c r="V15844" s="5"/>
    </row>
    <row r="15845">
      <c r="N15845" s="1"/>
      <c r="V15845" s="5"/>
    </row>
    <row r="15846">
      <c r="N15846" s="1"/>
      <c r="V15846" s="5"/>
    </row>
    <row r="15847">
      <c r="N15847" s="1"/>
      <c r="V15847" s="5"/>
    </row>
    <row r="15848">
      <c r="N15848" s="1"/>
      <c r="V15848" s="5"/>
    </row>
    <row r="15849">
      <c r="N15849" s="1"/>
      <c r="V15849" s="5"/>
    </row>
    <row r="15850">
      <c r="N15850" s="1"/>
      <c r="V15850" s="5"/>
    </row>
    <row r="15851">
      <c r="N15851" s="1"/>
      <c r="V15851" s="5"/>
    </row>
    <row r="15852">
      <c r="N15852" s="1"/>
      <c r="V15852" s="5"/>
    </row>
    <row r="15853">
      <c r="N15853" s="1"/>
      <c r="V15853" s="5"/>
    </row>
    <row r="15854">
      <c r="N15854" s="1"/>
      <c r="V15854" s="5"/>
    </row>
    <row r="15855">
      <c r="N15855" s="1"/>
      <c r="V15855" s="5"/>
    </row>
    <row r="15856">
      <c r="N15856" s="1"/>
      <c r="V15856" s="5"/>
    </row>
    <row r="15857">
      <c r="N15857" s="1"/>
      <c r="V15857" s="5"/>
    </row>
    <row r="15858">
      <c r="N15858" s="1"/>
      <c r="V15858" s="5"/>
    </row>
    <row r="15859">
      <c r="N15859" s="1"/>
      <c r="V15859" s="5"/>
    </row>
    <row r="15860">
      <c r="N15860" s="1"/>
      <c r="V15860" s="5"/>
    </row>
    <row r="15861">
      <c r="N15861" s="1"/>
      <c r="V15861" s="5"/>
    </row>
    <row r="15862">
      <c r="N15862" s="1"/>
      <c r="V15862" s="5"/>
    </row>
    <row r="15863">
      <c r="N15863" s="1"/>
      <c r="V15863" s="5"/>
    </row>
    <row r="15864">
      <c r="N15864" s="1"/>
      <c r="V15864" s="5"/>
    </row>
    <row r="15865">
      <c r="N15865" s="1"/>
      <c r="V15865" s="5"/>
    </row>
    <row r="15866">
      <c r="N15866" s="1"/>
      <c r="V15866" s="5"/>
    </row>
    <row r="15867">
      <c r="N15867" s="1"/>
      <c r="V15867" s="5"/>
    </row>
    <row r="15868">
      <c r="N15868" s="1"/>
      <c r="V15868" s="5"/>
    </row>
    <row r="15869">
      <c r="N15869" s="1"/>
      <c r="V15869" s="5"/>
    </row>
    <row r="15870">
      <c r="N15870" s="1"/>
      <c r="V15870" s="5"/>
    </row>
    <row r="15871">
      <c r="N15871" s="1"/>
      <c r="V15871" s="5"/>
    </row>
    <row r="15872">
      <c r="N15872" s="1"/>
      <c r="V15872" s="5"/>
    </row>
    <row r="15873">
      <c r="N15873" s="1"/>
      <c r="V15873" s="5"/>
    </row>
    <row r="15874">
      <c r="N15874" s="1"/>
      <c r="V15874" s="5"/>
    </row>
    <row r="15875">
      <c r="N15875" s="1"/>
      <c r="V15875" s="5"/>
    </row>
    <row r="15876">
      <c r="N15876" s="1"/>
      <c r="V15876" s="5"/>
    </row>
    <row r="15877">
      <c r="N15877" s="1"/>
      <c r="V15877" s="5"/>
    </row>
    <row r="15878">
      <c r="N15878" s="1"/>
      <c r="V15878" s="5"/>
    </row>
    <row r="15879">
      <c r="N15879" s="1"/>
      <c r="V15879" s="5"/>
    </row>
    <row r="15880">
      <c r="N15880" s="1"/>
      <c r="V15880" s="5"/>
    </row>
    <row r="15881">
      <c r="N15881" s="1"/>
      <c r="V15881" s="5"/>
    </row>
    <row r="15882">
      <c r="N15882" s="1"/>
      <c r="V15882" s="5"/>
    </row>
    <row r="15883">
      <c r="N15883" s="1"/>
      <c r="V15883" s="5"/>
    </row>
    <row r="15884">
      <c r="N15884" s="1"/>
      <c r="V15884" s="5"/>
    </row>
    <row r="15885">
      <c r="N15885" s="1"/>
      <c r="V15885" s="5"/>
    </row>
    <row r="15886">
      <c r="N15886" s="1"/>
      <c r="V15886" s="5"/>
    </row>
    <row r="15887">
      <c r="N15887" s="1"/>
      <c r="V15887" s="5"/>
    </row>
    <row r="15888">
      <c r="N15888" s="1"/>
      <c r="V15888" s="5"/>
    </row>
    <row r="15889">
      <c r="N15889" s="1"/>
      <c r="V15889" s="5"/>
    </row>
    <row r="15890">
      <c r="N15890" s="1"/>
      <c r="V15890" s="5"/>
    </row>
    <row r="15891">
      <c r="N15891" s="1"/>
      <c r="V15891" s="5"/>
    </row>
    <row r="15892">
      <c r="N15892" s="1"/>
      <c r="V15892" s="5"/>
    </row>
    <row r="15893">
      <c r="N15893" s="1"/>
      <c r="V15893" s="5"/>
    </row>
    <row r="15894">
      <c r="N15894" s="1"/>
      <c r="V15894" s="5"/>
    </row>
    <row r="15895">
      <c r="N15895" s="1"/>
      <c r="V15895" s="5"/>
    </row>
    <row r="15896">
      <c r="N15896" s="1"/>
      <c r="V15896" s="5"/>
    </row>
    <row r="15897">
      <c r="N15897" s="1"/>
      <c r="V15897" s="5"/>
    </row>
    <row r="15898">
      <c r="N15898" s="1"/>
      <c r="V15898" s="5"/>
    </row>
    <row r="15899">
      <c r="N15899" s="1"/>
      <c r="V15899" s="5"/>
    </row>
    <row r="15900">
      <c r="N15900" s="1"/>
      <c r="V15900" s="5"/>
    </row>
    <row r="15901">
      <c r="N15901" s="1"/>
      <c r="V15901" s="5"/>
    </row>
    <row r="15902">
      <c r="N15902" s="1"/>
      <c r="V15902" s="5"/>
    </row>
    <row r="15903">
      <c r="N15903" s="1"/>
      <c r="V15903" s="5"/>
    </row>
    <row r="15904">
      <c r="N15904" s="1"/>
      <c r="V15904" s="5"/>
    </row>
    <row r="15905">
      <c r="N15905" s="1"/>
      <c r="V15905" s="5"/>
    </row>
    <row r="15906">
      <c r="N15906" s="1"/>
      <c r="V15906" s="5"/>
    </row>
    <row r="15907">
      <c r="N15907" s="1"/>
      <c r="V15907" s="5"/>
    </row>
    <row r="15908">
      <c r="N15908" s="1"/>
      <c r="V15908" s="5"/>
    </row>
    <row r="15909">
      <c r="N15909" s="1"/>
      <c r="V15909" s="5"/>
    </row>
    <row r="15910">
      <c r="N15910" s="1"/>
      <c r="V15910" s="5"/>
    </row>
    <row r="15911">
      <c r="N15911" s="1"/>
      <c r="V15911" s="5"/>
    </row>
    <row r="15912">
      <c r="N15912" s="1"/>
      <c r="V15912" s="5"/>
    </row>
    <row r="15913">
      <c r="N15913" s="1"/>
      <c r="V15913" s="5"/>
    </row>
    <row r="15914">
      <c r="N15914" s="1"/>
      <c r="V15914" s="5"/>
    </row>
    <row r="15915">
      <c r="N15915" s="1"/>
      <c r="V15915" s="5"/>
    </row>
    <row r="15916">
      <c r="N15916" s="1"/>
      <c r="V15916" s="5"/>
    </row>
    <row r="15917">
      <c r="N15917" s="1"/>
      <c r="V15917" s="5"/>
    </row>
    <row r="15918">
      <c r="N15918" s="1"/>
      <c r="V15918" s="5"/>
    </row>
    <row r="15919">
      <c r="N15919" s="1"/>
      <c r="V15919" s="5"/>
    </row>
    <row r="15920">
      <c r="N15920" s="1"/>
      <c r="V15920" s="5"/>
    </row>
    <row r="15921">
      <c r="N15921" s="1"/>
      <c r="V15921" s="5"/>
    </row>
    <row r="15922">
      <c r="N15922" s="1"/>
      <c r="V15922" s="5"/>
    </row>
    <row r="15923">
      <c r="N15923" s="1"/>
      <c r="V15923" s="5"/>
    </row>
    <row r="15924">
      <c r="N15924" s="1"/>
      <c r="V15924" s="5"/>
    </row>
    <row r="15925">
      <c r="N15925" s="1"/>
      <c r="V15925" s="5"/>
    </row>
    <row r="15926">
      <c r="N15926" s="1"/>
      <c r="V15926" s="5"/>
    </row>
    <row r="15927">
      <c r="N15927" s="1"/>
      <c r="V15927" s="5"/>
    </row>
    <row r="15928">
      <c r="N15928" s="1"/>
      <c r="V15928" s="5"/>
    </row>
    <row r="15929">
      <c r="N15929" s="1"/>
      <c r="V15929" s="5"/>
    </row>
    <row r="15930">
      <c r="N15930" s="1"/>
      <c r="V15930" s="5"/>
    </row>
    <row r="15931">
      <c r="N15931" s="1"/>
      <c r="V15931" s="5"/>
    </row>
    <row r="15932">
      <c r="N15932" s="1"/>
      <c r="V15932" s="5"/>
    </row>
    <row r="15933">
      <c r="N15933" s="1"/>
      <c r="V15933" s="5"/>
    </row>
    <row r="15934">
      <c r="N15934" s="1"/>
      <c r="V15934" s="5"/>
    </row>
    <row r="15935">
      <c r="N15935" s="1"/>
      <c r="V15935" s="5"/>
    </row>
    <row r="15936">
      <c r="N15936" s="1"/>
      <c r="V15936" s="5"/>
    </row>
    <row r="15937">
      <c r="N15937" s="1"/>
      <c r="V15937" s="5"/>
    </row>
    <row r="15938">
      <c r="N15938" s="1"/>
      <c r="V15938" s="5"/>
    </row>
    <row r="15939">
      <c r="N15939" s="1"/>
      <c r="V15939" s="5"/>
    </row>
    <row r="15940">
      <c r="N15940" s="1"/>
      <c r="V15940" s="5"/>
    </row>
    <row r="15941">
      <c r="N15941" s="1"/>
      <c r="V15941" s="5"/>
    </row>
    <row r="15942">
      <c r="N15942" s="1"/>
      <c r="V15942" s="5"/>
    </row>
    <row r="15943">
      <c r="N15943" s="1"/>
      <c r="V15943" s="5"/>
    </row>
    <row r="15944">
      <c r="N15944" s="1"/>
      <c r="V15944" s="5"/>
    </row>
    <row r="15945">
      <c r="N15945" s="1"/>
      <c r="V15945" s="5"/>
    </row>
    <row r="15946">
      <c r="N15946" s="1"/>
      <c r="V15946" s="5"/>
    </row>
    <row r="15947">
      <c r="N15947" s="1"/>
      <c r="V15947" s="5"/>
    </row>
    <row r="15948">
      <c r="N15948" s="1"/>
      <c r="V15948" s="5"/>
    </row>
    <row r="15949">
      <c r="N15949" s="1"/>
      <c r="V15949" s="5"/>
    </row>
    <row r="15950">
      <c r="N15950" s="1"/>
      <c r="V15950" s="5"/>
    </row>
    <row r="15951">
      <c r="N15951" s="1"/>
      <c r="V15951" s="5"/>
    </row>
    <row r="15952">
      <c r="N15952" s="1"/>
      <c r="V15952" s="5"/>
    </row>
    <row r="15953">
      <c r="N15953" s="1"/>
      <c r="V15953" s="5"/>
    </row>
    <row r="15954">
      <c r="N15954" s="1"/>
      <c r="V15954" s="5"/>
    </row>
    <row r="15955">
      <c r="N15955" s="1"/>
      <c r="V15955" s="5"/>
    </row>
    <row r="15956">
      <c r="N15956" s="1"/>
      <c r="V15956" s="5"/>
    </row>
    <row r="15957">
      <c r="N15957" s="1"/>
      <c r="V15957" s="5"/>
    </row>
    <row r="15958">
      <c r="N15958" s="1"/>
      <c r="V15958" s="5"/>
    </row>
    <row r="15959">
      <c r="N15959" s="1"/>
      <c r="V15959" s="5"/>
    </row>
    <row r="15960">
      <c r="N15960" s="1"/>
      <c r="V15960" s="5"/>
    </row>
    <row r="15961">
      <c r="N15961" s="1"/>
      <c r="V15961" s="5"/>
    </row>
    <row r="15962">
      <c r="N15962" s="1"/>
      <c r="V15962" s="5"/>
    </row>
    <row r="15963">
      <c r="N15963" s="1"/>
      <c r="V15963" s="5"/>
    </row>
    <row r="15964">
      <c r="N15964" s="1"/>
      <c r="V15964" s="5"/>
    </row>
    <row r="15965">
      <c r="N15965" s="1"/>
      <c r="V15965" s="5"/>
    </row>
    <row r="15966">
      <c r="N15966" s="1"/>
      <c r="V15966" s="5"/>
    </row>
    <row r="15967">
      <c r="N15967" s="1"/>
      <c r="V15967" s="5"/>
    </row>
    <row r="15968">
      <c r="N15968" s="1"/>
      <c r="V15968" s="5"/>
    </row>
    <row r="15969">
      <c r="N15969" s="1"/>
      <c r="V15969" s="5"/>
    </row>
    <row r="15970">
      <c r="N15970" s="1"/>
      <c r="V15970" s="5"/>
    </row>
    <row r="15971">
      <c r="N15971" s="1"/>
      <c r="V15971" s="5"/>
    </row>
    <row r="15972">
      <c r="N15972" s="1"/>
      <c r="V15972" s="5"/>
    </row>
    <row r="15973">
      <c r="N15973" s="1"/>
      <c r="V15973" s="5"/>
    </row>
    <row r="15974">
      <c r="N15974" s="1"/>
      <c r="V15974" s="5"/>
    </row>
    <row r="15975">
      <c r="N15975" s="1"/>
      <c r="V15975" s="5"/>
    </row>
    <row r="15976">
      <c r="N15976" s="1"/>
      <c r="V15976" s="5"/>
    </row>
    <row r="15977">
      <c r="N15977" s="1"/>
      <c r="V15977" s="5"/>
    </row>
    <row r="15978">
      <c r="N15978" s="1"/>
      <c r="V15978" s="5"/>
    </row>
    <row r="15979">
      <c r="N15979" s="1"/>
      <c r="V15979" s="5"/>
    </row>
    <row r="15980">
      <c r="N15980" s="1"/>
      <c r="V15980" s="5"/>
    </row>
    <row r="15981">
      <c r="N15981" s="1"/>
      <c r="V15981" s="5"/>
    </row>
    <row r="15982">
      <c r="N15982" s="1"/>
      <c r="V15982" s="5"/>
    </row>
    <row r="15983">
      <c r="N15983" s="1"/>
      <c r="V15983" s="5"/>
    </row>
    <row r="15984">
      <c r="N15984" s="1"/>
      <c r="V15984" s="5"/>
    </row>
    <row r="15985">
      <c r="N15985" s="1"/>
      <c r="V15985" s="5"/>
    </row>
    <row r="15986">
      <c r="N15986" s="1"/>
      <c r="V15986" s="5"/>
    </row>
    <row r="15987">
      <c r="N15987" s="1"/>
      <c r="V15987" s="5"/>
    </row>
    <row r="15988">
      <c r="N15988" s="1"/>
      <c r="V15988" s="5"/>
    </row>
    <row r="15989">
      <c r="N15989" s="1"/>
      <c r="V15989" s="5"/>
    </row>
    <row r="15990">
      <c r="N15990" s="1"/>
      <c r="V15990" s="5"/>
    </row>
    <row r="15991">
      <c r="N15991" s="1"/>
      <c r="V15991" s="5"/>
    </row>
    <row r="15992">
      <c r="N15992" s="1"/>
      <c r="V15992" s="5"/>
    </row>
    <row r="15993">
      <c r="N15993" s="1"/>
      <c r="V15993" s="5"/>
    </row>
    <row r="15994">
      <c r="N15994" s="1"/>
      <c r="V15994" s="5"/>
    </row>
    <row r="15995">
      <c r="N15995" s="1"/>
      <c r="V15995" s="5"/>
    </row>
    <row r="15996">
      <c r="N15996" s="1"/>
      <c r="V15996" s="5"/>
    </row>
    <row r="15997">
      <c r="N15997" s="1"/>
      <c r="V15997" s="5"/>
    </row>
    <row r="15998">
      <c r="N15998" s="1"/>
      <c r="V15998" s="5"/>
    </row>
    <row r="15999">
      <c r="N15999" s="1"/>
      <c r="V15999" s="5"/>
    </row>
    <row r="16000">
      <c r="N16000" s="1"/>
      <c r="V16000" s="5"/>
    </row>
    <row r="16001">
      <c r="N16001" s="1"/>
      <c r="V16001" s="5"/>
    </row>
    <row r="16002">
      <c r="N16002" s="1"/>
      <c r="V16002" s="5"/>
    </row>
    <row r="16003">
      <c r="N16003" s="1"/>
      <c r="V16003" s="5"/>
    </row>
    <row r="16004">
      <c r="N16004" s="1"/>
      <c r="V16004" s="5"/>
    </row>
    <row r="16005">
      <c r="N16005" s="1"/>
      <c r="V16005" s="5"/>
    </row>
    <row r="16006">
      <c r="N16006" s="1"/>
      <c r="V16006" s="5"/>
    </row>
    <row r="16007">
      <c r="N16007" s="1"/>
      <c r="V16007" s="5"/>
    </row>
    <row r="16008">
      <c r="N16008" s="1"/>
      <c r="V16008" s="5"/>
    </row>
    <row r="16009">
      <c r="N16009" s="1"/>
      <c r="V16009" s="5"/>
    </row>
    <row r="16010">
      <c r="N16010" s="1"/>
      <c r="V16010" s="5"/>
    </row>
    <row r="16011">
      <c r="N16011" s="1"/>
      <c r="V16011" s="5"/>
    </row>
    <row r="16012">
      <c r="N16012" s="1"/>
      <c r="V16012" s="5"/>
    </row>
    <row r="16013">
      <c r="N16013" s="1"/>
      <c r="V16013" s="5"/>
    </row>
    <row r="16014">
      <c r="N16014" s="1"/>
      <c r="V16014" s="5"/>
    </row>
    <row r="16015">
      <c r="N16015" s="1"/>
      <c r="V16015" s="5"/>
    </row>
    <row r="16016">
      <c r="N16016" s="1"/>
      <c r="V16016" s="5"/>
    </row>
    <row r="16017">
      <c r="N16017" s="1"/>
      <c r="V16017" s="5"/>
    </row>
    <row r="16018">
      <c r="N16018" s="1"/>
      <c r="V16018" s="5"/>
    </row>
    <row r="16019">
      <c r="N16019" s="1"/>
      <c r="V16019" s="5"/>
    </row>
    <row r="16020">
      <c r="N16020" s="1"/>
      <c r="V16020" s="5"/>
    </row>
    <row r="16021">
      <c r="N16021" s="1"/>
      <c r="V16021" s="5"/>
    </row>
    <row r="16022">
      <c r="N16022" s="1"/>
      <c r="V16022" s="5"/>
    </row>
    <row r="16023">
      <c r="N16023" s="1"/>
      <c r="V16023" s="5"/>
    </row>
    <row r="16024">
      <c r="N16024" s="1"/>
      <c r="V16024" s="5"/>
    </row>
    <row r="16025">
      <c r="N16025" s="1"/>
      <c r="V16025" s="5"/>
    </row>
    <row r="16026">
      <c r="N16026" s="1"/>
      <c r="V16026" s="5"/>
    </row>
    <row r="16027">
      <c r="N16027" s="1"/>
      <c r="V16027" s="5"/>
    </row>
    <row r="16028">
      <c r="N16028" s="1"/>
      <c r="V16028" s="5"/>
    </row>
    <row r="16029">
      <c r="N16029" s="1"/>
      <c r="V16029" s="5"/>
    </row>
    <row r="16030">
      <c r="N16030" s="1"/>
      <c r="V16030" s="5"/>
    </row>
    <row r="16031">
      <c r="N16031" s="1"/>
      <c r="V16031" s="5"/>
    </row>
    <row r="16032">
      <c r="N16032" s="1"/>
      <c r="V16032" s="5"/>
    </row>
    <row r="16033">
      <c r="N16033" s="1"/>
      <c r="V16033" s="5"/>
    </row>
    <row r="16034">
      <c r="N16034" s="1"/>
      <c r="V16034" s="5"/>
    </row>
    <row r="16035">
      <c r="N16035" s="1"/>
      <c r="V16035" s="5"/>
    </row>
    <row r="16036">
      <c r="N16036" s="1"/>
      <c r="V16036" s="5"/>
    </row>
    <row r="16037">
      <c r="N16037" s="1"/>
      <c r="V16037" s="5"/>
    </row>
    <row r="16038">
      <c r="N16038" s="1"/>
      <c r="V16038" s="5"/>
    </row>
    <row r="16039">
      <c r="N16039" s="1"/>
      <c r="V16039" s="5"/>
    </row>
    <row r="16040">
      <c r="N16040" s="1"/>
      <c r="V16040" s="5"/>
    </row>
    <row r="16041">
      <c r="N16041" s="1"/>
      <c r="V16041" s="5"/>
    </row>
    <row r="16042">
      <c r="N16042" s="1"/>
      <c r="V16042" s="5"/>
    </row>
    <row r="16043">
      <c r="N16043" s="1"/>
      <c r="V16043" s="5"/>
    </row>
    <row r="16044">
      <c r="N16044" s="1"/>
      <c r="V16044" s="5"/>
    </row>
    <row r="16045">
      <c r="N16045" s="1"/>
      <c r="V16045" s="5"/>
    </row>
    <row r="16046">
      <c r="N16046" s="1"/>
      <c r="V16046" s="5"/>
    </row>
    <row r="16047">
      <c r="N16047" s="1"/>
      <c r="V16047" s="5"/>
    </row>
    <row r="16048">
      <c r="N16048" s="1"/>
      <c r="V16048" s="5"/>
    </row>
    <row r="16049">
      <c r="N16049" s="1"/>
      <c r="V16049" s="5"/>
    </row>
    <row r="16050">
      <c r="N16050" s="1"/>
      <c r="V16050" s="5"/>
    </row>
    <row r="16051">
      <c r="N16051" s="1"/>
      <c r="V16051" s="5"/>
    </row>
    <row r="16052">
      <c r="N16052" s="1"/>
      <c r="V16052" s="5"/>
    </row>
    <row r="16053">
      <c r="N16053" s="1"/>
      <c r="V16053" s="5"/>
    </row>
    <row r="16054">
      <c r="N16054" s="1"/>
      <c r="V16054" s="5"/>
    </row>
    <row r="16055">
      <c r="N16055" s="1"/>
      <c r="V16055" s="5"/>
    </row>
    <row r="16056">
      <c r="N16056" s="1"/>
      <c r="V16056" s="5"/>
    </row>
    <row r="16057">
      <c r="N16057" s="1"/>
      <c r="V16057" s="5"/>
    </row>
    <row r="16058">
      <c r="N16058" s="1"/>
      <c r="V16058" s="5"/>
    </row>
    <row r="16059">
      <c r="N16059" s="1"/>
      <c r="V16059" s="5"/>
    </row>
    <row r="16060">
      <c r="N16060" s="1"/>
      <c r="V16060" s="5"/>
    </row>
    <row r="16061">
      <c r="N16061" s="1"/>
      <c r="V16061" s="5"/>
    </row>
    <row r="16062">
      <c r="N16062" s="1"/>
      <c r="V16062" s="5"/>
    </row>
    <row r="16063">
      <c r="N16063" s="1"/>
      <c r="V16063" s="5"/>
    </row>
    <row r="16064">
      <c r="N16064" s="1"/>
      <c r="V16064" s="5"/>
    </row>
    <row r="16065">
      <c r="N16065" s="1"/>
      <c r="V16065" s="5"/>
    </row>
    <row r="16066">
      <c r="N16066" s="1"/>
      <c r="V16066" s="5"/>
    </row>
    <row r="16067">
      <c r="N16067" s="1"/>
      <c r="V16067" s="5"/>
    </row>
    <row r="16068">
      <c r="N16068" s="1"/>
      <c r="V16068" s="5"/>
    </row>
    <row r="16069">
      <c r="N16069" s="1"/>
      <c r="V16069" s="5"/>
    </row>
    <row r="16070">
      <c r="N16070" s="1"/>
      <c r="V16070" s="5"/>
    </row>
    <row r="16071">
      <c r="N16071" s="1"/>
      <c r="V16071" s="5"/>
    </row>
    <row r="16072">
      <c r="N16072" s="1"/>
      <c r="V16072" s="5"/>
    </row>
    <row r="16073">
      <c r="N16073" s="1"/>
      <c r="V16073" s="5"/>
    </row>
    <row r="16074">
      <c r="N16074" s="1"/>
      <c r="V16074" s="5"/>
    </row>
    <row r="16075">
      <c r="N16075" s="1"/>
      <c r="V16075" s="5"/>
    </row>
    <row r="16076">
      <c r="N16076" s="1"/>
      <c r="V16076" s="5"/>
    </row>
    <row r="16077">
      <c r="N16077" s="1"/>
      <c r="V16077" s="5"/>
    </row>
    <row r="16078">
      <c r="N16078" s="1"/>
      <c r="V16078" s="5"/>
    </row>
    <row r="16079">
      <c r="N16079" s="1"/>
      <c r="V16079" s="5"/>
    </row>
    <row r="16080">
      <c r="N16080" s="1"/>
      <c r="V16080" s="5"/>
    </row>
    <row r="16081">
      <c r="N16081" s="1"/>
      <c r="V16081" s="5"/>
    </row>
    <row r="16082">
      <c r="N16082" s="1"/>
      <c r="V16082" s="5"/>
    </row>
    <row r="16083">
      <c r="N16083" s="1"/>
      <c r="V16083" s="5"/>
    </row>
    <row r="16084">
      <c r="N16084" s="1"/>
      <c r="V16084" s="5"/>
    </row>
    <row r="16085">
      <c r="N16085" s="1"/>
      <c r="V16085" s="5"/>
    </row>
    <row r="16086">
      <c r="N16086" s="1"/>
      <c r="V16086" s="5"/>
    </row>
    <row r="16087">
      <c r="N16087" s="1"/>
      <c r="V16087" s="5"/>
    </row>
    <row r="16088">
      <c r="N16088" s="1"/>
      <c r="V16088" s="5"/>
    </row>
    <row r="16089">
      <c r="N16089" s="1"/>
      <c r="V16089" s="5"/>
    </row>
    <row r="16090">
      <c r="N16090" s="1"/>
      <c r="V16090" s="5"/>
    </row>
    <row r="16091">
      <c r="N16091" s="1"/>
      <c r="V16091" s="5"/>
    </row>
    <row r="16092">
      <c r="N16092" s="1"/>
      <c r="V16092" s="5"/>
    </row>
    <row r="16093">
      <c r="N16093" s="1"/>
      <c r="V16093" s="5"/>
    </row>
    <row r="16094">
      <c r="N16094" s="1"/>
      <c r="V16094" s="5"/>
    </row>
    <row r="16095">
      <c r="N16095" s="1"/>
      <c r="V16095" s="5"/>
    </row>
    <row r="16096">
      <c r="N16096" s="1"/>
      <c r="V16096" s="5"/>
    </row>
    <row r="16097">
      <c r="N16097" s="1"/>
      <c r="V16097" s="5"/>
    </row>
    <row r="16098">
      <c r="N16098" s="1"/>
      <c r="V16098" s="5"/>
    </row>
    <row r="16099">
      <c r="N16099" s="1"/>
      <c r="V16099" s="5"/>
    </row>
    <row r="16100">
      <c r="N16100" s="1"/>
      <c r="V16100" s="5"/>
    </row>
    <row r="16101">
      <c r="N16101" s="1"/>
      <c r="V16101" s="5"/>
    </row>
    <row r="16102">
      <c r="N16102" s="1"/>
      <c r="V16102" s="5"/>
    </row>
    <row r="16103">
      <c r="N16103" s="1"/>
      <c r="V16103" s="5"/>
    </row>
    <row r="16104">
      <c r="N16104" s="1"/>
      <c r="V16104" s="5"/>
    </row>
    <row r="16105">
      <c r="N16105" s="1"/>
      <c r="V16105" s="5"/>
    </row>
    <row r="16106">
      <c r="N16106" s="1"/>
      <c r="V16106" s="5"/>
    </row>
    <row r="16107">
      <c r="N16107" s="1"/>
      <c r="V16107" s="5"/>
    </row>
    <row r="16108">
      <c r="N16108" s="1"/>
      <c r="V16108" s="5"/>
    </row>
    <row r="16109">
      <c r="N16109" s="1"/>
      <c r="V16109" s="5"/>
    </row>
    <row r="16110">
      <c r="N16110" s="1"/>
      <c r="V16110" s="5"/>
    </row>
    <row r="16111">
      <c r="N16111" s="1"/>
      <c r="V16111" s="5"/>
    </row>
    <row r="16112">
      <c r="N16112" s="1"/>
      <c r="V16112" s="5"/>
    </row>
    <row r="16113">
      <c r="N16113" s="1"/>
      <c r="V16113" s="5"/>
    </row>
    <row r="16114">
      <c r="N16114" s="1"/>
      <c r="V16114" s="5"/>
    </row>
    <row r="16115">
      <c r="N16115" s="1"/>
      <c r="V16115" s="5"/>
    </row>
    <row r="16116">
      <c r="N16116" s="1"/>
      <c r="V16116" s="5"/>
    </row>
    <row r="16117">
      <c r="N16117" s="1"/>
      <c r="V16117" s="5"/>
    </row>
    <row r="16118">
      <c r="N16118" s="1"/>
      <c r="V16118" s="5"/>
    </row>
    <row r="16119">
      <c r="N16119" s="1"/>
      <c r="V16119" s="5"/>
    </row>
    <row r="16120">
      <c r="N16120" s="1"/>
      <c r="V16120" s="5"/>
    </row>
    <row r="16121">
      <c r="N16121" s="1"/>
      <c r="V16121" s="5"/>
    </row>
    <row r="16122">
      <c r="N16122" s="1"/>
      <c r="V16122" s="5"/>
    </row>
    <row r="16123">
      <c r="N16123" s="1"/>
      <c r="V16123" s="5"/>
    </row>
    <row r="16124">
      <c r="N16124" s="1"/>
      <c r="V16124" s="5"/>
    </row>
    <row r="16125">
      <c r="N16125" s="1"/>
      <c r="V16125" s="5"/>
    </row>
    <row r="16126">
      <c r="N16126" s="1"/>
      <c r="V16126" s="5"/>
    </row>
    <row r="16127">
      <c r="N16127" s="1"/>
      <c r="V16127" s="5"/>
    </row>
    <row r="16128">
      <c r="N16128" s="1"/>
      <c r="V16128" s="5"/>
    </row>
    <row r="16129">
      <c r="N16129" s="1"/>
      <c r="V16129" s="5"/>
    </row>
    <row r="16130">
      <c r="N16130" s="1"/>
      <c r="V16130" s="5"/>
    </row>
    <row r="16131">
      <c r="N16131" s="1"/>
      <c r="V16131" s="5"/>
    </row>
    <row r="16132">
      <c r="N16132" s="1"/>
      <c r="V16132" s="5"/>
    </row>
    <row r="16133">
      <c r="N16133" s="1"/>
      <c r="V16133" s="5"/>
    </row>
    <row r="16134">
      <c r="N16134" s="1"/>
      <c r="V16134" s="5"/>
    </row>
    <row r="16135">
      <c r="N16135" s="1"/>
      <c r="V16135" s="5"/>
    </row>
    <row r="16136">
      <c r="N16136" s="1"/>
      <c r="V16136" s="5"/>
    </row>
    <row r="16137">
      <c r="N16137" s="1"/>
      <c r="V16137" s="5"/>
    </row>
    <row r="16138">
      <c r="N16138" s="1"/>
      <c r="V16138" s="5"/>
    </row>
    <row r="16139">
      <c r="N16139" s="1"/>
      <c r="V16139" s="5"/>
    </row>
    <row r="16140">
      <c r="N16140" s="1"/>
      <c r="V16140" s="5"/>
    </row>
    <row r="16141">
      <c r="N16141" s="1"/>
      <c r="V16141" s="5"/>
    </row>
    <row r="16142">
      <c r="N16142" s="1"/>
      <c r="V16142" s="5"/>
    </row>
    <row r="16143">
      <c r="N16143" s="1"/>
      <c r="V16143" s="5"/>
    </row>
    <row r="16144">
      <c r="N16144" s="1"/>
      <c r="V16144" s="5"/>
    </row>
    <row r="16145">
      <c r="N16145" s="1"/>
      <c r="V16145" s="5"/>
    </row>
    <row r="16146">
      <c r="N16146" s="1"/>
      <c r="V16146" s="5"/>
    </row>
    <row r="16147">
      <c r="N16147" s="1"/>
      <c r="V16147" s="5"/>
    </row>
    <row r="16148">
      <c r="N16148" s="1"/>
      <c r="V16148" s="5"/>
    </row>
    <row r="16149">
      <c r="N16149" s="1"/>
      <c r="V16149" s="5"/>
    </row>
    <row r="16150">
      <c r="N16150" s="1"/>
      <c r="V16150" s="5"/>
    </row>
    <row r="16151">
      <c r="N16151" s="1"/>
      <c r="V16151" s="5"/>
    </row>
    <row r="16152">
      <c r="N16152" s="1"/>
      <c r="V16152" s="5"/>
    </row>
    <row r="16153">
      <c r="N16153" s="1"/>
      <c r="V16153" s="5"/>
    </row>
    <row r="16154">
      <c r="N16154" s="1"/>
      <c r="V16154" s="5"/>
    </row>
    <row r="16155">
      <c r="N16155" s="1"/>
      <c r="V16155" s="5"/>
    </row>
    <row r="16156">
      <c r="N16156" s="1"/>
      <c r="V16156" s="5"/>
    </row>
    <row r="16157">
      <c r="N16157" s="1"/>
      <c r="V16157" s="5"/>
    </row>
    <row r="16158">
      <c r="N16158" s="1"/>
      <c r="V16158" s="5"/>
    </row>
    <row r="16159">
      <c r="N16159" s="1"/>
      <c r="V16159" s="5"/>
    </row>
    <row r="16160">
      <c r="N16160" s="1"/>
      <c r="V16160" s="5"/>
    </row>
    <row r="16161">
      <c r="N16161" s="1"/>
      <c r="V16161" s="5"/>
    </row>
    <row r="16162">
      <c r="N16162" s="1"/>
      <c r="V16162" s="5"/>
    </row>
    <row r="16163">
      <c r="N16163" s="1"/>
      <c r="V16163" s="5"/>
    </row>
    <row r="16164">
      <c r="N16164" s="1"/>
      <c r="V16164" s="5"/>
    </row>
    <row r="16165">
      <c r="N16165" s="1"/>
      <c r="V16165" s="5"/>
    </row>
    <row r="16166">
      <c r="N16166" s="1"/>
      <c r="V16166" s="5"/>
    </row>
    <row r="16167">
      <c r="N16167" s="1"/>
      <c r="V16167" s="5"/>
    </row>
    <row r="16168">
      <c r="N16168" s="1"/>
      <c r="V16168" s="5"/>
    </row>
    <row r="16169">
      <c r="N16169" s="1"/>
      <c r="V16169" s="5"/>
    </row>
    <row r="16170">
      <c r="N16170" s="1"/>
      <c r="V16170" s="5"/>
    </row>
    <row r="16171">
      <c r="N16171" s="1"/>
      <c r="V16171" s="5"/>
    </row>
    <row r="16172">
      <c r="N16172" s="1"/>
      <c r="V16172" s="5"/>
    </row>
    <row r="16173">
      <c r="N16173" s="1"/>
      <c r="V16173" s="5"/>
    </row>
    <row r="16174">
      <c r="N16174" s="1"/>
      <c r="V16174" s="5"/>
    </row>
    <row r="16175">
      <c r="N16175" s="1"/>
      <c r="V16175" s="5"/>
    </row>
    <row r="16176">
      <c r="N16176" s="1"/>
      <c r="V16176" s="5"/>
    </row>
    <row r="16177">
      <c r="N16177" s="1"/>
      <c r="V16177" s="5"/>
    </row>
    <row r="16178">
      <c r="N16178" s="1"/>
      <c r="V16178" s="5"/>
    </row>
    <row r="16179">
      <c r="N16179" s="1"/>
      <c r="V16179" s="5"/>
    </row>
    <row r="16180">
      <c r="N16180" s="1"/>
      <c r="V16180" s="5"/>
    </row>
    <row r="16181">
      <c r="N16181" s="1"/>
      <c r="V16181" s="5"/>
    </row>
    <row r="16182">
      <c r="N16182" s="1"/>
      <c r="V16182" s="5"/>
    </row>
    <row r="16183">
      <c r="N16183" s="1"/>
      <c r="V16183" s="5"/>
    </row>
    <row r="16184">
      <c r="N16184" s="1"/>
      <c r="V16184" s="5"/>
    </row>
    <row r="16185">
      <c r="N16185" s="1"/>
      <c r="V16185" s="5"/>
    </row>
    <row r="16186">
      <c r="N16186" s="1"/>
      <c r="V16186" s="5"/>
    </row>
    <row r="16187">
      <c r="N16187" s="1"/>
      <c r="V16187" s="5"/>
    </row>
    <row r="16188">
      <c r="N16188" s="1"/>
      <c r="V16188" s="5"/>
    </row>
    <row r="16189">
      <c r="N16189" s="1"/>
      <c r="V16189" s="5"/>
    </row>
    <row r="16190">
      <c r="N16190" s="1"/>
      <c r="V16190" s="5"/>
    </row>
    <row r="16191">
      <c r="N16191" s="1"/>
      <c r="V16191" s="5"/>
    </row>
    <row r="16192">
      <c r="N16192" s="1"/>
      <c r="V16192" s="5"/>
    </row>
    <row r="16193">
      <c r="N16193" s="1"/>
      <c r="V16193" s="5"/>
    </row>
    <row r="16194">
      <c r="N16194" s="1"/>
      <c r="V16194" s="5"/>
    </row>
    <row r="16195">
      <c r="N16195" s="1"/>
      <c r="V16195" s="5"/>
    </row>
    <row r="16196">
      <c r="N16196" s="1"/>
      <c r="V16196" s="5"/>
    </row>
    <row r="16197">
      <c r="N16197" s="1"/>
      <c r="V16197" s="5"/>
    </row>
    <row r="16198">
      <c r="N16198" s="1"/>
      <c r="V16198" s="5"/>
    </row>
    <row r="16199">
      <c r="N16199" s="1"/>
      <c r="V16199" s="5"/>
    </row>
    <row r="16200">
      <c r="N16200" s="1"/>
      <c r="V16200" s="5"/>
    </row>
    <row r="16201">
      <c r="N16201" s="1"/>
      <c r="V16201" s="5"/>
    </row>
    <row r="16202">
      <c r="N16202" s="1"/>
      <c r="V16202" s="5"/>
    </row>
    <row r="16203">
      <c r="N16203" s="1"/>
      <c r="V16203" s="5"/>
    </row>
    <row r="16204">
      <c r="N16204" s="1"/>
      <c r="V16204" s="5"/>
    </row>
    <row r="16205">
      <c r="N16205" s="1"/>
      <c r="V16205" s="5"/>
    </row>
    <row r="16206">
      <c r="N16206" s="1"/>
      <c r="V16206" s="5"/>
    </row>
    <row r="16207">
      <c r="N16207" s="1"/>
      <c r="V16207" s="5"/>
    </row>
    <row r="16208">
      <c r="N16208" s="1"/>
      <c r="V16208" s="5"/>
    </row>
    <row r="16209">
      <c r="N16209" s="1"/>
      <c r="V16209" s="5"/>
    </row>
    <row r="16210">
      <c r="N16210" s="1"/>
      <c r="V16210" s="5"/>
    </row>
    <row r="16211">
      <c r="N16211" s="1"/>
      <c r="V16211" s="5"/>
    </row>
    <row r="16212">
      <c r="N16212" s="1"/>
      <c r="V16212" s="5"/>
    </row>
    <row r="16213">
      <c r="N16213" s="1"/>
      <c r="V16213" s="5"/>
    </row>
    <row r="16214">
      <c r="N16214" s="1"/>
      <c r="V16214" s="5"/>
    </row>
    <row r="16215">
      <c r="N16215" s="1"/>
      <c r="V16215" s="5"/>
    </row>
    <row r="16216">
      <c r="N16216" s="1"/>
      <c r="V16216" s="5"/>
    </row>
    <row r="16217">
      <c r="N16217" s="1"/>
      <c r="V16217" s="5"/>
    </row>
    <row r="16218">
      <c r="N16218" s="1"/>
      <c r="V16218" s="5"/>
    </row>
    <row r="16219">
      <c r="N16219" s="1"/>
      <c r="V16219" s="5"/>
    </row>
    <row r="16220">
      <c r="N16220" s="1"/>
      <c r="V16220" s="5"/>
    </row>
    <row r="16221">
      <c r="N16221" s="1"/>
      <c r="V16221" s="5"/>
    </row>
    <row r="16222">
      <c r="N16222" s="1"/>
      <c r="V16222" s="5"/>
    </row>
    <row r="16223">
      <c r="N16223" s="1"/>
      <c r="V16223" s="5"/>
    </row>
    <row r="16224">
      <c r="N16224" s="1"/>
      <c r="V16224" s="5"/>
    </row>
    <row r="16225">
      <c r="N16225" s="1"/>
      <c r="V16225" s="5"/>
    </row>
    <row r="16226">
      <c r="N16226" s="1"/>
      <c r="V16226" s="5"/>
    </row>
    <row r="16227">
      <c r="N16227" s="1"/>
      <c r="V16227" s="5"/>
    </row>
    <row r="16228">
      <c r="N16228" s="1"/>
      <c r="V16228" s="5"/>
    </row>
    <row r="16229">
      <c r="N16229" s="1"/>
      <c r="V16229" s="5"/>
    </row>
    <row r="16230">
      <c r="N16230" s="1"/>
      <c r="V16230" s="5"/>
    </row>
    <row r="16231">
      <c r="N16231" s="1"/>
      <c r="V16231" s="5"/>
    </row>
    <row r="16232">
      <c r="N16232" s="1"/>
      <c r="V16232" s="5"/>
    </row>
    <row r="16233">
      <c r="N16233" s="1"/>
      <c r="V16233" s="5"/>
    </row>
    <row r="16234">
      <c r="N16234" s="1"/>
      <c r="V16234" s="5"/>
    </row>
    <row r="16235">
      <c r="N16235" s="1"/>
      <c r="V16235" s="5"/>
    </row>
    <row r="16236">
      <c r="N16236" s="1"/>
      <c r="V16236" s="5"/>
    </row>
    <row r="16237">
      <c r="N16237" s="1"/>
      <c r="V16237" s="5"/>
    </row>
    <row r="16238">
      <c r="N16238" s="1"/>
      <c r="V16238" s="5"/>
    </row>
    <row r="16239">
      <c r="N16239" s="1"/>
      <c r="V16239" s="5"/>
    </row>
    <row r="16240">
      <c r="N16240" s="1"/>
      <c r="V16240" s="5"/>
    </row>
    <row r="16241">
      <c r="N16241" s="1"/>
      <c r="V16241" s="5"/>
    </row>
    <row r="16242">
      <c r="N16242" s="1"/>
      <c r="V16242" s="5"/>
    </row>
    <row r="16243">
      <c r="N16243" s="1"/>
      <c r="V16243" s="5"/>
    </row>
    <row r="16244">
      <c r="N16244" s="1"/>
      <c r="V16244" s="5"/>
    </row>
    <row r="16245">
      <c r="N16245" s="1"/>
      <c r="V16245" s="5"/>
    </row>
    <row r="16246">
      <c r="N16246" s="1"/>
      <c r="V16246" s="5"/>
    </row>
    <row r="16247">
      <c r="N16247" s="1"/>
      <c r="V16247" s="5"/>
    </row>
    <row r="16248">
      <c r="N16248" s="1"/>
      <c r="V16248" s="5"/>
    </row>
    <row r="16249">
      <c r="N16249" s="1"/>
      <c r="V16249" s="5"/>
    </row>
    <row r="16250">
      <c r="N16250" s="1"/>
      <c r="V16250" s="5"/>
    </row>
    <row r="16251">
      <c r="N16251" s="1"/>
      <c r="V16251" s="5"/>
    </row>
    <row r="16252">
      <c r="N16252" s="1"/>
      <c r="V16252" s="5"/>
    </row>
    <row r="16253">
      <c r="N16253" s="1"/>
      <c r="V16253" s="5"/>
    </row>
    <row r="16254">
      <c r="N16254" s="1"/>
      <c r="V16254" s="5"/>
    </row>
    <row r="16255">
      <c r="N16255" s="1"/>
      <c r="V16255" s="5"/>
    </row>
    <row r="16256">
      <c r="N16256" s="1"/>
      <c r="V16256" s="5"/>
    </row>
    <row r="16257">
      <c r="N16257" s="1"/>
      <c r="V16257" s="5"/>
    </row>
    <row r="16258">
      <c r="N16258" s="1"/>
      <c r="V16258" s="5"/>
    </row>
    <row r="16259">
      <c r="N16259" s="1"/>
      <c r="V16259" s="5"/>
    </row>
    <row r="16260">
      <c r="N16260" s="1"/>
      <c r="V16260" s="5"/>
    </row>
    <row r="16261">
      <c r="N16261" s="1"/>
      <c r="V16261" s="5"/>
    </row>
    <row r="16262">
      <c r="N16262" s="1"/>
      <c r="V16262" s="5"/>
    </row>
    <row r="16263">
      <c r="N16263" s="1"/>
      <c r="V16263" s="5"/>
    </row>
    <row r="16264">
      <c r="N16264" s="1"/>
      <c r="V16264" s="5"/>
    </row>
    <row r="16265">
      <c r="N16265" s="1"/>
      <c r="V16265" s="5"/>
    </row>
    <row r="16266">
      <c r="N16266" s="1"/>
      <c r="V16266" s="5"/>
    </row>
    <row r="16267">
      <c r="N16267" s="1"/>
      <c r="V16267" s="5"/>
    </row>
    <row r="16268">
      <c r="N16268" s="1"/>
      <c r="V16268" s="5"/>
    </row>
    <row r="16269">
      <c r="N16269" s="1"/>
      <c r="V16269" s="5"/>
    </row>
    <row r="16270">
      <c r="N16270" s="1"/>
      <c r="V16270" s="5"/>
    </row>
    <row r="16271">
      <c r="N16271" s="1"/>
      <c r="V16271" s="5"/>
    </row>
    <row r="16272">
      <c r="N16272" s="1"/>
      <c r="V16272" s="5"/>
    </row>
    <row r="16273">
      <c r="N16273" s="1"/>
      <c r="V16273" s="5"/>
    </row>
    <row r="16274">
      <c r="N16274" s="1"/>
      <c r="V16274" s="5"/>
    </row>
    <row r="16275">
      <c r="N16275" s="1"/>
      <c r="V16275" s="5"/>
    </row>
    <row r="16276">
      <c r="N16276" s="1"/>
      <c r="V16276" s="5"/>
    </row>
    <row r="16277">
      <c r="N16277" s="1"/>
      <c r="V16277" s="5"/>
    </row>
    <row r="16278">
      <c r="N16278" s="1"/>
      <c r="V16278" s="5"/>
    </row>
    <row r="16279">
      <c r="N16279" s="1"/>
      <c r="V16279" s="5"/>
    </row>
    <row r="16280">
      <c r="N16280" s="1"/>
      <c r="V16280" s="5"/>
    </row>
    <row r="16281">
      <c r="N16281" s="1"/>
      <c r="V16281" s="5"/>
    </row>
    <row r="16282">
      <c r="N16282" s="1"/>
      <c r="V16282" s="5"/>
    </row>
    <row r="16283">
      <c r="N16283" s="1"/>
      <c r="V16283" s="5"/>
    </row>
    <row r="16284">
      <c r="N16284" s="1"/>
      <c r="V16284" s="5"/>
    </row>
    <row r="16285">
      <c r="N16285" s="1"/>
      <c r="V16285" s="5"/>
    </row>
    <row r="16286">
      <c r="N16286" s="1"/>
      <c r="V16286" s="5"/>
    </row>
    <row r="16287">
      <c r="N16287" s="1"/>
      <c r="V16287" s="5"/>
    </row>
    <row r="16288">
      <c r="N16288" s="1"/>
      <c r="V16288" s="5"/>
    </row>
    <row r="16289">
      <c r="N16289" s="1"/>
      <c r="V16289" s="5"/>
    </row>
    <row r="16290">
      <c r="N16290" s="1"/>
      <c r="V16290" s="5"/>
    </row>
    <row r="16291">
      <c r="N16291" s="1"/>
      <c r="V16291" s="5"/>
    </row>
    <row r="16292">
      <c r="N16292" s="1"/>
      <c r="V16292" s="5"/>
    </row>
    <row r="16293">
      <c r="N16293" s="1"/>
      <c r="V16293" s="5"/>
    </row>
    <row r="16294">
      <c r="N16294" s="1"/>
      <c r="V16294" s="5"/>
    </row>
    <row r="16295">
      <c r="N16295" s="1"/>
      <c r="V16295" s="5"/>
    </row>
    <row r="16296">
      <c r="N16296" s="1"/>
      <c r="V16296" s="5"/>
    </row>
    <row r="16297">
      <c r="N16297" s="1"/>
      <c r="V16297" s="5"/>
    </row>
    <row r="16298">
      <c r="N16298" s="1"/>
      <c r="V16298" s="5"/>
    </row>
    <row r="16299">
      <c r="N16299" s="1"/>
      <c r="V16299" s="5"/>
    </row>
    <row r="16300">
      <c r="N16300" s="1"/>
      <c r="V16300" s="5"/>
    </row>
    <row r="16301">
      <c r="N16301" s="1"/>
      <c r="V16301" s="5"/>
    </row>
    <row r="16302">
      <c r="N16302" s="1"/>
      <c r="V16302" s="5"/>
    </row>
    <row r="16303">
      <c r="N16303" s="1"/>
      <c r="V16303" s="5"/>
    </row>
    <row r="16304">
      <c r="N16304" s="1"/>
      <c r="V16304" s="5"/>
    </row>
    <row r="16305">
      <c r="N16305" s="1"/>
      <c r="V16305" s="5"/>
    </row>
    <row r="16306">
      <c r="N16306" s="1"/>
      <c r="V16306" s="5"/>
    </row>
    <row r="16307">
      <c r="N16307" s="1"/>
      <c r="V16307" s="5"/>
    </row>
    <row r="16308">
      <c r="N16308" s="1"/>
      <c r="V16308" s="5"/>
    </row>
    <row r="16309">
      <c r="N16309" s="1"/>
      <c r="V16309" s="5"/>
    </row>
    <row r="16310">
      <c r="N16310" s="1"/>
      <c r="V16310" s="5"/>
    </row>
    <row r="16311">
      <c r="N16311" s="1"/>
      <c r="V16311" s="5"/>
    </row>
    <row r="16312">
      <c r="N16312" s="1"/>
      <c r="V16312" s="5"/>
    </row>
    <row r="16313">
      <c r="N16313" s="1"/>
      <c r="V16313" s="5"/>
    </row>
    <row r="16314">
      <c r="N16314" s="1"/>
      <c r="V16314" s="5"/>
    </row>
    <row r="16315">
      <c r="N16315" s="1"/>
      <c r="V16315" s="5"/>
    </row>
    <row r="16316">
      <c r="N16316" s="1"/>
      <c r="V16316" s="5"/>
    </row>
    <row r="16317">
      <c r="N16317" s="1"/>
      <c r="V16317" s="5"/>
    </row>
    <row r="16318">
      <c r="N16318" s="1"/>
      <c r="V16318" s="5"/>
    </row>
    <row r="16319">
      <c r="N16319" s="1"/>
      <c r="V16319" s="5"/>
    </row>
    <row r="16320">
      <c r="N16320" s="1"/>
      <c r="V16320" s="5"/>
    </row>
    <row r="16321">
      <c r="N16321" s="1"/>
      <c r="V16321" s="5"/>
    </row>
    <row r="16322">
      <c r="N16322" s="1"/>
      <c r="V16322" s="5"/>
    </row>
    <row r="16323">
      <c r="N16323" s="1"/>
      <c r="V16323" s="5"/>
    </row>
    <row r="16324">
      <c r="N16324" s="1"/>
      <c r="V16324" s="5"/>
    </row>
    <row r="16325">
      <c r="N16325" s="1"/>
      <c r="V16325" s="5"/>
    </row>
    <row r="16326">
      <c r="N16326" s="1"/>
      <c r="V16326" s="5"/>
    </row>
    <row r="16327">
      <c r="N16327" s="1"/>
      <c r="V16327" s="5"/>
    </row>
    <row r="16328">
      <c r="N16328" s="1"/>
      <c r="V16328" s="5"/>
    </row>
    <row r="16329">
      <c r="N16329" s="1"/>
      <c r="V16329" s="5"/>
    </row>
    <row r="16330">
      <c r="N16330" s="1"/>
      <c r="V16330" s="5"/>
    </row>
    <row r="16331">
      <c r="N16331" s="1"/>
      <c r="V16331" s="5"/>
    </row>
    <row r="16332">
      <c r="N16332" s="1"/>
      <c r="V16332" s="5"/>
    </row>
    <row r="16333">
      <c r="N16333" s="1"/>
      <c r="V16333" s="5"/>
    </row>
    <row r="16334">
      <c r="N16334" s="1"/>
      <c r="V16334" s="5"/>
    </row>
    <row r="16335">
      <c r="N16335" s="1"/>
      <c r="V16335" s="5"/>
    </row>
    <row r="16336">
      <c r="N16336" s="1"/>
      <c r="V16336" s="5"/>
    </row>
    <row r="16337">
      <c r="N16337" s="1"/>
      <c r="V16337" s="5"/>
    </row>
    <row r="16338">
      <c r="N16338" s="1"/>
      <c r="V16338" s="5"/>
    </row>
    <row r="16339">
      <c r="N16339" s="1"/>
      <c r="V16339" s="5"/>
    </row>
    <row r="16340">
      <c r="N16340" s="1"/>
      <c r="V16340" s="5"/>
    </row>
    <row r="16341">
      <c r="N16341" s="1"/>
      <c r="V16341" s="5"/>
    </row>
    <row r="16342">
      <c r="N16342" s="1"/>
      <c r="V16342" s="5"/>
    </row>
    <row r="16343">
      <c r="N16343" s="1"/>
      <c r="V16343" s="5"/>
    </row>
    <row r="16344">
      <c r="N16344" s="1"/>
      <c r="V16344" s="5"/>
    </row>
    <row r="16345">
      <c r="N16345" s="1"/>
      <c r="V16345" s="5"/>
    </row>
    <row r="16346">
      <c r="N16346" s="1"/>
      <c r="V16346" s="5"/>
    </row>
    <row r="16347">
      <c r="N16347" s="1"/>
      <c r="V16347" s="5"/>
    </row>
    <row r="16348">
      <c r="N16348" s="1"/>
      <c r="V16348" s="5"/>
    </row>
    <row r="16349">
      <c r="N16349" s="1"/>
      <c r="V16349" s="5"/>
    </row>
    <row r="16350">
      <c r="N16350" s="1"/>
      <c r="V16350" s="5"/>
    </row>
    <row r="16351">
      <c r="N16351" s="1"/>
      <c r="V16351" s="5"/>
    </row>
    <row r="16352">
      <c r="N16352" s="1"/>
      <c r="V16352" s="5"/>
    </row>
    <row r="16353">
      <c r="N16353" s="1"/>
      <c r="V16353" s="5"/>
    </row>
    <row r="16354">
      <c r="N16354" s="1"/>
      <c r="V16354" s="5"/>
    </row>
    <row r="16355">
      <c r="N16355" s="1"/>
      <c r="V16355" s="5"/>
    </row>
    <row r="16356">
      <c r="N16356" s="1"/>
      <c r="V16356" s="5"/>
    </row>
    <row r="16357">
      <c r="N16357" s="1"/>
      <c r="V16357" s="5"/>
    </row>
    <row r="16358">
      <c r="N16358" s="1"/>
      <c r="V16358" s="5"/>
    </row>
    <row r="16359">
      <c r="N16359" s="1"/>
      <c r="V16359" s="5"/>
    </row>
    <row r="16360">
      <c r="N16360" s="1"/>
      <c r="V16360" s="5"/>
    </row>
    <row r="16361">
      <c r="N16361" s="1"/>
      <c r="V16361" s="5"/>
    </row>
    <row r="16362">
      <c r="N16362" s="1"/>
      <c r="V16362" s="5"/>
    </row>
    <row r="16363">
      <c r="N16363" s="1"/>
      <c r="V16363" s="5"/>
    </row>
    <row r="16364">
      <c r="N16364" s="1"/>
      <c r="V16364" s="5"/>
    </row>
    <row r="16365">
      <c r="N16365" s="1"/>
      <c r="V16365" s="5"/>
    </row>
    <row r="16366">
      <c r="N16366" s="1"/>
      <c r="V16366" s="5"/>
    </row>
    <row r="16367">
      <c r="N16367" s="1"/>
      <c r="V16367" s="5"/>
    </row>
    <row r="16368">
      <c r="N16368" s="1"/>
      <c r="V16368" s="5"/>
    </row>
    <row r="16369">
      <c r="N16369" s="1"/>
      <c r="V16369" s="5"/>
    </row>
    <row r="16370">
      <c r="N16370" s="1"/>
      <c r="V16370" s="5"/>
    </row>
    <row r="16371">
      <c r="N16371" s="1"/>
      <c r="V16371" s="5"/>
    </row>
    <row r="16372">
      <c r="N16372" s="1"/>
      <c r="V16372" s="5"/>
    </row>
    <row r="16373">
      <c r="N16373" s="1"/>
      <c r="V16373" s="5"/>
    </row>
    <row r="16374">
      <c r="N16374" s="1"/>
      <c r="V16374" s="5"/>
    </row>
    <row r="16375">
      <c r="N16375" s="1"/>
      <c r="V16375" s="5"/>
    </row>
    <row r="16376">
      <c r="N16376" s="1"/>
      <c r="V16376" s="5"/>
    </row>
    <row r="16377">
      <c r="N16377" s="1"/>
      <c r="V16377" s="5"/>
    </row>
    <row r="16378">
      <c r="N16378" s="1"/>
      <c r="V16378" s="5"/>
    </row>
    <row r="16379">
      <c r="N16379" s="1"/>
      <c r="V16379" s="5"/>
    </row>
    <row r="16380">
      <c r="N16380" s="1"/>
      <c r="V16380" s="5"/>
    </row>
    <row r="16381">
      <c r="N16381" s="1"/>
      <c r="V16381" s="5"/>
    </row>
    <row r="16382">
      <c r="N16382" s="1"/>
      <c r="V16382" s="5"/>
    </row>
    <row r="16383">
      <c r="N16383" s="1"/>
      <c r="V16383" s="5"/>
    </row>
    <row r="16384">
      <c r="N16384" s="1"/>
      <c r="V16384" s="5"/>
    </row>
    <row r="16385">
      <c r="N16385" s="1"/>
      <c r="V16385" s="5"/>
    </row>
    <row r="16386">
      <c r="N16386" s="1"/>
      <c r="V16386" s="5"/>
    </row>
    <row r="16387">
      <c r="N16387" s="1"/>
      <c r="V16387" s="5"/>
    </row>
    <row r="16388">
      <c r="N16388" s="1"/>
      <c r="V16388" s="5"/>
    </row>
    <row r="16389">
      <c r="N16389" s="1"/>
      <c r="V16389" s="5"/>
    </row>
    <row r="16390">
      <c r="N16390" s="1"/>
      <c r="V16390" s="5"/>
    </row>
    <row r="16391">
      <c r="N16391" s="1"/>
      <c r="V16391" s="5"/>
    </row>
    <row r="16392">
      <c r="N16392" s="1"/>
      <c r="V16392" s="5"/>
    </row>
    <row r="16393">
      <c r="N16393" s="1"/>
      <c r="V16393" s="5"/>
    </row>
    <row r="16394">
      <c r="N16394" s="1"/>
      <c r="V16394" s="5"/>
    </row>
    <row r="16395">
      <c r="N16395" s="1"/>
      <c r="V16395" s="5"/>
    </row>
    <row r="16396">
      <c r="N16396" s="1"/>
      <c r="V16396" s="5"/>
    </row>
    <row r="16397">
      <c r="N16397" s="1"/>
      <c r="V16397" s="5"/>
    </row>
    <row r="16398">
      <c r="N16398" s="1"/>
      <c r="V16398" s="5"/>
    </row>
    <row r="16399">
      <c r="N16399" s="1"/>
      <c r="V16399" s="5"/>
    </row>
    <row r="16400">
      <c r="N16400" s="1"/>
      <c r="V16400" s="5"/>
    </row>
    <row r="16401">
      <c r="N16401" s="1"/>
      <c r="V16401" s="5"/>
    </row>
    <row r="16402">
      <c r="N16402" s="1"/>
      <c r="V16402" s="5"/>
    </row>
    <row r="16403">
      <c r="N16403" s="1"/>
      <c r="V16403" s="5"/>
    </row>
    <row r="16404">
      <c r="N16404" s="1"/>
      <c r="V16404" s="5"/>
    </row>
    <row r="16405">
      <c r="N16405" s="1"/>
      <c r="V16405" s="5"/>
    </row>
    <row r="16406">
      <c r="N16406" s="1"/>
      <c r="V16406" s="5"/>
    </row>
    <row r="16407">
      <c r="N16407" s="1"/>
      <c r="V16407" s="5"/>
    </row>
    <row r="16408">
      <c r="N16408" s="1"/>
      <c r="V16408" s="5"/>
    </row>
    <row r="16409">
      <c r="N16409" s="1"/>
      <c r="V16409" s="5"/>
    </row>
    <row r="16410">
      <c r="N16410" s="1"/>
      <c r="V16410" s="5"/>
    </row>
    <row r="16411">
      <c r="N16411" s="1"/>
      <c r="V16411" s="5"/>
    </row>
    <row r="16412">
      <c r="N16412" s="1"/>
      <c r="V16412" s="5"/>
    </row>
    <row r="16413">
      <c r="N16413" s="1"/>
      <c r="V16413" s="5"/>
    </row>
    <row r="16414">
      <c r="N16414" s="1"/>
      <c r="V16414" s="5"/>
    </row>
    <row r="16415">
      <c r="N16415" s="1"/>
      <c r="V16415" s="5"/>
    </row>
    <row r="16416">
      <c r="N16416" s="1"/>
      <c r="V16416" s="5"/>
    </row>
    <row r="16417">
      <c r="N16417" s="1"/>
      <c r="V16417" s="5"/>
    </row>
    <row r="16418">
      <c r="N16418" s="1"/>
      <c r="V16418" s="5"/>
    </row>
    <row r="16419">
      <c r="N16419" s="1"/>
      <c r="V16419" s="5"/>
    </row>
    <row r="16420">
      <c r="N16420" s="1"/>
      <c r="V16420" s="5"/>
    </row>
    <row r="16421">
      <c r="N16421" s="1"/>
      <c r="V16421" s="5"/>
    </row>
    <row r="16422">
      <c r="N16422" s="1"/>
      <c r="V16422" s="5"/>
    </row>
    <row r="16423">
      <c r="N16423" s="1"/>
      <c r="V16423" s="5"/>
    </row>
    <row r="16424">
      <c r="N16424" s="1"/>
      <c r="V16424" s="5"/>
    </row>
    <row r="16425">
      <c r="N16425" s="1"/>
      <c r="V16425" s="5"/>
    </row>
    <row r="16426">
      <c r="N16426" s="1"/>
      <c r="V16426" s="5"/>
    </row>
    <row r="16427">
      <c r="N16427" s="1"/>
      <c r="V16427" s="5"/>
    </row>
    <row r="16428">
      <c r="N16428" s="1"/>
      <c r="V16428" s="5"/>
    </row>
    <row r="16429">
      <c r="N16429" s="1"/>
      <c r="V16429" s="5"/>
    </row>
    <row r="16430">
      <c r="N16430" s="1"/>
      <c r="V16430" s="5"/>
    </row>
    <row r="16431">
      <c r="N16431" s="1"/>
      <c r="V16431" s="5"/>
    </row>
    <row r="16432">
      <c r="N16432" s="1"/>
      <c r="V16432" s="5"/>
    </row>
    <row r="16433">
      <c r="N16433" s="1"/>
      <c r="V16433" s="5"/>
    </row>
    <row r="16434">
      <c r="N16434" s="1"/>
      <c r="V16434" s="5"/>
    </row>
    <row r="16435">
      <c r="N16435" s="1"/>
      <c r="V16435" s="5"/>
    </row>
    <row r="16436">
      <c r="N16436" s="1"/>
      <c r="V16436" s="5"/>
    </row>
    <row r="16437">
      <c r="N16437" s="1"/>
      <c r="V16437" s="5"/>
    </row>
    <row r="16438">
      <c r="N16438" s="1"/>
      <c r="V16438" s="5"/>
    </row>
    <row r="16439">
      <c r="N16439" s="1"/>
      <c r="V16439" s="5"/>
    </row>
    <row r="16440">
      <c r="N16440" s="1"/>
      <c r="V16440" s="5"/>
    </row>
    <row r="16441">
      <c r="N16441" s="1"/>
      <c r="V16441" s="5"/>
    </row>
    <row r="16442">
      <c r="N16442" s="1"/>
      <c r="V16442" s="5"/>
    </row>
    <row r="16443">
      <c r="N16443" s="1"/>
      <c r="V16443" s="5"/>
    </row>
    <row r="16444">
      <c r="N16444" s="1"/>
      <c r="V16444" s="5"/>
    </row>
    <row r="16445">
      <c r="N16445" s="1"/>
      <c r="V16445" s="5"/>
    </row>
    <row r="16446">
      <c r="N16446" s="1"/>
      <c r="V16446" s="5"/>
    </row>
    <row r="16447">
      <c r="N16447" s="1"/>
      <c r="V16447" s="5"/>
    </row>
    <row r="16448">
      <c r="N16448" s="1"/>
      <c r="V16448" s="5"/>
    </row>
    <row r="16449">
      <c r="N16449" s="1"/>
      <c r="V16449" s="5"/>
    </row>
    <row r="16450">
      <c r="N16450" s="1"/>
      <c r="V16450" s="5"/>
    </row>
    <row r="16451">
      <c r="N16451" s="1"/>
      <c r="V16451" s="5"/>
    </row>
    <row r="16452">
      <c r="N16452" s="1"/>
      <c r="V16452" s="5"/>
    </row>
    <row r="16453">
      <c r="N16453" s="1"/>
      <c r="V16453" s="5"/>
    </row>
    <row r="16454">
      <c r="N16454" s="1"/>
      <c r="V16454" s="5"/>
    </row>
    <row r="16455">
      <c r="N16455" s="1"/>
      <c r="V16455" s="5"/>
    </row>
    <row r="16456">
      <c r="N16456" s="1"/>
      <c r="V16456" s="5"/>
    </row>
    <row r="16457">
      <c r="N16457" s="1"/>
      <c r="V16457" s="5"/>
    </row>
    <row r="16458">
      <c r="N16458" s="1"/>
      <c r="V16458" s="5"/>
    </row>
    <row r="16459">
      <c r="N16459" s="1"/>
      <c r="V16459" s="5"/>
    </row>
    <row r="16460">
      <c r="N16460" s="1"/>
      <c r="V16460" s="5"/>
    </row>
    <row r="16461">
      <c r="N16461" s="1"/>
      <c r="V16461" s="5"/>
    </row>
    <row r="16462">
      <c r="N16462" s="1"/>
      <c r="V16462" s="5"/>
    </row>
    <row r="16463">
      <c r="N16463" s="1"/>
      <c r="V16463" s="5"/>
    </row>
    <row r="16464">
      <c r="N16464" s="1"/>
      <c r="V16464" s="5"/>
    </row>
    <row r="16465">
      <c r="N16465" s="1"/>
      <c r="V16465" s="5"/>
    </row>
    <row r="16466">
      <c r="N16466" s="1"/>
      <c r="V16466" s="5"/>
    </row>
    <row r="16467">
      <c r="N16467" s="1"/>
      <c r="V16467" s="5"/>
    </row>
    <row r="16468">
      <c r="N16468" s="1"/>
      <c r="V16468" s="5"/>
    </row>
    <row r="16469">
      <c r="N16469" s="1"/>
      <c r="V16469" s="5"/>
    </row>
    <row r="16470">
      <c r="N16470" s="1"/>
      <c r="V16470" s="5"/>
    </row>
    <row r="16471">
      <c r="N16471" s="1"/>
      <c r="V16471" s="5"/>
    </row>
    <row r="16472">
      <c r="N16472" s="1"/>
      <c r="V16472" s="5"/>
    </row>
    <row r="16473">
      <c r="N16473" s="1"/>
      <c r="V16473" s="5"/>
    </row>
    <row r="16474">
      <c r="N16474" s="1"/>
      <c r="V16474" s="5"/>
    </row>
    <row r="16475">
      <c r="N16475" s="1"/>
      <c r="V16475" s="5"/>
    </row>
    <row r="16476">
      <c r="N16476" s="1"/>
      <c r="V16476" s="5"/>
    </row>
    <row r="16477">
      <c r="N16477" s="1"/>
      <c r="V16477" s="5"/>
    </row>
    <row r="16478">
      <c r="N16478" s="1"/>
      <c r="V16478" s="5"/>
    </row>
    <row r="16479">
      <c r="N16479" s="1"/>
      <c r="V16479" s="5"/>
    </row>
    <row r="16480">
      <c r="N16480" s="1"/>
      <c r="V16480" s="5"/>
    </row>
    <row r="16481">
      <c r="N16481" s="1"/>
      <c r="V16481" s="5"/>
    </row>
    <row r="16482">
      <c r="N16482" s="1"/>
      <c r="V16482" s="5"/>
    </row>
    <row r="16483">
      <c r="N16483" s="1"/>
      <c r="V16483" s="5"/>
    </row>
    <row r="16484">
      <c r="N16484" s="1"/>
      <c r="V16484" s="5"/>
    </row>
    <row r="16485">
      <c r="N16485" s="1"/>
      <c r="V16485" s="5"/>
    </row>
    <row r="16486">
      <c r="N16486" s="1"/>
      <c r="V16486" s="5"/>
    </row>
    <row r="16487">
      <c r="N16487" s="1"/>
      <c r="V16487" s="5"/>
    </row>
    <row r="16488">
      <c r="N16488" s="1"/>
      <c r="V16488" s="5"/>
    </row>
    <row r="16489">
      <c r="N16489" s="1"/>
      <c r="V16489" s="5"/>
    </row>
    <row r="16490">
      <c r="N16490" s="1"/>
      <c r="V16490" s="5"/>
    </row>
    <row r="16491">
      <c r="N16491" s="1"/>
      <c r="V16491" s="5"/>
    </row>
    <row r="16492">
      <c r="N16492" s="1"/>
      <c r="V16492" s="5"/>
    </row>
    <row r="16493">
      <c r="N16493" s="1"/>
      <c r="V16493" s="5"/>
    </row>
    <row r="16494">
      <c r="N16494" s="1"/>
      <c r="V16494" s="5"/>
    </row>
    <row r="16495">
      <c r="N16495" s="1"/>
      <c r="V16495" s="5"/>
    </row>
    <row r="16496">
      <c r="N16496" s="1"/>
      <c r="V16496" s="5"/>
    </row>
    <row r="16497">
      <c r="N16497" s="1"/>
      <c r="V16497" s="5"/>
    </row>
    <row r="16498">
      <c r="N16498" s="1"/>
      <c r="V16498" s="5"/>
    </row>
    <row r="16499">
      <c r="N16499" s="1"/>
      <c r="V16499" s="5"/>
    </row>
    <row r="16500">
      <c r="N16500" s="1"/>
      <c r="V16500" s="5"/>
    </row>
    <row r="16501">
      <c r="N16501" s="1"/>
      <c r="V16501" s="5"/>
    </row>
    <row r="16502">
      <c r="N16502" s="1"/>
      <c r="V16502" s="5"/>
    </row>
    <row r="16503">
      <c r="N16503" s="1"/>
      <c r="V16503" s="5"/>
    </row>
    <row r="16504">
      <c r="N16504" s="1"/>
      <c r="V16504" s="5"/>
    </row>
    <row r="16505">
      <c r="N16505" s="1"/>
      <c r="V16505" s="5"/>
    </row>
    <row r="16506">
      <c r="N16506" s="1"/>
      <c r="V16506" s="5"/>
    </row>
    <row r="16507">
      <c r="N16507" s="1"/>
      <c r="V16507" s="5"/>
    </row>
    <row r="16508">
      <c r="N16508" s="1"/>
      <c r="V16508" s="5"/>
    </row>
    <row r="16509">
      <c r="N16509" s="1"/>
      <c r="V16509" s="5"/>
    </row>
    <row r="16510">
      <c r="N16510" s="1"/>
      <c r="V16510" s="5"/>
    </row>
    <row r="16511">
      <c r="N16511" s="1"/>
      <c r="V16511" s="5"/>
    </row>
    <row r="16512">
      <c r="N16512" s="1"/>
      <c r="V16512" s="5"/>
    </row>
    <row r="16513">
      <c r="N16513" s="1"/>
      <c r="V16513" s="5"/>
    </row>
    <row r="16514">
      <c r="N16514" s="1"/>
      <c r="V16514" s="5"/>
    </row>
    <row r="16515">
      <c r="N16515" s="1"/>
      <c r="V16515" s="5"/>
    </row>
    <row r="16516">
      <c r="N16516" s="1"/>
      <c r="V16516" s="5"/>
    </row>
    <row r="16517">
      <c r="N16517" s="1"/>
      <c r="V16517" s="5"/>
    </row>
    <row r="16518">
      <c r="N16518" s="1"/>
      <c r="V16518" s="5"/>
    </row>
    <row r="16519">
      <c r="N16519" s="1"/>
      <c r="V16519" s="5"/>
    </row>
    <row r="16520">
      <c r="N16520" s="1"/>
      <c r="V16520" s="5"/>
    </row>
    <row r="16521">
      <c r="N16521" s="1"/>
      <c r="V16521" s="5"/>
    </row>
    <row r="16522">
      <c r="N16522" s="1"/>
      <c r="V16522" s="5"/>
    </row>
    <row r="16523">
      <c r="N16523" s="1"/>
      <c r="V16523" s="5"/>
    </row>
    <row r="16524">
      <c r="N16524" s="1"/>
      <c r="V16524" s="5"/>
    </row>
    <row r="16525">
      <c r="N16525" s="1"/>
      <c r="V16525" s="5"/>
    </row>
    <row r="16526">
      <c r="N16526" s="1"/>
      <c r="V16526" s="5"/>
    </row>
    <row r="16527">
      <c r="N16527" s="1"/>
      <c r="V16527" s="5"/>
    </row>
    <row r="16528">
      <c r="N16528" s="1"/>
      <c r="V16528" s="5"/>
    </row>
    <row r="16529">
      <c r="N16529" s="1"/>
      <c r="V16529" s="5"/>
    </row>
    <row r="16530">
      <c r="N16530" s="1"/>
      <c r="V16530" s="5"/>
    </row>
    <row r="16531">
      <c r="N16531" s="1"/>
      <c r="V16531" s="5"/>
    </row>
    <row r="16532">
      <c r="N16532" s="1"/>
      <c r="V16532" s="5"/>
    </row>
    <row r="16533">
      <c r="N16533" s="1"/>
      <c r="V16533" s="5"/>
    </row>
    <row r="16534">
      <c r="N16534" s="1"/>
      <c r="V16534" s="5"/>
    </row>
    <row r="16535">
      <c r="N16535" s="1"/>
      <c r="V16535" s="5"/>
    </row>
    <row r="16536">
      <c r="N16536" s="1"/>
      <c r="V16536" s="5"/>
    </row>
    <row r="16537">
      <c r="N16537" s="1"/>
      <c r="V16537" s="5"/>
    </row>
    <row r="16538">
      <c r="N16538" s="1"/>
      <c r="V16538" s="5"/>
    </row>
    <row r="16539">
      <c r="N16539" s="1"/>
      <c r="V16539" s="5"/>
    </row>
    <row r="16540">
      <c r="N16540" s="1"/>
      <c r="V16540" s="5"/>
    </row>
    <row r="16541">
      <c r="N16541" s="1"/>
      <c r="V16541" s="5"/>
    </row>
    <row r="16542">
      <c r="N16542" s="1"/>
      <c r="V16542" s="5"/>
    </row>
    <row r="16543">
      <c r="N16543" s="1"/>
      <c r="V16543" s="5"/>
    </row>
    <row r="16544">
      <c r="N16544" s="1"/>
      <c r="V16544" s="5"/>
    </row>
    <row r="16545">
      <c r="N16545" s="1"/>
      <c r="V16545" s="5"/>
    </row>
    <row r="16546">
      <c r="N16546" s="1"/>
      <c r="V16546" s="5"/>
    </row>
    <row r="16547">
      <c r="N16547" s="1"/>
      <c r="V16547" s="5"/>
    </row>
    <row r="16548">
      <c r="N16548" s="1"/>
      <c r="V16548" s="5"/>
    </row>
    <row r="16549">
      <c r="N16549" s="1"/>
      <c r="V16549" s="5"/>
    </row>
    <row r="16550">
      <c r="N16550" s="1"/>
      <c r="V16550" s="5"/>
    </row>
    <row r="16551">
      <c r="N16551" s="1"/>
      <c r="V16551" s="5"/>
    </row>
    <row r="16552">
      <c r="N16552" s="1"/>
      <c r="V16552" s="5"/>
    </row>
    <row r="16553">
      <c r="N16553" s="1"/>
      <c r="V16553" s="5"/>
    </row>
    <row r="16554">
      <c r="N16554" s="1"/>
      <c r="V16554" s="5"/>
    </row>
    <row r="16555">
      <c r="N16555" s="1"/>
      <c r="V16555" s="5"/>
    </row>
    <row r="16556">
      <c r="N16556" s="1"/>
      <c r="V16556" s="5"/>
    </row>
    <row r="16557">
      <c r="N16557" s="1"/>
      <c r="V16557" s="5"/>
    </row>
    <row r="16558">
      <c r="N16558" s="1"/>
      <c r="V16558" s="5"/>
    </row>
    <row r="16559">
      <c r="N16559" s="1"/>
      <c r="V16559" s="5"/>
    </row>
    <row r="16560">
      <c r="N16560" s="1"/>
      <c r="V16560" s="5"/>
    </row>
    <row r="16561">
      <c r="N16561" s="1"/>
      <c r="V16561" s="5"/>
    </row>
    <row r="16562">
      <c r="N16562" s="1"/>
      <c r="V16562" s="5"/>
    </row>
    <row r="16563">
      <c r="N16563" s="1"/>
      <c r="V16563" s="5"/>
    </row>
    <row r="16564">
      <c r="N16564" s="1"/>
      <c r="V16564" s="5"/>
    </row>
    <row r="16565">
      <c r="N16565" s="1"/>
      <c r="V16565" s="5"/>
    </row>
    <row r="16566">
      <c r="N16566" s="1"/>
      <c r="V16566" s="5"/>
    </row>
    <row r="16567">
      <c r="N16567" s="1"/>
      <c r="V16567" s="5"/>
    </row>
    <row r="16568">
      <c r="N16568" s="1"/>
      <c r="V16568" s="5"/>
    </row>
    <row r="16569">
      <c r="N16569" s="1"/>
      <c r="V16569" s="5"/>
    </row>
    <row r="16570">
      <c r="N16570" s="1"/>
      <c r="V16570" s="5"/>
    </row>
    <row r="16571">
      <c r="N16571" s="1"/>
      <c r="V16571" s="5"/>
    </row>
    <row r="16572">
      <c r="N16572" s="1"/>
      <c r="V16572" s="5"/>
    </row>
    <row r="16573">
      <c r="N16573" s="1"/>
      <c r="V16573" s="5"/>
    </row>
    <row r="16574">
      <c r="N16574" s="1"/>
      <c r="V16574" s="5"/>
    </row>
    <row r="16575">
      <c r="N16575" s="1"/>
      <c r="V16575" s="5"/>
    </row>
    <row r="16576">
      <c r="N16576" s="1"/>
      <c r="V16576" s="5"/>
    </row>
    <row r="16577">
      <c r="N16577" s="1"/>
      <c r="V16577" s="5"/>
    </row>
    <row r="16578">
      <c r="N16578" s="1"/>
      <c r="V16578" s="5"/>
    </row>
    <row r="16579">
      <c r="N16579" s="1"/>
      <c r="V16579" s="5"/>
    </row>
    <row r="16580">
      <c r="N16580" s="1"/>
      <c r="V16580" s="5"/>
    </row>
    <row r="16581">
      <c r="N16581" s="1"/>
      <c r="V16581" s="5"/>
    </row>
    <row r="16582">
      <c r="N16582" s="1"/>
      <c r="V16582" s="5"/>
    </row>
    <row r="16583">
      <c r="N16583" s="1"/>
      <c r="V16583" s="5"/>
    </row>
    <row r="16584">
      <c r="N16584" s="1"/>
      <c r="V16584" s="5"/>
    </row>
    <row r="16585">
      <c r="N16585" s="1"/>
      <c r="V16585" s="5"/>
    </row>
    <row r="16586">
      <c r="N16586" s="1"/>
      <c r="V16586" s="5"/>
    </row>
    <row r="16587">
      <c r="N16587" s="1"/>
      <c r="V16587" s="5"/>
    </row>
    <row r="16588">
      <c r="N16588" s="1"/>
      <c r="V16588" s="5"/>
    </row>
    <row r="16589">
      <c r="N16589" s="1"/>
      <c r="V16589" s="5"/>
    </row>
    <row r="16590">
      <c r="N16590" s="1"/>
      <c r="V16590" s="5"/>
    </row>
    <row r="16591">
      <c r="N16591" s="1"/>
      <c r="V16591" s="5"/>
    </row>
    <row r="16592">
      <c r="N16592" s="1"/>
      <c r="V16592" s="5"/>
    </row>
    <row r="16593">
      <c r="N16593" s="1"/>
      <c r="V16593" s="5"/>
    </row>
    <row r="16594">
      <c r="N16594" s="1"/>
      <c r="V16594" s="5"/>
    </row>
    <row r="16595">
      <c r="N16595" s="1"/>
      <c r="V16595" s="5"/>
    </row>
    <row r="16596">
      <c r="N16596" s="1"/>
      <c r="V16596" s="5"/>
    </row>
    <row r="16597">
      <c r="N16597" s="1"/>
      <c r="V16597" s="5"/>
    </row>
    <row r="16598">
      <c r="N16598" s="1"/>
      <c r="V16598" s="5"/>
    </row>
    <row r="16599">
      <c r="N16599" s="1"/>
      <c r="V16599" s="5"/>
    </row>
    <row r="16600">
      <c r="N16600" s="1"/>
      <c r="V16600" s="5"/>
    </row>
    <row r="16601">
      <c r="N16601" s="1"/>
      <c r="V16601" s="5"/>
    </row>
    <row r="16602">
      <c r="N16602" s="1"/>
      <c r="V16602" s="5"/>
    </row>
    <row r="16603">
      <c r="N16603" s="1"/>
      <c r="V16603" s="5"/>
    </row>
    <row r="16604">
      <c r="N16604" s="1"/>
      <c r="V16604" s="5"/>
    </row>
    <row r="16605">
      <c r="N16605" s="1"/>
      <c r="V16605" s="5"/>
    </row>
    <row r="16606">
      <c r="N16606" s="1"/>
      <c r="V16606" s="5"/>
    </row>
    <row r="16607">
      <c r="N16607" s="1"/>
      <c r="V16607" s="5"/>
    </row>
    <row r="16608">
      <c r="N16608" s="1"/>
      <c r="V16608" s="5"/>
    </row>
    <row r="16609">
      <c r="N16609" s="1"/>
      <c r="V16609" s="5"/>
    </row>
    <row r="16610">
      <c r="N16610" s="1"/>
      <c r="V16610" s="5"/>
    </row>
    <row r="16611">
      <c r="N16611" s="1"/>
      <c r="V16611" s="5"/>
    </row>
    <row r="16612">
      <c r="N16612" s="1"/>
      <c r="V16612" s="5"/>
    </row>
    <row r="16613">
      <c r="N16613" s="1"/>
      <c r="V16613" s="5"/>
    </row>
    <row r="16614">
      <c r="N16614" s="1"/>
      <c r="V16614" s="5"/>
    </row>
    <row r="16615">
      <c r="N16615" s="1"/>
      <c r="V16615" s="5"/>
    </row>
    <row r="16616">
      <c r="N16616" s="1"/>
      <c r="V16616" s="5"/>
    </row>
    <row r="16617">
      <c r="N16617" s="1"/>
      <c r="V16617" s="5"/>
    </row>
    <row r="16618">
      <c r="N16618" s="1"/>
      <c r="V16618" s="5"/>
    </row>
    <row r="16619">
      <c r="N16619" s="1"/>
      <c r="V16619" s="5"/>
    </row>
    <row r="16620">
      <c r="N16620" s="1"/>
      <c r="V16620" s="5"/>
    </row>
    <row r="16621">
      <c r="N16621" s="1"/>
      <c r="V16621" s="5"/>
    </row>
    <row r="16622">
      <c r="N16622" s="1"/>
      <c r="V16622" s="5"/>
    </row>
    <row r="16623">
      <c r="N16623" s="1"/>
      <c r="V16623" s="5"/>
    </row>
    <row r="16624">
      <c r="N16624" s="1"/>
      <c r="V16624" s="5"/>
    </row>
    <row r="16625">
      <c r="N16625" s="1"/>
      <c r="V16625" s="5"/>
    </row>
    <row r="16626">
      <c r="N16626" s="1"/>
      <c r="V16626" s="5"/>
    </row>
    <row r="16627">
      <c r="N16627" s="1"/>
      <c r="V16627" s="5"/>
    </row>
    <row r="16628">
      <c r="N16628" s="1"/>
      <c r="V16628" s="5"/>
    </row>
    <row r="16629">
      <c r="N16629" s="1"/>
      <c r="V16629" s="5"/>
    </row>
    <row r="16630">
      <c r="N16630" s="1"/>
      <c r="V16630" s="5"/>
    </row>
    <row r="16631">
      <c r="N16631" s="1"/>
      <c r="V16631" s="5"/>
    </row>
    <row r="16632">
      <c r="N16632" s="1"/>
      <c r="V16632" s="5"/>
    </row>
    <row r="16633">
      <c r="N16633" s="1"/>
      <c r="V16633" s="5"/>
    </row>
    <row r="16634">
      <c r="N16634" s="1"/>
      <c r="V16634" s="5"/>
    </row>
    <row r="16635">
      <c r="N16635" s="1"/>
      <c r="V16635" s="5"/>
    </row>
    <row r="16636">
      <c r="N16636" s="1"/>
      <c r="V16636" s="5"/>
    </row>
    <row r="16637">
      <c r="N16637" s="1"/>
      <c r="V16637" s="5"/>
    </row>
    <row r="16638">
      <c r="N16638" s="1"/>
      <c r="V16638" s="5"/>
    </row>
    <row r="16639">
      <c r="N16639" s="1"/>
      <c r="V16639" s="5"/>
    </row>
    <row r="16640">
      <c r="N16640" s="1"/>
      <c r="V16640" s="5"/>
    </row>
    <row r="16641">
      <c r="N16641" s="1"/>
      <c r="V16641" s="5"/>
    </row>
    <row r="16642">
      <c r="N16642" s="1"/>
      <c r="V16642" s="5"/>
    </row>
    <row r="16643">
      <c r="N16643" s="1"/>
      <c r="V16643" s="5"/>
    </row>
    <row r="16644">
      <c r="N16644" s="1"/>
      <c r="V16644" s="5"/>
    </row>
    <row r="16645">
      <c r="N16645" s="1"/>
      <c r="V16645" s="5"/>
    </row>
    <row r="16646">
      <c r="N16646" s="1"/>
      <c r="V16646" s="5"/>
    </row>
    <row r="16647">
      <c r="N16647" s="1"/>
      <c r="V16647" s="5"/>
    </row>
    <row r="16648">
      <c r="N16648" s="1"/>
      <c r="V16648" s="5"/>
    </row>
    <row r="16649">
      <c r="N16649" s="1"/>
      <c r="V16649" s="5"/>
    </row>
    <row r="16650">
      <c r="N16650" s="1"/>
      <c r="V16650" s="5"/>
    </row>
    <row r="16651">
      <c r="N16651" s="1"/>
      <c r="V16651" s="5"/>
    </row>
    <row r="16652">
      <c r="N16652" s="1"/>
      <c r="V16652" s="5"/>
    </row>
    <row r="16653">
      <c r="N16653" s="1"/>
      <c r="V16653" s="5"/>
    </row>
    <row r="16654">
      <c r="N16654" s="1"/>
      <c r="V16654" s="5"/>
    </row>
    <row r="16655">
      <c r="N16655" s="1"/>
      <c r="V16655" s="5"/>
    </row>
    <row r="16656">
      <c r="N16656" s="1"/>
      <c r="V16656" s="5"/>
    </row>
    <row r="16657">
      <c r="N16657" s="1"/>
      <c r="V16657" s="5"/>
    </row>
    <row r="16658">
      <c r="N16658" s="1"/>
      <c r="V16658" s="5"/>
    </row>
    <row r="16659">
      <c r="N16659" s="1"/>
      <c r="V16659" s="5"/>
    </row>
    <row r="16660">
      <c r="N16660" s="1"/>
      <c r="V16660" s="5"/>
    </row>
    <row r="16661">
      <c r="N16661" s="1"/>
      <c r="V16661" s="5"/>
    </row>
    <row r="16662">
      <c r="N16662" s="1"/>
      <c r="V16662" s="5"/>
    </row>
    <row r="16663">
      <c r="N16663" s="1"/>
      <c r="V16663" s="5"/>
    </row>
    <row r="16664">
      <c r="N16664" s="1"/>
      <c r="V16664" s="5"/>
    </row>
    <row r="16665">
      <c r="N16665" s="1"/>
      <c r="V16665" s="5"/>
    </row>
    <row r="16666">
      <c r="N16666" s="1"/>
      <c r="V16666" s="5"/>
    </row>
    <row r="16667">
      <c r="N16667" s="1"/>
      <c r="V16667" s="5"/>
    </row>
    <row r="16668">
      <c r="N16668" s="1"/>
      <c r="V16668" s="5"/>
    </row>
    <row r="16669">
      <c r="N16669" s="1"/>
      <c r="V16669" s="5"/>
    </row>
    <row r="16670">
      <c r="N16670" s="1"/>
      <c r="V16670" s="5"/>
    </row>
    <row r="16671">
      <c r="N16671" s="1"/>
      <c r="V16671" s="5"/>
    </row>
    <row r="16672">
      <c r="N16672" s="1"/>
      <c r="V16672" s="5"/>
    </row>
    <row r="16673">
      <c r="N16673" s="1"/>
      <c r="V16673" s="5"/>
    </row>
    <row r="16674">
      <c r="N16674" s="1"/>
      <c r="V16674" s="5"/>
    </row>
    <row r="16675">
      <c r="N16675" s="1"/>
      <c r="V16675" s="5"/>
    </row>
    <row r="16676">
      <c r="N16676" s="1"/>
      <c r="V16676" s="5"/>
    </row>
    <row r="16677">
      <c r="N16677" s="1"/>
      <c r="V16677" s="5"/>
    </row>
    <row r="16678">
      <c r="N16678" s="1"/>
      <c r="V16678" s="5"/>
    </row>
    <row r="16679">
      <c r="N16679" s="1"/>
      <c r="V16679" s="5"/>
    </row>
    <row r="16680">
      <c r="N16680" s="1"/>
      <c r="V16680" s="5"/>
    </row>
    <row r="16681">
      <c r="N16681" s="1"/>
      <c r="V16681" s="5"/>
    </row>
    <row r="16682">
      <c r="N16682" s="1"/>
      <c r="V16682" s="5"/>
    </row>
    <row r="16683">
      <c r="N16683" s="1"/>
      <c r="V16683" s="5"/>
    </row>
    <row r="16684">
      <c r="N16684" s="1"/>
      <c r="V16684" s="5"/>
    </row>
    <row r="16685">
      <c r="N16685" s="1"/>
      <c r="V16685" s="5"/>
    </row>
    <row r="16686">
      <c r="N16686" s="1"/>
      <c r="V16686" s="5"/>
    </row>
    <row r="16687">
      <c r="N16687" s="1"/>
      <c r="V16687" s="5"/>
    </row>
    <row r="16688">
      <c r="N16688" s="1"/>
      <c r="V16688" s="5"/>
    </row>
    <row r="16689">
      <c r="N16689" s="1"/>
      <c r="V16689" s="5"/>
    </row>
    <row r="16690">
      <c r="N16690" s="1"/>
      <c r="V16690" s="5"/>
    </row>
    <row r="16691">
      <c r="N16691" s="1"/>
      <c r="V16691" s="5"/>
    </row>
    <row r="16692">
      <c r="N16692" s="1"/>
      <c r="V16692" s="5"/>
    </row>
    <row r="16693">
      <c r="N16693" s="1"/>
      <c r="V16693" s="5"/>
    </row>
    <row r="16694">
      <c r="N16694" s="1"/>
      <c r="V16694" s="5"/>
    </row>
    <row r="16695">
      <c r="N16695" s="1"/>
      <c r="V16695" s="5"/>
    </row>
    <row r="16696">
      <c r="N16696" s="1"/>
      <c r="V16696" s="5"/>
    </row>
    <row r="16697">
      <c r="N16697" s="1"/>
      <c r="V16697" s="5"/>
    </row>
    <row r="16698">
      <c r="N16698" s="1"/>
      <c r="V16698" s="5"/>
    </row>
    <row r="16699">
      <c r="N16699" s="1"/>
      <c r="V16699" s="5"/>
    </row>
    <row r="16700">
      <c r="N16700" s="1"/>
      <c r="V16700" s="5"/>
    </row>
    <row r="16701">
      <c r="N16701" s="1"/>
      <c r="V16701" s="5"/>
    </row>
    <row r="16702">
      <c r="N16702" s="1"/>
      <c r="V16702" s="5"/>
    </row>
    <row r="16703">
      <c r="N16703" s="1"/>
      <c r="V16703" s="5"/>
    </row>
    <row r="16704">
      <c r="N16704" s="1"/>
      <c r="V16704" s="5"/>
    </row>
    <row r="16705">
      <c r="N16705" s="1"/>
      <c r="V16705" s="5"/>
    </row>
    <row r="16706">
      <c r="N16706" s="1"/>
      <c r="V16706" s="5"/>
    </row>
    <row r="16707">
      <c r="N16707" s="1"/>
      <c r="V16707" s="5"/>
    </row>
    <row r="16708">
      <c r="N16708" s="1"/>
      <c r="V16708" s="5"/>
    </row>
    <row r="16709">
      <c r="N16709" s="1"/>
      <c r="V16709" s="5"/>
    </row>
    <row r="16710">
      <c r="N16710" s="1"/>
      <c r="V16710" s="5"/>
    </row>
    <row r="16711">
      <c r="N16711" s="1"/>
      <c r="V16711" s="5"/>
    </row>
    <row r="16712">
      <c r="N16712" s="1"/>
      <c r="V16712" s="5"/>
    </row>
    <row r="16713">
      <c r="N16713" s="1"/>
      <c r="V16713" s="5"/>
    </row>
    <row r="16714">
      <c r="N16714" s="1"/>
      <c r="V16714" s="5"/>
    </row>
    <row r="16715">
      <c r="N16715" s="1"/>
      <c r="V16715" s="5"/>
    </row>
    <row r="16716">
      <c r="N16716" s="1"/>
      <c r="V16716" s="5"/>
    </row>
    <row r="16717">
      <c r="N16717" s="1"/>
      <c r="V16717" s="5"/>
    </row>
    <row r="16718">
      <c r="N16718" s="1"/>
      <c r="V16718" s="5"/>
    </row>
    <row r="16719">
      <c r="N16719" s="1"/>
      <c r="V16719" s="5"/>
    </row>
    <row r="16720">
      <c r="N16720" s="1"/>
      <c r="V16720" s="5"/>
    </row>
    <row r="16721">
      <c r="N16721" s="1"/>
      <c r="V16721" s="5"/>
    </row>
    <row r="16722">
      <c r="N16722" s="1"/>
      <c r="V16722" s="5"/>
    </row>
    <row r="16723">
      <c r="N16723" s="1"/>
      <c r="V16723" s="5"/>
    </row>
    <row r="16724">
      <c r="N16724" s="1"/>
      <c r="V16724" s="5"/>
    </row>
    <row r="16725">
      <c r="N16725" s="1"/>
      <c r="V16725" s="5"/>
    </row>
    <row r="16726">
      <c r="N16726" s="1"/>
      <c r="V16726" s="5"/>
    </row>
    <row r="16727">
      <c r="N16727" s="1"/>
      <c r="V16727" s="5"/>
    </row>
    <row r="16728">
      <c r="N16728" s="1"/>
      <c r="V16728" s="5"/>
    </row>
    <row r="16729">
      <c r="N16729" s="1"/>
      <c r="V16729" s="5"/>
    </row>
    <row r="16730">
      <c r="N16730" s="1"/>
      <c r="V16730" s="5"/>
    </row>
    <row r="16731">
      <c r="N16731" s="1"/>
      <c r="V16731" s="5"/>
    </row>
    <row r="16732">
      <c r="N16732" s="1"/>
      <c r="V16732" s="5"/>
    </row>
    <row r="16733">
      <c r="N16733" s="1"/>
      <c r="V16733" s="5"/>
    </row>
    <row r="16734">
      <c r="N16734" s="1"/>
      <c r="V16734" s="5"/>
    </row>
    <row r="16735">
      <c r="N16735" s="1"/>
      <c r="V16735" s="5"/>
    </row>
    <row r="16736">
      <c r="N16736" s="1"/>
      <c r="V16736" s="5"/>
    </row>
    <row r="16737">
      <c r="N16737" s="1"/>
      <c r="V16737" s="5"/>
    </row>
    <row r="16738">
      <c r="N16738" s="1"/>
      <c r="V16738" s="5"/>
    </row>
    <row r="16739">
      <c r="N16739" s="1"/>
      <c r="V16739" s="5"/>
    </row>
    <row r="16740">
      <c r="N16740" s="1"/>
      <c r="V16740" s="5"/>
    </row>
    <row r="16741">
      <c r="N16741" s="1"/>
      <c r="V16741" s="5"/>
    </row>
    <row r="16742">
      <c r="N16742" s="1"/>
      <c r="V16742" s="5"/>
    </row>
    <row r="16743">
      <c r="N16743" s="1"/>
      <c r="V16743" s="5"/>
    </row>
    <row r="16744">
      <c r="N16744" s="1"/>
      <c r="V16744" s="5"/>
    </row>
    <row r="16745">
      <c r="N16745" s="1"/>
      <c r="V16745" s="5"/>
    </row>
    <row r="16746">
      <c r="N16746" s="1"/>
      <c r="V16746" s="5"/>
    </row>
    <row r="16747">
      <c r="N16747" s="1"/>
      <c r="V16747" s="5"/>
    </row>
    <row r="16748">
      <c r="N16748" s="1"/>
      <c r="V16748" s="5"/>
    </row>
    <row r="16749">
      <c r="N16749" s="1"/>
      <c r="V16749" s="5"/>
    </row>
    <row r="16750">
      <c r="N16750" s="1"/>
      <c r="V16750" s="5"/>
    </row>
    <row r="16751">
      <c r="N16751" s="1"/>
      <c r="V16751" s="5"/>
    </row>
    <row r="16752">
      <c r="N16752" s="1"/>
      <c r="V16752" s="5"/>
    </row>
    <row r="16753">
      <c r="N16753" s="1"/>
      <c r="V16753" s="5"/>
    </row>
    <row r="16754">
      <c r="N16754" s="1"/>
      <c r="V16754" s="5"/>
    </row>
    <row r="16755">
      <c r="N16755" s="1"/>
      <c r="V16755" s="5"/>
    </row>
    <row r="16756">
      <c r="N16756" s="1"/>
      <c r="V16756" s="5"/>
    </row>
    <row r="16757">
      <c r="N16757" s="1"/>
      <c r="V16757" s="5"/>
    </row>
    <row r="16758">
      <c r="N16758" s="1"/>
      <c r="V16758" s="5"/>
    </row>
    <row r="16759">
      <c r="N16759" s="1"/>
      <c r="V16759" s="5"/>
    </row>
    <row r="16760">
      <c r="N16760" s="1"/>
      <c r="V16760" s="5"/>
    </row>
    <row r="16761">
      <c r="N16761" s="1"/>
      <c r="V16761" s="5"/>
    </row>
    <row r="16762">
      <c r="N16762" s="1"/>
      <c r="V16762" s="5"/>
    </row>
    <row r="16763">
      <c r="N16763" s="1"/>
      <c r="V16763" s="5"/>
    </row>
    <row r="16764">
      <c r="N16764" s="1"/>
      <c r="V16764" s="5"/>
    </row>
    <row r="16765">
      <c r="N16765" s="1"/>
      <c r="V16765" s="5"/>
    </row>
    <row r="16766">
      <c r="N16766" s="1"/>
      <c r="V16766" s="5"/>
    </row>
    <row r="16767">
      <c r="N16767" s="1"/>
      <c r="V16767" s="5"/>
    </row>
    <row r="16768">
      <c r="N16768" s="1"/>
      <c r="V16768" s="5"/>
    </row>
    <row r="16769">
      <c r="N16769" s="1"/>
      <c r="V16769" s="5"/>
    </row>
    <row r="16770">
      <c r="N16770" s="1"/>
      <c r="V16770" s="5"/>
    </row>
    <row r="16771">
      <c r="N16771" s="1"/>
      <c r="V16771" s="5"/>
    </row>
    <row r="16772">
      <c r="N16772" s="1"/>
      <c r="V16772" s="5"/>
    </row>
    <row r="16773">
      <c r="N16773" s="1"/>
      <c r="V16773" s="5"/>
    </row>
    <row r="16774">
      <c r="N16774" s="1"/>
      <c r="V16774" s="5"/>
    </row>
    <row r="16775">
      <c r="N16775" s="1"/>
      <c r="V16775" s="5"/>
    </row>
    <row r="16776">
      <c r="N16776" s="1"/>
      <c r="V16776" s="5"/>
    </row>
    <row r="16777">
      <c r="N16777" s="1"/>
      <c r="V16777" s="5"/>
    </row>
    <row r="16778">
      <c r="N16778" s="1"/>
      <c r="V16778" s="5"/>
    </row>
    <row r="16779">
      <c r="N16779" s="1"/>
      <c r="V16779" s="5"/>
    </row>
    <row r="16780">
      <c r="N16780" s="1"/>
      <c r="V16780" s="5"/>
    </row>
    <row r="16781">
      <c r="N16781" s="1"/>
      <c r="V16781" s="5"/>
    </row>
    <row r="16782">
      <c r="N16782" s="1"/>
      <c r="V16782" s="5"/>
    </row>
    <row r="16783">
      <c r="N16783" s="1"/>
      <c r="V16783" s="5"/>
    </row>
    <row r="16784">
      <c r="N16784" s="1"/>
      <c r="V16784" s="5"/>
    </row>
    <row r="16785">
      <c r="N16785" s="1"/>
      <c r="V16785" s="5"/>
    </row>
    <row r="16786">
      <c r="N16786" s="1"/>
      <c r="V16786" s="5"/>
    </row>
    <row r="16787">
      <c r="N16787" s="1"/>
      <c r="V16787" s="5"/>
    </row>
    <row r="16788">
      <c r="N16788" s="1"/>
      <c r="V16788" s="5"/>
    </row>
    <row r="16789">
      <c r="N16789" s="1"/>
      <c r="V16789" s="5"/>
    </row>
    <row r="16790">
      <c r="N16790" s="1"/>
      <c r="V16790" s="5"/>
    </row>
    <row r="16791">
      <c r="N16791" s="1"/>
      <c r="V16791" s="5"/>
    </row>
    <row r="16792">
      <c r="N16792" s="1"/>
      <c r="V16792" s="5"/>
    </row>
    <row r="16793">
      <c r="N16793" s="1"/>
      <c r="V16793" s="5"/>
    </row>
    <row r="16794">
      <c r="N16794" s="1"/>
      <c r="V16794" s="5"/>
    </row>
    <row r="16795">
      <c r="N16795" s="1"/>
      <c r="V16795" s="5"/>
    </row>
    <row r="16796">
      <c r="N16796" s="1"/>
      <c r="V16796" s="5"/>
    </row>
    <row r="16797">
      <c r="N16797" s="1"/>
      <c r="V16797" s="5"/>
    </row>
    <row r="16798">
      <c r="N16798" s="1"/>
      <c r="V16798" s="5"/>
    </row>
    <row r="16799">
      <c r="N16799" s="1"/>
      <c r="V16799" s="5"/>
    </row>
    <row r="16800">
      <c r="N16800" s="1"/>
      <c r="V16800" s="5"/>
    </row>
    <row r="16801">
      <c r="N16801" s="1"/>
      <c r="V16801" s="5"/>
    </row>
    <row r="16802">
      <c r="N16802" s="1"/>
      <c r="V16802" s="5"/>
    </row>
    <row r="16803">
      <c r="N16803" s="1"/>
      <c r="V16803" s="5"/>
    </row>
    <row r="16804">
      <c r="N16804" s="1"/>
      <c r="V16804" s="5"/>
    </row>
    <row r="16805">
      <c r="N16805" s="1"/>
      <c r="V16805" s="5"/>
    </row>
    <row r="16806">
      <c r="N16806" s="1"/>
      <c r="V16806" s="5"/>
    </row>
    <row r="16807">
      <c r="N16807" s="1"/>
      <c r="V16807" s="5"/>
    </row>
    <row r="16808">
      <c r="N16808" s="1"/>
      <c r="V16808" s="5"/>
    </row>
    <row r="16809">
      <c r="N16809" s="1"/>
      <c r="V16809" s="5"/>
    </row>
    <row r="16810">
      <c r="N16810" s="1"/>
      <c r="V16810" s="5"/>
    </row>
    <row r="16811">
      <c r="N16811" s="1"/>
      <c r="V16811" s="5"/>
    </row>
    <row r="16812">
      <c r="N16812" s="1"/>
      <c r="V16812" s="5"/>
    </row>
    <row r="16813">
      <c r="N16813" s="1"/>
      <c r="V16813" s="5"/>
    </row>
    <row r="16814">
      <c r="N16814" s="1"/>
      <c r="V16814" s="5"/>
    </row>
    <row r="16815">
      <c r="N16815" s="1"/>
      <c r="V16815" s="5"/>
    </row>
    <row r="16816">
      <c r="N16816" s="1"/>
      <c r="V16816" s="5"/>
    </row>
    <row r="16817">
      <c r="N16817" s="1"/>
      <c r="V16817" s="5"/>
    </row>
    <row r="16818">
      <c r="N16818" s="1"/>
      <c r="V16818" s="5"/>
    </row>
    <row r="16819">
      <c r="N16819" s="1"/>
      <c r="V16819" s="5"/>
    </row>
    <row r="16820">
      <c r="N16820" s="1"/>
      <c r="V16820" s="5"/>
    </row>
    <row r="16821">
      <c r="N16821" s="1"/>
      <c r="V16821" s="5"/>
    </row>
    <row r="16822">
      <c r="N16822" s="1"/>
      <c r="V16822" s="5"/>
    </row>
    <row r="16823">
      <c r="N16823" s="1"/>
      <c r="V16823" s="5"/>
    </row>
    <row r="16824">
      <c r="N16824" s="1"/>
      <c r="V16824" s="5"/>
    </row>
    <row r="16825">
      <c r="N16825" s="1"/>
      <c r="V16825" s="5"/>
    </row>
    <row r="16826">
      <c r="N16826" s="1"/>
      <c r="V16826" s="5"/>
    </row>
    <row r="16827">
      <c r="N16827" s="1"/>
      <c r="V16827" s="5"/>
    </row>
    <row r="16828">
      <c r="N16828" s="1"/>
      <c r="V16828" s="5"/>
    </row>
    <row r="16829">
      <c r="N16829" s="1"/>
      <c r="V16829" s="5"/>
    </row>
    <row r="16830">
      <c r="N16830" s="1"/>
      <c r="V16830" s="5"/>
    </row>
    <row r="16831">
      <c r="N16831" s="1"/>
      <c r="V16831" s="5"/>
    </row>
    <row r="16832">
      <c r="N16832" s="1"/>
      <c r="V16832" s="5"/>
    </row>
    <row r="16833">
      <c r="N16833" s="1"/>
      <c r="V16833" s="5"/>
    </row>
    <row r="16834">
      <c r="N16834" s="1"/>
      <c r="V16834" s="5"/>
    </row>
    <row r="16835">
      <c r="N16835" s="1"/>
      <c r="V16835" s="5"/>
    </row>
    <row r="16836">
      <c r="N16836" s="1"/>
      <c r="V16836" s="5"/>
    </row>
    <row r="16837">
      <c r="N16837" s="1"/>
      <c r="V16837" s="5"/>
    </row>
    <row r="16838">
      <c r="N16838" s="1"/>
      <c r="V16838" s="5"/>
    </row>
    <row r="16839">
      <c r="N16839" s="1"/>
      <c r="V16839" s="5"/>
    </row>
    <row r="16840">
      <c r="N16840" s="1"/>
      <c r="V16840" s="5"/>
    </row>
    <row r="16841">
      <c r="N16841" s="1"/>
      <c r="V16841" s="5"/>
    </row>
    <row r="16842">
      <c r="N16842" s="1"/>
      <c r="V16842" s="5"/>
    </row>
    <row r="16843">
      <c r="N16843" s="1"/>
      <c r="V16843" s="5"/>
    </row>
    <row r="16844">
      <c r="N16844" s="1"/>
      <c r="V16844" s="5"/>
    </row>
    <row r="16845">
      <c r="N16845" s="1"/>
      <c r="V16845" s="5"/>
    </row>
    <row r="16846">
      <c r="N16846" s="1"/>
      <c r="V16846" s="5"/>
    </row>
    <row r="16847">
      <c r="N16847" s="1"/>
      <c r="V16847" s="5"/>
    </row>
    <row r="16848">
      <c r="N16848" s="1"/>
      <c r="V16848" s="5"/>
    </row>
    <row r="16849">
      <c r="N16849" s="1"/>
      <c r="V16849" s="5"/>
    </row>
    <row r="16850">
      <c r="N16850" s="1"/>
      <c r="V16850" s="5"/>
    </row>
    <row r="16851">
      <c r="N16851" s="1"/>
      <c r="V16851" s="5"/>
    </row>
    <row r="16852">
      <c r="N16852" s="1"/>
      <c r="V16852" s="5"/>
    </row>
    <row r="16853">
      <c r="N16853" s="1"/>
      <c r="V16853" s="5"/>
    </row>
    <row r="16854">
      <c r="N16854" s="1"/>
      <c r="V16854" s="5"/>
    </row>
    <row r="16855">
      <c r="N16855" s="1"/>
      <c r="V16855" s="5"/>
    </row>
    <row r="16856">
      <c r="N16856" s="1"/>
      <c r="V16856" s="5"/>
    </row>
    <row r="16857">
      <c r="N16857" s="1"/>
      <c r="V16857" s="5"/>
    </row>
    <row r="16858">
      <c r="N16858" s="1"/>
      <c r="V16858" s="5"/>
    </row>
    <row r="16859">
      <c r="N16859" s="1"/>
      <c r="V16859" s="5"/>
    </row>
    <row r="16860">
      <c r="N16860" s="1"/>
      <c r="V16860" s="5"/>
    </row>
    <row r="16861">
      <c r="N16861" s="1"/>
      <c r="V16861" s="5"/>
    </row>
    <row r="16862">
      <c r="N16862" s="1"/>
      <c r="V16862" s="5"/>
    </row>
    <row r="16863">
      <c r="N16863" s="1"/>
      <c r="V16863" s="5"/>
    </row>
    <row r="16864">
      <c r="N16864" s="1"/>
      <c r="V16864" s="5"/>
    </row>
    <row r="16865">
      <c r="N16865" s="1"/>
      <c r="V16865" s="5"/>
    </row>
    <row r="16866">
      <c r="N16866" s="1"/>
      <c r="V16866" s="5"/>
    </row>
    <row r="16867">
      <c r="N16867" s="1"/>
      <c r="V16867" s="5"/>
    </row>
    <row r="16868">
      <c r="N16868" s="1"/>
      <c r="V16868" s="5"/>
    </row>
    <row r="16869">
      <c r="N16869" s="1"/>
      <c r="V16869" s="5"/>
    </row>
    <row r="16870">
      <c r="N16870" s="1"/>
      <c r="V16870" s="5"/>
    </row>
    <row r="16871">
      <c r="N16871" s="1"/>
      <c r="V16871" s="5"/>
    </row>
    <row r="16872">
      <c r="N16872" s="1"/>
      <c r="V16872" s="5"/>
    </row>
    <row r="16873">
      <c r="N16873" s="1"/>
      <c r="V16873" s="5"/>
    </row>
    <row r="16874">
      <c r="N16874" s="1"/>
      <c r="V16874" s="5"/>
    </row>
    <row r="16875">
      <c r="N16875" s="1"/>
      <c r="V16875" s="5"/>
    </row>
    <row r="16876">
      <c r="N16876" s="1"/>
      <c r="V16876" s="5"/>
    </row>
    <row r="16877">
      <c r="N16877" s="1"/>
      <c r="V16877" s="5"/>
    </row>
    <row r="16878">
      <c r="N16878" s="1"/>
      <c r="V16878" s="5"/>
    </row>
    <row r="16879">
      <c r="N16879" s="1"/>
      <c r="V16879" s="5"/>
    </row>
    <row r="16880">
      <c r="N16880" s="1"/>
      <c r="V16880" s="5"/>
    </row>
    <row r="16881">
      <c r="N16881" s="1"/>
      <c r="V16881" s="5"/>
    </row>
    <row r="16882">
      <c r="N16882" s="1"/>
      <c r="V16882" s="5"/>
    </row>
    <row r="16883">
      <c r="N16883" s="1"/>
      <c r="V16883" s="5"/>
    </row>
    <row r="16884">
      <c r="N16884" s="1"/>
      <c r="V16884" s="5"/>
    </row>
    <row r="16885">
      <c r="N16885" s="1"/>
      <c r="V16885" s="5"/>
    </row>
    <row r="16886">
      <c r="N16886" s="1"/>
      <c r="V16886" s="5"/>
    </row>
    <row r="16887">
      <c r="N16887" s="1"/>
      <c r="V16887" s="5"/>
    </row>
    <row r="16888">
      <c r="N16888" s="1"/>
      <c r="V16888" s="5"/>
    </row>
    <row r="16889">
      <c r="N16889" s="1"/>
      <c r="V16889" s="5"/>
    </row>
    <row r="16890">
      <c r="N16890" s="1"/>
      <c r="V16890" s="5"/>
    </row>
    <row r="16891">
      <c r="N16891" s="1"/>
      <c r="V16891" s="5"/>
    </row>
    <row r="16892">
      <c r="N16892" s="1"/>
      <c r="V16892" s="5"/>
    </row>
    <row r="16893">
      <c r="N16893" s="1"/>
      <c r="V16893" s="5"/>
    </row>
    <row r="16894">
      <c r="N16894" s="1"/>
      <c r="V16894" s="5"/>
    </row>
    <row r="16895">
      <c r="N16895" s="1"/>
      <c r="V16895" s="5"/>
    </row>
    <row r="16896">
      <c r="N16896" s="1"/>
      <c r="V16896" s="5"/>
    </row>
    <row r="16897">
      <c r="N16897" s="1"/>
      <c r="V16897" s="5"/>
    </row>
    <row r="16898">
      <c r="N16898" s="1"/>
      <c r="V16898" s="5"/>
    </row>
    <row r="16899">
      <c r="N16899" s="1"/>
      <c r="V16899" s="5"/>
    </row>
    <row r="16900">
      <c r="N16900" s="1"/>
      <c r="V16900" s="5"/>
    </row>
    <row r="16901">
      <c r="N16901" s="1"/>
      <c r="V16901" s="5"/>
    </row>
    <row r="16902">
      <c r="N16902" s="1"/>
      <c r="V16902" s="5"/>
    </row>
    <row r="16903">
      <c r="N16903" s="1"/>
      <c r="V16903" s="5"/>
    </row>
    <row r="16904">
      <c r="N16904" s="1"/>
      <c r="V16904" s="5"/>
    </row>
    <row r="16905">
      <c r="N16905" s="1"/>
      <c r="V16905" s="5"/>
    </row>
    <row r="16906">
      <c r="N16906" s="1"/>
      <c r="V16906" s="5"/>
    </row>
    <row r="16907">
      <c r="N16907" s="1"/>
      <c r="V16907" s="5"/>
    </row>
    <row r="16908">
      <c r="N16908" s="1"/>
      <c r="V16908" s="5"/>
    </row>
    <row r="16909">
      <c r="N16909" s="1"/>
      <c r="V16909" s="5"/>
    </row>
    <row r="16910">
      <c r="N16910" s="1"/>
      <c r="V16910" s="5"/>
    </row>
    <row r="16911">
      <c r="N16911" s="1"/>
      <c r="V16911" s="5"/>
    </row>
    <row r="16912">
      <c r="N16912" s="1"/>
      <c r="V16912" s="5"/>
    </row>
    <row r="16913">
      <c r="N16913" s="1"/>
      <c r="V16913" s="5"/>
    </row>
    <row r="16914">
      <c r="N16914" s="1"/>
      <c r="V16914" s="5"/>
    </row>
    <row r="16915">
      <c r="N16915" s="1"/>
      <c r="V16915" s="5"/>
    </row>
    <row r="16916">
      <c r="N16916" s="1"/>
      <c r="V16916" s="5"/>
    </row>
    <row r="16917">
      <c r="N16917" s="1"/>
      <c r="V16917" s="5"/>
    </row>
    <row r="16918">
      <c r="N16918" s="1"/>
      <c r="V16918" s="5"/>
    </row>
    <row r="16919">
      <c r="N16919" s="1"/>
      <c r="V16919" s="5"/>
    </row>
    <row r="16920">
      <c r="N16920" s="1"/>
      <c r="V16920" s="5"/>
    </row>
    <row r="16921">
      <c r="N16921" s="1"/>
      <c r="V16921" s="5"/>
    </row>
    <row r="16922">
      <c r="N16922" s="1"/>
      <c r="V16922" s="5"/>
    </row>
    <row r="16923">
      <c r="N16923" s="1"/>
      <c r="V16923" s="5"/>
    </row>
    <row r="16924">
      <c r="N16924" s="1"/>
      <c r="V16924" s="5"/>
    </row>
    <row r="16925">
      <c r="N16925" s="1"/>
      <c r="V16925" s="5"/>
    </row>
    <row r="16926">
      <c r="N16926" s="1"/>
      <c r="V16926" s="5"/>
    </row>
    <row r="16927">
      <c r="N16927" s="1"/>
      <c r="V16927" s="5"/>
    </row>
    <row r="16928">
      <c r="N16928" s="1"/>
      <c r="V16928" s="5"/>
    </row>
    <row r="16929">
      <c r="N16929" s="1"/>
      <c r="V16929" s="5"/>
    </row>
    <row r="16930">
      <c r="N16930" s="1"/>
      <c r="V16930" s="5"/>
    </row>
    <row r="16931">
      <c r="N16931" s="1"/>
      <c r="V16931" s="5"/>
    </row>
    <row r="16932">
      <c r="N16932" s="1"/>
      <c r="V16932" s="5"/>
    </row>
    <row r="16933">
      <c r="N16933" s="1"/>
      <c r="V16933" s="5"/>
    </row>
    <row r="16934">
      <c r="N16934" s="1"/>
      <c r="V16934" s="5"/>
    </row>
    <row r="16935">
      <c r="N16935" s="1"/>
      <c r="V16935" s="5"/>
    </row>
    <row r="16936">
      <c r="N16936" s="1"/>
      <c r="V16936" s="5"/>
    </row>
    <row r="16937">
      <c r="N16937" s="1"/>
      <c r="V16937" s="5"/>
    </row>
    <row r="16938">
      <c r="N16938" s="1"/>
      <c r="V16938" s="5"/>
    </row>
    <row r="16939">
      <c r="N16939" s="1"/>
      <c r="V16939" s="5"/>
    </row>
    <row r="16940">
      <c r="N16940" s="1"/>
      <c r="V16940" s="5"/>
    </row>
    <row r="16941">
      <c r="N16941" s="1"/>
      <c r="V16941" s="5"/>
    </row>
    <row r="16942">
      <c r="N16942" s="1"/>
      <c r="V16942" s="5"/>
    </row>
    <row r="16943">
      <c r="N16943" s="1"/>
      <c r="V16943" s="5"/>
    </row>
    <row r="16944">
      <c r="N16944" s="1"/>
      <c r="V16944" s="5"/>
    </row>
    <row r="16945">
      <c r="N16945" s="1"/>
      <c r="V16945" s="5"/>
    </row>
    <row r="16946">
      <c r="N16946" s="1"/>
      <c r="V16946" s="5"/>
    </row>
    <row r="16947">
      <c r="N16947" s="1"/>
      <c r="V16947" s="5"/>
    </row>
    <row r="16948">
      <c r="N16948" s="1"/>
      <c r="V16948" s="5"/>
    </row>
    <row r="16949">
      <c r="N16949" s="1"/>
      <c r="V16949" s="5"/>
    </row>
    <row r="16950">
      <c r="N16950" s="1"/>
      <c r="V16950" s="5"/>
    </row>
    <row r="16951">
      <c r="N16951" s="1"/>
      <c r="V16951" s="5"/>
    </row>
    <row r="16952">
      <c r="N16952" s="1"/>
      <c r="V16952" s="5"/>
    </row>
    <row r="16953">
      <c r="N16953" s="1"/>
      <c r="V16953" s="5"/>
    </row>
    <row r="16954">
      <c r="N16954" s="1"/>
      <c r="V16954" s="5"/>
    </row>
    <row r="16955">
      <c r="N16955" s="1"/>
      <c r="V16955" s="5"/>
    </row>
    <row r="16956">
      <c r="N16956" s="1"/>
      <c r="V16956" s="5"/>
    </row>
    <row r="16957">
      <c r="N16957" s="1"/>
      <c r="V16957" s="5"/>
    </row>
    <row r="16958">
      <c r="N16958" s="1"/>
      <c r="V16958" s="5"/>
    </row>
    <row r="16959">
      <c r="N16959" s="1"/>
      <c r="V16959" s="5"/>
    </row>
    <row r="16960">
      <c r="N16960" s="1"/>
      <c r="V16960" s="5"/>
    </row>
    <row r="16961">
      <c r="N16961" s="1"/>
      <c r="V16961" s="5"/>
    </row>
    <row r="16962">
      <c r="N16962" s="1"/>
      <c r="V16962" s="5"/>
    </row>
    <row r="16963">
      <c r="N16963" s="1"/>
      <c r="V16963" s="5"/>
    </row>
    <row r="16964">
      <c r="N16964" s="1"/>
      <c r="V16964" s="5"/>
    </row>
    <row r="16965">
      <c r="N16965" s="1"/>
      <c r="V16965" s="5"/>
    </row>
    <row r="16966">
      <c r="N16966" s="1"/>
      <c r="V16966" s="5"/>
    </row>
    <row r="16967">
      <c r="N16967" s="1"/>
      <c r="V16967" s="5"/>
    </row>
    <row r="16968">
      <c r="N16968" s="1"/>
      <c r="V16968" s="5"/>
    </row>
    <row r="16969">
      <c r="N16969" s="1"/>
      <c r="V16969" s="5"/>
    </row>
    <row r="16970">
      <c r="N16970" s="1"/>
      <c r="V16970" s="5"/>
    </row>
    <row r="16971">
      <c r="N16971" s="1"/>
      <c r="V16971" s="5"/>
    </row>
    <row r="16972">
      <c r="N16972" s="1"/>
      <c r="V16972" s="5"/>
    </row>
    <row r="16973">
      <c r="N16973" s="1"/>
      <c r="V16973" s="5"/>
    </row>
    <row r="16974">
      <c r="N16974" s="1"/>
      <c r="V16974" s="5"/>
    </row>
    <row r="16975">
      <c r="N16975" s="1"/>
      <c r="V16975" s="5"/>
    </row>
    <row r="16976">
      <c r="N16976" s="1"/>
      <c r="V16976" s="5"/>
    </row>
    <row r="16977">
      <c r="N16977" s="1"/>
      <c r="V16977" s="5"/>
    </row>
    <row r="16978">
      <c r="N16978" s="1"/>
      <c r="V16978" s="5"/>
    </row>
    <row r="16979">
      <c r="N16979" s="1"/>
      <c r="V16979" s="5"/>
    </row>
    <row r="16980">
      <c r="N16980" s="1"/>
      <c r="V16980" s="5"/>
    </row>
    <row r="16981">
      <c r="N16981" s="1"/>
      <c r="V16981" s="5"/>
    </row>
    <row r="16982">
      <c r="N16982" s="1"/>
      <c r="V16982" s="5"/>
    </row>
    <row r="16983">
      <c r="N16983" s="1"/>
      <c r="V16983" s="5"/>
    </row>
    <row r="16984">
      <c r="N16984" s="1"/>
      <c r="V16984" s="5"/>
    </row>
    <row r="16985">
      <c r="N16985" s="1"/>
      <c r="V16985" s="5"/>
    </row>
    <row r="16986">
      <c r="N16986" s="1"/>
      <c r="V16986" s="5"/>
    </row>
    <row r="16987">
      <c r="N16987" s="1"/>
      <c r="V16987" s="5"/>
    </row>
    <row r="16988">
      <c r="N16988" s="1"/>
      <c r="V16988" s="5"/>
    </row>
    <row r="16989">
      <c r="N16989" s="1"/>
      <c r="V16989" s="5"/>
    </row>
    <row r="16990">
      <c r="N16990" s="1"/>
      <c r="V16990" s="5"/>
    </row>
    <row r="16991">
      <c r="N16991" s="1"/>
      <c r="V16991" s="5"/>
    </row>
    <row r="16992">
      <c r="N16992" s="1"/>
      <c r="V16992" s="5"/>
    </row>
    <row r="16993">
      <c r="N16993" s="1"/>
      <c r="V16993" s="5"/>
    </row>
    <row r="16994">
      <c r="N16994" s="1"/>
      <c r="V16994" s="5"/>
    </row>
    <row r="16995">
      <c r="N16995" s="1"/>
      <c r="V16995" s="5"/>
    </row>
    <row r="16996">
      <c r="N16996" s="1"/>
      <c r="V16996" s="5"/>
    </row>
    <row r="16997">
      <c r="N16997" s="1"/>
      <c r="V16997" s="5"/>
    </row>
    <row r="16998">
      <c r="N16998" s="1"/>
      <c r="V16998" s="5"/>
    </row>
    <row r="16999">
      <c r="N16999" s="1"/>
      <c r="V16999" s="5"/>
    </row>
    <row r="17000">
      <c r="N17000" s="1"/>
      <c r="V17000" s="5"/>
    </row>
    <row r="17001">
      <c r="N17001" s="1"/>
      <c r="V17001" s="5"/>
    </row>
    <row r="17002">
      <c r="N17002" s="1"/>
      <c r="V17002" s="5"/>
    </row>
    <row r="17003">
      <c r="N17003" s="1"/>
      <c r="V17003" s="5"/>
    </row>
    <row r="17004">
      <c r="N17004" s="1"/>
      <c r="V17004" s="5"/>
    </row>
    <row r="17005">
      <c r="N17005" s="1"/>
      <c r="V17005" s="5"/>
    </row>
    <row r="17006">
      <c r="N17006" s="1"/>
      <c r="V17006" s="5"/>
    </row>
    <row r="17007">
      <c r="N17007" s="1"/>
      <c r="V17007" s="5"/>
    </row>
    <row r="17008">
      <c r="N17008" s="1"/>
      <c r="V17008" s="5"/>
    </row>
    <row r="17009">
      <c r="N17009" s="1"/>
      <c r="V17009" s="5"/>
    </row>
    <row r="17010">
      <c r="N17010" s="1"/>
      <c r="V17010" s="5"/>
    </row>
    <row r="17011">
      <c r="N17011" s="1"/>
      <c r="V17011" s="5"/>
    </row>
    <row r="17012">
      <c r="N17012" s="1"/>
      <c r="V17012" s="5"/>
    </row>
    <row r="17013">
      <c r="N17013" s="1"/>
      <c r="V17013" s="5"/>
    </row>
    <row r="17014">
      <c r="N17014" s="1"/>
      <c r="V17014" s="5"/>
    </row>
    <row r="17015">
      <c r="N17015" s="1"/>
      <c r="V17015" s="5"/>
    </row>
    <row r="17016">
      <c r="N17016" s="1"/>
      <c r="V17016" s="5"/>
    </row>
    <row r="17017">
      <c r="N17017" s="1"/>
      <c r="V17017" s="5"/>
    </row>
    <row r="17018">
      <c r="N17018" s="1"/>
      <c r="V17018" s="5"/>
    </row>
    <row r="17019">
      <c r="N17019" s="1"/>
      <c r="V17019" s="5"/>
    </row>
    <row r="17020">
      <c r="N17020" s="1"/>
      <c r="V17020" s="5"/>
    </row>
    <row r="17021">
      <c r="N17021" s="1"/>
      <c r="V17021" s="5"/>
    </row>
    <row r="17022">
      <c r="N17022" s="1"/>
      <c r="V17022" s="5"/>
    </row>
    <row r="17023">
      <c r="N17023" s="1"/>
      <c r="V17023" s="5"/>
    </row>
    <row r="17024">
      <c r="N17024" s="1"/>
      <c r="V17024" s="5"/>
    </row>
    <row r="17025">
      <c r="N17025" s="1"/>
      <c r="V17025" s="5"/>
    </row>
    <row r="17026">
      <c r="N17026" s="1"/>
      <c r="V17026" s="5"/>
    </row>
    <row r="17027">
      <c r="N17027" s="1"/>
      <c r="V17027" s="5"/>
    </row>
    <row r="17028">
      <c r="N17028" s="1"/>
      <c r="V17028" s="5"/>
    </row>
    <row r="17029">
      <c r="N17029" s="1"/>
      <c r="V17029" s="5"/>
    </row>
    <row r="17030">
      <c r="N17030" s="1"/>
      <c r="V17030" s="5"/>
    </row>
    <row r="17031">
      <c r="N17031" s="1"/>
      <c r="V17031" s="5"/>
    </row>
    <row r="17032">
      <c r="N17032" s="1"/>
      <c r="V17032" s="5"/>
    </row>
    <row r="17033">
      <c r="N17033" s="1"/>
      <c r="V17033" s="5"/>
    </row>
    <row r="17034">
      <c r="N17034" s="1"/>
      <c r="V17034" s="5"/>
    </row>
    <row r="17035">
      <c r="N17035" s="1"/>
      <c r="V17035" s="5"/>
    </row>
    <row r="17036">
      <c r="N17036" s="1"/>
      <c r="V17036" s="5"/>
    </row>
    <row r="17037">
      <c r="N17037" s="1"/>
      <c r="V17037" s="5"/>
    </row>
    <row r="17038">
      <c r="N17038" s="1"/>
      <c r="V17038" s="5"/>
    </row>
    <row r="17039">
      <c r="N17039" s="1"/>
      <c r="V17039" s="5"/>
    </row>
    <row r="17040">
      <c r="N17040" s="1"/>
      <c r="V17040" s="5"/>
    </row>
    <row r="17041">
      <c r="N17041" s="1"/>
      <c r="V17041" s="5"/>
    </row>
    <row r="17042">
      <c r="N17042" s="1"/>
      <c r="V17042" s="5"/>
    </row>
    <row r="17043">
      <c r="N17043" s="1"/>
      <c r="V17043" s="5"/>
    </row>
    <row r="17044">
      <c r="N17044" s="1"/>
      <c r="V17044" s="5"/>
    </row>
    <row r="17045">
      <c r="N17045" s="1"/>
      <c r="V17045" s="5"/>
    </row>
    <row r="17046">
      <c r="N17046" s="1"/>
      <c r="V17046" s="5"/>
    </row>
    <row r="17047">
      <c r="N17047" s="1"/>
      <c r="V17047" s="5"/>
    </row>
    <row r="17048">
      <c r="N17048" s="1"/>
      <c r="V17048" s="5"/>
    </row>
    <row r="17049">
      <c r="N17049" s="1"/>
      <c r="V17049" s="5"/>
    </row>
    <row r="17050">
      <c r="N17050" s="1"/>
      <c r="V17050" s="5"/>
    </row>
    <row r="17051">
      <c r="N17051" s="1"/>
      <c r="V17051" s="5"/>
    </row>
    <row r="17052">
      <c r="N17052" s="1"/>
      <c r="V17052" s="5"/>
    </row>
    <row r="17053">
      <c r="N17053" s="1"/>
      <c r="V17053" s="5"/>
    </row>
    <row r="17054">
      <c r="N17054" s="1"/>
      <c r="V17054" s="5"/>
    </row>
    <row r="17055">
      <c r="N17055" s="1"/>
      <c r="V17055" s="5"/>
    </row>
    <row r="17056">
      <c r="N17056" s="1"/>
      <c r="V17056" s="5"/>
    </row>
    <row r="17057">
      <c r="N17057" s="1"/>
      <c r="V17057" s="5"/>
    </row>
    <row r="17058">
      <c r="N17058" s="1"/>
      <c r="V17058" s="5"/>
    </row>
    <row r="17059">
      <c r="N17059" s="1"/>
      <c r="V17059" s="5"/>
    </row>
    <row r="17060">
      <c r="N17060" s="1"/>
      <c r="V17060" s="5"/>
    </row>
    <row r="17061">
      <c r="N17061" s="1"/>
      <c r="V17061" s="5"/>
    </row>
    <row r="17062">
      <c r="N17062" s="1"/>
      <c r="V17062" s="5"/>
    </row>
    <row r="17063">
      <c r="N17063" s="1"/>
      <c r="V17063" s="5"/>
    </row>
    <row r="17064">
      <c r="N17064" s="1"/>
      <c r="V17064" s="5"/>
    </row>
    <row r="17065">
      <c r="N17065" s="1"/>
      <c r="V17065" s="5"/>
    </row>
    <row r="17066">
      <c r="N17066" s="1"/>
      <c r="V17066" s="5"/>
    </row>
    <row r="17067">
      <c r="N17067" s="1"/>
      <c r="V17067" s="5"/>
    </row>
    <row r="17068">
      <c r="N17068" s="1"/>
      <c r="V17068" s="5"/>
    </row>
    <row r="17069">
      <c r="N17069" s="1"/>
      <c r="V17069" s="5"/>
    </row>
    <row r="17070">
      <c r="N17070" s="1"/>
      <c r="V17070" s="5"/>
    </row>
    <row r="17071">
      <c r="N17071" s="1"/>
      <c r="V17071" s="5"/>
    </row>
    <row r="17072">
      <c r="N17072" s="1"/>
      <c r="V17072" s="5"/>
    </row>
    <row r="17073">
      <c r="N17073" s="1"/>
      <c r="V17073" s="5"/>
    </row>
    <row r="17074">
      <c r="N17074" s="1"/>
      <c r="V17074" s="5"/>
    </row>
    <row r="17075">
      <c r="N17075" s="1"/>
      <c r="V17075" s="5"/>
    </row>
    <row r="17076">
      <c r="N17076" s="1"/>
      <c r="V17076" s="5"/>
    </row>
    <row r="17077">
      <c r="N17077" s="1"/>
      <c r="V17077" s="5"/>
    </row>
    <row r="17078">
      <c r="N17078" s="1"/>
      <c r="V17078" s="5"/>
    </row>
    <row r="17079">
      <c r="N17079" s="1"/>
      <c r="V17079" s="5"/>
    </row>
    <row r="17080">
      <c r="N17080" s="1"/>
      <c r="V17080" s="5"/>
    </row>
    <row r="17081">
      <c r="N17081" s="1"/>
      <c r="V17081" s="5"/>
    </row>
    <row r="17082">
      <c r="N17082" s="1"/>
      <c r="V17082" s="5"/>
    </row>
    <row r="17083">
      <c r="N17083" s="1"/>
      <c r="V17083" s="5"/>
    </row>
    <row r="17084">
      <c r="N17084" s="1"/>
      <c r="V17084" s="5"/>
    </row>
    <row r="17085">
      <c r="N17085" s="1"/>
      <c r="V17085" s="5"/>
    </row>
    <row r="17086">
      <c r="N17086" s="1"/>
      <c r="V17086" s="5"/>
    </row>
    <row r="17087">
      <c r="N17087" s="1"/>
      <c r="V17087" s="5"/>
    </row>
    <row r="17088">
      <c r="N17088" s="1"/>
      <c r="V17088" s="5"/>
    </row>
    <row r="17089">
      <c r="N17089" s="1"/>
      <c r="V17089" s="5"/>
    </row>
    <row r="17090">
      <c r="N17090" s="1"/>
      <c r="V17090" s="5"/>
    </row>
    <row r="17091">
      <c r="N17091" s="1"/>
      <c r="V17091" s="5"/>
    </row>
    <row r="17092">
      <c r="N17092" s="1"/>
      <c r="V17092" s="5"/>
    </row>
    <row r="17093">
      <c r="N17093" s="1"/>
      <c r="V17093" s="5"/>
    </row>
    <row r="17094">
      <c r="N17094" s="1"/>
      <c r="V17094" s="5"/>
    </row>
    <row r="17095">
      <c r="N17095" s="1"/>
      <c r="V17095" s="5"/>
    </row>
    <row r="17096">
      <c r="N17096" s="1"/>
      <c r="V17096" s="5"/>
    </row>
    <row r="17097">
      <c r="N17097" s="1"/>
      <c r="V17097" s="5"/>
    </row>
    <row r="17098">
      <c r="N17098" s="1"/>
      <c r="V17098" s="5"/>
    </row>
    <row r="17099">
      <c r="N17099" s="1"/>
      <c r="V17099" s="5"/>
    </row>
    <row r="17100">
      <c r="N17100" s="1"/>
      <c r="V17100" s="5"/>
    </row>
    <row r="17101">
      <c r="N17101" s="1"/>
      <c r="V17101" s="5"/>
    </row>
    <row r="17102">
      <c r="N17102" s="1"/>
      <c r="V17102" s="5"/>
    </row>
    <row r="17103">
      <c r="N17103" s="1"/>
      <c r="V17103" s="5"/>
    </row>
    <row r="17104">
      <c r="N17104" s="1"/>
      <c r="V17104" s="5"/>
    </row>
    <row r="17105">
      <c r="N17105" s="1"/>
      <c r="V17105" s="5"/>
    </row>
    <row r="17106">
      <c r="N17106" s="1"/>
      <c r="V17106" s="5"/>
    </row>
    <row r="17107">
      <c r="N17107" s="1"/>
      <c r="V17107" s="5"/>
    </row>
    <row r="17108">
      <c r="N17108" s="1"/>
      <c r="V17108" s="5"/>
    </row>
    <row r="17109">
      <c r="N17109" s="1"/>
      <c r="V17109" s="5"/>
    </row>
    <row r="17110">
      <c r="N17110" s="1"/>
      <c r="V17110" s="5"/>
    </row>
    <row r="17111">
      <c r="N17111" s="1"/>
      <c r="V17111" s="5"/>
    </row>
    <row r="17112">
      <c r="N17112" s="1"/>
      <c r="V17112" s="5"/>
    </row>
    <row r="17113">
      <c r="N17113" s="1"/>
      <c r="V17113" s="5"/>
    </row>
    <row r="17114">
      <c r="N17114" s="1"/>
      <c r="V17114" s="5"/>
    </row>
    <row r="17115">
      <c r="N17115" s="1"/>
      <c r="V17115" s="5"/>
    </row>
    <row r="17116">
      <c r="N17116" s="1"/>
      <c r="V17116" s="5"/>
    </row>
    <row r="17117">
      <c r="N17117" s="1"/>
      <c r="V17117" s="5"/>
    </row>
    <row r="17118">
      <c r="N17118" s="1"/>
      <c r="V17118" s="5"/>
    </row>
    <row r="17119">
      <c r="N17119" s="1"/>
      <c r="V17119" s="5"/>
    </row>
    <row r="17120">
      <c r="N17120" s="1"/>
      <c r="V17120" s="5"/>
    </row>
    <row r="17121">
      <c r="N17121" s="1"/>
      <c r="V17121" s="5"/>
    </row>
    <row r="17122">
      <c r="N17122" s="1"/>
      <c r="V17122" s="5"/>
    </row>
    <row r="17123">
      <c r="N17123" s="1"/>
      <c r="V17123" s="5"/>
    </row>
    <row r="17124">
      <c r="N17124" s="1"/>
      <c r="V17124" s="5"/>
    </row>
    <row r="17125">
      <c r="N17125" s="1"/>
      <c r="V17125" s="5"/>
    </row>
    <row r="17126">
      <c r="N17126" s="1"/>
      <c r="V17126" s="5"/>
    </row>
    <row r="17127">
      <c r="N17127" s="1"/>
      <c r="V17127" s="5"/>
    </row>
    <row r="17128">
      <c r="N17128" s="1"/>
      <c r="V17128" s="5"/>
    </row>
    <row r="17129">
      <c r="N17129" s="1"/>
      <c r="V17129" s="5"/>
    </row>
    <row r="17130">
      <c r="N17130" s="1"/>
      <c r="V17130" s="5"/>
    </row>
    <row r="17131">
      <c r="N17131" s="1"/>
      <c r="V17131" s="5"/>
    </row>
    <row r="17132">
      <c r="N17132" s="1"/>
      <c r="V17132" s="5"/>
    </row>
    <row r="17133">
      <c r="N17133" s="1"/>
      <c r="V17133" s="5"/>
    </row>
    <row r="17134">
      <c r="N17134" s="1"/>
      <c r="V17134" s="5"/>
    </row>
    <row r="17135">
      <c r="N17135" s="1"/>
      <c r="V17135" s="5"/>
    </row>
    <row r="17136">
      <c r="N17136" s="1"/>
      <c r="V17136" s="5"/>
    </row>
    <row r="17137">
      <c r="N17137" s="1"/>
      <c r="V17137" s="5"/>
    </row>
    <row r="17138">
      <c r="N17138" s="1"/>
      <c r="V17138" s="5"/>
    </row>
    <row r="17139">
      <c r="N17139" s="1"/>
      <c r="V17139" s="5"/>
    </row>
    <row r="17140">
      <c r="N17140" s="1"/>
      <c r="V17140" s="5"/>
    </row>
    <row r="17141">
      <c r="N17141" s="1"/>
      <c r="V17141" s="5"/>
    </row>
    <row r="17142">
      <c r="N17142" s="1"/>
      <c r="V17142" s="5"/>
    </row>
    <row r="17143">
      <c r="N17143" s="1"/>
      <c r="V17143" s="5"/>
    </row>
    <row r="17144">
      <c r="N17144" s="1"/>
      <c r="V17144" s="5"/>
    </row>
    <row r="17145">
      <c r="N17145" s="1"/>
      <c r="V17145" s="5"/>
    </row>
    <row r="17146">
      <c r="N17146" s="1"/>
      <c r="V17146" s="5"/>
    </row>
    <row r="17147">
      <c r="N17147" s="1"/>
      <c r="V17147" s="5"/>
    </row>
    <row r="17148">
      <c r="N17148" s="1"/>
      <c r="V17148" s="5"/>
    </row>
    <row r="17149">
      <c r="N17149" s="1"/>
      <c r="V17149" s="5"/>
    </row>
    <row r="17150">
      <c r="N17150" s="1"/>
      <c r="V17150" s="5"/>
    </row>
    <row r="17151">
      <c r="N17151" s="1"/>
      <c r="V17151" s="5"/>
    </row>
    <row r="17152">
      <c r="N17152" s="1"/>
      <c r="V17152" s="5"/>
    </row>
    <row r="17153">
      <c r="N17153" s="1"/>
      <c r="V17153" s="5"/>
    </row>
    <row r="17154">
      <c r="N17154" s="1"/>
      <c r="V17154" s="5"/>
    </row>
    <row r="17155">
      <c r="N17155" s="1"/>
      <c r="V17155" s="5"/>
    </row>
    <row r="17156">
      <c r="N17156" s="1"/>
      <c r="V17156" s="5"/>
    </row>
    <row r="17157">
      <c r="N17157" s="1"/>
      <c r="V17157" s="5"/>
    </row>
    <row r="17158">
      <c r="N17158" s="1"/>
      <c r="V17158" s="5"/>
    </row>
    <row r="17159">
      <c r="N17159" s="1"/>
      <c r="V17159" s="5"/>
    </row>
    <row r="17160">
      <c r="N17160" s="1"/>
      <c r="V17160" s="5"/>
    </row>
    <row r="17161">
      <c r="N17161" s="1"/>
      <c r="V17161" s="5"/>
    </row>
    <row r="17162">
      <c r="N17162" s="1"/>
      <c r="V17162" s="5"/>
    </row>
    <row r="17163">
      <c r="N17163" s="1"/>
      <c r="V17163" s="5"/>
    </row>
    <row r="17164">
      <c r="N17164" s="1"/>
      <c r="V17164" s="5"/>
    </row>
    <row r="17165">
      <c r="N17165" s="1"/>
      <c r="V17165" s="5"/>
    </row>
    <row r="17166">
      <c r="N17166" s="1"/>
      <c r="V17166" s="5"/>
    </row>
    <row r="17167">
      <c r="N17167" s="1"/>
      <c r="V17167" s="5"/>
    </row>
    <row r="17168">
      <c r="N17168" s="1"/>
      <c r="V17168" s="5"/>
    </row>
    <row r="17169">
      <c r="N17169" s="1"/>
      <c r="V17169" s="5"/>
    </row>
    <row r="17170">
      <c r="N17170" s="1"/>
      <c r="V17170" s="5"/>
    </row>
    <row r="17171">
      <c r="N17171" s="1"/>
      <c r="V17171" s="5"/>
    </row>
    <row r="17172">
      <c r="N17172" s="1"/>
      <c r="V17172" s="5"/>
    </row>
    <row r="17173">
      <c r="N17173" s="1"/>
      <c r="V17173" s="5"/>
    </row>
    <row r="17174">
      <c r="N17174" s="1"/>
      <c r="V17174" s="5"/>
    </row>
    <row r="17175">
      <c r="N17175" s="1"/>
      <c r="V17175" s="5"/>
    </row>
    <row r="17176">
      <c r="N17176" s="1"/>
      <c r="V17176" s="5"/>
    </row>
    <row r="17177">
      <c r="N17177" s="1"/>
      <c r="V17177" s="5"/>
    </row>
    <row r="17178">
      <c r="N17178" s="1"/>
      <c r="V17178" s="5"/>
    </row>
    <row r="17179">
      <c r="N17179" s="1"/>
      <c r="V17179" s="5"/>
    </row>
    <row r="17180">
      <c r="N17180" s="1"/>
      <c r="V17180" s="5"/>
    </row>
    <row r="17181">
      <c r="N17181" s="1"/>
      <c r="V17181" s="5"/>
    </row>
    <row r="17182">
      <c r="N17182" s="1"/>
      <c r="V17182" s="5"/>
    </row>
    <row r="17183">
      <c r="N17183" s="1"/>
      <c r="V17183" s="5"/>
    </row>
    <row r="17184">
      <c r="N17184" s="1"/>
      <c r="V17184" s="5"/>
    </row>
    <row r="17185">
      <c r="N17185" s="1"/>
      <c r="V17185" s="5"/>
    </row>
    <row r="17186">
      <c r="N17186" s="1"/>
      <c r="V17186" s="5"/>
    </row>
    <row r="17187">
      <c r="N17187" s="1"/>
      <c r="V17187" s="5"/>
    </row>
    <row r="17188">
      <c r="N17188" s="1"/>
      <c r="V17188" s="5"/>
    </row>
    <row r="17189">
      <c r="N17189" s="1"/>
      <c r="V17189" s="5"/>
    </row>
    <row r="17190">
      <c r="N17190" s="1"/>
      <c r="V17190" s="5"/>
    </row>
    <row r="17191">
      <c r="N17191" s="1"/>
      <c r="V17191" s="5"/>
    </row>
    <row r="17192">
      <c r="N17192" s="1"/>
      <c r="V17192" s="5"/>
    </row>
    <row r="17193">
      <c r="N17193" s="1"/>
      <c r="V17193" s="5"/>
    </row>
    <row r="17194">
      <c r="N17194" s="1"/>
      <c r="V17194" s="5"/>
    </row>
    <row r="17195">
      <c r="N17195" s="1"/>
      <c r="V17195" s="5"/>
    </row>
    <row r="17196">
      <c r="N17196" s="1"/>
      <c r="V17196" s="5"/>
    </row>
    <row r="17197">
      <c r="N17197" s="1"/>
      <c r="V17197" s="5"/>
    </row>
    <row r="17198">
      <c r="N17198" s="1"/>
      <c r="V17198" s="5"/>
    </row>
    <row r="17199">
      <c r="N17199" s="1"/>
      <c r="V17199" s="5"/>
    </row>
    <row r="17200">
      <c r="N17200" s="1"/>
      <c r="V17200" s="5"/>
    </row>
    <row r="17201">
      <c r="N17201" s="1"/>
      <c r="V17201" s="5"/>
    </row>
    <row r="17202">
      <c r="N17202" s="1"/>
      <c r="V17202" s="5"/>
    </row>
    <row r="17203">
      <c r="N17203" s="1"/>
      <c r="V17203" s="5"/>
    </row>
    <row r="17204">
      <c r="N17204" s="1"/>
      <c r="V17204" s="5"/>
    </row>
    <row r="17205">
      <c r="N17205" s="1"/>
      <c r="V17205" s="5"/>
    </row>
    <row r="17206">
      <c r="N17206" s="1"/>
      <c r="V17206" s="5"/>
    </row>
    <row r="17207">
      <c r="N17207" s="1"/>
      <c r="V17207" s="5"/>
    </row>
    <row r="17208">
      <c r="N17208" s="1"/>
      <c r="V17208" s="5"/>
    </row>
    <row r="17209">
      <c r="N17209" s="1"/>
      <c r="V17209" s="5"/>
    </row>
    <row r="17210">
      <c r="N17210" s="1"/>
      <c r="V17210" s="5"/>
    </row>
    <row r="17211">
      <c r="N17211" s="1"/>
      <c r="V17211" s="5"/>
    </row>
    <row r="17212">
      <c r="N17212" s="1"/>
      <c r="V17212" s="5"/>
    </row>
    <row r="17213">
      <c r="N17213" s="1"/>
      <c r="V17213" s="5"/>
    </row>
    <row r="17214">
      <c r="N17214" s="1"/>
      <c r="V17214" s="5"/>
    </row>
    <row r="17215">
      <c r="N17215" s="1"/>
      <c r="V17215" s="5"/>
    </row>
    <row r="17216">
      <c r="N17216" s="1"/>
      <c r="V17216" s="5"/>
    </row>
    <row r="17217">
      <c r="N17217" s="1"/>
      <c r="V17217" s="5"/>
    </row>
    <row r="17218">
      <c r="N17218" s="1"/>
      <c r="V17218" s="5"/>
    </row>
    <row r="17219">
      <c r="N17219" s="1"/>
      <c r="V17219" s="5"/>
    </row>
    <row r="17220">
      <c r="N17220" s="1"/>
      <c r="V17220" s="5"/>
    </row>
    <row r="17221">
      <c r="N17221" s="1"/>
      <c r="V17221" s="5"/>
    </row>
    <row r="17222">
      <c r="N17222" s="1"/>
      <c r="V17222" s="5"/>
    </row>
    <row r="17223">
      <c r="N17223" s="1"/>
      <c r="V17223" s="5"/>
    </row>
    <row r="17224">
      <c r="N17224" s="1"/>
      <c r="V17224" s="5"/>
    </row>
    <row r="17225">
      <c r="N17225" s="1"/>
      <c r="V17225" s="5"/>
    </row>
    <row r="17226">
      <c r="N17226" s="1"/>
      <c r="V17226" s="5"/>
    </row>
    <row r="17227">
      <c r="N17227" s="1"/>
      <c r="V17227" s="5"/>
    </row>
    <row r="17228">
      <c r="N17228" s="1"/>
      <c r="V17228" s="5"/>
    </row>
    <row r="17229">
      <c r="N17229" s="1"/>
      <c r="V17229" s="5"/>
    </row>
    <row r="17230">
      <c r="N17230" s="1"/>
      <c r="V17230" s="5"/>
    </row>
    <row r="17231">
      <c r="N17231" s="1"/>
      <c r="V17231" s="5"/>
    </row>
    <row r="17232">
      <c r="N17232" s="1"/>
      <c r="V17232" s="5"/>
    </row>
    <row r="17233">
      <c r="N17233" s="1"/>
      <c r="V17233" s="5"/>
    </row>
    <row r="17234">
      <c r="N17234" s="1"/>
      <c r="V17234" s="5"/>
    </row>
    <row r="17235">
      <c r="N17235" s="1"/>
      <c r="V17235" s="5"/>
    </row>
    <row r="17236">
      <c r="N17236" s="1"/>
      <c r="V17236" s="5"/>
    </row>
    <row r="17237">
      <c r="N17237" s="1"/>
      <c r="V17237" s="5"/>
    </row>
    <row r="17238">
      <c r="N17238" s="1"/>
      <c r="V17238" s="5"/>
    </row>
    <row r="17239">
      <c r="N17239" s="1"/>
      <c r="V17239" s="5"/>
    </row>
    <row r="17240">
      <c r="N17240" s="1"/>
      <c r="V17240" s="5"/>
    </row>
    <row r="17241">
      <c r="N17241" s="1"/>
      <c r="V17241" s="5"/>
    </row>
    <row r="17242">
      <c r="N17242" s="1"/>
      <c r="V17242" s="5"/>
    </row>
    <row r="17243">
      <c r="N17243" s="1"/>
      <c r="V17243" s="5"/>
    </row>
    <row r="17244">
      <c r="N17244" s="1"/>
      <c r="V17244" s="5"/>
    </row>
    <row r="17245">
      <c r="N17245" s="1"/>
      <c r="V17245" s="5"/>
    </row>
    <row r="17246">
      <c r="N17246" s="1"/>
      <c r="V17246" s="5"/>
    </row>
    <row r="17247">
      <c r="N17247" s="1"/>
      <c r="V17247" s="5"/>
    </row>
    <row r="17248">
      <c r="N17248" s="1"/>
      <c r="V17248" s="5"/>
    </row>
    <row r="17249">
      <c r="N17249" s="1"/>
      <c r="V17249" s="5"/>
    </row>
    <row r="17250">
      <c r="N17250" s="1"/>
      <c r="V17250" s="5"/>
    </row>
    <row r="17251">
      <c r="N17251" s="1"/>
      <c r="V17251" s="5"/>
    </row>
    <row r="17252">
      <c r="N17252" s="1"/>
      <c r="V17252" s="5"/>
    </row>
    <row r="17253">
      <c r="N17253" s="1"/>
      <c r="V17253" s="5"/>
    </row>
    <row r="17254">
      <c r="N17254" s="1"/>
      <c r="V17254" s="5"/>
    </row>
    <row r="17255">
      <c r="N17255" s="1"/>
      <c r="V17255" s="5"/>
    </row>
    <row r="17256">
      <c r="N17256" s="1"/>
      <c r="V17256" s="5"/>
    </row>
    <row r="17257">
      <c r="N17257" s="1"/>
      <c r="V17257" s="5"/>
    </row>
    <row r="17258">
      <c r="N17258" s="1"/>
      <c r="V17258" s="5"/>
    </row>
    <row r="17259">
      <c r="N17259" s="1"/>
      <c r="V17259" s="5"/>
    </row>
    <row r="17260">
      <c r="N17260" s="1"/>
      <c r="V17260" s="5"/>
    </row>
    <row r="17261">
      <c r="N17261" s="1"/>
      <c r="V17261" s="5"/>
    </row>
    <row r="17262">
      <c r="N17262" s="1"/>
      <c r="V17262" s="5"/>
    </row>
    <row r="17263">
      <c r="N17263" s="1"/>
      <c r="V17263" s="5"/>
    </row>
    <row r="17264">
      <c r="N17264" s="1"/>
      <c r="V17264" s="5"/>
    </row>
    <row r="17265">
      <c r="N17265" s="1"/>
      <c r="V17265" s="5"/>
    </row>
    <row r="17266">
      <c r="N17266" s="1"/>
      <c r="V17266" s="5"/>
    </row>
    <row r="17267">
      <c r="N17267" s="1"/>
      <c r="V17267" s="5"/>
    </row>
    <row r="17268">
      <c r="N17268" s="1"/>
      <c r="V17268" s="5"/>
    </row>
    <row r="17269">
      <c r="N17269" s="1"/>
      <c r="V17269" s="5"/>
    </row>
    <row r="17270">
      <c r="N17270" s="1"/>
      <c r="V17270" s="5"/>
    </row>
    <row r="17271">
      <c r="N17271" s="1"/>
      <c r="V17271" s="5"/>
    </row>
    <row r="17272">
      <c r="N17272" s="1"/>
      <c r="V17272" s="5"/>
    </row>
    <row r="17273">
      <c r="N17273" s="1"/>
      <c r="V17273" s="5"/>
    </row>
    <row r="17274">
      <c r="N17274" s="1"/>
      <c r="V17274" s="5"/>
    </row>
    <row r="17275">
      <c r="N17275" s="1"/>
      <c r="V17275" s="5"/>
    </row>
    <row r="17276">
      <c r="N17276" s="1"/>
      <c r="V17276" s="5"/>
    </row>
    <row r="17277">
      <c r="N17277" s="1"/>
      <c r="V17277" s="5"/>
    </row>
    <row r="17278">
      <c r="N17278" s="1"/>
      <c r="V17278" s="5"/>
    </row>
    <row r="17279">
      <c r="N17279" s="1"/>
      <c r="V17279" s="5"/>
    </row>
    <row r="17280">
      <c r="N17280" s="1"/>
      <c r="V17280" s="5"/>
    </row>
    <row r="17281">
      <c r="N17281" s="1"/>
      <c r="V17281" s="5"/>
    </row>
    <row r="17282">
      <c r="N17282" s="1"/>
      <c r="V17282" s="5"/>
    </row>
    <row r="17283">
      <c r="N17283" s="1"/>
      <c r="V17283" s="5"/>
    </row>
    <row r="17284">
      <c r="N17284" s="1"/>
      <c r="V17284" s="5"/>
    </row>
    <row r="17285">
      <c r="N17285" s="1"/>
      <c r="V17285" s="5"/>
    </row>
    <row r="17286">
      <c r="N17286" s="1"/>
      <c r="V17286" s="5"/>
    </row>
    <row r="17287">
      <c r="N17287" s="1"/>
      <c r="V17287" s="5"/>
    </row>
    <row r="17288">
      <c r="N17288" s="1"/>
      <c r="V17288" s="5"/>
    </row>
    <row r="17289">
      <c r="N17289" s="1"/>
      <c r="V17289" s="5"/>
    </row>
    <row r="17290">
      <c r="N17290" s="1"/>
      <c r="V17290" s="5"/>
    </row>
    <row r="17291">
      <c r="N17291" s="1"/>
      <c r="V17291" s="5"/>
    </row>
    <row r="17292">
      <c r="N17292" s="1"/>
      <c r="V17292" s="5"/>
    </row>
    <row r="17293">
      <c r="N17293" s="1"/>
      <c r="V17293" s="5"/>
    </row>
    <row r="17294">
      <c r="N17294" s="1"/>
      <c r="V17294" s="5"/>
    </row>
    <row r="17295">
      <c r="N17295" s="1"/>
      <c r="V17295" s="5"/>
    </row>
    <row r="17296">
      <c r="N17296" s="1"/>
      <c r="V17296" s="5"/>
    </row>
    <row r="17297">
      <c r="N17297" s="1"/>
      <c r="V17297" s="5"/>
    </row>
    <row r="17298">
      <c r="N17298" s="1"/>
      <c r="V17298" s="5"/>
    </row>
    <row r="17299">
      <c r="N17299" s="1"/>
      <c r="V17299" s="5"/>
    </row>
    <row r="17300">
      <c r="N17300" s="1"/>
      <c r="V17300" s="5"/>
    </row>
    <row r="17301">
      <c r="N17301" s="1"/>
      <c r="V17301" s="5"/>
    </row>
    <row r="17302">
      <c r="N17302" s="1"/>
      <c r="V17302" s="5"/>
    </row>
    <row r="17303">
      <c r="N17303" s="1"/>
      <c r="V17303" s="5"/>
    </row>
    <row r="17304">
      <c r="N17304" s="1"/>
      <c r="V17304" s="5"/>
    </row>
    <row r="17305">
      <c r="N17305" s="1"/>
      <c r="V17305" s="5"/>
    </row>
    <row r="17306">
      <c r="N17306" s="1"/>
      <c r="V17306" s="5"/>
    </row>
    <row r="17307">
      <c r="N17307" s="1"/>
      <c r="V17307" s="5"/>
    </row>
    <row r="17308">
      <c r="N17308" s="1"/>
      <c r="V17308" s="5"/>
    </row>
    <row r="17309">
      <c r="N17309" s="1"/>
      <c r="V17309" s="5"/>
    </row>
    <row r="17310">
      <c r="N17310" s="1"/>
      <c r="V17310" s="5"/>
    </row>
    <row r="17311">
      <c r="N17311" s="1"/>
      <c r="V17311" s="5"/>
    </row>
    <row r="17312">
      <c r="N17312" s="1"/>
      <c r="V17312" s="5"/>
    </row>
    <row r="17313">
      <c r="N17313" s="1"/>
      <c r="V17313" s="5"/>
    </row>
    <row r="17314">
      <c r="N17314" s="1"/>
      <c r="V17314" s="5"/>
    </row>
    <row r="17315">
      <c r="N17315" s="1"/>
      <c r="V17315" s="5"/>
    </row>
    <row r="17316">
      <c r="N17316" s="1"/>
      <c r="V17316" s="5"/>
    </row>
    <row r="17317">
      <c r="N17317" s="1"/>
      <c r="V17317" s="5"/>
    </row>
    <row r="17318">
      <c r="N17318" s="1"/>
      <c r="V17318" s="5"/>
    </row>
    <row r="17319">
      <c r="N17319" s="1"/>
      <c r="V17319" s="5"/>
    </row>
    <row r="17320">
      <c r="N17320" s="1"/>
      <c r="V17320" s="5"/>
    </row>
    <row r="17321">
      <c r="N17321" s="1"/>
      <c r="V17321" s="5"/>
    </row>
    <row r="17322">
      <c r="N17322" s="1"/>
      <c r="V17322" s="5"/>
    </row>
    <row r="17323">
      <c r="N17323" s="1"/>
      <c r="V17323" s="5"/>
    </row>
    <row r="17324">
      <c r="N17324" s="1"/>
      <c r="V17324" s="5"/>
    </row>
    <row r="17325">
      <c r="N17325" s="1"/>
      <c r="V17325" s="5"/>
    </row>
    <row r="17326">
      <c r="N17326" s="1"/>
      <c r="V17326" s="5"/>
    </row>
    <row r="17327">
      <c r="N17327" s="1"/>
      <c r="V17327" s="5"/>
    </row>
    <row r="17328">
      <c r="N17328" s="1"/>
      <c r="V17328" s="5"/>
    </row>
    <row r="17329">
      <c r="N17329" s="1"/>
      <c r="V17329" s="5"/>
    </row>
    <row r="17330">
      <c r="N17330" s="1"/>
      <c r="V17330" s="5"/>
    </row>
    <row r="17331">
      <c r="N17331" s="1"/>
      <c r="V17331" s="5"/>
    </row>
    <row r="17332">
      <c r="N17332" s="1"/>
      <c r="V17332" s="5"/>
    </row>
    <row r="17333">
      <c r="N17333" s="1"/>
      <c r="V17333" s="5"/>
    </row>
    <row r="17334">
      <c r="N17334" s="1"/>
      <c r="V17334" s="5"/>
    </row>
    <row r="17335">
      <c r="N17335" s="1"/>
      <c r="V17335" s="5"/>
    </row>
    <row r="17336">
      <c r="N17336" s="1"/>
      <c r="V17336" s="5"/>
    </row>
    <row r="17337">
      <c r="N17337" s="1"/>
      <c r="V17337" s="5"/>
    </row>
    <row r="17338">
      <c r="N17338" s="1"/>
      <c r="V17338" s="5"/>
    </row>
    <row r="17339">
      <c r="N17339" s="1"/>
      <c r="V17339" s="5"/>
    </row>
    <row r="17340">
      <c r="N17340" s="1"/>
      <c r="V17340" s="5"/>
    </row>
    <row r="17341">
      <c r="N17341" s="1"/>
      <c r="V17341" s="5"/>
    </row>
    <row r="17342">
      <c r="N17342" s="1"/>
      <c r="V17342" s="5"/>
    </row>
    <row r="17343">
      <c r="N17343" s="1"/>
      <c r="V17343" s="5"/>
    </row>
    <row r="17344">
      <c r="N17344" s="1"/>
      <c r="V17344" s="5"/>
    </row>
    <row r="17345">
      <c r="N17345" s="1"/>
      <c r="V17345" s="5"/>
    </row>
    <row r="17346">
      <c r="N17346" s="1"/>
      <c r="V17346" s="5"/>
    </row>
    <row r="17347">
      <c r="N17347" s="1"/>
      <c r="V17347" s="5"/>
    </row>
    <row r="17348">
      <c r="N17348" s="1"/>
      <c r="V17348" s="5"/>
    </row>
    <row r="17349">
      <c r="N17349" s="1"/>
      <c r="V17349" s="5"/>
    </row>
    <row r="17350">
      <c r="N17350" s="1"/>
      <c r="V17350" s="5"/>
    </row>
    <row r="17351">
      <c r="N17351" s="1"/>
      <c r="V17351" s="5"/>
    </row>
    <row r="17352">
      <c r="N17352" s="1"/>
      <c r="V17352" s="5"/>
    </row>
    <row r="17353">
      <c r="N17353" s="1"/>
      <c r="V17353" s="5"/>
    </row>
    <row r="17354">
      <c r="N17354" s="1"/>
      <c r="V17354" s="5"/>
    </row>
    <row r="17355">
      <c r="N17355" s="1"/>
      <c r="V17355" s="5"/>
    </row>
    <row r="17356">
      <c r="N17356" s="1"/>
      <c r="V17356" s="5"/>
    </row>
    <row r="17357">
      <c r="N17357" s="1"/>
      <c r="V17357" s="5"/>
    </row>
    <row r="17358">
      <c r="N17358" s="1"/>
      <c r="V17358" s="5"/>
    </row>
    <row r="17359">
      <c r="N17359" s="1"/>
      <c r="V17359" s="5"/>
    </row>
    <row r="17360">
      <c r="N17360" s="1"/>
      <c r="V17360" s="5"/>
    </row>
    <row r="17361">
      <c r="N17361" s="1"/>
      <c r="V17361" s="5"/>
    </row>
    <row r="17362">
      <c r="N17362" s="1"/>
      <c r="V17362" s="5"/>
    </row>
    <row r="17363">
      <c r="N17363" s="1"/>
      <c r="V17363" s="5"/>
    </row>
    <row r="17364">
      <c r="N17364" s="1"/>
      <c r="V17364" s="5"/>
    </row>
    <row r="17365">
      <c r="N17365" s="1"/>
      <c r="V17365" s="5"/>
    </row>
    <row r="17366">
      <c r="N17366" s="1"/>
      <c r="V17366" s="5"/>
    </row>
    <row r="17367">
      <c r="N17367" s="1"/>
      <c r="V17367" s="5"/>
    </row>
    <row r="17368">
      <c r="N17368" s="1"/>
      <c r="V17368" s="5"/>
    </row>
    <row r="17369">
      <c r="N17369" s="1"/>
      <c r="V17369" s="5"/>
    </row>
    <row r="17370">
      <c r="N17370" s="1"/>
      <c r="V17370" s="5"/>
    </row>
    <row r="17371">
      <c r="N17371" s="1"/>
      <c r="V17371" s="5"/>
    </row>
    <row r="17372">
      <c r="N17372" s="1"/>
      <c r="V17372" s="5"/>
    </row>
    <row r="17373">
      <c r="N17373" s="1"/>
      <c r="V17373" s="5"/>
    </row>
    <row r="17374">
      <c r="N17374" s="1"/>
      <c r="V17374" s="5"/>
    </row>
    <row r="17375">
      <c r="N17375" s="1"/>
      <c r="V17375" s="5"/>
    </row>
    <row r="17376">
      <c r="N17376" s="1"/>
      <c r="V17376" s="5"/>
    </row>
    <row r="17377">
      <c r="N17377" s="1"/>
      <c r="V17377" s="5"/>
    </row>
    <row r="17378">
      <c r="N17378" s="1"/>
      <c r="V17378" s="5"/>
    </row>
    <row r="17379">
      <c r="N17379" s="1"/>
      <c r="V17379" s="5"/>
    </row>
    <row r="17380">
      <c r="N17380" s="1"/>
      <c r="V17380" s="5"/>
    </row>
    <row r="17381">
      <c r="N17381" s="1"/>
      <c r="V17381" s="5"/>
    </row>
    <row r="17382">
      <c r="N17382" s="1"/>
      <c r="V17382" s="5"/>
    </row>
    <row r="17383">
      <c r="N17383" s="1"/>
      <c r="V17383" s="5"/>
    </row>
    <row r="17384">
      <c r="N17384" s="1"/>
      <c r="V17384" s="5"/>
    </row>
    <row r="17385">
      <c r="N17385" s="1"/>
      <c r="V17385" s="5"/>
    </row>
    <row r="17386">
      <c r="N17386" s="1"/>
      <c r="V17386" s="5"/>
    </row>
    <row r="17387">
      <c r="N17387" s="1"/>
      <c r="V17387" s="5"/>
    </row>
    <row r="17388">
      <c r="N17388" s="1"/>
      <c r="V17388" s="5"/>
    </row>
    <row r="17389">
      <c r="N17389" s="1"/>
      <c r="V17389" s="5"/>
    </row>
    <row r="17390">
      <c r="N17390" s="1"/>
      <c r="V17390" s="5"/>
    </row>
    <row r="17391">
      <c r="N17391" s="1"/>
      <c r="V17391" s="5"/>
    </row>
    <row r="17392">
      <c r="N17392" s="1"/>
      <c r="V17392" s="5"/>
    </row>
    <row r="17393">
      <c r="N17393" s="1"/>
      <c r="V17393" s="5"/>
    </row>
    <row r="17394">
      <c r="N17394" s="1"/>
      <c r="V17394" s="5"/>
    </row>
    <row r="17395">
      <c r="N17395" s="1"/>
      <c r="V17395" s="5"/>
    </row>
    <row r="17396">
      <c r="N17396" s="1"/>
      <c r="V17396" s="5"/>
    </row>
    <row r="17397">
      <c r="N17397" s="1"/>
      <c r="V17397" s="5"/>
    </row>
    <row r="17398">
      <c r="N17398" s="1"/>
      <c r="V17398" s="5"/>
    </row>
    <row r="17399">
      <c r="N17399" s="1"/>
      <c r="V17399" s="5"/>
    </row>
    <row r="17400">
      <c r="N17400" s="1"/>
      <c r="V17400" s="5"/>
    </row>
    <row r="17401">
      <c r="N17401" s="1"/>
      <c r="V17401" s="5"/>
    </row>
    <row r="17402">
      <c r="N17402" s="1"/>
      <c r="V17402" s="5"/>
    </row>
    <row r="17403">
      <c r="N17403" s="1"/>
      <c r="V17403" s="5"/>
    </row>
    <row r="17404">
      <c r="N17404" s="1"/>
      <c r="V17404" s="5"/>
    </row>
    <row r="17405">
      <c r="N17405" s="1"/>
      <c r="V17405" s="5"/>
    </row>
    <row r="17406">
      <c r="N17406" s="1"/>
      <c r="V17406" s="5"/>
    </row>
    <row r="17407">
      <c r="N17407" s="1"/>
      <c r="V17407" s="5"/>
    </row>
    <row r="17408">
      <c r="N17408" s="1"/>
      <c r="V17408" s="5"/>
    </row>
    <row r="17409">
      <c r="N17409" s="1"/>
      <c r="V17409" s="5"/>
    </row>
    <row r="17410">
      <c r="N17410" s="1"/>
      <c r="V17410" s="5"/>
    </row>
    <row r="17411">
      <c r="N17411" s="1"/>
      <c r="V17411" s="5"/>
    </row>
    <row r="17412">
      <c r="N17412" s="1"/>
      <c r="V17412" s="5"/>
    </row>
    <row r="17413">
      <c r="N17413" s="1"/>
      <c r="V17413" s="5"/>
    </row>
    <row r="17414">
      <c r="N17414" s="1"/>
      <c r="V17414" s="5"/>
    </row>
    <row r="17415">
      <c r="N17415" s="1"/>
      <c r="V17415" s="5"/>
    </row>
    <row r="17416">
      <c r="N17416" s="1"/>
      <c r="V17416" s="5"/>
    </row>
    <row r="17417">
      <c r="N17417" s="1"/>
      <c r="V17417" s="5"/>
    </row>
    <row r="17418">
      <c r="N17418" s="1"/>
      <c r="V17418" s="5"/>
    </row>
    <row r="17419">
      <c r="N17419" s="1"/>
      <c r="V17419" s="5"/>
    </row>
    <row r="17420">
      <c r="N17420" s="1"/>
      <c r="V17420" s="5"/>
    </row>
    <row r="17421">
      <c r="N17421" s="1"/>
      <c r="V17421" s="5"/>
    </row>
    <row r="17422">
      <c r="N17422" s="1"/>
      <c r="V17422" s="5"/>
    </row>
    <row r="17423">
      <c r="N17423" s="1"/>
      <c r="V17423" s="5"/>
    </row>
    <row r="17424">
      <c r="N17424" s="1"/>
      <c r="V17424" s="5"/>
    </row>
    <row r="17425">
      <c r="N17425" s="1"/>
      <c r="V17425" s="5"/>
    </row>
    <row r="17426">
      <c r="N17426" s="1"/>
      <c r="V17426" s="5"/>
    </row>
    <row r="17427">
      <c r="N17427" s="1"/>
      <c r="V17427" s="5"/>
    </row>
    <row r="17428">
      <c r="N17428" s="1"/>
      <c r="V17428" s="5"/>
    </row>
    <row r="17429">
      <c r="N17429" s="1"/>
      <c r="V17429" s="5"/>
    </row>
    <row r="17430">
      <c r="N17430" s="1"/>
      <c r="V17430" s="5"/>
    </row>
    <row r="17431">
      <c r="N17431" s="1"/>
      <c r="V17431" s="5"/>
    </row>
    <row r="17432">
      <c r="N17432" s="1"/>
      <c r="V17432" s="5"/>
    </row>
    <row r="17433">
      <c r="N17433" s="1"/>
      <c r="V17433" s="5"/>
    </row>
    <row r="17434">
      <c r="N17434" s="1"/>
      <c r="V17434" s="5"/>
    </row>
    <row r="17435">
      <c r="N17435" s="1"/>
      <c r="V17435" s="5"/>
    </row>
    <row r="17436">
      <c r="N17436" s="1"/>
      <c r="V17436" s="5"/>
    </row>
    <row r="17437">
      <c r="N17437" s="1"/>
      <c r="V17437" s="5"/>
    </row>
    <row r="17438">
      <c r="N17438" s="1"/>
      <c r="V17438" s="5"/>
    </row>
    <row r="17439">
      <c r="N17439" s="1"/>
      <c r="V17439" s="5"/>
    </row>
    <row r="17440">
      <c r="N17440" s="1"/>
      <c r="V17440" s="5"/>
    </row>
    <row r="17441">
      <c r="N17441" s="1"/>
      <c r="V17441" s="5"/>
    </row>
    <row r="17442">
      <c r="N17442" s="1"/>
      <c r="V17442" s="5"/>
    </row>
    <row r="17443">
      <c r="N17443" s="1"/>
      <c r="V17443" s="5"/>
    </row>
    <row r="17444">
      <c r="N17444" s="1"/>
      <c r="V17444" s="5"/>
    </row>
    <row r="17445">
      <c r="N17445" s="1"/>
      <c r="V17445" s="5"/>
    </row>
    <row r="17446">
      <c r="N17446" s="1"/>
      <c r="V17446" s="5"/>
    </row>
    <row r="17447">
      <c r="N17447" s="1"/>
      <c r="V17447" s="5"/>
    </row>
    <row r="17448">
      <c r="N17448" s="1"/>
      <c r="V17448" s="5"/>
    </row>
    <row r="17449">
      <c r="N17449" s="1"/>
      <c r="V17449" s="5"/>
    </row>
    <row r="17450">
      <c r="N17450" s="1"/>
      <c r="V17450" s="5"/>
    </row>
    <row r="17451">
      <c r="N17451" s="1"/>
      <c r="V17451" s="5"/>
    </row>
    <row r="17452">
      <c r="N17452" s="1"/>
      <c r="V17452" s="5"/>
    </row>
    <row r="17453">
      <c r="N17453" s="1"/>
      <c r="V17453" s="5"/>
    </row>
    <row r="17454">
      <c r="N17454" s="1"/>
      <c r="V17454" s="5"/>
    </row>
    <row r="17455">
      <c r="N17455" s="1"/>
      <c r="V17455" s="5"/>
    </row>
    <row r="17456">
      <c r="N17456" s="1"/>
      <c r="V17456" s="5"/>
    </row>
    <row r="17457">
      <c r="N17457" s="1"/>
      <c r="V17457" s="5"/>
    </row>
    <row r="17458">
      <c r="N17458" s="1"/>
      <c r="V17458" s="5"/>
    </row>
    <row r="17459">
      <c r="N17459" s="1"/>
      <c r="V17459" s="5"/>
    </row>
    <row r="17460">
      <c r="N17460" s="1"/>
      <c r="V17460" s="5"/>
    </row>
    <row r="17461">
      <c r="N17461" s="1"/>
      <c r="V17461" s="5"/>
    </row>
    <row r="17462">
      <c r="N17462" s="1"/>
      <c r="V17462" s="5"/>
    </row>
    <row r="17463">
      <c r="N17463" s="1"/>
      <c r="V17463" s="5"/>
    </row>
    <row r="17464">
      <c r="N17464" s="1"/>
      <c r="V17464" s="5"/>
    </row>
    <row r="17465">
      <c r="N17465" s="1"/>
      <c r="V17465" s="5"/>
    </row>
    <row r="17466">
      <c r="N17466" s="1"/>
      <c r="V17466" s="5"/>
    </row>
    <row r="17467">
      <c r="N17467" s="1"/>
      <c r="V17467" s="5"/>
    </row>
    <row r="17468">
      <c r="N17468" s="1"/>
      <c r="V17468" s="5"/>
    </row>
    <row r="17469">
      <c r="N17469" s="1"/>
      <c r="V17469" s="5"/>
    </row>
    <row r="17470">
      <c r="N17470" s="1"/>
      <c r="V17470" s="5"/>
    </row>
    <row r="17471">
      <c r="N17471" s="1"/>
      <c r="V17471" s="5"/>
    </row>
    <row r="17472">
      <c r="N17472" s="1"/>
      <c r="V17472" s="5"/>
    </row>
    <row r="17473">
      <c r="N17473" s="1"/>
      <c r="V17473" s="5"/>
    </row>
    <row r="17474">
      <c r="N17474" s="1"/>
      <c r="V17474" s="5"/>
    </row>
    <row r="17475">
      <c r="N17475" s="1"/>
      <c r="V17475" s="5"/>
    </row>
    <row r="17476">
      <c r="N17476" s="1"/>
      <c r="V17476" s="5"/>
    </row>
    <row r="17477">
      <c r="N17477" s="1"/>
      <c r="V17477" s="5"/>
    </row>
    <row r="17478">
      <c r="N17478" s="1"/>
      <c r="V17478" s="5"/>
    </row>
    <row r="17479">
      <c r="N17479" s="1"/>
      <c r="V17479" s="5"/>
    </row>
    <row r="17480">
      <c r="N17480" s="1"/>
      <c r="V17480" s="5"/>
    </row>
    <row r="17481">
      <c r="N17481" s="1"/>
      <c r="V17481" s="5"/>
    </row>
    <row r="17482">
      <c r="N17482" s="1"/>
      <c r="V17482" s="5"/>
    </row>
    <row r="17483">
      <c r="N17483" s="1"/>
      <c r="V17483" s="5"/>
    </row>
    <row r="17484">
      <c r="N17484" s="1"/>
      <c r="V17484" s="5"/>
    </row>
    <row r="17485">
      <c r="N17485" s="1"/>
      <c r="V17485" s="5"/>
    </row>
    <row r="17486">
      <c r="N17486" s="1"/>
      <c r="V17486" s="5"/>
    </row>
    <row r="17487">
      <c r="N17487" s="1"/>
      <c r="V17487" s="5"/>
    </row>
    <row r="17488">
      <c r="N17488" s="1"/>
      <c r="V17488" s="5"/>
    </row>
    <row r="17489">
      <c r="N17489" s="1"/>
      <c r="V17489" s="5"/>
    </row>
    <row r="17490">
      <c r="N17490" s="1"/>
      <c r="V17490" s="5"/>
    </row>
    <row r="17491">
      <c r="N17491" s="1"/>
      <c r="V17491" s="5"/>
    </row>
    <row r="17492">
      <c r="N17492" s="1"/>
      <c r="V17492" s="5"/>
    </row>
    <row r="17493">
      <c r="N17493" s="1"/>
      <c r="V17493" s="5"/>
    </row>
    <row r="17494">
      <c r="N17494" s="1"/>
      <c r="V17494" s="5"/>
    </row>
    <row r="17495">
      <c r="N17495" s="1"/>
      <c r="V17495" s="5"/>
    </row>
    <row r="17496">
      <c r="N17496" s="1"/>
      <c r="V17496" s="5"/>
    </row>
    <row r="17497">
      <c r="N17497" s="1"/>
      <c r="V17497" s="5"/>
    </row>
    <row r="17498">
      <c r="N17498" s="1"/>
      <c r="V17498" s="5"/>
    </row>
    <row r="17499">
      <c r="N17499" s="1"/>
      <c r="V17499" s="5"/>
    </row>
    <row r="17500">
      <c r="N17500" s="1"/>
      <c r="V17500" s="5"/>
    </row>
    <row r="17501">
      <c r="N17501" s="1"/>
      <c r="V17501" s="5"/>
    </row>
    <row r="17502">
      <c r="N17502" s="1"/>
      <c r="V17502" s="5"/>
    </row>
    <row r="17503">
      <c r="N17503" s="1"/>
      <c r="V17503" s="5"/>
    </row>
    <row r="17504">
      <c r="N17504" s="1"/>
      <c r="V17504" s="5"/>
    </row>
    <row r="17505">
      <c r="N17505" s="1"/>
      <c r="V17505" s="5"/>
    </row>
    <row r="17506">
      <c r="N17506" s="1"/>
      <c r="V17506" s="5"/>
    </row>
    <row r="17507">
      <c r="N17507" s="1"/>
      <c r="V17507" s="5"/>
    </row>
    <row r="17508">
      <c r="N17508" s="1"/>
      <c r="V17508" s="5"/>
    </row>
    <row r="17509">
      <c r="N17509" s="1"/>
      <c r="V17509" s="5"/>
    </row>
    <row r="17510">
      <c r="N17510" s="1"/>
      <c r="V17510" s="5"/>
    </row>
    <row r="17511">
      <c r="N17511" s="1"/>
      <c r="V17511" s="5"/>
    </row>
    <row r="17512">
      <c r="N17512" s="1"/>
      <c r="V17512" s="5"/>
    </row>
    <row r="17513">
      <c r="N17513" s="1"/>
      <c r="V17513" s="5"/>
    </row>
    <row r="17514">
      <c r="N17514" s="1"/>
      <c r="V17514" s="5"/>
    </row>
    <row r="17515">
      <c r="N17515" s="1"/>
      <c r="V17515" s="5"/>
    </row>
    <row r="17516">
      <c r="N17516" s="1"/>
      <c r="V17516" s="5"/>
    </row>
    <row r="17517">
      <c r="N17517" s="1"/>
      <c r="V17517" s="5"/>
    </row>
    <row r="17518">
      <c r="N17518" s="1"/>
      <c r="V17518" s="5"/>
    </row>
    <row r="17519">
      <c r="N17519" s="1"/>
      <c r="V17519" s="5"/>
    </row>
    <row r="17520">
      <c r="N17520" s="1"/>
      <c r="V17520" s="5"/>
    </row>
    <row r="17521">
      <c r="N17521" s="1"/>
      <c r="V17521" s="5"/>
    </row>
    <row r="17522">
      <c r="N17522" s="1"/>
      <c r="V17522" s="5"/>
    </row>
    <row r="17523">
      <c r="N17523" s="1"/>
      <c r="V17523" s="5"/>
    </row>
    <row r="17524">
      <c r="N17524" s="1"/>
      <c r="V17524" s="5"/>
    </row>
    <row r="17525">
      <c r="N17525" s="1"/>
      <c r="V17525" s="5"/>
    </row>
    <row r="17526">
      <c r="N17526" s="1"/>
      <c r="V17526" s="5"/>
    </row>
    <row r="17527">
      <c r="N17527" s="1"/>
      <c r="V17527" s="5"/>
    </row>
    <row r="17528">
      <c r="N17528" s="1"/>
      <c r="V17528" s="5"/>
    </row>
    <row r="17529">
      <c r="N17529" s="1"/>
      <c r="V17529" s="5"/>
    </row>
    <row r="17530">
      <c r="N17530" s="1"/>
      <c r="V17530" s="5"/>
    </row>
    <row r="17531">
      <c r="N17531" s="1"/>
      <c r="V17531" s="5"/>
    </row>
    <row r="17532">
      <c r="N17532" s="1"/>
      <c r="V17532" s="5"/>
    </row>
    <row r="17533">
      <c r="N17533" s="1"/>
      <c r="V17533" s="5"/>
    </row>
    <row r="17534">
      <c r="N17534" s="1"/>
      <c r="V17534" s="5"/>
    </row>
    <row r="17535">
      <c r="N17535" s="1"/>
      <c r="V17535" s="5"/>
    </row>
    <row r="17536">
      <c r="N17536" s="1"/>
      <c r="V17536" s="5"/>
    </row>
    <row r="17537">
      <c r="N17537" s="1"/>
      <c r="V17537" s="5"/>
    </row>
    <row r="17538">
      <c r="N17538" s="1"/>
      <c r="V17538" s="5"/>
    </row>
    <row r="17539">
      <c r="N17539" s="1"/>
      <c r="V17539" s="5"/>
    </row>
    <row r="17540">
      <c r="N17540" s="1"/>
      <c r="V17540" s="5"/>
    </row>
    <row r="17541">
      <c r="N17541" s="1"/>
      <c r="V17541" s="5"/>
    </row>
    <row r="17542">
      <c r="N17542" s="1"/>
      <c r="V17542" s="5"/>
    </row>
    <row r="17543">
      <c r="N17543" s="1"/>
      <c r="V17543" s="5"/>
    </row>
    <row r="17544">
      <c r="N17544" s="1"/>
      <c r="V17544" s="5"/>
    </row>
    <row r="17545">
      <c r="N17545" s="1"/>
      <c r="V17545" s="5"/>
    </row>
    <row r="17546">
      <c r="N17546" s="1"/>
      <c r="V17546" s="5"/>
    </row>
    <row r="17547">
      <c r="N17547" s="1"/>
      <c r="V17547" s="5"/>
    </row>
    <row r="17548">
      <c r="N17548" s="1"/>
      <c r="V17548" s="5"/>
    </row>
    <row r="17549">
      <c r="N17549" s="1"/>
      <c r="V17549" s="5"/>
    </row>
    <row r="17550">
      <c r="N17550" s="1"/>
      <c r="V17550" s="5"/>
    </row>
    <row r="17551">
      <c r="N17551" s="1"/>
      <c r="V17551" s="5"/>
    </row>
    <row r="17552">
      <c r="N17552" s="1"/>
      <c r="V17552" s="5"/>
    </row>
    <row r="17553">
      <c r="N17553" s="1"/>
      <c r="V17553" s="5"/>
    </row>
    <row r="17554">
      <c r="N17554" s="1"/>
      <c r="V17554" s="5"/>
    </row>
    <row r="17555">
      <c r="N17555" s="1"/>
      <c r="V17555" s="5"/>
    </row>
    <row r="17556">
      <c r="N17556" s="1"/>
      <c r="V17556" s="5"/>
    </row>
    <row r="17557">
      <c r="N17557" s="1"/>
      <c r="V17557" s="5"/>
    </row>
    <row r="17558">
      <c r="N17558" s="1"/>
      <c r="V17558" s="5"/>
    </row>
    <row r="17559">
      <c r="N17559" s="1"/>
      <c r="V17559" s="5"/>
    </row>
    <row r="17560">
      <c r="N17560" s="1"/>
      <c r="V17560" s="5"/>
    </row>
    <row r="17561">
      <c r="N17561" s="1"/>
      <c r="V17561" s="5"/>
    </row>
    <row r="17562">
      <c r="N17562" s="1"/>
      <c r="V17562" s="5"/>
    </row>
    <row r="17563">
      <c r="N17563" s="1"/>
      <c r="V17563" s="5"/>
    </row>
    <row r="17564">
      <c r="N17564" s="1"/>
      <c r="V17564" s="5"/>
    </row>
    <row r="17565">
      <c r="N17565" s="1"/>
      <c r="V17565" s="5"/>
    </row>
    <row r="17566">
      <c r="N17566" s="1"/>
      <c r="V17566" s="5"/>
    </row>
    <row r="17567">
      <c r="N17567" s="1"/>
      <c r="V17567" s="5"/>
    </row>
    <row r="17568">
      <c r="N17568" s="1"/>
      <c r="V17568" s="5"/>
    </row>
    <row r="17569">
      <c r="N17569" s="1"/>
      <c r="V17569" s="5"/>
    </row>
    <row r="17570">
      <c r="N17570" s="1"/>
      <c r="V17570" s="5"/>
    </row>
    <row r="17571">
      <c r="N17571" s="1"/>
      <c r="V17571" s="5"/>
    </row>
    <row r="17572">
      <c r="N17572" s="1"/>
      <c r="V17572" s="5"/>
    </row>
    <row r="17573">
      <c r="N17573" s="1"/>
      <c r="V17573" s="5"/>
    </row>
    <row r="17574">
      <c r="N17574" s="1"/>
      <c r="V17574" s="5"/>
    </row>
    <row r="17575">
      <c r="N17575" s="1"/>
      <c r="V17575" s="5"/>
    </row>
    <row r="17576">
      <c r="N17576" s="1"/>
      <c r="V17576" s="5"/>
    </row>
    <row r="17577">
      <c r="N17577" s="1"/>
      <c r="V17577" s="5"/>
    </row>
    <row r="17578">
      <c r="N17578" s="1"/>
      <c r="V17578" s="5"/>
    </row>
    <row r="17579">
      <c r="N17579" s="1"/>
      <c r="V17579" s="5"/>
    </row>
    <row r="17580">
      <c r="N17580" s="1"/>
      <c r="V17580" s="5"/>
    </row>
    <row r="17581">
      <c r="N17581" s="1"/>
      <c r="V17581" s="5"/>
    </row>
    <row r="17582">
      <c r="N17582" s="1"/>
      <c r="V17582" s="5"/>
    </row>
    <row r="17583">
      <c r="N17583" s="1"/>
      <c r="V17583" s="5"/>
    </row>
    <row r="17584">
      <c r="N17584" s="1"/>
      <c r="V17584" s="5"/>
    </row>
    <row r="17585">
      <c r="N17585" s="1"/>
      <c r="V17585" s="5"/>
    </row>
    <row r="17586">
      <c r="N17586" s="1"/>
      <c r="V17586" s="5"/>
    </row>
    <row r="17587">
      <c r="N17587" s="1"/>
      <c r="V17587" s="5"/>
    </row>
    <row r="17588">
      <c r="N17588" s="1"/>
      <c r="V17588" s="5"/>
    </row>
    <row r="17589">
      <c r="N17589" s="1"/>
      <c r="V17589" s="5"/>
    </row>
    <row r="17590">
      <c r="N17590" s="1"/>
      <c r="V17590" s="5"/>
    </row>
    <row r="17591">
      <c r="N17591" s="1"/>
      <c r="V17591" s="5"/>
    </row>
    <row r="17592">
      <c r="N17592" s="1"/>
      <c r="V17592" s="5"/>
    </row>
    <row r="17593">
      <c r="N17593" s="1"/>
      <c r="V17593" s="5"/>
    </row>
    <row r="17594">
      <c r="N17594" s="1"/>
      <c r="V17594" s="5"/>
    </row>
    <row r="17595">
      <c r="N17595" s="1"/>
      <c r="V17595" s="5"/>
    </row>
    <row r="17596">
      <c r="N17596" s="1"/>
      <c r="V17596" s="5"/>
    </row>
    <row r="17597">
      <c r="N17597" s="1"/>
      <c r="V17597" s="5"/>
    </row>
    <row r="17598">
      <c r="N17598" s="1"/>
      <c r="V17598" s="5"/>
    </row>
    <row r="17599">
      <c r="N17599" s="1"/>
      <c r="V17599" s="5"/>
    </row>
    <row r="17600">
      <c r="N17600" s="1"/>
      <c r="V17600" s="5"/>
    </row>
    <row r="17601">
      <c r="N17601" s="1"/>
      <c r="V17601" s="5"/>
    </row>
    <row r="17602">
      <c r="N17602" s="1"/>
      <c r="V17602" s="5"/>
    </row>
    <row r="17603">
      <c r="N17603" s="1"/>
      <c r="V17603" s="5"/>
    </row>
    <row r="17604">
      <c r="N17604" s="1"/>
      <c r="V17604" s="5"/>
    </row>
    <row r="17605">
      <c r="N17605" s="1"/>
      <c r="V17605" s="5"/>
    </row>
    <row r="17606">
      <c r="N17606" s="1"/>
      <c r="V17606" s="5"/>
    </row>
    <row r="17607">
      <c r="N17607" s="1"/>
      <c r="V17607" s="5"/>
    </row>
    <row r="17608">
      <c r="N17608" s="1"/>
      <c r="V17608" s="5"/>
    </row>
    <row r="17609">
      <c r="N17609" s="1"/>
      <c r="V17609" s="5"/>
    </row>
    <row r="17610">
      <c r="N17610" s="1"/>
      <c r="V17610" s="5"/>
    </row>
    <row r="17611">
      <c r="N17611" s="1"/>
      <c r="V17611" s="5"/>
    </row>
    <row r="17612">
      <c r="N17612" s="1"/>
      <c r="V17612" s="5"/>
    </row>
    <row r="17613">
      <c r="N17613" s="1"/>
      <c r="V17613" s="5"/>
    </row>
    <row r="17614">
      <c r="N17614" s="1"/>
      <c r="V17614" s="5"/>
    </row>
    <row r="17615">
      <c r="N17615" s="1"/>
      <c r="V17615" s="5"/>
    </row>
    <row r="17616">
      <c r="N17616" s="1"/>
      <c r="V17616" s="5"/>
    </row>
    <row r="17617">
      <c r="N17617" s="1"/>
      <c r="V17617" s="5"/>
    </row>
    <row r="17618">
      <c r="N17618" s="1"/>
      <c r="V17618" s="5"/>
    </row>
    <row r="17619">
      <c r="N17619" s="1"/>
      <c r="V17619" s="5"/>
    </row>
    <row r="17620">
      <c r="N17620" s="1"/>
      <c r="V17620" s="5"/>
    </row>
    <row r="17621">
      <c r="N17621" s="1"/>
      <c r="V17621" s="5"/>
    </row>
    <row r="17622">
      <c r="N17622" s="1"/>
      <c r="V17622" s="5"/>
    </row>
    <row r="17623">
      <c r="N17623" s="1"/>
      <c r="V17623" s="5"/>
    </row>
    <row r="17624">
      <c r="N17624" s="1"/>
      <c r="V17624" s="5"/>
    </row>
    <row r="17625">
      <c r="N17625" s="1"/>
      <c r="V17625" s="5"/>
    </row>
    <row r="17626">
      <c r="N17626" s="1"/>
      <c r="V17626" s="5"/>
    </row>
    <row r="17627">
      <c r="N17627" s="1"/>
      <c r="V17627" s="5"/>
    </row>
    <row r="17628">
      <c r="N17628" s="1"/>
      <c r="V17628" s="5"/>
    </row>
    <row r="17629">
      <c r="N17629" s="1"/>
      <c r="V17629" s="5"/>
    </row>
    <row r="17630">
      <c r="N17630" s="1"/>
      <c r="V17630" s="5"/>
    </row>
    <row r="17631">
      <c r="N17631" s="1"/>
      <c r="V17631" s="5"/>
    </row>
    <row r="17632">
      <c r="N17632" s="1"/>
      <c r="V17632" s="5"/>
    </row>
    <row r="17633">
      <c r="N17633" s="1"/>
      <c r="V17633" s="5"/>
    </row>
    <row r="17634">
      <c r="N17634" s="1"/>
      <c r="V17634" s="5"/>
    </row>
    <row r="17635">
      <c r="N17635" s="1"/>
      <c r="V17635" s="5"/>
    </row>
    <row r="17636">
      <c r="N17636" s="1"/>
      <c r="V17636" s="5"/>
    </row>
    <row r="17637">
      <c r="N17637" s="1"/>
      <c r="V17637" s="5"/>
    </row>
    <row r="17638">
      <c r="N17638" s="1"/>
      <c r="V17638" s="5"/>
    </row>
    <row r="17639">
      <c r="N17639" s="1"/>
      <c r="V17639" s="5"/>
    </row>
    <row r="17640">
      <c r="N17640" s="1"/>
      <c r="V17640" s="5"/>
    </row>
    <row r="17641">
      <c r="N17641" s="1"/>
      <c r="V17641" s="5"/>
    </row>
    <row r="17642">
      <c r="N17642" s="1"/>
      <c r="V17642" s="5"/>
    </row>
    <row r="17643">
      <c r="N17643" s="1"/>
      <c r="V17643" s="5"/>
    </row>
    <row r="17644">
      <c r="N17644" s="1"/>
      <c r="V17644" s="5"/>
    </row>
    <row r="17645">
      <c r="N17645" s="1"/>
      <c r="V17645" s="5"/>
    </row>
    <row r="17646">
      <c r="N17646" s="1"/>
      <c r="V17646" s="5"/>
    </row>
    <row r="17647">
      <c r="N17647" s="1"/>
      <c r="V17647" s="5"/>
    </row>
    <row r="17648">
      <c r="N17648" s="1"/>
      <c r="V17648" s="5"/>
    </row>
    <row r="17649">
      <c r="N17649" s="1"/>
      <c r="V17649" s="5"/>
    </row>
    <row r="17650">
      <c r="N17650" s="1"/>
      <c r="V17650" s="5"/>
    </row>
    <row r="17651">
      <c r="N17651" s="1"/>
      <c r="V17651" s="5"/>
    </row>
    <row r="17652">
      <c r="N17652" s="1"/>
      <c r="V17652" s="5"/>
    </row>
    <row r="17653">
      <c r="N17653" s="1"/>
      <c r="V17653" s="5"/>
    </row>
    <row r="17654">
      <c r="N17654" s="1"/>
      <c r="V17654" s="5"/>
    </row>
    <row r="17655">
      <c r="N17655" s="1"/>
      <c r="V17655" s="5"/>
    </row>
    <row r="17656">
      <c r="N17656" s="1"/>
      <c r="V17656" s="5"/>
    </row>
    <row r="17657">
      <c r="N17657" s="1"/>
      <c r="V17657" s="5"/>
    </row>
    <row r="17658">
      <c r="N17658" s="1"/>
      <c r="V17658" s="5"/>
    </row>
    <row r="17659">
      <c r="N17659" s="1"/>
      <c r="V17659" s="5"/>
    </row>
    <row r="17660">
      <c r="N17660" s="1"/>
      <c r="V17660" s="5"/>
    </row>
    <row r="17661">
      <c r="N17661" s="1"/>
      <c r="V17661" s="5"/>
    </row>
    <row r="17662">
      <c r="N17662" s="1"/>
      <c r="V17662" s="5"/>
    </row>
    <row r="17663">
      <c r="N17663" s="1"/>
      <c r="V17663" s="5"/>
    </row>
    <row r="17664">
      <c r="N17664" s="1"/>
      <c r="V17664" s="5"/>
    </row>
    <row r="17665">
      <c r="N17665" s="1"/>
      <c r="V17665" s="5"/>
    </row>
    <row r="17666">
      <c r="N17666" s="1"/>
      <c r="V17666" s="5"/>
    </row>
    <row r="17667">
      <c r="N17667" s="1"/>
      <c r="V17667" s="5"/>
    </row>
    <row r="17668">
      <c r="N17668" s="1"/>
      <c r="V17668" s="5"/>
    </row>
    <row r="17669">
      <c r="N17669" s="1"/>
      <c r="V17669" s="5"/>
    </row>
    <row r="17670">
      <c r="N17670" s="1"/>
      <c r="V17670" s="5"/>
    </row>
    <row r="17671">
      <c r="N17671" s="1"/>
      <c r="V17671" s="5"/>
    </row>
    <row r="17672">
      <c r="N17672" s="1"/>
      <c r="V17672" s="5"/>
    </row>
    <row r="17673">
      <c r="N17673" s="1"/>
      <c r="V17673" s="5"/>
    </row>
    <row r="17674">
      <c r="N17674" s="1"/>
      <c r="V17674" s="5"/>
    </row>
    <row r="17675">
      <c r="N17675" s="1"/>
      <c r="V17675" s="5"/>
    </row>
    <row r="17676">
      <c r="N17676" s="1"/>
      <c r="V17676" s="5"/>
    </row>
    <row r="17677">
      <c r="N17677" s="1"/>
      <c r="V17677" s="5"/>
    </row>
    <row r="17678">
      <c r="N17678" s="1"/>
      <c r="V17678" s="5"/>
    </row>
    <row r="17679">
      <c r="N17679" s="1"/>
      <c r="V17679" s="5"/>
    </row>
    <row r="17680">
      <c r="N17680" s="1"/>
      <c r="V17680" s="5"/>
    </row>
    <row r="17681">
      <c r="N17681" s="1"/>
      <c r="V17681" s="5"/>
    </row>
    <row r="17682">
      <c r="N17682" s="1"/>
      <c r="V17682" s="5"/>
    </row>
    <row r="17683">
      <c r="N17683" s="1"/>
      <c r="V17683" s="5"/>
    </row>
    <row r="17684">
      <c r="N17684" s="1"/>
      <c r="V17684" s="5"/>
    </row>
    <row r="17685">
      <c r="N17685" s="1"/>
      <c r="V17685" s="5"/>
    </row>
    <row r="17686">
      <c r="N17686" s="1"/>
      <c r="V17686" s="5"/>
    </row>
    <row r="17687">
      <c r="N17687" s="1"/>
      <c r="V17687" s="5"/>
    </row>
    <row r="17688">
      <c r="N17688" s="1"/>
      <c r="V17688" s="5"/>
    </row>
    <row r="17689">
      <c r="N17689" s="1"/>
      <c r="V17689" s="5"/>
    </row>
    <row r="17690">
      <c r="N17690" s="1"/>
      <c r="V17690" s="5"/>
    </row>
    <row r="17691">
      <c r="N17691" s="1"/>
      <c r="V17691" s="5"/>
    </row>
    <row r="17692">
      <c r="N17692" s="1"/>
      <c r="V17692" s="5"/>
    </row>
    <row r="17693">
      <c r="N17693" s="1"/>
      <c r="V17693" s="5"/>
    </row>
    <row r="17694">
      <c r="N17694" s="1"/>
      <c r="V17694" s="5"/>
    </row>
    <row r="17695">
      <c r="N17695" s="1"/>
      <c r="V17695" s="5"/>
    </row>
    <row r="17696">
      <c r="N17696" s="1"/>
      <c r="V17696" s="5"/>
    </row>
    <row r="17697">
      <c r="N17697" s="1"/>
      <c r="V17697" s="5"/>
    </row>
    <row r="17698">
      <c r="N17698" s="1"/>
      <c r="V17698" s="5"/>
    </row>
    <row r="17699">
      <c r="N17699" s="1"/>
      <c r="V17699" s="5"/>
    </row>
    <row r="17700">
      <c r="N17700" s="1"/>
      <c r="V17700" s="5"/>
    </row>
    <row r="17701">
      <c r="N17701" s="1"/>
      <c r="V17701" s="5"/>
    </row>
    <row r="17702">
      <c r="N17702" s="1"/>
      <c r="V17702" s="5"/>
    </row>
    <row r="17703">
      <c r="N17703" s="1"/>
      <c r="V17703" s="5"/>
    </row>
    <row r="17704">
      <c r="N17704" s="1"/>
      <c r="V17704" s="5"/>
    </row>
    <row r="17705">
      <c r="N17705" s="1"/>
      <c r="V17705" s="5"/>
    </row>
    <row r="17706">
      <c r="N17706" s="1"/>
      <c r="V17706" s="5"/>
    </row>
    <row r="17707">
      <c r="N17707" s="1"/>
      <c r="V17707" s="5"/>
    </row>
    <row r="17708">
      <c r="N17708" s="1"/>
      <c r="V17708" s="5"/>
    </row>
    <row r="17709">
      <c r="N17709" s="1"/>
      <c r="V17709" s="5"/>
    </row>
    <row r="17710">
      <c r="N17710" s="1"/>
      <c r="V17710" s="5"/>
    </row>
    <row r="17711">
      <c r="N17711" s="1"/>
      <c r="V17711" s="5"/>
    </row>
    <row r="17712">
      <c r="N17712" s="1"/>
      <c r="V17712" s="5"/>
    </row>
    <row r="17713">
      <c r="N17713" s="1"/>
      <c r="V17713" s="5"/>
    </row>
    <row r="17714">
      <c r="N17714" s="1"/>
      <c r="V17714" s="5"/>
    </row>
    <row r="17715">
      <c r="N17715" s="1"/>
      <c r="V17715" s="5"/>
    </row>
    <row r="17716">
      <c r="N17716" s="1"/>
      <c r="V17716" s="5"/>
    </row>
    <row r="17717">
      <c r="N17717" s="1"/>
      <c r="V17717" s="5"/>
    </row>
    <row r="17718">
      <c r="N17718" s="1"/>
      <c r="V17718" s="5"/>
    </row>
    <row r="17719">
      <c r="N17719" s="1"/>
      <c r="V17719" s="5"/>
    </row>
    <row r="17720">
      <c r="N17720" s="1"/>
      <c r="V17720" s="5"/>
    </row>
    <row r="17721">
      <c r="N17721" s="1"/>
      <c r="V17721" s="5"/>
    </row>
    <row r="17722">
      <c r="N17722" s="1"/>
      <c r="V17722" s="5"/>
    </row>
    <row r="17723">
      <c r="N17723" s="1"/>
      <c r="V17723" s="5"/>
    </row>
    <row r="17724">
      <c r="N17724" s="1"/>
      <c r="V17724" s="5"/>
    </row>
    <row r="17725">
      <c r="N17725" s="1"/>
      <c r="V17725" s="5"/>
    </row>
    <row r="17726">
      <c r="N17726" s="1"/>
      <c r="V17726" s="5"/>
    </row>
    <row r="17727">
      <c r="N17727" s="1"/>
      <c r="V17727" s="5"/>
    </row>
    <row r="17728">
      <c r="N17728" s="1"/>
      <c r="V17728" s="5"/>
    </row>
    <row r="17729">
      <c r="N17729" s="1"/>
      <c r="V17729" s="5"/>
    </row>
    <row r="17730">
      <c r="N17730" s="1"/>
      <c r="V17730" s="5"/>
    </row>
    <row r="17731">
      <c r="N17731" s="1"/>
      <c r="V17731" s="5"/>
    </row>
    <row r="17732">
      <c r="N17732" s="1"/>
      <c r="V17732" s="5"/>
    </row>
    <row r="17733">
      <c r="N17733" s="1"/>
      <c r="V17733" s="5"/>
    </row>
    <row r="17734">
      <c r="N17734" s="1"/>
      <c r="V17734" s="5"/>
    </row>
    <row r="17735">
      <c r="N17735" s="1"/>
      <c r="V17735" s="5"/>
    </row>
    <row r="17736">
      <c r="N17736" s="1"/>
      <c r="V17736" s="5"/>
    </row>
    <row r="17737">
      <c r="N17737" s="1"/>
      <c r="V17737" s="5"/>
    </row>
    <row r="17738">
      <c r="N17738" s="1"/>
      <c r="V17738" s="5"/>
    </row>
    <row r="17739">
      <c r="N17739" s="1"/>
      <c r="V17739" s="5"/>
    </row>
    <row r="17740">
      <c r="N17740" s="1"/>
      <c r="V17740" s="5"/>
    </row>
    <row r="17741">
      <c r="N17741" s="1"/>
      <c r="V17741" s="5"/>
    </row>
    <row r="17742">
      <c r="N17742" s="1"/>
      <c r="V17742" s="5"/>
    </row>
    <row r="17743">
      <c r="N17743" s="1"/>
      <c r="V17743" s="5"/>
    </row>
    <row r="17744">
      <c r="N17744" s="1"/>
      <c r="V17744" s="5"/>
    </row>
    <row r="17745">
      <c r="N17745" s="1"/>
      <c r="V17745" s="5"/>
    </row>
    <row r="17746">
      <c r="N17746" s="1"/>
      <c r="V17746" s="5"/>
    </row>
    <row r="17747">
      <c r="N17747" s="1"/>
      <c r="V17747" s="5"/>
    </row>
    <row r="17748">
      <c r="N17748" s="1"/>
      <c r="V17748" s="5"/>
    </row>
    <row r="17749">
      <c r="N17749" s="1"/>
      <c r="V17749" s="5"/>
    </row>
    <row r="17750">
      <c r="N17750" s="1"/>
      <c r="V17750" s="5"/>
    </row>
    <row r="17751">
      <c r="N17751" s="1"/>
      <c r="V17751" s="5"/>
    </row>
    <row r="17752">
      <c r="N17752" s="1"/>
      <c r="V17752" s="5"/>
    </row>
    <row r="17753">
      <c r="N17753" s="1"/>
      <c r="V17753" s="5"/>
    </row>
    <row r="17754">
      <c r="N17754" s="1"/>
      <c r="V17754" s="5"/>
    </row>
    <row r="17755">
      <c r="N17755" s="1"/>
      <c r="V17755" s="5"/>
    </row>
    <row r="17756">
      <c r="N17756" s="1"/>
      <c r="V17756" s="5"/>
    </row>
    <row r="17757">
      <c r="N17757" s="1"/>
      <c r="V17757" s="5"/>
    </row>
    <row r="17758">
      <c r="N17758" s="1"/>
      <c r="V17758" s="5"/>
    </row>
    <row r="17759">
      <c r="N17759" s="1"/>
      <c r="V17759" s="5"/>
    </row>
    <row r="17760">
      <c r="N17760" s="1"/>
      <c r="V17760" s="5"/>
    </row>
    <row r="17761">
      <c r="N17761" s="1"/>
      <c r="V17761" s="5"/>
    </row>
    <row r="17762">
      <c r="N17762" s="1"/>
      <c r="V17762" s="5"/>
    </row>
    <row r="17763">
      <c r="N17763" s="1"/>
      <c r="V17763" s="5"/>
    </row>
    <row r="17764">
      <c r="N17764" s="1"/>
      <c r="V17764" s="5"/>
    </row>
    <row r="17765">
      <c r="N17765" s="1"/>
      <c r="V17765" s="5"/>
    </row>
    <row r="17766">
      <c r="N17766" s="1"/>
      <c r="V17766" s="5"/>
    </row>
    <row r="17767">
      <c r="N17767" s="1"/>
      <c r="V17767" s="5"/>
    </row>
    <row r="17768">
      <c r="N17768" s="1"/>
      <c r="V17768" s="5"/>
    </row>
    <row r="17769">
      <c r="N17769" s="1"/>
      <c r="V17769" s="5"/>
    </row>
    <row r="17770">
      <c r="N17770" s="1"/>
      <c r="V17770" s="5"/>
    </row>
    <row r="17771">
      <c r="N17771" s="1"/>
      <c r="V17771" s="5"/>
    </row>
    <row r="17772">
      <c r="N17772" s="1"/>
      <c r="V17772" s="5"/>
    </row>
    <row r="17773">
      <c r="N17773" s="1"/>
      <c r="V17773" s="5"/>
    </row>
    <row r="17774">
      <c r="N17774" s="1"/>
      <c r="V17774" s="5"/>
    </row>
    <row r="17775">
      <c r="N17775" s="1"/>
      <c r="V17775" s="5"/>
    </row>
    <row r="17776">
      <c r="N17776" s="1"/>
      <c r="V17776" s="5"/>
    </row>
    <row r="17777">
      <c r="N17777" s="1"/>
      <c r="V17777" s="5"/>
    </row>
    <row r="17778">
      <c r="N17778" s="1"/>
      <c r="V17778" s="5"/>
    </row>
    <row r="17779">
      <c r="N17779" s="1"/>
      <c r="V17779" s="5"/>
    </row>
    <row r="17780">
      <c r="N17780" s="1"/>
      <c r="V17780" s="5"/>
    </row>
    <row r="17781">
      <c r="N17781" s="1"/>
      <c r="V17781" s="5"/>
    </row>
    <row r="17782">
      <c r="N17782" s="1"/>
      <c r="V17782" s="5"/>
    </row>
    <row r="17783">
      <c r="N17783" s="1"/>
      <c r="V17783" s="5"/>
    </row>
    <row r="17784">
      <c r="N17784" s="1"/>
      <c r="V17784" s="5"/>
    </row>
    <row r="17785">
      <c r="N17785" s="1"/>
      <c r="V17785" s="5"/>
    </row>
    <row r="17786">
      <c r="N17786" s="1"/>
      <c r="V17786" s="5"/>
    </row>
    <row r="17787">
      <c r="N17787" s="1"/>
      <c r="V17787" s="5"/>
    </row>
    <row r="17788">
      <c r="N17788" s="1"/>
      <c r="V17788" s="5"/>
    </row>
    <row r="17789">
      <c r="N17789" s="1"/>
      <c r="V17789" s="5"/>
    </row>
    <row r="17790">
      <c r="N17790" s="1"/>
      <c r="V17790" s="5"/>
    </row>
    <row r="17791">
      <c r="N17791" s="1"/>
      <c r="V17791" s="5"/>
    </row>
    <row r="17792">
      <c r="N17792" s="1"/>
      <c r="V17792" s="5"/>
    </row>
    <row r="17793">
      <c r="N17793" s="1"/>
      <c r="V17793" s="5"/>
    </row>
    <row r="17794">
      <c r="N17794" s="1"/>
      <c r="V17794" s="5"/>
    </row>
    <row r="17795">
      <c r="N17795" s="1"/>
      <c r="V17795" s="5"/>
    </row>
    <row r="17796">
      <c r="N17796" s="1"/>
      <c r="V17796" s="5"/>
    </row>
    <row r="17797">
      <c r="N17797" s="1"/>
      <c r="V17797" s="5"/>
    </row>
    <row r="17798">
      <c r="N17798" s="1"/>
      <c r="V17798" s="5"/>
    </row>
    <row r="17799">
      <c r="N17799" s="1"/>
      <c r="V17799" s="5"/>
    </row>
    <row r="17800">
      <c r="N17800" s="1"/>
      <c r="V17800" s="5"/>
    </row>
    <row r="17801">
      <c r="N17801" s="1"/>
      <c r="V17801" s="5"/>
    </row>
    <row r="17802">
      <c r="N17802" s="1"/>
      <c r="V17802" s="5"/>
    </row>
    <row r="17803">
      <c r="N17803" s="1"/>
      <c r="V17803" s="5"/>
    </row>
    <row r="17804">
      <c r="N17804" s="1"/>
      <c r="V17804" s="5"/>
    </row>
    <row r="17805">
      <c r="N17805" s="1"/>
      <c r="V17805" s="5"/>
    </row>
    <row r="17806">
      <c r="N17806" s="1"/>
      <c r="V17806" s="5"/>
    </row>
    <row r="17807">
      <c r="N17807" s="1"/>
      <c r="V17807" s="5"/>
    </row>
    <row r="17808">
      <c r="N17808" s="1"/>
      <c r="V17808" s="5"/>
    </row>
    <row r="17809">
      <c r="N17809" s="1"/>
      <c r="V17809" s="5"/>
    </row>
    <row r="17810">
      <c r="N17810" s="1"/>
      <c r="V17810" s="5"/>
    </row>
    <row r="17811">
      <c r="N17811" s="1"/>
      <c r="V17811" s="5"/>
    </row>
    <row r="17812">
      <c r="N17812" s="1"/>
      <c r="V17812" s="5"/>
    </row>
    <row r="17813">
      <c r="N17813" s="1"/>
      <c r="V17813" s="5"/>
    </row>
    <row r="17814">
      <c r="N17814" s="1"/>
      <c r="V17814" s="5"/>
    </row>
    <row r="17815">
      <c r="N17815" s="1"/>
      <c r="V17815" s="5"/>
    </row>
    <row r="17816">
      <c r="N17816" s="1"/>
      <c r="V17816" s="5"/>
    </row>
    <row r="17817">
      <c r="N17817" s="1"/>
      <c r="V17817" s="5"/>
    </row>
    <row r="17818">
      <c r="N17818" s="1"/>
      <c r="V17818" s="5"/>
    </row>
    <row r="17819">
      <c r="N17819" s="1"/>
      <c r="V17819" s="5"/>
    </row>
    <row r="17820">
      <c r="N17820" s="1"/>
      <c r="V17820" s="5"/>
    </row>
    <row r="17821">
      <c r="N17821" s="1"/>
      <c r="V17821" s="5"/>
    </row>
    <row r="17822">
      <c r="N17822" s="1"/>
      <c r="V17822" s="5"/>
    </row>
    <row r="17823">
      <c r="N17823" s="1"/>
      <c r="V17823" s="5"/>
    </row>
    <row r="17824">
      <c r="N17824" s="1"/>
      <c r="V17824" s="5"/>
    </row>
    <row r="17825">
      <c r="N17825" s="1"/>
      <c r="V17825" s="5"/>
    </row>
    <row r="17826">
      <c r="N17826" s="1"/>
      <c r="V17826" s="5"/>
    </row>
    <row r="17827">
      <c r="N17827" s="1"/>
      <c r="V17827" s="5"/>
    </row>
    <row r="17828">
      <c r="N17828" s="1"/>
      <c r="V17828" s="5"/>
    </row>
    <row r="17829">
      <c r="N17829" s="1"/>
      <c r="V17829" s="5"/>
    </row>
    <row r="17830">
      <c r="N17830" s="1"/>
      <c r="V17830" s="5"/>
    </row>
    <row r="17831">
      <c r="N17831" s="1"/>
      <c r="V17831" s="5"/>
    </row>
    <row r="17832">
      <c r="N17832" s="1"/>
      <c r="V17832" s="5"/>
    </row>
    <row r="17833">
      <c r="N17833" s="1"/>
      <c r="V17833" s="5"/>
    </row>
    <row r="17834">
      <c r="N17834" s="1"/>
      <c r="V17834" s="5"/>
    </row>
    <row r="17835">
      <c r="N17835" s="1"/>
      <c r="V17835" s="5"/>
    </row>
    <row r="17836">
      <c r="N17836" s="1"/>
      <c r="V17836" s="5"/>
    </row>
    <row r="17837">
      <c r="N17837" s="1"/>
      <c r="V17837" s="5"/>
    </row>
    <row r="17838">
      <c r="N17838" s="1"/>
      <c r="V17838" s="5"/>
    </row>
    <row r="17839">
      <c r="N17839" s="1"/>
      <c r="V17839" s="5"/>
    </row>
    <row r="17840">
      <c r="N17840" s="1"/>
      <c r="V17840" s="5"/>
    </row>
    <row r="17841">
      <c r="N17841" s="1"/>
      <c r="V17841" s="5"/>
    </row>
    <row r="17842">
      <c r="N17842" s="1"/>
      <c r="V17842" s="5"/>
    </row>
    <row r="17843">
      <c r="N17843" s="1"/>
      <c r="V17843" s="5"/>
    </row>
    <row r="17844">
      <c r="N17844" s="1"/>
      <c r="V17844" s="5"/>
    </row>
    <row r="17845">
      <c r="N17845" s="1"/>
      <c r="V17845" s="5"/>
    </row>
    <row r="17846">
      <c r="N17846" s="1"/>
      <c r="V17846" s="5"/>
    </row>
    <row r="17847">
      <c r="N17847" s="1"/>
      <c r="V17847" s="5"/>
    </row>
    <row r="17848">
      <c r="N17848" s="1"/>
      <c r="V17848" s="5"/>
    </row>
    <row r="17849">
      <c r="N17849" s="1"/>
      <c r="V17849" s="5"/>
    </row>
    <row r="17850">
      <c r="N17850" s="1"/>
      <c r="V17850" s="5"/>
    </row>
    <row r="17851">
      <c r="N17851" s="1"/>
      <c r="V17851" s="5"/>
    </row>
    <row r="17852">
      <c r="N17852" s="1"/>
      <c r="V17852" s="5"/>
    </row>
    <row r="17853">
      <c r="N17853" s="1"/>
      <c r="V17853" s="5"/>
    </row>
    <row r="17854">
      <c r="N17854" s="1"/>
      <c r="V17854" s="5"/>
    </row>
    <row r="17855">
      <c r="N17855" s="1"/>
      <c r="V17855" s="5"/>
    </row>
    <row r="17856">
      <c r="N17856" s="1"/>
      <c r="V17856" s="5"/>
    </row>
    <row r="17857">
      <c r="N17857" s="1"/>
      <c r="V17857" s="5"/>
    </row>
    <row r="17858">
      <c r="N17858" s="1"/>
      <c r="V17858" s="5"/>
    </row>
    <row r="17859">
      <c r="N17859" s="1"/>
      <c r="V17859" s="5"/>
    </row>
    <row r="17860">
      <c r="N17860" s="1"/>
      <c r="V17860" s="5"/>
    </row>
    <row r="17861">
      <c r="N17861" s="1"/>
      <c r="V17861" s="5"/>
    </row>
    <row r="17862">
      <c r="N17862" s="1"/>
      <c r="V17862" s="5"/>
    </row>
    <row r="17863">
      <c r="N17863" s="1"/>
      <c r="V17863" s="5"/>
    </row>
    <row r="17864">
      <c r="N17864" s="1"/>
      <c r="V17864" s="5"/>
    </row>
    <row r="17865">
      <c r="N17865" s="1"/>
      <c r="V17865" s="5"/>
    </row>
    <row r="17866">
      <c r="N17866" s="1"/>
      <c r="V17866" s="5"/>
    </row>
    <row r="17867">
      <c r="N17867" s="1"/>
      <c r="V17867" s="5"/>
    </row>
    <row r="17868">
      <c r="N17868" s="1"/>
      <c r="V17868" s="5"/>
    </row>
    <row r="17869">
      <c r="N17869" s="1"/>
      <c r="V17869" s="5"/>
    </row>
    <row r="17870">
      <c r="N17870" s="1"/>
      <c r="V17870" s="5"/>
    </row>
    <row r="17871">
      <c r="N17871" s="1"/>
      <c r="V17871" s="5"/>
    </row>
    <row r="17872">
      <c r="N17872" s="1"/>
      <c r="V17872" s="5"/>
    </row>
    <row r="17873">
      <c r="N17873" s="1"/>
      <c r="V17873" s="5"/>
    </row>
    <row r="17874">
      <c r="N17874" s="1"/>
      <c r="V17874" s="5"/>
    </row>
    <row r="17875">
      <c r="N17875" s="1"/>
      <c r="V17875" s="5"/>
    </row>
    <row r="17876">
      <c r="N17876" s="1"/>
      <c r="V17876" s="5"/>
    </row>
    <row r="17877">
      <c r="N17877" s="1"/>
      <c r="V17877" s="5"/>
    </row>
    <row r="17878">
      <c r="N17878" s="1"/>
      <c r="V17878" s="5"/>
    </row>
    <row r="17879">
      <c r="N17879" s="1"/>
      <c r="V17879" s="5"/>
    </row>
    <row r="17880">
      <c r="N17880" s="1"/>
      <c r="V17880" s="5"/>
    </row>
    <row r="17881">
      <c r="N17881" s="1"/>
      <c r="V17881" s="5"/>
    </row>
    <row r="17882">
      <c r="N17882" s="1"/>
      <c r="V17882" s="5"/>
    </row>
    <row r="17883">
      <c r="N17883" s="1"/>
      <c r="V17883" s="5"/>
    </row>
    <row r="17884">
      <c r="N17884" s="1"/>
      <c r="V17884" s="5"/>
    </row>
    <row r="17885">
      <c r="N17885" s="1"/>
      <c r="V17885" s="5"/>
    </row>
    <row r="17886">
      <c r="N17886" s="1"/>
      <c r="V17886" s="5"/>
    </row>
    <row r="17887">
      <c r="N17887" s="1"/>
      <c r="V17887" s="5"/>
    </row>
    <row r="17888">
      <c r="N17888" s="1"/>
      <c r="V17888" s="5"/>
    </row>
    <row r="17889">
      <c r="N17889" s="1"/>
      <c r="V17889" s="5"/>
    </row>
    <row r="17890">
      <c r="N17890" s="1"/>
      <c r="V17890" s="5"/>
    </row>
    <row r="17891">
      <c r="N17891" s="1"/>
      <c r="V17891" s="5"/>
    </row>
    <row r="17892">
      <c r="N17892" s="1"/>
      <c r="V17892" s="5"/>
    </row>
    <row r="17893">
      <c r="N17893" s="1"/>
      <c r="V17893" s="5"/>
    </row>
    <row r="17894">
      <c r="N17894" s="1"/>
      <c r="V17894" s="5"/>
    </row>
    <row r="17895">
      <c r="N17895" s="1"/>
      <c r="V17895" s="5"/>
    </row>
    <row r="17896">
      <c r="N17896" s="1"/>
      <c r="V17896" s="5"/>
    </row>
    <row r="17897">
      <c r="N17897" s="1"/>
      <c r="V17897" s="5"/>
    </row>
    <row r="17898">
      <c r="N17898" s="1"/>
      <c r="V17898" s="5"/>
    </row>
    <row r="17899">
      <c r="N17899" s="1"/>
      <c r="V17899" s="5"/>
    </row>
    <row r="17900">
      <c r="N17900" s="1"/>
      <c r="V17900" s="5"/>
    </row>
    <row r="17901">
      <c r="N17901" s="1"/>
      <c r="V17901" s="5"/>
    </row>
    <row r="17902">
      <c r="N17902" s="1"/>
      <c r="V17902" s="5"/>
    </row>
    <row r="17903">
      <c r="N17903" s="1"/>
      <c r="V17903" s="5"/>
    </row>
    <row r="17904">
      <c r="N17904" s="1"/>
      <c r="V17904" s="5"/>
    </row>
    <row r="17905">
      <c r="N17905" s="1"/>
      <c r="V17905" s="5"/>
    </row>
    <row r="17906">
      <c r="N17906" s="1"/>
      <c r="V17906" s="5"/>
    </row>
    <row r="17907">
      <c r="N17907" s="1"/>
      <c r="V17907" s="5"/>
    </row>
    <row r="17908">
      <c r="N17908" s="1"/>
      <c r="V17908" s="5"/>
    </row>
    <row r="17909">
      <c r="N17909" s="1"/>
      <c r="V17909" s="5"/>
    </row>
    <row r="17910">
      <c r="N17910" s="1"/>
      <c r="V17910" s="5"/>
    </row>
    <row r="17911">
      <c r="N17911" s="1"/>
      <c r="V17911" s="5"/>
    </row>
    <row r="17912">
      <c r="N17912" s="1"/>
      <c r="V17912" s="5"/>
    </row>
    <row r="17913">
      <c r="N17913" s="1"/>
      <c r="V17913" s="5"/>
    </row>
    <row r="17914">
      <c r="N17914" s="1"/>
      <c r="V17914" s="5"/>
    </row>
    <row r="17915">
      <c r="N17915" s="1"/>
      <c r="V17915" s="5"/>
    </row>
    <row r="17916">
      <c r="N17916" s="1"/>
      <c r="V17916" s="5"/>
    </row>
    <row r="17917">
      <c r="N17917" s="1"/>
      <c r="V17917" s="5"/>
    </row>
    <row r="17918">
      <c r="N17918" s="1"/>
      <c r="V17918" s="5"/>
    </row>
    <row r="17919">
      <c r="N17919" s="1"/>
      <c r="V17919" s="5"/>
    </row>
    <row r="17920">
      <c r="N17920" s="1"/>
      <c r="V17920" s="5"/>
    </row>
    <row r="17921">
      <c r="N17921" s="1"/>
      <c r="V17921" s="5"/>
    </row>
    <row r="17922">
      <c r="N17922" s="1"/>
      <c r="V17922" s="5"/>
    </row>
    <row r="17923">
      <c r="N17923" s="1"/>
      <c r="V17923" s="5"/>
    </row>
    <row r="17924">
      <c r="N17924" s="1"/>
      <c r="V17924" s="5"/>
    </row>
    <row r="17925">
      <c r="N17925" s="1"/>
      <c r="V17925" s="5"/>
    </row>
    <row r="17926">
      <c r="N17926" s="1"/>
      <c r="V17926" s="5"/>
    </row>
    <row r="17927">
      <c r="N17927" s="1"/>
      <c r="V17927" s="5"/>
    </row>
    <row r="17928">
      <c r="N17928" s="1"/>
      <c r="V17928" s="5"/>
    </row>
    <row r="17929">
      <c r="N17929" s="1"/>
      <c r="V17929" s="5"/>
    </row>
    <row r="17930">
      <c r="N17930" s="1"/>
      <c r="V17930" s="5"/>
    </row>
    <row r="17931">
      <c r="N17931" s="1"/>
      <c r="V17931" s="5"/>
    </row>
    <row r="17932">
      <c r="N17932" s="1"/>
      <c r="V17932" s="5"/>
    </row>
    <row r="17933">
      <c r="N17933" s="1"/>
      <c r="V17933" s="5"/>
    </row>
    <row r="17934">
      <c r="N17934" s="1"/>
      <c r="V17934" s="5"/>
    </row>
    <row r="17935">
      <c r="N17935" s="1"/>
      <c r="V17935" s="5"/>
    </row>
    <row r="17936">
      <c r="N17936" s="1"/>
      <c r="V17936" s="5"/>
    </row>
    <row r="17937">
      <c r="N17937" s="1"/>
      <c r="V17937" s="5"/>
    </row>
    <row r="17938">
      <c r="N17938" s="1"/>
      <c r="V17938" s="5"/>
    </row>
    <row r="17939">
      <c r="N17939" s="1"/>
      <c r="V17939" s="5"/>
    </row>
    <row r="17940">
      <c r="N17940" s="1"/>
      <c r="V17940" s="5"/>
    </row>
    <row r="17941">
      <c r="N17941" s="1"/>
      <c r="V17941" s="5"/>
    </row>
    <row r="17942">
      <c r="N17942" s="1"/>
      <c r="V17942" s="5"/>
    </row>
    <row r="17943">
      <c r="N17943" s="1"/>
      <c r="V17943" s="5"/>
    </row>
    <row r="17944">
      <c r="N17944" s="1"/>
      <c r="V17944" s="5"/>
    </row>
    <row r="17945">
      <c r="N17945" s="1"/>
      <c r="V17945" s="5"/>
    </row>
    <row r="17946">
      <c r="N17946" s="1"/>
      <c r="V17946" s="5"/>
    </row>
    <row r="17947">
      <c r="N17947" s="1"/>
      <c r="V17947" s="5"/>
    </row>
    <row r="17948">
      <c r="N17948" s="1"/>
      <c r="V17948" s="5"/>
    </row>
    <row r="17949">
      <c r="N17949" s="1"/>
      <c r="V17949" s="5"/>
    </row>
    <row r="17950">
      <c r="N17950" s="1"/>
      <c r="V17950" s="5"/>
    </row>
    <row r="17951">
      <c r="N17951" s="1"/>
      <c r="V17951" s="5"/>
    </row>
    <row r="17952">
      <c r="N17952" s="1"/>
      <c r="V17952" s="5"/>
    </row>
    <row r="17953">
      <c r="N17953" s="1"/>
      <c r="V17953" s="5"/>
    </row>
    <row r="17954">
      <c r="N17954" s="1"/>
      <c r="V17954" s="5"/>
    </row>
    <row r="17955">
      <c r="N17955" s="1"/>
      <c r="V17955" s="5"/>
    </row>
    <row r="17956">
      <c r="N17956" s="1"/>
      <c r="V17956" s="5"/>
    </row>
    <row r="17957">
      <c r="N17957" s="1"/>
      <c r="V17957" s="5"/>
    </row>
    <row r="17958">
      <c r="N17958" s="1"/>
      <c r="V17958" s="5"/>
    </row>
    <row r="17959">
      <c r="N17959" s="1"/>
      <c r="V17959" s="5"/>
    </row>
    <row r="17960">
      <c r="N17960" s="1"/>
      <c r="V17960" s="5"/>
    </row>
    <row r="17961">
      <c r="N17961" s="1"/>
      <c r="V17961" s="5"/>
    </row>
    <row r="17962">
      <c r="N17962" s="1"/>
      <c r="V17962" s="5"/>
    </row>
    <row r="17963">
      <c r="N17963" s="1"/>
      <c r="V17963" s="5"/>
    </row>
    <row r="17964">
      <c r="N17964" s="1"/>
      <c r="V17964" s="5"/>
    </row>
    <row r="17965">
      <c r="N17965" s="1"/>
      <c r="V17965" s="5"/>
    </row>
    <row r="17966">
      <c r="N17966" s="1"/>
      <c r="V17966" s="5"/>
    </row>
    <row r="17967">
      <c r="N17967" s="1"/>
      <c r="V17967" s="5"/>
    </row>
    <row r="17968">
      <c r="N17968" s="1"/>
      <c r="V17968" s="5"/>
    </row>
    <row r="17969">
      <c r="N17969" s="1"/>
      <c r="V17969" s="5"/>
    </row>
    <row r="17970">
      <c r="N17970" s="1"/>
      <c r="V17970" s="5"/>
    </row>
    <row r="17971">
      <c r="N17971" s="1"/>
      <c r="V17971" s="5"/>
    </row>
    <row r="17972">
      <c r="N17972" s="1"/>
      <c r="V17972" s="5"/>
    </row>
    <row r="17973">
      <c r="N17973" s="1"/>
      <c r="V17973" s="5"/>
    </row>
    <row r="17974">
      <c r="N17974" s="1"/>
      <c r="V17974" s="5"/>
    </row>
    <row r="17975">
      <c r="N17975" s="1"/>
      <c r="V17975" s="5"/>
    </row>
    <row r="17976">
      <c r="N17976" s="1"/>
      <c r="V17976" s="5"/>
    </row>
    <row r="17977">
      <c r="N17977" s="1"/>
      <c r="V17977" s="5"/>
    </row>
    <row r="17978">
      <c r="N17978" s="1"/>
      <c r="V17978" s="5"/>
    </row>
    <row r="17979">
      <c r="N17979" s="1"/>
      <c r="V17979" s="5"/>
    </row>
    <row r="17980">
      <c r="N17980" s="1"/>
      <c r="V17980" s="5"/>
    </row>
    <row r="17981">
      <c r="N17981" s="1"/>
      <c r="V17981" s="5"/>
    </row>
    <row r="17982">
      <c r="N17982" s="1"/>
      <c r="V17982" s="5"/>
    </row>
    <row r="17983">
      <c r="N17983" s="1"/>
      <c r="V17983" s="5"/>
    </row>
    <row r="17984">
      <c r="N17984" s="1"/>
      <c r="V17984" s="5"/>
    </row>
    <row r="17985">
      <c r="N17985" s="1"/>
      <c r="V17985" s="5"/>
    </row>
    <row r="17986">
      <c r="N17986" s="1"/>
      <c r="V17986" s="5"/>
    </row>
    <row r="17987">
      <c r="N17987" s="1"/>
      <c r="V17987" s="5"/>
    </row>
    <row r="17988">
      <c r="N17988" s="1"/>
      <c r="V17988" s="5"/>
    </row>
    <row r="17989">
      <c r="N17989" s="1"/>
      <c r="V17989" s="5"/>
    </row>
    <row r="17990">
      <c r="N17990" s="1"/>
      <c r="V17990" s="5"/>
    </row>
    <row r="17991">
      <c r="N17991" s="1"/>
      <c r="V17991" s="5"/>
    </row>
    <row r="17992">
      <c r="N17992" s="1"/>
      <c r="V17992" s="5"/>
    </row>
    <row r="17993">
      <c r="N17993" s="1"/>
      <c r="V17993" s="5"/>
    </row>
    <row r="17994">
      <c r="N17994" s="1"/>
      <c r="V17994" s="5"/>
    </row>
    <row r="17995">
      <c r="N17995" s="1"/>
      <c r="V17995" s="5"/>
    </row>
    <row r="17996">
      <c r="N17996" s="1"/>
      <c r="V17996" s="5"/>
    </row>
    <row r="17997">
      <c r="N17997" s="1"/>
      <c r="V17997" s="5"/>
    </row>
    <row r="17998">
      <c r="N17998" s="1"/>
      <c r="V17998" s="5"/>
    </row>
    <row r="17999">
      <c r="N17999" s="1"/>
      <c r="V17999" s="5"/>
    </row>
    <row r="18000">
      <c r="N18000" s="1"/>
      <c r="V18000" s="5"/>
    </row>
    <row r="18001">
      <c r="N18001" s="1"/>
      <c r="V18001" s="5"/>
    </row>
    <row r="18002">
      <c r="N18002" s="1"/>
      <c r="V18002" s="5"/>
    </row>
    <row r="18003">
      <c r="N18003" s="1"/>
      <c r="V18003" s="5"/>
    </row>
    <row r="18004">
      <c r="N18004" s="1"/>
      <c r="V18004" s="5"/>
    </row>
    <row r="18005">
      <c r="N18005" s="1"/>
      <c r="V18005" s="5"/>
    </row>
    <row r="18006">
      <c r="N18006" s="1"/>
      <c r="V18006" s="5"/>
    </row>
    <row r="18007">
      <c r="N18007" s="1"/>
      <c r="V18007" s="5"/>
    </row>
    <row r="18008">
      <c r="N18008" s="1"/>
      <c r="V18008" s="5"/>
    </row>
    <row r="18009">
      <c r="N18009" s="1"/>
      <c r="V18009" s="5"/>
    </row>
    <row r="18010">
      <c r="N18010" s="1"/>
      <c r="V18010" s="5"/>
    </row>
    <row r="18011">
      <c r="N18011" s="1"/>
      <c r="V18011" s="5"/>
    </row>
    <row r="18012">
      <c r="N18012" s="1"/>
      <c r="V18012" s="5"/>
    </row>
    <row r="18013">
      <c r="N18013" s="1"/>
      <c r="V18013" s="5"/>
    </row>
    <row r="18014">
      <c r="N18014" s="1"/>
      <c r="V18014" s="5"/>
    </row>
    <row r="18015">
      <c r="N18015" s="1"/>
      <c r="V18015" s="5"/>
    </row>
    <row r="18016">
      <c r="N18016" s="1"/>
      <c r="V18016" s="5"/>
    </row>
    <row r="18017">
      <c r="N18017" s="1"/>
      <c r="V18017" s="5"/>
    </row>
    <row r="18018">
      <c r="N18018" s="1"/>
      <c r="V18018" s="5"/>
    </row>
    <row r="18019">
      <c r="N18019" s="1"/>
      <c r="V18019" s="5"/>
    </row>
    <row r="18020">
      <c r="N18020" s="1"/>
      <c r="V18020" s="5"/>
    </row>
    <row r="18021">
      <c r="N18021" s="1"/>
      <c r="V18021" s="5"/>
    </row>
    <row r="18022">
      <c r="N18022" s="1"/>
      <c r="V18022" s="5"/>
    </row>
    <row r="18023">
      <c r="N18023" s="1"/>
      <c r="V18023" s="5"/>
    </row>
    <row r="18024">
      <c r="N18024" s="1"/>
      <c r="V18024" s="5"/>
    </row>
    <row r="18025">
      <c r="N18025" s="1"/>
      <c r="V18025" s="5"/>
    </row>
    <row r="18026">
      <c r="N18026" s="1"/>
      <c r="V18026" s="5"/>
    </row>
    <row r="18027">
      <c r="N18027" s="1"/>
      <c r="V18027" s="5"/>
    </row>
    <row r="18028">
      <c r="N18028" s="1"/>
      <c r="V18028" s="5"/>
    </row>
    <row r="18029">
      <c r="N18029" s="1"/>
      <c r="V18029" s="5"/>
    </row>
    <row r="18030">
      <c r="N18030" s="1"/>
      <c r="V18030" s="5"/>
    </row>
    <row r="18031">
      <c r="N18031" s="1"/>
      <c r="V18031" s="5"/>
    </row>
    <row r="18032">
      <c r="N18032" s="1"/>
      <c r="V18032" s="5"/>
    </row>
    <row r="18033">
      <c r="N18033" s="1"/>
      <c r="V18033" s="5"/>
    </row>
    <row r="18034">
      <c r="N18034" s="1"/>
      <c r="V18034" s="5"/>
    </row>
    <row r="18035">
      <c r="N18035" s="1"/>
      <c r="V18035" s="5"/>
    </row>
    <row r="18036">
      <c r="N18036" s="1"/>
      <c r="V18036" s="5"/>
    </row>
    <row r="18037">
      <c r="N18037" s="1"/>
      <c r="V18037" s="5"/>
    </row>
    <row r="18038">
      <c r="N18038" s="1"/>
      <c r="V18038" s="5"/>
    </row>
    <row r="18039">
      <c r="N18039" s="1"/>
      <c r="V18039" s="5"/>
    </row>
    <row r="18040">
      <c r="N18040" s="1"/>
      <c r="V18040" s="5"/>
    </row>
    <row r="18041">
      <c r="N18041" s="1"/>
      <c r="V18041" s="5"/>
    </row>
    <row r="18042">
      <c r="N18042" s="1"/>
      <c r="V18042" s="5"/>
    </row>
    <row r="18043">
      <c r="N18043" s="1"/>
      <c r="V18043" s="5"/>
    </row>
    <row r="18044">
      <c r="N18044" s="1"/>
      <c r="V18044" s="5"/>
    </row>
    <row r="18045">
      <c r="N18045" s="1"/>
      <c r="V18045" s="5"/>
    </row>
    <row r="18046">
      <c r="N18046" s="1"/>
      <c r="V18046" s="5"/>
    </row>
    <row r="18047">
      <c r="N18047" s="1"/>
      <c r="V18047" s="5"/>
    </row>
    <row r="18048">
      <c r="N18048" s="1"/>
      <c r="V18048" s="5"/>
    </row>
    <row r="18049">
      <c r="N18049" s="1"/>
      <c r="V18049" s="5"/>
    </row>
    <row r="18050">
      <c r="N18050" s="1"/>
      <c r="V18050" s="5"/>
    </row>
    <row r="18051">
      <c r="N18051" s="1"/>
      <c r="V18051" s="5"/>
    </row>
    <row r="18052">
      <c r="N18052" s="1"/>
      <c r="V18052" s="5"/>
    </row>
    <row r="18053">
      <c r="N18053" s="1"/>
      <c r="V18053" s="5"/>
    </row>
    <row r="18054">
      <c r="N18054" s="1"/>
      <c r="V18054" s="5"/>
    </row>
    <row r="18055">
      <c r="N18055" s="1"/>
      <c r="V18055" s="5"/>
    </row>
    <row r="18056">
      <c r="N18056" s="1"/>
      <c r="V18056" s="5"/>
    </row>
    <row r="18057">
      <c r="N18057" s="1"/>
      <c r="V18057" s="5"/>
    </row>
    <row r="18058">
      <c r="N18058" s="1"/>
      <c r="V18058" s="5"/>
    </row>
    <row r="18059">
      <c r="N18059" s="1"/>
      <c r="V18059" s="5"/>
    </row>
    <row r="18060">
      <c r="N18060" s="1"/>
      <c r="V18060" s="5"/>
    </row>
    <row r="18061">
      <c r="N18061" s="1"/>
      <c r="V18061" s="5"/>
    </row>
    <row r="18062">
      <c r="N18062" s="1"/>
      <c r="V18062" s="5"/>
    </row>
    <row r="18063">
      <c r="N18063" s="1"/>
      <c r="V18063" s="5"/>
    </row>
    <row r="18064">
      <c r="N18064" s="1"/>
      <c r="V18064" s="5"/>
    </row>
    <row r="18065">
      <c r="N18065" s="1"/>
      <c r="V18065" s="5"/>
    </row>
    <row r="18066">
      <c r="N18066" s="1"/>
      <c r="V18066" s="5"/>
    </row>
    <row r="18067">
      <c r="N18067" s="1"/>
      <c r="V18067" s="5"/>
    </row>
    <row r="18068">
      <c r="N18068" s="1"/>
      <c r="V18068" s="5"/>
    </row>
    <row r="18069">
      <c r="N18069" s="1"/>
      <c r="V18069" s="5"/>
    </row>
    <row r="18070">
      <c r="N18070" s="1"/>
      <c r="V18070" s="5"/>
    </row>
    <row r="18071">
      <c r="N18071" s="1"/>
      <c r="V18071" s="5"/>
    </row>
    <row r="18072">
      <c r="N18072" s="1"/>
      <c r="V18072" s="5"/>
    </row>
    <row r="18073">
      <c r="N18073" s="1"/>
      <c r="V18073" s="5"/>
    </row>
    <row r="18074">
      <c r="N18074" s="1"/>
      <c r="V18074" s="5"/>
    </row>
    <row r="18075">
      <c r="N18075" s="1"/>
      <c r="V18075" s="5"/>
    </row>
    <row r="18076">
      <c r="N18076" s="1"/>
      <c r="V18076" s="5"/>
    </row>
    <row r="18077">
      <c r="N18077" s="1"/>
      <c r="V18077" s="5"/>
    </row>
    <row r="18078">
      <c r="N18078" s="1"/>
      <c r="V18078" s="5"/>
    </row>
    <row r="18079">
      <c r="N18079" s="1"/>
      <c r="V18079" s="5"/>
    </row>
    <row r="18080">
      <c r="N18080" s="1"/>
      <c r="V18080" s="5"/>
    </row>
    <row r="18081">
      <c r="N18081" s="1"/>
      <c r="V18081" s="5"/>
    </row>
    <row r="18082">
      <c r="N18082" s="1"/>
      <c r="V18082" s="5"/>
    </row>
    <row r="18083">
      <c r="N18083" s="1"/>
      <c r="V18083" s="5"/>
    </row>
    <row r="18084">
      <c r="N18084" s="1"/>
      <c r="V18084" s="5"/>
    </row>
    <row r="18085">
      <c r="N18085" s="1"/>
      <c r="V18085" s="5"/>
    </row>
    <row r="18086">
      <c r="N18086" s="1"/>
      <c r="V18086" s="5"/>
    </row>
    <row r="18087">
      <c r="N18087" s="1"/>
      <c r="V18087" s="5"/>
    </row>
    <row r="18088">
      <c r="N18088" s="1"/>
      <c r="V18088" s="5"/>
    </row>
    <row r="18089">
      <c r="N18089" s="1"/>
      <c r="V18089" s="5"/>
    </row>
    <row r="18090">
      <c r="N18090" s="1"/>
      <c r="V18090" s="5"/>
    </row>
    <row r="18091">
      <c r="N18091" s="1"/>
      <c r="V18091" s="5"/>
    </row>
    <row r="18092">
      <c r="N18092" s="1"/>
      <c r="V18092" s="5"/>
    </row>
    <row r="18093">
      <c r="N18093" s="1"/>
      <c r="V18093" s="5"/>
    </row>
    <row r="18094">
      <c r="N18094" s="1"/>
      <c r="V18094" s="5"/>
    </row>
    <row r="18095">
      <c r="N18095" s="1"/>
      <c r="V18095" s="5"/>
    </row>
    <row r="18096">
      <c r="N18096" s="1"/>
      <c r="V18096" s="5"/>
    </row>
    <row r="18097">
      <c r="N18097" s="1"/>
      <c r="V18097" s="5"/>
    </row>
    <row r="18098">
      <c r="N18098" s="1"/>
      <c r="V18098" s="5"/>
    </row>
    <row r="18099">
      <c r="N18099" s="1"/>
      <c r="V18099" s="5"/>
    </row>
    <row r="18100">
      <c r="N18100" s="1"/>
      <c r="V18100" s="5"/>
    </row>
    <row r="18101">
      <c r="N18101" s="1"/>
      <c r="V18101" s="5"/>
    </row>
    <row r="18102">
      <c r="N18102" s="1"/>
      <c r="V18102" s="5"/>
    </row>
    <row r="18103">
      <c r="N18103" s="1"/>
      <c r="V18103" s="5"/>
    </row>
    <row r="18104">
      <c r="N18104" s="1"/>
      <c r="V18104" s="5"/>
    </row>
    <row r="18105">
      <c r="N18105" s="1"/>
      <c r="V18105" s="5"/>
    </row>
    <row r="18106">
      <c r="N18106" s="1"/>
      <c r="V18106" s="5"/>
    </row>
    <row r="18107">
      <c r="N18107" s="1"/>
      <c r="V18107" s="5"/>
    </row>
    <row r="18108">
      <c r="N18108" s="1"/>
      <c r="V18108" s="5"/>
    </row>
    <row r="18109">
      <c r="N18109" s="1"/>
      <c r="V18109" s="5"/>
    </row>
    <row r="18110">
      <c r="N18110" s="1"/>
      <c r="V18110" s="5"/>
    </row>
    <row r="18111">
      <c r="N18111" s="1"/>
      <c r="V18111" s="5"/>
    </row>
    <row r="18112">
      <c r="N18112" s="1"/>
      <c r="V18112" s="5"/>
    </row>
    <row r="18113">
      <c r="N18113" s="1"/>
      <c r="V18113" s="5"/>
    </row>
    <row r="18114">
      <c r="N18114" s="1"/>
      <c r="V18114" s="5"/>
    </row>
    <row r="18115">
      <c r="N18115" s="1"/>
      <c r="V18115" s="5"/>
    </row>
    <row r="18116">
      <c r="N18116" s="1"/>
      <c r="V18116" s="5"/>
    </row>
    <row r="18117">
      <c r="N18117" s="1"/>
      <c r="V18117" s="5"/>
    </row>
    <row r="18118">
      <c r="N18118" s="1"/>
      <c r="V18118" s="5"/>
    </row>
    <row r="18119">
      <c r="N18119" s="1"/>
      <c r="V18119" s="5"/>
    </row>
    <row r="18120">
      <c r="N18120" s="1"/>
      <c r="V18120" s="5"/>
    </row>
    <row r="18121">
      <c r="N18121" s="1"/>
      <c r="V18121" s="5"/>
    </row>
    <row r="18122">
      <c r="N18122" s="1"/>
      <c r="V18122" s="5"/>
    </row>
    <row r="18123">
      <c r="N18123" s="1"/>
      <c r="V18123" s="5"/>
    </row>
    <row r="18124">
      <c r="N18124" s="1"/>
      <c r="V18124" s="5"/>
    </row>
    <row r="18125">
      <c r="N18125" s="1"/>
      <c r="V18125" s="5"/>
    </row>
    <row r="18126">
      <c r="N18126" s="1"/>
      <c r="V18126" s="5"/>
    </row>
    <row r="18127">
      <c r="N18127" s="1"/>
      <c r="V18127" s="5"/>
    </row>
    <row r="18128">
      <c r="N18128" s="1"/>
      <c r="V18128" s="5"/>
    </row>
    <row r="18129">
      <c r="N18129" s="1"/>
      <c r="V18129" s="5"/>
    </row>
    <row r="18130">
      <c r="N18130" s="1"/>
      <c r="V18130" s="5"/>
    </row>
    <row r="18131">
      <c r="N18131" s="1"/>
      <c r="V18131" s="5"/>
    </row>
    <row r="18132">
      <c r="N18132" s="1"/>
      <c r="V18132" s="5"/>
    </row>
    <row r="18133">
      <c r="N18133" s="1"/>
      <c r="V18133" s="5"/>
    </row>
    <row r="18134">
      <c r="N18134" s="1"/>
      <c r="V18134" s="5"/>
    </row>
    <row r="18135">
      <c r="N18135" s="1"/>
      <c r="V18135" s="5"/>
    </row>
    <row r="18136">
      <c r="N18136" s="1"/>
      <c r="V18136" s="5"/>
    </row>
    <row r="18137">
      <c r="N18137" s="1"/>
      <c r="V18137" s="5"/>
    </row>
    <row r="18138">
      <c r="N18138" s="1"/>
      <c r="V18138" s="5"/>
    </row>
    <row r="18139">
      <c r="N18139" s="1"/>
      <c r="V18139" s="5"/>
    </row>
    <row r="18140">
      <c r="N18140" s="1"/>
      <c r="V18140" s="5"/>
    </row>
    <row r="18141">
      <c r="N18141" s="1"/>
      <c r="V18141" s="5"/>
    </row>
    <row r="18142">
      <c r="N18142" s="1"/>
      <c r="V18142" s="5"/>
    </row>
    <row r="18143">
      <c r="N18143" s="1"/>
      <c r="V18143" s="5"/>
    </row>
    <row r="18144">
      <c r="N18144" s="1"/>
      <c r="V18144" s="5"/>
    </row>
    <row r="18145">
      <c r="N18145" s="1"/>
      <c r="V18145" s="5"/>
    </row>
    <row r="18146">
      <c r="N18146" s="1"/>
      <c r="V18146" s="5"/>
    </row>
    <row r="18147">
      <c r="N18147" s="1"/>
      <c r="V18147" s="5"/>
    </row>
    <row r="18148">
      <c r="N18148" s="1"/>
      <c r="V18148" s="5"/>
    </row>
    <row r="18149">
      <c r="N18149" s="1"/>
      <c r="V18149" s="5"/>
    </row>
    <row r="18150">
      <c r="N18150" s="1"/>
      <c r="V18150" s="5"/>
    </row>
    <row r="18151">
      <c r="N18151" s="1"/>
      <c r="V18151" s="5"/>
    </row>
    <row r="18152">
      <c r="N18152" s="1"/>
      <c r="V18152" s="5"/>
    </row>
    <row r="18153">
      <c r="N18153" s="1"/>
      <c r="V18153" s="5"/>
    </row>
    <row r="18154">
      <c r="N18154" s="1"/>
      <c r="V18154" s="5"/>
    </row>
    <row r="18155">
      <c r="N18155" s="1"/>
      <c r="V18155" s="5"/>
    </row>
    <row r="18156">
      <c r="N18156" s="1"/>
      <c r="V18156" s="5"/>
    </row>
    <row r="18157">
      <c r="N18157" s="1"/>
      <c r="V18157" s="5"/>
    </row>
    <row r="18158">
      <c r="N18158" s="1"/>
      <c r="V18158" s="5"/>
    </row>
    <row r="18159">
      <c r="N18159" s="1"/>
      <c r="V18159" s="5"/>
    </row>
    <row r="18160">
      <c r="N18160" s="1"/>
      <c r="V18160" s="5"/>
    </row>
    <row r="18161">
      <c r="N18161" s="1"/>
      <c r="V18161" s="5"/>
    </row>
    <row r="18162">
      <c r="N18162" s="1"/>
      <c r="V18162" s="5"/>
    </row>
    <row r="18163">
      <c r="N18163" s="1"/>
      <c r="V18163" s="5"/>
    </row>
    <row r="18164">
      <c r="N18164" s="1"/>
      <c r="V18164" s="5"/>
    </row>
    <row r="18165">
      <c r="N18165" s="1"/>
      <c r="V18165" s="5"/>
    </row>
    <row r="18166">
      <c r="N18166" s="1"/>
      <c r="V18166" s="5"/>
    </row>
    <row r="18167">
      <c r="N18167" s="1"/>
      <c r="V18167" s="5"/>
    </row>
    <row r="18168">
      <c r="N18168" s="1"/>
      <c r="V18168" s="5"/>
    </row>
    <row r="18169">
      <c r="N18169" s="1"/>
      <c r="V18169" s="5"/>
    </row>
    <row r="18170">
      <c r="N18170" s="1"/>
      <c r="V18170" s="5"/>
    </row>
    <row r="18171">
      <c r="N18171" s="1"/>
      <c r="V18171" s="5"/>
    </row>
    <row r="18172">
      <c r="N18172" s="1"/>
      <c r="V18172" s="5"/>
    </row>
    <row r="18173">
      <c r="N18173" s="1"/>
      <c r="V18173" s="5"/>
    </row>
    <row r="18174">
      <c r="N18174" s="1"/>
      <c r="V18174" s="5"/>
    </row>
    <row r="18175">
      <c r="N18175" s="1"/>
      <c r="V18175" s="5"/>
    </row>
    <row r="18176">
      <c r="N18176" s="1"/>
      <c r="V18176" s="5"/>
    </row>
    <row r="18177">
      <c r="N18177" s="1"/>
      <c r="V18177" s="5"/>
    </row>
    <row r="18178">
      <c r="N18178" s="1"/>
      <c r="V18178" s="5"/>
    </row>
    <row r="18179">
      <c r="N18179" s="1"/>
      <c r="V18179" s="5"/>
    </row>
    <row r="18180">
      <c r="N18180" s="1"/>
      <c r="V18180" s="5"/>
    </row>
    <row r="18181">
      <c r="N18181" s="1"/>
      <c r="V18181" s="5"/>
    </row>
    <row r="18182">
      <c r="N18182" s="1"/>
      <c r="V18182" s="5"/>
    </row>
    <row r="18183">
      <c r="N18183" s="1"/>
      <c r="V18183" s="5"/>
    </row>
    <row r="18184">
      <c r="N18184" s="1"/>
      <c r="V18184" s="5"/>
    </row>
    <row r="18185">
      <c r="N18185" s="1"/>
      <c r="V18185" s="5"/>
    </row>
    <row r="18186">
      <c r="N18186" s="1"/>
      <c r="V18186" s="5"/>
    </row>
    <row r="18187">
      <c r="N18187" s="1"/>
      <c r="V18187" s="5"/>
    </row>
    <row r="18188">
      <c r="N18188" s="1"/>
      <c r="V18188" s="5"/>
    </row>
    <row r="18189">
      <c r="N18189" s="1"/>
      <c r="V18189" s="5"/>
    </row>
    <row r="18190">
      <c r="N18190" s="1"/>
      <c r="V18190" s="5"/>
    </row>
    <row r="18191">
      <c r="N18191" s="1"/>
      <c r="V18191" s="5"/>
    </row>
    <row r="18192">
      <c r="N18192" s="1"/>
      <c r="V18192" s="5"/>
    </row>
    <row r="18193">
      <c r="N18193" s="1"/>
      <c r="V18193" s="5"/>
    </row>
    <row r="18194">
      <c r="N18194" s="1"/>
      <c r="V18194" s="5"/>
    </row>
    <row r="18195">
      <c r="N18195" s="1"/>
      <c r="V18195" s="5"/>
    </row>
    <row r="18196">
      <c r="N18196" s="1"/>
      <c r="V18196" s="5"/>
    </row>
    <row r="18197">
      <c r="N18197" s="1"/>
      <c r="V18197" s="5"/>
    </row>
    <row r="18198">
      <c r="N18198" s="1"/>
      <c r="V18198" s="5"/>
    </row>
    <row r="18199">
      <c r="N18199" s="1"/>
      <c r="V18199" s="5"/>
    </row>
    <row r="18200">
      <c r="N18200" s="1"/>
      <c r="V18200" s="5"/>
    </row>
    <row r="18201">
      <c r="N18201" s="1"/>
      <c r="V18201" s="5"/>
    </row>
    <row r="18202">
      <c r="N18202" s="1"/>
      <c r="V18202" s="5"/>
    </row>
    <row r="18203">
      <c r="N18203" s="1"/>
      <c r="V18203" s="5"/>
    </row>
    <row r="18204">
      <c r="N18204" s="1"/>
      <c r="V18204" s="5"/>
    </row>
    <row r="18205">
      <c r="N18205" s="1"/>
      <c r="V18205" s="5"/>
    </row>
    <row r="18206">
      <c r="N18206" s="1"/>
      <c r="V18206" s="5"/>
    </row>
    <row r="18207">
      <c r="N18207" s="1"/>
      <c r="V18207" s="5"/>
    </row>
    <row r="18208">
      <c r="N18208" s="1"/>
      <c r="V18208" s="5"/>
    </row>
    <row r="18209">
      <c r="N18209" s="1"/>
      <c r="V18209" s="5"/>
    </row>
    <row r="18210">
      <c r="N18210" s="1"/>
      <c r="V18210" s="5"/>
    </row>
    <row r="18211">
      <c r="N18211" s="1"/>
      <c r="V18211" s="5"/>
    </row>
    <row r="18212">
      <c r="N18212" s="1"/>
      <c r="V18212" s="5"/>
    </row>
    <row r="18213">
      <c r="N18213" s="1"/>
      <c r="V18213" s="5"/>
    </row>
    <row r="18214">
      <c r="N18214" s="1"/>
      <c r="V18214" s="5"/>
    </row>
    <row r="18215">
      <c r="N18215" s="1"/>
      <c r="V18215" s="5"/>
    </row>
    <row r="18216">
      <c r="N18216" s="1"/>
      <c r="V18216" s="5"/>
    </row>
    <row r="18217">
      <c r="N18217" s="1"/>
      <c r="V18217" s="5"/>
    </row>
    <row r="18218">
      <c r="N18218" s="1"/>
      <c r="V18218" s="5"/>
    </row>
    <row r="18219">
      <c r="N18219" s="1"/>
      <c r="V18219" s="5"/>
    </row>
    <row r="18220">
      <c r="N18220" s="1"/>
      <c r="V18220" s="5"/>
    </row>
    <row r="18221">
      <c r="N18221" s="1"/>
      <c r="V18221" s="5"/>
    </row>
    <row r="18222">
      <c r="N18222" s="1"/>
      <c r="V18222" s="5"/>
    </row>
    <row r="18223">
      <c r="N18223" s="1"/>
      <c r="V18223" s="5"/>
    </row>
    <row r="18224">
      <c r="N18224" s="1"/>
      <c r="V18224" s="5"/>
    </row>
    <row r="18225">
      <c r="N18225" s="1"/>
      <c r="V18225" s="5"/>
    </row>
    <row r="18226">
      <c r="N18226" s="1"/>
      <c r="V18226" s="5"/>
    </row>
    <row r="18227">
      <c r="N18227" s="1"/>
      <c r="V18227" s="5"/>
    </row>
    <row r="18228">
      <c r="N18228" s="1"/>
      <c r="V18228" s="5"/>
    </row>
    <row r="18229">
      <c r="N18229" s="1"/>
      <c r="V18229" s="5"/>
    </row>
    <row r="18230">
      <c r="N18230" s="1"/>
      <c r="V18230" s="5"/>
    </row>
    <row r="18231">
      <c r="N18231" s="1"/>
      <c r="V18231" s="5"/>
    </row>
    <row r="18232">
      <c r="N18232" s="1"/>
      <c r="V18232" s="5"/>
    </row>
    <row r="18233">
      <c r="N18233" s="1"/>
      <c r="V18233" s="5"/>
    </row>
    <row r="18234">
      <c r="N18234" s="1"/>
      <c r="V18234" s="5"/>
    </row>
    <row r="18235">
      <c r="N18235" s="1"/>
      <c r="V18235" s="5"/>
    </row>
    <row r="18236">
      <c r="N18236" s="1"/>
      <c r="V18236" s="5"/>
    </row>
    <row r="18237">
      <c r="N18237" s="1"/>
      <c r="V18237" s="5"/>
    </row>
    <row r="18238">
      <c r="N18238" s="1"/>
      <c r="V18238" s="5"/>
    </row>
    <row r="18239">
      <c r="N18239" s="1"/>
      <c r="V18239" s="5"/>
    </row>
    <row r="18240">
      <c r="N18240" s="1"/>
      <c r="V18240" s="5"/>
    </row>
    <row r="18241">
      <c r="N18241" s="1"/>
      <c r="V18241" s="5"/>
    </row>
    <row r="18242">
      <c r="N18242" s="1"/>
      <c r="V18242" s="5"/>
    </row>
    <row r="18243">
      <c r="N18243" s="1"/>
      <c r="V18243" s="5"/>
    </row>
    <row r="18244">
      <c r="N18244" s="1"/>
      <c r="V18244" s="5"/>
    </row>
    <row r="18245">
      <c r="N18245" s="1"/>
      <c r="V18245" s="5"/>
    </row>
    <row r="18246">
      <c r="N18246" s="1"/>
      <c r="V18246" s="5"/>
    </row>
    <row r="18247">
      <c r="N18247" s="1"/>
      <c r="V18247" s="5"/>
    </row>
    <row r="18248">
      <c r="N18248" s="1"/>
      <c r="V18248" s="5"/>
    </row>
    <row r="18249">
      <c r="N18249" s="1"/>
      <c r="V18249" s="5"/>
    </row>
    <row r="18250">
      <c r="N18250" s="1"/>
      <c r="V18250" s="5"/>
    </row>
    <row r="18251">
      <c r="N18251" s="1"/>
      <c r="V18251" s="5"/>
    </row>
    <row r="18252">
      <c r="N18252" s="1"/>
      <c r="V18252" s="5"/>
    </row>
    <row r="18253">
      <c r="N18253" s="1"/>
      <c r="V18253" s="5"/>
    </row>
    <row r="18254">
      <c r="N18254" s="1"/>
      <c r="V18254" s="5"/>
    </row>
    <row r="18255">
      <c r="N18255" s="1"/>
      <c r="V18255" s="5"/>
    </row>
    <row r="18256">
      <c r="N18256" s="1"/>
      <c r="V18256" s="5"/>
    </row>
    <row r="18257">
      <c r="N18257" s="1"/>
      <c r="V18257" s="5"/>
    </row>
    <row r="18258">
      <c r="N18258" s="1"/>
      <c r="V18258" s="5"/>
    </row>
    <row r="18259">
      <c r="N18259" s="1"/>
      <c r="V18259" s="5"/>
    </row>
    <row r="18260">
      <c r="N18260" s="1"/>
      <c r="V18260" s="5"/>
    </row>
    <row r="18261">
      <c r="N18261" s="1"/>
      <c r="V18261" s="5"/>
    </row>
    <row r="18262">
      <c r="N18262" s="1"/>
      <c r="V18262" s="5"/>
    </row>
    <row r="18263">
      <c r="N18263" s="1"/>
      <c r="V18263" s="5"/>
    </row>
    <row r="18264">
      <c r="N18264" s="1"/>
      <c r="V18264" s="5"/>
    </row>
    <row r="18265">
      <c r="N18265" s="1"/>
      <c r="V18265" s="5"/>
    </row>
    <row r="18266">
      <c r="N18266" s="1"/>
      <c r="V18266" s="5"/>
    </row>
    <row r="18267">
      <c r="N18267" s="1"/>
      <c r="V18267" s="5"/>
    </row>
    <row r="18268">
      <c r="N18268" s="1"/>
      <c r="V18268" s="5"/>
    </row>
    <row r="18269">
      <c r="N18269" s="1"/>
      <c r="V18269" s="5"/>
    </row>
    <row r="18270">
      <c r="N18270" s="1"/>
      <c r="V18270" s="5"/>
    </row>
    <row r="18271">
      <c r="N18271" s="1"/>
      <c r="V18271" s="5"/>
    </row>
    <row r="18272">
      <c r="N18272" s="1"/>
      <c r="V18272" s="5"/>
    </row>
    <row r="18273">
      <c r="N18273" s="1"/>
      <c r="V18273" s="5"/>
    </row>
    <row r="18274">
      <c r="N18274" s="1"/>
      <c r="V18274" s="5"/>
    </row>
    <row r="18275">
      <c r="N18275" s="1"/>
      <c r="V18275" s="5"/>
    </row>
    <row r="18276">
      <c r="N18276" s="1"/>
      <c r="V18276" s="5"/>
    </row>
    <row r="18277">
      <c r="N18277" s="1"/>
      <c r="V18277" s="5"/>
    </row>
    <row r="18278">
      <c r="N18278" s="1"/>
      <c r="V18278" s="5"/>
    </row>
    <row r="18279">
      <c r="N18279" s="1"/>
      <c r="V18279" s="5"/>
    </row>
    <row r="18280">
      <c r="N18280" s="1"/>
      <c r="V18280" s="5"/>
    </row>
    <row r="18281">
      <c r="N18281" s="1"/>
      <c r="V18281" s="5"/>
    </row>
    <row r="18282">
      <c r="N18282" s="1"/>
      <c r="V18282" s="5"/>
    </row>
    <row r="18283">
      <c r="N18283" s="1"/>
      <c r="V18283" s="5"/>
    </row>
    <row r="18284">
      <c r="N18284" s="1"/>
      <c r="V18284" s="5"/>
    </row>
    <row r="18285">
      <c r="N18285" s="1"/>
      <c r="V18285" s="5"/>
    </row>
    <row r="18286">
      <c r="N18286" s="1"/>
      <c r="V18286" s="5"/>
    </row>
    <row r="18287">
      <c r="N18287" s="1"/>
      <c r="V18287" s="5"/>
    </row>
    <row r="18288">
      <c r="N18288" s="1"/>
      <c r="V18288" s="5"/>
    </row>
    <row r="18289">
      <c r="N18289" s="1"/>
      <c r="V18289" s="5"/>
    </row>
    <row r="18290">
      <c r="N18290" s="1"/>
      <c r="V18290" s="5"/>
    </row>
    <row r="18291">
      <c r="N18291" s="1"/>
      <c r="V18291" s="5"/>
    </row>
    <row r="18292">
      <c r="N18292" s="1"/>
      <c r="V18292" s="5"/>
    </row>
    <row r="18293">
      <c r="N18293" s="1"/>
      <c r="V18293" s="5"/>
    </row>
    <row r="18294">
      <c r="N18294" s="1"/>
      <c r="V18294" s="5"/>
    </row>
    <row r="18295">
      <c r="N18295" s="1"/>
      <c r="V18295" s="5"/>
    </row>
    <row r="18296">
      <c r="N18296" s="1"/>
      <c r="V18296" s="5"/>
    </row>
    <row r="18297">
      <c r="N18297" s="1"/>
      <c r="V18297" s="5"/>
    </row>
    <row r="18298">
      <c r="N18298" s="1"/>
      <c r="V18298" s="5"/>
    </row>
    <row r="18299">
      <c r="N18299" s="1"/>
      <c r="V18299" s="5"/>
    </row>
    <row r="18300">
      <c r="N18300" s="1"/>
      <c r="V18300" s="5"/>
    </row>
    <row r="18301">
      <c r="N18301" s="1"/>
      <c r="V18301" s="5"/>
    </row>
    <row r="18302">
      <c r="N18302" s="1"/>
      <c r="V18302" s="5"/>
    </row>
    <row r="18303">
      <c r="N18303" s="1"/>
      <c r="V18303" s="5"/>
    </row>
    <row r="18304">
      <c r="N18304" s="1"/>
      <c r="V18304" s="5"/>
    </row>
    <row r="18305">
      <c r="N18305" s="1"/>
      <c r="V18305" s="5"/>
    </row>
    <row r="18306">
      <c r="N18306" s="1"/>
      <c r="V18306" s="5"/>
    </row>
    <row r="18307">
      <c r="N18307" s="1"/>
      <c r="V18307" s="5"/>
    </row>
    <row r="18308">
      <c r="N18308" s="1"/>
      <c r="V18308" s="5"/>
    </row>
    <row r="18309">
      <c r="N18309" s="1"/>
      <c r="V18309" s="5"/>
    </row>
    <row r="18310">
      <c r="N18310" s="1"/>
      <c r="V18310" s="5"/>
    </row>
    <row r="18311">
      <c r="N18311" s="1"/>
      <c r="V18311" s="5"/>
    </row>
    <row r="18312">
      <c r="N18312" s="1"/>
      <c r="V18312" s="5"/>
    </row>
    <row r="18313">
      <c r="N18313" s="1"/>
      <c r="V18313" s="5"/>
    </row>
    <row r="18314">
      <c r="N18314" s="1"/>
      <c r="V18314" s="5"/>
    </row>
    <row r="18315">
      <c r="N18315" s="1"/>
      <c r="V18315" s="5"/>
    </row>
    <row r="18316">
      <c r="N18316" s="1"/>
      <c r="V18316" s="5"/>
    </row>
    <row r="18317">
      <c r="N18317" s="1"/>
      <c r="V18317" s="5"/>
    </row>
    <row r="18318">
      <c r="N18318" s="1"/>
      <c r="V18318" s="5"/>
    </row>
    <row r="18319">
      <c r="N18319" s="1"/>
      <c r="V18319" s="5"/>
    </row>
    <row r="18320">
      <c r="N18320" s="1"/>
      <c r="V18320" s="5"/>
    </row>
    <row r="18321">
      <c r="N18321" s="1"/>
      <c r="V18321" s="5"/>
    </row>
    <row r="18322">
      <c r="N18322" s="1"/>
      <c r="V18322" s="5"/>
    </row>
    <row r="18323">
      <c r="N18323" s="1"/>
      <c r="V18323" s="5"/>
    </row>
    <row r="18324">
      <c r="N18324" s="1"/>
      <c r="V18324" s="5"/>
    </row>
    <row r="18325">
      <c r="N18325" s="1"/>
      <c r="V18325" s="5"/>
    </row>
    <row r="18326">
      <c r="N18326" s="1"/>
      <c r="V18326" s="5"/>
    </row>
    <row r="18327">
      <c r="N18327" s="1"/>
      <c r="V18327" s="5"/>
    </row>
    <row r="18328">
      <c r="N18328" s="1"/>
      <c r="V18328" s="5"/>
    </row>
    <row r="18329">
      <c r="N18329" s="1"/>
      <c r="V18329" s="5"/>
    </row>
    <row r="18330">
      <c r="N18330" s="1"/>
      <c r="V18330" s="5"/>
    </row>
    <row r="18331">
      <c r="N18331" s="1"/>
      <c r="V18331" s="5"/>
    </row>
    <row r="18332">
      <c r="N18332" s="1"/>
      <c r="V18332" s="5"/>
    </row>
    <row r="18333">
      <c r="N18333" s="1"/>
      <c r="V18333" s="5"/>
    </row>
    <row r="18334">
      <c r="N18334" s="1"/>
      <c r="V18334" s="5"/>
    </row>
    <row r="18335">
      <c r="N18335" s="1"/>
      <c r="V18335" s="5"/>
    </row>
    <row r="18336">
      <c r="N18336" s="1"/>
      <c r="V18336" s="5"/>
    </row>
    <row r="18337">
      <c r="N18337" s="1"/>
      <c r="V18337" s="5"/>
    </row>
    <row r="18338">
      <c r="N18338" s="1"/>
      <c r="V18338" s="5"/>
    </row>
    <row r="18339">
      <c r="N18339" s="1"/>
      <c r="V18339" s="5"/>
    </row>
    <row r="18340">
      <c r="N18340" s="1"/>
      <c r="V18340" s="5"/>
    </row>
    <row r="18341">
      <c r="N18341" s="1"/>
      <c r="V18341" s="5"/>
    </row>
    <row r="18342">
      <c r="N18342" s="1"/>
      <c r="V18342" s="5"/>
    </row>
    <row r="18343">
      <c r="N18343" s="1"/>
      <c r="V18343" s="5"/>
    </row>
    <row r="18344">
      <c r="N18344" s="1"/>
      <c r="V18344" s="5"/>
    </row>
    <row r="18345">
      <c r="N18345" s="1"/>
      <c r="V18345" s="5"/>
    </row>
    <row r="18346">
      <c r="N18346" s="1"/>
      <c r="V18346" s="5"/>
    </row>
    <row r="18347">
      <c r="N18347" s="1"/>
      <c r="V18347" s="5"/>
    </row>
    <row r="18348">
      <c r="N18348" s="1"/>
      <c r="V18348" s="5"/>
    </row>
    <row r="18349">
      <c r="N18349" s="1"/>
      <c r="V18349" s="5"/>
    </row>
    <row r="18350">
      <c r="N18350" s="1"/>
      <c r="V18350" s="5"/>
    </row>
    <row r="18351">
      <c r="N18351" s="1"/>
      <c r="V18351" s="5"/>
    </row>
    <row r="18352">
      <c r="N18352" s="1"/>
      <c r="V18352" s="5"/>
    </row>
    <row r="18353">
      <c r="N18353" s="1"/>
      <c r="V18353" s="5"/>
    </row>
    <row r="18354">
      <c r="N18354" s="1"/>
      <c r="V18354" s="5"/>
    </row>
    <row r="18355">
      <c r="N18355" s="1"/>
      <c r="V18355" s="5"/>
    </row>
    <row r="18356">
      <c r="N18356" s="1"/>
      <c r="V18356" s="5"/>
    </row>
    <row r="18357">
      <c r="N18357" s="1"/>
      <c r="V18357" s="5"/>
    </row>
    <row r="18358">
      <c r="N18358" s="1"/>
      <c r="V18358" s="5"/>
    </row>
    <row r="18359">
      <c r="N18359" s="1"/>
      <c r="V18359" s="5"/>
    </row>
    <row r="18360">
      <c r="N18360" s="1"/>
      <c r="V18360" s="5"/>
    </row>
    <row r="18361">
      <c r="N18361" s="1"/>
      <c r="V18361" s="5"/>
    </row>
    <row r="18362">
      <c r="N18362" s="1"/>
      <c r="V18362" s="5"/>
    </row>
    <row r="18363">
      <c r="N18363" s="1"/>
      <c r="V18363" s="5"/>
    </row>
    <row r="18364">
      <c r="N18364" s="1"/>
      <c r="V18364" s="5"/>
    </row>
    <row r="18365">
      <c r="N18365" s="1"/>
      <c r="V18365" s="5"/>
    </row>
    <row r="18366">
      <c r="N18366" s="1"/>
      <c r="V18366" s="5"/>
    </row>
    <row r="18367">
      <c r="N18367" s="1"/>
      <c r="V18367" s="5"/>
    </row>
    <row r="18368">
      <c r="N18368" s="1"/>
      <c r="V18368" s="5"/>
    </row>
    <row r="18369">
      <c r="N18369" s="1"/>
      <c r="V18369" s="5"/>
    </row>
    <row r="18370">
      <c r="N18370" s="1"/>
      <c r="V18370" s="5"/>
    </row>
    <row r="18371">
      <c r="N18371" s="1"/>
      <c r="V18371" s="5"/>
    </row>
    <row r="18372">
      <c r="N18372" s="1"/>
      <c r="V18372" s="5"/>
    </row>
    <row r="18373">
      <c r="N18373" s="1"/>
      <c r="V18373" s="5"/>
    </row>
    <row r="18374">
      <c r="N18374" s="1"/>
      <c r="V18374" s="5"/>
    </row>
    <row r="18375">
      <c r="N18375" s="1"/>
      <c r="V18375" s="5"/>
    </row>
    <row r="18376">
      <c r="N18376" s="1"/>
      <c r="V18376" s="5"/>
    </row>
    <row r="18377">
      <c r="N18377" s="1"/>
      <c r="V18377" s="5"/>
    </row>
    <row r="18378">
      <c r="N18378" s="1"/>
      <c r="V18378" s="5"/>
    </row>
    <row r="18379">
      <c r="N18379" s="1"/>
      <c r="V18379" s="5"/>
    </row>
    <row r="18380">
      <c r="N18380" s="1"/>
      <c r="V18380" s="5"/>
    </row>
    <row r="18381">
      <c r="N18381" s="1"/>
      <c r="V18381" s="5"/>
    </row>
    <row r="18382">
      <c r="N18382" s="1"/>
      <c r="V18382" s="5"/>
    </row>
    <row r="18383">
      <c r="N18383" s="1"/>
      <c r="V18383" s="5"/>
    </row>
    <row r="18384">
      <c r="N18384" s="1"/>
      <c r="V18384" s="5"/>
    </row>
    <row r="18385">
      <c r="N18385" s="1"/>
      <c r="V18385" s="5"/>
    </row>
    <row r="18386">
      <c r="N18386" s="1"/>
      <c r="V18386" s="5"/>
    </row>
    <row r="18387">
      <c r="N18387" s="1"/>
      <c r="V18387" s="5"/>
    </row>
    <row r="18388">
      <c r="N18388" s="1"/>
      <c r="V18388" s="5"/>
    </row>
    <row r="18389">
      <c r="N18389" s="1"/>
      <c r="V18389" s="5"/>
    </row>
    <row r="18390">
      <c r="N18390" s="1"/>
      <c r="V18390" s="5"/>
    </row>
    <row r="18391">
      <c r="N18391" s="1"/>
      <c r="V18391" s="5"/>
    </row>
    <row r="18392">
      <c r="N18392" s="1"/>
      <c r="V18392" s="5"/>
    </row>
    <row r="18393">
      <c r="N18393" s="1"/>
      <c r="V18393" s="5"/>
    </row>
    <row r="18394">
      <c r="N18394" s="1"/>
      <c r="V18394" s="5"/>
    </row>
    <row r="18395">
      <c r="N18395" s="1"/>
      <c r="V18395" s="5"/>
    </row>
    <row r="18396">
      <c r="N18396" s="1"/>
      <c r="V18396" s="5"/>
    </row>
    <row r="18397">
      <c r="N18397" s="1"/>
      <c r="V18397" s="5"/>
    </row>
    <row r="18398">
      <c r="N18398" s="1"/>
      <c r="V18398" s="5"/>
    </row>
    <row r="18399">
      <c r="N18399" s="1"/>
      <c r="V18399" s="5"/>
    </row>
    <row r="18400">
      <c r="N18400" s="1"/>
      <c r="V18400" s="5"/>
    </row>
    <row r="18401">
      <c r="N18401" s="1"/>
      <c r="V18401" s="5"/>
    </row>
    <row r="18402">
      <c r="N18402" s="1"/>
      <c r="V18402" s="5"/>
    </row>
    <row r="18403">
      <c r="N18403" s="1"/>
      <c r="V18403" s="5"/>
    </row>
    <row r="18404">
      <c r="N18404" s="1"/>
      <c r="V18404" s="5"/>
    </row>
    <row r="18405">
      <c r="N18405" s="1"/>
      <c r="V18405" s="5"/>
    </row>
    <row r="18406">
      <c r="N18406" s="1"/>
      <c r="V18406" s="5"/>
    </row>
    <row r="18407">
      <c r="N18407" s="1"/>
      <c r="V18407" s="5"/>
    </row>
    <row r="18408">
      <c r="N18408" s="1"/>
      <c r="V18408" s="5"/>
    </row>
    <row r="18409">
      <c r="N18409" s="1"/>
      <c r="V18409" s="5"/>
    </row>
    <row r="18410">
      <c r="N18410" s="1"/>
      <c r="V18410" s="5"/>
    </row>
    <row r="18411">
      <c r="N18411" s="1"/>
      <c r="V18411" s="5"/>
    </row>
    <row r="18412">
      <c r="N18412" s="1"/>
      <c r="V18412" s="5"/>
    </row>
    <row r="18413">
      <c r="N18413" s="1"/>
      <c r="V18413" s="5"/>
    </row>
    <row r="18414">
      <c r="N18414" s="1"/>
      <c r="V18414" s="5"/>
    </row>
    <row r="18415">
      <c r="N18415" s="1"/>
      <c r="V18415" s="5"/>
    </row>
    <row r="18416">
      <c r="N18416" s="1"/>
      <c r="V18416" s="5"/>
    </row>
    <row r="18417">
      <c r="N18417" s="1"/>
      <c r="V18417" s="5"/>
    </row>
    <row r="18418">
      <c r="N18418" s="1"/>
      <c r="V18418" s="5"/>
    </row>
    <row r="18419">
      <c r="N18419" s="1"/>
      <c r="V18419" s="5"/>
    </row>
    <row r="18420">
      <c r="N18420" s="1"/>
      <c r="V18420" s="5"/>
    </row>
    <row r="18421">
      <c r="N18421" s="1"/>
      <c r="V18421" s="5"/>
    </row>
    <row r="18422">
      <c r="N18422" s="1"/>
      <c r="V18422" s="5"/>
    </row>
    <row r="18423">
      <c r="N18423" s="1"/>
      <c r="V18423" s="5"/>
    </row>
    <row r="18424">
      <c r="N18424" s="1"/>
      <c r="V18424" s="5"/>
    </row>
    <row r="18425">
      <c r="N18425" s="1"/>
      <c r="V18425" s="5"/>
    </row>
    <row r="18426">
      <c r="N18426" s="1"/>
      <c r="V18426" s="5"/>
    </row>
    <row r="18427">
      <c r="N18427" s="1"/>
      <c r="V18427" s="5"/>
    </row>
    <row r="18428">
      <c r="N18428" s="1"/>
      <c r="V18428" s="5"/>
    </row>
    <row r="18429">
      <c r="N18429" s="1"/>
      <c r="V18429" s="5"/>
    </row>
    <row r="18430">
      <c r="N18430" s="1"/>
      <c r="V18430" s="5"/>
    </row>
    <row r="18431">
      <c r="N18431" s="1"/>
      <c r="V18431" s="5"/>
    </row>
    <row r="18432">
      <c r="N18432" s="1"/>
      <c r="V18432" s="5"/>
    </row>
    <row r="18433">
      <c r="N18433" s="1"/>
      <c r="V18433" s="5"/>
    </row>
    <row r="18434">
      <c r="N18434" s="1"/>
      <c r="V18434" s="5"/>
    </row>
    <row r="18435">
      <c r="N18435" s="1"/>
      <c r="V18435" s="5"/>
    </row>
    <row r="18436">
      <c r="N18436" s="1"/>
      <c r="V18436" s="5"/>
    </row>
    <row r="18437">
      <c r="N18437" s="1"/>
      <c r="V18437" s="5"/>
    </row>
    <row r="18438">
      <c r="N18438" s="1"/>
      <c r="V18438" s="5"/>
    </row>
    <row r="18439">
      <c r="N18439" s="1"/>
      <c r="V18439" s="5"/>
    </row>
    <row r="18440">
      <c r="N18440" s="1"/>
      <c r="V18440" s="5"/>
    </row>
    <row r="18441">
      <c r="N18441" s="1"/>
      <c r="V18441" s="5"/>
    </row>
    <row r="18442">
      <c r="N18442" s="1"/>
      <c r="V18442" s="5"/>
    </row>
    <row r="18443">
      <c r="N18443" s="1"/>
      <c r="V18443" s="5"/>
    </row>
    <row r="18444">
      <c r="N18444" s="1"/>
      <c r="V18444" s="5"/>
    </row>
    <row r="18445">
      <c r="N18445" s="1"/>
      <c r="V18445" s="5"/>
    </row>
    <row r="18446">
      <c r="N18446" s="1"/>
      <c r="V18446" s="5"/>
    </row>
    <row r="18447">
      <c r="N18447" s="1"/>
      <c r="V18447" s="5"/>
    </row>
    <row r="18448">
      <c r="N18448" s="1"/>
      <c r="V18448" s="5"/>
    </row>
    <row r="18449">
      <c r="N18449" s="1"/>
      <c r="V18449" s="5"/>
    </row>
    <row r="18450">
      <c r="N18450" s="1"/>
      <c r="V18450" s="5"/>
    </row>
    <row r="18451">
      <c r="N18451" s="1"/>
      <c r="V18451" s="5"/>
    </row>
    <row r="18452">
      <c r="N18452" s="1"/>
      <c r="V18452" s="5"/>
    </row>
    <row r="18453">
      <c r="N18453" s="1"/>
      <c r="V18453" s="5"/>
    </row>
    <row r="18454">
      <c r="N18454" s="1"/>
      <c r="V18454" s="5"/>
    </row>
    <row r="18455">
      <c r="N18455" s="1"/>
      <c r="V18455" s="5"/>
    </row>
    <row r="18456">
      <c r="N18456" s="1"/>
      <c r="V18456" s="5"/>
    </row>
    <row r="18457">
      <c r="N18457" s="1"/>
      <c r="V18457" s="5"/>
    </row>
    <row r="18458">
      <c r="N18458" s="1"/>
      <c r="V18458" s="5"/>
    </row>
    <row r="18459">
      <c r="N18459" s="1"/>
      <c r="V18459" s="5"/>
    </row>
    <row r="18460">
      <c r="N18460" s="1"/>
      <c r="V18460" s="5"/>
    </row>
    <row r="18461">
      <c r="N18461" s="1"/>
      <c r="V18461" s="5"/>
    </row>
    <row r="18462">
      <c r="N18462" s="1"/>
      <c r="V18462" s="5"/>
    </row>
    <row r="18463">
      <c r="N18463" s="1"/>
      <c r="V18463" s="5"/>
    </row>
    <row r="18464">
      <c r="N18464" s="1"/>
      <c r="V18464" s="5"/>
    </row>
    <row r="18465">
      <c r="N18465" s="1"/>
      <c r="V18465" s="5"/>
    </row>
    <row r="18466">
      <c r="N18466" s="1"/>
      <c r="V18466" s="5"/>
    </row>
    <row r="18467">
      <c r="N18467" s="1"/>
      <c r="V18467" s="5"/>
    </row>
    <row r="18468">
      <c r="N18468" s="1"/>
      <c r="V18468" s="5"/>
    </row>
    <row r="18469">
      <c r="N18469" s="1"/>
      <c r="V18469" s="5"/>
    </row>
    <row r="18470">
      <c r="N18470" s="1"/>
      <c r="V18470" s="5"/>
    </row>
    <row r="18471">
      <c r="N18471" s="1"/>
      <c r="V18471" s="5"/>
    </row>
    <row r="18472">
      <c r="N18472" s="1"/>
      <c r="V18472" s="5"/>
    </row>
    <row r="18473">
      <c r="N18473" s="1"/>
      <c r="V18473" s="5"/>
    </row>
    <row r="18474">
      <c r="N18474" s="1"/>
      <c r="V18474" s="5"/>
    </row>
    <row r="18475">
      <c r="N18475" s="1"/>
      <c r="V18475" s="5"/>
    </row>
    <row r="18476">
      <c r="N18476" s="1"/>
      <c r="V18476" s="5"/>
    </row>
    <row r="18477">
      <c r="N18477" s="1"/>
      <c r="V18477" s="5"/>
    </row>
    <row r="18478">
      <c r="N18478" s="1"/>
      <c r="V18478" s="5"/>
    </row>
    <row r="18479">
      <c r="N18479" s="1"/>
      <c r="V18479" s="5"/>
    </row>
    <row r="18480">
      <c r="N18480" s="1"/>
      <c r="V18480" s="5"/>
    </row>
    <row r="18481">
      <c r="N18481" s="1"/>
      <c r="V18481" s="5"/>
    </row>
    <row r="18482">
      <c r="N18482" s="1"/>
      <c r="V18482" s="5"/>
    </row>
    <row r="18483">
      <c r="N18483" s="1"/>
      <c r="V18483" s="5"/>
    </row>
    <row r="18484">
      <c r="N18484" s="1"/>
      <c r="V18484" s="5"/>
    </row>
    <row r="18485">
      <c r="N18485" s="1"/>
      <c r="V18485" s="5"/>
    </row>
    <row r="18486">
      <c r="N18486" s="1"/>
      <c r="V18486" s="5"/>
    </row>
    <row r="18487">
      <c r="N18487" s="1"/>
      <c r="V18487" s="5"/>
    </row>
    <row r="18488">
      <c r="N18488" s="1"/>
      <c r="V18488" s="5"/>
    </row>
    <row r="18489">
      <c r="N18489" s="1"/>
      <c r="V18489" s="5"/>
    </row>
    <row r="18490">
      <c r="N18490" s="1"/>
      <c r="V18490" s="5"/>
    </row>
    <row r="18491">
      <c r="N18491" s="1"/>
      <c r="V18491" s="5"/>
    </row>
    <row r="18492">
      <c r="N18492" s="1"/>
      <c r="V18492" s="5"/>
    </row>
    <row r="18493">
      <c r="N18493" s="1"/>
      <c r="V18493" s="5"/>
    </row>
    <row r="18494">
      <c r="N18494" s="1"/>
      <c r="V18494" s="5"/>
    </row>
    <row r="18495">
      <c r="N18495" s="1"/>
      <c r="V18495" s="5"/>
    </row>
    <row r="18496">
      <c r="N18496" s="1"/>
      <c r="V18496" s="5"/>
    </row>
    <row r="18497">
      <c r="N18497" s="1"/>
      <c r="V18497" s="5"/>
    </row>
    <row r="18498">
      <c r="N18498" s="1"/>
      <c r="V18498" s="5"/>
    </row>
    <row r="18499">
      <c r="N18499" s="1"/>
      <c r="V18499" s="5"/>
    </row>
    <row r="18500">
      <c r="N18500" s="1"/>
      <c r="V18500" s="5"/>
    </row>
    <row r="18501">
      <c r="N18501" s="1"/>
      <c r="V18501" s="5"/>
    </row>
    <row r="18502">
      <c r="N18502" s="1"/>
      <c r="V18502" s="5"/>
    </row>
    <row r="18503">
      <c r="N18503" s="1"/>
      <c r="V18503" s="5"/>
    </row>
    <row r="18504">
      <c r="N18504" s="1"/>
      <c r="V18504" s="5"/>
    </row>
    <row r="18505">
      <c r="N18505" s="1"/>
      <c r="V18505" s="5"/>
    </row>
    <row r="18506">
      <c r="N18506" s="1"/>
      <c r="V18506" s="5"/>
    </row>
    <row r="18507">
      <c r="N18507" s="1"/>
      <c r="V18507" s="5"/>
    </row>
    <row r="18508">
      <c r="N18508" s="1"/>
      <c r="V18508" s="5"/>
    </row>
    <row r="18509">
      <c r="N18509" s="1"/>
      <c r="V18509" s="5"/>
    </row>
    <row r="18510">
      <c r="N18510" s="1"/>
      <c r="V18510" s="5"/>
    </row>
    <row r="18511">
      <c r="N18511" s="1"/>
      <c r="V18511" s="5"/>
    </row>
    <row r="18512">
      <c r="N18512" s="1"/>
      <c r="V18512" s="5"/>
    </row>
    <row r="18513">
      <c r="N18513" s="1"/>
      <c r="V18513" s="5"/>
    </row>
    <row r="18514">
      <c r="N18514" s="1"/>
      <c r="V18514" s="5"/>
    </row>
    <row r="18515">
      <c r="N18515" s="1"/>
      <c r="V18515" s="5"/>
    </row>
    <row r="18516">
      <c r="N18516" s="1"/>
      <c r="V18516" s="5"/>
    </row>
    <row r="18517">
      <c r="N18517" s="1"/>
      <c r="V18517" s="5"/>
    </row>
    <row r="18518">
      <c r="N18518" s="1"/>
      <c r="V18518" s="5"/>
    </row>
    <row r="18519">
      <c r="N18519" s="1"/>
      <c r="V18519" s="5"/>
    </row>
    <row r="18520">
      <c r="N18520" s="1"/>
      <c r="V18520" s="5"/>
    </row>
    <row r="18521">
      <c r="N18521" s="1"/>
      <c r="V18521" s="5"/>
    </row>
    <row r="18522">
      <c r="N18522" s="1"/>
      <c r="V18522" s="5"/>
    </row>
    <row r="18523">
      <c r="N18523" s="1"/>
      <c r="V18523" s="5"/>
    </row>
    <row r="18524">
      <c r="N18524" s="1"/>
      <c r="V18524" s="5"/>
    </row>
    <row r="18525">
      <c r="N18525" s="1"/>
      <c r="V18525" s="5"/>
    </row>
    <row r="18526">
      <c r="N18526" s="1"/>
      <c r="V18526" s="5"/>
    </row>
    <row r="18527">
      <c r="N18527" s="1"/>
      <c r="V18527" s="5"/>
    </row>
    <row r="18528">
      <c r="N18528" s="1"/>
      <c r="V18528" s="5"/>
    </row>
    <row r="18529">
      <c r="N18529" s="1"/>
      <c r="V18529" s="5"/>
    </row>
    <row r="18530">
      <c r="N18530" s="1"/>
      <c r="V18530" s="5"/>
    </row>
    <row r="18531">
      <c r="N18531" s="1"/>
      <c r="V18531" s="5"/>
    </row>
    <row r="18532">
      <c r="N18532" s="1"/>
      <c r="V18532" s="5"/>
    </row>
    <row r="18533">
      <c r="N18533" s="1"/>
      <c r="V18533" s="5"/>
    </row>
    <row r="18534">
      <c r="N18534" s="1"/>
      <c r="V18534" s="5"/>
    </row>
    <row r="18535">
      <c r="N18535" s="1"/>
      <c r="V18535" s="5"/>
    </row>
    <row r="18536">
      <c r="N18536" s="1"/>
      <c r="V18536" s="5"/>
    </row>
    <row r="18537">
      <c r="N18537" s="1"/>
      <c r="V18537" s="5"/>
    </row>
    <row r="18538">
      <c r="N18538" s="1"/>
      <c r="V18538" s="5"/>
    </row>
    <row r="18539">
      <c r="N18539" s="1"/>
      <c r="V18539" s="5"/>
    </row>
    <row r="18540">
      <c r="N18540" s="1"/>
      <c r="V18540" s="5"/>
    </row>
    <row r="18541">
      <c r="N18541" s="1"/>
      <c r="V18541" s="5"/>
    </row>
    <row r="18542">
      <c r="N18542" s="1"/>
      <c r="V18542" s="5"/>
    </row>
    <row r="18543">
      <c r="N18543" s="1"/>
      <c r="V18543" s="5"/>
    </row>
    <row r="18544">
      <c r="N18544" s="1"/>
      <c r="V18544" s="5"/>
    </row>
    <row r="18545">
      <c r="N18545" s="1"/>
      <c r="V18545" s="5"/>
    </row>
    <row r="18546">
      <c r="N18546" s="1"/>
      <c r="V18546" s="5"/>
    </row>
    <row r="18547">
      <c r="N18547" s="1"/>
      <c r="V18547" s="5"/>
    </row>
    <row r="18548">
      <c r="N18548" s="1"/>
      <c r="V18548" s="5"/>
    </row>
    <row r="18549">
      <c r="N18549" s="1"/>
      <c r="V18549" s="5"/>
    </row>
    <row r="18550">
      <c r="N18550" s="1"/>
      <c r="V18550" s="5"/>
    </row>
    <row r="18551">
      <c r="N18551" s="1"/>
      <c r="V18551" s="5"/>
    </row>
    <row r="18552">
      <c r="N18552" s="1"/>
      <c r="V18552" s="5"/>
    </row>
    <row r="18553">
      <c r="N18553" s="1"/>
      <c r="V18553" s="5"/>
    </row>
    <row r="18554">
      <c r="N18554" s="1"/>
      <c r="V18554" s="5"/>
    </row>
    <row r="18555">
      <c r="N18555" s="1"/>
      <c r="V18555" s="5"/>
    </row>
    <row r="18556">
      <c r="N18556" s="1"/>
      <c r="V18556" s="5"/>
    </row>
    <row r="18557">
      <c r="N18557" s="1"/>
      <c r="V18557" s="5"/>
    </row>
    <row r="18558">
      <c r="N18558" s="1"/>
      <c r="V18558" s="5"/>
    </row>
    <row r="18559">
      <c r="N18559" s="1"/>
      <c r="V18559" s="5"/>
    </row>
    <row r="18560">
      <c r="N18560" s="1"/>
      <c r="V18560" s="5"/>
    </row>
    <row r="18561">
      <c r="N18561" s="1"/>
      <c r="V18561" s="5"/>
    </row>
    <row r="18562">
      <c r="N18562" s="1"/>
      <c r="V18562" s="5"/>
    </row>
    <row r="18563">
      <c r="N18563" s="1"/>
      <c r="V18563" s="5"/>
    </row>
    <row r="18564">
      <c r="N18564" s="1"/>
      <c r="V18564" s="5"/>
    </row>
    <row r="18565">
      <c r="N18565" s="1"/>
      <c r="V18565" s="5"/>
    </row>
    <row r="18566">
      <c r="N18566" s="1"/>
      <c r="V18566" s="5"/>
    </row>
    <row r="18567">
      <c r="N18567" s="1"/>
      <c r="V18567" s="5"/>
    </row>
    <row r="18568">
      <c r="N18568" s="1"/>
      <c r="V18568" s="5"/>
    </row>
    <row r="18569">
      <c r="N18569" s="1"/>
      <c r="V18569" s="5"/>
    </row>
    <row r="18570">
      <c r="N18570" s="1"/>
      <c r="V18570" s="5"/>
    </row>
    <row r="18571">
      <c r="N18571" s="1"/>
      <c r="V18571" s="5"/>
    </row>
    <row r="18572">
      <c r="N18572" s="1"/>
      <c r="V18572" s="5"/>
    </row>
    <row r="18573">
      <c r="N18573" s="1"/>
      <c r="V18573" s="5"/>
    </row>
    <row r="18574">
      <c r="N18574" s="1"/>
      <c r="V18574" s="5"/>
    </row>
    <row r="18575">
      <c r="N18575" s="1"/>
      <c r="V18575" s="5"/>
    </row>
    <row r="18576">
      <c r="N18576" s="1"/>
      <c r="V18576" s="5"/>
    </row>
    <row r="18577">
      <c r="N18577" s="1"/>
      <c r="V18577" s="5"/>
    </row>
    <row r="18578">
      <c r="N18578" s="1"/>
      <c r="V18578" s="5"/>
    </row>
    <row r="18579">
      <c r="N18579" s="1"/>
      <c r="V18579" s="5"/>
    </row>
    <row r="18580">
      <c r="N18580" s="1"/>
      <c r="V18580" s="5"/>
    </row>
    <row r="18581">
      <c r="N18581" s="1"/>
      <c r="V18581" s="5"/>
    </row>
    <row r="18582">
      <c r="N18582" s="1"/>
      <c r="V18582" s="5"/>
    </row>
    <row r="18583">
      <c r="N18583" s="1"/>
      <c r="V18583" s="5"/>
    </row>
    <row r="18584">
      <c r="N18584" s="1"/>
      <c r="V18584" s="5"/>
    </row>
    <row r="18585">
      <c r="N18585" s="1"/>
      <c r="V18585" s="5"/>
    </row>
    <row r="18586">
      <c r="N18586" s="1"/>
      <c r="V18586" s="5"/>
    </row>
    <row r="18587">
      <c r="N18587" s="1"/>
      <c r="V18587" s="5"/>
    </row>
    <row r="18588">
      <c r="N18588" s="1"/>
      <c r="V18588" s="5"/>
    </row>
    <row r="18589">
      <c r="N18589" s="1"/>
      <c r="V18589" s="5"/>
    </row>
    <row r="18590">
      <c r="N18590" s="1"/>
      <c r="V18590" s="5"/>
    </row>
    <row r="18591">
      <c r="N18591" s="1"/>
      <c r="V18591" s="5"/>
    </row>
    <row r="18592">
      <c r="N18592" s="1"/>
      <c r="V18592" s="5"/>
    </row>
    <row r="18593">
      <c r="N18593" s="1"/>
      <c r="V18593" s="5"/>
    </row>
    <row r="18594">
      <c r="N18594" s="1"/>
      <c r="V18594" s="5"/>
    </row>
    <row r="18595">
      <c r="N18595" s="1"/>
      <c r="V18595" s="5"/>
    </row>
    <row r="18596">
      <c r="N18596" s="1"/>
      <c r="V18596" s="5"/>
    </row>
    <row r="18597">
      <c r="N18597" s="1"/>
      <c r="V18597" s="5"/>
    </row>
    <row r="18598">
      <c r="N18598" s="1"/>
      <c r="V18598" s="5"/>
    </row>
    <row r="18599">
      <c r="N18599" s="1"/>
      <c r="V18599" s="5"/>
    </row>
    <row r="18600">
      <c r="N18600" s="1"/>
      <c r="V18600" s="5"/>
    </row>
    <row r="18601">
      <c r="N18601" s="1"/>
      <c r="V18601" s="5"/>
    </row>
    <row r="18602">
      <c r="N18602" s="1"/>
      <c r="V18602" s="5"/>
    </row>
    <row r="18603">
      <c r="N18603" s="1"/>
      <c r="V18603" s="5"/>
    </row>
    <row r="18604">
      <c r="N18604" s="1"/>
      <c r="V18604" s="5"/>
    </row>
    <row r="18605">
      <c r="N18605" s="1"/>
      <c r="V18605" s="5"/>
    </row>
    <row r="18606">
      <c r="N18606" s="1"/>
      <c r="V18606" s="5"/>
    </row>
    <row r="18607">
      <c r="N18607" s="1"/>
      <c r="V18607" s="5"/>
    </row>
    <row r="18608">
      <c r="N18608" s="1"/>
      <c r="V18608" s="5"/>
    </row>
    <row r="18609">
      <c r="N18609" s="1"/>
      <c r="V18609" s="5"/>
    </row>
    <row r="18610">
      <c r="N18610" s="1"/>
      <c r="V18610" s="5"/>
    </row>
    <row r="18611">
      <c r="N18611" s="1"/>
      <c r="V18611" s="5"/>
    </row>
    <row r="18612">
      <c r="N18612" s="1"/>
      <c r="V18612" s="5"/>
    </row>
    <row r="18613">
      <c r="N18613" s="1"/>
      <c r="V18613" s="5"/>
    </row>
    <row r="18614">
      <c r="N18614" s="1"/>
      <c r="V18614" s="5"/>
    </row>
    <row r="18615">
      <c r="N18615" s="1"/>
      <c r="V18615" s="5"/>
    </row>
    <row r="18616">
      <c r="N18616" s="1"/>
      <c r="V18616" s="5"/>
    </row>
    <row r="18617">
      <c r="N18617" s="1"/>
      <c r="V18617" s="5"/>
    </row>
    <row r="18618">
      <c r="N18618" s="1"/>
      <c r="V18618" s="5"/>
    </row>
    <row r="18619">
      <c r="N18619" s="1"/>
      <c r="V18619" s="5"/>
    </row>
    <row r="18620">
      <c r="N18620" s="1"/>
      <c r="V18620" s="5"/>
    </row>
    <row r="18621">
      <c r="N18621" s="1"/>
      <c r="V18621" s="5"/>
    </row>
    <row r="18622">
      <c r="N18622" s="1"/>
      <c r="V18622" s="5"/>
    </row>
    <row r="18623">
      <c r="N18623" s="1"/>
      <c r="V18623" s="5"/>
    </row>
    <row r="18624">
      <c r="N18624" s="1"/>
      <c r="V18624" s="5"/>
    </row>
    <row r="18625">
      <c r="N18625" s="1"/>
      <c r="V18625" s="5"/>
    </row>
    <row r="18626">
      <c r="N18626" s="1"/>
      <c r="V18626" s="5"/>
    </row>
    <row r="18627">
      <c r="N18627" s="1"/>
      <c r="V18627" s="5"/>
    </row>
    <row r="18628">
      <c r="N18628" s="1"/>
      <c r="V18628" s="5"/>
    </row>
    <row r="18629">
      <c r="N18629" s="1"/>
      <c r="V18629" s="5"/>
    </row>
    <row r="18630">
      <c r="N18630" s="1"/>
      <c r="V18630" s="5"/>
    </row>
    <row r="18631">
      <c r="N18631" s="1"/>
      <c r="V18631" s="5"/>
    </row>
    <row r="18632">
      <c r="N18632" s="1"/>
      <c r="V18632" s="5"/>
    </row>
    <row r="18633">
      <c r="N18633" s="1"/>
      <c r="V18633" s="5"/>
    </row>
    <row r="18634">
      <c r="N18634" s="1"/>
      <c r="V18634" s="5"/>
    </row>
    <row r="18635">
      <c r="N18635" s="1"/>
      <c r="V18635" s="5"/>
    </row>
    <row r="18636">
      <c r="N18636" s="1"/>
      <c r="V18636" s="5"/>
    </row>
    <row r="18637">
      <c r="N18637" s="1"/>
      <c r="V18637" s="5"/>
    </row>
    <row r="18638">
      <c r="N18638" s="1"/>
      <c r="V18638" s="5"/>
    </row>
    <row r="18639">
      <c r="N18639" s="1"/>
      <c r="V18639" s="5"/>
    </row>
    <row r="18640">
      <c r="N18640" s="1"/>
      <c r="V18640" s="5"/>
    </row>
    <row r="18641">
      <c r="N18641" s="1"/>
      <c r="V18641" s="5"/>
    </row>
    <row r="18642">
      <c r="N18642" s="1"/>
      <c r="V18642" s="5"/>
    </row>
    <row r="18643">
      <c r="N18643" s="1"/>
      <c r="V18643" s="5"/>
    </row>
    <row r="18644">
      <c r="N18644" s="1"/>
      <c r="V18644" s="5"/>
    </row>
    <row r="18645">
      <c r="N18645" s="1"/>
      <c r="V18645" s="5"/>
    </row>
    <row r="18646">
      <c r="N18646" s="1"/>
      <c r="V18646" s="5"/>
    </row>
    <row r="18647">
      <c r="N18647" s="1"/>
      <c r="V18647" s="5"/>
    </row>
    <row r="18648">
      <c r="N18648" s="1"/>
      <c r="V18648" s="5"/>
    </row>
    <row r="18649">
      <c r="N18649" s="1"/>
      <c r="V18649" s="5"/>
    </row>
    <row r="18650">
      <c r="N18650" s="1"/>
      <c r="V18650" s="5"/>
    </row>
    <row r="18651">
      <c r="N18651" s="1"/>
      <c r="V18651" s="5"/>
    </row>
    <row r="18652">
      <c r="N18652" s="1"/>
      <c r="V18652" s="5"/>
    </row>
    <row r="18653">
      <c r="N18653" s="1"/>
      <c r="V18653" s="5"/>
    </row>
    <row r="18654">
      <c r="N18654" s="1"/>
      <c r="V18654" s="5"/>
    </row>
    <row r="18655">
      <c r="N18655" s="1"/>
      <c r="V18655" s="5"/>
    </row>
    <row r="18656">
      <c r="N18656" s="1"/>
      <c r="V18656" s="5"/>
    </row>
    <row r="18657">
      <c r="N18657" s="1"/>
      <c r="V18657" s="5"/>
    </row>
    <row r="18658">
      <c r="N18658" s="1"/>
      <c r="V18658" s="5"/>
    </row>
    <row r="18659">
      <c r="N18659" s="1"/>
      <c r="V18659" s="5"/>
    </row>
    <row r="18660">
      <c r="N18660" s="1"/>
      <c r="V18660" s="5"/>
    </row>
    <row r="18661">
      <c r="N18661" s="1"/>
      <c r="V18661" s="5"/>
    </row>
    <row r="18662">
      <c r="N18662" s="1"/>
      <c r="V18662" s="5"/>
    </row>
    <row r="18663">
      <c r="N18663" s="1"/>
      <c r="V18663" s="5"/>
    </row>
    <row r="18664">
      <c r="N18664" s="1"/>
      <c r="V18664" s="5"/>
    </row>
    <row r="18665">
      <c r="N18665" s="1"/>
      <c r="V18665" s="5"/>
    </row>
    <row r="18666">
      <c r="N18666" s="1"/>
      <c r="V18666" s="5"/>
    </row>
    <row r="18667">
      <c r="N18667" s="1"/>
      <c r="V18667" s="5"/>
    </row>
    <row r="18668">
      <c r="N18668" s="1"/>
      <c r="V18668" s="5"/>
    </row>
    <row r="18669">
      <c r="N18669" s="1"/>
      <c r="V18669" s="5"/>
    </row>
    <row r="18670">
      <c r="N18670" s="1"/>
      <c r="V18670" s="5"/>
    </row>
    <row r="18671">
      <c r="N18671" s="1"/>
      <c r="V18671" s="5"/>
    </row>
    <row r="18672">
      <c r="N18672" s="1"/>
      <c r="V18672" s="5"/>
    </row>
    <row r="18673">
      <c r="N18673" s="1"/>
      <c r="V18673" s="5"/>
    </row>
    <row r="18674">
      <c r="N18674" s="1"/>
      <c r="V18674" s="5"/>
    </row>
    <row r="18675">
      <c r="N18675" s="1"/>
      <c r="V18675" s="5"/>
    </row>
    <row r="18676">
      <c r="N18676" s="1"/>
      <c r="V18676" s="5"/>
    </row>
    <row r="18677">
      <c r="N18677" s="1"/>
      <c r="V18677" s="5"/>
    </row>
    <row r="18678">
      <c r="N18678" s="1"/>
      <c r="V18678" s="5"/>
    </row>
    <row r="18679">
      <c r="N18679" s="1"/>
      <c r="V18679" s="5"/>
    </row>
    <row r="18680">
      <c r="N18680" s="1"/>
      <c r="V18680" s="5"/>
    </row>
    <row r="18681">
      <c r="N18681" s="1"/>
      <c r="V18681" s="5"/>
    </row>
    <row r="18682">
      <c r="N18682" s="1"/>
      <c r="V18682" s="5"/>
    </row>
    <row r="18683">
      <c r="N18683" s="1"/>
      <c r="V18683" s="5"/>
    </row>
    <row r="18684">
      <c r="N18684" s="1"/>
      <c r="V18684" s="5"/>
    </row>
    <row r="18685">
      <c r="N18685" s="1"/>
      <c r="V18685" s="5"/>
    </row>
    <row r="18686">
      <c r="N18686" s="1"/>
      <c r="V18686" s="5"/>
    </row>
    <row r="18687">
      <c r="N18687" s="1"/>
      <c r="V18687" s="5"/>
    </row>
    <row r="18688">
      <c r="N18688" s="1"/>
      <c r="V18688" s="5"/>
    </row>
    <row r="18689">
      <c r="N18689" s="1"/>
      <c r="V18689" s="5"/>
    </row>
    <row r="18690">
      <c r="N18690" s="1"/>
      <c r="V18690" s="5"/>
    </row>
    <row r="18691">
      <c r="N18691" s="1"/>
      <c r="V18691" s="5"/>
    </row>
    <row r="18692">
      <c r="N18692" s="1"/>
      <c r="V18692" s="5"/>
    </row>
    <row r="18693">
      <c r="N18693" s="1"/>
      <c r="V18693" s="5"/>
    </row>
    <row r="18694">
      <c r="N18694" s="1"/>
      <c r="V18694" s="5"/>
    </row>
    <row r="18695">
      <c r="N18695" s="1"/>
      <c r="V18695" s="5"/>
    </row>
    <row r="18696">
      <c r="N18696" s="1"/>
      <c r="V18696" s="5"/>
    </row>
    <row r="18697">
      <c r="N18697" s="1"/>
      <c r="V18697" s="5"/>
    </row>
    <row r="18698">
      <c r="N18698" s="1"/>
      <c r="V18698" s="5"/>
    </row>
    <row r="18699">
      <c r="N18699" s="1"/>
      <c r="V18699" s="5"/>
    </row>
    <row r="18700">
      <c r="N18700" s="1"/>
      <c r="V18700" s="5"/>
    </row>
    <row r="18701">
      <c r="N18701" s="1"/>
      <c r="V18701" s="5"/>
    </row>
    <row r="18702">
      <c r="N18702" s="1"/>
      <c r="V18702" s="5"/>
    </row>
    <row r="18703">
      <c r="N18703" s="1"/>
      <c r="V18703" s="5"/>
    </row>
    <row r="18704">
      <c r="N18704" s="1"/>
      <c r="V18704" s="5"/>
    </row>
    <row r="18705">
      <c r="N18705" s="1"/>
      <c r="V18705" s="5"/>
    </row>
    <row r="18706">
      <c r="N18706" s="1"/>
      <c r="V18706" s="5"/>
    </row>
    <row r="18707">
      <c r="N18707" s="1"/>
      <c r="V18707" s="5"/>
    </row>
    <row r="18708">
      <c r="N18708" s="1"/>
      <c r="V18708" s="5"/>
    </row>
    <row r="18709">
      <c r="N18709" s="1"/>
      <c r="V18709" s="5"/>
    </row>
    <row r="18710">
      <c r="N18710" s="1"/>
      <c r="V18710" s="5"/>
    </row>
    <row r="18711">
      <c r="N18711" s="1"/>
      <c r="V18711" s="5"/>
    </row>
    <row r="18712">
      <c r="N18712" s="1"/>
      <c r="V18712" s="5"/>
    </row>
    <row r="18713">
      <c r="N18713" s="1"/>
      <c r="V18713" s="5"/>
    </row>
    <row r="18714">
      <c r="N18714" s="1"/>
      <c r="V18714" s="5"/>
    </row>
    <row r="18715">
      <c r="N18715" s="1"/>
      <c r="V18715" s="5"/>
    </row>
    <row r="18716">
      <c r="N18716" s="1"/>
      <c r="V18716" s="5"/>
    </row>
    <row r="18717">
      <c r="N18717" s="1"/>
      <c r="V18717" s="5"/>
    </row>
    <row r="18718">
      <c r="N18718" s="1"/>
      <c r="V18718" s="5"/>
    </row>
    <row r="18719">
      <c r="N18719" s="1"/>
      <c r="V18719" s="5"/>
    </row>
    <row r="18720">
      <c r="N18720" s="1"/>
      <c r="V18720" s="5"/>
    </row>
    <row r="18721">
      <c r="N18721" s="1"/>
      <c r="V18721" s="5"/>
    </row>
    <row r="18722">
      <c r="N18722" s="1"/>
      <c r="V18722" s="5"/>
    </row>
    <row r="18723">
      <c r="N18723" s="1"/>
      <c r="V18723" s="5"/>
    </row>
    <row r="18724">
      <c r="N18724" s="1"/>
      <c r="V18724" s="5"/>
    </row>
    <row r="18725">
      <c r="N18725" s="1"/>
      <c r="V18725" s="5"/>
    </row>
    <row r="18726">
      <c r="N18726" s="1"/>
      <c r="V18726" s="5"/>
    </row>
    <row r="18727">
      <c r="N18727" s="1"/>
      <c r="V18727" s="5"/>
    </row>
    <row r="18728">
      <c r="N18728" s="1"/>
      <c r="V18728" s="5"/>
    </row>
    <row r="18729">
      <c r="N18729" s="1"/>
      <c r="V18729" s="5"/>
    </row>
    <row r="18730">
      <c r="N18730" s="1"/>
      <c r="V18730" s="5"/>
    </row>
    <row r="18731">
      <c r="N18731" s="1"/>
      <c r="V18731" s="5"/>
    </row>
    <row r="18732">
      <c r="N18732" s="1"/>
      <c r="V18732" s="5"/>
    </row>
    <row r="18733">
      <c r="N18733" s="1"/>
      <c r="V18733" s="5"/>
    </row>
    <row r="18734">
      <c r="N18734" s="1"/>
      <c r="V18734" s="5"/>
    </row>
    <row r="18735">
      <c r="N18735" s="1"/>
      <c r="V18735" s="5"/>
    </row>
    <row r="18736">
      <c r="N18736" s="1"/>
      <c r="V18736" s="5"/>
    </row>
    <row r="18737">
      <c r="N18737" s="1"/>
      <c r="V18737" s="5"/>
    </row>
    <row r="18738">
      <c r="N18738" s="1"/>
      <c r="V18738" s="5"/>
    </row>
    <row r="18739">
      <c r="N18739" s="1"/>
      <c r="V18739" s="5"/>
    </row>
    <row r="18740">
      <c r="N18740" s="1"/>
      <c r="V18740" s="5"/>
    </row>
    <row r="18741">
      <c r="N18741" s="1"/>
      <c r="V18741" s="5"/>
    </row>
    <row r="18742">
      <c r="N18742" s="1"/>
      <c r="V18742" s="5"/>
    </row>
    <row r="18743">
      <c r="N18743" s="1"/>
      <c r="V18743" s="5"/>
    </row>
    <row r="18744">
      <c r="N18744" s="1"/>
      <c r="V18744" s="5"/>
    </row>
    <row r="18745">
      <c r="N18745" s="1"/>
      <c r="V18745" s="5"/>
    </row>
    <row r="18746">
      <c r="N18746" s="1"/>
      <c r="V18746" s="5"/>
    </row>
    <row r="18747">
      <c r="N18747" s="1"/>
      <c r="V18747" s="5"/>
    </row>
    <row r="18748">
      <c r="N18748" s="1"/>
      <c r="V18748" s="5"/>
    </row>
    <row r="18749">
      <c r="N18749" s="1"/>
      <c r="V18749" s="5"/>
    </row>
    <row r="18750">
      <c r="N18750" s="1"/>
      <c r="V18750" s="5"/>
    </row>
    <row r="18751">
      <c r="N18751" s="1"/>
      <c r="V18751" s="5"/>
    </row>
    <row r="18752">
      <c r="N18752" s="1"/>
      <c r="V18752" s="5"/>
    </row>
    <row r="18753">
      <c r="N18753" s="1"/>
      <c r="V18753" s="5"/>
    </row>
    <row r="18754">
      <c r="N18754" s="1"/>
      <c r="V18754" s="5"/>
    </row>
    <row r="18755">
      <c r="N18755" s="1"/>
      <c r="V18755" s="5"/>
    </row>
    <row r="18756">
      <c r="N18756" s="1"/>
      <c r="V18756" s="5"/>
    </row>
    <row r="18757">
      <c r="N18757" s="1"/>
      <c r="V18757" s="5"/>
    </row>
    <row r="18758">
      <c r="N18758" s="1"/>
      <c r="V18758" s="5"/>
    </row>
    <row r="18759">
      <c r="N18759" s="1"/>
      <c r="V18759" s="5"/>
    </row>
    <row r="18760">
      <c r="N18760" s="1"/>
      <c r="V18760" s="5"/>
    </row>
    <row r="18761">
      <c r="N18761" s="1"/>
      <c r="V18761" s="5"/>
    </row>
    <row r="18762">
      <c r="N18762" s="1"/>
      <c r="V18762" s="5"/>
    </row>
    <row r="18763">
      <c r="N18763" s="1"/>
      <c r="V18763" s="5"/>
    </row>
    <row r="18764">
      <c r="N18764" s="1"/>
      <c r="V18764" s="5"/>
    </row>
    <row r="18765">
      <c r="N18765" s="1"/>
      <c r="V18765" s="5"/>
    </row>
    <row r="18766">
      <c r="N18766" s="1"/>
      <c r="V18766" s="5"/>
    </row>
    <row r="18767">
      <c r="N18767" s="1"/>
      <c r="V18767" s="5"/>
    </row>
    <row r="18768">
      <c r="N18768" s="1"/>
      <c r="V18768" s="5"/>
    </row>
    <row r="18769">
      <c r="N18769" s="1"/>
      <c r="V18769" s="5"/>
    </row>
    <row r="18770">
      <c r="N18770" s="1"/>
      <c r="V18770" s="5"/>
    </row>
    <row r="18771">
      <c r="N18771" s="1"/>
      <c r="V18771" s="5"/>
    </row>
    <row r="18772">
      <c r="N18772" s="1"/>
      <c r="V18772" s="5"/>
    </row>
    <row r="18773">
      <c r="N18773" s="1"/>
      <c r="V18773" s="5"/>
    </row>
    <row r="18774">
      <c r="N18774" s="1"/>
      <c r="V18774" s="5"/>
    </row>
    <row r="18775">
      <c r="N18775" s="1"/>
      <c r="V18775" s="5"/>
    </row>
    <row r="18776">
      <c r="N18776" s="1"/>
      <c r="V18776" s="5"/>
    </row>
    <row r="18777">
      <c r="N18777" s="1"/>
      <c r="V18777" s="5"/>
    </row>
    <row r="18778">
      <c r="N18778" s="1"/>
      <c r="V18778" s="5"/>
    </row>
    <row r="18779">
      <c r="N18779" s="1"/>
      <c r="V18779" s="5"/>
    </row>
    <row r="18780">
      <c r="N18780" s="1"/>
      <c r="V18780" s="5"/>
    </row>
    <row r="18781">
      <c r="N18781" s="1"/>
      <c r="V18781" s="5"/>
    </row>
    <row r="18782">
      <c r="N18782" s="1"/>
      <c r="V18782" s="5"/>
    </row>
    <row r="18783">
      <c r="N18783" s="1"/>
      <c r="V18783" s="5"/>
    </row>
    <row r="18784">
      <c r="N18784" s="1"/>
      <c r="V18784" s="5"/>
    </row>
    <row r="18785">
      <c r="N18785" s="1"/>
      <c r="V18785" s="5"/>
    </row>
    <row r="18786">
      <c r="N18786" s="1"/>
      <c r="V18786" s="5"/>
    </row>
    <row r="18787">
      <c r="N18787" s="1"/>
      <c r="V18787" s="5"/>
    </row>
    <row r="18788">
      <c r="N18788" s="1"/>
      <c r="V18788" s="5"/>
    </row>
    <row r="18789">
      <c r="N18789" s="1"/>
      <c r="V18789" s="5"/>
    </row>
    <row r="18790">
      <c r="N18790" s="1"/>
      <c r="V18790" s="5"/>
    </row>
    <row r="18791">
      <c r="N18791" s="1"/>
      <c r="V18791" s="5"/>
    </row>
    <row r="18792">
      <c r="N18792" s="1"/>
      <c r="V18792" s="5"/>
    </row>
    <row r="18793">
      <c r="N18793" s="1"/>
      <c r="V18793" s="5"/>
    </row>
    <row r="18794">
      <c r="N18794" s="1"/>
      <c r="V18794" s="5"/>
    </row>
    <row r="18795">
      <c r="N18795" s="1"/>
      <c r="V18795" s="5"/>
    </row>
    <row r="18796">
      <c r="N18796" s="1"/>
      <c r="V18796" s="5"/>
    </row>
    <row r="18797">
      <c r="N18797" s="1"/>
      <c r="V18797" s="5"/>
    </row>
    <row r="18798">
      <c r="N18798" s="1"/>
      <c r="V18798" s="5"/>
    </row>
    <row r="18799">
      <c r="N18799" s="1"/>
      <c r="V18799" s="5"/>
    </row>
    <row r="18800">
      <c r="N18800" s="1"/>
      <c r="V18800" s="5"/>
    </row>
    <row r="18801">
      <c r="N18801" s="1"/>
      <c r="V18801" s="5"/>
    </row>
    <row r="18802">
      <c r="N18802" s="1"/>
      <c r="V18802" s="5"/>
    </row>
    <row r="18803">
      <c r="N18803" s="1"/>
      <c r="V18803" s="5"/>
    </row>
    <row r="18804">
      <c r="N18804" s="1"/>
      <c r="V18804" s="5"/>
    </row>
    <row r="18805">
      <c r="N18805" s="1"/>
      <c r="V18805" s="5"/>
    </row>
    <row r="18806">
      <c r="N18806" s="1"/>
      <c r="V18806" s="5"/>
    </row>
    <row r="18807">
      <c r="N18807" s="1"/>
      <c r="V18807" s="5"/>
    </row>
    <row r="18808">
      <c r="N18808" s="1"/>
      <c r="V18808" s="5"/>
    </row>
    <row r="18809">
      <c r="N18809" s="1"/>
      <c r="V18809" s="5"/>
    </row>
    <row r="18810">
      <c r="N18810" s="1"/>
      <c r="V18810" s="5"/>
    </row>
    <row r="18811">
      <c r="N18811" s="1"/>
      <c r="V18811" s="5"/>
    </row>
    <row r="18812">
      <c r="N18812" s="1"/>
      <c r="V18812" s="5"/>
    </row>
    <row r="18813">
      <c r="N18813" s="1"/>
      <c r="V18813" s="5"/>
    </row>
    <row r="18814">
      <c r="N18814" s="1"/>
      <c r="V18814" s="5"/>
    </row>
    <row r="18815">
      <c r="N18815" s="1"/>
      <c r="V18815" s="5"/>
    </row>
    <row r="18816">
      <c r="N18816" s="1"/>
      <c r="V18816" s="5"/>
    </row>
    <row r="18817">
      <c r="N18817" s="1"/>
      <c r="V18817" s="5"/>
    </row>
    <row r="18818">
      <c r="N18818" s="1"/>
      <c r="V18818" s="5"/>
    </row>
    <row r="18819">
      <c r="N18819" s="1"/>
      <c r="V18819" s="5"/>
    </row>
    <row r="18820">
      <c r="N18820" s="1"/>
      <c r="V18820" s="5"/>
    </row>
    <row r="18821">
      <c r="N18821" s="1"/>
      <c r="V18821" s="5"/>
    </row>
    <row r="18822">
      <c r="N18822" s="1"/>
      <c r="V18822" s="5"/>
    </row>
    <row r="18823">
      <c r="N18823" s="1"/>
      <c r="V18823" s="5"/>
    </row>
    <row r="18824">
      <c r="N18824" s="1"/>
      <c r="V18824" s="5"/>
    </row>
    <row r="18825">
      <c r="N18825" s="1"/>
      <c r="V18825" s="5"/>
    </row>
    <row r="18826">
      <c r="N18826" s="1"/>
      <c r="V18826" s="5"/>
    </row>
    <row r="18827">
      <c r="N18827" s="1"/>
      <c r="V18827" s="5"/>
    </row>
    <row r="18828">
      <c r="N18828" s="1"/>
      <c r="V18828" s="5"/>
    </row>
    <row r="18829">
      <c r="N18829" s="1"/>
      <c r="V18829" s="5"/>
    </row>
    <row r="18830">
      <c r="N18830" s="1"/>
      <c r="V18830" s="5"/>
    </row>
    <row r="18831">
      <c r="N18831" s="1"/>
      <c r="V18831" s="5"/>
    </row>
    <row r="18832">
      <c r="N18832" s="1"/>
      <c r="V18832" s="5"/>
    </row>
    <row r="18833">
      <c r="N18833" s="1"/>
      <c r="V18833" s="5"/>
    </row>
    <row r="18834">
      <c r="N18834" s="1"/>
      <c r="V18834" s="5"/>
    </row>
    <row r="18835">
      <c r="N18835" s="1"/>
      <c r="V18835" s="5"/>
    </row>
    <row r="18836">
      <c r="N18836" s="1"/>
      <c r="V18836" s="5"/>
    </row>
    <row r="18837">
      <c r="N18837" s="1"/>
      <c r="V18837" s="5"/>
    </row>
    <row r="18838">
      <c r="N18838" s="1"/>
      <c r="V18838" s="5"/>
    </row>
    <row r="18839">
      <c r="N18839" s="1"/>
      <c r="V18839" s="5"/>
    </row>
    <row r="18840">
      <c r="N18840" s="1"/>
      <c r="V18840" s="5"/>
    </row>
    <row r="18841">
      <c r="N18841" s="1"/>
      <c r="V18841" s="5"/>
    </row>
    <row r="18842">
      <c r="N18842" s="1"/>
      <c r="V18842" s="5"/>
    </row>
    <row r="18843">
      <c r="N18843" s="1"/>
      <c r="V18843" s="5"/>
    </row>
    <row r="18844">
      <c r="N18844" s="1"/>
      <c r="V18844" s="5"/>
    </row>
    <row r="18845">
      <c r="N18845" s="1"/>
      <c r="V18845" s="5"/>
    </row>
    <row r="18846">
      <c r="N18846" s="1"/>
      <c r="V18846" s="5"/>
    </row>
    <row r="18847">
      <c r="N18847" s="1"/>
      <c r="V18847" s="5"/>
    </row>
    <row r="18848">
      <c r="N18848" s="1"/>
      <c r="V18848" s="5"/>
    </row>
    <row r="18849">
      <c r="N18849" s="1"/>
      <c r="V18849" s="5"/>
    </row>
    <row r="18850">
      <c r="N18850" s="1"/>
      <c r="V18850" s="5"/>
    </row>
    <row r="18851">
      <c r="N18851" s="1"/>
      <c r="V18851" s="5"/>
    </row>
    <row r="18852">
      <c r="N18852" s="1"/>
      <c r="V18852" s="5"/>
    </row>
    <row r="18853">
      <c r="N18853" s="1"/>
      <c r="V18853" s="5"/>
    </row>
    <row r="18854">
      <c r="N18854" s="1"/>
      <c r="V18854" s="5"/>
    </row>
    <row r="18855">
      <c r="N18855" s="1"/>
      <c r="V18855" s="5"/>
    </row>
    <row r="18856">
      <c r="N18856" s="1"/>
      <c r="V18856" s="5"/>
    </row>
    <row r="18857">
      <c r="N18857" s="1"/>
      <c r="V18857" s="5"/>
    </row>
    <row r="18858">
      <c r="N18858" s="1"/>
      <c r="V18858" s="5"/>
    </row>
    <row r="18859">
      <c r="N18859" s="1"/>
      <c r="V18859" s="5"/>
    </row>
    <row r="18860">
      <c r="N18860" s="1"/>
      <c r="V18860" s="5"/>
    </row>
    <row r="18861">
      <c r="N18861" s="1"/>
      <c r="V18861" s="5"/>
    </row>
    <row r="18862">
      <c r="N18862" s="1"/>
      <c r="V18862" s="5"/>
    </row>
    <row r="18863">
      <c r="N18863" s="1"/>
      <c r="V18863" s="5"/>
    </row>
    <row r="18864">
      <c r="N18864" s="1"/>
      <c r="V18864" s="5"/>
    </row>
    <row r="18865">
      <c r="N18865" s="1"/>
      <c r="V18865" s="5"/>
    </row>
    <row r="18866">
      <c r="N18866" s="1"/>
      <c r="V18866" s="5"/>
    </row>
    <row r="18867">
      <c r="N18867" s="1"/>
      <c r="V18867" s="5"/>
    </row>
    <row r="18868">
      <c r="N18868" s="1"/>
      <c r="V18868" s="5"/>
    </row>
    <row r="18869">
      <c r="N18869" s="1"/>
      <c r="V18869" s="5"/>
    </row>
    <row r="18870">
      <c r="N18870" s="1"/>
      <c r="V18870" s="5"/>
    </row>
    <row r="18871">
      <c r="N18871" s="1"/>
      <c r="V18871" s="5"/>
    </row>
    <row r="18872">
      <c r="N18872" s="1"/>
      <c r="V18872" s="5"/>
    </row>
    <row r="18873">
      <c r="N18873" s="1"/>
      <c r="V18873" s="5"/>
    </row>
    <row r="18874">
      <c r="N18874" s="1"/>
      <c r="V18874" s="5"/>
    </row>
    <row r="18875">
      <c r="N18875" s="1"/>
      <c r="V18875" s="5"/>
    </row>
    <row r="18876">
      <c r="N18876" s="1"/>
      <c r="V18876" s="5"/>
    </row>
    <row r="18877">
      <c r="N18877" s="1"/>
      <c r="V18877" s="5"/>
    </row>
    <row r="18878">
      <c r="N18878" s="1"/>
      <c r="V18878" s="5"/>
    </row>
    <row r="18879">
      <c r="N18879" s="1"/>
      <c r="V18879" s="5"/>
    </row>
    <row r="18880">
      <c r="N18880" s="1"/>
      <c r="V18880" s="5"/>
    </row>
    <row r="18881">
      <c r="N18881" s="1"/>
      <c r="V18881" s="5"/>
    </row>
    <row r="18882">
      <c r="N18882" s="1"/>
      <c r="V18882" s="5"/>
    </row>
    <row r="18883">
      <c r="N18883" s="1"/>
      <c r="V18883" s="5"/>
    </row>
    <row r="18884">
      <c r="N18884" s="1"/>
      <c r="V18884" s="5"/>
    </row>
    <row r="18885">
      <c r="N18885" s="1"/>
      <c r="V18885" s="5"/>
    </row>
    <row r="18886">
      <c r="N18886" s="1"/>
      <c r="V18886" s="5"/>
    </row>
    <row r="18887">
      <c r="N18887" s="1"/>
      <c r="V18887" s="5"/>
    </row>
    <row r="18888">
      <c r="N18888" s="1"/>
      <c r="V18888" s="5"/>
    </row>
    <row r="18889">
      <c r="N18889" s="1"/>
      <c r="V18889" s="5"/>
    </row>
    <row r="18890">
      <c r="N18890" s="1"/>
      <c r="V18890" s="5"/>
    </row>
    <row r="18891">
      <c r="N18891" s="1"/>
      <c r="V18891" s="5"/>
    </row>
    <row r="18892">
      <c r="N18892" s="1"/>
      <c r="V18892" s="5"/>
    </row>
    <row r="18893">
      <c r="N18893" s="1"/>
      <c r="V18893" s="5"/>
    </row>
    <row r="18894">
      <c r="N18894" s="1"/>
      <c r="V18894" s="5"/>
    </row>
    <row r="18895">
      <c r="N18895" s="1"/>
      <c r="V18895" s="5"/>
    </row>
    <row r="18896">
      <c r="N18896" s="1"/>
      <c r="V18896" s="5"/>
    </row>
    <row r="18897">
      <c r="N18897" s="1"/>
      <c r="V18897" s="5"/>
    </row>
    <row r="18898">
      <c r="N18898" s="1"/>
      <c r="V18898" s="5"/>
    </row>
    <row r="18899">
      <c r="N18899" s="1"/>
      <c r="V18899" s="5"/>
    </row>
    <row r="18900">
      <c r="N18900" s="1"/>
      <c r="V18900" s="5"/>
    </row>
    <row r="18901">
      <c r="N18901" s="1"/>
      <c r="V18901" s="5"/>
    </row>
    <row r="18902">
      <c r="N18902" s="1"/>
      <c r="V18902" s="5"/>
    </row>
    <row r="18903">
      <c r="N18903" s="1"/>
      <c r="V18903" s="5"/>
    </row>
    <row r="18904">
      <c r="N18904" s="1"/>
      <c r="V18904" s="5"/>
    </row>
    <row r="18905">
      <c r="N18905" s="1"/>
      <c r="V18905" s="5"/>
    </row>
    <row r="18906">
      <c r="N18906" s="1"/>
      <c r="V18906" s="5"/>
    </row>
    <row r="18907">
      <c r="N18907" s="1"/>
      <c r="V18907" s="5"/>
    </row>
    <row r="18908">
      <c r="N18908" s="1"/>
      <c r="V18908" s="5"/>
    </row>
    <row r="18909">
      <c r="N18909" s="1"/>
      <c r="V18909" s="5"/>
    </row>
    <row r="18910">
      <c r="N18910" s="1"/>
      <c r="V18910" s="5"/>
    </row>
    <row r="18911">
      <c r="N18911" s="1"/>
      <c r="V18911" s="5"/>
    </row>
    <row r="18912">
      <c r="N18912" s="1"/>
      <c r="V18912" s="5"/>
    </row>
    <row r="18913">
      <c r="N18913" s="1"/>
      <c r="V18913" s="5"/>
    </row>
    <row r="18914">
      <c r="N18914" s="1"/>
      <c r="V18914" s="5"/>
    </row>
    <row r="18915">
      <c r="N18915" s="1"/>
      <c r="V18915" s="5"/>
    </row>
    <row r="18916">
      <c r="N18916" s="1"/>
      <c r="V18916" s="5"/>
    </row>
    <row r="18917">
      <c r="N18917" s="1"/>
      <c r="V18917" s="5"/>
    </row>
    <row r="18918">
      <c r="N18918" s="1"/>
      <c r="V18918" s="5"/>
    </row>
    <row r="18919">
      <c r="N18919" s="1"/>
      <c r="V18919" s="5"/>
    </row>
    <row r="18920">
      <c r="N18920" s="1"/>
      <c r="V18920" s="5"/>
    </row>
    <row r="18921">
      <c r="N18921" s="1"/>
      <c r="V18921" s="5"/>
    </row>
    <row r="18922">
      <c r="N18922" s="1"/>
      <c r="V18922" s="5"/>
    </row>
    <row r="18923">
      <c r="N18923" s="1"/>
      <c r="V18923" s="5"/>
    </row>
    <row r="18924">
      <c r="N18924" s="1"/>
      <c r="V18924" s="5"/>
    </row>
    <row r="18925">
      <c r="N18925" s="1"/>
      <c r="V18925" s="5"/>
    </row>
    <row r="18926">
      <c r="N18926" s="1"/>
      <c r="V18926" s="5"/>
    </row>
    <row r="18927">
      <c r="N18927" s="1"/>
      <c r="V18927" s="5"/>
    </row>
    <row r="18928">
      <c r="N18928" s="1"/>
      <c r="V18928" s="5"/>
    </row>
    <row r="18929">
      <c r="N18929" s="1"/>
      <c r="V18929" s="5"/>
    </row>
    <row r="18930">
      <c r="N18930" s="1"/>
      <c r="V18930" s="5"/>
    </row>
    <row r="18931">
      <c r="N18931" s="1"/>
      <c r="V18931" s="5"/>
    </row>
    <row r="18932">
      <c r="N18932" s="1"/>
      <c r="V18932" s="5"/>
    </row>
    <row r="18933">
      <c r="N18933" s="1"/>
      <c r="V18933" s="5"/>
    </row>
    <row r="18934">
      <c r="N18934" s="1"/>
      <c r="V18934" s="5"/>
    </row>
    <row r="18935">
      <c r="N18935" s="1"/>
      <c r="V18935" s="5"/>
    </row>
    <row r="18936">
      <c r="N18936" s="1"/>
      <c r="V18936" s="5"/>
    </row>
    <row r="18937">
      <c r="N18937" s="1"/>
      <c r="V18937" s="5"/>
    </row>
    <row r="18938">
      <c r="N18938" s="1"/>
      <c r="V18938" s="5"/>
    </row>
    <row r="18939">
      <c r="N18939" s="1"/>
      <c r="V18939" s="5"/>
    </row>
    <row r="18940">
      <c r="N18940" s="1"/>
      <c r="V18940" s="5"/>
    </row>
    <row r="18941">
      <c r="N18941" s="1"/>
      <c r="V18941" s="5"/>
    </row>
    <row r="18942">
      <c r="N18942" s="1"/>
      <c r="V18942" s="5"/>
    </row>
    <row r="18943">
      <c r="N18943" s="1"/>
      <c r="V18943" s="5"/>
    </row>
    <row r="18944">
      <c r="N18944" s="1"/>
      <c r="V18944" s="5"/>
    </row>
    <row r="18945">
      <c r="N18945" s="1"/>
      <c r="V18945" s="5"/>
    </row>
    <row r="18946">
      <c r="N18946" s="1"/>
      <c r="V18946" s="5"/>
    </row>
    <row r="18947">
      <c r="N18947" s="1"/>
      <c r="V18947" s="5"/>
    </row>
    <row r="18948">
      <c r="N18948" s="1"/>
      <c r="V18948" s="5"/>
    </row>
    <row r="18949">
      <c r="N18949" s="1"/>
      <c r="V18949" s="5"/>
    </row>
    <row r="18950">
      <c r="N18950" s="1"/>
      <c r="V18950" s="5"/>
    </row>
    <row r="18951">
      <c r="N18951" s="1"/>
      <c r="V18951" s="5"/>
    </row>
    <row r="18952">
      <c r="N18952" s="1"/>
      <c r="V18952" s="5"/>
    </row>
    <row r="18953">
      <c r="N18953" s="1"/>
      <c r="V18953" s="5"/>
    </row>
    <row r="18954">
      <c r="N18954" s="1"/>
      <c r="V18954" s="5"/>
    </row>
    <row r="18955">
      <c r="N18955" s="1"/>
      <c r="V18955" s="5"/>
    </row>
    <row r="18956">
      <c r="N18956" s="1"/>
      <c r="V18956" s="5"/>
    </row>
    <row r="18957">
      <c r="N18957" s="1"/>
      <c r="V18957" s="5"/>
    </row>
    <row r="18958">
      <c r="N18958" s="1"/>
      <c r="V18958" s="5"/>
    </row>
    <row r="18959">
      <c r="N18959" s="1"/>
      <c r="V18959" s="5"/>
    </row>
    <row r="18960">
      <c r="N18960" s="1"/>
      <c r="V18960" s="5"/>
    </row>
    <row r="18961">
      <c r="N18961" s="1"/>
      <c r="V18961" s="5"/>
    </row>
    <row r="18962">
      <c r="N18962" s="1"/>
      <c r="V18962" s="5"/>
    </row>
    <row r="18963">
      <c r="N18963" s="1"/>
      <c r="V18963" s="5"/>
    </row>
    <row r="18964">
      <c r="N18964" s="1"/>
      <c r="V18964" s="5"/>
    </row>
    <row r="18965">
      <c r="N18965" s="1"/>
      <c r="V18965" s="5"/>
    </row>
    <row r="18966">
      <c r="N18966" s="1"/>
      <c r="V18966" s="5"/>
    </row>
    <row r="18967">
      <c r="N18967" s="1"/>
      <c r="V18967" s="5"/>
    </row>
    <row r="18968">
      <c r="N18968" s="1"/>
      <c r="V18968" s="5"/>
    </row>
    <row r="18969">
      <c r="N18969" s="1"/>
      <c r="V18969" s="5"/>
    </row>
    <row r="18970">
      <c r="N18970" s="1"/>
      <c r="V18970" s="5"/>
    </row>
    <row r="18971">
      <c r="N18971" s="1"/>
      <c r="V18971" s="5"/>
    </row>
    <row r="18972">
      <c r="N18972" s="1"/>
      <c r="V18972" s="5"/>
    </row>
    <row r="18973">
      <c r="N18973" s="1"/>
      <c r="V18973" s="5"/>
    </row>
    <row r="18974">
      <c r="N18974" s="1"/>
      <c r="V18974" s="5"/>
    </row>
    <row r="18975">
      <c r="N18975" s="1"/>
      <c r="V18975" s="5"/>
    </row>
    <row r="18976">
      <c r="N18976" s="1"/>
      <c r="V18976" s="5"/>
    </row>
    <row r="18977">
      <c r="N18977" s="1"/>
      <c r="V18977" s="5"/>
    </row>
    <row r="18978">
      <c r="N18978" s="1"/>
      <c r="V18978" s="5"/>
    </row>
    <row r="18979">
      <c r="N18979" s="1"/>
      <c r="V18979" s="5"/>
    </row>
    <row r="18980">
      <c r="N18980" s="1"/>
      <c r="V18980" s="5"/>
    </row>
    <row r="18981">
      <c r="N18981" s="1"/>
      <c r="V18981" s="5"/>
    </row>
    <row r="18982">
      <c r="N18982" s="1"/>
      <c r="V18982" s="5"/>
    </row>
    <row r="18983">
      <c r="N18983" s="1"/>
      <c r="V18983" s="5"/>
    </row>
    <row r="18984">
      <c r="N18984" s="1"/>
      <c r="V18984" s="5"/>
    </row>
    <row r="18985">
      <c r="N18985" s="1"/>
      <c r="V18985" s="5"/>
    </row>
    <row r="18986">
      <c r="N18986" s="1"/>
      <c r="V18986" s="5"/>
    </row>
    <row r="18987">
      <c r="N18987" s="1"/>
      <c r="V18987" s="5"/>
    </row>
    <row r="18988">
      <c r="N18988" s="1"/>
      <c r="V18988" s="5"/>
    </row>
    <row r="18989">
      <c r="N18989" s="1"/>
      <c r="V18989" s="5"/>
    </row>
    <row r="18990">
      <c r="N18990" s="1"/>
      <c r="V18990" s="5"/>
    </row>
    <row r="18991">
      <c r="N18991" s="1"/>
      <c r="V18991" s="5"/>
    </row>
    <row r="18992">
      <c r="N18992" s="1"/>
      <c r="V18992" s="5"/>
    </row>
    <row r="18993">
      <c r="N18993" s="1"/>
      <c r="V18993" s="5"/>
    </row>
    <row r="18994">
      <c r="N18994" s="1"/>
      <c r="V18994" s="5"/>
    </row>
    <row r="18995">
      <c r="N18995" s="1"/>
      <c r="V18995" s="5"/>
    </row>
    <row r="18996">
      <c r="N18996" s="1"/>
      <c r="V18996" s="5"/>
    </row>
    <row r="18997">
      <c r="N18997" s="1"/>
      <c r="V18997" s="5"/>
    </row>
    <row r="18998">
      <c r="N18998" s="1"/>
      <c r="V18998" s="5"/>
    </row>
    <row r="18999">
      <c r="N18999" s="1"/>
      <c r="V18999" s="5"/>
    </row>
    <row r="19000">
      <c r="N19000" s="1"/>
      <c r="V19000" s="5"/>
    </row>
    <row r="19001">
      <c r="N19001" s="1"/>
      <c r="V19001" s="5"/>
    </row>
    <row r="19002">
      <c r="N19002" s="1"/>
      <c r="V19002" s="5"/>
    </row>
    <row r="19003">
      <c r="N19003" s="1"/>
      <c r="V19003" s="5"/>
    </row>
    <row r="19004">
      <c r="N19004" s="1"/>
      <c r="V19004" s="5"/>
    </row>
    <row r="19005">
      <c r="N19005" s="1"/>
      <c r="V19005" s="5"/>
    </row>
    <row r="19006">
      <c r="N19006" s="1"/>
      <c r="V19006" s="5"/>
    </row>
    <row r="19007">
      <c r="N19007" s="1"/>
      <c r="V19007" s="5"/>
    </row>
    <row r="19008">
      <c r="N19008" s="1"/>
      <c r="V19008" s="5"/>
    </row>
    <row r="19009">
      <c r="N19009" s="1"/>
      <c r="V19009" s="5"/>
    </row>
    <row r="19010">
      <c r="N19010" s="1"/>
      <c r="V19010" s="5"/>
    </row>
    <row r="19011">
      <c r="N19011" s="1"/>
      <c r="V19011" s="5"/>
    </row>
    <row r="19012">
      <c r="N19012" s="1"/>
      <c r="V19012" s="5"/>
    </row>
    <row r="19013">
      <c r="N19013" s="1"/>
      <c r="V19013" s="5"/>
    </row>
    <row r="19014">
      <c r="N19014" s="1"/>
      <c r="V19014" s="5"/>
    </row>
    <row r="19015">
      <c r="N19015" s="1"/>
      <c r="V19015" s="5"/>
    </row>
    <row r="19016">
      <c r="N19016" s="1"/>
      <c r="V19016" s="5"/>
    </row>
    <row r="19017">
      <c r="N19017" s="1"/>
      <c r="V19017" s="5"/>
    </row>
    <row r="19018">
      <c r="N19018" s="1"/>
      <c r="V19018" s="5"/>
    </row>
    <row r="19019">
      <c r="N19019" s="1"/>
      <c r="V19019" s="5"/>
    </row>
    <row r="19020">
      <c r="N19020" s="1"/>
      <c r="V19020" s="5"/>
    </row>
    <row r="19021">
      <c r="N19021" s="1"/>
      <c r="V19021" s="5"/>
    </row>
    <row r="19022">
      <c r="N19022" s="1"/>
      <c r="V19022" s="5"/>
    </row>
    <row r="19023">
      <c r="N19023" s="1"/>
      <c r="V19023" s="5"/>
    </row>
    <row r="19024">
      <c r="N19024" s="1"/>
      <c r="V19024" s="5"/>
    </row>
    <row r="19025">
      <c r="N19025" s="1"/>
      <c r="V19025" s="5"/>
    </row>
    <row r="19026">
      <c r="N19026" s="1"/>
      <c r="V19026" s="5"/>
    </row>
    <row r="19027">
      <c r="N19027" s="1"/>
      <c r="V19027" s="5"/>
    </row>
    <row r="19028">
      <c r="N19028" s="1"/>
      <c r="V19028" s="5"/>
    </row>
    <row r="19029">
      <c r="N19029" s="1"/>
      <c r="V19029" s="5"/>
    </row>
    <row r="19030">
      <c r="N19030" s="1"/>
      <c r="V19030" s="5"/>
    </row>
    <row r="19031">
      <c r="N19031" s="1"/>
      <c r="V19031" s="5"/>
    </row>
    <row r="19032">
      <c r="N19032" s="1"/>
      <c r="V19032" s="5"/>
    </row>
    <row r="19033">
      <c r="N19033" s="1"/>
      <c r="V19033" s="5"/>
    </row>
    <row r="19034">
      <c r="N19034" s="1"/>
      <c r="V19034" s="5"/>
    </row>
    <row r="19035">
      <c r="N19035" s="1"/>
      <c r="V19035" s="5"/>
    </row>
    <row r="19036">
      <c r="N19036" s="1"/>
      <c r="V19036" s="5"/>
    </row>
    <row r="19037">
      <c r="N19037" s="1"/>
      <c r="V19037" s="5"/>
    </row>
    <row r="19038">
      <c r="N19038" s="1"/>
      <c r="V19038" s="5"/>
    </row>
    <row r="19039">
      <c r="N19039" s="1"/>
      <c r="V19039" s="5"/>
    </row>
    <row r="19040">
      <c r="N19040" s="1"/>
      <c r="V19040" s="5"/>
    </row>
    <row r="19041">
      <c r="N19041" s="1"/>
      <c r="V19041" s="5"/>
    </row>
    <row r="19042">
      <c r="N19042" s="1"/>
      <c r="V19042" s="5"/>
    </row>
    <row r="19043">
      <c r="N19043" s="1"/>
      <c r="V19043" s="5"/>
    </row>
    <row r="19044">
      <c r="N19044" s="1"/>
      <c r="V19044" s="5"/>
    </row>
    <row r="19045">
      <c r="N19045" s="1"/>
      <c r="V19045" s="5"/>
    </row>
    <row r="19046">
      <c r="N19046" s="1"/>
      <c r="V19046" s="5"/>
    </row>
    <row r="19047">
      <c r="N19047" s="1"/>
      <c r="V19047" s="5"/>
    </row>
    <row r="19048">
      <c r="N19048" s="1"/>
      <c r="V19048" s="5"/>
    </row>
    <row r="19049">
      <c r="N19049" s="1"/>
      <c r="V19049" s="5"/>
    </row>
    <row r="19050">
      <c r="N19050" s="1"/>
      <c r="V19050" s="5"/>
    </row>
    <row r="19051">
      <c r="N19051" s="1"/>
      <c r="V19051" s="5"/>
    </row>
    <row r="19052">
      <c r="N19052" s="1"/>
      <c r="V19052" s="5"/>
    </row>
    <row r="19053">
      <c r="N19053" s="1"/>
      <c r="V19053" s="5"/>
    </row>
    <row r="19054">
      <c r="N19054" s="1"/>
      <c r="V19054" s="5"/>
    </row>
    <row r="19055">
      <c r="N19055" s="1"/>
      <c r="V19055" s="5"/>
    </row>
    <row r="19056">
      <c r="N19056" s="1"/>
      <c r="V19056" s="5"/>
    </row>
    <row r="19057">
      <c r="N19057" s="1"/>
      <c r="V19057" s="5"/>
    </row>
    <row r="19058">
      <c r="N19058" s="1"/>
      <c r="V19058" s="5"/>
    </row>
    <row r="19059">
      <c r="N19059" s="1"/>
      <c r="V19059" s="5"/>
    </row>
    <row r="19060">
      <c r="N19060" s="1"/>
      <c r="V19060" s="5"/>
    </row>
    <row r="19061">
      <c r="N19061" s="1"/>
      <c r="V19061" s="5"/>
    </row>
    <row r="19062">
      <c r="N19062" s="1"/>
      <c r="V19062" s="5"/>
    </row>
    <row r="19063">
      <c r="N19063" s="1"/>
      <c r="V19063" s="5"/>
    </row>
    <row r="19064">
      <c r="N19064" s="1"/>
      <c r="V19064" s="5"/>
    </row>
    <row r="19065">
      <c r="N19065" s="1"/>
      <c r="V19065" s="5"/>
    </row>
    <row r="19066">
      <c r="N19066" s="1"/>
      <c r="V19066" s="5"/>
    </row>
    <row r="19067">
      <c r="N19067" s="1"/>
      <c r="V19067" s="5"/>
    </row>
    <row r="19068">
      <c r="N19068" s="1"/>
      <c r="V19068" s="5"/>
    </row>
    <row r="19069">
      <c r="N19069" s="1"/>
      <c r="V19069" s="5"/>
    </row>
    <row r="19070">
      <c r="N19070" s="1"/>
      <c r="V19070" s="5"/>
    </row>
    <row r="19071">
      <c r="N19071" s="1"/>
      <c r="V19071" s="5"/>
    </row>
    <row r="19072">
      <c r="N19072" s="1"/>
      <c r="V19072" s="5"/>
    </row>
    <row r="19073">
      <c r="N19073" s="1"/>
      <c r="V19073" s="5"/>
    </row>
    <row r="19074">
      <c r="N19074" s="1"/>
      <c r="V19074" s="5"/>
    </row>
    <row r="19075">
      <c r="N19075" s="1"/>
      <c r="V19075" s="5"/>
    </row>
    <row r="19076">
      <c r="N19076" s="1"/>
      <c r="V19076" s="5"/>
    </row>
    <row r="19077">
      <c r="N19077" s="1"/>
      <c r="V19077" s="5"/>
    </row>
    <row r="19078">
      <c r="N19078" s="1"/>
      <c r="V19078" s="5"/>
    </row>
    <row r="19079">
      <c r="N19079" s="1"/>
      <c r="V19079" s="5"/>
    </row>
    <row r="19080">
      <c r="N19080" s="1"/>
      <c r="V19080" s="5"/>
    </row>
    <row r="19081">
      <c r="N19081" s="1"/>
      <c r="V19081" s="5"/>
    </row>
    <row r="19082">
      <c r="N19082" s="1"/>
      <c r="V19082" s="5"/>
    </row>
    <row r="19083">
      <c r="N19083" s="1"/>
      <c r="V19083" s="5"/>
    </row>
    <row r="19084">
      <c r="N19084" s="1"/>
      <c r="V19084" s="5"/>
    </row>
    <row r="19085">
      <c r="N19085" s="1"/>
      <c r="V19085" s="5"/>
    </row>
    <row r="19086">
      <c r="N19086" s="1"/>
      <c r="V19086" s="5"/>
    </row>
    <row r="19087">
      <c r="N19087" s="1"/>
      <c r="V19087" s="5"/>
    </row>
    <row r="19088">
      <c r="N19088" s="1"/>
      <c r="V19088" s="5"/>
    </row>
    <row r="19089">
      <c r="N19089" s="1"/>
      <c r="V19089" s="5"/>
    </row>
    <row r="19090">
      <c r="N19090" s="1"/>
      <c r="V19090" s="5"/>
    </row>
    <row r="19091">
      <c r="N19091" s="1"/>
      <c r="V19091" s="5"/>
    </row>
    <row r="19092">
      <c r="N19092" s="1"/>
      <c r="V19092" s="5"/>
    </row>
    <row r="19093">
      <c r="N19093" s="1"/>
      <c r="V19093" s="5"/>
    </row>
    <row r="19094">
      <c r="N19094" s="1"/>
      <c r="V19094" s="5"/>
    </row>
    <row r="19095">
      <c r="N19095" s="1"/>
      <c r="V19095" s="5"/>
    </row>
    <row r="19096">
      <c r="N19096" s="1"/>
      <c r="V19096" s="5"/>
    </row>
    <row r="19097">
      <c r="N19097" s="1"/>
      <c r="V19097" s="5"/>
    </row>
    <row r="19098">
      <c r="N19098" s="1"/>
      <c r="V19098" s="5"/>
    </row>
    <row r="19099">
      <c r="N19099" s="1"/>
      <c r="V19099" s="5"/>
    </row>
    <row r="19100">
      <c r="N19100" s="1"/>
      <c r="V19100" s="5"/>
    </row>
    <row r="19101">
      <c r="N19101" s="1"/>
      <c r="V19101" s="5"/>
    </row>
    <row r="19102">
      <c r="N19102" s="1"/>
      <c r="V19102" s="5"/>
    </row>
    <row r="19103">
      <c r="N19103" s="1"/>
      <c r="V19103" s="5"/>
    </row>
    <row r="19104">
      <c r="N19104" s="1"/>
      <c r="V19104" s="5"/>
    </row>
    <row r="19105">
      <c r="N19105" s="1"/>
      <c r="V19105" s="5"/>
    </row>
    <row r="19106">
      <c r="N19106" s="1"/>
      <c r="V19106" s="5"/>
    </row>
    <row r="19107">
      <c r="N19107" s="1"/>
      <c r="V19107" s="5"/>
    </row>
    <row r="19108">
      <c r="N19108" s="1"/>
      <c r="V19108" s="5"/>
    </row>
    <row r="19109">
      <c r="N19109" s="1"/>
      <c r="V19109" s="5"/>
    </row>
    <row r="19110">
      <c r="N19110" s="1"/>
      <c r="V19110" s="5"/>
    </row>
    <row r="19111">
      <c r="N19111" s="1"/>
      <c r="V19111" s="5"/>
    </row>
    <row r="19112">
      <c r="N19112" s="1"/>
      <c r="V19112" s="5"/>
    </row>
    <row r="19113">
      <c r="N19113" s="1"/>
      <c r="V19113" s="5"/>
    </row>
    <row r="19114">
      <c r="N19114" s="1"/>
      <c r="V19114" s="5"/>
    </row>
    <row r="19115">
      <c r="N19115" s="1"/>
      <c r="V19115" s="5"/>
    </row>
    <row r="19116">
      <c r="N19116" s="1"/>
      <c r="V19116" s="5"/>
    </row>
    <row r="19117">
      <c r="N19117" s="1"/>
      <c r="V19117" s="5"/>
    </row>
    <row r="19118">
      <c r="N19118" s="1"/>
      <c r="V19118" s="5"/>
    </row>
    <row r="19119">
      <c r="N19119" s="1"/>
      <c r="V19119" s="5"/>
    </row>
    <row r="19120">
      <c r="N19120" s="1"/>
      <c r="V19120" s="5"/>
    </row>
    <row r="19121">
      <c r="N19121" s="1"/>
      <c r="V19121" s="5"/>
    </row>
    <row r="19122">
      <c r="N19122" s="1"/>
      <c r="V19122" s="5"/>
    </row>
    <row r="19123">
      <c r="N19123" s="1"/>
      <c r="V19123" s="5"/>
    </row>
    <row r="19124">
      <c r="N19124" s="1"/>
      <c r="V19124" s="5"/>
    </row>
    <row r="19125">
      <c r="N19125" s="1"/>
      <c r="V19125" s="5"/>
    </row>
    <row r="19126">
      <c r="N19126" s="1"/>
      <c r="V19126" s="5"/>
    </row>
    <row r="19127">
      <c r="N19127" s="1"/>
      <c r="V19127" s="5"/>
    </row>
    <row r="19128">
      <c r="N19128" s="1"/>
      <c r="V19128" s="5"/>
    </row>
    <row r="19129">
      <c r="N19129" s="1"/>
      <c r="V19129" s="5"/>
    </row>
    <row r="19130">
      <c r="N19130" s="1"/>
      <c r="V19130" s="5"/>
    </row>
    <row r="19131">
      <c r="N19131" s="1"/>
      <c r="V19131" s="5"/>
    </row>
    <row r="19132">
      <c r="N19132" s="1"/>
      <c r="V19132" s="5"/>
    </row>
    <row r="19133">
      <c r="N19133" s="1"/>
      <c r="V19133" s="5"/>
    </row>
    <row r="19134">
      <c r="N19134" s="1"/>
      <c r="V19134" s="5"/>
    </row>
    <row r="19135">
      <c r="N19135" s="1"/>
      <c r="V19135" s="5"/>
    </row>
    <row r="19136">
      <c r="N19136" s="1"/>
      <c r="V19136" s="5"/>
    </row>
    <row r="19137">
      <c r="N19137" s="1"/>
      <c r="V19137" s="5"/>
    </row>
    <row r="19138">
      <c r="N19138" s="1"/>
      <c r="V19138" s="5"/>
    </row>
    <row r="19139">
      <c r="N19139" s="1"/>
      <c r="V19139" s="5"/>
    </row>
    <row r="19140">
      <c r="N19140" s="1"/>
      <c r="V19140" s="5"/>
    </row>
    <row r="19141">
      <c r="N19141" s="1"/>
      <c r="V19141" s="5"/>
    </row>
    <row r="19142">
      <c r="N19142" s="1"/>
      <c r="V19142" s="5"/>
    </row>
    <row r="19143">
      <c r="N19143" s="1"/>
      <c r="V19143" s="5"/>
    </row>
    <row r="19144">
      <c r="N19144" s="1"/>
      <c r="V19144" s="5"/>
    </row>
    <row r="19145">
      <c r="N19145" s="1"/>
      <c r="V19145" s="5"/>
    </row>
    <row r="19146">
      <c r="N19146" s="1"/>
      <c r="V19146" s="5"/>
    </row>
    <row r="19147">
      <c r="N19147" s="1"/>
      <c r="V19147" s="5"/>
    </row>
    <row r="19148">
      <c r="N19148" s="1"/>
      <c r="V19148" s="5"/>
    </row>
    <row r="19149">
      <c r="N19149" s="1"/>
      <c r="V19149" s="5"/>
    </row>
    <row r="19150">
      <c r="N19150" s="1"/>
      <c r="V19150" s="5"/>
    </row>
    <row r="19151">
      <c r="N19151" s="1"/>
      <c r="V19151" s="5"/>
    </row>
    <row r="19152">
      <c r="N19152" s="1"/>
      <c r="V19152" s="5"/>
    </row>
    <row r="19153">
      <c r="N19153" s="1"/>
      <c r="V19153" s="5"/>
    </row>
    <row r="19154">
      <c r="N19154" s="1"/>
      <c r="V19154" s="5"/>
    </row>
    <row r="19155">
      <c r="N19155" s="1"/>
      <c r="V19155" s="5"/>
    </row>
    <row r="19156">
      <c r="N19156" s="1"/>
      <c r="V19156" s="5"/>
    </row>
    <row r="19157">
      <c r="N19157" s="1"/>
      <c r="V19157" s="5"/>
    </row>
    <row r="19158">
      <c r="N19158" s="1"/>
      <c r="V19158" s="5"/>
    </row>
    <row r="19159">
      <c r="N19159" s="1"/>
      <c r="V19159" s="5"/>
    </row>
    <row r="19160">
      <c r="N19160" s="1"/>
      <c r="V19160" s="5"/>
    </row>
    <row r="19161">
      <c r="N19161" s="1"/>
      <c r="V19161" s="5"/>
    </row>
    <row r="19162">
      <c r="N19162" s="1"/>
      <c r="V19162" s="5"/>
    </row>
    <row r="19163">
      <c r="N19163" s="1"/>
      <c r="V19163" s="5"/>
    </row>
    <row r="19164">
      <c r="N19164" s="1"/>
      <c r="V19164" s="5"/>
    </row>
    <row r="19165">
      <c r="N19165" s="1"/>
      <c r="V19165" s="5"/>
    </row>
    <row r="19166">
      <c r="N19166" s="1"/>
      <c r="V19166" s="5"/>
    </row>
    <row r="19167">
      <c r="N19167" s="1"/>
      <c r="V19167" s="5"/>
    </row>
    <row r="19168">
      <c r="N19168" s="1"/>
      <c r="V19168" s="5"/>
    </row>
    <row r="19169">
      <c r="N19169" s="1"/>
      <c r="V19169" s="5"/>
    </row>
    <row r="19170">
      <c r="N19170" s="1"/>
      <c r="V19170" s="5"/>
    </row>
    <row r="19171">
      <c r="N19171" s="1"/>
      <c r="V19171" s="5"/>
    </row>
    <row r="19172">
      <c r="N19172" s="1"/>
      <c r="V19172" s="5"/>
    </row>
    <row r="19173">
      <c r="N19173" s="1"/>
      <c r="V19173" s="5"/>
    </row>
    <row r="19174">
      <c r="N19174" s="1"/>
      <c r="V19174" s="5"/>
    </row>
    <row r="19175">
      <c r="N19175" s="1"/>
      <c r="V19175" s="5"/>
    </row>
    <row r="19176">
      <c r="N19176" s="1"/>
      <c r="V19176" s="5"/>
    </row>
    <row r="19177">
      <c r="N19177" s="1"/>
      <c r="V19177" s="5"/>
    </row>
    <row r="19178">
      <c r="N19178" s="1"/>
      <c r="V19178" s="5"/>
    </row>
    <row r="19179">
      <c r="N19179" s="1"/>
      <c r="V19179" s="5"/>
    </row>
    <row r="19180">
      <c r="N19180" s="1"/>
      <c r="V19180" s="5"/>
    </row>
    <row r="19181">
      <c r="N19181" s="1"/>
      <c r="V19181" s="5"/>
    </row>
    <row r="19182">
      <c r="N19182" s="1"/>
      <c r="V19182" s="5"/>
    </row>
    <row r="19183">
      <c r="N19183" s="1"/>
      <c r="V19183" s="5"/>
    </row>
    <row r="19184">
      <c r="N19184" s="1"/>
      <c r="V19184" s="5"/>
    </row>
    <row r="19185">
      <c r="N19185" s="1"/>
      <c r="V19185" s="5"/>
    </row>
    <row r="19186">
      <c r="N19186" s="1"/>
      <c r="V19186" s="5"/>
    </row>
    <row r="19187">
      <c r="N19187" s="1"/>
      <c r="V19187" s="5"/>
    </row>
    <row r="19188">
      <c r="N19188" s="1"/>
      <c r="V19188" s="5"/>
    </row>
    <row r="19189">
      <c r="N19189" s="1"/>
      <c r="V19189" s="5"/>
    </row>
    <row r="19190">
      <c r="N19190" s="1"/>
      <c r="V19190" s="5"/>
    </row>
    <row r="19191">
      <c r="N19191" s="1"/>
      <c r="V19191" s="5"/>
    </row>
    <row r="19192">
      <c r="N19192" s="1"/>
      <c r="V19192" s="5"/>
    </row>
    <row r="19193">
      <c r="N19193" s="1"/>
      <c r="V19193" s="5"/>
    </row>
    <row r="19194">
      <c r="N19194" s="1"/>
      <c r="V19194" s="5"/>
    </row>
    <row r="19195">
      <c r="N19195" s="1"/>
      <c r="V19195" s="5"/>
    </row>
    <row r="19196">
      <c r="N19196" s="1"/>
      <c r="V19196" s="5"/>
    </row>
    <row r="19197">
      <c r="N19197" s="1"/>
      <c r="V19197" s="5"/>
    </row>
    <row r="19198">
      <c r="N19198" s="1"/>
      <c r="V19198" s="5"/>
    </row>
    <row r="19199">
      <c r="N19199" s="1"/>
      <c r="V19199" s="5"/>
    </row>
    <row r="19200">
      <c r="N19200" s="1"/>
      <c r="V19200" s="5"/>
    </row>
    <row r="19201">
      <c r="N19201" s="1"/>
      <c r="V19201" s="5"/>
    </row>
    <row r="19202">
      <c r="N19202" s="1"/>
      <c r="V19202" s="5"/>
    </row>
    <row r="19203">
      <c r="N19203" s="1"/>
      <c r="V19203" s="5"/>
    </row>
    <row r="19204">
      <c r="N19204" s="1"/>
      <c r="V19204" s="5"/>
    </row>
    <row r="19205">
      <c r="N19205" s="1"/>
      <c r="V19205" s="5"/>
    </row>
    <row r="19206">
      <c r="N19206" s="1"/>
      <c r="V19206" s="5"/>
    </row>
    <row r="19207">
      <c r="N19207" s="1"/>
      <c r="V19207" s="5"/>
    </row>
    <row r="19208">
      <c r="N19208" s="1"/>
      <c r="V19208" s="5"/>
    </row>
    <row r="19209">
      <c r="N19209" s="1"/>
      <c r="V19209" s="5"/>
    </row>
    <row r="19210">
      <c r="N19210" s="1"/>
      <c r="V19210" s="5"/>
    </row>
    <row r="19211">
      <c r="N19211" s="1"/>
      <c r="V19211" s="5"/>
    </row>
    <row r="19212">
      <c r="N19212" s="1"/>
      <c r="V19212" s="5"/>
    </row>
    <row r="19213">
      <c r="N19213" s="1"/>
      <c r="V19213" s="5"/>
    </row>
    <row r="19214">
      <c r="N19214" s="1"/>
      <c r="V19214" s="5"/>
    </row>
    <row r="19215">
      <c r="N19215" s="1"/>
      <c r="V19215" s="5"/>
    </row>
    <row r="19216">
      <c r="N19216" s="1"/>
      <c r="V19216" s="5"/>
    </row>
    <row r="19217">
      <c r="N19217" s="1"/>
      <c r="V19217" s="5"/>
    </row>
    <row r="19218">
      <c r="N19218" s="1"/>
      <c r="V19218" s="5"/>
    </row>
    <row r="19219">
      <c r="N19219" s="1"/>
      <c r="V19219" s="5"/>
    </row>
    <row r="19220">
      <c r="N19220" s="1"/>
      <c r="V19220" s="5"/>
    </row>
    <row r="19221">
      <c r="N19221" s="1"/>
      <c r="V19221" s="5"/>
    </row>
    <row r="19222">
      <c r="N19222" s="1"/>
      <c r="V19222" s="5"/>
    </row>
    <row r="19223">
      <c r="N19223" s="1"/>
      <c r="V19223" s="5"/>
    </row>
    <row r="19224">
      <c r="N19224" s="1"/>
      <c r="V19224" s="5"/>
    </row>
    <row r="19225">
      <c r="N19225" s="1"/>
      <c r="V19225" s="5"/>
    </row>
    <row r="19226">
      <c r="N19226" s="1"/>
      <c r="V19226" s="5"/>
    </row>
    <row r="19227">
      <c r="N19227" s="1"/>
      <c r="V19227" s="5"/>
    </row>
    <row r="19228">
      <c r="N19228" s="1"/>
      <c r="V19228" s="5"/>
    </row>
    <row r="19229">
      <c r="N19229" s="1"/>
      <c r="V19229" s="5"/>
    </row>
    <row r="19230">
      <c r="N19230" s="1"/>
      <c r="V19230" s="5"/>
    </row>
    <row r="19231">
      <c r="N19231" s="1"/>
      <c r="V19231" s="5"/>
    </row>
    <row r="19232">
      <c r="N19232" s="1"/>
      <c r="V19232" s="5"/>
    </row>
    <row r="19233">
      <c r="N19233" s="1"/>
      <c r="V19233" s="5"/>
    </row>
    <row r="19234">
      <c r="N19234" s="1"/>
      <c r="V19234" s="5"/>
    </row>
    <row r="19235">
      <c r="N19235" s="1"/>
      <c r="V19235" s="5"/>
    </row>
    <row r="19236">
      <c r="N19236" s="1"/>
      <c r="V19236" s="5"/>
    </row>
    <row r="19237">
      <c r="N19237" s="1"/>
      <c r="V19237" s="5"/>
    </row>
    <row r="19238">
      <c r="N19238" s="1"/>
      <c r="V19238" s="5"/>
    </row>
    <row r="19239">
      <c r="N19239" s="1"/>
      <c r="V19239" s="5"/>
    </row>
    <row r="19240">
      <c r="N19240" s="1"/>
      <c r="V19240" s="5"/>
    </row>
    <row r="19241">
      <c r="N19241" s="1"/>
      <c r="V19241" s="5"/>
    </row>
    <row r="19242">
      <c r="N19242" s="1"/>
      <c r="V19242" s="5"/>
    </row>
    <row r="19243">
      <c r="N19243" s="1"/>
      <c r="V19243" s="5"/>
    </row>
    <row r="19244">
      <c r="N19244" s="1"/>
      <c r="V19244" s="5"/>
    </row>
    <row r="19245">
      <c r="N19245" s="1"/>
      <c r="V19245" s="5"/>
    </row>
    <row r="19246">
      <c r="N19246" s="1"/>
      <c r="V19246" s="5"/>
    </row>
    <row r="19247">
      <c r="N19247" s="1"/>
      <c r="V19247" s="5"/>
    </row>
    <row r="19248">
      <c r="N19248" s="1"/>
      <c r="V19248" s="5"/>
    </row>
    <row r="19249">
      <c r="N19249" s="1"/>
      <c r="V19249" s="5"/>
    </row>
    <row r="19250">
      <c r="N19250" s="1"/>
      <c r="V19250" s="5"/>
    </row>
    <row r="19251">
      <c r="N19251" s="1"/>
      <c r="V19251" s="5"/>
    </row>
    <row r="19252">
      <c r="N19252" s="1"/>
      <c r="V19252" s="5"/>
    </row>
    <row r="19253">
      <c r="N19253" s="1"/>
      <c r="V19253" s="5"/>
    </row>
    <row r="19254">
      <c r="N19254" s="1"/>
      <c r="V19254" s="5"/>
    </row>
    <row r="19255">
      <c r="N19255" s="1"/>
      <c r="V19255" s="5"/>
    </row>
    <row r="19256">
      <c r="N19256" s="1"/>
      <c r="V19256" s="5"/>
    </row>
    <row r="19257">
      <c r="N19257" s="1"/>
      <c r="V19257" s="5"/>
    </row>
    <row r="19258">
      <c r="N19258" s="1"/>
      <c r="V19258" s="5"/>
    </row>
    <row r="19259">
      <c r="N19259" s="1"/>
      <c r="V19259" s="5"/>
    </row>
    <row r="19260">
      <c r="N19260" s="1"/>
      <c r="V19260" s="5"/>
    </row>
    <row r="19261">
      <c r="N19261" s="1"/>
      <c r="V19261" s="5"/>
    </row>
    <row r="19262">
      <c r="N19262" s="1"/>
      <c r="V19262" s="5"/>
    </row>
    <row r="19263">
      <c r="N19263" s="1"/>
      <c r="V19263" s="5"/>
    </row>
    <row r="19264">
      <c r="N19264" s="1"/>
      <c r="V19264" s="5"/>
    </row>
    <row r="19265">
      <c r="N19265" s="1"/>
      <c r="V19265" s="5"/>
    </row>
    <row r="19266">
      <c r="N19266" s="1"/>
      <c r="V19266" s="5"/>
    </row>
    <row r="19267">
      <c r="N19267" s="1"/>
      <c r="V19267" s="5"/>
    </row>
    <row r="19268">
      <c r="N19268" s="1"/>
      <c r="V19268" s="5"/>
    </row>
    <row r="19269">
      <c r="N19269" s="1"/>
      <c r="V19269" s="5"/>
    </row>
    <row r="19270">
      <c r="N19270" s="1"/>
      <c r="V19270" s="5"/>
    </row>
    <row r="19271">
      <c r="N19271" s="1"/>
      <c r="V19271" s="5"/>
    </row>
    <row r="19272">
      <c r="N19272" s="1"/>
      <c r="V19272" s="5"/>
    </row>
    <row r="19273">
      <c r="N19273" s="1"/>
      <c r="V19273" s="5"/>
    </row>
    <row r="19274">
      <c r="N19274" s="1"/>
      <c r="V19274" s="5"/>
    </row>
    <row r="19275">
      <c r="N19275" s="1"/>
      <c r="V19275" s="5"/>
    </row>
    <row r="19276">
      <c r="N19276" s="1"/>
      <c r="V19276" s="5"/>
    </row>
    <row r="19277">
      <c r="N19277" s="1"/>
      <c r="V19277" s="5"/>
    </row>
    <row r="19278">
      <c r="N19278" s="1"/>
      <c r="V19278" s="5"/>
    </row>
    <row r="19279">
      <c r="N19279" s="1"/>
      <c r="V19279" s="5"/>
    </row>
    <row r="19280">
      <c r="N19280" s="1"/>
      <c r="V19280" s="5"/>
    </row>
    <row r="19281">
      <c r="N19281" s="1"/>
      <c r="V19281" s="5"/>
    </row>
    <row r="19282">
      <c r="N19282" s="1"/>
      <c r="V19282" s="5"/>
    </row>
    <row r="19283">
      <c r="N19283" s="1"/>
      <c r="V19283" s="5"/>
    </row>
    <row r="19284">
      <c r="N19284" s="1"/>
      <c r="V19284" s="5"/>
    </row>
    <row r="19285">
      <c r="N19285" s="1"/>
      <c r="V19285" s="5"/>
    </row>
    <row r="19286">
      <c r="N19286" s="1"/>
      <c r="V19286" s="5"/>
    </row>
    <row r="19287">
      <c r="N19287" s="1"/>
      <c r="V19287" s="5"/>
    </row>
    <row r="19288">
      <c r="N19288" s="1"/>
      <c r="V19288" s="5"/>
    </row>
    <row r="19289">
      <c r="N19289" s="1"/>
      <c r="V19289" s="5"/>
    </row>
    <row r="19290">
      <c r="N19290" s="1"/>
      <c r="V19290" s="5"/>
    </row>
    <row r="19291">
      <c r="N19291" s="1"/>
      <c r="V19291" s="5"/>
    </row>
    <row r="19292">
      <c r="N19292" s="1"/>
      <c r="V19292" s="5"/>
    </row>
    <row r="19293">
      <c r="N19293" s="1"/>
      <c r="V19293" s="5"/>
    </row>
    <row r="19294">
      <c r="N19294" s="1"/>
      <c r="V19294" s="5"/>
    </row>
    <row r="19295">
      <c r="N19295" s="1"/>
      <c r="V19295" s="5"/>
    </row>
    <row r="19296">
      <c r="N19296" s="1"/>
      <c r="V19296" s="5"/>
    </row>
    <row r="19297">
      <c r="N19297" s="1"/>
      <c r="V19297" s="5"/>
    </row>
    <row r="19298">
      <c r="N19298" s="1"/>
      <c r="V19298" s="5"/>
    </row>
    <row r="19299">
      <c r="N19299" s="1"/>
      <c r="V19299" s="5"/>
    </row>
    <row r="19300">
      <c r="N19300" s="1"/>
      <c r="V19300" s="5"/>
    </row>
    <row r="19301">
      <c r="N19301" s="1"/>
      <c r="V19301" s="5"/>
    </row>
    <row r="19302">
      <c r="N19302" s="1"/>
      <c r="V19302" s="5"/>
    </row>
    <row r="19303">
      <c r="N19303" s="1"/>
      <c r="V19303" s="5"/>
    </row>
    <row r="19304">
      <c r="N19304" s="1"/>
      <c r="V19304" s="5"/>
    </row>
    <row r="19305">
      <c r="N19305" s="1"/>
      <c r="V19305" s="5"/>
    </row>
    <row r="19306">
      <c r="N19306" s="1"/>
      <c r="V19306" s="5"/>
    </row>
    <row r="19307">
      <c r="N19307" s="1"/>
      <c r="V19307" s="5"/>
    </row>
    <row r="19308">
      <c r="N19308" s="1"/>
      <c r="V19308" s="5"/>
    </row>
    <row r="19309">
      <c r="N19309" s="1"/>
      <c r="V19309" s="5"/>
    </row>
    <row r="19310">
      <c r="N19310" s="1"/>
      <c r="V19310" s="5"/>
    </row>
    <row r="19311">
      <c r="N19311" s="1"/>
      <c r="V19311" s="5"/>
    </row>
    <row r="19312">
      <c r="N19312" s="1"/>
      <c r="V19312" s="5"/>
    </row>
    <row r="19313">
      <c r="N19313" s="1"/>
      <c r="V19313" s="5"/>
    </row>
    <row r="19314">
      <c r="N19314" s="1"/>
      <c r="V19314" s="5"/>
    </row>
    <row r="19315">
      <c r="N19315" s="1"/>
      <c r="V19315" s="5"/>
    </row>
    <row r="19316">
      <c r="N19316" s="1"/>
      <c r="V19316" s="5"/>
    </row>
    <row r="19317">
      <c r="N19317" s="1"/>
      <c r="V19317" s="5"/>
    </row>
    <row r="19318">
      <c r="N19318" s="1"/>
      <c r="V19318" s="5"/>
    </row>
    <row r="19319">
      <c r="N19319" s="1"/>
      <c r="V19319" s="5"/>
    </row>
    <row r="19320">
      <c r="N19320" s="1"/>
      <c r="V19320" s="5"/>
    </row>
    <row r="19321">
      <c r="N19321" s="1"/>
      <c r="V19321" s="5"/>
    </row>
    <row r="19322">
      <c r="N19322" s="1"/>
      <c r="V19322" s="5"/>
    </row>
    <row r="19323">
      <c r="N19323" s="1"/>
      <c r="V19323" s="5"/>
    </row>
    <row r="19324">
      <c r="N19324" s="1"/>
      <c r="V19324" s="5"/>
    </row>
    <row r="19325">
      <c r="N19325" s="1"/>
      <c r="V19325" s="5"/>
    </row>
    <row r="19326">
      <c r="N19326" s="1"/>
      <c r="V19326" s="5"/>
    </row>
    <row r="19327">
      <c r="N19327" s="1"/>
      <c r="V19327" s="5"/>
    </row>
    <row r="19328">
      <c r="N19328" s="1"/>
      <c r="V19328" s="5"/>
    </row>
    <row r="19329">
      <c r="N19329" s="1"/>
      <c r="V19329" s="5"/>
    </row>
    <row r="19330">
      <c r="N19330" s="1"/>
      <c r="V19330" s="5"/>
    </row>
    <row r="19331">
      <c r="N19331" s="1"/>
      <c r="V19331" s="5"/>
    </row>
    <row r="19332">
      <c r="N19332" s="1"/>
      <c r="V19332" s="5"/>
    </row>
    <row r="19333">
      <c r="N19333" s="1"/>
      <c r="V19333" s="5"/>
    </row>
    <row r="19334">
      <c r="N19334" s="1"/>
      <c r="V19334" s="5"/>
    </row>
    <row r="19335">
      <c r="N19335" s="1"/>
      <c r="V19335" s="5"/>
    </row>
    <row r="19336">
      <c r="N19336" s="1"/>
      <c r="V19336" s="5"/>
    </row>
    <row r="19337">
      <c r="N19337" s="1"/>
      <c r="V19337" s="5"/>
    </row>
    <row r="19338">
      <c r="N19338" s="1"/>
      <c r="V19338" s="5"/>
    </row>
    <row r="19339">
      <c r="N19339" s="1"/>
      <c r="V19339" s="5"/>
    </row>
    <row r="19340">
      <c r="N19340" s="1"/>
      <c r="V19340" s="5"/>
    </row>
    <row r="19341">
      <c r="N19341" s="1"/>
      <c r="V19341" s="5"/>
    </row>
    <row r="19342">
      <c r="N19342" s="1"/>
      <c r="V19342" s="5"/>
    </row>
    <row r="19343">
      <c r="N19343" s="1"/>
      <c r="V19343" s="5"/>
    </row>
    <row r="19344">
      <c r="N19344" s="1"/>
      <c r="V19344" s="5"/>
    </row>
    <row r="19345">
      <c r="N19345" s="1"/>
      <c r="V19345" s="5"/>
    </row>
    <row r="19346">
      <c r="N19346" s="1"/>
      <c r="V19346" s="5"/>
    </row>
    <row r="19347">
      <c r="N19347" s="1"/>
      <c r="V19347" s="5"/>
    </row>
    <row r="19348">
      <c r="N19348" s="1"/>
      <c r="V19348" s="5"/>
    </row>
    <row r="19349">
      <c r="N19349" s="1"/>
      <c r="V19349" s="5"/>
    </row>
    <row r="19350">
      <c r="N19350" s="1"/>
      <c r="V19350" s="5"/>
    </row>
    <row r="19351">
      <c r="N19351" s="1"/>
      <c r="V19351" s="5"/>
    </row>
    <row r="19352">
      <c r="N19352" s="1"/>
      <c r="V19352" s="5"/>
    </row>
    <row r="19353">
      <c r="N19353" s="1"/>
      <c r="V19353" s="5"/>
    </row>
    <row r="19354">
      <c r="N19354" s="1"/>
      <c r="V19354" s="5"/>
    </row>
    <row r="19355">
      <c r="N19355" s="1"/>
      <c r="V19355" s="5"/>
    </row>
    <row r="19356">
      <c r="N19356" s="1"/>
      <c r="V19356" s="5"/>
    </row>
    <row r="19357">
      <c r="N19357" s="1"/>
      <c r="V19357" s="5"/>
    </row>
    <row r="19358">
      <c r="N19358" s="1"/>
      <c r="V19358" s="5"/>
    </row>
    <row r="19359">
      <c r="N19359" s="1"/>
      <c r="V19359" s="5"/>
    </row>
    <row r="19360">
      <c r="N19360" s="1"/>
      <c r="V19360" s="5"/>
    </row>
    <row r="19361">
      <c r="N19361" s="1"/>
      <c r="V19361" s="5"/>
    </row>
    <row r="19362">
      <c r="N19362" s="1"/>
      <c r="V19362" s="5"/>
    </row>
    <row r="19363">
      <c r="N19363" s="1"/>
      <c r="V19363" s="5"/>
    </row>
    <row r="19364">
      <c r="N19364" s="1"/>
      <c r="V19364" s="5"/>
    </row>
    <row r="19365">
      <c r="N19365" s="1"/>
      <c r="V19365" s="5"/>
    </row>
    <row r="19366">
      <c r="N19366" s="1"/>
      <c r="V19366" s="5"/>
    </row>
    <row r="19367">
      <c r="N19367" s="1"/>
      <c r="V19367" s="5"/>
    </row>
    <row r="19368">
      <c r="N19368" s="1"/>
      <c r="V19368" s="5"/>
    </row>
    <row r="19369">
      <c r="N19369" s="1"/>
      <c r="V19369" s="5"/>
    </row>
    <row r="19370">
      <c r="N19370" s="1"/>
      <c r="V19370" s="5"/>
    </row>
    <row r="19371">
      <c r="N19371" s="1"/>
      <c r="V19371" s="5"/>
    </row>
    <row r="19372">
      <c r="N19372" s="1"/>
      <c r="V19372" s="5"/>
    </row>
    <row r="19373">
      <c r="N19373" s="1"/>
      <c r="V19373" s="5"/>
    </row>
    <row r="19374">
      <c r="N19374" s="1"/>
      <c r="V19374" s="5"/>
    </row>
    <row r="19375">
      <c r="N19375" s="1"/>
      <c r="V19375" s="5"/>
    </row>
    <row r="19376">
      <c r="N19376" s="1"/>
      <c r="V19376" s="5"/>
    </row>
    <row r="19377">
      <c r="N19377" s="1"/>
      <c r="V19377" s="5"/>
    </row>
    <row r="19378">
      <c r="N19378" s="1"/>
      <c r="V19378" s="5"/>
    </row>
    <row r="19379">
      <c r="N19379" s="1"/>
      <c r="V19379" s="5"/>
    </row>
    <row r="19380">
      <c r="N19380" s="1"/>
      <c r="V19380" s="5"/>
    </row>
    <row r="19381">
      <c r="N19381" s="1"/>
      <c r="V19381" s="5"/>
    </row>
    <row r="19382">
      <c r="N19382" s="1"/>
      <c r="V19382" s="5"/>
    </row>
    <row r="19383">
      <c r="N19383" s="1"/>
      <c r="V19383" s="5"/>
    </row>
    <row r="19384">
      <c r="N19384" s="1"/>
      <c r="V19384" s="5"/>
    </row>
    <row r="19385">
      <c r="N19385" s="1"/>
      <c r="V19385" s="5"/>
    </row>
    <row r="19386">
      <c r="N19386" s="1"/>
      <c r="V19386" s="5"/>
    </row>
    <row r="19387">
      <c r="N19387" s="1"/>
      <c r="V19387" s="5"/>
    </row>
    <row r="19388">
      <c r="N19388" s="1"/>
      <c r="V19388" s="5"/>
    </row>
    <row r="19389">
      <c r="N19389" s="1"/>
      <c r="V19389" s="5"/>
    </row>
    <row r="19390">
      <c r="N19390" s="1"/>
      <c r="V19390" s="5"/>
    </row>
    <row r="19391">
      <c r="N19391" s="1"/>
      <c r="V19391" s="5"/>
    </row>
    <row r="19392">
      <c r="N19392" s="1"/>
      <c r="V19392" s="5"/>
    </row>
    <row r="19393">
      <c r="N19393" s="1"/>
      <c r="V19393" s="5"/>
    </row>
    <row r="19394">
      <c r="N19394" s="1"/>
      <c r="V19394" s="5"/>
    </row>
    <row r="19395">
      <c r="N19395" s="1"/>
      <c r="V19395" s="5"/>
    </row>
    <row r="19396">
      <c r="N19396" s="1"/>
      <c r="V19396" s="5"/>
    </row>
    <row r="19397">
      <c r="N19397" s="1"/>
      <c r="V19397" s="5"/>
    </row>
    <row r="19398">
      <c r="N19398" s="1"/>
      <c r="V19398" s="5"/>
    </row>
    <row r="19399">
      <c r="N19399" s="1"/>
      <c r="V19399" s="5"/>
    </row>
    <row r="19400">
      <c r="N19400" s="1"/>
      <c r="V19400" s="5"/>
    </row>
    <row r="19401">
      <c r="N19401" s="1"/>
      <c r="V19401" s="5"/>
    </row>
    <row r="19402">
      <c r="N19402" s="1"/>
      <c r="V19402" s="5"/>
    </row>
    <row r="19403">
      <c r="N19403" s="1"/>
      <c r="V19403" s="5"/>
    </row>
    <row r="19404">
      <c r="N19404" s="1"/>
      <c r="V19404" s="5"/>
    </row>
    <row r="19405">
      <c r="N19405" s="1"/>
      <c r="V19405" s="5"/>
    </row>
    <row r="19406">
      <c r="N19406" s="1"/>
      <c r="V19406" s="5"/>
    </row>
    <row r="19407">
      <c r="N19407" s="1"/>
      <c r="V19407" s="5"/>
    </row>
    <row r="19408">
      <c r="N19408" s="1"/>
      <c r="V19408" s="5"/>
    </row>
    <row r="19409">
      <c r="N19409" s="1"/>
      <c r="V19409" s="5"/>
    </row>
    <row r="19410">
      <c r="N19410" s="1"/>
      <c r="V19410" s="5"/>
    </row>
    <row r="19411">
      <c r="N19411" s="1"/>
      <c r="V19411" s="5"/>
    </row>
    <row r="19412">
      <c r="N19412" s="1"/>
      <c r="V19412" s="5"/>
    </row>
    <row r="19413">
      <c r="N19413" s="1"/>
      <c r="V19413" s="5"/>
    </row>
    <row r="19414">
      <c r="N19414" s="1"/>
      <c r="V19414" s="5"/>
    </row>
    <row r="19415">
      <c r="N19415" s="1"/>
      <c r="V19415" s="5"/>
    </row>
    <row r="19416">
      <c r="N19416" s="1"/>
      <c r="V19416" s="5"/>
    </row>
    <row r="19417">
      <c r="N19417" s="1"/>
      <c r="V19417" s="5"/>
    </row>
    <row r="19418">
      <c r="N19418" s="1"/>
      <c r="V19418" s="5"/>
    </row>
    <row r="19419">
      <c r="N19419" s="1"/>
      <c r="V19419" s="5"/>
    </row>
    <row r="19420">
      <c r="N19420" s="1"/>
      <c r="V19420" s="5"/>
    </row>
    <row r="19421">
      <c r="N19421" s="1"/>
      <c r="V19421" s="5"/>
    </row>
    <row r="19422">
      <c r="N19422" s="1"/>
      <c r="V19422" s="5"/>
    </row>
    <row r="19423">
      <c r="N19423" s="1"/>
      <c r="V19423" s="5"/>
    </row>
    <row r="19424">
      <c r="N19424" s="1"/>
      <c r="V19424" s="5"/>
    </row>
    <row r="19425">
      <c r="N19425" s="1"/>
      <c r="V19425" s="5"/>
    </row>
    <row r="19426">
      <c r="N19426" s="1"/>
      <c r="V19426" s="5"/>
    </row>
    <row r="19427">
      <c r="N19427" s="1"/>
      <c r="V19427" s="5"/>
    </row>
    <row r="19428">
      <c r="N19428" s="1"/>
      <c r="V19428" s="5"/>
    </row>
    <row r="19429">
      <c r="N19429" s="1"/>
      <c r="V19429" s="5"/>
    </row>
    <row r="19430">
      <c r="N19430" s="1"/>
      <c r="V19430" s="5"/>
    </row>
    <row r="19431">
      <c r="N19431" s="1"/>
      <c r="V19431" s="5"/>
    </row>
    <row r="19432">
      <c r="N19432" s="1"/>
      <c r="V19432" s="5"/>
    </row>
    <row r="19433">
      <c r="N19433" s="1"/>
      <c r="V19433" s="5"/>
    </row>
    <row r="19434">
      <c r="N19434" s="1"/>
      <c r="V19434" s="5"/>
    </row>
    <row r="19435">
      <c r="N19435" s="1"/>
      <c r="V19435" s="5"/>
    </row>
    <row r="19436">
      <c r="N19436" s="1"/>
      <c r="V19436" s="5"/>
    </row>
    <row r="19437">
      <c r="N19437" s="1"/>
      <c r="V19437" s="5"/>
    </row>
    <row r="19438">
      <c r="N19438" s="1"/>
      <c r="V19438" s="5"/>
    </row>
    <row r="19439">
      <c r="N19439" s="1"/>
      <c r="V19439" s="5"/>
    </row>
    <row r="19440">
      <c r="N19440" s="1"/>
      <c r="V19440" s="5"/>
    </row>
    <row r="19441">
      <c r="N19441" s="1"/>
      <c r="V19441" s="5"/>
    </row>
    <row r="19442">
      <c r="N19442" s="1"/>
      <c r="V19442" s="5"/>
    </row>
    <row r="19443">
      <c r="N19443" s="1"/>
      <c r="V19443" s="5"/>
    </row>
    <row r="19444">
      <c r="N19444" s="1"/>
      <c r="V19444" s="5"/>
    </row>
    <row r="19445">
      <c r="N19445" s="1"/>
      <c r="V19445" s="5"/>
    </row>
    <row r="19446">
      <c r="N19446" s="1"/>
      <c r="V19446" s="5"/>
    </row>
    <row r="19447">
      <c r="N19447" s="1"/>
      <c r="V19447" s="5"/>
    </row>
    <row r="19448">
      <c r="N19448" s="1"/>
      <c r="V19448" s="5"/>
    </row>
    <row r="19449">
      <c r="N19449" s="1"/>
      <c r="V19449" s="5"/>
    </row>
    <row r="19450">
      <c r="N19450" s="1"/>
      <c r="V19450" s="5"/>
    </row>
    <row r="19451">
      <c r="N19451" s="1"/>
      <c r="V19451" s="5"/>
    </row>
    <row r="19452">
      <c r="N19452" s="1"/>
      <c r="V19452" s="5"/>
    </row>
    <row r="19453">
      <c r="N19453" s="1"/>
      <c r="V19453" s="5"/>
    </row>
    <row r="19454">
      <c r="N19454" s="1"/>
      <c r="V19454" s="5"/>
    </row>
    <row r="19455">
      <c r="N19455" s="1"/>
      <c r="V19455" s="5"/>
    </row>
    <row r="19456">
      <c r="N19456" s="1"/>
      <c r="V19456" s="5"/>
    </row>
    <row r="19457">
      <c r="N19457" s="1"/>
      <c r="V19457" s="5"/>
    </row>
    <row r="19458">
      <c r="N19458" s="1"/>
      <c r="V19458" s="5"/>
    </row>
    <row r="19459">
      <c r="N19459" s="1"/>
      <c r="V19459" s="5"/>
    </row>
    <row r="19460">
      <c r="N19460" s="1"/>
      <c r="V19460" s="5"/>
    </row>
    <row r="19461">
      <c r="N19461" s="1"/>
      <c r="V19461" s="5"/>
    </row>
    <row r="19462">
      <c r="N19462" s="1"/>
      <c r="V19462" s="5"/>
    </row>
    <row r="19463">
      <c r="N19463" s="1"/>
      <c r="V19463" s="5"/>
    </row>
    <row r="19464">
      <c r="N19464" s="1"/>
      <c r="V19464" s="5"/>
    </row>
    <row r="19465">
      <c r="N19465" s="1"/>
      <c r="V19465" s="5"/>
    </row>
    <row r="19466">
      <c r="N19466" s="1"/>
      <c r="V19466" s="5"/>
    </row>
    <row r="19467">
      <c r="N19467" s="1"/>
      <c r="V19467" s="5"/>
    </row>
    <row r="19468">
      <c r="N19468" s="1"/>
      <c r="V19468" s="5"/>
    </row>
    <row r="19469">
      <c r="N19469" s="1"/>
      <c r="V19469" s="5"/>
    </row>
    <row r="19470">
      <c r="N19470" s="1"/>
      <c r="V19470" s="5"/>
    </row>
    <row r="19471">
      <c r="N19471" s="1"/>
      <c r="V19471" s="5"/>
    </row>
    <row r="19472">
      <c r="N19472" s="1"/>
      <c r="V19472" s="5"/>
    </row>
    <row r="19473">
      <c r="N19473" s="1"/>
      <c r="V19473" s="5"/>
    </row>
    <row r="19474">
      <c r="N19474" s="1"/>
      <c r="V19474" s="5"/>
    </row>
    <row r="19475">
      <c r="N19475" s="1"/>
      <c r="V19475" s="5"/>
    </row>
    <row r="19476">
      <c r="N19476" s="1"/>
      <c r="V19476" s="5"/>
    </row>
    <row r="19477">
      <c r="N19477" s="1"/>
      <c r="V19477" s="5"/>
    </row>
    <row r="19478">
      <c r="N19478" s="1"/>
      <c r="V19478" s="5"/>
    </row>
    <row r="19479">
      <c r="N19479" s="1"/>
      <c r="V19479" s="5"/>
    </row>
    <row r="19480">
      <c r="N19480" s="1"/>
      <c r="V19480" s="5"/>
    </row>
    <row r="19481">
      <c r="N19481" s="1"/>
      <c r="V19481" s="5"/>
    </row>
    <row r="19482">
      <c r="N19482" s="1"/>
      <c r="V19482" s="5"/>
    </row>
    <row r="19483">
      <c r="N19483" s="1"/>
      <c r="V19483" s="5"/>
    </row>
    <row r="19484">
      <c r="N19484" s="1"/>
      <c r="V19484" s="5"/>
    </row>
    <row r="19485">
      <c r="N19485" s="1"/>
      <c r="V19485" s="5"/>
    </row>
    <row r="19486">
      <c r="N19486" s="1"/>
      <c r="V19486" s="5"/>
    </row>
    <row r="19487">
      <c r="N19487" s="1"/>
      <c r="V19487" s="5"/>
    </row>
    <row r="19488">
      <c r="N19488" s="1"/>
      <c r="V19488" s="5"/>
    </row>
    <row r="19489">
      <c r="N19489" s="1"/>
      <c r="V19489" s="5"/>
    </row>
    <row r="19490">
      <c r="N19490" s="1"/>
      <c r="V19490" s="5"/>
    </row>
    <row r="19491">
      <c r="N19491" s="1"/>
      <c r="V19491" s="5"/>
    </row>
    <row r="19492">
      <c r="N19492" s="1"/>
      <c r="V19492" s="5"/>
    </row>
    <row r="19493">
      <c r="N19493" s="1"/>
      <c r="V19493" s="5"/>
    </row>
    <row r="19494">
      <c r="N19494" s="1"/>
      <c r="V19494" s="5"/>
    </row>
    <row r="19495">
      <c r="N19495" s="1"/>
      <c r="V19495" s="5"/>
    </row>
    <row r="19496">
      <c r="N19496" s="1"/>
      <c r="V19496" s="5"/>
    </row>
    <row r="19497">
      <c r="N19497" s="1"/>
      <c r="V19497" s="5"/>
    </row>
    <row r="19498">
      <c r="N19498" s="1"/>
      <c r="V19498" s="5"/>
    </row>
    <row r="19499">
      <c r="N19499" s="1"/>
      <c r="V19499" s="5"/>
    </row>
    <row r="19500">
      <c r="N19500" s="1"/>
      <c r="V19500" s="5"/>
    </row>
    <row r="19501">
      <c r="N19501" s="1"/>
      <c r="V19501" s="5"/>
    </row>
    <row r="19502">
      <c r="N19502" s="1"/>
      <c r="V19502" s="5"/>
    </row>
    <row r="19503">
      <c r="N19503" s="1"/>
      <c r="V19503" s="5"/>
    </row>
    <row r="19504">
      <c r="N19504" s="1"/>
      <c r="V19504" s="5"/>
    </row>
    <row r="19505">
      <c r="N19505" s="1"/>
      <c r="V19505" s="5"/>
    </row>
    <row r="19506">
      <c r="N19506" s="1"/>
      <c r="V19506" s="5"/>
    </row>
    <row r="19507">
      <c r="N19507" s="1"/>
      <c r="V19507" s="5"/>
    </row>
    <row r="19508">
      <c r="N19508" s="1"/>
      <c r="V19508" s="5"/>
    </row>
    <row r="19509">
      <c r="N19509" s="1"/>
      <c r="V19509" s="5"/>
    </row>
    <row r="19510">
      <c r="N19510" s="1"/>
      <c r="V19510" s="5"/>
    </row>
    <row r="19511">
      <c r="N19511" s="1"/>
      <c r="V19511" s="5"/>
    </row>
    <row r="19512">
      <c r="N19512" s="1"/>
      <c r="V19512" s="5"/>
    </row>
    <row r="19513">
      <c r="N19513" s="1"/>
      <c r="V19513" s="5"/>
    </row>
    <row r="19514">
      <c r="N19514" s="1"/>
      <c r="V19514" s="5"/>
    </row>
    <row r="19515">
      <c r="N19515" s="1"/>
      <c r="V19515" s="5"/>
    </row>
    <row r="19516">
      <c r="N19516" s="1"/>
      <c r="V19516" s="5"/>
    </row>
    <row r="19517">
      <c r="N19517" s="1"/>
      <c r="V19517" s="5"/>
    </row>
    <row r="19518">
      <c r="N19518" s="1"/>
      <c r="V19518" s="5"/>
    </row>
    <row r="19519">
      <c r="N19519" s="1"/>
      <c r="V19519" s="5"/>
    </row>
    <row r="19520">
      <c r="N19520" s="1"/>
      <c r="V19520" s="5"/>
    </row>
    <row r="19521">
      <c r="N19521" s="1"/>
      <c r="V19521" s="5"/>
    </row>
    <row r="19522">
      <c r="N19522" s="1"/>
      <c r="V19522" s="5"/>
    </row>
    <row r="19523">
      <c r="N19523" s="1"/>
      <c r="V19523" s="5"/>
    </row>
    <row r="19524">
      <c r="N19524" s="1"/>
      <c r="V19524" s="5"/>
    </row>
    <row r="19525">
      <c r="N19525" s="1"/>
      <c r="V19525" s="5"/>
    </row>
    <row r="19526">
      <c r="N19526" s="1"/>
      <c r="V19526" s="5"/>
    </row>
    <row r="19527">
      <c r="N19527" s="1"/>
      <c r="V19527" s="5"/>
    </row>
    <row r="19528">
      <c r="N19528" s="1"/>
      <c r="V19528" s="5"/>
    </row>
    <row r="19529">
      <c r="N19529" s="1"/>
      <c r="V19529" s="5"/>
    </row>
    <row r="19530">
      <c r="N19530" s="1"/>
      <c r="V19530" s="5"/>
    </row>
    <row r="19531">
      <c r="N19531" s="1"/>
      <c r="V19531" s="5"/>
    </row>
    <row r="19532">
      <c r="N19532" s="1"/>
      <c r="V19532" s="5"/>
    </row>
    <row r="19533">
      <c r="N19533" s="1"/>
      <c r="V19533" s="5"/>
    </row>
    <row r="19534">
      <c r="N19534" s="1"/>
      <c r="V19534" s="5"/>
    </row>
    <row r="19535">
      <c r="N19535" s="1"/>
      <c r="V19535" s="5"/>
    </row>
    <row r="19536">
      <c r="N19536" s="1"/>
      <c r="V19536" s="5"/>
    </row>
    <row r="19537">
      <c r="N19537" s="1"/>
      <c r="V19537" s="5"/>
    </row>
    <row r="19538">
      <c r="N19538" s="1"/>
      <c r="V19538" s="5"/>
    </row>
    <row r="19539">
      <c r="N19539" s="1"/>
      <c r="V19539" s="5"/>
    </row>
    <row r="19540">
      <c r="N19540" s="1"/>
      <c r="V19540" s="5"/>
    </row>
    <row r="19541">
      <c r="N19541" s="1"/>
      <c r="V19541" s="5"/>
    </row>
    <row r="19542">
      <c r="N19542" s="1"/>
      <c r="V19542" s="5"/>
    </row>
    <row r="19543">
      <c r="N19543" s="1"/>
      <c r="V19543" s="5"/>
    </row>
    <row r="19544">
      <c r="N19544" s="1"/>
      <c r="V19544" s="5"/>
    </row>
    <row r="19545">
      <c r="N19545" s="1"/>
      <c r="V19545" s="5"/>
    </row>
    <row r="19546">
      <c r="N19546" s="1"/>
      <c r="V19546" s="5"/>
    </row>
    <row r="19547">
      <c r="N19547" s="1"/>
      <c r="V19547" s="5"/>
    </row>
    <row r="19548">
      <c r="N19548" s="1"/>
      <c r="V19548" s="5"/>
    </row>
    <row r="19549">
      <c r="N19549" s="1"/>
      <c r="V19549" s="5"/>
    </row>
    <row r="19550">
      <c r="N19550" s="1"/>
      <c r="V19550" s="5"/>
    </row>
    <row r="19551">
      <c r="N19551" s="1"/>
      <c r="V19551" s="5"/>
    </row>
    <row r="19552">
      <c r="N19552" s="1"/>
      <c r="V19552" s="5"/>
    </row>
    <row r="19553">
      <c r="N19553" s="1"/>
      <c r="V19553" s="5"/>
    </row>
    <row r="19554">
      <c r="N19554" s="1"/>
      <c r="V19554" s="5"/>
    </row>
    <row r="19555">
      <c r="N19555" s="1"/>
      <c r="V19555" s="5"/>
    </row>
    <row r="19556">
      <c r="N19556" s="1"/>
      <c r="V19556" s="5"/>
    </row>
    <row r="19557">
      <c r="N19557" s="1"/>
      <c r="V19557" s="5"/>
    </row>
    <row r="19558">
      <c r="N19558" s="1"/>
      <c r="V19558" s="5"/>
    </row>
    <row r="19559">
      <c r="N19559" s="1"/>
      <c r="V19559" s="5"/>
    </row>
    <row r="19560">
      <c r="N19560" s="1"/>
      <c r="V19560" s="5"/>
    </row>
    <row r="19561">
      <c r="N19561" s="1"/>
      <c r="V19561" s="5"/>
    </row>
    <row r="19562">
      <c r="N19562" s="1"/>
      <c r="V19562" s="5"/>
    </row>
    <row r="19563">
      <c r="N19563" s="1"/>
      <c r="V19563" s="5"/>
    </row>
    <row r="19564">
      <c r="N19564" s="1"/>
      <c r="V19564" s="5"/>
    </row>
    <row r="19565">
      <c r="N19565" s="1"/>
      <c r="V19565" s="5"/>
    </row>
    <row r="19566">
      <c r="N19566" s="1"/>
      <c r="V19566" s="5"/>
    </row>
    <row r="19567">
      <c r="N19567" s="1"/>
      <c r="V19567" s="5"/>
    </row>
    <row r="19568">
      <c r="N19568" s="1"/>
      <c r="V19568" s="5"/>
    </row>
    <row r="19569">
      <c r="N19569" s="1"/>
      <c r="V19569" s="5"/>
    </row>
    <row r="19570">
      <c r="N19570" s="1"/>
      <c r="V19570" s="5"/>
    </row>
    <row r="19571">
      <c r="N19571" s="1"/>
      <c r="V19571" s="5"/>
    </row>
    <row r="19572">
      <c r="N19572" s="1"/>
      <c r="V19572" s="5"/>
    </row>
    <row r="19573">
      <c r="N19573" s="1"/>
      <c r="V19573" s="5"/>
    </row>
    <row r="19574">
      <c r="N19574" s="1"/>
      <c r="V19574" s="5"/>
    </row>
    <row r="19575">
      <c r="N19575" s="1"/>
      <c r="V19575" s="5"/>
    </row>
    <row r="19576">
      <c r="N19576" s="1"/>
      <c r="V19576" s="5"/>
    </row>
    <row r="19577">
      <c r="N19577" s="1"/>
      <c r="V19577" s="5"/>
    </row>
    <row r="19578">
      <c r="N19578" s="1"/>
      <c r="V19578" s="5"/>
    </row>
    <row r="19579">
      <c r="N19579" s="1"/>
      <c r="V19579" s="5"/>
    </row>
    <row r="19580">
      <c r="N19580" s="1"/>
      <c r="V19580" s="5"/>
    </row>
    <row r="19581">
      <c r="N19581" s="1"/>
      <c r="V19581" s="5"/>
    </row>
    <row r="19582">
      <c r="N19582" s="1"/>
      <c r="V19582" s="5"/>
    </row>
    <row r="19583">
      <c r="N19583" s="1"/>
      <c r="V19583" s="5"/>
    </row>
    <row r="19584">
      <c r="N19584" s="1"/>
      <c r="V19584" s="5"/>
    </row>
    <row r="19585">
      <c r="N19585" s="1"/>
      <c r="V19585" s="5"/>
    </row>
    <row r="19586">
      <c r="N19586" s="1"/>
      <c r="V19586" s="5"/>
    </row>
    <row r="19587">
      <c r="N19587" s="1"/>
      <c r="V19587" s="5"/>
    </row>
    <row r="19588">
      <c r="N19588" s="1"/>
      <c r="V19588" s="5"/>
    </row>
    <row r="19589">
      <c r="N19589" s="1"/>
      <c r="V19589" s="5"/>
    </row>
    <row r="19590">
      <c r="N19590" s="1"/>
      <c r="V19590" s="5"/>
    </row>
    <row r="19591">
      <c r="N19591" s="1"/>
      <c r="V19591" s="5"/>
    </row>
    <row r="19592">
      <c r="N19592" s="1"/>
      <c r="V19592" s="5"/>
    </row>
    <row r="19593">
      <c r="N19593" s="1"/>
      <c r="V19593" s="5"/>
    </row>
    <row r="19594">
      <c r="N19594" s="1"/>
      <c r="V19594" s="5"/>
    </row>
    <row r="19595">
      <c r="N19595" s="1"/>
      <c r="V19595" s="5"/>
    </row>
    <row r="19596">
      <c r="N19596" s="1"/>
      <c r="V19596" s="5"/>
    </row>
    <row r="19597">
      <c r="N19597" s="1"/>
      <c r="V19597" s="5"/>
    </row>
    <row r="19598">
      <c r="N19598" s="1"/>
      <c r="V19598" s="5"/>
    </row>
    <row r="19599">
      <c r="N19599" s="1"/>
      <c r="V19599" s="5"/>
    </row>
    <row r="19600">
      <c r="N19600" s="1"/>
      <c r="V19600" s="5"/>
    </row>
    <row r="19601">
      <c r="N19601" s="1"/>
      <c r="V19601" s="5"/>
    </row>
    <row r="19602">
      <c r="N19602" s="1"/>
      <c r="V19602" s="5"/>
    </row>
    <row r="19603">
      <c r="N19603" s="1"/>
      <c r="V19603" s="5"/>
    </row>
    <row r="19604">
      <c r="N19604" s="1"/>
      <c r="V19604" s="5"/>
    </row>
    <row r="19605">
      <c r="N19605" s="1"/>
      <c r="V19605" s="5"/>
    </row>
    <row r="19606">
      <c r="N19606" s="1"/>
      <c r="V19606" s="5"/>
    </row>
    <row r="19607">
      <c r="N19607" s="1"/>
      <c r="V19607" s="5"/>
    </row>
    <row r="19608">
      <c r="N19608" s="1"/>
      <c r="V19608" s="5"/>
    </row>
    <row r="19609">
      <c r="N19609" s="1"/>
      <c r="V19609" s="5"/>
    </row>
    <row r="19610">
      <c r="N19610" s="1"/>
      <c r="V19610" s="5"/>
    </row>
    <row r="19611">
      <c r="N19611" s="1"/>
      <c r="V19611" s="5"/>
    </row>
    <row r="19612">
      <c r="N19612" s="1"/>
      <c r="V19612" s="5"/>
    </row>
    <row r="19613">
      <c r="N19613" s="1"/>
      <c r="V19613" s="5"/>
    </row>
    <row r="19614">
      <c r="N19614" s="1"/>
      <c r="V19614" s="5"/>
    </row>
    <row r="19615">
      <c r="N19615" s="1"/>
      <c r="V19615" s="5"/>
    </row>
    <row r="19616">
      <c r="N19616" s="1"/>
      <c r="V19616" s="5"/>
    </row>
    <row r="19617">
      <c r="N19617" s="1"/>
      <c r="V19617" s="5"/>
    </row>
    <row r="19618">
      <c r="N19618" s="1"/>
      <c r="V19618" s="5"/>
    </row>
    <row r="19619">
      <c r="N19619" s="1"/>
      <c r="V19619" s="5"/>
    </row>
    <row r="19620">
      <c r="N19620" s="1"/>
      <c r="V19620" s="5"/>
    </row>
    <row r="19621">
      <c r="N19621" s="1"/>
      <c r="V19621" s="5"/>
    </row>
    <row r="19622">
      <c r="N19622" s="1"/>
      <c r="V19622" s="5"/>
    </row>
    <row r="19623">
      <c r="N19623" s="1"/>
      <c r="V19623" s="5"/>
    </row>
    <row r="19624">
      <c r="N19624" s="1"/>
      <c r="V19624" s="5"/>
    </row>
    <row r="19625">
      <c r="N19625" s="1"/>
      <c r="V19625" s="5"/>
    </row>
    <row r="19626">
      <c r="N19626" s="1"/>
      <c r="V19626" s="5"/>
    </row>
    <row r="19627">
      <c r="N19627" s="1"/>
      <c r="V19627" s="5"/>
    </row>
    <row r="19628">
      <c r="N19628" s="1"/>
      <c r="V19628" s="5"/>
    </row>
    <row r="19629">
      <c r="N19629" s="1"/>
      <c r="V19629" s="5"/>
    </row>
    <row r="19630">
      <c r="N19630" s="1"/>
      <c r="V19630" s="5"/>
    </row>
    <row r="19631">
      <c r="N19631" s="1"/>
      <c r="V19631" s="5"/>
    </row>
    <row r="19632">
      <c r="N19632" s="1"/>
      <c r="V19632" s="5"/>
    </row>
    <row r="19633">
      <c r="N19633" s="1"/>
      <c r="V19633" s="5"/>
    </row>
    <row r="19634">
      <c r="N19634" s="1"/>
      <c r="V19634" s="5"/>
    </row>
    <row r="19635">
      <c r="N19635" s="1"/>
      <c r="V19635" s="5"/>
    </row>
    <row r="19636">
      <c r="N19636" s="1"/>
      <c r="V19636" s="5"/>
    </row>
    <row r="19637">
      <c r="N19637" s="1"/>
      <c r="V19637" s="5"/>
    </row>
    <row r="19638">
      <c r="N19638" s="1"/>
      <c r="V19638" s="5"/>
    </row>
    <row r="19639">
      <c r="N19639" s="1"/>
      <c r="V19639" s="5"/>
    </row>
    <row r="19640">
      <c r="N19640" s="1"/>
      <c r="V19640" s="5"/>
    </row>
    <row r="19641">
      <c r="N19641" s="1"/>
      <c r="V19641" s="5"/>
    </row>
    <row r="19642">
      <c r="N19642" s="1"/>
      <c r="V19642" s="5"/>
    </row>
    <row r="19643">
      <c r="N19643" s="1"/>
      <c r="V19643" s="5"/>
    </row>
    <row r="19644">
      <c r="N19644" s="1"/>
      <c r="V19644" s="5"/>
    </row>
    <row r="19645">
      <c r="N19645" s="1"/>
      <c r="V19645" s="5"/>
    </row>
    <row r="19646">
      <c r="N19646" s="1"/>
      <c r="V19646" s="5"/>
    </row>
    <row r="19647">
      <c r="N19647" s="1"/>
      <c r="V19647" s="5"/>
    </row>
    <row r="19648">
      <c r="N19648" s="1"/>
      <c r="V19648" s="5"/>
    </row>
    <row r="19649">
      <c r="N19649" s="1"/>
      <c r="V19649" s="5"/>
    </row>
    <row r="19650">
      <c r="N19650" s="1"/>
      <c r="V19650" s="5"/>
    </row>
    <row r="19651">
      <c r="N19651" s="1"/>
      <c r="V19651" s="5"/>
    </row>
    <row r="19652">
      <c r="N19652" s="1"/>
      <c r="V19652" s="5"/>
    </row>
    <row r="19653">
      <c r="N19653" s="1"/>
      <c r="V19653" s="5"/>
    </row>
    <row r="19654">
      <c r="N19654" s="1"/>
      <c r="V19654" s="5"/>
    </row>
    <row r="19655">
      <c r="N19655" s="1"/>
      <c r="V19655" s="5"/>
    </row>
    <row r="19656">
      <c r="N19656" s="1"/>
      <c r="V19656" s="5"/>
    </row>
    <row r="19657">
      <c r="N19657" s="1"/>
      <c r="V19657" s="5"/>
    </row>
    <row r="19658">
      <c r="N19658" s="1"/>
      <c r="V19658" s="5"/>
    </row>
    <row r="19659">
      <c r="N19659" s="1"/>
      <c r="V19659" s="5"/>
    </row>
    <row r="19660">
      <c r="N19660" s="1"/>
      <c r="V19660" s="5"/>
    </row>
    <row r="19661">
      <c r="N19661" s="1"/>
      <c r="V19661" s="5"/>
    </row>
    <row r="19662">
      <c r="N19662" s="1"/>
      <c r="V19662" s="5"/>
    </row>
    <row r="19663">
      <c r="N19663" s="1"/>
      <c r="V19663" s="5"/>
    </row>
    <row r="19664">
      <c r="N19664" s="1"/>
      <c r="V19664" s="5"/>
    </row>
    <row r="19665">
      <c r="N19665" s="1"/>
      <c r="V19665" s="5"/>
    </row>
    <row r="19666">
      <c r="N19666" s="1"/>
      <c r="V19666" s="5"/>
    </row>
    <row r="19667">
      <c r="N19667" s="1"/>
      <c r="V19667" s="5"/>
    </row>
    <row r="19668">
      <c r="N19668" s="1"/>
      <c r="V19668" s="5"/>
    </row>
    <row r="19669">
      <c r="N19669" s="1"/>
      <c r="V19669" s="5"/>
    </row>
    <row r="19670">
      <c r="N19670" s="1"/>
      <c r="V19670" s="5"/>
    </row>
    <row r="19671">
      <c r="N19671" s="1"/>
      <c r="V19671" s="5"/>
    </row>
    <row r="19672">
      <c r="N19672" s="1"/>
      <c r="V19672" s="5"/>
    </row>
    <row r="19673">
      <c r="N19673" s="1"/>
      <c r="V19673" s="5"/>
    </row>
    <row r="19674">
      <c r="N19674" s="1"/>
      <c r="V19674" s="5"/>
    </row>
    <row r="19675">
      <c r="N19675" s="1"/>
      <c r="V19675" s="5"/>
    </row>
    <row r="19676">
      <c r="N19676" s="1"/>
      <c r="V19676" s="5"/>
    </row>
    <row r="19677">
      <c r="N19677" s="1"/>
      <c r="V19677" s="5"/>
    </row>
    <row r="19678">
      <c r="N19678" s="1"/>
      <c r="V19678" s="5"/>
    </row>
    <row r="19679">
      <c r="N19679" s="1"/>
      <c r="V19679" s="5"/>
    </row>
    <row r="19680">
      <c r="N19680" s="1"/>
      <c r="V19680" s="5"/>
    </row>
    <row r="19681">
      <c r="N19681" s="1"/>
      <c r="V19681" s="5"/>
    </row>
    <row r="19682">
      <c r="N19682" s="1"/>
      <c r="V19682" s="5"/>
    </row>
    <row r="19683">
      <c r="N19683" s="1"/>
      <c r="V19683" s="5"/>
    </row>
    <row r="19684">
      <c r="N19684" s="1"/>
      <c r="V19684" s="5"/>
    </row>
    <row r="19685">
      <c r="N19685" s="1"/>
      <c r="V19685" s="5"/>
    </row>
    <row r="19686">
      <c r="N19686" s="1"/>
      <c r="V19686" s="5"/>
    </row>
    <row r="19687">
      <c r="N19687" s="1"/>
      <c r="V19687" s="5"/>
    </row>
    <row r="19688">
      <c r="N19688" s="1"/>
      <c r="V19688" s="5"/>
    </row>
    <row r="19689">
      <c r="N19689" s="1"/>
      <c r="V19689" s="5"/>
    </row>
    <row r="19690">
      <c r="N19690" s="1"/>
      <c r="V19690" s="5"/>
    </row>
    <row r="19691">
      <c r="N19691" s="1"/>
      <c r="V19691" s="5"/>
    </row>
    <row r="19692">
      <c r="N19692" s="1"/>
      <c r="V19692" s="5"/>
    </row>
    <row r="19693">
      <c r="N19693" s="1"/>
      <c r="V19693" s="5"/>
    </row>
    <row r="19694">
      <c r="N19694" s="1"/>
      <c r="V19694" s="5"/>
    </row>
    <row r="19695">
      <c r="N19695" s="1"/>
      <c r="V19695" s="5"/>
    </row>
    <row r="19696">
      <c r="N19696" s="1"/>
      <c r="V19696" s="5"/>
    </row>
    <row r="19697">
      <c r="N19697" s="1"/>
      <c r="V19697" s="5"/>
    </row>
    <row r="19698">
      <c r="N19698" s="1"/>
      <c r="V19698" s="5"/>
    </row>
    <row r="19699">
      <c r="N19699" s="1"/>
      <c r="V19699" s="5"/>
    </row>
    <row r="19700">
      <c r="N19700" s="1"/>
      <c r="V19700" s="5"/>
    </row>
    <row r="19701">
      <c r="N19701" s="1"/>
      <c r="V19701" s="5"/>
    </row>
    <row r="19702">
      <c r="N19702" s="1"/>
      <c r="V19702" s="5"/>
    </row>
    <row r="19703">
      <c r="N19703" s="1"/>
      <c r="V19703" s="5"/>
    </row>
    <row r="19704">
      <c r="N19704" s="1"/>
      <c r="V19704" s="5"/>
    </row>
    <row r="19705">
      <c r="N19705" s="1"/>
      <c r="V19705" s="5"/>
    </row>
    <row r="19706">
      <c r="N19706" s="1"/>
      <c r="V19706" s="5"/>
    </row>
    <row r="19707">
      <c r="N19707" s="1"/>
      <c r="V19707" s="5"/>
    </row>
    <row r="19708">
      <c r="N19708" s="1"/>
      <c r="V19708" s="5"/>
    </row>
    <row r="19709">
      <c r="N19709" s="1"/>
      <c r="V19709" s="5"/>
    </row>
    <row r="19710">
      <c r="N19710" s="1"/>
      <c r="V19710" s="5"/>
    </row>
    <row r="19711">
      <c r="N19711" s="1"/>
      <c r="V19711" s="5"/>
    </row>
    <row r="19712">
      <c r="N19712" s="1"/>
      <c r="V19712" s="5"/>
    </row>
    <row r="19713">
      <c r="N19713" s="1"/>
      <c r="V19713" s="5"/>
    </row>
    <row r="19714">
      <c r="N19714" s="1"/>
      <c r="V19714" s="5"/>
    </row>
    <row r="19715">
      <c r="N19715" s="1"/>
      <c r="V19715" s="5"/>
    </row>
    <row r="19716">
      <c r="N19716" s="1"/>
      <c r="V19716" s="5"/>
    </row>
    <row r="19717">
      <c r="N19717" s="1"/>
      <c r="V19717" s="5"/>
    </row>
    <row r="19718">
      <c r="N19718" s="1"/>
      <c r="V19718" s="5"/>
    </row>
    <row r="19719">
      <c r="N19719" s="1"/>
      <c r="V19719" s="5"/>
    </row>
    <row r="19720">
      <c r="N19720" s="1"/>
      <c r="V19720" s="5"/>
    </row>
    <row r="19721">
      <c r="N19721" s="1"/>
      <c r="V19721" s="5"/>
    </row>
    <row r="19722">
      <c r="N19722" s="1"/>
      <c r="V19722" s="5"/>
    </row>
    <row r="19723">
      <c r="N19723" s="1"/>
      <c r="V19723" s="5"/>
    </row>
    <row r="19724">
      <c r="N19724" s="1"/>
      <c r="V19724" s="5"/>
    </row>
    <row r="19725">
      <c r="N19725" s="1"/>
      <c r="V19725" s="5"/>
    </row>
    <row r="19726">
      <c r="N19726" s="1"/>
      <c r="V19726" s="5"/>
    </row>
    <row r="19727">
      <c r="N19727" s="1"/>
      <c r="V19727" s="5"/>
    </row>
    <row r="19728">
      <c r="N19728" s="1"/>
      <c r="V19728" s="5"/>
    </row>
    <row r="19729">
      <c r="N19729" s="1"/>
      <c r="V19729" s="5"/>
    </row>
    <row r="19730">
      <c r="N19730" s="1"/>
      <c r="V19730" s="5"/>
    </row>
    <row r="19731">
      <c r="N19731" s="1"/>
      <c r="V19731" s="5"/>
    </row>
    <row r="19732">
      <c r="N19732" s="1"/>
      <c r="V19732" s="5"/>
    </row>
    <row r="19733">
      <c r="N19733" s="1"/>
      <c r="V19733" s="5"/>
    </row>
    <row r="19734">
      <c r="N19734" s="1"/>
      <c r="V19734" s="5"/>
    </row>
    <row r="19735">
      <c r="N19735" s="1"/>
      <c r="V19735" s="5"/>
    </row>
    <row r="19736">
      <c r="N19736" s="1"/>
      <c r="V19736" s="5"/>
    </row>
    <row r="19737">
      <c r="N19737" s="1"/>
      <c r="V19737" s="5"/>
    </row>
    <row r="19738">
      <c r="N19738" s="1"/>
      <c r="V19738" s="5"/>
    </row>
    <row r="19739">
      <c r="N19739" s="1"/>
      <c r="V19739" s="5"/>
    </row>
    <row r="19740">
      <c r="N19740" s="1"/>
      <c r="V19740" s="5"/>
    </row>
    <row r="19741">
      <c r="N19741" s="1"/>
      <c r="V19741" s="5"/>
    </row>
    <row r="19742">
      <c r="N19742" s="1"/>
      <c r="V19742" s="5"/>
    </row>
    <row r="19743">
      <c r="N19743" s="1"/>
      <c r="V19743" s="5"/>
    </row>
    <row r="19744">
      <c r="N19744" s="1"/>
      <c r="V19744" s="5"/>
    </row>
    <row r="19745">
      <c r="N19745" s="1"/>
      <c r="V19745" s="5"/>
    </row>
    <row r="19746">
      <c r="N19746" s="1"/>
      <c r="V19746" s="5"/>
    </row>
    <row r="19747">
      <c r="N19747" s="1"/>
      <c r="V19747" s="5"/>
    </row>
    <row r="19748">
      <c r="N19748" s="1"/>
      <c r="V19748" s="5"/>
    </row>
    <row r="19749">
      <c r="N19749" s="1"/>
      <c r="V19749" s="5"/>
    </row>
    <row r="19750">
      <c r="N19750" s="1"/>
      <c r="V19750" s="5"/>
    </row>
    <row r="19751">
      <c r="N19751" s="1"/>
      <c r="V19751" s="5"/>
    </row>
    <row r="19752">
      <c r="N19752" s="1"/>
      <c r="V19752" s="5"/>
    </row>
    <row r="19753">
      <c r="N19753" s="1"/>
      <c r="V19753" s="5"/>
    </row>
    <row r="19754">
      <c r="N19754" s="1"/>
      <c r="V19754" s="5"/>
    </row>
    <row r="19755">
      <c r="N19755" s="1"/>
      <c r="V19755" s="5"/>
    </row>
    <row r="19756">
      <c r="N19756" s="1"/>
      <c r="V19756" s="5"/>
    </row>
    <row r="19757">
      <c r="N19757" s="1"/>
      <c r="V19757" s="5"/>
    </row>
    <row r="19758">
      <c r="N19758" s="1"/>
      <c r="V19758" s="5"/>
    </row>
    <row r="19759">
      <c r="N19759" s="1"/>
      <c r="V19759" s="5"/>
    </row>
    <row r="19760">
      <c r="N19760" s="1"/>
      <c r="V19760" s="5"/>
    </row>
    <row r="19761">
      <c r="N19761" s="1"/>
      <c r="V19761" s="5"/>
    </row>
    <row r="19762">
      <c r="N19762" s="1"/>
      <c r="V19762" s="5"/>
    </row>
    <row r="19763">
      <c r="N19763" s="1"/>
      <c r="V19763" s="5"/>
    </row>
    <row r="19764">
      <c r="N19764" s="1"/>
      <c r="V19764" s="5"/>
    </row>
    <row r="19765">
      <c r="N19765" s="1"/>
      <c r="V19765" s="5"/>
    </row>
    <row r="19766">
      <c r="N19766" s="1"/>
      <c r="V19766" s="5"/>
    </row>
    <row r="19767">
      <c r="N19767" s="1"/>
      <c r="V19767" s="5"/>
    </row>
    <row r="19768">
      <c r="N19768" s="1"/>
      <c r="V19768" s="5"/>
    </row>
    <row r="19769">
      <c r="N19769" s="1"/>
      <c r="V19769" s="5"/>
    </row>
    <row r="19770">
      <c r="N19770" s="1"/>
      <c r="V19770" s="5"/>
    </row>
    <row r="19771">
      <c r="N19771" s="1"/>
      <c r="V19771" s="5"/>
    </row>
    <row r="19772">
      <c r="N19772" s="1"/>
      <c r="V19772" s="5"/>
    </row>
    <row r="19773">
      <c r="N19773" s="1"/>
      <c r="V19773" s="5"/>
    </row>
    <row r="19774">
      <c r="N19774" s="1"/>
      <c r="V19774" s="5"/>
    </row>
    <row r="19775">
      <c r="N19775" s="1"/>
      <c r="V19775" s="5"/>
    </row>
    <row r="19776">
      <c r="N19776" s="1"/>
      <c r="V19776" s="5"/>
    </row>
    <row r="19777">
      <c r="N19777" s="1"/>
      <c r="V19777" s="5"/>
    </row>
    <row r="19778">
      <c r="N19778" s="1"/>
      <c r="V19778" s="5"/>
    </row>
    <row r="19779">
      <c r="N19779" s="1"/>
      <c r="V19779" s="5"/>
    </row>
    <row r="19780">
      <c r="N19780" s="1"/>
      <c r="V19780" s="5"/>
    </row>
    <row r="19781">
      <c r="N19781" s="1"/>
      <c r="V19781" s="5"/>
    </row>
    <row r="19782">
      <c r="N19782" s="1"/>
      <c r="V19782" s="5"/>
    </row>
    <row r="19783">
      <c r="N19783" s="1"/>
      <c r="V19783" s="5"/>
    </row>
    <row r="19784">
      <c r="N19784" s="1"/>
      <c r="V19784" s="5"/>
    </row>
    <row r="19785">
      <c r="N19785" s="1"/>
      <c r="V19785" s="5"/>
    </row>
    <row r="19786">
      <c r="N19786" s="1"/>
      <c r="V19786" s="5"/>
    </row>
    <row r="19787">
      <c r="N19787" s="1"/>
      <c r="V19787" s="5"/>
    </row>
    <row r="19788">
      <c r="N19788" s="1"/>
      <c r="V19788" s="5"/>
    </row>
    <row r="19789">
      <c r="N19789" s="1"/>
      <c r="V19789" s="5"/>
    </row>
    <row r="19790">
      <c r="N19790" s="1"/>
      <c r="V19790" s="5"/>
    </row>
    <row r="19791">
      <c r="N19791" s="1"/>
      <c r="V19791" s="5"/>
    </row>
    <row r="19792">
      <c r="N19792" s="1"/>
      <c r="V19792" s="5"/>
    </row>
    <row r="19793">
      <c r="N19793" s="1"/>
      <c r="V19793" s="5"/>
    </row>
    <row r="19794">
      <c r="N19794" s="1"/>
      <c r="V19794" s="5"/>
    </row>
    <row r="19795">
      <c r="N19795" s="1"/>
      <c r="V19795" s="5"/>
    </row>
    <row r="19796">
      <c r="N19796" s="1"/>
      <c r="V19796" s="5"/>
    </row>
    <row r="19797">
      <c r="N19797" s="1"/>
      <c r="V19797" s="5"/>
    </row>
    <row r="19798">
      <c r="N19798" s="1"/>
      <c r="V19798" s="5"/>
    </row>
    <row r="19799">
      <c r="N19799" s="1"/>
      <c r="V19799" s="5"/>
    </row>
    <row r="19800">
      <c r="N19800" s="1"/>
      <c r="V19800" s="5"/>
    </row>
    <row r="19801">
      <c r="N19801" s="1"/>
      <c r="V19801" s="5"/>
    </row>
    <row r="19802">
      <c r="N19802" s="1"/>
      <c r="V19802" s="5"/>
    </row>
    <row r="19803">
      <c r="N19803" s="1"/>
      <c r="V19803" s="5"/>
    </row>
    <row r="19804">
      <c r="N19804" s="1"/>
      <c r="V19804" s="5"/>
    </row>
    <row r="19805">
      <c r="N19805" s="1"/>
      <c r="V19805" s="5"/>
    </row>
    <row r="19806">
      <c r="N19806" s="1"/>
      <c r="V19806" s="5"/>
    </row>
    <row r="19807">
      <c r="N19807" s="1"/>
      <c r="V19807" s="5"/>
    </row>
    <row r="19808">
      <c r="N19808" s="1"/>
      <c r="V19808" s="5"/>
    </row>
    <row r="19809">
      <c r="N19809" s="1"/>
      <c r="V19809" s="5"/>
    </row>
    <row r="19810">
      <c r="N19810" s="1"/>
      <c r="V19810" s="5"/>
    </row>
    <row r="19811">
      <c r="N19811" s="1"/>
      <c r="V19811" s="5"/>
    </row>
    <row r="19812">
      <c r="N19812" s="1"/>
      <c r="V19812" s="5"/>
    </row>
    <row r="19813">
      <c r="N19813" s="1"/>
      <c r="V19813" s="5"/>
    </row>
    <row r="19814">
      <c r="N19814" s="1"/>
      <c r="V19814" s="5"/>
    </row>
    <row r="19815">
      <c r="N19815" s="1"/>
      <c r="V19815" s="5"/>
    </row>
    <row r="19816">
      <c r="N19816" s="1"/>
      <c r="V19816" s="5"/>
    </row>
    <row r="19817">
      <c r="N19817" s="1"/>
      <c r="V19817" s="5"/>
    </row>
    <row r="19818">
      <c r="N19818" s="1"/>
      <c r="V19818" s="5"/>
    </row>
    <row r="19819">
      <c r="N19819" s="1"/>
      <c r="V19819" s="5"/>
    </row>
    <row r="19820">
      <c r="N19820" s="1"/>
      <c r="V19820" s="5"/>
    </row>
    <row r="19821">
      <c r="N19821" s="1"/>
      <c r="V19821" s="5"/>
    </row>
    <row r="19822">
      <c r="N19822" s="1"/>
      <c r="V19822" s="5"/>
    </row>
    <row r="19823">
      <c r="N19823" s="1"/>
      <c r="V19823" s="5"/>
    </row>
    <row r="19824">
      <c r="N19824" s="1"/>
      <c r="V19824" s="5"/>
    </row>
    <row r="19825">
      <c r="N19825" s="1"/>
      <c r="V19825" s="5"/>
    </row>
    <row r="19826">
      <c r="N19826" s="1"/>
      <c r="V19826" s="5"/>
    </row>
    <row r="19827">
      <c r="N19827" s="1"/>
      <c r="V19827" s="5"/>
    </row>
    <row r="19828">
      <c r="N19828" s="1"/>
      <c r="V19828" s="5"/>
    </row>
    <row r="19829">
      <c r="N19829" s="1"/>
      <c r="V19829" s="5"/>
    </row>
    <row r="19830">
      <c r="N19830" s="1"/>
      <c r="V19830" s="5"/>
    </row>
    <row r="19831">
      <c r="N19831" s="1"/>
      <c r="V19831" s="5"/>
    </row>
    <row r="19832">
      <c r="N19832" s="1"/>
      <c r="V19832" s="5"/>
    </row>
    <row r="19833">
      <c r="N19833" s="1"/>
      <c r="V19833" s="5"/>
    </row>
    <row r="19834">
      <c r="N19834" s="1"/>
      <c r="V19834" s="5"/>
    </row>
    <row r="19835">
      <c r="N19835" s="1"/>
      <c r="V19835" s="5"/>
    </row>
    <row r="19836">
      <c r="N19836" s="1"/>
      <c r="V19836" s="5"/>
    </row>
    <row r="19837">
      <c r="N19837" s="1"/>
      <c r="V19837" s="5"/>
    </row>
    <row r="19838">
      <c r="N19838" s="1"/>
      <c r="V19838" s="5"/>
    </row>
    <row r="19839">
      <c r="N19839" s="1"/>
      <c r="V19839" s="5"/>
    </row>
    <row r="19840">
      <c r="N19840" s="1"/>
      <c r="V19840" s="5"/>
    </row>
    <row r="19841">
      <c r="N19841" s="1"/>
      <c r="V19841" s="5"/>
    </row>
    <row r="19842">
      <c r="N19842" s="1"/>
      <c r="V19842" s="5"/>
    </row>
    <row r="19843">
      <c r="N19843" s="1"/>
      <c r="V19843" s="5"/>
    </row>
    <row r="19844">
      <c r="N19844" s="1"/>
      <c r="V19844" s="5"/>
    </row>
    <row r="19845">
      <c r="N19845" s="1"/>
      <c r="V19845" s="5"/>
    </row>
    <row r="19846">
      <c r="N19846" s="1"/>
      <c r="V19846" s="5"/>
    </row>
    <row r="19847">
      <c r="N19847" s="1"/>
      <c r="V19847" s="5"/>
    </row>
    <row r="19848">
      <c r="N19848" s="1"/>
      <c r="V19848" s="5"/>
    </row>
    <row r="19849">
      <c r="N19849" s="1"/>
      <c r="V19849" s="5"/>
    </row>
    <row r="19850">
      <c r="N19850" s="1"/>
      <c r="V19850" s="5"/>
    </row>
    <row r="19851">
      <c r="N19851" s="1"/>
      <c r="V19851" s="5"/>
    </row>
    <row r="19852">
      <c r="N19852" s="1"/>
      <c r="V19852" s="5"/>
    </row>
    <row r="19853">
      <c r="N19853" s="1"/>
      <c r="V19853" s="5"/>
    </row>
    <row r="19854">
      <c r="N19854" s="1"/>
      <c r="V19854" s="5"/>
    </row>
    <row r="19855">
      <c r="N19855" s="1"/>
      <c r="V19855" s="5"/>
    </row>
    <row r="19856">
      <c r="N19856" s="1"/>
      <c r="V19856" s="5"/>
    </row>
    <row r="19857">
      <c r="N19857" s="1"/>
      <c r="V19857" s="5"/>
    </row>
    <row r="19858">
      <c r="N19858" s="1"/>
      <c r="V19858" s="5"/>
    </row>
    <row r="19859">
      <c r="N19859" s="1"/>
      <c r="V19859" s="5"/>
    </row>
    <row r="19860">
      <c r="N19860" s="1"/>
      <c r="V19860" s="5"/>
    </row>
    <row r="19861">
      <c r="N19861" s="1"/>
      <c r="V19861" s="5"/>
    </row>
    <row r="19862">
      <c r="N19862" s="1"/>
      <c r="V19862" s="5"/>
    </row>
    <row r="19863">
      <c r="N19863" s="1"/>
      <c r="V19863" s="5"/>
    </row>
    <row r="19864">
      <c r="N19864" s="1"/>
      <c r="V19864" s="5"/>
    </row>
    <row r="19865">
      <c r="N19865" s="1"/>
      <c r="V19865" s="5"/>
    </row>
    <row r="19866">
      <c r="N19866" s="1"/>
      <c r="V19866" s="5"/>
    </row>
    <row r="19867">
      <c r="N19867" s="1"/>
      <c r="V19867" s="5"/>
    </row>
    <row r="19868">
      <c r="N19868" s="1"/>
      <c r="V19868" s="5"/>
    </row>
    <row r="19869">
      <c r="N19869" s="1"/>
      <c r="V19869" s="5"/>
    </row>
    <row r="19870">
      <c r="N19870" s="1"/>
      <c r="V19870" s="5"/>
    </row>
    <row r="19871">
      <c r="N19871" s="1"/>
      <c r="V19871" s="5"/>
    </row>
    <row r="19872">
      <c r="N19872" s="1"/>
      <c r="V19872" s="5"/>
    </row>
    <row r="19873">
      <c r="N19873" s="1"/>
      <c r="V19873" s="5"/>
    </row>
    <row r="19874">
      <c r="N19874" s="1"/>
      <c r="V19874" s="5"/>
    </row>
    <row r="19875">
      <c r="N19875" s="1"/>
      <c r="V19875" s="5"/>
    </row>
    <row r="19876">
      <c r="N19876" s="1"/>
      <c r="V19876" s="5"/>
    </row>
    <row r="19877">
      <c r="N19877" s="1"/>
      <c r="V19877" s="5"/>
    </row>
    <row r="19878">
      <c r="N19878" s="1"/>
      <c r="V19878" s="5"/>
    </row>
    <row r="19879">
      <c r="N19879" s="1"/>
      <c r="V19879" s="5"/>
    </row>
    <row r="19880">
      <c r="N19880" s="1"/>
      <c r="V19880" s="5"/>
    </row>
    <row r="19881">
      <c r="N19881" s="1"/>
      <c r="V19881" s="5"/>
    </row>
    <row r="19882">
      <c r="N19882" s="1"/>
      <c r="V19882" s="5"/>
    </row>
    <row r="19883">
      <c r="N19883" s="1"/>
      <c r="V19883" s="5"/>
    </row>
    <row r="19884">
      <c r="N19884" s="1"/>
      <c r="V19884" s="5"/>
    </row>
    <row r="19885">
      <c r="N19885" s="1"/>
      <c r="V19885" s="5"/>
    </row>
    <row r="19886">
      <c r="N19886" s="1"/>
      <c r="V19886" s="5"/>
    </row>
    <row r="19887">
      <c r="N19887" s="1"/>
      <c r="V19887" s="5"/>
    </row>
    <row r="19888">
      <c r="N19888" s="1"/>
      <c r="V19888" s="5"/>
    </row>
    <row r="19889">
      <c r="N19889" s="1"/>
      <c r="V19889" s="5"/>
    </row>
    <row r="19890">
      <c r="N19890" s="1"/>
      <c r="V19890" s="5"/>
    </row>
    <row r="19891">
      <c r="N19891" s="1"/>
      <c r="V19891" s="5"/>
    </row>
    <row r="19892">
      <c r="N19892" s="1"/>
      <c r="V19892" s="5"/>
    </row>
    <row r="19893">
      <c r="N19893" s="1"/>
      <c r="V19893" s="5"/>
    </row>
    <row r="19894">
      <c r="N19894" s="1"/>
      <c r="V19894" s="5"/>
    </row>
    <row r="19895">
      <c r="N19895" s="1"/>
      <c r="V19895" s="5"/>
    </row>
    <row r="19896">
      <c r="N19896" s="1"/>
      <c r="V19896" s="5"/>
    </row>
    <row r="19897">
      <c r="N19897" s="1"/>
      <c r="V19897" s="5"/>
    </row>
    <row r="19898">
      <c r="N19898" s="1"/>
      <c r="V19898" s="5"/>
    </row>
    <row r="19899">
      <c r="N19899" s="1"/>
      <c r="V19899" s="5"/>
    </row>
    <row r="19900">
      <c r="N19900" s="1"/>
      <c r="V19900" s="5"/>
    </row>
    <row r="19901">
      <c r="N19901" s="1"/>
      <c r="V19901" s="5"/>
    </row>
    <row r="19902">
      <c r="N19902" s="1"/>
      <c r="V19902" s="5"/>
    </row>
    <row r="19903">
      <c r="N19903" s="1"/>
      <c r="V19903" s="5"/>
    </row>
    <row r="19904">
      <c r="N19904" s="1"/>
      <c r="V19904" s="5"/>
    </row>
    <row r="19905">
      <c r="N19905" s="1"/>
      <c r="V19905" s="5"/>
    </row>
    <row r="19906">
      <c r="N19906" s="1"/>
      <c r="V19906" s="5"/>
    </row>
    <row r="19907">
      <c r="N19907" s="1"/>
      <c r="V19907" s="5"/>
    </row>
    <row r="19908">
      <c r="N19908" s="1"/>
      <c r="V19908" s="5"/>
    </row>
    <row r="19909">
      <c r="N19909" s="1"/>
      <c r="V19909" s="5"/>
    </row>
    <row r="19910">
      <c r="N19910" s="1"/>
      <c r="V19910" s="5"/>
    </row>
    <row r="19911">
      <c r="N19911" s="1"/>
      <c r="V19911" s="5"/>
    </row>
    <row r="19912">
      <c r="N19912" s="1"/>
      <c r="V19912" s="5"/>
    </row>
    <row r="19913">
      <c r="N19913" s="1"/>
      <c r="V19913" s="5"/>
    </row>
    <row r="19914">
      <c r="N19914" s="1"/>
      <c r="V19914" s="5"/>
    </row>
    <row r="19915">
      <c r="N19915" s="1"/>
      <c r="V19915" s="5"/>
    </row>
    <row r="19916">
      <c r="N19916" s="1"/>
      <c r="V19916" s="5"/>
    </row>
    <row r="19917">
      <c r="N19917" s="1"/>
      <c r="V19917" s="5"/>
    </row>
    <row r="19918">
      <c r="N19918" s="1"/>
      <c r="V19918" s="5"/>
    </row>
    <row r="19919">
      <c r="N19919" s="1"/>
      <c r="V19919" s="5"/>
    </row>
    <row r="19920">
      <c r="N19920" s="1"/>
      <c r="V19920" s="5"/>
    </row>
    <row r="19921">
      <c r="N19921" s="1"/>
      <c r="V19921" s="5"/>
    </row>
    <row r="19922">
      <c r="N19922" s="1"/>
      <c r="V19922" s="5"/>
    </row>
    <row r="19923">
      <c r="N19923" s="1"/>
      <c r="V19923" s="5"/>
    </row>
    <row r="19924">
      <c r="N19924" s="1"/>
      <c r="V19924" s="5"/>
    </row>
    <row r="19925">
      <c r="N19925" s="1"/>
      <c r="V19925" s="5"/>
    </row>
    <row r="19926">
      <c r="N19926" s="1"/>
      <c r="V19926" s="5"/>
    </row>
    <row r="19927">
      <c r="N19927" s="1"/>
      <c r="V19927" s="5"/>
    </row>
    <row r="19928">
      <c r="N19928" s="1"/>
      <c r="V19928" s="5"/>
    </row>
    <row r="19929">
      <c r="N19929" s="1"/>
      <c r="V19929" s="5"/>
    </row>
    <row r="19930">
      <c r="N19930" s="1"/>
      <c r="V19930" s="5"/>
    </row>
    <row r="19931">
      <c r="N19931" s="1"/>
      <c r="V19931" s="5"/>
    </row>
    <row r="19932">
      <c r="N19932" s="1"/>
      <c r="V19932" s="5"/>
    </row>
    <row r="19933">
      <c r="N19933" s="1"/>
      <c r="V19933" s="5"/>
    </row>
    <row r="19934">
      <c r="N19934" s="1"/>
      <c r="V19934" s="5"/>
    </row>
    <row r="19935">
      <c r="N19935" s="1"/>
      <c r="V19935" s="5"/>
    </row>
    <row r="19936">
      <c r="N19936" s="1"/>
      <c r="V19936" s="5"/>
    </row>
    <row r="19937">
      <c r="N19937" s="1"/>
      <c r="V19937" s="5"/>
    </row>
    <row r="19938">
      <c r="N19938" s="1"/>
      <c r="V19938" s="5"/>
    </row>
    <row r="19939">
      <c r="N19939" s="1"/>
      <c r="V19939" s="5"/>
    </row>
    <row r="19940">
      <c r="N19940" s="1"/>
      <c r="V19940" s="5"/>
    </row>
    <row r="19941">
      <c r="N19941" s="1"/>
      <c r="V19941" s="5"/>
    </row>
    <row r="19942">
      <c r="N19942" s="1"/>
      <c r="V19942" s="5"/>
    </row>
    <row r="19943">
      <c r="N19943" s="1"/>
      <c r="V19943" s="5"/>
    </row>
    <row r="19944">
      <c r="N19944" s="1"/>
      <c r="V19944" s="5"/>
    </row>
    <row r="19945">
      <c r="N19945" s="1"/>
      <c r="V19945" s="5"/>
    </row>
    <row r="19946">
      <c r="N19946" s="1"/>
      <c r="V19946" s="5"/>
    </row>
    <row r="19947">
      <c r="N19947" s="1"/>
      <c r="V19947" s="5"/>
    </row>
    <row r="19948">
      <c r="N19948" s="1"/>
      <c r="V19948" s="5"/>
    </row>
    <row r="19949">
      <c r="N19949" s="1"/>
      <c r="V19949" s="5"/>
    </row>
    <row r="19950">
      <c r="N19950" s="1"/>
      <c r="V19950" s="5"/>
    </row>
    <row r="19951">
      <c r="N19951" s="1"/>
      <c r="V19951" s="5"/>
    </row>
    <row r="19952">
      <c r="N19952" s="1"/>
      <c r="V19952" s="5"/>
    </row>
    <row r="19953">
      <c r="N19953" s="1"/>
      <c r="V19953" s="5"/>
    </row>
    <row r="19954">
      <c r="N19954" s="1"/>
      <c r="V19954" s="5"/>
    </row>
    <row r="19955">
      <c r="N19955" s="1"/>
      <c r="V19955" s="5"/>
    </row>
    <row r="19956">
      <c r="N19956" s="1"/>
      <c r="V19956" s="5"/>
    </row>
    <row r="19957">
      <c r="N19957" s="1"/>
      <c r="V19957" s="5"/>
    </row>
    <row r="19958">
      <c r="N19958" s="1"/>
      <c r="V19958" s="5"/>
    </row>
    <row r="19959">
      <c r="N19959" s="1"/>
      <c r="V19959" s="5"/>
    </row>
    <row r="19960">
      <c r="N19960" s="1"/>
      <c r="V19960" s="5"/>
    </row>
    <row r="19961">
      <c r="N19961" s="1"/>
      <c r="V19961" s="5"/>
    </row>
    <row r="19962">
      <c r="N19962" s="1"/>
      <c r="V19962" s="5"/>
    </row>
    <row r="19963">
      <c r="N19963" s="1"/>
      <c r="V19963" s="5"/>
    </row>
    <row r="19964">
      <c r="N19964" s="1"/>
      <c r="V19964" s="5"/>
    </row>
    <row r="19965">
      <c r="N19965" s="1"/>
      <c r="V19965" s="5"/>
    </row>
    <row r="19966">
      <c r="N19966" s="1"/>
      <c r="V19966" s="5"/>
    </row>
    <row r="19967">
      <c r="N19967" s="1"/>
      <c r="V19967" s="5"/>
    </row>
    <row r="19968">
      <c r="N19968" s="1"/>
      <c r="V19968" s="5"/>
    </row>
    <row r="19969">
      <c r="N19969" s="1"/>
      <c r="V19969" s="5"/>
    </row>
    <row r="19970">
      <c r="N19970" s="1"/>
      <c r="V19970" s="5"/>
    </row>
    <row r="19971">
      <c r="N19971" s="1"/>
      <c r="V19971" s="5"/>
    </row>
    <row r="19972">
      <c r="N19972" s="1"/>
      <c r="V19972" s="5"/>
    </row>
    <row r="19973">
      <c r="N19973" s="1"/>
      <c r="V19973" s="5"/>
    </row>
    <row r="19974">
      <c r="N19974" s="1"/>
      <c r="V19974" s="5"/>
    </row>
    <row r="19975">
      <c r="N19975" s="1"/>
      <c r="V19975" s="5"/>
    </row>
    <row r="19976">
      <c r="N19976" s="1"/>
      <c r="V19976" s="5"/>
    </row>
    <row r="19977">
      <c r="N19977" s="1"/>
      <c r="V19977" s="5"/>
    </row>
    <row r="19978">
      <c r="N19978" s="1"/>
      <c r="V19978" s="5"/>
    </row>
    <row r="19979">
      <c r="N19979" s="1"/>
      <c r="V19979" s="5"/>
    </row>
    <row r="19980">
      <c r="N19980" s="1"/>
      <c r="V19980" s="5"/>
    </row>
    <row r="19981">
      <c r="N19981" s="1"/>
      <c r="V19981" s="5"/>
    </row>
    <row r="19982">
      <c r="N19982" s="1"/>
      <c r="V19982" s="5"/>
    </row>
    <row r="19983">
      <c r="N19983" s="1"/>
      <c r="V19983" s="5"/>
    </row>
    <row r="19984">
      <c r="N19984" s="1"/>
      <c r="V19984" s="5"/>
    </row>
    <row r="19985">
      <c r="N19985" s="1"/>
      <c r="V19985" s="5"/>
    </row>
    <row r="19986">
      <c r="N19986" s="1"/>
      <c r="V19986" s="5"/>
    </row>
    <row r="19987">
      <c r="N19987" s="1"/>
      <c r="V19987" s="5"/>
    </row>
    <row r="19988">
      <c r="N19988" s="1"/>
      <c r="V19988" s="5"/>
    </row>
    <row r="19989">
      <c r="N19989" s="1"/>
      <c r="V19989" s="5"/>
    </row>
    <row r="19990">
      <c r="N19990" s="1"/>
      <c r="V19990" s="5"/>
    </row>
    <row r="19991">
      <c r="N19991" s="1"/>
      <c r="V19991" s="5"/>
    </row>
    <row r="19992">
      <c r="N19992" s="1"/>
      <c r="V19992" s="5"/>
    </row>
    <row r="19993">
      <c r="N19993" s="1"/>
      <c r="V19993" s="5"/>
    </row>
    <row r="19994">
      <c r="N19994" s="1"/>
      <c r="V19994" s="5"/>
    </row>
    <row r="19995">
      <c r="N19995" s="1"/>
      <c r="V19995" s="5"/>
    </row>
    <row r="19996">
      <c r="N19996" s="1"/>
      <c r="V19996" s="5"/>
    </row>
    <row r="19997">
      <c r="N19997" s="1"/>
      <c r="V19997" s="5"/>
    </row>
    <row r="19998">
      <c r="N19998" s="1"/>
      <c r="V19998" s="5"/>
    </row>
    <row r="19999">
      <c r="N19999" s="1"/>
      <c r="V19999" s="5"/>
    </row>
    <row r="20000">
      <c r="N20000" s="1"/>
      <c r="V20000" s="5"/>
    </row>
    <row r="20001">
      <c r="N20001" s="1"/>
      <c r="V20001" s="5"/>
    </row>
    <row r="20002">
      <c r="N20002" s="1"/>
      <c r="V20002" s="5"/>
    </row>
    <row r="20003">
      <c r="N20003" s="1"/>
      <c r="V20003" s="5"/>
    </row>
    <row r="20004">
      <c r="N20004" s="1"/>
      <c r="V20004" s="5"/>
    </row>
    <row r="20005">
      <c r="N20005" s="1"/>
      <c r="V20005" s="5"/>
    </row>
    <row r="20006">
      <c r="N20006" s="1"/>
      <c r="V20006" s="5"/>
    </row>
    <row r="20007">
      <c r="N20007" s="1"/>
      <c r="V20007" s="5"/>
    </row>
    <row r="20008">
      <c r="N20008" s="1"/>
      <c r="V20008" s="5"/>
    </row>
    <row r="20009">
      <c r="N20009" s="1"/>
      <c r="V20009" s="5"/>
    </row>
    <row r="20010">
      <c r="N20010" s="1"/>
      <c r="V20010" s="5"/>
    </row>
    <row r="20011">
      <c r="N20011" s="1"/>
      <c r="V20011" s="5"/>
    </row>
    <row r="20012">
      <c r="N20012" s="1"/>
      <c r="V20012" s="5"/>
    </row>
    <row r="20013">
      <c r="N20013" s="1"/>
      <c r="V20013" s="5"/>
    </row>
    <row r="20014">
      <c r="N20014" s="1"/>
      <c r="V20014" s="5"/>
    </row>
    <row r="20015">
      <c r="N20015" s="1"/>
      <c r="V20015" s="5"/>
    </row>
    <row r="20016">
      <c r="N20016" s="1"/>
      <c r="V20016" s="5"/>
    </row>
    <row r="20017">
      <c r="N20017" s="1"/>
      <c r="V20017" s="5"/>
    </row>
    <row r="20018">
      <c r="N20018" s="1"/>
      <c r="V20018" s="5"/>
    </row>
    <row r="20019">
      <c r="N20019" s="1"/>
      <c r="V20019" s="5"/>
    </row>
    <row r="20020">
      <c r="N20020" s="1"/>
      <c r="V20020" s="5"/>
    </row>
    <row r="20021">
      <c r="N20021" s="1"/>
      <c r="V20021" s="5"/>
    </row>
    <row r="20022">
      <c r="N20022" s="1"/>
      <c r="V20022" s="5"/>
    </row>
    <row r="20023">
      <c r="N20023" s="1"/>
      <c r="V20023" s="5"/>
    </row>
    <row r="20024">
      <c r="N20024" s="1"/>
      <c r="V20024" s="5"/>
    </row>
    <row r="20025">
      <c r="N20025" s="1"/>
      <c r="V20025" s="5"/>
    </row>
    <row r="20026">
      <c r="N20026" s="1"/>
      <c r="V20026" s="5"/>
    </row>
    <row r="20027">
      <c r="N20027" s="1"/>
      <c r="V20027" s="5"/>
    </row>
    <row r="20028">
      <c r="N20028" s="1"/>
      <c r="V20028" s="5"/>
    </row>
    <row r="20029">
      <c r="N20029" s="1"/>
      <c r="V20029" s="5"/>
    </row>
    <row r="20030">
      <c r="N20030" s="1"/>
      <c r="V20030" s="5"/>
    </row>
    <row r="20031">
      <c r="N20031" s="1"/>
      <c r="V20031" s="5"/>
    </row>
    <row r="20032">
      <c r="N20032" s="1"/>
      <c r="V20032" s="5"/>
    </row>
    <row r="20033">
      <c r="N20033" s="1"/>
      <c r="V20033" s="5"/>
    </row>
    <row r="20034">
      <c r="N20034" s="1"/>
      <c r="V20034" s="5"/>
    </row>
    <row r="20035">
      <c r="N20035" s="1"/>
      <c r="V20035" s="5"/>
    </row>
    <row r="20036">
      <c r="N20036" s="1"/>
      <c r="V20036" s="5"/>
    </row>
    <row r="20037">
      <c r="N20037" s="1"/>
      <c r="V20037" s="5"/>
    </row>
    <row r="20038">
      <c r="N20038" s="1"/>
      <c r="V20038" s="5"/>
    </row>
    <row r="20039">
      <c r="N20039" s="1"/>
      <c r="V20039" s="5"/>
    </row>
    <row r="20040">
      <c r="N20040" s="1"/>
      <c r="V20040" s="5"/>
    </row>
    <row r="20041">
      <c r="N20041" s="1"/>
      <c r="V20041" s="5"/>
    </row>
    <row r="20042">
      <c r="N20042" s="1"/>
      <c r="V20042" s="5"/>
    </row>
    <row r="20043">
      <c r="N20043" s="1"/>
      <c r="V20043" s="5"/>
    </row>
    <row r="20044">
      <c r="N20044" s="1"/>
      <c r="V20044" s="5"/>
    </row>
    <row r="20045">
      <c r="N20045" s="1"/>
      <c r="V20045" s="5"/>
    </row>
    <row r="20046">
      <c r="N20046" s="1"/>
      <c r="V20046" s="5"/>
    </row>
    <row r="20047">
      <c r="N20047" s="1"/>
      <c r="V20047" s="5"/>
    </row>
    <row r="20048">
      <c r="N20048" s="1"/>
      <c r="V20048" s="5"/>
    </row>
    <row r="20049">
      <c r="N20049" s="1"/>
      <c r="V20049" s="5"/>
    </row>
    <row r="20050">
      <c r="N20050" s="1"/>
      <c r="V20050" s="5"/>
    </row>
    <row r="20051">
      <c r="N20051" s="1"/>
      <c r="V20051" s="5"/>
    </row>
    <row r="20052">
      <c r="N20052" s="1"/>
      <c r="V20052" s="5"/>
    </row>
    <row r="20053">
      <c r="N20053" s="1"/>
      <c r="V20053" s="5"/>
    </row>
    <row r="20054">
      <c r="N20054" s="1"/>
      <c r="V20054" s="5"/>
    </row>
    <row r="20055">
      <c r="N20055" s="1"/>
      <c r="V20055" s="5"/>
    </row>
    <row r="20056">
      <c r="N20056" s="1"/>
      <c r="V20056" s="5"/>
    </row>
    <row r="20057">
      <c r="N20057" s="1"/>
      <c r="V20057" s="5"/>
    </row>
    <row r="20058">
      <c r="N20058" s="1"/>
      <c r="V20058" s="5"/>
    </row>
    <row r="20059">
      <c r="N20059" s="1"/>
      <c r="V20059" s="5"/>
    </row>
    <row r="20060">
      <c r="N20060" s="1"/>
      <c r="V20060" s="5"/>
    </row>
    <row r="20061">
      <c r="N20061" s="1"/>
      <c r="V20061" s="5"/>
    </row>
    <row r="20062">
      <c r="N20062" s="1"/>
      <c r="V20062" s="5"/>
    </row>
    <row r="20063">
      <c r="N20063" s="1"/>
      <c r="V20063" s="5"/>
    </row>
    <row r="20064">
      <c r="N20064" s="1"/>
      <c r="V20064" s="5"/>
    </row>
    <row r="20065">
      <c r="N20065" s="1"/>
      <c r="V20065" s="5"/>
    </row>
    <row r="20066">
      <c r="N20066" s="1"/>
      <c r="V20066" s="5"/>
    </row>
    <row r="20067">
      <c r="N20067" s="1"/>
      <c r="V20067" s="5"/>
    </row>
    <row r="20068">
      <c r="N20068" s="1"/>
      <c r="V20068" s="5"/>
    </row>
    <row r="20069">
      <c r="N20069" s="1"/>
      <c r="V20069" s="5"/>
    </row>
    <row r="20070">
      <c r="N20070" s="1"/>
      <c r="V20070" s="5"/>
    </row>
    <row r="20071">
      <c r="N20071" s="1"/>
      <c r="V20071" s="5"/>
    </row>
    <row r="20072">
      <c r="N20072" s="1"/>
      <c r="V20072" s="5"/>
    </row>
    <row r="20073">
      <c r="N20073" s="1"/>
      <c r="V20073" s="5"/>
    </row>
    <row r="20074">
      <c r="N20074" s="1"/>
      <c r="V20074" s="5"/>
    </row>
    <row r="20075">
      <c r="N20075" s="1"/>
      <c r="V20075" s="5"/>
    </row>
    <row r="20076">
      <c r="N20076" s="1"/>
      <c r="V20076" s="5"/>
    </row>
    <row r="20077">
      <c r="N20077" s="1"/>
      <c r="V20077" s="5"/>
    </row>
    <row r="20078">
      <c r="N20078" s="1"/>
      <c r="V20078" s="5"/>
    </row>
    <row r="20079">
      <c r="N20079" s="1"/>
      <c r="V20079" s="5"/>
    </row>
    <row r="20080">
      <c r="N20080" s="1"/>
      <c r="V20080" s="5"/>
    </row>
    <row r="20081">
      <c r="N20081" s="1"/>
      <c r="V20081" s="5"/>
    </row>
    <row r="20082">
      <c r="N20082" s="1"/>
      <c r="V20082" s="5"/>
    </row>
    <row r="20083">
      <c r="N20083" s="1"/>
      <c r="V20083" s="5"/>
    </row>
    <row r="20084">
      <c r="N20084" s="1"/>
      <c r="V20084" s="5"/>
    </row>
    <row r="20085">
      <c r="N20085" s="1"/>
      <c r="V20085" s="5"/>
    </row>
    <row r="20086">
      <c r="N20086" s="1"/>
      <c r="V20086" s="5"/>
    </row>
    <row r="20087">
      <c r="N20087" s="1"/>
      <c r="V20087" s="5"/>
    </row>
    <row r="20088">
      <c r="N20088" s="1"/>
      <c r="V20088" s="5"/>
    </row>
    <row r="20089">
      <c r="N20089" s="1"/>
      <c r="V20089" s="5"/>
    </row>
    <row r="20090">
      <c r="N20090" s="1"/>
      <c r="V20090" s="5"/>
    </row>
    <row r="20091">
      <c r="N20091" s="1"/>
      <c r="V20091" s="5"/>
    </row>
    <row r="20092">
      <c r="N20092" s="1"/>
      <c r="V20092" s="5"/>
    </row>
    <row r="20093">
      <c r="N20093" s="1"/>
      <c r="V20093" s="5"/>
    </row>
    <row r="20094">
      <c r="N20094" s="1"/>
      <c r="V20094" s="5"/>
    </row>
    <row r="20095">
      <c r="N20095" s="1"/>
      <c r="V20095" s="5"/>
    </row>
    <row r="20096">
      <c r="N20096" s="1"/>
      <c r="V20096" s="5"/>
    </row>
    <row r="20097">
      <c r="N20097" s="1"/>
      <c r="V20097" s="5"/>
    </row>
    <row r="20098">
      <c r="N20098" s="1"/>
      <c r="V20098" s="5"/>
    </row>
    <row r="20099">
      <c r="N20099" s="1"/>
      <c r="V20099" s="5"/>
    </row>
    <row r="20100">
      <c r="N20100" s="1"/>
      <c r="V20100" s="5"/>
    </row>
    <row r="20101">
      <c r="N20101" s="1"/>
      <c r="V20101" s="5"/>
    </row>
    <row r="20102">
      <c r="N20102" s="1"/>
      <c r="V20102" s="5"/>
    </row>
    <row r="20103">
      <c r="N20103" s="1"/>
      <c r="V20103" s="5"/>
    </row>
    <row r="20104">
      <c r="N20104" s="1"/>
      <c r="V20104" s="5"/>
    </row>
    <row r="20105">
      <c r="N20105" s="1"/>
      <c r="V20105" s="5"/>
    </row>
    <row r="20106">
      <c r="N20106" s="1"/>
      <c r="V20106" s="5"/>
    </row>
    <row r="20107">
      <c r="N20107" s="1"/>
      <c r="V20107" s="5"/>
    </row>
    <row r="20108">
      <c r="N20108" s="1"/>
      <c r="V20108" s="5"/>
    </row>
    <row r="20109">
      <c r="N20109" s="1"/>
      <c r="V20109" s="5"/>
    </row>
    <row r="20110">
      <c r="N20110" s="1"/>
      <c r="V20110" s="5"/>
    </row>
    <row r="20111">
      <c r="N20111" s="1"/>
      <c r="V20111" s="5"/>
    </row>
    <row r="20112">
      <c r="N20112" s="1"/>
      <c r="V20112" s="5"/>
    </row>
    <row r="20113">
      <c r="N20113" s="1"/>
      <c r="V20113" s="5"/>
    </row>
    <row r="20114">
      <c r="N20114" s="1"/>
      <c r="V20114" s="5"/>
    </row>
    <row r="20115">
      <c r="N20115" s="1"/>
      <c r="V20115" s="5"/>
    </row>
    <row r="20116">
      <c r="N20116" s="1"/>
      <c r="V20116" s="5"/>
    </row>
    <row r="20117">
      <c r="N20117" s="1"/>
      <c r="V20117" s="5"/>
    </row>
    <row r="20118">
      <c r="N20118" s="1"/>
      <c r="V20118" s="5"/>
    </row>
    <row r="20119">
      <c r="N20119" s="1"/>
      <c r="V20119" s="5"/>
    </row>
    <row r="20120">
      <c r="N20120" s="1"/>
      <c r="V20120" s="5"/>
    </row>
    <row r="20121">
      <c r="N20121" s="1"/>
      <c r="V20121" s="5"/>
    </row>
    <row r="20122">
      <c r="N20122" s="1"/>
      <c r="V20122" s="5"/>
    </row>
    <row r="20123">
      <c r="N20123" s="1"/>
      <c r="V20123" s="5"/>
    </row>
    <row r="20124">
      <c r="N20124" s="1"/>
      <c r="V20124" s="5"/>
    </row>
    <row r="20125">
      <c r="N20125" s="1"/>
      <c r="V20125" s="5"/>
    </row>
    <row r="20126">
      <c r="N20126" s="1"/>
      <c r="V20126" s="5"/>
    </row>
    <row r="20127">
      <c r="N20127" s="1"/>
      <c r="V20127" s="5"/>
    </row>
    <row r="20128">
      <c r="N20128" s="1"/>
      <c r="V20128" s="5"/>
    </row>
    <row r="20129">
      <c r="N20129" s="1"/>
      <c r="V20129" s="5"/>
    </row>
    <row r="20130">
      <c r="N20130" s="1"/>
      <c r="V20130" s="5"/>
    </row>
    <row r="20131">
      <c r="N20131" s="1"/>
      <c r="V20131" s="5"/>
    </row>
    <row r="20132">
      <c r="N20132" s="1"/>
      <c r="V20132" s="5"/>
    </row>
    <row r="20133">
      <c r="N20133" s="1"/>
      <c r="V20133" s="5"/>
    </row>
    <row r="20134">
      <c r="N20134" s="1"/>
      <c r="V20134" s="5"/>
    </row>
    <row r="20135">
      <c r="N20135" s="1"/>
      <c r="V20135" s="5"/>
    </row>
    <row r="20136">
      <c r="N20136" s="1"/>
      <c r="V20136" s="5"/>
    </row>
    <row r="20137">
      <c r="N20137" s="1"/>
      <c r="V20137" s="5"/>
    </row>
    <row r="20138">
      <c r="N20138" s="1"/>
      <c r="V20138" s="5"/>
    </row>
    <row r="20139">
      <c r="N20139" s="1"/>
      <c r="V20139" s="5"/>
    </row>
    <row r="20140">
      <c r="N20140" s="1"/>
      <c r="V20140" s="5"/>
    </row>
    <row r="20141">
      <c r="N20141" s="1"/>
      <c r="V20141" s="5"/>
    </row>
    <row r="20142">
      <c r="N20142" s="1"/>
      <c r="V20142" s="5"/>
    </row>
    <row r="20143">
      <c r="N20143" s="1"/>
      <c r="V20143" s="5"/>
    </row>
    <row r="20144">
      <c r="N20144" s="1"/>
      <c r="V20144" s="5"/>
    </row>
    <row r="20145">
      <c r="N20145" s="1"/>
      <c r="V20145" s="5"/>
    </row>
    <row r="20146">
      <c r="N20146" s="1"/>
      <c r="V20146" s="5"/>
    </row>
    <row r="20147">
      <c r="N20147" s="1"/>
      <c r="V20147" s="5"/>
    </row>
    <row r="20148">
      <c r="N20148" s="1"/>
      <c r="V20148" s="5"/>
    </row>
    <row r="20149">
      <c r="N20149" s="1"/>
      <c r="V20149" s="5"/>
    </row>
    <row r="20150">
      <c r="N20150" s="1"/>
      <c r="V20150" s="5"/>
    </row>
    <row r="20151">
      <c r="N20151" s="1"/>
      <c r="V20151" s="5"/>
    </row>
    <row r="20152">
      <c r="N20152" s="1"/>
      <c r="V20152" s="5"/>
    </row>
    <row r="20153">
      <c r="N20153" s="1"/>
      <c r="V20153" s="5"/>
    </row>
    <row r="20154">
      <c r="N20154" s="1"/>
      <c r="V20154" s="5"/>
    </row>
    <row r="20155">
      <c r="N20155" s="1"/>
      <c r="V20155" s="5"/>
    </row>
    <row r="20156">
      <c r="N20156" s="1"/>
      <c r="V20156" s="5"/>
    </row>
    <row r="20157">
      <c r="N20157" s="1"/>
      <c r="V20157" s="5"/>
    </row>
    <row r="20158">
      <c r="N20158" s="1"/>
      <c r="V20158" s="5"/>
    </row>
    <row r="20159">
      <c r="N20159" s="1"/>
      <c r="V20159" s="5"/>
    </row>
    <row r="20160">
      <c r="N20160" s="1"/>
      <c r="V20160" s="5"/>
    </row>
    <row r="20161">
      <c r="N20161" s="1"/>
      <c r="V20161" s="5"/>
    </row>
    <row r="20162">
      <c r="N20162" s="1"/>
      <c r="V20162" s="5"/>
    </row>
    <row r="20163">
      <c r="N20163" s="1"/>
      <c r="V20163" s="5"/>
    </row>
    <row r="20164">
      <c r="N20164" s="1"/>
      <c r="V20164" s="5"/>
    </row>
    <row r="20165">
      <c r="N20165" s="1"/>
      <c r="V20165" s="5"/>
    </row>
    <row r="20166">
      <c r="N20166" s="1"/>
      <c r="V20166" s="5"/>
    </row>
    <row r="20167">
      <c r="N20167" s="1"/>
      <c r="V20167" s="5"/>
    </row>
    <row r="20168">
      <c r="N20168" s="1"/>
      <c r="V20168" s="5"/>
    </row>
    <row r="20169">
      <c r="N20169" s="1"/>
      <c r="V20169" s="5"/>
    </row>
    <row r="20170">
      <c r="N20170" s="1"/>
      <c r="V20170" s="5"/>
    </row>
    <row r="20171">
      <c r="N20171" s="1"/>
      <c r="V20171" s="5"/>
    </row>
    <row r="20172">
      <c r="N20172" s="1"/>
      <c r="V20172" s="5"/>
    </row>
    <row r="20173">
      <c r="N20173" s="1"/>
      <c r="V20173" s="5"/>
    </row>
    <row r="20174">
      <c r="N20174" s="1"/>
      <c r="V20174" s="5"/>
    </row>
    <row r="20175">
      <c r="N20175" s="1"/>
      <c r="V20175" s="5"/>
    </row>
    <row r="20176">
      <c r="N20176" s="1"/>
      <c r="V20176" s="5"/>
    </row>
    <row r="20177">
      <c r="N20177" s="1"/>
      <c r="V20177" s="5"/>
    </row>
    <row r="20178">
      <c r="N20178" s="1"/>
      <c r="V20178" s="5"/>
    </row>
    <row r="20179">
      <c r="N20179" s="1"/>
      <c r="V20179" s="5"/>
    </row>
    <row r="20180">
      <c r="N20180" s="1"/>
      <c r="V20180" s="5"/>
    </row>
    <row r="20181">
      <c r="N20181" s="1"/>
      <c r="V20181" s="5"/>
    </row>
    <row r="20182">
      <c r="N20182" s="1"/>
      <c r="V20182" s="5"/>
    </row>
    <row r="20183">
      <c r="N20183" s="1"/>
      <c r="V20183" s="5"/>
    </row>
    <row r="20184">
      <c r="N20184" s="1"/>
      <c r="V20184" s="5"/>
    </row>
    <row r="20185">
      <c r="N20185" s="1"/>
      <c r="V20185" s="5"/>
    </row>
    <row r="20186">
      <c r="N20186" s="1"/>
      <c r="V20186" s="5"/>
    </row>
    <row r="20187">
      <c r="N20187" s="1"/>
      <c r="V20187" s="5"/>
    </row>
    <row r="20188">
      <c r="N20188" s="1"/>
      <c r="V20188" s="5"/>
    </row>
    <row r="20189">
      <c r="N20189" s="1"/>
      <c r="V20189" s="5"/>
    </row>
    <row r="20190">
      <c r="N20190" s="1"/>
      <c r="V20190" s="5"/>
    </row>
    <row r="20191">
      <c r="N20191" s="1"/>
      <c r="V20191" s="5"/>
    </row>
    <row r="20192">
      <c r="N20192" s="1"/>
      <c r="V20192" s="5"/>
    </row>
    <row r="20193">
      <c r="N20193" s="1"/>
      <c r="V20193" s="5"/>
    </row>
    <row r="20194">
      <c r="N20194" s="1"/>
      <c r="V20194" s="5"/>
    </row>
    <row r="20195">
      <c r="N20195" s="1"/>
      <c r="V20195" s="5"/>
    </row>
    <row r="20196">
      <c r="N20196" s="1"/>
      <c r="V20196" s="5"/>
    </row>
    <row r="20197">
      <c r="N20197" s="1"/>
      <c r="V20197" s="5"/>
    </row>
    <row r="20198">
      <c r="N20198" s="1"/>
      <c r="V20198" s="5"/>
    </row>
    <row r="20199">
      <c r="N20199" s="1"/>
      <c r="V20199" s="5"/>
    </row>
    <row r="20200">
      <c r="N20200" s="1"/>
      <c r="V20200" s="5"/>
    </row>
    <row r="20201">
      <c r="N20201" s="1"/>
      <c r="V20201" s="5"/>
    </row>
    <row r="20202">
      <c r="N20202" s="1"/>
      <c r="V20202" s="5"/>
    </row>
    <row r="20203">
      <c r="N20203" s="1"/>
      <c r="V20203" s="5"/>
    </row>
    <row r="20204">
      <c r="N20204" s="1"/>
      <c r="V20204" s="5"/>
    </row>
    <row r="20205">
      <c r="N20205" s="1"/>
      <c r="V20205" s="5"/>
    </row>
    <row r="20206">
      <c r="N20206" s="1"/>
      <c r="V20206" s="5"/>
    </row>
    <row r="20207">
      <c r="N20207" s="1"/>
      <c r="V20207" s="5"/>
    </row>
    <row r="20208">
      <c r="N20208" s="1"/>
      <c r="V20208" s="5"/>
    </row>
    <row r="20209">
      <c r="N20209" s="1"/>
      <c r="V20209" s="5"/>
    </row>
    <row r="20210">
      <c r="N20210" s="1"/>
      <c r="V20210" s="5"/>
    </row>
    <row r="20211">
      <c r="N20211" s="1"/>
      <c r="V20211" s="5"/>
    </row>
    <row r="20212">
      <c r="N20212" s="1"/>
      <c r="V20212" s="5"/>
    </row>
    <row r="20213">
      <c r="N20213" s="1"/>
      <c r="V20213" s="5"/>
    </row>
    <row r="20214">
      <c r="N20214" s="1"/>
      <c r="V20214" s="5"/>
    </row>
    <row r="20215">
      <c r="N20215" s="1"/>
      <c r="V20215" s="5"/>
    </row>
    <row r="20216">
      <c r="N20216" s="1"/>
      <c r="V20216" s="5"/>
    </row>
    <row r="20217">
      <c r="N20217" s="1"/>
      <c r="V20217" s="5"/>
    </row>
    <row r="20218">
      <c r="N20218" s="1"/>
      <c r="V20218" s="5"/>
    </row>
    <row r="20219">
      <c r="N20219" s="1"/>
      <c r="V20219" s="5"/>
    </row>
    <row r="20220">
      <c r="N20220" s="1"/>
      <c r="V20220" s="5"/>
    </row>
    <row r="20221">
      <c r="N20221" s="1"/>
      <c r="V20221" s="5"/>
    </row>
    <row r="20222">
      <c r="N20222" s="1"/>
      <c r="V20222" s="5"/>
    </row>
    <row r="20223">
      <c r="N20223" s="1"/>
      <c r="V20223" s="5"/>
    </row>
    <row r="20224">
      <c r="N20224" s="1"/>
      <c r="V20224" s="5"/>
    </row>
    <row r="20225">
      <c r="N20225" s="1"/>
      <c r="V20225" s="5"/>
    </row>
    <row r="20226">
      <c r="N20226" s="1"/>
      <c r="V20226" s="5"/>
    </row>
    <row r="20227">
      <c r="N20227" s="1"/>
      <c r="V20227" s="5"/>
    </row>
    <row r="20228">
      <c r="N20228" s="1"/>
      <c r="V20228" s="5"/>
    </row>
    <row r="20229">
      <c r="N20229" s="1"/>
      <c r="V20229" s="5"/>
    </row>
    <row r="20230">
      <c r="N20230" s="1"/>
      <c r="V20230" s="5"/>
    </row>
    <row r="20231">
      <c r="N20231" s="1"/>
      <c r="V20231" s="5"/>
    </row>
    <row r="20232">
      <c r="N20232" s="1"/>
      <c r="V20232" s="5"/>
    </row>
    <row r="20233">
      <c r="N20233" s="1"/>
      <c r="V20233" s="5"/>
    </row>
    <row r="20234">
      <c r="N20234" s="1"/>
      <c r="V20234" s="5"/>
    </row>
    <row r="20235">
      <c r="N20235" s="1"/>
      <c r="V20235" s="5"/>
    </row>
    <row r="20236">
      <c r="N20236" s="1"/>
      <c r="V20236" s="5"/>
    </row>
    <row r="20237">
      <c r="N20237" s="1"/>
      <c r="V20237" s="5"/>
    </row>
    <row r="20238">
      <c r="N20238" s="1"/>
      <c r="V20238" s="5"/>
    </row>
    <row r="20239">
      <c r="N20239" s="1"/>
      <c r="V20239" s="5"/>
    </row>
    <row r="20240">
      <c r="N20240" s="1"/>
      <c r="V20240" s="5"/>
    </row>
    <row r="20241">
      <c r="N20241" s="1"/>
      <c r="V20241" s="5"/>
    </row>
    <row r="20242">
      <c r="N20242" s="1"/>
      <c r="V20242" s="5"/>
    </row>
    <row r="20243">
      <c r="N20243" s="1"/>
      <c r="V20243" s="5"/>
    </row>
    <row r="20244">
      <c r="N20244" s="1"/>
      <c r="V20244" s="5"/>
    </row>
    <row r="20245">
      <c r="N20245" s="1"/>
      <c r="V20245" s="5"/>
    </row>
    <row r="20246">
      <c r="N20246" s="1"/>
      <c r="V20246" s="5"/>
    </row>
    <row r="20247">
      <c r="N20247" s="1"/>
      <c r="V20247" s="5"/>
    </row>
    <row r="20248">
      <c r="N20248" s="1"/>
      <c r="V20248" s="5"/>
    </row>
    <row r="20249">
      <c r="N20249" s="1"/>
      <c r="V20249" s="5"/>
    </row>
    <row r="20250">
      <c r="N20250" s="1"/>
      <c r="V20250" s="5"/>
    </row>
    <row r="20251">
      <c r="N20251" s="1"/>
      <c r="V20251" s="5"/>
    </row>
    <row r="20252">
      <c r="N20252" s="1"/>
      <c r="V20252" s="5"/>
    </row>
    <row r="20253">
      <c r="N20253" s="1"/>
      <c r="V20253" s="5"/>
    </row>
    <row r="20254">
      <c r="N20254" s="1"/>
      <c r="V20254" s="5"/>
    </row>
    <row r="20255">
      <c r="N20255" s="1"/>
      <c r="V20255" s="5"/>
    </row>
    <row r="20256">
      <c r="N20256" s="1"/>
      <c r="V20256" s="5"/>
    </row>
    <row r="20257">
      <c r="N20257" s="1"/>
      <c r="V20257" s="5"/>
    </row>
    <row r="20258">
      <c r="N20258" s="1"/>
      <c r="V20258" s="5"/>
    </row>
    <row r="20259">
      <c r="N20259" s="1"/>
      <c r="V20259" s="5"/>
    </row>
    <row r="20260">
      <c r="N20260" s="1"/>
      <c r="V20260" s="5"/>
    </row>
    <row r="20261">
      <c r="N20261" s="1"/>
      <c r="V20261" s="5"/>
    </row>
    <row r="20262">
      <c r="N20262" s="1"/>
      <c r="V20262" s="5"/>
    </row>
    <row r="20263">
      <c r="N20263" s="1"/>
      <c r="V20263" s="5"/>
    </row>
    <row r="20264">
      <c r="N20264" s="1"/>
      <c r="V20264" s="5"/>
    </row>
    <row r="20265">
      <c r="N20265" s="1"/>
      <c r="V20265" s="5"/>
    </row>
    <row r="20266">
      <c r="N20266" s="1"/>
      <c r="V20266" s="5"/>
    </row>
    <row r="20267">
      <c r="N20267" s="1"/>
      <c r="V20267" s="5"/>
    </row>
    <row r="20268">
      <c r="N20268" s="1"/>
      <c r="V20268" s="5"/>
    </row>
    <row r="20269">
      <c r="N20269" s="1"/>
      <c r="V20269" s="5"/>
    </row>
    <row r="20270">
      <c r="N20270" s="1"/>
      <c r="V20270" s="5"/>
    </row>
    <row r="20271">
      <c r="N20271" s="1"/>
      <c r="V20271" s="5"/>
    </row>
    <row r="20272">
      <c r="N20272" s="1"/>
      <c r="V20272" s="5"/>
    </row>
    <row r="20273">
      <c r="N20273" s="1"/>
      <c r="V20273" s="5"/>
    </row>
    <row r="20274">
      <c r="N20274" s="1"/>
      <c r="V20274" s="5"/>
    </row>
    <row r="20275">
      <c r="N20275" s="1"/>
      <c r="V20275" s="5"/>
    </row>
    <row r="20276">
      <c r="N20276" s="1"/>
      <c r="V20276" s="5"/>
    </row>
    <row r="20277">
      <c r="N20277" s="1"/>
      <c r="V20277" s="5"/>
    </row>
    <row r="20278">
      <c r="N20278" s="1"/>
      <c r="V20278" s="5"/>
    </row>
    <row r="20279">
      <c r="N20279" s="1"/>
      <c r="V20279" s="5"/>
    </row>
    <row r="20280">
      <c r="N20280" s="1"/>
      <c r="V20280" s="5"/>
    </row>
    <row r="20281">
      <c r="N20281" s="1"/>
      <c r="V20281" s="5"/>
    </row>
    <row r="20282">
      <c r="N20282" s="1"/>
      <c r="V20282" s="5"/>
    </row>
    <row r="20283">
      <c r="N20283" s="1"/>
      <c r="V20283" s="5"/>
    </row>
    <row r="20284">
      <c r="N20284" s="1"/>
      <c r="V20284" s="5"/>
    </row>
    <row r="20285">
      <c r="N20285" s="1"/>
      <c r="V20285" s="5"/>
    </row>
    <row r="20286">
      <c r="N20286" s="1"/>
      <c r="V20286" s="5"/>
    </row>
    <row r="20287">
      <c r="N20287" s="1"/>
      <c r="V20287" s="5"/>
    </row>
    <row r="20288">
      <c r="N20288" s="1"/>
      <c r="V20288" s="5"/>
    </row>
    <row r="20289">
      <c r="N20289" s="1"/>
      <c r="V20289" s="5"/>
    </row>
    <row r="20290">
      <c r="N20290" s="1"/>
      <c r="V20290" s="5"/>
    </row>
    <row r="20291">
      <c r="N20291" s="1"/>
      <c r="V20291" s="5"/>
    </row>
    <row r="20292">
      <c r="N20292" s="1"/>
      <c r="V20292" s="5"/>
    </row>
    <row r="20293">
      <c r="N20293" s="1"/>
      <c r="V20293" s="5"/>
    </row>
    <row r="20294">
      <c r="N20294" s="1"/>
      <c r="V20294" s="5"/>
    </row>
    <row r="20295">
      <c r="N20295" s="1"/>
      <c r="V20295" s="5"/>
    </row>
    <row r="20296">
      <c r="N20296" s="1"/>
      <c r="V20296" s="5"/>
    </row>
    <row r="20297">
      <c r="N20297" s="1"/>
      <c r="V20297" s="5"/>
    </row>
    <row r="20298">
      <c r="N20298" s="1"/>
      <c r="V20298" s="5"/>
    </row>
    <row r="20299">
      <c r="N20299" s="1"/>
      <c r="V20299" s="5"/>
    </row>
    <row r="20300">
      <c r="N20300" s="1"/>
      <c r="V20300" s="5"/>
    </row>
    <row r="20301">
      <c r="N20301" s="1"/>
      <c r="V20301" s="5"/>
    </row>
    <row r="20302">
      <c r="N20302" s="1"/>
      <c r="V20302" s="5"/>
    </row>
    <row r="20303">
      <c r="N20303" s="1"/>
      <c r="V20303" s="5"/>
    </row>
    <row r="20304">
      <c r="N20304" s="1"/>
      <c r="V20304" s="5"/>
    </row>
    <row r="20305">
      <c r="N20305" s="1"/>
      <c r="V20305" s="5"/>
    </row>
    <row r="20306">
      <c r="N20306" s="1"/>
      <c r="V20306" s="5"/>
    </row>
    <row r="20307">
      <c r="N20307" s="1"/>
      <c r="V20307" s="5"/>
    </row>
    <row r="20308">
      <c r="N20308" s="1"/>
      <c r="V20308" s="5"/>
    </row>
    <row r="20309">
      <c r="N20309" s="1"/>
      <c r="V20309" s="5"/>
    </row>
    <row r="20310">
      <c r="N20310" s="1"/>
      <c r="V20310" s="5"/>
    </row>
    <row r="20311">
      <c r="N20311" s="1"/>
      <c r="V20311" s="5"/>
    </row>
    <row r="20312">
      <c r="N20312" s="1"/>
      <c r="V20312" s="5"/>
    </row>
    <row r="20313">
      <c r="N20313" s="1"/>
      <c r="V20313" s="5"/>
    </row>
    <row r="20314">
      <c r="N20314" s="1"/>
      <c r="V20314" s="5"/>
    </row>
    <row r="20315">
      <c r="N20315" s="1"/>
      <c r="V20315" s="5"/>
    </row>
    <row r="20316">
      <c r="N20316" s="1"/>
      <c r="V20316" s="5"/>
    </row>
    <row r="20317">
      <c r="N20317" s="1"/>
      <c r="V20317" s="5"/>
    </row>
    <row r="20318">
      <c r="N20318" s="1"/>
      <c r="V20318" s="5"/>
    </row>
    <row r="20319">
      <c r="N20319" s="1"/>
      <c r="V20319" s="5"/>
    </row>
    <row r="20320">
      <c r="N20320" s="1"/>
      <c r="V20320" s="5"/>
    </row>
    <row r="20321">
      <c r="N20321" s="1"/>
      <c r="V20321" s="5"/>
    </row>
    <row r="20322">
      <c r="N20322" s="1"/>
      <c r="V20322" s="5"/>
    </row>
    <row r="20323">
      <c r="N20323" s="1"/>
      <c r="V20323" s="5"/>
    </row>
    <row r="20324">
      <c r="N20324" s="1"/>
      <c r="V20324" s="5"/>
    </row>
    <row r="20325">
      <c r="N20325" s="1"/>
      <c r="V20325" s="5"/>
    </row>
    <row r="20326">
      <c r="N20326" s="1"/>
      <c r="V20326" s="5"/>
    </row>
    <row r="20327">
      <c r="N20327" s="1"/>
      <c r="V20327" s="5"/>
    </row>
    <row r="20328">
      <c r="N20328" s="1"/>
      <c r="V20328" s="5"/>
    </row>
    <row r="20329">
      <c r="N20329" s="1"/>
      <c r="V20329" s="5"/>
    </row>
    <row r="20330">
      <c r="N20330" s="1"/>
      <c r="V20330" s="5"/>
    </row>
    <row r="20331">
      <c r="N20331" s="1"/>
      <c r="V20331" s="5"/>
    </row>
    <row r="20332">
      <c r="N20332" s="1"/>
      <c r="V20332" s="5"/>
    </row>
    <row r="20333">
      <c r="N20333" s="1"/>
      <c r="V20333" s="5"/>
    </row>
    <row r="20334">
      <c r="N20334" s="1"/>
      <c r="V20334" s="5"/>
    </row>
    <row r="20335">
      <c r="N20335" s="1"/>
      <c r="V20335" s="5"/>
    </row>
    <row r="20336">
      <c r="N20336" s="1"/>
      <c r="V20336" s="5"/>
    </row>
    <row r="20337">
      <c r="N20337" s="1"/>
      <c r="V20337" s="5"/>
    </row>
    <row r="20338">
      <c r="N20338" s="1"/>
      <c r="V20338" s="5"/>
    </row>
    <row r="20339">
      <c r="N20339" s="1"/>
      <c r="V20339" s="5"/>
    </row>
    <row r="20340">
      <c r="N20340" s="1"/>
      <c r="V20340" s="5"/>
    </row>
    <row r="20341">
      <c r="N20341" s="1"/>
      <c r="V20341" s="5"/>
    </row>
    <row r="20342">
      <c r="N20342" s="1"/>
      <c r="V20342" s="5"/>
    </row>
    <row r="20343">
      <c r="N20343" s="1"/>
      <c r="V20343" s="5"/>
    </row>
    <row r="20344">
      <c r="N20344" s="1"/>
      <c r="V20344" s="5"/>
    </row>
    <row r="20345">
      <c r="N20345" s="1"/>
      <c r="V20345" s="5"/>
    </row>
    <row r="20346">
      <c r="N20346" s="1"/>
      <c r="V20346" s="5"/>
    </row>
    <row r="20347">
      <c r="N20347" s="1"/>
      <c r="V20347" s="5"/>
    </row>
    <row r="20348">
      <c r="N20348" s="1"/>
      <c r="V20348" s="5"/>
    </row>
    <row r="20349">
      <c r="N20349" s="1"/>
      <c r="V20349" s="5"/>
    </row>
    <row r="20350">
      <c r="N20350" s="1"/>
      <c r="V20350" s="5"/>
    </row>
    <row r="20351">
      <c r="N20351" s="1"/>
      <c r="V20351" s="5"/>
    </row>
    <row r="20352">
      <c r="N20352" s="1"/>
      <c r="V20352" s="5"/>
    </row>
    <row r="20353">
      <c r="N20353" s="1"/>
      <c r="V20353" s="5"/>
    </row>
    <row r="20354">
      <c r="N20354" s="1"/>
      <c r="V20354" s="5"/>
    </row>
    <row r="20355">
      <c r="N20355" s="1"/>
      <c r="V20355" s="5"/>
    </row>
    <row r="20356">
      <c r="N20356" s="1"/>
      <c r="V20356" s="5"/>
    </row>
    <row r="20357">
      <c r="N20357" s="1"/>
      <c r="V20357" s="5"/>
    </row>
    <row r="20358">
      <c r="N20358" s="1"/>
      <c r="V20358" s="5"/>
    </row>
    <row r="20359">
      <c r="N20359" s="1"/>
      <c r="V20359" s="5"/>
    </row>
    <row r="20360">
      <c r="N20360" s="1"/>
      <c r="V20360" s="5"/>
    </row>
    <row r="20361">
      <c r="N20361" s="1"/>
      <c r="V20361" s="5"/>
    </row>
    <row r="20362">
      <c r="N20362" s="1"/>
      <c r="V20362" s="5"/>
    </row>
    <row r="20363">
      <c r="N20363" s="1"/>
      <c r="V20363" s="5"/>
    </row>
    <row r="20364">
      <c r="N20364" s="1"/>
      <c r="V20364" s="5"/>
    </row>
    <row r="20365">
      <c r="N20365" s="1"/>
      <c r="V20365" s="5"/>
    </row>
    <row r="20366">
      <c r="N20366" s="1"/>
      <c r="V20366" s="5"/>
    </row>
    <row r="20367">
      <c r="N20367" s="1"/>
      <c r="V20367" s="5"/>
    </row>
    <row r="20368">
      <c r="N20368" s="1"/>
      <c r="V20368" s="5"/>
    </row>
    <row r="20369">
      <c r="N20369" s="1"/>
      <c r="V20369" s="5"/>
    </row>
    <row r="20370">
      <c r="N20370" s="1"/>
      <c r="V20370" s="5"/>
    </row>
    <row r="20371">
      <c r="N20371" s="1"/>
      <c r="V20371" s="5"/>
    </row>
    <row r="20372">
      <c r="N20372" s="1"/>
      <c r="V20372" s="5"/>
    </row>
    <row r="20373">
      <c r="N20373" s="1"/>
      <c r="V20373" s="5"/>
    </row>
    <row r="20374">
      <c r="N20374" s="1"/>
      <c r="V20374" s="5"/>
    </row>
    <row r="20375">
      <c r="N20375" s="1"/>
      <c r="V20375" s="5"/>
    </row>
    <row r="20376">
      <c r="N20376" s="1"/>
      <c r="V20376" s="5"/>
    </row>
    <row r="20377">
      <c r="N20377" s="1"/>
      <c r="V20377" s="5"/>
    </row>
    <row r="20378">
      <c r="N20378" s="1"/>
      <c r="V20378" s="5"/>
    </row>
    <row r="20379">
      <c r="N20379" s="1"/>
      <c r="V20379" s="5"/>
    </row>
    <row r="20380">
      <c r="N20380" s="1"/>
      <c r="V20380" s="5"/>
    </row>
    <row r="20381">
      <c r="N20381" s="1"/>
      <c r="V20381" s="5"/>
    </row>
    <row r="20382">
      <c r="N20382" s="1"/>
      <c r="V20382" s="5"/>
    </row>
    <row r="20383">
      <c r="N20383" s="1"/>
      <c r="V20383" s="5"/>
    </row>
    <row r="20384">
      <c r="N20384" s="1"/>
      <c r="V20384" s="5"/>
    </row>
    <row r="20385">
      <c r="N20385" s="1"/>
      <c r="V20385" s="5"/>
    </row>
    <row r="20386">
      <c r="N20386" s="1"/>
      <c r="V20386" s="5"/>
    </row>
    <row r="20387">
      <c r="N20387" s="1"/>
      <c r="V20387" s="5"/>
    </row>
    <row r="20388">
      <c r="N20388" s="1"/>
      <c r="V20388" s="5"/>
    </row>
    <row r="20389">
      <c r="N20389" s="1"/>
      <c r="V20389" s="5"/>
    </row>
    <row r="20390">
      <c r="N20390" s="1"/>
      <c r="V20390" s="5"/>
    </row>
    <row r="20391">
      <c r="N20391" s="1"/>
      <c r="V20391" s="5"/>
    </row>
    <row r="20392">
      <c r="N20392" s="1"/>
      <c r="V20392" s="5"/>
    </row>
    <row r="20393">
      <c r="N20393" s="1"/>
      <c r="V20393" s="5"/>
    </row>
    <row r="20394">
      <c r="N20394" s="1"/>
      <c r="V20394" s="5"/>
    </row>
    <row r="20395">
      <c r="N20395" s="1"/>
      <c r="V20395" s="5"/>
    </row>
    <row r="20396">
      <c r="N20396" s="1"/>
      <c r="V20396" s="5"/>
    </row>
    <row r="20397">
      <c r="N20397" s="1"/>
      <c r="V20397" s="5"/>
    </row>
    <row r="20398">
      <c r="N20398" s="1"/>
      <c r="V20398" s="5"/>
    </row>
    <row r="20399">
      <c r="N20399" s="1"/>
      <c r="V20399" s="5"/>
    </row>
    <row r="20400">
      <c r="N20400" s="1"/>
      <c r="V20400" s="5"/>
    </row>
    <row r="20401">
      <c r="N20401" s="1"/>
      <c r="V20401" s="5"/>
    </row>
    <row r="20402">
      <c r="N20402" s="1"/>
      <c r="V20402" s="5"/>
    </row>
    <row r="20403">
      <c r="N20403" s="1"/>
      <c r="V20403" s="5"/>
    </row>
    <row r="20404">
      <c r="N20404" s="1"/>
      <c r="V20404" s="5"/>
    </row>
    <row r="20405">
      <c r="N20405" s="1"/>
      <c r="V20405" s="5"/>
    </row>
    <row r="20406">
      <c r="N20406" s="1"/>
      <c r="V20406" s="5"/>
    </row>
    <row r="20407">
      <c r="N20407" s="1"/>
      <c r="V20407" s="5"/>
    </row>
    <row r="20408">
      <c r="N20408" s="1"/>
      <c r="V20408" s="5"/>
    </row>
    <row r="20409">
      <c r="N20409" s="1"/>
      <c r="V20409" s="5"/>
    </row>
    <row r="20410">
      <c r="N20410" s="1"/>
      <c r="V20410" s="5"/>
    </row>
    <row r="20411">
      <c r="N20411" s="1"/>
      <c r="V20411" s="5"/>
    </row>
    <row r="20412">
      <c r="N20412" s="1"/>
      <c r="V20412" s="5"/>
    </row>
    <row r="20413">
      <c r="N20413" s="1"/>
      <c r="V20413" s="5"/>
    </row>
    <row r="20414">
      <c r="N20414" s="1"/>
      <c r="V20414" s="5"/>
    </row>
    <row r="20415">
      <c r="N20415" s="1"/>
      <c r="V20415" s="5"/>
    </row>
    <row r="20416">
      <c r="N20416" s="1"/>
      <c r="V20416" s="5"/>
    </row>
    <row r="20417">
      <c r="N20417" s="1"/>
      <c r="V20417" s="5"/>
    </row>
    <row r="20418">
      <c r="N20418" s="1"/>
      <c r="V20418" s="5"/>
    </row>
    <row r="20419">
      <c r="N20419" s="1"/>
      <c r="V20419" s="5"/>
    </row>
    <row r="20420">
      <c r="N20420" s="1"/>
      <c r="V20420" s="5"/>
    </row>
    <row r="20421">
      <c r="N20421" s="1"/>
      <c r="V20421" s="5"/>
    </row>
    <row r="20422">
      <c r="N20422" s="1"/>
      <c r="V20422" s="5"/>
    </row>
    <row r="20423">
      <c r="N20423" s="1"/>
      <c r="V20423" s="5"/>
    </row>
    <row r="20424">
      <c r="N20424" s="1"/>
      <c r="V20424" s="5"/>
    </row>
    <row r="20425">
      <c r="N20425" s="1"/>
      <c r="V20425" s="5"/>
    </row>
    <row r="20426">
      <c r="N20426" s="1"/>
      <c r="V20426" s="5"/>
    </row>
    <row r="20427">
      <c r="N20427" s="1"/>
      <c r="V20427" s="5"/>
    </row>
    <row r="20428">
      <c r="N20428" s="1"/>
      <c r="V20428" s="5"/>
    </row>
    <row r="20429">
      <c r="N20429" s="1"/>
      <c r="V20429" s="5"/>
    </row>
    <row r="20430">
      <c r="N20430" s="1"/>
      <c r="V20430" s="5"/>
    </row>
    <row r="20431">
      <c r="N20431" s="1"/>
      <c r="V20431" s="5"/>
    </row>
    <row r="20432">
      <c r="N20432" s="1"/>
      <c r="V20432" s="5"/>
    </row>
    <row r="20433">
      <c r="N20433" s="1"/>
      <c r="V20433" s="5"/>
    </row>
    <row r="20434">
      <c r="N20434" s="1"/>
      <c r="V20434" s="5"/>
    </row>
    <row r="20435">
      <c r="N20435" s="1"/>
      <c r="V20435" s="5"/>
    </row>
    <row r="20436">
      <c r="N20436" s="1"/>
      <c r="V20436" s="5"/>
    </row>
    <row r="20437">
      <c r="N20437" s="1"/>
      <c r="V20437" s="5"/>
    </row>
    <row r="20438">
      <c r="N20438" s="1"/>
      <c r="V20438" s="5"/>
    </row>
    <row r="20439">
      <c r="N20439" s="1"/>
      <c r="V20439" s="5"/>
    </row>
    <row r="20440">
      <c r="N20440" s="1"/>
      <c r="V20440" s="5"/>
    </row>
    <row r="20441">
      <c r="N20441" s="1"/>
      <c r="V20441" s="5"/>
    </row>
    <row r="20442">
      <c r="N20442" s="1"/>
      <c r="V20442" s="5"/>
    </row>
    <row r="20443">
      <c r="N20443" s="1"/>
      <c r="V20443" s="5"/>
    </row>
    <row r="20444">
      <c r="N20444" s="1"/>
      <c r="V20444" s="5"/>
    </row>
    <row r="20445">
      <c r="N20445" s="1"/>
      <c r="V20445" s="5"/>
    </row>
    <row r="20446">
      <c r="N20446" s="1"/>
      <c r="V20446" s="5"/>
    </row>
    <row r="20447">
      <c r="N20447" s="1"/>
      <c r="V20447" s="5"/>
    </row>
    <row r="20448">
      <c r="N20448" s="1"/>
      <c r="V20448" s="5"/>
    </row>
    <row r="20449">
      <c r="N20449" s="1"/>
      <c r="V20449" s="5"/>
    </row>
    <row r="20450">
      <c r="N20450" s="1"/>
      <c r="V20450" s="5"/>
    </row>
    <row r="20451">
      <c r="N20451" s="1"/>
      <c r="V20451" s="5"/>
    </row>
    <row r="20452">
      <c r="N20452" s="1"/>
      <c r="V20452" s="5"/>
    </row>
    <row r="20453">
      <c r="N20453" s="1"/>
      <c r="V20453" s="5"/>
    </row>
    <row r="20454">
      <c r="N20454" s="1"/>
      <c r="V20454" s="5"/>
    </row>
    <row r="20455">
      <c r="N20455" s="1"/>
      <c r="V20455" s="5"/>
    </row>
    <row r="20456">
      <c r="N20456" s="1"/>
      <c r="V20456" s="5"/>
    </row>
    <row r="20457">
      <c r="N20457" s="1"/>
      <c r="V20457" s="5"/>
    </row>
    <row r="20458">
      <c r="N20458" s="1"/>
      <c r="V20458" s="5"/>
    </row>
    <row r="20459">
      <c r="N20459" s="1"/>
      <c r="V20459" s="5"/>
    </row>
    <row r="20460">
      <c r="N20460" s="1"/>
      <c r="V20460" s="5"/>
    </row>
    <row r="20461">
      <c r="N20461" s="1"/>
      <c r="V20461" s="5"/>
    </row>
    <row r="20462">
      <c r="N20462" s="1"/>
      <c r="V20462" s="5"/>
    </row>
    <row r="20463">
      <c r="N20463" s="1"/>
      <c r="V20463" s="5"/>
    </row>
    <row r="20464">
      <c r="N20464" s="1"/>
      <c r="V20464" s="5"/>
    </row>
    <row r="20465">
      <c r="N20465" s="1"/>
      <c r="V20465" s="5"/>
    </row>
    <row r="20466">
      <c r="N20466" s="1"/>
      <c r="V20466" s="5"/>
    </row>
    <row r="20467">
      <c r="N20467" s="1"/>
      <c r="V20467" s="5"/>
    </row>
    <row r="20468">
      <c r="N20468" s="1"/>
      <c r="V20468" s="5"/>
    </row>
    <row r="20469">
      <c r="N20469" s="1"/>
      <c r="V20469" s="5"/>
    </row>
    <row r="20470">
      <c r="N20470" s="1"/>
      <c r="V20470" s="5"/>
    </row>
    <row r="20471">
      <c r="N20471" s="1"/>
      <c r="V20471" s="5"/>
    </row>
    <row r="20472">
      <c r="N20472" s="1"/>
      <c r="V20472" s="5"/>
    </row>
    <row r="20473">
      <c r="N20473" s="1"/>
      <c r="V20473" s="5"/>
    </row>
    <row r="20474">
      <c r="N20474" s="1"/>
      <c r="V20474" s="5"/>
    </row>
    <row r="20475">
      <c r="N20475" s="1"/>
      <c r="V20475" s="5"/>
    </row>
    <row r="20476">
      <c r="N20476" s="1"/>
      <c r="V20476" s="5"/>
    </row>
    <row r="20477">
      <c r="N20477" s="1"/>
      <c r="V20477" s="5"/>
    </row>
    <row r="20478">
      <c r="N20478" s="1"/>
      <c r="V20478" s="5"/>
    </row>
    <row r="20479">
      <c r="N20479" s="1"/>
      <c r="V20479" s="5"/>
    </row>
    <row r="20480">
      <c r="N20480" s="1"/>
      <c r="V20480" s="5"/>
    </row>
    <row r="20481">
      <c r="N20481" s="1"/>
      <c r="V20481" s="5"/>
    </row>
    <row r="20482">
      <c r="N20482" s="1"/>
      <c r="V20482" s="5"/>
    </row>
    <row r="20483">
      <c r="N20483" s="1"/>
      <c r="V20483" s="5"/>
    </row>
    <row r="20484">
      <c r="N20484" s="1"/>
      <c r="V20484" s="5"/>
    </row>
    <row r="20485">
      <c r="N20485" s="1"/>
      <c r="V20485" s="5"/>
    </row>
    <row r="20486">
      <c r="N20486" s="1"/>
      <c r="V20486" s="5"/>
    </row>
    <row r="20487">
      <c r="N20487" s="1"/>
      <c r="V20487" s="5"/>
    </row>
    <row r="20488">
      <c r="N20488" s="1"/>
      <c r="V20488" s="5"/>
    </row>
    <row r="20489">
      <c r="N20489" s="1"/>
      <c r="V20489" s="5"/>
    </row>
    <row r="20490">
      <c r="N20490" s="1"/>
      <c r="V20490" s="5"/>
    </row>
    <row r="20491">
      <c r="N20491" s="1"/>
      <c r="V20491" s="5"/>
    </row>
    <row r="20492">
      <c r="N20492" s="1"/>
      <c r="V20492" s="5"/>
    </row>
    <row r="20493">
      <c r="N20493" s="1"/>
      <c r="V20493" s="5"/>
    </row>
    <row r="20494">
      <c r="N20494" s="1"/>
      <c r="V20494" s="5"/>
    </row>
    <row r="20495">
      <c r="N20495" s="1"/>
      <c r="V20495" s="5"/>
    </row>
    <row r="20496">
      <c r="N20496" s="1"/>
      <c r="V20496" s="5"/>
    </row>
    <row r="20497">
      <c r="N20497" s="1"/>
      <c r="V20497" s="5"/>
    </row>
    <row r="20498">
      <c r="N20498" s="1"/>
      <c r="V20498" s="5"/>
    </row>
    <row r="20499">
      <c r="N20499" s="1"/>
      <c r="V20499" s="5"/>
    </row>
    <row r="20500">
      <c r="N20500" s="1"/>
      <c r="V20500" s="5"/>
    </row>
    <row r="20501">
      <c r="N20501" s="1"/>
      <c r="V20501" s="5"/>
    </row>
    <row r="20502">
      <c r="N20502" s="1"/>
      <c r="V20502" s="5"/>
    </row>
    <row r="20503">
      <c r="N20503" s="1"/>
      <c r="V20503" s="5"/>
    </row>
    <row r="20504">
      <c r="N20504" s="1"/>
      <c r="V20504" s="5"/>
    </row>
    <row r="20505">
      <c r="N20505" s="1"/>
      <c r="V20505" s="5"/>
    </row>
    <row r="20506">
      <c r="N20506" s="1"/>
      <c r="V20506" s="5"/>
    </row>
    <row r="20507">
      <c r="N20507" s="1"/>
      <c r="V20507" s="5"/>
    </row>
    <row r="20508">
      <c r="N20508" s="1"/>
      <c r="V20508" s="5"/>
    </row>
    <row r="20509">
      <c r="N20509" s="1"/>
      <c r="V20509" s="5"/>
    </row>
    <row r="20510">
      <c r="N20510" s="1"/>
      <c r="V20510" s="5"/>
    </row>
    <row r="20511">
      <c r="N20511" s="1"/>
      <c r="V20511" s="5"/>
    </row>
    <row r="20512">
      <c r="N20512" s="1"/>
      <c r="V20512" s="5"/>
    </row>
    <row r="20513">
      <c r="N20513" s="1"/>
      <c r="V20513" s="5"/>
    </row>
    <row r="20514">
      <c r="N20514" s="1"/>
      <c r="V20514" s="5"/>
    </row>
    <row r="20515">
      <c r="N20515" s="1"/>
      <c r="V20515" s="5"/>
    </row>
    <row r="20516">
      <c r="N20516" s="1"/>
      <c r="V20516" s="5"/>
    </row>
    <row r="20517">
      <c r="N20517" s="1"/>
      <c r="V20517" s="5"/>
    </row>
    <row r="20518">
      <c r="N20518" s="1"/>
      <c r="V20518" s="5"/>
    </row>
    <row r="20519">
      <c r="N20519" s="1"/>
      <c r="V20519" s="5"/>
    </row>
    <row r="20520">
      <c r="N20520" s="1"/>
      <c r="V20520" s="5"/>
    </row>
    <row r="20521">
      <c r="N20521" s="1"/>
      <c r="V20521" s="5"/>
    </row>
    <row r="20522">
      <c r="N20522" s="1"/>
      <c r="V20522" s="5"/>
    </row>
    <row r="20523">
      <c r="N20523" s="1"/>
      <c r="V20523" s="5"/>
    </row>
    <row r="20524">
      <c r="N20524" s="1"/>
      <c r="V20524" s="5"/>
    </row>
    <row r="20525">
      <c r="N20525" s="1"/>
      <c r="V20525" s="5"/>
    </row>
    <row r="20526">
      <c r="N20526" s="1"/>
      <c r="V20526" s="5"/>
    </row>
    <row r="20527">
      <c r="N20527" s="1"/>
      <c r="V20527" s="5"/>
    </row>
    <row r="20528">
      <c r="N20528" s="1"/>
      <c r="V20528" s="5"/>
    </row>
    <row r="20529">
      <c r="N20529" s="1"/>
      <c r="V20529" s="5"/>
    </row>
    <row r="20530">
      <c r="N20530" s="1"/>
      <c r="V20530" s="5"/>
    </row>
    <row r="20531">
      <c r="N20531" s="1"/>
      <c r="V20531" s="5"/>
    </row>
    <row r="20532">
      <c r="N20532" s="1"/>
      <c r="V20532" s="5"/>
    </row>
    <row r="20533">
      <c r="N20533" s="1"/>
      <c r="V20533" s="5"/>
    </row>
    <row r="20534">
      <c r="N20534" s="1"/>
      <c r="V20534" s="5"/>
    </row>
    <row r="20535">
      <c r="N20535" s="1"/>
      <c r="V20535" s="5"/>
    </row>
    <row r="20536">
      <c r="N20536" s="1"/>
      <c r="V20536" s="5"/>
    </row>
    <row r="20537">
      <c r="N20537" s="1"/>
      <c r="V20537" s="5"/>
    </row>
    <row r="20538">
      <c r="N20538" s="1"/>
      <c r="V20538" s="5"/>
    </row>
    <row r="20539">
      <c r="N20539" s="1"/>
      <c r="V20539" s="5"/>
    </row>
    <row r="20540">
      <c r="N20540" s="1"/>
      <c r="V20540" s="5"/>
    </row>
    <row r="20541">
      <c r="N20541" s="1"/>
      <c r="V20541" s="5"/>
    </row>
    <row r="20542">
      <c r="N20542" s="1"/>
      <c r="V20542" s="5"/>
    </row>
    <row r="20543">
      <c r="N20543" s="1"/>
      <c r="V20543" s="5"/>
    </row>
    <row r="20544">
      <c r="N20544" s="1"/>
      <c r="V20544" s="5"/>
    </row>
    <row r="20545">
      <c r="N20545" s="1"/>
      <c r="V20545" s="5"/>
    </row>
    <row r="20546">
      <c r="N20546" s="1"/>
      <c r="V20546" s="5"/>
    </row>
    <row r="20547">
      <c r="N20547" s="1"/>
      <c r="V20547" s="5"/>
    </row>
    <row r="20548">
      <c r="N20548" s="1"/>
      <c r="V20548" s="5"/>
    </row>
    <row r="20549">
      <c r="N20549" s="1"/>
      <c r="V20549" s="5"/>
    </row>
    <row r="20550">
      <c r="N20550" s="1"/>
      <c r="V20550" s="5"/>
    </row>
    <row r="20551">
      <c r="N20551" s="1"/>
      <c r="V20551" s="5"/>
    </row>
    <row r="20552">
      <c r="N20552" s="1"/>
      <c r="V20552" s="5"/>
    </row>
    <row r="20553">
      <c r="N20553" s="1"/>
      <c r="V20553" s="5"/>
    </row>
    <row r="20554">
      <c r="N20554" s="1"/>
      <c r="V20554" s="5"/>
    </row>
    <row r="20555">
      <c r="N20555" s="1"/>
      <c r="V20555" s="5"/>
    </row>
    <row r="20556">
      <c r="N20556" s="1"/>
      <c r="V20556" s="5"/>
    </row>
    <row r="20557">
      <c r="N20557" s="1"/>
      <c r="V20557" s="5"/>
    </row>
    <row r="20558">
      <c r="N20558" s="1"/>
      <c r="V20558" s="5"/>
    </row>
    <row r="20559">
      <c r="N20559" s="1"/>
      <c r="V20559" s="5"/>
    </row>
    <row r="20560">
      <c r="N20560" s="1"/>
      <c r="V20560" s="5"/>
    </row>
    <row r="20561">
      <c r="N20561" s="1"/>
      <c r="V20561" s="5"/>
    </row>
    <row r="20562">
      <c r="N20562" s="1"/>
      <c r="V20562" s="5"/>
    </row>
    <row r="20563">
      <c r="N20563" s="1"/>
      <c r="V20563" s="5"/>
    </row>
    <row r="20564">
      <c r="N20564" s="1"/>
      <c r="V20564" s="5"/>
    </row>
    <row r="20565">
      <c r="N20565" s="1"/>
      <c r="V20565" s="5"/>
    </row>
    <row r="20566">
      <c r="N20566" s="1"/>
      <c r="V20566" s="5"/>
    </row>
    <row r="20567">
      <c r="N20567" s="1"/>
      <c r="V20567" s="5"/>
    </row>
    <row r="20568">
      <c r="N20568" s="1"/>
      <c r="V20568" s="5"/>
    </row>
    <row r="20569">
      <c r="N20569" s="1"/>
      <c r="V20569" s="5"/>
    </row>
    <row r="20570">
      <c r="N20570" s="1"/>
      <c r="V20570" s="5"/>
    </row>
    <row r="20571">
      <c r="N20571" s="1"/>
      <c r="V20571" s="5"/>
    </row>
    <row r="20572">
      <c r="N20572" s="1"/>
      <c r="V20572" s="5"/>
    </row>
    <row r="20573">
      <c r="N20573" s="1"/>
      <c r="V20573" s="5"/>
    </row>
    <row r="20574">
      <c r="N20574" s="1"/>
      <c r="V20574" s="5"/>
    </row>
    <row r="20575">
      <c r="N20575" s="1"/>
      <c r="V20575" s="5"/>
    </row>
    <row r="20576">
      <c r="N20576" s="1"/>
      <c r="V20576" s="5"/>
    </row>
    <row r="20577">
      <c r="N20577" s="1"/>
      <c r="V20577" s="5"/>
    </row>
    <row r="20578">
      <c r="N20578" s="1"/>
      <c r="V20578" s="5"/>
    </row>
    <row r="20579">
      <c r="N20579" s="1"/>
      <c r="V20579" s="5"/>
    </row>
    <row r="20580">
      <c r="N20580" s="1"/>
      <c r="V20580" s="5"/>
    </row>
    <row r="20581">
      <c r="N20581" s="1"/>
      <c r="V20581" s="5"/>
    </row>
    <row r="20582">
      <c r="N20582" s="1"/>
      <c r="V20582" s="5"/>
    </row>
    <row r="20583">
      <c r="N20583" s="1"/>
      <c r="V20583" s="5"/>
    </row>
    <row r="20584">
      <c r="N20584" s="1"/>
      <c r="V20584" s="5"/>
    </row>
    <row r="20585">
      <c r="N20585" s="1"/>
      <c r="V20585" s="5"/>
    </row>
    <row r="20586">
      <c r="N20586" s="1"/>
      <c r="V20586" s="5"/>
    </row>
    <row r="20587">
      <c r="N20587" s="1"/>
      <c r="V20587" s="5"/>
    </row>
    <row r="20588">
      <c r="N20588" s="1"/>
      <c r="V20588" s="5"/>
    </row>
    <row r="20589">
      <c r="N20589" s="1"/>
      <c r="V20589" s="5"/>
    </row>
    <row r="20590">
      <c r="N20590" s="1"/>
      <c r="V20590" s="5"/>
    </row>
    <row r="20591">
      <c r="N20591" s="1"/>
      <c r="V20591" s="5"/>
    </row>
    <row r="20592">
      <c r="N20592" s="1"/>
      <c r="V20592" s="5"/>
    </row>
    <row r="20593">
      <c r="N20593" s="1"/>
      <c r="V20593" s="5"/>
    </row>
    <row r="20594">
      <c r="N20594" s="1"/>
      <c r="V20594" s="5"/>
    </row>
    <row r="20595">
      <c r="N20595" s="1"/>
      <c r="V20595" s="5"/>
    </row>
    <row r="20596">
      <c r="N20596" s="1"/>
      <c r="V20596" s="5"/>
    </row>
    <row r="20597">
      <c r="N20597" s="1"/>
      <c r="V20597" s="5"/>
    </row>
    <row r="20598">
      <c r="N20598" s="1"/>
      <c r="V20598" s="5"/>
    </row>
    <row r="20599">
      <c r="N20599" s="1"/>
      <c r="V20599" s="5"/>
    </row>
    <row r="20600">
      <c r="N20600" s="1"/>
      <c r="V20600" s="5"/>
    </row>
    <row r="20601">
      <c r="N20601" s="1"/>
      <c r="V20601" s="5"/>
    </row>
    <row r="20602">
      <c r="N20602" s="1"/>
      <c r="V20602" s="5"/>
    </row>
    <row r="20603">
      <c r="N20603" s="1"/>
      <c r="V20603" s="5"/>
    </row>
    <row r="20604">
      <c r="N20604" s="1"/>
      <c r="V20604" s="5"/>
    </row>
    <row r="20605">
      <c r="N20605" s="1"/>
      <c r="V20605" s="5"/>
    </row>
    <row r="20606">
      <c r="N20606" s="1"/>
      <c r="V20606" s="5"/>
    </row>
    <row r="20607">
      <c r="N20607" s="1"/>
      <c r="V20607" s="5"/>
    </row>
    <row r="20608">
      <c r="N20608" s="1"/>
      <c r="V20608" s="5"/>
    </row>
    <row r="20609">
      <c r="N20609" s="1"/>
      <c r="V20609" s="5"/>
    </row>
    <row r="20610">
      <c r="N20610" s="1"/>
      <c r="V20610" s="5"/>
    </row>
    <row r="20611">
      <c r="N20611" s="1"/>
      <c r="V20611" s="5"/>
    </row>
    <row r="20612">
      <c r="N20612" s="1"/>
      <c r="V20612" s="5"/>
    </row>
    <row r="20613">
      <c r="N20613" s="1"/>
      <c r="V20613" s="5"/>
    </row>
    <row r="20614">
      <c r="N20614" s="1"/>
      <c r="V20614" s="5"/>
    </row>
    <row r="20615">
      <c r="N20615" s="1"/>
      <c r="V20615" s="5"/>
    </row>
    <row r="20616">
      <c r="N20616" s="1"/>
      <c r="V20616" s="5"/>
    </row>
    <row r="20617">
      <c r="N20617" s="1"/>
      <c r="V20617" s="5"/>
    </row>
    <row r="20618">
      <c r="N20618" s="1"/>
      <c r="V20618" s="5"/>
    </row>
    <row r="20619">
      <c r="N20619" s="1"/>
      <c r="V20619" s="5"/>
    </row>
    <row r="20620">
      <c r="N20620" s="1"/>
      <c r="V20620" s="5"/>
    </row>
    <row r="20621">
      <c r="N20621" s="1"/>
      <c r="V20621" s="5"/>
    </row>
    <row r="20622">
      <c r="N20622" s="1"/>
      <c r="V20622" s="5"/>
    </row>
    <row r="20623">
      <c r="N20623" s="1"/>
      <c r="V20623" s="5"/>
    </row>
    <row r="20624">
      <c r="N20624" s="1"/>
      <c r="V20624" s="5"/>
    </row>
    <row r="20625">
      <c r="N20625" s="1"/>
      <c r="V20625" s="5"/>
    </row>
    <row r="20626">
      <c r="N20626" s="1"/>
      <c r="V20626" s="5"/>
    </row>
    <row r="20627">
      <c r="N20627" s="1"/>
      <c r="V20627" s="5"/>
    </row>
    <row r="20628">
      <c r="N20628" s="1"/>
      <c r="V20628" s="5"/>
    </row>
    <row r="20629">
      <c r="N20629" s="1"/>
      <c r="V20629" s="5"/>
    </row>
    <row r="20630">
      <c r="N20630" s="1"/>
      <c r="V20630" s="5"/>
    </row>
    <row r="20631">
      <c r="N20631" s="1"/>
      <c r="V20631" s="5"/>
    </row>
    <row r="20632">
      <c r="N20632" s="1"/>
      <c r="V20632" s="5"/>
    </row>
    <row r="20633">
      <c r="N20633" s="1"/>
      <c r="V20633" s="5"/>
    </row>
    <row r="20634">
      <c r="N20634" s="1"/>
      <c r="V20634" s="5"/>
    </row>
    <row r="20635">
      <c r="N20635" s="1"/>
      <c r="V20635" s="5"/>
    </row>
    <row r="20636">
      <c r="N20636" s="1"/>
      <c r="V20636" s="5"/>
    </row>
    <row r="20637">
      <c r="N20637" s="1"/>
      <c r="V20637" s="5"/>
    </row>
    <row r="20638">
      <c r="N20638" s="1"/>
      <c r="V20638" s="5"/>
    </row>
    <row r="20639">
      <c r="N20639" s="1"/>
      <c r="V20639" s="5"/>
    </row>
    <row r="20640">
      <c r="N20640" s="1"/>
      <c r="V20640" s="5"/>
    </row>
    <row r="20641">
      <c r="N20641" s="1"/>
      <c r="V20641" s="5"/>
    </row>
    <row r="20642">
      <c r="N20642" s="1"/>
      <c r="V20642" s="5"/>
    </row>
    <row r="20643">
      <c r="N20643" s="1"/>
      <c r="V20643" s="5"/>
    </row>
    <row r="20644">
      <c r="N20644" s="1"/>
      <c r="V20644" s="5"/>
    </row>
    <row r="20645">
      <c r="N20645" s="1"/>
      <c r="V20645" s="5"/>
    </row>
    <row r="20646">
      <c r="N20646" s="1"/>
      <c r="V20646" s="5"/>
    </row>
    <row r="20647">
      <c r="N20647" s="1"/>
      <c r="V20647" s="5"/>
    </row>
    <row r="20648">
      <c r="N20648" s="1"/>
      <c r="V20648" s="5"/>
    </row>
    <row r="20649">
      <c r="N20649" s="1"/>
      <c r="V20649" s="5"/>
    </row>
    <row r="20650">
      <c r="N20650" s="1"/>
      <c r="V20650" s="5"/>
    </row>
    <row r="20651">
      <c r="N20651" s="1"/>
      <c r="V20651" s="5"/>
    </row>
    <row r="20652">
      <c r="N20652" s="1"/>
      <c r="V20652" s="5"/>
    </row>
    <row r="20653">
      <c r="N20653" s="1"/>
      <c r="V20653" s="5"/>
    </row>
    <row r="20654">
      <c r="N20654" s="1"/>
      <c r="V20654" s="5"/>
    </row>
    <row r="20655">
      <c r="N20655" s="1"/>
      <c r="V20655" s="5"/>
    </row>
    <row r="20656">
      <c r="N20656" s="1"/>
      <c r="V20656" s="5"/>
    </row>
    <row r="20657">
      <c r="N20657" s="1"/>
      <c r="V20657" s="5"/>
    </row>
    <row r="20658">
      <c r="N20658" s="1"/>
      <c r="V20658" s="5"/>
    </row>
    <row r="20659">
      <c r="N20659" s="1"/>
      <c r="V20659" s="5"/>
    </row>
    <row r="20660">
      <c r="N20660" s="1"/>
      <c r="V20660" s="5"/>
    </row>
    <row r="20661">
      <c r="N20661" s="1"/>
      <c r="V20661" s="5"/>
    </row>
    <row r="20662">
      <c r="N20662" s="1"/>
      <c r="V20662" s="5"/>
    </row>
    <row r="20663">
      <c r="N20663" s="1"/>
      <c r="V20663" s="5"/>
    </row>
    <row r="20664">
      <c r="N20664" s="1"/>
      <c r="V20664" s="5"/>
    </row>
    <row r="20665">
      <c r="N20665" s="1"/>
      <c r="V20665" s="5"/>
    </row>
    <row r="20666">
      <c r="N20666" s="1"/>
      <c r="V20666" s="5"/>
    </row>
    <row r="20667">
      <c r="N20667" s="1"/>
      <c r="V20667" s="5"/>
    </row>
    <row r="20668">
      <c r="N20668" s="1"/>
      <c r="V20668" s="5"/>
    </row>
    <row r="20669">
      <c r="N20669" s="1"/>
      <c r="V20669" s="5"/>
    </row>
    <row r="20670">
      <c r="N20670" s="1"/>
      <c r="V20670" s="5"/>
    </row>
    <row r="20671">
      <c r="N20671" s="1"/>
      <c r="V20671" s="5"/>
    </row>
    <row r="20672">
      <c r="N20672" s="1"/>
      <c r="V20672" s="5"/>
    </row>
    <row r="20673">
      <c r="N20673" s="1"/>
      <c r="V20673" s="5"/>
    </row>
    <row r="20674">
      <c r="N20674" s="1"/>
      <c r="V20674" s="5"/>
    </row>
    <row r="20675">
      <c r="N20675" s="1"/>
      <c r="V20675" s="5"/>
    </row>
    <row r="20676">
      <c r="N20676" s="1"/>
      <c r="V20676" s="5"/>
    </row>
    <row r="20677">
      <c r="N20677" s="1"/>
      <c r="V20677" s="5"/>
    </row>
    <row r="20678">
      <c r="N20678" s="1"/>
      <c r="V20678" s="5"/>
    </row>
    <row r="20679">
      <c r="N20679" s="1"/>
      <c r="V20679" s="5"/>
    </row>
    <row r="20680">
      <c r="N20680" s="1"/>
      <c r="V20680" s="5"/>
    </row>
    <row r="20681">
      <c r="N20681" s="1"/>
      <c r="V20681" s="5"/>
    </row>
    <row r="20682">
      <c r="N20682" s="1"/>
      <c r="V20682" s="5"/>
    </row>
    <row r="20683">
      <c r="N20683" s="1"/>
      <c r="V20683" s="5"/>
    </row>
    <row r="20684">
      <c r="N20684" s="1"/>
      <c r="V20684" s="5"/>
    </row>
    <row r="20685">
      <c r="N20685" s="1"/>
      <c r="V20685" s="5"/>
    </row>
    <row r="20686">
      <c r="N20686" s="1"/>
      <c r="V20686" s="5"/>
    </row>
    <row r="20687">
      <c r="N20687" s="1"/>
      <c r="V20687" s="5"/>
    </row>
    <row r="20688">
      <c r="N20688" s="1"/>
      <c r="V20688" s="5"/>
    </row>
    <row r="20689">
      <c r="N20689" s="1"/>
      <c r="V20689" s="5"/>
    </row>
    <row r="20690">
      <c r="N20690" s="1"/>
      <c r="V20690" s="5"/>
    </row>
    <row r="20691">
      <c r="N20691" s="1"/>
      <c r="V20691" s="5"/>
    </row>
    <row r="20692">
      <c r="N20692" s="1"/>
      <c r="V20692" s="5"/>
    </row>
    <row r="20693">
      <c r="N20693" s="1"/>
      <c r="V20693" s="5"/>
    </row>
    <row r="20694">
      <c r="N20694" s="1"/>
      <c r="V20694" s="5"/>
    </row>
    <row r="20695">
      <c r="N20695" s="1"/>
      <c r="V20695" s="5"/>
    </row>
    <row r="20696">
      <c r="N20696" s="1"/>
      <c r="V20696" s="5"/>
    </row>
    <row r="20697">
      <c r="N20697" s="1"/>
      <c r="V20697" s="5"/>
    </row>
    <row r="20698">
      <c r="N20698" s="1"/>
      <c r="V20698" s="5"/>
    </row>
    <row r="20699">
      <c r="N20699" s="1"/>
      <c r="V20699" s="5"/>
    </row>
    <row r="20700">
      <c r="N20700" s="1"/>
      <c r="V20700" s="5"/>
    </row>
    <row r="20701">
      <c r="N20701" s="1"/>
      <c r="V20701" s="5"/>
    </row>
    <row r="20702">
      <c r="N20702" s="1"/>
      <c r="V20702" s="5"/>
    </row>
    <row r="20703">
      <c r="N20703" s="1"/>
      <c r="V20703" s="5"/>
    </row>
    <row r="20704">
      <c r="N20704" s="1"/>
      <c r="V20704" s="5"/>
    </row>
    <row r="20705">
      <c r="N20705" s="1"/>
      <c r="V20705" s="5"/>
    </row>
    <row r="20706">
      <c r="N20706" s="1"/>
      <c r="V20706" s="5"/>
    </row>
    <row r="20707">
      <c r="N20707" s="1"/>
      <c r="V20707" s="5"/>
    </row>
    <row r="20708">
      <c r="N20708" s="1"/>
      <c r="V20708" s="5"/>
    </row>
    <row r="20709">
      <c r="N20709" s="1"/>
      <c r="V20709" s="5"/>
    </row>
    <row r="20710">
      <c r="N20710" s="1"/>
      <c r="V20710" s="5"/>
    </row>
    <row r="20711">
      <c r="N20711" s="1"/>
      <c r="V20711" s="5"/>
    </row>
    <row r="20712">
      <c r="N20712" s="1"/>
      <c r="V20712" s="5"/>
    </row>
    <row r="20713">
      <c r="N20713" s="1"/>
      <c r="V20713" s="5"/>
    </row>
    <row r="20714">
      <c r="N20714" s="1"/>
      <c r="V20714" s="5"/>
    </row>
    <row r="20715">
      <c r="N20715" s="1"/>
      <c r="V20715" s="5"/>
    </row>
    <row r="20716">
      <c r="N20716" s="1"/>
      <c r="V20716" s="5"/>
    </row>
    <row r="20717">
      <c r="N20717" s="1"/>
      <c r="V20717" s="5"/>
    </row>
    <row r="20718">
      <c r="N20718" s="1"/>
      <c r="V20718" s="5"/>
    </row>
    <row r="20719">
      <c r="N20719" s="1"/>
      <c r="V20719" s="5"/>
    </row>
    <row r="20720">
      <c r="N20720" s="1"/>
      <c r="V20720" s="5"/>
    </row>
    <row r="20721">
      <c r="N20721" s="1"/>
      <c r="V20721" s="5"/>
    </row>
    <row r="20722">
      <c r="N20722" s="1"/>
      <c r="V20722" s="5"/>
    </row>
    <row r="20723">
      <c r="N20723" s="1"/>
      <c r="V20723" s="5"/>
    </row>
    <row r="20724">
      <c r="N20724" s="1"/>
      <c r="V20724" s="5"/>
    </row>
    <row r="20725">
      <c r="N20725" s="1"/>
      <c r="V20725" s="5"/>
    </row>
    <row r="20726">
      <c r="N20726" s="1"/>
      <c r="V20726" s="5"/>
    </row>
    <row r="20727">
      <c r="N20727" s="1"/>
      <c r="V20727" s="5"/>
    </row>
    <row r="20728">
      <c r="N20728" s="1"/>
      <c r="V20728" s="5"/>
    </row>
    <row r="20729">
      <c r="N20729" s="1"/>
      <c r="V20729" s="5"/>
    </row>
    <row r="20730">
      <c r="N20730" s="1"/>
      <c r="V20730" s="5"/>
    </row>
    <row r="20731">
      <c r="N20731" s="1"/>
      <c r="V20731" s="5"/>
    </row>
    <row r="20732">
      <c r="N20732" s="1"/>
      <c r="V20732" s="5"/>
    </row>
    <row r="20733">
      <c r="N20733" s="1"/>
      <c r="V20733" s="5"/>
    </row>
    <row r="20734">
      <c r="N20734" s="1"/>
      <c r="V20734" s="5"/>
    </row>
    <row r="20735">
      <c r="N20735" s="1"/>
      <c r="V20735" s="5"/>
    </row>
    <row r="20736">
      <c r="N20736" s="1"/>
      <c r="V20736" s="5"/>
    </row>
    <row r="20737">
      <c r="N20737" s="1"/>
      <c r="V20737" s="5"/>
    </row>
    <row r="20738">
      <c r="N20738" s="1"/>
      <c r="V20738" s="5"/>
    </row>
    <row r="20739">
      <c r="N20739" s="1"/>
      <c r="V20739" s="5"/>
    </row>
    <row r="20740">
      <c r="N20740" s="1"/>
      <c r="V20740" s="5"/>
    </row>
    <row r="20741">
      <c r="N20741" s="1"/>
      <c r="V20741" s="5"/>
    </row>
    <row r="20742">
      <c r="N20742" s="1"/>
      <c r="V20742" s="5"/>
    </row>
    <row r="20743">
      <c r="N20743" s="1"/>
      <c r="V20743" s="5"/>
    </row>
    <row r="20744">
      <c r="N20744" s="1"/>
      <c r="V20744" s="5"/>
    </row>
    <row r="20745">
      <c r="N20745" s="1"/>
      <c r="V20745" s="5"/>
    </row>
    <row r="20746">
      <c r="N20746" s="1"/>
      <c r="V20746" s="5"/>
    </row>
    <row r="20747">
      <c r="N20747" s="1"/>
      <c r="V20747" s="5"/>
    </row>
    <row r="20748">
      <c r="N20748" s="1"/>
      <c r="V20748" s="5"/>
    </row>
    <row r="20749">
      <c r="N20749" s="1"/>
      <c r="V20749" s="5"/>
    </row>
    <row r="20750">
      <c r="N20750" s="1"/>
      <c r="V20750" s="5"/>
    </row>
    <row r="20751">
      <c r="N20751" s="1"/>
      <c r="V20751" s="5"/>
    </row>
    <row r="20752">
      <c r="N20752" s="1"/>
      <c r="V20752" s="5"/>
    </row>
    <row r="20753">
      <c r="N20753" s="1"/>
      <c r="V20753" s="5"/>
    </row>
    <row r="20754">
      <c r="N20754" s="1"/>
      <c r="V20754" s="5"/>
    </row>
    <row r="20755">
      <c r="N20755" s="1"/>
      <c r="V20755" s="5"/>
    </row>
    <row r="20756">
      <c r="N20756" s="1"/>
      <c r="V20756" s="5"/>
    </row>
    <row r="20757">
      <c r="N20757" s="1"/>
      <c r="V20757" s="5"/>
    </row>
    <row r="20758">
      <c r="N20758" s="1"/>
      <c r="V20758" s="5"/>
    </row>
    <row r="20759">
      <c r="N20759" s="1"/>
      <c r="V20759" s="5"/>
    </row>
    <row r="20760">
      <c r="N20760" s="1"/>
      <c r="V20760" s="5"/>
    </row>
    <row r="20761">
      <c r="N20761" s="1"/>
      <c r="V20761" s="5"/>
    </row>
    <row r="20762">
      <c r="N20762" s="1"/>
      <c r="V20762" s="5"/>
    </row>
    <row r="20763">
      <c r="N20763" s="1"/>
      <c r="V20763" s="5"/>
    </row>
    <row r="20764">
      <c r="N20764" s="1"/>
      <c r="V20764" s="5"/>
    </row>
    <row r="20765">
      <c r="N20765" s="1"/>
      <c r="V20765" s="5"/>
    </row>
    <row r="20766">
      <c r="N20766" s="1"/>
      <c r="V20766" s="5"/>
    </row>
    <row r="20767">
      <c r="N20767" s="1"/>
      <c r="V20767" s="5"/>
    </row>
    <row r="20768">
      <c r="N20768" s="1"/>
      <c r="V20768" s="5"/>
    </row>
    <row r="20769">
      <c r="N20769" s="1"/>
      <c r="V20769" s="5"/>
    </row>
    <row r="20770">
      <c r="N20770" s="1"/>
      <c r="V20770" s="5"/>
    </row>
    <row r="20771">
      <c r="N20771" s="1"/>
      <c r="V20771" s="5"/>
    </row>
    <row r="20772">
      <c r="N20772" s="1"/>
      <c r="V20772" s="5"/>
    </row>
    <row r="20773">
      <c r="N20773" s="1"/>
      <c r="V20773" s="5"/>
    </row>
    <row r="20774">
      <c r="N20774" s="1"/>
      <c r="V20774" s="5"/>
    </row>
    <row r="20775">
      <c r="N20775" s="1"/>
      <c r="V20775" s="5"/>
    </row>
    <row r="20776">
      <c r="N20776" s="1"/>
      <c r="V20776" s="5"/>
    </row>
    <row r="20777">
      <c r="N20777" s="1"/>
      <c r="V20777" s="5"/>
    </row>
    <row r="20778">
      <c r="N20778" s="1"/>
      <c r="V20778" s="5"/>
    </row>
    <row r="20779">
      <c r="N20779" s="1"/>
      <c r="V20779" s="5"/>
    </row>
    <row r="20780">
      <c r="N20780" s="1"/>
      <c r="V20780" s="5"/>
    </row>
    <row r="20781">
      <c r="N20781" s="1"/>
      <c r="V20781" s="5"/>
    </row>
    <row r="20782">
      <c r="N20782" s="1"/>
      <c r="V20782" s="5"/>
    </row>
    <row r="20783">
      <c r="N20783" s="1"/>
      <c r="V20783" s="5"/>
    </row>
    <row r="20784">
      <c r="N20784" s="1"/>
      <c r="V20784" s="5"/>
    </row>
    <row r="20785">
      <c r="N20785" s="1"/>
      <c r="V20785" s="5"/>
    </row>
    <row r="20786">
      <c r="N20786" s="1"/>
      <c r="V20786" s="5"/>
    </row>
    <row r="20787">
      <c r="N20787" s="1"/>
      <c r="V20787" s="5"/>
    </row>
    <row r="20788">
      <c r="N20788" s="1"/>
      <c r="V20788" s="5"/>
    </row>
    <row r="20789">
      <c r="N20789" s="1"/>
      <c r="V20789" s="5"/>
    </row>
    <row r="20790">
      <c r="N20790" s="1"/>
      <c r="V20790" s="5"/>
    </row>
    <row r="20791">
      <c r="N20791" s="1"/>
      <c r="V20791" s="5"/>
    </row>
    <row r="20792">
      <c r="N20792" s="1"/>
      <c r="V20792" s="5"/>
    </row>
    <row r="20793">
      <c r="N20793" s="1"/>
      <c r="V20793" s="5"/>
    </row>
    <row r="20794">
      <c r="N20794" s="1"/>
      <c r="V20794" s="5"/>
    </row>
    <row r="20795">
      <c r="N20795" s="1"/>
      <c r="V20795" s="5"/>
    </row>
    <row r="20796">
      <c r="N20796" s="1"/>
      <c r="V20796" s="5"/>
    </row>
    <row r="20797">
      <c r="N20797" s="1"/>
      <c r="V20797" s="5"/>
    </row>
    <row r="20798">
      <c r="N20798" s="1"/>
      <c r="V20798" s="5"/>
    </row>
    <row r="20799">
      <c r="N20799" s="1"/>
      <c r="V20799" s="5"/>
    </row>
    <row r="20800">
      <c r="N20800" s="1"/>
      <c r="V20800" s="5"/>
    </row>
    <row r="20801">
      <c r="N20801" s="1"/>
      <c r="V20801" s="5"/>
    </row>
    <row r="20802">
      <c r="N20802" s="1"/>
      <c r="V20802" s="5"/>
    </row>
    <row r="20803">
      <c r="N20803" s="1"/>
      <c r="V20803" s="5"/>
    </row>
    <row r="20804">
      <c r="N20804" s="1"/>
      <c r="V20804" s="5"/>
    </row>
    <row r="20805">
      <c r="N20805" s="1"/>
      <c r="V20805" s="5"/>
    </row>
    <row r="20806">
      <c r="N20806" s="1"/>
      <c r="V20806" s="5"/>
    </row>
    <row r="20807">
      <c r="N20807" s="1"/>
      <c r="V20807" s="5"/>
    </row>
    <row r="20808">
      <c r="N20808" s="1"/>
      <c r="V20808" s="5"/>
    </row>
    <row r="20809">
      <c r="N20809" s="1"/>
      <c r="V20809" s="5"/>
    </row>
    <row r="20810">
      <c r="N20810" s="1"/>
      <c r="V20810" s="5"/>
    </row>
    <row r="20811">
      <c r="N20811" s="1"/>
      <c r="V20811" s="5"/>
    </row>
    <row r="20812">
      <c r="N20812" s="1"/>
      <c r="V20812" s="5"/>
    </row>
    <row r="20813">
      <c r="N20813" s="1"/>
      <c r="V20813" s="5"/>
    </row>
    <row r="20814">
      <c r="N20814" s="1"/>
      <c r="V20814" s="5"/>
    </row>
    <row r="20815">
      <c r="N20815" s="1"/>
      <c r="V20815" s="5"/>
    </row>
    <row r="20816">
      <c r="N20816" s="1"/>
      <c r="V20816" s="5"/>
    </row>
    <row r="20817">
      <c r="N20817" s="1"/>
      <c r="V20817" s="5"/>
    </row>
    <row r="20818">
      <c r="N20818" s="1"/>
      <c r="V20818" s="5"/>
    </row>
    <row r="20819">
      <c r="N20819" s="1"/>
      <c r="V20819" s="5"/>
    </row>
    <row r="20820">
      <c r="N20820" s="1"/>
      <c r="V20820" s="5"/>
    </row>
    <row r="20821">
      <c r="N20821" s="1"/>
      <c r="V20821" s="5"/>
    </row>
    <row r="20822">
      <c r="N20822" s="1"/>
      <c r="V20822" s="5"/>
    </row>
    <row r="20823">
      <c r="N20823" s="1"/>
      <c r="V20823" s="5"/>
    </row>
    <row r="20824">
      <c r="N20824" s="1"/>
      <c r="V20824" s="5"/>
    </row>
    <row r="20825">
      <c r="N20825" s="1"/>
      <c r="V20825" s="5"/>
    </row>
    <row r="20826">
      <c r="N20826" s="1"/>
      <c r="V20826" s="5"/>
    </row>
    <row r="20827">
      <c r="N20827" s="1"/>
      <c r="V20827" s="5"/>
    </row>
    <row r="20828">
      <c r="N20828" s="1"/>
      <c r="V20828" s="5"/>
    </row>
    <row r="20829">
      <c r="N20829" s="1"/>
      <c r="V20829" s="5"/>
    </row>
    <row r="20830">
      <c r="N20830" s="1"/>
      <c r="V20830" s="5"/>
    </row>
    <row r="20831">
      <c r="N20831" s="1"/>
      <c r="V20831" s="5"/>
    </row>
    <row r="20832">
      <c r="N20832" s="1"/>
      <c r="V20832" s="5"/>
    </row>
    <row r="20833">
      <c r="N20833" s="1"/>
      <c r="V20833" s="5"/>
    </row>
    <row r="20834">
      <c r="N20834" s="1"/>
      <c r="V20834" s="5"/>
    </row>
    <row r="20835">
      <c r="N20835" s="1"/>
      <c r="V20835" s="5"/>
    </row>
    <row r="20836">
      <c r="N20836" s="1"/>
      <c r="V20836" s="5"/>
    </row>
    <row r="20837">
      <c r="N20837" s="1"/>
      <c r="V20837" s="5"/>
    </row>
    <row r="20838">
      <c r="N20838" s="1"/>
      <c r="V20838" s="5"/>
    </row>
    <row r="20839">
      <c r="N20839" s="1"/>
      <c r="V20839" s="5"/>
    </row>
    <row r="20840">
      <c r="N20840" s="1"/>
      <c r="V20840" s="5"/>
    </row>
    <row r="20841">
      <c r="N20841" s="1"/>
      <c r="V20841" s="5"/>
    </row>
    <row r="20842">
      <c r="N20842" s="1"/>
      <c r="V20842" s="5"/>
    </row>
    <row r="20843">
      <c r="N20843" s="1"/>
      <c r="V20843" s="5"/>
    </row>
    <row r="20844">
      <c r="N20844" s="1"/>
      <c r="V20844" s="5"/>
    </row>
    <row r="20845">
      <c r="N20845" s="1"/>
      <c r="V20845" s="5"/>
    </row>
    <row r="20846">
      <c r="N20846" s="1"/>
      <c r="V20846" s="5"/>
    </row>
    <row r="20847">
      <c r="N20847" s="1"/>
      <c r="V20847" s="5"/>
    </row>
    <row r="20848">
      <c r="N20848" s="1"/>
      <c r="V20848" s="5"/>
    </row>
    <row r="20849">
      <c r="N20849" s="1"/>
      <c r="V20849" s="5"/>
    </row>
    <row r="20850">
      <c r="N20850" s="1"/>
      <c r="V20850" s="5"/>
    </row>
    <row r="20851">
      <c r="N20851" s="1"/>
      <c r="V20851" s="5"/>
    </row>
    <row r="20852">
      <c r="N20852" s="1"/>
      <c r="V20852" s="5"/>
    </row>
    <row r="20853">
      <c r="N20853" s="1"/>
      <c r="V20853" s="5"/>
    </row>
    <row r="20854">
      <c r="N20854" s="1"/>
      <c r="V20854" s="5"/>
    </row>
    <row r="20855">
      <c r="N20855" s="1"/>
      <c r="V20855" s="5"/>
    </row>
    <row r="20856">
      <c r="N20856" s="1"/>
      <c r="V20856" s="5"/>
    </row>
    <row r="20857">
      <c r="N20857" s="1"/>
      <c r="V20857" s="5"/>
    </row>
    <row r="20858">
      <c r="N20858" s="1"/>
      <c r="V20858" s="5"/>
    </row>
    <row r="20859">
      <c r="N20859" s="1"/>
      <c r="V20859" s="5"/>
    </row>
    <row r="20860">
      <c r="N20860" s="1"/>
      <c r="V20860" s="5"/>
    </row>
    <row r="20861">
      <c r="N20861" s="1"/>
      <c r="V20861" s="5"/>
    </row>
    <row r="20862">
      <c r="N20862" s="1"/>
      <c r="V20862" s="5"/>
    </row>
    <row r="20863">
      <c r="N20863" s="1"/>
      <c r="V20863" s="5"/>
    </row>
    <row r="20864">
      <c r="N20864" s="1"/>
      <c r="V20864" s="5"/>
    </row>
    <row r="20865">
      <c r="N20865" s="1"/>
      <c r="V20865" s="5"/>
    </row>
    <row r="20866">
      <c r="N20866" s="1"/>
      <c r="V20866" s="5"/>
    </row>
    <row r="20867">
      <c r="N20867" s="1"/>
      <c r="V20867" s="5"/>
    </row>
    <row r="20868">
      <c r="N20868" s="1"/>
      <c r="V20868" s="5"/>
    </row>
    <row r="20869">
      <c r="N20869" s="1"/>
      <c r="V20869" s="5"/>
    </row>
    <row r="20870">
      <c r="N20870" s="1"/>
      <c r="V20870" s="5"/>
    </row>
    <row r="20871">
      <c r="N20871" s="1"/>
      <c r="V20871" s="5"/>
    </row>
    <row r="20872">
      <c r="N20872" s="1"/>
      <c r="V20872" s="5"/>
    </row>
    <row r="20873">
      <c r="N20873" s="1"/>
      <c r="V20873" s="5"/>
    </row>
    <row r="20874">
      <c r="N20874" s="1"/>
      <c r="V20874" s="5"/>
    </row>
    <row r="20875">
      <c r="N20875" s="1"/>
      <c r="V20875" s="5"/>
    </row>
    <row r="20876">
      <c r="N20876" s="1"/>
      <c r="V20876" s="5"/>
    </row>
    <row r="20877">
      <c r="N20877" s="1"/>
      <c r="V20877" s="5"/>
    </row>
    <row r="20878">
      <c r="N20878" s="1"/>
      <c r="V20878" s="5"/>
    </row>
    <row r="20879">
      <c r="N20879" s="1"/>
      <c r="V20879" s="5"/>
    </row>
    <row r="20880">
      <c r="N20880" s="1"/>
      <c r="V20880" s="5"/>
    </row>
    <row r="20881">
      <c r="N20881" s="1"/>
      <c r="V20881" s="5"/>
    </row>
    <row r="20882">
      <c r="N20882" s="1"/>
      <c r="V20882" s="5"/>
    </row>
    <row r="20883">
      <c r="N20883" s="1"/>
      <c r="V20883" s="5"/>
    </row>
    <row r="20884">
      <c r="N20884" s="1"/>
      <c r="V20884" s="5"/>
    </row>
    <row r="20885">
      <c r="N20885" s="1"/>
      <c r="V20885" s="5"/>
    </row>
    <row r="20886">
      <c r="N20886" s="1"/>
      <c r="V20886" s="5"/>
    </row>
    <row r="20887">
      <c r="N20887" s="1"/>
      <c r="V20887" s="5"/>
    </row>
    <row r="20888">
      <c r="N20888" s="1"/>
      <c r="V20888" s="5"/>
    </row>
    <row r="20889">
      <c r="N20889" s="1"/>
      <c r="V20889" s="5"/>
    </row>
    <row r="20890">
      <c r="N20890" s="1"/>
      <c r="V20890" s="5"/>
    </row>
    <row r="20891">
      <c r="N20891" s="1"/>
      <c r="V20891" s="5"/>
    </row>
    <row r="20892">
      <c r="N20892" s="1"/>
      <c r="V20892" s="5"/>
    </row>
    <row r="20893">
      <c r="N20893" s="1"/>
      <c r="V20893" s="5"/>
    </row>
    <row r="20894">
      <c r="N20894" s="1"/>
      <c r="V20894" s="5"/>
    </row>
    <row r="20895">
      <c r="N20895" s="1"/>
      <c r="V20895" s="5"/>
    </row>
    <row r="20896">
      <c r="N20896" s="1"/>
      <c r="V20896" s="5"/>
    </row>
    <row r="20897">
      <c r="N20897" s="1"/>
      <c r="V20897" s="5"/>
    </row>
    <row r="20898">
      <c r="N20898" s="1"/>
      <c r="V20898" s="5"/>
    </row>
    <row r="20899">
      <c r="N20899" s="1"/>
      <c r="V20899" s="5"/>
    </row>
    <row r="20900">
      <c r="N20900" s="1"/>
      <c r="V20900" s="5"/>
    </row>
    <row r="20901">
      <c r="N20901" s="1"/>
      <c r="V20901" s="5"/>
    </row>
    <row r="20902">
      <c r="N20902" s="1"/>
      <c r="V20902" s="5"/>
    </row>
    <row r="20903">
      <c r="N20903" s="1"/>
      <c r="V20903" s="5"/>
    </row>
    <row r="20904">
      <c r="N20904" s="1"/>
      <c r="V20904" s="5"/>
    </row>
    <row r="20905">
      <c r="N20905" s="1"/>
      <c r="V20905" s="5"/>
    </row>
    <row r="20906">
      <c r="N20906" s="1"/>
      <c r="V20906" s="5"/>
    </row>
    <row r="20907">
      <c r="N20907" s="1"/>
      <c r="V20907" s="5"/>
    </row>
    <row r="20908">
      <c r="N20908" s="1"/>
      <c r="V20908" s="5"/>
    </row>
    <row r="20909">
      <c r="N20909" s="1"/>
      <c r="V20909" s="5"/>
    </row>
    <row r="20910">
      <c r="N20910" s="1"/>
      <c r="V20910" s="5"/>
    </row>
    <row r="20911">
      <c r="N20911" s="1"/>
      <c r="V20911" s="5"/>
    </row>
    <row r="20912">
      <c r="N20912" s="1"/>
      <c r="V20912" s="5"/>
    </row>
    <row r="20913">
      <c r="N20913" s="1"/>
      <c r="V20913" s="5"/>
    </row>
    <row r="20914">
      <c r="N20914" s="1"/>
      <c r="V20914" s="5"/>
    </row>
    <row r="20915">
      <c r="N20915" s="1"/>
      <c r="V20915" s="5"/>
    </row>
    <row r="20916">
      <c r="N20916" s="1"/>
      <c r="V20916" s="5"/>
    </row>
    <row r="20917">
      <c r="N20917" s="1"/>
      <c r="V20917" s="5"/>
    </row>
    <row r="20918">
      <c r="N20918" s="1"/>
      <c r="V20918" s="5"/>
    </row>
    <row r="20919">
      <c r="N20919" s="1"/>
      <c r="V20919" s="5"/>
    </row>
    <row r="20920">
      <c r="N20920" s="1"/>
      <c r="V20920" s="5"/>
    </row>
    <row r="20921">
      <c r="N20921" s="1"/>
      <c r="V20921" s="5"/>
    </row>
    <row r="20922">
      <c r="N20922" s="1"/>
      <c r="V20922" s="5"/>
    </row>
    <row r="20923">
      <c r="N20923" s="1"/>
      <c r="V20923" s="5"/>
    </row>
    <row r="20924">
      <c r="N20924" s="1"/>
      <c r="V20924" s="5"/>
    </row>
    <row r="20925">
      <c r="N20925" s="1"/>
      <c r="V20925" s="5"/>
    </row>
    <row r="20926">
      <c r="N20926" s="1"/>
      <c r="V20926" s="5"/>
    </row>
    <row r="20927">
      <c r="N20927" s="1"/>
      <c r="V20927" s="5"/>
    </row>
    <row r="20928">
      <c r="N20928" s="1"/>
      <c r="V20928" s="5"/>
    </row>
    <row r="20929">
      <c r="N20929" s="1"/>
      <c r="V20929" s="5"/>
    </row>
    <row r="20930">
      <c r="N20930" s="1"/>
      <c r="V20930" s="5"/>
    </row>
    <row r="20931">
      <c r="N20931" s="1"/>
      <c r="V20931" s="5"/>
    </row>
    <row r="20932">
      <c r="N20932" s="1"/>
      <c r="V20932" s="5"/>
    </row>
    <row r="20933">
      <c r="N20933" s="1"/>
      <c r="V20933" s="5"/>
    </row>
    <row r="20934">
      <c r="N20934" s="1"/>
      <c r="V20934" s="5"/>
    </row>
    <row r="20935">
      <c r="N20935" s="1"/>
      <c r="V20935" s="5"/>
    </row>
    <row r="20936">
      <c r="N20936" s="1"/>
      <c r="V20936" s="5"/>
    </row>
    <row r="20937">
      <c r="N20937" s="1"/>
      <c r="V20937" s="5"/>
    </row>
    <row r="20938">
      <c r="N20938" s="1"/>
      <c r="V20938" s="5"/>
    </row>
    <row r="20939">
      <c r="N20939" s="1"/>
      <c r="V20939" s="5"/>
    </row>
    <row r="20940">
      <c r="N20940" s="1"/>
      <c r="V20940" s="5"/>
    </row>
    <row r="20941">
      <c r="N20941" s="1"/>
      <c r="V20941" s="5"/>
    </row>
    <row r="20942">
      <c r="N20942" s="1"/>
      <c r="V20942" s="5"/>
    </row>
    <row r="20943">
      <c r="N20943" s="1"/>
      <c r="V20943" s="5"/>
    </row>
    <row r="20944">
      <c r="N20944" s="1"/>
      <c r="V20944" s="5"/>
    </row>
    <row r="20945">
      <c r="N20945" s="1"/>
      <c r="V20945" s="5"/>
    </row>
    <row r="20946">
      <c r="N20946" s="1"/>
      <c r="V20946" s="5"/>
    </row>
    <row r="20947">
      <c r="N20947" s="1"/>
      <c r="V20947" s="5"/>
    </row>
    <row r="20948">
      <c r="N20948" s="1"/>
      <c r="V20948" s="5"/>
    </row>
    <row r="20949">
      <c r="N20949" s="1"/>
      <c r="V20949" s="5"/>
    </row>
    <row r="20950">
      <c r="N20950" s="1"/>
      <c r="V20950" s="5"/>
    </row>
    <row r="20951">
      <c r="N20951" s="1"/>
      <c r="V20951" s="5"/>
    </row>
    <row r="20952">
      <c r="N20952" s="1"/>
      <c r="V20952" s="5"/>
    </row>
    <row r="20953">
      <c r="N20953" s="1"/>
      <c r="V20953" s="5"/>
    </row>
    <row r="20954">
      <c r="N20954" s="1"/>
      <c r="V20954" s="5"/>
    </row>
    <row r="20955">
      <c r="N20955" s="1"/>
      <c r="V20955" s="5"/>
    </row>
    <row r="20956">
      <c r="N20956" s="1"/>
      <c r="V20956" s="5"/>
    </row>
    <row r="20957">
      <c r="N20957" s="1"/>
      <c r="V20957" s="5"/>
    </row>
    <row r="20958">
      <c r="N20958" s="1"/>
      <c r="V20958" s="5"/>
    </row>
    <row r="20959">
      <c r="N20959" s="1"/>
      <c r="V20959" s="5"/>
    </row>
    <row r="20960">
      <c r="N20960" s="1"/>
      <c r="V20960" s="5"/>
    </row>
    <row r="20961">
      <c r="N20961" s="1"/>
      <c r="V20961" s="5"/>
    </row>
    <row r="20962">
      <c r="N20962" s="1"/>
      <c r="V20962" s="5"/>
    </row>
    <row r="20963">
      <c r="N20963" s="1"/>
      <c r="V20963" s="5"/>
    </row>
    <row r="20964">
      <c r="N20964" s="1"/>
      <c r="V20964" s="5"/>
    </row>
    <row r="20965">
      <c r="N20965" s="1"/>
      <c r="V20965" s="5"/>
    </row>
    <row r="20966">
      <c r="N20966" s="1"/>
      <c r="V20966" s="5"/>
    </row>
    <row r="20967">
      <c r="N20967" s="1"/>
      <c r="V20967" s="5"/>
    </row>
    <row r="20968">
      <c r="N20968" s="1"/>
      <c r="V20968" s="5"/>
    </row>
    <row r="20969">
      <c r="N20969" s="1"/>
      <c r="V20969" s="5"/>
    </row>
    <row r="20970">
      <c r="N20970" s="1"/>
      <c r="V20970" s="5"/>
    </row>
    <row r="20971">
      <c r="N20971" s="1"/>
      <c r="V20971" s="5"/>
    </row>
    <row r="20972">
      <c r="N20972" s="1"/>
      <c r="V20972" s="5"/>
    </row>
    <row r="20973">
      <c r="N20973" s="1"/>
      <c r="V20973" s="5"/>
    </row>
    <row r="20974">
      <c r="N20974" s="1"/>
      <c r="V20974" s="5"/>
    </row>
    <row r="20975">
      <c r="N20975" s="1"/>
      <c r="V20975" s="5"/>
    </row>
    <row r="20976">
      <c r="N20976" s="1"/>
      <c r="V20976" s="5"/>
    </row>
    <row r="20977">
      <c r="N20977" s="1"/>
      <c r="V20977" s="5"/>
    </row>
    <row r="20978">
      <c r="N20978" s="1"/>
      <c r="V20978" s="5"/>
    </row>
    <row r="20979">
      <c r="N20979" s="1"/>
      <c r="V20979" s="5"/>
    </row>
    <row r="20980">
      <c r="N20980" s="1"/>
      <c r="V20980" s="5"/>
    </row>
    <row r="20981">
      <c r="N20981" s="1"/>
      <c r="V20981" s="5"/>
    </row>
    <row r="20982">
      <c r="N20982" s="1"/>
      <c r="V20982" s="5"/>
    </row>
    <row r="20983">
      <c r="N20983" s="1"/>
      <c r="V20983" s="5"/>
    </row>
    <row r="20984">
      <c r="N20984" s="1"/>
      <c r="V20984" s="5"/>
    </row>
    <row r="20985">
      <c r="N20985" s="1"/>
      <c r="V20985" s="5"/>
    </row>
    <row r="20986">
      <c r="N20986" s="1"/>
      <c r="V20986" s="5"/>
    </row>
    <row r="20987">
      <c r="N20987" s="1"/>
      <c r="V20987" s="5"/>
    </row>
    <row r="20988">
      <c r="N20988" s="1"/>
      <c r="V20988" s="5"/>
    </row>
    <row r="20989">
      <c r="N20989" s="1"/>
      <c r="V20989" s="5"/>
    </row>
    <row r="20990">
      <c r="N20990" s="1"/>
      <c r="V20990" s="5"/>
    </row>
    <row r="20991">
      <c r="N20991" s="1"/>
      <c r="V20991" s="5"/>
    </row>
    <row r="20992">
      <c r="N20992" s="1"/>
      <c r="V20992" s="5"/>
    </row>
    <row r="20993">
      <c r="N20993" s="1"/>
      <c r="V20993" s="5"/>
    </row>
    <row r="20994">
      <c r="N20994" s="1"/>
      <c r="V20994" s="5"/>
    </row>
    <row r="20995">
      <c r="N20995" s="1"/>
      <c r="V20995" s="5"/>
    </row>
    <row r="20996">
      <c r="N20996" s="1"/>
      <c r="V20996" s="5"/>
    </row>
    <row r="20997">
      <c r="N20997" s="1"/>
      <c r="V20997" s="5"/>
    </row>
    <row r="20998">
      <c r="N20998" s="1"/>
      <c r="V20998" s="5"/>
    </row>
    <row r="20999">
      <c r="N20999" s="1"/>
      <c r="V20999" s="5"/>
    </row>
    <row r="21000">
      <c r="N21000" s="1"/>
      <c r="V21000" s="5"/>
    </row>
    <row r="21001">
      <c r="N21001" s="1"/>
      <c r="V21001" s="5"/>
    </row>
    <row r="21002">
      <c r="N21002" s="1"/>
      <c r="V21002" s="5"/>
    </row>
    <row r="21003">
      <c r="N21003" s="1"/>
      <c r="V21003" s="5"/>
    </row>
    <row r="21004">
      <c r="N21004" s="1"/>
      <c r="V21004" s="5"/>
    </row>
    <row r="21005">
      <c r="N21005" s="1"/>
      <c r="V21005" s="5"/>
    </row>
    <row r="21006">
      <c r="N21006" s="1"/>
      <c r="V21006" s="5"/>
    </row>
    <row r="21007">
      <c r="N21007" s="1"/>
      <c r="V21007" s="5"/>
    </row>
    <row r="21008">
      <c r="N21008" s="1"/>
      <c r="V21008" s="5"/>
    </row>
    <row r="21009">
      <c r="N21009" s="1"/>
      <c r="V21009" s="5"/>
    </row>
    <row r="21010">
      <c r="N21010" s="1"/>
      <c r="V21010" s="5"/>
    </row>
    <row r="21011">
      <c r="N21011" s="1"/>
      <c r="V21011" s="5"/>
    </row>
    <row r="21012">
      <c r="N21012" s="1"/>
      <c r="V21012" s="5"/>
    </row>
    <row r="21013">
      <c r="N21013" s="1"/>
      <c r="V21013" s="5"/>
    </row>
    <row r="21014">
      <c r="N21014" s="1"/>
      <c r="V21014" s="5"/>
    </row>
    <row r="21015">
      <c r="N21015" s="1"/>
      <c r="V21015" s="5"/>
    </row>
    <row r="21016">
      <c r="N21016" s="1"/>
      <c r="V21016" s="5"/>
    </row>
    <row r="21017">
      <c r="N21017" s="1"/>
      <c r="V21017" s="5"/>
    </row>
    <row r="21018">
      <c r="N21018" s="1"/>
      <c r="V21018" s="5"/>
    </row>
    <row r="21019">
      <c r="N21019" s="1"/>
      <c r="V21019" s="5"/>
    </row>
    <row r="21020">
      <c r="N21020" s="1"/>
      <c r="V21020" s="5"/>
    </row>
    <row r="21021">
      <c r="N21021" s="1"/>
      <c r="V21021" s="5"/>
    </row>
    <row r="21022">
      <c r="N21022" s="1"/>
      <c r="V21022" s="5"/>
    </row>
    <row r="21023">
      <c r="N21023" s="1"/>
      <c r="V21023" s="5"/>
    </row>
    <row r="21024">
      <c r="N21024" s="1"/>
      <c r="V21024" s="5"/>
    </row>
    <row r="21025">
      <c r="N21025" s="1"/>
      <c r="V21025" s="5"/>
    </row>
    <row r="21026">
      <c r="N21026" s="1"/>
      <c r="V21026" s="5"/>
    </row>
    <row r="21027">
      <c r="N21027" s="1"/>
      <c r="V21027" s="5"/>
    </row>
    <row r="21028">
      <c r="N21028" s="1"/>
      <c r="V21028" s="5"/>
    </row>
    <row r="21029">
      <c r="N21029" s="1"/>
      <c r="V21029" s="5"/>
    </row>
    <row r="21030">
      <c r="N21030" s="1"/>
      <c r="V21030" s="5"/>
    </row>
    <row r="21031">
      <c r="N21031" s="1"/>
      <c r="V21031" s="5"/>
    </row>
    <row r="21032">
      <c r="N21032" s="1"/>
      <c r="V21032" s="5"/>
    </row>
    <row r="21033">
      <c r="N21033" s="1"/>
      <c r="V21033" s="5"/>
    </row>
    <row r="21034">
      <c r="N21034" s="1"/>
      <c r="V21034" s="5"/>
    </row>
    <row r="21035">
      <c r="N21035" s="1"/>
      <c r="V21035" s="5"/>
    </row>
    <row r="21036">
      <c r="N21036" s="1"/>
      <c r="V21036" s="5"/>
    </row>
    <row r="21037">
      <c r="N21037" s="1"/>
      <c r="V21037" s="5"/>
    </row>
    <row r="21038">
      <c r="N21038" s="1"/>
      <c r="V21038" s="5"/>
    </row>
    <row r="21039">
      <c r="N21039" s="1"/>
      <c r="V21039" s="5"/>
    </row>
    <row r="21040">
      <c r="N21040" s="1"/>
      <c r="V21040" s="5"/>
    </row>
    <row r="21041">
      <c r="N21041" s="1"/>
      <c r="V21041" s="5"/>
    </row>
    <row r="21042">
      <c r="N21042" s="1"/>
      <c r="V21042" s="5"/>
    </row>
    <row r="21043">
      <c r="N21043" s="1"/>
      <c r="V21043" s="5"/>
    </row>
    <row r="21044">
      <c r="N21044" s="1"/>
      <c r="V21044" s="5"/>
    </row>
    <row r="21045">
      <c r="N21045" s="1"/>
      <c r="V21045" s="5"/>
    </row>
    <row r="21046">
      <c r="N21046" s="1"/>
      <c r="V21046" s="5"/>
    </row>
    <row r="21047">
      <c r="N21047" s="1"/>
      <c r="V21047" s="5"/>
    </row>
    <row r="21048">
      <c r="N21048" s="1"/>
      <c r="V21048" s="5"/>
    </row>
    <row r="21049">
      <c r="N21049" s="1"/>
      <c r="V21049" s="5"/>
    </row>
    <row r="21050">
      <c r="N21050" s="1"/>
      <c r="V21050" s="5"/>
    </row>
    <row r="21051">
      <c r="N21051" s="1"/>
      <c r="V21051" s="5"/>
    </row>
    <row r="21052">
      <c r="N21052" s="1"/>
      <c r="V21052" s="5"/>
    </row>
    <row r="21053">
      <c r="N21053" s="1"/>
      <c r="V21053" s="5"/>
    </row>
    <row r="21054">
      <c r="N21054" s="1"/>
      <c r="V21054" s="5"/>
    </row>
    <row r="21055">
      <c r="N21055" s="1"/>
      <c r="V21055" s="5"/>
    </row>
    <row r="21056">
      <c r="N21056" s="1"/>
      <c r="V21056" s="5"/>
    </row>
    <row r="21057">
      <c r="N21057" s="1"/>
      <c r="V21057" s="5"/>
    </row>
    <row r="21058">
      <c r="N21058" s="1"/>
      <c r="V21058" s="5"/>
    </row>
    <row r="21059">
      <c r="N21059" s="1"/>
      <c r="V21059" s="5"/>
    </row>
    <row r="21060">
      <c r="N21060" s="1"/>
      <c r="V21060" s="5"/>
    </row>
    <row r="21061">
      <c r="N21061" s="1"/>
      <c r="V21061" s="5"/>
    </row>
    <row r="21062">
      <c r="N21062" s="1"/>
      <c r="V21062" s="5"/>
    </row>
    <row r="21063">
      <c r="N21063" s="1"/>
      <c r="V21063" s="5"/>
    </row>
    <row r="21064">
      <c r="N21064" s="1"/>
      <c r="V21064" s="5"/>
    </row>
    <row r="21065">
      <c r="N21065" s="1"/>
      <c r="V21065" s="5"/>
    </row>
    <row r="21066">
      <c r="N21066" s="1"/>
      <c r="V21066" s="5"/>
    </row>
    <row r="21067">
      <c r="N21067" s="1"/>
      <c r="V21067" s="5"/>
    </row>
    <row r="21068">
      <c r="N21068" s="1"/>
      <c r="V21068" s="5"/>
    </row>
    <row r="21069">
      <c r="N21069" s="1"/>
      <c r="V21069" s="5"/>
    </row>
    <row r="21070">
      <c r="N21070" s="1"/>
      <c r="V21070" s="5"/>
    </row>
    <row r="21071">
      <c r="N21071" s="1"/>
      <c r="V21071" s="5"/>
    </row>
    <row r="21072">
      <c r="N21072" s="1"/>
      <c r="V21072" s="5"/>
    </row>
    <row r="21073">
      <c r="N21073" s="1"/>
      <c r="V21073" s="5"/>
    </row>
    <row r="21074">
      <c r="N21074" s="1"/>
      <c r="V21074" s="5"/>
    </row>
    <row r="21075">
      <c r="N21075" s="1"/>
      <c r="V21075" s="5"/>
    </row>
    <row r="21076">
      <c r="N21076" s="1"/>
      <c r="V21076" s="5"/>
    </row>
    <row r="21077">
      <c r="N21077" s="1"/>
      <c r="V21077" s="5"/>
    </row>
    <row r="21078">
      <c r="N21078" s="1"/>
      <c r="V21078" s="5"/>
    </row>
    <row r="21079">
      <c r="N21079" s="1"/>
      <c r="V21079" s="5"/>
    </row>
    <row r="21080">
      <c r="N21080" s="1"/>
      <c r="V21080" s="5"/>
    </row>
    <row r="21081">
      <c r="N21081" s="1"/>
      <c r="V21081" s="5"/>
    </row>
    <row r="21082">
      <c r="N21082" s="1"/>
      <c r="V21082" s="5"/>
    </row>
    <row r="21083">
      <c r="N21083" s="1"/>
      <c r="V21083" s="5"/>
    </row>
    <row r="21084">
      <c r="N21084" s="1"/>
      <c r="V21084" s="5"/>
    </row>
    <row r="21085">
      <c r="N21085" s="1"/>
      <c r="V21085" s="5"/>
    </row>
    <row r="21086">
      <c r="N21086" s="1"/>
      <c r="V21086" s="5"/>
    </row>
    <row r="21087">
      <c r="N21087" s="1"/>
      <c r="V21087" s="5"/>
    </row>
    <row r="21088">
      <c r="N21088" s="1"/>
      <c r="V21088" s="5"/>
    </row>
    <row r="21089">
      <c r="N21089" s="1"/>
      <c r="V21089" s="5"/>
    </row>
    <row r="21090">
      <c r="N21090" s="1"/>
      <c r="V21090" s="5"/>
    </row>
    <row r="21091">
      <c r="N21091" s="1"/>
      <c r="V21091" s="5"/>
    </row>
    <row r="21092">
      <c r="N21092" s="1"/>
      <c r="V21092" s="5"/>
    </row>
    <row r="21093">
      <c r="N21093" s="1"/>
      <c r="V21093" s="5"/>
    </row>
    <row r="21094">
      <c r="N21094" s="1"/>
      <c r="V21094" s="5"/>
    </row>
    <row r="21095">
      <c r="N21095" s="1"/>
      <c r="V21095" s="5"/>
    </row>
    <row r="21096">
      <c r="N21096" s="1"/>
      <c r="V21096" s="5"/>
    </row>
    <row r="21097">
      <c r="N21097" s="1"/>
      <c r="V21097" s="5"/>
    </row>
    <row r="21098">
      <c r="N21098" s="1"/>
      <c r="V21098" s="5"/>
    </row>
    <row r="21099">
      <c r="N21099" s="1"/>
      <c r="V21099" s="5"/>
    </row>
    <row r="21100">
      <c r="N21100" s="1"/>
      <c r="V21100" s="5"/>
    </row>
    <row r="21101">
      <c r="N21101" s="1"/>
      <c r="V21101" s="5"/>
    </row>
    <row r="21102">
      <c r="N21102" s="1"/>
      <c r="V21102" s="5"/>
    </row>
    <row r="21103">
      <c r="N21103" s="1"/>
      <c r="V21103" s="5"/>
    </row>
    <row r="21104">
      <c r="N21104" s="1"/>
      <c r="V21104" s="5"/>
    </row>
    <row r="21105">
      <c r="N21105" s="1"/>
      <c r="V21105" s="5"/>
    </row>
    <row r="21106">
      <c r="N21106" s="1"/>
      <c r="V21106" s="5"/>
    </row>
    <row r="21107">
      <c r="N21107" s="1"/>
      <c r="V21107" s="5"/>
    </row>
    <row r="21108">
      <c r="N21108" s="1"/>
      <c r="V21108" s="5"/>
    </row>
    <row r="21109">
      <c r="N21109" s="1"/>
      <c r="V21109" s="5"/>
    </row>
    <row r="21110">
      <c r="N21110" s="1"/>
      <c r="V21110" s="5"/>
    </row>
    <row r="21111">
      <c r="N21111" s="1"/>
      <c r="V21111" s="5"/>
    </row>
    <row r="21112">
      <c r="N21112" s="1"/>
      <c r="V21112" s="5"/>
    </row>
    <row r="21113">
      <c r="N21113" s="1"/>
      <c r="V21113" s="5"/>
    </row>
    <row r="21114">
      <c r="N21114" s="1"/>
      <c r="V21114" s="5"/>
    </row>
    <row r="21115">
      <c r="N21115" s="1"/>
      <c r="V21115" s="5"/>
    </row>
    <row r="21116">
      <c r="N21116" s="1"/>
      <c r="V21116" s="5"/>
    </row>
    <row r="21117">
      <c r="N21117" s="1"/>
      <c r="V21117" s="5"/>
    </row>
    <row r="21118">
      <c r="N21118" s="1"/>
      <c r="V21118" s="5"/>
    </row>
    <row r="21119">
      <c r="N21119" s="1"/>
      <c r="V21119" s="5"/>
    </row>
    <row r="21120">
      <c r="N21120" s="1"/>
      <c r="V21120" s="5"/>
    </row>
    <row r="21121">
      <c r="N21121" s="1"/>
      <c r="V21121" s="5"/>
    </row>
    <row r="21122">
      <c r="N21122" s="1"/>
      <c r="V21122" s="5"/>
    </row>
    <row r="21123">
      <c r="N21123" s="1"/>
      <c r="V21123" s="5"/>
    </row>
    <row r="21124">
      <c r="N21124" s="1"/>
      <c r="V21124" s="5"/>
    </row>
    <row r="21125">
      <c r="N21125" s="1"/>
      <c r="V21125" s="5"/>
    </row>
    <row r="21126">
      <c r="N21126" s="1"/>
      <c r="V21126" s="5"/>
    </row>
    <row r="21127">
      <c r="N21127" s="1"/>
      <c r="V21127" s="5"/>
    </row>
    <row r="21128">
      <c r="N21128" s="1"/>
      <c r="V21128" s="5"/>
    </row>
    <row r="21129">
      <c r="N21129" s="1"/>
      <c r="V21129" s="5"/>
    </row>
    <row r="21130">
      <c r="N21130" s="1"/>
      <c r="V21130" s="5"/>
    </row>
    <row r="21131">
      <c r="N21131" s="1"/>
      <c r="V21131" s="5"/>
    </row>
    <row r="21132">
      <c r="N21132" s="1"/>
      <c r="V21132" s="5"/>
    </row>
    <row r="21133">
      <c r="N21133" s="1"/>
      <c r="V21133" s="5"/>
    </row>
    <row r="21134">
      <c r="N21134" s="1"/>
      <c r="V21134" s="5"/>
    </row>
    <row r="21135">
      <c r="N21135" s="1"/>
      <c r="V21135" s="5"/>
    </row>
    <row r="21136">
      <c r="N21136" s="1"/>
      <c r="V21136" s="5"/>
    </row>
    <row r="21137">
      <c r="N21137" s="1"/>
      <c r="V21137" s="5"/>
    </row>
    <row r="21138">
      <c r="N21138" s="1"/>
      <c r="V21138" s="5"/>
    </row>
    <row r="21139">
      <c r="N21139" s="1"/>
      <c r="V21139" s="5"/>
    </row>
    <row r="21140">
      <c r="N21140" s="1"/>
      <c r="V21140" s="5"/>
    </row>
    <row r="21141">
      <c r="N21141" s="1"/>
      <c r="V21141" s="5"/>
    </row>
    <row r="21142">
      <c r="N21142" s="1"/>
      <c r="V21142" s="5"/>
    </row>
    <row r="21143">
      <c r="N21143" s="1"/>
      <c r="V21143" s="5"/>
    </row>
    <row r="21144">
      <c r="N21144" s="1"/>
      <c r="V21144" s="5"/>
    </row>
    <row r="21145">
      <c r="N21145" s="1"/>
      <c r="V21145" s="5"/>
    </row>
    <row r="21146">
      <c r="N21146" s="1"/>
      <c r="V21146" s="5"/>
    </row>
    <row r="21147">
      <c r="N21147" s="1"/>
      <c r="V21147" s="5"/>
    </row>
    <row r="21148">
      <c r="N21148" s="1"/>
      <c r="V21148" s="5"/>
    </row>
    <row r="21149">
      <c r="N21149" s="1"/>
      <c r="V21149" s="5"/>
    </row>
    <row r="21150">
      <c r="N21150" s="1"/>
      <c r="V21150" s="5"/>
    </row>
    <row r="21151">
      <c r="N21151" s="1"/>
      <c r="V21151" s="5"/>
    </row>
    <row r="21152">
      <c r="N21152" s="1"/>
      <c r="V21152" s="5"/>
    </row>
    <row r="21153">
      <c r="N21153" s="1"/>
      <c r="V21153" s="5"/>
    </row>
    <row r="21154">
      <c r="N21154" s="1"/>
      <c r="V21154" s="5"/>
    </row>
    <row r="21155">
      <c r="N21155" s="1"/>
      <c r="V21155" s="5"/>
    </row>
    <row r="21156">
      <c r="N21156" s="1"/>
      <c r="V21156" s="5"/>
    </row>
    <row r="21157">
      <c r="N21157" s="1"/>
      <c r="V21157" s="5"/>
    </row>
    <row r="21158">
      <c r="N21158" s="1"/>
      <c r="V21158" s="5"/>
    </row>
    <row r="21159">
      <c r="N21159" s="1"/>
      <c r="V21159" s="5"/>
    </row>
    <row r="21160">
      <c r="N21160" s="1"/>
      <c r="V21160" s="5"/>
    </row>
    <row r="21161">
      <c r="N21161" s="1"/>
      <c r="V21161" s="5"/>
    </row>
    <row r="21162">
      <c r="N21162" s="1"/>
      <c r="V21162" s="5"/>
    </row>
    <row r="21163">
      <c r="N21163" s="1"/>
      <c r="V21163" s="5"/>
    </row>
    <row r="21164">
      <c r="N21164" s="1"/>
      <c r="V21164" s="5"/>
    </row>
    <row r="21165">
      <c r="N21165" s="1"/>
      <c r="V21165" s="5"/>
    </row>
    <row r="21166">
      <c r="N21166" s="1"/>
      <c r="V21166" s="5"/>
    </row>
    <row r="21167">
      <c r="N21167" s="1"/>
      <c r="V21167" s="5"/>
    </row>
    <row r="21168">
      <c r="N21168" s="1"/>
      <c r="V21168" s="5"/>
    </row>
    <row r="21169">
      <c r="N21169" s="1"/>
      <c r="V21169" s="5"/>
    </row>
    <row r="21170">
      <c r="N21170" s="1"/>
      <c r="V21170" s="5"/>
    </row>
    <row r="21171">
      <c r="N21171" s="1"/>
      <c r="V21171" s="5"/>
    </row>
    <row r="21172">
      <c r="N21172" s="1"/>
      <c r="V21172" s="5"/>
    </row>
    <row r="21173">
      <c r="N21173" s="1"/>
      <c r="V21173" s="5"/>
    </row>
    <row r="21174">
      <c r="N21174" s="1"/>
      <c r="V21174" s="5"/>
    </row>
    <row r="21175">
      <c r="N21175" s="1"/>
      <c r="V21175" s="5"/>
    </row>
    <row r="21176">
      <c r="N21176" s="1"/>
      <c r="V21176" s="5"/>
    </row>
    <row r="21177">
      <c r="N21177" s="1"/>
      <c r="V21177" s="5"/>
    </row>
    <row r="21178">
      <c r="N21178" s="1"/>
      <c r="V21178" s="5"/>
    </row>
    <row r="21179">
      <c r="N21179" s="1"/>
      <c r="V21179" s="5"/>
    </row>
    <row r="21180">
      <c r="N21180" s="1"/>
      <c r="V21180" s="5"/>
    </row>
    <row r="21181">
      <c r="N21181" s="1"/>
      <c r="V21181" s="5"/>
    </row>
    <row r="21182">
      <c r="N21182" s="1"/>
      <c r="V21182" s="5"/>
    </row>
    <row r="21183">
      <c r="N21183" s="1"/>
      <c r="V21183" s="5"/>
    </row>
    <row r="21184">
      <c r="N21184" s="1"/>
      <c r="V21184" s="5"/>
    </row>
    <row r="21185">
      <c r="N21185" s="1"/>
      <c r="V21185" s="5"/>
    </row>
    <row r="21186">
      <c r="N21186" s="1"/>
      <c r="V21186" s="5"/>
    </row>
    <row r="21187">
      <c r="N21187" s="1"/>
      <c r="V21187" s="5"/>
    </row>
    <row r="21188">
      <c r="N21188" s="1"/>
      <c r="V21188" s="5"/>
    </row>
    <row r="21189">
      <c r="N21189" s="1"/>
      <c r="V21189" s="5"/>
    </row>
    <row r="21190">
      <c r="N21190" s="1"/>
      <c r="V21190" s="5"/>
    </row>
    <row r="21191">
      <c r="N21191" s="1"/>
      <c r="V21191" s="5"/>
    </row>
    <row r="21192">
      <c r="N21192" s="1"/>
      <c r="V21192" s="5"/>
    </row>
    <row r="21193">
      <c r="N21193" s="1"/>
      <c r="V21193" s="5"/>
    </row>
    <row r="21194">
      <c r="N21194" s="1"/>
      <c r="V21194" s="5"/>
    </row>
    <row r="21195">
      <c r="N21195" s="1"/>
      <c r="V21195" s="5"/>
    </row>
    <row r="21196">
      <c r="N21196" s="1"/>
      <c r="V21196" s="5"/>
    </row>
    <row r="21197">
      <c r="N21197" s="1"/>
      <c r="V21197" s="5"/>
    </row>
    <row r="21198">
      <c r="N21198" s="1"/>
      <c r="V21198" s="5"/>
    </row>
    <row r="21199">
      <c r="N21199" s="1"/>
      <c r="V21199" s="5"/>
    </row>
    <row r="21200">
      <c r="N21200" s="1"/>
      <c r="V21200" s="5"/>
    </row>
    <row r="21201">
      <c r="N21201" s="1"/>
      <c r="V21201" s="5"/>
    </row>
    <row r="21202">
      <c r="N21202" s="1"/>
      <c r="V21202" s="5"/>
    </row>
    <row r="21203">
      <c r="N21203" s="1"/>
      <c r="V21203" s="5"/>
    </row>
    <row r="21204">
      <c r="N21204" s="1"/>
      <c r="V21204" s="5"/>
    </row>
    <row r="21205">
      <c r="N21205" s="1"/>
      <c r="V21205" s="5"/>
    </row>
    <row r="21206">
      <c r="N21206" s="1"/>
      <c r="V21206" s="5"/>
    </row>
    <row r="21207">
      <c r="N21207" s="1"/>
      <c r="V21207" s="5"/>
    </row>
    <row r="21208">
      <c r="N21208" s="1"/>
      <c r="V21208" s="5"/>
    </row>
    <row r="21209">
      <c r="N21209" s="1"/>
      <c r="V21209" s="5"/>
    </row>
    <row r="21210">
      <c r="N21210" s="1"/>
      <c r="V21210" s="5"/>
    </row>
    <row r="21211">
      <c r="N21211" s="1"/>
      <c r="V21211" s="5"/>
    </row>
    <row r="21212">
      <c r="N21212" s="1"/>
      <c r="V21212" s="5"/>
    </row>
    <row r="21213">
      <c r="N21213" s="1"/>
      <c r="V21213" s="5"/>
    </row>
    <row r="21214">
      <c r="N21214" s="1"/>
      <c r="V21214" s="5"/>
    </row>
    <row r="21215">
      <c r="N21215" s="1"/>
      <c r="V21215" s="5"/>
    </row>
    <row r="21216">
      <c r="N21216" s="1"/>
      <c r="V21216" s="5"/>
    </row>
    <row r="21217">
      <c r="N21217" s="1"/>
      <c r="V21217" s="5"/>
    </row>
    <row r="21218">
      <c r="N21218" s="1"/>
      <c r="V21218" s="5"/>
    </row>
    <row r="21219">
      <c r="N21219" s="1"/>
      <c r="V21219" s="5"/>
    </row>
    <row r="21220">
      <c r="N21220" s="1"/>
      <c r="V21220" s="5"/>
    </row>
    <row r="21221">
      <c r="N21221" s="1"/>
      <c r="V21221" s="5"/>
    </row>
    <row r="21222">
      <c r="N21222" s="1"/>
      <c r="V21222" s="5"/>
    </row>
    <row r="21223">
      <c r="N21223" s="1"/>
      <c r="V21223" s="5"/>
    </row>
    <row r="21224">
      <c r="N21224" s="1"/>
      <c r="V21224" s="5"/>
    </row>
    <row r="21225">
      <c r="N21225" s="1"/>
      <c r="V21225" s="5"/>
    </row>
    <row r="21226">
      <c r="N21226" s="1"/>
      <c r="V21226" s="5"/>
    </row>
    <row r="21227">
      <c r="N21227" s="1"/>
      <c r="V21227" s="5"/>
    </row>
    <row r="21228">
      <c r="N21228" s="1"/>
      <c r="V21228" s="5"/>
    </row>
    <row r="21229">
      <c r="N21229" s="1"/>
      <c r="V21229" s="5"/>
    </row>
    <row r="21230">
      <c r="N21230" s="1"/>
      <c r="V21230" s="5"/>
    </row>
    <row r="21231">
      <c r="N21231" s="1"/>
      <c r="V21231" s="5"/>
    </row>
    <row r="21232">
      <c r="N21232" s="1"/>
      <c r="V21232" s="5"/>
    </row>
    <row r="21233">
      <c r="N21233" s="1"/>
      <c r="V21233" s="5"/>
    </row>
    <row r="21234">
      <c r="N21234" s="1"/>
      <c r="V21234" s="5"/>
    </row>
    <row r="21235">
      <c r="N21235" s="1"/>
      <c r="V21235" s="5"/>
    </row>
    <row r="21236">
      <c r="N21236" s="1"/>
      <c r="V21236" s="5"/>
    </row>
    <row r="21237">
      <c r="N21237" s="1"/>
      <c r="V21237" s="5"/>
    </row>
    <row r="21238">
      <c r="N21238" s="1"/>
      <c r="V21238" s="5"/>
    </row>
    <row r="21239">
      <c r="N21239" s="1"/>
      <c r="V21239" s="5"/>
    </row>
    <row r="21240">
      <c r="N21240" s="1"/>
      <c r="V21240" s="5"/>
    </row>
    <row r="21241">
      <c r="N21241" s="1"/>
      <c r="V21241" s="5"/>
    </row>
    <row r="21242">
      <c r="N21242" s="1"/>
      <c r="V21242" s="5"/>
    </row>
    <row r="21243">
      <c r="N21243" s="1"/>
      <c r="V21243" s="5"/>
    </row>
    <row r="21244">
      <c r="N21244" s="1"/>
      <c r="V21244" s="5"/>
    </row>
    <row r="21245">
      <c r="N21245" s="1"/>
      <c r="V21245" s="5"/>
    </row>
    <row r="21246">
      <c r="N21246" s="1"/>
      <c r="V21246" s="5"/>
    </row>
    <row r="21247">
      <c r="N21247" s="1"/>
      <c r="V21247" s="5"/>
    </row>
    <row r="21248">
      <c r="N21248" s="1"/>
      <c r="V21248" s="5"/>
    </row>
    <row r="21249">
      <c r="N21249" s="1"/>
      <c r="V21249" s="5"/>
    </row>
    <row r="21250">
      <c r="N21250" s="1"/>
      <c r="V21250" s="5"/>
    </row>
    <row r="21251">
      <c r="N21251" s="1"/>
      <c r="V21251" s="5"/>
    </row>
    <row r="21252">
      <c r="N21252" s="1"/>
      <c r="V21252" s="5"/>
    </row>
    <row r="21253">
      <c r="N21253" s="1"/>
      <c r="V21253" s="5"/>
    </row>
    <row r="21254">
      <c r="N21254" s="1"/>
      <c r="V21254" s="5"/>
    </row>
    <row r="21255">
      <c r="N21255" s="1"/>
      <c r="V21255" s="5"/>
    </row>
    <row r="21256">
      <c r="N21256" s="1"/>
      <c r="V21256" s="5"/>
    </row>
    <row r="21257">
      <c r="N21257" s="1"/>
      <c r="V21257" s="5"/>
    </row>
    <row r="21258">
      <c r="N21258" s="1"/>
      <c r="V21258" s="5"/>
    </row>
    <row r="21259">
      <c r="N21259" s="1"/>
      <c r="V21259" s="5"/>
    </row>
    <row r="21260">
      <c r="N21260" s="1"/>
      <c r="V21260" s="5"/>
    </row>
    <row r="21261">
      <c r="N21261" s="1"/>
      <c r="V21261" s="5"/>
    </row>
    <row r="21262">
      <c r="N21262" s="1"/>
      <c r="V21262" s="5"/>
    </row>
    <row r="21263">
      <c r="N21263" s="1"/>
      <c r="V21263" s="5"/>
    </row>
    <row r="21264">
      <c r="N21264" s="1"/>
      <c r="V21264" s="5"/>
    </row>
    <row r="21265">
      <c r="N21265" s="1"/>
      <c r="V21265" s="5"/>
    </row>
    <row r="21266">
      <c r="N21266" s="1"/>
      <c r="V21266" s="5"/>
    </row>
    <row r="21267">
      <c r="N21267" s="1"/>
      <c r="V21267" s="5"/>
    </row>
    <row r="21268">
      <c r="N21268" s="1"/>
      <c r="V21268" s="5"/>
    </row>
    <row r="21269">
      <c r="N21269" s="1"/>
      <c r="V21269" s="5"/>
    </row>
    <row r="21270">
      <c r="N21270" s="1"/>
      <c r="V21270" s="5"/>
    </row>
    <row r="21271">
      <c r="N21271" s="1"/>
      <c r="V21271" s="5"/>
    </row>
    <row r="21272">
      <c r="N21272" s="1"/>
      <c r="V21272" s="5"/>
    </row>
    <row r="21273">
      <c r="N21273" s="1"/>
      <c r="V21273" s="5"/>
    </row>
    <row r="21274">
      <c r="N21274" s="1"/>
      <c r="V21274" s="5"/>
    </row>
    <row r="21275">
      <c r="N21275" s="1"/>
      <c r="V21275" s="5"/>
    </row>
    <row r="21276">
      <c r="N21276" s="1"/>
      <c r="V21276" s="5"/>
    </row>
    <row r="21277">
      <c r="N21277" s="1"/>
      <c r="V21277" s="5"/>
    </row>
    <row r="21278">
      <c r="N21278" s="1"/>
      <c r="V21278" s="5"/>
    </row>
    <row r="21279">
      <c r="N21279" s="1"/>
      <c r="V21279" s="5"/>
    </row>
    <row r="21280">
      <c r="N21280" s="1"/>
      <c r="V21280" s="5"/>
    </row>
    <row r="21281">
      <c r="N21281" s="1"/>
      <c r="V21281" s="5"/>
    </row>
    <row r="21282">
      <c r="N21282" s="1"/>
      <c r="V21282" s="5"/>
    </row>
    <row r="21283">
      <c r="N21283" s="1"/>
      <c r="V21283" s="5"/>
    </row>
    <row r="21284">
      <c r="N21284" s="1"/>
      <c r="V21284" s="5"/>
    </row>
    <row r="21285">
      <c r="N21285" s="1"/>
      <c r="V21285" s="5"/>
    </row>
    <row r="21286">
      <c r="N21286" s="1"/>
      <c r="V21286" s="5"/>
    </row>
    <row r="21287">
      <c r="N21287" s="1"/>
      <c r="V21287" s="5"/>
    </row>
    <row r="21288">
      <c r="N21288" s="1"/>
      <c r="V21288" s="5"/>
    </row>
    <row r="21289">
      <c r="N21289" s="1"/>
      <c r="V21289" s="5"/>
    </row>
    <row r="21290">
      <c r="N21290" s="1"/>
      <c r="V21290" s="5"/>
    </row>
    <row r="21291">
      <c r="N21291" s="1"/>
      <c r="V21291" s="5"/>
    </row>
    <row r="21292">
      <c r="N21292" s="1"/>
      <c r="V21292" s="5"/>
    </row>
    <row r="21293">
      <c r="N21293" s="1"/>
      <c r="V21293" s="5"/>
    </row>
    <row r="21294">
      <c r="N21294" s="1"/>
      <c r="V21294" s="5"/>
    </row>
    <row r="21295">
      <c r="N21295" s="1"/>
      <c r="V21295" s="5"/>
    </row>
    <row r="21296">
      <c r="N21296" s="1"/>
      <c r="V21296" s="5"/>
    </row>
    <row r="21297">
      <c r="N21297" s="1"/>
      <c r="V21297" s="5"/>
    </row>
    <row r="21298">
      <c r="N21298" s="1"/>
      <c r="V21298" s="5"/>
    </row>
    <row r="21299">
      <c r="N21299" s="1"/>
      <c r="V21299" s="5"/>
    </row>
    <row r="21300">
      <c r="N21300" s="1"/>
      <c r="V21300" s="5"/>
    </row>
    <row r="21301">
      <c r="N21301" s="1"/>
      <c r="V21301" s="5"/>
    </row>
    <row r="21302">
      <c r="N21302" s="1"/>
      <c r="V21302" s="5"/>
    </row>
    <row r="21303">
      <c r="N21303" s="1"/>
      <c r="V21303" s="5"/>
    </row>
    <row r="21304">
      <c r="N21304" s="1"/>
      <c r="V21304" s="5"/>
    </row>
    <row r="21305">
      <c r="N21305" s="1"/>
      <c r="V21305" s="5"/>
    </row>
    <row r="21306">
      <c r="N21306" s="1"/>
      <c r="V21306" s="5"/>
    </row>
    <row r="21307">
      <c r="N21307" s="1"/>
      <c r="V21307" s="5"/>
    </row>
    <row r="21308">
      <c r="N21308" s="1"/>
      <c r="V21308" s="5"/>
    </row>
    <row r="21309">
      <c r="N21309" s="1"/>
      <c r="V21309" s="5"/>
    </row>
    <row r="21310">
      <c r="N21310" s="1"/>
      <c r="V21310" s="5"/>
    </row>
    <row r="21311">
      <c r="N21311" s="1"/>
      <c r="V21311" s="5"/>
    </row>
    <row r="21312">
      <c r="N21312" s="1"/>
      <c r="V21312" s="5"/>
    </row>
    <row r="21313">
      <c r="N21313" s="1"/>
      <c r="V21313" s="5"/>
    </row>
    <row r="21314">
      <c r="N21314" s="1"/>
      <c r="V21314" s="5"/>
    </row>
    <row r="21315">
      <c r="N21315" s="1"/>
      <c r="V21315" s="5"/>
    </row>
    <row r="21316">
      <c r="N21316" s="1"/>
      <c r="V21316" s="5"/>
    </row>
    <row r="21317">
      <c r="N21317" s="1"/>
      <c r="V21317" s="5"/>
    </row>
    <row r="21318">
      <c r="N21318" s="1"/>
      <c r="V21318" s="5"/>
    </row>
    <row r="21319">
      <c r="N21319" s="1"/>
      <c r="V21319" s="5"/>
    </row>
    <row r="21320">
      <c r="N21320" s="1"/>
      <c r="V21320" s="5"/>
    </row>
    <row r="21321">
      <c r="N21321" s="1"/>
      <c r="V21321" s="5"/>
    </row>
    <row r="21322">
      <c r="N21322" s="1"/>
      <c r="V21322" s="5"/>
    </row>
    <row r="21323">
      <c r="N21323" s="1"/>
      <c r="V21323" s="5"/>
    </row>
    <row r="21324">
      <c r="N21324" s="1"/>
      <c r="V21324" s="5"/>
    </row>
    <row r="21325">
      <c r="N21325" s="1"/>
      <c r="V21325" s="5"/>
    </row>
    <row r="21326">
      <c r="N21326" s="1"/>
      <c r="V21326" s="5"/>
    </row>
    <row r="21327">
      <c r="N21327" s="1"/>
      <c r="V21327" s="5"/>
    </row>
    <row r="21328">
      <c r="N21328" s="1"/>
      <c r="V21328" s="5"/>
    </row>
    <row r="21329">
      <c r="N21329" s="1"/>
      <c r="V21329" s="5"/>
    </row>
    <row r="21330">
      <c r="N21330" s="1"/>
      <c r="V21330" s="5"/>
    </row>
    <row r="21331">
      <c r="N21331" s="1"/>
      <c r="V21331" s="5"/>
    </row>
    <row r="21332">
      <c r="N21332" s="1"/>
      <c r="V21332" s="5"/>
    </row>
    <row r="21333">
      <c r="N21333" s="1"/>
      <c r="V21333" s="5"/>
    </row>
    <row r="21334">
      <c r="N21334" s="1"/>
      <c r="V21334" s="5"/>
    </row>
    <row r="21335">
      <c r="N21335" s="1"/>
      <c r="V21335" s="5"/>
    </row>
    <row r="21336">
      <c r="N21336" s="1"/>
      <c r="V21336" s="5"/>
    </row>
    <row r="21337">
      <c r="N21337" s="1"/>
      <c r="V21337" s="5"/>
    </row>
    <row r="21338">
      <c r="N21338" s="1"/>
      <c r="V21338" s="5"/>
    </row>
    <row r="21339">
      <c r="N21339" s="1"/>
      <c r="V21339" s="5"/>
    </row>
    <row r="21340">
      <c r="N21340" s="1"/>
      <c r="V21340" s="5"/>
    </row>
    <row r="21341">
      <c r="N21341" s="1"/>
      <c r="V21341" s="5"/>
    </row>
    <row r="21342">
      <c r="N21342" s="1"/>
      <c r="V21342" s="5"/>
    </row>
    <row r="21343">
      <c r="N21343" s="1"/>
      <c r="V21343" s="5"/>
    </row>
    <row r="21344">
      <c r="N21344" s="1"/>
      <c r="V21344" s="5"/>
    </row>
    <row r="21345">
      <c r="N21345" s="1"/>
      <c r="V21345" s="5"/>
    </row>
    <row r="21346">
      <c r="N21346" s="1"/>
      <c r="V21346" s="5"/>
    </row>
    <row r="21347">
      <c r="N21347" s="1"/>
      <c r="V21347" s="5"/>
    </row>
    <row r="21348">
      <c r="N21348" s="1"/>
      <c r="V21348" s="5"/>
    </row>
    <row r="21349">
      <c r="N21349" s="1"/>
      <c r="V21349" s="5"/>
    </row>
    <row r="21350">
      <c r="N21350" s="1"/>
      <c r="V21350" s="5"/>
    </row>
    <row r="21351">
      <c r="N21351" s="1"/>
      <c r="V21351" s="5"/>
    </row>
    <row r="21352">
      <c r="N21352" s="1"/>
      <c r="V21352" s="5"/>
    </row>
    <row r="21353">
      <c r="N21353" s="1"/>
      <c r="V21353" s="5"/>
    </row>
    <row r="21354">
      <c r="N21354" s="1"/>
      <c r="V21354" s="5"/>
    </row>
    <row r="21355">
      <c r="N21355" s="1"/>
      <c r="V21355" s="5"/>
    </row>
    <row r="21356">
      <c r="N21356" s="1"/>
      <c r="V21356" s="5"/>
    </row>
    <row r="21357">
      <c r="N21357" s="1"/>
      <c r="V21357" s="5"/>
    </row>
    <row r="21358">
      <c r="N21358" s="1"/>
      <c r="V21358" s="5"/>
    </row>
    <row r="21359">
      <c r="N21359" s="1"/>
      <c r="V21359" s="5"/>
    </row>
    <row r="21360">
      <c r="N21360" s="1"/>
      <c r="V21360" s="5"/>
    </row>
    <row r="21361">
      <c r="N21361" s="1"/>
      <c r="V21361" s="5"/>
    </row>
    <row r="21362">
      <c r="N21362" s="1"/>
      <c r="V21362" s="5"/>
    </row>
    <row r="21363">
      <c r="N21363" s="1"/>
      <c r="V21363" s="5"/>
    </row>
    <row r="21364">
      <c r="N21364" s="1"/>
      <c r="V21364" s="5"/>
    </row>
    <row r="21365">
      <c r="N21365" s="1"/>
      <c r="V21365" s="5"/>
    </row>
    <row r="21366">
      <c r="N21366" s="1"/>
      <c r="V21366" s="5"/>
    </row>
    <row r="21367">
      <c r="N21367" s="1"/>
      <c r="V21367" s="5"/>
    </row>
    <row r="21368">
      <c r="N21368" s="1"/>
      <c r="V21368" s="5"/>
    </row>
    <row r="21369">
      <c r="N21369" s="1"/>
      <c r="V21369" s="5"/>
    </row>
    <row r="21370">
      <c r="N21370" s="1"/>
      <c r="V21370" s="5"/>
    </row>
    <row r="21371">
      <c r="N21371" s="1"/>
      <c r="V21371" s="5"/>
    </row>
    <row r="21372">
      <c r="N21372" s="1"/>
      <c r="V21372" s="5"/>
    </row>
    <row r="21373">
      <c r="N21373" s="1"/>
      <c r="V21373" s="5"/>
    </row>
    <row r="21374">
      <c r="N21374" s="1"/>
      <c r="V21374" s="5"/>
    </row>
    <row r="21375">
      <c r="N21375" s="1"/>
      <c r="V21375" s="5"/>
    </row>
    <row r="21376">
      <c r="N21376" s="1"/>
      <c r="V21376" s="5"/>
    </row>
    <row r="21377">
      <c r="N21377" s="1"/>
      <c r="V21377" s="5"/>
    </row>
    <row r="21378">
      <c r="N21378" s="1"/>
      <c r="V21378" s="5"/>
    </row>
    <row r="21379">
      <c r="N21379" s="1"/>
      <c r="V21379" s="5"/>
    </row>
    <row r="21380">
      <c r="N21380" s="1"/>
      <c r="V21380" s="5"/>
    </row>
    <row r="21381">
      <c r="N21381" s="1"/>
      <c r="V21381" s="5"/>
    </row>
    <row r="21382">
      <c r="N21382" s="1"/>
      <c r="V21382" s="5"/>
    </row>
    <row r="21383">
      <c r="N21383" s="1"/>
      <c r="V21383" s="5"/>
    </row>
    <row r="21384">
      <c r="N21384" s="1"/>
      <c r="V21384" s="5"/>
    </row>
    <row r="21385">
      <c r="N21385" s="1"/>
      <c r="V21385" s="5"/>
    </row>
    <row r="21386">
      <c r="N21386" s="1"/>
      <c r="V21386" s="5"/>
    </row>
    <row r="21387">
      <c r="N21387" s="1"/>
      <c r="V21387" s="5"/>
    </row>
    <row r="21388">
      <c r="N21388" s="1"/>
      <c r="V21388" s="5"/>
    </row>
    <row r="21389">
      <c r="N21389" s="1"/>
      <c r="V21389" s="5"/>
    </row>
    <row r="21390">
      <c r="N21390" s="1"/>
      <c r="V21390" s="5"/>
    </row>
    <row r="21391">
      <c r="N21391" s="1"/>
      <c r="V21391" s="5"/>
    </row>
    <row r="21392">
      <c r="N21392" s="1"/>
      <c r="V21392" s="5"/>
    </row>
    <row r="21393">
      <c r="N21393" s="1"/>
      <c r="V21393" s="5"/>
    </row>
    <row r="21394">
      <c r="N21394" s="1"/>
      <c r="V21394" s="5"/>
    </row>
    <row r="21395">
      <c r="N21395" s="1"/>
      <c r="V21395" s="5"/>
    </row>
    <row r="21396">
      <c r="N21396" s="1"/>
      <c r="V21396" s="5"/>
    </row>
    <row r="21397">
      <c r="N21397" s="1"/>
      <c r="V21397" s="5"/>
    </row>
    <row r="21398">
      <c r="N21398" s="1"/>
      <c r="V21398" s="5"/>
    </row>
    <row r="21399">
      <c r="N21399" s="1"/>
      <c r="V21399" s="5"/>
    </row>
    <row r="21400">
      <c r="N21400" s="1"/>
      <c r="V21400" s="5"/>
    </row>
    <row r="21401">
      <c r="N21401" s="1"/>
      <c r="V21401" s="5"/>
    </row>
    <row r="21402">
      <c r="N21402" s="1"/>
      <c r="V21402" s="5"/>
    </row>
    <row r="21403">
      <c r="N21403" s="1"/>
      <c r="V21403" s="5"/>
    </row>
    <row r="21404">
      <c r="N21404" s="1"/>
      <c r="V21404" s="5"/>
    </row>
    <row r="21405">
      <c r="N21405" s="1"/>
      <c r="V21405" s="5"/>
    </row>
    <row r="21406">
      <c r="N21406" s="1"/>
      <c r="V21406" s="5"/>
    </row>
    <row r="21407">
      <c r="N21407" s="1"/>
      <c r="V21407" s="5"/>
    </row>
    <row r="21408">
      <c r="N21408" s="1"/>
      <c r="V21408" s="5"/>
    </row>
    <row r="21409">
      <c r="N21409" s="1"/>
      <c r="V21409" s="5"/>
    </row>
    <row r="21410">
      <c r="N21410" s="1"/>
      <c r="V21410" s="5"/>
    </row>
    <row r="21411">
      <c r="N21411" s="1"/>
      <c r="V21411" s="5"/>
    </row>
    <row r="21412">
      <c r="N21412" s="1"/>
      <c r="V21412" s="5"/>
    </row>
    <row r="21413">
      <c r="N21413" s="1"/>
      <c r="V21413" s="5"/>
    </row>
    <row r="21414">
      <c r="N21414" s="1"/>
      <c r="V21414" s="5"/>
    </row>
    <row r="21415">
      <c r="N21415" s="1"/>
      <c r="V21415" s="5"/>
    </row>
    <row r="21416">
      <c r="N21416" s="1"/>
      <c r="V21416" s="5"/>
    </row>
    <row r="21417">
      <c r="N21417" s="1"/>
      <c r="V21417" s="5"/>
    </row>
    <row r="21418">
      <c r="N21418" s="1"/>
      <c r="V21418" s="5"/>
    </row>
    <row r="21419">
      <c r="N21419" s="1"/>
      <c r="V21419" s="5"/>
    </row>
    <row r="21420">
      <c r="N21420" s="1"/>
      <c r="V21420" s="5"/>
    </row>
    <row r="21421">
      <c r="N21421" s="1"/>
      <c r="V21421" s="5"/>
    </row>
    <row r="21422">
      <c r="N21422" s="1"/>
      <c r="V21422" s="5"/>
    </row>
    <row r="21423">
      <c r="N21423" s="1"/>
      <c r="V21423" s="5"/>
    </row>
    <row r="21424">
      <c r="N21424" s="1"/>
      <c r="V21424" s="5"/>
    </row>
    <row r="21425">
      <c r="N21425" s="1"/>
      <c r="V21425" s="5"/>
    </row>
    <row r="21426">
      <c r="N21426" s="1"/>
      <c r="V21426" s="5"/>
    </row>
    <row r="21427">
      <c r="N21427" s="1"/>
      <c r="V21427" s="5"/>
    </row>
    <row r="21428">
      <c r="N21428" s="1"/>
      <c r="V21428" s="5"/>
    </row>
    <row r="21429">
      <c r="N21429" s="1"/>
      <c r="V21429" s="5"/>
    </row>
    <row r="21430">
      <c r="N21430" s="1"/>
      <c r="V21430" s="5"/>
    </row>
    <row r="21431">
      <c r="N21431" s="1"/>
      <c r="V21431" s="5"/>
    </row>
    <row r="21432">
      <c r="N21432" s="1"/>
      <c r="V21432" s="5"/>
    </row>
    <row r="21433">
      <c r="N21433" s="1"/>
      <c r="V21433" s="5"/>
    </row>
    <row r="21434">
      <c r="N21434" s="1"/>
      <c r="V21434" s="5"/>
    </row>
    <row r="21435">
      <c r="N21435" s="1"/>
      <c r="V21435" s="5"/>
    </row>
    <row r="21436">
      <c r="N21436" s="1"/>
      <c r="V21436" s="5"/>
    </row>
    <row r="21437">
      <c r="N21437" s="1"/>
      <c r="V21437" s="5"/>
    </row>
    <row r="21438">
      <c r="N21438" s="1"/>
      <c r="V21438" s="5"/>
    </row>
    <row r="21439">
      <c r="N21439" s="1"/>
      <c r="V21439" s="5"/>
    </row>
    <row r="21440">
      <c r="N21440" s="1"/>
      <c r="V21440" s="5"/>
    </row>
    <row r="21441">
      <c r="N21441" s="1"/>
      <c r="V21441" s="5"/>
    </row>
    <row r="21442">
      <c r="N21442" s="1"/>
      <c r="V21442" s="5"/>
    </row>
    <row r="21443">
      <c r="N21443" s="1"/>
      <c r="V21443" s="5"/>
    </row>
    <row r="21444">
      <c r="N21444" s="1"/>
      <c r="V21444" s="5"/>
    </row>
    <row r="21445">
      <c r="N21445" s="1"/>
      <c r="V21445" s="5"/>
    </row>
    <row r="21446">
      <c r="N21446" s="1"/>
      <c r="V21446" s="5"/>
    </row>
    <row r="21447">
      <c r="N21447" s="1"/>
      <c r="V21447" s="5"/>
    </row>
    <row r="21448">
      <c r="N21448" s="1"/>
      <c r="V21448" s="5"/>
    </row>
    <row r="21449">
      <c r="N21449" s="1"/>
      <c r="V21449" s="5"/>
    </row>
    <row r="21450">
      <c r="N21450" s="1"/>
      <c r="V21450" s="5"/>
    </row>
    <row r="21451">
      <c r="N21451" s="1"/>
      <c r="V21451" s="5"/>
    </row>
    <row r="21452">
      <c r="N21452" s="1"/>
      <c r="V21452" s="5"/>
    </row>
    <row r="21453">
      <c r="N21453" s="1"/>
      <c r="V21453" s="5"/>
    </row>
    <row r="21454">
      <c r="N21454" s="1"/>
      <c r="V21454" s="5"/>
    </row>
    <row r="21455">
      <c r="N21455" s="1"/>
      <c r="V21455" s="5"/>
    </row>
    <row r="21456">
      <c r="N21456" s="1"/>
      <c r="V21456" s="5"/>
    </row>
    <row r="21457">
      <c r="N21457" s="1"/>
      <c r="V21457" s="5"/>
    </row>
    <row r="21458">
      <c r="N21458" s="1"/>
      <c r="V21458" s="5"/>
    </row>
    <row r="21459">
      <c r="N21459" s="1"/>
      <c r="V21459" s="5"/>
    </row>
    <row r="21460">
      <c r="N21460" s="1"/>
      <c r="V21460" s="5"/>
    </row>
    <row r="21461">
      <c r="N21461" s="1"/>
      <c r="V21461" s="5"/>
    </row>
    <row r="21462">
      <c r="N21462" s="1"/>
      <c r="V21462" s="5"/>
    </row>
    <row r="21463">
      <c r="N21463" s="1"/>
      <c r="V21463" s="5"/>
    </row>
    <row r="21464">
      <c r="N21464" s="1"/>
      <c r="V21464" s="5"/>
    </row>
    <row r="21465">
      <c r="N21465" s="1"/>
      <c r="V21465" s="5"/>
    </row>
    <row r="21466">
      <c r="N21466" s="1"/>
      <c r="V21466" s="5"/>
    </row>
    <row r="21467">
      <c r="N21467" s="1"/>
      <c r="V21467" s="5"/>
    </row>
    <row r="21468">
      <c r="N21468" s="1"/>
      <c r="V21468" s="5"/>
    </row>
    <row r="21469">
      <c r="N21469" s="1"/>
      <c r="V21469" s="5"/>
    </row>
    <row r="21470">
      <c r="N21470" s="1"/>
      <c r="V21470" s="5"/>
    </row>
    <row r="21471">
      <c r="N21471" s="1"/>
      <c r="V21471" s="5"/>
    </row>
    <row r="21472">
      <c r="N21472" s="1"/>
      <c r="V21472" s="5"/>
    </row>
    <row r="21473">
      <c r="N21473" s="1"/>
      <c r="V21473" s="5"/>
    </row>
    <row r="21474">
      <c r="N21474" s="1"/>
      <c r="V21474" s="5"/>
    </row>
    <row r="21475">
      <c r="N21475" s="1"/>
      <c r="V21475" s="5"/>
    </row>
    <row r="21476">
      <c r="N21476" s="1"/>
      <c r="V21476" s="5"/>
    </row>
    <row r="21477">
      <c r="N21477" s="1"/>
      <c r="V21477" s="5"/>
    </row>
    <row r="21478">
      <c r="N21478" s="1"/>
      <c r="V21478" s="5"/>
    </row>
    <row r="21479">
      <c r="N21479" s="1"/>
      <c r="V21479" s="5"/>
    </row>
    <row r="21480">
      <c r="N21480" s="1"/>
      <c r="V21480" s="5"/>
    </row>
    <row r="21481">
      <c r="N21481" s="1"/>
      <c r="V21481" s="5"/>
    </row>
    <row r="21482">
      <c r="N21482" s="1"/>
      <c r="V21482" s="5"/>
    </row>
    <row r="21483">
      <c r="N21483" s="1"/>
      <c r="V21483" s="5"/>
    </row>
    <row r="21484">
      <c r="N21484" s="1"/>
      <c r="V21484" s="5"/>
    </row>
    <row r="21485">
      <c r="N21485" s="1"/>
      <c r="V21485" s="5"/>
    </row>
    <row r="21486">
      <c r="N21486" s="1"/>
      <c r="V21486" s="5"/>
    </row>
    <row r="21487">
      <c r="N21487" s="1"/>
      <c r="V21487" s="5"/>
    </row>
    <row r="21488">
      <c r="N21488" s="1"/>
      <c r="V21488" s="5"/>
    </row>
    <row r="21489">
      <c r="N21489" s="1"/>
      <c r="V21489" s="5"/>
    </row>
    <row r="21490">
      <c r="N21490" s="1"/>
      <c r="V21490" s="5"/>
    </row>
    <row r="21491">
      <c r="N21491" s="1"/>
      <c r="V21491" s="5"/>
    </row>
    <row r="21492">
      <c r="N21492" s="1"/>
      <c r="V21492" s="5"/>
    </row>
    <row r="21493">
      <c r="N21493" s="1"/>
      <c r="V21493" s="5"/>
    </row>
    <row r="21494">
      <c r="N21494" s="1"/>
      <c r="V21494" s="5"/>
    </row>
    <row r="21495">
      <c r="N21495" s="1"/>
      <c r="V21495" s="5"/>
    </row>
    <row r="21496">
      <c r="N21496" s="1"/>
      <c r="V21496" s="5"/>
    </row>
    <row r="21497">
      <c r="N21497" s="1"/>
      <c r="V21497" s="5"/>
    </row>
    <row r="21498">
      <c r="N21498" s="1"/>
      <c r="V21498" s="5"/>
    </row>
    <row r="21499">
      <c r="N21499" s="1"/>
      <c r="V21499" s="5"/>
    </row>
    <row r="21500">
      <c r="N21500" s="1"/>
      <c r="V21500" s="5"/>
    </row>
    <row r="21501">
      <c r="N21501" s="1"/>
      <c r="V21501" s="5"/>
    </row>
    <row r="21502">
      <c r="N21502" s="1"/>
      <c r="V21502" s="5"/>
    </row>
    <row r="21503">
      <c r="N21503" s="1"/>
      <c r="V21503" s="5"/>
    </row>
    <row r="21504">
      <c r="N21504" s="1"/>
      <c r="V21504" s="5"/>
    </row>
    <row r="21505">
      <c r="N21505" s="1"/>
      <c r="V21505" s="5"/>
    </row>
    <row r="21506">
      <c r="N21506" s="1"/>
      <c r="V21506" s="5"/>
    </row>
    <row r="21507">
      <c r="N21507" s="1"/>
      <c r="V21507" s="5"/>
    </row>
    <row r="21508">
      <c r="N21508" s="1"/>
      <c r="V21508" s="5"/>
    </row>
    <row r="21509">
      <c r="N21509" s="1"/>
      <c r="V21509" s="5"/>
    </row>
    <row r="21510">
      <c r="N21510" s="1"/>
      <c r="V21510" s="5"/>
    </row>
    <row r="21511">
      <c r="N21511" s="1"/>
      <c r="V21511" s="5"/>
    </row>
    <row r="21512">
      <c r="N21512" s="1"/>
      <c r="V21512" s="5"/>
    </row>
    <row r="21513">
      <c r="N21513" s="1"/>
      <c r="V21513" s="5"/>
    </row>
    <row r="21514">
      <c r="N21514" s="1"/>
      <c r="V21514" s="5"/>
    </row>
    <row r="21515">
      <c r="N21515" s="1"/>
      <c r="V21515" s="5"/>
    </row>
    <row r="21516">
      <c r="N21516" s="1"/>
      <c r="V21516" s="5"/>
    </row>
    <row r="21517">
      <c r="N21517" s="1"/>
      <c r="V21517" s="5"/>
    </row>
    <row r="21518">
      <c r="N21518" s="1"/>
      <c r="V21518" s="5"/>
    </row>
    <row r="21519">
      <c r="N21519" s="1"/>
      <c r="V21519" s="5"/>
    </row>
    <row r="21520">
      <c r="N21520" s="1"/>
      <c r="V21520" s="5"/>
    </row>
    <row r="21521">
      <c r="N21521" s="1"/>
      <c r="V21521" s="5"/>
    </row>
    <row r="21522">
      <c r="N21522" s="1"/>
      <c r="V21522" s="5"/>
    </row>
    <row r="21523">
      <c r="N21523" s="1"/>
      <c r="V21523" s="5"/>
    </row>
    <row r="21524">
      <c r="N21524" s="1"/>
      <c r="V21524" s="5"/>
    </row>
    <row r="21525">
      <c r="N21525" s="1"/>
      <c r="V21525" s="5"/>
    </row>
    <row r="21526">
      <c r="N21526" s="1"/>
      <c r="V21526" s="5"/>
    </row>
    <row r="21527">
      <c r="N21527" s="1"/>
      <c r="V21527" s="5"/>
    </row>
    <row r="21528">
      <c r="N21528" s="1"/>
      <c r="V21528" s="5"/>
    </row>
    <row r="21529">
      <c r="N21529" s="1"/>
      <c r="V21529" s="5"/>
    </row>
    <row r="21530">
      <c r="N21530" s="1"/>
      <c r="V21530" s="5"/>
    </row>
    <row r="21531">
      <c r="N21531" s="1"/>
      <c r="V21531" s="5"/>
    </row>
    <row r="21532">
      <c r="N21532" s="1"/>
      <c r="V21532" s="5"/>
    </row>
    <row r="21533">
      <c r="N21533" s="1"/>
      <c r="V21533" s="5"/>
    </row>
    <row r="21534">
      <c r="N21534" s="1"/>
      <c r="V21534" s="5"/>
    </row>
    <row r="21535">
      <c r="N21535" s="1"/>
      <c r="V21535" s="5"/>
    </row>
    <row r="21536">
      <c r="N21536" s="1"/>
      <c r="V21536" s="5"/>
    </row>
    <row r="21537">
      <c r="N21537" s="1"/>
      <c r="V21537" s="5"/>
    </row>
    <row r="21538">
      <c r="N21538" s="1"/>
      <c r="V21538" s="5"/>
    </row>
    <row r="21539">
      <c r="N21539" s="1"/>
      <c r="V21539" s="5"/>
    </row>
    <row r="21540">
      <c r="N21540" s="1"/>
      <c r="V21540" s="5"/>
    </row>
    <row r="21541">
      <c r="N21541" s="1"/>
      <c r="V21541" s="5"/>
    </row>
    <row r="21542">
      <c r="N21542" s="1"/>
      <c r="V21542" s="5"/>
    </row>
    <row r="21543">
      <c r="N21543" s="1"/>
      <c r="V21543" s="5"/>
    </row>
    <row r="21544">
      <c r="N21544" s="1"/>
      <c r="V21544" s="5"/>
    </row>
    <row r="21545">
      <c r="N21545" s="1"/>
      <c r="V21545" s="5"/>
    </row>
    <row r="21546">
      <c r="N21546" s="1"/>
      <c r="V21546" s="5"/>
    </row>
    <row r="21547">
      <c r="N21547" s="1"/>
      <c r="V21547" s="5"/>
    </row>
    <row r="21548">
      <c r="N21548" s="1"/>
      <c r="V21548" s="5"/>
    </row>
    <row r="21549">
      <c r="N21549" s="1"/>
      <c r="V21549" s="5"/>
    </row>
    <row r="21550">
      <c r="N21550" s="1"/>
      <c r="V21550" s="5"/>
    </row>
    <row r="21551">
      <c r="N21551" s="1"/>
      <c r="V21551" s="5"/>
    </row>
    <row r="21552">
      <c r="N21552" s="1"/>
      <c r="V21552" s="5"/>
    </row>
    <row r="21553">
      <c r="N21553" s="1"/>
      <c r="V21553" s="5"/>
    </row>
    <row r="21554">
      <c r="N21554" s="1"/>
      <c r="V21554" s="5"/>
    </row>
    <row r="21555">
      <c r="N21555" s="1"/>
      <c r="V21555" s="5"/>
    </row>
    <row r="21556">
      <c r="N21556" s="1"/>
      <c r="V21556" s="5"/>
    </row>
    <row r="21557">
      <c r="N21557" s="1"/>
      <c r="V21557" s="5"/>
    </row>
    <row r="21558">
      <c r="N21558" s="1"/>
      <c r="V21558" s="5"/>
    </row>
    <row r="21559">
      <c r="N21559" s="1"/>
      <c r="V21559" s="5"/>
    </row>
    <row r="21560">
      <c r="N21560" s="1"/>
      <c r="V21560" s="5"/>
    </row>
    <row r="21561">
      <c r="N21561" s="1"/>
      <c r="V21561" s="5"/>
    </row>
    <row r="21562">
      <c r="N21562" s="1"/>
      <c r="V21562" s="5"/>
    </row>
    <row r="21563">
      <c r="N21563" s="1"/>
      <c r="V21563" s="5"/>
    </row>
    <row r="21564">
      <c r="N21564" s="1"/>
      <c r="V21564" s="5"/>
    </row>
    <row r="21565">
      <c r="N21565" s="1"/>
      <c r="V21565" s="5"/>
    </row>
    <row r="21566">
      <c r="N21566" s="1"/>
      <c r="V21566" s="5"/>
    </row>
    <row r="21567">
      <c r="N21567" s="1"/>
      <c r="V21567" s="5"/>
    </row>
    <row r="21568">
      <c r="N21568" s="1"/>
      <c r="V21568" s="5"/>
    </row>
    <row r="21569">
      <c r="N21569" s="1"/>
      <c r="V21569" s="5"/>
    </row>
    <row r="21570">
      <c r="N21570" s="1"/>
      <c r="V21570" s="5"/>
    </row>
    <row r="21571">
      <c r="N21571" s="1"/>
      <c r="V21571" s="5"/>
    </row>
    <row r="21572">
      <c r="N21572" s="1"/>
      <c r="V21572" s="5"/>
    </row>
    <row r="21573">
      <c r="N21573" s="1"/>
      <c r="V21573" s="5"/>
    </row>
    <row r="21574">
      <c r="N21574" s="1"/>
      <c r="V21574" s="5"/>
    </row>
    <row r="21575">
      <c r="N21575" s="1"/>
      <c r="V21575" s="5"/>
    </row>
    <row r="21576">
      <c r="N21576" s="1"/>
      <c r="V21576" s="5"/>
    </row>
    <row r="21577">
      <c r="N21577" s="1"/>
      <c r="V21577" s="5"/>
    </row>
    <row r="21578">
      <c r="N21578" s="1"/>
      <c r="V21578" s="5"/>
    </row>
    <row r="21579">
      <c r="N21579" s="1"/>
      <c r="V21579" s="5"/>
    </row>
    <row r="21580">
      <c r="N21580" s="1"/>
      <c r="V21580" s="5"/>
    </row>
    <row r="21581">
      <c r="N21581" s="1"/>
      <c r="V21581" s="5"/>
    </row>
    <row r="21582">
      <c r="N21582" s="1"/>
      <c r="V21582" s="5"/>
    </row>
    <row r="21583">
      <c r="N21583" s="1"/>
      <c r="V21583" s="5"/>
    </row>
    <row r="21584">
      <c r="N21584" s="1"/>
      <c r="V21584" s="5"/>
    </row>
    <row r="21585">
      <c r="N21585" s="1"/>
      <c r="V21585" s="5"/>
    </row>
    <row r="21586">
      <c r="N21586" s="1"/>
      <c r="V21586" s="5"/>
    </row>
    <row r="21587">
      <c r="N21587" s="1"/>
      <c r="V21587" s="5"/>
    </row>
    <row r="21588">
      <c r="N21588" s="1"/>
      <c r="V21588" s="5"/>
    </row>
    <row r="21589">
      <c r="N21589" s="1"/>
      <c r="V21589" s="5"/>
    </row>
    <row r="21590">
      <c r="N21590" s="1"/>
      <c r="V21590" s="5"/>
    </row>
    <row r="21591">
      <c r="N21591" s="1"/>
      <c r="V21591" s="5"/>
    </row>
    <row r="21592">
      <c r="N21592" s="1"/>
      <c r="V21592" s="5"/>
    </row>
    <row r="21593">
      <c r="N21593" s="1"/>
      <c r="V21593" s="5"/>
    </row>
    <row r="21594">
      <c r="N21594" s="1"/>
      <c r="V21594" s="5"/>
    </row>
    <row r="21595">
      <c r="N21595" s="1"/>
      <c r="V21595" s="5"/>
    </row>
    <row r="21596">
      <c r="N21596" s="1"/>
      <c r="V21596" s="5"/>
    </row>
    <row r="21597">
      <c r="N21597" s="1"/>
      <c r="V21597" s="5"/>
    </row>
    <row r="21598">
      <c r="N21598" s="1"/>
      <c r="V21598" s="5"/>
    </row>
    <row r="21599">
      <c r="N21599" s="1"/>
      <c r="V21599" s="5"/>
    </row>
    <row r="21600">
      <c r="N21600" s="1"/>
      <c r="V21600" s="5"/>
    </row>
    <row r="21601">
      <c r="N21601" s="1"/>
      <c r="V21601" s="5"/>
    </row>
    <row r="21602">
      <c r="N21602" s="1"/>
      <c r="V21602" s="5"/>
    </row>
    <row r="21603">
      <c r="N21603" s="1"/>
      <c r="V21603" s="5"/>
    </row>
    <row r="21604">
      <c r="N21604" s="1"/>
      <c r="V21604" s="5"/>
    </row>
    <row r="21605">
      <c r="N21605" s="1"/>
      <c r="V21605" s="5"/>
    </row>
    <row r="21606">
      <c r="N21606" s="1"/>
      <c r="V21606" s="5"/>
    </row>
    <row r="21607">
      <c r="N21607" s="1"/>
      <c r="V21607" s="5"/>
    </row>
    <row r="21608">
      <c r="N21608" s="1"/>
      <c r="V21608" s="5"/>
    </row>
    <row r="21609">
      <c r="N21609" s="1"/>
      <c r="V21609" s="5"/>
    </row>
    <row r="21610">
      <c r="N21610" s="1"/>
      <c r="V21610" s="5"/>
    </row>
    <row r="21611">
      <c r="N21611" s="1"/>
      <c r="V21611" s="5"/>
    </row>
    <row r="21612">
      <c r="N21612" s="1"/>
      <c r="V21612" s="5"/>
    </row>
    <row r="21613">
      <c r="N21613" s="1"/>
      <c r="V21613" s="5"/>
    </row>
    <row r="21614">
      <c r="N21614" s="1"/>
      <c r="V21614" s="5"/>
    </row>
    <row r="21615">
      <c r="N21615" s="1"/>
      <c r="V21615" s="5"/>
    </row>
    <row r="21616">
      <c r="N21616" s="1"/>
      <c r="V21616" s="5"/>
    </row>
    <row r="21617">
      <c r="N21617" s="1"/>
      <c r="V21617" s="5"/>
    </row>
    <row r="21618">
      <c r="N21618" s="1"/>
      <c r="V21618" s="5"/>
    </row>
    <row r="21619">
      <c r="N21619" s="1"/>
      <c r="V21619" s="5"/>
    </row>
    <row r="21620">
      <c r="N21620" s="1"/>
      <c r="V21620" s="5"/>
    </row>
    <row r="21621">
      <c r="N21621" s="1"/>
      <c r="V21621" s="5"/>
    </row>
    <row r="21622">
      <c r="N21622" s="1"/>
      <c r="V21622" s="5"/>
    </row>
    <row r="21623">
      <c r="N21623" s="1"/>
      <c r="V21623" s="5"/>
    </row>
    <row r="21624">
      <c r="N21624" s="1"/>
      <c r="V21624" s="5"/>
    </row>
    <row r="21625">
      <c r="N21625" s="1"/>
      <c r="V21625" s="5"/>
    </row>
    <row r="21626">
      <c r="N21626" s="1"/>
      <c r="V21626" s="5"/>
    </row>
    <row r="21627">
      <c r="N21627" s="1"/>
      <c r="V21627" s="5"/>
    </row>
    <row r="21628">
      <c r="N21628" s="1"/>
      <c r="V21628" s="5"/>
    </row>
    <row r="21629">
      <c r="N21629" s="1"/>
      <c r="V21629" s="5"/>
    </row>
    <row r="21630">
      <c r="N21630" s="1"/>
      <c r="V21630" s="5"/>
    </row>
    <row r="21631">
      <c r="N21631" s="1"/>
      <c r="V21631" s="5"/>
    </row>
    <row r="21632">
      <c r="N21632" s="1"/>
      <c r="V21632" s="5"/>
    </row>
    <row r="21633">
      <c r="N21633" s="1"/>
      <c r="V21633" s="5"/>
    </row>
    <row r="21634">
      <c r="N21634" s="1"/>
      <c r="V21634" s="5"/>
    </row>
    <row r="21635">
      <c r="N21635" s="1"/>
      <c r="V21635" s="5"/>
    </row>
    <row r="21636">
      <c r="N21636" s="1"/>
      <c r="V21636" s="5"/>
    </row>
    <row r="21637">
      <c r="N21637" s="1"/>
      <c r="V21637" s="5"/>
    </row>
    <row r="21638">
      <c r="N21638" s="1"/>
      <c r="V21638" s="5"/>
    </row>
    <row r="21639">
      <c r="N21639" s="1"/>
      <c r="V21639" s="5"/>
    </row>
    <row r="21640">
      <c r="N21640" s="1"/>
      <c r="V21640" s="5"/>
    </row>
    <row r="21641">
      <c r="N21641" s="1"/>
      <c r="V21641" s="5"/>
    </row>
    <row r="21642">
      <c r="N21642" s="1"/>
      <c r="V21642" s="5"/>
    </row>
    <row r="21643">
      <c r="N21643" s="1"/>
      <c r="V21643" s="5"/>
    </row>
    <row r="21644">
      <c r="N21644" s="1"/>
      <c r="V21644" s="5"/>
    </row>
    <row r="21645">
      <c r="N21645" s="1"/>
      <c r="V21645" s="5"/>
    </row>
    <row r="21646">
      <c r="N21646" s="1"/>
      <c r="V21646" s="5"/>
    </row>
    <row r="21647">
      <c r="N21647" s="1"/>
      <c r="V21647" s="5"/>
    </row>
    <row r="21648">
      <c r="N21648" s="1"/>
      <c r="V21648" s="5"/>
    </row>
    <row r="21649">
      <c r="N21649" s="1"/>
      <c r="V21649" s="5"/>
    </row>
    <row r="21650">
      <c r="N21650" s="1"/>
      <c r="V21650" s="5"/>
    </row>
    <row r="21651">
      <c r="N21651" s="1"/>
      <c r="V21651" s="5"/>
    </row>
    <row r="21652">
      <c r="N21652" s="1"/>
      <c r="V21652" s="5"/>
    </row>
    <row r="21653">
      <c r="N21653" s="1"/>
      <c r="V21653" s="5"/>
    </row>
    <row r="21654">
      <c r="N21654" s="1"/>
      <c r="V21654" s="5"/>
    </row>
    <row r="21655">
      <c r="N21655" s="1"/>
      <c r="V21655" s="5"/>
    </row>
    <row r="21656">
      <c r="N21656" s="1"/>
      <c r="V21656" s="5"/>
    </row>
    <row r="21657">
      <c r="N21657" s="1"/>
      <c r="V21657" s="5"/>
    </row>
    <row r="21658">
      <c r="N21658" s="1"/>
      <c r="V21658" s="5"/>
    </row>
    <row r="21659">
      <c r="N21659" s="1"/>
      <c r="V21659" s="5"/>
    </row>
    <row r="21660">
      <c r="N21660" s="1"/>
      <c r="V21660" s="5"/>
    </row>
    <row r="21661">
      <c r="N21661" s="1"/>
      <c r="V21661" s="5"/>
    </row>
    <row r="21662">
      <c r="N21662" s="1"/>
      <c r="V21662" s="5"/>
    </row>
    <row r="21663">
      <c r="N21663" s="1"/>
      <c r="V21663" s="5"/>
    </row>
    <row r="21664">
      <c r="N21664" s="1"/>
      <c r="V21664" s="5"/>
    </row>
    <row r="21665">
      <c r="N21665" s="1"/>
      <c r="V21665" s="5"/>
    </row>
    <row r="21666">
      <c r="N21666" s="1"/>
      <c r="V21666" s="5"/>
    </row>
    <row r="21667">
      <c r="N21667" s="1"/>
      <c r="V21667" s="5"/>
    </row>
    <row r="21668">
      <c r="N21668" s="1"/>
      <c r="V21668" s="5"/>
    </row>
    <row r="21669">
      <c r="N21669" s="1"/>
      <c r="V21669" s="5"/>
    </row>
    <row r="21670">
      <c r="N21670" s="1"/>
      <c r="V21670" s="5"/>
    </row>
    <row r="21671">
      <c r="N21671" s="1"/>
      <c r="V21671" s="5"/>
    </row>
    <row r="21672">
      <c r="N21672" s="1"/>
      <c r="V21672" s="5"/>
    </row>
    <row r="21673">
      <c r="N21673" s="1"/>
      <c r="V21673" s="5"/>
    </row>
    <row r="21674">
      <c r="N21674" s="1"/>
      <c r="V21674" s="5"/>
    </row>
    <row r="21675">
      <c r="N21675" s="1"/>
      <c r="V21675" s="5"/>
    </row>
    <row r="21676">
      <c r="N21676" s="1"/>
      <c r="V21676" s="5"/>
    </row>
    <row r="21677">
      <c r="N21677" s="1"/>
      <c r="V21677" s="5"/>
    </row>
    <row r="21678">
      <c r="N21678" s="1"/>
      <c r="V21678" s="5"/>
    </row>
    <row r="21679">
      <c r="N21679" s="1"/>
      <c r="V21679" s="5"/>
    </row>
    <row r="21680">
      <c r="N21680" s="1"/>
      <c r="V21680" s="5"/>
    </row>
    <row r="21681">
      <c r="N21681" s="1"/>
      <c r="V21681" s="5"/>
    </row>
    <row r="21682">
      <c r="N21682" s="1"/>
      <c r="V21682" s="5"/>
    </row>
    <row r="21683">
      <c r="N21683" s="1"/>
      <c r="V21683" s="5"/>
    </row>
    <row r="21684">
      <c r="N21684" s="1"/>
      <c r="V21684" s="5"/>
    </row>
    <row r="21685">
      <c r="N21685" s="1"/>
      <c r="V21685" s="5"/>
    </row>
    <row r="21686">
      <c r="N21686" s="1"/>
      <c r="V21686" s="5"/>
    </row>
    <row r="21687">
      <c r="N21687" s="1"/>
      <c r="V21687" s="5"/>
    </row>
    <row r="21688">
      <c r="N21688" s="1"/>
      <c r="V21688" s="5"/>
    </row>
    <row r="21689">
      <c r="N21689" s="1"/>
      <c r="V21689" s="5"/>
    </row>
    <row r="21690">
      <c r="N21690" s="1"/>
      <c r="V21690" s="5"/>
    </row>
    <row r="21691">
      <c r="N21691" s="1"/>
      <c r="V21691" s="5"/>
    </row>
    <row r="21692">
      <c r="N21692" s="1"/>
      <c r="V21692" s="5"/>
    </row>
    <row r="21693">
      <c r="N21693" s="1"/>
      <c r="V21693" s="5"/>
    </row>
    <row r="21694">
      <c r="N21694" s="1"/>
      <c r="V21694" s="5"/>
    </row>
    <row r="21695">
      <c r="N21695" s="1"/>
      <c r="V21695" s="5"/>
    </row>
    <row r="21696">
      <c r="N21696" s="1"/>
      <c r="V21696" s="5"/>
    </row>
    <row r="21697">
      <c r="N21697" s="1"/>
      <c r="V21697" s="5"/>
    </row>
    <row r="21698">
      <c r="N21698" s="1"/>
      <c r="V21698" s="5"/>
    </row>
    <row r="21699">
      <c r="N21699" s="1"/>
      <c r="V21699" s="5"/>
    </row>
    <row r="21700">
      <c r="N21700" s="1"/>
      <c r="V21700" s="5"/>
    </row>
    <row r="21701">
      <c r="N21701" s="1"/>
      <c r="V21701" s="5"/>
    </row>
    <row r="21702">
      <c r="N21702" s="1"/>
      <c r="V21702" s="5"/>
    </row>
    <row r="21703">
      <c r="N21703" s="1"/>
      <c r="V21703" s="5"/>
    </row>
    <row r="21704">
      <c r="N21704" s="1"/>
      <c r="V21704" s="5"/>
    </row>
    <row r="21705">
      <c r="N21705" s="1"/>
      <c r="V21705" s="5"/>
    </row>
    <row r="21706">
      <c r="N21706" s="1"/>
      <c r="V21706" s="5"/>
    </row>
    <row r="21707">
      <c r="N21707" s="1"/>
      <c r="V21707" s="5"/>
    </row>
    <row r="21708">
      <c r="N21708" s="1"/>
      <c r="V21708" s="5"/>
    </row>
    <row r="21709">
      <c r="N21709" s="1"/>
      <c r="V21709" s="5"/>
    </row>
    <row r="21710">
      <c r="N21710" s="1"/>
      <c r="V21710" s="5"/>
    </row>
    <row r="21711">
      <c r="N21711" s="1"/>
      <c r="V21711" s="5"/>
    </row>
    <row r="21712">
      <c r="N21712" s="1"/>
      <c r="V21712" s="5"/>
    </row>
    <row r="21713">
      <c r="N21713" s="1"/>
      <c r="V21713" s="5"/>
    </row>
    <row r="21714">
      <c r="N21714" s="1"/>
      <c r="V21714" s="5"/>
    </row>
    <row r="21715">
      <c r="N21715" s="1"/>
      <c r="V21715" s="5"/>
    </row>
    <row r="21716">
      <c r="N21716" s="1"/>
      <c r="V21716" s="5"/>
    </row>
    <row r="21717">
      <c r="N21717" s="1"/>
      <c r="V21717" s="5"/>
    </row>
    <row r="21718">
      <c r="N21718" s="1"/>
      <c r="V21718" s="5"/>
    </row>
    <row r="21719">
      <c r="N21719" s="1"/>
      <c r="V21719" s="5"/>
    </row>
    <row r="21720">
      <c r="N21720" s="1"/>
      <c r="V21720" s="5"/>
    </row>
    <row r="21721">
      <c r="N21721" s="1"/>
      <c r="V21721" s="5"/>
    </row>
    <row r="21722">
      <c r="N21722" s="1"/>
      <c r="V21722" s="5"/>
    </row>
    <row r="21723">
      <c r="N21723" s="1"/>
      <c r="V21723" s="5"/>
    </row>
    <row r="21724">
      <c r="N21724" s="1"/>
      <c r="V21724" s="5"/>
    </row>
    <row r="21725">
      <c r="N21725" s="1"/>
      <c r="V21725" s="5"/>
    </row>
    <row r="21726">
      <c r="N21726" s="1"/>
      <c r="V21726" s="5"/>
    </row>
    <row r="21727">
      <c r="N21727" s="1"/>
      <c r="V21727" s="5"/>
    </row>
    <row r="21728">
      <c r="N21728" s="1"/>
      <c r="V21728" s="5"/>
    </row>
    <row r="21729">
      <c r="N21729" s="1"/>
      <c r="V21729" s="5"/>
    </row>
    <row r="21730">
      <c r="N21730" s="1"/>
      <c r="V21730" s="5"/>
    </row>
    <row r="21731">
      <c r="N21731" s="1"/>
      <c r="V21731" s="5"/>
    </row>
    <row r="21732">
      <c r="N21732" s="1"/>
      <c r="V21732" s="5"/>
    </row>
    <row r="21733">
      <c r="N21733" s="1"/>
      <c r="V21733" s="5"/>
    </row>
    <row r="21734">
      <c r="N21734" s="1"/>
      <c r="V21734" s="5"/>
    </row>
    <row r="21735">
      <c r="N21735" s="1"/>
      <c r="V21735" s="5"/>
    </row>
    <row r="21736">
      <c r="N21736" s="1"/>
      <c r="V21736" s="5"/>
    </row>
    <row r="21737">
      <c r="N21737" s="1"/>
      <c r="V21737" s="5"/>
    </row>
    <row r="21738">
      <c r="N21738" s="1"/>
      <c r="V21738" s="5"/>
    </row>
    <row r="21739">
      <c r="N21739" s="1"/>
      <c r="V21739" s="5"/>
    </row>
    <row r="21740">
      <c r="N21740" s="1"/>
      <c r="V21740" s="5"/>
    </row>
    <row r="21741">
      <c r="N21741" s="1"/>
      <c r="V21741" s="5"/>
    </row>
    <row r="21742">
      <c r="N21742" s="1"/>
      <c r="V21742" s="5"/>
    </row>
    <row r="21743">
      <c r="N21743" s="1"/>
      <c r="V21743" s="5"/>
    </row>
    <row r="21744">
      <c r="N21744" s="1"/>
      <c r="V21744" s="5"/>
    </row>
    <row r="21745">
      <c r="N21745" s="1"/>
      <c r="V21745" s="5"/>
    </row>
    <row r="21746">
      <c r="N21746" s="1"/>
      <c r="V21746" s="5"/>
    </row>
    <row r="21747">
      <c r="N21747" s="1"/>
      <c r="V21747" s="5"/>
    </row>
    <row r="21748">
      <c r="N21748" s="1"/>
      <c r="V21748" s="5"/>
    </row>
    <row r="21749">
      <c r="N21749" s="1"/>
      <c r="V21749" s="5"/>
    </row>
    <row r="21750">
      <c r="N21750" s="1"/>
      <c r="V21750" s="5"/>
    </row>
    <row r="21751">
      <c r="N21751" s="1"/>
      <c r="V21751" s="5"/>
    </row>
    <row r="21752">
      <c r="N21752" s="1"/>
      <c r="V21752" s="5"/>
    </row>
    <row r="21753">
      <c r="N21753" s="1"/>
      <c r="V21753" s="5"/>
    </row>
    <row r="21754">
      <c r="N21754" s="1"/>
      <c r="V21754" s="5"/>
    </row>
    <row r="21755">
      <c r="N21755" s="1"/>
      <c r="V21755" s="5"/>
    </row>
    <row r="21756">
      <c r="N21756" s="1"/>
      <c r="V21756" s="5"/>
    </row>
    <row r="21757">
      <c r="N21757" s="1"/>
      <c r="V21757" s="5"/>
    </row>
    <row r="21758">
      <c r="N21758" s="1"/>
      <c r="V21758" s="5"/>
    </row>
    <row r="21759">
      <c r="N21759" s="1"/>
      <c r="V21759" s="5"/>
    </row>
    <row r="21760">
      <c r="N21760" s="1"/>
      <c r="V21760" s="5"/>
    </row>
    <row r="21761">
      <c r="N21761" s="1"/>
      <c r="V21761" s="5"/>
    </row>
    <row r="21762">
      <c r="N21762" s="1"/>
      <c r="V21762" s="5"/>
    </row>
    <row r="21763">
      <c r="N21763" s="1"/>
      <c r="V21763" s="5"/>
    </row>
    <row r="21764">
      <c r="N21764" s="1"/>
      <c r="V21764" s="5"/>
    </row>
    <row r="21765">
      <c r="N21765" s="1"/>
      <c r="V21765" s="5"/>
    </row>
    <row r="21766">
      <c r="N21766" s="1"/>
      <c r="V21766" s="5"/>
    </row>
    <row r="21767">
      <c r="N21767" s="1"/>
      <c r="V21767" s="5"/>
    </row>
    <row r="21768">
      <c r="N21768" s="1"/>
      <c r="V21768" s="5"/>
    </row>
    <row r="21769">
      <c r="N21769" s="1"/>
      <c r="V21769" s="5"/>
    </row>
    <row r="21770">
      <c r="N21770" s="1"/>
      <c r="V21770" s="5"/>
    </row>
    <row r="21771">
      <c r="N21771" s="1"/>
      <c r="V21771" s="5"/>
    </row>
    <row r="21772">
      <c r="N21772" s="1"/>
      <c r="V21772" s="5"/>
    </row>
    <row r="21773">
      <c r="N21773" s="1"/>
      <c r="V21773" s="5"/>
    </row>
    <row r="21774">
      <c r="N21774" s="1"/>
      <c r="V21774" s="5"/>
    </row>
    <row r="21775">
      <c r="N21775" s="1"/>
      <c r="V21775" s="5"/>
    </row>
    <row r="21776">
      <c r="N21776" s="1"/>
      <c r="V21776" s="5"/>
    </row>
    <row r="21777">
      <c r="N21777" s="1"/>
      <c r="V21777" s="5"/>
    </row>
    <row r="21778">
      <c r="N21778" s="1"/>
      <c r="V21778" s="5"/>
    </row>
    <row r="21779">
      <c r="N21779" s="1"/>
      <c r="V21779" s="5"/>
    </row>
    <row r="21780">
      <c r="N21780" s="1"/>
      <c r="V21780" s="5"/>
    </row>
    <row r="21781">
      <c r="N21781" s="1"/>
      <c r="V21781" s="5"/>
    </row>
    <row r="21782">
      <c r="N21782" s="1"/>
      <c r="V21782" s="5"/>
    </row>
    <row r="21783">
      <c r="N21783" s="1"/>
      <c r="V21783" s="5"/>
    </row>
    <row r="21784">
      <c r="N21784" s="1"/>
      <c r="V21784" s="5"/>
    </row>
    <row r="21785">
      <c r="N21785" s="1"/>
      <c r="V21785" s="5"/>
    </row>
    <row r="21786">
      <c r="N21786" s="1"/>
      <c r="V21786" s="5"/>
    </row>
    <row r="21787">
      <c r="N21787" s="1"/>
      <c r="V21787" s="5"/>
    </row>
    <row r="21788">
      <c r="N21788" s="1"/>
      <c r="V21788" s="5"/>
    </row>
    <row r="21789">
      <c r="N21789" s="1"/>
      <c r="V21789" s="5"/>
    </row>
    <row r="21790">
      <c r="N21790" s="1"/>
      <c r="V21790" s="5"/>
    </row>
    <row r="21791">
      <c r="N21791" s="1"/>
      <c r="V21791" s="5"/>
    </row>
    <row r="21792">
      <c r="N21792" s="1"/>
      <c r="V21792" s="5"/>
    </row>
    <row r="21793">
      <c r="N21793" s="1"/>
      <c r="V21793" s="5"/>
    </row>
    <row r="21794">
      <c r="N21794" s="1"/>
      <c r="V21794" s="5"/>
    </row>
    <row r="21795">
      <c r="N21795" s="1"/>
      <c r="V21795" s="5"/>
    </row>
    <row r="21796">
      <c r="N21796" s="1"/>
      <c r="V21796" s="5"/>
    </row>
    <row r="21797">
      <c r="N21797" s="1"/>
      <c r="V21797" s="5"/>
    </row>
    <row r="21798">
      <c r="N21798" s="1"/>
      <c r="V21798" s="5"/>
    </row>
    <row r="21799">
      <c r="N21799" s="1"/>
      <c r="V21799" s="5"/>
    </row>
    <row r="21800">
      <c r="N21800" s="1"/>
      <c r="V21800" s="5"/>
    </row>
    <row r="21801">
      <c r="N21801" s="1"/>
      <c r="V21801" s="5"/>
    </row>
    <row r="21802">
      <c r="N21802" s="1"/>
      <c r="V21802" s="5"/>
    </row>
    <row r="21803">
      <c r="N21803" s="1"/>
      <c r="V21803" s="5"/>
    </row>
    <row r="21804">
      <c r="N21804" s="1"/>
      <c r="V21804" s="5"/>
    </row>
    <row r="21805">
      <c r="N21805" s="1"/>
      <c r="V21805" s="5"/>
    </row>
    <row r="21806">
      <c r="N21806" s="1"/>
      <c r="V21806" s="5"/>
    </row>
    <row r="21807">
      <c r="N21807" s="1"/>
      <c r="V21807" s="5"/>
    </row>
    <row r="21808">
      <c r="N21808" s="1"/>
      <c r="V21808" s="5"/>
    </row>
    <row r="21809">
      <c r="N21809" s="1"/>
      <c r="V21809" s="5"/>
    </row>
    <row r="21810">
      <c r="N21810" s="1"/>
      <c r="V21810" s="5"/>
    </row>
    <row r="21811">
      <c r="N21811" s="1"/>
      <c r="V21811" s="5"/>
    </row>
    <row r="21812">
      <c r="N21812" s="1"/>
      <c r="V21812" s="5"/>
    </row>
    <row r="21813">
      <c r="N21813" s="1"/>
      <c r="V21813" s="5"/>
    </row>
    <row r="21814">
      <c r="N21814" s="1"/>
      <c r="V21814" s="5"/>
    </row>
    <row r="21815">
      <c r="N21815" s="1"/>
      <c r="V21815" s="5"/>
    </row>
    <row r="21816">
      <c r="N21816" s="1"/>
      <c r="V21816" s="5"/>
    </row>
    <row r="21817">
      <c r="N21817" s="1"/>
      <c r="V21817" s="5"/>
    </row>
    <row r="21818">
      <c r="N21818" s="1"/>
      <c r="V21818" s="5"/>
    </row>
    <row r="21819">
      <c r="N21819" s="1"/>
      <c r="V21819" s="5"/>
    </row>
    <row r="21820">
      <c r="N21820" s="1"/>
      <c r="V21820" s="5"/>
    </row>
    <row r="21821">
      <c r="N21821" s="1"/>
      <c r="V21821" s="5"/>
    </row>
    <row r="21822">
      <c r="N21822" s="1"/>
      <c r="V21822" s="5"/>
    </row>
    <row r="21823">
      <c r="N21823" s="1"/>
      <c r="V21823" s="5"/>
    </row>
    <row r="21824">
      <c r="N21824" s="1"/>
      <c r="V21824" s="5"/>
    </row>
    <row r="21825">
      <c r="N21825" s="1"/>
      <c r="V21825" s="5"/>
    </row>
    <row r="21826">
      <c r="N21826" s="1"/>
      <c r="V21826" s="5"/>
    </row>
    <row r="21827">
      <c r="N21827" s="1"/>
      <c r="V21827" s="5"/>
    </row>
    <row r="21828">
      <c r="N21828" s="1"/>
      <c r="V21828" s="5"/>
    </row>
    <row r="21829">
      <c r="N21829" s="1"/>
      <c r="V21829" s="5"/>
    </row>
    <row r="21830">
      <c r="N21830" s="1"/>
      <c r="V21830" s="5"/>
    </row>
    <row r="21831">
      <c r="N21831" s="1"/>
      <c r="V21831" s="5"/>
    </row>
    <row r="21832">
      <c r="N21832" s="1"/>
      <c r="V21832" s="5"/>
    </row>
    <row r="21833">
      <c r="N21833" s="1"/>
      <c r="V21833" s="5"/>
    </row>
    <row r="21834">
      <c r="N21834" s="1"/>
      <c r="V21834" s="5"/>
    </row>
    <row r="21835">
      <c r="N21835" s="1"/>
      <c r="V21835" s="5"/>
    </row>
    <row r="21836">
      <c r="N21836" s="1"/>
      <c r="V21836" s="5"/>
    </row>
    <row r="21837">
      <c r="N21837" s="1"/>
      <c r="V21837" s="5"/>
    </row>
    <row r="21838">
      <c r="N21838" s="1"/>
      <c r="V21838" s="5"/>
    </row>
    <row r="21839">
      <c r="N21839" s="1"/>
      <c r="V21839" s="5"/>
    </row>
    <row r="21840">
      <c r="N21840" s="1"/>
      <c r="V21840" s="5"/>
    </row>
    <row r="21841">
      <c r="N21841" s="1"/>
      <c r="V21841" s="5"/>
    </row>
    <row r="21842">
      <c r="N21842" s="1"/>
      <c r="V21842" s="5"/>
    </row>
    <row r="21843">
      <c r="N21843" s="1"/>
      <c r="V21843" s="5"/>
    </row>
    <row r="21844">
      <c r="N21844" s="1"/>
      <c r="V21844" s="5"/>
    </row>
    <row r="21845">
      <c r="N21845" s="1"/>
      <c r="V21845" s="5"/>
    </row>
    <row r="21846">
      <c r="N21846" s="1"/>
      <c r="V21846" s="5"/>
    </row>
    <row r="21847">
      <c r="N21847" s="1"/>
      <c r="V21847" s="5"/>
    </row>
    <row r="21848">
      <c r="N21848" s="1"/>
      <c r="V21848" s="5"/>
    </row>
    <row r="21849">
      <c r="N21849" s="1"/>
      <c r="V21849" s="5"/>
    </row>
    <row r="21850">
      <c r="N21850" s="1"/>
      <c r="V21850" s="5"/>
    </row>
    <row r="21851">
      <c r="N21851" s="1"/>
      <c r="V21851" s="5"/>
    </row>
    <row r="21852">
      <c r="N21852" s="1"/>
      <c r="V21852" s="5"/>
    </row>
    <row r="21853">
      <c r="N21853" s="1"/>
      <c r="V21853" s="5"/>
    </row>
    <row r="21854">
      <c r="N21854" s="1"/>
      <c r="V21854" s="5"/>
    </row>
    <row r="21855">
      <c r="N21855" s="1"/>
      <c r="V21855" s="5"/>
    </row>
    <row r="21856">
      <c r="N21856" s="1"/>
      <c r="V21856" s="5"/>
    </row>
    <row r="21857">
      <c r="N21857" s="1"/>
      <c r="V21857" s="5"/>
    </row>
    <row r="21858">
      <c r="N21858" s="1"/>
      <c r="V21858" s="5"/>
    </row>
    <row r="21859">
      <c r="N21859" s="1"/>
      <c r="V21859" s="5"/>
    </row>
    <row r="21860">
      <c r="N21860" s="1"/>
      <c r="V21860" s="5"/>
    </row>
    <row r="21861">
      <c r="N21861" s="1"/>
      <c r="V21861" s="5"/>
    </row>
    <row r="21862">
      <c r="N21862" s="1"/>
      <c r="V21862" s="5"/>
    </row>
    <row r="21863">
      <c r="N21863" s="1"/>
      <c r="V21863" s="5"/>
    </row>
    <row r="21864">
      <c r="N21864" s="1"/>
      <c r="V21864" s="5"/>
    </row>
    <row r="21865">
      <c r="N21865" s="1"/>
      <c r="V21865" s="5"/>
    </row>
    <row r="21866">
      <c r="N21866" s="1"/>
      <c r="V21866" s="5"/>
    </row>
    <row r="21867">
      <c r="N21867" s="1"/>
      <c r="V21867" s="5"/>
    </row>
    <row r="21868">
      <c r="N21868" s="1"/>
      <c r="V21868" s="5"/>
    </row>
    <row r="21869">
      <c r="N21869" s="1"/>
      <c r="V21869" s="5"/>
    </row>
    <row r="21870">
      <c r="N21870" s="1"/>
      <c r="V21870" s="5"/>
    </row>
    <row r="21871">
      <c r="N21871" s="1"/>
      <c r="V21871" s="5"/>
    </row>
    <row r="21872">
      <c r="N21872" s="1"/>
      <c r="V21872" s="5"/>
    </row>
    <row r="21873">
      <c r="N21873" s="1"/>
      <c r="V21873" s="5"/>
    </row>
    <row r="21874">
      <c r="N21874" s="1"/>
      <c r="V21874" s="5"/>
    </row>
    <row r="21875">
      <c r="N21875" s="1"/>
      <c r="V21875" s="5"/>
    </row>
    <row r="21876">
      <c r="N21876" s="1"/>
      <c r="V21876" s="5"/>
    </row>
    <row r="21877">
      <c r="N21877" s="1"/>
      <c r="V21877" s="5"/>
    </row>
    <row r="21878">
      <c r="N21878" s="1"/>
      <c r="V21878" s="5"/>
    </row>
    <row r="21879">
      <c r="N21879" s="1"/>
      <c r="V21879" s="5"/>
    </row>
    <row r="21880">
      <c r="N21880" s="1"/>
      <c r="V21880" s="5"/>
    </row>
    <row r="21881">
      <c r="N21881" s="1"/>
      <c r="V21881" s="5"/>
    </row>
    <row r="21882">
      <c r="N21882" s="1"/>
      <c r="V21882" s="5"/>
    </row>
    <row r="21883">
      <c r="N21883" s="1"/>
      <c r="V21883" s="5"/>
    </row>
    <row r="21884">
      <c r="N21884" s="1"/>
      <c r="V21884" s="5"/>
    </row>
    <row r="21885">
      <c r="N21885" s="1"/>
      <c r="V21885" s="5"/>
    </row>
    <row r="21886">
      <c r="N21886" s="1"/>
      <c r="V21886" s="5"/>
    </row>
    <row r="21887">
      <c r="N21887" s="1"/>
      <c r="V21887" s="5"/>
    </row>
    <row r="21888">
      <c r="N21888" s="1"/>
      <c r="V21888" s="5"/>
    </row>
    <row r="21889">
      <c r="N21889" s="1"/>
      <c r="V21889" s="5"/>
    </row>
    <row r="21890">
      <c r="N21890" s="1"/>
      <c r="V21890" s="5"/>
    </row>
    <row r="21891">
      <c r="N21891" s="1"/>
      <c r="V21891" s="5"/>
    </row>
    <row r="21892">
      <c r="N21892" s="1"/>
      <c r="V21892" s="5"/>
    </row>
    <row r="21893">
      <c r="N21893" s="1"/>
      <c r="V21893" s="5"/>
    </row>
    <row r="21894">
      <c r="N21894" s="1"/>
      <c r="V21894" s="5"/>
    </row>
    <row r="21895">
      <c r="N21895" s="1"/>
      <c r="V21895" s="5"/>
    </row>
    <row r="21896">
      <c r="N21896" s="1"/>
      <c r="V21896" s="5"/>
    </row>
    <row r="21897">
      <c r="N21897" s="1"/>
      <c r="V21897" s="5"/>
    </row>
    <row r="21898">
      <c r="N21898" s="1"/>
      <c r="V21898" s="5"/>
    </row>
    <row r="21899">
      <c r="N21899" s="1"/>
      <c r="V21899" s="5"/>
    </row>
    <row r="21900">
      <c r="N21900" s="1"/>
      <c r="V21900" s="5"/>
    </row>
    <row r="21901">
      <c r="N21901" s="1"/>
      <c r="V21901" s="5"/>
    </row>
    <row r="21902">
      <c r="N21902" s="1"/>
      <c r="V21902" s="5"/>
    </row>
    <row r="21903">
      <c r="N21903" s="1"/>
      <c r="V21903" s="5"/>
    </row>
    <row r="21904">
      <c r="N21904" s="1"/>
      <c r="V21904" s="5"/>
    </row>
    <row r="21905">
      <c r="N21905" s="1"/>
      <c r="V21905" s="5"/>
    </row>
    <row r="21906">
      <c r="N21906" s="1"/>
      <c r="V21906" s="5"/>
    </row>
    <row r="21907">
      <c r="N21907" s="1"/>
      <c r="V21907" s="5"/>
    </row>
    <row r="21908">
      <c r="N21908" s="1"/>
      <c r="V21908" s="5"/>
    </row>
    <row r="21909">
      <c r="N21909" s="1"/>
      <c r="V21909" s="5"/>
    </row>
    <row r="21910">
      <c r="N21910" s="1"/>
      <c r="V21910" s="5"/>
    </row>
    <row r="21911">
      <c r="N21911" s="1"/>
      <c r="V21911" s="5"/>
    </row>
    <row r="21912">
      <c r="N21912" s="1"/>
      <c r="V21912" s="5"/>
    </row>
    <row r="21913">
      <c r="N21913" s="1"/>
      <c r="V21913" s="5"/>
    </row>
    <row r="21914">
      <c r="N21914" s="1"/>
      <c r="V21914" s="5"/>
    </row>
    <row r="21915">
      <c r="N21915" s="1"/>
      <c r="V21915" s="5"/>
    </row>
    <row r="21916">
      <c r="N21916" s="1"/>
      <c r="V21916" s="5"/>
    </row>
    <row r="21917">
      <c r="N21917" s="1"/>
      <c r="V21917" s="5"/>
    </row>
    <row r="21918">
      <c r="N21918" s="1"/>
      <c r="V21918" s="5"/>
    </row>
    <row r="21919">
      <c r="N21919" s="1"/>
      <c r="V21919" s="5"/>
    </row>
    <row r="21920">
      <c r="N21920" s="1"/>
      <c r="V21920" s="5"/>
    </row>
    <row r="21921">
      <c r="N21921" s="1"/>
      <c r="V21921" s="5"/>
    </row>
    <row r="21922">
      <c r="N21922" s="1"/>
      <c r="V21922" s="5"/>
    </row>
    <row r="21923">
      <c r="N21923" s="1"/>
      <c r="V21923" s="5"/>
    </row>
    <row r="21924">
      <c r="N21924" s="1"/>
      <c r="V21924" s="5"/>
    </row>
    <row r="21925">
      <c r="N21925" s="1"/>
      <c r="V21925" s="5"/>
    </row>
    <row r="21926">
      <c r="N21926" s="1"/>
      <c r="V21926" s="5"/>
    </row>
    <row r="21927">
      <c r="N21927" s="1"/>
      <c r="V21927" s="5"/>
    </row>
    <row r="21928">
      <c r="N21928" s="1"/>
      <c r="V21928" s="5"/>
    </row>
    <row r="21929">
      <c r="N21929" s="1"/>
      <c r="V21929" s="5"/>
    </row>
    <row r="21930">
      <c r="N21930" s="1"/>
      <c r="V21930" s="5"/>
    </row>
    <row r="21931">
      <c r="N21931" s="1"/>
      <c r="V21931" s="5"/>
    </row>
    <row r="21932">
      <c r="N21932" s="1"/>
      <c r="V21932" s="5"/>
    </row>
    <row r="21933">
      <c r="N21933" s="1"/>
      <c r="V21933" s="5"/>
    </row>
    <row r="21934">
      <c r="N21934" s="1"/>
      <c r="V21934" s="5"/>
    </row>
    <row r="21935">
      <c r="N21935" s="1"/>
      <c r="V21935" s="5"/>
    </row>
    <row r="21936">
      <c r="N21936" s="1"/>
      <c r="V21936" s="5"/>
    </row>
    <row r="21937">
      <c r="N21937" s="1"/>
      <c r="V21937" s="5"/>
    </row>
    <row r="21938">
      <c r="N21938" s="1"/>
      <c r="V21938" s="5"/>
    </row>
    <row r="21939">
      <c r="N21939" s="1"/>
      <c r="V21939" s="5"/>
    </row>
    <row r="21940">
      <c r="N21940" s="1"/>
      <c r="V21940" s="5"/>
    </row>
    <row r="21941">
      <c r="N21941" s="1"/>
      <c r="V21941" s="5"/>
    </row>
    <row r="21942">
      <c r="N21942" s="1"/>
      <c r="V21942" s="5"/>
    </row>
    <row r="21943">
      <c r="N21943" s="1"/>
      <c r="V21943" s="5"/>
    </row>
    <row r="21944">
      <c r="N21944" s="1"/>
      <c r="V21944" s="5"/>
    </row>
    <row r="21945">
      <c r="N21945" s="1"/>
      <c r="V21945" s="5"/>
    </row>
    <row r="21946">
      <c r="N21946" s="1"/>
      <c r="V21946" s="5"/>
    </row>
    <row r="21947">
      <c r="N21947" s="1"/>
      <c r="V21947" s="5"/>
    </row>
    <row r="21948">
      <c r="N21948" s="1"/>
      <c r="V21948" s="5"/>
    </row>
    <row r="21949">
      <c r="N21949" s="1"/>
      <c r="V21949" s="5"/>
    </row>
    <row r="21950">
      <c r="N21950" s="1"/>
      <c r="V21950" s="5"/>
    </row>
    <row r="21951">
      <c r="N21951" s="1"/>
      <c r="V21951" s="5"/>
    </row>
    <row r="21952">
      <c r="N21952" s="1"/>
      <c r="V21952" s="5"/>
    </row>
    <row r="21953">
      <c r="N21953" s="1"/>
      <c r="V21953" s="5"/>
    </row>
    <row r="21954">
      <c r="N21954" s="1"/>
      <c r="V21954" s="5"/>
    </row>
    <row r="21955">
      <c r="N21955" s="1"/>
      <c r="V21955" s="5"/>
    </row>
    <row r="21956">
      <c r="N21956" s="1"/>
      <c r="V21956" s="5"/>
    </row>
    <row r="21957">
      <c r="N21957" s="1"/>
      <c r="V21957" s="5"/>
    </row>
    <row r="21958">
      <c r="N21958" s="1"/>
      <c r="V21958" s="5"/>
    </row>
    <row r="21959">
      <c r="N21959" s="1"/>
      <c r="V21959" s="5"/>
    </row>
    <row r="21960">
      <c r="N21960" s="1"/>
      <c r="V21960" s="5"/>
    </row>
    <row r="21961">
      <c r="N21961" s="1"/>
      <c r="V21961" s="5"/>
    </row>
    <row r="21962">
      <c r="N21962" s="1"/>
      <c r="V21962" s="5"/>
    </row>
    <row r="21963">
      <c r="N21963" s="1"/>
      <c r="V21963" s="5"/>
    </row>
    <row r="21964">
      <c r="N21964" s="1"/>
      <c r="V21964" s="5"/>
    </row>
    <row r="21965">
      <c r="N21965" s="1"/>
      <c r="V21965" s="5"/>
    </row>
    <row r="21966">
      <c r="N21966" s="1"/>
      <c r="V21966" s="5"/>
    </row>
    <row r="21967">
      <c r="N21967" s="1"/>
      <c r="V21967" s="5"/>
    </row>
    <row r="21968">
      <c r="N21968" s="1"/>
      <c r="V21968" s="5"/>
    </row>
    <row r="21969">
      <c r="N21969" s="1"/>
      <c r="V21969" s="5"/>
    </row>
    <row r="21970">
      <c r="N21970" s="1"/>
      <c r="V21970" s="5"/>
    </row>
    <row r="21971">
      <c r="N21971" s="1"/>
      <c r="V21971" s="5"/>
    </row>
    <row r="21972">
      <c r="N21972" s="1"/>
      <c r="V21972" s="5"/>
    </row>
    <row r="21973">
      <c r="N21973" s="1"/>
      <c r="V21973" s="5"/>
    </row>
    <row r="21974">
      <c r="N21974" s="1"/>
      <c r="V21974" s="5"/>
    </row>
    <row r="21975">
      <c r="N21975" s="1"/>
      <c r="V21975" s="5"/>
    </row>
    <row r="21976">
      <c r="N21976" s="1"/>
      <c r="V21976" s="5"/>
    </row>
    <row r="21977">
      <c r="N21977" s="1"/>
      <c r="V21977" s="5"/>
    </row>
    <row r="21978">
      <c r="N21978" s="1"/>
      <c r="V21978" s="5"/>
    </row>
    <row r="21979">
      <c r="N21979" s="1"/>
      <c r="V21979" s="5"/>
    </row>
    <row r="21980">
      <c r="N21980" s="1"/>
      <c r="V21980" s="5"/>
    </row>
    <row r="21981">
      <c r="N21981" s="1"/>
      <c r="V21981" s="5"/>
    </row>
    <row r="21982">
      <c r="N21982" s="1"/>
      <c r="V21982" s="5"/>
    </row>
    <row r="21983">
      <c r="N21983" s="1"/>
      <c r="V21983" s="5"/>
    </row>
    <row r="21984">
      <c r="N21984" s="1"/>
      <c r="V21984" s="5"/>
    </row>
    <row r="21985">
      <c r="N21985" s="1"/>
      <c r="V21985" s="5"/>
    </row>
    <row r="21986">
      <c r="N21986" s="1"/>
      <c r="V21986" s="5"/>
    </row>
    <row r="21987">
      <c r="N21987" s="1"/>
      <c r="V21987" s="5"/>
    </row>
    <row r="21988">
      <c r="N21988" s="1"/>
      <c r="V21988" s="5"/>
    </row>
    <row r="21989">
      <c r="N21989" s="1"/>
      <c r="V21989" s="5"/>
    </row>
    <row r="21990">
      <c r="N21990" s="1"/>
      <c r="V21990" s="5"/>
    </row>
    <row r="21991">
      <c r="N21991" s="1"/>
      <c r="V21991" s="5"/>
    </row>
    <row r="21992">
      <c r="N21992" s="1"/>
      <c r="V21992" s="5"/>
    </row>
    <row r="21993">
      <c r="N21993" s="1"/>
      <c r="V21993" s="5"/>
    </row>
    <row r="21994">
      <c r="N21994" s="1"/>
      <c r="V21994" s="5"/>
    </row>
    <row r="21995">
      <c r="N21995" s="1"/>
      <c r="V21995" s="5"/>
    </row>
    <row r="21996">
      <c r="N21996" s="1"/>
      <c r="V21996" s="5"/>
    </row>
    <row r="21997">
      <c r="N21997" s="1"/>
      <c r="V21997" s="5"/>
    </row>
    <row r="21998">
      <c r="N21998" s="1"/>
      <c r="V21998" s="5"/>
    </row>
    <row r="21999">
      <c r="N21999" s="1"/>
      <c r="V21999" s="5"/>
    </row>
    <row r="22000">
      <c r="N22000" s="1"/>
      <c r="V22000" s="5"/>
    </row>
    <row r="22001">
      <c r="N22001" s="1"/>
      <c r="V22001" s="5"/>
    </row>
    <row r="22002">
      <c r="N22002" s="1"/>
      <c r="V22002" s="5"/>
    </row>
    <row r="22003">
      <c r="N22003" s="1"/>
      <c r="V22003" s="5"/>
    </row>
    <row r="22004">
      <c r="N22004" s="1"/>
      <c r="V22004" s="5"/>
    </row>
    <row r="22005">
      <c r="N22005" s="1"/>
      <c r="V22005" s="5"/>
    </row>
    <row r="22006">
      <c r="N22006" s="1"/>
      <c r="V22006" s="5"/>
    </row>
    <row r="22007">
      <c r="N22007" s="1"/>
      <c r="V22007" s="5"/>
    </row>
    <row r="22008">
      <c r="N22008" s="1"/>
      <c r="V22008" s="5"/>
    </row>
    <row r="22009">
      <c r="N22009" s="1"/>
      <c r="V22009" s="5"/>
    </row>
    <row r="22010">
      <c r="N22010" s="1"/>
      <c r="V22010" s="5"/>
    </row>
    <row r="22011">
      <c r="N22011" s="1"/>
      <c r="V22011" s="5"/>
    </row>
    <row r="22012">
      <c r="N22012" s="1"/>
      <c r="V22012" s="5"/>
    </row>
    <row r="22013">
      <c r="N22013" s="1"/>
      <c r="V22013" s="5"/>
    </row>
    <row r="22014">
      <c r="N22014" s="1"/>
      <c r="V22014" s="5"/>
    </row>
    <row r="22015">
      <c r="N22015" s="1"/>
      <c r="V22015" s="5"/>
    </row>
    <row r="22016">
      <c r="N22016" s="1"/>
      <c r="V22016" s="5"/>
    </row>
    <row r="22017">
      <c r="N22017" s="1"/>
      <c r="V22017" s="5"/>
    </row>
    <row r="22018">
      <c r="N22018" s="1"/>
      <c r="V22018" s="5"/>
    </row>
    <row r="22019">
      <c r="N22019" s="1"/>
      <c r="V22019" s="5"/>
    </row>
    <row r="22020">
      <c r="N22020" s="1"/>
      <c r="V22020" s="5"/>
    </row>
    <row r="22021">
      <c r="N22021" s="1"/>
      <c r="V22021" s="5"/>
    </row>
    <row r="22022">
      <c r="N22022" s="1"/>
      <c r="V22022" s="5"/>
    </row>
    <row r="22023">
      <c r="N22023" s="1"/>
      <c r="V22023" s="5"/>
    </row>
    <row r="22024">
      <c r="N22024" s="1"/>
      <c r="V22024" s="5"/>
    </row>
    <row r="22025">
      <c r="N22025" s="1"/>
      <c r="V22025" s="5"/>
    </row>
    <row r="22026">
      <c r="N22026" s="1"/>
      <c r="V22026" s="5"/>
    </row>
    <row r="22027">
      <c r="N22027" s="1"/>
      <c r="V22027" s="5"/>
    </row>
    <row r="22028">
      <c r="N22028" s="1"/>
      <c r="V22028" s="5"/>
    </row>
    <row r="22029">
      <c r="N22029" s="1"/>
      <c r="V22029" s="5"/>
    </row>
    <row r="22030">
      <c r="N22030" s="1"/>
      <c r="V22030" s="5"/>
    </row>
    <row r="22031">
      <c r="N22031" s="1"/>
      <c r="V22031" s="5"/>
    </row>
    <row r="22032">
      <c r="N22032" s="1"/>
      <c r="V22032" s="5"/>
    </row>
    <row r="22033">
      <c r="N22033" s="1"/>
      <c r="V22033" s="5"/>
    </row>
    <row r="22034">
      <c r="N22034" s="1"/>
      <c r="V22034" s="5"/>
    </row>
    <row r="22035">
      <c r="N22035" s="1"/>
      <c r="V22035" s="5"/>
    </row>
    <row r="22036">
      <c r="N22036" s="1"/>
      <c r="V22036" s="5"/>
    </row>
    <row r="22037">
      <c r="N22037" s="1"/>
      <c r="V22037" s="5"/>
    </row>
    <row r="22038">
      <c r="N22038" s="1"/>
      <c r="V22038" s="5"/>
    </row>
    <row r="22039">
      <c r="N22039" s="1"/>
      <c r="V22039" s="5"/>
    </row>
    <row r="22040">
      <c r="N22040" s="1"/>
      <c r="V22040" s="5"/>
    </row>
    <row r="22041">
      <c r="N22041" s="1"/>
      <c r="V22041" s="5"/>
    </row>
    <row r="22042">
      <c r="N22042" s="1"/>
      <c r="V22042" s="5"/>
    </row>
    <row r="22043">
      <c r="N22043" s="1"/>
      <c r="V22043" s="5"/>
    </row>
    <row r="22044">
      <c r="N22044" s="1"/>
      <c r="V22044" s="5"/>
    </row>
    <row r="22045">
      <c r="N22045" s="1"/>
      <c r="V22045" s="5"/>
    </row>
    <row r="22046">
      <c r="N22046" s="1"/>
      <c r="V22046" s="5"/>
    </row>
    <row r="22047">
      <c r="N22047" s="1"/>
      <c r="V22047" s="5"/>
    </row>
    <row r="22048">
      <c r="N22048" s="1"/>
      <c r="V22048" s="5"/>
    </row>
    <row r="22049">
      <c r="N22049" s="1"/>
      <c r="V22049" s="5"/>
    </row>
    <row r="22050">
      <c r="N22050" s="1"/>
      <c r="V22050" s="5"/>
    </row>
    <row r="22051">
      <c r="N22051" s="1"/>
      <c r="V22051" s="5"/>
    </row>
    <row r="22052">
      <c r="N22052" s="1"/>
      <c r="V22052" s="5"/>
    </row>
    <row r="22053">
      <c r="N22053" s="1"/>
      <c r="V22053" s="5"/>
    </row>
    <row r="22054">
      <c r="N22054" s="1"/>
      <c r="V22054" s="5"/>
    </row>
    <row r="22055">
      <c r="N22055" s="1"/>
      <c r="V22055" s="5"/>
    </row>
    <row r="22056">
      <c r="N22056" s="1"/>
      <c r="V22056" s="5"/>
    </row>
    <row r="22057">
      <c r="N22057" s="1"/>
      <c r="V22057" s="5"/>
    </row>
    <row r="22058">
      <c r="N22058" s="1"/>
      <c r="V22058" s="5"/>
    </row>
    <row r="22059">
      <c r="N22059" s="1"/>
      <c r="V22059" s="5"/>
    </row>
    <row r="22060">
      <c r="N22060" s="1"/>
      <c r="V22060" s="5"/>
    </row>
    <row r="22061">
      <c r="N22061" s="1"/>
      <c r="V22061" s="5"/>
    </row>
    <row r="22062">
      <c r="N22062" s="1"/>
      <c r="V22062" s="5"/>
    </row>
    <row r="22063">
      <c r="N22063" s="1"/>
      <c r="V22063" s="5"/>
    </row>
    <row r="22064">
      <c r="N22064" s="1"/>
      <c r="V22064" s="5"/>
    </row>
    <row r="22065">
      <c r="N22065" s="1"/>
      <c r="V22065" s="5"/>
    </row>
    <row r="22066">
      <c r="N22066" s="1"/>
      <c r="V22066" s="5"/>
    </row>
    <row r="22067">
      <c r="N22067" s="1"/>
      <c r="V22067" s="5"/>
    </row>
    <row r="22068">
      <c r="N22068" s="1"/>
      <c r="V22068" s="5"/>
    </row>
    <row r="22069">
      <c r="N22069" s="1"/>
      <c r="V22069" s="5"/>
    </row>
    <row r="22070">
      <c r="N22070" s="1"/>
      <c r="V22070" s="5"/>
    </row>
    <row r="22071">
      <c r="N22071" s="1"/>
      <c r="V22071" s="5"/>
    </row>
    <row r="22072">
      <c r="N22072" s="1"/>
      <c r="V22072" s="5"/>
    </row>
    <row r="22073">
      <c r="N22073" s="1"/>
      <c r="V22073" s="5"/>
    </row>
    <row r="22074">
      <c r="N22074" s="1"/>
      <c r="V22074" s="5"/>
    </row>
    <row r="22075">
      <c r="N22075" s="1"/>
      <c r="V22075" s="5"/>
    </row>
    <row r="22076">
      <c r="N22076" s="1"/>
      <c r="V22076" s="5"/>
    </row>
    <row r="22077">
      <c r="N22077" s="1"/>
      <c r="V22077" s="5"/>
    </row>
    <row r="22078">
      <c r="N22078" s="1"/>
      <c r="V22078" s="5"/>
    </row>
    <row r="22079">
      <c r="N22079" s="1"/>
      <c r="V22079" s="5"/>
    </row>
    <row r="22080">
      <c r="N22080" s="1"/>
      <c r="V22080" s="5"/>
    </row>
    <row r="22081">
      <c r="N22081" s="1"/>
      <c r="V22081" s="5"/>
    </row>
    <row r="22082">
      <c r="N22082" s="1"/>
      <c r="V22082" s="5"/>
    </row>
    <row r="22083">
      <c r="N22083" s="1"/>
      <c r="V22083" s="5"/>
    </row>
    <row r="22084">
      <c r="N22084" s="1"/>
      <c r="V22084" s="5"/>
    </row>
    <row r="22085">
      <c r="N22085" s="1"/>
      <c r="V22085" s="5"/>
    </row>
    <row r="22086">
      <c r="N22086" s="1"/>
      <c r="V22086" s="5"/>
    </row>
    <row r="22087">
      <c r="N22087" s="1"/>
      <c r="V22087" s="5"/>
    </row>
    <row r="22088">
      <c r="N22088" s="1"/>
      <c r="V22088" s="5"/>
    </row>
    <row r="22089">
      <c r="N22089" s="1"/>
      <c r="V22089" s="5"/>
    </row>
    <row r="22090">
      <c r="N22090" s="1"/>
      <c r="V22090" s="5"/>
    </row>
    <row r="22091">
      <c r="N22091" s="1"/>
      <c r="V22091" s="5"/>
    </row>
    <row r="22092">
      <c r="N22092" s="1"/>
      <c r="V22092" s="5"/>
    </row>
    <row r="22093">
      <c r="N22093" s="1"/>
      <c r="V22093" s="5"/>
    </row>
    <row r="22094">
      <c r="N22094" s="1"/>
      <c r="V22094" s="5"/>
    </row>
    <row r="22095">
      <c r="N22095" s="1"/>
      <c r="V22095" s="5"/>
    </row>
    <row r="22096">
      <c r="N22096" s="1"/>
      <c r="V22096" s="5"/>
    </row>
    <row r="22097">
      <c r="N22097" s="1"/>
      <c r="V22097" s="5"/>
    </row>
    <row r="22098">
      <c r="N22098" s="1"/>
      <c r="V22098" s="5"/>
    </row>
    <row r="22099">
      <c r="N22099" s="1"/>
      <c r="V22099" s="5"/>
    </row>
    <row r="22100">
      <c r="N22100" s="1"/>
      <c r="V22100" s="5"/>
    </row>
    <row r="22101">
      <c r="N22101" s="1"/>
      <c r="V22101" s="5"/>
    </row>
    <row r="22102">
      <c r="N22102" s="1"/>
      <c r="V22102" s="5"/>
    </row>
    <row r="22103">
      <c r="N22103" s="1"/>
      <c r="V22103" s="5"/>
    </row>
    <row r="22104">
      <c r="N22104" s="1"/>
      <c r="V22104" s="5"/>
    </row>
    <row r="22105">
      <c r="N22105" s="1"/>
      <c r="V22105" s="5"/>
    </row>
    <row r="22106">
      <c r="N22106" s="1"/>
      <c r="V22106" s="5"/>
    </row>
    <row r="22107">
      <c r="N22107" s="1"/>
      <c r="V22107" s="5"/>
    </row>
    <row r="22108">
      <c r="N22108" s="1"/>
      <c r="V22108" s="5"/>
    </row>
    <row r="22109">
      <c r="N22109" s="1"/>
      <c r="V22109" s="5"/>
    </row>
    <row r="22110">
      <c r="N22110" s="1"/>
      <c r="V22110" s="5"/>
    </row>
    <row r="22111">
      <c r="N22111" s="1"/>
      <c r="V22111" s="5"/>
    </row>
    <row r="22112">
      <c r="N22112" s="1"/>
      <c r="V22112" s="5"/>
    </row>
    <row r="22113">
      <c r="N22113" s="1"/>
      <c r="V22113" s="5"/>
    </row>
    <row r="22114">
      <c r="N22114" s="1"/>
      <c r="V22114" s="5"/>
    </row>
    <row r="22115">
      <c r="N22115" s="1"/>
      <c r="V22115" s="5"/>
    </row>
    <row r="22116">
      <c r="N22116" s="1"/>
      <c r="V22116" s="5"/>
    </row>
    <row r="22117">
      <c r="N22117" s="1"/>
      <c r="V22117" s="5"/>
    </row>
    <row r="22118">
      <c r="N22118" s="1"/>
      <c r="V22118" s="5"/>
    </row>
    <row r="22119">
      <c r="N22119" s="1"/>
      <c r="V22119" s="5"/>
    </row>
    <row r="22120">
      <c r="N22120" s="1"/>
      <c r="V22120" s="5"/>
    </row>
    <row r="22121">
      <c r="N22121" s="1"/>
      <c r="V22121" s="5"/>
    </row>
    <row r="22122">
      <c r="N22122" s="1"/>
      <c r="V22122" s="5"/>
    </row>
    <row r="22123">
      <c r="N22123" s="1"/>
      <c r="V22123" s="5"/>
    </row>
    <row r="22124">
      <c r="N22124" s="1"/>
      <c r="V22124" s="5"/>
    </row>
    <row r="22125">
      <c r="N22125" s="1"/>
      <c r="V22125" s="5"/>
    </row>
    <row r="22126">
      <c r="N22126" s="1"/>
      <c r="V22126" s="5"/>
    </row>
    <row r="22127">
      <c r="N22127" s="1"/>
      <c r="V22127" s="5"/>
    </row>
    <row r="22128">
      <c r="N22128" s="1"/>
      <c r="V22128" s="5"/>
    </row>
    <row r="22129">
      <c r="N22129" s="1"/>
      <c r="V22129" s="5"/>
    </row>
    <row r="22130">
      <c r="N22130" s="1"/>
      <c r="V22130" s="5"/>
    </row>
    <row r="22131">
      <c r="N22131" s="1"/>
      <c r="V22131" s="5"/>
    </row>
    <row r="22132">
      <c r="N22132" s="1"/>
      <c r="V22132" s="5"/>
    </row>
    <row r="22133">
      <c r="N22133" s="1"/>
      <c r="V22133" s="5"/>
    </row>
    <row r="22134">
      <c r="N22134" s="1"/>
      <c r="V22134" s="5"/>
    </row>
    <row r="22135">
      <c r="N22135" s="1"/>
      <c r="V22135" s="5"/>
    </row>
    <row r="22136">
      <c r="N22136" s="1"/>
      <c r="V22136" s="5"/>
    </row>
    <row r="22137">
      <c r="N22137" s="1"/>
      <c r="V22137" s="5"/>
    </row>
    <row r="22138">
      <c r="N22138" s="1"/>
      <c r="V22138" s="5"/>
    </row>
    <row r="22139">
      <c r="N22139" s="1"/>
      <c r="V22139" s="5"/>
    </row>
    <row r="22140">
      <c r="N22140" s="1"/>
      <c r="V22140" s="5"/>
    </row>
    <row r="22141">
      <c r="N22141" s="1"/>
      <c r="V22141" s="5"/>
    </row>
    <row r="22142">
      <c r="N22142" s="1"/>
      <c r="V22142" s="5"/>
    </row>
    <row r="22143">
      <c r="N22143" s="1"/>
      <c r="V22143" s="5"/>
    </row>
    <row r="22144">
      <c r="N22144" s="1"/>
      <c r="V22144" s="5"/>
    </row>
    <row r="22145">
      <c r="N22145" s="1"/>
      <c r="V22145" s="5"/>
    </row>
    <row r="22146">
      <c r="N22146" s="1"/>
      <c r="V22146" s="5"/>
    </row>
    <row r="22147">
      <c r="N22147" s="1"/>
      <c r="V22147" s="5"/>
    </row>
    <row r="22148">
      <c r="N22148" s="1"/>
      <c r="V22148" s="5"/>
    </row>
    <row r="22149">
      <c r="N22149" s="1"/>
      <c r="V22149" s="5"/>
    </row>
    <row r="22150">
      <c r="N22150" s="1"/>
      <c r="V22150" s="5"/>
    </row>
    <row r="22151">
      <c r="N22151" s="1"/>
      <c r="V22151" s="5"/>
    </row>
    <row r="22152">
      <c r="N22152" s="1"/>
      <c r="V22152" s="5"/>
    </row>
    <row r="22153">
      <c r="N22153" s="1"/>
      <c r="V22153" s="5"/>
    </row>
    <row r="22154">
      <c r="N22154" s="1"/>
      <c r="V22154" s="5"/>
    </row>
    <row r="22155">
      <c r="N22155" s="1"/>
      <c r="V22155" s="5"/>
    </row>
    <row r="22156">
      <c r="N22156" s="1"/>
      <c r="V22156" s="5"/>
    </row>
    <row r="22157">
      <c r="N22157" s="1"/>
      <c r="V22157" s="5"/>
    </row>
    <row r="22158">
      <c r="N22158" s="1"/>
      <c r="V22158" s="5"/>
    </row>
    <row r="22159">
      <c r="N22159" s="1"/>
      <c r="V22159" s="5"/>
    </row>
    <row r="22160">
      <c r="N22160" s="1"/>
      <c r="V22160" s="5"/>
    </row>
    <row r="22161">
      <c r="N22161" s="1"/>
      <c r="V22161" s="5"/>
    </row>
    <row r="22162">
      <c r="N22162" s="1"/>
      <c r="V22162" s="5"/>
    </row>
    <row r="22163">
      <c r="N22163" s="1"/>
      <c r="V22163" s="5"/>
    </row>
    <row r="22164">
      <c r="N22164" s="1"/>
      <c r="V22164" s="5"/>
    </row>
    <row r="22165">
      <c r="N22165" s="1"/>
      <c r="V22165" s="5"/>
    </row>
    <row r="22166">
      <c r="N22166" s="1"/>
      <c r="V22166" s="5"/>
    </row>
    <row r="22167">
      <c r="N22167" s="1"/>
      <c r="V22167" s="5"/>
    </row>
    <row r="22168">
      <c r="N22168" s="1"/>
      <c r="V22168" s="5"/>
    </row>
    <row r="22169">
      <c r="N22169" s="1"/>
      <c r="V22169" s="5"/>
    </row>
    <row r="22170">
      <c r="N22170" s="1"/>
      <c r="V22170" s="5"/>
    </row>
    <row r="22171">
      <c r="N22171" s="1"/>
      <c r="V22171" s="5"/>
    </row>
    <row r="22172">
      <c r="N22172" s="1"/>
      <c r="V22172" s="5"/>
    </row>
    <row r="22173">
      <c r="N22173" s="1"/>
      <c r="V22173" s="5"/>
    </row>
    <row r="22174">
      <c r="N22174" s="1"/>
      <c r="V22174" s="5"/>
    </row>
    <row r="22175">
      <c r="N22175" s="1"/>
      <c r="V22175" s="5"/>
    </row>
    <row r="22176">
      <c r="N22176" s="1"/>
      <c r="V22176" s="5"/>
    </row>
    <row r="22177">
      <c r="N22177" s="1"/>
      <c r="V22177" s="5"/>
    </row>
    <row r="22178">
      <c r="N22178" s="1"/>
      <c r="V22178" s="5"/>
    </row>
    <row r="22179">
      <c r="N22179" s="1"/>
      <c r="V22179" s="5"/>
    </row>
    <row r="22180">
      <c r="N22180" s="1"/>
      <c r="V22180" s="5"/>
    </row>
    <row r="22181">
      <c r="N22181" s="1"/>
      <c r="V22181" s="5"/>
    </row>
    <row r="22182">
      <c r="N22182" s="1"/>
      <c r="V22182" s="5"/>
    </row>
    <row r="22183">
      <c r="N22183" s="1"/>
      <c r="V22183" s="5"/>
    </row>
    <row r="22184">
      <c r="N22184" s="1"/>
      <c r="V22184" s="5"/>
    </row>
    <row r="22185">
      <c r="N22185" s="1"/>
      <c r="V22185" s="5"/>
    </row>
    <row r="22186">
      <c r="N22186" s="1"/>
      <c r="V22186" s="5"/>
    </row>
    <row r="22187">
      <c r="N22187" s="1"/>
      <c r="V22187" s="5"/>
    </row>
    <row r="22188">
      <c r="N22188" s="1"/>
      <c r="V22188" s="5"/>
    </row>
    <row r="22189">
      <c r="N22189" s="1"/>
      <c r="V22189" s="5"/>
    </row>
    <row r="22190">
      <c r="N22190" s="1"/>
      <c r="V22190" s="5"/>
    </row>
    <row r="22191">
      <c r="N22191" s="1"/>
      <c r="V22191" s="5"/>
    </row>
    <row r="22192">
      <c r="N22192" s="1"/>
      <c r="V22192" s="5"/>
    </row>
    <row r="22193">
      <c r="N22193" s="1"/>
      <c r="V22193" s="5"/>
    </row>
    <row r="22194">
      <c r="N22194" s="1"/>
      <c r="V22194" s="5"/>
    </row>
    <row r="22195">
      <c r="N22195" s="1"/>
      <c r="V22195" s="5"/>
    </row>
    <row r="22196">
      <c r="N22196" s="1"/>
      <c r="V22196" s="5"/>
    </row>
    <row r="22197">
      <c r="N22197" s="1"/>
      <c r="V22197" s="5"/>
    </row>
    <row r="22198">
      <c r="N22198" s="1"/>
      <c r="V22198" s="5"/>
    </row>
    <row r="22199">
      <c r="N22199" s="1"/>
      <c r="V22199" s="5"/>
    </row>
    <row r="22200">
      <c r="N22200" s="1"/>
      <c r="V22200" s="5"/>
    </row>
    <row r="22201">
      <c r="N22201" s="1"/>
      <c r="V22201" s="5"/>
    </row>
    <row r="22202">
      <c r="N22202" s="1"/>
      <c r="V22202" s="5"/>
    </row>
    <row r="22203">
      <c r="N22203" s="1"/>
      <c r="V22203" s="5"/>
    </row>
    <row r="22204">
      <c r="N22204" s="1"/>
      <c r="V22204" s="5"/>
    </row>
    <row r="22205">
      <c r="N22205" s="1"/>
      <c r="V22205" s="5"/>
    </row>
    <row r="22206">
      <c r="N22206" s="1"/>
      <c r="V22206" s="5"/>
    </row>
    <row r="22207">
      <c r="N22207" s="1"/>
      <c r="V22207" s="5"/>
    </row>
    <row r="22208">
      <c r="N22208" s="1"/>
      <c r="V22208" s="5"/>
    </row>
    <row r="22209">
      <c r="N22209" s="1"/>
      <c r="V22209" s="5"/>
    </row>
    <row r="22210">
      <c r="N22210" s="1"/>
      <c r="V22210" s="5"/>
    </row>
    <row r="22211">
      <c r="N22211" s="1"/>
      <c r="V22211" s="5"/>
    </row>
    <row r="22212">
      <c r="N22212" s="1"/>
      <c r="V22212" s="5"/>
    </row>
    <row r="22213">
      <c r="N22213" s="1"/>
      <c r="V22213" s="5"/>
    </row>
    <row r="22214">
      <c r="N22214" s="1"/>
      <c r="V22214" s="5"/>
    </row>
    <row r="22215">
      <c r="N22215" s="1"/>
      <c r="V22215" s="5"/>
    </row>
    <row r="22216">
      <c r="N22216" s="1"/>
      <c r="V22216" s="5"/>
    </row>
    <row r="22217">
      <c r="N22217" s="1"/>
      <c r="V22217" s="5"/>
    </row>
    <row r="22218">
      <c r="N22218" s="1"/>
      <c r="V22218" s="5"/>
    </row>
    <row r="22219">
      <c r="N22219" s="1"/>
      <c r="V22219" s="5"/>
    </row>
    <row r="22220">
      <c r="N22220" s="1"/>
      <c r="V22220" s="5"/>
    </row>
    <row r="22221">
      <c r="N22221" s="1"/>
      <c r="V22221" s="5"/>
    </row>
    <row r="22222">
      <c r="N22222" s="1"/>
      <c r="V22222" s="5"/>
    </row>
    <row r="22223">
      <c r="N22223" s="1"/>
      <c r="V22223" s="5"/>
    </row>
    <row r="22224">
      <c r="N22224" s="1"/>
      <c r="V22224" s="5"/>
    </row>
    <row r="22225">
      <c r="N22225" s="1"/>
      <c r="V22225" s="5"/>
    </row>
    <row r="22226">
      <c r="N22226" s="1"/>
      <c r="V22226" s="5"/>
    </row>
    <row r="22227">
      <c r="N22227" s="1"/>
      <c r="V22227" s="5"/>
    </row>
    <row r="22228">
      <c r="N22228" s="1"/>
      <c r="V22228" s="5"/>
    </row>
    <row r="22229">
      <c r="N22229" s="1"/>
      <c r="V22229" s="5"/>
    </row>
    <row r="22230">
      <c r="N22230" s="1"/>
      <c r="V22230" s="5"/>
    </row>
    <row r="22231">
      <c r="N22231" s="1"/>
      <c r="V22231" s="5"/>
    </row>
    <row r="22232">
      <c r="N22232" s="1"/>
      <c r="V22232" s="5"/>
    </row>
    <row r="22233">
      <c r="N22233" s="1"/>
      <c r="V22233" s="5"/>
    </row>
    <row r="22234">
      <c r="N22234" s="1"/>
      <c r="V22234" s="5"/>
    </row>
    <row r="22235">
      <c r="N22235" s="1"/>
      <c r="V22235" s="5"/>
    </row>
    <row r="22236">
      <c r="N22236" s="1"/>
      <c r="V22236" s="5"/>
    </row>
    <row r="22237">
      <c r="N22237" s="1"/>
      <c r="V22237" s="5"/>
    </row>
    <row r="22238">
      <c r="N22238" s="1"/>
      <c r="V22238" s="5"/>
    </row>
    <row r="22239">
      <c r="N22239" s="1"/>
      <c r="V22239" s="5"/>
    </row>
    <row r="22240">
      <c r="N22240" s="1"/>
      <c r="V22240" s="5"/>
    </row>
    <row r="22241">
      <c r="N22241" s="1"/>
      <c r="V22241" s="5"/>
    </row>
    <row r="22242">
      <c r="N22242" s="1"/>
      <c r="V22242" s="5"/>
    </row>
    <row r="22243">
      <c r="N22243" s="1"/>
      <c r="V22243" s="5"/>
    </row>
    <row r="22244">
      <c r="N22244" s="1"/>
      <c r="V22244" s="5"/>
    </row>
    <row r="22245">
      <c r="N22245" s="1"/>
      <c r="V22245" s="5"/>
    </row>
    <row r="22246">
      <c r="N22246" s="1"/>
      <c r="V22246" s="5"/>
    </row>
    <row r="22247">
      <c r="N22247" s="1"/>
      <c r="V22247" s="5"/>
    </row>
    <row r="22248">
      <c r="N22248" s="1"/>
      <c r="V22248" s="5"/>
    </row>
    <row r="22249">
      <c r="N22249" s="1"/>
      <c r="V22249" s="5"/>
    </row>
    <row r="22250">
      <c r="N22250" s="1"/>
      <c r="V22250" s="5"/>
    </row>
    <row r="22251">
      <c r="N22251" s="1"/>
      <c r="V22251" s="5"/>
    </row>
    <row r="22252">
      <c r="N22252" s="1"/>
      <c r="V22252" s="5"/>
    </row>
    <row r="22253">
      <c r="N22253" s="1"/>
      <c r="V22253" s="5"/>
    </row>
    <row r="22254">
      <c r="N22254" s="1"/>
      <c r="V22254" s="5"/>
    </row>
    <row r="22255">
      <c r="N22255" s="1"/>
      <c r="V22255" s="5"/>
    </row>
    <row r="22256">
      <c r="N22256" s="1"/>
      <c r="V22256" s="5"/>
    </row>
    <row r="22257">
      <c r="N22257" s="1"/>
      <c r="V22257" s="5"/>
    </row>
    <row r="22258">
      <c r="N22258" s="1"/>
      <c r="V22258" s="5"/>
    </row>
    <row r="22259">
      <c r="N22259" s="1"/>
      <c r="V22259" s="5"/>
    </row>
    <row r="22260">
      <c r="N22260" s="1"/>
      <c r="V22260" s="5"/>
    </row>
    <row r="22261">
      <c r="N22261" s="1"/>
      <c r="V22261" s="5"/>
    </row>
    <row r="22262">
      <c r="N22262" s="1"/>
      <c r="V22262" s="5"/>
    </row>
    <row r="22263">
      <c r="N22263" s="1"/>
      <c r="V22263" s="5"/>
    </row>
    <row r="22264">
      <c r="N22264" s="1"/>
      <c r="V22264" s="5"/>
    </row>
    <row r="22265">
      <c r="N22265" s="1"/>
      <c r="V22265" s="5"/>
    </row>
    <row r="22266">
      <c r="N22266" s="1"/>
      <c r="V22266" s="5"/>
    </row>
    <row r="22267">
      <c r="N22267" s="1"/>
      <c r="V22267" s="5"/>
    </row>
    <row r="22268">
      <c r="N22268" s="1"/>
      <c r="V22268" s="5"/>
    </row>
    <row r="22269">
      <c r="N22269" s="1"/>
      <c r="V22269" s="5"/>
    </row>
    <row r="22270">
      <c r="N22270" s="1"/>
      <c r="V22270" s="5"/>
    </row>
    <row r="22271">
      <c r="N22271" s="1"/>
      <c r="V22271" s="5"/>
    </row>
    <row r="22272">
      <c r="N22272" s="1"/>
      <c r="V22272" s="5"/>
    </row>
    <row r="22273">
      <c r="N22273" s="1"/>
      <c r="V22273" s="5"/>
    </row>
    <row r="22274">
      <c r="N22274" s="1"/>
      <c r="V22274" s="5"/>
    </row>
    <row r="22275">
      <c r="N22275" s="1"/>
      <c r="V22275" s="5"/>
    </row>
    <row r="22276">
      <c r="N22276" s="1"/>
      <c r="V22276" s="5"/>
    </row>
    <row r="22277">
      <c r="N22277" s="1"/>
      <c r="V22277" s="5"/>
    </row>
    <row r="22278">
      <c r="N22278" s="1"/>
      <c r="V22278" s="5"/>
    </row>
    <row r="22279">
      <c r="N22279" s="1"/>
      <c r="V22279" s="5"/>
    </row>
    <row r="22280">
      <c r="N22280" s="1"/>
      <c r="V22280" s="5"/>
    </row>
    <row r="22281">
      <c r="N22281" s="1"/>
      <c r="V22281" s="5"/>
    </row>
    <row r="22282">
      <c r="N22282" s="1"/>
      <c r="V22282" s="5"/>
    </row>
    <row r="22283">
      <c r="N22283" s="1"/>
      <c r="V22283" s="5"/>
    </row>
    <row r="22284">
      <c r="N22284" s="1"/>
      <c r="V22284" s="5"/>
    </row>
    <row r="22285">
      <c r="N22285" s="1"/>
      <c r="V22285" s="5"/>
    </row>
    <row r="22286">
      <c r="N22286" s="1"/>
      <c r="V22286" s="5"/>
    </row>
    <row r="22287">
      <c r="N22287" s="1"/>
      <c r="V22287" s="5"/>
    </row>
    <row r="22288">
      <c r="N22288" s="1"/>
      <c r="V22288" s="5"/>
    </row>
    <row r="22289">
      <c r="N22289" s="1"/>
      <c r="V22289" s="5"/>
    </row>
    <row r="22290">
      <c r="N22290" s="1"/>
      <c r="V22290" s="5"/>
    </row>
    <row r="22291">
      <c r="N22291" s="1"/>
      <c r="V22291" s="5"/>
    </row>
    <row r="22292">
      <c r="N22292" s="1"/>
      <c r="V22292" s="5"/>
    </row>
    <row r="22293">
      <c r="N22293" s="1"/>
      <c r="V22293" s="5"/>
    </row>
    <row r="22294">
      <c r="N22294" s="1"/>
      <c r="V22294" s="5"/>
    </row>
    <row r="22295">
      <c r="N22295" s="1"/>
      <c r="V22295" s="5"/>
    </row>
    <row r="22296">
      <c r="N22296" s="1"/>
      <c r="V22296" s="5"/>
    </row>
    <row r="22297">
      <c r="N22297" s="1"/>
      <c r="V22297" s="5"/>
    </row>
    <row r="22298">
      <c r="N22298" s="1"/>
      <c r="V22298" s="5"/>
    </row>
    <row r="22299">
      <c r="N22299" s="1"/>
      <c r="V22299" s="5"/>
    </row>
    <row r="22300">
      <c r="N22300" s="1"/>
      <c r="V22300" s="5"/>
    </row>
    <row r="22301">
      <c r="N22301" s="1"/>
      <c r="V22301" s="5"/>
    </row>
    <row r="22302">
      <c r="N22302" s="1"/>
      <c r="V22302" s="5"/>
    </row>
    <row r="22303">
      <c r="N22303" s="1"/>
      <c r="V22303" s="5"/>
    </row>
    <row r="22304">
      <c r="N22304" s="1"/>
      <c r="V22304" s="5"/>
    </row>
    <row r="22305">
      <c r="N22305" s="1"/>
      <c r="V22305" s="5"/>
    </row>
    <row r="22306">
      <c r="N22306" s="1"/>
      <c r="V22306" s="5"/>
    </row>
    <row r="22307">
      <c r="N22307" s="1"/>
      <c r="V22307" s="5"/>
    </row>
    <row r="22308">
      <c r="N22308" s="1"/>
      <c r="V22308" s="5"/>
    </row>
    <row r="22309">
      <c r="N22309" s="1"/>
      <c r="V22309" s="5"/>
    </row>
    <row r="22310">
      <c r="N22310" s="1"/>
      <c r="V22310" s="5"/>
    </row>
    <row r="22311">
      <c r="N22311" s="1"/>
      <c r="V22311" s="5"/>
    </row>
    <row r="22312">
      <c r="N22312" s="1"/>
      <c r="V22312" s="5"/>
    </row>
    <row r="22313">
      <c r="N22313" s="1"/>
      <c r="V22313" s="5"/>
    </row>
    <row r="22314">
      <c r="N22314" s="1"/>
      <c r="V22314" s="5"/>
    </row>
    <row r="22315">
      <c r="N22315" s="1"/>
      <c r="V22315" s="5"/>
    </row>
    <row r="22316">
      <c r="N22316" s="1"/>
      <c r="V22316" s="5"/>
    </row>
    <row r="22317">
      <c r="N22317" s="1"/>
      <c r="V22317" s="5"/>
    </row>
    <row r="22318">
      <c r="N22318" s="1"/>
      <c r="V22318" s="5"/>
    </row>
    <row r="22319">
      <c r="N22319" s="1"/>
      <c r="V22319" s="5"/>
    </row>
    <row r="22320">
      <c r="N22320" s="1"/>
      <c r="V22320" s="5"/>
    </row>
    <row r="22321">
      <c r="N22321" s="1"/>
      <c r="V22321" s="5"/>
    </row>
    <row r="22322">
      <c r="N22322" s="1"/>
      <c r="V22322" s="5"/>
    </row>
    <row r="22323">
      <c r="N22323" s="1"/>
      <c r="V22323" s="5"/>
    </row>
    <row r="22324">
      <c r="N22324" s="1"/>
      <c r="V22324" s="5"/>
    </row>
    <row r="22325">
      <c r="N22325" s="1"/>
      <c r="V22325" s="5"/>
    </row>
    <row r="22326">
      <c r="N22326" s="1"/>
      <c r="V22326" s="5"/>
    </row>
    <row r="22327">
      <c r="N22327" s="1"/>
      <c r="V22327" s="5"/>
    </row>
    <row r="22328">
      <c r="N22328" s="1"/>
      <c r="V22328" s="5"/>
    </row>
    <row r="22329">
      <c r="N22329" s="1"/>
      <c r="V22329" s="5"/>
    </row>
    <row r="22330">
      <c r="N22330" s="1"/>
      <c r="V22330" s="5"/>
    </row>
    <row r="22331">
      <c r="N22331" s="1"/>
      <c r="V22331" s="5"/>
    </row>
    <row r="22332">
      <c r="N22332" s="1"/>
      <c r="V22332" s="5"/>
    </row>
    <row r="22333">
      <c r="N22333" s="1"/>
      <c r="V22333" s="5"/>
    </row>
    <row r="22334">
      <c r="N22334" s="1"/>
      <c r="V22334" s="5"/>
    </row>
    <row r="22335">
      <c r="N22335" s="1"/>
      <c r="V22335" s="5"/>
    </row>
    <row r="22336">
      <c r="N22336" s="1"/>
      <c r="V22336" s="5"/>
    </row>
    <row r="22337">
      <c r="N22337" s="1"/>
      <c r="V22337" s="5"/>
    </row>
    <row r="22338">
      <c r="N22338" s="1"/>
      <c r="V22338" s="5"/>
    </row>
    <row r="22339">
      <c r="N22339" s="1"/>
      <c r="V22339" s="5"/>
    </row>
    <row r="22340">
      <c r="N22340" s="1"/>
      <c r="V22340" s="5"/>
    </row>
    <row r="22341">
      <c r="N22341" s="1"/>
      <c r="V22341" s="5"/>
    </row>
    <row r="22342">
      <c r="N22342" s="1"/>
      <c r="V22342" s="5"/>
    </row>
    <row r="22343">
      <c r="N22343" s="1"/>
      <c r="V22343" s="5"/>
    </row>
    <row r="22344">
      <c r="N22344" s="1"/>
      <c r="V22344" s="5"/>
    </row>
    <row r="22345">
      <c r="N22345" s="1"/>
      <c r="V22345" s="5"/>
    </row>
    <row r="22346">
      <c r="N22346" s="1"/>
      <c r="V22346" s="5"/>
    </row>
    <row r="22347">
      <c r="N22347" s="1"/>
      <c r="V22347" s="5"/>
    </row>
    <row r="22348">
      <c r="N22348" s="1"/>
      <c r="V22348" s="5"/>
    </row>
    <row r="22349">
      <c r="N22349" s="1"/>
      <c r="V22349" s="5"/>
    </row>
    <row r="22350">
      <c r="N22350" s="1"/>
      <c r="V22350" s="5"/>
    </row>
    <row r="22351">
      <c r="N22351" s="1"/>
      <c r="V22351" s="5"/>
    </row>
    <row r="22352">
      <c r="N22352" s="1"/>
      <c r="V22352" s="5"/>
    </row>
    <row r="22353">
      <c r="N22353" s="1"/>
      <c r="V22353" s="5"/>
    </row>
    <row r="22354">
      <c r="N22354" s="1"/>
      <c r="V22354" s="5"/>
    </row>
    <row r="22355">
      <c r="N22355" s="1"/>
      <c r="V22355" s="5"/>
    </row>
    <row r="22356">
      <c r="N22356" s="1"/>
      <c r="V22356" s="5"/>
    </row>
    <row r="22357">
      <c r="N22357" s="1"/>
      <c r="V22357" s="5"/>
    </row>
    <row r="22358">
      <c r="N22358" s="1"/>
      <c r="V22358" s="5"/>
    </row>
    <row r="22359">
      <c r="N22359" s="1"/>
      <c r="V22359" s="5"/>
    </row>
    <row r="22360">
      <c r="N22360" s="1"/>
      <c r="V22360" s="5"/>
    </row>
    <row r="22361">
      <c r="N22361" s="1"/>
      <c r="V22361" s="5"/>
    </row>
    <row r="22362">
      <c r="N22362" s="1"/>
      <c r="V22362" s="5"/>
    </row>
    <row r="22363">
      <c r="N22363" s="1"/>
      <c r="V22363" s="5"/>
    </row>
    <row r="22364">
      <c r="N22364" s="1"/>
      <c r="V22364" s="5"/>
    </row>
    <row r="22365">
      <c r="N22365" s="1"/>
      <c r="V22365" s="5"/>
    </row>
    <row r="22366">
      <c r="N22366" s="1"/>
      <c r="V22366" s="5"/>
    </row>
    <row r="22367">
      <c r="N22367" s="1"/>
      <c r="V22367" s="5"/>
    </row>
    <row r="22368">
      <c r="N22368" s="1"/>
      <c r="V22368" s="5"/>
    </row>
    <row r="22369">
      <c r="N22369" s="1"/>
      <c r="V22369" s="5"/>
    </row>
    <row r="22370">
      <c r="N22370" s="1"/>
      <c r="V22370" s="5"/>
    </row>
    <row r="22371">
      <c r="N22371" s="1"/>
      <c r="V22371" s="5"/>
    </row>
    <row r="22372">
      <c r="N22372" s="1"/>
      <c r="V22372" s="5"/>
    </row>
    <row r="22373">
      <c r="N22373" s="1"/>
      <c r="V22373" s="5"/>
    </row>
    <row r="22374">
      <c r="N22374" s="1"/>
      <c r="V22374" s="5"/>
    </row>
    <row r="22375">
      <c r="N22375" s="1"/>
      <c r="V22375" s="5"/>
    </row>
    <row r="22376">
      <c r="N22376" s="1"/>
      <c r="V22376" s="5"/>
    </row>
    <row r="22377">
      <c r="N22377" s="1"/>
      <c r="V22377" s="5"/>
    </row>
    <row r="22378">
      <c r="N22378" s="1"/>
      <c r="V22378" s="5"/>
    </row>
    <row r="22379">
      <c r="N22379" s="1"/>
      <c r="V22379" s="5"/>
    </row>
    <row r="22380">
      <c r="N22380" s="1"/>
      <c r="V22380" s="5"/>
    </row>
    <row r="22381">
      <c r="N22381" s="1"/>
      <c r="V22381" s="5"/>
    </row>
    <row r="22382">
      <c r="N22382" s="1"/>
      <c r="V22382" s="5"/>
    </row>
    <row r="22383">
      <c r="N22383" s="1"/>
      <c r="V22383" s="5"/>
    </row>
    <row r="22384">
      <c r="N22384" s="1"/>
      <c r="V22384" s="5"/>
    </row>
    <row r="22385">
      <c r="N22385" s="1"/>
      <c r="V22385" s="5"/>
    </row>
    <row r="22386">
      <c r="N22386" s="1"/>
      <c r="V22386" s="5"/>
    </row>
    <row r="22387">
      <c r="N22387" s="1"/>
      <c r="V22387" s="5"/>
    </row>
    <row r="22388">
      <c r="N22388" s="1"/>
      <c r="V22388" s="5"/>
    </row>
    <row r="22389">
      <c r="N22389" s="1"/>
      <c r="V22389" s="5"/>
    </row>
    <row r="22390">
      <c r="N22390" s="1"/>
      <c r="V22390" s="5"/>
    </row>
    <row r="22391">
      <c r="N22391" s="1"/>
      <c r="V22391" s="5"/>
    </row>
    <row r="22392">
      <c r="N22392" s="1"/>
      <c r="V22392" s="5"/>
    </row>
    <row r="22393">
      <c r="N22393" s="1"/>
      <c r="V22393" s="5"/>
    </row>
    <row r="22394">
      <c r="N22394" s="1"/>
      <c r="V22394" s="5"/>
    </row>
    <row r="22395">
      <c r="N22395" s="1"/>
      <c r="V22395" s="5"/>
    </row>
    <row r="22396">
      <c r="N22396" s="1"/>
      <c r="V22396" s="5"/>
    </row>
    <row r="22397">
      <c r="N22397" s="1"/>
      <c r="V22397" s="5"/>
    </row>
    <row r="22398">
      <c r="N22398" s="1"/>
      <c r="V22398" s="5"/>
    </row>
    <row r="22399">
      <c r="N22399" s="1"/>
      <c r="V22399" s="5"/>
    </row>
    <row r="22400">
      <c r="N22400" s="1"/>
      <c r="V22400" s="5"/>
    </row>
    <row r="22401">
      <c r="N22401" s="1"/>
      <c r="V22401" s="5"/>
    </row>
    <row r="22402">
      <c r="N22402" s="1"/>
      <c r="V22402" s="5"/>
    </row>
    <row r="22403">
      <c r="N22403" s="1"/>
      <c r="V22403" s="5"/>
    </row>
    <row r="22404">
      <c r="N22404" s="1"/>
      <c r="V22404" s="5"/>
    </row>
    <row r="22405">
      <c r="N22405" s="1"/>
      <c r="V22405" s="5"/>
    </row>
    <row r="22406">
      <c r="N22406" s="1"/>
      <c r="V22406" s="5"/>
    </row>
    <row r="22407">
      <c r="N22407" s="1"/>
      <c r="V22407" s="5"/>
    </row>
    <row r="22408">
      <c r="N22408" s="1"/>
      <c r="V22408" s="5"/>
    </row>
    <row r="22409">
      <c r="N22409" s="1"/>
      <c r="V22409" s="5"/>
    </row>
    <row r="22410">
      <c r="N22410" s="1"/>
      <c r="V22410" s="5"/>
    </row>
    <row r="22411">
      <c r="N22411" s="1"/>
      <c r="V22411" s="5"/>
    </row>
    <row r="22412">
      <c r="N22412" s="1"/>
      <c r="V22412" s="5"/>
    </row>
    <row r="22413">
      <c r="N22413" s="1"/>
      <c r="V22413" s="5"/>
    </row>
    <row r="22414">
      <c r="N22414" s="1"/>
      <c r="V22414" s="5"/>
    </row>
    <row r="22415">
      <c r="N22415" s="1"/>
      <c r="V22415" s="5"/>
    </row>
    <row r="22416">
      <c r="N22416" s="1"/>
      <c r="V22416" s="5"/>
    </row>
    <row r="22417">
      <c r="N22417" s="1"/>
      <c r="V22417" s="5"/>
    </row>
    <row r="22418">
      <c r="N22418" s="1"/>
      <c r="V22418" s="5"/>
    </row>
    <row r="22419">
      <c r="N22419" s="1"/>
      <c r="V22419" s="5"/>
    </row>
    <row r="22420">
      <c r="N22420" s="1"/>
      <c r="V22420" s="5"/>
    </row>
    <row r="22421">
      <c r="N22421" s="1"/>
      <c r="V22421" s="5"/>
    </row>
    <row r="22422">
      <c r="N22422" s="1"/>
      <c r="V22422" s="5"/>
    </row>
    <row r="22423">
      <c r="N22423" s="1"/>
      <c r="V22423" s="5"/>
    </row>
    <row r="22424">
      <c r="N22424" s="1"/>
      <c r="V22424" s="5"/>
    </row>
    <row r="22425">
      <c r="N22425" s="1"/>
      <c r="V22425" s="5"/>
    </row>
    <row r="22426">
      <c r="N22426" s="1"/>
      <c r="V22426" s="5"/>
    </row>
    <row r="22427">
      <c r="N22427" s="1"/>
      <c r="V22427" s="5"/>
    </row>
    <row r="22428">
      <c r="N22428" s="1"/>
      <c r="V22428" s="5"/>
    </row>
    <row r="22429">
      <c r="N22429" s="1"/>
      <c r="V22429" s="5"/>
    </row>
    <row r="22430">
      <c r="N22430" s="1"/>
      <c r="V22430" s="5"/>
    </row>
    <row r="22431">
      <c r="N22431" s="1"/>
      <c r="V22431" s="5"/>
    </row>
    <row r="22432">
      <c r="N22432" s="1"/>
      <c r="V22432" s="5"/>
    </row>
    <row r="22433">
      <c r="N22433" s="1"/>
      <c r="V22433" s="5"/>
    </row>
    <row r="22434">
      <c r="N22434" s="1"/>
      <c r="V22434" s="5"/>
    </row>
    <row r="22435">
      <c r="N22435" s="1"/>
      <c r="V22435" s="5"/>
    </row>
    <row r="22436">
      <c r="N22436" s="1"/>
      <c r="V22436" s="5"/>
    </row>
    <row r="22437">
      <c r="N22437" s="1"/>
      <c r="V22437" s="5"/>
    </row>
    <row r="22438">
      <c r="N22438" s="1"/>
      <c r="V22438" s="5"/>
    </row>
    <row r="22439">
      <c r="N22439" s="1"/>
      <c r="V22439" s="5"/>
    </row>
    <row r="22440">
      <c r="N22440" s="1"/>
      <c r="V22440" s="5"/>
    </row>
    <row r="22441">
      <c r="N22441" s="1"/>
      <c r="V22441" s="5"/>
    </row>
    <row r="22442">
      <c r="N22442" s="1"/>
      <c r="V22442" s="5"/>
    </row>
    <row r="22443">
      <c r="N22443" s="1"/>
      <c r="V22443" s="5"/>
    </row>
    <row r="22444">
      <c r="N22444" s="1"/>
      <c r="V22444" s="5"/>
    </row>
    <row r="22445">
      <c r="N22445" s="1"/>
      <c r="V22445" s="5"/>
    </row>
    <row r="22446">
      <c r="N22446" s="1"/>
      <c r="V22446" s="5"/>
    </row>
    <row r="22447">
      <c r="N22447" s="1"/>
      <c r="V22447" s="5"/>
    </row>
    <row r="22448">
      <c r="N22448" s="1"/>
      <c r="V22448" s="5"/>
    </row>
    <row r="22449">
      <c r="N22449" s="1"/>
      <c r="V22449" s="5"/>
    </row>
    <row r="22450">
      <c r="N22450" s="1"/>
      <c r="V22450" s="5"/>
    </row>
    <row r="22451">
      <c r="N22451" s="1"/>
      <c r="V22451" s="5"/>
    </row>
    <row r="22452">
      <c r="N22452" s="1"/>
      <c r="V22452" s="5"/>
    </row>
    <row r="22453">
      <c r="N22453" s="1"/>
      <c r="V22453" s="5"/>
    </row>
    <row r="22454">
      <c r="N22454" s="1"/>
      <c r="V22454" s="5"/>
    </row>
    <row r="22455">
      <c r="N22455" s="1"/>
      <c r="V22455" s="5"/>
    </row>
    <row r="22456">
      <c r="N22456" s="1"/>
      <c r="V22456" s="5"/>
    </row>
    <row r="22457">
      <c r="N22457" s="1"/>
      <c r="V22457" s="5"/>
    </row>
    <row r="22458">
      <c r="N22458" s="1"/>
      <c r="V22458" s="5"/>
    </row>
    <row r="22459">
      <c r="N22459" s="1"/>
      <c r="V22459" s="5"/>
    </row>
    <row r="22460">
      <c r="N22460" s="1"/>
      <c r="V22460" s="5"/>
    </row>
    <row r="22461">
      <c r="N22461" s="1"/>
      <c r="V22461" s="5"/>
    </row>
    <row r="22462">
      <c r="N22462" s="1"/>
      <c r="V22462" s="5"/>
    </row>
    <row r="22463">
      <c r="N22463" s="1"/>
      <c r="V22463" s="5"/>
    </row>
    <row r="22464">
      <c r="N22464" s="1"/>
      <c r="V22464" s="5"/>
    </row>
    <row r="22465">
      <c r="N22465" s="1"/>
      <c r="V22465" s="5"/>
    </row>
    <row r="22466">
      <c r="N22466" s="1"/>
      <c r="V22466" s="5"/>
    </row>
    <row r="22467">
      <c r="N22467" s="1"/>
      <c r="V22467" s="5"/>
    </row>
    <row r="22468">
      <c r="N22468" s="1"/>
      <c r="V22468" s="5"/>
    </row>
    <row r="22469">
      <c r="N22469" s="1"/>
      <c r="V22469" s="5"/>
    </row>
    <row r="22470">
      <c r="N22470" s="1"/>
      <c r="V22470" s="5"/>
    </row>
    <row r="22471">
      <c r="N22471" s="1"/>
      <c r="V22471" s="5"/>
    </row>
    <row r="22472">
      <c r="N22472" s="1"/>
      <c r="V22472" s="5"/>
    </row>
    <row r="22473">
      <c r="N22473" s="1"/>
      <c r="V22473" s="5"/>
    </row>
    <row r="22474">
      <c r="N22474" s="1"/>
      <c r="V22474" s="5"/>
    </row>
    <row r="22475">
      <c r="N22475" s="1"/>
      <c r="V22475" s="5"/>
    </row>
    <row r="22476">
      <c r="N22476" s="1"/>
      <c r="V22476" s="5"/>
    </row>
    <row r="22477">
      <c r="N22477" s="1"/>
      <c r="V22477" s="5"/>
    </row>
    <row r="22478">
      <c r="N22478" s="1"/>
      <c r="V22478" s="5"/>
    </row>
    <row r="22479">
      <c r="N22479" s="1"/>
      <c r="V22479" s="5"/>
    </row>
    <row r="22480">
      <c r="N22480" s="1"/>
      <c r="V22480" s="5"/>
    </row>
    <row r="22481">
      <c r="N22481" s="1"/>
      <c r="V22481" s="5"/>
    </row>
    <row r="22482">
      <c r="N22482" s="1"/>
      <c r="V22482" s="5"/>
    </row>
    <row r="22483">
      <c r="N22483" s="1"/>
      <c r="V22483" s="5"/>
    </row>
    <row r="22484">
      <c r="N22484" s="1"/>
      <c r="V22484" s="5"/>
    </row>
    <row r="22485">
      <c r="N22485" s="1"/>
      <c r="V22485" s="5"/>
    </row>
    <row r="22486">
      <c r="N22486" s="1"/>
      <c r="V22486" s="5"/>
    </row>
    <row r="22487">
      <c r="N22487" s="1"/>
      <c r="V22487" s="5"/>
    </row>
    <row r="22488">
      <c r="N22488" s="1"/>
      <c r="V22488" s="5"/>
    </row>
    <row r="22489">
      <c r="N22489" s="1"/>
      <c r="V22489" s="5"/>
    </row>
    <row r="22490">
      <c r="N22490" s="1"/>
      <c r="V22490" s="5"/>
    </row>
    <row r="22491">
      <c r="N22491" s="1"/>
      <c r="V22491" s="5"/>
    </row>
    <row r="22492">
      <c r="N22492" s="1"/>
      <c r="V22492" s="5"/>
    </row>
    <row r="22493">
      <c r="N22493" s="1"/>
      <c r="V22493" s="5"/>
    </row>
    <row r="22494">
      <c r="N22494" s="1"/>
      <c r="V22494" s="5"/>
    </row>
    <row r="22495">
      <c r="N22495" s="1"/>
      <c r="V22495" s="5"/>
    </row>
    <row r="22496">
      <c r="N22496" s="1"/>
      <c r="V22496" s="5"/>
    </row>
    <row r="22497">
      <c r="N22497" s="1"/>
      <c r="V22497" s="5"/>
    </row>
    <row r="22498">
      <c r="N22498" s="1"/>
      <c r="V22498" s="5"/>
    </row>
    <row r="22499">
      <c r="N22499" s="1"/>
      <c r="V22499" s="5"/>
    </row>
    <row r="22500">
      <c r="N22500" s="1"/>
      <c r="V22500" s="5"/>
    </row>
    <row r="22501">
      <c r="N22501" s="1"/>
      <c r="V22501" s="5"/>
    </row>
    <row r="22502">
      <c r="N22502" s="1"/>
      <c r="V22502" s="5"/>
    </row>
    <row r="22503">
      <c r="N22503" s="1"/>
      <c r="V22503" s="5"/>
    </row>
    <row r="22504">
      <c r="N22504" s="1"/>
      <c r="V22504" s="5"/>
    </row>
    <row r="22505">
      <c r="N22505" s="1"/>
      <c r="V22505" s="5"/>
    </row>
    <row r="22506">
      <c r="N22506" s="1"/>
      <c r="V22506" s="5"/>
    </row>
    <row r="22507">
      <c r="N22507" s="1"/>
      <c r="V22507" s="5"/>
    </row>
    <row r="22508">
      <c r="N22508" s="1"/>
      <c r="V22508" s="5"/>
    </row>
    <row r="22509">
      <c r="N22509" s="1"/>
      <c r="V22509" s="5"/>
    </row>
    <row r="22510">
      <c r="N22510" s="1"/>
      <c r="V22510" s="5"/>
    </row>
    <row r="22511">
      <c r="N22511" s="1"/>
      <c r="V22511" s="5"/>
    </row>
    <row r="22512">
      <c r="N22512" s="1"/>
      <c r="V22512" s="5"/>
    </row>
    <row r="22513">
      <c r="N22513" s="1"/>
      <c r="V22513" s="5"/>
    </row>
    <row r="22514">
      <c r="N22514" s="1"/>
      <c r="V22514" s="5"/>
    </row>
    <row r="22515">
      <c r="N22515" s="1"/>
      <c r="V22515" s="5"/>
    </row>
    <row r="22516">
      <c r="N22516" s="1"/>
      <c r="V22516" s="5"/>
    </row>
    <row r="22517">
      <c r="N22517" s="1"/>
      <c r="V22517" s="5"/>
    </row>
    <row r="22518">
      <c r="N22518" s="1"/>
      <c r="V22518" s="5"/>
    </row>
    <row r="22519">
      <c r="N22519" s="1"/>
      <c r="V22519" s="5"/>
    </row>
    <row r="22520">
      <c r="N22520" s="1"/>
      <c r="V22520" s="5"/>
    </row>
    <row r="22521">
      <c r="N22521" s="1"/>
      <c r="V22521" s="5"/>
    </row>
    <row r="22522">
      <c r="N22522" s="1"/>
      <c r="V22522" s="5"/>
    </row>
    <row r="22523">
      <c r="N22523" s="1"/>
      <c r="V22523" s="5"/>
    </row>
    <row r="22524">
      <c r="N22524" s="1"/>
      <c r="V22524" s="5"/>
    </row>
    <row r="22525">
      <c r="N22525" s="1"/>
      <c r="V22525" s="5"/>
    </row>
    <row r="22526">
      <c r="N22526" s="1"/>
      <c r="V22526" s="5"/>
    </row>
    <row r="22527">
      <c r="N22527" s="1"/>
      <c r="V22527" s="5"/>
    </row>
    <row r="22528">
      <c r="N22528" s="1"/>
      <c r="V22528" s="5"/>
    </row>
    <row r="22529">
      <c r="N22529" s="1"/>
      <c r="V22529" s="5"/>
    </row>
    <row r="22530">
      <c r="N22530" s="1"/>
      <c r="V22530" s="5"/>
    </row>
    <row r="22531">
      <c r="N22531" s="1"/>
      <c r="V22531" s="5"/>
    </row>
    <row r="22532">
      <c r="N22532" s="1"/>
      <c r="V22532" s="5"/>
    </row>
    <row r="22533">
      <c r="N22533" s="1"/>
      <c r="V22533" s="5"/>
    </row>
    <row r="22534">
      <c r="N22534" s="1"/>
      <c r="V22534" s="5"/>
    </row>
    <row r="22535">
      <c r="N22535" s="1"/>
      <c r="V22535" s="5"/>
    </row>
    <row r="22536">
      <c r="N22536" s="1"/>
      <c r="V22536" s="5"/>
    </row>
    <row r="22537">
      <c r="N22537" s="1"/>
      <c r="V22537" s="5"/>
    </row>
    <row r="22538">
      <c r="N22538" s="1"/>
      <c r="V22538" s="5"/>
    </row>
    <row r="22539">
      <c r="N22539" s="1"/>
      <c r="V22539" s="5"/>
    </row>
    <row r="22540">
      <c r="N22540" s="1"/>
      <c r="V22540" s="5"/>
    </row>
    <row r="22541">
      <c r="N22541" s="1"/>
      <c r="V22541" s="5"/>
    </row>
    <row r="22542">
      <c r="N22542" s="1"/>
      <c r="V22542" s="5"/>
    </row>
    <row r="22543">
      <c r="N22543" s="1"/>
      <c r="V22543" s="5"/>
    </row>
    <row r="22544">
      <c r="N22544" s="1"/>
      <c r="V22544" s="5"/>
    </row>
    <row r="22545">
      <c r="N22545" s="1"/>
      <c r="V22545" s="5"/>
    </row>
    <row r="22546">
      <c r="N22546" s="1"/>
      <c r="V22546" s="5"/>
    </row>
    <row r="22547">
      <c r="N22547" s="1"/>
      <c r="V22547" s="5"/>
    </row>
    <row r="22548">
      <c r="N22548" s="1"/>
      <c r="V22548" s="5"/>
    </row>
    <row r="22549">
      <c r="N22549" s="1"/>
      <c r="V22549" s="5"/>
    </row>
    <row r="22550">
      <c r="N22550" s="1"/>
      <c r="V22550" s="5"/>
    </row>
    <row r="22551">
      <c r="N22551" s="1"/>
      <c r="V22551" s="5"/>
    </row>
    <row r="22552">
      <c r="N22552" s="1"/>
      <c r="V22552" s="5"/>
    </row>
    <row r="22553">
      <c r="N22553" s="1"/>
      <c r="V22553" s="5"/>
    </row>
    <row r="22554">
      <c r="N22554" s="1"/>
      <c r="V22554" s="5"/>
    </row>
    <row r="22555">
      <c r="N22555" s="1"/>
      <c r="V22555" s="5"/>
    </row>
    <row r="22556">
      <c r="N22556" s="1"/>
      <c r="V22556" s="5"/>
    </row>
    <row r="22557">
      <c r="N22557" s="1"/>
      <c r="V22557" s="5"/>
    </row>
    <row r="22558">
      <c r="N22558" s="1"/>
      <c r="V22558" s="5"/>
    </row>
    <row r="22559">
      <c r="N22559" s="1"/>
      <c r="V22559" s="5"/>
    </row>
    <row r="22560">
      <c r="N22560" s="1"/>
      <c r="V22560" s="5"/>
    </row>
    <row r="22561">
      <c r="N22561" s="1"/>
      <c r="V22561" s="5"/>
    </row>
    <row r="22562">
      <c r="N22562" s="1"/>
      <c r="V22562" s="5"/>
    </row>
    <row r="22563">
      <c r="N22563" s="1"/>
      <c r="V22563" s="5"/>
    </row>
    <row r="22564">
      <c r="N22564" s="1"/>
      <c r="V22564" s="5"/>
    </row>
    <row r="22565">
      <c r="N22565" s="1"/>
      <c r="V22565" s="5"/>
    </row>
    <row r="22566">
      <c r="N22566" s="1"/>
      <c r="V22566" s="5"/>
    </row>
    <row r="22567">
      <c r="N22567" s="1"/>
      <c r="V22567" s="5"/>
    </row>
    <row r="22568">
      <c r="N22568" s="1"/>
      <c r="V22568" s="5"/>
    </row>
    <row r="22569">
      <c r="N22569" s="1"/>
      <c r="V22569" s="5"/>
    </row>
    <row r="22570">
      <c r="N22570" s="1"/>
      <c r="V22570" s="5"/>
    </row>
    <row r="22571">
      <c r="N22571" s="1"/>
      <c r="V22571" s="5"/>
    </row>
    <row r="22572">
      <c r="N22572" s="1"/>
      <c r="V22572" s="5"/>
    </row>
    <row r="22573">
      <c r="N22573" s="1"/>
      <c r="V22573" s="5"/>
    </row>
    <row r="22574">
      <c r="N22574" s="1"/>
      <c r="V22574" s="5"/>
    </row>
    <row r="22575">
      <c r="N22575" s="1"/>
      <c r="V22575" s="5"/>
    </row>
    <row r="22576">
      <c r="N22576" s="1"/>
      <c r="V22576" s="5"/>
    </row>
    <row r="22577">
      <c r="N22577" s="1"/>
      <c r="V22577" s="5"/>
    </row>
    <row r="22578">
      <c r="N22578" s="1"/>
      <c r="V22578" s="5"/>
    </row>
    <row r="22579">
      <c r="N22579" s="1"/>
      <c r="V22579" s="5"/>
    </row>
    <row r="22580">
      <c r="N22580" s="1"/>
      <c r="V22580" s="5"/>
    </row>
    <row r="22581">
      <c r="N22581" s="1"/>
      <c r="V22581" s="5"/>
    </row>
    <row r="22582">
      <c r="N22582" s="1"/>
      <c r="V22582" s="5"/>
    </row>
    <row r="22583">
      <c r="N22583" s="1"/>
      <c r="V22583" s="5"/>
    </row>
    <row r="22584">
      <c r="N22584" s="1"/>
      <c r="V22584" s="5"/>
    </row>
    <row r="22585">
      <c r="N22585" s="1"/>
      <c r="V22585" s="5"/>
    </row>
    <row r="22586">
      <c r="N22586" s="1"/>
      <c r="V22586" s="5"/>
    </row>
    <row r="22587">
      <c r="N22587" s="1"/>
      <c r="V22587" s="5"/>
    </row>
    <row r="22588">
      <c r="N22588" s="1"/>
      <c r="V22588" s="5"/>
    </row>
    <row r="22589">
      <c r="N22589" s="1"/>
      <c r="V22589" s="5"/>
    </row>
    <row r="22590">
      <c r="N22590" s="1"/>
      <c r="V22590" s="5"/>
    </row>
    <row r="22591">
      <c r="N22591" s="1"/>
      <c r="V22591" s="5"/>
    </row>
    <row r="22592">
      <c r="N22592" s="1"/>
      <c r="V22592" s="5"/>
    </row>
    <row r="22593">
      <c r="N22593" s="1"/>
      <c r="V22593" s="5"/>
    </row>
    <row r="22594">
      <c r="N22594" s="1"/>
      <c r="V22594" s="5"/>
    </row>
    <row r="22595">
      <c r="N22595" s="1"/>
      <c r="V22595" s="5"/>
    </row>
    <row r="22596">
      <c r="N22596" s="1"/>
      <c r="V22596" s="5"/>
    </row>
    <row r="22597">
      <c r="N22597" s="1"/>
      <c r="V22597" s="5"/>
    </row>
    <row r="22598">
      <c r="N22598" s="1"/>
      <c r="V22598" s="5"/>
    </row>
    <row r="22599">
      <c r="N22599" s="1"/>
      <c r="V22599" s="5"/>
    </row>
    <row r="22600">
      <c r="N22600" s="1"/>
      <c r="V22600" s="5"/>
    </row>
    <row r="22601">
      <c r="N22601" s="1"/>
      <c r="V22601" s="5"/>
    </row>
    <row r="22602">
      <c r="N22602" s="1"/>
      <c r="V22602" s="5"/>
    </row>
    <row r="22603">
      <c r="N22603" s="1"/>
      <c r="V22603" s="5"/>
    </row>
    <row r="22604">
      <c r="N22604" s="1"/>
      <c r="V22604" s="5"/>
    </row>
    <row r="22605">
      <c r="N22605" s="1"/>
      <c r="V22605" s="5"/>
    </row>
    <row r="22606">
      <c r="N22606" s="1"/>
      <c r="V22606" s="5"/>
    </row>
    <row r="22607">
      <c r="N22607" s="1"/>
      <c r="V22607" s="5"/>
    </row>
    <row r="22608">
      <c r="N22608" s="1"/>
      <c r="V22608" s="5"/>
    </row>
    <row r="22609">
      <c r="N22609" s="1"/>
      <c r="V22609" s="5"/>
    </row>
    <row r="22610">
      <c r="N22610" s="1"/>
      <c r="V22610" s="5"/>
    </row>
    <row r="22611">
      <c r="N22611" s="1"/>
      <c r="V22611" s="5"/>
    </row>
    <row r="22612">
      <c r="N22612" s="1"/>
      <c r="V22612" s="5"/>
    </row>
    <row r="22613">
      <c r="N22613" s="1"/>
      <c r="V22613" s="5"/>
    </row>
    <row r="22614">
      <c r="N22614" s="1"/>
      <c r="V22614" s="5"/>
    </row>
    <row r="22615">
      <c r="N22615" s="1"/>
      <c r="V22615" s="5"/>
    </row>
    <row r="22616">
      <c r="N22616" s="1"/>
      <c r="V22616" s="5"/>
    </row>
    <row r="22617">
      <c r="N22617" s="1"/>
      <c r="V22617" s="5"/>
    </row>
    <row r="22618">
      <c r="N22618" s="1"/>
      <c r="V22618" s="5"/>
    </row>
    <row r="22619">
      <c r="N22619" s="1"/>
      <c r="V22619" s="5"/>
    </row>
    <row r="22620">
      <c r="N22620" s="1"/>
      <c r="V22620" s="5"/>
    </row>
    <row r="22621">
      <c r="N22621" s="1"/>
      <c r="V22621" s="5"/>
    </row>
    <row r="22622">
      <c r="N22622" s="1"/>
      <c r="V22622" s="5"/>
    </row>
    <row r="22623">
      <c r="N22623" s="1"/>
      <c r="V22623" s="5"/>
    </row>
    <row r="22624">
      <c r="N22624" s="1"/>
      <c r="V22624" s="5"/>
    </row>
    <row r="22625">
      <c r="N22625" s="1"/>
      <c r="V22625" s="5"/>
    </row>
    <row r="22626">
      <c r="N22626" s="1"/>
      <c r="V22626" s="5"/>
    </row>
    <row r="22627">
      <c r="N22627" s="1"/>
      <c r="V22627" s="5"/>
    </row>
    <row r="22628">
      <c r="N22628" s="1"/>
      <c r="V22628" s="5"/>
    </row>
    <row r="22629">
      <c r="N22629" s="1"/>
      <c r="V22629" s="5"/>
    </row>
    <row r="22630">
      <c r="N22630" s="1"/>
      <c r="V22630" s="5"/>
    </row>
    <row r="22631">
      <c r="N22631" s="1"/>
      <c r="V22631" s="5"/>
    </row>
    <row r="22632">
      <c r="N22632" s="1"/>
      <c r="V22632" s="5"/>
    </row>
    <row r="22633">
      <c r="N22633" s="1"/>
      <c r="V22633" s="5"/>
    </row>
    <row r="22634">
      <c r="N22634" s="1"/>
      <c r="V22634" s="5"/>
    </row>
    <row r="22635">
      <c r="N22635" s="1"/>
      <c r="V22635" s="5"/>
    </row>
    <row r="22636">
      <c r="N22636" s="1"/>
      <c r="V22636" s="5"/>
    </row>
    <row r="22637">
      <c r="N22637" s="1"/>
      <c r="V22637" s="5"/>
    </row>
    <row r="22638">
      <c r="N22638" s="1"/>
      <c r="V22638" s="5"/>
    </row>
    <row r="22639">
      <c r="N22639" s="1"/>
      <c r="V22639" s="5"/>
    </row>
    <row r="22640">
      <c r="N22640" s="1"/>
      <c r="V22640" s="5"/>
    </row>
    <row r="22641">
      <c r="N22641" s="1"/>
      <c r="V22641" s="5"/>
    </row>
    <row r="22642">
      <c r="N22642" s="1"/>
      <c r="V22642" s="5"/>
    </row>
    <row r="22643">
      <c r="N22643" s="1"/>
      <c r="V22643" s="5"/>
    </row>
    <row r="22644">
      <c r="N22644" s="1"/>
      <c r="V22644" s="5"/>
    </row>
    <row r="22645">
      <c r="N22645" s="1"/>
      <c r="V22645" s="5"/>
    </row>
    <row r="22646">
      <c r="N22646" s="1"/>
      <c r="V22646" s="5"/>
    </row>
    <row r="22647">
      <c r="N22647" s="1"/>
      <c r="V22647" s="5"/>
    </row>
    <row r="22648">
      <c r="N22648" s="1"/>
      <c r="V22648" s="5"/>
    </row>
    <row r="22649">
      <c r="N22649" s="1"/>
      <c r="V22649" s="5"/>
    </row>
    <row r="22650">
      <c r="N22650" s="1"/>
      <c r="V22650" s="5"/>
    </row>
    <row r="22651">
      <c r="N22651" s="1"/>
      <c r="V22651" s="5"/>
    </row>
    <row r="22652">
      <c r="N22652" s="1"/>
      <c r="V22652" s="5"/>
    </row>
    <row r="22653">
      <c r="N22653" s="1"/>
      <c r="V22653" s="5"/>
    </row>
    <row r="22654">
      <c r="N22654" s="1"/>
      <c r="V22654" s="5"/>
    </row>
    <row r="22655">
      <c r="N22655" s="1"/>
      <c r="V22655" s="5"/>
    </row>
    <row r="22656">
      <c r="N22656" s="1"/>
      <c r="V22656" s="5"/>
    </row>
    <row r="22657">
      <c r="N22657" s="1"/>
      <c r="V22657" s="5"/>
    </row>
    <row r="22658">
      <c r="N22658" s="1"/>
      <c r="V22658" s="5"/>
    </row>
    <row r="22659">
      <c r="N22659" s="1"/>
      <c r="V22659" s="5"/>
    </row>
    <row r="22660">
      <c r="N22660" s="1"/>
      <c r="V22660" s="5"/>
    </row>
    <row r="22661">
      <c r="N22661" s="1"/>
      <c r="V22661" s="5"/>
    </row>
    <row r="22662">
      <c r="N22662" s="1"/>
      <c r="V22662" s="5"/>
    </row>
    <row r="22663">
      <c r="N22663" s="1"/>
      <c r="V22663" s="5"/>
    </row>
    <row r="22664">
      <c r="N22664" s="1"/>
      <c r="V22664" s="5"/>
    </row>
    <row r="22665">
      <c r="N22665" s="1"/>
      <c r="V22665" s="5"/>
    </row>
    <row r="22666">
      <c r="N22666" s="1"/>
      <c r="V22666" s="5"/>
    </row>
    <row r="22667">
      <c r="N22667" s="1"/>
      <c r="V22667" s="5"/>
    </row>
    <row r="22668">
      <c r="N22668" s="1"/>
      <c r="V22668" s="5"/>
    </row>
    <row r="22669">
      <c r="N22669" s="1"/>
      <c r="V22669" s="5"/>
    </row>
    <row r="22670">
      <c r="N22670" s="1"/>
      <c r="V22670" s="5"/>
    </row>
    <row r="22671">
      <c r="N22671" s="1"/>
      <c r="V22671" s="5"/>
    </row>
    <row r="22672">
      <c r="N22672" s="1"/>
      <c r="V22672" s="5"/>
    </row>
    <row r="22673">
      <c r="N22673" s="1"/>
      <c r="V22673" s="5"/>
    </row>
    <row r="22674">
      <c r="N22674" s="1"/>
      <c r="V22674" s="5"/>
    </row>
    <row r="22675">
      <c r="N22675" s="1"/>
      <c r="V22675" s="5"/>
    </row>
    <row r="22676">
      <c r="N22676" s="1"/>
      <c r="V22676" s="5"/>
    </row>
    <row r="22677">
      <c r="N22677" s="1"/>
      <c r="V22677" s="5"/>
    </row>
    <row r="22678">
      <c r="N22678" s="1"/>
      <c r="V22678" s="5"/>
    </row>
    <row r="22679">
      <c r="N22679" s="1"/>
      <c r="V22679" s="5"/>
    </row>
    <row r="22680">
      <c r="N22680" s="1"/>
      <c r="V22680" s="5"/>
    </row>
    <row r="22681">
      <c r="N22681" s="1"/>
      <c r="V22681" s="5"/>
    </row>
    <row r="22682">
      <c r="N22682" s="1"/>
      <c r="V22682" s="5"/>
    </row>
    <row r="22683">
      <c r="N22683" s="1"/>
      <c r="V22683" s="5"/>
    </row>
    <row r="22684">
      <c r="N22684" s="1"/>
      <c r="V22684" s="5"/>
    </row>
    <row r="22685">
      <c r="N22685" s="1"/>
      <c r="V22685" s="5"/>
    </row>
    <row r="22686">
      <c r="N22686" s="1"/>
      <c r="V22686" s="5"/>
    </row>
    <row r="22687">
      <c r="N22687" s="1"/>
      <c r="V22687" s="5"/>
    </row>
    <row r="22688">
      <c r="N22688" s="1"/>
      <c r="V22688" s="5"/>
    </row>
    <row r="22689">
      <c r="N22689" s="1"/>
      <c r="V22689" s="5"/>
    </row>
    <row r="22690">
      <c r="N22690" s="1"/>
      <c r="V22690" s="5"/>
    </row>
    <row r="22691">
      <c r="N22691" s="1"/>
      <c r="V22691" s="5"/>
    </row>
    <row r="22692">
      <c r="N22692" s="1"/>
      <c r="V22692" s="5"/>
    </row>
    <row r="22693">
      <c r="N22693" s="1"/>
      <c r="V22693" s="5"/>
    </row>
    <row r="22694">
      <c r="N22694" s="1"/>
      <c r="V22694" s="5"/>
    </row>
    <row r="22695">
      <c r="N22695" s="1"/>
      <c r="V22695" s="5"/>
    </row>
    <row r="22696">
      <c r="N22696" s="1"/>
      <c r="V22696" s="5"/>
    </row>
    <row r="22697">
      <c r="N22697" s="1"/>
      <c r="V22697" s="5"/>
    </row>
    <row r="22698">
      <c r="N22698" s="1"/>
      <c r="V22698" s="5"/>
    </row>
    <row r="22699">
      <c r="N22699" s="1"/>
      <c r="V22699" s="5"/>
    </row>
    <row r="22700">
      <c r="N22700" s="1"/>
      <c r="V22700" s="5"/>
    </row>
    <row r="22701">
      <c r="N22701" s="1"/>
      <c r="V22701" s="5"/>
    </row>
    <row r="22702">
      <c r="N22702" s="1"/>
      <c r="V22702" s="5"/>
    </row>
    <row r="22703">
      <c r="N22703" s="1"/>
      <c r="V22703" s="5"/>
    </row>
    <row r="22704">
      <c r="N22704" s="1"/>
      <c r="V22704" s="5"/>
    </row>
    <row r="22705">
      <c r="N22705" s="1"/>
      <c r="V22705" s="5"/>
    </row>
    <row r="22706">
      <c r="N22706" s="1"/>
      <c r="V22706" s="5"/>
    </row>
    <row r="22707">
      <c r="N22707" s="1"/>
      <c r="V22707" s="5"/>
    </row>
    <row r="22708">
      <c r="N22708" s="1"/>
      <c r="V22708" s="5"/>
    </row>
    <row r="22709">
      <c r="N22709" s="1"/>
      <c r="V22709" s="5"/>
    </row>
    <row r="22710">
      <c r="N22710" s="1"/>
      <c r="V22710" s="5"/>
    </row>
    <row r="22711">
      <c r="N22711" s="1"/>
      <c r="V22711" s="5"/>
    </row>
    <row r="22712">
      <c r="N22712" s="1"/>
      <c r="V22712" s="5"/>
    </row>
    <row r="22713">
      <c r="N22713" s="1"/>
      <c r="V22713" s="5"/>
    </row>
    <row r="22714">
      <c r="N22714" s="1"/>
      <c r="V22714" s="5"/>
    </row>
    <row r="22715">
      <c r="N22715" s="1"/>
      <c r="V22715" s="5"/>
    </row>
    <row r="22716">
      <c r="N22716" s="1"/>
      <c r="V22716" s="5"/>
    </row>
    <row r="22717">
      <c r="N22717" s="1"/>
      <c r="V22717" s="5"/>
    </row>
    <row r="22718">
      <c r="N22718" s="1"/>
      <c r="V22718" s="5"/>
    </row>
    <row r="22719">
      <c r="N22719" s="1"/>
      <c r="V22719" s="5"/>
    </row>
    <row r="22720">
      <c r="N22720" s="1"/>
      <c r="V22720" s="5"/>
    </row>
    <row r="22721">
      <c r="N22721" s="1"/>
      <c r="V22721" s="5"/>
    </row>
    <row r="22722">
      <c r="N22722" s="1"/>
      <c r="V22722" s="5"/>
    </row>
    <row r="22723">
      <c r="N22723" s="1"/>
      <c r="V22723" s="5"/>
    </row>
    <row r="22724">
      <c r="N22724" s="1"/>
      <c r="V22724" s="5"/>
    </row>
    <row r="22725">
      <c r="N22725" s="1"/>
      <c r="V22725" s="5"/>
    </row>
    <row r="22726">
      <c r="N22726" s="1"/>
      <c r="V22726" s="5"/>
    </row>
    <row r="22727">
      <c r="N22727" s="1"/>
      <c r="V22727" s="5"/>
    </row>
    <row r="22728">
      <c r="N22728" s="1"/>
      <c r="V22728" s="5"/>
    </row>
    <row r="22729">
      <c r="N22729" s="1"/>
      <c r="V22729" s="5"/>
    </row>
    <row r="22730">
      <c r="N22730" s="1"/>
      <c r="V22730" s="5"/>
    </row>
    <row r="22731">
      <c r="N22731" s="1"/>
      <c r="V22731" s="5"/>
    </row>
    <row r="22732">
      <c r="N22732" s="1"/>
      <c r="V22732" s="5"/>
    </row>
    <row r="22733">
      <c r="N22733" s="1"/>
      <c r="V22733" s="5"/>
    </row>
    <row r="22734">
      <c r="N22734" s="1"/>
      <c r="V22734" s="5"/>
    </row>
    <row r="22735">
      <c r="N22735" s="1"/>
      <c r="V22735" s="5"/>
    </row>
    <row r="22736">
      <c r="N22736" s="1"/>
      <c r="V22736" s="5"/>
    </row>
    <row r="22737">
      <c r="N22737" s="1"/>
      <c r="V22737" s="5"/>
    </row>
    <row r="22738">
      <c r="N22738" s="1"/>
      <c r="V22738" s="5"/>
    </row>
    <row r="22739">
      <c r="N22739" s="1"/>
      <c r="V22739" s="5"/>
    </row>
    <row r="22740">
      <c r="N22740" s="1"/>
      <c r="V22740" s="5"/>
    </row>
    <row r="22741">
      <c r="N22741" s="1"/>
      <c r="V22741" s="5"/>
    </row>
    <row r="22742">
      <c r="N22742" s="1"/>
      <c r="V22742" s="5"/>
    </row>
    <row r="22743">
      <c r="N22743" s="1"/>
      <c r="V22743" s="5"/>
    </row>
    <row r="22744">
      <c r="N22744" s="1"/>
      <c r="V22744" s="5"/>
    </row>
    <row r="22745">
      <c r="N22745" s="1"/>
      <c r="V22745" s="5"/>
    </row>
    <row r="22746">
      <c r="N22746" s="1"/>
      <c r="V22746" s="5"/>
    </row>
    <row r="22747">
      <c r="N22747" s="1"/>
      <c r="V22747" s="5"/>
    </row>
    <row r="22748">
      <c r="N22748" s="1"/>
      <c r="V22748" s="5"/>
    </row>
    <row r="22749">
      <c r="N22749" s="1"/>
      <c r="V22749" s="5"/>
    </row>
    <row r="22750">
      <c r="N22750" s="1"/>
      <c r="V22750" s="5"/>
    </row>
    <row r="22751">
      <c r="N22751" s="1"/>
      <c r="V22751" s="5"/>
    </row>
    <row r="22752">
      <c r="N22752" s="1"/>
      <c r="V22752" s="5"/>
    </row>
    <row r="22753">
      <c r="N22753" s="1"/>
      <c r="V22753" s="5"/>
    </row>
    <row r="22754">
      <c r="N22754" s="1"/>
      <c r="V22754" s="5"/>
    </row>
    <row r="22755">
      <c r="N22755" s="1"/>
      <c r="V22755" s="5"/>
    </row>
    <row r="22756">
      <c r="N22756" s="1"/>
      <c r="V22756" s="5"/>
    </row>
    <row r="22757">
      <c r="N22757" s="1"/>
      <c r="V22757" s="5"/>
    </row>
    <row r="22758">
      <c r="N22758" s="1"/>
      <c r="V22758" s="5"/>
    </row>
    <row r="22759">
      <c r="N22759" s="1"/>
      <c r="V22759" s="5"/>
    </row>
    <row r="22760">
      <c r="N22760" s="1"/>
      <c r="V22760" s="5"/>
    </row>
    <row r="22761">
      <c r="N22761" s="1"/>
      <c r="V22761" s="5"/>
    </row>
    <row r="22762">
      <c r="N22762" s="1"/>
      <c r="V22762" s="5"/>
    </row>
    <row r="22763">
      <c r="N22763" s="1"/>
      <c r="V22763" s="5"/>
    </row>
    <row r="22764">
      <c r="N22764" s="1"/>
      <c r="V22764" s="5"/>
    </row>
    <row r="22765">
      <c r="N22765" s="1"/>
      <c r="V22765" s="5"/>
    </row>
    <row r="22766">
      <c r="N22766" s="1"/>
      <c r="V22766" s="5"/>
    </row>
    <row r="22767">
      <c r="N22767" s="1"/>
      <c r="V22767" s="5"/>
    </row>
    <row r="22768">
      <c r="N22768" s="1"/>
      <c r="V22768" s="5"/>
    </row>
    <row r="22769">
      <c r="N22769" s="1"/>
      <c r="V22769" s="5"/>
    </row>
    <row r="22770">
      <c r="N22770" s="1"/>
      <c r="V22770" s="5"/>
    </row>
    <row r="22771">
      <c r="N22771" s="1"/>
      <c r="V22771" s="5"/>
    </row>
    <row r="22772">
      <c r="N22772" s="1"/>
      <c r="V22772" s="5"/>
    </row>
    <row r="22773">
      <c r="N22773" s="1"/>
      <c r="V22773" s="5"/>
    </row>
    <row r="22774">
      <c r="N22774" s="1"/>
      <c r="V22774" s="5"/>
    </row>
    <row r="22775">
      <c r="N22775" s="1"/>
      <c r="V22775" s="5"/>
    </row>
    <row r="22776">
      <c r="N22776" s="1"/>
      <c r="V22776" s="5"/>
    </row>
    <row r="22777">
      <c r="N22777" s="1"/>
      <c r="V22777" s="5"/>
    </row>
    <row r="22778">
      <c r="N22778" s="1"/>
      <c r="V22778" s="5"/>
    </row>
    <row r="22779">
      <c r="N22779" s="1"/>
      <c r="V22779" s="5"/>
    </row>
    <row r="22780">
      <c r="N22780" s="1"/>
      <c r="V22780" s="5"/>
    </row>
    <row r="22781">
      <c r="N22781" s="1"/>
      <c r="V22781" s="5"/>
    </row>
    <row r="22782">
      <c r="N22782" s="1"/>
      <c r="V22782" s="5"/>
    </row>
    <row r="22783">
      <c r="N22783" s="1"/>
      <c r="V22783" s="5"/>
    </row>
    <row r="22784">
      <c r="N22784" s="1"/>
      <c r="V22784" s="5"/>
    </row>
    <row r="22785">
      <c r="N22785" s="1"/>
      <c r="V22785" s="5"/>
    </row>
    <row r="22786">
      <c r="N22786" s="1"/>
      <c r="V22786" s="5"/>
    </row>
    <row r="22787">
      <c r="N22787" s="1"/>
      <c r="V22787" s="5"/>
    </row>
    <row r="22788">
      <c r="N22788" s="1"/>
      <c r="V22788" s="5"/>
    </row>
    <row r="22789">
      <c r="N22789" s="1"/>
      <c r="V22789" s="5"/>
    </row>
    <row r="22790">
      <c r="N22790" s="1"/>
      <c r="V22790" s="5"/>
    </row>
    <row r="22791">
      <c r="N22791" s="1"/>
      <c r="V22791" s="5"/>
    </row>
    <row r="22792">
      <c r="N22792" s="1"/>
      <c r="V22792" s="5"/>
    </row>
    <row r="22793">
      <c r="N22793" s="1"/>
      <c r="V22793" s="5"/>
    </row>
    <row r="22794">
      <c r="N22794" s="1"/>
      <c r="V22794" s="5"/>
    </row>
    <row r="22795">
      <c r="N22795" s="1"/>
      <c r="V22795" s="5"/>
    </row>
    <row r="22796">
      <c r="N22796" s="1"/>
      <c r="V22796" s="5"/>
    </row>
    <row r="22797">
      <c r="N22797" s="1"/>
      <c r="V22797" s="5"/>
    </row>
    <row r="22798">
      <c r="N22798" s="1"/>
      <c r="V22798" s="5"/>
    </row>
    <row r="22799">
      <c r="N22799" s="1"/>
      <c r="V22799" s="5"/>
    </row>
    <row r="22800">
      <c r="N22800" s="1"/>
      <c r="V22800" s="5"/>
    </row>
    <row r="22801">
      <c r="N22801" s="1"/>
      <c r="V22801" s="5"/>
    </row>
    <row r="22802">
      <c r="N22802" s="1"/>
      <c r="V22802" s="5"/>
    </row>
    <row r="22803">
      <c r="N22803" s="1"/>
      <c r="V22803" s="5"/>
    </row>
    <row r="22804">
      <c r="N22804" s="1"/>
      <c r="V22804" s="5"/>
    </row>
    <row r="22805">
      <c r="N22805" s="1"/>
      <c r="V22805" s="5"/>
    </row>
    <row r="22806">
      <c r="N22806" s="1"/>
      <c r="V22806" s="5"/>
    </row>
    <row r="22807">
      <c r="N22807" s="1"/>
      <c r="V22807" s="5"/>
    </row>
    <row r="22808">
      <c r="N22808" s="1"/>
      <c r="V22808" s="5"/>
    </row>
    <row r="22809">
      <c r="N22809" s="1"/>
      <c r="V22809" s="5"/>
    </row>
    <row r="22810">
      <c r="N22810" s="1"/>
      <c r="V22810" s="5"/>
    </row>
    <row r="22811">
      <c r="N22811" s="1"/>
      <c r="V22811" s="5"/>
    </row>
    <row r="22812">
      <c r="N22812" s="1"/>
      <c r="V22812" s="5"/>
    </row>
    <row r="22813">
      <c r="N22813" s="1"/>
      <c r="V22813" s="5"/>
    </row>
    <row r="22814">
      <c r="N22814" s="1"/>
      <c r="V22814" s="5"/>
    </row>
    <row r="22815">
      <c r="N22815" s="1"/>
      <c r="V22815" s="5"/>
    </row>
    <row r="22816">
      <c r="N22816" s="1"/>
      <c r="V22816" s="5"/>
    </row>
    <row r="22817">
      <c r="N22817" s="1"/>
      <c r="V22817" s="5"/>
    </row>
    <row r="22818">
      <c r="N22818" s="1"/>
      <c r="V22818" s="5"/>
    </row>
    <row r="22819">
      <c r="N22819" s="1"/>
      <c r="V22819" s="5"/>
    </row>
    <row r="22820">
      <c r="N22820" s="1"/>
      <c r="V22820" s="5"/>
    </row>
    <row r="22821">
      <c r="N22821" s="1"/>
      <c r="V22821" s="5"/>
    </row>
    <row r="22822">
      <c r="N22822" s="1"/>
      <c r="V22822" s="5"/>
    </row>
    <row r="22823">
      <c r="N22823" s="1"/>
      <c r="V22823" s="5"/>
    </row>
    <row r="22824">
      <c r="N22824" s="1"/>
      <c r="V22824" s="5"/>
    </row>
    <row r="22825">
      <c r="N22825" s="1"/>
      <c r="V22825" s="5"/>
    </row>
    <row r="22826">
      <c r="N22826" s="1"/>
      <c r="V22826" s="5"/>
    </row>
    <row r="22827">
      <c r="N22827" s="1"/>
      <c r="V22827" s="5"/>
    </row>
    <row r="22828">
      <c r="N22828" s="1"/>
      <c r="V22828" s="5"/>
    </row>
    <row r="22829">
      <c r="N22829" s="1"/>
      <c r="V22829" s="5"/>
    </row>
    <row r="22830">
      <c r="N22830" s="1"/>
      <c r="V22830" s="5"/>
    </row>
    <row r="22831">
      <c r="N22831" s="1"/>
      <c r="V22831" s="5"/>
    </row>
    <row r="22832">
      <c r="N22832" s="1"/>
      <c r="V22832" s="5"/>
    </row>
    <row r="22833">
      <c r="N22833" s="1"/>
      <c r="V22833" s="5"/>
    </row>
    <row r="22834">
      <c r="N22834" s="1"/>
      <c r="V22834" s="5"/>
    </row>
    <row r="22835">
      <c r="N22835" s="1"/>
      <c r="V22835" s="5"/>
    </row>
    <row r="22836">
      <c r="N22836" s="1"/>
      <c r="V22836" s="5"/>
    </row>
    <row r="22837">
      <c r="N22837" s="1"/>
      <c r="V22837" s="5"/>
    </row>
    <row r="22838">
      <c r="N22838" s="1"/>
      <c r="V22838" s="5"/>
    </row>
    <row r="22839">
      <c r="N22839" s="1"/>
      <c r="V22839" s="5"/>
    </row>
    <row r="22840">
      <c r="N22840" s="1"/>
      <c r="V22840" s="5"/>
    </row>
    <row r="22841">
      <c r="N22841" s="1"/>
      <c r="V22841" s="5"/>
    </row>
    <row r="22842">
      <c r="N22842" s="1"/>
      <c r="V22842" s="5"/>
    </row>
    <row r="22843">
      <c r="N22843" s="1"/>
      <c r="V22843" s="5"/>
    </row>
    <row r="22844">
      <c r="N22844" s="1"/>
      <c r="V22844" s="5"/>
    </row>
    <row r="22845">
      <c r="N22845" s="1"/>
      <c r="V22845" s="5"/>
    </row>
    <row r="22846">
      <c r="N22846" s="1"/>
      <c r="V22846" s="5"/>
    </row>
    <row r="22847">
      <c r="N22847" s="1"/>
      <c r="V22847" s="5"/>
    </row>
    <row r="22848">
      <c r="N22848" s="1"/>
      <c r="V22848" s="5"/>
    </row>
    <row r="22849">
      <c r="N22849" s="1"/>
      <c r="V22849" s="5"/>
    </row>
    <row r="22850">
      <c r="N22850" s="1"/>
      <c r="V22850" s="5"/>
    </row>
    <row r="22851">
      <c r="N22851" s="1"/>
      <c r="V22851" s="5"/>
    </row>
    <row r="22852">
      <c r="N22852" s="1"/>
      <c r="V22852" s="5"/>
    </row>
    <row r="22853">
      <c r="N22853" s="1"/>
      <c r="V22853" s="5"/>
    </row>
    <row r="22854">
      <c r="N22854" s="1"/>
      <c r="V22854" s="5"/>
    </row>
    <row r="22855">
      <c r="N22855" s="1"/>
      <c r="V22855" s="5"/>
    </row>
    <row r="22856">
      <c r="N22856" s="1"/>
      <c r="V22856" s="5"/>
    </row>
    <row r="22857">
      <c r="N22857" s="1"/>
      <c r="V22857" s="5"/>
    </row>
    <row r="22858">
      <c r="N22858" s="1"/>
      <c r="V22858" s="5"/>
    </row>
    <row r="22859">
      <c r="N22859" s="1"/>
      <c r="V22859" s="5"/>
    </row>
    <row r="22860">
      <c r="N22860" s="1"/>
      <c r="V22860" s="5"/>
    </row>
    <row r="22861">
      <c r="N22861" s="1"/>
      <c r="V22861" s="5"/>
    </row>
    <row r="22862">
      <c r="N22862" s="1"/>
      <c r="V22862" s="5"/>
    </row>
    <row r="22863">
      <c r="N22863" s="1"/>
      <c r="V22863" s="5"/>
    </row>
    <row r="22864">
      <c r="N22864" s="1"/>
      <c r="V22864" s="5"/>
    </row>
    <row r="22865">
      <c r="N22865" s="1"/>
      <c r="V22865" s="5"/>
    </row>
    <row r="22866">
      <c r="N22866" s="1"/>
      <c r="V22866" s="5"/>
    </row>
    <row r="22867">
      <c r="N22867" s="1"/>
      <c r="V22867" s="5"/>
    </row>
    <row r="22868">
      <c r="N22868" s="1"/>
      <c r="V22868" s="5"/>
    </row>
    <row r="22869">
      <c r="N22869" s="1"/>
      <c r="V22869" s="5"/>
    </row>
    <row r="22870">
      <c r="N22870" s="1"/>
      <c r="V22870" s="5"/>
    </row>
    <row r="22871">
      <c r="N22871" s="1"/>
      <c r="V22871" s="5"/>
    </row>
    <row r="22872">
      <c r="N22872" s="1"/>
      <c r="V22872" s="5"/>
    </row>
    <row r="22873">
      <c r="N22873" s="1"/>
      <c r="V22873" s="5"/>
    </row>
    <row r="22874">
      <c r="N22874" s="1"/>
      <c r="V22874" s="5"/>
    </row>
    <row r="22875">
      <c r="N22875" s="1"/>
      <c r="V22875" s="5"/>
    </row>
    <row r="22876">
      <c r="N22876" s="1"/>
      <c r="V22876" s="5"/>
    </row>
    <row r="22877">
      <c r="N22877" s="1"/>
      <c r="V22877" s="5"/>
    </row>
    <row r="22878">
      <c r="N22878" s="1"/>
      <c r="V22878" s="5"/>
    </row>
    <row r="22879">
      <c r="N22879" s="1"/>
      <c r="V22879" s="5"/>
    </row>
    <row r="22880">
      <c r="N22880" s="1"/>
      <c r="V22880" s="5"/>
    </row>
    <row r="22881">
      <c r="N22881" s="1"/>
      <c r="V22881" s="5"/>
    </row>
    <row r="22882">
      <c r="N22882" s="1"/>
      <c r="V22882" s="5"/>
    </row>
    <row r="22883">
      <c r="N22883" s="1"/>
      <c r="V22883" s="5"/>
    </row>
    <row r="22884">
      <c r="N22884" s="1"/>
      <c r="V22884" s="5"/>
    </row>
    <row r="22885">
      <c r="N22885" s="1"/>
      <c r="V22885" s="5"/>
    </row>
    <row r="22886">
      <c r="N22886" s="1"/>
      <c r="V22886" s="5"/>
    </row>
    <row r="22887">
      <c r="N22887" s="1"/>
      <c r="V22887" s="5"/>
    </row>
    <row r="22888">
      <c r="N22888" s="1"/>
      <c r="V22888" s="5"/>
    </row>
    <row r="22889">
      <c r="N22889" s="1"/>
      <c r="V22889" s="5"/>
    </row>
    <row r="22890">
      <c r="N22890" s="1"/>
      <c r="V22890" s="5"/>
    </row>
    <row r="22891">
      <c r="N22891" s="1"/>
      <c r="V22891" s="5"/>
    </row>
    <row r="22892">
      <c r="N22892" s="1"/>
      <c r="V22892" s="5"/>
    </row>
    <row r="22893">
      <c r="N22893" s="1"/>
      <c r="V22893" s="5"/>
    </row>
    <row r="22894">
      <c r="N22894" s="1"/>
      <c r="V22894" s="5"/>
    </row>
    <row r="22895">
      <c r="N22895" s="1"/>
      <c r="V22895" s="5"/>
    </row>
    <row r="22896">
      <c r="N22896" s="1"/>
      <c r="V22896" s="5"/>
    </row>
    <row r="22897">
      <c r="N22897" s="1"/>
      <c r="V22897" s="5"/>
    </row>
    <row r="22898">
      <c r="N22898" s="1"/>
      <c r="V22898" s="5"/>
    </row>
    <row r="22899">
      <c r="N22899" s="1"/>
      <c r="V22899" s="5"/>
    </row>
    <row r="22900">
      <c r="N22900" s="1"/>
      <c r="V22900" s="5"/>
    </row>
    <row r="22901">
      <c r="N22901" s="1"/>
      <c r="V22901" s="5"/>
    </row>
    <row r="22902">
      <c r="N22902" s="1"/>
      <c r="V22902" s="5"/>
    </row>
    <row r="22903">
      <c r="N22903" s="1"/>
      <c r="V22903" s="5"/>
    </row>
    <row r="22904">
      <c r="N22904" s="1"/>
      <c r="V22904" s="5"/>
    </row>
    <row r="22905">
      <c r="N22905" s="1"/>
      <c r="V22905" s="5"/>
    </row>
    <row r="22906">
      <c r="N22906" s="1"/>
      <c r="V22906" s="5"/>
    </row>
    <row r="22907">
      <c r="N22907" s="1"/>
      <c r="V22907" s="5"/>
    </row>
    <row r="22908">
      <c r="N22908" s="1"/>
      <c r="V22908" s="5"/>
    </row>
    <row r="22909">
      <c r="N22909" s="1"/>
      <c r="V22909" s="5"/>
    </row>
    <row r="22910">
      <c r="N22910" s="1"/>
      <c r="V22910" s="5"/>
    </row>
    <row r="22911">
      <c r="N22911" s="1"/>
      <c r="V22911" s="5"/>
    </row>
    <row r="22912">
      <c r="N22912" s="1"/>
      <c r="V22912" s="5"/>
    </row>
    <row r="22913">
      <c r="N22913" s="1"/>
      <c r="V22913" s="5"/>
    </row>
    <row r="22914">
      <c r="N22914" s="1"/>
      <c r="V22914" s="5"/>
    </row>
    <row r="22915">
      <c r="N22915" s="1"/>
      <c r="V22915" s="5"/>
    </row>
    <row r="22916">
      <c r="N22916" s="1"/>
      <c r="V22916" s="5"/>
    </row>
    <row r="22917">
      <c r="N22917" s="1"/>
      <c r="V22917" s="5"/>
    </row>
    <row r="22918">
      <c r="N22918" s="1"/>
      <c r="V22918" s="5"/>
    </row>
    <row r="22919">
      <c r="N22919" s="1"/>
      <c r="V22919" s="5"/>
    </row>
    <row r="22920">
      <c r="N22920" s="1"/>
      <c r="V22920" s="5"/>
    </row>
    <row r="22921">
      <c r="N22921" s="1"/>
      <c r="V22921" s="5"/>
    </row>
    <row r="22922">
      <c r="N22922" s="1"/>
      <c r="V22922" s="5"/>
    </row>
    <row r="22923">
      <c r="N22923" s="1"/>
      <c r="V22923" s="5"/>
    </row>
    <row r="22924">
      <c r="N22924" s="1"/>
      <c r="V22924" s="5"/>
    </row>
    <row r="22925">
      <c r="N22925" s="1"/>
      <c r="V22925" s="5"/>
    </row>
    <row r="22926">
      <c r="N22926" s="1"/>
      <c r="V22926" s="5"/>
    </row>
    <row r="22927">
      <c r="N22927" s="1"/>
      <c r="V22927" s="5"/>
    </row>
    <row r="22928">
      <c r="N22928" s="1"/>
      <c r="V22928" s="5"/>
    </row>
    <row r="22929">
      <c r="N22929" s="1"/>
      <c r="V22929" s="5"/>
    </row>
    <row r="22930">
      <c r="N22930" s="1"/>
      <c r="V22930" s="5"/>
    </row>
    <row r="22931">
      <c r="N22931" s="1"/>
      <c r="V22931" s="5"/>
    </row>
    <row r="22932">
      <c r="N22932" s="1"/>
      <c r="V22932" s="5"/>
    </row>
    <row r="22933">
      <c r="N22933" s="1"/>
      <c r="V22933" s="5"/>
    </row>
    <row r="22934">
      <c r="N22934" s="1"/>
      <c r="V22934" s="5"/>
    </row>
    <row r="22935">
      <c r="N22935" s="1"/>
      <c r="V22935" s="5"/>
    </row>
    <row r="22936">
      <c r="N22936" s="1"/>
      <c r="V22936" s="5"/>
    </row>
    <row r="22937">
      <c r="N22937" s="1"/>
      <c r="V22937" s="5"/>
    </row>
    <row r="22938">
      <c r="N22938" s="1"/>
      <c r="V22938" s="5"/>
    </row>
    <row r="22939">
      <c r="N22939" s="1"/>
      <c r="V22939" s="5"/>
    </row>
    <row r="22940">
      <c r="N22940" s="1"/>
      <c r="V22940" s="5"/>
    </row>
    <row r="22941">
      <c r="N22941" s="1"/>
      <c r="V22941" s="5"/>
    </row>
    <row r="22942">
      <c r="N22942" s="1"/>
      <c r="V22942" s="5"/>
    </row>
    <row r="22943">
      <c r="N22943" s="1"/>
      <c r="V22943" s="5"/>
    </row>
    <row r="22944">
      <c r="N22944" s="1"/>
      <c r="V22944" s="5"/>
    </row>
    <row r="22945">
      <c r="N22945" s="1"/>
      <c r="V22945" s="5"/>
    </row>
    <row r="22946">
      <c r="N22946" s="1"/>
      <c r="V22946" s="5"/>
    </row>
    <row r="22947">
      <c r="N22947" s="1"/>
      <c r="V22947" s="5"/>
    </row>
    <row r="22948">
      <c r="N22948" s="1"/>
      <c r="V22948" s="5"/>
    </row>
    <row r="22949">
      <c r="N22949" s="1"/>
      <c r="V22949" s="5"/>
    </row>
    <row r="22950">
      <c r="N22950" s="1"/>
      <c r="V22950" s="5"/>
    </row>
    <row r="22951">
      <c r="N22951" s="1"/>
      <c r="V22951" s="5"/>
    </row>
    <row r="22952">
      <c r="N22952" s="1"/>
      <c r="V22952" s="5"/>
    </row>
    <row r="22953">
      <c r="N22953" s="1"/>
      <c r="V22953" s="5"/>
    </row>
    <row r="22954">
      <c r="N22954" s="1"/>
      <c r="V22954" s="5"/>
    </row>
    <row r="22955">
      <c r="N22955" s="1"/>
      <c r="V22955" s="5"/>
    </row>
    <row r="22956">
      <c r="N22956" s="1"/>
      <c r="V22956" s="5"/>
    </row>
    <row r="22957">
      <c r="N22957" s="1"/>
      <c r="V22957" s="5"/>
    </row>
    <row r="22958">
      <c r="N22958" s="1"/>
      <c r="V22958" s="5"/>
    </row>
    <row r="22959">
      <c r="N22959" s="1"/>
      <c r="V22959" s="5"/>
    </row>
    <row r="22960">
      <c r="N22960" s="1"/>
      <c r="V22960" s="5"/>
    </row>
    <row r="22961">
      <c r="N22961" s="1"/>
      <c r="V22961" s="5"/>
    </row>
    <row r="22962">
      <c r="N22962" s="1"/>
      <c r="V22962" s="5"/>
    </row>
    <row r="22963">
      <c r="N22963" s="1"/>
      <c r="V22963" s="5"/>
    </row>
    <row r="22964">
      <c r="N22964" s="1"/>
      <c r="V22964" s="5"/>
    </row>
    <row r="22965">
      <c r="N22965" s="1"/>
      <c r="V22965" s="5"/>
    </row>
    <row r="22966">
      <c r="N22966" s="1"/>
      <c r="V22966" s="5"/>
    </row>
    <row r="22967">
      <c r="N22967" s="1"/>
      <c r="V22967" s="5"/>
    </row>
    <row r="22968">
      <c r="N22968" s="1"/>
      <c r="V22968" s="5"/>
    </row>
    <row r="22969">
      <c r="N22969" s="1"/>
      <c r="V22969" s="5"/>
    </row>
    <row r="22970">
      <c r="N22970" s="1"/>
      <c r="V22970" s="5"/>
    </row>
    <row r="22971">
      <c r="N22971" s="1"/>
      <c r="V22971" s="5"/>
    </row>
    <row r="22972">
      <c r="N22972" s="1"/>
      <c r="V22972" s="5"/>
    </row>
    <row r="22973">
      <c r="N22973" s="1"/>
      <c r="V22973" s="5"/>
    </row>
    <row r="22974">
      <c r="N22974" s="1"/>
      <c r="V22974" s="5"/>
    </row>
    <row r="22975">
      <c r="N22975" s="1"/>
      <c r="V22975" s="5"/>
    </row>
    <row r="22976">
      <c r="N22976" s="1"/>
      <c r="V22976" s="5"/>
    </row>
    <row r="22977">
      <c r="N22977" s="1"/>
      <c r="V22977" s="5"/>
    </row>
    <row r="22978">
      <c r="N22978" s="1"/>
      <c r="V22978" s="5"/>
    </row>
    <row r="22979">
      <c r="N22979" s="1"/>
      <c r="V22979" s="5"/>
    </row>
    <row r="22980">
      <c r="N22980" s="1"/>
      <c r="V22980" s="5"/>
    </row>
    <row r="22981">
      <c r="N22981" s="1"/>
      <c r="V22981" s="5"/>
    </row>
    <row r="22982">
      <c r="N22982" s="1"/>
      <c r="V22982" s="5"/>
    </row>
    <row r="22983">
      <c r="N22983" s="1"/>
      <c r="V22983" s="5"/>
    </row>
    <row r="22984">
      <c r="N22984" s="1"/>
      <c r="V22984" s="5"/>
    </row>
    <row r="22985">
      <c r="N22985" s="1"/>
      <c r="V22985" s="5"/>
    </row>
    <row r="22986">
      <c r="N22986" s="1"/>
      <c r="V22986" s="5"/>
    </row>
    <row r="22987">
      <c r="N22987" s="1"/>
      <c r="V22987" s="5"/>
    </row>
    <row r="22988">
      <c r="N22988" s="1"/>
      <c r="V22988" s="5"/>
    </row>
    <row r="22989">
      <c r="N22989" s="1"/>
      <c r="V22989" s="5"/>
    </row>
    <row r="22990">
      <c r="N22990" s="1"/>
      <c r="V22990" s="5"/>
    </row>
    <row r="22991">
      <c r="N22991" s="1"/>
      <c r="V22991" s="5"/>
    </row>
    <row r="22992">
      <c r="N22992" s="1"/>
      <c r="V22992" s="5"/>
    </row>
    <row r="22993">
      <c r="N22993" s="1"/>
      <c r="V22993" s="5"/>
    </row>
    <row r="22994">
      <c r="N22994" s="1"/>
      <c r="V22994" s="5"/>
    </row>
    <row r="22995">
      <c r="N22995" s="1"/>
      <c r="V22995" s="5"/>
    </row>
    <row r="22996">
      <c r="N22996" s="1"/>
      <c r="V22996" s="5"/>
    </row>
    <row r="22997">
      <c r="N22997" s="1"/>
      <c r="V22997" s="5"/>
    </row>
    <row r="22998">
      <c r="N22998" s="1"/>
      <c r="V22998" s="5"/>
    </row>
    <row r="22999">
      <c r="N22999" s="1"/>
      <c r="V22999" s="5"/>
    </row>
    <row r="23000">
      <c r="N23000" s="1"/>
      <c r="V23000" s="5"/>
    </row>
    <row r="23001">
      <c r="N23001" s="1"/>
      <c r="V23001" s="5"/>
    </row>
    <row r="23002">
      <c r="N23002" s="1"/>
      <c r="V23002" s="5"/>
    </row>
    <row r="23003">
      <c r="N23003" s="1"/>
      <c r="V23003" s="5"/>
    </row>
    <row r="23004">
      <c r="N23004" s="1"/>
      <c r="V23004" s="5"/>
    </row>
    <row r="23005">
      <c r="N23005" s="1"/>
      <c r="V23005" s="5"/>
    </row>
    <row r="23006">
      <c r="N23006" s="1"/>
      <c r="V23006" s="5"/>
    </row>
    <row r="23007">
      <c r="N23007" s="1"/>
      <c r="V23007" s="5"/>
    </row>
    <row r="23008">
      <c r="N23008" s="1"/>
      <c r="V23008" s="5"/>
    </row>
    <row r="23009">
      <c r="N23009" s="1"/>
      <c r="V23009" s="5"/>
    </row>
    <row r="23010">
      <c r="N23010" s="1"/>
      <c r="V23010" s="5"/>
    </row>
    <row r="23011">
      <c r="N23011" s="1"/>
      <c r="V23011" s="5"/>
    </row>
    <row r="23012">
      <c r="N23012" s="1"/>
      <c r="V23012" s="5"/>
    </row>
    <row r="23013">
      <c r="N23013" s="1"/>
      <c r="V23013" s="5"/>
    </row>
    <row r="23014">
      <c r="N23014" s="1"/>
      <c r="V23014" s="5"/>
    </row>
    <row r="23015">
      <c r="N23015" s="1"/>
      <c r="V23015" s="5"/>
    </row>
    <row r="23016">
      <c r="N23016" s="1"/>
      <c r="V23016" s="5"/>
    </row>
    <row r="23017">
      <c r="N23017" s="1"/>
      <c r="V23017" s="5"/>
    </row>
    <row r="23018">
      <c r="N23018" s="1"/>
      <c r="V23018" s="5"/>
    </row>
    <row r="23019">
      <c r="N23019" s="1"/>
      <c r="V23019" s="5"/>
    </row>
    <row r="23020">
      <c r="N23020" s="1"/>
      <c r="V23020" s="5"/>
    </row>
    <row r="23021">
      <c r="N23021" s="1"/>
      <c r="V23021" s="5"/>
    </row>
    <row r="23022">
      <c r="N23022" s="1"/>
      <c r="V23022" s="5"/>
    </row>
    <row r="23023">
      <c r="N23023" s="1"/>
      <c r="V23023" s="5"/>
    </row>
    <row r="23024">
      <c r="N23024" s="1"/>
      <c r="V23024" s="5"/>
    </row>
    <row r="23025">
      <c r="N23025" s="1"/>
      <c r="V23025" s="5"/>
    </row>
    <row r="23026">
      <c r="N23026" s="1"/>
      <c r="V23026" s="5"/>
    </row>
    <row r="23027">
      <c r="N23027" s="1"/>
      <c r="V23027" s="5"/>
    </row>
    <row r="23028">
      <c r="N23028" s="1"/>
      <c r="V23028" s="5"/>
    </row>
    <row r="23029">
      <c r="N23029" s="1"/>
      <c r="V23029" s="5"/>
    </row>
    <row r="23030">
      <c r="N23030" s="1"/>
      <c r="V23030" s="5"/>
    </row>
    <row r="23031">
      <c r="N23031" s="1"/>
      <c r="V23031" s="5"/>
    </row>
    <row r="23032">
      <c r="N23032" s="1"/>
      <c r="V23032" s="5"/>
    </row>
    <row r="23033">
      <c r="N23033" s="1"/>
      <c r="V23033" s="5"/>
    </row>
    <row r="23034">
      <c r="N23034" s="1"/>
      <c r="V23034" s="5"/>
    </row>
    <row r="23035">
      <c r="N23035" s="1"/>
      <c r="V23035" s="5"/>
    </row>
    <row r="23036">
      <c r="N23036" s="1"/>
      <c r="V23036" s="5"/>
    </row>
    <row r="23037">
      <c r="N23037" s="1"/>
      <c r="V23037" s="5"/>
    </row>
    <row r="23038">
      <c r="N23038" s="1"/>
      <c r="V23038" s="5"/>
    </row>
    <row r="23039">
      <c r="N23039" s="1"/>
      <c r="V23039" s="5"/>
    </row>
    <row r="23040">
      <c r="N23040" s="1"/>
      <c r="V23040" s="5"/>
    </row>
    <row r="23041">
      <c r="N23041" s="1"/>
      <c r="V23041" s="5"/>
    </row>
    <row r="23042">
      <c r="N23042" s="1"/>
      <c r="V23042" s="5"/>
    </row>
    <row r="23043">
      <c r="N23043" s="1"/>
      <c r="V23043" s="5"/>
    </row>
    <row r="23044">
      <c r="N23044" s="1"/>
      <c r="V23044" s="5"/>
    </row>
    <row r="23045">
      <c r="N23045" s="1"/>
      <c r="V23045" s="5"/>
    </row>
    <row r="23046">
      <c r="N23046" s="1"/>
      <c r="V23046" s="5"/>
    </row>
    <row r="23047">
      <c r="N23047" s="1"/>
      <c r="V23047" s="5"/>
    </row>
    <row r="23048">
      <c r="N23048" s="1"/>
      <c r="V23048" s="5"/>
    </row>
    <row r="23049">
      <c r="N23049" s="1"/>
      <c r="V23049" s="5"/>
    </row>
    <row r="23050">
      <c r="N23050" s="1"/>
      <c r="V23050" s="5"/>
    </row>
    <row r="23051">
      <c r="N23051" s="1"/>
      <c r="V23051" s="5"/>
    </row>
    <row r="23052">
      <c r="N23052" s="1"/>
      <c r="V23052" s="5"/>
    </row>
    <row r="23053">
      <c r="N23053" s="1"/>
      <c r="V23053" s="5"/>
    </row>
    <row r="23054">
      <c r="N23054" s="1"/>
      <c r="V23054" s="5"/>
    </row>
    <row r="23055">
      <c r="N23055" s="1"/>
      <c r="V23055" s="5"/>
    </row>
    <row r="23056">
      <c r="N23056" s="1"/>
      <c r="V23056" s="5"/>
    </row>
    <row r="23057">
      <c r="N23057" s="1"/>
      <c r="V23057" s="5"/>
    </row>
    <row r="23058">
      <c r="N23058" s="1"/>
      <c r="V23058" s="5"/>
    </row>
    <row r="23059">
      <c r="N23059" s="1"/>
      <c r="V23059" s="5"/>
    </row>
    <row r="23060">
      <c r="N23060" s="1"/>
      <c r="V23060" s="5"/>
    </row>
    <row r="23061">
      <c r="N23061" s="1"/>
      <c r="V23061" s="5"/>
    </row>
    <row r="23062">
      <c r="N23062" s="1"/>
      <c r="V23062" s="5"/>
    </row>
    <row r="23063">
      <c r="N23063" s="1"/>
      <c r="V23063" s="5"/>
    </row>
    <row r="23064">
      <c r="N23064" s="1"/>
      <c r="V23064" s="5"/>
    </row>
    <row r="23065">
      <c r="N23065" s="1"/>
      <c r="V23065" s="5"/>
    </row>
    <row r="23066">
      <c r="N23066" s="1"/>
      <c r="V23066" s="5"/>
    </row>
    <row r="23067">
      <c r="N23067" s="1"/>
      <c r="V23067" s="5"/>
    </row>
    <row r="23068">
      <c r="N23068" s="1"/>
      <c r="V23068" s="5"/>
    </row>
    <row r="23069">
      <c r="N23069" s="1"/>
      <c r="V23069" s="5"/>
    </row>
    <row r="23070">
      <c r="N23070" s="1"/>
      <c r="V23070" s="5"/>
    </row>
    <row r="23071">
      <c r="N23071" s="1"/>
      <c r="V23071" s="5"/>
    </row>
    <row r="23072">
      <c r="N23072" s="1"/>
      <c r="V23072" s="5"/>
    </row>
    <row r="23073">
      <c r="N23073" s="1"/>
      <c r="V23073" s="5"/>
    </row>
    <row r="23074">
      <c r="N23074" s="1"/>
      <c r="V23074" s="5"/>
    </row>
    <row r="23075">
      <c r="N23075" s="1"/>
      <c r="V23075" s="5"/>
    </row>
    <row r="23076">
      <c r="N23076" s="1"/>
      <c r="V23076" s="5"/>
    </row>
    <row r="23077">
      <c r="N23077" s="1"/>
      <c r="V23077" s="5"/>
    </row>
    <row r="23078">
      <c r="N23078" s="1"/>
      <c r="V23078" s="5"/>
    </row>
    <row r="23079">
      <c r="N23079" s="1"/>
      <c r="V23079" s="5"/>
    </row>
    <row r="23080">
      <c r="N23080" s="1"/>
      <c r="V23080" s="5"/>
    </row>
    <row r="23081">
      <c r="N23081" s="1"/>
      <c r="V23081" s="5"/>
    </row>
    <row r="23082">
      <c r="N23082" s="1"/>
      <c r="V23082" s="5"/>
    </row>
    <row r="23083">
      <c r="N23083" s="1"/>
      <c r="V23083" s="5"/>
    </row>
    <row r="23084">
      <c r="N23084" s="1"/>
      <c r="V23084" s="5"/>
    </row>
    <row r="23085">
      <c r="N23085" s="1"/>
      <c r="V23085" s="5"/>
    </row>
    <row r="23086">
      <c r="N23086" s="1"/>
      <c r="V23086" s="5"/>
    </row>
    <row r="23087">
      <c r="N23087" s="1"/>
      <c r="V23087" s="5"/>
    </row>
    <row r="23088">
      <c r="N23088" s="1"/>
      <c r="V23088" s="5"/>
    </row>
    <row r="23089">
      <c r="N23089" s="1"/>
      <c r="V23089" s="5"/>
    </row>
    <row r="23090">
      <c r="N23090" s="1"/>
      <c r="V23090" s="5"/>
    </row>
    <row r="23091">
      <c r="N23091" s="1"/>
      <c r="V23091" s="5"/>
    </row>
    <row r="23092">
      <c r="N23092" s="1"/>
      <c r="V23092" s="5"/>
    </row>
    <row r="23093">
      <c r="N23093" s="1"/>
      <c r="V23093" s="5"/>
    </row>
    <row r="23094">
      <c r="N23094" s="1"/>
      <c r="V23094" s="5"/>
    </row>
    <row r="23095">
      <c r="N23095" s="1"/>
      <c r="V23095" s="5"/>
    </row>
    <row r="23096">
      <c r="N23096" s="1"/>
      <c r="V23096" s="5"/>
    </row>
    <row r="23097">
      <c r="N23097" s="1"/>
      <c r="V23097" s="5"/>
    </row>
    <row r="23098">
      <c r="N23098" s="1"/>
      <c r="V23098" s="5"/>
    </row>
    <row r="23099">
      <c r="N23099" s="1"/>
      <c r="V23099" s="5"/>
    </row>
    <row r="23100">
      <c r="N23100" s="1"/>
      <c r="V23100" s="5"/>
    </row>
    <row r="23101">
      <c r="N23101" s="1"/>
      <c r="V23101" s="5"/>
    </row>
    <row r="23102">
      <c r="N23102" s="1"/>
      <c r="V23102" s="5"/>
    </row>
    <row r="23103">
      <c r="N23103" s="1"/>
      <c r="V23103" s="5"/>
    </row>
    <row r="23104">
      <c r="N23104" s="1"/>
      <c r="V23104" s="5"/>
    </row>
    <row r="23105">
      <c r="N23105" s="1"/>
      <c r="V23105" s="5"/>
    </row>
    <row r="23106">
      <c r="N23106" s="1"/>
      <c r="V23106" s="5"/>
    </row>
    <row r="23107">
      <c r="N23107" s="1"/>
      <c r="V23107" s="5"/>
    </row>
    <row r="23108">
      <c r="N23108" s="1"/>
      <c r="V23108" s="5"/>
    </row>
    <row r="23109">
      <c r="N23109" s="1"/>
      <c r="V23109" s="5"/>
    </row>
    <row r="23110">
      <c r="N23110" s="1"/>
      <c r="V23110" s="5"/>
    </row>
    <row r="23111">
      <c r="N23111" s="1"/>
      <c r="V23111" s="5"/>
    </row>
    <row r="23112">
      <c r="N23112" s="1"/>
      <c r="V23112" s="5"/>
    </row>
    <row r="23113">
      <c r="N23113" s="1"/>
      <c r="V23113" s="5"/>
    </row>
    <row r="23114">
      <c r="N23114" s="1"/>
      <c r="V23114" s="5"/>
    </row>
    <row r="23115">
      <c r="N23115" s="1"/>
      <c r="V23115" s="5"/>
    </row>
    <row r="23116">
      <c r="N23116" s="1"/>
      <c r="V23116" s="5"/>
    </row>
    <row r="23117">
      <c r="N23117" s="1"/>
      <c r="V23117" s="5"/>
    </row>
    <row r="23118">
      <c r="N23118" s="1"/>
      <c r="V23118" s="5"/>
    </row>
    <row r="23119">
      <c r="N23119" s="1"/>
      <c r="V23119" s="5"/>
    </row>
    <row r="23120">
      <c r="N23120" s="1"/>
      <c r="V23120" s="5"/>
    </row>
    <row r="23121">
      <c r="N23121" s="1"/>
      <c r="V23121" s="5"/>
    </row>
    <row r="23122">
      <c r="N23122" s="1"/>
      <c r="V23122" s="5"/>
    </row>
    <row r="23123">
      <c r="N23123" s="1"/>
      <c r="V23123" s="5"/>
    </row>
    <row r="23124">
      <c r="N23124" s="1"/>
      <c r="V23124" s="5"/>
    </row>
    <row r="23125">
      <c r="N23125" s="1"/>
      <c r="V23125" s="5"/>
    </row>
    <row r="23126">
      <c r="N23126" s="1"/>
      <c r="V23126" s="5"/>
    </row>
    <row r="23127">
      <c r="N23127" s="1"/>
      <c r="V23127" s="5"/>
    </row>
    <row r="23128">
      <c r="N23128" s="1"/>
      <c r="V23128" s="5"/>
    </row>
    <row r="23129">
      <c r="N23129" s="1"/>
      <c r="V23129" s="5"/>
    </row>
    <row r="23130">
      <c r="N23130" s="1"/>
      <c r="V23130" s="5"/>
    </row>
    <row r="23131">
      <c r="N23131" s="1"/>
      <c r="V23131" s="5"/>
    </row>
    <row r="23132">
      <c r="N23132" s="1"/>
      <c r="V23132" s="5"/>
    </row>
    <row r="23133">
      <c r="N23133" s="1"/>
      <c r="V23133" s="5"/>
    </row>
    <row r="23134">
      <c r="N23134" s="1"/>
      <c r="V23134" s="5"/>
    </row>
    <row r="23135">
      <c r="N23135" s="1"/>
      <c r="V23135" s="5"/>
    </row>
    <row r="23136">
      <c r="N23136" s="1"/>
      <c r="V23136" s="5"/>
    </row>
    <row r="23137">
      <c r="N23137" s="1"/>
      <c r="V23137" s="5"/>
    </row>
    <row r="23138">
      <c r="N23138" s="1"/>
      <c r="V23138" s="5"/>
    </row>
    <row r="23139">
      <c r="N23139" s="1"/>
      <c r="V23139" s="5"/>
    </row>
    <row r="23140">
      <c r="N23140" s="1"/>
      <c r="V23140" s="5"/>
    </row>
    <row r="23141">
      <c r="N23141" s="1"/>
      <c r="V23141" s="5"/>
    </row>
    <row r="23142">
      <c r="N23142" s="1"/>
      <c r="V23142" s="5"/>
    </row>
    <row r="23143">
      <c r="N23143" s="1"/>
      <c r="V23143" s="5"/>
    </row>
    <row r="23144">
      <c r="N23144" s="1"/>
      <c r="V23144" s="5"/>
    </row>
    <row r="23145">
      <c r="N23145" s="1"/>
      <c r="V23145" s="5"/>
    </row>
    <row r="23146">
      <c r="N23146" s="1"/>
      <c r="V23146" s="5"/>
    </row>
    <row r="23147">
      <c r="N23147" s="1"/>
      <c r="V23147" s="5"/>
    </row>
    <row r="23148">
      <c r="N23148" s="1"/>
      <c r="V23148" s="5"/>
    </row>
    <row r="23149">
      <c r="N23149" s="1"/>
      <c r="V23149" s="5"/>
    </row>
    <row r="23150">
      <c r="N23150" s="1"/>
      <c r="V23150" s="5"/>
    </row>
    <row r="23151">
      <c r="N23151" s="1"/>
      <c r="V23151" s="5"/>
    </row>
    <row r="23152">
      <c r="N23152" s="1"/>
      <c r="V23152" s="5"/>
    </row>
    <row r="23153">
      <c r="N23153" s="1"/>
      <c r="V23153" s="5"/>
    </row>
    <row r="23154">
      <c r="N23154" s="1"/>
      <c r="V23154" s="5"/>
    </row>
    <row r="23155">
      <c r="N23155" s="1"/>
      <c r="V23155" s="5"/>
    </row>
    <row r="23156">
      <c r="N23156" s="1"/>
      <c r="V23156" s="5"/>
    </row>
    <row r="23157">
      <c r="N23157" s="1"/>
      <c r="V23157" s="5"/>
    </row>
    <row r="23158">
      <c r="N23158" s="1"/>
      <c r="V23158" s="5"/>
    </row>
    <row r="23159">
      <c r="N23159" s="1"/>
      <c r="V23159" s="5"/>
    </row>
    <row r="23160">
      <c r="N23160" s="1"/>
      <c r="V23160" s="5"/>
    </row>
    <row r="23161">
      <c r="N23161" s="1"/>
      <c r="V23161" s="5"/>
    </row>
    <row r="23162">
      <c r="N23162" s="1"/>
      <c r="V23162" s="5"/>
    </row>
    <row r="23163">
      <c r="N23163" s="1"/>
      <c r="V23163" s="5"/>
    </row>
    <row r="23164">
      <c r="N23164" s="1"/>
      <c r="V23164" s="5"/>
    </row>
    <row r="23165">
      <c r="N23165" s="1"/>
      <c r="V23165" s="5"/>
    </row>
    <row r="23166">
      <c r="N23166" s="1"/>
      <c r="V23166" s="5"/>
    </row>
    <row r="23167">
      <c r="N23167" s="1"/>
      <c r="V23167" s="5"/>
    </row>
    <row r="23168">
      <c r="N23168" s="1"/>
      <c r="V23168" s="5"/>
    </row>
    <row r="23169">
      <c r="N23169" s="1"/>
      <c r="V23169" s="5"/>
    </row>
    <row r="23170">
      <c r="N23170" s="1"/>
      <c r="V23170" s="5"/>
    </row>
    <row r="23171">
      <c r="N23171" s="1"/>
      <c r="V23171" s="5"/>
    </row>
    <row r="23172">
      <c r="N23172" s="1"/>
      <c r="V23172" s="5"/>
    </row>
    <row r="23173">
      <c r="N23173" s="1"/>
      <c r="V23173" s="5"/>
    </row>
    <row r="23174">
      <c r="N23174" s="1"/>
      <c r="V23174" s="5"/>
    </row>
    <row r="23175">
      <c r="N23175" s="1"/>
      <c r="V23175" s="5"/>
    </row>
    <row r="23176">
      <c r="N23176" s="1"/>
      <c r="V23176" s="5"/>
    </row>
    <row r="23177">
      <c r="N23177" s="1"/>
      <c r="V23177" s="5"/>
    </row>
    <row r="23178">
      <c r="N23178" s="1"/>
      <c r="V23178" s="5"/>
    </row>
    <row r="23179">
      <c r="N23179" s="1"/>
      <c r="V23179" s="5"/>
    </row>
    <row r="23180">
      <c r="N23180" s="1"/>
      <c r="V23180" s="5"/>
    </row>
    <row r="23181">
      <c r="N23181" s="1"/>
      <c r="V23181" s="5"/>
    </row>
    <row r="23182">
      <c r="N23182" s="1"/>
      <c r="V23182" s="5"/>
    </row>
    <row r="23183">
      <c r="N23183" s="1"/>
      <c r="V23183" s="5"/>
    </row>
    <row r="23184">
      <c r="N23184" s="1"/>
      <c r="V23184" s="5"/>
    </row>
    <row r="23185">
      <c r="N23185" s="1"/>
      <c r="V23185" s="5"/>
    </row>
    <row r="23186">
      <c r="N23186" s="1"/>
      <c r="V23186" s="5"/>
    </row>
    <row r="23187">
      <c r="N23187" s="1"/>
      <c r="V23187" s="5"/>
    </row>
    <row r="23188">
      <c r="N23188" s="1"/>
      <c r="V23188" s="5"/>
    </row>
    <row r="23189">
      <c r="N23189" s="1"/>
      <c r="V23189" s="5"/>
    </row>
    <row r="23190">
      <c r="N23190" s="1"/>
      <c r="V23190" s="5"/>
    </row>
    <row r="23191">
      <c r="N23191" s="1"/>
      <c r="V23191" s="5"/>
    </row>
    <row r="23192">
      <c r="N23192" s="1"/>
      <c r="V23192" s="5"/>
    </row>
    <row r="23193">
      <c r="N23193" s="1"/>
      <c r="V23193" s="5"/>
    </row>
    <row r="23194">
      <c r="N23194" s="1"/>
      <c r="V23194" s="5"/>
    </row>
    <row r="23195">
      <c r="N23195" s="1"/>
      <c r="V23195" s="5"/>
    </row>
    <row r="23196">
      <c r="N23196" s="1"/>
      <c r="V23196" s="5"/>
    </row>
    <row r="23197">
      <c r="N23197" s="1"/>
      <c r="V23197" s="5"/>
    </row>
    <row r="23198">
      <c r="N23198" s="1"/>
      <c r="V23198" s="5"/>
    </row>
    <row r="23199">
      <c r="N23199" s="1"/>
      <c r="V23199" s="5"/>
    </row>
    <row r="23200">
      <c r="N23200" s="1"/>
      <c r="V23200" s="5"/>
    </row>
    <row r="23201">
      <c r="N23201" s="1"/>
      <c r="V23201" s="5"/>
    </row>
    <row r="23202">
      <c r="N23202" s="1"/>
      <c r="V23202" s="5"/>
    </row>
    <row r="23203">
      <c r="N23203" s="1"/>
      <c r="V23203" s="5"/>
    </row>
    <row r="23204">
      <c r="N23204" s="1"/>
      <c r="V23204" s="5"/>
    </row>
    <row r="23205">
      <c r="N23205" s="1"/>
      <c r="V23205" s="5"/>
    </row>
    <row r="23206">
      <c r="N23206" s="1"/>
      <c r="V23206" s="5"/>
    </row>
    <row r="23207">
      <c r="N23207" s="1"/>
      <c r="V23207" s="5"/>
    </row>
    <row r="23208">
      <c r="N23208" s="1"/>
      <c r="V23208" s="5"/>
    </row>
    <row r="23209">
      <c r="N23209" s="1"/>
      <c r="V23209" s="5"/>
    </row>
    <row r="23210">
      <c r="N23210" s="1"/>
      <c r="V23210" s="5"/>
    </row>
    <row r="23211">
      <c r="N23211" s="1"/>
      <c r="V23211" s="5"/>
    </row>
    <row r="23212">
      <c r="N23212" s="1"/>
      <c r="V23212" s="5"/>
    </row>
    <row r="23213">
      <c r="N23213" s="1"/>
      <c r="V23213" s="5"/>
    </row>
    <row r="23214">
      <c r="N23214" s="1"/>
      <c r="V23214" s="5"/>
    </row>
    <row r="23215">
      <c r="N23215" s="1"/>
      <c r="V23215" s="5"/>
    </row>
    <row r="23216">
      <c r="N23216" s="1"/>
      <c r="V23216" s="5"/>
    </row>
    <row r="23217">
      <c r="N23217" s="1"/>
      <c r="V23217" s="5"/>
    </row>
    <row r="23218">
      <c r="N23218" s="1"/>
      <c r="V23218" s="5"/>
    </row>
    <row r="23219">
      <c r="N23219" s="1"/>
      <c r="V23219" s="5"/>
    </row>
    <row r="23220">
      <c r="N23220" s="1"/>
      <c r="V23220" s="5"/>
    </row>
    <row r="23221">
      <c r="N23221" s="1"/>
      <c r="V23221" s="5"/>
    </row>
    <row r="23222">
      <c r="N23222" s="1"/>
      <c r="V23222" s="5"/>
    </row>
    <row r="23223">
      <c r="N23223" s="1"/>
      <c r="V23223" s="5"/>
    </row>
    <row r="23224">
      <c r="N23224" s="1"/>
      <c r="V23224" s="5"/>
    </row>
    <row r="23225">
      <c r="N23225" s="1"/>
      <c r="V23225" s="5"/>
    </row>
    <row r="23226">
      <c r="N23226" s="1"/>
      <c r="V23226" s="5"/>
    </row>
    <row r="23227">
      <c r="N23227" s="1"/>
      <c r="V23227" s="5"/>
    </row>
    <row r="23228">
      <c r="N23228" s="1"/>
      <c r="V23228" s="5"/>
    </row>
    <row r="23229">
      <c r="N23229" s="1"/>
      <c r="V23229" s="5"/>
    </row>
    <row r="23230">
      <c r="N23230" s="1"/>
      <c r="V23230" s="5"/>
    </row>
    <row r="23231">
      <c r="N23231" s="1"/>
      <c r="V23231" s="5"/>
    </row>
    <row r="23232">
      <c r="N23232" s="1"/>
      <c r="V23232" s="5"/>
    </row>
    <row r="23233">
      <c r="N23233" s="1"/>
      <c r="V23233" s="5"/>
    </row>
    <row r="23234">
      <c r="N23234" s="1"/>
      <c r="V23234" s="5"/>
    </row>
    <row r="23235">
      <c r="N23235" s="1"/>
      <c r="V23235" s="5"/>
    </row>
    <row r="23236">
      <c r="N23236" s="1"/>
      <c r="V23236" s="5"/>
    </row>
    <row r="23237">
      <c r="N23237" s="1"/>
      <c r="V23237" s="5"/>
    </row>
    <row r="23238">
      <c r="N23238" s="1"/>
      <c r="V23238" s="5"/>
    </row>
    <row r="23239">
      <c r="N23239" s="1"/>
      <c r="V23239" s="5"/>
    </row>
    <row r="23240">
      <c r="N23240" s="1"/>
      <c r="V23240" s="5"/>
    </row>
    <row r="23241">
      <c r="N23241" s="1"/>
      <c r="V23241" s="5"/>
    </row>
    <row r="23242">
      <c r="N23242" s="1"/>
      <c r="V23242" s="5"/>
    </row>
    <row r="23243">
      <c r="N23243" s="1"/>
      <c r="V23243" s="5"/>
    </row>
    <row r="23244">
      <c r="N23244" s="1"/>
      <c r="V23244" s="5"/>
    </row>
    <row r="23245">
      <c r="N23245" s="1"/>
      <c r="V23245" s="5"/>
    </row>
    <row r="23246">
      <c r="N23246" s="1"/>
      <c r="V23246" s="5"/>
    </row>
    <row r="23247">
      <c r="N23247" s="1"/>
      <c r="V23247" s="5"/>
    </row>
    <row r="23248">
      <c r="N23248" s="1"/>
      <c r="V23248" s="5"/>
    </row>
    <row r="23249">
      <c r="N23249" s="1"/>
      <c r="V23249" s="5"/>
    </row>
    <row r="23250">
      <c r="N23250" s="1"/>
      <c r="V23250" s="5"/>
    </row>
    <row r="23251">
      <c r="N23251" s="1"/>
      <c r="V23251" s="5"/>
    </row>
    <row r="23252">
      <c r="N23252" s="1"/>
      <c r="V23252" s="5"/>
    </row>
    <row r="23253">
      <c r="N23253" s="1"/>
      <c r="V23253" s="5"/>
    </row>
    <row r="23254">
      <c r="N23254" s="1"/>
      <c r="V23254" s="5"/>
    </row>
    <row r="23255">
      <c r="N23255" s="1"/>
      <c r="V23255" s="5"/>
    </row>
    <row r="23256">
      <c r="N23256" s="1"/>
      <c r="V23256" s="5"/>
    </row>
    <row r="23257">
      <c r="N23257" s="1"/>
      <c r="V23257" s="5"/>
    </row>
    <row r="23258">
      <c r="N23258" s="1"/>
      <c r="V23258" s="5"/>
    </row>
    <row r="23259">
      <c r="N23259" s="1"/>
      <c r="V23259" s="5"/>
    </row>
    <row r="23260">
      <c r="N23260" s="1"/>
      <c r="V23260" s="5"/>
    </row>
    <row r="23261">
      <c r="N23261" s="1"/>
      <c r="V23261" s="5"/>
    </row>
    <row r="23262">
      <c r="N23262" s="1"/>
      <c r="V23262" s="5"/>
    </row>
    <row r="23263">
      <c r="N23263" s="1"/>
      <c r="V23263" s="5"/>
    </row>
    <row r="23264">
      <c r="N23264" s="1"/>
      <c r="V23264" s="5"/>
    </row>
    <row r="23265">
      <c r="N23265" s="1"/>
      <c r="V23265" s="5"/>
    </row>
    <row r="23266">
      <c r="N23266" s="1"/>
      <c r="V23266" s="5"/>
    </row>
    <row r="23267">
      <c r="N23267" s="1"/>
      <c r="V23267" s="5"/>
    </row>
    <row r="23268">
      <c r="N23268" s="1"/>
      <c r="V23268" s="5"/>
    </row>
    <row r="23269">
      <c r="N23269" s="1"/>
      <c r="V23269" s="5"/>
    </row>
    <row r="23270">
      <c r="N23270" s="1"/>
      <c r="V23270" s="5"/>
    </row>
    <row r="23271">
      <c r="N23271" s="1"/>
      <c r="V23271" s="5"/>
    </row>
    <row r="23272">
      <c r="N23272" s="1"/>
      <c r="V23272" s="5"/>
    </row>
    <row r="23273">
      <c r="N23273" s="1"/>
      <c r="V23273" s="5"/>
    </row>
    <row r="23274">
      <c r="N23274" s="1"/>
      <c r="V23274" s="5"/>
    </row>
    <row r="23275">
      <c r="N23275" s="1"/>
      <c r="V23275" s="5"/>
    </row>
    <row r="23276">
      <c r="N23276" s="1"/>
      <c r="V23276" s="5"/>
    </row>
    <row r="23277">
      <c r="N23277" s="1"/>
      <c r="V23277" s="5"/>
    </row>
    <row r="23278">
      <c r="N23278" s="1"/>
      <c r="V23278" s="5"/>
    </row>
    <row r="23279">
      <c r="N23279" s="1"/>
      <c r="V23279" s="5"/>
    </row>
    <row r="23280">
      <c r="N23280" s="1"/>
      <c r="V23280" s="5"/>
    </row>
    <row r="23281">
      <c r="N23281" s="1"/>
      <c r="V23281" s="5"/>
    </row>
    <row r="23282">
      <c r="N23282" s="1"/>
      <c r="V23282" s="5"/>
    </row>
    <row r="23283">
      <c r="N23283" s="1"/>
      <c r="V23283" s="5"/>
    </row>
    <row r="23284">
      <c r="N23284" s="1"/>
      <c r="V23284" s="5"/>
    </row>
    <row r="23285">
      <c r="N23285" s="1"/>
      <c r="V23285" s="5"/>
    </row>
    <row r="23286">
      <c r="N23286" s="1"/>
      <c r="V23286" s="5"/>
    </row>
    <row r="23287">
      <c r="N23287" s="1"/>
      <c r="V23287" s="5"/>
    </row>
    <row r="23288">
      <c r="N23288" s="1"/>
      <c r="V23288" s="5"/>
    </row>
    <row r="23289">
      <c r="N23289" s="1"/>
      <c r="V23289" s="5"/>
    </row>
    <row r="23290">
      <c r="N23290" s="1"/>
      <c r="V23290" s="5"/>
    </row>
    <row r="23291">
      <c r="N23291" s="1"/>
      <c r="V23291" s="5"/>
    </row>
    <row r="23292">
      <c r="N23292" s="1"/>
      <c r="V23292" s="5"/>
    </row>
    <row r="23293">
      <c r="N23293" s="1"/>
      <c r="V23293" s="5"/>
    </row>
    <row r="23294">
      <c r="N23294" s="1"/>
      <c r="V23294" s="5"/>
    </row>
    <row r="23295">
      <c r="N23295" s="1"/>
      <c r="V23295" s="5"/>
    </row>
    <row r="23296">
      <c r="N23296" s="1"/>
      <c r="V23296" s="5"/>
    </row>
    <row r="23297">
      <c r="N23297" s="1"/>
      <c r="V23297" s="5"/>
    </row>
    <row r="23298">
      <c r="N23298" s="1"/>
      <c r="V23298" s="5"/>
    </row>
    <row r="23299">
      <c r="N23299" s="1"/>
      <c r="V23299" s="5"/>
    </row>
    <row r="23300">
      <c r="N23300" s="1"/>
      <c r="V23300" s="5"/>
    </row>
    <row r="23301">
      <c r="N23301" s="1"/>
      <c r="V23301" s="5"/>
    </row>
    <row r="23302">
      <c r="N23302" s="1"/>
      <c r="V23302" s="5"/>
    </row>
    <row r="23303">
      <c r="N23303" s="1"/>
      <c r="V23303" s="5"/>
    </row>
    <row r="23304">
      <c r="N23304" s="1"/>
      <c r="V23304" s="5"/>
    </row>
    <row r="23305">
      <c r="N23305" s="1"/>
      <c r="V23305" s="5"/>
    </row>
    <row r="23306">
      <c r="N23306" s="1"/>
      <c r="V23306" s="5"/>
    </row>
    <row r="23307">
      <c r="N23307" s="1"/>
      <c r="V23307" s="5"/>
    </row>
    <row r="23308">
      <c r="N23308" s="1"/>
      <c r="V23308" s="5"/>
    </row>
    <row r="23309">
      <c r="N23309" s="1"/>
      <c r="V23309" s="5"/>
    </row>
    <row r="23310">
      <c r="N23310" s="1"/>
      <c r="V23310" s="5"/>
    </row>
    <row r="23311">
      <c r="N23311" s="1"/>
      <c r="V23311" s="5"/>
    </row>
    <row r="23312">
      <c r="N23312" s="1"/>
      <c r="V23312" s="5"/>
    </row>
    <row r="23313">
      <c r="N23313" s="1"/>
      <c r="V23313" s="5"/>
    </row>
    <row r="23314">
      <c r="N23314" s="1"/>
      <c r="V23314" s="5"/>
    </row>
    <row r="23315">
      <c r="N23315" s="1"/>
      <c r="V23315" s="5"/>
    </row>
    <row r="23316">
      <c r="N23316" s="1"/>
      <c r="V23316" s="5"/>
    </row>
    <row r="23317">
      <c r="N23317" s="1"/>
      <c r="V23317" s="5"/>
    </row>
    <row r="23318">
      <c r="N23318" s="1"/>
      <c r="V23318" s="5"/>
    </row>
    <row r="23319">
      <c r="N23319" s="1"/>
      <c r="V23319" s="5"/>
    </row>
    <row r="23320">
      <c r="N23320" s="1"/>
      <c r="V23320" s="5"/>
    </row>
    <row r="23321">
      <c r="N23321" s="1"/>
      <c r="V23321" s="5"/>
    </row>
    <row r="23322">
      <c r="N23322" s="1"/>
      <c r="V23322" s="5"/>
    </row>
    <row r="23323">
      <c r="N23323" s="1"/>
      <c r="V23323" s="5"/>
    </row>
    <row r="23324">
      <c r="N23324" s="1"/>
      <c r="V23324" s="5"/>
    </row>
    <row r="23325">
      <c r="N23325" s="1"/>
      <c r="V23325" s="5"/>
    </row>
    <row r="23326">
      <c r="N23326" s="1"/>
      <c r="V23326" s="5"/>
    </row>
    <row r="23327">
      <c r="N23327" s="1"/>
      <c r="V23327" s="5"/>
    </row>
    <row r="23328">
      <c r="N23328" s="1"/>
      <c r="V23328" s="5"/>
    </row>
    <row r="23329">
      <c r="N23329" s="1"/>
      <c r="V23329" s="5"/>
    </row>
    <row r="23330">
      <c r="N23330" s="1"/>
      <c r="V23330" s="5"/>
    </row>
    <row r="23331">
      <c r="N23331" s="1"/>
      <c r="V23331" s="5"/>
    </row>
    <row r="23332">
      <c r="N23332" s="1"/>
      <c r="V23332" s="5"/>
    </row>
    <row r="23333">
      <c r="N23333" s="1"/>
      <c r="V23333" s="5"/>
    </row>
    <row r="23334">
      <c r="N23334" s="1"/>
      <c r="V23334" s="5"/>
    </row>
    <row r="23335">
      <c r="N23335" s="1"/>
      <c r="V23335" s="5"/>
    </row>
    <row r="23336">
      <c r="N23336" s="1"/>
      <c r="V23336" s="5"/>
    </row>
    <row r="23337">
      <c r="N23337" s="1"/>
      <c r="V23337" s="5"/>
    </row>
    <row r="23338">
      <c r="N23338" s="1"/>
      <c r="V23338" s="5"/>
    </row>
    <row r="23339">
      <c r="N23339" s="1"/>
      <c r="V23339" s="5"/>
    </row>
    <row r="23340">
      <c r="N23340" s="1"/>
      <c r="V23340" s="5"/>
    </row>
    <row r="23341">
      <c r="N23341" s="1"/>
      <c r="V23341" s="5"/>
    </row>
    <row r="23342">
      <c r="N23342" s="1"/>
      <c r="V23342" s="5"/>
    </row>
    <row r="23343">
      <c r="N23343" s="1"/>
      <c r="V23343" s="5"/>
    </row>
    <row r="23344">
      <c r="N23344" s="1"/>
      <c r="V23344" s="5"/>
    </row>
    <row r="23345">
      <c r="N23345" s="1"/>
      <c r="V23345" s="5"/>
    </row>
    <row r="23346">
      <c r="N23346" s="1"/>
      <c r="V23346" s="5"/>
    </row>
    <row r="23347">
      <c r="N23347" s="1"/>
      <c r="V23347" s="5"/>
    </row>
    <row r="23348">
      <c r="N23348" s="1"/>
      <c r="V23348" s="5"/>
    </row>
    <row r="23349">
      <c r="N23349" s="1"/>
      <c r="V23349" s="5"/>
    </row>
    <row r="23350">
      <c r="N23350" s="1"/>
      <c r="V23350" s="5"/>
    </row>
    <row r="23351">
      <c r="N23351" s="1"/>
      <c r="V23351" s="5"/>
    </row>
    <row r="23352">
      <c r="N23352" s="1"/>
      <c r="V23352" s="5"/>
    </row>
    <row r="23353">
      <c r="N23353" s="1"/>
      <c r="V23353" s="5"/>
    </row>
    <row r="23354">
      <c r="N23354" s="1"/>
      <c r="V23354" s="5"/>
    </row>
    <row r="23355">
      <c r="N23355" s="1"/>
      <c r="V23355" s="5"/>
    </row>
    <row r="23356">
      <c r="N23356" s="1"/>
      <c r="V23356" s="5"/>
    </row>
    <row r="23357">
      <c r="N23357" s="1"/>
      <c r="V23357" s="5"/>
    </row>
    <row r="23358">
      <c r="N23358" s="1"/>
      <c r="V23358" s="5"/>
    </row>
    <row r="23359">
      <c r="N23359" s="1"/>
      <c r="V23359" s="5"/>
    </row>
    <row r="23360">
      <c r="N23360" s="1"/>
      <c r="V23360" s="5"/>
    </row>
    <row r="23361">
      <c r="N23361" s="1"/>
      <c r="V23361" s="5"/>
    </row>
    <row r="23362">
      <c r="N23362" s="1"/>
      <c r="V23362" s="5"/>
    </row>
    <row r="23363">
      <c r="N23363" s="1"/>
      <c r="V23363" s="5"/>
    </row>
    <row r="23364">
      <c r="N23364" s="1"/>
      <c r="V23364" s="5"/>
    </row>
    <row r="23365">
      <c r="N23365" s="1"/>
      <c r="V23365" s="5"/>
    </row>
    <row r="23366">
      <c r="N23366" s="1"/>
      <c r="V23366" s="5"/>
    </row>
    <row r="23367">
      <c r="N23367" s="1"/>
      <c r="V23367" s="5"/>
    </row>
    <row r="23368">
      <c r="N23368" s="1"/>
      <c r="V23368" s="5"/>
    </row>
    <row r="23369">
      <c r="N23369" s="1"/>
      <c r="V23369" s="5"/>
    </row>
    <row r="23370">
      <c r="N23370" s="1"/>
      <c r="V23370" s="5"/>
    </row>
    <row r="23371">
      <c r="N23371" s="1"/>
      <c r="V23371" s="5"/>
    </row>
    <row r="23372">
      <c r="N23372" s="1"/>
      <c r="V23372" s="5"/>
    </row>
    <row r="23373">
      <c r="N23373" s="1"/>
      <c r="V23373" s="5"/>
    </row>
    <row r="23374">
      <c r="N23374" s="1"/>
      <c r="V23374" s="5"/>
    </row>
    <row r="23375">
      <c r="N23375" s="1"/>
      <c r="V23375" s="5"/>
    </row>
    <row r="23376">
      <c r="N23376" s="1"/>
      <c r="V23376" s="5"/>
    </row>
    <row r="23377">
      <c r="N23377" s="1"/>
      <c r="V23377" s="5"/>
    </row>
    <row r="23378">
      <c r="N23378" s="1"/>
      <c r="V23378" s="5"/>
    </row>
    <row r="23379">
      <c r="N23379" s="1"/>
      <c r="V23379" s="5"/>
    </row>
    <row r="23380">
      <c r="N23380" s="1"/>
      <c r="V23380" s="5"/>
    </row>
    <row r="23381">
      <c r="N23381" s="1"/>
      <c r="V23381" s="5"/>
    </row>
    <row r="23382">
      <c r="N23382" s="1"/>
      <c r="V23382" s="5"/>
    </row>
    <row r="23383">
      <c r="N23383" s="1"/>
      <c r="V23383" s="5"/>
    </row>
    <row r="23384">
      <c r="N23384" s="1"/>
      <c r="V23384" s="5"/>
    </row>
    <row r="23385">
      <c r="N23385" s="1"/>
      <c r="V23385" s="5"/>
    </row>
    <row r="23386">
      <c r="N23386" s="1"/>
      <c r="V23386" s="5"/>
    </row>
    <row r="23387">
      <c r="N23387" s="1"/>
      <c r="V23387" s="5"/>
    </row>
    <row r="23388">
      <c r="N23388" s="1"/>
      <c r="V23388" s="5"/>
    </row>
    <row r="23389">
      <c r="N23389" s="1"/>
      <c r="V23389" s="5"/>
    </row>
    <row r="23390">
      <c r="N23390" s="1"/>
      <c r="V23390" s="5"/>
    </row>
    <row r="23391">
      <c r="N23391" s="1"/>
      <c r="V23391" s="5"/>
    </row>
    <row r="23392">
      <c r="N23392" s="1"/>
      <c r="V23392" s="5"/>
    </row>
    <row r="23393">
      <c r="N23393" s="1"/>
      <c r="V23393" s="5"/>
    </row>
    <row r="23394">
      <c r="N23394" s="1"/>
      <c r="V23394" s="5"/>
    </row>
    <row r="23395">
      <c r="N23395" s="1"/>
      <c r="V23395" s="5"/>
    </row>
    <row r="23396">
      <c r="N23396" s="1"/>
      <c r="V23396" s="5"/>
    </row>
    <row r="23397">
      <c r="N23397" s="1"/>
      <c r="V23397" s="5"/>
    </row>
    <row r="23398">
      <c r="N23398" s="1"/>
      <c r="V23398" s="5"/>
    </row>
    <row r="23399">
      <c r="N23399" s="1"/>
      <c r="V23399" s="5"/>
    </row>
    <row r="23400">
      <c r="N23400" s="1"/>
      <c r="V23400" s="5"/>
    </row>
    <row r="23401">
      <c r="N23401" s="1"/>
      <c r="V23401" s="5"/>
    </row>
    <row r="23402">
      <c r="N23402" s="1"/>
      <c r="V23402" s="5"/>
    </row>
    <row r="23403">
      <c r="N23403" s="1"/>
      <c r="V23403" s="5"/>
    </row>
    <row r="23404">
      <c r="N23404" s="1"/>
      <c r="V23404" s="5"/>
    </row>
    <row r="23405">
      <c r="N23405" s="1"/>
      <c r="V23405" s="5"/>
    </row>
    <row r="23406">
      <c r="N23406" s="1"/>
      <c r="V23406" s="5"/>
    </row>
    <row r="23407">
      <c r="N23407" s="1"/>
      <c r="V23407" s="5"/>
    </row>
    <row r="23408">
      <c r="N23408" s="1"/>
      <c r="V23408" s="5"/>
    </row>
    <row r="23409">
      <c r="N23409" s="1"/>
      <c r="V23409" s="5"/>
    </row>
    <row r="23410">
      <c r="N23410" s="1"/>
      <c r="V23410" s="5"/>
    </row>
    <row r="23411">
      <c r="N23411" s="1"/>
      <c r="V23411" s="5"/>
    </row>
    <row r="23412">
      <c r="N23412" s="1"/>
      <c r="V23412" s="5"/>
    </row>
    <row r="23413">
      <c r="N23413" s="1"/>
      <c r="V23413" s="5"/>
    </row>
    <row r="23414">
      <c r="N23414" s="1"/>
      <c r="V23414" s="5"/>
    </row>
    <row r="23415">
      <c r="N23415" s="1"/>
      <c r="V23415" s="5"/>
    </row>
    <row r="23416">
      <c r="N23416" s="1"/>
      <c r="V23416" s="5"/>
    </row>
    <row r="23417">
      <c r="N23417" s="1"/>
      <c r="V23417" s="5"/>
    </row>
    <row r="23418">
      <c r="N23418" s="1"/>
      <c r="V23418" s="5"/>
    </row>
    <row r="23419">
      <c r="N23419" s="1"/>
      <c r="V23419" s="5"/>
    </row>
    <row r="23420">
      <c r="N23420" s="1"/>
      <c r="V23420" s="5"/>
    </row>
    <row r="23421">
      <c r="N23421" s="1"/>
      <c r="V23421" s="5"/>
    </row>
    <row r="23422">
      <c r="N23422" s="1"/>
      <c r="V23422" s="5"/>
    </row>
    <row r="23423">
      <c r="N23423" s="1"/>
      <c r="V23423" s="5"/>
    </row>
    <row r="23424">
      <c r="N23424" s="1"/>
      <c r="V23424" s="5"/>
    </row>
    <row r="23425">
      <c r="N23425" s="1"/>
      <c r="V23425" s="5"/>
    </row>
    <row r="23426">
      <c r="N23426" s="1"/>
      <c r="V23426" s="5"/>
    </row>
    <row r="23427">
      <c r="N23427" s="1"/>
      <c r="V23427" s="5"/>
    </row>
    <row r="23428">
      <c r="N23428" s="1"/>
      <c r="V23428" s="5"/>
    </row>
    <row r="23429">
      <c r="N23429" s="1"/>
      <c r="V23429" s="5"/>
    </row>
    <row r="23430">
      <c r="N23430" s="1"/>
      <c r="V23430" s="5"/>
    </row>
    <row r="23431">
      <c r="N23431" s="1"/>
      <c r="V23431" s="5"/>
    </row>
    <row r="23432">
      <c r="N23432" s="1"/>
      <c r="V23432" s="5"/>
    </row>
    <row r="23433">
      <c r="N23433" s="1"/>
      <c r="V23433" s="5"/>
    </row>
    <row r="23434">
      <c r="N23434" s="1"/>
      <c r="V23434" s="5"/>
    </row>
    <row r="23435">
      <c r="N23435" s="1"/>
      <c r="V23435" s="5"/>
    </row>
    <row r="23436">
      <c r="N23436" s="1"/>
      <c r="V23436" s="5"/>
    </row>
    <row r="23437">
      <c r="N23437" s="1"/>
      <c r="V23437" s="5"/>
    </row>
    <row r="23438">
      <c r="N23438" s="1"/>
      <c r="V23438" s="5"/>
    </row>
    <row r="23439">
      <c r="N23439" s="1"/>
      <c r="V23439" s="5"/>
    </row>
    <row r="23440">
      <c r="N23440" s="1"/>
      <c r="V23440" s="5"/>
    </row>
    <row r="23441">
      <c r="N23441" s="1"/>
      <c r="V23441" s="5"/>
    </row>
    <row r="23442">
      <c r="N23442" s="1"/>
      <c r="V23442" s="5"/>
    </row>
    <row r="23443">
      <c r="N23443" s="1"/>
      <c r="V23443" s="5"/>
    </row>
    <row r="23444">
      <c r="N23444" s="1"/>
      <c r="V23444" s="5"/>
    </row>
    <row r="23445">
      <c r="N23445" s="1"/>
      <c r="V23445" s="5"/>
    </row>
    <row r="23446">
      <c r="N23446" s="1"/>
      <c r="V23446" s="5"/>
    </row>
    <row r="23447">
      <c r="N23447" s="1"/>
      <c r="V23447" s="5"/>
    </row>
    <row r="23448">
      <c r="N23448" s="1"/>
      <c r="V23448" s="5"/>
    </row>
    <row r="23449">
      <c r="N23449" s="1"/>
      <c r="V23449" s="5"/>
    </row>
    <row r="23450">
      <c r="N23450" s="1"/>
      <c r="V23450" s="5"/>
    </row>
    <row r="23451">
      <c r="N23451" s="1"/>
      <c r="V23451" s="5"/>
    </row>
    <row r="23452">
      <c r="N23452" s="1"/>
      <c r="V23452" s="5"/>
    </row>
    <row r="23453">
      <c r="N23453" s="1"/>
      <c r="V23453" s="5"/>
    </row>
    <row r="23454">
      <c r="N23454" s="1"/>
      <c r="V23454" s="5"/>
    </row>
    <row r="23455">
      <c r="N23455" s="1"/>
      <c r="V23455" s="5"/>
    </row>
    <row r="23456">
      <c r="N23456" s="1"/>
      <c r="V23456" s="5"/>
    </row>
    <row r="23457">
      <c r="N23457" s="1"/>
      <c r="V23457" s="5"/>
    </row>
    <row r="23458">
      <c r="N23458" s="1"/>
      <c r="V23458" s="5"/>
    </row>
    <row r="23459">
      <c r="N23459" s="1"/>
      <c r="V23459" s="5"/>
    </row>
    <row r="23460">
      <c r="N23460" s="1"/>
      <c r="V23460" s="5"/>
    </row>
    <row r="23461">
      <c r="N23461" s="1"/>
      <c r="V23461" s="5"/>
    </row>
    <row r="23462">
      <c r="N23462" s="1"/>
      <c r="V23462" s="5"/>
    </row>
    <row r="23463">
      <c r="N23463" s="1"/>
      <c r="V23463" s="5"/>
    </row>
    <row r="23464">
      <c r="N23464" s="1"/>
      <c r="V23464" s="5"/>
    </row>
    <row r="23465">
      <c r="N23465" s="1"/>
      <c r="V23465" s="5"/>
    </row>
    <row r="23466">
      <c r="N23466" s="1"/>
      <c r="V23466" s="5"/>
    </row>
    <row r="23467">
      <c r="N23467" s="1"/>
      <c r="V23467" s="5"/>
    </row>
    <row r="23468">
      <c r="N23468" s="1"/>
      <c r="V23468" s="5"/>
    </row>
    <row r="23469">
      <c r="N23469" s="1"/>
      <c r="V23469" s="5"/>
    </row>
    <row r="23470">
      <c r="N23470" s="1"/>
      <c r="V23470" s="5"/>
    </row>
    <row r="23471">
      <c r="N23471" s="1"/>
      <c r="V23471" s="5"/>
    </row>
    <row r="23472">
      <c r="N23472" s="1"/>
      <c r="V23472" s="5"/>
    </row>
    <row r="23473">
      <c r="N23473" s="1"/>
      <c r="V23473" s="5"/>
    </row>
    <row r="23474">
      <c r="N23474" s="1"/>
      <c r="V23474" s="5"/>
    </row>
    <row r="23475">
      <c r="N23475" s="1"/>
      <c r="V23475" s="5"/>
    </row>
    <row r="23476">
      <c r="N23476" s="1"/>
      <c r="V23476" s="5"/>
    </row>
    <row r="23477">
      <c r="N23477" s="1"/>
      <c r="V23477" s="5"/>
    </row>
    <row r="23478">
      <c r="N23478" s="1"/>
      <c r="V23478" s="5"/>
    </row>
    <row r="23479">
      <c r="N23479" s="1"/>
      <c r="V23479" s="5"/>
    </row>
    <row r="23480">
      <c r="N23480" s="1"/>
      <c r="V23480" s="5"/>
    </row>
    <row r="23481">
      <c r="N23481" s="1"/>
      <c r="V23481" s="5"/>
    </row>
    <row r="23482">
      <c r="N23482" s="1"/>
      <c r="V23482" s="5"/>
    </row>
    <row r="23483">
      <c r="N23483" s="1"/>
      <c r="V23483" s="5"/>
    </row>
    <row r="23484">
      <c r="N23484" s="1"/>
      <c r="V23484" s="5"/>
    </row>
    <row r="23485">
      <c r="N23485" s="1"/>
      <c r="V23485" s="5"/>
    </row>
    <row r="23486">
      <c r="N23486" s="1"/>
      <c r="V23486" s="5"/>
    </row>
    <row r="23487">
      <c r="N23487" s="1"/>
      <c r="V23487" s="5"/>
    </row>
    <row r="23488">
      <c r="N23488" s="1"/>
      <c r="V23488" s="5"/>
    </row>
    <row r="23489">
      <c r="N23489" s="1"/>
      <c r="V23489" s="5"/>
    </row>
    <row r="23490">
      <c r="N23490" s="1"/>
      <c r="V23490" s="5"/>
    </row>
    <row r="23491">
      <c r="N23491" s="1"/>
      <c r="V23491" s="5"/>
    </row>
    <row r="23492">
      <c r="N23492" s="1"/>
      <c r="V23492" s="5"/>
    </row>
    <row r="23493">
      <c r="N23493" s="1"/>
      <c r="V23493" s="5"/>
    </row>
    <row r="23494">
      <c r="N23494" s="1"/>
      <c r="V23494" s="5"/>
    </row>
    <row r="23495">
      <c r="N23495" s="1"/>
      <c r="V23495" s="5"/>
    </row>
    <row r="23496">
      <c r="N23496" s="1"/>
      <c r="V23496" s="5"/>
    </row>
    <row r="23497">
      <c r="N23497" s="1"/>
      <c r="V23497" s="5"/>
    </row>
    <row r="23498">
      <c r="N23498" s="1"/>
      <c r="V23498" s="5"/>
    </row>
    <row r="23499">
      <c r="N23499" s="1"/>
      <c r="V23499" s="5"/>
    </row>
    <row r="23500">
      <c r="N23500" s="1"/>
      <c r="V23500" s="5"/>
    </row>
    <row r="23501">
      <c r="N23501" s="1"/>
      <c r="V23501" s="5"/>
    </row>
    <row r="23502">
      <c r="N23502" s="1"/>
      <c r="V23502" s="5"/>
    </row>
    <row r="23503">
      <c r="N23503" s="1"/>
      <c r="V23503" s="5"/>
    </row>
    <row r="23504">
      <c r="N23504" s="1"/>
      <c r="V23504" s="5"/>
    </row>
    <row r="23505">
      <c r="N23505" s="1"/>
      <c r="V23505" s="5"/>
    </row>
    <row r="23506">
      <c r="N23506" s="1"/>
      <c r="V23506" s="5"/>
    </row>
    <row r="23507">
      <c r="N23507" s="1"/>
      <c r="V23507" s="5"/>
    </row>
    <row r="23508">
      <c r="N23508" s="1"/>
      <c r="V23508" s="5"/>
    </row>
    <row r="23509">
      <c r="N23509" s="1"/>
      <c r="V23509" s="5"/>
    </row>
    <row r="23510">
      <c r="N23510" s="1"/>
      <c r="V23510" s="5"/>
    </row>
    <row r="23511">
      <c r="N23511" s="1"/>
      <c r="V23511" s="5"/>
    </row>
    <row r="23512">
      <c r="N23512" s="1"/>
      <c r="V23512" s="5"/>
    </row>
    <row r="23513">
      <c r="N23513" s="1"/>
      <c r="V23513" s="5"/>
    </row>
    <row r="23514">
      <c r="N23514" s="1"/>
      <c r="V23514" s="5"/>
    </row>
    <row r="23515">
      <c r="N23515" s="1"/>
      <c r="V23515" s="5"/>
    </row>
    <row r="23516">
      <c r="N23516" s="1"/>
      <c r="V23516" s="5"/>
    </row>
    <row r="23517">
      <c r="N23517" s="1"/>
      <c r="V23517" s="5"/>
    </row>
    <row r="23518">
      <c r="N23518" s="1"/>
      <c r="V23518" s="5"/>
    </row>
    <row r="23519">
      <c r="N23519" s="1"/>
      <c r="V23519" s="5"/>
    </row>
    <row r="23520">
      <c r="N23520" s="1"/>
      <c r="V23520" s="5"/>
    </row>
    <row r="23521">
      <c r="N23521" s="1"/>
      <c r="V23521" s="5"/>
    </row>
    <row r="23522">
      <c r="N23522" s="1"/>
      <c r="V23522" s="5"/>
    </row>
    <row r="23523">
      <c r="N23523" s="1"/>
      <c r="V23523" s="5"/>
    </row>
    <row r="23524">
      <c r="N23524" s="1"/>
      <c r="V23524" s="5"/>
    </row>
    <row r="23525">
      <c r="N23525" s="1"/>
      <c r="V23525" s="5"/>
    </row>
    <row r="23526">
      <c r="N23526" s="1"/>
      <c r="V23526" s="5"/>
    </row>
    <row r="23527">
      <c r="N23527" s="1"/>
      <c r="V23527" s="5"/>
    </row>
    <row r="23528">
      <c r="N23528" s="1"/>
      <c r="V23528" s="5"/>
    </row>
    <row r="23529">
      <c r="N23529" s="1"/>
      <c r="V23529" s="5"/>
    </row>
    <row r="23530">
      <c r="N23530" s="1"/>
      <c r="V23530" s="5"/>
    </row>
    <row r="23531">
      <c r="N23531" s="1"/>
      <c r="V23531" s="5"/>
    </row>
    <row r="23532">
      <c r="N23532" s="1"/>
      <c r="V23532" s="5"/>
    </row>
    <row r="23533">
      <c r="N23533" s="1"/>
      <c r="V23533" s="5"/>
    </row>
    <row r="23534">
      <c r="N23534" s="1"/>
      <c r="V23534" s="5"/>
    </row>
    <row r="23535">
      <c r="N23535" s="1"/>
      <c r="V23535" s="5"/>
    </row>
    <row r="23536">
      <c r="N23536" s="1"/>
      <c r="V23536" s="5"/>
    </row>
    <row r="23537">
      <c r="N23537" s="1"/>
      <c r="V23537" s="5"/>
    </row>
    <row r="23538">
      <c r="N23538" s="1"/>
      <c r="V23538" s="5"/>
    </row>
    <row r="23539">
      <c r="N23539" s="1"/>
      <c r="V23539" s="5"/>
    </row>
    <row r="23540">
      <c r="N23540" s="1"/>
      <c r="V23540" s="5"/>
    </row>
    <row r="23541">
      <c r="N23541" s="1"/>
      <c r="V23541" s="5"/>
    </row>
    <row r="23542">
      <c r="N23542" s="1"/>
      <c r="V23542" s="5"/>
    </row>
    <row r="23543">
      <c r="N23543" s="1"/>
      <c r="V23543" s="5"/>
    </row>
    <row r="23544">
      <c r="N23544" s="1"/>
      <c r="V23544" s="5"/>
    </row>
    <row r="23545">
      <c r="N23545" s="1"/>
      <c r="V23545" s="5"/>
    </row>
    <row r="23546">
      <c r="N23546" s="1"/>
      <c r="V23546" s="5"/>
    </row>
    <row r="23547">
      <c r="N23547" s="1"/>
      <c r="V23547" s="5"/>
    </row>
    <row r="23548">
      <c r="N23548" s="1"/>
      <c r="V23548" s="5"/>
    </row>
    <row r="23549">
      <c r="N23549" s="1"/>
      <c r="V23549" s="5"/>
    </row>
    <row r="23550">
      <c r="N23550" s="1"/>
      <c r="V23550" s="5"/>
    </row>
    <row r="23551">
      <c r="N23551" s="1"/>
      <c r="V23551" s="5"/>
    </row>
    <row r="23552">
      <c r="N23552" s="1"/>
      <c r="V23552" s="5"/>
    </row>
    <row r="23553">
      <c r="N23553" s="1"/>
      <c r="V23553" s="5"/>
    </row>
    <row r="23554">
      <c r="N23554" s="1"/>
      <c r="V23554" s="5"/>
    </row>
    <row r="23555">
      <c r="N23555" s="1"/>
      <c r="V23555" s="5"/>
    </row>
    <row r="23556">
      <c r="N23556" s="1"/>
      <c r="V23556" s="5"/>
    </row>
    <row r="23557">
      <c r="N23557" s="1"/>
      <c r="V23557" s="5"/>
    </row>
    <row r="23558">
      <c r="N23558" s="1"/>
      <c r="V23558" s="5"/>
    </row>
    <row r="23559">
      <c r="N23559" s="1"/>
      <c r="V23559" s="5"/>
    </row>
    <row r="23560">
      <c r="N23560" s="1"/>
      <c r="V23560" s="5"/>
    </row>
    <row r="23561">
      <c r="N23561" s="1"/>
      <c r="V23561" s="5"/>
    </row>
    <row r="23562">
      <c r="N23562" s="1"/>
      <c r="V23562" s="5"/>
    </row>
    <row r="23563">
      <c r="N23563" s="1"/>
      <c r="V23563" s="5"/>
    </row>
    <row r="23564">
      <c r="N23564" s="1"/>
      <c r="V23564" s="5"/>
    </row>
    <row r="23565">
      <c r="N23565" s="1"/>
      <c r="V23565" s="5"/>
    </row>
    <row r="23566">
      <c r="N23566" s="1"/>
      <c r="V23566" s="5"/>
    </row>
    <row r="23567">
      <c r="N23567" s="1"/>
      <c r="V23567" s="5"/>
    </row>
    <row r="23568">
      <c r="N23568" s="1"/>
      <c r="V23568" s="5"/>
    </row>
    <row r="23569">
      <c r="N23569" s="1"/>
      <c r="V23569" s="5"/>
    </row>
    <row r="23570">
      <c r="N23570" s="1"/>
      <c r="V23570" s="5"/>
    </row>
    <row r="23571">
      <c r="N23571" s="1"/>
      <c r="V23571" s="5"/>
    </row>
    <row r="23572">
      <c r="N23572" s="1"/>
      <c r="V23572" s="5"/>
    </row>
    <row r="23573">
      <c r="N23573" s="1"/>
      <c r="V23573" s="5"/>
    </row>
    <row r="23574">
      <c r="N23574" s="1"/>
      <c r="V23574" s="5"/>
    </row>
    <row r="23575">
      <c r="N23575" s="1"/>
      <c r="V23575" s="5"/>
    </row>
    <row r="23576">
      <c r="N23576" s="1"/>
      <c r="V23576" s="5"/>
    </row>
    <row r="23577">
      <c r="N23577" s="1"/>
      <c r="V23577" s="5"/>
    </row>
    <row r="23578">
      <c r="N23578" s="1"/>
      <c r="V23578" s="5"/>
    </row>
    <row r="23579">
      <c r="N23579" s="1"/>
      <c r="V23579" s="5"/>
    </row>
    <row r="23580">
      <c r="N23580" s="1"/>
      <c r="V23580" s="5"/>
    </row>
    <row r="23581">
      <c r="N23581" s="1"/>
      <c r="V23581" s="5"/>
    </row>
    <row r="23582">
      <c r="N23582" s="1"/>
      <c r="V23582" s="5"/>
    </row>
    <row r="23583">
      <c r="N23583" s="1"/>
      <c r="V23583" s="5"/>
    </row>
    <row r="23584">
      <c r="N23584" s="1"/>
      <c r="V23584" s="5"/>
    </row>
    <row r="23585">
      <c r="N23585" s="1"/>
      <c r="V23585" s="5"/>
    </row>
    <row r="23586">
      <c r="N23586" s="1"/>
      <c r="V23586" s="5"/>
    </row>
    <row r="23587">
      <c r="N23587" s="1"/>
      <c r="V23587" s="5"/>
    </row>
    <row r="23588">
      <c r="N23588" s="1"/>
      <c r="V23588" s="5"/>
    </row>
    <row r="23589">
      <c r="N23589" s="1"/>
      <c r="V23589" s="5"/>
    </row>
    <row r="23590">
      <c r="N23590" s="1"/>
      <c r="V23590" s="5"/>
    </row>
    <row r="23591">
      <c r="N23591" s="1"/>
      <c r="V23591" s="5"/>
    </row>
    <row r="23592">
      <c r="N23592" s="1"/>
      <c r="V23592" s="5"/>
    </row>
    <row r="23593">
      <c r="N23593" s="1"/>
      <c r="V23593" s="5"/>
    </row>
    <row r="23594">
      <c r="N23594" s="1"/>
      <c r="V23594" s="5"/>
    </row>
    <row r="23595">
      <c r="N23595" s="1"/>
      <c r="V23595" s="5"/>
    </row>
    <row r="23596">
      <c r="N23596" s="1"/>
      <c r="V23596" s="5"/>
    </row>
    <row r="23597">
      <c r="N23597" s="1"/>
      <c r="V23597" s="5"/>
    </row>
    <row r="23598">
      <c r="N23598" s="1"/>
      <c r="V23598" s="5"/>
    </row>
    <row r="23599">
      <c r="N23599" s="1"/>
      <c r="V23599" s="5"/>
    </row>
    <row r="23600">
      <c r="N23600" s="1"/>
      <c r="V23600" s="5"/>
    </row>
    <row r="23601">
      <c r="N23601" s="1"/>
      <c r="V23601" s="5"/>
    </row>
    <row r="23602">
      <c r="N23602" s="1"/>
      <c r="V23602" s="5"/>
    </row>
    <row r="23603">
      <c r="N23603" s="1"/>
      <c r="V23603" s="5"/>
    </row>
    <row r="23604">
      <c r="N23604" s="1"/>
      <c r="V23604" s="5"/>
    </row>
    <row r="23605">
      <c r="N23605" s="1"/>
      <c r="V23605" s="5"/>
    </row>
    <row r="23606">
      <c r="N23606" s="1"/>
      <c r="V23606" s="5"/>
    </row>
    <row r="23607">
      <c r="N23607" s="1"/>
      <c r="V23607" s="5"/>
    </row>
    <row r="23608">
      <c r="N23608" s="1"/>
      <c r="V23608" s="5"/>
    </row>
    <row r="23609">
      <c r="N23609" s="1"/>
      <c r="V23609" s="5"/>
    </row>
    <row r="23610">
      <c r="N23610" s="1"/>
      <c r="V23610" s="5"/>
    </row>
    <row r="23611">
      <c r="N23611" s="1"/>
      <c r="V23611" s="5"/>
    </row>
    <row r="23612">
      <c r="N23612" s="1"/>
      <c r="V23612" s="5"/>
    </row>
    <row r="23613">
      <c r="N23613" s="1"/>
      <c r="V23613" s="5"/>
    </row>
    <row r="23614">
      <c r="N23614" s="1"/>
      <c r="V23614" s="5"/>
    </row>
    <row r="23615">
      <c r="N23615" s="1"/>
      <c r="V23615" s="5"/>
    </row>
    <row r="23616">
      <c r="N23616" s="1"/>
      <c r="V23616" s="5"/>
    </row>
    <row r="23617">
      <c r="N23617" s="1"/>
      <c r="V23617" s="5"/>
    </row>
    <row r="23618">
      <c r="N23618" s="1"/>
      <c r="V23618" s="5"/>
    </row>
    <row r="23619">
      <c r="N23619" s="1"/>
      <c r="V23619" s="5"/>
    </row>
    <row r="23620">
      <c r="N23620" s="1"/>
      <c r="V23620" s="5"/>
    </row>
    <row r="23621">
      <c r="N23621" s="1"/>
      <c r="V23621" s="5"/>
    </row>
    <row r="23622">
      <c r="N23622" s="1"/>
      <c r="V23622" s="5"/>
    </row>
    <row r="23623">
      <c r="N23623" s="1"/>
      <c r="V23623" s="5"/>
    </row>
    <row r="23624">
      <c r="N23624" s="1"/>
      <c r="V23624" s="5"/>
    </row>
    <row r="23625">
      <c r="N23625" s="1"/>
      <c r="V23625" s="5"/>
    </row>
    <row r="23626">
      <c r="N23626" s="1"/>
      <c r="V23626" s="5"/>
    </row>
    <row r="23627">
      <c r="N23627" s="1"/>
      <c r="V23627" s="5"/>
    </row>
    <row r="23628">
      <c r="N23628" s="1"/>
      <c r="V23628" s="5"/>
    </row>
    <row r="23629">
      <c r="N23629" s="1"/>
      <c r="V23629" s="5"/>
    </row>
    <row r="23630">
      <c r="N23630" s="1"/>
      <c r="V23630" s="5"/>
    </row>
    <row r="23631">
      <c r="N23631" s="1"/>
      <c r="V23631" s="5"/>
    </row>
    <row r="23632">
      <c r="N23632" s="1"/>
      <c r="V23632" s="5"/>
    </row>
    <row r="23633">
      <c r="N23633" s="1"/>
      <c r="V23633" s="5"/>
    </row>
    <row r="23634">
      <c r="N23634" s="1"/>
      <c r="V23634" s="5"/>
    </row>
    <row r="23635">
      <c r="N23635" s="1"/>
      <c r="V23635" s="5"/>
    </row>
    <row r="23636">
      <c r="N23636" s="1"/>
      <c r="V23636" s="5"/>
    </row>
    <row r="23637">
      <c r="N23637" s="1"/>
      <c r="V23637" s="5"/>
    </row>
    <row r="23638">
      <c r="N23638" s="1"/>
      <c r="V23638" s="5"/>
    </row>
    <row r="23639">
      <c r="N23639" s="1"/>
      <c r="V23639" s="5"/>
    </row>
    <row r="23640">
      <c r="N23640" s="1"/>
      <c r="V23640" s="5"/>
    </row>
    <row r="23641">
      <c r="N23641" s="1"/>
      <c r="V23641" s="5"/>
    </row>
    <row r="23642">
      <c r="N23642" s="1"/>
      <c r="V23642" s="5"/>
    </row>
    <row r="23643">
      <c r="N23643" s="1"/>
      <c r="V23643" s="5"/>
    </row>
    <row r="23644">
      <c r="N23644" s="1"/>
      <c r="V23644" s="5"/>
    </row>
    <row r="23645">
      <c r="N23645" s="1"/>
      <c r="V23645" s="5"/>
    </row>
    <row r="23646">
      <c r="N23646" s="1"/>
      <c r="V23646" s="5"/>
    </row>
    <row r="23647">
      <c r="N23647" s="1"/>
      <c r="V23647" s="5"/>
    </row>
    <row r="23648">
      <c r="N23648" s="1"/>
      <c r="V23648" s="5"/>
    </row>
    <row r="23649">
      <c r="N23649" s="1"/>
      <c r="V23649" s="5"/>
    </row>
    <row r="23650">
      <c r="N23650" s="1"/>
      <c r="V23650" s="5"/>
    </row>
    <row r="23651">
      <c r="N23651" s="1"/>
      <c r="V23651" s="5"/>
    </row>
    <row r="23652">
      <c r="N23652" s="1"/>
      <c r="V23652" s="5"/>
    </row>
    <row r="23653">
      <c r="N23653" s="1"/>
      <c r="V23653" s="5"/>
    </row>
    <row r="23654">
      <c r="N23654" s="1"/>
      <c r="V23654" s="5"/>
    </row>
    <row r="23655">
      <c r="N23655" s="1"/>
      <c r="V23655" s="5"/>
    </row>
    <row r="23656">
      <c r="N23656" s="1"/>
      <c r="V23656" s="5"/>
    </row>
    <row r="23657">
      <c r="N23657" s="1"/>
      <c r="V23657" s="5"/>
    </row>
    <row r="23658">
      <c r="N23658" s="1"/>
      <c r="V23658" s="5"/>
    </row>
    <row r="23659">
      <c r="N23659" s="1"/>
      <c r="V23659" s="5"/>
    </row>
    <row r="23660">
      <c r="N23660" s="1"/>
      <c r="V23660" s="5"/>
    </row>
    <row r="23661">
      <c r="N23661" s="1"/>
      <c r="V23661" s="5"/>
    </row>
    <row r="23662">
      <c r="N23662" s="1"/>
      <c r="V23662" s="5"/>
    </row>
    <row r="23663">
      <c r="N23663" s="1"/>
      <c r="V23663" s="5"/>
    </row>
    <row r="23664">
      <c r="N23664" s="1"/>
      <c r="V23664" s="5"/>
    </row>
    <row r="23665">
      <c r="N23665" s="1"/>
      <c r="V23665" s="5"/>
    </row>
    <row r="23666">
      <c r="N23666" s="1"/>
      <c r="V23666" s="5"/>
    </row>
    <row r="23667">
      <c r="N23667" s="1"/>
      <c r="V23667" s="5"/>
    </row>
    <row r="23668">
      <c r="N23668" s="1"/>
      <c r="V23668" s="5"/>
    </row>
    <row r="23669">
      <c r="N23669" s="1"/>
      <c r="V23669" s="5"/>
    </row>
    <row r="23670">
      <c r="N23670" s="1"/>
      <c r="V23670" s="5"/>
    </row>
    <row r="23671">
      <c r="N23671" s="1"/>
      <c r="V23671" s="5"/>
    </row>
    <row r="23672">
      <c r="N23672" s="1"/>
      <c r="V23672" s="5"/>
    </row>
    <row r="23673">
      <c r="N23673" s="1"/>
      <c r="V23673" s="5"/>
    </row>
    <row r="23674">
      <c r="N23674" s="1"/>
      <c r="V23674" s="5"/>
    </row>
    <row r="23675">
      <c r="N23675" s="1"/>
      <c r="V23675" s="5"/>
    </row>
    <row r="23676">
      <c r="N23676" s="1"/>
      <c r="V23676" s="5"/>
    </row>
    <row r="23677">
      <c r="N23677" s="1"/>
      <c r="V23677" s="5"/>
    </row>
    <row r="23678">
      <c r="N23678" s="1"/>
      <c r="V23678" s="5"/>
    </row>
    <row r="23679">
      <c r="N23679" s="1"/>
      <c r="V23679" s="5"/>
    </row>
    <row r="23680">
      <c r="N23680" s="1"/>
      <c r="V23680" s="5"/>
    </row>
    <row r="23681">
      <c r="N23681" s="1"/>
      <c r="V23681" s="5"/>
    </row>
    <row r="23682">
      <c r="N23682" s="1"/>
      <c r="V23682" s="5"/>
    </row>
    <row r="23683">
      <c r="N23683" s="1"/>
      <c r="V23683" s="5"/>
    </row>
    <row r="23684">
      <c r="N23684" s="1"/>
      <c r="V23684" s="5"/>
    </row>
    <row r="23685">
      <c r="N23685" s="1"/>
      <c r="V23685" s="5"/>
    </row>
    <row r="23686">
      <c r="N23686" s="1"/>
      <c r="V23686" s="5"/>
    </row>
    <row r="23687">
      <c r="N23687" s="1"/>
      <c r="V23687" s="5"/>
    </row>
    <row r="23688">
      <c r="N23688" s="1"/>
      <c r="V23688" s="5"/>
    </row>
    <row r="23689">
      <c r="N23689" s="1"/>
      <c r="V23689" s="5"/>
    </row>
    <row r="23690">
      <c r="N23690" s="1"/>
      <c r="V23690" s="5"/>
    </row>
    <row r="23691">
      <c r="N23691" s="1"/>
      <c r="V23691" s="5"/>
    </row>
    <row r="23692">
      <c r="N23692" s="1"/>
      <c r="V23692" s="5"/>
    </row>
    <row r="23693">
      <c r="N23693" s="1"/>
      <c r="V23693" s="5"/>
    </row>
    <row r="23694">
      <c r="N23694" s="1"/>
      <c r="V23694" s="5"/>
    </row>
    <row r="23695">
      <c r="N23695" s="1"/>
      <c r="V23695" s="5"/>
    </row>
    <row r="23696">
      <c r="N23696" s="1"/>
      <c r="V23696" s="5"/>
    </row>
    <row r="23697">
      <c r="N23697" s="1"/>
      <c r="V23697" s="5"/>
    </row>
    <row r="23698">
      <c r="N23698" s="1"/>
      <c r="V23698" s="5"/>
    </row>
    <row r="23699">
      <c r="N23699" s="1"/>
      <c r="V23699" s="5"/>
    </row>
    <row r="23700">
      <c r="N23700" s="1"/>
      <c r="V23700" s="5"/>
    </row>
    <row r="23701">
      <c r="N23701" s="1"/>
      <c r="V23701" s="5"/>
    </row>
    <row r="23702">
      <c r="N23702" s="1"/>
      <c r="V23702" s="5"/>
    </row>
    <row r="23703">
      <c r="N23703" s="1"/>
      <c r="V23703" s="5"/>
    </row>
    <row r="23704">
      <c r="N23704" s="1"/>
      <c r="V23704" s="5"/>
    </row>
    <row r="23705">
      <c r="N23705" s="1"/>
      <c r="V23705" s="5"/>
    </row>
    <row r="23706">
      <c r="N23706" s="1"/>
      <c r="V23706" s="5"/>
    </row>
    <row r="23707">
      <c r="N23707" s="1"/>
      <c r="V23707" s="5"/>
    </row>
    <row r="23708">
      <c r="N23708" s="1"/>
      <c r="V23708" s="5"/>
    </row>
    <row r="23709">
      <c r="N23709" s="1"/>
      <c r="V23709" s="5"/>
    </row>
    <row r="23710">
      <c r="N23710" s="1"/>
      <c r="V23710" s="5"/>
    </row>
    <row r="23711">
      <c r="N23711" s="1"/>
      <c r="V23711" s="5"/>
    </row>
    <row r="23712">
      <c r="N23712" s="1"/>
      <c r="V23712" s="5"/>
    </row>
    <row r="23713">
      <c r="N23713" s="1"/>
      <c r="V23713" s="5"/>
    </row>
    <row r="23714">
      <c r="N23714" s="1"/>
      <c r="V23714" s="5"/>
    </row>
    <row r="23715">
      <c r="N23715" s="1"/>
      <c r="V23715" s="5"/>
    </row>
    <row r="23716">
      <c r="N23716" s="1"/>
      <c r="V23716" s="5"/>
    </row>
    <row r="23717">
      <c r="N23717" s="1"/>
      <c r="V23717" s="5"/>
    </row>
    <row r="23718">
      <c r="N23718" s="1"/>
      <c r="V23718" s="5"/>
    </row>
    <row r="23719">
      <c r="N23719" s="1"/>
      <c r="V23719" s="5"/>
    </row>
    <row r="23720">
      <c r="N23720" s="1"/>
      <c r="V23720" s="5"/>
    </row>
    <row r="23721">
      <c r="N23721" s="1"/>
      <c r="V23721" s="5"/>
    </row>
    <row r="23722">
      <c r="N23722" s="1"/>
      <c r="V23722" s="5"/>
    </row>
    <row r="23723">
      <c r="N23723" s="1"/>
      <c r="V23723" s="5"/>
    </row>
    <row r="23724">
      <c r="N23724" s="1"/>
      <c r="V23724" s="5"/>
    </row>
    <row r="23725">
      <c r="N23725" s="1"/>
      <c r="V23725" s="5"/>
    </row>
    <row r="23726">
      <c r="N23726" s="1"/>
      <c r="V23726" s="5"/>
    </row>
    <row r="23727">
      <c r="N23727" s="1"/>
      <c r="V23727" s="5"/>
    </row>
    <row r="23728">
      <c r="N23728" s="1"/>
      <c r="V23728" s="5"/>
    </row>
    <row r="23729">
      <c r="N23729" s="1"/>
      <c r="V23729" s="5"/>
    </row>
    <row r="23730">
      <c r="N23730" s="1"/>
      <c r="V23730" s="5"/>
    </row>
    <row r="23731">
      <c r="N23731" s="1"/>
      <c r="V23731" s="5"/>
    </row>
    <row r="23732">
      <c r="N23732" s="1"/>
      <c r="V23732" s="5"/>
    </row>
    <row r="23733">
      <c r="N23733" s="1"/>
      <c r="V23733" s="5"/>
    </row>
    <row r="23734">
      <c r="N23734" s="1"/>
      <c r="V23734" s="5"/>
    </row>
    <row r="23735">
      <c r="N23735" s="1"/>
      <c r="V23735" s="5"/>
    </row>
    <row r="23736">
      <c r="N23736" s="1"/>
      <c r="V23736" s="5"/>
    </row>
    <row r="23737">
      <c r="N23737" s="1"/>
      <c r="V23737" s="5"/>
    </row>
    <row r="23738">
      <c r="N23738" s="1"/>
      <c r="V23738" s="5"/>
    </row>
    <row r="23739">
      <c r="N23739" s="1"/>
      <c r="V23739" s="5"/>
    </row>
    <row r="23740">
      <c r="N23740" s="1"/>
      <c r="V23740" s="5"/>
    </row>
    <row r="23741">
      <c r="N23741" s="1"/>
      <c r="V23741" s="5"/>
    </row>
    <row r="23742">
      <c r="N23742" s="1"/>
      <c r="V23742" s="5"/>
    </row>
    <row r="23743">
      <c r="N23743" s="1"/>
      <c r="V23743" s="5"/>
    </row>
    <row r="23744">
      <c r="N23744" s="1"/>
      <c r="V23744" s="5"/>
    </row>
    <row r="23745">
      <c r="N23745" s="1"/>
      <c r="V23745" s="5"/>
    </row>
    <row r="23746">
      <c r="N23746" s="1"/>
      <c r="V23746" s="5"/>
    </row>
    <row r="23747">
      <c r="N23747" s="1"/>
      <c r="V23747" s="5"/>
    </row>
    <row r="23748">
      <c r="N23748" s="1"/>
      <c r="V23748" s="5"/>
    </row>
    <row r="23749">
      <c r="N23749" s="1"/>
      <c r="V23749" s="5"/>
    </row>
    <row r="23750">
      <c r="N23750" s="1"/>
      <c r="V23750" s="5"/>
    </row>
    <row r="23751">
      <c r="N23751" s="1"/>
      <c r="V23751" s="5"/>
    </row>
    <row r="23752">
      <c r="N23752" s="1"/>
      <c r="V23752" s="5"/>
    </row>
    <row r="23753">
      <c r="N23753" s="1"/>
      <c r="V23753" s="5"/>
    </row>
    <row r="23754">
      <c r="N23754" s="1"/>
      <c r="V23754" s="5"/>
    </row>
    <row r="23755">
      <c r="N23755" s="1"/>
      <c r="V23755" s="5"/>
    </row>
    <row r="23756">
      <c r="N23756" s="1"/>
      <c r="V23756" s="5"/>
    </row>
    <row r="23757">
      <c r="N23757" s="1"/>
      <c r="V23757" s="5"/>
    </row>
    <row r="23758">
      <c r="N23758" s="1"/>
      <c r="V23758" s="5"/>
    </row>
    <row r="23759">
      <c r="N23759" s="1"/>
      <c r="V23759" s="5"/>
    </row>
    <row r="23760">
      <c r="N23760" s="1"/>
      <c r="V23760" s="5"/>
    </row>
    <row r="23761">
      <c r="N23761" s="1"/>
      <c r="V23761" s="5"/>
    </row>
    <row r="23762">
      <c r="N23762" s="1"/>
      <c r="V23762" s="5"/>
    </row>
    <row r="23763">
      <c r="N23763" s="1"/>
      <c r="V23763" s="5"/>
    </row>
    <row r="23764">
      <c r="N23764" s="1"/>
      <c r="V23764" s="5"/>
    </row>
    <row r="23765">
      <c r="N23765" s="1"/>
      <c r="V23765" s="5"/>
    </row>
    <row r="23766">
      <c r="N23766" s="1"/>
      <c r="V23766" s="5"/>
    </row>
    <row r="23767">
      <c r="N23767" s="1"/>
      <c r="V23767" s="5"/>
    </row>
    <row r="23768">
      <c r="N23768" s="1"/>
      <c r="V23768" s="5"/>
    </row>
    <row r="23769">
      <c r="N23769" s="1"/>
      <c r="V23769" s="5"/>
    </row>
    <row r="23770">
      <c r="N23770" s="1"/>
      <c r="V23770" s="5"/>
    </row>
    <row r="23771">
      <c r="N23771" s="1"/>
      <c r="V23771" s="5"/>
    </row>
    <row r="23772">
      <c r="N23772" s="1"/>
      <c r="V23772" s="5"/>
    </row>
    <row r="23773">
      <c r="N23773" s="1"/>
      <c r="V23773" s="5"/>
    </row>
    <row r="23774">
      <c r="N23774" s="1"/>
      <c r="V23774" s="5"/>
    </row>
    <row r="23775">
      <c r="N23775" s="1"/>
      <c r="V23775" s="5"/>
    </row>
    <row r="23776">
      <c r="N23776" s="1"/>
      <c r="V23776" s="5"/>
    </row>
    <row r="23777">
      <c r="N23777" s="1"/>
      <c r="V23777" s="5"/>
    </row>
    <row r="23778">
      <c r="N23778" s="1"/>
      <c r="V23778" s="5"/>
    </row>
    <row r="23779">
      <c r="N23779" s="1"/>
      <c r="V23779" s="5"/>
    </row>
    <row r="23780">
      <c r="N23780" s="1"/>
      <c r="V23780" s="5"/>
    </row>
    <row r="23781">
      <c r="N23781" s="1"/>
      <c r="V23781" s="5"/>
    </row>
    <row r="23782">
      <c r="N23782" s="1"/>
      <c r="V23782" s="5"/>
    </row>
    <row r="23783">
      <c r="N23783" s="1"/>
      <c r="V23783" s="5"/>
    </row>
    <row r="23784">
      <c r="N23784" s="1"/>
      <c r="V23784" s="5"/>
    </row>
    <row r="23785">
      <c r="N23785" s="1"/>
      <c r="V23785" s="5"/>
    </row>
    <row r="23786">
      <c r="N23786" s="1"/>
      <c r="V23786" s="5"/>
    </row>
    <row r="23787">
      <c r="N23787" s="1"/>
      <c r="V23787" s="5"/>
    </row>
    <row r="23788">
      <c r="N23788" s="1"/>
      <c r="V23788" s="5"/>
    </row>
    <row r="23789">
      <c r="N23789" s="1"/>
      <c r="V23789" s="5"/>
    </row>
    <row r="23790">
      <c r="N23790" s="1"/>
      <c r="V23790" s="5"/>
    </row>
    <row r="23791">
      <c r="N23791" s="1"/>
      <c r="V23791" s="5"/>
    </row>
    <row r="23792">
      <c r="N23792" s="1"/>
      <c r="V23792" s="5"/>
    </row>
    <row r="23793">
      <c r="N23793" s="1"/>
      <c r="V23793" s="5"/>
    </row>
    <row r="23794">
      <c r="N23794" s="1"/>
      <c r="V23794" s="5"/>
    </row>
    <row r="23795">
      <c r="N23795" s="1"/>
      <c r="V23795" s="5"/>
    </row>
    <row r="23796">
      <c r="N23796" s="1"/>
      <c r="V23796" s="5"/>
    </row>
    <row r="23797">
      <c r="N23797" s="1"/>
      <c r="V23797" s="5"/>
    </row>
    <row r="23798">
      <c r="N23798" s="1"/>
      <c r="V23798" s="5"/>
    </row>
    <row r="23799">
      <c r="N23799" s="1"/>
      <c r="V23799" s="5"/>
    </row>
    <row r="23800">
      <c r="N23800" s="1"/>
      <c r="V23800" s="5"/>
    </row>
    <row r="23801">
      <c r="N23801" s="1"/>
      <c r="V23801" s="5"/>
    </row>
    <row r="23802">
      <c r="N23802" s="1"/>
      <c r="V23802" s="5"/>
    </row>
    <row r="23803">
      <c r="N23803" s="1"/>
      <c r="V23803" s="5"/>
    </row>
    <row r="23804">
      <c r="N23804" s="1"/>
      <c r="V23804" s="5"/>
    </row>
    <row r="23805">
      <c r="N23805" s="1"/>
      <c r="V23805" s="5"/>
    </row>
    <row r="23806">
      <c r="N23806" s="1"/>
      <c r="V23806" s="5"/>
    </row>
    <row r="23807">
      <c r="N23807" s="1"/>
      <c r="V23807" s="5"/>
    </row>
    <row r="23808">
      <c r="N23808" s="1"/>
      <c r="V23808" s="5"/>
    </row>
    <row r="23809">
      <c r="N23809" s="1"/>
      <c r="V23809" s="5"/>
    </row>
    <row r="23810">
      <c r="N23810" s="1"/>
      <c r="V23810" s="5"/>
    </row>
    <row r="23811">
      <c r="N23811" s="1"/>
      <c r="V23811" s="5"/>
    </row>
    <row r="23812">
      <c r="N23812" s="1"/>
      <c r="V23812" s="5"/>
    </row>
    <row r="23813">
      <c r="N23813" s="1"/>
      <c r="V23813" s="5"/>
    </row>
    <row r="23814">
      <c r="N23814" s="1"/>
      <c r="V23814" s="5"/>
    </row>
    <row r="23815">
      <c r="N23815" s="1"/>
      <c r="V23815" s="5"/>
    </row>
    <row r="23816">
      <c r="N23816" s="1"/>
      <c r="V23816" s="5"/>
    </row>
    <row r="23817">
      <c r="N23817" s="1"/>
      <c r="V23817" s="5"/>
    </row>
    <row r="23818">
      <c r="N23818" s="1"/>
      <c r="V23818" s="5"/>
    </row>
    <row r="23819">
      <c r="N23819" s="1"/>
      <c r="V23819" s="5"/>
    </row>
    <row r="23820">
      <c r="N23820" s="1"/>
      <c r="V23820" s="5"/>
    </row>
    <row r="23821">
      <c r="N23821" s="1"/>
      <c r="V23821" s="5"/>
    </row>
    <row r="23822">
      <c r="N23822" s="1"/>
      <c r="V23822" s="5"/>
    </row>
    <row r="23823">
      <c r="N23823" s="1"/>
      <c r="V23823" s="5"/>
    </row>
    <row r="23824">
      <c r="N23824" s="1"/>
      <c r="V23824" s="5"/>
    </row>
    <row r="23825">
      <c r="N23825" s="1"/>
      <c r="V23825" s="5"/>
    </row>
    <row r="23826">
      <c r="N23826" s="1"/>
      <c r="V23826" s="5"/>
    </row>
    <row r="23827">
      <c r="N23827" s="1"/>
      <c r="V23827" s="5"/>
    </row>
    <row r="23828">
      <c r="N23828" s="1"/>
      <c r="V23828" s="5"/>
    </row>
    <row r="23829">
      <c r="N23829" s="1"/>
      <c r="V23829" s="5"/>
    </row>
    <row r="23830">
      <c r="N23830" s="1"/>
      <c r="V23830" s="5"/>
    </row>
    <row r="23831">
      <c r="N23831" s="1"/>
      <c r="V23831" s="5"/>
    </row>
    <row r="23832">
      <c r="N23832" s="1"/>
      <c r="V23832" s="5"/>
    </row>
    <row r="23833">
      <c r="N23833" s="1"/>
      <c r="V23833" s="5"/>
    </row>
    <row r="23834">
      <c r="N23834" s="1"/>
      <c r="V23834" s="5"/>
    </row>
    <row r="23835">
      <c r="N23835" s="1"/>
      <c r="V23835" s="5"/>
    </row>
    <row r="23836">
      <c r="N23836" s="1"/>
      <c r="V23836" s="5"/>
    </row>
    <row r="23837">
      <c r="N23837" s="1"/>
      <c r="V23837" s="5"/>
    </row>
    <row r="23838">
      <c r="N23838" s="1"/>
      <c r="V23838" s="5"/>
    </row>
    <row r="23839">
      <c r="N23839" s="1"/>
      <c r="V23839" s="5"/>
    </row>
    <row r="23840">
      <c r="N23840" s="1"/>
      <c r="V23840" s="5"/>
    </row>
    <row r="23841">
      <c r="N23841" s="1"/>
      <c r="V23841" s="5"/>
    </row>
    <row r="23842">
      <c r="N23842" s="1"/>
      <c r="V23842" s="5"/>
    </row>
    <row r="23843">
      <c r="N23843" s="1"/>
      <c r="V23843" s="5"/>
    </row>
    <row r="23844">
      <c r="N23844" s="1"/>
      <c r="V23844" s="5"/>
    </row>
    <row r="23845">
      <c r="N23845" s="1"/>
      <c r="V23845" s="5"/>
    </row>
    <row r="23846">
      <c r="N23846" s="1"/>
      <c r="V23846" s="5"/>
    </row>
    <row r="23847">
      <c r="N23847" s="1"/>
      <c r="V23847" s="5"/>
    </row>
    <row r="23848">
      <c r="N23848" s="1"/>
      <c r="V23848" s="5"/>
    </row>
    <row r="23849">
      <c r="N23849" s="1"/>
      <c r="V23849" s="5"/>
    </row>
    <row r="23850">
      <c r="N23850" s="1"/>
      <c r="V23850" s="5"/>
    </row>
    <row r="23851">
      <c r="N23851" s="1"/>
      <c r="V23851" s="5"/>
    </row>
    <row r="23852">
      <c r="N23852" s="1"/>
      <c r="V23852" s="5"/>
    </row>
    <row r="23853">
      <c r="N23853" s="1"/>
      <c r="V23853" s="5"/>
    </row>
    <row r="23854">
      <c r="N23854" s="1"/>
      <c r="V23854" s="5"/>
    </row>
    <row r="23855">
      <c r="N23855" s="1"/>
      <c r="V23855" s="5"/>
    </row>
    <row r="23856">
      <c r="N23856" s="1"/>
      <c r="V23856" s="5"/>
    </row>
    <row r="23857">
      <c r="N23857" s="1"/>
      <c r="V23857" s="5"/>
    </row>
    <row r="23858">
      <c r="N23858" s="1"/>
      <c r="V23858" s="5"/>
    </row>
    <row r="23859">
      <c r="N23859" s="1"/>
      <c r="V23859" s="5"/>
    </row>
    <row r="23860">
      <c r="N23860" s="1"/>
      <c r="V23860" s="5"/>
    </row>
    <row r="23861">
      <c r="N23861" s="1"/>
      <c r="V23861" s="5"/>
    </row>
    <row r="23862">
      <c r="N23862" s="1"/>
      <c r="V23862" s="5"/>
    </row>
    <row r="23863">
      <c r="N23863" s="1"/>
      <c r="V23863" s="5"/>
    </row>
    <row r="23864">
      <c r="N23864" s="1"/>
      <c r="V23864" s="5"/>
    </row>
    <row r="23865">
      <c r="N23865" s="1"/>
      <c r="V23865" s="5"/>
    </row>
    <row r="23866">
      <c r="N23866" s="1"/>
      <c r="V23866" s="5"/>
    </row>
    <row r="23867">
      <c r="N23867" s="1"/>
      <c r="V23867" s="5"/>
    </row>
    <row r="23868">
      <c r="N23868" s="1"/>
      <c r="V23868" s="5"/>
    </row>
    <row r="23869">
      <c r="N23869" s="1"/>
      <c r="V23869" s="5"/>
    </row>
    <row r="23870">
      <c r="N23870" s="1"/>
      <c r="V23870" s="5"/>
    </row>
    <row r="23871">
      <c r="N23871" s="1"/>
      <c r="V23871" s="5"/>
    </row>
    <row r="23872">
      <c r="N23872" s="1"/>
      <c r="V23872" s="5"/>
    </row>
    <row r="23873">
      <c r="N23873" s="1"/>
      <c r="V23873" s="5"/>
    </row>
    <row r="23874">
      <c r="N23874" s="1"/>
      <c r="V23874" s="5"/>
    </row>
    <row r="23875">
      <c r="N23875" s="1"/>
      <c r="V23875" s="5"/>
    </row>
    <row r="23876">
      <c r="N23876" s="1"/>
      <c r="V23876" s="5"/>
    </row>
    <row r="23877">
      <c r="N23877" s="1"/>
      <c r="V23877" s="5"/>
    </row>
    <row r="23878">
      <c r="N23878" s="1"/>
      <c r="V23878" s="5"/>
    </row>
    <row r="23879">
      <c r="N23879" s="1"/>
      <c r="V23879" s="5"/>
    </row>
    <row r="23880">
      <c r="N23880" s="1"/>
      <c r="V23880" s="5"/>
    </row>
    <row r="23881">
      <c r="N23881" s="1"/>
      <c r="V23881" s="5"/>
    </row>
    <row r="23882">
      <c r="N23882" s="1"/>
      <c r="V23882" s="5"/>
    </row>
    <row r="23883">
      <c r="N23883" s="1"/>
      <c r="V23883" s="5"/>
    </row>
    <row r="23884">
      <c r="N23884" s="1"/>
      <c r="V23884" s="5"/>
    </row>
    <row r="23885">
      <c r="N23885" s="1"/>
      <c r="V23885" s="5"/>
    </row>
    <row r="23886">
      <c r="N23886" s="1"/>
      <c r="V23886" s="5"/>
    </row>
    <row r="23887">
      <c r="N23887" s="1"/>
      <c r="V23887" s="5"/>
    </row>
    <row r="23888">
      <c r="N23888" s="1"/>
      <c r="V23888" s="5"/>
    </row>
    <row r="23889">
      <c r="N23889" s="1"/>
      <c r="V23889" s="5"/>
    </row>
    <row r="23890">
      <c r="N23890" s="1"/>
      <c r="V23890" s="5"/>
    </row>
    <row r="23891">
      <c r="N23891" s="1"/>
      <c r="V23891" s="5"/>
    </row>
    <row r="23892">
      <c r="N23892" s="1"/>
      <c r="V23892" s="5"/>
    </row>
    <row r="23893">
      <c r="N23893" s="1"/>
      <c r="V23893" s="5"/>
    </row>
    <row r="23894">
      <c r="N23894" s="1"/>
      <c r="V23894" s="5"/>
    </row>
    <row r="23895">
      <c r="N23895" s="1"/>
      <c r="V23895" s="5"/>
    </row>
    <row r="23896">
      <c r="N23896" s="1"/>
      <c r="V23896" s="5"/>
    </row>
    <row r="23897">
      <c r="N23897" s="1"/>
      <c r="V23897" s="5"/>
    </row>
    <row r="23898">
      <c r="N23898" s="1"/>
      <c r="V23898" s="5"/>
    </row>
    <row r="23899">
      <c r="N23899" s="1"/>
      <c r="V23899" s="5"/>
    </row>
    <row r="23900">
      <c r="N23900" s="1"/>
      <c r="V23900" s="5"/>
    </row>
    <row r="23901">
      <c r="N23901" s="1"/>
      <c r="V23901" s="5"/>
    </row>
    <row r="23902">
      <c r="N23902" s="1"/>
      <c r="V23902" s="5"/>
    </row>
    <row r="23903">
      <c r="N23903" s="1"/>
      <c r="V23903" s="5"/>
    </row>
    <row r="23904">
      <c r="N23904" s="1"/>
      <c r="V23904" s="5"/>
    </row>
    <row r="23905">
      <c r="N23905" s="1"/>
      <c r="V23905" s="5"/>
    </row>
    <row r="23906">
      <c r="N23906" s="1"/>
      <c r="V23906" s="5"/>
    </row>
    <row r="23907">
      <c r="N23907" s="1"/>
      <c r="V23907" s="5"/>
    </row>
    <row r="23908">
      <c r="N23908" s="1"/>
      <c r="V23908" s="5"/>
    </row>
    <row r="23909">
      <c r="N23909" s="1"/>
      <c r="V23909" s="5"/>
    </row>
    <row r="23910">
      <c r="N23910" s="1"/>
      <c r="V23910" s="5"/>
    </row>
    <row r="23911">
      <c r="N23911" s="1"/>
      <c r="V23911" s="5"/>
    </row>
    <row r="23912">
      <c r="N23912" s="1"/>
      <c r="V23912" s="5"/>
    </row>
    <row r="23913">
      <c r="N23913" s="1"/>
      <c r="V23913" s="5"/>
    </row>
    <row r="23914">
      <c r="N23914" s="1"/>
      <c r="V23914" s="5"/>
    </row>
    <row r="23915">
      <c r="N23915" s="1"/>
      <c r="V23915" s="5"/>
    </row>
    <row r="23916">
      <c r="N23916" s="1"/>
      <c r="V23916" s="5"/>
    </row>
    <row r="23917">
      <c r="N23917" s="1"/>
      <c r="V23917" s="5"/>
    </row>
    <row r="23918">
      <c r="N23918" s="1"/>
      <c r="V23918" s="5"/>
    </row>
    <row r="23919">
      <c r="N23919" s="1"/>
      <c r="V23919" s="5"/>
    </row>
    <row r="23920">
      <c r="N23920" s="1"/>
      <c r="V23920" s="5"/>
    </row>
    <row r="23921">
      <c r="N23921" s="1"/>
      <c r="V23921" s="5"/>
    </row>
    <row r="23922">
      <c r="N23922" s="1"/>
      <c r="V23922" s="5"/>
    </row>
    <row r="23923">
      <c r="N23923" s="1"/>
      <c r="V23923" s="5"/>
    </row>
    <row r="23924">
      <c r="N23924" s="1"/>
      <c r="V23924" s="5"/>
    </row>
    <row r="23925">
      <c r="N23925" s="1"/>
      <c r="V23925" s="5"/>
    </row>
    <row r="23926">
      <c r="N23926" s="1"/>
      <c r="V23926" s="5"/>
    </row>
    <row r="23927">
      <c r="N23927" s="1"/>
      <c r="V23927" s="5"/>
    </row>
    <row r="23928">
      <c r="N23928" s="1"/>
      <c r="V23928" s="5"/>
    </row>
    <row r="23929">
      <c r="N23929" s="1"/>
      <c r="V23929" s="5"/>
    </row>
    <row r="23930">
      <c r="N23930" s="1"/>
      <c r="V23930" s="5"/>
    </row>
    <row r="23931">
      <c r="N23931" s="1"/>
      <c r="V23931" s="5"/>
    </row>
    <row r="23932">
      <c r="N23932" s="1"/>
      <c r="V23932" s="5"/>
    </row>
    <row r="23933">
      <c r="N23933" s="1"/>
      <c r="V23933" s="5"/>
    </row>
    <row r="23934">
      <c r="N23934" s="1"/>
      <c r="V23934" s="5"/>
    </row>
    <row r="23935">
      <c r="N23935" s="1"/>
      <c r="V23935" s="5"/>
    </row>
    <row r="23936">
      <c r="N23936" s="1"/>
      <c r="V23936" s="5"/>
    </row>
    <row r="23937">
      <c r="N23937" s="1"/>
      <c r="V23937" s="5"/>
    </row>
    <row r="23938">
      <c r="N23938" s="1"/>
      <c r="V23938" s="5"/>
    </row>
    <row r="23939">
      <c r="N23939" s="1"/>
      <c r="V23939" s="5"/>
    </row>
    <row r="23940">
      <c r="N23940" s="1"/>
      <c r="V23940" s="5"/>
    </row>
    <row r="23941">
      <c r="N23941" s="1"/>
      <c r="V23941" s="5"/>
    </row>
    <row r="23942">
      <c r="N23942" s="1"/>
      <c r="V23942" s="5"/>
    </row>
    <row r="23943">
      <c r="N23943" s="1"/>
      <c r="V23943" s="5"/>
    </row>
    <row r="23944">
      <c r="N23944" s="1"/>
      <c r="V23944" s="5"/>
    </row>
    <row r="23945">
      <c r="N23945" s="1"/>
      <c r="V23945" s="5"/>
    </row>
    <row r="23946">
      <c r="N23946" s="1"/>
      <c r="V23946" s="5"/>
    </row>
    <row r="23947">
      <c r="N23947" s="1"/>
      <c r="V23947" s="5"/>
    </row>
    <row r="23948">
      <c r="N23948" s="1"/>
      <c r="V23948" s="5"/>
    </row>
    <row r="23949">
      <c r="N23949" s="1"/>
      <c r="V23949" s="5"/>
    </row>
    <row r="23950">
      <c r="N23950" s="1"/>
      <c r="V23950" s="5"/>
    </row>
    <row r="23951">
      <c r="N23951" s="1"/>
      <c r="V23951" s="5"/>
    </row>
    <row r="23952">
      <c r="N23952" s="1"/>
      <c r="V23952" s="5"/>
    </row>
    <row r="23953">
      <c r="N23953" s="1"/>
      <c r="V23953" s="5"/>
    </row>
    <row r="23954">
      <c r="N23954" s="1"/>
      <c r="V23954" s="5"/>
    </row>
    <row r="23955">
      <c r="N23955" s="1"/>
      <c r="V23955" s="5"/>
    </row>
    <row r="23956">
      <c r="N23956" s="1"/>
      <c r="V23956" s="5"/>
    </row>
    <row r="23957">
      <c r="N23957" s="1"/>
      <c r="V23957" s="5"/>
    </row>
    <row r="23958">
      <c r="N23958" s="1"/>
      <c r="V23958" s="5"/>
    </row>
    <row r="23959">
      <c r="N23959" s="1"/>
      <c r="V23959" s="5"/>
    </row>
    <row r="23960">
      <c r="N23960" s="1"/>
      <c r="V23960" s="5"/>
    </row>
    <row r="23961">
      <c r="N23961" s="1"/>
      <c r="V23961" s="5"/>
    </row>
    <row r="23962">
      <c r="N23962" s="1"/>
      <c r="V23962" s="5"/>
    </row>
    <row r="23963">
      <c r="N23963" s="1"/>
      <c r="V23963" s="5"/>
    </row>
    <row r="23964">
      <c r="N23964" s="1"/>
      <c r="V23964" s="5"/>
    </row>
    <row r="23965">
      <c r="N23965" s="1"/>
      <c r="V23965" s="5"/>
    </row>
    <row r="23966">
      <c r="N23966" s="1"/>
      <c r="V23966" s="5"/>
    </row>
    <row r="23967">
      <c r="N23967" s="1"/>
      <c r="V23967" s="5"/>
    </row>
    <row r="23968">
      <c r="N23968" s="1"/>
      <c r="V23968" s="5"/>
    </row>
    <row r="23969">
      <c r="N23969" s="1"/>
      <c r="V23969" s="5"/>
    </row>
    <row r="23970">
      <c r="N23970" s="1"/>
      <c r="V23970" s="5"/>
    </row>
    <row r="23971">
      <c r="N23971" s="1"/>
      <c r="V23971" s="5"/>
    </row>
    <row r="23972">
      <c r="N23972" s="1"/>
      <c r="V23972" s="5"/>
    </row>
    <row r="23973">
      <c r="N23973" s="1"/>
      <c r="V23973" s="5"/>
    </row>
    <row r="23974">
      <c r="N23974" s="1"/>
      <c r="V23974" s="5"/>
    </row>
    <row r="23975">
      <c r="N23975" s="1"/>
      <c r="V23975" s="5"/>
    </row>
    <row r="23976">
      <c r="N23976" s="1"/>
      <c r="V23976" s="5"/>
    </row>
    <row r="23977">
      <c r="N23977" s="1"/>
      <c r="V23977" s="5"/>
    </row>
    <row r="23978">
      <c r="N23978" s="1"/>
      <c r="V23978" s="5"/>
    </row>
    <row r="23979">
      <c r="N23979" s="1"/>
      <c r="V23979" s="5"/>
    </row>
    <row r="23980">
      <c r="N23980" s="1"/>
      <c r="V23980" s="5"/>
    </row>
    <row r="23981">
      <c r="N23981" s="1"/>
      <c r="V23981" s="5"/>
    </row>
    <row r="23982">
      <c r="N23982" s="1"/>
      <c r="V23982" s="5"/>
    </row>
    <row r="23983">
      <c r="N23983" s="1"/>
      <c r="V23983" s="5"/>
    </row>
    <row r="23984">
      <c r="N23984" s="1"/>
      <c r="V23984" s="5"/>
    </row>
    <row r="23985">
      <c r="N23985" s="1"/>
      <c r="V23985" s="5"/>
    </row>
    <row r="23986">
      <c r="N23986" s="1"/>
      <c r="V23986" s="5"/>
    </row>
    <row r="23987">
      <c r="N23987" s="1"/>
      <c r="V23987" s="5"/>
    </row>
    <row r="23988">
      <c r="N23988" s="1"/>
      <c r="V23988" s="5"/>
    </row>
    <row r="23989">
      <c r="N23989" s="1"/>
      <c r="V23989" s="5"/>
    </row>
    <row r="23990">
      <c r="N23990" s="1"/>
      <c r="V23990" s="5"/>
    </row>
    <row r="23991">
      <c r="N23991" s="1"/>
      <c r="V23991" s="5"/>
    </row>
    <row r="23992">
      <c r="N23992" s="1"/>
      <c r="V23992" s="5"/>
    </row>
    <row r="23993">
      <c r="N23993" s="1"/>
      <c r="V23993" s="5"/>
    </row>
    <row r="23994">
      <c r="N23994" s="1"/>
      <c r="V23994" s="5"/>
    </row>
    <row r="23995">
      <c r="N23995" s="1"/>
      <c r="V23995" s="5"/>
    </row>
    <row r="23996">
      <c r="N23996" s="1"/>
      <c r="V23996" s="5"/>
    </row>
    <row r="23997">
      <c r="N23997" s="1"/>
      <c r="V23997" s="5"/>
    </row>
    <row r="23998">
      <c r="N23998" s="1"/>
      <c r="V23998" s="5"/>
    </row>
    <row r="23999">
      <c r="N23999" s="1"/>
      <c r="V23999" s="5"/>
    </row>
    <row r="24000">
      <c r="N24000" s="1"/>
      <c r="V24000" s="5"/>
    </row>
    <row r="24001">
      <c r="N24001" s="1"/>
      <c r="V24001" s="5"/>
    </row>
    <row r="24002">
      <c r="N24002" s="1"/>
      <c r="V24002" s="5"/>
    </row>
    <row r="24003">
      <c r="N24003" s="1"/>
      <c r="V24003" s="5"/>
    </row>
    <row r="24004">
      <c r="N24004" s="1"/>
      <c r="V24004" s="5"/>
    </row>
    <row r="24005">
      <c r="N24005" s="1"/>
      <c r="V24005" s="5"/>
    </row>
    <row r="24006">
      <c r="N24006" s="1"/>
      <c r="V24006" s="5"/>
    </row>
    <row r="24007">
      <c r="N24007" s="1"/>
      <c r="V24007" s="5"/>
    </row>
    <row r="24008">
      <c r="N24008" s="1"/>
      <c r="V24008" s="5"/>
    </row>
    <row r="24009">
      <c r="N24009" s="1"/>
      <c r="V24009" s="5"/>
    </row>
    <row r="24010">
      <c r="N24010" s="1"/>
      <c r="V24010" s="5"/>
    </row>
    <row r="24011">
      <c r="N24011" s="1"/>
      <c r="V24011" s="5"/>
    </row>
    <row r="24012">
      <c r="N24012" s="1"/>
      <c r="V24012" s="5"/>
    </row>
    <row r="24013">
      <c r="N24013" s="1"/>
      <c r="V24013" s="5"/>
    </row>
    <row r="24014">
      <c r="N24014" s="1"/>
      <c r="V24014" s="5"/>
    </row>
    <row r="24015">
      <c r="N24015" s="1"/>
      <c r="V24015" s="5"/>
    </row>
    <row r="24016">
      <c r="N24016" s="1"/>
      <c r="V24016" s="5"/>
    </row>
    <row r="24017">
      <c r="N24017" s="1"/>
      <c r="V24017" s="5"/>
    </row>
    <row r="24018">
      <c r="N24018" s="1"/>
      <c r="V24018" s="5"/>
    </row>
    <row r="24019">
      <c r="N24019" s="1"/>
      <c r="V24019" s="5"/>
    </row>
    <row r="24020">
      <c r="N24020" s="1"/>
      <c r="V24020" s="5"/>
    </row>
    <row r="24021">
      <c r="N24021" s="1"/>
      <c r="V24021" s="5"/>
    </row>
    <row r="24022">
      <c r="N24022" s="1"/>
      <c r="V24022" s="5"/>
    </row>
    <row r="24023">
      <c r="N24023" s="1"/>
      <c r="V24023" s="5"/>
    </row>
    <row r="24024">
      <c r="N24024" s="1"/>
      <c r="V24024" s="5"/>
    </row>
    <row r="24025">
      <c r="N24025" s="1"/>
      <c r="V24025" s="5"/>
    </row>
    <row r="24026">
      <c r="N24026" s="1"/>
      <c r="V24026" s="5"/>
    </row>
    <row r="24027">
      <c r="N24027" s="1"/>
      <c r="V24027" s="5"/>
    </row>
    <row r="24028">
      <c r="N24028" s="1"/>
      <c r="V24028" s="5"/>
    </row>
    <row r="24029">
      <c r="N24029" s="1"/>
      <c r="V24029" s="5"/>
    </row>
    <row r="24030">
      <c r="N24030" s="1"/>
      <c r="V24030" s="5"/>
    </row>
    <row r="24031">
      <c r="N24031" s="1"/>
      <c r="V24031" s="5"/>
    </row>
    <row r="24032">
      <c r="N24032" s="1"/>
      <c r="V24032" s="5"/>
    </row>
    <row r="24033">
      <c r="N24033" s="1"/>
      <c r="V24033" s="5"/>
    </row>
    <row r="24034">
      <c r="N24034" s="1"/>
      <c r="V24034" s="5"/>
    </row>
    <row r="24035">
      <c r="N24035" s="1"/>
      <c r="V24035" s="5"/>
    </row>
    <row r="24036">
      <c r="N24036" s="1"/>
      <c r="V24036" s="5"/>
    </row>
    <row r="24037">
      <c r="N24037" s="1"/>
      <c r="V24037" s="5"/>
    </row>
    <row r="24038">
      <c r="N24038" s="1"/>
      <c r="V24038" s="5"/>
    </row>
    <row r="24039">
      <c r="N24039" s="1"/>
      <c r="V24039" s="5"/>
    </row>
    <row r="24040">
      <c r="N24040" s="1"/>
      <c r="V24040" s="5"/>
    </row>
    <row r="24041">
      <c r="N24041" s="1"/>
      <c r="V24041" s="5"/>
    </row>
    <row r="24042">
      <c r="N24042" s="1"/>
      <c r="V24042" s="5"/>
    </row>
    <row r="24043">
      <c r="N24043" s="1"/>
      <c r="V24043" s="5"/>
    </row>
    <row r="24044">
      <c r="N24044" s="1"/>
      <c r="V24044" s="5"/>
    </row>
    <row r="24045">
      <c r="N24045" s="1"/>
      <c r="V24045" s="5"/>
    </row>
    <row r="24046">
      <c r="N24046" s="1"/>
      <c r="V24046" s="5"/>
    </row>
    <row r="24047">
      <c r="N24047" s="1"/>
      <c r="V24047" s="5"/>
    </row>
    <row r="24048">
      <c r="N24048" s="1"/>
      <c r="V24048" s="5"/>
    </row>
    <row r="24049">
      <c r="N24049" s="1"/>
      <c r="V24049" s="5"/>
    </row>
    <row r="24050">
      <c r="N24050" s="1"/>
      <c r="V24050" s="5"/>
    </row>
    <row r="24051">
      <c r="N24051" s="1"/>
      <c r="V24051" s="5"/>
    </row>
    <row r="24052">
      <c r="N24052" s="1"/>
      <c r="V24052" s="5"/>
    </row>
    <row r="24053">
      <c r="N24053" s="1"/>
      <c r="V24053" s="5"/>
    </row>
    <row r="24054">
      <c r="N24054" s="1"/>
      <c r="V24054" s="5"/>
    </row>
    <row r="24055">
      <c r="N24055" s="1"/>
      <c r="V24055" s="5"/>
    </row>
    <row r="24056">
      <c r="N24056" s="1"/>
      <c r="V24056" s="5"/>
    </row>
    <row r="24057">
      <c r="N24057" s="1"/>
      <c r="V24057" s="5"/>
    </row>
    <row r="24058">
      <c r="N24058" s="1"/>
      <c r="V24058" s="5"/>
    </row>
    <row r="24059">
      <c r="N24059" s="1"/>
      <c r="V24059" s="5"/>
    </row>
    <row r="24060">
      <c r="N24060" s="1"/>
      <c r="V24060" s="5"/>
    </row>
    <row r="24061">
      <c r="N24061" s="1"/>
      <c r="V24061" s="5"/>
    </row>
    <row r="24062">
      <c r="N24062" s="1"/>
      <c r="V24062" s="5"/>
    </row>
    <row r="24063">
      <c r="N24063" s="1"/>
      <c r="V24063" s="5"/>
    </row>
    <row r="24064">
      <c r="N24064" s="1"/>
      <c r="V24064" s="5"/>
    </row>
    <row r="24065">
      <c r="N24065" s="1"/>
      <c r="V24065" s="5"/>
    </row>
    <row r="24066">
      <c r="N24066" s="1"/>
      <c r="V24066" s="5"/>
    </row>
    <row r="24067">
      <c r="N24067" s="1"/>
      <c r="V24067" s="5"/>
    </row>
    <row r="24068">
      <c r="N24068" s="1"/>
      <c r="V24068" s="5"/>
    </row>
    <row r="24069">
      <c r="N24069" s="1"/>
      <c r="V24069" s="5"/>
    </row>
    <row r="24070">
      <c r="N24070" s="1"/>
      <c r="V24070" s="5"/>
    </row>
    <row r="24071">
      <c r="N24071" s="1"/>
      <c r="V24071" s="5"/>
    </row>
    <row r="24072">
      <c r="N24072" s="1"/>
      <c r="V24072" s="5"/>
    </row>
    <row r="24073">
      <c r="N24073" s="1"/>
      <c r="V24073" s="5"/>
    </row>
    <row r="24074">
      <c r="N24074" s="1"/>
      <c r="V24074" s="5"/>
    </row>
    <row r="24075">
      <c r="N24075" s="1"/>
      <c r="V24075" s="5"/>
    </row>
    <row r="24076">
      <c r="N24076" s="1"/>
      <c r="V24076" s="5"/>
    </row>
    <row r="24077">
      <c r="N24077" s="1"/>
      <c r="V24077" s="5"/>
    </row>
    <row r="24078">
      <c r="N24078" s="1"/>
      <c r="V24078" s="5"/>
    </row>
    <row r="24079">
      <c r="N24079" s="1"/>
      <c r="V24079" s="5"/>
    </row>
    <row r="24080">
      <c r="N24080" s="1"/>
      <c r="V24080" s="5"/>
    </row>
    <row r="24081">
      <c r="N24081" s="1"/>
      <c r="V24081" s="5"/>
    </row>
    <row r="24082">
      <c r="N24082" s="1"/>
      <c r="V24082" s="5"/>
    </row>
    <row r="24083">
      <c r="N24083" s="1"/>
      <c r="V24083" s="5"/>
    </row>
    <row r="24084">
      <c r="N24084" s="1"/>
      <c r="V24084" s="5"/>
    </row>
    <row r="24085">
      <c r="N24085" s="1"/>
      <c r="V24085" s="5"/>
    </row>
    <row r="24086">
      <c r="N24086" s="1"/>
      <c r="V24086" s="5"/>
    </row>
    <row r="24087">
      <c r="N24087" s="1"/>
      <c r="V24087" s="5"/>
    </row>
    <row r="24088">
      <c r="N24088" s="1"/>
      <c r="V24088" s="5"/>
    </row>
    <row r="24089">
      <c r="N24089" s="1"/>
      <c r="V24089" s="5"/>
    </row>
    <row r="24090">
      <c r="N24090" s="1"/>
      <c r="V24090" s="5"/>
    </row>
    <row r="24091">
      <c r="N24091" s="1"/>
      <c r="V24091" s="5"/>
    </row>
    <row r="24092">
      <c r="N24092" s="1"/>
      <c r="V24092" s="5"/>
    </row>
    <row r="24093">
      <c r="N24093" s="1"/>
      <c r="V24093" s="5"/>
    </row>
    <row r="24094">
      <c r="N24094" s="1"/>
      <c r="V24094" s="5"/>
    </row>
    <row r="24095">
      <c r="N24095" s="1"/>
      <c r="V24095" s="5"/>
    </row>
    <row r="24096">
      <c r="N24096" s="1"/>
      <c r="V24096" s="5"/>
    </row>
    <row r="24097">
      <c r="N24097" s="1"/>
      <c r="V24097" s="5"/>
    </row>
    <row r="24098">
      <c r="N24098" s="1"/>
      <c r="V24098" s="5"/>
    </row>
    <row r="24099">
      <c r="N24099" s="1"/>
      <c r="V24099" s="5"/>
    </row>
    <row r="24100">
      <c r="N24100" s="1"/>
      <c r="V24100" s="5"/>
    </row>
    <row r="24101">
      <c r="N24101" s="1"/>
      <c r="V24101" s="5"/>
    </row>
    <row r="24102">
      <c r="N24102" s="1"/>
      <c r="V24102" s="5"/>
    </row>
    <row r="24103">
      <c r="N24103" s="1"/>
      <c r="V24103" s="5"/>
    </row>
    <row r="24104">
      <c r="N24104" s="1"/>
      <c r="V24104" s="5"/>
    </row>
    <row r="24105">
      <c r="N24105" s="1"/>
      <c r="V24105" s="5"/>
    </row>
    <row r="24106">
      <c r="N24106" s="1"/>
      <c r="V24106" s="5"/>
    </row>
    <row r="24107">
      <c r="N24107" s="1"/>
      <c r="V24107" s="5"/>
    </row>
    <row r="24108">
      <c r="N24108" s="1"/>
      <c r="V24108" s="5"/>
    </row>
    <row r="24109">
      <c r="N24109" s="1"/>
      <c r="V24109" s="5"/>
    </row>
    <row r="24110">
      <c r="N24110" s="1"/>
      <c r="V24110" s="5"/>
    </row>
    <row r="24111">
      <c r="N24111" s="1"/>
      <c r="V24111" s="5"/>
    </row>
    <row r="24112">
      <c r="N24112" s="1"/>
      <c r="V24112" s="5"/>
    </row>
    <row r="24113">
      <c r="N24113" s="1"/>
      <c r="V24113" s="5"/>
    </row>
    <row r="24114">
      <c r="N24114" s="1"/>
      <c r="V24114" s="5"/>
    </row>
    <row r="24115">
      <c r="N24115" s="1"/>
      <c r="V24115" s="5"/>
    </row>
    <row r="24116">
      <c r="N24116" s="1"/>
      <c r="V24116" s="5"/>
    </row>
    <row r="24117">
      <c r="N24117" s="1"/>
      <c r="V24117" s="5"/>
    </row>
    <row r="24118">
      <c r="N24118" s="1"/>
      <c r="V24118" s="5"/>
    </row>
    <row r="24119">
      <c r="N24119" s="1"/>
      <c r="V24119" s="5"/>
    </row>
    <row r="24120">
      <c r="N24120" s="1"/>
      <c r="V24120" s="5"/>
    </row>
    <row r="24121">
      <c r="N24121" s="1"/>
      <c r="V24121" s="5"/>
    </row>
    <row r="24122">
      <c r="N24122" s="1"/>
      <c r="V24122" s="5"/>
    </row>
    <row r="24123">
      <c r="N24123" s="1"/>
      <c r="V24123" s="5"/>
    </row>
    <row r="24124">
      <c r="N24124" s="1"/>
      <c r="V24124" s="5"/>
    </row>
    <row r="24125">
      <c r="N24125" s="1"/>
      <c r="V24125" s="5"/>
    </row>
    <row r="24126">
      <c r="N24126" s="1"/>
      <c r="V24126" s="5"/>
    </row>
    <row r="24127">
      <c r="N24127" s="1"/>
      <c r="V24127" s="5"/>
    </row>
    <row r="24128">
      <c r="N24128" s="1"/>
      <c r="V24128" s="5"/>
    </row>
    <row r="24129">
      <c r="N24129" s="1"/>
      <c r="V24129" s="5"/>
    </row>
    <row r="24130">
      <c r="N24130" s="1"/>
      <c r="V24130" s="5"/>
    </row>
    <row r="24131">
      <c r="N24131" s="1"/>
      <c r="V24131" s="5"/>
    </row>
    <row r="24132">
      <c r="N24132" s="1"/>
      <c r="V24132" s="5"/>
    </row>
    <row r="24133">
      <c r="N24133" s="1"/>
      <c r="V24133" s="5"/>
    </row>
    <row r="24134">
      <c r="N24134" s="1"/>
      <c r="V24134" s="5"/>
    </row>
    <row r="24135">
      <c r="N24135" s="1"/>
      <c r="V24135" s="5"/>
    </row>
    <row r="24136">
      <c r="N24136" s="1"/>
      <c r="V24136" s="5"/>
    </row>
    <row r="24137">
      <c r="N24137" s="1"/>
      <c r="V24137" s="5"/>
    </row>
    <row r="24138">
      <c r="N24138" s="1"/>
      <c r="V24138" s="5"/>
    </row>
    <row r="24139">
      <c r="N24139" s="1"/>
      <c r="V24139" s="5"/>
    </row>
    <row r="24140">
      <c r="N24140" s="1"/>
      <c r="V24140" s="5"/>
    </row>
    <row r="24141">
      <c r="N24141" s="1"/>
      <c r="V24141" s="5"/>
    </row>
    <row r="24142">
      <c r="N24142" s="1"/>
      <c r="V24142" s="5"/>
    </row>
    <row r="24143">
      <c r="N24143" s="1"/>
      <c r="V24143" s="5"/>
    </row>
    <row r="24144">
      <c r="N24144" s="1"/>
      <c r="V24144" s="5"/>
    </row>
    <row r="24145">
      <c r="N24145" s="1"/>
      <c r="V24145" s="5"/>
    </row>
    <row r="24146">
      <c r="N24146" s="1"/>
      <c r="V24146" s="5"/>
    </row>
    <row r="24147">
      <c r="N24147" s="1"/>
      <c r="V24147" s="5"/>
    </row>
    <row r="24148">
      <c r="N24148" s="1"/>
      <c r="V24148" s="5"/>
    </row>
    <row r="24149">
      <c r="N24149" s="1"/>
      <c r="V24149" s="5"/>
    </row>
    <row r="24150">
      <c r="N24150" s="1"/>
      <c r="V24150" s="5"/>
    </row>
    <row r="24151">
      <c r="N24151" s="1"/>
      <c r="V24151" s="5"/>
    </row>
    <row r="24152">
      <c r="N24152" s="1"/>
      <c r="V24152" s="5"/>
    </row>
    <row r="24153">
      <c r="N24153" s="1"/>
      <c r="V24153" s="5"/>
    </row>
    <row r="24154">
      <c r="N24154" s="1"/>
      <c r="V24154" s="5"/>
    </row>
    <row r="24155">
      <c r="N24155" s="1"/>
      <c r="V24155" s="5"/>
    </row>
    <row r="24156">
      <c r="N24156" s="1"/>
      <c r="V24156" s="5"/>
    </row>
    <row r="24157">
      <c r="N24157" s="1"/>
      <c r="V24157" s="5"/>
    </row>
    <row r="24158">
      <c r="N24158" s="1"/>
      <c r="V24158" s="5"/>
    </row>
    <row r="24159">
      <c r="N24159" s="1"/>
      <c r="V24159" s="5"/>
    </row>
    <row r="24160">
      <c r="N24160" s="1"/>
      <c r="V24160" s="5"/>
    </row>
    <row r="24161">
      <c r="N24161" s="1"/>
      <c r="V24161" s="5"/>
    </row>
    <row r="24162">
      <c r="N24162" s="1"/>
      <c r="V24162" s="5"/>
    </row>
    <row r="24163">
      <c r="N24163" s="1"/>
      <c r="V24163" s="5"/>
    </row>
    <row r="24164">
      <c r="N24164" s="1"/>
      <c r="V24164" s="5"/>
    </row>
    <row r="24165">
      <c r="N24165" s="1"/>
      <c r="V24165" s="5"/>
    </row>
    <row r="24166">
      <c r="N24166" s="1"/>
      <c r="V24166" s="5"/>
    </row>
    <row r="24167">
      <c r="N24167" s="1"/>
      <c r="V24167" s="5"/>
    </row>
    <row r="24168">
      <c r="N24168" s="1"/>
      <c r="V24168" s="5"/>
    </row>
    <row r="24169">
      <c r="N24169" s="1"/>
      <c r="V24169" s="5"/>
    </row>
    <row r="24170">
      <c r="N24170" s="1"/>
      <c r="V24170" s="5"/>
    </row>
    <row r="24171">
      <c r="N24171" s="1"/>
      <c r="V24171" s="5"/>
    </row>
    <row r="24172">
      <c r="N24172" s="1"/>
      <c r="V24172" s="5"/>
    </row>
    <row r="24173">
      <c r="N24173" s="1"/>
      <c r="V24173" s="5"/>
    </row>
    <row r="24174">
      <c r="N24174" s="1"/>
      <c r="V24174" s="5"/>
    </row>
    <row r="24175">
      <c r="N24175" s="1"/>
      <c r="V24175" s="5"/>
    </row>
    <row r="24176">
      <c r="N24176" s="1"/>
      <c r="V24176" s="5"/>
    </row>
    <row r="24177">
      <c r="N24177" s="1"/>
      <c r="V24177" s="5"/>
    </row>
    <row r="24178">
      <c r="N24178" s="1"/>
      <c r="V24178" s="5"/>
    </row>
    <row r="24179">
      <c r="N24179" s="1"/>
      <c r="V24179" s="5"/>
    </row>
    <row r="24180">
      <c r="N24180" s="1"/>
      <c r="V24180" s="5"/>
    </row>
    <row r="24181">
      <c r="N24181" s="1"/>
      <c r="V24181" s="5"/>
    </row>
    <row r="24182">
      <c r="N24182" s="1"/>
      <c r="V24182" s="5"/>
    </row>
    <row r="24183">
      <c r="N24183" s="1"/>
      <c r="V24183" s="5"/>
    </row>
    <row r="24184">
      <c r="N24184" s="1"/>
      <c r="V24184" s="5"/>
    </row>
    <row r="24185">
      <c r="N24185" s="1"/>
      <c r="V24185" s="5"/>
    </row>
    <row r="24186">
      <c r="N24186" s="1"/>
      <c r="V24186" s="5"/>
    </row>
    <row r="24187">
      <c r="N24187" s="1"/>
      <c r="V24187" s="5"/>
    </row>
    <row r="24188">
      <c r="N24188" s="1"/>
      <c r="V24188" s="5"/>
    </row>
    <row r="24189">
      <c r="N24189" s="1"/>
      <c r="V24189" s="5"/>
    </row>
    <row r="24190">
      <c r="N24190" s="1"/>
      <c r="V24190" s="5"/>
    </row>
    <row r="24191">
      <c r="N24191" s="1"/>
      <c r="V24191" s="5"/>
    </row>
    <row r="24192">
      <c r="N24192" s="1"/>
      <c r="V24192" s="5"/>
    </row>
    <row r="24193">
      <c r="N24193" s="1"/>
      <c r="V24193" s="5"/>
    </row>
    <row r="24194">
      <c r="N24194" s="1"/>
      <c r="V24194" s="5"/>
    </row>
    <row r="24195">
      <c r="N24195" s="1"/>
      <c r="V24195" s="5"/>
    </row>
    <row r="24196">
      <c r="N24196" s="1"/>
      <c r="V24196" s="5"/>
    </row>
    <row r="24197">
      <c r="N24197" s="1"/>
      <c r="V24197" s="5"/>
    </row>
    <row r="24198">
      <c r="N24198" s="1"/>
      <c r="V24198" s="5"/>
    </row>
    <row r="24199">
      <c r="N24199" s="1"/>
      <c r="V24199" s="5"/>
    </row>
    <row r="24200">
      <c r="N24200" s="1"/>
      <c r="V24200" s="5"/>
    </row>
    <row r="24201">
      <c r="N24201" s="1"/>
      <c r="V24201" s="5"/>
    </row>
    <row r="24202">
      <c r="N24202" s="1"/>
      <c r="V24202" s="5"/>
    </row>
    <row r="24203">
      <c r="N24203" s="1"/>
      <c r="V24203" s="5"/>
    </row>
    <row r="24204">
      <c r="N24204" s="1"/>
      <c r="V24204" s="5"/>
    </row>
    <row r="24205">
      <c r="N24205" s="1"/>
      <c r="V24205" s="5"/>
    </row>
    <row r="24206">
      <c r="N24206" s="1"/>
      <c r="V24206" s="5"/>
    </row>
    <row r="24207">
      <c r="N24207" s="1"/>
      <c r="V24207" s="5"/>
    </row>
    <row r="24208">
      <c r="N24208" s="1"/>
      <c r="V24208" s="5"/>
    </row>
    <row r="24209">
      <c r="N24209" s="1"/>
      <c r="V24209" s="5"/>
    </row>
    <row r="24210">
      <c r="N24210" s="1"/>
      <c r="V24210" s="5"/>
    </row>
    <row r="24211">
      <c r="N24211" s="1"/>
      <c r="V24211" s="5"/>
    </row>
    <row r="24212">
      <c r="N24212" s="1"/>
      <c r="V24212" s="5"/>
    </row>
    <row r="24213">
      <c r="N24213" s="1"/>
      <c r="V24213" s="5"/>
    </row>
    <row r="24214">
      <c r="N24214" s="1"/>
      <c r="V24214" s="5"/>
    </row>
    <row r="24215">
      <c r="N24215" s="1"/>
      <c r="V24215" s="5"/>
    </row>
    <row r="24216">
      <c r="N24216" s="1"/>
      <c r="V24216" s="5"/>
    </row>
    <row r="24217">
      <c r="N24217" s="1"/>
      <c r="V24217" s="5"/>
    </row>
    <row r="24218">
      <c r="N24218" s="1"/>
      <c r="V24218" s="5"/>
    </row>
    <row r="24219">
      <c r="N24219" s="1"/>
      <c r="V24219" s="5"/>
    </row>
    <row r="24220">
      <c r="N24220" s="1"/>
      <c r="V24220" s="5"/>
    </row>
    <row r="24221">
      <c r="N24221" s="1"/>
      <c r="V24221" s="5"/>
    </row>
    <row r="24222">
      <c r="N24222" s="1"/>
      <c r="V24222" s="5"/>
    </row>
    <row r="24223">
      <c r="N24223" s="1"/>
      <c r="V24223" s="5"/>
    </row>
    <row r="24224">
      <c r="N24224" s="1"/>
      <c r="V24224" s="5"/>
    </row>
    <row r="24225">
      <c r="N24225" s="1"/>
      <c r="V24225" s="5"/>
    </row>
    <row r="24226">
      <c r="N24226" s="1"/>
      <c r="V24226" s="5"/>
    </row>
    <row r="24227">
      <c r="N24227" s="1"/>
      <c r="V24227" s="5"/>
    </row>
    <row r="24228">
      <c r="N24228" s="1"/>
      <c r="V24228" s="5"/>
    </row>
    <row r="24229">
      <c r="N24229" s="1"/>
      <c r="V24229" s="5"/>
    </row>
    <row r="24230">
      <c r="N24230" s="1"/>
      <c r="V24230" s="5"/>
    </row>
    <row r="24231">
      <c r="N24231" s="1"/>
      <c r="V24231" s="5"/>
    </row>
    <row r="24232">
      <c r="N24232" s="1"/>
      <c r="V24232" s="5"/>
    </row>
    <row r="24233">
      <c r="N24233" s="1"/>
      <c r="V24233" s="5"/>
    </row>
    <row r="24234">
      <c r="N24234" s="1"/>
      <c r="V24234" s="5"/>
    </row>
    <row r="24235">
      <c r="N24235" s="1"/>
      <c r="V24235" s="5"/>
    </row>
    <row r="24236">
      <c r="N24236" s="1"/>
      <c r="V24236" s="5"/>
    </row>
    <row r="24237">
      <c r="N24237" s="1"/>
      <c r="V24237" s="5"/>
    </row>
    <row r="24238">
      <c r="N24238" s="1"/>
      <c r="V24238" s="5"/>
    </row>
    <row r="24239">
      <c r="N24239" s="1"/>
      <c r="V24239" s="5"/>
    </row>
    <row r="24240">
      <c r="N24240" s="1"/>
      <c r="V24240" s="5"/>
    </row>
    <row r="24241">
      <c r="N24241" s="1"/>
      <c r="V24241" s="5"/>
    </row>
    <row r="24242">
      <c r="N24242" s="1"/>
      <c r="V24242" s="5"/>
    </row>
    <row r="24243">
      <c r="N24243" s="1"/>
      <c r="V24243" s="5"/>
    </row>
    <row r="24244">
      <c r="N24244" s="1"/>
      <c r="V24244" s="5"/>
    </row>
    <row r="24245">
      <c r="N24245" s="1"/>
      <c r="V24245" s="5"/>
    </row>
    <row r="24246">
      <c r="N24246" s="1"/>
      <c r="V24246" s="5"/>
    </row>
    <row r="24247">
      <c r="N24247" s="1"/>
      <c r="V24247" s="5"/>
    </row>
    <row r="24248">
      <c r="N24248" s="1"/>
      <c r="V24248" s="5"/>
    </row>
    <row r="24249">
      <c r="N24249" s="1"/>
      <c r="V24249" s="5"/>
    </row>
    <row r="24250">
      <c r="N24250" s="1"/>
      <c r="V24250" s="5"/>
    </row>
    <row r="24251">
      <c r="N24251" s="1"/>
      <c r="V24251" s="5"/>
    </row>
    <row r="24252">
      <c r="N24252" s="1"/>
      <c r="V24252" s="5"/>
    </row>
    <row r="24253">
      <c r="N24253" s="1"/>
      <c r="V24253" s="5"/>
    </row>
    <row r="24254">
      <c r="N24254" s="1"/>
      <c r="V24254" s="5"/>
    </row>
    <row r="24255">
      <c r="N24255" s="1"/>
      <c r="V24255" s="5"/>
    </row>
    <row r="24256">
      <c r="N24256" s="1"/>
      <c r="V24256" s="5"/>
    </row>
    <row r="24257">
      <c r="N24257" s="1"/>
      <c r="V24257" s="5"/>
    </row>
    <row r="24258">
      <c r="N24258" s="1"/>
      <c r="V24258" s="5"/>
    </row>
    <row r="24259">
      <c r="N24259" s="1"/>
      <c r="V24259" s="5"/>
    </row>
    <row r="24260">
      <c r="N24260" s="1"/>
      <c r="V24260" s="5"/>
    </row>
    <row r="24261">
      <c r="N24261" s="1"/>
      <c r="V24261" s="5"/>
    </row>
    <row r="24262">
      <c r="N24262" s="1"/>
      <c r="V24262" s="5"/>
    </row>
    <row r="24263">
      <c r="N24263" s="1"/>
      <c r="V24263" s="5"/>
    </row>
    <row r="24264">
      <c r="N24264" s="1"/>
      <c r="V24264" s="5"/>
    </row>
    <row r="24265">
      <c r="N24265" s="1"/>
      <c r="V24265" s="5"/>
    </row>
    <row r="24266">
      <c r="N24266" s="1"/>
      <c r="V24266" s="5"/>
    </row>
    <row r="24267">
      <c r="N24267" s="1"/>
      <c r="V24267" s="5"/>
    </row>
    <row r="24268">
      <c r="N24268" s="1"/>
      <c r="V24268" s="5"/>
    </row>
    <row r="24269">
      <c r="N24269" s="1"/>
      <c r="V24269" s="5"/>
    </row>
    <row r="24270">
      <c r="N24270" s="1"/>
      <c r="V24270" s="5"/>
    </row>
    <row r="24271">
      <c r="N24271" s="1"/>
      <c r="V24271" s="5"/>
    </row>
    <row r="24272">
      <c r="N24272" s="1"/>
      <c r="V24272" s="5"/>
    </row>
    <row r="24273">
      <c r="N24273" s="1"/>
      <c r="V24273" s="5"/>
    </row>
    <row r="24274">
      <c r="N24274" s="1"/>
      <c r="V24274" s="5"/>
    </row>
    <row r="24275">
      <c r="N24275" s="1"/>
      <c r="V24275" s="5"/>
    </row>
    <row r="24276">
      <c r="N24276" s="1"/>
      <c r="V24276" s="5"/>
    </row>
    <row r="24277">
      <c r="N24277" s="1"/>
      <c r="V24277" s="5"/>
    </row>
    <row r="24278">
      <c r="N24278" s="1"/>
      <c r="V24278" s="5"/>
    </row>
    <row r="24279">
      <c r="N24279" s="1"/>
      <c r="V24279" s="5"/>
    </row>
    <row r="24280">
      <c r="N24280" s="1"/>
      <c r="V24280" s="5"/>
    </row>
    <row r="24281">
      <c r="N24281" s="1"/>
      <c r="V24281" s="5"/>
    </row>
    <row r="24282">
      <c r="N24282" s="1"/>
      <c r="V24282" s="5"/>
    </row>
    <row r="24283">
      <c r="N24283" s="1"/>
      <c r="V24283" s="5"/>
    </row>
    <row r="24284">
      <c r="N24284" s="1"/>
      <c r="V24284" s="5"/>
    </row>
    <row r="24285">
      <c r="N24285" s="1"/>
      <c r="V24285" s="5"/>
    </row>
    <row r="24286">
      <c r="N24286" s="1"/>
      <c r="V24286" s="5"/>
    </row>
    <row r="24287">
      <c r="N24287" s="1"/>
      <c r="V24287" s="5"/>
    </row>
    <row r="24288">
      <c r="N24288" s="1"/>
      <c r="V24288" s="5"/>
    </row>
    <row r="24289">
      <c r="N24289" s="1"/>
      <c r="V24289" s="5"/>
    </row>
    <row r="24290">
      <c r="N24290" s="1"/>
      <c r="V24290" s="5"/>
    </row>
    <row r="24291">
      <c r="N24291" s="1"/>
      <c r="V24291" s="5"/>
    </row>
    <row r="24292">
      <c r="N24292" s="1"/>
      <c r="V24292" s="5"/>
    </row>
    <row r="24293">
      <c r="N24293" s="1"/>
      <c r="V24293" s="5"/>
    </row>
    <row r="24294">
      <c r="N24294" s="1"/>
      <c r="V24294" s="5"/>
    </row>
    <row r="24295">
      <c r="N24295" s="1"/>
      <c r="V24295" s="5"/>
    </row>
    <row r="24296">
      <c r="N24296" s="1"/>
      <c r="V24296" s="5"/>
    </row>
    <row r="24297">
      <c r="N24297" s="1"/>
      <c r="V24297" s="5"/>
    </row>
    <row r="24298">
      <c r="N24298" s="1"/>
      <c r="V24298" s="5"/>
    </row>
    <row r="24299">
      <c r="N24299" s="1"/>
      <c r="V24299" s="5"/>
    </row>
    <row r="24300">
      <c r="N24300" s="1"/>
      <c r="V24300" s="5"/>
    </row>
    <row r="24301">
      <c r="N24301" s="1"/>
      <c r="V24301" s="5"/>
    </row>
    <row r="24302">
      <c r="N24302" s="1"/>
      <c r="V24302" s="5"/>
    </row>
    <row r="24303">
      <c r="N24303" s="1"/>
      <c r="V24303" s="5"/>
    </row>
    <row r="24304">
      <c r="N24304" s="1"/>
      <c r="V24304" s="5"/>
    </row>
    <row r="24305">
      <c r="N24305" s="1"/>
      <c r="V24305" s="5"/>
    </row>
    <row r="24306">
      <c r="N24306" s="1"/>
      <c r="V24306" s="5"/>
    </row>
    <row r="24307">
      <c r="N24307" s="1"/>
      <c r="V24307" s="5"/>
    </row>
    <row r="24308">
      <c r="N24308" s="1"/>
      <c r="V24308" s="5"/>
    </row>
    <row r="24309">
      <c r="N24309" s="1"/>
      <c r="V24309" s="5"/>
    </row>
    <row r="24310">
      <c r="N24310" s="1"/>
      <c r="V24310" s="5"/>
    </row>
    <row r="24311">
      <c r="N24311" s="1"/>
      <c r="V24311" s="5"/>
    </row>
    <row r="24312">
      <c r="N24312" s="1"/>
      <c r="V24312" s="5"/>
    </row>
    <row r="24313">
      <c r="N24313" s="1"/>
      <c r="V24313" s="5"/>
    </row>
    <row r="24314">
      <c r="N24314" s="1"/>
      <c r="V24314" s="5"/>
    </row>
    <row r="24315">
      <c r="N24315" s="1"/>
      <c r="V24315" s="5"/>
    </row>
    <row r="24316">
      <c r="N24316" s="1"/>
      <c r="V24316" s="5"/>
    </row>
    <row r="24317">
      <c r="N24317" s="1"/>
      <c r="V24317" s="5"/>
    </row>
    <row r="24318">
      <c r="N24318" s="1"/>
      <c r="V24318" s="5"/>
    </row>
    <row r="24319">
      <c r="N24319" s="1"/>
      <c r="V24319" s="5"/>
    </row>
    <row r="24320">
      <c r="N24320" s="1"/>
      <c r="V24320" s="5"/>
    </row>
    <row r="24321">
      <c r="N24321" s="1"/>
      <c r="V24321" s="5"/>
    </row>
    <row r="24322">
      <c r="N24322" s="1"/>
      <c r="V24322" s="5"/>
    </row>
    <row r="24323">
      <c r="N24323" s="1"/>
      <c r="V24323" s="5"/>
    </row>
    <row r="24324">
      <c r="N24324" s="1"/>
      <c r="V24324" s="5"/>
    </row>
    <row r="24325">
      <c r="N24325" s="1"/>
      <c r="V24325" s="5"/>
    </row>
    <row r="24326">
      <c r="N24326" s="1"/>
      <c r="V24326" s="5"/>
    </row>
    <row r="24327">
      <c r="N24327" s="1"/>
      <c r="V24327" s="5"/>
    </row>
    <row r="24328">
      <c r="N24328" s="1"/>
      <c r="V24328" s="5"/>
    </row>
    <row r="24329">
      <c r="N24329" s="1"/>
      <c r="V24329" s="5"/>
    </row>
    <row r="24330">
      <c r="N24330" s="1"/>
      <c r="V24330" s="5"/>
    </row>
    <row r="24331">
      <c r="N24331" s="1"/>
      <c r="V24331" s="5"/>
    </row>
    <row r="24332">
      <c r="N24332" s="1"/>
      <c r="V24332" s="5"/>
    </row>
    <row r="24333">
      <c r="N24333" s="1"/>
      <c r="V24333" s="5"/>
    </row>
    <row r="24334">
      <c r="N24334" s="1"/>
      <c r="V24334" s="5"/>
    </row>
    <row r="24335">
      <c r="N24335" s="1"/>
      <c r="V24335" s="5"/>
    </row>
    <row r="24336">
      <c r="N24336" s="1"/>
      <c r="V24336" s="5"/>
    </row>
    <row r="24337">
      <c r="N24337" s="1"/>
      <c r="V24337" s="5"/>
    </row>
    <row r="24338">
      <c r="N24338" s="1"/>
      <c r="V24338" s="5"/>
    </row>
    <row r="24339">
      <c r="N24339" s="1"/>
      <c r="V24339" s="5"/>
    </row>
    <row r="24340">
      <c r="N24340" s="1"/>
      <c r="V24340" s="5"/>
    </row>
    <row r="24341">
      <c r="N24341" s="1"/>
      <c r="V24341" s="5"/>
    </row>
    <row r="24342">
      <c r="N24342" s="1"/>
      <c r="V24342" s="5"/>
    </row>
    <row r="24343">
      <c r="N24343" s="1"/>
      <c r="V24343" s="5"/>
    </row>
    <row r="24344">
      <c r="N24344" s="1"/>
      <c r="V24344" s="5"/>
    </row>
    <row r="24345">
      <c r="N24345" s="1"/>
      <c r="V24345" s="5"/>
    </row>
    <row r="24346">
      <c r="N24346" s="1"/>
      <c r="V24346" s="5"/>
    </row>
    <row r="24347">
      <c r="N24347" s="1"/>
      <c r="V24347" s="5"/>
    </row>
    <row r="24348">
      <c r="N24348" s="1"/>
      <c r="V24348" s="5"/>
    </row>
    <row r="24349">
      <c r="N24349" s="1"/>
      <c r="V24349" s="5"/>
    </row>
    <row r="24350">
      <c r="N24350" s="1"/>
      <c r="V24350" s="5"/>
    </row>
    <row r="24351">
      <c r="N24351" s="1"/>
      <c r="V24351" s="5"/>
    </row>
    <row r="24352">
      <c r="N24352" s="1"/>
      <c r="V24352" s="5"/>
    </row>
    <row r="24353">
      <c r="N24353" s="1"/>
      <c r="V24353" s="5"/>
    </row>
    <row r="24354">
      <c r="N24354" s="1"/>
      <c r="V24354" s="5"/>
    </row>
    <row r="24355">
      <c r="N24355" s="1"/>
      <c r="V24355" s="5"/>
    </row>
    <row r="24356">
      <c r="N24356" s="1"/>
      <c r="V24356" s="5"/>
    </row>
    <row r="24357">
      <c r="N24357" s="1"/>
      <c r="V24357" s="5"/>
    </row>
    <row r="24358">
      <c r="N24358" s="1"/>
      <c r="V24358" s="5"/>
    </row>
    <row r="24359">
      <c r="N24359" s="1"/>
      <c r="V24359" s="5"/>
    </row>
    <row r="24360">
      <c r="N24360" s="1"/>
      <c r="V24360" s="5"/>
    </row>
    <row r="24361">
      <c r="N24361" s="1"/>
      <c r="V24361" s="5"/>
    </row>
    <row r="24362">
      <c r="N24362" s="1"/>
      <c r="V24362" s="5"/>
    </row>
    <row r="24363">
      <c r="N24363" s="1"/>
      <c r="V24363" s="5"/>
    </row>
    <row r="24364">
      <c r="N24364" s="1"/>
      <c r="V24364" s="5"/>
    </row>
    <row r="24365">
      <c r="N24365" s="1"/>
      <c r="V24365" s="5"/>
    </row>
    <row r="24366">
      <c r="N24366" s="1"/>
      <c r="V24366" s="5"/>
    </row>
    <row r="24367">
      <c r="N24367" s="1"/>
      <c r="V24367" s="5"/>
    </row>
    <row r="24368">
      <c r="N24368" s="1"/>
      <c r="V24368" s="5"/>
    </row>
    <row r="24369">
      <c r="N24369" s="1"/>
      <c r="V24369" s="5"/>
    </row>
    <row r="24370">
      <c r="N24370" s="1"/>
      <c r="V24370" s="5"/>
    </row>
    <row r="24371">
      <c r="N24371" s="1"/>
      <c r="V24371" s="5"/>
    </row>
    <row r="24372">
      <c r="N24372" s="1"/>
      <c r="V24372" s="5"/>
    </row>
    <row r="24373">
      <c r="N24373" s="1"/>
      <c r="V24373" s="5"/>
    </row>
    <row r="24374">
      <c r="N24374" s="1"/>
      <c r="V24374" s="5"/>
    </row>
    <row r="24375">
      <c r="N24375" s="1"/>
      <c r="V24375" s="5"/>
    </row>
    <row r="24376">
      <c r="N24376" s="1"/>
      <c r="V24376" s="5"/>
    </row>
    <row r="24377">
      <c r="N24377" s="1"/>
      <c r="V24377" s="5"/>
    </row>
    <row r="24378">
      <c r="N24378" s="1"/>
      <c r="V24378" s="5"/>
    </row>
    <row r="24379">
      <c r="N24379" s="1"/>
      <c r="V24379" s="5"/>
    </row>
    <row r="24380">
      <c r="N24380" s="1"/>
      <c r="V24380" s="5"/>
    </row>
    <row r="24381">
      <c r="N24381" s="1"/>
      <c r="V24381" s="5"/>
    </row>
    <row r="24382">
      <c r="N24382" s="1"/>
      <c r="V24382" s="5"/>
    </row>
    <row r="24383">
      <c r="N24383" s="1"/>
      <c r="V24383" s="5"/>
    </row>
    <row r="24384">
      <c r="N24384" s="1"/>
      <c r="V24384" s="5"/>
    </row>
    <row r="24385">
      <c r="N24385" s="1"/>
      <c r="V24385" s="5"/>
    </row>
    <row r="24386">
      <c r="N24386" s="1"/>
      <c r="V24386" s="5"/>
    </row>
    <row r="24387">
      <c r="N24387" s="1"/>
      <c r="V24387" s="5"/>
    </row>
    <row r="24388">
      <c r="N24388" s="1"/>
      <c r="V24388" s="5"/>
    </row>
    <row r="24389">
      <c r="N24389" s="1"/>
      <c r="V24389" s="5"/>
    </row>
    <row r="24390">
      <c r="N24390" s="1"/>
      <c r="V24390" s="5"/>
    </row>
    <row r="24391">
      <c r="N24391" s="1"/>
      <c r="V24391" s="5"/>
    </row>
    <row r="24392">
      <c r="N24392" s="1"/>
      <c r="V24392" s="5"/>
    </row>
    <row r="24393">
      <c r="N24393" s="1"/>
      <c r="V24393" s="5"/>
    </row>
    <row r="24394">
      <c r="N24394" s="1"/>
      <c r="V24394" s="5"/>
    </row>
    <row r="24395">
      <c r="N24395" s="1"/>
      <c r="V24395" s="5"/>
    </row>
    <row r="24396">
      <c r="N24396" s="1"/>
      <c r="V24396" s="5"/>
    </row>
    <row r="24397">
      <c r="N24397" s="1"/>
      <c r="V24397" s="5"/>
    </row>
    <row r="24398">
      <c r="N24398" s="1"/>
      <c r="V24398" s="5"/>
    </row>
    <row r="24399">
      <c r="N24399" s="1"/>
      <c r="V24399" s="5"/>
    </row>
    <row r="24400">
      <c r="N24400" s="1"/>
      <c r="V24400" s="5"/>
    </row>
    <row r="24401">
      <c r="N24401" s="1"/>
      <c r="V24401" s="5"/>
    </row>
    <row r="24402">
      <c r="N24402" s="1"/>
      <c r="V24402" s="5"/>
    </row>
    <row r="24403">
      <c r="N24403" s="1"/>
      <c r="V24403" s="5"/>
    </row>
    <row r="24404">
      <c r="N24404" s="1"/>
      <c r="V24404" s="5"/>
    </row>
    <row r="24405">
      <c r="N24405" s="1"/>
      <c r="V24405" s="5"/>
    </row>
    <row r="24406">
      <c r="N24406" s="1"/>
      <c r="V24406" s="5"/>
    </row>
    <row r="24407">
      <c r="N24407" s="1"/>
      <c r="V24407" s="5"/>
    </row>
    <row r="24408">
      <c r="N24408" s="1"/>
      <c r="V24408" s="5"/>
    </row>
    <row r="24409">
      <c r="N24409" s="1"/>
      <c r="V24409" s="5"/>
    </row>
    <row r="24410">
      <c r="N24410" s="1"/>
      <c r="V24410" s="5"/>
    </row>
    <row r="24411">
      <c r="N24411" s="1"/>
      <c r="V24411" s="5"/>
    </row>
    <row r="24412">
      <c r="N24412" s="1"/>
      <c r="V24412" s="5"/>
    </row>
    <row r="24413">
      <c r="N24413" s="1"/>
      <c r="V24413" s="5"/>
    </row>
    <row r="24414">
      <c r="N24414" s="1"/>
      <c r="V24414" s="5"/>
    </row>
    <row r="24415">
      <c r="N24415" s="1"/>
      <c r="V24415" s="5"/>
    </row>
    <row r="24416">
      <c r="N24416" s="1"/>
      <c r="V24416" s="5"/>
    </row>
    <row r="24417">
      <c r="N24417" s="1"/>
      <c r="V24417" s="5"/>
    </row>
    <row r="24418">
      <c r="N24418" s="1"/>
      <c r="V24418" s="5"/>
    </row>
    <row r="24419">
      <c r="N24419" s="1"/>
      <c r="V24419" s="5"/>
    </row>
    <row r="24420">
      <c r="N24420" s="1"/>
      <c r="V24420" s="5"/>
    </row>
    <row r="24421">
      <c r="N24421" s="1"/>
      <c r="V24421" s="5"/>
    </row>
    <row r="24422">
      <c r="N24422" s="1"/>
      <c r="V24422" s="5"/>
    </row>
    <row r="24423">
      <c r="N24423" s="1"/>
      <c r="V24423" s="5"/>
    </row>
    <row r="24424">
      <c r="N24424" s="1"/>
      <c r="V24424" s="5"/>
    </row>
    <row r="24425">
      <c r="N24425" s="1"/>
      <c r="V24425" s="5"/>
    </row>
    <row r="24426">
      <c r="N24426" s="1"/>
      <c r="V24426" s="5"/>
    </row>
    <row r="24427">
      <c r="N24427" s="1"/>
      <c r="V24427" s="5"/>
    </row>
    <row r="24428">
      <c r="N24428" s="1"/>
      <c r="V24428" s="5"/>
    </row>
    <row r="24429">
      <c r="N24429" s="1"/>
      <c r="V24429" s="5"/>
    </row>
    <row r="24430">
      <c r="N24430" s="1"/>
      <c r="V24430" s="5"/>
    </row>
    <row r="24431">
      <c r="N24431" s="1"/>
      <c r="V24431" s="5"/>
    </row>
    <row r="24432">
      <c r="N24432" s="1"/>
      <c r="V24432" s="5"/>
    </row>
    <row r="24433">
      <c r="N24433" s="1"/>
      <c r="V24433" s="5"/>
    </row>
    <row r="24434">
      <c r="N24434" s="1"/>
      <c r="V24434" s="5"/>
    </row>
    <row r="24435">
      <c r="N24435" s="1"/>
      <c r="V24435" s="5"/>
    </row>
    <row r="24436">
      <c r="N24436" s="1"/>
      <c r="V24436" s="5"/>
    </row>
    <row r="24437">
      <c r="N24437" s="1"/>
      <c r="V24437" s="5"/>
    </row>
    <row r="24438">
      <c r="N24438" s="1"/>
      <c r="V24438" s="5"/>
    </row>
    <row r="24439">
      <c r="N24439" s="1"/>
      <c r="V24439" s="5"/>
    </row>
    <row r="24440">
      <c r="N24440" s="1"/>
      <c r="V24440" s="5"/>
    </row>
    <row r="24441">
      <c r="N24441" s="1"/>
      <c r="V24441" s="5"/>
    </row>
    <row r="24442">
      <c r="N24442" s="1"/>
      <c r="V24442" s="5"/>
    </row>
    <row r="24443">
      <c r="N24443" s="1"/>
      <c r="V24443" s="5"/>
    </row>
    <row r="24444">
      <c r="N24444" s="1"/>
      <c r="V24444" s="5"/>
    </row>
    <row r="24445">
      <c r="N24445" s="1"/>
      <c r="V24445" s="5"/>
    </row>
    <row r="24446">
      <c r="N24446" s="1"/>
      <c r="V24446" s="5"/>
    </row>
    <row r="24447">
      <c r="N24447" s="1"/>
      <c r="V24447" s="5"/>
    </row>
    <row r="24448">
      <c r="N24448" s="1"/>
      <c r="V24448" s="5"/>
    </row>
    <row r="24449">
      <c r="N24449" s="1"/>
      <c r="V24449" s="5"/>
    </row>
    <row r="24450">
      <c r="N24450" s="1"/>
      <c r="V24450" s="5"/>
    </row>
    <row r="24451">
      <c r="N24451" s="1"/>
      <c r="V24451" s="5"/>
    </row>
    <row r="24452">
      <c r="N24452" s="1"/>
      <c r="V24452" s="5"/>
    </row>
    <row r="24453">
      <c r="N24453" s="1"/>
      <c r="V24453" s="5"/>
    </row>
    <row r="24454">
      <c r="N24454" s="1"/>
      <c r="V24454" s="5"/>
    </row>
    <row r="24455">
      <c r="N24455" s="1"/>
      <c r="V24455" s="5"/>
    </row>
    <row r="24456">
      <c r="N24456" s="1"/>
      <c r="V24456" s="5"/>
    </row>
    <row r="24457">
      <c r="N24457" s="1"/>
      <c r="V24457" s="5"/>
    </row>
    <row r="24458">
      <c r="N24458" s="1"/>
      <c r="V24458" s="5"/>
    </row>
    <row r="24459">
      <c r="N24459" s="1"/>
      <c r="V24459" s="5"/>
    </row>
    <row r="24460">
      <c r="N24460" s="1"/>
      <c r="V24460" s="5"/>
    </row>
    <row r="24461">
      <c r="N24461" s="1"/>
      <c r="V24461" s="5"/>
    </row>
    <row r="24462">
      <c r="N24462" s="1"/>
      <c r="V24462" s="5"/>
    </row>
    <row r="24463">
      <c r="N24463" s="1"/>
      <c r="V24463" s="5"/>
    </row>
    <row r="24464">
      <c r="N24464" s="1"/>
      <c r="V24464" s="5"/>
    </row>
    <row r="24465">
      <c r="N24465" s="1"/>
      <c r="V24465" s="5"/>
    </row>
    <row r="24466">
      <c r="N24466" s="1"/>
      <c r="V24466" s="5"/>
    </row>
    <row r="24467">
      <c r="N24467" s="1"/>
      <c r="V24467" s="5"/>
    </row>
    <row r="24468">
      <c r="N24468" s="1"/>
      <c r="V24468" s="5"/>
    </row>
    <row r="24469">
      <c r="N24469" s="1"/>
      <c r="V24469" s="5"/>
    </row>
    <row r="24470">
      <c r="N24470" s="1"/>
      <c r="V24470" s="5"/>
    </row>
    <row r="24471">
      <c r="N24471" s="1"/>
      <c r="V24471" s="5"/>
    </row>
    <row r="24472">
      <c r="N24472" s="1"/>
      <c r="V24472" s="5"/>
    </row>
    <row r="24473">
      <c r="N24473" s="1"/>
      <c r="V24473" s="5"/>
    </row>
    <row r="24474">
      <c r="N24474" s="1"/>
      <c r="V24474" s="5"/>
    </row>
    <row r="24475">
      <c r="N24475" s="1"/>
      <c r="V24475" s="5"/>
    </row>
    <row r="24476">
      <c r="N24476" s="1"/>
      <c r="V24476" s="5"/>
    </row>
    <row r="24477">
      <c r="N24477" s="1"/>
      <c r="V24477" s="5"/>
    </row>
    <row r="24478">
      <c r="N24478" s="1"/>
      <c r="V24478" s="5"/>
    </row>
    <row r="24479">
      <c r="N24479" s="1"/>
      <c r="V24479" s="5"/>
    </row>
    <row r="24480">
      <c r="N24480" s="1"/>
      <c r="V24480" s="5"/>
    </row>
    <row r="24481">
      <c r="N24481" s="1"/>
      <c r="V24481" s="5"/>
    </row>
    <row r="24482">
      <c r="N24482" s="1"/>
      <c r="V24482" s="5"/>
    </row>
    <row r="24483">
      <c r="N24483" s="1"/>
      <c r="V24483" s="5"/>
    </row>
    <row r="24484">
      <c r="N24484" s="1"/>
      <c r="V24484" s="5"/>
    </row>
    <row r="24485">
      <c r="N24485" s="1"/>
      <c r="V24485" s="5"/>
    </row>
    <row r="24486">
      <c r="N24486" s="1"/>
      <c r="V24486" s="5"/>
    </row>
    <row r="24487">
      <c r="N24487" s="1"/>
      <c r="V24487" s="5"/>
    </row>
    <row r="24488">
      <c r="N24488" s="1"/>
      <c r="V24488" s="5"/>
    </row>
    <row r="24489">
      <c r="N24489" s="1"/>
      <c r="V24489" s="5"/>
    </row>
    <row r="24490">
      <c r="N24490" s="1"/>
      <c r="V24490" s="5"/>
    </row>
    <row r="24491">
      <c r="N24491" s="1"/>
      <c r="V24491" s="5"/>
    </row>
    <row r="24492">
      <c r="N24492" s="1"/>
      <c r="V24492" s="5"/>
    </row>
    <row r="24493">
      <c r="N24493" s="1"/>
      <c r="V24493" s="5"/>
    </row>
    <row r="24494">
      <c r="N24494" s="1"/>
      <c r="V24494" s="5"/>
    </row>
    <row r="24495">
      <c r="N24495" s="1"/>
      <c r="V24495" s="5"/>
    </row>
    <row r="24496">
      <c r="N24496" s="1"/>
      <c r="V24496" s="5"/>
    </row>
    <row r="24497">
      <c r="N24497" s="1"/>
      <c r="V24497" s="5"/>
    </row>
    <row r="24498">
      <c r="N24498" s="1"/>
      <c r="V24498" s="5"/>
    </row>
    <row r="24499">
      <c r="N24499" s="1"/>
      <c r="V24499" s="5"/>
    </row>
    <row r="24500">
      <c r="N24500" s="1"/>
      <c r="V24500" s="5"/>
    </row>
    <row r="24501">
      <c r="N24501" s="1"/>
      <c r="V24501" s="5"/>
    </row>
    <row r="24502">
      <c r="N24502" s="1"/>
      <c r="V24502" s="5"/>
    </row>
    <row r="24503">
      <c r="N24503" s="1"/>
      <c r="V24503" s="5"/>
    </row>
    <row r="24504">
      <c r="N24504" s="1"/>
      <c r="V24504" s="5"/>
    </row>
    <row r="24505">
      <c r="N24505" s="1"/>
      <c r="V24505" s="5"/>
    </row>
    <row r="24506">
      <c r="N24506" s="1"/>
      <c r="V24506" s="5"/>
    </row>
    <row r="24507">
      <c r="N24507" s="1"/>
      <c r="V24507" s="5"/>
    </row>
    <row r="24508">
      <c r="N24508" s="1"/>
      <c r="V24508" s="5"/>
    </row>
    <row r="24509">
      <c r="N24509" s="1"/>
      <c r="V24509" s="5"/>
    </row>
    <row r="24510">
      <c r="N24510" s="1"/>
      <c r="V24510" s="5"/>
    </row>
    <row r="24511">
      <c r="N24511" s="1"/>
      <c r="V24511" s="5"/>
    </row>
    <row r="24512">
      <c r="N24512" s="1"/>
      <c r="V24512" s="5"/>
    </row>
    <row r="24513">
      <c r="N24513" s="1"/>
      <c r="V24513" s="5"/>
    </row>
    <row r="24514">
      <c r="N24514" s="1"/>
      <c r="V24514" s="5"/>
    </row>
    <row r="24515">
      <c r="N24515" s="1"/>
      <c r="V24515" s="5"/>
    </row>
    <row r="24516">
      <c r="N24516" s="1"/>
      <c r="V24516" s="5"/>
    </row>
    <row r="24517">
      <c r="N24517" s="1"/>
      <c r="V24517" s="5"/>
    </row>
    <row r="24518">
      <c r="N24518" s="1"/>
      <c r="V24518" s="5"/>
    </row>
    <row r="24519">
      <c r="N24519" s="1"/>
      <c r="V24519" s="5"/>
    </row>
    <row r="24520">
      <c r="N24520" s="1"/>
      <c r="V24520" s="5"/>
    </row>
    <row r="24521">
      <c r="N24521" s="1"/>
      <c r="V24521" s="5"/>
    </row>
    <row r="24522">
      <c r="N24522" s="1"/>
      <c r="V24522" s="5"/>
    </row>
    <row r="24523">
      <c r="N24523" s="1"/>
      <c r="V24523" s="5"/>
    </row>
    <row r="24524">
      <c r="N24524" s="1"/>
      <c r="V24524" s="5"/>
    </row>
    <row r="24525">
      <c r="N24525" s="1"/>
      <c r="V24525" s="5"/>
    </row>
    <row r="24526">
      <c r="N24526" s="1"/>
      <c r="V24526" s="5"/>
    </row>
    <row r="24527">
      <c r="N24527" s="1"/>
      <c r="V24527" s="5"/>
    </row>
    <row r="24528">
      <c r="N24528" s="1"/>
      <c r="V24528" s="5"/>
    </row>
    <row r="24529">
      <c r="N24529" s="1"/>
      <c r="V24529" s="5"/>
    </row>
    <row r="24530">
      <c r="N24530" s="1"/>
      <c r="V24530" s="5"/>
    </row>
    <row r="24531">
      <c r="N24531" s="1"/>
      <c r="V24531" s="5"/>
    </row>
    <row r="24532">
      <c r="N24532" s="1"/>
      <c r="V24532" s="5"/>
    </row>
    <row r="24533">
      <c r="N24533" s="1"/>
      <c r="V24533" s="5"/>
    </row>
    <row r="24534">
      <c r="N24534" s="1"/>
      <c r="V24534" s="5"/>
    </row>
    <row r="24535">
      <c r="N24535" s="1"/>
      <c r="V24535" s="5"/>
    </row>
    <row r="24536">
      <c r="N24536" s="1"/>
      <c r="V24536" s="5"/>
    </row>
    <row r="24537">
      <c r="N24537" s="1"/>
      <c r="V24537" s="5"/>
    </row>
    <row r="24538">
      <c r="N24538" s="1"/>
      <c r="V24538" s="5"/>
    </row>
    <row r="24539">
      <c r="N24539" s="1"/>
      <c r="V24539" s="5"/>
    </row>
    <row r="24540">
      <c r="N24540" s="1"/>
      <c r="V24540" s="5"/>
    </row>
    <row r="24541">
      <c r="N24541" s="1"/>
      <c r="V24541" s="5"/>
    </row>
    <row r="24542">
      <c r="N24542" s="1"/>
      <c r="V24542" s="5"/>
    </row>
    <row r="24543">
      <c r="N24543" s="1"/>
      <c r="V24543" s="5"/>
    </row>
    <row r="24544">
      <c r="N24544" s="1"/>
      <c r="V24544" s="5"/>
    </row>
    <row r="24545">
      <c r="N24545" s="1"/>
      <c r="V24545" s="5"/>
    </row>
    <row r="24546">
      <c r="N24546" s="1"/>
      <c r="V24546" s="5"/>
    </row>
    <row r="24547">
      <c r="N24547" s="1"/>
      <c r="V24547" s="5"/>
    </row>
    <row r="24548">
      <c r="N24548" s="1"/>
      <c r="V24548" s="5"/>
    </row>
    <row r="24549">
      <c r="N24549" s="1"/>
      <c r="V24549" s="5"/>
    </row>
    <row r="24550">
      <c r="N24550" s="1"/>
      <c r="V24550" s="5"/>
    </row>
    <row r="24551">
      <c r="N24551" s="1"/>
      <c r="V24551" s="5"/>
    </row>
    <row r="24552">
      <c r="N24552" s="1"/>
      <c r="V24552" s="5"/>
    </row>
    <row r="24553">
      <c r="N24553" s="1"/>
      <c r="V24553" s="5"/>
    </row>
    <row r="24554">
      <c r="N24554" s="1"/>
      <c r="V24554" s="5"/>
    </row>
    <row r="24555">
      <c r="N24555" s="1"/>
      <c r="V24555" s="5"/>
    </row>
    <row r="24556">
      <c r="N24556" s="1"/>
      <c r="V24556" s="5"/>
    </row>
    <row r="24557">
      <c r="N24557" s="1"/>
      <c r="V24557" s="5"/>
    </row>
    <row r="24558">
      <c r="N24558" s="1"/>
      <c r="V24558" s="5"/>
    </row>
    <row r="24559">
      <c r="N24559" s="1"/>
      <c r="V24559" s="5"/>
    </row>
    <row r="24560">
      <c r="N24560" s="1"/>
      <c r="V24560" s="5"/>
    </row>
    <row r="24561">
      <c r="N24561" s="1"/>
      <c r="V24561" s="5"/>
    </row>
    <row r="24562">
      <c r="N24562" s="1"/>
      <c r="V24562" s="5"/>
    </row>
    <row r="24563">
      <c r="N24563" s="1"/>
      <c r="V24563" s="5"/>
    </row>
    <row r="24564">
      <c r="N24564" s="1"/>
      <c r="V24564" s="5"/>
    </row>
    <row r="24565">
      <c r="N24565" s="1"/>
      <c r="V24565" s="5"/>
    </row>
    <row r="24566">
      <c r="N24566" s="1"/>
      <c r="V24566" s="5"/>
    </row>
    <row r="24567">
      <c r="N24567" s="1"/>
      <c r="V24567" s="5"/>
    </row>
    <row r="24568">
      <c r="N24568" s="1"/>
      <c r="V24568" s="5"/>
    </row>
    <row r="24569">
      <c r="N24569" s="1"/>
      <c r="V24569" s="5"/>
    </row>
    <row r="24570">
      <c r="N24570" s="1"/>
      <c r="V24570" s="5"/>
    </row>
    <row r="24571">
      <c r="N24571" s="1"/>
      <c r="V24571" s="5"/>
    </row>
    <row r="24572">
      <c r="N24572" s="1"/>
      <c r="V24572" s="5"/>
    </row>
    <row r="24573">
      <c r="N24573" s="1"/>
      <c r="V24573" s="5"/>
    </row>
    <row r="24574">
      <c r="N24574" s="1"/>
      <c r="V24574" s="5"/>
    </row>
    <row r="24575">
      <c r="N24575" s="1"/>
      <c r="V24575" s="5"/>
    </row>
    <row r="24576">
      <c r="N24576" s="1"/>
      <c r="V24576" s="5"/>
    </row>
    <row r="24577">
      <c r="N24577" s="1"/>
      <c r="V24577" s="5"/>
    </row>
    <row r="24578">
      <c r="N24578" s="1"/>
      <c r="V24578" s="5"/>
    </row>
    <row r="24579">
      <c r="N24579" s="1"/>
      <c r="V24579" s="5"/>
    </row>
    <row r="24580">
      <c r="N24580" s="1"/>
      <c r="V24580" s="5"/>
    </row>
    <row r="24581">
      <c r="N24581" s="1"/>
      <c r="V24581" s="5"/>
    </row>
    <row r="24582">
      <c r="N24582" s="1"/>
      <c r="V24582" s="5"/>
    </row>
    <row r="24583">
      <c r="N24583" s="1"/>
      <c r="V24583" s="5"/>
    </row>
    <row r="24584">
      <c r="N24584" s="1"/>
      <c r="V24584" s="5"/>
    </row>
    <row r="24585">
      <c r="N24585" s="1"/>
      <c r="V24585" s="5"/>
    </row>
    <row r="24586">
      <c r="N24586" s="1"/>
      <c r="V24586" s="5"/>
    </row>
    <row r="24587">
      <c r="N24587" s="1"/>
      <c r="V24587" s="5"/>
    </row>
    <row r="24588">
      <c r="N24588" s="1"/>
      <c r="V24588" s="5"/>
    </row>
    <row r="24589">
      <c r="N24589" s="1"/>
      <c r="V24589" s="5"/>
    </row>
    <row r="24590">
      <c r="N24590" s="1"/>
      <c r="V24590" s="5"/>
    </row>
    <row r="24591">
      <c r="N24591" s="1"/>
      <c r="V24591" s="5"/>
    </row>
    <row r="24592">
      <c r="N24592" s="1"/>
      <c r="V24592" s="5"/>
    </row>
    <row r="24593">
      <c r="N24593" s="1"/>
      <c r="V24593" s="5"/>
    </row>
    <row r="24594">
      <c r="N24594" s="1"/>
      <c r="V24594" s="5"/>
    </row>
    <row r="24595">
      <c r="N24595" s="1"/>
      <c r="V24595" s="5"/>
    </row>
    <row r="24596">
      <c r="N24596" s="1"/>
      <c r="V24596" s="5"/>
    </row>
    <row r="24597">
      <c r="N24597" s="1"/>
      <c r="V24597" s="5"/>
    </row>
    <row r="24598">
      <c r="N24598" s="1"/>
      <c r="V24598" s="5"/>
    </row>
    <row r="24599">
      <c r="N24599" s="1"/>
      <c r="V24599" s="5"/>
    </row>
    <row r="24600">
      <c r="N24600" s="1"/>
      <c r="V24600" s="5"/>
    </row>
    <row r="24601">
      <c r="N24601" s="1"/>
      <c r="V24601" s="5"/>
    </row>
    <row r="24602">
      <c r="N24602" s="1"/>
      <c r="V24602" s="5"/>
    </row>
    <row r="24603">
      <c r="N24603" s="1"/>
      <c r="V24603" s="5"/>
    </row>
    <row r="24604">
      <c r="N24604" s="1"/>
      <c r="V24604" s="5"/>
    </row>
    <row r="24605">
      <c r="N24605" s="1"/>
      <c r="V24605" s="5"/>
    </row>
    <row r="24606">
      <c r="N24606" s="1"/>
      <c r="V24606" s="5"/>
    </row>
    <row r="24607">
      <c r="N24607" s="1"/>
      <c r="V24607" s="5"/>
    </row>
    <row r="24608">
      <c r="N24608" s="1"/>
      <c r="V24608" s="5"/>
    </row>
    <row r="24609">
      <c r="N24609" s="1"/>
      <c r="V24609" s="5"/>
    </row>
    <row r="24610">
      <c r="N24610" s="1"/>
      <c r="V24610" s="5"/>
    </row>
    <row r="24611">
      <c r="N24611" s="1"/>
      <c r="V24611" s="5"/>
    </row>
    <row r="24612">
      <c r="N24612" s="1"/>
      <c r="V24612" s="5"/>
    </row>
    <row r="24613">
      <c r="N24613" s="1"/>
      <c r="V24613" s="5"/>
    </row>
    <row r="24614">
      <c r="N24614" s="1"/>
      <c r="V24614" s="5"/>
    </row>
    <row r="24615">
      <c r="N24615" s="1"/>
      <c r="V24615" s="5"/>
    </row>
    <row r="24616">
      <c r="N24616" s="1"/>
      <c r="V24616" s="5"/>
    </row>
    <row r="24617">
      <c r="N24617" s="1"/>
      <c r="V24617" s="5"/>
    </row>
    <row r="24618">
      <c r="N24618" s="1"/>
      <c r="V24618" s="5"/>
    </row>
    <row r="24619">
      <c r="N24619" s="1"/>
      <c r="V24619" s="5"/>
    </row>
    <row r="24620">
      <c r="N24620" s="1"/>
      <c r="V24620" s="5"/>
    </row>
    <row r="24621">
      <c r="N24621" s="1"/>
      <c r="V24621" s="5"/>
    </row>
    <row r="24622">
      <c r="N24622" s="1"/>
      <c r="V24622" s="5"/>
    </row>
    <row r="24623">
      <c r="N24623" s="1"/>
      <c r="V24623" s="5"/>
    </row>
    <row r="24624">
      <c r="N24624" s="1"/>
      <c r="V24624" s="5"/>
    </row>
    <row r="24625">
      <c r="N24625" s="1"/>
      <c r="V24625" s="5"/>
    </row>
    <row r="24626">
      <c r="N24626" s="1"/>
      <c r="V24626" s="5"/>
    </row>
    <row r="24627">
      <c r="N24627" s="1"/>
      <c r="V24627" s="5"/>
    </row>
    <row r="24628">
      <c r="N24628" s="1"/>
      <c r="V24628" s="5"/>
    </row>
    <row r="24629">
      <c r="N24629" s="1"/>
      <c r="V24629" s="5"/>
    </row>
    <row r="24630">
      <c r="N24630" s="1"/>
      <c r="V24630" s="5"/>
    </row>
    <row r="24631">
      <c r="N24631" s="1"/>
      <c r="V24631" s="5"/>
    </row>
    <row r="24632">
      <c r="N24632" s="1"/>
      <c r="V24632" s="5"/>
    </row>
    <row r="24633">
      <c r="N24633" s="1"/>
      <c r="V24633" s="5"/>
    </row>
    <row r="24634">
      <c r="N24634" s="1"/>
      <c r="V24634" s="5"/>
    </row>
    <row r="24635">
      <c r="N24635" s="1"/>
      <c r="V24635" s="5"/>
    </row>
    <row r="24636">
      <c r="N24636" s="1"/>
      <c r="V24636" s="5"/>
    </row>
    <row r="24637">
      <c r="N24637" s="1"/>
      <c r="V24637" s="5"/>
    </row>
    <row r="24638">
      <c r="N24638" s="1"/>
      <c r="V24638" s="5"/>
    </row>
    <row r="24639">
      <c r="N24639" s="1"/>
      <c r="V24639" s="5"/>
    </row>
    <row r="24640">
      <c r="N24640" s="1"/>
      <c r="V24640" s="5"/>
    </row>
    <row r="24641">
      <c r="N24641" s="1"/>
      <c r="V24641" s="5"/>
    </row>
    <row r="24642">
      <c r="N24642" s="1"/>
      <c r="V24642" s="5"/>
    </row>
    <row r="24643">
      <c r="N24643" s="1"/>
      <c r="V24643" s="5"/>
    </row>
    <row r="24644">
      <c r="N24644" s="1"/>
      <c r="V24644" s="5"/>
    </row>
    <row r="24645">
      <c r="N24645" s="1"/>
      <c r="V24645" s="5"/>
    </row>
    <row r="24646">
      <c r="N24646" s="1"/>
      <c r="V24646" s="5"/>
    </row>
    <row r="24647">
      <c r="N24647" s="1"/>
      <c r="V24647" s="5"/>
    </row>
    <row r="24648">
      <c r="N24648" s="1"/>
      <c r="V24648" s="5"/>
    </row>
    <row r="24649">
      <c r="N24649" s="1"/>
      <c r="V24649" s="5"/>
    </row>
    <row r="24650">
      <c r="N24650" s="1"/>
      <c r="V24650" s="5"/>
    </row>
    <row r="24651">
      <c r="N24651" s="1"/>
      <c r="V24651" s="5"/>
    </row>
    <row r="24652">
      <c r="N24652" s="1"/>
      <c r="V24652" s="5"/>
    </row>
    <row r="24653">
      <c r="N24653" s="1"/>
      <c r="V24653" s="5"/>
    </row>
    <row r="24654">
      <c r="N24654" s="1"/>
      <c r="V24654" s="5"/>
    </row>
    <row r="24655">
      <c r="N24655" s="1"/>
      <c r="V24655" s="5"/>
    </row>
    <row r="24656">
      <c r="N24656" s="1"/>
      <c r="V24656" s="5"/>
    </row>
    <row r="24657">
      <c r="N24657" s="1"/>
      <c r="V24657" s="5"/>
    </row>
    <row r="24658">
      <c r="N24658" s="1"/>
      <c r="V24658" s="5"/>
    </row>
    <row r="24659">
      <c r="N24659" s="1"/>
      <c r="V24659" s="5"/>
    </row>
    <row r="24660">
      <c r="N24660" s="1"/>
      <c r="V24660" s="5"/>
    </row>
    <row r="24661">
      <c r="N24661" s="1"/>
      <c r="V24661" s="5"/>
    </row>
    <row r="24662">
      <c r="N24662" s="1"/>
      <c r="V24662" s="5"/>
    </row>
    <row r="24663">
      <c r="N24663" s="1"/>
      <c r="V24663" s="5"/>
    </row>
    <row r="24664">
      <c r="N24664" s="1"/>
      <c r="V24664" s="5"/>
    </row>
    <row r="24665">
      <c r="N24665" s="1"/>
      <c r="V24665" s="5"/>
    </row>
    <row r="24666">
      <c r="N24666" s="1"/>
      <c r="V24666" s="5"/>
    </row>
    <row r="24667">
      <c r="N24667" s="1"/>
      <c r="V24667" s="5"/>
    </row>
    <row r="24668">
      <c r="N24668" s="1"/>
      <c r="V24668" s="5"/>
    </row>
    <row r="24669">
      <c r="N24669" s="1"/>
      <c r="V24669" s="5"/>
    </row>
    <row r="24670">
      <c r="N24670" s="1"/>
      <c r="V24670" s="5"/>
    </row>
    <row r="24671">
      <c r="N24671" s="1"/>
      <c r="V24671" s="5"/>
    </row>
    <row r="24672">
      <c r="N24672" s="1"/>
      <c r="V24672" s="5"/>
    </row>
    <row r="24673">
      <c r="N24673" s="1"/>
      <c r="V24673" s="5"/>
    </row>
    <row r="24674">
      <c r="N24674" s="1"/>
      <c r="V24674" s="5"/>
    </row>
    <row r="24675">
      <c r="N24675" s="1"/>
      <c r="V24675" s="5"/>
    </row>
    <row r="24676">
      <c r="N24676" s="1"/>
      <c r="V24676" s="5"/>
    </row>
    <row r="24677">
      <c r="N24677" s="1"/>
      <c r="V24677" s="5"/>
    </row>
    <row r="24678">
      <c r="N24678" s="1"/>
      <c r="V24678" s="5"/>
    </row>
    <row r="24679">
      <c r="N24679" s="1"/>
      <c r="V24679" s="5"/>
    </row>
    <row r="24680">
      <c r="N24680" s="1"/>
      <c r="V24680" s="5"/>
    </row>
    <row r="24681">
      <c r="N24681" s="1"/>
      <c r="V24681" s="5"/>
    </row>
    <row r="24682">
      <c r="N24682" s="1"/>
      <c r="V24682" s="5"/>
    </row>
    <row r="24683">
      <c r="N24683" s="1"/>
      <c r="V24683" s="5"/>
    </row>
    <row r="24684">
      <c r="N24684" s="1"/>
      <c r="V24684" s="5"/>
    </row>
    <row r="24685">
      <c r="N24685" s="1"/>
      <c r="V24685" s="5"/>
    </row>
    <row r="24686">
      <c r="N24686" s="1"/>
      <c r="V24686" s="5"/>
    </row>
    <row r="24687">
      <c r="N24687" s="1"/>
      <c r="V24687" s="5"/>
    </row>
    <row r="24688">
      <c r="N24688" s="1"/>
      <c r="V24688" s="5"/>
    </row>
    <row r="24689">
      <c r="N24689" s="1"/>
      <c r="V24689" s="5"/>
    </row>
    <row r="24690">
      <c r="N24690" s="1"/>
      <c r="V24690" s="5"/>
    </row>
    <row r="24691">
      <c r="N24691" s="1"/>
      <c r="V24691" s="5"/>
    </row>
    <row r="24692">
      <c r="N24692" s="1"/>
      <c r="V24692" s="5"/>
    </row>
    <row r="24693">
      <c r="N24693" s="1"/>
      <c r="V24693" s="5"/>
    </row>
    <row r="24694">
      <c r="N24694" s="1"/>
      <c r="V24694" s="5"/>
    </row>
    <row r="24695">
      <c r="N24695" s="1"/>
      <c r="V24695" s="5"/>
    </row>
    <row r="24696">
      <c r="N24696" s="1"/>
      <c r="V24696" s="5"/>
    </row>
    <row r="24697">
      <c r="N24697" s="1"/>
      <c r="V24697" s="5"/>
    </row>
    <row r="24698">
      <c r="N24698" s="1"/>
      <c r="V24698" s="5"/>
    </row>
    <row r="24699">
      <c r="N24699" s="1"/>
      <c r="V24699" s="5"/>
    </row>
    <row r="24700">
      <c r="N24700" s="1"/>
      <c r="V24700" s="5"/>
    </row>
    <row r="24701">
      <c r="N24701" s="1"/>
      <c r="V24701" s="5"/>
    </row>
    <row r="24702">
      <c r="N24702" s="1"/>
      <c r="V24702" s="5"/>
    </row>
    <row r="24703">
      <c r="N24703" s="1"/>
      <c r="V24703" s="5"/>
    </row>
    <row r="24704">
      <c r="N24704" s="1"/>
      <c r="V24704" s="5"/>
    </row>
    <row r="24705">
      <c r="N24705" s="1"/>
      <c r="V24705" s="5"/>
    </row>
    <row r="24706">
      <c r="N24706" s="1"/>
      <c r="V24706" s="5"/>
    </row>
    <row r="24707">
      <c r="N24707" s="1"/>
      <c r="V24707" s="5"/>
    </row>
    <row r="24708">
      <c r="N24708" s="1"/>
      <c r="V24708" s="5"/>
    </row>
    <row r="24709">
      <c r="N24709" s="1"/>
      <c r="V24709" s="5"/>
    </row>
    <row r="24710">
      <c r="N24710" s="1"/>
      <c r="V24710" s="5"/>
    </row>
    <row r="24711">
      <c r="N24711" s="1"/>
      <c r="V24711" s="5"/>
    </row>
    <row r="24712">
      <c r="N24712" s="1"/>
      <c r="V24712" s="5"/>
    </row>
    <row r="24713">
      <c r="N24713" s="1"/>
      <c r="V24713" s="5"/>
    </row>
    <row r="24714">
      <c r="N24714" s="1"/>
      <c r="V24714" s="5"/>
    </row>
    <row r="24715">
      <c r="N24715" s="1"/>
      <c r="V24715" s="5"/>
    </row>
    <row r="24716">
      <c r="N24716" s="1"/>
      <c r="V24716" s="5"/>
    </row>
    <row r="24717">
      <c r="N24717" s="1"/>
      <c r="V24717" s="5"/>
    </row>
    <row r="24718">
      <c r="N24718" s="1"/>
      <c r="V24718" s="5"/>
    </row>
    <row r="24719">
      <c r="N24719" s="1"/>
      <c r="V24719" s="5"/>
    </row>
    <row r="24720">
      <c r="N24720" s="1"/>
      <c r="V24720" s="5"/>
    </row>
    <row r="24721">
      <c r="N24721" s="1"/>
      <c r="V24721" s="5"/>
    </row>
    <row r="24722">
      <c r="N24722" s="1"/>
      <c r="V24722" s="5"/>
    </row>
    <row r="24723">
      <c r="N24723" s="1"/>
      <c r="V24723" s="5"/>
    </row>
    <row r="24724">
      <c r="N24724" s="1"/>
      <c r="V24724" s="5"/>
    </row>
    <row r="24725">
      <c r="N24725" s="1"/>
      <c r="V24725" s="5"/>
    </row>
    <row r="24726">
      <c r="N24726" s="1"/>
      <c r="V24726" s="5"/>
    </row>
    <row r="24727">
      <c r="N24727" s="1"/>
      <c r="V24727" s="5"/>
    </row>
    <row r="24728">
      <c r="N24728" s="1"/>
      <c r="V24728" s="5"/>
    </row>
    <row r="24729">
      <c r="N24729" s="1"/>
      <c r="V24729" s="5"/>
    </row>
    <row r="24730">
      <c r="N24730" s="1"/>
      <c r="V24730" s="5"/>
    </row>
    <row r="24731">
      <c r="N24731" s="1"/>
      <c r="V24731" s="5"/>
    </row>
    <row r="24732">
      <c r="N24732" s="1"/>
      <c r="V24732" s="5"/>
    </row>
    <row r="24733">
      <c r="N24733" s="1"/>
      <c r="V24733" s="5"/>
    </row>
    <row r="24734">
      <c r="N24734" s="1"/>
      <c r="V24734" s="5"/>
    </row>
    <row r="24735">
      <c r="N24735" s="1"/>
      <c r="V24735" s="5"/>
    </row>
    <row r="24736">
      <c r="N24736" s="1"/>
      <c r="V24736" s="5"/>
    </row>
    <row r="24737">
      <c r="N24737" s="1"/>
      <c r="V24737" s="5"/>
    </row>
    <row r="24738">
      <c r="N24738" s="1"/>
      <c r="V24738" s="5"/>
    </row>
    <row r="24739">
      <c r="N24739" s="1"/>
      <c r="V24739" s="5"/>
    </row>
    <row r="24740">
      <c r="N24740" s="1"/>
      <c r="V24740" s="5"/>
    </row>
    <row r="24741">
      <c r="N24741" s="1"/>
      <c r="V24741" s="5"/>
    </row>
    <row r="24742">
      <c r="N24742" s="1"/>
      <c r="V24742" s="5"/>
    </row>
    <row r="24743">
      <c r="N24743" s="1"/>
      <c r="V24743" s="5"/>
    </row>
    <row r="24744">
      <c r="N24744" s="1"/>
      <c r="V24744" s="5"/>
    </row>
    <row r="24745">
      <c r="N24745" s="1"/>
      <c r="V24745" s="5"/>
    </row>
    <row r="24746">
      <c r="N24746" s="1"/>
      <c r="V24746" s="5"/>
    </row>
    <row r="24747">
      <c r="N24747" s="1"/>
      <c r="V24747" s="5"/>
    </row>
    <row r="24748">
      <c r="N24748" s="1"/>
      <c r="V24748" s="5"/>
    </row>
    <row r="24749">
      <c r="N24749" s="1"/>
      <c r="V24749" s="5"/>
    </row>
    <row r="24750">
      <c r="N24750" s="1"/>
      <c r="V24750" s="5"/>
    </row>
    <row r="24751">
      <c r="N24751" s="1"/>
      <c r="V24751" s="5"/>
    </row>
    <row r="24752">
      <c r="N24752" s="1"/>
      <c r="V24752" s="5"/>
    </row>
    <row r="24753">
      <c r="N24753" s="1"/>
      <c r="V24753" s="5"/>
    </row>
    <row r="24754">
      <c r="N24754" s="1"/>
      <c r="V24754" s="5"/>
    </row>
    <row r="24755">
      <c r="N24755" s="1"/>
      <c r="V24755" s="5"/>
    </row>
    <row r="24756">
      <c r="N24756" s="1"/>
      <c r="V24756" s="5"/>
    </row>
    <row r="24757">
      <c r="N24757" s="1"/>
      <c r="V24757" s="5"/>
    </row>
    <row r="24758">
      <c r="N24758" s="1"/>
      <c r="V24758" s="5"/>
    </row>
    <row r="24759">
      <c r="N24759" s="1"/>
      <c r="V24759" s="5"/>
    </row>
    <row r="24760">
      <c r="N24760" s="1"/>
      <c r="V24760" s="5"/>
    </row>
    <row r="24761">
      <c r="N24761" s="1"/>
      <c r="V24761" s="5"/>
    </row>
    <row r="24762">
      <c r="N24762" s="1"/>
      <c r="V24762" s="5"/>
    </row>
    <row r="24763">
      <c r="N24763" s="1"/>
      <c r="V24763" s="5"/>
    </row>
    <row r="24764">
      <c r="N24764" s="1"/>
      <c r="V24764" s="5"/>
    </row>
    <row r="24765">
      <c r="N24765" s="1"/>
      <c r="V24765" s="5"/>
    </row>
    <row r="24766">
      <c r="N24766" s="1"/>
      <c r="V24766" s="5"/>
    </row>
    <row r="24767">
      <c r="N24767" s="1"/>
      <c r="V24767" s="5"/>
    </row>
    <row r="24768">
      <c r="N24768" s="1"/>
      <c r="V24768" s="5"/>
    </row>
    <row r="24769">
      <c r="N24769" s="1"/>
      <c r="V24769" s="5"/>
    </row>
    <row r="24770">
      <c r="N24770" s="1"/>
      <c r="V24770" s="5"/>
    </row>
    <row r="24771">
      <c r="N24771" s="1"/>
      <c r="V24771" s="5"/>
    </row>
    <row r="24772">
      <c r="N24772" s="1"/>
      <c r="V24772" s="5"/>
    </row>
    <row r="24773">
      <c r="N24773" s="1"/>
      <c r="V24773" s="5"/>
    </row>
    <row r="24774">
      <c r="N24774" s="1"/>
      <c r="V24774" s="5"/>
    </row>
    <row r="24775">
      <c r="N24775" s="1"/>
      <c r="V24775" s="5"/>
    </row>
    <row r="24776">
      <c r="N24776" s="1"/>
      <c r="V24776" s="5"/>
    </row>
    <row r="24777">
      <c r="N24777" s="1"/>
      <c r="V24777" s="5"/>
    </row>
    <row r="24778">
      <c r="N24778" s="1"/>
      <c r="V24778" s="5"/>
    </row>
    <row r="24779">
      <c r="N24779" s="1"/>
      <c r="V24779" s="5"/>
    </row>
    <row r="24780">
      <c r="N24780" s="1"/>
      <c r="V24780" s="5"/>
    </row>
    <row r="24781">
      <c r="N24781" s="1"/>
      <c r="V24781" s="5"/>
    </row>
    <row r="24782">
      <c r="N24782" s="1"/>
      <c r="V24782" s="5"/>
    </row>
    <row r="24783">
      <c r="N24783" s="1"/>
      <c r="V24783" s="5"/>
    </row>
    <row r="24784">
      <c r="N24784" s="1"/>
      <c r="V24784" s="5"/>
    </row>
    <row r="24785">
      <c r="N24785" s="1"/>
      <c r="V24785" s="5"/>
    </row>
    <row r="24786">
      <c r="N24786" s="1"/>
      <c r="V24786" s="5"/>
    </row>
    <row r="24787">
      <c r="N24787" s="1"/>
      <c r="V24787" s="5"/>
    </row>
    <row r="24788">
      <c r="N24788" s="1"/>
      <c r="V24788" s="5"/>
    </row>
    <row r="24789">
      <c r="N24789" s="1"/>
      <c r="V24789" s="5"/>
    </row>
    <row r="24790">
      <c r="N24790" s="1"/>
      <c r="V24790" s="5"/>
    </row>
    <row r="24791">
      <c r="N24791" s="1"/>
      <c r="V24791" s="5"/>
    </row>
    <row r="24792">
      <c r="N24792" s="1"/>
      <c r="V24792" s="5"/>
    </row>
    <row r="24793">
      <c r="N24793" s="1"/>
      <c r="V24793" s="5"/>
    </row>
    <row r="24794">
      <c r="N24794" s="1"/>
      <c r="V24794" s="5"/>
    </row>
    <row r="24795">
      <c r="N24795" s="1"/>
      <c r="V24795" s="5"/>
    </row>
    <row r="24796">
      <c r="N24796" s="1"/>
      <c r="V24796" s="5"/>
    </row>
    <row r="24797">
      <c r="N24797" s="1"/>
      <c r="V24797" s="5"/>
    </row>
    <row r="24798">
      <c r="N24798" s="1"/>
      <c r="V24798" s="5"/>
    </row>
    <row r="24799">
      <c r="N24799" s="1"/>
      <c r="V24799" s="5"/>
    </row>
    <row r="24800">
      <c r="N24800" s="1"/>
      <c r="V24800" s="5"/>
    </row>
    <row r="24801">
      <c r="N24801" s="1"/>
      <c r="V24801" s="5"/>
    </row>
    <row r="24802">
      <c r="N24802" s="1"/>
      <c r="V24802" s="5"/>
    </row>
    <row r="24803">
      <c r="N24803" s="1"/>
      <c r="V24803" s="5"/>
    </row>
    <row r="24804">
      <c r="N24804" s="1"/>
      <c r="V24804" s="5"/>
    </row>
    <row r="24805">
      <c r="N24805" s="1"/>
      <c r="V24805" s="5"/>
    </row>
    <row r="24806">
      <c r="N24806" s="1"/>
      <c r="V24806" s="5"/>
    </row>
    <row r="24807">
      <c r="N24807" s="1"/>
      <c r="V24807" s="5"/>
    </row>
    <row r="24808">
      <c r="N24808" s="1"/>
      <c r="V24808" s="5"/>
    </row>
    <row r="24809">
      <c r="N24809" s="1"/>
      <c r="V24809" s="5"/>
    </row>
    <row r="24810">
      <c r="N24810" s="1"/>
      <c r="V24810" s="5"/>
    </row>
    <row r="24811">
      <c r="N24811" s="1"/>
      <c r="V24811" s="5"/>
    </row>
    <row r="24812">
      <c r="N24812" s="1"/>
      <c r="V24812" s="5"/>
    </row>
    <row r="24813">
      <c r="N24813" s="1"/>
      <c r="V24813" s="5"/>
    </row>
    <row r="24814">
      <c r="N24814" s="1"/>
      <c r="V24814" s="5"/>
    </row>
    <row r="24815">
      <c r="N24815" s="1"/>
      <c r="V24815" s="5"/>
    </row>
    <row r="24816">
      <c r="N24816" s="1"/>
      <c r="V24816" s="5"/>
    </row>
    <row r="24817">
      <c r="N24817" s="1"/>
      <c r="V24817" s="5"/>
    </row>
    <row r="24818">
      <c r="N24818" s="1"/>
      <c r="V24818" s="5"/>
    </row>
    <row r="24819">
      <c r="N24819" s="1"/>
      <c r="V24819" s="5"/>
    </row>
    <row r="24820">
      <c r="N24820" s="1"/>
      <c r="V24820" s="5"/>
    </row>
    <row r="24821">
      <c r="N24821" s="1"/>
      <c r="V24821" s="5"/>
    </row>
    <row r="24822">
      <c r="N24822" s="1"/>
      <c r="V24822" s="5"/>
    </row>
    <row r="24823">
      <c r="N24823" s="1"/>
      <c r="V24823" s="5"/>
    </row>
    <row r="24824">
      <c r="N24824" s="1"/>
      <c r="V24824" s="5"/>
    </row>
    <row r="24825">
      <c r="N24825" s="1"/>
      <c r="V24825" s="5"/>
    </row>
    <row r="24826">
      <c r="N24826" s="1"/>
      <c r="V24826" s="5"/>
    </row>
    <row r="24827">
      <c r="N24827" s="1"/>
      <c r="V24827" s="5"/>
    </row>
    <row r="24828">
      <c r="N24828" s="1"/>
      <c r="V24828" s="5"/>
    </row>
    <row r="24829">
      <c r="N24829" s="1"/>
      <c r="V24829" s="5"/>
    </row>
    <row r="24830">
      <c r="N24830" s="1"/>
      <c r="V24830" s="5"/>
    </row>
    <row r="24831">
      <c r="N24831" s="1"/>
      <c r="V24831" s="5"/>
    </row>
    <row r="24832">
      <c r="N24832" s="1"/>
      <c r="V24832" s="5"/>
    </row>
    <row r="24833">
      <c r="N24833" s="1"/>
      <c r="V24833" s="5"/>
    </row>
    <row r="24834">
      <c r="N24834" s="1"/>
      <c r="V24834" s="5"/>
    </row>
    <row r="24835">
      <c r="N24835" s="1"/>
      <c r="V24835" s="5"/>
    </row>
    <row r="24836">
      <c r="N24836" s="1"/>
      <c r="V24836" s="5"/>
    </row>
    <row r="24837">
      <c r="N24837" s="1"/>
      <c r="V24837" s="5"/>
    </row>
    <row r="24838">
      <c r="N24838" s="1"/>
      <c r="V24838" s="5"/>
    </row>
    <row r="24839">
      <c r="N24839" s="1"/>
      <c r="V24839" s="5"/>
    </row>
    <row r="24840">
      <c r="N24840" s="1"/>
      <c r="V24840" s="5"/>
    </row>
    <row r="24841">
      <c r="N24841" s="1"/>
      <c r="V24841" s="5"/>
    </row>
    <row r="24842">
      <c r="N24842" s="1"/>
      <c r="V24842" s="5"/>
    </row>
    <row r="24843">
      <c r="N24843" s="1"/>
      <c r="V24843" s="5"/>
    </row>
    <row r="24844">
      <c r="N24844" s="1"/>
      <c r="V24844" s="5"/>
    </row>
    <row r="24845">
      <c r="N24845" s="1"/>
      <c r="V24845" s="5"/>
    </row>
    <row r="24846">
      <c r="N24846" s="1"/>
      <c r="V24846" s="5"/>
    </row>
    <row r="24847">
      <c r="N24847" s="1"/>
      <c r="V24847" s="5"/>
    </row>
    <row r="24848">
      <c r="N24848" s="1"/>
      <c r="V24848" s="5"/>
    </row>
    <row r="24849">
      <c r="N24849" s="1"/>
      <c r="V24849" s="5"/>
    </row>
    <row r="24850">
      <c r="N24850" s="1"/>
      <c r="V24850" s="5"/>
    </row>
    <row r="24851">
      <c r="N24851" s="1"/>
      <c r="V24851" s="5"/>
    </row>
    <row r="24852">
      <c r="N24852" s="1"/>
      <c r="V24852" s="5"/>
    </row>
    <row r="24853">
      <c r="N24853" s="1"/>
      <c r="V24853" s="5"/>
    </row>
    <row r="24854">
      <c r="N24854" s="1"/>
      <c r="V24854" s="5"/>
    </row>
    <row r="24855">
      <c r="N24855" s="1"/>
      <c r="V24855" s="5"/>
    </row>
    <row r="24856">
      <c r="N24856" s="1"/>
      <c r="V24856" s="5"/>
    </row>
    <row r="24857">
      <c r="N24857" s="1"/>
      <c r="V24857" s="5"/>
    </row>
    <row r="24858">
      <c r="N24858" s="1"/>
      <c r="V24858" s="5"/>
    </row>
    <row r="24859">
      <c r="N24859" s="1"/>
      <c r="V24859" s="5"/>
    </row>
    <row r="24860">
      <c r="N24860" s="1"/>
      <c r="V24860" s="5"/>
    </row>
    <row r="24861">
      <c r="N24861" s="1"/>
      <c r="V24861" s="5"/>
    </row>
    <row r="24862">
      <c r="N24862" s="1"/>
      <c r="V24862" s="5"/>
    </row>
    <row r="24863">
      <c r="N24863" s="1"/>
      <c r="V24863" s="5"/>
    </row>
    <row r="24864">
      <c r="N24864" s="1"/>
      <c r="V24864" s="5"/>
    </row>
    <row r="24865">
      <c r="N24865" s="1"/>
      <c r="V24865" s="5"/>
    </row>
    <row r="24866">
      <c r="N24866" s="1"/>
      <c r="V24866" s="5"/>
    </row>
    <row r="24867">
      <c r="N24867" s="1"/>
      <c r="V24867" s="5"/>
    </row>
    <row r="24868">
      <c r="N24868" s="1"/>
      <c r="V24868" s="5"/>
    </row>
    <row r="24869">
      <c r="N24869" s="1"/>
      <c r="V24869" s="5"/>
    </row>
    <row r="24870">
      <c r="N24870" s="1"/>
      <c r="V24870" s="5"/>
    </row>
    <row r="24871">
      <c r="N24871" s="1"/>
      <c r="V24871" s="5"/>
    </row>
    <row r="24872">
      <c r="N24872" s="1"/>
      <c r="V24872" s="5"/>
    </row>
    <row r="24873">
      <c r="N24873" s="1"/>
      <c r="V24873" s="5"/>
    </row>
    <row r="24874">
      <c r="N24874" s="1"/>
      <c r="V24874" s="5"/>
    </row>
    <row r="24875">
      <c r="N24875" s="1"/>
      <c r="V24875" s="5"/>
    </row>
    <row r="24876">
      <c r="N24876" s="1"/>
      <c r="V24876" s="5"/>
    </row>
    <row r="24877">
      <c r="N24877" s="1"/>
      <c r="V24877" s="5"/>
    </row>
    <row r="24878">
      <c r="N24878" s="1"/>
      <c r="V24878" s="5"/>
    </row>
    <row r="24879">
      <c r="N24879" s="1"/>
      <c r="V24879" s="5"/>
    </row>
    <row r="24880">
      <c r="N24880" s="1"/>
      <c r="V24880" s="5"/>
    </row>
    <row r="24881">
      <c r="N24881" s="1"/>
      <c r="V24881" s="5"/>
    </row>
    <row r="24882">
      <c r="N24882" s="1"/>
      <c r="V24882" s="5"/>
    </row>
    <row r="24883">
      <c r="N24883" s="1"/>
      <c r="V24883" s="5"/>
    </row>
    <row r="24884">
      <c r="N24884" s="1"/>
      <c r="V24884" s="5"/>
    </row>
    <row r="24885">
      <c r="N24885" s="1"/>
      <c r="V24885" s="5"/>
    </row>
    <row r="24886">
      <c r="N24886" s="1"/>
      <c r="V24886" s="5"/>
    </row>
    <row r="24887">
      <c r="N24887" s="1"/>
      <c r="V24887" s="5"/>
    </row>
    <row r="24888">
      <c r="N24888" s="1"/>
      <c r="V24888" s="5"/>
    </row>
    <row r="24889">
      <c r="N24889" s="1"/>
      <c r="V24889" s="5"/>
    </row>
    <row r="24890">
      <c r="N24890" s="1"/>
      <c r="V24890" s="5"/>
    </row>
    <row r="24891">
      <c r="N24891" s="1"/>
      <c r="V24891" s="5"/>
    </row>
    <row r="24892">
      <c r="N24892" s="1"/>
      <c r="V24892" s="5"/>
    </row>
    <row r="24893">
      <c r="N24893" s="1"/>
      <c r="V24893" s="5"/>
    </row>
    <row r="24894">
      <c r="N24894" s="1"/>
      <c r="V24894" s="5"/>
    </row>
    <row r="24895">
      <c r="N24895" s="1"/>
      <c r="V24895" s="5"/>
    </row>
    <row r="24896">
      <c r="N24896" s="1"/>
      <c r="V24896" s="5"/>
    </row>
    <row r="24897">
      <c r="N24897" s="1"/>
      <c r="V24897" s="5"/>
    </row>
    <row r="24898">
      <c r="N24898" s="1"/>
      <c r="V24898" s="5"/>
    </row>
    <row r="24899">
      <c r="N24899" s="1"/>
      <c r="V24899" s="5"/>
    </row>
    <row r="24900">
      <c r="N24900" s="1"/>
      <c r="V24900" s="5"/>
    </row>
    <row r="24901">
      <c r="N24901" s="1"/>
      <c r="V24901" s="5"/>
    </row>
    <row r="24902">
      <c r="N24902" s="1"/>
      <c r="V24902" s="5"/>
    </row>
    <row r="24903">
      <c r="N24903" s="1"/>
      <c r="V24903" s="5"/>
    </row>
    <row r="24904">
      <c r="N24904" s="1"/>
      <c r="V24904" s="5"/>
    </row>
    <row r="24905">
      <c r="N24905" s="1"/>
      <c r="V24905" s="5"/>
    </row>
    <row r="24906">
      <c r="N24906" s="1"/>
      <c r="V24906" s="5"/>
    </row>
    <row r="24907">
      <c r="N24907" s="1"/>
      <c r="V24907" s="5"/>
    </row>
    <row r="24908">
      <c r="N24908" s="1"/>
      <c r="V24908" s="5"/>
    </row>
    <row r="24909">
      <c r="N24909" s="1"/>
      <c r="V24909" s="5"/>
    </row>
    <row r="24910">
      <c r="N24910" s="1"/>
      <c r="V24910" s="5"/>
    </row>
    <row r="24911">
      <c r="N24911" s="1"/>
      <c r="V24911" s="5"/>
    </row>
    <row r="24912">
      <c r="N24912" s="1"/>
      <c r="V24912" s="5"/>
    </row>
    <row r="24913">
      <c r="N24913" s="1"/>
      <c r="V24913" s="5"/>
    </row>
    <row r="24914">
      <c r="N24914" s="1"/>
      <c r="V24914" s="5"/>
    </row>
    <row r="24915">
      <c r="N24915" s="1"/>
      <c r="V24915" s="5"/>
    </row>
    <row r="24916">
      <c r="N24916" s="1"/>
      <c r="V24916" s="5"/>
    </row>
    <row r="24917">
      <c r="N24917" s="1"/>
      <c r="V24917" s="5"/>
    </row>
    <row r="24918">
      <c r="N24918" s="1"/>
      <c r="V24918" s="5"/>
    </row>
    <row r="24919">
      <c r="N24919" s="1"/>
      <c r="V24919" s="5"/>
    </row>
    <row r="24920">
      <c r="N24920" s="1"/>
      <c r="V24920" s="5"/>
    </row>
    <row r="24921">
      <c r="N24921" s="1"/>
      <c r="V24921" s="5"/>
    </row>
    <row r="24922">
      <c r="N24922" s="1"/>
      <c r="V24922" s="5"/>
    </row>
    <row r="24923">
      <c r="N24923" s="1"/>
      <c r="V24923" s="5"/>
    </row>
    <row r="24924">
      <c r="N24924" s="1"/>
      <c r="V24924" s="5"/>
    </row>
    <row r="24925">
      <c r="N24925" s="1"/>
      <c r="V24925" s="5"/>
    </row>
    <row r="24926">
      <c r="N24926" s="1"/>
      <c r="V24926" s="5"/>
    </row>
    <row r="24927">
      <c r="N24927" s="1"/>
      <c r="V24927" s="5"/>
    </row>
    <row r="24928">
      <c r="N24928" s="1"/>
      <c r="V24928" s="5"/>
    </row>
    <row r="24929">
      <c r="N24929" s="1"/>
      <c r="V24929" s="5"/>
    </row>
    <row r="24930">
      <c r="N24930" s="1"/>
      <c r="V24930" s="5"/>
    </row>
    <row r="24931">
      <c r="N24931" s="1"/>
      <c r="V24931" s="5"/>
    </row>
    <row r="24932">
      <c r="N24932" s="1"/>
      <c r="V24932" s="5"/>
    </row>
    <row r="24933">
      <c r="N24933" s="1"/>
      <c r="V24933" s="5"/>
    </row>
    <row r="24934">
      <c r="N24934" s="1"/>
      <c r="V24934" s="5"/>
    </row>
    <row r="24935">
      <c r="N24935" s="1"/>
      <c r="V24935" s="5"/>
    </row>
    <row r="24936">
      <c r="N24936" s="1"/>
      <c r="V24936" s="5"/>
    </row>
    <row r="24937">
      <c r="N24937" s="1"/>
      <c r="V24937" s="5"/>
    </row>
    <row r="24938">
      <c r="N24938" s="1"/>
      <c r="V24938" s="5"/>
    </row>
    <row r="24939">
      <c r="N24939" s="1"/>
      <c r="V24939" s="5"/>
    </row>
    <row r="24940">
      <c r="N24940" s="1"/>
      <c r="V24940" s="5"/>
    </row>
    <row r="24941">
      <c r="N24941" s="1"/>
      <c r="V24941" s="5"/>
    </row>
    <row r="24942">
      <c r="N24942" s="1"/>
      <c r="V24942" s="5"/>
    </row>
    <row r="24943">
      <c r="N24943" s="1"/>
      <c r="V24943" s="5"/>
    </row>
    <row r="24944">
      <c r="N24944" s="1"/>
      <c r="V24944" s="5"/>
    </row>
    <row r="24945">
      <c r="N24945" s="1"/>
      <c r="V24945" s="5"/>
    </row>
    <row r="24946">
      <c r="N24946" s="1"/>
      <c r="V24946" s="5"/>
    </row>
    <row r="24947">
      <c r="N24947" s="1"/>
      <c r="V24947" s="5"/>
    </row>
    <row r="24948">
      <c r="N24948" s="1"/>
      <c r="V24948" s="5"/>
    </row>
    <row r="24949">
      <c r="N24949" s="1"/>
      <c r="V24949" s="5"/>
    </row>
    <row r="24950">
      <c r="N24950" s="1"/>
      <c r="V24950" s="5"/>
    </row>
    <row r="24951">
      <c r="N24951" s="1"/>
      <c r="V24951" s="5"/>
    </row>
    <row r="24952">
      <c r="N24952" s="1"/>
      <c r="V24952" s="5"/>
    </row>
    <row r="24953">
      <c r="N24953" s="1"/>
      <c r="V24953" s="5"/>
    </row>
    <row r="24954">
      <c r="N24954" s="1"/>
      <c r="V24954" s="5"/>
    </row>
    <row r="24955">
      <c r="N24955" s="1"/>
      <c r="V24955" s="5"/>
    </row>
    <row r="24956">
      <c r="N24956" s="1"/>
      <c r="V24956" s="5"/>
    </row>
    <row r="24957">
      <c r="N24957" s="1"/>
      <c r="V24957" s="5"/>
    </row>
    <row r="24958">
      <c r="N24958" s="1"/>
      <c r="V24958" s="5"/>
    </row>
    <row r="24959">
      <c r="N24959" s="1"/>
      <c r="V24959" s="5"/>
    </row>
    <row r="24960">
      <c r="N24960" s="1"/>
      <c r="V24960" s="5"/>
    </row>
    <row r="24961">
      <c r="N24961" s="1"/>
      <c r="V24961" s="5"/>
    </row>
    <row r="24962">
      <c r="N24962" s="1"/>
      <c r="V24962" s="5"/>
    </row>
    <row r="24963">
      <c r="N24963" s="1"/>
      <c r="V24963" s="5"/>
    </row>
    <row r="24964">
      <c r="N24964" s="1"/>
      <c r="V24964" s="5"/>
    </row>
    <row r="24965">
      <c r="N24965" s="1"/>
      <c r="V24965" s="5"/>
    </row>
    <row r="24966">
      <c r="N24966" s="1"/>
      <c r="V24966" s="5"/>
    </row>
    <row r="24967">
      <c r="N24967" s="1"/>
      <c r="V24967" s="5"/>
    </row>
    <row r="24968">
      <c r="N24968" s="1"/>
      <c r="V24968" s="5"/>
    </row>
    <row r="24969">
      <c r="N24969" s="1"/>
      <c r="V24969" s="5"/>
    </row>
    <row r="24970">
      <c r="N24970" s="1"/>
      <c r="V24970" s="5"/>
    </row>
    <row r="24971">
      <c r="N24971" s="1"/>
      <c r="V24971" s="5"/>
    </row>
    <row r="24972">
      <c r="N24972" s="1"/>
      <c r="V24972" s="5"/>
    </row>
    <row r="24973">
      <c r="N24973" s="1"/>
      <c r="V24973" s="5"/>
    </row>
    <row r="24974">
      <c r="N24974" s="1"/>
      <c r="V24974" s="5"/>
    </row>
    <row r="24975">
      <c r="N24975" s="1"/>
      <c r="V24975" s="5"/>
    </row>
    <row r="24976">
      <c r="N24976" s="1"/>
      <c r="V24976" s="5"/>
    </row>
    <row r="24977">
      <c r="N24977" s="1"/>
      <c r="V24977" s="5"/>
    </row>
    <row r="24978">
      <c r="N24978" s="1"/>
      <c r="V24978" s="5"/>
    </row>
    <row r="24979">
      <c r="N24979" s="1"/>
      <c r="V24979" s="5"/>
    </row>
    <row r="24980">
      <c r="N24980" s="1"/>
      <c r="V24980" s="5"/>
    </row>
    <row r="24981">
      <c r="N24981" s="1"/>
      <c r="V24981" s="5"/>
    </row>
    <row r="24982">
      <c r="N24982" s="1"/>
      <c r="V24982" s="5"/>
    </row>
    <row r="24983">
      <c r="N24983" s="1"/>
      <c r="V24983" s="5"/>
    </row>
    <row r="24984">
      <c r="N24984" s="1"/>
      <c r="V24984" s="5"/>
    </row>
    <row r="24985">
      <c r="N24985" s="1"/>
      <c r="V24985" s="5"/>
    </row>
    <row r="24986">
      <c r="N24986" s="1"/>
      <c r="V24986" s="5"/>
    </row>
    <row r="24987">
      <c r="N24987" s="1"/>
      <c r="V24987" s="5"/>
    </row>
    <row r="24988">
      <c r="N24988" s="1"/>
      <c r="V24988" s="5"/>
    </row>
    <row r="24989">
      <c r="N24989" s="1"/>
      <c r="V24989" s="5"/>
    </row>
    <row r="24990">
      <c r="N24990" s="1"/>
      <c r="V24990" s="5"/>
    </row>
    <row r="24991">
      <c r="N24991" s="1"/>
      <c r="V24991" s="5"/>
    </row>
    <row r="24992">
      <c r="N24992" s="1"/>
      <c r="V24992" s="5"/>
    </row>
    <row r="24993">
      <c r="N24993" s="1"/>
      <c r="V24993" s="5"/>
    </row>
    <row r="24994">
      <c r="N24994" s="1"/>
      <c r="V24994" s="5"/>
    </row>
    <row r="24995">
      <c r="N24995" s="1"/>
      <c r="V24995" s="5"/>
    </row>
    <row r="24996">
      <c r="N24996" s="1"/>
      <c r="V24996" s="5"/>
    </row>
    <row r="24997">
      <c r="N24997" s="1"/>
      <c r="V24997" s="5"/>
    </row>
    <row r="24998">
      <c r="N24998" s="1"/>
      <c r="V24998" s="5"/>
    </row>
    <row r="24999">
      <c r="N24999" s="1"/>
      <c r="V24999" s="5"/>
    </row>
    <row r="25000">
      <c r="N25000" s="1"/>
      <c r="V25000" s="5"/>
    </row>
    <row r="25001">
      <c r="N25001" s="1"/>
      <c r="V25001" s="5"/>
    </row>
    <row r="25002">
      <c r="N25002" s="1"/>
      <c r="V25002" s="5"/>
    </row>
    <row r="25003">
      <c r="N25003" s="1"/>
      <c r="V25003" s="5"/>
    </row>
    <row r="25004">
      <c r="N25004" s="1"/>
      <c r="V25004" s="5"/>
    </row>
    <row r="25005">
      <c r="N25005" s="1"/>
      <c r="V25005" s="5"/>
    </row>
    <row r="25006">
      <c r="N25006" s="1"/>
      <c r="V25006" s="5"/>
    </row>
    <row r="25007">
      <c r="N25007" s="1"/>
      <c r="V25007" s="5"/>
    </row>
    <row r="25008">
      <c r="N25008" s="1"/>
      <c r="V25008" s="5"/>
    </row>
    <row r="25009">
      <c r="N25009" s="1"/>
      <c r="V25009" s="5"/>
    </row>
    <row r="25010">
      <c r="N25010" s="1"/>
      <c r="V25010" s="5"/>
    </row>
    <row r="25011">
      <c r="N25011" s="1"/>
      <c r="V25011" s="5"/>
    </row>
    <row r="25012">
      <c r="N25012" s="1"/>
      <c r="V25012" s="5"/>
    </row>
    <row r="25013">
      <c r="N25013" s="1"/>
      <c r="V25013" s="5"/>
    </row>
    <row r="25014">
      <c r="N25014" s="1"/>
      <c r="V25014" s="5"/>
    </row>
    <row r="25015">
      <c r="N25015" s="1"/>
      <c r="V25015" s="5"/>
    </row>
    <row r="25016">
      <c r="N25016" s="1"/>
      <c r="V25016" s="5"/>
    </row>
    <row r="25017">
      <c r="N25017" s="1"/>
      <c r="V25017" s="5"/>
    </row>
    <row r="25018">
      <c r="N25018" s="1"/>
      <c r="V25018" s="5"/>
    </row>
    <row r="25019">
      <c r="N25019" s="1"/>
      <c r="V25019" s="5"/>
    </row>
    <row r="25020">
      <c r="N25020" s="1"/>
      <c r="V25020" s="5"/>
    </row>
    <row r="25021">
      <c r="N25021" s="1"/>
      <c r="V25021" s="5"/>
    </row>
    <row r="25022">
      <c r="N25022" s="1"/>
      <c r="V25022" s="5"/>
    </row>
    <row r="25023">
      <c r="N25023" s="1"/>
      <c r="V25023" s="5"/>
    </row>
    <row r="25024">
      <c r="N25024" s="1"/>
      <c r="V25024" s="5"/>
    </row>
    <row r="25025">
      <c r="N25025" s="1"/>
      <c r="V25025" s="5"/>
    </row>
    <row r="25026">
      <c r="N25026" s="1"/>
      <c r="V25026" s="5"/>
    </row>
    <row r="25027">
      <c r="N25027" s="1"/>
      <c r="V25027" s="5"/>
    </row>
    <row r="25028">
      <c r="N25028" s="1"/>
      <c r="V25028" s="5"/>
    </row>
    <row r="25029">
      <c r="N25029" s="1"/>
      <c r="V25029" s="5"/>
    </row>
    <row r="25030">
      <c r="N25030" s="1"/>
      <c r="V25030" s="5"/>
    </row>
    <row r="25031">
      <c r="N25031" s="1"/>
      <c r="V25031" s="5"/>
    </row>
    <row r="25032">
      <c r="N25032" s="1"/>
      <c r="V25032" s="5"/>
    </row>
    <row r="25033">
      <c r="N25033" s="1"/>
      <c r="V25033" s="5"/>
    </row>
    <row r="25034">
      <c r="N25034" s="1"/>
      <c r="V25034" s="5"/>
    </row>
    <row r="25035">
      <c r="N25035" s="1"/>
      <c r="V25035" s="5"/>
    </row>
    <row r="25036">
      <c r="N25036" s="1"/>
      <c r="V25036" s="5"/>
    </row>
    <row r="25037">
      <c r="N25037" s="1"/>
      <c r="V25037" s="5"/>
    </row>
    <row r="25038">
      <c r="N25038" s="1"/>
      <c r="V25038" s="5"/>
    </row>
    <row r="25039">
      <c r="N25039" s="1"/>
      <c r="V25039" s="5"/>
    </row>
    <row r="25040">
      <c r="N25040" s="1"/>
      <c r="V25040" s="5"/>
    </row>
    <row r="25041">
      <c r="N25041" s="1"/>
      <c r="V25041" s="5"/>
    </row>
    <row r="25042">
      <c r="N25042" s="1"/>
      <c r="V25042" s="5"/>
    </row>
    <row r="25043">
      <c r="N25043" s="1"/>
      <c r="V25043" s="5"/>
    </row>
    <row r="25044">
      <c r="N25044" s="1"/>
      <c r="V25044" s="5"/>
    </row>
    <row r="25045">
      <c r="N25045" s="1"/>
      <c r="V25045" s="5"/>
    </row>
    <row r="25046">
      <c r="N25046" s="1"/>
      <c r="V25046" s="5"/>
    </row>
    <row r="25047">
      <c r="N25047" s="1"/>
      <c r="V25047" s="5"/>
    </row>
    <row r="25048">
      <c r="N25048" s="1"/>
      <c r="V25048" s="5"/>
    </row>
    <row r="25049">
      <c r="N25049" s="1"/>
      <c r="V25049" s="5"/>
    </row>
    <row r="25050">
      <c r="N25050" s="1"/>
      <c r="V25050" s="5"/>
    </row>
    <row r="25051">
      <c r="N25051" s="1"/>
      <c r="V25051" s="5"/>
    </row>
    <row r="25052">
      <c r="N25052" s="1"/>
      <c r="V25052" s="5"/>
    </row>
    <row r="25053">
      <c r="N25053" s="1"/>
      <c r="V25053" s="5"/>
    </row>
    <row r="25054">
      <c r="N25054" s="1"/>
      <c r="V25054" s="5"/>
    </row>
    <row r="25055">
      <c r="N25055" s="1"/>
      <c r="V25055" s="5"/>
    </row>
    <row r="25056">
      <c r="N25056" s="1"/>
      <c r="V25056" s="5"/>
    </row>
    <row r="25057">
      <c r="N25057" s="1"/>
      <c r="V25057" s="5"/>
    </row>
    <row r="25058">
      <c r="N25058" s="1"/>
      <c r="V25058" s="5"/>
    </row>
    <row r="25059">
      <c r="N25059" s="1"/>
      <c r="V25059" s="5"/>
    </row>
    <row r="25060">
      <c r="N25060" s="1"/>
      <c r="V25060" s="5"/>
    </row>
    <row r="25061">
      <c r="N25061" s="1"/>
      <c r="V25061" s="5"/>
    </row>
    <row r="25062">
      <c r="N25062" s="1"/>
      <c r="V25062" s="5"/>
    </row>
    <row r="25063">
      <c r="N25063" s="1"/>
      <c r="V25063" s="5"/>
    </row>
    <row r="25064">
      <c r="N25064" s="1"/>
      <c r="V25064" s="5"/>
    </row>
    <row r="25065">
      <c r="N25065" s="1"/>
      <c r="V25065" s="5"/>
    </row>
    <row r="25066">
      <c r="N25066" s="1"/>
      <c r="V25066" s="5"/>
    </row>
    <row r="25067">
      <c r="N25067" s="1"/>
      <c r="V25067" s="5"/>
    </row>
    <row r="25068">
      <c r="N25068" s="1"/>
      <c r="V25068" s="5"/>
    </row>
    <row r="25069">
      <c r="N25069" s="1"/>
      <c r="V25069" s="5"/>
    </row>
    <row r="25070">
      <c r="N25070" s="1"/>
      <c r="V25070" s="5"/>
    </row>
    <row r="25071">
      <c r="N25071" s="1"/>
      <c r="V25071" s="5"/>
    </row>
    <row r="25072">
      <c r="N25072" s="1"/>
      <c r="V25072" s="5"/>
    </row>
    <row r="25073">
      <c r="N25073" s="1"/>
      <c r="V25073" s="5"/>
    </row>
    <row r="25074">
      <c r="N25074" s="1"/>
      <c r="V25074" s="5"/>
    </row>
    <row r="25075">
      <c r="N25075" s="1"/>
      <c r="V25075" s="5"/>
    </row>
    <row r="25076">
      <c r="N25076" s="1"/>
      <c r="V25076" s="5"/>
    </row>
    <row r="25077">
      <c r="N25077" s="1"/>
      <c r="V25077" s="5"/>
    </row>
    <row r="25078">
      <c r="N25078" s="1"/>
      <c r="V25078" s="5"/>
    </row>
    <row r="25079">
      <c r="N25079" s="1"/>
      <c r="V25079" s="5"/>
    </row>
    <row r="25080">
      <c r="N25080" s="1"/>
      <c r="V25080" s="5"/>
    </row>
    <row r="25081">
      <c r="N25081" s="1"/>
      <c r="V25081" s="5"/>
    </row>
    <row r="25082">
      <c r="N25082" s="1"/>
      <c r="V25082" s="5"/>
    </row>
    <row r="25083">
      <c r="N25083" s="1"/>
      <c r="V25083" s="5"/>
    </row>
    <row r="25084">
      <c r="N25084" s="1"/>
      <c r="V25084" s="5"/>
    </row>
    <row r="25085">
      <c r="N25085" s="1"/>
      <c r="V25085" s="5"/>
    </row>
    <row r="25086">
      <c r="N25086" s="1"/>
      <c r="V25086" s="5"/>
    </row>
    <row r="25087">
      <c r="N25087" s="1"/>
      <c r="V25087" s="5"/>
    </row>
    <row r="25088">
      <c r="N25088" s="1"/>
      <c r="V25088" s="5"/>
    </row>
    <row r="25089">
      <c r="N25089" s="1"/>
      <c r="V25089" s="5"/>
    </row>
    <row r="25090">
      <c r="N25090" s="1"/>
      <c r="V25090" s="5"/>
    </row>
    <row r="25091">
      <c r="N25091" s="1"/>
      <c r="V25091" s="5"/>
    </row>
    <row r="25092">
      <c r="N25092" s="1"/>
      <c r="V25092" s="5"/>
    </row>
    <row r="25093">
      <c r="N25093" s="1"/>
      <c r="V25093" s="5"/>
    </row>
    <row r="25094">
      <c r="N25094" s="1"/>
      <c r="V25094" s="5"/>
    </row>
    <row r="25095">
      <c r="N25095" s="1"/>
      <c r="V25095" s="5"/>
    </row>
    <row r="25096">
      <c r="N25096" s="1"/>
      <c r="V25096" s="5"/>
    </row>
    <row r="25097">
      <c r="N25097" s="1"/>
      <c r="V25097" s="5"/>
    </row>
    <row r="25098">
      <c r="N25098" s="1"/>
      <c r="V25098" s="5"/>
    </row>
    <row r="25099">
      <c r="N25099" s="1"/>
      <c r="V25099" s="5"/>
    </row>
    <row r="25100">
      <c r="N25100" s="1"/>
      <c r="V25100" s="5"/>
    </row>
    <row r="25101">
      <c r="N25101" s="1"/>
      <c r="V25101" s="5"/>
    </row>
    <row r="25102">
      <c r="N25102" s="1"/>
      <c r="V25102" s="5"/>
    </row>
    <row r="25103">
      <c r="N25103" s="1"/>
      <c r="V25103" s="5"/>
    </row>
    <row r="25104">
      <c r="N25104" s="1"/>
      <c r="V25104" s="5"/>
    </row>
    <row r="25105">
      <c r="N25105" s="1"/>
      <c r="V25105" s="5"/>
    </row>
    <row r="25106">
      <c r="N25106" s="1"/>
      <c r="V25106" s="5"/>
    </row>
    <row r="25107">
      <c r="N25107" s="1"/>
      <c r="V25107" s="5"/>
    </row>
    <row r="25108">
      <c r="N25108" s="1"/>
      <c r="V25108" s="5"/>
    </row>
    <row r="25109">
      <c r="N25109" s="1"/>
      <c r="V25109" s="5"/>
    </row>
    <row r="25110">
      <c r="N25110" s="1"/>
      <c r="V25110" s="5"/>
    </row>
    <row r="25111">
      <c r="N25111" s="1"/>
      <c r="V25111" s="5"/>
    </row>
    <row r="25112">
      <c r="N25112" s="1"/>
      <c r="V25112" s="5"/>
    </row>
    <row r="25113">
      <c r="N25113" s="1"/>
      <c r="V25113" s="5"/>
    </row>
    <row r="25114">
      <c r="N25114" s="1"/>
      <c r="V25114" s="5"/>
    </row>
    <row r="25115">
      <c r="N25115" s="1"/>
      <c r="V25115" s="5"/>
    </row>
    <row r="25116">
      <c r="N25116" s="1"/>
      <c r="V25116" s="5"/>
    </row>
    <row r="25117">
      <c r="N25117" s="1"/>
      <c r="V25117" s="5"/>
    </row>
    <row r="25118">
      <c r="N25118" s="1"/>
      <c r="V25118" s="5"/>
    </row>
    <row r="25119">
      <c r="N25119" s="1"/>
      <c r="V25119" s="5"/>
    </row>
    <row r="25120">
      <c r="N25120" s="1"/>
      <c r="V25120" s="5"/>
    </row>
    <row r="25121">
      <c r="N25121" s="1"/>
      <c r="V25121" s="5"/>
    </row>
    <row r="25122">
      <c r="N25122" s="1"/>
      <c r="V25122" s="5"/>
    </row>
    <row r="25123">
      <c r="N25123" s="1"/>
      <c r="V25123" s="5"/>
    </row>
    <row r="25124">
      <c r="N25124" s="1"/>
      <c r="V25124" s="5"/>
    </row>
    <row r="25125">
      <c r="N25125" s="1"/>
      <c r="V25125" s="5"/>
    </row>
    <row r="25126">
      <c r="N25126" s="1"/>
      <c r="V25126" s="5"/>
    </row>
    <row r="25127">
      <c r="N25127" s="1"/>
      <c r="V25127" s="5"/>
    </row>
    <row r="25128">
      <c r="N25128" s="1"/>
      <c r="V25128" s="5"/>
    </row>
    <row r="25129">
      <c r="N25129" s="1"/>
      <c r="V25129" s="5"/>
    </row>
    <row r="25130">
      <c r="N25130" s="1"/>
      <c r="V25130" s="5"/>
    </row>
    <row r="25131">
      <c r="N25131" s="1"/>
      <c r="V25131" s="5"/>
    </row>
    <row r="25132">
      <c r="N25132" s="1"/>
      <c r="V25132" s="5"/>
    </row>
    <row r="25133">
      <c r="N25133" s="1"/>
      <c r="V25133" s="5"/>
    </row>
    <row r="25134">
      <c r="N25134" s="1"/>
      <c r="V25134" s="5"/>
    </row>
    <row r="25135">
      <c r="N25135" s="1"/>
      <c r="V25135" s="5"/>
    </row>
    <row r="25136">
      <c r="N25136" s="1"/>
      <c r="V25136" s="5"/>
    </row>
    <row r="25137">
      <c r="N25137" s="1"/>
      <c r="V25137" s="5"/>
    </row>
    <row r="25138">
      <c r="N25138" s="1"/>
      <c r="V25138" s="5"/>
    </row>
    <row r="25139">
      <c r="N25139" s="1"/>
      <c r="V25139" s="5"/>
    </row>
    <row r="25140">
      <c r="N25140" s="1"/>
      <c r="V25140" s="5"/>
    </row>
    <row r="25141">
      <c r="N25141" s="1"/>
      <c r="V25141" s="5"/>
    </row>
    <row r="25142">
      <c r="N25142" s="1"/>
      <c r="V25142" s="5"/>
    </row>
    <row r="25143">
      <c r="N25143" s="1"/>
      <c r="V25143" s="5"/>
    </row>
    <row r="25144">
      <c r="N25144" s="1"/>
      <c r="V25144" s="5"/>
    </row>
    <row r="25145">
      <c r="N25145" s="1"/>
      <c r="V25145" s="5"/>
    </row>
    <row r="25146">
      <c r="N25146" s="1"/>
      <c r="V25146" s="5"/>
    </row>
    <row r="25147">
      <c r="N25147" s="1"/>
      <c r="V25147" s="5"/>
    </row>
    <row r="25148">
      <c r="N25148" s="1"/>
      <c r="V25148" s="5"/>
    </row>
    <row r="25149">
      <c r="N25149" s="1"/>
      <c r="V25149" s="5"/>
    </row>
    <row r="25150">
      <c r="N25150" s="1"/>
      <c r="V25150" s="5"/>
    </row>
    <row r="25151">
      <c r="N25151" s="1"/>
      <c r="V25151" s="5"/>
    </row>
    <row r="25152">
      <c r="N25152" s="1"/>
      <c r="V25152" s="5"/>
    </row>
    <row r="25153">
      <c r="N25153" s="1"/>
      <c r="V25153" s="5"/>
    </row>
    <row r="25154">
      <c r="N25154" s="1"/>
      <c r="V25154" s="5"/>
    </row>
    <row r="25155">
      <c r="N25155" s="1"/>
      <c r="V25155" s="5"/>
    </row>
    <row r="25156">
      <c r="N25156" s="1"/>
      <c r="V25156" s="5"/>
    </row>
    <row r="25157">
      <c r="N25157" s="1"/>
      <c r="V25157" s="5"/>
    </row>
    <row r="25158">
      <c r="N25158" s="1"/>
      <c r="V25158" s="5"/>
    </row>
    <row r="25159">
      <c r="N25159" s="1"/>
      <c r="V25159" s="5"/>
    </row>
    <row r="25160">
      <c r="N25160" s="1"/>
      <c r="V25160" s="5"/>
    </row>
    <row r="25161">
      <c r="N25161" s="1"/>
      <c r="V25161" s="5"/>
    </row>
    <row r="25162">
      <c r="N25162" s="1"/>
      <c r="V25162" s="5"/>
    </row>
    <row r="25163">
      <c r="N25163" s="1"/>
      <c r="V25163" s="5"/>
    </row>
    <row r="25164">
      <c r="N25164" s="1"/>
      <c r="V25164" s="5"/>
    </row>
    <row r="25165">
      <c r="N25165" s="1"/>
      <c r="V25165" s="5"/>
    </row>
    <row r="25166">
      <c r="N25166" s="1"/>
      <c r="V25166" s="5"/>
    </row>
    <row r="25167">
      <c r="N25167" s="1"/>
      <c r="V25167" s="5"/>
    </row>
    <row r="25168">
      <c r="N25168" s="1"/>
      <c r="V25168" s="5"/>
    </row>
    <row r="25169">
      <c r="N25169" s="1"/>
      <c r="V25169" s="5"/>
    </row>
    <row r="25170">
      <c r="N25170" s="1"/>
      <c r="V25170" s="5"/>
    </row>
    <row r="25171">
      <c r="N25171" s="1"/>
      <c r="V25171" s="5"/>
    </row>
    <row r="25172">
      <c r="N25172" s="1"/>
      <c r="V25172" s="5"/>
    </row>
    <row r="25173">
      <c r="N25173" s="1"/>
      <c r="V25173" s="5"/>
    </row>
    <row r="25174">
      <c r="N25174" s="1"/>
      <c r="V25174" s="5"/>
    </row>
    <row r="25175">
      <c r="N25175" s="1"/>
      <c r="V25175" s="5"/>
    </row>
    <row r="25176">
      <c r="N25176" s="1"/>
      <c r="V25176" s="5"/>
    </row>
    <row r="25177">
      <c r="N25177" s="1"/>
      <c r="V25177" s="5"/>
    </row>
    <row r="25178">
      <c r="N25178" s="1"/>
      <c r="V25178" s="5"/>
    </row>
    <row r="25179">
      <c r="N25179" s="1"/>
      <c r="V25179" s="5"/>
    </row>
    <row r="25180">
      <c r="N25180" s="1"/>
      <c r="V25180" s="5"/>
    </row>
    <row r="25181">
      <c r="N25181" s="1"/>
      <c r="V25181" s="5"/>
    </row>
    <row r="25182">
      <c r="N25182" s="1"/>
      <c r="V25182" s="5"/>
    </row>
    <row r="25183">
      <c r="N25183" s="1"/>
      <c r="V25183" s="5"/>
    </row>
    <row r="25184">
      <c r="N25184" s="1"/>
      <c r="V25184" s="5"/>
    </row>
    <row r="25185">
      <c r="N25185" s="1"/>
      <c r="V25185" s="5"/>
    </row>
    <row r="25186">
      <c r="N25186" s="1"/>
      <c r="V25186" s="5"/>
    </row>
    <row r="25187">
      <c r="N25187" s="1"/>
      <c r="V25187" s="5"/>
    </row>
    <row r="25188">
      <c r="N25188" s="1"/>
      <c r="V25188" s="5"/>
    </row>
    <row r="25189">
      <c r="N25189" s="1"/>
      <c r="V25189" s="5"/>
    </row>
    <row r="25190">
      <c r="N25190" s="1"/>
      <c r="V25190" s="5"/>
    </row>
    <row r="25191">
      <c r="N25191" s="1"/>
      <c r="V25191" s="5"/>
    </row>
    <row r="25192">
      <c r="N25192" s="1"/>
      <c r="V25192" s="5"/>
    </row>
    <row r="25193">
      <c r="N25193" s="1"/>
      <c r="V25193" s="5"/>
    </row>
    <row r="25194">
      <c r="N25194" s="1"/>
      <c r="V25194" s="5"/>
    </row>
    <row r="25195">
      <c r="N25195" s="1"/>
      <c r="V25195" s="5"/>
    </row>
    <row r="25196">
      <c r="N25196" s="1"/>
      <c r="V25196" s="5"/>
    </row>
    <row r="25197">
      <c r="N25197" s="1"/>
      <c r="V25197" s="5"/>
    </row>
    <row r="25198">
      <c r="N25198" s="1"/>
      <c r="V25198" s="5"/>
    </row>
    <row r="25199">
      <c r="N25199" s="1"/>
      <c r="V25199" s="5"/>
    </row>
    <row r="25200">
      <c r="N25200" s="1"/>
      <c r="V25200" s="5"/>
    </row>
    <row r="25201">
      <c r="N25201" s="1"/>
      <c r="V25201" s="5"/>
    </row>
    <row r="25202">
      <c r="N25202" s="1"/>
      <c r="V25202" s="5"/>
    </row>
    <row r="25203">
      <c r="N25203" s="1"/>
      <c r="V25203" s="5"/>
    </row>
    <row r="25204">
      <c r="N25204" s="1"/>
      <c r="V25204" s="5"/>
    </row>
    <row r="25205">
      <c r="N25205" s="1"/>
      <c r="V25205" s="5"/>
    </row>
    <row r="25206">
      <c r="N25206" s="1"/>
      <c r="V25206" s="5"/>
    </row>
    <row r="25207">
      <c r="N25207" s="1"/>
      <c r="V25207" s="5"/>
    </row>
    <row r="25208">
      <c r="N25208" s="1"/>
      <c r="V25208" s="5"/>
    </row>
    <row r="25209">
      <c r="N25209" s="1"/>
      <c r="V25209" s="5"/>
    </row>
    <row r="25210">
      <c r="N25210" s="1"/>
      <c r="V25210" s="5"/>
    </row>
    <row r="25211">
      <c r="N25211" s="1"/>
      <c r="V25211" s="5"/>
    </row>
    <row r="25212">
      <c r="N25212" s="1"/>
      <c r="V25212" s="5"/>
    </row>
    <row r="25213">
      <c r="N25213" s="1"/>
      <c r="V25213" s="5"/>
    </row>
    <row r="25214">
      <c r="N25214" s="1"/>
      <c r="V25214" s="5"/>
    </row>
    <row r="25215">
      <c r="N25215" s="1"/>
      <c r="V25215" s="5"/>
    </row>
    <row r="25216">
      <c r="N25216" s="1"/>
      <c r="V25216" s="5"/>
    </row>
    <row r="25217">
      <c r="N25217" s="1"/>
      <c r="V25217" s="5"/>
    </row>
    <row r="25218">
      <c r="N25218" s="1"/>
      <c r="V25218" s="5"/>
    </row>
    <row r="25219">
      <c r="N25219" s="1"/>
      <c r="V25219" s="5"/>
    </row>
    <row r="25220">
      <c r="N25220" s="1"/>
      <c r="V25220" s="5"/>
    </row>
    <row r="25221">
      <c r="N25221" s="1"/>
      <c r="V25221" s="5"/>
    </row>
    <row r="25222">
      <c r="N25222" s="1"/>
      <c r="V25222" s="5"/>
    </row>
    <row r="25223">
      <c r="N25223" s="1"/>
      <c r="V25223" s="5"/>
    </row>
    <row r="25224">
      <c r="N25224" s="1"/>
      <c r="V25224" s="5"/>
    </row>
    <row r="25225">
      <c r="N25225" s="1"/>
      <c r="V25225" s="5"/>
    </row>
    <row r="25226">
      <c r="N25226" s="1"/>
      <c r="V25226" s="5"/>
    </row>
    <row r="25227">
      <c r="N25227" s="1"/>
      <c r="V25227" s="5"/>
    </row>
    <row r="25228">
      <c r="N25228" s="1"/>
      <c r="V25228" s="5"/>
    </row>
    <row r="25229">
      <c r="N25229" s="1"/>
      <c r="V25229" s="5"/>
    </row>
    <row r="25230">
      <c r="N25230" s="1"/>
      <c r="V25230" s="5"/>
    </row>
    <row r="25231">
      <c r="N25231" s="1"/>
      <c r="V25231" s="5"/>
    </row>
    <row r="25232">
      <c r="N25232" s="1"/>
      <c r="V25232" s="5"/>
    </row>
    <row r="25233">
      <c r="N25233" s="1"/>
      <c r="V25233" s="5"/>
    </row>
    <row r="25234">
      <c r="N25234" s="1"/>
      <c r="V25234" s="5"/>
    </row>
    <row r="25235">
      <c r="N25235" s="1"/>
      <c r="V25235" s="5"/>
    </row>
    <row r="25236">
      <c r="N25236" s="1"/>
      <c r="V25236" s="5"/>
    </row>
    <row r="25237">
      <c r="N25237" s="1"/>
      <c r="V25237" s="5"/>
    </row>
    <row r="25238">
      <c r="N25238" s="1"/>
      <c r="V25238" s="5"/>
    </row>
    <row r="25239">
      <c r="N25239" s="1"/>
      <c r="V25239" s="5"/>
    </row>
    <row r="25240">
      <c r="N25240" s="1"/>
      <c r="V25240" s="5"/>
    </row>
    <row r="25241">
      <c r="N25241" s="1"/>
      <c r="V25241" s="5"/>
    </row>
    <row r="25242">
      <c r="N25242" s="1"/>
      <c r="V25242" s="5"/>
    </row>
    <row r="25243">
      <c r="N25243" s="1"/>
      <c r="V25243" s="5"/>
    </row>
    <row r="25244">
      <c r="N25244" s="1"/>
      <c r="V25244" s="5"/>
    </row>
    <row r="25245">
      <c r="N25245" s="1"/>
      <c r="V25245" s="5"/>
    </row>
    <row r="25246">
      <c r="N25246" s="1"/>
      <c r="V25246" s="5"/>
    </row>
    <row r="25247">
      <c r="N25247" s="1"/>
      <c r="V25247" s="5"/>
    </row>
    <row r="25248">
      <c r="N25248" s="1"/>
      <c r="V25248" s="5"/>
    </row>
    <row r="25249">
      <c r="N25249" s="1"/>
      <c r="V25249" s="5"/>
    </row>
    <row r="25250">
      <c r="N25250" s="1"/>
      <c r="V25250" s="5"/>
    </row>
    <row r="25251">
      <c r="N25251" s="1"/>
      <c r="V25251" s="5"/>
    </row>
    <row r="25252">
      <c r="N25252" s="1"/>
      <c r="V25252" s="5"/>
    </row>
    <row r="25253">
      <c r="N25253" s="1"/>
      <c r="V25253" s="5"/>
    </row>
    <row r="25254">
      <c r="N25254" s="1"/>
      <c r="V25254" s="5"/>
    </row>
    <row r="25255">
      <c r="N25255" s="1"/>
      <c r="V25255" s="5"/>
    </row>
    <row r="25256">
      <c r="N25256" s="1"/>
      <c r="V25256" s="5"/>
    </row>
    <row r="25257">
      <c r="N25257" s="1"/>
      <c r="V25257" s="5"/>
    </row>
    <row r="25258">
      <c r="N25258" s="1"/>
      <c r="V25258" s="5"/>
    </row>
    <row r="25259">
      <c r="N25259" s="1"/>
      <c r="V25259" s="5"/>
    </row>
    <row r="25260">
      <c r="N25260" s="1"/>
      <c r="V25260" s="5"/>
    </row>
    <row r="25261">
      <c r="N25261" s="1"/>
      <c r="V25261" s="5"/>
    </row>
    <row r="25262">
      <c r="N25262" s="1"/>
      <c r="V25262" s="5"/>
    </row>
    <row r="25263">
      <c r="N25263" s="1"/>
      <c r="V25263" s="5"/>
    </row>
    <row r="25264">
      <c r="N25264" s="1"/>
      <c r="V25264" s="5"/>
    </row>
    <row r="25265">
      <c r="N25265" s="1"/>
      <c r="V25265" s="5"/>
    </row>
    <row r="25266">
      <c r="N25266" s="1"/>
      <c r="V25266" s="5"/>
    </row>
    <row r="25267">
      <c r="N25267" s="1"/>
      <c r="V25267" s="5"/>
    </row>
    <row r="25268">
      <c r="N25268" s="1"/>
      <c r="V25268" s="5"/>
    </row>
    <row r="25269">
      <c r="N25269" s="1"/>
      <c r="V25269" s="5"/>
    </row>
    <row r="25270">
      <c r="N25270" s="1"/>
      <c r="V25270" s="5"/>
    </row>
    <row r="25271">
      <c r="N25271" s="1"/>
      <c r="V25271" s="5"/>
    </row>
    <row r="25272">
      <c r="N25272" s="1"/>
      <c r="V25272" s="5"/>
    </row>
    <row r="25273">
      <c r="N25273" s="1"/>
      <c r="V25273" s="5"/>
    </row>
    <row r="25274">
      <c r="N25274" s="1"/>
      <c r="V25274" s="5"/>
    </row>
    <row r="25275">
      <c r="N25275" s="1"/>
      <c r="V25275" s="5"/>
    </row>
    <row r="25276">
      <c r="N25276" s="1"/>
      <c r="V25276" s="5"/>
    </row>
    <row r="25277">
      <c r="N25277" s="1"/>
      <c r="V25277" s="5"/>
    </row>
    <row r="25278">
      <c r="N25278" s="1"/>
      <c r="V25278" s="5"/>
    </row>
    <row r="25279">
      <c r="N25279" s="1"/>
      <c r="V25279" s="5"/>
    </row>
    <row r="25280">
      <c r="N25280" s="1"/>
      <c r="V25280" s="5"/>
    </row>
    <row r="25281">
      <c r="N25281" s="1"/>
      <c r="V25281" s="5"/>
    </row>
    <row r="25282">
      <c r="N25282" s="1"/>
      <c r="V25282" s="5"/>
    </row>
    <row r="25283">
      <c r="N25283" s="1"/>
      <c r="V25283" s="5"/>
    </row>
    <row r="25284">
      <c r="N25284" s="1"/>
      <c r="V25284" s="5"/>
    </row>
    <row r="25285">
      <c r="N25285" s="1"/>
      <c r="V25285" s="5"/>
    </row>
    <row r="25286">
      <c r="N25286" s="1"/>
      <c r="V25286" s="5"/>
    </row>
    <row r="25287">
      <c r="N25287" s="1"/>
      <c r="V25287" s="5"/>
    </row>
    <row r="25288">
      <c r="N25288" s="1"/>
      <c r="V25288" s="5"/>
    </row>
    <row r="25289">
      <c r="N25289" s="1"/>
      <c r="V25289" s="5"/>
    </row>
    <row r="25290">
      <c r="N25290" s="1"/>
      <c r="V25290" s="5"/>
    </row>
    <row r="25291">
      <c r="N25291" s="1"/>
      <c r="V25291" s="5"/>
    </row>
    <row r="25292">
      <c r="N25292" s="1"/>
      <c r="V25292" s="5"/>
    </row>
    <row r="25293">
      <c r="N25293" s="1"/>
      <c r="V25293" s="5"/>
    </row>
    <row r="25294">
      <c r="N25294" s="1"/>
      <c r="V25294" s="5"/>
    </row>
    <row r="25295">
      <c r="N25295" s="1"/>
      <c r="V25295" s="5"/>
    </row>
    <row r="25296">
      <c r="N25296" s="1"/>
      <c r="V25296" s="5"/>
    </row>
    <row r="25297">
      <c r="N25297" s="1"/>
      <c r="V25297" s="5"/>
    </row>
    <row r="25298">
      <c r="N25298" s="1"/>
      <c r="V25298" s="5"/>
    </row>
    <row r="25299">
      <c r="N25299" s="1"/>
      <c r="V25299" s="5"/>
    </row>
    <row r="25300">
      <c r="N25300" s="1"/>
      <c r="V25300" s="5"/>
    </row>
    <row r="25301">
      <c r="N25301" s="1"/>
      <c r="V25301" s="5"/>
    </row>
    <row r="25302">
      <c r="N25302" s="1"/>
      <c r="V25302" s="5"/>
    </row>
    <row r="25303">
      <c r="N25303" s="1"/>
      <c r="V25303" s="5"/>
    </row>
    <row r="25304">
      <c r="N25304" s="1"/>
      <c r="V25304" s="5"/>
    </row>
    <row r="25305">
      <c r="N25305" s="1"/>
      <c r="V25305" s="5"/>
    </row>
    <row r="25306">
      <c r="N25306" s="1"/>
      <c r="V25306" s="5"/>
    </row>
    <row r="25307">
      <c r="N25307" s="1"/>
      <c r="V25307" s="5"/>
    </row>
    <row r="25308">
      <c r="N25308" s="1"/>
      <c r="V25308" s="5"/>
    </row>
    <row r="25309">
      <c r="N25309" s="1"/>
      <c r="V25309" s="5"/>
    </row>
    <row r="25310">
      <c r="N25310" s="1"/>
      <c r="V25310" s="5"/>
    </row>
    <row r="25311">
      <c r="N25311" s="1"/>
      <c r="V25311" s="5"/>
    </row>
    <row r="25312">
      <c r="N25312" s="1"/>
      <c r="V25312" s="5"/>
    </row>
    <row r="25313">
      <c r="N25313" s="1"/>
      <c r="V25313" s="5"/>
    </row>
    <row r="25314">
      <c r="N25314" s="1"/>
      <c r="V25314" s="5"/>
    </row>
    <row r="25315">
      <c r="N25315" s="1"/>
      <c r="V25315" s="5"/>
    </row>
    <row r="25316">
      <c r="N25316" s="1"/>
      <c r="V25316" s="5"/>
    </row>
    <row r="25317">
      <c r="N25317" s="1"/>
      <c r="V25317" s="5"/>
    </row>
    <row r="25318">
      <c r="N25318" s="1"/>
      <c r="V25318" s="5"/>
    </row>
    <row r="25319">
      <c r="N25319" s="1"/>
      <c r="V25319" s="5"/>
    </row>
    <row r="25320">
      <c r="N25320" s="1"/>
      <c r="V25320" s="5"/>
    </row>
    <row r="25321">
      <c r="N25321" s="1"/>
      <c r="V25321" s="5"/>
    </row>
    <row r="25322">
      <c r="N25322" s="1"/>
      <c r="V25322" s="5"/>
    </row>
    <row r="25323">
      <c r="N25323" s="1"/>
      <c r="V25323" s="5"/>
    </row>
    <row r="25324">
      <c r="N25324" s="1"/>
      <c r="V25324" s="5"/>
    </row>
    <row r="25325">
      <c r="N25325" s="1"/>
      <c r="V25325" s="5"/>
    </row>
    <row r="25326">
      <c r="N25326" s="1"/>
      <c r="V25326" s="5"/>
    </row>
    <row r="25327">
      <c r="N25327" s="1"/>
      <c r="V25327" s="5"/>
    </row>
    <row r="25328">
      <c r="N25328" s="1"/>
      <c r="V25328" s="5"/>
    </row>
    <row r="25329">
      <c r="N25329" s="1"/>
      <c r="V25329" s="5"/>
    </row>
    <row r="25330">
      <c r="N25330" s="1"/>
      <c r="V25330" s="5"/>
    </row>
    <row r="25331">
      <c r="N25331" s="1"/>
      <c r="V25331" s="5"/>
    </row>
    <row r="25332">
      <c r="N25332" s="1"/>
      <c r="V25332" s="5"/>
    </row>
    <row r="25333">
      <c r="N25333" s="1"/>
      <c r="V25333" s="5"/>
    </row>
    <row r="25334">
      <c r="N25334" s="1"/>
      <c r="V25334" s="5"/>
    </row>
    <row r="25335">
      <c r="N25335" s="1"/>
      <c r="V25335" s="5"/>
    </row>
    <row r="25336">
      <c r="N25336" s="1"/>
      <c r="V25336" s="5"/>
    </row>
    <row r="25337">
      <c r="N25337" s="1"/>
      <c r="V25337" s="5"/>
    </row>
    <row r="25338">
      <c r="N25338" s="1"/>
      <c r="V25338" s="5"/>
    </row>
    <row r="25339">
      <c r="N25339" s="1"/>
      <c r="V25339" s="5"/>
    </row>
    <row r="25340">
      <c r="N25340" s="1"/>
      <c r="V25340" s="5"/>
    </row>
    <row r="25341">
      <c r="N25341" s="1"/>
      <c r="V25341" s="5"/>
    </row>
    <row r="25342">
      <c r="N25342" s="1"/>
      <c r="V25342" s="5"/>
    </row>
    <row r="25343">
      <c r="N25343" s="1"/>
      <c r="V25343" s="5"/>
    </row>
    <row r="25344">
      <c r="N25344" s="1"/>
      <c r="V25344" s="5"/>
    </row>
    <row r="25345">
      <c r="N25345" s="1"/>
      <c r="V25345" s="5"/>
    </row>
    <row r="25346">
      <c r="N25346" s="1"/>
      <c r="V25346" s="5"/>
    </row>
    <row r="25347">
      <c r="N25347" s="1"/>
      <c r="V25347" s="5"/>
    </row>
    <row r="25348">
      <c r="N25348" s="1"/>
      <c r="V25348" s="5"/>
    </row>
    <row r="25349">
      <c r="N25349" s="1"/>
      <c r="V25349" s="5"/>
    </row>
    <row r="25350">
      <c r="N25350" s="1"/>
      <c r="V25350" s="5"/>
    </row>
    <row r="25351">
      <c r="N25351" s="1"/>
      <c r="V25351" s="5"/>
    </row>
    <row r="25352">
      <c r="N25352" s="1"/>
      <c r="V25352" s="5"/>
    </row>
    <row r="25353">
      <c r="N25353" s="1"/>
      <c r="V25353" s="5"/>
    </row>
    <row r="25354">
      <c r="N25354" s="1"/>
      <c r="V25354" s="5"/>
    </row>
    <row r="25355">
      <c r="N25355" s="1"/>
      <c r="V25355" s="5"/>
    </row>
    <row r="25356">
      <c r="N25356" s="1"/>
      <c r="V25356" s="5"/>
    </row>
    <row r="25357">
      <c r="N25357" s="1"/>
      <c r="V25357" s="5"/>
    </row>
    <row r="25358">
      <c r="N25358" s="1"/>
      <c r="V25358" s="5"/>
    </row>
    <row r="25359">
      <c r="N25359" s="1"/>
      <c r="V25359" s="5"/>
    </row>
    <row r="25360">
      <c r="N25360" s="1"/>
      <c r="V25360" s="5"/>
    </row>
    <row r="25361">
      <c r="N25361" s="1"/>
      <c r="V25361" s="5"/>
    </row>
    <row r="25362">
      <c r="N25362" s="1"/>
      <c r="V25362" s="5"/>
    </row>
    <row r="25363">
      <c r="N25363" s="1"/>
      <c r="V25363" s="5"/>
    </row>
    <row r="25364">
      <c r="N25364" s="1"/>
      <c r="V25364" s="5"/>
    </row>
    <row r="25365">
      <c r="N25365" s="1"/>
      <c r="V25365" s="5"/>
    </row>
    <row r="25366">
      <c r="N25366" s="1"/>
      <c r="V25366" s="5"/>
    </row>
    <row r="25367">
      <c r="N25367" s="1"/>
      <c r="V25367" s="5"/>
    </row>
    <row r="25368">
      <c r="N25368" s="1"/>
      <c r="V25368" s="5"/>
    </row>
    <row r="25369">
      <c r="N25369" s="1"/>
      <c r="V25369" s="5"/>
    </row>
    <row r="25370">
      <c r="N25370" s="1"/>
      <c r="V25370" s="5"/>
    </row>
    <row r="25371">
      <c r="N25371" s="1"/>
      <c r="V25371" s="5"/>
    </row>
    <row r="25372">
      <c r="N25372" s="1"/>
      <c r="V25372" s="5"/>
    </row>
    <row r="25373">
      <c r="N25373" s="1"/>
      <c r="V25373" s="5"/>
    </row>
    <row r="25374">
      <c r="N25374" s="1"/>
      <c r="V25374" s="5"/>
    </row>
    <row r="25375">
      <c r="N25375" s="1"/>
      <c r="V25375" s="5"/>
    </row>
    <row r="25376">
      <c r="N25376" s="1"/>
      <c r="V25376" s="5"/>
    </row>
    <row r="25377">
      <c r="N25377" s="1"/>
      <c r="V25377" s="5"/>
    </row>
    <row r="25378">
      <c r="N25378" s="1"/>
      <c r="V25378" s="5"/>
    </row>
    <row r="25379">
      <c r="N25379" s="1"/>
      <c r="V25379" s="5"/>
    </row>
    <row r="25380">
      <c r="N25380" s="1"/>
      <c r="V25380" s="5"/>
    </row>
    <row r="25381">
      <c r="N25381" s="1"/>
      <c r="V25381" s="5"/>
    </row>
    <row r="25382">
      <c r="N25382" s="1"/>
      <c r="V25382" s="5"/>
    </row>
    <row r="25383">
      <c r="N25383" s="1"/>
      <c r="V25383" s="5"/>
    </row>
    <row r="25384">
      <c r="N25384" s="1"/>
      <c r="V25384" s="5"/>
    </row>
    <row r="25385">
      <c r="N25385" s="1"/>
      <c r="V25385" s="5"/>
    </row>
    <row r="25386">
      <c r="N25386" s="1"/>
      <c r="V25386" s="5"/>
    </row>
    <row r="25387">
      <c r="N25387" s="1"/>
      <c r="V25387" s="5"/>
    </row>
    <row r="25388">
      <c r="N25388" s="1"/>
      <c r="V25388" s="5"/>
    </row>
    <row r="25389">
      <c r="N25389" s="1"/>
      <c r="V25389" s="5"/>
    </row>
    <row r="25390">
      <c r="N25390" s="1"/>
      <c r="V25390" s="5"/>
    </row>
    <row r="25391">
      <c r="N25391" s="1"/>
      <c r="V25391" s="5"/>
    </row>
    <row r="25392">
      <c r="N25392" s="1"/>
      <c r="V25392" s="5"/>
    </row>
    <row r="25393">
      <c r="N25393" s="1"/>
      <c r="V25393" s="5"/>
    </row>
    <row r="25394">
      <c r="N25394" s="1"/>
      <c r="V25394" s="5"/>
    </row>
    <row r="25395">
      <c r="N25395" s="1"/>
      <c r="V25395" s="5"/>
    </row>
    <row r="25396">
      <c r="N25396" s="1"/>
      <c r="V25396" s="5"/>
    </row>
    <row r="25397">
      <c r="N25397" s="1"/>
      <c r="V25397" s="5"/>
    </row>
    <row r="25398">
      <c r="N25398" s="1"/>
      <c r="V25398" s="5"/>
    </row>
    <row r="25399">
      <c r="N25399" s="1"/>
      <c r="V25399" s="5"/>
    </row>
    <row r="25400">
      <c r="N25400" s="1"/>
      <c r="V25400" s="5"/>
    </row>
    <row r="25401">
      <c r="N25401" s="1"/>
      <c r="V25401" s="5"/>
    </row>
    <row r="25402">
      <c r="N25402" s="1"/>
      <c r="V25402" s="5"/>
    </row>
    <row r="25403">
      <c r="N25403" s="1"/>
      <c r="V25403" s="5"/>
    </row>
    <row r="25404">
      <c r="N25404" s="1"/>
      <c r="V25404" s="5"/>
    </row>
    <row r="25405">
      <c r="N25405" s="1"/>
      <c r="V25405" s="5"/>
    </row>
    <row r="25406">
      <c r="N25406" s="1"/>
      <c r="V25406" s="5"/>
    </row>
    <row r="25407">
      <c r="N25407" s="1"/>
      <c r="V25407" s="5"/>
    </row>
    <row r="25408">
      <c r="N25408" s="1"/>
      <c r="V25408" s="5"/>
    </row>
    <row r="25409">
      <c r="N25409" s="1"/>
      <c r="V25409" s="5"/>
    </row>
    <row r="25410">
      <c r="N25410" s="1"/>
      <c r="V25410" s="5"/>
    </row>
    <row r="25411">
      <c r="N25411" s="1"/>
      <c r="V25411" s="5"/>
    </row>
    <row r="25412">
      <c r="N25412" s="1"/>
      <c r="V25412" s="5"/>
    </row>
    <row r="25413">
      <c r="N25413" s="1"/>
      <c r="V25413" s="5"/>
    </row>
    <row r="25414">
      <c r="N25414" s="1"/>
      <c r="V25414" s="5"/>
    </row>
    <row r="25415">
      <c r="N25415" s="1"/>
      <c r="V25415" s="5"/>
    </row>
    <row r="25416">
      <c r="N25416" s="1"/>
      <c r="V25416" s="5"/>
    </row>
    <row r="25417">
      <c r="N25417" s="1"/>
      <c r="V25417" s="5"/>
    </row>
    <row r="25418">
      <c r="N25418" s="1"/>
      <c r="V25418" s="5"/>
    </row>
    <row r="25419">
      <c r="N25419" s="1"/>
      <c r="V25419" s="5"/>
    </row>
    <row r="25420">
      <c r="N25420" s="1"/>
      <c r="V25420" s="5"/>
    </row>
    <row r="25421">
      <c r="N25421" s="1"/>
      <c r="V25421" s="5"/>
    </row>
    <row r="25422">
      <c r="N25422" s="1"/>
      <c r="V25422" s="5"/>
    </row>
    <row r="25423">
      <c r="N25423" s="1"/>
      <c r="V25423" s="5"/>
    </row>
    <row r="25424">
      <c r="N25424" s="1"/>
      <c r="V25424" s="5"/>
    </row>
    <row r="25425">
      <c r="N25425" s="1"/>
      <c r="V25425" s="5"/>
    </row>
    <row r="25426">
      <c r="N25426" s="1"/>
      <c r="V25426" s="5"/>
    </row>
    <row r="25427">
      <c r="N25427" s="1"/>
      <c r="V25427" s="5"/>
    </row>
    <row r="25428">
      <c r="N25428" s="1"/>
      <c r="V25428" s="5"/>
    </row>
    <row r="25429">
      <c r="N25429" s="1"/>
      <c r="V25429" s="5"/>
    </row>
    <row r="25430">
      <c r="N25430" s="1"/>
      <c r="V25430" s="5"/>
    </row>
    <row r="25431">
      <c r="N25431" s="1"/>
      <c r="V25431" s="5"/>
    </row>
    <row r="25432">
      <c r="N25432" s="1"/>
      <c r="V25432" s="5"/>
    </row>
    <row r="25433">
      <c r="N25433" s="1"/>
      <c r="V25433" s="5"/>
    </row>
    <row r="25434">
      <c r="N25434" s="1"/>
      <c r="V25434" s="5"/>
    </row>
    <row r="25435">
      <c r="N25435" s="1"/>
      <c r="V25435" s="5"/>
    </row>
    <row r="25436">
      <c r="N25436" s="1"/>
      <c r="V25436" s="5"/>
    </row>
    <row r="25437">
      <c r="N25437" s="1"/>
      <c r="V25437" s="5"/>
    </row>
    <row r="25438">
      <c r="N25438" s="1"/>
      <c r="V25438" s="5"/>
    </row>
    <row r="25439">
      <c r="N25439" s="1"/>
      <c r="V25439" s="5"/>
    </row>
    <row r="25440">
      <c r="N25440" s="1"/>
      <c r="V25440" s="5"/>
    </row>
    <row r="25441">
      <c r="N25441" s="1"/>
      <c r="V25441" s="5"/>
    </row>
    <row r="25442">
      <c r="N25442" s="1"/>
      <c r="V25442" s="5"/>
    </row>
    <row r="25443">
      <c r="N25443" s="1"/>
      <c r="V25443" s="5"/>
    </row>
    <row r="25444">
      <c r="N25444" s="1"/>
      <c r="V25444" s="5"/>
    </row>
    <row r="25445">
      <c r="N25445" s="1"/>
      <c r="V25445" s="5"/>
    </row>
    <row r="25446">
      <c r="N25446" s="1"/>
      <c r="V25446" s="5"/>
    </row>
    <row r="25447">
      <c r="N25447" s="1"/>
      <c r="V25447" s="5"/>
    </row>
    <row r="25448">
      <c r="N25448" s="1"/>
      <c r="V25448" s="5"/>
    </row>
    <row r="25449">
      <c r="N25449" s="1"/>
      <c r="V25449" s="5"/>
    </row>
    <row r="25450">
      <c r="N25450" s="1"/>
      <c r="V25450" s="5"/>
    </row>
    <row r="25451">
      <c r="N25451" s="1"/>
      <c r="V25451" s="5"/>
    </row>
    <row r="25452">
      <c r="N25452" s="1"/>
      <c r="V25452" s="5"/>
    </row>
    <row r="25453">
      <c r="N25453" s="1"/>
      <c r="V25453" s="5"/>
    </row>
    <row r="25454">
      <c r="N25454" s="1"/>
      <c r="V25454" s="5"/>
    </row>
    <row r="25455">
      <c r="N25455" s="1"/>
      <c r="V25455" s="5"/>
    </row>
    <row r="25456">
      <c r="N25456" s="1"/>
      <c r="V25456" s="5"/>
    </row>
    <row r="25457">
      <c r="N25457" s="1"/>
      <c r="V25457" s="5"/>
    </row>
    <row r="25458">
      <c r="N25458" s="1"/>
      <c r="V25458" s="5"/>
    </row>
    <row r="25459">
      <c r="N25459" s="1"/>
      <c r="V25459" s="5"/>
    </row>
    <row r="25460">
      <c r="N25460" s="1"/>
      <c r="V25460" s="5"/>
    </row>
    <row r="25461">
      <c r="N25461" s="1"/>
      <c r="V25461" s="5"/>
    </row>
    <row r="25462">
      <c r="N25462" s="1"/>
      <c r="V25462" s="5"/>
    </row>
    <row r="25463">
      <c r="N25463" s="1"/>
      <c r="V25463" s="5"/>
    </row>
    <row r="25464">
      <c r="N25464" s="1"/>
      <c r="V25464" s="5"/>
    </row>
    <row r="25465">
      <c r="N25465" s="1"/>
      <c r="V25465" s="5"/>
    </row>
    <row r="25466">
      <c r="N25466" s="1"/>
      <c r="V25466" s="5"/>
    </row>
    <row r="25467">
      <c r="N25467" s="1"/>
      <c r="V25467" s="5"/>
    </row>
    <row r="25468">
      <c r="N25468" s="1"/>
      <c r="V25468" s="5"/>
    </row>
    <row r="25469">
      <c r="N25469" s="1"/>
      <c r="V25469" s="5"/>
    </row>
    <row r="25470">
      <c r="N25470" s="1"/>
      <c r="V25470" s="5"/>
    </row>
    <row r="25471">
      <c r="N25471" s="1"/>
      <c r="V25471" s="5"/>
    </row>
    <row r="25472">
      <c r="N25472" s="1"/>
      <c r="V25472" s="5"/>
    </row>
    <row r="25473">
      <c r="N25473" s="1"/>
      <c r="V25473" s="5"/>
    </row>
    <row r="25474">
      <c r="N25474" s="1"/>
      <c r="V25474" s="5"/>
    </row>
    <row r="25475">
      <c r="N25475" s="1"/>
      <c r="V25475" s="5"/>
    </row>
    <row r="25476">
      <c r="N25476" s="1"/>
      <c r="V25476" s="5"/>
    </row>
    <row r="25477">
      <c r="N25477" s="1"/>
      <c r="V25477" s="5"/>
    </row>
    <row r="25478">
      <c r="N25478" s="1"/>
      <c r="V25478" s="5"/>
    </row>
    <row r="25479">
      <c r="N25479" s="1"/>
      <c r="V25479" s="5"/>
    </row>
    <row r="25480">
      <c r="N25480" s="1"/>
      <c r="V25480" s="5"/>
    </row>
    <row r="25481">
      <c r="N25481" s="1"/>
      <c r="V25481" s="5"/>
    </row>
    <row r="25482">
      <c r="N25482" s="1"/>
      <c r="V25482" s="5"/>
    </row>
    <row r="25483">
      <c r="N25483" s="1"/>
      <c r="V25483" s="5"/>
    </row>
    <row r="25484">
      <c r="N25484" s="1"/>
      <c r="V25484" s="5"/>
    </row>
    <row r="25485">
      <c r="N25485" s="1"/>
      <c r="V25485" s="5"/>
    </row>
    <row r="25486">
      <c r="N25486" s="1"/>
      <c r="V25486" s="5"/>
    </row>
    <row r="25487">
      <c r="N25487" s="1"/>
      <c r="V25487" s="5"/>
    </row>
    <row r="25488">
      <c r="N25488" s="1"/>
      <c r="V25488" s="5"/>
    </row>
    <row r="25489">
      <c r="N25489" s="1"/>
      <c r="V25489" s="5"/>
    </row>
    <row r="25490">
      <c r="N25490" s="1"/>
      <c r="V25490" s="5"/>
    </row>
    <row r="25491">
      <c r="N25491" s="1"/>
      <c r="V25491" s="5"/>
    </row>
    <row r="25492">
      <c r="N25492" s="1"/>
      <c r="V25492" s="5"/>
    </row>
    <row r="25493">
      <c r="N25493" s="1"/>
      <c r="V25493" s="5"/>
    </row>
    <row r="25494">
      <c r="N25494" s="1"/>
      <c r="V25494" s="5"/>
    </row>
    <row r="25495">
      <c r="N25495" s="1"/>
      <c r="V25495" s="5"/>
    </row>
    <row r="25496">
      <c r="N25496" s="1"/>
      <c r="V25496" s="5"/>
    </row>
    <row r="25497">
      <c r="N25497" s="1"/>
      <c r="V25497" s="5"/>
    </row>
    <row r="25498">
      <c r="N25498" s="1"/>
      <c r="V25498" s="5"/>
    </row>
    <row r="25499">
      <c r="N25499" s="1"/>
      <c r="V25499" s="5"/>
    </row>
    <row r="25500">
      <c r="N25500" s="1"/>
      <c r="V25500" s="5"/>
    </row>
    <row r="25501">
      <c r="N25501" s="1"/>
      <c r="V25501" s="5"/>
    </row>
    <row r="25502">
      <c r="N25502" s="1"/>
      <c r="V25502" s="5"/>
    </row>
    <row r="25503">
      <c r="N25503" s="1"/>
      <c r="V25503" s="5"/>
    </row>
    <row r="25504">
      <c r="N25504" s="1"/>
      <c r="V25504" s="5"/>
    </row>
    <row r="25505">
      <c r="N25505" s="1"/>
      <c r="V25505" s="5"/>
    </row>
    <row r="25506">
      <c r="N25506" s="1"/>
      <c r="V25506" s="5"/>
    </row>
    <row r="25507">
      <c r="N25507" s="1"/>
      <c r="V25507" s="5"/>
    </row>
    <row r="25508">
      <c r="N25508" s="1"/>
      <c r="V25508" s="5"/>
    </row>
    <row r="25509">
      <c r="N25509" s="1"/>
      <c r="V25509" s="5"/>
    </row>
    <row r="25510">
      <c r="N25510" s="1"/>
      <c r="V25510" s="5"/>
    </row>
    <row r="25511">
      <c r="N25511" s="1"/>
      <c r="V25511" s="5"/>
    </row>
    <row r="25512">
      <c r="N25512" s="1"/>
      <c r="V25512" s="5"/>
    </row>
    <row r="25513">
      <c r="N25513" s="1"/>
      <c r="V25513" s="5"/>
    </row>
    <row r="25514">
      <c r="N25514" s="1"/>
      <c r="V25514" s="5"/>
    </row>
    <row r="25515">
      <c r="N25515" s="1"/>
      <c r="V25515" s="5"/>
    </row>
    <row r="25516">
      <c r="N25516" s="1"/>
      <c r="V25516" s="5"/>
    </row>
    <row r="25517">
      <c r="N25517" s="1"/>
      <c r="V25517" s="5"/>
    </row>
    <row r="25518">
      <c r="N25518" s="1"/>
      <c r="V25518" s="5"/>
    </row>
    <row r="25519">
      <c r="N25519" s="1"/>
      <c r="V25519" s="5"/>
    </row>
    <row r="25520">
      <c r="N25520" s="1"/>
      <c r="V25520" s="5"/>
    </row>
    <row r="25521">
      <c r="N25521" s="1"/>
      <c r="V25521" s="5"/>
    </row>
    <row r="25522">
      <c r="N25522" s="1"/>
      <c r="V25522" s="5"/>
    </row>
    <row r="25523">
      <c r="N25523" s="1"/>
      <c r="V25523" s="5"/>
    </row>
    <row r="25524">
      <c r="N25524" s="1"/>
      <c r="V25524" s="5"/>
    </row>
    <row r="25525">
      <c r="N25525" s="1"/>
      <c r="V25525" s="5"/>
    </row>
    <row r="25526">
      <c r="N25526" s="1"/>
      <c r="V25526" s="5"/>
    </row>
    <row r="25527">
      <c r="N25527" s="1"/>
      <c r="V25527" s="5"/>
    </row>
    <row r="25528">
      <c r="N25528" s="1"/>
      <c r="V25528" s="5"/>
    </row>
    <row r="25529">
      <c r="N25529" s="1"/>
      <c r="V25529" s="5"/>
    </row>
    <row r="25530">
      <c r="N25530" s="1"/>
      <c r="V25530" s="5"/>
    </row>
    <row r="25531">
      <c r="N25531" s="1"/>
      <c r="V25531" s="5"/>
    </row>
    <row r="25532">
      <c r="N25532" s="1"/>
      <c r="V25532" s="5"/>
    </row>
    <row r="25533">
      <c r="N25533" s="1"/>
      <c r="V25533" s="5"/>
    </row>
    <row r="25534">
      <c r="N25534" s="1"/>
      <c r="V25534" s="5"/>
    </row>
    <row r="25535">
      <c r="N25535" s="1"/>
      <c r="V25535" s="5"/>
    </row>
    <row r="25536">
      <c r="N25536" s="1"/>
      <c r="V25536" s="5"/>
    </row>
    <row r="25537">
      <c r="N25537" s="1"/>
      <c r="V25537" s="5"/>
    </row>
    <row r="25538">
      <c r="N25538" s="1"/>
      <c r="V25538" s="5"/>
    </row>
    <row r="25539">
      <c r="N25539" s="1"/>
      <c r="V25539" s="5"/>
    </row>
    <row r="25540">
      <c r="N25540" s="1"/>
      <c r="V25540" s="5"/>
    </row>
    <row r="25541">
      <c r="N25541" s="1"/>
      <c r="V25541" s="5"/>
    </row>
    <row r="25542">
      <c r="N25542" s="1"/>
      <c r="V25542" s="5"/>
    </row>
    <row r="25543">
      <c r="N25543" s="1"/>
      <c r="V25543" s="5"/>
    </row>
    <row r="25544">
      <c r="N25544" s="1"/>
      <c r="V25544" s="5"/>
    </row>
    <row r="25545">
      <c r="N25545" s="1"/>
      <c r="V25545" s="5"/>
    </row>
    <row r="25546">
      <c r="N25546" s="1"/>
      <c r="V25546" s="5"/>
    </row>
    <row r="25547">
      <c r="N25547" s="1"/>
      <c r="V25547" s="5"/>
    </row>
    <row r="25548">
      <c r="N25548" s="1"/>
      <c r="V25548" s="5"/>
    </row>
    <row r="25549">
      <c r="N25549" s="1"/>
      <c r="V25549" s="5"/>
    </row>
    <row r="25550">
      <c r="N25550" s="1"/>
      <c r="V25550" s="5"/>
    </row>
    <row r="25551">
      <c r="N25551" s="1"/>
      <c r="V25551" s="5"/>
    </row>
    <row r="25552">
      <c r="N25552" s="1"/>
      <c r="V25552" s="5"/>
    </row>
    <row r="25553">
      <c r="N25553" s="1"/>
      <c r="V25553" s="5"/>
    </row>
    <row r="25554">
      <c r="N25554" s="1"/>
      <c r="V25554" s="5"/>
    </row>
    <row r="25555">
      <c r="N25555" s="1"/>
      <c r="V25555" s="5"/>
    </row>
    <row r="25556">
      <c r="N25556" s="1"/>
      <c r="V25556" s="5"/>
    </row>
    <row r="25557">
      <c r="N25557" s="1"/>
      <c r="V25557" s="5"/>
    </row>
    <row r="25558">
      <c r="N25558" s="1"/>
      <c r="V25558" s="5"/>
    </row>
    <row r="25559">
      <c r="N25559" s="1"/>
      <c r="V25559" s="5"/>
    </row>
    <row r="25560">
      <c r="N25560" s="1"/>
      <c r="V25560" s="5"/>
    </row>
    <row r="25561">
      <c r="N25561" s="1"/>
      <c r="V25561" s="5"/>
    </row>
    <row r="25562">
      <c r="N25562" s="1"/>
      <c r="V25562" s="5"/>
    </row>
    <row r="25563">
      <c r="N25563" s="1"/>
      <c r="V25563" s="5"/>
    </row>
    <row r="25564">
      <c r="N25564" s="1"/>
      <c r="V25564" s="5"/>
    </row>
    <row r="25565">
      <c r="N25565" s="1"/>
      <c r="V25565" s="5"/>
    </row>
    <row r="25566">
      <c r="N25566" s="1"/>
      <c r="V25566" s="5"/>
    </row>
    <row r="25567">
      <c r="N25567" s="1"/>
      <c r="V25567" s="5"/>
    </row>
    <row r="25568">
      <c r="N25568" s="1"/>
      <c r="V25568" s="5"/>
    </row>
    <row r="25569">
      <c r="N25569" s="1"/>
      <c r="V25569" s="5"/>
    </row>
    <row r="25570">
      <c r="N25570" s="1"/>
      <c r="V25570" s="5"/>
    </row>
    <row r="25571">
      <c r="N25571" s="1"/>
      <c r="V25571" s="5"/>
    </row>
    <row r="25572">
      <c r="N25572" s="1"/>
      <c r="V25572" s="5"/>
    </row>
    <row r="25573">
      <c r="N25573" s="1"/>
      <c r="V25573" s="5"/>
    </row>
    <row r="25574">
      <c r="N25574" s="1"/>
      <c r="V25574" s="5"/>
    </row>
    <row r="25575">
      <c r="N25575" s="1"/>
      <c r="V25575" s="5"/>
    </row>
    <row r="25576">
      <c r="N25576" s="1"/>
      <c r="V25576" s="5"/>
    </row>
    <row r="25577">
      <c r="N25577" s="1"/>
      <c r="V25577" s="5"/>
    </row>
    <row r="25578">
      <c r="N25578" s="1"/>
      <c r="V25578" s="5"/>
    </row>
    <row r="25579">
      <c r="N25579" s="1"/>
      <c r="V25579" s="5"/>
    </row>
    <row r="25580">
      <c r="N25580" s="1"/>
      <c r="V25580" s="5"/>
    </row>
    <row r="25581">
      <c r="N25581" s="1"/>
      <c r="V25581" s="5"/>
    </row>
    <row r="25582">
      <c r="N25582" s="1"/>
      <c r="V25582" s="5"/>
    </row>
    <row r="25583">
      <c r="N25583" s="1"/>
      <c r="V25583" s="5"/>
    </row>
    <row r="25584">
      <c r="N25584" s="1"/>
      <c r="V25584" s="5"/>
    </row>
    <row r="25585">
      <c r="N25585" s="1"/>
      <c r="V25585" s="5"/>
    </row>
    <row r="25586">
      <c r="N25586" s="1"/>
      <c r="V25586" s="5"/>
    </row>
    <row r="25587">
      <c r="N25587" s="1"/>
      <c r="V25587" s="5"/>
    </row>
    <row r="25588">
      <c r="N25588" s="1"/>
      <c r="V25588" s="5"/>
    </row>
    <row r="25589">
      <c r="N25589" s="1"/>
      <c r="V25589" s="5"/>
    </row>
    <row r="25590">
      <c r="N25590" s="1"/>
      <c r="V25590" s="5"/>
    </row>
    <row r="25591">
      <c r="N25591" s="1"/>
      <c r="V25591" s="5"/>
    </row>
    <row r="25592">
      <c r="N25592" s="1"/>
      <c r="V25592" s="5"/>
    </row>
    <row r="25593">
      <c r="N25593" s="1"/>
      <c r="V25593" s="5"/>
    </row>
    <row r="25594">
      <c r="N25594" s="1"/>
      <c r="V25594" s="5"/>
    </row>
    <row r="25595">
      <c r="N25595" s="1"/>
      <c r="V25595" s="5"/>
    </row>
    <row r="25596">
      <c r="N25596" s="1"/>
      <c r="V25596" s="5"/>
    </row>
    <row r="25597">
      <c r="N25597" s="1"/>
      <c r="V25597" s="5"/>
    </row>
    <row r="25598">
      <c r="N25598" s="1"/>
      <c r="V25598" s="5"/>
    </row>
    <row r="25599">
      <c r="N25599" s="1"/>
      <c r="V25599" s="5"/>
    </row>
    <row r="25600">
      <c r="N25600" s="1"/>
      <c r="V25600" s="5"/>
    </row>
    <row r="25601">
      <c r="N25601" s="1"/>
      <c r="V25601" s="5"/>
    </row>
    <row r="25602">
      <c r="N25602" s="1"/>
      <c r="V25602" s="5"/>
    </row>
    <row r="25603">
      <c r="N25603" s="1"/>
      <c r="V25603" s="5"/>
    </row>
    <row r="25604">
      <c r="N25604" s="1"/>
      <c r="V25604" s="5"/>
    </row>
    <row r="25605">
      <c r="N25605" s="1"/>
      <c r="V25605" s="5"/>
    </row>
    <row r="25606">
      <c r="N25606" s="1"/>
      <c r="V25606" s="5"/>
    </row>
    <row r="25607">
      <c r="N25607" s="1"/>
      <c r="V25607" s="5"/>
    </row>
    <row r="25608">
      <c r="N25608" s="1"/>
      <c r="V25608" s="5"/>
    </row>
    <row r="25609">
      <c r="N25609" s="1"/>
      <c r="V25609" s="5"/>
    </row>
    <row r="25610">
      <c r="N25610" s="1"/>
      <c r="V25610" s="5"/>
    </row>
    <row r="25611">
      <c r="N25611" s="1"/>
      <c r="V25611" s="5"/>
    </row>
    <row r="25612">
      <c r="N25612" s="1"/>
      <c r="V25612" s="5"/>
    </row>
    <row r="25613">
      <c r="N25613" s="1"/>
      <c r="V25613" s="5"/>
    </row>
    <row r="25614">
      <c r="N25614" s="1"/>
      <c r="V25614" s="5"/>
    </row>
    <row r="25615">
      <c r="N25615" s="1"/>
      <c r="V25615" s="5"/>
    </row>
    <row r="25616">
      <c r="N25616" s="1"/>
      <c r="V25616" s="5"/>
    </row>
    <row r="25617">
      <c r="N25617" s="1"/>
      <c r="V25617" s="5"/>
    </row>
    <row r="25618">
      <c r="N25618" s="1"/>
      <c r="V25618" s="5"/>
    </row>
    <row r="25619">
      <c r="N25619" s="1"/>
      <c r="V25619" s="5"/>
    </row>
    <row r="25620">
      <c r="N25620" s="1"/>
      <c r="V25620" s="5"/>
    </row>
    <row r="25621">
      <c r="N25621" s="1"/>
      <c r="V25621" s="5"/>
    </row>
    <row r="25622">
      <c r="N25622" s="1"/>
      <c r="V25622" s="5"/>
    </row>
    <row r="25623">
      <c r="N25623" s="1"/>
      <c r="V25623" s="5"/>
    </row>
    <row r="25624">
      <c r="N25624" s="1"/>
      <c r="V25624" s="5"/>
    </row>
    <row r="25625">
      <c r="N25625" s="1"/>
      <c r="V25625" s="5"/>
    </row>
    <row r="25626">
      <c r="N25626" s="1"/>
      <c r="V25626" s="5"/>
    </row>
    <row r="25627">
      <c r="N25627" s="1"/>
      <c r="V25627" s="5"/>
    </row>
    <row r="25628">
      <c r="N25628" s="1"/>
      <c r="V25628" s="5"/>
    </row>
    <row r="25629">
      <c r="N25629" s="1"/>
      <c r="V25629" s="5"/>
    </row>
    <row r="25630">
      <c r="N25630" s="1"/>
      <c r="V25630" s="5"/>
    </row>
    <row r="25631">
      <c r="N25631" s="1"/>
      <c r="V25631" s="5"/>
    </row>
    <row r="25632">
      <c r="N25632" s="1"/>
      <c r="V25632" s="5"/>
    </row>
    <row r="25633">
      <c r="N25633" s="1"/>
      <c r="V25633" s="5"/>
    </row>
    <row r="25634">
      <c r="N25634" s="1"/>
      <c r="V25634" s="5"/>
    </row>
    <row r="25635">
      <c r="N25635" s="1"/>
      <c r="V25635" s="5"/>
    </row>
    <row r="25636">
      <c r="N25636" s="1"/>
      <c r="V25636" s="5"/>
    </row>
    <row r="25637">
      <c r="N25637" s="1"/>
      <c r="V25637" s="5"/>
    </row>
    <row r="25638">
      <c r="N25638" s="1"/>
      <c r="V25638" s="5"/>
    </row>
    <row r="25639">
      <c r="N25639" s="1"/>
      <c r="V25639" s="5"/>
    </row>
    <row r="25640">
      <c r="N25640" s="1"/>
      <c r="V25640" s="5"/>
    </row>
    <row r="25641">
      <c r="N25641" s="1"/>
      <c r="V25641" s="5"/>
    </row>
    <row r="25642">
      <c r="N25642" s="1"/>
      <c r="V25642" s="5"/>
    </row>
    <row r="25643">
      <c r="N25643" s="1"/>
      <c r="V25643" s="5"/>
    </row>
    <row r="25644">
      <c r="N25644" s="1"/>
      <c r="V25644" s="5"/>
    </row>
    <row r="25645">
      <c r="N25645" s="1"/>
      <c r="V25645" s="5"/>
    </row>
    <row r="25646">
      <c r="N25646" s="1"/>
      <c r="V25646" s="5"/>
    </row>
    <row r="25647">
      <c r="N25647" s="1"/>
      <c r="V25647" s="5"/>
    </row>
    <row r="25648">
      <c r="N25648" s="1"/>
      <c r="V25648" s="5"/>
    </row>
    <row r="25649">
      <c r="N25649" s="1"/>
      <c r="V25649" s="5"/>
    </row>
    <row r="25650">
      <c r="N25650" s="1"/>
      <c r="V25650" s="5"/>
    </row>
    <row r="25651">
      <c r="N25651" s="1"/>
      <c r="V25651" s="5"/>
    </row>
    <row r="25652">
      <c r="N25652" s="1"/>
      <c r="V25652" s="5"/>
    </row>
    <row r="25653">
      <c r="N25653" s="1"/>
      <c r="V25653" s="5"/>
    </row>
    <row r="25654">
      <c r="N25654" s="1"/>
      <c r="V25654" s="5"/>
    </row>
    <row r="25655">
      <c r="N25655" s="1"/>
      <c r="V25655" s="5"/>
    </row>
    <row r="25656">
      <c r="N25656" s="1"/>
      <c r="V25656" s="5"/>
    </row>
    <row r="25657">
      <c r="N25657" s="1"/>
      <c r="V25657" s="5"/>
    </row>
    <row r="25658">
      <c r="N25658" s="1"/>
      <c r="V25658" s="5"/>
    </row>
    <row r="25659">
      <c r="N25659" s="1"/>
      <c r="V25659" s="5"/>
    </row>
    <row r="25660">
      <c r="N25660" s="1"/>
      <c r="V25660" s="5"/>
    </row>
    <row r="25661">
      <c r="N25661" s="1"/>
      <c r="V25661" s="5"/>
    </row>
    <row r="25662">
      <c r="N25662" s="1"/>
      <c r="V25662" s="5"/>
    </row>
    <row r="25663">
      <c r="N25663" s="1"/>
      <c r="V25663" s="5"/>
    </row>
    <row r="25664">
      <c r="N25664" s="1"/>
      <c r="V25664" s="5"/>
    </row>
    <row r="25665">
      <c r="N25665" s="1"/>
      <c r="V25665" s="5"/>
    </row>
    <row r="25666">
      <c r="N25666" s="1"/>
      <c r="V25666" s="5"/>
    </row>
    <row r="25667">
      <c r="N25667" s="1"/>
      <c r="V25667" s="5"/>
    </row>
    <row r="25668">
      <c r="N25668" s="1"/>
      <c r="V25668" s="5"/>
    </row>
    <row r="25669">
      <c r="N25669" s="1"/>
      <c r="V25669" s="5"/>
    </row>
    <row r="25670">
      <c r="N25670" s="1"/>
      <c r="V25670" s="5"/>
    </row>
    <row r="25671">
      <c r="N25671" s="1"/>
      <c r="V25671" s="5"/>
    </row>
    <row r="25672">
      <c r="N25672" s="1"/>
      <c r="V25672" s="5"/>
    </row>
    <row r="25673">
      <c r="N25673" s="1"/>
      <c r="V25673" s="5"/>
    </row>
    <row r="25674">
      <c r="N25674" s="1"/>
      <c r="V25674" s="5"/>
    </row>
    <row r="25675">
      <c r="N25675" s="1"/>
      <c r="V25675" s="5"/>
    </row>
    <row r="25676">
      <c r="N25676" s="1"/>
      <c r="V25676" s="5"/>
    </row>
    <row r="25677">
      <c r="N25677" s="1"/>
      <c r="V25677" s="5"/>
    </row>
    <row r="25678">
      <c r="N25678" s="1"/>
      <c r="V25678" s="5"/>
    </row>
    <row r="25679">
      <c r="N25679" s="1"/>
      <c r="V25679" s="5"/>
    </row>
    <row r="25680">
      <c r="N25680" s="1"/>
      <c r="V25680" s="5"/>
    </row>
    <row r="25681">
      <c r="N25681" s="1"/>
      <c r="V25681" s="5"/>
    </row>
    <row r="25682">
      <c r="N25682" s="1"/>
      <c r="V25682" s="5"/>
    </row>
    <row r="25683">
      <c r="N25683" s="1"/>
      <c r="V25683" s="5"/>
    </row>
    <row r="25684">
      <c r="N25684" s="1"/>
      <c r="V25684" s="5"/>
    </row>
    <row r="25685">
      <c r="N25685" s="1"/>
      <c r="V25685" s="5"/>
    </row>
    <row r="25686">
      <c r="N25686" s="1"/>
      <c r="V25686" s="5"/>
    </row>
    <row r="25687">
      <c r="N25687" s="1"/>
      <c r="V25687" s="5"/>
    </row>
    <row r="25688">
      <c r="N25688" s="1"/>
      <c r="V25688" s="5"/>
    </row>
    <row r="25689">
      <c r="N25689" s="1"/>
      <c r="V25689" s="5"/>
    </row>
    <row r="25690">
      <c r="N25690" s="1"/>
      <c r="V25690" s="5"/>
    </row>
    <row r="25691">
      <c r="N25691" s="1"/>
      <c r="V25691" s="5"/>
    </row>
    <row r="25692">
      <c r="N25692" s="1"/>
      <c r="V25692" s="5"/>
    </row>
    <row r="25693">
      <c r="N25693" s="1"/>
      <c r="V25693" s="5"/>
    </row>
    <row r="25694">
      <c r="N25694" s="1"/>
      <c r="V25694" s="5"/>
    </row>
    <row r="25695">
      <c r="N25695" s="1"/>
      <c r="V25695" s="5"/>
    </row>
    <row r="25696">
      <c r="N25696" s="1"/>
      <c r="V25696" s="5"/>
    </row>
    <row r="25697">
      <c r="N25697" s="1"/>
      <c r="V25697" s="5"/>
    </row>
    <row r="25698">
      <c r="N25698" s="1"/>
      <c r="V25698" s="5"/>
    </row>
    <row r="25699">
      <c r="N25699" s="1"/>
      <c r="V25699" s="5"/>
    </row>
    <row r="25700">
      <c r="N25700" s="1"/>
      <c r="V25700" s="5"/>
    </row>
    <row r="25701">
      <c r="N25701" s="1"/>
      <c r="V25701" s="5"/>
    </row>
    <row r="25702">
      <c r="N25702" s="1"/>
      <c r="V25702" s="5"/>
    </row>
    <row r="25703">
      <c r="N25703" s="1"/>
      <c r="V25703" s="5"/>
    </row>
    <row r="25704">
      <c r="N25704" s="1"/>
      <c r="V25704" s="5"/>
    </row>
    <row r="25705">
      <c r="N25705" s="1"/>
      <c r="V25705" s="5"/>
    </row>
    <row r="25706">
      <c r="N25706" s="1"/>
      <c r="V25706" s="5"/>
    </row>
    <row r="25707">
      <c r="N25707" s="1"/>
      <c r="V25707" s="5"/>
    </row>
    <row r="25708">
      <c r="N25708" s="1"/>
      <c r="V25708" s="5"/>
    </row>
    <row r="25709">
      <c r="N25709" s="1"/>
      <c r="V25709" s="5"/>
    </row>
    <row r="25710">
      <c r="N25710" s="1"/>
      <c r="V25710" s="5"/>
    </row>
    <row r="25711">
      <c r="N25711" s="1"/>
      <c r="V25711" s="5"/>
    </row>
    <row r="25712">
      <c r="N25712" s="1"/>
      <c r="V25712" s="5"/>
    </row>
    <row r="25713">
      <c r="N25713" s="1"/>
      <c r="V25713" s="5"/>
    </row>
    <row r="25714">
      <c r="N25714" s="1"/>
      <c r="V25714" s="5"/>
    </row>
    <row r="25715">
      <c r="N25715" s="1"/>
      <c r="V25715" s="5"/>
    </row>
    <row r="25716">
      <c r="N25716" s="1"/>
      <c r="V25716" s="5"/>
    </row>
    <row r="25717">
      <c r="N25717" s="1"/>
      <c r="V25717" s="5"/>
    </row>
    <row r="25718">
      <c r="N25718" s="1"/>
      <c r="V25718" s="5"/>
    </row>
    <row r="25719">
      <c r="N25719" s="1"/>
      <c r="V25719" s="5"/>
    </row>
    <row r="25720">
      <c r="N25720" s="1"/>
      <c r="V25720" s="5"/>
    </row>
    <row r="25721">
      <c r="N25721" s="1"/>
      <c r="V25721" s="5"/>
    </row>
    <row r="25722">
      <c r="N25722" s="1"/>
      <c r="V25722" s="5"/>
    </row>
    <row r="25723">
      <c r="N25723" s="1"/>
      <c r="V25723" s="5"/>
    </row>
    <row r="25724">
      <c r="N25724" s="1"/>
      <c r="V25724" s="5"/>
    </row>
    <row r="25725">
      <c r="N25725" s="1"/>
      <c r="V25725" s="5"/>
    </row>
    <row r="25726">
      <c r="N25726" s="1"/>
      <c r="V25726" s="5"/>
    </row>
    <row r="25727">
      <c r="N25727" s="1"/>
      <c r="V25727" s="5"/>
    </row>
    <row r="25728">
      <c r="N25728" s="1"/>
      <c r="V25728" s="5"/>
    </row>
    <row r="25729">
      <c r="N25729" s="1"/>
      <c r="V25729" s="5"/>
    </row>
    <row r="25730">
      <c r="N25730" s="1"/>
      <c r="V25730" s="5"/>
    </row>
    <row r="25731">
      <c r="N25731" s="1"/>
      <c r="V25731" s="5"/>
    </row>
    <row r="25732">
      <c r="N25732" s="1"/>
      <c r="V25732" s="5"/>
    </row>
    <row r="25733">
      <c r="N25733" s="1"/>
      <c r="V25733" s="5"/>
    </row>
    <row r="25734">
      <c r="N25734" s="1"/>
      <c r="V25734" s="5"/>
    </row>
    <row r="25735">
      <c r="N25735" s="1"/>
      <c r="V25735" s="5"/>
    </row>
    <row r="25736">
      <c r="N25736" s="1"/>
      <c r="V25736" s="5"/>
    </row>
    <row r="25737">
      <c r="N25737" s="1"/>
      <c r="V25737" s="5"/>
    </row>
    <row r="25738">
      <c r="N25738" s="1"/>
      <c r="V25738" s="5"/>
    </row>
    <row r="25739">
      <c r="N25739" s="1"/>
      <c r="V25739" s="5"/>
    </row>
    <row r="25740">
      <c r="N25740" s="1"/>
      <c r="V25740" s="5"/>
    </row>
    <row r="25741">
      <c r="N25741" s="1"/>
      <c r="V25741" s="5"/>
    </row>
    <row r="25742">
      <c r="N25742" s="1"/>
      <c r="V25742" s="5"/>
    </row>
    <row r="25743">
      <c r="N25743" s="1"/>
      <c r="V25743" s="5"/>
    </row>
    <row r="25744">
      <c r="N25744" s="1"/>
      <c r="V25744" s="5"/>
    </row>
    <row r="25745">
      <c r="N25745" s="1"/>
      <c r="V25745" s="5"/>
    </row>
    <row r="25746">
      <c r="N25746" s="1"/>
      <c r="V25746" s="5"/>
    </row>
    <row r="25747">
      <c r="N25747" s="1"/>
      <c r="V25747" s="5"/>
    </row>
    <row r="25748">
      <c r="N25748" s="1"/>
      <c r="V25748" s="5"/>
    </row>
    <row r="25749">
      <c r="N25749" s="1"/>
      <c r="V25749" s="5"/>
    </row>
    <row r="25750">
      <c r="N25750" s="1"/>
      <c r="V25750" s="5"/>
    </row>
    <row r="25751">
      <c r="N25751" s="1"/>
      <c r="V25751" s="5"/>
    </row>
    <row r="25752">
      <c r="N25752" s="1"/>
      <c r="V25752" s="5"/>
    </row>
    <row r="25753">
      <c r="N25753" s="1"/>
      <c r="V25753" s="5"/>
    </row>
    <row r="25754">
      <c r="N25754" s="1"/>
      <c r="V25754" s="5"/>
    </row>
    <row r="25755">
      <c r="N25755" s="1"/>
      <c r="V25755" s="5"/>
    </row>
    <row r="25756">
      <c r="N25756" s="1"/>
      <c r="V25756" s="5"/>
    </row>
    <row r="25757">
      <c r="N25757" s="1"/>
      <c r="V25757" s="5"/>
    </row>
    <row r="25758">
      <c r="N25758" s="1"/>
      <c r="V25758" s="5"/>
    </row>
    <row r="25759">
      <c r="N25759" s="1"/>
      <c r="V25759" s="5"/>
    </row>
    <row r="25760">
      <c r="N25760" s="1"/>
      <c r="V25760" s="5"/>
    </row>
    <row r="25761">
      <c r="N25761" s="1"/>
      <c r="V25761" s="5"/>
    </row>
    <row r="25762">
      <c r="N25762" s="1"/>
      <c r="V25762" s="5"/>
    </row>
    <row r="25763">
      <c r="N25763" s="1"/>
      <c r="V25763" s="5"/>
    </row>
    <row r="25764">
      <c r="N25764" s="1"/>
      <c r="V25764" s="5"/>
    </row>
    <row r="25765">
      <c r="N25765" s="1"/>
      <c r="V25765" s="5"/>
    </row>
    <row r="25766">
      <c r="N25766" s="1"/>
      <c r="V25766" s="5"/>
    </row>
    <row r="25767">
      <c r="N25767" s="1"/>
      <c r="V25767" s="5"/>
    </row>
    <row r="25768">
      <c r="N25768" s="1"/>
      <c r="V25768" s="5"/>
    </row>
    <row r="25769">
      <c r="N25769" s="1"/>
      <c r="V25769" s="5"/>
    </row>
    <row r="25770">
      <c r="N25770" s="1"/>
      <c r="V25770" s="5"/>
    </row>
    <row r="25771">
      <c r="N25771" s="1"/>
      <c r="V25771" s="5"/>
    </row>
    <row r="25772">
      <c r="N25772" s="1"/>
      <c r="V25772" s="5"/>
    </row>
    <row r="25773">
      <c r="N25773" s="1"/>
      <c r="V25773" s="5"/>
    </row>
    <row r="25774">
      <c r="N25774" s="1"/>
      <c r="V25774" s="5"/>
    </row>
    <row r="25775">
      <c r="N25775" s="1"/>
      <c r="V25775" s="5"/>
    </row>
    <row r="25776">
      <c r="N25776" s="1"/>
      <c r="V25776" s="5"/>
    </row>
    <row r="25777">
      <c r="N25777" s="1"/>
      <c r="V25777" s="5"/>
    </row>
    <row r="25778">
      <c r="N25778" s="1"/>
      <c r="V25778" s="5"/>
    </row>
    <row r="25779">
      <c r="N25779" s="1"/>
      <c r="V25779" s="5"/>
    </row>
    <row r="25780">
      <c r="N25780" s="1"/>
      <c r="V25780" s="5"/>
    </row>
    <row r="25781">
      <c r="N25781" s="1"/>
      <c r="V25781" s="5"/>
    </row>
    <row r="25782">
      <c r="N25782" s="1"/>
      <c r="V25782" s="5"/>
    </row>
    <row r="25783">
      <c r="N25783" s="1"/>
      <c r="V25783" s="5"/>
    </row>
    <row r="25784">
      <c r="N25784" s="1"/>
      <c r="V25784" s="5"/>
    </row>
    <row r="25785">
      <c r="N25785" s="1"/>
      <c r="V25785" s="5"/>
    </row>
    <row r="25786">
      <c r="N25786" s="1"/>
      <c r="V25786" s="5"/>
    </row>
    <row r="25787">
      <c r="N25787" s="1"/>
      <c r="V25787" s="5"/>
    </row>
    <row r="25788">
      <c r="N25788" s="1"/>
      <c r="V25788" s="5"/>
    </row>
    <row r="25789">
      <c r="N25789" s="1"/>
      <c r="V25789" s="5"/>
    </row>
    <row r="25790">
      <c r="N25790" s="1"/>
      <c r="V25790" s="5"/>
    </row>
    <row r="25791">
      <c r="N25791" s="1"/>
      <c r="V25791" s="5"/>
    </row>
    <row r="25792">
      <c r="N25792" s="1"/>
      <c r="V25792" s="5"/>
    </row>
    <row r="25793">
      <c r="N25793" s="1"/>
      <c r="V25793" s="5"/>
    </row>
    <row r="25794">
      <c r="N25794" s="1"/>
      <c r="V25794" s="5"/>
    </row>
    <row r="25795">
      <c r="N25795" s="1"/>
      <c r="V25795" s="5"/>
    </row>
    <row r="25796">
      <c r="N25796" s="1"/>
      <c r="V25796" s="5"/>
    </row>
    <row r="25797">
      <c r="N25797" s="1"/>
      <c r="V25797" s="5"/>
    </row>
    <row r="25798">
      <c r="N25798" s="1"/>
      <c r="V25798" s="5"/>
    </row>
    <row r="25799">
      <c r="N25799" s="1"/>
      <c r="V25799" s="5"/>
    </row>
    <row r="25800">
      <c r="N25800" s="1"/>
      <c r="V25800" s="5"/>
    </row>
    <row r="25801">
      <c r="N25801" s="1"/>
      <c r="V25801" s="5"/>
    </row>
    <row r="25802">
      <c r="N25802" s="1"/>
      <c r="V25802" s="5"/>
    </row>
    <row r="25803">
      <c r="N25803" s="1"/>
      <c r="V25803" s="5"/>
    </row>
    <row r="25804">
      <c r="N25804" s="1"/>
      <c r="V25804" s="5"/>
    </row>
    <row r="25805">
      <c r="N25805" s="1"/>
      <c r="V25805" s="5"/>
    </row>
    <row r="25806">
      <c r="N25806" s="1"/>
      <c r="V25806" s="5"/>
    </row>
    <row r="25807">
      <c r="N25807" s="1"/>
      <c r="V25807" s="5"/>
    </row>
    <row r="25808">
      <c r="N25808" s="1"/>
      <c r="V25808" s="5"/>
    </row>
    <row r="25809">
      <c r="N25809" s="1"/>
      <c r="V25809" s="5"/>
    </row>
    <row r="25810">
      <c r="N25810" s="1"/>
      <c r="V25810" s="5"/>
    </row>
    <row r="25811">
      <c r="N25811" s="1"/>
      <c r="V25811" s="5"/>
    </row>
    <row r="25812">
      <c r="N25812" s="1"/>
      <c r="V25812" s="5"/>
    </row>
    <row r="25813">
      <c r="N25813" s="1"/>
      <c r="V25813" s="5"/>
    </row>
    <row r="25814">
      <c r="N25814" s="1"/>
      <c r="V25814" s="5"/>
    </row>
    <row r="25815">
      <c r="N25815" s="1"/>
      <c r="V25815" s="5"/>
    </row>
    <row r="25816">
      <c r="N25816" s="1"/>
      <c r="V25816" s="5"/>
    </row>
    <row r="25817">
      <c r="N25817" s="1"/>
      <c r="V25817" s="5"/>
    </row>
    <row r="25818">
      <c r="N25818" s="1"/>
      <c r="V25818" s="5"/>
    </row>
    <row r="25819">
      <c r="N25819" s="1"/>
      <c r="V25819" s="5"/>
    </row>
    <row r="25820">
      <c r="N25820" s="1"/>
      <c r="V25820" s="5"/>
    </row>
    <row r="25821">
      <c r="N25821" s="1"/>
      <c r="V25821" s="5"/>
    </row>
    <row r="25822">
      <c r="N25822" s="1"/>
      <c r="V25822" s="5"/>
    </row>
    <row r="25823">
      <c r="N25823" s="1"/>
      <c r="V25823" s="5"/>
    </row>
    <row r="25824">
      <c r="N25824" s="1"/>
      <c r="V25824" s="5"/>
    </row>
    <row r="25825">
      <c r="N25825" s="1"/>
      <c r="V25825" s="5"/>
    </row>
    <row r="25826">
      <c r="N25826" s="1"/>
      <c r="V25826" s="5"/>
    </row>
    <row r="25827">
      <c r="N25827" s="1"/>
      <c r="V25827" s="5"/>
    </row>
    <row r="25828">
      <c r="N25828" s="1"/>
      <c r="V25828" s="5"/>
    </row>
    <row r="25829">
      <c r="N25829" s="1"/>
      <c r="V25829" s="5"/>
    </row>
    <row r="25830">
      <c r="N25830" s="1"/>
      <c r="V25830" s="5"/>
    </row>
    <row r="25831">
      <c r="N25831" s="1"/>
      <c r="V25831" s="5"/>
    </row>
    <row r="25832">
      <c r="N25832" s="1"/>
      <c r="V25832" s="5"/>
    </row>
    <row r="25833">
      <c r="N25833" s="1"/>
      <c r="V25833" s="5"/>
    </row>
    <row r="25834">
      <c r="N25834" s="1"/>
      <c r="V25834" s="5"/>
    </row>
    <row r="25835">
      <c r="N25835" s="1"/>
      <c r="V25835" s="5"/>
    </row>
    <row r="25836">
      <c r="N25836" s="1"/>
      <c r="V25836" s="5"/>
    </row>
    <row r="25837">
      <c r="N25837" s="1"/>
      <c r="V25837" s="5"/>
    </row>
    <row r="25838">
      <c r="N25838" s="1"/>
      <c r="V25838" s="5"/>
    </row>
    <row r="25839">
      <c r="N25839" s="1"/>
      <c r="V25839" s="5"/>
    </row>
    <row r="25840">
      <c r="N25840" s="1"/>
      <c r="V25840" s="5"/>
    </row>
    <row r="25841">
      <c r="N25841" s="1"/>
      <c r="V25841" s="5"/>
    </row>
    <row r="25842">
      <c r="N25842" s="1"/>
      <c r="V25842" s="5"/>
    </row>
    <row r="25843">
      <c r="N25843" s="1"/>
      <c r="V25843" s="5"/>
    </row>
    <row r="25844">
      <c r="N25844" s="1"/>
      <c r="V25844" s="5"/>
    </row>
    <row r="25845">
      <c r="N25845" s="1"/>
      <c r="V25845" s="5"/>
    </row>
    <row r="25846">
      <c r="N25846" s="1"/>
      <c r="V25846" s="5"/>
    </row>
    <row r="25847">
      <c r="N25847" s="1"/>
      <c r="V25847" s="5"/>
    </row>
    <row r="25848">
      <c r="N25848" s="1"/>
      <c r="V25848" s="5"/>
    </row>
    <row r="25849">
      <c r="N25849" s="1"/>
      <c r="V25849" s="5"/>
    </row>
    <row r="25850">
      <c r="N25850" s="1"/>
      <c r="V25850" s="5"/>
    </row>
    <row r="25851">
      <c r="N25851" s="1"/>
      <c r="V25851" s="5"/>
    </row>
    <row r="25852">
      <c r="N25852" s="1"/>
      <c r="V25852" s="5"/>
    </row>
    <row r="25853">
      <c r="N25853" s="1"/>
      <c r="V25853" s="5"/>
    </row>
    <row r="25854">
      <c r="N25854" s="1"/>
      <c r="V25854" s="5"/>
    </row>
    <row r="25855">
      <c r="N25855" s="1"/>
      <c r="V25855" s="5"/>
    </row>
    <row r="25856">
      <c r="N25856" s="1"/>
      <c r="V25856" s="5"/>
    </row>
    <row r="25857">
      <c r="N25857" s="1"/>
      <c r="V25857" s="5"/>
    </row>
    <row r="25858">
      <c r="N25858" s="1"/>
      <c r="V25858" s="5"/>
    </row>
    <row r="25859">
      <c r="N25859" s="1"/>
      <c r="V25859" s="5"/>
    </row>
    <row r="25860">
      <c r="N25860" s="1"/>
      <c r="V25860" s="5"/>
    </row>
    <row r="25861">
      <c r="N25861" s="1"/>
      <c r="V25861" s="5"/>
    </row>
    <row r="25862">
      <c r="N25862" s="1"/>
      <c r="V25862" s="5"/>
    </row>
    <row r="25863">
      <c r="N25863" s="1"/>
      <c r="V25863" s="5"/>
    </row>
    <row r="25864">
      <c r="N25864" s="1"/>
      <c r="V25864" s="5"/>
    </row>
    <row r="25865">
      <c r="N25865" s="1"/>
      <c r="V25865" s="5"/>
    </row>
    <row r="25866">
      <c r="N25866" s="1"/>
      <c r="V25866" s="5"/>
    </row>
    <row r="25867">
      <c r="N25867" s="1"/>
      <c r="V25867" s="5"/>
    </row>
    <row r="25868">
      <c r="N25868" s="1"/>
      <c r="V25868" s="5"/>
    </row>
    <row r="25869">
      <c r="N25869" s="1"/>
      <c r="V25869" s="5"/>
    </row>
    <row r="25870">
      <c r="N25870" s="1"/>
      <c r="V25870" s="5"/>
    </row>
    <row r="25871">
      <c r="N25871" s="1"/>
      <c r="V25871" s="5"/>
    </row>
    <row r="25872">
      <c r="N25872" s="1"/>
      <c r="V25872" s="5"/>
    </row>
    <row r="25873">
      <c r="N25873" s="1"/>
      <c r="V25873" s="5"/>
    </row>
    <row r="25874">
      <c r="N25874" s="1"/>
      <c r="V25874" s="5"/>
    </row>
    <row r="25875">
      <c r="N25875" s="1"/>
      <c r="V25875" s="5"/>
    </row>
    <row r="25876">
      <c r="N25876" s="1"/>
      <c r="V25876" s="5"/>
    </row>
    <row r="25877">
      <c r="N25877" s="1"/>
      <c r="V25877" s="5"/>
    </row>
    <row r="25878">
      <c r="N25878" s="1"/>
      <c r="V25878" s="5"/>
    </row>
    <row r="25879">
      <c r="N25879" s="1"/>
      <c r="V25879" s="5"/>
    </row>
    <row r="25880">
      <c r="N25880" s="1"/>
      <c r="V25880" s="5"/>
    </row>
    <row r="25881">
      <c r="N25881" s="1"/>
      <c r="V25881" s="5"/>
    </row>
    <row r="25882">
      <c r="N25882" s="1"/>
      <c r="V25882" s="5"/>
    </row>
    <row r="25883">
      <c r="N25883" s="1"/>
      <c r="V25883" s="5"/>
    </row>
    <row r="25884">
      <c r="N25884" s="1"/>
      <c r="V25884" s="5"/>
    </row>
    <row r="25885">
      <c r="N25885" s="1"/>
      <c r="V25885" s="5"/>
    </row>
    <row r="25886">
      <c r="N25886" s="1"/>
      <c r="V25886" s="5"/>
    </row>
    <row r="25887">
      <c r="N25887" s="1"/>
      <c r="V25887" s="5"/>
    </row>
    <row r="25888">
      <c r="N25888" s="1"/>
      <c r="V25888" s="5"/>
    </row>
    <row r="25889">
      <c r="N25889" s="1"/>
      <c r="V25889" s="5"/>
    </row>
    <row r="25890">
      <c r="N25890" s="1"/>
      <c r="V25890" s="5"/>
    </row>
    <row r="25891">
      <c r="N25891" s="1"/>
      <c r="V25891" s="5"/>
    </row>
    <row r="25892">
      <c r="N25892" s="1"/>
      <c r="V25892" s="5"/>
    </row>
    <row r="25893">
      <c r="N25893" s="1"/>
      <c r="V25893" s="5"/>
    </row>
    <row r="25894">
      <c r="N25894" s="1"/>
      <c r="V25894" s="5"/>
    </row>
    <row r="25895">
      <c r="N25895" s="1"/>
      <c r="V25895" s="5"/>
    </row>
    <row r="25896">
      <c r="N25896" s="1"/>
      <c r="V25896" s="5"/>
    </row>
    <row r="25897">
      <c r="N25897" s="1"/>
      <c r="V25897" s="5"/>
    </row>
    <row r="25898">
      <c r="N25898" s="1"/>
      <c r="V25898" s="5"/>
    </row>
    <row r="25899">
      <c r="N25899" s="1"/>
      <c r="V25899" s="5"/>
    </row>
    <row r="25900">
      <c r="N25900" s="1"/>
      <c r="V25900" s="5"/>
    </row>
    <row r="25901">
      <c r="N25901" s="1"/>
      <c r="V25901" s="5"/>
    </row>
    <row r="25902">
      <c r="N25902" s="1"/>
      <c r="V25902" s="5"/>
    </row>
    <row r="25903">
      <c r="N25903" s="1"/>
      <c r="V25903" s="5"/>
    </row>
    <row r="25904">
      <c r="N25904" s="1"/>
      <c r="V25904" s="5"/>
    </row>
    <row r="25905">
      <c r="N25905" s="1"/>
      <c r="V25905" s="5"/>
    </row>
    <row r="25906">
      <c r="N25906" s="1"/>
      <c r="V25906" s="5"/>
    </row>
    <row r="25907">
      <c r="N25907" s="1"/>
      <c r="V25907" s="5"/>
    </row>
    <row r="25908">
      <c r="N25908" s="1"/>
      <c r="V25908" s="5"/>
    </row>
    <row r="25909">
      <c r="N25909" s="1"/>
      <c r="V25909" s="5"/>
    </row>
    <row r="25910">
      <c r="N25910" s="1"/>
      <c r="V25910" s="5"/>
    </row>
    <row r="25911">
      <c r="N25911" s="1"/>
      <c r="V25911" s="5"/>
    </row>
    <row r="25912">
      <c r="N25912" s="1"/>
      <c r="V25912" s="5"/>
    </row>
    <row r="25913">
      <c r="N25913" s="1"/>
      <c r="V25913" s="5"/>
    </row>
    <row r="25914">
      <c r="N25914" s="1"/>
      <c r="V25914" s="5"/>
    </row>
    <row r="25915">
      <c r="N25915" s="1"/>
      <c r="V25915" s="5"/>
    </row>
    <row r="25916">
      <c r="N25916" s="1"/>
      <c r="V25916" s="5"/>
    </row>
    <row r="25917">
      <c r="N25917" s="1"/>
      <c r="V25917" s="5"/>
    </row>
    <row r="25918">
      <c r="N25918" s="1"/>
      <c r="V25918" s="5"/>
    </row>
    <row r="25919">
      <c r="N25919" s="1"/>
      <c r="V25919" s="5"/>
    </row>
    <row r="25920">
      <c r="N25920" s="1"/>
      <c r="V25920" s="5"/>
    </row>
    <row r="25921">
      <c r="N25921" s="1"/>
      <c r="V25921" s="5"/>
    </row>
    <row r="25922">
      <c r="N25922" s="1"/>
      <c r="V25922" s="5"/>
    </row>
    <row r="25923">
      <c r="N25923" s="1"/>
      <c r="V25923" s="5"/>
    </row>
    <row r="25924">
      <c r="N25924" s="1"/>
      <c r="V25924" s="5"/>
    </row>
    <row r="25925">
      <c r="N25925" s="1"/>
      <c r="V25925" s="5"/>
    </row>
    <row r="25926">
      <c r="N25926" s="1"/>
      <c r="V25926" s="5"/>
    </row>
    <row r="25927">
      <c r="N25927" s="1"/>
      <c r="V25927" s="5"/>
    </row>
    <row r="25928">
      <c r="N25928" s="1"/>
      <c r="V25928" s="5"/>
    </row>
    <row r="25929">
      <c r="N25929" s="1"/>
      <c r="V25929" s="5"/>
    </row>
    <row r="25930">
      <c r="N25930" s="1"/>
      <c r="V25930" s="5"/>
    </row>
    <row r="25931">
      <c r="N25931" s="1"/>
      <c r="V25931" s="5"/>
    </row>
    <row r="25932">
      <c r="N25932" s="1"/>
      <c r="V25932" s="5"/>
    </row>
    <row r="25933">
      <c r="N25933" s="1"/>
      <c r="V25933" s="5"/>
    </row>
    <row r="25934">
      <c r="N25934" s="1"/>
      <c r="V25934" s="5"/>
    </row>
    <row r="25935">
      <c r="N25935" s="1"/>
      <c r="V25935" s="5"/>
    </row>
    <row r="25936">
      <c r="N25936" s="1"/>
      <c r="V25936" s="5"/>
    </row>
    <row r="25937">
      <c r="N25937" s="1"/>
      <c r="V25937" s="5"/>
    </row>
    <row r="25938">
      <c r="N25938" s="1"/>
      <c r="V25938" s="5"/>
    </row>
    <row r="25939">
      <c r="N25939" s="1"/>
      <c r="V25939" s="5"/>
    </row>
    <row r="25940">
      <c r="N25940" s="1"/>
      <c r="V25940" s="5"/>
    </row>
    <row r="25941">
      <c r="N25941" s="1"/>
      <c r="V25941" s="5"/>
    </row>
    <row r="25942">
      <c r="N25942" s="1"/>
      <c r="V25942" s="5"/>
    </row>
    <row r="25943">
      <c r="N25943" s="1"/>
      <c r="V25943" s="5"/>
    </row>
    <row r="25944">
      <c r="N25944" s="1"/>
      <c r="V25944" s="5"/>
    </row>
    <row r="25945">
      <c r="N25945" s="1"/>
      <c r="V25945" s="5"/>
    </row>
    <row r="25946">
      <c r="N25946" s="1"/>
      <c r="V25946" s="5"/>
    </row>
    <row r="25947">
      <c r="N25947" s="1"/>
      <c r="V25947" s="5"/>
    </row>
    <row r="25948">
      <c r="N25948" s="1"/>
      <c r="V25948" s="5"/>
    </row>
    <row r="25949">
      <c r="N25949" s="1"/>
      <c r="V25949" s="5"/>
    </row>
    <row r="25950">
      <c r="N25950" s="1"/>
      <c r="V25950" s="5"/>
    </row>
    <row r="25951">
      <c r="N25951" s="1"/>
      <c r="V25951" s="5"/>
    </row>
    <row r="25952">
      <c r="N25952" s="1"/>
      <c r="V25952" s="5"/>
    </row>
    <row r="25953">
      <c r="N25953" s="1"/>
      <c r="V25953" s="5"/>
    </row>
    <row r="25954">
      <c r="N25954" s="1"/>
      <c r="V25954" s="5"/>
    </row>
    <row r="25955">
      <c r="N25955" s="1"/>
      <c r="V25955" s="5"/>
    </row>
    <row r="25956">
      <c r="N25956" s="1"/>
      <c r="V25956" s="5"/>
    </row>
    <row r="25957">
      <c r="N25957" s="1"/>
      <c r="V25957" s="5"/>
    </row>
    <row r="25958">
      <c r="N25958" s="1"/>
      <c r="V25958" s="5"/>
    </row>
    <row r="25959">
      <c r="N25959" s="1"/>
      <c r="V25959" s="5"/>
    </row>
    <row r="25960">
      <c r="N25960" s="1"/>
      <c r="V25960" s="5"/>
    </row>
    <row r="25961">
      <c r="N25961" s="1"/>
      <c r="V25961" s="5"/>
    </row>
    <row r="25962">
      <c r="N25962" s="1"/>
      <c r="V25962" s="5"/>
    </row>
    <row r="25963">
      <c r="N25963" s="1"/>
      <c r="V25963" s="5"/>
    </row>
    <row r="25964">
      <c r="N25964" s="1"/>
      <c r="V25964" s="5"/>
    </row>
    <row r="25965">
      <c r="N25965" s="1"/>
      <c r="V25965" s="5"/>
    </row>
    <row r="25966">
      <c r="N25966" s="1"/>
      <c r="V25966" s="5"/>
    </row>
    <row r="25967">
      <c r="N25967" s="1"/>
      <c r="V25967" s="5"/>
    </row>
    <row r="25968">
      <c r="N25968" s="1"/>
      <c r="V25968" s="5"/>
    </row>
    <row r="25969">
      <c r="N25969" s="1"/>
      <c r="V25969" s="5"/>
    </row>
    <row r="25970">
      <c r="N25970" s="1"/>
      <c r="V25970" s="5"/>
    </row>
    <row r="25971">
      <c r="N25971" s="1"/>
      <c r="V25971" s="5"/>
    </row>
    <row r="25972">
      <c r="N25972" s="1"/>
      <c r="V25972" s="5"/>
    </row>
    <row r="25973">
      <c r="N25973" s="1"/>
      <c r="V25973" s="5"/>
    </row>
    <row r="25974">
      <c r="N25974" s="1"/>
      <c r="V25974" s="5"/>
    </row>
    <row r="25975">
      <c r="N25975" s="1"/>
      <c r="V25975" s="5"/>
    </row>
    <row r="25976">
      <c r="N25976" s="1"/>
      <c r="V25976" s="5"/>
    </row>
    <row r="25977">
      <c r="N25977" s="1"/>
      <c r="V25977" s="5"/>
    </row>
    <row r="25978">
      <c r="N25978" s="1"/>
      <c r="V25978" s="5"/>
    </row>
    <row r="25979">
      <c r="N25979" s="1"/>
      <c r="V25979" s="5"/>
    </row>
    <row r="25980">
      <c r="N25980" s="1"/>
      <c r="V25980" s="5"/>
    </row>
    <row r="25981">
      <c r="N25981" s="1"/>
      <c r="V25981" s="5"/>
    </row>
    <row r="25982">
      <c r="N25982" s="1"/>
      <c r="V25982" s="5"/>
    </row>
    <row r="25983">
      <c r="N25983" s="1"/>
      <c r="V25983" s="5"/>
    </row>
    <row r="25984">
      <c r="N25984" s="1"/>
      <c r="V25984" s="5"/>
    </row>
    <row r="25985">
      <c r="N25985" s="1"/>
      <c r="V25985" s="5"/>
    </row>
    <row r="25986">
      <c r="N25986" s="1"/>
      <c r="V25986" s="5"/>
    </row>
    <row r="25987">
      <c r="N25987" s="1"/>
      <c r="V25987" s="5"/>
    </row>
    <row r="25988">
      <c r="N25988" s="1"/>
      <c r="V25988" s="5"/>
    </row>
    <row r="25989">
      <c r="N25989" s="1"/>
      <c r="V25989" s="5"/>
    </row>
    <row r="25990">
      <c r="N25990" s="1"/>
      <c r="V25990" s="5"/>
    </row>
    <row r="25991">
      <c r="N25991" s="1"/>
      <c r="V25991" s="5"/>
    </row>
    <row r="25992">
      <c r="N25992" s="1"/>
      <c r="V25992" s="5"/>
    </row>
    <row r="25993">
      <c r="N25993" s="1"/>
      <c r="V25993" s="5"/>
    </row>
    <row r="25994">
      <c r="N25994" s="1"/>
      <c r="V25994" s="5"/>
    </row>
    <row r="25995">
      <c r="N25995" s="1"/>
      <c r="V25995" s="5"/>
    </row>
    <row r="25996">
      <c r="N25996" s="1"/>
      <c r="V25996" s="5"/>
    </row>
    <row r="25997">
      <c r="N25997" s="1"/>
      <c r="V25997" s="5"/>
    </row>
    <row r="25998">
      <c r="N25998" s="1"/>
      <c r="V25998" s="5"/>
    </row>
    <row r="25999">
      <c r="N25999" s="1"/>
      <c r="V25999" s="5"/>
    </row>
    <row r="26000">
      <c r="N26000" s="1"/>
      <c r="V26000" s="5"/>
    </row>
    <row r="26001">
      <c r="N26001" s="1"/>
      <c r="V26001" s="5"/>
    </row>
    <row r="26002">
      <c r="N26002" s="1"/>
      <c r="V26002" s="5"/>
    </row>
    <row r="26003">
      <c r="N26003" s="1"/>
      <c r="V26003" s="5"/>
    </row>
    <row r="26004">
      <c r="N26004" s="1"/>
      <c r="V26004" s="5"/>
    </row>
    <row r="26005">
      <c r="N26005" s="1"/>
      <c r="V26005" s="5"/>
    </row>
    <row r="26006">
      <c r="N26006" s="1"/>
      <c r="V26006" s="5"/>
    </row>
    <row r="26007">
      <c r="N26007" s="1"/>
      <c r="V26007" s="5"/>
    </row>
    <row r="26008">
      <c r="N26008" s="1"/>
      <c r="V26008" s="5"/>
    </row>
    <row r="26009">
      <c r="N26009" s="1"/>
      <c r="V26009" s="5"/>
    </row>
    <row r="26010">
      <c r="N26010" s="1"/>
      <c r="V26010" s="5"/>
    </row>
    <row r="26011">
      <c r="N26011" s="1"/>
      <c r="V26011" s="5"/>
    </row>
    <row r="26012">
      <c r="N26012" s="1"/>
      <c r="V26012" s="5"/>
    </row>
    <row r="26013">
      <c r="N26013" s="1"/>
      <c r="V26013" s="5"/>
    </row>
    <row r="26014">
      <c r="N26014" s="1"/>
      <c r="V26014" s="5"/>
    </row>
    <row r="26015">
      <c r="N26015" s="1"/>
      <c r="V26015" s="5"/>
    </row>
    <row r="26016">
      <c r="N26016" s="1"/>
      <c r="V26016" s="5"/>
    </row>
    <row r="26017">
      <c r="N26017" s="1"/>
      <c r="V26017" s="5"/>
    </row>
    <row r="26018">
      <c r="N26018" s="1"/>
      <c r="V26018" s="5"/>
    </row>
    <row r="26019">
      <c r="N26019" s="1"/>
      <c r="V26019" s="5"/>
    </row>
    <row r="26020">
      <c r="N26020" s="1"/>
      <c r="V26020" s="5"/>
    </row>
    <row r="26021">
      <c r="N26021" s="1"/>
      <c r="V26021" s="5"/>
    </row>
    <row r="26022">
      <c r="N26022" s="1"/>
      <c r="V26022" s="5"/>
    </row>
    <row r="26023">
      <c r="N26023" s="1"/>
      <c r="V26023" s="5"/>
    </row>
    <row r="26024">
      <c r="N26024" s="1"/>
      <c r="V26024" s="5"/>
    </row>
    <row r="26025">
      <c r="N26025" s="1"/>
      <c r="V26025" s="5"/>
    </row>
    <row r="26026">
      <c r="N26026" s="1"/>
      <c r="V26026" s="5"/>
    </row>
    <row r="26027">
      <c r="N26027" s="1"/>
      <c r="V26027" s="5"/>
    </row>
    <row r="26028">
      <c r="N26028" s="1"/>
      <c r="V26028" s="5"/>
    </row>
    <row r="26029">
      <c r="N26029" s="1"/>
      <c r="V26029" s="5"/>
    </row>
    <row r="26030">
      <c r="N26030" s="1"/>
      <c r="V26030" s="5"/>
    </row>
    <row r="26031">
      <c r="N26031" s="1"/>
      <c r="V26031" s="5"/>
    </row>
    <row r="26032">
      <c r="N26032" s="1"/>
      <c r="V26032" s="5"/>
    </row>
    <row r="26033">
      <c r="N26033" s="1"/>
      <c r="V26033" s="5"/>
    </row>
    <row r="26034">
      <c r="N26034" s="1"/>
      <c r="V26034" s="5"/>
    </row>
    <row r="26035">
      <c r="N26035" s="1"/>
      <c r="V26035" s="5"/>
    </row>
    <row r="26036">
      <c r="N26036" s="1"/>
      <c r="V26036" s="5"/>
    </row>
    <row r="26037">
      <c r="N26037" s="1"/>
      <c r="V26037" s="5"/>
    </row>
    <row r="26038">
      <c r="N26038" s="1"/>
      <c r="V26038" s="5"/>
    </row>
    <row r="26039">
      <c r="N26039" s="1"/>
      <c r="V26039" s="5"/>
    </row>
    <row r="26040">
      <c r="N26040" s="1"/>
      <c r="V26040" s="5"/>
    </row>
    <row r="26041">
      <c r="N26041" s="1"/>
      <c r="V26041" s="5"/>
    </row>
    <row r="26042">
      <c r="N26042" s="1"/>
      <c r="V26042" s="5"/>
    </row>
    <row r="26043">
      <c r="N26043" s="1"/>
      <c r="V26043" s="5"/>
    </row>
    <row r="26044">
      <c r="N26044" s="1"/>
      <c r="V26044" s="5"/>
    </row>
    <row r="26045">
      <c r="N26045" s="1"/>
      <c r="V26045" s="5"/>
    </row>
    <row r="26046">
      <c r="N26046" s="1"/>
      <c r="V26046" s="5"/>
    </row>
    <row r="26047">
      <c r="N26047" s="1"/>
      <c r="V26047" s="5"/>
    </row>
    <row r="26048">
      <c r="N26048" s="1"/>
      <c r="V26048" s="5"/>
    </row>
    <row r="26049">
      <c r="N26049" s="1"/>
      <c r="V26049" s="5"/>
    </row>
    <row r="26050">
      <c r="N26050" s="1"/>
      <c r="V26050" s="5"/>
    </row>
    <row r="26051">
      <c r="N26051" s="1"/>
      <c r="V26051" s="5"/>
    </row>
    <row r="26052">
      <c r="N26052" s="1"/>
      <c r="V26052" s="5"/>
    </row>
    <row r="26053">
      <c r="N26053" s="1"/>
      <c r="V26053" s="5"/>
    </row>
    <row r="26054">
      <c r="N26054" s="1"/>
      <c r="V26054" s="5"/>
    </row>
    <row r="26055">
      <c r="N26055" s="1"/>
      <c r="V26055" s="5"/>
    </row>
    <row r="26056">
      <c r="N26056" s="1"/>
      <c r="V26056" s="5"/>
    </row>
    <row r="26057">
      <c r="N26057" s="1"/>
      <c r="V26057" s="5"/>
    </row>
    <row r="26058">
      <c r="N26058" s="1"/>
      <c r="V26058" s="5"/>
    </row>
    <row r="26059">
      <c r="N26059" s="1"/>
      <c r="V26059" s="5"/>
    </row>
    <row r="26060">
      <c r="N26060" s="1"/>
      <c r="V26060" s="5"/>
    </row>
    <row r="26061">
      <c r="N26061" s="1"/>
      <c r="V26061" s="5"/>
    </row>
    <row r="26062">
      <c r="N26062" s="1"/>
      <c r="V26062" s="5"/>
    </row>
    <row r="26063">
      <c r="N26063" s="1"/>
      <c r="V26063" s="5"/>
    </row>
    <row r="26064">
      <c r="N26064" s="1"/>
      <c r="V26064" s="5"/>
    </row>
    <row r="26065">
      <c r="N26065" s="1"/>
      <c r="V26065" s="5"/>
    </row>
    <row r="26066">
      <c r="N26066" s="1"/>
      <c r="V26066" s="5"/>
    </row>
    <row r="26067">
      <c r="N26067" s="1"/>
      <c r="V26067" s="5"/>
    </row>
    <row r="26068">
      <c r="N26068" s="1"/>
      <c r="V26068" s="5"/>
    </row>
    <row r="26069">
      <c r="N26069" s="1"/>
      <c r="V26069" s="5"/>
    </row>
    <row r="26070">
      <c r="N26070" s="1"/>
      <c r="V26070" s="5"/>
    </row>
    <row r="26071">
      <c r="N26071" s="1"/>
      <c r="V26071" s="5"/>
    </row>
    <row r="26072">
      <c r="N26072" s="1"/>
      <c r="V26072" s="5"/>
    </row>
    <row r="26073">
      <c r="N26073" s="1"/>
      <c r="V26073" s="5"/>
    </row>
    <row r="26074">
      <c r="N26074" s="1"/>
      <c r="V26074" s="5"/>
    </row>
    <row r="26075">
      <c r="N26075" s="1"/>
      <c r="V26075" s="5"/>
    </row>
    <row r="26076">
      <c r="N26076" s="1"/>
      <c r="V26076" s="5"/>
    </row>
    <row r="26077">
      <c r="N26077" s="1"/>
      <c r="V26077" s="5"/>
    </row>
    <row r="26078">
      <c r="N26078" s="1"/>
      <c r="V26078" s="5"/>
    </row>
    <row r="26079">
      <c r="N26079" s="1"/>
      <c r="V26079" s="5"/>
    </row>
    <row r="26080">
      <c r="N26080" s="1"/>
      <c r="V26080" s="5"/>
    </row>
    <row r="26081">
      <c r="N26081" s="1"/>
      <c r="V26081" s="5"/>
    </row>
    <row r="26082">
      <c r="N26082" s="1"/>
      <c r="V26082" s="5"/>
    </row>
    <row r="26083">
      <c r="N26083" s="1"/>
      <c r="V26083" s="5"/>
    </row>
    <row r="26084">
      <c r="N26084" s="1"/>
      <c r="V26084" s="5"/>
    </row>
    <row r="26085">
      <c r="N26085" s="1"/>
      <c r="V26085" s="5"/>
    </row>
    <row r="26086">
      <c r="N26086" s="1"/>
      <c r="V26086" s="5"/>
    </row>
    <row r="26087">
      <c r="N26087" s="1"/>
      <c r="V26087" s="5"/>
    </row>
    <row r="26088">
      <c r="N26088" s="1"/>
      <c r="V26088" s="5"/>
    </row>
    <row r="26089">
      <c r="N26089" s="1"/>
      <c r="V26089" s="5"/>
    </row>
    <row r="26090">
      <c r="N26090" s="1"/>
      <c r="V26090" s="5"/>
    </row>
    <row r="26091">
      <c r="N26091" s="1"/>
      <c r="V26091" s="5"/>
    </row>
    <row r="26092">
      <c r="N26092" s="1"/>
      <c r="V26092" s="5"/>
    </row>
    <row r="26093">
      <c r="N26093" s="1"/>
      <c r="V26093" s="5"/>
    </row>
    <row r="26094">
      <c r="N26094" s="1"/>
      <c r="V26094" s="5"/>
    </row>
    <row r="26095">
      <c r="N26095" s="1"/>
      <c r="V26095" s="5"/>
    </row>
    <row r="26096">
      <c r="N26096" s="1"/>
      <c r="V26096" s="5"/>
    </row>
    <row r="26097">
      <c r="N26097" s="1"/>
      <c r="V26097" s="5"/>
    </row>
    <row r="26098">
      <c r="N26098" s="1"/>
      <c r="V26098" s="5"/>
    </row>
    <row r="26099">
      <c r="N26099" s="1"/>
      <c r="V26099" s="5"/>
    </row>
    <row r="26100">
      <c r="N26100" s="1"/>
      <c r="V26100" s="5"/>
    </row>
    <row r="26101">
      <c r="N26101" s="1"/>
      <c r="V26101" s="5"/>
    </row>
    <row r="26102">
      <c r="N26102" s="1"/>
      <c r="V26102" s="5"/>
    </row>
    <row r="26103">
      <c r="N26103" s="1"/>
      <c r="V26103" s="5"/>
    </row>
    <row r="26104">
      <c r="N26104" s="1"/>
      <c r="V26104" s="5"/>
    </row>
    <row r="26105">
      <c r="N26105" s="1"/>
      <c r="V26105" s="5"/>
    </row>
    <row r="26106">
      <c r="N26106" s="1"/>
      <c r="V26106" s="5"/>
    </row>
    <row r="26107">
      <c r="N26107" s="1"/>
      <c r="V26107" s="5"/>
    </row>
    <row r="26108">
      <c r="N26108" s="1"/>
      <c r="V26108" s="5"/>
    </row>
    <row r="26109">
      <c r="N26109" s="1"/>
      <c r="V26109" s="5"/>
    </row>
    <row r="26110">
      <c r="N26110" s="1"/>
      <c r="V26110" s="5"/>
    </row>
    <row r="26111">
      <c r="N26111" s="1"/>
      <c r="V26111" s="5"/>
    </row>
    <row r="26112">
      <c r="N26112" s="1"/>
      <c r="V26112" s="5"/>
    </row>
    <row r="26113">
      <c r="N26113" s="1"/>
      <c r="V26113" s="5"/>
    </row>
    <row r="26114">
      <c r="N26114" s="1"/>
      <c r="V26114" s="5"/>
    </row>
    <row r="26115">
      <c r="N26115" s="1"/>
      <c r="V26115" s="5"/>
    </row>
    <row r="26116">
      <c r="N26116" s="1"/>
      <c r="V26116" s="5"/>
    </row>
    <row r="26117">
      <c r="N26117" s="1"/>
      <c r="V26117" s="5"/>
    </row>
    <row r="26118">
      <c r="N26118" s="1"/>
      <c r="V26118" s="5"/>
    </row>
    <row r="26119">
      <c r="N26119" s="1"/>
      <c r="V26119" s="5"/>
    </row>
    <row r="26120">
      <c r="N26120" s="1"/>
      <c r="V26120" s="5"/>
    </row>
    <row r="26121">
      <c r="N26121" s="1"/>
      <c r="V26121" s="5"/>
    </row>
    <row r="26122">
      <c r="N26122" s="1"/>
      <c r="V26122" s="5"/>
    </row>
    <row r="26123">
      <c r="N26123" s="1"/>
      <c r="V26123" s="5"/>
    </row>
    <row r="26124">
      <c r="N26124" s="1"/>
      <c r="V26124" s="5"/>
    </row>
    <row r="26125">
      <c r="N26125" s="1"/>
      <c r="V26125" s="5"/>
    </row>
    <row r="26126">
      <c r="N26126" s="1"/>
      <c r="V26126" s="5"/>
    </row>
    <row r="26127">
      <c r="N26127" s="1"/>
      <c r="V26127" s="5"/>
    </row>
    <row r="26128">
      <c r="N26128" s="1"/>
      <c r="V26128" s="5"/>
    </row>
    <row r="26129">
      <c r="N26129" s="1"/>
      <c r="V26129" s="5"/>
    </row>
    <row r="26130">
      <c r="N26130" s="1"/>
      <c r="V26130" s="5"/>
    </row>
    <row r="26131">
      <c r="N26131" s="1"/>
      <c r="V26131" s="5"/>
    </row>
    <row r="26132">
      <c r="N26132" s="1"/>
      <c r="V26132" s="5"/>
    </row>
    <row r="26133">
      <c r="N26133" s="1"/>
      <c r="V26133" s="5"/>
    </row>
    <row r="26134">
      <c r="N26134" s="1"/>
      <c r="V26134" s="5"/>
    </row>
    <row r="26135">
      <c r="N26135" s="1"/>
      <c r="V26135" s="5"/>
    </row>
    <row r="26136">
      <c r="N26136" s="1"/>
      <c r="V26136" s="5"/>
    </row>
    <row r="26137">
      <c r="N26137" s="1"/>
      <c r="V26137" s="5"/>
    </row>
    <row r="26138">
      <c r="N26138" s="1"/>
      <c r="V26138" s="5"/>
    </row>
    <row r="26139">
      <c r="N26139" s="1"/>
      <c r="V26139" s="5"/>
    </row>
    <row r="26140">
      <c r="N26140" s="1"/>
      <c r="V26140" s="5"/>
    </row>
    <row r="26141">
      <c r="N26141" s="1"/>
      <c r="V26141" s="5"/>
    </row>
    <row r="26142">
      <c r="N26142" s="1"/>
      <c r="V26142" s="5"/>
    </row>
    <row r="26143">
      <c r="N26143" s="1"/>
      <c r="V26143" s="5"/>
    </row>
    <row r="26144">
      <c r="N26144" s="1"/>
      <c r="V26144" s="5"/>
    </row>
    <row r="26145">
      <c r="N26145" s="1"/>
      <c r="V26145" s="5"/>
    </row>
    <row r="26146">
      <c r="N26146" s="1"/>
      <c r="V26146" s="5"/>
    </row>
    <row r="26147">
      <c r="N26147" s="1"/>
      <c r="V26147" s="5"/>
    </row>
    <row r="26148">
      <c r="N26148" s="1"/>
      <c r="V26148" s="5"/>
    </row>
    <row r="26149">
      <c r="N26149" s="1"/>
      <c r="V26149" s="5"/>
    </row>
    <row r="26150">
      <c r="N26150" s="1"/>
      <c r="V26150" s="5"/>
    </row>
    <row r="26151">
      <c r="N26151" s="1"/>
      <c r="V26151" s="5"/>
    </row>
    <row r="26152">
      <c r="N26152" s="1"/>
      <c r="V26152" s="5"/>
    </row>
    <row r="26153">
      <c r="N26153" s="1"/>
      <c r="V26153" s="5"/>
    </row>
    <row r="26154">
      <c r="N26154" s="1"/>
      <c r="V26154" s="5"/>
    </row>
    <row r="26155">
      <c r="N26155" s="1"/>
      <c r="V26155" s="5"/>
    </row>
    <row r="26156">
      <c r="N26156" s="1"/>
      <c r="V26156" s="5"/>
    </row>
    <row r="26157">
      <c r="N26157" s="1"/>
      <c r="V26157" s="5"/>
    </row>
    <row r="26158">
      <c r="N26158" s="1"/>
      <c r="V26158" s="5"/>
    </row>
    <row r="26159">
      <c r="N26159" s="1"/>
      <c r="V26159" s="5"/>
    </row>
    <row r="26160">
      <c r="N26160" s="1"/>
      <c r="V26160" s="5"/>
    </row>
    <row r="26161">
      <c r="N26161" s="1"/>
      <c r="V26161" s="5"/>
    </row>
    <row r="26162">
      <c r="N26162" s="1"/>
      <c r="V26162" s="5"/>
    </row>
    <row r="26163">
      <c r="N26163" s="1"/>
      <c r="V26163" s="5"/>
    </row>
    <row r="26164">
      <c r="N26164" s="1"/>
      <c r="V26164" s="5"/>
    </row>
    <row r="26165">
      <c r="N26165" s="1"/>
      <c r="V26165" s="5"/>
    </row>
    <row r="26166">
      <c r="N26166" s="1"/>
      <c r="V26166" s="5"/>
    </row>
    <row r="26167">
      <c r="N26167" s="1"/>
      <c r="V26167" s="5"/>
    </row>
    <row r="26168">
      <c r="N26168" s="1"/>
      <c r="V26168" s="5"/>
    </row>
    <row r="26169">
      <c r="N26169" s="1"/>
      <c r="V26169" s="5"/>
    </row>
    <row r="26170">
      <c r="N26170" s="1"/>
      <c r="V26170" s="5"/>
    </row>
    <row r="26171">
      <c r="N26171" s="1"/>
      <c r="V26171" s="5"/>
    </row>
    <row r="26172">
      <c r="N26172" s="1"/>
      <c r="V26172" s="5"/>
    </row>
    <row r="26173">
      <c r="N26173" s="1"/>
      <c r="V26173" s="5"/>
    </row>
    <row r="26174">
      <c r="N26174" s="1"/>
      <c r="V26174" s="5"/>
    </row>
    <row r="26175">
      <c r="N26175" s="1"/>
      <c r="V26175" s="5"/>
    </row>
    <row r="26176">
      <c r="N26176" s="1"/>
      <c r="V26176" s="5"/>
    </row>
    <row r="26177">
      <c r="N26177" s="1"/>
      <c r="V26177" s="5"/>
    </row>
    <row r="26178">
      <c r="N26178" s="1"/>
      <c r="V26178" s="5"/>
    </row>
    <row r="26179">
      <c r="N26179" s="1"/>
      <c r="V26179" s="5"/>
    </row>
    <row r="26180">
      <c r="N26180" s="1"/>
      <c r="V26180" s="5"/>
    </row>
    <row r="26181">
      <c r="N26181" s="1"/>
      <c r="V26181" s="5"/>
    </row>
    <row r="26182">
      <c r="N26182" s="1"/>
      <c r="V26182" s="5"/>
    </row>
    <row r="26183">
      <c r="N26183" s="1"/>
      <c r="V26183" s="5"/>
    </row>
    <row r="26184">
      <c r="N26184" s="1"/>
      <c r="V26184" s="5"/>
    </row>
    <row r="26185">
      <c r="N26185" s="1"/>
      <c r="V26185" s="5"/>
    </row>
    <row r="26186">
      <c r="N26186" s="1"/>
      <c r="V26186" s="5"/>
    </row>
    <row r="26187">
      <c r="N26187" s="1"/>
      <c r="V26187" s="5"/>
    </row>
    <row r="26188">
      <c r="N26188" s="1"/>
      <c r="V26188" s="5"/>
    </row>
    <row r="26189">
      <c r="N26189" s="1"/>
      <c r="V26189" s="5"/>
    </row>
    <row r="26190">
      <c r="N26190" s="1"/>
      <c r="V26190" s="5"/>
    </row>
    <row r="26191">
      <c r="N26191" s="1"/>
      <c r="V26191" s="5"/>
    </row>
    <row r="26192">
      <c r="N26192" s="1"/>
      <c r="V26192" s="5"/>
    </row>
    <row r="26193">
      <c r="N26193" s="1"/>
      <c r="V26193" s="5"/>
    </row>
    <row r="26194">
      <c r="N26194" s="1"/>
      <c r="V26194" s="5"/>
    </row>
    <row r="26195">
      <c r="N26195" s="1"/>
      <c r="V26195" s="5"/>
    </row>
    <row r="26196">
      <c r="N26196" s="1"/>
      <c r="V26196" s="5"/>
    </row>
    <row r="26197">
      <c r="N26197" s="1"/>
      <c r="V26197" s="5"/>
    </row>
    <row r="26198">
      <c r="N26198" s="1"/>
      <c r="V26198" s="5"/>
    </row>
    <row r="26199">
      <c r="N26199" s="1"/>
      <c r="V26199" s="5"/>
    </row>
    <row r="26200">
      <c r="N26200" s="1"/>
      <c r="V26200" s="5"/>
    </row>
    <row r="26201">
      <c r="N26201" s="1"/>
      <c r="V26201" s="5"/>
    </row>
    <row r="26202">
      <c r="N26202" s="1"/>
      <c r="V26202" s="5"/>
    </row>
    <row r="26203">
      <c r="N26203" s="1"/>
      <c r="V26203" s="5"/>
    </row>
    <row r="26204">
      <c r="N26204" s="1"/>
      <c r="V26204" s="5"/>
    </row>
    <row r="26205">
      <c r="N26205" s="1"/>
      <c r="V26205" s="5"/>
    </row>
    <row r="26206">
      <c r="N26206" s="1"/>
      <c r="V26206" s="5"/>
    </row>
    <row r="26207">
      <c r="N26207" s="1"/>
      <c r="V26207" s="5"/>
    </row>
    <row r="26208">
      <c r="N26208" s="1"/>
      <c r="V26208" s="5"/>
    </row>
    <row r="26209">
      <c r="N26209" s="1"/>
      <c r="V26209" s="5"/>
    </row>
    <row r="26210">
      <c r="N26210" s="1"/>
      <c r="V26210" s="5"/>
    </row>
    <row r="26211">
      <c r="N26211" s="1"/>
      <c r="V26211" s="5"/>
    </row>
    <row r="26212">
      <c r="N26212" s="1"/>
      <c r="V26212" s="5"/>
    </row>
    <row r="26213">
      <c r="N26213" s="1"/>
      <c r="V26213" s="5"/>
    </row>
    <row r="26214">
      <c r="N26214" s="1"/>
      <c r="V26214" s="5"/>
    </row>
    <row r="26215">
      <c r="N26215" s="1"/>
      <c r="V26215" s="5"/>
    </row>
    <row r="26216">
      <c r="N26216" s="1"/>
      <c r="V26216" s="5"/>
    </row>
    <row r="26217">
      <c r="N26217" s="1"/>
      <c r="V26217" s="5"/>
    </row>
    <row r="26218">
      <c r="N26218" s="1"/>
      <c r="V26218" s="5"/>
    </row>
    <row r="26219">
      <c r="N26219" s="1"/>
      <c r="V26219" s="5"/>
    </row>
    <row r="26220">
      <c r="N26220" s="1"/>
      <c r="V26220" s="5"/>
    </row>
    <row r="26221">
      <c r="N26221" s="1"/>
      <c r="V26221" s="5"/>
    </row>
    <row r="26222">
      <c r="N26222" s="1"/>
      <c r="V26222" s="5"/>
    </row>
    <row r="26223">
      <c r="N26223" s="1"/>
      <c r="V26223" s="5"/>
    </row>
    <row r="26224">
      <c r="N26224" s="1"/>
      <c r="V26224" s="5"/>
    </row>
    <row r="26225">
      <c r="N26225" s="1"/>
      <c r="V26225" s="5"/>
    </row>
    <row r="26226">
      <c r="N26226" s="1"/>
      <c r="V26226" s="5"/>
    </row>
    <row r="26227">
      <c r="N26227" s="1"/>
      <c r="V26227" s="5"/>
    </row>
    <row r="26228">
      <c r="N26228" s="1"/>
      <c r="V26228" s="5"/>
    </row>
    <row r="26229">
      <c r="N26229" s="1"/>
      <c r="V26229" s="5"/>
    </row>
    <row r="26230">
      <c r="N26230" s="1"/>
      <c r="V26230" s="5"/>
    </row>
    <row r="26231">
      <c r="N26231" s="1"/>
      <c r="V26231" s="5"/>
    </row>
    <row r="26232">
      <c r="N26232" s="1"/>
      <c r="V26232" s="5"/>
    </row>
    <row r="26233">
      <c r="N26233" s="1"/>
      <c r="V26233" s="5"/>
    </row>
    <row r="26234">
      <c r="N26234" s="1"/>
      <c r="V26234" s="5"/>
    </row>
    <row r="26235">
      <c r="N26235" s="1"/>
      <c r="V26235" s="5"/>
    </row>
    <row r="26236">
      <c r="N26236" s="1"/>
      <c r="V26236" s="5"/>
    </row>
    <row r="26237">
      <c r="N26237" s="1"/>
      <c r="V26237" s="5"/>
    </row>
    <row r="26238">
      <c r="N26238" s="1"/>
      <c r="V26238" s="5"/>
    </row>
    <row r="26239">
      <c r="N26239" s="1"/>
      <c r="V26239" s="5"/>
    </row>
    <row r="26240">
      <c r="N26240" s="1"/>
      <c r="V26240" s="5"/>
    </row>
    <row r="26241">
      <c r="N26241" s="1"/>
      <c r="V26241" s="5"/>
    </row>
    <row r="26242">
      <c r="N26242" s="1"/>
      <c r="V26242" s="5"/>
    </row>
    <row r="26243">
      <c r="N26243" s="1"/>
      <c r="V26243" s="5"/>
    </row>
    <row r="26244">
      <c r="N26244" s="1"/>
      <c r="V26244" s="5"/>
    </row>
    <row r="26245">
      <c r="N26245" s="1"/>
      <c r="V26245" s="5"/>
    </row>
    <row r="26246">
      <c r="N26246" s="1"/>
      <c r="V26246" s="5"/>
    </row>
    <row r="26247">
      <c r="N26247" s="1"/>
      <c r="V26247" s="5"/>
    </row>
    <row r="26248">
      <c r="N26248" s="1"/>
      <c r="V26248" s="5"/>
    </row>
    <row r="26249">
      <c r="N26249" s="1"/>
      <c r="V26249" s="5"/>
    </row>
    <row r="26250">
      <c r="N26250" s="1"/>
      <c r="V26250" s="5"/>
    </row>
    <row r="26251">
      <c r="N26251" s="1"/>
      <c r="V26251" s="5"/>
    </row>
    <row r="26252">
      <c r="N26252" s="1"/>
      <c r="V26252" s="5"/>
    </row>
    <row r="26253">
      <c r="N26253" s="1"/>
      <c r="V26253" s="5"/>
    </row>
    <row r="26254">
      <c r="N26254" s="1"/>
      <c r="V26254" s="5"/>
    </row>
    <row r="26255">
      <c r="N26255" s="1"/>
      <c r="V26255" s="5"/>
    </row>
    <row r="26256">
      <c r="N26256" s="1"/>
      <c r="V26256" s="5"/>
    </row>
    <row r="26257">
      <c r="N26257" s="1"/>
      <c r="V26257" s="5"/>
    </row>
    <row r="26258">
      <c r="N26258" s="1"/>
      <c r="V26258" s="5"/>
    </row>
    <row r="26259">
      <c r="N26259" s="1"/>
      <c r="V26259" s="5"/>
    </row>
    <row r="26260">
      <c r="N26260" s="1"/>
      <c r="V26260" s="5"/>
    </row>
    <row r="26261">
      <c r="N26261" s="1"/>
      <c r="V26261" s="5"/>
    </row>
    <row r="26262">
      <c r="N26262" s="1"/>
      <c r="V26262" s="5"/>
    </row>
    <row r="26263">
      <c r="N26263" s="1"/>
      <c r="V26263" s="5"/>
    </row>
    <row r="26264">
      <c r="N26264" s="1"/>
      <c r="V26264" s="5"/>
    </row>
    <row r="26265">
      <c r="N26265" s="1"/>
      <c r="V26265" s="5"/>
    </row>
    <row r="26266">
      <c r="N26266" s="1"/>
      <c r="V26266" s="5"/>
    </row>
    <row r="26267">
      <c r="N26267" s="1"/>
      <c r="V26267" s="5"/>
    </row>
    <row r="26268">
      <c r="N26268" s="1"/>
      <c r="V26268" s="5"/>
    </row>
    <row r="26269">
      <c r="N26269" s="1"/>
      <c r="V26269" s="5"/>
    </row>
    <row r="26270">
      <c r="N26270" s="1"/>
      <c r="V26270" s="5"/>
    </row>
    <row r="26271">
      <c r="N26271" s="1"/>
      <c r="V26271" s="5"/>
    </row>
    <row r="26272">
      <c r="N26272" s="1"/>
      <c r="V26272" s="5"/>
    </row>
    <row r="26273">
      <c r="N26273" s="1"/>
      <c r="V26273" s="5"/>
    </row>
    <row r="26274">
      <c r="N26274" s="1"/>
      <c r="V26274" s="5"/>
    </row>
    <row r="26275">
      <c r="N26275" s="1"/>
      <c r="V26275" s="5"/>
    </row>
    <row r="26276">
      <c r="N26276" s="1"/>
      <c r="V26276" s="5"/>
    </row>
    <row r="26277">
      <c r="N26277" s="1"/>
      <c r="V26277" s="5"/>
    </row>
    <row r="26278">
      <c r="N26278" s="1"/>
      <c r="V26278" s="5"/>
    </row>
    <row r="26279">
      <c r="N26279" s="1"/>
      <c r="V26279" s="5"/>
    </row>
    <row r="26280">
      <c r="N26280" s="1"/>
      <c r="V26280" s="5"/>
    </row>
    <row r="26281">
      <c r="N26281" s="1"/>
      <c r="V26281" s="5"/>
    </row>
    <row r="26282">
      <c r="N26282" s="1"/>
      <c r="V26282" s="5"/>
    </row>
    <row r="26283">
      <c r="N26283" s="1"/>
      <c r="V26283" s="5"/>
    </row>
    <row r="26284">
      <c r="N26284" s="1"/>
      <c r="V26284" s="5"/>
    </row>
    <row r="26285">
      <c r="N26285" s="1"/>
      <c r="V26285" s="5"/>
    </row>
    <row r="26286">
      <c r="N26286" s="1"/>
      <c r="V26286" s="5"/>
    </row>
    <row r="26287">
      <c r="N26287" s="1"/>
      <c r="V26287" s="5"/>
    </row>
    <row r="26288">
      <c r="N26288" s="1"/>
      <c r="V26288" s="5"/>
    </row>
    <row r="26289">
      <c r="N26289" s="1"/>
      <c r="V26289" s="5"/>
    </row>
    <row r="26290">
      <c r="N26290" s="1"/>
      <c r="V26290" s="5"/>
    </row>
    <row r="26291">
      <c r="N26291" s="1"/>
      <c r="V26291" s="5"/>
    </row>
    <row r="26292">
      <c r="N26292" s="1"/>
      <c r="V26292" s="5"/>
    </row>
    <row r="26293">
      <c r="N26293" s="1"/>
      <c r="V26293" s="5"/>
    </row>
    <row r="26294">
      <c r="N26294" s="1"/>
      <c r="V26294" s="5"/>
    </row>
    <row r="26295">
      <c r="N26295" s="1"/>
      <c r="V26295" s="5"/>
    </row>
    <row r="26296">
      <c r="N26296" s="1"/>
      <c r="V26296" s="5"/>
    </row>
    <row r="26297">
      <c r="N26297" s="1"/>
      <c r="V26297" s="5"/>
    </row>
    <row r="26298">
      <c r="N26298" s="1"/>
      <c r="V26298" s="5"/>
    </row>
    <row r="26299">
      <c r="N26299" s="1"/>
      <c r="V26299" s="5"/>
    </row>
    <row r="26300">
      <c r="N26300" s="1"/>
      <c r="V26300" s="5"/>
    </row>
    <row r="26301">
      <c r="N26301" s="1"/>
      <c r="V26301" s="5"/>
    </row>
    <row r="26302">
      <c r="N26302" s="1"/>
      <c r="V26302" s="5"/>
    </row>
    <row r="26303">
      <c r="N26303" s="1"/>
      <c r="V26303" s="5"/>
    </row>
    <row r="26304">
      <c r="N26304" s="1"/>
      <c r="V26304" s="5"/>
    </row>
    <row r="26305">
      <c r="N26305" s="1"/>
      <c r="V26305" s="5"/>
    </row>
    <row r="26306">
      <c r="N26306" s="1"/>
      <c r="V26306" s="5"/>
    </row>
    <row r="26307">
      <c r="N26307" s="1"/>
      <c r="V26307" s="5"/>
    </row>
    <row r="26308">
      <c r="N26308" s="1"/>
      <c r="V26308" s="5"/>
    </row>
    <row r="26309">
      <c r="N26309" s="1"/>
      <c r="V26309" s="5"/>
    </row>
    <row r="26310">
      <c r="N26310" s="1"/>
      <c r="V26310" s="5"/>
    </row>
    <row r="26311">
      <c r="N26311" s="1"/>
      <c r="V26311" s="5"/>
    </row>
    <row r="26312">
      <c r="N26312" s="1"/>
      <c r="V26312" s="5"/>
    </row>
    <row r="26313">
      <c r="N26313" s="1"/>
      <c r="V26313" s="5"/>
    </row>
    <row r="26314">
      <c r="N26314" s="1"/>
      <c r="V26314" s="5"/>
    </row>
    <row r="26315">
      <c r="N26315" s="1"/>
      <c r="V26315" s="5"/>
    </row>
    <row r="26316">
      <c r="N26316" s="1"/>
      <c r="V26316" s="5"/>
    </row>
    <row r="26317">
      <c r="N26317" s="1"/>
      <c r="V26317" s="5"/>
    </row>
    <row r="26318">
      <c r="N26318" s="1"/>
      <c r="V26318" s="5"/>
    </row>
    <row r="26319">
      <c r="N26319" s="1"/>
      <c r="V26319" s="5"/>
    </row>
    <row r="26320">
      <c r="N26320" s="1"/>
      <c r="V26320" s="5"/>
    </row>
    <row r="26321">
      <c r="N26321" s="1"/>
      <c r="V26321" s="5"/>
    </row>
    <row r="26322">
      <c r="N26322" s="1"/>
      <c r="V26322" s="5"/>
    </row>
    <row r="26323">
      <c r="N26323" s="1"/>
      <c r="V26323" s="5"/>
    </row>
    <row r="26324">
      <c r="N26324" s="1"/>
      <c r="V26324" s="5"/>
    </row>
    <row r="26325">
      <c r="N26325" s="1"/>
      <c r="V26325" s="5"/>
    </row>
    <row r="26326">
      <c r="N26326" s="1"/>
      <c r="V26326" s="5"/>
    </row>
    <row r="26327">
      <c r="N26327" s="1"/>
      <c r="V26327" s="5"/>
    </row>
    <row r="26328">
      <c r="N26328" s="1"/>
      <c r="V26328" s="5"/>
    </row>
    <row r="26329">
      <c r="N26329" s="1"/>
      <c r="V26329" s="5"/>
    </row>
    <row r="26330">
      <c r="N26330" s="1"/>
      <c r="V26330" s="5"/>
    </row>
    <row r="26331">
      <c r="N26331" s="1"/>
      <c r="V26331" s="5"/>
    </row>
    <row r="26332">
      <c r="N26332" s="1"/>
      <c r="V26332" s="5"/>
    </row>
    <row r="26333">
      <c r="N26333" s="1"/>
      <c r="V26333" s="5"/>
    </row>
    <row r="26334">
      <c r="N26334" s="1"/>
      <c r="V26334" s="5"/>
    </row>
    <row r="26335">
      <c r="N26335" s="1"/>
      <c r="V26335" s="5"/>
    </row>
    <row r="26336">
      <c r="N26336" s="1"/>
      <c r="V26336" s="5"/>
    </row>
    <row r="26337">
      <c r="N26337" s="1"/>
      <c r="V26337" s="5"/>
    </row>
    <row r="26338">
      <c r="N26338" s="1"/>
      <c r="V26338" s="5"/>
    </row>
    <row r="26339">
      <c r="N26339" s="1"/>
      <c r="V26339" s="5"/>
    </row>
    <row r="26340">
      <c r="N26340" s="1"/>
      <c r="V26340" s="5"/>
    </row>
    <row r="26341">
      <c r="N26341" s="1"/>
      <c r="V26341" s="5"/>
    </row>
    <row r="26342">
      <c r="N26342" s="1"/>
      <c r="V26342" s="5"/>
    </row>
    <row r="26343">
      <c r="N26343" s="1"/>
      <c r="V26343" s="5"/>
    </row>
    <row r="26344">
      <c r="N26344" s="1"/>
      <c r="V26344" s="5"/>
    </row>
    <row r="26345">
      <c r="N26345" s="1"/>
      <c r="V26345" s="5"/>
    </row>
    <row r="26346">
      <c r="N26346" s="1"/>
      <c r="V26346" s="5"/>
    </row>
    <row r="26347">
      <c r="N26347" s="1"/>
      <c r="V26347" s="5"/>
    </row>
    <row r="26348">
      <c r="N26348" s="1"/>
      <c r="V26348" s="5"/>
    </row>
    <row r="26349">
      <c r="N26349" s="1"/>
      <c r="V26349" s="5"/>
    </row>
    <row r="26350">
      <c r="N26350" s="1"/>
      <c r="V26350" s="5"/>
    </row>
    <row r="26351">
      <c r="N26351" s="1"/>
      <c r="V26351" s="5"/>
    </row>
    <row r="26352">
      <c r="N26352" s="1"/>
      <c r="V26352" s="5"/>
    </row>
    <row r="26353">
      <c r="N26353" s="1"/>
      <c r="V26353" s="5"/>
    </row>
    <row r="26354">
      <c r="N26354" s="1"/>
      <c r="V26354" s="5"/>
    </row>
    <row r="26355">
      <c r="N26355" s="1"/>
      <c r="V26355" s="5"/>
    </row>
    <row r="26356">
      <c r="N26356" s="1"/>
      <c r="V26356" s="5"/>
    </row>
    <row r="26357">
      <c r="N26357" s="1"/>
      <c r="V26357" s="5"/>
    </row>
    <row r="26358">
      <c r="N26358" s="1"/>
      <c r="V26358" s="5"/>
    </row>
    <row r="26359">
      <c r="N26359" s="1"/>
      <c r="V26359" s="5"/>
    </row>
    <row r="26360">
      <c r="N26360" s="1"/>
      <c r="V26360" s="5"/>
    </row>
    <row r="26361">
      <c r="N26361" s="1"/>
      <c r="V26361" s="5"/>
    </row>
    <row r="26362">
      <c r="N26362" s="1"/>
      <c r="V26362" s="5"/>
    </row>
    <row r="26363">
      <c r="N26363" s="1"/>
      <c r="V26363" s="5"/>
    </row>
    <row r="26364">
      <c r="N26364" s="1"/>
      <c r="V26364" s="5"/>
    </row>
    <row r="26365">
      <c r="N26365" s="1"/>
      <c r="V26365" s="5"/>
    </row>
    <row r="26366">
      <c r="N26366" s="1"/>
      <c r="V26366" s="5"/>
    </row>
    <row r="26367">
      <c r="N26367" s="1"/>
      <c r="V26367" s="5"/>
    </row>
    <row r="26368">
      <c r="N26368" s="1"/>
      <c r="V26368" s="5"/>
    </row>
    <row r="26369">
      <c r="N26369" s="1"/>
      <c r="V26369" s="5"/>
    </row>
    <row r="26370">
      <c r="N26370" s="1"/>
      <c r="V26370" s="5"/>
    </row>
    <row r="26371">
      <c r="N26371" s="1"/>
      <c r="V26371" s="5"/>
    </row>
    <row r="26372">
      <c r="N26372" s="1"/>
      <c r="V26372" s="5"/>
    </row>
    <row r="26373">
      <c r="N26373" s="1"/>
      <c r="V26373" s="5"/>
    </row>
    <row r="26374">
      <c r="N26374" s="1"/>
      <c r="V26374" s="5"/>
    </row>
    <row r="26375">
      <c r="N26375" s="1"/>
      <c r="V26375" s="5"/>
    </row>
    <row r="26376">
      <c r="N26376" s="1"/>
      <c r="V26376" s="5"/>
    </row>
    <row r="26377">
      <c r="N26377" s="1"/>
      <c r="V26377" s="5"/>
    </row>
    <row r="26378">
      <c r="N26378" s="1"/>
      <c r="V26378" s="5"/>
    </row>
    <row r="26379">
      <c r="N26379" s="1"/>
      <c r="V26379" s="5"/>
    </row>
    <row r="26380">
      <c r="N26380" s="1"/>
      <c r="V26380" s="5"/>
    </row>
    <row r="26381">
      <c r="N26381" s="1"/>
      <c r="V26381" s="5"/>
    </row>
    <row r="26382">
      <c r="N26382" s="1"/>
      <c r="V26382" s="5"/>
    </row>
    <row r="26383">
      <c r="N26383" s="1"/>
      <c r="V26383" s="5"/>
    </row>
    <row r="26384">
      <c r="N26384" s="1"/>
      <c r="V26384" s="5"/>
    </row>
    <row r="26385">
      <c r="N26385" s="1"/>
      <c r="V26385" s="5"/>
    </row>
    <row r="26386">
      <c r="N26386" s="1"/>
      <c r="V26386" s="5"/>
    </row>
    <row r="26387">
      <c r="N26387" s="1"/>
      <c r="V26387" s="5"/>
    </row>
    <row r="26388">
      <c r="N26388" s="1"/>
      <c r="V26388" s="5"/>
    </row>
    <row r="26389">
      <c r="N26389" s="1"/>
      <c r="V26389" s="5"/>
    </row>
    <row r="26390">
      <c r="N26390" s="1"/>
      <c r="V26390" s="5"/>
    </row>
    <row r="26391">
      <c r="N26391" s="1"/>
      <c r="V26391" s="5"/>
    </row>
    <row r="26392">
      <c r="N26392" s="1"/>
      <c r="V26392" s="5"/>
    </row>
    <row r="26393">
      <c r="N26393" s="1"/>
      <c r="V26393" s="5"/>
    </row>
    <row r="26394">
      <c r="N26394" s="1"/>
      <c r="V26394" s="5"/>
    </row>
    <row r="26395">
      <c r="N26395" s="1"/>
      <c r="V26395" s="5"/>
    </row>
    <row r="26396">
      <c r="N26396" s="1"/>
      <c r="V26396" s="5"/>
    </row>
    <row r="26397">
      <c r="N26397" s="1"/>
      <c r="V26397" s="5"/>
    </row>
    <row r="26398">
      <c r="N26398" s="1"/>
      <c r="V26398" s="5"/>
    </row>
    <row r="26399">
      <c r="N26399" s="1"/>
      <c r="V26399" s="5"/>
    </row>
    <row r="26400">
      <c r="N26400" s="1"/>
      <c r="V26400" s="5"/>
    </row>
    <row r="26401">
      <c r="N26401" s="1"/>
      <c r="V26401" s="5"/>
    </row>
    <row r="26402">
      <c r="N26402" s="1"/>
      <c r="V26402" s="5"/>
    </row>
    <row r="26403">
      <c r="N26403" s="1"/>
      <c r="V26403" s="5"/>
    </row>
    <row r="26404">
      <c r="N26404" s="1"/>
      <c r="V26404" s="5"/>
    </row>
    <row r="26405">
      <c r="N26405" s="1"/>
      <c r="V26405" s="5"/>
    </row>
    <row r="26406">
      <c r="N26406" s="1"/>
      <c r="V26406" s="5"/>
    </row>
    <row r="26407">
      <c r="N26407" s="1"/>
      <c r="V26407" s="5"/>
    </row>
    <row r="26408">
      <c r="N26408" s="1"/>
      <c r="V26408" s="5"/>
    </row>
    <row r="26409">
      <c r="N26409" s="1"/>
      <c r="V26409" s="5"/>
    </row>
    <row r="26410">
      <c r="N26410" s="1"/>
      <c r="V26410" s="5"/>
    </row>
    <row r="26411">
      <c r="N26411" s="1"/>
      <c r="V26411" s="5"/>
    </row>
    <row r="26412">
      <c r="N26412" s="1"/>
      <c r="V26412" s="5"/>
    </row>
    <row r="26413">
      <c r="N26413" s="1"/>
      <c r="V26413" s="5"/>
    </row>
    <row r="26414">
      <c r="N26414" s="1"/>
      <c r="V26414" s="5"/>
    </row>
    <row r="26415">
      <c r="N26415" s="1"/>
      <c r="V26415" s="5"/>
    </row>
    <row r="26416">
      <c r="N26416" s="1"/>
      <c r="V26416" s="5"/>
    </row>
    <row r="26417">
      <c r="N26417" s="1"/>
      <c r="V26417" s="5"/>
    </row>
    <row r="26418">
      <c r="N26418" s="1"/>
      <c r="V26418" s="5"/>
    </row>
    <row r="26419">
      <c r="N26419" s="1"/>
      <c r="V26419" s="5"/>
    </row>
    <row r="26420">
      <c r="N26420" s="1"/>
      <c r="V26420" s="5"/>
    </row>
    <row r="26421">
      <c r="N26421" s="1"/>
      <c r="V26421" s="5"/>
    </row>
    <row r="26422">
      <c r="N26422" s="1"/>
      <c r="V26422" s="5"/>
    </row>
    <row r="26423">
      <c r="N26423" s="1"/>
      <c r="V26423" s="5"/>
    </row>
    <row r="26424">
      <c r="N26424" s="1"/>
      <c r="V26424" s="5"/>
    </row>
    <row r="26425">
      <c r="N26425" s="1"/>
      <c r="V26425" s="5"/>
    </row>
    <row r="26426">
      <c r="N26426" s="1"/>
      <c r="V26426" s="5"/>
    </row>
    <row r="26427">
      <c r="N26427" s="1"/>
      <c r="V26427" s="5"/>
    </row>
    <row r="26428">
      <c r="N26428" s="1"/>
      <c r="V26428" s="5"/>
    </row>
    <row r="26429">
      <c r="N26429" s="1"/>
      <c r="V26429" s="5"/>
    </row>
    <row r="26430">
      <c r="N26430" s="1"/>
      <c r="V26430" s="5"/>
    </row>
    <row r="26431">
      <c r="N26431" s="1"/>
      <c r="V26431" s="5"/>
    </row>
    <row r="26432">
      <c r="N26432" s="1"/>
      <c r="V26432" s="5"/>
    </row>
    <row r="26433">
      <c r="N26433" s="1"/>
      <c r="V26433" s="5"/>
    </row>
    <row r="26434">
      <c r="N26434" s="1"/>
      <c r="V26434" s="5"/>
    </row>
    <row r="26435">
      <c r="N26435" s="1"/>
      <c r="V26435" s="5"/>
    </row>
    <row r="26436">
      <c r="N26436" s="1"/>
      <c r="V26436" s="5"/>
    </row>
    <row r="26437">
      <c r="N26437" s="1"/>
      <c r="V26437" s="5"/>
    </row>
    <row r="26438">
      <c r="N26438" s="1"/>
      <c r="V26438" s="5"/>
    </row>
    <row r="26439">
      <c r="N26439" s="1"/>
      <c r="V26439" s="5"/>
    </row>
    <row r="26440">
      <c r="N26440" s="1"/>
      <c r="V26440" s="5"/>
    </row>
    <row r="26441">
      <c r="N26441" s="1"/>
      <c r="V26441" s="5"/>
    </row>
    <row r="26442">
      <c r="N26442" s="1"/>
      <c r="V26442" s="5"/>
    </row>
    <row r="26443">
      <c r="N26443" s="1"/>
      <c r="V26443" s="5"/>
    </row>
    <row r="26444">
      <c r="N26444" s="1"/>
      <c r="V26444" s="5"/>
    </row>
    <row r="26445">
      <c r="N26445" s="1"/>
      <c r="V26445" s="5"/>
    </row>
    <row r="26446">
      <c r="N26446" s="1"/>
      <c r="V26446" s="5"/>
    </row>
    <row r="26447">
      <c r="N26447" s="1"/>
      <c r="V26447" s="5"/>
    </row>
    <row r="26448">
      <c r="N26448" s="1"/>
      <c r="V26448" s="5"/>
    </row>
    <row r="26449">
      <c r="N26449" s="1"/>
      <c r="V26449" s="5"/>
    </row>
    <row r="26450">
      <c r="N26450" s="1"/>
      <c r="V26450" s="5"/>
    </row>
    <row r="26451">
      <c r="N26451" s="1"/>
      <c r="V26451" s="5"/>
    </row>
    <row r="26452">
      <c r="N26452" s="1"/>
      <c r="V26452" s="5"/>
    </row>
    <row r="26453">
      <c r="N26453" s="1"/>
      <c r="V26453" s="5"/>
    </row>
    <row r="26454">
      <c r="N26454" s="1"/>
      <c r="V26454" s="5"/>
    </row>
    <row r="26455">
      <c r="N26455" s="1"/>
      <c r="V26455" s="5"/>
    </row>
    <row r="26456">
      <c r="N26456" s="1"/>
      <c r="V26456" s="5"/>
    </row>
    <row r="26457">
      <c r="N26457" s="1"/>
      <c r="V26457" s="5"/>
    </row>
    <row r="26458">
      <c r="N26458" s="1"/>
      <c r="V26458" s="5"/>
    </row>
    <row r="26459">
      <c r="N26459" s="1"/>
      <c r="V26459" s="5"/>
    </row>
    <row r="26460">
      <c r="N26460" s="1"/>
      <c r="V26460" s="5"/>
    </row>
    <row r="26461">
      <c r="N26461" s="1"/>
      <c r="V26461" s="5"/>
    </row>
    <row r="26462">
      <c r="N26462" s="1"/>
      <c r="V26462" s="5"/>
    </row>
    <row r="26463">
      <c r="N26463" s="1"/>
      <c r="V26463" s="5"/>
    </row>
    <row r="26464">
      <c r="N26464" s="1"/>
      <c r="V26464" s="5"/>
    </row>
    <row r="26465">
      <c r="N26465" s="1"/>
      <c r="V26465" s="5"/>
    </row>
    <row r="26466">
      <c r="N26466" s="1"/>
      <c r="V26466" s="5"/>
    </row>
    <row r="26467">
      <c r="N26467" s="1"/>
      <c r="V26467" s="5"/>
    </row>
    <row r="26468">
      <c r="N26468" s="1"/>
      <c r="V26468" s="5"/>
    </row>
    <row r="26469">
      <c r="N26469" s="1"/>
      <c r="V26469" s="5"/>
    </row>
    <row r="26470">
      <c r="N26470" s="1"/>
      <c r="V26470" s="5"/>
    </row>
    <row r="26471">
      <c r="N26471" s="1"/>
      <c r="V26471" s="5"/>
    </row>
    <row r="26472">
      <c r="N26472" s="1"/>
      <c r="V26472" s="5"/>
    </row>
    <row r="26473">
      <c r="N26473" s="1"/>
      <c r="V26473" s="5"/>
    </row>
    <row r="26474">
      <c r="N26474" s="1"/>
      <c r="V26474" s="5"/>
    </row>
    <row r="26475">
      <c r="N26475" s="1"/>
      <c r="V26475" s="5"/>
    </row>
    <row r="26476">
      <c r="N26476" s="1"/>
      <c r="V26476" s="5"/>
    </row>
    <row r="26477">
      <c r="N26477" s="1"/>
      <c r="V26477" s="5"/>
    </row>
    <row r="26478">
      <c r="N26478" s="1"/>
      <c r="V26478" s="5"/>
    </row>
    <row r="26479">
      <c r="N26479" s="1"/>
      <c r="V26479" s="5"/>
    </row>
    <row r="26480">
      <c r="N26480" s="1"/>
      <c r="V26480" s="5"/>
    </row>
    <row r="26481">
      <c r="N26481" s="1"/>
      <c r="V26481" s="5"/>
    </row>
    <row r="26482">
      <c r="N26482" s="1"/>
      <c r="V26482" s="5"/>
    </row>
    <row r="26483">
      <c r="N26483" s="1"/>
      <c r="V26483" s="5"/>
    </row>
    <row r="26484">
      <c r="N26484" s="1"/>
      <c r="V26484" s="5"/>
    </row>
    <row r="26485">
      <c r="N26485" s="1"/>
      <c r="V26485" s="5"/>
    </row>
    <row r="26486">
      <c r="N26486" s="1"/>
      <c r="V26486" s="5"/>
    </row>
    <row r="26487">
      <c r="N26487" s="1"/>
      <c r="V26487" s="5"/>
    </row>
    <row r="26488">
      <c r="N26488" s="1"/>
      <c r="V26488" s="5"/>
    </row>
    <row r="26489">
      <c r="N26489" s="1"/>
      <c r="V26489" s="5"/>
    </row>
    <row r="26490">
      <c r="N26490" s="1"/>
      <c r="V26490" s="5"/>
    </row>
    <row r="26491">
      <c r="N26491" s="1"/>
      <c r="V26491" s="5"/>
    </row>
    <row r="26492">
      <c r="N26492" s="1"/>
      <c r="V26492" s="5"/>
    </row>
    <row r="26493">
      <c r="N26493" s="1"/>
      <c r="V26493" s="5"/>
    </row>
    <row r="26494">
      <c r="N26494" s="1"/>
      <c r="V26494" s="5"/>
    </row>
    <row r="26495">
      <c r="N26495" s="1"/>
      <c r="V26495" s="5"/>
    </row>
    <row r="26496">
      <c r="N26496" s="1"/>
      <c r="V26496" s="5"/>
    </row>
    <row r="26497">
      <c r="N26497" s="1"/>
      <c r="V26497" s="5"/>
    </row>
    <row r="26498">
      <c r="N26498" s="1"/>
      <c r="V26498" s="5"/>
    </row>
    <row r="26499">
      <c r="N26499" s="1"/>
      <c r="V26499" s="5"/>
    </row>
    <row r="26500">
      <c r="N26500" s="1"/>
      <c r="V26500" s="5"/>
    </row>
    <row r="26501">
      <c r="N26501" s="1"/>
      <c r="V26501" s="5"/>
    </row>
    <row r="26502">
      <c r="N26502" s="1"/>
      <c r="V26502" s="5"/>
    </row>
    <row r="26503">
      <c r="N26503" s="1"/>
      <c r="V26503" s="5"/>
    </row>
    <row r="26504">
      <c r="N26504" s="1"/>
      <c r="V26504" s="5"/>
    </row>
    <row r="26505">
      <c r="N26505" s="1"/>
      <c r="V26505" s="5"/>
    </row>
    <row r="26506">
      <c r="N26506" s="1"/>
      <c r="V26506" s="5"/>
    </row>
    <row r="26507">
      <c r="N26507" s="1"/>
      <c r="V26507" s="5"/>
    </row>
    <row r="26508">
      <c r="N26508" s="1"/>
      <c r="V26508" s="5"/>
    </row>
    <row r="26509">
      <c r="N26509" s="1"/>
      <c r="V26509" s="5"/>
    </row>
    <row r="26510">
      <c r="N26510" s="1"/>
      <c r="V26510" s="5"/>
    </row>
    <row r="26511">
      <c r="N26511" s="1"/>
      <c r="V26511" s="5"/>
    </row>
    <row r="26512">
      <c r="N26512" s="1"/>
      <c r="V26512" s="5"/>
    </row>
    <row r="26513">
      <c r="N26513" s="1"/>
      <c r="V26513" s="5"/>
    </row>
    <row r="26514">
      <c r="N26514" s="1"/>
      <c r="V26514" s="5"/>
    </row>
    <row r="26515">
      <c r="N26515" s="1"/>
      <c r="V26515" s="5"/>
    </row>
    <row r="26516">
      <c r="N26516" s="1"/>
      <c r="V26516" s="5"/>
    </row>
    <row r="26517">
      <c r="N26517" s="1"/>
      <c r="V26517" s="5"/>
    </row>
    <row r="26518">
      <c r="N26518" s="1"/>
      <c r="V26518" s="5"/>
    </row>
    <row r="26519">
      <c r="N26519" s="1"/>
      <c r="V26519" s="5"/>
    </row>
    <row r="26520">
      <c r="N26520" s="1"/>
      <c r="V26520" s="5"/>
    </row>
    <row r="26521">
      <c r="N26521" s="1"/>
      <c r="V26521" s="5"/>
    </row>
    <row r="26522">
      <c r="N26522" s="1"/>
      <c r="V26522" s="5"/>
    </row>
    <row r="26523">
      <c r="N26523" s="1"/>
      <c r="V26523" s="5"/>
    </row>
    <row r="26524">
      <c r="N26524" s="1"/>
      <c r="V26524" s="5"/>
    </row>
    <row r="26525">
      <c r="N26525" s="1"/>
      <c r="V26525" s="5"/>
    </row>
    <row r="26526">
      <c r="N26526" s="1"/>
      <c r="V26526" s="5"/>
    </row>
    <row r="26527">
      <c r="N26527" s="1"/>
      <c r="V26527" s="5"/>
    </row>
    <row r="26528">
      <c r="N26528" s="1"/>
      <c r="V26528" s="5"/>
    </row>
    <row r="26529">
      <c r="N26529" s="1"/>
      <c r="V26529" s="5"/>
    </row>
    <row r="26530">
      <c r="N26530" s="1"/>
      <c r="V26530" s="5"/>
    </row>
    <row r="26531">
      <c r="N26531" s="1"/>
      <c r="V26531" s="5"/>
    </row>
    <row r="26532">
      <c r="N26532" s="1"/>
      <c r="V26532" s="5"/>
    </row>
    <row r="26533">
      <c r="N26533" s="1"/>
      <c r="V26533" s="5"/>
    </row>
    <row r="26534">
      <c r="N26534" s="1"/>
      <c r="V26534" s="5"/>
    </row>
    <row r="26535">
      <c r="N26535" s="1"/>
      <c r="V26535" s="5"/>
    </row>
    <row r="26536">
      <c r="N26536" s="1"/>
      <c r="V26536" s="5"/>
    </row>
    <row r="26537">
      <c r="N26537" s="1"/>
      <c r="V26537" s="5"/>
    </row>
    <row r="26538">
      <c r="N26538" s="1"/>
      <c r="V26538" s="5"/>
    </row>
    <row r="26539">
      <c r="N26539" s="1"/>
      <c r="V26539" s="5"/>
    </row>
    <row r="26540">
      <c r="N26540" s="1"/>
      <c r="V26540" s="5"/>
    </row>
    <row r="26541">
      <c r="N26541" s="1"/>
      <c r="V26541" s="5"/>
    </row>
    <row r="26542">
      <c r="N26542" s="1"/>
      <c r="V26542" s="5"/>
    </row>
    <row r="26543">
      <c r="N26543" s="1"/>
      <c r="V26543" s="5"/>
    </row>
    <row r="26544">
      <c r="N26544" s="1"/>
      <c r="V26544" s="5"/>
    </row>
    <row r="26545">
      <c r="N26545" s="1"/>
      <c r="V26545" s="5"/>
    </row>
    <row r="26546">
      <c r="N26546" s="1"/>
      <c r="V26546" s="5"/>
    </row>
    <row r="26547">
      <c r="N26547" s="1"/>
      <c r="V26547" s="5"/>
    </row>
    <row r="26548">
      <c r="N26548" s="1"/>
      <c r="V26548" s="5"/>
    </row>
    <row r="26549">
      <c r="N26549" s="1"/>
      <c r="V26549" s="5"/>
    </row>
    <row r="26550">
      <c r="N26550" s="1"/>
      <c r="V26550" s="5"/>
    </row>
    <row r="26551">
      <c r="N26551" s="1"/>
      <c r="V26551" s="5"/>
    </row>
    <row r="26552">
      <c r="N26552" s="1"/>
      <c r="V26552" s="5"/>
    </row>
    <row r="26553">
      <c r="N26553" s="1"/>
      <c r="V26553" s="5"/>
    </row>
    <row r="26554">
      <c r="N26554" s="1"/>
      <c r="V26554" s="5"/>
    </row>
    <row r="26555">
      <c r="N26555" s="1"/>
      <c r="V26555" s="5"/>
    </row>
    <row r="26556">
      <c r="N26556" s="1"/>
      <c r="V26556" s="5"/>
    </row>
    <row r="26557">
      <c r="N26557" s="1"/>
      <c r="V26557" s="5"/>
    </row>
    <row r="26558">
      <c r="N26558" s="1"/>
      <c r="V26558" s="5"/>
    </row>
    <row r="26559">
      <c r="N26559" s="1"/>
      <c r="V26559" s="5"/>
    </row>
    <row r="26560">
      <c r="N26560" s="1"/>
      <c r="V26560" s="5"/>
    </row>
    <row r="26561">
      <c r="N26561" s="1"/>
      <c r="V26561" s="5"/>
    </row>
    <row r="26562">
      <c r="N26562" s="1"/>
      <c r="V26562" s="5"/>
    </row>
    <row r="26563">
      <c r="N26563" s="1"/>
      <c r="V26563" s="5"/>
    </row>
    <row r="26564">
      <c r="N26564" s="1"/>
      <c r="V26564" s="5"/>
    </row>
    <row r="26565">
      <c r="N26565" s="1"/>
      <c r="V26565" s="5"/>
    </row>
    <row r="26566">
      <c r="N26566" s="1"/>
      <c r="V26566" s="5"/>
    </row>
    <row r="26567">
      <c r="N26567" s="1"/>
      <c r="V26567" s="5"/>
    </row>
    <row r="26568">
      <c r="N26568" s="1"/>
      <c r="V26568" s="5"/>
    </row>
    <row r="26569">
      <c r="N26569" s="1"/>
      <c r="V26569" s="5"/>
    </row>
    <row r="26570">
      <c r="N26570" s="1"/>
      <c r="V26570" s="5"/>
    </row>
    <row r="26571">
      <c r="N26571" s="1"/>
      <c r="V26571" s="5"/>
    </row>
    <row r="26572">
      <c r="N26572" s="1"/>
      <c r="V26572" s="5"/>
    </row>
    <row r="26573">
      <c r="N26573" s="1"/>
      <c r="V26573" s="5"/>
    </row>
    <row r="26574">
      <c r="N26574" s="1"/>
      <c r="V26574" s="5"/>
    </row>
    <row r="26575">
      <c r="N26575" s="1"/>
      <c r="V26575" s="5"/>
    </row>
    <row r="26576">
      <c r="N26576" s="1"/>
      <c r="V26576" s="5"/>
    </row>
    <row r="26577">
      <c r="N26577" s="1"/>
      <c r="V26577" s="5"/>
    </row>
    <row r="26578">
      <c r="N26578" s="1"/>
      <c r="V26578" s="5"/>
    </row>
    <row r="26579">
      <c r="N26579" s="1"/>
      <c r="V26579" s="5"/>
    </row>
    <row r="26580">
      <c r="N26580" s="1"/>
      <c r="V26580" s="5"/>
    </row>
    <row r="26581">
      <c r="N26581" s="1"/>
      <c r="V26581" s="5"/>
    </row>
    <row r="26582">
      <c r="N26582" s="1"/>
      <c r="V26582" s="5"/>
    </row>
    <row r="26583">
      <c r="N26583" s="1"/>
      <c r="V26583" s="5"/>
    </row>
    <row r="26584">
      <c r="N26584" s="1"/>
      <c r="V26584" s="5"/>
    </row>
    <row r="26585">
      <c r="N26585" s="1"/>
      <c r="V26585" s="5"/>
    </row>
    <row r="26586">
      <c r="N26586" s="1"/>
      <c r="V26586" s="5"/>
    </row>
    <row r="26587">
      <c r="N26587" s="1"/>
      <c r="V26587" s="5"/>
    </row>
    <row r="26588">
      <c r="N26588" s="1"/>
      <c r="V26588" s="5"/>
    </row>
    <row r="26589">
      <c r="N26589" s="1"/>
      <c r="V26589" s="5"/>
    </row>
    <row r="26590">
      <c r="N26590" s="1"/>
      <c r="V26590" s="5"/>
    </row>
    <row r="26591">
      <c r="N26591" s="1"/>
      <c r="V26591" s="5"/>
    </row>
    <row r="26592">
      <c r="N26592" s="1"/>
      <c r="V26592" s="5"/>
    </row>
    <row r="26593">
      <c r="N26593" s="1"/>
      <c r="V26593" s="5"/>
    </row>
    <row r="26594">
      <c r="N26594" s="1"/>
      <c r="V26594" s="5"/>
    </row>
    <row r="26595">
      <c r="N26595" s="1"/>
      <c r="V26595" s="5"/>
    </row>
    <row r="26596">
      <c r="N26596" s="1"/>
      <c r="V26596" s="5"/>
    </row>
    <row r="26597">
      <c r="N26597" s="1"/>
      <c r="V26597" s="5"/>
    </row>
    <row r="26598">
      <c r="N26598" s="1"/>
      <c r="V26598" s="5"/>
    </row>
    <row r="26599">
      <c r="N26599" s="1"/>
      <c r="V26599" s="5"/>
    </row>
    <row r="26600">
      <c r="N26600" s="1"/>
      <c r="V26600" s="5"/>
    </row>
    <row r="26601">
      <c r="N26601" s="1"/>
      <c r="V26601" s="5"/>
    </row>
    <row r="26602">
      <c r="N26602" s="1"/>
      <c r="V26602" s="5"/>
    </row>
    <row r="26603">
      <c r="N26603" s="1"/>
      <c r="V26603" s="5"/>
    </row>
    <row r="26604">
      <c r="N26604" s="1"/>
      <c r="V26604" s="5"/>
    </row>
    <row r="26605">
      <c r="N26605" s="1"/>
      <c r="V26605" s="5"/>
    </row>
    <row r="26606">
      <c r="N26606" s="1"/>
      <c r="V26606" s="5"/>
    </row>
    <row r="26607">
      <c r="N26607" s="1"/>
      <c r="V26607" s="5"/>
    </row>
    <row r="26608">
      <c r="N26608" s="1"/>
      <c r="V26608" s="5"/>
    </row>
    <row r="26609">
      <c r="N26609" s="1"/>
      <c r="V26609" s="5"/>
    </row>
    <row r="26610">
      <c r="N26610" s="1"/>
      <c r="V26610" s="5"/>
    </row>
    <row r="26611">
      <c r="N26611" s="1"/>
      <c r="V26611" s="5"/>
    </row>
    <row r="26612">
      <c r="N26612" s="1"/>
      <c r="V26612" s="5"/>
    </row>
    <row r="26613">
      <c r="N26613" s="1"/>
      <c r="V26613" s="5"/>
    </row>
    <row r="26614">
      <c r="N26614" s="1"/>
      <c r="V26614" s="5"/>
    </row>
    <row r="26615">
      <c r="N26615" s="1"/>
      <c r="V26615" s="5"/>
    </row>
    <row r="26616">
      <c r="N26616" s="1"/>
      <c r="V26616" s="5"/>
    </row>
    <row r="26617">
      <c r="N26617" s="1"/>
      <c r="V26617" s="5"/>
    </row>
    <row r="26618">
      <c r="N26618" s="1"/>
      <c r="V26618" s="5"/>
    </row>
    <row r="26619">
      <c r="N26619" s="1"/>
      <c r="V26619" s="5"/>
    </row>
    <row r="26620">
      <c r="N26620" s="1"/>
      <c r="V26620" s="5"/>
    </row>
    <row r="26621">
      <c r="N26621" s="1"/>
      <c r="V26621" s="5"/>
    </row>
    <row r="26622">
      <c r="N26622" s="1"/>
      <c r="V26622" s="5"/>
    </row>
    <row r="26623">
      <c r="N26623" s="1"/>
      <c r="V26623" s="5"/>
    </row>
    <row r="26624">
      <c r="N26624" s="1"/>
      <c r="V26624" s="5"/>
    </row>
    <row r="26625">
      <c r="N26625" s="1"/>
      <c r="V26625" s="5"/>
    </row>
    <row r="26626">
      <c r="N26626" s="1"/>
      <c r="V26626" s="5"/>
    </row>
    <row r="26627">
      <c r="N26627" s="1"/>
      <c r="V26627" s="5"/>
    </row>
    <row r="26628">
      <c r="N26628" s="1"/>
      <c r="V26628" s="5"/>
    </row>
    <row r="26629">
      <c r="N26629" s="1"/>
      <c r="V26629" s="5"/>
    </row>
    <row r="26630">
      <c r="N26630" s="1"/>
      <c r="V26630" s="5"/>
    </row>
    <row r="26631">
      <c r="N26631" s="1"/>
      <c r="V26631" s="5"/>
    </row>
    <row r="26632">
      <c r="N26632" s="1"/>
      <c r="V26632" s="5"/>
    </row>
    <row r="26633">
      <c r="N26633" s="1"/>
      <c r="V26633" s="5"/>
    </row>
    <row r="26634">
      <c r="N26634" s="1"/>
      <c r="V26634" s="5"/>
    </row>
    <row r="26635">
      <c r="N26635" s="1"/>
      <c r="V26635" s="5"/>
    </row>
    <row r="26636">
      <c r="N26636" s="1"/>
      <c r="V26636" s="5"/>
    </row>
    <row r="26637">
      <c r="N26637" s="1"/>
      <c r="V26637" s="5"/>
    </row>
    <row r="26638">
      <c r="N26638" s="1"/>
      <c r="V26638" s="5"/>
    </row>
    <row r="26639">
      <c r="N26639" s="1"/>
      <c r="V26639" s="5"/>
    </row>
    <row r="26640">
      <c r="N26640" s="1"/>
      <c r="V26640" s="5"/>
    </row>
    <row r="26641">
      <c r="N26641" s="1"/>
      <c r="V26641" s="5"/>
    </row>
    <row r="26642">
      <c r="N26642" s="1"/>
      <c r="V26642" s="5"/>
    </row>
    <row r="26643">
      <c r="N26643" s="1"/>
      <c r="V26643" s="5"/>
    </row>
    <row r="26644">
      <c r="N26644" s="1"/>
      <c r="V26644" s="5"/>
    </row>
    <row r="26645">
      <c r="N26645" s="1"/>
      <c r="V26645" s="5"/>
    </row>
    <row r="26646">
      <c r="N26646" s="1"/>
      <c r="V26646" s="5"/>
    </row>
    <row r="26647">
      <c r="N26647" s="1"/>
      <c r="V26647" s="5"/>
    </row>
    <row r="26648">
      <c r="N26648" s="1"/>
      <c r="V26648" s="5"/>
    </row>
    <row r="26649">
      <c r="N26649" s="1"/>
      <c r="V26649" s="5"/>
    </row>
    <row r="26650">
      <c r="N26650" s="1"/>
      <c r="V26650" s="5"/>
    </row>
    <row r="26651">
      <c r="N26651" s="1"/>
      <c r="V26651" s="5"/>
    </row>
    <row r="26652">
      <c r="N26652" s="1"/>
      <c r="V26652" s="5"/>
    </row>
    <row r="26653">
      <c r="N26653" s="1"/>
      <c r="V26653" s="5"/>
    </row>
    <row r="26654">
      <c r="N26654" s="1"/>
      <c r="V26654" s="5"/>
    </row>
    <row r="26655">
      <c r="N26655" s="1"/>
      <c r="V26655" s="5"/>
    </row>
    <row r="26656">
      <c r="N26656" s="1"/>
      <c r="V26656" s="5"/>
    </row>
    <row r="26657">
      <c r="N26657" s="1"/>
      <c r="V26657" s="5"/>
    </row>
    <row r="26658">
      <c r="N26658" s="1"/>
      <c r="V26658" s="5"/>
    </row>
    <row r="26659">
      <c r="N26659" s="1"/>
      <c r="V26659" s="5"/>
    </row>
    <row r="26660">
      <c r="N26660" s="1"/>
      <c r="V26660" s="5"/>
    </row>
    <row r="26661">
      <c r="N26661" s="1"/>
      <c r="V26661" s="5"/>
    </row>
    <row r="26662">
      <c r="N26662" s="1"/>
      <c r="V26662" s="5"/>
    </row>
    <row r="26663">
      <c r="N26663" s="1"/>
      <c r="V26663" s="5"/>
    </row>
    <row r="26664">
      <c r="N26664" s="1"/>
      <c r="V26664" s="5"/>
    </row>
    <row r="26665">
      <c r="N26665" s="1"/>
      <c r="V26665" s="5"/>
    </row>
    <row r="26666">
      <c r="N26666" s="1"/>
      <c r="V26666" s="5"/>
    </row>
    <row r="26667">
      <c r="N26667" s="1"/>
      <c r="V26667" s="5"/>
    </row>
    <row r="26668">
      <c r="N26668" s="1"/>
      <c r="V26668" s="5"/>
    </row>
    <row r="26669">
      <c r="N26669" s="1"/>
      <c r="V26669" s="5"/>
    </row>
    <row r="26670">
      <c r="N26670" s="1"/>
      <c r="V26670" s="5"/>
    </row>
    <row r="26671">
      <c r="N26671" s="1"/>
      <c r="V26671" s="5"/>
    </row>
    <row r="26672">
      <c r="N26672" s="1"/>
      <c r="V26672" s="5"/>
    </row>
    <row r="26673">
      <c r="N26673" s="1"/>
      <c r="V26673" s="5"/>
    </row>
    <row r="26674">
      <c r="N26674" s="1"/>
      <c r="V26674" s="5"/>
    </row>
    <row r="26675">
      <c r="N26675" s="1"/>
      <c r="V26675" s="5"/>
    </row>
    <row r="26676">
      <c r="N26676" s="1"/>
      <c r="V26676" s="5"/>
    </row>
    <row r="26677">
      <c r="N26677" s="1"/>
      <c r="V26677" s="5"/>
    </row>
    <row r="26678">
      <c r="N26678" s="1"/>
      <c r="V26678" s="5"/>
    </row>
    <row r="26679">
      <c r="N26679" s="1"/>
      <c r="V26679" s="5"/>
    </row>
    <row r="26680">
      <c r="N26680" s="1"/>
      <c r="V26680" s="5"/>
    </row>
    <row r="26681">
      <c r="N26681" s="1"/>
      <c r="V26681" s="5"/>
    </row>
    <row r="26682">
      <c r="N26682" s="1"/>
      <c r="V26682" s="5"/>
    </row>
    <row r="26683">
      <c r="N26683" s="1"/>
      <c r="V26683" s="5"/>
    </row>
    <row r="26684">
      <c r="N26684" s="1"/>
      <c r="V26684" s="5"/>
    </row>
    <row r="26685">
      <c r="N26685" s="1"/>
      <c r="V26685" s="5"/>
    </row>
    <row r="26686">
      <c r="N26686" s="1"/>
      <c r="V26686" s="5"/>
    </row>
    <row r="26687">
      <c r="N26687" s="1"/>
      <c r="V26687" s="5"/>
    </row>
    <row r="26688">
      <c r="N26688" s="1"/>
      <c r="V26688" s="5"/>
    </row>
    <row r="26689">
      <c r="N26689" s="1"/>
      <c r="V26689" s="5"/>
    </row>
    <row r="26690">
      <c r="N26690" s="1"/>
      <c r="V26690" s="5"/>
    </row>
    <row r="26691">
      <c r="N26691" s="1"/>
      <c r="V26691" s="5"/>
    </row>
    <row r="26692">
      <c r="N26692" s="1"/>
      <c r="V26692" s="5"/>
    </row>
    <row r="26693">
      <c r="N26693" s="1"/>
      <c r="V26693" s="5"/>
    </row>
    <row r="26694">
      <c r="N26694" s="1"/>
      <c r="V26694" s="5"/>
    </row>
    <row r="26695">
      <c r="N26695" s="1"/>
      <c r="V26695" s="5"/>
    </row>
    <row r="26696">
      <c r="N26696" s="1"/>
      <c r="V26696" s="5"/>
    </row>
    <row r="26697">
      <c r="N26697" s="1"/>
      <c r="V26697" s="5"/>
    </row>
    <row r="26698">
      <c r="N26698" s="1"/>
      <c r="V26698" s="5"/>
    </row>
    <row r="26699">
      <c r="N26699" s="1"/>
      <c r="V26699" s="5"/>
    </row>
    <row r="26700">
      <c r="N26700" s="1"/>
      <c r="V26700" s="5"/>
    </row>
    <row r="26701">
      <c r="N26701" s="1"/>
      <c r="V26701" s="5"/>
    </row>
    <row r="26702">
      <c r="N26702" s="1"/>
      <c r="V26702" s="5"/>
    </row>
    <row r="26703">
      <c r="N26703" s="1"/>
      <c r="V26703" s="5"/>
    </row>
    <row r="26704">
      <c r="N26704" s="1"/>
      <c r="V26704" s="5"/>
    </row>
    <row r="26705">
      <c r="N26705" s="1"/>
      <c r="V26705" s="5"/>
    </row>
    <row r="26706">
      <c r="N26706" s="1"/>
      <c r="V26706" s="5"/>
    </row>
    <row r="26707">
      <c r="N26707" s="1"/>
      <c r="V26707" s="5"/>
    </row>
    <row r="26708">
      <c r="N26708" s="1"/>
      <c r="V26708" s="5"/>
    </row>
    <row r="26709">
      <c r="N26709" s="1"/>
      <c r="V26709" s="5"/>
    </row>
    <row r="26710">
      <c r="N26710" s="1"/>
      <c r="V26710" s="5"/>
    </row>
    <row r="26711">
      <c r="N26711" s="1"/>
      <c r="V26711" s="5"/>
    </row>
    <row r="26712">
      <c r="N26712" s="1"/>
      <c r="V26712" s="5"/>
    </row>
    <row r="26713">
      <c r="N26713" s="1"/>
      <c r="V26713" s="5"/>
    </row>
    <row r="26714">
      <c r="N26714" s="1"/>
      <c r="V26714" s="5"/>
    </row>
    <row r="26715">
      <c r="N26715" s="1"/>
      <c r="V26715" s="5"/>
    </row>
    <row r="26716">
      <c r="N26716" s="1"/>
      <c r="V26716" s="5"/>
    </row>
    <row r="26717">
      <c r="N26717" s="1"/>
      <c r="V26717" s="5"/>
    </row>
    <row r="26718">
      <c r="N26718" s="1"/>
      <c r="V26718" s="5"/>
    </row>
    <row r="26719">
      <c r="N26719" s="1"/>
      <c r="V26719" s="5"/>
    </row>
    <row r="26720">
      <c r="N26720" s="1"/>
      <c r="V26720" s="5"/>
    </row>
    <row r="26721">
      <c r="N26721" s="1"/>
      <c r="V26721" s="5"/>
    </row>
    <row r="26722">
      <c r="N26722" s="1"/>
      <c r="V26722" s="5"/>
    </row>
    <row r="26723">
      <c r="N26723" s="1"/>
      <c r="V26723" s="5"/>
    </row>
    <row r="26724">
      <c r="N26724" s="1"/>
      <c r="V26724" s="5"/>
    </row>
    <row r="26725">
      <c r="N26725" s="1"/>
      <c r="V26725" s="5"/>
    </row>
    <row r="26726">
      <c r="N26726" s="1"/>
      <c r="V26726" s="5"/>
    </row>
    <row r="26727">
      <c r="N26727" s="1"/>
      <c r="V26727" s="5"/>
    </row>
    <row r="26728">
      <c r="N26728" s="1"/>
      <c r="V26728" s="5"/>
    </row>
    <row r="26729">
      <c r="N26729" s="1"/>
      <c r="V26729" s="5"/>
    </row>
    <row r="26730">
      <c r="N26730" s="1"/>
      <c r="V26730" s="5"/>
    </row>
    <row r="26731">
      <c r="N26731" s="1"/>
      <c r="V26731" s="5"/>
    </row>
    <row r="26732">
      <c r="N26732" s="1"/>
      <c r="V26732" s="5"/>
    </row>
    <row r="26733">
      <c r="N26733" s="1"/>
      <c r="V26733" s="5"/>
    </row>
    <row r="26734">
      <c r="N26734" s="1"/>
      <c r="V26734" s="5"/>
    </row>
    <row r="26735">
      <c r="N26735" s="1"/>
      <c r="V26735" s="5"/>
    </row>
    <row r="26736">
      <c r="N26736" s="1"/>
      <c r="V26736" s="5"/>
    </row>
    <row r="26737">
      <c r="N26737" s="1"/>
      <c r="V26737" s="5"/>
    </row>
    <row r="26738">
      <c r="N26738" s="1"/>
      <c r="V26738" s="5"/>
    </row>
    <row r="26739">
      <c r="N26739" s="1"/>
      <c r="V26739" s="5"/>
    </row>
    <row r="26740">
      <c r="N26740" s="1"/>
      <c r="V26740" s="5"/>
    </row>
    <row r="26741">
      <c r="N26741" s="1"/>
      <c r="V26741" s="5"/>
    </row>
    <row r="26742">
      <c r="N26742" s="1"/>
      <c r="V26742" s="5"/>
    </row>
    <row r="26743">
      <c r="N26743" s="1"/>
      <c r="V26743" s="5"/>
    </row>
    <row r="26744">
      <c r="N26744" s="1"/>
      <c r="V26744" s="5"/>
    </row>
    <row r="26745">
      <c r="N26745" s="1"/>
      <c r="V26745" s="5"/>
    </row>
    <row r="26746">
      <c r="N26746" s="1"/>
      <c r="V26746" s="5"/>
    </row>
    <row r="26747">
      <c r="N26747" s="1"/>
      <c r="V26747" s="5"/>
    </row>
    <row r="26748">
      <c r="N26748" s="1"/>
      <c r="V26748" s="5"/>
    </row>
    <row r="26749">
      <c r="N26749" s="1"/>
      <c r="V26749" s="5"/>
    </row>
    <row r="26750">
      <c r="N26750" s="1"/>
      <c r="V26750" s="5"/>
    </row>
    <row r="26751">
      <c r="N26751" s="1"/>
      <c r="V26751" s="5"/>
    </row>
    <row r="26752">
      <c r="N26752" s="1"/>
      <c r="V26752" s="5"/>
    </row>
    <row r="26753">
      <c r="N26753" s="1"/>
      <c r="V26753" s="5"/>
    </row>
    <row r="26754">
      <c r="N26754" s="1"/>
      <c r="V26754" s="5"/>
    </row>
    <row r="26755">
      <c r="N26755" s="1"/>
      <c r="V26755" s="5"/>
    </row>
    <row r="26756">
      <c r="N26756" s="1"/>
      <c r="V26756" s="5"/>
    </row>
    <row r="26757">
      <c r="N26757" s="1"/>
      <c r="V26757" s="5"/>
    </row>
    <row r="26758">
      <c r="N26758" s="1"/>
      <c r="V26758" s="5"/>
    </row>
    <row r="26759">
      <c r="N26759" s="1"/>
      <c r="V26759" s="5"/>
    </row>
    <row r="26760">
      <c r="N26760" s="1"/>
      <c r="V26760" s="5"/>
    </row>
    <row r="26761">
      <c r="N26761" s="1"/>
      <c r="V26761" s="5"/>
    </row>
    <row r="26762">
      <c r="N26762" s="1"/>
      <c r="V26762" s="5"/>
    </row>
    <row r="26763">
      <c r="N26763" s="1"/>
      <c r="V26763" s="5"/>
    </row>
    <row r="26764">
      <c r="N26764" s="1"/>
      <c r="V26764" s="5"/>
    </row>
    <row r="26765">
      <c r="N26765" s="1"/>
      <c r="V26765" s="5"/>
    </row>
    <row r="26766">
      <c r="N26766" s="1"/>
      <c r="V26766" s="5"/>
    </row>
    <row r="26767">
      <c r="N26767" s="1"/>
      <c r="V26767" s="5"/>
    </row>
    <row r="26768">
      <c r="N26768" s="1"/>
      <c r="V26768" s="5"/>
    </row>
    <row r="26769">
      <c r="N26769" s="1"/>
      <c r="V26769" s="5"/>
    </row>
    <row r="26770">
      <c r="N26770" s="1"/>
      <c r="V26770" s="5"/>
    </row>
    <row r="26771">
      <c r="N26771" s="1"/>
      <c r="V26771" s="5"/>
    </row>
    <row r="26772">
      <c r="N26772" s="1"/>
      <c r="V26772" s="5"/>
    </row>
    <row r="26773">
      <c r="N26773" s="1"/>
      <c r="V26773" s="5"/>
    </row>
    <row r="26774">
      <c r="N26774" s="1"/>
      <c r="V26774" s="5"/>
    </row>
    <row r="26775">
      <c r="N26775" s="1"/>
      <c r="V26775" s="5"/>
    </row>
    <row r="26776">
      <c r="N26776" s="1"/>
      <c r="V26776" s="5"/>
    </row>
    <row r="26777">
      <c r="N26777" s="1"/>
      <c r="V26777" s="5"/>
    </row>
    <row r="26778">
      <c r="N26778" s="1"/>
      <c r="V26778" s="5"/>
    </row>
    <row r="26779">
      <c r="N26779" s="1"/>
      <c r="V26779" s="5"/>
    </row>
    <row r="26780">
      <c r="N26780" s="1"/>
      <c r="V26780" s="5"/>
    </row>
    <row r="26781">
      <c r="N26781" s="1"/>
      <c r="V26781" s="5"/>
    </row>
    <row r="26782">
      <c r="N26782" s="1"/>
      <c r="V26782" s="5"/>
    </row>
    <row r="26783">
      <c r="N26783" s="1"/>
      <c r="V26783" s="5"/>
    </row>
    <row r="26784">
      <c r="N26784" s="1"/>
      <c r="V26784" s="5"/>
    </row>
    <row r="26785">
      <c r="N26785" s="1"/>
      <c r="V26785" s="5"/>
    </row>
    <row r="26786">
      <c r="N26786" s="1"/>
      <c r="V26786" s="5"/>
    </row>
    <row r="26787">
      <c r="N26787" s="1"/>
      <c r="V26787" s="5"/>
    </row>
    <row r="26788">
      <c r="N26788" s="1"/>
      <c r="V26788" s="5"/>
    </row>
    <row r="26789">
      <c r="N26789" s="1"/>
      <c r="V26789" s="5"/>
    </row>
    <row r="26790">
      <c r="N26790" s="1"/>
      <c r="V26790" s="5"/>
    </row>
    <row r="26791">
      <c r="N26791" s="1"/>
      <c r="V26791" s="5"/>
    </row>
    <row r="26792">
      <c r="N26792" s="1"/>
      <c r="V26792" s="5"/>
    </row>
    <row r="26793">
      <c r="N26793" s="1"/>
      <c r="V26793" s="5"/>
    </row>
    <row r="26794">
      <c r="N26794" s="1"/>
      <c r="V26794" s="5"/>
    </row>
    <row r="26795">
      <c r="N26795" s="1"/>
      <c r="V26795" s="5"/>
    </row>
    <row r="26796">
      <c r="N26796" s="1"/>
      <c r="V26796" s="5"/>
    </row>
    <row r="26797">
      <c r="N26797" s="1"/>
      <c r="V26797" s="5"/>
    </row>
    <row r="26798">
      <c r="N26798" s="1"/>
      <c r="V26798" s="5"/>
    </row>
    <row r="26799">
      <c r="N26799" s="1"/>
      <c r="V26799" s="5"/>
    </row>
    <row r="26800">
      <c r="N26800" s="1"/>
      <c r="V26800" s="5"/>
    </row>
    <row r="26801">
      <c r="N26801" s="1"/>
      <c r="V26801" s="5"/>
    </row>
    <row r="26802">
      <c r="N26802" s="1"/>
      <c r="V26802" s="5"/>
    </row>
    <row r="26803">
      <c r="N26803" s="1"/>
      <c r="V26803" s="5"/>
    </row>
    <row r="26804">
      <c r="N26804" s="1"/>
      <c r="V26804" s="5"/>
    </row>
    <row r="26805">
      <c r="N26805" s="1"/>
      <c r="V26805" s="5"/>
    </row>
    <row r="26806">
      <c r="N26806" s="1"/>
      <c r="V26806" s="5"/>
    </row>
    <row r="26807">
      <c r="N26807" s="1"/>
      <c r="V26807" s="5"/>
    </row>
    <row r="26808">
      <c r="N26808" s="1"/>
      <c r="V26808" s="5"/>
    </row>
    <row r="26809">
      <c r="N26809" s="1"/>
      <c r="V26809" s="5"/>
    </row>
    <row r="26810">
      <c r="N26810" s="1"/>
      <c r="V26810" s="5"/>
    </row>
    <row r="26811">
      <c r="N26811" s="1"/>
      <c r="V26811" s="5"/>
    </row>
    <row r="26812">
      <c r="N26812" s="1"/>
      <c r="V26812" s="5"/>
    </row>
    <row r="26813">
      <c r="N26813" s="1"/>
      <c r="V26813" s="5"/>
    </row>
    <row r="26814">
      <c r="N26814" s="1"/>
      <c r="V26814" s="5"/>
    </row>
    <row r="26815">
      <c r="N26815" s="1"/>
      <c r="V26815" s="5"/>
    </row>
    <row r="26816">
      <c r="N26816" s="1"/>
      <c r="V26816" s="5"/>
    </row>
    <row r="26817">
      <c r="N26817" s="1"/>
      <c r="V26817" s="5"/>
    </row>
    <row r="26818">
      <c r="N26818" s="1"/>
      <c r="V26818" s="5"/>
    </row>
    <row r="26819">
      <c r="N26819" s="1"/>
      <c r="V26819" s="5"/>
    </row>
    <row r="26820">
      <c r="N26820" s="1"/>
      <c r="V26820" s="5"/>
    </row>
    <row r="26821">
      <c r="N26821" s="1"/>
      <c r="V26821" s="5"/>
    </row>
    <row r="26822">
      <c r="N26822" s="1"/>
      <c r="V26822" s="5"/>
    </row>
    <row r="26823">
      <c r="N26823" s="1"/>
      <c r="V26823" s="5"/>
    </row>
    <row r="26824">
      <c r="N26824" s="1"/>
      <c r="V26824" s="5"/>
    </row>
    <row r="26825">
      <c r="N26825" s="1"/>
      <c r="V26825" s="5"/>
    </row>
    <row r="26826">
      <c r="N26826" s="1"/>
      <c r="V26826" s="5"/>
    </row>
    <row r="26827">
      <c r="N26827" s="1"/>
      <c r="V26827" s="5"/>
    </row>
    <row r="26828">
      <c r="N26828" s="1"/>
      <c r="V26828" s="5"/>
    </row>
    <row r="26829">
      <c r="N26829" s="1"/>
      <c r="V26829" s="5"/>
    </row>
    <row r="26830">
      <c r="N26830" s="1"/>
      <c r="V26830" s="5"/>
    </row>
    <row r="26831">
      <c r="N26831" s="1"/>
      <c r="V26831" s="5"/>
    </row>
    <row r="26832">
      <c r="N26832" s="1"/>
      <c r="V26832" s="5"/>
    </row>
    <row r="26833">
      <c r="N26833" s="1"/>
      <c r="V26833" s="5"/>
    </row>
    <row r="26834">
      <c r="N26834" s="1"/>
      <c r="V26834" s="5"/>
    </row>
    <row r="26835">
      <c r="N26835" s="1"/>
      <c r="V26835" s="5"/>
    </row>
    <row r="26836">
      <c r="N26836" s="1"/>
      <c r="V26836" s="5"/>
    </row>
    <row r="26837">
      <c r="N26837" s="1"/>
      <c r="V26837" s="5"/>
    </row>
    <row r="26838">
      <c r="N26838" s="1"/>
      <c r="V26838" s="5"/>
    </row>
    <row r="26839">
      <c r="N26839" s="1"/>
      <c r="V26839" s="5"/>
    </row>
    <row r="26840">
      <c r="N26840" s="1"/>
      <c r="V26840" s="5"/>
    </row>
    <row r="26841">
      <c r="N26841" s="1"/>
      <c r="V26841" s="5"/>
    </row>
    <row r="26842">
      <c r="N26842" s="1"/>
      <c r="V26842" s="5"/>
    </row>
    <row r="26843">
      <c r="N26843" s="1"/>
      <c r="V26843" s="5"/>
    </row>
    <row r="26844">
      <c r="N26844" s="1"/>
      <c r="V26844" s="5"/>
    </row>
    <row r="26845">
      <c r="N26845" s="1"/>
      <c r="V26845" s="5"/>
    </row>
    <row r="26846">
      <c r="N26846" s="1"/>
      <c r="V26846" s="5"/>
    </row>
    <row r="26847">
      <c r="N26847" s="1"/>
      <c r="V26847" s="5"/>
    </row>
    <row r="26848">
      <c r="N26848" s="1"/>
      <c r="V26848" s="5"/>
    </row>
    <row r="26849">
      <c r="N26849" s="1"/>
      <c r="V26849" s="5"/>
    </row>
    <row r="26850">
      <c r="N26850" s="1"/>
      <c r="V26850" s="5"/>
    </row>
    <row r="26851">
      <c r="N26851" s="1"/>
      <c r="V26851" s="5"/>
    </row>
    <row r="26852">
      <c r="N26852" s="1"/>
      <c r="V26852" s="5"/>
    </row>
    <row r="26853">
      <c r="N26853" s="1"/>
      <c r="V26853" s="5"/>
    </row>
    <row r="26854">
      <c r="N26854" s="1"/>
      <c r="V26854" s="5"/>
    </row>
    <row r="26855">
      <c r="N26855" s="1"/>
      <c r="V26855" s="5"/>
    </row>
    <row r="26856">
      <c r="N26856" s="1"/>
      <c r="V26856" s="5"/>
    </row>
    <row r="26857">
      <c r="N26857" s="1"/>
      <c r="V26857" s="5"/>
    </row>
    <row r="26858">
      <c r="N26858" s="1"/>
      <c r="V26858" s="5"/>
    </row>
    <row r="26859">
      <c r="N26859" s="1"/>
      <c r="V26859" s="5"/>
    </row>
    <row r="26860">
      <c r="N26860" s="1"/>
      <c r="V26860" s="5"/>
    </row>
    <row r="26861">
      <c r="N26861" s="1"/>
      <c r="V26861" s="5"/>
    </row>
    <row r="26862">
      <c r="N26862" s="1"/>
      <c r="V26862" s="5"/>
    </row>
    <row r="26863">
      <c r="N26863" s="1"/>
      <c r="V26863" s="5"/>
    </row>
    <row r="26864">
      <c r="N26864" s="1"/>
      <c r="V26864" s="5"/>
    </row>
    <row r="26865">
      <c r="N26865" s="1"/>
      <c r="V26865" s="5"/>
    </row>
    <row r="26866">
      <c r="N26866" s="1"/>
      <c r="V26866" s="5"/>
    </row>
    <row r="26867">
      <c r="N26867" s="1"/>
      <c r="V26867" s="5"/>
    </row>
    <row r="26868">
      <c r="N26868" s="1"/>
      <c r="V26868" s="5"/>
    </row>
    <row r="26869">
      <c r="N26869" s="1"/>
      <c r="V26869" s="5"/>
    </row>
    <row r="26870">
      <c r="N26870" s="1"/>
      <c r="V26870" s="5"/>
    </row>
    <row r="26871">
      <c r="N26871" s="1"/>
      <c r="V26871" s="5"/>
    </row>
    <row r="26872">
      <c r="N26872" s="1"/>
      <c r="V26872" s="5"/>
    </row>
    <row r="26873">
      <c r="N26873" s="1"/>
      <c r="V26873" s="5"/>
    </row>
    <row r="26874">
      <c r="N26874" s="1"/>
      <c r="V26874" s="5"/>
    </row>
    <row r="26875">
      <c r="N26875" s="1"/>
      <c r="V26875" s="5"/>
    </row>
    <row r="26876">
      <c r="N26876" s="1"/>
      <c r="V26876" s="5"/>
    </row>
    <row r="26877">
      <c r="N26877" s="1"/>
      <c r="V26877" s="5"/>
    </row>
    <row r="26878">
      <c r="N26878" s="1"/>
      <c r="V26878" s="5"/>
    </row>
    <row r="26879">
      <c r="N26879" s="1"/>
      <c r="V26879" s="5"/>
    </row>
    <row r="26880">
      <c r="N26880" s="1"/>
      <c r="V26880" s="5"/>
    </row>
    <row r="26881">
      <c r="N26881" s="1"/>
      <c r="V26881" s="5"/>
    </row>
    <row r="26882">
      <c r="N26882" s="1"/>
      <c r="V26882" s="5"/>
    </row>
    <row r="26883">
      <c r="N26883" s="1"/>
      <c r="V26883" s="5"/>
    </row>
    <row r="26884">
      <c r="N26884" s="1"/>
      <c r="V26884" s="5"/>
    </row>
    <row r="26885">
      <c r="N26885" s="1"/>
      <c r="V26885" s="5"/>
    </row>
    <row r="26886">
      <c r="N26886" s="1"/>
      <c r="V26886" s="5"/>
    </row>
    <row r="26887">
      <c r="N26887" s="1"/>
      <c r="V26887" s="5"/>
    </row>
    <row r="26888">
      <c r="N26888" s="1"/>
      <c r="V26888" s="5"/>
    </row>
    <row r="26889">
      <c r="N26889" s="1"/>
      <c r="V26889" s="5"/>
    </row>
    <row r="26890">
      <c r="N26890" s="1"/>
      <c r="V26890" s="5"/>
    </row>
    <row r="26891">
      <c r="N26891" s="1"/>
      <c r="V26891" s="5"/>
    </row>
    <row r="26892">
      <c r="N26892" s="1"/>
      <c r="V26892" s="5"/>
    </row>
    <row r="26893">
      <c r="N26893" s="1"/>
      <c r="V26893" s="5"/>
    </row>
    <row r="26894">
      <c r="N26894" s="1"/>
      <c r="V26894" s="5"/>
    </row>
    <row r="26895">
      <c r="N26895" s="1"/>
      <c r="V26895" s="5"/>
    </row>
    <row r="26896">
      <c r="N26896" s="1"/>
      <c r="V26896" s="5"/>
    </row>
    <row r="26897">
      <c r="N26897" s="1"/>
      <c r="V26897" s="5"/>
    </row>
    <row r="26898">
      <c r="N26898" s="1"/>
      <c r="V26898" s="5"/>
    </row>
    <row r="26899">
      <c r="N26899" s="1"/>
      <c r="V26899" s="5"/>
    </row>
    <row r="26900">
      <c r="N26900" s="1"/>
      <c r="V26900" s="5"/>
    </row>
    <row r="26901">
      <c r="N26901" s="1"/>
      <c r="V26901" s="5"/>
    </row>
    <row r="26902">
      <c r="N26902" s="1"/>
      <c r="V26902" s="5"/>
    </row>
    <row r="26903">
      <c r="N26903" s="1"/>
      <c r="V26903" s="5"/>
    </row>
    <row r="26904">
      <c r="N26904" s="1"/>
      <c r="V26904" s="5"/>
    </row>
    <row r="26905">
      <c r="N26905" s="1"/>
      <c r="V26905" s="5"/>
    </row>
    <row r="26906">
      <c r="N26906" s="1"/>
      <c r="V26906" s="5"/>
    </row>
    <row r="26907">
      <c r="N26907" s="1"/>
      <c r="V26907" s="5"/>
    </row>
    <row r="26908">
      <c r="N26908" s="1"/>
      <c r="V26908" s="5"/>
    </row>
    <row r="26909">
      <c r="N26909" s="1"/>
      <c r="V26909" s="5"/>
    </row>
    <row r="26910">
      <c r="N26910" s="1"/>
      <c r="V26910" s="5"/>
    </row>
    <row r="26911">
      <c r="N26911" s="1"/>
      <c r="V26911" s="5"/>
    </row>
    <row r="26912">
      <c r="N26912" s="1"/>
      <c r="V26912" s="5"/>
    </row>
    <row r="26913">
      <c r="N26913" s="1"/>
      <c r="V26913" s="5"/>
    </row>
    <row r="26914">
      <c r="N26914" s="1"/>
      <c r="V26914" s="5"/>
    </row>
    <row r="26915">
      <c r="N26915" s="1"/>
      <c r="V26915" s="5"/>
    </row>
    <row r="26916">
      <c r="N26916" s="1"/>
      <c r="V26916" s="5"/>
    </row>
    <row r="26917">
      <c r="N26917" s="1"/>
      <c r="V26917" s="5"/>
    </row>
    <row r="26918">
      <c r="N26918" s="1"/>
      <c r="V26918" s="5"/>
    </row>
    <row r="26919">
      <c r="N26919" s="1"/>
      <c r="V26919" s="5"/>
    </row>
    <row r="26920">
      <c r="N26920" s="1"/>
      <c r="V26920" s="5"/>
    </row>
    <row r="26921">
      <c r="N26921" s="1"/>
      <c r="V26921" s="5"/>
    </row>
    <row r="26922">
      <c r="N26922" s="1"/>
      <c r="V26922" s="5"/>
    </row>
    <row r="26923">
      <c r="N26923" s="1"/>
      <c r="V26923" s="5"/>
    </row>
    <row r="26924">
      <c r="N26924" s="1"/>
      <c r="V26924" s="5"/>
    </row>
    <row r="26925">
      <c r="N26925" s="1"/>
      <c r="V26925" s="5"/>
    </row>
    <row r="26926">
      <c r="N26926" s="1"/>
      <c r="V26926" s="5"/>
    </row>
    <row r="26927">
      <c r="N26927" s="1"/>
      <c r="V26927" s="5"/>
    </row>
    <row r="26928">
      <c r="N26928" s="1"/>
      <c r="V26928" s="5"/>
    </row>
    <row r="26929">
      <c r="N26929" s="1"/>
      <c r="V26929" s="5"/>
    </row>
    <row r="26930">
      <c r="N26930" s="1"/>
      <c r="V26930" s="5"/>
    </row>
    <row r="26931">
      <c r="N26931" s="1"/>
      <c r="V26931" s="5"/>
    </row>
    <row r="26932">
      <c r="N26932" s="1"/>
      <c r="V26932" s="5"/>
    </row>
    <row r="26933">
      <c r="N26933" s="1"/>
      <c r="V26933" s="5"/>
    </row>
    <row r="26934">
      <c r="N26934" s="1"/>
      <c r="V26934" s="5"/>
    </row>
    <row r="26935">
      <c r="N26935" s="1"/>
      <c r="V26935" s="5"/>
    </row>
    <row r="26936">
      <c r="N26936" s="1"/>
      <c r="V26936" s="5"/>
    </row>
    <row r="26937">
      <c r="N26937" s="1"/>
      <c r="V26937" s="5"/>
    </row>
    <row r="26938">
      <c r="N26938" s="1"/>
      <c r="V26938" s="5"/>
    </row>
    <row r="26939">
      <c r="N26939" s="1"/>
      <c r="V26939" s="5"/>
    </row>
    <row r="26940">
      <c r="N26940" s="1"/>
      <c r="V26940" s="5"/>
    </row>
    <row r="26941">
      <c r="N26941" s="1"/>
      <c r="V26941" s="5"/>
    </row>
    <row r="26942">
      <c r="N26942" s="1"/>
      <c r="V26942" s="5"/>
    </row>
    <row r="26943">
      <c r="N26943" s="1"/>
      <c r="V26943" s="5"/>
    </row>
    <row r="26944">
      <c r="N26944" s="1"/>
      <c r="V26944" s="5"/>
    </row>
    <row r="26945">
      <c r="N26945" s="1"/>
      <c r="V26945" s="5"/>
    </row>
    <row r="26946">
      <c r="N26946" s="1"/>
      <c r="V26946" s="5"/>
    </row>
    <row r="26947">
      <c r="N26947" s="1"/>
      <c r="V26947" s="5"/>
    </row>
    <row r="26948">
      <c r="N26948" s="1"/>
      <c r="V26948" s="5"/>
    </row>
    <row r="26949">
      <c r="N26949" s="1"/>
      <c r="V26949" s="5"/>
    </row>
    <row r="26950">
      <c r="N26950" s="1"/>
      <c r="V26950" s="5"/>
    </row>
    <row r="26951">
      <c r="N26951" s="1"/>
      <c r="V26951" s="5"/>
    </row>
    <row r="26952">
      <c r="N26952" s="1"/>
      <c r="V26952" s="5"/>
    </row>
    <row r="26953">
      <c r="N26953" s="1"/>
      <c r="V26953" s="5"/>
    </row>
    <row r="26954">
      <c r="N26954" s="1"/>
      <c r="V26954" s="5"/>
    </row>
    <row r="26955">
      <c r="N26955" s="1"/>
      <c r="V26955" s="5"/>
    </row>
    <row r="26956">
      <c r="N26956" s="1"/>
      <c r="V26956" s="5"/>
    </row>
    <row r="26957">
      <c r="N26957" s="1"/>
      <c r="V26957" s="5"/>
    </row>
    <row r="26958">
      <c r="N26958" s="1"/>
      <c r="V26958" s="5"/>
    </row>
    <row r="26959">
      <c r="N26959" s="1"/>
      <c r="V26959" s="5"/>
    </row>
    <row r="26960">
      <c r="N26960" s="1"/>
      <c r="V26960" s="5"/>
    </row>
    <row r="26961">
      <c r="N26961" s="1"/>
      <c r="V26961" s="5"/>
    </row>
    <row r="26962">
      <c r="N26962" s="1"/>
      <c r="V26962" s="5"/>
    </row>
    <row r="26963">
      <c r="N26963" s="1"/>
      <c r="V26963" s="5"/>
    </row>
    <row r="26964">
      <c r="N26964" s="1"/>
      <c r="V26964" s="5"/>
    </row>
    <row r="26965">
      <c r="N26965" s="1"/>
      <c r="V26965" s="5"/>
    </row>
    <row r="26966">
      <c r="N26966" s="1"/>
      <c r="V26966" s="5"/>
    </row>
    <row r="26967">
      <c r="N26967" s="1"/>
      <c r="V26967" s="5"/>
    </row>
    <row r="26968">
      <c r="N26968" s="1"/>
      <c r="V26968" s="5"/>
    </row>
    <row r="26969">
      <c r="N26969" s="1"/>
      <c r="V26969" s="5"/>
    </row>
    <row r="26970">
      <c r="N26970" s="1"/>
      <c r="V26970" s="5"/>
    </row>
    <row r="26971">
      <c r="N26971" s="1"/>
      <c r="V26971" s="5"/>
    </row>
    <row r="26972">
      <c r="N26972" s="1"/>
      <c r="V26972" s="5"/>
    </row>
    <row r="26973">
      <c r="N26973" s="1"/>
      <c r="V26973" s="5"/>
    </row>
    <row r="26974">
      <c r="N26974" s="1"/>
      <c r="V26974" s="5"/>
    </row>
    <row r="26975">
      <c r="N26975" s="1"/>
      <c r="V26975" s="5"/>
    </row>
    <row r="26976">
      <c r="N26976" s="1"/>
      <c r="V26976" s="5"/>
    </row>
    <row r="26977">
      <c r="N26977" s="1"/>
      <c r="V26977" s="5"/>
    </row>
    <row r="26978">
      <c r="N26978" s="1"/>
      <c r="V26978" s="5"/>
    </row>
    <row r="26979">
      <c r="N26979" s="1"/>
      <c r="V26979" s="5"/>
    </row>
    <row r="26980">
      <c r="N26980" s="1"/>
      <c r="V26980" s="5"/>
    </row>
    <row r="26981">
      <c r="N26981" s="1"/>
      <c r="V26981" s="5"/>
    </row>
    <row r="26982">
      <c r="N26982" s="1"/>
      <c r="V26982" s="5"/>
    </row>
    <row r="26983">
      <c r="N26983" s="1"/>
      <c r="V26983" s="5"/>
    </row>
    <row r="26984">
      <c r="N26984" s="1"/>
      <c r="V26984" s="5"/>
    </row>
    <row r="26985">
      <c r="N26985" s="1"/>
      <c r="V26985" s="5"/>
    </row>
    <row r="26986">
      <c r="N26986" s="1"/>
      <c r="V26986" s="5"/>
    </row>
    <row r="26987">
      <c r="N26987" s="1"/>
      <c r="V26987" s="5"/>
    </row>
    <row r="26988">
      <c r="N26988" s="1"/>
      <c r="V26988" s="5"/>
    </row>
    <row r="26989">
      <c r="N26989" s="1"/>
      <c r="V26989" s="5"/>
    </row>
    <row r="26990">
      <c r="N26990" s="1"/>
      <c r="V26990" s="5"/>
    </row>
    <row r="26991">
      <c r="N26991" s="1"/>
      <c r="V26991" s="5"/>
    </row>
    <row r="26992">
      <c r="N26992" s="1"/>
      <c r="V26992" s="5"/>
    </row>
    <row r="26993">
      <c r="N26993" s="1"/>
      <c r="V26993" s="5"/>
    </row>
    <row r="26994">
      <c r="N26994" s="1"/>
      <c r="V26994" s="5"/>
    </row>
    <row r="26995">
      <c r="N26995" s="1"/>
      <c r="V26995" s="5"/>
    </row>
    <row r="26996">
      <c r="N26996" s="1"/>
      <c r="V26996" s="5"/>
    </row>
    <row r="26997">
      <c r="N26997" s="1"/>
      <c r="V26997" s="5"/>
    </row>
    <row r="26998">
      <c r="N26998" s="1"/>
      <c r="V26998" s="5"/>
    </row>
    <row r="26999">
      <c r="N26999" s="1"/>
      <c r="V26999" s="5"/>
    </row>
    <row r="27000">
      <c r="N27000" s="1"/>
      <c r="V27000" s="5"/>
    </row>
    <row r="27001">
      <c r="N27001" s="1"/>
      <c r="V27001" s="5"/>
    </row>
    <row r="27002">
      <c r="N27002" s="1"/>
      <c r="V27002" s="5"/>
    </row>
    <row r="27003">
      <c r="N27003" s="1"/>
      <c r="V27003" s="5"/>
    </row>
    <row r="27004">
      <c r="N27004" s="1"/>
      <c r="V27004" s="5"/>
    </row>
    <row r="27005">
      <c r="N27005" s="1"/>
      <c r="V27005" s="5"/>
    </row>
    <row r="27006">
      <c r="N27006" s="1"/>
      <c r="V27006" s="5"/>
    </row>
    <row r="27007">
      <c r="N27007" s="1"/>
      <c r="V27007" s="5"/>
    </row>
    <row r="27008">
      <c r="N27008" s="1"/>
      <c r="V27008" s="5"/>
    </row>
    <row r="27009">
      <c r="N27009" s="1"/>
      <c r="V27009" s="5"/>
    </row>
    <row r="27010">
      <c r="N27010" s="1"/>
      <c r="V27010" s="5"/>
    </row>
    <row r="27011">
      <c r="N27011" s="1"/>
      <c r="V27011" s="5"/>
    </row>
    <row r="27012">
      <c r="N27012" s="1"/>
      <c r="V27012" s="5"/>
    </row>
    <row r="27013">
      <c r="N27013" s="1"/>
      <c r="V27013" s="5"/>
    </row>
    <row r="27014">
      <c r="N27014" s="1"/>
      <c r="V27014" s="5"/>
    </row>
    <row r="27015">
      <c r="N27015" s="1"/>
      <c r="V27015" s="5"/>
    </row>
    <row r="27016">
      <c r="N27016" s="1"/>
      <c r="V27016" s="5"/>
    </row>
    <row r="27017">
      <c r="N27017" s="1"/>
      <c r="V27017" s="5"/>
    </row>
    <row r="27018">
      <c r="N27018" s="1"/>
      <c r="V27018" s="5"/>
    </row>
    <row r="27019">
      <c r="N27019" s="1"/>
      <c r="V27019" s="5"/>
    </row>
    <row r="27020">
      <c r="N27020" s="1"/>
      <c r="V27020" s="5"/>
    </row>
    <row r="27021">
      <c r="N27021" s="1"/>
      <c r="V27021" s="5"/>
    </row>
    <row r="27022">
      <c r="N27022" s="1"/>
      <c r="V27022" s="5"/>
    </row>
    <row r="27023">
      <c r="N27023" s="1"/>
      <c r="V27023" s="5"/>
    </row>
    <row r="27024">
      <c r="N27024" s="1"/>
      <c r="V27024" s="5"/>
    </row>
    <row r="27025">
      <c r="N27025" s="1"/>
      <c r="V27025" s="5"/>
    </row>
    <row r="27026">
      <c r="N27026" s="1"/>
      <c r="V27026" s="5"/>
    </row>
    <row r="27027">
      <c r="N27027" s="1"/>
      <c r="V27027" s="5"/>
    </row>
    <row r="27028">
      <c r="N27028" s="1"/>
      <c r="V27028" s="5"/>
    </row>
    <row r="27029">
      <c r="N27029" s="1"/>
      <c r="V27029" s="5"/>
    </row>
    <row r="27030">
      <c r="N27030" s="1"/>
      <c r="V27030" s="5"/>
    </row>
    <row r="27031">
      <c r="N27031" s="1"/>
      <c r="V27031" s="5"/>
    </row>
    <row r="27032">
      <c r="N27032" s="1"/>
      <c r="V27032" s="5"/>
    </row>
    <row r="27033">
      <c r="N27033" s="1"/>
      <c r="V27033" s="5"/>
    </row>
    <row r="27034">
      <c r="N27034" s="1"/>
      <c r="V27034" s="5"/>
    </row>
    <row r="27035">
      <c r="N27035" s="1"/>
      <c r="V27035" s="5"/>
    </row>
    <row r="27036">
      <c r="N27036" s="1"/>
      <c r="V27036" s="5"/>
    </row>
    <row r="27037">
      <c r="N27037" s="1"/>
      <c r="V27037" s="5"/>
    </row>
    <row r="27038">
      <c r="N27038" s="1"/>
      <c r="V27038" s="5"/>
    </row>
    <row r="27039">
      <c r="N27039" s="1"/>
      <c r="V27039" s="5"/>
    </row>
    <row r="27040">
      <c r="N27040" s="1"/>
      <c r="V27040" s="5"/>
    </row>
    <row r="27041">
      <c r="N27041" s="1"/>
      <c r="V27041" s="5"/>
    </row>
    <row r="27042">
      <c r="N27042" s="1"/>
      <c r="V27042" s="5"/>
    </row>
    <row r="27043">
      <c r="N27043" s="1"/>
      <c r="V27043" s="5"/>
    </row>
    <row r="27044">
      <c r="N27044" s="1"/>
      <c r="V27044" s="5"/>
    </row>
    <row r="27045">
      <c r="N27045" s="1"/>
      <c r="V27045" s="5"/>
    </row>
    <row r="27046">
      <c r="N27046" s="1"/>
      <c r="V27046" s="5"/>
    </row>
    <row r="27047">
      <c r="N27047" s="1"/>
      <c r="V27047" s="5"/>
    </row>
    <row r="27048">
      <c r="N27048" s="1"/>
      <c r="V27048" s="5"/>
    </row>
    <row r="27049">
      <c r="N27049" s="1"/>
      <c r="V27049" s="5"/>
    </row>
    <row r="27050">
      <c r="N27050" s="1"/>
      <c r="V27050" s="5"/>
    </row>
    <row r="27051">
      <c r="N27051" s="1"/>
      <c r="V27051" s="5"/>
    </row>
    <row r="27052">
      <c r="N27052" s="1"/>
      <c r="V27052" s="5"/>
    </row>
    <row r="27053">
      <c r="N27053" s="1"/>
      <c r="V27053" s="5"/>
    </row>
    <row r="27054">
      <c r="N27054" s="1"/>
      <c r="V27054" s="5"/>
    </row>
    <row r="27055">
      <c r="N27055" s="1"/>
      <c r="V27055" s="5"/>
    </row>
    <row r="27056">
      <c r="N27056" s="1"/>
      <c r="V27056" s="5"/>
    </row>
    <row r="27057">
      <c r="N27057" s="1"/>
      <c r="V27057" s="5"/>
    </row>
    <row r="27058">
      <c r="N27058" s="1"/>
      <c r="V27058" s="5"/>
    </row>
    <row r="27059">
      <c r="N27059" s="1"/>
      <c r="V27059" s="5"/>
    </row>
    <row r="27060">
      <c r="N27060" s="1"/>
      <c r="V27060" s="5"/>
    </row>
    <row r="27061">
      <c r="N27061" s="1"/>
      <c r="V27061" s="5"/>
    </row>
    <row r="27062">
      <c r="N27062" s="1"/>
      <c r="V27062" s="5"/>
    </row>
    <row r="27063">
      <c r="N27063" s="1"/>
      <c r="V27063" s="5"/>
    </row>
    <row r="27064">
      <c r="N27064" s="1"/>
      <c r="V27064" s="5"/>
    </row>
    <row r="27065">
      <c r="N27065" s="1"/>
      <c r="V27065" s="5"/>
    </row>
    <row r="27066">
      <c r="N27066" s="1"/>
      <c r="V27066" s="5"/>
    </row>
    <row r="27067">
      <c r="N27067" s="1"/>
      <c r="V27067" s="5"/>
    </row>
    <row r="27068">
      <c r="N27068" s="1"/>
      <c r="V27068" s="5"/>
    </row>
    <row r="27069">
      <c r="N27069" s="1"/>
      <c r="V27069" s="5"/>
    </row>
    <row r="27070">
      <c r="N27070" s="1"/>
      <c r="V27070" s="5"/>
    </row>
    <row r="27071">
      <c r="N27071" s="1"/>
      <c r="V27071" s="5"/>
    </row>
    <row r="27072">
      <c r="N27072" s="1"/>
      <c r="V27072" s="5"/>
    </row>
    <row r="27073">
      <c r="N27073" s="1"/>
      <c r="V27073" s="5"/>
    </row>
    <row r="27074">
      <c r="N27074" s="1"/>
      <c r="V27074" s="5"/>
    </row>
    <row r="27075">
      <c r="N27075" s="1"/>
      <c r="V27075" s="5"/>
    </row>
    <row r="27076">
      <c r="N27076" s="1"/>
      <c r="V27076" s="5"/>
    </row>
    <row r="27077">
      <c r="N27077" s="1"/>
      <c r="V27077" s="5"/>
    </row>
    <row r="27078">
      <c r="N27078" s="1"/>
      <c r="V27078" s="5"/>
    </row>
    <row r="27079">
      <c r="N27079" s="1"/>
      <c r="V27079" s="5"/>
    </row>
    <row r="27080">
      <c r="N27080" s="1"/>
      <c r="V27080" s="5"/>
    </row>
    <row r="27081">
      <c r="N27081" s="1"/>
      <c r="V27081" s="5"/>
    </row>
    <row r="27082">
      <c r="N27082" s="1"/>
      <c r="V27082" s="5"/>
    </row>
    <row r="27083">
      <c r="N27083" s="1"/>
      <c r="V27083" s="5"/>
    </row>
    <row r="27084">
      <c r="N27084" s="1"/>
      <c r="V27084" s="5"/>
    </row>
    <row r="27085">
      <c r="N27085" s="1"/>
      <c r="V27085" s="5"/>
    </row>
    <row r="27086">
      <c r="N27086" s="1"/>
      <c r="V27086" s="5"/>
    </row>
    <row r="27087">
      <c r="N27087" s="1"/>
      <c r="V27087" s="5"/>
    </row>
    <row r="27088">
      <c r="N27088" s="1"/>
      <c r="V27088" s="5"/>
    </row>
    <row r="27089">
      <c r="N27089" s="1"/>
      <c r="V27089" s="5"/>
    </row>
    <row r="27090">
      <c r="N27090" s="1"/>
      <c r="V27090" s="5"/>
    </row>
    <row r="27091">
      <c r="N27091" s="1"/>
      <c r="V27091" s="5"/>
    </row>
    <row r="27092">
      <c r="N27092" s="1"/>
      <c r="V27092" s="5"/>
    </row>
    <row r="27093">
      <c r="N27093" s="1"/>
      <c r="V27093" s="5"/>
    </row>
    <row r="27094">
      <c r="N27094" s="1"/>
      <c r="V27094" s="5"/>
    </row>
    <row r="27095">
      <c r="N27095" s="1"/>
      <c r="V27095" s="5"/>
    </row>
    <row r="27096">
      <c r="N27096" s="1"/>
      <c r="V27096" s="5"/>
    </row>
    <row r="27097">
      <c r="N27097" s="1"/>
      <c r="V27097" s="5"/>
    </row>
    <row r="27098">
      <c r="N27098" s="1"/>
      <c r="V27098" s="5"/>
    </row>
    <row r="27099">
      <c r="N27099" s="1"/>
      <c r="V27099" s="5"/>
    </row>
    <row r="27100">
      <c r="N27100" s="1"/>
      <c r="V27100" s="5"/>
    </row>
    <row r="27101">
      <c r="N27101" s="1"/>
      <c r="V27101" s="5"/>
    </row>
    <row r="27102">
      <c r="N27102" s="1"/>
      <c r="V27102" s="5"/>
    </row>
    <row r="27103">
      <c r="N27103" s="1"/>
      <c r="V27103" s="5"/>
    </row>
    <row r="27104">
      <c r="N27104" s="1"/>
      <c r="V27104" s="5"/>
    </row>
    <row r="27105">
      <c r="N27105" s="1"/>
      <c r="V27105" s="5"/>
    </row>
    <row r="27106">
      <c r="N27106" s="1"/>
      <c r="V27106" s="5"/>
    </row>
    <row r="27107">
      <c r="N27107" s="1"/>
      <c r="V27107" s="5"/>
    </row>
    <row r="27108">
      <c r="N27108" s="1"/>
      <c r="V27108" s="5"/>
    </row>
    <row r="27109">
      <c r="N27109" s="1"/>
      <c r="V27109" s="5"/>
    </row>
    <row r="27110">
      <c r="N27110" s="1"/>
      <c r="V27110" s="5"/>
    </row>
    <row r="27111">
      <c r="N27111" s="1"/>
      <c r="V27111" s="5"/>
    </row>
    <row r="27112">
      <c r="N27112" s="1"/>
      <c r="V27112" s="5"/>
    </row>
    <row r="27113">
      <c r="N27113" s="1"/>
      <c r="V27113" s="5"/>
    </row>
    <row r="27114">
      <c r="N27114" s="1"/>
      <c r="V27114" s="5"/>
    </row>
    <row r="27115">
      <c r="N27115" s="1"/>
      <c r="V27115" s="5"/>
    </row>
    <row r="27116">
      <c r="N27116" s="1"/>
      <c r="V27116" s="5"/>
    </row>
    <row r="27117">
      <c r="N27117" s="1"/>
      <c r="V27117" s="5"/>
    </row>
    <row r="27118">
      <c r="N27118" s="1"/>
      <c r="V27118" s="5"/>
    </row>
    <row r="27119">
      <c r="N27119" s="1"/>
      <c r="V27119" s="5"/>
    </row>
    <row r="27120">
      <c r="N27120" s="1"/>
      <c r="V27120" s="5"/>
    </row>
    <row r="27121">
      <c r="N27121" s="1"/>
      <c r="V27121" s="5"/>
    </row>
    <row r="27122">
      <c r="N27122" s="1"/>
      <c r="V27122" s="5"/>
    </row>
    <row r="27123">
      <c r="N27123" s="1"/>
      <c r="V27123" s="5"/>
    </row>
    <row r="27124">
      <c r="N27124" s="1"/>
      <c r="V27124" s="5"/>
    </row>
    <row r="27125">
      <c r="N27125" s="1"/>
      <c r="V27125" s="5"/>
    </row>
    <row r="27126">
      <c r="N27126" s="1"/>
      <c r="V27126" s="5"/>
    </row>
    <row r="27127">
      <c r="N27127" s="1"/>
      <c r="V27127" s="5"/>
    </row>
    <row r="27128">
      <c r="N27128" s="1"/>
      <c r="V27128" s="5"/>
    </row>
    <row r="27129">
      <c r="N27129" s="1"/>
      <c r="V27129" s="5"/>
    </row>
    <row r="27130">
      <c r="N27130" s="1"/>
      <c r="V27130" s="5"/>
    </row>
    <row r="27131">
      <c r="N27131" s="1"/>
      <c r="V27131" s="5"/>
    </row>
    <row r="27132">
      <c r="N27132" s="1"/>
      <c r="V27132" s="5"/>
    </row>
    <row r="27133">
      <c r="N27133" s="1"/>
      <c r="V27133" s="5"/>
    </row>
    <row r="27134">
      <c r="N27134" s="1"/>
      <c r="V27134" s="5"/>
    </row>
    <row r="27135">
      <c r="N27135" s="1"/>
      <c r="V27135" s="5"/>
    </row>
    <row r="27136">
      <c r="N27136" s="1"/>
      <c r="V27136" s="5"/>
    </row>
    <row r="27137">
      <c r="N27137" s="1"/>
      <c r="V27137" s="5"/>
    </row>
    <row r="27138">
      <c r="N27138" s="1"/>
      <c r="V27138" s="5"/>
    </row>
    <row r="27139">
      <c r="N27139" s="1"/>
      <c r="V27139" s="5"/>
    </row>
    <row r="27140">
      <c r="N27140" s="1"/>
      <c r="V27140" s="5"/>
    </row>
    <row r="27141">
      <c r="N27141" s="1"/>
      <c r="V27141" s="5"/>
    </row>
    <row r="27142">
      <c r="N27142" s="1"/>
      <c r="V27142" s="5"/>
    </row>
    <row r="27143">
      <c r="N27143" s="1"/>
      <c r="V27143" s="5"/>
    </row>
    <row r="27144">
      <c r="N27144" s="1"/>
      <c r="V27144" s="5"/>
    </row>
    <row r="27145">
      <c r="N27145" s="1"/>
      <c r="V27145" s="5"/>
    </row>
    <row r="27146">
      <c r="N27146" s="1"/>
      <c r="V27146" s="5"/>
    </row>
    <row r="27147">
      <c r="N27147" s="1"/>
      <c r="V27147" s="5"/>
    </row>
    <row r="27148">
      <c r="N27148" s="1"/>
      <c r="V27148" s="5"/>
    </row>
    <row r="27149">
      <c r="N27149" s="1"/>
      <c r="V27149" s="5"/>
    </row>
    <row r="27150">
      <c r="N27150" s="1"/>
      <c r="V27150" s="5"/>
    </row>
    <row r="27151">
      <c r="N27151" s="1"/>
      <c r="V27151" s="5"/>
    </row>
    <row r="27152">
      <c r="N27152" s="1"/>
      <c r="V27152" s="5"/>
    </row>
    <row r="27153">
      <c r="N27153" s="1"/>
      <c r="V27153" s="5"/>
    </row>
    <row r="27154">
      <c r="N27154" s="1"/>
      <c r="V27154" s="5"/>
    </row>
    <row r="27155">
      <c r="N27155" s="1"/>
      <c r="V27155" s="5"/>
    </row>
    <row r="27156">
      <c r="N27156" s="1"/>
      <c r="V27156" s="5"/>
    </row>
    <row r="27157">
      <c r="N27157" s="1"/>
      <c r="V27157" s="5"/>
    </row>
    <row r="27158">
      <c r="N27158" s="1"/>
      <c r="V27158" s="5"/>
    </row>
    <row r="27159">
      <c r="N27159" s="1"/>
      <c r="V27159" s="5"/>
    </row>
    <row r="27160">
      <c r="N27160" s="1"/>
      <c r="V27160" s="5"/>
    </row>
    <row r="27161">
      <c r="N27161" s="1"/>
      <c r="V27161" s="5"/>
    </row>
    <row r="27162">
      <c r="N27162" s="1"/>
      <c r="V27162" s="5"/>
    </row>
    <row r="27163">
      <c r="N27163" s="1"/>
      <c r="V27163" s="5"/>
    </row>
    <row r="27164">
      <c r="N27164" s="1"/>
      <c r="V27164" s="5"/>
    </row>
    <row r="27165">
      <c r="N27165" s="1"/>
      <c r="V27165" s="5"/>
    </row>
    <row r="27166">
      <c r="N27166" s="1"/>
      <c r="V27166" s="5"/>
    </row>
    <row r="27167">
      <c r="N27167" s="1"/>
      <c r="V27167" s="5"/>
    </row>
    <row r="27168">
      <c r="N27168" s="1"/>
      <c r="V27168" s="5"/>
    </row>
    <row r="27169">
      <c r="N27169" s="1"/>
      <c r="V27169" s="5"/>
    </row>
    <row r="27170">
      <c r="N27170" s="1"/>
      <c r="V27170" s="5"/>
    </row>
    <row r="27171">
      <c r="N27171" s="1"/>
      <c r="V27171" s="5"/>
    </row>
    <row r="27172">
      <c r="N27172" s="1"/>
      <c r="V27172" s="5"/>
    </row>
    <row r="27173">
      <c r="N27173" s="1"/>
      <c r="V27173" s="5"/>
    </row>
    <row r="27174">
      <c r="N27174" s="1"/>
      <c r="V27174" s="5"/>
    </row>
    <row r="27175">
      <c r="N27175" s="1"/>
      <c r="V27175" s="5"/>
    </row>
    <row r="27176">
      <c r="N27176" s="1"/>
      <c r="V27176" s="5"/>
    </row>
    <row r="27177">
      <c r="N27177" s="1"/>
      <c r="V27177" s="5"/>
    </row>
    <row r="27178">
      <c r="N27178" s="1"/>
      <c r="V27178" s="5"/>
    </row>
    <row r="27179">
      <c r="N27179" s="1"/>
      <c r="V27179" s="5"/>
    </row>
    <row r="27180">
      <c r="N27180" s="1"/>
      <c r="V27180" s="5"/>
    </row>
    <row r="27181">
      <c r="N27181" s="1"/>
      <c r="V27181" s="5"/>
    </row>
    <row r="27182">
      <c r="N27182" s="1"/>
      <c r="V27182" s="5"/>
    </row>
    <row r="27183">
      <c r="N27183" s="1"/>
      <c r="V27183" s="5"/>
    </row>
    <row r="27184">
      <c r="N27184" s="1"/>
      <c r="V27184" s="5"/>
    </row>
    <row r="27185">
      <c r="N27185" s="1"/>
      <c r="V27185" s="5"/>
    </row>
    <row r="27186">
      <c r="N27186" s="1"/>
      <c r="V27186" s="5"/>
    </row>
    <row r="27187">
      <c r="N27187" s="1"/>
      <c r="V27187" s="5"/>
    </row>
    <row r="27188">
      <c r="N27188" s="1"/>
      <c r="V27188" s="5"/>
    </row>
    <row r="27189">
      <c r="N27189" s="1"/>
      <c r="V27189" s="5"/>
    </row>
    <row r="27190">
      <c r="N27190" s="1"/>
      <c r="V27190" s="5"/>
    </row>
    <row r="27191">
      <c r="N27191" s="1"/>
      <c r="V27191" s="5"/>
    </row>
    <row r="27192">
      <c r="N27192" s="1"/>
      <c r="V27192" s="5"/>
    </row>
    <row r="27193">
      <c r="N27193" s="1"/>
      <c r="V27193" s="5"/>
    </row>
    <row r="27194">
      <c r="N27194" s="1"/>
      <c r="V27194" s="5"/>
    </row>
    <row r="27195">
      <c r="N27195" s="1"/>
      <c r="V27195" s="5"/>
    </row>
    <row r="27196">
      <c r="N27196" s="1"/>
      <c r="V27196" s="5"/>
    </row>
    <row r="27197">
      <c r="N27197" s="1"/>
      <c r="V27197" s="5"/>
    </row>
    <row r="27198">
      <c r="N27198" s="1"/>
      <c r="V27198" s="5"/>
    </row>
    <row r="27199">
      <c r="N27199" s="1"/>
      <c r="V27199" s="5"/>
    </row>
    <row r="27200">
      <c r="N27200" s="1"/>
      <c r="V27200" s="5"/>
    </row>
    <row r="27201">
      <c r="N27201" s="1"/>
      <c r="V27201" s="5"/>
    </row>
    <row r="27202">
      <c r="N27202" s="1"/>
      <c r="V27202" s="5"/>
    </row>
    <row r="27203">
      <c r="N27203" s="1"/>
      <c r="V27203" s="5"/>
    </row>
    <row r="27204">
      <c r="N27204" s="1"/>
      <c r="V27204" s="5"/>
    </row>
    <row r="27205">
      <c r="N27205" s="1"/>
      <c r="V27205" s="5"/>
    </row>
    <row r="27206">
      <c r="N27206" s="1"/>
      <c r="V27206" s="5"/>
    </row>
    <row r="27207">
      <c r="N27207" s="1"/>
      <c r="V27207" s="5"/>
    </row>
    <row r="27208">
      <c r="N27208" s="1"/>
      <c r="V27208" s="5"/>
    </row>
    <row r="27209">
      <c r="N27209" s="1"/>
      <c r="V27209" s="5"/>
    </row>
    <row r="27210">
      <c r="N27210" s="1"/>
      <c r="V27210" s="5"/>
    </row>
    <row r="27211">
      <c r="N27211" s="1"/>
      <c r="V27211" s="5"/>
    </row>
    <row r="27212">
      <c r="N27212" s="1"/>
      <c r="V27212" s="5"/>
    </row>
    <row r="27213">
      <c r="N27213" s="1"/>
      <c r="V27213" s="5"/>
    </row>
    <row r="27214">
      <c r="N27214" s="1"/>
      <c r="V27214" s="5"/>
    </row>
    <row r="27215">
      <c r="N27215" s="1"/>
      <c r="V27215" s="5"/>
    </row>
    <row r="27216">
      <c r="N27216" s="1"/>
      <c r="V27216" s="5"/>
    </row>
    <row r="27217">
      <c r="N27217" s="1"/>
      <c r="V27217" s="5"/>
    </row>
    <row r="27218">
      <c r="N27218" s="1"/>
      <c r="V27218" s="5"/>
    </row>
    <row r="27219">
      <c r="N27219" s="1"/>
      <c r="V27219" s="5"/>
    </row>
    <row r="27220">
      <c r="N27220" s="1"/>
      <c r="V27220" s="5"/>
    </row>
    <row r="27221">
      <c r="N27221" s="1"/>
      <c r="V27221" s="5"/>
    </row>
    <row r="27222">
      <c r="N27222" s="1"/>
      <c r="V27222" s="5"/>
    </row>
    <row r="27223">
      <c r="N27223" s="1"/>
      <c r="V27223" s="5"/>
    </row>
    <row r="27224">
      <c r="N27224" s="1"/>
      <c r="V27224" s="5"/>
    </row>
    <row r="27225">
      <c r="N27225" s="1"/>
      <c r="V27225" s="5"/>
    </row>
    <row r="27226">
      <c r="N27226" s="1"/>
      <c r="V27226" s="5"/>
    </row>
    <row r="27227">
      <c r="N27227" s="1"/>
      <c r="V27227" s="5"/>
    </row>
    <row r="27228">
      <c r="N27228" s="1"/>
      <c r="V27228" s="5"/>
    </row>
    <row r="27229">
      <c r="N27229" s="1"/>
      <c r="V27229" s="5"/>
    </row>
    <row r="27230">
      <c r="N27230" s="1"/>
      <c r="V27230" s="5"/>
    </row>
    <row r="27231">
      <c r="N27231" s="1"/>
      <c r="V27231" s="5"/>
    </row>
    <row r="27232">
      <c r="N27232" s="1"/>
      <c r="V27232" s="5"/>
    </row>
    <row r="27233">
      <c r="N27233" s="1"/>
      <c r="V27233" s="5"/>
    </row>
    <row r="27234">
      <c r="N27234" s="1"/>
      <c r="V27234" s="5"/>
    </row>
    <row r="27235">
      <c r="N27235" s="1"/>
      <c r="V27235" s="5"/>
    </row>
    <row r="27236">
      <c r="N27236" s="1"/>
      <c r="V27236" s="5"/>
    </row>
    <row r="27237">
      <c r="N27237" s="1"/>
      <c r="V27237" s="5"/>
    </row>
    <row r="27238">
      <c r="N27238" s="1"/>
      <c r="V27238" s="5"/>
    </row>
    <row r="27239">
      <c r="N27239" s="1"/>
      <c r="V27239" s="5"/>
    </row>
    <row r="27240">
      <c r="N27240" s="1"/>
      <c r="V27240" s="5"/>
    </row>
    <row r="27241">
      <c r="N27241" s="1"/>
      <c r="V27241" s="5"/>
    </row>
    <row r="27242">
      <c r="N27242" s="1"/>
      <c r="V27242" s="5"/>
    </row>
    <row r="27243">
      <c r="N27243" s="1"/>
      <c r="V27243" s="5"/>
    </row>
    <row r="27244">
      <c r="N27244" s="1"/>
      <c r="V27244" s="5"/>
    </row>
    <row r="27245">
      <c r="N27245" s="1"/>
      <c r="V27245" s="5"/>
    </row>
    <row r="27246">
      <c r="N27246" s="1"/>
      <c r="V27246" s="5"/>
    </row>
    <row r="27247">
      <c r="N27247" s="1"/>
      <c r="V27247" s="5"/>
    </row>
    <row r="27248">
      <c r="N27248" s="1"/>
      <c r="V27248" s="5"/>
    </row>
    <row r="27249">
      <c r="N27249" s="1"/>
      <c r="V27249" s="5"/>
    </row>
    <row r="27250">
      <c r="N27250" s="1"/>
      <c r="V27250" s="5"/>
    </row>
    <row r="27251">
      <c r="N27251" s="1"/>
      <c r="V27251" s="5"/>
    </row>
    <row r="27252">
      <c r="N27252" s="1"/>
      <c r="V27252" s="5"/>
    </row>
    <row r="27253">
      <c r="N27253" s="1"/>
      <c r="V27253" s="5"/>
    </row>
    <row r="27254">
      <c r="N27254" s="1"/>
      <c r="V27254" s="5"/>
    </row>
    <row r="27255">
      <c r="N27255" s="1"/>
      <c r="V27255" s="5"/>
    </row>
    <row r="27256">
      <c r="N27256" s="1"/>
      <c r="V27256" s="5"/>
    </row>
    <row r="27257">
      <c r="N27257" s="1"/>
      <c r="V27257" s="5"/>
    </row>
    <row r="27258">
      <c r="N27258" s="1"/>
      <c r="V27258" s="5"/>
    </row>
    <row r="27259">
      <c r="N27259" s="1"/>
      <c r="V27259" s="5"/>
    </row>
    <row r="27260">
      <c r="N27260" s="1"/>
      <c r="V27260" s="5"/>
    </row>
    <row r="27261">
      <c r="N27261" s="1"/>
      <c r="V27261" s="5"/>
    </row>
    <row r="27262">
      <c r="N27262" s="1"/>
      <c r="V27262" s="5"/>
    </row>
    <row r="27263">
      <c r="N27263" s="1"/>
      <c r="V27263" s="5"/>
    </row>
    <row r="27264">
      <c r="N27264" s="1"/>
      <c r="V27264" s="5"/>
    </row>
    <row r="27265">
      <c r="N27265" s="1"/>
      <c r="V27265" s="5"/>
    </row>
    <row r="27266">
      <c r="N27266" s="1"/>
      <c r="V27266" s="5"/>
    </row>
    <row r="27267">
      <c r="N27267" s="1"/>
      <c r="V27267" s="5"/>
    </row>
    <row r="27268">
      <c r="N27268" s="1"/>
      <c r="V27268" s="5"/>
    </row>
    <row r="27269">
      <c r="N27269" s="1"/>
      <c r="V27269" s="5"/>
    </row>
    <row r="27270">
      <c r="N27270" s="1"/>
      <c r="V27270" s="5"/>
    </row>
    <row r="27271">
      <c r="N27271" s="1"/>
      <c r="V27271" s="5"/>
    </row>
    <row r="27272">
      <c r="N27272" s="1"/>
      <c r="V27272" s="5"/>
    </row>
    <row r="27273">
      <c r="N27273" s="1"/>
      <c r="V27273" s="5"/>
    </row>
    <row r="27274">
      <c r="N27274" s="1"/>
      <c r="V27274" s="5"/>
    </row>
    <row r="27275">
      <c r="N27275" s="1"/>
      <c r="V27275" s="5"/>
    </row>
    <row r="27276">
      <c r="N27276" s="1"/>
      <c r="V27276" s="5"/>
    </row>
    <row r="27277">
      <c r="N27277" s="1"/>
      <c r="V27277" s="5"/>
    </row>
    <row r="27278">
      <c r="N27278" s="1"/>
      <c r="V27278" s="5"/>
    </row>
    <row r="27279">
      <c r="N27279" s="1"/>
      <c r="V27279" s="5"/>
    </row>
    <row r="27280">
      <c r="N27280" s="1"/>
      <c r="V27280" s="5"/>
    </row>
    <row r="27281">
      <c r="N27281" s="1"/>
      <c r="V27281" s="5"/>
    </row>
    <row r="27282">
      <c r="N27282" s="1"/>
      <c r="V27282" s="5"/>
    </row>
    <row r="27283">
      <c r="N27283" s="1"/>
      <c r="V27283" s="5"/>
    </row>
    <row r="27284">
      <c r="N27284" s="1"/>
      <c r="V27284" s="5"/>
    </row>
    <row r="27285">
      <c r="N27285" s="1"/>
      <c r="V27285" s="5"/>
    </row>
    <row r="27286">
      <c r="N27286" s="1"/>
      <c r="V27286" s="5"/>
    </row>
    <row r="27287">
      <c r="N27287" s="1"/>
      <c r="V27287" s="5"/>
    </row>
    <row r="27288">
      <c r="N27288" s="1"/>
      <c r="V27288" s="5"/>
    </row>
    <row r="27289">
      <c r="N27289" s="1"/>
      <c r="V27289" s="5"/>
    </row>
    <row r="27290">
      <c r="N27290" s="1"/>
      <c r="V27290" s="5"/>
    </row>
    <row r="27291">
      <c r="N27291" s="1"/>
      <c r="V27291" s="5"/>
    </row>
    <row r="27292">
      <c r="N27292" s="1"/>
      <c r="V27292" s="5"/>
    </row>
    <row r="27293">
      <c r="N27293" s="1"/>
      <c r="V27293" s="5"/>
    </row>
    <row r="27294">
      <c r="N27294" s="1"/>
      <c r="V27294" s="5"/>
    </row>
    <row r="27295">
      <c r="N27295" s="1"/>
      <c r="V27295" s="5"/>
    </row>
    <row r="27296">
      <c r="N27296" s="1"/>
      <c r="V27296" s="5"/>
    </row>
    <row r="27297">
      <c r="N27297" s="1"/>
      <c r="V27297" s="5"/>
    </row>
    <row r="27298">
      <c r="N27298" s="1"/>
      <c r="V27298" s="5"/>
    </row>
    <row r="27299">
      <c r="N27299" s="1"/>
      <c r="V27299" s="5"/>
    </row>
    <row r="27300">
      <c r="N27300" s="1"/>
      <c r="V27300" s="5"/>
    </row>
    <row r="27301">
      <c r="N27301" s="1"/>
      <c r="V27301" s="5"/>
    </row>
    <row r="27302">
      <c r="N27302" s="1"/>
      <c r="V27302" s="5"/>
    </row>
    <row r="27303">
      <c r="N27303" s="1"/>
      <c r="V27303" s="5"/>
    </row>
    <row r="27304">
      <c r="N27304" s="1"/>
      <c r="V27304" s="5"/>
    </row>
    <row r="27305">
      <c r="N27305" s="1"/>
      <c r="V27305" s="5"/>
    </row>
    <row r="27306">
      <c r="N27306" s="1"/>
      <c r="V27306" s="5"/>
    </row>
    <row r="27307">
      <c r="N27307" s="1"/>
      <c r="V27307" s="5"/>
    </row>
    <row r="27308">
      <c r="N27308" s="1"/>
      <c r="V27308" s="5"/>
    </row>
    <row r="27309">
      <c r="N27309" s="1"/>
      <c r="V27309" s="5"/>
    </row>
    <row r="27310">
      <c r="N27310" s="1"/>
      <c r="V27310" s="5"/>
    </row>
    <row r="27311">
      <c r="N27311" s="1"/>
      <c r="V27311" s="5"/>
    </row>
    <row r="27312">
      <c r="N27312" s="1"/>
      <c r="V27312" s="5"/>
    </row>
    <row r="27313">
      <c r="N27313" s="1"/>
      <c r="V27313" s="5"/>
    </row>
    <row r="27314">
      <c r="N27314" s="1"/>
      <c r="V27314" s="5"/>
    </row>
    <row r="27315">
      <c r="N27315" s="1"/>
      <c r="V27315" s="5"/>
    </row>
    <row r="27316">
      <c r="N27316" s="1"/>
      <c r="V27316" s="5"/>
    </row>
    <row r="27317">
      <c r="N27317" s="1"/>
      <c r="V27317" s="5"/>
    </row>
    <row r="27318">
      <c r="N27318" s="1"/>
      <c r="V27318" s="5"/>
    </row>
    <row r="27319">
      <c r="N27319" s="1"/>
      <c r="V27319" s="5"/>
    </row>
    <row r="27320">
      <c r="N27320" s="1"/>
      <c r="V27320" s="5"/>
    </row>
    <row r="27321">
      <c r="N27321" s="1"/>
      <c r="V27321" s="5"/>
    </row>
    <row r="27322">
      <c r="N27322" s="1"/>
      <c r="V27322" s="5"/>
    </row>
    <row r="27323">
      <c r="N27323" s="1"/>
      <c r="V27323" s="5"/>
    </row>
    <row r="27324">
      <c r="N27324" s="1"/>
      <c r="V27324" s="5"/>
    </row>
    <row r="27325">
      <c r="N27325" s="1"/>
      <c r="V27325" s="5"/>
    </row>
    <row r="27326">
      <c r="N27326" s="1"/>
      <c r="V27326" s="5"/>
    </row>
    <row r="27327">
      <c r="N27327" s="1"/>
      <c r="V27327" s="5"/>
    </row>
    <row r="27328">
      <c r="N27328" s="1"/>
      <c r="V27328" s="5"/>
    </row>
    <row r="27329">
      <c r="N27329" s="1"/>
      <c r="V27329" s="5"/>
    </row>
    <row r="27330">
      <c r="N27330" s="1"/>
      <c r="V27330" s="5"/>
    </row>
    <row r="27331">
      <c r="N27331" s="1"/>
      <c r="V27331" s="5"/>
    </row>
    <row r="27332">
      <c r="N27332" s="1"/>
      <c r="V27332" s="5"/>
    </row>
    <row r="27333">
      <c r="N27333" s="1"/>
      <c r="V27333" s="5"/>
    </row>
    <row r="27334">
      <c r="N27334" s="1"/>
      <c r="V27334" s="5"/>
    </row>
    <row r="27335">
      <c r="N27335" s="1"/>
      <c r="V27335" s="5"/>
    </row>
    <row r="27336">
      <c r="N27336" s="1"/>
      <c r="V27336" s="5"/>
    </row>
    <row r="27337">
      <c r="N27337" s="1"/>
      <c r="V27337" s="5"/>
    </row>
    <row r="27338">
      <c r="N27338" s="1"/>
      <c r="V27338" s="5"/>
    </row>
    <row r="27339">
      <c r="N27339" s="1"/>
      <c r="V27339" s="5"/>
    </row>
    <row r="27340">
      <c r="N27340" s="1"/>
      <c r="V27340" s="5"/>
    </row>
    <row r="27341">
      <c r="N27341" s="1"/>
      <c r="V27341" s="5"/>
    </row>
    <row r="27342">
      <c r="N27342" s="1"/>
      <c r="V27342" s="5"/>
    </row>
    <row r="27343">
      <c r="N27343" s="1"/>
      <c r="V27343" s="5"/>
    </row>
    <row r="27344">
      <c r="N27344" s="1"/>
      <c r="V27344" s="5"/>
    </row>
    <row r="27345">
      <c r="N27345" s="1"/>
      <c r="V27345" s="5"/>
    </row>
    <row r="27346">
      <c r="N27346" s="1"/>
      <c r="V27346" s="5"/>
    </row>
    <row r="27347">
      <c r="N27347" s="1"/>
      <c r="V27347" s="5"/>
    </row>
    <row r="27348">
      <c r="N27348" s="1"/>
      <c r="V27348" s="5"/>
    </row>
    <row r="27349">
      <c r="N27349" s="1"/>
      <c r="V27349" s="5"/>
    </row>
    <row r="27350">
      <c r="N27350" s="1"/>
      <c r="V27350" s="5"/>
    </row>
    <row r="27351">
      <c r="N27351" s="1"/>
      <c r="V27351" s="5"/>
    </row>
    <row r="27352">
      <c r="N27352" s="1"/>
      <c r="V27352" s="5"/>
    </row>
    <row r="27353">
      <c r="N27353" s="1"/>
      <c r="V27353" s="5"/>
    </row>
    <row r="27354">
      <c r="N27354" s="1"/>
      <c r="V27354" s="5"/>
    </row>
    <row r="27355">
      <c r="N27355" s="1"/>
      <c r="V27355" s="5"/>
    </row>
    <row r="27356">
      <c r="N27356" s="1"/>
      <c r="V27356" s="5"/>
    </row>
    <row r="27357">
      <c r="N27357" s="1"/>
      <c r="V27357" s="5"/>
    </row>
    <row r="27358">
      <c r="N27358" s="1"/>
      <c r="V27358" s="5"/>
    </row>
    <row r="27359">
      <c r="N27359" s="1"/>
      <c r="V27359" s="5"/>
    </row>
    <row r="27360">
      <c r="N27360" s="1"/>
      <c r="V27360" s="5"/>
    </row>
    <row r="27361">
      <c r="N27361" s="1"/>
      <c r="V27361" s="5"/>
    </row>
    <row r="27362">
      <c r="N27362" s="1"/>
      <c r="V27362" s="5"/>
    </row>
    <row r="27363">
      <c r="N27363" s="1"/>
      <c r="V27363" s="5"/>
    </row>
    <row r="27364">
      <c r="N27364" s="1"/>
      <c r="V27364" s="5"/>
    </row>
    <row r="27365">
      <c r="N27365" s="1"/>
      <c r="V27365" s="5"/>
    </row>
    <row r="27366">
      <c r="N27366" s="1"/>
      <c r="V27366" s="5"/>
    </row>
    <row r="27367">
      <c r="N27367" s="1"/>
      <c r="V27367" s="5"/>
    </row>
    <row r="27368">
      <c r="N27368" s="1"/>
      <c r="V27368" s="5"/>
    </row>
    <row r="27369">
      <c r="N27369" s="1"/>
      <c r="V27369" s="5"/>
    </row>
    <row r="27370">
      <c r="N27370" s="1"/>
      <c r="V27370" s="5"/>
    </row>
    <row r="27371">
      <c r="N27371" s="1"/>
      <c r="V27371" s="5"/>
    </row>
    <row r="27372">
      <c r="N27372" s="1"/>
      <c r="V27372" s="5"/>
    </row>
    <row r="27373">
      <c r="N27373" s="1"/>
      <c r="V27373" s="5"/>
    </row>
    <row r="27374">
      <c r="N27374" s="1"/>
      <c r="V27374" s="5"/>
    </row>
    <row r="27375">
      <c r="N27375" s="1"/>
      <c r="V27375" s="5"/>
    </row>
    <row r="27376">
      <c r="N27376" s="1"/>
      <c r="V27376" s="5"/>
    </row>
    <row r="27377">
      <c r="N27377" s="1"/>
      <c r="V27377" s="5"/>
    </row>
    <row r="27378">
      <c r="N27378" s="1"/>
      <c r="V27378" s="5"/>
    </row>
    <row r="27379">
      <c r="N27379" s="1"/>
      <c r="V27379" s="5"/>
    </row>
    <row r="27380">
      <c r="N27380" s="1"/>
      <c r="V27380" s="5"/>
    </row>
    <row r="27381">
      <c r="N27381" s="1"/>
      <c r="V27381" s="5"/>
    </row>
    <row r="27382">
      <c r="N27382" s="1"/>
      <c r="V27382" s="5"/>
    </row>
    <row r="27383">
      <c r="N27383" s="1"/>
      <c r="V27383" s="5"/>
    </row>
    <row r="27384">
      <c r="N27384" s="1"/>
      <c r="V27384" s="5"/>
    </row>
    <row r="27385">
      <c r="N27385" s="1"/>
      <c r="V27385" s="5"/>
    </row>
    <row r="27386">
      <c r="N27386" s="1"/>
      <c r="V27386" s="5"/>
    </row>
    <row r="27387">
      <c r="N27387" s="1"/>
      <c r="V27387" s="5"/>
    </row>
    <row r="27388">
      <c r="N27388" s="1"/>
      <c r="V27388" s="5"/>
    </row>
    <row r="27389">
      <c r="N27389" s="1"/>
      <c r="V27389" s="5"/>
    </row>
    <row r="27390">
      <c r="N27390" s="1"/>
      <c r="V27390" s="5"/>
    </row>
    <row r="27391">
      <c r="N27391" s="1"/>
      <c r="V27391" s="5"/>
    </row>
    <row r="27392">
      <c r="N27392" s="1"/>
      <c r="V27392" s="5"/>
    </row>
    <row r="27393">
      <c r="N27393" s="1"/>
      <c r="V27393" s="5"/>
    </row>
    <row r="27394">
      <c r="N27394" s="1"/>
      <c r="V27394" s="5"/>
    </row>
    <row r="27395">
      <c r="N27395" s="1"/>
      <c r="V27395" s="5"/>
    </row>
    <row r="27396">
      <c r="N27396" s="1"/>
      <c r="V27396" s="5"/>
    </row>
    <row r="27397">
      <c r="N27397" s="1"/>
      <c r="V27397" s="5"/>
    </row>
    <row r="27398">
      <c r="N27398" s="1"/>
      <c r="V27398" s="5"/>
    </row>
    <row r="27399">
      <c r="N27399" s="1"/>
      <c r="V27399" s="5"/>
    </row>
    <row r="27400">
      <c r="N27400" s="1"/>
      <c r="V27400" s="5"/>
    </row>
    <row r="27401">
      <c r="N27401" s="1"/>
      <c r="V27401" s="5"/>
    </row>
    <row r="27402">
      <c r="N27402" s="1"/>
      <c r="V27402" s="5"/>
    </row>
    <row r="27403">
      <c r="N27403" s="1"/>
      <c r="V27403" s="5"/>
    </row>
    <row r="27404">
      <c r="N27404" s="1"/>
      <c r="V27404" s="5"/>
    </row>
    <row r="27405">
      <c r="N27405" s="1"/>
      <c r="V27405" s="5"/>
    </row>
    <row r="27406">
      <c r="N27406" s="1"/>
      <c r="V27406" s="5"/>
    </row>
    <row r="27407">
      <c r="N27407" s="1"/>
      <c r="V27407" s="5"/>
    </row>
    <row r="27408">
      <c r="N27408" s="1"/>
      <c r="V27408" s="5"/>
    </row>
    <row r="27409">
      <c r="N27409" s="1"/>
      <c r="V27409" s="5"/>
    </row>
    <row r="27410">
      <c r="N27410" s="1"/>
      <c r="V27410" s="5"/>
    </row>
    <row r="27411">
      <c r="N27411" s="1"/>
      <c r="V27411" s="5"/>
    </row>
    <row r="27412">
      <c r="N27412" s="1"/>
      <c r="V27412" s="5"/>
    </row>
    <row r="27413">
      <c r="N27413" s="1"/>
      <c r="V27413" s="5"/>
    </row>
    <row r="27414">
      <c r="N27414" s="1"/>
      <c r="V27414" s="5"/>
    </row>
    <row r="27415">
      <c r="N27415" s="1"/>
      <c r="V27415" s="5"/>
    </row>
    <row r="27416">
      <c r="N27416" s="1"/>
      <c r="V27416" s="5"/>
    </row>
    <row r="27417">
      <c r="N27417" s="1"/>
      <c r="V27417" s="5"/>
    </row>
    <row r="27418">
      <c r="N27418" s="1"/>
      <c r="V27418" s="5"/>
    </row>
    <row r="27419">
      <c r="N27419" s="1"/>
      <c r="V27419" s="5"/>
    </row>
    <row r="27420">
      <c r="N27420" s="1"/>
      <c r="V27420" s="5"/>
    </row>
    <row r="27421">
      <c r="N27421" s="1"/>
      <c r="V27421" s="5"/>
    </row>
    <row r="27422">
      <c r="N27422" s="1"/>
      <c r="V27422" s="5"/>
    </row>
    <row r="27423">
      <c r="N27423" s="1"/>
      <c r="V27423" s="5"/>
    </row>
    <row r="27424">
      <c r="N27424" s="1"/>
      <c r="V27424" s="5"/>
    </row>
    <row r="27425">
      <c r="N27425" s="1"/>
      <c r="V27425" s="5"/>
    </row>
    <row r="27426">
      <c r="N27426" s="1"/>
      <c r="V27426" s="5"/>
    </row>
    <row r="27427">
      <c r="N27427" s="1"/>
      <c r="V27427" s="5"/>
    </row>
    <row r="27428">
      <c r="N27428" s="1"/>
      <c r="V27428" s="5"/>
    </row>
    <row r="27429">
      <c r="N27429" s="1"/>
      <c r="V27429" s="5"/>
    </row>
    <row r="27430">
      <c r="N27430" s="1"/>
      <c r="V27430" s="5"/>
    </row>
    <row r="27431">
      <c r="N27431" s="1"/>
      <c r="V27431" s="5"/>
    </row>
    <row r="27432">
      <c r="N27432" s="1"/>
      <c r="V27432" s="5"/>
    </row>
    <row r="27433">
      <c r="N27433" s="1"/>
      <c r="V27433" s="5"/>
    </row>
    <row r="27434">
      <c r="N27434" s="1"/>
      <c r="V27434" s="5"/>
    </row>
    <row r="27435">
      <c r="N27435" s="1"/>
      <c r="V27435" s="5"/>
    </row>
    <row r="27436">
      <c r="N27436" s="1"/>
      <c r="V27436" s="5"/>
    </row>
    <row r="27437">
      <c r="N27437" s="1"/>
      <c r="V27437" s="5"/>
    </row>
    <row r="27438">
      <c r="N27438" s="1"/>
      <c r="V27438" s="5"/>
    </row>
    <row r="27439">
      <c r="N27439" s="1"/>
      <c r="V27439" s="5"/>
    </row>
    <row r="27440">
      <c r="N27440" s="1"/>
      <c r="V27440" s="5"/>
    </row>
    <row r="27441">
      <c r="N27441" s="1"/>
      <c r="V27441" s="5"/>
    </row>
    <row r="27442">
      <c r="N27442" s="1"/>
      <c r="V27442" s="5"/>
    </row>
    <row r="27443">
      <c r="N27443" s="1"/>
      <c r="V27443" s="5"/>
    </row>
    <row r="27444">
      <c r="N27444" s="1"/>
      <c r="V27444" s="5"/>
    </row>
    <row r="27445">
      <c r="N27445" s="1"/>
      <c r="V27445" s="5"/>
    </row>
    <row r="27446">
      <c r="N27446" s="1"/>
      <c r="V27446" s="5"/>
    </row>
    <row r="27447">
      <c r="N27447" s="1"/>
      <c r="V27447" s="5"/>
    </row>
    <row r="27448">
      <c r="N27448" s="1"/>
      <c r="V27448" s="5"/>
    </row>
    <row r="27449">
      <c r="N27449" s="1"/>
      <c r="V27449" s="5"/>
    </row>
    <row r="27450">
      <c r="N27450" s="1"/>
      <c r="V27450" s="5"/>
    </row>
    <row r="27451">
      <c r="N27451" s="1"/>
      <c r="V27451" s="5"/>
    </row>
    <row r="27452">
      <c r="N27452" s="1"/>
      <c r="V27452" s="5"/>
    </row>
    <row r="27453">
      <c r="N27453" s="1"/>
      <c r="V27453" s="5"/>
    </row>
    <row r="27454">
      <c r="N27454" s="1"/>
      <c r="V27454" s="5"/>
    </row>
    <row r="27455">
      <c r="N27455" s="1"/>
      <c r="V27455" s="5"/>
    </row>
    <row r="27456">
      <c r="N27456" s="1"/>
      <c r="V27456" s="5"/>
    </row>
    <row r="27457">
      <c r="N27457" s="1"/>
      <c r="V27457" s="5"/>
    </row>
    <row r="27458">
      <c r="N27458" s="1"/>
      <c r="V27458" s="5"/>
    </row>
    <row r="27459">
      <c r="N27459" s="1"/>
      <c r="V27459" s="5"/>
    </row>
    <row r="27460">
      <c r="N27460" s="1"/>
      <c r="V27460" s="5"/>
    </row>
    <row r="27461">
      <c r="N27461" s="1"/>
      <c r="V27461" s="5"/>
    </row>
    <row r="27462">
      <c r="N27462" s="1"/>
      <c r="V27462" s="5"/>
    </row>
    <row r="27463">
      <c r="N27463" s="1"/>
      <c r="V27463" s="5"/>
    </row>
    <row r="27464">
      <c r="N27464" s="1"/>
      <c r="V27464" s="5"/>
    </row>
    <row r="27465">
      <c r="N27465" s="1"/>
      <c r="V27465" s="5"/>
    </row>
    <row r="27466">
      <c r="N27466" s="1"/>
      <c r="V27466" s="5"/>
    </row>
    <row r="27467">
      <c r="N27467" s="1"/>
      <c r="V27467" s="5"/>
    </row>
    <row r="27468">
      <c r="N27468" s="1"/>
      <c r="V27468" s="5"/>
    </row>
    <row r="27469">
      <c r="N27469" s="1"/>
      <c r="V27469" s="5"/>
    </row>
    <row r="27470">
      <c r="N27470" s="1"/>
      <c r="V27470" s="5"/>
    </row>
    <row r="27471">
      <c r="N27471" s="1"/>
      <c r="V27471" s="5"/>
    </row>
    <row r="27472">
      <c r="N27472" s="1"/>
      <c r="V27472" s="5"/>
    </row>
    <row r="27473">
      <c r="N27473" s="1"/>
      <c r="V27473" s="5"/>
    </row>
    <row r="27474">
      <c r="N27474" s="1"/>
      <c r="V27474" s="5"/>
    </row>
    <row r="27475">
      <c r="N27475" s="1"/>
      <c r="V27475" s="5"/>
    </row>
    <row r="27476">
      <c r="N27476" s="1"/>
      <c r="V27476" s="5"/>
    </row>
    <row r="27477">
      <c r="N27477" s="1"/>
      <c r="V27477" s="5"/>
    </row>
    <row r="27478">
      <c r="N27478" s="1"/>
      <c r="V27478" s="5"/>
    </row>
    <row r="27479">
      <c r="N27479" s="1"/>
      <c r="V27479" s="5"/>
    </row>
    <row r="27480">
      <c r="N27480" s="1"/>
      <c r="V27480" s="5"/>
    </row>
    <row r="27481">
      <c r="N27481" s="1"/>
      <c r="V27481" s="5"/>
    </row>
    <row r="27482">
      <c r="N27482" s="1"/>
      <c r="V27482" s="5"/>
    </row>
    <row r="27483">
      <c r="N27483" s="1"/>
      <c r="V27483" s="5"/>
    </row>
    <row r="27484">
      <c r="N27484" s="1"/>
      <c r="V27484" s="5"/>
    </row>
    <row r="27485">
      <c r="N27485" s="1"/>
      <c r="V27485" s="5"/>
    </row>
    <row r="27486">
      <c r="N27486" s="1"/>
      <c r="V27486" s="5"/>
    </row>
    <row r="27487">
      <c r="N27487" s="1"/>
      <c r="V27487" s="5"/>
    </row>
    <row r="27488">
      <c r="N27488" s="1"/>
      <c r="V27488" s="5"/>
    </row>
    <row r="27489">
      <c r="N27489" s="1"/>
      <c r="V27489" s="5"/>
    </row>
    <row r="27490">
      <c r="N27490" s="1"/>
      <c r="V27490" s="5"/>
    </row>
    <row r="27491">
      <c r="N27491" s="1"/>
      <c r="V27491" s="5"/>
    </row>
    <row r="27492">
      <c r="N27492" s="1"/>
      <c r="V27492" s="5"/>
    </row>
    <row r="27493">
      <c r="N27493" s="1"/>
      <c r="V27493" s="5"/>
    </row>
    <row r="27494">
      <c r="N27494" s="1"/>
      <c r="V27494" s="5"/>
    </row>
    <row r="27495">
      <c r="N27495" s="1"/>
      <c r="V27495" s="5"/>
    </row>
    <row r="27496">
      <c r="N27496" s="1"/>
      <c r="V27496" s="5"/>
    </row>
    <row r="27497">
      <c r="N27497" s="1"/>
      <c r="V27497" s="5"/>
    </row>
    <row r="27498">
      <c r="N27498" s="1"/>
      <c r="V27498" s="5"/>
    </row>
    <row r="27499">
      <c r="N27499" s="1"/>
      <c r="V27499" s="5"/>
    </row>
    <row r="27500">
      <c r="N27500" s="1"/>
      <c r="V27500" s="5"/>
    </row>
    <row r="27501">
      <c r="N27501" s="1"/>
      <c r="V27501" s="5"/>
    </row>
    <row r="27502">
      <c r="N27502" s="1"/>
      <c r="V27502" s="5"/>
    </row>
    <row r="27503">
      <c r="N27503" s="1"/>
      <c r="V27503" s="5"/>
    </row>
    <row r="27504">
      <c r="N27504" s="1"/>
      <c r="V27504" s="5"/>
    </row>
    <row r="27505">
      <c r="N27505" s="1"/>
      <c r="V27505" s="5"/>
    </row>
    <row r="27506">
      <c r="N27506" s="1"/>
      <c r="V27506" s="5"/>
    </row>
    <row r="27507">
      <c r="N27507" s="1"/>
      <c r="V27507" s="5"/>
    </row>
    <row r="27508">
      <c r="N27508" s="1"/>
      <c r="V27508" s="5"/>
    </row>
    <row r="27509">
      <c r="N27509" s="1"/>
      <c r="V27509" s="5"/>
    </row>
    <row r="27510">
      <c r="N27510" s="1"/>
      <c r="V27510" s="5"/>
    </row>
    <row r="27511">
      <c r="N27511" s="1"/>
      <c r="V27511" s="5"/>
    </row>
    <row r="27512">
      <c r="N27512" s="1"/>
      <c r="V27512" s="5"/>
    </row>
    <row r="27513">
      <c r="N27513" s="1"/>
      <c r="V27513" s="5"/>
    </row>
    <row r="27514">
      <c r="N27514" s="1"/>
      <c r="V27514" s="5"/>
    </row>
    <row r="27515">
      <c r="N27515" s="1"/>
      <c r="V27515" s="5"/>
    </row>
    <row r="27516">
      <c r="N27516" s="1"/>
      <c r="V27516" s="5"/>
    </row>
    <row r="27517">
      <c r="N27517" s="1"/>
      <c r="V27517" s="5"/>
    </row>
    <row r="27518">
      <c r="N27518" s="1"/>
      <c r="V27518" s="5"/>
    </row>
    <row r="27519">
      <c r="N27519" s="1"/>
      <c r="V27519" s="5"/>
    </row>
    <row r="27520">
      <c r="N27520" s="1"/>
      <c r="V27520" s="5"/>
    </row>
    <row r="27521">
      <c r="N27521" s="1"/>
      <c r="V27521" s="5"/>
    </row>
    <row r="27522">
      <c r="N27522" s="1"/>
      <c r="V27522" s="5"/>
    </row>
    <row r="27523">
      <c r="N27523" s="1"/>
      <c r="V27523" s="5"/>
    </row>
    <row r="27524">
      <c r="N27524" s="1"/>
      <c r="V27524" s="5"/>
    </row>
    <row r="27525">
      <c r="N27525" s="1"/>
      <c r="V27525" s="5"/>
    </row>
    <row r="27526">
      <c r="N27526" s="1"/>
      <c r="V27526" s="5"/>
    </row>
    <row r="27527">
      <c r="N27527" s="1"/>
      <c r="V27527" s="5"/>
    </row>
    <row r="27528">
      <c r="N27528" s="1"/>
      <c r="V27528" s="5"/>
    </row>
    <row r="27529">
      <c r="N27529" s="1"/>
      <c r="V27529" s="5"/>
    </row>
    <row r="27530">
      <c r="N27530" s="1"/>
      <c r="V27530" s="5"/>
    </row>
    <row r="27531">
      <c r="N27531" s="1"/>
      <c r="V27531" s="5"/>
    </row>
    <row r="27532">
      <c r="N27532" s="1"/>
      <c r="V27532" s="5"/>
    </row>
    <row r="27533">
      <c r="N27533" s="1"/>
      <c r="V27533" s="5"/>
    </row>
    <row r="27534">
      <c r="N27534" s="1"/>
      <c r="V27534" s="5"/>
    </row>
    <row r="27535">
      <c r="N27535" s="1"/>
      <c r="V27535" s="5"/>
    </row>
    <row r="27536">
      <c r="N27536" s="1"/>
      <c r="V27536" s="5"/>
    </row>
    <row r="27537">
      <c r="N27537" s="1"/>
      <c r="V27537" s="5"/>
    </row>
    <row r="27538">
      <c r="N27538" s="1"/>
      <c r="V27538" s="5"/>
    </row>
    <row r="27539">
      <c r="N27539" s="1"/>
      <c r="V27539" s="5"/>
    </row>
    <row r="27540">
      <c r="N27540" s="1"/>
      <c r="V27540" s="5"/>
    </row>
    <row r="27541">
      <c r="N27541" s="1"/>
      <c r="V27541" s="5"/>
    </row>
    <row r="27542">
      <c r="N27542" s="1"/>
      <c r="V27542" s="5"/>
    </row>
    <row r="27543">
      <c r="N27543" s="1"/>
      <c r="V27543" s="5"/>
    </row>
    <row r="27544">
      <c r="N27544" s="1"/>
      <c r="V27544" s="5"/>
    </row>
    <row r="27545">
      <c r="N27545" s="1"/>
      <c r="V27545" s="5"/>
    </row>
    <row r="27546">
      <c r="N27546" s="1"/>
      <c r="V27546" s="5"/>
    </row>
    <row r="27547">
      <c r="N27547" s="1"/>
      <c r="V27547" s="5"/>
    </row>
    <row r="27548">
      <c r="N27548" s="1"/>
      <c r="V27548" s="5"/>
    </row>
    <row r="27549">
      <c r="N27549" s="1"/>
      <c r="V27549" s="5"/>
    </row>
    <row r="27550">
      <c r="N27550" s="1"/>
      <c r="V27550" s="5"/>
    </row>
    <row r="27551">
      <c r="N27551" s="1"/>
      <c r="V27551" s="5"/>
    </row>
    <row r="27552">
      <c r="N27552" s="1"/>
      <c r="V27552" s="5"/>
    </row>
    <row r="27553">
      <c r="N27553" s="1"/>
      <c r="V27553" s="5"/>
    </row>
    <row r="27554">
      <c r="N27554" s="1"/>
      <c r="V27554" s="5"/>
    </row>
    <row r="27555">
      <c r="N27555" s="1"/>
      <c r="V27555" s="5"/>
    </row>
    <row r="27556">
      <c r="N27556" s="1"/>
      <c r="V27556" s="5"/>
    </row>
    <row r="27557">
      <c r="N27557" s="1"/>
      <c r="V27557" s="5"/>
    </row>
    <row r="27558">
      <c r="N27558" s="1"/>
      <c r="V27558" s="5"/>
    </row>
    <row r="27559">
      <c r="N27559" s="1"/>
      <c r="V27559" s="5"/>
    </row>
    <row r="27560">
      <c r="N27560" s="1"/>
      <c r="V27560" s="5"/>
    </row>
    <row r="27561">
      <c r="N27561" s="1"/>
      <c r="V27561" s="5"/>
    </row>
    <row r="27562">
      <c r="N27562" s="1"/>
      <c r="V27562" s="5"/>
    </row>
    <row r="27563">
      <c r="N27563" s="1"/>
      <c r="V27563" s="5"/>
    </row>
    <row r="27564">
      <c r="N27564" s="1"/>
      <c r="V27564" s="5"/>
    </row>
    <row r="27565">
      <c r="N27565" s="1"/>
      <c r="V27565" s="5"/>
    </row>
    <row r="27566">
      <c r="N27566" s="1"/>
      <c r="V27566" s="5"/>
    </row>
    <row r="27567">
      <c r="N27567" s="1"/>
      <c r="V27567" s="5"/>
    </row>
    <row r="27568">
      <c r="N27568" s="1"/>
      <c r="V27568" s="5"/>
    </row>
    <row r="27569">
      <c r="N27569" s="1"/>
      <c r="V27569" s="5"/>
    </row>
    <row r="27570">
      <c r="N27570" s="1"/>
      <c r="V27570" s="5"/>
    </row>
    <row r="27571">
      <c r="N27571" s="1"/>
      <c r="V27571" s="5"/>
    </row>
    <row r="27572">
      <c r="N27572" s="1"/>
      <c r="V27572" s="5"/>
    </row>
    <row r="27573">
      <c r="N27573" s="1"/>
      <c r="V27573" s="5"/>
    </row>
    <row r="27574">
      <c r="N27574" s="1"/>
      <c r="V27574" s="5"/>
    </row>
    <row r="27575">
      <c r="N27575" s="1"/>
      <c r="V27575" s="5"/>
    </row>
    <row r="27576">
      <c r="N27576" s="1"/>
      <c r="V27576" s="5"/>
    </row>
    <row r="27577">
      <c r="N27577" s="1"/>
      <c r="V27577" s="5"/>
    </row>
    <row r="27578">
      <c r="N27578" s="1"/>
      <c r="V27578" s="5"/>
    </row>
    <row r="27579">
      <c r="N27579" s="1"/>
      <c r="V27579" s="5"/>
    </row>
    <row r="27580">
      <c r="N27580" s="1"/>
      <c r="V27580" s="5"/>
    </row>
    <row r="27581">
      <c r="N27581" s="1"/>
      <c r="V27581" s="5"/>
    </row>
    <row r="27582">
      <c r="N27582" s="1"/>
      <c r="V27582" s="5"/>
    </row>
    <row r="27583">
      <c r="N27583" s="1"/>
      <c r="V27583" s="5"/>
    </row>
    <row r="27584">
      <c r="N27584" s="1"/>
      <c r="V27584" s="5"/>
    </row>
    <row r="27585">
      <c r="N27585" s="1"/>
      <c r="V27585" s="5"/>
    </row>
    <row r="27586">
      <c r="N27586" s="1"/>
      <c r="V27586" s="5"/>
    </row>
    <row r="27587">
      <c r="N27587" s="1"/>
      <c r="V27587" s="5"/>
    </row>
    <row r="27588">
      <c r="N27588" s="1"/>
      <c r="V27588" s="5"/>
    </row>
    <row r="27589">
      <c r="N27589" s="1"/>
      <c r="V27589" s="5"/>
    </row>
    <row r="27590">
      <c r="N27590" s="1"/>
      <c r="V27590" s="5"/>
    </row>
    <row r="27591">
      <c r="N27591" s="1"/>
      <c r="V27591" s="5"/>
    </row>
    <row r="27592">
      <c r="N27592" s="1"/>
      <c r="V27592" s="5"/>
    </row>
    <row r="27593">
      <c r="N27593" s="1"/>
      <c r="V27593" s="5"/>
    </row>
    <row r="27594">
      <c r="N27594" s="1"/>
      <c r="V27594" s="5"/>
    </row>
    <row r="27595">
      <c r="N27595" s="1"/>
      <c r="V27595" s="5"/>
    </row>
    <row r="27596">
      <c r="N27596" s="1"/>
      <c r="V27596" s="5"/>
    </row>
    <row r="27597">
      <c r="N27597" s="1"/>
      <c r="V27597" s="5"/>
    </row>
    <row r="27598">
      <c r="N27598" s="1"/>
      <c r="V27598" s="5"/>
    </row>
    <row r="27599">
      <c r="N27599" s="1"/>
      <c r="V27599" s="5"/>
    </row>
    <row r="27600">
      <c r="N27600" s="1"/>
      <c r="V27600" s="5"/>
    </row>
    <row r="27601">
      <c r="N27601" s="1"/>
      <c r="V27601" s="5"/>
    </row>
    <row r="27602">
      <c r="N27602" s="1"/>
      <c r="V27602" s="5"/>
    </row>
    <row r="27603">
      <c r="N27603" s="1"/>
      <c r="V27603" s="5"/>
    </row>
    <row r="27604">
      <c r="N27604" s="1"/>
      <c r="V27604" s="5"/>
    </row>
    <row r="27605">
      <c r="N27605" s="1"/>
      <c r="V27605" s="5"/>
    </row>
    <row r="27606">
      <c r="N27606" s="1"/>
      <c r="V27606" s="5"/>
    </row>
    <row r="27607">
      <c r="N27607" s="1"/>
      <c r="V27607" s="5"/>
    </row>
    <row r="27608">
      <c r="N27608" s="1"/>
      <c r="V27608" s="5"/>
    </row>
    <row r="27609">
      <c r="N27609" s="1"/>
      <c r="V27609" s="5"/>
    </row>
    <row r="27610">
      <c r="N27610" s="1"/>
      <c r="V27610" s="5"/>
    </row>
    <row r="27611">
      <c r="N27611" s="1"/>
      <c r="V27611" s="5"/>
    </row>
    <row r="27612">
      <c r="N27612" s="1"/>
      <c r="V27612" s="5"/>
    </row>
    <row r="27613">
      <c r="N27613" s="1"/>
      <c r="V27613" s="5"/>
    </row>
    <row r="27614">
      <c r="N27614" s="1"/>
      <c r="V27614" s="5"/>
    </row>
    <row r="27615">
      <c r="N27615" s="1"/>
      <c r="V27615" s="5"/>
    </row>
    <row r="27616">
      <c r="N27616" s="1"/>
      <c r="V27616" s="5"/>
    </row>
    <row r="27617">
      <c r="N27617" s="1"/>
      <c r="V27617" s="5"/>
    </row>
    <row r="27618">
      <c r="N27618" s="1"/>
      <c r="V27618" s="5"/>
    </row>
    <row r="27619">
      <c r="N27619" s="1"/>
      <c r="V27619" s="5"/>
    </row>
    <row r="27620">
      <c r="N27620" s="1"/>
      <c r="V27620" s="5"/>
    </row>
    <row r="27621">
      <c r="N27621" s="1"/>
      <c r="V27621" s="5"/>
    </row>
    <row r="27622">
      <c r="N27622" s="1"/>
      <c r="V27622" s="5"/>
    </row>
    <row r="27623">
      <c r="N27623" s="1"/>
      <c r="V27623" s="5"/>
    </row>
    <row r="27624">
      <c r="N27624" s="1"/>
      <c r="V27624" s="5"/>
    </row>
    <row r="27625">
      <c r="N27625" s="1"/>
      <c r="V27625" s="5"/>
    </row>
    <row r="27626">
      <c r="N27626" s="1"/>
      <c r="V27626" s="5"/>
    </row>
    <row r="27627">
      <c r="N27627" s="1"/>
      <c r="V27627" s="5"/>
    </row>
    <row r="27628">
      <c r="N27628" s="1"/>
      <c r="V27628" s="5"/>
    </row>
    <row r="27629">
      <c r="N27629" s="1"/>
      <c r="V27629" s="5"/>
    </row>
    <row r="27630">
      <c r="N27630" s="1"/>
      <c r="V27630" s="5"/>
    </row>
    <row r="27631">
      <c r="N27631" s="1"/>
      <c r="V27631" s="5"/>
    </row>
    <row r="27632">
      <c r="N27632" s="1"/>
      <c r="V27632" s="5"/>
    </row>
    <row r="27633">
      <c r="N27633" s="1"/>
      <c r="V27633" s="5"/>
    </row>
    <row r="27634">
      <c r="N27634" s="1"/>
      <c r="V27634" s="5"/>
    </row>
    <row r="27635">
      <c r="N27635" s="1"/>
      <c r="V27635" s="5"/>
    </row>
    <row r="27636">
      <c r="N27636" s="1"/>
      <c r="V27636" s="5"/>
    </row>
    <row r="27637">
      <c r="N27637" s="1"/>
      <c r="V27637" s="5"/>
    </row>
    <row r="27638">
      <c r="N27638" s="1"/>
      <c r="V27638" s="5"/>
    </row>
    <row r="27639">
      <c r="N27639" s="1"/>
      <c r="V27639" s="5"/>
    </row>
    <row r="27640">
      <c r="N27640" s="1"/>
      <c r="V27640" s="5"/>
    </row>
    <row r="27641">
      <c r="N27641" s="1"/>
      <c r="V27641" s="5"/>
    </row>
    <row r="27642">
      <c r="N27642" s="1"/>
      <c r="V27642" s="5"/>
    </row>
    <row r="27643">
      <c r="N27643" s="1"/>
      <c r="V27643" s="5"/>
    </row>
    <row r="27644">
      <c r="N27644" s="1"/>
      <c r="V27644" s="5"/>
    </row>
    <row r="27645">
      <c r="N27645" s="1"/>
      <c r="V27645" s="5"/>
    </row>
    <row r="27646">
      <c r="N27646" s="1"/>
      <c r="V27646" s="5"/>
    </row>
    <row r="27647">
      <c r="N27647" s="1"/>
      <c r="V27647" s="5"/>
    </row>
    <row r="27648">
      <c r="N27648" s="1"/>
      <c r="V27648" s="5"/>
    </row>
    <row r="27649">
      <c r="N27649" s="1"/>
      <c r="V27649" s="5"/>
    </row>
    <row r="27650">
      <c r="N27650" s="1"/>
      <c r="V27650" s="5"/>
    </row>
    <row r="27651">
      <c r="N27651" s="1"/>
      <c r="V27651" s="5"/>
    </row>
    <row r="27652">
      <c r="N27652" s="1"/>
      <c r="V27652" s="5"/>
    </row>
    <row r="27653">
      <c r="N27653" s="1"/>
      <c r="V27653" s="5"/>
    </row>
    <row r="27654">
      <c r="N27654" s="1"/>
      <c r="V27654" s="5"/>
    </row>
    <row r="27655">
      <c r="N27655" s="1"/>
      <c r="V27655" s="5"/>
    </row>
    <row r="27656">
      <c r="N27656" s="1"/>
      <c r="V27656" s="5"/>
    </row>
    <row r="27657">
      <c r="N27657" s="1"/>
      <c r="V27657" s="5"/>
    </row>
    <row r="27658">
      <c r="N27658" s="1"/>
      <c r="V27658" s="5"/>
    </row>
    <row r="27659">
      <c r="N27659" s="1"/>
      <c r="V27659" s="5"/>
    </row>
    <row r="27660">
      <c r="N27660" s="1"/>
      <c r="V27660" s="5"/>
    </row>
    <row r="27661">
      <c r="N27661" s="1"/>
      <c r="V27661" s="5"/>
    </row>
    <row r="27662">
      <c r="N27662" s="1"/>
      <c r="V27662" s="5"/>
    </row>
    <row r="27663">
      <c r="N27663" s="1"/>
      <c r="V27663" s="5"/>
    </row>
    <row r="27664">
      <c r="N27664" s="1"/>
      <c r="V27664" s="5"/>
    </row>
    <row r="27665">
      <c r="N27665" s="1"/>
      <c r="V27665" s="5"/>
    </row>
    <row r="27666">
      <c r="N27666" s="1"/>
      <c r="V27666" s="5"/>
    </row>
    <row r="27667">
      <c r="N27667" s="1"/>
      <c r="V27667" s="5"/>
    </row>
    <row r="27668">
      <c r="N27668" s="1"/>
      <c r="V27668" s="5"/>
    </row>
    <row r="27669">
      <c r="N27669" s="1"/>
      <c r="V27669" s="5"/>
    </row>
    <row r="27670">
      <c r="N27670" s="1"/>
      <c r="V27670" s="5"/>
    </row>
    <row r="27671">
      <c r="N27671" s="1"/>
      <c r="V27671" s="5"/>
    </row>
    <row r="27672">
      <c r="N27672" s="1"/>
      <c r="V27672" s="5"/>
    </row>
    <row r="27673">
      <c r="N27673" s="1"/>
      <c r="V27673" s="5"/>
    </row>
    <row r="27674">
      <c r="N27674" s="1"/>
      <c r="V27674" s="5"/>
    </row>
    <row r="27675">
      <c r="N27675" s="1"/>
      <c r="V27675" s="5"/>
    </row>
    <row r="27676">
      <c r="N27676" s="1"/>
      <c r="V27676" s="5"/>
    </row>
    <row r="27677">
      <c r="N27677" s="1"/>
      <c r="V27677" s="5"/>
    </row>
    <row r="27678">
      <c r="N27678" s="1"/>
      <c r="V27678" s="5"/>
    </row>
    <row r="27679">
      <c r="N27679" s="1"/>
      <c r="V27679" s="5"/>
    </row>
    <row r="27680">
      <c r="N27680" s="1"/>
      <c r="V27680" s="5"/>
    </row>
    <row r="27681">
      <c r="N27681" s="1"/>
      <c r="V27681" s="5"/>
    </row>
    <row r="27682">
      <c r="N27682" s="1"/>
      <c r="V27682" s="5"/>
    </row>
    <row r="27683">
      <c r="N27683" s="1"/>
      <c r="V27683" s="5"/>
    </row>
    <row r="27684">
      <c r="N27684" s="1"/>
      <c r="V27684" s="5"/>
    </row>
    <row r="27685">
      <c r="N27685" s="1"/>
      <c r="V27685" s="5"/>
    </row>
    <row r="27686">
      <c r="N27686" s="1"/>
      <c r="V27686" s="5"/>
    </row>
    <row r="27687">
      <c r="N27687" s="1"/>
      <c r="V27687" s="5"/>
    </row>
    <row r="27688">
      <c r="N27688" s="1"/>
      <c r="V27688" s="5"/>
    </row>
    <row r="27689">
      <c r="N27689" s="1"/>
      <c r="V27689" s="5"/>
    </row>
    <row r="27690">
      <c r="N27690" s="1"/>
      <c r="V27690" s="5"/>
    </row>
    <row r="27691">
      <c r="N27691" s="1"/>
      <c r="V27691" s="5"/>
    </row>
    <row r="27692">
      <c r="N27692" s="1"/>
      <c r="V27692" s="5"/>
    </row>
    <row r="27693">
      <c r="N27693" s="1"/>
      <c r="V27693" s="5"/>
    </row>
    <row r="27694">
      <c r="N27694" s="1"/>
      <c r="V27694" s="5"/>
    </row>
    <row r="27695">
      <c r="N27695" s="1"/>
      <c r="V27695" s="5"/>
    </row>
    <row r="27696">
      <c r="N27696" s="1"/>
      <c r="V27696" s="5"/>
    </row>
    <row r="27697">
      <c r="N27697" s="1"/>
      <c r="V27697" s="5"/>
    </row>
    <row r="27698">
      <c r="N27698" s="1"/>
      <c r="V27698" s="5"/>
    </row>
    <row r="27699">
      <c r="N27699" s="1"/>
      <c r="V27699" s="5"/>
    </row>
    <row r="27700">
      <c r="N27700" s="1"/>
      <c r="V27700" s="5"/>
    </row>
    <row r="27701">
      <c r="N27701" s="1"/>
      <c r="V27701" s="5"/>
    </row>
    <row r="27702">
      <c r="N27702" s="1"/>
      <c r="V27702" s="5"/>
    </row>
    <row r="27703">
      <c r="N27703" s="1"/>
      <c r="V27703" s="5"/>
    </row>
    <row r="27704">
      <c r="N27704" s="1"/>
      <c r="V27704" s="5"/>
    </row>
    <row r="27705">
      <c r="N27705" s="1"/>
      <c r="V27705" s="5"/>
    </row>
    <row r="27706">
      <c r="N27706" s="1"/>
      <c r="V27706" s="5"/>
    </row>
    <row r="27707">
      <c r="N27707" s="1"/>
      <c r="V27707" s="5"/>
    </row>
    <row r="27708">
      <c r="N27708" s="1"/>
      <c r="V27708" s="5"/>
    </row>
    <row r="27709">
      <c r="N27709" s="1"/>
      <c r="V27709" s="5"/>
    </row>
    <row r="27710">
      <c r="N27710" s="1"/>
      <c r="V27710" s="5"/>
    </row>
    <row r="27711">
      <c r="N27711" s="1"/>
      <c r="V27711" s="5"/>
    </row>
    <row r="27712">
      <c r="N27712" s="1"/>
      <c r="V27712" s="5"/>
    </row>
    <row r="27713">
      <c r="N27713" s="1"/>
      <c r="V27713" s="5"/>
    </row>
    <row r="27714">
      <c r="N27714" s="1"/>
      <c r="V27714" s="5"/>
    </row>
    <row r="27715">
      <c r="N27715" s="1"/>
      <c r="V27715" s="5"/>
    </row>
    <row r="27716">
      <c r="N27716" s="1"/>
      <c r="V27716" s="5"/>
    </row>
    <row r="27717">
      <c r="N27717" s="1"/>
      <c r="V27717" s="5"/>
    </row>
    <row r="27718">
      <c r="N27718" s="1"/>
      <c r="V27718" s="5"/>
    </row>
    <row r="27719">
      <c r="N27719" s="1"/>
      <c r="V27719" s="5"/>
    </row>
    <row r="27720">
      <c r="N27720" s="1"/>
      <c r="V27720" s="5"/>
    </row>
    <row r="27721">
      <c r="N27721" s="1"/>
      <c r="V27721" s="5"/>
    </row>
    <row r="27722">
      <c r="N27722" s="1"/>
      <c r="V27722" s="5"/>
    </row>
    <row r="27723">
      <c r="N27723" s="1"/>
      <c r="V27723" s="5"/>
    </row>
    <row r="27724">
      <c r="N27724" s="1"/>
      <c r="V27724" s="5"/>
    </row>
    <row r="27725">
      <c r="N27725" s="1"/>
      <c r="V27725" s="5"/>
    </row>
    <row r="27726">
      <c r="N27726" s="1"/>
      <c r="V27726" s="5"/>
    </row>
    <row r="27727">
      <c r="N27727" s="1"/>
      <c r="V27727" s="5"/>
    </row>
    <row r="27728">
      <c r="N27728" s="1"/>
      <c r="V27728" s="5"/>
    </row>
    <row r="27729">
      <c r="N27729" s="1"/>
      <c r="V27729" s="5"/>
    </row>
    <row r="27730">
      <c r="N27730" s="1"/>
      <c r="V27730" s="5"/>
    </row>
    <row r="27731">
      <c r="N27731" s="1"/>
      <c r="V27731" s="5"/>
    </row>
    <row r="27732">
      <c r="N27732" s="1"/>
      <c r="V27732" s="5"/>
    </row>
    <row r="27733">
      <c r="N27733" s="1"/>
      <c r="V27733" s="5"/>
    </row>
    <row r="27734">
      <c r="N27734" s="1"/>
      <c r="V27734" s="5"/>
    </row>
    <row r="27735">
      <c r="N27735" s="1"/>
      <c r="V27735" s="5"/>
    </row>
    <row r="27736">
      <c r="N27736" s="1"/>
      <c r="V27736" s="5"/>
    </row>
    <row r="27737">
      <c r="N27737" s="1"/>
      <c r="V27737" s="5"/>
    </row>
    <row r="27738">
      <c r="N27738" s="1"/>
      <c r="V27738" s="5"/>
    </row>
    <row r="27739">
      <c r="N27739" s="1"/>
      <c r="V27739" s="5"/>
    </row>
    <row r="27740">
      <c r="N27740" s="1"/>
      <c r="V27740" s="5"/>
    </row>
    <row r="27741">
      <c r="N27741" s="1"/>
      <c r="V27741" s="5"/>
    </row>
    <row r="27742">
      <c r="N27742" s="1"/>
      <c r="V27742" s="5"/>
    </row>
    <row r="27743">
      <c r="N27743" s="1"/>
      <c r="V27743" s="5"/>
    </row>
    <row r="27744">
      <c r="N27744" s="1"/>
      <c r="V27744" s="5"/>
    </row>
    <row r="27745">
      <c r="N27745" s="1"/>
      <c r="V27745" s="5"/>
    </row>
    <row r="27746">
      <c r="N27746" s="1"/>
      <c r="V27746" s="5"/>
    </row>
    <row r="27747">
      <c r="N27747" s="1"/>
      <c r="V27747" s="5"/>
    </row>
    <row r="27748">
      <c r="N27748" s="1"/>
      <c r="V27748" s="5"/>
    </row>
    <row r="27749">
      <c r="N27749" s="1"/>
      <c r="V27749" s="5"/>
    </row>
    <row r="27750">
      <c r="N27750" s="1"/>
      <c r="V27750" s="5"/>
    </row>
    <row r="27751">
      <c r="N27751" s="1"/>
      <c r="V27751" s="5"/>
    </row>
    <row r="27752">
      <c r="N27752" s="1"/>
      <c r="V27752" s="5"/>
    </row>
    <row r="27753">
      <c r="N27753" s="1"/>
      <c r="V27753" s="5"/>
    </row>
    <row r="27754">
      <c r="N27754" s="1"/>
      <c r="V27754" s="5"/>
    </row>
    <row r="27755">
      <c r="N27755" s="1"/>
      <c r="V27755" s="5"/>
    </row>
    <row r="27756">
      <c r="N27756" s="1"/>
      <c r="V27756" s="5"/>
    </row>
    <row r="27757">
      <c r="N27757" s="1"/>
      <c r="V27757" s="5"/>
    </row>
    <row r="27758">
      <c r="N27758" s="1"/>
      <c r="V27758" s="5"/>
    </row>
    <row r="27759">
      <c r="N27759" s="1"/>
      <c r="V27759" s="5"/>
    </row>
    <row r="27760">
      <c r="N27760" s="1"/>
      <c r="V27760" s="5"/>
    </row>
    <row r="27761">
      <c r="N27761" s="1"/>
      <c r="V27761" s="5"/>
    </row>
    <row r="27762">
      <c r="N27762" s="1"/>
      <c r="V27762" s="5"/>
    </row>
    <row r="27763">
      <c r="N27763" s="1"/>
      <c r="V27763" s="5"/>
    </row>
    <row r="27764">
      <c r="N27764" s="1"/>
      <c r="V27764" s="5"/>
    </row>
    <row r="27765">
      <c r="N27765" s="1"/>
      <c r="V27765" s="5"/>
    </row>
    <row r="27766">
      <c r="N27766" s="1"/>
      <c r="V27766" s="5"/>
    </row>
    <row r="27767">
      <c r="N27767" s="1"/>
      <c r="V27767" s="5"/>
    </row>
    <row r="27768">
      <c r="N27768" s="1"/>
      <c r="V27768" s="5"/>
    </row>
    <row r="27769">
      <c r="N27769" s="1"/>
      <c r="V27769" s="5"/>
    </row>
    <row r="27770">
      <c r="N27770" s="1"/>
      <c r="V27770" s="5"/>
    </row>
    <row r="27771">
      <c r="N27771" s="1"/>
      <c r="V27771" s="5"/>
    </row>
    <row r="27772">
      <c r="N27772" s="1"/>
      <c r="V27772" s="5"/>
    </row>
    <row r="27773">
      <c r="N27773" s="1"/>
      <c r="V27773" s="5"/>
    </row>
    <row r="27774">
      <c r="N27774" s="1"/>
      <c r="V27774" s="5"/>
    </row>
    <row r="27775">
      <c r="N27775" s="1"/>
      <c r="V27775" s="5"/>
    </row>
    <row r="27776">
      <c r="N27776" s="1"/>
      <c r="V27776" s="5"/>
    </row>
    <row r="27777">
      <c r="N27777" s="1"/>
      <c r="V27777" s="5"/>
    </row>
    <row r="27778">
      <c r="N27778" s="1"/>
      <c r="V27778" s="5"/>
    </row>
    <row r="27779">
      <c r="N27779" s="1"/>
      <c r="V27779" s="5"/>
    </row>
    <row r="27780">
      <c r="N27780" s="1"/>
      <c r="V27780" s="5"/>
    </row>
    <row r="27781">
      <c r="N27781" s="1"/>
      <c r="V27781" s="5"/>
    </row>
    <row r="27782">
      <c r="N27782" s="1"/>
      <c r="V27782" s="5"/>
    </row>
    <row r="27783">
      <c r="N27783" s="1"/>
      <c r="V27783" s="5"/>
    </row>
    <row r="27784">
      <c r="N27784" s="1"/>
      <c r="V27784" s="5"/>
    </row>
    <row r="27785">
      <c r="N27785" s="1"/>
      <c r="V27785" s="5"/>
    </row>
    <row r="27786">
      <c r="N27786" s="1"/>
      <c r="V27786" s="5"/>
    </row>
    <row r="27787">
      <c r="N27787" s="1"/>
      <c r="V27787" s="5"/>
    </row>
    <row r="27788">
      <c r="N27788" s="1"/>
      <c r="V27788" s="5"/>
    </row>
    <row r="27789">
      <c r="N27789" s="1"/>
      <c r="V27789" s="5"/>
    </row>
    <row r="27790">
      <c r="N27790" s="1"/>
      <c r="V27790" s="5"/>
    </row>
    <row r="27791">
      <c r="N27791" s="1"/>
      <c r="V27791" s="5"/>
    </row>
    <row r="27792">
      <c r="N27792" s="1"/>
      <c r="V27792" s="5"/>
    </row>
    <row r="27793">
      <c r="N27793" s="1"/>
      <c r="V27793" s="5"/>
    </row>
    <row r="27794">
      <c r="N27794" s="1"/>
      <c r="V27794" s="5"/>
    </row>
    <row r="27795">
      <c r="N27795" s="1"/>
      <c r="V27795" s="5"/>
    </row>
    <row r="27796">
      <c r="N27796" s="1"/>
      <c r="V27796" s="5"/>
    </row>
    <row r="27797">
      <c r="N27797" s="1"/>
      <c r="V27797" s="5"/>
    </row>
    <row r="27798">
      <c r="N27798" s="1"/>
      <c r="V27798" s="5"/>
    </row>
    <row r="27799">
      <c r="N27799" s="1"/>
      <c r="V27799" s="5"/>
    </row>
    <row r="27800">
      <c r="N27800" s="1"/>
      <c r="V27800" s="5"/>
    </row>
    <row r="27801">
      <c r="N27801" s="1"/>
      <c r="V27801" s="5"/>
    </row>
    <row r="27802">
      <c r="N27802" s="1"/>
      <c r="V27802" s="5"/>
    </row>
    <row r="27803">
      <c r="N27803" s="1"/>
      <c r="V27803" s="5"/>
    </row>
    <row r="27804">
      <c r="N27804" s="1"/>
      <c r="V27804" s="5"/>
    </row>
    <row r="27805">
      <c r="N27805" s="1"/>
      <c r="V27805" s="5"/>
    </row>
    <row r="27806">
      <c r="N27806" s="1"/>
      <c r="V27806" s="5"/>
    </row>
    <row r="27807">
      <c r="N27807" s="1"/>
      <c r="V27807" s="5"/>
    </row>
    <row r="27808">
      <c r="N27808" s="1"/>
      <c r="V27808" s="5"/>
    </row>
    <row r="27809">
      <c r="N27809" s="1"/>
      <c r="V27809" s="5"/>
    </row>
    <row r="27810">
      <c r="N27810" s="1"/>
      <c r="V27810" s="5"/>
    </row>
    <row r="27811">
      <c r="N27811" s="1"/>
      <c r="V27811" s="5"/>
    </row>
    <row r="27812">
      <c r="N27812" s="1"/>
      <c r="V27812" s="5"/>
    </row>
    <row r="27813">
      <c r="N27813" s="1"/>
      <c r="V27813" s="5"/>
    </row>
    <row r="27814">
      <c r="N27814" s="1"/>
      <c r="V27814" s="5"/>
    </row>
    <row r="27815">
      <c r="N27815" s="1"/>
      <c r="V27815" s="5"/>
    </row>
    <row r="27816">
      <c r="N27816" s="1"/>
      <c r="V27816" s="5"/>
    </row>
    <row r="27817">
      <c r="N27817" s="1"/>
      <c r="V27817" s="5"/>
    </row>
    <row r="27818">
      <c r="N27818" s="1"/>
      <c r="V27818" s="5"/>
    </row>
    <row r="27819">
      <c r="N27819" s="1"/>
      <c r="V27819" s="5"/>
    </row>
    <row r="27820">
      <c r="N27820" s="1"/>
      <c r="V27820" s="5"/>
    </row>
    <row r="27821">
      <c r="N27821" s="1"/>
      <c r="V27821" s="5"/>
    </row>
    <row r="27822">
      <c r="N27822" s="1"/>
      <c r="V27822" s="5"/>
    </row>
    <row r="27823">
      <c r="N27823" s="1"/>
      <c r="V27823" s="5"/>
    </row>
    <row r="27824">
      <c r="N27824" s="1"/>
      <c r="V27824" s="5"/>
    </row>
    <row r="27825">
      <c r="N27825" s="1"/>
      <c r="V27825" s="5"/>
    </row>
    <row r="27826">
      <c r="N27826" s="1"/>
      <c r="V27826" s="5"/>
    </row>
    <row r="27827">
      <c r="N27827" s="1"/>
      <c r="V27827" s="5"/>
    </row>
    <row r="27828">
      <c r="N27828" s="1"/>
      <c r="V27828" s="5"/>
    </row>
    <row r="27829">
      <c r="N27829" s="1"/>
      <c r="V27829" s="5"/>
    </row>
    <row r="27830">
      <c r="N27830" s="1"/>
      <c r="V27830" s="5"/>
    </row>
    <row r="27831">
      <c r="N27831" s="1"/>
      <c r="V27831" s="5"/>
    </row>
    <row r="27832">
      <c r="N27832" s="1"/>
      <c r="V27832" s="5"/>
    </row>
    <row r="27833">
      <c r="N27833" s="1"/>
      <c r="V27833" s="5"/>
    </row>
    <row r="27834">
      <c r="N27834" s="1"/>
      <c r="V27834" s="5"/>
    </row>
    <row r="27835">
      <c r="N27835" s="1"/>
      <c r="V27835" s="5"/>
    </row>
    <row r="27836">
      <c r="N27836" s="1"/>
      <c r="V27836" s="5"/>
    </row>
    <row r="27837">
      <c r="N27837" s="1"/>
      <c r="V27837" s="5"/>
    </row>
    <row r="27838">
      <c r="N27838" s="1"/>
      <c r="V27838" s="5"/>
    </row>
    <row r="27839">
      <c r="N27839" s="1"/>
      <c r="V27839" s="5"/>
    </row>
    <row r="27840">
      <c r="N27840" s="1"/>
      <c r="V27840" s="5"/>
    </row>
    <row r="27841">
      <c r="N27841" s="1"/>
      <c r="V27841" s="5"/>
    </row>
    <row r="27842">
      <c r="N27842" s="1"/>
      <c r="V27842" s="5"/>
    </row>
    <row r="27843">
      <c r="N27843" s="1"/>
      <c r="V27843" s="5"/>
    </row>
    <row r="27844">
      <c r="N27844" s="1"/>
      <c r="V27844" s="5"/>
    </row>
    <row r="27845">
      <c r="N27845" s="1"/>
      <c r="V27845" s="5"/>
    </row>
    <row r="27846">
      <c r="N27846" s="1"/>
      <c r="V27846" s="5"/>
    </row>
    <row r="27847">
      <c r="N27847" s="1"/>
      <c r="V27847" s="5"/>
    </row>
    <row r="27848">
      <c r="N27848" s="1"/>
      <c r="V27848" s="5"/>
    </row>
    <row r="27849">
      <c r="N27849" s="1"/>
      <c r="V27849" s="5"/>
    </row>
    <row r="27850">
      <c r="N27850" s="1"/>
      <c r="V27850" s="5"/>
    </row>
    <row r="27851">
      <c r="N27851" s="1"/>
      <c r="V27851" s="5"/>
    </row>
    <row r="27852">
      <c r="N27852" s="1"/>
      <c r="V27852" s="5"/>
    </row>
    <row r="27853">
      <c r="N27853" s="1"/>
      <c r="V27853" s="5"/>
    </row>
    <row r="27854">
      <c r="N27854" s="1"/>
      <c r="V27854" s="5"/>
    </row>
    <row r="27855">
      <c r="N27855" s="1"/>
      <c r="V27855" s="5"/>
    </row>
    <row r="27856">
      <c r="N27856" s="1"/>
      <c r="V27856" s="5"/>
    </row>
    <row r="27857">
      <c r="N27857" s="1"/>
      <c r="V27857" s="5"/>
    </row>
    <row r="27858">
      <c r="N27858" s="1"/>
      <c r="V27858" s="5"/>
    </row>
    <row r="27859">
      <c r="N27859" s="1"/>
      <c r="V27859" s="5"/>
    </row>
    <row r="27860">
      <c r="N27860" s="1"/>
      <c r="V27860" s="5"/>
    </row>
    <row r="27861">
      <c r="N27861" s="1"/>
      <c r="V27861" s="5"/>
    </row>
    <row r="27862">
      <c r="N27862" s="1"/>
      <c r="V27862" s="5"/>
    </row>
    <row r="27863">
      <c r="N27863" s="1"/>
      <c r="V27863" s="5"/>
    </row>
    <row r="27864">
      <c r="N27864" s="1"/>
      <c r="V27864" s="5"/>
    </row>
    <row r="27865">
      <c r="N27865" s="1"/>
      <c r="V27865" s="5"/>
    </row>
    <row r="27866">
      <c r="N27866" s="1"/>
      <c r="V27866" s="5"/>
    </row>
    <row r="27867">
      <c r="N27867" s="1"/>
      <c r="V27867" s="5"/>
    </row>
    <row r="27868">
      <c r="N27868" s="1"/>
      <c r="V27868" s="5"/>
    </row>
    <row r="27869">
      <c r="N27869" s="1"/>
      <c r="V27869" s="5"/>
    </row>
    <row r="27870">
      <c r="N27870" s="1"/>
      <c r="V27870" s="5"/>
    </row>
    <row r="27871">
      <c r="N27871" s="1"/>
      <c r="V27871" s="5"/>
    </row>
    <row r="27872">
      <c r="N27872" s="1"/>
      <c r="V27872" s="5"/>
    </row>
    <row r="27873">
      <c r="N27873" s="1"/>
      <c r="V27873" s="5"/>
    </row>
    <row r="27874">
      <c r="N27874" s="1"/>
      <c r="V27874" s="5"/>
    </row>
    <row r="27875">
      <c r="N27875" s="1"/>
      <c r="V27875" s="5"/>
    </row>
    <row r="27876">
      <c r="N27876" s="1"/>
      <c r="V27876" s="5"/>
    </row>
    <row r="27877">
      <c r="N27877" s="1"/>
      <c r="V27877" s="5"/>
    </row>
    <row r="27878">
      <c r="N27878" s="1"/>
      <c r="V27878" s="5"/>
    </row>
    <row r="27879">
      <c r="N27879" s="1"/>
      <c r="V27879" s="5"/>
    </row>
    <row r="27880">
      <c r="N27880" s="1"/>
      <c r="V27880" s="5"/>
    </row>
    <row r="27881">
      <c r="N27881" s="1"/>
      <c r="V27881" s="5"/>
    </row>
    <row r="27882">
      <c r="N27882" s="1"/>
      <c r="V27882" s="5"/>
    </row>
    <row r="27883">
      <c r="N27883" s="1"/>
      <c r="V27883" s="5"/>
    </row>
    <row r="27884">
      <c r="N27884" s="1"/>
      <c r="V27884" s="5"/>
    </row>
    <row r="27885">
      <c r="N27885" s="1"/>
      <c r="V27885" s="5"/>
    </row>
    <row r="27886">
      <c r="N27886" s="1"/>
      <c r="V27886" s="5"/>
    </row>
    <row r="27887">
      <c r="N27887" s="1"/>
      <c r="V27887" s="5"/>
    </row>
    <row r="27888">
      <c r="N27888" s="1"/>
      <c r="V27888" s="5"/>
    </row>
    <row r="27889">
      <c r="N27889" s="1"/>
      <c r="V27889" s="5"/>
    </row>
    <row r="27890">
      <c r="N27890" s="1"/>
      <c r="V27890" s="5"/>
    </row>
    <row r="27891">
      <c r="N27891" s="1"/>
      <c r="V27891" s="5"/>
    </row>
    <row r="27892">
      <c r="N27892" s="1"/>
      <c r="V27892" s="5"/>
    </row>
    <row r="27893">
      <c r="N27893" s="1"/>
      <c r="V27893" s="5"/>
    </row>
    <row r="27894">
      <c r="N27894" s="1"/>
      <c r="V27894" s="5"/>
    </row>
    <row r="27895">
      <c r="N27895" s="1"/>
      <c r="V27895" s="5"/>
    </row>
    <row r="27896">
      <c r="N27896" s="1"/>
      <c r="V27896" s="5"/>
    </row>
    <row r="27897">
      <c r="N27897" s="1"/>
      <c r="V27897" s="5"/>
    </row>
    <row r="27898">
      <c r="N27898" s="1"/>
      <c r="V27898" s="5"/>
    </row>
    <row r="27899">
      <c r="N27899" s="1"/>
      <c r="V27899" s="5"/>
    </row>
    <row r="27900">
      <c r="N27900" s="1"/>
      <c r="V27900" s="5"/>
    </row>
    <row r="27901">
      <c r="N27901" s="1"/>
      <c r="V27901" s="5"/>
    </row>
    <row r="27902">
      <c r="N27902" s="1"/>
      <c r="V27902" s="5"/>
    </row>
    <row r="27903">
      <c r="N27903" s="1"/>
      <c r="V27903" s="5"/>
    </row>
    <row r="27904">
      <c r="N27904" s="1"/>
      <c r="V27904" s="5"/>
    </row>
    <row r="27905">
      <c r="N27905" s="1"/>
      <c r="V27905" s="5"/>
    </row>
    <row r="27906">
      <c r="N27906" s="1"/>
      <c r="V27906" s="5"/>
    </row>
    <row r="27907">
      <c r="N27907" s="1"/>
      <c r="V27907" s="5"/>
    </row>
    <row r="27908">
      <c r="N27908" s="1"/>
      <c r="V27908" s="5"/>
    </row>
    <row r="27909">
      <c r="N27909" s="1"/>
      <c r="V27909" s="5"/>
    </row>
    <row r="27910">
      <c r="N27910" s="1"/>
      <c r="V27910" s="5"/>
    </row>
    <row r="27911">
      <c r="N27911" s="1"/>
      <c r="V27911" s="5"/>
    </row>
    <row r="27912">
      <c r="N27912" s="1"/>
      <c r="V27912" s="5"/>
    </row>
    <row r="27913">
      <c r="N27913" s="1"/>
      <c r="V27913" s="5"/>
    </row>
    <row r="27914">
      <c r="N27914" s="1"/>
      <c r="V27914" s="5"/>
    </row>
    <row r="27915">
      <c r="N27915" s="1"/>
      <c r="V27915" s="5"/>
    </row>
    <row r="27916">
      <c r="N27916" s="1"/>
      <c r="V27916" s="5"/>
    </row>
    <row r="27917">
      <c r="N27917" s="1"/>
      <c r="V27917" s="5"/>
    </row>
    <row r="27918">
      <c r="N27918" s="1"/>
      <c r="V27918" s="5"/>
    </row>
    <row r="27919">
      <c r="N27919" s="1"/>
      <c r="V27919" s="5"/>
    </row>
    <row r="27920">
      <c r="N27920" s="1"/>
      <c r="V27920" s="5"/>
    </row>
    <row r="27921">
      <c r="N27921" s="1"/>
      <c r="V27921" s="5"/>
    </row>
    <row r="27922">
      <c r="N27922" s="1"/>
      <c r="V27922" s="5"/>
    </row>
    <row r="27923">
      <c r="N27923" s="1"/>
      <c r="V27923" s="5"/>
    </row>
    <row r="27924">
      <c r="N27924" s="1"/>
      <c r="V27924" s="5"/>
    </row>
    <row r="27925">
      <c r="N27925" s="1"/>
      <c r="V27925" s="5"/>
    </row>
    <row r="27926">
      <c r="N27926" s="1"/>
      <c r="V27926" s="5"/>
    </row>
    <row r="27927">
      <c r="N27927" s="1"/>
      <c r="V27927" s="5"/>
    </row>
    <row r="27928">
      <c r="N27928" s="1"/>
      <c r="V27928" s="5"/>
    </row>
    <row r="27929">
      <c r="N27929" s="1"/>
      <c r="V27929" s="5"/>
    </row>
    <row r="27930">
      <c r="N27930" s="1"/>
      <c r="V27930" s="5"/>
    </row>
    <row r="27931">
      <c r="N27931" s="1"/>
      <c r="V27931" s="5"/>
    </row>
    <row r="27932">
      <c r="N27932" s="1"/>
      <c r="V27932" s="5"/>
    </row>
    <row r="27933">
      <c r="N27933" s="1"/>
      <c r="V27933" s="5"/>
    </row>
    <row r="27934">
      <c r="N27934" s="1"/>
      <c r="V27934" s="5"/>
    </row>
    <row r="27935">
      <c r="N27935" s="1"/>
      <c r="V27935" s="5"/>
    </row>
    <row r="27936">
      <c r="N27936" s="1"/>
      <c r="V27936" s="5"/>
    </row>
    <row r="27937">
      <c r="N27937" s="1"/>
      <c r="V27937" s="5"/>
    </row>
    <row r="27938">
      <c r="N27938" s="1"/>
      <c r="V27938" s="5"/>
    </row>
    <row r="27939">
      <c r="N27939" s="1"/>
      <c r="V27939" s="5"/>
    </row>
    <row r="27940">
      <c r="N27940" s="1"/>
      <c r="V27940" s="5"/>
    </row>
    <row r="27941">
      <c r="N27941" s="1"/>
      <c r="V27941" s="5"/>
    </row>
    <row r="27942">
      <c r="N27942" s="1"/>
      <c r="V27942" s="5"/>
    </row>
    <row r="27943">
      <c r="N27943" s="1"/>
      <c r="V27943" s="5"/>
    </row>
    <row r="27944">
      <c r="N27944" s="1"/>
      <c r="V27944" s="5"/>
    </row>
    <row r="27945">
      <c r="N27945" s="1"/>
      <c r="V27945" s="5"/>
    </row>
    <row r="27946">
      <c r="N27946" s="1"/>
      <c r="V27946" s="5"/>
    </row>
    <row r="27947">
      <c r="N27947" s="1"/>
      <c r="V27947" s="5"/>
    </row>
    <row r="27948">
      <c r="N27948" s="1"/>
      <c r="V27948" s="5"/>
    </row>
    <row r="27949">
      <c r="N27949" s="1"/>
      <c r="V27949" s="5"/>
    </row>
    <row r="27950">
      <c r="N27950" s="1"/>
      <c r="V27950" s="5"/>
    </row>
    <row r="27951">
      <c r="N27951" s="1"/>
      <c r="V27951" s="5"/>
    </row>
    <row r="27952">
      <c r="N27952" s="1"/>
      <c r="V27952" s="5"/>
    </row>
    <row r="27953">
      <c r="N27953" s="1"/>
      <c r="V27953" s="5"/>
    </row>
    <row r="27954">
      <c r="N27954" s="1"/>
      <c r="V27954" s="5"/>
    </row>
    <row r="27955">
      <c r="N27955" s="1"/>
      <c r="V27955" s="5"/>
    </row>
    <row r="27956">
      <c r="N27956" s="1"/>
      <c r="V27956" s="5"/>
    </row>
    <row r="27957">
      <c r="N27957" s="1"/>
      <c r="V27957" s="5"/>
    </row>
    <row r="27958">
      <c r="N27958" s="1"/>
      <c r="V27958" s="5"/>
    </row>
    <row r="27959">
      <c r="N27959" s="1"/>
      <c r="V27959" s="5"/>
    </row>
    <row r="27960">
      <c r="N27960" s="1"/>
      <c r="V27960" s="5"/>
    </row>
    <row r="27961">
      <c r="N27961" s="1"/>
      <c r="V27961" s="5"/>
    </row>
    <row r="27962">
      <c r="N27962" s="1"/>
      <c r="V27962" s="5"/>
    </row>
    <row r="27963">
      <c r="N27963" s="1"/>
      <c r="V27963" s="5"/>
    </row>
    <row r="27964">
      <c r="N27964" s="1"/>
      <c r="V27964" s="5"/>
    </row>
    <row r="27965">
      <c r="N27965" s="1"/>
      <c r="V27965" s="5"/>
    </row>
    <row r="27966">
      <c r="N27966" s="1"/>
      <c r="V27966" s="5"/>
    </row>
    <row r="27967">
      <c r="N27967" s="1"/>
      <c r="V27967" s="5"/>
    </row>
    <row r="27968">
      <c r="N27968" s="1"/>
      <c r="V27968" s="5"/>
    </row>
    <row r="27969">
      <c r="N27969" s="1"/>
      <c r="V27969" s="5"/>
    </row>
    <row r="27970">
      <c r="N27970" s="1"/>
      <c r="V27970" s="5"/>
    </row>
    <row r="27971">
      <c r="N27971" s="1"/>
      <c r="V27971" s="5"/>
    </row>
    <row r="27972">
      <c r="N27972" s="1"/>
      <c r="V27972" s="5"/>
    </row>
    <row r="27973">
      <c r="N27973" s="1"/>
      <c r="V27973" s="5"/>
    </row>
    <row r="27974">
      <c r="N27974" s="1"/>
      <c r="V27974" s="5"/>
    </row>
    <row r="27975">
      <c r="N27975" s="1"/>
      <c r="V27975" s="5"/>
    </row>
    <row r="27976">
      <c r="N27976" s="1"/>
      <c r="V27976" s="5"/>
    </row>
    <row r="27977">
      <c r="N27977" s="1"/>
      <c r="V27977" s="5"/>
    </row>
    <row r="27978">
      <c r="N27978" s="1"/>
      <c r="V27978" s="5"/>
    </row>
    <row r="27979">
      <c r="N27979" s="1"/>
      <c r="V27979" s="5"/>
    </row>
    <row r="27980">
      <c r="N27980" s="1"/>
      <c r="V27980" s="5"/>
    </row>
    <row r="27981">
      <c r="N27981" s="1"/>
      <c r="V27981" s="5"/>
    </row>
    <row r="27982">
      <c r="N27982" s="1"/>
      <c r="V27982" s="5"/>
    </row>
    <row r="27983">
      <c r="N27983" s="1"/>
      <c r="V27983" s="5"/>
    </row>
    <row r="27984">
      <c r="N27984" s="1"/>
      <c r="V27984" s="5"/>
    </row>
    <row r="27985">
      <c r="N27985" s="1"/>
      <c r="V27985" s="5"/>
    </row>
    <row r="27986">
      <c r="N27986" s="1"/>
      <c r="V27986" s="5"/>
    </row>
    <row r="27987">
      <c r="N27987" s="1"/>
      <c r="V27987" s="5"/>
    </row>
    <row r="27988">
      <c r="N27988" s="1"/>
      <c r="V27988" s="5"/>
    </row>
    <row r="27989">
      <c r="N27989" s="1"/>
      <c r="V27989" s="5"/>
    </row>
    <row r="27990">
      <c r="N27990" s="1"/>
      <c r="V27990" s="5"/>
    </row>
    <row r="27991">
      <c r="N27991" s="1"/>
      <c r="V27991" s="5"/>
    </row>
    <row r="27992">
      <c r="N27992" s="1"/>
      <c r="V27992" s="5"/>
    </row>
    <row r="27993">
      <c r="N27993" s="1"/>
      <c r="V27993" s="5"/>
    </row>
    <row r="27994">
      <c r="N27994" s="1"/>
      <c r="V27994" s="5"/>
    </row>
    <row r="27995">
      <c r="N27995" s="1"/>
      <c r="V27995" s="5"/>
    </row>
    <row r="27996">
      <c r="N27996" s="1"/>
      <c r="V27996" s="5"/>
    </row>
    <row r="27997">
      <c r="N27997" s="1"/>
      <c r="V27997" s="5"/>
    </row>
    <row r="27998">
      <c r="N27998" s="1"/>
      <c r="V27998" s="5"/>
    </row>
    <row r="27999">
      <c r="N27999" s="1"/>
      <c r="V27999" s="5"/>
    </row>
    <row r="28000">
      <c r="N28000" s="1"/>
      <c r="V28000" s="5"/>
    </row>
    <row r="28001">
      <c r="N28001" s="1"/>
      <c r="V28001" s="5"/>
    </row>
    <row r="28002">
      <c r="N28002" s="1"/>
      <c r="V28002" s="5"/>
    </row>
    <row r="28003">
      <c r="N28003" s="1"/>
      <c r="V28003" s="5"/>
    </row>
    <row r="28004">
      <c r="N28004" s="1"/>
      <c r="V28004" s="5"/>
    </row>
    <row r="28005">
      <c r="N28005" s="1"/>
      <c r="V28005" s="5"/>
    </row>
    <row r="28006">
      <c r="N28006" s="1"/>
      <c r="V28006" s="5"/>
    </row>
    <row r="28007">
      <c r="N28007" s="1"/>
      <c r="V28007" s="5"/>
    </row>
    <row r="28008">
      <c r="N28008" s="1"/>
      <c r="V28008" s="5"/>
    </row>
    <row r="28009">
      <c r="N28009" s="1"/>
      <c r="V28009" s="5"/>
    </row>
    <row r="28010">
      <c r="N28010" s="1"/>
      <c r="V28010" s="5"/>
    </row>
    <row r="28011">
      <c r="N28011" s="1"/>
      <c r="V28011" s="5"/>
    </row>
    <row r="28012">
      <c r="N28012" s="1"/>
      <c r="V28012" s="5"/>
    </row>
    <row r="28013">
      <c r="N28013" s="1"/>
      <c r="V28013" s="5"/>
    </row>
    <row r="28014">
      <c r="N28014" s="1"/>
      <c r="V28014" s="5"/>
    </row>
    <row r="28015">
      <c r="N28015" s="1"/>
      <c r="V28015" s="5"/>
    </row>
    <row r="28016">
      <c r="N28016" s="1"/>
      <c r="V28016" s="5"/>
    </row>
    <row r="28017">
      <c r="N28017" s="1"/>
      <c r="V28017" s="5"/>
    </row>
    <row r="28018">
      <c r="N28018" s="1"/>
      <c r="V28018" s="5"/>
    </row>
    <row r="28019">
      <c r="N28019" s="1"/>
      <c r="V28019" s="5"/>
    </row>
    <row r="28020">
      <c r="N28020" s="1"/>
      <c r="V28020" s="5"/>
    </row>
    <row r="28021">
      <c r="N28021" s="1"/>
      <c r="V28021" s="5"/>
    </row>
    <row r="28022">
      <c r="N28022" s="1"/>
      <c r="V28022" s="5"/>
    </row>
    <row r="28023">
      <c r="N28023" s="1"/>
      <c r="V28023" s="5"/>
    </row>
    <row r="28024">
      <c r="N28024" s="1"/>
      <c r="V28024" s="5"/>
    </row>
    <row r="28025">
      <c r="N28025" s="1"/>
      <c r="V28025" s="5"/>
    </row>
    <row r="28026">
      <c r="N28026" s="1"/>
      <c r="V28026" s="5"/>
    </row>
    <row r="28027">
      <c r="N28027" s="1"/>
      <c r="V28027" s="5"/>
    </row>
    <row r="28028">
      <c r="N28028" s="1"/>
      <c r="V28028" s="5"/>
    </row>
    <row r="28029">
      <c r="N28029" s="1"/>
      <c r="V28029" s="5"/>
    </row>
    <row r="28030">
      <c r="N28030" s="1"/>
      <c r="V28030" s="5"/>
    </row>
    <row r="28031">
      <c r="N28031" s="1"/>
      <c r="V28031" s="5"/>
    </row>
    <row r="28032">
      <c r="N28032" s="1"/>
      <c r="V28032" s="5"/>
    </row>
    <row r="28033">
      <c r="N28033" s="1"/>
      <c r="V28033" s="5"/>
    </row>
    <row r="28034">
      <c r="N28034" s="1"/>
      <c r="V28034" s="5"/>
    </row>
    <row r="28035">
      <c r="N28035" s="1"/>
      <c r="V28035" s="5"/>
    </row>
    <row r="28036">
      <c r="N28036" s="1"/>
      <c r="V28036" s="5"/>
    </row>
    <row r="28037">
      <c r="N28037" s="1"/>
      <c r="V28037" s="5"/>
    </row>
    <row r="28038">
      <c r="N28038" s="1"/>
      <c r="V28038" s="5"/>
    </row>
    <row r="28039">
      <c r="N28039" s="1"/>
      <c r="V28039" s="5"/>
    </row>
    <row r="28040">
      <c r="N28040" s="1"/>
      <c r="V28040" s="5"/>
    </row>
    <row r="28041">
      <c r="N28041" s="1"/>
      <c r="V28041" s="5"/>
    </row>
    <row r="28042">
      <c r="N28042" s="1"/>
      <c r="V28042" s="5"/>
    </row>
    <row r="28043">
      <c r="N28043" s="1"/>
      <c r="V28043" s="5"/>
    </row>
    <row r="28044">
      <c r="N28044" s="1"/>
      <c r="V28044" s="5"/>
    </row>
    <row r="28045">
      <c r="N28045" s="1"/>
      <c r="V28045" s="5"/>
    </row>
    <row r="28046">
      <c r="N28046" s="1"/>
      <c r="V28046" s="5"/>
    </row>
    <row r="28047">
      <c r="N28047" s="1"/>
      <c r="V28047" s="5"/>
    </row>
    <row r="28048">
      <c r="N28048" s="1"/>
      <c r="V28048" s="5"/>
    </row>
    <row r="28049">
      <c r="N28049" s="1"/>
      <c r="V28049" s="5"/>
    </row>
    <row r="28050">
      <c r="N28050" s="1"/>
      <c r="V28050" s="5"/>
    </row>
    <row r="28051">
      <c r="N28051" s="1"/>
      <c r="V28051" s="5"/>
    </row>
    <row r="28052">
      <c r="N28052" s="1"/>
      <c r="V28052" s="5"/>
    </row>
    <row r="28053">
      <c r="N28053" s="1"/>
      <c r="V28053" s="5"/>
    </row>
    <row r="28054">
      <c r="N28054" s="1"/>
      <c r="V28054" s="5"/>
    </row>
    <row r="28055">
      <c r="N28055" s="1"/>
      <c r="V28055" s="5"/>
    </row>
    <row r="28056">
      <c r="N28056" s="1"/>
      <c r="V28056" s="5"/>
    </row>
    <row r="28057">
      <c r="N28057" s="1"/>
      <c r="V28057" s="5"/>
    </row>
    <row r="28058">
      <c r="N28058" s="1"/>
      <c r="V28058" s="5"/>
    </row>
    <row r="28059">
      <c r="N28059" s="1"/>
      <c r="V28059" s="5"/>
    </row>
    <row r="28060">
      <c r="N28060" s="1"/>
      <c r="V28060" s="5"/>
    </row>
    <row r="28061">
      <c r="N28061" s="1"/>
      <c r="V28061" s="5"/>
    </row>
    <row r="28062">
      <c r="N28062" s="1"/>
      <c r="V28062" s="5"/>
    </row>
    <row r="28063">
      <c r="N28063" s="1"/>
      <c r="V28063" s="5"/>
    </row>
    <row r="28064">
      <c r="N28064" s="1"/>
      <c r="V28064" s="5"/>
    </row>
    <row r="28065">
      <c r="N28065" s="1"/>
      <c r="V28065" s="5"/>
    </row>
    <row r="28066">
      <c r="N28066" s="1"/>
      <c r="V28066" s="5"/>
    </row>
    <row r="28067">
      <c r="N28067" s="1"/>
      <c r="V28067" s="5"/>
    </row>
    <row r="28068">
      <c r="N28068" s="1"/>
      <c r="V28068" s="5"/>
    </row>
    <row r="28069">
      <c r="N28069" s="1"/>
      <c r="V28069" s="5"/>
    </row>
    <row r="28070">
      <c r="N28070" s="1"/>
      <c r="V28070" s="5"/>
    </row>
    <row r="28071">
      <c r="N28071" s="1"/>
      <c r="V28071" s="5"/>
    </row>
    <row r="28072">
      <c r="N28072" s="1"/>
      <c r="V28072" s="5"/>
    </row>
    <row r="28073">
      <c r="N28073" s="1"/>
      <c r="V28073" s="5"/>
    </row>
    <row r="28074">
      <c r="N28074" s="1"/>
      <c r="V28074" s="5"/>
    </row>
    <row r="28075">
      <c r="N28075" s="1"/>
      <c r="V28075" s="5"/>
    </row>
    <row r="28076">
      <c r="N28076" s="1"/>
      <c r="V28076" s="5"/>
    </row>
    <row r="28077">
      <c r="N28077" s="1"/>
      <c r="V28077" s="5"/>
    </row>
    <row r="28078">
      <c r="N28078" s="1"/>
      <c r="V28078" s="5"/>
    </row>
    <row r="28079">
      <c r="N28079" s="1"/>
      <c r="V28079" s="5"/>
    </row>
    <row r="28080">
      <c r="N28080" s="1"/>
      <c r="V28080" s="5"/>
    </row>
    <row r="28081">
      <c r="N28081" s="1"/>
      <c r="V28081" s="5"/>
    </row>
    <row r="28082">
      <c r="N28082" s="1"/>
      <c r="V28082" s="5"/>
    </row>
    <row r="28083">
      <c r="N28083" s="1"/>
      <c r="V28083" s="5"/>
    </row>
    <row r="28084">
      <c r="N28084" s="1"/>
      <c r="V28084" s="5"/>
    </row>
    <row r="28085">
      <c r="N28085" s="1"/>
      <c r="V28085" s="5"/>
    </row>
    <row r="28086">
      <c r="N28086" s="1"/>
      <c r="V28086" s="5"/>
    </row>
    <row r="28087">
      <c r="N28087" s="1"/>
      <c r="V28087" s="5"/>
    </row>
    <row r="28088">
      <c r="N28088" s="1"/>
      <c r="V28088" s="5"/>
    </row>
    <row r="28089">
      <c r="N28089" s="1"/>
      <c r="V28089" s="5"/>
    </row>
    <row r="28090">
      <c r="N28090" s="1"/>
      <c r="V28090" s="5"/>
    </row>
    <row r="28091">
      <c r="N28091" s="1"/>
      <c r="V28091" s="5"/>
    </row>
    <row r="28092">
      <c r="N28092" s="1"/>
      <c r="V28092" s="5"/>
    </row>
    <row r="28093">
      <c r="N28093" s="1"/>
      <c r="V28093" s="5"/>
    </row>
    <row r="28094">
      <c r="N28094" s="1"/>
      <c r="V28094" s="5"/>
    </row>
    <row r="28095">
      <c r="N28095" s="1"/>
      <c r="V28095" s="5"/>
    </row>
    <row r="28096">
      <c r="N28096" s="1"/>
      <c r="V28096" s="5"/>
    </row>
    <row r="28097">
      <c r="N28097" s="1"/>
      <c r="V28097" s="5"/>
    </row>
    <row r="28098">
      <c r="N28098" s="1"/>
      <c r="V28098" s="5"/>
    </row>
    <row r="28099">
      <c r="N28099" s="1"/>
      <c r="V28099" s="5"/>
    </row>
    <row r="28100">
      <c r="N28100" s="1"/>
      <c r="V28100" s="5"/>
    </row>
    <row r="28101">
      <c r="N28101" s="1"/>
      <c r="V28101" s="5"/>
    </row>
    <row r="28102">
      <c r="N28102" s="1"/>
      <c r="V28102" s="5"/>
    </row>
    <row r="28103">
      <c r="N28103" s="1"/>
      <c r="V28103" s="5"/>
    </row>
    <row r="28104">
      <c r="N28104" s="1"/>
      <c r="V28104" s="5"/>
    </row>
    <row r="28105">
      <c r="N28105" s="1"/>
      <c r="V28105" s="5"/>
    </row>
    <row r="28106">
      <c r="N28106" s="1"/>
      <c r="V28106" s="5"/>
    </row>
    <row r="28107">
      <c r="N28107" s="1"/>
      <c r="V28107" s="5"/>
    </row>
    <row r="28108">
      <c r="N28108" s="1"/>
      <c r="V28108" s="5"/>
    </row>
    <row r="28109">
      <c r="N28109" s="1"/>
      <c r="V28109" s="5"/>
    </row>
    <row r="28110">
      <c r="N28110" s="1"/>
      <c r="V28110" s="5"/>
    </row>
    <row r="28111">
      <c r="N28111" s="1"/>
      <c r="V28111" s="5"/>
    </row>
    <row r="28112">
      <c r="N28112" s="1"/>
      <c r="V28112" s="5"/>
    </row>
    <row r="28113">
      <c r="N28113" s="1"/>
      <c r="V28113" s="5"/>
    </row>
    <row r="28114">
      <c r="N28114" s="1"/>
      <c r="V28114" s="5"/>
    </row>
    <row r="28115">
      <c r="N28115" s="1"/>
      <c r="V28115" s="5"/>
    </row>
    <row r="28116">
      <c r="N28116" s="1"/>
      <c r="V28116" s="5"/>
    </row>
    <row r="28117">
      <c r="N28117" s="1"/>
      <c r="V28117" s="5"/>
    </row>
    <row r="28118">
      <c r="N28118" s="1"/>
      <c r="V28118" s="5"/>
    </row>
    <row r="28119">
      <c r="N28119" s="1"/>
      <c r="V28119" s="5"/>
    </row>
    <row r="28120">
      <c r="N28120" s="1"/>
      <c r="V28120" s="5"/>
    </row>
    <row r="28121">
      <c r="N28121" s="1"/>
      <c r="V28121" s="5"/>
    </row>
    <row r="28122">
      <c r="N28122" s="1"/>
      <c r="V28122" s="5"/>
    </row>
    <row r="28123">
      <c r="N28123" s="1"/>
      <c r="V28123" s="5"/>
    </row>
    <row r="28124">
      <c r="N28124" s="1"/>
      <c r="V28124" s="5"/>
    </row>
    <row r="28125">
      <c r="N28125" s="1"/>
      <c r="V28125" s="5"/>
    </row>
    <row r="28126">
      <c r="N28126" s="1"/>
      <c r="V28126" s="5"/>
    </row>
    <row r="28127">
      <c r="N28127" s="1"/>
      <c r="V28127" s="5"/>
    </row>
    <row r="28128">
      <c r="N28128" s="1"/>
      <c r="V28128" s="5"/>
    </row>
    <row r="28129">
      <c r="N28129" s="1"/>
      <c r="V28129" s="5"/>
    </row>
    <row r="28130">
      <c r="N28130" s="1"/>
      <c r="V28130" s="5"/>
    </row>
    <row r="28131">
      <c r="N28131" s="1"/>
      <c r="V28131" s="5"/>
    </row>
    <row r="28132">
      <c r="N28132" s="1"/>
      <c r="V28132" s="5"/>
    </row>
    <row r="28133">
      <c r="N28133" s="1"/>
      <c r="V28133" s="5"/>
    </row>
    <row r="28134">
      <c r="N28134" s="1"/>
      <c r="V28134" s="5"/>
    </row>
    <row r="28135">
      <c r="N28135" s="1"/>
      <c r="V28135" s="5"/>
    </row>
    <row r="28136">
      <c r="N28136" s="1"/>
      <c r="V28136" s="5"/>
    </row>
    <row r="28137">
      <c r="N28137" s="1"/>
      <c r="V28137" s="5"/>
    </row>
    <row r="28138">
      <c r="N28138" s="1"/>
      <c r="V28138" s="5"/>
    </row>
    <row r="28139">
      <c r="N28139" s="1"/>
      <c r="V28139" s="5"/>
    </row>
    <row r="28140">
      <c r="N28140" s="1"/>
      <c r="V28140" s="5"/>
    </row>
    <row r="28141">
      <c r="N28141" s="1"/>
      <c r="V28141" s="5"/>
    </row>
    <row r="28142">
      <c r="N28142" s="1"/>
      <c r="V28142" s="5"/>
    </row>
    <row r="28143">
      <c r="N28143" s="1"/>
      <c r="V28143" s="5"/>
    </row>
    <row r="28144">
      <c r="N28144" s="1"/>
      <c r="V28144" s="5"/>
    </row>
    <row r="28145">
      <c r="N28145" s="1"/>
      <c r="V28145" s="5"/>
    </row>
    <row r="28146">
      <c r="N28146" s="1"/>
      <c r="V28146" s="5"/>
    </row>
    <row r="28147">
      <c r="N28147" s="1"/>
      <c r="V28147" s="5"/>
    </row>
    <row r="28148">
      <c r="N28148" s="1"/>
      <c r="V28148" s="5"/>
    </row>
    <row r="28149">
      <c r="N28149" s="1"/>
      <c r="V28149" s="5"/>
    </row>
    <row r="28150">
      <c r="N28150" s="1"/>
      <c r="V28150" s="5"/>
    </row>
    <row r="28151">
      <c r="N28151" s="1"/>
      <c r="V28151" s="5"/>
    </row>
    <row r="28152">
      <c r="N28152" s="1"/>
      <c r="V28152" s="5"/>
    </row>
    <row r="28153">
      <c r="N28153" s="1"/>
      <c r="V28153" s="5"/>
    </row>
    <row r="28154">
      <c r="N28154" s="1"/>
      <c r="V28154" s="5"/>
    </row>
    <row r="28155">
      <c r="N28155" s="1"/>
      <c r="V28155" s="5"/>
    </row>
    <row r="28156">
      <c r="N28156" s="1"/>
      <c r="V28156" s="5"/>
    </row>
    <row r="28157">
      <c r="N28157" s="1"/>
      <c r="V28157" s="5"/>
    </row>
    <row r="28158">
      <c r="N28158" s="1"/>
      <c r="V28158" s="5"/>
    </row>
    <row r="28159">
      <c r="N28159" s="1"/>
      <c r="V28159" s="5"/>
    </row>
    <row r="28160">
      <c r="N28160" s="1"/>
      <c r="V28160" s="5"/>
    </row>
    <row r="28161">
      <c r="N28161" s="1"/>
      <c r="V28161" s="5"/>
    </row>
    <row r="28162">
      <c r="N28162" s="1"/>
      <c r="V28162" s="5"/>
    </row>
    <row r="28163">
      <c r="N28163" s="1"/>
      <c r="V28163" s="5"/>
    </row>
    <row r="28164">
      <c r="N28164" s="1"/>
      <c r="V28164" s="5"/>
    </row>
    <row r="28165">
      <c r="N28165" s="1"/>
      <c r="V28165" s="5"/>
    </row>
    <row r="28166">
      <c r="N28166" s="1"/>
      <c r="V28166" s="5"/>
    </row>
    <row r="28167">
      <c r="N28167" s="1"/>
      <c r="V28167" s="5"/>
    </row>
    <row r="28168">
      <c r="N28168" s="1"/>
      <c r="V28168" s="5"/>
    </row>
    <row r="28169">
      <c r="N28169" s="1"/>
      <c r="V28169" s="5"/>
    </row>
    <row r="28170">
      <c r="N28170" s="1"/>
      <c r="V28170" s="5"/>
    </row>
    <row r="28171">
      <c r="N28171" s="1"/>
      <c r="V28171" s="5"/>
    </row>
    <row r="28172">
      <c r="N28172" s="1"/>
      <c r="V28172" s="5"/>
    </row>
    <row r="28173">
      <c r="N28173" s="1"/>
      <c r="V28173" s="5"/>
    </row>
    <row r="28174">
      <c r="N28174" s="1"/>
      <c r="V28174" s="5"/>
    </row>
    <row r="28175">
      <c r="N28175" s="1"/>
      <c r="V28175" s="5"/>
    </row>
    <row r="28176">
      <c r="N28176" s="1"/>
      <c r="V28176" s="5"/>
    </row>
    <row r="28177">
      <c r="N28177" s="1"/>
      <c r="V28177" s="5"/>
    </row>
    <row r="28178">
      <c r="N28178" s="1"/>
      <c r="V28178" s="5"/>
    </row>
    <row r="28179">
      <c r="N28179" s="1"/>
      <c r="V28179" s="5"/>
    </row>
    <row r="28180">
      <c r="N28180" s="1"/>
      <c r="V28180" s="5"/>
    </row>
    <row r="28181">
      <c r="N28181" s="1"/>
      <c r="V28181" s="5"/>
    </row>
    <row r="28182">
      <c r="N28182" s="1"/>
      <c r="V28182" s="5"/>
    </row>
    <row r="28183">
      <c r="N28183" s="1"/>
      <c r="V28183" s="5"/>
    </row>
    <row r="28184">
      <c r="N28184" s="1"/>
      <c r="V28184" s="5"/>
    </row>
    <row r="28185">
      <c r="N28185" s="1"/>
      <c r="V28185" s="5"/>
    </row>
    <row r="28186">
      <c r="N28186" s="1"/>
      <c r="V28186" s="5"/>
    </row>
    <row r="28187">
      <c r="N28187" s="1"/>
      <c r="V28187" s="5"/>
    </row>
    <row r="28188">
      <c r="N28188" s="1"/>
      <c r="V28188" s="5"/>
    </row>
    <row r="28189">
      <c r="N28189" s="1"/>
      <c r="V28189" s="5"/>
    </row>
    <row r="28190">
      <c r="N28190" s="1"/>
      <c r="V28190" s="5"/>
    </row>
    <row r="28191">
      <c r="N28191" s="1"/>
      <c r="V28191" s="5"/>
    </row>
    <row r="28192">
      <c r="N28192" s="1"/>
      <c r="V28192" s="5"/>
    </row>
    <row r="28193">
      <c r="N28193" s="1"/>
      <c r="V28193" s="5"/>
    </row>
    <row r="28194">
      <c r="N28194" s="1"/>
      <c r="V28194" s="5"/>
    </row>
    <row r="28195">
      <c r="N28195" s="1"/>
      <c r="V28195" s="5"/>
    </row>
    <row r="28196">
      <c r="N28196" s="1"/>
      <c r="V28196" s="5"/>
    </row>
    <row r="28197">
      <c r="N28197" s="1"/>
      <c r="V28197" s="5"/>
    </row>
    <row r="28198">
      <c r="N28198" s="1"/>
      <c r="V28198" s="5"/>
    </row>
    <row r="28199">
      <c r="N28199" s="1"/>
      <c r="V28199" s="5"/>
    </row>
    <row r="28200">
      <c r="N28200" s="1"/>
      <c r="V28200" s="5"/>
    </row>
    <row r="28201">
      <c r="N28201" s="1"/>
      <c r="V28201" s="5"/>
    </row>
    <row r="28202">
      <c r="N28202" s="1"/>
      <c r="V28202" s="5"/>
    </row>
    <row r="28203">
      <c r="N28203" s="1"/>
      <c r="V28203" s="5"/>
    </row>
    <row r="28204">
      <c r="N28204" s="1"/>
      <c r="V28204" s="5"/>
    </row>
    <row r="28205">
      <c r="N28205" s="1"/>
      <c r="V28205" s="5"/>
    </row>
    <row r="28206">
      <c r="N28206" s="1"/>
      <c r="V28206" s="5"/>
    </row>
    <row r="28207">
      <c r="N28207" s="1"/>
      <c r="V28207" s="5"/>
    </row>
    <row r="28208">
      <c r="N28208" s="1"/>
      <c r="V28208" s="5"/>
    </row>
    <row r="28209">
      <c r="N28209" s="1"/>
      <c r="V28209" s="5"/>
    </row>
    <row r="28210">
      <c r="N28210" s="1"/>
      <c r="V28210" s="5"/>
    </row>
    <row r="28211">
      <c r="N28211" s="1"/>
      <c r="V28211" s="5"/>
    </row>
    <row r="28212">
      <c r="N28212" s="1"/>
      <c r="V28212" s="5"/>
    </row>
    <row r="28213">
      <c r="N28213" s="1"/>
      <c r="V28213" s="5"/>
    </row>
    <row r="28214">
      <c r="N28214" s="1"/>
      <c r="V28214" s="5"/>
    </row>
    <row r="28215">
      <c r="N28215" s="1"/>
      <c r="V28215" s="5"/>
    </row>
    <row r="28216">
      <c r="N28216" s="1"/>
      <c r="V28216" s="5"/>
    </row>
    <row r="28217">
      <c r="N28217" s="1"/>
      <c r="V28217" s="5"/>
    </row>
    <row r="28218">
      <c r="N28218" s="1"/>
      <c r="V28218" s="5"/>
    </row>
    <row r="28219">
      <c r="N28219" s="1"/>
      <c r="V28219" s="5"/>
    </row>
    <row r="28220">
      <c r="N28220" s="1"/>
      <c r="V28220" s="5"/>
    </row>
    <row r="28221">
      <c r="N28221" s="1"/>
      <c r="V28221" s="5"/>
    </row>
    <row r="28222">
      <c r="N28222" s="1"/>
      <c r="V28222" s="5"/>
    </row>
    <row r="28223">
      <c r="N28223" s="1"/>
      <c r="V28223" s="5"/>
    </row>
    <row r="28224">
      <c r="N28224" s="1"/>
      <c r="V28224" s="5"/>
    </row>
    <row r="28225">
      <c r="N28225" s="1"/>
      <c r="V28225" s="5"/>
    </row>
    <row r="28226">
      <c r="N28226" s="1"/>
      <c r="V28226" s="5"/>
    </row>
    <row r="28227">
      <c r="N28227" s="1"/>
      <c r="V28227" s="5"/>
    </row>
    <row r="28228">
      <c r="N28228" s="1"/>
      <c r="V28228" s="5"/>
    </row>
    <row r="28229">
      <c r="N28229" s="1"/>
      <c r="V28229" s="5"/>
    </row>
    <row r="28230">
      <c r="N28230" s="1"/>
      <c r="V28230" s="5"/>
    </row>
    <row r="28231">
      <c r="N28231" s="1"/>
      <c r="V28231" s="5"/>
    </row>
    <row r="28232">
      <c r="N28232" s="1"/>
      <c r="V28232" s="5"/>
    </row>
    <row r="28233">
      <c r="N28233" s="1"/>
      <c r="V28233" s="5"/>
    </row>
    <row r="28234">
      <c r="N28234" s="1"/>
      <c r="V28234" s="5"/>
    </row>
    <row r="28235">
      <c r="N28235" s="1"/>
      <c r="V28235" s="5"/>
    </row>
    <row r="28236">
      <c r="N28236" s="1"/>
      <c r="V28236" s="5"/>
    </row>
    <row r="28237">
      <c r="N28237" s="1"/>
      <c r="V28237" s="5"/>
    </row>
    <row r="28238">
      <c r="N28238" s="1"/>
      <c r="V28238" s="5"/>
    </row>
    <row r="28239">
      <c r="N28239" s="1"/>
      <c r="V28239" s="5"/>
    </row>
    <row r="28240">
      <c r="N28240" s="1"/>
      <c r="V28240" s="5"/>
    </row>
    <row r="28241">
      <c r="N28241" s="1"/>
      <c r="V28241" s="5"/>
    </row>
    <row r="28242">
      <c r="N28242" s="1"/>
      <c r="V28242" s="5"/>
    </row>
    <row r="28243">
      <c r="N28243" s="1"/>
      <c r="V28243" s="5"/>
    </row>
    <row r="28244">
      <c r="N28244" s="1"/>
      <c r="V28244" s="5"/>
    </row>
    <row r="28245">
      <c r="N28245" s="1"/>
      <c r="V28245" s="5"/>
    </row>
    <row r="28246">
      <c r="N28246" s="1"/>
      <c r="V28246" s="5"/>
    </row>
    <row r="28247">
      <c r="N28247" s="1"/>
      <c r="V28247" s="5"/>
    </row>
    <row r="28248">
      <c r="N28248" s="1"/>
      <c r="V28248" s="5"/>
    </row>
    <row r="28249">
      <c r="N28249" s="1"/>
      <c r="V28249" s="5"/>
    </row>
    <row r="28250">
      <c r="N28250" s="1"/>
      <c r="V28250" s="5"/>
    </row>
    <row r="28251">
      <c r="N28251" s="1"/>
      <c r="V28251" s="5"/>
    </row>
    <row r="28252">
      <c r="N28252" s="1"/>
      <c r="V28252" s="5"/>
    </row>
    <row r="28253">
      <c r="N28253" s="1"/>
      <c r="V28253" s="5"/>
    </row>
    <row r="28254">
      <c r="N28254" s="1"/>
      <c r="V28254" s="5"/>
    </row>
    <row r="28255">
      <c r="N28255" s="1"/>
      <c r="V28255" s="5"/>
    </row>
    <row r="28256">
      <c r="N28256" s="1"/>
      <c r="V28256" s="5"/>
    </row>
    <row r="28257">
      <c r="N28257" s="1"/>
      <c r="V28257" s="5"/>
    </row>
    <row r="28258">
      <c r="N28258" s="1"/>
      <c r="V28258" s="5"/>
    </row>
    <row r="28259">
      <c r="N28259" s="1"/>
      <c r="V28259" s="5"/>
    </row>
    <row r="28260">
      <c r="N28260" s="1"/>
      <c r="V28260" s="5"/>
    </row>
    <row r="28261">
      <c r="N28261" s="1"/>
      <c r="V28261" s="5"/>
    </row>
    <row r="28262">
      <c r="N28262" s="1"/>
      <c r="V28262" s="5"/>
    </row>
    <row r="28263">
      <c r="N28263" s="1"/>
      <c r="V28263" s="5"/>
    </row>
    <row r="28264">
      <c r="N28264" s="1"/>
      <c r="V28264" s="5"/>
    </row>
    <row r="28265">
      <c r="N28265" s="1"/>
      <c r="V28265" s="5"/>
    </row>
    <row r="28266">
      <c r="N28266" s="1"/>
      <c r="V28266" s="5"/>
    </row>
    <row r="28267">
      <c r="N28267" s="1"/>
      <c r="V28267" s="5"/>
    </row>
    <row r="28268">
      <c r="N28268" s="1"/>
      <c r="V28268" s="5"/>
    </row>
    <row r="28269">
      <c r="N28269" s="1"/>
      <c r="V28269" s="5"/>
    </row>
    <row r="28270">
      <c r="N28270" s="1"/>
      <c r="V28270" s="5"/>
    </row>
    <row r="28271">
      <c r="N28271" s="1"/>
      <c r="V28271" s="5"/>
    </row>
    <row r="28272">
      <c r="N28272" s="1"/>
      <c r="V28272" s="5"/>
    </row>
    <row r="28273">
      <c r="N28273" s="1"/>
      <c r="V28273" s="5"/>
    </row>
    <row r="28274">
      <c r="N28274" s="1"/>
      <c r="V28274" s="5"/>
    </row>
    <row r="28275">
      <c r="N28275" s="1"/>
      <c r="V28275" s="5"/>
    </row>
    <row r="28276">
      <c r="N28276" s="1"/>
      <c r="V28276" s="5"/>
    </row>
    <row r="28277">
      <c r="N28277" s="1"/>
      <c r="V28277" s="5"/>
    </row>
    <row r="28278">
      <c r="N28278" s="1"/>
      <c r="V28278" s="5"/>
    </row>
    <row r="28279">
      <c r="N28279" s="1"/>
      <c r="V28279" s="5"/>
    </row>
    <row r="28280">
      <c r="N28280" s="1"/>
      <c r="V28280" s="5"/>
    </row>
    <row r="28281">
      <c r="N28281" s="1"/>
      <c r="V28281" s="5"/>
    </row>
    <row r="28282">
      <c r="N28282" s="1"/>
      <c r="V28282" s="5"/>
    </row>
    <row r="28283">
      <c r="N28283" s="1"/>
      <c r="V28283" s="5"/>
    </row>
    <row r="28284">
      <c r="N28284" s="1"/>
      <c r="V28284" s="5"/>
    </row>
    <row r="28285">
      <c r="N28285" s="1"/>
      <c r="V28285" s="5"/>
    </row>
    <row r="28286">
      <c r="N28286" s="1"/>
      <c r="V28286" s="5"/>
    </row>
    <row r="28287">
      <c r="N28287" s="1"/>
      <c r="V28287" s="5"/>
    </row>
    <row r="28288">
      <c r="N28288" s="1"/>
      <c r="V28288" s="5"/>
    </row>
    <row r="28289">
      <c r="N28289" s="1"/>
      <c r="V28289" s="5"/>
    </row>
    <row r="28290">
      <c r="N28290" s="1"/>
      <c r="V28290" s="5"/>
    </row>
    <row r="28291">
      <c r="N28291" s="1"/>
      <c r="V28291" s="5"/>
    </row>
    <row r="28292">
      <c r="N28292" s="1"/>
      <c r="V28292" s="5"/>
    </row>
    <row r="28293">
      <c r="N28293" s="1"/>
      <c r="V28293" s="5"/>
    </row>
    <row r="28294">
      <c r="N28294" s="1"/>
      <c r="V28294" s="5"/>
    </row>
    <row r="28295">
      <c r="N28295" s="1"/>
      <c r="V28295" s="5"/>
    </row>
    <row r="28296">
      <c r="N28296" s="1"/>
      <c r="V28296" s="5"/>
    </row>
    <row r="28297">
      <c r="N28297" s="1"/>
      <c r="V28297" s="5"/>
    </row>
    <row r="28298">
      <c r="N28298" s="1"/>
      <c r="V28298" s="5"/>
    </row>
    <row r="28299">
      <c r="N28299" s="1"/>
      <c r="V28299" s="5"/>
    </row>
    <row r="28300">
      <c r="N28300" s="1"/>
      <c r="V28300" s="5"/>
    </row>
    <row r="28301">
      <c r="N28301" s="1"/>
      <c r="V28301" s="5"/>
    </row>
    <row r="28302">
      <c r="N28302" s="1"/>
      <c r="V28302" s="5"/>
    </row>
    <row r="28303">
      <c r="N28303" s="1"/>
      <c r="V28303" s="5"/>
    </row>
    <row r="28304">
      <c r="N28304" s="1"/>
      <c r="V28304" s="5"/>
    </row>
    <row r="28305">
      <c r="N28305" s="1"/>
      <c r="V28305" s="5"/>
    </row>
    <row r="28306">
      <c r="N28306" s="1"/>
      <c r="V28306" s="5"/>
    </row>
    <row r="28307">
      <c r="N28307" s="1"/>
      <c r="V28307" s="5"/>
    </row>
    <row r="28308">
      <c r="N28308" s="1"/>
      <c r="V28308" s="5"/>
    </row>
    <row r="28309">
      <c r="N28309" s="1"/>
      <c r="V28309" s="5"/>
    </row>
    <row r="28310">
      <c r="N28310" s="1"/>
      <c r="V28310" s="5"/>
    </row>
    <row r="28311">
      <c r="N28311" s="1"/>
      <c r="V28311" s="5"/>
    </row>
    <row r="28312">
      <c r="N28312" s="1"/>
      <c r="V28312" s="5"/>
    </row>
    <row r="28313">
      <c r="N28313" s="1"/>
      <c r="V28313" s="5"/>
    </row>
    <row r="28314">
      <c r="N28314" s="1"/>
      <c r="V28314" s="5"/>
    </row>
    <row r="28315">
      <c r="N28315" s="1"/>
      <c r="V28315" s="5"/>
    </row>
    <row r="28316">
      <c r="N28316" s="1"/>
      <c r="V28316" s="5"/>
    </row>
    <row r="28317">
      <c r="N28317" s="1"/>
      <c r="V28317" s="5"/>
    </row>
    <row r="28318">
      <c r="N28318" s="1"/>
      <c r="V28318" s="5"/>
    </row>
    <row r="28319">
      <c r="N28319" s="1"/>
      <c r="V28319" s="5"/>
    </row>
    <row r="28320">
      <c r="N28320" s="1"/>
      <c r="V28320" s="5"/>
    </row>
    <row r="28321">
      <c r="N28321" s="1"/>
      <c r="V28321" s="5"/>
    </row>
    <row r="28322">
      <c r="N28322" s="1"/>
      <c r="V28322" s="5"/>
    </row>
    <row r="28323">
      <c r="N28323" s="1"/>
      <c r="V28323" s="5"/>
    </row>
    <row r="28324">
      <c r="N28324" s="1"/>
      <c r="V28324" s="5"/>
    </row>
    <row r="28325">
      <c r="N28325" s="1"/>
      <c r="V28325" s="5"/>
    </row>
    <row r="28326">
      <c r="N28326" s="1"/>
      <c r="V28326" s="5"/>
    </row>
    <row r="28327">
      <c r="N28327" s="1"/>
      <c r="V28327" s="5"/>
    </row>
    <row r="28328">
      <c r="N28328" s="1"/>
      <c r="V28328" s="5"/>
    </row>
    <row r="28329">
      <c r="N28329" s="1"/>
      <c r="V28329" s="5"/>
    </row>
    <row r="28330">
      <c r="N28330" s="1"/>
      <c r="V28330" s="5"/>
    </row>
    <row r="28331">
      <c r="N28331" s="1"/>
      <c r="V28331" s="5"/>
    </row>
    <row r="28332">
      <c r="N28332" s="1"/>
      <c r="V28332" s="5"/>
    </row>
    <row r="28333">
      <c r="N28333" s="1"/>
      <c r="V28333" s="5"/>
    </row>
    <row r="28334">
      <c r="N28334" s="1"/>
      <c r="V28334" s="5"/>
    </row>
    <row r="28335">
      <c r="N28335" s="1"/>
      <c r="V28335" s="5"/>
    </row>
    <row r="28336">
      <c r="N28336" s="1"/>
      <c r="V28336" s="5"/>
    </row>
    <row r="28337">
      <c r="N28337" s="1"/>
      <c r="V28337" s="5"/>
    </row>
    <row r="28338">
      <c r="N28338" s="1"/>
      <c r="V28338" s="5"/>
    </row>
    <row r="28339">
      <c r="N28339" s="1"/>
      <c r="V28339" s="5"/>
    </row>
    <row r="28340">
      <c r="N28340" s="1"/>
      <c r="V28340" s="5"/>
    </row>
    <row r="28341">
      <c r="N28341" s="1"/>
      <c r="V28341" s="5"/>
    </row>
    <row r="28342">
      <c r="N28342" s="1"/>
      <c r="V28342" s="5"/>
    </row>
    <row r="28343">
      <c r="N28343" s="1"/>
      <c r="V28343" s="5"/>
    </row>
    <row r="28344">
      <c r="N28344" s="1"/>
      <c r="V28344" s="5"/>
    </row>
    <row r="28345">
      <c r="N28345" s="1"/>
      <c r="V28345" s="5"/>
    </row>
    <row r="28346">
      <c r="N28346" s="1"/>
      <c r="V28346" s="5"/>
    </row>
    <row r="28347">
      <c r="N28347" s="1"/>
      <c r="V28347" s="5"/>
    </row>
    <row r="28348">
      <c r="N28348" s="1"/>
      <c r="V28348" s="5"/>
    </row>
    <row r="28349">
      <c r="N28349" s="1"/>
      <c r="V28349" s="5"/>
    </row>
    <row r="28350">
      <c r="N28350" s="1"/>
      <c r="V28350" s="5"/>
    </row>
    <row r="28351">
      <c r="N28351" s="1"/>
      <c r="V28351" s="5"/>
    </row>
    <row r="28352">
      <c r="N28352" s="1"/>
      <c r="V28352" s="5"/>
    </row>
    <row r="28353">
      <c r="N28353" s="1"/>
      <c r="V28353" s="5"/>
    </row>
    <row r="28354">
      <c r="N28354" s="1"/>
      <c r="V28354" s="5"/>
    </row>
    <row r="28355">
      <c r="N28355" s="1"/>
      <c r="V28355" s="5"/>
    </row>
    <row r="28356">
      <c r="N28356" s="1"/>
      <c r="V28356" s="5"/>
    </row>
    <row r="28357">
      <c r="N28357" s="1"/>
      <c r="V28357" s="5"/>
    </row>
    <row r="28358">
      <c r="N28358" s="1"/>
      <c r="V28358" s="5"/>
    </row>
    <row r="28359">
      <c r="N28359" s="1"/>
      <c r="V28359" s="5"/>
    </row>
    <row r="28360">
      <c r="N28360" s="1"/>
      <c r="V28360" s="5"/>
    </row>
    <row r="28361">
      <c r="N28361" s="1"/>
      <c r="V28361" s="5"/>
    </row>
    <row r="28362">
      <c r="N28362" s="1"/>
      <c r="V28362" s="5"/>
    </row>
    <row r="28363">
      <c r="N28363" s="1"/>
      <c r="V28363" s="5"/>
    </row>
    <row r="28364">
      <c r="N28364" s="1"/>
      <c r="V28364" s="5"/>
    </row>
    <row r="28365">
      <c r="N28365" s="1"/>
      <c r="V28365" s="5"/>
    </row>
    <row r="28366">
      <c r="N28366" s="1"/>
      <c r="V28366" s="5"/>
    </row>
    <row r="28367">
      <c r="N28367" s="1"/>
      <c r="V28367" s="5"/>
    </row>
    <row r="28368">
      <c r="N28368" s="1"/>
      <c r="V28368" s="5"/>
    </row>
    <row r="28369">
      <c r="N28369" s="1"/>
      <c r="V28369" s="5"/>
    </row>
    <row r="28370">
      <c r="N28370" s="1"/>
      <c r="V28370" s="5"/>
    </row>
    <row r="28371">
      <c r="N28371" s="1"/>
      <c r="V28371" s="5"/>
    </row>
    <row r="28372">
      <c r="N28372" s="1"/>
      <c r="V28372" s="5"/>
    </row>
    <row r="28373">
      <c r="N28373" s="1"/>
      <c r="V28373" s="5"/>
    </row>
    <row r="28374">
      <c r="N28374" s="1"/>
      <c r="V28374" s="5"/>
    </row>
    <row r="28375">
      <c r="N28375" s="1"/>
      <c r="V28375" s="5"/>
    </row>
    <row r="28376">
      <c r="N28376" s="1"/>
      <c r="V28376" s="5"/>
    </row>
    <row r="28377">
      <c r="N28377" s="1"/>
      <c r="V28377" s="5"/>
    </row>
    <row r="28378">
      <c r="N28378" s="1"/>
      <c r="V28378" s="5"/>
    </row>
    <row r="28379">
      <c r="N28379" s="1"/>
      <c r="V28379" s="5"/>
    </row>
    <row r="28380">
      <c r="N28380" s="1"/>
      <c r="V28380" s="5"/>
    </row>
    <row r="28381">
      <c r="N28381" s="1"/>
      <c r="V28381" s="5"/>
    </row>
    <row r="28382">
      <c r="N28382" s="1"/>
      <c r="V28382" s="5"/>
    </row>
    <row r="28383">
      <c r="N28383" s="1"/>
      <c r="V28383" s="5"/>
    </row>
    <row r="28384">
      <c r="N28384" s="1"/>
      <c r="V28384" s="5"/>
    </row>
    <row r="28385">
      <c r="N28385" s="1"/>
      <c r="V28385" s="5"/>
    </row>
    <row r="28386">
      <c r="N28386" s="1"/>
      <c r="V28386" s="5"/>
    </row>
    <row r="28387">
      <c r="N28387" s="1"/>
      <c r="V28387" s="5"/>
    </row>
    <row r="28388">
      <c r="N28388" s="1"/>
      <c r="V28388" s="5"/>
    </row>
    <row r="28389">
      <c r="N28389" s="1"/>
      <c r="V28389" s="5"/>
    </row>
    <row r="28390">
      <c r="N28390" s="1"/>
      <c r="V28390" s="5"/>
    </row>
    <row r="28391">
      <c r="N28391" s="1"/>
      <c r="V28391" s="5"/>
    </row>
    <row r="28392">
      <c r="N28392" s="1"/>
      <c r="V28392" s="5"/>
    </row>
    <row r="28393">
      <c r="N28393" s="1"/>
      <c r="V28393" s="5"/>
    </row>
    <row r="28394">
      <c r="N28394" s="1"/>
      <c r="V28394" s="5"/>
    </row>
    <row r="28395">
      <c r="N28395" s="1"/>
      <c r="V28395" s="5"/>
    </row>
    <row r="28396">
      <c r="N28396" s="1"/>
      <c r="V28396" s="5"/>
    </row>
    <row r="28397">
      <c r="N28397" s="1"/>
      <c r="V28397" s="5"/>
    </row>
    <row r="28398">
      <c r="N28398" s="1"/>
      <c r="V28398" s="5"/>
    </row>
    <row r="28399">
      <c r="N28399" s="1"/>
      <c r="V28399" s="5"/>
    </row>
    <row r="28400">
      <c r="N28400" s="1"/>
      <c r="V28400" s="5"/>
    </row>
    <row r="28401">
      <c r="N28401" s="1"/>
      <c r="V28401" s="5"/>
    </row>
    <row r="28402">
      <c r="N28402" s="1"/>
      <c r="V28402" s="5"/>
    </row>
    <row r="28403">
      <c r="N28403" s="1"/>
      <c r="V28403" s="5"/>
    </row>
    <row r="28404">
      <c r="N28404" s="1"/>
      <c r="V28404" s="5"/>
    </row>
    <row r="28405">
      <c r="N28405" s="1"/>
      <c r="V28405" s="5"/>
    </row>
    <row r="28406">
      <c r="N28406" s="1"/>
      <c r="V28406" s="5"/>
    </row>
    <row r="28407">
      <c r="N28407" s="1"/>
      <c r="V28407" s="5"/>
    </row>
    <row r="28408">
      <c r="N28408" s="1"/>
      <c r="V28408" s="5"/>
    </row>
    <row r="28409">
      <c r="N28409" s="1"/>
      <c r="V28409" s="5"/>
    </row>
    <row r="28410">
      <c r="N28410" s="1"/>
      <c r="V28410" s="5"/>
    </row>
    <row r="28411">
      <c r="N28411" s="1"/>
      <c r="V28411" s="5"/>
    </row>
    <row r="28412">
      <c r="N28412" s="1"/>
      <c r="V28412" s="5"/>
    </row>
    <row r="28413">
      <c r="N28413" s="1"/>
      <c r="V28413" s="5"/>
    </row>
    <row r="28414">
      <c r="N28414" s="1"/>
      <c r="V28414" s="5"/>
    </row>
    <row r="28415">
      <c r="N28415" s="1"/>
      <c r="V28415" s="5"/>
    </row>
    <row r="28416">
      <c r="N28416" s="1"/>
      <c r="V28416" s="5"/>
    </row>
    <row r="28417">
      <c r="N28417" s="1"/>
      <c r="V28417" s="5"/>
    </row>
    <row r="28418">
      <c r="N28418" s="1"/>
      <c r="V28418" s="5"/>
    </row>
    <row r="28419">
      <c r="N28419" s="1"/>
      <c r="V28419" s="5"/>
    </row>
    <row r="28420">
      <c r="N28420" s="1"/>
      <c r="V28420" s="5"/>
    </row>
    <row r="28421">
      <c r="N28421" s="1"/>
      <c r="V28421" s="5"/>
    </row>
    <row r="28422">
      <c r="N28422" s="1"/>
      <c r="V28422" s="5"/>
    </row>
    <row r="28423">
      <c r="N28423" s="1"/>
      <c r="V28423" s="5"/>
    </row>
    <row r="28424">
      <c r="N28424" s="1"/>
      <c r="V28424" s="5"/>
    </row>
    <row r="28425">
      <c r="N28425" s="1"/>
      <c r="V28425" s="5"/>
    </row>
    <row r="28426">
      <c r="N28426" s="1"/>
      <c r="V28426" s="5"/>
    </row>
    <row r="28427">
      <c r="N28427" s="1"/>
      <c r="V28427" s="5"/>
    </row>
    <row r="28428">
      <c r="N28428" s="1"/>
      <c r="V28428" s="5"/>
    </row>
    <row r="28429">
      <c r="N28429" s="1"/>
      <c r="V28429" s="5"/>
    </row>
    <row r="28430">
      <c r="N28430" s="1"/>
      <c r="V28430" s="5"/>
    </row>
    <row r="28431">
      <c r="N28431" s="1"/>
      <c r="V28431" s="5"/>
    </row>
    <row r="28432">
      <c r="N28432" s="1"/>
      <c r="V28432" s="5"/>
    </row>
    <row r="28433">
      <c r="N28433" s="1"/>
      <c r="V28433" s="5"/>
    </row>
    <row r="28434">
      <c r="N28434" s="1"/>
      <c r="V28434" s="5"/>
    </row>
    <row r="28435">
      <c r="N28435" s="1"/>
      <c r="V28435" s="5"/>
    </row>
    <row r="28436">
      <c r="N28436" s="1"/>
      <c r="V28436" s="5"/>
    </row>
    <row r="28437">
      <c r="N28437" s="1"/>
      <c r="V28437" s="5"/>
    </row>
    <row r="28438">
      <c r="N28438" s="1"/>
      <c r="V28438" s="5"/>
    </row>
    <row r="28439">
      <c r="N28439" s="1"/>
      <c r="V28439" s="5"/>
    </row>
    <row r="28440">
      <c r="N28440" s="1"/>
      <c r="V28440" s="5"/>
    </row>
    <row r="28441">
      <c r="N28441" s="1"/>
      <c r="V28441" s="5"/>
    </row>
    <row r="28442">
      <c r="N28442" s="1"/>
      <c r="V28442" s="5"/>
    </row>
    <row r="28443">
      <c r="N28443" s="1"/>
      <c r="V28443" s="5"/>
    </row>
    <row r="28444">
      <c r="N28444" s="1"/>
      <c r="V28444" s="5"/>
    </row>
    <row r="28445">
      <c r="N28445" s="1"/>
      <c r="V28445" s="5"/>
    </row>
    <row r="28446">
      <c r="N28446" s="1"/>
      <c r="V28446" s="5"/>
    </row>
    <row r="28447">
      <c r="N28447" s="1"/>
      <c r="V28447" s="5"/>
    </row>
    <row r="28448">
      <c r="N28448" s="1"/>
      <c r="V28448" s="5"/>
    </row>
    <row r="28449">
      <c r="N28449" s="1"/>
      <c r="V28449" s="5"/>
    </row>
    <row r="28450">
      <c r="N28450" s="1"/>
      <c r="V28450" s="5"/>
    </row>
    <row r="28451">
      <c r="N28451" s="1"/>
      <c r="V28451" s="5"/>
    </row>
    <row r="28452">
      <c r="N28452" s="1"/>
      <c r="V28452" s="5"/>
    </row>
    <row r="28453">
      <c r="N28453" s="1"/>
      <c r="V28453" s="5"/>
    </row>
    <row r="28454">
      <c r="N28454" s="1"/>
      <c r="V28454" s="5"/>
    </row>
    <row r="28455">
      <c r="N28455" s="1"/>
      <c r="V28455" s="5"/>
    </row>
    <row r="28456">
      <c r="N28456" s="1"/>
      <c r="V28456" s="5"/>
    </row>
    <row r="28457">
      <c r="N28457" s="1"/>
      <c r="V28457" s="5"/>
    </row>
    <row r="28458">
      <c r="N28458" s="1"/>
      <c r="V28458" s="5"/>
    </row>
    <row r="28459">
      <c r="N28459" s="1"/>
      <c r="V28459" s="5"/>
    </row>
    <row r="28460">
      <c r="N28460" s="1"/>
      <c r="V28460" s="5"/>
    </row>
    <row r="28461">
      <c r="N28461" s="1"/>
      <c r="V28461" s="5"/>
    </row>
    <row r="28462">
      <c r="N28462" s="1"/>
      <c r="V28462" s="5"/>
    </row>
    <row r="28463">
      <c r="N28463" s="1"/>
      <c r="V28463" s="5"/>
    </row>
    <row r="28464">
      <c r="N28464" s="1"/>
      <c r="V28464" s="5"/>
    </row>
    <row r="28465">
      <c r="N28465" s="1"/>
      <c r="V28465" s="5"/>
    </row>
    <row r="28466">
      <c r="N28466" s="1"/>
      <c r="V28466" s="5"/>
    </row>
    <row r="28467">
      <c r="N28467" s="1"/>
      <c r="V28467" s="5"/>
    </row>
    <row r="28468">
      <c r="N28468" s="1"/>
      <c r="V28468" s="5"/>
    </row>
    <row r="28469">
      <c r="N28469" s="1"/>
      <c r="V28469" s="5"/>
    </row>
    <row r="28470">
      <c r="N28470" s="1"/>
      <c r="V28470" s="5"/>
    </row>
    <row r="28471">
      <c r="N28471" s="1"/>
      <c r="V28471" s="5"/>
    </row>
    <row r="28472">
      <c r="N28472" s="1"/>
      <c r="V28472" s="5"/>
    </row>
    <row r="28473">
      <c r="N28473" s="1"/>
      <c r="V28473" s="5"/>
    </row>
    <row r="28474">
      <c r="N28474" s="1"/>
      <c r="V28474" s="5"/>
    </row>
    <row r="28475">
      <c r="N28475" s="1"/>
      <c r="V28475" s="5"/>
    </row>
    <row r="28476">
      <c r="N28476" s="1"/>
      <c r="V28476" s="5"/>
    </row>
    <row r="28477">
      <c r="N28477" s="1"/>
      <c r="V28477" s="5"/>
    </row>
    <row r="28478">
      <c r="N28478" s="1"/>
      <c r="V28478" s="5"/>
    </row>
    <row r="28479">
      <c r="N28479" s="1"/>
      <c r="V28479" s="5"/>
    </row>
    <row r="28480">
      <c r="N28480" s="1"/>
      <c r="V28480" s="5"/>
    </row>
    <row r="28481">
      <c r="N28481" s="1"/>
      <c r="V28481" s="5"/>
    </row>
    <row r="28482">
      <c r="N28482" s="1"/>
      <c r="V28482" s="5"/>
    </row>
    <row r="28483">
      <c r="N28483" s="1"/>
      <c r="V28483" s="5"/>
    </row>
    <row r="28484">
      <c r="N28484" s="1"/>
      <c r="V28484" s="5"/>
    </row>
    <row r="28485">
      <c r="N28485" s="1"/>
      <c r="V28485" s="5"/>
    </row>
    <row r="28486">
      <c r="N28486" s="1"/>
      <c r="V28486" s="5"/>
    </row>
    <row r="28487">
      <c r="N28487" s="1"/>
      <c r="V28487" s="5"/>
    </row>
    <row r="28488">
      <c r="N28488" s="1"/>
      <c r="V28488" s="5"/>
    </row>
    <row r="28489">
      <c r="N28489" s="1"/>
      <c r="V28489" s="5"/>
    </row>
    <row r="28490">
      <c r="N28490" s="1"/>
      <c r="V28490" s="5"/>
    </row>
    <row r="28491">
      <c r="N28491" s="1"/>
      <c r="V28491" s="5"/>
    </row>
    <row r="28492">
      <c r="N28492" s="1"/>
      <c r="V28492" s="5"/>
    </row>
    <row r="28493">
      <c r="N28493" s="1"/>
      <c r="V28493" s="5"/>
    </row>
    <row r="28494">
      <c r="N28494" s="1"/>
      <c r="V28494" s="5"/>
    </row>
    <row r="28495">
      <c r="N28495" s="1"/>
      <c r="V28495" s="5"/>
    </row>
    <row r="28496">
      <c r="N28496" s="1"/>
      <c r="V28496" s="5"/>
    </row>
    <row r="28497">
      <c r="N28497" s="1"/>
      <c r="V28497" s="5"/>
    </row>
    <row r="28498">
      <c r="N28498" s="1"/>
      <c r="V28498" s="5"/>
    </row>
    <row r="28499">
      <c r="N28499" s="1"/>
      <c r="V28499" s="5"/>
    </row>
    <row r="28500">
      <c r="N28500" s="1"/>
      <c r="V28500" s="5"/>
    </row>
    <row r="28501">
      <c r="N28501" s="1"/>
      <c r="V28501" s="5"/>
    </row>
    <row r="28502">
      <c r="N28502" s="1"/>
      <c r="V28502" s="5"/>
    </row>
    <row r="28503">
      <c r="N28503" s="1"/>
      <c r="V28503" s="5"/>
    </row>
    <row r="28504">
      <c r="N28504" s="1"/>
      <c r="V28504" s="5"/>
    </row>
    <row r="28505">
      <c r="N28505" s="1"/>
      <c r="V28505" s="5"/>
    </row>
    <row r="28506">
      <c r="N28506" s="1"/>
      <c r="V28506" s="5"/>
    </row>
    <row r="28507">
      <c r="N28507" s="1"/>
      <c r="V28507" s="5"/>
    </row>
    <row r="28508">
      <c r="N28508" s="1"/>
      <c r="V28508" s="5"/>
    </row>
    <row r="28509">
      <c r="N28509" s="1"/>
      <c r="V28509" s="5"/>
    </row>
    <row r="28510">
      <c r="N28510" s="1"/>
      <c r="V28510" s="5"/>
    </row>
    <row r="28511">
      <c r="N28511" s="1"/>
      <c r="V28511" s="5"/>
    </row>
    <row r="28512">
      <c r="N28512" s="1"/>
      <c r="V28512" s="5"/>
    </row>
    <row r="28513">
      <c r="N28513" s="1"/>
      <c r="V28513" s="5"/>
    </row>
    <row r="28514">
      <c r="N28514" s="1"/>
      <c r="V28514" s="5"/>
    </row>
    <row r="28515">
      <c r="N28515" s="1"/>
      <c r="V28515" s="5"/>
    </row>
    <row r="28516">
      <c r="N28516" s="1"/>
      <c r="V28516" s="5"/>
    </row>
    <row r="28517">
      <c r="N28517" s="1"/>
      <c r="V28517" s="5"/>
    </row>
    <row r="28518">
      <c r="N28518" s="1"/>
      <c r="V28518" s="5"/>
    </row>
    <row r="28519">
      <c r="N28519" s="1"/>
      <c r="V28519" s="5"/>
    </row>
    <row r="28520">
      <c r="N28520" s="1"/>
      <c r="V28520" s="5"/>
    </row>
    <row r="28521">
      <c r="N28521" s="1"/>
      <c r="V28521" s="5"/>
    </row>
    <row r="28522">
      <c r="N28522" s="1"/>
      <c r="V28522" s="5"/>
    </row>
    <row r="28523">
      <c r="N28523" s="1"/>
      <c r="V28523" s="5"/>
    </row>
    <row r="28524">
      <c r="N28524" s="1"/>
      <c r="V28524" s="5"/>
    </row>
    <row r="28525">
      <c r="N28525" s="1"/>
      <c r="V28525" s="5"/>
    </row>
    <row r="28526">
      <c r="N28526" s="1"/>
      <c r="V28526" s="5"/>
    </row>
    <row r="28527">
      <c r="N28527" s="1"/>
      <c r="V28527" s="5"/>
    </row>
    <row r="28528">
      <c r="N28528" s="1"/>
      <c r="V28528" s="5"/>
    </row>
    <row r="28529">
      <c r="N28529" s="1"/>
      <c r="V28529" s="5"/>
    </row>
    <row r="28530">
      <c r="N28530" s="1"/>
      <c r="V28530" s="5"/>
    </row>
    <row r="28531">
      <c r="N28531" s="1"/>
      <c r="V28531" s="5"/>
    </row>
    <row r="28532">
      <c r="N28532" s="1"/>
      <c r="V28532" s="5"/>
    </row>
    <row r="28533">
      <c r="N28533" s="1"/>
      <c r="V28533" s="5"/>
    </row>
    <row r="28534">
      <c r="N28534" s="1"/>
      <c r="V28534" s="5"/>
    </row>
    <row r="28535">
      <c r="N28535" s="1"/>
      <c r="V28535" s="5"/>
    </row>
    <row r="28536">
      <c r="N28536" s="1"/>
      <c r="V28536" s="5"/>
    </row>
    <row r="28537">
      <c r="N28537" s="1"/>
      <c r="V28537" s="5"/>
    </row>
    <row r="28538">
      <c r="N28538" s="1"/>
      <c r="V28538" s="5"/>
    </row>
    <row r="28539">
      <c r="N28539" s="1"/>
      <c r="V28539" s="5"/>
    </row>
    <row r="28540">
      <c r="N28540" s="1"/>
      <c r="V28540" s="5"/>
    </row>
    <row r="28541">
      <c r="N28541" s="1"/>
      <c r="V28541" s="5"/>
    </row>
    <row r="28542">
      <c r="N28542" s="1"/>
      <c r="V28542" s="5"/>
    </row>
    <row r="28543">
      <c r="N28543" s="1"/>
      <c r="V28543" s="5"/>
    </row>
    <row r="28544">
      <c r="N28544" s="1"/>
      <c r="V28544" s="5"/>
    </row>
    <row r="28545">
      <c r="N28545" s="1"/>
      <c r="V28545" s="5"/>
    </row>
    <row r="28546">
      <c r="N28546" s="1"/>
      <c r="V28546" s="5"/>
    </row>
    <row r="28547">
      <c r="N28547" s="1"/>
      <c r="V28547" s="5"/>
    </row>
    <row r="28548">
      <c r="N28548" s="1"/>
      <c r="V28548" s="5"/>
    </row>
    <row r="28549">
      <c r="N28549" s="1"/>
      <c r="V28549" s="5"/>
    </row>
    <row r="28550">
      <c r="N28550" s="1"/>
      <c r="V28550" s="5"/>
    </row>
    <row r="28551">
      <c r="N28551" s="1"/>
      <c r="V28551" s="5"/>
    </row>
    <row r="28552">
      <c r="N28552" s="1"/>
      <c r="V28552" s="5"/>
    </row>
    <row r="28553">
      <c r="N28553" s="1"/>
      <c r="V28553" s="5"/>
    </row>
    <row r="28554">
      <c r="N28554" s="1"/>
      <c r="V28554" s="5"/>
    </row>
    <row r="28555">
      <c r="N28555" s="1"/>
      <c r="V28555" s="5"/>
    </row>
    <row r="28556">
      <c r="N28556" s="1"/>
      <c r="V28556" s="5"/>
    </row>
    <row r="28557">
      <c r="N28557" s="1"/>
      <c r="V28557" s="5"/>
    </row>
    <row r="28558">
      <c r="N28558" s="1"/>
      <c r="V28558" s="5"/>
    </row>
    <row r="28559">
      <c r="N28559" s="1"/>
      <c r="V28559" s="5"/>
    </row>
    <row r="28560">
      <c r="N28560" s="1"/>
      <c r="V28560" s="5"/>
    </row>
    <row r="28561">
      <c r="N28561" s="1"/>
      <c r="V28561" s="5"/>
    </row>
    <row r="28562">
      <c r="N28562" s="1"/>
      <c r="V28562" s="5"/>
    </row>
    <row r="28563">
      <c r="N28563" s="1"/>
      <c r="V28563" s="5"/>
    </row>
    <row r="28564">
      <c r="N28564" s="1"/>
      <c r="V28564" s="5"/>
    </row>
    <row r="28565">
      <c r="N28565" s="1"/>
      <c r="V28565" s="5"/>
    </row>
    <row r="28566">
      <c r="N28566" s="1"/>
      <c r="V28566" s="5"/>
    </row>
    <row r="28567">
      <c r="N28567" s="1"/>
      <c r="V28567" s="5"/>
    </row>
    <row r="28568">
      <c r="N28568" s="1"/>
      <c r="V28568" s="5"/>
    </row>
    <row r="28569">
      <c r="N28569" s="1"/>
      <c r="V28569" s="5"/>
    </row>
    <row r="28570">
      <c r="N28570" s="1"/>
      <c r="V28570" s="5"/>
    </row>
    <row r="28571">
      <c r="N28571" s="1"/>
      <c r="V28571" s="5"/>
    </row>
    <row r="28572">
      <c r="N28572" s="1"/>
      <c r="V28572" s="5"/>
    </row>
    <row r="28573">
      <c r="N28573" s="1"/>
      <c r="V28573" s="5"/>
    </row>
    <row r="28574">
      <c r="N28574" s="1"/>
      <c r="V28574" s="5"/>
    </row>
    <row r="28575">
      <c r="N28575" s="1"/>
      <c r="V28575" s="5"/>
    </row>
    <row r="28576">
      <c r="N28576" s="1"/>
      <c r="V28576" s="5"/>
    </row>
    <row r="28577">
      <c r="N28577" s="1"/>
      <c r="V28577" s="5"/>
    </row>
    <row r="28578">
      <c r="N28578" s="1"/>
      <c r="V28578" s="5"/>
    </row>
    <row r="28579">
      <c r="N28579" s="1"/>
      <c r="V28579" s="5"/>
    </row>
    <row r="28580">
      <c r="N28580" s="1"/>
      <c r="V28580" s="5"/>
    </row>
    <row r="28581">
      <c r="N28581" s="1"/>
      <c r="V28581" s="5"/>
    </row>
    <row r="28582">
      <c r="N28582" s="1"/>
      <c r="V28582" s="5"/>
    </row>
    <row r="28583">
      <c r="N28583" s="1"/>
      <c r="V28583" s="5"/>
    </row>
    <row r="28584">
      <c r="N28584" s="1"/>
      <c r="V28584" s="5"/>
    </row>
    <row r="28585">
      <c r="N28585" s="1"/>
      <c r="V28585" s="5"/>
    </row>
    <row r="28586">
      <c r="N28586" s="1"/>
      <c r="V28586" s="5"/>
    </row>
    <row r="28587">
      <c r="N28587" s="1"/>
      <c r="V28587" s="5"/>
    </row>
    <row r="28588">
      <c r="N28588" s="1"/>
      <c r="V28588" s="5"/>
    </row>
    <row r="28589">
      <c r="N28589" s="1"/>
      <c r="V28589" s="5"/>
    </row>
    <row r="28590">
      <c r="N28590" s="1"/>
      <c r="V28590" s="5"/>
    </row>
    <row r="28591">
      <c r="N28591" s="1"/>
      <c r="V28591" s="5"/>
    </row>
    <row r="28592">
      <c r="N28592" s="1"/>
      <c r="V28592" s="5"/>
    </row>
    <row r="28593">
      <c r="N28593" s="1"/>
      <c r="V28593" s="5"/>
    </row>
    <row r="28594">
      <c r="N28594" s="1"/>
      <c r="V28594" s="5"/>
    </row>
    <row r="28595">
      <c r="N28595" s="1"/>
      <c r="V28595" s="5"/>
    </row>
    <row r="28596">
      <c r="N28596" s="1"/>
      <c r="V28596" s="5"/>
    </row>
    <row r="28597">
      <c r="N28597" s="1"/>
      <c r="V28597" s="5"/>
    </row>
    <row r="28598">
      <c r="N28598" s="1"/>
      <c r="V28598" s="5"/>
    </row>
    <row r="28599">
      <c r="N28599" s="1"/>
      <c r="V28599" s="5"/>
    </row>
    <row r="28600">
      <c r="N28600" s="1"/>
      <c r="V28600" s="5"/>
    </row>
    <row r="28601">
      <c r="N28601" s="1"/>
      <c r="V28601" s="5"/>
    </row>
    <row r="28602">
      <c r="N28602" s="1"/>
      <c r="V28602" s="5"/>
    </row>
    <row r="28603">
      <c r="N28603" s="1"/>
      <c r="V28603" s="5"/>
    </row>
    <row r="28604">
      <c r="N28604" s="1"/>
      <c r="V28604" s="5"/>
    </row>
    <row r="28605">
      <c r="N28605" s="1"/>
      <c r="V28605" s="5"/>
    </row>
    <row r="28606">
      <c r="N28606" s="1"/>
      <c r="V28606" s="5"/>
    </row>
    <row r="28607">
      <c r="N28607" s="1"/>
      <c r="V28607" s="5"/>
    </row>
    <row r="28608">
      <c r="N28608" s="1"/>
      <c r="V28608" s="5"/>
    </row>
    <row r="28609">
      <c r="N28609" s="1"/>
      <c r="V28609" s="5"/>
    </row>
    <row r="28610">
      <c r="N28610" s="1"/>
      <c r="V28610" s="5"/>
    </row>
    <row r="28611">
      <c r="N28611" s="1"/>
      <c r="V28611" s="5"/>
    </row>
    <row r="28612">
      <c r="N28612" s="1"/>
      <c r="V28612" s="5"/>
    </row>
    <row r="28613">
      <c r="N28613" s="1"/>
      <c r="V28613" s="5"/>
    </row>
    <row r="28614">
      <c r="N28614" s="1"/>
      <c r="V28614" s="5"/>
    </row>
    <row r="28615">
      <c r="N28615" s="1"/>
      <c r="V28615" s="5"/>
    </row>
    <row r="28616">
      <c r="N28616" s="1"/>
      <c r="V28616" s="5"/>
    </row>
    <row r="28617">
      <c r="N28617" s="1"/>
      <c r="V28617" s="5"/>
    </row>
    <row r="28618">
      <c r="N28618" s="1"/>
      <c r="V28618" s="5"/>
    </row>
    <row r="28619">
      <c r="N28619" s="1"/>
      <c r="V28619" s="5"/>
    </row>
    <row r="28620">
      <c r="N28620" s="1"/>
      <c r="V28620" s="5"/>
    </row>
    <row r="28621">
      <c r="N28621" s="1"/>
      <c r="V28621" s="5"/>
    </row>
    <row r="28622">
      <c r="N28622" s="1"/>
      <c r="V28622" s="5"/>
    </row>
    <row r="28623">
      <c r="N28623" s="1"/>
      <c r="V28623" s="5"/>
    </row>
    <row r="28624">
      <c r="N28624" s="1"/>
      <c r="V28624" s="5"/>
    </row>
    <row r="28625">
      <c r="N28625" s="1"/>
      <c r="V28625" s="5"/>
    </row>
    <row r="28626">
      <c r="N28626" s="1"/>
      <c r="V28626" s="5"/>
    </row>
    <row r="28627">
      <c r="N28627" s="1"/>
      <c r="V28627" s="5"/>
    </row>
    <row r="28628">
      <c r="N28628" s="1"/>
      <c r="V28628" s="5"/>
    </row>
    <row r="28629">
      <c r="N28629" s="1"/>
      <c r="V28629" s="5"/>
    </row>
    <row r="28630">
      <c r="N28630" s="1"/>
      <c r="V28630" s="5"/>
    </row>
    <row r="28631">
      <c r="N28631" s="1"/>
      <c r="V28631" s="5"/>
    </row>
    <row r="28632">
      <c r="N28632" s="1"/>
      <c r="V28632" s="5"/>
    </row>
    <row r="28633">
      <c r="N28633" s="1"/>
      <c r="V28633" s="5"/>
    </row>
    <row r="28634">
      <c r="N28634" s="1"/>
      <c r="V28634" s="5"/>
    </row>
    <row r="28635">
      <c r="N28635" s="1"/>
      <c r="V28635" s="5"/>
    </row>
    <row r="28636">
      <c r="N28636" s="1"/>
      <c r="V28636" s="5"/>
    </row>
    <row r="28637">
      <c r="N28637" s="1"/>
      <c r="V28637" s="5"/>
    </row>
    <row r="28638">
      <c r="N28638" s="1"/>
      <c r="V28638" s="5"/>
    </row>
    <row r="28639">
      <c r="N28639" s="1"/>
      <c r="V28639" s="5"/>
    </row>
    <row r="28640">
      <c r="N28640" s="1"/>
      <c r="V28640" s="5"/>
    </row>
    <row r="28641">
      <c r="N28641" s="1"/>
      <c r="V28641" s="5"/>
    </row>
    <row r="28642">
      <c r="N28642" s="1"/>
      <c r="V28642" s="5"/>
    </row>
    <row r="28643">
      <c r="N28643" s="1"/>
      <c r="V28643" s="5"/>
    </row>
    <row r="28644">
      <c r="N28644" s="1"/>
      <c r="V28644" s="5"/>
    </row>
    <row r="28645">
      <c r="N28645" s="1"/>
      <c r="V28645" s="5"/>
    </row>
    <row r="28646">
      <c r="N28646" s="1"/>
      <c r="V28646" s="5"/>
    </row>
    <row r="28647">
      <c r="N28647" s="1"/>
      <c r="V28647" s="5"/>
    </row>
    <row r="28648">
      <c r="N28648" s="1"/>
      <c r="V28648" s="5"/>
    </row>
    <row r="28649">
      <c r="N28649" s="1"/>
      <c r="V28649" s="5"/>
    </row>
    <row r="28650">
      <c r="N28650" s="1"/>
      <c r="V28650" s="5"/>
    </row>
    <row r="28651">
      <c r="N28651" s="1"/>
      <c r="V28651" s="5"/>
    </row>
    <row r="28652">
      <c r="N28652" s="1"/>
      <c r="V28652" s="5"/>
    </row>
    <row r="28653">
      <c r="N28653" s="1"/>
      <c r="V28653" s="5"/>
    </row>
    <row r="28654">
      <c r="N28654" s="1"/>
      <c r="V28654" s="5"/>
    </row>
    <row r="28655">
      <c r="N28655" s="1"/>
      <c r="V28655" s="5"/>
    </row>
    <row r="28656">
      <c r="N28656" s="1"/>
      <c r="V28656" s="5"/>
    </row>
    <row r="28657">
      <c r="N28657" s="1"/>
      <c r="V28657" s="5"/>
    </row>
    <row r="28658">
      <c r="N28658" s="1"/>
      <c r="V28658" s="5"/>
    </row>
    <row r="28659">
      <c r="N28659" s="1"/>
      <c r="V28659" s="5"/>
    </row>
    <row r="28660">
      <c r="N28660" s="1"/>
      <c r="V28660" s="5"/>
    </row>
    <row r="28661">
      <c r="N28661" s="1"/>
      <c r="V28661" s="5"/>
    </row>
    <row r="28662">
      <c r="N28662" s="1"/>
      <c r="V28662" s="5"/>
    </row>
    <row r="28663">
      <c r="N28663" s="1"/>
      <c r="V28663" s="5"/>
    </row>
    <row r="28664">
      <c r="N28664" s="1"/>
      <c r="V28664" s="5"/>
    </row>
    <row r="28665">
      <c r="N28665" s="1"/>
      <c r="V28665" s="5"/>
    </row>
    <row r="28666">
      <c r="N28666" s="1"/>
      <c r="V28666" s="5"/>
    </row>
    <row r="28667">
      <c r="N28667" s="1"/>
      <c r="V28667" s="5"/>
    </row>
    <row r="28668">
      <c r="N28668" s="1"/>
      <c r="V28668" s="5"/>
    </row>
    <row r="28669">
      <c r="N28669" s="1"/>
      <c r="V28669" s="5"/>
    </row>
    <row r="28670">
      <c r="N28670" s="1"/>
      <c r="V28670" s="5"/>
    </row>
    <row r="28671">
      <c r="N28671" s="1"/>
      <c r="V28671" s="5"/>
    </row>
    <row r="28672">
      <c r="N28672" s="1"/>
      <c r="V28672" s="5"/>
    </row>
    <row r="28673">
      <c r="N28673" s="1"/>
      <c r="V28673" s="5"/>
    </row>
    <row r="28674">
      <c r="N28674" s="1"/>
      <c r="V28674" s="5"/>
    </row>
    <row r="28675">
      <c r="N28675" s="1"/>
      <c r="V28675" s="5"/>
    </row>
    <row r="28676">
      <c r="N28676" s="1"/>
      <c r="V28676" s="5"/>
    </row>
    <row r="28677">
      <c r="N28677" s="1"/>
      <c r="V28677" s="5"/>
    </row>
    <row r="28678">
      <c r="N28678" s="1"/>
      <c r="V28678" s="5"/>
    </row>
    <row r="28679">
      <c r="N28679" s="1"/>
      <c r="V28679" s="5"/>
    </row>
    <row r="28680">
      <c r="N28680" s="1"/>
      <c r="V28680" s="5"/>
    </row>
    <row r="28681">
      <c r="N28681" s="1"/>
      <c r="V28681" s="5"/>
    </row>
    <row r="28682">
      <c r="N28682" s="1"/>
      <c r="V28682" s="5"/>
    </row>
    <row r="28683">
      <c r="N28683" s="1"/>
      <c r="V28683" s="5"/>
    </row>
    <row r="28684">
      <c r="N28684" s="1"/>
      <c r="V28684" s="5"/>
    </row>
    <row r="28685">
      <c r="N28685" s="1"/>
      <c r="V28685" s="5"/>
    </row>
    <row r="28686">
      <c r="N28686" s="1"/>
      <c r="V28686" s="5"/>
    </row>
    <row r="28687">
      <c r="N28687" s="1"/>
      <c r="V28687" s="5"/>
    </row>
    <row r="28688">
      <c r="N28688" s="1"/>
      <c r="V28688" s="5"/>
    </row>
    <row r="28689">
      <c r="N28689" s="1"/>
      <c r="V28689" s="5"/>
    </row>
    <row r="28690">
      <c r="N28690" s="1"/>
      <c r="V28690" s="5"/>
    </row>
    <row r="28691">
      <c r="N28691" s="1"/>
      <c r="V28691" s="5"/>
    </row>
    <row r="28692">
      <c r="N28692" s="1"/>
      <c r="V28692" s="5"/>
    </row>
    <row r="28693">
      <c r="N28693" s="1"/>
      <c r="V28693" s="5"/>
    </row>
    <row r="28694">
      <c r="N28694" s="1"/>
      <c r="V28694" s="5"/>
    </row>
    <row r="28695">
      <c r="N28695" s="1"/>
      <c r="V28695" s="5"/>
    </row>
    <row r="28696">
      <c r="N28696" s="1"/>
      <c r="V28696" s="5"/>
    </row>
    <row r="28697">
      <c r="N28697" s="1"/>
      <c r="V28697" s="5"/>
    </row>
    <row r="28698">
      <c r="N28698" s="1"/>
      <c r="V28698" s="5"/>
    </row>
    <row r="28699">
      <c r="N28699" s="1"/>
      <c r="V28699" s="5"/>
    </row>
    <row r="28700">
      <c r="N28700" s="1"/>
      <c r="V28700" s="5"/>
    </row>
    <row r="28701">
      <c r="N28701" s="1"/>
      <c r="V28701" s="5"/>
    </row>
    <row r="28702">
      <c r="N28702" s="1"/>
      <c r="V28702" s="5"/>
    </row>
    <row r="28703">
      <c r="N28703" s="1"/>
      <c r="V28703" s="5"/>
    </row>
    <row r="28704">
      <c r="N28704" s="1"/>
      <c r="V28704" s="5"/>
    </row>
    <row r="28705">
      <c r="N28705" s="1"/>
      <c r="V28705" s="5"/>
    </row>
    <row r="28706">
      <c r="N28706" s="1"/>
      <c r="V28706" s="5"/>
    </row>
    <row r="28707">
      <c r="N28707" s="1"/>
      <c r="V28707" s="5"/>
    </row>
    <row r="28708">
      <c r="N28708" s="1"/>
      <c r="V28708" s="5"/>
    </row>
    <row r="28709">
      <c r="N28709" s="1"/>
      <c r="V28709" s="5"/>
    </row>
    <row r="28710">
      <c r="N28710" s="1"/>
      <c r="V28710" s="5"/>
    </row>
    <row r="28711">
      <c r="N28711" s="1"/>
      <c r="V28711" s="5"/>
    </row>
    <row r="28712">
      <c r="N28712" s="1"/>
      <c r="V28712" s="5"/>
    </row>
    <row r="28713">
      <c r="N28713" s="1"/>
      <c r="V28713" s="5"/>
    </row>
    <row r="28714">
      <c r="N28714" s="1"/>
      <c r="V28714" s="5"/>
    </row>
    <row r="28715">
      <c r="N28715" s="1"/>
      <c r="V28715" s="5"/>
    </row>
    <row r="28716">
      <c r="N28716" s="1"/>
      <c r="V28716" s="5"/>
    </row>
    <row r="28717">
      <c r="N28717" s="1"/>
      <c r="V28717" s="5"/>
    </row>
    <row r="28718">
      <c r="N28718" s="1"/>
      <c r="V28718" s="5"/>
    </row>
    <row r="28719">
      <c r="N28719" s="1"/>
      <c r="V28719" s="5"/>
    </row>
    <row r="28720">
      <c r="N28720" s="1"/>
      <c r="V28720" s="5"/>
    </row>
    <row r="28721">
      <c r="N28721" s="1"/>
      <c r="V28721" s="5"/>
    </row>
    <row r="28722">
      <c r="N28722" s="1"/>
      <c r="V28722" s="5"/>
    </row>
    <row r="28723">
      <c r="N28723" s="1"/>
      <c r="V28723" s="5"/>
    </row>
    <row r="28724">
      <c r="N28724" s="1"/>
      <c r="V28724" s="5"/>
    </row>
    <row r="28725">
      <c r="N28725" s="1"/>
      <c r="V28725" s="5"/>
    </row>
    <row r="28726">
      <c r="N28726" s="1"/>
      <c r="V28726" s="5"/>
    </row>
    <row r="28727">
      <c r="N28727" s="1"/>
      <c r="V28727" s="5"/>
    </row>
    <row r="28728">
      <c r="N28728" s="1"/>
      <c r="V28728" s="5"/>
    </row>
    <row r="28729">
      <c r="N28729" s="1"/>
      <c r="V28729" s="5"/>
    </row>
    <row r="28730">
      <c r="N28730" s="1"/>
      <c r="V28730" s="5"/>
    </row>
    <row r="28731">
      <c r="N28731" s="1"/>
      <c r="V28731" s="5"/>
    </row>
    <row r="28732">
      <c r="N28732" s="1"/>
      <c r="V28732" s="5"/>
    </row>
    <row r="28733">
      <c r="N28733" s="1"/>
      <c r="V28733" s="5"/>
    </row>
    <row r="28734">
      <c r="N28734" s="1"/>
      <c r="V28734" s="5"/>
    </row>
    <row r="28735">
      <c r="N28735" s="1"/>
      <c r="V28735" s="5"/>
    </row>
    <row r="28736">
      <c r="N28736" s="1"/>
      <c r="V28736" s="5"/>
    </row>
    <row r="28737">
      <c r="N28737" s="1"/>
      <c r="V28737" s="5"/>
    </row>
    <row r="28738">
      <c r="N28738" s="1"/>
      <c r="V28738" s="5"/>
    </row>
    <row r="28739">
      <c r="N28739" s="1"/>
      <c r="V28739" s="5"/>
    </row>
    <row r="28740">
      <c r="N28740" s="1"/>
      <c r="V28740" s="5"/>
    </row>
    <row r="28741">
      <c r="N28741" s="1"/>
      <c r="V28741" s="5"/>
    </row>
    <row r="28742">
      <c r="N28742" s="1"/>
      <c r="V28742" s="5"/>
    </row>
    <row r="28743">
      <c r="N28743" s="1"/>
      <c r="V28743" s="5"/>
    </row>
    <row r="28744">
      <c r="N28744" s="1"/>
      <c r="V28744" s="5"/>
    </row>
    <row r="28745">
      <c r="N28745" s="1"/>
      <c r="V28745" s="5"/>
    </row>
    <row r="28746">
      <c r="N28746" s="1"/>
      <c r="V28746" s="5"/>
    </row>
    <row r="28747">
      <c r="N28747" s="1"/>
      <c r="V28747" s="5"/>
    </row>
    <row r="28748">
      <c r="N28748" s="1"/>
      <c r="V28748" s="5"/>
    </row>
    <row r="28749">
      <c r="N28749" s="1"/>
      <c r="V28749" s="5"/>
    </row>
    <row r="28750">
      <c r="N28750" s="1"/>
      <c r="V28750" s="5"/>
    </row>
    <row r="28751">
      <c r="N28751" s="1"/>
      <c r="V28751" s="5"/>
    </row>
    <row r="28752">
      <c r="N28752" s="1"/>
      <c r="V28752" s="5"/>
    </row>
    <row r="28753">
      <c r="N28753" s="1"/>
      <c r="V28753" s="5"/>
    </row>
    <row r="28754">
      <c r="N28754" s="1"/>
      <c r="V28754" s="5"/>
    </row>
    <row r="28755">
      <c r="N28755" s="1"/>
      <c r="V28755" s="5"/>
    </row>
    <row r="28756">
      <c r="N28756" s="1"/>
      <c r="V28756" s="5"/>
    </row>
    <row r="28757">
      <c r="N28757" s="1"/>
      <c r="V28757" s="5"/>
    </row>
    <row r="28758">
      <c r="N28758" s="1"/>
      <c r="V28758" s="5"/>
    </row>
    <row r="28759">
      <c r="N28759" s="1"/>
      <c r="V28759" s="5"/>
    </row>
    <row r="28760">
      <c r="N28760" s="1"/>
      <c r="V28760" s="5"/>
    </row>
    <row r="28761">
      <c r="N28761" s="1"/>
      <c r="V28761" s="5"/>
    </row>
    <row r="28762">
      <c r="N28762" s="1"/>
      <c r="V28762" s="5"/>
    </row>
    <row r="28763">
      <c r="N28763" s="1"/>
      <c r="V28763" s="5"/>
    </row>
    <row r="28764">
      <c r="N28764" s="1"/>
      <c r="V28764" s="5"/>
    </row>
    <row r="28765">
      <c r="N28765" s="1"/>
      <c r="V28765" s="5"/>
    </row>
    <row r="28766">
      <c r="N28766" s="1"/>
      <c r="V28766" s="5"/>
    </row>
    <row r="28767">
      <c r="N28767" s="1"/>
      <c r="V28767" s="5"/>
    </row>
    <row r="28768">
      <c r="N28768" s="1"/>
      <c r="V28768" s="5"/>
    </row>
    <row r="28769">
      <c r="N28769" s="1"/>
      <c r="V28769" s="5"/>
    </row>
    <row r="28770">
      <c r="N28770" s="1"/>
      <c r="V28770" s="5"/>
    </row>
    <row r="28771">
      <c r="N28771" s="1"/>
      <c r="V28771" s="5"/>
    </row>
    <row r="28772">
      <c r="N28772" s="1"/>
      <c r="V28772" s="5"/>
    </row>
    <row r="28773">
      <c r="N28773" s="1"/>
      <c r="V28773" s="5"/>
    </row>
    <row r="28774">
      <c r="N28774" s="1"/>
      <c r="V28774" s="5"/>
    </row>
    <row r="28775">
      <c r="N28775" s="1"/>
      <c r="V28775" s="5"/>
    </row>
    <row r="28776">
      <c r="N28776" s="1"/>
      <c r="V28776" s="5"/>
    </row>
    <row r="28777">
      <c r="N28777" s="1"/>
      <c r="V28777" s="5"/>
    </row>
    <row r="28778">
      <c r="N28778" s="1"/>
      <c r="V28778" s="5"/>
    </row>
    <row r="28779">
      <c r="N28779" s="1"/>
      <c r="V28779" s="5"/>
    </row>
    <row r="28780">
      <c r="N28780" s="1"/>
      <c r="V28780" s="5"/>
    </row>
    <row r="28781">
      <c r="N28781" s="1"/>
      <c r="V28781" s="5"/>
    </row>
    <row r="28782">
      <c r="N28782" s="1"/>
      <c r="V28782" s="5"/>
    </row>
    <row r="28783">
      <c r="N28783" s="1"/>
      <c r="V28783" s="5"/>
    </row>
    <row r="28784">
      <c r="N28784" s="1"/>
      <c r="V28784" s="5"/>
    </row>
    <row r="28785">
      <c r="N28785" s="1"/>
      <c r="V28785" s="5"/>
    </row>
    <row r="28786">
      <c r="N28786" s="1"/>
      <c r="V28786" s="5"/>
    </row>
    <row r="28787">
      <c r="N28787" s="1"/>
      <c r="V28787" s="5"/>
    </row>
    <row r="28788">
      <c r="N28788" s="1"/>
      <c r="V28788" s="5"/>
    </row>
    <row r="28789">
      <c r="N28789" s="1"/>
      <c r="V28789" s="5"/>
    </row>
    <row r="28790">
      <c r="N28790" s="1"/>
      <c r="V28790" s="5"/>
    </row>
    <row r="28791">
      <c r="N28791" s="1"/>
      <c r="V28791" s="5"/>
    </row>
    <row r="28792">
      <c r="N28792" s="1"/>
      <c r="V28792" s="5"/>
    </row>
    <row r="28793">
      <c r="N28793" s="1"/>
      <c r="V28793" s="5"/>
    </row>
    <row r="28794">
      <c r="N28794" s="1"/>
      <c r="V28794" s="5"/>
    </row>
    <row r="28795">
      <c r="N28795" s="1"/>
      <c r="V28795" s="5"/>
    </row>
    <row r="28796">
      <c r="N28796" s="1"/>
      <c r="V28796" s="5"/>
    </row>
    <row r="28797">
      <c r="N28797" s="1"/>
      <c r="V28797" s="5"/>
    </row>
    <row r="28798">
      <c r="N28798" s="1"/>
      <c r="V28798" s="5"/>
    </row>
    <row r="28799">
      <c r="N28799" s="1"/>
      <c r="V28799" s="5"/>
    </row>
    <row r="28800">
      <c r="N28800" s="1"/>
      <c r="V28800" s="5"/>
    </row>
    <row r="28801">
      <c r="N28801" s="1"/>
      <c r="V28801" s="5"/>
    </row>
    <row r="28802">
      <c r="N28802" s="1"/>
      <c r="V28802" s="5"/>
    </row>
    <row r="28803">
      <c r="N28803" s="1"/>
      <c r="V28803" s="5"/>
    </row>
    <row r="28804">
      <c r="N28804" s="1"/>
      <c r="V28804" s="5"/>
    </row>
    <row r="28805">
      <c r="N28805" s="1"/>
      <c r="V28805" s="5"/>
    </row>
    <row r="28806">
      <c r="N28806" s="1"/>
      <c r="V28806" s="5"/>
    </row>
    <row r="28807">
      <c r="N28807" s="1"/>
      <c r="V28807" s="5"/>
    </row>
    <row r="28808">
      <c r="N28808" s="1"/>
      <c r="V28808" s="5"/>
    </row>
    <row r="28809">
      <c r="N28809" s="1"/>
      <c r="V28809" s="5"/>
    </row>
    <row r="28810">
      <c r="N28810" s="1"/>
      <c r="V28810" s="5"/>
    </row>
    <row r="28811">
      <c r="N28811" s="1"/>
      <c r="V28811" s="5"/>
    </row>
    <row r="28812">
      <c r="N28812" s="1"/>
      <c r="V28812" s="5"/>
    </row>
    <row r="28813">
      <c r="N28813" s="1"/>
      <c r="V28813" s="5"/>
    </row>
    <row r="28814">
      <c r="N28814" s="1"/>
      <c r="V28814" s="5"/>
    </row>
    <row r="28815">
      <c r="N28815" s="1"/>
      <c r="V28815" s="5"/>
    </row>
    <row r="28816">
      <c r="N28816" s="1"/>
      <c r="V28816" s="5"/>
    </row>
    <row r="28817">
      <c r="N28817" s="1"/>
      <c r="V28817" s="5"/>
    </row>
    <row r="28818">
      <c r="N28818" s="1"/>
      <c r="V28818" s="5"/>
    </row>
    <row r="28819">
      <c r="N28819" s="1"/>
      <c r="V28819" s="5"/>
    </row>
    <row r="28820">
      <c r="N28820" s="1"/>
      <c r="V28820" s="5"/>
    </row>
    <row r="28821">
      <c r="N28821" s="1"/>
      <c r="V28821" s="5"/>
    </row>
    <row r="28822">
      <c r="N28822" s="1"/>
      <c r="V28822" s="5"/>
    </row>
    <row r="28823">
      <c r="N28823" s="1"/>
      <c r="V28823" s="5"/>
    </row>
    <row r="28824">
      <c r="N28824" s="1"/>
      <c r="V28824" s="5"/>
    </row>
    <row r="28825">
      <c r="N28825" s="1"/>
      <c r="V28825" s="5"/>
    </row>
    <row r="28826">
      <c r="N28826" s="1"/>
      <c r="V28826" s="5"/>
    </row>
    <row r="28827">
      <c r="N28827" s="1"/>
      <c r="V28827" s="5"/>
    </row>
    <row r="28828">
      <c r="N28828" s="1"/>
      <c r="V28828" s="5"/>
    </row>
    <row r="28829">
      <c r="N28829" s="1"/>
      <c r="V28829" s="5"/>
    </row>
    <row r="28830">
      <c r="N28830" s="1"/>
      <c r="V28830" s="5"/>
    </row>
    <row r="28831">
      <c r="N28831" s="1"/>
      <c r="V28831" s="5"/>
    </row>
    <row r="28832">
      <c r="N28832" s="1"/>
      <c r="V28832" s="5"/>
    </row>
    <row r="28833">
      <c r="N28833" s="1"/>
      <c r="V28833" s="5"/>
    </row>
    <row r="28834">
      <c r="N28834" s="1"/>
      <c r="V28834" s="5"/>
    </row>
    <row r="28835">
      <c r="N28835" s="1"/>
      <c r="V28835" s="5"/>
    </row>
    <row r="28836">
      <c r="N28836" s="1"/>
      <c r="V28836" s="5"/>
    </row>
    <row r="28837">
      <c r="N28837" s="1"/>
      <c r="V28837" s="5"/>
    </row>
    <row r="28838">
      <c r="N28838" s="1"/>
      <c r="V28838" s="5"/>
    </row>
    <row r="28839">
      <c r="N28839" s="1"/>
      <c r="V28839" s="5"/>
    </row>
    <row r="28840">
      <c r="N28840" s="1"/>
      <c r="V28840" s="5"/>
    </row>
    <row r="28841">
      <c r="N28841" s="1"/>
      <c r="V28841" s="5"/>
    </row>
    <row r="28842">
      <c r="N28842" s="1"/>
      <c r="V28842" s="5"/>
    </row>
    <row r="28843">
      <c r="N28843" s="1"/>
      <c r="V28843" s="5"/>
    </row>
    <row r="28844">
      <c r="N28844" s="1"/>
      <c r="V28844" s="5"/>
    </row>
    <row r="28845">
      <c r="N28845" s="1"/>
      <c r="V28845" s="5"/>
    </row>
    <row r="28846">
      <c r="N28846" s="1"/>
      <c r="V28846" s="5"/>
    </row>
    <row r="28847">
      <c r="N28847" s="1"/>
      <c r="V28847" s="5"/>
    </row>
    <row r="28848">
      <c r="N28848" s="1"/>
      <c r="V28848" s="5"/>
    </row>
    <row r="28849">
      <c r="N28849" s="1"/>
      <c r="V28849" s="5"/>
    </row>
    <row r="28850">
      <c r="N28850" s="1"/>
      <c r="V28850" s="5"/>
    </row>
    <row r="28851">
      <c r="N28851" s="1"/>
      <c r="V28851" s="5"/>
    </row>
    <row r="28852">
      <c r="N28852" s="1"/>
      <c r="V28852" s="5"/>
    </row>
    <row r="28853">
      <c r="N28853" s="1"/>
      <c r="V28853" s="5"/>
    </row>
    <row r="28854">
      <c r="N28854" s="1"/>
      <c r="V28854" s="5"/>
    </row>
    <row r="28855">
      <c r="N28855" s="1"/>
      <c r="V28855" s="5"/>
    </row>
    <row r="28856">
      <c r="N28856" s="1"/>
      <c r="V28856" s="5"/>
    </row>
    <row r="28857">
      <c r="N28857" s="1"/>
      <c r="V28857" s="5"/>
    </row>
    <row r="28858">
      <c r="N28858" s="1"/>
      <c r="V28858" s="5"/>
    </row>
    <row r="28859">
      <c r="N28859" s="1"/>
      <c r="V28859" s="5"/>
    </row>
    <row r="28860">
      <c r="N28860" s="1"/>
      <c r="V28860" s="5"/>
    </row>
    <row r="28861">
      <c r="N28861" s="1"/>
      <c r="V28861" s="5"/>
    </row>
    <row r="28862">
      <c r="N28862" s="1"/>
      <c r="V28862" s="5"/>
    </row>
    <row r="28863">
      <c r="N28863" s="1"/>
      <c r="V28863" s="5"/>
    </row>
    <row r="28864">
      <c r="N28864" s="1"/>
      <c r="V28864" s="5"/>
    </row>
    <row r="28865">
      <c r="N28865" s="1"/>
      <c r="V28865" s="5"/>
    </row>
    <row r="28866">
      <c r="N28866" s="1"/>
      <c r="V28866" s="5"/>
    </row>
    <row r="28867">
      <c r="N28867" s="1"/>
      <c r="V28867" s="5"/>
    </row>
    <row r="28868">
      <c r="N28868" s="1"/>
      <c r="V28868" s="5"/>
    </row>
    <row r="28869">
      <c r="N28869" s="1"/>
      <c r="V28869" s="5"/>
    </row>
    <row r="28870">
      <c r="N28870" s="1"/>
      <c r="V28870" s="5"/>
    </row>
    <row r="28871">
      <c r="N28871" s="1"/>
      <c r="V28871" s="5"/>
    </row>
    <row r="28872">
      <c r="N28872" s="1"/>
      <c r="V28872" s="5"/>
    </row>
    <row r="28873">
      <c r="N28873" s="1"/>
      <c r="V28873" s="5"/>
    </row>
    <row r="28874">
      <c r="N28874" s="1"/>
      <c r="V28874" s="5"/>
    </row>
    <row r="28875">
      <c r="N28875" s="1"/>
      <c r="V28875" s="5"/>
    </row>
    <row r="28876">
      <c r="N28876" s="1"/>
      <c r="V28876" s="5"/>
    </row>
    <row r="28877">
      <c r="N28877" s="1"/>
      <c r="V28877" s="5"/>
    </row>
    <row r="28878">
      <c r="N28878" s="1"/>
      <c r="V28878" s="5"/>
    </row>
    <row r="28879">
      <c r="N28879" s="1"/>
      <c r="V28879" s="5"/>
    </row>
    <row r="28880">
      <c r="N28880" s="1"/>
      <c r="V28880" s="5"/>
    </row>
    <row r="28881">
      <c r="N28881" s="1"/>
      <c r="V28881" s="5"/>
    </row>
    <row r="28882">
      <c r="N28882" s="1"/>
      <c r="V28882" s="5"/>
    </row>
    <row r="28883">
      <c r="N28883" s="1"/>
      <c r="V28883" s="5"/>
    </row>
    <row r="28884">
      <c r="N28884" s="1"/>
      <c r="V28884" s="5"/>
    </row>
    <row r="28885">
      <c r="N28885" s="1"/>
      <c r="V28885" s="5"/>
    </row>
    <row r="28886">
      <c r="N28886" s="1"/>
      <c r="V28886" s="5"/>
    </row>
    <row r="28887">
      <c r="N28887" s="1"/>
      <c r="V28887" s="5"/>
    </row>
    <row r="28888">
      <c r="N28888" s="1"/>
      <c r="V28888" s="5"/>
    </row>
    <row r="28889">
      <c r="N28889" s="1"/>
      <c r="V28889" s="5"/>
    </row>
    <row r="28890">
      <c r="N28890" s="1"/>
      <c r="V28890" s="5"/>
    </row>
    <row r="28891">
      <c r="N28891" s="1"/>
      <c r="V28891" s="5"/>
    </row>
    <row r="28892">
      <c r="N28892" s="1"/>
      <c r="V28892" s="5"/>
    </row>
    <row r="28893">
      <c r="N28893" s="1"/>
      <c r="V28893" s="5"/>
    </row>
    <row r="28894">
      <c r="N28894" s="1"/>
      <c r="V28894" s="5"/>
    </row>
    <row r="28895">
      <c r="N28895" s="1"/>
      <c r="V28895" s="5"/>
    </row>
    <row r="28896">
      <c r="N28896" s="1"/>
      <c r="V28896" s="5"/>
    </row>
    <row r="28897">
      <c r="N28897" s="1"/>
      <c r="V28897" s="5"/>
    </row>
    <row r="28898">
      <c r="N28898" s="1"/>
      <c r="V28898" s="5"/>
    </row>
    <row r="28899">
      <c r="N28899" s="1"/>
      <c r="V28899" s="5"/>
    </row>
    <row r="28900">
      <c r="N28900" s="1"/>
      <c r="V28900" s="5"/>
    </row>
    <row r="28901">
      <c r="N28901" s="1"/>
      <c r="V28901" s="5"/>
    </row>
    <row r="28902">
      <c r="N28902" s="1"/>
      <c r="V28902" s="5"/>
    </row>
    <row r="28903">
      <c r="N28903" s="1"/>
      <c r="V28903" s="5"/>
    </row>
    <row r="28904">
      <c r="N28904" s="1"/>
      <c r="V28904" s="5"/>
    </row>
    <row r="28905">
      <c r="N28905" s="1"/>
      <c r="V28905" s="5"/>
    </row>
    <row r="28906">
      <c r="N28906" s="1"/>
      <c r="V28906" s="5"/>
    </row>
    <row r="28907">
      <c r="N28907" s="1"/>
      <c r="V28907" s="5"/>
    </row>
    <row r="28908">
      <c r="N28908" s="1"/>
      <c r="V28908" s="5"/>
    </row>
    <row r="28909">
      <c r="N28909" s="1"/>
      <c r="V28909" s="5"/>
    </row>
    <row r="28910">
      <c r="N28910" s="1"/>
      <c r="V28910" s="5"/>
    </row>
    <row r="28911">
      <c r="N28911" s="1"/>
      <c r="V28911" s="5"/>
    </row>
    <row r="28912">
      <c r="N28912" s="1"/>
      <c r="V28912" s="5"/>
    </row>
    <row r="28913">
      <c r="N28913" s="1"/>
      <c r="V28913" s="5"/>
    </row>
    <row r="28914">
      <c r="N28914" s="1"/>
      <c r="V28914" s="5"/>
    </row>
    <row r="28915">
      <c r="N28915" s="1"/>
      <c r="V28915" s="5"/>
    </row>
    <row r="28916">
      <c r="N28916" s="1"/>
      <c r="V28916" s="5"/>
    </row>
    <row r="28917">
      <c r="N28917" s="1"/>
      <c r="V28917" s="5"/>
    </row>
    <row r="28918">
      <c r="N28918" s="1"/>
      <c r="V28918" s="5"/>
    </row>
    <row r="28919">
      <c r="N28919" s="1"/>
      <c r="V28919" s="5"/>
    </row>
    <row r="28920">
      <c r="N28920" s="1"/>
      <c r="V28920" s="5"/>
    </row>
    <row r="28921">
      <c r="N28921" s="1"/>
      <c r="V28921" s="5"/>
    </row>
    <row r="28922">
      <c r="N28922" s="1"/>
      <c r="V28922" s="5"/>
    </row>
    <row r="28923">
      <c r="N28923" s="1"/>
      <c r="V28923" s="5"/>
    </row>
    <row r="28924">
      <c r="N28924" s="1"/>
      <c r="V28924" s="5"/>
    </row>
    <row r="28925">
      <c r="N28925" s="1"/>
      <c r="V28925" s="5"/>
    </row>
    <row r="28926">
      <c r="N28926" s="1"/>
      <c r="V28926" s="5"/>
    </row>
    <row r="28927">
      <c r="N28927" s="1"/>
      <c r="V28927" s="5"/>
    </row>
    <row r="28928">
      <c r="N28928" s="1"/>
      <c r="V28928" s="5"/>
    </row>
    <row r="28929">
      <c r="N28929" s="1"/>
      <c r="V28929" s="5"/>
    </row>
    <row r="28930">
      <c r="N28930" s="1"/>
      <c r="V28930" s="5"/>
    </row>
    <row r="28931">
      <c r="N28931" s="1"/>
      <c r="V28931" s="5"/>
    </row>
    <row r="28932">
      <c r="N28932" s="1"/>
      <c r="V28932" s="5"/>
    </row>
    <row r="28933">
      <c r="N28933" s="1"/>
      <c r="V28933" s="5"/>
    </row>
    <row r="28934">
      <c r="N28934" s="1"/>
      <c r="V28934" s="5"/>
    </row>
    <row r="28935">
      <c r="N28935" s="1"/>
      <c r="V28935" s="5"/>
    </row>
    <row r="28936">
      <c r="N28936" s="1"/>
      <c r="V28936" s="5"/>
    </row>
    <row r="28937">
      <c r="N28937" s="1"/>
      <c r="V28937" s="5"/>
    </row>
    <row r="28938">
      <c r="N28938" s="1"/>
      <c r="V28938" s="5"/>
    </row>
    <row r="28939">
      <c r="N28939" s="1"/>
      <c r="V28939" s="5"/>
    </row>
    <row r="28940">
      <c r="N28940" s="1"/>
      <c r="V28940" s="5"/>
    </row>
    <row r="28941">
      <c r="N28941" s="1"/>
      <c r="V28941" s="5"/>
    </row>
    <row r="28942">
      <c r="N28942" s="1"/>
      <c r="V28942" s="5"/>
    </row>
    <row r="28943">
      <c r="N28943" s="1"/>
      <c r="V28943" s="5"/>
    </row>
    <row r="28944">
      <c r="N28944" s="1"/>
      <c r="V28944" s="5"/>
    </row>
    <row r="28945">
      <c r="N28945" s="1"/>
      <c r="V28945" s="5"/>
    </row>
    <row r="28946">
      <c r="N28946" s="1"/>
      <c r="V28946" s="5"/>
    </row>
    <row r="28947">
      <c r="N28947" s="1"/>
      <c r="V28947" s="5"/>
    </row>
    <row r="28948">
      <c r="N28948" s="1"/>
      <c r="V28948" s="5"/>
    </row>
    <row r="28949">
      <c r="N28949" s="1"/>
      <c r="V28949" s="5"/>
    </row>
    <row r="28950">
      <c r="N28950" s="1"/>
      <c r="V28950" s="5"/>
    </row>
    <row r="28951">
      <c r="N28951" s="1"/>
      <c r="V28951" s="5"/>
    </row>
    <row r="28952">
      <c r="N28952" s="1"/>
      <c r="V28952" s="5"/>
    </row>
    <row r="28953">
      <c r="N28953" s="1"/>
      <c r="V28953" s="5"/>
    </row>
    <row r="28954">
      <c r="N28954" s="1"/>
      <c r="V28954" s="5"/>
    </row>
    <row r="28955">
      <c r="N28955" s="1"/>
      <c r="V28955" s="5"/>
    </row>
    <row r="28956">
      <c r="N28956" s="1"/>
      <c r="V28956" s="5"/>
    </row>
    <row r="28957">
      <c r="N28957" s="1"/>
      <c r="V28957" s="5"/>
    </row>
    <row r="28958">
      <c r="N28958" s="1"/>
      <c r="V28958" s="5"/>
    </row>
    <row r="28959">
      <c r="N28959" s="1"/>
      <c r="V28959" s="5"/>
    </row>
    <row r="28960">
      <c r="N28960" s="1"/>
      <c r="V28960" s="5"/>
    </row>
    <row r="28961">
      <c r="N28961" s="1"/>
      <c r="V28961" s="5"/>
    </row>
    <row r="28962">
      <c r="N28962" s="1"/>
      <c r="V28962" s="5"/>
    </row>
    <row r="28963">
      <c r="N28963" s="1"/>
      <c r="V28963" s="5"/>
    </row>
    <row r="28964">
      <c r="N28964" s="1"/>
      <c r="V28964" s="5"/>
    </row>
    <row r="28965">
      <c r="N28965" s="1"/>
      <c r="V28965" s="5"/>
    </row>
    <row r="28966">
      <c r="N28966" s="1"/>
      <c r="V28966" s="5"/>
    </row>
    <row r="28967">
      <c r="N28967" s="1"/>
      <c r="V28967" s="5"/>
    </row>
    <row r="28968">
      <c r="N28968" s="1"/>
      <c r="V28968" s="5"/>
    </row>
    <row r="28969">
      <c r="N28969" s="1"/>
      <c r="V28969" s="5"/>
    </row>
    <row r="28970">
      <c r="N28970" s="1"/>
      <c r="V28970" s="5"/>
    </row>
    <row r="28971">
      <c r="N28971" s="1"/>
      <c r="V28971" s="5"/>
    </row>
    <row r="28972">
      <c r="N28972" s="1"/>
      <c r="V28972" s="5"/>
    </row>
    <row r="28973">
      <c r="N28973" s="1"/>
      <c r="V28973" s="5"/>
    </row>
    <row r="28974">
      <c r="N28974" s="1"/>
      <c r="V28974" s="5"/>
    </row>
    <row r="28975">
      <c r="N28975" s="1"/>
      <c r="V28975" s="5"/>
    </row>
    <row r="28976">
      <c r="N28976" s="1"/>
      <c r="V28976" s="5"/>
    </row>
    <row r="28977">
      <c r="N28977" s="1"/>
      <c r="V28977" s="5"/>
    </row>
    <row r="28978">
      <c r="N28978" s="1"/>
      <c r="V28978" s="5"/>
    </row>
    <row r="28979">
      <c r="N28979" s="1"/>
      <c r="V28979" s="5"/>
    </row>
    <row r="28980">
      <c r="N28980" s="1"/>
      <c r="V28980" s="5"/>
    </row>
    <row r="28981">
      <c r="N28981" s="1"/>
      <c r="V28981" s="5"/>
    </row>
    <row r="28982">
      <c r="N28982" s="1"/>
      <c r="V28982" s="5"/>
    </row>
    <row r="28983">
      <c r="N28983" s="1"/>
      <c r="V28983" s="5"/>
    </row>
    <row r="28984">
      <c r="N28984" s="1"/>
      <c r="V28984" s="5"/>
    </row>
    <row r="28985">
      <c r="N28985" s="1"/>
      <c r="V28985" s="5"/>
    </row>
    <row r="28986">
      <c r="N28986" s="1"/>
      <c r="V28986" s="5"/>
    </row>
    <row r="28987">
      <c r="N28987" s="1"/>
      <c r="V28987" s="5"/>
    </row>
    <row r="28988">
      <c r="N28988" s="1"/>
      <c r="V28988" s="5"/>
    </row>
    <row r="28989">
      <c r="N28989" s="1"/>
      <c r="V28989" s="5"/>
    </row>
    <row r="28990">
      <c r="N28990" s="1"/>
      <c r="V28990" s="5"/>
    </row>
    <row r="28991">
      <c r="N28991" s="1"/>
      <c r="V28991" s="5"/>
    </row>
    <row r="28992">
      <c r="N28992" s="1"/>
      <c r="V28992" s="5"/>
    </row>
    <row r="28993">
      <c r="N28993" s="1"/>
      <c r="V28993" s="5"/>
    </row>
    <row r="28994">
      <c r="N28994" s="1"/>
      <c r="V28994" s="5"/>
    </row>
    <row r="28995">
      <c r="N28995" s="1"/>
      <c r="V28995" s="5"/>
    </row>
    <row r="28996">
      <c r="N28996" s="1"/>
      <c r="V28996" s="5"/>
    </row>
    <row r="28997">
      <c r="N28997" s="1"/>
      <c r="V28997" s="5"/>
    </row>
    <row r="28998">
      <c r="N28998" s="1"/>
      <c r="V28998" s="5"/>
    </row>
    <row r="28999">
      <c r="N28999" s="1"/>
      <c r="V28999" s="5"/>
    </row>
    <row r="29000">
      <c r="N29000" s="1"/>
      <c r="V29000" s="5"/>
    </row>
    <row r="29001">
      <c r="N29001" s="1"/>
      <c r="V29001" s="5"/>
    </row>
    <row r="29002">
      <c r="N29002" s="1"/>
      <c r="V29002" s="5"/>
    </row>
    <row r="29003">
      <c r="N29003" s="1"/>
      <c r="V29003" s="5"/>
    </row>
    <row r="29004">
      <c r="N29004" s="1"/>
      <c r="V29004" s="5"/>
    </row>
    <row r="29005">
      <c r="N29005" s="1"/>
      <c r="V29005" s="5"/>
    </row>
    <row r="29006">
      <c r="N29006" s="1"/>
      <c r="V29006" s="5"/>
    </row>
    <row r="29007">
      <c r="N29007" s="1"/>
      <c r="V29007" s="5"/>
    </row>
    <row r="29008">
      <c r="N29008" s="1"/>
      <c r="V29008" s="5"/>
    </row>
    <row r="29009">
      <c r="N29009" s="1"/>
      <c r="V29009" s="5"/>
    </row>
    <row r="29010">
      <c r="N29010" s="1"/>
      <c r="V29010" s="5"/>
    </row>
    <row r="29011">
      <c r="N29011" s="1"/>
      <c r="V29011" s="5"/>
    </row>
    <row r="29012">
      <c r="N29012" s="1"/>
      <c r="V29012" s="5"/>
    </row>
    <row r="29013">
      <c r="N29013" s="1"/>
      <c r="V29013" s="5"/>
    </row>
    <row r="29014">
      <c r="N29014" s="1"/>
      <c r="V29014" s="5"/>
    </row>
    <row r="29015">
      <c r="N29015" s="1"/>
      <c r="V29015" s="5"/>
    </row>
    <row r="29016">
      <c r="N29016" s="1"/>
      <c r="V29016" s="5"/>
    </row>
    <row r="29017">
      <c r="N29017" s="1"/>
      <c r="V29017" s="5"/>
    </row>
    <row r="29018">
      <c r="N29018" s="1"/>
      <c r="V29018" s="5"/>
    </row>
    <row r="29019">
      <c r="N29019" s="1"/>
      <c r="V29019" s="5"/>
    </row>
    <row r="29020">
      <c r="N29020" s="1"/>
      <c r="V29020" s="5"/>
    </row>
    <row r="29021">
      <c r="N29021" s="1"/>
      <c r="V29021" s="5"/>
    </row>
    <row r="29022">
      <c r="N29022" s="1"/>
      <c r="V29022" s="5"/>
    </row>
    <row r="29023">
      <c r="N29023" s="1"/>
      <c r="V29023" s="5"/>
    </row>
    <row r="29024">
      <c r="N29024" s="1"/>
      <c r="V29024" s="5"/>
    </row>
    <row r="29025">
      <c r="N29025" s="1"/>
      <c r="V29025" s="5"/>
    </row>
    <row r="29026">
      <c r="N29026" s="1"/>
      <c r="V29026" s="5"/>
    </row>
    <row r="29027">
      <c r="N29027" s="1"/>
      <c r="V29027" s="5"/>
    </row>
    <row r="29028">
      <c r="N29028" s="1"/>
      <c r="V29028" s="5"/>
    </row>
    <row r="29029">
      <c r="N29029" s="1"/>
      <c r="V29029" s="5"/>
    </row>
    <row r="29030">
      <c r="N29030" s="1"/>
      <c r="V29030" s="5"/>
    </row>
    <row r="29031">
      <c r="N29031" s="1"/>
      <c r="V29031" s="5"/>
    </row>
    <row r="29032">
      <c r="N29032" s="1"/>
      <c r="V29032" s="5"/>
    </row>
    <row r="29033">
      <c r="N29033" s="1"/>
      <c r="V29033" s="5"/>
    </row>
    <row r="29034">
      <c r="N29034" s="1"/>
      <c r="V29034" s="5"/>
    </row>
    <row r="29035">
      <c r="N29035" s="1"/>
      <c r="V29035" s="5"/>
    </row>
    <row r="29036">
      <c r="N29036" s="1"/>
      <c r="V29036" s="5"/>
    </row>
    <row r="29037">
      <c r="N29037" s="1"/>
      <c r="V29037" s="5"/>
    </row>
    <row r="29038">
      <c r="N29038" s="1"/>
      <c r="V29038" s="5"/>
    </row>
    <row r="29039">
      <c r="N29039" s="1"/>
      <c r="V29039" s="5"/>
    </row>
    <row r="29040">
      <c r="N29040" s="1"/>
      <c r="V29040" s="5"/>
    </row>
    <row r="29041">
      <c r="N29041" s="1"/>
      <c r="V29041" s="5"/>
    </row>
    <row r="29042">
      <c r="N29042" s="1"/>
      <c r="V29042" s="5"/>
    </row>
    <row r="29043">
      <c r="N29043" s="1"/>
      <c r="V29043" s="5"/>
    </row>
    <row r="29044">
      <c r="N29044" s="1"/>
      <c r="V29044" s="5"/>
    </row>
    <row r="29045">
      <c r="N29045" s="1"/>
      <c r="V29045" s="5"/>
    </row>
    <row r="29046">
      <c r="N29046" s="1"/>
      <c r="V29046" s="5"/>
    </row>
    <row r="29047">
      <c r="N29047" s="1"/>
      <c r="V29047" s="5"/>
    </row>
    <row r="29048">
      <c r="N29048" s="1"/>
      <c r="V29048" s="5"/>
    </row>
    <row r="29049">
      <c r="N29049" s="1"/>
      <c r="V29049" s="5"/>
    </row>
    <row r="29050">
      <c r="N29050" s="1"/>
      <c r="V29050" s="5"/>
    </row>
    <row r="29051">
      <c r="N29051" s="1"/>
      <c r="V29051" s="5"/>
    </row>
    <row r="29052">
      <c r="N29052" s="1"/>
      <c r="V29052" s="5"/>
    </row>
    <row r="29053">
      <c r="N29053" s="1"/>
      <c r="V29053" s="5"/>
    </row>
    <row r="29054">
      <c r="N29054" s="1"/>
      <c r="V29054" s="5"/>
    </row>
    <row r="29055">
      <c r="N29055" s="1"/>
      <c r="V29055" s="5"/>
    </row>
    <row r="29056">
      <c r="N29056" s="1"/>
      <c r="V29056" s="5"/>
    </row>
    <row r="29057">
      <c r="N29057" s="1"/>
      <c r="V29057" s="5"/>
    </row>
    <row r="29058">
      <c r="N29058" s="1"/>
      <c r="V29058" s="5"/>
    </row>
    <row r="29059">
      <c r="N29059" s="1"/>
      <c r="V29059" s="5"/>
    </row>
    <row r="29060">
      <c r="N29060" s="1"/>
      <c r="V29060" s="5"/>
    </row>
    <row r="29061">
      <c r="N29061" s="1"/>
      <c r="V29061" s="5"/>
    </row>
    <row r="29062">
      <c r="N29062" s="1"/>
      <c r="V29062" s="5"/>
    </row>
    <row r="29063">
      <c r="N29063" s="1"/>
      <c r="V29063" s="5"/>
    </row>
    <row r="29064">
      <c r="N29064" s="1"/>
      <c r="V29064" s="5"/>
    </row>
    <row r="29065">
      <c r="N29065" s="1"/>
      <c r="V29065" s="5"/>
    </row>
    <row r="29066">
      <c r="N29066" s="1"/>
      <c r="V29066" s="5"/>
    </row>
    <row r="29067">
      <c r="N29067" s="1"/>
      <c r="V29067" s="5"/>
    </row>
    <row r="29068">
      <c r="N29068" s="1"/>
      <c r="V29068" s="5"/>
    </row>
    <row r="29069">
      <c r="N29069" s="1"/>
      <c r="V29069" s="5"/>
    </row>
    <row r="29070">
      <c r="N29070" s="1"/>
      <c r="V29070" s="5"/>
    </row>
    <row r="29071">
      <c r="N29071" s="1"/>
      <c r="V29071" s="5"/>
    </row>
    <row r="29072">
      <c r="N29072" s="1"/>
      <c r="V29072" s="5"/>
    </row>
    <row r="29073">
      <c r="N29073" s="1"/>
      <c r="V29073" s="5"/>
    </row>
    <row r="29074">
      <c r="N29074" s="1"/>
      <c r="V29074" s="5"/>
    </row>
    <row r="29075">
      <c r="N29075" s="1"/>
      <c r="V29075" s="5"/>
    </row>
    <row r="29076">
      <c r="N29076" s="1"/>
      <c r="V29076" s="5"/>
    </row>
    <row r="29077">
      <c r="N29077" s="1"/>
      <c r="V29077" s="5"/>
    </row>
    <row r="29078">
      <c r="N29078" s="1"/>
      <c r="V29078" s="5"/>
    </row>
    <row r="29079">
      <c r="N29079" s="1"/>
      <c r="V29079" s="5"/>
    </row>
    <row r="29080">
      <c r="N29080" s="1"/>
      <c r="V29080" s="5"/>
    </row>
    <row r="29081">
      <c r="N29081" s="1"/>
      <c r="V29081" s="5"/>
    </row>
    <row r="29082">
      <c r="N29082" s="1"/>
      <c r="V29082" s="5"/>
    </row>
    <row r="29083">
      <c r="N29083" s="1"/>
      <c r="V29083" s="5"/>
    </row>
    <row r="29084">
      <c r="N29084" s="1"/>
      <c r="V29084" s="5"/>
    </row>
    <row r="29085">
      <c r="N29085" s="1"/>
      <c r="V29085" s="5"/>
    </row>
    <row r="29086">
      <c r="N29086" s="1"/>
      <c r="V29086" s="5"/>
    </row>
    <row r="29087">
      <c r="N29087" s="1"/>
      <c r="V29087" s="5"/>
    </row>
    <row r="29088">
      <c r="N29088" s="1"/>
      <c r="V29088" s="5"/>
    </row>
    <row r="29089">
      <c r="N29089" s="1"/>
      <c r="V29089" s="5"/>
    </row>
    <row r="29090">
      <c r="N29090" s="1"/>
      <c r="V29090" s="5"/>
    </row>
    <row r="29091">
      <c r="N29091" s="1"/>
      <c r="V29091" s="5"/>
    </row>
    <row r="29092">
      <c r="N29092" s="1"/>
      <c r="V29092" s="5"/>
    </row>
    <row r="29093">
      <c r="N29093" s="1"/>
      <c r="V29093" s="5"/>
    </row>
    <row r="29094">
      <c r="N29094" s="1"/>
      <c r="V29094" s="5"/>
    </row>
    <row r="29095">
      <c r="N29095" s="1"/>
      <c r="V29095" s="5"/>
    </row>
    <row r="29096">
      <c r="N29096" s="1"/>
      <c r="V29096" s="5"/>
    </row>
    <row r="29097">
      <c r="N29097" s="1"/>
      <c r="V29097" s="5"/>
    </row>
    <row r="29098">
      <c r="N29098" s="1"/>
      <c r="V29098" s="5"/>
    </row>
    <row r="29099">
      <c r="N29099" s="1"/>
      <c r="V29099" s="5"/>
    </row>
    <row r="29100">
      <c r="N29100" s="1"/>
      <c r="V29100" s="5"/>
    </row>
    <row r="29101">
      <c r="N29101" s="1"/>
      <c r="V29101" s="5"/>
    </row>
    <row r="29102">
      <c r="N29102" s="1"/>
      <c r="V29102" s="5"/>
    </row>
    <row r="29103">
      <c r="N29103" s="1"/>
      <c r="V29103" s="5"/>
    </row>
    <row r="29104">
      <c r="N29104" s="1"/>
      <c r="V29104" s="5"/>
    </row>
    <row r="29105">
      <c r="N29105" s="1"/>
      <c r="V29105" s="5"/>
    </row>
    <row r="29106">
      <c r="N29106" s="1"/>
      <c r="V29106" s="5"/>
    </row>
    <row r="29107">
      <c r="N29107" s="1"/>
      <c r="V29107" s="5"/>
    </row>
    <row r="29108">
      <c r="N29108" s="1"/>
      <c r="V29108" s="5"/>
    </row>
    <row r="29109">
      <c r="N29109" s="1"/>
      <c r="V29109" s="5"/>
    </row>
    <row r="29110">
      <c r="N29110" s="1"/>
      <c r="V29110" s="5"/>
    </row>
    <row r="29111">
      <c r="N29111" s="1"/>
      <c r="V29111" s="5"/>
    </row>
    <row r="29112">
      <c r="N29112" s="1"/>
      <c r="V29112" s="5"/>
    </row>
    <row r="29113">
      <c r="N29113" s="1"/>
      <c r="V29113" s="5"/>
    </row>
    <row r="29114">
      <c r="N29114" s="1"/>
      <c r="V29114" s="5"/>
    </row>
    <row r="29115">
      <c r="N29115" s="1"/>
      <c r="V29115" s="5"/>
    </row>
    <row r="29116">
      <c r="N29116" s="1"/>
      <c r="V29116" s="5"/>
    </row>
    <row r="29117">
      <c r="N29117" s="1"/>
      <c r="V29117" s="5"/>
    </row>
    <row r="29118">
      <c r="N29118" s="1"/>
      <c r="V29118" s="5"/>
    </row>
    <row r="29119">
      <c r="N29119" s="1"/>
      <c r="V29119" s="5"/>
    </row>
    <row r="29120">
      <c r="N29120" s="1"/>
      <c r="V29120" s="5"/>
    </row>
    <row r="29121">
      <c r="N29121" s="1"/>
      <c r="V29121" s="5"/>
    </row>
    <row r="29122">
      <c r="N29122" s="1"/>
      <c r="V29122" s="5"/>
    </row>
    <row r="29123">
      <c r="N29123" s="1"/>
      <c r="V29123" s="5"/>
    </row>
    <row r="29124">
      <c r="N29124" s="1"/>
      <c r="V29124" s="5"/>
    </row>
    <row r="29125">
      <c r="N29125" s="1"/>
      <c r="V29125" s="5"/>
    </row>
    <row r="29126">
      <c r="N29126" s="1"/>
      <c r="V29126" s="5"/>
    </row>
    <row r="29127">
      <c r="N29127" s="1"/>
      <c r="V29127" s="5"/>
    </row>
    <row r="29128">
      <c r="N29128" s="1"/>
      <c r="V29128" s="5"/>
    </row>
    <row r="29129">
      <c r="N29129" s="1"/>
      <c r="V29129" s="5"/>
    </row>
    <row r="29130">
      <c r="N29130" s="1"/>
      <c r="V29130" s="5"/>
    </row>
    <row r="29131">
      <c r="N29131" s="1"/>
      <c r="V29131" s="5"/>
    </row>
    <row r="29132">
      <c r="N29132" s="1"/>
      <c r="V29132" s="5"/>
    </row>
    <row r="29133">
      <c r="N29133" s="1"/>
      <c r="V29133" s="5"/>
    </row>
    <row r="29134">
      <c r="N29134" s="1"/>
      <c r="V29134" s="5"/>
    </row>
    <row r="29135">
      <c r="N29135" s="1"/>
      <c r="V29135" s="5"/>
    </row>
    <row r="29136">
      <c r="N29136" s="1"/>
      <c r="V29136" s="5"/>
    </row>
    <row r="29137">
      <c r="N29137" s="1"/>
      <c r="V29137" s="5"/>
    </row>
    <row r="29138">
      <c r="N29138" s="1"/>
      <c r="V29138" s="5"/>
    </row>
    <row r="29139">
      <c r="N29139" s="1"/>
      <c r="V29139" s="5"/>
    </row>
    <row r="29140">
      <c r="N29140" s="1"/>
      <c r="V29140" s="5"/>
    </row>
    <row r="29141">
      <c r="N29141" s="1"/>
      <c r="V29141" s="5"/>
    </row>
    <row r="29142">
      <c r="N29142" s="1"/>
      <c r="V29142" s="5"/>
    </row>
    <row r="29143">
      <c r="N29143" s="1"/>
      <c r="V29143" s="5"/>
    </row>
    <row r="29144">
      <c r="N29144" s="1"/>
      <c r="V29144" s="5"/>
    </row>
    <row r="29145">
      <c r="N29145" s="1"/>
      <c r="V29145" s="5"/>
    </row>
    <row r="29146">
      <c r="N29146" s="1"/>
      <c r="V29146" s="5"/>
    </row>
    <row r="29147">
      <c r="N29147" s="1"/>
      <c r="V29147" s="5"/>
    </row>
    <row r="29148">
      <c r="N29148" s="1"/>
      <c r="V29148" s="5"/>
    </row>
    <row r="29149">
      <c r="N29149" s="1"/>
      <c r="V29149" s="5"/>
    </row>
    <row r="29150">
      <c r="N29150" s="1"/>
      <c r="V29150" s="5"/>
    </row>
    <row r="29151">
      <c r="N29151" s="1"/>
      <c r="V29151" s="5"/>
    </row>
    <row r="29152">
      <c r="N29152" s="1"/>
      <c r="V29152" s="5"/>
    </row>
    <row r="29153">
      <c r="N29153" s="1"/>
      <c r="V29153" s="5"/>
    </row>
    <row r="29154">
      <c r="N29154" s="1"/>
      <c r="V29154" s="5"/>
    </row>
    <row r="29155">
      <c r="N29155" s="1"/>
      <c r="V29155" s="5"/>
    </row>
    <row r="29156">
      <c r="N29156" s="1"/>
      <c r="V29156" s="5"/>
    </row>
    <row r="29157">
      <c r="N29157" s="1"/>
      <c r="V29157" s="5"/>
    </row>
    <row r="29158">
      <c r="N29158" s="1"/>
      <c r="V29158" s="5"/>
    </row>
    <row r="29159">
      <c r="N29159" s="1"/>
      <c r="V29159" s="5"/>
    </row>
    <row r="29160">
      <c r="N29160" s="1"/>
      <c r="V29160" s="5"/>
    </row>
    <row r="29161">
      <c r="N29161" s="1"/>
      <c r="V29161" s="5"/>
    </row>
    <row r="29162">
      <c r="N29162" s="1"/>
      <c r="V29162" s="5"/>
    </row>
    <row r="29163">
      <c r="N29163" s="1"/>
      <c r="V29163" s="5"/>
    </row>
    <row r="29164">
      <c r="N29164" s="1"/>
      <c r="V29164" s="5"/>
    </row>
    <row r="29165">
      <c r="N29165" s="1"/>
      <c r="V29165" s="5"/>
    </row>
    <row r="29166">
      <c r="N29166" s="1"/>
      <c r="V29166" s="5"/>
    </row>
    <row r="29167">
      <c r="N29167" s="1"/>
      <c r="V29167" s="5"/>
    </row>
    <row r="29168">
      <c r="N29168" s="1"/>
      <c r="V29168" s="5"/>
    </row>
    <row r="29169">
      <c r="N29169" s="1"/>
      <c r="V29169" s="5"/>
    </row>
    <row r="29170">
      <c r="N29170" s="1"/>
      <c r="V29170" s="5"/>
    </row>
    <row r="29171">
      <c r="N29171" s="1"/>
      <c r="V29171" s="5"/>
    </row>
    <row r="29172">
      <c r="N29172" s="1"/>
      <c r="V29172" s="5"/>
    </row>
    <row r="29173">
      <c r="N29173" s="1"/>
      <c r="V29173" s="5"/>
    </row>
    <row r="29174">
      <c r="N29174" s="1"/>
      <c r="V29174" s="5"/>
    </row>
    <row r="29175">
      <c r="N29175" s="1"/>
      <c r="V29175" s="5"/>
    </row>
    <row r="29176">
      <c r="N29176" s="1"/>
      <c r="V29176" s="5"/>
    </row>
    <row r="29177">
      <c r="N29177" s="1"/>
      <c r="V29177" s="5"/>
    </row>
    <row r="29178">
      <c r="N29178" s="1"/>
      <c r="V29178" s="5"/>
    </row>
    <row r="29179">
      <c r="N29179" s="1"/>
      <c r="V29179" s="5"/>
    </row>
    <row r="29180">
      <c r="N29180" s="1"/>
      <c r="V29180" s="5"/>
    </row>
    <row r="29181">
      <c r="N29181" s="1"/>
      <c r="V29181" s="5"/>
    </row>
    <row r="29182">
      <c r="N29182" s="1"/>
      <c r="V29182" s="5"/>
    </row>
    <row r="29183">
      <c r="N29183" s="1"/>
      <c r="V29183" s="5"/>
    </row>
    <row r="29184">
      <c r="N29184" s="1"/>
      <c r="V29184" s="5"/>
    </row>
    <row r="29185">
      <c r="N29185" s="1"/>
      <c r="V29185" s="5"/>
    </row>
    <row r="29186">
      <c r="N29186" s="1"/>
      <c r="V29186" s="5"/>
    </row>
    <row r="29187">
      <c r="N29187" s="1"/>
      <c r="V29187" s="5"/>
    </row>
    <row r="29188">
      <c r="N29188" s="1"/>
      <c r="V29188" s="5"/>
    </row>
    <row r="29189">
      <c r="N29189" s="1"/>
      <c r="V29189" s="5"/>
    </row>
    <row r="29190">
      <c r="N29190" s="1"/>
      <c r="V29190" s="5"/>
    </row>
    <row r="29191">
      <c r="N29191" s="1"/>
      <c r="V29191" s="5"/>
    </row>
    <row r="29192">
      <c r="N29192" s="1"/>
      <c r="V29192" s="5"/>
    </row>
    <row r="29193">
      <c r="N29193" s="1"/>
      <c r="V29193" s="5"/>
    </row>
    <row r="29194">
      <c r="N29194" s="1"/>
      <c r="V29194" s="5"/>
    </row>
    <row r="29195">
      <c r="N29195" s="1"/>
      <c r="V29195" s="5"/>
    </row>
    <row r="29196">
      <c r="N29196" s="1"/>
      <c r="V29196" s="5"/>
    </row>
    <row r="29197">
      <c r="N29197" s="1"/>
      <c r="V29197" s="5"/>
    </row>
    <row r="29198">
      <c r="N29198" s="1"/>
      <c r="V29198" s="5"/>
    </row>
    <row r="29199">
      <c r="N29199" s="1"/>
      <c r="V29199" s="5"/>
    </row>
    <row r="29200">
      <c r="N29200" s="1"/>
      <c r="V29200" s="5"/>
    </row>
    <row r="29201">
      <c r="N29201" s="1"/>
      <c r="V29201" s="5"/>
    </row>
    <row r="29202">
      <c r="N29202" s="1"/>
      <c r="V29202" s="5"/>
    </row>
    <row r="29203">
      <c r="N29203" s="1"/>
      <c r="V29203" s="5"/>
    </row>
    <row r="29204">
      <c r="N29204" s="1"/>
      <c r="V29204" s="5"/>
    </row>
    <row r="29205">
      <c r="N29205" s="1"/>
      <c r="V29205" s="5"/>
    </row>
    <row r="29206">
      <c r="N29206" s="1"/>
      <c r="V29206" s="5"/>
    </row>
    <row r="29207">
      <c r="N29207" s="1"/>
      <c r="V29207" s="5"/>
    </row>
    <row r="29208">
      <c r="N29208" s="1"/>
      <c r="V29208" s="5"/>
    </row>
    <row r="29209">
      <c r="N29209" s="1"/>
      <c r="V29209" s="5"/>
    </row>
    <row r="29210">
      <c r="N29210" s="1"/>
      <c r="V29210" s="5"/>
    </row>
    <row r="29211">
      <c r="N29211" s="1"/>
      <c r="V29211" s="5"/>
    </row>
    <row r="29212">
      <c r="N29212" s="1"/>
      <c r="V29212" s="5"/>
    </row>
    <row r="29213">
      <c r="N29213" s="1"/>
      <c r="V29213" s="5"/>
    </row>
    <row r="29214">
      <c r="N29214" s="1"/>
      <c r="V29214" s="5"/>
    </row>
    <row r="29215">
      <c r="N29215" s="1"/>
      <c r="V29215" s="5"/>
    </row>
    <row r="29216">
      <c r="N29216" s="1"/>
      <c r="V29216" s="5"/>
    </row>
    <row r="29217">
      <c r="N29217" s="1"/>
      <c r="V29217" s="5"/>
    </row>
    <row r="29218">
      <c r="N29218" s="1"/>
      <c r="V29218" s="5"/>
    </row>
    <row r="29219">
      <c r="N29219" s="1"/>
      <c r="V29219" s="5"/>
    </row>
    <row r="29220">
      <c r="N29220" s="1"/>
      <c r="V29220" s="5"/>
    </row>
    <row r="29221">
      <c r="N29221" s="1"/>
      <c r="V29221" s="5"/>
    </row>
    <row r="29222">
      <c r="N29222" s="1"/>
      <c r="V29222" s="5"/>
    </row>
    <row r="29223">
      <c r="N29223" s="1"/>
      <c r="V29223" s="5"/>
    </row>
    <row r="29224">
      <c r="N29224" s="1"/>
      <c r="V29224" s="5"/>
    </row>
    <row r="29225">
      <c r="N29225" s="1"/>
      <c r="V29225" s="5"/>
    </row>
    <row r="29226">
      <c r="N29226" s="1"/>
      <c r="V29226" s="5"/>
    </row>
    <row r="29227">
      <c r="N29227" s="1"/>
      <c r="V29227" s="5"/>
    </row>
    <row r="29228">
      <c r="N29228" s="1"/>
      <c r="V29228" s="5"/>
    </row>
    <row r="29229">
      <c r="N29229" s="1"/>
      <c r="V29229" s="5"/>
    </row>
    <row r="29230">
      <c r="N29230" s="1"/>
      <c r="V29230" s="5"/>
    </row>
    <row r="29231">
      <c r="N29231" s="1"/>
      <c r="V29231" s="5"/>
    </row>
    <row r="29232">
      <c r="N29232" s="1"/>
      <c r="V29232" s="5"/>
    </row>
    <row r="29233">
      <c r="N29233" s="1"/>
      <c r="V29233" s="5"/>
    </row>
    <row r="29234">
      <c r="N29234" s="1"/>
      <c r="V29234" s="5"/>
    </row>
    <row r="29235">
      <c r="N29235" s="1"/>
      <c r="V29235" s="5"/>
    </row>
    <row r="29236">
      <c r="N29236" s="1"/>
      <c r="V29236" s="5"/>
    </row>
    <row r="29237">
      <c r="N29237" s="1"/>
      <c r="V29237" s="5"/>
    </row>
    <row r="29238">
      <c r="N29238" s="1"/>
      <c r="V29238" s="5"/>
    </row>
    <row r="29239">
      <c r="N29239" s="1"/>
      <c r="V29239" s="5"/>
    </row>
    <row r="29240">
      <c r="N29240" s="1"/>
      <c r="V29240" s="5"/>
    </row>
    <row r="29241">
      <c r="N29241" s="1"/>
      <c r="V29241" s="5"/>
    </row>
    <row r="29242">
      <c r="N29242" s="1"/>
      <c r="V29242" s="5"/>
    </row>
    <row r="29243">
      <c r="N29243" s="1"/>
      <c r="V29243" s="5"/>
    </row>
    <row r="29244">
      <c r="N29244" s="1"/>
      <c r="V29244" s="5"/>
    </row>
    <row r="29245">
      <c r="N29245" s="1"/>
      <c r="V29245" s="5"/>
    </row>
    <row r="29246">
      <c r="N29246" s="1"/>
      <c r="V29246" s="5"/>
    </row>
    <row r="29247">
      <c r="N29247" s="1"/>
      <c r="V29247" s="5"/>
    </row>
    <row r="29248">
      <c r="N29248" s="1"/>
      <c r="V29248" s="5"/>
    </row>
    <row r="29249">
      <c r="N29249" s="1"/>
      <c r="V29249" s="5"/>
    </row>
    <row r="29250">
      <c r="N29250" s="1"/>
      <c r="V29250" s="5"/>
    </row>
    <row r="29251">
      <c r="N29251" s="1"/>
      <c r="V29251" s="5"/>
    </row>
    <row r="29252">
      <c r="N29252" s="1"/>
      <c r="V29252" s="5"/>
    </row>
    <row r="29253">
      <c r="N29253" s="1"/>
      <c r="V29253" s="5"/>
    </row>
    <row r="29254">
      <c r="N29254" s="1"/>
      <c r="V29254" s="5"/>
    </row>
    <row r="29255">
      <c r="N29255" s="1"/>
      <c r="V29255" s="5"/>
    </row>
    <row r="29256">
      <c r="N29256" s="1"/>
      <c r="V29256" s="5"/>
    </row>
    <row r="29257">
      <c r="N29257" s="1"/>
      <c r="V29257" s="5"/>
    </row>
    <row r="29258">
      <c r="N29258" s="1"/>
      <c r="V29258" s="5"/>
    </row>
    <row r="29259">
      <c r="N29259" s="1"/>
      <c r="V29259" s="5"/>
    </row>
    <row r="29260">
      <c r="N29260" s="1"/>
      <c r="V29260" s="5"/>
    </row>
    <row r="29261">
      <c r="N29261" s="1"/>
      <c r="V29261" s="5"/>
    </row>
    <row r="29262">
      <c r="N29262" s="1"/>
      <c r="V29262" s="5"/>
    </row>
    <row r="29263">
      <c r="N29263" s="1"/>
      <c r="V29263" s="5"/>
    </row>
    <row r="29264">
      <c r="N29264" s="1"/>
      <c r="V29264" s="5"/>
    </row>
    <row r="29265">
      <c r="N29265" s="1"/>
      <c r="V29265" s="5"/>
    </row>
    <row r="29266">
      <c r="N29266" s="1"/>
      <c r="V29266" s="5"/>
    </row>
    <row r="29267">
      <c r="N29267" s="1"/>
      <c r="V29267" s="5"/>
    </row>
    <row r="29268">
      <c r="N29268" s="1"/>
      <c r="V29268" s="5"/>
    </row>
    <row r="29269">
      <c r="N29269" s="1"/>
      <c r="V29269" s="5"/>
    </row>
    <row r="29270">
      <c r="N29270" s="1"/>
      <c r="V29270" s="5"/>
    </row>
    <row r="29271">
      <c r="N29271" s="1"/>
      <c r="V29271" s="5"/>
    </row>
    <row r="29272">
      <c r="N29272" s="1"/>
      <c r="V29272" s="5"/>
    </row>
    <row r="29273">
      <c r="N29273" s="1"/>
      <c r="V29273" s="5"/>
    </row>
    <row r="29274">
      <c r="N29274" s="1"/>
      <c r="V29274" s="5"/>
    </row>
    <row r="29275">
      <c r="N29275" s="1"/>
      <c r="V29275" s="5"/>
    </row>
    <row r="29276">
      <c r="N29276" s="1"/>
      <c r="V29276" s="5"/>
    </row>
    <row r="29277">
      <c r="N29277" s="1"/>
      <c r="V29277" s="5"/>
    </row>
    <row r="29278">
      <c r="N29278" s="1"/>
      <c r="V29278" s="5"/>
    </row>
    <row r="29279">
      <c r="N29279" s="1"/>
      <c r="V29279" s="5"/>
    </row>
    <row r="29280">
      <c r="N29280" s="1"/>
      <c r="V29280" s="5"/>
    </row>
    <row r="29281">
      <c r="N29281" s="1"/>
      <c r="V29281" s="5"/>
    </row>
    <row r="29282">
      <c r="N29282" s="1"/>
      <c r="V29282" s="5"/>
    </row>
    <row r="29283">
      <c r="N29283" s="1"/>
      <c r="V29283" s="5"/>
    </row>
    <row r="29284">
      <c r="N29284" s="1"/>
      <c r="V29284" s="5"/>
    </row>
    <row r="29285">
      <c r="N29285" s="1"/>
      <c r="V29285" s="5"/>
    </row>
    <row r="29286">
      <c r="N29286" s="1"/>
      <c r="V29286" s="5"/>
    </row>
    <row r="29287">
      <c r="N29287" s="1"/>
      <c r="V29287" s="5"/>
    </row>
    <row r="29288">
      <c r="N29288" s="1"/>
      <c r="V29288" s="5"/>
    </row>
    <row r="29289">
      <c r="N29289" s="1"/>
      <c r="V29289" s="5"/>
    </row>
    <row r="29290">
      <c r="N29290" s="1"/>
      <c r="V29290" s="5"/>
    </row>
    <row r="29291">
      <c r="N29291" s="1"/>
      <c r="V29291" s="5"/>
    </row>
    <row r="29292">
      <c r="N29292" s="1"/>
      <c r="V29292" s="5"/>
    </row>
    <row r="29293">
      <c r="N29293" s="1"/>
      <c r="V29293" s="5"/>
    </row>
    <row r="29294">
      <c r="N29294" s="1"/>
      <c r="V29294" s="5"/>
    </row>
    <row r="29295">
      <c r="N29295" s="1"/>
      <c r="V29295" s="5"/>
    </row>
    <row r="29296">
      <c r="N29296" s="1"/>
      <c r="V29296" s="5"/>
    </row>
    <row r="29297">
      <c r="N29297" s="1"/>
      <c r="V29297" s="5"/>
    </row>
    <row r="29298">
      <c r="N29298" s="1"/>
      <c r="V29298" s="5"/>
    </row>
    <row r="29299">
      <c r="N29299" s="1"/>
      <c r="V29299" s="5"/>
    </row>
    <row r="29300">
      <c r="N29300" s="1"/>
      <c r="V29300" s="5"/>
    </row>
    <row r="29301">
      <c r="N29301" s="1"/>
      <c r="V29301" s="5"/>
    </row>
    <row r="29302">
      <c r="N29302" s="1"/>
      <c r="V29302" s="5"/>
    </row>
    <row r="29303">
      <c r="N29303" s="1"/>
      <c r="V29303" s="5"/>
    </row>
    <row r="29304">
      <c r="N29304" s="1"/>
      <c r="V29304" s="5"/>
    </row>
    <row r="29305">
      <c r="N29305" s="1"/>
      <c r="V29305" s="5"/>
    </row>
    <row r="29306">
      <c r="N29306" s="1"/>
      <c r="V29306" s="5"/>
    </row>
    <row r="29307">
      <c r="N29307" s="1"/>
      <c r="V29307" s="5"/>
    </row>
    <row r="29308">
      <c r="N29308" s="1"/>
      <c r="V29308" s="5"/>
    </row>
    <row r="29309">
      <c r="N29309" s="1"/>
      <c r="V29309" s="5"/>
    </row>
    <row r="29310">
      <c r="N29310" s="1"/>
      <c r="V29310" s="5"/>
    </row>
    <row r="29311">
      <c r="N29311" s="1"/>
      <c r="V29311" s="5"/>
    </row>
    <row r="29312">
      <c r="N29312" s="1"/>
      <c r="V29312" s="5"/>
    </row>
    <row r="29313">
      <c r="N29313" s="1"/>
      <c r="V29313" s="5"/>
    </row>
    <row r="29314">
      <c r="N29314" s="1"/>
      <c r="V29314" s="5"/>
    </row>
    <row r="29315">
      <c r="N29315" s="1"/>
      <c r="V29315" s="5"/>
    </row>
    <row r="29316">
      <c r="N29316" s="1"/>
      <c r="V29316" s="5"/>
    </row>
    <row r="29317">
      <c r="N29317" s="1"/>
      <c r="V29317" s="5"/>
    </row>
    <row r="29318">
      <c r="N29318" s="1"/>
      <c r="V29318" s="5"/>
    </row>
    <row r="29319">
      <c r="N29319" s="1"/>
      <c r="V29319" s="5"/>
    </row>
    <row r="29320">
      <c r="N29320" s="1"/>
      <c r="V29320" s="5"/>
    </row>
    <row r="29321">
      <c r="N29321" s="1"/>
      <c r="V29321" s="5"/>
    </row>
    <row r="29322">
      <c r="N29322" s="1"/>
      <c r="V29322" s="5"/>
    </row>
    <row r="29323">
      <c r="N29323" s="1"/>
      <c r="V29323" s="5"/>
    </row>
    <row r="29324">
      <c r="N29324" s="1"/>
      <c r="V29324" s="5"/>
    </row>
    <row r="29325">
      <c r="N29325" s="1"/>
      <c r="V29325" s="5"/>
    </row>
    <row r="29326">
      <c r="N29326" s="1"/>
      <c r="V29326" s="5"/>
    </row>
    <row r="29327">
      <c r="N29327" s="1"/>
      <c r="V29327" s="5"/>
    </row>
    <row r="29328">
      <c r="N29328" s="1"/>
      <c r="V29328" s="5"/>
    </row>
    <row r="29329">
      <c r="N29329" s="1"/>
      <c r="V29329" s="5"/>
    </row>
    <row r="29330">
      <c r="N29330" s="1"/>
      <c r="V29330" s="5"/>
    </row>
    <row r="29331">
      <c r="N29331" s="1"/>
      <c r="V29331" s="5"/>
    </row>
    <row r="29332">
      <c r="N29332" s="1"/>
      <c r="V29332" s="5"/>
    </row>
    <row r="29333">
      <c r="N29333" s="1"/>
      <c r="V29333" s="5"/>
    </row>
    <row r="29334">
      <c r="N29334" s="1"/>
      <c r="V29334" s="5"/>
    </row>
    <row r="29335">
      <c r="N29335" s="1"/>
      <c r="V29335" s="5"/>
    </row>
    <row r="29336">
      <c r="N29336" s="1"/>
      <c r="V29336" s="5"/>
    </row>
    <row r="29337">
      <c r="N29337" s="1"/>
      <c r="V29337" s="5"/>
    </row>
    <row r="29338">
      <c r="N29338" s="1"/>
      <c r="V29338" s="5"/>
    </row>
    <row r="29339">
      <c r="N29339" s="1"/>
      <c r="V29339" s="5"/>
    </row>
    <row r="29340">
      <c r="N29340" s="1"/>
      <c r="V29340" s="5"/>
    </row>
    <row r="29341">
      <c r="N29341" s="1"/>
      <c r="V29341" s="5"/>
    </row>
    <row r="29342">
      <c r="N29342" s="1"/>
      <c r="V29342" s="5"/>
    </row>
    <row r="29343">
      <c r="N29343" s="1"/>
      <c r="V29343" s="5"/>
    </row>
    <row r="29344">
      <c r="N29344" s="1"/>
      <c r="V29344" s="5"/>
    </row>
    <row r="29345">
      <c r="N29345" s="1"/>
      <c r="V29345" s="5"/>
    </row>
    <row r="29346">
      <c r="N29346" s="1"/>
      <c r="V29346" s="5"/>
    </row>
    <row r="29347">
      <c r="N29347" s="1"/>
      <c r="V29347" s="5"/>
    </row>
    <row r="29348">
      <c r="N29348" s="1"/>
      <c r="V29348" s="5"/>
    </row>
    <row r="29349">
      <c r="N29349" s="1"/>
      <c r="V29349" s="5"/>
    </row>
    <row r="29350">
      <c r="N29350" s="1"/>
      <c r="V29350" s="5"/>
    </row>
    <row r="29351">
      <c r="N29351" s="1"/>
      <c r="V29351" s="5"/>
    </row>
    <row r="29352">
      <c r="N29352" s="1"/>
      <c r="V29352" s="5"/>
    </row>
    <row r="29353">
      <c r="N29353" s="1"/>
      <c r="V29353" s="5"/>
    </row>
    <row r="29354">
      <c r="N29354" s="1"/>
      <c r="V29354" s="5"/>
    </row>
    <row r="29355">
      <c r="N29355" s="1"/>
      <c r="V29355" s="5"/>
    </row>
    <row r="29356">
      <c r="N29356" s="1"/>
      <c r="V29356" s="5"/>
    </row>
    <row r="29357">
      <c r="N29357" s="1"/>
      <c r="V29357" s="5"/>
    </row>
    <row r="29358">
      <c r="N29358" s="1"/>
      <c r="V29358" s="5"/>
    </row>
    <row r="29359">
      <c r="N29359" s="1"/>
      <c r="V29359" s="5"/>
    </row>
    <row r="29360">
      <c r="N29360" s="1"/>
      <c r="V29360" s="5"/>
    </row>
    <row r="29361">
      <c r="N29361" s="1"/>
      <c r="V29361" s="5"/>
    </row>
    <row r="29362">
      <c r="N29362" s="1"/>
      <c r="V29362" s="5"/>
    </row>
    <row r="29363">
      <c r="N29363" s="1"/>
      <c r="V29363" s="5"/>
    </row>
    <row r="29364">
      <c r="N29364" s="1"/>
      <c r="V29364" s="5"/>
    </row>
    <row r="29365">
      <c r="N29365" s="1"/>
      <c r="V29365" s="5"/>
    </row>
    <row r="29366">
      <c r="N29366" s="1"/>
      <c r="V29366" s="5"/>
    </row>
    <row r="29367">
      <c r="N29367" s="1"/>
      <c r="V29367" s="5"/>
    </row>
    <row r="29368">
      <c r="N29368" s="1"/>
      <c r="V29368" s="5"/>
    </row>
    <row r="29369">
      <c r="N29369" s="1"/>
      <c r="V29369" s="5"/>
    </row>
    <row r="29370">
      <c r="N29370" s="1"/>
      <c r="V29370" s="5"/>
    </row>
    <row r="29371">
      <c r="N29371" s="1"/>
      <c r="V29371" s="5"/>
    </row>
    <row r="29372">
      <c r="N29372" s="1"/>
      <c r="V29372" s="5"/>
    </row>
    <row r="29373">
      <c r="N29373" s="1"/>
      <c r="V29373" s="5"/>
    </row>
    <row r="29374">
      <c r="N29374" s="1"/>
      <c r="V29374" s="5"/>
    </row>
    <row r="29375">
      <c r="N29375" s="1"/>
      <c r="V29375" s="5"/>
    </row>
    <row r="29376">
      <c r="N29376" s="1"/>
      <c r="V29376" s="5"/>
    </row>
    <row r="29377">
      <c r="N29377" s="1"/>
      <c r="V29377" s="5"/>
    </row>
    <row r="29378">
      <c r="N29378" s="1"/>
      <c r="V29378" s="5"/>
    </row>
    <row r="29379">
      <c r="N29379" s="1"/>
      <c r="V29379" s="5"/>
    </row>
    <row r="29380">
      <c r="N29380" s="1"/>
      <c r="V29380" s="5"/>
    </row>
    <row r="29381">
      <c r="N29381" s="1"/>
      <c r="V29381" s="5"/>
    </row>
    <row r="29382">
      <c r="N29382" s="1"/>
      <c r="V29382" s="5"/>
    </row>
    <row r="29383">
      <c r="N29383" s="1"/>
      <c r="V29383" s="5"/>
    </row>
    <row r="29384">
      <c r="N29384" s="1"/>
      <c r="V29384" s="5"/>
    </row>
    <row r="29385">
      <c r="N29385" s="1"/>
      <c r="V29385" s="5"/>
    </row>
    <row r="29386">
      <c r="N29386" s="1"/>
      <c r="V29386" s="5"/>
    </row>
    <row r="29387">
      <c r="N29387" s="1"/>
      <c r="V29387" s="5"/>
    </row>
    <row r="29388">
      <c r="N29388" s="1"/>
      <c r="V29388" s="5"/>
    </row>
    <row r="29389">
      <c r="N29389" s="1"/>
      <c r="V29389" s="5"/>
    </row>
    <row r="29390">
      <c r="N29390" s="1"/>
      <c r="V29390" s="5"/>
    </row>
    <row r="29391">
      <c r="N29391" s="1"/>
      <c r="V29391" s="5"/>
    </row>
    <row r="29392">
      <c r="N29392" s="1"/>
      <c r="V29392" s="5"/>
    </row>
    <row r="29393">
      <c r="N29393" s="1"/>
      <c r="V29393" s="5"/>
    </row>
    <row r="29394">
      <c r="N29394" s="1"/>
      <c r="V29394" s="5"/>
    </row>
    <row r="29395">
      <c r="N29395" s="1"/>
      <c r="V29395" s="5"/>
    </row>
    <row r="29396">
      <c r="N29396" s="1"/>
      <c r="V29396" s="5"/>
    </row>
    <row r="29397">
      <c r="N29397" s="1"/>
      <c r="V29397" s="5"/>
    </row>
    <row r="29398">
      <c r="N29398" s="1"/>
      <c r="V29398" s="5"/>
    </row>
    <row r="29399">
      <c r="N29399" s="1"/>
      <c r="V29399" s="5"/>
    </row>
    <row r="29400">
      <c r="N29400" s="1"/>
      <c r="V29400" s="5"/>
    </row>
    <row r="29401">
      <c r="N29401" s="1"/>
      <c r="V29401" s="5"/>
    </row>
    <row r="29402">
      <c r="N29402" s="1"/>
      <c r="V29402" s="5"/>
    </row>
    <row r="29403">
      <c r="N29403" s="1"/>
      <c r="V29403" s="5"/>
    </row>
    <row r="29404">
      <c r="N29404" s="1"/>
      <c r="V29404" s="5"/>
    </row>
    <row r="29405">
      <c r="N29405" s="1"/>
      <c r="V29405" s="5"/>
    </row>
    <row r="29406">
      <c r="N29406" s="1"/>
      <c r="V29406" s="5"/>
    </row>
    <row r="29407">
      <c r="N29407" s="1"/>
      <c r="V29407" s="5"/>
    </row>
    <row r="29408">
      <c r="N29408" s="1"/>
      <c r="V29408" s="5"/>
    </row>
    <row r="29409">
      <c r="N29409" s="1"/>
      <c r="V29409" s="5"/>
    </row>
    <row r="29410">
      <c r="N29410" s="1"/>
      <c r="V29410" s="5"/>
    </row>
    <row r="29411">
      <c r="N29411" s="1"/>
      <c r="V29411" s="5"/>
    </row>
    <row r="29412">
      <c r="N29412" s="1"/>
      <c r="V29412" s="5"/>
    </row>
    <row r="29413">
      <c r="N29413" s="1"/>
      <c r="V29413" s="5"/>
    </row>
    <row r="29414">
      <c r="N29414" s="1"/>
      <c r="V29414" s="5"/>
    </row>
    <row r="29415">
      <c r="N29415" s="1"/>
      <c r="V29415" s="5"/>
    </row>
    <row r="29416">
      <c r="N29416" s="1"/>
      <c r="V29416" s="5"/>
    </row>
    <row r="29417">
      <c r="N29417" s="1"/>
      <c r="V29417" s="5"/>
    </row>
    <row r="29418">
      <c r="N29418" s="1"/>
      <c r="V29418" s="5"/>
    </row>
    <row r="29419">
      <c r="N29419" s="1"/>
      <c r="V29419" s="5"/>
    </row>
    <row r="29420">
      <c r="N29420" s="1"/>
      <c r="V29420" s="5"/>
    </row>
    <row r="29421">
      <c r="N29421" s="1"/>
      <c r="V29421" s="5"/>
    </row>
    <row r="29422">
      <c r="N29422" s="1"/>
      <c r="V29422" s="5"/>
    </row>
    <row r="29423">
      <c r="N29423" s="1"/>
      <c r="V29423" s="5"/>
    </row>
    <row r="29424">
      <c r="N29424" s="1"/>
      <c r="V29424" s="5"/>
    </row>
    <row r="29425">
      <c r="N29425" s="1"/>
      <c r="V29425" s="5"/>
    </row>
    <row r="29426">
      <c r="N29426" s="1"/>
      <c r="V29426" s="5"/>
    </row>
    <row r="29427">
      <c r="N29427" s="1"/>
      <c r="V29427" s="5"/>
    </row>
    <row r="29428">
      <c r="N29428" s="1"/>
      <c r="V29428" s="5"/>
    </row>
    <row r="29429">
      <c r="N29429" s="1"/>
      <c r="V29429" s="5"/>
    </row>
    <row r="29430">
      <c r="N29430" s="1"/>
      <c r="V29430" s="5"/>
    </row>
    <row r="29431">
      <c r="N29431" s="1"/>
      <c r="V29431" s="5"/>
    </row>
    <row r="29432">
      <c r="N29432" s="1"/>
      <c r="V29432" s="5"/>
    </row>
    <row r="29433">
      <c r="N29433" s="1"/>
      <c r="V29433" s="5"/>
    </row>
    <row r="29434">
      <c r="N29434" s="1"/>
      <c r="V29434" s="5"/>
    </row>
    <row r="29435">
      <c r="N29435" s="1"/>
      <c r="V29435" s="5"/>
    </row>
    <row r="29436">
      <c r="N29436" s="1"/>
      <c r="V29436" s="5"/>
    </row>
    <row r="29437">
      <c r="N29437" s="1"/>
      <c r="V29437" s="5"/>
    </row>
    <row r="29438">
      <c r="N29438" s="1"/>
      <c r="V29438" s="5"/>
    </row>
    <row r="29439">
      <c r="N29439" s="1"/>
      <c r="V29439" s="5"/>
    </row>
    <row r="29440">
      <c r="N29440" s="1"/>
      <c r="V29440" s="5"/>
    </row>
    <row r="29441">
      <c r="N29441" s="1"/>
      <c r="V29441" s="5"/>
    </row>
    <row r="29442">
      <c r="N29442" s="1"/>
      <c r="V29442" s="5"/>
    </row>
    <row r="29443">
      <c r="N29443" s="1"/>
      <c r="V29443" s="5"/>
    </row>
    <row r="29444">
      <c r="N29444" s="1"/>
      <c r="V29444" s="5"/>
    </row>
    <row r="29445">
      <c r="N29445" s="1"/>
      <c r="V29445" s="5"/>
    </row>
    <row r="29446">
      <c r="N29446" s="1"/>
      <c r="V29446" s="5"/>
    </row>
    <row r="29447">
      <c r="N29447" s="1"/>
      <c r="V29447" s="5"/>
    </row>
    <row r="29448">
      <c r="N29448" s="1"/>
      <c r="V29448" s="5"/>
    </row>
    <row r="29449">
      <c r="N29449" s="1"/>
      <c r="V29449" s="5"/>
    </row>
    <row r="29450">
      <c r="N29450" s="1"/>
      <c r="V29450" s="5"/>
    </row>
    <row r="29451">
      <c r="N29451" s="1"/>
      <c r="V29451" s="5"/>
    </row>
    <row r="29452">
      <c r="N29452" s="1"/>
      <c r="V29452" s="5"/>
    </row>
    <row r="29453">
      <c r="N29453" s="1"/>
      <c r="V29453" s="5"/>
    </row>
    <row r="29454">
      <c r="N29454" s="1"/>
      <c r="V29454" s="5"/>
    </row>
    <row r="29455">
      <c r="N29455" s="1"/>
      <c r="V29455" s="5"/>
    </row>
    <row r="29456">
      <c r="N29456" s="1"/>
      <c r="V29456" s="5"/>
    </row>
    <row r="29457">
      <c r="N29457" s="1"/>
      <c r="V29457" s="5"/>
    </row>
    <row r="29458">
      <c r="N29458" s="1"/>
      <c r="V29458" s="5"/>
    </row>
    <row r="29459">
      <c r="N29459" s="1"/>
      <c r="V29459" s="5"/>
    </row>
    <row r="29460">
      <c r="N29460" s="1"/>
      <c r="V29460" s="5"/>
    </row>
    <row r="29461">
      <c r="N29461" s="1"/>
      <c r="V29461" s="5"/>
    </row>
    <row r="29462">
      <c r="N29462" s="1"/>
      <c r="V29462" s="5"/>
    </row>
    <row r="29463">
      <c r="N29463" s="1"/>
      <c r="V29463" s="5"/>
    </row>
    <row r="29464">
      <c r="N29464" s="1"/>
      <c r="V29464" s="5"/>
    </row>
    <row r="29465">
      <c r="N29465" s="1"/>
      <c r="V29465" s="5"/>
    </row>
    <row r="29466">
      <c r="N29466" s="1"/>
      <c r="V29466" s="5"/>
    </row>
    <row r="29467">
      <c r="N29467" s="1"/>
      <c r="V29467" s="5"/>
    </row>
    <row r="29468">
      <c r="N29468" s="1"/>
      <c r="V29468" s="5"/>
    </row>
    <row r="29469">
      <c r="N29469" s="1"/>
      <c r="V29469" s="5"/>
    </row>
    <row r="29470">
      <c r="N29470" s="1"/>
      <c r="V29470" s="5"/>
    </row>
    <row r="29471">
      <c r="N29471" s="1"/>
      <c r="V29471" s="5"/>
    </row>
    <row r="29472">
      <c r="N29472" s="1"/>
      <c r="V29472" s="5"/>
    </row>
    <row r="29473">
      <c r="N29473" s="1"/>
      <c r="V29473" s="5"/>
    </row>
    <row r="29474">
      <c r="N29474" s="1"/>
      <c r="V29474" s="5"/>
    </row>
    <row r="29475">
      <c r="N29475" s="1"/>
      <c r="V29475" s="5"/>
    </row>
    <row r="29476">
      <c r="N29476" s="1"/>
      <c r="V29476" s="5"/>
    </row>
    <row r="29477">
      <c r="N29477" s="1"/>
      <c r="V29477" s="5"/>
    </row>
    <row r="29478">
      <c r="N29478" s="1"/>
      <c r="V29478" s="5"/>
    </row>
    <row r="29479">
      <c r="N29479" s="1"/>
      <c r="V29479" s="5"/>
    </row>
    <row r="29480">
      <c r="N29480" s="1"/>
      <c r="V29480" s="5"/>
    </row>
    <row r="29481">
      <c r="N29481" s="1"/>
      <c r="V29481" s="5"/>
    </row>
    <row r="29482">
      <c r="N29482" s="1"/>
      <c r="V29482" s="5"/>
    </row>
    <row r="29483">
      <c r="N29483" s="1"/>
      <c r="V29483" s="5"/>
    </row>
    <row r="29484">
      <c r="N29484" s="1"/>
      <c r="V29484" s="5"/>
    </row>
    <row r="29485">
      <c r="N29485" s="1"/>
      <c r="V29485" s="5"/>
    </row>
    <row r="29486">
      <c r="N29486" s="1"/>
      <c r="V29486" s="5"/>
    </row>
    <row r="29487">
      <c r="N29487" s="1"/>
      <c r="V29487" s="5"/>
    </row>
    <row r="29488">
      <c r="N29488" s="1"/>
      <c r="V29488" s="5"/>
    </row>
    <row r="29489">
      <c r="N29489" s="1"/>
      <c r="V29489" s="5"/>
    </row>
    <row r="29490">
      <c r="N29490" s="1"/>
      <c r="V29490" s="5"/>
    </row>
    <row r="29491">
      <c r="N29491" s="1"/>
      <c r="V29491" s="5"/>
    </row>
    <row r="29492">
      <c r="N29492" s="1"/>
      <c r="V29492" s="5"/>
    </row>
    <row r="29493">
      <c r="N29493" s="1"/>
      <c r="V29493" s="5"/>
    </row>
    <row r="29494">
      <c r="N29494" s="1"/>
      <c r="V29494" s="5"/>
    </row>
    <row r="29495">
      <c r="N29495" s="1"/>
      <c r="V29495" s="5"/>
    </row>
    <row r="29496">
      <c r="N29496" s="1"/>
      <c r="V29496" s="5"/>
    </row>
    <row r="29497">
      <c r="N29497" s="1"/>
      <c r="V29497" s="5"/>
    </row>
    <row r="29498">
      <c r="N29498" s="1"/>
      <c r="V29498" s="5"/>
    </row>
    <row r="29499">
      <c r="N29499" s="1"/>
      <c r="V29499" s="5"/>
    </row>
    <row r="29500">
      <c r="N29500" s="1"/>
      <c r="V29500" s="5"/>
    </row>
    <row r="29501">
      <c r="N29501" s="1"/>
      <c r="V29501" s="5"/>
    </row>
    <row r="29502">
      <c r="N29502" s="1"/>
      <c r="V29502" s="5"/>
    </row>
    <row r="29503">
      <c r="N29503" s="1"/>
      <c r="V29503" s="5"/>
    </row>
    <row r="29504">
      <c r="N29504" s="1"/>
      <c r="V29504" s="5"/>
    </row>
    <row r="29505">
      <c r="N29505" s="1"/>
      <c r="V29505" s="5"/>
    </row>
    <row r="29506">
      <c r="N29506" s="1"/>
      <c r="V29506" s="5"/>
    </row>
    <row r="29507">
      <c r="N29507" s="1"/>
      <c r="V29507" s="5"/>
    </row>
    <row r="29508">
      <c r="N29508" s="1"/>
      <c r="V29508" s="5"/>
    </row>
    <row r="29509">
      <c r="N29509" s="1"/>
      <c r="V29509" s="5"/>
    </row>
    <row r="29510">
      <c r="N29510" s="1"/>
      <c r="V29510" s="5"/>
    </row>
    <row r="29511">
      <c r="N29511" s="1"/>
      <c r="V29511" s="5"/>
    </row>
    <row r="29512">
      <c r="N29512" s="1"/>
      <c r="V29512" s="5"/>
    </row>
    <row r="29513">
      <c r="N29513" s="1"/>
      <c r="V29513" s="5"/>
    </row>
    <row r="29514">
      <c r="N29514" s="1"/>
      <c r="V29514" s="5"/>
    </row>
    <row r="29515">
      <c r="N29515" s="1"/>
      <c r="V29515" s="5"/>
    </row>
    <row r="29516">
      <c r="N29516" s="1"/>
      <c r="V29516" s="5"/>
    </row>
    <row r="29517">
      <c r="N29517" s="1"/>
      <c r="V29517" s="5"/>
    </row>
    <row r="29518">
      <c r="N29518" s="1"/>
      <c r="V29518" s="5"/>
    </row>
    <row r="29519">
      <c r="N29519" s="1"/>
      <c r="V29519" s="5"/>
    </row>
    <row r="29520">
      <c r="N29520" s="1"/>
      <c r="V29520" s="5"/>
    </row>
    <row r="29521">
      <c r="N29521" s="1"/>
      <c r="V29521" s="5"/>
    </row>
    <row r="29522">
      <c r="N29522" s="1"/>
      <c r="V29522" s="5"/>
    </row>
    <row r="29523">
      <c r="N29523" s="1"/>
      <c r="V29523" s="5"/>
    </row>
    <row r="29524">
      <c r="N29524" s="1"/>
      <c r="V29524" s="5"/>
    </row>
    <row r="29525">
      <c r="N29525" s="1"/>
      <c r="V29525" s="5"/>
    </row>
    <row r="29526">
      <c r="N29526" s="1"/>
      <c r="V29526" s="5"/>
    </row>
    <row r="29527">
      <c r="N29527" s="1"/>
      <c r="V29527" s="5"/>
    </row>
    <row r="29528">
      <c r="N29528" s="1"/>
      <c r="V29528" s="5"/>
    </row>
    <row r="29529">
      <c r="N29529" s="1"/>
      <c r="V29529" s="5"/>
    </row>
    <row r="29530">
      <c r="N29530" s="1"/>
      <c r="V29530" s="5"/>
    </row>
    <row r="29531">
      <c r="N29531" s="1"/>
      <c r="V29531" s="5"/>
    </row>
    <row r="29532">
      <c r="N29532" s="1"/>
      <c r="V29532" s="5"/>
    </row>
    <row r="29533">
      <c r="N29533" s="1"/>
      <c r="V29533" s="5"/>
    </row>
    <row r="29534">
      <c r="N29534" s="1"/>
      <c r="V29534" s="5"/>
    </row>
    <row r="29535">
      <c r="N29535" s="1"/>
      <c r="V29535" s="5"/>
    </row>
    <row r="29536">
      <c r="N29536" s="1"/>
      <c r="V29536" s="5"/>
    </row>
    <row r="29537">
      <c r="N29537" s="1"/>
      <c r="V29537" s="5"/>
    </row>
    <row r="29538">
      <c r="N29538" s="1"/>
      <c r="V29538" s="5"/>
    </row>
    <row r="29539">
      <c r="N29539" s="1"/>
      <c r="V29539" s="5"/>
    </row>
    <row r="29540">
      <c r="N29540" s="1"/>
      <c r="V29540" s="5"/>
    </row>
    <row r="29541">
      <c r="N29541" s="1"/>
      <c r="V29541" s="5"/>
    </row>
    <row r="29542">
      <c r="N29542" s="1"/>
      <c r="V29542" s="5"/>
    </row>
    <row r="29543">
      <c r="N29543" s="1"/>
      <c r="V29543" s="5"/>
    </row>
    <row r="29544">
      <c r="N29544" s="1"/>
      <c r="V29544" s="5"/>
    </row>
    <row r="29545">
      <c r="N29545" s="1"/>
      <c r="V29545" s="5"/>
    </row>
    <row r="29546">
      <c r="N29546" s="1"/>
      <c r="V29546" s="5"/>
    </row>
    <row r="29547">
      <c r="N29547" s="1"/>
      <c r="V29547" s="5"/>
    </row>
    <row r="29548">
      <c r="N29548" s="1"/>
      <c r="V29548" s="5"/>
    </row>
    <row r="29549">
      <c r="N29549" s="1"/>
      <c r="V29549" s="5"/>
    </row>
    <row r="29550">
      <c r="N29550" s="1"/>
      <c r="V29550" s="5"/>
    </row>
    <row r="29551">
      <c r="N29551" s="1"/>
      <c r="V29551" s="5"/>
    </row>
    <row r="29552">
      <c r="N29552" s="1"/>
      <c r="V29552" s="5"/>
    </row>
    <row r="29553">
      <c r="N29553" s="1"/>
      <c r="V29553" s="5"/>
    </row>
    <row r="29554">
      <c r="N29554" s="1"/>
      <c r="V29554" s="5"/>
    </row>
    <row r="29555">
      <c r="N29555" s="1"/>
      <c r="V29555" s="5"/>
    </row>
    <row r="29556">
      <c r="N29556" s="1"/>
      <c r="V29556" s="5"/>
    </row>
    <row r="29557">
      <c r="N29557" s="1"/>
      <c r="V29557" s="5"/>
    </row>
    <row r="29558">
      <c r="N29558" s="1"/>
      <c r="V29558" s="5"/>
    </row>
    <row r="29559">
      <c r="N29559" s="1"/>
      <c r="V29559" s="5"/>
    </row>
    <row r="29560">
      <c r="N29560" s="1"/>
      <c r="V29560" s="5"/>
    </row>
    <row r="29561">
      <c r="N29561" s="1"/>
      <c r="V29561" s="5"/>
    </row>
    <row r="29562">
      <c r="N29562" s="1"/>
      <c r="V29562" s="5"/>
    </row>
    <row r="29563">
      <c r="N29563" s="1"/>
      <c r="V29563" s="5"/>
    </row>
    <row r="29564">
      <c r="N29564" s="1"/>
      <c r="V29564" s="5"/>
    </row>
    <row r="29565">
      <c r="N29565" s="1"/>
      <c r="V29565" s="5"/>
    </row>
    <row r="29566">
      <c r="N29566" s="1"/>
      <c r="V29566" s="5"/>
    </row>
    <row r="29567">
      <c r="N29567" s="1"/>
      <c r="V29567" s="5"/>
    </row>
    <row r="29568">
      <c r="N29568" s="1"/>
      <c r="V29568" s="5"/>
    </row>
    <row r="29569">
      <c r="N29569" s="1"/>
      <c r="V29569" s="5"/>
    </row>
    <row r="29570">
      <c r="N29570" s="1"/>
      <c r="V29570" s="5"/>
    </row>
    <row r="29571">
      <c r="N29571" s="1"/>
      <c r="V29571" s="5"/>
    </row>
    <row r="29572">
      <c r="N29572" s="1"/>
      <c r="V29572" s="5"/>
    </row>
    <row r="29573">
      <c r="N29573" s="1"/>
      <c r="V29573" s="5"/>
    </row>
    <row r="29574">
      <c r="N29574" s="1"/>
      <c r="V29574" s="5"/>
    </row>
    <row r="29575">
      <c r="N29575" s="1"/>
      <c r="V29575" s="5"/>
    </row>
    <row r="29576">
      <c r="N29576" s="1"/>
      <c r="V29576" s="5"/>
    </row>
    <row r="29577">
      <c r="N29577" s="1"/>
      <c r="V29577" s="5"/>
    </row>
    <row r="29578">
      <c r="N29578" s="1"/>
      <c r="V29578" s="5"/>
    </row>
    <row r="29579">
      <c r="N29579" s="1"/>
      <c r="V29579" s="5"/>
    </row>
    <row r="29580">
      <c r="N29580" s="1"/>
      <c r="V29580" s="5"/>
    </row>
    <row r="29581">
      <c r="N29581" s="1"/>
      <c r="V29581" s="5"/>
    </row>
    <row r="29582">
      <c r="N29582" s="1"/>
      <c r="V29582" s="5"/>
    </row>
    <row r="29583">
      <c r="N29583" s="1"/>
      <c r="V29583" s="5"/>
    </row>
    <row r="29584">
      <c r="N29584" s="1"/>
      <c r="V29584" s="5"/>
    </row>
    <row r="29585">
      <c r="N29585" s="1"/>
      <c r="V29585" s="5"/>
    </row>
    <row r="29586">
      <c r="N29586" s="1"/>
      <c r="V29586" s="5"/>
    </row>
    <row r="29587">
      <c r="N29587" s="1"/>
      <c r="V29587" s="5"/>
    </row>
    <row r="29588">
      <c r="N29588" s="1"/>
      <c r="V29588" s="5"/>
    </row>
    <row r="29589">
      <c r="N29589" s="1"/>
      <c r="V29589" s="5"/>
    </row>
    <row r="29590">
      <c r="N29590" s="1"/>
      <c r="V29590" s="5"/>
    </row>
    <row r="29591">
      <c r="N29591" s="1"/>
      <c r="V29591" s="5"/>
    </row>
    <row r="29592">
      <c r="N29592" s="1"/>
      <c r="V29592" s="5"/>
    </row>
    <row r="29593">
      <c r="N29593" s="1"/>
      <c r="V29593" s="5"/>
    </row>
    <row r="29594">
      <c r="N29594" s="1"/>
      <c r="V29594" s="5"/>
    </row>
    <row r="29595">
      <c r="N29595" s="1"/>
      <c r="V29595" s="5"/>
    </row>
    <row r="29596">
      <c r="N29596" s="1"/>
      <c r="V29596" s="5"/>
    </row>
    <row r="29597">
      <c r="N29597" s="1"/>
      <c r="V29597" s="5"/>
    </row>
    <row r="29598">
      <c r="N29598" s="1"/>
      <c r="V29598" s="5"/>
    </row>
    <row r="29599">
      <c r="N29599" s="1"/>
      <c r="V29599" s="5"/>
    </row>
    <row r="29600">
      <c r="N29600" s="1"/>
      <c r="V29600" s="5"/>
    </row>
    <row r="29601">
      <c r="N29601" s="1"/>
      <c r="V29601" s="5"/>
    </row>
    <row r="29602">
      <c r="N29602" s="1"/>
      <c r="V29602" s="5"/>
    </row>
    <row r="29603">
      <c r="N29603" s="1"/>
      <c r="V29603" s="5"/>
    </row>
    <row r="29604">
      <c r="N29604" s="1"/>
      <c r="V29604" s="5"/>
    </row>
    <row r="29605">
      <c r="N29605" s="1"/>
      <c r="V29605" s="5"/>
    </row>
    <row r="29606">
      <c r="N29606" s="1"/>
      <c r="V29606" s="5"/>
    </row>
    <row r="29607">
      <c r="N29607" s="1"/>
      <c r="V29607" s="5"/>
    </row>
    <row r="29608">
      <c r="N29608" s="1"/>
      <c r="V29608" s="5"/>
    </row>
    <row r="29609">
      <c r="N29609" s="1"/>
      <c r="V29609" s="5"/>
    </row>
    <row r="29610">
      <c r="N29610" s="1"/>
      <c r="V29610" s="5"/>
    </row>
    <row r="29611">
      <c r="N29611" s="1"/>
      <c r="V29611" s="5"/>
    </row>
    <row r="29612">
      <c r="N29612" s="1"/>
      <c r="V29612" s="5"/>
    </row>
    <row r="29613">
      <c r="N29613" s="1"/>
      <c r="V29613" s="5"/>
    </row>
    <row r="29614">
      <c r="N29614" s="1"/>
      <c r="V29614" s="5"/>
    </row>
    <row r="29615">
      <c r="N29615" s="1"/>
      <c r="V29615" s="5"/>
    </row>
    <row r="29616">
      <c r="N29616" s="1"/>
      <c r="V29616" s="5"/>
    </row>
    <row r="29617">
      <c r="N29617" s="1"/>
      <c r="V29617" s="5"/>
    </row>
    <row r="29618">
      <c r="N29618" s="1"/>
      <c r="V29618" s="5"/>
    </row>
    <row r="29619">
      <c r="N29619" s="1"/>
      <c r="V29619" s="5"/>
    </row>
    <row r="29620">
      <c r="N29620" s="1"/>
      <c r="V29620" s="5"/>
    </row>
    <row r="29621">
      <c r="N29621" s="1"/>
      <c r="V29621" s="5"/>
    </row>
    <row r="29622">
      <c r="N29622" s="1"/>
      <c r="V29622" s="5"/>
    </row>
    <row r="29623">
      <c r="N29623" s="1"/>
      <c r="V29623" s="5"/>
    </row>
    <row r="29624">
      <c r="N29624" s="1"/>
      <c r="V29624" s="5"/>
    </row>
    <row r="29625">
      <c r="N29625" s="1"/>
      <c r="V29625" s="5"/>
    </row>
    <row r="29626">
      <c r="N29626" s="1"/>
      <c r="V29626" s="5"/>
    </row>
    <row r="29627">
      <c r="N29627" s="1"/>
      <c r="V29627" s="5"/>
    </row>
    <row r="29628">
      <c r="N29628" s="1"/>
      <c r="V29628" s="5"/>
    </row>
    <row r="29629">
      <c r="N29629" s="1"/>
      <c r="V29629" s="5"/>
    </row>
    <row r="29630">
      <c r="N29630" s="1"/>
      <c r="V29630" s="5"/>
    </row>
    <row r="29631">
      <c r="N29631" s="1"/>
      <c r="V29631" s="5"/>
    </row>
    <row r="29632">
      <c r="N29632" s="1"/>
      <c r="V29632" s="5"/>
    </row>
    <row r="29633">
      <c r="N29633" s="1"/>
      <c r="V29633" s="5"/>
    </row>
    <row r="29634">
      <c r="N29634" s="1"/>
      <c r="V29634" s="5"/>
    </row>
    <row r="29635">
      <c r="N29635" s="1"/>
      <c r="V29635" s="5"/>
    </row>
    <row r="29636">
      <c r="N29636" s="1"/>
      <c r="V29636" s="5"/>
    </row>
    <row r="29637">
      <c r="N29637" s="1"/>
      <c r="V29637" s="5"/>
    </row>
    <row r="29638">
      <c r="N29638" s="1"/>
      <c r="V29638" s="5"/>
    </row>
    <row r="29639">
      <c r="N29639" s="1"/>
      <c r="V29639" s="5"/>
    </row>
    <row r="29640">
      <c r="N29640" s="1"/>
      <c r="V29640" s="5"/>
    </row>
    <row r="29641">
      <c r="N29641" s="1"/>
      <c r="V29641" s="5"/>
    </row>
    <row r="29642">
      <c r="N29642" s="1"/>
      <c r="V29642" s="5"/>
    </row>
    <row r="29643">
      <c r="N29643" s="1"/>
      <c r="V29643" s="5"/>
    </row>
    <row r="29644">
      <c r="N29644" s="1"/>
      <c r="V29644" s="5"/>
    </row>
    <row r="29645">
      <c r="N29645" s="1"/>
      <c r="V29645" s="5"/>
    </row>
    <row r="29646">
      <c r="N29646" s="1"/>
      <c r="V29646" s="5"/>
    </row>
    <row r="29647">
      <c r="N29647" s="1"/>
      <c r="V29647" s="5"/>
    </row>
    <row r="29648">
      <c r="N29648" s="1"/>
      <c r="V29648" s="5"/>
    </row>
    <row r="29649">
      <c r="N29649" s="1"/>
      <c r="V29649" s="5"/>
    </row>
    <row r="29650">
      <c r="N29650" s="1"/>
      <c r="V29650" s="5"/>
    </row>
    <row r="29651">
      <c r="N29651" s="1"/>
      <c r="V29651" s="5"/>
    </row>
    <row r="29652">
      <c r="N29652" s="1"/>
      <c r="V29652" s="5"/>
    </row>
    <row r="29653">
      <c r="N29653" s="1"/>
      <c r="V29653" s="5"/>
    </row>
    <row r="29654">
      <c r="N29654" s="1"/>
      <c r="V29654" s="5"/>
    </row>
    <row r="29655">
      <c r="N29655" s="1"/>
      <c r="V29655" s="5"/>
    </row>
    <row r="29656">
      <c r="N29656" s="1"/>
      <c r="V29656" s="5"/>
    </row>
    <row r="29657">
      <c r="N29657" s="1"/>
      <c r="V29657" s="5"/>
    </row>
    <row r="29658">
      <c r="N29658" s="1"/>
      <c r="V29658" s="5"/>
    </row>
    <row r="29659">
      <c r="N29659" s="1"/>
      <c r="V29659" s="5"/>
    </row>
    <row r="29660">
      <c r="N29660" s="1"/>
      <c r="V29660" s="5"/>
    </row>
    <row r="29661">
      <c r="N29661" s="1"/>
      <c r="V29661" s="5"/>
    </row>
    <row r="29662">
      <c r="N29662" s="1"/>
      <c r="V29662" s="5"/>
    </row>
    <row r="29663">
      <c r="N29663" s="1"/>
      <c r="V29663" s="5"/>
    </row>
    <row r="29664">
      <c r="N29664" s="1"/>
      <c r="V29664" s="5"/>
    </row>
    <row r="29665">
      <c r="N29665" s="1"/>
      <c r="V29665" s="5"/>
    </row>
    <row r="29666">
      <c r="N29666" s="1"/>
      <c r="V29666" s="5"/>
    </row>
    <row r="29667">
      <c r="N29667" s="1"/>
      <c r="V29667" s="5"/>
    </row>
    <row r="29668">
      <c r="N29668" s="1"/>
      <c r="V29668" s="5"/>
    </row>
    <row r="29669">
      <c r="N29669" s="1"/>
      <c r="V29669" s="5"/>
    </row>
    <row r="29670">
      <c r="N29670" s="1"/>
      <c r="V29670" s="5"/>
    </row>
    <row r="29671">
      <c r="N29671" s="1"/>
      <c r="V29671" s="5"/>
    </row>
    <row r="29672">
      <c r="N29672" s="1"/>
      <c r="V29672" s="5"/>
    </row>
    <row r="29673">
      <c r="N29673" s="1"/>
      <c r="V29673" s="5"/>
    </row>
    <row r="29674">
      <c r="N29674" s="1"/>
      <c r="V29674" s="5"/>
    </row>
    <row r="29675">
      <c r="N29675" s="1"/>
      <c r="V29675" s="5"/>
    </row>
    <row r="29676">
      <c r="N29676" s="1"/>
      <c r="V29676" s="5"/>
    </row>
    <row r="29677">
      <c r="N29677" s="1"/>
      <c r="V29677" s="5"/>
    </row>
    <row r="29678">
      <c r="N29678" s="1"/>
      <c r="V29678" s="5"/>
    </row>
    <row r="29679">
      <c r="N29679" s="1"/>
      <c r="V29679" s="5"/>
    </row>
    <row r="29680">
      <c r="N29680" s="1"/>
      <c r="V29680" s="5"/>
    </row>
    <row r="29681">
      <c r="N29681" s="1"/>
      <c r="V29681" s="5"/>
    </row>
    <row r="29682">
      <c r="N29682" s="1"/>
      <c r="V29682" s="5"/>
    </row>
    <row r="29683">
      <c r="N29683" s="1"/>
      <c r="V29683" s="5"/>
    </row>
    <row r="29684">
      <c r="N29684" s="1"/>
      <c r="V29684" s="5"/>
    </row>
    <row r="29685">
      <c r="N29685" s="1"/>
      <c r="V29685" s="5"/>
    </row>
    <row r="29686">
      <c r="N29686" s="1"/>
      <c r="V29686" s="5"/>
    </row>
    <row r="29687">
      <c r="N29687" s="1"/>
      <c r="V29687" s="5"/>
    </row>
    <row r="29688">
      <c r="N29688" s="1"/>
      <c r="V29688" s="5"/>
    </row>
    <row r="29689">
      <c r="N29689" s="1"/>
      <c r="V29689" s="5"/>
    </row>
    <row r="29690">
      <c r="N29690" s="1"/>
      <c r="V29690" s="5"/>
    </row>
    <row r="29691">
      <c r="N29691" s="1"/>
      <c r="V29691" s="5"/>
    </row>
    <row r="29692">
      <c r="N29692" s="1"/>
      <c r="V29692" s="5"/>
    </row>
    <row r="29693">
      <c r="N29693" s="1"/>
      <c r="V29693" s="5"/>
    </row>
    <row r="29694">
      <c r="N29694" s="1"/>
      <c r="V29694" s="5"/>
    </row>
    <row r="29695">
      <c r="N29695" s="1"/>
      <c r="V29695" s="5"/>
    </row>
    <row r="29696">
      <c r="N29696" s="1"/>
      <c r="V29696" s="5"/>
    </row>
    <row r="29697">
      <c r="N29697" s="1"/>
      <c r="V29697" s="5"/>
    </row>
    <row r="29698">
      <c r="N29698" s="1"/>
      <c r="V29698" s="5"/>
    </row>
    <row r="29699">
      <c r="N29699" s="1"/>
      <c r="V29699" s="5"/>
    </row>
    <row r="29700">
      <c r="N29700" s="1"/>
      <c r="V29700" s="5"/>
    </row>
    <row r="29701">
      <c r="N29701" s="1"/>
      <c r="V29701" s="5"/>
    </row>
    <row r="29702">
      <c r="N29702" s="1"/>
      <c r="V29702" s="5"/>
    </row>
    <row r="29703">
      <c r="N29703" s="1"/>
      <c r="V29703" s="5"/>
    </row>
    <row r="29704">
      <c r="N29704" s="1"/>
      <c r="V29704" s="5"/>
    </row>
    <row r="29705">
      <c r="N29705" s="1"/>
      <c r="V29705" s="5"/>
    </row>
    <row r="29706">
      <c r="N29706" s="1"/>
      <c r="V29706" s="5"/>
    </row>
    <row r="29707">
      <c r="N29707" s="1"/>
      <c r="V29707" s="5"/>
    </row>
    <row r="29708">
      <c r="N29708" s="1"/>
      <c r="V29708" s="5"/>
    </row>
    <row r="29709">
      <c r="N29709" s="1"/>
      <c r="V29709" s="5"/>
    </row>
    <row r="29710">
      <c r="N29710" s="1"/>
      <c r="V29710" s="5"/>
    </row>
    <row r="29711">
      <c r="N29711" s="1"/>
      <c r="V29711" s="5"/>
    </row>
    <row r="29712">
      <c r="N29712" s="1"/>
      <c r="V29712" s="5"/>
    </row>
    <row r="29713">
      <c r="N29713" s="1"/>
      <c r="V29713" s="5"/>
    </row>
    <row r="29714">
      <c r="N29714" s="1"/>
      <c r="V29714" s="5"/>
    </row>
    <row r="29715">
      <c r="N29715" s="1"/>
      <c r="V29715" s="5"/>
    </row>
    <row r="29716">
      <c r="N29716" s="1"/>
      <c r="V29716" s="5"/>
    </row>
    <row r="29717">
      <c r="N29717" s="1"/>
      <c r="V29717" s="5"/>
    </row>
    <row r="29718">
      <c r="N29718" s="1"/>
      <c r="V29718" s="5"/>
    </row>
    <row r="29719">
      <c r="N29719" s="1"/>
      <c r="V29719" s="5"/>
    </row>
    <row r="29720">
      <c r="N29720" s="1"/>
      <c r="V29720" s="5"/>
    </row>
    <row r="29721">
      <c r="N29721" s="1"/>
      <c r="V29721" s="5"/>
    </row>
    <row r="29722">
      <c r="N29722" s="1"/>
      <c r="V29722" s="5"/>
    </row>
    <row r="29723">
      <c r="N29723" s="1"/>
      <c r="V29723" s="5"/>
    </row>
    <row r="29724">
      <c r="N29724" s="1"/>
      <c r="V29724" s="5"/>
    </row>
    <row r="29725">
      <c r="N29725" s="1"/>
      <c r="V29725" s="5"/>
    </row>
    <row r="29726">
      <c r="N29726" s="1"/>
      <c r="V29726" s="5"/>
    </row>
    <row r="29727">
      <c r="N29727" s="1"/>
      <c r="V29727" s="5"/>
    </row>
    <row r="29728">
      <c r="N29728" s="1"/>
      <c r="V29728" s="5"/>
    </row>
    <row r="29729">
      <c r="N29729" s="1"/>
      <c r="V29729" s="5"/>
    </row>
    <row r="29730">
      <c r="N29730" s="1"/>
      <c r="V29730" s="5"/>
    </row>
    <row r="29731">
      <c r="N29731" s="1"/>
      <c r="V29731" s="5"/>
    </row>
    <row r="29732">
      <c r="N29732" s="1"/>
      <c r="V29732" s="5"/>
    </row>
    <row r="29733">
      <c r="N29733" s="1"/>
      <c r="V29733" s="5"/>
    </row>
    <row r="29734">
      <c r="N29734" s="1"/>
      <c r="V29734" s="5"/>
    </row>
    <row r="29735">
      <c r="N29735" s="1"/>
      <c r="V29735" s="5"/>
    </row>
    <row r="29736">
      <c r="N29736" s="1"/>
      <c r="V29736" s="5"/>
    </row>
    <row r="29737">
      <c r="N29737" s="1"/>
      <c r="V29737" s="5"/>
    </row>
    <row r="29738">
      <c r="N29738" s="1"/>
      <c r="V29738" s="5"/>
    </row>
    <row r="29739">
      <c r="N29739" s="1"/>
      <c r="V29739" s="5"/>
    </row>
    <row r="29740">
      <c r="N29740" s="1"/>
      <c r="V29740" s="5"/>
    </row>
    <row r="29741">
      <c r="N29741" s="1"/>
      <c r="V29741" s="5"/>
    </row>
    <row r="29742">
      <c r="N29742" s="1"/>
      <c r="V29742" s="5"/>
    </row>
    <row r="29743">
      <c r="N29743" s="1"/>
      <c r="V29743" s="5"/>
    </row>
    <row r="29744">
      <c r="N29744" s="1"/>
      <c r="V29744" s="5"/>
    </row>
    <row r="29745">
      <c r="N29745" s="1"/>
      <c r="V29745" s="5"/>
    </row>
    <row r="29746">
      <c r="N29746" s="1"/>
      <c r="V29746" s="5"/>
    </row>
    <row r="29747">
      <c r="N29747" s="1"/>
      <c r="V29747" s="5"/>
    </row>
    <row r="29748">
      <c r="N29748" s="1"/>
      <c r="V29748" s="5"/>
    </row>
    <row r="29749">
      <c r="N29749" s="1"/>
      <c r="V29749" s="5"/>
    </row>
    <row r="29750">
      <c r="N29750" s="1"/>
      <c r="V29750" s="5"/>
    </row>
    <row r="29751">
      <c r="N29751" s="1"/>
      <c r="V29751" s="5"/>
    </row>
    <row r="29752">
      <c r="N29752" s="1"/>
      <c r="V29752" s="5"/>
    </row>
    <row r="29753">
      <c r="N29753" s="1"/>
      <c r="V29753" s="5"/>
    </row>
    <row r="29754">
      <c r="N29754" s="1"/>
      <c r="V29754" s="5"/>
    </row>
    <row r="29755">
      <c r="N29755" s="1"/>
      <c r="V29755" s="5"/>
    </row>
    <row r="29756">
      <c r="N29756" s="1"/>
      <c r="V29756" s="5"/>
    </row>
    <row r="29757">
      <c r="N29757" s="1"/>
      <c r="V29757" s="5"/>
    </row>
    <row r="29758">
      <c r="N29758" s="1"/>
      <c r="V29758" s="5"/>
    </row>
    <row r="29759">
      <c r="N29759" s="1"/>
      <c r="V29759" s="5"/>
    </row>
    <row r="29760">
      <c r="N29760" s="1"/>
      <c r="V29760" s="5"/>
    </row>
    <row r="29761">
      <c r="N29761" s="1"/>
      <c r="V29761" s="5"/>
    </row>
    <row r="29762">
      <c r="N29762" s="1"/>
      <c r="V29762" s="5"/>
    </row>
    <row r="29763">
      <c r="N29763" s="1"/>
      <c r="V29763" s="5"/>
    </row>
    <row r="29764">
      <c r="N29764" s="1"/>
      <c r="V29764" s="5"/>
    </row>
    <row r="29765">
      <c r="N29765" s="1"/>
      <c r="V29765" s="5"/>
    </row>
    <row r="29766">
      <c r="N29766" s="1"/>
      <c r="V29766" s="5"/>
    </row>
    <row r="29767">
      <c r="N29767" s="1"/>
      <c r="V29767" s="5"/>
    </row>
    <row r="29768">
      <c r="N29768" s="1"/>
      <c r="V29768" s="5"/>
    </row>
    <row r="29769">
      <c r="N29769" s="1"/>
      <c r="V29769" s="5"/>
    </row>
    <row r="29770">
      <c r="N29770" s="1"/>
      <c r="V29770" s="5"/>
    </row>
    <row r="29771">
      <c r="N29771" s="1"/>
      <c r="V29771" s="5"/>
    </row>
    <row r="29772">
      <c r="N29772" s="1"/>
      <c r="V29772" s="5"/>
    </row>
    <row r="29773">
      <c r="N29773" s="1"/>
      <c r="V29773" s="5"/>
    </row>
    <row r="29774">
      <c r="N29774" s="1"/>
      <c r="V29774" s="5"/>
    </row>
    <row r="29775">
      <c r="N29775" s="1"/>
      <c r="V29775" s="5"/>
    </row>
    <row r="29776">
      <c r="N29776" s="1"/>
      <c r="V29776" s="5"/>
    </row>
    <row r="29777">
      <c r="N29777" s="1"/>
      <c r="V29777" s="5"/>
    </row>
    <row r="29778">
      <c r="N29778" s="1"/>
      <c r="V29778" s="5"/>
    </row>
    <row r="29779">
      <c r="N29779" s="1"/>
      <c r="V29779" s="5"/>
    </row>
    <row r="29780">
      <c r="N29780" s="1"/>
      <c r="V29780" s="5"/>
    </row>
    <row r="29781">
      <c r="N29781" s="1"/>
      <c r="V29781" s="5"/>
    </row>
    <row r="29782">
      <c r="N29782" s="1"/>
      <c r="V29782" s="5"/>
    </row>
    <row r="29783">
      <c r="N29783" s="1"/>
      <c r="V29783" s="5"/>
    </row>
    <row r="29784">
      <c r="N29784" s="1"/>
      <c r="V29784" s="5"/>
    </row>
    <row r="29785">
      <c r="N29785" s="1"/>
      <c r="V29785" s="5"/>
    </row>
    <row r="29786">
      <c r="N29786" s="1"/>
      <c r="V29786" s="5"/>
    </row>
    <row r="29787">
      <c r="N29787" s="1"/>
      <c r="V29787" s="5"/>
    </row>
    <row r="29788">
      <c r="N29788" s="1"/>
      <c r="V29788" s="5"/>
    </row>
    <row r="29789">
      <c r="N29789" s="1"/>
      <c r="V29789" s="5"/>
    </row>
    <row r="29790">
      <c r="N29790" s="1"/>
      <c r="V29790" s="5"/>
    </row>
    <row r="29791">
      <c r="N29791" s="1"/>
      <c r="V29791" s="5"/>
    </row>
    <row r="29792">
      <c r="N29792" s="1"/>
      <c r="V29792" s="5"/>
    </row>
    <row r="29793">
      <c r="N29793" s="1"/>
      <c r="V29793" s="5"/>
    </row>
    <row r="29794">
      <c r="N29794" s="1"/>
      <c r="V29794" s="5"/>
    </row>
    <row r="29795">
      <c r="N29795" s="1"/>
      <c r="V29795" s="5"/>
    </row>
    <row r="29796">
      <c r="N29796" s="1"/>
      <c r="V29796" s="5"/>
    </row>
    <row r="29797">
      <c r="N29797" s="1"/>
      <c r="V29797" s="5"/>
    </row>
    <row r="29798">
      <c r="N29798" s="1"/>
      <c r="V29798" s="5"/>
    </row>
    <row r="29799">
      <c r="N29799" s="1"/>
      <c r="V29799" s="5"/>
    </row>
    <row r="29800">
      <c r="N29800" s="1"/>
      <c r="V29800" s="5"/>
    </row>
    <row r="29801">
      <c r="N29801" s="1"/>
      <c r="V29801" s="5"/>
    </row>
    <row r="29802">
      <c r="N29802" s="1"/>
      <c r="V29802" s="5"/>
    </row>
    <row r="29803">
      <c r="N29803" s="1"/>
      <c r="V29803" s="5"/>
    </row>
    <row r="29804">
      <c r="N29804" s="1"/>
      <c r="V29804" s="5"/>
    </row>
    <row r="29805">
      <c r="N29805" s="1"/>
      <c r="V29805" s="5"/>
    </row>
    <row r="29806">
      <c r="N29806" s="1"/>
      <c r="V29806" s="5"/>
    </row>
    <row r="29807">
      <c r="N29807" s="1"/>
      <c r="V29807" s="5"/>
    </row>
    <row r="29808">
      <c r="N29808" s="1"/>
      <c r="V29808" s="5"/>
    </row>
    <row r="29809">
      <c r="N29809" s="1"/>
      <c r="V29809" s="5"/>
    </row>
    <row r="29810">
      <c r="N29810" s="1"/>
      <c r="V29810" s="5"/>
    </row>
    <row r="29811">
      <c r="N29811" s="1"/>
      <c r="V29811" s="5"/>
    </row>
    <row r="29812">
      <c r="N29812" s="1"/>
      <c r="V29812" s="5"/>
    </row>
    <row r="29813">
      <c r="N29813" s="1"/>
      <c r="V29813" s="5"/>
    </row>
    <row r="29814">
      <c r="N29814" s="1"/>
      <c r="V29814" s="5"/>
    </row>
    <row r="29815">
      <c r="N29815" s="1"/>
      <c r="V29815" s="5"/>
    </row>
    <row r="29816">
      <c r="N29816" s="1"/>
      <c r="V29816" s="5"/>
    </row>
    <row r="29817">
      <c r="N29817" s="1"/>
      <c r="V29817" s="5"/>
    </row>
    <row r="29818">
      <c r="N29818" s="1"/>
      <c r="V29818" s="5"/>
    </row>
    <row r="29819">
      <c r="N29819" s="1"/>
      <c r="V29819" s="5"/>
    </row>
    <row r="29820">
      <c r="N29820" s="1"/>
      <c r="V29820" s="5"/>
    </row>
    <row r="29821">
      <c r="N29821" s="1"/>
      <c r="V29821" s="5"/>
    </row>
    <row r="29822">
      <c r="N29822" s="1"/>
      <c r="V29822" s="5"/>
    </row>
    <row r="29823">
      <c r="N29823" s="1"/>
      <c r="V29823" s="5"/>
    </row>
    <row r="29824">
      <c r="N29824" s="1"/>
      <c r="V29824" s="5"/>
    </row>
    <row r="29825">
      <c r="N29825" s="1"/>
      <c r="V29825" s="5"/>
    </row>
    <row r="29826">
      <c r="N29826" s="1"/>
      <c r="V29826" s="5"/>
    </row>
    <row r="29827">
      <c r="N29827" s="1"/>
      <c r="V29827" s="5"/>
    </row>
    <row r="29828">
      <c r="N29828" s="1"/>
      <c r="V29828" s="5"/>
    </row>
    <row r="29829">
      <c r="N29829" s="1"/>
      <c r="V29829" s="5"/>
    </row>
    <row r="29830">
      <c r="N29830" s="1"/>
      <c r="V29830" s="5"/>
    </row>
    <row r="29831">
      <c r="N29831" s="1"/>
      <c r="V29831" s="5"/>
    </row>
    <row r="29832">
      <c r="N29832" s="1"/>
      <c r="V29832" s="5"/>
    </row>
    <row r="29833">
      <c r="N29833" s="1"/>
      <c r="V29833" s="5"/>
    </row>
    <row r="29834">
      <c r="N29834" s="1"/>
      <c r="V29834" s="5"/>
    </row>
    <row r="29835">
      <c r="N29835" s="1"/>
      <c r="V29835" s="5"/>
    </row>
    <row r="29836">
      <c r="N29836" s="1"/>
      <c r="V29836" s="5"/>
    </row>
    <row r="29837">
      <c r="N29837" s="1"/>
      <c r="V29837" s="5"/>
    </row>
    <row r="29838">
      <c r="N29838" s="1"/>
      <c r="V29838" s="5"/>
    </row>
    <row r="29839">
      <c r="N29839" s="1"/>
      <c r="V29839" s="5"/>
    </row>
    <row r="29840">
      <c r="N29840" s="1"/>
      <c r="V29840" s="5"/>
    </row>
    <row r="29841">
      <c r="N29841" s="1"/>
      <c r="V29841" s="5"/>
    </row>
    <row r="29842">
      <c r="N29842" s="1"/>
      <c r="V29842" s="5"/>
    </row>
    <row r="29843">
      <c r="N29843" s="1"/>
      <c r="V29843" s="5"/>
    </row>
    <row r="29844">
      <c r="N29844" s="1"/>
      <c r="V29844" s="5"/>
    </row>
    <row r="29845">
      <c r="N29845" s="1"/>
      <c r="V29845" s="5"/>
    </row>
    <row r="29846">
      <c r="N29846" s="1"/>
      <c r="V29846" s="5"/>
    </row>
    <row r="29847">
      <c r="N29847" s="1"/>
      <c r="V29847" s="5"/>
    </row>
    <row r="29848">
      <c r="N29848" s="1"/>
      <c r="V29848" s="5"/>
    </row>
    <row r="29849">
      <c r="N29849" s="1"/>
      <c r="V29849" s="5"/>
    </row>
    <row r="29850">
      <c r="N29850" s="1"/>
      <c r="V29850" s="5"/>
    </row>
    <row r="29851">
      <c r="N29851" s="1"/>
      <c r="V29851" s="5"/>
    </row>
    <row r="29852">
      <c r="N29852" s="1"/>
      <c r="V29852" s="5"/>
    </row>
    <row r="29853">
      <c r="N29853" s="1"/>
      <c r="V29853" s="5"/>
    </row>
    <row r="29854">
      <c r="N29854" s="1"/>
      <c r="V29854" s="5"/>
    </row>
    <row r="29855">
      <c r="N29855" s="1"/>
      <c r="V29855" s="5"/>
    </row>
    <row r="29856">
      <c r="N29856" s="1"/>
      <c r="V29856" s="5"/>
    </row>
    <row r="29857">
      <c r="N29857" s="1"/>
      <c r="V29857" s="5"/>
    </row>
    <row r="29858">
      <c r="N29858" s="1"/>
      <c r="V29858" s="5"/>
    </row>
    <row r="29859">
      <c r="N29859" s="1"/>
      <c r="V29859" s="5"/>
    </row>
    <row r="29860">
      <c r="N29860" s="1"/>
      <c r="V29860" s="5"/>
    </row>
    <row r="29861">
      <c r="N29861" s="1"/>
      <c r="V29861" s="5"/>
    </row>
    <row r="29862">
      <c r="N29862" s="1"/>
      <c r="V29862" s="5"/>
    </row>
    <row r="29863">
      <c r="N29863" s="1"/>
      <c r="V29863" s="5"/>
    </row>
    <row r="29864">
      <c r="N29864" s="1"/>
      <c r="V29864" s="5"/>
    </row>
    <row r="29865">
      <c r="N29865" s="1"/>
      <c r="V29865" s="5"/>
    </row>
    <row r="29866">
      <c r="N29866" s="1"/>
      <c r="V29866" s="5"/>
    </row>
    <row r="29867">
      <c r="N29867" s="1"/>
      <c r="V29867" s="5"/>
    </row>
    <row r="29868">
      <c r="N29868" s="1"/>
      <c r="V29868" s="5"/>
    </row>
    <row r="29869">
      <c r="N29869" s="1"/>
      <c r="V29869" s="5"/>
    </row>
    <row r="29870">
      <c r="N29870" s="1"/>
      <c r="V29870" s="5"/>
    </row>
    <row r="29871">
      <c r="N29871" s="1"/>
      <c r="V29871" s="5"/>
    </row>
    <row r="29872">
      <c r="N29872" s="1"/>
      <c r="V29872" s="5"/>
    </row>
    <row r="29873">
      <c r="N29873" s="1"/>
      <c r="V29873" s="5"/>
    </row>
    <row r="29874">
      <c r="N29874" s="1"/>
      <c r="V29874" s="5"/>
    </row>
    <row r="29875">
      <c r="N29875" s="1"/>
      <c r="V29875" s="5"/>
    </row>
    <row r="29876">
      <c r="N29876" s="1"/>
      <c r="V29876" s="5"/>
    </row>
    <row r="29877">
      <c r="N29877" s="1"/>
      <c r="V29877" s="5"/>
    </row>
    <row r="29878">
      <c r="N29878" s="1"/>
      <c r="V29878" s="5"/>
    </row>
    <row r="29879">
      <c r="N29879" s="1"/>
      <c r="V29879" s="5"/>
    </row>
    <row r="29880">
      <c r="N29880" s="1"/>
      <c r="V29880" s="5"/>
    </row>
    <row r="29881">
      <c r="N29881" s="1"/>
      <c r="V29881" s="5"/>
    </row>
    <row r="29882">
      <c r="N29882" s="1"/>
      <c r="V29882" s="5"/>
    </row>
    <row r="29883">
      <c r="N29883" s="1"/>
      <c r="V29883" s="5"/>
    </row>
    <row r="29884">
      <c r="N29884" s="1"/>
      <c r="V29884" s="5"/>
    </row>
    <row r="29885">
      <c r="N29885" s="1"/>
      <c r="V29885" s="5"/>
    </row>
    <row r="29886">
      <c r="N29886" s="1"/>
      <c r="V29886" s="5"/>
    </row>
    <row r="29887">
      <c r="N29887" s="1"/>
      <c r="V29887" s="5"/>
    </row>
    <row r="29888">
      <c r="N29888" s="1"/>
      <c r="V29888" s="5"/>
    </row>
    <row r="29889">
      <c r="N29889" s="1"/>
      <c r="V29889" s="5"/>
    </row>
    <row r="29890">
      <c r="N29890" s="1"/>
      <c r="V29890" s="5"/>
    </row>
    <row r="29891">
      <c r="N29891" s="1"/>
      <c r="V29891" s="5"/>
    </row>
    <row r="29892">
      <c r="N29892" s="1"/>
      <c r="V29892" s="5"/>
    </row>
    <row r="29893">
      <c r="N29893" s="1"/>
      <c r="V29893" s="5"/>
    </row>
    <row r="29894">
      <c r="N29894" s="1"/>
      <c r="V29894" s="5"/>
    </row>
    <row r="29895">
      <c r="N29895" s="1"/>
      <c r="V29895" s="5"/>
    </row>
    <row r="29896">
      <c r="N29896" s="1"/>
      <c r="V29896" s="5"/>
    </row>
    <row r="29897">
      <c r="N29897" s="1"/>
      <c r="V29897" s="5"/>
    </row>
    <row r="29898">
      <c r="N29898" s="1"/>
      <c r="V29898" s="5"/>
    </row>
    <row r="29899">
      <c r="N29899" s="1"/>
      <c r="V29899" s="5"/>
    </row>
    <row r="29900">
      <c r="N29900" s="1"/>
      <c r="V29900" s="5"/>
    </row>
    <row r="29901">
      <c r="N29901" s="1"/>
      <c r="V29901" s="5"/>
    </row>
    <row r="29902">
      <c r="N29902" s="1"/>
      <c r="V29902" s="5"/>
    </row>
    <row r="29903">
      <c r="N29903" s="1"/>
      <c r="V29903" s="5"/>
    </row>
    <row r="29904">
      <c r="N29904" s="1"/>
      <c r="V29904" s="5"/>
    </row>
    <row r="29905">
      <c r="N29905" s="1"/>
      <c r="V29905" s="5"/>
    </row>
    <row r="29906">
      <c r="N29906" s="1"/>
      <c r="V29906" s="5"/>
    </row>
    <row r="29907">
      <c r="N29907" s="1"/>
      <c r="V29907" s="5"/>
    </row>
    <row r="29908">
      <c r="N29908" s="1"/>
      <c r="V29908" s="5"/>
    </row>
    <row r="29909">
      <c r="N29909" s="1"/>
      <c r="V29909" s="5"/>
    </row>
    <row r="29910">
      <c r="N29910" s="1"/>
      <c r="V29910" s="5"/>
    </row>
    <row r="29911">
      <c r="N29911" s="1"/>
      <c r="V29911" s="5"/>
    </row>
    <row r="29912">
      <c r="N29912" s="1"/>
      <c r="V29912" s="5"/>
    </row>
    <row r="29913">
      <c r="N29913" s="1"/>
      <c r="V29913" s="5"/>
    </row>
    <row r="29914">
      <c r="N29914" s="1"/>
      <c r="V29914" s="5"/>
    </row>
    <row r="29915">
      <c r="N29915" s="1"/>
      <c r="V29915" s="5"/>
    </row>
    <row r="29916">
      <c r="N29916" s="1"/>
      <c r="V29916" s="5"/>
    </row>
    <row r="29917">
      <c r="N29917" s="1"/>
      <c r="V29917" s="5"/>
    </row>
    <row r="29918">
      <c r="N29918" s="1"/>
      <c r="V29918" s="5"/>
    </row>
    <row r="29919">
      <c r="N29919" s="1"/>
      <c r="V29919" s="5"/>
    </row>
    <row r="29920">
      <c r="N29920" s="1"/>
      <c r="V29920" s="5"/>
    </row>
    <row r="29921">
      <c r="N29921" s="1"/>
      <c r="V29921" s="5"/>
    </row>
    <row r="29922">
      <c r="N29922" s="1"/>
      <c r="V29922" s="5"/>
    </row>
    <row r="29923">
      <c r="N29923" s="1"/>
      <c r="V29923" s="5"/>
    </row>
    <row r="29924">
      <c r="N29924" s="1"/>
      <c r="V29924" s="5"/>
    </row>
    <row r="29925">
      <c r="N29925" s="1"/>
      <c r="V29925" s="5"/>
    </row>
    <row r="29926">
      <c r="N29926" s="1"/>
      <c r="V29926" s="5"/>
    </row>
    <row r="29927">
      <c r="N29927" s="1"/>
      <c r="V29927" s="5"/>
    </row>
    <row r="29928">
      <c r="N29928" s="1"/>
      <c r="V29928" s="5"/>
    </row>
    <row r="29929">
      <c r="N29929" s="1"/>
      <c r="V29929" s="5"/>
    </row>
    <row r="29930">
      <c r="N29930" s="1"/>
      <c r="V29930" s="5"/>
    </row>
    <row r="29931">
      <c r="N29931" s="1"/>
      <c r="V29931" s="5"/>
    </row>
    <row r="29932">
      <c r="N29932" s="1"/>
      <c r="V29932" s="5"/>
    </row>
    <row r="29933">
      <c r="N29933" s="1"/>
      <c r="V29933" s="5"/>
    </row>
    <row r="29934">
      <c r="N29934" s="1"/>
      <c r="V29934" s="5"/>
    </row>
    <row r="29935">
      <c r="N29935" s="1"/>
      <c r="V29935" s="5"/>
    </row>
    <row r="29936">
      <c r="N29936" s="1"/>
      <c r="V29936" s="5"/>
    </row>
    <row r="29937">
      <c r="N29937" s="1"/>
      <c r="V29937" s="5"/>
    </row>
    <row r="29938">
      <c r="N29938" s="1"/>
      <c r="V29938" s="5"/>
    </row>
    <row r="29939">
      <c r="N29939" s="1"/>
      <c r="V29939" s="5"/>
    </row>
    <row r="29940">
      <c r="N29940" s="1"/>
      <c r="V29940" s="5"/>
    </row>
    <row r="29941">
      <c r="N29941" s="1"/>
      <c r="V29941" s="5"/>
    </row>
    <row r="29942">
      <c r="N29942" s="1"/>
      <c r="V29942" s="5"/>
    </row>
    <row r="29943">
      <c r="N29943" s="1"/>
      <c r="V29943" s="5"/>
    </row>
    <row r="29944">
      <c r="N29944" s="1"/>
      <c r="V29944" s="5"/>
    </row>
    <row r="29945">
      <c r="N29945" s="1"/>
      <c r="V29945" s="5"/>
    </row>
    <row r="29946">
      <c r="N29946" s="1"/>
      <c r="V29946" s="5"/>
    </row>
    <row r="29947">
      <c r="N29947" s="1"/>
      <c r="V29947" s="5"/>
    </row>
    <row r="29948">
      <c r="N29948" s="1"/>
      <c r="V29948" s="5"/>
    </row>
    <row r="29949">
      <c r="N29949" s="1"/>
      <c r="V29949" s="5"/>
    </row>
    <row r="29950">
      <c r="N29950" s="1"/>
      <c r="V29950" s="5"/>
    </row>
    <row r="29951">
      <c r="N29951" s="1"/>
      <c r="V29951" s="5"/>
    </row>
    <row r="29952">
      <c r="N29952" s="1"/>
      <c r="V29952" s="5"/>
    </row>
    <row r="29953">
      <c r="N29953" s="1"/>
      <c r="V29953" s="5"/>
    </row>
    <row r="29954">
      <c r="N29954" s="1"/>
      <c r="V29954" s="5"/>
    </row>
    <row r="29955">
      <c r="N29955" s="1"/>
      <c r="V29955" s="5"/>
    </row>
    <row r="29956">
      <c r="N29956" s="1"/>
      <c r="V29956" s="5"/>
    </row>
    <row r="29957">
      <c r="N29957" s="1"/>
      <c r="V29957" s="5"/>
    </row>
    <row r="29958">
      <c r="N29958" s="1"/>
      <c r="V29958" s="5"/>
    </row>
    <row r="29959">
      <c r="N29959" s="1"/>
      <c r="V29959" s="5"/>
    </row>
    <row r="29960">
      <c r="N29960" s="1"/>
      <c r="V29960" s="5"/>
    </row>
    <row r="29961">
      <c r="N29961" s="1"/>
      <c r="V29961" s="5"/>
    </row>
    <row r="29962">
      <c r="N29962" s="1"/>
      <c r="V29962" s="5"/>
    </row>
    <row r="29963">
      <c r="N29963" s="1"/>
      <c r="V29963" s="5"/>
    </row>
    <row r="29964">
      <c r="N29964" s="1"/>
      <c r="V29964" s="5"/>
    </row>
    <row r="29965">
      <c r="N29965" s="1"/>
      <c r="V29965" s="5"/>
    </row>
    <row r="29966">
      <c r="N29966" s="1"/>
      <c r="V29966" s="5"/>
    </row>
    <row r="29967">
      <c r="N29967" s="1"/>
      <c r="V29967" s="5"/>
    </row>
    <row r="29968">
      <c r="N29968" s="1"/>
      <c r="V29968" s="5"/>
    </row>
    <row r="29969">
      <c r="N29969" s="1"/>
      <c r="V29969" s="5"/>
    </row>
    <row r="29970">
      <c r="N29970" s="1"/>
      <c r="V29970" s="5"/>
    </row>
    <row r="29971">
      <c r="N29971" s="1"/>
      <c r="V29971" s="5"/>
    </row>
    <row r="29972">
      <c r="N29972" s="1"/>
      <c r="V29972" s="5"/>
    </row>
    <row r="29973">
      <c r="N29973" s="1"/>
      <c r="V29973" s="5"/>
    </row>
    <row r="29974">
      <c r="N29974" s="1"/>
      <c r="V29974" s="5"/>
    </row>
    <row r="29975">
      <c r="N29975" s="1"/>
      <c r="V29975" s="5"/>
    </row>
    <row r="29976">
      <c r="N29976" s="1"/>
      <c r="V29976" s="5"/>
    </row>
    <row r="29977">
      <c r="N29977" s="1"/>
      <c r="V29977" s="5"/>
    </row>
    <row r="29978">
      <c r="N29978" s="1"/>
      <c r="V29978" s="5"/>
    </row>
    <row r="29979">
      <c r="N29979" s="1"/>
      <c r="V29979" s="5"/>
    </row>
    <row r="29980">
      <c r="N29980" s="1"/>
      <c r="V29980" s="5"/>
    </row>
    <row r="29981">
      <c r="N29981" s="1"/>
      <c r="V29981" s="5"/>
    </row>
    <row r="29982">
      <c r="N29982" s="1"/>
      <c r="V29982" s="5"/>
    </row>
    <row r="29983">
      <c r="N29983" s="1"/>
      <c r="V29983" s="5"/>
    </row>
    <row r="29984">
      <c r="N29984" s="1"/>
      <c r="V29984" s="5"/>
    </row>
    <row r="29985">
      <c r="N29985" s="1"/>
      <c r="V29985" s="5"/>
    </row>
    <row r="29986">
      <c r="N29986" s="1"/>
      <c r="V29986" s="5"/>
    </row>
    <row r="29987">
      <c r="N29987" s="1"/>
      <c r="V29987" s="5"/>
    </row>
    <row r="29988">
      <c r="N29988" s="1"/>
      <c r="V29988" s="5"/>
    </row>
    <row r="29989">
      <c r="N29989" s="1"/>
      <c r="V29989" s="5"/>
    </row>
    <row r="29990">
      <c r="N29990" s="1"/>
      <c r="V29990" s="5"/>
    </row>
    <row r="29991">
      <c r="N29991" s="1"/>
      <c r="V29991" s="5"/>
    </row>
    <row r="29992">
      <c r="N29992" s="1"/>
      <c r="V29992" s="5"/>
    </row>
    <row r="29993">
      <c r="N29993" s="1"/>
      <c r="V29993" s="5"/>
    </row>
    <row r="29994">
      <c r="N29994" s="1"/>
      <c r="V29994" s="5"/>
    </row>
    <row r="29995">
      <c r="N29995" s="1"/>
      <c r="V29995" s="5"/>
    </row>
    <row r="29996">
      <c r="N29996" s="1"/>
      <c r="V29996" s="5"/>
    </row>
    <row r="29997">
      <c r="N29997" s="1"/>
      <c r="V29997" s="5"/>
    </row>
    <row r="29998">
      <c r="N29998" s="1"/>
      <c r="V29998" s="5"/>
    </row>
    <row r="29999">
      <c r="N29999" s="1"/>
      <c r="V29999" s="5"/>
    </row>
    <row r="30000">
      <c r="N30000" s="1"/>
      <c r="V30000" s="5"/>
    </row>
    <row r="30001">
      <c r="N30001" s="1"/>
      <c r="V30001" s="5"/>
    </row>
    <row r="30002">
      <c r="N30002" s="1"/>
      <c r="V30002" s="5"/>
    </row>
    <row r="30003">
      <c r="N30003" s="1"/>
      <c r="V30003" s="5"/>
    </row>
    <row r="30004">
      <c r="N30004" s="1"/>
      <c r="V30004" s="5"/>
    </row>
    <row r="30005">
      <c r="N30005" s="1"/>
      <c r="V30005" s="5"/>
    </row>
    <row r="30006">
      <c r="N30006" s="1"/>
      <c r="V30006" s="5"/>
    </row>
    <row r="30007">
      <c r="N30007" s="1"/>
      <c r="V30007" s="5"/>
    </row>
    <row r="30008">
      <c r="N30008" s="1"/>
      <c r="V30008" s="5"/>
    </row>
    <row r="30009">
      <c r="N30009" s="1"/>
      <c r="V30009" s="5"/>
    </row>
    <row r="30010">
      <c r="N30010" s="1"/>
      <c r="V30010" s="5"/>
    </row>
    <row r="30011">
      <c r="N30011" s="1"/>
      <c r="V30011" s="5"/>
    </row>
    <row r="30012">
      <c r="N30012" s="1"/>
      <c r="V30012" s="5"/>
    </row>
    <row r="30013">
      <c r="N30013" s="1"/>
      <c r="V30013" s="5"/>
    </row>
    <row r="30014">
      <c r="N30014" s="1"/>
      <c r="V30014" s="5"/>
    </row>
    <row r="30015">
      <c r="N30015" s="1"/>
      <c r="V30015" s="5"/>
    </row>
    <row r="30016">
      <c r="N30016" s="1"/>
      <c r="V30016" s="5"/>
    </row>
    <row r="30017">
      <c r="N30017" s="1"/>
      <c r="V30017" s="5"/>
    </row>
    <row r="30018">
      <c r="N30018" s="1"/>
      <c r="V30018" s="5"/>
    </row>
    <row r="30019">
      <c r="N30019" s="1"/>
      <c r="V30019" s="5"/>
    </row>
    <row r="30020">
      <c r="N30020" s="1"/>
      <c r="V30020" s="5"/>
    </row>
    <row r="30021">
      <c r="N30021" s="1"/>
      <c r="V30021" s="5"/>
    </row>
    <row r="30022">
      <c r="N30022" s="1"/>
      <c r="V30022" s="5"/>
    </row>
    <row r="30023">
      <c r="N30023" s="1"/>
      <c r="V30023" s="5"/>
    </row>
    <row r="30024">
      <c r="N30024" s="1"/>
      <c r="V30024" s="5"/>
    </row>
    <row r="30025">
      <c r="N30025" s="1"/>
      <c r="V30025" s="5"/>
    </row>
    <row r="30026">
      <c r="N30026" s="1"/>
      <c r="V30026" s="5"/>
    </row>
    <row r="30027">
      <c r="N30027" s="1"/>
      <c r="V30027" s="5"/>
    </row>
    <row r="30028">
      <c r="N30028" s="1"/>
      <c r="V30028" s="5"/>
    </row>
    <row r="30029">
      <c r="N30029" s="1"/>
      <c r="V30029" s="5"/>
    </row>
    <row r="30030">
      <c r="N30030" s="1"/>
      <c r="V30030" s="5"/>
    </row>
    <row r="30031">
      <c r="N30031" s="1"/>
      <c r="V30031" s="5"/>
    </row>
    <row r="30032">
      <c r="N30032" s="1"/>
      <c r="V30032" s="5"/>
    </row>
    <row r="30033">
      <c r="N30033" s="1"/>
      <c r="V30033" s="5"/>
    </row>
    <row r="30034">
      <c r="N30034" s="1"/>
      <c r="V30034" s="5"/>
    </row>
    <row r="30035">
      <c r="N30035" s="1"/>
      <c r="V30035" s="5"/>
    </row>
    <row r="30036">
      <c r="N30036" s="1"/>
      <c r="V30036" s="5"/>
    </row>
    <row r="30037">
      <c r="N30037" s="1"/>
      <c r="V30037" s="5"/>
    </row>
    <row r="30038">
      <c r="N30038" s="1"/>
      <c r="V30038" s="5"/>
    </row>
    <row r="30039">
      <c r="N30039" s="1"/>
      <c r="V30039" s="5"/>
    </row>
    <row r="30040">
      <c r="N30040" s="1"/>
      <c r="V30040" s="5"/>
    </row>
    <row r="30041">
      <c r="N30041" s="1"/>
      <c r="V30041" s="5"/>
    </row>
    <row r="30042">
      <c r="N30042" s="1"/>
      <c r="V30042" s="5"/>
    </row>
    <row r="30043">
      <c r="N30043" s="1"/>
      <c r="V30043" s="5"/>
    </row>
    <row r="30044">
      <c r="N30044" s="1"/>
      <c r="V30044" s="5"/>
    </row>
    <row r="30045">
      <c r="N30045" s="1"/>
      <c r="V30045" s="5"/>
    </row>
    <row r="30046">
      <c r="N30046" s="1"/>
      <c r="V30046" s="5"/>
    </row>
    <row r="30047">
      <c r="N30047" s="1"/>
      <c r="V30047" s="5"/>
    </row>
    <row r="30048">
      <c r="N30048" s="1"/>
      <c r="V30048" s="5"/>
    </row>
    <row r="30049">
      <c r="N30049" s="1"/>
      <c r="V30049" s="5"/>
    </row>
    <row r="30050">
      <c r="N30050" s="1"/>
      <c r="V30050" s="5"/>
    </row>
    <row r="30051">
      <c r="N30051" s="1"/>
      <c r="V30051" s="5"/>
    </row>
    <row r="30052">
      <c r="N30052" s="1"/>
      <c r="V30052" s="5"/>
    </row>
    <row r="30053">
      <c r="N30053" s="1"/>
      <c r="V30053" s="5"/>
    </row>
    <row r="30054">
      <c r="N30054" s="1"/>
      <c r="V30054" s="5"/>
    </row>
    <row r="30055">
      <c r="N30055" s="1"/>
      <c r="V30055" s="5"/>
    </row>
    <row r="30056">
      <c r="N30056" s="1"/>
      <c r="V30056" s="5"/>
    </row>
    <row r="30057">
      <c r="N30057" s="1"/>
      <c r="V30057" s="5"/>
    </row>
    <row r="30058">
      <c r="N30058" s="1"/>
      <c r="V30058" s="5"/>
    </row>
    <row r="30059">
      <c r="N30059" s="1"/>
      <c r="V30059" s="5"/>
    </row>
    <row r="30060">
      <c r="N30060" s="1"/>
      <c r="V30060" s="5"/>
    </row>
    <row r="30061">
      <c r="N30061" s="1"/>
      <c r="V30061" s="5"/>
    </row>
    <row r="30062">
      <c r="N30062" s="1"/>
      <c r="V30062" s="5"/>
    </row>
    <row r="30063">
      <c r="N30063" s="1"/>
      <c r="V30063" s="5"/>
    </row>
    <row r="30064">
      <c r="N30064" s="1"/>
      <c r="V30064" s="5"/>
    </row>
    <row r="30065">
      <c r="N30065" s="1"/>
      <c r="V30065" s="5"/>
    </row>
    <row r="30066">
      <c r="N30066" s="1"/>
      <c r="V30066" s="5"/>
    </row>
    <row r="30067">
      <c r="N30067" s="1"/>
      <c r="V30067" s="5"/>
    </row>
    <row r="30068">
      <c r="N30068" s="1"/>
      <c r="V30068" s="5"/>
    </row>
    <row r="30069">
      <c r="N30069" s="1"/>
      <c r="V30069" s="5"/>
    </row>
    <row r="30070">
      <c r="N30070" s="1"/>
      <c r="V30070" s="5"/>
    </row>
    <row r="30071">
      <c r="N30071" s="1"/>
      <c r="V30071" s="5"/>
    </row>
    <row r="30072">
      <c r="N30072" s="1"/>
      <c r="V30072" s="5"/>
    </row>
    <row r="30073">
      <c r="N30073" s="1"/>
      <c r="V30073" s="5"/>
    </row>
    <row r="30074">
      <c r="N30074" s="1"/>
      <c r="V30074" s="5"/>
    </row>
    <row r="30075">
      <c r="N30075" s="1"/>
      <c r="V30075" s="5"/>
    </row>
    <row r="30076">
      <c r="N30076" s="1"/>
      <c r="V30076" s="5"/>
    </row>
    <row r="30077">
      <c r="N30077" s="1"/>
      <c r="V30077" s="5"/>
    </row>
    <row r="30078">
      <c r="N30078" s="1"/>
      <c r="V30078" s="5"/>
    </row>
    <row r="30079">
      <c r="N30079" s="1"/>
      <c r="V30079" s="5"/>
    </row>
    <row r="30080">
      <c r="N30080" s="1"/>
      <c r="V30080" s="5"/>
    </row>
    <row r="30081">
      <c r="N30081" s="1"/>
      <c r="V30081" s="5"/>
    </row>
    <row r="30082">
      <c r="N30082" s="1"/>
      <c r="V30082" s="5"/>
    </row>
    <row r="30083">
      <c r="N30083" s="1"/>
      <c r="V30083" s="5"/>
    </row>
    <row r="30084">
      <c r="N30084" s="1"/>
      <c r="V30084" s="5"/>
    </row>
    <row r="30085">
      <c r="N30085" s="1"/>
      <c r="V30085" s="5"/>
    </row>
    <row r="30086">
      <c r="N30086" s="1"/>
      <c r="V30086" s="5"/>
    </row>
    <row r="30087">
      <c r="N30087" s="1"/>
      <c r="V30087" s="5"/>
    </row>
    <row r="30088">
      <c r="N30088" s="1"/>
      <c r="V30088" s="5"/>
    </row>
    <row r="30089">
      <c r="N30089" s="1"/>
      <c r="V30089" s="5"/>
    </row>
    <row r="30090">
      <c r="N30090" s="1"/>
      <c r="V30090" s="5"/>
    </row>
    <row r="30091">
      <c r="N30091" s="1"/>
      <c r="V30091" s="5"/>
    </row>
    <row r="30092">
      <c r="N30092" s="1"/>
      <c r="V30092" s="5"/>
    </row>
    <row r="30093">
      <c r="N30093" s="1"/>
      <c r="V30093" s="5"/>
    </row>
    <row r="30094">
      <c r="N30094" s="1"/>
      <c r="V30094" s="5"/>
    </row>
    <row r="30095">
      <c r="N30095" s="1"/>
      <c r="V30095" s="5"/>
    </row>
    <row r="30096">
      <c r="N30096" s="1"/>
      <c r="V30096" s="5"/>
    </row>
    <row r="30097">
      <c r="N30097" s="1"/>
      <c r="V30097" s="5"/>
    </row>
    <row r="30098">
      <c r="N30098" s="1"/>
      <c r="V30098" s="5"/>
    </row>
    <row r="30099">
      <c r="N30099" s="1"/>
      <c r="V30099" s="5"/>
    </row>
    <row r="30100">
      <c r="N30100" s="1"/>
      <c r="V30100" s="5"/>
    </row>
    <row r="30101">
      <c r="N30101" s="1"/>
      <c r="V30101" s="5"/>
    </row>
    <row r="30102">
      <c r="N30102" s="1"/>
      <c r="V30102" s="5"/>
    </row>
    <row r="30103">
      <c r="N30103" s="1"/>
      <c r="V30103" s="5"/>
    </row>
    <row r="30104">
      <c r="N30104" s="1"/>
      <c r="V30104" s="5"/>
    </row>
    <row r="30105">
      <c r="N30105" s="1"/>
      <c r="V30105" s="5"/>
    </row>
    <row r="30106">
      <c r="N30106" s="1"/>
      <c r="V30106" s="5"/>
    </row>
    <row r="30107">
      <c r="N30107" s="1"/>
      <c r="V30107" s="5"/>
    </row>
    <row r="30108">
      <c r="N30108" s="1"/>
      <c r="V30108" s="5"/>
    </row>
    <row r="30109">
      <c r="N30109" s="1"/>
      <c r="V30109" s="5"/>
    </row>
    <row r="30110">
      <c r="N30110" s="1"/>
      <c r="V30110" s="5"/>
    </row>
    <row r="30111">
      <c r="N30111" s="1"/>
      <c r="V30111" s="5"/>
    </row>
    <row r="30112">
      <c r="N30112" s="1"/>
      <c r="V30112" s="5"/>
    </row>
    <row r="30113">
      <c r="N30113" s="1"/>
      <c r="V30113" s="5"/>
    </row>
    <row r="30114">
      <c r="N30114" s="1"/>
      <c r="V30114" s="5"/>
    </row>
    <row r="30115">
      <c r="N30115" s="1"/>
      <c r="V30115" s="5"/>
    </row>
    <row r="30116">
      <c r="N30116" s="1"/>
      <c r="V30116" s="5"/>
    </row>
    <row r="30117">
      <c r="N30117" s="1"/>
      <c r="V30117" s="5"/>
    </row>
    <row r="30118">
      <c r="N30118" s="1"/>
      <c r="V30118" s="5"/>
    </row>
    <row r="30119">
      <c r="N30119" s="1"/>
      <c r="V30119" s="5"/>
    </row>
    <row r="30120">
      <c r="N30120" s="1"/>
      <c r="V30120" s="5"/>
    </row>
    <row r="30121">
      <c r="N30121" s="1"/>
      <c r="V30121" s="5"/>
    </row>
    <row r="30122">
      <c r="N30122" s="1"/>
      <c r="V30122" s="5"/>
    </row>
    <row r="30123">
      <c r="N30123" s="1"/>
      <c r="V30123" s="5"/>
    </row>
    <row r="30124">
      <c r="N30124" s="1"/>
      <c r="V30124" s="5"/>
    </row>
    <row r="30125">
      <c r="N30125" s="1"/>
      <c r="V30125" s="5"/>
    </row>
    <row r="30126">
      <c r="N30126" s="1"/>
      <c r="V30126" s="5"/>
    </row>
    <row r="30127">
      <c r="N30127" s="1"/>
      <c r="V30127" s="5"/>
    </row>
    <row r="30128">
      <c r="N30128" s="1"/>
      <c r="V30128" s="5"/>
    </row>
    <row r="30129">
      <c r="N30129" s="1"/>
      <c r="V30129" s="5"/>
    </row>
    <row r="30130">
      <c r="N30130" s="1"/>
      <c r="V30130" s="5"/>
    </row>
    <row r="30131">
      <c r="N30131" s="1"/>
      <c r="V30131" s="5"/>
    </row>
    <row r="30132">
      <c r="N30132" s="1"/>
      <c r="V30132" s="5"/>
    </row>
    <row r="30133">
      <c r="N30133" s="1"/>
      <c r="V30133" s="5"/>
    </row>
    <row r="30134">
      <c r="N30134" s="1"/>
      <c r="V30134" s="5"/>
    </row>
    <row r="30135">
      <c r="N30135" s="1"/>
      <c r="V30135" s="5"/>
    </row>
    <row r="30136">
      <c r="N30136" s="1"/>
      <c r="V30136" s="5"/>
    </row>
    <row r="30137">
      <c r="N30137" s="1"/>
      <c r="V30137" s="5"/>
    </row>
    <row r="30138">
      <c r="N30138" s="1"/>
      <c r="V30138" s="5"/>
    </row>
    <row r="30139">
      <c r="N30139" s="1"/>
      <c r="V30139" s="5"/>
    </row>
    <row r="30140">
      <c r="N30140" s="1"/>
      <c r="V30140" s="5"/>
    </row>
    <row r="30141">
      <c r="N30141" s="1"/>
      <c r="V30141" s="5"/>
    </row>
    <row r="30142">
      <c r="N30142" s="1"/>
      <c r="V30142" s="5"/>
    </row>
    <row r="30143">
      <c r="N30143" s="1"/>
      <c r="V30143" s="5"/>
    </row>
    <row r="30144">
      <c r="N30144" s="1"/>
      <c r="V30144" s="5"/>
    </row>
    <row r="30145">
      <c r="N30145" s="1"/>
      <c r="V30145" s="5"/>
    </row>
    <row r="30146">
      <c r="N30146" s="1"/>
      <c r="V30146" s="5"/>
    </row>
    <row r="30147">
      <c r="N30147" s="1"/>
      <c r="V30147" s="5"/>
    </row>
    <row r="30148">
      <c r="N30148" s="1"/>
      <c r="V30148" s="5"/>
    </row>
    <row r="30149">
      <c r="N30149" s="1"/>
      <c r="V30149" s="5"/>
    </row>
    <row r="30150">
      <c r="N30150" s="1"/>
      <c r="V30150" s="5"/>
    </row>
    <row r="30151">
      <c r="N30151" s="1"/>
      <c r="V30151" s="5"/>
    </row>
    <row r="30152">
      <c r="N30152" s="1"/>
      <c r="V30152" s="5"/>
    </row>
    <row r="30153">
      <c r="N30153" s="1"/>
      <c r="V30153" s="5"/>
    </row>
    <row r="30154">
      <c r="N30154" s="1"/>
      <c r="V30154" s="5"/>
    </row>
    <row r="30155">
      <c r="N30155" s="1"/>
      <c r="V30155" s="5"/>
    </row>
    <row r="30156">
      <c r="N30156" s="1"/>
      <c r="V30156" s="5"/>
    </row>
    <row r="30157">
      <c r="N30157" s="1"/>
      <c r="V30157" s="5"/>
    </row>
    <row r="30158">
      <c r="N30158" s="1"/>
      <c r="V30158" s="5"/>
    </row>
    <row r="30159">
      <c r="N30159" s="1"/>
      <c r="V30159" s="5"/>
    </row>
    <row r="30160">
      <c r="N30160" s="1"/>
      <c r="V30160" s="5"/>
    </row>
    <row r="30161">
      <c r="N30161" s="1"/>
      <c r="V30161" s="5"/>
    </row>
    <row r="30162">
      <c r="N30162" s="1"/>
      <c r="V30162" s="5"/>
    </row>
    <row r="30163">
      <c r="N30163" s="1"/>
      <c r="V30163" s="5"/>
    </row>
    <row r="30164">
      <c r="N30164" s="1"/>
      <c r="V30164" s="5"/>
    </row>
    <row r="30165">
      <c r="N30165" s="1"/>
      <c r="V30165" s="5"/>
    </row>
    <row r="30166">
      <c r="N30166" s="1"/>
      <c r="V30166" s="5"/>
    </row>
    <row r="30167">
      <c r="N30167" s="1"/>
      <c r="V30167" s="5"/>
    </row>
    <row r="30168">
      <c r="N30168" s="1"/>
      <c r="V30168" s="5"/>
    </row>
    <row r="30169">
      <c r="N30169" s="1"/>
      <c r="V30169" s="5"/>
    </row>
    <row r="30170">
      <c r="N30170" s="1"/>
      <c r="V30170" s="5"/>
    </row>
    <row r="30171">
      <c r="N30171" s="1"/>
      <c r="V30171" s="5"/>
    </row>
    <row r="30172">
      <c r="N30172" s="1"/>
      <c r="V30172" s="5"/>
    </row>
    <row r="30173">
      <c r="N30173" s="1"/>
      <c r="V30173" s="5"/>
    </row>
    <row r="30174">
      <c r="N30174" s="1"/>
      <c r="V30174" s="5"/>
    </row>
    <row r="30175">
      <c r="N30175" s="1"/>
      <c r="V30175" s="5"/>
    </row>
    <row r="30176">
      <c r="N30176" s="1"/>
      <c r="V30176" s="5"/>
    </row>
    <row r="30177">
      <c r="N30177" s="1"/>
      <c r="V30177" s="5"/>
    </row>
    <row r="30178">
      <c r="N30178" s="1"/>
      <c r="V30178" s="5"/>
    </row>
    <row r="30179">
      <c r="N30179" s="1"/>
      <c r="V30179" s="5"/>
    </row>
    <row r="30180">
      <c r="N30180" s="1"/>
      <c r="V30180" s="5"/>
    </row>
    <row r="30181">
      <c r="N30181" s="1"/>
      <c r="V30181" s="5"/>
    </row>
    <row r="30182">
      <c r="N30182" s="1"/>
      <c r="V30182" s="5"/>
    </row>
    <row r="30183">
      <c r="N30183" s="1"/>
      <c r="V30183" s="5"/>
    </row>
    <row r="30184">
      <c r="N30184" s="1"/>
      <c r="V30184" s="5"/>
    </row>
    <row r="30185">
      <c r="N30185" s="1"/>
      <c r="V30185" s="5"/>
    </row>
    <row r="30186">
      <c r="N30186" s="1"/>
      <c r="V30186" s="5"/>
    </row>
    <row r="30187">
      <c r="N30187" s="1"/>
      <c r="V30187" s="5"/>
    </row>
    <row r="30188">
      <c r="N30188" s="1"/>
      <c r="V30188" s="5"/>
    </row>
    <row r="30189">
      <c r="N30189" s="1"/>
      <c r="V30189" s="5"/>
    </row>
    <row r="30190">
      <c r="N30190" s="1"/>
      <c r="V30190" s="5"/>
    </row>
    <row r="30191">
      <c r="N30191" s="1"/>
      <c r="V30191" s="5"/>
    </row>
    <row r="30192">
      <c r="N30192" s="1"/>
      <c r="V30192" s="5"/>
    </row>
    <row r="30193">
      <c r="N30193" s="1"/>
      <c r="V30193" s="5"/>
    </row>
    <row r="30194">
      <c r="N30194" s="1"/>
      <c r="V30194" s="5"/>
    </row>
    <row r="30195">
      <c r="N30195" s="1"/>
      <c r="V30195" s="5"/>
    </row>
    <row r="30196">
      <c r="N30196" s="1"/>
      <c r="V30196" s="5"/>
    </row>
    <row r="30197">
      <c r="N30197" s="1"/>
      <c r="V30197" s="5"/>
    </row>
    <row r="30198">
      <c r="N30198" s="1"/>
      <c r="V30198" s="5"/>
    </row>
    <row r="30199">
      <c r="N30199" s="1"/>
      <c r="V30199" s="5"/>
    </row>
    <row r="30200">
      <c r="N30200" s="1"/>
      <c r="V30200" s="5"/>
    </row>
    <row r="30201">
      <c r="N30201" s="1"/>
      <c r="V30201" s="5"/>
    </row>
    <row r="30202">
      <c r="N30202" s="1"/>
      <c r="V30202" s="5"/>
    </row>
    <row r="30203">
      <c r="N30203" s="1"/>
      <c r="V30203" s="5"/>
    </row>
    <row r="30204">
      <c r="N30204" s="1"/>
      <c r="V30204" s="5"/>
    </row>
    <row r="30205">
      <c r="N30205" s="1"/>
      <c r="V30205" s="5"/>
    </row>
    <row r="30206">
      <c r="N30206" s="1"/>
      <c r="V30206" s="5"/>
    </row>
    <row r="30207">
      <c r="N30207" s="1"/>
      <c r="V30207" s="5"/>
    </row>
    <row r="30208">
      <c r="N30208" s="1"/>
      <c r="V30208" s="5"/>
    </row>
    <row r="30209">
      <c r="N30209" s="1"/>
      <c r="V30209" s="5"/>
    </row>
    <row r="30210">
      <c r="N30210" s="1"/>
      <c r="V30210" s="5"/>
    </row>
    <row r="30211">
      <c r="N30211" s="1"/>
      <c r="V30211" s="5"/>
    </row>
    <row r="30212">
      <c r="N30212" s="1"/>
      <c r="V30212" s="5"/>
    </row>
    <row r="30213">
      <c r="N30213" s="1"/>
      <c r="V30213" s="5"/>
    </row>
    <row r="30214">
      <c r="N30214" s="1"/>
      <c r="V30214" s="5"/>
    </row>
    <row r="30215">
      <c r="N30215" s="1"/>
      <c r="V30215" s="5"/>
    </row>
    <row r="30216">
      <c r="N30216" s="1"/>
      <c r="V30216" s="5"/>
    </row>
    <row r="30217">
      <c r="N30217" s="1"/>
      <c r="V30217" s="5"/>
    </row>
    <row r="30218">
      <c r="N30218" s="1"/>
      <c r="V30218" s="5"/>
    </row>
    <row r="30219">
      <c r="N30219" s="1"/>
      <c r="V30219" s="5"/>
    </row>
    <row r="30220">
      <c r="N30220" s="1"/>
      <c r="V30220" s="5"/>
    </row>
    <row r="30221">
      <c r="N30221" s="1"/>
      <c r="V30221" s="5"/>
    </row>
    <row r="30222">
      <c r="N30222" s="1"/>
      <c r="V30222" s="5"/>
    </row>
    <row r="30223">
      <c r="N30223" s="1"/>
      <c r="V30223" s="5"/>
    </row>
    <row r="30224">
      <c r="N30224" s="1"/>
      <c r="V30224" s="5"/>
    </row>
    <row r="30225">
      <c r="N30225" s="1"/>
      <c r="V30225" s="5"/>
    </row>
    <row r="30226">
      <c r="N30226" s="1"/>
      <c r="V30226" s="5"/>
    </row>
    <row r="30227">
      <c r="N30227" s="1"/>
      <c r="V30227" s="5"/>
    </row>
    <row r="30228">
      <c r="N30228" s="1"/>
      <c r="V30228" s="5"/>
    </row>
    <row r="30229">
      <c r="N30229" s="1"/>
      <c r="V30229" s="5"/>
    </row>
    <row r="30230">
      <c r="N30230" s="1"/>
      <c r="V30230" s="5"/>
    </row>
    <row r="30231">
      <c r="N30231" s="1"/>
      <c r="V30231" s="5"/>
    </row>
    <row r="30232">
      <c r="N30232" s="1"/>
      <c r="V30232" s="5"/>
    </row>
    <row r="30233">
      <c r="N30233" s="1"/>
      <c r="V30233" s="5"/>
    </row>
    <row r="30234">
      <c r="N30234" s="1"/>
      <c r="V30234" s="5"/>
    </row>
    <row r="30235">
      <c r="N30235" s="1"/>
      <c r="V30235" s="5"/>
    </row>
    <row r="30236">
      <c r="N30236" s="1"/>
      <c r="V30236" s="5"/>
    </row>
    <row r="30237">
      <c r="N30237" s="1"/>
      <c r="V30237" s="5"/>
    </row>
    <row r="30238">
      <c r="N30238" s="1"/>
      <c r="V30238" s="5"/>
    </row>
    <row r="30239">
      <c r="N30239" s="1"/>
      <c r="V30239" s="5"/>
    </row>
    <row r="30240">
      <c r="N30240" s="1"/>
      <c r="V30240" s="5"/>
    </row>
    <row r="30241">
      <c r="N30241" s="1"/>
      <c r="V30241" s="5"/>
    </row>
    <row r="30242">
      <c r="N30242" s="1"/>
      <c r="V30242" s="5"/>
    </row>
    <row r="30243">
      <c r="N30243" s="1"/>
      <c r="V30243" s="5"/>
    </row>
    <row r="30244">
      <c r="N30244" s="1"/>
      <c r="V30244" s="5"/>
    </row>
    <row r="30245">
      <c r="N30245" s="1"/>
      <c r="V30245" s="5"/>
    </row>
    <row r="30246">
      <c r="N30246" s="1"/>
      <c r="V30246" s="5"/>
    </row>
    <row r="30247">
      <c r="N30247" s="1"/>
      <c r="V30247" s="5"/>
    </row>
    <row r="30248">
      <c r="N30248" s="1"/>
      <c r="V30248" s="5"/>
    </row>
    <row r="30249">
      <c r="N30249" s="1"/>
      <c r="V30249" s="5"/>
    </row>
    <row r="30250">
      <c r="N30250" s="1"/>
      <c r="V30250" s="5"/>
    </row>
    <row r="30251">
      <c r="N30251" s="1"/>
      <c r="V30251" s="5"/>
    </row>
    <row r="30252">
      <c r="N30252" s="1"/>
      <c r="V30252" s="5"/>
    </row>
    <row r="30253">
      <c r="N30253" s="1"/>
      <c r="V30253" s="5"/>
    </row>
    <row r="30254">
      <c r="N30254" s="1"/>
      <c r="V30254" s="5"/>
    </row>
    <row r="30255">
      <c r="N30255" s="1"/>
      <c r="V30255" s="5"/>
    </row>
    <row r="30256">
      <c r="N30256" s="1"/>
      <c r="V30256" s="5"/>
    </row>
    <row r="30257">
      <c r="N30257" s="1"/>
      <c r="V30257" s="5"/>
    </row>
    <row r="30258">
      <c r="N30258" s="1"/>
      <c r="V30258" s="5"/>
    </row>
    <row r="30259">
      <c r="N30259" s="1"/>
      <c r="V30259" s="5"/>
    </row>
    <row r="30260">
      <c r="N30260" s="1"/>
      <c r="V30260" s="5"/>
    </row>
    <row r="30261">
      <c r="N30261" s="1"/>
      <c r="V30261" s="5"/>
    </row>
    <row r="30262">
      <c r="N30262" s="1"/>
      <c r="V30262" s="5"/>
    </row>
    <row r="30263">
      <c r="N30263" s="1"/>
      <c r="V30263" s="5"/>
    </row>
    <row r="30264">
      <c r="N30264" s="1"/>
      <c r="V30264" s="5"/>
    </row>
    <row r="30265">
      <c r="N30265" s="1"/>
      <c r="V30265" s="5"/>
    </row>
    <row r="30266">
      <c r="N30266" s="1"/>
      <c r="V30266" s="5"/>
    </row>
    <row r="30267">
      <c r="N30267" s="1"/>
      <c r="V30267" s="5"/>
    </row>
    <row r="30268">
      <c r="N30268" s="1"/>
      <c r="V30268" s="5"/>
    </row>
    <row r="30269">
      <c r="N30269" s="1"/>
      <c r="V30269" s="5"/>
    </row>
    <row r="30270">
      <c r="N30270" s="1"/>
      <c r="V30270" s="5"/>
    </row>
    <row r="30271">
      <c r="N30271" s="1"/>
      <c r="V30271" s="5"/>
    </row>
    <row r="30272">
      <c r="N30272" s="1"/>
      <c r="V30272" s="5"/>
    </row>
    <row r="30273">
      <c r="N30273" s="1"/>
      <c r="V30273" s="5"/>
    </row>
    <row r="30274">
      <c r="N30274" s="1"/>
      <c r="V30274" s="5"/>
    </row>
    <row r="30275">
      <c r="N30275" s="1"/>
      <c r="V30275" s="5"/>
    </row>
    <row r="30276">
      <c r="N30276" s="1"/>
      <c r="V30276" s="5"/>
    </row>
    <row r="30277">
      <c r="N30277" s="1"/>
      <c r="V30277" s="5"/>
    </row>
    <row r="30278">
      <c r="N30278" s="1"/>
      <c r="V30278" s="5"/>
    </row>
    <row r="30279">
      <c r="N30279" s="1"/>
      <c r="V30279" s="5"/>
    </row>
    <row r="30280">
      <c r="N30280" s="1"/>
      <c r="V30280" s="5"/>
    </row>
    <row r="30281">
      <c r="N30281" s="1"/>
      <c r="V30281" s="5"/>
    </row>
    <row r="30282">
      <c r="N30282" s="1"/>
      <c r="V30282" s="5"/>
    </row>
    <row r="30283">
      <c r="N30283" s="1"/>
      <c r="V30283" s="5"/>
    </row>
    <row r="30284">
      <c r="N30284" s="1"/>
      <c r="V30284" s="5"/>
    </row>
    <row r="30285">
      <c r="N30285" s="1"/>
      <c r="V30285" s="5"/>
    </row>
    <row r="30286">
      <c r="N30286" s="1"/>
      <c r="V30286" s="5"/>
    </row>
    <row r="30287">
      <c r="N30287" s="1"/>
      <c r="V30287" s="5"/>
    </row>
    <row r="30288">
      <c r="N30288" s="1"/>
      <c r="V30288" s="5"/>
    </row>
    <row r="30289">
      <c r="N30289" s="1"/>
      <c r="V30289" s="5"/>
    </row>
    <row r="30290">
      <c r="N30290" s="1"/>
      <c r="V30290" s="5"/>
    </row>
    <row r="30291">
      <c r="N30291" s="1"/>
      <c r="V30291" s="5"/>
    </row>
    <row r="30292">
      <c r="N30292" s="1"/>
      <c r="V30292" s="5"/>
    </row>
    <row r="30293">
      <c r="N30293" s="1"/>
      <c r="V30293" s="5"/>
    </row>
    <row r="30294">
      <c r="N30294" s="1"/>
      <c r="V30294" s="5"/>
    </row>
    <row r="30295">
      <c r="N30295" s="1"/>
      <c r="V30295" s="5"/>
    </row>
    <row r="30296">
      <c r="N30296" s="1"/>
      <c r="V30296" s="5"/>
    </row>
    <row r="30297">
      <c r="N30297" s="1"/>
      <c r="V30297" s="5"/>
    </row>
    <row r="30298">
      <c r="N30298" s="1"/>
      <c r="V30298" s="5"/>
    </row>
    <row r="30299">
      <c r="N30299" s="1"/>
      <c r="V30299" s="5"/>
    </row>
    <row r="30300">
      <c r="N30300" s="1"/>
      <c r="V30300" s="5"/>
    </row>
    <row r="30301">
      <c r="N30301" s="1"/>
      <c r="V30301" s="5"/>
    </row>
    <row r="30302">
      <c r="N30302" s="1"/>
      <c r="V30302" s="5"/>
    </row>
    <row r="30303">
      <c r="N30303" s="1"/>
      <c r="V30303" s="5"/>
    </row>
    <row r="30304">
      <c r="N30304" s="1"/>
      <c r="V30304" s="5"/>
    </row>
    <row r="30305">
      <c r="N30305" s="1"/>
      <c r="V30305" s="5"/>
    </row>
    <row r="30306">
      <c r="N30306" s="1"/>
      <c r="V30306" s="5"/>
    </row>
    <row r="30307">
      <c r="N30307" s="1"/>
      <c r="V30307" s="5"/>
    </row>
    <row r="30308">
      <c r="N30308" s="1"/>
      <c r="V30308" s="5"/>
    </row>
    <row r="30309">
      <c r="N30309" s="1"/>
      <c r="V30309" s="5"/>
    </row>
    <row r="30310">
      <c r="N30310" s="1"/>
      <c r="V30310" s="5"/>
    </row>
    <row r="30311">
      <c r="N30311" s="1"/>
      <c r="V30311" s="5"/>
    </row>
    <row r="30312">
      <c r="N30312" s="1"/>
      <c r="V30312" s="5"/>
    </row>
    <row r="30313">
      <c r="N30313" s="1"/>
      <c r="V30313" s="5"/>
    </row>
    <row r="30314">
      <c r="N30314" s="1"/>
      <c r="V30314" s="5"/>
    </row>
    <row r="30315">
      <c r="N30315" s="1"/>
      <c r="V30315" s="5"/>
    </row>
    <row r="30316">
      <c r="N30316" s="1"/>
      <c r="V30316" s="5"/>
    </row>
    <row r="30317">
      <c r="N30317" s="1"/>
      <c r="V30317" s="5"/>
    </row>
    <row r="30318">
      <c r="N30318" s="1"/>
      <c r="V30318" s="5"/>
    </row>
    <row r="30319">
      <c r="N30319" s="1"/>
      <c r="V30319" s="5"/>
    </row>
    <row r="30320">
      <c r="N30320" s="1"/>
      <c r="V30320" s="5"/>
    </row>
    <row r="30321">
      <c r="N30321" s="1"/>
      <c r="V30321" s="5"/>
    </row>
    <row r="30322">
      <c r="N30322" s="1"/>
      <c r="V30322" s="5"/>
    </row>
    <row r="30323">
      <c r="N30323" s="1"/>
      <c r="V30323" s="5"/>
    </row>
    <row r="30324">
      <c r="N30324" s="1"/>
      <c r="V30324" s="5"/>
    </row>
    <row r="30325">
      <c r="N30325" s="1"/>
      <c r="V30325" s="5"/>
    </row>
    <row r="30326">
      <c r="N30326" s="1"/>
      <c r="V30326" s="5"/>
    </row>
    <row r="30327">
      <c r="N30327" s="1"/>
      <c r="V30327" s="5"/>
    </row>
    <row r="30328">
      <c r="N30328" s="1"/>
      <c r="V30328" s="5"/>
    </row>
    <row r="30329">
      <c r="N30329" s="1"/>
      <c r="V30329" s="5"/>
    </row>
    <row r="30330">
      <c r="N30330" s="1"/>
      <c r="V30330" s="5"/>
    </row>
    <row r="30331">
      <c r="N30331" s="1"/>
      <c r="V30331" s="5"/>
    </row>
    <row r="30332">
      <c r="N30332" s="1"/>
      <c r="V30332" s="5"/>
    </row>
    <row r="30333">
      <c r="N30333" s="1"/>
      <c r="V30333" s="5"/>
    </row>
    <row r="30334">
      <c r="N30334" s="1"/>
      <c r="V30334" s="5"/>
    </row>
    <row r="30335">
      <c r="N30335" s="1"/>
      <c r="V30335" s="5"/>
    </row>
    <row r="30336">
      <c r="N30336" s="1"/>
      <c r="V30336" s="5"/>
    </row>
    <row r="30337">
      <c r="N30337" s="1"/>
      <c r="V30337" s="5"/>
    </row>
    <row r="30338">
      <c r="N30338" s="1"/>
      <c r="V30338" s="5"/>
    </row>
    <row r="30339">
      <c r="N30339" s="1"/>
      <c r="V30339" s="5"/>
    </row>
    <row r="30340">
      <c r="N30340" s="1"/>
      <c r="V30340" s="5"/>
    </row>
    <row r="30341">
      <c r="N30341" s="1"/>
      <c r="V30341" s="5"/>
    </row>
    <row r="30342">
      <c r="N30342" s="1"/>
      <c r="V30342" s="5"/>
    </row>
    <row r="30343">
      <c r="N30343" s="1"/>
      <c r="V30343" s="5"/>
    </row>
    <row r="30344">
      <c r="N30344" s="1"/>
      <c r="V30344" s="5"/>
    </row>
    <row r="30345">
      <c r="N30345" s="1"/>
      <c r="V30345" s="5"/>
    </row>
    <row r="30346">
      <c r="N30346" s="1"/>
      <c r="V30346" s="5"/>
    </row>
    <row r="30347">
      <c r="N30347" s="1"/>
      <c r="V30347" s="5"/>
    </row>
    <row r="30348">
      <c r="N30348" s="1"/>
      <c r="V30348" s="5"/>
    </row>
    <row r="30349">
      <c r="N30349" s="1"/>
      <c r="V30349" s="5"/>
    </row>
    <row r="30350">
      <c r="N30350" s="1"/>
      <c r="V30350" s="5"/>
    </row>
    <row r="30351">
      <c r="N30351" s="1"/>
      <c r="V30351" s="5"/>
    </row>
    <row r="30352">
      <c r="N30352" s="1"/>
      <c r="V30352" s="5"/>
    </row>
    <row r="30353">
      <c r="N30353" s="1"/>
      <c r="V30353" s="5"/>
    </row>
    <row r="30354">
      <c r="N30354" s="1"/>
      <c r="V30354" s="5"/>
    </row>
    <row r="30355">
      <c r="N30355" s="1"/>
      <c r="V30355" s="5"/>
    </row>
    <row r="30356">
      <c r="N30356" s="1"/>
      <c r="V30356" s="5"/>
    </row>
    <row r="30357">
      <c r="N30357" s="1"/>
      <c r="V30357" s="5"/>
    </row>
    <row r="30358">
      <c r="N30358" s="1"/>
      <c r="V30358" s="5"/>
    </row>
    <row r="30359">
      <c r="N30359" s="1"/>
      <c r="V30359" s="5"/>
    </row>
    <row r="30360">
      <c r="N30360" s="1"/>
      <c r="V30360" s="5"/>
    </row>
    <row r="30361">
      <c r="N30361" s="1"/>
      <c r="V30361" s="5"/>
    </row>
    <row r="30362">
      <c r="N30362" s="1"/>
      <c r="V30362" s="5"/>
    </row>
    <row r="30363">
      <c r="N30363" s="1"/>
      <c r="V30363" s="5"/>
    </row>
    <row r="30364">
      <c r="N30364" s="1"/>
      <c r="V30364" s="5"/>
    </row>
    <row r="30365">
      <c r="N30365" s="1"/>
      <c r="V30365" s="5"/>
    </row>
    <row r="30366">
      <c r="N30366" s="1"/>
      <c r="V30366" s="5"/>
    </row>
    <row r="30367">
      <c r="N30367" s="1"/>
      <c r="V30367" s="5"/>
    </row>
    <row r="30368">
      <c r="N30368" s="1"/>
      <c r="V30368" s="5"/>
    </row>
    <row r="30369">
      <c r="N30369" s="1"/>
      <c r="V30369" s="5"/>
    </row>
    <row r="30370">
      <c r="N30370" s="1"/>
      <c r="V30370" s="5"/>
    </row>
    <row r="30371">
      <c r="N30371" s="1"/>
      <c r="V30371" s="5"/>
    </row>
    <row r="30372">
      <c r="N30372" s="1"/>
      <c r="V30372" s="5"/>
    </row>
    <row r="30373">
      <c r="N30373" s="1"/>
      <c r="V30373" s="5"/>
    </row>
    <row r="30374">
      <c r="N30374" s="1"/>
      <c r="V30374" s="5"/>
    </row>
    <row r="30375">
      <c r="N30375" s="1"/>
      <c r="V30375" s="5"/>
    </row>
    <row r="30376">
      <c r="N30376" s="1"/>
      <c r="V30376" s="5"/>
    </row>
    <row r="30377">
      <c r="N30377" s="1"/>
      <c r="V30377" s="5"/>
    </row>
    <row r="30378">
      <c r="N30378" s="1"/>
      <c r="V30378" s="5"/>
    </row>
    <row r="30379">
      <c r="N30379" s="1"/>
      <c r="V30379" s="5"/>
    </row>
    <row r="30380">
      <c r="N30380" s="1"/>
      <c r="V30380" s="5"/>
    </row>
    <row r="30381">
      <c r="N30381" s="1"/>
      <c r="V30381" s="5"/>
    </row>
    <row r="30382">
      <c r="N30382" s="1"/>
      <c r="V30382" s="5"/>
    </row>
    <row r="30383">
      <c r="N30383" s="1"/>
      <c r="V30383" s="5"/>
    </row>
    <row r="30384">
      <c r="N30384" s="1"/>
      <c r="V30384" s="5"/>
    </row>
    <row r="30385">
      <c r="N30385" s="1"/>
      <c r="V30385" s="5"/>
    </row>
    <row r="30386">
      <c r="N30386" s="1"/>
      <c r="V30386" s="5"/>
    </row>
    <row r="30387">
      <c r="N30387" s="1"/>
      <c r="V30387" s="5"/>
    </row>
    <row r="30388">
      <c r="N30388" s="1"/>
      <c r="V30388" s="5"/>
    </row>
    <row r="30389">
      <c r="N30389" s="1"/>
      <c r="V30389" s="5"/>
    </row>
    <row r="30390">
      <c r="N30390" s="1"/>
      <c r="V30390" s="5"/>
    </row>
    <row r="30391">
      <c r="N30391" s="1"/>
      <c r="V30391" s="5"/>
    </row>
    <row r="30392">
      <c r="N30392" s="1"/>
      <c r="V30392" s="5"/>
    </row>
    <row r="30393">
      <c r="N30393" s="1"/>
      <c r="V30393" s="5"/>
    </row>
    <row r="30394">
      <c r="N30394" s="1"/>
      <c r="V30394" s="5"/>
    </row>
    <row r="30395">
      <c r="N30395" s="1"/>
      <c r="V30395" s="5"/>
    </row>
    <row r="30396">
      <c r="N30396" s="1"/>
      <c r="V30396" s="5"/>
    </row>
    <row r="30397">
      <c r="N30397" s="1"/>
      <c r="V30397" s="5"/>
    </row>
    <row r="30398">
      <c r="N30398" s="1"/>
      <c r="V30398" s="5"/>
    </row>
    <row r="30399">
      <c r="N30399" s="1"/>
      <c r="V30399" s="5"/>
    </row>
    <row r="30400">
      <c r="N30400" s="1"/>
      <c r="V30400" s="5"/>
    </row>
    <row r="30401">
      <c r="N30401" s="1"/>
      <c r="V30401" s="5"/>
    </row>
    <row r="30402">
      <c r="N30402" s="1"/>
      <c r="V30402" s="5"/>
    </row>
    <row r="30403">
      <c r="N30403" s="1"/>
      <c r="V30403" s="5"/>
    </row>
    <row r="30404">
      <c r="N30404" s="1"/>
      <c r="V30404" s="5"/>
    </row>
    <row r="30405">
      <c r="N30405" s="1"/>
      <c r="V30405" s="5"/>
    </row>
    <row r="30406">
      <c r="N30406" s="1"/>
      <c r="V30406" s="5"/>
    </row>
    <row r="30407">
      <c r="N30407" s="1"/>
      <c r="V30407" s="5"/>
    </row>
    <row r="30408">
      <c r="N30408" s="1"/>
      <c r="V30408" s="5"/>
    </row>
    <row r="30409">
      <c r="N30409" s="1"/>
      <c r="V30409" s="5"/>
    </row>
    <row r="30410">
      <c r="N30410" s="1"/>
      <c r="V30410" s="5"/>
    </row>
    <row r="30411">
      <c r="N30411" s="1"/>
      <c r="V30411" s="5"/>
    </row>
    <row r="30412">
      <c r="N30412" s="1"/>
      <c r="V30412" s="5"/>
    </row>
    <row r="30413">
      <c r="N30413" s="1"/>
      <c r="V30413" s="5"/>
    </row>
    <row r="30414">
      <c r="N30414" s="1"/>
      <c r="V30414" s="5"/>
    </row>
    <row r="30415">
      <c r="N30415" s="1"/>
      <c r="V30415" s="5"/>
    </row>
    <row r="30416">
      <c r="N30416" s="1"/>
      <c r="V30416" s="5"/>
    </row>
    <row r="30417">
      <c r="N30417" s="1"/>
      <c r="V30417" s="5"/>
    </row>
    <row r="30418">
      <c r="N30418" s="1"/>
      <c r="V30418" s="5"/>
    </row>
    <row r="30419">
      <c r="N30419" s="1"/>
      <c r="V30419" s="5"/>
    </row>
    <row r="30420">
      <c r="N30420" s="1"/>
      <c r="V30420" s="5"/>
    </row>
    <row r="30421">
      <c r="N30421" s="1"/>
      <c r="V30421" s="5"/>
    </row>
    <row r="30422">
      <c r="N30422" s="1"/>
      <c r="V30422" s="5"/>
    </row>
    <row r="30423">
      <c r="N30423" s="1"/>
      <c r="V30423" s="5"/>
    </row>
    <row r="30424">
      <c r="N30424" s="1"/>
      <c r="V30424" s="5"/>
    </row>
    <row r="30425">
      <c r="N30425" s="1"/>
      <c r="V30425" s="5"/>
    </row>
    <row r="30426">
      <c r="N30426" s="1"/>
      <c r="V30426" s="5"/>
    </row>
    <row r="30427">
      <c r="N30427" s="1"/>
      <c r="V30427" s="5"/>
    </row>
    <row r="30428">
      <c r="N30428" s="1"/>
      <c r="V30428" s="5"/>
    </row>
    <row r="30429">
      <c r="N30429" s="1"/>
      <c r="V30429" s="5"/>
    </row>
    <row r="30430">
      <c r="N30430" s="1"/>
      <c r="V30430" s="5"/>
    </row>
    <row r="30431">
      <c r="N30431" s="1"/>
      <c r="V30431" s="5"/>
    </row>
    <row r="30432">
      <c r="N30432" s="1"/>
      <c r="V30432" s="5"/>
    </row>
    <row r="30433">
      <c r="N30433" s="1"/>
      <c r="V30433" s="5"/>
    </row>
    <row r="30434">
      <c r="N30434" s="1"/>
      <c r="V30434" s="5"/>
    </row>
    <row r="30435">
      <c r="N30435" s="1"/>
      <c r="V30435" s="5"/>
    </row>
    <row r="30436">
      <c r="N30436" s="1"/>
      <c r="V30436" s="5"/>
    </row>
    <row r="30437">
      <c r="N30437" s="1"/>
      <c r="V30437" s="5"/>
    </row>
    <row r="30438">
      <c r="N30438" s="1"/>
      <c r="V30438" s="5"/>
    </row>
    <row r="30439">
      <c r="N30439" s="1"/>
      <c r="V30439" s="5"/>
    </row>
    <row r="30440">
      <c r="N30440" s="1"/>
      <c r="V30440" s="5"/>
    </row>
    <row r="30441">
      <c r="N30441" s="1"/>
      <c r="V30441" s="5"/>
    </row>
    <row r="30442">
      <c r="N30442" s="1"/>
      <c r="V30442" s="5"/>
    </row>
    <row r="30443">
      <c r="N30443" s="1"/>
      <c r="V30443" s="5"/>
    </row>
    <row r="30444">
      <c r="N30444" s="1"/>
      <c r="V30444" s="5"/>
    </row>
    <row r="30445">
      <c r="N30445" s="1"/>
      <c r="V30445" s="5"/>
    </row>
    <row r="30446">
      <c r="N30446" s="1"/>
      <c r="V30446" s="5"/>
    </row>
    <row r="30447">
      <c r="N30447" s="1"/>
      <c r="V30447" s="5"/>
    </row>
    <row r="30448">
      <c r="N30448" s="1"/>
      <c r="V30448" s="5"/>
    </row>
    <row r="30449">
      <c r="N30449" s="1"/>
      <c r="V30449" s="5"/>
    </row>
    <row r="30450">
      <c r="N30450" s="1"/>
      <c r="V30450" s="5"/>
    </row>
    <row r="30451">
      <c r="N30451" s="1"/>
      <c r="V30451" s="5"/>
    </row>
    <row r="30452">
      <c r="N30452" s="1"/>
      <c r="V30452" s="5"/>
    </row>
    <row r="30453">
      <c r="N30453" s="1"/>
      <c r="V30453" s="5"/>
    </row>
    <row r="30454">
      <c r="N30454" s="1"/>
      <c r="V30454" s="5"/>
    </row>
    <row r="30455">
      <c r="N30455" s="1"/>
      <c r="V30455" s="5"/>
    </row>
    <row r="30456">
      <c r="N30456" s="1"/>
      <c r="V30456" s="5"/>
    </row>
    <row r="30457">
      <c r="N30457" s="1"/>
      <c r="V30457" s="5"/>
    </row>
    <row r="30458">
      <c r="N30458" s="1"/>
      <c r="V30458" s="5"/>
    </row>
    <row r="30459">
      <c r="N30459" s="1"/>
      <c r="V30459" s="5"/>
    </row>
    <row r="30460">
      <c r="N30460" s="1"/>
      <c r="V30460" s="5"/>
    </row>
    <row r="30461">
      <c r="N30461" s="1"/>
      <c r="V30461" s="5"/>
    </row>
    <row r="30462">
      <c r="N30462" s="1"/>
      <c r="V30462" s="5"/>
    </row>
    <row r="30463">
      <c r="N30463" s="1"/>
      <c r="V30463" s="5"/>
    </row>
    <row r="30464">
      <c r="N30464" s="1"/>
      <c r="V30464" s="5"/>
    </row>
    <row r="30465">
      <c r="N30465" s="1"/>
      <c r="V30465" s="5"/>
    </row>
    <row r="30466">
      <c r="N30466" s="1"/>
      <c r="V30466" s="5"/>
    </row>
    <row r="30467">
      <c r="N30467" s="1"/>
      <c r="V30467" s="5"/>
    </row>
    <row r="30468">
      <c r="N30468" s="1"/>
      <c r="V30468" s="5"/>
    </row>
    <row r="30469">
      <c r="N30469" s="1"/>
      <c r="V30469" s="5"/>
    </row>
    <row r="30470">
      <c r="N30470" s="1"/>
      <c r="V30470" s="5"/>
    </row>
    <row r="30471">
      <c r="N30471" s="1"/>
      <c r="V30471" s="5"/>
    </row>
    <row r="30472">
      <c r="N30472" s="1"/>
      <c r="V30472" s="5"/>
    </row>
    <row r="30473">
      <c r="N30473" s="1"/>
      <c r="V30473" s="5"/>
    </row>
    <row r="30474">
      <c r="N30474" s="1"/>
      <c r="V30474" s="5"/>
    </row>
    <row r="30475">
      <c r="N30475" s="1"/>
      <c r="V30475" s="5"/>
    </row>
    <row r="30476">
      <c r="N30476" s="1"/>
      <c r="V30476" s="5"/>
    </row>
    <row r="30477">
      <c r="N30477" s="1"/>
      <c r="V30477" s="5"/>
    </row>
    <row r="30478">
      <c r="N30478" s="1"/>
      <c r="V30478" s="5"/>
    </row>
    <row r="30479">
      <c r="N30479" s="1"/>
      <c r="V30479" s="5"/>
    </row>
    <row r="30480">
      <c r="N30480" s="1"/>
      <c r="V30480" s="5"/>
    </row>
    <row r="30481">
      <c r="N30481" s="1"/>
      <c r="V30481" s="5"/>
    </row>
    <row r="30482">
      <c r="N30482" s="1"/>
      <c r="V30482" s="5"/>
    </row>
    <row r="30483">
      <c r="N30483" s="1"/>
      <c r="V30483" s="5"/>
    </row>
    <row r="30484">
      <c r="N30484" s="1"/>
      <c r="V30484" s="5"/>
    </row>
    <row r="30485">
      <c r="N30485" s="1"/>
      <c r="V30485" s="5"/>
    </row>
    <row r="30486">
      <c r="N30486" s="1"/>
      <c r="V30486" s="5"/>
    </row>
    <row r="30487">
      <c r="N30487" s="1"/>
      <c r="V30487" s="5"/>
    </row>
    <row r="30488">
      <c r="N30488" s="1"/>
      <c r="V30488" s="5"/>
    </row>
    <row r="30489">
      <c r="N30489" s="1"/>
      <c r="V30489" s="5"/>
    </row>
    <row r="30490">
      <c r="N30490" s="1"/>
      <c r="V30490" s="5"/>
    </row>
    <row r="30491">
      <c r="N30491" s="1"/>
      <c r="V30491" s="5"/>
    </row>
    <row r="30492">
      <c r="N30492" s="1"/>
      <c r="V30492" s="5"/>
    </row>
    <row r="30493">
      <c r="N30493" s="1"/>
      <c r="V30493" s="5"/>
    </row>
    <row r="30494">
      <c r="N30494" s="1"/>
      <c r="V30494" s="5"/>
    </row>
    <row r="30495">
      <c r="N30495" s="1"/>
      <c r="V30495" s="5"/>
    </row>
    <row r="30496">
      <c r="N30496" s="1"/>
      <c r="V30496" s="5"/>
    </row>
    <row r="30497">
      <c r="N30497" s="1"/>
      <c r="V30497" s="5"/>
    </row>
    <row r="30498">
      <c r="N30498" s="1"/>
      <c r="V30498" s="5"/>
    </row>
    <row r="30499">
      <c r="N30499" s="1"/>
      <c r="V30499" s="5"/>
    </row>
    <row r="30500">
      <c r="N30500" s="1"/>
      <c r="V30500" s="5"/>
    </row>
    <row r="30501">
      <c r="N30501" s="1"/>
      <c r="V30501" s="5"/>
    </row>
    <row r="30502">
      <c r="N30502" s="1"/>
      <c r="V30502" s="5"/>
    </row>
    <row r="30503">
      <c r="N30503" s="1"/>
      <c r="V30503" s="5"/>
    </row>
    <row r="30504">
      <c r="N30504" s="1"/>
      <c r="V30504" s="5"/>
    </row>
    <row r="30505">
      <c r="N30505" s="1"/>
      <c r="V30505" s="5"/>
    </row>
    <row r="30506">
      <c r="N30506" s="1"/>
      <c r="V30506" s="5"/>
    </row>
    <row r="30507">
      <c r="N30507" s="1"/>
      <c r="V30507" s="5"/>
    </row>
    <row r="30508">
      <c r="N30508" s="1"/>
      <c r="V30508" s="5"/>
    </row>
    <row r="30509">
      <c r="N30509" s="1"/>
      <c r="V30509" s="5"/>
    </row>
    <row r="30510">
      <c r="N30510" s="1"/>
      <c r="V30510" s="5"/>
    </row>
    <row r="30511">
      <c r="N30511" s="1"/>
      <c r="V30511" s="5"/>
    </row>
    <row r="30512">
      <c r="N30512" s="1"/>
      <c r="V30512" s="5"/>
    </row>
    <row r="30513">
      <c r="N30513" s="1"/>
      <c r="V30513" s="5"/>
    </row>
    <row r="30514">
      <c r="N30514" s="1"/>
      <c r="V30514" s="5"/>
    </row>
    <row r="30515">
      <c r="N30515" s="1"/>
      <c r="V30515" s="5"/>
    </row>
    <row r="30516">
      <c r="N30516" s="1"/>
      <c r="V30516" s="5"/>
    </row>
    <row r="30517">
      <c r="N30517" s="1"/>
      <c r="V30517" s="5"/>
    </row>
    <row r="30518">
      <c r="N30518" s="1"/>
      <c r="V30518" s="5"/>
    </row>
    <row r="30519">
      <c r="N30519" s="1"/>
      <c r="V30519" s="5"/>
    </row>
    <row r="30520">
      <c r="N30520" s="1"/>
      <c r="V30520" s="5"/>
    </row>
    <row r="30521">
      <c r="N30521" s="1"/>
      <c r="V30521" s="5"/>
    </row>
    <row r="30522">
      <c r="N30522" s="1"/>
      <c r="V30522" s="5"/>
    </row>
    <row r="30523">
      <c r="N30523" s="1"/>
      <c r="V30523" s="5"/>
    </row>
    <row r="30524">
      <c r="N30524" s="1"/>
      <c r="V30524" s="5"/>
    </row>
    <row r="30525">
      <c r="N30525" s="1"/>
      <c r="V30525" s="5"/>
    </row>
    <row r="30526">
      <c r="N30526" s="1"/>
      <c r="V30526" s="5"/>
    </row>
    <row r="30527">
      <c r="N30527" s="1"/>
      <c r="V30527" s="5"/>
    </row>
    <row r="30528">
      <c r="N30528" s="1"/>
      <c r="V30528" s="5"/>
    </row>
    <row r="30529">
      <c r="N30529" s="1"/>
      <c r="V30529" s="5"/>
    </row>
    <row r="30530">
      <c r="N30530" s="1"/>
      <c r="V30530" s="5"/>
    </row>
    <row r="30531">
      <c r="N30531" s="1"/>
      <c r="V30531" s="5"/>
    </row>
    <row r="30532">
      <c r="N30532" s="1"/>
      <c r="V30532" s="5"/>
    </row>
    <row r="30533">
      <c r="N30533" s="1"/>
      <c r="V30533" s="5"/>
    </row>
    <row r="30534">
      <c r="N30534" s="1"/>
      <c r="V30534" s="5"/>
    </row>
    <row r="30535">
      <c r="N30535" s="1"/>
      <c r="V30535" s="5"/>
    </row>
    <row r="30536">
      <c r="N30536" s="1"/>
      <c r="V30536" s="5"/>
    </row>
    <row r="30537">
      <c r="N30537" s="1"/>
      <c r="V30537" s="5"/>
    </row>
    <row r="30538">
      <c r="N30538" s="1"/>
      <c r="V30538" s="5"/>
    </row>
    <row r="30539">
      <c r="N30539" s="1"/>
      <c r="V30539" s="5"/>
    </row>
    <row r="30540">
      <c r="N30540" s="1"/>
      <c r="V30540" s="5"/>
    </row>
    <row r="30541">
      <c r="N30541" s="1"/>
      <c r="V30541" s="5"/>
    </row>
    <row r="30542">
      <c r="N30542" s="1"/>
      <c r="V30542" s="5"/>
    </row>
    <row r="30543">
      <c r="N30543" s="1"/>
      <c r="V30543" s="5"/>
    </row>
    <row r="30544">
      <c r="N30544" s="1"/>
      <c r="V30544" s="5"/>
    </row>
    <row r="30545">
      <c r="N30545" s="1"/>
      <c r="V30545" s="5"/>
    </row>
    <row r="30546">
      <c r="N30546" s="1"/>
      <c r="V30546" s="5"/>
    </row>
    <row r="30547">
      <c r="N30547" s="1"/>
      <c r="V30547" s="5"/>
    </row>
    <row r="30548">
      <c r="N30548" s="1"/>
      <c r="V30548" s="5"/>
    </row>
    <row r="30549">
      <c r="N30549" s="1"/>
      <c r="V30549" s="5"/>
    </row>
    <row r="30550">
      <c r="N30550" s="1"/>
      <c r="V30550" s="5"/>
    </row>
    <row r="30551">
      <c r="N30551" s="1"/>
      <c r="V30551" s="5"/>
    </row>
    <row r="30552">
      <c r="N30552" s="1"/>
      <c r="V30552" s="5"/>
    </row>
    <row r="30553">
      <c r="N30553" s="1"/>
      <c r="V30553" s="5"/>
    </row>
    <row r="30554">
      <c r="N30554" s="1"/>
      <c r="V30554" s="5"/>
    </row>
    <row r="30555">
      <c r="N30555" s="1"/>
      <c r="V30555" s="5"/>
    </row>
    <row r="30556">
      <c r="N30556" s="1"/>
      <c r="V30556" s="5"/>
    </row>
    <row r="30557">
      <c r="N30557" s="1"/>
      <c r="V30557" s="5"/>
    </row>
    <row r="30558">
      <c r="N30558" s="1"/>
      <c r="V30558" s="5"/>
    </row>
    <row r="30559">
      <c r="N30559" s="1"/>
      <c r="V30559" s="5"/>
    </row>
    <row r="30560">
      <c r="N30560" s="1"/>
      <c r="V30560" s="5"/>
    </row>
    <row r="30561">
      <c r="N30561" s="1"/>
      <c r="V30561" s="5"/>
    </row>
    <row r="30562">
      <c r="N30562" s="1"/>
      <c r="V30562" s="5"/>
    </row>
    <row r="30563">
      <c r="N30563" s="1"/>
      <c r="V30563" s="5"/>
    </row>
    <row r="30564">
      <c r="N30564" s="1"/>
      <c r="V30564" s="5"/>
    </row>
    <row r="30565">
      <c r="N30565" s="1"/>
      <c r="V30565" s="5"/>
    </row>
    <row r="30566">
      <c r="N30566" s="1"/>
      <c r="V30566" s="5"/>
    </row>
    <row r="30567">
      <c r="N30567" s="1"/>
      <c r="V30567" s="5"/>
    </row>
    <row r="30568">
      <c r="N30568" s="1"/>
      <c r="V30568" s="5"/>
    </row>
    <row r="30569">
      <c r="N30569" s="1"/>
      <c r="V30569" s="5"/>
    </row>
    <row r="30570">
      <c r="N30570" s="1"/>
      <c r="V30570" s="5"/>
    </row>
    <row r="30571">
      <c r="N30571" s="1"/>
      <c r="V30571" s="5"/>
    </row>
    <row r="30572">
      <c r="N30572" s="1"/>
      <c r="V30572" s="5"/>
    </row>
    <row r="30573">
      <c r="N30573" s="1"/>
      <c r="V30573" s="5"/>
    </row>
    <row r="30574">
      <c r="N30574" s="1"/>
      <c r="V30574" s="5"/>
    </row>
    <row r="30575">
      <c r="N30575" s="1"/>
      <c r="V30575" s="5"/>
    </row>
    <row r="30576">
      <c r="N30576" s="1"/>
      <c r="V30576" s="5"/>
    </row>
    <row r="30577">
      <c r="N30577" s="1"/>
      <c r="V30577" s="5"/>
    </row>
    <row r="30578">
      <c r="N30578" s="1"/>
      <c r="V30578" s="5"/>
    </row>
    <row r="30579">
      <c r="N30579" s="1"/>
      <c r="V30579" s="5"/>
    </row>
    <row r="30580">
      <c r="N30580" s="1"/>
      <c r="V30580" s="5"/>
    </row>
    <row r="30581">
      <c r="N30581" s="1"/>
      <c r="V30581" s="5"/>
    </row>
    <row r="30582">
      <c r="N30582" s="1"/>
      <c r="V30582" s="5"/>
    </row>
    <row r="30583">
      <c r="N30583" s="1"/>
      <c r="V30583" s="5"/>
    </row>
    <row r="30584">
      <c r="N30584" s="1"/>
      <c r="V30584" s="5"/>
    </row>
    <row r="30585">
      <c r="N30585" s="1"/>
      <c r="V30585" s="5"/>
    </row>
    <row r="30586">
      <c r="N30586" s="1"/>
      <c r="V30586" s="5"/>
    </row>
    <row r="30587">
      <c r="N30587" s="1"/>
      <c r="V30587" s="5"/>
    </row>
    <row r="30588">
      <c r="N30588" s="1"/>
      <c r="V30588" s="5"/>
    </row>
    <row r="30589">
      <c r="N30589" s="1"/>
      <c r="V30589" s="5"/>
    </row>
    <row r="30590">
      <c r="N30590" s="1"/>
      <c r="V30590" s="5"/>
    </row>
    <row r="30591">
      <c r="N30591" s="1"/>
      <c r="V30591" s="5"/>
    </row>
    <row r="30592">
      <c r="N30592" s="1"/>
      <c r="V30592" s="5"/>
    </row>
    <row r="30593">
      <c r="N30593" s="1"/>
      <c r="V30593" s="5"/>
    </row>
    <row r="30594">
      <c r="N30594" s="1"/>
      <c r="V30594" s="5"/>
    </row>
    <row r="30595">
      <c r="N30595" s="1"/>
      <c r="V30595" s="5"/>
    </row>
    <row r="30596">
      <c r="N30596" s="1"/>
      <c r="V30596" s="5"/>
    </row>
    <row r="30597">
      <c r="N30597" s="1"/>
      <c r="V30597" s="5"/>
    </row>
    <row r="30598">
      <c r="N30598" s="1"/>
      <c r="V30598" s="5"/>
    </row>
    <row r="30599">
      <c r="N30599" s="1"/>
      <c r="V30599" s="5"/>
    </row>
    <row r="30600">
      <c r="N30600" s="1"/>
      <c r="V30600" s="5"/>
    </row>
    <row r="30601">
      <c r="N30601" s="1"/>
      <c r="V30601" s="5"/>
    </row>
    <row r="30602">
      <c r="N30602" s="1"/>
      <c r="V30602" s="5"/>
    </row>
    <row r="30603">
      <c r="N30603" s="1"/>
      <c r="V30603" s="5"/>
    </row>
    <row r="30604">
      <c r="N30604" s="1"/>
      <c r="V30604" s="5"/>
    </row>
    <row r="30605">
      <c r="N30605" s="1"/>
      <c r="V30605" s="5"/>
    </row>
    <row r="30606">
      <c r="N30606" s="1"/>
      <c r="V30606" s="5"/>
    </row>
    <row r="30607">
      <c r="N30607" s="1"/>
      <c r="V30607" s="5"/>
    </row>
    <row r="30608">
      <c r="N30608" s="1"/>
      <c r="V30608" s="5"/>
    </row>
    <row r="30609">
      <c r="N30609" s="1"/>
      <c r="V30609" s="5"/>
    </row>
    <row r="30610">
      <c r="N30610" s="1"/>
      <c r="V30610" s="5"/>
    </row>
    <row r="30611">
      <c r="N30611" s="1"/>
      <c r="V30611" s="5"/>
    </row>
    <row r="30612">
      <c r="N30612" s="1"/>
      <c r="V30612" s="5"/>
    </row>
    <row r="30613">
      <c r="N30613" s="1"/>
      <c r="V30613" s="5"/>
    </row>
    <row r="30614">
      <c r="N30614" s="1"/>
      <c r="V30614" s="5"/>
    </row>
    <row r="30615">
      <c r="N30615" s="1"/>
      <c r="V30615" s="5"/>
    </row>
    <row r="30616">
      <c r="N30616" s="1"/>
      <c r="V30616" s="5"/>
    </row>
    <row r="30617">
      <c r="N30617" s="1"/>
      <c r="V30617" s="5"/>
    </row>
    <row r="30618">
      <c r="N30618" s="1"/>
      <c r="V30618" s="5"/>
    </row>
    <row r="30619">
      <c r="N30619" s="1"/>
      <c r="V30619" s="5"/>
    </row>
    <row r="30620">
      <c r="N30620" s="1"/>
      <c r="V30620" s="5"/>
    </row>
    <row r="30621">
      <c r="N30621" s="1"/>
      <c r="V30621" s="5"/>
    </row>
    <row r="30622">
      <c r="N30622" s="1"/>
      <c r="V30622" s="5"/>
    </row>
    <row r="30623">
      <c r="N30623" s="1"/>
      <c r="V30623" s="5"/>
    </row>
    <row r="30624">
      <c r="N30624" s="1"/>
      <c r="V30624" s="5"/>
    </row>
    <row r="30625">
      <c r="N30625" s="1"/>
      <c r="V30625" s="5"/>
    </row>
    <row r="30626">
      <c r="N30626" s="1"/>
      <c r="V30626" s="5"/>
    </row>
    <row r="30627">
      <c r="N30627" s="1"/>
      <c r="V30627" s="5"/>
    </row>
    <row r="30628">
      <c r="N30628" s="1"/>
      <c r="V30628" s="5"/>
    </row>
    <row r="30629">
      <c r="N30629" s="1"/>
      <c r="V30629" s="5"/>
    </row>
    <row r="30630">
      <c r="N30630" s="1"/>
      <c r="V30630" s="5"/>
    </row>
    <row r="30631">
      <c r="N30631" s="1"/>
      <c r="V30631" s="5"/>
    </row>
    <row r="30632">
      <c r="N30632" s="1"/>
      <c r="V30632" s="5"/>
    </row>
    <row r="30633">
      <c r="N30633" s="1"/>
      <c r="V30633" s="5"/>
    </row>
    <row r="30634">
      <c r="N30634" s="1"/>
      <c r="V30634" s="5"/>
    </row>
    <row r="30635">
      <c r="N30635" s="1"/>
      <c r="V30635" s="5"/>
    </row>
    <row r="30636">
      <c r="N30636" s="1"/>
      <c r="V30636" s="5"/>
    </row>
    <row r="30637">
      <c r="N30637" s="1"/>
      <c r="V30637" s="5"/>
    </row>
    <row r="30638">
      <c r="N30638" s="1"/>
      <c r="V30638" s="5"/>
    </row>
    <row r="30639">
      <c r="N30639" s="1"/>
      <c r="V30639" s="5"/>
    </row>
    <row r="30640">
      <c r="N30640" s="1"/>
      <c r="V30640" s="5"/>
    </row>
    <row r="30641">
      <c r="N30641" s="1"/>
      <c r="V30641" s="5"/>
    </row>
    <row r="30642">
      <c r="N30642" s="1"/>
      <c r="V30642" s="5"/>
    </row>
    <row r="30643">
      <c r="N30643" s="1"/>
      <c r="V30643" s="5"/>
    </row>
    <row r="30644">
      <c r="N30644" s="1"/>
      <c r="V30644" s="5"/>
    </row>
    <row r="30645">
      <c r="N30645" s="1"/>
      <c r="V30645" s="5"/>
    </row>
    <row r="30646">
      <c r="N30646" s="1"/>
      <c r="V30646" s="5"/>
    </row>
    <row r="30647">
      <c r="N30647" s="1"/>
      <c r="V30647" s="5"/>
    </row>
    <row r="30648">
      <c r="N30648" s="1"/>
      <c r="V30648" s="5"/>
    </row>
    <row r="30649">
      <c r="N30649" s="1"/>
      <c r="V30649" s="5"/>
    </row>
    <row r="30650">
      <c r="N30650" s="1"/>
      <c r="V30650" s="5"/>
    </row>
    <row r="30651">
      <c r="N30651" s="1"/>
      <c r="V30651" s="5"/>
    </row>
    <row r="30652">
      <c r="N30652" s="1"/>
      <c r="V30652" s="5"/>
    </row>
    <row r="30653">
      <c r="N30653" s="1"/>
      <c r="V30653" s="5"/>
    </row>
    <row r="30654">
      <c r="N30654" s="1"/>
      <c r="V30654" s="5"/>
    </row>
    <row r="30655">
      <c r="N30655" s="1"/>
      <c r="V30655" s="5"/>
    </row>
    <row r="30656">
      <c r="N30656" s="1"/>
      <c r="V30656" s="5"/>
    </row>
    <row r="30657">
      <c r="N30657" s="1"/>
      <c r="V30657" s="5"/>
    </row>
    <row r="30658">
      <c r="N30658" s="1"/>
      <c r="V30658" s="5"/>
    </row>
    <row r="30659">
      <c r="N30659" s="1"/>
      <c r="V30659" s="5"/>
    </row>
    <row r="30660">
      <c r="N30660" s="1"/>
      <c r="V30660" s="5"/>
    </row>
    <row r="30661">
      <c r="N30661" s="1"/>
      <c r="V30661" s="5"/>
    </row>
    <row r="30662">
      <c r="N30662" s="1"/>
      <c r="V30662" s="5"/>
    </row>
    <row r="30663">
      <c r="N30663" s="1"/>
      <c r="V30663" s="5"/>
    </row>
    <row r="30664">
      <c r="N30664" s="1"/>
      <c r="V30664" s="5"/>
    </row>
    <row r="30665">
      <c r="N30665" s="1"/>
      <c r="V30665" s="5"/>
    </row>
    <row r="30666">
      <c r="N30666" s="1"/>
      <c r="V30666" s="5"/>
    </row>
    <row r="30667">
      <c r="N30667" s="1"/>
      <c r="V30667" s="5"/>
    </row>
    <row r="30668">
      <c r="N30668" s="1"/>
      <c r="V30668" s="5"/>
    </row>
    <row r="30669">
      <c r="N30669" s="1"/>
      <c r="V30669" s="5"/>
    </row>
    <row r="30670">
      <c r="N30670" s="1"/>
      <c r="V30670" s="5"/>
    </row>
    <row r="30671">
      <c r="N30671" s="1"/>
      <c r="V30671" s="5"/>
    </row>
    <row r="30672">
      <c r="N30672" s="1"/>
      <c r="V30672" s="5"/>
    </row>
    <row r="30673">
      <c r="N30673" s="1"/>
      <c r="V30673" s="5"/>
    </row>
    <row r="30674">
      <c r="N30674" s="1"/>
      <c r="V30674" s="5"/>
    </row>
    <row r="30675">
      <c r="N30675" s="1"/>
      <c r="V30675" s="5"/>
    </row>
    <row r="30676">
      <c r="N30676" s="1"/>
      <c r="V30676" s="5"/>
    </row>
    <row r="30677">
      <c r="N30677" s="1"/>
      <c r="V30677" s="5"/>
    </row>
    <row r="30678">
      <c r="N30678" s="1"/>
      <c r="V30678" s="5"/>
    </row>
    <row r="30679">
      <c r="N30679" s="1"/>
      <c r="V30679" s="5"/>
    </row>
    <row r="30680">
      <c r="N30680" s="1"/>
      <c r="V30680" s="5"/>
    </row>
    <row r="30681">
      <c r="N30681" s="1"/>
      <c r="V30681" s="5"/>
    </row>
    <row r="30682">
      <c r="N30682" s="1"/>
      <c r="V30682" s="5"/>
    </row>
    <row r="30683">
      <c r="N30683" s="1"/>
      <c r="V30683" s="5"/>
    </row>
    <row r="30684">
      <c r="N30684" s="1"/>
      <c r="V30684" s="5"/>
    </row>
    <row r="30685">
      <c r="N30685" s="1"/>
      <c r="V30685" s="5"/>
    </row>
    <row r="30686">
      <c r="N30686" s="1"/>
      <c r="V30686" s="5"/>
    </row>
    <row r="30687">
      <c r="N30687" s="1"/>
      <c r="V30687" s="5"/>
    </row>
    <row r="30688">
      <c r="N30688" s="1"/>
      <c r="V30688" s="5"/>
    </row>
    <row r="30689">
      <c r="N30689" s="1"/>
      <c r="V30689" s="5"/>
    </row>
    <row r="30690">
      <c r="N30690" s="1"/>
      <c r="V30690" s="5"/>
    </row>
    <row r="30691">
      <c r="N30691" s="1"/>
      <c r="V30691" s="5"/>
    </row>
    <row r="30692">
      <c r="N30692" s="1"/>
      <c r="V30692" s="5"/>
    </row>
    <row r="30693">
      <c r="N30693" s="1"/>
      <c r="V30693" s="5"/>
    </row>
    <row r="30694">
      <c r="N30694" s="1"/>
      <c r="V30694" s="5"/>
    </row>
    <row r="30695">
      <c r="N30695" s="1"/>
      <c r="V30695" s="5"/>
    </row>
    <row r="30696">
      <c r="N30696" s="1"/>
      <c r="V30696" s="5"/>
    </row>
    <row r="30697">
      <c r="N30697" s="1"/>
      <c r="V30697" s="5"/>
    </row>
    <row r="30698">
      <c r="N30698" s="1"/>
      <c r="V30698" s="5"/>
    </row>
    <row r="30699">
      <c r="N30699" s="1"/>
      <c r="V30699" s="5"/>
    </row>
    <row r="30700">
      <c r="N30700" s="1"/>
      <c r="V30700" s="5"/>
    </row>
    <row r="30701">
      <c r="N30701" s="1"/>
      <c r="V30701" s="5"/>
    </row>
    <row r="30702">
      <c r="N30702" s="1"/>
      <c r="V30702" s="5"/>
    </row>
    <row r="30703">
      <c r="N30703" s="1"/>
      <c r="V30703" s="5"/>
    </row>
    <row r="30704">
      <c r="N30704" s="1"/>
      <c r="V30704" s="5"/>
    </row>
    <row r="30705">
      <c r="N30705" s="1"/>
      <c r="V30705" s="5"/>
    </row>
    <row r="30706">
      <c r="N30706" s="1"/>
      <c r="V30706" s="5"/>
    </row>
    <row r="30707">
      <c r="N30707" s="1"/>
      <c r="V30707" s="5"/>
    </row>
    <row r="30708">
      <c r="N30708" s="1"/>
      <c r="V30708" s="5"/>
    </row>
    <row r="30709">
      <c r="N30709" s="1"/>
      <c r="V30709" s="5"/>
    </row>
    <row r="30710">
      <c r="N30710" s="1"/>
      <c r="V30710" s="5"/>
    </row>
    <row r="30711">
      <c r="N30711" s="1"/>
      <c r="V30711" s="5"/>
    </row>
    <row r="30712">
      <c r="N30712" s="1"/>
      <c r="V30712" s="5"/>
    </row>
    <row r="30713">
      <c r="N30713" s="1"/>
      <c r="V30713" s="5"/>
    </row>
    <row r="30714">
      <c r="N30714" s="1"/>
      <c r="V30714" s="5"/>
    </row>
    <row r="30715">
      <c r="N30715" s="1"/>
      <c r="V30715" s="5"/>
    </row>
    <row r="30716">
      <c r="N30716" s="1"/>
      <c r="V30716" s="5"/>
    </row>
    <row r="30717">
      <c r="N30717" s="1"/>
      <c r="V30717" s="5"/>
    </row>
    <row r="30718">
      <c r="N30718" s="1"/>
      <c r="V30718" s="5"/>
    </row>
    <row r="30719">
      <c r="N30719" s="1"/>
      <c r="V30719" s="5"/>
    </row>
    <row r="30720">
      <c r="N30720" s="1"/>
      <c r="V30720" s="5"/>
    </row>
    <row r="30721">
      <c r="N30721" s="1"/>
      <c r="V30721" s="5"/>
    </row>
    <row r="30722">
      <c r="N30722" s="1"/>
      <c r="V30722" s="5"/>
    </row>
    <row r="30723">
      <c r="N30723" s="1"/>
      <c r="V30723" s="5"/>
    </row>
    <row r="30724">
      <c r="N30724" s="1"/>
      <c r="V30724" s="5"/>
    </row>
    <row r="30725">
      <c r="N30725" s="1"/>
      <c r="V30725" s="5"/>
    </row>
    <row r="30726">
      <c r="N30726" s="1"/>
      <c r="V30726" s="5"/>
    </row>
    <row r="30727">
      <c r="N30727" s="1"/>
      <c r="V30727" s="5"/>
    </row>
    <row r="30728">
      <c r="N30728" s="1"/>
      <c r="V30728" s="5"/>
    </row>
    <row r="30729">
      <c r="N30729" s="1"/>
      <c r="V30729" s="5"/>
    </row>
    <row r="30730">
      <c r="N30730" s="1"/>
      <c r="V30730" s="5"/>
    </row>
    <row r="30731">
      <c r="N30731" s="1"/>
      <c r="V30731" s="5"/>
    </row>
    <row r="30732">
      <c r="N30732" s="1"/>
      <c r="V30732" s="5"/>
    </row>
    <row r="30733">
      <c r="N30733" s="1"/>
      <c r="V30733" s="5"/>
    </row>
    <row r="30734">
      <c r="N30734" s="1"/>
      <c r="V30734" s="5"/>
    </row>
    <row r="30735">
      <c r="N30735" s="1"/>
      <c r="V30735" s="5"/>
    </row>
    <row r="30736">
      <c r="N30736" s="1"/>
      <c r="V30736" s="5"/>
    </row>
    <row r="30737">
      <c r="N30737" s="1"/>
      <c r="V30737" s="5"/>
    </row>
    <row r="30738">
      <c r="N30738" s="1"/>
      <c r="V30738" s="5"/>
    </row>
    <row r="30739">
      <c r="N30739" s="1"/>
      <c r="V30739" s="5"/>
    </row>
    <row r="30740">
      <c r="N30740" s="1"/>
      <c r="V30740" s="5"/>
    </row>
    <row r="30741">
      <c r="N30741" s="1"/>
      <c r="V30741" s="5"/>
    </row>
    <row r="30742">
      <c r="N30742" s="1"/>
      <c r="V30742" s="5"/>
    </row>
    <row r="30743">
      <c r="N30743" s="1"/>
      <c r="V30743" s="5"/>
    </row>
    <row r="30744">
      <c r="N30744" s="1"/>
      <c r="V30744" s="5"/>
    </row>
    <row r="30745">
      <c r="N30745" s="1"/>
      <c r="V30745" s="5"/>
    </row>
    <row r="30746">
      <c r="N30746" s="1"/>
      <c r="V30746" s="5"/>
    </row>
    <row r="30747">
      <c r="N30747" s="1"/>
      <c r="V30747" s="5"/>
    </row>
    <row r="30748">
      <c r="N30748" s="1"/>
      <c r="V30748" s="5"/>
    </row>
    <row r="30749">
      <c r="N30749" s="1"/>
      <c r="V30749" s="5"/>
    </row>
    <row r="30750">
      <c r="N30750" s="1"/>
      <c r="V30750" s="5"/>
    </row>
    <row r="30751">
      <c r="N30751" s="1"/>
      <c r="V30751" s="5"/>
    </row>
    <row r="30752">
      <c r="N30752" s="1"/>
      <c r="V30752" s="5"/>
    </row>
    <row r="30753">
      <c r="N30753" s="1"/>
      <c r="V30753" s="5"/>
    </row>
    <row r="30754">
      <c r="N30754" s="1"/>
      <c r="V30754" s="5"/>
    </row>
    <row r="30755">
      <c r="N30755" s="1"/>
      <c r="V30755" s="5"/>
    </row>
    <row r="30756">
      <c r="N30756" s="1"/>
      <c r="V30756" s="5"/>
    </row>
    <row r="30757">
      <c r="N30757" s="1"/>
      <c r="V30757" s="5"/>
    </row>
    <row r="30758">
      <c r="N30758" s="1"/>
      <c r="V30758" s="5"/>
    </row>
    <row r="30759">
      <c r="N30759" s="1"/>
      <c r="V30759" s="5"/>
    </row>
    <row r="30760">
      <c r="N30760" s="1"/>
      <c r="V30760" s="5"/>
    </row>
    <row r="30761">
      <c r="N30761" s="1"/>
      <c r="V30761" s="5"/>
    </row>
    <row r="30762">
      <c r="N30762" s="1"/>
      <c r="V30762" s="5"/>
    </row>
    <row r="30763">
      <c r="N30763" s="1"/>
      <c r="V30763" s="5"/>
    </row>
    <row r="30764">
      <c r="N30764" s="1"/>
      <c r="V30764" s="5"/>
    </row>
    <row r="30765">
      <c r="N30765" s="1"/>
      <c r="V30765" s="5"/>
    </row>
    <row r="30766">
      <c r="N30766" s="1"/>
      <c r="V30766" s="5"/>
    </row>
    <row r="30767">
      <c r="N30767" s="1"/>
      <c r="V30767" s="5"/>
    </row>
    <row r="30768">
      <c r="N30768" s="1"/>
      <c r="V30768" s="5"/>
    </row>
    <row r="30769">
      <c r="N30769" s="1"/>
      <c r="V30769" s="5"/>
    </row>
    <row r="30770">
      <c r="N30770" s="1"/>
      <c r="V30770" s="5"/>
    </row>
    <row r="30771">
      <c r="N30771" s="1"/>
      <c r="V30771" s="5"/>
    </row>
    <row r="30772">
      <c r="N30772" s="1"/>
      <c r="V30772" s="5"/>
    </row>
    <row r="30773">
      <c r="N30773" s="1"/>
      <c r="V30773" s="5"/>
    </row>
    <row r="30774">
      <c r="N30774" s="1"/>
      <c r="V30774" s="5"/>
    </row>
    <row r="30775">
      <c r="N30775" s="1"/>
      <c r="V30775" s="5"/>
    </row>
    <row r="30776">
      <c r="N30776" s="1"/>
      <c r="V30776" s="5"/>
    </row>
    <row r="30777">
      <c r="N30777" s="1"/>
      <c r="V30777" s="5"/>
    </row>
    <row r="30778">
      <c r="N30778" s="1"/>
      <c r="V30778" s="5"/>
    </row>
    <row r="30779">
      <c r="N30779" s="1"/>
      <c r="V30779" s="5"/>
    </row>
    <row r="30780">
      <c r="N30780" s="1"/>
      <c r="V30780" s="5"/>
    </row>
    <row r="30781">
      <c r="N30781" s="1"/>
      <c r="V30781" s="5"/>
    </row>
    <row r="30782">
      <c r="N30782" s="1"/>
      <c r="V30782" s="5"/>
    </row>
    <row r="30783">
      <c r="N30783" s="1"/>
      <c r="V30783" s="5"/>
    </row>
    <row r="30784">
      <c r="N30784" s="1"/>
      <c r="V30784" s="5"/>
    </row>
    <row r="30785">
      <c r="N30785" s="1"/>
      <c r="V30785" s="5"/>
    </row>
    <row r="30786">
      <c r="N30786" s="1"/>
      <c r="V30786" s="5"/>
    </row>
    <row r="30787">
      <c r="N30787" s="1"/>
      <c r="V30787" s="5"/>
    </row>
    <row r="30788">
      <c r="N30788" s="1"/>
      <c r="V30788" s="5"/>
    </row>
    <row r="30789">
      <c r="N30789" s="1"/>
      <c r="V30789" s="5"/>
    </row>
    <row r="30790">
      <c r="N30790" s="1"/>
      <c r="V30790" s="5"/>
    </row>
    <row r="30791">
      <c r="N30791" s="1"/>
      <c r="V30791" s="5"/>
    </row>
    <row r="30792">
      <c r="N30792" s="1"/>
      <c r="V30792" s="5"/>
    </row>
    <row r="30793">
      <c r="N30793" s="1"/>
      <c r="V30793" s="5"/>
    </row>
    <row r="30794">
      <c r="N30794" s="1"/>
      <c r="V30794" s="5"/>
    </row>
    <row r="30795">
      <c r="N30795" s="1"/>
      <c r="V30795" s="5"/>
    </row>
    <row r="30796">
      <c r="N30796" s="1"/>
      <c r="V30796" s="5"/>
    </row>
    <row r="30797">
      <c r="N30797" s="1"/>
      <c r="V30797" s="5"/>
    </row>
    <row r="30798">
      <c r="N30798" s="1"/>
      <c r="V30798" s="5"/>
    </row>
    <row r="30799">
      <c r="N30799" s="1"/>
      <c r="V30799" s="5"/>
    </row>
    <row r="30800">
      <c r="N30800" s="1"/>
      <c r="V30800" s="5"/>
    </row>
    <row r="30801">
      <c r="N30801" s="1"/>
      <c r="V30801" s="5"/>
    </row>
    <row r="30802">
      <c r="N30802" s="1"/>
      <c r="V30802" s="5"/>
    </row>
    <row r="30803">
      <c r="N30803" s="1"/>
      <c r="V30803" s="5"/>
    </row>
    <row r="30804">
      <c r="N30804" s="1"/>
      <c r="V30804" s="5"/>
    </row>
    <row r="30805">
      <c r="N30805" s="1"/>
      <c r="V30805" s="5"/>
    </row>
    <row r="30806">
      <c r="N30806" s="1"/>
      <c r="V30806" s="5"/>
    </row>
    <row r="30807">
      <c r="N30807" s="1"/>
      <c r="V30807" s="5"/>
    </row>
    <row r="30808">
      <c r="N30808" s="1"/>
      <c r="V30808" s="5"/>
    </row>
    <row r="30809">
      <c r="N30809" s="1"/>
      <c r="V30809" s="5"/>
    </row>
    <row r="30810">
      <c r="N30810" s="1"/>
      <c r="V30810" s="5"/>
    </row>
    <row r="30811">
      <c r="N30811" s="1"/>
      <c r="V30811" s="5"/>
    </row>
    <row r="30812">
      <c r="N30812" s="1"/>
      <c r="V30812" s="5"/>
    </row>
    <row r="30813">
      <c r="N30813" s="1"/>
      <c r="V30813" s="5"/>
    </row>
    <row r="30814">
      <c r="N30814" s="1"/>
      <c r="V30814" s="5"/>
    </row>
    <row r="30815">
      <c r="N30815" s="1"/>
      <c r="V30815" s="5"/>
    </row>
    <row r="30816">
      <c r="N30816" s="1"/>
      <c r="V30816" s="5"/>
    </row>
    <row r="30817">
      <c r="N30817" s="1"/>
      <c r="V30817" s="5"/>
    </row>
    <row r="30818">
      <c r="N30818" s="1"/>
      <c r="V30818" s="5"/>
    </row>
    <row r="30819">
      <c r="N30819" s="1"/>
      <c r="V30819" s="5"/>
    </row>
    <row r="30820">
      <c r="N30820" s="1"/>
      <c r="V30820" s="5"/>
    </row>
    <row r="30821">
      <c r="N30821" s="1"/>
      <c r="V30821" s="5"/>
    </row>
    <row r="30822">
      <c r="N30822" s="1"/>
      <c r="V30822" s="5"/>
    </row>
    <row r="30823">
      <c r="N30823" s="1"/>
      <c r="V30823" s="5"/>
    </row>
    <row r="30824">
      <c r="N30824" s="1"/>
      <c r="V30824" s="5"/>
    </row>
    <row r="30825">
      <c r="N30825" s="1"/>
      <c r="V30825" s="5"/>
    </row>
    <row r="30826">
      <c r="N30826" s="1"/>
      <c r="V30826" s="5"/>
    </row>
    <row r="30827">
      <c r="N30827" s="1"/>
      <c r="V30827" s="5"/>
    </row>
    <row r="30828">
      <c r="N30828" s="1"/>
      <c r="V30828" s="5"/>
    </row>
    <row r="30829">
      <c r="N30829" s="1"/>
      <c r="V30829" s="5"/>
    </row>
    <row r="30830">
      <c r="N30830" s="1"/>
      <c r="V30830" s="5"/>
    </row>
    <row r="30831">
      <c r="N30831" s="1"/>
      <c r="V30831" s="5"/>
    </row>
    <row r="30832">
      <c r="N30832" s="1"/>
      <c r="V30832" s="5"/>
    </row>
    <row r="30833">
      <c r="N30833" s="1"/>
      <c r="V30833" s="5"/>
    </row>
    <row r="30834">
      <c r="N30834" s="1"/>
      <c r="V30834" s="5"/>
    </row>
    <row r="30835">
      <c r="N30835" s="1"/>
      <c r="V30835" s="5"/>
    </row>
    <row r="30836">
      <c r="N30836" s="1"/>
      <c r="V30836" s="5"/>
    </row>
    <row r="30837">
      <c r="N30837" s="1"/>
      <c r="V30837" s="5"/>
    </row>
    <row r="30838">
      <c r="N30838" s="1"/>
      <c r="V30838" s="5"/>
    </row>
    <row r="30839">
      <c r="N30839" s="1"/>
      <c r="V30839" s="5"/>
    </row>
    <row r="30840">
      <c r="N30840" s="1"/>
      <c r="V30840" s="5"/>
    </row>
    <row r="30841">
      <c r="N30841" s="1"/>
      <c r="V30841" s="5"/>
    </row>
    <row r="30842">
      <c r="N30842" s="1"/>
      <c r="V30842" s="5"/>
    </row>
    <row r="30843">
      <c r="N30843" s="1"/>
      <c r="V30843" s="5"/>
    </row>
    <row r="30844">
      <c r="N30844" s="1"/>
      <c r="V30844" s="5"/>
    </row>
    <row r="30845">
      <c r="N30845" s="1"/>
      <c r="V30845" s="5"/>
    </row>
    <row r="30846">
      <c r="N30846" s="1"/>
      <c r="V30846" s="5"/>
    </row>
    <row r="30847">
      <c r="N30847" s="1"/>
      <c r="V30847" s="5"/>
    </row>
    <row r="30848">
      <c r="N30848" s="1"/>
      <c r="V30848" s="5"/>
    </row>
    <row r="30849">
      <c r="N30849" s="1"/>
      <c r="V30849" s="5"/>
    </row>
    <row r="30850">
      <c r="N30850" s="1"/>
      <c r="V30850" s="5"/>
    </row>
    <row r="30851">
      <c r="N30851" s="1"/>
      <c r="V30851" s="5"/>
    </row>
    <row r="30852">
      <c r="N30852" s="1"/>
      <c r="V30852" s="5"/>
    </row>
    <row r="30853">
      <c r="N30853" s="1"/>
      <c r="V30853" s="5"/>
    </row>
    <row r="30854">
      <c r="N30854" s="1"/>
      <c r="V30854" s="5"/>
    </row>
    <row r="30855">
      <c r="N30855" s="1"/>
      <c r="V30855" s="5"/>
    </row>
    <row r="30856">
      <c r="N30856" s="1"/>
      <c r="V30856" s="5"/>
    </row>
    <row r="30857">
      <c r="N30857" s="1"/>
      <c r="V30857" s="5"/>
    </row>
    <row r="30858">
      <c r="N30858" s="1"/>
      <c r="V30858" s="5"/>
    </row>
    <row r="30859">
      <c r="N30859" s="1"/>
      <c r="V30859" s="5"/>
    </row>
    <row r="30860">
      <c r="N30860" s="1"/>
      <c r="V30860" s="5"/>
    </row>
    <row r="30861">
      <c r="N30861" s="1"/>
      <c r="V30861" s="5"/>
    </row>
    <row r="30862">
      <c r="N30862" s="1"/>
      <c r="V30862" s="5"/>
    </row>
    <row r="30863">
      <c r="N30863" s="1"/>
      <c r="V30863" s="5"/>
    </row>
    <row r="30864">
      <c r="N30864" s="1"/>
      <c r="V30864" s="5"/>
    </row>
    <row r="30865">
      <c r="N30865" s="1"/>
      <c r="V30865" s="5"/>
    </row>
    <row r="30866">
      <c r="N30866" s="1"/>
      <c r="V30866" s="5"/>
    </row>
    <row r="30867">
      <c r="N30867" s="1"/>
      <c r="V30867" s="5"/>
    </row>
    <row r="30868">
      <c r="N30868" s="1"/>
      <c r="V30868" s="5"/>
    </row>
    <row r="30869">
      <c r="N30869" s="1"/>
      <c r="V30869" s="5"/>
    </row>
    <row r="30870">
      <c r="N30870" s="1"/>
      <c r="V30870" s="5"/>
    </row>
    <row r="30871">
      <c r="N30871" s="1"/>
      <c r="V30871" s="5"/>
    </row>
    <row r="30872">
      <c r="N30872" s="1"/>
      <c r="V30872" s="5"/>
    </row>
    <row r="30873">
      <c r="N30873" s="1"/>
      <c r="V30873" s="5"/>
    </row>
    <row r="30874">
      <c r="N30874" s="1"/>
      <c r="V30874" s="5"/>
    </row>
    <row r="30875">
      <c r="N30875" s="1"/>
      <c r="V30875" s="5"/>
    </row>
    <row r="30876">
      <c r="N30876" s="1"/>
      <c r="V30876" s="5"/>
    </row>
    <row r="30877">
      <c r="N30877" s="1"/>
      <c r="V30877" s="5"/>
    </row>
    <row r="30878">
      <c r="N30878" s="1"/>
      <c r="V30878" s="5"/>
    </row>
    <row r="30879">
      <c r="N30879" s="1"/>
      <c r="V30879" s="5"/>
    </row>
    <row r="30880">
      <c r="N30880" s="1"/>
      <c r="V30880" s="5"/>
    </row>
    <row r="30881">
      <c r="N30881" s="1"/>
      <c r="V30881" s="5"/>
    </row>
    <row r="30882">
      <c r="N30882" s="1"/>
      <c r="V30882" s="5"/>
    </row>
    <row r="30883">
      <c r="N30883" s="1"/>
      <c r="V30883" s="5"/>
    </row>
    <row r="30884">
      <c r="N30884" s="1"/>
      <c r="V30884" s="5"/>
    </row>
    <row r="30885">
      <c r="N30885" s="1"/>
      <c r="V30885" s="5"/>
    </row>
    <row r="30886">
      <c r="N30886" s="1"/>
      <c r="V30886" s="5"/>
    </row>
    <row r="30887">
      <c r="N30887" s="1"/>
      <c r="V30887" s="5"/>
    </row>
    <row r="30888">
      <c r="N30888" s="1"/>
      <c r="V30888" s="5"/>
    </row>
    <row r="30889">
      <c r="N30889" s="1"/>
      <c r="V30889" s="5"/>
    </row>
    <row r="30890">
      <c r="N30890" s="1"/>
      <c r="V30890" s="5"/>
    </row>
    <row r="30891">
      <c r="N30891" s="1"/>
      <c r="V30891" s="5"/>
    </row>
    <row r="30892">
      <c r="N30892" s="1"/>
      <c r="V30892" s="5"/>
    </row>
    <row r="30893">
      <c r="N30893" s="1"/>
      <c r="V30893" s="5"/>
    </row>
    <row r="30894">
      <c r="N30894" s="1"/>
      <c r="V30894" s="5"/>
    </row>
    <row r="30895">
      <c r="N30895" s="1"/>
      <c r="V30895" s="5"/>
    </row>
    <row r="30896">
      <c r="N30896" s="1"/>
      <c r="V30896" s="5"/>
    </row>
    <row r="30897">
      <c r="N30897" s="1"/>
      <c r="V30897" s="5"/>
    </row>
    <row r="30898">
      <c r="N30898" s="1"/>
      <c r="V30898" s="5"/>
    </row>
    <row r="30899">
      <c r="N30899" s="1"/>
      <c r="V30899" s="5"/>
    </row>
    <row r="30900">
      <c r="N30900" s="1"/>
      <c r="V30900" s="5"/>
    </row>
    <row r="30901">
      <c r="N30901" s="1"/>
      <c r="V30901" s="5"/>
    </row>
    <row r="30902">
      <c r="N30902" s="1"/>
      <c r="V30902" s="5"/>
    </row>
    <row r="30903">
      <c r="N30903" s="1"/>
      <c r="V30903" s="5"/>
    </row>
    <row r="30904">
      <c r="N30904" s="1"/>
      <c r="V30904" s="5"/>
    </row>
    <row r="30905">
      <c r="N30905" s="1"/>
      <c r="V30905" s="5"/>
    </row>
    <row r="30906">
      <c r="N30906" s="1"/>
      <c r="V30906" s="5"/>
    </row>
    <row r="30907">
      <c r="N30907" s="1"/>
      <c r="V30907" s="5"/>
    </row>
    <row r="30908">
      <c r="N30908" s="1"/>
      <c r="V30908" s="5"/>
    </row>
    <row r="30909">
      <c r="N30909" s="1"/>
      <c r="V30909" s="5"/>
    </row>
    <row r="30910">
      <c r="N30910" s="1"/>
      <c r="V30910" s="5"/>
    </row>
    <row r="30911">
      <c r="N30911" s="1"/>
      <c r="V30911" s="5"/>
    </row>
    <row r="30912">
      <c r="N30912" s="1"/>
      <c r="V30912" s="5"/>
    </row>
    <row r="30913">
      <c r="N30913" s="1"/>
      <c r="V30913" s="5"/>
    </row>
    <row r="30914">
      <c r="N30914" s="1"/>
      <c r="V30914" s="5"/>
    </row>
    <row r="30915">
      <c r="N30915" s="1"/>
      <c r="V30915" s="5"/>
    </row>
    <row r="30916">
      <c r="N30916" s="1"/>
      <c r="V30916" s="5"/>
    </row>
    <row r="30917">
      <c r="N30917" s="1"/>
      <c r="V30917" s="5"/>
    </row>
    <row r="30918">
      <c r="N30918" s="1"/>
      <c r="V30918" s="5"/>
    </row>
    <row r="30919">
      <c r="N30919" s="1"/>
      <c r="V30919" s="5"/>
    </row>
    <row r="30920">
      <c r="N30920" s="1"/>
      <c r="V30920" s="5"/>
    </row>
    <row r="30921">
      <c r="N30921" s="1"/>
      <c r="V30921" s="5"/>
    </row>
    <row r="30922">
      <c r="N30922" s="1"/>
      <c r="V30922" s="5"/>
    </row>
    <row r="30923">
      <c r="N30923" s="1"/>
      <c r="V30923" s="5"/>
    </row>
    <row r="30924">
      <c r="N30924" s="1"/>
      <c r="V30924" s="5"/>
    </row>
    <row r="30925">
      <c r="N30925" s="1"/>
      <c r="V30925" s="5"/>
    </row>
    <row r="30926">
      <c r="N30926" s="1"/>
      <c r="V30926" s="5"/>
    </row>
    <row r="30927">
      <c r="N30927" s="1"/>
      <c r="V30927" s="5"/>
    </row>
    <row r="30928">
      <c r="N30928" s="1"/>
      <c r="V30928" s="5"/>
    </row>
    <row r="30929">
      <c r="N30929" s="1"/>
      <c r="V30929" s="5"/>
    </row>
    <row r="30930">
      <c r="N30930" s="1"/>
      <c r="V30930" s="5"/>
    </row>
    <row r="30931">
      <c r="N30931" s="1"/>
      <c r="V30931" s="5"/>
    </row>
    <row r="30932">
      <c r="N30932" s="1"/>
      <c r="V30932" s="5"/>
    </row>
    <row r="30933">
      <c r="N30933" s="1"/>
      <c r="V30933" s="5"/>
    </row>
    <row r="30934">
      <c r="N30934" s="1"/>
      <c r="V30934" s="5"/>
    </row>
    <row r="30935">
      <c r="N30935" s="1"/>
      <c r="V30935" s="5"/>
    </row>
    <row r="30936">
      <c r="N30936" s="1"/>
      <c r="V30936" s="5"/>
    </row>
    <row r="30937">
      <c r="N30937" s="1"/>
      <c r="V30937" s="5"/>
    </row>
    <row r="30938">
      <c r="N30938" s="1"/>
      <c r="V30938" s="5"/>
    </row>
    <row r="30939">
      <c r="N30939" s="1"/>
      <c r="V30939" s="5"/>
    </row>
    <row r="30940">
      <c r="N30940" s="1"/>
      <c r="V30940" s="5"/>
    </row>
    <row r="30941">
      <c r="N30941" s="1"/>
      <c r="V30941" s="5"/>
    </row>
    <row r="30942">
      <c r="N30942" s="1"/>
      <c r="V30942" s="5"/>
    </row>
    <row r="30943">
      <c r="N30943" s="1"/>
      <c r="V30943" s="5"/>
    </row>
    <row r="30944">
      <c r="N30944" s="1"/>
      <c r="V30944" s="5"/>
    </row>
    <row r="30945">
      <c r="N30945" s="1"/>
      <c r="V30945" s="5"/>
    </row>
    <row r="30946">
      <c r="N30946" s="1"/>
      <c r="V30946" s="5"/>
    </row>
    <row r="30947">
      <c r="N30947" s="1"/>
      <c r="V30947" s="5"/>
    </row>
    <row r="30948">
      <c r="N30948" s="1"/>
      <c r="V30948" s="5"/>
    </row>
    <row r="30949">
      <c r="N30949" s="1"/>
      <c r="V30949" s="5"/>
    </row>
    <row r="30950">
      <c r="N30950" s="1"/>
      <c r="V30950" s="5"/>
    </row>
    <row r="30951">
      <c r="N30951" s="1"/>
      <c r="V30951" s="5"/>
    </row>
    <row r="30952">
      <c r="N30952" s="1"/>
      <c r="V30952" s="5"/>
    </row>
    <row r="30953">
      <c r="N30953" s="1"/>
      <c r="V30953" s="5"/>
    </row>
    <row r="30954">
      <c r="N30954" s="1"/>
      <c r="V30954" s="5"/>
    </row>
    <row r="30955">
      <c r="N30955" s="1"/>
      <c r="V30955" s="5"/>
    </row>
    <row r="30956">
      <c r="N30956" s="1"/>
      <c r="V30956" s="5"/>
    </row>
    <row r="30957">
      <c r="N30957" s="1"/>
      <c r="V30957" s="5"/>
    </row>
    <row r="30958">
      <c r="N30958" s="1"/>
      <c r="V30958" s="5"/>
    </row>
    <row r="30959">
      <c r="N30959" s="1"/>
      <c r="V30959" s="5"/>
    </row>
    <row r="30960">
      <c r="N30960" s="1"/>
      <c r="V30960" s="5"/>
    </row>
    <row r="30961">
      <c r="N30961" s="1"/>
      <c r="V30961" s="5"/>
    </row>
    <row r="30962">
      <c r="N30962" s="1"/>
      <c r="V30962" s="5"/>
    </row>
    <row r="30963">
      <c r="N30963" s="1"/>
      <c r="V30963" s="5"/>
    </row>
    <row r="30964">
      <c r="N30964" s="1"/>
      <c r="V30964" s="5"/>
    </row>
    <row r="30965">
      <c r="N30965" s="1"/>
      <c r="V30965" s="5"/>
    </row>
    <row r="30966">
      <c r="N30966" s="1"/>
      <c r="V30966" s="5"/>
    </row>
    <row r="30967">
      <c r="N30967" s="1"/>
      <c r="V30967" s="5"/>
    </row>
    <row r="30968">
      <c r="N30968" s="1"/>
      <c r="V30968" s="5"/>
    </row>
    <row r="30969">
      <c r="N30969" s="1"/>
      <c r="V30969" s="5"/>
    </row>
    <row r="30970">
      <c r="N30970" s="1"/>
      <c r="V30970" s="5"/>
    </row>
    <row r="30971">
      <c r="N30971" s="1"/>
      <c r="V30971" s="5"/>
    </row>
    <row r="30972">
      <c r="N30972" s="1"/>
      <c r="V30972" s="5"/>
    </row>
    <row r="30973">
      <c r="N30973" s="1"/>
      <c r="V30973" s="5"/>
    </row>
    <row r="30974">
      <c r="N30974" s="1"/>
      <c r="V30974" s="5"/>
    </row>
    <row r="30975">
      <c r="N30975" s="1"/>
      <c r="V30975" s="5"/>
    </row>
    <row r="30976">
      <c r="N30976" s="1"/>
      <c r="V30976" s="5"/>
    </row>
    <row r="30977">
      <c r="N30977" s="1"/>
      <c r="V30977" s="5"/>
    </row>
    <row r="30978">
      <c r="N30978" s="1"/>
      <c r="V30978" s="5"/>
    </row>
    <row r="30979">
      <c r="N30979" s="1"/>
      <c r="V30979" s="5"/>
    </row>
    <row r="30980">
      <c r="N30980" s="1"/>
      <c r="V30980" s="5"/>
    </row>
    <row r="30981">
      <c r="N30981" s="1"/>
      <c r="V30981" s="5"/>
    </row>
    <row r="30982">
      <c r="N30982" s="1"/>
      <c r="V30982" s="5"/>
    </row>
    <row r="30983">
      <c r="N30983" s="1"/>
      <c r="V30983" s="5"/>
    </row>
    <row r="30984">
      <c r="N30984" s="1"/>
      <c r="V30984" s="5"/>
    </row>
    <row r="30985">
      <c r="N30985" s="1"/>
      <c r="V30985" s="5"/>
    </row>
    <row r="30986">
      <c r="N30986" s="1"/>
      <c r="V30986" s="5"/>
    </row>
    <row r="30987">
      <c r="N30987" s="1"/>
      <c r="V30987" s="5"/>
    </row>
    <row r="30988">
      <c r="N30988" s="1"/>
      <c r="V30988" s="5"/>
    </row>
    <row r="30989">
      <c r="N30989" s="1"/>
      <c r="V30989" s="5"/>
    </row>
    <row r="30990">
      <c r="N30990" s="1"/>
      <c r="V30990" s="5"/>
    </row>
    <row r="30991">
      <c r="N30991" s="1"/>
      <c r="V30991" s="5"/>
    </row>
    <row r="30992">
      <c r="N30992" s="1"/>
      <c r="V30992" s="5"/>
    </row>
    <row r="30993">
      <c r="N30993" s="1"/>
      <c r="V30993" s="5"/>
    </row>
    <row r="30994">
      <c r="N30994" s="1"/>
      <c r="V30994" s="5"/>
    </row>
    <row r="30995">
      <c r="N30995" s="1"/>
      <c r="V30995" s="5"/>
    </row>
    <row r="30996">
      <c r="N30996" s="1"/>
      <c r="V30996" s="5"/>
    </row>
    <row r="30997">
      <c r="N30997" s="1"/>
      <c r="V30997" s="5"/>
    </row>
    <row r="30998">
      <c r="N30998" s="1"/>
      <c r="V30998" s="5"/>
    </row>
    <row r="30999">
      <c r="N30999" s="1"/>
      <c r="V30999" s="5"/>
    </row>
    <row r="31000">
      <c r="N31000" s="1"/>
      <c r="V31000" s="5"/>
    </row>
    <row r="31001">
      <c r="N31001" s="1"/>
      <c r="V31001" s="5"/>
    </row>
    <row r="31002">
      <c r="N31002" s="1"/>
      <c r="V31002" s="5"/>
    </row>
    <row r="31003">
      <c r="N31003" s="1"/>
      <c r="V31003" s="5"/>
    </row>
    <row r="31004">
      <c r="N31004" s="1"/>
      <c r="V31004" s="5"/>
    </row>
    <row r="31005">
      <c r="N31005" s="1"/>
      <c r="V31005" s="5"/>
    </row>
    <row r="31006">
      <c r="N31006" s="1"/>
      <c r="V31006" s="5"/>
    </row>
    <row r="31007">
      <c r="N31007" s="1"/>
      <c r="V31007" s="5"/>
    </row>
    <row r="31008">
      <c r="N31008" s="1"/>
      <c r="V31008" s="5"/>
    </row>
    <row r="31009">
      <c r="N31009" s="1"/>
      <c r="V31009" s="5"/>
    </row>
    <row r="31010">
      <c r="N31010" s="1"/>
      <c r="V31010" s="5"/>
    </row>
    <row r="31011">
      <c r="N31011" s="1"/>
      <c r="V31011" s="5"/>
    </row>
    <row r="31012">
      <c r="N31012" s="1"/>
      <c r="V31012" s="5"/>
    </row>
    <row r="31013">
      <c r="N31013" s="1"/>
      <c r="V31013" s="5"/>
    </row>
    <row r="31014">
      <c r="N31014" s="1"/>
      <c r="V31014" s="5"/>
    </row>
    <row r="31015">
      <c r="N31015" s="1"/>
      <c r="V31015" s="5"/>
    </row>
    <row r="31016">
      <c r="N31016" s="1"/>
      <c r="V31016" s="5"/>
    </row>
    <row r="31017">
      <c r="N31017" s="1"/>
      <c r="V31017" s="5"/>
    </row>
    <row r="31018">
      <c r="N31018" s="1"/>
      <c r="V31018" s="5"/>
    </row>
    <row r="31019">
      <c r="N31019" s="1"/>
      <c r="V31019" s="5"/>
    </row>
    <row r="31020">
      <c r="N31020" s="1"/>
      <c r="V31020" s="5"/>
    </row>
    <row r="31021">
      <c r="N31021" s="1"/>
      <c r="V31021" s="5"/>
    </row>
    <row r="31022">
      <c r="N31022" s="1"/>
      <c r="V31022" s="5"/>
    </row>
    <row r="31023">
      <c r="N31023" s="1"/>
      <c r="V31023" s="5"/>
    </row>
    <row r="31024">
      <c r="N31024" s="1"/>
      <c r="V31024" s="5"/>
    </row>
    <row r="31025">
      <c r="N31025" s="1"/>
      <c r="V31025" s="5"/>
    </row>
    <row r="31026">
      <c r="N31026" s="1"/>
      <c r="V31026" s="5"/>
    </row>
    <row r="31027">
      <c r="N31027" s="1"/>
      <c r="V31027" s="5"/>
    </row>
    <row r="31028">
      <c r="N31028" s="1"/>
      <c r="V31028" s="5"/>
    </row>
    <row r="31029">
      <c r="N31029" s="1"/>
      <c r="V31029" s="5"/>
    </row>
    <row r="31030">
      <c r="N31030" s="1"/>
      <c r="V31030" s="5"/>
    </row>
    <row r="31031">
      <c r="N31031" s="1"/>
      <c r="V31031" s="5"/>
    </row>
    <row r="31032">
      <c r="N31032" s="1"/>
      <c r="V31032" s="5"/>
    </row>
    <row r="31033">
      <c r="N31033" s="1"/>
      <c r="V31033" s="5"/>
    </row>
    <row r="31034">
      <c r="N31034" s="1"/>
      <c r="V31034" s="5"/>
    </row>
    <row r="31035">
      <c r="N31035" s="1"/>
      <c r="V31035" s="5"/>
    </row>
    <row r="31036">
      <c r="N31036" s="1"/>
      <c r="V31036" s="5"/>
    </row>
    <row r="31037">
      <c r="N31037" s="1"/>
      <c r="V31037" s="5"/>
    </row>
    <row r="31038">
      <c r="N31038" s="1"/>
      <c r="V31038" s="5"/>
    </row>
    <row r="31039">
      <c r="N31039" s="1"/>
      <c r="V31039" s="5"/>
    </row>
    <row r="31040">
      <c r="N31040" s="1"/>
      <c r="V31040" s="5"/>
    </row>
    <row r="31041">
      <c r="N31041" s="1"/>
      <c r="V31041" s="5"/>
    </row>
    <row r="31042">
      <c r="N31042" s="1"/>
      <c r="V31042" s="5"/>
    </row>
    <row r="31043">
      <c r="N31043" s="1"/>
      <c r="V31043" s="5"/>
    </row>
    <row r="31044">
      <c r="N31044" s="1"/>
      <c r="V31044" s="5"/>
    </row>
    <row r="31045">
      <c r="N31045" s="1"/>
      <c r="V31045" s="5"/>
    </row>
    <row r="31046">
      <c r="N31046" s="1"/>
      <c r="V31046" s="5"/>
    </row>
    <row r="31047">
      <c r="N31047" s="1"/>
      <c r="V31047" s="5"/>
    </row>
    <row r="31048">
      <c r="N31048" s="1"/>
      <c r="V31048" s="5"/>
    </row>
    <row r="31049">
      <c r="N31049" s="1"/>
      <c r="V31049" s="5"/>
    </row>
    <row r="31050">
      <c r="N31050" s="1"/>
      <c r="V31050" s="5"/>
    </row>
    <row r="31051">
      <c r="N31051" s="1"/>
      <c r="V31051" s="5"/>
    </row>
    <row r="31052">
      <c r="N31052" s="1"/>
      <c r="V31052" s="5"/>
    </row>
    <row r="31053">
      <c r="N31053" s="1"/>
      <c r="V31053" s="5"/>
    </row>
    <row r="31054">
      <c r="N31054" s="1"/>
      <c r="V31054" s="5"/>
    </row>
    <row r="31055">
      <c r="N31055" s="1"/>
      <c r="V31055" s="5"/>
    </row>
    <row r="31056">
      <c r="N31056" s="1"/>
      <c r="V31056" s="5"/>
    </row>
    <row r="31057">
      <c r="N31057" s="1"/>
      <c r="V31057" s="5"/>
    </row>
    <row r="31058">
      <c r="N31058" s="1"/>
      <c r="V31058" s="5"/>
    </row>
    <row r="31059">
      <c r="N31059" s="1"/>
      <c r="V31059" s="5"/>
    </row>
    <row r="31060">
      <c r="N31060" s="1"/>
      <c r="V31060" s="5"/>
    </row>
    <row r="31061">
      <c r="N31061" s="1"/>
      <c r="V31061" s="5"/>
    </row>
    <row r="31062">
      <c r="N31062" s="1"/>
      <c r="V31062" s="5"/>
    </row>
    <row r="31063">
      <c r="N31063" s="1"/>
      <c r="V31063" s="5"/>
    </row>
    <row r="31064">
      <c r="N31064" s="1"/>
      <c r="V31064" s="5"/>
    </row>
    <row r="31065">
      <c r="N31065" s="1"/>
      <c r="V31065" s="5"/>
    </row>
    <row r="31066">
      <c r="N31066" s="1"/>
      <c r="V31066" s="5"/>
    </row>
    <row r="31067">
      <c r="N31067" s="1"/>
      <c r="V31067" s="5"/>
    </row>
    <row r="31068">
      <c r="N31068" s="1"/>
      <c r="V31068" s="5"/>
    </row>
    <row r="31069">
      <c r="N31069" s="1"/>
      <c r="V31069" s="5"/>
    </row>
    <row r="31070">
      <c r="N31070" s="1"/>
      <c r="V31070" s="5"/>
    </row>
    <row r="31071">
      <c r="N31071" s="1"/>
      <c r="V31071" s="5"/>
    </row>
    <row r="31072">
      <c r="N31072" s="1"/>
      <c r="V31072" s="5"/>
    </row>
    <row r="31073">
      <c r="N31073" s="1"/>
      <c r="V31073" s="5"/>
    </row>
    <row r="31074">
      <c r="N31074" s="1"/>
      <c r="V31074" s="5"/>
    </row>
    <row r="31075">
      <c r="N31075" s="1"/>
      <c r="V31075" s="5"/>
    </row>
    <row r="31076">
      <c r="N31076" s="1"/>
      <c r="V31076" s="5"/>
    </row>
    <row r="31077">
      <c r="N31077" s="1"/>
      <c r="V31077" s="5"/>
    </row>
    <row r="31078">
      <c r="N31078" s="1"/>
      <c r="V31078" s="5"/>
    </row>
    <row r="31079">
      <c r="N31079" s="1"/>
      <c r="V31079" s="5"/>
    </row>
    <row r="31080">
      <c r="N31080" s="1"/>
      <c r="V31080" s="5"/>
    </row>
    <row r="31081">
      <c r="N31081" s="1"/>
      <c r="V31081" s="5"/>
    </row>
    <row r="31082">
      <c r="N31082" s="1"/>
      <c r="V31082" s="5"/>
    </row>
    <row r="31083">
      <c r="N31083" s="1"/>
      <c r="V31083" s="5"/>
    </row>
    <row r="31084">
      <c r="N31084" s="1"/>
      <c r="V31084" s="5"/>
    </row>
    <row r="31085">
      <c r="N31085" s="1"/>
      <c r="V31085" s="5"/>
    </row>
    <row r="31086">
      <c r="N31086" s="1"/>
      <c r="V31086" s="5"/>
    </row>
    <row r="31087">
      <c r="N31087" s="1"/>
      <c r="V31087" s="5"/>
    </row>
    <row r="31088">
      <c r="N31088" s="1"/>
      <c r="V31088" s="5"/>
    </row>
    <row r="31089">
      <c r="N31089" s="1"/>
      <c r="V31089" s="5"/>
    </row>
    <row r="31090">
      <c r="N31090" s="1"/>
      <c r="V31090" s="5"/>
    </row>
    <row r="31091">
      <c r="N31091" s="1"/>
      <c r="V31091" s="5"/>
    </row>
    <row r="31092">
      <c r="N31092" s="1"/>
      <c r="V31092" s="5"/>
    </row>
    <row r="31093">
      <c r="N31093" s="1"/>
      <c r="V31093" s="5"/>
    </row>
    <row r="31094">
      <c r="N31094" s="1"/>
      <c r="V31094" s="5"/>
    </row>
    <row r="31095">
      <c r="N31095" s="1"/>
      <c r="V31095" s="5"/>
    </row>
    <row r="31096">
      <c r="N31096" s="1"/>
      <c r="V31096" s="5"/>
    </row>
    <row r="31097">
      <c r="N31097" s="1"/>
      <c r="V31097" s="5"/>
    </row>
    <row r="31098">
      <c r="N31098" s="1"/>
      <c r="V31098" s="5"/>
    </row>
    <row r="31099">
      <c r="N31099" s="1"/>
      <c r="V31099" s="5"/>
    </row>
    <row r="31100">
      <c r="N31100" s="1"/>
      <c r="V31100" s="5"/>
    </row>
    <row r="31101">
      <c r="N31101" s="1"/>
      <c r="V31101" s="5"/>
    </row>
    <row r="31102">
      <c r="N31102" s="1"/>
      <c r="V31102" s="5"/>
    </row>
    <row r="31103">
      <c r="N31103" s="1"/>
      <c r="V31103" s="5"/>
    </row>
    <row r="31104">
      <c r="N31104" s="1"/>
      <c r="V31104" s="5"/>
    </row>
    <row r="31105">
      <c r="N31105" s="1"/>
      <c r="V31105" s="5"/>
    </row>
    <row r="31106">
      <c r="N31106" s="1"/>
      <c r="V31106" s="5"/>
    </row>
    <row r="31107">
      <c r="N31107" s="1"/>
      <c r="V31107" s="5"/>
    </row>
    <row r="31108">
      <c r="N31108" s="1"/>
      <c r="V31108" s="5"/>
    </row>
    <row r="31109">
      <c r="N31109" s="1"/>
      <c r="V31109" s="5"/>
    </row>
    <row r="31110">
      <c r="N31110" s="1"/>
      <c r="V31110" s="5"/>
    </row>
    <row r="31111">
      <c r="N31111" s="1"/>
      <c r="V31111" s="5"/>
    </row>
    <row r="31112">
      <c r="N31112" s="1"/>
      <c r="V31112" s="5"/>
    </row>
    <row r="31113">
      <c r="N31113" s="1"/>
      <c r="V31113" s="5"/>
    </row>
    <row r="31114">
      <c r="N31114" s="1"/>
      <c r="V31114" s="5"/>
    </row>
    <row r="31115">
      <c r="N31115" s="1"/>
      <c r="V31115" s="5"/>
    </row>
    <row r="31116">
      <c r="N31116" s="1"/>
      <c r="V31116" s="5"/>
    </row>
    <row r="31117">
      <c r="N31117" s="1"/>
      <c r="V31117" s="5"/>
    </row>
    <row r="31118">
      <c r="N31118" s="1"/>
      <c r="V31118" s="5"/>
    </row>
    <row r="31119">
      <c r="N31119" s="1"/>
      <c r="V31119" s="5"/>
    </row>
    <row r="31120">
      <c r="N31120" s="1"/>
      <c r="V31120" s="5"/>
    </row>
    <row r="31121">
      <c r="N31121" s="1"/>
      <c r="V31121" s="5"/>
    </row>
    <row r="31122">
      <c r="N31122" s="1"/>
      <c r="V31122" s="5"/>
    </row>
    <row r="31123">
      <c r="N31123" s="1"/>
      <c r="V31123" s="5"/>
    </row>
    <row r="31124">
      <c r="N31124" s="1"/>
      <c r="V31124" s="5"/>
    </row>
    <row r="31125">
      <c r="N31125" s="1"/>
      <c r="V31125" s="5"/>
    </row>
    <row r="31126">
      <c r="N31126" s="1"/>
      <c r="V31126" s="5"/>
    </row>
    <row r="31127">
      <c r="N31127" s="1"/>
      <c r="V31127" s="5"/>
    </row>
    <row r="31128">
      <c r="N31128" s="1"/>
      <c r="V31128" s="5"/>
    </row>
    <row r="31129">
      <c r="N31129" s="1"/>
      <c r="V31129" s="5"/>
    </row>
    <row r="31130">
      <c r="N31130" s="1"/>
      <c r="V31130" s="5"/>
    </row>
    <row r="31131">
      <c r="N31131" s="1"/>
      <c r="V31131" s="5"/>
    </row>
    <row r="31132">
      <c r="N31132" s="1"/>
      <c r="V31132" s="5"/>
    </row>
    <row r="31133">
      <c r="N31133" s="1"/>
      <c r="V31133" s="5"/>
    </row>
    <row r="31134">
      <c r="N31134" s="1"/>
      <c r="V31134" s="5"/>
    </row>
    <row r="31135">
      <c r="N31135" s="1"/>
      <c r="V31135" s="5"/>
    </row>
    <row r="31136">
      <c r="N31136" s="1"/>
      <c r="V31136" s="5"/>
    </row>
    <row r="31137">
      <c r="N31137" s="1"/>
      <c r="V31137" s="5"/>
    </row>
    <row r="31138">
      <c r="N31138" s="1"/>
      <c r="V31138" s="5"/>
    </row>
    <row r="31139">
      <c r="N31139" s="1"/>
      <c r="V31139" s="5"/>
    </row>
    <row r="31140">
      <c r="N31140" s="1"/>
      <c r="V31140" s="5"/>
    </row>
    <row r="31141">
      <c r="N31141" s="1"/>
      <c r="V31141" s="5"/>
    </row>
    <row r="31142">
      <c r="N31142" s="1"/>
      <c r="V31142" s="5"/>
    </row>
    <row r="31143">
      <c r="N31143" s="1"/>
      <c r="V31143" s="5"/>
    </row>
    <row r="31144">
      <c r="N31144" s="1"/>
      <c r="V31144" s="5"/>
    </row>
    <row r="31145">
      <c r="N31145" s="1"/>
      <c r="V31145" s="5"/>
    </row>
    <row r="31146">
      <c r="N31146" s="1"/>
      <c r="V31146" s="5"/>
    </row>
    <row r="31147">
      <c r="N31147" s="1"/>
      <c r="V31147" s="5"/>
    </row>
    <row r="31148">
      <c r="N31148" s="1"/>
      <c r="V31148" s="5"/>
    </row>
    <row r="31149">
      <c r="N31149" s="1"/>
      <c r="V31149" s="5"/>
    </row>
    <row r="31150">
      <c r="N31150" s="1"/>
      <c r="V31150" s="5"/>
    </row>
    <row r="31151">
      <c r="N31151" s="1"/>
      <c r="V31151" s="5"/>
    </row>
    <row r="31152">
      <c r="N31152" s="1"/>
      <c r="V31152" s="5"/>
    </row>
    <row r="31153">
      <c r="N31153" s="1"/>
      <c r="V31153" s="5"/>
    </row>
    <row r="31154">
      <c r="N31154" s="1"/>
      <c r="V31154" s="5"/>
    </row>
    <row r="31155">
      <c r="N31155" s="1"/>
      <c r="V31155" s="5"/>
    </row>
    <row r="31156">
      <c r="N31156" s="1"/>
      <c r="V31156" s="5"/>
    </row>
    <row r="31157">
      <c r="N31157" s="1"/>
      <c r="V31157" s="5"/>
    </row>
    <row r="31158">
      <c r="N31158" s="1"/>
      <c r="V31158" s="5"/>
    </row>
    <row r="31159">
      <c r="N31159" s="1"/>
      <c r="V31159" s="5"/>
    </row>
    <row r="31160">
      <c r="N31160" s="1"/>
      <c r="V31160" s="5"/>
    </row>
    <row r="31161">
      <c r="N31161" s="1"/>
      <c r="V31161" s="5"/>
    </row>
    <row r="31162">
      <c r="N31162" s="1"/>
      <c r="V31162" s="5"/>
    </row>
    <row r="31163">
      <c r="N31163" s="1"/>
      <c r="V31163" s="5"/>
    </row>
    <row r="31164">
      <c r="N31164" s="1"/>
      <c r="V31164" s="5"/>
    </row>
    <row r="31165">
      <c r="N31165" s="1"/>
      <c r="V31165" s="5"/>
    </row>
    <row r="31166">
      <c r="N31166" s="1"/>
      <c r="V31166" s="5"/>
    </row>
    <row r="31167">
      <c r="N31167" s="1"/>
      <c r="V31167" s="5"/>
    </row>
    <row r="31168">
      <c r="N31168" s="1"/>
      <c r="V31168" s="5"/>
    </row>
    <row r="31169">
      <c r="N31169" s="1"/>
      <c r="V31169" s="5"/>
    </row>
    <row r="31170">
      <c r="N31170" s="1"/>
      <c r="V31170" s="5"/>
    </row>
    <row r="31171">
      <c r="N31171" s="1"/>
      <c r="V31171" s="5"/>
    </row>
    <row r="31172">
      <c r="N31172" s="1"/>
      <c r="V31172" s="5"/>
    </row>
    <row r="31173">
      <c r="N31173" s="1"/>
      <c r="V31173" s="5"/>
    </row>
    <row r="31174">
      <c r="N31174" s="1"/>
      <c r="V31174" s="5"/>
    </row>
    <row r="31175">
      <c r="N31175" s="1"/>
      <c r="V31175" s="5"/>
    </row>
    <row r="31176">
      <c r="N31176" s="1"/>
      <c r="V31176" s="5"/>
    </row>
    <row r="31177">
      <c r="N31177" s="1"/>
      <c r="V31177" s="5"/>
    </row>
    <row r="31178">
      <c r="N31178" s="1"/>
      <c r="V31178" s="5"/>
    </row>
    <row r="31179">
      <c r="N31179" s="1"/>
      <c r="V31179" s="5"/>
    </row>
    <row r="31180">
      <c r="N31180" s="1"/>
      <c r="V31180" s="5"/>
    </row>
    <row r="31181">
      <c r="N31181" s="1"/>
      <c r="V31181" s="5"/>
    </row>
    <row r="31182">
      <c r="N31182" s="1"/>
      <c r="V31182" s="5"/>
    </row>
    <row r="31183">
      <c r="N31183" s="1"/>
      <c r="V31183" s="5"/>
    </row>
    <row r="31184">
      <c r="N31184" s="1"/>
      <c r="V31184" s="5"/>
    </row>
    <row r="31185">
      <c r="N31185" s="1"/>
      <c r="V31185" s="5"/>
    </row>
    <row r="31186">
      <c r="N31186" s="1"/>
      <c r="V31186" s="5"/>
    </row>
    <row r="31187">
      <c r="N31187" s="1"/>
      <c r="V31187" s="5"/>
    </row>
    <row r="31188">
      <c r="N31188" s="1"/>
      <c r="V31188" s="5"/>
    </row>
    <row r="31189">
      <c r="N31189" s="1"/>
      <c r="V31189" s="5"/>
    </row>
    <row r="31190">
      <c r="N31190" s="1"/>
      <c r="V31190" s="5"/>
    </row>
    <row r="31191">
      <c r="N31191" s="1"/>
      <c r="V31191" s="5"/>
    </row>
    <row r="31192">
      <c r="N31192" s="1"/>
      <c r="V31192" s="5"/>
    </row>
    <row r="31193">
      <c r="N31193" s="1"/>
      <c r="V31193" s="5"/>
    </row>
    <row r="31194">
      <c r="N31194" s="1"/>
      <c r="V31194" s="5"/>
    </row>
    <row r="31195">
      <c r="N31195" s="1"/>
      <c r="V31195" s="5"/>
    </row>
    <row r="31196">
      <c r="N31196" s="1"/>
      <c r="V31196" s="5"/>
    </row>
    <row r="31197">
      <c r="N31197" s="1"/>
      <c r="V31197" s="5"/>
    </row>
    <row r="31198">
      <c r="N31198" s="1"/>
      <c r="V31198" s="5"/>
    </row>
    <row r="31199">
      <c r="N31199" s="1"/>
      <c r="V31199" s="5"/>
    </row>
    <row r="31200">
      <c r="N31200" s="1"/>
      <c r="V31200" s="5"/>
    </row>
    <row r="31201">
      <c r="N31201" s="1"/>
      <c r="V31201" s="5"/>
    </row>
    <row r="31202">
      <c r="N31202" s="1"/>
      <c r="V31202" s="5"/>
    </row>
    <row r="31203">
      <c r="N31203" s="1"/>
      <c r="V31203" s="5"/>
    </row>
    <row r="31204">
      <c r="N31204" s="1"/>
      <c r="V31204" s="5"/>
    </row>
    <row r="31205">
      <c r="N31205" s="1"/>
      <c r="V31205" s="5"/>
    </row>
    <row r="31206">
      <c r="N31206" s="1"/>
      <c r="V31206" s="5"/>
    </row>
    <row r="31207">
      <c r="N31207" s="1"/>
      <c r="V31207" s="5"/>
    </row>
    <row r="31208">
      <c r="N31208" s="1"/>
      <c r="V31208" s="5"/>
    </row>
    <row r="31209">
      <c r="N31209" s="1"/>
      <c r="V31209" s="5"/>
    </row>
    <row r="31210">
      <c r="N31210" s="1"/>
      <c r="V31210" s="5"/>
    </row>
    <row r="31211">
      <c r="N31211" s="1"/>
      <c r="V31211" s="5"/>
    </row>
    <row r="31212">
      <c r="N31212" s="1"/>
      <c r="V31212" s="5"/>
    </row>
    <row r="31213">
      <c r="N31213" s="1"/>
      <c r="V31213" s="5"/>
    </row>
    <row r="31214">
      <c r="N31214" s="1"/>
      <c r="V31214" s="5"/>
    </row>
    <row r="31215">
      <c r="N31215" s="1"/>
      <c r="V31215" s="5"/>
    </row>
    <row r="31216">
      <c r="N31216" s="1"/>
      <c r="V31216" s="5"/>
    </row>
    <row r="31217">
      <c r="N31217" s="1"/>
      <c r="V31217" s="5"/>
    </row>
    <row r="31218">
      <c r="N31218" s="1"/>
      <c r="V31218" s="5"/>
    </row>
    <row r="31219">
      <c r="N31219" s="1"/>
      <c r="V31219" s="5"/>
    </row>
    <row r="31220">
      <c r="N31220" s="1"/>
      <c r="V31220" s="5"/>
    </row>
    <row r="31221">
      <c r="N31221" s="1"/>
      <c r="V31221" s="5"/>
    </row>
    <row r="31222">
      <c r="N31222" s="1"/>
      <c r="V31222" s="5"/>
    </row>
    <row r="31223">
      <c r="N31223" s="1"/>
      <c r="V31223" s="5"/>
    </row>
    <row r="31224">
      <c r="N31224" s="1"/>
      <c r="V31224" s="5"/>
    </row>
    <row r="31225">
      <c r="N31225" s="1"/>
      <c r="V31225" s="5"/>
    </row>
    <row r="31226">
      <c r="N31226" s="1"/>
      <c r="V31226" s="5"/>
    </row>
    <row r="31227">
      <c r="N31227" s="1"/>
      <c r="V31227" s="5"/>
    </row>
    <row r="31228">
      <c r="N31228" s="1"/>
      <c r="V31228" s="5"/>
    </row>
    <row r="31229">
      <c r="N31229" s="1"/>
      <c r="V31229" s="5"/>
    </row>
    <row r="31230">
      <c r="N31230" s="1"/>
      <c r="V31230" s="5"/>
    </row>
    <row r="31231">
      <c r="N31231" s="1"/>
      <c r="V31231" s="5"/>
    </row>
    <row r="31232">
      <c r="N31232" s="1"/>
      <c r="V31232" s="5"/>
    </row>
    <row r="31233">
      <c r="N31233" s="1"/>
      <c r="V31233" s="5"/>
    </row>
    <row r="31234">
      <c r="N31234" s="1"/>
      <c r="V31234" s="5"/>
    </row>
    <row r="31235">
      <c r="N31235" s="1"/>
      <c r="V31235" s="5"/>
    </row>
    <row r="31236">
      <c r="N31236" s="1"/>
      <c r="V31236" s="5"/>
    </row>
    <row r="31237">
      <c r="N31237" s="1"/>
      <c r="V31237" s="5"/>
    </row>
    <row r="31238">
      <c r="N31238" s="1"/>
      <c r="V31238" s="5"/>
    </row>
    <row r="31239">
      <c r="N31239" s="1"/>
      <c r="V31239" s="5"/>
    </row>
    <row r="31240">
      <c r="N31240" s="1"/>
      <c r="V31240" s="5"/>
    </row>
    <row r="31241">
      <c r="N31241" s="1"/>
      <c r="V31241" s="5"/>
    </row>
    <row r="31242">
      <c r="N31242" s="1"/>
      <c r="V31242" s="5"/>
    </row>
    <row r="31243">
      <c r="N31243" s="1"/>
      <c r="V31243" s="5"/>
    </row>
    <row r="31244">
      <c r="N31244" s="1"/>
      <c r="V31244" s="5"/>
    </row>
    <row r="31245">
      <c r="N31245" s="1"/>
      <c r="V31245" s="5"/>
    </row>
    <row r="31246">
      <c r="N31246" s="1"/>
      <c r="V31246" s="5"/>
    </row>
    <row r="31247">
      <c r="N31247" s="1"/>
      <c r="V31247" s="5"/>
    </row>
    <row r="31248">
      <c r="N31248" s="1"/>
      <c r="V31248" s="5"/>
    </row>
    <row r="31249">
      <c r="N31249" s="1"/>
      <c r="V31249" s="5"/>
    </row>
    <row r="31250">
      <c r="N31250" s="1"/>
      <c r="V31250" s="5"/>
    </row>
    <row r="31251">
      <c r="N31251" s="1"/>
      <c r="V31251" s="5"/>
    </row>
    <row r="31252">
      <c r="N31252" s="1"/>
      <c r="V31252" s="5"/>
    </row>
    <row r="31253">
      <c r="N31253" s="1"/>
      <c r="V31253" s="5"/>
    </row>
    <row r="31254">
      <c r="N31254" s="1"/>
      <c r="V31254" s="5"/>
    </row>
    <row r="31255">
      <c r="N31255" s="1"/>
      <c r="V31255" s="5"/>
    </row>
    <row r="31256">
      <c r="N31256" s="1"/>
      <c r="V31256" s="5"/>
    </row>
    <row r="31257">
      <c r="N31257" s="1"/>
      <c r="V31257" s="5"/>
    </row>
    <row r="31258">
      <c r="N31258" s="1"/>
      <c r="V31258" s="5"/>
    </row>
    <row r="31259">
      <c r="N31259" s="1"/>
      <c r="V31259" s="5"/>
    </row>
    <row r="31260">
      <c r="N31260" s="1"/>
      <c r="V31260" s="5"/>
    </row>
    <row r="31261">
      <c r="N31261" s="1"/>
      <c r="V31261" s="5"/>
    </row>
    <row r="31262">
      <c r="N31262" s="1"/>
      <c r="V31262" s="5"/>
    </row>
    <row r="31263">
      <c r="N31263" s="1"/>
      <c r="V31263" s="5"/>
    </row>
    <row r="31264">
      <c r="N31264" s="1"/>
      <c r="V31264" s="5"/>
    </row>
    <row r="31265">
      <c r="N31265" s="1"/>
      <c r="V31265" s="5"/>
    </row>
    <row r="31266">
      <c r="N31266" s="1"/>
      <c r="V31266" s="5"/>
    </row>
    <row r="31267">
      <c r="N31267" s="1"/>
      <c r="V31267" s="5"/>
    </row>
    <row r="31268">
      <c r="N31268" s="1"/>
      <c r="V31268" s="5"/>
    </row>
    <row r="31269">
      <c r="N31269" s="1"/>
      <c r="V31269" s="5"/>
    </row>
    <row r="31270">
      <c r="N31270" s="1"/>
      <c r="V31270" s="5"/>
    </row>
    <row r="31271">
      <c r="N31271" s="1"/>
      <c r="V31271" s="5"/>
    </row>
    <row r="31272">
      <c r="N31272" s="1"/>
      <c r="V31272" s="5"/>
    </row>
    <row r="31273">
      <c r="N31273" s="1"/>
      <c r="V31273" s="5"/>
    </row>
    <row r="31274">
      <c r="N31274" s="1"/>
      <c r="V31274" s="5"/>
    </row>
    <row r="31275">
      <c r="N31275" s="1"/>
      <c r="V31275" s="5"/>
    </row>
    <row r="31276">
      <c r="N31276" s="1"/>
      <c r="V31276" s="5"/>
    </row>
    <row r="31277">
      <c r="N31277" s="1"/>
      <c r="V31277" s="5"/>
    </row>
    <row r="31278">
      <c r="N31278" s="1"/>
      <c r="V31278" s="5"/>
    </row>
    <row r="31279">
      <c r="N31279" s="1"/>
      <c r="V31279" s="5"/>
    </row>
    <row r="31280">
      <c r="N31280" s="1"/>
      <c r="V31280" s="5"/>
    </row>
    <row r="31281">
      <c r="N31281" s="1"/>
      <c r="V31281" s="5"/>
    </row>
    <row r="31282">
      <c r="N31282" s="1"/>
      <c r="V31282" s="5"/>
    </row>
    <row r="31283">
      <c r="N31283" s="1"/>
      <c r="V31283" s="5"/>
    </row>
    <row r="31284">
      <c r="N31284" s="1"/>
      <c r="V31284" s="5"/>
    </row>
    <row r="31285">
      <c r="N31285" s="1"/>
      <c r="V31285" s="5"/>
    </row>
    <row r="31286">
      <c r="N31286" s="1"/>
      <c r="V31286" s="5"/>
    </row>
    <row r="31287">
      <c r="N31287" s="1"/>
      <c r="V31287" s="5"/>
    </row>
    <row r="31288">
      <c r="N31288" s="1"/>
      <c r="V31288" s="5"/>
    </row>
    <row r="31289">
      <c r="N31289" s="1"/>
      <c r="V31289" s="5"/>
    </row>
    <row r="31290">
      <c r="N31290" s="1"/>
      <c r="V31290" s="5"/>
    </row>
    <row r="31291">
      <c r="N31291" s="1"/>
      <c r="V31291" s="5"/>
    </row>
    <row r="31292">
      <c r="N31292" s="1"/>
      <c r="V31292" s="5"/>
    </row>
    <row r="31293">
      <c r="N31293" s="1"/>
      <c r="V31293" s="5"/>
    </row>
    <row r="31294">
      <c r="N31294" s="1"/>
      <c r="V31294" s="5"/>
    </row>
    <row r="31295">
      <c r="N31295" s="1"/>
      <c r="V31295" s="5"/>
    </row>
    <row r="31296">
      <c r="N31296" s="1"/>
      <c r="V31296" s="5"/>
    </row>
    <row r="31297">
      <c r="N31297" s="1"/>
      <c r="V31297" s="5"/>
    </row>
    <row r="31298">
      <c r="N31298" s="1"/>
      <c r="V31298" s="5"/>
    </row>
    <row r="31299">
      <c r="N31299" s="1"/>
      <c r="V31299" s="5"/>
    </row>
    <row r="31300">
      <c r="N31300" s="1"/>
      <c r="V31300" s="5"/>
    </row>
    <row r="31301">
      <c r="N31301" s="1"/>
      <c r="V31301" s="5"/>
    </row>
    <row r="31302">
      <c r="N31302" s="1"/>
      <c r="V31302" s="5"/>
    </row>
    <row r="31303">
      <c r="N31303" s="1"/>
      <c r="V31303" s="5"/>
    </row>
    <row r="31304">
      <c r="N31304" s="1"/>
      <c r="V31304" s="5"/>
    </row>
    <row r="31305">
      <c r="N31305" s="1"/>
      <c r="V31305" s="5"/>
    </row>
    <row r="31306">
      <c r="N31306" s="1"/>
      <c r="V31306" s="5"/>
    </row>
    <row r="31307">
      <c r="N31307" s="1"/>
      <c r="V31307" s="5"/>
    </row>
    <row r="31308">
      <c r="N31308" s="1"/>
      <c r="V31308" s="5"/>
    </row>
    <row r="31309">
      <c r="N31309" s="1"/>
      <c r="V31309" s="5"/>
    </row>
    <row r="31310">
      <c r="N31310" s="1"/>
      <c r="V31310" s="5"/>
    </row>
    <row r="31311">
      <c r="N31311" s="1"/>
      <c r="V31311" s="5"/>
    </row>
    <row r="31312">
      <c r="N31312" s="1"/>
      <c r="V31312" s="5"/>
    </row>
    <row r="31313">
      <c r="N31313" s="1"/>
      <c r="V31313" s="5"/>
    </row>
    <row r="31314">
      <c r="N31314" s="1"/>
      <c r="V31314" s="5"/>
    </row>
    <row r="31315">
      <c r="N31315" s="1"/>
      <c r="V31315" s="5"/>
    </row>
    <row r="31316">
      <c r="N31316" s="1"/>
      <c r="V31316" s="5"/>
    </row>
    <row r="31317">
      <c r="N31317" s="1"/>
      <c r="V31317" s="5"/>
    </row>
    <row r="31318">
      <c r="N31318" s="1"/>
      <c r="V31318" s="5"/>
    </row>
    <row r="31319">
      <c r="N31319" s="1"/>
      <c r="V31319" s="5"/>
    </row>
    <row r="31320">
      <c r="N31320" s="1"/>
      <c r="V31320" s="5"/>
    </row>
    <row r="31321">
      <c r="N31321" s="1"/>
      <c r="V31321" s="5"/>
    </row>
    <row r="31322">
      <c r="N31322" s="1"/>
      <c r="V31322" s="5"/>
    </row>
    <row r="31323">
      <c r="N31323" s="1"/>
      <c r="V31323" s="5"/>
    </row>
    <row r="31324">
      <c r="N31324" s="1"/>
      <c r="V31324" s="5"/>
    </row>
    <row r="31325">
      <c r="N31325" s="1"/>
      <c r="V31325" s="5"/>
    </row>
    <row r="31326">
      <c r="N31326" s="1"/>
      <c r="V31326" s="5"/>
    </row>
    <row r="31327">
      <c r="N31327" s="1"/>
      <c r="V31327" s="5"/>
    </row>
    <row r="31328">
      <c r="N31328" s="1"/>
      <c r="V31328" s="5"/>
    </row>
    <row r="31329">
      <c r="N31329" s="1"/>
      <c r="V31329" s="5"/>
    </row>
    <row r="31330">
      <c r="N31330" s="1"/>
      <c r="V31330" s="5"/>
    </row>
    <row r="31331">
      <c r="N31331" s="1"/>
      <c r="V31331" s="5"/>
    </row>
    <row r="31332">
      <c r="N31332" s="1"/>
      <c r="V31332" s="5"/>
    </row>
    <row r="31333">
      <c r="N31333" s="1"/>
      <c r="V31333" s="5"/>
    </row>
    <row r="31334">
      <c r="N31334" s="1"/>
      <c r="V31334" s="5"/>
    </row>
    <row r="31335">
      <c r="N31335" s="1"/>
      <c r="V31335" s="5"/>
    </row>
    <row r="31336">
      <c r="N31336" s="1"/>
      <c r="V31336" s="5"/>
    </row>
    <row r="31337">
      <c r="N31337" s="1"/>
      <c r="V31337" s="5"/>
    </row>
    <row r="31338">
      <c r="N31338" s="1"/>
      <c r="V31338" s="5"/>
    </row>
    <row r="31339">
      <c r="N31339" s="1"/>
      <c r="V31339" s="5"/>
    </row>
    <row r="31340">
      <c r="N31340" s="1"/>
      <c r="V31340" s="5"/>
    </row>
    <row r="31341">
      <c r="N31341" s="1"/>
      <c r="V31341" s="5"/>
    </row>
    <row r="31342">
      <c r="N31342" s="1"/>
      <c r="V31342" s="5"/>
    </row>
    <row r="31343">
      <c r="N31343" s="1"/>
      <c r="V31343" s="5"/>
    </row>
    <row r="31344">
      <c r="N31344" s="1"/>
      <c r="V31344" s="5"/>
    </row>
    <row r="31345">
      <c r="N31345" s="1"/>
      <c r="V31345" s="5"/>
    </row>
    <row r="31346">
      <c r="N31346" s="1"/>
      <c r="V31346" s="5"/>
    </row>
    <row r="31347">
      <c r="N31347" s="1"/>
      <c r="V31347" s="5"/>
    </row>
    <row r="31348">
      <c r="N31348" s="1"/>
      <c r="V31348" s="5"/>
    </row>
    <row r="31349">
      <c r="N31349" s="1"/>
      <c r="V31349" s="5"/>
    </row>
    <row r="31350">
      <c r="N31350" s="1"/>
      <c r="V31350" s="5"/>
    </row>
    <row r="31351">
      <c r="N31351" s="1"/>
      <c r="V31351" s="5"/>
    </row>
    <row r="31352">
      <c r="N31352" s="1"/>
      <c r="V31352" s="5"/>
    </row>
    <row r="31353">
      <c r="N31353" s="1"/>
      <c r="V31353" s="5"/>
    </row>
    <row r="31354">
      <c r="N31354" s="1"/>
      <c r="V31354" s="5"/>
    </row>
    <row r="31355">
      <c r="N31355" s="1"/>
      <c r="V31355" s="5"/>
    </row>
    <row r="31356">
      <c r="N31356" s="1"/>
      <c r="V31356" s="5"/>
    </row>
    <row r="31357">
      <c r="N31357" s="1"/>
      <c r="V31357" s="5"/>
    </row>
    <row r="31358">
      <c r="N31358" s="1"/>
      <c r="V31358" s="5"/>
    </row>
    <row r="31359">
      <c r="N31359" s="1"/>
      <c r="V31359" s="5"/>
    </row>
    <row r="31360">
      <c r="N31360" s="1"/>
      <c r="V31360" s="5"/>
    </row>
    <row r="31361">
      <c r="N31361" s="1"/>
      <c r="V31361" s="5"/>
    </row>
    <row r="31362">
      <c r="N31362" s="1"/>
      <c r="V31362" s="5"/>
    </row>
    <row r="31363">
      <c r="N31363" s="1"/>
      <c r="V31363" s="5"/>
    </row>
    <row r="31364">
      <c r="N31364" s="1"/>
      <c r="V31364" s="5"/>
    </row>
    <row r="31365">
      <c r="N31365" s="1"/>
      <c r="V31365" s="5"/>
    </row>
    <row r="31366">
      <c r="N31366" s="1"/>
      <c r="V31366" s="5"/>
    </row>
    <row r="31367">
      <c r="N31367" s="1"/>
      <c r="V31367" s="5"/>
    </row>
    <row r="31368">
      <c r="N31368" s="1"/>
      <c r="V31368" s="5"/>
    </row>
    <row r="31369">
      <c r="N31369" s="1"/>
      <c r="V31369" s="5"/>
    </row>
    <row r="31370">
      <c r="N31370" s="1"/>
      <c r="V31370" s="5"/>
    </row>
    <row r="31371">
      <c r="N31371" s="1"/>
      <c r="V31371" s="5"/>
    </row>
    <row r="31372">
      <c r="N31372" s="1"/>
      <c r="V31372" s="5"/>
    </row>
    <row r="31373">
      <c r="N31373" s="1"/>
      <c r="V31373" s="5"/>
    </row>
    <row r="31374">
      <c r="N31374" s="1"/>
      <c r="V31374" s="5"/>
    </row>
    <row r="31375">
      <c r="N31375" s="1"/>
      <c r="V31375" s="5"/>
    </row>
    <row r="31376">
      <c r="N31376" s="1"/>
      <c r="V31376" s="5"/>
    </row>
    <row r="31377">
      <c r="N31377" s="1"/>
      <c r="V31377" s="5"/>
    </row>
    <row r="31378">
      <c r="N31378" s="1"/>
      <c r="V31378" s="5"/>
    </row>
    <row r="31379">
      <c r="N31379" s="1"/>
      <c r="V31379" s="5"/>
    </row>
    <row r="31380">
      <c r="N31380" s="1"/>
      <c r="V31380" s="5"/>
    </row>
    <row r="31381">
      <c r="N31381" s="1"/>
      <c r="V31381" s="5"/>
    </row>
    <row r="31382">
      <c r="N31382" s="1"/>
      <c r="V31382" s="5"/>
    </row>
    <row r="31383">
      <c r="N31383" s="1"/>
      <c r="V31383" s="5"/>
    </row>
    <row r="31384">
      <c r="N31384" s="1"/>
      <c r="V31384" s="5"/>
    </row>
    <row r="31385">
      <c r="N31385" s="1"/>
      <c r="V31385" s="5"/>
    </row>
    <row r="31386">
      <c r="N31386" s="1"/>
      <c r="V31386" s="5"/>
    </row>
    <row r="31387">
      <c r="N31387" s="1"/>
      <c r="V31387" s="5"/>
    </row>
    <row r="31388">
      <c r="N31388" s="1"/>
      <c r="V31388" s="5"/>
    </row>
    <row r="31389">
      <c r="N31389" s="1"/>
      <c r="V31389" s="5"/>
    </row>
    <row r="31390">
      <c r="N31390" s="1"/>
      <c r="V31390" s="5"/>
    </row>
    <row r="31391">
      <c r="N31391" s="1"/>
      <c r="V31391" s="5"/>
    </row>
    <row r="31392">
      <c r="N31392" s="1"/>
      <c r="V31392" s="5"/>
    </row>
    <row r="31393">
      <c r="N31393" s="1"/>
      <c r="V31393" s="5"/>
    </row>
    <row r="31394">
      <c r="N31394" s="1"/>
      <c r="V31394" s="5"/>
    </row>
    <row r="31395">
      <c r="N31395" s="1"/>
      <c r="V31395" s="5"/>
    </row>
    <row r="31396">
      <c r="N31396" s="1"/>
      <c r="V31396" s="5"/>
    </row>
    <row r="31397">
      <c r="N31397" s="1"/>
      <c r="V31397" s="5"/>
    </row>
    <row r="31398">
      <c r="N31398" s="1"/>
      <c r="V31398" s="5"/>
    </row>
    <row r="31399">
      <c r="N31399" s="1"/>
      <c r="V31399" s="5"/>
    </row>
    <row r="31400">
      <c r="N31400" s="1"/>
      <c r="V31400" s="5"/>
    </row>
    <row r="31401">
      <c r="N31401" s="1"/>
      <c r="V31401" s="5"/>
    </row>
    <row r="31402">
      <c r="N31402" s="1"/>
      <c r="V31402" s="5"/>
    </row>
    <row r="31403">
      <c r="N31403" s="1"/>
      <c r="V31403" s="5"/>
    </row>
    <row r="31404">
      <c r="N31404" s="1"/>
      <c r="V31404" s="5"/>
    </row>
    <row r="31405">
      <c r="N31405" s="1"/>
      <c r="V31405" s="5"/>
    </row>
    <row r="31406">
      <c r="N31406" s="1"/>
      <c r="V31406" s="5"/>
    </row>
    <row r="31407">
      <c r="N31407" s="1"/>
      <c r="V31407" s="5"/>
    </row>
    <row r="31408">
      <c r="N31408" s="1"/>
      <c r="V31408" s="5"/>
    </row>
    <row r="31409">
      <c r="N31409" s="1"/>
      <c r="V31409" s="5"/>
    </row>
    <row r="31410">
      <c r="N31410" s="1"/>
      <c r="V31410" s="5"/>
    </row>
    <row r="31411">
      <c r="N31411" s="1"/>
      <c r="V31411" s="5"/>
    </row>
    <row r="31412">
      <c r="N31412" s="1"/>
      <c r="V31412" s="5"/>
    </row>
    <row r="31413">
      <c r="N31413" s="1"/>
      <c r="V31413" s="5"/>
    </row>
    <row r="31414">
      <c r="N31414" s="1"/>
      <c r="V31414" s="5"/>
    </row>
    <row r="31415">
      <c r="N31415" s="1"/>
      <c r="V31415" s="5"/>
    </row>
    <row r="31416">
      <c r="N31416" s="1"/>
      <c r="V31416" s="5"/>
    </row>
    <row r="31417">
      <c r="N31417" s="1"/>
      <c r="V31417" s="5"/>
    </row>
    <row r="31418">
      <c r="N31418" s="1"/>
      <c r="V31418" s="5"/>
    </row>
    <row r="31419">
      <c r="N31419" s="1"/>
      <c r="V31419" s="5"/>
    </row>
    <row r="31420">
      <c r="N31420" s="1"/>
      <c r="V31420" s="5"/>
    </row>
    <row r="31421">
      <c r="N31421" s="1"/>
      <c r="V31421" s="5"/>
    </row>
    <row r="31422">
      <c r="N31422" s="1"/>
      <c r="V31422" s="5"/>
    </row>
    <row r="31423">
      <c r="N31423" s="1"/>
      <c r="V31423" s="5"/>
    </row>
    <row r="31424">
      <c r="N31424" s="1"/>
      <c r="V31424" s="5"/>
    </row>
    <row r="31425">
      <c r="N31425" s="1"/>
      <c r="V31425" s="5"/>
    </row>
    <row r="31426">
      <c r="N31426" s="1"/>
      <c r="V31426" s="5"/>
    </row>
    <row r="31427">
      <c r="N31427" s="1"/>
      <c r="V31427" s="5"/>
    </row>
    <row r="31428">
      <c r="N31428" s="1"/>
      <c r="V31428" s="5"/>
    </row>
    <row r="31429">
      <c r="N31429" s="1"/>
      <c r="V31429" s="5"/>
    </row>
    <row r="31430">
      <c r="N31430" s="1"/>
      <c r="V31430" s="5"/>
    </row>
    <row r="31431">
      <c r="N31431" s="1"/>
      <c r="V31431" s="5"/>
    </row>
    <row r="31432">
      <c r="N31432" s="1"/>
      <c r="V31432" s="5"/>
    </row>
    <row r="31433">
      <c r="N31433" s="1"/>
      <c r="V31433" s="5"/>
    </row>
    <row r="31434">
      <c r="N31434" s="1"/>
      <c r="V31434" s="5"/>
    </row>
    <row r="31435">
      <c r="N31435" s="1"/>
      <c r="V31435" s="5"/>
    </row>
    <row r="31436">
      <c r="N31436" s="1"/>
      <c r="V31436" s="5"/>
    </row>
    <row r="31437">
      <c r="N31437" s="1"/>
      <c r="V31437" s="5"/>
    </row>
    <row r="31438">
      <c r="N31438" s="1"/>
      <c r="V31438" s="5"/>
    </row>
    <row r="31439">
      <c r="N31439" s="1"/>
      <c r="V31439" s="5"/>
    </row>
    <row r="31440">
      <c r="N31440" s="1"/>
      <c r="V31440" s="5"/>
    </row>
    <row r="31441">
      <c r="N31441" s="1"/>
      <c r="V31441" s="5"/>
    </row>
    <row r="31442">
      <c r="N31442" s="1"/>
      <c r="V31442" s="5"/>
    </row>
    <row r="31443">
      <c r="N31443" s="1"/>
      <c r="V31443" s="5"/>
    </row>
    <row r="31444">
      <c r="N31444" s="1"/>
      <c r="V31444" s="5"/>
    </row>
    <row r="31445">
      <c r="N31445" s="1"/>
      <c r="V31445" s="5"/>
    </row>
    <row r="31446">
      <c r="N31446" s="1"/>
      <c r="V31446" s="5"/>
    </row>
    <row r="31447">
      <c r="N31447" s="1"/>
      <c r="V31447" s="5"/>
    </row>
    <row r="31448">
      <c r="N31448" s="1"/>
      <c r="V31448" s="5"/>
    </row>
    <row r="31449">
      <c r="N31449" s="1"/>
      <c r="V31449" s="5"/>
    </row>
    <row r="31450">
      <c r="N31450" s="1"/>
      <c r="V31450" s="5"/>
    </row>
    <row r="31451">
      <c r="N31451" s="1"/>
      <c r="V31451" s="5"/>
    </row>
    <row r="31452">
      <c r="N31452" s="1"/>
      <c r="V31452" s="5"/>
    </row>
    <row r="31453">
      <c r="N31453" s="1"/>
      <c r="V31453" s="5"/>
    </row>
    <row r="31454">
      <c r="N31454" s="1"/>
      <c r="V31454" s="5"/>
    </row>
    <row r="31455">
      <c r="N31455" s="1"/>
      <c r="V31455" s="5"/>
    </row>
    <row r="31456">
      <c r="N31456" s="1"/>
      <c r="V31456" s="5"/>
    </row>
    <row r="31457">
      <c r="N31457" s="1"/>
      <c r="V31457" s="5"/>
    </row>
    <row r="31458">
      <c r="N31458" s="1"/>
      <c r="V31458" s="5"/>
    </row>
    <row r="31459">
      <c r="N31459" s="1"/>
      <c r="V31459" s="5"/>
    </row>
    <row r="31460">
      <c r="N31460" s="1"/>
      <c r="V31460" s="5"/>
    </row>
    <row r="31461">
      <c r="N31461" s="1"/>
      <c r="V31461" s="5"/>
    </row>
    <row r="31462">
      <c r="N31462" s="1"/>
      <c r="V31462" s="5"/>
    </row>
    <row r="31463">
      <c r="N31463" s="1"/>
      <c r="V31463" s="5"/>
    </row>
    <row r="31464">
      <c r="N31464" s="1"/>
      <c r="V31464" s="5"/>
    </row>
    <row r="31465">
      <c r="N31465" s="1"/>
      <c r="V31465" s="5"/>
    </row>
    <row r="31466">
      <c r="N31466" s="1"/>
      <c r="V31466" s="5"/>
    </row>
    <row r="31467">
      <c r="N31467" s="1"/>
      <c r="V31467" s="5"/>
    </row>
    <row r="31468">
      <c r="N31468" s="1"/>
      <c r="V31468" s="5"/>
    </row>
    <row r="31469">
      <c r="N31469" s="1"/>
      <c r="V31469" s="5"/>
    </row>
    <row r="31470">
      <c r="N31470" s="1"/>
      <c r="V31470" s="5"/>
    </row>
    <row r="31471">
      <c r="N31471" s="1"/>
      <c r="V31471" s="5"/>
    </row>
    <row r="31472">
      <c r="N31472" s="1"/>
      <c r="V31472" s="5"/>
    </row>
    <row r="31473">
      <c r="N31473" s="1"/>
      <c r="V31473" s="5"/>
    </row>
    <row r="31474">
      <c r="N31474" s="1"/>
      <c r="V31474" s="5"/>
    </row>
    <row r="31475">
      <c r="N31475" s="1"/>
      <c r="V31475" s="5"/>
    </row>
    <row r="31476">
      <c r="N31476" s="1"/>
      <c r="V31476" s="5"/>
    </row>
    <row r="31477">
      <c r="N31477" s="1"/>
      <c r="V31477" s="5"/>
    </row>
    <row r="31478">
      <c r="N31478" s="1"/>
      <c r="V31478" s="5"/>
    </row>
    <row r="31479">
      <c r="N31479" s="1"/>
      <c r="V31479" s="5"/>
    </row>
    <row r="31480">
      <c r="N31480" s="1"/>
      <c r="V31480" s="5"/>
    </row>
    <row r="31481">
      <c r="N31481" s="1"/>
      <c r="V31481" s="5"/>
    </row>
    <row r="31482">
      <c r="N31482" s="1"/>
      <c r="V31482" s="5"/>
    </row>
    <row r="31483">
      <c r="N31483" s="1"/>
      <c r="V31483" s="5"/>
    </row>
    <row r="31484">
      <c r="N31484" s="1"/>
      <c r="V31484" s="5"/>
    </row>
    <row r="31485">
      <c r="N31485" s="1"/>
      <c r="V31485" s="5"/>
    </row>
    <row r="31486">
      <c r="N31486" s="1"/>
      <c r="V31486" s="5"/>
    </row>
    <row r="31487">
      <c r="N31487" s="1"/>
      <c r="V31487" s="5"/>
    </row>
    <row r="31488">
      <c r="N31488" s="1"/>
      <c r="V31488" s="5"/>
    </row>
    <row r="31489">
      <c r="N31489" s="1"/>
      <c r="V31489" s="5"/>
    </row>
    <row r="31490">
      <c r="N31490" s="1"/>
      <c r="V31490" s="5"/>
    </row>
    <row r="31491">
      <c r="N31491" s="1"/>
      <c r="V31491" s="5"/>
    </row>
    <row r="31492">
      <c r="N31492" s="1"/>
      <c r="V31492" s="5"/>
    </row>
    <row r="31493">
      <c r="N31493" s="1"/>
      <c r="V31493" s="5"/>
    </row>
    <row r="31494">
      <c r="N31494" s="1"/>
      <c r="V31494" s="5"/>
    </row>
    <row r="31495">
      <c r="N31495" s="1"/>
      <c r="V31495" s="5"/>
    </row>
    <row r="31496">
      <c r="N31496" s="1"/>
      <c r="V31496" s="5"/>
    </row>
    <row r="31497">
      <c r="N31497" s="1"/>
      <c r="V31497" s="5"/>
    </row>
    <row r="31498">
      <c r="N31498" s="1"/>
      <c r="V31498" s="5"/>
    </row>
    <row r="31499">
      <c r="N31499" s="1"/>
      <c r="V31499" s="5"/>
    </row>
    <row r="31500">
      <c r="N31500" s="1"/>
      <c r="V31500" s="5"/>
    </row>
    <row r="31501">
      <c r="N31501" s="1"/>
      <c r="V31501" s="5"/>
    </row>
    <row r="31502">
      <c r="N31502" s="1"/>
      <c r="V31502" s="5"/>
    </row>
    <row r="31503">
      <c r="N31503" s="1"/>
      <c r="V31503" s="5"/>
    </row>
    <row r="31504">
      <c r="N31504" s="1"/>
      <c r="V31504" s="5"/>
    </row>
    <row r="31505">
      <c r="N31505" s="1"/>
      <c r="V31505" s="5"/>
    </row>
    <row r="31506">
      <c r="N31506" s="1"/>
      <c r="V31506" s="5"/>
    </row>
    <row r="31507">
      <c r="N31507" s="1"/>
      <c r="V31507" s="5"/>
    </row>
    <row r="31508">
      <c r="N31508" s="1"/>
      <c r="V31508" s="5"/>
    </row>
    <row r="31509">
      <c r="N31509" s="1"/>
      <c r="V31509" s="5"/>
    </row>
    <row r="31510">
      <c r="N31510" s="1"/>
      <c r="V31510" s="5"/>
    </row>
    <row r="31511">
      <c r="N31511" s="1"/>
      <c r="V31511" s="5"/>
    </row>
    <row r="31512">
      <c r="N31512" s="1"/>
      <c r="V31512" s="5"/>
    </row>
    <row r="31513">
      <c r="N31513" s="1"/>
      <c r="V31513" s="5"/>
    </row>
    <row r="31514">
      <c r="N31514" s="1"/>
      <c r="V31514" s="5"/>
    </row>
    <row r="31515">
      <c r="N31515" s="1"/>
      <c r="V31515" s="5"/>
    </row>
    <row r="31516">
      <c r="N31516" s="1"/>
      <c r="V31516" s="5"/>
    </row>
    <row r="31517">
      <c r="N31517" s="1"/>
      <c r="V31517" s="5"/>
    </row>
    <row r="31518">
      <c r="N31518" s="1"/>
      <c r="V31518" s="5"/>
    </row>
    <row r="31519">
      <c r="N31519" s="1"/>
      <c r="V31519" s="5"/>
    </row>
    <row r="31520">
      <c r="N31520" s="1"/>
      <c r="V31520" s="5"/>
    </row>
    <row r="31521">
      <c r="N31521" s="1"/>
      <c r="V31521" s="5"/>
    </row>
    <row r="31522">
      <c r="N31522" s="1"/>
      <c r="V31522" s="5"/>
    </row>
    <row r="31523">
      <c r="N31523" s="1"/>
      <c r="V31523" s="5"/>
    </row>
    <row r="31524">
      <c r="N31524" s="1"/>
      <c r="V31524" s="5"/>
    </row>
    <row r="31525">
      <c r="N31525" s="1"/>
      <c r="V31525" s="5"/>
    </row>
    <row r="31526">
      <c r="N31526" s="1"/>
      <c r="V31526" s="5"/>
    </row>
    <row r="31527">
      <c r="N31527" s="1"/>
      <c r="V31527" s="5"/>
    </row>
    <row r="31528">
      <c r="N31528" s="1"/>
      <c r="V31528" s="5"/>
    </row>
    <row r="31529">
      <c r="N31529" s="1"/>
      <c r="V31529" s="5"/>
    </row>
    <row r="31530">
      <c r="N31530" s="1"/>
      <c r="V31530" s="5"/>
    </row>
    <row r="31531">
      <c r="N31531" s="1"/>
      <c r="V31531" s="5"/>
    </row>
    <row r="31532">
      <c r="N31532" s="1"/>
      <c r="V31532" s="5"/>
    </row>
    <row r="31533">
      <c r="N31533" s="1"/>
      <c r="V31533" s="5"/>
    </row>
    <row r="31534">
      <c r="N31534" s="1"/>
      <c r="V31534" s="5"/>
    </row>
    <row r="31535">
      <c r="N31535" s="1"/>
      <c r="V31535" s="5"/>
    </row>
    <row r="31536">
      <c r="N31536" s="1"/>
      <c r="V31536" s="5"/>
    </row>
    <row r="31537">
      <c r="N31537" s="1"/>
      <c r="V31537" s="5"/>
    </row>
    <row r="31538">
      <c r="N31538" s="1"/>
      <c r="V31538" s="5"/>
    </row>
    <row r="31539">
      <c r="N31539" s="1"/>
      <c r="V31539" s="5"/>
    </row>
    <row r="31540">
      <c r="N31540" s="1"/>
      <c r="V31540" s="5"/>
    </row>
    <row r="31541">
      <c r="N31541" s="1"/>
      <c r="V31541" s="5"/>
    </row>
    <row r="31542">
      <c r="N31542" s="1"/>
      <c r="V31542" s="5"/>
    </row>
    <row r="31543">
      <c r="N31543" s="1"/>
      <c r="V31543" s="5"/>
    </row>
    <row r="31544">
      <c r="N31544" s="1"/>
      <c r="V31544" s="5"/>
    </row>
    <row r="31545">
      <c r="N31545" s="1"/>
      <c r="V31545" s="5"/>
    </row>
    <row r="31546">
      <c r="N31546" s="1"/>
      <c r="V31546" s="5"/>
    </row>
    <row r="31547">
      <c r="N31547" s="1"/>
      <c r="V31547" s="5"/>
    </row>
    <row r="31548">
      <c r="N31548" s="1"/>
      <c r="V31548" s="5"/>
    </row>
    <row r="31549">
      <c r="N31549" s="1"/>
      <c r="V31549" s="5"/>
    </row>
    <row r="31550">
      <c r="N31550" s="1"/>
      <c r="V31550" s="5"/>
    </row>
    <row r="31551">
      <c r="N31551" s="1"/>
      <c r="V31551" s="5"/>
    </row>
    <row r="31552">
      <c r="N31552" s="1"/>
      <c r="V31552" s="5"/>
    </row>
    <row r="31553">
      <c r="N31553" s="1"/>
      <c r="V31553" s="5"/>
    </row>
    <row r="31554">
      <c r="N31554" s="1"/>
      <c r="V31554" s="5"/>
    </row>
    <row r="31555">
      <c r="N31555" s="1"/>
      <c r="V31555" s="5"/>
    </row>
    <row r="31556">
      <c r="N31556" s="1"/>
      <c r="V31556" s="5"/>
    </row>
    <row r="31557">
      <c r="N31557" s="1"/>
      <c r="V31557" s="5"/>
    </row>
    <row r="31558">
      <c r="N31558" s="1"/>
      <c r="V31558" s="5"/>
    </row>
    <row r="31559">
      <c r="N31559" s="1"/>
      <c r="V31559" s="5"/>
    </row>
    <row r="31560">
      <c r="N31560" s="1"/>
      <c r="V31560" s="5"/>
    </row>
    <row r="31561">
      <c r="N31561" s="1"/>
      <c r="V31561" s="5"/>
    </row>
    <row r="31562">
      <c r="N31562" s="1"/>
      <c r="V31562" s="5"/>
    </row>
    <row r="31563">
      <c r="N31563" s="1"/>
      <c r="V31563" s="5"/>
    </row>
    <row r="31564">
      <c r="N31564" s="1"/>
      <c r="V31564" s="5"/>
    </row>
    <row r="31565">
      <c r="N31565" s="1"/>
      <c r="V31565" s="5"/>
    </row>
    <row r="31566">
      <c r="N31566" s="1"/>
      <c r="V31566" s="5"/>
    </row>
    <row r="31567">
      <c r="N31567" s="1"/>
      <c r="V31567" s="5"/>
    </row>
    <row r="31568">
      <c r="N31568" s="1"/>
      <c r="V31568" s="5"/>
    </row>
    <row r="31569">
      <c r="N31569" s="1"/>
      <c r="V31569" s="5"/>
    </row>
    <row r="31570">
      <c r="N31570" s="1"/>
      <c r="V31570" s="5"/>
    </row>
    <row r="31571">
      <c r="N31571" s="1"/>
      <c r="V31571" s="5"/>
    </row>
    <row r="31572">
      <c r="N31572" s="1"/>
      <c r="V31572" s="5"/>
    </row>
    <row r="31573">
      <c r="N31573" s="1"/>
      <c r="V31573" s="5"/>
    </row>
    <row r="31574">
      <c r="N31574" s="1"/>
      <c r="V31574" s="5"/>
    </row>
    <row r="31575">
      <c r="N31575" s="1"/>
      <c r="V31575" s="5"/>
    </row>
    <row r="31576">
      <c r="N31576" s="1"/>
      <c r="V31576" s="5"/>
    </row>
    <row r="31577">
      <c r="N31577" s="1"/>
      <c r="V31577" s="5"/>
    </row>
    <row r="31578">
      <c r="N31578" s="1"/>
      <c r="V31578" s="5"/>
    </row>
    <row r="31579">
      <c r="N31579" s="1"/>
      <c r="V31579" s="5"/>
    </row>
    <row r="31580">
      <c r="N31580" s="1"/>
      <c r="V31580" s="5"/>
    </row>
    <row r="31581">
      <c r="N31581" s="1"/>
      <c r="V31581" s="5"/>
    </row>
    <row r="31582">
      <c r="N31582" s="1"/>
      <c r="V31582" s="5"/>
    </row>
    <row r="31583">
      <c r="N31583" s="1"/>
      <c r="V31583" s="5"/>
    </row>
    <row r="31584">
      <c r="N31584" s="1"/>
      <c r="V31584" s="5"/>
    </row>
    <row r="31585">
      <c r="N31585" s="1"/>
      <c r="V31585" s="5"/>
    </row>
    <row r="31586">
      <c r="N31586" s="1"/>
      <c r="V31586" s="5"/>
    </row>
    <row r="31587">
      <c r="N31587" s="1"/>
      <c r="V31587" s="5"/>
    </row>
    <row r="31588">
      <c r="N31588" s="1"/>
      <c r="V31588" s="5"/>
    </row>
    <row r="31589">
      <c r="N31589" s="1"/>
      <c r="V31589" s="5"/>
    </row>
    <row r="31590">
      <c r="N31590" s="1"/>
      <c r="V31590" s="5"/>
    </row>
    <row r="31591">
      <c r="N31591" s="1"/>
      <c r="V31591" s="5"/>
    </row>
    <row r="31592">
      <c r="N31592" s="1"/>
      <c r="V31592" s="5"/>
    </row>
    <row r="31593">
      <c r="N31593" s="1"/>
      <c r="V31593" s="5"/>
    </row>
    <row r="31594">
      <c r="N31594" s="1"/>
      <c r="V31594" s="5"/>
    </row>
    <row r="31595">
      <c r="N31595" s="1"/>
      <c r="V31595" s="5"/>
    </row>
    <row r="31596">
      <c r="N31596" s="1"/>
      <c r="V31596" s="5"/>
    </row>
    <row r="31597">
      <c r="N31597" s="1"/>
      <c r="V31597" s="5"/>
    </row>
    <row r="31598">
      <c r="N31598" s="1"/>
      <c r="V31598" s="5"/>
    </row>
    <row r="31599">
      <c r="N31599" s="1"/>
      <c r="V31599" s="5"/>
    </row>
    <row r="31600">
      <c r="N31600" s="1"/>
      <c r="V31600" s="5"/>
    </row>
    <row r="31601">
      <c r="N31601" s="1"/>
      <c r="V31601" s="5"/>
    </row>
    <row r="31602">
      <c r="N31602" s="1"/>
      <c r="V31602" s="5"/>
    </row>
    <row r="31603">
      <c r="N31603" s="1"/>
      <c r="V31603" s="5"/>
    </row>
    <row r="31604">
      <c r="N31604" s="1"/>
      <c r="V31604" s="5"/>
    </row>
    <row r="31605">
      <c r="N31605" s="1"/>
      <c r="V31605" s="5"/>
    </row>
    <row r="31606">
      <c r="N31606" s="1"/>
      <c r="V31606" s="5"/>
    </row>
    <row r="31607">
      <c r="N31607" s="1"/>
      <c r="V31607" s="5"/>
    </row>
    <row r="31608">
      <c r="N31608" s="1"/>
      <c r="V31608" s="5"/>
    </row>
    <row r="31609">
      <c r="N31609" s="1"/>
      <c r="V31609" s="5"/>
    </row>
    <row r="31610">
      <c r="N31610" s="1"/>
      <c r="V31610" s="5"/>
    </row>
    <row r="31611">
      <c r="N31611" s="1"/>
      <c r="V31611" s="5"/>
    </row>
    <row r="31612">
      <c r="N31612" s="1"/>
      <c r="V31612" s="5"/>
    </row>
    <row r="31613">
      <c r="N31613" s="1"/>
      <c r="V31613" s="5"/>
    </row>
    <row r="31614">
      <c r="N31614" s="1"/>
      <c r="V31614" s="5"/>
    </row>
    <row r="31615">
      <c r="N31615" s="1"/>
      <c r="V31615" s="5"/>
    </row>
    <row r="31616">
      <c r="N31616" s="1"/>
      <c r="V31616" s="5"/>
    </row>
    <row r="31617">
      <c r="N31617" s="1"/>
      <c r="V31617" s="5"/>
    </row>
    <row r="31618">
      <c r="N31618" s="1"/>
      <c r="V31618" s="5"/>
    </row>
    <row r="31619">
      <c r="N31619" s="1"/>
      <c r="V31619" s="5"/>
    </row>
    <row r="31620">
      <c r="N31620" s="1"/>
      <c r="V31620" s="5"/>
    </row>
    <row r="31621">
      <c r="N31621" s="1"/>
      <c r="V31621" s="5"/>
    </row>
    <row r="31622">
      <c r="N31622" s="1"/>
      <c r="V31622" s="5"/>
    </row>
    <row r="31623">
      <c r="N31623" s="1"/>
      <c r="V31623" s="5"/>
    </row>
    <row r="31624">
      <c r="N31624" s="1"/>
      <c r="V31624" s="5"/>
    </row>
    <row r="31625">
      <c r="N31625" s="1"/>
      <c r="V31625" s="5"/>
    </row>
    <row r="31626">
      <c r="N31626" s="1"/>
      <c r="V31626" s="5"/>
    </row>
    <row r="31627">
      <c r="N31627" s="1"/>
      <c r="V31627" s="5"/>
    </row>
    <row r="31628">
      <c r="N31628" s="1"/>
      <c r="V31628" s="5"/>
    </row>
    <row r="31629">
      <c r="N31629" s="1"/>
      <c r="V31629" s="5"/>
    </row>
    <row r="31630">
      <c r="N31630" s="1"/>
      <c r="V31630" s="5"/>
    </row>
    <row r="31631">
      <c r="N31631" s="1"/>
      <c r="V31631" s="5"/>
    </row>
    <row r="31632">
      <c r="N31632" s="1"/>
      <c r="V31632" s="5"/>
    </row>
    <row r="31633">
      <c r="N31633" s="1"/>
      <c r="V31633" s="5"/>
    </row>
    <row r="31634">
      <c r="N31634" s="1"/>
      <c r="V31634" s="5"/>
    </row>
    <row r="31635">
      <c r="N31635" s="1"/>
      <c r="V31635" s="5"/>
    </row>
    <row r="31636">
      <c r="N31636" s="1"/>
      <c r="V31636" s="5"/>
    </row>
    <row r="31637">
      <c r="N31637" s="1"/>
      <c r="V31637" s="5"/>
    </row>
    <row r="31638">
      <c r="N31638" s="1"/>
      <c r="V31638" s="5"/>
    </row>
    <row r="31639">
      <c r="N31639" s="1"/>
      <c r="V31639" s="5"/>
    </row>
    <row r="31640">
      <c r="N31640" s="1"/>
      <c r="V31640" s="5"/>
    </row>
    <row r="31641">
      <c r="N31641" s="1"/>
      <c r="V31641" s="5"/>
    </row>
    <row r="31642">
      <c r="N31642" s="1"/>
      <c r="V31642" s="5"/>
    </row>
    <row r="31643">
      <c r="N31643" s="1"/>
      <c r="V31643" s="5"/>
    </row>
    <row r="31644">
      <c r="N31644" s="1"/>
      <c r="V31644" s="5"/>
    </row>
    <row r="31645">
      <c r="N31645" s="1"/>
      <c r="V31645" s="5"/>
    </row>
    <row r="31646">
      <c r="N31646" s="1"/>
      <c r="V31646" s="5"/>
    </row>
    <row r="31647">
      <c r="N31647" s="1"/>
      <c r="V31647" s="5"/>
    </row>
    <row r="31648">
      <c r="N31648" s="1"/>
      <c r="V31648" s="5"/>
    </row>
    <row r="31649">
      <c r="N31649" s="1"/>
      <c r="V31649" s="5"/>
    </row>
    <row r="31650">
      <c r="N31650" s="1"/>
      <c r="V31650" s="5"/>
    </row>
    <row r="31651">
      <c r="N31651" s="1"/>
      <c r="V31651" s="5"/>
    </row>
    <row r="31652">
      <c r="N31652" s="1"/>
      <c r="V31652" s="5"/>
    </row>
    <row r="31653">
      <c r="N31653" s="1"/>
      <c r="V31653" s="5"/>
    </row>
    <row r="31654">
      <c r="N31654" s="1"/>
      <c r="V31654" s="5"/>
    </row>
    <row r="31655">
      <c r="N31655" s="1"/>
      <c r="V31655" s="5"/>
    </row>
    <row r="31656">
      <c r="N31656" s="1"/>
      <c r="V31656" s="5"/>
    </row>
    <row r="31657">
      <c r="N31657" s="1"/>
      <c r="V31657" s="5"/>
    </row>
    <row r="31658">
      <c r="N31658" s="1"/>
      <c r="V31658" s="5"/>
    </row>
    <row r="31659">
      <c r="N31659" s="1"/>
      <c r="V31659" s="5"/>
    </row>
    <row r="31660">
      <c r="N31660" s="1"/>
      <c r="V31660" s="5"/>
    </row>
    <row r="31661">
      <c r="N31661" s="1"/>
      <c r="V31661" s="5"/>
    </row>
    <row r="31662">
      <c r="N31662" s="1"/>
      <c r="V31662" s="5"/>
    </row>
    <row r="31663">
      <c r="N31663" s="1"/>
      <c r="V31663" s="5"/>
    </row>
    <row r="31664">
      <c r="N31664" s="1"/>
      <c r="V31664" s="5"/>
    </row>
    <row r="31665">
      <c r="N31665" s="1"/>
      <c r="V31665" s="5"/>
    </row>
    <row r="31666">
      <c r="N31666" s="1"/>
      <c r="V31666" s="5"/>
    </row>
    <row r="31667">
      <c r="N31667" s="1"/>
      <c r="V31667" s="5"/>
    </row>
    <row r="31668">
      <c r="N31668" s="1"/>
      <c r="V31668" s="5"/>
    </row>
    <row r="31669">
      <c r="N31669" s="1"/>
      <c r="V31669" s="5"/>
    </row>
    <row r="31670">
      <c r="N31670" s="1"/>
      <c r="V31670" s="5"/>
    </row>
    <row r="31671">
      <c r="N31671" s="1"/>
      <c r="V31671" s="5"/>
    </row>
    <row r="31672">
      <c r="N31672" s="1"/>
      <c r="V31672" s="5"/>
    </row>
    <row r="31673">
      <c r="N31673" s="1"/>
      <c r="V31673" s="5"/>
    </row>
    <row r="31674">
      <c r="N31674" s="1"/>
      <c r="V31674" s="5"/>
    </row>
    <row r="31675">
      <c r="N31675" s="1"/>
      <c r="V31675" s="5"/>
    </row>
    <row r="31676">
      <c r="N31676" s="1"/>
      <c r="V31676" s="5"/>
    </row>
    <row r="31677">
      <c r="N31677" s="1"/>
      <c r="V31677" s="5"/>
    </row>
    <row r="31678">
      <c r="N31678" s="1"/>
      <c r="V31678" s="5"/>
    </row>
    <row r="31679">
      <c r="N31679" s="1"/>
      <c r="V31679" s="5"/>
    </row>
    <row r="31680">
      <c r="N31680" s="1"/>
      <c r="V31680" s="5"/>
    </row>
    <row r="31681">
      <c r="N31681" s="1"/>
      <c r="V31681" s="5"/>
    </row>
    <row r="31682">
      <c r="N31682" s="1"/>
      <c r="V31682" s="5"/>
    </row>
    <row r="31683">
      <c r="N31683" s="1"/>
      <c r="V31683" s="5"/>
    </row>
    <row r="31684">
      <c r="N31684" s="1"/>
      <c r="V31684" s="5"/>
    </row>
    <row r="31685">
      <c r="N31685" s="1"/>
      <c r="V31685" s="5"/>
    </row>
    <row r="31686">
      <c r="N31686" s="1"/>
      <c r="V31686" s="5"/>
    </row>
    <row r="31687">
      <c r="N31687" s="1"/>
      <c r="V31687" s="5"/>
    </row>
    <row r="31688">
      <c r="N31688" s="1"/>
      <c r="V31688" s="5"/>
    </row>
    <row r="31689">
      <c r="N31689" s="1"/>
      <c r="V31689" s="5"/>
    </row>
    <row r="31690">
      <c r="N31690" s="1"/>
      <c r="V31690" s="5"/>
    </row>
    <row r="31691">
      <c r="N31691" s="1"/>
      <c r="V31691" s="5"/>
    </row>
    <row r="31692">
      <c r="N31692" s="1"/>
      <c r="V31692" s="5"/>
    </row>
    <row r="31693">
      <c r="N31693" s="1"/>
      <c r="V31693" s="5"/>
    </row>
    <row r="31694">
      <c r="N31694" s="1"/>
      <c r="V31694" s="5"/>
    </row>
    <row r="31695">
      <c r="N31695" s="1"/>
      <c r="V31695" s="5"/>
    </row>
    <row r="31696">
      <c r="N31696" s="1"/>
      <c r="V31696" s="5"/>
    </row>
    <row r="31697">
      <c r="N31697" s="1"/>
      <c r="V31697" s="5"/>
    </row>
    <row r="31698">
      <c r="N31698" s="1"/>
      <c r="V31698" s="5"/>
    </row>
    <row r="31699">
      <c r="N31699" s="1"/>
      <c r="V31699" s="5"/>
    </row>
    <row r="31700">
      <c r="N31700" s="1"/>
      <c r="V31700" s="5"/>
    </row>
    <row r="31701">
      <c r="N31701" s="1"/>
      <c r="V31701" s="5"/>
    </row>
    <row r="31702">
      <c r="N31702" s="1"/>
      <c r="V31702" s="5"/>
    </row>
    <row r="31703">
      <c r="N31703" s="1"/>
      <c r="V31703" s="5"/>
    </row>
    <row r="31704">
      <c r="N31704" s="1"/>
      <c r="V31704" s="5"/>
    </row>
    <row r="31705">
      <c r="N31705" s="1"/>
      <c r="V31705" s="5"/>
    </row>
    <row r="31706">
      <c r="N31706" s="1"/>
      <c r="V31706" s="5"/>
    </row>
    <row r="31707">
      <c r="N31707" s="1"/>
      <c r="V31707" s="5"/>
    </row>
    <row r="31708">
      <c r="N31708" s="1"/>
      <c r="V31708" s="5"/>
    </row>
    <row r="31709">
      <c r="N31709" s="1"/>
      <c r="V31709" s="5"/>
    </row>
    <row r="31710">
      <c r="N31710" s="1"/>
      <c r="V31710" s="5"/>
    </row>
    <row r="31711">
      <c r="N31711" s="1"/>
      <c r="V31711" s="5"/>
    </row>
    <row r="31712">
      <c r="N31712" s="1"/>
      <c r="V31712" s="5"/>
    </row>
    <row r="31713">
      <c r="N31713" s="1"/>
      <c r="V31713" s="5"/>
    </row>
    <row r="31714">
      <c r="N31714" s="1"/>
      <c r="V31714" s="5"/>
    </row>
    <row r="31715">
      <c r="N31715" s="1"/>
      <c r="V31715" s="5"/>
    </row>
    <row r="31716">
      <c r="N31716" s="1"/>
      <c r="V31716" s="5"/>
    </row>
    <row r="31717">
      <c r="N31717" s="1"/>
      <c r="V31717" s="5"/>
    </row>
    <row r="31718">
      <c r="N31718" s="1"/>
      <c r="V31718" s="5"/>
    </row>
    <row r="31719">
      <c r="N31719" s="1"/>
      <c r="V31719" s="5"/>
    </row>
    <row r="31720">
      <c r="N31720" s="1"/>
      <c r="V31720" s="5"/>
    </row>
    <row r="31721">
      <c r="N31721" s="1"/>
      <c r="V31721" s="5"/>
    </row>
    <row r="31722">
      <c r="N31722" s="1"/>
      <c r="V31722" s="5"/>
    </row>
    <row r="31723">
      <c r="N31723" s="1"/>
      <c r="V31723" s="5"/>
    </row>
    <row r="31724">
      <c r="N31724" s="1"/>
      <c r="V31724" s="5"/>
    </row>
    <row r="31725">
      <c r="N31725" s="1"/>
      <c r="V31725" s="5"/>
    </row>
    <row r="31726">
      <c r="N31726" s="1"/>
      <c r="V31726" s="5"/>
    </row>
    <row r="31727">
      <c r="N31727" s="1"/>
      <c r="V31727" s="5"/>
    </row>
    <row r="31728">
      <c r="N31728" s="1"/>
      <c r="V31728" s="5"/>
    </row>
    <row r="31729">
      <c r="N31729" s="1"/>
      <c r="V31729" s="5"/>
    </row>
    <row r="31730">
      <c r="N31730" s="1"/>
      <c r="V31730" s="5"/>
    </row>
    <row r="31731">
      <c r="N31731" s="1"/>
      <c r="V31731" s="5"/>
    </row>
    <row r="31732">
      <c r="N31732" s="1"/>
      <c r="V31732" s="5"/>
    </row>
    <row r="31733">
      <c r="N31733" s="1"/>
      <c r="V31733" s="5"/>
    </row>
    <row r="31734">
      <c r="N31734" s="1"/>
      <c r="V31734" s="5"/>
    </row>
    <row r="31735">
      <c r="N31735" s="1"/>
      <c r="V31735" s="5"/>
    </row>
    <row r="31736">
      <c r="N31736" s="1"/>
      <c r="V31736" s="5"/>
    </row>
    <row r="31737">
      <c r="N31737" s="1"/>
      <c r="V31737" s="5"/>
    </row>
    <row r="31738">
      <c r="N31738" s="1"/>
      <c r="V31738" s="5"/>
    </row>
    <row r="31739">
      <c r="N31739" s="1"/>
      <c r="V31739" s="5"/>
    </row>
    <row r="31740">
      <c r="N31740" s="1"/>
      <c r="V31740" s="5"/>
    </row>
    <row r="31741">
      <c r="N31741" s="1"/>
      <c r="V31741" s="5"/>
    </row>
    <row r="31742">
      <c r="N31742" s="1"/>
      <c r="V31742" s="5"/>
    </row>
    <row r="31743">
      <c r="N31743" s="1"/>
      <c r="V31743" s="5"/>
    </row>
    <row r="31744">
      <c r="N31744" s="1"/>
      <c r="V31744" s="5"/>
    </row>
    <row r="31745">
      <c r="N31745" s="1"/>
      <c r="V31745" s="5"/>
    </row>
    <row r="31746">
      <c r="N31746" s="1"/>
      <c r="V31746" s="5"/>
    </row>
    <row r="31747">
      <c r="N31747" s="1"/>
      <c r="V31747" s="5"/>
    </row>
    <row r="31748">
      <c r="N31748" s="1"/>
      <c r="V31748" s="5"/>
    </row>
    <row r="31749">
      <c r="N31749" s="1"/>
      <c r="V31749" s="5"/>
    </row>
    <row r="31750">
      <c r="N31750" s="1"/>
      <c r="V31750" s="5"/>
    </row>
    <row r="31751">
      <c r="N31751" s="1"/>
      <c r="V31751" s="5"/>
    </row>
    <row r="31752">
      <c r="N31752" s="1"/>
      <c r="V31752" s="5"/>
    </row>
    <row r="31753">
      <c r="N31753" s="1"/>
      <c r="V31753" s="5"/>
    </row>
    <row r="31754">
      <c r="N31754" s="1"/>
      <c r="V31754" s="5"/>
    </row>
    <row r="31755">
      <c r="N31755" s="1"/>
      <c r="V31755" s="5"/>
    </row>
    <row r="31756">
      <c r="N31756" s="1"/>
      <c r="V31756" s="5"/>
    </row>
    <row r="31757">
      <c r="N31757" s="1"/>
      <c r="V31757" s="5"/>
    </row>
    <row r="31758">
      <c r="N31758" s="1"/>
      <c r="V31758" s="5"/>
    </row>
    <row r="31759">
      <c r="N31759" s="1"/>
      <c r="V31759" s="5"/>
    </row>
    <row r="31760">
      <c r="N31760" s="1"/>
      <c r="V31760" s="5"/>
    </row>
    <row r="31761">
      <c r="N31761" s="1"/>
      <c r="V31761" s="5"/>
    </row>
    <row r="31762">
      <c r="N31762" s="1"/>
      <c r="V31762" s="5"/>
    </row>
    <row r="31763">
      <c r="N31763" s="1"/>
      <c r="V31763" s="5"/>
    </row>
    <row r="31764">
      <c r="N31764" s="1"/>
      <c r="V31764" s="5"/>
    </row>
    <row r="31765">
      <c r="N31765" s="1"/>
      <c r="V31765" s="5"/>
    </row>
    <row r="31766">
      <c r="N31766" s="1"/>
      <c r="V31766" s="5"/>
    </row>
    <row r="31767">
      <c r="N31767" s="1"/>
      <c r="V31767" s="5"/>
    </row>
    <row r="31768">
      <c r="N31768" s="1"/>
      <c r="V31768" s="5"/>
    </row>
    <row r="31769">
      <c r="N31769" s="1"/>
      <c r="V31769" s="5"/>
    </row>
    <row r="31770">
      <c r="N31770" s="1"/>
      <c r="V31770" s="5"/>
    </row>
    <row r="31771">
      <c r="N31771" s="1"/>
      <c r="V31771" s="5"/>
    </row>
    <row r="31772">
      <c r="N31772" s="1"/>
      <c r="V31772" s="5"/>
    </row>
    <row r="31773">
      <c r="N31773" s="1"/>
      <c r="V31773" s="5"/>
    </row>
    <row r="31774">
      <c r="N31774" s="1"/>
      <c r="V31774" s="5"/>
    </row>
    <row r="31775">
      <c r="N31775" s="1"/>
      <c r="V31775" s="5"/>
    </row>
    <row r="31776">
      <c r="N31776" s="1"/>
      <c r="V31776" s="5"/>
    </row>
    <row r="31777">
      <c r="N31777" s="1"/>
      <c r="V31777" s="5"/>
    </row>
    <row r="31778">
      <c r="N31778" s="1"/>
      <c r="V31778" s="5"/>
    </row>
    <row r="31779">
      <c r="N31779" s="1"/>
      <c r="V31779" s="5"/>
    </row>
    <row r="31780">
      <c r="N31780" s="1"/>
      <c r="V31780" s="5"/>
    </row>
    <row r="31781">
      <c r="N31781" s="1"/>
      <c r="V31781" s="5"/>
    </row>
    <row r="31782">
      <c r="N31782" s="1"/>
      <c r="V31782" s="5"/>
    </row>
    <row r="31783">
      <c r="N31783" s="1"/>
      <c r="V31783" s="5"/>
    </row>
    <row r="31784">
      <c r="N31784" s="1"/>
      <c r="V31784" s="5"/>
    </row>
    <row r="31785">
      <c r="N31785" s="1"/>
      <c r="V31785" s="5"/>
    </row>
    <row r="31786">
      <c r="N31786" s="1"/>
      <c r="V31786" s="5"/>
    </row>
    <row r="31787">
      <c r="N31787" s="1"/>
      <c r="V31787" s="5"/>
    </row>
    <row r="31788">
      <c r="N31788" s="1"/>
      <c r="V31788" s="5"/>
    </row>
    <row r="31789">
      <c r="N31789" s="1"/>
      <c r="V31789" s="5"/>
    </row>
    <row r="31790">
      <c r="N31790" s="1"/>
      <c r="V31790" s="5"/>
    </row>
    <row r="31791">
      <c r="N31791" s="1"/>
      <c r="V31791" s="5"/>
    </row>
    <row r="31792">
      <c r="N31792" s="1"/>
      <c r="V31792" s="5"/>
    </row>
    <row r="31793">
      <c r="N31793" s="1"/>
      <c r="V31793" s="5"/>
    </row>
    <row r="31794">
      <c r="N31794" s="1"/>
      <c r="V31794" s="5"/>
    </row>
    <row r="31795">
      <c r="N31795" s="1"/>
      <c r="V31795" s="5"/>
    </row>
    <row r="31796">
      <c r="N31796" s="1"/>
      <c r="V31796" s="5"/>
    </row>
    <row r="31797">
      <c r="N31797" s="1"/>
      <c r="V31797" s="5"/>
    </row>
    <row r="31798">
      <c r="N31798" s="1"/>
      <c r="V31798" s="5"/>
    </row>
    <row r="31799">
      <c r="N31799" s="1"/>
      <c r="V31799" s="5"/>
    </row>
    <row r="31800">
      <c r="N31800" s="1"/>
      <c r="V31800" s="5"/>
    </row>
    <row r="31801">
      <c r="N31801" s="1"/>
      <c r="V31801" s="5"/>
    </row>
    <row r="31802">
      <c r="N31802" s="1"/>
      <c r="V31802" s="5"/>
    </row>
    <row r="31803">
      <c r="N31803" s="1"/>
      <c r="V31803" s="5"/>
    </row>
    <row r="31804">
      <c r="N31804" s="1"/>
      <c r="V31804" s="5"/>
    </row>
    <row r="31805">
      <c r="N31805" s="1"/>
      <c r="V31805" s="5"/>
    </row>
    <row r="31806">
      <c r="N31806" s="1"/>
      <c r="V31806" s="5"/>
    </row>
    <row r="31807">
      <c r="N31807" s="1"/>
      <c r="V31807" s="5"/>
    </row>
    <row r="31808">
      <c r="N31808" s="1"/>
      <c r="V31808" s="5"/>
    </row>
    <row r="31809">
      <c r="N31809" s="1"/>
      <c r="V31809" s="5"/>
    </row>
    <row r="31810">
      <c r="N31810" s="1"/>
      <c r="V31810" s="5"/>
    </row>
    <row r="31811">
      <c r="N31811" s="1"/>
      <c r="V31811" s="5"/>
    </row>
    <row r="31812">
      <c r="N31812" s="1"/>
      <c r="V31812" s="5"/>
    </row>
    <row r="31813">
      <c r="N31813" s="1"/>
      <c r="V31813" s="5"/>
    </row>
    <row r="31814">
      <c r="N31814" s="1"/>
      <c r="V31814" s="5"/>
    </row>
    <row r="31815">
      <c r="N31815" s="1"/>
      <c r="V31815" s="5"/>
    </row>
    <row r="31816">
      <c r="N31816" s="1"/>
      <c r="V31816" s="5"/>
    </row>
    <row r="31817">
      <c r="N31817" s="1"/>
      <c r="V31817" s="5"/>
    </row>
    <row r="31818">
      <c r="N31818" s="1"/>
      <c r="V31818" s="5"/>
    </row>
    <row r="31819">
      <c r="N31819" s="1"/>
      <c r="V31819" s="5"/>
    </row>
    <row r="31820">
      <c r="N31820" s="1"/>
      <c r="V31820" s="5"/>
    </row>
    <row r="31821">
      <c r="N31821" s="1"/>
      <c r="V31821" s="5"/>
    </row>
    <row r="31822">
      <c r="N31822" s="1"/>
      <c r="V31822" s="5"/>
    </row>
    <row r="31823">
      <c r="N31823" s="1"/>
      <c r="V31823" s="5"/>
    </row>
    <row r="31824">
      <c r="N31824" s="1"/>
      <c r="V31824" s="5"/>
    </row>
    <row r="31825">
      <c r="N31825" s="1"/>
      <c r="V31825" s="5"/>
    </row>
    <row r="31826">
      <c r="N31826" s="1"/>
      <c r="V31826" s="5"/>
    </row>
    <row r="31827">
      <c r="N31827" s="1"/>
      <c r="V31827" s="5"/>
    </row>
    <row r="31828">
      <c r="N31828" s="1"/>
      <c r="V31828" s="5"/>
    </row>
    <row r="31829">
      <c r="N31829" s="1"/>
      <c r="V31829" s="5"/>
    </row>
    <row r="31830">
      <c r="N31830" s="1"/>
      <c r="V31830" s="5"/>
    </row>
    <row r="31831">
      <c r="N31831" s="1"/>
      <c r="V31831" s="5"/>
    </row>
    <row r="31832">
      <c r="N31832" s="1"/>
      <c r="V31832" s="5"/>
    </row>
    <row r="31833">
      <c r="N31833" s="1"/>
      <c r="V31833" s="5"/>
    </row>
    <row r="31834">
      <c r="N31834" s="1"/>
      <c r="V31834" s="5"/>
    </row>
    <row r="31835">
      <c r="N31835" s="1"/>
      <c r="V31835" s="5"/>
    </row>
    <row r="31836">
      <c r="N31836" s="1"/>
      <c r="V31836" s="5"/>
    </row>
    <row r="31837">
      <c r="N31837" s="1"/>
      <c r="V31837" s="5"/>
    </row>
    <row r="31838">
      <c r="N31838" s="1"/>
      <c r="V31838" s="5"/>
    </row>
    <row r="31839">
      <c r="N31839" s="1"/>
      <c r="V31839" s="5"/>
    </row>
    <row r="31840">
      <c r="N31840" s="1"/>
      <c r="V31840" s="5"/>
    </row>
    <row r="31841">
      <c r="N31841" s="1"/>
      <c r="V31841" s="5"/>
    </row>
    <row r="31842">
      <c r="N31842" s="1"/>
      <c r="V31842" s="5"/>
    </row>
    <row r="31843">
      <c r="N31843" s="1"/>
      <c r="V31843" s="5"/>
    </row>
    <row r="31844">
      <c r="N31844" s="1"/>
      <c r="V31844" s="5"/>
    </row>
    <row r="31845">
      <c r="N31845" s="1"/>
      <c r="V31845" s="5"/>
    </row>
    <row r="31846">
      <c r="N31846" s="1"/>
      <c r="V31846" s="5"/>
    </row>
    <row r="31847">
      <c r="N31847" s="1"/>
      <c r="V31847" s="5"/>
    </row>
    <row r="31848">
      <c r="N31848" s="1"/>
      <c r="V31848" s="5"/>
    </row>
    <row r="31849">
      <c r="N31849" s="1"/>
      <c r="V31849" s="5"/>
    </row>
    <row r="31850">
      <c r="N31850" s="1"/>
      <c r="V31850" s="5"/>
    </row>
    <row r="31851">
      <c r="N31851" s="1"/>
      <c r="V31851" s="5"/>
    </row>
    <row r="31852">
      <c r="N31852" s="1"/>
      <c r="V31852" s="5"/>
    </row>
    <row r="31853">
      <c r="N31853" s="1"/>
      <c r="V31853" s="5"/>
    </row>
    <row r="31854">
      <c r="N31854" s="1"/>
      <c r="V31854" s="5"/>
    </row>
    <row r="31855">
      <c r="N31855" s="1"/>
      <c r="V31855" s="5"/>
    </row>
    <row r="31856">
      <c r="N31856" s="1"/>
      <c r="V31856" s="5"/>
    </row>
    <row r="31857">
      <c r="N31857" s="1"/>
      <c r="V31857" s="5"/>
    </row>
    <row r="31858">
      <c r="N31858" s="1"/>
      <c r="V31858" s="5"/>
    </row>
    <row r="31859">
      <c r="N31859" s="1"/>
      <c r="V31859" s="5"/>
    </row>
    <row r="31860">
      <c r="N31860" s="1"/>
      <c r="V31860" s="5"/>
    </row>
    <row r="31861">
      <c r="N31861" s="1"/>
      <c r="V31861" s="5"/>
    </row>
    <row r="31862">
      <c r="N31862" s="1"/>
      <c r="V31862" s="5"/>
    </row>
    <row r="31863">
      <c r="N31863" s="1"/>
      <c r="V31863" s="5"/>
    </row>
    <row r="31864">
      <c r="N31864" s="1"/>
      <c r="V31864" s="5"/>
    </row>
    <row r="31865">
      <c r="N31865" s="1"/>
      <c r="V31865" s="5"/>
    </row>
    <row r="31866">
      <c r="N31866" s="1"/>
      <c r="V31866" s="5"/>
    </row>
    <row r="31867">
      <c r="N31867" s="1"/>
      <c r="V31867" s="5"/>
    </row>
    <row r="31868">
      <c r="N31868" s="1"/>
      <c r="V31868" s="5"/>
    </row>
    <row r="31869">
      <c r="N31869" s="1"/>
      <c r="V31869" s="5"/>
    </row>
    <row r="31870">
      <c r="N31870" s="1"/>
      <c r="V31870" s="5"/>
    </row>
    <row r="31871">
      <c r="N31871" s="1"/>
      <c r="V31871" s="5"/>
    </row>
    <row r="31872">
      <c r="N31872" s="1"/>
      <c r="V31872" s="5"/>
    </row>
    <row r="31873">
      <c r="N31873" s="1"/>
      <c r="V31873" s="5"/>
    </row>
    <row r="31874">
      <c r="N31874" s="1"/>
      <c r="V31874" s="5"/>
    </row>
    <row r="31875">
      <c r="N31875" s="1"/>
      <c r="V31875" s="5"/>
    </row>
    <row r="31876">
      <c r="N31876" s="1"/>
      <c r="V31876" s="5"/>
    </row>
    <row r="31877">
      <c r="N31877" s="1"/>
      <c r="V31877" s="5"/>
    </row>
    <row r="31878">
      <c r="N31878" s="1"/>
      <c r="V31878" s="5"/>
    </row>
    <row r="31879">
      <c r="N31879" s="1"/>
      <c r="V31879" s="5"/>
    </row>
    <row r="31880">
      <c r="N31880" s="1"/>
      <c r="V31880" s="5"/>
    </row>
    <row r="31881">
      <c r="N31881" s="1"/>
      <c r="V31881" s="5"/>
    </row>
    <row r="31882">
      <c r="N31882" s="1"/>
      <c r="V31882" s="5"/>
    </row>
    <row r="31883">
      <c r="N31883" s="1"/>
      <c r="V31883" s="5"/>
    </row>
    <row r="31884">
      <c r="N31884" s="1"/>
      <c r="V31884" s="5"/>
    </row>
    <row r="31885">
      <c r="N31885" s="1"/>
      <c r="V31885" s="5"/>
    </row>
    <row r="31886">
      <c r="N31886" s="1"/>
      <c r="V31886" s="5"/>
    </row>
    <row r="31887">
      <c r="N31887" s="1"/>
      <c r="V31887" s="5"/>
    </row>
    <row r="31888">
      <c r="N31888" s="1"/>
      <c r="V31888" s="5"/>
    </row>
    <row r="31889">
      <c r="N31889" s="1"/>
      <c r="V31889" s="5"/>
    </row>
    <row r="31890">
      <c r="N31890" s="1"/>
      <c r="V31890" s="5"/>
    </row>
    <row r="31891">
      <c r="N31891" s="1"/>
      <c r="V31891" s="5"/>
    </row>
    <row r="31892">
      <c r="N31892" s="1"/>
      <c r="V31892" s="5"/>
    </row>
    <row r="31893">
      <c r="N31893" s="1"/>
      <c r="V31893" s="5"/>
    </row>
    <row r="31894">
      <c r="N31894" s="1"/>
      <c r="V31894" s="5"/>
    </row>
    <row r="31895">
      <c r="N31895" s="1"/>
      <c r="V31895" s="5"/>
    </row>
    <row r="31896">
      <c r="N31896" s="1"/>
      <c r="V31896" s="5"/>
    </row>
    <row r="31897">
      <c r="N31897" s="1"/>
      <c r="V31897" s="5"/>
    </row>
    <row r="31898">
      <c r="N31898" s="1"/>
      <c r="V31898" s="5"/>
    </row>
    <row r="31899">
      <c r="N31899" s="1"/>
      <c r="V31899" s="5"/>
    </row>
    <row r="31900">
      <c r="N31900" s="1"/>
      <c r="V31900" s="5"/>
    </row>
    <row r="31901">
      <c r="N31901" s="1"/>
      <c r="V31901" s="5"/>
    </row>
    <row r="31902">
      <c r="N31902" s="1"/>
      <c r="V31902" s="5"/>
    </row>
    <row r="31903">
      <c r="N31903" s="1"/>
      <c r="V31903" s="5"/>
    </row>
    <row r="31904">
      <c r="N31904" s="1"/>
      <c r="V31904" s="5"/>
    </row>
    <row r="31905">
      <c r="N31905" s="1"/>
      <c r="V31905" s="5"/>
    </row>
    <row r="31906">
      <c r="N31906" s="1"/>
      <c r="V31906" s="5"/>
    </row>
    <row r="31907">
      <c r="N31907" s="1"/>
      <c r="V31907" s="5"/>
    </row>
    <row r="31908">
      <c r="N31908" s="1"/>
      <c r="V31908" s="5"/>
    </row>
    <row r="31909">
      <c r="N31909" s="1"/>
      <c r="V31909" s="5"/>
    </row>
    <row r="31910">
      <c r="N31910" s="1"/>
      <c r="V31910" s="5"/>
    </row>
    <row r="31911">
      <c r="N31911" s="1"/>
      <c r="V31911" s="5"/>
    </row>
    <row r="31912">
      <c r="N31912" s="1"/>
      <c r="V31912" s="5"/>
    </row>
    <row r="31913">
      <c r="N31913" s="1"/>
      <c r="V31913" s="5"/>
    </row>
    <row r="31914">
      <c r="N31914" s="1"/>
      <c r="V31914" s="5"/>
    </row>
    <row r="31915">
      <c r="N31915" s="1"/>
      <c r="V31915" s="5"/>
    </row>
    <row r="31916">
      <c r="N31916" s="1"/>
      <c r="V31916" s="5"/>
    </row>
    <row r="31917">
      <c r="N31917" s="1"/>
      <c r="V31917" s="5"/>
    </row>
    <row r="31918">
      <c r="N31918" s="1"/>
      <c r="V31918" s="5"/>
    </row>
    <row r="31919">
      <c r="N31919" s="1"/>
      <c r="V31919" s="5"/>
    </row>
    <row r="31920">
      <c r="N31920" s="1"/>
      <c r="V31920" s="5"/>
    </row>
    <row r="31921">
      <c r="N31921" s="1"/>
      <c r="V31921" s="5"/>
    </row>
    <row r="31922">
      <c r="N31922" s="1"/>
      <c r="V31922" s="5"/>
    </row>
    <row r="31923">
      <c r="N31923" s="1"/>
      <c r="V31923" s="5"/>
    </row>
    <row r="31924">
      <c r="N31924" s="1"/>
      <c r="V31924" s="5"/>
    </row>
    <row r="31925">
      <c r="N31925" s="1"/>
      <c r="V31925" s="5"/>
    </row>
    <row r="31926">
      <c r="N31926" s="1"/>
      <c r="V31926" s="5"/>
    </row>
    <row r="31927">
      <c r="N31927" s="1"/>
      <c r="V31927" s="5"/>
    </row>
    <row r="31928">
      <c r="N31928" s="1"/>
      <c r="V31928" s="5"/>
    </row>
    <row r="31929">
      <c r="N31929" s="1"/>
      <c r="V31929" s="5"/>
    </row>
    <row r="31930">
      <c r="N31930" s="1"/>
      <c r="V31930" s="5"/>
    </row>
    <row r="31931">
      <c r="N31931" s="1"/>
      <c r="V31931" s="5"/>
    </row>
    <row r="31932">
      <c r="N31932" s="1"/>
      <c r="V31932" s="5"/>
    </row>
    <row r="31933">
      <c r="N31933" s="1"/>
      <c r="V31933" s="5"/>
    </row>
    <row r="31934">
      <c r="N31934" s="1"/>
      <c r="V31934" s="5"/>
    </row>
    <row r="31935">
      <c r="N31935" s="1"/>
      <c r="V31935" s="5"/>
    </row>
    <row r="31936">
      <c r="N31936" s="1"/>
      <c r="V31936" s="5"/>
    </row>
    <row r="31937">
      <c r="N31937" s="1"/>
      <c r="V31937" s="5"/>
    </row>
    <row r="31938">
      <c r="N31938" s="1"/>
      <c r="V31938" s="5"/>
    </row>
    <row r="31939">
      <c r="N31939" s="1"/>
      <c r="V31939" s="5"/>
    </row>
    <row r="31940">
      <c r="N31940" s="1"/>
      <c r="V31940" s="5"/>
    </row>
    <row r="31941">
      <c r="N31941" s="1"/>
      <c r="V31941" s="5"/>
    </row>
    <row r="31942">
      <c r="N31942" s="1"/>
      <c r="V31942" s="5"/>
    </row>
    <row r="31943">
      <c r="N31943" s="1"/>
      <c r="V31943" s="5"/>
    </row>
    <row r="31944">
      <c r="N31944" s="1"/>
      <c r="V31944" s="5"/>
    </row>
    <row r="31945">
      <c r="N31945" s="1"/>
      <c r="V31945" s="5"/>
    </row>
    <row r="31946">
      <c r="N31946" s="1"/>
      <c r="V31946" s="5"/>
    </row>
    <row r="31947">
      <c r="N31947" s="1"/>
      <c r="V31947" s="5"/>
    </row>
    <row r="31948">
      <c r="N31948" s="1"/>
      <c r="V31948" s="5"/>
    </row>
    <row r="31949">
      <c r="N31949" s="1"/>
      <c r="V31949" s="5"/>
    </row>
    <row r="31950">
      <c r="N31950" s="1"/>
      <c r="V31950" s="5"/>
    </row>
    <row r="31951">
      <c r="N31951" s="1"/>
      <c r="V31951" s="5"/>
    </row>
    <row r="31952">
      <c r="N31952" s="1"/>
      <c r="V31952" s="5"/>
    </row>
    <row r="31953">
      <c r="N31953" s="1"/>
      <c r="V31953" s="5"/>
    </row>
    <row r="31954">
      <c r="N31954" s="1"/>
      <c r="V31954" s="5"/>
    </row>
    <row r="31955">
      <c r="N31955" s="1"/>
      <c r="V31955" s="5"/>
    </row>
    <row r="31956">
      <c r="N31956" s="1"/>
      <c r="V31956" s="5"/>
    </row>
    <row r="31957">
      <c r="N31957" s="1"/>
      <c r="V31957" s="5"/>
    </row>
    <row r="31958">
      <c r="N31958" s="1"/>
      <c r="V31958" s="5"/>
    </row>
    <row r="31959">
      <c r="N31959" s="1"/>
      <c r="V31959" s="5"/>
    </row>
    <row r="31960">
      <c r="N31960" s="1"/>
      <c r="V31960" s="5"/>
    </row>
    <row r="31961">
      <c r="N31961" s="1"/>
      <c r="V31961" s="5"/>
    </row>
    <row r="31962">
      <c r="N31962" s="1"/>
      <c r="V31962" s="5"/>
    </row>
    <row r="31963">
      <c r="N31963" s="1"/>
      <c r="V31963" s="5"/>
    </row>
    <row r="31964">
      <c r="N31964" s="1"/>
      <c r="V31964" s="5"/>
    </row>
    <row r="31965">
      <c r="N31965" s="1"/>
      <c r="V31965" s="5"/>
    </row>
    <row r="31966">
      <c r="N31966" s="1"/>
      <c r="V31966" s="5"/>
    </row>
    <row r="31967">
      <c r="N31967" s="1"/>
      <c r="V31967" s="5"/>
    </row>
    <row r="31968">
      <c r="N31968" s="1"/>
      <c r="V31968" s="5"/>
    </row>
    <row r="31969">
      <c r="N31969" s="1"/>
      <c r="V31969" s="5"/>
    </row>
    <row r="31970">
      <c r="N31970" s="1"/>
      <c r="V31970" s="5"/>
    </row>
    <row r="31971">
      <c r="N31971" s="1"/>
      <c r="V31971" s="5"/>
    </row>
    <row r="31972">
      <c r="N31972" s="1"/>
      <c r="V31972" s="5"/>
    </row>
    <row r="31973">
      <c r="N31973" s="1"/>
      <c r="V31973" s="5"/>
    </row>
    <row r="31974">
      <c r="N31974" s="1"/>
      <c r="V31974" s="5"/>
    </row>
    <row r="31975">
      <c r="N31975" s="1"/>
      <c r="V31975" s="5"/>
    </row>
    <row r="31976">
      <c r="N31976" s="1"/>
      <c r="V31976" s="5"/>
    </row>
    <row r="31977">
      <c r="N31977" s="1"/>
      <c r="V31977" s="5"/>
    </row>
    <row r="31978">
      <c r="N31978" s="1"/>
      <c r="V31978" s="5"/>
    </row>
    <row r="31979">
      <c r="N31979" s="1"/>
      <c r="V31979" s="5"/>
    </row>
    <row r="31980">
      <c r="N31980" s="1"/>
      <c r="V31980" s="5"/>
    </row>
    <row r="31981">
      <c r="N31981" s="1"/>
      <c r="V31981" s="5"/>
    </row>
    <row r="31982">
      <c r="N31982" s="1"/>
      <c r="V31982" s="5"/>
    </row>
    <row r="31983">
      <c r="N31983" s="1"/>
      <c r="V31983" s="5"/>
    </row>
    <row r="31984">
      <c r="N31984" s="1"/>
      <c r="V31984" s="5"/>
    </row>
    <row r="31985">
      <c r="N31985" s="1"/>
      <c r="V31985" s="5"/>
    </row>
    <row r="31986">
      <c r="N31986" s="1"/>
      <c r="V31986" s="5"/>
    </row>
    <row r="31987">
      <c r="N31987" s="1"/>
      <c r="V31987" s="5"/>
    </row>
    <row r="31988">
      <c r="N31988" s="1"/>
      <c r="V31988" s="5"/>
    </row>
    <row r="31989">
      <c r="N31989" s="1"/>
      <c r="V31989" s="5"/>
    </row>
    <row r="31990">
      <c r="N31990" s="1"/>
      <c r="V31990" s="5"/>
    </row>
    <row r="31991">
      <c r="N31991" s="1"/>
      <c r="V31991" s="5"/>
    </row>
    <row r="31992">
      <c r="N31992" s="1"/>
      <c r="V31992" s="5"/>
    </row>
    <row r="31993">
      <c r="N31993" s="1"/>
      <c r="V31993" s="5"/>
    </row>
    <row r="31994">
      <c r="N31994" s="1"/>
      <c r="V31994" s="5"/>
    </row>
    <row r="31995">
      <c r="N31995" s="1"/>
      <c r="V31995" s="5"/>
    </row>
    <row r="31996">
      <c r="N31996" s="1"/>
      <c r="V31996" s="5"/>
    </row>
    <row r="31997">
      <c r="N31997" s="1"/>
      <c r="V31997" s="5"/>
    </row>
    <row r="31998">
      <c r="N31998" s="1"/>
      <c r="V31998" s="5"/>
    </row>
    <row r="31999">
      <c r="N31999" s="1"/>
      <c r="V31999" s="5"/>
    </row>
    <row r="32000">
      <c r="N32000" s="1"/>
      <c r="V32000" s="5"/>
    </row>
    <row r="32001">
      <c r="N32001" s="1"/>
      <c r="V32001" s="5"/>
    </row>
    <row r="32002">
      <c r="N32002" s="1"/>
      <c r="V32002" s="5"/>
    </row>
    <row r="32003">
      <c r="N32003" s="1"/>
      <c r="V32003" s="5"/>
    </row>
    <row r="32004">
      <c r="N32004" s="1"/>
      <c r="V32004" s="5"/>
    </row>
    <row r="32005">
      <c r="N32005" s="1"/>
      <c r="V32005" s="5"/>
    </row>
    <row r="32006">
      <c r="N32006" s="1"/>
      <c r="V32006" s="5"/>
    </row>
    <row r="32007">
      <c r="N32007" s="1"/>
      <c r="V32007" s="5"/>
    </row>
    <row r="32008">
      <c r="N32008" s="1"/>
      <c r="V32008" s="5"/>
    </row>
    <row r="32009">
      <c r="N32009" s="1"/>
      <c r="V32009" s="5"/>
    </row>
    <row r="32010">
      <c r="N32010" s="1"/>
      <c r="V32010" s="5"/>
    </row>
    <row r="32011">
      <c r="N32011" s="1"/>
      <c r="V32011" s="5"/>
    </row>
    <row r="32012">
      <c r="N32012" s="1"/>
      <c r="V32012" s="5"/>
    </row>
    <row r="32013">
      <c r="N32013" s="1"/>
      <c r="V32013" s="5"/>
    </row>
    <row r="32014">
      <c r="N32014" s="1"/>
      <c r="V32014" s="5"/>
    </row>
    <row r="32015">
      <c r="N32015" s="1"/>
      <c r="V32015" s="5"/>
    </row>
    <row r="32016">
      <c r="N32016" s="1"/>
      <c r="V32016" s="5"/>
    </row>
    <row r="32017">
      <c r="N32017" s="1"/>
      <c r="V32017" s="5"/>
    </row>
    <row r="32018">
      <c r="N32018" s="1"/>
      <c r="V32018" s="5"/>
    </row>
    <row r="32019">
      <c r="N32019" s="1"/>
      <c r="V32019" s="5"/>
    </row>
    <row r="32020">
      <c r="N32020" s="1"/>
      <c r="V32020" s="5"/>
    </row>
    <row r="32021">
      <c r="N32021" s="1"/>
      <c r="V32021" s="5"/>
    </row>
    <row r="32022">
      <c r="N32022" s="1"/>
      <c r="V32022" s="5"/>
    </row>
    <row r="32023">
      <c r="N32023" s="1"/>
      <c r="V32023" s="5"/>
    </row>
    <row r="32024">
      <c r="N32024" s="1"/>
      <c r="V32024" s="5"/>
    </row>
    <row r="32025">
      <c r="N32025" s="1"/>
      <c r="V32025" s="5"/>
    </row>
    <row r="32026">
      <c r="N32026" s="1"/>
      <c r="V32026" s="5"/>
    </row>
    <row r="32027">
      <c r="N32027" s="1"/>
      <c r="V32027" s="5"/>
    </row>
    <row r="32028">
      <c r="N32028" s="1"/>
      <c r="V32028" s="5"/>
    </row>
    <row r="32029">
      <c r="N32029" s="1"/>
      <c r="V32029" s="5"/>
    </row>
    <row r="32030">
      <c r="N32030" s="1"/>
      <c r="V32030" s="5"/>
    </row>
    <row r="32031">
      <c r="N32031" s="1"/>
      <c r="V32031" s="5"/>
    </row>
    <row r="32032">
      <c r="N32032" s="1"/>
      <c r="V32032" s="5"/>
    </row>
    <row r="32033">
      <c r="N32033" s="1"/>
      <c r="V32033" s="5"/>
    </row>
    <row r="32034">
      <c r="N32034" s="1"/>
      <c r="V32034" s="5"/>
    </row>
    <row r="32035">
      <c r="N32035" s="1"/>
      <c r="V32035" s="5"/>
    </row>
    <row r="32036">
      <c r="N32036" s="1"/>
      <c r="V32036" s="5"/>
    </row>
    <row r="32037">
      <c r="N32037" s="1"/>
      <c r="V32037" s="5"/>
    </row>
    <row r="32038">
      <c r="N32038" s="1"/>
      <c r="V32038" s="5"/>
    </row>
    <row r="32039">
      <c r="N32039" s="1"/>
      <c r="V32039" s="5"/>
    </row>
    <row r="32040">
      <c r="N32040" s="1"/>
      <c r="V32040" s="5"/>
    </row>
    <row r="32041">
      <c r="N32041" s="1"/>
      <c r="V32041" s="5"/>
    </row>
    <row r="32042">
      <c r="N32042" s="1"/>
      <c r="V32042" s="5"/>
    </row>
    <row r="32043">
      <c r="N32043" s="1"/>
      <c r="V32043" s="5"/>
    </row>
    <row r="32044">
      <c r="N32044" s="1"/>
      <c r="V32044" s="5"/>
    </row>
    <row r="32045">
      <c r="N32045" s="1"/>
      <c r="V32045" s="5"/>
    </row>
    <row r="32046">
      <c r="N32046" s="1"/>
      <c r="V32046" s="5"/>
    </row>
    <row r="32047">
      <c r="N32047" s="1"/>
      <c r="V32047" s="5"/>
    </row>
    <row r="32048">
      <c r="N32048" s="1"/>
      <c r="V32048" s="5"/>
    </row>
    <row r="32049">
      <c r="N32049" s="1"/>
      <c r="V32049" s="5"/>
    </row>
    <row r="32050">
      <c r="N32050" s="1"/>
      <c r="V32050" s="5"/>
    </row>
    <row r="32051">
      <c r="N32051" s="1"/>
      <c r="V32051" s="5"/>
    </row>
    <row r="32052">
      <c r="N32052" s="1"/>
      <c r="V32052" s="5"/>
    </row>
    <row r="32053">
      <c r="N32053" s="1"/>
      <c r="V32053" s="5"/>
    </row>
    <row r="32054">
      <c r="N32054" s="1"/>
      <c r="V32054" s="5"/>
    </row>
    <row r="32055">
      <c r="N32055" s="1"/>
      <c r="V32055" s="5"/>
    </row>
    <row r="32056">
      <c r="N32056" s="1"/>
      <c r="V32056" s="5"/>
    </row>
    <row r="32057">
      <c r="N32057" s="1"/>
      <c r="V32057" s="5"/>
    </row>
    <row r="32058">
      <c r="N32058" s="1"/>
      <c r="V32058" s="5"/>
    </row>
    <row r="32059">
      <c r="N32059" s="1"/>
      <c r="V32059" s="5"/>
    </row>
    <row r="32060">
      <c r="N32060" s="1"/>
      <c r="V32060" s="5"/>
    </row>
    <row r="32061">
      <c r="N32061" s="1"/>
      <c r="V32061" s="5"/>
    </row>
    <row r="32062">
      <c r="N32062" s="1"/>
      <c r="V32062" s="5"/>
    </row>
    <row r="32063">
      <c r="N32063" s="1"/>
      <c r="V32063" s="5"/>
    </row>
    <row r="32064">
      <c r="N32064" s="1"/>
      <c r="V32064" s="5"/>
    </row>
    <row r="32065">
      <c r="N32065" s="1"/>
      <c r="V32065" s="5"/>
    </row>
    <row r="32066">
      <c r="N32066" s="1"/>
      <c r="V32066" s="5"/>
    </row>
    <row r="32067">
      <c r="N32067" s="1"/>
      <c r="V32067" s="5"/>
    </row>
    <row r="32068">
      <c r="N32068" s="1"/>
      <c r="V32068" s="5"/>
    </row>
    <row r="32069">
      <c r="N32069" s="1"/>
      <c r="V32069" s="5"/>
    </row>
    <row r="32070">
      <c r="N32070" s="1"/>
      <c r="V32070" s="5"/>
    </row>
    <row r="32071">
      <c r="N32071" s="1"/>
      <c r="V32071" s="5"/>
    </row>
    <row r="32072">
      <c r="N32072" s="1"/>
      <c r="V32072" s="5"/>
    </row>
    <row r="32073">
      <c r="N32073" s="1"/>
      <c r="V32073" s="5"/>
    </row>
    <row r="32074">
      <c r="N32074" s="1"/>
      <c r="V32074" s="5"/>
    </row>
    <row r="32075">
      <c r="N32075" s="1"/>
      <c r="V32075" s="5"/>
    </row>
    <row r="32076">
      <c r="N32076" s="1"/>
      <c r="V32076" s="5"/>
    </row>
    <row r="32077">
      <c r="N32077" s="1"/>
      <c r="V32077" s="5"/>
    </row>
    <row r="32078">
      <c r="N32078" s="1"/>
      <c r="V32078" s="5"/>
    </row>
    <row r="32079">
      <c r="N32079" s="1"/>
      <c r="V32079" s="5"/>
    </row>
    <row r="32080">
      <c r="N32080" s="1"/>
      <c r="V32080" s="5"/>
    </row>
    <row r="32081">
      <c r="N32081" s="1"/>
      <c r="V32081" s="5"/>
    </row>
    <row r="32082">
      <c r="N32082" s="1"/>
      <c r="V32082" s="5"/>
    </row>
    <row r="32083">
      <c r="N32083" s="1"/>
      <c r="V32083" s="5"/>
    </row>
    <row r="32084">
      <c r="N32084" s="1"/>
      <c r="V32084" s="5"/>
    </row>
    <row r="32085">
      <c r="N32085" s="1"/>
      <c r="V32085" s="5"/>
    </row>
    <row r="32086">
      <c r="N32086" s="1"/>
      <c r="V32086" s="5"/>
    </row>
    <row r="32087">
      <c r="N32087" s="1"/>
      <c r="V32087" s="5"/>
    </row>
    <row r="32088">
      <c r="N32088" s="1"/>
      <c r="V32088" s="5"/>
    </row>
    <row r="32089">
      <c r="N32089" s="1"/>
      <c r="V32089" s="5"/>
    </row>
    <row r="32090">
      <c r="N32090" s="1"/>
      <c r="V32090" s="5"/>
    </row>
    <row r="32091">
      <c r="N32091" s="1"/>
      <c r="V32091" s="5"/>
    </row>
    <row r="32092">
      <c r="N32092" s="1"/>
      <c r="V32092" s="5"/>
    </row>
    <row r="32093">
      <c r="N32093" s="1"/>
      <c r="V32093" s="5"/>
    </row>
    <row r="32094">
      <c r="N32094" s="1"/>
      <c r="V32094" s="5"/>
    </row>
    <row r="32095">
      <c r="N32095" s="1"/>
      <c r="V32095" s="5"/>
    </row>
    <row r="32096">
      <c r="N32096" s="1"/>
      <c r="V32096" s="5"/>
    </row>
    <row r="32097">
      <c r="N32097" s="1"/>
      <c r="V32097" s="5"/>
    </row>
    <row r="32098">
      <c r="N32098" s="1"/>
      <c r="V32098" s="5"/>
    </row>
    <row r="32099">
      <c r="N32099" s="1"/>
      <c r="V32099" s="5"/>
    </row>
    <row r="32100">
      <c r="N32100" s="1"/>
      <c r="V32100" s="5"/>
    </row>
    <row r="32101">
      <c r="N32101" s="1"/>
      <c r="V32101" s="5"/>
    </row>
    <row r="32102">
      <c r="N32102" s="1"/>
      <c r="V32102" s="5"/>
    </row>
    <row r="32103">
      <c r="N32103" s="1"/>
      <c r="V32103" s="5"/>
    </row>
    <row r="32104">
      <c r="N32104" s="1"/>
      <c r="V32104" s="5"/>
    </row>
    <row r="32105">
      <c r="N32105" s="1"/>
      <c r="V32105" s="5"/>
    </row>
    <row r="32106">
      <c r="N32106" s="1"/>
      <c r="V32106" s="5"/>
    </row>
    <row r="32107">
      <c r="N32107" s="1"/>
      <c r="V32107" s="5"/>
    </row>
    <row r="32108">
      <c r="N32108" s="1"/>
      <c r="V32108" s="5"/>
    </row>
    <row r="32109">
      <c r="N32109" s="1"/>
      <c r="V32109" s="5"/>
    </row>
    <row r="32110">
      <c r="N32110" s="1"/>
      <c r="V32110" s="5"/>
    </row>
    <row r="32111">
      <c r="N32111" s="1"/>
      <c r="V32111" s="5"/>
    </row>
    <row r="32112">
      <c r="N32112" s="1"/>
      <c r="V32112" s="5"/>
    </row>
    <row r="32113">
      <c r="N32113" s="1"/>
      <c r="V32113" s="5"/>
    </row>
    <row r="32114">
      <c r="N32114" s="1"/>
      <c r="V32114" s="5"/>
    </row>
    <row r="32115">
      <c r="N32115" s="1"/>
      <c r="V32115" s="5"/>
    </row>
    <row r="32116">
      <c r="N32116" s="1"/>
      <c r="V32116" s="5"/>
    </row>
    <row r="32117">
      <c r="N32117" s="1"/>
      <c r="V32117" s="5"/>
    </row>
    <row r="32118">
      <c r="N32118" s="1"/>
      <c r="V32118" s="5"/>
    </row>
    <row r="32119">
      <c r="N32119" s="1"/>
      <c r="V32119" s="5"/>
    </row>
    <row r="32120">
      <c r="N32120" s="1"/>
      <c r="V32120" s="5"/>
    </row>
    <row r="32121">
      <c r="N32121" s="1"/>
      <c r="V32121" s="5"/>
    </row>
    <row r="32122">
      <c r="N32122" s="1"/>
      <c r="V32122" s="5"/>
    </row>
    <row r="32123">
      <c r="N32123" s="1"/>
      <c r="V32123" s="5"/>
    </row>
    <row r="32124">
      <c r="N32124" s="1"/>
      <c r="V32124" s="5"/>
    </row>
    <row r="32125">
      <c r="N32125" s="1"/>
      <c r="V32125" s="5"/>
    </row>
    <row r="32126">
      <c r="N32126" s="1"/>
      <c r="V32126" s="5"/>
    </row>
    <row r="32127">
      <c r="N32127" s="1"/>
      <c r="V32127" s="5"/>
    </row>
    <row r="32128">
      <c r="N32128" s="1"/>
      <c r="V32128" s="5"/>
    </row>
    <row r="32129">
      <c r="N32129" s="1"/>
      <c r="V32129" s="5"/>
    </row>
    <row r="32130">
      <c r="N32130" s="1"/>
      <c r="V32130" s="5"/>
    </row>
    <row r="32131">
      <c r="N32131" s="1"/>
      <c r="V32131" s="5"/>
    </row>
    <row r="32132">
      <c r="N32132" s="1"/>
      <c r="V32132" s="5"/>
    </row>
    <row r="32133">
      <c r="N32133" s="1"/>
      <c r="V32133" s="5"/>
    </row>
    <row r="32134">
      <c r="N32134" s="1"/>
      <c r="V32134" s="5"/>
    </row>
    <row r="32135">
      <c r="N32135" s="1"/>
      <c r="V32135" s="5"/>
    </row>
    <row r="32136">
      <c r="N32136" s="1"/>
      <c r="V32136" s="5"/>
    </row>
    <row r="32137">
      <c r="N32137" s="1"/>
      <c r="V32137" s="5"/>
    </row>
    <row r="32138">
      <c r="N32138" s="1"/>
      <c r="V32138" s="5"/>
    </row>
    <row r="32139">
      <c r="N32139" s="1"/>
      <c r="V32139" s="5"/>
    </row>
    <row r="32140">
      <c r="N32140" s="1"/>
      <c r="V32140" s="5"/>
    </row>
    <row r="32141">
      <c r="N32141" s="1"/>
      <c r="V32141" s="5"/>
    </row>
    <row r="32142">
      <c r="N32142" s="1"/>
      <c r="V32142" s="5"/>
    </row>
    <row r="32143">
      <c r="N32143" s="1"/>
      <c r="V32143" s="5"/>
    </row>
    <row r="32144">
      <c r="N32144" s="1"/>
      <c r="V32144" s="5"/>
    </row>
    <row r="32145">
      <c r="N32145" s="1"/>
      <c r="V32145" s="5"/>
    </row>
    <row r="32146">
      <c r="N32146" s="1"/>
      <c r="V32146" s="5"/>
    </row>
    <row r="32147">
      <c r="N32147" s="1"/>
      <c r="V32147" s="5"/>
    </row>
    <row r="32148">
      <c r="N32148" s="1"/>
      <c r="V32148" s="5"/>
    </row>
    <row r="32149">
      <c r="N32149" s="1"/>
      <c r="V32149" s="5"/>
    </row>
    <row r="32150">
      <c r="N32150" s="1"/>
      <c r="V32150" s="5"/>
    </row>
    <row r="32151">
      <c r="N32151" s="1"/>
      <c r="V32151" s="5"/>
    </row>
    <row r="32152">
      <c r="N32152" s="1"/>
      <c r="V32152" s="5"/>
    </row>
    <row r="32153">
      <c r="N32153" s="1"/>
      <c r="V32153" s="5"/>
    </row>
    <row r="32154">
      <c r="N32154" s="1"/>
      <c r="V32154" s="5"/>
    </row>
    <row r="32155">
      <c r="N32155" s="1"/>
      <c r="V32155" s="5"/>
    </row>
    <row r="32156">
      <c r="N32156" s="1"/>
      <c r="V32156" s="5"/>
    </row>
    <row r="32157">
      <c r="N32157" s="1"/>
      <c r="V32157" s="5"/>
    </row>
    <row r="32158">
      <c r="N32158" s="1"/>
      <c r="V32158" s="5"/>
    </row>
    <row r="32159">
      <c r="N32159" s="1"/>
      <c r="V32159" s="5"/>
    </row>
    <row r="32160">
      <c r="N32160" s="1"/>
      <c r="V32160" s="5"/>
    </row>
    <row r="32161">
      <c r="N32161" s="1"/>
      <c r="V32161" s="5"/>
    </row>
    <row r="32162">
      <c r="N32162" s="1"/>
      <c r="V32162" s="5"/>
    </row>
    <row r="32163">
      <c r="N32163" s="1"/>
      <c r="V32163" s="5"/>
    </row>
    <row r="32164">
      <c r="N32164" s="1"/>
      <c r="V32164" s="5"/>
    </row>
    <row r="32165">
      <c r="N32165" s="1"/>
      <c r="V32165" s="5"/>
    </row>
    <row r="32166">
      <c r="N32166" s="1"/>
      <c r="V32166" s="5"/>
    </row>
    <row r="32167">
      <c r="N32167" s="1"/>
      <c r="V32167" s="5"/>
    </row>
    <row r="32168">
      <c r="N32168" s="1"/>
      <c r="V32168" s="5"/>
    </row>
    <row r="32169">
      <c r="N32169" s="1"/>
      <c r="V32169" s="5"/>
    </row>
    <row r="32170">
      <c r="N32170" s="1"/>
      <c r="V32170" s="5"/>
    </row>
    <row r="32171">
      <c r="N32171" s="1"/>
      <c r="V32171" s="5"/>
    </row>
    <row r="32172">
      <c r="N32172" s="1"/>
      <c r="V32172" s="5"/>
    </row>
    <row r="32173">
      <c r="N32173" s="1"/>
      <c r="V32173" s="5"/>
    </row>
    <row r="32174">
      <c r="N32174" s="1"/>
      <c r="V32174" s="5"/>
    </row>
    <row r="32175">
      <c r="N32175" s="1"/>
      <c r="V32175" s="5"/>
    </row>
    <row r="32176">
      <c r="N32176" s="1"/>
      <c r="V32176" s="5"/>
    </row>
    <row r="32177">
      <c r="N32177" s="1"/>
      <c r="V32177" s="5"/>
    </row>
    <row r="32178">
      <c r="N32178" s="1"/>
      <c r="V32178" s="5"/>
    </row>
    <row r="32179">
      <c r="N32179" s="1"/>
      <c r="V32179" s="5"/>
    </row>
    <row r="32180">
      <c r="N32180" s="1"/>
      <c r="V32180" s="5"/>
    </row>
    <row r="32181">
      <c r="N32181" s="1"/>
      <c r="V32181" s="5"/>
    </row>
    <row r="32182">
      <c r="N32182" s="1"/>
      <c r="V32182" s="5"/>
    </row>
    <row r="32183">
      <c r="N32183" s="1"/>
      <c r="V32183" s="5"/>
    </row>
    <row r="32184">
      <c r="N32184" s="1"/>
      <c r="V32184" s="5"/>
    </row>
    <row r="32185">
      <c r="N32185" s="1"/>
      <c r="V32185" s="5"/>
    </row>
    <row r="32186">
      <c r="N32186" s="1"/>
      <c r="V32186" s="5"/>
    </row>
    <row r="32187">
      <c r="N32187" s="1"/>
      <c r="V32187" s="5"/>
    </row>
    <row r="32188">
      <c r="N32188" s="1"/>
      <c r="V32188" s="5"/>
    </row>
    <row r="32189">
      <c r="N32189" s="1"/>
      <c r="V32189" s="5"/>
    </row>
    <row r="32190">
      <c r="N32190" s="1"/>
      <c r="V32190" s="5"/>
    </row>
    <row r="32191">
      <c r="N32191" s="1"/>
      <c r="V32191" s="5"/>
    </row>
    <row r="32192">
      <c r="N32192" s="1"/>
      <c r="V32192" s="5"/>
    </row>
    <row r="32193">
      <c r="N32193" s="1"/>
      <c r="V32193" s="5"/>
    </row>
    <row r="32194">
      <c r="N32194" s="1"/>
      <c r="V32194" s="5"/>
    </row>
    <row r="32195">
      <c r="N32195" s="1"/>
      <c r="V32195" s="5"/>
    </row>
    <row r="32196">
      <c r="N32196" s="1"/>
      <c r="V32196" s="5"/>
    </row>
    <row r="32197">
      <c r="N32197" s="1"/>
      <c r="V32197" s="5"/>
    </row>
    <row r="32198">
      <c r="N32198" s="1"/>
      <c r="V32198" s="5"/>
    </row>
    <row r="32199">
      <c r="N32199" s="1"/>
      <c r="V32199" s="5"/>
    </row>
    <row r="32200">
      <c r="N32200" s="1"/>
      <c r="V32200" s="5"/>
    </row>
    <row r="32201">
      <c r="N32201" s="1"/>
      <c r="V32201" s="5"/>
    </row>
    <row r="32202">
      <c r="N32202" s="1"/>
      <c r="V32202" s="5"/>
    </row>
    <row r="32203">
      <c r="N32203" s="1"/>
      <c r="V32203" s="5"/>
    </row>
    <row r="32204">
      <c r="N32204" s="1"/>
      <c r="V32204" s="5"/>
    </row>
    <row r="32205">
      <c r="N32205" s="1"/>
      <c r="V32205" s="5"/>
    </row>
    <row r="32206">
      <c r="N32206" s="1"/>
      <c r="V32206" s="5"/>
    </row>
    <row r="32207">
      <c r="N32207" s="1"/>
      <c r="V32207" s="5"/>
    </row>
    <row r="32208">
      <c r="N32208" s="1"/>
      <c r="V32208" s="5"/>
    </row>
    <row r="32209">
      <c r="N32209" s="1"/>
      <c r="V32209" s="5"/>
    </row>
    <row r="32210">
      <c r="N32210" s="1"/>
      <c r="V32210" s="5"/>
    </row>
    <row r="32211">
      <c r="N32211" s="1"/>
      <c r="V32211" s="5"/>
    </row>
    <row r="32212">
      <c r="N32212" s="1"/>
      <c r="V32212" s="5"/>
    </row>
    <row r="32213">
      <c r="N32213" s="1"/>
      <c r="V32213" s="5"/>
    </row>
    <row r="32214">
      <c r="N32214" s="1"/>
      <c r="V32214" s="5"/>
    </row>
    <row r="32215">
      <c r="N32215" s="1"/>
      <c r="V32215" s="5"/>
    </row>
    <row r="32216">
      <c r="N32216" s="1"/>
      <c r="V32216" s="5"/>
    </row>
    <row r="32217">
      <c r="N32217" s="1"/>
      <c r="V32217" s="5"/>
    </row>
    <row r="32218">
      <c r="N32218" s="1"/>
      <c r="V32218" s="5"/>
    </row>
    <row r="32219">
      <c r="N32219" s="1"/>
      <c r="V32219" s="5"/>
    </row>
    <row r="32220">
      <c r="N32220" s="1"/>
      <c r="V32220" s="5"/>
    </row>
    <row r="32221">
      <c r="N32221" s="1"/>
      <c r="V32221" s="5"/>
    </row>
    <row r="32222">
      <c r="N32222" s="1"/>
      <c r="V32222" s="5"/>
    </row>
    <row r="32223">
      <c r="N32223" s="1"/>
      <c r="V32223" s="5"/>
    </row>
    <row r="32224">
      <c r="N32224" s="1"/>
      <c r="V32224" s="5"/>
    </row>
    <row r="32225">
      <c r="N32225" s="1"/>
      <c r="V32225" s="5"/>
    </row>
    <row r="32226">
      <c r="N32226" s="1"/>
      <c r="V32226" s="5"/>
    </row>
    <row r="32227">
      <c r="N32227" s="1"/>
      <c r="V32227" s="5"/>
    </row>
    <row r="32228">
      <c r="N32228" s="1"/>
      <c r="V32228" s="5"/>
    </row>
    <row r="32229">
      <c r="N32229" s="1"/>
      <c r="V32229" s="5"/>
    </row>
    <row r="32230">
      <c r="N32230" s="1"/>
      <c r="V32230" s="5"/>
    </row>
    <row r="32231">
      <c r="N32231" s="1"/>
      <c r="V32231" s="5"/>
    </row>
    <row r="32232">
      <c r="N32232" s="1"/>
      <c r="V32232" s="5"/>
    </row>
    <row r="32233">
      <c r="N32233" s="1"/>
      <c r="V32233" s="5"/>
    </row>
    <row r="32234">
      <c r="N32234" s="1"/>
      <c r="V32234" s="5"/>
    </row>
    <row r="32235">
      <c r="N32235" s="1"/>
      <c r="V32235" s="5"/>
    </row>
    <row r="32236">
      <c r="N32236" s="1"/>
      <c r="V32236" s="5"/>
    </row>
    <row r="32237">
      <c r="N32237" s="1"/>
      <c r="V32237" s="5"/>
    </row>
    <row r="32238">
      <c r="N32238" s="1"/>
      <c r="V32238" s="5"/>
    </row>
    <row r="32239">
      <c r="N32239" s="1"/>
      <c r="V32239" s="5"/>
    </row>
    <row r="32240">
      <c r="N32240" s="1"/>
      <c r="V32240" s="5"/>
    </row>
    <row r="32241">
      <c r="N32241" s="1"/>
      <c r="V32241" s="5"/>
    </row>
    <row r="32242">
      <c r="N32242" s="1"/>
      <c r="V32242" s="5"/>
    </row>
    <row r="32243">
      <c r="N32243" s="1"/>
      <c r="V32243" s="5"/>
    </row>
    <row r="32244">
      <c r="N32244" s="1"/>
      <c r="V32244" s="5"/>
    </row>
    <row r="32245">
      <c r="N32245" s="1"/>
      <c r="V32245" s="5"/>
    </row>
    <row r="32246">
      <c r="N32246" s="1"/>
      <c r="V32246" s="5"/>
    </row>
    <row r="32247">
      <c r="N32247" s="1"/>
      <c r="V32247" s="5"/>
    </row>
    <row r="32248">
      <c r="N32248" s="1"/>
      <c r="V32248" s="5"/>
    </row>
    <row r="32249">
      <c r="N32249" s="1"/>
      <c r="V32249" s="5"/>
    </row>
    <row r="32250">
      <c r="N32250" s="1"/>
      <c r="V32250" s="5"/>
    </row>
    <row r="32251">
      <c r="N32251" s="1"/>
      <c r="V32251" s="5"/>
    </row>
    <row r="32252">
      <c r="N32252" s="1"/>
      <c r="V32252" s="5"/>
    </row>
    <row r="32253">
      <c r="N32253" s="1"/>
      <c r="V32253" s="5"/>
    </row>
    <row r="32254">
      <c r="N32254" s="1"/>
      <c r="V32254" s="5"/>
    </row>
    <row r="32255">
      <c r="N32255" s="1"/>
      <c r="V32255" s="5"/>
    </row>
    <row r="32256">
      <c r="N32256" s="1"/>
      <c r="V32256" s="5"/>
    </row>
    <row r="32257">
      <c r="N32257" s="1"/>
      <c r="V32257" s="5"/>
    </row>
    <row r="32258">
      <c r="N32258" s="1"/>
      <c r="V32258" s="5"/>
    </row>
    <row r="32259">
      <c r="N32259" s="1"/>
      <c r="V32259" s="5"/>
    </row>
    <row r="32260">
      <c r="N32260" s="1"/>
      <c r="V32260" s="5"/>
    </row>
    <row r="32261">
      <c r="N32261" s="1"/>
      <c r="V32261" s="5"/>
    </row>
    <row r="32262">
      <c r="N32262" s="1"/>
      <c r="V32262" s="5"/>
    </row>
    <row r="32263">
      <c r="N32263" s="1"/>
      <c r="V32263" s="5"/>
    </row>
    <row r="32264">
      <c r="N32264" s="1"/>
      <c r="V32264" s="5"/>
    </row>
    <row r="32265">
      <c r="N32265" s="1"/>
      <c r="V32265" s="5"/>
    </row>
    <row r="32266">
      <c r="N32266" s="1"/>
      <c r="V32266" s="5"/>
    </row>
    <row r="32267">
      <c r="N32267" s="1"/>
      <c r="V32267" s="5"/>
    </row>
    <row r="32268">
      <c r="N32268" s="1"/>
      <c r="V32268" s="5"/>
    </row>
    <row r="32269">
      <c r="N32269" s="1"/>
      <c r="V32269" s="5"/>
    </row>
    <row r="32270">
      <c r="N32270" s="1"/>
      <c r="V32270" s="5"/>
    </row>
    <row r="32271">
      <c r="N32271" s="1"/>
      <c r="V32271" s="5"/>
    </row>
    <row r="32272">
      <c r="N32272" s="1"/>
      <c r="V32272" s="5"/>
    </row>
    <row r="32273">
      <c r="N32273" s="1"/>
      <c r="V32273" s="5"/>
    </row>
    <row r="32274">
      <c r="N32274" s="1"/>
      <c r="V32274" s="5"/>
    </row>
    <row r="32275">
      <c r="N32275" s="1"/>
      <c r="V32275" s="5"/>
    </row>
    <row r="32276">
      <c r="N32276" s="1"/>
      <c r="V32276" s="5"/>
    </row>
    <row r="32277">
      <c r="N32277" s="1"/>
      <c r="V32277" s="5"/>
    </row>
    <row r="32278">
      <c r="N32278" s="1"/>
      <c r="V32278" s="5"/>
    </row>
    <row r="32279">
      <c r="N32279" s="1"/>
      <c r="V32279" s="5"/>
    </row>
    <row r="32280">
      <c r="N32280" s="1"/>
      <c r="V32280" s="5"/>
    </row>
    <row r="32281">
      <c r="N32281" s="1"/>
      <c r="V32281" s="5"/>
    </row>
    <row r="32282">
      <c r="N32282" s="1"/>
      <c r="V32282" s="5"/>
    </row>
    <row r="32283">
      <c r="N32283" s="1"/>
      <c r="V32283" s="5"/>
    </row>
    <row r="32284">
      <c r="N32284" s="1"/>
      <c r="V32284" s="5"/>
    </row>
    <row r="32285">
      <c r="N32285" s="1"/>
      <c r="V32285" s="5"/>
    </row>
    <row r="32286">
      <c r="N32286" s="1"/>
      <c r="V32286" s="5"/>
    </row>
    <row r="32287">
      <c r="N32287" s="1"/>
      <c r="V32287" s="5"/>
    </row>
    <row r="32288">
      <c r="N32288" s="1"/>
      <c r="V32288" s="5"/>
    </row>
    <row r="32289">
      <c r="N32289" s="1"/>
      <c r="V32289" s="5"/>
    </row>
    <row r="32290">
      <c r="N32290" s="1"/>
      <c r="V32290" s="5"/>
    </row>
    <row r="32291">
      <c r="N32291" s="1"/>
      <c r="V32291" s="5"/>
    </row>
    <row r="32292">
      <c r="N32292" s="1"/>
      <c r="V32292" s="5"/>
    </row>
    <row r="32293">
      <c r="N32293" s="1"/>
      <c r="V32293" s="5"/>
    </row>
    <row r="32294">
      <c r="N32294" s="1"/>
      <c r="V32294" s="5"/>
    </row>
    <row r="32295">
      <c r="N32295" s="1"/>
      <c r="V32295" s="5"/>
    </row>
    <row r="32296">
      <c r="N32296" s="1"/>
      <c r="V32296" s="5"/>
    </row>
    <row r="32297">
      <c r="N32297" s="1"/>
      <c r="V32297" s="5"/>
    </row>
    <row r="32298">
      <c r="N32298" s="1"/>
      <c r="V32298" s="5"/>
    </row>
    <row r="32299">
      <c r="N32299" s="1"/>
      <c r="V32299" s="5"/>
    </row>
    <row r="32300">
      <c r="N32300" s="1"/>
      <c r="V32300" s="5"/>
    </row>
    <row r="32301">
      <c r="N32301" s="1"/>
      <c r="V32301" s="5"/>
    </row>
    <row r="32302">
      <c r="N32302" s="1"/>
      <c r="V32302" s="5"/>
    </row>
    <row r="32303">
      <c r="N32303" s="1"/>
      <c r="V32303" s="5"/>
    </row>
    <row r="32304">
      <c r="N32304" s="1"/>
      <c r="V32304" s="5"/>
    </row>
    <row r="32305">
      <c r="N32305" s="1"/>
      <c r="V32305" s="5"/>
    </row>
    <row r="32306">
      <c r="N32306" s="1"/>
      <c r="V32306" s="5"/>
    </row>
    <row r="32307">
      <c r="N32307" s="1"/>
      <c r="V32307" s="5"/>
    </row>
    <row r="32308">
      <c r="N32308" s="1"/>
      <c r="V32308" s="5"/>
    </row>
    <row r="32309">
      <c r="N32309" s="1"/>
      <c r="V32309" s="5"/>
    </row>
    <row r="32310">
      <c r="N32310" s="1"/>
      <c r="V32310" s="5"/>
    </row>
    <row r="32311">
      <c r="N32311" s="1"/>
      <c r="V32311" s="5"/>
    </row>
    <row r="32312">
      <c r="N32312" s="1"/>
      <c r="V32312" s="5"/>
    </row>
    <row r="32313">
      <c r="N32313" s="1"/>
      <c r="V32313" s="5"/>
    </row>
    <row r="32314">
      <c r="N32314" s="1"/>
      <c r="V32314" s="5"/>
    </row>
    <row r="32315">
      <c r="N32315" s="1"/>
      <c r="V32315" s="5"/>
    </row>
    <row r="32316">
      <c r="N32316" s="1"/>
      <c r="V32316" s="5"/>
    </row>
    <row r="32317">
      <c r="N32317" s="1"/>
      <c r="V32317" s="5"/>
    </row>
    <row r="32318">
      <c r="N32318" s="1"/>
      <c r="V32318" s="5"/>
    </row>
    <row r="32319">
      <c r="N32319" s="1"/>
      <c r="V32319" s="5"/>
    </row>
    <row r="32320">
      <c r="N32320" s="1"/>
      <c r="V32320" s="5"/>
    </row>
    <row r="32321">
      <c r="N32321" s="1"/>
      <c r="V32321" s="5"/>
    </row>
    <row r="32322">
      <c r="N32322" s="1"/>
      <c r="V32322" s="5"/>
    </row>
    <row r="32323">
      <c r="N32323" s="1"/>
      <c r="V32323" s="5"/>
    </row>
    <row r="32324">
      <c r="N32324" s="1"/>
      <c r="V32324" s="5"/>
    </row>
    <row r="32325">
      <c r="N32325" s="1"/>
      <c r="V32325" s="5"/>
    </row>
    <row r="32326">
      <c r="N32326" s="1"/>
      <c r="V32326" s="5"/>
    </row>
    <row r="32327">
      <c r="N32327" s="1"/>
      <c r="V32327" s="5"/>
    </row>
    <row r="32328">
      <c r="N32328" s="1"/>
      <c r="V32328" s="5"/>
    </row>
    <row r="32329">
      <c r="N32329" s="1"/>
      <c r="V32329" s="5"/>
    </row>
    <row r="32330">
      <c r="N32330" s="1"/>
      <c r="V32330" s="5"/>
    </row>
    <row r="32331">
      <c r="N32331" s="1"/>
      <c r="V32331" s="5"/>
    </row>
    <row r="32332">
      <c r="N32332" s="1"/>
      <c r="V32332" s="5"/>
    </row>
    <row r="32333">
      <c r="N32333" s="1"/>
      <c r="V32333" s="5"/>
    </row>
    <row r="32334">
      <c r="N32334" s="1"/>
      <c r="V32334" s="5"/>
    </row>
    <row r="32335">
      <c r="N32335" s="1"/>
      <c r="V32335" s="5"/>
    </row>
    <row r="32336">
      <c r="N32336" s="1"/>
      <c r="V32336" s="5"/>
    </row>
    <row r="32337">
      <c r="N32337" s="1"/>
      <c r="V32337" s="5"/>
    </row>
    <row r="32338">
      <c r="N32338" s="1"/>
      <c r="V32338" s="5"/>
    </row>
    <row r="32339">
      <c r="N32339" s="1"/>
      <c r="V32339" s="5"/>
    </row>
    <row r="32340">
      <c r="N32340" s="1"/>
      <c r="V32340" s="5"/>
    </row>
    <row r="32341">
      <c r="N32341" s="1"/>
      <c r="V32341" s="5"/>
    </row>
    <row r="32342">
      <c r="N32342" s="1"/>
      <c r="V32342" s="5"/>
    </row>
    <row r="32343">
      <c r="N32343" s="1"/>
      <c r="V32343" s="5"/>
    </row>
    <row r="32344">
      <c r="N32344" s="1"/>
      <c r="V32344" s="5"/>
    </row>
    <row r="32345">
      <c r="N32345" s="1"/>
      <c r="V32345" s="5"/>
    </row>
    <row r="32346">
      <c r="N32346" s="1"/>
      <c r="V32346" s="5"/>
    </row>
    <row r="32347">
      <c r="N32347" s="1"/>
      <c r="V32347" s="5"/>
    </row>
    <row r="32348">
      <c r="N32348" s="1"/>
      <c r="V32348" s="5"/>
    </row>
    <row r="32349">
      <c r="N32349" s="1"/>
      <c r="V32349" s="5"/>
    </row>
    <row r="32350">
      <c r="N32350" s="1"/>
      <c r="V32350" s="5"/>
    </row>
    <row r="32351">
      <c r="N32351" s="1"/>
      <c r="V32351" s="5"/>
    </row>
    <row r="32352">
      <c r="N32352" s="1"/>
      <c r="V32352" s="5"/>
    </row>
    <row r="32353">
      <c r="N32353" s="1"/>
      <c r="V32353" s="5"/>
    </row>
    <row r="32354">
      <c r="N32354" s="1"/>
      <c r="V32354" s="5"/>
    </row>
    <row r="32355">
      <c r="N32355" s="1"/>
      <c r="V32355" s="5"/>
    </row>
    <row r="32356">
      <c r="N32356" s="1"/>
      <c r="V32356" s="5"/>
    </row>
    <row r="32357">
      <c r="N32357" s="1"/>
      <c r="V32357" s="5"/>
    </row>
    <row r="32358">
      <c r="N32358" s="1"/>
      <c r="V32358" s="5"/>
    </row>
    <row r="32359">
      <c r="N32359" s="1"/>
      <c r="V32359" s="5"/>
    </row>
    <row r="32360">
      <c r="N32360" s="1"/>
      <c r="V32360" s="5"/>
    </row>
    <row r="32361">
      <c r="N32361" s="1"/>
      <c r="V32361" s="5"/>
    </row>
    <row r="32362">
      <c r="N32362" s="1"/>
      <c r="V32362" s="5"/>
    </row>
    <row r="32363">
      <c r="N32363" s="1"/>
      <c r="V32363" s="5"/>
    </row>
    <row r="32364">
      <c r="N32364" s="1"/>
      <c r="V32364" s="5"/>
    </row>
    <row r="32365">
      <c r="N32365" s="1"/>
      <c r="V32365" s="5"/>
    </row>
    <row r="32366">
      <c r="N32366" s="1"/>
      <c r="V32366" s="5"/>
    </row>
    <row r="32367">
      <c r="N32367" s="1"/>
      <c r="V32367" s="5"/>
    </row>
    <row r="32368">
      <c r="N32368" s="1"/>
      <c r="V32368" s="5"/>
    </row>
    <row r="32369">
      <c r="N32369" s="1"/>
      <c r="V32369" s="5"/>
    </row>
    <row r="32370">
      <c r="N32370" s="1"/>
      <c r="V32370" s="5"/>
    </row>
    <row r="32371">
      <c r="N32371" s="1"/>
      <c r="V32371" s="5"/>
    </row>
    <row r="32372">
      <c r="N32372" s="1"/>
      <c r="V32372" s="5"/>
    </row>
    <row r="32373">
      <c r="N32373" s="1"/>
      <c r="V32373" s="5"/>
    </row>
    <row r="32374">
      <c r="N32374" s="1"/>
      <c r="V32374" s="5"/>
    </row>
    <row r="32375">
      <c r="N32375" s="1"/>
      <c r="V32375" s="5"/>
    </row>
    <row r="32376">
      <c r="N32376" s="1"/>
      <c r="V32376" s="5"/>
    </row>
    <row r="32377">
      <c r="N32377" s="1"/>
      <c r="V32377" s="5"/>
    </row>
    <row r="32378">
      <c r="N32378" s="1"/>
      <c r="V32378" s="5"/>
    </row>
    <row r="32379">
      <c r="N32379" s="1"/>
      <c r="V32379" s="5"/>
    </row>
    <row r="32380">
      <c r="N32380" s="1"/>
      <c r="V32380" s="5"/>
    </row>
    <row r="32381">
      <c r="N32381" s="1"/>
      <c r="V32381" s="5"/>
    </row>
    <row r="32382">
      <c r="N32382" s="1"/>
      <c r="V32382" s="5"/>
    </row>
    <row r="32383">
      <c r="N32383" s="1"/>
      <c r="V32383" s="5"/>
    </row>
    <row r="32384">
      <c r="N32384" s="1"/>
      <c r="V32384" s="5"/>
    </row>
    <row r="32385">
      <c r="N32385" s="1"/>
      <c r="V32385" s="5"/>
    </row>
    <row r="32386">
      <c r="N32386" s="1"/>
      <c r="V32386" s="5"/>
    </row>
    <row r="32387">
      <c r="N32387" s="1"/>
      <c r="V32387" s="5"/>
    </row>
    <row r="32388">
      <c r="N32388" s="1"/>
      <c r="V32388" s="5"/>
    </row>
    <row r="32389">
      <c r="N32389" s="1"/>
      <c r="V32389" s="5"/>
    </row>
    <row r="32390">
      <c r="N32390" s="1"/>
      <c r="V32390" s="5"/>
    </row>
    <row r="32391">
      <c r="N32391" s="1"/>
      <c r="V32391" s="5"/>
    </row>
    <row r="32392">
      <c r="N32392" s="1"/>
      <c r="V32392" s="5"/>
    </row>
    <row r="32393">
      <c r="N32393" s="1"/>
      <c r="V32393" s="5"/>
    </row>
    <row r="32394">
      <c r="N32394" s="1"/>
      <c r="V32394" s="5"/>
    </row>
    <row r="32395">
      <c r="N32395" s="1"/>
      <c r="V32395" s="5"/>
    </row>
    <row r="32396">
      <c r="N32396" s="1"/>
      <c r="V32396" s="5"/>
    </row>
    <row r="32397">
      <c r="N32397" s="1"/>
      <c r="V32397" s="5"/>
    </row>
    <row r="32398">
      <c r="N32398" s="1"/>
      <c r="V32398" s="5"/>
    </row>
    <row r="32399">
      <c r="N32399" s="1"/>
      <c r="V32399" s="5"/>
    </row>
    <row r="32400">
      <c r="N32400" s="1"/>
      <c r="V32400" s="5"/>
    </row>
    <row r="32401">
      <c r="N32401" s="1"/>
      <c r="V32401" s="5"/>
    </row>
    <row r="32402">
      <c r="N32402" s="1"/>
      <c r="V32402" s="5"/>
    </row>
    <row r="32403">
      <c r="N32403" s="1"/>
      <c r="V32403" s="5"/>
    </row>
    <row r="32404">
      <c r="N32404" s="1"/>
      <c r="V32404" s="5"/>
    </row>
    <row r="32405">
      <c r="N32405" s="1"/>
      <c r="V32405" s="5"/>
    </row>
    <row r="32406">
      <c r="N32406" s="1"/>
      <c r="V32406" s="5"/>
    </row>
    <row r="32407">
      <c r="N32407" s="1"/>
      <c r="V32407" s="5"/>
    </row>
    <row r="32408">
      <c r="N32408" s="1"/>
      <c r="V32408" s="5"/>
    </row>
    <row r="32409">
      <c r="N32409" s="1"/>
      <c r="V32409" s="5"/>
    </row>
    <row r="32410">
      <c r="N32410" s="1"/>
      <c r="V32410" s="5"/>
    </row>
    <row r="32411">
      <c r="N32411" s="1"/>
      <c r="V32411" s="5"/>
    </row>
    <row r="32412">
      <c r="N32412" s="1"/>
      <c r="V32412" s="5"/>
    </row>
    <row r="32413">
      <c r="N32413" s="1"/>
      <c r="V32413" s="5"/>
    </row>
    <row r="32414">
      <c r="N32414" s="1"/>
      <c r="V32414" s="5"/>
    </row>
    <row r="32415">
      <c r="N32415" s="1"/>
      <c r="V32415" s="5"/>
    </row>
    <row r="32416">
      <c r="N32416" s="1"/>
      <c r="V32416" s="5"/>
    </row>
    <row r="32417">
      <c r="N32417" s="1"/>
      <c r="V32417" s="5"/>
    </row>
    <row r="32418">
      <c r="N32418" s="1"/>
      <c r="V32418" s="5"/>
    </row>
    <row r="32419">
      <c r="N32419" s="1"/>
      <c r="V32419" s="5"/>
    </row>
    <row r="32420">
      <c r="N32420" s="1"/>
      <c r="V32420" s="5"/>
    </row>
    <row r="32421">
      <c r="N32421" s="1"/>
      <c r="V32421" s="5"/>
    </row>
    <row r="32422">
      <c r="N32422" s="1"/>
      <c r="V32422" s="5"/>
    </row>
    <row r="32423">
      <c r="N32423" s="1"/>
      <c r="V32423" s="5"/>
    </row>
    <row r="32424">
      <c r="N32424" s="1"/>
      <c r="V32424" s="5"/>
    </row>
    <row r="32425">
      <c r="N32425" s="1"/>
      <c r="V32425" s="5"/>
    </row>
    <row r="32426">
      <c r="N32426" s="1"/>
      <c r="V32426" s="5"/>
    </row>
    <row r="32427">
      <c r="N32427" s="1"/>
      <c r="V32427" s="5"/>
    </row>
    <row r="32428">
      <c r="N32428" s="1"/>
      <c r="V32428" s="5"/>
    </row>
    <row r="32429">
      <c r="N32429" s="1"/>
      <c r="V32429" s="5"/>
    </row>
    <row r="32430">
      <c r="N32430" s="1"/>
      <c r="V32430" s="5"/>
    </row>
    <row r="32431">
      <c r="N32431" s="1"/>
      <c r="V32431" s="5"/>
    </row>
    <row r="32432">
      <c r="N32432" s="1"/>
      <c r="V32432" s="5"/>
    </row>
    <row r="32433">
      <c r="N32433" s="1"/>
      <c r="V32433" s="5"/>
    </row>
    <row r="32434">
      <c r="N32434" s="1"/>
      <c r="V32434" s="5"/>
    </row>
    <row r="32435">
      <c r="N32435" s="1"/>
      <c r="V32435" s="5"/>
    </row>
    <row r="32436">
      <c r="N32436" s="1"/>
      <c r="V32436" s="5"/>
    </row>
    <row r="32437">
      <c r="N32437" s="1"/>
      <c r="V32437" s="5"/>
    </row>
    <row r="32438">
      <c r="N32438" s="1"/>
      <c r="V32438" s="5"/>
    </row>
    <row r="32439">
      <c r="N32439" s="1"/>
      <c r="V32439" s="5"/>
    </row>
    <row r="32440">
      <c r="N32440" s="1"/>
      <c r="V32440" s="5"/>
    </row>
    <row r="32441">
      <c r="N32441" s="1"/>
      <c r="V32441" s="5"/>
    </row>
    <row r="32442">
      <c r="N32442" s="1"/>
      <c r="V32442" s="5"/>
    </row>
    <row r="32443">
      <c r="N32443" s="1"/>
      <c r="V32443" s="5"/>
    </row>
    <row r="32444">
      <c r="N32444" s="1"/>
      <c r="V32444" s="5"/>
    </row>
    <row r="32445">
      <c r="N32445" s="1"/>
      <c r="V32445" s="5"/>
    </row>
    <row r="32446">
      <c r="N32446" s="1"/>
      <c r="V32446" s="5"/>
    </row>
    <row r="32447">
      <c r="N32447" s="1"/>
      <c r="V32447" s="5"/>
    </row>
    <row r="32448">
      <c r="N32448" s="1"/>
      <c r="V32448" s="5"/>
    </row>
    <row r="32449">
      <c r="N32449" s="1"/>
      <c r="V32449" s="5"/>
    </row>
    <row r="32450">
      <c r="N32450" s="1"/>
      <c r="V32450" s="5"/>
    </row>
    <row r="32451">
      <c r="N32451" s="1"/>
      <c r="V32451" s="5"/>
    </row>
    <row r="32452">
      <c r="N32452" s="1"/>
      <c r="V32452" s="5"/>
    </row>
    <row r="32453">
      <c r="N32453" s="1"/>
      <c r="V32453" s="5"/>
    </row>
    <row r="32454">
      <c r="N32454" s="1"/>
      <c r="V32454" s="5"/>
    </row>
    <row r="32455">
      <c r="N32455" s="1"/>
      <c r="V32455" s="5"/>
    </row>
    <row r="32456">
      <c r="N32456" s="1"/>
      <c r="V32456" s="5"/>
    </row>
    <row r="32457">
      <c r="N32457" s="1"/>
      <c r="V32457" s="5"/>
    </row>
    <row r="32458">
      <c r="N32458" s="1"/>
      <c r="V32458" s="5"/>
    </row>
    <row r="32459">
      <c r="N32459" s="1"/>
      <c r="V32459" s="5"/>
    </row>
    <row r="32460">
      <c r="N32460" s="1"/>
      <c r="V32460" s="5"/>
    </row>
    <row r="32461">
      <c r="N32461" s="1"/>
      <c r="V32461" s="5"/>
    </row>
    <row r="32462">
      <c r="N32462" s="1"/>
      <c r="V32462" s="5"/>
    </row>
    <row r="32463">
      <c r="N32463" s="1"/>
      <c r="V32463" s="5"/>
    </row>
    <row r="32464">
      <c r="N32464" s="1"/>
      <c r="V32464" s="5"/>
    </row>
    <row r="32465">
      <c r="N32465" s="1"/>
      <c r="V32465" s="5"/>
    </row>
    <row r="32466">
      <c r="N32466" s="1"/>
      <c r="V32466" s="5"/>
    </row>
    <row r="32467">
      <c r="N32467" s="1"/>
      <c r="V32467" s="5"/>
    </row>
    <row r="32468">
      <c r="N32468" s="1"/>
      <c r="V32468" s="5"/>
    </row>
    <row r="32469">
      <c r="N32469" s="1"/>
      <c r="V32469" s="5"/>
    </row>
    <row r="32470">
      <c r="N32470" s="1"/>
      <c r="V32470" s="5"/>
    </row>
    <row r="32471">
      <c r="N32471" s="1"/>
      <c r="V32471" s="5"/>
    </row>
    <row r="32472">
      <c r="N32472" s="1"/>
      <c r="V32472" s="5"/>
    </row>
    <row r="32473">
      <c r="N32473" s="1"/>
      <c r="V32473" s="5"/>
    </row>
    <row r="32474">
      <c r="N32474" s="1"/>
      <c r="V32474" s="5"/>
    </row>
    <row r="32475">
      <c r="N32475" s="1"/>
      <c r="V32475" s="5"/>
    </row>
    <row r="32476">
      <c r="N32476" s="1"/>
      <c r="V32476" s="5"/>
    </row>
    <row r="32477">
      <c r="N32477" s="1"/>
      <c r="V32477" s="5"/>
    </row>
    <row r="32478">
      <c r="N32478" s="1"/>
      <c r="V32478" s="5"/>
    </row>
    <row r="32479">
      <c r="N32479" s="1"/>
      <c r="V32479" s="5"/>
    </row>
    <row r="32480">
      <c r="N32480" s="1"/>
      <c r="V32480" s="5"/>
    </row>
    <row r="32481">
      <c r="N32481" s="1"/>
      <c r="V32481" s="5"/>
    </row>
    <row r="32482">
      <c r="N32482" s="1"/>
      <c r="V32482" s="5"/>
    </row>
    <row r="32483">
      <c r="N32483" s="1"/>
      <c r="V32483" s="5"/>
    </row>
    <row r="32484">
      <c r="N32484" s="1"/>
      <c r="V32484" s="5"/>
    </row>
    <row r="32485">
      <c r="N32485" s="1"/>
      <c r="V32485" s="5"/>
    </row>
    <row r="32486">
      <c r="N32486" s="1"/>
      <c r="V32486" s="5"/>
    </row>
    <row r="32487">
      <c r="N32487" s="1"/>
      <c r="V32487" s="5"/>
    </row>
    <row r="32488">
      <c r="N32488" s="1"/>
      <c r="V32488" s="5"/>
    </row>
    <row r="32489">
      <c r="N32489" s="1"/>
      <c r="V32489" s="5"/>
    </row>
    <row r="32490">
      <c r="N32490" s="1"/>
      <c r="V32490" s="5"/>
    </row>
    <row r="32491">
      <c r="N32491" s="1"/>
      <c r="V32491" s="5"/>
    </row>
    <row r="32492">
      <c r="N32492" s="1"/>
      <c r="V32492" s="5"/>
    </row>
    <row r="32493">
      <c r="N32493" s="1"/>
      <c r="V32493" s="5"/>
    </row>
    <row r="32494">
      <c r="N32494" s="1"/>
      <c r="V32494" s="5"/>
    </row>
    <row r="32495">
      <c r="N32495" s="1"/>
      <c r="V32495" s="5"/>
    </row>
    <row r="32496">
      <c r="N32496" s="1"/>
      <c r="V32496" s="5"/>
    </row>
    <row r="32497">
      <c r="N32497" s="1"/>
      <c r="V32497" s="5"/>
    </row>
    <row r="32498">
      <c r="N32498" s="1"/>
      <c r="V32498" s="5"/>
    </row>
    <row r="32499">
      <c r="N32499" s="1"/>
      <c r="V32499" s="5"/>
    </row>
    <row r="32500">
      <c r="N32500" s="1"/>
      <c r="V32500" s="5"/>
    </row>
    <row r="32501">
      <c r="N32501" s="1"/>
      <c r="V32501" s="5"/>
    </row>
    <row r="32502">
      <c r="N32502" s="1"/>
      <c r="V32502" s="5"/>
    </row>
    <row r="32503">
      <c r="N32503" s="1"/>
      <c r="V32503" s="5"/>
    </row>
    <row r="32504">
      <c r="N32504" s="1"/>
      <c r="V32504" s="5"/>
    </row>
    <row r="32505">
      <c r="N32505" s="1"/>
      <c r="V32505" s="5"/>
    </row>
    <row r="32506">
      <c r="N32506" s="1"/>
      <c r="V32506" s="5"/>
    </row>
    <row r="32507">
      <c r="N32507" s="1"/>
      <c r="V32507" s="5"/>
    </row>
    <row r="32508">
      <c r="N32508" s="1"/>
      <c r="V32508" s="5"/>
    </row>
    <row r="32509">
      <c r="N32509" s="1"/>
      <c r="V32509" s="5"/>
    </row>
    <row r="32510">
      <c r="N32510" s="1"/>
      <c r="V32510" s="5"/>
    </row>
    <row r="32511">
      <c r="N32511" s="1"/>
      <c r="V32511" s="5"/>
    </row>
    <row r="32512">
      <c r="N32512" s="1"/>
      <c r="V32512" s="5"/>
    </row>
    <row r="32513">
      <c r="N32513" s="1"/>
      <c r="V32513" s="5"/>
    </row>
    <row r="32514">
      <c r="N32514" s="1"/>
      <c r="V32514" s="5"/>
    </row>
    <row r="32515">
      <c r="N32515" s="1"/>
      <c r="V32515" s="5"/>
    </row>
    <row r="32516">
      <c r="N32516" s="1"/>
      <c r="V32516" s="5"/>
    </row>
    <row r="32517">
      <c r="N32517" s="1"/>
      <c r="V32517" s="5"/>
    </row>
    <row r="32518">
      <c r="N32518" s="1"/>
      <c r="V32518" s="5"/>
    </row>
    <row r="32519">
      <c r="N32519" s="1"/>
      <c r="V32519" s="5"/>
    </row>
    <row r="32520">
      <c r="N32520" s="1"/>
      <c r="V32520" s="5"/>
    </row>
    <row r="32521">
      <c r="N32521" s="1"/>
      <c r="V32521" s="5"/>
    </row>
    <row r="32522">
      <c r="N32522" s="1"/>
      <c r="V32522" s="5"/>
    </row>
    <row r="32523">
      <c r="N32523" s="1"/>
      <c r="V32523" s="5"/>
    </row>
    <row r="32524">
      <c r="N32524" s="1"/>
      <c r="V32524" s="5"/>
    </row>
    <row r="32525">
      <c r="N32525" s="1"/>
      <c r="V32525" s="5"/>
    </row>
    <row r="32526">
      <c r="N32526" s="1"/>
      <c r="V32526" s="5"/>
    </row>
    <row r="32527">
      <c r="N32527" s="1"/>
      <c r="V32527" s="5"/>
    </row>
    <row r="32528">
      <c r="N32528" s="1"/>
      <c r="V32528" s="5"/>
    </row>
    <row r="32529">
      <c r="N32529" s="1"/>
      <c r="V32529" s="5"/>
    </row>
    <row r="32530">
      <c r="N32530" s="1"/>
      <c r="V32530" s="5"/>
    </row>
    <row r="32531">
      <c r="N32531" s="1"/>
      <c r="V32531" s="5"/>
    </row>
    <row r="32532">
      <c r="N32532" s="1"/>
      <c r="V32532" s="5"/>
    </row>
    <row r="32533">
      <c r="N32533" s="1"/>
      <c r="V32533" s="5"/>
    </row>
    <row r="32534">
      <c r="N32534" s="1"/>
      <c r="V32534" s="5"/>
    </row>
    <row r="32535">
      <c r="N32535" s="1"/>
      <c r="V32535" s="5"/>
    </row>
    <row r="32536">
      <c r="N32536" s="1"/>
      <c r="V32536" s="5"/>
    </row>
    <row r="32537">
      <c r="N32537" s="1"/>
      <c r="V32537" s="5"/>
    </row>
    <row r="32538">
      <c r="N32538" s="1"/>
      <c r="V32538" s="5"/>
    </row>
    <row r="32539">
      <c r="N32539" s="1"/>
      <c r="V32539" s="5"/>
    </row>
    <row r="32540">
      <c r="N32540" s="1"/>
      <c r="V32540" s="5"/>
    </row>
    <row r="32541">
      <c r="N32541" s="1"/>
      <c r="V32541" s="5"/>
    </row>
    <row r="32542">
      <c r="N32542" s="1"/>
      <c r="V32542" s="5"/>
    </row>
    <row r="32543">
      <c r="N32543" s="1"/>
      <c r="V32543" s="5"/>
    </row>
    <row r="32544">
      <c r="N32544" s="1"/>
      <c r="V32544" s="5"/>
    </row>
    <row r="32545">
      <c r="N32545" s="1"/>
      <c r="V32545" s="5"/>
    </row>
    <row r="32546">
      <c r="N32546" s="1"/>
      <c r="V32546" s="5"/>
    </row>
    <row r="32547">
      <c r="N32547" s="1"/>
      <c r="V32547" s="5"/>
    </row>
    <row r="32548">
      <c r="N32548" s="1"/>
      <c r="V32548" s="5"/>
    </row>
    <row r="32549">
      <c r="N32549" s="1"/>
      <c r="V32549" s="5"/>
    </row>
    <row r="32550">
      <c r="N32550" s="1"/>
      <c r="V32550" s="5"/>
    </row>
    <row r="32551">
      <c r="N32551" s="1"/>
      <c r="V32551" s="5"/>
    </row>
    <row r="32552">
      <c r="N32552" s="1"/>
      <c r="V32552" s="5"/>
    </row>
    <row r="32553">
      <c r="N32553" s="1"/>
      <c r="V32553" s="5"/>
    </row>
    <row r="32554">
      <c r="N32554" s="1"/>
      <c r="V32554" s="5"/>
    </row>
    <row r="32555">
      <c r="N32555" s="1"/>
      <c r="V32555" s="5"/>
    </row>
    <row r="32556">
      <c r="N32556" s="1"/>
      <c r="V32556" s="5"/>
    </row>
    <row r="32557">
      <c r="N32557" s="1"/>
      <c r="V32557" s="5"/>
    </row>
    <row r="32558">
      <c r="N32558" s="1"/>
      <c r="V32558" s="5"/>
    </row>
    <row r="32559">
      <c r="N32559" s="1"/>
      <c r="V32559" s="5"/>
    </row>
    <row r="32560">
      <c r="N32560" s="1"/>
      <c r="V32560" s="5"/>
    </row>
    <row r="32561">
      <c r="N32561" s="1"/>
      <c r="V32561" s="5"/>
    </row>
    <row r="32562">
      <c r="N32562" s="1"/>
      <c r="V32562" s="5"/>
    </row>
    <row r="32563">
      <c r="N32563" s="1"/>
      <c r="V32563" s="5"/>
    </row>
    <row r="32564">
      <c r="N32564" s="1"/>
      <c r="V32564" s="5"/>
    </row>
    <row r="32565">
      <c r="N32565" s="1"/>
      <c r="V32565" s="5"/>
    </row>
    <row r="32566">
      <c r="N32566" s="1"/>
      <c r="V32566" s="5"/>
    </row>
    <row r="32567">
      <c r="N32567" s="1"/>
      <c r="V32567" s="5"/>
    </row>
    <row r="32568">
      <c r="N32568" s="1"/>
      <c r="V32568" s="5"/>
    </row>
    <row r="32569">
      <c r="N32569" s="1"/>
      <c r="V32569" s="5"/>
    </row>
    <row r="32570">
      <c r="N32570" s="1"/>
      <c r="V32570" s="5"/>
    </row>
    <row r="32571">
      <c r="N32571" s="1"/>
      <c r="V32571" s="5"/>
    </row>
    <row r="32572">
      <c r="N32572" s="1"/>
      <c r="V32572" s="5"/>
    </row>
    <row r="32573">
      <c r="N32573" s="1"/>
      <c r="V32573" s="5"/>
    </row>
    <row r="32574">
      <c r="N32574" s="1"/>
      <c r="V32574" s="5"/>
    </row>
    <row r="32575">
      <c r="N32575" s="1"/>
      <c r="V32575" s="5"/>
    </row>
    <row r="32576">
      <c r="N32576" s="1"/>
      <c r="V32576" s="5"/>
    </row>
    <row r="32577">
      <c r="N32577" s="1"/>
      <c r="V32577" s="5"/>
    </row>
    <row r="32578">
      <c r="N32578" s="1"/>
      <c r="V32578" s="5"/>
    </row>
    <row r="32579">
      <c r="N32579" s="1"/>
      <c r="V32579" s="5"/>
    </row>
    <row r="32580">
      <c r="N32580" s="1"/>
      <c r="V32580" s="5"/>
    </row>
    <row r="32581">
      <c r="N32581" s="1"/>
      <c r="V32581" s="5"/>
    </row>
    <row r="32582">
      <c r="N32582" s="1"/>
      <c r="V32582" s="5"/>
    </row>
    <row r="32583">
      <c r="N32583" s="1"/>
      <c r="V32583" s="5"/>
    </row>
    <row r="32584">
      <c r="N32584" s="1"/>
      <c r="V32584" s="5"/>
    </row>
    <row r="32585">
      <c r="N32585" s="1"/>
      <c r="V32585" s="5"/>
    </row>
    <row r="32586">
      <c r="N32586" s="1"/>
      <c r="V32586" s="5"/>
    </row>
    <row r="32587">
      <c r="N32587" s="1"/>
      <c r="V32587" s="5"/>
    </row>
    <row r="32588">
      <c r="N32588" s="1"/>
      <c r="V32588" s="5"/>
    </row>
    <row r="32589">
      <c r="N32589" s="1"/>
      <c r="V32589" s="5"/>
    </row>
    <row r="32590">
      <c r="N32590" s="1"/>
      <c r="V32590" s="5"/>
    </row>
    <row r="32591">
      <c r="N32591" s="1"/>
      <c r="V32591" s="5"/>
    </row>
    <row r="32592">
      <c r="N32592" s="1"/>
      <c r="V32592" s="5"/>
    </row>
    <row r="32593">
      <c r="N32593" s="1"/>
      <c r="V32593" s="5"/>
    </row>
    <row r="32594">
      <c r="N32594" s="1"/>
      <c r="V32594" s="5"/>
    </row>
    <row r="32595">
      <c r="N32595" s="1"/>
      <c r="V32595" s="5"/>
    </row>
    <row r="32596">
      <c r="N32596" s="1"/>
      <c r="V32596" s="5"/>
    </row>
    <row r="32597">
      <c r="N32597" s="1"/>
      <c r="V32597" s="5"/>
    </row>
    <row r="32598">
      <c r="N32598" s="1"/>
      <c r="V32598" s="5"/>
    </row>
    <row r="32599">
      <c r="N32599" s="1"/>
      <c r="V32599" s="5"/>
    </row>
    <row r="32600">
      <c r="N32600" s="1"/>
      <c r="V32600" s="5"/>
    </row>
    <row r="32601">
      <c r="N32601" s="1"/>
      <c r="V32601" s="5"/>
    </row>
    <row r="32602">
      <c r="N32602" s="1"/>
      <c r="V32602" s="5"/>
    </row>
    <row r="32603">
      <c r="N32603" s="1"/>
      <c r="V32603" s="5"/>
    </row>
    <row r="32604">
      <c r="N32604" s="1"/>
      <c r="V32604" s="5"/>
    </row>
    <row r="32605">
      <c r="N32605" s="1"/>
      <c r="V32605" s="5"/>
    </row>
    <row r="32606">
      <c r="N32606" s="1"/>
      <c r="V32606" s="5"/>
    </row>
    <row r="32607">
      <c r="N32607" s="1"/>
      <c r="V32607" s="5"/>
    </row>
    <row r="32608">
      <c r="N32608" s="1"/>
      <c r="V32608" s="5"/>
    </row>
    <row r="32609">
      <c r="N32609" s="1"/>
      <c r="V32609" s="5"/>
    </row>
    <row r="32610">
      <c r="N32610" s="1"/>
      <c r="V32610" s="5"/>
    </row>
    <row r="32611">
      <c r="N32611" s="1"/>
      <c r="V32611" s="5"/>
    </row>
    <row r="32612">
      <c r="N32612" s="1"/>
      <c r="V32612" s="5"/>
    </row>
    <row r="32613">
      <c r="N32613" s="1"/>
      <c r="V32613" s="5"/>
    </row>
    <row r="32614">
      <c r="N32614" s="1"/>
      <c r="V32614" s="5"/>
    </row>
    <row r="32615">
      <c r="N32615" s="1"/>
      <c r="V32615" s="5"/>
    </row>
    <row r="32616">
      <c r="N32616" s="1"/>
      <c r="V32616" s="5"/>
    </row>
    <row r="32617">
      <c r="N32617" s="1"/>
      <c r="V32617" s="5"/>
    </row>
    <row r="32618">
      <c r="N32618" s="1"/>
      <c r="V32618" s="5"/>
    </row>
    <row r="32619">
      <c r="N32619" s="1"/>
      <c r="V32619" s="5"/>
    </row>
    <row r="32620">
      <c r="N32620" s="1"/>
      <c r="V32620" s="5"/>
    </row>
    <row r="32621">
      <c r="N32621" s="1"/>
      <c r="V32621" s="5"/>
    </row>
    <row r="32622">
      <c r="N32622" s="1"/>
      <c r="V32622" s="5"/>
    </row>
    <row r="32623">
      <c r="N32623" s="1"/>
      <c r="V32623" s="5"/>
    </row>
    <row r="32624">
      <c r="N32624" s="1"/>
      <c r="V32624" s="5"/>
    </row>
    <row r="32625">
      <c r="N32625" s="1"/>
      <c r="V32625" s="5"/>
    </row>
    <row r="32626">
      <c r="N32626" s="1"/>
      <c r="V32626" s="5"/>
    </row>
    <row r="32627">
      <c r="N32627" s="1"/>
      <c r="V32627" s="5"/>
    </row>
    <row r="32628">
      <c r="N32628" s="1"/>
      <c r="V32628" s="5"/>
    </row>
    <row r="32629">
      <c r="N32629" s="1"/>
      <c r="V32629" s="5"/>
    </row>
    <row r="32630">
      <c r="N32630" s="1"/>
      <c r="V32630" s="5"/>
    </row>
    <row r="32631">
      <c r="N32631" s="1"/>
      <c r="V32631" s="5"/>
    </row>
    <row r="32632">
      <c r="N32632" s="1"/>
      <c r="V32632" s="5"/>
    </row>
    <row r="32633">
      <c r="N32633" s="1"/>
      <c r="V32633" s="5"/>
    </row>
    <row r="32634">
      <c r="N32634" s="1"/>
      <c r="V32634" s="5"/>
    </row>
    <row r="32635">
      <c r="N32635" s="1"/>
      <c r="V32635" s="5"/>
    </row>
    <row r="32636">
      <c r="N32636" s="1"/>
      <c r="V32636" s="5"/>
    </row>
    <row r="32637">
      <c r="N32637" s="1"/>
      <c r="V32637" s="5"/>
    </row>
    <row r="32638">
      <c r="N32638" s="1"/>
      <c r="V32638" s="5"/>
    </row>
    <row r="32639">
      <c r="N32639" s="1"/>
      <c r="V32639" s="5"/>
    </row>
    <row r="32640">
      <c r="N32640" s="1"/>
      <c r="V32640" s="5"/>
    </row>
    <row r="32641">
      <c r="N32641" s="1"/>
      <c r="V32641" s="5"/>
    </row>
    <row r="32642">
      <c r="N32642" s="1"/>
      <c r="V32642" s="5"/>
    </row>
    <row r="32643">
      <c r="N32643" s="1"/>
      <c r="V32643" s="5"/>
    </row>
    <row r="32644">
      <c r="N32644" s="1"/>
      <c r="V32644" s="5"/>
    </row>
    <row r="32645">
      <c r="N32645" s="1"/>
      <c r="V32645" s="5"/>
    </row>
    <row r="32646">
      <c r="N32646" s="1"/>
      <c r="V32646" s="5"/>
    </row>
    <row r="32647">
      <c r="N32647" s="1"/>
      <c r="V32647" s="5"/>
    </row>
    <row r="32648">
      <c r="N32648" s="1"/>
      <c r="V32648" s="5"/>
    </row>
    <row r="32649">
      <c r="N32649" s="1"/>
      <c r="V32649" s="5"/>
    </row>
    <row r="32650">
      <c r="N32650" s="1"/>
      <c r="V32650" s="5"/>
    </row>
    <row r="32651">
      <c r="N32651" s="1"/>
      <c r="V32651" s="5"/>
    </row>
    <row r="32652">
      <c r="N32652" s="1"/>
      <c r="V32652" s="5"/>
    </row>
    <row r="32653">
      <c r="N32653" s="1"/>
      <c r="V32653" s="5"/>
    </row>
    <row r="32654">
      <c r="N32654" s="1"/>
      <c r="V32654" s="5"/>
    </row>
    <row r="32655">
      <c r="N32655" s="1"/>
      <c r="V32655" s="5"/>
    </row>
    <row r="32656">
      <c r="N32656" s="1"/>
      <c r="V32656" s="5"/>
    </row>
    <row r="32657">
      <c r="N32657" s="1"/>
      <c r="V32657" s="5"/>
    </row>
    <row r="32658">
      <c r="N32658" s="1"/>
      <c r="V32658" s="5"/>
    </row>
    <row r="32659">
      <c r="N32659" s="1"/>
      <c r="V32659" s="5"/>
    </row>
    <row r="32660">
      <c r="N32660" s="1"/>
      <c r="V32660" s="5"/>
    </row>
    <row r="32661">
      <c r="N32661" s="1"/>
      <c r="V32661" s="5"/>
    </row>
    <row r="32662">
      <c r="N32662" s="1"/>
      <c r="V32662" s="5"/>
    </row>
    <row r="32663">
      <c r="N32663" s="1"/>
      <c r="V32663" s="5"/>
    </row>
    <row r="32664">
      <c r="N32664" s="1"/>
      <c r="V32664" s="5"/>
    </row>
    <row r="32665">
      <c r="N32665" s="1"/>
      <c r="V32665" s="5"/>
    </row>
    <row r="32666">
      <c r="N32666" s="1"/>
      <c r="V32666" s="5"/>
    </row>
    <row r="32667">
      <c r="N32667" s="1"/>
      <c r="V32667" s="5"/>
    </row>
    <row r="32668">
      <c r="N32668" s="1"/>
      <c r="V32668" s="5"/>
    </row>
    <row r="32669">
      <c r="N32669" s="1"/>
      <c r="V32669" s="5"/>
    </row>
    <row r="32670">
      <c r="N32670" s="1"/>
      <c r="V32670" s="5"/>
    </row>
    <row r="32671">
      <c r="N32671" s="1"/>
      <c r="V32671" s="5"/>
    </row>
    <row r="32672">
      <c r="N32672" s="1"/>
      <c r="V32672" s="5"/>
    </row>
    <row r="32673">
      <c r="N32673" s="1"/>
      <c r="V32673" s="5"/>
    </row>
    <row r="32674">
      <c r="N32674" s="1"/>
      <c r="V32674" s="5"/>
    </row>
    <row r="32675">
      <c r="N32675" s="1"/>
      <c r="V32675" s="5"/>
    </row>
    <row r="32676">
      <c r="N32676" s="1"/>
      <c r="V32676" s="5"/>
    </row>
    <row r="32677">
      <c r="N32677" s="1"/>
      <c r="V32677" s="5"/>
    </row>
    <row r="32678">
      <c r="N32678" s="1"/>
      <c r="V32678" s="5"/>
    </row>
    <row r="32679">
      <c r="N32679" s="1"/>
      <c r="V32679" s="5"/>
    </row>
    <row r="32680">
      <c r="N32680" s="1"/>
      <c r="V32680" s="5"/>
    </row>
    <row r="32681">
      <c r="N32681" s="1"/>
      <c r="V32681" s="5"/>
    </row>
    <row r="32682">
      <c r="N32682" s="1"/>
      <c r="V32682" s="5"/>
    </row>
    <row r="32683">
      <c r="N32683" s="1"/>
      <c r="V32683" s="5"/>
    </row>
    <row r="32684">
      <c r="N32684" s="1"/>
      <c r="V32684" s="5"/>
    </row>
    <row r="32685">
      <c r="N32685" s="1"/>
      <c r="V32685" s="5"/>
    </row>
    <row r="32686">
      <c r="N32686" s="1"/>
      <c r="V32686" s="5"/>
    </row>
    <row r="32687">
      <c r="N32687" s="1"/>
      <c r="V32687" s="5"/>
    </row>
    <row r="32688">
      <c r="N32688" s="1"/>
      <c r="V32688" s="5"/>
    </row>
    <row r="32689">
      <c r="N32689" s="1"/>
      <c r="V32689" s="5"/>
    </row>
    <row r="32690">
      <c r="N32690" s="1"/>
      <c r="V32690" s="5"/>
    </row>
    <row r="32691">
      <c r="N32691" s="1"/>
      <c r="V32691" s="5"/>
    </row>
    <row r="32692">
      <c r="N32692" s="1"/>
      <c r="V32692" s="5"/>
    </row>
    <row r="32693">
      <c r="N32693" s="1"/>
      <c r="V32693" s="5"/>
    </row>
    <row r="32694">
      <c r="N32694" s="1"/>
      <c r="V32694" s="5"/>
    </row>
    <row r="32695">
      <c r="N32695" s="1"/>
      <c r="V32695" s="5"/>
    </row>
    <row r="32696">
      <c r="N32696" s="1"/>
      <c r="V32696" s="5"/>
    </row>
    <row r="32697">
      <c r="N32697" s="1"/>
      <c r="V32697" s="5"/>
    </row>
    <row r="32698">
      <c r="N32698" s="1"/>
      <c r="V32698" s="5"/>
    </row>
    <row r="32699">
      <c r="N32699" s="1"/>
      <c r="V32699" s="5"/>
    </row>
    <row r="32700">
      <c r="N32700" s="1"/>
      <c r="V32700" s="5"/>
    </row>
    <row r="32701">
      <c r="N32701" s="1"/>
      <c r="V32701" s="5"/>
    </row>
    <row r="32702">
      <c r="N32702" s="1"/>
      <c r="V32702" s="5"/>
    </row>
    <row r="32703">
      <c r="N32703" s="1"/>
      <c r="V32703" s="5"/>
    </row>
    <row r="32704">
      <c r="N32704" s="1"/>
      <c r="V32704" s="5"/>
    </row>
    <row r="32705">
      <c r="N32705" s="1"/>
      <c r="V32705" s="5"/>
    </row>
    <row r="32706">
      <c r="N32706" s="1"/>
      <c r="V32706" s="5"/>
    </row>
    <row r="32707">
      <c r="N32707" s="1"/>
      <c r="V32707" s="5"/>
    </row>
    <row r="32708">
      <c r="N32708" s="1"/>
      <c r="V32708" s="5"/>
    </row>
    <row r="32709">
      <c r="N32709" s="1"/>
      <c r="V32709" s="5"/>
    </row>
    <row r="32710">
      <c r="N32710" s="1"/>
      <c r="V32710" s="5"/>
    </row>
    <row r="32711">
      <c r="N32711" s="1"/>
      <c r="V32711" s="5"/>
    </row>
    <row r="32712">
      <c r="N32712" s="1"/>
      <c r="V32712" s="5"/>
    </row>
    <row r="32713">
      <c r="N32713" s="1"/>
      <c r="V32713" s="5"/>
    </row>
    <row r="32714">
      <c r="N32714" s="1"/>
      <c r="V32714" s="5"/>
    </row>
    <row r="32715">
      <c r="N32715" s="1"/>
      <c r="V32715" s="5"/>
    </row>
    <row r="32716">
      <c r="N32716" s="1"/>
      <c r="V32716" s="5"/>
    </row>
    <row r="32717">
      <c r="N32717" s="1"/>
      <c r="V32717" s="5"/>
    </row>
    <row r="32718">
      <c r="N32718" s="1"/>
      <c r="V32718" s="5"/>
    </row>
    <row r="32719">
      <c r="N32719" s="1"/>
      <c r="V32719" s="5"/>
    </row>
    <row r="32720">
      <c r="N32720" s="1"/>
      <c r="V32720" s="5"/>
    </row>
    <row r="32721">
      <c r="N32721" s="1"/>
      <c r="V32721" s="5"/>
    </row>
    <row r="32722">
      <c r="N32722" s="1"/>
      <c r="V32722" s="5"/>
    </row>
    <row r="32723">
      <c r="N32723" s="1"/>
      <c r="V32723" s="5"/>
    </row>
    <row r="32724">
      <c r="N32724" s="1"/>
      <c r="V32724" s="5"/>
    </row>
    <row r="32725">
      <c r="N32725" s="1"/>
      <c r="V32725" s="5"/>
    </row>
    <row r="32726">
      <c r="N32726" s="1"/>
      <c r="V32726" s="5"/>
    </row>
    <row r="32727">
      <c r="N32727" s="1"/>
      <c r="V32727" s="5"/>
    </row>
    <row r="32728">
      <c r="N32728" s="1"/>
      <c r="V32728" s="5"/>
    </row>
    <row r="32729">
      <c r="N32729" s="1"/>
      <c r="V32729" s="5"/>
    </row>
    <row r="32730">
      <c r="N32730" s="1"/>
      <c r="V32730" s="5"/>
    </row>
    <row r="32731">
      <c r="N32731" s="1"/>
      <c r="V32731" s="5"/>
    </row>
    <row r="32732">
      <c r="N32732" s="1"/>
      <c r="V32732" s="5"/>
    </row>
    <row r="32733">
      <c r="N32733" s="1"/>
      <c r="V32733" s="5"/>
    </row>
    <row r="32734">
      <c r="N32734" s="1"/>
      <c r="V32734" s="5"/>
    </row>
    <row r="32735">
      <c r="N32735" s="1"/>
      <c r="V32735" s="5"/>
    </row>
    <row r="32736">
      <c r="N32736" s="1"/>
      <c r="V32736" s="5"/>
    </row>
    <row r="32737">
      <c r="N32737" s="1"/>
      <c r="V32737" s="5"/>
    </row>
    <row r="32738">
      <c r="N32738" s="1"/>
      <c r="V32738" s="5"/>
    </row>
    <row r="32739">
      <c r="N32739" s="1"/>
      <c r="V32739" s="5"/>
    </row>
    <row r="32740">
      <c r="N32740" s="1"/>
      <c r="V32740" s="5"/>
    </row>
    <row r="32741">
      <c r="N32741" s="1"/>
      <c r="V32741" s="5"/>
    </row>
    <row r="32742">
      <c r="N32742" s="1"/>
      <c r="V32742" s="5"/>
    </row>
    <row r="32743">
      <c r="N32743" s="1"/>
      <c r="V32743" s="5"/>
    </row>
    <row r="32744">
      <c r="N32744" s="1"/>
      <c r="V32744" s="5"/>
    </row>
    <row r="32745">
      <c r="N32745" s="1"/>
      <c r="V32745" s="5"/>
    </row>
    <row r="32746">
      <c r="N32746" s="1"/>
      <c r="V32746" s="5"/>
    </row>
    <row r="32747">
      <c r="N32747" s="1"/>
      <c r="V32747" s="5"/>
    </row>
    <row r="32748">
      <c r="N32748" s="1"/>
      <c r="V32748" s="5"/>
    </row>
    <row r="32749">
      <c r="N32749" s="1"/>
      <c r="V32749" s="5"/>
    </row>
    <row r="32750">
      <c r="N32750" s="1"/>
      <c r="V32750" s="5"/>
    </row>
    <row r="32751">
      <c r="N32751" s="1"/>
      <c r="V32751" s="5"/>
    </row>
    <row r="32752">
      <c r="N32752" s="1"/>
      <c r="V32752" s="5"/>
    </row>
    <row r="32753">
      <c r="N32753" s="1"/>
      <c r="V32753" s="5"/>
    </row>
    <row r="32754">
      <c r="N32754" s="1"/>
      <c r="V32754" s="5"/>
    </row>
    <row r="32755">
      <c r="N32755" s="1"/>
      <c r="V32755" s="5"/>
    </row>
    <row r="32756">
      <c r="N32756" s="1"/>
      <c r="V32756" s="5"/>
    </row>
    <row r="32757">
      <c r="N32757" s="1"/>
      <c r="V32757" s="5"/>
    </row>
    <row r="32758">
      <c r="N32758" s="1"/>
      <c r="V32758" s="5"/>
    </row>
    <row r="32759">
      <c r="N32759" s="1"/>
      <c r="V32759" s="5"/>
    </row>
    <row r="32760">
      <c r="N32760" s="1"/>
      <c r="V32760" s="5"/>
    </row>
    <row r="32761">
      <c r="N32761" s="1"/>
      <c r="V32761" s="5"/>
    </row>
    <row r="32762">
      <c r="N32762" s="1"/>
      <c r="V32762" s="5"/>
    </row>
    <row r="32763">
      <c r="N32763" s="1"/>
      <c r="V32763" s="5"/>
    </row>
    <row r="32764">
      <c r="N32764" s="1"/>
      <c r="V32764" s="5"/>
    </row>
    <row r="32765">
      <c r="N32765" s="1"/>
      <c r="V32765" s="5"/>
    </row>
    <row r="32766">
      <c r="N32766" s="1"/>
      <c r="V32766" s="5"/>
    </row>
    <row r="32767">
      <c r="N32767" s="1"/>
      <c r="V32767" s="5"/>
    </row>
    <row r="32768">
      <c r="N32768" s="1"/>
      <c r="V32768" s="5"/>
    </row>
    <row r="32769">
      <c r="N32769" s="1"/>
      <c r="V32769" s="5"/>
    </row>
    <row r="32770">
      <c r="N32770" s="1"/>
      <c r="V32770" s="5"/>
    </row>
    <row r="32771">
      <c r="N32771" s="1"/>
      <c r="V32771" s="5"/>
    </row>
    <row r="32772">
      <c r="N32772" s="1"/>
      <c r="V32772" s="5"/>
    </row>
    <row r="32773">
      <c r="N32773" s="1"/>
      <c r="V32773" s="5"/>
    </row>
    <row r="32774">
      <c r="N32774" s="1"/>
      <c r="V32774" s="5"/>
    </row>
    <row r="32775">
      <c r="N32775" s="1"/>
      <c r="V32775" s="5"/>
    </row>
    <row r="32776">
      <c r="N32776" s="1"/>
      <c r="V32776" s="5"/>
    </row>
    <row r="32777">
      <c r="N32777" s="1"/>
      <c r="V32777" s="5"/>
    </row>
    <row r="32778">
      <c r="N32778" s="1"/>
      <c r="V32778" s="5"/>
    </row>
    <row r="32779">
      <c r="N32779" s="1"/>
      <c r="V32779" s="5"/>
    </row>
    <row r="32780">
      <c r="N32780" s="1"/>
      <c r="V32780" s="5"/>
    </row>
    <row r="32781">
      <c r="N32781" s="1"/>
      <c r="V32781" s="5"/>
    </row>
    <row r="32782">
      <c r="N32782" s="1"/>
      <c r="V32782" s="5"/>
    </row>
    <row r="32783">
      <c r="N32783" s="1"/>
      <c r="V32783" s="5"/>
    </row>
    <row r="32784">
      <c r="N32784" s="1"/>
      <c r="V32784" s="5"/>
    </row>
    <row r="32785">
      <c r="N32785" s="1"/>
      <c r="V32785" s="5"/>
    </row>
    <row r="32786">
      <c r="N32786" s="1"/>
      <c r="V32786" s="5"/>
    </row>
    <row r="32787">
      <c r="N32787" s="1"/>
      <c r="V32787" s="5"/>
    </row>
    <row r="32788">
      <c r="N32788" s="1"/>
      <c r="V32788" s="5"/>
    </row>
    <row r="32789">
      <c r="N32789" s="1"/>
      <c r="V32789" s="5"/>
    </row>
    <row r="32790">
      <c r="N32790" s="1"/>
      <c r="V32790" s="5"/>
    </row>
    <row r="32791">
      <c r="N32791" s="1"/>
      <c r="V32791" s="5"/>
    </row>
    <row r="32792">
      <c r="N32792" s="1"/>
      <c r="V32792" s="5"/>
    </row>
    <row r="32793">
      <c r="N32793" s="1"/>
      <c r="V32793" s="5"/>
    </row>
    <row r="32794">
      <c r="N32794" s="1"/>
      <c r="V32794" s="5"/>
    </row>
    <row r="32795">
      <c r="N32795" s="1"/>
      <c r="V32795" s="5"/>
    </row>
    <row r="32796">
      <c r="N32796" s="1"/>
      <c r="V32796" s="5"/>
    </row>
    <row r="32797">
      <c r="N32797" s="1"/>
      <c r="V32797" s="5"/>
    </row>
    <row r="32798">
      <c r="N32798" s="1"/>
      <c r="V32798" s="5"/>
    </row>
    <row r="32799">
      <c r="N32799" s="1"/>
      <c r="V32799" s="5"/>
    </row>
    <row r="32800">
      <c r="N32800" s="1"/>
      <c r="V32800" s="5"/>
    </row>
    <row r="32801">
      <c r="N32801" s="1"/>
      <c r="V32801" s="5"/>
    </row>
    <row r="32802">
      <c r="N32802" s="1"/>
      <c r="V32802" s="5"/>
    </row>
    <row r="32803">
      <c r="N32803" s="1"/>
      <c r="V32803" s="5"/>
    </row>
    <row r="32804">
      <c r="N32804" s="1"/>
      <c r="V32804" s="5"/>
    </row>
    <row r="32805">
      <c r="N32805" s="1"/>
      <c r="V32805" s="5"/>
    </row>
    <row r="32806">
      <c r="N32806" s="1"/>
      <c r="V32806" s="5"/>
    </row>
    <row r="32807">
      <c r="N32807" s="1"/>
      <c r="V32807" s="5"/>
    </row>
    <row r="32808">
      <c r="N32808" s="1"/>
      <c r="V32808" s="5"/>
    </row>
    <row r="32809">
      <c r="N32809" s="1"/>
      <c r="V32809" s="5"/>
    </row>
    <row r="32810">
      <c r="N32810" s="1"/>
      <c r="V32810" s="5"/>
    </row>
    <row r="32811">
      <c r="N32811" s="1"/>
      <c r="V32811" s="5"/>
    </row>
    <row r="32812">
      <c r="N32812" s="1"/>
      <c r="V32812" s="5"/>
    </row>
    <row r="32813">
      <c r="N32813" s="1"/>
      <c r="V32813" s="5"/>
    </row>
    <row r="32814">
      <c r="N32814" s="1"/>
      <c r="V32814" s="5"/>
    </row>
    <row r="32815">
      <c r="N32815" s="1"/>
      <c r="V32815" s="5"/>
    </row>
    <row r="32816">
      <c r="N32816" s="1"/>
      <c r="V32816" s="5"/>
    </row>
    <row r="32817">
      <c r="N32817" s="1"/>
      <c r="V32817" s="5"/>
    </row>
    <row r="32818">
      <c r="N32818" s="1"/>
      <c r="V32818" s="5"/>
    </row>
    <row r="32819">
      <c r="N32819" s="1"/>
      <c r="V32819" s="5"/>
    </row>
    <row r="32820">
      <c r="N32820" s="1"/>
      <c r="V32820" s="5"/>
    </row>
    <row r="32821">
      <c r="N32821" s="1"/>
      <c r="V32821" s="5"/>
    </row>
    <row r="32822">
      <c r="N32822" s="1"/>
      <c r="V32822" s="5"/>
    </row>
    <row r="32823">
      <c r="N32823" s="1"/>
      <c r="V32823" s="5"/>
    </row>
    <row r="32824">
      <c r="N32824" s="1"/>
      <c r="V32824" s="5"/>
    </row>
    <row r="32825">
      <c r="N32825" s="1"/>
      <c r="V32825" s="5"/>
    </row>
    <row r="32826">
      <c r="N32826" s="1"/>
      <c r="V32826" s="5"/>
    </row>
    <row r="32827">
      <c r="N32827" s="1"/>
      <c r="V32827" s="5"/>
    </row>
    <row r="32828">
      <c r="N32828" s="1"/>
      <c r="V32828" s="5"/>
    </row>
    <row r="32829">
      <c r="N32829" s="1"/>
      <c r="V32829" s="5"/>
    </row>
    <row r="32830">
      <c r="N32830" s="1"/>
      <c r="V32830" s="5"/>
    </row>
    <row r="32831">
      <c r="N32831" s="1"/>
      <c r="V32831" s="5"/>
    </row>
    <row r="32832">
      <c r="N32832" s="1"/>
      <c r="V32832" s="5"/>
    </row>
    <row r="32833">
      <c r="N32833" s="1"/>
      <c r="V32833" s="5"/>
    </row>
    <row r="32834">
      <c r="N32834" s="1"/>
      <c r="V32834" s="5"/>
    </row>
    <row r="32835">
      <c r="N32835" s="1"/>
      <c r="V32835" s="5"/>
    </row>
    <row r="32836">
      <c r="N32836" s="1"/>
      <c r="V32836" s="5"/>
    </row>
    <row r="32837">
      <c r="N32837" s="1"/>
      <c r="V32837" s="5"/>
    </row>
    <row r="32838">
      <c r="N32838" s="1"/>
      <c r="V32838" s="5"/>
    </row>
    <row r="32839">
      <c r="N32839" s="1"/>
      <c r="V32839" s="5"/>
    </row>
    <row r="32840">
      <c r="N32840" s="1"/>
      <c r="V32840" s="5"/>
    </row>
    <row r="32841">
      <c r="N32841" s="1"/>
      <c r="V32841" s="5"/>
    </row>
    <row r="32842">
      <c r="N32842" s="1"/>
      <c r="V32842" s="5"/>
    </row>
    <row r="32843">
      <c r="N32843" s="1"/>
      <c r="V32843" s="5"/>
    </row>
    <row r="32844">
      <c r="N32844" s="1"/>
      <c r="V32844" s="5"/>
    </row>
    <row r="32845">
      <c r="N32845" s="1"/>
      <c r="V32845" s="5"/>
    </row>
    <row r="32846">
      <c r="N32846" s="1"/>
      <c r="V32846" s="5"/>
    </row>
    <row r="32847">
      <c r="N32847" s="1"/>
      <c r="V32847" s="5"/>
    </row>
    <row r="32848">
      <c r="N32848" s="1"/>
      <c r="V32848" s="5"/>
    </row>
    <row r="32849">
      <c r="N32849" s="1"/>
      <c r="V32849" s="5"/>
    </row>
    <row r="32850">
      <c r="N32850" s="1"/>
      <c r="V32850" s="5"/>
    </row>
    <row r="32851">
      <c r="N32851" s="1"/>
      <c r="V32851" s="5"/>
    </row>
    <row r="32852">
      <c r="N32852" s="1"/>
      <c r="V32852" s="5"/>
    </row>
    <row r="32853">
      <c r="N32853" s="1"/>
      <c r="V32853" s="5"/>
    </row>
    <row r="32854">
      <c r="N32854" s="1"/>
      <c r="V32854" s="5"/>
    </row>
    <row r="32855">
      <c r="N32855" s="1"/>
      <c r="V32855" s="5"/>
    </row>
    <row r="32856">
      <c r="N32856" s="1"/>
      <c r="V32856" s="5"/>
    </row>
    <row r="32857">
      <c r="N32857" s="1"/>
      <c r="V32857" s="5"/>
    </row>
    <row r="32858">
      <c r="N32858" s="1"/>
      <c r="V32858" s="5"/>
    </row>
    <row r="32859">
      <c r="N32859" s="1"/>
      <c r="V32859" s="5"/>
    </row>
    <row r="32860">
      <c r="N32860" s="1"/>
      <c r="V32860" s="5"/>
    </row>
    <row r="32861">
      <c r="N32861" s="1"/>
      <c r="V32861" s="5"/>
    </row>
    <row r="32862">
      <c r="N32862" s="1"/>
      <c r="V32862" s="5"/>
    </row>
    <row r="32863">
      <c r="N32863" s="1"/>
      <c r="V32863" s="5"/>
    </row>
    <row r="32864">
      <c r="N32864" s="1"/>
      <c r="V32864" s="5"/>
    </row>
    <row r="32865">
      <c r="N32865" s="1"/>
      <c r="V32865" s="5"/>
    </row>
    <row r="32866">
      <c r="N32866" s="1"/>
      <c r="V32866" s="5"/>
    </row>
    <row r="32867">
      <c r="N32867" s="1"/>
      <c r="V32867" s="5"/>
    </row>
    <row r="32868">
      <c r="N32868" s="1"/>
      <c r="V32868" s="5"/>
    </row>
    <row r="32869">
      <c r="N32869" s="1"/>
      <c r="V32869" s="5"/>
    </row>
    <row r="32870">
      <c r="N32870" s="1"/>
      <c r="V32870" s="5"/>
    </row>
    <row r="32871">
      <c r="N32871" s="1"/>
      <c r="V32871" s="5"/>
    </row>
    <row r="32872">
      <c r="N32872" s="1"/>
      <c r="V32872" s="5"/>
    </row>
    <row r="32873">
      <c r="N32873" s="1"/>
      <c r="V32873" s="5"/>
    </row>
    <row r="32874">
      <c r="N32874" s="1"/>
      <c r="V32874" s="5"/>
    </row>
    <row r="32875">
      <c r="N32875" s="1"/>
      <c r="V32875" s="5"/>
    </row>
    <row r="32876">
      <c r="N32876" s="1"/>
      <c r="V32876" s="5"/>
    </row>
    <row r="32877">
      <c r="N32877" s="1"/>
      <c r="V32877" s="5"/>
    </row>
    <row r="32878">
      <c r="N32878" s="1"/>
      <c r="V32878" s="5"/>
    </row>
    <row r="32879">
      <c r="N32879" s="1"/>
      <c r="V32879" s="5"/>
    </row>
    <row r="32880">
      <c r="N32880" s="1"/>
      <c r="V32880" s="5"/>
    </row>
    <row r="32881">
      <c r="N32881" s="1"/>
      <c r="V32881" s="5"/>
    </row>
    <row r="32882">
      <c r="N32882" s="1"/>
      <c r="V32882" s="5"/>
    </row>
    <row r="32883">
      <c r="N32883" s="1"/>
      <c r="V32883" s="5"/>
    </row>
    <row r="32884">
      <c r="N32884" s="1"/>
      <c r="V32884" s="5"/>
    </row>
    <row r="32885">
      <c r="N32885" s="1"/>
      <c r="V32885" s="5"/>
    </row>
    <row r="32886">
      <c r="N32886" s="1"/>
      <c r="V32886" s="5"/>
    </row>
    <row r="32887">
      <c r="N32887" s="1"/>
      <c r="V32887" s="5"/>
    </row>
    <row r="32888">
      <c r="N32888" s="1"/>
      <c r="V32888" s="5"/>
    </row>
    <row r="32889">
      <c r="N32889" s="1"/>
      <c r="V32889" s="5"/>
    </row>
    <row r="32890">
      <c r="N32890" s="1"/>
      <c r="V32890" s="5"/>
    </row>
    <row r="32891">
      <c r="N32891" s="1"/>
      <c r="V32891" s="5"/>
    </row>
    <row r="32892">
      <c r="N32892" s="1"/>
      <c r="V32892" s="5"/>
    </row>
    <row r="32893">
      <c r="N32893" s="1"/>
      <c r="V32893" s="5"/>
    </row>
    <row r="32894">
      <c r="N32894" s="1"/>
      <c r="V32894" s="5"/>
    </row>
    <row r="32895">
      <c r="N32895" s="1"/>
      <c r="V32895" s="5"/>
    </row>
    <row r="32896">
      <c r="N32896" s="1"/>
      <c r="V32896" s="5"/>
    </row>
    <row r="32897">
      <c r="N32897" s="1"/>
      <c r="V32897" s="5"/>
    </row>
    <row r="32898">
      <c r="N32898" s="1"/>
      <c r="V32898" s="5"/>
    </row>
    <row r="32899">
      <c r="N32899" s="1"/>
      <c r="V32899" s="5"/>
    </row>
    <row r="32900">
      <c r="N32900" s="1"/>
      <c r="V32900" s="5"/>
    </row>
    <row r="32901">
      <c r="N32901" s="1"/>
      <c r="V32901" s="5"/>
    </row>
    <row r="32902">
      <c r="N32902" s="1"/>
      <c r="V32902" s="5"/>
    </row>
    <row r="32903">
      <c r="N32903" s="1"/>
      <c r="V32903" s="5"/>
    </row>
    <row r="32904">
      <c r="N32904" s="1"/>
      <c r="V32904" s="5"/>
    </row>
    <row r="32905">
      <c r="N32905" s="1"/>
      <c r="V32905" s="5"/>
    </row>
    <row r="32906">
      <c r="N32906" s="1"/>
      <c r="V32906" s="5"/>
    </row>
    <row r="32907">
      <c r="N32907" s="1"/>
      <c r="V32907" s="5"/>
    </row>
    <row r="32908">
      <c r="N32908" s="1"/>
      <c r="V32908" s="5"/>
    </row>
    <row r="32909">
      <c r="N32909" s="1"/>
      <c r="V32909" s="5"/>
    </row>
    <row r="32910">
      <c r="N32910" s="1"/>
      <c r="V32910" s="5"/>
    </row>
    <row r="32911">
      <c r="N32911" s="1"/>
      <c r="V32911" s="5"/>
    </row>
    <row r="32912">
      <c r="N32912" s="1"/>
      <c r="V32912" s="5"/>
    </row>
    <row r="32913">
      <c r="N32913" s="1"/>
      <c r="V32913" s="5"/>
    </row>
    <row r="32914">
      <c r="N32914" s="1"/>
      <c r="V32914" s="5"/>
    </row>
    <row r="32915">
      <c r="N32915" s="1"/>
      <c r="V32915" s="5"/>
    </row>
    <row r="32916">
      <c r="N32916" s="1"/>
      <c r="V32916" s="5"/>
    </row>
    <row r="32917">
      <c r="N32917" s="1"/>
      <c r="V32917" s="5"/>
    </row>
    <row r="32918">
      <c r="N32918" s="1"/>
      <c r="V32918" s="5"/>
    </row>
    <row r="32919">
      <c r="N32919" s="1"/>
      <c r="V32919" s="5"/>
    </row>
    <row r="32920">
      <c r="N32920" s="1"/>
      <c r="V32920" s="5"/>
    </row>
    <row r="32921">
      <c r="N32921" s="1"/>
      <c r="V32921" s="5"/>
    </row>
    <row r="32922">
      <c r="N32922" s="1"/>
      <c r="V32922" s="5"/>
    </row>
    <row r="32923">
      <c r="N32923" s="1"/>
      <c r="V32923" s="5"/>
    </row>
    <row r="32924">
      <c r="N32924" s="1"/>
      <c r="V32924" s="5"/>
    </row>
    <row r="32925">
      <c r="N32925" s="1"/>
      <c r="V32925" s="5"/>
    </row>
    <row r="32926">
      <c r="N32926" s="1"/>
      <c r="V32926" s="5"/>
    </row>
    <row r="32927">
      <c r="N32927" s="1"/>
      <c r="V32927" s="5"/>
    </row>
    <row r="32928">
      <c r="N32928" s="1"/>
      <c r="V32928" s="5"/>
    </row>
    <row r="32929">
      <c r="N32929" s="1"/>
      <c r="V32929" s="5"/>
    </row>
    <row r="32930">
      <c r="N32930" s="1"/>
      <c r="V32930" s="5"/>
    </row>
    <row r="32931">
      <c r="N32931" s="1"/>
      <c r="V32931" s="5"/>
    </row>
    <row r="32932">
      <c r="N32932" s="1"/>
      <c r="V32932" s="5"/>
    </row>
    <row r="32933">
      <c r="N32933" s="1"/>
      <c r="V32933" s="5"/>
    </row>
    <row r="32934">
      <c r="N32934" s="1"/>
      <c r="V32934" s="5"/>
    </row>
    <row r="32935">
      <c r="N32935" s="1"/>
      <c r="V32935" s="5"/>
    </row>
    <row r="32936">
      <c r="N32936" s="1"/>
      <c r="V32936" s="5"/>
    </row>
    <row r="32937">
      <c r="N32937" s="1"/>
      <c r="V32937" s="5"/>
    </row>
    <row r="32938">
      <c r="N32938" s="1"/>
      <c r="V32938" s="5"/>
    </row>
    <row r="32939">
      <c r="N32939" s="1"/>
      <c r="V32939" s="5"/>
    </row>
    <row r="32940">
      <c r="N32940" s="1"/>
      <c r="V32940" s="5"/>
    </row>
    <row r="32941">
      <c r="N32941" s="1"/>
      <c r="V32941" s="5"/>
    </row>
    <row r="32942">
      <c r="N32942" s="1"/>
      <c r="V32942" s="5"/>
    </row>
    <row r="32943">
      <c r="N32943" s="1"/>
      <c r="V32943" s="5"/>
    </row>
    <row r="32944">
      <c r="N32944" s="1"/>
      <c r="V32944" s="5"/>
    </row>
    <row r="32945">
      <c r="N32945" s="1"/>
      <c r="V32945" s="5"/>
    </row>
    <row r="32946">
      <c r="N32946" s="1"/>
      <c r="V32946" s="5"/>
    </row>
    <row r="32947">
      <c r="N32947" s="1"/>
      <c r="V32947" s="5"/>
    </row>
    <row r="32948">
      <c r="N32948" s="1"/>
      <c r="V32948" s="5"/>
    </row>
    <row r="32949">
      <c r="N32949" s="1"/>
      <c r="V32949" s="5"/>
    </row>
    <row r="32950">
      <c r="N32950" s="1"/>
      <c r="V32950" s="5"/>
    </row>
    <row r="32951">
      <c r="N32951" s="1"/>
      <c r="V32951" s="5"/>
    </row>
    <row r="32952">
      <c r="N32952" s="1"/>
      <c r="V32952" s="5"/>
    </row>
    <row r="32953">
      <c r="N32953" s="1"/>
      <c r="V32953" s="5"/>
    </row>
    <row r="32954">
      <c r="N32954" s="1"/>
      <c r="V32954" s="5"/>
    </row>
    <row r="32955">
      <c r="N32955" s="1"/>
      <c r="V32955" s="5"/>
    </row>
    <row r="32956">
      <c r="N32956" s="1"/>
      <c r="V32956" s="5"/>
    </row>
    <row r="32957">
      <c r="N32957" s="1"/>
      <c r="V32957" s="5"/>
    </row>
    <row r="32958">
      <c r="N32958" s="1"/>
      <c r="V32958" s="5"/>
    </row>
    <row r="32959">
      <c r="N32959" s="1"/>
      <c r="V32959" s="5"/>
    </row>
    <row r="32960">
      <c r="N32960" s="1"/>
      <c r="V32960" s="5"/>
    </row>
    <row r="32961">
      <c r="N32961" s="1"/>
      <c r="V32961" s="5"/>
    </row>
    <row r="32962">
      <c r="N32962" s="1"/>
      <c r="V32962" s="5"/>
    </row>
    <row r="32963">
      <c r="N32963" s="1"/>
      <c r="V32963" s="5"/>
    </row>
    <row r="32964">
      <c r="N32964" s="1"/>
      <c r="V32964" s="5"/>
    </row>
    <row r="32965">
      <c r="N32965" s="1"/>
      <c r="V32965" s="5"/>
    </row>
    <row r="32966">
      <c r="N32966" s="1"/>
      <c r="V32966" s="5"/>
    </row>
    <row r="32967">
      <c r="N32967" s="1"/>
      <c r="V32967" s="5"/>
    </row>
    <row r="32968">
      <c r="N32968" s="1"/>
      <c r="V32968" s="5"/>
    </row>
    <row r="32969">
      <c r="N32969" s="1"/>
      <c r="V32969" s="5"/>
    </row>
    <row r="32970">
      <c r="N32970" s="1"/>
      <c r="V32970" s="5"/>
    </row>
    <row r="32971">
      <c r="N32971" s="1"/>
      <c r="V32971" s="5"/>
    </row>
    <row r="32972">
      <c r="N32972" s="1"/>
      <c r="V32972" s="5"/>
    </row>
    <row r="32973">
      <c r="N32973" s="1"/>
      <c r="V32973" s="5"/>
    </row>
    <row r="32974">
      <c r="N32974" s="1"/>
      <c r="V32974" s="5"/>
    </row>
    <row r="32975">
      <c r="N32975" s="1"/>
      <c r="V32975" s="5"/>
    </row>
    <row r="32976">
      <c r="N32976" s="1"/>
      <c r="V32976" s="5"/>
    </row>
    <row r="32977">
      <c r="N32977" s="1"/>
      <c r="V32977" s="5"/>
    </row>
    <row r="32978">
      <c r="N32978" s="1"/>
      <c r="V32978" s="5"/>
    </row>
    <row r="32979">
      <c r="N32979" s="1"/>
      <c r="V32979" s="5"/>
    </row>
    <row r="32980">
      <c r="N32980" s="1"/>
      <c r="V32980" s="5"/>
    </row>
    <row r="32981">
      <c r="N32981" s="1"/>
      <c r="V32981" s="5"/>
    </row>
    <row r="32982">
      <c r="N32982" s="1"/>
      <c r="V32982" s="5"/>
    </row>
    <row r="32983">
      <c r="N32983" s="1"/>
      <c r="V32983" s="5"/>
    </row>
    <row r="32984">
      <c r="N32984" s="1"/>
      <c r="V32984" s="5"/>
    </row>
    <row r="32985">
      <c r="N32985" s="1"/>
      <c r="V32985" s="5"/>
    </row>
    <row r="32986">
      <c r="N32986" s="1"/>
      <c r="V32986" s="5"/>
    </row>
    <row r="32987">
      <c r="N32987" s="1"/>
      <c r="V32987" s="5"/>
    </row>
    <row r="32988">
      <c r="N32988" s="1"/>
      <c r="V32988" s="5"/>
    </row>
    <row r="32989">
      <c r="N32989" s="1"/>
      <c r="V32989" s="5"/>
    </row>
    <row r="32990">
      <c r="N32990" s="1"/>
      <c r="V32990" s="5"/>
    </row>
    <row r="32991">
      <c r="N32991" s="1"/>
      <c r="V32991" s="5"/>
    </row>
    <row r="32992">
      <c r="N32992" s="1"/>
      <c r="V32992" s="5"/>
    </row>
    <row r="32993">
      <c r="N32993" s="1"/>
      <c r="V32993" s="5"/>
    </row>
    <row r="32994">
      <c r="N32994" s="1"/>
      <c r="V32994" s="5"/>
    </row>
    <row r="32995">
      <c r="N32995" s="1"/>
      <c r="V32995" s="5"/>
    </row>
    <row r="32996">
      <c r="N32996" s="1"/>
      <c r="V32996" s="5"/>
    </row>
    <row r="32997">
      <c r="N32997" s="1"/>
      <c r="V32997" s="5"/>
    </row>
    <row r="32998">
      <c r="N32998" s="1"/>
      <c r="V32998" s="5"/>
    </row>
    <row r="32999">
      <c r="N32999" s="1"/>
      <c r="V32999" s="5"/>
    </row>
    <row r="33000">
      <c r="N33000" s="1"/>
      <c r="V33000" s="5"/>
    </row>
    <row r="33001">
      <c r="N33001" s="1"/>
      <c r="V33001" s="5"/>
    </row>
    <row r="33002">
      <c r="N33002" s="1"/>
      <c r="V33002" s="5"/>
    </row>
    <row r="33003">
      <c r="N33003" s="1"/>
      <c r="V33003" s="5"/>
    </row>
    <row r="33004">
      <c r="N33004" s="1"/>
      <c r="V33004" s="5"/>
    </row>
    <row r="33005">
      <c r="N33005" s="1"/>
      <c r="V33005" s="5"/>
    </row>
    <row r="33006">
      <c r="N33006" s="1"/>
      <c r="V33006" s="5"/>
    </row>
    <row r="33007">
      <c r="N33007" s="1"/>
      <c r="V33007" s="5"/>
    </row>
    <row r="33008">
      <c r="N33008" s="1"/>
      <c r="V33008" s="5"/>
    </row>
    <row r="33009">
      <c r="N33009" s="1"/>
      <c r="V33009" s="5"/>
    </row>
    <row r="33010">
      <c r="N33010" s="1"/>
      <c r="V33010" s="5"/>
    </row>
    <row r="33011">
      <c r="N33011" s="1"/>
      <c r="V33011" s="5"/>
    </row>
    <row r="33012">
      <c r="N33012" s="1"/>
      <c r="V33012" s="5"/>
    </row>
    <row r="33013">
      <c r="N33013" s="1"/>
      <c r="V33013" s="5"/>
    </row>
    <row r="33014">
      <c r="N33014" s="1"/>
      <c r="V33014" s="5"/>
    </row>
    <row r="33015">
      <c r="N33015" s="1"/>
      <c r="V33015" s="5"/>
    </row>
    <row r="33016">
      <c r="N33016" s="1"/>
      <c r="V33016" s="5"/>
    </row>
    <row r="33017">
      <c r="N33017" s="1"/>
      <c r="V33017" s="5"/>
    </row>
    <row r="33018">
      <c r="N33018" s="1"/>
      <c r="V33018" s="5"/>
    </row>
    <row r="33019">
      <c r="N33019" s="1"/>
      <c r="V33019" s="5"/>
    </row>
    <row r="33020">
      <c r="N33020" s="1"/>
      <c r="V33020" s="5"/>
    </row>
    <row r="33021">
      <c r="N33021" s="1"/>
      <c r="V33021" s="5"/>
    </row>
    <row r="33022">
      <c r="N33022" s="1"/>
      <c r="V33022" s="5"/>
    </row>
    <row r="33023">
      <c r="N33023" s="1"/>
      <c r="V33023" s="5"/>
    </row>
    <row r="33024">
      <c r="N33024" s="1"/>
      <c r="V33024" s="5"/>
    </row>
    <row r="33025">
      <c r="N33025" s="1"/>
      <c r="V33025" s="5"/>
    </row>
    <row r="33026">
      <c r="N33026" s="1"/>
      <c r="V33026" s="5"/>
    </row>
    <row r="33027">
      <c r="N33027" s="1"/>
      <c r="V33027" s="5"/>
    </row>
    <row r="33028">
      <c r="N33028" s="1"/>
      <c r="V33028" s="5"/>
    </row>
    <row r="33029">
      <c r="N33029" s="1"/>
      <c r="V33029" s="5"/>
    </row>
    <row r="33030">
      <c r="N33030" s="1"/>
      <c r="V33030" s="5"/>
    </row>
    <row r="33031">
      <c r="N33031" s="1"/>
      <c r="V33031" s="5"/>
    </row>
    <row r="33032">
      <c r="N33032" s="1"/>
      <c r="V33032" s="5"/>
    </row>
    <row r="33033">
      <c r="N33033" s="1"/>
      <c r="V33033" s="5"/>
    </row>
    <row r="33034">
      <c r="N33034" s="1"/>
      <c r="V33034" s="5"/>
    </row>
    <row r="33035">
      <c r="N33035" s="1"/>
      <c r="V33035" s="5"/>
    </row>
    <row r="33036">
      <c r="N33036" s="1"/>
      <c r="V33036" s="5"/>
    </row>
    <row r="33037">
      <c r="N33037" s="1"/>
      <c r="V33037" s="5"/>
    </row>
    <row r="33038">
      <c r="N33038" s="1"/>
      <c r="V33038" s="5"/>
    </row>
    <row r="33039">
      <c r="N33039" s="1"/>
      <c r="V33039" s="5"/>
    </row>
    <row r="33040">
      <c r="N33040" s="1"/>
      <c r="V33040" s="5"/>
    </row>
    <row r="33041">
      <c r="N33041" s="1"/>
      <c r="V33041" s="5"/>
    </row>
    <row r="33042">
      <c r="N33042" s="1"/>
      <c r="V33042" s="5"/>
    </row>
    <row r="33043">
      <c r="N33043" s="1"/>
      <c r="V33043" s="5"/>
    </row>
    <row r="33044">
      <c r="N33044" s="1"/>
      <c r="V33044" s="5"/>
    </row>
    <row r="33045">
      <c r="N33045" s="1"/>
      <c r="V33045" s="5"/>
    </row>
    <row r="33046">
      <c r="N33046" s="1"/>
      <c r="V33046" s="5"/>
    </row>
    <row r="33047">
      <c r="N33047" s="1"/>
      <c r="V33047" s="5"/>
    </row>
    <row r="33048">
      <c r="N33048" s="1"/>
      <c r="V33048" s="5"/>
    </row>
    <row r="33049">
      <c r="N33049" s="1"/>
      <c r="V33049" s="5"/>
    </row>
    <row r="33050">
      <c r="N33050" s="1"/>
      <c r="V33050" s="5"/>
    </row>
    <row r="33051">
      <c r="N33051" s="1"/>
      <c r="V33051" s="5"/>
    </row>
    <row r="33052">
      <c r="N33052" s="1"/>
      <c r="V33052" s="5"/>
    </row>
    <row r="33053">
      <c r="N33053" s="1"/>
      <c r="V33053" s="5"/>
    </row>
    <row r="33054">
      <c r="N33054" s="1"/>
      <c r="V33054" s="5"/>
    </row>
    <row r="33055">
      <c r="N33055" s="1"/>
      <c r="V33055" s="5"/>
    </row>
    <row r="33056">
      <c r="N33056" s="1"/>
      <c r="V33056" s="5"/>
    </row>
    <row r="33057">
      <c r="N33057" s="1"/>
      <c r="V33057" s="5"/>
    </row>
    <row r="33058">
      <c r="N33058" s="1"/>
      <c r="V33058" s="5"/>
    </row>
    <row r="33059">
      <c r="N33059" s="1"/>
      <c r="V33059" s="5"/>
    </row>
    <row r="33060">
      <c r="N33060" s="1"/>
      <c r="V33060" s="5"/>
    </row>
    <row r="33061">
      <c r="N33061" s="1"/>
      <c r="V33061" s="5"/>
    </row>
    <row r="33062">
      <c r="N33062" s="1"/>
      <c r="V33062" s="5"/>
    </row>
    <row r="33063">
      <c r="N33063" s="1"/>
      <c r="V33063" s="5"/>
    </row>
    <row r="33064">
      <c r="N33064" s="1"/>
      <c r="V33064" s="5"/>
    </row>
    <row r="33065">
      <c r="N33065" s="1"/>
      <c r="V33065" s="5"/>
    </row>
    <row r="33066">
      <c r="N33066" s="1"/>
      <c r="V33066" s="5"/>
    </row>
    <row r="33067">
      <c r="N33067" s="1"/>
      <c r="V33067" s="5"/>
    </row>
    <row r="33068">
      <c r="N33068" s="1"/>
      <c r="V33068" s="5"/>
    </row>
    <row r="33069">
      <c r="N33069" s="1"/>
      <c r="V33069" s="5"/>
    </row>
    <row r="33070">
      <c r="N33070" s="1"/>
      <c r="V33070" s="5"/>
    </row>
    <row r="33071">
      <c r="N33071" s="1"/>
      <c r="V33071" s="5"/>
    </row>
    <row r="33072">
      <c r="N33072" s="1"/>
      <c r="V33072" s="5"/>
    </row>
    <row r="33073">
      <c r="N33073" s="1"/>
      <c r="V33073" s="5"/>
    </row>
    <row r="33074">
      <c r="N33074" s="1"/>
      <c r="V33074" s="5"/>
    </row>
    <row r="33075">
      <c r="N33075" s="1"/>
      <c r="V33075" s="5"/>
    </row>
    <row r="33076">
      <c r="N33076" s="1"/>
      <c r="V33076" s="5"/>
    </row>
    <row r="33077">
      <c r="N33077" s="1"/>
      <c r="V33077" s="5"/>
    </row>
    <row r="33078">
      <c r="N33078" s="1"/>
      <c r="V33078" s="5"/>
    </row>
    <row r="33079">
      <c r="N33079" s="1"/>
      <c r="V33079" s="5"/>
    </row>
    <row r="33080">
      <c r="N33080" s="1"/>
      <c r="V33080" s="5"/>
    </row>
    <row r="33081">
      <c r="N33081" s="1"/>
      <c r="V33081" s="5"/>
    </row>
    <row r="33082">
      <c r="N33082" s="1"/>
      <c r="V33082" s="5"/>
    </row>
    <row r="33083">
      <c r="N33083" s="1"/>
      <c r="V33083" s="5"/>
    </row>
    <row r="33084">
      <c r="N33084" s="1"/>
      <c r="V33084" s="5"/>
    </row>
    <row r="33085">
      <c r="N33085" s="1"/>
      <c r="V33085" s="5"/>
    </row>
    <row r="33086">
      <c r="N33086" s="1"/>
      <c r="V33086" s="5"/>
    </row>
    <row r="33087">
      <c r="N33087" s="1"/>
      <c r="V33087" s="5"/>
    </row>
    <row r="33088">
      <c r="N33088" s="1"/>
      <c r="V33088" s="5"/>
    </row>
    <row r="33089">
      <c r="N33089" s="1"/>
      <c r="V33089" s="5"/>
    </row>
    <row r="33090">
      <c r="N33090" s="1"/>
      <c r="V33090" s="5"/>
    </row>
    <row r="33091">
      <c r="N33091" s="1"/>
      <c r="V33091" s="5"/>
    </row>
    <row r="33092">
      <c r="N33092" s="1"/>
      <c r="V33092" s="5"/>
    </row>
    <row r="33093">
      <c r="N33093" s="1"/>
      <c r="V33093" s="5"/>
    </row>
    <row r="33094">
      <c r="N33094" s="1"/>
      <c r="V33094" s="5"/>
    </row>
    <row r="33095">
      <c r="N33095" s="1"/>
      <c r="V33095" s="5"/>
    </row>
    <row r="33096">
      <c r="N33096" s="1"/>
      <c r="V33096" s="5"/>
    </row>
    <row r="33097">
      <c r="N33097" s="1"/>
      <c r="V33097" s="5"/>
    </row>
    <row r="33098">
      <c r="N33098" s="1"/>
      <c r="V33098" s="5"/>
    </row>
    <row r="33099">
      <c r="N33099" s="1"/>
      <c r="V33099" s="5"/>
    </row>
    <row r="33100">
      <c r="N33100" s="1"/>
      <c r="V33100" s="5"/>
    </row>
    <row r="33101">
      <c r="N33101" s="1"/>
      <c r="V33101" s="5"/>
    </row>
    <row r="33102">
      <c r="N33102" s="1"/>
      <c r="V33102" s="5"/>
    </row>
    <row r="33103">
      <c r="N33103" s="1"/>
      <c r="V33103" s="5"/>
    </row>
    <row r="33104">
      <c r="N33104" s="1"/>
      <c r="V33104" s="5"/>
    </row>
    <row r="33105">
      <c r="N33105" s="1"/>
      <c r="V33105" s="5"/>
    </row>
    <row r="33106">
      <c r="N33106" s="1"/>
      <c r="V33106" s="5"/>
    </row>
    <row r="33107">
      <c r="N33107" s="1"/>
      <c r="V33107" s="5"/>
    </row>
    <row r="33108">
      <c r="N33108" s="1"/>
      <c r="V33108" s="5"/>
    </row>
    <row r="33109">
      <c r="N33109" s="1"/>
      <c r="V33109" s="5"/>
    </row>
    <row r="33110">
      <c r="N33110" s="1"/>
      <c r="V33110" s="5"/>
    </row>
    <row r="33111">
      <c r="N33111" s="1"/>
      <c r="V33111" s="5"/>
    </row>
    <row r="33112">
      <c r="N33112" s="1"/>
      <c r="V33112" s="5"/>
    </row>
    <row r="33113">
      <c r="N33113" s="1"/>
      <c r="V33113" s="5"/>
    </row>
    <row r="33114">
      <c r="N33114" s="1"/>
      <c r="V33114" s="5"/>
    </row>
    <row r="33115">
      <c r="N33115" s="1"/>
      <c r="V33115" s="5"/>
    </row>
    <row r="33116">
      <c r="N33116" s="1"/>
      <c r="V33116" s="5"/>
    </row>
    <row r="33117">
      <c r="N33117" s="1"/>
      <c r="V33117" s="5"/>
    </row>
    <row r="33118">
      <c r="N33118" s="1"/>
      <c r="V33118" s="5"/>
    </row>
    <row r="33119">
      <c r="N33119" s="1"/>
      <c r="V33119" s="5"/>
    </row>
    <row r="33120">
      <c r="N33120" s="1"/>
      <c r="V33120" s="5"/>
    </row>
    <row r="33121">
      <c r="N33121" s="1"/>
      <c r="V33121" s="5"/>
    </row>
    <row r="33122">
      <c r="N33122" s="1"/>
      <c r="V33122" s="5"/>
    </row>
    <row r="33123">
      <c r="N33123" s="1"/>
      <c r="V33123" s="5"/>
    </row>
    <row r="33124">
      <c r="N33124" s="1"/>
      <c r="V33124" s="5"/>
    </row>
    <row r="33125">
      <c r="N33125" s="1"/>
      <c r="V33125" s="5"/>
    </row>
    <row r="33126">
      <c r="N33126" s="1"/>
      <c r="V33126" s="5"/>
    </row>
    <row r="33127">
      <c r="N33127" s="1"/>
      <c r="V33127" s="5"/>
    </row>
    <row r="33128">
      <c r="N33128" s="1"/>
      <c r="V33128" s="5"/>
    </row>
    <row r="33129">
      <c r="N33129" s="1"/>
      <c r="V33129" s="5"/>
    </row>
    <row r="33130">
      <c r="N33130" s="1"/>
      <c r="V33130" s="5"/>
    </row>
    <row r="33131">
      <c r="N33131" s="1"/>
      <c r="V33131" s="5"/>
    </row>
    <row r="33132">
      <c r="N33132" s="1"/>
      <c r="V33132" s="5"/>
    </row>
    <row r="33133">
      <c r="N33133" s="1"/>
      <c r="V33133" s="5"/>
    </row>
    <row r="33134">
      <c r="N33134" s="1"/>
      <c r="V33134" s="5"/>
    </row>
    <row r="33135">
      <c r="N33135" s="1"/>
      <c r="V33135" s="5"/>
    </row>
    <row r="33136">
      <c r="N33136" s="1"/>
      <c r="V33136" s="5"/>
    </row>
    <row r="33137">
      <c r="N33137" s="1"/>
      <c r="V33137" s="5"/>
    </row>
    <row r="33138">
      <c r="N33138" s="1"/>
      <c r="V33138" s="5"/>
    </row>
    <row r="33139">
      <c r="N33139" s="1"/>
      <c r="V33139" s="5"/>
    </row>
    <row r="33140">
      <c r="N33140" s="1"/>
      <c r="V33140" s="5"/>
    </row>
    <row r="33141">
      <c r="N33141" s="1"/>
      <c r="V33141" s="5"/>
    </row>
    <row r="33142">
      <c r="N33142" s="1"/>
      <c r="V33142" s="5"/>
    </row>
    <row r="33143">
      <c r="N33143" s="1"/>
      <c r="V33143" s="5"/>
    </row>
    <row r="33144">
      <c r="N33144" s="1"/>
      <c r="V33144" s="5"/>
    </row>
    <row r="33145">
      <c r="N33145" s="1"/>
      <c r="V33145" s="5"/>
    </row>
    <row r="33146">
      <c r="N33146" s="1"/>
      <c r="V33146" s="5"/>
    </row>
    <row r="33147">
      <c r="N33147" s="1"/>
      <c r="V33147" s="5"/>
    </row>
    <row r="33148">
      <c r="N33148" s="1"/>
      <c r="V33148" s="5"/>
    </row>
    <row r="33149">
      <c r="N33149" s="1"/>
      <c r="V33149" s="5"/>
    </row>
    <row r="33150">
      <c r="N33150" s="1"/>
      <c r="V33150" s="5"/>
    </row>
    <row r="33151">
      <c r="N33151" s="1"/>
      <c r="V33151" s="5"/>
    </row>
    <row r="33152">
      <c r="N33152" s="1"/>
      <c r="V33152" s="5"/>
    </row>
    <row r="33153">
      <c r="N33153" s="1"/>
      <c r="V33153" s="5"/>
    </row>
    <row r="33154">
      <c r="N33154" s="1"/>
      <c r="V33154" s="5"/>
    </row>
    <row r="33155">
      <c r="N33155" s="1"/>
      <c r="V33155" s="5"/>
    </row>
    <row r="33156">
      <c r="N33156" s="1"/>
      <c r="V33156" s="5"/>
    </row>
    <row r="33157">
      <c r="N33157" s="1"/>
      <c r="V33157" s="5"/>
    </row>
    <row r="33158">
      <c r="N33158" s="1"/>
      <c r="V33158" s="5"/>
    </row>
    <row r="33159">
      <c r="N33159" s="1"/>
      <c r="V33159" s="5"/>
    </row>
    <row r="33160">
      <c r="N33160" s="1"/>
      <c r="V33160" s="5"/>
    </row>
    <row r="33161">
      <c r="N33161" s="1"/>
      <c r="V33161" s="5"/>
    </row>
    <row r="33162">
      <c r="N33162" s="1"/>
      <c r="V33162" s="5"/>
    </row>
    <row r="33163">
      <c r="N33163" s="1"/>
      <c r="V33163" s="5"/>
    </row>
    <row r="33164">
      <c r="N33164" s="1"/>
      <c r="V33164" s="5"/>
    </row>
    <row r="33165">
      <c r="N33165" s="1"/>
      <c r="V33165" s="5"/>
    </row>
    <row r="33166">
      <c r="N33166" s="1"/>
      <c r="V33166" s="5"/>
    </row>
    <row r="33167">
      <c r="N33167" s="1"/>
      <c r="V33167" s="5"/>
    </row>
    <row r="33168">
      <c r="N33168" s="1"/>
      <c r="V33168" s="5"/>
    </row>
    <row r="33169">
      <c r="N33169" s="1"/>
      <c r="V33169" s="5"/>
    </row>
    <row r="33170">
      <c r="N33170" s="1"/>
      <c r="V33170" s="5"/>
    </row>
    <row r="33171">
      <c r="N33171" s="1"/>
      <c r="V33171" s="5"/>
    </row>
    <row r="33172">
      <c r="N33172" s="1"/>
      <c r="V33172" s="5"/>
    </row>
    <row r="33173">
      <c r="N33173" s="1"/>
      <c r="V33173" s="5"/>
    </row>
    <row r="33174">
      <c r="N33174" s="1"/>
      <c r="V33174" s="5"/>
    </row>
    <row r="33175">
      <c r="N33175" s="1"/>
      <c r="V33175" s="5"/>
    </row>
    <row r="33176">
      <c r="N33176" s="1"/>
      <c r="V33176" s="5"/>
    </row>
    <row r="33177">
      <c r="N33177" s="1"/>
      <c r="V33177" s="5"/>
    </row>
    <row r="33178">
      <c r="N33178" s="1"/>
      <c r="V33178" s="5"/>
    </row>
    <row r="33179">
      <c r="N33179" s="1"/>
      <c r="V33179" s="5"/>
    </row>
    <row r="33180">
      <c r="N33180" s="1"/>
      <c r="V33180" s="5"/>
    </row>
    <row r="33181">
      <c r="N33181" s="1"/>
      <c r="V33181" s="5"/>
    </row>
    <row r="33182">
      <c r="N33182" s="1"/>
      <c r="V33182" s="5"/>
    </row>
    <row r="33183">
      <c r="N33183" s="1"/>
      <c r="V33183" s="5"/>
    </row>
    <row r="33184">
      <c r="N33184" s="1"/>
      <c r="V33184" s="5"/>
    </row>
    <row r="33185">
      <c r="N33185" s="1"/>
      <c r="V33185" s="5"/>
    </row>
    <row r="33186">
      <c r="N33186" s="1"/>
      <c r="V33186" s="5"/>
    </row>
    <row r="33187">
      <c r="N33187" s="1"/>
      <c r="V33187" s="5"/>
    </row>
    <row r="33188">
      <c r="N33188" s="1"/>
      <c r="V33188" s="5"/>
    </row>
    <row r="33189">
      <c r="N33189" s="1"/>
      <c r="V33189" s="5"/>
    </row>
    <row r="33190">
      <c r="N33190" s="1"/>
      <c r="V33190" s="5"/>
    </row>
    <row r="33191">
      <c r="N33191" s="1"/>
      <c r="V33191" s="5"/>
    </row>
    <row r="33192">
      <c r="N33192" s="1"/>
      <c r="V33192" s="5"/>
    </row>
    <row r="33193">
      <c r="N33193" s="1"/>
      <c r="V33193" s="5"/>
    </row>
    <row r="33194">
      <c r="N33194" s="1"/>
      <c r="V33194" s="5"/>
    </row>
    <row r="33195">
      <c r="N33195" s="1"/>
      <c r="V33195" s="5"/>
    </row>
    <row r="33196">
      <c r="N33196" s="1"/>
      <c r="V33196" s="5"/>
    </row>
    <row r="33197">
      <c r="N33197" s="1"/>
      <c r="V33197" s="5"/>
    </row>
    <row r="33198">
      <c r="N33198" s="1"/>
      <c r="V33198" s="5"/>
    </row>
    <row r="33199">
      <c r="N33199" s="1"/>
      <c r="V33199" s="5"/>
    </row>
    <row r="33200">
      <c r="N33200" s="1"/>
      <c r="V33200" s="5"/>
    </row>
    <row r="33201">
      <c r="N33201" s="1"/>
      <c r="V33201" s="5"/>
    </row>
    <row r="33202">
      <c r="N33202" s="1"/>
      <c r="V33202" s="5"/>
    </row>
    <row r="33203">
      <c r="N33203" s="1"/>
      <c r="V33203" s="5"/>
    </row>
    <row r="33204">
      <c r="N33204" s="1"/>
      <c r="V33204" s="5"/>
    </row>
    <row r="33205">
      <c r="N33205" s="1"/>
      <c r="V33205" s="5"/>
    </row>
    <row r="33206">
      <c r="N33206" s="1"/>
      <c r="V33206" s="5"/>
    </row>
    <row r="33207">
      <c r="N33207" s="1"/>
      <c r="V33207" s="5"/>
    </row>
    <row r="33208">
      <c r="N33208" s="1"/>
      <c r="V33208" s="5"/>
    </row>
    <row r="33209">
      <c r="N33209" s="1"/>
      <c r="V33209" s="5"/>
    </row>
    <row r="33210">
      <c r="N33210" s="1"/>
      <c r="V33210" s="5"/>
    </row>
    <row r="33211">
      <c r="N33211" s="1"/>
      <c r="V33211" s="5"/>
    </row>
    <row r="33212">
      <c r="N33212" s="1"/>
      <c r="V33212" s="5"/>
    </row>
    <row r="33213">
      <c r="N33213" s="1"/>
      <c r="V33213" s="5"/>
    </row>
    <row r="33214">
      <c r="N33214" s="1"/>
      <c r="V33214" s="5"/>
    </row>
    <row r="33215">
      <c r="N33215" s="1"/>
      <c r="V33215" s="5"/>
    </row>
    <row r="33216">
      <c r="N33216" s="1"/>
      <c r="V33216" s="5"/>
    </row>
    <row r="33217">
      <c r="N33217" s="1"/>
      <c r="V33217" s="5"/>
    </row>
    <row r="33218">
      <c r="N33218" s="1"/>
      <c r="V33218" s="5"/>
    </row>
    <row r="33219">
      <c r="N33219" s="1"/>
      <c r="V33219" s="5"/>
    </row>
    <row r="33220">
      <c r="N33220" s="1"/>
      <c r="V33220" s="5"/>
    </row>
    <row r="33221">
      <c r="N33221" s="1"/>
      <c r="V33221" s="5"/>
    </row>
    <row r="33222">
      <c r="N33222" s="1"/>
      <c r="V33222" s="5"/>
    </row>
    <row r="33223">
      <c r="N33223" s="1"/>
      <c r="V33223" s="5"/>
    </row>
    <row r="33224">
      <c r="N33224" s="1"/>
      <c r="V33224" s="5"/>
    </row>
    <row r="33225">
      <c r="N33225" s="1"/>
      <c r="V33225" s="5"/>
    </row>
    <row r="33226">
      <c r="N33226" s="1"/>
      <c r="V33226" s="5"/>
    </row>
    <row r="33227">
      <c r="N33227" s="1"/>
      <c r="V33227" s="5"/>
    </row>
    <row r="33228">
      <c r="N33228" s="1"/>
      <c r="V33228" s="5"/>
    </row>
    <row r="33229">
      <c r="N33229" s="1"/>
      <c r="V33229" s="5"/>
    </row>
    <row r="33230">
      <c r="N33230" s="1"/>
      <c r="V33230" s="5"/>
    </row>
    <row r="33231">
      <c r="N33231" s="1"/>
      <c r="V33231" s="5"/>
    </row>
    <row r="33232">
      <c r="N33232" s="1"/>
      <c r="V33232" s="5"/>
    </row>
    <row r="33233">
      <c r="N33233" s="1"/>
      <c r="V33233" s="5"/>
    </row>
    <row r="33234">
      <c r="N33234" s="1"/>
      <c r="V33234" s="5"/>
    </row>
    <row r="33235">
      <c r="N33235" s="1"/>
      <c r="V33235" s="5"/>
    </row>
    <row r="33236">
      <c r="N33236" s="1"/>
      <c r="V33236" s="5"/>
    </row>
    <row r="33237">
      <c r="N33237" s="1"/>
      <c r="V33237" s="5"/>
    </row>
    <row r="33238">
      <c r="N33238" s="1"/>
      <c r="V33238" s="5"/>
    </row>
    <row r="33239">
      <c r="N33239" s="1"/>
      <c r="V33239" s="5"/>
    </row>
    <row r="33240">
      <c r="N33240" s="1"/>
      <c r="V33240" s="5"/>
    </row>
    <row r="33241">
      <c r="N33241" s="1"/>
      <c r="V33241" s="5"/>
    </row>
    <row r="33242">
      <c r="N33242" s="1"/>
      <c r="V33242" s="5"/>
    </row>
    <row r="33243">
      <c r="N33243" s="1"/>
      <c r="V33243" s="5"/>
    </row>
    <row r="33244">
      <c r="N33244" s="1"/>
      <c r="V33244" s="5"/>
    </row>
    <row r="33245">
      <c r="N33245" s="1"/>
      <c r="V33245" s="5"/>
    </row>
    <row r="33246">
      <c r="N33246" s="1"/>
      <c r="V33246" s="5"/>
    </row>
    <row r="33247">
      <c r="N33247" s="1"/>
      <c r="V33247" s="5"/>
    </row>
    <row r="33248">
      <c r="N33248" s="1"/>
      <c r="V33248" s="5"/>
    </row>
    <row r="33249">
      <c r="N33249" s="1"/>
      <c r="V33249" s="5"/>
    </row>
    <row r="33250">
      <c r="N33250" s="1"/>
      <c r="V33250" s="5"/>
    </row>
    <row r="33251">
      <c r="N33251" s="1"/>
      <c r="V33251" s="5"/>
    </row>
    <row r="33252">
      <c r="N33252" s="1"/>
      <c r="V33252" s="5"/>
    </row>
    <row r="33253">
      <c r="N33253" s="1"/>
      <c r="V33253" s="5"/>
    </row>
    <row r="33254">
      <c r="N33254" s="1"/>
      <c r="V33254" s="5"/>
    </row>
    <row r="33255">
      <c r="N33255" s="1"/>
      <c r="V33255" s="5"/>
    </row>
    <row r="33256">
      <c r="N33256" s="1"/>
      <c r="V33256" s="5"/>
    </row>
    <row r="33257">
      <c r="N33257" s="1"/>
      <c r="V33257" s="5"/>
    </row>
    <row r="33258">
      <c r="N33258" s="1"/>
      <c r="V33258" s="5"/>
    </row>
    <row r="33259">
      <c r="N33259" s="1"/>
      <c r="V33259" s="5"/>
    </row>
    <row r="33260">
      <c r="N33260" s="1"/>
      <c r="V33260" s="5"/>
    </row>
    <row r="33261">
      <c r="N33261" s="1"/>
      <c r="V33261" s="5"/>
    </row>
    <row r="33262">
      <c r="N33262" s="1"/>
      <c r="V33262" s="5"/>
    </row>
    <row r="33263">
      <c r="N33263" s="1"/>
      <c r="V33263" s="5"/>
    </row>
    <row r="33264">
      <c r="N33264" s="1"/>
      <c r="V33264" s="5"/>
    </row>
    <row r="33265">
      <c r="N33265" s="1"/>
      <c r="V33265" s="5"/>
    </row>
    <row r="33266">
      <c r="N33266" s="1"/>
      <c r="V33266" s="5"/>
    </row>
    <row r="33267">
      <c r="N33267" s="1"/>
      <c r="V33267" s="5"/>
    </row>
    <row r="33268">
      <c r="N33268" s="1"/>
      <c r="V33268" s="5"/>
    </row>
    <row r="33269">
      <c r="N33269" s="1"/>
      <c r="V33269" s="5"/>
    </row>
    <row r="33270">
      <c r="N33270" s="1"/>
      <c r="V33270" s="5"/>
    </row>
    <row r="33271">
      <c r="N33271" s="1"/>
      <c r="V33271" s="5"/>
    </row>
    <row r="33272">
      <c r="N33272" s="1"/>
      <c r="V33272" s="5"/>
    </row>
    <row r="33273">
      <c r="N33273" s="1"/>
      <c r="V33273" s="5"/>
    </row>
    <row r="33274">
      <c r="N33274" s="1"/>
      <c r="V33274" s="5"/>
    </row>
    <row r="33275">
      <c r="N33275" s="1"/>
      <c r="V33275" s="5"/>
    </row>
    <row r="33276">
      <c r="N33276" s="1"/>
      <c r="V33276" s="5"/>
    </row>
    <row r="33277">
      <c r="N33277" s="1"/>
      <c r="V33277" s="5"/>
    </row>
    <row r="33278">
      <c r="N33278" s="1"/>
      <c r="V33278" s="5"/>
    </row>
    <row r="33279">
      <c r="N33279" s="1"/>
      <c r="V33279" s="5"/>
    </row>
    <row r="33280">
      <c r="N33280" s="1"/>
      <c r="V33280" s="5"/>
    </row>
    <row r="33281">
      <c r="N33281" s="1"/>
      <c r="V33281" s="5"/>
    </row>
    <row r="33282">
      <c r="N33282" s="1"/>
      <c r="V33282" s="5"/>
    </row>
    <row r="33283">
      <c r="N33283" s="1"/>
      <c r="V33283" s="5"/>
    </row>
    <row r="33284">
      <c r="N33284" s="1"/>
      <c r="V33284" s="5"/>
    </row>
    <row r="33285">
      <c r="N33285" s="1"/>
      <c r="V33285" s="5"/>
    </row>
    <row r="33286">
      <c r="N33286" s="1"/>
      <c r="V33286" s="5"/>
    </row>
    <row r="33287">
      <c r="N33287" s="1"/>
      <c r="V33287" s="5"/>
    </row>
    <row r="33288">
      <c r="N33288" s="1"/>
      <c r="V33288" s="5"/>
    </row>
    <row r="33289">
      <c r="N33289" s="1"/>
      <c r="V33289" s="5"/>
    </row>
    <row r="33290">
      <c r="N33290" s="1"/>
      <c r="V33290" s="5"/>
    </row>
    <row r="33291">
      <c r="N33291" s="1"/>
      <c r="V33291" s="5"/>
    </row>
    <row r="33292">
      <c r="N33292" s="1"/>
      <c r="V33292" s="5"/>
    </row>
    <row r="33293">
      <c r="N33293" s="1"/>
      <c r="V33293" s="5"/>
    </row>
    <row r="33294">
      <c r="N33294" s="1"/>
      <c r="V33294" s="5"/>
    </row>
    <row r="33295">
      <c r="N33295" s="1"/>
      <c r="V33295" s="5"/>
    </row>
    <row r="33296">
      <c r="N33296" s="1"/>
      <c r="V33296" s="5"/>
    </row>
    <row r="33297">
      <c r="N33297" s="1"/>
      <c r="V33297" s="5"/>
    </row>
    <row r="33298">
      <c r="N33298" s="1"/>
      <c r="V33298" s="5"/>
    </row>
    <row r="33299">
      <c r="N33299" s="1"/>
      <c r="V33299" s="5"/>
    </row>
    <row r="33300">
      <c r="N33300" s="1"/>
      <c r="V33300" s="5"/>
    </row>
    <row r="33301">
      <c r="N33301" s="1"/>
      <c r="V33301" s="5"/>
    </row>
    <row r="33302">
      <c r="N33302" s="1"/>
      <c r="V33302" s="5"/>
    </row>
    <row r="33303">
      <c r="N33303" s="1"/>
      <c r="V33303" s="5"/>
    </row>
    <row r="33304">
      <c r="N33304" s="1"/>
      <c r="V33304" s="5"/>
    </row>
    <row r="33305">
      <c r="N33305" s="1"/>
      <c r="V33305" s="5"/>
    </row>
    <row r="33306">
      <c r="N33306" s="1"/>
      <c r="V33306" s="5"/>
    </row>
    <row r="33307">
      <c r="N33307" s="1"/>
      <c r="V33307" s="5"/>
    </row>
    <row r="33308">
      <c r="N33308" s="1"/>
      <c r="V33308" s="5"/>
    </row>
    <row r="33309">
      <c r="N33309" s="1"/>
      <c r="V33309" s="5"/>
    </row>
    <row r="33310">
      <c r="N33310" s="1"/>
      <c r="V33310" s="5"/>
    </row>
    <row r="33311">
      <c r="N33311" s="1"/>
      <c r="V33311" s="5"/>
    </row>
    <row r="33312">
      <c r="N33312" s="1"/>
      <c r="V33312" s="5"/>
    </row>
    <row r="33313">
      <c r="N33313" s="1"/>
      <c r="V33313" s="5"/>
    </row>
    <row r="33314">
      <c r="N33314" s="1"/>
      <c r="V33314" s="5"/>
    </row>
    <row r="33315">
      <c r="N33315" s="1"/>
      <c r="V33315" s="5"/>
    </row>
    <row r="33316">
      <c r="N33316" s="1"/>
      <c r="V33316" s="5"/>
    </row>
    <row r="33317">
      <c r="N33317" s="1"/>
      <c r="V33317" s="5"/>
    </row>
    <row r="33318">
      <c r="N33318" s="1"/>
      <c r="V33318" s="5"/>
    </row>
    <row r="33319">
      <c r="N33319" s="1"/>
      <c r="V33319" s="5"/>
    </row>
    <row r="33320">
      <c r="N33320" s="1"/>
      <c r="V33320" s="5"/>
    </row>
    <row r="33321">
      <c r="N33321" s="1"/>
      <c r="V33321" s="5"/>
    </row>
    <row r="33322">
      <c r="N33322" s="1"/>
      <c r="V33322" s="5"/>
    </row>
    <row r="33323">
      <c r="N33323" s="1"/>
      <c r="V33323" s="5"/>
    </row>
    <row r="33324">
      <c r="N33324" s="1"/>
      <c r="V33324" s="5"/>
    </row>
    <row r="33325">
      <c r="N33325" s="1"/>
      <c r="V33325" s="5"/>
    </row>
    <row r="33326">
      <c r="N33326" s="1"/>
      <c r="V33326" s="5"/>
    </row>
    <row r="33327">
      <c r="N33327" s="1"/>
      <c r="V33327" s="5"/>
    </row>
    <row r="33328">
      <c r="N33328" s="1"/>
      <c r="V33328" s="5"/>
    </row>
    <row r="33329">
      <c r="N33329" s="1"/>
      <c r="V33329" s="5"/>
    </row>
    <row r="33330">
      <c r="N33330" s="1"/>
      <c r="V33330" s="5"/>
    </row>
    <row r="33331">
      <c r="N33331" s="1"/>
      <c r="V33331" s="5"/>
    </row>
    <row r="33332">
      <c r="N33332" s="1"/>
      <c r="V33332" s="5"/>
    </row>
    <row r="33333">
      <c r="N33333" s="1"/>
      <c r="V33333" s="5"/>
    </row>
    <row r="33334">
      <c r="N33334" s="1"/>
      <c r="V33334" s="5"/>
    </row>
    <row r="33335">
      <c r="N33335" s="1"/>
      <c r="V33335" s="5"/>
    </row>
    <row r="33336">
      <c r="N33336" s="1"/>
      <c r="V33336" s="5"/>
    </row>
    <row r="33337">
      <c r="N33337" s="1"/>
      <c r="V33337" s="5"/>
    </row>
    <row r="33338">
      <c r="N33338" s="1"/>
      <c r="V33338" s="5"/>
    </row>
    <row r="33339">
      <c r="N33339" s="1"/>
      <c r="V33339" s="5"/>
    </row>
    <row r="33340">
      <c r="N33340" s="1"/>
      <c r="V33340" s="5"/>
    </row>
    <row r="33341">
      <c r="N33341" s="1"/>
      <c r="V33341" s="5"/>
    </row>
    <row r="33342">
      <c r="N33342" s="1"/>
      <c r="V33342" s="5"/>
    </row>
    <row r="33343">
      <c r="N33343" s="1"/>
      <c r="V33343" s="5"/>
    </row>
    <row r="33344">
      <c r="N33344" s="1"/>
      <c r="V33344" s="5"/>
    </row>
    <row r="33345">
      <c r="N33345" s="1"/>
      <c r="V33345" s="5"/>
    </row>
    <row r="33346">
      <c r="N33346" s="1"/>
      <c r="V33346" s="5"/>
    </row>
    <row r="33347">
      <c r="N33347" s="1"/>
      <c r="V33347" s="5"/>
    </row>
    <row r="33348">
      <c r="N33348" s="1"/>
      <c r="V33348" s="5"/>
    </row>
    <row r="33349">
      <c r="N33349" s="1"/>
      <c r="V33349" s="5"/>
    </row>
    <row r="33350">
      <c r="N33350" s="1"/>
      <c r="V33350" s="5"/>
    </row>
    <row r="33351">
      <c r="N33351" s="1"/>
      <c r="V33351" s="5"/>
    </row>
    <row r="33352">
      <c r="N33352" s="1"/>
      <c r="V33352" s="5"/>
    </row>
    <row r="33353">
      <c r="N33353" s="1"/>
      <c r="V33353" s="5"/>
    </row>
    <row r="33354">
      <c r="N33354" s="1"/>
      <c r="V33354" s="5"/>
    </row>
    <row r="33355">
      <c r="N33355" s="1"/>
      <c r="V33355" s="5"/>
    </row>
    <row r="33356">
      <c r="N33356" s="1"/>
      <c r="V33356" s="5"/>
    </row>
    <row r="33357">
      <c r="N33357" s="1"/>
      <c r="V33357" s="5"/>
    </row>
    <row r="33358">
      <c r="N33358" s="1"/>
      <c r="V33358" s="5"/>
    </row>
    <row r="33359">
      <c r="N33359" s="1"/>
      <c r="V33359" s="5"/>
    </row>
    <row r="33360">
      <c r="N33360" s="1"/>
      <c r="V33360" s="5"/>
    </row>
    <row r="33361">
      <c r="N33361" s="1"/>
      <c r="V33361" s="5"/>
    </row>
    <row r="33362">
      <c r="N33362" s="1"/>
      <c r="V33362" s="5"/>
    </row>
    <row r="33363">
      <c r="N33363" s="1"/>
      <c r="V33363" s="5"/>
    </row>
    <row r="33364">
      <c r="N33364" s="1"/>
      <c r="V33364" s="5"/>
    </row>
    <row r="33365">
      <c r="N33365" s="1"/>
      <c r="V33365" s="5"/>
    </row>
    <row r="33366">
      <c r="N33366" s="1"/>
      <c r="V33366" s="5"/>
    </row>
    <row r="33367">
      <c r="N33367" s="1"/>
      <c r="V33367" s="5"/>
    </row>
    <row r="33368">
      <c r="N33368" s="1"/>
      <c r="V33368" s="5"/>
    </row>
    <row r="33369">
      <c r="N33369" s="1"/>
      <c r="V33369" s="5"/>
    </row>
    <row r="33370">
      <c r="N33370" s="1"/>
      <c r="V33370" s="5"/>
    </row>
    <row r="33371">
      <c r="N33371" s="1"/>
      <c r="V33371" s="5"/>
    </row>
    <row r="33372">
      <c r="N33372" s="1"/>
      <c r="V33372" s="5"/>
    </row>
    <row r="33373">
      <c r="N33373" s="1"/>
      <c r="V33373" s="5"/>
    </row>
    <row r="33374">
      <c r="N33374" s="1"/>
      <c r="V33374" s="5"/>
    </row>
    <row r="33375">
      <c r="N33375" s="1"/>
      <c r="V33375" s="5"/>
    </row>
    <row r="33376">
      <c r="N33376" s="1"/>
      <c r="V33376" s="5"/>
    </row>
    <row r="33377">
      <c r="N33377" s="1"/>
      <c r="V33377" s="5"/>
    </row>
    <row r="33378">
      <c r="N33378" s="1"/>
      <c r="V33378" s="5"/>
    </row>
    <row r="33379">
      <c r="N33379" s="1"/>
      <c r="V33379" s="5"/>
    </row>
    <row r="33380">
      <c r="N33380" s="1"/>
      <c r="V33380" s="5"/>
    </row>
    <row r="33381">
      <c r="N33381" s="1"/>
      <c r="V33381" s="5"/>
    </row>
    <row r="33382">
      <c r="N33382" s="1"/>
      <c r="V33382" s="5"/>
    </row>
    <row r="33383">
      <c r="N33383" s="1"/>
      <c r="V33383" s="5"/>
    </row>
    <row r="33384">
      <c r="N33384" s="1"/>
      <c r="V33384" s="5"/>
    </row>
    <row r="33385">
      <c r="N33385" s="1"/>
      <c r="V33385" s="5"/>
    </row>
    <row r="33386">
      <c r="N33386" s="1"/>
      <c r="V33386" s="5"/>
    </row>
    <row r="33387">
      <c r="N33387" s="1"/>
      <c r="V33387" s="5"/>
    </row>
    <row r="33388">
      <c r="N33388" s="1"/>
      <c r="V33388" s="5"/>
    </row>
    <row r="33389">
      <c r="N33389" s="1"/>
      <c r="V33389" s="5"/>
    </row>
    <row r="33390">
      <c r="N33390" s="1"/>
      <c r="V33390" s="5"/>
    </row>
    <row r="33391">
      <c r="N33391" s="1"/>
      <c r="V33391" s="5"/>
    </row>
    <row r="33392">
      <c r="N33392" s="1"/>
      <c r="V33392" s="5"/>
    </row>
    <row r="33393">
      <c r="N33393" s="1"/>
      <c r="V33393" s="5"/>
    </row>
    <row r="33394">
      <c r="N33394" s="1"/>
      <c r="V33394" s="5"/>
    </row>
    <row r="33395">
      <c r="N33395" s="1"/>
      <c r="V33395" s="5"/>
    </row>
    <row r="33396">
      <c r="N33396" s="1"/>
      <c r="V33396" s="5"/>
    </row>
    <row r="33397">
      <c r="N33397" s="1"/>
      <c r="V33397" s="5"/>
    </row>
    <row r="33398">
      <c r="N33398" s="1"/>
      <c r="V33398" s="5"/>
    </row>
    <row r="33399">
      <c r="N33399" s="1"/>
      <c r="V33399" s="5"/>
    </row>
    <row r="33400">
      <c r="N33400" s="1"/>
      <c r="V33400" s="5"/>
    </row>
    <row r="33401">
      <c r="N33401" s="1"/>
      <c r="V33401" s="5"/>
    </row>
    <row r="33402">
      <c r="N33402" s="1"/>
      <c r="V33402" s="5"/>
    </row>
    <row r="33403">
      <c r="N33403" s="1"/>
      <c r="V33403" s="5"/>
    </row>
    <row r="33404">
      <c r="N33404" s="1"/>
      <c r="V33404" s="5"/>
    </row>
    <row r="33405">
      <c r="N33405" s="1"/>
      <c r="V33405" s="5"/>
    </row>
    <row r="33406">
      <c r="N33406" s="1"/>
      <c r="V33406" s="5"/>
    </row>
    <row r="33407">
      <c r="N33407" s="1"/>
      <c r="V33407" s="5"/>
    </row>
    <row r="33408">
      <c r="N33408" s="1"/>
      <c r="V33408" s="5"/>
    </row>
    <row r="33409">
      <c r="N33409" s="1"/>
      <c r="V33409" s="5"/>
    </row>
    <row r="33410">
      <c r="N33410" s="1"/>
      <c r="V33410" s="5"/>
    </row>
    <row r="33411">
      <c r="N33411" s="1"/>
      <c r="V33411" s="5"/>
    </row>
    <row r="33412">
      <c r="N33412" s="1"/>
      <c r="V33412" s="5"/>
    </row>
    <row r="33413">
      <c r="N33413" s="1"/>
      <c r="V33413" s="5"/>
    </row>
    <row r="33414">
      <c r="N33414" s="1"/>
      <c r="V33414" s="5"/>
    </row>
    <row r="33415">
      <c r="N33415" s="1"/>
      <c r="V33415" s="5"/>
    </row>
    <row r="33416">
      <c r="N33416" s="1"/>
      <c r="V33416" s="5"/>
    </row>
    <row r="33417">
      <c r="N33417" s="1"/>
      <c r="V33417" s="5"/>
    </row>
    <row r="33418">
      <c r="N33418" s="1"/>
      <c r="V33418" s="5"/>
    </row>
    <row r="33419">
      <c r="N33419" s="1"/>
      <c r="V33419" s="5"/>
    </row>
    <row r="33420">
      <c r="N33420" s="1"/>
      <c r="V33420" s="5"/>
    </row>
    <row r="33421">
      <c r="N33421" s="1"/>
      <c r="V33421" s="5"/>
    </row>
    <row r="33422">
      <c r="N33422" s="1"/>
      <c r="V33422" s="5"/>
    </row>
    <row r="33423">
      <c r="N33423" s="1"/>
      <c r="V33423" s="5"/>
    </row>
    <row r="33424">
      <c r="N33424" s="1"/>
      <c r="V33424" s="5"/>
    </row>
    <row r="33425">
      <c r="N33425" s="1"/>
      <c r="V33425" s="5"/>
    </row>
    <row r="33426">
      <c r="N33426" s="1"/>
      <c r="V33426" s="5"/>
    </row>
    <row r="33427">
      <c r="N33427" s="1"/>
      <c r="V33427" s="5"/>
    </row>
    <row r="33428">
      <c r="N33428" s="1"/>
      <c r="V33428" s="5"/>
    </row>
    <row r="33429">
      <c r="N33429" s="1"/>
      <c r="V33429" s="5"/>
    </row>
    <row r="33430">
      <c r="N33430" s="1"/>
      <c r="V33430" s="5"/>
    </row>
    <row r="33431">
      <c r="N33431" s="1"/>
      <c r="V33431" s="5"/>
    </row>
    <row r="33432">
      <c r="N33432" s="1"/>
      <c r="V33432" s="5"/>
    </row>
    <row r="33433">
      <c r="N33433" s="1"/>
      <c r="V33433" s="5"/>
    </row>
    <row r="33434">
      <c r="N33434" s="1"/>
      <c r="V33434" s="5"/>
    </row>
    <row r="33435">
      <c r="N33435" s="1"/>
      <c r="V33435" s="5"/>
    </row>
    <row r="33436">
      <c r="N33436" s="1"/>
      <c r="V33436" s="5"/>
    </row>
    <row r="33437">
      <c r="N33437" s="1"/>
      <c r="V33437" s="5"/>
    </row>
    <row r="33438">
      <c r="N33438" s="1"/>
      <c r="V33438" s="5"/>
    </row>
    <row r="33439">
      <c r="N33439" s="1"/>
      <c r="V33439" s="5"/>
    </row>
    <row r="33440">
      <c r="N33440" s="1"/>
      <c r="V33440" s="5"/>
    </row>
    <row r="33441">
      <c r="N33441" s="1"/>
      <c r="V33441" s="5"/>
    </row>
    <row r="33442">
      <c r="N33442" s="1"/>
      <c r="V33442" s="5"/>
    </row>
    <row r="33443">
      <c r="N33443" s="1"/>
      <c r="V33443" s="5"/>
    </row>
    <row r="33444">
      <c r="N33444" s="1"/>
      <c r="V33444" s="5"/>
    </row>
    <row r="33445">
      <c r="N33445" s="1"/>
      <c r="V33445" s="5"/>
    </row>
    <row r="33446">
      <c r="N33446" s="1"/>
      <c r="V33446" s="5"/>
    </row>
    <row r="33447">
      <c r="N33447" s="1"/>
      <c r="V33447" s="5"/>
    </row>
    <row r="33448">
      <c r="N33448" s="1"/>
      <c r="V33448" s="5"/>
    </row>
    <row r="33449">
      <c r="N33449" s="1"/>
      <c r="V33449" s="5"/>
    </row>
    <row r="33450">
      <c r="N33450" s="1"/>
      <c r="V33450" s="5"/>
    </row>
    <row r="33451">
      <c r="N33451" s="1"/>
      <c r="V33451" s="5"/>
    </row>
    <row r="33452">
      <c r="N33452" s="1"/>
      <c r="V33452" s="5"/>
    </row>
    <row r="33453">
      <c r="N33453" s="1"/>
      <c r="V33453" s="5"/>
    </row>
    <row r="33454">
      <c r="N33454" s="1"/>
      <c r="V33454" s="5"/>
    </row>
    <row r="33455">
      <c r="N33455" s="1"/>
      <c r="V33455" s="5"/>
    </row>
    <row r="33456">
      <c r="N33456" s="1"/>
      <c r="V33456" s="5"/>
    </row>
    <row r="33457">
      <c r="N33457" s="1"/>
      <c r="V33457" s="5"/>
    </row>
    <row r="33458">
      <c r="N33458" s="1"/>
      <c r="V33458" s="5"/>
    </row>
    <row r="33459">
      <c r="N33459" s="1"/>
      <c r="V33459" s="5"/>
    </row>
    <row r="33460">
      <c r="N33460" s="1"/>
      <c r="V33460" s="5"/>
    </row>
    <row r="33461">
      <c r="N33461" s="1"/>
      <c r="V33461" s="5"/>
    </row>
    <row r="33462">
      <c r="N33462" s="1"/>
      <c r="V33462" s="5"/>
    </row>
    <row r="33463">
      <c r="N33463" s="1"/>
      <c r="V33463" s="5"/>
    </row>
    <row r="33464">
      <c r="N33464" s="1"/>
      <c r="V33464" s="5"/>
    </row>
    <row r="33465">
      <c r="N33465" s="1"/>
      <c r="V33465" s="5"/>
    </row>
    <row r="33466">
      <c r="N33466" s="1"/>
      <c r="V33466" s="5"/>
    </row>
    <row r="33467">
      <c r="N33467" s="1"/>
      <c r="V33467" s="5"/>
    </row>
    <row r="33468">
      <c r="N33468" s="1"/>
      <c r="V33468" s="5"/>
    </row>
    <row r="33469">
      <c r="N33469" s="1"/>
      <c r="V33469" s="5"/>
    </row>
    <row r="33470">
      <c r="N33470" s="1"/>
      <c r="V33470" s="5"/>
    </row>
    <row r="33471">
      <c r="N33471" s="1"/>
      <c r="V33471" s="5"/>
    </row>
    <row r="33472">
      <c r="N33472" s="1"/>
      <c r="V33472" s="5"/>
    </row>
    <row r="33473">
      <c r="N33473" s="1"/>
      <c r="V33473" s="5"/>
    </row>
    <row r="33474">
      <c r="N33474" s="1"/>
      <c r="V33474" s="5"/>
    </row>
    <row r="33475">
      <c r="N33475" s="1"/>
      <c r="V33475" s="5"/>
    </row>
    <row r="33476">
      <c r="N33476" s="1"/>
      <c r="V33476" s="5"/>
    </row>
    <row r="33477">
      <c r="N33477" s="1"/>
      <c r="V33477" s="5"/>
    </row>
    <row r="33478">
      <c r="N33478" s="1"/>
      <c r="V33478" s="5"/>
    </row>
    <row r="33479">
      <c r="N33479" s="1"/>
      <c r="V33479" s="5"/>
    </row>
    <row r="33480">
      <c r="N33480" s="1"/>
      <c r="V33480" s="5"/>
    </row>
    <row r="33481">
      <c r="N33481" s="1"/>
      <c r="V33481" s="5"/>
    </row>
    <row r="33482">
      <c r="N33482" s="1"/>
      <c r="V33482" s="5"/>
    </row>
    <row r="33483">
      <c r="N33483" s="1"/>
      <c r="V33483" s="5"/>
    </row>
    <row r="33484">
      <c r="N33484" s="1"/>
      <c r="V33484" s="5"/>
    </row>
    <row r="33485">
      <c r="N33485" s="1"/>
      <c r="V33485" s="5"/>
    </row>
    <row r="33486">
      <c r="N33486" s="1"/>
      <c r="V33486" s="5"/>
    </row>
    <row r="33487">
      <c r="N33487" s="1"/>
      <c r="V33487" s="5"/>
    </row>
    <row r="33488">
      <c r="N33488" s="1"/>
      <c r="V33488" s="5"/>
    </row>
    <row r="33489">
      <c r="N33489" s="1"/>
      <c r="V33489" s="5"/>
    </row>
    <row r="33490">
      <c r="N33490" s="1"/>
      <c r="V33490" s="5"/>
    </row>
    <row r="33491">
      <c r="N33491" s="1"/>
      <c r="V33491" s="5"/>
    </row>
    <row r="33492">
      <c r="N33492" s="1"/>
      <c r="V33492" s="5"/>
    </row>
    <row r="33493">
      <c r="N33493" s="1"/>
      <c r="V33493" s="5"/>
    </row>
    <row r="33494">
      <c r="N33494" s="1"/>
      <c r="V33494" s="5"/>
    </row>
    <row r="33495">
      <c r="N33495" s="1"/>
      <c r="V33495" s="5"/>
    </row>
    <row r="33496">
      <c r="N33496" s="1"/>
      <c r="V33496" s="5"/>
    </row>
    <row r="33497">
      <c r="N33497" s="1"/>
      <c r="V33497" s="5"/>
    </row>
    <row r="33498">
      <c r="N33498" s="1"/>
      <c r="V33498" s="5"/>
    </row>
    <row r="33499">
      <c r="N33499" s="1"/>
      <c r="V33499" s="5"/>
    </row>
    <row r="33500">
      <c r="N33500" s="1"/>
      <c r="V33500" s="5"/>
    </row>
    <row r="33501">
      <c r="N33501" s="1"/>
      <c r="V33501" s="5"/>
    </row>
    <row r="33502">
      <c r="N33502" s="1"/>
      <c r="V33502" s="5"/>
    </row>
    <row r="33503">
      <c r="N33503" s="1"/>
      <c r="V33503" s="5"/>
    </row>
    <row r="33504">
      <c r="N33504" s="1"/>
      <c r="V33504" s="5"/>
    </row>
    <row r="33505">
      <c r="N33505" s="1"/>
      <c r="V33505" s="5"/>
    </row>
    <row r="33506">
      <c r="N33506" s="1"/>
      <c r="V33506" s="5"/>
    </row>
    <row r="33507">
      <c r="N33507" s="1"/>
      <c r="V33507" s="5"/>
    </row>
    <row r="33508">
      <c r="N33508" s="1"/>
      <c r="V33508" s="5"/>
    </row>
    <row r="33509">
      <c r="N33509" s="1"/>
      <c r="V33509" s="5"/>
    </row>
    <row r="33510">
      <c r="N33510" s="1"/>
      <c r="V33510" s="5"/>
    </row>
    <row r="33511">
      <c r="N33511" s="1"/>
      <c r="V33511" s="5"/>
    </row>
    <row r="33512">
      <c r="N33512" s="1"/>
      <c r="V33512" s="5"/>
    </row>
    <row r="33513">
      <c r="N33513" s="1"/>
      <c r="V33513" s="5"/>
    </row>
    <row r="33514">
      <c r="N33514" s="1"/>
      <c r="V33514" s="5"/>
    </row>
    <row r="33515">
      <c r="N33515" s="1"/>
      <c r="V33515" s="5"/>
    </row>
    <row r="33516">
      <c r="N33516" s="1"/>
      <c r="V33516" s="5"/>
    </row>
    <row r="33517">
      <c r="N33517" s="1"/>
      <c r="V33517" s="5"/>
    </row>
    <row r="33518">
      <c r="N33518" s="1"/>
      <c r="V33518" s="5"/>
    </row>
    <row r="33519">
      <c r="N33519" s="1"/>
      <c r="V33519" s="5"/>
    </row>
    <row r="33520">
      <c r="N33520" s="1"/>
      <c r="V33520" s="5"/>
    </row>
    <row r="33521">
      <c r="N33521" s="1"/>
      <c r="V33521" s="5"/>
    </row>
    <row r="33522">
      <c r="N33522" s="1"/>
      <c r="V33522" s="5"/>
    </row>
    <row r="33523">
      <c r="N33523" s="1"/>
      <c r="V33523" s="5"/>
    </row>
    <row r="33524">
      <c r="N33524" s="1"/>
      <c r="V33524" s="5"/>
    </row>
    <row r="33525">
      <c r="N33525" s="1"/>
      <c r="V33525" s="5"/>
    </row>
    <row r="33526">
      <c r="N33526" s="1"/>
      <c r="V33526" s="5"/>
    </row>
    <row r="33527">
      <c r="N33527" s="1"/>
      <c r="V33527" s="5"/>
    </row>
    <row r="33528">
      <c r="N33528" s="1"/>
      <c r="V33528" s="5"/>
    </row>
    <row r="33529">
      <c r="N33529" s="1"/>
      <c r="V33529" s="5"/>
    </row>
    <row r="33530">
      <c r="N33530" s="1"/>
      <c r="V33530" s="5"/>
    </row>
    <row r="33531">
      <c r="N33531" s="1"/>
      <c r="V33531" s="5"/>
    </row>
    <row r="33532">
      <c r="N33532" s="1"/>
      <c r="V33532" s="5"/>
    </row>
    <row r="33533">
      <c r="N33533" s="1"/>
      <c r="V33533" s="5"/>
    </row>
    <row r="33534">
      <c r="N33534" s="1"/>
      <c r="V33534" s="5"/>
    </row>
    <row r="33535">
      <c r="N33535" s="1"/>
      <c r="V33535" s="5"/>
    </row>
    <row r="33536">
      <c r="N33536" s="1"/>
      <c r="V33536" s="5"/>
    </row>
    <row r="33537">
      <c r="N33537" s="1"/>
      <c r="V33537" s="5"/>
    </row>
    <row r="33538">
      <c r="N33538" s="1"/>
      <c r="V33538" s="5"/>
    </row>
    <row r="33539">
      <c r="N33539" s="1"/>
      <c r="V33539" s="5"/>
    </row>
    <row r="33540">
      <c r="N33540" s="1"/>
      <c r="V33540" s="5"/>
    </row>
    <row r="33541">
      <c r="N33541" s="1"/>
      <c r="V33541" s="5"/>
    </row>
    <row r="33542">
      <c r="N33542" s="1"/>
      <c r="V33542" s="5"/>
    </row>
    <row r="33543">
      <c r="N33543" s="1"/>
      <c r="V33543" s="5"/>
    </row>
    <row r="33544">
      <c r="N33544" s="1"/>
      <c r="V33544" s="5"/>
    </row>
    <row r="33545">
      <c r="N33545" s="1"/>
      <c r="V33545" s="5"/>
    </row>
    <row r="33546">
      <c r="N33546" s="1"/>
      <c r="V33546" s="5"/>
    </row>
    <row r="33547">
      <c r="N33547" s="1"/>
      <c r="V33547" s="5"/>
    </row>
    <row r="33548">
      <c r="N33548" s="1"/>
      <c r="V33548" s="5"/>
    </row>
    <row r="33549">
      <c r="N33549" s="1"/>
      <c r="V33549" s="5"/>
    </row>
    <row r="33550">
      <c r="N33550" s="1"/>
      <c r="V33550" s="5"/>
    </row>
    <row r="33551">
      <c r="N33551" s="1"/>
      <c r="V33551" s="5"/>
    </row>
    <row r="33552">
      <c r="N33552" s="1"/>
      <c r="V33552" s="5"/>
    </row>
    <row r="33553">
      <c r="N33553" s="1"/>
      <c r="V33553" s="5"/>
    </row>
    <row r="33554">
      <c r="N33554" s="1"/>
      <c r="V33554" s="5"/>
    </row>
    <row r="33555">
      <c r="N33555" s="1"/>
      <c r="V33555" s="5"/>
    </row>
    <row r="33556">
      <c r="N33556" s="1"/>
      <c r="V33556" s="5"/>
    </row>
    <row r="33557">
      <c r="N33557" s="1"/>
      <c r="V33557" s="5"/>
    </row>
    <row r="33558">
      <c r="N33558" s="1"/>
      <c r="V33558" s="5"/>
    </row>
    <row r="33559">
      <c r="N33559" s="1"/>
      <c r="V33559" s="5"/>
    </row>
    <row r="33560">
      <c r="N33560" s="1"/>
      <c r="V33560" s="5"/>
    </row>
    <row r="33561">
      <c r="N33561" s="1"/>
      <c r="V33561" s="5"/>
    </row>
    <row r="33562">
      <c r="N33562" s="1"/>
      <c r="V33562" s="5"/>
    </row>
    <row r="33563">
      <c r="N33563" s="1"/>
      <c r="V33563" s="5"/>
    </row>
    <row r="33564">
      <c r="N33564" s="1"/>
      <c r="V33564" s="5"/>
    </row>
    <row r="33565">
      <c r="N33565" s="1"/>
      <c r="V33565" s="5"/>
    </row>
    <row r="33566">
      <c r="N33566" s="1"/>
      <c r="V33566" s="5"/>
    </row>
    <row r="33567">
      <c r="N33567" s="1"/>
      <c r="V33567" s="5"/>
    </row>
    <row r="33568">
      <c r="N33568" s="1"/>
      <c r="V33568" s="5"/>
    </row>
    <row r="33569">
      <c r="N33569" s="1"/>
      <c r="V33569" s="5"/>
    </row>
    <row r="33570">
      <c r="N33570" s="1"/>
      <c r="V33570" s="5"/>
    </row>
    <row r="33571">
      <c r="N33571" s="1"/>
      <c r="V33571" s="5"/>
    </row>
    <row r="33572">
      <c r="N33572" s="1"/>
      <c r="V33572" s="5"/>
    </row>
    <row r="33573">
      <c r="N33573" s="1"/>
      <c r="V33573" s="5"/>
    </row>
    <row r="33574">
      <c r="N33574" s="1"/>
      <c r="V33574" s="5"/>
    </row>
    <row r="33575">
      <c r="N33575" s="1"/>
      <c r="V33575" s="5"/>
    </row>
    <row r="33576">
      <c r="N33576" s="1"/>
      <c r="V33576" s="5"/>
    </row>
    <row r="33577">
      <c r="N33577" s="1"/>
      <c r="V33577" s="5"/>
    </row>
    <row r="33578">
      <c r="N33578" s="1"/>
      <c r="V33578" s="5"/>
    </row>
    <row r="33579">
      <c r="N33579" s="1"/>
      <c r="V33579" s="5"/>
    </row>
    <row r="33580">
      <c r="N33580" s="1"/>
      <c r="V33580" s="5"/>
    </row>
    <row r="33581">
      <c r="N33581" s="1"/>
      <c r="V33581" s="5"/>
    </row>
    <row r="33582">
      <c r="N33582" s="1"/>
      <c r="V33582" s="5"/>
    </row>
    <row r="33583">
      <c r="N33583" s="1"/>
      <c r="V33583" s="5"/>
    </row>
    <row r="33584">
      <c r="N33584" s="1"/>
      <c r="V33584" s="5"/>
    </row>
    <row r="33585">
      <c r="N33585" s="1"/>
      <c r="V33585" s="5"/>
    </row>
    <row r="33586">
      <c r="N33586" s="1"/>
      <c r="V33586" s="5"/>
    </row>
    <row r="33587">
      <c r="N33587" s="1"/>
      <c r="V33587" s="5"/>
    </row>
    <row r="33588">
      <c r="N33588" s="1"/>
      <c r="V33588" s="5"/>
    </row>
    <row r="33589">
      <c r="N33589" s="1"/>
      <c r="V33589" s="5"/>
    </row>
    <row r="33590">
      <c r="N33590" s="1"/>
      <c r="V33590" s="5"/>
    </row>
    <row r="33591">
      <c r="N33591" s="1"/>
      <c r="V33591" s="5"/>
    </row>
    <row r="33592">
      <c r="N33592" s="1"/>
      <c r="V33592" s="5"/>
    </row>
    <row r="33593">
      <c r="N33593" s="1"/>
      <c r="V33593" s="5"/>
    </row>
    <row r="33594">
      <c r="N33594" s="1"/>
      <c r="V33594" s="5"/>
    </row>
    <row r="33595">
      <c r="N33595" s="1"/>
      <c r="V33595" s="5"/>
    </row>
    <row r="33596">
      <c r="N33596" s="1"/>
      <c r="V33596" s="5"/>
    </row>
    <row r="33597">
      <c r="N33597" s="1"/>
      <c r="V33597" s="5"/>
    </row>
    <row r="33598">
      <c r="N33598" s="1"/>
      <c r="V33598" s="5"/>
    </row>
    <row r="33599">
      <c r="N33599" s="1"/>
      <c r="V33599" s="5"/>
    </row>
    <row r="33600">
      <c r="N33600" s="1"/>
      <c r="V33600" s="5"/>
    </row>
    <row r="33601">
      <c r="N33601" s="1"/>
      <c r="V33601" s="5"/>
    </row>
    <row r="33602">
      <c r="N33602" s="1"/>
      <c r="V33602" s="5"/>
    </row>
    <row r="33603">
      <c r="N33603" s="1"/>
      <c r="V33603" s="5"/>
    </row>
    <row r="33604">
      <c r="N33604" s="1"/>
      <c r="V33604" s="5"/>
    </row>
    <row r="33605">
      <c r="N33605" s="1"/>
      <c r="V33605" s="5"/>
    </row>
    <row r="33606">
      <c r="N33606" s="1"/>
      <c r="V33606" s="5"/>
    </row>
    <row r="33607">
      <c r="N33607" s="1"/>
      <c r="V33607" s="5"/>
    </row>
    <row r="33608">
      <c r="N33608" s="1"/>
      <c r="V33608" s="5"/>
    </row>
    <row r="33609">
      <c r="N33609" s="1"/>
      <c r="V33609" s="5"/>
    </row>
    <row r="33610">
      <c r="N33610" s="1"/>
      <c r="V33610" s="5"/>
    </row>
    <row r="33611">
      <c r="N33611" s="1"/>
      <c r="V33611" s="5"/>
    </row>
    <row r="33612">
      <c r="N33612" s="1"/>
      <c r="V33612" s="5"/>
    </row>
    <row r="33613">
      <c r="N33613" s="1"/>
      <c r="V33613" s="5"/>
    </row>
    <row r="33614">
      <c r="N33614" s="1"/>
      <c r="V33614" s="5"/>
    </row>
    <row r="33615">
      <c r="N33615" s="1"/>
      <c r="V33615" s="5"/>
    </row>
    <row r="33616">
      <c r="N33616" s="1"/>
      <c r="V33616" s="5"/>
    </row>
    <row r="33617">
      <c r="N33617" s="1"/>
      <c r="V33617" s="5"/>
    </row>
    <row r="33618">
      <c r="N33618" s="1"/>
      <c r="V33618" s="5"/>
    </row>
    <row r="33619">
      <c r="N33619" s="1"/>
      <c r="V33619" s="5"/>
    </row>
    <row r="33620">
      <c r="N33620" s="1"/>
      <c r="V33620" s="5"/>
    </row>
    <row r="33621">
      <c r="N33621" s="1"/>
      <c r="V33621" s="5"/>
    </row>
    <row r="33622">
      <c r="N33622" s="1"/>
      <c r="V33622" s="5"/>
    </row>
    <row r="33623">
      <c r="N33623" s="1"/>
      <c r="V33623" s="5"/>
    </row>
    <row r="33624">
      <c r="N33624" s="1"/>
      <c r="V33624" s="5"/>
    </row>
    <row r="33625">
      <c r="N33625" s="1"/>
      <c r="V33625" s="5"/>
    </row>
    <row r="33626">
      <c r="N33626" s="1"/>
      <c r="V33626" s="5"/>
    </row>
    <row r="33627">
      <c r="N33627" s="1"/>
      <c r="V33627" s="5"/>
    </row>
    <row r="33628">
      <c r="N33628" s="1"/>
      <c r="V33628" s="5"/>
    </row>
    <row r="33629">
      <c r="N33629" s="1"/>
      <c r="V33629" s="5"/>
    </row>
    <row r="33630">
      <c r="N33630" s="1"/>
      <c r="V33630" s="5"/>
    </row>
    <row r="33631">
      <c r="N33631" s="1"/>
      <c r="V33631" s="5"/>
    </row>
    <row r="33632">
      <c r="N33632" s="1"/>
      <c r="V33632" s="5"/>
    </row>
    <row r="33633">
      <c r="N33633" s="1"/>
      <c r="V33633" s="5"/>
    </row>
    <row r="33634">
      <c r="N33634" s="1"/>
      <c r="V33634" s="5"/>
    </row>
    <row r="33635">
      <c r="N33635" s="1"/>
      <c r="V33635" s="5"/>
    </row>
    <row r="33636">
      <c r="N33636" s="1"/>
      <c r="V33636" s="5"/>
    </row>
    <row r="33637">
      <c r="N33637" s="1"/>
      <c r="V33637" s="5"/>
    </row>
    <row r="33638">
      <c r="N33638" s="1"/>
      <c r="V33638" s="5"/>
    </row>
    <row r="33639">
      <c r="N33639" s="1"/>
      <c r="V33639" s="5"/>
    </row>
    <row r="33640">
      <c r="N33640" s="1"/>
      <c r="V33640" s="5"/>
    </row>
    <row r="33641">
      <c r="N33641" s="1"/>
      <c r="V33641" s="5"/>
    </row>
    <row r="33642">
      <c r="N33642" s="1"/>
      <c r="V33642" s="5"/>
    </row>
    <row r="33643">
      <c r="N33643" s="1"/>
      <c r="V33643" s="5"/>
    </row>
    <row r="33644">
      <c r="N33644" s="1"/>
      <c r="V33644" s="5"/>
    </row>
    <row r="33645">
      <c r="N33645" s="1"/>
      <c r="V33645" s="5"/>
    </row>
    <row r="33646">
      <c r="N33646" s="1"/>
      <c r="V33646" s="5"/>
    </row>
    <row r="33647">
      <c r="N33647" s="1"/>
      <c r="V33647" s="5"/>
    </row>
    <row r="33648">
      <c r="N33648" s="1"/>
      <c r="V33648" s="5"/>
    </row>
    <row r="33649">
      <c r="N33649" s="1"/>
      <c r="V33649" s="5"/>
    </row>
    <row r="33650">
      <c r="N33650" s="1"/>
      <c r="V33650" s="5"/>
    </row>
    <row r="33651">
      <c r="N33651" s="1"/>
      <c r="V33651" s="5"/>
    </row>
    <row r="33652">
      <c r="N33652" s="1"/>
      <c r="V33652" s="5"/>
    </row>
    <row r="33653">
      <c r="N33653" s="1"/>
      <c r="V33653" s="5"/>
    </row>
    <row r="33654">
      <c r="N33654" s="1"/>
      <c r="V33654" s="5"/>
    </row>
    <row r="33655">
      <c r="N33655" s="1"/>
      <c r="V33655" s="5"/>
    </row>
    <row r="33656">
      <c r="N33656" s="1"/>
      <c r="V33656" s="5"/>
    </row>
    <row r="33657">
      <c r="N33657" s="1"/>
      <c r="V33657" s="5"/>
    </row>
    <row r="33658">
      <c r="N33658" s="1"/>
      <c r="V33658" s="5"/>
    </row>
    <row r="33659">
      <c r="N33659" s="1"/>
      <c r="V33659" s="5"/>
    </row>
    <row r="33660">
      <c r="N33660" s="1"/>
      <c r="V33660" s="5"/>
    </row>
    <row r="33661">
      <c r="N33661" s="1"/>
      <c r="V33661" s="5"/>
    </row>
    <row r="33662">
      <c r="N33662" s="1"/>
      <c r="V33662" s="5"/>
    </row>
    <row r="33663">
      <c r="N33663" s="1"/>
      <c r="V33663" s="5"/>
    </row>
    <row r="33664">
      <c r="N33664" s="1"/>
      <c r="V33664" s="5"/>
    </row>
    <row r="33665">
      <c r="N33665" s="1"/>
      <c r="V33665" s="5"/>
    </row>
    <row r="33666">
      <c r="N33666" s="1"/>
      <c r="V33666" s="5"/>
    </row>
    <row r="33667">
      <c r="N33667" s="1"/>
      <c r="V33667" s="5"/>
    </row>
    <row r="33668">
      <c r="N33668" s="1"/>
      <c r="V33668" s="5"/>
    </row>
    <row r="33669">
      <c r="N33669" s="1"/>
      <c r="V33669" s="5"/>
    </row>
    <row r="33670">
      <c r="N33670" s="1"/>
      <c r="V33670" s="5"/>
    </row>
    <row r="33671">
      <c r="N33671" s="1"/>
      <c r="V33671" s="5"/>
    </row>
    <row r="33672">
      <c r="N33672" s="1"/>
      <c r="V33672" s="5"/>
    </row>
    <row r="33673">
      <c r="N33673" s="1"/>
      <c r="V33673" s="5"/>
    </row>
    <row r="33674">
      <c r="N33674" s="1"/>
      <c r="V33674" s="5"/>
    </row>
    <row r="33675">
      <c r="N33675" s="1"/>
      <c r="V33675" s="5"/>
    </row>
    <row r="33676">
      <c r="N33676" s="1"/>
      <c r="V33676" s="5"/>
    </row>
    <row r="33677">
      <c r="N33677" s="1"/>
      <c r="V33677" s="5"/>
    </row>
    <row r="33678">
      <c r="N33678" s="1"/>
      <c r="V33678" s="5"/>
    </row>
    <row r="33679">
      <c r="N33679" s="1"/>
      <c r="V33679" s="5"/>
    </row>
    <row r="33680">
      <c r="N33680" s="1"/>
      <c r="V33680" s="5"/>
    </row>
    <row r="33681">
      <c r="N33681" s="1"/>
      <c r="V33681" s="5"/>
    </row>
    <row r="33682">
      <c r="N33682" s="1"/>
      <c r="V33682" s="5"/>
    </row>
    <row r="33683">
      <c r="N33683" s="1"/>
      <c r="V33683" s="5"/>
    </row>
    <row r="33684">
      <c r="N33684" s="1"/>
      <c r="V33684" s="5"/>
    </row>
    <row r="33685">
      <c r="N33685" s="1"/>
      <c r="V33685" s="5"/>
    </row>
    <row r="33686">
      <c r="N33686" s="1"/>
      <c r="V33686" s="5"/>
    </row>
    <row r="33687">
      <c r="N33687" s="1"/>
      <c r="V33687" s="5"/>
    </row>
    <row r="33688">
      <c r="N33688" s="1"/>
      <c r="V33688" s="5"/>
    </row>
    <row r="33689">
      <c r="N33689" s="1"/>
      <c r="V33689" s="5"/>
    </row>
    <row r="33690">
      <c r="N33690" s="1"/>
      <c r="V33690" s="5"/>
    </row>
    <row r="33691">
      <c r="N33691" s="1"/>
      <c r="V33691" s="5"/>
    </row>
    <row r="33692">
      <c r="N33692" s="1"/>
      <c r="V33692" s="5"/>
    </row>
    <row r="33693">
      <c r="N33693" s="1"/>
      <c r="V33693" s="5"/>
    </row>
    <row r="33694">
      <c r="N33694" s="1"/>
      <c r="V33694" s="5"/>
    </row>
    <row r="33695">
      <c r="N33695" s="1"/>
      <c r="V33695" s="5"/>
    </row>
    <row r="33696">
      <c r="N33696" s="1"/>
      <c r="V33696" s="5"/>
    </row>
    <row r="33697">
      <c r="N33697" s="1"/>
      <c r="V33697" s="5"/>
    </row>
    <row r="33698">
      <c r="N33698" s="1"/>
      <c r="V33698" s="5"/>
    </row>
    <row r="33699">
      <c r="N33699" s="1"/>
      <c r="V33699" s="5"/>
    </row>
    <row r="33700">
      <c r="N33700" s="1"/>
      <c r="V33700" s="5"/>
    </row>
    <row r="33701">
      <c r="N33701" s="1"/>
      <c r="V33701" s="5"/>
    </row>
    <row r="33702">
      <c r="N33702" s="1"/>
      <c r="V33702" s="5"/>
    </row>
    <row r="33703">
      <c r="N33703" s="1"/>
      <c r="V33703" s="5"/>
    </row>
    <row r="33704">
      <c r="N33704" s="1"/>
      <c r="V33704" s="5"/>
    </row>
    <row r="33705">
      <c r="N33705" s="1"/>
      <c r="V33705" s="5"/>
    </row>
    <row r="33706">
      <c r="N33706" s="1"/>
      <c r="V33706" s="5"/>
    </row>
    <row r="33707">
      <c r="N33707" s="1"/>
      <c r="V33707" s="5"/>
    </row>
    <row r="33708">
      <c r="N33708" s="1"/>
      <c r="V33708" s="5"/>
    </row>
    <row r="33709">
      <c r="N33709" s="1"/>
      <c r="V33709" s="5"/>
    </row>
    <row r="33710">
      <c r="N33710" s="1"/>
      <c r="V33710" s="5"/>
    </row>
    <row r="33711">
      <c r="N33711" s="1"/>
      <c r="V33711" s="5"/>
    </row>
    <row r="33712">
      <c r="N33712" s="1"/>
      <c r="V33712" s="5"/>
    </row>
    <row r="33713">
      <c r="N33713" s="1"/>
      <c r="V33713" s="5"/>
    </row>
    <row r="33714">
      <c r="N33714" s="1"/>
      <c r="V33714" s="5"/>
    </row>
    <row r="33715">
      <c r="N33715" s="1"/>
      <c r="V33715" s="5"/>
    </row>
    <row r="33716">
      <c r="N33716" s="1"/>
      <c r="V33716" s="5"/>
    </row>
    <row r="33717">
      <c r="N33717" s="1"/>
      <c r="V33717" s="5"/>
    </row>
    <row r="33718">
      <c r="N33718" s="1"/>
      <c r="V33718" s="5"/>
    </row>
    <row r="33719">
      <c r="N33719" s="1"/>
      <c r="V33719" s="5"/>
    </row>
    <row r="33720">
      <c r="N33720" s="1"/>
      <c r="V33720" s="5"/>
    </row>
    <row r="33721">
      <c r="N33721" s="1"/>
      <c r="V33721" s="5"/>
    </row>
    <row r="33722">
      <c r="N33722" s="1"/>
      <c r="V33722" s="5"/>
    </row>
    <row r="33723">
      <c r="N33723" s="1"/>
      <c r="V33723" s="5"/>
    </row>
    <row r="33724">
      <c r="N33724" s="1"/>
      <c r="V33724" s="5"/>
    </row>
    <row r="33725">
      <c r="N33725" s="1"/>
      <c r="V33725" s="5"/>
    </row>
    <row r="33726">
      <c r="N33726" s="1"/>
      <c r="V33726" s="5"/>
    </row>
    <row r="33727">
      <c r="N33727" s="1"/>
      <c r="V33727" s="5"/>
    </row>
    <row r="33728">
      <c r="N33728" s="1"/>
      <c r="V33728" s="5"/>
    </row>
    <row r="33729">
      <c r="N33729" s="1"/>
      <c r="V33729" s="5"/>
    </row>
    <row r="33730">
      <c r="N33730" s="1"/>
      <c r="V33730" s="5"/>
    </row>
    <row r="33731">
      <c r="N33731" s="1"/>
      <c r="V33731" s="5"/>
    </row>
    <row r="33732">
      <c r="N33732" s="1"/>
      <c r="V33732" s="5"/>
    </row>
    <row r="33733">
      <c r="N33733" s="1"/>
      <c r="V33733" s="5"/>
    </row>
    <row r="33734">
      <c r="N33734" s="1"/>
      <c r="V33734" s="5"/>
    </row>
    <row r="33735">
      <c r="N33735" s="1"/>
      <c r="V33735" s="5"/>
    </row>
    <row r="33736">
      <c r="N33736" s="1"/>
      <c r="V33736" s="5"/>
    </row>
    <row r="33737">
      <c r="N33737" s="1"/>
      <c r="V33737" s="5"/>
    </row>
    <row r="33738">
      <c r="N33738" s="1"/>
      <c r="V33738" s="5"/>
    </row>
    <row r="33739">
      <c r="N33739" s="1"/>
      <c r="V33739" s="5"/>
    </row>
    <row r="33740">
      <c r="N33740" s="1"/>
      <c r="V33740" s="5"/>
    </row>
    <row r="33741">
      <c r="N33741" s="1"/>
      <c r="V33741" s="5"/>
    </row>
    <row r="33742">
      <c r="N33742" s="1"/>
      <c r="V33742" s="5"/>
    </row>
    <row r="33743">
      <c r="N33743" s="1"/>
      <c r="V33743" s="5"/>
    </row>
    <row r="33744">
      <c r="N33744" s="1"/>
      <c r="V33744" s="5"/>
    </row>
    <row r="33745">
      <c r="N33745" s="1"/>
      <c r="V33745" s="5"/>
    </row>
    <row r="33746">
      <c r="N33746" s="1"/>
      <c r="V33746" s="5"/>
    </row>
    <row r="33747">
      <c r="N33747" s="1"/>
      <c r="V33747" s="5"/>
    </row>
    <row r="33748">
      <c r="N33748" s="1"/>
      <c r="V33748" s="5"/>
    </row>
    <row r="33749">
      <c r="N33749" s="1"/>
      <c r="V33749" s="5"/>
    </row>
    <row r="33750">
      <c r="N33750" s="1"/>
      <c r="V33750" s="5"/>
    </row>
    <row r="33751">
      <c r="N33751" s="1"/>
      <c r="V33751" s="5"/>
    </row>
    <row r="33752">
      <c r="N33752" s="1"/>
      <c r="V33752" s="5"/>
    </row>
    <row r="33753">
      <c r="N33753" s="1"/>
      <c r="V33753" s="5"/>
    </row>
    <row r="33754">
      <c r="N33754" s="1"/>
      <c r="V33754" s="5"/>
    </row>
    <row r="33755">
      <c r="N33755" s="1"/>
      <c r="V33755" s="5"/>
    </row>
    <row r="33756">
      <c r="N33756" s="1"/>
      <c r="V33756" s="5"/>
    </row>
    <row r="33757">
      <c r="N33757" s="1"/>
      <c r="V33757" s="5"/>
    </row>
    <row r="33758">
      <c r="N33758" s="1"/>
      <c r="V33758" s="5"/>
    </row>
    <row r="33759">
      <c r="N33759" s="1"/>
      <c r="V33759" s="5"/>
    </row>
    <row r="33760">
      <c r="N33760" s="1"/>
      <c r="V33760" s="5"/>
    </row>
    <row r="33761">
      <c r="N33761" s="1"/>
      <c r="V33761" s="5"/>
    </row>
    <row r="33762">
      <c r="N33762" s="1"/>
      <c r="V33762" s="5"/>
    </row>
    <row r="33763">
      <c r="N33763" s="1"/>
      <c r="V33763" s="5"/>
    </row>
    <row r="33764">
      <c r="N33764" s="1"/>
      <c r="V33764" s="5"/>
    </row>
    <row r="33765">
      <c r="N33765" s="1"/>
      <c r="V33765" s="5"/>
    </row>
    <row r="33766">
      <c r="N33766" s="1"/>
      <c r="V33766" s="5"/>
    </row>
    <row r="33767">
      <c r="N33767" s="1"/>
      <c r="V33767" s="5"/>
    </row>
    <row r="33768">
      <c r="N33768" s="1"/>
      <c r="V33768" s="5"/>
    </row>
    <row r="33769">
      <c r="N33769" s="1"/>
      <c r="V33769" s="5"/>
    </row>
    <row r="33770">
      <c r="N33770" s="1"/>
      <c r="V33770" s="5"/>
    </row>
    <row r="33771">
      <c r="N33771" s="1"/>
      <c r="V33771" s="5"/>
    </row>
    <row r="33772">
      <c r="N33772" s="1"/>
      <c r="V33772" s="5"/>
    </row>
    <row r="33773">
      <c r="N33773" s="1"/>
      <c r="V33773" s="5"/>
    </row>
    <row r="33774">
      <c r="N33774" s="1"/>
      <c r="V33774" s="5"/>
    </row>
    <row r="33775">
      <c r="N33775" s="1"/>
      <c r="V33775" s="5"/>
    </row>
    <row r="33776">
      <c r="N33776" s="1"/>
      <c r="V33776" s="5"/>
    </row>
    <row r="33777">
      <c r="N33777" s="1"/>
      <c r="V33777" s="5"/>
    </row>
    <row r="33778">
      <c r="N33778" s="1"/>
      <c r="V33778" s="5"/>
    </row>
    <row r="33779">
      <c r="N33779" s="1"/>
      <c r="V33779" s="5"/>
    </row>
    <row r="33780">
      <c r="N33780" s="1"/>
      <c r="V33780" s="5"/>
    </row>
    <row r="33781">
      <c r="N33781" s="1"/>
      <c r="V33781" s="5"/>
    </row>
    <row r="33782">
      <c r="N33782" s="1"/>
      <c r="V33782" s="5"/>
    </row>
    <row r="33783">
      <c r="N33783" s="1"/>
      <c r="V33783" s="5"/>
    </row>
    <row r="33784">
      <c r="N33784" s="1"/>
      <c r="V33784" s="5"/>
    </row>
    <row r="33785">
      <c r="N33785" s="1"/>
      <c r="V33785" s="5"/>
    </row>
    <row r="33786">
      <c r="N33786" s="1"/>
      <c r="V33786" s="5"/>
    </row>
    <row r="33787">
      <c r="N33787" s="1"/>
      <c r="V33787" s="5"/>
    </row>
    <row r="33788">
      <c r="N33788" s="1"/>
      <c r="V33788" s="5"/>
    </row>
    <row r="33789">
      <c r="N33789" s="1"/>
      <c r="V33789" s="5"/>
    </row>
    <row r="33790">
      <c r="N33790" s="1"/>
      <c r="V33790" s="5"/>
    </row>
    <row r="33791">
      <c r="N33791" s="1"/>
      <c r="V33791" s="5"/>
    </row>
    <row r="33792">
      <c r="N33792" s="1"/>
      <c r="V33792" s="5"/>
    </row>
    <row r="33793">
      <c r="N33793" s="1"/>
      <c r="V33793" s="5"/>
    </row>
    <row r="33794">
      <c r="N33794" s="1"/>
      <c r="V33794" s="5"/>
    </row>
    <row r="33795">
      <c r="N33795" s="1"/>
      <c r="V33795" s="5"/>
    </row>
    <row r="33796">
      <c r="N33796" s="1"/>
      <c r="V33796" s="5"/>
    </row>
    <row r="33797">
      <c r="N33797" s="1"/>
      <c r="V33797" s="5"/>
    </row>
    <row r="33798">
      <c r="N33798" s="1"/>
      <c r="V33798" s="5"/>
    </row>
    <row r="33799">
      <c r="N33799" s="1"/>
      <c r="V33799" s="5"/>
    </row>
    <row r="33800">
      <c r="N33800" s="1"/>
      <c r="V33800" s="5"/>
    </row>
    <row r="33801">
      <c r="N33801" s="1"/>
      <c r="V33801" s="5"/>
    </row>
    <row r="33802">
      <c r="N33802" s="1"/>
      <c r="V33802" s="5"/>
    </row>
    <row r="33803">
      <c r="N33803" s="1"/>
      <c r="V33803" s="5"/>
    </row>
    <row r="33804">
      <c r="N33804" s="1"/>
      <c r="V33804" s="5"/>
    </row>
    <row r="33805">
      <c r="N33805" s="1"/>
      <c r="V33805" s="5"/>
    </row>
    <row r="33806">
      <c r="N33806" s="1"/>
      <c r="V33806" s="5"/>
    </row>
    <row r="33807">
      <c r="N33807" s="1"/>
      <c r="V33807" s="5"/>
    </row>
    <row r="33808">
      <c r="N33808" s="1"/>
      <c r="V33808" s="5"/>
    </row>
    <row r="33809">
      <c r="N33809" s="1"/>
      <c r="V33809" s="5"/>
    </row>
    <row r="33810">
      <c r="N33810" s="1"/>
      <c r="V33810" s="5"/>
    </row>
    <row r="33811">
      <c r="N33811" s="1"/>
      <c r="V33811" s="5"/>
    </row>
    <row r="33812">
      <c r="N33812" s="1"/>
      <c r="V33812" s="5"/>
    </row>
    <row r="33813">
      <c r="N33813" s="1"/>
      <c r="V33813" s="5"/>
    </row>
    <row r="33814">
      <c r="N33814" s="1"/>
      <c r="V33814" s="5"/>
    </row>
    <row r="33815">
      <c r="N33815" s="1"/>
      <c r="V33815" s="5"/>
    </row>
    <row r="33816">
      <c r="N33816" s="1"/>
      <c r="V33816" s="5"/>
    </row>
    <row r="33817">
      <c r="N33817" s="1"/>
      <c r="V33817" s="5"/>
    </row>
    <row r="33818">
      <c r="N33818" s="1"/>
      <c r="V33818" s="5"/>
    </row>
    <row r="33819">
      <c r="N33819" s="1"/>
      <c r="V33819" s="5"/>
    </row>
    <row r="33820">
      <c r="N33820" s="1"/>
      <c r="V33820" s="5"/>
    </row>
    <row r="33821">
      <c r="N33821" s="1"/>
      <c r="V33821" s="5"/>
    </row>
    <row r="33822">
      <c r="N33822" s="1"/>
      <c r="V33822" s="5"/>
    </row>
    <row r="33823">
      <c r="N33823" s="1"/>
      <c r="V33823" s="5"/>
    </row>
    <row r="33824">
      <c r="N33824" s="1"/>
      <c r="V33824" s="5"/>
    </row>
    <row r="33825">
      <c r="N33825" s="1"/>
      <c r="V33825" s="5"/>
    </row>
    <row r="33826">
      <c r="N33826" s="1"/>
      <c r="V33826" s="5"/>
    </row>
    <row r="33827">
      <c r="N33827" s="1"/>
      <c r="V33827" s="5"/>
    </row>
    <row r="33828">
      <c r="N33828" s="1"/>
      <c r="V33828" s="5"/>
    </row>
    <row r="33829">
      <c r="N33829" s="1"/>
      <c r="V33829" s="5"/>
    </row>
    <row r="33830">
      <c r="N33830" s="1"/>
      <c r="V33830" s="5"/>
    </row>
    <row r="33831">
      <c r="N33831" s="1"/>
      <c r="V33831" s="5"/>
    </row>
    <row r="33832">
      <c r="N33832" s="1"/>
      <c r="V33832" s="5"/>
    </row>
    <row r="33833">
      <c r="N33833" s="1"/>
      <c r="V33833" s="5"/>
    </row>
    <row r="33834">
      <c r="N33834" s="1"/>
      <c r="V33834" s="5"/>
    </row>
    <row r="33835">
      <c r="N33835" s="1"/>
      <c r="V33835" s="5"/>
    </row>
    <row r="33836">
      <c r="N33836" s="1"/>
      <c r="V33836" s="5"/>
    </row>
    <row r="33837">
      <c r="N33837" s="1"/>
      <c r="V33837" s="5"/>
    </row>
    <row r="33838">
      <c r="N33838" s="1"/>
      <c r="V33838" s="5"/>
    </row>
    <row r="33839">
      <c r="N33839" s="1"/>
      <c r="V33839" s="5"/>
    </row>
    <row r="33840">
      <c r="N33840" s="1"/>
      <c r="V33840" s="5"/>
    </row>
    <row r="33841">
      <c r="N33841" s="1"/>
      <c r="V33841" s="5"/>
    </row>
    <row r="33842">
      <c r="N33842" s="1"/>
      <c r="V33842" s="5"/>
    </row>
    <row r="33843">
      <c r="N33843" s="1"/>
      <c r="V33843" s="5"/>
    </row>
    <row r="33844">
      <c r="N33844" s="1"/>
      <c r="V33844" s="5"/>
    </row>
    <row r="33845">
      <c r="N33845" s="1"/>
      <c r="V33845" s="5"/>
    </row>
    <row r="33846">
      <c r="N33846" s="1"/>
      <c r="V33846" s="5"/>
    </row>
    <row r="33847">
      <c r="N33847" s="1"/>
      <c r="V33847" s="5"/>
    </row>
    <row r="33848">
      <c r="N33848" s="1"/>
      <c r="V33848" s="5"/>
    </row>
    <row r="33849">
      <c r="N33849" s="1"/>
      <c r="V33849" s="5"/>
    </row>
    <row r="33850">
      <c r="N33850" s="1"/>
      <c r="V33850" s="5"/>
    </row>
    <row r="33851">
      <c r="N33851" s="1"/>
      <c r="V33851" s="5"/>
    </row>
    <row r="33852">
      <c r="N33852" s="1"/>
      <c r="V33852" s="5"/>
    </row>
    <row r="33853">
      <c r="N33853" s="1"/>
      <c r="V33853" s="5"/>
    </row>
    <row r="33854">
      <c r="N33854" s="1"/>
      <c r="V33854" s="5"/>
    </row>
    <row r="33855">
      <c r="N33855" s="1"/>
      <c r="V33855" s="5"/>
    </row>
    <row r="33856">
      <c r="N33856" s="1"/>
      <c r="V33856" s="5"/>
    </row>
    <row r="33857">
      <c r="N33857" s="1"/>
      <c r="V33857" s="5"/>
    </row>
    <row r="33858">
      <c r="N33858" s="1"/>
      <c r="V33858" s="5"/>
    </row>
    <row r="33859">
      <c r="N33859" s="1"/>
      <c r="V33859" s="5"/>
    </row>
    <row r="33860">
      <c r="N33860" s="1"/>
      <c r="V33860" s="5"/>
    </row>
    <row r="33861">
      <c r="N33861" s="1"/>
      <c r="V33861" s="5"/>
    </row>
    <row r="33862">
      <c r="N33862" s="1"/>
      <c r="V33862" s="5"/>
    </row>
    <row r="33863">
      <c r="N33863" s="1"/>
      <c r="V33863" s="5"/>
    </row>
    <row r="33864">
      <c r="N33864" s="1"/>
      <c r="V33864" s="5"/>
    </row>
    <row r="33865">
      <c r="N33865" s="1"/>
      <c r="V33865" s="5"/>
    </row>
    <row r="33866">
      <c r="N33866" s="1"/>
      <c r="V33866" s="5"/>
    </row>
    <row r="33867">
      <c r="N33867" s="1"/>
      <c r="V33867" s="5"/>
    </row>
    <row r="33868">
      <c r="N33868" s="1"/>
      <c r="V33868" s="5"/>
    </row>
    <row r="33869">
      <c r="N33869" s="1"/>
      <c r="V33869" s="5"/>
    </row>
    <row r="33870">
      <c r="N33870" s="1"/>
      <c r="V33870" s="5"/>
    </row>
    <row r="33871">
      <c r="N33871" s="1"/>
      <c r="V33871" s="5"/>
    </row>
    <row r="33872">
      <c r="N33872" s="1"/>
      <c r="V33872" s="5"/>
    </row>
    <row r="33873">
      <c r="N33873" s="1"/>
      <c r="V33873" s="5"/>
    </row>
    <row r="33874">
      <c r="N33874" s="1"/>
      <c r="V33874" s="5"/>
    </row>
    <row r="33875">
      <c r="N33875" s="1"/>
      <c r="V33875" s="5"/>
    </row>
    <row r="33876">
      <c r="N33876" s="1"/>
      <c r="V33876" s="5"/>
    </row>
    <row r="33877">
      <c r="N33877" s="1"/>
      <c r="V33877" s="5"/>
    </row>
    <row r="33878">
      <c r="N33878" s="1"/>
      <c r="V33878" s="5"/>
    </row>
    <row r="33879">
      <c r="N33879" s="1"/>
      <c r="V33879" s="5"/>
    </row>
    <row r="33880">
      <c r="N33880" s="1"/>
      <c r="V33880" s="5"/>
    </row>
    <row r="33881">
      <c r="N33881" s="1"/>
      <c r="V33881" s="5"/>
    </row>
    <row r="33882">
      <c r="N33882" s="1"/>
      <c r="V33882" s="5"/>
    </row>
    <row r="33883">
      <c r="N33883" s="1"/>
      <c r="V33883" s="5"/>
    </row>
    <row r="33884">
      <c r="N33884" s="1"/>
      <c r="V33884" s="5"/>
    </row>
    <row r="33885">
      <c r="N33885" s="1"/>
      <c r="V33885" s="5"/>
    </row>
    <row r="33886">
      <c r="N33886" s="1"/>
      <c r="V33886" s="5"/>
    </row>
    <row r="33887">
      <c r="N33887" s="1"/>
      <c r="V33887" s="5"/>
    </row>
    <row r="33888">
      <c r="N33888" s="1"/>
      <c r="V33888" s="5"/>
    </row>
    <row r="33889">
      <c r="N33889" s="1"/>
      <c r="V33889" s="5"/>
    </row>
    <row r="33890">
      <c r="N33890" s="1"/>
      <c r="V33890" s="5"/>
    </row>
    <row r="33891">
      <c r="N33891" s="1"/>
      <c r="V33891" s="5"/>
    </row>
    <row r="33892">
      <c r="N33892" s="1"/>
      <c r="V33892" s="5"/>
    </row>
    <row r="33893">
      <c r="N33893" s="1"/>
      <c r="V33893" s="5"/>
    </row>
    <row r="33894">
      <c r="N33894" s="1"/>
      <c r="V33894" s="5"/>
    </row>
    <row r="33895">
      <c r="N33895" s="1"/>
      <c r="V33895" s="5"/>
    </row>
    <row r="33896">
      <c r="N33896" s="1"/>
      <c r="V33896" s="5"/>
    </row>
    <row r="33897">
      <c r="N33897" s="1"/>
      <c r="V33897" s="5"/>
    </row>
    <row r="33898">
      <c r="N33898" s="1"/>
      <c r="V33898" s="5"/>
    </row>
    <row r="33899">
      <c r="N33899" s="1"/>
      <c r="V33899" s="5"/>
    </row>
    <row r="33900">
      <c r="N33900" s="1"/>
      <c r="V33900" s="5"/>
    </row>
    <row r="33901">
      <c r="N33901" s="1"/>
      <c r="V33901" s="5"/>
    </row>
    <row r="33902">
      <c r="N33902" s="1"/>
      <c r="V33902" s="5"/>
    </row>
    <row r="33903">
      <c r="N33903" s="1"/>
      <c r="V33903" s="5"/>
    </row>
    <row r="33904">
      <c r="N33904" s="1"/>
      <c r="V33904" s="5"/>
    </row>
    <row r="33905">
      <c r="N33905" s="1"/>
      <c r="V33905" s="5"/>
    </row>
    <row r="33906">
      <c r="N33906" s="1"/>
      <c r="V33906" s="5"/>
    </row>
    <row r="33907">
      <c r="N33907" s="1"/>
      <c r="V33907" s="5"/>
    </row>
    <row r="33908">
      <c r="N33908" s="1"/>
      <c r="V33908" s="5"/>
    </row>
    <row r="33909">
      <c r="N33909" s="1"/>
      <c r="V33909" s="5"/>
    </row>
    <row r="33910">
      <c r="N33910" s="1"/>
      <c r="V33910" s="5"/>
    </row>
    <row r="33911">
      <c r="N33911" s="1"/>
      <c r="V33911" s="5"/>
    </row>
    <row r="33912">
      <c r="N33912" s="1"/>
      <c r="V33912" s="5"/>
    </row>
    <row r="33913">
      <c r="N33913" s="1"/>
      <c r="V33913" s="5"/>
    </row>
    <row r="33914">
      <c r="N33914" s="1"/>
      <c r="V33914" s="5"/>
    </row>
    <row r="33915">
      <c r="N33915" s="1"/>
      <c r="V33915" s="5"/>
    </row>
    <row r="33916">
      <c r="N33916" s="1"/>
      <c r="V33916" s="5"/>
    </row>
    <row r="33917">
      <c r="N33917" s="1"/>
      <c r="V33917" s="5"/>
    </row>
    <row r="33918">
      <c r="N33918" s="1"/>
      <c r="V33918" s="5"/>
    </row>
    <row r="33919">
      <c r="N33919" s="1"/>
      <c r="V33919" s="5"/>
    </row>
    <row r="33920">
      <c r="N33920" s="1"/>
      <c r="V33920" s="5"/>
    </row>
    <row r="33921">
      <c r="N33921" s="1"/>
      <c r="V33921" s="5"/>
    </row>
    <row r="33922">
      <c r="N33922" s="1"/>
      <c r="V33922" s="5"/>
    </row>
    <row r="33923">
      <c r="N33923" s="1"/>
      <c r="V33923" s="5"/>
    </row>
    <row r="33924">
      <c r="N33924" s="1"/>
      <c r="V33924" s="5"/>
    </row>
    <row r="33925">
      <c r="N33925" s="1"/>
      <c r="V33925" s="5"/>
    </row>
    <row r="33926">
      <c r="N33926" s="1"/>
      <c r="V33926" s="5"/>
    </row>
    <row r="33927">
      <c r="N33927" s="1"/>
      <c r="V33927" s="5"/>
    </row>
    <row r="33928">
      <c r="N33928" s="1"/>
      <c r="V33928" s="5"/>
    </row>
    <row r="33929">
      <c r="N33929" s="1"/>
      <c r="V33929" s="5"/>
    </row>
    <row r="33930">
      <c r="N33930" s="1"/>
      <c r="V33930" s="5"/>
    </row>
    <row r="33931">
      <c r="N33931" s="1"/>
      <c r="V33931" s="5"/>
    </row>
    <row r="33932">
      <c r="N33932" s="1"/>
      <c r="V33932" s="5"/>
    </row>
    <row r="33933">
      <c r="N33933" s="1"/>
      <c r="V33933" s="5"/>
    </row>
    <row r="33934">
      <c r="N33934" s="1"/>
      <c r="V33934" s="5"/>
    </row>
    <row r="33935">
      <c r="N33935" s="1"/>
      <c r="V33935" s="5"/>
    </row>
    <row r="33936">
      <c r="N33936" s="1"/>
      <c r="V33936" s="5"/>
    </row>
    <row r="33937">
      <c r="N33937" s="1"/>
      <c r="V33937" s="5"/>
    </row>
    <row r="33938">
      <c r="N33938" s="1"/>
      <c r="V33938" s="5"/>
    </row>
    <row r="33939">
      <c r="N33939" s="1"/>
      <c r="V33939" s="5"/>
    </row>
    <row r="33940">
      <c r="N33940" s="1"/>
      <c r="V33940" s="5"/>
    </row>
    <row r="33941">
      <c r="N33941" s="1"/>
      <c r="V33941" s="5"/>
    </row>
    <row r="33942">
      <c r="N33942" s="1"/>
      <c r="V33942" s="5"/>
    </row>
    <row r="33943">
      <c r="N33943" s="1"/>
      <c r="V33943" s="5"/>
    </row>
    <row r="33944">
      <c r="N33944" s="1"/>
      <c r="V33944" s="5"/>
    </row>
    <row r="33945">
      <c r="N33945" s="1"/>
      <c r="V33945" s="5"/>
    </row>
    <row r="33946">
      <c r="N33946" s="1"/>
      <c r="V33946" s="5"/>
    </row>
    <row r="33947">
      <c r="N33947" s="1"/>
      <c r="V33947" s="5"/>
    </row>
    <row r="33948">
      <c r="N33948" s="1"/>
      <c r="V33948" s="5"/>
    </row>
    <row r="33949">
      <c r="N33949" s="1"/>
      <c r="V33949" s="5"/>
    </row>
    <row r="33950">
      <c r="N33950" s="1"/>
      <c r="V33950" s="5"/>
    </row>
    <row r="33951">
      <c r="N33951" s="1"/>
      <c r="V33951" s="5"/>
    </row>
    <row r="33952">
      <c r="N33952" s="1"/>
      <c r="V33952" s="5"/>
    </row>
    <row r="33953">
      <c r="N33953" s="1"/>
      <c r="V33953" s="5"/>
    </row>
    <row r="33954">
      <c r="N33954" s="1"/>
      <c r="V33954" s="5"/>
    </row>
    <row r="33955">
      <c r="N33955" s="1"/>
      <c r="V33955" s="5"/>
    </row>
    <row r="33956">
      <c r="N33956" s="1"/>
      <c r="V33956" s="5"/>
    </row>
    <row r="33957">
      <c r="N33957" s="1"/>
      <c r="V33957" s="5"/>
    </row>
    <row r="33958">
      <c r="N33958" s="1"/>
      <c r="V33958" s="5"/>
    </row>
    <row r="33959">
      <c r="N33959" s="1"/>
      <c r="V33959" s="5"/>
    </row>
    <row r="33960">
      <c r="N33960" s="1"/>
      <c r="V33960" s="5"/>
    </row>
    <row r="33961">
      <c r="N33961" s="1"/>
      <c r="V33961" s="5"/>
    </row>
    <row r="33962">
      <c r="N33962" s="1"/>
      <c r="V33962" s="5"/>
    </row>
    <row r="33963">
      <c r="N33963" s="1"/>
      <c r="V33963" s="5"/>
    </row>
    <row r="33964">
      <c r="N33964" s="1"/>
      <c r="V33964" s="5"/>
    </row>
    <row r="33965">
      <c r="N33965" s="1"/>
      <c r="V33965" s="5"/>
    </row>
    <row r="33966">
      <c r="N33966" s="1"/>
      <c r="V33966" s="5"/>
    </row>
    <row r="33967">
      <c r="N33967" s="1"/>
      <c r="V33967" s="5"/>
    </row>
    <row r="33968">
      <c r="N33968" s="1"/>
      <c r="V33968" s="5"/>
    </row>
    <row r="33969">
      <c r="N33969" s="1"/>
      <c r="V33969" s="5"/>
    </row>
    <row r="33970">
      <c r="N33970" s="1"/>
      <c r="V33970" s="5"/>
    </row>
    <row r="33971">
      <c r="N33971" s="1"/>
      <c r="V33971" s="5"/>
    </row>
    <row r="33972">
      <c r="N33972" s="1"/>
      <c r="V33972" s="5"/>
    </row>
    <row r="33973">
      <c r="N33973" s="1"/>
      <c r="V33973" s="5"/>
    </row>
    <row r="33974">
      <c r="N33974" s="1"/>
      <c r="V33974" s="5"/>
    </row>
    <row r="33975">
      <c r="N33975" s="1"/>
      <c r="V33975" s="5"/>
    </row>
    <row r="33976">
      <c r="N33976" s="1"/>
      <c r="V33976" s="5"/>
    </row>
    <row r="33977">
      <c r="N33977" s="1"/>
      <c r="V33977" s="5"/>
    </row>
    <row r="33978">
      <c r="N33978" s="1"/>
      <c r="V33978" s="5"/>
    </row>
    <row r="33979">
      <c r="N33979" s="1"/>
      <c r="V33979" s="5"/>
    </row>
    <row r="33980">
      <c r="N33980" s="1"/>
      <c r="V33980" s="5"/>
    </row>
    <row r="33981">
      <c r="N33981" s="1"/>
      <c r="V33981" s="5"/>
    </row>
    <row r="33982">
      <c r="N33982" s="1"/>
      <c r="V33982" s="5"/>
    </row>
    <row r="33983">
      <c r="N33983" s="1"/>
      <c r="V33983" s="5"/>
    </row>
    <row r="33984">
      <c r="N33984" s="1"/>
      <c r="V33984" s="5"/>
    </row>
    <row r="33985">
      <c r="N33985" s="1"/>
      <c r="V33985" s="5"/>
    </row>
    <row r="33986">
      <c r="N33986" s="1"/>
      <c r="V33986" s="5"/>
    </row>
    <row r="33987">
      <c r="N33987" s="1"/>
      <c r="V33987" s="5"/>
    </row>
    <row r="33988">
      <c r="N33988" s="1"/>
      <c r="V33988" s="5"/>
    </row>
    <row r="33989">
      <c r="N33989" s="1"/>
      <c r="V33989" s="5"/>
    </row>
    <row r="33990">
      <c r="N33990" s="1"/>
      <c r="V33990" s="5"/>
    </row>
    <row r="33991">
      <c r="N33991" s="1"/>
      <c r="V33991" s="5"/>
    </row>
    <row r="33992">
      <c r="N33992" s="1"/>
      <c r="V33992" s="5"/>
    </row>
    <row r="33993">
      <c r="N33993" s="1"/>
      <c r="V33993" s="5"/>
    </row>
    <row r="33994">
      <c r="N33994" s="1"/>
      <c r="V33994" s="5"/>
    </row>
    <row r="33995">
      <c r="N33995" s="1"/>
      <c r="V33995" s="5"/>
    </row>
    <row r="33996">
      <c r="N33996" s="1"/>
      <c r="V33996" s="5"/>
    </row>
    <row r="33997">
      <c r="N33997" s="1"/>
      <c r="V33997" s="5"/>
    </row>
    <row r="33998">
      <c r="N33998" s="1"/>
      <c r="V33998" s="5"/>
    </row>
    <row r="33999">
      <c r="N33999" s="1"/>
      <c r="V33999" s="5"/>
    </row>
    <row r="34000">
      <c r="N34000" s="1"/>
      <c r="V34000" s="5"/>
    </row>
    <row r="34001">
      <c r="N34001" s="1"/>
      <c r="V34001" s="5"/>
    </row>
    <row r="34002">
      <c r="N34002" s="1"/>
      <c r="V34002" s="5"/>
    </row>
    <row r="34003">
      <c r="N34003" s="1"/>
      <c r="V34003" s="5"/>
    </row>
    <row r="34004">
      <c r="N34004" s="1"/>
      <c r="V34004" s="5"/>
    </row>
    <row r="34005">
      <c r="N34005" s="1"/>
      <c r="V34005" s="5"/>
    </row>
    <row r="34006">
      <c r="N34006" s="1"/>
      <c r="V34006" s="5"/>
    </row>
    <row r="34007">
      <c r="N34007" s="1"/>
      <c r="V34007" s="5"/>
    </row>
    <row r="34008">
      <c r="N34008" s="1"/>
      <c r="V34008" s="5"/>
    </row>
    <row r="34009">
      <c r="N34009" s="1"/>
      <c r="V34009" s="5"/>
    </row>
    <row r="34010">
      <c r="N34010" s="1"/>
      <c r="V34010" s="5"/>
    </row>
    <row r="34011">
      <c r="N34011" s="1"/>
      <c r="V34011" s="5"/>
    </row>
    <row r="34012">
      <c r="N34012" s="1"/>
      <c r="V34012" s="5"/>
    </row>
    <row r="34013">
      <c r="N34013" s="1"/>
      <c r="V34013" s="5"/>
    </row>
    <row r="34014">
      <c r="N34014" s="1"/>
      <c r="V34014" s="5"/>
    </row>
    <row r="34015">
      <c r="N34015" s="1"/>
      <c r="V34015" s="5"/>
    </row>
    <row r="34016">
      <c r="N34016" s="1"/>
      <c r="V34016" s="5"/>
    </row>
    <row r="34017">
      <c r="N34017" s="1"/>
      <c r="V34017" s="5"/>
    </row>
    <row r="34018">
      <c r="N34018" s="1"/>
      <c r="V34018" s="5"/>
    </row>
    <row r="34019">
      <c r="N34019" s="1"/>
      <c r="V34019" s="5"/>
    </row>
    <row r="34020">
      <c r="N34020" s="1"/>
      <c r="V34020" s="5"/>
    </row>
    <row r="34021">
      <c r="N34021" s="1"/>
      <c r="V34021" s="5"/>
    </row>
    <row r="34022">
      <c r="N34022" s="1"/>
      <c r="V34022" s="5"/>
    </row>
    <row r="34023">
      <c r="N34023" s="1"/>
      <c r="V34023" s="5"/>
    </row>
    <row r="34024">
      <c r="N34024" s="1"/>
      <c r="V34024" s="5"/>
    </row>
    <row r="34025">
      <c r="N34025" s="1"/>
      <c r="V34025" s="5"/>
    </row>
    <row r="34026">
      <c r="N34026" s="1"/>
      <c r="V34026" s="5"/>
    </row>
    <row r="34027">
      <c r="N34027" s="1"/>
      <c r="V34027" s="5"/>
    </row>
    <row r="34028">
      <c r="N34028" s="1"/>
      <c r="V34028" s="5"/>
    </row>
    <row r="34029">
      <c r="N34029" s="1"/>
      <c r="V34029" s="5"/>
    </row>
    <row r="34030">
      <c r="N34030" s="1"/>
      <c r="V34030" s="5"/>
    </row>
    <row r="34031">
      <c r="N34031" s="1"/>
      <c r="V34031" s="5"/>
    </row>
    <row r="34032">
      <c r="N34032" s="1"/>
      <c r="V34032" s="5"/>
    </row>
    <row r="34033">
      <c r="N34033" s="1"/>
      <c r="V34033" s="5"/>
    </row>
    <row r="34034">
      <c r="N34034" s="1"/>
      <c r="V34034" s="5"/>
    </row>
    <row r="34035">
      <c r="N34035" s="1"/>
      <c r="V34035" s="5"/>
    </row>
    <row r="34036">
      <c r="N34036" s="1"/>
      <c r="V34036" s="5"/>
    </row>
    <row r="34037">
      <c r="N34037" s="1"/>
      <c r="V34037" s="5"/>
    </row>
    <row r="34038">
      <c r="N34038" s="1"/>
      <c r="V34038" s="5"/>
    </row>
    <row r="34039">
      <c r="N34039" s="1"/>
      <c r="V34039" s="5"/>
    </row>
    <row r="34040">
      <c r="N34040" s="1"/>
      <c r="V34040" s="5"/>
    </row>
    <row r="34041">
      <c r="N34041" s="1"/>
      <c r="V34041" s="5"/>
    </row>
    <row r="34042">
      <c r="N34042" s="1"/>
      <c r="V34042" s="5"/>
    </row>
    <row r="34043">
      <c r="N34043" s="1"/>
      <c r="V34043" s="5"/>
    </row>
    <row r="34044">
      <c r="N34044" s="1"/>
      <c r="V34044" s="5"/>
    </row>
    <row r="34045">
      <c r="N34045" s="1"/>
      <c r="V34045" s="5"/>
    </row>
    <row r="34046">
      <c r="N34046" s="1"/>
      <c r="V34046" s="5"/>
    </row>
    <row r="34047">
      <c r="N34047" s="1"/>
      <c r="V34047" s="5"/>
    </row>
    <row r="34048">
      <c r="N34048" s="1"/>
      <c r="V34048" s="5"/>
    </row>
    <row r="34049">
      <c r="N34049" s="1"/>
      <c r="V34049" s="5"/>
    </row>
    <row r="34050">
      <c r="N34050" s="1"/>
      <c r="V34050" s="5"/>
    </row>
    <row r="34051">
      <c r="N34051" s="1"/>
      <c r="V34051" s="5"/>
    </row>
    <row r="34052">
      <c r="N34052" s="1"/>
      <c r="V34052" s="5"/>
    </row>
    <row r="34053">
      <c r="N34053" s="1"/>
      <c r="V34053" s="5"/>
    </row>
    <row r="34054">
      <c r="N34054" s="1"/>
      <c r="V34054" s="5"/>
    </row>
    <row r="34055">
      <c r="N34055" s="1"/>
      <c r="V34055" s="5"/>
    </row>
    <row r="34056">
      <c r="N34056" s="1"/>
      <c r="V34056" s="5"/>
    </row>
    <row r="34057">
      <c r="N34057" s="1"/>
      <c r="V34057" s="5"/>
    </row>
    <row r="34058">
      <c r="N34058" s="1"/>
      <c r="V34058" s="5"/>
    </row>
    <row r="34059">
      <c r="N34059" s="1"/>
      <c r="V34059" s="5"/>
    </row>
    <row r="34060">
      <c r="N34060" s="1"/>
      <c r="V34060" s="5"/>
    </row>
    <row r="34061">
      <c r="N34061" s="1"/>
      <c r="V34061" s="5"/>
    </row>
    <row r="34062">
      <c r="N34062" s="1"/>
      <c r="V34062" s="5"/>
    </row>
    <row r="34063">
      <c r="N34063" s="1"/>
      <c r="V34063" s="5"/>
    </row>
    <row r="34064">
      <c r="N34064" s="1"/>
      <c r="V34064" s="5"/>
    </row>
    <row r="34065">
      <c r="N34065" s="1"/>
      <c r="V34065" s="5"/>
    </row>
    <row r="34066">
      <c r="N34066" s="1"/>
      <c r="V34066" s="5"/>
    </row>
    <row r="34067">
      <c r="N34067" s="1"/>
      <c r="V34067" s="5"/>
    </row>
    <row r="34068">
      <c r="N34068" s="1"/>
      <c r="V34068" s="5"/>
    </row>
    <row r="34069">
      <c r="N34069" s="1"/>
      <c r="V34069" s="5"/>
    </row>
    <row r="34070">
      <c r="N34070" s="1"/>
      <c r="V34070" s="5"/>
    </row>
    <row r="34071">
      <c r="N34071" s="1"/>
      <c r="V34071" s="5"/>
    </row>
    <row r="34072">
      <c r="N34072" s="1"/>
      <c r="V34072" s="5"/>
    </row>
    <row r="34073">
      <c r="N34073" s="1"/>
      <c r="V34073" s="5"/>
    </row>
    <row r="34074">
      <c r="N34074" s="1"/>
      <c r="V34074" s="5"/>
    </row>
    <row r="34075">
      <c r="N34075" s="1"/>
      <c r="V34075" s="5"/>
    </row>
    <row r="34076">
      <c r="N34076" s="1"/>
      <c r="V34076" s="5"/>
    </row>
    <row r="34077">
      <c r="N34077" s="1"/>
      <c r="V34077" s="5"/>
    </row>
    <row r="34078">
      <c r="N34078" s="1"/>
      <c r="V34078" s="5"/>
    </row>
    <row r="34079">
      <c r="N34079" s="1"/>
      <c r="V34079" s="5"/>
    </row>
    <row r="34080">
      <c r="N34080" s="1"/>
      <c r="V34080" s="5"/>
    </row>
    <row r="34081">
      <c r="N34081" s="1"/>
      <c r="V34081" s="5"/>
    </row>
    <row r="34082">
      <c r="N34082" s="1"/>
      <c r="V34082" s="5"/>
    </row>
    <row r="34083">
      <c r="N34083" s="1"/>
      <c r="V34083" s="5"/>
    </row>
    <row r="34084">
      <c r="N34084" s="1"/>
      <c r="V34084" s="5"/>
    </row>
    <row r="34085">
      <c r="N34085" s="1"/>
      <c r="V34085" s="5"/>
    </row>
    <row r="34086">
      <c r="N34086" s="1"/>
      <c r="V34086" s="5"/>
    </row>
    <row r="34087">
      <c r="N34087" s="1"/>
      <c r="V34087" s="5"/>
    </row>
    <row r="34088">
      <c r="N34088" s="1"/>
      <c r="V34088" s="5"/>
    </row>
    <row r="34089">
      <c r="N34089" s="1"/>
      <c r="V34089" s="5"/>
    </row>
    <row r="34090">
      <c r="N34090" s="1"/>
      <c r="V34090" s="5"/>
    </row>
    <row r="34091">
      <c r="N34091" s="1"/>
      <c r="V34091" s="5"/>
    </row>
    <row r="34092">
      <c r="N34092" s="1"/>
      <c r="V34092" s="5"/>
    </row>
    <row r="34093">
      <c r="N34093" s="1"/>
      <c r="V34093" s="5"/>
    </row>
    <row r="34094">
      <c r="N34094" s="1"/>
      <c r="V34094" s="5"/>
    </row>
    <row r="34095">
      <c r="N34095" s="1"/>
      <c r="V34095" s="5"/>
    </row>
    <row r="34096">
      <c r="N34096" s="1"/>
      <c r="V34096" s="5"/>
    </row>
    <row r="34097">
      <c r="N34097" s="1"/>
      <c r="V34097" s="5"/>
    </row>
    <row r="34098">
      <c r="N34098" s="1"/>
      <c r="V34098" s="5"/>
    </row>
    <row r="34099">
      <c r="N34099" s="1"/>
      <c r="V34099" s="5"/>
    </row>
    <row r="34100">
      <c r="N34100" s="1"/>
      <c r="V34100" s="5"/>
    </row>
    <row r="34101">
      <c r="N34101" s="1"/>
      <c r="V34101" s="5"/>
    </row>
    <row r="34102">
      <c r="N34102" s="1"/>
      <c r="V34102" s="5"/>
    </row>
    <row r="34103">
      <c r="N34103" s="1"/>
      <c r="V34103" s="5"/>
    </row>
    <row r="34104">
      <c r="N34104" s="1"/>
      <c r="V34104" s="5"/>
    </row>
    <row r="34105">
      <c r="N34105" s="1"/>
      <c r="V34105" s="5"/>
    </row>
    <row r="34106">
      <c r="N34106" s="1"/>
      <c r="V34106" s="5"/>
    </row>
    <row r="34107">
      <c r="N34107" s="1"/>
      <c r="V34107" s="5"/>
    </row>
    <row r="34108">
      <c r="N34108" s="1"/>
      <c r="V34108" s="5"/>
    </row>
    <row r="34109">
      <c r="N34109" s="1"/>
      <c r="V34109" s="5"/>
    </row>
    <row r="34110">
      <c r="N34110" s="1"/>
      <c r="V34110" s="5"/>
    </row>
    <row r="34111">
      <c r="N34111" s="1"/>
      <c r="V34111" s="5"/>
    </row>
    <row r="34112">
      <c r="N34112" s="1"/>
      <c r="V34112" s="5"/>
    </row>
    <row r="34113">
      <c r="N34113" s="1"/>
      <c r="V34113" s="5"/>
    </row>
    <row r="34114">
      <c r="N34114" s="1"/>
      <c r="V34114" s="5"/>
    </row>
    <row r="34115">
      <c r="N34115" s="1"/>
      <c r="V34115" s="5"/>
    </row>
    <row r="34116">
      <c r="N34116" s="1"/>
      <c r="V34116" s="5"/>
    </row>
    <row r="34117">
      <c r="N34117" s="1"/>
      <c r="V34117" s="5"/>
    </row>
    <row r="34118">
      <c r="N34118" s="1"/>
      <c r="V34118" s="5"/>
    </row>
    <row r="34119">
      <c r="N34119" s="1"/>
      <c r="V34119" s="5"/>
    </row>
    <row r="34120">
      <c r="N34120" s="1"/>
      <c r="V34120" s="5"/>
    </row>
    <row r="34121">
      <c r="N34121" s="1"/>
      <c r="V34121" s="5"/>
    </row>
    <row r="34122">
      <c r="N34122" s="1"/>
      <c r="V34122" s="5"/>
    </row>
    <row r="34123">
      <c r="N34123" s="1"/>
      <c r="V34123" s="5"/>
    </row>
    <row r="34124">
      <c r="N34124" s="1"/>
      <c r="V34124" s="5"/>
    </row>
    <row r="34125">
      <c r="N34125" s="1"/>
      <c r="V34125" s="5"/>
    </row>
    <row r="34126">
      <c r="N34126" s="1"/>
      <c r="V34126" s="5"/>
    </row>
    <row r="34127">
      <c r="N34127" s="1"/>
      <c r="V34127" s="5"/>
    </row>
    <row r="34128">
      <c r="N34128" s="1"/>
      <c r="V34128" s="5"/>
    </row>
    <row r="34129">
      <c r="N34129" s="1"/>
      <c r="V34129" s="5"/>
    </row>
    <row r="34130">
      <c r="N34130" s="1"/>
      <c r="V34130" s="5"/>
    </row>
    <row r="34131">
      <c r="N34131" s="1"/>
      <c r="V34131" s="5"/>
    </row>
    <row r="34132">
      <c r="N34132" s="1"/>
      <c r="V34132" s="5"/>
    </row>
    <row r="34133">
      <c r="N34133" s="1"/>
      <c r="V34133" s="5"/>
    </row>
    <row r="34134">
      <c r="N34134" s="1"/>
      <c r="V34134" s="5"/>
    </row>
    <row r="34135">
      <c r="N34135" s="1"/>
      <c r="V34135" s="5"/>
    </row>
    <row r="34136">
      <c r="N34136" s="1"/>
      <c r="V34136" s="5"/>
    </row>
    <row r="34137">
      <c r="N34137" s="1"/>
      <c r="V34137" s="5"/>
    </row>
    <row r="34138">
      <c r="N34138" s="1"/>
      <c r="V34138" s="5"/>
    </row>
    <row r="34139">
      <c r="N34139" s="1"/>
      <c r="V34139" s="5"/>
    </row>
    <row r="34140">
      <c r="N34140" s="1"/>
      <c r="V34140" s="5"/>
    </row>
    <row r="34141">
      <c r="N34141" s="1"/>
      <c r="V34141" s="5"/>
    </row>
    <row r="34142">
      <c r="N34142" s="1"/>
      <c r="V34142" s="5"/>
    </row>
    <row r="34143">
      <c r="N34143" s="1"/>
      <c r="V34143" s="5"/>
    </row>
    <row r="34144">
      <c r="N34144" s="1"/>
      <c r="V34144" s="5"/>
    </row>
    <row r="34145">
      <c r="N34145" s="1"/>
      <c r="V34145" s="5"/>
    </row>
    <row r="34146">
      <c r="N34146" s="1"/>
      <c r="V34146" s="5"/>
    </row>
    <row r="34147">
      <c r="N34147" s="1"/>
      <c r="V34147" s="5"/>
    </row>
    <row r="34148">
      <c r="N34148" s="1"/>
      <c r="V34148" s="5"/>
    </row>
    <row r="34149">
      <c r="N34149" s="1"/>
      <c r="V34149" s="5"/>
    </row>
    <row r="34150">
      <c r="N34150" s="1"/>
      <c r="V34150" s="5"/>
    </row>
    <row r="34151">
      <c r="N34151" s="1"/>
      <c r="V34151" s="5"/>
    </row>
    <row r="34152">
      <c r="N34152" s="1"/>
      <c r="V34152" s="5"/>
    </row>
    <row r="34153">
      <c r="N34153" s="1"/>
      <c r="V34153" s="5"/>
    </row>
    <row r="34154">
      <c r="N34154" s="1"/>
      <c r="V34154" s="5"/>
    </row>
    <row r="34155">
      <c r="N34155" s="1"/>
      <c r="V34155" s="5"/>
    </row>
    <row r="34156">
      <c r="N34156" s="1"/>
      <c r="V34156" s="5"/>
    </row>
    <row r="34157">
      <c r="N34157" s="1"/>
      <c r="V34157" s="5"/>
    </row>
    <row r="34158">
      <c r="N34158" s="1"/>
      <c r="V34158" s="5"/>
    </row>
    <row r="34159">
      <c r="N34159" s="1"/>
      <c r="V34159" s="5"/>
    </row>
    <row r="34160">
      <c r="N34160" s="1"/>
      <c r="V34160" s="5"/>
    </row>
    <row r="34161">
      <c r="N34161" s="1"/>
      <c r="V34161" s="5"/>
    </row>
    <row r="34162">
      <c r="N34162" s="1"/>
      <c r="V34162" s="5"/>
    </row>
    <row r="34163">
      <c r="N34163" s="1"/>
      <c r="V34163" s="5"/>
    </row>
    <row r="34164">
      <c r="N34164" s="1"/>
      <c r="V34164" s="5"/>
    </row>
    <row r="34165">
      <c r="N34165" s="1"/>
      <c r="V34165" s="5"/>
    </row>
    <row r="34166">
      <c r="N34166" s="1"/>
      <c r="V34166" s="5"/>
    </row>
    <row r="34167">
      <c r="N34167" s="1"/>
      <c r="V34167" s="5"/>
    </row>
    <row r="34168">
      <c r="N34168" s="1"/>
      <c r="V34168" s="5"/>
    </row>
    <row r="34169">
      <c r="N34169" s="1"/>
      <c r="V34169" s="5"/>
    </row>
    <row r="34170">
      <c r="N34170" s="1"/>
      <c r="V34170" s="5"/>
    </row>
    <row r="34171">
      <c r="N34171" s="1"/>
      <c r="V34171" s="5"/>
    </row>
    <row r="34172">
      <c r="N34172" s="1"/>
      <c r="V34172" s="5"/>
    </row>
    <row r="34173">
      <c r="N34173" s="1"/>
      <c r="V34173" s="5"/>
    </row>
    <row r="34174">
      <c r="N34174" s="1"/>
      <c r="V34174" s="5"/>
    </row>
    <row r="34175">
      <c r="N34175" s="1"/>
      <c r="V34175" s="5"/>
    </row>
    <row r="34176">
      <c r="N34176" s="1"/>
      <c r="V34176" s="5"/>
    </row>
    <row r="34177">
      <c r="N34177" s="1"/>
      <c r="V34177" s="5"/>
    </row>
    <row r="34178">
      <c r="N34178" s="1"/>
      <c r="V34178" s="5"/>
    </row>
    <row r="34179">
      <c r="N34179" s="1"/>
      <c r="V34179" s="5"/>
    </row>
    <row r="34180">
      <c r="N34180" s="1"/>
      <c r="V34180" s="5"/>
    </row>
    <row r="34181">
      <c r="N34181" s="1"/>
      <c r="V34181" s="5"/>
    </row>
    <row r="34182">
      <c r="N34182" s="1"/>
      <c r="V34182" s="5"/>
    </row>
    <row r="34183">
      <c r="N34183" s="1"/>
      <c r="V34183" s="5"/>
    </row>
    <row r="34184">
      <c r="N34184" s="1"/>
      <c r="V34184" s="5"/>
    </row>
    <row r="34185">
      <c r="N34185" s="1"/>
      <c r="V34185" s="5"/>
    </row>
    <row r="34186">
      <c r="N34186" s="1"/>
      <c r="V34186" s="5"/>
    </row>
    <row r="34187">
      <c r="N34187" s="1"/>
      <c r="V34187" s="5"/>
    </row>
    <row r="34188">
      <c r="N34188" s="1"/>
      <c r="V34188" s="5"/>
    </row>
    <row r="34189">
      <c r="N34189" s="1"/>
      <c r="V34189" s="5"/>
    </row>
    <row r="34190">
      <c r="N34190" s="1"/>
      <c r="V34190" s="5"/>
    </row>
    <row r="34191">
      <c r="N34191" s="1"/>
      <c r="V34191" s="5"/>
    </row>
    <row r="34192">
      <c r="N34192" s="1"/>
      <c r="V34192" s="5"/>
    </row>
    <row r="34193">
      <c r="N34193" s="1"/>
      <c r="V34193" s="5"/>
    </row>
    <row r="34194">
      <c r="N34194" s="1"/>
      <c r="V34194" s="5"/>
    </row>
    <row r="34195">
      <c r="N34195" s="1"/>
      <c r="V34195" s="5"/>
    </row>
    <row r="34196">
      <c r="N34196" s="1"/>
      <c r="V34196" s="5"/>
    </row>
    <row r="34197">
      <c r="N34197" s="1"/>
      <c r="V34197" s="5"/>
    </row>
    <row r="34198">
      <c r="N34198" s="1"/>
      <c r="V34198" s="5"/>
    </row>
    <row r="34199">
      <c r="N34199" s="1"/>
      <c r="V34199" s="5"/>
    </row>
    <row r="34200">
      <c r="N34200" s="1"/>
      <c r="V34200" s="5"/>
    </row>
    <row r="34201">
      <c r="N34201" s="1"/>
      <c r="V34201" s="5"/>
    </row>
    <row r="34202">
      <c r="N34202" s="1"/>
      <c r="V34202" s="5"/>
    </row>
    <row r="34203">
      <c r="N34203" s="1"/>
      <c r="V34203" s="5"/>
    </row>
    <row r="34204">
      <c r="N34204" s="1"/>
      <c r="V34204" s="5"/>
    </row>
    <row r="34205">
      <c r="N34205" s="1"/>
      <c r="V34205" s="5"/>
    </row>
    <row r="34206">
      <c r="N34206" s="1"/>
      <c r="V34206" s="5"/>
    </row>
    <row r="34207">
      <c r="N34207" s="1"/>
      <c r="V34207" s="5"/>
    </row>
    <row r="34208">
      <c r="N34208" s="1"/>
      <c r="V34208" s="5"/>
    </row>
    <row r="34209">
      <c r="N34209" s="1"/>
      <c r="V34209" s="5"/>
    </row>
    <row r="34210">
      <c r="N34210" s="1"/>
      <c r="V34210" s="5"/>
    </row>
    <row r="34211">
      <c r="N34211" s="1"/>
      <c r="V34211" s="5"/>
    </row>
    <row r="34212">
      <c r="N34212" s="1"/>
      <c r="V34212" s="5"/>
    </row>
    <row r="34213">
      <c r="N34213" s="1"/>
      <c r="V34213" s="5"/>
    </row>
    <row r="34214">
      <c r="N34214" s="1"/>
      <c r="V34214" s="5"/>
    </row>
    <row r="34215">
      <c r="N34215" s="1"/>
      <c r="V34215" s="5"/>
    </row>
    <row r="34216">
      <c r="N34216" s="1"/>
      <c r="V34216" s="5"/>
    </row>
    <row r="34217">
      <c r="N34217" s="1"/>
      <c r="V34217" s="5"/>
    </row>
    <row r="34218">
      <c r="N34218" s="1"/>
      <c r="V34218" s="5"/>
    </row>
    <row r="34219">
      <c r="N34219" s="1"/>
      <c r="V34219" s="5"/>
    </row>
    <row r="34220">
      <c r="N34220" s="1"/>
      <c r="V34220" s="5"/>
    </row>
    <row r="34221">
      <c r="N34221" s="1"/>
      <c r="V34221" s="5"/>
    </row>
    <row r="34222">
      <c r="N34222" s="1"/>
      <c r="V34222" s="5"/>
    </row>
    <row r="34223">
      <c r="N34223" s="1"/>
      <c r="V34223" s="5"/>
    </row>
    <row r="34224">
      <c r="N34224" s="1"/>
      <c r="V34224" s="5"/>
    </row>
    <row r="34225">
      <c r="N34225" s="1"/>
      <c r="V34225" s="5"/>
    </row>
    <row r="34226">
      <c r="N34226" s="1"/>
      <c r="V34226" s="5"/>
    </row>
    <row r="34227">
      <c r="N34227" s="1"/>
      <c r="V34227" s="5"/>
    </row>
    <row r="34228">
      <c r="N34228" s="1"/>
      <c r="V34228" s="5"/>
    </row>
    <row r="34229">
      <c r="N34229" s="1"/>
      <c r="V34229" s="5"/>
    </row>
    <row r="34230">
      <c r="N34230" s="1"/>
      <c r="V34230" s="5"/>
    </row>
    <row r="34231">
      <c r="N34231" s="1"/>
      <c r="V34231" s="5"/>
    </row>
    <row r="34232">
      <c r="N34232" s="1"/>
      <c r="V34232" s="5"/>
    </row>
    <row r="34233">
      <c r="N34233" s="1"/>
      <c r="V34233" s="5"/>
    </row>
    <row r="34234">
      <c r="N34234" s="1"/>
      <c r="V34234" s="5"/>
    </row>
    <row r="34235">
      <c r="N34235" s="1"/>
      <c r="V34235" s="5"/>
    </row>
    <row r="34236">
      <c r="N34236" s="1"/>
      <c r="V34236" s="5"/>
    </row>
    <row r="34237">
      <c r="N34237" s="1"/>
      <c r="V34237" s="5"/>
    </row>
    <row r="34238">
      <c r="N34238" s="1"/>
      <c r="V34238" s="5"/>
    </row>
    <row r="34239">
      <c r="N34239" s="1"/>
      <c r="V34239" s="5"/>
    </row>
    <row r="34240">
      <c r="N34240" s="1"/>
      <c r="V34240" s="5"/>
    </row>
    <row r="34241">
      <c r="N34241" s="1"/>
      <c r="V34241" s="5"/>
    </row>
    <row r="34242">
      <c r="N34242" s="1"/>
      <c r="V34242" s="5"/>
    </row>
    <row r="34243">
      <c r="N34243" s="1"/>
      <c r="V34243" s="5"/>
    </row>
    <row r="34244">
      <c r="N34244" s="1"/>
      <c r="V34244" s="5"/>
    </row>
    <row r="34245">
      <c r="N34245" s="1"/>
      <c r="V34245" s="5"/>
    </row>
    <row r="34246">
      <c r="N34246" s="1"/>
      <c r="V34246" s="5"/>
    </row>
    <row r="34247">
      <c r="N34247" s="1"/>
      <c r="V34247" s="5"/>
    </row>
    <row r="34248">
      <c r="N34248" s="1"/>
      <c r="V34248" s="5"/>
    </row>
    <row r="34249">
      <c r="N34249" s="1"/>
      <c r="V34249" s="5"/>
    </row>
    <row r="34250">
      <c r="N34250" s="1"/>
      <c r="V34250" s="5"/>
    </row>
    <row r="34251">
      <c r="N34251" s="1"/>
      <c r="V34251" s="5"/>
    </row>
    <row r="34252">
      <c r="N34252" s="1"/>
      <c r="V34252" s="5"/>
    </row>
    <row r="34253">
      <c r="N34253" s="1"/>
      <c r="V34253" s="5"/>
    </row>
    <row r="34254">
      <c r="N34254" s="1"/>
      <c r="V34254" s="5"/>
    </row>
    <row r="34255">
      <c r="N34255" s="1"/>
      <c r="V34255" s="5"/>
    </row>
    <row r="34256">
      <c r="N34256" s="1"/>
      <c r="V34256" s="5"/>
    </row>
    <row r="34257">
      <c r="N34257" s="1"/>
      <c r="V34257" s="5"/>
    </row>
    <row r="34258">
      <c r="N34258" s="1"/>
      <c r="V34258" s="5"/>
    </row>
    <row r="34259">
      <c r="N34259" s="1"/>
      <c r="V34259" s="5"/>
    </row>
    <row r="34260">
      <c r="N34260" s="1"/>
      <c r="V34260" s="5"/>
    </row>
    <row r="34261">
      <c r="N34261" s="1"/>
      <c r="V34261" s="5"/>
    </row>
    <row r="34262">
      <c r="N34262" s="1"/>
      <c r="V34262" s="5"/>
    </row>
    <row r="34263">
      <c r="N34263" s="1"/>
      <c r="V34263" s="5"/>
    </row>
    <row r="34264">
      <c r="N34264" s="1"/>
      <c r="V34264" s="5"/>
    </row>
    <row r="34265">
      <c r="N34265" s="1"/>
      <c r="V34265" s="5"/>
    </row>
    <row r="34266">
      <c r="N34266" s="1"/>
      <c r="V34266" s="5"/>
    </row>
    <row r="34267">
      <c r="N34267" s="1"/>
      <c r="V34267" s="5"/>
    </row>
    <row r="34268">
      <c r="N34268" s="1"/>
      <c r="V34268" s="5"/>
    </row>
    <row r="34269">
      <c r="N34269" s="1"/>
      <c r="V34269" s="5"/>
    </row>
    <row r="34270">
      <c r="N34270" s="1"/>
      <c r="V34270" s="5"/>
    </row>
    <row r="34271">
      <c r="N34271" s="1"/>
      <c r="V34271" s="5"/>
    </row>
    <row r="34272">
      <c r="N34272" s="1"/>
      <c r="V34272" s="5"/>
    </row>
    <row r="34273">
      <c r="N34273" s="1"/>
      <c r="V34273" s="5"/>
    </row>
    <row r="34274">
      <c r="N34274" s="1"/>
      <c r="V34274" s="5"/>
    </row>
    <row r="34275">
      <c r="N34275" s="1"/>
      <c r="V34275" s="5"/>
    </row>
    <row r="34276">
      <c r="N34276" s="1"/>
      <c r="V34276" s="5"/>
    </row>
    <row r="34277">
      <c r="N34277" s="1"/>
      <c r="V34277" s="5"/>
    </row>
    <row r="34278">
      <c r="N34278" s="1"/>
      <c r="V34278" s="5"/>
    </row>
    <row r="34279">
      <c r="N34279" s="1"/>
      <c r="V34279" s="5"/>
    </row>
    <row r="34280">
      <c r="N34280" s="1"/>
      <c r="V34280" s="5"/>
    </row>
    <row r="34281">
      <c r="N34281" s="1"/>
      <c r="V34281" s="5"/>
    </row>
    <row r="34282">
      <c r="N34282" s="1"/>
      <c r="V34282" s="5"/>
    </row>
    <row r="34283">
      <c r="N34283" s="1"/>
      <c r="V34283" s="5"/>
    </row>
    <row r="34284">
      <c r="N34284" s="1"/>
      <c r="V34284" s="5"/>
    </row>
    <row r="34285">
      <c r="N34285" s="1"/>
      <c r="V34285" s="5"/>
    </row>
    <row r="34286">
      <c r="N34286" s="1"/>
      <c r="V34286" s="5"/>
    </row>
    <row r="34287">
      <c r="N34287" s="1"/>
      <c r="V34287" s="5"/>
    </row>
    <row r="34288">
      <c r="N34288" s="1"/>
      <c r="V34288" s="5"/>
    </row>
    <row r="34289">
      <c r="N34289" s="1"/>
      <c r="V34289" s="5"/>
    </row>
    <row r="34290">
      <c r="N34290" s="1"/>
      <c r="V34290" s="5"/>
    </row>
    <row r="34291">
      <c r="N34291" s="1"/>
      <c r="V34291" s="5"/>
    </row>
    <row r="34292">
      <c r="N34292" s="1"/>
      <c r="V34292" s="5"/>
    </row>
    <row r="34293">
      <c r="N34293" s="1"/>
      <c r="V34293" s="5"/>
    </row>
    <row r="34294">
      <c r="N34294" s="1"/>
      <c r="V34294" s="5"/>
    </row>
    <row r="34295">
      <c r="N34295" s="1"/>
      <c r="V34295" s="5"/>
    </row>
    <row r="34296">
      <c r="N34296" s="1"/>
      <c r="V34296" s="5"/>
    </row>
    <row r="34297">
      <c r="N34297" s="1"/>
      <c r="V34297" s="5"/>
    </row>
    <row r="34298">
      <c r="N34298" s="1"/>
      <c r="V34298" s="5"/>
    </row>
    <row r="34299">
      <c r="N34299" s="1"/>
      <c r="V34299" s="5"/>
    </row>
    <row r="34300">
      <c r="N34300" s="1"/>
      <c r="V34300" s="5"/>
    </row>
    <row r="34301">
      <c r="N34301" s="1"/>
      <c r="V34301" s="5"/>
    </row>
    <row r="34302">
      <c r="N34302" s="1"/>
      <c r="V34302" s="5"/>
    </row>
    <row r="34303">
      <c r="N34303" s="1"/>
      <c r="V34303" s="5"/>
    </row>
    <row r="34304">
      <c r="N34304" s="1"/>
      <c r="V34304" s="5"/>
    </row>
    <row r="34305">
      <c r="N34305" s="1"/>
      <c r="V34305" s="5"/>
    </row>
    <row r="34306">
      <c r="N34306" s="1"/>
      <c r="V34306" s="5"/>
    </row>
    <row r="34307">
      <c r="N34307" s="1"/>
      <c r="V34307" s="5"/>
    </row>
    <row r="34308">
      <c r="N34308" s="1"/>
      <c r="V34308" s="5"/>
    </row>
    <row r="34309">
      <c r="N34309" s="1"/>
      <c r="V34309" s="5"/>
    </row>
    <row r="34310">
      <c r="N34310" s="1"/>
      <c r="V34310" s="5"/>
    </row>
    <row r="34311">
      <c r="N34311" s="1"/>
      <c r="V34311" s="5"/>
    </row>
    <row r="34312">
      <c r="N34312" s="1"/>
      <c r="V34312" s="5"/>
    </row>
    <row r="34313">
      <c r="N34313" s="1"/>
      <c r="V34313" s="5"/>
    </row>
    <row r="34314">
      <c r="N34314" s="1"/>
      <c r="V34314" s="5"/>
    </row>
    <row r="34315">
      <c r="N34315" s="1"/>
      <c r="V34315" s="5"/>
    </row>
    <row r="34316">
      <c r="N34316" s="1"/>
      <c r="V34316" s="5"/>
    </row>
    <row r="34317">
      <c r="N34317" s="1"/>
      <c r="V34317" s="5"/>
    </row>
    <row r="34318">
      <c r="N34318" s="1"/>
      <c r="V34318" s="5"/>
    </row>
    <row r="34319">
      <c r="N34319" s="1"/>
      <c r="V34319" s="5"/>
    </row>
    <row r="34320">
      <c r="N34320" s="1"/>
      <c r="V34320" s="5"/>
    </row>
    <row r="34321">
      <c r="N34321" s="1"/>
      <c r="V34321" s="5"/>
    </row>
    <row r="34322">
      <c r="N34322" s="1"/>
      <c r="V34322" s="5"/>
    </row>
    <row r="34323">
      <c r="N34323" s="1"/>
      <c r="V34323" s="5"/>
    </row>
    <row r="34324">
      <c r="N34324" s="1"/>
      <c r="V34324" s="5"/>
    </row>
    <row r="34325">
      <c r="N34325" s="1"/>
      <c r="V34325" s="5"/>
    </row>
    <row r="34326">
      <c r="N34326" s="1"/>
      <c r="V34326" s="5"/>
    </row>
    <row r="34327">
      <c r="N34327" s="1"/>
      <c r="V34327" s="5"/>
    </row>
    <row r="34328">
      <c r="N34328" s="1"/>
      <c r="V34328" s="5"/>
    </row>
    <row r="34329">
      <c r="N34329" s="1"/>
      <c r="V34329" s="5"/>
    </row>
    <row r="34330">
      <c r="N34330" s="1"/>
      <c r="V34330" s="5"/>
    </row>
    <row r="34331">
      <c r="N34331" s="1"/>
      <c r="V34331" s="5"/>
    </row>
    <row r="34332">
      <c r="N34332" s="1"/>
      <c r="V34332" s="5"/>
    </row>
    <row r="34333">
      <c r="N34333" s="1"/>
      <c r="V34333" s="5"/>
    </row>
    <row r="34334">
      <c r="N34334" s="1"/>
      <c r="V34334" s="5"/>
    </row>
    <row r="34335">
      <c r="N34335" s="1"/>
      <c r="V34335" s="5"/>
    </row>
    <row r="34336">
      <c r="N34336" s="1"/>
      <c r="V34336" s="5"/>
    </row>
    <row r="34337">
      <c r="N34337" s="1"/>
      <c r="V34337" s="5"/>
    </row>
    <row r="34338">
      <c r="N34338" s="1"/>
      <c r="V34338" s="5"/>
    </row>
    <row r="34339">
      <c r="N34339" s="1"/>
      <c r="V34339" s="5"/>
    </row>
    <row r="34340">
      <c r="N34340" s="1"/>
      <c r="V34340" s="5"/>
    </row>
    <row r="34341">
      <c r="N34341" s="1"/>
      <c r="V34341" s="5"/>
    </row>
    <row r="34342">
      <c r="N34342" s="1"/>
      <c r="V34342" s="5"/>
    </row>
    <row r="34343">
      <c r="N34343" s="1"/>
      <c r="V34343" s="5"/>
    </row>
    <row r="34344">
      <c r="N34344" s="1"/>
      <c r="V34344" s="5"/>
    </row>
    <row r="34345">
      <c r="N34345" s="1"/>
      <c r="V34345" s="5"/>
    </row>
    <row r="34346">
      <c r="N34346" s="1"/>
      <c r="V34346" s="5"/>
    </row>
    <row r="34347">
      <c r="N34347" s="1"/>
      <c r="V34347" s="5"/>
    </row>
    <row r="34348">
      <c r="N34348" s="1"/>
      <c r="V34348" s="5"/>
    </row>
    <row r="34349">
      <c r="N34349" s="1"/>
      <c r="V34349" s="5"/>
    </row>
    <row r="34350">
      <c r="N34350" s="1"/>
      <c r="V34350" s="5"/>
    </row>
    <row r="34351">
      <c r="N34351" s="1"/>
      <c r="V34351" s="5"/>
    </row>
    <row r="34352">
      <c r="N34352" s="1"/>
      <c r="V34352" s="5"/>
    </row>
    <row r="34353">
      <c r="N34353" s="1"/>
      <c r="V34353" s="5"/>
    </row>
    <row r="34354">
      <c r="N34354" s="1"/>
      <c r="V34354" s="5"/>
    </row>
    <row r="34355">
      <c r="N34355" s="1"/>
      <c r="V34355" s="5"/>
    </row>
    <row r="34356">
      <c r="N34356" s="1"/>
      <c r="V34356" s="5"/>
    </row>
    <row r="34357">
      <c r="N34357" s="1"/>
      <c r="V34357" s="5"/>
    </row>
    <row r="34358">
      <c r="N34358" s="1"/>
      <c r="V34358" s="5"/>
    </row>
    <row r="34359">
      <c r="N34359" s="1"/>
      <c r="V34359" s="5"/>
    </row>
    <row r="34360">
      <c r="N34360" s="1"/>
      <c r="V34360" s="5"/>
    </row>
    <row r="34361">
      <c r="N34361" s="1"/>
      <c r="V34361" s="5"/>
    </row>
    <row r="34362">
      <c r="N34362" s="1"/>
      <c r="V34362" s="5"/>
    </row>
    <row r="34363">
      <c r="N34363" s="1"/>
      <c r="V34363" s="5"/>
    </row>
    <row r="34364">
      <c r="N34364" s="1"/>
      <c r="V34364" s="5"/>
    </row>
    <row r="34365">
      <c r="N34365" s="1"/>
      <c r="V34365" s="5"/>
    </row>
    <row r="34366">
      <c r="N34366" s="1"/>
      <c r="V34366" s="5"/>
    </row>
    <row r="34367">
      <c r="N34367" s="1"/>
      <c r="V34367" s="5"/>
    </row>
    <row r="34368">
      <c r="N34368" s="1"/>
      <c r="V34368" s="5"/>
    </row>
    <row r="34369">
      <c r="N34369" s="1"/>
      <c r="V34369" s="5"/>
    </row>
    <row r="34370">
      <c r="N34370" s="1"/>
      <c r="V34370" s="5"/>
    </row>
    <row r="34371">
      <c r="N34371" s="1"/>
      <c r="V34371" s="5"/>
    </row>
    <row r="34372">
      <c r="N34372" s="1"/>
      <c r="V34372" s="5"/>
    </row>
    <row r="34373">
      <c r="N34373" s="1"/>
      <c r="V34373" s="5"/>
    </row>
    <row r="34374">
      <c r="N34374" s="1"/>
      <c r="V34374" s="5"/>
    </row>
    <row r="34375">
      <c r="N34375" s="1"/>
      <c r="V34375" s="5"/>
    </row>
    <row r="34376">
      <c r="N34376" s="1"/>
      <c r="V34376" s="5"/>
    </row>
    <row r="34377">
      <c r="N34377" s="1"/>
      <c r="V34377" s="5"/>
    </row>
    <row r="34378">
      <c r="N34378" s="1"/>
      <c r="V34378" s="5"/>
    </row>
    <row r="34379">
      <c r="N34379" s="1"/>
      <c r="V34379" s="5"/>
    </row>
    <row r="34380">
      <c r="N34380" s="1"/>
      <c r="V34380" s="5"/>
    </row>
    <row r="34381">
      <c r="N34381" s="1"/>
      <c r="V34381" s="5"/>
    </row>
    <row r="34382">
      <c r="N34382" s="1"/>
      <c r="V34382" s="5"/>
    </row>
    <row r="34383">
      <c r="N34383" s="1"/>
      <c r="V34383" s="5"/>
    </row>
    <row r="34384">
      <c r="N34384" s="1"/>
      <c r="V34384" s="5"/>
    </row>
    <row r="34385">
      <c r="N34385" s="1"/>
      <c r="V34385" s="5"/>
    </row>
    <row r="34386">
      <c r="N34386" s="1"/>
      <c r="V34386" s="5"/>
    </row>
    <row r="34387">
      <c r="N34387" s="1"/>
      <c r="V34387" s="5"/>
    </row>
    <row r="34388">
      <c r="N34388" s="1"/>
      <c r="V34388" s="5"/>
    </row>
    <row r="34389">
      <c r="N34389" s="1"/>
      <c r="V34389" s="5"/>
    </row>
    <row r="34390">
      <c r="N34390" s="1"/>
      <c r="V34390" s="5"/>
    </row>
    <row r="34391">
      <c r="N34391" s="1"/>
      <c r="V34391" s="5"/>
    </row>
    <row r="34392">
      <c r="N34392" s="1"/>
      <c r="V34392" s="5"/>
    </row>
    <row r="34393">
      <c r="N34393" s="1"/>
      <c r="V34393" s="5"/>
    </row>
    <row r="34394">
      <c r="N34394" s="1"/>
      <c r="V34394" s="5"/>
    </row>
    <row r="34395">
      <c r="N34395" s="1"/>
      <c r="V34395" s="5"/>
    </row>
    <row r="34396">
      <c r="N34396" s="1"/>
      <c r="V34396" s="5"/>
    </row>
    <row r="34397">
      <c r="N34397" s="1"/>
      <c r="V34397" s="5"/>
    </row>
    <row r="34398">
      <c r="N34398" s="1"/>
      <c r="V34398" s="5"/>
    </row>
    <row r="34399">
      <c r="N34399" s="1"/>
      <c r="V34399" s="5"/>
    </row>
    <row r="34400">
      <c r="N34400" s="1"/>
      <c r="V34400" s="5"/>
    </row>
    <row r="34401">
      <c r="N34401" s="1"/>
      <c r="V34401" s="5"/>
    </row>
    <row r="34402">
      <c r="N34402" s="1"/>
      <c r="V34402" s="5"/>
    </row>
    <row r="34403">
      <c r="N34403" s="1"/>
      <c r="V34403" s="5"/>
    </row>
    <row r="34404">
      <c r="N34404" s="1"/>
      <c r="V34404" s="5"/>
    </row>
    <row r="34405">
      <c r="N34405" s="1"/>
      <c r="V34405" s="5"/>
    </row>
    <row r="34406">
      <c r="N34406" s="1"/>
      <c r="V34406" s="5"/>
    </row>
    <row r="34407">
      <c r="N34407" s="1"/>
      <c r="V34407" s="5"/>
    </row>
    <row r="34408">
      <c r="N34408" s="1"/>
      <c r="V34408" s="5"/>
    </row>
    <row r="34409">
      <c r="N34409" s="1"/>
      <c r="V34409" s="5"/>
    </row>
    <row r="34410">
      <c r="N34410" s="1"/>
      <c r="V34410" s="5"/>
    </row>
    <row r="34411">
      <c r="N34411" s="1"/>
      <c r="V34411" s="5"/>
    </row>
    <row r="34412">
      <c r="N34412" s="1"/>
      <c r="V34412" s="5"/>
    </row>
    <row r="34413">
      <c r="N34413" s="1"/>
      <c r="V34413" s="5"/>
    </row>
    <row r="34414">
      <c r="N34414" s="1"/>
      <c r="V34414" s="5"/>
    </row>
    <row r="34415">
      <c r="N34415" s="1"/>
      <c r="V34415" s="5"/>
    </row>
    <row r="34416">
      <c r="N34416" s="1"/>
      <c r="V34416" s="5"/>
    </row>
    <row r="34417">
      <c r="N34417" s="1"/>
      <c r="V34417" s="5"/>
    </row>
    <row r="34418">
      <c r="N34418" s="1"/>
      <c r="V34418" s="5"/>
    </row>
    <row r="34419">
      <c r="N34419" s="1"/>
      <c r="V34419" s="5"/>
    </row>
    <row r="34420">
      <c r="N34420" s="1"/>
      <c r="V34420" s="5"/>
    </row>
    <row r="34421">
      <c r="N34421" s="1"/>
      <c r="V34421" s="5"/>
    </row>
    <row r="34422">
      <c r="N34422" s="1"/>
      <c r="V34422" s="5"/>
    </row>
    <row r="34423">
      <c r="N34423" s="1"/>
      <c r="V34423" s="5"/>
    </row>
    <row r="34424">
      <c r="N34424" s="1"/>
      <c r="V34424" s="5"/>
    </row>
    <row r="34425">
      <c r="N34425" s="1"/>
      <c r="V34425" s="5"/>
    </row>
    <row r="34426">
      <c r="N34426" s="1"/>
      <c r="V34426" s="5"/>
    </row>
    <row r="34427">
      <c r="N34427" s="1"/>
      <c r="V34427" s="5"/>
    </row>
    <row r="34428">
      <c r="N34428" s="1"/>
      <c r="V34428" s="5"/>
    </row>
    <row r="34429">
      <c r="N34429" s="1"/>
      <c r="V34429" s="5"/>
    </row>
    <row r="34430">
      <c r="N34430" s="1"/>
      <c r="V34430" s="5"/>
    </row>
    <row r="34431">
      <c r="N34431" s="1"/>
      <c r="V34431" s="5"/>
    </row>
    <row r="34432">
      <c r="N34432" s="1"/>
      <c r="V34432" s="5"/>
    </row>
    <row r="34433">
      <c r="N34433" s="1"/>
      <c r="V34433" s="5"/>
    </row>
    <row r="34434">
      <c r="N34434" s="1"/>
      <c r="V34434" s="5"/>
    </row>
    <row r="34435">
      <c r="N34435" s="1"/>
      <c r="V34435" s="5"/>
    </row>
    <row r="34436">
      <c r="N34436" s="1"/>
      <c r="V34436" s="5"/>
    </row>
    <row r="34437">
      <c r="N34437" s="1"/>
      <c r="V34437" s="5"/>
    </row>
    <row r="34438">
      <c r="N34438" s="1"/>
      <c r="V34438" s="5"/>
    </row>
    <row r="34439">
      <c r="N34439" s="1"/>
      <c r="V34439" s="5"/>
    </row>
    <row r="34440">
      <c r="N34440" s="1"/>
      <c r="V34440" s="5"/>
    </row>
    <row r="34441">
      <c r="N34441" s="1"/>
      <c r="V34441" s="5"/>
    </row>
    <row r="34442">
      <c r="N34442" s="1"/>
      <c r="V34442" s="5"/>
    </row>
    <row r="34443">
      <c r="N34443" s="1"/>
      <c r="V34443" s="5"/>
    </row>
    <row r="34444">
      <c r="N34444" s="1"/>
      <c r="V34444" s="5"/>
    </row>
    <row r="34445">
      <c r="N34445" s="1"/>
      <c r="V34445" s="5"/>
    </row>
    <row r="34446">
      <c r="N34446" s="1"/>
      <c r="V34446" s="5"/>
    </row>
    <row r="34447">
      <c r="N34447" s="1"/>
      <c r="V34447" s="5"/>
    </row>
    <row r="34448">
      <c r="N34448" s="1"/>
      <c r="V34448" s="5"/>
    </row>
    <row r="34449">
      <c r="N34449" s="1"/>
      <c r="V34449" s="5"/>
    </row>
    <row r="34450">
      <c r="N34450" s="1"/>
      <c r="V34450" s="5"/>
    </row>
    <row r="34451">
      <c r="N34451" s="1"/>
      <c r="V34451" s="5"/>
    </row>
    <row r="34452">
      <c r="N34452" s="1"/>
      <c r="V34452" s="5"/>
    </row>
    <row r="34453">
      <c r="N34453" s="1"/>
      <c r="V34453" s="5"/>
    </row>
    <row r="34454">
      <c r="N34454" s="1"/>
      <c r="V34454" s="5"/>
    </row>
    <row r="34455">
      <c r="N34455" s="1"/>
      <c r="V34455" s="5"/>
    </row>
    <row r="34456">
      <c r="N34456" s="1"/>
      <c r="V34456" s="5"/>
    </row>
    <row r="34457">
      <c r="N34457" s="1"/>
      <c r="V34457" s="5"/>
    </row>
    <row r="34458">
      <c r="N34458" s="1"/>
      <c r="V34458" s="5"/>
    </row>
    <row r="34459">
      <c r="N34459" s="1"/>
      <c r="V34459" s="5"/>
    </row>
    <row r="34460">
      <c r="N34460" s="1"/>
      <c r="V34460" s="5"/>
    </row>
    <row r="34461">
      <c r="N34461" s="1"/>
      <c r="V34461" s="5"/>
    </row>
    <row r="34462">
      <c r="N34462" s="1"/>
      <c r="V34462" s="5"/>
    </row>
    <row r="34463">
      <c r="N34463" s="1"/>
      <c r="V34463" s="5"/>
    </row>
    <row r="34464">
      <c r="N34464" s="1"/>
      <c r="V34464" s="5"/>
    </row>
    <row r="34465">
      <c r="N34465" s="1"/>
      <c r="V34465" s="5"/>
    </row>
    <row r="34466">
      <c r="N34466" s="1"/>
      <c r="V34466" s="5"/>
    </row>
    <row r="34467">
      <c r="N34467" s="1"/>
      <c r="V34467" s="5"/>
    </row>
    <row r="34468">
      <c r="N34468" s="1"/>
      <c r="V34468" s="5"/>
    </row>
    <row r="34469">
      <c r="N34469" s="1"/>
      <c r="V34469" s="5"/>
    </row>
    <row r="34470">
      <c r="N34470" s="1"/>
      <c r="V34470" s="5"/>
    </row>
    <row r="34471">
      <c r="N34471" s="1"/>
      <c r="V34471" s="5"/>
    </row>
    <row r="34472">
      <c r="N34472" s="1"/>
      <c r="V34472" s="5"/>
    </row>
    <row r="34473">
      <c r="N34473" s="1"/>
      <c r="V34473" s="5"/>
    </row>
    <row r="34474">
      <c r="N34474" s="1"/>
      <c r="V34474" s="5"/>
    </row>
    <row r="34475">
      <c r="N34475" s="1"/>
      <c r="V34475" s="5"/>
    </row>
    <row r="34476">
      <c r="N34476" s="1"/>
      <c r="V34476" s="5"/>
    </row>
    <row r="34477">
      <c r="N34477" s="1"/>
      <c r="V34477" s="5"/>
    </row>
    <row r="34478">
      <c r="N34478" s="1"/>
      <c r="V34478" s="5"/>
    </row>
    <row r="34479">
      <c r="N34479" s="1"/>
      <c r="V34479" s="5"/>
    </row>
    <row r="34480">
      <c r="N34480" s="1"/>
      <c r="V34480" s="5"/>
    </row>
    <row r="34481">
      <c r="N34481" s="1"/>
      <c r="V34481" s="5"/>
    </row>
    <row r="34482">
      <c r="N34482" s="1"/>
      <c r="V34482" s="5"/>
    </row>
    <row r="34483">
      <c r="N34483" s="1"/>
      <c r="V34483" s="5"/>
    </row>
    <row r="34484">
      <c r="N34484" s="1"/>
      <c r="V34484" s="5"/>
    </row>
    <row r="34485">
      <c r="N34485" s="1"/>
      <c r="V34485" s="5"/>
    </row>
    <row r="34486">
      <c r="N34486" s="1"/>
      <c r="V34486" s="5"/>
    </row>
    <row r="34487">
      <c r="N34487" s="1"/>
      <c r="V34487" s="5"/>
    </row>
    <row r="34488">
      <c r="N34488" s="1"/>
      <c r="V34488" s="5"/>
    </row>
    <row r="34489">
      <c r="N34489" s="1"/>
      <c r="V34489" s="5"/>
    </row>
    <row r="34490">
      <c r="N34490" s="1"/>
      <c r="V34490" s="5"/>
    </row>
    <row r="34491">
      <c r="N34491" s="1"/>
      <c r="V34491" s="5"/>
    </row>
    <row r="34492">
      <c r="N34492" s="1"/>
      <c r="V34492" s="5"/>
    </row>
    <row r="34493">
      <c r="N34493" s="1"/>
      <c r="V34493" s="5"/>
    </row>
    <row r="34494">
      <c r="N34494" s="1"/>
      <c r="V34494" s="5"/>
    </row>
    <row r="34495">
      <c r="N34495" s="1"/>
      <c r="V34495" s="5"/>
    </row>
    <row r="34496">
      <c r="N34496" s="1"/>
      <c r="V34496" s="5"/>
    </row>
    <row r="34497">
      <c r="N34497" s="1"/>
      <c r="V34497" s="5"/>
    </row>
    <row r="34498">
      <c r="N34498" s="1"/>
      <c r="V34498" s="5"/>
    </row>
    <row r="34499">
      <c r="N34499" s="1"/>
      <c r="V34499" s="5"/>
    </row>
    <row r="34500">
      <c r="N34500" s="1"/>
      <c r="V34500" s="5"/>
    </row>
    <row r="34501">
      <c r="N34501" s="1"/>
      <c r="V34501" s="5"/>
    </row>
    <row r="34502">
      <c r="N34502" s="1"/>
      <c r="V34502" s="5"/>
    </row>
    <row r="34503">
      <c r="N34503" s="1"/>
      <c r="V34503" s="5"/>
    </row>
    <row r="34504">
      <c r="N34504" s="1"/>
      <c r="V34504" s="5"/>
    </row>
    <row r="34505">
      <c r="N34505" s="1"/>
      <c r="V34505" s="5"/>
    </row>
    <row r="34506">
      <c r="N34506" s="1"/>
      <c r="V34506" s="5"/>
    </row>
    <row r="34507">
      <c r="N34507" s="1"/>
      <c r="V34507" s="5"/>
    </row>
    <row r="34508">
      <c r="N34508" s="1"/>
      <c r="V34508" s="5"/>
    </row>
    <row r="34509">
      <c r="N34509" s="1"/>
      <c r="V34509" s="5"/>
    </row>
    <row r="34510">
      <c r="N34510" s="1"/>
      <c r="V34510" s="5"/>
    </row>
    <row r="34511">
      <c r="N34511" s="1"/>
      <c r="V34511" s="5"/>
    </row>
    <row r="34512">
      <c r="N34512" s="1"/>
      <c r="V34512" s="5"/>
    </row>
    <row r="34513">
      <c r="N34513" s="1"/>
      <c r="V34513" s="5"/>
    </row>
    <row r="34514">
      <c r="N34514" s="1"/>
      <c r="V34514" s="5"/>
    </row>
    <row r="34515">
      <c r="N34515" s="1"/>
      <c r="V34515" s="5"/>
    </row>
    <row r="34516">
      <c r="N34516" s="1"/>
      <c r="V34516" s="5"/>
    </row>
    <row r="34517">
      <c r="N34517" s="1"/>
      <c r="V34517" s="5"/>
    </row>
    <row r="34518">
      <c r="N34518" s="1"/>
      <c r="V34518" s="5"/>
    </row>
    <row r="34519">
      <c r="N34519" s="1"/>
      <c r="V34519" s="5"/>
    </row>
    <row r="34520">
      <c r="N34520" s="1"/>
      <c r="V34520" s="5"/>
    </row>
    <row r="34521">
      <c r="N34521" s="1"/>
      <c r="V34521" s="5"/>
    </row>
    <row r="34522">
      <c r="N34522" s="1"/>
      <c r="V34522" s="5"/>
    </row>
    <row r="34523">
      <c r="N34523" s="1"/>
      <c r="V34523" s="5"/>
    </row>
    <row r="34524">
      <c r="N34524" s="1"/>
      <c r="V34524" s="5"/>
    </row>
    <row r="34525">
      <c r="N34525" s="1"/>
      <c r="V34525" s="5"/>
    </row>
    <row r="34526">
      <c r="N34526" s="1"/>
      <c r="V34526" s="5"/>
    </row>
    <row r="34527">
      <c r="N34527" s="1"/>
      <c r="V34527" s="5"/>
    </row>
    <row r="34528">
      <c r="N34528" s="1"/>
      <c r="V34528" s="5"/>
    </row>
    <row r="34529">
      <c r="N34529" s="1"/>
      <c r="V34529" s="5"/>
    </row>
    <row r="34530">
      <c r="N34530" s="1"/>
      <c r="V34530" s="5"/>
    </row>
    <row r="34531">
      <c r="N34531" s="1"/>
      <c r="V34531" s="5"/>
    </row>
    <row r="34532">
      <c r="N34532" s="1"/>
      <c r="V34532" s="5"/>
    </row>
    <row r="34533">
      <c r="N34533" s="1"/>
      <c r="V34533" s="5"/>
    </row>
    <row r="34534">
      <c r="N34534" s="1"/>
      <c r="V34534" s="5"/>
    </row>
    <row r="34535">
      <c r="N34535" s="1"/>
      <c r="V34535" s="5"/>
    </row>
    <row r="34536">
      <c r="N34536" s="1"/>
      <c r="V34536" s="5"/>
    </row>
    <row r="34537">
      <c r="N34537" s="1"/>
      <c r="V34537" s="5"/>
    </row>
    <row r="34538">
      <c r="N34538" s="1"/>
      <c r="V34538" s="5"/>
    </row>
    <row r="34539">
      <c r="N34539" s="1"/>
      <c r="V34539" s="5"/>
    </row>
    <row r="34540">
      <c r="N34540" s="1"/>
      <c r="V34540" s="5"/>
    </row>
    <row r="34541">
      <c r="N34541" s="1"/>
      <c r="V34541" s="5"/>
    </row>
    <row r="34542">
      <c r="N34542" s="1"/>
      <c r="V34542" s="5"/>
    </row>
    <row r="34543">
      <c r="N34543" s="1"/>
      <c r="V34543" s="5"/>
    </row>
    <row r="34544">
      <c r="N34544" s="1"/>
      <c r="V34544" s="5"/>
    </row>
    <row r="34545">
      <c r="N34545" s="1"/>
      <c r="V34545" s="5"/>
    </row>
    <row r="34546">
      <c r="N34546" s="1"/>
      <c r="V34546" s="5"/>
    </row>
    <row r="34547">
      <c r="N34547" s="1"/>
      <c r="V34547" s="5"/>
    </row>
    <row r="34548">
      <c r="N34548" s="1"/>
      <c r="V34548" s="5"/>
    </row>
    <row r="34549">
      <c r="N34549" s="1"/>
      <c r="V34549" s="5"/>
    </row>
    <row r="34550">
      <c r="N34550" s="1"/>
      <c r="V34550" s="5"/>
    </row>
    <row r="34551">
      <c r="N34551" s="1"/>
      <c r="V34551" s="5"/>
    </row>
    <row r="34552">
      <c r="N34552" s="1"/>
      <c r="V34552" s="5"/>
    </row>
    <row r="34553">
      <c r="N34553" s="1"/>
      <c r="V34553" s="5"/>
    </row>
    <row r="34554">
      <c r="N34554" s="1"/>
      <c r="V34554" s="5"/>
    </row>
    <row r="34555">
      <c r="N34555" s="1"/>
      <c r="V34555" s="5"/>
    </row>
    <row r="34556">
      <c r="N34556" s="1"/>
      <c r="V34556" s="5"/>
    </row>
    <row r="34557">
      <c r="N34557" s="1"/>
      <c r="V34557" s="5"/>
    </row>
    <row r="34558">
      <c r="N34558" s="1"/>
      <c r="V34558" s="5"/>
    </row>
    <row r="34559">
      <c r="N34559" s="1"/>
      <c r="V34559" s="5"/>
    </row>
    <row r="34560">
      <c r="N34560" s="1"/>
      <c r="V34560" s="5"/>
    </row>
    <row r="34561">
      <c r="N34561" s="1"/>
      <c r="V34561" s="5"/>
    </row>
    <row r="34562">
      <c r="N34562" s="1"/>
      <c r="V34562" s="5"/>
    </row>
    <row r="34563">
      <c r="N34563" s="1"/>
      <c r="V34563" s="5"/>
    </row>
    <row r="34564">
      <c r="N34564" s="1"/>
      <c r="V34564" s="5"/>
    </row>
    <row r="34565">
      <c r="N34565" s="1"/>
      <c r="V34565" s="5"/>
    </row>
    <row r="34566">
      <c r="N34566" s="1"/>
      <c r="V34566" s="5"/>
    </row>
    <row r="34567">
      <c r="N34567" s="1"/>
      <c r="V34567" s="5"/>
    </row>
    <row r="34568">
      <c r="N34568" s="1"/>
      <c r="V34568" s="5"/>
    </row>
    <row r="34569">
      <c r="N34569" s="1"/>
      <c r="V34569" s="5"/>
    </row>
    <row r="34570">
      <c r="N34570" s="1"/>
      <c r="V34570" s="5"/>
    </row>
    <row r="34571">
      <c r="N34571" s="1"/>
      <c r="V34571" s="5"/>
    </row>
    <row r="34572">
      <c r="N34572" s="1"/>
      <c r="V34572" s="5"/>
    </row>
    <row r="34573">
      <c r="N34573" s="1"/>
      <c r="V34573" s="5"/>
    </row>
    <row r="34574">
      <c r="N34574" s="1"/>
      <c r="V34574" s="5"/>
    </row>
    <row r="34575">
      <c r="N34575" s="1"/>
      <c r="V34575" s="5"/>
    </row>
    <row r="34576">
      <c r="N34576" s="1"/>
      <c r="V34576" s="5"/>
    </row>
    <row r="34577">
      <c r="N34577" s="1"/>
      <c r="V34577" s="5"/>
    </row>
    <row r="34578">
      <c r="N34578" s="1"/>
      <c r="V34578" s="5"/>
    </row>
    <row r="34579">
      <c r="N34579" s="1"/>
      <c r="V34579" s="5"/>
    </row>
    <row r="34580">
      <c r="N34580" s="1"/>
      <c r="V34580" s="5"/>
    </row>
    <row r="34581">
      <c r="N34581" s="1"/>
      <c r="V34581" s="5"/>
    </row>
    <row r="34582">
      <c r="N34582" s="1"/>
      <c r="V34582" s="5"/>
    </row>
    <row r="34583">
      <c r="N34583" s="1"/>
      <c r="V34583" s="5"/>
    </row>
    <row r="34584">
      <c r="N34584" s="1"/>
      <c r="V34584" s="5"/>
    </row>
    <row r="34585">
      <c r="N34585" s="1"/>
      <c r="V34585" s="5"/>
    </row>
    <row r="34586">
      <c r="N34586" s="1"/>
      <c r="V34586" s="5"/>
    </row>
    <row r="34587">
      <c r="N34587" s="1"/>
      <c r="V34587" s="5"/>
    </row>
    <row r="34588">
      <c r="N34588" s="1"/>
      <c r="V34588" s="5"/>
    </row>
    <row r="34589">
      <c r="N34589" s="1"/>
      <c r="V34589" s="5"/>
    </row>
    <row r="34590">
      <c r="N34590" s="1"/>
      <c r="V34590" s="5"/>
    </row>
    <row r="34591">
      <c r="N34591" s="1"/>
      <c r="V34591" s="5"/>
    </row>
    <row r="34592">
      <c r="N34592" s="1"/>
      <c r="V34592" s="5"/>
    </row>
    <row r="34593">
      <c r="N34593" s="1"/>
      <c r="V34593" s="5"/>
    </row>
    <row r="34594">
      <c r="N34594" s="1"/>
      <c r="V34594" s="5"/>
    </row>
    <row r="34595">
      <c r="N34595" s="1"/>
      <c r="V34595" s="5"/>
    </row>
    <row r="34596">
      <c r="N34596" s="1"/>
      <c r="V34596" s="5"/>
    </row>
    <row r="34597">
      <c r="N34597" s="1"/>
      <c r="V34597" s="5"/>
    </row>
    <row r="34598">
      <c r="N34598" s="1"/>
      <c r="V34598" s="5"/>
    </row>
    <row r="34599">
      <c r="N34599" s="1"/>
      <c r="V34599" s="5"/>
    </row>
    <row r="34600">
      <c r="N34600" s="1"/>
      <c r="V34600" s="5"/>
    </row>
    <row r="34601">
      <c r="N34601" s="1"/>
      <c r="V34601" s="5"/>
    </row>
    <row r="34602">
      <c r="N34602" s="1"/>
      <c r="V34602" s="5"/>
    </row>
    <row r="34603">
      <c r="N34603" s="1"/>
      <c r="V34603" s="5"/>
    </row>
    <row r="34604">
      <c r="N34604" s="1"/>
      <c r="V34604" s="5"/>
    </row>
    <row r="34605">
      <c r="N34605" s="1"/>
      <c r="V34605" s="5"/>
    </row>
    <row r="34606">
      <c r="N34606" s="1"/>
      <c r="V34606" s="5"/>
    </row>
    <row r="34607">
      <c r="N34607" s="1"/>
      <c r="V34607" s="5"/>
    </row>
    <row r="34608">
      <c r="N34608" s="1"/>
      <c r="V34608" s="5"/>
    </row>
    <row r="34609">
      <c r="N34609" s="1"/>
      <c r="V34609" s="5"/>
    </row>
    <row r="34610">
      <c r="N34610" s="1"/>
      <c r="V34610" s="5"/>
    </row>
    <row r="34611">
      <c r="N34611" s="1"/>
      <c r="V34611" s="5"/>
    </row>
    <row r="34612">
      <c r="N34612" s="1"/>
      <c r="V34612" s="5"/>
    </row>
    <row r="34613">
      <c r="N34613" s="1"/>
      <c r="V34613" s="5"/>
    </row>
    <row r="34614">
      <c r="N34614" s="1"/>
      <c r="V34614" s="5"/>
    </row>
    <row r="34615">
      <c r="N34615" s="1"/>
      <c r="V34615" s="5"/>
    </row>
    <row r="34616">
      <c r="N34616" s="1"/>
      <c r="V34616" s="5"/>
    </row>
    <row r="34617">
      <c r="N34617" s="1"/>
      <c r="V34617" s="5"/>
    </row>
    <row r="34618">
      <c r="N34618" s="1"/>
      <c r="V34618" s="5"/>
    </row>
    <row r="34619">
      <c r="N34619" s="1"/>
      <c r="V34619" s="5"/>
    </row>
    <row r="34620">
      <c r="N34620" s="1"/>
      <c r="V34620" s="5"/>
    </row>
    <row r="34621">
      <c r="N34621" s="1"/>
      <c r="V34621" s="5"/>
    </row>
    <row r="34622">
      <c r="N34622" s="1"/>
      <c r="V34622" s="5"/>
    </row>
    <row r="34623">
      <c r="N34623" s="1"/>
      <c r="V34623" s="5"/>
    </row>
    <row r="34624">
      <c r="N34624" s="1"/>
      <c r="V34624" s="5"/>
    </row>
    <row r="34625">
      <c r="N34625" s="1"/>
      <c r="V34625" s="5"/>
    </row>
    <row r="34626">
      <c r="N34626" s="1"/>
      <c r="V34626" s="5"/>
    </row>
    <row r="34627">
      <c r="N34627" s="1"/>
      <c r="V34627" s="5"/>
    </row>
    <row r="34628">
      <c r="N34628" s="1"/>
      <c r="V34628" s="5"/>
    </row>
    <row r="34629">
      <c r="N34629" s="1"/>
      <c r="V34629" s="5"/>
    </row>
    <row r="34630">
      <c r="N34630" s="1"/>
      <c r="V34630" s="5"/>
    </row>
    <row r="34631">
      <c r="N34631" s="1"/>
      <c r="V34631" s="5"/>
    </row>
    <row r="34632">
      <c r="N34632" s="1"/>
      <c r="V34632" s="5"/>
    </row>
    <row r="34633">
      <c r="N34633" s="1"/>
      <c r="V34633" s="5"/>
    </row>
    <row r="34634">
      <c r="N34634" s="1"/>
      <c r="V34634" s="5"/>
    </row>
    <row r="34635">
      <c r="N34635" s="1"/>
      <c r="V34635" s="5"/>
    </row>
    <row r="34636">
      <c r="N34636" s="1"/>
      <c r="V34636" s="5"/>
    </row>
    <row r="34637">
      <c r="N34637" s="1"/>
      <c r="V34637" s="5"/>
    </row>
    <row r="34638">
      <c r="N34638" s="1"/>
      <c r="V34638" s="5"/>
    </row>
    <row r="34639">
      <c r="N34639" s="1"/>
      <c r="V34639" s="5"/>
    </row>
    <row r="34640">
      <c r="N34640" s="1"/>
      <c r="V34640" s="5"/>
    </row>
    <row r="34641">
      <c r="N34641" s="1"/>
      <c r="V34641" s="5"/>
    </row>
    <row r="34642">
      <c r="N34642" s="1"/>
      <c r="V34642" s="5"/>
    </row>
    <row r="34643">
      <c r="N34643" s="1"/>
      <c r="V34643" s="5"/>
    </row>
    <row r="34644">
      <c r="N34644" s="1"/>
      <c r="V34644" s="5"/>
    </row>
    <row r="34645">
      <c r="N34645" s="1"/>
      <c r="V34645" s="5"/>
    </row>
    <row r="34646">
      <c r="N34646" s="1"/>
      <c r="V34646" s="5"/>
    </row>
    <row r="34647">
      <c r="N34647" s="1"/>
      <c r="V34647" s="5"/>
    </row>
    <row r="34648">
      <c r="N34648" s="1"/>
      <c r="V34648" s="5"/>
    </row>
    <row r="34649">
      <c r="N34649" s="1"/>
      <c r="V34649" s="5"/>
    </row>
    <row r="34650">
      <c r="N34650" s="1"/>
      <c r="V34650" s="5"/>
    </row>
    <row r="34651">
      <c r="N34651" s="1"/>
      <c r="V34651" s="5"/>
    </row>
    <row r="34652">
      <c r="N34652" s="1"/>
      <c r="V34652" s="5"/>
    </row>
    <row r="34653">
      <c r="N34653" s="1"/>
      <c r="V34653" s="5"/>
    </row>
    <row r="34654">
      <c r="N34654" s="1"/>
      <c r="V34654" s="5"/>
    </row>
    <row r="34655">
      <c r="N34655" s="1"/>
      <c r="V34655" s="5"/>
    </row>
    <row r="34656">
      <c r="N34656" s="1"/>
      <c r="V34656" s="5"/>
    </row>
    <row r="34657">
      <c r="N34657" s="1"/>
      <c r="V34657" s="5"/>
    </row>
    <row r="34658">
      <c r="N34658" s="1"/>
      <c r="V34658" s="5"/>
    </row>
    <row r="34659">
      <c r="N34659" s="1"/>
      <c r="V34659" s="5"/>
    </row>
    <row r="34660">
      <c r="N34660" s="1"/>
      <c r="V34660" s="5"/>
    </row>
    <row r="34661">
      <c r="N34661" s="1"/>
      <c r="V34661" s="5"/>
    </row>
    <row r="34662">
      <c r="N34662" s="1"/>
      <c r="V34662" s="5"/>
    </row>
    <row r="34663">
      <c r="N34663" s="1"/>
      <c r="V34663" s="5"/>
    </row>
    <row r="34664">
      <c r="N34664" s="1"/>
      <c r="V34664" s="5"/>
    </row>
    <row r="34665">
      <c r="N34665" s="1"/>
      <c r="V34665" s="5"/>
    </row>
    <row r="34666">
      <c r="N34666" s="1"/>
      <c r="V34666" s="5"/>
    </row>
    <row r="34667">
      <c r="N34667" s="1"/>
      <c r="V34667" s="5"/>
    </row>
    <row r="34668">
      <c r="N34668" s="1"/>
      <c r="V34668" s="5"/>
    </row>
    <row r="34669">
      <c r="N34669" s="1"/>
      <c r="V34669" s="5"/>
    </row>
    <row r="34670">
      <c r="N34670" s="1"/>
      <c r="V34670" s="5"/>
    </row>
    <row r="34671">
      <c r="N34671" s="1"/>
      <c r="V34671" s="5"/>
    </row>
    <row r="34672">
      <c r="N34672" s="1"/>
      <c r="V34672" s="5"/>
    </row>
    <row r="34673">
      <c r="N34673" s="1"/>
      <c r="V34673" s="5"/>
    </row>
    <row r="34674">
      <c r="N34674" s="1"/>
      <c r="V34674" s="5"/>
    </row>
    <row r="34675">
      <c r="N34675" s="1"/>
      <c r="V34675" s="5"/>
    </row>
    <row r="34676">
      <c r="N34676" s="1"/>
      <c r="V34676" s="5"/>
    </row>
    <row r="34677">
      <c r="N34677" s="1"/>
      <c r="V34677" s="5"/>
    </row>
    <row r="34678">
      <c r="N34678" s="1"/>
      <c r="V34678" s="5"/>
    </row>
    <row r="34679">
      <c r="N34679" s="1"/>
      <c r="V34679" s="5"/>
    </row>
    <row r="34680">
      <c r="N34680" s="1"/>
      <c r="V34680" s="5"/>
    </row>
    <row r="34681">
      <c r="N34681" s="1"/>
      <c r="V34681" s="5"/>
    </row>
    <row r="34682">
      <c r="N34682" s="1"/>
      <c r="V34682" s="5"/>
    </row>
    <row r="34683">
      <c r="N34683" s="1"/>
      <c r="V34683" s="5"/>
    </row>
    <row r="34684">
      <c r="N34684" s="1"/>
      <c r="V34684" s="5"/>
    </row>
    <row r="34685">
      <c r="N34685" s="1"/>
      <c r="V34685" s="5"/>
    </row>
    <row r="34686">
      <c r="N34686" s="1"/>
      <c r="V34686" s="5"/>
    </row>
    <row r="34687">
      <c r="N34687" s="1"/>
      <c r="V34687" s="5"/>
    </row>
    <row r="34688">
      <c r="N34688" s="1"/>
      <c r="V34688" s="5"/>
    </row>
    <row r="34689">
      <c r="N34689" s="1"/>
      <c r="V34689" s="5"/>
    </row>
    <row r="34690">
      <c r="N34690" s="1"/>
      <c r="V34690" s="5"/>
    </row>
    <row r="34691">
      <c r="N34691" s="1"/>
      <c r="V34691" s="5"/>
    </row>
    <row r="34692">
      <c r="N34692" s="1"/>
      <c r="V34692" s="5"/>
    </row>
    <row r="34693">
      <c r="N34693" s="1"/>
      <c r="V34693" s="5"/>
    </row>
    <row r="34694">
      <c r="N34694" s="1"/>
      <c r="V34694" s="5"/>
    </row>
    <row r="34695">
      <c r="N34695" s="1"/>
      <c r="V34695" s="5"/>
    </row>
    <row r="34696">
      <c r="N34696" s="1"/>
      <c r="V34696" s="5"/>
    </row>
    <row r="34697">
      <c r="N34697" s="1"/>
      <c r="V34697" s="5"/>
    </row>
    <row r="34698">
      <c r="N34698" s="1"/>
      <c r="V34698" s="5"/>
    </row>
    <row r="34699">
      <c r="N34699" s="1"/>
      <c r="V34699" s="5"/>
    </row>
    <row r="34700">
      <c r="N34700" s="1"/>
      <c r="V34700" s="5"/>
    </row>
    <row r="34701">
      <c r="N34701" s="1"/>
      <c r="V34701" s="5"/>
    </row>
    <row r="34702">
      <c r="N34702" s="1"/>
      <c r="V34702" s="5"/>
    </row>
    <row r="34703">
      <c r="N34703" s="1"/>
      <c r="V34703" s="5"/>
    </row>
    <row r="34704">
      <c r="N34704" s="1"/>
      <c r="V34704" s="5"/>
    </row>
    <row r="34705">
      <c r="N34705" s="1"/>
      <c r="V34705" s="5"/>
    </row>
    <row r="34706">
      <c r="N34706" s="1"/>
      <c r="V34706" s="5"/>
    </row>
    <row r="34707">
      <c r="N34707" s="1"/>
      <c r="V34707" s="5"/>
    </row>
    <row r="34708">
      <c r="N34708" s="1"/>
      <c r="V34708" s="5"/>
    </row>
    <row r="34709">
      <c r="N34709" s="1"/>
      <c r="V34709" s="5"/>
    </row>
    <row r="34710">
      <c r="N34710" s="1"/>
      <c r="V34710" s="5"/>
    </row>
    <row r="34711">
      <c r="N34711" s="1"/>
      <c r="V34711" s="5"/>
    </row>
    <row r="34712">
      <c r="N34712" s="1"/>
      <c r="V34712" s="5"/>
    </row>
    <row r="34713">
      <c r="N34713" s="1"/>
      <c r="V34713" s="5"/>
    </row>
    <row r="34714">
      <c r="N34714" s="1"/>
      <c r="V34714" s="5"/>
    </row>
    <row r="34715">
      <c r="N34715" s="1"/>
      <c r="V34715" s="5"/>
    </row>
    <row r="34716">
      <c r="N34716" s="1"/>
      <c r="V34716" s="5"/>
    </row>
    <row r="34717">
      <c r="N34717" s="1"/>
      <c r="V34717" s="5"/>
    </row>
    <row r="34718">
      <c r="N34718" s="1"/>
      <c r="V34718" s="5"/>
    </row>
    <row r="34719">
      <c r="N34719" s="1"/>
      <c r="V34719" s="5"/>
    </row>
    <row r="34720">
      <c r="N34720" s="1"/>
      <c r="V34720" s="5"/>
    </row>
    <row r="34721">
      <c r="N34721" s="1"/>
      <c r="V34721" s="5"/>
    </row>
    <row r="34722">
      <c r="N34722" s="1"/>
      <c r="V34722" s="5"/>
    </row>
    <row r="34723">
      <c r="N34723" s="1"/>
      <c r="V34723" s="5"/>
    </row>
    <row r="34724">
      <c r="N34724" s="1"/>
      <c r="V34724" s="5"/>
    </row>
    <row r="34725">
      <c r="N34725" s="1"/>
      <c r="V34725" s="5"/>
    </row>
    <row r="34726">
      <c r="N34726" s="1"/>
      <c r="V34726" s="5"/>
    </row>
    <row r="34727">
      <c r="N34727" s="1"/>
      <c r="V34727" s="5"/>
    </row>
    <row r="34728">
      <c r="N34728" s="1"/>
      <c r="V34728" s="5"/>
    </row>
    <row r="34729">
      <c r="N34729" s="1"/>
      <c r="V34729" s="5"/>
    </row>
    <row r="34730">
      <c r="N34730" s="1"/>
      <c r="V34730" s="5"/>
    </row>
    <row r="34731">
      <c r="N34731" s="1"/>
      <c r="V34731" s="5"/>
    </row>
    <row r="34732">
      <c r="N34732" s="1"/>
      <c r="V34732" s="5"/>
    </row>
    <row r="34733">
      <c r="N34733" s="1"/>
      <c r="V34733" s="5"/>
    </row>
    <row r="34734">
      <c r="N34734" s="1"/>
      <c r="V34734" s="5"/>
    </row>
    <row r="34735">
      <c r="N34735" s="1"/>
      <c r="V34735" s="5"/>
    </row>
    <row r="34736">
      <c r="N34736" s="1"/>
      <c r="V34736" s="5"/>
    </row>
    <row r="34737">
      <c r="N34737" s="1"/>
      <c r="V34737" s="5"/>
    </row>
    <row r="34738">
      <c r="N34738" s="1"/>
      <c r="V34738" s="5"/>
    </row>
    <row r="34739">
      <c r="N34739" s="1"/>
      <c r="V34739" s="5"/>
    </row>
    <row r="34740">
      <c r="N34740" s="1"/>
      <c r="V34740" s="5"/>
    </row>
    <row r="34741">
      <c r="N34741" s="1"/>
      <c r="V34741" s="5"/>
    </row>
    <row r="34742">
      <c r="N34742" s="1"/>
      <c r="V34742" s="5"/>
    </row>
    <row r="34743">
      <c r="N34743" s="1"/>
      <c r="V34743" s="5"/>
    </row>
    <row r="34744">
      <c r="N34744" s="1"/>
      <c r="V34744" s="5"/>
    </row>
    <row r="34745">
      <c r="N34745" s="1"/>
      <c r="V34745" s="5"/>
    </row>
    <row r="34746">
      <c r="N34746" s="1"/>
      <c r="V34746" s="5"/>
    </row>
    <row r="34747">
      <c r="N34747" s="1"/>
      <c r="V34747" s="5"/>
    </row>
    <row r="34748">
      <c r="N34748" s="1"/>
      <c r="V34748" s="5"/>
    </row>
    <row r="34749">
      <c r="N34749" s="1"/>
      <c r="V34749" s="5"/>
    </row>
    <row r="34750">
      <c r="N34750" s="1"/>
      <c r="V34750" s="5"/>
    </row>
    <row r="34751">
      <c r="N34751" s="1"/>
      <c r="V34751" s="5"/>
    </row>
    <row r="34752">
      <c r="N34752" s="1"/>
      <c r="V34752" s="5"/>
    </row>
    <row r="34753">
      <c r="N34753" s="1"/>
      <c r="V34753" s="5"/>
    </row>
    <row r="34754">
      <c r="N34754" s="1"/>
      <c r="V34754" s="5"/>
    </row>
    <row r="34755">
      <c r="N34755" s="1"/>
      <c r="V34755" s="5"/>
    </row>
    <row r="34756">
      <c r="N34756" s="1"/>
      <c r="V34756" s="5"/>
    </row>
    <row r="34757">
      <c r="N34757" s="1"/>
      <c r="V34757" s="5"/>
    </row>
    <row r="34758">
      <c r="N34758" s="1"/>
      <c r="V34758" s="5"/>
    </row>
    <row r="34759">
      <c r="N34759" s="1"/>
      <c r="V34759" s="5"/>
    </row>
    <row r="34760">
      <c r="N34760" s="1"/>
      <c r="V34760" s="5"/>
    </row>
    <row r="34761">
      <c r="N34761" s="1"/>
      <c r="V34761" s="5"/>
    </row>
    <row r="34762">
      <c r="N34762" s="1"/>
      <c r="V34762" s="5"/>
    </row>
    <row r="34763">
      <c r="N34763" s="1"/>
      <c r="V34763" s="5"/>
    </row>
    <row r="34764">
      <c r="N34764" s="1"/>
      <c r="V34764" s="5"/>
    </row>
    <row r="34765">
      <c r="N34765" s="1"/>
      <c r="V34765" s="5"/>
    </row>
    <row r="34766">
      <c r="N34766" s="1"/>
      <c r="V34766" s="5"/>
    </row>
    <row r="34767">
      <c r="N34767" s="1"/>
      <c r="V34767" s="5"/>
    </row>
    <row r="34768">
      <c r="N34768" s="1"/>
      <c r="V34768" s="5"/>
    </row>
    <row r="34769">
      <c r="N34769" s="1"/>
      <c r="V34769" s="5"/>
    </row>
    <row r="34770">
      <c r="N34770" s="1"/>
      <c r="V34770" s="5"/>
    </row>
    <row r="34771">
      <c r="N34771" s="1"/>
      <c r="V34771" s="5"/>
    </row>
    <row r="34772">
      <c r="N34772" s="1"/>
      <c r="V34772" s="5"/>
    </row>
    <row r="34773">
      <c r="N34773" s="1"/>
      <c r="V34773" s="5"/>
    </row>
    <row r="34774">
      <c r="N34774" s="1"/>
      <c r="V34774" s="5"/>
    </row>
    <row r="34775">
      <c r="N34775" s="1"/>
      <c r="V34775" s="5"/>
    </row>
    <row r="34776">
      <c r="N34776" s="1"/>
      <c r="V34776" s="5"/>
    </row>
    <row r="34777">
      <c r="N34777" s="1"/>
      <c r="V34777" s="5"/>
    </row>
    <row r="34778">
      <c r="N34778" s="1"/>
      <c r="V34778" s="5"/>
    </row>
    <row r="34779">
      <c r="N34779" s="1"/>
      <c r="V34779" s="5"/>
    </row>
    <row r="34780">
      <c r="N34780" s="1"/>
      <c r="V34780" s="5"/>
    </row>
    <row r="34781">
      <c r="N34781" s="1"/>
      <c r="V34781" s="5"/>
    </row>
    <row r="34782">
      <c r="N34782" s="1"/>
      <c r="V34782" s="5"/>
    </row>
    <row r="34783">
      <c r="N34783" s="1"/>
      <c r="V34783" s="5"/>
    </row>
    <row r="34784">
      <c r="N34784" s="1"/>
      <c r="V34784" s="5"/>
    </row>
    <row r="34785">
      <c r="N34785" s="1"/>
      <c r="V34785" s="5"/>
    </row>
    <row r="34786">
      <c r="N34786" s="1"/>
      <c r="V34786" s="5"/>
    </row>
    <row r="34787">
      <c r="N34787" s="1"/>
      <c r="V34787" s="5"/>
    </row>
    <row r="34788">
      <c r="N34788" s="1"/>
      <c r="V34788" s="5"/>
    </row>
    <row r="34789">
      <c r="N34789" s="1"/>
      <c r="V34789" s="5"/>
    </row>
    <row r="34790">
      <c r="N34790" s="1"/>
      <c r="V34790" s="5"/>
    </row>
    <row r="34791">
      <c r="N34791" s="1"/>
      <c r="V34791" s="5"/>
    </row>
    <row r="34792">
      <c r="N34792" s="1"/>
      <c r="V34792" s="5"/>
    </row>
    <row r="34793">
      <c r="N34793" s="1"/>
      <c r="V34793" s="5"/>
    </row>
    <row r="34794">
      <c r="N34794" s="1"/>
      <c r="V34794" s="5"/>
    </row>
    <row r="34795">
      <c r="N34795" s="1"/>
      <c r="V34795" s="5"/>
    </row>
    <row r="34796">
      <c r="N34796" s="1"/>
      <c r="V34796" s="5"/>
    </row>
    <row r="34797">
      <c r="N34797" s="1"/>
      <c r="V34797" s="5"/>
    </row>
    <row r="34798">
      <c r="N34798" s="1"/>
      <c r="V34798" s="5"/>
    </row>
    <row r="34799">
      <c r="N34799" s="1"/>
      <c r="V34799" s="5"/>
    </row>
    <row r="34800">
      <c r="N34800" s="1"/>
      <c r="V34800" s="5"/>
    </row>
    <row r="34801">
      <c r="N34801" s="1"/>
      <c r="V34801" s="5"/>
    </row>
    <row r="34802">
      <c r="N34802" s="1"/>
      <c r="V34802" s="5"/>
    </row>
    <row r="34803">
      <c r="N34803" s="1"/>
      <c r="V34803" s="5"/>
    </row>
    <row r="34804">
      <c r="N34804" s="1"/>
      <c r="V34804" s="5"/>
    </row>
    <row r="34805">
      <c r="N34805" s="1"/>
      <c r="V34805" s="5"/>
    </row>
    <row r="34806">
      <c r="N34806" s="1"/>
      <c r="V34806" s="5"/>
    </row>
    <row r="34807">
      <c r="N34807" s="1"/>
      <c r="V34807" s="5"/>
    </row>
    <row r="34808">
      <c r="N34808" s="1"/>
      <c r="V34808" s="5"/>
    </row>
    <row r="34809">
      <c r="N34809" s="1"/>
      <c r="V34809" s="5"/>
    </row>
    <row r="34810">
      <c r="N34810" s="1"/>
      <c r="V34810" s="5"/>
    </row>
    <row r="34811">
      <c r="N34811" s="1"/>
      <c r="V34811" s="5"/>
    </row>
    <row r="34812">
      <c r="N34812" s="1"/>
      <c r="V34812" s="5"/>
    </row>
    <row r="34813">
      <c r="N34813" s="1"/>
      <c r="V34813" s="5"/>
    </row>
    <row r="34814">
      <c r="N34814" s="1"/>
      <c r="V34814" s="5"/>
    </row>
    <row r="34815">
      <c r="N34815" s="1"/>
      <c r="V34815" s="5"/>
    </row>
    <row r="34816">
      <c r="N34816" s="1"/>
      <c r="V34816" s="5"/>
    </row>
    <row r="34817">
      <c r="N34817" s="1"/>
      <c r="V34817" s="5"/>
    </row>
    <row r="34818">
      <c r="N34818" s="1"/>
      <c r="V34818" s="5"/>
    </row>
    <row r="34819">
      <c r="N34819" s="1"/>
      <c r="V34819" s="5"/>
    </row>
    <row r="34820">
      <c r="N34820" s="1"/>
      <c r="V34820" s="5"/>
    </row>
    <row r="34821">
      <c r="N34821" s="1"/>
      <c r="V34821" s="5"/>
    </row>
    <row r="34822">
      <c r="N34822" s="1"/>
      <c r="V34822" s="5"/>
    </row>
    <row r="34823">
      <c r="N34823" s="1"/>
      <c r="V34823" s="5"/>
    </row>
    <row r="34824">
      <c r="N34824" s="1"/>
      <c r="V34824" s="5"/>
    </row>
    <row r="34825">
      <c r="N34825" s="1"/>
      <c r="V34825" s="5"/>
    </row>
    <row r="34826">
      <c r="N34826" s="1"/>
      <c r="V34826" s="5"/>
    </row>
    <row r="34827">
      <c r="N34827" s="1"/>
      <c r="V34827" s="5"/>
    </row>
    <row r="34828">
      <c r="N34828" s="1"/>
      <c r="V34828" s="5"/>
    </row>
    <row r="34829">
      <c r="N34829" s="1"/>
      <c r="V34829" s="5"/>
    </row>
    <row r="34830">
      <c r="N34830" s="1"/>
      <c r="V34830" s="5"/>
    </row>
    <row r="34831">
      <c r="N34831" s="1"/>
      <c r="V34831" s="5"/>
    </row>
    <row r="34832">
      <c r="N34832" s="1"/>
      <c r="V34832" s="5"/>
    </row>
    <row r="34833">
      <c r="N34833" s="1"/>
      <c r="V34833" s="5"/>
    </row>
    <row r="34834">
      <c r="N34834" s="1"/>
      <c r="V34834" s="5"/>
    </row>
    <row r="34835">
      <c r="N34835" s="1"/>
      <c r="V34835" s="5"/>
    </row>
    <row r="34836">
      <c r="N34836" s="1"/>
      <c r="V34836" s="5"/>
    </row>
    <row r="34837">
      <c r="N34837" s="1"/>
      <c r="V34837" s="5"/>
    </row>
    <row r="34838">
      <c r="N34838" s="1"/>
      <c r="V34838" s="5"/>
    </row>
    <row r="34839">
      <c r="N34839" s="1"/>
      <c r="V34839" s="5"/>
    </row>
    <row r="34840">
      <c r="N34840" s="1"/>
      <c r="V34840" s="5"/>
    </row>
    <row r="34841">
      <c r="N34841" s="1"/>
      <c r="V34841" s="5"/>
    </row>
    <row r="34842">
      <c r="N34842" s="1"/>
      <c r="V34842" s="5"/>
    </row>
    <row r="34843">
      <c r="N34843" s="1"/>
      <c r="V34843" s="5"/>
    </row>
    <row r="34844">
      <c r="N34844" s="1"/>
      <c r="V34844" s="5"/>
    </row>
    <row r="34845">
      <c r="N34845" s="1"/>
      <c r="V34845" s="5"/>
    </row>
    <row r="34846">
      <c r="N34846" s="1"/>
      <c r="V34846" s="5"/>
    </row>
    <row r="34847">
      <c r="N34847" s="1"/>
      <c r="V34847" s="5"/>
    </row>
    <row r="34848">
      <c r="N34848" s="1"/>
      <c r="V34848" s="5"/>
    </row>
    <row r="34849">
      <c r="N34849" s="1"/>
      <c r="V34849" s="5"/>
    </row>
    <row r="34850">
      <c r="N34850" s="1"/>
      <c r="V34850" s="5"/>
    </row>
    <row r="34851">
      <c r="N34851" s="1"/>
      <c r="V34851" s="5"/>
    </row>
    <row r="34852">
      <c r="N34852" s="1"/>
      <c r="V34852" s="5"/>
    </row>
    <row r="34853">
      <c r="N34853" s="1"/>
      <c r="V34853" s="5"/>
    </row>
    <row r="34854">
      <c r="N34854" s="1"/>
      <c r="V34854" s="5"/>
    </row>
    <row r="34855">
      <c r="N34855" s="1"/>
      <c r="V34855" s="5"/>
    </row>
    <row r="34856">
      <c r="N34856" s="1"/>
      <c r="V34856" s="5"/>
    </row>
    <row r="34857">
      <c r="N34857" s="1"/>
      <c r="V34857" s="5"/>
    </row>
    <row r="34858">
      <c r="N34858" s="1"/>
      <c r="V34858" s="5"/>
    </row>
    <row r="34859">
      <c r="N34859" s="1"/>
      <c r="V34859" s="5"/>
    </row>
    <row r="34860">
      <c r="N34860" s="1"/>
      <c r="V34860" s="5"/>
    </row>
    <row r="34861">
      <c r="N34861" s="1"/>
      <c r="V34861" s="5"/>
    </row>
    <row r="34862">
      <c r="N34862" s="1"/>
      <c r="V34862" s="5"/>
    </row>
    <row r="34863">
      <c r="N34863" s="1"/>
      <c r="V34863" s="5"/>
    </row>
    <row r="34864">
      <c r="N34864" s="1"/>
      <c r="V34864" s="5"/>
    </row>
    <row r="34865">
      <c r="N34865" s="1"/>
      <c r="V34865" s="5"/>
    </row>
    <row r="34866">
      <c r="N34866" s="1"/>
      <c r="V34866" s="5"/>
    </row>
    <row r="34867">
      <c r="N34867" s="1"/>
      <c r="V34867" s="5"/>
    </row>
    <row r="34868">
      <c r="N34868" s="1"/>
      <c r="V34868" s="5"/>
    </row>
    <row r="34869">
      <c r="N34869" s="1"/>
      <c r="V34869" s="5"/>
    </row>
    <row r="34870">
      <c r="N34870" s="1"/>
      <c r="V34870" s="5"/>
    </row>
    <row r="34871">
      <c r="N34871" s="1"/>
      <c r="V34871" s="5"/>
    </row>
    <row r="34872">
      <c r="N34872" s="1"/>
      <c r="V34872" s="5"/>
    </row>
    <row r="34873">
      <c r="N34873" s="1"/>
      <c r="V34873" s="5"/>
    </row>
    <row r="34874">
      <c r="N34874" s="1"/>
      <c r="V34874" s="5"/>
    </row>
    <row r="34875">
      <c r="N34875" s="1"/>
      <c r="V34875" s="5"/>
    </row>
    <row r="34876">
      <c r="N34876" s="1"/>
      <c r="V34876" s="5"/>
    </row>
    <row r="34877">
      <c r="N34877" s="1"/>
      <c r="V34877" s="5"/>
    </row>
    <row r="34878">
      <c r="N34878" s="1"/>
      <c r="V34878" s="5"/>
    </row>
    <row r="34879">
      <c r="N34879" s="1"/>
      <c r="V34879" s="5"/>
    </row>
    <row r="34880">
      <c r="N34880" s="1"/>
      <c r="V34880" s="5"/>
    </row>
    <row r="34881">
      <c r="N34881" s="1"/>
      <c r="V34881" s="5"/>
    </row>
    <row r="34882">
      <c r="N34882" s="1"/>
      <c r="V34882" s="5"/>
    </row>
    <row r="34883">
      <c r="N34883" s="1"/>
      <c r="V34883" s="5"/>
    </row>
    <row r="34884">
      <c r="N34884" s="1"/>
      <c r="V34884" s="5"/>
    </row>
    <row r="34885">
      <c r="N34885" s="1"/>
      <c r="V34885" s="5"/>
    </row>
    <row r="34886">
      <c r="N34886" s="1"/>
      <c r="V34886" s="5"/>
    </row>
    <row r="34887">
      <c r="N34887" s="1"/>
      <c r="V34887" s="5"/>
    </row>
    <row r="34888">
      <c r="N34888" s="1"/>
      <c r="V34888" s="5"/>
    </row>
    <row r="34889">
      <c r="N34889" s="1"/>
      <c r="V34889" s="5"/>
    </row>
    <row r="34890">
      <c r="N34890" s="1"/>
      <c r="V34890" s="5"/>
    </row>
    <row r="34891">
      <c r="N34891" s="1"/>
      <c r="V34891" s="5"/>
    </row>
    <row r="34892">
      <c r="N34892" s="1"/>
      <c r="V34892" s="5"/>
    </row>
    <row r="34893">
      <c r="N34893" s="1"/>
      <c r="V34893" s="5"/>
    </row>
    <row r="34894">
      <c r="N34894" s="1"/>
      <c r="V34894" s="5"/>
    </row>
    <row r="34895">
      <c r="N34895" s="1"/>
      <c r="V34895" s="5"/>
    </row>
    <row r="34896">
      <c r="N34896" s="1"/>
      <c r="V34896" s="5"/>
    </row>
    <row r="34897">
      <c r="N34897" s="1"/>
      <c r="V34897" s="5"/>
    </row>
    <row r="34898">
      <c r="N34898" s="1"/>
      <c r="V34898" s="5"/>
    </row>
    <row r="34899">
      <c r="N34899" s="1"/>
      <c r="V34899" s="5"/>
    </row>
    <row r="34900">
      <c r="N34900" s="1"/>
      <c r="V34900" s="5"/>
    </row>
    <row r="34901">
      <c r="N34901" s="1"/>
      <c r="V34901" s="5"/>
    </row>
    <row r="34902">
      <c r="N34902" s="1"/>
      <c r="V34902" s="5"/>
    </row>
    <row r="34903">
      <c r="N34903" s="1"/>
      <c r="V34903" s="5"/>
    </row>
    <row r="34904">
      <c r="N34904" s="1"/>
      <c r="V34904" s="5"/>
    </row>
    <row r="34905">
      <c r="N34905" s="1"/>
      <c r="V34905" s="5"/>
    </row>
    <row r="34906">
      <c r="N34906" s="1"/>
      <c r="V34906" s="5"/>
    </row>
    <row r="34907">
      <c r="N34907" s="1"/>
      <c r="V34907" s="5"/>
    </row>
    <row r="34908">
      <c r="N34908" s="1"/>
      <c r="V34908" s="5"/>
    </row>
    <row r="34909">
      <c r="N34909" s="1"/>
      <c r="V34909" s="5"/>
    </row>
    <row r="34910">
      <c r="N34910" s="1"/>
      <c r="V34910" s="5"/>
    </row>
    <row r="34911">
      <c r="N34911" s="1"/>
      <c r="V34911" s="5"/>
    </row>
    <row r="34912">
      <c r="N34912" s="1"/>
      <c r="V34912" s="5"/>
    </row>
    <row r="34913">
      <c r="N34913" s="1"/>
      <c r="V34913" s="5"/>
    </row>
    <row r="34914">
      <c r="N34914" s="1"/>
      <c r="V34914" s="5"/>
    </row>
    <row r="34915">
      <c r="N34915" s="1"/>
      <c r="V34915" s="5"/>
    </row>
    <row r="34916">
      <c r="N34916" s="1"/>
      <c r="V34916" s="5"/>
    </row>
    <row r="34917">
      <c r="N34917" s="1"/>
      <c r="V34917" s="5"/>
    </row>
    <row r="34918">
      <c r="N34918" s="1"/>
      <c r="V34918" s="5"/>
    </row>
    <row r="34919">
      <c r="N34919" s="1"/>
      <c r="V34919" s="5"/>
    </row>
    <row r="34920">
      <c r="N34920" s="1"/>
      <c r="V34920" s="5"/>
    </row>
    <row r="34921">
      <c r="N34921" s="1"/>
      <c r="V34921" s="5"/>
    </row>
    <row r="34922">
      <c r="N34922" s="1"/>
      <c r="V34922" s="5"/>
    </row>
    <row r="34923">
      <c r="N34923" s="1"/>
      <c r="V34923" s="5"/>
    </row>
    <row r="34924">
      <c r="N34924" s="1"/>
      <c r="V34924" s="5"/>
    </row>
    <row r="34925">
      <c r="N34925" s="1"/>
      <c r="V34925" s="5"/>
    </row>
    <row r="34926">
      <c r="N34926" s="1"/>
      <c r="V34926" s="5"/>
    </row>
    <row r="34927">
      <c r="N34927" s="1"/>
      <c r="V34927" s="5"/>
    </row>
    <row r="34928">
      <c r="N34928" s="1"/>
      <c r="V34928" s="5"/>
    </row>
    <row r="34929">
      <c r="N34929" s="1"/>
      <c r="V34929" s="5"/>
    </row>
    <row r="34930">
      <c r="N34930" s="1"/>
      <c r="V34930" s="5"/>
    </row>
    <row r="34931">
      <c r="N34931" s="1"/>
      <c r="V34931" s="5"/>
    </row>
    <row r="34932">
      <c r="N34932" s="1"/>
      <c r="V34932" s="5"/>
    </row>
    <row r="34933">
      <c r="N34933" s="1"/>
      <c r="V34933" s="5"/>
    </row>
    <row r="34934">
      <c r="N34934" s="1"/>
      <c r="V34934" s="5"/>
    </row>
    <row r="34935">
      <c r="N34935" s="1"/>
      <c r="V34935" s="5"/>
    </row>
    <row r="34936">
      <c r="N34936" s="1"/>
      <c r="V34936" s="5"/>
    </row>
    <row r="34937">
      <c r="N34937" s="1"/>
      <c r="V34937" s="5"/>
    </row>
    <row r="34938">
      <c r="N34938" s="1"/>
      <c r="V34938" s="5"/>
    </row>
    <row r="34939">
      <c r="N34939" s="1"/>
      <c r="V34939" s="5"/>
    </row>
    <row r="34940">
      <c r="N34940" s="1"/>
      <c r="V34940" s="5"/>
    </row>
    <row r="34941">
      <c r="N34941" s="1"/>
      <c r="V34941" s="5"/>
    </row>
    <row r="34942">
      <c r="N34942" s="1"/>
      <c r="V34942" s="5"/>
    </row>
    <row r="34943">
      <c r="N34943" s="1"/>
      <c r="V34943" s="5"/>
    </row>
    <row r="34944">
      <c r="N34944" s="1"/>
      <c r="V34944" s="5"/>
    </row>
    <row r="34945">
      <c r="N34945" s="1"/>
      <c r="V34945" s="5"/>
    </row>
    <row r="34946">
      <c r="N34946" s="1"/>
      <c r="V34946" s="5"/>
    </row>
    <row r="34947">
      <c r="N34947" s="1"/>
      <c r="V34947" s="5"/>
    </row>
    <row r="34948">
      <c r="N34948" s="1"/>
      <c r="V34948" s="5"/>
    </row>
    <row r="34949">
      <c r="N34949" s="1"/>
      <c r="V34949" s="5"/>
    </row>
    <row r="34950">
      <c r="N34950" s="1"/>
      <c r="V34950" s="5"/>
    </row>
    <row r="34951">
      <c r="N34951" s="1"/>
      <c r="V34951" s="5"/>
    </row>
    <row r="34952">
      <c r="N34952" s="1"/>
      <c r="V34952" s="5"/>
    </row>
    <row r="34953">
      <c r="N34953" s="1"/>
      <c r="V34953" s="5"/>
    </row>
    <row r="34954">
      <c r="N34954" s="1"/>
      <c r="V34954" s="5"/>
    </row>
    <row r="34955">
      <c r="N34955" s="1"/>
      <c r="V34955" s="5"/>
    </row>
    <row r="34956">
      <c r="N34956" s="1"/>
      <c r="V34956" s="5"/>
    </row>
    <row r="34957">
      <c r="N34957" s="1"/>
      <c r="V34957" s="5"/>
    </row>
    <row r="34958">
      <c r="N34958" s="1"/>
      <c r="V34958" s="5"/>
    </row>
    <row r="34959">
      <c r="N34959" s="1"/>
      <c r="V34959" s="5"/>
    </row>
    <row r="34960">
      <c r="N34960" s="1"/>
      <c r="V34960" s="5"/>
    </row>
    <row r="34961">
      <c r="N34961" s="1"/>
      <c r="V34961" s="5"/>
    </row>
    <row r="34962">
      <c r="N34962" s="1"/>
      <c r="V34962" s="5"/>
    </row>
    <row r="34963">
      <c r="N34963" s="1"/>
      <c r="V34963" s="5"/>
    </row>
    <row r="34964">
      <c r="N34964" s="1"/>
      <c r="V34964" s="5"/>
    </row>
    <row r="34965">
      <c r="N34965" s="1"/>
      <c r="V34965" s="5"/>
    </row>
    <row r="34966">
      <c r="N34966" s="1"/>
      <c r="V34966" s="5"/>
    </row>
    <row r="34967">
      <c r="N34967" s="1"/>
      <c r="V34967" s="5"/>
    </row>
    <row r="34968">
      <c r="N34968" s="1"/>
      <c r="V34968" s="5"/>
    </row>
    <row r="34969">
      <c r="N34969" s="1"/>
      <c r="V34969" s="5"/>
    </row>
    <row r="34970">
      <c r="N34970" s="1"/>
      <c r="V34970" s="5"/>
    </row>
    <row r="34971">
      <c r="N34971" s="1"/>
      <c r="V34971" s="5"/>
    </row>
    <row r="34972">
      <c r="N34972" s="1"/>
      <c r="V34972" s="5"/>
    </row>
    <row r="34973">
      <c r="N34973" s="1"/>
      <c r="V34973" s="5"/>
    </row>
    <row r="34974">
      <c r="N34974" s="1"/>
      <c r="V34974" s="5"/>
    </row>
    <row r="34975">
      <c r="N34975" s="1"/>
      <c r="V34975" s="5"/>
    </row>
    <row r="34976">
      <c r="N34976" s="1"/>
      <c r="V34976" s="5"/>
    </row>
    <row r="34977">
      <c r="N34977" s="1"/>
      <c r="V34977" s="5"/>
    </row>
    <row r="34978">
      <c r="N34978" s="1"/>
      <c r="V34978" s="5"/>
    </row>
    <row r="34979">
      <c r="N34979" s="1"/>
      <c r="V34979" s="5"/>
    </row>
    <row r="34980">
      <c r="N34980" s="1"/>
      <c r="V34980" s="5"/>
    </row>
    <row r="34981">
      <c r="N34981" s="1"/>
      <c r="V34981" s="5"/>
    </row>
    <row r="34982">
      <c r="N34982" s="1"/>
      <c r="V34982" s="5"/>
    </row>
    <row r="34983">
      <c r="N34983" s="1"/>
      <c r="V34983" s="5"/>
    </row>
    <row r="34984">
      <c r="N34984" s="1"/>
      <c r="V34984" s="5"/>
    </row>
    <row r="34985">
      <c r="N34985" s="1"/>
      <c r="V34985" s="5"/>
    </row>
    <row r="34986">
      <c r="N34986" s="1"/>
      <c r="V34986" s="5"/>
    </row>
    <row r="34987">
      <c r="N34987" s="1"/>
      <c r="V34987" s="5"/>
    </row>
    <row r="34988">
      <c r="N34988" s="1"/>
      <c r="V34988" s="5"/>
    </row>
    <row r="34989">
      <c r="N34989" s="1"/>
      <c r="V34989" s="5"/>
    </row>
    <row r="34990">
      <c r="N34990" s="1"/>
      <c r="V34990" s="5"/>
    </row>
    <row r="34991">
      <c r="N34991" s="1"/>
      <c r="V34991" s="5"/>
    </row>
    <row r="34992">
      <c r="N34992" s="1"/>
      <c r="V34992" s="5"/>
    </row>
    <row r="34993">
      <c r="N34993" s="1"/>
      <c r="V34993" s="5"/>
    </row>
    <row r="34994">
      <c r="N34994" s="1"/>
      <c r="V34994" s="5"/>
    </row>
    <row r="34995">
      <c r="N34995" s="1"/>
      <c r="V34995" s="5"/>
    </row>
    <row r="34996">
      <c r="N34996" s="1"/>
      <c r="V34996" s="5"/>
    </row>
    <row r="34997">
      <c r="N34997" s="1"/>
      <c r="V34997" s="5"/>
    </row>
    <row r="34998">
      <c r="N34998" s="1"/>
      <c r="V34998" s="5"/>
    </row>
    <row r="34999">
      <c r="N34999" s="1"/>
      <c r="V34999" s="5"/>
    </row>
    <row r="35000">
      <c r="N35000" s="1"/>
      <c r="V35000" s="5"/>
    </row>
    <row r="35001">
      <c r="N35001" s="1"/>
      <c r="V35001" s="5"/>
    </row>
    <row r="35002">
      <c r="N35002" s="1"/>
      <c r="V35002" s="5"/>
    </row>
    <row r="35003">
      <c r="N35003" s="1"/>
      <c r="V35003" s="5"/>
    </row>
    <row r="35004">
      <c r="N35004" s="1"/>
      <c r="V35004" s="5"/>
    </row>
    <row r="35005">
      <c r="N35005" s="1"/>
      <c r="V35005" s="5"/>
    </row>
    <row r="35006">
      <c r="N35006" s="1"/>
      <c r="V35006" s="5"/>
    </row>
    <row r="35007">
      <c r="N35007" s="1"/>
      <c r="V35007" s="5"/>
    </row>
    <row r="35008">
      <c r="N35008" s="1"/>
      <c r="V35008" s="5"/>
    </row>
    <row r="35009">
      <c r="N35009" s="1"/>
      <c r="V35009" s="5"/>
    </row>
    <row r="35010">
      <c r="N35010" s="1"/>
      <c r="V35010" s="5"/>
    </row>
    <row r="35011">
      <c r="N35011" s="1"/>
      <c r="V35011" s="5"/>
    </row>
    <row r="35012">
      <c r="N35012" s="1"/>
      <c r="V35012" s="5"/>
    </row>
    <row r="35013">
      <c r="N35013" s="1"/>
      <c r="V35013" s="5"/>
    </row>
    <row r="35014">
      <c r="N35014" s="1"/>
      <c r="V35014" s="5"/>
    </row>
    <row r="35015">
      <c r="N35015" s="1"/>
      <c r="V35015" s="5"/>
    </row>
    <row r="35016">
      <c r="N35016" s="1"/>
      <c r="V35016" s="5"/>
    </row>
    <row r="35017">
      <c r="N35017" s="1"/>
      <c r="V35017" s="5"/>
    </row>
    <row r="35018">
      <c r="N35018" s="1"/>
      <c r="V35018" s="5"/>
    </row>
    <row r="35019">
      <c r="N35019" s="1"/>
      <c r="V35019" s="5"/>
    </row>
    <row r="35020">
      <c r="N35020" s="1"/>
      <c r="V35020" s="5"/>
    </row>
    <row r="35021">
      <c r="N35021" s="1"/>
      <c r="V35021" s="5"/>
    </row>
    <row r="35022">
      <c r="N35022" s="1"/>
      <c r="V35022" s="5"/>
    </row>
    <row r="35023">
      <c r="N35023" s="1"/>
      <c r="V35023" s="5"/>
    </row>
    <row r="35024">
      <c r="N35024" s="1"/>
      <c r="V35024" s="5"/>
    </row>
    <row r="35025">
      <c r="N35025" s="1"/>
      <c r="V35025" s="5"/>
    </row>
    <row r="35026">
      <c r="N35026" s="1"/>
      <c r="V35026" s="5"/>
    </row>
    <row r="35027">
      <c r="N35027" s="1"/>
      <c r="V35027" s="5"/>
    </row>
    <row r="35028">
      <c r="N35028" s="1"/>
      <c r="V35028" s="5"/>
    </row>
    <row r="35029">
      <c r="N35029" s="1"/>
      <c r="V35029" s="5"/>
    </row>
    <row r="35030">
      <c r="N35030" s="1"/>
      <c r="V35030" s="5"/>
    </row>
    <row r="35031">
      <c r="N35031" s="1"/>
      <c r="V35031" s="5"/>
    </row>
    <row r="35032">
      <c r="N35032" s="1"/>
      <c r="V35032" s="5"/>
    </row>
    <row r="35033">
      <c r="N35033" s="1"/>
      <c r="V35033" s="5"/>
    </row>
    <row r="35034">
      <c r="N35034" s="1"/>
      <c r="V35034" s="5"/>
    </row>
    <row r="35035">
      <c r="N35035" s="1"/>
      <c r="V35035" s="5"/>
    </row>
    <row r="35036">
      <c r="N35036" s="1"/>
      <c r="V35036" s="5"/>
    </row>
    <row r="35037">
      <c r="N35037" s="1"/>
      <c r="V35037" s="5"/>
    </row>
    <row r="35038">
      <c r="N35038" s="1"/>
      <c r="V35038" s="5"/>
    </row>
    <row r="35039">
      <c r="N35039" s="1"/>
      <c r="V35039" s="5"/>
    </row>
    <row r="35040">
      <c r="N35040" s="1"/>
      <c r="V35040" s="5"/>
    </row>
    <row r="35041">
      <c r="N35041" s="1"/>
      <c r="V35041" s="5"/>
    </row>
    <row r="35042">
      <c r="N35042" s="1"/>
      <c r="V35042" s="5"/>
    </row>
    <row r="35043">
      <c r="N35043" s="1"/>
      <c r="V35043" s="5"/>
    </row>
    <row r="35044">
      <c r="N35044" s="1"/>
      <c r="V35044" s="5"/>
    </row>
    <row r="35045">
      <c r="N35045" s="1"/>
      <c r="V35045" s="5"/>
    </row>
    <row r="35046">
      <c r="N35046" s="1"/>
      <c r="V35046" s="5"/>
    </row>
    <row r="35047">
      <c r="N35047" s="1"/>
      <c r="V35047" s="5"/>
    </row>
    <row r="35048">
      <c r="N35048" s="1"/>
      <c r="V35048" s="5"/>
    </row>
    <row r="35049">
      <c r="N35049" s="1"/>
      <c r="V35049" s="5"/>
    </row>
    <row r="35050">
      <c r="N35050" s="1"/>
      <c r="V35050" s="5"/>
    </row>
    <row r="35051">
      <c r="N35051" s="1"/>
      <c r="V35051" s="5"/>
    </row>
    <row r="35052">
      <c r="N35052" s="1"/>
      <c r="V35052" s="5"/>
    </row>
    <row r="35053">
      <c r="N35053" s="1"/>
      <c r="V35053" s="5"/>
    </row>
    <row r="35054">
      <c r="N35054" s="1"/>
      <c r="V35054" s="5"/>
    </row>
    <row r="35055">
      <c r="N35055" s="1"/>
      <c r="V35055" s="5"/>
    </row>
    <row r="35056">
      <c r="N35056" s="1"/>
      <c r="V35056" s="5"/>
    </row>
    <row r="35057">
      <c r="N35057" s="1"/>
      <c r="V35057" s="5"/>
    </row>
    <row r="35058">
      <c r="N35058" s="1"/>
      <c r="V35058" s="5"/>
    </row>
    <row r="35059">
      <c r="N35059" s="1"/>
      <c r="V35059" s="5"/>
    </row>
    <row r="35060">
      <c r="N35060" s="1"/>
      <c r="V35060" s="5"/>
    </row>
    <row r="35061">
      <c r="N35061" s="1"/>
      <c r="V35061" s="5"/>
    </row>
    <row r="35062">
      <c r="N35062" s="1"/>
      <c r="V35062" s="5"/>
    </row>
    <row r="35063">
      <c r="N35063" s="1"/>
      <c r="V35063" s="5"/>
    </row>
    <row r="35064">
      <c r="N35064" s="1"/>
      <c r="V35064" s="5"/>
    </row>
    <row r="35065">
      <c r="N35065" s="1"/>
      <c r="V35065" s="5"/>
    </row>
    <row r="35066">
      <c r="N35066" s="1"/>
      <c r="V35066" s="5"/>
    </row>
    <row r="35067">
      <c r="N35067" s="1"/>
      <c r="V35067" s="5"/>
    </row>
    <row r="35068">
      <c r="N35068" s="1"/>
      <c r="V35068" s="5"/>
    </row>
    <row r="35069">
      <c r="N35069" s="1"/>
      <c r="V35069" s="5"/>
    </row>
    <row r="35070">
      <c r="N35070" s="1"/>
      <c r="V35070" s="5"/>
    </row>
    <row r="35071">
      <c r="N35071" s="1"/>
      <c r="V35071" s="5"/>
    </row>
    <row r="35072">
      <c r="N35072" s="1"/>
      <c r="V35072" s="5"/>
    </row>
    <row r="35073">
      <c r="N35073" s="1"/>
      <c r="V35073" s="5"/>
    </row>
    <row r="35074">
      <c r="N35074" s="1"/>
      <c r="V35074" s="5"/>
    </row>
    <row r="35075">
      <c r="N35075" s="1"/>
      <c r="V35075" s="5"/>
    </row>
    <row r="35076">
      <c r="N35076" s="1"/>
      <c r="V35076" s="5"/>
    </row>
    <row r="35077">
      <c r="N35077" s="1"/>
      <c r="V35077" s="5"/>
    </row>
    <row r="35078">
      <c r="N35078" s="1"/>
      <c r="V35078" s="5"/>
    </row>
    <row r="35079">
      <c r="N35079" s="1"/>
      <c r="V35079" s="5"/>
    </row>
    <row r="35080">
      <c r="N35080" s="1"/>
      <c r="V35080" s="5"/>
    </row>
    <row r="35081">
      <c r="N35081" s="1"/>
      <c r="V35081" s="5"/>
    </row>
    <row r="35082">
      <c r="N35082" s="1"/>
      <c r="V35082" s="5"/>
    </row>
    <row r="35083">
      <c r="N35083" s="1"/>
      <c r="V35083" s="5"/>
    </row>
    <row r="35084">
      <c r="N35084" s="1"/>
      <c r="V35084" s="5"/>
    </row>
    <row r="35085">
      <c r="N35085" s="1"/>
      <c r="V35085" s="5"/>
    </row>
    <row r="35086">
      <c r="N35086" s="1"/>
      <c r="V35086" s="5"/>
    </row>
    <row r="35087">
      <c r="N35087" s="1"/>
      <c r="V35087" s="5"/>
    </row>
    <row r="35088">
      <c r="N35088" s="1"/>
      <c r="V35088" s="5"/>
    </row>
    <row r="35089">
      <c r="N35089" s="1"/>
      <c r="V35089" s="5"/>
    </row>
    <row r="35090">
      <c r="N35090" s="1"/>
      <c r="V35090" s="5"/>
    </row>
    <row r="35091">
      <c r="N35091" s="1"/>
      <c r="V35091" s="5"/>
    </row>
    <row r="35092">
      <c r="N35092" s="1"/>
      <c r="V35092" s="5"/>
    </row>
    <row r="35093">
      <c r="N35093" s="1"/>
      <c r="V35093" s="5"/>
    </row>
    <row r="35094">
      <c r="N35094" s="1"/>
      <c r="V35094" s="5"/>
    </row>
    <row r="35095">
      <c r="N35095" s="1"/>
      <c r="V35095" s="5"/>
    </row>
    <row r="35096">
      <c r="N35096" s="1"/>
      <c r="V35096" s="5"/>
    </row>
    <row r="35097">
      <c r="N35097" s="1"/>
      <c r="V35097" s="5"/>
    </row>
    <row r="35098">
      <c r="N35098" s="1"/>
      <c r="V35098" s="5"/>
    </row>
    <row r="35099">
      <c r="N35099" s="1"/>
      <c r="V35099" s="5"/>
    </row>
    <row r="35100">
      <c r="N35100" s="1"/>
      <c r="V35100" s="5"/>
    </row>
    <row r="35101">
      <c r="N35101" s="1"/>
      <c r="V35101" s="5"/>
    </row>
    <row r="35102">
      <c r="N35102" s="1"/>
      <c r="V35102" s="5"/>
    </row>
    <row r="35103">
      <c r="N35103" s="1"/>
      <c r="V35103" s="5"/>
    </row>
    <row r="35104">
      <c r="N35104" s="1"/>
      <c r="V35104" s="5"/>
    </row>
    <row r="35105">
      <c r="N35105" s="1"/>
      <c r="V35105" s="5"/>
    </row>
    <row r="35106">
      <c r="N35106" s="1"/>
      <c r="V35106" s="5"/>
    </row>
    <row r="35107">
      <c r="N35107" s="1"/>
      <c r="V35107" s="5"/>
    </row>
    <row r="35108">
      <c r="N35108" s="1"/>
      <c r="V35108" s="5"/>
    </row>
    <row r="35109">
      <c r="N35109" s="1"/>
      <c r="V35109" s="5"/>
    </row>
    <row r="35110">
      <c r="N35110" s="1"/>
      <c r="V35110" s="5"/>
    </row>
    <row r="35111">
      <c r="N35111" s="1"/>
      <c r="V35111" s="5"/>
    </row>
    <row r="35112">
      <c r="N35112" s="1"/>
      <c r="V35112" s="5"/>
    </row>
    <row r="35113">
      <c r="N35113" s="1"/>
      <c r="V35113" s="5"/>
    </row>
    <row r="35114">
      <c r="N35114" s="1"/>
      <c r="V35114" s="5"/>
    </row>
    <row r="35115">
      <c r="N35115" s="1"/>
      <c r="V35115" s="5"/>
    </row>
    <row r="35116">
      <c r="N35116" s="1"/>
      <c r="V35116" s="5"/>
    </row>
    <row r="35117">
      <c r="N35117" s="1"/>
      <c r="V35117" s="5"/>
    </row>
    <row r="35118">
      <c r="N35118" s="1"/>
      <c r="V35118" s="5"/>
    </row>
    <row r="35119">
      <c r="N35119" s="1"/>
      <c r="V35119" s="5"/>
    </row>
    <row r="35120">
      <c r="N35120" s="1"/>
      <c r="V35120" s="5"/>
    </row>
    <row r="35121">
      <c r="N35121" s="1"/>
      <c r="V35121" s="5"/>
    </row>
    <row r="35122">
      <c r="N35122" s="1"/>
      <c r="V35122" s="5"/>
    </row>
    <row r="35123">
      <c r="N35123" s="1"/>
      <c r="V35123" s="5"/>
    </row>
    <row r="35124">
      <c r="N35124" s="1"/>
      <c r="V35124" s="5"/>
    </row>
    <row r="35125">
      <c r="N35125" s="1"/>
      <c r="V35125" s="5"/>
    </row>
    <row r="35126">
      <c r="N35126" s="1"/>
      <c r="V35126" s="5"/>
    </row>
    <row r="35127">
      <c r="N35127" s="1"/>
      <c r="V35127" s="5"/>
    </row>
    <row r="35128">
      <c r="N35128" s="1"/>
      <c r="V35128" s="5"/>
    </row>
    <row r="35129">
      <c r="N35129" s="1"/>
      <c r="V35129" s="5"/>
    </row>
    <row r="35130">
      <c r="N35130" s="1"/>
      <c r="V35130" s="5"/>
    </row>
    <row r="35131">
      <c r="N35131" s="1"/>
      <c r="V35131" s="5"/>
    </row>
    <row r="35132">
      <c r="N35132" s="1"/>
      <c r="V35132" s="5"/>
    </row>
    <row r="35133">
      <c r="N35133" s="1"/>
      <c r="V35133" s="5"/>
    </row>
    <row r="35134">
      <c r="N35134" s="1"/>
      <c r="V35134" s="5"/>
    </row>
    <row r="35135">
      <c r="N35135" s="1"/>
      <c r="V35135" s="5"/>
    </row>
    <row r="35136">
      <c r="N35136" s="1"/>
      <c r="V35136" s="5"/>
    </row>
    <row r="35137">
      <c r="N35137" s="1"/>
      <c r="V35137" s="5"/>
    </row>
    <row r="35138">
      <c r="N35138" s="1"/>
      <c r="V35138" s="5"/>
    </row>
    <row r="35139">
      <c r="N35139" s="1"/>
      <c r="V35139" s="5"/>
    </row>
    <row r="35140">
      <c r="N35140" s="1"/>
      <c r="V35140" s="5"/>
    </row>
    <row r="35141">
      <c r="N35141" s="1"/>
      <c r="V35141" s="5"/>
    </row>
    <row r="35142">
      <c r="N35142" s="1"/>
      <c r="V35142" s="5"/>
    </row>
    <row r="35143">
      <c r="N35143" s="1"/>
      <c r="V35143" s="5"/>
    </row>
    <row r="35144">
      <c r="N35144" s="1"/>
      <c r="V35144" s="5"/>
    </row>
    <row r="35145">
      <c r="N35145" s="1"/>
      <c r="V35145" s="5"/>
    </row>
    <row r="35146">
      <c r="N35146" s="1"/>
      <c r="V35146" s="5"/>
    </row>
    <row r="35147">
      <c r="N35147" s="1"/>
      <c r="V35147" s="5"/>
    </row>
    <row r="35148">
      <c r="N35148" s="1"/>
      <c r="V35148" s="5"/>
    </row>
    <row r="35149">
      <c r="N35149" s="1"/>
      <c r="V35149" s="5"/>
    </row>
    <row r="35150">
      <c r="N35150" s="1"/>
      <c r="V35150" s="5"/>
    </row>
    <row r="35151">
      <c r="N35151" s="1"/>
      <c r="V35151" s="5"/>
    </row>
    <row r="35152">
      <c r="N35152" s="1"/>
      <c r="V35152" s="5"/>
    </row>
    <row r="35153">
      <c r="N35153" s="1"/>
      <c r="V35153" s="5"/>
    </row>
    <row r="35154">
      <c r="N35154" s="1"/>
      <c r="V35154" s="5"/>
    </row>
    <row r="35155">
      <c r="N35155" s="1"/>
      <c r="V35155" s="5"/>
    </row>
    <row r="35156">
      <c r="N35156" s="1"/>
      <c r="V35156" s="5"/>
    </row>
    <row r="35157">
      <c r="N35157" s="1"/>
      <c r="V35157" s="5"/>
    </row>
    <row r="35158">
      <c r="N35158" s="1"/>
      <c r="V35158" s="5"/>
    </row>
    <row r="35159">
      <c r="N35159" s="1"/>
      <c r="V35159" s="5"/>
    </row>
    <row r="35160">
      <c r="N35160" s="1"/>
      <c r="V35160" s="5"/>
    </row>
    <row r="35161">
      <c r="N35161" s="1"/>
      <c r="V35161" s="5"/>
    </row>
    <row r="35162">
      <c r="N35162" s="1"/>
      <c r="V35162" s="5"/>
    </row>
    <row r="35163">
      <c r="N35163" s="1"/>
      <c r="V35163" s="5"/>
    </row>
    <row r="35164">
      <c r="N35164" s="1"/>
      <c r="V35164" s="5"/>
    </row>
    <row r="35165">
      <c r="N35165" s="1"/>
      <c r="V35165" s="5"/>
    </row>
    <row r="35166">
      <c r="N35166" s="1"/>
      <c r="V35166" s="5"/>
    </row>
    <row r="35167">
      <c r="N35167" s="1"/>
      <c r="V35167" s="5"/>
    </row>
    <row r="35168">
      <c r="N35168" s="1"/>
      <c r="V35168" s="5"/>
    </row>
    <row r="35169">
      <c r="N35169" s="1"/>
      <c r="V35169" s="5"/>
    </row>
    <row r="35170">
      <c r="N35170" s="1"/>
      <c r="V35170" s="5"/>
    </row>
    <row r="35171">
      <c r="N35171" s="1"/>
      <c r="V35171" s="5"/>
    </row>
    <row r="35172">
      <c r="N35172" s="1"/>
      <c r="V35172" s="5"/>
    </row>
    <row r="35173">
      <c r="N35173" s="1"/>
      <c r="V35173" s="5"/>
    </row>
    <row r="35174">
      <c r="N35174" s="1"/>
      <c r="V35174" s="5"/>
    </row>
    <row r="35175">
      <c r="N35175" s="1"/>
      <c r="V35175" s="5"/>
    </row>
    <row r="35176">
      <c r="N35176" s="1"/>
      <c r="V35176" s="5"/>
    </row>
    <row r="35177">
      <c r="N35177" s="1"/>
      <c r="V35177" s="5"/>
    </row>
    <row r="35178">
      <c r="N35178" s="1"/>
      <c r="V35178" s="5"/>
    </row>
    <row r="35179">
      <c r="N35179" s="1"/>
      <c r="V35179" s="5"/>
    </row>
    <row r="35180">
      <c r="N35180" s="1"/>
      <c r="V35180" s="5"/>
    </row>
    <row r="35181">
      <c r="N35181" s="1"/>
      <c r="V35181" s="5"/>
    </row>
    <row r="35182">
      <c r="N35182" s="1"/>
      <c r="V35182" s="5"/>
    </row>
    <row r="35183">
      <c r="N35183" s="1"/>
      <c r="V35183" s="5"/>
    </row>
    <row r="35184">
      <c r="N35184" s="1"/>
      <c r="V35184" s="5"/>
    </row>
    <row r="35185">
      <c r="N35185" s="1"/>
      <c r="V35185" s="5"/>
    </row>
    <row r="35186">
      <c r="N35186" s="1"/>
      <c r="V35186" s="5"/>
    </row>
    <row r="35187">
      <c r="N35187" s="1"/>
      <c r="V35187" s="5"/>
    </row>
    <row r="35188">
      <c r="N35188" s="1"/>
      <c r="V35188" s="5"/>
    </row>
    <row r="35189">
      <c r="N35189" s="1"/>
      <c r="V35189" s="5"/>
    </row>
    <row r="35190">
      <c r="N35190" s="1"/>
      <c r="V35190" s="5"/>
    </row>
    <row r="35191">
      <c r="N35191" s="1"/>
      <c r="V35191" s="5"/>
    </row>
    <row r="35192">
      <c r="N35192" s="1"/>
      <c r="V35192" s="5"/>
    </row>
    <row r="35193">
      <c r="N35193" s="1"/>
      <c r="V35193" s="5"/>
    </row>
    <row r="35194">
      <c r="N35194" s="1"/>
      <c r="V35194" s="5"/>
    </row>
    <row r="35195">
      <c r="N35195" s="1"/>
      <c r="V35195" s="5"/>
    </row>
    <row r="35196">
      <c r="N35196" s="1"/>
      <c r="V35196" s="5"/>
    </row>
    <row r="35197">
      <c r="N35197" s="1"/>
      <c r="V35197" s="5"/>
    </row>
    <row r="35198">
      <c r="N35198" s="1"/>
      <c r="V35198" s="5"/>
    </row>
    <row r="35199">
      <c r="N35199" s="1"/>
      <c r="V35199" s="5"/>
    </row>
    <row r="35200">
      <c r="N35200" s="1"/>
      <c r="V35200" s="5"/>
    </row>
    <row r="35201">
      <c r="N35201" s="1"/>
      <c r="V35201" s="5"/>
    </row>
    <row r="35202">
      <c r="N35202" s="1"/>
      <c r="V35202" s="5"/>
    </row>
    <row r="35203">
      <c r="N35203" s="1"/>
      <c r="V35203" s="5"/>
    </row>
    <row r="35204">
      <c r="N35204" s="1"/>
      <c r="V35204" s="5"/>
    </row>
    <row r="35205">
      <c r="N35205" s="1"/>
      <c r="V35205" s="5"/>
    </row>
    <row r="35206">
      <c r="N35206" s="1"/>
      <c r="V35206" s="5"/>
    </row>
    <row r="35207">
      <c r="N35207" s="1"/>
      <c r="V35207" s="5"/>
    </row>
    <row r="35208">
      <c r="N35208" s="1"/>
      <c r="V35208" s="5"/>
    </row>
    <row r="35209">
      <c r="N35209" s="1"/>
      <c r="V35209" s="5"/>
    </row>
    <row r="35210">
      <c r="N35210" s="1"/>
      <c r="V35210" s="5"/>
    </row>
    <row r="35211">
      <c r="N35211" s="1"/>
      <c r="V35211" s="5"/>
    </row>
    <row r="35212">
      <c r="N35212" s="1"/>
      <c r="V35212" s="5"/>
    </row>
    <row r="35213">
      <c r="N35213" s="1"/>
      <c r="V35213" s="5"/>
    </row>
    <row r="35214">
      <c r="N35214" s="1"/>
      <c r="V35214" s="5"/>
    </row>
    <row r="35215">
      <c r="N35215" s="1"/>
      <c r="V35215" s="5"/>
    </row>
    <row r="35216">
      <c r="N35216" s="1"/>
      <c r="V35216" s="5"/>
    </row>
    <row r="35217">
      <c r="N35217" s="1"/>
      <c r="V35217" s="5"/>
    </row>
    <row r="35218">
      <c r="N35218" s="1"/>
      <c r="V35218" s="5"/>
    </row>
    <row r="35219">
      <c r="N35219" s="1"/>
      <c r="V35219" s="5"/>
    </row>
    <row r="35220">
      <c r="N35220" s="1"/>
      <c r="V35220" s="5"/>
    </row>
    <row r="35221">
      <c r="N35221" s="1"/>
      <c r="V35221" s="5"/>
    </row>
    <row r="35222">
      <c r="N35222" s="1"/>
      <c r="V35222" s="5"/>
    </row>
    <row r="35223">
      <c r="N35223" s="1"/>
      <c r="V35223" s="5"/>
    </row>
    <row r="35224">
      <c r="N35224" s="1"/>
      <c r="V35224" s="5"/>
    </row>
    <row r="35225">
      <c r="N35225" s="1"/>
      <c r="V35225" s="5"/>
    </row>
    <row r="35226">
      <c r="N35226" s="1"/>
      <c r="V35226" s="5"/>
    </row>
    <row r="35227">
      <c r="N35227" s="1"/>
      <c r="V35227" s="5"/>
    </row>
    <row r="35228">
      <c r="N35228" s="1"/>
      <c r="V35228" s="5"/>
    </row>
    <row r="35229">
      <c r="N35229" s="1"/>
      <c r="V35229" s="5"/>
    </row>
    <row r="35230">
      <c r="N35230" s="1"/>
      <c r="V35230" s="5"/>
    </row>
    <row r="35231">
      <c r="N35231" s="1"/>
      <c r="V35231" s="5"/>
    </row>
    <row r="35232">
      <c r="N35232" s="1"/>
      <c r="V35232" s="5"/>
    </row>
    <row r="35233">
      <c r="N35233" s="1"/>
      <c r="V35233" s="5"/>
    </row>
    <row r="35234">
      <c r="N35234" s="1"/>
      <c r="V35234" s="5"/>
    </row>
    <row r="35235">
      <c r="N35235" s="1"/>
      <c r="V35235" s="5"/>
    </row>
    <row r="35236">
      <c r="N35236" s="1"/>
      <c r="V35236" s="5"/>
    </row>
    <row r="35237">
      <c r="N35237" s="1"/>
      <c r="V35237" s="5"/>
    </row>
    <row r="35238">
      <c r="N35238" s="1"/>
      <c r="V35238" s="5"/>
    </row>
    <row r="35239">
      <c r="N35239" s="1"/>
      <c r="V35239" s="5"/>
    </row>
    <row r="35240">
      <c r="N35240" s="1"/>
      <c r="V35240" s="5"/>
    </row>
    <row r="35241">
      <c r="N35241" s="1"/>
      <c r="V35241" s="5"/>
    </row>
    <row r="35242">
      <c r="N35242" s="1"/>
      <c r="V35242" s="5"/>
    </row>
    <row r="35243">
      <c r="N35243" s="1"/>
      <c r="V35243" s="5"/>
    </row>
    <row r="35244">
      <c r="N35244" s="1"/>
      <c r="V35244" s="5"/>
    </row>
    <row r="35245">
      <c r="N35245" s="1"/>
      <c r="V35245" s="5"/>
    </row>
    <row r="35246">
      <c r="N35246" s="1"/>
      <c r="V35246" s="5"/>
    </row>
    <row r="35247">
      <c r="N35247" s="1"/>
      <c r="V35247" s="5"/>
    </row>
    <row r="35248">
      <c r="N35248" s="1"/>
      <c r="V35248" s="5"/>
    </row>
    <row r="35249">
      <c r="N35249" s="1"/>
      <c r="V35249" s="5"/>
    </row>
    <row r="35250">
      <c r="N35250" s="1"/>
      <c r="V35250" s="5"/>
    </row>
    <row r="35251">
      <c r="N35251" s="1"/>
      <c r="V35251" s="5"/>
    </row>
    <row r="35252">
      <c r="N35252" s="1"/>
      <c r="V35252" s="5"/>
    </row>
    <row r="35253">
      <c r="N35253" s="1"/>
      <c r="V35253" s="5"/>
    </row>
    <row r="35254">
      <c r="N35254" s="1"/>
      <c r="V35254" s="5"/>
    </row>
    <row r="35255">
      <c r="N35255" s="1"/>
      <c r="V35255" s="5"/>
    </row>
    <row r="35256">
      <c r="N35256" s="1"/>
      <c r="V35256" s="5"/>
    </row>
    <row r="35257">
      <c r="N35257" s="1"/>
      <c r="V35257" s="5"/>
    </row>
    <row r="35258">
      <c r="N35258" s="1"/>
      <c r="V35258" s="5"/>
    </row>
    <row r="35259">
      <c r="N35259" s="1"/>
      <c r="V35259" s="5"/>
    </row>
    <row r="35260">
      <c r="N35260" s="1"/>
      <c r="V35260" s="5"/>
    </row>
    <row r="35261">
      <c r="N35261" s="1"/>
      <c r="V35261" s="5"/>
    </row>
    <row r="35262">
      <c r="N35262" s="1"/>
      <c r="V35262" s="5"/>
    </row>
    <row r="35263">
      <c r="N35263" s="1"/>
      <c r="V35263" s="5"/>
    </row>
    <row r="35264">
      <c r="N35264" s="1"/>
      <c r="V35264" s="5"/>
    </row>
    <row r="35265">
      <c r="N35265" s="1"/>
      <c r="V35265" s="5"/>
    </row>
    <row r="35266">
      <c r="N35266" s="1"/>
      <c r="V35266" s="5"/>
    </row>
    <row r="35267">
      <c r="N35267" s="1"/>
      <c r="V35267" s="5"/>
    </row>
    <row r="35268">
      <c r="N35268" s="1"/>
      <c r="V35268" s="5"/>
    </row>
    <row r="35269">
      <c r="N35269" s="1"/>
      <c r="V35269" s="5"/>
    </row>
    <row r="35270">
      <c r="N35270" s="1"/>
      <c r="V35270" s="5"/>
    </row>
    <row r="35271">
      <c r="N35271" s="1"/>
      <c r="V35271" s="5"/>
    </row>
    <row r="35272">
      <c r="N35272" s="1"/>
      <c r="V35272" s="5"/>
    </row>
    <row r="35273">
      <c r="N35273" s="1"/>
      <c r="V35273" s="5"/>
    </row>
    <row r="35274">
      <c r="N35274" s="1"/>
      <c r="V35274" s="5"/>
    </row>
    <row r="35275">
      <c r="N35275" s="1"/>
      <c r="V35275" s="5"/>
    </row>
    <row r="35276">
      <c r="N35276" s="1"/>
      <c r="V35276" s="5"/>
    </row>
    <row r="35277">
      <c r="N35277" s="1"/>
      <c r="V35277" s="5"/>
    </row>
    <row r="35278">
      <c r="N35278" s="1"/>
      <c r="V35278" s="5"/>
    </row>
    <row r="35279">
      <c r="N35279" s="1"/>
      <c r="V35279" s="5"/>
    </row>
    <row r="35280">
      <c r="N35280" s="1"/>
      <c r="V35280" s="5"/>
    </row>
    <row r="35281">
      <c r="N35281" s="1"/>
      <c r="V35281" s="5"/>
    </row>
    <row r="35282">
      <c r="N35282" s="1"/>
      <c r="V35282" s="5"/>
    </row>
    <row r="35283">
      <c r="N35283" s="1"/>
      <c r="V35283" s="5"/>
    </row>
    <row r="35284">
      <c r="N35284" s="1"/>
      <c r="V35284" s="5"/>
    </row>
    <row r="35285">
      <c r="N35285" s="1"/>
      <c r="V35285" s="5"/>
    </row>
    <row r="35286">
      <c r="N35286" s="1"/>
      <c r="V35286" s="5"/>
    </row>
    <row r="35287">
      <c r="N35287" s="1"/>
      <c r="V35287" s="5"/>
    </row>
    <row r="35288">
      <c r="N35288" s="1"/>
      <c r="V35288" s="5"/>
    </row>
    <row r="35289">
      <c r="N35289" s="1"/>
      <c r="V35289" s="5"/>
    </row>
    <row r="35290">
      <c r="N35290" s="1"/>
      <c r="V35290" s="5"/>
    </row>
    <row r="35291">
      <c r="N35291" s="1"/>
      <c r="V35291" s="5"/>
    </row>
    <row r="35292">
      <c r="N35292" s="1"/>
      <c r="V35292" s="5"/>
    </row>
    <row r="35293">
      <c r="N35293" s="1"/>
      <c r="V35293" s="5"/>
    </row>
    <row r="35294">
      <c r="N35294" s="1"/>
      <c r="V35294" s="5"/>
    </row>
    <row r="35295">
      <c r="N35295" s="1"/>
      <c r="V35295" s="5"/>
    </row>
    <row r="35296">
      <c r="N35296" s="1"/>
      <c r="V35296" s="5"/>
    </row>
    <row r="35297">
      <c r="N35297" s="1"/>
      <c r="V35297" s="5"/>
    </row>
    <row r="35298">
      <c r="N35298" s="1"/>
      <c r="V35298" s="5"/>
    </row>
    <row r="35299">
      <c r="N35299" s="1"/>
      <c r="V35299" s="5"/>
    </row>
    <row r="35300">
      <c r="N35300" s="1"/>
      <c r="V35300" s="5"/>
    </row>
    <row r="35301">
      <c r="N35301" s="1"/>
      <c r="V35301" s="5"/>
    </row>
    <row r="35302">
      <c r="N35302" s="1"/>
      <c r="V35302" s="5"/>
    </row>
    <row r="35303">
      <c r="N35303" s="1"/>
      <c r="V35303" s="5"/>
    </row>
    <row r="35304">
      <c r="N35304" s="1"/>
      <c r="V35304" s="5"/>
    </row>
    <row r="35305">
      <c r="N35305" s="1"/>
      <c r="V35305" s="5"/>
    </row>
    <row r="35306">
      <c r="N35306" s="1"/>
      <c r="V35306" s="5"/>
    </row>
    <row r="35307">
      <c r="N35307" s="1"/>
      <c r="V35307" s="5"/>
    </row>
    <row r="35308">
      <c r="N35308" s="1"/>
      <c r="V35308" s="5"/>
    </row>
    <row r="35309">
      <c r="N35309" s="1"/>
      <c r="V35309" s="5"/>
    </row>
    <row r="35310">
      <c r="N35310" s="1"/>
      <c r="V35310" s="5"/>
    </row>
    <row r="35311">
      <c r="N35311" s="1"/>
      <c r="V35311" s="5"/>
    </row>
    <row r="35312">
      <c r="N35312" s="1"/>
      <c r="V35312" s="5"/>
    </row>
    <row r="35313">
      <c r="N35313" s="1"/>
      <c r="V35313" s="5"/>
    </row>
    <row r="35314">
      <c r="N35314" s="1"/>
      <c r="V35314" s="5"/>
    </row>
    <row r="35315">
      <c r="N35315" s="1"/>
      <c r="V35315" s="5"/>
    </row>
    <row r="35316">
      <c r="N35316" s="1"/>
      <c r="V35316" s="5"/>
    </row>
    <row r="35317">
      <c r="N35317" s="1"/>
      <c r="V35317" s="5"/>
    </row>
    <row r="35318">
      <c r="N35318" s="1"/>
      <c r="V35318" s="5"/>
    </row>
    <row r="35319">
      <c r="N35319" s="1"/>
      <c r="V35319" s="5"/>
    </row>
    <row r="35320">
      <c r="N35320" s="1"/>
      <c r="V35320" s="5"/>
    </row>
    <row r="35321">
      <c r="N35321" s="1"/>
      <c r="V35321" s="5"/>
    </row>
    <row r="35322">
      <c r="N35322" s="1"/>
      <c r="V35322" s="5"/>
    </row>
    <row r="35323">
      <c r="N35323" s="1"/>
      <c r="V35323" s="5"/>
    </row>
    <row r="35324">
      <c r="N35324" s="1"/>
      <c r="V35324" s="5"/>
    </row>
    <row r="35325">
      <c r="N35325" s="1"/>
      <c r="V35325" s="5"/>
    </row>
    <row r="35326">
      <c r="N35326" s="1"/>
      <c r="V35326" s="5"/>
    </row>
    <row r="35327">
      <c r="N35327" s="1"/>
      <c r="V35327" s="5"/>
    </row>
    <row r="35328">
      <c r="N35328" s="1"/>
      <c r="V35328" s="5"/>
    </row>
    <row r="35329">
      <c r="N35329" s="1"/>
      <c r="V35329" s="5"/>
    </row>
    <row r="35330">
      <c r="N35330" s="1"/>
      <c r="V35330" s="5"/>
    </row>
    <row r="35331">
      <c r="N35331" s="1"/>
      <c r="V35331" s="5"/>
    </row>
    <row r="35332">
      <c r="N35332" s="1"/>
      <c r="V35332" s="5"/>
    </row>
    <row r="35333">
      <c r="N35333" s="1"/>
      <c r="V35333" s="5"/>
    </row>
    <row r="35334">
      <c r="N35334" s="1"/>
      <c r="V35334" s="5"/>
    </row>
    <row r="35335">
      <c r="N35335" s="1"/>
      <c r="V35335" s="5"/>
    </row>
    <row r="35336">
      <c r="N35336" s="1"/>
      <c r="V35336" s="5"/>
    </row>
    <row r="35337">
      <c r="N35337" s="1"/>
      <c r="V35337" s="5"/>
    </row>
    <row r="35338">
      <c r="N35338" s="1"/>
      <c r="V35338" s="5"/>
    </row>
    <row r="35339">
      <c r="N35339" s="1"/>
      <c r="V35339" s="5"/>
    </row>
    <row r="35340">
      <c r="N35340" s="1"/>
      <c r="V35340" s="5"/>
    </row>
    <row r="35341">
      <c r="N35341" s="1"/>
      <c r="V35341" s="5"/>
    </row>
    <row r="35342">
      <c r="N35342" s="1"/>
      <c r="V35342" s="5"/>
    </row>
    <row r="35343">
      <c r="N35343" s="1"/>
      <c r="V35343" s="5"/>
    </row>
    <row r="35344">
      <c r="N35344" s="1"/>
      <c r="V35344" s="5"/>
    </row>
    <row r="35345">
      <c r="N35345" s="1"/>
      <c r="V35345" s="5"/>
    </row>
    <row r="35346">
      <c r="N35346" s="1"/>
      <c r="V35346" s="5"/>
    </row>
    <row r="35347">
      <c r="N35347" s="1"/>
      <c r="V35347" s="5"/>
    </row>
    <row r="35348">
      <c r="N35348" s="1"/>
      <c r="V35348" s="5"/>
    </row>
    <row r="35349">
      <c r="N35349" s="1"/>
      <c r="V35349" s="5"/>
    </row>
    <row r="35350">
      <c r="N35350" s="1"/>
      <c r="V35350" s="5"/>
    </row>
    <row r="35351">
      <c r="N35351" s="1"/>
      <c r="V35351" s="5"/>
    </row>
    <row r="35352">
      <c r="N35352" s="1"/>
      <c r="V35352" s="5"/>
    </row>
    <row r="35353">
      <c r="N35353" s="1"/>
      <c r="V35353" s="5"/>
    </row>
    <row r="35354">
      <c r="N35354" s="1"/>
      <c r="V35354" s="5"/>
    </row>
    <row r="35355">
      <c r="N35355" s="1"/>
      <c r="V35355" s="5"/>
    </row>
    <row r="35356">
      <c r="N35356" s="1"/>
      <c r="V35356" s="5"/>
    </row>
    <row r="35357">
      <c r="N35357" s="1"/>
      <c r="V35357" s="5"/>
    </row>
    <row r="35358">
      <c r="N35358" s="1"/>
      <c r="V35358" s="5"/>
    </row>
    <row r="35359">
      <c r="N35359" s="1"/>
      <c r="V35359" s="5"/>
    </row>
    <row r="35360">
      <c r="N35360" s="1"/>
      <c r="V35360" s="5"/>
    </row>
    <row r="35361">
      <c r="N35361" s="1"/>
      <c r="V35361" s="5"/>
    </row>
    <row r="35362">
      <c r="N35362" s="1"/>
      <c r="V35362" s="5"/>
    </row>
    <row r="35363">
      <c r="N35363" s="1"/>
      <c r="V35363" s="5"/>
    </row>
    <row r="35364">
      <c r="N35364" s="1"/>
      <c r="V35364" s="5"/>
    </row>
    <row r="35365">
      <c r="N35365" s="1"/>
      <c r="V35365" s="5"/>
    </row>
    <row r="35366">
      <c r="N35366" s="1"/>
      <c r="V35366" s="5"/>
    </row>
    <row r="35367">
      <c r="N35367" s="1"/>
      <c r="V35367" s="5"/>
    </row>
    <row r="35368">
      <c r="N35368" s="1"/>
      <c r="V35368" s="5"/>
    </row>
    <row r="35369">
      <c r="N35369" s="1"/>
      <c r="V35369" s="5"/>
    </row>
    <row r="35370">
      <c r="N35370" s="1"/>
      <c r="V35370" s="5"/>
    </row>
    <row r="35371">
      <c r="N35371" s="1"/>
      <c r="V35371" s="5"/>
    </row>
    <row r="35372">
      <c r="N35372" s="1"/>
      <c r="V35372" s="5"/>
    </row>
    <row r="35373">
      <c r="N35373" s="1"/>
      <c r="V35373" s="5"/>
    </row>
    <row r="35374">
      <c r="N35374" s="1"/>
      <c r="V35374" s="5"/>
    </row>
    <row r="35375">
      <c r="N35375" s="1"/>
      <c r="V35375" s="5"/>
    </row>
    <row r="35376">
      <c r="N35376" s="1"/>
      <c r="V35376" s="5"/>
    </row>
    <row r="35377">
      <c r="N35377" s="1"/>
      <c r="V35377" s="5"/>
    </row>
    <row r="35378">
      <c r="N35378" s="1"/>
      <c r="V35378" s="5"/>
    </row>
    <row r="35379">
      <c r="N35379" s="1"/>
      <c r="V35379" s="5"/>
    </row>
    <row r="35380">
      <c r="N35380" s="1"/>
      <c r="V35380" s="5"/>
    </row>
    <row r="35381">
      <c r="N35381" s="1"/>
      <c r="V35381" s="5"/>
    </row>
    <row r="35382">
      <c r="N35382" s="1"/>
      <c r="V35382" s="5"/>
    </row>
    <row r="35383">
      <c r="N35383" s="1"/>
      <c r="V35383" s="5"/>
    </row>
    <row r="35384">
      <c r="N35384" s="1"/>
      <c r="V35384" s="5"/>
    </row>
    <row r="35385">
      <c r="N35385" s="1"/>
      <c r="V35385" s="5"/>
    </row>
    <row r="35386">
      <c r="N35386" s="1"/>
      <c r="V35386" s="5"/>
    </row>
    <row r="35387">
      <c r="N35387" s="1"/>
      <c r="V35387" s="5"/>
    </row>
    <row r="35388">
      <c r="N35388" s="1"/>
      <c r="V35388" s="5"/>
    </row>
    <row r="35389">
      <c r="N35389" s="1"/>
      <c r="V35389" s="5"/>
    </row>
    <row r="35390">
      <c r="N35390" s="1"/>
      <c r="V35390" s="5"/>
    </row>
    <row r="35391">
      <c r="N35391" s="1"/>
      <c r="V35391" s="5"/>
    </row>
    <row r="35392">
      <c r="N35392" s="1"/>
      <c r="V35392" s="5"/>
    </row>
    <row r="35393">
      <c r="N35393" s="1"/>
      <c r="V35393" s="5"/>
    </row>
    <row r="35394">
      <c r="N35394" s="1"/>
      <c r="V35394" s="5"/>
    </row>
    <row r="35395">
      <c r="N35395" s="1"/>
      <c r="V35395" s="5"/>
    </row>
    <row r="35396">
      <c r="N35396" s="1"/>
      <c r="V35396" s="5"/>
    </row>
    <row r="35397">
      <c r="N35397" s="1"/>
      <c r="V35397" s="5"/>
    </row>
    <row r="35398">
      <c r="N35398" s="1"/>
      <c r="V35398" s="5"/>
    </row>
    <row r="35399">
      <c r="N35399" s="1"/>
      <c r="V35399" s="5"/>
    </row>
    <row r="35400">
      <c r="N35400" s="1"/>
      <c r="V35400" s="5"/>
    </row>
    <row r="35401">
      <c r="N35401" s="1"/>
      <c r="V35401" s="5"/>
    </row>
    <row r="35402">
      <c r="N35402" s="1"/>
      <c r="V35402" s="5"/>
    </row>
    <row r="35403">
      <c r="N35403" s="1"/>
      <c r="V35403" s="5"/>
    </row>
    <row r="35404">
      <c r="N35404" s="1"/>
      <c r="V35404" s="5"/>
    </row>
    <row r="35405">
      <c r="N35405" s="1"/>
      <c r="V35405" s="5"/>
    </row>
    <row r="35406">
      <c r="N35406" s="1"/>
      <c r="V35406" s="5"/>
    </row>
    <row r="35407">
      <c r="N35407" s="1"/>
      <c r="V35407" s="5"/>
    </row>
    <row r="35408">
      <c r="N35408" s="1"/>
      <c r="V35408" s="5"/>
    </row>
    <row r="35409">
      <c r="N35409" s="1"/>
      <c r="V35409" s="5"/>
    </row>
    <row r="35410">
      <c r="N35410" s="1"/>
      <c r="V35410" s="5"/>
    </row>
    <row r="35411">
      <c r="N35411" s="1"/>
      <c r="V35411" s="5"/>
    </row>
    <row r="35412">
      <c r="N35412" s="1"/>
      <c r="V35412" s="5"/>
    </row>
    <row r="35413">
      <c r="N35413" s="1"/>
      <c r="V35413" s="5"/>
    </row>
    <row r="35414">
      <c r="N35414" s="1"/>
      <c r="V35414" s="5"/>
    </row>
    <row r="35415">
      <c r="N35415" s="1"/>
      <c r="V35415" s="5"/>
    </row>
    <row r="35416">
      <c r="N35416" s="1"/>
      <c r="V35416" s="5"/>
    </row>
    <row r="35417">
      <c r="N35417" s="1"/>
      <c r="V35417" s="5"/>
    </row>
    <row r="35418">
      <c r="N35418" s="1"/>
      <c r="V35418" s="5"/>
    </row>
    <row r="35419">
      <c r="N35419" s="1"/>
      <c r="V35419" s="5"/>
    </row>
    <row r="35420">
      <c r="N35420" s="1"/>
      <c r="V35420" s="5"/>
    </row>
    <row r="35421">
      <c r="N35421" s="1"/>
      <c r="V35421" s="5"/>
    </row>
    <row r="35422">
      <c r="N35422" s="1"/>
      <c r="V35422" s="5"/>
    </row>
    <row r="35423">
      <c r="N35423" s="1"/>
      <c r="V35423" s="5"/>
    </row>
    <row r="35424">
      <c r="N35424" s="1"/>
      <c r="V35424" s="5"/>
    </row>
    <row r="35425">
      <c r="N35425" s="1"/>
      <c r="V35425" s="5"/>
    </row>
    <row r="35426">
      <c r="N35426" s="1"/>
      <c r="V35426" s="5"/>
    </row>
    <row r="35427">
      <c r="N35427" s="1"/>
      <c r="V35427" s="5"/>
    </row>
    <row r="35428">
      <c r="N35428" s="1"/>
      <c r="V35428" s="5"/>
    </row>
    <row r="35429">
      <c r="N35429" s="1"/>
      <c r="V35429" s="5"/>
    </row>
    <row r="35430">
      <c r="N35430" s="1"/>
      <c r="V35430" s="5"/>
    </row>
    <row r="35431">
      <c r="N35431" s="1"/>
      <c r="V35431" s="5"/>
    </row>
    <row r="35432">
      <c r="N35432" s="1"/>
      <c r="V35432" s="5"/>
    </row>
    <row r="35433">
      <c r="N35433" s="1"/>
      <c r="V35433" s="5"/>
    </row>
    <row r="35434">
      <c r="N35434" s="1"/>
      <c r="V35434" s="5"/>
    </row>
    <row r="35435">
      <c r="N35435" s="1"/>
      <c r="V35435" s="5"/>
    </row>
    <row r="35436">
      <c r="N35436" s="1"/>
      <c r="V35436" s="5"/>
    </row>
    <row r="35437">
      <c r="N35437" s="1"/>
      <c r="V35437" s="5"/>
    </row>
    <row r="35438">
      <c r="N35438" s="1"/>
      <c r="V35438" s="5"/>
    </row>
    <row r="35439">
      <c r="N35439" s="1"/>
      <c r="V35439" s="5"/>
    </row>
    <row r="35440">
      <c r="N35440" s="1"/>
      <c r="V35440" s="5"/>
    </row>
    <row r="35441">
      <c r="N35441" s="1"/>
      <c r="V35441" s="5"/>
    </row>
    <row r="35442">
      <c r="N35442" s="1"/>
      <c r="V35442" s="5"/>
    </row>
    <row r="35443">
      <c r="N35443" s="1"/>
      <c r="V35443" s="5"/>
    </row>
    <row r="35444">
      <c r="N35444" s="1"/>
      <c r="V35444" s="5"/>
    </row>
    <row r="35445">
      <c r="N35445" s="1"/>
      <c r="V35445" s="5"/>
    </row>
    <row r="35446">
      <c r="N35446" s="1"/>
      <c r="V35446" s="5"/>
    </row>
    <row r="35447">
      <c r="N35447" s="1"/>
      <c r="V35447" s="5"/>
    </row>
    <row r="35448">
      <c r="N35448" s="1"/>
      <c r="V35448" s="5"/>
    </row>
    <row r="35449">
      <c r="N35449" s="1"/>
      <c r="V35449" s="5"/>
    </row>
    <row r="35450">
      <c r="N35450" s="1"/>
      <c r="V35450" s="5"/>
    </row>
    <row r="35451">
      <c r="N35451" s="1"/>
      <c r="V35451" s="5"/>
    </row>
    <row r="35452">
      <c r="N35452" s="1"/>
      <c r="V35452" s="5"/>
    </row>
    <row r="35453">
      <c r="N35453" s="1"/>
      <c r="V35453" s="5"/>
    </row>
    <row r="35454">
      <c r="N35454" s="1"/>
      <c r="V35454" s="5"/>
    </row>
    <row r="35455">
      <c r="N35455" s="1"/>
      <c r="V35455" s="5"/>
    </row>
    <row r="35456">
      <c r="N35456" s="1"/>
      <c r="V35456" s="5"/>
    </row>
    <row r="35457">
      <c r="N35457" s="1"/>
      <c r="V35457" s="5"/>
    </row>
    <row r="35458">
      <c r="N35458" s="1"/>
      <c r="V35458" s="5"/>
    </row>
    <row r="35459">
      <c r="N35459" s="1"/>
      <c r="V35459" s="5"/>
    </row>
    <row r="35460">
      <c r="N35460" s="1"/>
      <c r="V35460" s="5"/>
    </row>
    <row r="35461">
      <c r="N35461" s="1"/>
      <c r="V35461" s="5"/>
    </row>
    <row r="35462">
      <c r="N35462" s="1"/>
      <c r="V35462" s="5"/>
    </row>
    <row r="35463">
      <c r="N35463" s="1"/>
      <c r="V35463" s="5"/>
    </row>
    <row r="35464">
      <c r="N35464" s="1"/>
      <c r="V35464" s="5"/>
    </row>
    <row r="35465">
      <c r="N35465" s="1"/>
      <c r="V35465" s="5"/>
    </row>
    <row r="35466">
      <c r="N35466" s="1"/>
      <c r="V35466" s="5"/>
    </row>
    <row r="35467">
      <c r="N35467" s="1"/>
      <c r="V35467" s="5"/>
    </row>
    <row r="35468">
      <c r="N35468" s="1"/>
      <c r="V35468" s="5"/>
    </row>
    <row r="35469">
      <c r="N35469" s="1"/>
      <c r="V35469" s="5"/>
    </row>
    <row r="35470">
      <c r="N35470" s="1"/>
      <c r="V35470" s="5"/>
    </row>
    <row r="35471">
      <c r="N35471" s="1"/>
      <c r="V35471" s="5"/>
    </row>
    <row r="35472">
      <c r="N35472" s="1"/>
      <c r="V35472" s="5"/>
    </row>
    <row r="35473">
      <c r="N35473" s="1"/>
      <c r="V35473" s="5"/>
    </row>
    <row r="35474">
      <c r="N35474" s="1"/>
      <c r="V35474" s="5"/>
    </row>
    <row r="35475">
      <c r="N35475" s="1"/>
      <c r="V35475" s="5"/>
    </row>
    <row r="35476">
      <c r="N35476" s="1"/>
      <c r="V35476" s="5"/>
    </row>
    <row r="35477">
      <c r="N35477" s="1"/>
      <c r="V35477" s="5"/>
    </row>
    <row r="35478">
      <c r="N35478" s="1"/>
      <c r="V35478" s="5"/>
    </row>
    <row r="35479">
      <c r="N35479" s="1"/>
      <c r="V35479" s="5"/>
    </row>
    <row r="35480">
      <c r="N35480" s="1"/>
      <c r="V35480" s="5"/>
    </row>
    <row r="35481">
      <c r="N35481" s="1"/>
      <c r="V35481" s="5"/>
    </row>
    <row r="35482">
      <c r="N35482" s="1"/>
      <c r="V35482" s="5"/>
    </row>
    <row r="35483">
      <c r="N35483" s="1"/>
      <c r="V35483" s="5"/>
    </row>
    <row r="35484">
      <c r="N35484" s="1"/>
      <c r="V35484" s="5"/>
    </row>
    <row r="35485">
      <c r="N35485" s="1"/>
      <c r="V35485" s="5"/>
    </row>
    <row r="35486">
      <c r="N35486" s="1"/>
      <c r="V35486" s="5"/>
    </row>
    <row r="35487">
      <c r="N35487" s="1"/>
      <c r="V35487" s="5"/>
    </row>
    <row r="35488">
      <c r="N35488" s="1"/>
      <c r="V35488" s="5"/>
    </row>
    <row r="35489">
      <c r="N35489" s="1"/>
      <c r="V35489" s="5"/>
    </row>
    <row r="35490">
      <c r="N35490" s="1"/>
      <c r="V35490" s="5"/>
    </row>
    <row r="35491">
      <c r="N35491" s="1"/>
      <c r="V35491" s="5"/>
    </row>
    <row r="35492">
      <c r="N35492" s="1"/>
      <c r="V35492" s="5"/>
    </row>
    <row r="35493">
      <c r="N35493" s="1"/>
      <c r="V35493" s="5"/>
    </row>
    <row r="35494">
      <c r="N35494" s="1"/>
      <c r="V35494" s="5"/>
    </row>
    <row r="35495">
      <c r="N35495" s="1"/>
      <c r="V35495" s="5"/>
    </row>
    <row r="35496">
      <c r="N35496" s="1"/>
      <c r="V35496" s="5"/>
    </row>
    <row r="35497">
      <c r="N35497" s="1"/>
      <c r="V35497" s="5"/>
    </row>
    <row r="35498">
      <c r="N35498" s="1"/>
      <c r="V35498" s="5"/>
    </row>
    <row r="35499">
      <c r="N35499" s="1"/>
      <c r="V35499" s="5"/>
    </row>
    <row r="35500">
      <c r="N35500" s="1"/>
      <c r="V35500" s="5"/>
    </row>
    <row r="35501">
      <c r="N35501" s="1"/>
      <c r="V35501" s="5"/>
    </row>
    <row r="35502">
      <c r="N35502" s="1"/>
      <c r="V35502" s="5"/>
    </row>
    <row r="35503">
      <c r="N35503" s="1"/>
      <c r="V35503" s="5"/>
    </row>
    <row r="35504">
      <c r="N35504" s="1"/>
      <c r="V35504" s="5"/>
    </row>
    <row r="35505">
      <c r="N35505" s="1"/>
      <c r="V35505" s="5"/>
    </row>
    <row r="35506">
      <c r="N35506" s="1"/>
      <c r="V35506" s="5"/>
    </row>
    <row r="35507">
      <c r="N35507" s="1"/>
      <c r="V35507" s="5"/>
    </row>
    <row r="35508">
      <c r="N35508" s="1"/>
      <c r="V35508" s="5"/>
    </row>
    <row r="35509">
      <c r="N35509" s="1"/>
      <c r="V35509" s="5"/>
    </row>
    <row r="35510">
      <c r="N35510" s="1"/>
      <c r="V35510" s="5"/>
    </row>
    <row r="35511">
      <c r="N35511" s="1"/>
      <c r="V35511" s="5"/>
    </row>
    <row r="35512">
      <c r="N35512" s="1"/>
      <c r="V35512" s="5"/>
    </row>
    <row r="35513">
      <c r="N35513" s="1"/>
      <c r="V35513" s="5"/>
    </row>
    <row r="35514">
      <c r="N35514" s="1"/>
      <c r="V35514" s="5"/>
    </row>
    <row r="35515">
      <c r="N35515" s="1"/>
      <c r="V35515" s="5"/>
    </row>
    <row r="35516">
      <c r="N35516" s="1"/>
      <c r="V35516" s="5"/>
    </row>
    <row r="35517">
      <c r="N35517" s="1"/>
      <c r="V35517" s="5"/>
    </row>
    <row r="35518">
      <c r="N35518" s="1"/>
      <c r="V35518" s="5"/>
    </row>
    <row r="35519">
      <c r="N35519" s="1"/>
      <c r="V35519" s="5"/>
    </row>
    <row r="35520">
      <c r="N35520" s="1"/>
      <c r="V35520" s="5"/>
    </row>
    <row r="35521">
      <c r="N35521" s="1"/>
      <c r="V35521" s="5"/>
    </row>
    <row r="35522">
      <c r="N35522" s="1"/>
      <c r="V35522" s="5"/>
    </row>
    <row r="35523">
      <c r="N35523" s="1"/>
      <c r="V35523" s="5"/>
    </row>
    <row r="35524">
      <c r="N35524" s="1"/>
      <c r="V35524" s="5"/>
    </row>
    <row r="35525">
      <c r="N35525" s="1"/>
      <c r="V35525" s="5"/>
    </row>
    <row r="35526">
      <c r="N35526" s="1"/>
      <c r="V35526" s="5"/>
    </row>
    <row r="35527">
      <c r="N35527" s="1"/>
      <c r="V35527" s="5"/>
    </row>
    <row r="35528">
      <c r="N35528" s="1"/>
      <c r="V35528" s="5"/>
    </row>
    <row r="35529">
      <c r="N35529" s="1"/>
      <c r="V35529" s="5"/>
    </row>
    <row r="35530">
      <c r="N35530" s="1"/>
      <c r="V35530" s="5"/>
    </row>
    <row r="35531">
      <c r="N35531" s="1"/>
      <c r="V35531" s="5"/>
    </row>
    <row r="35532">
      <c r="N35532" s="1"/>
      <c r="V35532" s="5"/>
    </row>
    <row r="35533">
      <c r="N35533" s="1"/>
      <c r="V35533" s="5"/>
    </row>
    <row r="35534">
      <c r="N35534" s="1"/>
      <c r="V35534" s="5"/>
    </row>
    <row r="35535">
      <c r="N35535" s="1"/>
      <c r="V35535" s="5"/>
    </row>
    <row r="35536">
      <c r="N35536" s="1"/>
      <c r="V35536" s="5"/>
    </row>
    <row r="35537">
      <c r="N35537" s="1"/>
      <c r="V35537" s="5"/>
    </row>
    <row r="35538">
      <c r="N35538" s="1"/>
      <c r="V35538" s="5"/>
    </row>
    <row r="35539">
      <c r="N35539" s="1"/>
      <c r="V35539" s="5"/>
    </row>
    <row r="35540">
      <c r="N35540" s="1"/>
      <c r="V35540" s="5"/>
    </row>
    <row r="35541">
      <c r="N35541" s="1"/>
      <c r="V35541" s="5"/>
    </row>
    <row r="35542">
      <c r="N35542" s="1"/>
      <c r="V35542" s="5"/>
    </row>
    <row r="35543">
      <c r="N35543" s="1"/>
      <c r="V35543" s="5"/>
    </row>
    <row r="35544">
      <c r="N35544" s="1"/>
      <c r="V35544" s="5"/>
    </row>
    <row r="35545">
      <c r="N35545" s="1"/>
      <c r="V35545" s="5"/>
    </row>
    <row r="35546">
      <c r="N35546" s="1"/>
      <c r="V35546" s="5"/>
    </row>
    <row r="35547">
      <c r="N35547" s="1"/>
      <c r="V35547" s="5"/>
    </row>
    <row r="35548">
      <c r="N35548" s="1"/>
      <c r="V35548" s="5"/>
    </row>
    <row r="35549">
      <c r="N35549" s="1"/>
      <c r="V35549" s="5"/>
    </row>
    <row r="35550">
      <c r="N35550" s="1"/>
      <c r="V35550" s="5"/>
    </row>
    <row r="35551">
      <c r="N35551" s="1"/>
      <c r="V35551" s="5"/>
    </row>
    <row r="35552">
      <c r="N35552" s="1"/>
      <c r="V35552" s="5"/>
    </row>
    <row r="35553">
      <c r="N35553" s="1"/>
      <c r="V35553" s="5"/>
    </row>
    <row r="35554">
      <c r="N35554" s="1"/>
      <c r="V35554" s="5"/>
    </row>
    <row r="35555">
      <c r="N35555" s="1"/>
      <c r="V35555" s="5"/>
    </row>
    <row r="35556">
      <c r="N35556" s="1"/>
      <c r="V35556" s="5"/>
    </row>
    <row r="35557">
      <c r="N35557" s="1"/>
      <c r="V35557" s="5"/>
    </row>
    <row r="35558">
      <c r="N35558" s="1"/>
      <c r="V35558" s="5"/>
    </row>
    <row r="35559">
      <c r="N35559" s="1"/>
      <c r="V35559" s="5"/>
    </row>
    <row r="35560">
      <c r="N35560" s="1"/>
      <c r="V35560" s="5"/>
    </row>
    <row r="35561">
      <c r="N35561" s="1"/>
      <c r="V35561" s="5"/>
    </row>
    <row r="35562">
      <c r="N35562" s="1"/>
      <c r="V35562" s="5"/>
    </row>
    <row r="35563">
      <c r="N35563" s="1"/>
      <c r="V35563" s="5"/>
    </row>
    <row r="35564">
      <c r="N35564" s="1"/>
      <c r="V35564" s="5"/>
    </row>
    <row r="35565">
      <c r="N35565" s="1"/>
      <c r="V35565" s="5"/>
    </row>
    <row r="35566">
      <c r="N35566" s="1"/>
      <c r="V35566" s="5"/>
    </row>
    <row r="35567">
      <c r="N35567" s="1"/>
      <c r="V35567" s="5"/>
    </row>
    <row r="35568">
      <c r="N35568" s="1"/>
      <c r="V35568" s="5"/>
    </row>
    <row r="35569">
      <c r="N35569" s="1"/>
      <c r="V35569" s="5"/>
    </row>
    <row r="35570">
      <c r="N35570" s="1"/>
      <c r="V35570" s="5"/>
    </row>
    <row r="35571">
      <c r="N35571" s="1"/>
      <c r="V35571" s="5"/>
    </row>
    <row r="35572">
      <c r="N35572" s="1"/>
      <c r="V35572" s="5"/>
    </row>
    <row r="35573">
      <c r="N35573" s="1"/>
      <c r="V35573" s="5"/>
    </row>
    <row r="35574">
      <c r="N35574" s="1"/>
      <c r="V35574" s="5"/>
    </row>
    <row r="35575">
      <c r="N35575" s="1"/>
      <c r="V35575" s="5"/>
    </row>
    <row r="35576">
      <c r="N35576" s="1"/>
      <c r="V35576" s="5"/>
    </row>
    <row r="35577">
      <c r="N35577" s="1"/>
      <c r="V35577" s="5"/>
    </row>
    <row r="35578">
      <c r="N35578" s="1"/>
      <c r="V35578" s="5"/>
    </row>
    <row r="35579">
      <c r="N35579" s="1"/>
      <c r="V35579" s="5"/>
    </row>
    <row r="35580">
      <c r="N35580" s="1"/>
      <c r="V35580" s="5"/>
    </row>
    <row r="35581">
      <c r="N35581" s="1"/>
      <c r="V35581" s="5"/>
    </row>
    <row r="35582">
      <c r="N35582" s="1"/>
      <c r="V35582" s="5"/>
    </row>
    <row r="35583">
      <c r="N35583" s="1"/>
      <c r="V35583" s="5"/>
    </row>
    <row r="35584">
      <c r="N35584" s="1"/>
      <c r="V35584" s="5"/>
    </row>
    <row r="35585">
      <c r="N35585" s="1"/>
      <c r="V35585" s="5"/>
    </row>
    <row r="35586">
      <c r="N35586" s="1"/>
      <c r="V35586" s="5"/>
    </row>
    <row r="35587">
      <c r="N35587" s="1"/>
      <c r="V35587" s="5"/>
    </row>
    <row r="35588">
      <c r="N35588" s="1"/>
      <c r="V35588" s="5"/>
    </row>
    <row r="35589">
      <c r="N35589" s="1"/>
      <c r="V35589" s="5"/>
    </row>
    <row r="35590">
      <c r="N35590" s="1"/>
      <c r="V35590" s="5"/>
    </row>
    <row r="35591">
      <c r="N35591" s="1"/>
      <c r="V35591" s="5"/>
    </row>
    <row r="35592">
      <c r="N35592" s="1"/>
      <c r="V35592" s="5"/>
    </row>
    <row r="35593">
      <c r="N35593" s="1"/>
      <c r="V35593" s="5"/>
    </row>
    <row r="35594">
      <c r="N35594" s="1"/>
      <c r="V35594" s="5"/>
    </row>
    <row r="35595">
      <c r="N35595" s="1"/>
      <c r="V35595" s="5"/>
    </row>
    <row r="35596">
      <c r="N35596" s="1"/>
      <c r="V35596" s="5"/>
    </row>
    <row r="35597">
      <c r="N35597" s="1"/>
      <c r="V35597" s="5"/>
    </row>
    <row r="35598">
      <c r="N35598" s="1"/>
      <c r="V35598" s="5"/>
    </row>
    <row r="35599">
      <c r="N35599" s="1"/>
      <c r="V35599" s="5"/>
    </row>
    <row r="35600">
      <c r="N35600" s="1"/>
      <c r="V35600" s="5"/>
    </row>
    <row r="35601">
      <c r="N35601" s="1"/>
      <c r="V35601" s="5"/>
    </row>
    <row r="35602">
      <c r="N35602" s="1"/>
      <c r="V35602" s="5"/>
    </row>
    <row r="35603">
      <c r="N35603" s="1"/>
      <c r="V35603" s="5"/>
    </row>
    <row r="35604">
      <c r="N35604" s="1"/>
      <c r="V35604" s="5"/>
    </row>
    <row r="35605">
      <c r="N35605" s="1"/>
      <c r="V35605" s="5"/>
    </row>
    <row r="35606">
      <c r="N35606" s="1"/>
      <c r="V35606" s="5"/>
    </row>
    <row r="35607">
      <c r="N35607" s="1"/>
      <c r="V35607" s="5"/>
    </row>
    <row r="35608">
      <c r="N35608" s="1"/>
      <c r="V35608" s="5"/>
    </row>
    <row r="35609">
      <c r="N35609" s="1"/>
      <c r="V35609" s="5"/>
    </row>
    <row r="35610">
      <c r="N35610" s="1"/>
      <c r="V35610" s="5"/>
    </row>
    <row r="35611">
      <c r="N35611" s="1"/>
      <c r="V35611" s="5"/>
    </row>
    <row r="35612">
      <c r="N35612" s="1"/>
      <c r="V35612" s="5"/>
    </row>
    <row r="35613">
      <c r="N35613" s="1"/>
      <c r="V35613" s="5"/>
    </row>
    <row r="35614">
      <c r="N35614" s="1"/>
      <c r="V35614" s="5"/>
    </row>
    <row r="35615">
      <c r="N35615" s="1"/>
      <c r="V35615" s="5"/>
    </row>
    <row r="35616">
      <c r="N35616" s="1"/>
      <c r="V35616" s="5"/>
    </row>
    <row r="35617">
      <c r="N35617" s="1"/>
      <c r="V35617" s="5"/>
    </row>
    <row r="35618">
      <c r="N35618" s="1"/>
      <c r="V35618" s="5"/>
    </row>
    <row r="35619">
      <c r="N35619" s="1"/>
      <c r="V35619" s="5"/>
    </row>
    <row r="35620">
      <c r="N35620" s="1"/>
      <c r="V35620" s="5"/>
    </row>
    <row r="35621">
      <c r="N35621" s="1"/>
      <c r="V35621" s="5"/>
    </row>
    <row r="35622">
      <c r="N35622" s="1"/>
      <c r="V35622" s="5"/>
    </row>
    <row r="35623">
      <c r="N35623" s="1"/>
      <c r="V35623" s="5"/>
    </row>
    <row r="35624">
      <c r="N35624" s="1"/>
      <c r="V35624" s="5"/>
    </row>
    <row r="35625">
      <c r="N35625" s="1"/>
      <c r="V35625" s="5"/>
    </row>
    <row r="35626">
      <c r="N35626" s="1"/>
      <c r="V35626" s="5"/>
    </row>
    <row r="35627">
      <c r="N35627" s="1"/>
      <c r="V35627" s="5"/>
    </row>
    <row r="35628">
      <c r="N35628" s="1"/>
      <c r="V35628" s="5"/>
    </row>
    <row r="35629">
      <c r="N35629" s="1"/>
      <c r="V35629" s="5"/>
    </row>
    <row r="35630">
      <c r="N35630" s="1"/>
      <c r="V35630" s="5"/>
    </row>
    <row r="35631">
      <c r="N35631" s="1"/>
      <c r="V35631" s="5"/>
    </row>
    <row r="35632">
      <c r="N35632" s="1"/>
      <c r="V35632" s="5"/>
    </row>
    <row r="35633">
      <c r="N35633" s="1"/>
      <c r="V35633" s="5"/>
    </row>
    <row r="35634">
      <c r="N35634" s="1"/>
      <c r="V35634" s="5"/>
    </row>
    <row r="35635">
      <c r="N35635" s="1"/>
      <c r="V35635" s="5"/>
    </row>
    <row r="35636">
      <c r="N35636" s="1"/>
      <c r="V35636" s="5"/>
    </row>
    <row r="35637">
      <c r="N35637" s="1"/>
      <c r="V35637" s="5"/>
    </row>
    <row r="35638">
      <c r="N35638" s="1"/>
      <c r="V35638" s="5"/>
    </row>
    <row r="35639">
      <c r="N35639" s="1"/>
      <c r="V35639" s="5"/>
    </row>
    <row r="35640">
      <c r="N35640" s="1"/>
      <c r="V35640" s="5"/>
    </row>
    <row r="35641">
      <c r="N35641" s="1"/>
      <c r="V35641" s="5"/>
    </row>
    <row r="35642">
      <c r="N35642" s="1"/>
      <c r="V35642" s="5"/>
    </row>
    <row r="35643">
      <c r="N35643" s="1"/>
      <c r="V35643" s="5"/>
    </row>
    <row r="35644">
      <c r="N35644" s="1"/>
      <c r="V35644" s="5"/>
    </row>
    <row r="35645">
      <c r="N35645" s="1"/>
      <c r="V35645" s="5"/>
    </row>
    <row r="35646">
      <c r="N35646" s="1"/>
      <c r="V35646" s="5"/>
    </row>
    <row r="35647">
      <c r="N35647" s="1"/>
      <c r="V35647" s="5"/>
    </row>
    <row r="35648">
      <c r="N35648" s="1"/>
      <c r="V35648" s="5"/>
    </row>
    <row r="35649">
      <c r="N35649" s="1"/>
      <c r="V35649" s="5"/>
    </row>
    <row r="35650">
      <c r="N35650" s="1"/>
      <c r="V35650" s="5"/>
    </row>
    <row r="35651">
      <c r="N35651" s="1"/>
      <c r="V35651" s="5"/>
    </row>
    <row r="35652">
      <c r="N35652" s="1"/>
      <c r="V35652" s="5"/>
    </row>
    <row r="35653">
      <c r="N35653" s="1"/>
      <c r="V35653" s="5"/>
    </row>
    <row r="35654">
      <c r="N35654" s="1"/>
      <c r="V35654" s="5"/>
    </row>
    <row r="35655">
      <c r="N35655" s="1"/>
      <c r="V35655" s="5"/>
    </row>
    <row r="35656">
      <c r="N35656" s="1"/>
      <c r="V35656" s="5"/>
    </row>
    <row r="35657">
      <c r="N35657" s="1"/>
      <c r="V35657" s="5"/>
    </row>
    <row r="35658">
      <c r="N35658" s="1"/>
      <c r="V35658" s="5"/>
    </row>
    <row r="35659">
      <c r="N35659" s="1"/>
      <c r="V35659" s="5"/>
    </row>
    <row r="35660">
      <c r="N35660" s="1"/>
      <c r="V35660" s="5"/>
    </row>
    <row r="35661">
      <c r="N35661" s="1"/>
      <c r="V35661" s="5"/>
    </row>
    <row r="35662">
      <c r="N35662" s="1"/>
      <c r="V35662" s="5"/>
    </row>
    <row r="35663">
      <c r="N35663" s="1"/>
      <c r="V35663" s="5"/>
    </row>
    <row r="35664">
      <c r="N35664" s="1"/>
      <c r="V35664" s="5"/>
    </row>
    <row r="35665">
      <c r="N35665" s="1"/>
      <c r="V35665" s="5"/>
    </row>
    <row r="35666">
      <c r="N35666" s="1"/>
      <c r="V35666" s="5"/>
    </row>
    <row r="35667">
      <c r="N35667" s="1"/>
      <c r="V35667" s="5"/>
    </row>
    <row r="35668">
      <c r="N35668" s="1"/>
      <c r="V35668" s="5"/>
    </row>
    <row r="35669">
      <c r="N35669" s="1"/>
      <c r="V35669" s="5"/>
    </row>
    <row r="35670">
      <c r="N35670" s="1"/>
      <c r="V35670" s="5"/>
    </row>
    <row r="35671">
      <c r="N35671" s="1"/>
      <c r="V35671" s="5"/>
    </row>
    <row r="35672">
      <c r="N35672" s="1"/>
      <c r="V35672" s="5"/>
    </row>
    <row r="35673">
      <c r="N35673" s="1"/>
      <c r="V35673" s="5"/>
    </row>
    <row r="35674">
      <c r="N35674" s="1"/>
      <c r="V35674" s="5"/>
    </row>
    <row r="35675">
      <c r="N35675" s="1"/>
      <c r="V35675" s="5"/>
    </row>
    <row r="35676">
      <c r="N35676" s="1"/>
      <c r="V35676" s="5"/>
    </row>
    <row r="35677">
      <c r="N35677" s="1"/>
      <c r="V35677" s="5"/>
    </row>
    <row r="35678">
      <c r="N35678" s="1"/>
      <c r="V35678" s="5"/>
    </row>
    <row r="35679">
      <c r="N35679" s="1"/>
      <c r="V35679" s="5"/>
    </row>
    <row r="35680">
      <c r="N35680" s="1"/>
      <c r="V35680" s="5"/>
    </row>
    <row r="35681">
      <c r="N35681" s="1"/>
      <c r="V35681" s="5"/>
    </row>
    <row r="35682">
      <c r="N35682" s="1"/>
      <c r="V35682" s="5"/>
    </row>
    <row r="35683">
      <c r="N35683" s="1"/>
      <c r="V35683" s="5"/>
    </row>
    <row r="35684">
      <c r="N35684" s="1"/>
      <c r="V35684" s="5"/>
    </row>
    <row r="35685">
      <c r="N35685" s="1"/>
      <c r="V35685" s="5"/>
    </row>
    <row r="35686">
      <c r="N35686" s="1"/>
      <c r="V35686" s="5"/>
    </row>
    <row r="35687">
      <c r="N35687" s="1"/>
      <c r="V35687" s="5"/>
    </row>
    <row r="35688">
      <c r="N35688" s="1"/>
      <c r="V35688" s="5"/>
    </row>
    <row r="35689">
      <c r="N35689" s="1"/>
      <c r="V35689" s="5"/>
    </row>
    <row r="35690">
      <c r="N35690" s="1"/>
      <c r="V35690" s="5"/>
    </row>
    <row r="35691">
      <c r="N35691" s="1"/>
      <c r="V35691" s="5"/>
    </row>
    <row r="35692">
      <c r="N35692" s="1"/>
      <c r="V35692" s="5"/>
    </row>
    <row r="35693">
      <c r="N35693" s="1"/>
      <c r="V35693" s="5"/>
    </row>
    <row r="35694">
      <c r="N35694" s="1"/>
      <c r="V35694" s="5"/>
    </row>
    <row r="35695">
      <c r="N35695" s="1"/>
      <c r="V35695" s="5"/>
    </row>
    <row r="35696">
      <c r="N35696" s="1"/>
      <c r="V35696" s="5"/>
    </row>
    <row r="35697">
      <c r="N35697" s="1"/>
      <c r="V35697" s="5"/>
    </row>
    <row r="35698">
      <c r="N35698" s="1"/>
      <c r="V35698" s="5"/>
    </row>
    <row r="35699">
      <c r="N35699" s="1"/>
      <c r="V35699" s="5"/>
    </row>
    <row r="35700">
      <c r="N35700" s="1"/>
      <c r="V35700" s="5"/>
    </row>
    <row r="35701">
      <c r="N35701" s="1"/>
      <c r="V35701" s="5"/>
    </row>
    <row r="35702">
      <c r="N35702" s="1"/>
      <c r="V35702" s="5"/>
    </row>
    <row r="35703">
      <c r="N35703" s="1"/>
      <c r="V35703" s="5"/>
    </row>
    <row r="35704">
      <c r="N35704" s="1"/>
      <c r="V35704" s="5"/>
    </row>
    <row r="35705">
      <c r="N35705" s="1"/>
      <c r="V35705" s="5"/>
    </row>
    <row r="35706">
      <c r="N35706" s="1"/>
      <c r="V35706" s="5"/>
    </row>
    <row r="35707">
      <c r="N35707" s="1"/>
      <c r="V35707" s="5"/>
    </row>
    <row r="35708">
      <c r="N35708" s="1"/>
      <c r="V35708" s="5"/>
    </row>
    <row r="35709">
      <c r="N35709" s="1"/>
      <c r="V35709" s="5"/>
    </row>
    <row r="35710">
      <c r="N35710" s="1"/>
      <c r="V35710" s="5"/>
    </row>
    <row r="35711">
      <c r="N35711" s="1"/>
      <c r="V35711" s="5"/>
    </row>
    <row r="35712">
      <c r="N35712" s="1"/>
      <c r="V35712" s="5"/>
    </row>
    <row r="35713">
      <c r="N35713" s="1"/>
      <c r="V35713" s="5"/>
    </row>
    <row r="35714">
      <c r="N35714" s="1"/>
      <c r="V35714" s="5"/>
    </row>
    <row r="35715">
      <c r="N35715" s="1"/>
      <c r="V35715" s="5"/>
    </row>
    <row r="35716">
      <c r="N35716" s="1"/>
      <c r="V35716" s="5"/>
    </row>
    <row r="35717">
      <c r="N35717" s="1"/>
      <c r="V35717" s="5"/>
    </row>
    <row r="35718">
      <c r="N35718" s="1"/>
      <c r="V35718" s="5"/>
    </row>
    <row r="35719">
      <c r="N35719" s="1"/>
      <c r="V35719" s="5"/>
    </row>
    <row r="35720">
      <c r="N35720" s="1"/>
      <c r="V35720" s="5"/>
    </row>
    <row r="35721">
      <c r="N35721" s="1"/>
      <c r="V35721" s="5"/>
    </row>
    <row r="35722">
      <c r="N35722" s="1"/>
      <c r="V35722" s="5"/>
    </row>
    <row r="35723">
      <c r="N35723" s="1"/>
      <c r="V35723" s="5"/>
    </row>
    <row r="35724">
      <c r="N35724" s="1"/>
      <c r="V35724" s="5"/>
    </row>
    <row r="35725">
      <c r="N35725" s="1"/>
      <c r="V35725" s="5"/>
    </row>
    <row r="35726">
      <c r="N35726" s="1"/>
      <c r="V35726" s="5"/>
    </row>
    <row r="35727">
      <c r="N35727" s="1"/>
      <c r="V35727" s="5"/>
    </row>
    <row r="35728">
      <c r="N35728" s="1"/>
      <c r="V35728" s="5"/>
    </row>
    <row r="35729">
      <c r="N35729" s="1"/>
      <c r="V35729" s="5"/>
    </row>
    <row r="35730">
      <c r="N35730" s="1"/>
      <c r="V35730" s="5"/>
    </row>
    <row r="35731">
      <c r="N35731" s="1"/>
      <c r="V35731" s="5"/>
    </row>
    <row r="35732">
      <c r="N35732" s="1"/>
      <c r="V35732" s="5"/>
    </row>
    <row r="35733">
      <c r="N35733" s="1"/>
      <c r="V35733" s="5"/>
    </row>
    <row r="35734">
      <c r="N35734" s="1"/>
      <c r="V35734" s="5"/>
    </row>
    <row r="35735">
      <c r="N35735" s="1"/>
      <c r="V35735" s="5"/>
    </row>
    <row r="35736">
      <c r="N35736" s="1"/>
      <c r="V35736" s="5"/>
    </row>
    <row r="35737">
      <c r="N35737" s="1"/>
      <c r="V35737" s="5"/>
    </row>
    <row r="35738">
      <c r="N35738" s="1"/>
      <c r="V35738" s="5"/>
    </row>
    <row r="35739">
      <c r="N35739" s="1"/>
      <c r="V35739" s="5"/>
    </row>
    <row r="35740">
      <c r="N35740" s="1"/>
      <c r="V35740" s="5"/>
    </row>
    <row r="35741">
      <c r="N35741" s="1"/>
      <c r="V35741" s="5"/>
    </row>
    <row r="35742">
      <c r="N35742" s="1"/>
      <c r="V35742" s="5"/>
    </row>
    <row r="35743">
      <c r="N35743" s="1"/>
      <c r="V35743" s="5"/>
    </row>
    <row r="35744">
      <c r="N35744" s="1"/>
      <c r="V35744" s="5"/>
    </row>
    <row r="35745">
      <c r="N35745" s="1"/>
      <c r="V35745" s="5"/>
    </row>
    <row r="35746">
      <c r="N35746" s="1"/>
      <c r="V35746" s="5"/>
    </row>
    <row r="35747">
      <c r="N35747" s="1"/>
      <c r="V35747" s="5"/>
    </row>
    <row r="35748">
      <c r="N35748" s="1"/>
      <c r="V35748" s="5"/>
    </row>
    <row r="35749">
      <c r="N35749" s="1"/>
      <c r="V35749" s="5"/>
    </row>
    <row r="35750">
      <c r="N35750" s="1"/>
      <c r="V35750" s="5"/>
    </row>
    <row r="35751">
      <c r="N35751" s="1"/>
      <c r="V35751" s="5"/>
    </row>
    <row r="35752">
      <c r="N35752" s="1"/>
      <c r="V35752" s="5"/>
    </row>
    <row r="35753">
      <c r="N35753" s="1"/>
      <c r="V35753" s="5"/>
    </row>
    <row r="35754">
      <c r="N35754" s="1"/>
      <c r="V35754" s="5"/>
    </row>
    <row r="35755">
      <c r="N35755" s="1"/>
      <c r="V35755" s="5"/>
    </row>
    <row r="35756">
      <c r="N35756" s="1"/>
      <c r="V35756" s="5"/>
    </row>
    <row r="35757">
      <c r="N35757" s="1"/>
      <c r="V35757" s="5"/>
    </row>
    <row r="35758">
      <c r="N35758" s="1"/>
      <c r="V35758" s="5"/>
    </row>
    <row r="35759">
      <c r="N35759" s="1"/>
      <c r="V35759" s="5"/>
    </row>
    <row r="35760">
      <c r="N35760" s="1"/>
      <c r="V35760" s="5"/>
    </row>
    <row r="35761">
      <c r="N35761" s="1"/>
      <c r="V35761" s="5"/>
    </row>
    <row r="35762">
      <c r="N35762" s="1"/>
      <c r="V35762" s="5"/>
    </row>
    <row r="35763">
      <c r="N35763" s="1"/>
      <c r="V35763" s="5"/>
    </row>
    <row r="35764">
      <c r="N35764" s="1"/>
      <c r="V35764" s="5"/>
    </row>
    <row r="35765">
      <c r="N35765" s="1"/>
      <c r="V35765" s="5"/>
    </row>
    <row r="35766">
      <c r="N35766" s="1"/>
      <c r="V35766" s="5"/>
    </row>
    <row r="35767">
      <c r="N35767" s="1"/>
      <c r="V35767" s="5"/>
    </row>
    <row r="35768">
      <c r="N35768" s="1"/>
      <c r="V35768" s="5"/>
    </row>
    <row r="35769">
      <c r="N35769" s="1"/>
      <c r="V35769" s="5"/>
    </row>
    <row r="35770">
      <c r="N35770" s="1"/>
      <c r="V35770" s="5"/>
    </row>
    <row r="35771">
      <c r="N35771" s="1"/>
      <c r="V35771" s="5"/>
    </row>
    <row r="35772">
      <c r="N35772" s="1"/>
      <c r="V35772" s="5"/>
    </row>
    <row r="35773">
      <c r="N35773" s="1"/>
      <c r="V35773" s="5"/>
    </row>
    <row r="35774">
      <c r="N35774" s="1"/>
      <c r="V35774" s="5"/>
    </row>
    <row r="35775">
      <c r="N35775" s="1"/>
      <c r="V35775" s="5"/>
    </row>
    <row r="35776">
      <c r="N35776" s="1"/>
      <c r="V35776" s="5"/>
    </row>
    <row r="35777">
      <c r="N35777" s="1"/>
      <c r="V35777" s="5"/>
    </row>
    <row r="35778">
      <c r="N35778" s="1"/>
      <c r="V35778" s="5"/>
    </row>
    <row r="35779">
      <c r="N35779" s="1"/>
      <c r="V35779" s="5"/>
    </row>
    <row r="35780">
      <c r="N35780" s="1"/>
      <c r="V35780" s="5"/>
    </row>
    <row r="35781">
      <c r="N35781" s="1"/>
      <c r="V35781" s="5"/>
    </row>
    <row r="35782">
      <c r="N35782" s="1"/>
      <c r="V35782" s="5"/>
    </row>
    <row r="35783">
      <c r="N35783" s="1"/>
      <c r="V35783" s="5"/>
    </row>
    <row r="35784">
      <c r="N35784" s="1"/>
      <c r="V35784" s="5"/>
    </row>
    <row r="35785">
      <c r="N35785" s="1"/>
      <c r="V35785" s="5"/>
    </row>
    <row r="35786">
      <c r="N35786" s="1"/>
      <c r="V35786" s="5"/>
    </row>
    <row r="35787">
      <c r="N35787" s="1"/>
      <c r="V35787" s="5"/>
    </row>
    <row r="35788">
      <c r="N35788" s="1"/>
      <c r="V35788" s="5"/>
    </row>
    <row r="35789">
      <c r="N35789" s="1"/>
      <c r="V35789" s="5"/>
    </row>
    <row r="35790">
      <c r="N35790" s="1"/>
      <c r="V35790" s="5"/>
    </row>
    <row r="35791">
      <c r="N35791" s="1"/>
      <c r="V35791" s="5"/>
    </row>
    <row r="35792">
      <c r="N35792" s="1"/>
      <c r="V35792" s="5"/>
    </row>
    <row r="35793">
      <c r="N35793" s="1"/>
      <c r="V35793" s="5"/>
    </row>
    <row r="35794">
      <c r="N35794" s="1"/>
      <c r="V35794" s="5"/>
    </row>
    <row r="35795">
      <c r="N35795" s="1"/>
      <c r="V35795" s="5"/>
    </row>
    <row r="35796">
      <c r="N35796" s="1"/>
      <c r="V35796" s="5"/>
    </row>
    <row r="35797">
      <c r="N35797" s="1"/>
      <c r="V35797" s="5"/>
    </row>
    <row r="35798">
      <c r="N35798" s="1"/>
      <c r="V35798" s="5"/>
    </row>
    <row r="35799">
      <c r="N35799" s="1"/>
      <c r="V35799" s="5"/>
    </row>
    <row r="35800">
      <c r="N35800" s="1"/>
      <c r="V35800" s="5"/>
    </row>
    <row r="35801">
      <c r="N35801" s="1"/>
      <c r="V35801" s="5"/>
    </row>
    <row r="35802">
      <c r="N35802" s="1"/>
      <c r="V35802" s="5"/>
    </row>
    <row r="35803">
      <c r="N35803" s="1"/>
      <c r="V35803" s="5"/>
    </row>
    <row r="35804">
      <c r="N35804" s="1"/>
      <c r="V35804" s="5"/>
    </row>
    <row r="35805">
      <c r="N35805" s="1"/>
      <c r="V35805" s="5"/>
    </row>
    <row r="35806">
      <c r="N35806" s="1"/>
      <c r="V35806" s="5"/>
    </row>
    <row r="35807">
      <c r="N35807" s="1"/>
      <c r="V35807" s="5"/>
    </row>
    <row r="35808">
      <c r="N35808" s="1"/>
      <c r="V35808" s="5"/>
    </row>
    <row r="35809">
      <c r="N35809" s="1"/>
      <c r="V35809" s="5"/>
    </row>
    <row r="35810">
      <c r="N35810" s="1"/>
      <c r="V35810" s="5"/>
    </row>
    <row r="35811">
      <c r="N35811" s="1"/>
      <c r="V35811" s="5"/>
    </row>
    <row r="35812">
      <c r="N35812" s="1"/>
      <c r="V35812" s="5"/>
    </row>
    <row r="35813">
      <c r="N35813" s="1"/>
      <c r="V35813" s="5"/>
    </row>
    <row r="35814">
      <c r="N35814" s="1"/>
      <c r="V35814" s="5"/>
    </row>
    <row r="35815">
      <c r="N35815" s="1"/>
      <c r="V35815" s="5"/>
    </row>
    <row r="35816">
      <c r="N35816" s="1"/>
      <c r="V35816" s="5"/>
    </row>
    <row r="35817">
      <c r="N35817" s="1"/>
      <c r="V35817" s="5"/>
    </row>
    <row r="35818">
      <c r="N35818" s="1"/>
      <c r="V35818" s="5"/>
    </row>
    <row r="35819">
      <c r="N35819" s="1"/>
      <c r="V35819" s="5"/>
    </row>
    <row r="35820">
      <c r="N35820" s="1"/>
      <c r="V35820" s="5"/>
    </row>
    <row r="35821">
      <c r="N35821" s="1"/>
      <c r="V35821" s="5"/>
    </row>
    <row r="35822">
      <c r="N35822" s="1"/>
      <c r="V35822" s="5"/>
    </row>
    <row r="35823">
      <c r="N35823" s="1"/>
      <c r="V35823" s="5"/>
    </row>
    <row r="35824">
      <c r="N35824" s="1"/>
      <c r="V35824" s="5"/>
    </row>
    <row r="35825">
      <c r="N35825" s="1"/>
      <c r="V35825" s="5"/>
    </row>
    <row r="35826">
      <c r="N35826" s="1"/>
      <c r="V35826" s="5"/>
    </row>
    <row r="35827">
      <c r="N35827" s="1"/>
      <c r="V35827" s="5"/>
    </row>
    <row r="35828">
      <c r="N35828" s="1"/>
      <c r="V35828" s="5"/>
    </row>
    <row r="35829">
      <c r="N35829" s="1"/>
      <c r="V35829" s="5"/>
    </row>
    <row r="35830">
      <c r="N35830" s="1"/>
      <c r="V35830" s="5"/>
    </row>
    <row r="35831">
      <c r="N35831" s="1"/>
      <c r="V35831" s="5"/>
    </row>
    <row r="35832">
      <c r="N35832" s="1"/>
      <c r="V35832" s="5"/>
    </row>
    <row r="35833">
      <c r="N35833" s="1"/>
      <c r="V35833" s="5"/>
    </row>
    <row r="35834">
      <c r="N35834" s="1"/>
      <c r="V35834" s="5"/>
    </row>
    <row r="35835">
      <c r="N35835" s="1"/>
      <c r="V35835" s="5"/>
    </row>
    <row r="35836">
      <c r="N35836" s="1"/>
      <c r="V35836" s="5"/>
    </row>
    <row r="35837">
      <c r="N35837" s="1"/>
      <c r="V35837" s="5"/>
    </row>
    <row r="35838">
      <c r="N35838" s="1"/>
      <c r="V35838" s="5"/>
    </row>
    <row r="35839">
      <c r="N35839" s="1"/>
      <c r="V35839" s="5"/>
    </row>
    <row r="35840">
      <c r="N35840" s="1"/>
      <c r="V35840" s="5"/>
    </row>
    <row r="35841">
      <c r="N35841" s="1"/>
      <c r="V35841" s="5"/>
    </row>
    <row r="35842">
      <c r="N35842" s="1"/>
      <c r="V35842" s="5"/>
    </row>
    <row r="35843">
      <c r="N35843" s="1"/>
      <c r="V35843" s="5"/>
    </row>
    <row r="35844">
      <c r="N35844" s="1"/>
      <c r="V35844" s="5"/>
    </row>
    <row r="35845">
      <c r="N35845" s="1"/>
      <c r="V35845" s="5"/>
    </row>
    <row r="35846">
      <c r="N35846" s="1"/>
      <c r="V35846" s="5"/>
    </row>
    <row r="35847">
      <c r="N35847" s="1"/>
      <c r="V35847" s="5"/>
    </row>
    <row r="35848">
      <c r="N35848" s="1"/>
      <c r="V35848" s="5"/>
    </row>
    <row r="35849">
      <c r="N35849" s="1"/>
      <c r="V35849" s="5"/>
    </row>
    <row r="35850">
      <c r="N35850" s="1"/>
      <c r="V35850" s="5"/>
    </row>
    <row r="35851">
      <c r="N35851" s="1"/>
      <c r="V35851" s="5"/>
    </row>
    <row r="35852">
      <c r="N35852" s="1"/>
      <c r="V35852" s="5"/>
    </row>
    <row r="35853">
      <c r="N35853" s="1"/>
      <c r="V35853" s="5"/>
    </row>
    <row r="35854">
      <c r="N35854" s="1"/>
      <c r="V35854" s="5"/>
    </row>
    <row r="35855">
      <c r="N35855" s="1"/>
      <c r="V35855" s="5"/>
    </row>
    <row r="35856">
      <c r="N35856" s="1"/>
      <c r="V35856" s="5"/>
    </row>
    <row r="35857">
      <c r="N35857" s="1"/>
      <c r="V35857" s="5"/>
    </row>
    <row r="35858">
      <c r="N35858" s="1"/>
      <c r="V35858" s="5"/>
    </row>
    <row r="35859">
      <c r="N35859" s="1"/>
      <c r="V35859" s="5"/>
    </row>
    <row r="35860">
      <c r="N35860" s="1"/>
      <c r="V35860" s="5"/>
    </row>
    <row r="35861">
      <c r="N35861" s="1"/>
      <c r="V35861" s="5"/>
    </row>
    <row r="35862">
      <c r="N35862" s="1"/>
      <c r="V35862" s="5"/>
    </row>
    <row r="35863">
      <c r="N35863" s="1"/>
      <c r="V35863" s="5"/>
    </row>
    <row r="35864">
      <c r="N35864" s="1"/>
      <c r="V35864" s="5"/>
    </row>
    <row r="35865">
      <c r="N35865" s="1"/>
      <c r="V35865" s="5"/>
    </row>
    <row r="35866">
      <c r="N35866" s="1"/>
      <c r="V35866" s="5"/>
    </row>
    <row r="35867">
      <c r="N35867" s="1"/>
      <c r="V35867" s="5"/>
    </row>
    <row r="35868">
      <c r="N35868" s="1"/>
      <c r="V35868" s="5"/>
    </row>
    <row r="35869">
      <c r="N35869" s="1"/>
      <c r="V35869" s="5"/>
    </row>
    <row r="35870">
      <c r="N35870" s="1"/>
      <c r="V35870" s="5"/>
    </row>
    <row r="35871">
      <c r="N35871" s="1"/>
      <c r="V35871" s="5"/>
    </row>
    <row r="35872">
      <c r="N35872" s="1"/>
      <c r="V35872" s="5"/>
    </row>
    <row r="35873">
      <c r="N35873" s="1"/>
      <c r="V35873" s="5"/>
    </row>
    <row r="35874">
      <c r="N35874" s="1"/>
      <c r="V35874" s="5"/>
    </row>
    <row r="35875">
      <c r="N35875" s="1"/>
      <c r="V35875" s="5"/>
    </row>
    <row r="35876">
      <c r="N35876" s="1"/>
      <c r="V35876" s="5"/>
    </row>
    <row r="35877">
      <c r="N35877" s="1"/>
      <c r="V35877" s="5"/>
    </row>
    <row r="35878">
      <c r="N35878" s="1"/>
      <c r="V35878" s="5"/>
    </row>
    <row r="35879">
      <c r="N35879" s="1"/>
      <c r="V35879" s="5"/>
    </row>
    <row r="35880">
      <c r="N35880" s="1"/>
      <c r="V35880" s="5"/>
    </row>
    <row r="35881">
      <c r="N35881" s="1"/>
      <c r="V35881" s="5"/>
    </row>
    <row r="35882">
      <c r="N35882" s="1"/>
      <c r="V35882" s="5"/>
    </row>
    <row r="35883">
      <c r="N35883" s="1"/>
      <c r="V35883" s="5"/>
    </row>
    <row r="35884">
      <c r="N35884" s="1"/>
      <c r="V35884" s="5"/>
    </row>
    <row r="35885">
      <c r="N35885" s="1"/>
      <c r="V35885" s="5"/>
    </row>
    <row r="35886">
      <c r="N35886" s="1"/>
      <c r="V35886" s="5"/>
    </row>
    <row r="35887">
      <c r="N35887" s="1"/>
      <c r="V35887" s="5"/>
    </row>
    <row r="35888">
      <c r="N35888" s="1"/>
      <c r="V35888" s="5"/>
    </row>
    <row r="35889">
      <c r="N35889" s="1"/>
      <c r="V35889" s="5"/>
    </row>
    <row r="35890">
      <c r="N35890" s="1"/>
      <c r="V35890" s="5"/>
    </row>
    <row r="35891">
      <c r="N35891" s="1"/>
      <c r="V35891" s="5"/>
    </row>
    <row r="35892">
      <c r="N35892" s="1"/>
      <c r="V35892" s="5"/>
    </row>
    <row r="35893">
      <c r="N35893" s="1"/>
      <c r="V35893" s="5"/>
    </row>
    <row r="35894">
      <c r="N35894" s="1"/>
      <c r="V35894" s="5"/>
    </row>
    <row r="35895">
      <c r="N35895" s="1"/>
      <c r="V35895" s="5"/>
    </row>
    <row r="35896">
      <c r="N35896" s="1"/>
      <c r="V35896" s="5"/>
    </row>
    <row r="35897">
      <c r="N35897" s="1"/>
      <c r="V35897" s="5"/>
    </row>
    <row r="35898">
      <c r="N35898" s="1"/>
      <c r="V35898" s="5"/>
    </row>
    <row r="35899">
      <c r="N35899" s="1"/>
      <c r="V35899" s="5"/>
    </row>
    <row r="35900">
      <c r="N35900" s="1"/>
      <c r="V35900" s="5"/>
    </row>
    <row r="35901">
      <c r="N35901" s="1"/>
      <c r="V35901" s="5"/>
    </row>
    <row r="35902">
      <c r="N35902" s="1"/>
      <c r="V35902" s="5"/>
    </row>
    <row r="35903">
      <c r="N35903" s="1"/>
      <c r="V35903" s="5"/>
    </row>
    <row r="35904">
      <c r="N35904" s="1"/>
      <c r="V35904" s="5"/>
    </row>
    <row r="35905">
      <c r="N35905" s="1"/>
      <c r="V35905" s="5"/>
    </row>
    <row r="35906">
      <c r="N35906" s="1"/>
      <c r="V35906" s="5"/>
    </row>
    <row r="35907">
      <c r="N35907" s="1"/>
      <c r="V35907" s="5"/>
    </row>
    <row r="35908">
      <c r="N35908" s="1"/>
      <c r="V35908" s="5"/>
    </row>
    <row r="35909">
      <c r="N35909" s="1"/>
      <c r="V35909" s="5"/>
    </row>
    <row r="35910">
      <c r="N35910" s="1"/>
      <c r="V35910" s="5"/>
    </row>
    <row r="35911">
      <c r="N35911" s="1"/>
      <c r="V35911" s="5"/>
    </row>
    <row r="35912">
      <c r="N35912" s="1"/>
      <c r="V35912" s="5"/>
    </row>
    <row r="35913">
      <c r="N35913" s="1"/>
      <c r="V35913" s="5"/>
    </row>
    <row r="35914">
      <c r="N35914" s="1"/>
      <c r="V35914" s="5"/>
    </row>
    <row r="35915">
      <c r="N35915" s="1"/>
      <c r="V35915" s="5"/>
    </row>
    <row r="35916">
      <c r="N35916" s="1"/>
      <c r="V35916" s="5"/>
    </row>
    <row r="35917">
      <c r="N35917" s="1"/>
      <c r="V35917" s="5"/>
    </row>
    <row r="35918">
      <c r="N35918" s="1"/>
      <c r="V35918" s="5"/>
    </row>
    <row r="35919">
      <c r="N35919" s="1"/>
      <c r="V35919" s="5"/>
    </row>
    <row r="35920">
      <c r="N35920" s="1"/>
      <c r="V35920" s="5"/>
    </row>
    <row r="35921">
      <c r="N35921" s="1"/>
      <c r="V35921" s="5"/>
    </row>
    <row r="35922">
      <c r="N35922" s="1"/>
      <c r="V35922" s="5"/>
    </row>
    <row r="35923">
      <c r="N35923" s="1"/>
      <c r="V35923" s="5"/>
    </row>
    <row r="35924">
      <c r="N35924" s="1"/>
      <c r="V35924" s="5"/>
    </row>
    <row r="35925">
      <c r="N35925" s="1"/>
      <c r="V35925" s="5"/>
    </row>
    <row r="35926">
      <c r="N35926" s="1"/>
      <c r="V35926" s="5"/>
    </row>
    <row r="35927">
      <c r="N35927" s="1"/>
      <c r="V35927" s="5"/>
    </row>
    <row r="35928">
      <c r="N35928" s="1"/>
      <c r="V35928" s="5"/>
    </row>
    <row r="35929">
      <c r="N35929" s="1"/>
      <c r="V35929" s="5"/>
    </row>
    <row r="35930">
      <c r="N35930" s="1"/>
      <c r="V35930" s="5"/>
    </row>
    <row r="35931">
      <c r="N35931" s="1"/>
      <c r="V35931" s="5"/>
    </row>
    <row r="35932">
      <c r="N35932" s="1"/>
      <c r="V35932" s="5"/>
    </row>
    <row r="35933">
      <c r="N35933" s="1"/>
      <c r="V35933" s="5"/>
    </row>
    <row r="35934">
      <c r="N35934" s="1"/>
      <c r="V35934" s="5"/>
    </row>
    <row r="35935">
      <c r="N35935" s="1"/>
      <c r="V35935" s="5"/>
    </row>
    <row r="35936">
      <c r="N35936" s="1"/>
      <c r="V35936" s="5"/>
    </row>
    <row r="35937">
      <c r="N35937" s="1"/>
      <c r="V35937" s="5"/>
    </row>
    <row r="35938">
      <c r="N35938" s="1"/>
      <c r="V35938" s="5"/>
    </row>
    <row r="35939">
      <c r="N35939" s="1"/>
      <c r="V35939" s="5"/>
    </row>
    <row r="35940">
      <c r="N35940" s="1"/>
      <c r="V35940" s="5"/>
    </row>
    <row r="35941">
      <c r="N35941" s="1"/>
      <c r="V35941" s="5"/>
    </row>
    <row r="35942">
      <c r="N35942" s="1"/>
      <c r="V35942" s="5"/>
    </row>
    <row r="35943">
      <c r="N35943" s="1"/>
      <c r="V35943" s="5"/>
    </row>
    <row r="35944">
      <c r="N35944" s="1"/>
      <c r="V35944" s="5"/>
    </row>
    <row r="35945">
      <c r="N35945" s="1"/>
      <c r="V35945" s="5"/>
    </row>
    <row r="35946">
      <c r="N35946" s="1"/>
      <c r="V35946" s="5"/>
    </row>
    <row r="35947">
      <c r="N35947" s="1"/>
      <c r="V35947" s="5"/>
    </row>
    <row r="35948">
      <c r="N35948" s="1"/>
      <c r="V35948" s="5"/>
    </row>
    <row r="35949">
      <c r="N35949" s="1"/>
      <c r="V35949" s="5"/>
    </row>
    <row r="35950">
      <c r="N35950" s="1"/>
      <c r="V35950" s="5"/>
    </row>
    <row r="35951">
      <c r="N35951" s="1"/>
      <c r="V35951" s="5"/>
    </row>
    <row r="35952">
      <c r="N35952" s="1"/>
      <c r="V35952" s="5"/>
    </row>
    <row r="35953">
      <c r="N35953" s="1"/>
      <c r="V35953" s="5"/>
    </row>
    <row r="35954">
      <c r="N35954" s="1"/>
      <c r="V35954" s="5"/>
    </row>
    <row r="35955">
      <c r="N35955" s="1"/>
      <c r="V35955" s="5"/>
    </row>
    <row r="35956">
      <c r="N35956" s="1"/>
      <c r="V35956" s="5"/>
    </row>
    <row r="35957">
      <c r="N35957" s="1"/>
      <c r="V35957" s="5"/>
    </row>
    <row r="35958">
      <c r="N35958" s="1"/>
      <c r="V35958" s="5"/>
    </row>
    <row r="35959">
      <c r="N35959" s="1"/>
      <c r="V35959" s="5"/>
    </row>
    <row r="35960">
      <c r="N35960" s="1"/>
      <c r="V35960" s="5"/>
    </row>
    <row r="35961">
      <c r="N35961" s="1"/>
      <c r="V35961" s="5"/>
    </row>
    <row r="35962">
      <c r="N35962" s="1"/>
      <c r="V35962" s="5"/>
    </row>
    <row r="35963">
      <c r="N35963" s="1"/>
      <c r="V35963" s="5"/>
    </row>
    <row r="35964">
      <c r="N35964" s="1"/>
      <c r="V35964" s="5"/>
    </row>
    <row r="35965">
      <c r="N35965" s="1"/>
      <c r="V35965" s="5"/>
    </row>
    <row r="35966">
      <c r="N35966" s="1"/>
      <c r="V35966" s="5"/>
    </row>
    <row r="35967">
      <c r="N35967" s="1"/>
      <c r="V35967" s="5"/>
    </row>
    <row r="35968">
      <c r="N35968" s="1"/>
      <c r="V35968" s="5"/>
    </row>
    <row r="35969">
      <c r="N35969" s="1"/>
      <c r="V35969" s="5"/>
    </row>
    <row r="35970">
      <c r="N35970" s="1"/>
      <c r="V35970" s="5"/>
    </row>
    <row r="35971">
      <c r="N35971" s="1"/>
      <c r="V35971" s="5"/>
    </row>
    <row r="35972">
      <c r="N35972" s="1"/>
      <c r="V35972" s="5"/>
    </row>
    <row r="35973">
      <c r="N35973" s="1"/>
      <c r="V35973" s="5"/>
    </row>
    <row r="35974">
      <c r="N35974" s="1"/>
      <c r="V35974" s="5"/>
    </row>
    <row r="35975">
      <c r="N35975" s="1"/>
      <c r="V35975" s="5"/>
    </row>
    <row r="35976">
      <c r="N35976" s="1"/>
      <c r="V35976" s="5"/>
    </row>
    <row r="35977">
      <c r="N35977" s="1"/>
      <c r="V35977" s="5"/>
    </row>
    <row r="35978">
      <c r="N35978" s="1"/>
      <c r="V35978" s="5"/>
    </row>
    <row r="35979">
      <c r="N35979" s="1"/>
      <c r="V35979" s="5"/>
    </row>
    <row r="35980">
      <c r="N35980" s="1"/>
      <c r="V35980" s="5"/>
    </row>
    <row r="35981">
      <c r="N35981" s="1"/>
      <c r="V35981" s="5"/>
    </row>
    <row r="35982">
      <c r="N35982" s="1"/>
      <c r="V35982" s="5"/>
    </row>
    <row r="35983">
      <c r="N35983" s="1"/>
      <c r="V35983" s="5"/>
    </row>
    <row r="35984">
      <c r="N35984" s="1"/>
      <c r="V35984" s="5"/>
    </row>
    <row r="35985">
      <c r="N35985" s="1"/>
      <c r="V35985" s="5"/>
    </row>
    <row r="35986">
      <c r="N35986" s="1"/>
      <c r="V35986" s="5"/>
    </row>
    <row r="35987">
      <c r="N35987" s="1"/>
      <c r="V35987" s="5"/>
    </row>
    <row r="35988">
      <c r="N35988" s="1"/>
      <c r="V35988" s="5"/>
    </row>
    <row r="35989">
      <c r="N35989" s="1"/>
      <c r="V35989" s="5"/>
    </row>
    <row r="35990">
      <c r="N35990" s="1"/>
      <c r="V35990" s="5"/>
    </row>
    <row r="35991">
      <c r="N35991" s="1"/>
      <c r="V35991" s="5"/>
    </row>
    <row r="35992">
      <c r="N35992" s="1"/>
      <c r="V35992" s="5"/>
    </row>
    <row r="35993">
      <c r="N35993" s="1"/>
      <c r="V35993" s="5"/>
    </row>
    <row r="35994">
      <c r="N35994" s="1"/>
      <c r="V35994" s="5"/>
    </row>
    <row r="35995">
      <c r="N35995" s="1"/>
      <c r="V35995" s="5"/>
    </row>
    <row r="35996">
      <c r="N35996" s="1"/>
      <c r="V35996" s="5"/>
    </row>
    <row r="35997">
      <c r="N35997" s="1"/>
      <c r="V35997" s="5"/>
    </row>
    <row r="35998">
      <c r="N35998" s="1"/>
      <c r="V35998" s="5"/>
    </row>
    <row r="35999">
      <c r="N35999" s="1"/>
      <c r="V35999" s="5"/>
    </row>
    <row r="36000">
      <c r="N36000" s="1"/>
      <c r="V36000" s="5"/>
    </row>
    <row r="36001">
      <c r="N36001" s="1"/>
      <c r="V36001" s="5"/>
    </row>
    <row r="36002">
      <c r="N36002" s="1"/>
      <c r="V36002" s="5"/>
    </row>
    <row r="36003">
      <c r="N36003" s="1"/>
      <c r="V36003" s="5"/>
    </row>
    <row r="36004">
      <c r="N36004" s="1"/>
      <c r="V36004" s="5"/>
    </row>
    <row r="36005">
      <c r="N36005" s="1"/>
      <c r="V36005" s="5"/>
    </row>
    <row r="36006">
      <c r="N36006" s="1"/>
      <c r="V36006" s="5"/>
    </row>
    <row r="36007">
      <c r="N36007" s="1"/>
      <c r="V36007" s="5"/>
    </row>
    <row r="36008">
      <c r="N36008" s="1"/>
      <c r="V36008" s="5"/>
    </row>
    <row r="36009">
      <c r="N36009" s="1"/>
      <c r="V36009" s="5"/>
    </row>
    <row r="36010">
      <c r="N36010" s="1"/>
      <c r="V36010" s="5"/>
    </row>
    <row r="36011">
      <c r="N36011" s="1"/>
      <c r="V36011" s="5"/>
    </row>
    <row r="36012">
      <c r="N36012" s="1"/>
      <c r="V36012" s="5"/>
    </row>
    <row r="36013">
      <c r="N36013" s="1"/>
      <c r="V36013" s="5"/>
    </row>
    <row r="36014">
      <c r="N36014" s="1"/>
      <c r="V36014" s="5"/>
    </row>
    <row r="36015">
      <c r="N36015" s="1"/>
      <c r="V36015" s="5"/>
    </row>
    <row r="36016">
      <c r="N36016" s="1"/>
      <c r="V36016" s="5"/>
    </row>
    <row r="36017">
      <c r="N36017" s="1"/>
      <c r="V36017" s="5"/>
    </row>
    <row r="36018">
      <c r="N36018" s="1"/>
      <c r="V36018" s="5"/>
    </row>
    <row r="36019">
      <c r="N36019" s="1"/>
      <c r="V36019" s="5"/>
    </row>
    <row r="36020">
      <c r="N36020" s="1"/>
      <c r="V36020" s="5"/>
    </row>
    <row r="36021">
      <c r="N36021" s="1"/>
      <c r="V36021" s="5"/>
    </row>
    <row r="36022">
      <c r="N36022" s="1"/>
      <c r="V36022" s="5"/>
    </row>
    <row r="36023">
      <c r="N36023" s="1"/>
      <c r="V36023" s="5"/>
    </row>
    <row r="36024">
      <c r="N36024" s="1"/>
      <c r="V36024" s="5"/>
    </row>
    <row r="36025">
      <c r="N36025" s="1"/>
      <c r="V36025" s="5"/>
    </row>
    <row r="36026">
      <c r="N36026" s="1"/>
      <c r="V36026" s="5"/>
    </row>
    <row r="36027">
      <c r="N36027" s="1"/>
      <c r="V36027" s="5"/>
    </row>
    <row r="36028">
      <c r="N36028" s="1"/>
      <c r="V36028" s="5"/>
    </row>
    <row r="36029">
      <c r="N36029" s="1"/>
      <c r="V36029" s="5"/>
    </row>
    <row r="36030">
      <c r="N36030" s="1"/>
      <c r="V36030" s="5"/>
    </row>
    <row r="36031">
      <c r="N36031" s="1"/>
      <c r="V36031" s="5"/>
    </row>
    <row r="36032">
      <c r="N36032" s="1"/>
      <c r="V36032" s="5"/>
    </row>
    <row r="36033">
      <c r="N36033" s="1"/>
      <c r="V36033" s="5"/>
    </row>
    <row r="36034">
      <c r="N36034" s="1"/>
      <c r="V36034" s="5"/>
    </row>
    <row r="36035">
      <c r="N36035" s="1"/>
      <c r="V36035" s="5"/>
    </row>
    <row r="36036">
      <c r="N36036" s="1"/>
      <c r="V36036" s="5"/>
    </row>
    <row r="36037">
      <c r="N36037" s="1"/>
      <c r="V36037" s="5"/>
    </row>
    <row r="36038">
      <c r="N36038" s="1"/>
      <c r="V36038" s="5"/>
    </row>
    <row r="36039">
      <c r="N36039" s="1"/>
      <c r="V36039" s="5"/>
    </row>
    <row r="36040">
      <c r="N36040" s="1"/>
      <c r="V36040" s="5"/>
    </row>
    <row r="36041">
      <c r="N36041" s="1"/>
      <c r="V36041" s="5"/>
    </row>
    <row r="36042">
      <c r="N36042" s="1"/>
      <c r="V36042" s="5"/>
    </row>
    <row r="36043">
      <c r="N36043" s="1"/>
      <c r="V36043" s="5"/>
    </row>
    <row r="36044">
      <c r="N36044" s="1"/>
      <c r="V36044" s="5"/>
    </row>
    <row r="36045">
      <c r="N36045" s="1"/>
      <c r="V36045" s="5"/>
    </row>
    <row r="36046">
      <c r="N36046" s="1"/>
      <c r="V36046" s="5"/>
    </row>
    <row r="36047">
      <c r="N36047" s="1"/>
      <c r="V36047" s="5"/>
    </row>
    <row r="36048">
      <c r="N36048" s="1"/>
      <c r="V36048" s="5"/>
    </row>
    <row r="36049">
      <c r="N36049" s="1"/>
      <c r="V36049" s="5"/>
    </row>
    <row r="36050">
      <c r="N36050" s="1"/>
      <c r="V36050" s="5"/>
    </row>
    <row r="36051">
      <c r="N36051" s="1"/>
      <c r="V36051" s="5"/>
    </row>
    <row r="36052">
      <c r="N36052" s="1"/>
      <c r="V36052" s="5"/>
    </row>
    <row r="36053">
      <c r="N36053" s="1"/>
      <c r="V36053" s="5"/>
    </row>
    <row r="36054">
      <c r="N36054" s="1"/>
      <c r="V36054" s="5"/>
    </row>
    <row r="36055">
      <c r="N36055" s="1"/>
      <c r="V36055" s="5"/>
    </row>
    <row r="36056">
      <c r="N36056" s="1"/>
      <c r="V36056" s="5"/>
    </row>
    <row r="36057">
      <c r="N36057" s="1"/>
      <c r="V36057" s="5"/>
    </row>
    <row r="36058">
      <c r="N36058" s="1"/>
      <c r="V36058" s="5"/>
    </row>
    <row r="36059">
      <c r="N36059" s="1"/>
      <c r="V36059" s="5"/>
    </row>
    <row r="36060">
      <c r="N36060" s="1"/>
      <c r="V36060" s="5"/>
    </row>
    <row r="36061">
      <c r="N36061" s="1"/>
      <c r="V36061" s="5"/>
    </row>
    <row r="36062">
      <c r="N36062" s="1"/>
      <c r="V36062" s="5"/>
    </row>
    <row r="36063">
      <c r="N36063" s="1"/>
      <c r="V36063" s="5"/>
    </row>
    <row r="36064">
      <c r="N36064" s="1"/>
      <c r="V36064" s="5"/>
    </row>
    <row r="36065">
      <c r="N36065" s="1"/>
      <c r="V36065" s="5"/>
    </row>
    <row r="36066">
      <c r="N36066" s="1"/>
      <c r="V36066" s="5"/>
    </row>
    <row r="36067">
      <c r="N36067" s="1"/>
      <c r="V36067" s="5"/>
    </row>
    <row r="36068">
      <c r="N36068" s="1"/>
      <c r="V36068" s="5"/>
    </row>
    <row r="36069">
      <c r="N36069" s="1"/>
      <c r="V36069" s="5"/>
    </row>
    <row r="36070">
      <c r="N36070" s="1"/>
      <c r="V36070" s="5"/>
    </row>
    <row r="36071">
      <c r="N36071" s="1"/>
      <c r="V36071" s="5"/>
    </row>
    <row r="36072">
      <c r="N36072" s="1"/>
      <c r="V36072" s="5"/>
    </row>
    <row r="36073">
      <c r="N36073" s="1"/>
      <c r="V36073" s="5"/>
    </row>
    <row r="36074">
      <c r="N36074" s="1"/>
      <c r="V36074" s="5"/>
    </row>
    <row r="36075">
      <c r="N36075" s="1"/>
      <c r="V36075" s="5"/>
    </row>
    <row r="36076">
      <c r="N36076" s="1"/>
      <c r="V36076" s="5"/>
    </row>
    <row r="36077">
      <c r="N36077" s="1"/>
      <c r="V36077" s="5"/>
    </row>
    <row r="36078">
      <c r="N36078" s="1"/>
      <c r="V36078" s="5"/>
    </row>
    <row r="36079">
      <c r="N36079" s="1"/>
      <c r="V36079" s="5"/>
    </row>
    <row r="36080">
      <c r="N36080" s="1"/>
      <c r="V36080" s="5"/>
    </row>
    <row r="36081">
      <c r="N36081" s="1"/>
      <c r="V36081" s="5"/>
    </row>
    <row r="36082">
      <c r="N36082" s="1"/>
      <c r="V36082" s="5"/>
    </row>
    <row r="36083">
      <c r="N36083" s="1"/>
      <c r="V36083" s="5"/>
    </row>
    <row r="36084">
      <c r="N36084" s="1"/>
      <c r="V36084" s="5"/>
    </row>
    <row r="36085">
      <c r="N36085" s="1"/>
      <c r="V36085" s="5"/>
    </row>
    <row r="36086">
      <c r="N36086" s="1"/>
      <c r="V36086" s="5"/>
    </row>
    <row r="36087">
      <c r="N36087" s="1"/>
      <c r="V36087" s="5"/>
    </row>
    <row r="36088">
      <c r="N36088" s="1"/>
      <c r="V36088" s="5"/>
    </row>
    <row r="36089">
      <c r="N36089" s="1"/>
      <c r="V36089" s="5"/>
    </row>
    <row r="36090">
      <c r="N36090" s="1"/>
      <c r="V36090" s="5"/>
    </row>
    <row r="36091">
      <c r="N36091" s="1"/>
      <c r="V36091" s="5"/>
    </row>
    <row r="36092">
      <c r="N36092" s="1"/>
      <c r="V36092" s="5"/>
    </row>
    <row r="36093">
      <c r="N36093" s="1"/>
      <c r="V36093" s="5"/>
    </row>
    <row r="36094">
      <c r="N36094" s="1"/>
      <c r="V36094" s="5"/>
    </row>
    <row r="36095">
      <c r="N36095" s="1"/>
      <c r="V36095" s="5"/>
    </row>
    <row r="36096">
      <c r="N36096" s="1"/>
      <c r="V36096" s="5"/>
    </row>
    <row r="36097">
      <c r="N36097" s="1"/>
      <c r="V36097" s="5"/>
    </row>
    <row r="36098">
      <c r="N36098" s="1"/>
      <c r="V36098" s="5"/>
    </row>
    <row r="36099">
      <c r="N36099" s="1"/>
      <c r="V36099" s="5"/>
    </row>
    <row r="36100">
      <c r="N36100" s="1"/>
      <c r="V36100" s="5"/>
    </row>
    <row r="36101">
      <c r="N36101" s="1"/>
      <c r="V36101" s="5"/>
    </row>
    <row r="36102">
      <c r="N36102" s="1"/>
      <c r="V36102" s="5"/>
    </row>
    <row r="36103">
      <c r="N36103" s="1"/>
      <c r="V36103" s="5"/>
    </row>
    <row r="36104">
      <c r="N36104" s="1"/>
      <c r="V36104" s="5"/>
    </row>
    <row r="36105">
      <c r="N36105" s="1"/>
      <c r="V36105" s="5"/>
    </row>
    <row r="36106">
      <c r="N36106" s="1"/>
      <c r="V36106" s="5"/>
    </row>
    <row r="36107">
      <c r="N36107" s="1"/>
      <c r="V36107" s="5"/>
    </row>
    <row r="36108">
      <c r="N36108" s="1"/>
      <c r="V36108" s="5"/>
    </row>
    <row r="36109">
      <c r="N36109" s="1"/>
      <c r="V36109" s="5"/>
    </row>
    <row r="36110">
      <c r="N36110" s="1"/>
      <c r="V36110" s="5"/>
    </row>
    <row r="36111">
      <c r="N36111" s="1"/>
      <c r="V36111" s="5"/>
    </row>
    <row r="36112">
      <c r="N36112" s="1"/>
      <c r="V36112" s="5"/>
    </row>
    <row r="36113">
      <c r="N36113" s="1"/>
      <c r="V36113" s="5"/>
    </row>
    <row r="36114">
      <c r="N36114" s="1"/>
      <c r="V36114" s="5"/>
    </row>
    <row r="36115">
      <c r="N36115" s="1"/>
      <c r="V36115" s="5"/>
    </row>
    <row r="36116">
      <c r="N36116" s="1"/>
      <c r="V36116" s="5"/>
    </row>
    <row r="36117">
      <c r="N36117" s="1"/>
      <c r="V36117" s="5"/>
    </row>
    <row r="36118">
      <c r="N36118" s="1"/>
      <c r="V36118" s="5"/>
    </row>
    <row r="36119">
      <c r="N36119" s="1"/>
      <c r="V36119" s="5"/>
    </row>
    <row r="36120">
      <c r="N36120" s="1"/>
      <c r="V36120" s="5"/>
    </row>
    <row r="36121">
      <c r="N36121" s="1"/>
      <c r="V36121" s="5"/>
    </row>
    <row r="36122">
      <c r="N36122" s="1"/>
      <c r="V36122" s="5"/>
    </row>
    <row r="36123">
      <c r="N36123" s="1"/>
      <c r="V36123" s="5"/>
    </row>
    <row r="36124">
      <c r="N36124" s="1"/>
      <c r="V36124" s="5"/>
    </row>
    <row r="36125">
      <c r="N36125" s="1"/>
      <c r="V36125" s="5"/>
    </row>
    <row r="36126">
      <c r="N36126" s="1"/>
      <c r="V36126" s="5"/>
    </row>
    <row r="36127">
      <c r="N36127" s="1"/>
      <c r="V36127" s="5"/>
    </row>
    <row r="36128">
      <c r="N36128" s="1"/>
      <c r="V36128" s="5"/>
    </row>
    <row r="36129">
      <c r="N36129" s="1"/>
      <c r="V36129" s="5"/>
    </row>
    <row r="36130">
      <c r="N36130" s="1"/>
      <c r="V36130" s="5"/>
    </row>
    <row r="36131">
      <c r="N36131" s="1"/>
      <c r="V36131" s="5"/>
    </row>
    <row r="36132">
      <c r="N36132" s="1"/>
      <c r="V36132" s="5"/>
    </row>
    <row r="36133">
      <c r="N36133" s="1"/>
      <c r="V36133" s="5"/>
    </row>
    <row r="36134">
      <c r="N36134" s="1"/>
      <c r="V36134" s="5"/>
    </row>
    <row r="36135">
      <c r="N36135" s="1"/>
      <c r="V36135" s="5"/>
    </row>
    <row r="36136">
      <c r="N36136" s="1"/>
      <c r="V36136" s="5"/>
    </row>
    <row r="36137">
      <c r="N36137" s="1"/>
      <c r="V36137" s="5"/>
    </row>
    <row r="36138">
      <c r="N36138" s="1"/>
      <c r="V36138" s="5"/>
    </row>
    <row r="36139">
      <c r="N36139" s="1"/>
      <c r="V36139" s="5"/>
    </row>
    <row r="36140">
      <c r="N36140" s="1"/>
      <c r="V36140" s="5"/>
    </row>
    <row r="36141">
      <c r="N36141" s="1"/>
      <c r="V36141" s="5"/>
    </row>
    <row r="36142">
      <c r="N36142" s="1"/>
      <c r="V36142" s="5"/>
    </row>
    <row r="36143">
      <c r="N36143" s="1"/>
      <c r="V36143" s="5"/>
    </row>
    <row r="36144">
      <c r="N36144" s="1"/>
      <c r="V36144" s="5"/>
    </row>
    <row r="36145">
      <c r="N36145" s="1"/>
      <c r="V36145" s="5"/>
    </row>
    <row r="36146">
      <c r="N36146" s="1"/>
      <c r="V36146" s="5"/>
    </row>
    <row r="36147">
      <c r="N36147" s="1"/>
      <c r="V36147" s="5"/>
    </row>
    <row r="36148">
      <c r="N36148" s="1"/>
      <c r="V36148" s="5"/>
    </row>
    <row r="36149">
      <c r="N36149" s="1"/>
      <c r="V36149" s="5"/>
    </row>
    <row r="36150">
      <c r="N36150" s="1"/>
      <c r="V36150" s="5"/>
    </row>
    <row r="36151">
      <c r="N36151" s="1"/>
      <c r="V36151" s="5"/>
    </row>
    <row r="36152">
      <c r="N36152" s="1"/>
      <c r="V36152" s="5"/>
    </row>
    <row r="36153">
      <c r="N36153" s="1"/>
      <c r="V36153" s="5"/>
    </row>
    <row r="36154">
      <c r="N36154" s="1"/>
      <c r="V36154" s="5"/>
    </row>
    <row r="36155">
      <c r="N36155" s="1"/>
      <c r="V36155" s="5"/>
    </row>
    <row r="36156">
      <c r="N36156" s="1"/>
      <c r="V36156" s="5"/>
    </row>
    <row r="36157">
      <c r="N36157" s="1"/>
      <c r="V36157" s="5"/>
    </row>
    <row r="36158">
      <c r="N36158" s="1"/>
      <c r="V36158" s="5"/>
    </row>
    <row r="36159">
      <c r="N36159" s="1"/>
      <c r="V36159" s="5"/>
    </row>
    <row r="36160">
      <c r="N36160" s="1"/>
      <c r="V36160" s="5"/>
    </row>
    <row r="36161">
      <c r="N36161" s="1"/>
      <c r="V36161" s="5"/>
    </row>
    <row r="36162">
      <c r="N36162" s="1"/>
      <c r="V36162" s="5"/>
    </row>
    <row r="36163">
      <c r="N36163" s="1"/>
      <c r="V36163" s="5"/>
    </row>
    <row r="36164">
      <c r="N36164" s="1"/>
      <c r="V36164" s="5"/>
    </row>
    <row r="36165">
      <c r="N36165" s="1"/>
      <c r="V36165" s="5"/>
    </row>
    <row r="36166">
      <c r="N36166" s="1"/>
      <c r="V36166" s="5"/>
    </row>
    <row r="36167">
      <c r="N36167" s="1"/>
      <c r="V36167" s="5"/>
    </row>
    <row r="36168">
      <c r="N36168" s="1"/>
      <c r="V36168" s="5"/>
    </row>
    <row r="36169">
      <c r="N36169" s="1"/>
      <c r="V36169" s="5"/>
    </row>
    <row r="36170">
      <c r="N36170" s="1"/>
      <c r="V36170" s="5"/>
    </row>
    <row r="36171">
      <c r="N36171" s="1"/>
      <c r="V36171" s="5"/>
    </row>
    <row r="36172">
      <c r="N36172" s="1"/>
      <c r="V36172" s="5"/>
    </row>
    <row r="36173">
      <c r="N36173" s="1"/>
      <c r="V36173" s="5"/>
    </row>
    <row r="36174">
      <c r="N36174" s="1"/>
      <c r="V36174" s="5"/>
    </row>
    <row r="36175">
      <c r="N36175" s="1"/>
      <c r="V36175" s="5"/>
    </row>
    <row r="36176">
      <c r="N36176" s="1"/>
      <c r="V36176" s="5"/>
    </row>
    <row r="36177">
      <c r="N36177" s="1"/>
      <c r="V36177" s="5"/>
    </row>
    <row r="36178">
      <c r="N36178" s="1"/>
      <c r="V36178" s="5"/>
    </row>
    <row r="36179">
      <c r="N36179" s="1"/>
      <c r="V36179" s="5"/>
    </row>
    <row r="36180">
      <c r="N36180" s="1"/>
      <c r="V36180" s="5"/>
    </row>
    <row r="36181">
      <c r="N36181" s="1"/>
      <c r="V36181" s="5"/>
    </row>
    <row r="36182">
      <c r="N36182" s="1"/>
      <c r="V36182" s="5"/>
    </row>
    <row r="36183">
      <c r="N36183" s="1"/>
      <c r="V36183" s="5"/>
    </row>
    <row r="36184">
      <c r="N36184" s="1"/>
      <c r="V36184" s="5"/>
    </row>
    <row r="36185">
      <c r="N36185" s="1"/>
      <c r="V36185" s="5"/>
    </row>
    <row r="36186">
      <c r="N36186" s="1"/>
      <c r="V36186" s="5"/>
    </row>
    <row r="36187">
      <c r="N36187" s="1"/>
      <c r="V36187" s="5"/>
    </row>
    <row r="36188">
      <c r="N36188" s="1"/>
      <c r="V36188" s="5"/>
    </row>
    <row r="36189">
      <c r="N36189" s="1"/>
      <c r="V36189" s="5"/>
    </row>
    <row r="36190">
      <c r="N36190" s="1"/>
      <c r="V36190" s="5"/>
    </row>
    <row r="36191">
      <c r="N36191" s="1"/>
      <c r="V36191" s="5"/>
    </row>
    <row r="36192">
      <c r="N36192" s="1"/>
      <c r="V36192" s="5"/>
    </row>
    <row r="36193">
      <c r="N36193" s="1"/>
      <c r="V36193" s="5"/>
    </row>
    <row r="36194">
      <c r="N36194" s="1"/>
      <c r="V36194" s="5"/>
    </row>
    <row r="36195">
      <c r="N36195" s="1"/>
      <c r="V36195" s="5"/>
    </row>
    <row r="36196">
      <c r="N36196" s="1"/>
      <c r="V36196" s="5"/>
    </row>
    <row r="36197">
      <c r="N36197" s="1"/>
      <c r="V36197" s="5"/>
    </row>
    <row r="36198">
      <c r="N36198" s="1"/>
      <c r="V36198" s="5"/>
    </row>
    <row r="36199">
      <c r="N36199" s="1"/>
      <c r="V36199" s="5"/>
    </row>
    <row r="36200">
      <c r="N36200" s="1"/>
      <c r="V36200" s="5"/>
    </row>
    <row r="36201">
      <c r="N36201" s="1"/>
      <c r="V36201" s="5"/>
    </row>
    <row r="36202">
      <c r="N36202" s="1"/>
      <c r="V36202" s="5"/>
    </row>
    <row r="36203">
      <c r="N36203" s="1"/>
      <c r="V36203" s="5"/>
    </row>
    <row r="36204">
      <c r="N36204" s="1"/>
      <c r="V36204" s="5"/>
    </row>
    <row r="36205">
      <c r="N36205" s="1"/>
      <c r="V36205" s="5"/>
    </row>
    <row r="36206">
      <c r="N36206" s="1"/>
      <c r="V36206" s="5"/>
    </row>
    <row r="36207">
      <c r="N36207" s="1"/>
      <c r="V36207" s="5"/>
    </row>
    <row r="36208">
      <c r="N36208" s="1"/>
      <c r="V36208" s="5"/>
    </row>
    <row r="36209">
      <c r="N36209" s="1"/>
      <c r="V36209" s="5"/>
    </row>
    <row r="36210">
      <c r="N36210" s="1"/>
      <c r="V36210" s="5"/>
    </row>
    <row r="36211">
      <c r="N36211" s="1"/>
      <c r="V36211" s="5"/>
    </row>
    <row r="36212">
      <c r="N36212" s="1"/>
      <c r="V36212" s="5"/>
    </row>
    <row r="36213">
      <c r="N36213" s="1"/>
      <c r="V36213" s="5"/>
    </row>
    <row r="36214">
      <c r="N36214" s="1"/>
      <c r="V36214" s="5"/>
    </row>
    <row r="36215">
      <c r="N36215" s="1"/>
      <c r="V36215" s="5"/>
    </row>
    <row r="36216">
      <c r="N36216" s="1"/>
      <c r="V36216" s="5"/>
    </row>
    <row r="36217">
      <c r="N36217" s="1"/>
      <c r="V36217" s="5"/>
    </row>
    <row r="36218">
      <c r="N36218" s="1"/>
      <c r="V36218" s="5"/>
    </row>
    <row r="36219">
      <c r="N36219" s="1"/>
      <c r="V36219" s="5"/>
    </row>
    <row r="36220">
      <c r="N36220" s="1"/>
      <c r="V36220" s="5"/>
    </row>
    <row r="36221">
      <c r="N36221" s="1"/>
      <c r="V36221" s="5"/>
    </row>
    <row r="36222">
      <c r="N36222" s="1"/>
      <c r="V36222" s="5"/>
    </row>
    <row r="36223">
      <c r="N36223" s="1"/>
      <c r="V36223" s="5"/>
    </row>
    <row r="36224">
      <c r="N36224" s="1"/>
      <c r="V36224" s="5"/>
    </row>
    <row r="36225">
      <c r="N36225" s="1"/>
      <c r="V36225" s="5"/>
    </row>
    <row r="36226">
      <c r="N36226" s="1"/>
      <c r="V36226" s="5"/>
    </row>
    <row r="36227">
      <c r="N36227" s="1"/>
      <c r="V36227" s="5"/>
    </row>
    <row r="36228">
      <c r="N36228" s="1"/>
      <c r="V36228" s="5"/>
    </row>
    <row r="36229">
      <c r="N36229" s="1"/>
      <c r="V36229" s="5"/>
    </row>
    <row r="36230">
      <c r="N36230" s="1"/>
      <c r="V36230" s="5"/>
    </row>
    <row r="36231">
      <c r="N36231" s="1"/>
      <c r="V36231" s="5"/>
    </row>
    <row r="36232">
      <c r="N36232" s="1"/>
      <c r="V36232" s="5"/>
    </row>
    <row r="36233">
      <c r="N36233" s="1"/>
      <c r="V36233" s="5"/>
    </row>
    <row r="36234">
      <c r="N36234" s="1"/>
      <c r="V36234" s="5"/>
    </row>
    <row r="36235">
      <c r="N36235" s="1"/>
      <c r="V36235" s="5"/>
    </row>
    <row r="36236">
      <c r="N36236" s="1"/>
      <c r="V36236" s="5"/>
    </row>
    <row r="36237">
      <c r="N36237" s="1"/>
      <c r="V36237" s="5"/>
    </row>
    <row r="36238">
      <c r="N36238" s="1"/>
      <c r="V36238" s="5"/>
    </row>
    <row r="36239">
      <c r="N36239" s="1"/>
      <c r="V36239" s="5"/>
    </row>
    <row r="36240">
      <c r="N36240" s="1"/>
      <c r="V36240" s="5"/>
    </row>
    <row r="36241">
      <c r="N36241" s="1"/>
      <c r="V36241" s="5"/>
    </row>
    <row r="36242">
      <c r="N36242" s="1"/>
      <c r="V36242" s="5"/>
    </row>
    <row r="36243">
      <c r="N36243" s="1"/>
      <c r="V36243" s="5"/>
    </row>
    <row r="36244">
      <c r="N36244" s="1"/>
      <c r="V36244" s="5"/>
    </row>
    <row r="36245">
      <c r="N36245" s="1"/>
      <c r="V36245" s="5"/>
    </row>
    <row r="36246">
      <c r="N36246" s="1"/>
      <c r="V36246" s="5"/>
    </row>
    <row r="36247">
      <c r="N36247" s="1"/>
      <c r="V36247" s="5"/>
    </row>
    <row r="36248">
      <c r="N36248" s="1"/>
      <c r="V36248" s="5"/>
    </row>
    <row r="36249">
      <c r="N36249" s="1"/>
      <c r="V36249" s="5"/>
    </row>
    <row r="36250">
      <c r="N36250" s="1"/>
      <c r="V36250" s="5"/>
    </row>
    <row r="36251">
      <c r="N36251" s="1"/>
      <c r="V36251" s="5"/>
    </row>
    <row r="36252">
      <c r="N36252" s="1"/>
      <c r="V36252" s="5"/>
    </row>
    <row r="36253">
      <c r="N36253" s="1"/>
      <c r="V36253" s="5"/>
    </row>
    <row r="36254">
      <c r="N36254" s="1"/>
      <c r="V36254" s="5"/>
    </row>
    <row r="36255">
      <c r="N36255" s="1"/>
      <c r="V36255" s="5"/>
    </row>
    <row r="36256">
      <c r="N36256" s="1"/>
      <c r="V36256" s="5"/>
    </row>
    <row r="36257">
      <c r="N36257" s="1"/>
      <c r="V36257" s="5"/>
    </row>
    <row r="36258">
      <c r="N36258" s="1"/>
      <c r="V36258" s="5"/>
    </row>
    <row r="36259">
      <c r="N36259" s="1"/>
      <c r="V36259" s="5"/>
    </row>
    <row r="36260">
      <c r="N36260" s="1"/>
      <c r="V36260" s="5"/>
    </row>
    <row r="36261">
      <c r="N36261" s="1"/>
      <c r="V36261" s="5"/>
    </row>
    <row r="36262">
      <c r="N36262" s="1"/>
      <c r="V36262" s="5"/>
    </row>
    <row r="36263">
      <c r="N36263" s="1"/>
      <c r="V36263" s="5"/>
    </row>
    <row r="36264">
      <c r="N36264" s="1"/>
      <c r="V36264" s="5"/>
    </row>
    <row r="36265">
      <c r="N36265" s="1"/>
      <c r="V36265" s="5"/>
    </row>
    <row r="36266">
      <c r="N36266" s="1"/>
      <c r="V36266" s="5"/>
    </row>
    <row r="36267">
      <c r="N36267" s="1"/>
      <c r="V36267" s="5"/>
    </row>
    <row r="36268">
      <c r="N36268" s="1"/>
      <c r="V36268" s="5"/>
    </row>
    <row r="36269">
      <c r="N36269" s="1"/>
      <c r="V36269" s="5"/>
    </row>
    <row r="36270">
      <c r="N36270" s="1"/>
      <c r="V36270" s="5"/>
    </row>
    <row r="36271">
      <c r="N36271" s="1"/>
      <c r="V36271" s="5"/>
    </row>
    <row r="36272">
      <c r="N36272" s="1"/>
      <c r="V36272" s="5"/>
    </row>
    <row r="36273">
      <c r="N36273" s="1"/>
      <c r="V36273" s="5"/>
    </row>
    <row r="36274">
      <c r="N36274" s="1"/>
      <c r="V36274" s="5"/>
    </row>
    <row r="36275">
      <c r="N36275" s="1"/>
      <c r="V36275" s="5"/>
    </row>
    <row r="36276">
      <c r="N36276" s="1"/>
      <c r="V36276" s="5"/>
    </row>
    <row r="36277">
      <c r="N36277" s="1"/>
      <c r="V36277" s="5"/>
    </row>
    <row r="36278">
      <c r="N36278" s="1"/>
      <c r="V36278" s="5"/>
    </row>
    <row r="36279">
      <c r="N36279" s="1"/>
      <c r="V36279" s="5"/>
    </row>
    <row r="36280">
      <c r="N36280" s="1"/>
      <c r="V36280" s="5"/>
    </row>
    <row r="36281">
      <c r="N36281" s="1"/>
      <c r="V36281" s="5"/>
    </row>
    <row r="36282">
      <c r="N36282" s="1"/>
      <c r="V36282" s="5"/>
    </row>
    <row r="36283">
      <c r="N36283" s="1"/>
      <c r="V36283" s="5"/>
    </row>
    <row r="36284">
      <c r="N36284" s="1"/>
      <c r="V36284" s="5"/>
    </row>
    <row r="36285">
      <c r="N36285" s="1"/>
      <c r="V36285" s="5"/>
    </row>
    <row r="36286">
      <c r="N36286" s="1"/>
      <c r="V36286" s="5"/>
    </row>
    <row r="36287">
      <c r="N36287" s="1"/>
      <c r="V36287" s="5"/>
    </row>
    <row r="36288">
      <c r="N36288" s="1"/>
      <c r="V36288" s="5"/>
    </row>
    <row r="36289">
      <c r="N36289" s="1"/>
      <c r="V36289" s="5"/>
    </row>
    <row r="36290">
      <c r="N36290" s="1"/>
      <c r="V36290" s="5"/>
    </row>
    <row r="36291">
      <c r="N36291" s="1"/>
      <c r="V36291" s="5"/>
    </row>
    <row r="36292">
      <c r="N36292" s="1"/>
      <c r="V36292" s="5"/>
    </row>
    <row r="36293">
      <c r="N36293" s="1"/>
      <c r="V36293" s="5"/>
    </row>
    <row r="36294">
      <c r="N36294" s="1"/>
      <c r="V36294" s="5"/>
    </row>
    <row r="36295">
      <c r="N36295" s="1"/>
      <c r="V36295" s="5"/>
    </row>
    <row r="36296">
      <c r="N36296" s="1"/>
      <c r="V36296" s="5"/>
    </row>
    <row r="36297">
      <c r="N36297" s="1"/>
      <c r="V36297" s="5"/>
    </row>
    <row r="36298">
      <c r="N36298" s="1"/>
      <c r="V36298" s="5"/>
    </row>
    <row r="36299">
      <c r="N36299" s="1"/>
      <c r="V36299" s="5"/>
    </row>
    <row r="36300">
      <c r="N36300" s="1"/>
      <c r="V36300" s="5"/>
    </row>
    <row r="36301">
      <c r="N36301" s="1"/>
      <c r="V36301" s="5"/>
    </row>
    <row r="36302">
      <c r="N36302" s="1"/>
      <c r="V36302" s="5"/>
    </row>
    <row r="36303">
      <c r="N36303" s="1"/>
      <c r="V36303" s="5"/>
    </row>
    <row r="36304">
      <c r="N36304" s="1"/>
      <c r="V36304" s="5"/>
    </row>
    <row r="36305">
      <c r="N36305" s="1"/>
      <c r="V36305" s="5"/>
    </row>
    <row r="36306">
      <c r="N36306" s="1"/>
      <c r="V36306" s="5"/>
    </row>
    <row r="36307">
      <c r="N36307" s="1"/>
      <c r="V36307" s="5"/>
    </row>
    <row r="36308">
      <c r="N36308" s="1"/>
      <c r="V36308" s="5"/>
    </row>
    <row r="36309">
      <c r="N36309" s="1"/>
      <c r="V36309" s="5"/>
    </row>
    <row r="36310">
      <c r="N36310" s="1"/>
      <c r="V36310" s="5"/>
    </row>
    <row r="36311">
      <c r="N36311" s="1"/>
      <c r="V36311" s="5"/>
    </row>
    <row r="36312">
      <c r="N36312" s="1"/>
      <c r="V36312" s="5"/>
    </row>
    <row r="36313">
      <c r="N36313" s="1"/>
      <c r="V36313" s="5"/>
    </row>
    <row r="36314">
      <c r="N36314" s="1"/>
      <c r="V36314" s="5"/>
    </row>
    <row r="36315">
      <c r="N36315" s="1"/>
      <c r="V36315" s="5"/>
    </row>
    <row r="36316">
      <c r="N36316" s="1"/>
      <c r="V36316" s="5"/>
    </row>
    <row r="36317">
      <c r="N36317" s="1"/>
      <c r="V36317" s="5"/>
    </row>
    <row r="36318">
      <c r="N36318" s="1"/>
      <c r="V36318" s="5"/>
    </row>
    <row r="36319">
      <c r="N36319" s="1"/>
      <c r="V36319" s="5"/>
    </row>
    <row r="36320">
      <c r="N36320" s="1"/>
      <c r="V36320" s="5"/>
    </row>
    <row r="36321">
      <c r="N36321" s="1"/>
      <c r="V36321" s="5"/>
    </row>
    <row r="36322">
      <c r="N36322" s="1"/>
      <c r="V36322" s="5"/>
    </row>
    <row r="36323">
      <c r="N36323" s="1"/>
      <c r="V36323" s="5"/>
    </row>
    <row r="36324">
      <c r="N36324" s="1"/>
      <c r="V36324" s="5"/>
    </row>
    <row r="36325">
      <c r="N36325" s="1"/>
      <c r="V36325" s="5"/>
    </row>
    <row r="36326">
      <c r="N36326" s="1"/>
      <c r="V36326" s="5"/>
    </row>
    <row r="36327">
      <c r="N36327" s="1"/>
      <c r="V36327" s="5"/>
    </row>
    <row r="36328">
      <c r="N36328" s="1"/>
      <c r="V36328" s="5"/>
    </row>
    <row r="36329">
      <c r="N36329" s="1"/>
      <c r="V36329" s="5"/>
    </row>
    <row r="36330">
      <c r="N36330" s="1"/>
      <c r="V36330" s="5"/>
    </row>
    <row r="36331">
      <c r="N36331" s="1"/>
      <c r="V36331" s="5"/>
    </row>
    <row r="36332">
      <c r="N36332" s="1"/>
      <c r="V36332" s="5"/>
    </row>
    <row r="36333">
      <c r="N36333" s="1"/>
      <c r="V36333" s="5"/>
    </row>
    <row r="36334">
      <c r="N36334" s="1"/>
      <c r="V36334" s="5"/>
    </row>
    <row r="36335">
      <c r="N36335" s="1"/>
      <c r="V36335" s="5"/>
    </row>
    <row r="36336">
      <c r="N36336" s="1"/>
      <c r="V36336" s="5"/>
    </row>
    <row r="36337">
      <c r="N36337" s="1"/>
      <c r="V36337" s="5"/>
    </row>
    <row r="36338">
      <c r="N36338" s="1"/>
      <c r="V36338" s="5"/>
    </row>
    <row r="36339">
      <c r="N36339" s="1"/>
      <c r="V36339" s="5"/>
    </row>
    <row r="36340">
      <c r="N36340" s="1"/>
      <c r="V36340" s="5"/>
    </row>
    <row r="36341">
      <c r="N36341" s="1"/>
      <c r="V36341" s="5"/>
    </row>
    <row r="36342">
      <c r="N36342" s="1"/>
      <c r="V36342" s="5"/>
    </row>
    <row r="36343">
      <c r="N36343" s="1"/>
      <c r="V36343" s="5"/>
    </row>
    <row r="36344">
      <c r="N36344" s="1"/>
      <c r="V36344" s="5"/>
    </row>
    <row r="36345">
      <c r="N36345" s="1"/>
      <c r="V36345" s="5"/>
    </row>
    <row r="36346">
      <c r="N36346" s="1"/>
      <c r="V36346" s="5"/>
    </row>
    <row r="36347">
      <c r="N36347" s="1"/>
      <c r="V36347" s="5"/>
    </row>
    <row r="36348">
      <c r="N36348" s="1"/>
      <c r="V36348" s="5"/>
    </row>
    <row r="36349">
      <c r="N36349" s="1"/>
      <c r="V36349" s="5"/>
    </row>
    <row r="36350">
      <c r="N36350" s="1"/>
      <c r="V36350" s="5"/>
    </row>
    <row r="36351">
      <c r="N36351" s="1"/>
      <c r="V36351" s="5"/>
    </row>
    <row r="36352">
      <c r="N36352" s="1"/>
      <c r="V36352" s="5"/>
    </row>
    <row r="36353">
      <c r="N36353" s="1"/>
      <c r="V36353" s="5"/>
    </row>
    <row r="36354">
      <c r="N36354" s="1"/>
      <c r="V36354" s="5"/>
    </row>
    <row r="36355">
      <c r="N36355" s="1"/>
      <c r="V36355" s="5"/>
    </row>
    <row r="36356">
      <c r="N36356" s="1"/>
      <c r="V36356" s="5"/>
    </row>
    <row r="36357">
      <c r="N36357" s="1"/>
      <c r="V36357" s="5"/>
    </row>
    <row r="36358">
      <c r="N36358" s="1"/>
      <c r="V36358" s="5"/>
    </row>
    <row r="36359">
      <c r="N36359" s="1"/>
      <c r="V36359" s="5"/>
    </row>
    <row r="36360">
      <c r="N36360" s="1"/>
      <c r="V36360" s="5"/>
    </row>
    <row r="36361">
      <c r="N36361" s="1"/>
      <c r="V36361" s="5"/>
    </row>
    <row r="36362">
      <c r="N36362" s="1"/>
      <c r="V36362" s="5"/>
    </row>
    <row r="36363">
      <c r="N36363" s="1"/>
      <c r="V36363" s="5"/>
    </row>
    <row r="36364">
      <c r="N36364" s="1"/>
      <c r="V36364" s="5"/>
    </row>
    <row r="36365">
      <c r="N36365" s="1"/>
      <c r="V36365" s="5"/>
    </row>
    <row r="36366">
      <c r="N36366" s="1"/>
      <c r="V36366" s="5"/>
    </row>
    <row r="36367">
      <c r="N36367" s="1"/>
      <c r="V36367" s="5"/>
    </row>
    <row r="36368">
      <c r="N36368" s="1"/>
      <c r="V36368" s="5"/>
    </row>
    <row r="36369">
      <c r="N36369" s="1"/>
      <c r="V36369" s="5"/>
    </row>
    <row r="36370">
      <c r="N36370" s="1"/>
      <c r="V36370" s="5"/>
    </row>
    <row r="36371">
      <c r="N36371" s="1"/>
      <c r="V36371" s="5"/>
    </row>
    <row r="36372">
      <c r="N36372" s="1"/>
      <c r="V36372" s="5"/>
    </row>
    <row r="36373">
      <c r="N36373" s="1"/>
      <c r="V36373" s="5"/>
    </row>
    <row r="36374">
      <c r="N36374" s="1"/>
      <c r="V36374" s="5"/>
    </row>
    <row r="36375">
      <c r="N36375" s="1"/>
      <c r="V36375" s="5"/>
    </row>
    <row r="36376">
      <c r="N36376" s="1"/>
      <c r="V36376" s="5"/>
    </row>
    <row r="36377">
      <c r="N36377" s="1"/>
      <c r="V36377" s="5"/>
    </row>
    <row r="36378">
      <c r="N36378" s="1"/>
      <c r="V36378" s="5"/>
    </row>
    <row r="36379">
      <c r="N36379" s="1"/>
      <c r="V36379" s="5"/>
    </row>
    <row r="36380">
      <c r="N36380" s="1"/>
      <c r="V36380" s="5"/>
    </row>
    <row r="36381">
      <c r="N36381" s="1"/>
      <c r="V36381" s="5"/>
    </row>
    <row r="36382">
      <c r="N36382" s="1"/>
      <c r="V36382" s="5"/>
    </row>
    <row r="36383">
      <c r="N36383" s="1"/>
      <c r="V36383" s="5"/>
    </row>
    <row r="36384">
      <c r="N36384" s="1"/>
      <c r="V36384" s="5"/>
    </row>
    <row r="36385">
      <c r="N36385" s="1"/>
      <c r="V36385" s="5"/>
    </row>
    <row r="36386">
      <c r="N36386" s="1"/>
      <c r="V36386" s="5"/>
    </row>
    <row r="36387">
      <c r="N36387" s="1"/>
      <c r="V36387" s="5"/>
    </row>
    <row r="36388">
      <c r="N36388" s="1"/>
      <c r="V36388" s="5"/>
    </row>
    <row r="36389">
      <c r="N36389" s="1"/>
      <c r="V36389" s="5"/>
    </row>
    <row r="36390">
      <c r="N36390" s="1"/>
      <c r="V36390" s="5"/>
    </row>
    <row r="36391">
      <c r="N36391" s="1"/>
      <c r="V36391" s="5"/>
    </row>
    <row r="36392">
      <c r="N36392" s="1"/>
      <c r="V36392" s="5"/>
    </row>
    <row r="36393">
      <c r="N36393" s="1"/>
      <c r="V36393" s="5"/>
    </row>
    <row r="36394">
      <c r="N36394" s="1"/>
      <c r="V36394" s="5"/>
    </row>
    <row r="36395">
      <c r="N36395" s="1"/>
      <c r="V36395" s="5"/>
    </row>
    <row r="36396">
      <c r="N36396" s="1"/>
      <c r="V36396" s="5"/>
    </row>
    <row r="36397">
      <c r="N36397" s="1"/>
      <c r="V36397" s="5"/>
    </row>
    <row r="36398">
      <c r="N36398" s="1"/>
      <c r="V36398" s="5"/>
    </row>
    <row r="36399">
      <c r="N36399" s="1"/>
      <c r="V36399" s="5"/>
    </row>
    <row r="36400">
      <c r="N36400" s="1"/>
      <c r="V36400" s="5"/>
    </row>
    <row r="36401">
      <c r="N36401" s="1"/>
      <c r="V36401" s="5"/>
    </row>
    <row r="36402">
      <c r="N36402" s="1"/>
      <c r="V36402" s="5"/>
    </row>
    <row r="36403">
      <c r="N36403" s="1"/>
      <c r="V36403" s="5"/>
    </row>
    <row r="36404">
      <c r="N36404" s="1"/>
      <c r="V36404" s="5"/>
    </row>
    <row r="36405">
      <c r="N36405" s="1"/>
      <c r="V36405" s="5"/>
    </row>
    <row r="36406">
      <c r="N36406" s="1"/>
      <c r="V36406" s="5"/>
    </row>
    <row r="36407">
      <c r="N36407" s="1"/>
      <c r="V36407" s="5"/>
    </row>
    <row r="36408">
      <c r="N36408" s="1"/>
      <c r="V36408" s="5"/>
    </row>
    <row r="36409">
      <c r="N36409" s="1"/>
      <c r="V36409" s="5"/>
    </row>
    <row r="36410">
      <c r="N36410" s="1"/>
      <c r="V36410" s="5"/>
    </row>
    <row r="36411">
      <c r="N36411" s="1"/>
      <c r="V36411" s="5"/>
    </row>
    <row r="36412">
      <c r="N36412" s="1"/>
      <c r="V36412" s="5"/>
    </row>
    <row r="36413">
      <c r="N36413" s="1"/>
      <c r="V36413" s="5"/>
    </row>
    <row r="36414">
      <c r="N36414" s="1"/>
      <c r="V36414" s="5"/>
    </row>
    <row r="36415">
      <c r="N36415" s="1"/>
      <c r="V36415" s="5"/>
    </row>
    <row r="36416">
      <c r="N36416" s="1"/>
      <c r="V36416" s="5"/>
    </row>
    <row r="36417">
      <c r="N36417" s="1"/>
      <c r="V36417" s="5"/>
    </row>
    <row r="36418">
      <c r="N36418" s="1"/>
      <c r="V36418" s="5"/>
    </row>
    <row r="36419">
      <c r="N36419" s="1"/>
      <c r="V36419" s="5"/>
    </row>
    <row r="36420">
      <c r="N36420" s="1"/>
      <c r="V36420" s="5"/>
    </row>
    <row r="36421">
      <c r="N36421" s="1"/>
      <c r="V36421" s="5"/>
    </row>
    <row r="36422">
      <c r="N36422" s="1"/>
      <c r="V36422" s="5"/>
    </row>
    <row r="36423">
      <c r="N36423" s="1"/>
      <c r="V36423" s="5"/>
    </row>
    <row r="36424">
      <c r="N36424" s="1"/>
      <c r="V36424" s="5"/>
    </row>
    <row r="36425">
      <c r="N36425" s="1"/>
      <c r="V36425" s="5"/>
    </row>
    <row r="36426">
      <c r="N36426" s="1"/>
      <c r="V36426" s="5"/>
    </row>
    <row r="36427">
      <c r="N36427" s="1"/>
      <c r="V36427" s="5"/>
    </row>
    <row r="36428">
      <c r="N36428" s="1"/>
      <c r="V36428" s="5"/>
    </row>
    <row r="36429">
      <c r="N36429" s="1"/>
      <c r="V36429" s="5"/>
    </row>
    <row r="36430">
      <c r="N36430" s="1"/>
      <c r="V36430" s="5"/>
    </row>
    <row r="36431">
      <c r="N36431" s="1"/>
      <c r="V36431" s="5"/>
    </row>
    <row r="36432">
      <c r="N36432" s="1"/>
      <c r="V36432" s="5"/>
    </row>
    <row r="36433">
      <c r="N36433" s="1"/>
      <c r="V36433" s="5"/>
    </row>
    <row r="36434">
      <c r="N36434" s="1"/>
      <c r="V36434" s="5"/>
    </row>
    <row r="36435">
      <c r="N36435" s="1"/>
      <c r="V36435" s="5"/>
    </row>
    <row r="36436">
      <c r="N36436" s="1"/>
      <c r="V36436" s="5"/>
    </row>
    <row r="36437">
      <c r="N36437" s="1"/>
      <c r="V36437" s="5"/>
    </row>
    <row r="36438">
      <c r="N36438" s="1"/>
      <c r="V36438" s="5"/>
    </row>
    <row r="36439">
      <c r="N36439" s="1"/>
      <c r="V36439" s="5"/>
    </row>
    <row r="36440">
      <c r="N36440" s="1"/>
      <c r="V36440" s="5"/>
    </row>
    <row r="36441">
      <c r="N36441" s="1"/>
      <c r="V36441" s="5"/>
    </row>
    <row r="36442">
      <c r="N36442" s="1"/>
      <c r="V36442" s="5"/>
    </row>
    <row r="36443">
      <c r="N36443" s="1"/>
      <c r="V36443" s="5"/>
    </row>
    <row r="36444">
      <c r="N36444" s="1"/>
      <c r="V36444" s="5"/>
    </row>
    <row r="36445">
      <c r="N36445" s="1"/>
      <c r="V36445" s="5"/>
    </row>
    <row r="36446">
      <c r="N36446" s="1"/>
      <c r="V36446" s="5"/>
    </row>
    <row r="36447">
      <c r="N36447" s="1"/>
      <c r="V36447" s="5"/>
    </row>
    <row r="36448">
      <c r="N36448" s="1"/>
      <c r="V36448" s="5"/>
    </row>
    <row r="36449">
      <c r="N36449" s="1"/>
      <c r="V36449" s="5"/>
    </row>
    <row r="36450">
      <c r="N36450" s="1"/>
      <c r="V36450" s="5"/>
    </row>
    <row r="36451">
      <c r="N36451" s="1"/>
      <c r="V36451" s="5"/>
    </row>
    <row r="36452">
      <c r="N36452" s="1"/>
      <c r="V36452" s="5"/>
    </row>
    <row r="36453">
      <c r="N36453" s="1"/>
      <c r="V36453" s="5"/>
    </row>
    <row r="36454">
      <c r="N36454" s="1"/>
      <c r="V36454" s="5"/>
    </row>
    <row r="36455">
      <c r="N36455" s="1"/>
      <c r="V36455" s="5"/>
    </row>
    <row r="36456">
      <c r="N36456" s="1"/>
      <c r="V36456" s="5"/>
    </row>
    <row r="36457">
      <c r="N36457" s="1"/>
      <c r="V36457" s="5"/>
    </row>
    <row r="36458">
      <c r="N36458" s="1"/>
      <c r="V36458" s="5"/>
    </row>
    <row r="36459">
      <c r="N36459" s="1"/>
      <c r="V36459" s="5"/>
    </row>
    <row r="36460">
      <c r="N36460" s="1"/>
      <c r="V36460" s="5"/>
    </row>
    <row r="36461">
      <c r="N36461" s="1"/>
      <c r="V36461" s="5"/>
    </row>
    <row r="36462">
      <c r="N36462" s="1"/>
      <c r="V36462" s="5"/>
    </row>
    <row r="36463">
      <c r="N36463" s="1"/>
      <c r="V36463" s="5"/>
    </row>
    <row r="36464">
      <c r="N36464" s="1"/>
      <c r="V36464" s="5"/>
    </row>
    <row r="36465">
      <c r="N36465" s="1"/>
      <c r="V36465" s="5"/>
    </row>
    <row r="36466">
      <c r="N36466" s="1"/>
      <c r="V36466" s="5"/>
    </row>
    <row r="36467">
      <c r="N36467" s="1"/>
      <c r="V36467" s="5"/>
    </row>
    <row r="36468">
      <c r="N36468" s="1"/>
      <c r="V36468" s="5"/>
    </row>
    <row r="36469">
      <c r="N36469" s="1"/>
      <c r="V36469" s="5"/>
    </row>
    <row r="36470">
      <c r="N36470" s="1"/>
      <c r="V36470" s="5"/>
    </row>
    <row r="36471">
      <c r="N36471" s="1"/>
      <c r="V36471" s="5"/>
    </row>
    <row r="36472">
      <c r="N36472" s="1"/>
      <c r="V36472" s="5"/>
    </row>
    <row r="36473">
      <c r="N36473" s="1"/>
      <c r="V36473" s="5"/>
    </row>
    <row r="36474">
      <c r="N36474" s="1"/>
      <c r="V36474" s="5"/>
    </row>
    <row r="36475">
      <c r="N36475" s="1"/>
      <c r="V36475" s="5"/>
    </row>
    <row r="36476">
      <c r="N36476" s="1"/>
      <c r="V36476" s="5"/>
    </row>
    <row r="36477">
      <c r="N36477" s="1"/>
      <c r="V36477" s="5"/>
    </row>
    <row r="36478">
      <c r="N36478" s="1"/>
      <c r="V36478" s="5"/>
    </row>
    <row r="36479">
      <c r="N36479" s="1"/>
      <c r="V36479" s="5"/>
    </row>
    <row r="36480">
      <c r="N36480" s="1"/>
      <c r="V36480" s="5"/>
    </row>
    <row r="36481">
      <c r="N36481" s="1"/>
      <c r="V36481" s="5"/>
    </row>
    <row r="36482">
      <c r="N36482" s="1"/>
      <c r="V36482" s="5"/>
    </row>
    <row r="36483">
      <c r="N36483" s="1"/>
      <c r="V36483" s="5"/>
    </row>
    <row r="36484">
      <c r="N36484" s="1"/>
      <c r="V36484" s="5"/>
    </row>
    <row r="36485">
      <c r="N36485" s="1"/>
      <c r="V36485" s="5"/>
    </row>
    <row r="36486">
      <c r="N36486" s="1"/>
      <c r="V36486" s="5"/>
    </row>
    <row r="36487">
      <c r="N36487" s="1"/>
      <c r="V36487" s="5"/>
    </row>
    <row r="36488">
      <c r="N36488" s="1"/>
      <c r="V36488" s="5"/>
    </row>
    <row r="36489">
      <c r="N36489" s="1"/>
      <c r="V36489" s="5"/>
    </row>
    <row r="36490">
      <c r="N36490" s="1"/>
      <c r="V36490" s="5"/>
    </row>
    <row r="36491">
      <c r="N36491" s="1"/>
      <c r="V36491" s="5"/>
    </row>
    <row r="36492">
      <c r="N36492" s="1"/>
      <c r="V36492" s="5"/>
    </row>
    <row r="36493">
      <c r="N36493" s="1"/>
      <c r="V36493" s="5"/>
    </row>
    <row r="36494">
      <c r="N36494" s="1"/>
      <c r="V36494" s="5"/>
    </row>
    <row r="36495">
      <c r="N36495" s="1"/>
      <c r="V36495" s="5"/>
    </row>
    <row r="36496">
      <c r="N36496" s="1"/>
      <c r="V36496" s="5"/>
    </row>
    <row r="36497">
      <c r="N36497" s="1"/>
      <c r="V36497" s="5"/>
    </row>
    <row r="36498">
      <c r="N36498" s="1"/>
      <c r="V36498" s="5"/>
    </row>
    <row r="36499">
      <c r="N36499" s="1"/>
      <c r="V36499" s="5"/>
    </row>
    <row r="36500">
      <c r="N36500" s="1"/>
      <c r="V36500" s="5"/>
    </row>
    <row r="36501">
      <c r="N36501" s="1"/>
      <c r="V36501" s="5"/>
    </row>
    <row r="36502">
      <c r="N36502" s="1"/>
      <c r="V36502" s="5"/>
    </row>
    <row r="36503">
      <c r="N36503" s="1"/>
      <c r="V36503" s="5"/>
    </row>
    <row r="36504">
      <c r="N36504" s="1"/>
      <c r="V36504" s="5"/>
    </row>
    <row r="36505">
      <c r="N36505" s="1"/>
      <c r="V36505" s="5"/>
    </row>
    <row r="36506">
      <c r="N36506" s="1"/>
      <c r="V36506" s="5"/>
    </row>
    <row r="36507">
      <c r="N36507" s="1"/>
      <c r="V36507" s="5"/>
    </row>
    <row r="36508">
      <c r="N36508" s="1"/>
      <c r="V36508" s="5"/>
    </row>
    <row r="36509">
      <c r="N36509" s="1"/>
      <c r="V36509" s="5"/>
    </row>
    <row r="36510">
      <c r="N36510" s="1"/>
      <c r="V36510" s="5"/>
    </row>
    <row r="36511">
      <c r="N36511" s="1"/>
      <c r="V36511" s="5"/>
    </row>
    <row r="36512">
      <c r="N36512" s="1"/>
      <c r="V36512" s="5"/>
    </row>
    <row r="36513">
      <c r="N36513" s="1"/>
      <c r="V36513" s="5"/>
    </row>
    <row r="36514">
      <c r="N36514" s="1"/>
      <c r="V36514" s="5"/>
    </row>
    <row r="36515">
      <c r="N36515" s="1"/>
      <c r="V36515" s="5"/>
    </row>
    <row r="36516">
      <c r="N36516" s="1"/>
      <c r="V36516" s="5"/>
    </row>
    <row r="36517">
      <c r="N36517" s="1"/>
      <c r="V36517" s="5"/>
    </row>
    <row r="36518">
      <c r="N36518" s="1"/>
      <c r="V36518" s="5"/>
    </row>
    <row r="36519">
      <c r="N36519" s="1"/>
      <c r="V36519" s="5"/>
    </row>
    <row r="36520">
      <c r="N36520" s="1"/>
      <c r="V36520" s="5"/>
    </row>
    <row r="36521">
      <c r="N36521" s="1"/>
      <c r="V36521" s="5"/>
    </row>
    <row r="36522">
      <c r="N36522" s="1"/>
      <c r="V36522" s="5"/>
    </row>
    <row r="36523">
      <c r="N36523" s="1"/>
      <c r="V36523" s="5"/>
    </row>
    <row r="36524">
      <c r="N36524" s="1"/>
      <c r="V36524" s="5"/>
    </row>
    <row r="36525">
      <c r="N36525" s="1"/>
      <c r="V36525" s="5"/>
    </row>
    <row r="36526">
      <c r="N36526" s="1"/>
      <c r="V36526" s="5"/>
    </row>
    <row r="36527">
      <c r="N36527" s="1"/>
      <c r="V36527" s="5"/>
    </row>
    <row r="36528">
      <c r="N36528" s="1"/>
      <c r="V36528" s="5"/>
    </row>
    <row r="36529">
      <c r="N36529" s="1"/>
      <c r="V36529" s="5"/>
    </row>
    <row r="36530">
      <c r="N36530" s="1"/>
      <c r="V36530" s="5"/>
    </row>
    <row r="36531">
      <c r="N36531" s="1"/>
      <c r="V36531" s="5"/>
    </row>
    <row r="36532">
      <c r="N36532" s="1"/>
      <c r="V36532" s="5"/>
    </row>
    <row r="36533">
      <c r="N36533" s="1"/>
      <c r="V36533" s="5"/>
    </row>
    <row r="36534">
      <c r="N36534" s="1"/>
      <c r="V36534" s="5"/>
    </row>
    <row r="36535">
      <c r="N36535" s="1"/>
      <c r="V36535" s="5"/>
    </row>
    <row r="36536">
      <c r="N36536" s="1"/>
      <c r="V36536" s="5"/>
    </row>
    <row r="36537">
      <c r="N36537" s="1"/>
      <c r="V36537" s="5"/>
    </row>
    <row r="36538">
      <c r="N36538" s="1"/>
      <c r="V36538" s="5"/>
    </row>
    <row r="36539">
      <c r="N36539" s="1"/>
      <c r="V36539" s="5"/>
    </row>
    <row r="36540">
      <c r="N36540" s="1"/>
      <c r="V36540" s="5"/>
    </row>
    <row r="36541">
      <c r="N36541" s="1"/>
      <c r="V36541" s="5"/>
    </row>
    <row r="36542">
      <c r="N36542" s="1"/>
      <c r="V36542" s="5"/>
    </row>
    <row r="36543">
      <c r="N36543" s="1"/>
      <c r="V36543" s="5"/>
    </row>
    <row r="36544">
      <c r="N36544" s="1"/>
      <c r="V36544" s="5"/>
    </row>
    <row r="36545">
      <c r="N36545" s="1"/>
      <c r="V36545" s="5"/>
    </row>
    <row r="36546">
      <c r="N36546" s="1"/>
      <c r="V36546" s="5"/>
    </row>
    <row r="36547">
      <c r="N36547" s="1"/>
      <c r="V36547" s="5"/>
    </row>
    <row r="36548">
      <c r="N36548" s="1"/>
      <c r="V36548" s="5"/>
    </row>
    <row r="36549">
      <c r="N36549" s="1"/>
      <c r="V36549" s="5"/>
    </row>
    <row r="36550">
      <c r="N36550" s="1"/>
      <c r="V36550" s="5"/>
    </row>
    <row r="36551">
      <c r="N36551" s="1"/>
      <c r="V36551" s="5"/>
    </row>
    <row r="36552">
      <c r="N36552" s="1"/>
      <c r="V36552" s="5"/>
    </row>
    <row r="36553">
      <c r="N36553" s="1"/>
      <c r="V36553" s="5"/>
    </row>
    <row r="36554">
      <c r="N36554" s="1"/>
      <c r="V36554" s="5"/>
    </row>
    <row r="36555">
      <c r="N36555" s="1"/>
      <c r="V36555" s="5"/>
    </row>
    <row r="36556">
      <c r="N36556" s="1"/>
      <c r="V36556" s="5"/>
    </row>
    <row r="36557">
      <c r="N36557" s="1"/>
      <c r="V36557" s="5"/>
    </row>
    <row r="36558">
      <c r="N36558" s="1"/>
      <c r="V36558" s="5"/>
    </row>
    <row r="36559">
      <c r="N36559" s="1"/>
      <c r="V36559" s="5"/>
    </row>
    <row r="36560">
      <c r="N36560" s="1"/>
      <c r="V36560" s="5"/>
    </row>
    <row r="36561">
      <c r="N36561" s="1"/>
      <c r="V36561" s="5"/>
    </row>
    <row r="36562">
      <c r="N36562" s="1"/>
      <c r="V36562" s="5"/>
    </row>
    <row r="36563">
      <c r="N36563" s="1"/>
      <c r="V36563" s="5"/>
    </row>
    <row r="36564">
      <c r="N36564" s="1"/>
      <c r="V36564" s="5"/>
    </row>
    <row r="36565">
      <c r="N36565" s="1"/>
      <c r="V36565" s="5"/>
    </row>
    <row r="36566">
      <c r="N36566" s="1"/>
      <c r="V36566" s="5"/>
    </row>
    <row r="36567">
      <c r="N36567" s="1"/>
      <c r="V36567" s="5"/>
    </row>
    <row r="36568">
      <c r="N36568" s="1"/>
      <c r="V36568" s="5"/>
    </row>
    <row r="36569">
      <c r="N36569" s="1"/>
      <c r="V36569" s="5"/>
    </row>
    <row r="36570">
      <c r="N36570" s="1"/>
      <c r="V36570" s="5"/>
    </row>
    <row r="36571">
      <c r="N36571" s="1"/>
      <c r="V36571" s="5"/>
    </row>
    <row r="36572">
      <c r="N36572" s="1"/>
      <c r="V36572" s="5"/>
    </row>
    <row r="36573">
      <c r="N36573" s="1"/>
      <c r="V36573" s="5"/>
    </row>
    <row r="36574">
      <c r="N36574" s="1"/>
      <c r="V36574" s="5"/>
    </row>
    <row r="36575">
      <c r="N36575" s="1"/>
      <c r="V36575" s="5"/>
    </row>
    <row r="36576">
      <c r="N36576" s="1"/>
      <c r="V36576" s="5"/>
    </row>
    <row r="36577">
      <c r="N36577" s="1"/>
      <c r="V36577" s="5"/>
    </row>
    <row r="36578">
      <c r="N36578" s="1"/>
      <c r="V36578" s="5"/>
    </row>
    <row r="36579">
      <c r="N36579" s="1"/>
      <c r="V36579" s="5"/>
    </row>
    <row r="36580">
      <c r="N36580" s="1"/>
      <c r="V36580" s="5"/>
    </row>
    <row r="36581">
      <c r="N36581" s="1"/>
      <c r="V36581" s="5"/>
    </row>
    <row r="36582">
      <c r="N36582" s="1"/>
      <c r="V36582" s="5"/>
    </row>
    <row r="36583">
      <c r="N36583" s="1"/>
      <c r="V36583" s="5"/>
    </row>
    <row r="36584">
      <c r="N36584" s="1"/>
      <c r="V36584" s="5"/>
    </row>
    <row r="36585">
      <c r="N36585" s="1"/>
      <c r="V36585" s="5"/>
    </row>
    <row r="36586">
      <c r="N36586" s="1"/>
      <c r="V36586" s="5"/>
    </row>
    <row r="36587">
      <c r="N36587" s="1"/>
      <c r="V36587" s="5"/>
    </row>
    <row r="36588">
      <c r="N36588" s="1"/>
      <c r="V36588" s="5"/>
    </row>
    <row r="36589">
      <c r="N36589" s="1"/>
      <c r="V36589" s="5"/>
    </row>
    <row r="36590">
      <c r="N36590" s="1"/>
      <c r="V36590" s="5"/>
    </row>
    <row r="36591">
      <c r="N36591" s="1"/>
      <c r="V36591" s="5"/>
    </row>
    <row r="36592">
      <c r="N36592" s="1"/>
      <c r="V36592" s="5"/>
    </row>
    <row r="36593">
      <c r="N36593" s="1"/>
      <c r="V36593" s="5"/>
    </row>
    <row r="36594">
      <c r="N36594" s="1"/>
      <c r="V36594" s="5"/>
    </row>
    <row r="36595">
      <c r="N36595" s="1"/>
      <c r="V36595" s="5"/>
    </row>
    <row r="36596">
      <c r="N36596" s="1"/>
      <c r="V36596" s="5"/>
    </row>
    <row r="36597">
      <c r="N36597" s="1"/>
      <c r="V36597" s="5"/>
    </row>
    <row r="36598">
      <c r="N36598" s="1"/>
      <c r="V36598" s="5"/>
    </row>
    <row r="36599">
      <c r="N36599" s="1"/>
      <c r="V36599" s="5"/>
    </row>
    <row r="36600">
      <c r="N36600" s="1"/>
      <c r="V36600" s="5"/>
    </row>
    <row r="36601">
      <c r="N36601" s="1"/>
      <c r="V36601" s="5"/>
    </row>
    <row r="36602">
      <c r="N36602" s="1"/>
      <c r="V36602" s="5"/>
    </row>
    <row r="36603">
      <c r="N36603" s="1"/>
      <c r="V36603" s="5"/>
    </row>
    <row r="36604">
      <c r="N36604" s="1"/>
      <c r="V36604" s="5"/>
    </row>
    <row r="36605">
      <c r="N36605" s="1"/>
      <c r="V36605" s="5"/>
    </row>
    <row r="36606">
      <c r="N36606" s="1"/>
      <c r="V36606" s="5"/>
    </row>
    <row r="36607">
      <c r="N36607" s="1"/>
      <c r="V36607" s="5"/>
    </row>
    <row r="36608">
      <c r="N36608" s="1"/>
      <c r="V36608" s="5"/>
    </row>
    <row r="36609">
      <c r="N36609" s="1"/>
      <c r="V36609" s="5"/>
    </row>
    <row r="36610">
      <c r="N36610" s="1"/>
      <c r="V36610" s="5"/>
    </row>
    <row r="36611">
      <c r="N36611" s="1"/>
      <c r="V36611" s="5"/>
    </row>
    <row r="36612">
      <c r="N36612" s="1"/>
      <c r="V36612" s="5"/>
    </row>
    <row r="36613">
      <c r="N36613" s="1"/>
      <c r="V36613" s="5"/>
    </row>
    <row r="36614">
      <c r="N36614" s="1"/>
      <c r="V36614" s="5"/>
    </row>
    <row r="36615">
      <c r="N36615" s="1"/>
      <c r="V36615" s="5"/>
    </row>
    <row r="36616">
      <c r="N36616" s="1"/>
      <c r="V36616" s="5"/>
    </row>
    <row r="36617">
      <c r="N36617" s="1"/>
      <c r="V36617" s="5"/>
    </row>
    <row r="36618">
      <c r="N36618" s="1"/>
      <c r="V36618" s="5"/>
    </row>
    <row r="36619">
      <c r="N36619" s="1"/>
      <c r="V36619" s="5"/>
    </row>
    <row r="36620">
      <c r="N36620" s="1"/>
      <c r="V36620" s="5"/>
    </row>
    <row r="36621">
      <c r="N36621" s="1"/>
      <c r="V36621" s="5"/>
    </row>
    <row r="36622">
      <c r="N36622" s="1"/>
      <c r="V36622" s="5"/>
    </row>
    <row r="36623">
      <c r="N36623" s="1"/>
      <c r="V36623" s="5"/>
    </row>
    <row r="36624">
      <c r="N36624" s="1"/>
      <c r="V36624" s="5"/>
    </row>
    <row r="36625">
      <c r="N36625" s="1"/>
      <c r="V36625" s="5"/>
    </row>
    <row r="36626">
      <c r="N36626" s="1"/>
      <c r="V36626" s="5"/>
    </row>
    <row r="36627">
      <c r="N36627" s="1"/>
      <c r="V36627" s="5"/>
    </row>
    <row r="36628">
      <c r="N36628" s="1"/>
      <c r="V36628" s="5"/>
    </row>
    <row r="36629">
      <c r="N36629" s="1"/>
      <c r="V36629" s="5"/>
    </row>
    <row r="36630">
      <c r="N36630" s="1"/>
      <c r="V36630" s="5"/>
    </row>
    <row r="36631">
      <c r="N36631" s="1"/>
      <c r="V36631" s="5"/>
    </row>
    <row r="36632">
      <c r="N36632" s="1"/>
      <c r="V36632" s="5"/>
    </row>
    <row r="36633">
      <c r="N36633" s="1"/>
      <c r="V36633" s="5"/>
    </row>
    <row r="36634">
      <c r="N36634" s="1"/>
      <c r="V36634" s="5"/>
    </row>
    <row r="36635">
      <c r="N36635" s="1"/>
      <c r="V36635" s="5"/>
    </row>
    <row r="36636">
      <c r="N36636" s="1"/>
      <c r="V36636" s="5"/>
    </row>
    <row r="36637">
      <c r="N36637" s="1"/>
      <c r="V36637" s="5"/>
    </row>
    <row r="36638">
      <c r="N36638" s="1"/>
      <c r="V36638" s="5"/>
    </row>
    <row r="36639">
      <c r="N36639" s="1"/>
      <c r="V36639" s="5"/>
    </row>
    <row r="36640">
      <c r="N36640" s="1"/>
      <c r="V36640" s="5"/>
    </row>
    <row r="36641">
      <c r="N36641" s="1"/>
      <c r="V36641" s="5"/>
    </row>
    <row r="36642">
      <c r="N36642" s="1"/>
      <c r="V36642" s="5"/>
    </row>
    <row r="36643">
      <c r="N36643" s="1"/>
      <c r="V36643" s="5"/>
    </row>
    <row r="36644">
      <c r="N36644" s="1"/>
      <c r="V36644" s="5"/>
    </row>
    <row r="36645">
      <c r="N36645" s="1"/>
      <c r="V36645" s="5"/>
    </row>
    <row r="36646">
      <c r="N36646" s="1"/>
      <c r="V36646" s="5"/>
    </row>
    <row r="36647">
      <c r="N36647" s="1"/>
      <c r="V36647" s="5"/>
    </row>
    <row r="36648">
      <c r="N36648" s="1"/>
      <c r="V36648" s="5"/>
    </row>
    <row r="36649">
      <c r="N36649" s="1"/>
      <c r="V36649" s="5"/>
    </row>
    <row r="36650">
      <c r="N36650" s="1"/>
      <c r="V36650" s="5"/>
    </row>
    <row r="36651">
      <c r="N36651" s="1"/>
      <c r="V36651" s="5"/>
    </row>
    <row r="36652">
      <c r="N36652" s="1"/>
      <c r="V36652" s="5"/>
    </row>
    <row r="36653">
      <c r="N36653" s="1"/>
      <c r="V36653" s="5"/>
    </row>
    <row r="36654">
      <c r="N36654" s="1"/>
      <c r="V36654" s="5"/>
    </row>
    <row r="36655">
      <c r="N36655" s="1"/>
      <c r="V36655" s="5"/>
    </row>
    <row r="36656">
      <c r="N36656" s="1"/>
      <c r="V36656" s="5"/>
    </row>
    <row r="36657">
      <c r="N36657" s="1"/>
      <c r="V36657" s="5"/>
    </row>
    <row r="36658">
      <c r="N36658" s="1"/>
      <c r="V36658" s="5"/>
    </row>
    <row r="36659">
      <c r="N36659" s="1"/>
      <c r="V36659" s="5"/>
    </row>
    <row r="36660">
      <c r="N36660" s="1"/>
      <c r="V36660" s="5"/>
    </row>
    <row r="36661">
      <c r="N36661" s="1"/>
      <c r="V36661" s="5"/>
    </row>
    <row r="36662">
      <c r="N36662" s="1"/>
      <c r="V36662" s="5"/>
    </row>
    <row r="36663">
      <c r="N36663" s="1"/>
      <c r="V36663" s="5"/>
    </row>
    <row r="36664">
      <c r="N36664" s="1"/>
      <c r="V36664" s="5"/>
    </row>
    <row r="36665">
      <c r="N36665" s="1"/>
      <c r="V36665" s="5"/>
    </row>
    <row r="36666">
      <c r="N36666" s="1"/>
      <c r="V36666" s="5"/>
    </row>
    <row r="36667">
      <c r="N36667" s="1"/>
      <c r="V36667" s="5"/>
    </row>
    <row r="36668">
      <c r="N36668" s="1"/>
      <c r="V36668" s="5"/>
    </row>
    <row r="36669">
      <c r="N36669" s="1"/>
      <c r="V36669" s="5"/>
    </row>
    <row r="36670">
      <c r="N36670" s="1"/>
      <c r="V36670" s="5"/>
    </row>
    <row r="36671">
      <c r="N36671" s="1"/>
      <c r="V36671" s="5"/>
    </row>
    <row r="36672">
      <c r="N36672" s="1"/>
      <c r="V36672" s="5"/>
    </row>
    <row r="36673">
      <c r="N36673" s="1"/>
      <c r="V36673" s="5"/>
    </row>
    <row r="36674">
      <c r="N36674" s="1"/>
      <c r="V36674" s="5"/>
    </row>
    <row r="36675">
      <c r="N36675" s="1"/>
      <c r="V36675" s="5"/>
    </row>
    <row r="36676">
      <c r="N36676" s="1"/>
      <c r="V36676" s="5"/>
    </row>
    <row r="36677">
      <c r="N36677" s="1"/>
      <c r="V36677" s="5"/>
    </row>
    <row r="36678">
      <c r="N36678" s="1"/>
      <c r="V36678" s="5"/>
    </row>
    <row r="36679">
      <c r="N36679" s="1"/>
      <c r="V36679" s="5"/>
    </row>
    <row r="36680">
      <c r="N36680" s="1"/>
      <c r="V36680" s="5"/>
    </row>
    <row r="36681">
      <c r="N36681" s="1"/>
      <c r="V36681" s="5"/>
    </row>
    <row r="36682">
      <c r="N36682" s="1"/>
      <c r="V36682" s="5"/>
    </row>
    <row r="36683">
      <c r="N36683" s="1"/>
      <c r="V36683" s="5"/>
    </row>
    <row r="36684">
      <c r="N36684" s="1"/>
      <c r="V36684" s="5"/>
    </row>
    <row r="36685">
      <c r="N36685" s="1"/>
      <c r="V36685" s="5"/>
    </row>
    <row r="36686">
      <c r="N36686" s="1"/>
      <c r="V36686" s="5"/>
    </row>
    <row r="36687">
      <c r="N36687" s="1"/>
      <c r="V36687" s="5"/>
    </row>
    <row r="36688">
      <c r="N36688" s="1"/>
      <c r="V36688" s="5"/>
    </row>
    <row r="36689">
      <c r="N36689" s="1"/>
      <c r="V36689" s="5"/>
    </row>
    <row r="36690">
      <c r="N36690" s="1"/>
      <c r="V36690" s="5"/>
    </row>
    <row r="36691">
      <c r="N36691" s="1"/>
      <c r="V36691" s="5"/>
    </row>
    <row r="36692">
      <c r="N36692" s="1"/>
      <c r="V36692" s="5"/>
    </row>
    <row r="36693">
      <c r="N36693" s="1"/>
      <c r="V36693" s="5"/>
    </row>
    <row r="36694">
      <c r="N36694" s="1"/>
      <c r="V36694" s="5"/>
    </row>
    <row r="36695">
      <c r="N36695" s="1"/>
      <c r="V36695" s="5"/>
    </row>
    <row r="36696">
      <c r="N36696" s="1"/>
      <c r="V36696" s="5"/>
    </row>
    <row r="36697">
      <c r="N36697" s="1"/>
      <c r="V36697" s="5"/>
    </row>
    <row r="36698">
      <c r="N36698" s="1"/>
      <c r="V36698" s="5"/>
    </row>
    <row r="36699">
      <c r="N36699" s="1"/>
      <c r="V36699" s="5"/>
    </row>
    <row r="36700">
      <c r="N36700" s="1"/>
      <c r="V36700" s="5"/>
    </row>
    <row r="36701">
      <c r="N36701" s="1"/>
      <c r="V36701" s="5"/>
    </row>
    <row r="36702">
      <c r="N36702" s="1"/>
      <c r="V36702" s="5"/>
    </row>
    <row r="36703">
      <c r="N36703" s="1"/>
      <c r="V36703" s="5"/>
    </row>
    <row r="36704">
      <c r="N36704" s="1"/>
      <c r="V36704" s="5"/>
    </row>
    <row r="36705">
      <c r="N36705" s="1"/>
      <c r="V36705" s="5"/>
    </row>
    <row r="36706">
      <c r="N36706" s="1"/>
      <c r="V36706" s="5"/>
    </row>
    <row r="36707">
      <c r="N36707" s="1"/>
      <c r="V36707" s="5"/>
    </row>
    <row r="36708">
      <c r="N36708" s="1"/>
      <c r="V36708" s="5"/>
    </row>
    <row r="36709">
      <c r="N36709" s="1"/>
      <c r="V36709" s="5"/>
    </row>
    <row r="36710">
      <c r="N36710" s="1"/>
      <c r="V36710" s="5"/>
    </row>
    <row r="36711">
      <c r="N36711" s="1"/>
      <c r="V36711" s="5"/>
    </row>
    <row r="36712">
      <c r="N36712" s="1"/>
      <c r="V36712" s="5"/>
    </row>
    <row r="36713">
      <c r="N36713" s="1"/>
      <c r="V36713" s="5"/>
    </row>
    <row r="36714">
      <c r="N36714" s="1"/>
      <c r="V36714" s="5"/>
    </row>
    <row r="36715">
      <c r="N36715" s="1"/>
      <c r="V36715" s="5"/>
    </row>
    <row r="36716">
      <c r="N36716" s="1"/>
      <c r="V36716" s="5"/>
    </row>
    <row r="36717">
      <c r="N36717" s="1"/>
      <c r="V36717" s="5"/>
    </row>
    <row r="36718">
      <c r="N36718" s="1"/>
      <c r="V36718" s="5"/>
    </row>
    <row r="36719">
      <c r="N36719" s="1"/>
      <c r="V36719" s="5"/>
    </row>
    <row r="36720">
      <c r="N36720" s="1"/>
      <c r="V36720" s="5"/>
    </row>
    <row r="36721">
      <c r="N36721" s="1"/>
      <c r="V36721" s="5"/>
    </row>
    <row r="36722">
      <c r="N36722" s="1"/>
      <c r="V36722" s="5"/>
    </row>
    <row r="36723">
      <c r="N36723" s="1"/>
      <c r="V36723" s="5"/>
    </row>
    <row r="36724">
      <c r="N36724" s="1"/>
      <c r="V36724" s="5"/>
    </row>
    <row r="36725">
      <c r="N36725" s="1"/>
      <c r="V36725" s="5"/>
    </row>
    <row r="36726">
      <c r="N36726" s="1"/>
      <c r="V36726" s="5"/>
    </row>
    <row r="36727">
      <c r="N36727" s="1"/>
      <c r="V36727" s="5"/>
    </row>
    <row r="36728">
      <c r="N36728" s="1"/>
      <c r="V36728" s="5"/>
    </row>
    <row r="36729">
      <c r="N36729" s="1"/>
      <c r="V36729" s="5"/>
    </row>
    <row r="36730">
      <c r="N36730" s="1"/>
      <c r="V36730" s="5"/>
    </row>
    <row r="36731">
      <c r="N36731" s="1"/>
      <c r="V36731" s="5"/>
    </row>
    <row r="36732">
      <c r="N36732" s="1"/>
      <c r="V36732" s="5"/>
    </row>
    <row r="36733">
      <c r="N36733" s="1"/>
      <c r="V36733" s="5"/>
    </row>
    <row r="36734">
      <c r="N36734" s="1"/>
      <c r="V36734" s="5"/>
    </row>
    <row r="36735">
      <c r="N36735" s="1"/>
      <c r="V36735" s="5"/>
    </row>
    <row r="36736">
      <c r="N36736" s="1"/>
      <c r="V36736" s="5"/>
    </row>
    <row r="36737">
      <c r="N36737" s="1"/>
      <c r="V36737" s="5"/>
    </row>
    <row r="36738">
      <c r="N36738" s="1"/>
      <c r="V36738" s="5"/>
    </row>
    <row r="36739">
      <c r="N36739" s="1"/>
      <c r="V36739" s="5"/>
    </row>
    <row r="36740">
      <c r="N36740" s="1"/>
      <c r="V36740" s="5"/>
    </row>
    <row r="36741">
      <c r="N36741" s="1"/>
      <c r="V36741" s="5"/>
    </row>
    <row r="36742">
      <c r="N36742" s="1"/>
      <c r="V36742" s="5"/>
    </row>
    <row r="36743">
      <c r="N36743" s="1"/>
      <c r="V36743" s="5"/>
    </row>
    <row r="36744">
      <c r="N36744" s="1"/>
      <c r="V36744" s="5"/>
    </row>
    <row r="36745">
      <c r="N36745" s="1"/>
      <c r="V36745" s="5"/>
    </row>
    <row r="36746">
      <c r="N36746" s="1"/>
      <c r="V36746" s="5"/>
    </row>
    <row r="36747">
      <c r="N36747" s="1"/>
      <c r="V36747" s="5"/>
    </row>
    <row r="36748">
      <c r="N36748" s="1"/>
      <c r="V36748" s="5"/>
    </row>
    <row r="36749">
      <c r="N36749" s="1"/>
      <c r="V36749" s="5"/>
    </row>
    <row r="36750">
      <c r="N36750" s="1"/>
      <c r="V36750" s="5"/>
    </row>
    <row r="36751">
      <c r="N36751" s="1"/>
      <c r="V36751" s="5"/>
    </row>
    <row r="36752">
      <c r="N36752" s="1"/>
      <c r="V36752" s="5"/>
    </row>
    <row r="36753">
      <c r="N36753" s="1"/>
      <c r="V36753" s="5"/>
    </row>
    <row r="36754">
      <c r="N36754" s="1"/>
      <c r="V36754" s="5"/>
    </row>
    <row r="36755">
      <c r="N36755" s="1"/>
      <c r="V36755" s="5"/>
    </row>
    <row r="36756">
      <c r="N36756" s="1"/>
      <c r="V36756" s="5"/>
    </row>
    <row r="36757">
      <c r="N36757" s="1"/>
      <c r="V36757" s="5"/>
    </row>
    <row r="36758">
      <c r="N36758" s="1"/>
      <c r="V36758" s="5"/>
    </row>
    <row r="36759">
      <c r="N36759" s="1"/>
      <c r="V36759" s="5"/>
    </row>
    <row r="36760">
      <c r="N36760" s="1"/>
      <c r="V36760" s="5"/>
    </row>
    <row r="36761">
      <c r="N36761" s="1"/>
      <c r="V36761" s="5"/>
    </row>
    <row r="36762">
      <c r="N36762" s="1"/>
      <c r="V36762" s="5"/>
    </row>
    <row r="36763">
      <c r="N36763" s="1"/>
      <c r="V36763" s="5"/>
    </row>
    <row r="36764">
      <c r="N36764" s="1"/>
      <c r="V36764" s="5"/>
    </row>
    <row r="36765">
      <c r="N36765" s="1"/>
      <c r="V36765" s="5"/>
    </row>
    <row r="36766">
      <c r="N36766" s="1"/>
      <c r="V36766" s="5"/>
    </row>
    <row r="36767">
      <c r="N36767" s="1"/>
      <c r="V36767" s="5"/>
    </row>
    <row r="36768">
      <c r="N36768" s="1"/>
      <c r="V36768" s="5"/>
    </row>
    <row r="36769">
      <c r="N36769" s="1"/>
      <c r="V36769" s="5"/>
    </row>
    <row r="36770">
      <c r="N36770" s="1"/>
      <c r="V36770" s="5"/>
    </row>
    <row r="36771">
      <c r="N36771" s="1"/>
      <c r="V36771" s="5"/>
    </row>
    <row r="36772">
      <c r="N36772" s="1"/>
      <c r="V36772" s="5"/>
    </row>
    <row r="36773">
      <c r="N36773" s="1"/>
      <c r="V36773" s="5"/>
    </row>
    <row r="36774">
      <c r="N36774" s="1"/>
      <c r="V36774" s="5"/>
    </row>
    <row r="36775">
      <c r="N36775" s="1"/>
      <c r="V36775" s="5"/>
    </row>
    <row r="36776">
      <c r="N36776" s="1"/>
      <c r="V36776" s="5"/>
    </row>
    <row r="36777">
      <c r="N36777" s="1"/>
      <c r="V36777" s="5"/>
    </row>
    <row r="36778">
      <c r="N36778" s="1"/>
      <c r="V36778" s="5"/>
    </row>
    <row r="36779">
      <c r="N36779" s="1"/>
      <c r="V36779" s="5"/>
    </row>
    <row r="36780">
      <c r="N36780" s="1"/>
      <c r="V36780" s="5"/>
    </row>
    <row r="36781">
      <c r="N36781" s="1"/>
      <c r="V36781" s="5"/>
    </row>
    <row r="36782">
      <c r="N36782" s="1"/>
      <c r="V36782" s="5"/>
    </row>
    <row r="36783">
      <c r="N36783" s="1"/>
      <c r="V36783" s="5"/>
    </row>
    <row r="36784">
      <c r="N36784" s="1"/>
      <c r="V36784" s="5"/>
    </row>
    <row r="36785">
      <c r="N36785" s="1"/>
      <c r="V36785" s="5"/>
    </row>
    <row r="36786">
      <c r="N36786" s="1"/>
      <c r="V36786" s="5"/>
    </row>
    <row r="36787">
      <c r="N36787" s="1"/>
      <c r="V36787" s="5"/>
    </row>
    <row r="36788">
      <c r="N36788" s="1"/>
      <c r="V36788" s="5"/>
    </row>
    <row r="36789">
      <c r="N36789" s="1"/>
      <c r="V36789" s="5"/>
    </row>
    <row r="36790">
      <c r="N36790" s="1"/>
      <c r="V36790" s="5"/>
    </row>
    <row r="36791">
      <c r="N36791" s="1"/>
      <c r="V36791" s="5"/>
    </row>
    <row r="36792">
      <c r="N36792" s="1"/>
      <c r="V36792" s="5"/>
    </row>
    <row r="36793">
      <c r="N36793" s="1"/>
      <c r="V36793" s="5"/>
    </row>
    <row r="36794">
      <c r="N36794" s="1"/>
      <c r="V36794" s="5"/>
    </row>
    <row r="36795">
      <c r="N36795" s="1"/>
      <c r="V36795" s="5"/>
    </row>
    <row r="36796">
      <c r="N36796" s="1"/>
      <c r="V36796" s="5"/>
    </row>
    <row r="36797">
      <c r="N36797" s="1"/>
      <c r="V36797" s="5"/>
    </row>
    <row r="36798">
      <c r="N36798" s="1"/>
      <c r="V36798" s="5"/>
    </row>
    <row r="36799">
      <c r="N36799" s="1"/>
      <c r="V36799" s="5"/>
    </row>
    <row r="36800">
      <c r="N36800" s="1"/>
      <c r="V36800" s="5"/>
    </row>
    <row r="36801">
      <c r="N36801" s="1"/>
      <c r="V36801" s="5"/>
    </row>
    <row r="36802">
      <c r="N36802" s="1"/>
      <c r="V36802" s="5"/>
    </row>
    <row r="36803">
      <c r="N36803" s="1"/>
      <c r="V36803" s="5"/>
    </row>
    <row r="36804">
      <c r="N36804" s="1"/>
      <c r="V36804" s="5"/>
    </row>
    <row r="36805">
      <c r="N36805" s="1"/>
      <c r="V36805" s="5"/>
    </row>
    <row r="36806">
      <c r="N36806" s="1"/>
      <c r="V36806" s="5"/>
    </row>
    <row r="36807">
      <c r="N36807" s="1"/>
      <c r="V36807" s="5"/>
    </row>
    <row r="36808">
      <c r="N36808" s="1"/>
      <c r="V36808" s="5"/>
    </row>
    <row r="36809">
      <c r="N36809" s="1"/>
      <c r="V36809" s="5"/>
    </row>
    <row r="36810">
      <c r="N36810" s="1"/>
      <c r="V36810" s="5"/>
    </row>
    <row r="36811">
      <c r="N36811" s="1"/>
      <c r="V36811" s="5"/>
    </row>
    <row r="36812">
      <c r="N36812" s="1"/>
      <c r="V36812" s="5"/>
    </row>
    <row r="36813">
      <c r="N36813" s="1"/>
      <c r="V36813" s="5"/>
    </row>
    <row r="36814">
      <c r="N36814" s="1"/>
      <c r="V36814" s="5"/>
    </row>
    <row r="36815">
      <c r="N36815" s="1"/>
      <c r="V36815" s="5"/>
    </row>
    <row r="36816">
      <c r="N36816" s="1"/>
      <c r="V36816" s="5"/>
    </row>
    <row r="36817">
      <c r="N36817" s="1"/>
      <c r="V36817" s="5"/>
    </row>
    <row r="36818">
      <c r="N36818" s="1"/>
      <c r="V36818" s="5"/>
    </row>
    <row r="36819">
      <c r="N36819" s="1"/>
      <c r="V36819" s="5"/>
    </row>
    <row r="36820">
      <c r="N36820" s="1"/>
      <c r="V36820" s="5"/>
    </row>
    <row r="36821">
      <c r="N36821" s="1"/>
      <c r="V36821" s="5"/>
    </row>
    <row r="36822">
      <c r="N36822" s="1"/>
      <c r="V36822" s="5"/>
    </row>
    <row r="36823">
      <c r="N36823" s="1"/>
      <c r="V36823" s="5"/>
    </row>
    <row r="36824">
      <c r="N36824" s="1"/>
      <c r="V36824" s="5"/>
    </row>
    <row r="36825">
      <c r="N36825" s="1"/>
      <c r="V36825" s="5"/>
    </row>
    <row r="36826">
      <c r="N36826" s="1"/>
      <c r="V36826" s="5"/>
    </row>
    <row r="36827">
      <c r="N36827" s="1"/>
      <c r="V36827" s="5"/>
    </row>
    <row r="36828">
      <c r="N36828" s="1"/>
      <c r="V36828" s="5"/>
    </row>
    <row r="36829">
      <c r="N36829" s="1"/>
      <c r="V36829" s="5"/>
    </row>
    <row r="36830">
      <c r="N36830" s="1"/>
      <c r="V36830" s="5"/>
    </row>
    <row r="36831">
      <c r="N36831" s="1"/>
      <c r="V36831" s="5"/>
    </row>
    <row r="36832">
      <c r="N36832" s="1"/>
      <c r="V36832" s="5"/>
    </row>
    <row r="36833">
      <c r="N36833" s="1"/>
      <c r="V36833" s="5"/>
    </row>
    <row r="36834">
      <c r="N36834" s="1"/>
      <c r="V36834" s="5"/>
    </row>
    <row r="36835">
      <c r="N36835" s="1"/>
      <c r="V36835" s="5"/>
    </row>
    <row r="36836">
      <c r="N36836" s="1"/>
      <c r="V36836" s="5"/>
    </row>
    <row r="36837">
      <c r="N36837" s="1"/>
      <c r="V36837" s="5"/>
    </row>
    <row r="36838">
      <c r="N36838" s="1"/>
      <c r="V36838" s="5"/>
    </row>
    <row r="36839">
      <c r="N36839" s="1"/>
      <c r="V36839" s="5"/>
    </row>
    <row r="36840">
      <c r="N36840" s="1"/>
      <c r="V36840" s="5"/>
    </row>
    <row r="36841">
      <c r="N36841" s="1"/>
      <c r="V36841" s="5"/>
    </row>
    <row r="36842">
      <c r="N36842" s="1"/>
      <c r="V36842" s="5"/>
    </row>
    <row r="36843">
      <c r="N36843" s="1"/>
      <c r="V36843" s="5"/>
    </row>
    <row r="36844">
      <c r="N36844" s="1"/>
      <c r="V36844" s="5"/>
    </row>
    <row r="36845">
      <c r="N36845" s="1"/>
      <c r="V36845" s="5"/>
    </row>
    <row r="36846">
      <c r="N36846" s="1"/>
      <c r="V36846" s="5"/>
    </row>
    <row r="36847">
      <c r="N36847" s="1"/>
      <c r="V36847" s="5"/>
    </row>
    <row r="36848">
      <c r="N36848" s="1"/>
      <c r="V36848" s="5"/>
    </row>
    <row r="36849">
      <c r="N36849" s="1"/>
      <c r="V36849" s="5"/>
    </row>
    <row r="36850">
      <c r="N36850" s="1"/>
      <c r="V36850" s="5"/>
    </row>
    <row r="36851">
      <c r="N36851" s="1"/>
      <c r="V36851" s="5"/>
    </row>
    <row r="36852">
      <c r="N36852" s="1"/>
      <c r="V36852" s="5"/>
    </row>
    <row r="36853">
      <c r="N36853" s="1"/>
      <c r="V36853" s="5"/>
    </row>
    <row r="36854">
      <c r="N36854" s="1"/>
      <c r="V36854" s="5"/>
    </row>
    <row r="36855">
      <c r="N36855" s="1"/>
      <c r="V36855" s="5"/>
    </row>
    <row r="36856">
      <c r="N36856" s="1"/>
      <c r="V36856" s="5"/>
    </row>
    <row r="36857">
      <c r="N36857" s="1"/>
      <c r="V36857" s="5"/>
    </row>
    <row r="36858">
      <c r="N36858" s="1"/>
      <c r="V36858" s="5"/>
    </row>
    <row r="36859">
      <c r="N36859" s="1"/>
      <c r="V36859" s="5"/>
    </row>
    <row r="36860">
      <c r="N36860" s="1"/>
      <c r="V36860" s="5"/>
    </row>
    <row r="36861">
      <c r="N36861" s="1"/>
      <c r="V36861" s="5"/>
    </row>
    <row r="36862">
      <c r="N36862" s="1"/>
      <c r="V36862" s="5"/>
    </row>
    <row r="36863">
      <c r="N36863" s="1"/>
      <c r="V36863" s="5"/>
    </row>
    <row r="36864">
      <c r="N36864" s="1"/>
      <c r="V36864" s="5"/>
    </row>
    <row r="36865">
      <c r="N36865" s="1"/>
      <c r="V36865" s="5"/>
    </row>
    <row r="36866">
      <c r="N36866" s="1"/>
      <c r="V36866" s="5"/>
    </row>
    <row r="36867">
      <c r="N36867" s="1"/>
      <c r="V36867" s="5"/>
    </row>
    <row r="36868">
      <c r="N36868" s="1"/>
      <c r="V36868" s="5"/>
    </row>
    <row r="36869">
      <c r="N36869" s="1"/>
      <c r="V36869" s="5"/>
    </row>
    <row r="36870">
      <c r="N36870" s="1"/>
      <c r="V36870" s="5"/>
    </row>
    <row r="36871">
      <c r="N36871" s="1"/>
      <c r="V36871" s="5"/>
    </row>
    <row r="36872">
      <c r="N36872" s="1"/>
      <c r="V36872" s="5"/>
    </row>
    <row r="36873">
      <c r="N36873" s="1"/>
      <c r="V36873" s="5"/>
    </row>
    <row r="36874">
      <c r="N36874" s="1"/>
      <c r="V36874" s="5"/>
    </row>
    <row r="36875">
      <c r="N36875" s="1"/>
      <c r="V36875" s="5"/>
    </row>
    <row r="36876">
      <c r="N36876" s="1"/>
      <c r="V36876" s="5"/>
    </row>
    <row r="36877">
      <c r="N36877" s="1"/>
      <c r="V36877" s="5"/>
    </row>
    <row r="36878">
      <c r="N36878" s="1"/>
      <c r="V36878" s="5"/>
    </row>
    <row r="36879">
      <c r="N36879" s="1"/>
      <c r="V36879" s="5"/>
    </row>
    <row r="36880">
      <c r="N36880" s="1"/>
      <c r="V36880" s="5"/>
    </row>
    <row r="36881">
      <c r="N36881" s="1"/>
      <c r="V36881" s="5"/>
    </row>
    <row r="36882">
      <c r="N36882" s="1"/>
      <c r="V36882" s="5"/>
    </row>
    <row r="36883">
      <c r="N36883" s="1"/>
      <c r="V36883" s="5"/>
    </row>
    <row r="36884">
      <c r="N36884" s="1"/>
      <c r="V36884" s="5"/>
    </row>
    <row r="36885">
      <c r="N36885" s="1"/>
      <c r="V36885" s="5"/>
    </row>
    <row r="36886">
      <c r="N36886" s="1"/>
      <c r="V36886" s="5"/>
    </row>
    <row r="36887">
      <c r="N36887" s="1"/>
      <c r="V36887" s="5"/>
    </row>
    <row r="36888">
      <c r="N36888" s="1"/>
      <c r="V36888" s="5"/>
    </row>
    <row r="36889">
      <c r="N36889" s="1"/>
      <c r="V36889" s="5"/>
    </row>
    <row r="36890">
      <c r="N36890" s="1"/>
      <c r="V36890" s="5"/>
    </row>
    <row r="36891">
      <c r="N36891" s="1"/>
      <c r="V36891" s="5"/>
    </row>
    <row r="36892">
      <c r="N36892" s="1"/>
      <c r="V36892" s="5"/>
    </row>
    <row r="36893">
      <c r="N36893" s="1"/>
      <c r="V36893" s="5"/>
    </row>
    <row r="36894">
      <c r="N36894" s="1"/>
      <c r="V36894" s="5"/>
    </row>
    <row r="36895">
      <c r="N36895" s="1"/>
      <c r="V36895" s="5"/>
    </row>
    <row r="36896">
      <c r="N36896" s="1"/>
      <c r="V36896" s="5"/>
    </row>
    <row r="36897">
      <c r="N36897" s="1"/>
      <c r="V36897" s="5"/>
    </row>
    <row r="36898">
      <c r="N36898" s="1"/>
      <c r="V36898" s="5"/>
    </row>
    <row r="36899">
      <c r="N36899" s="1"/>
      <c r="V36899" s="5"/>
    </row>
    <row r="36900">
      <c r="N36900" s="1"/>
      <c r="V36900" s="5"/>
    </row>
    <row r="36901">
      <c r="N36901" s="1"/>
      <c r="V36901" s="5"/>
    </row>
    <row r="36902">
      <c r="N36902" s="1"/>
      <c r="V36902" s="5"/>
    </row>
    <row r="36903">
      <c r="N36903" s="1"/>
      <c r="V36903" s="5"/>
    </row>
    <row r="36904">
      <c r="N36904" s="1"/>
      <c r="V36904" s="5"/>
    </row>
    <row r="36905">
      <c r="N36905" s="1"/>
      <c r="V36905" s="5"/>
    </row>
    <row r="36906">
      <c r="N36906" s="1"/>
      <c r="V36906" s="5"/>
    </row>
    <row r="36907">
      <c r="N36907" s="1"/>
      <c r="V36907" s="5"/>
    </row>
    <row r="36908">
      <c r="N36908" s="1"/>
      <c r="V36908" s="5"/>
    </row>
    <row r="36909">
      <c r="N36909" s="1"/>
      <c r="V36909" s="5"/>
    </row>
    <row r="36910">
      <c r="N36910" s="1"/>
      <c r="V36910" s="5"/>
    </row>
    <row r="36911">
      <c r="N36911" s="1"/>
      <c r="V36911" s="5"/>
    </row>
    <row r="36912">
      <c r="N36912" s="1"/>
      <c r="V36912" s="5"/>
    </row>
    <row r="36913">
      <c r="N36913" s="1"/>
      <c r="V36913" s="5"/>
    </row>
    <row r="36914">
      <c r="N36914" s="1"/>
      <c r="V36914" s="5"/>
    </row>
    <row r="36915">
      <c r="N36915" s="1"/>
      <c r="V36915" s="5"/>
    </row>
    <row r="36916">
      <c r="N36916" s="1"/>
      <c r="V36916" s="5"/>
    </row>
    <row r="36917">
      <c r="N36917" s="1"/>
      <c r="V36917" s="5"/>
    </row>
    <row r="36918">
      <c r="N36918" s="1"/>
      <c r="V36918" s="5"/>
    </row>
    <row r="36919">
      <c r="N36919" s="1"/>
      <c r="V36919" s="5"/>
    </row>
    <row r="36920">
      <c r="N36920" s="1"/>
      <c r="V36920" s="5"/>
    </row>
    <row r="36921">
      <c r="N36921" s="1"/>
      <c r="V36921" s="5"/>
    </row>
    <row r="36922">
      <c r="N36922" s="1"/>
      <c r="V36922" s="5"/>
    </row>
    <row r="36923">
      <c r="N36923" s="1"/>
      <c r="V36923" s="5"/>
    </row>
    <row r="36924">
      <c r="N36924" s="1"/>
      <c r="V36924" s="5"/>
    </row>
    <row r="36925">
      <c r="N36925" s="1"/>
      <c r="V36925" s="5"/>
    </row>
    <row r="36926">
      <c r="N36926" s="1"/>
      <c r="V36926" s="5"/>
    </row>
    <row r="36927">
      <c r="N36927" s="1"/>
      <c r="V36927" s="5"/>
    </row>
    <row r="36928">
      <c r="N36928" s="1"/>
      <c r="V36928" s="5"/>
    </row>
    <row r="36929">
      <c r="N36929" s="1"/>
      <c r="V36929" s="5"/>
    </row>
    <row r="36930">
      <c r="N36930" s="1"/>
      <c r="V36930" s="5"/>
    </row>
    <row r="36931">
      <c r="N36931" s="1"/>
      <c r="V36931" s="5"/>
    </row>
    <row r="36932">
      <c r="N36932" s="1"/>
      <c r="V36932" s="5"/>
    </row>
    <row r="36933">
      <c r="N36933" s="1"/>
      <c r="V36933" s="5"/>
    </row>
    <row r="36934">
      <c r="N36934" s="1"/>
      <c r="V36934" s="5"/>
    </row>
    <row r="36935">
      <c r="N36935" s="1"/>
      <c r="V36935" s="5"/>
    </row>
    <row r="36936">
      <c r="N36936" s="1"/>
      <c r="V36936" s="5"/>
    </row>
    <row r="36937">
      <c r="N36937" s="1"/>
      <c r="V36937" s="5"/>
    </row>
    <row r="36938">
      <c r="N36938" s="1"/>
      <c r="V36938" s="5"/>
    </row>
    <row r="36939">
      <c r="N36939" s="1"/>
      <c r="V36939" s="5"/>
    </row>
    <row r="36940">
      <c r="N36940" s="1"/>
      <c r="V36940" s="5"/>
    </row>
    <row r="36941">
      <c r="N36941" s="1"/>
      <c r="V36941" s="5"/>
    </row>
    <row r="36942">
      <c r="N36942" s="1"/>
      <c r="V36942" s="5"/>
    </row>
    <row r="36943">
      <c r="N36943" s="1"/>
      <c r="V36943" s="5"/>
    </row>
    <row r="36944">
      <c r="N36944" s="1"/>
      <c r="V36944" s="5"/>
    </row>
    <row r="36945">
      <c r="N36945" s="1"/>
      <c r="V36945" s="5"/>
    </row>
    <row r="36946">
      <c r="N36946" s="1"/>
      <c r="V36946" s="5"/>
    </row>
    <row r="36947">
      <c r="N36947" s="1"/>
      <c r="V36947" s="5"/>
    </row>
    <row r="36948">
      <c r="N36948" s="1"/>
      <c r="V36948" s="5"/>
    </row>
    <row r="36949">
      <c r="N36949" s="1"/>
      <c r="V36949" s="5"/>
    </row>
    <row r="36950">
      <c r="N36950" s="1"/>
      <c r="V36950" s="5"/>
    </row>
    <row r="36951">
      <c r="N36951" s="1"/>
      <c r="V36951" s="5"/>
    </row>
    <row r="36952">
      <c r="N36952" s="1"/>
      <c r="V36952" s="5"/>
    </row>
    <row r="36953">
      <c r="N36953" s="1"/>
      <c r="V36953" s="5"/>
    </row>
    <row r="36954">
      <c r="N36954" s="1"/>
      <c r="V36954" s="5"/>
    </row>
    <row r="36955">
      <c r="N36955" s="1"/>
      <c r="V36955" s="5"/>
    </row>
    <row r="36956">
      <c r="N36956" s="1"/>
      <c r="V36956" s="5"/>
    </row>
    <row r="36957">
      <c r="N36957" s="1"/>
      <c r="V36957" s="5"/>
    </row>
    <row r="36958">
      <c r="N36958" s="1"/>
      <c r="V36958" s="5"/>
    </row>
    <row r="36959">
      <c r="N36959" s="1"/>
      <c r="V36959" s="5"/>
    </row>
    <row r="36960">
      <c r="N36960" s="1"/>
      <c r="V36960" s="5"/>
    </row>
    <row r="36961">
      <c r="N36961" s="1"/>
      <c r="V36961" s="5"/>
    </row>
    <row r="36962">
      <c r="N36962" s="1"/>
      <c r="V36962" s="5"/>
    </row>
    <row r="36963">
      <c r="N36963" s="1"/>
      <c r="V36963" s="5"/>
    </row>
    <row r="36964">
      <c r="N36964" s="1"/>
      <c r="V36964" s="5"/>
    </row>
    <row r="36965">
      <c r="N36965" s="1"/>
      <c r="V36965" s="5"/>
    </row>
    <row r="36966">
      <c r="N36966" s="1"/>
      <c r="V36966" s="5"/>
    </row>
    <row r="36967">
      <c r="N36967" s="1"/>
      <c r="V36967" s="5"/>
    </row>
    <row r="36968">
      <c r="N36968" s="1"/>
      <c r="V36968" s="5"/>
    </row>
    <row r="36969">
      <c r="N36969" s="1"/>
      <c r="V36969" s="5"/>
    </row>
    <row r="36970">
      <c r="N36970" s="1"/>
      <c r="V36970" s="5"/>
    </row>
    <row r="36971">
      <c r="N36971" s="1"/>
      <c r="V36971" s="5"/>
    </row>
    <row r="36972">
      <c r="N36972" s="1"/>
      <c r="V36972" s="5"/>
    </row>
    <row r="36973">
      <c r="N36973" s="1"/>
      <c r="V36973" s="5"/>
    </row>
    <row r="36974">
      <c r="N36974" s="1"/>
      <c r="V36974" s="5"/>
    </row>
    <row r="36975">
      <c r="N36975" s="1"/>
      <c r="V36975" s="5"/>
    </row>
    <row r="36976">
      <c r="N36976" s="1"/>
      <c r="V36976" s="5"/>
    </row>
    <row r="36977">
      <c r="N36977" s="1"/>
      <c r="V36977" s="5"/>
    </row>
    <row r="36978">
      <c r="N36978" s="1"/>
      <c r="V36978" s="5"/>
    </row>
    <row r="36979">
      <c r="N36979" s="1"/>
      <c r="V36979" s="5"/>
    </row>
    <row r="36980">
      <c r="N36980" s="1"/>
      <c r="V36980" s="5"/>
    </row>
    <row r="36981">
      <c r="N36981" s="1"/>
      <c r="V36981" s="5"/>
    </row>
    <row r="36982">
      <c r="N36982" s="1"/>
      <c r="V36982" s="5"/>
    </row>
    <row r="36983">
      <c r="N36983" s="1"/>
      <c r="V36983" s="5"/>
    </row>
    <row r="36984">
      <c r="N36984" s="1"/>
      <c r="V36984" s="5"/>
    </row>
    <row r="36985">
      <c r="N36985" s="1"/>
      <c r="V36985" s="5"/>
    </row>
    <row r="36986">
      <c r="N36986" s="1"/>
      <c r="V36986" s="5"/>
    </row>
    <row r="36987">
      <c r="N36987" s="1"/>
      <c r="V36987" s="5"/>
    </row>
    <row r="36988">
      <c r="N36988" s="1"/>
      <c r="V36988" s="5"/>
    </row>
    <row r="36989">
      <c r="N36989" s="1"/>
      <c r="V36989" s="5"/>
    </row>
    <row r="36990">
      <c r="N36990" s="1"/>
      <c r="V36990" s="5"/>
    </row>
    <row r="36991">
      <c r="N36991" s="1"/>
      <c r="V36991" s="5"/>
    </row>
    <row r="36992">
      <c r="N36992" s="1"/>
      <c r="V36992" s="5"/>
    </row>
    <row r="36993">
      <c r="N36993" s="1"/>
      <c r="V36993" s="5"/>
    </row>
    <row r="36994">
      <c r="N36994" s="1"/>
      <c r="V36994" s="5"/>
    </row>
    <row r="36995">
      <c r="N36995" s="1"/>
      <c r="V36995" s="5"/>
    </row>
    <row r="36996">
      <c r="N36996" s="1"/>
      <c r="V36996" s="5"/>
    </row>
    <row r="36997">
      <c r="N36997" s="1"/>
      <c r="V36997" s="5"/>
    </row>
    <row r="36998">
      <c r="N36998" s="1"/>
      <c r="V36998" s="5"/>
    </row>
    <row r="36999">
      <c r="N36999" s="1"/>
      <c r="V36999" s="5"/>
    </row>
    <row r="37000">
      <c r="N37000" s="1"/>
      <c r="V37000" s="5"/>
    </row>
    <row r="37001">
      <c r="N37001" s="1"/>
      <c r="V37001" s="5"/>
    </row>
    <row r="37002">
      <c r="N37002" s="1"/>
      <c r="V37002" s="5"/>
    </row>
    <row r="37003">
      <c r="N37003" s="1"/>
      <c r="V37003" s="5"/>
    </row>
    <row r="37004">
      <c r="N37004" s="1"/>
      <c r="V37004" s="5"/>
    </row>
    <row r="37005">
      <c r="N37005" s="1"/>
      <c r="V37005" s="5"/>
    </row>
    <row r="37006">
      <c r="N37006" s="1"/>
      <c r="V37006" s="5"/>
    </row>
    <row r="37007">
      <c r="N37007" s="1"/>
      <c r="V37007" s="5"/>
    </row>
    <row r="37008">
      <c r="N37008" s="1"/>
      <c r="V37008" s="5"/>
    </row>
    <row r="37009">
      <c r="N37009" s="1"/>
      <c r="V37009" s="5"/>
    </row>
    <row r="37010">
      <c r="N37010" s="1"/>
      <c r="V37010" s="5"/>
    </row>
    <row r="37011">
      <c r="N37011" s="1"/>
      <c r="V37011" s="5"/>
    </row>
    <row r="37012">
      <c r="N37012" s="1"/>
      <c r="V37012" s="5"/>
    </row>
    <row r="37013">
      <c r="N37013" s="1"/>
      <c r="V37013" s="5"/>
    </row>
    <row r="37014">
      <c r="N37014" s="1"/>
      <c r="V37014" s="5"/>
    </row>
    <row r="37015">
      <c r="N37015" s="1"/>
      <c r="V37015" s="5"/>
    </row>
    <row r="37016">
      <c r="N37016" s="1"/>
      <c r="V37016" s="5"/>
    </row>
    <row r="37017">
      <c r="N37017" s="1"/>
      <c r="V37017" s="5"/>
    </row>
    <row r="37018">
      <c r="N37018" s="1"/>
      <c r="V37018" s="5"/>
    </row>
    <row r="37019">
      <c r="N37019" s="1"/>
      <c r="V37019" s="5"/>
    </row>
    <row r="37020">
      <c r="N37020" s="1"/>
      <c r="V37020" s="5"/>
    </row>
    <row r="37021">
      <c r="N37021" s="1"/>
      <c r="V37021" s="5"/>
    </row>
    <row r="37022">
      <c r="N37022" s="1"/>
      <c r="V37022" s="5"/>
    </row>
    <row r="37023">
      <c r="N37023" s="1"/>
      <c r="V37023" s="5"/>
    </row>
    <row r="37024">
      <c r="N37024" s="1"/>
      <c r="V37024" s="5"/>
    </row>
    <row r="37025">
      <c r="N37025" s="1"/>
      <c r="V37025" s="5"/>
    </row>
    <row r="37026">
      <c r="N37026" s="1"/>
      <c r="V37026" s="5"/>
    </row>
    <row r="37027">
      <c r="N37027" s="1"/>
      <c r="V37027" s="5"/>
    </row>
    <row r="37028">
      <c r="N37028" s="1"/>
      <c r="V37028" s="5"/>
    </row>
    <row r="37029">
      <c r="N37029" s="1"/>
      <c r="V37029" s="5"/>
    </row>
    <row r="37030">
      <c r="N37030" s="1"/>
      <c r="V37030" s="5"/>
    </row>
    <row r="37031">
      <c r="N37031" s="1"/>
      <c r="V37031" s="5"/>
    </row>
    <row r="37032">
      <c r="N37032" s="1"/>
      <c r="V37032" s="5"/>
    </row>
    <row r="37033">
      <c r="N37033" s="1"/>
      <c r="V37033" s="5"/>
    </row>
    <row r="37034">
      <c r="N37034" s="1"/>
      <c r="V37034" s="5"/>
    </row>
    <row r="37035">
      <c r="N37035" s="1"/>
      <c r="V37035" s="5"/>
    </row>
    <row r="37036">
      <c r="N37036" s="1"/>
      <c r="V37036" s="5"/>
    </row>
    <row r="37037">
      <c r="N37037" s="1"/>
      <c r="V37037" s="5"/>
    </row>
    <row r="37038">
      <c r="N37038" s="1"/>
      <c r="V37038" s="5"/>
    </row>
    <row r="37039">
      <c r="N37039" s="1"/>
      <c r="V37039" s="5"/>
    </row>
    <row r="37040">
      <c r="N37040" s="1"/>
      <c r="V37040" s="5"/>
    </row>
    <row r="37041">
      <c r="N37041" s="1"/>
      <c r="V37041" s="5"/>
    </row>
    <row r="37042">
      <c r="N37042" s="1"/>
      <c r="V37042" s="5"/>
    </row>
    <row r="37043">
      <c r="N37043" s="1"/>
      <c r="V37043" s="5"/>
    </row>
    <row r="37044">
      <c r="N37044" s="1"/>
      <c r="V37044" s="5"/>
    </row>
    <row r="37045">
      <c r="N37045" s="1"/>
      <c r="V37045" s="5"/>
    </row>
    <row r="37046">
      <c r="N37046" s="1"/>
      <c r="V37046" s="5"/>
    </row>
    <row r="37047">
      <c r="N37047" s="1"/>
      <c r="V37047" s="5"/>
    </row>
    <row r="37048">
      <c r="N37048" s="1"/>
      <c r="V37048" s="5"/>
    </row>
    <row r="37049">
      <c r="N37049" s="1"/>
      <c r="V37049" s="5"/>
    </row>
    <row r="37050">
      <c r="N37050" s="1"/>
      <c r="V37050" s="5"/>
    </row>
    <row r="37051">
      <c r="N37051" s="1"/>
      <c r="V37051" s="5"/>
    </row>
    <row r="37052">
      <c r="N37052" s="1"/>
      <c r="V37052" s="5"/>
    </row>
    <row r="37053">
      <c r="N37053" s="1"/>
      <c r="V37053" s="5"/>
    </row>
    <row r="37054">
      <c r="N37054" s="1"/>
      <c r="V37054" s="5"/>
    </row>
    <row r="37055">
      <c r="N37055" s="1"/>
      <c r="V37055" s="5"/>
    </row>
    <row r="37056">
      <c r="N37056" s="1"/>
      <c r="V37056" s="5"/>
    </row>
    <row r="37057">
      <c r="N37057" s="1"/>
      <c r="V37057" s="5"/>
    </row>
    <row r="37058">
      <c r="N37058" s="1"/>
      <c r="V37058" s="5"/>
    </row>
    <row r="37059">
      <c r="N37059" s="1"/>
      <c r="V37059" s="5"/>
    </row>
    <row r="37060">
      <c r="N37060" s="1"/>
      <c r="V37060" s="5"/>
    </row>
    <row r="37061">
      <c r="N37061" s="1"/>
      <c r="V37061" s="5"/>
    </row>
    <row r="37062">
      <c r="N37062" s="1"/>
      <c r="V37062" s="5"/>
    </row>
    <row r="37063">
      <c r="N37063" s="1"/>
      <c r="V37063" s="5"/>
    </row>
    <row r="37064">
      <c r="N37064" s="1"/>
      <c r="V37064" s="5"/>
    </row>
    <row r="37065">
      <c r="N37065" s="1"/>
      <c r="V37065" s="5"/>
    </row>
    <row r="37066">
      <c r="N37066" s="1"/>
      <c r="V37066" s="5"/>
    </row>
    <row r="37067">
      <c r="N37067" s="1"/>
      <c r="V37067" s="5"/>
    </row>
    <row r="37068">
      <c r="N37068" s="1"/>
      <c r="V37068" s="5"/>
    </row>
    <row r="37069">
      <c r="N37069" s="1"/>
      <c r="V37069" s="5"/>
    </row>
    <row r="37070">
      <c r="N37070" s="1"/>
      <c r="V37070" s="5"/>
    </row>
    <row r="37071">
      <c r="N37071" s="1"/>
      <c r="V37071" s="5"/>
    </row>
    <row r="37072">
      <c r="N37072" s="1"/>
      <c r="V37072" s="5"/>
    </row>
    <row r="37073">
      <c r="N37073" s="1"/>
      <c r="V37073" s="5"/>
    </row>
    <row r="37074">
      <c r="N37074" s="1"/>
      <c r="V37074" s="5"/>
    </row>
    <row r="37075">
      <c r="N37075" s="1"/>
      <c r="V37075" s="5"/>
    </row>
    <row r="37076">
      <c r="N37076" s="1"/>
      <c r="V37076" s="5"/>
    </row>
    <row r="37077">
      <c r="N37077" s="1"/>
      <c r="V37077" s="5"/>
    </row>
    <row r="37078">
      <c r="N37078" s="1"/>
      <c r="V37078" s="5"/>
    </row>
    <row r="37079">
      <c r="N37079" s="1"/>
      <c r="V37079" s="5"/>
    </row>
    <row r="37080">
      <c r="N37080" s="1"/>
      <c r="V37080" s="5"/>
    </row>
    <row r="37081">
      <c r="N37081" s="1"/>
      <c r="V37081" s="5"/>
    </row>
    <row r="37082">
      <c r="N37082" s="1"/>
      <c r="V37082" s="5"/>
    </row>
    <row r="37083">
      <c r="N37083" s="1"/>
      <c r="V37083" s="5"/>
    </row>
    <row r="37084">
      <c r="N37084" s="1"/>
      <c r="V37084" s="5"/>
    </row>
    <row r="37085">
      <c r="N37085" s="1"/>
      <c r="V37085" s="5"/>
    </row>
    <row r="37086">
      <c r="N37086" s="1"/>
      <c r="V37086" s="5"/>
    </row>
    <row r="37087">
      <c r="N37087" s="1"/>
      <c r="V37087" s="5"/>
    </row>
    <row r="37088">
      <c r="N37088" s="1"/>
      <c r="V37088" s="5"/>
    </row>
    <row r="37089">
      <c r="N37089" s="1"/>
      <c r="V37089" s="5"/>
    </row>
    <row r="37090">
      <c r="N37090" s="1"/>
      <c r="V37090" s="5"/>
    </row>
    <row r="37091">
      <c r="N37091" s="1"/>
      <c r="V37091" s="5"/>
    </row>
    <row r="37092">
      <c r="N37092" s="1"/>
      <c r="V37092" s="5"/>
    </row>
    <row r="37093">
      <c r="N37093" s="1"/>
      <c r="V37093" s="5"/>
    </row>
    <row r="37094">
      <c r="N37094" s="1"/>
      <c r="V37094" s="5"/>
    </row>
    <row r="37095">
      <c r="N37095" s="1"/>
      <c r="V37095" s="5"/>
    </row>
    <row r="37096">
      <c r="N37096" s="1"/>
      <c r="V37096" s="5"/>
    </row>
    <row r="37097">
      <c r="N37097" s="1"/>
      <c r="V37097" s="5"/>
    </row>
    <row r="37098">
      <c r="N37098" s="1"/>
      <c r="V37098" s="5"/>
    </row>
    <row r="37099">
      <c r="N37099" s="1"/>
      <c r="V37099" s="5"/>
    </row>
    <row r="37100">
      <c r="N37100" s="1"/>
      <c r="V37100" s="5"/>
    </row>
    <row r="37101">
      <c r="N37101" s="1"/>
      <c r="V37101" s="5"/>
    </row>
    <row r="37102">
      <c r="N37102" s="1"/>
      <c r="V37102" s="5"/>
    </row>
    <row r="37103">
      <c r="N37103" s="1"/>
      <c r="V37103" s="5"/>
    </row>
    <row r="37104">
      <c r="N37104" s="1"/>
      <c r="V37104" s="5"/>
    </row>
    <row r="37105">
      <c r="N37105" s="1"/>
      <c r="V37105" s="5"/>
    </row>
    <row r="37106">
      <c r="N37106" s="1"/>
      <c r="V37106" s="5"/>
    </row>
    <row r="37107">
      <c r="N37107" s="1"/>
      <c r="V37107" s="5"/>
    </row>
    <row r="37108">
      <c r="N37108" s="1"/>
      <c r="V37108" s="5"/>
    </row>
    <row r="37109">
      <c r="N37109" s="1"/>
      <c r="V37109" s="5"/>
    </row>
    <row r="37110">
      <c r="N37110" s="1"/>
      <c r="V37110" s="5"/>
    </row>
    <row r="37111">
      <c r="N37111" s="1"/>
      <c r="V37111" s="5"/>
    </row>
    <row r="37112">
      <c r="N37112" s="1"/>
      <c r="V37112" s="5"/>
    </row>
    <row r="37113">
      <c r="N37113" s="1"/>
      <c r="V37113" s="5"/>
    </row>
    <row r="37114">
      <c r="N37114" s="1"/>
      <c r="V37114" s="5"/>
    </row>
    <row r="37115">
      <c r="N37115" s="1"/>
      <c r="V37115" s="5"/>
    </row>
    <row r="37116">
      <c r="N37116" s="1"/>
      <c r="V37116" s="5"/>
    </row>
    <row r="37117">
      <c r="N37117" s="1"/>
      <c r="V37117" s="5"/>
    </row>
    <row r="37118">
      <c r="N37118" s="1"/>
      <c r="V37118" s="5"/>
    </row>
    <row r="37119">
      <c r="N37119" s="1"/>
      <c r="V37119" s="5"/>
    </row>
    <row r="37120">
      <c r="N37120" s="1"/>
      <c r="V37120" s="5"/>
    </row>
    <row r="37121">
      <c r="N37121" s="1"/>
      <c r="V37121" s="5"/>
    </row>
    <row r="37122">
      <c r="N37122" s="1"/>
      <c r="V37122" s="5"/>
    </row>
    <row r="37123">
      <c r="N37123" s="1"/>
      <c r="V37123" s="5"/>
    </row>
    <row r="37124">
      <c r="N37124" s="1"/>
      <c r="V37124" s="5"/>
    </row>
    <row r="37125">
      <c r="N37125" s="1"/>
      <c r="V37125" s="5"/>
    </row>
    <row r="37126">
      <c r="N37126" s="1"/>
      <c r="V37126" s="5"/>
    </row>
    <row r="37127">
      <c r="N37127" s="1"/>
      <c r="V37127" s="5"/>
    </row>
    <row r="37128">
      <c r="N37128" s="1"/>
      <c r="V37128" s="5"/>
    </row>
    <row r="37129">
      <c r="N37129" s="1"/>
      <c r="V37129" s="5"/>
    </row>
    <row r="37130">
      <c r="N37130" s="1"/>
      <c r="V37130" s="5"/>
    </row>
    <row r="37131">
      <c r="N37131" s="1"/>
      <c r="V37131" s="5"/>
    </row>
    <row r="37132">
      <c r="N37132" s="1"/>
      <c r="V37132" s="5"/>
    </row>
    <row r="37133">
      <c r="N37133" s="1"/>
      <c r="V37133" s="5"/>
    </row>
    <row r="37134">
      <c r="N37134" s="1"/>
      <c r="V37134" s="5"/>
    </row>
    <row r="37135">
      <c r="N37135" s="1"/>
      <c r="V37135" s="5"/>
    </row>
    <row r="37136">
      <c r="N37136" s="1"/>
      <c r="V37136" s="5"/>
    </row>
    <row r="37137">
      <c r="N37137" s="1"/>
      <c r="V37137" s="5"/>
    </row>
    <row r="37138">
      <c r="N37138" s="1"/>
      <c r="V37138" s="5"/>
    </row>
    <row r="37139">
      <c r="N37139" s="1"/>
      <c r="V37139" s="5"/>
    </row>
    <row r="37140">
      <c r="N37140" s="1"/>
      <c r="V37140" s="5"/>
    </row>
    <row r="37141">
      <c r="N37141" s="1"/>
      <c r="V37141" s="5"/>
    </row>
    <row r="37142">
      <c r="N37142" s="1"/>
      <c r="V37142" s="5"/>
    </row>
    <row r="37143">
      <c r="N37143" s="1"/>
      <c r="V37143" s="5"/>
    </row>
    <row r="37144">
      <c r="N37144" s="1"/>
      <c r="V37144" s="5"/>
    </row>
    <row r="37145">
      <c r="N37145" s="1"/>
      <c r="V37145" s="5"/>
    </row>
    <row r="37146">
      <c r="N37146" s="1"/>
      <c r="V37146" s="5"/>
    </row>
    <row r="37147">
      <c r="N37147" s="1"/>
      <c r="V37147" s="5"/>
    </row>
    <row r="37148">
      <c r="N37148" s="1"/>
      <c r="V37148" s="5"/>
    </row>
    <row r="37149">
      <c r="N37149" s="1"/>
      <c r="V37149" s="5"/>
    </row>
    <row r="37150">
      <c r="N37150" s="1"/>
      <c r="V37150" s="5"/>
    </row>
    <row r="37151">
      <c r="N37151" s="1"/>
      <c r="V37151" s="5"/>
    </row>
    <row r="37152">
      <c r="N37152" s="1"/>
      <c r="V37152" s="5"/>
    </row>
    <row r="37153">
      <c r="N37153" s="1"/>
      <c r="V37153" s="5"/>
    </row>
    <row r="37154">
      <c r="N37154" s="1"/>
      <c r="V37154" s="5"/>
    </row>
    <row r="37155">
      <c r="N37155" s="1"/>
      <c r="V37155" s="5"/>
    </row>
    <row r="37156">
      <c r="N37156" s="1"/>
      <c r="V37156" s="5"/>
    </row>
    <row r="37157">
      <c r="N37157" s="1"/>
      <c r="V37157" s="5"/>
    </row>
    <row r="37158">
      <c r="N37158" s="1"/>
      <c r="V37158" s="5"/>
    </row>
    <row r="37159">
      <c r="N37159" s="1"/>
      <c r="V37159" s="5"/>
    </row>
    <row r="37160">
      <c r="N37160" s="1"/>
      <c r="V37160" s="5"/>
    </row>
    <row r="37161">
      <c r="N37161" s="1"/>
      <c r="V37161" s="5"/>
    </row>
    <row r="37162">
      <c r="N37162" s="1"/>
      <c r="V37162" s="5"/>
    </row>
    <row r="37163">
      <c r="N37163" s="1"/>
      <c r="V37163" s="5"/>
    </row>
    <row r="37164">
      <c r="N37164" s="1"/>
      <c r="V37164" s="5"/>
    </row>
    <row r="37165">
      <c r="N37165" s="1"/>
      <c r="V37165" s="5"/>
    </row>
    <row r="37166">
      <c r="N37166" s="1"/>
      <c r="V37166" s="5"/>
    </row>
    <row r="37167">
      <c r="N37167" s="1"/>
      <c r="V37167" s="5"/>
    </row>
    <row r="37168">
      <c r="N37168" s="1"/>
      <c r="V37168" s="5"/>
    </row>
    <row r="37169">
      <c r="N37169" s="1"/>
      <c r="V37169" s="5"/>
    </row>
    <row r="37170">
      <c r="N37170" s="1"/>
      <c r="V37170" s="5"/>
    </row>
    <row r="37171">
      <c r="N37171" s="1"/>
      <c r="V37171" s="5"/>
    </row>
    <row r="37172">
      <c r="N37172" s="1"/>
      <c r="V37172" s="5"/>
    </row>
    <row r="37173">
      <c r="N37173" s="1"/>
      <c r="V37173" s="5"/>
    </row>
    <row r="37174">
      <c r="N37174" s="1"/>
      <c r="V37174" s="5"/>
    </row>
    <row r="37175">
      <c r="N37175" s="1"/>
      <c r="V37175" s="5"/>
    </row>
    <row r="37176">
      <c r="N37176" s="1"/>
      <c r="V37176" s="5"/>
    </row>
    <row r="37177">
      <c r="N37177" s="1"/>
      <c r="V37177" s="5"/>
    </row>
    <row r="37178">
      <c r="N37178" s="1"/>
      <c r="V37178" s="5"/>
    </row>
    <row r="37179">
      <c r="N37179" s="1"/>
      <c r="V37179" s="5"/>
    </row>
    <row r="37180">
      <c r="N37180" s="1"/>
      <c r="V37180" s="5"/>
    </row>
    <row r="37181">
      <c r="N37181" s="1"/>
      <c r="V37181" s="5"/>
    </row>
    <row r="37182">
      <c r="N37182" s="1"/>
      <c r="V37182" s="5"/>
    </row>
    <row r="37183">
      <c r="N37183" s="1"/>
      <c r="V37183" s="5"/>
    </row>
    <row r="37184">
      <c r="N37184" s="1"/>
      <c r="V37184" s="5"/>
    </row>
    <row r="37185">
      <c r="N37185" s="1"/>
      <c r="V37185" s="5"/>
    </row>
    <row r="37186">
      <c r="N37186" s="1"/>
      <c r="V37186" s="5"/>
    </row>
    <row r="37187">
      <c r="N37187" s="1"/>
      <c r="V37187" s="5"/>
    </row>
    <row r="37188">
      <c r="N37188" s="1"/>
      <c r="V37188" s="5"/>
    </row>
    <row r="37189">
      <c r="N37189" s="1"/>
      <c r="V37189" s="5"/>
    </row>
    <row r="37190">
      <c r="N37190" s="1"/>
      <c r="V37190" s="5"/>
    </row>
    <row r="37191">
      <c r="N37191" s="1"/>
      <c r="V37191" s="5"/>
    </row>
    <row r="37192">
      <c r="N37192" s="1"/>
      <c r="V37192" s="5"/>
    </row>
    <row r="37193">
      <c r="N37193" s="1"/>
      <c r="V37193" s="5"/>
    </row>
    <row r="37194">
      <c r="N37194" s="1"/>
      <c r="V37194" s="5"/>
    </row>
    <row r="37195">
      <c r="N37195" s="1"/>
      <c r="V37195" s="5"/>
    </row>
    <row r="37196">
      <c r="N37196" s="1"/>
      <c r="V37196" s="5"/>
    </row>
    <row r="37197">
      <c r="N37197" s="1"/>
      <c r="V37197" s="5"/>
    </row>
    <row r="37198">
      <c r="N37198" s="1"/>
      <c r="V37198" s="5"/>
    </row>
    <row r="37199">
      <c r="N37199" s="1"/>
      <c r="V37199" s="5"/>
    </row>
    <row r="37200">
      <c r="N37200" s="1"/>
      <c r="V37200" s="5"/>
    </row>
    <row r="37201">
      <c r="N37201" s="1"/>
      <c r="V37201" s="5"/>
    </row>
    <row r="37202">
      <c r="N37202" s="1"/>
      <c r="V37202" s="5"/>
    </row>
    <row r="37203">
      <c r="N37203" s="1"/>
      <c r="V37203" s="5"/>
    </row>
    <row r="37204">
      <c r="N37204" s="1"/>
      <c r="V37204" s="5"/>
    </row>
    <row r="37205">
      <c r="N37205" s="1"/>
      <c r="V37205" s="5"/>
    </row>
    <row r="37206">
      <c r="N37206" s="1"/>
      <c r="V37206" s="5"/>
    </row>
    <row r="37207">
      <c r="N37207" s="1"/>
      <c r="V37207" s="5"/>
    </row>
    <row r="37208">
      <c r="N37208" s="1"/>
      <c r="V37208" s="5"/>
    </row>
    <row r="37209">
      <c r="N37209" s="1"/>
      <c r="V37209" s="5"/>
    </row>
    <row r="37210">
      <c r="N37210" s="1"/>
      <c r="V37210" s="5"/>
    </row>
    <row r="37211">
      <c r="N37211" s="1"/>
      <c r="V37211" s="5"/>
    </row>
    <row r="37212">
      <c r="N37212" s="1"/>
      <c r="V37212" s="5"/>
    </row>
    <row r="37213">
      <c r="N37213" s="1"/>
      <c r="V37213" s="5"/>
    </row>
    <row r="37214">
      <c r="N37214" s="1"/>
      <c r="V37214" s="5"/>
    </row>
    <row r="37215">
      <c r="N37215" s="1"/>
      <c r="V37215" s="5"/>
    </row>
    <row r="37216">
      <c r="N37216" s="1"/>
      <c r="V37216" s="5"/>
    </row>
    <row r="37217">
      <c r="N37217" s="1"/>
      <c r="V37217" s="5"/>
    </row>
    <row r="37218">
      <c r="N37218" s="1"/>
      <c r="V37218" s="5"/>
    </row>
    <row r="37219">
      <c r="N37219" s="1"/>
      <c r="V37219" s="5"/>
    </row>
    <row r="37220">
      <c r="N37220" s="1"/>
      <c r="V37220" s="5"/>
    </row>
    <row r="37221">
      <c r="N37221" s="1"/>
      <c r="V37221" s="5"/>
    </row>
    <row r="37222">
      <c r="N37222" s="1"/>
      <c r="V37222" s="5"/>
    </row>
    <row r="37223">
      <c r="N37223" s="1"/>
      <c r="V37223" s="5"/>
    </row>
    <row r="37224">
      <c r="N37224" s="1"/>
      <c r="V37224" s="5"/>
    </row>
    <row r="37225">
      <c r="N37225" s="1"/>
      <c r="V37225" s="5"/>
    </row>
    <row r="37226">
      <c r="N37226" s="1"/>
      <c r="V37226" s="5"/>
    </row>
    <row r="37227">
      <c r="N37227" s="1"/>
      <c r="V37227" s="5"/>
    </row>
    <row r="37228">
      <c r="N37228" s="1"/>
      <c r="V37228" s="5"/>
    </row>
    <row r="37229">
      <c r="N37229" s="1"/>
      <c r="V37229" s="5"/>
    </row>
    <row r="37230">
      <c r="N37230" s="1"/>
      <c r="V37230" s="5"/>
    </row>
    <row r="37231">
      <c r="N37231" s="1"/>
      <c r="V37231" s="5"/>
    </row>
    <row r="37232">
      <c r="N37232" s="1"/>
      <c r="V37232" s="5"/>
    </row>
    <row r="37233">
      <c r="N37233" s="1"/>
      <c r="V37233" s="5"/>
    </row>
    <row r="37234">
      <c r="N37234" s="1"/>
      <c r="V37234" s="5"/>
    </row>
    <row r="37235">
      <c r="N37235" s="1"/>
      <c r="V37235" s="5"/>
    </row>
    <row r="37236">
      <c r="N37236" s="1"/>
      <c r="V37236" s="5"/>
    </row>
    <row r="37237">
      <c r="N37237" s="1"/>
      <c r="V37237" s="5"/>
    </row>
    <row r="37238">
      <c r="N37238" s="1"/>
      <c r="V37238" s="5"/>
    </row>
    <row r="37239">
      <c r="N37239" s="1"/>
      <c r="V37239" s="5"/>
    </row>
    <row r="37240">
      <c r="N37240" s="1"/>
      <c r="V37240" s="5"/>
    </row>
    <row r="37241">
      <c r="N37241" s="1"/>
      <c r="V37241" s="5"/>
    </row>
    <row r="37242">
      <c r="N37242" s="1"/>
      <c r="V37242" s="5"/>
    </row>
    <row r="37243">
      <c r="N37243" s="1"/>
      <c r="V37243" s="5"/>
    </row>
    <row r="37244">
      <c r="N37244" s="1"/>
      <c r="V37244" s="5"/>
    </row>
    <row r="37245">
      <c r="N37245" s="1"/>
      <c r="V37245" s="5"/>
    </row>
    <row r="37246">
      <c r="N37246" s="1"/>
      <c r="V37246" s="5"/>
    </row>
    <row r="37247">
      <c r="N37247" s="1"/>
      <c r="V37247" s="5"/>
    </row>
    <row r="37248">
      <c r="N37248" s="1"/>
      <c r="V37248" s="5"/>
    </row>
    <row r="37249">
      <c r="N37249" s="1"/>
      <c r="V37249" s="5"/>
    </row>
    <row r="37250">
      <c r="N37250" s="1"/>
      <c r="V37250" s="5"/>
    </row>
    <row r="37251">
      <c r="N37251" s="1"/>
      <c r="V37251" s="5"/>
    </row>
    <row r="37252">
      <c r="N37252" s="1"/>
      <c r="V37252" s="5"/>
    </row>
    <row r="37253">
      <c r="N37253" s="1"/>
      <c r="V37253" s="5"/>
    </row>
    <row r="37254">
      <c r="N37254" s="1"/>
      <c r="V37254" s="5"/>
    </row>
    <row r="37255">
      <c r="N37255" s="1"/>
      <c r="V37255" s="5"/>
    </row>
    <row r="37256">
      <c r="N37256" s="1"/>
      <c r="V37256" s="5"/>
    </row>
    <row r="37257">
      <c r="N37257" s="1"/>
      <c r="V37257" s="5"/>
    </row>
    <row r="37258">
      <c r="N37258" s="1"/>
      <c r="V37258" s="5"/>
    </row>
    <row r="37259">
      <c r="N37259" s="1"/>
      <c r="V37259" s="5"/>
    </row>
    <row r="37260">
      <c r="N37260" s="1"/>
      <c r="V37260" s="5"/>
    </row>
    <row r="37261">
      <c r="N37261" s="1"/>
      <c r="V37261" s="5"/>
    </row>
    <row r="37262">
      <c r="N37262" s="1"/>
      <c r="V37262" s="5"/>
    </row>
    <row r="37263">
      <c r="N37263" s="1"/>
      <c r="V37263" s="5"/>
    </row>
    <row r="37264">
      <c r="N37264" s="1"/>
      <c r="V37264" s="5"/>
    </row>
    <row r="37265">
      <c r="N37265" s="1"/>
      <c r="V37265" s="5"/>
    </row>
    <row r="37266">
      <c r="N37266" s="1"/>
      <c r="V37266" s="5"/>
    </row>
    <row r="37267">
      <c r="N37267" s="1"/>
      <c r="V37267" s="5"/>
    </row>
    <row r="37268">
      <c r="N37268" s="1"/>
      <c r="V37268" s="5"/>
    </row>
    <row r="37269">
      <c r="N37269" s="1"/>
      <c r="V37269" s="5"/>
    </row>
    <row r="37270">
      <c r="N37270" s="1"/>
      <c r="V37270" s="5"/>
    </row>
    <row r="37271">
      <c r="N37271" s="1"/>
      <c r="V37271" s="5"/>
    </row>
    <row r="37272">
      <c r="N37272" s="1"/>
      <c r="V37272" s="5"/>
    </row>
    <row r="37273">
      <c r="N37273" s="1"/>
      <c r="V37273" s="5"/>
    </row>
    <row r="37274">
      <c r="N37274" s="1"/>
      <c r="V37274" s="5"/>
    </row>
    <row r="37275">
      <c r="N37275" s="1"/>
      <c r="V37275" s="5"/>
    </row>
    <row r="37276">
      <c r="N37276" s="1"/>
      <c r="V37276" s="5"/>
    </row>
    <row r="37277">
      <c r="N37277" s="1"/>
      <c r="V37277" s="5"/>
    </row>
    <row r="37278">
      <c r="N37278" s="1"/>
      <c r="V37278" s="5"/>
    </row>
    <row r="37279">
      <c r="N37279" s="1"/>
      <c r="V37279" s="5"/>
    </row>
    <row r="37280">
      <c r="N37280" s="1"/>
      <c r="V37280" s="5"/>
    </row>
    <row r="37281">
      <c r="N37281" s="1"/>
      <c r="V37281" s="5"/>
    </row>
    <row r="37282">
      <c r="N37282" s="1"/>
      <c r="V37282" s="5"/>
    </row>
    <row r="37283">
      <c r="N37283" s="1"/>
      <c r="V37283" s="5"/>
    </row>
    <row r="37284">
      <c r="N37284" s="1"/>
      <c r="V37284" s="5"/>
    </row>
    <row r="37285">
      <c r="N37285" s="1"/>
      <c r="V37285" s="5"/>
    </row>
    <row r="37286">
      <c r="N37286" s="1"/>
      <c r="V37286" s="5"/>
    </row>
    <row r="37287">
      <c r="N37287" s="1"/>
      <c r="V37287" s="5"/>
    </row>
    <row r="37288">
      <c r="N37288" s="1"/>
      <c r="V37288" s="5"/>
    </row>
    <row r="37289">
      <c r="N37289" s="1"/>
      <c r="V37289" s="5"/>
    </row>
    <row r="37290">
      <c r="N37290" s="1"/>
      <c r="V37290" s="5"/>
    </row>
    <row r="37291">
      <c r="N37291" s="1"/>
      <c r="V37291" s="5"/>
    </row>
    <row r="37292">
      <c r="N37292" s="1"/>
      <c r="V37292" s="5"/>
    </row>
    <row r="37293">
      <c r="N37293" s="1"/>
      <c r="V37293" s="5"/>
    </row>
    <row r="37294">
      <c r="N37294" s="1"/>
      <c r="V37294" s="5"/>
    </row>
    <row r="37295">
      <c r="N37295" s="1"/>
      <c r="V37295" s="5"/>
    </row>
    <row r="37296">
      <c r="N37296" s="1"/>
      <c r="V37296" s="5"/>
    </row>
    <row r="37297">
      <c r="N37297" s="1"/>
      <c r="V37297" s="5"/>
    </row>
    <row r="37298">
      <c r="N37298" s="1"/>
      <c r="V37298" s="5"/>
    </row>
    <row r="37299">
      <c r="N37299" s="1"/>
      <c r="V37299" s="5"/>
    </row>
    <row r="37300">
      <c r="N37300" s="1"/>
      <c r="V37300" s="5"/>
    </row>
    <row r="37301">
      <c r="N37301" s="1"/>
      <c r="V37301" s="5"/>
    </row>
    <row r="37302">
      <c r="N37302" s="1"/>
      <c r="V37302" s="5"/>
    </row>
    <row r="37303">
      <c r="N37303" s="1"/>
      <c r="V37303" s="5"/>
    </row>
    <row r="37304">
      <c r="N37304" s="1"/>
      <c r="V37304" s="5"/>
    </row>
    <row r="37305">
      <c r="N37305" s="1"/>
      <c r="V37305" s="5"/>
    </row>
    <row r="37306">
      <c r="N37306" s="1"/>
      <c r="V37306" s="5"/>
    </row>
    <row r="37307">
      <c r="N37307" s="1"/>
      <c r="V37307" s="5"/>
    </row>
    <row r="37308">
      <c r="N37308" s="1"/>
      <c r="V37308" s="5"/>
    </row>
    <row r="37309">
      <c r="N37309" s="1"/>
      <c r="V37309" s="5"/>
    </row>
    <row r="37310">
      <c r="N37310" s="1"/>
      <c r="V37310" s="5"/>
    </row>
    <row r="37311">
      <c r="N37311" s="1"/>
      <c r="V37311" s="5"/>
    </row>
    <row r="37312">
      <c r="N37312" s="1"/>
      <c r="V37312" s="5"/>
    </row>
    <row r="37313">
      <c r="N37313" s="1"/>
      <c r="V37313" s="5"/>
    </row>
    <row r="37314">
      <c r="N37314" s="1"/>
      <c r="V37314" s="5"/>
    </row>
    <row r="37315">
      <c r="N37315" s="1"/>
      <c r="V37315" s="5"/>
    </row>
    <row r="37316">
      <c r="N37316" s="1"/>
      <c r="V37316" s="5"/>
    </row>
    <row r="37317">
      <c r="N37317" s="1"/>
      <c r="V37317" s="5"/>
    </row>
    <row r="37318">
      <c r="N37318" s="1"/>
      <c r="V37318" s="5"/>
    </row>
    <row r="37319">
      <c r="N37319" s="1"/>
      <c r="V37319" s="5"/>
    </row>
    <row r="37320">
      <c r="N37320" s="1"/>
      <c r="V37320" s="5"/>
    </row>
    <row r="37321">
      <c r="N37321" s="1"/>
      <c r="V37321" s="5"/>
    </row>
    <row r="37322">
      <c r="N37322" s="1"/>
      <c r="V37322" s="5"/>
    </row>
    <row r="37323">
      <c r="N37323" s="1"/>
      <c r="V37323" s="5"/>
    </row>
    <row r="37324">
      <c r="N37324" s="1"/>
      <c r="V37324" s="5"/>
    </row>
    <row r="37325">
      <c r="N37325" s="1"/>
      <c r="V37325" s="5"/>
    </row>
    <row r="37326">
      <c r="N37326" s="1"/>
      <c r="V37326" s="5"/>
    </row>
    <row r="37327">
      <c r="N37327" s="1"/>
      <c r="V37327" s="5"/>
    </row>
    <row r="37328">
      <c r="N37328" s="1"/>
      <c r="V37328" s="5"/>
    </row>
    <row r="37329">
      <c r="N37329" s="1"/>
      <c r="V37329" s="5"/>
    </row>
    <row r="37330">
      <c r="N37330" s="1"/>
      <c r="V37330" s="5"/>
    </row>
    <row r="37331">
      <c r="N37331" s="1"/>
      <c r="V37331" s="5"/>
    </row>
    <row r="37332">
      <c r="N37332" s="1"/>
      <c r="V37332" s="5"/>
    </row>
    <row r="37333">
      <c r="N37333" s="1"/>
      <c r="V37333" s="5"/>
    </row>
    <row r="37334">
      <c r="N37334" s="1"/>
      <c r="V37334" s="5"/>
    </row>
    <row r="37335">
      <c r="N37335" s="1"/>
      <c r="V37335" s="5"/>
    </row>
    <row r="37336">
      <c r="N37336" s="1"/>
      <c r="V37336" s="5"/>
    </row>
    <row r="37337">
      <c r="N37337" s="1"/>
      <c r="V37337" s="5"/>
    </row>
    <row r="37338">
      <c r="N37338" s="1"/>
      <c r="V37338" s="5"/>
    </row>
    <row r="37339">
      <c r="N37339" s="1"/>
      <c r="V37339" s="5"/>
    </row>
    <row r="37340">
      <c r="N37340" s="1"/>
      <c r="V37340" s="5"/>
    </row>
    <row r="37341">
      <c r="N37341" s="1"/>
      <c r="V37341" s="5"/>
    </row>
    <row r="37342">
      <c r="N37342" s="1"/>
      <c r="V37342" s="5"/>
    </row>
    <row r="37343">
      <c r="N37343" s="1"/>
      <c r="V37343" s="5"/>
    </row>
    <row r="37344">
      <c r="N37344" s="1"/>
      <c r="V37344" s="5"/>
    </row>
    <row r="37345">
      <c r="N37345" s="1"/>
      <c r="V37345" s="5"/>
    </row>
    <row r="37346">
      <c r="N37346" s="1"/>
      <c r="V37346" s="5"/>
    </row>
    <row r="37347">
      <c r="N37347" s="1"/>
      <c r="V37347" s="5"/>
    </row>
    <row r="37348">
      <c r="N37348" s="1"/>
      <c r="V37348" s="5"/>
    </row>
    <row r="37349">
      <c r="N37349" s="1"/>
      <c r="V37349" s="5"/>
    </row>
    <row r="37350">
      <c r="N37350" s="1"/>
      <c r="V37350" s="5"/>
    </row>
    <row r="37351">
      <c r="N37351" s="1"/>
      <c r="V37351" s="5"/>
    </row>
    <row r="37352">
      <c r="N37352" s="1"/>
      <c r="V37352" s="5"/>
    </row>
    <row r="37353">
      <c r="N37353" s="1"/>
      <c r="V37353" s="5"/>
    </row>
    <row r="37354">
      <c r="N37354" s="1"/>
      <c r="V37354" s="5"/>
    </row>
    <row r="37355">
      <c r="N37355" s="1"/>
      <c r="V37355" s="5"/>
    </row>
    <row r="37356">
      <c r="N37356" s="1"/>
      <c r="V37356" s="5"/>
    </row>
    <row r="37357">
      <c r="N37357" s="1"/>
      <c r="V37357" s="5"/>
    </row>
    <row r="37358">
      <c r="N37358" s="1"/>
      <c r="V37358" s="5"/>
    </row>
    <row r="37359">
      <c r="N37359" s="1"/>
      <c r="V37359" s="5"/>
    </row>
    <row r="37360">
      <c r="N37360" s="1"/>
      <c r="V37360" s="5"/>
    </row>
    <row r="37361">
      <c r="N37361" s="1"/>
      <c r="V37361" s="5"/>
    </row>
    <row r="37362">
      <c r="N37362" s="1"/>
      <c r="V37362" s="5"/>
    </row>
    <row r="37363">
      <c r="N37363" s="1"/>
      <c r="V37363" s="5"/>
    </row>
    <row r="37364">
      <c r="N37364" s="1"/>
      <c r="V37364" s="5"/>
    </row>
    <row r="37365">
      <c r="N37365" s="1"/>
      <c r="V37365" s="5"/>
    </row>
    <row r="37366">
      <c r="N37366" s="1"/>
      <c r="V37366" s="5"/>
    </row>
    <row r="37367">
      <c r="N37367" s="1"/>
      <c r="V37367" s="5"/>
    </row>
    <row r="37368">
      <c r="N37368" s="1"/>
      <c r="V37368" s="5"/>
    </row>
    <row r="37369">
      <c r="N37369" s="1"/>
      <c r="V37369" s="5"/>
    </row>
    <row r="37370">
      <c r="N37370" s="1"/>
      <c r="V37370" s="5"/>
    </row>
    <row r="37371">
      <c r="N37371" s="1"/>
      <c r="V37371" s="5"/>
    </row>
    <row r="37372">
      <c r="N37372" s="1"/>
      <c r="V37372" s="5"/>
    </row>
    <row r="37373">
      <c r="N37373" s="1"/>
      <c r="V37373" s="5"/>
    </row>
    <row r="37374">
      <c r="N37374" s="1"/>
      <c r="V37374" s="5"/>
    </row>
    <row r="37375">
      <c r="N37375" s="1"/>
      <c r="V37375" s="5"/>
    </row>
    <row r="37376">
      <c r="N37376" s="1"/>
      <c r="V37376" s="5"/>
    </row>
    <row r="37377">
      <c r="N37377" s="1"/>
      <c r="V37377" s="5"/>
    </row>
    <row r="37378">
      <c r="N37378" s="1"/>
      <c r="V37378" s="5"/>
    </row>
    <row r="37379">
      <c r="N37379" s="1"/>
      <c r="V37379" s="5"/>
    </row>
    <row r="37380">
      <c r="N37380" s="1"/>
      <c r="V37380" s="5"/>
    </row>
    <row r="37381">
      <c r="N37381" s="1"/>
      <c r="V37381" s="5"/>
    </row>
    <row r="37382">
      <c r="N37382" s="1"/>
      <c r="V37382" s="5"/>
    </row>
    <row r="37383">
      <c r="N37383" s="1"/>
      <c r="V37383" s="5"/>
    </row>
    <row r="37384">
      <c r="N37384" s="1"/>
      <c r="V37384" s="5"/>
    </row>
    <row r="37385">
      <c r="N37385" s="1"/>
      <c r="V37385" s="5"/>
    </row>
    <row r="37386">
      <c r="N37386" s="1"/>
      <c r="V37386" s="5"/>
    </row>
    <row r="37387">
      <c r="N37387" s="1"/>
      <c r="V37387" s="5"/>
    </row>
    <row r="37388">
      <c r="N37388" s="1"/>
      <c r="V37388" s="5"/>
    </row>
    <row r="37389">
      <c r="N37389" s="1"/>
      <c r="V37389" s="5"/>
    </row>
    <row r="37390">
      <c r="N37390" s="1"/>
      <c r="V37390" s="5"/>
    </row>
    <row r="37391">
      <c r="N37391" s="1"/>
      <c r="V37391" s="5"/>
    </row>
    <row r="37392">
      <c r="N37392" s="1"/>
      <c r="V37392" s="5"/>
    </row>
    <row r="37393">
      <c r="N37393" s="1"/>
      <c r="V37393" s="5"/>
    </row>
    <row r="37394">
      <c r="N37394" s="1"/>
      <c r="V37394" s="5"/>
    </row>
    <row r="37395">
      <c r="N37395" s="1"/>
      <c r="V37395" s="5"/>
    </row>
    <row r="37396">
      <c r="N37396" s="1"/>
      <c r="V37396" s="5"/>
    </row>
    <row r="37397">
      <c r="N37397" s="1"/>
      <c r="V37397" s="5"/>
    </row>
    <row r="37398">
      <c r="N37398" s="1"/>
      <c r="V37398" s="5"/>
    </row>
    <row r="37399">
      <c r="N37399" s="1"/>
      <c r="V37399" s="5"/>
    </row>
    <row r="37400">
      <c r="N37400" s="1"/>
      <c r="V37400" s="5"/>
    </row>
    <row r="37401">
      <c r="N37401" s="1"/>
      <c r="V37401" s="5"/>
    </row>
    <row r="37402">
      <c r="N37402" s="1"/>
      <c r="V37402" s="5"/>
    </row>
    <row r="37403">
      <c r="N37403" s="1"/>
      <c r="V37403" s="5"/>
    </row>
    <row r="37404">
      <c r="N37404" s="1"/>
      <c r="V37404" s="5"/>
    </row>
    <row r="37405">
      <c r="N37405" s="1"/>
      <c r="V37405" s="5"/>
    </row>
    <row r="37406">
      <c r="N37406" s="1"/>
      <c r="V37406" s="5"/>
    </row>
    <row r="37407">
      <c r="N37407" s="1"/>
      <c r="V37407" s="5"/>
    </row>
    <row r="37408">
      <c r="N37408" s="1"/>
      <c r="V37408" s="5"/>
    </row>
    <row r="37409">
      <c r="N37409" s="1"/>
      <c r="V37409" s="5"/>
    </row>
    <row r="37410">
      <c r="N37410" s="1"/>
      <c r="V37410" s="5"/>
    </row>
    <row r="37411">
      <c r="N37411" s="1"/>
      <c r="V37411" s="5"/>
    </row>
    <row r="37412">
      <c r="N37412" s="1"/>
      <c r="V37412" s="5"/>
    </row>
    <row r="37413">
      <c r="N37413" s="1"/>
      <c r="V37413" s="5"/>
    </row>
    <row r="37414">
      <c r="N37414" s="1"/>
      <c r="V37414" s="5"/>
    </row>
    <row r="37415">
      <c r="N37415" s="1"/>
      <c r="V37415" s="5"/>
    </row>
    <row r="37416">
      <c r="N37416" s="1"/>
      <c r="V37416" s="5"/>
    </row>
    <row r="37417">
      <c r="N37417" s="1"/>
      <c r="V37417" s="5"/>
    </row>
    <row r="37418">
      <c r="N37418" s="1"/>
      <c r="V37418" s="5"/>
    </row>
    <row r="37419">
      <c r="N37419" s="1"/>
      <c r="V37419" s="5"/>
    </row>
    <row r="37420">
      <c r="N37420" s="1"/>
      <c r="V37420" s="5"/>
    </row>
    <row r="37421">
      <c r="N37421" s="1"/>
      <c r="V37421" s="5"/>
    </row>
    <row r="37422">
      <c r="N37422" s="1"/>
      <c r="V37422" s="5"/>
    </row>
    <row r="37423">
      <c r="N37423" s="1"/>
      <c r="V37423" s="5"/>
    </row>
    <row r="37424">
      <c r="N37424" s="1"/>
      <c r="V37424" s="5"/>
    </row>
    <row r="37425">
      <c r="N37425" s="1"/>
      <c r="V37425" s="5"/>
    </row>
    <row r="37426">
      <c r="N37426" s="1"/>
      <c r="V37426" s="5"/>
    </row>
    <row r="37427">
      <c r="N37427" s="1"/>
      <c r="V37427" s="5"/>
    </row>
    <row r="37428">
      <c r="N37428" s="1"/>
      <c r="V37428" s="5"/>
    </row>
    <row r="37429">
      <c r="N37429" s="1"/>
      <c r="V37429" s="5"/>
    </row>
    <row r="37430">
      <c r="N37430" s="1"/>
      <c r="V37430" s="5"/>
    </row>
    <row r="37431">
      <c r="N37431" s="1"/>
      <c r="V37431" s="5"/>
    </row>
    <row r="37432">
      <c r="N37432" s="1"/>
      <c r="V37432" s="5"/>
    </row>
    <row r="37433">
      <c r="N37433" s="1"/>
      <c r="V37433" s="5"/>
    </row>
    <row r="37434">
      <c r="N37434" s="1"/>
      <c r="V37434" s="5"/>
    </row>
    <row r="37435">
      <c r="N37435" s="1"/>
      <c r="V37435" s="5"/>
    </row>
    <row r="37436">
      <c r="N37436" s="1"/>
      <c r="V37436" s="5"/>
    </row>
    <row r="37437">
      <c r="N37437" s="1"/>
      <c r="V37437" s="5"/>
    </row>
    <row r="37438">
      <c r="N37438" s="1"/>
      <c r="V37438" s="5"/>
    </row>
    <row r="37439">
      <c r="N37439" s="1"/>
      <c r="V37439" s="5"/>
    </row>
    <row r="37440">
      <c r="N37440" s="1"/>
      <c r="V37440" s="5"/>
    </row>
    <row r="37441">
      <c r="N37441" s="1"/>
      <c r="V37441" s="5"/>
    </row>
    <row r="37442">
      <c r="N37442" s="1"/>
      <c r="V37442" s="5"/>
    </row>
    <row r="37443">
      <c r="N37443" s="1"/>
      <c r="V37443" s="5"/>
    </row>
    <row r="37444">
      <c r="N37444" s="1"/>
      <c r="V37444" s="5"/>
    </row>
    <row r="37445">
      <c r="N37445" s="1"/>
      <c r="V37445" s="5"/>
    </row>
    <row r="37446">
      <c r="N37446" s="1"/>
      <c r="V37446" s="5"/>
    </row>
    <row r="37447">
      <c r="N37447" s="1"/>
      <c r="V37447" s="5"/>
    </row>
    <row r="37448">
      <c r="N37448" s="1"/>
      <c r="V37448" s="5"/>
    </row>
    <row r="37449">
      <c r="N37449" s="1"/>
      <c r="V37449" s="5"/>
    </row>
    <row r="37450">
      <c r="N37450" s="1"/>
      <c r="V37450" s="5"/>
    </row>
    <row r="37451">
      <c r="N37451" s="1"/>
      <c r="V37451" s="5"/>
    </row>
    <row r="37452">
      <c r="N37452" s="1"/>
      <c r="V37452" s="5"/>
    </row>
    <row r="37453">
      <c r="N37453" s="1"/>
      <c r="V37453" s="5"/>
    </row>
    <row r="37454">
      <c r="N37454" s="1"/>
      <c r="V37454" s="5"/>
    </row>
    <row r="37455">
      <c r="N37455" s="1"/>
      <c r="V37455" s="5"/>
    </row>
    <row r="37456">
      <c r="N37456" s="1"/>
      <c r="V37456" s="5"/>
    </row>
    <row r="37457">
      <c r="N37457" s="1"/>
      <c r="V37457" s="5"/>
    </row>
    <row r="37458">
      <c r="N37458" s="1"/>
      <c r="V37458" s="5"/>
    </row>
    <row r="37459">
      <c r="N37459" s="1"/>
      <c r="V37459" s="5"/>
    </row>
    <row r="37460">
      <c r="N37460" s="1"/>
      <c r="V37460" s="5"/>
    </row>
    <row r="37461">
      <c r="N37461" s="1"/>
      <c r="V37461" s="5"/>
    </row>
    <row r="37462">
      <c r="N37462" s="1"/>
      <c r="V37462" s="5"/>
    </row>
    <row r="37463">
      <c r="N37463" s="1"/>
      <c r="V37463" s="5"/>
    </row>
    <row r="37464">
      <c r="N37464" s="1"/>
      <c r="V37464" s="5"/>
    </row>
    <row r="37465">
      <c r="N37465" s="1"/>
      <c r="V37465" s="5"/>
    </row>
    <row r="37466">
      <c r="N37466" s="1"/>
      <c r="V37466" s="5"/>
    </row>
    <row r="37467">
      <c r="N37467" s="1"/>
      <c r="V37467" s="5"/>
    </row>
    <row r="37468">
      <c r="N37468" s="1"/>
      <c r="V37468" s="5"/>
    </row>
    <row r="37469">
      <c r="N37469" s="1"/>
      <c r="V37469" s="5"/>
    </row>
    <row r="37470">
      <c r="N37470" s="1"/>
      <c r="V37470" s="5"/>
    </row>
    <row r="37471">
      <c r="N37471" s="1"/>
      <c r="V37471" s="5"/>
    </row>
    <row r="37472">
      <c r="N37472" s="1"/>
      <c r="V37472" s="5"/>
    </row>
    <row r="37473">
      <c r="N37473" s="1"/>
      <c r="V37473" s="5"/>
    </row>
    <row r="37474">
      <c r="N37474" s="1"/>
      <c r="V37474" s="5"/>
    </row>
    <row r="37475">
      <c r="N37475" s="1"/>
      <c r="V37475" s="5"/>
    </row>
    <row r="37476">
      <c r="N37476" s="1"/>
      <c r="V37476" s="5"/>
    </row>
    <row r="37477">
      <c r="N37477" s="1"/>
      <c r="V37477" s="5"/>
    </row>
    <row r="37478">
      <c r="N37478" s="1"/>
      <c r="V37478" s="5"/>
    </row>
    <row r="37479">
      <c r="N37479" s="1"/>
      <c r="V37479" s="5"/>
    </row>
    <row r="37480">
      <c r="N37480" s="1"/>
      <c r="V37480" s="5"/>
    </row>
    <row r="37481">
      <c r="N37481" s="1"/>
      <c r="V37481" s="5"/>
    </row>
    <row r="37482">
      <c r="N37482" s="1"/>
      <c r="V37482" s="5"/>
    </row>
    <row r="37483">
      <c r="N37483" s="1"/>
      <c r="V37483" s="5"/>
    </row>
    <row r="37484">
      <c r="N37484" s="1"/>
      <c r="V37484" s="5"/>
    </row>
    <row r="37485">
      <c r="N37485" s="1"/>
      <c r="V37485" s="5"/>
    </row>
    <row r="37486">
      <c r="N37486" s="1"/>
      <c r="V37486" s="5"/>
    </row>
    <row r="37487">
      <c r="N37487" s="1"/>
      <c r="V37487" s="5"/>
    </row>
    <row r="37488">
      <c r="N37488" s="1"/>
      <c r="V37488" s="5"/>
    </row>
    <row r="37489">
      <c r="N37489" s="1"/>
      <c r="V37489" s="5"/>
    </row>
    <row r="37490">
      <c r="N37490" s="1"/>
      <c r="V37490" s="5"/>
    </row>
    <row r="37491">
      <c r="N37491" s="1"/>
      <c r="V37491" s="5"/>
    </row>
    <row r="37492">
      <c r="N37492" s="1"/>
      <c r="V37492" s="5"/>
    </row>
    <row r="37493">
      <c r="N37493" s="1"/>
      <c r="V37493" s="5"/>
    </row>
    <row r="37494">
      <c r="N37494" s="1"/>
      <c r="V37494" s="5"/>
    </row>
    <row r="37495">
      <c r="N37495" s="1"/>
      <c r="V37495" s="5"/>
    </row>
    <row r="37496">
      <c r="N37496" s="1"/>
      <c r="V37496" s="5"/>
    </row>
    <row r="37497">
      <c r="N37497" s="1"/>
      <c r="V37497" s="5"/>
    </row>
    <row r="37498">
      <c r="N37498" s="1"/>
      <c r="V37498" s="5"/>
    </row>
    <row r="37499">
      <c r="N37499" s="1"/>
      <c r="V37499" s="5"/>
    </row>
    <row r="37500">
      <c r="N37500" s="1"/>
      <c r="V37500" s="5"/>
    </row>
    <row r="37501">
      <c r="N37501" s="1"/>
      <c r="V37501" s="5"/>
    </row>
    <row r="37502">
      <c r="N37502" s="1"/>
      <c r="V37502" s="5"/>
    </row>
    <row r="37503">
      <c r="N37503" s="1"/>
      <c r="V37503" s="5"/>
    </row>
    <row r="37504">
      <c r="N37504" s="1"/>
      <c r="V37504" s="5"/>
    </row>
    <row r="37505">
      <c r="N37505" s="1"/>
      <c r="V37505" s="5"/>
    </row>
    <row r="37506">
      <c r="N37506" s="1"/>
      <c r="V37506" s="5"/>
    </row>
    <row r="37507">
      <c r="N37507" s="1"/>
      <c r="V37507" s="5"/>
    </row>
    <row r="37508">
      <c r="N37508" s="1"/>
      <c r="V37508" s="5"/>
    </row>
    <row r="37509">
      <c r="N37509" s="1"/>
      <c r="V37509" s="5"/>
    </row>
    <row r="37510">
      <c r="N37510" s="1"/>
      <c r="V37510" s="5"/>
    </row>
    <row r="37511">
      <c r="N37511" s="1"/>
      <c r="V37511" s="5"/>
    </row>
    <row r="37512">
      <c r="N37512" s="1"/>
      <c r="V37512" s="5"/>
    </row>
    <row r="37513">
      <c r="N37513" s="1"/>
      <c r="V37513" s="5"/>
    </row>
    <row r="37514">
      <c r="N37514" s="1"/>
      <c r="V37514" s="5"/>
    </row>
    <row r="37515">
      <c r="N37515" s="1"/>
      <c r="V37515" s="5"/>
    </row>
    <row r="37516">
      <c r="N37516" s="1"/>
      <c r="V37516" s="5"/>
    </row>
    <row r="37517">
      <c r="N37517" s="1"/>
      <c r="V37517" s="5"/>
    </row>
    <row r="37518">
      <c r="N37518" s="1"/>
      <c r="V37518" s="5"/>
    </row>
    <row r="37519">
      <c r="N37519" s="1"/>
      <c r="V37519" s="5"/>
    </row>
    <row r="37520">
      <c r="N37520" s="1"/>
      <c r="V37520" s="5"/>
    </row>
    <row r="37521">
      <c r="N37521" s="1"/>
      <c r="V37521" s="5"/>
    </row>
    <row r="37522">
      <c r="N37522" s="1"/>
      <c r="V37522" s="5"/>
    </row>
    <row r="37523">
      <c r="N37523" s="1"/>
      <c r="V37523" s="5"/>
    </row>
    <row r="37524">
      <c r="N37524" s="1"/>
      <c r="V37524" s="5"/>
    </row>
    <row r="37525">
      <c r="N37525" s="1"/>
      <c r="V37525" s="5"/>
    </row>
    <row r="37526">
      <c r="N37526" s="1"/>
      <c r="V37526" s="5"/>
    </row>
    <row r="37527">
      <c r="N37527" s="1"/>
      <c r="V37527" s="5"/>
    </row>
    <row r="37528">
      <c r="N37528" s="1"/>
      <c r="V37528" s="5"/>
    </row>
    <row r="37529">
      <c r="N37529" s="1"/>
      <c r="V37529" s="5"/>
    </row>
    <row r="37530">
      <c r="N37530" s="1"/>
      <c r="V37530" s="5"/>
    </row>
    <row r="37531">
      <c r="N37531" s="1"/>
      <c r="V37531" s="5"/>
    </row>
    <row r="37532">
      <c r="N37532" s="1"/>
      <c r="V37532" s="5"/>
    </row>
    <row r="37533">
      <c r="N37533" s="1"/>
      <c r="V37533" s="5"/>
    </row>
    <row r="37534">
      <c r="N37534" s="1"/>
      <c r="V37534" s="5"/>
    </row>
    <row r="37535">
      <c r="N37535" s="1"/>
      <c r="V37535" s="5"/>
    </row>
    <row r="37536">
      <c r="N37536" s="1"/>
      <c r="V37536" s="5"/>
    </row>
    <row r="37537">
      <c r="N37537" s="1"/>
      <c r="V37537" s="5"/>
    </row>
    <row r="37538">
      <c r="N37538" s="1"/>
      <c r="V37538" s="5"/>
    </row>
    <row r="37539">
      <c r="N37539" s="1"/>
      <c r="V37539" s="5"/>
    </row>
    <row r="37540">
      <c r="N37540" s="1"/>
      <c r="V37540" s="5"/>
    </row>
    <row r="37541">
      <c r="N37541" s="1"/>
      <c r="V37541" s="5"/>
    </row>
    <row r="37542">
      <c r="N37542" s="1"/>
      <c r="V37542" s="5"/>
    </row>
    <row r="37543">
      <c r="N37543" s="1"/>
      <c r="V37543" s="5"/>
    </row>
    <row r="37544">
      <c r="N37544" s="1"/>
      <c r="V37544" s="5"/>
    </row>
    <row r="37545">
      <c r="N37545" s="1"/>
      <c r="V37545" s="5"/>
    </row>
    <row r="37546">
      <c r="N37546" s="1"/>
      <c r="V37546" s="5"/>
    </row>
    <row r="37547">
      <c r="N37547" s="1"/>
      <c r="V37547" s="5"/>
    </row>
    <row r="37548">
      <c r="N37548" s="1"/>
      <c r="V37548" s="5"/>
    </row>
    <row r="37549">
      <c r="N37549" s="1"/>
      <c r="V37549" s="5"/>
    </row>
    <row r="37550">
      <c r="N37550" s="1"/>
      <c r="V37550" s="5"/>
    </row>
    <row r="37551">
      <c r="N37551" s="1"/>
      <c r="V37551" s="5"/>
    </row>
    <row r="37552">
      <c r="N37552" s="1"/>
      <c r="V37552" s="5"/>
    </row>
    <row r="37553">
      <c r="N37553" s="1"/>
      <c r="V37553" s="5"/>
    </row>
    <row r="37554">
      <c r="N37554" s="1"/>
      <c r="V37554" s="5"/>
    </row>
    <row r="37555">
      <c r="N37555" s="1"/>
      <c r="V37555" s="5"/>
    </row>
    <row r="37556">
      <c r="N37556" s="1"/>
      <c r="V37556" s="5"/>
    </row>
    <row r="37557">
      <c r="N37557" s="1"/>
      <c r="V37557" s="5"/>
    </row>
    <row r="37558">
      <c r="N37558" s="1"/>
      <c r="V37558" s="5"/>
    </row>
    <row r="37559">
      <c r="N37559" s="1"/>
      <c r="V37559" s="5"/>
    </row>
    <row r="37560">
      <c r="N37560" s="1"/>
      <c r="V37560" s="5"/>
    </row>
    <row r="37561">
      <c r="N37561" s="1"/>
      <c r="V37561" s="5"/>
    </row>
    <row r="37562">
      <c r="N37562" s="1"/>
      <c r="V37562" s="5"/>
    </row>
    <row r="37563">
      <c r="N37563" s="1"/>
      <c r="V37563" s="5"/>
    </row>
    <row r="37564">
      <c r="N37564" s="1"/>
      <c r="V37564" s="5"/>
    </row>
    <row r="37565">
      <c r="N37565" s="1"/>
      <c r="V37565" s="5"/>
    </row>
    <row r="37566">
      <c r="N37566" s="1"/>
      <c r="V37566" s="5"/>
    </row>
    <row r="37567">
      <c r="N37567" s="1"/>
      <c r="V37567" s="5"/>
    </row>
    <row r="37568">
      <c r="N37568" s="1"/>
      <c r="V37568" s="5"/>
    </row>
    <row r="37569">
      <c r="N37569" s="1"/>
      <c r="V37569" s="5"/>
    </row>
    <row r="37570">
      <c r="N37570" s="1"/>
      <c r="V37570" s="5"/>
    </row>
    <row r="37571">
      <c r="N37571" s="1"/>
      <c r="V37571" s="5"/>
    </row>
    <row r="37572">
      <c r="N37572" s="1"/>
      <c r="V37572" s="5"/>
    </row>
    <row r="37573">
      <c r="N37573" s="1"/>
      <c r="V37573" s="5"/>
    </row>
    <row r="37574">
      <c r="N37574" s="1"/>
      <c r="V37574" s="5"/>
    </row>
    <row r="37575">
      <c r="N37575" s="1"/>
      <c r="V37575" s="5"/>
    </row>
    <row r="37576">
      <c r="N37576" s="1"/>
      <c r="V37576" s="5"/>
    </row>
    <row r="37577">
      <c r="N37577" s="1"/>
      <c r="V37577" s="5"/>
    </row>
    <row r="37578">
      <c r="N37578" s="1"/>
      <c r="V37578" s="5"/>
    </row>
    <row r="37579">
      <c r="N37579" s="1"/>
      <c r="V37579" s="5"/>
    </row>
    <row r="37580">
      <c r="N37580" s="1"/>
      <c r="V37580" s="5"/>
    </row>
    <row r="37581">
      <c r="N37581" s="1"/>
      <c r="V37581" s="5"/>
    </row>
    <row r="37582">
      <c r="N37582" s="1"/>
      <c r="V37582" s="5"/>
    </row>
    <row r="37583">
      <c r="N37583" s="1"/>
      <c r="V37583" s="5"/>
    </row>
    <row r="37584">
      <c r="N37584" s="1"/>
      <c r="V37584" s="5"/>
    </row>
    <row r="37585">
      <c r="N37585" s="1"/>
      <c r="V37585" s="5"/>
    </row>
    <row r="37586">
      <c r="N37586" s="1"/>
      <c r="V37586" s="5"/>
    </row>
    <row r="37587">
      <c r="N37587" s="1"/>
      <c r="V37587" s="5"/>
    </row>
    <row r="37588">
      <c r="N37588" s="1"/>
      <c r="V37588" s="5"/>
    </row>
    <row r="37589">
      <c r="N37589" s="1"/>
      <c r="V37589" s="5"/>
    </row>
    <row r="37590">
      <c r="N37590" s="1"/>
      <c r="V37590" s="5"/>
    </row>
    <row r="37591">
      <c r="N37591" s="1"/>
      <c r="V37591" s="5"/>
    </row>
    <row r="37592">
      <c r="N37592" s="1"/>
      <c r="V37592" s="5"/>
    </row>
    <row r="37593">
      <c r="N37593" s="1"/>
      <c r="V37593" s="5"/>
    </row>
    <row r="37594">
      <c r="N37594" s="1"/>
      <c r="V37594" s="5"/>
    </row>
    <row r="37595">
      <c r="N37595" s="1"/>
      <c r="V37595" s="5"/>
    </row>
    <row r="37596">
      <c r="N37596" s="1"/>
      <c r="V37596" s="5"/>
    </row>
    <row r="37597">
      <c r="N37597" s="1"/>
      <c r="V37597" s="5"/>
    </row>
    <row r="37598">
      <c r="N37598" s="1"/>
      <c r="V37598" s="5"/>
    </row>
    <row r="37599">
      <c r="N37599" s="1"/>
      <c r="V37599" s="5"/>
    </row>
    <row r="37600">
      <c r="N37600" s="1"/>
      <c r="V37600" s="5"/>
    </row>
    <row r="37601">
      <c r="N37601" s="1"/>
      <c r="V37601" s="5"/>
    </row>
    <row r="37602">
      <c r="N37602" s="1"/>
      <c r="V37602" s="5"/>
    </row>
    <row r="37603">
      <c r="N37603" s="1"/>
      <c r="V37603" s="5"/>
    </row>
    <row r="37604">
      <c r="N37604" s="1"/>
      <c r="V37604" s="5"/>
    </row>
    <row r="37605">
      <c r="N37605" s="1"/>
      <c r="V37605" s="5"/>
    </row>
    <row r="37606">
      <c r="N37606" s="1"/>
      <c r="V37606" s="5"/>
    </row>
    <row r="37607">
      <c r="N37607" s="1"/>
      <c r="V37607" s="5"/>
    </row>
    <row r="37608">
      <c r="N37608" s="1"/>
      <c r="V37608" s="5"/>
    </row>
    <row r="37609">
      <c r="N37609" s="1"/>
      <c r="V37609" s="5"/>
    </row>
    <row r="37610">
      <c r="N37610" s="1"/>
      <c r="V37610" s="5"/>
    </row>
    <row r="37611">
      <c r="N37611" s="1"/>
      <c r="V37611" s="5"/>
    </row>
    <row r="37612">
      <c r="N37612" s="1"/>
      <c r="V37612" s="5"/>
    </row>
    <row r="37613">
      <c r="N37613" s="1"/>
      <c r="V37613" s="5"/>
    </row>
    <row r="37614">
      <c r="N37614" s="1"/>
      <c r="V37614" s="5"/>
    </row>
    <row r="37615">
      <c r="N37615" s="1"/>
      <c r="V37615" s="5"/>
    </row>
    <row r="37616">
      <c r="N37616" s="1"/>
      <c r="V37616" s="5"/>
    </row>
    <row r="37617">
      <c r="N37617" s="1"/>
      <c r="V37617" s="5"/>
    </row>
    <row r="37618">
      <c r="N37618" s="1"/>
      <c r="V37618" s="5"/>
    </row>
    <row r="37619">
      <c r="N37619" s="1"/>
      <c r="V37619" s="5"/>
    </row>
    <row r="37620">
      <c r="N37620" s="1"/>
      <c r="V37620" s="5"/>
    </row>
    <row r="37621">
      <c r="N37621" s="1"/>
      <c r="V37621" s="5"/>
    </row>
    <row r="37622">
      <c r="N37622" s="1"/>
      <c r="V37622" s="5"/>
    </row>
    <row r="37623">
      <c r="N37623" s="1"/>
      <c r="V37623" s="5"/>
    </row>
    <row r="37624">
      <c r="N37624" s="1"/>
      <c r="V37624" s="5"/>
    </row>
    <row r="37625">
      <c r="N37625" s="1"/>
      <c r="V37625" s="5"/>
    </row>
    <row r="37626">
      <c r="N37626" s="1"/>
      <c r="V37626" s="5"/>
    </row>
    <row r="37627">
      <c r="N37627" s="1"/>
      <c r="V37627" s="5"/>
    </row>
    <row r="37628">
      <c r="N37628" s="1"/>
      <c r="V37628" s="5"/>
    </row>
    <row r="37629">
      <c r="N37629" s="1"/>
      <c r="V37629" s="5"/>
    </row>
    <row r="37630">
      <c r="N37630" s="1"/>
      <c r="V37630" s="5"/>
    </row>
    <row r="37631">
      <c r="N37631" s="1"/>
      <c r="V37631" s="5"/>
    </row>
    <row r="37632">
      <c r="N37632" s="1"/>
      <c r="V37632" s="5"/>
    </row>
    <row r="37633">
      <c r="N37633" s="1"/>
      <c r="V37633" s="5"/>
    </row>
    <row r="37634">
      <c r="N37634" s="1"/>
      <c r="V37634" s="5"/>
    </row>
    <row r="37635">
      <c r="N37635" s="1"/>
      <c r="V37635" s="5"/>
    </row>
    <row r="37636">
      <c r="N37636" s="1"/>
      <c r="V37636" s="5"/>
    </row>
    <row r="37637">
      <c r="N37637" s="1"/>
      <c r="V37637" s="5"/>
    </row>
    <row r="37638">
      <c r="N37638" s="1"/>
      <c r="V37638" s="5"/>
    </row>
    <row r="37639">
      <c r="N37639" s="1"/>
      <c r="V37639" s="5"/>
    </row>
    <row r="37640">
      <c r="N37640" s="1"/>
      <c r="V37640" s="5"/>
    </row>
    <row r="37641">
      <c r="N37641" s="1"/>
      <c r="V37641" s="5"/>
    </row>
    <row r="37642">
      <c r="N37642" s="1"/>
      <c r="V37642" s="5"/>
    </row>
    <row r="37643">
      <c r="N37643" s="1"/>
      <c r="V37643" s="5"/>
    </row>
    <row r="37644">
      <c r="N37644" s="1"/>
      <c r="V37644" s="5"/>
    </row>
    <row r="37645">
      <c r="N37645" s="1"/>
      <c r="V37645" s="5"/>
    </row>
    <row r="37646">
      <c r="N37646" s="1"/>
      <c r="V37646" s="5"/>
    </row>
    <row r="37647">
      <c r="N37647" s="1"/>
      <c r="V37647" s="5"/>
    </row>
    <row r="37648">
      <c r="N37648" s="1"/>
      <c r="V37648" s="5"/>
    </row>
    <row r="37649">
      <c r="N37649" s="1"/>
      <c r="V37649" s="5"/>
    </row>
    <row r="37650">
      <c r="N37650" s="1"/>
      <c r="V37650" s="5"/>
    </row>
    <row r="37651">
      <c r="N37651" s="1"/>
      <c r="V37651" s="5"/>
    </row>
    <row r="37652">
      <c r="N37652" s="1"/>
      <c r="V37652" s="5"/>
    </row>
    <row r="37653">
      <c r="N37653" s="1"/>
      <c r="V37653" s="5"/>
    </row>
    <row r="37654">
      <c r="N37654" s="1"/>
      <c r="V37654" s="5"/>
    </row>
    <row r="37655">
      <c r="N37655" s="1"/>
      <c r="V37655" s="5"/>
    </row>
    <row r="37656">
      <c r="N37656" s="1"/>
      <c r="V37656" s="5"/>
    </row>
    <row r="37657">
      <c r="N37657" s="1"/>
      <c r="V37657" s="5"/>
    </row>
    <row r="37658">
      <c r="N37658" s="1"/>
      <c r="V37658" s="5"/>
    </row>
    <row r="37659">
      <c r="N37659" s="1"/>
      <c r="V37659" s="5"/>
    </row>
    <row r="37660">
      <c r="N37660" s="1"/>
      <c r="V37660" s="5"/>
    </row>
    <row r="37661">
      <c r="N37661" s="1"/>
      <c r="V37661" s="5"/>
    </row>
    <row r="37662">
      <c r="N37662" s="1"/>
      <c r="V37662" s="5"/>
    </row>
    <row r="37663">
      <c r="N37663" s="1"/>
      <c r="V37663" s="5"/>
    </row>
    <row r="37664">
      <c r="N37664" s="1"/>
      <c r="V37664" s="5"/>
    </row>
    <row r="37665">
      <c r="N37665" s="1"/>
      <c r="V37665" s="5"/>
    </row>
    <row r="37666">
      <c r="N37666" s="1"/>
      <c r="V37666" s="5"/>
    </row>
    <row r="37667">
      <c r="N37667" s="1"/>
      <c r="V37667" s="5"/>
    </row>
    <row r="37668">
      <c r="N37668" s="1"/>
      <c r="V37668" s="5"/>
    </row>
    <row r="37669">
      <c r="N37669" s="1"/>
      <c r="V37669" s="5"/>
    </row>
    <row r="37670">
      <c r="N37670" s="1"/>
      <c r="V37670" s="5"/>
    </row>
    <row r="37671">
      <c r="N37671" s="1"/>
      <c r="V37671" s="5"/>
    </row>
    <row r="37672">
      <c r="N37672" s="1"/>
      <c r="V37672" s="5"/>
    </row>
    <row r="37673">
      <c r="N37673" s="1"/>
      <c r="V37673" s="5"/>
    </row>
    <row r="37674">
      <c r="N37674" s="1"/>
      <c r="V37674" s="5"/>
    </row>
    <row r="37675">
      <c r="N37675" s="1"/>
      <c r="V37675" s="5"/>
    </row>
    <row r="37676">
      <c r="N37676" s="1"/>
      <c r="V37676" s="5"/>
    </row>
    <row r="37677">
      <c r="N37677" s="1"/>
      <c r="V37677" s="5"/>
    </row>
    <row r="37678">
      <c r="N37678" s="1"/>
      <c r="V37678" s="5"/>
    </row>
    <row r="37679">
      <c r="N37679" s="1"/>
      <c r="V37679" s="5"/>
    </row>
    <row r="37680">
      <c r="N37680" s="1"/>
      <c r="V37680" s="5"/>
    </row>
    <row r="37681">
      <c r="N37681" s="1"/>
      <c r="V37681" s="5"/>
    </row>
    <row r="37682">
      <c r="N37682" s="1"/>
      <c r="V37682" s="5"/>
    </row>
    <row r="37683">
      <c r="N37683" s="1"/>
      <c r="V37683" s="5"/>
    </row>
    <row r="37684">
      <c r="N37684" s="1"/>
      <c r="V37684" s="5"/>
    </row>
    <row r="37685">
      <c r="N37685" s="1"/>
      <c r="V37685" s="5"/>
    </row>
    <row r="37686">
      <c r="N37686" s="1"/>
      <c r="V37686" s="5"/>
    </row>
    <row r="37687">
      <c r="N37687" s="1"/>
      <c r="V37687" s="5"/>
    </row>
    <row r="37688">
      <c r="N37688" s="1"/>
      <c r="V37688" s="5"/>
    </row>
    <row r="37689">
      <c r="N37689" s="1"/>
      <c r="V37689" s="5"/>
    </row>
    <row r="37690">
      <c r="N37690" s="1"/>
      <c r="V37690" s="5"/>
    </row>
    <row r="37691">
      <c r="N37691" s="1"/>
      <c r="V37691" s="5"/>
    </row>
    <row r="37692">
      <c r="N37692" s="1"/>
      <c r="V37692" s="5"/>
    </row>
    <row r="37693">
      <c r="N37693" s="1"/>
      <c r="V37693" s="5"/>
    </row>
    <row r="37694">
      <c r="N37694" s="1"/>
      <c r="V37694" s="5"/>
    </row>
    <row r="37695">
      <c r="N37695" s="1"/>
      <c r="V37695" s="5"/>
    </row>
    <row r="37696">
      <c r="N37696" s="1"/>
      <c r="V37696" s="5"/>
    </row>
    <row r="37697">
      <c r="N37697" s="1"/>
      <c r="V37697" s="5"/>
    </row>
    <row r="37698">
      <c r="N37698" s="1"/>
      <c r="V37698" s="5"/>
    </row>
    <row r="37699">
      <c r="N37699" s="1"/>
      <c r="V37699" s="5"/>
    </row>
    <row r="37700">
      <c r="N37700" s="1"/>
      <c r="V37700" s="5"/>
    </row>
    <row r="37701">
      <c r="N37701" s="1"/>
      <c r="V37701" s="5"/>
    </row>
    <row r="37702">
      <c r="N37702" s="1"/>
      <c r="V37702" s="5"/>
    </row>
    <row r="37703">
      <c r="N37703" s="1"/>
      <c r="V37703" s="5"/>
    </row>
    <row r="37704">
      <c r="N37704" s="1"/>
      <c r="V37704" s="5"/>
    </row>
    <row r="37705">
      <c r="N37705" s="1"/>
      <c r="V37705" s="5"/>
    </row>
    <row r="37706">
      <c r="N37706" s="1"/>
      <c r="V37706" s="5"/>
    </row>
    <row r="37707">
      <c r="N37707" s="1"/>
      <c r="V37707" s="5"/>
    </row>
    <row r="37708">
      <c r="N37708" s="1"/>
      <c r="V37708" s="5"/>
    </row>
    <row r="37709">
      <c r="N37709" s="1"/>
      <c r="V37709" s="5"/>
    </row>
    <row r="37710">
      <c r="N37710" s="1"/>
      <c r="V37710" s="5"/>
    </row>
    <row r="37711">
      <c r="N37711" s="1"/>
      <c r="V37711" s="5"/>
    </row>
    <row r="37712">
      <c r="N37712" s="1"/>
      <c r="V37712" s="5"/>
    </row>
    <row r="37713">
      <c r="N37713" s="1"/>
      <c r="V37713" s="5"/>
    </row>
    <row r="37714">
      <c r="N37714" s="1"/>
      <c r="V37714" s="5"/>
    </row>
    <row r="37715">
      <c r="N37715" s="1"/>
      <c r="V37715" s="5"/>
    </row>
    <row r="37716">
      <c r="N37716" s="1"/>
      <c r="V37716" s="5"/>
    </row>
    <row r="37717">
      <c r="N37717" s="1"/>
      <c r="V37717" s="5"/>
    </row>
    <row r="37718">
      <c r="N37718" s="1"/>
      <c r="V37718" s="5"/>
    </row>
    <row r="37719">
      <c r="N37719" s="1"/>
      <c r="V37719" s="5"/>
    </row>
    <row r="37720">
      <c r="N37720" s="1"/>
      <c r="V37720" s="5"/>
    </row>
    <row r="37721">
      <c r="N37721" s="1"/>
      <c r="V37721" s="5"/>
    </row>
    <row r="37722">
      <c r="N37722" s="1"/>
      <c r="V37722" s="5"/>
    </row>
    <row r="37723">
      <c r="N37723" s="1"/>
      <c r="V37723" s="5"/>
    </row>
    <row r="37724">
      <c r="N37724" s="1"/>
      <c r="V37724" s="5"/>
    </row>
    <row r="37725">
      <c r="N37725" s="1"/>
      <c r="V37725" s="5"/>
    </row>
    <row r="37726">
      <c r="N37726" s="1"/>
      <c r="V37726" s="5"/>
    </row>
    <row r="37727">
      <c r="N37727" s="1"/>
      <c r="V37727" s="5"/>
    </row>
    <row r="37728">
      <c r="N37728" s="1"/>
      <c r="V37728" s="5"/>
    </row>
    <row r="37729">
      <c r="N37729" s="1"/>
      <c r="V37729" s="5"/>
    </row>
    <row r="37730">
      <c r="N37730" s="1"/>
      <c r="V37730" s="5"/>
    </row>
    <row r="37731">
      <c r="N37731" s="1"/>
      <c r="V37731" s="5"/>
    </row>
    <row r="37732">
      <c r="N37732" s="1"/>
      <c r="V37732" s="5"/>
    </row>
    <row r="37733">
      <c r="N37733" s="1"/>
      <c r="V37733" s="5"/>
    </row>
    <row r="37734">
      <c r="N37734" s="1"/>
      <c r="V37734" s="5"/>
    </row>
    <row r="37735">
      <c r="N37735" s="1"/>
      <c r="V37735" s="5"/>
    </row>
    <row r="37736">
      <c r="N37736" s="1"/>
      <c r="V37736" s="5"/>
    </row>
    <row r="37737">
      <c r="N37737" s="1"/>
      <c r="V37737" s="5"/>
    </row>
    <row r="37738">
      <c r="N37738" s="1"/>
      <c r="V37738" s="5"/>
    </row>
    <row r="37739">
      <c r="N37739" s="1"/>
      <c r="V37739" s="5"/>
    </row>
    <row r="37740">
      <c r="N37740" s="1"/>
      <c r="V37740" s="5"/>
    </row>
    <row r="37741">
      <c r="N37741" s="1"/>
      <c r="V37741" s="5"/>
    </row>
    <row r="37742">
      <c r="N37742" s="1"/>
      <c r="V37742" s="5"/>
    </row>
    <row r="37743">
      <c r="N37743" s="1"/>
      <c r="V37743" s="5"/>
    </row>
    <row r="37744">
      <c r="N37744" s="1"/>
      <c r="V37744" s="5"/>
    </row>
    <row r="37745">
      <c r="N37745" s="1"/>
      <c r="V37745" s="5"/>
    </row>
    <row r="37746">
      <c r="N37746" s="1"/>
      <c r="V37746" s="5"/>
    </row>
    <row r="37747">
      <c r="N37747" s="1"/>
      <c r="V37747" s="5"/>
    </row>
    <row r="37748">
      <c r="N37748" s="1"/>
      <c r="V37748" s="5"/>
    </row>
    <row r="37749">
      <c r="N37749" s="1"/>
      <c r="V37749" s="5"/>
    </row>
    <row r="37750">
      <c r="N37750" s="1"/>
      <c r="V37750" s="5"/>
    </row>
    <row r="37751">
      <c r="N37751" s="1"/>
      <c r="V37751" s="5"/>
    </row>
    <row r="37752">
      <c r="N37752" s="1"/>
      <c r="V37752" s="5"/>
    </row>
    <row r="37753">
      <c r="N37753" s="1"/>
      <c r="V37753" s="5"/>
    </row>
    <row r="37754">
      <c r="N37754" s="1"/>
      <c r="V37754" s="5"/>
    </row>
    <row r="37755">
      <c r="N37755" s="1"/>
      <c r="V37755" s="5"/>
    </row>
    <row r="37756">
      <c r="N37756" s="1"/>
      <c r="V37756" s="5"/>
    </row>
    <row r="37757">
      <c r="N37757" s="1"/>
      <c r="V37757" s="5"/>
    </row>
    <row r="37758">
      <c r="N37758" s="1"/>
      <c r="V37758" s="5"/>
    </row>
    <row r="37759">
      <c r="N37759" s="1"/>
      <c r="V37759" s="5"/>
    </row>
    <row r="37760">
      <c r="N37760" s="1"/>
      <c r="V37760" s="5"/>
    </row>
    <row r="37761">
      <c r="N37761" s="1"/>
      <c r="V37761" s="5"/>
    </row>
    <row r="37762">
      <c r="N37762" s="1"/>
      <c r="V37762" s="5"/>
    </row>
    <row r="37763">
      <c r="N37763" s="1"/>
      <c r="V37763" s="5"/>
    </row>
    <row r="37764">
      <c r="N37764" s="1"/>
      <c r="V37764" s="5"/>
    </row>
    <row r="37765">
      <c r="N37765" s="1"/>
      <c r="V37765" s="5"/>
    </row>
    <row r="37766">
      <c r="N37766" s="1"/>
      <c r="V37766" s="5"/>
    </row>
    <row r="37767">
      <c r="N37767" s="1"/>
      <c r="V37767" s="5"/>
    </row>
    <row r="37768">
      <c r="N37768" s="1"/>
      <c r="V37768" s="5"/>
    </row>
    <row r="37769">
      <c r="N37769" s="1"/>
      <c r="V37769" s="5"/>
    </row>
    <row r="37770">
      <c r="N37770" s="1"/>
      <c r="V37770" s="5"/>
    </row>
    <row r="37771">
      <c r="N37771" s="1"/>
      <c r="V37771" s="5"/>
    </row>
    <row r="37772">
      <c r="N37772" s="1"/>
      <c r="V37772" s="5"/>
    </row>
    <row r="37773">
      <c r="N37773" s="1"/>
      <c r="V37773" s="5"/>
    </row>
    <row r="37774">
      <c r="N37774" s="1"/>
      <c r="V37774" s="5"/>
    </row>
    <row r="37775">
      <c r="N37775" s="1"/>
      <c r="V37775" s="5"/>
    </row>
    <row r="37776">
      <c r="N37776" s="1"/>
      <c r="V37776" s="5"/>
    </row>
    <row r="37777">
      <c r="N37777" s="1"/>
      <c r="V37777" s="5"/>
    </row>
    <row r="37778">
      <c r="N37778" s="1"/>
      <c r="V37778" s="5"/>
    </row>
    <row r="37779">
      <c r="N37779" s="1"/>
      <c r="V37779" s="5"/>
    </row>
    <row r="37780">
      <c r="N37780" s="1"/>
      <c r="V37780" s="5"/>
    </row>
    <row r="37781">
      <c r="N37781" s="1"/>
      <c r="V37781" s="5"/>
    </row>
    <row r="37782">
      <c r="N37782" s="1"/>
      <c r="V37782" s="5"/>
    </row>
    <row r="37783">
      <c r="N37783" s="1"/>
      <c r="V37783" s="5"/>
    </row>
    <row r="37784">
      <c r="N37784" s="1"/>
      <c r="V37784" s="5"/>
    </row>
    <row r="37785">
      <c r="N37785" s="1"/>
      <c r="V37785" s="5"/>
    </row>
    <row r="37786">
      <c r="N37786" s="1"/>
      <c r="V37786" s="5"/>
    </row>
    <row r="37787">
      <c r="N37787" s="1"/>
      <c r="V37787" s="5"/>
    </row>
    <row r="37788">
      <c r="N37788" s="1"/>
      <c r="V37788" s="5"/>
    </row>
    <row r="37789">
      <c r="N37789" s="1"/>
      <c r="V37789" s="5"/>
    </row>
    <row r="37790">
      <c r="N37790" s="1"/>
      <c r="V37790" s="5"/>
    </row>
    <row r="37791">
      <c r="N37791" s="1"/>
      <c r="V37791" s="5"/>
    </row>
    <row r="37792">
      <c r="N37792" s="1"/>
      <c r="V37792" s="5"/>
    </row>
    <row r="37793">
      <c r="N37793" s="1"/>
      <c r="V37793" s="5"/>
    </row>
    <row r="37794">
      <c r="N37794" s="1"/>
      <c r="V37794" s="5"/>
    </row>
    <row r="37795">
      <c r="N37795" s="1"/>
      <c r="V37795" s="5"/>
    </row>
    <row r="37796">
      <c r="N37796" s="1"/>
      <c r="V37796" s="5"/>
    </row>
    <row r="37797">
      <c r="N37797" s="1"/>
      <c r="V37797" s="5"/>
    </row>
    <row r="37798">
      <c r="N37798" s="1"/>
      <c r="V37798" s="5"/>
    </row>
    <row r="37799">
      <c r="N37799" s="1"/>
      <c r="V37799" s="5"/>
    </row>
    <row r="37800">
      <c r="N37800" s="1"/>
      <c r="V37800" s="5"/>
    </row>
    <row r="37801">
      <c r="N37801" s="1"/>
      <c r="V37801" s="5"/>
    </row>
    <row r="37802">
      <c r="N37802" s="1"/>
      <c r="V37802" s="5"/>
    </row>
    <row r="37803">
      <c r="N37803" s="1"/>
      <c r="V37803" s="5"/>
    </row>
    <row r="37804">
      <c r="N37804" s="1"/>
      <c r="V37804" s="5"/>
    </row>
    <row r="37805">
      <c r="N37805" s="1"/>
      <c r="V37805" s="5"/>
    </row>
    <row r="37806">
      <c r="N37806" s="1"/>
      <c r="V37806" s="5"/>
    </row>
    <row r="37807">
      <c r="N37807" s="1"/>
      <c r="V37807" s="5"/>
    </row>
    <row r="37808">
      <c r="N37808" s="1"/>
      <c r="V37808" s="5"/>
    </row>
    <row r="37809">
      <c r="N37809" s="1"/>
      <c r="V37809" s="5"/>
    </row>
    <row r="37810">
      <c r="N37810" s="1"/>
      <c r="V37810" s="5"/>
    </row>
    <row r="37811">
      <c r="N37811" s="1"/>
      <c r="V37811" s="5"/>
    </row>
    <row r="37812">
      <c r="N37812" s="1"/>
      <c r="V37812" s="5"/>
    </row>
    <row r="37813">
      <c r="N37813" s="1"/>
      <c r="V37813" s="5"/>
    </row>
    <row r="37814">
      <c r="N37814" s="1"/>
      <c r="V37814" s="5"/>
    </row>
    <row r="37815">
      <c r="N37815" s="1"/>
      <c r="V37815" s="5"/>
    </row>
    <row r="37816">
      <c r="N37816" s="1"/>
      <c r="V37816" s="5"/>
    </row>
    <row r="37817">
      <c r="N37817" s="1"/>
      <c r="V37817" s="5"/>
    </row>
    <row r="37818">
      <c r="N37818" s="1"/>
      <c r="V37818" s="5"/>
    </row>
    <row r="37819">
      <c r="N37819" s="1"/>
      <c r="V37819" s="5"/>
    </row>
    <row r="37820">
      <c r="N37820" s="1"/>
      <c r="V37820" s="5"/>
    </row>
    <row r="37821">
      <c r="N37821" s="1"/>
      <c r="V37821" s="5"/>
    </row>
    <row r="37822">
      <c r="N37822" s="1"/>
      <c r="V37822" s="5"/>
    </row>
    <row r="37823">
      <c r="N37823" s="1"/>
      <c r="V37823" s="5"/>
    </row>
    <row r="37824">
      <c r="N37824" s="1"/>
      <c r="V37824" s="5"/>
    </row>
    <row r="37825">
      <c r="N37825" s="1"/>
      <c r="V37825" s="5"/>
    </row>
    <row r="37826">
      <c r="N37826" s="1"/>
      <c r="V37826" s="5"/>
    </row>
    <row r="37827">
      <c r="N37827" s="1"/>
      <c r="V37827" s="5"/>
    </row>
    <row r="37828">
      <c r="N37828" s="1"/>
      <c r="V37828" s="5"/>
    </row>
    <row r="37829">
      <c r="N37829" s="1"/>
      <c r="V37829" s="5"/>
    </row>
    <row r="37830">
      <c r="N37830" s="1"/>
      <c r="V37830" s="5"/>
    </row>
    <row r="37831">
      <c r="N37831" s="1"/>
      <c r="V37831" s="5"/>
    </row>
    <row r="37832">
      <c r="N37832" s="1"/>
      <c r="V37832" s="5"/>
    </row>
    <row r="37833">
      <c r="N37833" s="1"/>
      <c r="V37833" s="5"/>
    </row>
    <row r="37834">
      <c r="N37834" s="1"/>
      <c r="V37834" s="5"/>
    </row>
    <row r="37835">
      <c r="N37835" s="1"/>
      <c r="V37835" s="5"/>
    </row>
    <row r="37836">
      <c r="N37836" s="1"/>
      <c r="V37836" s="5"/>
    </row>
    <row r="37837">
      <c r="N37837" s="1"/>
      <c r="V37837" s="5"/>
    </row>
    <row r="37838">
      <c r="N37838" s="1"/>
      <c r="V37838" s="5"/>
    </row>
    <row r="37839">
      <c r="N37839" s="1"/>
      <c r="V37839" s="5"/>
    </row>
    <row r="37840">
      <c r="N37840" s="1"/>
      <c r="V37840" s="5"/>
    </row>
    <row r="37841">
      <c r="N37841" s="1"/>
      <c r="V37841" s="5"/>
    </row>
    <row r="37842">
      <c r="N37842" s="1"/>
      <c r="V37842" s="5"/>
    </row>
    <row r="37843">
      <c r="N37843" s="1"/>
      <c r="V37843" s="5"/>
    </row>
    <row r="37844">
      <c r="N37844" s="1"/>
      <c r="V37844" s="5"/>
    </row>
    <row r="37845">
      <c r="N37845" s="1"/>
      <c r="V37845" s="5"/>
    </row>
    <row r="37846">
      <c r="N37846" s="1"/>
      <c r="V37846" s="5"/>
    </row>
    <row r="37847">
      <c r="N37847" s="1"/>
      <c r="V37847" s="5"/>
    </row>
    <row r="37848">
      <c r="N37848" s="1"/>
      <c r="V37848" s="5"/>
    </row>
    <row r="37849">
      <c r="N37849" s="1"/>
      <c r="V37849" s="5"/>
    </row>
    <row r="37850">
      <c r="N37850" s="1"/>
      <c r="V37850" s="5"/>
    </row>
    <row r="37851">
      <c r="N37851" s="1"/>
      <c r="V37851" s="5"/>
    </row>
    <row r="37852">
      <c r="N37852" s="1"/>
      <c r="V37852" s="5"/>
    </row>
    <row r="37853">
      <c r="N37853" s="1"/>
      <c r="V37853" s="5"/>
    </row>
    <row r="37854">
      <c r="N37854" s="1"/>
      <c r="V37854" s="5"/>
    </row>
    <row r="37855">
      <c r="N37855" s="1"/>
      <c r="V37855" s="5"/>
    </row>
    <row r="37856">
      <c r="N37856" s="1"/>
      <c r="V37856" s="5"/>
    </row>
    <row r="37857">
      <c r="N37857" s="1"/>
      <c r="V37857" s="5"/>
    </row>
    <row r="37858">
      <c r="N37858" s="1"/>
      <c r="V37858" s="5"/>
    </row>
    <row r="37859">
      <c r="N37859" s="1"/>
      <c r="V37859" s="5"/>
    </row>
    <row r="37860">
      <c r="N37860" s="1"/>
      <c r="V37860" s="5"/>
    </row>
    <row r="37861">
      <c r="N37861" s="1"/>
      <c r="V37861" s="5"/>
    </row>
    <row r="37862">
      <c r="N37862" s="1"/>
      <c r="V37862" s="5"/>
    </row>
    <row r="37863">
      <c r="N37863" s="1"/>
      <c r="V37863" s="5"/>
    </row>
    <row r="37864">
      <c r="N37864" s="1"/>
      <c r="V37864" s="5"/>
    </row>
    <row r="37865">
      <c r="N37865" s="1"/>
      <c r="V37865" s="5"/>
    </row>
    <row r="37866">
      <c r="N37866" s="1"/>
      <c r="V37866" s="5"/>
    </row>
    <row r="37867">
      <c r="N37867" s="1"/>
      <c r="V37867" s="5"/>
    </row>
    <row r="37868">
      <c r="N37868" s="1"/>
      <c r="V37868" s="5"/>
    </row>
    <row r="37869">
      <c r="N37869" s="1"/>
      <c r="V37869" s="5"/>
    </row>
    <row r="37870">
      <c r="N37870" s="1"/>
      <c r="V37870" s="5"/>
    </row>
    <row r="37871">
      <c r="N37871" s="1"/>
      <c r="V37871" s="5"/>
    </row>
    <row r="37872">
      <c r="N37872" s="1"/>
      <c r="V37872" s="5"/>
    </row>
    <row r="37873">
      <c r="N37873" s="1"/>
      <c r="V37873" s="5"/>
    </row>
    <row r="37874">
      <c r="N37874" s="1"/>
      <c r="V37874" s="5"/>
    </row>
    <row r="37875">
      <c r="N37875" s="1"/>
      <c r="V37875" s="5"/>
    </row>
    <row r="37876">
      <c r="N37876" s="1"/>
      <c r="V37876" s="5"/>
    </row>
    <row r="37877">
      <c r="N37877" s="1"/>
      <c r="V37877" s="5"/>
    </row>
    <row r="37878">
      <c r="N37878" s="1"/>
      <c r="V37878" s="5"/>
    </row>
    <row r="37879">
      <c r="N37879" s="1"/>
      <c r="V37879" s="5"/>
    </row>
    <row r="37880">
      <c r="N37880" s="1"/>
      <c r="V37880" s="5"/>
    </row>
    <row r="37881">
      <c r="N37881" s="1"/>
      <c r="V37881" s="5"/>
    </row>
    <row r="37882">
      <c r="N37882" s="1"/>
      <c r="V37882" s="5"/>
    </row>
    <row r="37883">
      <c r="N37883" s="1"/>
      <c r="V37883" s="5"/>
    </row>
    <row r="37884">
      <c r="N37884" s="1"/>
      <c r="V37884" s="5"/>
    </row>
    <row r="37885">
      <c r="N37885" s="1"/>
      <c r="V37885" s="5"/>
    </row>
    <row r="37886">
      <c r="N37886" s="1"/>
      <c r="V37886" s="5"/>
    </row>
    <row r="37887">
      <c r="N37887" s="1"/>
      <c r="V37887" s="5"/>
    </row>
    <row r="37888">
      <c r="N37888" s="1"/>
      <c r="V37888" s="5"/>
    </row>
    <row r="37889">
      <c r="N37889" s="1"/>
      <c r="V37889" s="5"/>
    </row>
    <row r="37890">
      <c r="N37890" s="1"/>
      <c r="V37890" s="5"/>
    </row>
    <row r="37891">
      <c r="N37891" s="1"/>
      <c r="V37891" s="5"/>
    </row>
    <row r="37892">
      <c r="N37892" s="1"/>
      <c r="V37892" s="5"/>
    </row>
    <row r="37893">
      <c r="N37893" s="1"/>
      <c r="V37893" s="5"/>
    </row>
    <row r="37894">
      <c r="N37894" s="1"/>
      <c r="V37894" s="5"/>
    </row>
    <row r="37895">
      <c r="N37895" s="1"/>
      <c r="V37895" s="5"/>
    </row>
    <row r="37896">
      <c r="N37896" s="1"/>
      <c r="V37896" s="5"/>
    </row>
    <row r="37897">
      <c r="N37897" s="1"/>
      <c r="V37897" s="5"/>
    </row>
    <row r="37898">
      <c r="N37898" s="1"/>
      <c r="V37898" s="5"/>
    </row>
    <row r="37899">
      <c r="N37899" s="1"/>
      <c r="V37899" s="5"/>
    </row>
    <row r="37900">
      <c r="N37900" s="1"/>
      <c r="V37900" s="5"/>
    </row>
    <row r="37901">
      <c r="N37901" s="1"/>
      <c r="V37901" s="5"/>
    </row>
    <row r="37902">
      <c r="N37902" s="1"/>
      <c r="V37902" s="5"/>
    </row>
    <row r="37903">
      <c r="N37903" s="1"/>
      <c r="V37903" s="5"/>
    </row>
    <row r="37904">
      <c r="N37904" s="1"/>
      <c r="V37904" s="5"/>
    </row>
    <row r="37905">
      <c r="N37905" s="1"/>
      <c r="V37905" s="5"/>
    </row>
    <row r="37906">
      <c r="N37906" s="1"/>
      <c r="V37906" s="5"/>
    </row>
    <row r="37907">
      <c r="N37907" s="1"/>
      <c r="V37907" s="5"/>
    </row>
    <row r="37908">
      <c r="N37908" s="1"/>
      <c r="V37908" s="5"/>
    </row>
    <row r="37909">
      <c r="N37909" s="1"/>
      <c r="V37909" s="5"/>
    </row>
    <row r="37910">
      <c r="N37910" s="1"/>
      <c r="V37910" s="5"/>
    </row>
    <row r="37911">
      <c r="N37911" s="1"/>
      <c r="V37911" s="5"/>
    </row>
    <row r="37912">
      <c r="N37912" s="1"/>
      <c r="V37912" s="5"/>
    </row>
    <row r="37913">
      <c r="N37913" s="1"/>
      <c r="V37913" s="5"/>
    </row>
    <row r="37914">
      <c r="N37914" s="1"/>
      <c r="V37914" s="5"/>
    </row>
    <row r="37915">
      <c r="N37915" s="1"/>
      <c r="V37915" s="5"/>
    </row>
    <row r="37916">
      <c r="N37916" s="1"/>
      <c r="V37916" s="5"/>
    </row>
    <row r="37917">
      <c r="N37917" s="1"/>
      <c r="V37917" s="5"/>
    </row>
    <row r="37918">
      <c r="N37918" s="1"/>
      <c r="V37918" s="5"/>
    </row>
    <row r="37919">
      <c r="N37919" s="1"/>
      <c r="V37919" s="5"/>
    </row>
    <row r="37920">
      <c r="N37920" s="1"/>
      <c r="V37920" s="5"/>
    </row>
    <row r="37921">
      <c r="N37921" s="1"/>
      <c r="V37921" s="5"/>
    </row>
    <row r="37922">
      <c r="N37922" s="1"/>
      <c r="V37922" s="5"/>
    </row>
    <row r="37923">
      <c r="N37923" s="1"/>
      <c r="V37923" s="5"/>
    </row>
    <row r="37924">
      <c r="N37924" s="1"/>
      <c r="V37924" s="5"/>
    </row>
    <row r="37925">
      <c r="N37925" s="1"/>
      <c r="V37925" s="5"/>
    </row>
    <row r="37926">
      <c r="N37926" s="1"/>
      <c r="V37926" s="5"/>
    </row>
    <row r="37927">
      <c r="N37927" s="1"/>
      <c r="V37927" s="5"/>
    </row>
    <row r="37928">
      <c r="N37928" s="1"/>
      <c r="V37928" s="5"/>
    </row>
    <row r="37929">
      <c r="N37929" s="1"/>
      <c r="V37929" s="5"/>
    </row>
    <row r="37930">
      <c r="N37930" s="1"/>
      <c r="V37930" s="5"/>
    </row>
    <row r="37931">
      <c r="N37931" s="1"/>
      <c r="V37931" s="5"/>
    </row>
    <row r="37932">
      <c r="N37932" s="1"/>
      <c r="V37932" s="5"/>
    </row>
    <row r="37933">
      <c r="N37933" s="1"/>
      <c r="V37933" s="5"/>
    </row>
    <row r="37934">
      <c r="N37934" s="1"/>
      <c r="V37934" s="5"/>
    </row>
    <row r="37935">
      <c r="N37935" s="1"/>
      <c r="V37935" s="5"/>
    </row>
    <row r="37936">
      <c r="N37936" s="1"/>
      <c r="V37936" s="5"/>
    </row>
    <row r="37937">
      <c r="N37937" s="1"/>
      <c r="V37937" s="5"/>
    </row>
    <row r="37938">
      <c r="N37938" s="1"/>
      <c r="V37938" s="5"/>
    </row>
    <row r="37939">
      <c r="N37939" s="1"/>
      <c r="V37939" s="5"/>
    </row>
    <row r="37940">
      <c r="N37940" s="1"/>
      <c r="V37940" s="5"/>
    </row>
    <row r="37941">
      <c r="N37941" s="1"/>
      <c r="V37941" s="5"/>
    </row>
    <row r="37942">
      <c r="N37942" s="1"/>
      <c r="V37942" s="5"/>
    </row>
    <row r="37943">
      <c r="N37943" s="1"/>
      <c r="V37943" s="5"/>
    </row>
    <row r="37944">
      <c r="N37944" s="1"/>
      <c r="V37944" s="5"/>
    </row>
    <row r="37945">
      <c r="N37945" s="1"/>
      <c r="V37945" s="5"/>
    </row>
    <row r="37946">
      <c r="N37946" s="1"/>
      <c r="V37946" s="5"/>
    </row>
    <row r="37947">
      <c r="N37947" s="1"/>
      <c r="V37947" s="5"/>
    </row>
    <row r="37948">
      <c r="N37948" s="1"/>
      <c r="V37948" s="5"/>
    </row>
    <row r="37949">
      <c r="N37949" s="1"/>
      <c r="V37949" s="5"/>
    </row>
    <row r="37950">
      <c r="N37950" s="1"/>
      <c r="V37950" s="5"/>
    </row>
    <row r="37951">
      <c r="N37951" s="1"/>
      <c r="V37951" s="5"/>
    </row>
    <row r="37952">
      <c r="N37952" s="1"/>
      <c r="V37952" s="5"/>
    </row>
    <row r="37953">
      <c r="N37953" s="1"/>
      <c r="V37953" s="5"/>
    </row>
    <row r="37954">
      <c r="N37954" s="1"/>
      <c r="V37954" s="5"/>
    </row>
    <row r="37955">
      <c r="N37955" s="1"/>
      <c r="V37955" s="5"/>
    </row>
    <row r="37956">
      <c r="N37956" s="1"/>
      <c r="V37956" s="5"/>
    </row>
    <row r="37957">
      <c r="N37957" s="1"/>
      <c r="V37957" s="5"/>
    </row>
    <row r="37958">
      <c r="N37958" s="1"/>
      <c r="V37958" s="5"/>
    </row>
    <row r="37959">
      <c r="N37959" s="1"/>
      <c r="V37959" s="5"/>
    </row>
    <row r="37960">
      <c r="N37960" s="1"/>
      <c r="V37960" s="5"/>
    </row>
    <row r="37961">
      <c r="N37961" s="1"/>
      <c r="V37961" s="5"/>
    </row>
    <row r="37962">
      <c r="N37962" s="1"/>
      <c r="V37962" s="5"/>
    </row>
    <row r="37963">
      <c r="N37963" s="1"/>
      <c r="V37963" s="5"/>
    </row>
    <row r="37964">
      <c r="N37964" s="1"/>
      <c r="V37964" s="5"/>
    </row>
    <row r="37965">
      <c r="N37965" s="1"/>
      <c r="V37965" s="5"/>
    </row>
    <row r="37966">
      <c r="N37966" s="1"/>
      <c r="V37966" s="5"/>
    </row>
    <row r="37967">
      <c r="N37967" s="1"/>
      <c r="V37967" s="5"/>
    </row>
    <row r="37968">
      <c r="N37968" s="1"/>
      <c r="V37968" s="5"/>
    </row>
    <row r="37969">
      <c r="N37969" s="1"/>
      <c r="V37969" s="5"/>
    </row>
    <row r="37970">
      <c r="N37970" s="1"/>
      <c r="V37970" s="5"/>
    </row>
    <row r="37971">
      <c r="N37971" s="1"/>
      <c r="V37971" s="5"/>
    </row>
    <row r="37972">
      <c r="N37972" s="1"/>
      <c r="V37972" s="5"/>
    </row>
    <row r="37973">
      <c r="N37973" s="1"/>
      <c r="V37973" s="5"/>
    </row>
    <row r="37974">
      <c r="N37974" s="1"/>
      <c r="V37974" s="5"/>
    </row>
    <row r="37975">
      <c r="N37975" s="1"/>
      <c r="V37975" s="5"/>
    </row>
    <row r="37976">
      <c r="N37976" s="1"/>
      <c r="V37976" s="5"/>
    </row>
    <row r="37977">
      <c r="N37977" s="1"/>
      <c r="V37977" s="5"/>
    </row>
    <row r="37978">
      <c r="N37978" s="1"/>
      <c r="V37978" s="5"/>
    </row>
    <row r="37979">
      <c r="N37979" s="1"/>
      <c r="V37979" s="5"/>
    </row>
    <row r="37980">
      <c r="N37980" s="1"/>
      <c r="V37980" s="5"/>
    </row>
    <row r="37981">
      <c r="N37981" s="1"/>
      <c r="V37981" s="5"/>
    </row>
    <row r="37982">
      <c r="N37982" s="1"/>
      <c r="V37982" s="5"/>
    </row>
    <row r="37983">
      <c r="N37983" s="1"/>
      <c r="V37983" s="5"/>
    </row>
    <row r="37984">
      <c r="N37984" s="1"/>
      <c r="V37984" s="5"/>
    </row>
    <row r="37985">
      <c r="N37985" s="1"/>
      <c r="V37985" s="5"/>
    </row>
    <row r="37986">
      <c r="N37986" s="1"/>
      <c r="V37986" s="5"/>
    </row>
    <row r="37987">
      <c r="N37987" s="1"/>
      <c r="V37987" s="5"/>
    </row>
    <row r="37988">
      <c r="N37988" s="1"/>
      <c r="V37988" s="5"/>
    </row>
    <row r="37989">
      <c r="N37989" s="1"/>
      <c r="V37989" s="5"/>
    </row>
    <row r="37990">
      <c r="N37990" s="1"/>
      <c r="V37990" s="5"/>
    </row>
    <row r="37991">
      <c r="N37991" s="1"/>
      <c r="V37991" s="5"/>
    </row>
    <row r="37992">
      <c r="N37992" s="1"/>
      <c r="V37992" s="5"/>
    </row>
    <row r="37993">
      <c r="N37993" s="1"/>
      <c r="V37993" s="5"/>
    </row>
    <row r="37994">
      <c r="N37994" s="1"/>
      <c r="V37994" s="5"/>
    </row>
    <row r="37995">
      <c r="N37995" s="1"/>
      <c r="V37995" s="5"/>
    </row>
    <row r="37996">
      <c r="N37996" s="1"/>
      <c r="V37996" s="5"/>
    </row>
    <row r="37997">
      <c r="N37997" s="1"/>
      <c r="V37997" s="5"/>
    </row>
    <row r="37998">
      <c r="N37998" s="1"/>
      <c r="V37998" s="5"/>
    </row>
    <row r="37999">
      <c r="N37999" s="1"/>
      <c r="V37999" s="5"/>
    </row>
    <row r="38000">
      <c r="N38000" s="1"/>
      <c r="V38000" s="5"/>
    </row>
    <row r="38001">
      <c r="N38001" s="1"/>
      <c r="V38001" s="5"/>
    </row>
    <row r="38002">
      <c r="N38002" s="1"/>
      <c r="V38002" s="5"/>
    </row>
    <row r="38003">
      <c r="N38003" s="1"/>
      <c r="V38003" s="5"/>
    </row>
    <row r="38004">
      <c r="N38004" s="1"/>
      <c r="V38004" s="5"/>
    </row>
    <row r="38005">
      <c r="N38005" s="1"/>
      <c r="V38005" s="5"/>
    </row>
    <row r="38006">
      <c r="N38006" s="1"/>
      <c r="V38006" s="5"/>
    </row>
    <row r="38007">
      <c r="N38007" s="1"/>
      <c r="V38007" s="5"/>
    </row>
    <row r="38008">
      <c r="N38008" s="1"/>
      <c r="V38008" s="5"/>
    </row>
    <row r="38009">
      <c r="N38009" s="1"/>
      <c r="V38009" s="5"/>
    </row>
    <row r="38010">
      <c r="N38010" s="1"/>
      <c r="V38010" s="5"/>
    </row>
    <row r="38011">
      <c r="N38011" s="1"/>
      <c r="V38011" s="5"/>
    </row>
    <row r="38012">
      <c r="N38012" s="1"/>
      <c r="V38012" s="5"/>
    </row>
    <row r="38013">
      <c r="N38013" s="1"/>
      <c r="V38013" s="5"/>
    </row>
    <row r="38014">
      <c r="N38014" s="1"/>
      <c r="V38014" s="5"/>
    </row>
    <row r="38015">
      <c r="N38015" s="1"/>
      <c r="V38015" s="5"/>
    </row>
    <row r="38016">
      <c r="N38016" s="1"/>
      <c r="V38016" s="5"/>
    </row>
    <row r="38017">
      <c r="N38017" s="1"/>
      <c r="V38017" s="5"/>
    </row>
    <row r="38018">
      <c r="N38018" s="1"/>
      <c r="V38018" s="5"/>
    </row>
    <row r="38019">
      <c r="N38019" s="1"/>
      <c r="V38019" s="5"/>
    </row>
    <row r="38020">
      <c r="N38020" s="1"/>
      <c r="V38020" s="5"/>
    </row>
    <row r="38021">
      <c r="N38021" s="1"/>
      <c r="V38021" s="5"/>
    </row>
    <row r="38022">
      <c r="N38022" s="1"/>
      <c r="V38022" s="5"/>
    </row>
    <row r="38023">
      <c r="N38023" s="1"/>
      <c r="V38023" s="5"/>
    </row>
    <row r="38024">
      <c r="N38024" s="1"/>
      <c r="V38024" s="5"/>
    </row>
    <row r="38025">
      <c r="N38025" s="1"/>
      <c r="V38025" s="5"/>
    </row>
    <row r="38026">
      <c r="N38026" s="1"/>
      <c r="V38026" s="5"/>
    </row>
    <row r="38027">
      <c r="N38027" s="1"/>
      <c r="V38027" s="5"/>
    </row>
    <row r="38028">
      <c r="N38028" s="1"/>
      <c r="V38028" s="5"/>
    </row>
    <row r="38029">
      <c r="N38029" s="1"/>
      <c r="V38029" s="5"/>
    </row>
    <row r="38030">
      <c r="N38030" s="1"/>
      <c r="V38030" s="5"/>
    </row>
    <row r="38031">
      <c r="N38031" s="1"/>
      <c r="V38031" s="5"/>
    </row>
    <row r="38032">
      <c r="N38032" s="1"/>
      <c r="V38032" s="5"/>
    </row>
    <row r="38033">
      <c r="N38033" s="1"/>
      <c r="V38033" s="5"/>
    </row>
    <row r="38034">
      <c r="N38034" s="1"/>
      <c r="V38034" s="5"/>
    </row>
    <row r="38035">
      <c r="N38035" s="1"/>
      <c r="V38035" s="5"/>
    </row>
    <row r="38036">
      <c r="N38036" s="1"/>
      <c r="V38036" s="5"/>
    </row>
    <row r="38037">
      <c r="N38037" s="1"/>
      <c r="V38037" s="5"/>
    </row>
    <row r="38038">
      <c r="N38038" s="1"/>
      <c r="V38038" s="5"/>
    </row>
    <row r="38039">
      <c r="N38039" s="1"/>
      <c r="V38039" s="5"/>
    </row>
    <row r="38040">
      <c r="N38040" s="1"/>
      <c r="V38040" s="5"/>
    </row>
    <row r="38041">
      <c r="N38041" s="1"/>
      <c r="V38041" s="5"/>
    </row>
    <row r="38042">
      <c r="N38042" s="1"/>
      <c r="V38042" s="5"/>
    </row>
    <row r="38043">
      <c r="N38043" s="1"/>
      <c r="V38043" s="5"/>
    </row>
    <row r="38044">
      <c r="N38044" s="1"/>
      <c r="V38044" s="5"/>
    </row>
    <row r="38045">
      <c r="N38045" s="1"/>
      <c r="V38045" s="5"/>
    </row>
    <row r="38046">
      <c r="N38046" s="1"/>
      <c r="V38046" s="5"/>
    </row>
    <row r="38047">
      <c r="N38047" s="1"/>
      <c r="V38047" s="5"/>
    </row>
    <row r="38048">
      <c r="N38048" s="1"/>
      <c r="V38048" s="5"/>
    </row>
    <row r="38049">
      <c r="N38049" s="1"/>
      <c r="V38049" s="5"/>
    </row>
    <row r="38050">
      <c r="N38050" s="1"/>
      <c r="V38050" s="5"/>
    </row>
    <row r="38051">
      <c r="N38051" s="1"/>
      <c r="V38051" s="5"/>
    </row>
    <row r="38052">
      <c r="N38052" s="1"/>
      <c r="V38052" s="5"/>
    </row>
    <row r="38053">
      <c r="N38053" s="1"/>
      <c r="V38053" s="5"/>
    </row>
    <row r="38054">
      <c r="N38054" s="1"/>
      <c r="V38054" s="5"/>
    </row>
    <row r="38055">
      <c r="N38055" s="1"/>
      <c r="V38055" s="5"/>
    </row>
    <row r="38056">
      <c r="N38056" s="1"/>
      <c r="V38056" s="5"/>
    </row>
    <row r="38057">
      <c r="N38057" s="1"/>
      <c r="V38057" s="5"/>
    </row>
    <row r="38058">
      <c r="N38058" s="1"/>
      <c r="V38058" s="5"/>
    </row>
    <row r="38059">
      <c r="N38059" s="1"/>
      <c r="V38059" s="5"/>
    </row>
    <row r="38060">
      <c r="N38060" s="1"/>
      <c r="V38060" s="5"/>
    </row>
    <row r="38061">
      <c r="N38061" s="1"/>
      <c r="V38061" s="5"/>
    </row>
    <row r="38062">
      <c r="N38062" s="1"/>
      <c r="V38062" s="5"/>
    </row>
    <row r="38063">
      <c r="N38063" s="1"/>
      <c r="V38063" s="5"/>
    </row>
    <row r="38064">
      <c r="N38064" s="1"/>
      <c r="V38064" s="5"/>
    </row>
    <row r="38065">
      <c r="N38065" s="1"/>
      <c r="V38065" s="5"/>
    </row>
    <row r="38066">
      <c r="N38066" s="1"/>
      <c r="V38066" s="5"/>
    </row>
    <row r="38067">
      <c r="N38067" s="1"/>
      <c r="V38067" s="5"/>
    </row>
    <row r="38068">
      <c r="N38068" s="1"/>
      <c r="V38068" s="5"/>
    </row>
    <row r="38069">
      <c r="N38069" s="1"/>
      <c r="V38069" s="5"/>
    </row>
    <row r="38070">
      <c r="N38070" s="1"/>
      <c r="V38070" s="5"/>
    </row>
    <row r="38071">
      <c r="N38071" s="1"/>
      <c r="V38071" s="5"/>
    </row>
    <row r="38072">
      <c r="N38072" s="1"/>
      <c r="V38072" s="5"/>
    </row>
    <row r="38073">
      <c r="N38073" s="1"/>
      <c r="V38073" s="5"/>
    </row>
    <row r="38074">
      <c r="N38074" s="1"/>
      <c r="V38074" s="5"/>
    </row>
    <row r="38075">
      <c r="N38075" s="1"/>
      <c r="V38075" s="5"/>
    </row>
    <row r="38076">
      <c r="N38076" s="1"/>
      <c r="V38076" s="5"/>
    </row>
    <row r="38077">
      <c r="N38077" s="1"/>
      <c r="V38077" s="5"/>
    </row>
    <row r="38078">
      <c r="N38078" s="1"/>
      <c r="V38078" s="5"/>
    </row>
    <row r="38079">
      <c r="N38079" s="1"/>
      <c r="V38079" s="5"/>
    </row>
    <row r="38080">
      <c r="N38080" s="1"/>
      <c r="V38080" s="5"/>
    </row>
    <row r="38081">
      <c r="N38081" s="1"/>
      <c r="V38081" s="5"/>
    </row>
    <row r="38082">
      <c r="N38082" s="1"/>
      <c r="V38082" s="5"/>
    </row>
    <row r="38083">
      <c r="N38083" s="1"/>
      <c r="V38083" s="5"/>
    </row>
    <row r="38084">
      <c r="N38084" s="1"/>
      <c r="V38084" s="5"/>
    </row>
    <row r="38085">
      <c r="N38085" s="1"/>
      <c r="V38085" s="5"/>
    </row>
    <row r="38086">
      <c r="N38086" s="1"/>
      <c r="V38086" s="5"/>
    </row>
    <row r="38087">
      <c r="N38087" s="1"/>
      <c r="V38087" s="5"/>
    </row>
    <row r="38088">
      <c r="N38088" s="1"/>
      <c r="V38088" s="5"/>
    </row>
    <row r="38089">
      <c r="N38089" s="1"/>
      <c r="V38089" s="5"/>
    </row>
    <row r="38090">
      <c r="N38090" s="1"/>
      <c r="V38090" s="5"/>
    </row>
    <row r="38091">
      <c r="N38091" s="1"/>
      <c r="V38091" s="5"/>
    </row>
    <row r="38092">
      <c r="N38092" s="1"/>
      <c r="V38092" s="5"/>
    </row>
    <row r="38093">
      <c r="N38093" s="1"/>
      <c r="V38093" s="5"/>
    </row>
    <row r="38094">
      <c r="N38094" s="1"/>
      <c r="V38094" s="5"/>
    </row>
    <row r="38095">
      <c r="N38095" s="1"/>
      <c r="V38095" s="5"/>
    </row>
    <row r="38096">
      <c r="N38096" s="1"/>
      <c r="V38096" s="5"/>
    </row>
    <row r="38097">
      <c r="N38097" s="1"/>
      <c r="V38097" s="5"/>
    </row>
    <row r="38098">
      <c r="N38098" s="1"/>
      <c r="V38098" s="5"/>
    </row>
    <row r="38099">
      <c r="N38099" s="1"/>
      <c r="V38099" s="5"/>
    </row>
    <row r="38100">
      <c r="N38100" s="1"/>
      <c r="V38100" s="5"/>
    </row>
    <row r="38101">
      <c r="N38101" s="1"/>
      <c r="V38101" s="5"/>
    </row>
    <row r="38102">
      <c r="N38102" s="1"/>
      <c r="V38102" s="5"/>
    </row>
    <row r="38103">
      <c r="N38103" s="1"/>
      <c r="V38103" s="5"/>
    </row>
    <row r="38104">
      <c r="N38104" s="1"/>
      <c r="V38104" s="5"/>
    </row>
    <row r="38105">
      <c r="N38105" s="1"/>
      <c r="V38105" s="5"/>
    </row>
    <row r="38106">
      <c r="N38106" s="1"/>
      <c r="V38106" s="5"/>
    </row>
    <row r="38107">
      <c r="N38107" s="1"/>
      <c r="V38107" s="5"/>
    </row>
    <row r="38108">
      <c r="N38108" s="1"/>
      <c r="V38108" s="5"/>
    </row>
    <row r="38109">
      <c r="N38109" s="1"/>
      <c r="V38109" s="5"/>
    </row>
    <row r="38110">
      <c r="N38110" s="1"/>
      <c r="V38110" s="5"/>
    </row>
    <row r="38111">
      <c r="N38111" s="1"/>
      <c r="V38111" s="5"/>
    </row>
    <row r="38112">
      <c r="N38112" s="1"/>
      <c r="V38112" s="5"/>
    </row>
    <row r="38113">
      <c r="N38113" s="1"/>
      <c r="V38113" s="5"/>
    </row>
    <row r="38114">
      <c r="N38114" s="1"/>
      <c r="V38114" s="5"/>
    </row>
    <row r="38115">
      <c r="N38115" s="1"/>
      <c r="V38115" s="5"/>
    </row>
    <row r="38116">
      <c r="N38116" s="1"/>
      <c r="V38116" s="5"/>
    </row>
    <row r="38117">
      <c r="N38117" s="1"/>
      <c r="V38117" s="5"/>
    </row>
    <row r="38118">
      <c r="N38118" s="1"/>
      <c r="V38118" s="5"/>
    </row>
    <row r="38119">
      <c r="N38119" s="1"/>
      <c r="V38119" s="5"/>
    </row>
    <row r="38120">
      <c r="N38120" s="1"/>
      <c r="V38120" s="5"/>
    </row>
    <row r="38121">
      <c r="N38121" s="1"/>
      <c r="V38121" s="5"/>
    </row>
    <row r="38122">
      <c r="N38122" s="1"/>
      <c r="V38122" s="5"/>
    </row>
    <row r="38123">
      <c r="N38123" s="1"/>
      <c r="V38123" s="5"/>
    </row>
    <row r="38124">
      <c r="N38124" s="1"/>
      <c r="V38124" s="5"/>
    </row>
    <row r="38125">
      <c r="N38125" s="1"/>
      <c r="V38125" s="5"/>
    </row>
    <row r="38126">
      <c r="N38126" s="1"/>
      <c r="V38126" s="5"/>
    </row>
    <row r="38127">
      <c r="N38127" s="1"/>
      <c r="V38127" s="5"/>
    </row>
    <row r="38128">
      <c r="N38128" s="1"/>
      <c r="V38128" s="5"/>
    </row>
    <row r="38129">
      <c r="N38129" s="1"/>
      <c r="V38129" s="5"/>
    </row>
    <row r="38130">
      <c r="N38130" s="1"/>
      <c r="V38130" s="5"/>
    </row>
    <row r="38131">
      <c r="N38131" s="1"/>
      <c r="V38131" s="5"/>
    </row>
    <row r="38132">
      <c r="N38132" s="1"/>
      <c r="V38132" s="5"/>
    </row>
    <row r="38133">
      <c r="N38133" s="1"/>
      <c r="V38133" s="5"/>
    </row>
    <row r="38134">
      <c r="N38134" s="1"/>
      <c r="V38134" s="5"/>
    </row>
    <row r="38135">
      <c r="N38135" s="1"/>
      <c r="V38135" s="5"/>
    </row>
    <row r="38136">
      <c r="N38136" s="1"/>
      <c r="V38136" s="5"/>
    </row>
    <row r="38137">
      <c r="N38137" s="1"/>
      <c r="V38137" s="5"/>
    </row>
    <row r="38138">
      <c r="N38138" s="1"/>
      <c r="V38138" s="5"/>
    </row>
    <row r="38139">
      <c r="N38139" s="1"/>
      <c r="V38139" s="5"/>
    </row>
    <row r="38140">
      <c r="N38140" s="1"/>
      <c r="V38140" s="5"/>
    </row>
    <row r="38141">
      <c r="N38141" s="1"/>
      <c r="V38141" s="5"/>
    </row>
    <row r="38142">
      <c r="N38142" s="1"/>
      <c r="V38142" s="5"/>
    </row>
    <row r="38143">
      <c r="N38143" s="1"/>
      <c r="V38143" s="5"/>
    </row>
    <row r="38144">
      <c r="N38144" s="1"/>
      <c r="V38144" s="5"/>
    </row>
    <row r="38145">
      <c r="N38145" s="1"/>
      <c r="V38145" s="5"/>
    </row>
    <row r="38146">
      <c r="N38146" s="1"/>
      <c r="V38146" s="5"/>
    </row>
    <row r="38147">
      <c r="N38147" s="1"/>
      <c r="V38147" s="5"/>
    </row>
    <row r="38148">
      <c r="N38148" s="1"/>
      <c r="V38148" s="5"/>
    </row>
    <row r="38149">
      <c r="N38149" s="1"/>
      <c r="V38149" s="5"/>
    </row>
    <row r="38150">
      <c r="N38150" s="1"/>
      <c r="V38150" s="5"/>
    </row>
    <row r="38151">
      <c r="N38151" s="1"/>
      <c r="V38151" s="5"/>
    </row>
    <row r="38152">
      <c r="N38152" s="1"/>
      <c r="V38152" s="5"/>
    </row>
    <row r="38153">
      <c r="N38153" s="1"/>
      <c r="V38153" s="5"/>
    </row>
    <row r="38154">
      <c r="N38154" s="1"/>
      <c r="V38154" s="5"/>
    </row>
    <row r="38155">
      <c r="N38155" s="1"/>
      <c r="V38155" s="5"/>
    </row>
    <row r="38156">
      <c r="N38156" s="1"/>
      <c r="V38156" s="5"/>
    </row>
    <row r="38157">
      <c r="N38157" s="1"/>
      <c r="V38157" s="5"/>
    </row>
    <row r="38158">
      <c r="N38158" s="1"/>
      <c r="V38158" s="5"/>
    </row>
    <row r="38159">
      <c r="N38159" s="1"/>
      <c r="V38159" s="5"/>
    </row>
    <row r="38160">
      <c r="N38160" s="1"/>
      <c r="V38160" s="5"/>
    </row>
    <row r="38161">
      <c r="N38161" s="1"/>
      <c r="V38161" s="5"/>
    </row>
    <row r="38162">
      <c r="N38162" s="1"/>
      <c r="V38162" s="5"/>
    </row>
    <row r="38163">
      <c r="N38163" s="1"/>
      <c r="V38163" s="5"/>
    </row>
    <row r="38164">
      <c r="N38164" s="1"/>
      <c r="V38164" s="5"/>
    </row>
    <row r="38165">
      <c r="N38165" s="1"/>
      <c r="V38165" s="5"/>
    </row>
    <row r="38166">
      <c r="N38166" s="1"/>
      <c r="V38166" s="5"/>
    </row>
    <row r="38167">
      <c r="N38167" s="1"/>
      <c r="V38167" s="5"/>
    </row>
    <row r="38168">
      <c r="N38168" s="1"/>
      <c r="V38168" s="5"/>
    </row>
    <row r="38169">
      <c r="N38169" s="1"/>
      <c r="V38169" s="5"/>
    </row>
    <row r="38170">
      <c r="N38170" s="1"/>
      <c r="V38170" s="5"/>
    </row>
    <row r="38171">
      <c r="N38171" s="1"/>
      <c r="V38171" s="5"/>
    </row>
    <row r="38172">
      <c r="N38172" s="1"/>
      <c r="V38172" s="5"/>
    </row>
    <row r="38173">
      <c r="N38173" s="1"/>
      <c r="V38173" s="5"/>
    </row>
    <row r="38174">
      <c r="N38174" s="1"/>
      <c r="V38174" s="5"/>
    </row>
    <row r="38175">
      <c r="N38175" s="1"/>
      <c r="V38175" s="5"/>
    </row>
    <row r="38176">
      <c r="N38176" s="1"/>
      <c r="V38176" s="5"/>
    </row>
    <row r="38177">
      <c r="N38177" s="1"/>
      <c r="V38177" s="5"/>
    </row>
    <row r="38178">
      <c r="N38178" s="1"/>
      <c r="V38178" s="5"/>
    </row>
    <row r="38179">
      <c r="N38179" s="1"/>
      <c r="V38179" s="5"/>
    </row>
    <row r="38180">
      <c r="N38180" s="1"/>
      <c r="V38180" s="5"/>
    </row>
    <row r="38181">
      <c r="N38181" s="1"/>
      <c r="V38181" s="5"/>
    </row>
    <row r="38182">
      <c r="N38182" s="1"/>
      <c r="V38182" s="5"/>
    </row>
    <row r="38183">
      <c r="N38183" s="1"/>
      <c r="V38183" s="5"/>
    </row>
    <row r="38184">
      <c r="N38184" s="1"/>
      <c r="V38184" s="5"/>
    </row>
    <row r="38185">
      <c r="N38185" s="1"/>
      <c r="V38185" s="5"/>
    </row>
    <row r="38186">
      <c r="N38186" s="1"/>
      <c r="V38186" s="5"/>
    </row>
    <row r="38187">
      <c r="N38187" s="1"/>
      <c r="V38187" s="5"/>
    </row>
    <row r="38188">
      <c r="N38188" s="1"/>
      <c r="V38188" s="5"/>
    </row>
    <row r="38189">
      <c r="N38189" s="1"/>
      <c r="V38189" s="5"/>
    </row>
    <row r="38190">
      <c r="N38190" s="1"/>
      <c r="V38190" s="5"/>
    </row>
    <row r="38191">
      <c r="N38191" s="1"/>
      <c r="V38191" s="5"/>
    </row>
    <row r="38192">
      <c r="N38192" s="1"/>
      <c r="V38192" s="5"/>
    </row>
    <row r="38193">
      <c r="N38193" s="1"/>
      <c r="V38193" s="5"/>
    </row>
    <row r="38194">
      <c r="N38194" s="1"/>
      <c r="V38194" s="5"/>
    </row>
    <row r="38195">
      <c r="N38195" s="1"/>
      <c r="V38195" s="5"/>
    </row>
    <row r="38196">
      <c r="N38196" s="1"/>
      <c r="V38196" s="5"/>
    </row>
    <row r="38197">
      <c r="N38197" s="1"/>
      <c r="V38197" s="5"/>
    </row>
    <row r="38198">
      <c r="N38198" s="1"/>
      <c r="V38198" s="5"/>
    </row>
    <row r="38199">
      <c r="N38199" s="1"/>
      <c r="V38199" s="5"/>
    </row>
    <row r="38200">
      <c r="N38200" s="1"/>
      <c r="V38200" s="5"/>
    </row>
    <row r="38201">
      <c r="N38201" s="1"/>
      <c r="V38201" s="5"/>
    </row>
    <row r="38202">
      <c r="N38202" s="1"/>
      <c r="V38202" s="5"/>
    </row>
    <row r="38203">
      <c r="N38203" s="1"/>
      <c r="V38203" s="5"/>
    </row>
    <row r="38204">
      <c r="N38204" s="1"/>
      <c r="V38204" s="5"/>
    </row>
    <row r="38205">
      <c r="N38205" s="1"/>
      <c r="V38205" s="5"/>
    </row>
    <row r="38206">
      <c r="N38206" s="1"/>
      <c r="V38206" s="5"/>
    </row>
    <row r="38207">
      <c r="N38207" s="1"/>
      <c r="V38207" s="5"/>
    </row>
    <row r="38208">
      <c r="N38208" s="1"/>
      <c r="V38208" s="5"/>
    </row>
    <row r="38209">
      <c r="N38209" s="1"/>
      <c r="V38209" s="5"/>
    </row>
    <row r="38210">
      <c r="N38210" s="1"/>
      <c r="V38210" s="5"/>
    </row>
    <row r="38211">
      <c r="N38211" s="1"/>
      <c r="V38211" s="5"/>
    </row>
    <row r="38212">
      <c r="N38212" s="1"/>
      <c r="V38212" s="5"/>
    </row>
    <row r="38213">
      <c r="N38213" s="1"/>
      <c r="V38213" s="5"/>
    </row>
    <row r="38214">
      <c r="N38214" s="1"/>
      <c r="V38214" s="5"/>
    </row>
    <row r="38215">
      <c r="N38215" s="1"/>
      <c r="V38215" s="5"/>
    </row>
    <row r="38216">
      <c r="N38216" s="1"/>
      <c r="V38216" s="5"/>
    </row>
    <row r="38217">
      <c r="N38217" s="1"/>
      <c r="V38217" s="5"/>
    </row>
    <row r="38218">
      <c r="N38218" s="1"/>
      <c r="V38218" s="5"/>
    </row>
    <row r="38219">
      <c r="N38219" s="1"/>
      <c r="V38219" s="5"/>
    </row>
    <row r="38220">
      <c r="N38220" s="1"/>
      <c r="V38220" s="5"/>
    </row>
    <row r="38221">
      <c r="N38221" s="1"/>
      <c r="V38221" s="5"/>
    </row>
    <row r="38222">
      <c r="N38222" s="1"/>
      <c r="V38222" s="5"/>
    </row>
    <row r="38223">
      <c r="N38223" s="1"/>
      <c r="V38223" s="5"/>
    </row>
    <row r="38224">
      <c r="N38224" s="1"/>
      <c r="V38224" s="5"/>
    </row>
    <row r="38225">
      <c r="N38225" s="1"/>
      <c r="V38225" s="5"/>
    </row>
    <row r="38226">
      <c r="N38226" s="1"/>
      <c r="V38226" s="5"/>
    </row>
    <row r="38227">
      <c r="N38227" s="1"/>
      <c r="V38227" s="5"/>
    </row>
    <row r="38228">
      <c r="N38228" s="1"/>
      <c r="V38228" s="5"/>
    </row>
    <row r="38229">
      <c r="N38229" s="1"/>
      <c r="V38229" s="5"/>
    </row>
    <row r="38230">
      <c r="N38230" s="1"/>
      <c r="V38230" s="5"/>
    </row>
    <row r="38231">
      <c r="N38231" s="1"/>
      <c r="V38231" s="5"/>
    </row>
    <row r="38232">
      <c r="N38232" s="1"/>
      <c r="V38232" s="5"/>
    </row>
    <row r="38233">
      <c r="N38233" s="1"/>
      <c r="V38233" s="5"/>
    </row>
    <row r="38234">
      <c r="N38234" s="1"/>
      <c r="V38234" s="5"/>
    </row>
    <row r="38235">
      <c r="N38235" s="1"/>
      <c r="V38235" s="5"/>
    </row>
    <row r="38236">
      <c r="N38236" s="1"/>
      <c r="V38236" s="5"/>
    </row>
    <row r="38237">
      <c r="N38237" s="1"/>
      <c r="V38237" s="5"/>
    </row>
    <row r="38238">
      <c r="N38238" s="1"/>
      <c r="V38238" s="5"/>
    </row>
    <row r="38239">
      <c r="N38239" s="1"/>
      <c r="V38239" s="5"/>
    </row>
    <row r="38240">
      <c r="N38240" s="1"/>
      <c r="V38240" s="5"/>
    </row>
    <row r="38241">
      <c r="N38241" s="1"/>
      <c r="V38241" s="5"/>
    </row>
    <row r="38242">
      <c r="N38242" s="1"/>
      <c r="V38242" s="5"/>
    </row>
    <row r="38243">
      <c r="N38243" s="1"/>
      <c r="V38243" s="5"/>
    </row>
    <row r="38244">
      <c r="N38244" s="1"/>
      <c r="V38244" s="5"/>
    </row>
    <row r="38245">
      <c r="N38245" s="1"/>
      <c r="V38245" s="5"/>
    </row>
    <row r="38246">
      <c r="N38246" s="1"/>
      <c r="V38246" s="5"/>
    </row>
    <row r="38247">
      <c r="N38247" s="1"/>
      <c r="V38247" s="5"/>
    </row>
    <row r="38248">
      <c r="N38248" s="1"/>
      <c r="V38248" s="5"/>
    </row>
    <row r="38249">
      <c r="N38249" s="1"/>
      <c r="V38249" s="5"/>
    </row>
    <row r="38250">
      <c r="N38250" s="1"/>
      <c r="V38250" s="5"/>
    </row>
    <row r="38251">
      <c r="N38251" s="1"/>
      <c r="V38251" s="5"/>
    </row>
    <row r="38252">
      <c r="N38252" s="1"/>
      <c r="V38252" s="5"/>
    </row>
    <row r="38253">
      <c r="N38253" s="1"/>
      <c r="V38253" s="5"/>
    </row>
    <row r="38254">
      <c r="N38254" s="1"/>
      <c r="V38254" s="5"/>
    </row>
    <row r="38255">
      <c r="N38255" s="1"/>
      <c r="V38255" s="5"/>
    </row>
    <row r="38256">
      <c r="N38256" s="1"/>
      <c r="V38256" s="5"/>
    </row>
    <row r="38257">
      <c r="N38257" s="1"/>
      <c r="V38257" s="5"/>
    </row>
    <row r="38258">
      <c r="N38258" s="1"/>
      <c r="V38258" s="5"/>
    </row>
    <row r="38259">
      <c r="N38259" s="1"/>
      <c r="V38259" s="5"/>
    </row>
    <row r="38260">
      <c r="N38260" s="1"/>
      <c r="V38260" s="5"/>
    </row>
    <row r="38261">
      <c r="N38261" s="1"/>
      <c r="V38261" s="5"/>
    </row>
    <row r="38262">
      <c r="N38262" s="1"/>
      <c r="V38262" s="5"/>
    </row>
    <row r="38263">
      <c r="N38263" s="1"/>
      <c r="V38263" s="5"/>
    </row>
    <row r="38264">
      <c r="N38264" s="1"/>
      <c r="V38264" s="5"/>
    </row>
    <row r="38265">
      <c r="N38265" s="1"/>
      <c r="V38265" s="5"/>
    </row>
    <row r="38266">
      <c r="N38266" s="1"/>
      <c r="V38266" s="5"/>
    </row>
    <row r="38267">
      <c r="N38267" s="1"/>
      <c r="V38267" s="5"/>
    </row>
    <row r="38268">
      <c r="N38268" s="1"/>
      <c r="V38268" s="5"/>
    </row>
    <row r="38269">
      <c r="N38269" s="1"/>
      <c r="V38269" s="5"/>
    </row>
    <row r="38270">
      <c r="N38270" s="1"/>
      <c r="V38270" s="5"/>
    </row>
    <row r="38271">
      <c r="N38271" s="1"/>
      <c r="V38271" s="5"/>
    </row>
    <row r="38272">
      <c r="N38272" s="1"/>
      <c r="V38272" s="5"/>
    </row>
    <row r="38273">
      <c r="N38273" s="1"/>
      <c r="V38273" s="5"/>
    </row>
    <row r="38274">
      <c r="N38274" s="1"/>
      <c r="V38274" s="5"/>
    </row>
    <row r="38275">
      <c r="N38275" s="1"/>
      <c r="V38275" s="5"/>
    </row>
    <row r="38276">
      <c r="N38276" s="1"/>
      <c r="V38276" s="5"/>
    </row>
    <row r="38277">
      <c r="N38277" s="1"/>
      <c r="V38277" s="5"/>
    </row>
    <row r="38278">
      <c r="N38278" s="1"/>
      <c r="V38278" s="5"/>
    </row>
    <row r="38279">
      <c r="N38279" s="1"/>
      <c r="V38279" s="5"/>
    </row>
    <row r="38280">
      <c r="N38280" s="1"/>
      <c r="V38280" s="5"/>
    </row>
    <row r="38281">
      <c r="N38281" s="1"/>
      <c r="V38281" s="5"/>
    </row>
    <row r="38282">
      <c r="N38282" s="1"/>
      <c r="V38282" s="5"/>
    </row>
    <row r="38283">
      <c r="N38283" s="1"/>
      <c r="V38283" s="5"/>
    </row>
    <row r="38284">
      <c r="N38284" s="1"/>
      <c r="V38284" s="5"/>
    </row>
    <row r="38285">
      <c r="N38285" s="1"/>
      <c r="V38285" s="5"/>
    </row>
    <row r="38286">
      <c r="N38286" s="1"/>
      <c r="V38286" s="5"/>
    </row>
    <row r="38287">
      <c r="N38287" s="1"/>
      <c r="V38287" s="5"/>
    </row>
    <row r="38288">
      <c r="N38288" s="1"/>
      <c r="V38288" s="5"/>
    </row>
    <row r="38289">
      <c r="N38289" s="1"/>
      <c r="V38289" s="5"/>
    </row>
    <row r="38290">
      <c r="N38290" s="1"/>
      <c r="V38290" s="5"/>
    </row>
    <row r="38291">
      <c r="N38291" s="1"/>
      <c r="V38291" s="5"/>
    </row>
    <row r="38292">
      <c r="N38292" s="1"/>
      <c r="V38292" s="5"/>
    </row>
    <row r="38293">
      <c r="N38293" s="1"/>
      <c r="V38293" s="5"/>
    </row>
    <row r="38294">
      <c r="N38294" s="1"/>
      <c r="V38294" s="5"/>
    </row>
    <row r="38295">
      <c r="N38295" s="1"/>
      <c r="V38295" s="5"/>
    </row>
    <row r="38296">
      <c r="N38296" s="1"/>
      <c r="V38296" s="5"/>
    </row>
    <row r="38297">
      <c r="N38297" s="1"/>
      <c r="V38297" s="5"/>
    </row>
    <row r="38298">
      <c r="N38298" s="1"/>
      <c r="V38298" s="5"/>
    </row>
    <row r="38299">
      <c r="N38299" s="1"/>
      <c r="V38299" s="5"/>
    </row>
    <row r="38300">
      <c r="N38300" s="1"/>
      <c r="V38300" s="5"/>
    </row>
    <row r="38301">
      <c r="N38301" s="1"/>
      <c r="V38301" s="5"/>
    </row>
    <row r="38302">
      <c r="N38302" s="1"/>
      <c r="V38302" s="5"/>
    </row>
    <row r="38303">
      <c r="N38303" s="1"/>
      <c r="V38303" s="5"/>
    </row>
    <row r="38304">
      <c r="N38304" s="1"/>
      <c r="V38304" s="5"/>
    </row>
    <row r="38305">
      <c r="N38305" s="1"/>
      <c r="V38305" s="5"/>
    </row>
    <row r="38306">
      <c r="N38306" s="1"/>
      <c r="V38306" s="5"/>
    </row>
    <row r="38307">
      <c r="N38307" s="1"/>
      <c r="V38307" s="5"/>
    </row>
    <row r="38308">
      <c r="N38308" s="1"/>
      <c r="V38308" s="5"/>
    </row>
    <row r="38309">
      <c r="N38309" s="1"/>
      <c r="V38309" s="5"/>
    </row>
    <row r="38310">
      <c r="N38310" s="1"/>
      <c r="V38310" s="5"/>
    </row>
    <row r="38311">
      <c r="N38311" s="1"/>
      <c r="V38311" s="5"/>
    </row>
    <row r="38312">
      <c r="N38312" s="1"/>
      <c r="V38312" s="5"/>
    </row>
    <row r="38313">
      <c r="N38313" s="1"/>
      <c r="V38313" s="5"/>
    </row>
    <row r="38314">
      <c r="N38314" s="1"/>
      <c r="V38314" s="5"/>
    </row>
    <row r="38315">
      <c r="N38315" s="1"/>
      <c r="V38315" s="5"/>
    </row>
    <row r="38316">
      <c r="N38316" s="1"/>
      <c r="V38316" s="5"/>
    </row>
    <row r="38317">
      <c r="N38317" s="1"/>
      <c r="V38317" s="5"/>
    </row>
    <row r="38318">
      <c r="N38318" s="1"/>
      <c r="V38318" s="5"/>
    </row>
    <row r="38319">
      <c r="N38319" s="1"/>
      <c r="V38319" s="5"/>
    </row>
    <row r="38320">
      <c r="N38320" s="1"/>
      <c r="V38320" s="5"/>
    </row>
    <row r="38321">
      <c r="N38321" s="1"/>
      <c r="V38321" s="5"/>
    </row>
    <row r="38322">
      <c r="N38322" s="1"/>
      <c r="V38322" s="5"/>
    </row>
    <row r="38323">
      <c r="N38323" s="1"/>
      <c r="V38323" s="5"/>
    </row>
    <row r="38324">
      <c r="N38324" s="1"/>
      <c r="V38324" s="5"/>
    </row>
    <row r="38325">
      <c r="N38325" s="1"/>
      <c r="V38325" s="5"/>
    </row>
    <row r="38326">
      <c r="N38326" s="1"/>
      <c r="V38326" s="5"/>
    </row>
    <row r="38327">
      <c r="N38327" s="1"/>
      <c r="V38327" s="5"/>
    </row>
    <row r="38328">
      <c r="N38328" s="1"/>
      <c r="V38328" s="5"/>
    </row>
    <row r="38329">
      <c r="N38329" s="1"/>
      <c r="V38329" s="5"/>
    </row>
    <row r="38330">
      <c r="N38330" s="1"/>
      <c r="V38330" s="5"/>
    </row>
    <row r="38331">
      <c r="N38331" s="1"/>
      <c r="V38331" s="5"/>
    </row>
    <row r="38332">
      <c r="N38332" s="1"/>
      <c r="V38332" s="5"/>
    </row>
    <row r="38333">
      <c r="N38333" s="1"/>
      <c r="V38333" s="5"/>
    </row>
    <row r="38334">
      <c r="N38334" s="1"/>
      <c r="V38334" s="5"/>
    </row>
    <row r="38335">
      <c r="N38335" s="1"/>
      <c r="V38335" s="5"/>
    </row>
    <row r="38336">
      <c r="N38336" s="1"/>
      <c r="V38336" s="5"/>
    </row>
    <row r="38337">
      <c r="N38337" s="1"/>
      <c r="V38337" s="5"/>
    </row>
    <row r="38338">
      <c r="N38338" s="1"/>
      <c r="V38338" s="5"/>
    </row>
    <row r="38339">
      <c r="N38339" s="1"/>
      <c r="V38339" s="5"/>
    </row>
    <row r="38340">
      <c r="N38340" s="1"/>
      <c r="V38340" s="5"/>
    </row>
    <row r="38341">
      <c r="N38341" s="1"/>
      <c r="V38341" s="5"/>
    </row>
    <row r="38342">
      <c r="N38342" s="1"/>
      <c r="V38342" s="5"/>
    </row>
    <row r="38343">
      <c r="N38343" s="1"/>
      <c r="V38343" s="5"/>
    </row>
    <row r="38344">
      <c r="N38344" s="1"/>
      <c r="V38344" s="5"/>
    </row>
    <row r="38345">
      <c r="N38345" s="1"/>
      <c r="V38345" s="5"/>
    </row>
    <row r="38346">
      <c r="N38346" s="1"/>
      <c r="V38346" s="5"/>
    </row>
    <row r="38347">
      <c r="N38347" s="1"/>
      <c r="V38347" s="5"/>
    </row>
    <row r="38348">
      <c r="N38348" s="1"/>
      <c r="V38348" s="5"/>
    </row>
    <row r="38349">
      <c r="N38349" s="1"/>
      <c r="V38349" s="5"/>
    </row>
    <row r="38350">
      <c r="N38350" s="1"/>
      <c r="V38350" s="5"/>
    </row>
    <row r="38351">
      <c r="N38351" s="1"/>
      <c r="V38351" s="5"/>
    </row>
    <row r="38352">
      <c r="N38352" s="1"/>
      <c r="V38352" s="5"/>
    </row>
    <row r="38353">
      <c r="N38353" s="1"/>
      <c r="V38353" s="5"/>
    </row>
    <row r="38354">
      <c r="N38354" s="1"/>
      <c r="V38354" s="5"/>
    </row>
    <row r="38355">
      <c r="N38355" s="1"/>
      <c r="V38355" s="5"/>
    </row>
    <row r="38356">
      <c r="N38356" s="1"/>
      <c r="V38356" s="5"/>
    </row>
    <row r="38357">
      <c r="N38357" s="1"/>
      <c r="V38357" s="5"/>
    </row>
    <row r="38358">
      <c r="N38358" s="1"/>
      <c r="V38358" s="5"/>
    </row>
    <row r="38359">
      <c r="N38359" s="1"/>
      <c r="V38359" s="5"/>
    </row>
    <row r="38360">
      <c r="N38360" s="1"/>
      <c r="V38360" s="5"/>
    </row>
    <row r="38361">
      <c r="N38361" s="1"/>
      <c r="V38361" s="5"/>
    </row>
    <row r="38362">
      <c r="N38362" s="1"/>
      <c r="V38362" s="5"/>
    </row>
    <row r="38363">
      <c r="N38363" s="1"/>
      <c r="V38363" s="5"/>
    </row>
    <row r="38364">
      <c r="N38364" s="1"/>
      <c r="V38364" s="5"/>
    </row>
    <row r="38365">
      <c r="N38365" s="1"/>
      <c r="V38365" s="5"/>
    </row>
    <row r="38366">
      <c r="N38366" s="1"/>
      <c r="V38366" s="5"/>
    </row>
    <row r="38367">
      <c r="N38367" s="1"/>
      <c r="V38367" s="5"/>
    </row>
    <row r="38368">
      <c r="N38368" s="1"/>
      <c r="V38368" s="5"/>
    </row>
    <row r="38369">
      <c r="N38369" s="1"/>
      <c r="V38369" s="5"/>
    </row>
    <row r="38370">
      <c r="N38370" s="1"/>
      <c r="V38370" s="5"/>
    </row>
    <row r="38371">
      <c r="N38371" s="1"/>
      <c r="V38371" s="5"/>
    </row>
    <row r="38372">
      <c r="N38372" s="1"/>
      <c r="V38372" s="5"/>
    </row>
    <row r="38373">
      <c r="N38373" s="1"/>
      <c r="V38373" s="5"/>
    </row>
    <row r="38374">
      <c r="N38374" s="1"/>
      <c r="V38374" s="5"/>
    </row>
    <row r="38375">
      <c r="N38375" s="1"/>
      <c r="V38375" s="5"/>
    </row>
    <row r="38376">
      <c r="N38376" s="1"/>
      <c r="V38376" s="5"/>
    </row>
    <row r="38377">
      <c r="N38377" s="1"/>
      <c r="V38377" s="5"/>
    </row>
    <row r="38378">
      <c r="N38378" s="1"/>
      <c r="V38378" s="5"/>
    </row>
    <row r="38379">
      <c r="N38379" s="1"/>
      <c r="V38379" s="5"/>
    </row>
    <row r="38380">
      <c r="N38380" s="1"/>
      <c r="V38380" s="5"/>
    </row>
    <row r="38381">
      <c r="N38381" s="1"/>
      <c r="V38381" s="5"/>
    </row>
    <row r="38382">
      <c r="N38382" s="1"/>
      <c r="V38382" s="5"/>
    </row>
    <row r="38383">
      <c r="N38383" s="1"/>
      <c r="V38383" s="5"/>
    </row>
    <row r="38384">
      <c r="N38384" s="1"/>
      <c r="V38384" s="5"/>
    </row>
    <row r="38385">
      <c r="N38385" s="1"/>
      <c r="V38385" s="5"/>
    </row>
    <row r="38386">
      <c r="N38386" s="1"/>
      <c r="V38386" s="5"/>
    </row>
    <row r="38387">
      <c r="N38387" s="1"/>
      <c r="V38387" s="5"/>
    </row>
    <row r="38388">
      <c r="N38388" s="1"/>
      <c r="V38388" s="5"/>
    </row>
    <row r="38389">
      <c r="N38389" s="1"/>
      <c r="V38389" s="5"/>
    </row>
    <row r="38390">
      <c r="N38390" s="1"/>
      <c r="V38390" s="5"/>
    </row>
    <row r="38391">
      <c r="N38391" s="1"/>
      <c r="V38391" s="5"/>
    </row>
    <row r="38392">
      <c r="N38392" s="1"/>
      <c r="V38392" s="5"/>
    </row>
    <row r="38393">
      <c r="N38393" s="1"/>
      <c r="V38393" s="5"/>
    </row>
    <row r="38394">
      <c r="N38394" s="1"/>
      <c r="V38394" s="5"/>
    </row>
    <row r="38395">
      <c r="N38395" s="1"/>
      <c r="V38395" s="5"/>
    </row>
    <row r="38396">
      <c r="N38396" s="1"/>
      <c r="V38396" s="5"/>
    </row>
    <row r="38397">
      <c r="N38397" s="1"/>
      <c r="V38397" s="5"/>
    </row>
    <row r="38398">
      <c r="N38398" s="1"/>
      <c r="V38398" s="5"/>
    </row>
    <row r="38399">
      <c r="N38399" s="1"/>
      <c r="V38399" s="5"/>
    </row>
    <row r="38400">
      <c r="N38400" s="1"/>
      <c r="V38400" s="5"/>
    </row>
    <row r="38401">
      <c r="N38401" s="1"/>
      <c r="V38401" s="5"/>
    </row>
    <row r="38402">
      <c r="N38402" s="1"/>
      <c r="V38402" s="5"/>
    </row>
    <row r="38403">
      <c r="N38403" s="1"/>
      <c r="V38403" s="5"/>
    </row>
    <row r="38404">
      <c r="N38404" s="1"/>
      <c r="V38404" s="5"/>
    </row>
    <row r="38405">
      <c r="N38405" s="1"/>
      <c r="V38405" s="5"/>
    </row>
    <row r="38406">
      <c r="N38406" s="1"/>
      <c r="V38406" s="5"/>
    </row>
    <row r="38407">
      <c r="N38407" s="1"/>
      <c r="V38407" s="5"/>
    </row>
    <row r="38408">
      <c r="N38408" s="1"/>
      <c r="V38408" s="5"/>
    </row>
    <row r="38409">
      <c r="N38409" s="1"/>
      <c r="V38409" s="5"/>
    </row>
    <row r="38410">
      <c r="N38410" s="1"/>
      <c r="V38410" s="5"/>
    </row>
    <row r="38411">
      <c r="N38411" s="1"/>
      <c r="V38411" s="5"/>
    </row>
    <row r="38412">
      <c r="N38412" s="1"/>
      <c r="V38412" s="5"/>
    </row>
    <row r="38413">
      <c r="N38413" s="1"/>
      <c r="V38413" s="5"/>
    </row>
    <row r="38414">
      <c r="N38414" s="1"/>
      <c r="V38414" s="5"/>
    </row>
    <row r="38415">
      <c r="N38415" s="1"/>
      <c r="V38415" s="5"/>
    </row>
    <row r="38416">
      <c r="N38416" s="1"/>
      <c r="V38416" s="5"/>
    </row>
    <row r="38417">
      <c r="N38417" s="1"/>
      <c r="V38417" s="5"/>
    </row>
    <row r="38418">
      <c r="N38418" s="1"/>
      <c r="V38418" s="5"/>
    </row>
    <row r="38419">
      <c r="N38419" s="1"/>
      <c r="V38419" s="5"/>
    </row>
    <row r="38420">
      <c r="N38420" s="1"/>
      <c r="V38420" s="5"/>
    </row>
    <row r="38421">
      <c r="N38421" s="1"/>
      <c r="V38421" s="5"/>
    </row>
    <row r="38422">
      <c r="N38422" s="1"/>
      <c r="V38422" s="5"/>
    </row>
    <row r="38423">
      <c r="N38423" s="1"/>
      <c r="V38423" s="5"/>
    </row>
    <row r="38424">
      <c r="N38424" s="1"/>
      <c r="V38424" s="5"/>
    </row>
    <row r="38425">
      <c r="N38425" s="1"/>
      <c r="V38425" s="5"/>
    </row>
    <row r="38426">
      <c r="N38426" s="1"/>
      <c r="V38426" s="5"/>
    </row>
    <row r="38427">
      <c r="N38427" s="1"/>
      <c r="V38427" s="5"/>
    </row>
    <row r="38428">
      <c r="N38428" s="1"/>
      <c r="V38428" s="5"/>
    </row>
    <row r="38429">
      <c r="N38429" s="1"/>
      <c r="V38429" s="5"/>
    </row>
    <row r="38430">
      <c r="N38430" s="1"/>
      <c r="V38430" s="5"/>
    </row>
    <row r="38431">
      <c r="N38431" s="1"/>
      <c r="V38431" s="5"/>
    </row>
    <row r="38432">
      <c r="N38432" s="1"/>
      <c r="V38432" s="5"/>
    </row>
    <row r="38433">
      <c r="N38433" s="1"/>
      <c r="V38433" s="5"/>
    </row>
    <row r="38434">
      <c r="N38434" s="1"/>
      <c r="V38434" s="5"/>
    </row>
    <row r="38435">
      <c r="N38435" s="1"/>
      <c r="V38435" s="5"/>
    </row>
    <row r="38436">
      <c r="N38436" s="1"/>
      <c r="V38436" s="5"/>
    </row>
    <row r="38437">
      <c r="N38437" s="1"/>
      <c r="V38437" s="5"/>
    </row>
    <row r="38438">
      <c r="N38438" s="1"/>
      <c r="V38438" s="5"/>
    </row>
    <row r="38439">
      <c r="N38439" s="1"/>
      <c r="V38439" s="5"/>
    </row>
    <row r="38440">
      <c r="N38440" s="1"/>
      <c r="V38440" s="5"/>
    </row>
    <row r="38441">
      <c r="N38441" s="1"/>
      <c r="V38441" s="5"/>
    </row>
    <row r="38442">
      <c r="N38442" s="1"/>
      <c r="V38442" s="5"/>
    </row>
    <row r="38443">
      <c r="N38443" s="1"/>
      <c r="V38443" s="5"/>
    </row>
    <row r="38444">
      <c r="N38444" s="1"/>
      <c r="V38444" s="5"/>
    </row>
    <row r="38445">
      <c r="N38445" s="1"/>
      <c r="V38445" s="5"/>
    </row>
    <row r="38446">
      <c r="N38446" s="1"/>
      <c r="V38446" s="5"/>
    </row>
    <row r="38447">
      <c r="N38447" s="1"/>
      <c r="V38447" s="5"/>
    </row>
    <row r="38448">
      <c r="N38448" s="1"/>
      <c r="V38448" s="5"/>
    </row>
    <row r="38449">
      <c r="N38449" s="1"/>
      <c r="V38449" s="5"/>
    </row>
    <row r="38450">
      <c r="N38450" s="1"/>
      <c r="V38450" s="5"/>
    </row>
    <row r="38451">
      <c r="N38451" s="1"/>
      <c r="V38451" s="5"/>
    </row>
    <row r="38452">
      <c r="N38452" s="1"/>
      <c r="V38452" s="5"/>
    </row>
    <row r="38453">
      <c r="N38453" s="1"/>
      <c r="V38453" s="5"/>
    </row>
    <row r="38454">
      <c r="N38454" s="1"/>
      <c r="V38454" s="5"/>
    </row>
    <row r="38455">
      <c r="N38455" s="1"/>
      <c r="V38455" s="5"/>
    </row>
    <row r="38456">
      <c r="N38456" s="1"/>
      <c r="V38456" s="5"/>
    </row>
    <row r="38457">
      <c r="N38457" s="1"/>
      <c r="V38457" s="5"/>
    </row>
    <row r="38458">
      <c r="N38458" s="1"/>
      <c r="V38458" s="5"/>
    </row>
    <row r="38459">
      <c r="N38459" s="1"/>
      <c r="V38459" s="5"/>
    </row>
    <row r="38460">
      <c r="N38460" s="1"/>
      <c r="V38460" s="5"/>
    </row>
    <row r="38461">
      <c r="N38461" s="1"/>
      <c r="V38461" s="5"/>
    </row>
    <row r="38462">
      <c r="N38462" s="1"/>
      <c r="V38462" s="5"/>
    </row>
    <row r="38463">
      <c r="N38463" s="1"/>
      <c r="V38463" s="5"/>
    </row>
    <row r="38464">
      <c r="N38464" s="1"/>
      <c r="V38464" s="5"/>
    </row>
    <row r="38465">
      <c r="N38465" s="1"/>
      <c r="V38465" s="5"/>
    </row>
    <row r="38466">
      <c r="N38466" s="1"/>
      <c r="V38466" s="5"/>
    </row>
    <row r="38467">
      <c r="N38467" s="1"/>
      <c r="V38467" s="5"/>
    </row>
    <row r="38468">
      <c r="N38468" s="1"/>
      <c r="V38468" s="5"/>
    </row>
    <row r="38469">
      <c r="N38469" s="1"/>
      <c r="V38469" s="5"/>
    </row>
    <row r="38470">
      <c r="N38470" s="1"/>
      <c r="V38470" s="5"/>
    </row>
    <row r="38471">
      <c r="N38471" s="1"/>
      <c r="V38471" s="5"/>
    </row>
    <row r="38472">
      <c r="N38472" s="1"/>
      <c r="V38472" s="5"/>
    </row>
    <row r="38473">
      <c r="N38473" s="1"/>
      <c r="V38473" s="5"/>
    </row>
    <row r="38474">
      <c r="N38474" s="1"/>
      <c r="V38474" s="5"/>
    </row>
    <row r="38475">
      <c r="N38475" s="1"/>
      <c r="V38475" s="5"/>
    </row>
    <row r="38476">
      <c r="N38476" s="1"/>
      <c r="V38476" s="5"/>
    </row>
    <row r="38477">
      <c r="N38477" s="1"/>
      <c r="V38477" s="5"/>
    </row>
    <row r="38478">
      <c r="N38478" s="1"/>
      <c r="V38478" s="5"/>
    </row>
    <row r="38479">
      <c r="N38479" s="1"/>
      <c r="V38479" s="5"/>
    </row>
    <row r="38480">
      <c r="N38480" s="1"/>
      <c r="V38480" s="5"/>
    </row>
    <row r="38481">
      <c r="N38481" s="1"/>
      <c r="V38481" s="5"/>
    </row>
    <row r="38482">
      <c r="N38482" s="1"/>
      <c r="V38482" s="5"/>
    </row>
    <row r="38483">
      <c r="N38483" s="1"/>
      <c r="V38483" s="5"/>
    </row>
    <row r="38484">
      <c r="N38484" s="1"/>
      <c r="V38484" s="5"/>
    </row>
    <row r="38485">
      <c r="N38485" s="1"/>
      <c r="V38485" s="5"/>
    </row>
    <row r="38486">
      <c r="N38486" s="1"/>
      <c r="V38486" s="5"/>
    </row>
    <row r="38487">
      <c r="N38487" s="1"/>
      <c r="V38487" s="5"/>
    </row>
    <row r="38488">
      <c r="N38488" s="1"/>
      <c r="V38488" s="5"/>
    </row>
    <row r="38489">
      <c r="N38489" s="1"/>
      <c r="V38489" s="5"/>
    </row>
    <row r="38490">
      <c r="N38490" s="1"/>
      <c r="V38490" s="5"/>
    </row>
    <row r="38491">
      <c r="N38491" s="1"/>
      <c r="V38491" s="5"/>
    </row>
    <row r="38492">
      <c r="N38492" s="1"/>
      <c r="V38492" s="5"/>
    </row>
    <row r="38493">
      <c r="N38493" s="1"/>
      <c r="V38493" s="5"/>
    </row>
    <row r="38494">
      <c r="N38494" s="1"/>
      <c r="V38494" s="5"/>
    </row>
    <row r="38495">
      <c r="N38495" s="1"/>
      <c r="V38495" s="5"/>
    </row>
    <row r="38496">
      <c r="N38496" s="1"/>
      <c r="V38496" s="5"/>
    </row>
    <row r="38497">
      <c r="N38497" s="1"/>
      <c r="V38497" s="5"/>
    </row>
    <row r="38498">
      <c r="N38498" s="1"/>
      <c r="V38498" s="5"/>
    </row>
    <row r="38499">
      <c r="N38499" s="1"/>
      <c r="V38499" s="5"/>
    </row>
    <row r="38500">
      <c r="N38500" s="1"/>
      <c r="V38500" s="5"/>
    </row>
    <row r="38501">
      <c r="N38501" s="1"/>
      <c r="V38501" s="5"/>
    </row>
    <row r="38502">
      <c r="N38502" s="1"/>
      <c r="V38502" s="5"/>
    </row>
    <row r="38503">
      <c r="N38503" s="1"/>
      <c r="V38503" s="5"/>
    </row>
    <row r="38504">
      <c r="N38504" s="1"/>
      <c r="V38504" s="5"/>
    </row>
    <row r="38505">
      <c r="N38505" s="1"/>
      <c r="V38505" s="5"/>
    </row>
    <row r="38506">
      <c r="N38506" s="1"/>
      <c r="V38506" s="5"/>
    </row>
    <row r="38507">
      <c r="N38507" s="1"/>
      <c r="V38507" s="5"/>
    </row>
    <row r="38508">
      <c r="N38508" s="1"/>
      <c r="V38508" s="5"/>
    </row>
    <row r="38509">
      <c r="N38509" s="1"/>
      <c r="V38509" s="5"/>
    </row>
    <row r="38510">
      <c r="N38510" s="1"/>
      <c r="V38510" s="5"/>
    </row>
    <row r="38511">
      <c r="N38511" s="1"/>
      <c r="V38511" s="5"/>
    </row>
    <row r="38512">
      <c r="N38512" s="1"/>
      <c r="V38512" s="5"/>
    </row>
    <row r="38513">
      <c r="N38513" s="1"/>
      <c r="V38513" s="5"/>
    </row>
    <row r="38514">
      <c r="N38514" s="1"/>
      <c r="V38514" s="5"/>
    </row>
    <row r="38515">
      <c r="N38515" s="1"/>
      <c r="V38515" s="5"/>
    </row>
    <row r="38516">
      <c r="N38516" s="1"/>
      <c r="V38516" s="5"/>
    </row>
    <row r="38517">
      <c r="N38517" s="1"/>
      <c r="V38517" s="5"/>
    </row>
    <row r="38518">
      <c r="N38518" s="1"/>
      <c r="V38518" s="5"/>
    </row>
    <row r="38519">
      <c r="N38519" s="1"/>
      <c r="V38519" s="5"/>
    </row>
    <row r="38520">
      <c r="N38520" s="1"/>
      <c r="V38520" s="5"/>
    </row>
    <row r="38521">
      <c r="N38521" s="1"/>
      <c r="V38521" s="5"/>
    </row>
    <row r="38522">
      <c r="N38522" s="1"/>
      <c r="V38522" s="5"/>
    </row>
    <row r="38523">
      <c r="N38523" s="1"/>
      <c r="V38523" s="5"/>
    </row>
    <row r="38524">
      <c r="N38524" s="1"/>
      <c r="V38524" s="5"/>
    </row>
    <row r="38525">
      <c r="N38525" s="1"/>
      <c r="V38525" s="5"/>
    </row>
    <row r="38526">
      <c r="N38526" s="1"/>
      <c r="V38526" s="5"/>
    </row>
    <row r="38527">
      <c r="N38527" s="1"/>
      <c r="V38527" s="5"/>
    </row>
    <row r="38528">
      <c r="N38528" s="1"/>
      <c r="V38528" s="5"/>
    </row>
    <row r="38529">
      <c r="N38529" s="1"/>
      <c r="V38529" s="5"/>
    </row>
    <row r="38530">
      <c r="N38530" s="1"/>
      <c r="V38530" s="5"/>
    </row>
    <row r="38531">
      <c r="N38531" s="1"/>
      <c r="V38531" s="5"/>
    </row>
    <row r="38532">
      <c r="N38532" s="1"/>
      <c r="V38532" s="5"/>
    </row>
    <row r="38533">
      <c r="N38533" s="1"/>
      <c r="V38533" s="5"/>
    </row>
    <row r="38534">
      <c r="N38534" s="1"/>
      <c r="V38534" s="5"/>
    </row>
    <row r="38535">
      <c r="N38535" s="1"/>
      <c r="V38535" s="5"/>
    </row>
    <row r="38536">
      <c r="N38536" s="1"/>
      <c r="V38536" s="5"/>
    </row>
    <row r="38537">
      <c r="N38537" s="1"/>
      <c r="V38537" s="5"/>
    </row>
    <row r="38538">
      <c r="N38538" s="1"/>
      <c r="V38538" s="5"/>
    </row>
    <row r="38539">
      <c r="N38539" s="1"/>
      <c r="V38539" s="5"/>
    </row>
    <row r="38540">
      <c r="N38540" s="1"/>
      <c r="V38540" s="5"/>
    </row>
    <row r="38541">
      <c r="N38541" s="1"/>
      <c r="V38541" s="5"/>
    </row>
    <row r="38542">
      <c r="N38542" s="1"/>
      <c r="V38542" s="5"/>
    </row>
    <row r="38543">
      <c r="N38543" s="1"/>
      <c r="V38543" s="5"/>
    </row>
    <row r="38544">
      <c r="N38544" s="1"/>
      <c r="V38544" s="5"/>
    </row>
    <row r="38545">
      <c r="N38545" s="1"/>
      <c r="V38545" s="5"/>
    </row>
    <row r="38546">
      <c r="N38546" s="1"/>
      <c r="V38546" s="5"/>
    </row>
    <row r="38547">
      <c r="N38547" s="1"/>
      <c r="V38547" s="5"/>
    </row>
    <row r="38548">
      <c r="N38548" s="1"/>
      <c r="V38548" s="5"/>
    </row>
    <row r="38549">
      <c r="N38549" s="1"/>
      <c r="V38549" s="5"/>
    </row>
    <row r="38550">
      <c r="N38550" s="1"/>
      <c r="V38550" s="5"/>
    </row>
    <row r="38551">
      <c r="N38551" s="1"/>
      <c r="V38551" s="5"/>
    </row>
    <row r="38552">
      <c r="N38552" s="1"/>
      <c r="V38552" s="5"/>
    </row>
    <row r="38553">
      <c r="N38553" s="1"/>
      <c r="V38553" s="5"/>
    </row>
    <row r="38554">
      <c r="N38554" s="1"/>
      <c r="V38554" s="5"/>
    </row>
    <row r="38555">
      <c r="N38555" s="1"/>
      <c r="V38555" s="5"/>
    </row>
    <row r="38556">
      <c r="N38556" s="1"/>
      <c r="V38556" s="5"/>
    </row>
    <row r="38557">
      <c r="N38557" s="1"/>
      <c r="V38557" s="5"/>
    </row>
    <row r="38558">
      <c r="N38558" s="1"/>
      <c r="V38558" s="5"/>
    </row>
    <row r="38559">
      <c r="N38559" s="1"/>
      <c r="V38559" s="5"/>
    </row>
    <row r="38560">
      <c r="N38560" s="1"/>
      <c r="V38560" s="5"/>
    </row>
    <row r="38561">
      <c r="N38561" s="1"/>
      <c r="V38561" s="5"/>
    </row>
    <row r="38562">
      <c r="N38562" s="1"/>
      <c r="V38562" s="5"/>
    </row>
    <row r="38563">
      <c r="N38563" s="1"/>
      <c r="V38563" s="5"/>
    </row>
    <row r="38564">
      <c r="N38564" s="1"/>
      <c r="V38564" s="5"/>
    </row>
    <row r="38565">
      <c r="N38565" s="1"/>
      <c r="V38565" s="5"/>
    </row>
    <row r="38566">
      <c r="N38566" s="1"/>
      <c r="V38566" s="5"/>
    </row>
    <row r="38567">
      <c r="N38567" s="1"/>
      <c r="V38567" s="5"/>
    </row>
    <row r="38568">
      <c r="N38568" s="1"/>
      <c r="V38568" s="5"/>
    </row>
    <row r="38569">
      <c r="N38569" s="1"/>
      <c r="V38569" s="5"/>
    </row>
    <row r="38570">
      <c r="N38570" s="1"/>
      <c r="V38570" s="5"/>
    </row>
    <row r="38571">
      <c r="N38571" s="1"/>
      <c r="V38571" s="5"/>
    </row>
    <row r="38572">
      <c r="N38572" s="1"/>
      <c r="V38572" s="5"/>
    </row>
    <row r="38573">
      <c r="N38573" s="1"/>
      <c r="V38573" s="5"/>
    </row>
    <row r="38574">
      <c r="N38574" s="1"/>
      <c r="V38574" s="5"/>
    </row>
    <row r="38575">
      <c r="N38575" s="1"/>
      <c r="V38575" s="5"/>
    </row>
    <row r="38576">
      <c r="N38576" s="1"/>
      <c r="V38576" s="5"/>
    </row>
    <row r="38577">
      <c r="N38577" s="1"/>
      <c r="V38577" s="5"/>
    </row>
    <row r="38578">
      <c r="N38578" s="1"/>
      <c r="V38578" s="5"/>
    </row>
    <row r="38579">
      <c r="N38579" s="1"/>
      <c r="V38579" s="5"/>
    </row>
    <row r="38580">
      <c r="N38580" s="1"/>
      <c r="V38580" s="5"/>
    </row>
    <row r="38581">
      <c r="N38581" s="1"/>
      <c r="V38581" s="5"/>
    </row>
    <row r="38582">
      <c r="N38582" s="1"/>
      <c r="V38582" s="5"/>
    </row>
    <row r="38583">
      <c r="N38583" s="1"/>
      <c r="V38583" s="5"/>
    </row>
    <row r="38584">
      <c r="N38584" s="1"/>
      <c r="V38584" s="5"/>
    </row>
    <row r="38585">
      <c r="N38585" s="1"/>
      <c r="V38585" s="5"/>
    </row>
    <row r="38586">
      <c r="N38586" s="1"/>
      <c r="V38586" s="5"/>
    </row>
    <row r="38587">
      <c r="N38587" s="1"/>
      <c r="V38587" s="5"/>
    </row>
    <row r="38588">
      <c r="N38588" s="1"/>
      <c r="V38588" s="5"/>
    </row>
    <row r="38589">
      <c r="N38589" s="1"/>
      <c r="V38589" s="5"/>
    </row>
    <row r="38590">
      <c r="N38590" s="1"/>
      <c r="V38590" s="5"/>
    </row>
    <row r="38591">
      <c r="N38591" s="1"/>
      <c r="V38591" s="5"/>
    </row>
    <row r="38592">
      <c r="N38592" s="1"/>
      <c r="V38592" s="5"/>
    </row>
    <row r="38593">
      <c r="N38593" s="1"/>
      <c r="V38593" s="5"/>
    </row>
    <row r="38594">
      <c r="N38594" s="1"/>
      <c r="V38594" s="5"/>
    </row>
    <row r="38595">
      <c r="N38595" s="1"/>
      <c r="V38595" s="5"/>
    </row>
    <row r="38596">
      <c r="N38596" s="1"/>
      <c r="V38596" s="5"/>
    </row>
    <row r="38597">
      <c r="N38597" s="1"/>
      <c r="V38597" s="5"/>
    </row>
    <row r="38598">
      <c r="N38598" s="1"/>
      <c r="V38598" s="5"/>
    </row>
    <row r="38599">
      <c r="N38599" s="1"/>
      <c r="V38599" s="5"/>
    </row>
    <row r="38600">
      <c r="N38600" s="1"/>
      <c r="V38600" s="5"/>
    </row>
    <row r="38601">
      <c r="N38601" s="1"/>
      <c r="V38601" s="5"/>
    </row>
    <row r="38602">
      <c r="N38602" s="1"/>
      <c r="V38602" s="5"/>
    </row>
    <row r="38603">
      <c r="N38603" s="1"/>
      <c r="V38603" s="5"/>
    </row>
    <row r="38604">
      <c r="N38604" s="1"/>
      <c r="V38604" s="5"/>
    </row>
    <row r="38605">
      <c r="N38605" s="1"/>
      <c r="V38605" s="5"/>
    </row>
    <row r="38606">
      <c r="N38606" s="1"/>
      <c r="V38606" s="5"/>
    </row>
    <row r="38607">
      <c r="N38607" s="1"/>
      <c r="V38607" s="5"/>
    </row>
    <row r="38608">
      <c r="N38608" s="1"/>
      <c r="V38608" s="5"/>
    </row>
    <row r="38609">
      <c r="N38609" s="1"/>
      <c r="V38609" s="5"/>
    </row>
    <row r="38610">
      <c r="N38610" s="1"/>
      <c r="V38610" s="5"/>
    </row>
    <row r="38611">
      <c r="N38611" s="1"/>
      <c r="V38611" s="5"/>
    </row>
    <row r="38612">
      <c r="N38612" s="1"/>
      <c r="V38612" s="5"/>
    </row>
    <row r="38613">
      <c r="N38613" s="1"/>
      <c r="V38613" s="5"/>
    </row>
    <row r="38614">
      <c r="N38614" s="1"/>
      <c r="V38614" s="5"/>
    </row>
    <row r="38615">
      <c r="N38615" s="1"/>
      <c r="V38615" s="5"/>
    </row>
    <row r="38616">
      <c r="N38616" s="1"/>
      <c r="V38616" s="5"/>
    </row>
    <row r="38617">
      <c r="N38617" s="1"/>
      <c r="V38617" s="5"/>
    </row>
    <row r="38618">
      <c r="N38618" s="1"/>
      <c r="V38618" s="5"/>
    </row>
    <row r="38619">
      <c r="N38619" s="1"/>
      <c r="V38619" s="5"/>
    </row>
    <row r="38620">
      <c r="N38620" s="1"/>
      <c r="V38620" s="5"/>
    </row>
    <row r="38621">
      <c r="N38621" s="1"/>
      <c r="V38621" s="5"/>
    </row>
    <row r="38622">
      <c r="N38622" s="1"/>
      <c r="V38622" s="5"/>
    </row>
    <row r="38623">
      <c r="N38623" s="1"/>
      <c r="V38623" s="5"/>
    </row>
    <row r="38624">
      <c r="N38624" s="1"/>
      <c r="V38624" s="5"/>
    </row>
    <row r="38625">
      <c r="N38625" s="1"/>
      <c r="V38625" s="5"/>
    </row>
    <row r="38626">
      <c r="N38626" s="1"/>
      <c r="V38626" s="5"/>
    </row>
    <row r="38627">
      <c r="N38627" s="1"/>
      <c r="V38627" s="5"/>
    </row>
    <row r="38628">
      <c r="N38628" s="1"/>
      <c r="V38628" s="5"/>
    </row>
    <row r="38629">
      <c r="N38629" s="1"/>
      <c r="V38629" s="5"/>
    </row>
    <row r="38630">
      <c r="N38630" s="1"/>
      <c r="V38630" s="5"/>
    </row>
    <row r="38631">
      <c r="N38631" s="1"/>
      <c r="V38631" s="5"/>
    </row>
    <row r="38632">
      <c r="N38632" s="1"/>
      <c r="V38632" s="5"/>
    </row>
    <row r="38633">
      <c r="N38633" s="1"/>
      <c r="V38633" s="5"/>
    </row>
    <row r="38634">
      <c r="N38634" s="1"/>
      <c r="V38634" s="5"/>
    </row>
    <row r="38635">
      <c r="N38635" s="1"/>
      <c r="V38635" s="5"/>
    </row>
    <row r="38636">
      <c r="N38636" s="1"/>
      <c r="V38636" s="5"/>
    </row>
    <row r="38637">
      <c r="N38637" s="1"/>
      <c r="V38637" s="5"/>
    </row>
    <row r="38638">
      <c r="N38638" s="1"/>
      <c r="V38638" s="5"/>
    </row>
    <row r="38639">
      <c r="N38639" s="1"/>
      <c r="V38639" s="5"/>
    </row>
    <row r="38640">
      <c r="N38640" s="1"/>
      <c r="V38640" s="5"/>
    </row>
    <row r="38641">
      <c r="N38641" s="1"/>
      <c r="V38641" s="5"/>
    </row>
    <row r="38642">
      <c r="N38642" s="1"/>
      <c r="V38642" s="5"/>
    </row>
    <row r="38643">
      <c r="N38643" s="1"/>
      <c r="V38643" s="5"/>
    </row>
    <row r="38644">
      <c r="N38644" s="1"/>
      <c r="V38644" s="5"/>
    </row>
    <row r="38645">
      <c r="N38645" s="1"/>
      <c r="V38645" s="5"/>
    </row>
    <row r="38646">
      <c r="N38646" s="1"/>
      <c r="V38646" s="5"/>
    </row>
    <row r="38647">
      <c r="N38647" s="1"/>
      <c r="V38647" s="5"/>
    </row>
    <row r="38648">
      <c r="N38648" s="1"/>
      <c r="V38648" s="5"/>
    </row>
    <row r="38649">
      <c r="N38649" s="1"/>
      <c r="V38649" s="5"/>
    </row>
    <row r="38650">
      <c r="N38650" s="1"/>
      <c r="V38650" s="5"/>
    </row>
    <row r="38651">
      <c r="N38651" s="1"/>
      <c r="V38651" s="5"/>
    </row>
    <row r="38652">
      <c r="N38652" s="1"/>
      <c r="V38652" s="5"/>
    </row>
    <row r="38653">
      <c r="N38653" s="1"/>
      <c r="V38653" s="5"/>
    </row>
    <row r="38654">
      <c r="N38654" s="1"/>
      <c r="V38654" s="5"/>
    </row>
    <row r="38655">
      <c r="N38655" s="1"/>
      <c r="V38655" s="5"/>
    </row>
    <row r="38656">
      <c r="N38656" s="1"/>
      <c r="V38656" s="5"/>
    </row>
    <row r="38657">
      <c r="N38657" s="1"/>
      <c r="V38657" s="5"/>
    </row>
    <row r="38658">
      <c r="N38658" s="1"/>
      <c r="V38658" s="5"/>
    </row>
    <row r="38659">
      <c r="N38659" s="1"/>
      <c r="V38659" s="5"/>
    </row>
    <row r="38660">
      <c r="N38660" s="1"/>
      <c r="V38660" s="5"/>
    </row>
    <row r="38661">
      <c r="N38661" s="1"/>
      <c r="V38661" s="5"/>
    </row>
    <row r="38662">
      <c r="N38662" s="1"/>
      <c r="V38662" s="5"/>
    </row>
    <row r="38663">
      <c r="N38663" s="1"/>
      <c r="V38663" s="5"/>
    </row>
    <row r="38664">
      <c r="N38664" s="1"/>
      <c r="V38664" s="5"/>
    </row>
    <row r="38665">
      <c r="N38665" s="1"/>
      <c r="V38665" s="5"/>
    </row>
    <row r="38666">
      <c r="N38666" s="1"/>
      <c r="V38666" s="5"/>
    </row>
    <row r="38667">
      <c r="N38667" s="1"/>
      <c r="V38667" s="5"/>
    </row>
    <row r="38668">
      <c r="N38668" s="1"/>
      <c r="V38668" s="5"/>
    </row>
    <row r="38669">
      <c r="N38669" s="1"/>
      <c r="V38669" s="5"/>
    </row>
    <row r="38670">
      <c r="N38670" s="1"/>
      <c r="V38670" s="5"/>
    </row>
    <row r="38671">
      <c r="N38671" s="1"/>
      <c r="V38671" s="5"/>
    </row>
    <row r="38672">
      <c r="N38672" s="1"/>
      <c r="V38672" s="5"/>
    </row>
    <row r="38673">
      <c r="N38673" s="1"/>
      <c r="V38673" s="5"/>
    </row>
    <row r="38674">
      <c r="N38674" s="1"/>
      <c r="V38674" s="5"/>
    </row>
    <row r="38675">
      <c r="N38675" s="1"/>
      <c r="V38675" s="5"/>
    </row>
    <row r="38676">
      <c r="N38676" s="1"/>
      <c r="V38676" s="5"/>
    </row>
    <row r="38677">
      <c r="N38677" s="1"/>
      <c r="V38677" s="5"/>
    </row>
    <row r="38678">
      <c r="N38678" s="1"/>
      <c r="V38678" s="5"/>
    </row>
    <row r="38679">
      <c r="N38679" s="1"/>
      <c r="V38679" s="5"/>
    </row>
    <row r="38680">
      <c r="N38680" s="1"/>
      <c r="V38680" s="5"/>
    </row>
    <row r="38681">
      <c r="N38681" s="1"/>
      <c r="V38681" s="5"/>
    </row>
    <row r="38682">
      <c r="N38682" s="1"/>
      <c r="V38682" s="5"/>
    </row>
    <row r="38683">
      <c r="N38683" s="1"/>
      <c r="V38683" s="5"/>
    </row>
    <row r="38684">
      <c r="N38684" s="1"/>
      <c r="V38684" s="5"/>
    </row>
    <row r="38685">
      <c r="N38685" s="1"/>
      <c r="V38685" s="5"/>
    </row>
    <row r="38686">
      <c r="N38686" s="1"/>
      <c r="V38686" s="5"/>
    </row>
    <row r="38687">
      <c r="N38687" s="1"/>
      <c r="V38687" s="5"/>
    </row>
    <row r="38688">
      <c r="N38688" s="1"/>
      <c r="V38688" s="5"/>
    </row>
    <row r="38689">
      <c r="N38689" s="1"/>
      <c r="V38689" s="5"/>
    </row>
    <row r="38690">
      <c r="N38690" s="1"/>
      <c r="V38690" s="5"/>
    </row>
    <row r="38691">
      <c r="N38691" s="1"/>
      <c r="V38691" s="5"/>
    </row>
    <row r="38692">
      <c r="N38692" s="1"/>
      <c r="V38692" s="5"/>
    </row>
    <row r="38693">
      <c r="N38693" s="1"/>
      <c r="V38693" s="5"/>
    </row>
    <row r="38694">
      <c r="N38694" s="1"/>
      <c r="V38694" s="5"/>
    </row>
    <row r="38695">
      <c r="N38695" s="1"/>
      <c r="V38695" s="5"/>
    </row>
    <row r="38696">
      <c r="N38696" s="1"/>
      <c r="V38696" s="5"/>
    </row>
    <row r="38697">
      <c r="N38697" s="1"/>
      <c r="V38697" s="5"/>
    </row>
    <row r="38698">
      <c r="N38698" s="1"/>
      <c r="V38698" s="5"/>
    </row>
    <row r="38699">
      <c r="N38699" s="1"/>
      <c r="V38699" s="5"/>
    </row>
    <row r="38700">
      <c r="N38700" s="1"/>
      <c r="V38700" s="5"/>
    </row>
    <row r="38701">
      <c r="N38701" s="1"/>
      <c r="V38701" s="5"/>
    </row>
    <row r="38702">
      <c r="N38702" s="1"/>
      <c r="V38702" s="5"/>
    </row>
    <row r="38703">
      <c r="N38703" s="1"/>
      <c r="V38703" s="5"/>
    </row>
    <row r="38704">
      <c r="N38704" s="1"/>
      <c r="V38704" s="5"/>
    </row>
    <row r="38705">
      <c r="N38705" s="1"/>
      <c r="V38705" s="5"/>
    </row>
    <row r="38706">
      <c r="N38706" s="1"/>
      <c r="V38706" s="5"/>
    </row>
    <row r="38707">
      <c r="N38707" s="1"/>
      <c r="V38707" s="5"/>
    </row>
    <row r="38708">
      <c r="N38708" s="1"/>
      <c r="V38708" s="5"/>
    </row>
    <row r="38709">
      <c r="N38709" s="1"/>
      <c r="V38709" s="5"/>
    </row>
    <row r="38710">
      <c r="N38710" s="1"/>
      <c r="V38710" s="5"/>
    </row>
    <row r="38711">
      <c r="N38711" s="1"/>
      <c r="V38711" s="5"/>
    </row>
    <row r="38712">
      <c r="N38712" s="1"/>
      <c r="V38712" s="5"/>
    </row>
    <row r="38713">
      <c r="N38713" s="1"/>
      <c r="V38713" s="5"/>
    </row>
    <row r="38714">
      <c r="N38714" s="1"/>
      <c r="V38714" s="5"/>
    </row>
    <row r="38715">
      <c r="N38715" s="1"/>
      <c r="V38715" s="5"/>
    </row>
    <row r="38716">
      <c r="N38716" s="1"/>
      <c r="V38716" s="5"/>
    </row>
    <row r="38717">
      <c r="N38717" s="1"/>
      <c r="V38717" s="5"/>
    </row>
    <row r="38718">
      <c r="N38718" s="1"/>
      <c r="V38718" s="5"/>
    </row>
    <row r="38719">
      <c r="N38719" s="1"/>
      <c r="V38719" s="5"/>
    </row>
    <row r="38720">
      <c r="N38720" s="1"/>
      <c r="V38720" s="5"/>
    </row>
    <row r="38721">
      <c r="N38721" s="1"/>
      <c r="V38721" s="5"/>
    </row>
    <row r="38722">
      <c r="N38722" s="1"/>
      <c r="V38722" s="5"/>
    </row>
    <row r="38723">
      <c r="N38723" s="1"/>
      <c r="V38723" s="5"/>
    </row>
    <row r="38724">
      <c r="N38724" s="1"/>
      <c r="V38724" s="5"/>
    </row>
    <row r="38725">
      <c r="N38725" s="1"/>
      <c r="V38725" s="5"/>
    </row>
    <row r="38726">
      <c r="N38726" s="1"/>
      <c r="V38726" s="5"/>
    </row>
    <row r="38727">
      <c r="N38727" s="1"/>
      <c r="V38727" s="5"/>
    </row>
    <row r="38728">
      <c r="N38728" s="1"/>
      <c r="V38728" s="5"/>
    </row>
    <row r="38729">
      <c r="N38729" s="1"/>
      <c r="V38729" s="5"/>
    </row>
    <row r="38730">
      <c r="N38730" s="1"/>
      <c r="V38730" s="5"/>
    </row>
    <row r="38731">
      <c r="N38731" s="1"/>
      <c r="V38731" s="5"/>
    </row>
    <row r="38732">
      <c r="N38732" s="1"/>
      <c r="V38732" s="5"/>
    </row>
    <row r="38733">
      <c r="N38733" s="1"/>
      <c r="V38733" s="5"/>
    </row>
    <row r="38734">
      <c r="N38734" s="1"/>
      <c r="V38734" s="5"/>
    </row>
    <row r="38735">
      <c r="N38735" s="1"/>
      <c r="V38735" s="5"/>
    </row>
    <row r="38736">
      <c r="N38736" s="1"/>
      <c r="V38736" s="5"/>
    </row>
    <row r="38737">
      <c r="N38737" s="1"/>
      <c r="V38737" s="5"/>
    </row>
    <row r="38738">
      <c r="N38738" s="1"/>
      <c r="V38738" s="5"/>
    </row>
    <row r="38739">
      <c r="N38739" s="1"/>
      <c r="V38739" s="5"/>
    </row>
    <row r="38740">
      <c r="N38740" s="1"/>
      <c r="V38740" s="5"/>
    </row>
    <row r="38741">
      <c r="N38741" s="1"/>
      <c r="V38741" s="5"/>
    </row>
    <row r="38742">
      <c r="N38742" s="1"/>
      <c r="V38742" s="5"/>
    </row>
    <row r="38743">
      <c r="N38743" s="1"/>
      <c r="V38743" s="5"/>
    </row>
    <row r="38744">
      <c r="N38744" s="1"/>
      <c r="V38744" s="5"/>
    </row>
    <row r="38745">
      <c r="N38745" s="1"/>
      <c r="V38745" s="5"/>
    </row>
    <row r="38746">
      <c r="N38746" s="1"/>
      <c r="V38746" s="5"/>
    </row>
    <row r="38747">
      <c r="N38747" s="1"/>
      <c r="V38747" s="5"/>
    </row>
    <row r="38748">
      <c r="N38748" s="1"/>
      <c r="V38748" s="5"/>
    </row>
    <row r="38749">
      <c r="N38749" s="1"/>
      <c r="V38749" s="5"/>
    </row>
    <row r="38750">
      <c r="N38750" s="1"/>
      <c r="V38750" s="5"/>
    </row>
    <row r="38751">
      <c r="N38751" s="1"/>
      <c r="V38751" s="5"/>
    </row>
    <row r="38752">
      <c r="N38752" s="1"/>
      <c r="V38752" s="5"/>
    </row>
    <row r="38753">
      <c r="N38753" s="1"/>
      <c r="V38753" s="5"/>
    </row>
    <row r="38754">
      <c r="N38754" s="1"/>
      <c r="V38754" s="5"/>
    </row>
    <row r="38755">
      <c r="N38755" s="1"/>
      <c r="V38755" s="5"/>
    </row>
    <row r="38756">
      <c r="N38756" s="1"/>
      <c r="V38756" s="5"/>
    </row>
    <row r="38757">
      <c r="N38757" s="1"/>
      <c r="V38757" s="5"/>
    </row>
    <row r="38758">
      <c r="N38758" s="1"/>
      <c r="V38758" s="5"/>
    </row>
    <row r="38759">
      <c r="N38759" s="1"/>
      <c r="V38759" s="5"/>
    </row>
    <row r="38760">
      <c r="N38760" s="1"/>
      <c r="V38760" s="5"/>
    </row>
    <row r="38761">
      <c r="N38761" s="1"/>
      <c r="V38761" s="5"/>
    </row>
    <row r="38762">
      <c r="N38762" s="1"/>
      <c r="V38762" s="5"/>
    </row>
    <row r="38763">
      <c r="N38763" s="1"/>
      <c r="V38763" s="5"/>
    </row>
    <row r="38764">
      <c r="N38764" s="1"/>
      <c r="V38764" s="5"/>
    </row>
    <row r="38765">
      <c r="N38765" s="1"/>
      <c r="V38765" s="5"/>
    </row>
    <row r="38766">
      <c r="N38766" s="1"/>
      <c r="V38766" s="5"/>
    </row>
    <row r="38767">
      <c r="N38767" s="1"/>
      <c r="V38767" s="5"/>
    </row>
    <row r="38768">
      <c r="N38768" s="1"/>
      <c r="V38768" s="5"/>
    </row>
    <row r="38769">
      <c r="N38769" s="1"/>
      <c r="V38769" s="5"/>
    </row>
    <row r="38770">
      <c r="N38770" s="1"/>
      <c r="V38770" s="5"/>
    </row>
    <row r="38771">
      <c r="N38771" s="1"/>
      <c r="V38771" s="5"/>
    </row>
    <row r="38772">
      <c r="N38772" s="1"/>
      <c r="V38772" s="5"/>
    </row>
    <row r="38773">
      <c r="N38773" s="1"/>
      <c r="V38773" s="5"/>
    </row>
    <row r="38774">
      <c r="N38774" s="1"/>
      <c r="V38774" s="5"/>
    </row>
    <row r="38775">
      <c r="N38775" s="1"/>
      <c r="V38775" s="5"/>
    </row>
    <row r="38776">
      <c r="N38776" s="1"/>
      <c r="V38776" s="5"/>
    </row>
    <row r="38777">
      <c r="N38777" s="1"/>
      <c r="V38777" s="5"/>
    </row>
    <row r="38778">
      <c r="N38778" s="1"/>
      <c r="V38778" s="5"/>
    </row>
    <row r="38779">
      <c r="N38779" s="1"/>
      <c r="V38779" s="5"/>
    </row>
    <row r="38780">
      <c r="N38780" s="1"/>
      <c r="V38780" s="5"/>
    </row>
    <row r="38781">
      <c r="N38781" s="1"/>
      <c r="V38781" s="5"/>
    </row>
    <row r="38782">
      <c r="N38782" s="1"/>
      <c r="V38782" s="5"/>
    </row>
    <row r="38783">
      <c r="N38783" s="1"/>
      <c r="V38783" s="5"/>
    </row>
    <row r="38784">
      <c r="N38784" s="1"/>
      <c r="V38784" s="5"/>
    </row>
    <row r="38785">
      <c r="N38785" s="1"/>
      <c r="V38785" s="5"/>
    </row>
    <row r="38786">
      <c r="N38786" s="1"/>
      <c r="V38786" s="5"/>
    </row>
    <row r="38787">
      <c r="N38787" s="1"/>
      <c r="V38787" s="5"/>
    </row>
    <row r="38788">
      <c r="N38788" s="1"/>
      <c r="V38788" s="5"/>
    </row>
    <row r="38789">
      <c r="N38789" s="1"/>
      <c r="V38789" s="5"/>
    </row>
    <row r="38790">
      <c r="N38790" s="1"/>
      <c r="V38790" s="5"/>
    </row>
    <row r="38791">
      <c r="N38791" s="1"/>
      <c r="V38791" s="5"/>
    </row>
    <row r="38792">
      <c r="N38792" s="1"/>
      <c r="V38792" s="5"/>
    </row>
    <row r="38793">
      <c r="N38793" s="1"/>
      <c r="V38793" s="5"/>
    </row>
    <row r="38794">
      <c r="N38794" s="1"/>
      <c r="V38794" s="5"/>
    </row>
    <row r="38795">
      <c r="N38795" s="1"/>
      <c r="V38795" s="5"/>
    </row>
    <row r="38796">
      <c r="N38796" s="1"/>
      <c r="V38796" s="5"/>
    </row>
    <row r="38797">
      <c r="N38797" s="1"/>
      <c r="V38797" s="5"/>
    </row>
    <row r="38798">
      <c r="N38798" s="1"/>
      <c r="V38798" s="5"/>
    </row>
    <row r="38799">
      <c r="N38799" s="1"/>
      <c r="V38799" s="5"/>
    </row>
    <row r="38800">
      <c r="N38800" s="1"/>
      <c r="V38800" s="5"/>
    </row>
    <row r="38801">
      <c r="N38801" s="1"/>
      <c r="V38801" s="5"/>
    </row>
    <row r="38802">
      <c r="N38802" s="1"/>
      <c r="V38802" s="5"/>
    </row>
    <row r="38803">
      <c r="N38803" s="1"/>
      <c r="V38803" s="5"/>
    </row>
    <row r="38804">
      <c r="N38804" s="1"/>
      <c r="V38804" s="5"/>
    </row>
    <row r="38805">
      <c r="N38805" s="1"/>
      <c r="V38805" s="5"/>
    </row>
    <row r="38806">
      <c r="N38806" s="1"/>
      <c r="V38806" s="5"/>
    </row>
    <row r="38807">
      <c r="N38807" s="1"/>
      <c r="V38807" s="5"/>
    </row>
    <row r="38808">
      <c r="N38808" s="1"/>
      <c r="V38808" s="5"/>
    </row>
    <row r="38809">
      <c r="N38809" s="1"/>
      <c r="V38809" s="5"/>
    </row>
    <row r="38810">
      <c r="N38810" s="1"/>
      <c r="V38810" s="5"/>
    </row>
    <row r="38811">
      <c r="N38811" s="1"/>
      <c r="V38811" s="5"/>
    </row>
    <row r="38812">
      <c r="N38812" s="1"/>
      <c r="V38812" s="5"/>
    </row>
    <row r="38813">
      <c r="N38813" s="1"/>
      <c r="V38813" s="5"/>
    </row>
    <row r="38814">
      <c r="N38814" s="1"/>
      <c r="V38814" s="5"/>
    </row>
    <row r="38815">
      <c r="N38815" s="1"/>
      <c r="V38815" s="5"/>
    </row>
    <row r="38816">
      <c r="N38816" s="1"/>
      <c r="V38816" s="5"/>
    </row>
    <row r="38817">
      <c r="N38817" s="1"/>
      <c r="V38817" s="5"/>
    </row>
    <row r="38818">
      <c r="N38818" s="1"/>
      <c r="V38818" s="5"/>
    </row>
    <row r="38819">
      <c r="N38819" s="1"/>
      <c r="V38819" s="5"/>
    </row>
    <row r="38820">
      <c r="N38820" s="1"/>
      <c r="V38820" s="5"/>
    </row>
    <row r="38821">
      <c r="N38821" s="1"/>
      <c r="V38821" s="5"/>
    </row>
    <row r="38822">
      <c r="N38822" s="1"/>
      <c r="V38822" s="5"/>
    </row>
    <row r="38823">
      <c r="N38823" s="1"/>
      <c r="V38823" s="5"/>
    </row>
    <row r="38824">
      <c r="N38824" s="1"/>
      <c r="V38824" s="5"/>
    </row>
    <row r="38825">
      <c r="N38825" s="1"/>
      <c r="V38825" s="5"/>
    </row>
    <row r="38826">
      <c r="N38826" s="1"/>
      <c r="V38826" s="5"/>
    </row>
    <row r="38827">
      <c r="N38827" s="1"/>
      <c r="V38827" s="5"/>
    </row>
    <row r="38828">
      <c r="N38828" s="1"/>
      <c r="V38828" s="5"/>
    </row>
    <row r="38829">
      <c r="N38829" s="1"/>
      <c r="V38829" s="5"/>
    </row>
    <row r="38830">
      <c r="N38830" s="1"/>
      <c r="V38830" s="5"/>
    </row>
    <row r="38831">
      <c r="N38831" s="1"/>
      <c r="V38831" s="5"/>
    </row>
    <row r="38832">
      <c r="N38832" s="1"/>
      <c r="V38832" s="5"/>
    </row>
    <row r="38833">
      <c r="N38833" s="1"/>
      <c r="V38833" s="5"/>
    </row>
    <row r="38834">
      <c r="N38834" s="1"/>
      <c r="V38834" s="5"/>
    </row>
    <row r="38835">
      <c r="N38835" s="1"/>
      <c r="V38835" s="5"/>
    </row>
    <row r="38836">
      <c r="N38836" s="1"/>
      <c r="V38836" s="5"/>
    </row>
    <row r="38837">
      <c r="N38837" s="1"/>
      <c r="V38837" s="5"/>
    </row>
    <row r="38838">
      <c r="N38838" s="1"/>
      <c r="V38838" s="5"/>
    </row>
    <row r="38839">
      <c r="N38839" s="1"/>
      <c r="V38839" s="5"/>
    </row>
    <row r="38840">
      <c r="N38840" s="1"/>
      <c r="V38840" s="5"/>
    </row>
    <row r="38841">
      <c r="N38841" s="1"/>
      <c r="V38841" s="5"/>
    </row>
    <row r="38842">
      <c r="N38842" s="1"/>
      <c r="V38842" s="5"/>
    </row>
    <row r="38843">
      <c r="N38843" s="1"/>
      <c r="V38843" s="5"/>
    </row>
    <row r="38844">
      <c r="N38844" s="1"/>
      <c r="V38844" s="5"/>
    </row>
    <row r="38845">
      <c r="N38845" s="1"/>
      <c r="V38845" s="5"/>
    </row>
    <row r="38846">
      <c r="N38846" s="1"/>
      <c r="V38846" s="5"/>
    </row>
    <row r="38847">
      <c r="N38847" s="1"/>
      <c r="V38847" s="5"/>
    </row>
    <row r="38848">
      <c r="N38848" s="1"/>
      <c r="V38848" s="5"/>
    </row>
    <row r="38849">
      <c r="N38849" s="1"/>
      <c r="V38849" s="5"/>
    </row>
    <row r="38850">
      <c r="N38850" s="1"/>
      <c r="V38850" s="5"/>
    </row>
    <row r="38851">
      <c r="N38851" s="1"/>
      <c r="V38851" s="5"/>
    </row>
    <row r="38852">
      <c r="N38852" s="1"/>
      <c r="V38852" s="5"/>
    </row>
    <row r="38853">
      <c r="N38853" s="1"/>
      <c r="V38853" s="5"/>
    </row>
    <row r="38854">
      <c r="N38854" s="1"/>
      <c r="V38854" s="5"/>
    </row>
    <row r="38855">
      <c r="N38855" s="1"/>
      <c r="V38855" s="5"/>
    </row>
    <row r="38856">
      <c r="N38856" s="1"/>
      <c r="V38856" s="5"/>
    </row>
    <row r="38857">
      <c r="N38857" s="1"/>
      <c r="V38857" s="5"/>
    </row>
    <row r="38858">
      <c r="N38858" s="1"/>
      <c r="V38858" s="5"/>
    </row>
    <row r="38859">
      <c r="N38859" s="1"/>
      <c r="V38859" s="5"/>
    </row>
    <row r="38860">
      <c r="N38860" s="1"/>
      <c r="V38860" s="5"/>
    </row>
    <row r="38861">
      <c r="N38861" s="1"/>
      <c r="V38861" s="5"/>
    </row>
    <row r="38862">
      <c r="N38862" s="1"/>
      <c r="V38862" s="5"/>
    </row>
    <row r="38863">
      <c r="N38863" s="1"/>
      <c r="V38863" s="5"/>
    </row>
    <row r="38864">
      <c r="N38864" s="1"/>
      <c r="V38864" s="5"/>
    </row>
    <row r="38865">
      <c r="N38865" s="1"/>
      <c r="V38865" s="5"/>
    </row>
    <row r="38866">
      <c r="N38866" s="1"/>
      <c r="V38866" s="5"/>
    </row>
    <row r="38867">
      <c r="N38867" s="1"/>
      <c r="V38867" s="5"/>
    </row>
    <row r="38868">
      <c r="N38868" s="1"/>
      <c r="V38868" s="5"/>
    </row>
    <row r="38869">
      <c r="N38869" s="1"/>
      <c r="V38869" s="5"/>
    </row>
    <row r="38870">
      <c r="N38870" s="1"/>
      <c r="V38870" s="5"/>
    </row>
    <row r="38871">
      <c r="N38871" s="1"/>
      <c r="V38871" s="5"/>
    </row>
    <row r="38872">
      <c r="N38872" s="1"/>
      <c r="V38872" s="5"/>
    </row>
    <row r="38873">
      <c r="N38873" s="1"/>
      <c r="V38873" s="5"/>
    </row>
    <row r="38874">
      <c r="N38874" s="1"/>
      <c r="V38874" s="5"/>
    </row>
    <row r="38875">
      <c r="N38875" s="1"/>
      <c r="V38875" s="5"/>
    </row>
    <row r="38876">
      <c r="N38876" s="1"/>
      <c r="V38876" s="5"/>
    </row>
    <row r="38877">
      <c r="N38877" s="1"/>
      <c r="V38877" s="5"/>
    </row>
    <row r="38878">
      <c r="N38878" s="1"/>
      <c r="V38878" s="5"/>
    </row>
    <row r="38879">
      <c r="N38879" s="1"/>
      <c r="V38879" s="5"/>
    </row>
    <row r="38880">
      <c r="N38880" s="1"/>
      <c r="V38880" s="5"/>
    </row>
    <row r="38881">
      <c r="N38881" s="1"/>
      <c r="V38881" s="5"/>
    </row>
    <row r="38882">
      <c r="N38882" s="1"/>
      <c r="V38882" s="5"/>
    </row>
    <row r="38883">
      <c r="N38883" s="1"/>
      <c r="V38883" s="5"/>
    </row>
    <row r="38884">
      <c r="N38884" s="1"/>
      <c r="V38884" s="5"/>
    </row>
    <row r="38885">
      <c r="N38885" s="1"/>
      <c r="V38885" s="5"/>
    </row>
    <row r="38886">
      <c r="N38886" s="1"/>
      <c r="V38886" s="5"/>
    </row>
    <row r="38887">
      <c r="N38887" s="1"/>
      <c r="V38887" s="5"/>
    </row>
    <row r="38888">
      <c r="N38888" s="1"/>
      <c r="V38888" s="5"/>
    </row>
    <row r="38889">
      <c r="N38889" s="1"/>
      <c r="V38889" s="5"/>
    </row>
    <row r="38890">
      <c r="N38890" s="1"/>
      <c r="V38890" s="5"/>
    </row>
    <row r="38891">
      <c r="N38891" s="1"/>
      <c r="V38891" s="5"/>
    </row>
    <row r="38892">
      <c r="N38892" s="1"/>
      <c r="V38892" s="5"/>
    </row>
    <row r="38893">
      <c r="N38893" s="1"/>
      <c r="V38893" s="5"/>
    </row>
    <row r="38894">
      <c r="N38894" s="1"/>
      <c r="V38894" s="5"/>
    </row>
    <row r="38895">
      <c r="N38895" s="1"/>
      <c r="V38895" s="5"/>
    </row>
    <row r="38896">
      <c r="N38896" s="1"/>
      <c r="V38896" s="5"/>
    </row>
    <row r="38897">
      <c r="N38897" s="1"/>
      <c r="V38897" s="5"/>
    </row>
    <row r="38898">
      <c r="N38898" s="1"/>
      <c r="V38898" s="5"/>
    </row>
    <row r="38899">
      <c r="N38899" s="1"/>
      <c r="V38899" s="5"/>
    </row>
    <row r="38900">
      <c r="N38900" s="1"/>
      <c r="V38900" s="5"/>
    </row>
    <row r="38901">
      <c r="N38901" s="1"/>
      <c r="V38901" s="5"/>
    </row>
    <row r="38902">
      <c r="N38902" s="1"/>
      <c r="V38902" s="5"/>
    </row>
    <row r="38903">
      <c r="N38903" s="1"/>
      <c r="V38903" s="5"/>
    </row>
    <row r="38904">
      <c r="N38904" s="1"/>
      <c r="V38904" s="5"/>
    </row>
    <row r="38905">
      <c r="N38905" s="1"/>
      <c r="V38905" s="5"/>
    </row>
    <row r="38906">
      <c r="N38906" s="1"/>
      <c r="V38906" s="5"/>
    </row>
    <row r="38907">
      <c r="N38907" s="1"/>
      <c r="V38907" s="5"/>
    </row>
    <row r="38908">
      <c r="N38908" s="1"/>
      <c r="V38908" s="5"/>
    </row>
    <row r="38909">
      <c r="N38909" s="1"/>
      <c r="V38909" s="5"/>
    </row>
    <row r="38910">
      <c r="N38910" s="1"/>
      <c r="V38910" s="5"/>
    </row>
    <row r="38911">
      <c r="N38911" s="1"/>
      <c r="V38911" s="5"/>
    </row>
    <row r="38912">
      <c r="N38912" s="1"/>
      <c r="V38912" s="5"/>
    </row>
    <row r="38913">
      <c r="N38913" s="1"/>
      <c r="V38913" s="5"/>
    </row>
    <row r="38914">
      <c r="N38914" s="1"/>
      <c r="V38914" s="5"/>
    </row>
    <row r="38915">
      <c r="N38915" s="1"/>
      <c r="V38915" s="5"/>
    </row>
    <row r="38916">
      <c r="N38916" s="1"/>
      <c r="V38916" s="5"/>
    </row>
    <row r="38917">
      <c r="N38917" s="1"/>
      <c r="V38917" s="5"/>
    </row>
    <row r="38918">
      <c r="N38918" s="1"/>
      <c r="V38918" s="5"/>
    </row>
    <row r="38919">
      <c r="N38919" s="1"/>
      <c r="V38919" s="5"/>
    </row>
    <row r="38920">
      <c r="N38920" s="1"/>
      <c r="V38920" s="5"/>
    </row>
    <row r="38921">
      <c r="N38921" s="1"/>
      <c r="V38921" s="5"/>
    </row>
    <row r="38922">
      <c r="N38922" s="1"/>
      <c r="V38922" s="5"/>
    </row>
    <row r="38923">
      <c r="N38923" s="1"/>
      <c r="V38923" s="5"/>
    </row>
    <row r="38924">
      <c r="N38924" s="1"/>
      <c r="V38924" s="5"/>
    </row>
    <row r="38925">
      <c r="N38925" s="1"/>
      <c r="V38925" s="5"/>
    </row>
    <row r="38926">
      <c r="N38926" s="1"/>
      <c r="V38926" s="5"/>
    </row>
    <row r="38927">
      <c r="N38927" s="1"/>
      <c r="V38927" s="5"/>
    </row>
    <row r="38928">
      <c r="N38928" s="1"/>
      <c r="V38928" s="5"/>
    </row>
    <row r="38929">
      <c r="N38929" s="1"/>
      <c r="V38929" s="5"/>
    </row>
    <row r="38930">
      <c r="N38930" s="1"/>
      <c r="V38930" s="5"/>
    </row>
    <row r="38931">
      <c r="N38931" s="1"/>
      <c r="V38931" s="5"/>
    </row>
    <row r="38932">
      <c r="N38932" s="1"/>
      <c r="V38932" s="5"/>
    </row>
    <row r="38933">
      <c r="N38933" s="1"/>
      <c r="V38933" s="5"/>
    </row>
    <row r="38934">
      <c r="N38934" s="1"/>
      <c r="V38934" s="5"/>
    </row>
    <row r="38935">
      <c r="N38935" s="1"/>
      <c r="V38935" s="5"/>
    </row>
    <row r="38936">
      <c r="N38936" s="1"/>
      <c r="V38936" s="5"/>
    </row>
    <row r="38937">
      <c r="N38937" s="1"/>
      <c r="V38937" s="5"/>
    </row>
    <row r="38938">
      <c r="N38938" s="1"/>
      <c r="V38938" s="5"/>
    </row>
    <row r="38939">
      <c r="N38939" s="1"/>
      <c r="V38939" s="5"/>
    </row>
    <row r="38940">
      <c r="N38940" s="1"/>
      <c r="V38940" s="5"/>
    </row>
    <row r="38941">
      <c r="N38941" s="1"/>
      <c r="V38941" s="5"/>
    </row>
    <row r="38942">
      <c r="N38942" s="1"/>
      <c r="V38942" s="5"/>
    </row>
    <row r="38943">
      <c r="N38943" s="1"/>
      <c r="V38943" s="5"/>
    </row>
    <row r="38944">
      <c r="N38944" s="1"/>
      <c r="V38944" s="5"/>
    </row>
    <row r="38945">
      <c r="N38945" s="1"/>
      <c r="V38945" s="5"/>
    </row>
    <row r="38946">
      <c r="N38946" s="1"/>
      <c r="V38946" s="5"/>
    </row>
    <row r="38947">
      <c r="N38947" s="1"/>
      <c r="V38947" s="5"/>
    </row>
    <row r="38948">
      <c r="N38948" s="1"/>
      <c r="V38948" s="5"/>
    </row>
    <row r="38949">
      <c r="N38949" s="1"/>
      <c r="V38949" s="5"/>
    </row>
    <row r="38950">
      <c r="N38950" s="1"/>
      <c r="V38950" s="5"/>
    </row>
    <row r="38951">
      <c r="N38951" s="1"/>
      <c r="V38951" s="5"/>
    </row>
    <row r="38952">
      <c r="N38952" s="1"/>
      <c r="V38952" s="5"/>
    </row>
    <row r="38953">
      <c r="N38953" s="1"/>
      <c r="V38953" s="5"/>
    </row>
    <row r="38954">
      <c r="N38954" s="1"/>
      <c r="V38954" s="5"/>
    </row>
    <row r="38955">
      <c r="N38955" s="1"/>
      <c r="V38955" s="5"/>
    </row>
    <row r="38956">
      <c r="N38956" s="1"/>
      <c r="V38956" s="5"/>
    </row>
    <row r="38957">
      <c r="N38957" s="1"/>
      <c r="V38957" s="5"/>
    </row>
    <row r="38958">
      <c r="N38958" s="1"/>
      <c r="V38958" s="5"/>
    </row>
    <row r="38959">
      <c r="N38959" s="1"/>
      <c r="V38959" s="5"/>
    </row>
    <row r="38960">
      <c r="N38960" s="1"/>
      <c r="V38960" s="5"/>
    </row>
    <row r="38961">
      <c r="N38961" s="1"/>
      <c r="V38961" s="5"/>
    </row>
    <row r="38962">
      <c r="N38962" s="1"/>
      <c r="V38962" s="5"/>
    </row>
    <row r="38963">
      <c r="N38963" s="1"/>
      <c r="V38963" s="5"/>
    </row>
    <row r="38964">
      <c r="N38964" s="1"/>
      <c r="V38964" s="5"/>
    </row>
    <row r="38965">
      <c r="N38965" s="1"/>
      <c r="V38965" s="5"/>
    </row>
    <row r="38966">
      <c r="N38966" s="1"/>
      <c r="V38966" s="5"/>
    </row>
    <row r="38967">
      <c r="N38967" s="1"/>
      <c r="V38967" s="5"/>
    </row>
    <row r="38968">
      <c r="N38968" s="1"/>
      <c r="V38968" s="5"/>
    </row>
    <row r="38969">
      <c r="N38969" s="1"/>
      <c r="V38969" s="5"/>
    </row>
    <row r="38970">
      <c r="N38970" s="1"/>
      <c r="V38970" s="5"/>
    </row>
    <row r="38971">
      <c r="N38971" s="1"/>
      <c r="V38971" s="5"/>
    </row>
    <row r="38972">
      <c r="N38972" s="1"/>
      <c r="V38972" s="5"/>
    </row>
    <row r="38973">
      <c r="N38973" s="1"/>
      <c r="V38973" s="5"/>
    </row>
    <row r="38974">
      <c r="N38974" s="1"/>
      <c r="V38974" s="5"/>
    </row>
    <row r="38975">
      <c r="N38975" s="1"/>
      <c r="V38975" s="5"/>
    </row>
    <row r="38976">
      <c r="N38976" s="1"/>
      <c r="V38976" s="5"/>
    </row>
    <row r="38977">
      <c r="N38977" s="1"/>
      <c r="V38977" s="5"/>
    </row>
    <row r="38978">
      <c r="N38978" s="1"/>
      <c r="V38978" s="5"/>
    </row>
    <row r="38979">
      <c r="N38979" s="1"/>
      <c r="V38979" s="5"/>
    </row>
    <row r="38980">
      <c r="N38980" s="1"/>
      <c r="V38980" s="5"/>
    </row>
    <row r="38981">
      <c r="N38981" s="1"/>
      <c r="V38981" s="5"/>
    </row>
    <row r="38982">
      <c r="N38982" s="1"/>
      <c r="V38982" s="5"/>
    </row>
    <row r="38983">
      <c r="N38983" s="1"/>
      <c r="V38983" s="5"/>
    </row>
    <row r="38984">
      <c r="N38984" s="1"/>
      <c r="V38984" s="5"/>
    </row>
    <row r="38985">
      <c r="N38985" s="1"/>
      <c r="V38985" s="5"/>
    </row>
    <row r="38986">
      <c r="N38986" s="1"/>
      <c r="V38986" s="5"/>
    </row>
    <row r="38987">
      <c r="N38987" s="1"/>
      <c r="V38987" s="5"/>
    </row>
    <row r="38988">
      <c r="N38988" s="1"/>
      <c r="V38988" s="5"/>
    </row>
    <row r="38989">
      <c r="N38989" s="1"/>
      <c r="V38989" s="5"/>
    </row>
    <row r="38990">
      <c r="N38990" s="1"/>
      <c r="V38990" s="5"/>
    </row>
    <row r="38991">
      <c r="N38991" s="1"/>
      <c r="V38991" s="5"/>
    </row>
    <row r="38992">
      <c r="N38992" s="1"/>
      <c r="V38992" s="5"/>
    </row>
    <row r="38993">
      <c r="N38993" s="1"/>
      <c r="V38993" s="5"/>
    </row>
    <row r="38994">
      <c r="N38994" s="1"/>
      <c r="V38994" s="5"/>
    </row>
    <row r="38995">
      <c r="N38995" s="1"/>
      <c r="V38995" s="5"/>
    </row>
    <row r="38996">
      <c r="N38996" s="1"/>
      <c r="V38996" s="5"/>
    </row>
    <row r="38997">
      <c r="N38997" s="1"/>
      <c r="V38997" s="5"/>
    </row>
    <row r="38998">
      <c r="N38998" s="1"/>
      <c r="V38998" s="5"/>
    </row>
    <row r="38999">
      <c r="N38999" s="1"/>
      <c r="V38999" s="5"/>
    </row>
    <row r="39000">
      <c r="N39000" s="1"/>
      <c r="V39000" s="5"/>
    </row>
    <row r="39001">
      <c r="N39001" s="1"/>
      <c r="V39001" s="5"/>
    </row>
    <row r="39002">
      <c r="N39002" s="1"/>
      <c r="V39002" s="5"/>
    </row>
    <row r="39003">
      <c r="N39003" s="1"/>
      <c r="V39003" s="5"/>
    </row>
    <row r="39004">
      <c r="N39004" s="1"/>
      <c r="V39004" s="5"/>
    </row>
    <row r="39005">
      <c r="N39005" s="1"/>
      <c r="V39005" s="5"/>
    </row>
    <row r="39006">
      <c r="N39006" s="1"/>
      <c r="V39006" s="5"/>
    </row>
    <row r="39007">
      <c r="N39007" s="1"/>
      <c r="V39007" s="5"/>
    </row>
    <row r="39008">
      <c r="N39008" s="1"/>
      <c r="V39008" s="5"/>
    </row>
    <row r="39009">
      <c r="N39009" s="1"/>
      <c r="V39009" s="5"/>
    </row>
    <row r="39010">
      <c r="N39010" s="1"/>
      <c r="V39010" s="5"/>
    </row>
    <row r="39011">
      <c r="N39011" s="1"/>
      <c r="V39011" s="5"/>
    </row>
    <row r="39012">
      <c r="N39012" s="1"/>
      <c r="V39012" s="5"/>
    </row>
    <row r="39013">
      <c r="N39013" s="1"/>
      <c r="V39013" s="5"/>
    </row>
    <row r="39014">
      <c r="N39014" s="1"/>
      <c r="V39014" s="5"/>
    </row>
    <row r="39015">
      <c r="N39015" s="1"/>
      <c r="V39015" s="5"/>
    </row>
    <row r="39016">
      <c r="N39016" s="1"/>
      <c r="V39016" s="5"/>
    </row>
    <row r="39017">
      <c r="N39017" s="1"/>
      <c r="V39017" s="5"/>
    </row>
    <row r="39018">
      <c r="N39018" s="1"/>
      <c r="V39018" s="5"/>
    </row>
    <row r="39019">
      <c r="N39019" s="1"/>
      <c r="V39019" s="5"/>
    </row>
    <row r="39020">
      <c r="N39020" s="1"/>
      <c r="V39020" s="5"/>
    </row>
    <row r="39021">
      <c r="N39021" s="1"/>
      <c r="V39021" s="5"/>
    </row>
    <row r="39022">
      <c r="N39022" s="1"/>
      <c r="V39022" s="5"/>
    </row>
    <row r="39023">
      <c r="N39023" s="1"/>
      <c r="V39023" s="5"/>
    </row>
    <row r="39024">
      <c r="N39024" s="1"/>
      <c r="V39024" s="5"/>
    </row>
    <row r="39025">
      <c r="N39025" s="1"/>
      <c r="V39025" s="5"/>
    </row>
    <row r="39026">
      <c r="N39026" s="1"/>
      <c r="V39026" s="5"/>
    </row>
    <row r="39027">
      <c r="N39027" s="1"/>
      <c r="V39027" s="5"/>
    </row>
    <row r="39028">
      <c r="N39028" s="1"/>
      <c r="V39028" s="5"/>
    </row>
    <row r="39029">
      <c r="N39029" s="1"/>
      <c r="V39029" s="5"/>
    </row>
    <row r="39030">
      <c r="N39030" s="1"/>
      <c r="V39030" s="5"/>
    </row>
    <row r="39031">
      <c r="N39031" s="1"/>
      <c r="V39031" s="5"/>
    </row>
    <row r="39032">
      <c r="N39032" s="1"/>
      <c r="V39032" s="5"/>
    </row>
    <row r="39033">
      <c r="N39033" s="1"/>
      <c r="V39033" s="5"/>
    </row>
    <row r="39034">
      <c r="N39034" s="1"/>
      <c r="V39034" s="5"/>
    </row>
    <row r="39035">
      <c r="N39035" s="1"/>
      <c r="V39035" s="5"/>
    </row>
    <row r="39036">
      <c r="N39036" s="1"/>
      <c r="V39036" s="5"/>
    </row>
    <row r="39037">
      <c r="N39037" s="1"/>
      <c r="V39037" s="5"/>
    </row>
    <row r="39038">
      <c r="N39038" s="1"/>
      <c r="V39038" s="5"/>
    </row>
    <row r="39039">
      <c r="N39039" s="1"/>
      <c r="V39039" s="5"/>
    </row>
    <row r="39040">
      <c r="N39040" s="1"/>
      <c r="V39040" s="5"/>
    </row>
    <row r="39041">
      <c r="N39041" s="1"/>
      <c r="V39041" s="5"/>
    </row>
    <row r="39042">
      <c r="N39042" s="1"/>
      <c r="V39042" s="5"/>
    </row>
    <row r="39043">
      <c r="N39043" s="1"/>
      <c r="V39043" s="5"/>
    </row>
    <row r="39044">
      <c r="N39044" s="1"/>
      <c r="V39044" s="5"/>
    </row>
    <row r="39045">
      <c r="N39045" s="1"/>
      <c r="V39045" s="5"/>
    </row>
    <row r="39046">
      <c r="N39046" s="1"/>
      <c r="V39046" s="5"/>
    </row>
    <row r="39047">
      <c r="N39047" s="1"/>
      <c r="V39047" s="5"/>
    </row>
    <row r="39048">
      <c r="N39048" s="1"/>
      <c r="V39048" s="5"/>
    </row>
    <row r="39049">
      <c r="N39049" s="1"/>
      <c r="V39049" s="5"/>
    </row>
    <row r="39050">
      <c r="N39050" s="1"/>
      <c r="V39050" s="5"/>
    </row>
    <row r="39051">
      <c r="N39051" s="1"/>
      <c r="V39051" s="5"/>
    </row>
    <row r="39052">
      <c r="N39052" s="1"/>
      <c r="V39052" s="5"/>
    </row>
    <row r="39053">
      <c r="N39053" s="1"/>
      <c r="V39053" s="5"/>
    </row>
    <row r="39054">
      <c r="N39054" s="1"/>
      <c r="V39054" s="5"/>
    </row>
    <row r="39055">
      <c r="N39055" s="1"/>
      <c r="V39055" s="5"/>
    </row>
    <row r="39056">
      <c r="N39056" s="1"/>
      <c r="V39056" s="5"/>
    </row>
    <row r="39057">
      <c r="N39057" s="1"/>
      <c r="V39057" s="5"/>
    </row>
    <row r="39058">
      <c r="N39058" s="1"/>
      <c r="V39058" s="5"/>
    </row>
    <row r="39059">
      <c r="N39059" s="1"/>
      <c r="V39059" s="5"/>
    </row>
    <row r="39060">
      <c r="N39060" s="1"/>
      <c r="V39060" s="5"/>
    </row>
    <row r="39061">
      <c r="N39061" s="1"/>
      <c r="V39061" s="5"/>
    </row>
    <row r="39062">
      <c r="N39062" s="1"/>
      <c r="V39062" s="5"/>
    </row>
    <row r="39063">
      <c r="N39063" s="1"/>
      <c r="V39063" s="5"/>
    </row>
    <row r="39064">
      <c r="N39064" s="1"/>
      <c r="V39064" s="5"/>
    </row>
    <row r="39065">
      <c r="N39065" s="1"/>
      <c r="V39065" s="5"/>
    </row>
    <row r="39066">
      <c r="N39066" s="1"/>
      <c r="V39066" s="5"/>
    </row>
    <row r="39067">
      <c r="N39067" s="1"/>
      <c r="V39067" s="5"/>
    </row>
    <row r="39068">
      <c r="N39068" s="1"/>
      <c r="V39068" s="5"/>
    </row>
    <row r="39069">
      <c r="N39069" s="1"/>
      <c r="V39069" s="5"/>
    </row>
    <row r="39070">
      <c r="N39070" s="1"/>
      <c r="V39070" s="5"/>
    </row>
    <row r="39071">
      <c r="N39071" s="1"/>
      <c r="V39071" s="5"/>
    </row>
    <row r="39072">
      <c r="N39072" s="1"/>
      <c r="V39072" s="5"/>
    </row>
    <row r="39073">
      <c r="N39073" s="1"/>
      <c r="V39073" s="5"/>
    </row>
    <row r="39074">
      <c r="N39074" s="1"/>
      <c r="V39074" s="5"/>
    </row>
    <row r="39075">
      <c r="N39075" s="1"/>
      <c r="V39075" s="5"/>
    </row>
    <row r="39076">
      <c r="N39076" s="1"/>
      <c r="V39076" s="5"/>
    </row>
    <row r="39077">
      <c r="N39077" s="1"/>
      <c r="V39077" s="5"/>
    </row>
    <row r="39078">
      <c r="N39078" s="1"/>
      <c r="V39078" s="5"/>
    </row>
    <row r="39079">
      <c r="N39079" s="1"/>
      <c r="V39079" s="5"/>
    </row>
    <row r="39080">
      <c r="N39080" s="1"/>
      <c r="V39080" s="5"/>
    </row>
    <row r="39081">
      <c r="N39081" s="1"/>
      <c r="V39081" s="5"/>
    </row>
    <row r="39082">
      <c r="N39082" s="1"/>
      <c r="V39082" s="5"/>
    </row>
    <row r="39083">
      <c r="N39083" s="1"/>
      <c r="V39083" s="5"/>
    </row>
    <row r="39084">
      <c r="N39084" s="1"/>
      <c r="V39084" s="5"/>
    </row>
    <row r="39085">
      <c r="N39085" s="1"/>
      <c r="V39085" s="5"/>
    </row>
    <row r="39086">
      <c r="N39086" s="1"/>
      <c r="V39086" s="5"/>
    </row>
    <row r="39087">
      <c r="N39087" s="1"/>
      <c r="V39087" s="5"/>
    </row>
    <row r="39088">
      <c r="N39088" s="1"/>
      <c r="V39088" s="5"/>
    </row>
    <row r="39089">
      <c r="N39089" s="1"/>
      <c r="V39089" s="5"/>
    </row>
    <row r="39090">
      <c r="N39090" s="1"/>
      <c r="V39090" s="5"/>
    </row>
    <row r="39091">
      <c r="N39091" s="1"/>
      <c r="V39091" s="5"/>
    </row>
    <row r="39092">
      <c r="N39092" s="1"/>
      <c r="V39092" s="5"/>
    </row>
    <row r="39093">
      <c r="N39093" s="1"/>
      <c r="V39093" s="5"/>
    </row>
    <row r="39094">
      <c r="N39094" s="1"/>
      <c r="V39094" s="5"/>
    </row>
    <row r="39095">
      <c r="N39095" s="1"/>
      <c r="V39095" s="5"/>
    </row>
    <row r="39096">
      <c r="N39096" s="1"/>
      <c r="V39096" s="5"/>
    </row>
    <row r="39097">
      <c r="N39097" s="1"/>
      <c r="V39097" s="5"/>
    </row>
    <row r="39098">
      <c r="N39098" s="1"/>
      <c r="V39098" s="5"/>
    </row>
    <row r="39099">
      <c r="N39099" s="1"/>
      <c r="V39099" s="5"/>
    </row>
    <row r="39100">
      <c r="N39100" s="1"/>
      <c r="V39100" s="5"/>
    </row>
    <row r="39101">
      <c r="N39101" s="1"/>
      <c r="V39101" s="5"/>
    </row>
    <row r="39102">
      <c r="N39102" s="1"/>
      <c r="V39102" s="5"/>
    </row>
    <row r="39103">
      <c r="N39103" s="1"/>
      <c r="V39103" s="5"/>
    </row>
    <row r="39104">
      <c r="N39104" s="1"/>
      <c r="V39104" s="5"/>
    </row>
    <row r="39105">
      <c r="N39105" s="1"/>
      <c r="V39105" s="5"/>
    </row>
    <row r="39106">
      <c r="N39106" s="1"/>
      <c r="V39106" s="5"/>
    </row>
    <row r="39107">
      <c r="N39107" s="1"/>
      <c r="V39107" s="5"/>
    </row>
    <row r="39108">
      <c r="N39108" s="1"/>
      <c r="V39108" s="5"/>
    </row>
    <row r="39109">
      <c r="N39109" s="1"/>
      <c r="V39109" s="5"/>
    </row>
    <row r="39110">
      <c r="N39110" s="1"/>
      <c r="V39110" s="5"/>
    </row>
    <row r="39111">
      <c r="N39111" s="1"/>
      <c r="V39111" s="5"/>
    </row>
    <row r="39112">
      <c r="N39112" s="1"/>
      <c r="V39112" s="5"/>
    </row>
    <row r="39113">
      <c r="N39113" s="1"/>
      <c r="V39113" s="5"/>
    </row>
    <row r="39114">
      <c r="N39114" s="1"/>
      <c r="V39114" s="5"/>
    </row>
    <row r="39115">
      <c r="N39115" s="1"/>
      <c r="V39115" s="5"/>
    </row>
    <row r="39116">
      <c r="N39116" s="1"/>
      <c r="V39116" s="5"/>
    </row>
    <row r="39117">
      <c r="N39117" s="1"/>
      <c r="V39117" s="5"/>
    </row>
    <row r="39118">
      <c r="N39118" s="1"/>
      <c r="V39118" s="5"/>
    </row>
    <row r="39119">
      <c r="N39119" s="1"/>
      <c r="V39119" s="5"/>
    </row>
    <row r="39120">
      <c r="N39120" s="1"/>
      <c r="V39120" s="5"/>
    </row>
    <row r="39121">
      <c r="N39121" s="1"/>
      <c r="V39121" s="5"/>
    </row>
    <row r="39122">
      <c r="N39122" s="1"/>
      <c r="V39122" s="5"/>
    </row>
    <row r="39123">
      <c r="N39123" s="1"/>
      <c r="V39123" s="5"/>
    </row>
    <row r="39124">
      <c r="N39124" s="1"/>
      <c r="V39124" s="5"/>
    </row>
    <row r="39125">
      <c r="N39125" s="1"/>
      <c r="V39125" s="5"/>
    </row>
    <row r="39126">
      <c r="N39126" s="1"/>
      <c r="V39126" s="5"/>
    </row>
    <row r="39127">
      <c r="N39127" s="1"/>
      <c r="V39127" s="5"/>
    </row>
    <row r="39128">
      <c r="N39128" s="1"/>
      <c r="V39128" s="5"/>
    </row>
    <row r="39129">
      <c r="N39129" s="1"/>
      <c r="V39129" s="5"/>
    </row>
    <row r="39130">
      <c r="N39130" s="1"/>
      <c r="V39130" s="5"/>
    </row>
    <row r="39131">
      <c r="N39131" s="1"/>
      <c r="V39131" s="5"/>
    </row>
    <row r="39132">
      <c r="N39132" s="1"/>
      <c r="V39132" s="5"/>
    </row>
    <row r="39133">
      <c r="N39133" s="1"/>
      <c r="V39133" s="5"/>
    </row>
    <row r="39134">
      <c r="N39134" s="1"/>
      <c r="V39134" s="5"/>
    </row>
    <row r="39135">
      <c r="N39135" s="1"/>
      <c r="V39135" s="5"/>
    </row>
    <row r="39136">
      <c r="N39136" s="1"/>
      <c r="V39136" s="5"/>
    </row>
    <row r="39137">
      <c r="N39137" s="1"/>
      <c r="V39137" s="5"/>
    </row>
    <row r="39138">
      <c r="N39138" s="1"/>
      <c r="V39138" s="5"/>
    </row>
    <row r="39139">
      <c r="N39139" s="1"/>
      <c r="V39139" s="5"/>
    </row>
    <row r="39140">
      <c r="N39140" s="1"/>
      <c r="V39140" s="5"/>
    </row>
    <row r="39141">
      <c r="N39141" s="1"/>
      <c r="V39141" s="5"/>
    </row>
    <row r="39142">
      <c r="N39142" s="1"/>
      <c r="V39142" s="5"/>
    </row>
    <row r="39143">
      <c r="N39143" s="1"/>
      <c r="V39143" s="5"/>
    </row>
    <row r="39144">
      <c r="N39144" s="1"/>
      <c r="V39144" s="5"/>
    </row>
    <row r="39145">
      <c r="N39145" s="1"/>
      <c r="V39145" s="5"/>
    </row>
    <row r="39146">
      <c r="N39146" s="1"/>
      <c r="V39146" s="5"/>
    </row>
    <row r="39147">
      <c r="N39147" s="1"/>
      <c r="V39147" s="5"/>
    </row>
    <row r="39148">
      <c r="N39148" s="1"/>
      <c r="V39148" s="5"/>
    </row>
    <row r="39149">
      <c r="N39149" s="1"/>
      <c r="V39149" s="5"/>
    </row>
    <row r="39150">
      <c r="N39150" s="1"/>
      <c r="V39150" s="5"/>
    </row>
    <row r="39151">
      <c r="N39151" s="1"/>
      <c r="V39151" s="5"/>
    </row>
    <row r="39152">
      <c r="N39152" s="1"/>
      <c r="V39152" s="5"/>
    </row>
    <row r="39153">
      <c r="N39153" s="1"/>
      <c r="V39153" s="5"/>
    </row>
    <row r="39154">
      <c r="N39154" s="1"/>
      <c r="V39154" s="5"/>
    </row>
    <row r="39155">
      <c r="N39155" s="1"/>
      <c r="V39155" s="5"/>
    </row>
    <row r="39156">
      <c r="N39156" s="1"/>
      <c r="V39156" s="5"/>
    </row>
    <row r="39157">
      <c r="N39157" s="1"/>
      <c r="V39157" s="5"/>
    </row>
    <row r="39158">
      <c r="N39158" s="1"/>
      <c r="V39158" s="5"/>
    </row>
    <row r="39159">
      <c r="N39159" s="1"/>
      <c r="V39159" s="5"/>
    </row>
    <row r="39160">
      <c r="N39160" s="1"/>
      <c r="V39160" s="5"/>
    </row>
    <row r="39161">
      <c r="N39161" s="1"/>
      <c r="V39161" s="5"/>
    </row>
    <row r="39162">
      <c r="N39162" s="1"/>
      <c r="V39162" s="5"/>
    </row>
    <row r="39163">
      <c r="N39163" s="1"/>
      <c r="V39163" s="5"/>
    </row>
    <row r="39164">
      <c r="N39164" s="1"/>
      <c r="V39164" s="5"/>
    </row>
    <row r="39165">
      <c r="N39165" s="1"/>
      <c r="V39165" s="5"/>
    </row>
    <row r="39166">
      <c r="N39166" s="1"/>
      <c r="V39166" s="5"/>
    </row>
    <row r="39167">
      <c r="N39167" s="1"/>
      <c r="V39167" s="5"/>
    </row>
    <row r="39168">
      <c r="N39168" s="1"/>
      <c r="V39168" s="5"/>
    </row>
    <row r="39169">
      <c r="N39169" s="1"/>
      <c r="V39169" s="5"/>
    </row>
    <row r="39170">
      <c r="N39170" s="1"/>
      <c r="V39170" s="5"/>
    </row>
    <row r="39171">
      <c r="N39171" s="1"/>
      <c r="V39171" s="5"/>
    </row>
    <row r="39172">
      <c r="N39172" s="1"/>
      <c r="V39172" s="5"/>
    </row>
    <row r="39173">
      <c r="N39173" s="1"/>
      <c r="V39173" s="5"/>
    </row>
    <row r="39174">
      <c r="N39174" s="1"/>
      <c r="V39174" s="5"/>
    </row>
    <row r="39175">
      <c r="N39175" s="1"/>
      <c r="V39175" s="5"/>
    </row>
    <row r="39176">
      <c r="N39176" s="1"/>
      <c r="V39176" s="5"/>
    </row>
    <row r="39177">
      <c r="N39177" s="1"/>
      <c r="V39177" s="5"/>
    </row>
    <row r="39178">
      <c r="N39178" s="1"/>
      <c r="V39178" s="5"/>
    </row>
    <row r="39179">
      <c r="N39179" s="1"/>
      <c r="V39179" s="5"/>
    </row>
    <row r="39180">
      <c r="N39180" s="1"/>
      <c r="V39180" s="5"/>
    </row>
    <row r="39181">
      <c r="N39181" s="1"/>
      <c r="V39181" s="5"/>
    </row>
    <row r="39182">
      <c r="N39182" s="1"/>
      <c r="V39182" s="5"/>
    </row>
    <row r="39183">
      <c r="N39183" s="1"/>
      <c r="V39183" s="5"/>
    </row>
    <row r="39184">
      <c r="N39184" s="1"/>
      <c r="V39184" s="5"/>
    </row>
    <row r="39185">
      <c r="N39185" s="1"/>
      <c r="V39185" s="5"/>
    </row>
    <row r="39186">
      <c r="N39186" s="1"/>
      <c r="V39186" s="5"/>
    </row>
    <row r="39187">
      <c r="N39187" s="1"/>
      <c r="V39187" s="5"/>
    </row>
    <row r="39188">
      <c r="N39188" s="1"/>
      <c r="V39188" s="5"/>
    </row>
    <row r="39189">
      <c r="N39189" s="1"/>
      <c r="V39189" s="5"/>
    </row>
    <row r="39190">
      <c r="N39190" s="1"/>
      <c r="V39190" s="5"/>
    </row>
    <row r="39191">
      <c r="N39191" s="1"/>
      <c r="V39191" s="5"/>
    </row>
    <row r="39192">
      <c r="N39192" s="1"/>
      <c r="V39192" s="5"/>
    </row>
    <row r="39193">
      <c r="N39193" s="1"/>
      <c r="V39193" s="5"/>
    </row>
    <row r="39194">
      <c r="N39194" s="1"/>
      <c r="V39194" s="5"/>
    </row>
    <row r="39195">
      <c r="N39195" s="1"/>
      <c r="V39195" s="5"/>
    </row>
    <row r="39196">
      <c r="N39196" s="1"/>
      <c r="V39196" s="5"/>
    </row>
    <row r="39197">
      <c r="N39197" s="1"/>
      <c r="V39197" s="5"/>
    </row>
    <row r="39198">
      <c r="N39198" s="1"/>
      <c r="V39198" s="5"/>
    </row>
    <row r="39199">
      <c r="N39199" s="1"/>
      <c r="V39199" s="5"/>
    </row>
    <row r="39200">
      <c r="N39200" s="1"/>
      <c r="V39200" s="5"/>
    </row>
    <row r="39201">
      <c r="N39201" s="1"/>
      <c r="V39201" s="5"/>
    </row>
    <row r="39202">
      <c r="N39202" s="1"/>
      <c r="V39202" s="5"/>
    </row>
    <row r="39203">
      <c r="N39203" s="1"/>
      <c r="V39203" s="5"/>
    </row>
    <row r="39204">
      <c r="N39204" s="1"/>
      <c r="V39204" s="5"/>
    </row>
    <row r="39205">
      <c r="N39205" s="1"/>
      <c r="V39205" s="5"/>
    </row>
    <row r="39206">
      <c r="N39206" s="1"/>
      <c r="V39206" s="5"/>
    </row>
    <row r="39207">
      <c r="N39207" s="1"/>
      <c r="V39207" s="5"/>
    </row>
    <row r="39208">
      <c r="N39208" s="1"/>
      <c r="V39208" s="5"/>
    </row>
    <row r="39209">
      <c r="N39209" s="1"/>
      <c r="V39209" s="5"/>
    </row>
    <row r="39210">
      <c r="N39210" s="1"/>
      <c r="V39210" s="5"/>
    </row>
    <row r="39211">
      <c r="N39211" s="1"/>
      <c r="V39211" s="5"/>
    </row>
    <row r="39212">
      <c r="N39212" s="1"/>
      <c r="V39212" s="5"/>
    </row>
    <row r="39213">
      <c r="N39213" s="1"/>
      <c r="V39213" s="5"/>
    </row>
    <row r="39214">
      <c r="N39214" s="1"/>
      <c r="V39214" s="5"/>
    </row>
    <row r="39215">
      <c r="N39215" s="1"/>
      <c r="V39215" s="5"/>
    </row>
    <row r="39216">
      <c r="N39216" s="1"/>
      <c r="V39216" s="5"/>
    </row>
    <row r="39217">
      <c r="N39217" s="1"/>
      <c r="V39217" s="5"/>
    </row>
    <row r="39218">
      <c r="N39218" s="1"/>
      <c r="V39218" s="5"/>
    </row>
    <row r="39219">
      <c r="N39219" s="1"/>
      <c r="V39219" s="5"/>
    </row>
    <row r="39220">
      <c r="N39220" s="1"/>
      <c r="V39220" s="5"/>
    </row>
    <row r="39221">
      <c r="N39221" s="1"/>
      <c r="V39221" s="5"/>
    </row>
    <row r="39222">
      <c r="N39222" s="1"/>
      <c r="V39222" s="5"/>
    </row>
    <row r="39223">
      <c r="N39223" s="1"/>
      <c r="V39223" s="5"/>
    </row>
    <row r="39224">
      <c r="N39224" s="1"/>
      <c r="V39224" s="5"/>
    </row>
    <row r="39225">
      <c r="N39225" s="1"/>
      <c r="V39225" s="5"/>
    </row>
    <row r="39226">
      <c r="N39226" s="1"/>
      <c r="V39226" s="5"/>
    </row>
    <row r="39227">
      <c r="N39227" s="1"/>
      <c r="V39227" s="5"/>
    </row>
    <row r="39228">
      <c r="N39228" s="1"/>
      <c r="V39228" s="5"/>
    </row>
    <row r="39229">
      <c r="N39229" s="1"/>
      <c r="V39229" s="5"/>
    </row>
    <row r="39230">
      <c r="N39230" s="1"/>
      <c r="V39230" s="5"/>
    </row>
    <row r="39231">
      <c r="N39231" s="1"/>
      <c r="V39231" s="5"/>
    </row>
    <row r="39232">
      <c r="N39232" s="1"/>
      <c r="V39232" s="5"/>
    </row>
    <row r="39233">
      <c r="N39233" s="1"/>
      <c r="V39233" s="5"/>
    </row>
    <row r="39234">
      <c r="N39234" s="1"/>
      <c r="V39234" s="5"/>
    </row>
    <row r="39235">
      <c r="N39235" s="1"/>
      <c r="V39235" s="5"/>
    </row>
    <row r="39236">
      <c r="N39236" s="1"/>
      <c r="V39236" s="5"/>
    </row>
    <row r="39237">
      <c r="N39237" s="1"/>
      <c r="V39237" s="5"/>
    </row>
    <row r="39238">
      <c r="N39238" s="1"/>
      <c r="V39238" s="5"/>
    </row>
    <row r="39239">
      <c r="N39239" s="1"/>
      <c r="V39239" s="5"/>
    </row>
    <row r="39240">
      <c r="N39240" s="1"/>
      <c r="V39240" s="5"/>
    </row>
    <row r="39241">
      <c r="N39241" s="1"/>
      <c r="V39241" s="5"/>
    </row>
    <row r="39242">
      <c r="N39242" s="1"/>
      <c r="V39242" s="5"/>
    </row>
    <row r="39243">
      <c r="N39243" s="1"/>
      <c r="V39243" s="5"/>
    </row>
    <row r="39244">
      <c r="N39244" s="1"/>
      <c r="V39244" s="5"/>
    </row>
    <row r="39245">
      <c r="N39245" s="1"/>
      <c r="V39245" s="5"/>
    </row>
    <row r="39246">
      <c r="N39246" s="1"/>
      <c r="V39246" s="5"/>
    </row>
    <row r="39247">
      <c r="N39247" s="1"/>
      <c r="V39247" s="5"/>
    </row>
    <row r="39248">
      <c r="N39248" s="1"/>
      <c r="V39248" s="5"/>
    </row>
    <row r="39249">
      <c r="N39249" s="1"/>
      <c r="V39249" s="5"/>
    </row>
    <row r="39250">
      <c r="N39250" s="1"/>
      <c r="V39250" s="5"/>
    </row>
    <row r="39251">
      <c r="N39251" s="1"/>
      <c r="V39251" s="5"/>
    </row>
    <row r="39252">
      <c r="N39252" s="1"/>
      <c r="V39252" s="5"/>
    </row>
    <row r="39253">
      <c r="N39253" s="1"/>
      <c r="V39253" s="5"/>
    </row>
    <row r="39254">
      <c r="N39254" s="1"/>
      <c r="V39254" s="5"/>
    </row>
    <row r="39255">
      <c r="N39255" s="1"/>
      <c r="V39255" s="5"/>
    </row>
    <row r="39256">
      <c r="N39256" s="1"/>
      <c r="V39256" s="5"/>
    </row>
    <row r="39257">
      <c r="N39257" s="1"/>
      <c r="V39257" s="5"/>
    </row>
    <row r="39258">
      <c r="N39258" s="1"/>
      <c r="V39258" s="5"/>
    </row>
    <row r="39259">
      <c r="N39259" s="1"/>
      <c r="V39259" s="5"/>
    </row>
    <row r="39260">
      <c r="N39260" s="1"/>
      <c r="V39260" s="5"/>
    </row>
    <row r="39261">
      <c r="N39261" s="1"/>
      <c r="V39261" s="5"/>
    </row>
    <row r="39262">
      <c r="N39262" s="1"/>
      <c r="V39262" s="5"/>
    </row>
    <row r="39263">
      <c r="N39263" s="1"/>
      <c r="V39263" s="5"/>
    </row>
    <row r="39264">
      <c r="N39264" s="1"/>
      <c r="V39264" s="5"/>
    </row>
    <row r="39265">
      <c r="N39265" s="1"/>
      <c r="V39265" s="5"/>
    </row>
    <row r="39266">
      <c r="N39266" s="1"/>
      <c r="V39266" s="5"/>
    </row>
    <row r="39267">
      <c r="N39267" s="1"/>
      <c r="V39267" s="5"/>
    </row>
    <row r="39268">
      <c r="N39268" s="1"/>
      <c r="V39268" s="5"/>
    </row>
    <row r="39269">
      <c r="N39269" s="1"/>
      <c r="V39269" s="5"/>
    </row>
    <row r="39270">
      <c r="N39270" s="1"/>
      <c r="V39270" s="5"/>
    </row>
    <row r="39271">
      <c r="N39271" s="1"/>
      <c r="V39271" s="5"/>
    </row>
    <row r="39272">
      <c r="N39272" s="1"/>
      <c r="V39272" s="5"/>
    </row>
    <row r="39273">
      <c r="N39273" s="1"/>
      <c r="V39273" s="5"/>
    </row>
    <row r="39274">
      <c r="N39274" s="1"/>
      <c r="V39274" s="5"/>
    </row>
    <row r="39275">
      <c r="N39275" s="1"/>
      <c r="V39275" s="5"/>
    </row>
    <row r="39276">
      <c r="N39276" s="1"/>
      <c r="V39276" s="5"/>
    </row>
    <row r="39277">
      <c r="N39277" s="1"/>
      <c r="V39277" s="5"/>
    </row>
    <row r="39278">
      <c r="N39278" s="1"/>
      <c r="V39278" s="5"/>
    </row>
    <row r="39279">
      <c r="N39279" s="1"/>
      <c r="V39279" s="5"/>
    </row>
    <row r="39280">
      <c r="N39280" s="1"/>
      <c r="V39280" s="5"/>
    </row>
    <row r="39281">
      <c r="N39281" s="1"/>
      <c r="V39281" s="5"/>
    </row>
    <row r="39282">
      <c r="N39282" s="1"/>
      <c r="V39282" s="5"/>
    </row>
    <row r="39283">
      <c r="N39283" s="1"/>
      <c r="V39283" s="5"/>
    </row>
    <row r="39284">
      <c r="N39284" s="1"/>
      <c r="V39284" s="5"/>
    </row>
    <row r="39285">
      <c r="N39285" s="1"/>
      <c r="V39285" s="5"/>
    </row>
    <row r="39286">
      <c r="N39286" s="1"/>
      <c r="V39286" s="5"/>
    </row>
    <row r="39287">
      <c r="N39287" s="1"/>
      <c r="V39287" s="5"/>
    </row>
    <row r="39288">
      <c r="N39288" s="1"/>
      <c r="V39288" s="5"/>
    </row>
    <row r="39289">
      <c r="N39289" s="1"/>
      <c r="V39289" s="5"/>
    </row>
    <row r="39290">
      <c r="N39290" s="1"/>
      <c r="V39290" s="5"/>
    </row>
    <row r="39291">
      <c r="N39291" s="1"/>
      <c r="V39291" s="5"/>
    </row>
    <row r="39292">
      <c r="N39292" s="1"/>
      <c r="V39292" s="5"/>
    </row>
    <row r="39293">
      <c r="N39293" s="1"/>
      <c r="V39293" s="5"/>
    </row>
    <row r="39294">
      <c r="N39294" s="1"/>
      <c r="V39294" s="5"/>
    </row>
    <row r="39295">
      <c r="N39295" s="1"/>
      <c r="V39295" s="5"/>
    </row>
    <row r="39296">
      <c r="N39296" s="1"/>
      <c r="V39296" s="5"/>
    </row>
    <row r="39297">
      <c r="N39297" s="1"/>
      <c r="V39297" s="5"/>
    </row>
    <row r="39298">
      <c r="N39298" s="1"/>
      <c r="V39298" s="5"/>
    </row>
    <row r="39299">
      <c r="N39299" s="1"/>
      <c r="V39299" s="5"/>
    </row>
    <row r="39300">
      <c r="N39300" s="1"/>
      <c r="V39300" s="5"/>
    </row>
    <row r="39301">
      <c r="N39301" s="1"/>
      <c r="V39301" s="5"/>
    </row>
    <row r="39302">
      <c r="N39302" s="1"/>
      <c r="V39302" s="5"/>
    </row>
    <row r="39303">
      <c r="N39303" s="1"/>
      <c r="V39303" s="5"/>
    </row>
    <row r="39304">
      <c r="N39304" s="1"/>
      <c r="V39304" s="5"/>
    </row>
    <row r="39305">
      <c r="N39305" s="1"/>
      <c r="V39305" s="5"/>
    </row>
    <row r="39306">
      <c r="N39306" s="1"/>
      <c r="V39306" s="5"/>
    </row>
    <row r="39307">
      <c r="N39307" s="1"/>
      <c r="V39307" s="5"/>
    </row>
    <row r="39308">
      <c r="N39308" s="1"/>
      <c r="V39308" s="5"/>
    </row>
    <row r="39309">
      <c r="N39309" s="1"/>
      <c r="V39309" s="5"/>
    </row>
    <row r="39310">
      <c r="N39310" s="1"/>
      <c r="V39310" s="5"/>
    </row>
    <row r="39311">
      <c r="N39311" s="1"/>
      <c r="V39311" s="5"/>
    </row>
    <row r="39312">
      <c r="N39312" s="1"/>
      <c r="V39312" s="5"/>
    </row>
    <row r="39313">
      <c r="N39313" s="1"/>
      <c r="V39313" s="5"/>
    </row>
    <row r="39314">
      <c r="N39314" s="1"/>
      <c r="V39314" s="5"/>
    </row>
    <row r="39315">
      <c r="N39315" s="1"/>
      <c r="V39315" s="5"/>
    </row>
    <row r="39316">
      <c r="N39316" s="1"/>
      <c r="V39316" s="5"/>
    </row>
    <row r="39317">
      <c r="N39317" s="1"/>
      <c r="V39317" s="5"/>
    </row>
    <row r="39318">
      <c r="N39318" s="1"/>
      <c r="V39318" s="5"/>
    </row>
    <row r="39319">
      <c r="N39319" s="1"/>
      <c r="V39319" s="5"/>
    </row>
    <row r="39320">
      <c r="N39320" s="1"/>
      <c r="V39320" s="5"/>
    </row>
    <row r="39321">
      <c r="N39321" s="1"/>
      <c r="V39321" s="5"/>
    </row>
    <row r="39322">
      <c r="N39322" s="1"/>
      <c r="V39322" s="5"/>
    </row>
    <row r="39323">
      <c r="N39323" s="1"/>
      <c r="V39323" s="5"/>
    </row>
    <row r="39324">
      <c r="N39324" s="1"/>
      <c r="V39324" s="5"/>
    </row>
    <row r="39325">
      <c r="N39325" s="1"/>
      <c r="V39325" s="5"/>
    </row>
    <row r="39326">
      <c r="N39326" s="1"/>
      <c r="V39326" s="5"/>
    </row>
    <row r="39327">
      <c r="N39327" s="1"/>
      <c r="V39327" s="5"/>
    </row>
    <row r="39328">
      <c r="N39328" s="1"/>
      <c r="V39328" s="5"/>
    </row>
    <row r="39329">
      <c r="N39329" s="1"/>
      <c r="V39329" s="5"/>
    </row>
    <row r="39330">
      <c r="N39330" s="1"/>
      <c r="V39330" s="5"/>
    </row>
    <row r="39331">
      <c r="N39331" s="1"/>
      <c r="V39331" s="5"/>
    </row>
    <row r="39332">
      <c r="N39332" s="1"/>
      <c r="V39332" s="5"/>
    </row>
    <row r="39333">
      <c r="N39333" s="1"/>
      <c r="V39333" s="5"/>
    </row>
    <row r="39334">
      <c r="N39334" s="1"/>
      <c r="V39334" s="5"/>
    </row>
    <row r="39335">
      <c r="N39335" s="1"/>
      <c r="V39335" s="5"/>
    </row>
    <row r="39336">
      <c r="N39336" s="1"/>
      <c r="V39336" s="5"/>
    </row>
    <row r="39337">
      <c r="N39337" s="1"/>
      <c r="V39337" s="5"/>
    </row>
    <row r="39338">
      <c r="N39338" s="1"/>
      <c r="V39338" s="5"/>
    </row>
    <row r="39339">
      <c r="N39339" s="1"/>
      <c r="V39339" s="5"/>
    </row>
    <row r="39340">
      <c r="N39340" s="1"/>
      <c r="V39340" s="5"/>
    </row>
    <row r="39341">
      <c r="N39341" s="1"/>
      <c r="V39341" s="5"/>
    </row>
    <row r="39342">
      <c r="N39342" s="1"/>
      <c r="V39342" s="5"/>
    </row>
    <row r="39343">
      <c r="N39343" s="1"/>
      <c r="V39343" s="5"/>
    </row>
    <row r="39344">
      <c r="N39344" s="1"/>
      <c r="V39344" s="5"/>
    </row>
    <row r="39345">
      <c r="N39345" s="1"/>
      <c r="V39345" s="5"/>
    </row>
    <row r="39346">
      <c r="N39346" s="1"/>
      <c r="V39346" s="5"/>
    </row>
    <row r="39347">
      <c r="N39347" s="1"/>
      <c r="V39347" s="5"/>
    </row>
    <row r="39348">
      <c r="N39348" s="1"/>
      <c r="V39348" s="5"/>
    </row>
    <row r="39349">
      <c r="N39349" s="1"/>
      <c r="V39349" s="5"/>
    </row>
    <row r="39350">
      <c r="N39350" s="1"/>
      <c r="V39350" s="5"/>
    </row>
    <row r="39351">
      <c r="N39351" s="1"/>
      <c r="V39351" s="5"/>
    </row>
    <row r="39352">
      <c r="N39352" s="1"/>
      <c r="V39352" s="5"/>
    </row>
    <row r="39353">
      <c r="N39353" s="1"/>
      <c r="V39353" s="5"/>
    </row>
    <row r="39354">
      <c r="N39354" s="1"/>
      <c r="V39354" s="5"/>
    </row>
    <row r="39355">
      <c r="N39355" s="1"/>
      <c r="V39355" s="5"/>
    </row>
    <row r="39356">
      <c r="N39356" s="1"/>
      <c r="V39356" s="5"/>
    </row>
    <row r="39357">
      <c r="N39357" s="1"/>
      <c r="V39357" s="5"/>
    </row>
    <row r="39358">
      <c r="N39358" s="1"/>
      <c r="V39358" s="5"/>
    </row>
    <row r="39359">
      <c r="N39359" s="1"/>
      <c r="V39359" s="5"/>
    </row>
    <row r="39360">
      <c r="N39360" s="1"/>
      <c r="V39360" s="5"/>
    </row>
    <row r="39361">
      <c r="N39361" s="1"/>
      <c r="V39361" s="5"/>
    </row>
    <row r="39362">
      <c r="N39362" s="1"/>
      <c r="V39362" s="5"/>
    </row>
    <row r="39363">
      <c r="N39363" s="1"/>
      <c r="V39363" s="5"/>
    </row>
    <row r="39364">
      <c r="N39364" s="1"/>
      <c r="V39364" s="5"/>
    </row>
    <row r="39365">
      <c r="N39365" s="1"/>
      <c r="V39365" s="5"/>
    </row>
    <row r="39366">
      <c r="N39366" s="1"/>
      <c r="V39366" s="5"/>
    </row>
    <row r="39367">
      <c r="N39367" s="1"/>
      <c r="V39367" s="5"/>
    </row>
    <row r="39368">
      <c r="N39368" s="1"/>
      <c r="V39368" s="5"/>
    </row>
    <row r="39369">
      <c r="N39369" s="1"/>
      <c r="V39369" s="5"/>
    </row>
    <row r="39370">
      <c r="N39370" s="1"/>
      <c r="V39370" s="5"/>
    </row>
    <row r="39371">
      <c r="N39371" s="1"/>
      <c r="V39371" s="5"/>
    </row>
    <row r="39372">
      <c r="N39372" s="1"/>
      <c r="V39372" s="5"/>
    </row>
    <row r="39373">
      <c r="N39373" s="1"/>
      <c r="V39373" s="5"/>
    </row>
    <row r="39374">
      <c r="N39374" s="1"/>
      <c r="V39374" s="5"/>
    </row>
    <row r="39375">
      <c r="N39375" s="1"/>
      <c r="V39375" s="5"/>
    </row>
    <row r="39376">
      <c r="N39376" s="1"/>
      <c r="V39376" s="5"/>
    </row>
    <row r="39377">
      <c r="N39377" s="1"/>
      <c r="V39377" s="5"/>
    </row>
    <row r="39378">
      <c r="N39378" s="1"/>
      <c r="V39378" s="5"/>
    </row>
    <row r="39379">
      <c r="N39379" s="1"/>
      <c r="V39379" s="5"/>
    </row>
    <row r="39380">
      <c r="N39380" s="1"/>
      <c r="V39380" s="5"/>
    </row>
    <row r="39381">
      <c r="N39381" s="1"/>
      <c r="V39381" s="5"/>
    </row>
    <row r="39382">
      <c r="N39382" s="1"/>
      <c r="V39382" s="5"/>
    </row>
    <row r="39383">
      <c r="N39383" s="1"/>
      <c r="V39383" s="5"/>
    </row>
    <row r="39384">
      <c r="N39384" s="1"/>
      <c r="V39384" s="5"/>
    </row>
    <row r="39385">
      <c r="N39385" s="1"/>
      <c r="V39385" s="5"/>
    </row>
    <row r="39386">
      <c r="N39386" s="1"/>
      <c r="V39386" s="5"/>
    </row>
    <row r="39387">
      <c r="N39387" s="1"/>
      <c r="V39387" s="5"/>
    </row>
    <row r="39388">
      <c r="N39388" s="1"/>
      <c r="V39388" s="5"/>
    </row>
    <row r="39389">
      <c r="N39389" s="1"/>
      <c r="V39389" s="5"/>
    </row>
    <row r="39390">
      <c r="N39390" s="1"/>
      <c r="V39390" s="5"/>
    </row>
    <row r="39391">
      <c r="N39391" s="1"/>
      <c r="V39391" s="5"/>
    </row>
    <row r="39392">
      <c r="N39392" s="1"/>
      <c r="V39392" s="5"/>
    </row>
    <row r="39393">
      <c r="N39393" s="1"/>
      <c r="V39393" s="5"/>
    </row>
    <row r="39394">
      <c r="N39394" s="1"/>
      <c r="V39394" s="5"/>
    </row>
    <row r="39395">
      <c r="N39395" s="1"/>
      <c r="V39395" s="5"/>
    </row>
    <row r="39396">
      <c r="N39396" s="1"/>
      <c r="V39396" s="5"/>
    </row>
    <row r="39397">
      <c r="N39397" s="1"/>
      <c r="V39397" s="5"/>
    </row>
    <row r="39398">
      <c r="N39398" s="1"/>
      <c r="V39398" s="5"/>
    </row>
    <row r="39399">
      <c r="N39399" s="1"/>
      <c r="V39399" s="5"/>
    </row>
    <row r="39400">
      <c r="N39400" s="1"/>
      <c r="V39400" s="5"/>
    </row>
    <row r="39401">
      <c r="N39401" s="1"/>
      <c r="V39401" s="5"/>
    </row>
    <row r="39402">
      <c r="N39402" s="1"/>
      <c r="V39402" s="5"/>
    </row>
    <row r="39403">
      <c r="N39403" s="1"/>
      <c r="V39403" s="5"/>
    </row>
    <row r="39404">
      <c r="N39404" s="1"/>
      <c r="V39404" s="5"/>
    </row>
    <row r="39405">
      <c r="N39405" s="1"/>
      <c r="V39405" s="5"/>
    </row>
    <row r="39406">
      <c r="N39406" s="1"/>
      <c r="V39406" s="5"/>
    </row>
    <row r="39407">
      <c r="N39407" s="1"/>
      <c r="V39407" s="5"/>
    </row>
    <row r="39408">
      <c r="N39408" s="1"/>
      <c r="V39408" s="5"/>
    </row>
    <row r="39409">
      <c r="N39409" s="1"/>
      <c r="V39409" s="5"/>
    </row>
    <row r="39410">
      <c r="N39410" s="1"/>
      <c r="V39410" s="5"/>
    </row>
    <row r="39411">
      <c r="N39411" s="1"/>
      <c r="V39411" s="5"/>
    </row>
    <row r="39412">
      <c r="N39412" s="1"/>
      <c r="V39412" s="5"/>
    </row>
    <row r="39413">
      <c r="N39413" s="1"/>
      <c r="V39413" s="5"/>
    </row>
    <row r="39414">
      <c r="N39414" s="1"/>
      <c r="V39414" s="5"/>
    </row>
    <row r="39415">
      <c r="N39415" s="1"/>
      <c r="V39415" s="5"/>
    </row>
    <row r="39416">
      <c r="N39416" s="1"/>
      <c r="V39416" s="5"/>
    </row>
    <row r="39417">
      <c r="N39417" s="1"/>
      <c r="V39417" s="5"/>
    </row>
    <row r="39418">
      <c r="N39418" s="1"/>
      <c r="V39418" s="5"/>
    </row>
    <row r="39419">
      <c r="N39419" s="1"/>
      <c r="V39419" s="5"/>
    </row>
    <row r="39420">
      <c r="N39420" s="1"/>
      <c r="V39420" s="5"/>
    </row>
    <row r="39421">
      <c r="N39421" s="1"/>
      <c r="V39421" s="5"/>
    </row>
    <row r="39422">
      <c r="N39422" s="1"/>
      <c r="V39422" s="5"/>
    </row>
    <row r="39423">
      <c r="N39423" s="1"/>
      <c r="V39423" s="5"/>
    </row>
    <row r="39424">
      <c r="N39424" s="1"/>
      <c r="V39424" s="5"/>
    </row>
    <row r="39425">
      <c r="N39425" s="1"/>
      <c r="V39425" s="5"/>
    </row>
    <row r="39426">
      <c r="N39426" s="1"/>
      <c r="V39426" s="5"/>
    </row>
    <row r="39427">
      <c r="N39427" s="1"/>
      <c r="V39427" s="5"/>
    </row>
    <row r="39428">
      <c r="N39428" s="1"/>
      <c r="V39428" s="5"/>
    </row>
    <row r="39429">
      <c r="N39429" s="1"/>
      <c r="V39429" s="5"/>
    </row>
    <row r="39430">
      <c r="N39430" s="1"/>
      <c r="V39430" s="5"/>
    </row>
    <row r="39431">
      <c r="N39431" s="1"/>
      <c r="V39431" s="5"/>
    </row>
    <row r="39432">
      <c r="N39432" s="1"/>
      <c r="V39432" s="5"/>
    </row>
    <row r="39433">
      <c r="N39433" s="1"/>
      <c r="V39433" s="5"/>
    </row>
    <row r="39434">
      <c r="N39434" s="1"/>
      <c r="V39434" s="5"/>
    </row>
    <row r="39435">
      <c r="N39435" s="1"/>
      <c r="V39435" s="5"/>
    </row>
    <row r="39436">
      <c r="N39436" s="1"/>
      <c r="V39436" s="5"/>
    </row>
    <row r="39437">
      <c r="N39437" s="1"/>
      <c r="V39437" s="5"/>
    </row>
    <row r="39438">
      <c r="N39438" s="1"/>
      <c r="V39438" s="5"/>
    </row>
    <row r="39439">
      <c r="N39439" s="1"/>
      <c r="V39439" s="5"/>
    </row>
    <row r="39440">
      <c r="N39440" s="1"/>
      <c r="V39440" s="5"/>
    </row>
    <row r="39441">
      <c r="N39441" s="1"/>
      <c r="V39441" s="5"/>
    </row>
    <row r="39442">
      <c r="N39442" s="1"/>
      <c r="V39442" s="5"/>
    </row>
    <row r="39443">
      <c r="N39443" s="1"/>
      <c r="V39443" s="5"/>
    </row>
    <row r="39444">
      <c r="N39444" s="1"/>
      <c r="V39444" s="5"/>
    </row>
    <row r="39445">
      <c r="N39445" s="1"/>
      <c r="V39445" s="5"/>
    </row>
    <row r="39446">
      <c r="N39446" s="1"/>
      <c r="V39446" s="5"/>
    </row>
    <row r="39447">
      <c r="N39447" s="1"/>
      <c r="V39447" s="5"/>
    </row>
    <row r="39448">
      <c r="N39448" s="1"/>
      <c r="V39448" s="5"/>
    </row>
    <row r="39449">
      <c r="N39449" s="1"/>
      <c r="V39449" s="5"/>
    </row>
    <row r="39450">
      <c r="N39450" s="1"/>
      <c r="V39450" s="5"/>
    </row>
    <row r="39451">
      <c r="N39451" s="1"/>
      <c r="V39451" s="5"/>
    </row>
    <row r="39452">
      <c r="N39452" s="1"/>
      <c r="V39452" s="5"/>
    </row>
    <row r="39453">
      <c r="N39453" s="1"/>
      <c r="V39453" s="5"/>
    </row>
    <row r="39454">
      <c r="N39454" s="1"/>
      <c r="V39454" s="5"/>
    </row>
    <row r="39455">
      <c r="N39455" s="1"/>
      <c r="V39455" s="5"/>
    </row>
    <row r="39456">
      <c r="N39456" s="1"/>
      <c r="V39456" s="5"/>
    </row>
    <row r="39457">
      <c r="N39457" s="1"/>
      <c r="V39457" s="5"/>
    </row>
    <row r="39458">
      <c r="N39458" s="1"/>
      <c r="V39458" s="5"/>
    </row>
    <row r="39459">
      <c r="N39459" s="1"/>
      <c r="V39459" s="5"/>
    </row>
    <row r="39460">
      <c r="N39460" s="1"/>
      <c r="V39460" s="5"/>
    </row>
    <row r="39461">
      <c r="N39461" s="1"/>
      <c r="V39461" s="5"/>
    </row>
    <row r="39462">
      <c r="N39462" s="1"/>
      <c r="V39462" s="5"/>
    </row>
    <row r="39463">
      <c r="N39463" s="1"/>
      <c r="V39463" s="5"/>
    </row>
    <row r="39464">
      <c r="N39464" s="1"/>
      <c r="V39464" s="5"/>
    </row>
    <row r="39465">
      <c r="N39465" s="1"/>
      <c r="V39465" s="5"/>
    </row>
    <row r="39466">
      <c r="N39466" s="1"/>
      <c r="V39466" s="5"/>
    </row>
    <row r="39467">
      <c r="N39467" s="1"/>
      <c r="V39467" s="5"/>
    </row>
    <row r="39468">
      <c r="N39468" s="1"/>
      <c r="V39468" s="5"/>
    </row>
    <row r="39469">
      <c r="N39469" s="1"/>
      <c r="V39469" s="5"/>
    </row>
    <row r="39470">
      <c r="N39470" s="1"/>
      <c r="V39470" s="5"/>
    </row>
    <row r="39471">
      <c r="N39471" s="1"/>
      <c r="V39471" s="5"/>
    </row>
    <row r="39472">
      <c r="N39472" s="1"/>
      <c r="V39472" s="5"/>
    </row>
    <row r="39473">
      <c r="N39473" s="1"/>
      <c r="V39473" s="5"/>
    </row>
    <row r="39474">
      <c r="N39474" s="1"/>
      <c r="V39474" s="5"/>
    </row>
    <row r="39475">
      <c r="N39475" s="1"/>
      <c r="V39475" s="5"/>
    </row>
    <row r="39476">
      <c r="N39476" s="1"/>
      <c r="V39476" s="5"/>
    </row>
    <row r="39477">
      <c r="N39477" s="1"/>
      <c r="V39477" s="5"/>
    </row>
    <row r="39478">
      <c r="N39478" s="1"/>
      <c r="V39478" s="5"/>
    </row>
    <row r="39479">
      <c r="N39479" s="1"/>
      <c r="V39479" s="5"/>
    </row>
    <row r="39480">
      <c r="N39480" s="1"/>
      <c r="V39480" s="5"/>
    </row>
    <row r="39481">
      <c r="N39481" s="1"/>
      <c r="V39481" s="5"/>
    </row>
    <row r="39482">
      <c r="N39482" s="1"/>
      <c r="V39482" s="5"/>
    </row>
    <row r="39483">
      <c r="N39483" s="1"/>
      <c r="V39483" s="5"/>
    </row>
    <row r="39484">
      <c r="N39484" s="1"/>
      <c r="V39484" s="5"/>
    </row>
    <row r="39485">
      <c r="N39485" s="1"/>
      <c r="V39485" s="5"/>
    </row>
    <row r="39486">
      <c r="N39486" s="1"/>
      <c r="V39486" s="5"/>
    </row>
    <row r="39487">
      <c r="N39487" s="1"/>
      <c r="V39487" s="5"/>
    </row>
    <row r="39488">
      <c r="N39488" s="1"/>
      <c r="V39488" s="5"/>
    </row>
    <row r="39489">
      <c r="N39489" s="1"/>
      <c r="V39489" s="5"/>
    </row>
    <row r="39490">
      <c r="N39490" s="1"/>
      <c r="V39490" s="5"/>
    </row>
    <row r="39491">
      <c r="N39491" s="1"/>
      <c r="V39491" s="5"/>
    </row>
    <row r="39492">
      <c r="N39492" s="1"/>
      <c r="V39492" s="5"/>
    </row>
    <row r="39493">
      <c r="N39493" s="1"/>
      <c r="V39493" s="5"/>
    </row>
    <row r="39494">
      <c r="N39494" s="1"/>
      <c r="V39494" s="5"/>
    </row>
    <row r="39495">
      <c r="N39495" s="1"/>
      <c r="V39495" s="5"/>
    </row>
    <row r="39496">
      <c r="N39496" s="1"/>
      <c r="V39496" s="5"/>
    </row>
    <row r="39497">
      <c r="N39497" s="1"/>
      <c r="V39497" s="5"/>
    </row>
    <row r="39498">
      <c r="N39498" s="1"/>
      <c r="V39498" s="5"/>
    </row>
    <row r="39499">
      <c r="N39499" s="1"/>
      <c r="V39499" s="5"/>
    </row>
    <row r="39500">
      <c r="N39500" s="1"/>
      <c r="V39500" s="5"/>
    </row>
    <row r="39501">
      <c r="N39501" s="1"/>
      <c r="V39501" s="5"/>
    </row>
    <row r="39502">
      <c r="N39502" s="1"/>
      <c r="V39502" s="5"/>
    </row>
    <row r="39503">
      <c r="N39503" s="1"/>
      <c r="V39503" s="5"/>
    </row>
    <row r="39504">
      <c r="N39504" s="1"/>
      <c r="V39504" s="5"/>
    </row>
    <row r="39505">
      <c r="N39505" s="1"/>
      <c r="V39505" s="5"/>
    </row>
    <row r="39506">
      <c r="N39506" s="1"/>
      <c r="V39506" s="5"/>
    </row>
    <row r="39507">
      <c r="N39507" s="1"/>
      <c r="V39507" s="5"/>
    </row>
    <row r="39508">
      <c r="N39508" s="1"/>
      <c r="V39508" s="5"/>
    </row>
    <row r="39509">
      <c r="N39509" s="1"/>
      <c r="V39509" s="5"/>
    </row>
    <row r="39510">
      <c r="N39510" s="1"/>
      <c r="V39510" s="5"/>
    </row>
    <row r="39511">
      <c r="N39511" s="1"/>
      <c r="V39511" s="5"/>
    </row>
    <row r="39512">
      <c r="N39512" s="1"/>
      <c r="V39512" s="5"/>
    </row>
    <row r="39513">
      <c r="N39513" s="1"/>
      <c r="V39513" s="5"/>
    </row>
    <row r="39514">
      <c r="N39514" s="1"/>
      <c r="V39514" s="5"/>
    </row>
    <row r="39515">
      <c r="N39515" s="1"/>
      <c r="V39515" s="5"/>
    </row>
    <row r="39516">
      <c r="N39516" s="1"/>
      <c r="V39516" s="5"/>
    </row>
    <row r="39517">
      <c r="N39517" s="1"/>
      <c r="V39517" s="5"/>
    </row>
    <row r="39518">
      <c r="N39518" s="1"/>
      <c r="V39518" s="5"/>
    </row>
    <row r="39519">
      <c r="N39519" s="1"/>
      <c r="V39519" s="5"/>
    </row>
    <row r="39520">
      <c r="N39520" s="1"/>
      <c r="V39520" s="5"/>
    </row>
    <row r="39521">
      <c r="N39521" s="1"/>
      <c r="V39521" s="5"/>
    </row>
    <row r="39522">
      <c r="N39522" s="1"/>
      <c r="V39522" s="5"/>
    </row>
    <row r="39523">
      <c r="N39523" s="1"/>
      <c r="V39523" s="5"/>
    </row>
    <row r="39524">
      <c r="N39524" s="1"/>
      <c r="V39524" s="5"/>
    </row>
    <row r="39525">
      <c r="N39525" s="1"/>
      <c r="V39525" s="5"/>
    </row>
    <row r="39526">
      <c r="N39526" s="1"/>
      <c r="V39526" s="5"/>
    </row>
    <row r="39527">
      <c r="N39527" s="1"/>
      <c r="V39527" s="5"/>
    </row>
    <row r="39528">
      <c r="N39528" s="1"/>
      <c r="V39528" s="5"/>
    </row>
    <row r="39529">
      <c r="N39529" s="1"/>
      <c r="V39529" s="5"/>
    </row>
    <row r="39530">
      <c r="N39530" s="1"/>
      <c r="V39530" s="5"/>
    </row>
    <row r="39531">
      <c r="N39531" s="1"/>
      <c r="V39531" s="5"/>
    </row>
    <row r="39532">
      <c r="N39532" s="1"/>
      <c r="V39532" s="5"/>
    </row>
    <row r="39533">
      <c r="N39533" s="1"/>
      <c r="V39533" s="5"/>
    </row>
    <row r="39534">
      <c r="N39534" s="1"/>
      <c r="V39534" s="5"/>
    </row>
    <row r="39535">
      <c r="N39535" s="1"/>
      <c r="V39535" s="5"/>
    </row>
    <row r="39536">
      <c r="N39536" s="1"/>
      <c r="V39536" s="5"/>
    </row>
    <row r="39537">
      <c r="N39537" s="1"/>
      <c r="V39537" s="5"/>
    </row>
    <row r="39538">
      <c r="N39538" s="1"/>
      <c r="V39538" s="5"/>
    </row>
    <row r="39539">
      <c r="N39539" s="1"/>
      <c r="V39539" s="5"/>
    </row>
    <row r="39540">
      <c r="N39540" s="1"/>
      <c r="V39540" s="5"/>
    </row>
    <row r="39541">
      <c r="N39541" s="1"/>
      <c r="V39541" s="5"/>
    </row>
    <row r="39542">
      <c r="N39542" s="1"/>
      <c r="V39542" s="5"/>
    </row>
    <row r="39543">
      <c r="N39543" s="1"/>
      <c r="V39543" s="5"/>
    </row>
    <row r="39544">
      <c r="N39544" s="1"/>
      <c r="V39544" s="5"/>
    </row>
    <row r="39545">
      <c r="N39545" s="1"/>
      <c r="V39545" s="5"/>
    </row>
    <row r="39546">
      <c r="N39546" s="1"/>
      <c r="V39546" s="5"/>
    </row>
    <row r="39547">
      <c r="N39547" s="1"/>
      <c r="V39547" s="5"/>
    </row>
    <row r="39548">
      <c r="N39548" s="1"/>
      <c r="V39548" s="5"/>
    </row>
    <row r="39549">
      <c r="N39549" s="1"/>
      <c r="V39549" s="5"/>
    </row>
    <row r="39550">
      <c r="N39550" s="1"/>
      <c r="V39550" s="5"/>
    </row>
    <row r="39551">
      <c r="N39551" s="1"/>
      <c r="V39551" s="5"/>
    </row>
    <row r="39552">
      <c r="N39552" s="1"/>
      <c r="V39552" s="5"/>
    </row>
    <row r="39553">
      <c r="N39553" s="1"/>
      <c r="V39553" s="5"/>
    </row>
    <row r="39554">
      <c r="N39554" s="1"/>
      <c r="V39554" s="5"/>
    </row>
    <row r="39555">
      <c r="N39555" s="1"/>
      <c r="V39555" s="5"/>
    </row>
    <row r="39556">
      <c r="N39556" s="1"/>
      <c r="V39556" s="5"/>
    </row>
    <row r="39557">
      <c r="N39557" s="1"/>
      <c r="V39557" s="5"/>
    </row>
    <row r="39558">
      <c r="N39558" s="1"/>
      <c r="V39558" s="5"/>
    </row>
    <row r="39559">
      <c r="N39559" s="1"/>
      <c r="V39559" s="5"/>
    </row>
    <row r="39560">
      <c r="N39560" s="1"/>
      <c r="V39560" s="5"/>
    </row>
    <row r="39561">
      <c r="N39561" s="1"/>
      <c r="V39561" s="5"/>
    </row>
    <row r="39562">
      <c r="N39562" s="1"/>
      <c r="V39562" s="5"/>
    </row>
    <row r="39563">
      <c r="N39563" s="1"/>
      <c r="V39563" s="5"/>
    </row>
    <row r="39564">
      <c r="N39564" s="1"/>
      <c r="V39564" s="5"/>
    </row>
    <row r="39565">
      <c r="N39565" s="1"/>
      <c r="V39565" s="5"/>
    </row>
    <row r="39566">
      <c r="N39566" s="1"/>
      <c r="V39566" s="5"/>
    </row>
    <row r="39567">
      <c r="N39567" s="1"/>
      <c r="V39567" s="5"/>
    </row>
    <row r="39568">
      <c r="N39568" s="1"/>
      <c r="V39568" s="5"/>
    </row>
    <row r="39569">
      <c r="N39569" s="1"/>
      <c r="V39569" s="5"/>
    </row>
    <row r="39570">
      <c r="N39570" s="1"/>
      <c r="V39570" s="5"/>
    </row>
    <row r="39571">
      <c r="N39571" s="1"/>
      <c r="V39571" s="5"/>
    </row>
    <row r="39572">
      <c r="N39572" s="1"/>
      <c r="V39572" s="5"/>
    </row>
    <row r="39573">
      <c r="N39573" s="1"/>
      <c r="V39573" s="5"/>
    </row>
    <row r="39574">
      <c r="N39574" s="1"/>
      <c r="V39574" s="5"/>
    </row>
    <row r="39575">
      <c r="N39575" s="1"/>
      <c r="V39575" s="5"/>
    </row>
    <row r="39576">
      <c r="N39576" s="1"/>
      <c r="V39576" s="5"/>
    </row>
    <row r="39577">
      <c r="N39577" s="1"/>
      <c r="V39577" s="5"/>
    </row>
    <row r="39578">
      <c r="N39578" s="1"/>
      <c r="V39578" s="5"/>
    </row>
    <row r="39579">
      <c r="N39579" s="1"/>
      <c r="V39579" s="5"/>
    </row>
    <row r="39580">
      <c r="N39580" s="1"/>
      <c r="V39580" s="5"/>
    </row>
    <row r="39581">
      <c r="N39581" s="1"/>
      <c r="V39581" s="5"/>
    </row>
    <row r="39582">
      <c r="N39582" s="1"/>
      <c r="V39582" s="5"/>
    </row>
    <row r="39583">
      <c r="N39583" s="1"/>
      <c r="V39583" s="5"/>
    </row>
    <row r="39584">
      <c r="N39584" s="1"/>
      <c r="V39584" s="5"/>
    </row>
    <row r="39585">
      <c r="N39585" s="1"/>
      <c r="V39585" s="5"/>
    </row>
    <row r="39586">
      <c r="N39586" s="1"/>
      <c r="V39586" s="5"/>
    </row>
    <row r="39587">
      <c r="N39587" s="1"/>
      <c r="V39587" s="5"/>
    </row>
    <row r="39588">
      <c r="N39588" s="1"/>
      <c r="V39588" s="5"/>
    </row>
    <row r="39589">
      <c r="N39589" s="1"/>
      <c r="V39589" s="5"/>
    </row>
    <row r="39590">
      <c r="N39590" s="1"/>
      <c r="V39590" s="5"/>
    </row>
    <row r="39591">
      <c r="N39591" s="1"/>
      <c r="V39591" s="5"/>
    </row>
    <row r="39592">
      <c r="N39592" s="1"/>
      <c r="V39592" s="5"/>
    </row>
    <row r="39593">
      <c r="N39593" s="1"/>
      <c r="V39593" s="5"/>
    </row>
    <row r="39594">
      <c r="N39594" s="1"/>
      <c r="V39594" s="5"/>
    </row>
    <row r="39595">
      <c r="N39595" s="1"/>
      <c r="V39595" s="5"/>
    </row>
    <row r="39596">
      <c r="N39596" s="1"/>
      <c r="V39596" s="5"/>
    </row>
    <row r="39597">
      <c r="N39597" s="1"/>
      <c r="V39597" s="5"/>
    </row>
    <row r="39598">
      <c r="N39598" s="1"/>
      <c r="V39598" s="5"/>
    </row>
    <row r="39599">
      <c r="N39599" s="1"/>
      <c r="V39599" s="5"/>
    </row>
    <row r="39600">
      <c r="N39600" s="1"/>
      <c r="V39600" s="5"/>
    </row>
    <row r="39601">
      <c r="N39601" s="1"/>
      <c r="V39601" s="5"/>
    </row>
    <row r="39602">
      <c r="N39602" s="1"/>
      <c r="V39602" s="5"/>
    </row>
    <row r="39603">
      <c r="N39603" s="1"/>
      <c r="V39603" s="5"/>
    </row>
    <row r="39604">
      <c r="N39604" s="1"/>
      <c r="V39604" s="5"/>
    </row>
    <row r="39605">
      <c r="N39605" s="1"/>
      <c r="V39605" s="5"/>
    </row>
    <row r="39606">
      <c r="N39606" s="1"/>
      <c r="V39606" s="5"/>
    </row>
    <row r="39607">
      <c r="N39607" s="1"/>
      <c r="V39607" s="5"/>
    </row>
    <row r="39608">
      <c r="N39608" s="1"/>
      <c r="V39608" s="5"/>
    </row>
    <row r="39609">
      <c r="N39609" s="1"/>
      <c r="V39609" s="5"/>
    </row>
    <row r="39610">
      <c r="N39610" s="1"/>
      <c r="V39610" s="5"/>
    </row>
    <row r="39611">
      <c r="N39611" s="1"/>
      <c r="V39611" s="5"/>
    </row>
    <row r="39612">
      <c r="N39612" s="1"/>
      <c r="V39612" s="5"/>
    </row>
    <row r="39613">
      <c r="N39613" s="1"/>
      <c r="V39613" s="5"/>
    </row>
    <row r="39614">
      <c r="N39614" s="1"/>
      <c r="V39614" s="5"/>
    </row>
    <row r="39615">
      <c r="N39615" s="1"/>
      <c r="V39615" s="5"/>
    </row>
    <row r="39616">
      <c r="N39616" s="1"/>
      <c r="V39616" s="5"/>
    </row>
    <row r="39617">
      <c r="N39617" s="1"/>
      <c r="V39617" s="5"/>
    </row>
    <row r="39618">
      <c r="N39618" s="1"/>
      <c r="V39618" s="5"/>
    </row>
    <row r="39619">
      <c r="N39619" s="1"/>
      <c r="V39619" s="5"/>
    </row>
    <row r="39620">
      <c r="N39620" s="1"/>
      <c r="V39620" s="5"/>
    </row>
    <row r="39621">
      <c r="N39621" s="1"/>
      <c r="V39621" s="5"/>
    </row>
    <row r="39622">
      <c r="N39622" s="1"/>
      <c r="V39622" s="5"/>
    </row>
    <row r="39623">
      <c r="N39623" s="1"/>
      <c r="V39623" s="5"/>
    </row>
    <row r="39624">
      <c r="N39624" s="1"/>
      <c r="V39624" s="5"/>
    </row>
    <row r="39625">
      <c r="N39625" s="1"/>
      <c r="V39625" s="5"/>
    </row>
    <row r="39626">
      <c r="N39626" s="1"/>
      <c r="V39626" s="5"/>
    </row>
    <row r="39627">
      <c r="N39627" s="1"/>
      <c r="V39627" s="5"/>
    </row>
    <row r="39628">
      <c r="N39628" s="1"/>
      <c r="V39628" s="5"/>
    </row>
    <row r="39629">
      <c r="N39629" s="1"/>
      <c r="V39629" s="5"/>
    </row>
    <row r="39630">
      <c r="N39630" s="1"/>
      <c r="V39630" s="5"/>
    </row>
    <row r="39631">
      <c r="N39631" s="1"/>
      <c r="V39631" s="5"/>
    </row>
    <row r="39632">
      <c r="N39632" s="1"/>
      <c r="V39632" s="5"/>
    </row>
    <row r="39633">
      <c r="N39633" s="1"/>
      <c r="V39633" s="5"/>
    </row>
    <row r="39634">
      <c r="N39634" s="1"/>
      <c r="V39634" s="5"/>
    </row>
    <row r="39635">
      <c r="N39635" s="1"/>
      <c r="V39635" s="5"/>
    </row>
    <row r="39636">
      <c r="N39636" s="1"/>
      <c r="V39636" s="5"/>
    </row>
    <row r="39637">
      <c r="N39637" s="1"/>
      <c r="V39637" s="5"/>
    </row>
    <row r="39638">
      <c r="N39638" s="1"/>
      <c r="V39638" s="5"/>
    </row>
    <row r="39639">
      <c r="N39639" s="1"/>
      <c r="V39639" s="5"/>
    </row>
    <row r="39640">
      <c r="N39640" s="1"/>
      <c r="V39640" s="5"/>
    </row>
    <row r="39641">
      <c r="N39641" s="1"/>
      <c r="V39641" s="5"/>
    </row>
    <row r="39642">
      <c r="N39642" s="1"/>
      <c r="V39642" s="5"/>
    </row>
    <row r="39643">
      <c r="N39643" s="1"/>
      <c r="V39643" s="5"/>
    </row>
    <row r="39644">
      <c r="N39644" s="1"/>
      <c r="V39644" s="5"/>
    </row>
    <row r="39645">
      <c r="N39645" s="1"/>
      <c r="V39645" s="5"/>
    </row>
    <row r="39646">
      <c r="N39646" s="1"/>
      <c r="V39646" s="5"/>
    </row>
    <row r="39647">
      <c r="N39647" s="1"/>
      <c r="V39647" s="5"/>
    </row>
    <row r="39648">
      <c r="N39648" s="1"/>
      <c r="V39648" s="5"/>
    </row>
    <row r="39649">
      <c r="N39649" s="1"/>
      <c r="V39649" s="5"/>
    </row>
    <row r="39650">
      <c r="N39650" s="1"/>
      <c r="V39650" s="5"/>
    </row>
    <row r="39651">
      <c r="N39651" s="1"/>
      <c r="V39651" s="5"/>
    </row>
    <row r="39652">
      <c r="N39652" s="1"/>
      <c r="V39652" s="5"/>
    </row>
    <row r="39653">
      <c r="N39653" s="1"/>
      <c r="V39653" s="5"/>
    </row>
    <row r="39654">
      <c r="N39654" s="1"/>
      <c r="V39654" s="5"/>
    </row>
    <row r="39655">
      <c r="N39655" s="1"/>
      <c r="V39655" s="5"/>
    </row>
    <row r="39656">
      <c r="N39656" s="1"/>
      <c r="V39656" s="5"/>
    </row>
    <row r="39657">
      <c r="N39657" s="1"/>
      <c r="V39657" s="5"/>
    </row>
    <row r="39658">
      <c r="N39658" s="1"/>
      <c r="V39658" s="5"/>
    </row>
    <row r="39659">
      <c r="N39659" s="1"/>
      <c r="V39659" s="5"/>
    </row>
    <row r="39660">
      <c r="N39660" s="1"/>
      <c r="V39660" s="5"/>
    </row>
    <row r="39661">
      <c r="N39661" s="1"/>
      <c r="V39661" s="5"/>
    </row>
    <row r="39662">
      <c r="N39662" s="1"/>
      <c r="V39662" s="5"/>
    </row>
    <row r="39663">
      <c r="N39663" s="1"/>
      <c r="V39663" s="5"/>
    </row>
    <row r="39664">
      <c r="N39664" s="1"/>
      <c r="V39664" s="5"/>
    </row>
    <row r="39665">
      <c r="N39665" s="1"/>
      <c r="V39665" s="5"/>
    </row>
    <row r="39666">
      <c r="N39666" s="1"/>
      <c r="V39666" s="5"/>
    </row>
    <row r="39667">
      <c r="N39667" s="1"/>
      <c r="V39667" s="5"/>
    </row>
    <row r="39668">
      <c r="N39668" s="1"/>
      <c r="V39668" s="5"/>
    </row>
    <row r="39669">
      <c r="N39669" s="1"/>
      <c r="V39669" s="5"/>
    </row>
    <row r="39670">
      <c r="N39670" s="1"/>
      <c r="V39670" s="5"/>
    </row>
    <row r="39671">
      <c r="N39671" s="1"/>
      <c r="V39671" s="5"/>
    </row>
    <row r="39672">
      <c r="N39672" s="1"/>
      <c r="V39672" s="5"/>
    </row>
    <row r="39673">
      <c r="N39673" s="1"/>
      <c r="V39673" s="5"/>
    </row>
    <row r="39674">
      <c r="N39674" s="1"/>
      <c r="V39674" s="5"/>
    </row>
    <row r="39675">
      <c r="N39675" s="1"/>
      <c r="V39675" s="5"/>
    </row>
    <row r="39676">
      <c r="N39676" s="1"/>
      <c r="V39676" s="5"/>
    </row>
    <row r="39677">
      <c r="N39677" s="1"/>
      <c r="V39677" s="5"/>
    </row>
    <row r="39678">
      <c r="N39678" s="1"/>
      <c r="V39678" s="5"/>
    </row>
    <row r="39679">
      <c r="N39679" s="1"/>
      <c r="V39679" s="5"/>
    </row>
    <row r="39680">
      <c r="N39680" s="1"/>
      <c r="V39680" s="5"/>
    </row>
    <row r="39681">
      <c r="N39681" s="1"/>
      <c r="V39681" s="5"/>
    </row>
    <row r="39682">
      <c r="N39682" s="1"/>
      <c r="V39682" s="5"/>
    </row>
    <row r="39683">
      <c r="N39683" s="1"/>
      <c r="V39683" s="5"/>
    </row>
    <row r="39684">
      <c r="N39684" s="1"/>
      <c r="V39684" s="5"/>
    </row>
    <row r="39685">
      <c r="N39685" s="1"/>
      <c r="V39685" s="5"/>
    </row>
    <row r="39686">
      <c r="N39686" s="1"/>
      <c r="V39686" s="5"/>
    </row>
    <row r="39687">
      <c r="N39687" s="1"/>
      <c r="V39687" s="5"/>
    </row>
    <row r="39688">
      <c r="N39688" s="1"/>
      <c r="V39688" s="5"/>
    </row>
    <row r="39689">
      <c r="N39689" s="1"/>
      <c r="V39689" s="5"/>
    </row>
    <row r="39690">
      <c r="N39690" s="1"/>
      <c r="V39690" s="5"/>
    </row>
    <row r="39691">
      <c r="N39691" s="1"/>
      <c r="V39691" s="5"/>
    </row>
    <row r="39692">
      <c r="N39692" s="1"/>
      <c r="V39692" s="5"/>
    </row>
    <row r="39693">
      <c r="N39693" s="1"/>
      <c r="V39693" s="5"/>
    </row>
    <row r="39694">
      <c r="N39694" s="1"/>
      <c r="V39694" s="5"/>
    </row>
    <row r="39695">
      <c r="N39695" s="1"/>
      <c r="V39695" s="5"/>
    </row>
    <row r="39696">
      <c r="N39696" s="1"/>
      <c r="V39696" s="5"/>
    </row>
    <row r="39697">
      <c r="N39697" s="1"/>
      <c r="V39697" s="5"/>
    </row>
    <row r="39698">
      <c r="N39698" s="1"/>
      <c r="V39698" s="5"/>
    </row>
    <row r="39699">
      <c r="N39699" s="1"/>
      <c r="V39699" s="5"/>
    </row>
    <row r="39700">
      <c r="N39700" s="1"/>
      <c r="V39700" s="5"/>
    </row>
    <row r="39701">
      <c r="N39701" s="1"/>
      <c r="V39701" s="5"/>
    </row>
    <row r="39702">
      <c r="N39702" s="1"/>
      <c r="V39702" s="5"/>
    </row>
    <row r="39703">
      <c r="N39703" s="1"/>
      <c r="V39703" s="5"/>
    </row>
    <row r="39704">
      <c r="N39704" s="1"/>
      <c r="V39704" s="5"/>
    </row>
    <row r="39705">
      <c r="N39705" s="1"/>
      <c r="V39705" s="5"/>
    </row>
    <row r="39706">
      <c r="N39706" s="1"/>
      <c r="V39706" s="5"/>
    </row>
    <row r="39707">
      <c r="N39707" s="1"/>
      <c r="V39707" s="5"/>
    </row>
    <row r="39708">
      <c r="N39708" s="1"/>
      <c r="V39708" s="5"/>
    </row>
    <row r="39709">
      <c r="N39709" s="1"/>
      <c r="V39709" s="5"/>
    </row>
    <row r="39710">
      <c r="N39710" s="1"/>
      <c r="V39710" s="5"/>
    </row>
    <row r="39711">
      <c r="N39711" s="1"/>
      <c r="V39711" s="5"/>
    </row>
    <row r="39712">
      <c r="N39712" s="1"/>
      <c r="V39712" s="5"/>
    </row>
    <row r="39713">
      <c r="N39713" s="1"/>
      <c r="V39713" s="5"/>
    </row>
    <row r="39714">
      <c r="N39714" s="1"/>
      <c r="V39714" s="5"/>
    </row>
    <row r="39715">
      <c r="N39715" s="1"/>
      <c r="V39715" s="5"/>
    </row>
    <row r="39716">
      <c r="N39716" s="1"/>
      <c r="V39716" s="5"/>
    </row>
    <row r="39717">
      <c r="N39717" s="1"/>
      <c r="V39717" s="5"/>
    </row>
    <row r="39718">
      <c r="N39718" s="1"/>
      <c r="V39718" s="5"/>
    </row>
    <row r="39719">
      <c r="N39719" s="1"/>
      <c r="V39719" s="5"/>
    </row>
    <row r="39720">
      <c r="N39720" s="1"/>
      <c r="V39720" s="5"/>
    </row>
    <row r="39721">
      <c r="N39721" s="1"/>
      <c r="V39721" s="5"/>
    </row>
    <row r="39722">
      <c r="N39722" s="1"/>
      <c r="V39722" s="5"/>
    </row>
    <row r="39723">
      <c r="N39723" s="1"/>
      <c r="V39723" s="5"/>
    </row>
    <row r="39724">
      <c r="N39724" s="1"/>
      <c r="V39724" s="5"/>
    </row>
    <row r="39725">
      <c r="N39725" s="1"/>
      <c r="V39725" s="5"/>
    </row>
    <row r="39726">
      <c r="N39726" s="1"/>
      <c r="V39726" s="5"/>
    </row>
    <row r="39727">
      <c r="N39727" s="1"/>
      <c r="V39727" s="5"/>
    </row>
    <row r="39728">
      <c r="N39728" s="1"/>
      <c r="V39728" s="5"/>
    </row>
    <row r="39729">
      <c r="N39729" s="1"/>
      <c r="V39729" s="5"/>
    </row>
    <row r="39730">
      <c r="N39730" s="1"/>
      <c r="V39730" s="5"/>
    </row>
    <row r="39731">
      <c r="N39731" s="1"/>
      <c r="V39731" s="5"/>
    </row>
    <row r="39732">
      <c r="N39732" s="1"/>
      <c r="V39732" s="5"/>
    </row>
    <row r="39733">
      <c r="N39733" s="1"/>
      <c r="V39733" s="5"/>
    </row>
    <row r="39734">
      <c r="N39734" s="1"/>
      <c r="V39734" s="5"/>
    </row>
    <row r="39735">
      <c r="N39735" s="1"/>
      <c r="V39735" s="5"/>
    </row>
    <row r="39736">
      <c r="N39736" s="1"/>
      <c r="V39736" s="5"/>
    </row>
    <row r="39737">
      <c r="N39737" s="1"/>
      <c r="V39737" s="5"/>
    </row>
    <row r="39738">
      <c r="N39738" s="1"/>
      <c r="V39738" s="5"/>
    </row>
    <row r="39739">
      <c r="N39739" s="1"/>
      <c r="V39739" s="5"/>
    </row>
    <row r="39740">
      <c r="N39740" s="1"/>
      <c r="V39740" s="5"/>
    </row>
    <row r="39741">
      <c r="N39741" s="1"/>
      <c r="V39741" s="5"/>
    </row>
    <row r="39742">
      <c r="N39742" s="1"/>
      <c r="V39742" s="5"/>
    </row>
    <row r="39743">
      <c r="N39743" s="1"/>
      <c r="V39743" s="5"/>
    </row>
    <row r="39744">
      <c r="N39744" s="1"/>
      <c r="V39744" s="5"/>
    </row>
    <row r="39745">
      <c r="N39745" s="1"/>
      <c r="V39745" s="5"/>
    </row>
    <row r="39746">
      <c r="N39746" s="1"/>
      <c r="V39746" s="5"/>
    </row>
    <row r="39747">
      <c r="N39747" s="1"/>
      <c r="V39747" s="5"/>
    </row>
    <row r="39748">
      <c r="N39748" s="1"/>
      <c r="V39748" s="5"/>
    </row>
    <row r="39749">
      <c r="N39749" s="1"/>
      <c r="V39749" s="5"/>
    </row>
    <row r="39750">
      <c r="N39750" s="1"/>
      <c r="V39750" s="5"/>
    </row>
    <row r="39751">
      <c r="N39751" s="1"/>
      <c r="V39751" s="5"/>
    </row>
    <row r="39752">
      <c r="N39752" s="1"/>
      <c r="V39752" s="5"/>
    </row>
    <row r="39753">
      <c r="N39753" s="1"/>
      <c r="V39753" s="5"/>
    </row>
    <row r="39754">
      <c r="N39754" s="1"/>
      <c r="V39754" s="5"/>
    </row>
    <row r="39755">
      <c r="N39755" s="1"/>
      <c r="V39755" s="5"/>
    </row>
    <row r="39756">
      <c r="N39756" s="1"/>
      <c r="V39756" s="5"/>
    </row>
    <row r="39757">
      <c r="N39757" s="1"/>
      <c r="V39757" s="5"/>
    </row>
    <row r="39758">
      <c r="N39758" s="1"/>
      <c r="V39758" s="5"/>
    </row>
    <row r="39759">
      <c r="N39759" s="1"/>
      <c r="V39759" s="5"/>
    </row>
    <row r="39760">
      <c r="N39760" s="1"/>
      <c r="V39760" s="5"/>
    </row>
    <row r="39761">
      <c r="N39761" s="1"/>
      <c r="V39761" s="5"/>
    </row>
    <row r="39762">
      <c r="N39762" s="1"/>
      <c r="V39762" s="5"/>
    </row>
    <row r="39763">
      <c r="N39763" s="1"/>
      <c r="V39763" s="5"/>
    </row>
    <row r="39764">
      <c r="N39764" s="1"/>
      <c r="V39764" s="5"/>
    </row>
    <row r="39765">
      <c r="N39765" s="1"/>
      <c r="V39765" s="5"/>
    </row>
    <row r="39766">
      <c r="N39766" s="1"/>
      <c r="V39766" s="5"/>
    </row>
    <row r="39767">
      <c r="N39767" s="1"/>
      <c r="V39767" s="5"/>
    </row>
    <row r="39768">
      <c r="N39768" s="1"/>
      <c r="V39768" s="5"/>
    </row>
    <row r="39769">
      <c r="N39769" s="1"/>
      <c r="V39769" s="5"/>
    </row>
    <row r="39770">
      <c r="N39770" s="1"/>
      <c r="V39770" s="5"/>
    </row>
    <row r="39771">
      <c r="N39771" s="1"/>
      <c r="V39771" s="5"/>
    </row>
    <row r="39772">
      <c r="N39772" s="1"/>
      <c r="V39772" s="5"/>
    </row>
    <row r="39773">
      <c r="N39773" s="1"/>
      <c r="V39773" s="5"/>
    </row>
    <row r="39774">
      <c r="N39774" s="1"/>
      <c r="V39774" s="5"/>
    </row>
    <row r="39775">
      <c r="N39775" s="1"/>
      <c r="V39775" s="5"/>
    </row>
    <row r="39776">
      <c r="N39776" s="1"/>
      <c r="V39776" s="5"/>
    </row>
    <row r="39777">
      <c r="N39777" s="1"/>
      <c r="V39777" s="5"/>
    </row>
    <row r="39778">
      <c r="N39778" s="1"/>
      <c r="V39778" s="5"/>
    </row>
    <row r="39779">
      <c r="N39779" s="1"/>
      <c r="V39779" s="5"/>
    </row>
    <row r="39780">
      <c r="N39780" s="1"/>
      <c r="V39780" s="5"/>
    </row>
    <row r="39781">
      <c r="N39781" s="1"/>
      <c r="V39781" s="5"/>
    </row>
    <row r="39782">
      <c r="N39782" s="1"/>
      <c r="V39782" s="5"/>
    </row>
    <row r="39783">
      <c r="N39783" s="1"/>
      <c r="V39783" s="5"/>
    </row>
    <row r="39784">
      <c r="N39784" s="1"/>
      <c r="V39784" s="5"/>
    </row>
    <row r="39785">
      <c r="N39785" s="1"/>
      <c r="V39785" s="5"/>
    </row>
    <row r="39786">
      <c r="N39786" s="1"/>
      <c r="V39786" s="5"/>
    </row>
    <row r="39787">
      <c r="N39787" s="1"/>
      <c r="V39787" s="5"/>
    </row>
    <row r="39788">
      <c r="N39788" s="1"/>
      <c r="V39788" s="5"/>
    </row>
    <row r="39789">
      <c r="N39789" s="1"/>
      <c r="V39789" s="5"/>
    </row>
    <row r="39790">
      <c r="N39790" s="1"/>
      <c r="V39790" s="5"/>
    </row>
    <row r="39791">
      <c r="N39791" s="1"/>
      <c r="V39791" s="5"/>
    </row>
    <row r="39792">
      <c r="N39792" s="1"/>
      <c r="V39792" s="5"/>
    </row>
    <row r="39793">
      <c r="N39793" s="1"/>
      <c r="V39793" s="5"/>
    </row>
    <row r="39794">
      <c r="N39794" s="1"/>
      <c r="V39794" s="5"/>
    </row>
    <row r="39795">
      <c r="N39795" s="1"/>
      <c r="V39795" s="5"/>
    </row>
    <row r="39796">
      <c r="N39796" s="1"/>
      <c r="V39796" s="5"/>
    </row>
    <row r="39797">
      <c r="N39797" s="1"/>
      <c r="V39797" s="5"/>
    </row>
    <row r="39798">
      <c r="N39798" s="1"/>
      <c r="V39798" s="5"/>
    </row>
    <row r="39799">
      <c r="N39799" s="1"/>
      <c r="V39799" s="5"/>
    </row>
    <row r="39800">
      <c r="N39800" s="1"/>
      <c r="V39800" s="5"/>
    </row>
    <row r="39801">
      <c r="N39801" s="1"/>
      <c r="V39801" s="5"/>
    </row>
    <row r="39802">
      <c r="N39802" s="1"/>
      <c r="V39802" s="5"/>
    </row>
    <row r="39803">
      <c r="N39803" s="1"/>
      <c r="V39803" s="5"/>
    </row>
    <row r="39804">
      <c r="N39804" s="1"/>
      <c r="V39804" s="5"/>
    </row>
    <row r="39805">
      <c r="N39805" s="1"/>
      <c r="V39805" s="5"/>
    </row>
    <row r="39806">
      <c r="N39806" s="1"/>
      <c r="V39806" s="5"/>
    </row>
    <row r="39807">
      <c r="N39807" s="1"/>
      <c r="V39807" s="5"/>
    </row>
    <row r="39808">
      <c r="N39808" s="1"/>
      <c r="V39808" s="5"/>
    </row>
    <row r="39809">
      <c r="N39809" s="1"/>
      <c r="V39809" s="5"/>
    </row>
    <row r="39810">
      <c r="N39810" s="1"/>
      <c r="V39810" s="5"/>
    </row>
    <row r="39811">
      <c r="N39811" s="1"/>
      <c r="V39811" s="5"/>
    </row>
    <row r="39812">
      <c r="N39812" s="1"/>
      <c r="V39812" s="5"/>
    </row>
    <row r="39813">
      <c r="N39813" s="1"/>
      <c r="V39813" s="5"/>
    </row>
    <row r="39814">
      <c r="N39814" s="1"/>
      <c r="V39814" s="5"/>
    </row>
    <row r="39815">
      <c r="N39815" s="1"/>
      <c r="V39815" s="5"/>
    </row>
    <row r="39816">
      <c r="N39816" s="1"/>
      <c r="V39816" s="5"/>
    </row>
    <row r="39817">
      <c r="N39817" s="1"/>
      <c r="V39817" s="5"/>
    </row>
    <row r="39818">
      <c r="N39818" s="1"/>
      <c r="V39818" s="5"/>
    </row>
    <row r="39819">
      <c r="N39819" s="1"/>
      <c r="V39819" s="5"/>
    </row>
    <row r="39820">
      <c r="N39820" s="1"/>
      <c r="V39820" s="5"/>
    </row>
    <row r="39821">
      <c r="N39821" s="1"/>
      <c r="V39821" s="5"/>
    </row>
    <row r="39822">
      <c r="N39822" s="1"/>
      <c r="V39822" s="5"/>
    </row>
    <row r="39823">
      <c r="N39823" s="1"/>
      <c r="V39823" s="5"/>
    </row>
    <row r="39824">
      <c r="N39824" s="1"/>
      <c r="V39824" s="5"/>
    </row>
    <row r="39825">
      <c r="N39825" s="1"/>
      <c r="V39825" s="5"/>
    </row>
    <row r="39826">
      <c r="N39826" s="1"/>
      <c r="V39826" s="5"/>
    </row>
    <row r="39827">
      <c r="N39827" s="1"/>
      <c r="V39827" s="5"/>
    </row>
    <row r="39828">
      <c r="N39828" s="1"/>
      <c r="V39828" s="5"/>
    </row>
    <row r="39829">
      <c r="N39829" s="1"/>
      <c r="V39829" s="5"/>
    </row>
    <row r="39830">
      <c r="N39830" s="1"/>
      <c r="V39830" s="5"/>
    </row>
    <row r="39831">
      <c r="N39831" s="1"/>
      <c r="V39831" s="5"/>
    </row>
    <row r="39832">
      <c r="N39832" s="1"/>
      <c r="V39832" s="5"/>
    </row>
    <row r="39833">
      <c r="N39833" s="1"/>
      <c r="V39833" s="5"/>
    </row>
    <row r="39834">
      <c r="N39834" s="1"/>
      <c r="V39834" s="5"/>
    </row>
    <row r="39835">
      <c r="N39835" s="1"/>
      <c r="V39835" s="5"/>
    </row>
    <row r="39836">
      <c r="N39836" s="1"/>
      <c r="V39836" s="5"/>
    </row>
    <row r="39837">
      <c r="N39837" s="1"/>
      <c r="V39837" s="5"/>
    </row>
    <row r="39838">
      <c r="N39838" s="1"/>
      <c r="V39838" s="5"/>
    </row>
    <row r="39839">
      <c r="N39839" s="1"/>
      <c r="V39839" s="5"/>
    </row>
    <row r="39840">
      <c r="N39840" s="1"/>
      <c r="V39840" s="5"/>
    </row>
    <row r="39841">
      <c r="N39841" s="1"/>
      <c r="V39841" s="5"/>
    </row>
    <row r="39842">
      <c r="N39842" s="1"/>
      <c r="V39842" s="5"/>
    </row>
    <row r="39843">
      <c r="N39843" s="1"/>
      <c r="V39843" s="5"/>
    </row>
    <row r="39844">
      <c r="N39844" s="1"/>
      <c r="V39844" s="5"/>
    </row>
    <row r="39845">
      <c r="N39845" s="1"/>
      <c r="V39845" s="5"/>
    </row>
    <row r="39846">
      <c r="N39846" s="1"/>
      <c r="V39846" s="5"/>
    </row>
    <row r="39847">
      <c r="N39847" s="1"/>
      <c r="V39847" s="5"/>
    </row>
    <row r="39848">
      <c r="N39848" s="1"/>
      <c r="V39848" s="5"/>
    </row>
    <row r="39849">
      <c r="N39849" s="1"/>
      <c r="V39849" s="5"/>
    </row>
    <row r="39850">
      <c r="N39850" s="1"/>
      <c r="V39850" s="5"/>
    </row>
    <row r="39851">
      <c r="N39851" s="1"/>
      <c r="V39851" s="5"/>
    </row>
    <row r="39852">
      <c r="N39852" s="1"/>
      <c r="V39852" s="5"/>
    </row>
    <row r="39853">
      <c r="N39853" s="1"/>
      <c r="V39853" s="5"/>
    </row>
    <row r="39854">
      <c r="N39854" s="1"/>
      <c r="V39854" s="5"/>
    </row>
    <row r="39855">
      <c r="N39855" s="1"/>
      <c r="V39855" s="5"/>
    </row>
    <row r="39856">
      <c r="N39856" s="1"/>
      <c r="V39856" s="5"/>
    </row>
    <row r="39857">
      <c r="N39857" s="1"/>
      <c r="V39857" s="5"/>
    </row>
    <row r="39858">
      <c r="N39858" s="1"/>
      <c r="V39858" s="5"/>
    </row>
    <row r="39859">
      <c r="N39859" s="1"/>
      <c r="V39859" s="5"/>
    </row>
    <row r="39860">
      <c r="N39860" s="1"/>
      <c r="V39860" s="5"/>
    </row>
    <row r="39861">
      <c r="N39861" s="1"/>
      <c r="V39861" s="5"/>
    </row>
    <row r="39862">
      <c r="N39862" s="1"/>
      <c r="V39862" s="5"/>
    </row>
    <row r="39863">
      <c r="N39863" s="1"/>
      <c r="V39863" s="5"/>
    </row>
    <row r="39864">
      <c r="N39864" s="1"/>
      <c r="V39864" s="5"/>
    </row>
    <row r="39865">
      <c r="N39865" s="1"/>
      <c r="V39865" s="5"/>
    </row>
    <row r="39866">
      <c r="N39866" s="1"/>
      <c r="V39866" s="5"/>
    </row>
    <row r="39867">
      <c r="N39867" s="1"/>
      <c r="V39867" s="5"/>
    </row>
    <row r="39868">
      <c r="N39868" s="1"/>
      <c r="V39868" s="5"/>
    </row>
    <row r="39869">
      <c r="N39869" s="1"/>
      <c r="V39869" s="5"/>
    </row>
    <row r="39870">
      <c r="N39870" s="1"/>
      <c r="V39870" s="5"/>
    </row>
    <row r="39871">
      <c r="N39871" s="1"/>
      <c r="V39871" s="5"/>
    </row>
    <row r="39872">
      <c r="N39872" s="1"/>
      <c r="V39872" s="5"/>
    </row>
    <row r="39873">
      <c r="N39873" s="1"/>
      <c r="V39873" s="5"/>
    </row>
    <row r="39874">
      <c r="N39874" s="1"/>
      <c r="V39874" s="5"/>
    </row>
    <row r="39875">
      <c r="N39875" s="1"/>
      <c r="V39875" s="5"/>
    </row>
    <row r="39876">
      <c r="N39876" s="1"/>
      <c r="V39876" s="5"/>
    </row>
    <row r="39877">
      <c r="N39877" s="1"/>
      <c r="V39877" s="5"/>
    </row>
    <row r="39878">
      <c r="N39878" s="1"/>
      <c r="V39878" s="5"/>
    </row>
    <row r="39879">
      <c r="N39879" s="1"/>
      <c r="V39879" s="5"/>
    </row>
    <row r="39880">
      <c r="N39880" s="1"/>
      <c r="V39880" s="5"/>
    </row>
    <row r="39881">
      <c r="N39881" s="1"/>
      <c r="V39881" s="5"/>
    </row>
    <row r="39882">
      <c r="N39882" s="1"/>
      <c r="V39882" s="5"/>
    </row>
    <row r="39883">
      <c r="N39883" s="1"/>
      <c r="V39883" s="5"/>
    </row>
    <row r="39884">
      <c r="N39884" s="1"/>
      <c r="V39884" s="5"/>
    </row>
    <row r="39885">
      <c r="N39885" s="1"/>
      <c r="V39885" s="5"/>
    </row>
    <row r="39886">
      <c r="N39886" s="1"/>
      <c r="V39886" s="5"/>
    </row>
    <row r="39887">
      <c r="N39887" s="1"/>
      <c r="V39887" s="5"/>
    </row>
    <row r="39888">
      <c r="N39888" s="1"/>
      <c r="V39888" s="5"/>
    </row>
    <row r="39889">
      <c r="N39889" s="1"/>
      <c r="V39889" s="5"/>
    </row>
    <row r="39890">
      <c r="N39890" s="1"/>
      <c r="V39890" s="5"/>
    </row>
    <row r="39891">
      <c r="N39891" s="1"/>
      <c r="V39891" s="5"/>
    </row>
    <row r="39892">
      <c r="N39892" s="1"/>
      <c r="V39892" s="5"/>
    </row>
    <row r="39893">
      <c r="N39893" s="1"/>
      <c r="V39893" s="5"/>
    </row>
    <row r="39894">
      <c r="N39894" s="1"/>
      <c r="V39894" s="5"/>
    </row>
    <row r="39895">
      <c r="N39895" s="1"/>
      <c r="V39895" s="5"/>
    </row>
    <row r="39896">
      <c r="N39896" s="1"/>
      <c r="V39896" s="5"/>
    </row>
    <row r="39897">
      <c r="N39897" s="1"/>
      <c r="V39897" s="5"/>
    </row>
    <row r="39898">
      <c r="N39898" s="1"/>
      <c r="V39898" s="5"/>
    </row>
    <row r="39899">
      <c r="N39899" s="1"/>
      <c r="V39899" s="5"/>
    </row>
    <row r="39900">
      <c r="N39900" s="1"/>
      <c r="V39900" s="5"/>
    </row>
    <row r="39901">
      <c r="N39901" s="1"/>
      <c r="V39901" s="5"/>
    </row>
    <row r="39902">
      <c r="N39902" s="1"/>
      <c r="V39902" s="5"/>
    </row>
    <row r="39903">
      <c r="N39903" s="1"/>
      <c r="V39903" s="5"/>
    </row>
    <row r="39904">
      <c r="N39904" s="1"/>
      <c r="V39904" s="5"/>
    </row>
    <row r="39905">
      <c r="N39905" s="1"/>
      <c r="V39905" s="5"/>
    </row>
    <row r="39906">
      <c r="N39906" s="1"/>
      <c r="V39906" s="5"/>
    </row>
    <row r="39907">
      <c r="N39907" s="1"/>
      <c r="V39907" s="5"/>
    </row>
    <row r="39908">
      <c r="N39908" s="1"/>
      <c r="V39908" s="5"/>
    </row>
    <row r="39909">
      <c r="N39909" s="1"/>
      <c r="V39909" s="5"/>
    </row>
    <row r="39910">
      <c r="N39910" s="1"/>
      <c r="V39910" s="5"/>
    </row>
    <row r="39911">
      <c r="N39911" s="1"/>
      <c r="V39911" s="5"/>
    </row>
    <row r="39912">
      <c r="N39912" s="1"/>
      <c r="V39912" s="5"/>
    </row>
    <row r="39913">
      <c r="N39913" s="1"/>
      <c r="V39913" s="5"/>
    </row>
    <row r="39914">
      <c r="N39914" s="1"/>
      <c r="V39914" s="5"/>
    </row>
    <row r="39915">
      <c r="N39915" s="1"/>
      <c r="V39915" s="5"/>
    </row>
    <row r="39916">
      <c r="N39916" s="1"/>
      <c r="V39916" s="5"/>
    </row>
    <row r="39917">
      <c r="N39917" s="1"/>
      <c r="V39917" s="5"/>
    </row>
    <row r="39918">
      <c r="N39918" s="1"/>
      <c r="V39918" s="5"/>
    </row>
    <row r="39919">
      <c r="N39919" s="1"/>
      <c r="V39919" s="5"/>
    </row>
    <row r="39920">
      <c r="N39920" s="1"/>
      <c r="V39920" s="5"/>
    </row>
    <row r="39921">
      <c r="N39921" s="1"/>
      <c r="V39921" s="5"/>
    </row>
    <row r="39922">
      <c r="N39922" s="1"/>
      <c r="V39922" s="5"/>
    </row>
    <row r="39923">
      <c r="N39923" s="1"/>
      <c r="V39923" s="5"/>
    </row>
    <row r="39924">
      <c r="N39924" s="1"/>
      <c r="V39924" s="5"/>
    </row>
    <row r="39925">
      <c r="N39925" s="1"/>
      <c r="V39925" s="5"/>
    </row>
    <row r="39926">
      <c r="N39926" s="1"/>
      <c r="V39926" s="5"/>
    </row>
    <row r="39927">
      <c r="N39927" s="1"/>
      <c r="V39927" s="5"/>
    </row>
    <row r="39928">
      <c r="N39928" s="1"/>
      <c r="V39928" s="5"/>
    </row>
    <row r="39929">
      <c r="N39929" s="1"/>
      <c r="V39929" s="5"/>
    </row>
    <row r="39930">
      <c r="N39930" s="1"/>
      <c r="V39930" s="5"/>
    </row>
    <row r="39931">
      <c r="N39931" s="1"/>
      <c r="V39931" s="5"/>
    </row>
    <row r="39932">
      <c r="N39932" s="1"/>
      <c r="V39932" s="5"/>
    </row>
    <row r="39933">
      <c r="N39933" s="1"/>
      <c r="V39933" s="5"/>
    </row>
    <row r="39934">
      <c r="N39934" s="1"/>
      <c r="V39934" s="5"/>
    </row>
    <row r="39935">
      <c r="N39935" s="1"/>
      <c r="V39935" s="5"/>
    </row>
    <row r="39936">
      <c r="N39936" s="1"/>
      <c r="V39936" s="5"/>
    </row>
    <row r="39937">
      <c r="N39937" s="1"/>
      <c r="V39937" s="5"/>
    </row>
    <row r="39938">
      <c r="N39938" s="1"/>
      <c r="V39938" s="5"/>
    </row>
    <row r="39939">
      <c r="N39939" s="1"/>
      <c r="V39939" s="5"/>
    </row>
    <row r="39940">
      <c r="N39940" s="1"/>
      <c r="V39940" s="5"/>
    </row>
    <row r="39941">
      <c r="N39941" s="1"/>
      <c r="V39941" s="5"/>
    </row>
    <row r="39942">
      <c r="N39942" s="1"/>
      <c r="V39942" s="5"/>
    </row>
    <row r="39943">
      <c r="N39943" s="1"/>
      <c r="V39943" s="5"/>
    </row>
    <row r="39944">
      <c r="N39944" s="1"/>
      <c r="V39944" s="5"/>
    </row>
    <row r="39945">
      <c r="N39945" s="1"/>
      <c r="V39945" s="5"/>
    </row>
    <row r="39946">
      <c r="N39946" s="1"/>
      <c r="V39946" s="5"/>
    </row>
    <row r="39947">
      <c r="N39947" s="1"/>
      <c r="V39947" s="5"/>
    </row>
    <row r="39948">
      <c r="N39948" s="1"/>
      <c r="V39948" s="5"/>
    </row>
    <row r="39949">
      <c r="N39949" s="1"/>
      <c r="V39949" s="5"/>
    </row>
    <row r="39950">
      <c r="N39950" s="1"/>
      <c r="V39950" s="5"/>
    </row>
    <row r="39951">
      <c r="N39951" s="1"/>
      <c r="V39951" s="5"/>
    </row>
    <row r="39952">
      <c r="N39952" s="1"/>
      <c r="V39952" s="5"/>
    </row>
    <row r="39953">
      <c r="N39953" s="1"/>
      <c r="V39953" s="5"/>
    </row>
    <row r="39954">
      <c r="N39954" s="1"/>
      <c r="V39954" s="5"/>
    </row>
    <row r="39955">
      <c r="N39955" s="1"/>
      <c r="V39955" s="5"/>
    </row>
    <row r="39956">
      <c r="N39956" s="1"/>
      <c r="V39956" s="5"/>
    </row>
    <row r="39957">
      <c r="N39957" s="1"/>
      <c r="V39957" s="5"/>
    </row>
    <row r="39958">
      <c r="N39958" s="1"/>
      <c r="V39958" s="5"/>
    </row>
    <row r="39959">
      <c r="N39959" s="1"/>
      <c r="V39959" s="5"/>
    </row>
    <row r="39960">
      <c r="N39960" s="1"/>
      <c r="V39960" s="5"/>
    </row>
    <row r="39961">
      <c r="N39961" s="1"/>
      <c r="V39961" s="5"/>
    </row>
    <row r="39962">
      <c r="N39962" s="1"/>
      <c r="V39962" s="5"/>
    </row>
    <row r="39963">
      <c r="N39963" s="1"/>
      <c r="V39963" s="5"/>
    </row>
    <row r="39964">
      <c r="N39964" s="1"/>
      <c r="V39964" s="5"/>
    </row>
    <row r="39965">
      <c r="N39965" s="1"/>
      <c r="V39965" s="5"/>
    </row>
    <row r="39966">
      <c r="N39966" s="1"/>
      <c r="V39966" s="5"/>
    </row>
    <row r="39967">
      <c r="N39967" s="1"/>
      <c r="V39967" s="5"/>
    </row>
    <row r="39968">
      <c r="N39968" s="1"/>
      <c r="V39968" s="5"/>
    </row>
    <row r="39969">
      <c r="N39969" s="1"/>
      <c r="V39969" s="5"/>
    </row>
    <row r="39970">
      <c r="N39970" s="1"/>
      <c r="V39970" s="5"/>
    </row>
    <row r="39971">
      <c r="N39971" s="1"/>
      <c r="V39971" s="5"/>
    </row>
    <row r="39972">
      <c r="N39972" s="1"/>
      <c r="V39972" s="5"/>
    </row>
    <row r="39973">
      <c r="N39973" s="1"/>
      <c r="V39973" s="5"/>
    </row>
    <row r="39974">
      <c r="N39974" s="1"/>
      <c r="V39974" s="5"/>
    </row>
    <row r="39975">
      <c r="N39975" s="1"/>
      <c r="V39975" s="5"/>
    </row>
    <row r="39976">
      <c r="N39976" s="1"/>
      <c r="V39976" s="5"/>
    </row>
    <row r="39977">
      <c r="N39977" s="1"/>
      <c r="V39977" s="5"/>
    </row>
    <row r="39978">
      <c r="N39978" s="1"/>
      <c r="V39978" s="5"/>
    </row>
    <row r="39979">
      <c r="N39979" s="1"/>
      <c r="V39979" s="5"/>
    </row>
    <row r="39980">
      <c r="N39980" s="1"/>
      <c r="V39980" s="5"/>
    </row>
    <row r="39981">
      <c r="N39981" s="1"/>
      <c r="V39981" s="5"/>
    </row>
    <row r="39982">
      <c r="N39982" s="1"/>
      <c r="V39982" s="5"/>
    </row>
    <row r="39983">
      <c r="N39983" s="1"/>
      <c r="V39983" s="5"/>
    </row>
    <row r="39984">
      <c r="N39984" s="1"/>
      <c r="V39984" s="5"/>
    </row>
    <row r="39985">
      <c r="N39985" s="1"/>
      <c r="V39985" s="5"/>
    </row>
    <row r="39986">
      <c r="N39986" s="1"/>
      <c r="V39986" s="5"/>
    </row>
    <row r="39987">
      <c r="N39987" s="1"/>
      <c r="V39987" s="5"/>
    </row>
    <row r="39988">
      <c r="N39988" s="1"/>
      <c r="V39988" s="5"/>
    </row>
    <row r="39989">
      <c r="N39989" s="1"/>
      <c r="V39989" s="5"/>
    </row>
    <row r="39990">
      <c r="N39990" s="1"/>
      <c r="V39990" s="5"/>
    </row>
    <row r="39991">
      <c r="N39991" s="1"/>
      <c r="V39991" s="5"/>
    </row>
    <row r="39992">
      <c r="N39992" s="1"/>
      <c r="V39992" s="5"/>
    </row>
    <row r="39993">
      <c r="N39993" s="1"/>
      <c r="V39993" s="5"/>
    </row>
    <row r="39994">
      <c r="N39994" s="1"/>
      <c r="V39994" s="5"/>
    </row>
    <row r="39995">
      <c r="N39995" s="1"/>
      <c r="V39995" s="5"/>
    </row>
    <row r="39996">
      <c r="N39996" s="1"/>
      <c r="V39996" s="5"/>
    </row>
    <row r="39997">
      <c r="N39997" s="1"/>
      <c r="V39997" s="5"/>
    </row>
    <row r="39998">
      <c r="N39998" s="1"/>
      <c r="V39998" s="5"/>
    </row>
    <row r="39999">
      <c r="N39999" s="1"/>
      <c r="V39999" s="5"/>
    </row>
    <row r="40000">
      <c r="N40000" s="1"/>
      <c r="V40000" s="5"/>
    </row>
    <row r="40001">
      <c r="N40001" s="1"/>
      <c r="V40001" s="5"/>
    </row>
    <row r="40002">
      <c r="N40002" s="1"/>
      <c r="V40002" s="5"/>
    </row>
    <row r="40003">
      <c r="N40003" s="1"/>
      <c r="V40003" s="5"/>
    </row>
    <row r="40004">
      <c r="N40004" s="1"/>
      <c r="V40004" s="5"/>
    </row>
    <row r="40005">
      <c r="N40005" s="1"/>
      <c r="V40005" s="5"/>
    </row>
    <row r="40006">
      <c r="N40006" s="1"/>
      <c r="V40006" s="5"/>
    </row>
    <row r="40007">
      <c r="N40007" s="1"/>
      <c r="V40007" s="5"/>
    </row>
    <row r="40008">
      <c r="N40008" s="1"/>
      <c r="V40008" s="5"/>
    </row>
    <row r="40009">
      <c r="N40009" s="1"/>
      <c r="V40009" s="5"/>
    </row>
    <row r="40010">
      <c r="N40010" s="1"/>
      <c r="V40010" s="5"/>
    </row>
    <row r="40011">
      <c r="N40011" s="1"/>
      <c r="V40011" s="5"/>
    </row>
    <row r="40012">
      <c r="N40012" s="1"/>
      <c r="V40012" s="5"/>
    </row>
    <row r="40013">
      <c r="N40013" s="1"/>
      <c r="V40013" s="5"/>
    </row>
    <row r="40014">
      <c r="N40014" s="1"/>
      <c r="V40014" s="5"/>
    </row>
    <row r="40015">
      <c r="N40015" s="1"/>
      <c r="V40015" s="5"/>
    </row>
    <row r="40016">
      <c r="N40016" s="1"/>
      <c r="V40016" s="5"/>
    </row>
    <row r="40017">
      <c r="N40017" s="1"/>
      <c r="V40017" s="5"/>
    </row>
    <row r="40018">
      <c r="N40018" s="1"/>
      <c r="V40018" s="5"/>
    </row>
    <row r="40019">
      <c r="N40019" s="1"/>
      <c r="V40019" s="5"/>
    </row>
    <row r="40020">
      <c r="N40020" s="1"/>
      <c r="V40020" s="5"/>
    </row>
    <row r="40021">
      <c r="N40021" s="1"/>
      <c r="V40021" s="5"/>
    </row>
    <row r="40022">
      <c r="N40022" s="1"/>
      <c r="V40022" s="5"/>
    </row>
    <row r="40023">
      <c r="N40023" s="1"/>
      <c r="V40023" s="5"/>
    </row>
    <row r="40024">
      <c r="N40024" s="1"/>
      <c r="V40024" s="5"/>
    </row>
    <row r="40025">
      <c r="N40025" s="1"/>
      <c r="V40025" s="5"/>
    </row>
    <row r="40026">
      <c r="N40026" s="1"/>
      <c r="V40026" s="5"/>
    </row>
    <row r="40027">
      <c r="N40027" s="1"/>
      <c r="V40027" s="5"/>
    </row>
    <row r="40028">
      <c r="N40028" s="1"/>
      <c r="V40028" s="5"/>
    </row>
    <row r="40029">
      <c r="N40029" s="1"/>
      <c r="V40029" s="5"/>
    </row>
    <row r="40030">
      <c r="N40030" s="1"/>
      <c r="V40030" s="5"/>
    </row>
    <row r="40031">
      <c r="N40031" s="1"/>
      <c r="V40031" s="5"/>
    </row>
    <row r="40032">
      <c r="N40032" s="1"/>
      <c r="V40032" s="5"/>
    </row>
    <row r="40033">
      <c r="N40033" s="1"/>
      <c r="V40033" s="5"/>
    </row>
    <row r="40034">
      <c r="N40034" s="1"/>
      <c r="V40034" s="5"/>
    </row>
    <row r="40035">
      <c r="N40035" s="1"/>
      <c r="V40035" s="5"/>
    </row>
    <row r="40036">
      <c r="N40036" s="1"/>
      <c r="V40036" s="5"/>
    </row>
    <row r="40037">
      <c r="N40037" s="1"/>
      <c r="V40037" s="5"/>
    </row>
    <row r="40038">
      <c r="N40038" s="1"/>
      <c r="V40038" s="5"/>
    </row>
    <row r="40039">
      <c r="N40039" s="1"/>
      <c r="V40039" s="5"/>
    </row>
    <row r="40040">
      <c r="N40040" s="1"/>
      <c r="V40040" s="5"/>
    </row>
    <row r="40041">
      <c r="N40041" s="1"/>
      <c r="V40041" s="5"/>
    </row>
    <row r="40042">
      <c r="N40042" s="1"/>
      <c r="V40042" s="5"/>
    </row>
    <row r="40043">
      <c r="N40043" s="1"/>
      <c r="V40043" s="5"/>
    </row>
    <row r="40044">
      <c r="N40044" s="1"/>
      <c r="V40044" s="5"/>
    </row>
    <row r="40045">
      <c r="N40045" s="1"/>
      <c r="V40045" s="5"/>
    </row>
    <row r="40046">
      <c r="N40046" s="1"/>
      <c r="V40046" s="5"/>
    </row>
    <row r="40047">
      <c r="N40047" s="1"/>
      <c r="V40047" s="5"/>
    </row>
    <row r="40048">
      <c r="N40048" s="1"/>
      <c r="V40048" s="5"/>
    </row>
    <row r="40049">
      <c r="N40049" s="1"/>
      <c r="V40049" s="5"/>
    </row>
    <row r="40050">
      <c r="N40050" s="1"/>
      <c r="V40050" s="5"/>
    </row>
    <row r="40051">
      <c r="N40051" s="1"/>
      <c r="V40051" s="5"/>
    </row>
    <row r="40052">
      <c r="N40052" s="1"/>
      <c r="V40052" s="5"/>
    </row>
    <row r="40053">
      <c r="N40053" s="1"/>
      <c r="V40053" s="5"/>
    </row>
    <row r="40054">
      <c r="N40054" s="1"/>
      <c r="V40054" s="5"/>
    </row>
    <row r="40055">
      <c r="N40055" s="1"/>
      <c r="V40055" s="5"/>
    </row>
    <row r="40056">
      <c r="N40056" s="1"/>
      <c r="V40056" s="5"/>
    </row>
    <row r="40057">
      <c r="N40057" s="1"/>
      <c r="V40057" s="5"/>
    </row>
    <row r="40058">
      <c r="N40058" s="1"/>
      <c r="V40058" s="5"/>
    </row>
    <row r="40059">
      <c r="N40059" s="1"/>
      <c r="V40059" s="5"/>
    </row>
    <row r="40060">
      <c r="N40060" s="1"/>
      <c r="V40060" s="5"/>
    </row>
    <row r="40061">
      <c r="N40061" s="1"/>
      <c r="V40061" s="5"/>
    </row>
    <row r="40062">
      <c r="N40062" s="1"/>
      <c r="V40062" s="5"/>
    </row>
    <row r="40063">
      <c r="N40063" s="1"/>
      <c r="V40063" s="5"/>
    </row>
    <row r="40064">
      <c r="N40064" s="1"/>
      <c r="V40064" s="5"/>
    </row>
    <row r="40065">
      <c r="N40065" s="1"/>
      <c r="V40065" s="5"/>
    </row>
    <row r="40066">
      <c r="N40066" s="1"/>
      <c r="V40066" s="5"/>
    </row>
    <row r="40067">
      <c r="N40067" s="1"/>
      <c r="V40067" s="5"/>
    </row>
    <row r="40068">
      <c r="N40068" s="1"/>
      <c r="V40068" s="5"/>
    </row>
    <row r="40069">
      <c r="N40069" s="1"/>
      <c r="V40069" s="5"/>
    </row>
    <row r="40070">
      <c r="N40070" s="1"/>
      <c r="V40070" s="5"/>
    </row>
    <row r="40071">
      <c r="N40071" s="1"/>
      <c r="V40071" s="5"/>
    </row>
    <row r="40072">
      <c r="N40072" s="1"/>
      <c r="V40072" s="5"/>
    </row>
    <row r="40073">
      <c r="N40073" s="1"/>
      <c r="V40073" s="5"/>
    </row>
    <row r="40074">
      <c r="N40074" s="1"/>
      <c r="V40074" s="5"/>
    </row>
    <row r="40075">
      <c r="N40075" s="1"/>
      <c r="V40075" s="5"/>
    </row>
    <row r="40076">
      <c r="N40076" s="1"/>
      <c r="V40076" s="5"/>
    </row>
    <row r="40077">
      <c r="N40077" s="1"/>
      <c r="V40077" s="5"/>
    </row>
    <row r="40078">
      <c r="N40078" s="1"/>
      <c r="V40078" s="5"/>
    </row>
    <row r="40079">
      <c r="N40079" s="1"/>
      <c r="V40079" s="5"/>
    </row>
    <row r="40080">
      <c r="N40080" s="1"/>
      <c r="V40080" s="5"/>
    </row>
    <row r="40081">
      <c r="N40081" s="1"/>
      <c r="V40081" s="5"/>
    </row>
    <row r="40082">
      <c r="N40082" s="1"/>
      <c r="V40082" s="5"/>
    </row>
    <row r="40083">
      <c r="N40083" s="1"/>
      <c r="V40083" s="5"/>
    </row>
    <row r="40084">
      <c r="N40084" s="1"/>
      <c r="V40084" s="5"/>
    </row>
    <row r="40085">
      <c r="N40085" s="1"/>
      <c r="V40085" s="5"/>
    </row>
    <row r="40086">
      <c r="N40086" s="1"/>
      <c r="V40086" s="5"/>
    </row>
    <row r="40087">
      <c r="N40087" s="1"/>
      <c r="V40087" s="5"/>
    </row>
    <row r="40088">
      <c r="N40088" s="1"/>
      <c r="V40088" s="5"/>
    </row>
    <row r="40089">
      <c r="N40089" s="1"/>
      <c r="V40089" s="5"/>
    </row>
    <row r="40090">
      <c r="N40090" s="1"/>
      <c r="V40090" s="5"/>
    </row>
    <row r="40091">
      <c r="N40091" s="1"/>
      <c r="V40091" s="5"/>
    </row>
    <row r="40092">
      <c r="N40092" s="1"/>
      <c r="V40092" s="5"/>
    </row>
    <row r="40093">
      <c r="N40093" s="1"/>
      <c r="V40093" s="5"/>
    </row>
    <row r="40094">
      <c r="N40094" s="1"/>
      <c r="V40094" s="5"/>
    </row>
    <row r="40095">
      <c r="N40095" s="1"/>
      <c r="V40095" s="5"/>
    </row>
    <row r="40096">
      <c r="N40096" s="1"/>
      <c r="V40096" s="5"/>
    </row>
    <row r="40097">
      <c r="N40097" s="1"/>
      <c r="V40097" s="5"/>
    </row>
    <row r="40098">
      <c r="N40098" s="1"/>
      <c r="V40098" s="5"/>
    </row>
    <row r="40099">
      <c r="N40099" s="1"/>
      <c r="V40099" s="5"/>
    </row>
    <row r="40100">
      <c r="N40100" s="1"/>
      <c r="V40100" s="5"/>
    </row>
    <row r="40101">
      <c r="N40101" s="1"/>
      <c r="V40101" s="5"/>
    </row>
    <row r="40102">
      <c r="N40102" s="1"/>
      <c r="V40102" s="5"/>
    </row>
    <row r="40103">
      <c r="N40103" s="1"/>
      <c r="V40103" s="5"/>
    </row>
    <row r="40104">
      <c r="N40104" s="1"/>
      <c r="V40104" s="5"/>
    </row>
    <row r="40105">
      <c r="N40105" s="1"/>
      <c r="V40105" s="5"/>
    </row>
    <row r="40106">
      <c r="N40106" s="1"/>
      <c r="V40106" s="5"/>
    </row>
    <row r="40107">
      <c r="N40107" s="1"/>
      <c r="V40107" s="5"/>
    </row>
    <row r="40108">
      <c r="N40108" s="1"/>
      <c r="V40108" s="5"/>
    </row>
    <row r="40109">
      <c r="N40109" s="1"/>
      <c r="V40109" s="5"/>
    </row>
    <row r="40110">
      <c r="N40110" s="1"/>
      <c r="V40110" s="5"/>
    </row>
    <row r="40111">
      <c r="N40111" s="1"/>
      <c r="V40111" s="5"/>
    </row>
    <row r="40112">
      <c r="N40112" s="1"/>
      <c r="V40112" s="5"/>
    </row>
    <row r="40113">
      <c r="N40113" s="1"/>
      <c r="V40113" s="5"/>
    </row>
    <row r="40114">
      <c r="N40114" s="1"/>
      <c r="V40114" s="5"/>
    </row>
    <row r="40115">
      <c r="N40115" s="1"/>
      <c r="V40115" s="5"/>
    </row>
    <row r="40116">
      <c r="N40116" s="1"/>
      <c r="V40116" s="5"/>
    </row>
    <row r="40117">
      <c r="N40117" s="1"/>
      <c r="V40117" s="5"/>
    </row>
    <row r="40118">
      <c r="N40118" s="1"/>
      <c r="V40118" s="5"/>
    </row>
    <row r="40119">
      <c r="N40119" s="1"/>
      <c r="V40119" s="5"/>
    </row>
    <row r="40120">
      <c r="N40120" s="1"/>
      <c r="V40120" s="5"/>
    </row>
    <row r="40121">
      <c r="N40121" s="1"/>
      <c r="V40121" s="5"/>
    </row>
    <row r="40122">
      <c r="N40122" s="1"/>
      <c r="V40122" s="5"/>
    </row>
    <row r="40123">
      <c r="N40123" s="1"/>
      <c r="V40123" s="5"/>
    </row>
    <row r="40124">
      <c r="N40124" s="1"/>
      <c r="V40124" s="5"/>
    </row>
    <row r="40125">
      <c r="N40125" s="1"/>
      <c r="V40125" s="5"/>
    </row>
    <row r="40126">
      <c r="N40126" s="1"/>
      <c r="V40126" s="5"/>
    </row>
    <row r="40127">
      <c r="N40127" s="1"/>
      <c r="V40127" s="5"/>
    </row>
    <row r="40128">
      <c r="N40128" s="1"/>
      <c r="V40128" s="5"/>
    </row>
    <row r="40129">
      <c r="N40129" s="1"/>
      <c r="V40129" s="5"/>
    </row>
    <row r="40130">
      <c r="N40130" s="1"/>
      <c r="V40130" s="5"/>
    </row>
    <row r="40131">
      <c r="N40131" s="1"/>
      <c r="V40131" s="5"/>
    </row>
    <row r="40132">
      <c r="N40132" s="1"/>
      <c r="V40132" s="5"/>
    </row>
    <row r="40133">
      <c r="N40133" s="1"/>
      <c r="V40133" s="5"/>
    </row>
    <row r="40134">
      <c r="N40134" s="1"/>
      <c r="V40134" s="5"/>
    </row>
    <row r="40135">
      <c r="N40135" s="1"/>
      <c r="V40135" s="5"/>
    </row>
    <row r="40136">
      <c r="N40136" s="1"/>
      <c r="V40136" s="5"/>
    </row>
    <row r="40137">
      <c r="N40137" s="1"/>
      <c r="V40137" s="5"/>
    </row>
    <row r="40138">
      <c r="N40138" s="1"/>
      <c r="V40138" s="5"/>
    </row>
    <row r="40139">
      <c r="N40139" s="1"/>
      <c r="V40139" s="5"/>
    </row>
    <row r="40140">
      <c r="N40140" s="1"/>
      <c r="V40140" s="5"/>
    </row>
    <row r="40141">
      <c r="N40141" s="1"/>
      <c r="V40141" s="5"/>
    </row>
    <row r="40142">
      <c r="N40142" s="1"/>
      <c r="V40142" s="5"/>
    </row>
    <row r="40143">
      <c r="N40143" s="1"/>
      <c r="V40143" s="5"/>
    </row>
    <row r="40144">
      <c r="N40144" s="1"/>
      <c r="V40144" s="5"/>
    </row>
    <row r="40145">
      <c r="N40145" s="1"/>
      <c r="V40145" s="5"/>
    </row>
    <row r="40146">
      <c r="N40146" s="1"/>
      <c r="V40146" s="5"/>
    </row>
    <row r="40147">
      <c r="N40147" s="1"/>
      <c r="V40147" s="5"/>
    </row>
    <row r="40148">
      <c r="N40148" s="1"/>
      <c r="V40148" s="5"/>
    </row>
    <row r="40149">
      <c r="N40149" s="1"/>
      <c r="V40149" s="5"/>
    </row>
    <row r="40150">
      <c r="N40150" s="1"/>
      <c r="V40150" s="5"/>
    </row>
    <row r="40151">
      <c r="N40151" s="1"/>
      <c r="V40151" s="5"/>
    </row>
    <row r="40152">
      <c r="N40152" s="1"/>
      <c r="V40152" s="5"/>
    </row>
    <row r="40153">
      <c r="N40153" s="1"/>
      <c r="V40153" s="5"/>
    </row>
    <row r="40154">
      <c r="N40154" s="1"/>
      <c r="V40154" s="5"/>
    </row>
    <row r="40155">
      <c r="N40155" s="1"/>
      <c r="V40155" s="5"/>
    </row>
    <row r="40156">
      <c r="N40156" s="1"/>
      <c r="V40156" s="5"/>
    </row>
    <row r="40157">
      <c r="N40157" s="1"/>
      <c r="V40157" s="5"/>
    </row>
    <row r="40158">
      <c r="N40158" s="1"/>
      <c r="V40158" s="5"/>
    </row>
    <row r="40159">
      <c r="N40159" s="1"/>
      <c r="V40159" s="5"/>
    </row>
    <row r="40160">
      <c r="N40160" s="1"/>
      <c r="V40160" s="5"/>
    </row>
    <row r="40161">
      <c r="N40161" s="1"/>
      <c r="V40161" s="5"/>
    </row>
    <row r="40162">
      <c r="N40162" s="1"/>
      <c r="V40162" s="5"/>
    </row>
    <row r="40163">
      <c r="N40163" s="1"/>
      <c r="V40163" s="5"/>
    </row>
    <row r="40164">
      <c r="N40164" s="1"/>
      <c r="V40164" s="5"/>
    </row>
    <row r="40165">
      <c r="N40165" s="1"/>
      <c r="V40165" s="5"/>
    </row>
    <row r="40166">
      <c r="N40166" s="1"/>
      <c r="V40166" s="5"/>
    </row>
    <row r="40167">
      <c r="N40167" s="1"/>
      <c r="V40167" s="5"/>
    </row>
    <row r="40168">
      <c r="N40168" s="1"/>
      <c r="V40168" s="5"/>
    </row>
    <row r="40169">
      <c r="N40169" s="1"/>
      <c r="V40169" s="5"/>
    </row>
    <row r="40170">
      <c r="N40170" s="1"/>
      <c r="V40170" s="5"/>
    </row>
    <row r="40171">
      <c r="N40171" s="1"/>
      <c r="V40171" s="5"/>
    </row>
    <row r="40172">
      <c r="N40172" s="1"/>
      <c r="V40172" s="5"/>
    </row>
    <row r="40173">
      <c r="N40173" s="1"/>
      <c r="V40173" s="5"/>
    </row>
    <row r="40174">
      <c r="N40174" s="1"/>
      <c r="V40174" s="5"/>
    </row>
    <row r="40175">
      <c r="N40175" s="1"/>
      <c r="V40175" s="5"/>
    </row>
    <row r="40176">
      <c r="N40176" s="1"/>
      <c r="V40176" s="5"/>
    </row>
    <row r="40177">
      <c r="N40177" s="1"/>
      <c r="V40177" s="5"/>
    </row>
    <row r="40178">
      <c r="N40178" s="1"/>
      <c r="V40178" s="5"/>
    </row>
    <row r="40179">
      <c r="N40179" s="1"/>
      <c r="V40179" s="5"/>
    </row>
    <row r="40180">
      <c r="N40180" s="1"/>
      <c r="V40180" s="5"/>
    </row>
    <row r="40181">
      <c r="N40181" s="1"/>
      <c r="V40181" s="5"/>
    </row>
    <row r="40182">
      <c r="N40182" s="1"/>
      <c r="V40182" s="5"/>
    </row>
    <row r="40183">
      <c r="N40183" s="1"/>
      <c r="V40183" s="5"/>
    </row>
    <row r="40184">
      <c r="N40184" s="1"/>
      <c r="V40184" s="5"/>
    </row>
    <row r="40185">
      <c r="N40185" s="1"/>
      <c r="V40185" s="5"/>
    </row>
    <row r="40186">
      <c r="N40186" s="1"/>
      <c r="V40186" s="5"/>
    </row>
    <row r="40187">
      <c r="N40187" s="1"/>
      <c r="V40187" s="5"/>
    </row>
    <row r="40188">
      <c r="N40188" s="1"/>
      <c r="V40188" s="5"/>
    </row>
    <row r="40189">
      <c r="N40189" s="1"/>
      <c r="V40189" s="5"/>
    </row>
    <row r="40190">
      <c r="N40190" s="1"/>
      <c r="V40190" s="5"/>
    </row>
    <row r="40191">
      <c r="N40191" s="1"/>
      <c r="V40191" s="5"/>
    </row>
    <row r="40192">
      <c r="N40192" s="1"/>
      <c r="V40192" s="5"/>
    </row>
    <row r="40193">
      <c r="N40193" s="1"/>
      <c r="V40193" s="5"/>
    </row>
    <row r="40194">
      <c r="N40194" s="1"/>
      <c r="V40194" s="5"/>
    </row>
    <row r="40195">
      <c r="N40195" s="1"/>
      <c r="V40195" s="5"/>
    </row>
    <row r="40196">
      <c r="N40196" s="1"/>
      <c r="V40196" s="5"/>
    </row>
    <row r="40197">
      <c r="N40197" s="1"/>
      <c r="V40197" s="5"/>
    </row>
    <row r="40198">
      <c r="N40198" s="1"/>
      <c r="V40198" s="5"/>
    </row>
    <row r="40199">
      <c r="N40199" s="1"/>
      <c r="V40199" s="5"/>
    </row>
    <row r="40200">
      <c r="N40200" s="1"/>
      <c r="V40200" s="5"/>
    </row>
    <row r="40201">
      <c r="N40201" s="1"/>
      <c r="V40201" s="5"/>
    </row>
    <row r="40202">
      <c r="N40202" s="1"/>
      <c r="V40202" s="5"/>
    </row>
    <row r="40203">
      <c r="N40203" s="1"/>
      <c r="V40203" s="5"/>
    </row>
    <row r="40204">
      <c r="N40204" s="1"/>
      <c r="V40204" s="5"/>
    </row>
    <row r="40205">
      <c r="N40205" s="1"/>
      <c r="V40205" s="5"/>
    </row>
    <row r="40206">
      <c r="N40206" s="1"/>
      <c r="V40206" s="5"/>
    </row>
    <row r="40207">
      <c r="N40207" s="1"/>
      <c r="V40207" s="5"/>
    </row>
    <row r="40208">
      <c r="N40208" s="1"/>
      <c r="V40208" s="5"/>
    </row>
    <row r="40209">
      <c r="N40209" s="1"/>
      <c r="V40209" s="5"/>
    </row>
    <row r="40210">
      <c r="N40210" s="1"/>
      <c r="V40210" s="5"/>
    </row>
    <row r="40211">
      <c r="N40211" s="1"/>
      <c r="V40211" s="5"/>
    </row>
    <row r="40212">
      <c r="N40212" s="1"/>
      <c r="V40212" s="5"/>
    </row>
    <row r="40213">
      <c r="N40213" s="1"/>
      <c r="V40213" s="5"/>
    </row>
    <row r="40214">
      <c r="N40214" s="1"/>
      <c r="V40214" s="5"/>
    </row>
    <row r="40215">
      <c r="N40215" s="1"/>
      <c r="V40215" s="5"/>
    </row>
    <row r="40216">
      <c r="N40216" s="1"/>
      <c r="V40216" s="5"/>
    </row>
    <row r="40217">
      <c r="N40217" s="1"/>
      <c r="V40217" s="5"/>
    </row>
    <row r="40218">
      <c r="N40218" s="1"/>
      <c r="V40218" s="5"/>
    </row>
    <row r="40219">
      <c r="N40219" s="1"/>
      <c r="V40219" s="5"/>
    </row>
    <row r="40220">
      <c r="N40220" s="1"/>
      <c r="V40220" s="5"/>
    </row>
    <row r="40221">
      <c r="N40221" s="1"/>
      <c r="V40221" s="5"/>
    </row>
    <row r="40222">
      <c r="N40222" s="1"/>
      <c r="V40222" s="5"/>
    </row>
    <row r="40223">
      <c r="N40223" s="1"/>
      <c r="V40223" s="5"/>
    </row>
    <row r="40224">
      <c r="N40224" s="1"/>
      <c r="V40224" s="5"/>
    </row>
    <row r="40225">
      <c r="N40225" s="1"/>
      <c r="V40225" s="5"/>
    </row>
    <row r="40226">
      <c r="N40226" s="1"/>
      <c r="V40226" s="5"/>
    </row>
    <row r="40227">
      <c r="N40227" s="1"/>
      <c r="V40227" s="5"/>
    </row>
    <row r="40228">
      <c r="N40228" s="1"/>
      <c r="V40228" s="5"/>
    </row>
    <row r="40229">
      <c r="N40229" s="1"/>
      <c r="V40229" s="5"/>
    </row>
    <row r="40230">
      <c r="N40230" s="1"/>
      <c r="V40230" s="5"/>
    </row>
    <row r="40231">
      <c r="N40231" s="1"/>
      <c r="V40231" s="5"/>
    </row>
    <row r="40232">
      <c r="N40232" s="1"/>
      <c r="V40232" s="5"/>
    </row>
    <row r="40233">
      <c r="N40233" s="1"/>
      <c r="V40233" s="5"/>
    </row>
    <row r="40234">
      <c r="N40234" s="1"/>
      <c r="V40234" s="5"/>
    </row>
    <row r="40235">
      <c r="N40235" s="1"/>
      <c r="V40235" s="5"/>
    </row>
    <row r="40236">
      <c r="N40236" s="1"/>
      <c r="V40236" s="5"/>
    </row>
    <row r="40237">
      <c r="N40237" s="1"/>
      <c r="V40237" s="5"/>
    </row>
    <row r="40238">
      <c r="N40238" s="1"/>
      <c r="V40238" s="5"/>
    </row>
    <row r="40239">
      <c r="N40239" s="1"/>
      <c r="V40239" s="5"/>
    </row>
    <row r="40240">
      <c r="N40240" s="1"/>
      <c r="V40240" s="5"/>
    </row>
    <row r="40241">
      <c r="N40241" s="1"/>
      <c r="V40241" s="5"/>
    </row>
    <row r="40242">
      <c r="N40242" s="1"/>
      <c r="V40242" s="5"/>
    </row>
    <row r="40243">
      <c r="N40243" s="1"/>
      <c r="V40243" s="5"/>
    </row>
    <row r="40244">
      <c r="N40244" s="1"/>
      <c r="V40244" s="5"/>
    </row>
    <row r="40245">
      <c r="N40245" s="1"/>
      <c r="V40245" s="5"/>
    </row>
    <row r="40246">
      <c r="N40246" s="1"/>
      <c r="V40246" s="5"/>
    </row>
    <row r="40247">
      <c r="N40247" s="1"/>
      <c r="V40247" s="5"/>
    </row>
    <row r="40248">
      <c r="N40248" s="1"/>
      <c r="V40248" s="5"/>
    </row>
    <row r="40249">
      <c r="N40249" s="1"/>
      <c r="V40249" s="5"/>
    </row>
    <row r="40250">
      <c r="N40250" s="1"/>
      <c r="V40250" s="5"/>
    </row>
    <row r="40251">
      <c r="N40251" s="1"/>
      <c r="V40251" s="5"/>
    </row>
    <row r="40252">
      <c r="N40252" s="1"/>
      <c r="V40252" s="5"/>
    </row>
    <row r="40253">
      <c r="N40253" s="1"/>
      <c r="V40253" s="5"/>
    </row>
    <row r="40254">
      <c r="N40254" s="1"/>
      <c r="V40254" s="5"/>
    </row>
    <row r="40255">
      <c r="N40255" s="1"/>
      <c r="V40255" s="5"/>
    </row>
    <row r="40256">
      <c r="N40256" s="1"/>
      <c r="V40256" s="5"/>
    </row>
    <row r="40257">
      <c r="N40257" s="1"/>
      <c r="V40257" s="5"/>
    </row>
    <row r="40258">
      <c r="N40258" s="1"/>
      <c r="V40258" s="5"/>
    </row>
    <row r="40259">
      <c r="N40259" s="1"/>
      <c r="V40259" s="5"/>
    </row>
    <row r="40260">
      <c r="N40260" s="1"/>
      <c r="V40260" s="5"/>
    </row>
    <row r="40261">
      <c r="N40261" s="1"/>
      <c r="V40261" s="5"/>
    </row>
    <row r="40262">
      <c r="N40262" s="1"/>
      <c r="V40262" s="5"/>
    </row>
    <row r="40263">
      <c r="N40263" s="1"/>
      <c r="V40263" s="5"/>
    </row>
    <row r="40264">
      <c r="N40264" s="1"/>
      <c r="V40264" s="5"/>
    </row>
    <row r="40265">
      <c r="N40265" s="1"/>
      <c r="V40265" s="5"/>
    </row>
    <row r="40266">
      <c r="N40266" s="1"/>
      <c r="V40266" s="5"/>
    </row>
    <row r="40267">
      <c r="N40267" s="1"/>
      <c r="V40267" s="5"/>
    </row>
    <row r="40268">
      <c r="N40268" s="1"/>
      <c r="V40268" s="5"/>
    </row>
    <row r="40269">
      <c r="N40269" s="1"/>
      <c r="V40269" s="5"/>
    </row>
    <row r="40270">
      <c r="N40270" s="1"/>
      <c r="V40270" s="5"/>
    </row>
    <row r="40271">
      <c r="N40271" s="1"/>
      <c r="V40271" s="5"/>
    </row>
    <row r="40272">
      <c r="N40272" s="1"/>
      <c r="V40272" s="5"/>
    </row>
    <row r="40273">
      <c r="N40273" s="1"/>
      <c r="V40273" s="5"/>
    </row>
    <row r="40274">
      <c r="N40274" s="1"/>
      <c r="V40274" s="5"/>
    </row>
    <row r="40275">
      <c r="N40275" s="1"/>
      <c r="V40275" s="5"/>
    </row>
    <row r="40276">
      <c r="N40276" s="1"/>
      <c r="V40276" s="5"/>
    </row>
    <row r="40277">
      <c r="N40277" s="1"/>
      <c r="V40277" s="5"/>
    </row>
    <row r="40278">
      <c r="N40278" s="1"/>
      <c r="V40278" s="5"/>
    </row>
    <row r="40279">
      <c r="N40279" s="1"/>
      <c r="V40279" s="5"/>
    </row>
    <row r="40280">
      <c r="N40280" s="1"/>
      <c r="V40280" s="5"/>
    </row>
    <row r="40281">
      <c r="N40281" s="1"/>
      <c r="V40281" s="5"/>
    </row>
    <row r="40282">
      <c r="N40282" s="1"/>
      <c r="V40282" s="5"/>
    </row>
    <row r="40283">
      <c r="N40283" s="1"/>
      <c r="V40283" s="5"/>
    </row>
    <row r="40284">
      <c r="N40284" s="1"/>
      <c r="V40284" s="5"/>
    </row>
    <row r="40285">
      <c r="N40285" s="1"/>
      <c r="V40285" s="5"/>
    </row>
    <row r="40286">
      <c r="N40286" s="1"/>
      <c r="V40286" s="5"/>
    </row>
    <row r="40287">
      <c r="N40287" s="1"/>
      <c r="V40287" s="5"/>
    </row>
    <row r="40288">
      <c r="N40288" s="1"/>
      <c r="V40288" s="5"/>
    </row>
    <row r="40289">
      <c r="N40289" s="1"/>
      <c r="V40289" s="5"/>
    </row>
    <row r="40290">
      <c r="N40290" s="1"/>
      <c r="V40290" s="5"/>
    </row>
    <row r="40291">
      <c r="N40291" s="1"/>
      <c r="V40291" s="5"/>
    </row>
    <row r="40292">
      <c r="N40292" s="1"/>
      <c r="V40292" s="5"/>
    </row>
    <row r="40293">
      <c r="N40293" s="1"/>
      <c r="V40293" s="5"/>
    </row>
    <row r="40294">
      <c r="N40294" s="1"/>
      <c r="V40294" s="5"/>
    </row>
    <row r="40295">
      <c r="N40295" s="1"/>
      <c r="V40295" s="5"/>
    </row>
    <row r="40296">
      <c r="N40296" s="1"/>
      <c r="V40296" s="5"/>
    </row>
    <row r="40297">
      <c r="N40297" s="1"/>
      <c r="V40297" s="5"/>
    </row>
    <row r="40298">
      <c r="N40298" s="1"/>
      <c r="V40298" s="5"/>
    </row>
    <row r="40299">
      <c r="N40299" s="1"/>
      <c r="V40299" s="5"/>
    </row>
    <row r="40300">
      <c r="N40300" s="1"/>
      <c r="V40300" s="5"/>
    </row>
    <row r="40301">
      <c r="N40301" s="1"/>
      <c r="V40301" s="5"/>
    </row>
    <row r="40302">
      <c r="N40302" s="1"/>
      <c r="V40302" s="5"/>
    </row>
    <row r="40303">
      <c r="N40303" s="1"/>
      <c r="V40303" s="5"/>
    </row>
    <row r="40304">
      <c r="N40304" s="1"/>
      <c r="V40304" s="5"/>
    </row>
    <row r="40305">
      <c r="N40305" s="1"/>
      <c r="V40305" s="5"/>
    </row>
    <row r="40306">
      <c r="N40306" s="1"/>
      <c r="V40306" s="5"/>
    </row>
    <row r="40307">
      <c r="N40307" s="1"/>
      <c r="V40307" s="5"/>
    </row>
    <row r="40308">
      <c r="N40308" s="1"/>
      <c r="V40308" s="5"/>
    </row>
    <row r="40309">
      <c r="N40309" s="1"/>
      <c r="V40309" s="5"/>
    </row>
    <row r="40310">
      <c r="N40310" s="1"/>
      <c r="V40310" s="5"/>
    </row>
    <row r="40311">
      <c r="N40311" s="1"/>
      <c r="V40311" s="5"/>
    </row>
    <row r="40312">
      <c r="N40312" s="1"/>
      <c r="V40312" s="5"/>
    </row>
    <row r="40313">
      <c r="N40313" s="1"/>
      <c r="V40313" s="5"/>
    </row>
    <row r="40314">
      <c r="N40314" s="1"/>
      <c r="V40314" s="5"/>
    </row>
    <row r="40315">
      <c r="N40315" s="1"/>
      <c r="V40315" s="5"/>
    </row>
    <row r="40316">
      <c r="N40316" s="1"/>
      <c r="V40316" s="5"/>
    </row>
    <row r="40317">
      <c r="N40317" s="1"/>
      <c r="V40317" s="5"/>
    </row>
    <row r="40318">
      <c r="N40318" s="1"/>
      <c r="V40318" s="5"/>
    </row>
    <row r="40319">
      <c r="N40319" s="1"/>
      <c r="V40319" s="5"/>
    </row>
    <row r="40320">
      <c r="N40320" s="1"/>
      <c r="V40320" s="5"/>
    </row>
    <row r="40321">
      <c r="N40321" s="1"/>
      <c r="V40321" s="5"/>
    </row>
    <row r="40322">
      <c r="N40322" s="1"/>
      <c r="V40322" s="5"/>
    </row>
    <row r="40323">
      <c r="N40323" s="1"/>
      <c r="V40323" s="5"/>
    </row>
    <row r="40324">
      <c r="N40324" s="1"/>
      <c r="V40324" s="5"/>
    </row>
    <row r="40325">
      <c r="N40325" s="1"/>
      <c r="V40325" s="5"/>
    </row>
    <row r="40326">
      <c r="N40326" s="1"/>
      <c r="V40326" s="5"/>
    </row>
    <row r="40327">
      <c r="N40327" s="1"/>
      <c r="V40327" s="5"/>
    </row>
    <row r="40328">
      <c r="N40328" s="1"/>
      <c r="V40328" s="5"/>
    </row>
    <row r="40329">
      <c r="N40329" s="1"/>
      <c r="V40329" s="5"/>
    </row>
    <row r="40330">
      <c r="N40330" s="1"/>
      <c r="V40330" s="5"/>
    </row>
    <row r="40331">
      <c r="N40331" s="1"/>
      <c r="V40331" s="5"/>
    </row>
    <row r="40332">
      <c r="N40332" s="1"/>
      <c r="V40332" s="5"/>
    </row>
    <row r="40333">
      <c r="N40333" s="1"/>
      <c r="V40333" s="5"/>
    </row>
    <row r="40334">
      <c r="N40334" s="1"/>
      <c r="V40334" s="5"/>
    </row>
    <row r="40335">
      <c r="N40335" s="1"/>
      <c r="V40335" s="5"/>
    </row>
    <row r="40336">
      <c r="N40336" s="1"/>
      <c r="V40336" s="5"/>
    </row>
    <row r="40337">
      <c r="N40337" s="1"/>
      <c r="V40337" s="5"/>
    </row>
    <row r="40338">
      <c r="N40338" s="1"/>
      <c r="V40338" s="5"/>
    </row>
    <row r="40339">
      <c r="N40339" s="1"/>
      <c r="V40339" s="5"/>
    </row>
    <row r="40340">
      <c r="N40340" s="1"/>
      <c r="V40340" s="5"/>
    </row>
    <row r="40341">
      <c r="N40341" s="1"/>
      <c r="V40341" s="5"/>
    </row>
    <row r="40342">
      <c r="N40342" s="1"/>
      <c r="V40342" s="5"/>
    </row>
    <row r="40343">
      <c r="N40343" s="1"/>
      <c r="V40343" s="5"/>
    </row>
    <row r="40344">
      <c r="N40344" s="1"/>
      <c r="V40344" s="5"/>
    </row>
    <row r="40345">
      <c r="N40345" s="1"/>
      <c r="V40345" s="5"/>
    </row>
    <row r="40346">
      <c r="N40346" s="1"/>
      <c r="V40346" s="5"/>
    </row>
    <row r="40347">
      <c r="N40347" s="1"/>
      <c r="V40347" s="5"/>
    </row>
    <row r="40348">
      <c r="N40348" s="1"/>
      <c r="V40348" s="5"/>
    </row>
    <row r="40349">
      <c r="N40349" s="1"/>
      <c r="V40349" s="5"/>
    </row>
    <row r="40350">
      <c r="N40350" s="1"/>
      <c r="V40350" s="5"/>
    </row>
    <row r="40351">
      <c r="N40351" s="1"/>
      <c r="V40351" s="5"/>
    </row>
    <row r="40352">
      <c r="N40352" s="1"/>
      <c r="V40352" s="5"/>
    </row>
    <row r="40353">
      <c r="N40353" s="1"/>
      <c r="V40353" s="5"/>
    </row>
    <row r="40354">
      <c r="N40354" s="1"/>
      <c r="V40354" s="5"/>
    </row>
    <row r="40355">
      <c r="N40355" s="1"/>
      <c r="V40355" s="5"/>
    </row>
    <row r="40356">
      <c r="N40356" s="1"/>
      <c r="V40356" s="5"/>
    </row>
    <row r="40357">
      <c r="N40357" s="1"/>
      <c r="V40357" s="5"/>
    </row>
    <row r="40358">
      <c r="N40358" s="1"/>
      <c r="V40358" s="5"/>
    </row>
    <row r="40359">
      <c r="N40359" s="1"/>
      <c r="V40359" s="5"/>
    </row>
    <row r="40360">
      <c r="N40360" s="1"/>
      <c r="V40360" s="5"/>
    </row>
    <row r="40361">
      <c r="N40361" s="1"/>
      <c r="V40361" s="5"/>
    </row>
    <row r="40362">
      <c r="N40362" s="1"/>
      <c r="V40362" s="5"/>
    </row>
    <row r="40363">
      <c r="N40363" s="1"/>
      <c r="V40363" s="5"/>
    </row>
    <row r="40364">
      <c r="N40364" s="1"/>
      <c r="V40364" s="5"/>
    </row>
    <row r="40365">
      <c r="N40365" s="1"/>
      <c r="V40365" s="5"/>
    </row>
    <row r="40366">
      <c r="N40366" s="1"/>
      <c r="V40366" s="5"/>
    </row>
    <row r="40367">
      <c r="N40367" s="1"/>
      <c r="V40367" s="5"/>
    </row>
    <row r="40368">
      <c r="N40368" s="1"/>
      <c r="V40368" s="5"/>
    </row>
    <row r="40369">
      <c r="N40369" s="1"/>
      <c r="V40369" s="5"/>
    </row>
    <row r="40370">
      <c r="N40370" s="1"/>
      <c r="V40370" s="5"/>
    </row>
    <row r="40371">
      <c r="N40371" s="1"/>
      <c r="V40371" s="5"/>
    </row>
    <row r="40372">
      <c r="N40372" s="1"/>
      <c r="V40372" s="5"/>
    </row>
    <row r="40373">
      <c r="N40373" s="1"/>
      <c r="V40373" s="5"/>
    </row>
    <row r="40374">
      <c r="N40374" s="1"/>
      <c r="V40374" s="5"/>
    </row>
    <row r="40375">
      <c r="N40375" s="1"/>
      <c r="V40375" s="5"/>
    </row>
    <row r="40376">
      <c r="N40376" s="1"/>
      <c r="V40376" s="5"/>
    </row>
    <row r="40377">
      <c r="N40377" s="1"/>
      <c r="V40377" s="5"/>
    </row>
    <row r="40378">
      <c r="N40378" s="1"/>
      <c r="V40378" s="5"/>
    </row>
    <row r="40379">
      <c r="N40379" s="1"/>
      <c r="V40379" s="5"/>
    </row>
    <row r="40380">
      <c r="N40380" s="1"/>
      <c r="V40380" s="5"/>
    </row>
    <row r="40381">
      <c r="N40381" s="1"/>
      <c r="V40381" s="5"/>
    </row>
    <row r="40382">
      <c r="N40382" s="1"/>
      <c r="V40382" s="5"/>
    </row>
    <row r="40383">
      <c r="N40383" s="1"/>
      <c r="V40383" s="5"/>
    </row>
    <row r="40384">
      <c r="N40384" s="1"/>
      <c r="V40384" s="5"/>
    </row>
    <row r="40385">
      <c r="N40385" s="1"/>
      <c r="V40385" s="5"/>
    </row>
    <row r="40386">
      <c r="N40386" s="1"/>
      <c r="V40386" s="5"/>
    </row>
    <row r="40387">
      <c r="N40387" s="1"/>
      <c r="V40387" s="5"/>
    </row>
    <row r="40388">
      <c r="N40388" s="1"/>
      <c r="V40388" s="5"/>
    </row>
    <row r="40389">
      <c r="N40389" s="1"/>
      <c r="V40389" s="5"/>
    </row>
    <row r="40390">
      <c r="N40390" s="1"/>
      <c r="V40390" s="5"/>
    </row>
    <row r="40391">
      <c r="N40391" s="1"/>
      <c r="V40391" s="5"/>
    </row>
    <row r="40392">
      <c r="N40392" s="1"/>
      <c r="V40392" s="5"/>
    </row>
    <row r="40393">
      <c r="N40393" s="1"/>
      <c r="V40393" s="5"/>
    </row>
    <row r="40394">
      <c r="N40394" s="1"/>
      <c r="V40394" s="5"/>
    </row>
    <row r="40395">
      <c r="N40395" s="1"/>
      <c r="V40395" s="5"/>
    </row>
    <row r="40396">
      <c r="N40396" s="1"/>
      <c r="V40396" s="5"/>
    </row>
    <row r="40397">
      <c r="N40397" s="1"/>
      <c r="V40397" s="5"/>
    </row>
    <row r="40398">
      <c r="N40398" s="1"/>
      <c r="V40398" s="5"/>
    </row>
    <row r="40399">
      <c r="N40399" s="1"/>
      <c r="V40399" s="5"/>
    </row>
    <row r="40400">
      <c r="N40400" s="1"/>
      <c r="V40400" s="5"/>
    </row>
    <row r="40401">
      <c r="N40401" s="1"/>
      <c r="V40401" s="5"/>
    </row>
    <row r="40402">
      <c r="N40402" s="1"/>
      <c r="V40402" s="5"/>
    </row>
    <row r="40403">
      <c r="N40403" s="1"/>
      <c r="V40403" s="5"/>
    </row>
    <row r="40404">
      <c r="N40404" s="1"/>
      <c r="V40404" s="5"/>
    </row>
    <row r="40405">
      <c r="N40405" s="1"/>
      <c r="V40405" s="5"/>
    </row>
    <row r="40406">
      <c r="N40406" s="1"/>
      <c r="V40406" s="5"/>
    </row>
    <row r="40407">
      <c r="N40407" s="1"/>
      <c r="V40407" s="5"/>
    </row>
    <row r="40408">
      <c r="N40408" s="1"/>
      <c r="V40408" s="5"/>
    </row>
    <row r="40409">
      <c r="N40409" s="1"/>
      <c r="V40409" s="5"/>
    </row>
    <row r="40410">
      <c r="N40410" s="1"/>
      <c r="V40410" s="5"/>
    </row>
    <row r="40411">
      <c r="N40411" s="1"/>
      <c r="V40411" s="5"/>
    </row>
    <row r="40412">
      <c r="N40412" s="1"/>
      <c r="V40412" s="5"/>
    </row>
    <row r="40413">
      <c r="N40413" s="1"/>
      <c r="V40413" s="5"/>
    </row>
    <row r="40414">
      <c r="N40414" s="1"/>
      <c r="V40414" s="5"/>
    </row>
    <row r="40415">
      <c r="N40415" s="1"/>
      <c r="V40415" s="5"/>
    </row>
    <row r="40416">
      <c r="N40416" s="1"/>
      <c r="V40416" s="5"/>
    </row>
    <row r="40417">
      <c r="N40417" s="1"/>
      <c r="V40417" s="5"/>
    </row>
    <row r="40418">
      <c r="N40418" s="1"/>
      <c r="V40418" s="5"/>
    </row>
    <row r="40419">
      <c r="N40419" s="1"/>
      <c r="V40419" s="5"/>
    </row>
    <row r="40420">
      <c r="N40420" s="1"/>
      <c r="V40420" s="5"/>
    </row>
    <row r="40421">
      <c r="N40421" s="1"/>
      <c r="V40421" s="5"/>
    </row>
    <row r="40422">
      <c r="N40422" s="1"/>
      <c r="V40422" s="5"/>
    </row>
    <row r="40423">
      <c r="N40423" s="1"/>
      <c r="V40423" s="5"/>
    </row>
    <row r="40424">
      <c r="N40424" s="1"/>
      <c r="V40424" s="5"/>
    </row>
    <row r="40425">
      <c r="N40425" s="1"/>
      <c r="V40425" s="5"/>
    </row>
    <row r="40426">
      <c r="N40426" s="1"/>
      <c r="V40426" s="5"/>
    </row>
    <row r="40427">
      <c r="N40427" s="1"/>
      <c r="V40427" s="5"/>
    </row>
    <row r="40428">
      <c r="N40428" s="1"/>
      <c r="V40428" s="5"/>
    </row>
    <row r="40429">
      <c r="N40429" s="1"/>
      <c r="V40429" s="5"/>
    </row>
    <row r="40430">
      <c r="N40430" s="1"/>
      <c r="V40430" s="5"/>
    </row>
    <row r="40431">
      <c r="N40431" s="1"/>
      <c r="V40431" s="5"/>
    </row>
    <row r="40432">
      <c r="N40432" s="1"/>
      <c r="V40432" s="5"/>
    </row>
    <row r="40433">
      <c r="N40433" s="1"/>
      <c r="V40433" s="5"/>
    </row>
    <row r="40434">
      <c r="N40434" s="1"/>
      <c r="V40434" s="5"/>
    </row>
    <row r="40435">
      <c r="N40435" s="1"/>
      <c r="V40435" s="5"/>
    </row>
    <row r="40436">
      <c r="N40436" s="1"/>
      <c r="V40436" s="5"/>
    </row>
    <row r="40437">
      <c r="N40437" s="1"/>
      <c r="V40437" s="5"/>
    </row>
    <row r="40438">
      <c r="N40438" s="1"/>
      <c r="V40438" s="5"/>
    </row>
    <row r="40439">
      <c r="N40439" s="1"/>
      <c r="V40439" s="5"/>
    </row>
    <row r="40440">
      <c r="N40440" s="1"/>
      <c r="V40440" s="5"/>
    </row>
    <row r="40441">
      <c r="N40441" s="1"/>
      <c r="V40441" s="5"/>
    </row>
    <row r="40442">
      <c r="N40442" s="1"/>
      <c r="V40442" s="5"/>
    </row>
    <row r="40443">
      <c r="N40443" s="1"/>
      <c r="V40443" s="5"/>
    </row>
    <row r="40444">
      <c r="N40444" s="1"/>
      <c r="V40444" s="5"/>
    </row>
    <row r="40445">
      <c r="N40445" s="1"/>
      <c r="V40445" s="5"/>
    </row>
    <row r="40446">
      <c r="N40446" s="1"/>
      <c r="V40446" s="5"/>
    </row>
    <row r="40447">
      <c r="N40447" s="1"/>
      <c r="V40447" s="5"/>
    </row>
    <row r="40448">
      <c r="N40448" s="1"/>
      <c r="V40448" s="5"/>
    </row>
    <row r="40449">
      <c r="N40449" s="1"/>
      <c r="V40449" s="5"/>
    </row>
    <row r="40450">
      <c r="N40450" s="1"/>
      <c r="V40450" s="5"/>
    </row>
    <row r="40451">
      <c r="N40451" s="1"/>
      <c r="V40451" s="5"/>
    </row>
    <row r="40452">
      <c r="N40452" s="1"/>
      <c r="V40452" s="5"/>
    </row>
    <row r="40453">
      <c r="N40453" s="1"/>
      <c r="V40453" s="5"/>
    </row>
    <row r="40454">
      <c r="N40454" s="1"/>
      <c r="V40454" s="5"/>
    </row>
    <row r="40455">
      <c r="N40455" s="1"/>
      <c r="V40455" s="5"/>
    </row>
    <row r="40456">
      <c r="N40456" s="1"/>
      <c r="V40456" s="5"/>
    </row>
    <row r="40457">
      <c r="N40457" s="1"/>
      <c r="V40457" s="5"/>
    </row>
    <row r="40458">
      <c r="N40458" s="1"/>
      <c r="V40458" s="5"/>
    </row>
    <row r="40459">
      <c r="N40459" s="1"/>
      <c r="V40459" s="5"/>
    </row>
    <row r="40460">
      <c r="N40460" s="1"/>
      <c r="V40460" s="5"/>
    </row>
    <row r="40461">
      <c r="N40461" s="1"/>
      <c r="V40461" s="5"/>
    </row>
    <row r="40462">
      <c r="N40462" s="1"/>
      <c r="V40462" s="5"/>
    </row>
    <row r="40463">
      <c r="N40463" s="1"/>
      <c r="V40463" s="5"/>
    </row>
    <row r="40464">
      <c r="N40464" s="1"/>
      <c r="V40464" s="5"/>
    </row>
    <row r="40465">
      <c r="N40465" s="1"/>
      <c r="V40465" s="5"/>
    </row>
    <row r="40466">
      <c r="N40466" s="1"/>
      <c r="V40466" s="5"/>
    </row>
    <row r="40467">
      <c r="N40467" s="1"/>
      <c r="V40467" s="5"/>
    </row>
    <row r="40468">
      <c r="N40468" s="1"/>
      <c r="V40468" s="5"/>
    </row>
    <row r="40469">
      <c r="N40469" s="1"/>
      <c r="V40469" s="5"/>
    </row>
    <row r="40470">
      <c r="N40470" s="1"/>
      <c r="V40470" s="5"/>
    </row>
    <row r="40471">
      <c r="N40471" s="1"/>
      <c r="V40471" s="5"/>
    </row>
    <row r="40472">
      <c r="N40472" s="1"/>
      <c r="V40472" s="5"/>
    </row>
    <row r="40473">
      <c r="N40473" s="1"/>
      <c r="V40473" s="5"/>
    </row>
    <row r="40474">
      <c r="N40474" s="1"/>
      <c r="V40474" s="5"/>
    </row>
    <row r="40475">
      <c r="N40475" s="1"/>
      <c r="V40475" s="5"/>
    </row>
    <row r="40476">
      <c r="N40476" s="1"/>
      <c r="V40476" s="5"/>
    </row>
    <row r="40477">
      <c r="N40477" s="1"/>
      <c r="V40477" s="5"/>
    </row>
    <row r="40478">
      <c r="N40478" s="1"/>
      <c r="V40478" s="5"/>
    </row>
    <row r="40479">
      <c r="N40479" s="1"/>
      <c r="V40479" s="5"/>
    </row>
    <row r="40480">
      <c r="N40480" s="1"/>
      <c r="V40480" s="5"/>
    </row>
    <row r="40481">
      <c r="N40481" s="1"/>
      <c r="V40481" s="5"/>
    </row>
    <row r="40482">
      <c r="N40482" s="1"/>
      <c r="V40482" s="5"/>
    </row>
    <row r="40483">
      <c r="N40483" s="1"/>
      <c r="V40483" s="5"/>
    </row>
    <row r="40484">
      <c r="N40484" s="1"/>
      <c r="V40484" s="5"/>
    </row>
    <row r="40485">
      <c r="N40485" s="1"/>
      <c r="V40485" s="5"/>
    </row>
    <row r="40486">
      <c r="N40486" s="1"/>
      <c r="V40486" s="5"/>
    </row>
    <row r="40487">
      <c r="N40487" s="1"/>
      <c r="V40487" s="5"/>
    </row>
    <row r="40488">
      <c r="N40488" s="1"/>
      <c r="V40488" s="5"/>
    </row>
    <row r="40489">
      <c r="N40489" s="1"/>
      <c r="V40489" s="5"/>
    </row>
    <row r="40490">
      <c r="N40490" s="1"/>
      <c r="V40490" s="5"/>
    </row>
    <row r="40491">
      <c r="N40491" s="1"/>
      <c r="V40491" s="5"/>
    </row>
    <row r="40492">
      <c r="N40492" s="1"/>
      <c r="V40492" s="5"/>
    </row>
    <row r="40493">
      <c r="N40493" s="1"/>
      <c r="V40493" s="5"/>
    </row>
    <row r="40494">
      <c r="N40494" s="1"/>
      <c r="V40494" s="5"/>
    </row>
    <row r="40495">
      <c r="N40495" s="1"/>
      <c r="V40495" s="5"/>
    </row>
    <row r="40496">
      <c r="N40496" s="1"/>
      <c r="V40496" s="5"/>
    </row>
    <row r="40497">
      <c r="N40497" s="1"/>
      <c r="V40497" s="5"/>
    </row>
    <row r="40498">
      <c r="N40498" s="1"/>
      <c r="V40498" s="5"/>
    </row>
    <row r="40499">
      <c r="N40499" s="1"/>
      <c r="V40499" s="5"/>
    </row>
    <row r="40500">
      <c r="N40500" s="1"/>
      <c r="V40500" s="5"/>
    </row>
    <row r="40501">
      <c r="N40501" s="1"/>
      <c r="V40501" s="5"/>
    </row>
    <row r="40502">
      <c r="N40502" s="1"/>
      <c r="V40502" s="5"/>
    </row>
    <row r="40503">
      <c r="N40503" s="1"/>
      <c r="V40503" s="5"/>
    </row>
    <row r="40504">
      <c r="N40504" s="1"/>
      <c r="V40504" s="5"/>
    </row>
    <row r="40505">
      <c r="N40505" s="1"/>
      <c r="V40505" s="5"/>
    </row>
    <row r="40506">
      <c r="N40506" s="1"/>
      <c r="V40506" s="5"/>
    </row>
    <row r="40507">
      <c r="N40507" s="1"/>
      <c r="V40507" s="5"/>
    </row>
    <row r="40508">
      <c r="N40508" s="1"/>
      <c r="V40508" s="5"/>
    </row>
    <row r="40509">
      <c r="N40509" s="1"/>
      <c r="V40509" s="5"/>
    </row>
    <row r="40510">
      <c r="N40510" s="1"/>
      <c r="V40510" s="5"/>
    </row>
    <row r="40511">
      <c r="N40511" s="1"/>
      <c r="V40511" s="5"/>
    </row>
    <row r="40512">
      <c r="N40512" s="1"/>
      <c r="V40512" s="5"/>
    </row>
    <row r="40513">
      <c r="N40513" s="1"/>
      <c r="V40513" s="5"/>
    </row>
    <row r="40514">
      <c r="N40514" s="1"/>
      <c r="V40514" s="5"/>
    </row>
    <row r="40515">
      <c r="N40515" s="1"/>
      <c r="V40515" s="5"/>
    </row>
    <row r="40516">
      <c r="N40516" s="1"/>
      <c r="V40516" s="5"/>
    </row>
    <row r="40517">
      <c r="N40517" s="1"/>
      <c r="V40517" s="5"/>
    </row>
    <row r="40518">
      <c r="N40518" s="1"/>
      <c r="V40518" s="5"/>
    </row>
    <row r="40519">
      <c r="N40519" s="1"/>
      <c r="V40519" s="5"/>
    </row>
    <row r="40520">
      <c r="N40520" s="1"/>
      <c r="V40520" s="5"/>
    </row>
    <row r="40521">
      <c r="N40521" s="1"/>
      <c r="V40521" s="5"/>
    </row>
    <row r="40522">
      <c r="N40522" s="1"/>
      <c r="V40522" s="5"/>
    </row>
    <row r="40523">
      <c r="N40523" s="1"/>
      <c r="V40523" s="5"/>
    </row>
    <row r="40524">
      <c r="N40524" s="1"/>
      <c r="V40524" s="5"/>
    </row>
    <row r="40525">
      <c r="N40525" s="1"/>
      <c r="V40525" s="5"/>
    </row>
    <row r="40526">
      <c r="N40526" s="1"/>
      <c r="V40526" s="5"/>
    </row>
    <row r="40527">
      <c r="N40527" s="1"/>
      <c r="V40527" s="5"/>
    </row>
    <row r="40528">
      <c r="N40528" s="1"/>
      <c r="V40528" s="5"/>
    </row>
    <row r="40529">
      <c r="N40529" s="1"/>
      <c r="V40529" s="5"/>
    </row>
    <row r="40530">
      <c r="N40530" s="1"/>
      <c r="V40530" s="5"/>
    </row>
    <row r="40531">
      <c r="N40531" s="1"/>
      <c r="V40531" s="5"/>
    </row>
    <row r="40532">
      <c r="N40532" s="1"/>
      <c r="V40532" s="5"/>
    </row>
    <row r="40533">
      <c r="N40533" s="1"/>
      <c r="V40533" s="5"/>
    </row>
    <row r="40534">
      <c r="N40534" s="1"/>
      <c r="V40534" s="5"/>
    </row>
    <row r="40535">
      <c r="N40535" s="1"/>
      <c r="V40535" s="5"/>
    </row>
    <row r="40536">
      <c r="N40536" s="1"/>
      <c r="V40536" s="5"/>
    </row>
    <row r="40537">
      <c r="N40537" s="1"/>
      <c r="V40537" s="5"/>
    </row>
    <row r="40538">
      <c r="N40538" s="1"/>
      <c r="V40538" s="5"/>
    </row>
    <row r="40539">
      <c r="N40539" s="1"/>
      <c r="V40539" s="5"/>
    </row>
    <row r="40540">
      <c r="N40540" s="1"/>
      <c r="V40540" s="5"/>
    </row>
    <row r="40541">
      <c r="N40541" s="1"/>
      <c r="V40541" s="5"/>
    </row>
    <row r="40542">
      <c r="N40542" s="1"/>
      <c r="V40542" s="5"/>
    </row>
    <row r="40543">
      <c r="N40543" s="1"/>
      <c r="V40543" s="5"/>
    </row>
    <row r="40544">
      <c r="N40544" s="1"/>
      <c r="V40544" s="5"/>
    </row>
    <row r="40545">
      <c r="N40545" s="1"/>
      <c r="V40545" s="5"/>
    </row>
    <row r="40546">
      <c r="N40546" s="1"/>
      <c r="V40546" s="5"/>
    </row>
    <row r="40547">
      <c r="N40547" s="1"/>
      <c r="V40547" s="5"/>
    </row>
    <row r="40548">
      <c r="N40548" s="1"/>
      <c r="V40548" s="5"/>
    </row>
    <row r="40549">
      <c r="N40549" s="1"/>
      <c r="V40549" s="5"/>
    </row>
    <row r="40550">
      <c r="N40550" s="1"/>
      <c r="V40550" s="5"/>
    </row>
    <row r="40551">
      <c r="N40551" s="1"/>
      <c r="V40551" s="5"/>
    </row>
    <row r="40552">
      <c r="N40552" s="1"/>
      <c r="V40552" s="5"/>
    </row>
    <row r="40553">
      <c r="N40553" s="1"/>
      <c r="V40553" s="5"/>
    </row>
    <row r="40554">
      <c r="N40554" s="1"/>
      <c r="V40554" s="5"/>
    </row>
    <row r="40555">
      <c r="N40555" s="1"/>
      <c r="V40555" s="5"/>
    </row>
    <row r="40556">
      <c r="N40556" s="1"/>
      <c r="V40556" s="5"/>
    </row>
    <row r="40557">
      <c r="N40557" s="1"/>
      <c r="V40557" s="5"/>
    </row>
    <row r="40558">
      <c r="N40558" s="1"/>
      <c r="V40558" s="5"/>
    </row>
    <row r="40559">
      <c r="N40559" s="1"/>
      <c r="V40559" s="5"/>
    </row>
    <row r="40560">
      <c r="N40560" s="1"/>
      <c r="V40560" s="5"/>
    </row>
    <row r="40561">
      <c r="N40561" s="1"/>
      <c r="V40561" s="5"/>
    </row>
    <row r="40562">
      <c r="N40562" s="1"/>
      <c r="V40562" s="5"/>
    </row>
    <row r="40563">
      <c r="N40563" s="1"/>
      <c r="V40563" s="5"/>
    </row>
    <row r="40564">
      <c r="N40564" s="1"/>
      <c r="V40564" s="5"/>
    </row>
    <row r="40565">
      <c r="N40565" s="1"/>
      <c r="V40565" s="5"/>
    </row>
    <row r="40566">
      <c r="N40566" s="1"/>
      <c r="V40566" s="5"/>
    </row>
    <row r="40567">
      <c r="N40567" s="1"/>
      <c r="V40567" s="5"/>
    </row>
    <row r="40568">
      <c r="N40568" s="1"/>
      <c r="V40568" s="5"/>
    </row>
    <row r="40569">
      <c r="N40569" s="1"/>
      <c r="V40569" s="5"/>
    </row>
    <row r="40570">
      <c r="N40570" s="1"/>
      <c r="V40570" s="5"/>
    </row>
    <row r="40571">
      <c r="N40571" s="1"/>
      <c r="V40571" s="5"/>
    </row>
    <row r="40572">
      <c r="N40572" s="1"/>
      <c r="V40572" s="5"/>
    </row>
    <row r="40573">
      <c r="N40573" s="1"/>
      <c r="V40573" s="5"/>
    </row>
    <row r="40574">
      <c r="N40574" s="1"/>
      <c r="V40574" s="5"/>
    </row>
    <row r="40575">
      <c r="N40575" s="1"/>
      <c r="V40575" s="5"/>
    </row>
    <row r="40576">
      <c r="N40576" s="1"/>
      <c r="V40576" s="5"/>
    </row>
    <row r="40577">
      <c r="N40577" s="1"/>
      <c r="V40577" s="5"/>
    </row>
    <row r="40578">
      <c r="N40578" s="1"/>
      <c r="V40578" s="5"/>
    </row>
    <row r="40579">
      <c r="N40579" s="1"/>
      <c r="V40579" s="5"/>
    </row>
    <row r="40580">
      <c r="N40580" s="1"/>
      <c r="V40580" s="5"/>
    </row>
    <row r="40581">
      <c r="N40581" s="1"/>
      <c r="V40581" s="5"/>
    </row>
    <row r="40582">
      <c r="N40582" s="1"/>
      <c r="V40582" s="5"/>
    </row>
    <row r="40583">
      <c r="N40583" s="1"/>
      <c r="V40583" s="5"/>
    </row>
    <row r="40584">
      <c r="N40584" s="1"/>
      <c r="V40584" s="5"/>
    </row>
    <row r="40585">
      <c r="N40585" s="1"/>
      <c r="V40585" s="5"/>
    </row>
    <row r="40586">
      <c r="N40586" s="1"/>
      <c r="V40586" s="5"/>
    </row>
    <row r="40587">
      <c r="N40587" s="1"/>
      <c r="V40587" s="5"/>
    </row>
    <row r="40588">
      <c r="N40588" s="1"/>
      <c r="V40588" s="5"/>
    </row>
    <row r="40589">
      <c r="N40589" s="1"/>
      <c r="V40589" s="5"/>
    </row>
    <row r="40590">
      <c r="N40590" s="1"/>
      <c r="V40590" s="5"/>
    </row>
    <row r="40591">
      <c r="N40591" s="1"/>
      <c r="V40591" s="5"/>
    </row>
    <row r="40592">
      <c r="N40592" s="1"/>
      <c r="V40592" s="5"/>
    </row>
    <row r="40593">
      <c r="N40593" s="1"/>
      <c r="V40593" s="5"/>
    </row>
    <row r="40594">
      <c r="N40594" s="1"/>
      <c r="V40594" s="5"/>
    </row>
    <row r="40595">
      <c r="N40595" s="1"/>
      <c r="V40595" s="5"/>
    </row>
    <row r="40596">
      <c r="N40596" s="1"/>
      <c r="V40596" s="5"/>
    </row>
    <row r="40597">
      <c r="N40597" s="1"/>
      <c r="V40597" s="5"/>
    </row>
    <row r="40598">
      <c r="N40598" s="1"/>
      <c r="V40598" s="5"/>
    </row>
    <row r="40599">
      <c r="N40599" s="1"/>
      <c r="V40599" s="5"/>
    </row>
    <row r="40600">
      <c r="N40600" s="1"/>
      <c r="V40600" s="5"/>
    </row>
    <row r="40601">
      <c r="N40601" s="1"/>
      <c r="V40601" s="5"/>
    </row>
    <row r="40602">
      <c r="N40602" s="1"/>
      <c r="V40602" s="5"/>
    </row>
    <row r="40603">
      <c r="N40603" s="1"/>
      <c r="V40603" s="5"/>
    </row>
    <row r="40604">
      <c r="N40604" s="1"/>
      <c r="V40604" s="5"/>
    </row>
    <row r="40605">
      <c r="N40605" s="1"/>
      <c r="V40605" s="5"/>
    </row>
    <row r="40606">
      <c r="N40606" s="1"/>
      <c r="V40606" s="5"/>
    </row>
    <row r="40607">
      <c r="N40607" s="1"/>
      <c r="V40607" s="5"/>
    </row>
    <row r="40608">
      <c r="N40608" s="1"/>
      <c r="V40608" s="5"/>
    </row>
    <row r="40609">
      <c r="N40609" s="1"/>
      <c r="V40609" s="5"/>
    </row>
    <row r="40610">
      <c r="N40610" s="1"/>
      <c r="V40610" s="5"/>
    </row>
    <row r="40611">
      <c r="N40611" s="1"/>
      <c r="V40611" s="5"/>
    </row>
    <row r="40612">
      <c r="N40612" s="1"/>
      <c r="V40612" s="5"/>
    </row>
    <row r="40613">
      <c r="N40613" s="1"/>
      <c r="V40613" s="5"/>
    </row>
    <row r="40614">
      <c r="N40614" s="1"/>
      <c r="V40614" s="5"/>
    </row>
    <row r="40615">
      <c r="N40615" s="1"/>
      <c r="V40615" s="5"/>
    </row>
    <row r="40616">
      <c r="N40616" s="1"/>
      <c r="V40616" s="5"/>
    </row>
    <row r="40617">
      <c r="N40617" s="1"/>
      <c r="V40617" s="5"/>
    </row>
    <row r="40618">
      <c r="N40618" s="1"/>
      <c r="V40618" s="5"/>
    </row>
    <row r="40619">
      <c r="N40619" s="1"/>
      <c r="V40619" s="5"/>
    </row>
    <row r="40620">
      <c r="N40620" s="1"/>
      <c r="V40620" s="5"/>
    </row>
    <row r="40621">
      <c r="N40621" s="1"/>
      <c r="V40621" s="5"/>
    </row>
    <row r="40622">
      <c r="N40622" s="1"/>
      <c r="V40622" s="5"/>
    </row>
    <row r="40623">
      <c r="N40623" s="1"/>
      <c r="V40623" s="5"/>
    </row>
    <row r="40624">
      <c r="N40624" s="1"/>
      <c r="V40624" s="5"/>
    </row>
    <row r="40625">
      <c r="N40625" s="1"/>
      <c r="V40625" s="5"/>
    </row>
    <row r="40626">
      <c r="N40626" s="1"/>
      <c r="V40626" s="5"/>
    </row>
    <row r="40627">
      <c r="N40627" s="1"/>
      <c r="V40627" s="5"/>
    </row>
    <row r="40628">
      <c r="N40628" s="1"/>
      <c r="V40628" s="5"/>
    </row>
    <row r="40629">
      <c r="N40629" s="1"/>
      <c r="V40629" s="5"/>
    </row>
    <row r="40630">
      <c r="N40630" s="1"/>
      <c r="V40630" s="5"/>
    </row>
    <row r="40631">
      <c r="N40631" s="1"/>
      <c r="V40631" s="5"/>
    </row>
    <row r="40632">
      <c r="N40632" s="1"/>
      <c r="V40632" s="5"/>
    </row>
    <row r="40633">
      <c r="N40633" s="1"/>
      <c r="V40633" s="5"/>
    </row>
    <row r="40634">
      <c r="N40634" s="1"/>
      <c r="V40634" s="5"/>
    </row>
    <row r="40635">
      <c r="N40635" s="1"/>
      <c r="V40635" s="5"/>
    </row>
    <row r="40636">
      <c r="N40636" s="1"/>
      <c r="V40636" s="5"/>
    </row>
    <row r="40637">
      <c r="N40637" s="1"/>
      <c r="V40637" s="5"/>
    </row>
    <row r="40638">
      <c r="N40638" s="1"/>
      <c r="V40638" s="5"/>
    </row>
    <row r="40639">
      <c r="N40639" s="1"/>
      <c r="V40639" s="5"/>
    </row>
    <row r="40640">
      <c r="N40640" s="1"/>
      <c r="V40640" s="5"/>
    </row>
    <row r="40641">
      <c r="N40641" s="1"/>
      <c r="V40641" s="5"/>
    </row>
    <row r="40642">
      <c r="N40642" s="1"/>
      <c r="V40642" s="5"/>
    </row>
    <row r="40643">
      <c r="N40643" s="1"/>
      <c r="V40643" s="5"/>
    </row>
    <row r="40644">
      <c r="N40644" s="1"/>
      <c r="V40644" s="5"/>
    </row>
    <row r="40645">
      <c r="N40645" s="1"/>
      <c r="V40645" s="5"/>
    </row>
    <row r="40646">
      <c r="N40646" s="1"/>
      <c r="V40646" s="5"/>
    </row>
    <row r="40647">
      <c r="N40647" s="1"/>
      <c r="V40647" s="5"/>
    </row>
    <row r="40648">
      <c r="N40648" s="1"/>
      <c r="V40648" s="5"/>
    </row>
    <row r="40649">
      <c r="N40649" s="1"/>
      <c r="V40649" s="5"/>
    </row>
    <row r="40650">
      <c r="N40650" s="1"/>
      <c r="V40650" s="5"/>
    </row>
    <row r="40651">
      <c r="N40651" s="1"/>
      <c r="V40651" s="5"/>
    </row>
    <row r="40652">
      <c r="N40652" s="1"/>
      <c r="V40652" s="5"/>
    </row>
    <row r="40653">
      <c r="N40653" s="1"/>
      <c r="V40653" s="5"/>
    </row>
    <row r="40654">
      <c r="N40654" s="1"/>
      <c r="V40654" s="5"/>
    </row>
    <row r="40655">
      <c r="N40655" s="1"/>
      <c r="V40655" s="5"/>
    </row>
    <row r="40656">
      <c r="N40656" s="1"/>
      <c r="V40656" s="5"/>
    </row>
    <row r="40657">
      <c r="N40657" s="1"/>
      <c r="V40657" s="5"/>
    </row>
    <row r="40658">
      <c r="N40658" s="1"/>
      <c r="V40658" s="5"/>
    </row>
    <row r="40659">
      <c r="N40659" s="1"/>
      <c r="V40659" s="5"/>
    </row>
    <row r="40660">
      <c r="N40660" s="1"/>
      <c r="V40660" s="5"/>
    </row>
    <row r="40661">
      <c r="N40661" s="1"/>
      <c r="V40661" s="5"/>
    </row>
    <row r="40662">
      <c r="N40662" s="1"/>
      <c r="V40662" s="5"/>
    </row>
    <row r="40663">
      <c r="N40663" s="1"/>
      <c r="V40663" s="5"/>
    </row>
    <row r="40664">
      <c r="N40664" s="1"/>
      <c r="V40664" s="5"/>
    </row>
    <row r="40665">
      <c r="N40665" s="1"/>
      <c r="V40665" s="5"/>
    </row>
    <row r="40666">
      <c r="N40666" s="1"/>
      <c r="V40666" s="5"/>
    </row>
    <row r="40667">
      <c r="N40667" s="1"/>
      <c r="V40667" s="5"/>
    </row>
    <row r="40668">
      <c r="N40668" s="1"/>
      <c r="V40668" s="5"/>
    </row>
    <row r="40669">
      <c r="N40669" s="1"/>
      <c r="V40669" s="5"/>
    </row>
    <row r="40670">
      <c r="N40670" s="1"/>
      <c r="V40670" s="5"/>
    </row>
    <row r="40671">
      <c r="N40671" s="1"/>
      <c r="V40671" s="5"/>
    </row>
    <row r="40672">
      <c r="N40672" s="1"/>
      <c r="V40672" s="5"/>
    </row>
    <row r="40673">
      <c r="N40673" s="1"/>
      <c r="V40673" s="5"/>
    </row>
    <row r="40674">
      <c r="N40674" s="1"/>
      <c r="V40674" s="5"/>
    </row>
    <row r="40675">
      <c r="N40675" s="1"/>
      <c r="V40675" s="5"/>
    </row>
    <row r="40676">
      <c r="N40676" s="1"/>
      <c r="V40676" s="5"/>
    </row>
    <row r="40677">
      <c r="N40677" s="1"/>
      <c r="V40677" s="5"/>
    </row>
    <row r="40678">
      <c r="N40678" s="1"/>
      <c r="V40678" s="5"/>
    </row>
    <row r="40679">
      <c r="N40679" s="1"/>
      <c r="V40679" s="5"/>
    </row>
    <row r="40680">
      <c r="N40680" s="1"/>
      <c r="V40680" s="5"/>
    </row>
    <row r="40681">
      <c r="N40681" s="1"/>
      <c r="V40681" s="5"/>
    </row>
    <row r="40682">
      <c r="N40682" s="1"/>
      <c r="V40682" s="5"/>
    </row>
    <row r="40683">
      <c r="N40683" s="1"/>
      <c r="V40683" s="5"/>
    </row>
    <row r="40684">
      <c r="N40684" s="1"/>
      <c r="V40684" s="5"/>
    </row>
    <row r="40685">
      <c r="N40685" s="1"/>
      <c r="V40685" s="5"/>
    </row>
    <row r="40686">
      <c r="N40686" s="1"/>
      <c r="V40686" s="5"/>
    </row>
    <row r="40687">
      <c r="N40687" s="1"/>
      <c r="V40687" s="5"/>
    </row>
    <row r="40688">
      <c r="N40688" s="1"/>
      <c r="V40688" s="5"/>
    </row>
    <row r="40689">
      <c r="N40689" s="1"/>
      <c r="V40689" s="5"/>
    </row>
    <row r="40690">
      <c r="N40690" s="1"/>
      <c r="V40690" s="5"/>
    </row>
    <row r="40691">
      <c r="N40691" s="1"/>
      <c r="V40691" s="5"/>
    </row>
    <row r="40692">
      <c r="N40692" s="1"/>
      <c r="V40692" s="5"/>
    </row>
    <row r="40693">
      <c r="N40693" s="1"/>
      <c r="V40693" s="5"/>
    </row>
    <row r="40694">
      <c r="N40694" s="1"/>
      <c r="V40694" s="5"/>
    </row>
    <row r="40695">
      <c r="N40695" s="1"/>
      <c r="V40695" s="5"/>
    </row>
    <row r="40696">
      <c r="N40696" s="1"/>
      <c r="V40696" s="5"/>
    </row>
    <row r="40697">
      <c r="N40697" s="1"/>
      <c r="V40697" s="5"/>
    </row>
    <row r="40698">
      <c r="N40698" s="1"/>
      <c r="V40698" s="5"/>
    </row>
    <row r="40699">
      <c r="N40699" s="1"/>
      <c r="V40699" s="5"/>
    </row>
    <row r="40700">
      <c r="N40700" s="1"/>
      <c r="V40700" s="5"/>
    </row>
    <row r="40701">
      <c r="N40701" s="1"/>
      <c r="V40701" s="5"/>
    </row>
    <row r="40702">
      <c r="N40702" s="1"/>
      <c r="V40702" s="5"/>
    </row>
    <row r="40703">
      <c r="N40703" s="1"/>
      <c r="V40703" s="5"/>
    </row>
    <row r="40704">
      <c r="N40704" s="1"/>
      <c r="V40704" s="5"/>
    </row>
    <row r="40705">
      <c r="N40705" s="1"/>
      <c r="V40705" s="5"/>
    </row>
    <row r="40706">
      <c r="N40706" s="1"/>
      <c r="V40706" s="5"/>
    </row>
    <row r="40707">
      <c r="N40707" s="1"/>
      <c r="V40707" s="5"/>
    </row>
    <row r="40708">
      <c r="N40708" s="1"/>
      <c r="V40708" s="5"/>
    </row>
    <row r="40709">
      <c r="N40709" s="1"/>
      <c r="V40709" s="5"/>
    </row>
    <row r="40710">
      <c r="N40710" s="1"/>
      <c r="V40710" s="5"/>
    </row>
    <row r="40711">
      <c r="N40711" s="1"/>
      <c r="V40711" s="5"/>
    </row>
    <row r="40712">
      <c r="N40712" s="1"/>
      <c r="V40712" s="5"/>
    </row>
    <row r="40713">
      <c r="N40713" s="1"/>
      <c r="V40713" s="5"/>
    </row>
    <row r="40714">
      <c r="N40714" s="1"/>
      <c r="V40714" s="5"/>
    </row>
    <row r="40715">
      <c r="N40715" s="1"/>
      <c r="V40715" s="5"/>
    </row>
    <row r="40716">
      <c r="N40716" s="1"/>
      <c r="V40716" s="5"/>
    </row>
    <row r="40717">
      <c r="N40717" s="1"/>
      <c r="V40717" s="5"/>
    </row>
    <row r="40718">
      <c r="N40718" s="1"/>
      <c r="V40718" s="5"/>
    </row>
    <row r="40719">
      <c r="N40719" s="1"/>
      <c r="V40719" s="5"/>
    </row>
    <row r="40720">
      <c r="N40720" s="1"/>
      <c r="V40720" s="5"/>
    </row>
    <row r="40721">
      <c r="N40721" s="1"/>
      <c r="V40721" s="5"/>
    </row>
    <row r="40722">
      <c r="N40722" s="1"/>
      <c r="V40722" s="5"/>
    </row>
    <row r="40723">
      <c r="N40723" s="1"/>
      <c r="V40723" s="5"/>
    </row>
    <row r="40724">
      <c r="N40724" s="1"/>
      <c r="V40724" s="5"/>
    </row>
    <row r="40725">
      <c r="N40725" s="1"/>
      <c r="V40725" s="5"/>
    </row>
    <row r="40726">
      <c r="N40726" s="1"/>
      <c r="V40726" s="5"/>
    </row>
    <row r="40727">
      <c r="N40727" s="1"/>
      <c r="V40727" s="5"/>
    </row>
    <row r="40728">
      <c r="N40728" s="1"/>
      <c r="V40728" s="5"/>
    </row>
    <row r="40729">
      <c r="N40729" s="1"/>
      <c r="V40729" s="5"/>
    </row>
    <row r="40730">
      <c r="N40730" s="1"/>
      <c r="V40730" s="5"/>
    </row>
    <row r="40731">
      <c r="N40731" s="1"/>
      <c r="V40731" s="5"/>
    </row>
    <row r="40732">
      <c r="N40732" s="1"/>
      <c r="V40732" s="5"/>
    </row>
    <row r="40733">
      <c r="N40733" s="1"/>
      <c r="V40733" s="5"/>
    </row>
    <row r="40734">
      <c r="N40734" s="1"/>
      <c r="V40734" s="5"/>
    </row>
    <row r="40735">
      <c r="N40735" s="1"/>
      <c r="V40735" s="5"/>
    </row>
    <row r="40736">
      <c r="N40736" s="1"/>
      <c r="V40736" s="5"/>
    </row>
    <row r="40737">
      <c r="N40737" s="1"/>
      <c r="V40737" s="5"/>
    </row>
    <row r="40738">
      <c r="N40738" s="1"/>
      <c r="V40738" s="5"/>
    </row>
    <row r="40739">
      <c r="N40739" s="1"/>
      <c r="V40739" s="5"/>
    </row>
    <row r="40740">
      <c r="N40740" s="1"/>
      <c r="V40740" s="5"/>
    </row>
    <row r="40741">
      <c r="N40741" s="1"/>
      <c r="V40741" s="5"/>
    </row>
    <row r="40742">
      <c r="N40742" s="1"/>
      <c r="V40742" s="5"/>
    </row>
    <row r="40743">
      <c r="N40743" s="1"/>
      <c r="V40743" s="5"/>
    </row>
    <row r="40744">
      <c r="N40744" s="1"/>
      <c r="V40744" s="5"/>
    </row>
    <row r="40745">
      <c r="N40745" s="1"/>
      <c r="V40745" s="5"/>
    </row>
    <row r="40746">
      <c r="N40746" s="1"/>
      <c r="V40746" s="5"/>
    </row>
    <row r="40747">
      <c r="N40747" s="1"/>
      <c r="V40747" s="5"/>
    </row>
    <row r="40748">
      <c r="N40748" s="1"/>
      <c r="V40748" s="5"/>
    </row>
    <row r="40749">
      <c r="N40749" s="1"/>
      <c r="V40749" s="5"/>
    </row>
    <row r="40750">
      <c r="N40750" s="1"/>
      <c r="V40750" s="5"/>
    </row>
    <row r="40751">
      <c r="N40751" s="1"/>
      <c r="V40751" s="5"/>
    </row>
    <row r="40752">
      <c r="N40752" s="1"/>
      <c r="V40752" s="5"/>
    </row>
    <row r="40753">
      <c r="N40753" s="1"/>
      <c r="V40753" s="5"/>
    </row>
    <row r="40754">
      <c r="N40754" s="1"/>
      <c r="V40754" s="5"/>
    </row>
    <row r="40755">
      <c r="N40755" s="1"/>
      <c r="V40755" s="5"/>
    </row>
    <row r="40756">
      <c r="N40756" s="1"/>
      <c r="V40756" s="5"/>
    </row>
    <row r="40757">
      <c r="N40757" s="1"/>
      <c r="V40757" s="5"/>
    </row>
    <row r="40758">
      <c r="N40758" s="1"/>
      <c r="V40758" s="5"/>
    </row>
    <row r="40759">
      <c r="N40759" s="1"/>
      <c r="V40759" s="5"/>
    </row>
    <row r="40760">
      <c r="N40760" s="1"/>
      <c r="V40760" s="5"/>
    </row>
    <row r="40761">
      <c r="N40761" s="1"/>
      <c r="V40761" s="5"/>
    </row>
    <row r="40762">
      <c r="N40762" s="1"/>
      <c r="V40762" s="5"/>
    </row>
    <row r="40763">
      <c r="N40763" s="1"/>
      <c r="V40763" s="5"/>
    </row>
    <row r="40764">
      <c r="N40764" s="1"/>
      <c r="V40764" s="5"/>
    </row>
    <row r="40765">
      <c r="N40765" s="1"/>
      <c r="V40765" s="5"/>
    </row>
    <row r="40766">
      <c r="N40766" s="1"/>
      <c r="V40766" s="5"/>
    </row>
    <row r="40767">
      <c r="N40767" s="1"/>
      <c r="V40767" s="5"/>
    </row>
    <row r="40768">
      <c r="N40768" s="1"/>
      <c r="V40768" s="5"/>
    </row>
    <row r="40769">
      <c r="N40769" s="1"/>
      <c r="V40769" s="5"/>
    </row>
    <row r="40770">
      <c r="N40770" s="1"/>
      <c r="V40770" s="5"/>
    </row>
    <row r="40771">
      <c r="N40771" s="1"/>
      <c r="V40771" s="5"/>
    </row>
    <row r="40772">
      <c r="N40772" s="1"/>
      <c r="V40772" s="5"/>
    </row>
    <row r="40773">
      <c r="N40773" s="1"/>
      <c r="V40773" s="5"/>
    </row>
    <row r="40774">
      <c r="N40774" s="1"/>
      <c r="V40774" s="5"/>
    </row>
    <row r="40775">
      <c r="N40775" s="1"/>
      <c r="V40775" s="5"/>
    </row>
    <row r="40776">
      <c r="N40776" s="1"/>
      <c r="V40776" s="5"/>
    </row>
    <row r="40777">
      <c r="N40777" s="1"/>
      <c r="V40777" s="5"/>
    </row>
    <row r="40778">
      <c r="N40778" s="1"/>
      <c r="V40778" s="5"/>
    </row>
    <row r="40779">
      <c r="N40779" s="1"/>
      <c r="V40779" s="5"/>
    </row>
    <row r="40780">
      <c r="N40780" s="1"/>
      <c r="V40780" s="5"/>
    </row>
    <row r="40781">
      <c r="N40781" s="1"/>
      <c r="V40781" s="5"/>
    </row>
    <row r="40782">
      <c r="N40782" s="1"/>
      <c r="V40782" s="5"/>
    </row>
    <row r="40783">
      <c r="N40783" s="1"/>
      <c r="V40783" s="5"/>
    </row>
    <row r="40784">
      <c r="N40784" s="1"/>
      <c r="V40784" s="5"/>
    </row>
    <row r="40785">
      <c r="N40785" s="1"/>
      <c r="V40785" s="5"/>
    </row>
    <row r="40786">
      <c r="N40786" s="1"/>
      <c r="V40786" s="5"/>
    </row>
    <row r="40787">
      <c r="N40787" s="1"/>
      <c r="V40787" s="5"/>
    </row>
    <row r="40788">
      <c r="N40788" s="1"/>
      <c r="V40788" s="5"/>
    </row>
    <row r="40789">
      <c r="N40789" s="1"/>
      <c r="V40789" s="5"/>
    </row>
    <row r="40790">
      <c r="N40790" s="1"/>
      <c r="V40790" s="5"/>
    </row>
    <row r="40791">
      <c r="N40791" s="1"/>
      <c r="V40791" s="5"/>
    </row>
    <row r="40792">
      <c r="N40792" s="1"/>
      <c r="V40792" s="5"/>
    </row>
    <row r="40793">
      <c r="N40793" s="1"/>
      <c r="V40793" s="5"/>
    </row>
    <row r="40794">
      <c r="N40794" s="1"/>
      <c r="V40794" s="5"/>
    </row>
    <row r="40795">
      <c r="N40795" s="1"/>
      <c r="V40795" s="5"/>
    </row>
    <row r="40796">
      <c r="N40796" s="1"/>
      <c r="V40796" s="5"/>
    </row>
    <row r="40797">
      <c r="N40797" s="1"/>
      <c r="V40797" s="5"/>
    </row>
    <row r="40798">
      <c r="N40798" s="1"/>
      <c r="V40798" s="5"/>
    </row>
    <row r="40799">
      <c r="N40799" s="1"/>
      <c r="V40799" s="5"/>
    </row>
    <row r="40800">
      <c r="N40800" s="1"/>
      <c r="V40800" s="5"/>
    </row>
    <row r="40801">
      <c r="N40801" s="1"/>
      <c r="V40801" s="5"/>
    </row>
    <row r="40802">
      <c r="N40802" s="1"/>
      <c r="V40802" s="5"/>
    </row>
    <row r="40803">
      <c r="N40803" s="1"/>
      <c r="V40803" s="5"/>
    </row>
    <row r="40804">
      <c r="N40804" s="1"/>
      <c r="V40804" s="5"/>
    </row>
    <row r="40805">
      <c r="N40805" s="1"/>
      <c r="V40805" s="5"/>
    </row>
    <row r="40806">
      <c r="N40806" s="1"/>
      <c r="V40806" s="5"/>
    </row>
    <row r="40807">
      <c r="N40807" s="1"/>
      <c r="V40807" s="5"/>
    </row>
    <row r="40808">
      <c r="N40808" s="1"/>
      <c r="V40808" s="5"/>
    </row>
    <row r="40809">
      <c r="N40809" s="1"/>
      <c r="V40809" s="5"/>
    </row>
    <row r="40810">
      <c r="N40810" s="1"/>
      <c r="V40810" s="5"/>
    </row>
    <row r="40811">
      <c r="N40811" s="1"/>
      <c r="V40811" s="5"/>
    </row>
    <row r="40812">
      <c r="N40812" s="1"/>
      <c r="V40812" s="5"/>
    </row>
    <row r="40813">
      <c r="N40813" s="1"/>
      <c r="V40813" s="5"/>
    </row>
    <row r="40814">
      <c r="N40814" s="1"/>
      <c r="V40814" s="5"/>
    </row>
    <row r="40815">
      <c r="N40815" s="1"/>
      <c r="V40815" s="5"/>
    </row>
    <row r="40816">
      <c r="N40816" s="1"/>
      <c r="V40816" s="5"/>
    </row>
    <row r="40817">
      <c r="N40817" s="1"/>
      <c r="V40817" s="5"/>
    </row>
    <row r="40818">
      <c r="N40818" s="1"/>
      <c r="V40818" s="5"/>
    </row>
    <row r="40819">
      <c r="N40819" s="1"/>
      <c r="V40819" s="5"/>
    </row>
    <row r="40820">
      <c r="N40820" s="1"/>
      <c r="V40820" s="5"/>
    </row>
    <row r="40821">
      <c r="N40821" s="1"/>
      <c r="V40821" s="5"/>
    </row>
    <row r="40822">
      <c r="N40822" s="1"/>
      <c r="V40822" s="5"/>
    </row>
    <row r="40823">
      <c r="N40823" s="1"/>
      <c r="V40823" s="5"/>
    </row>
    <row r="40824">
      <c r="N40824" s="1"/>
      <c r="V40824" s="5"/>
    </row>
    <row r="40825">
      <c r="N40825" s="1"/>
      <c r="V40825" s="5"/>
    </row>
    <row r="40826">
      <c r="N40826" s="1"/>
      <c r="V40826" s="5"/>
    </row>
    <row r="40827">
      <c r="N40827" s="1"/>
      <c r="V40827" s="5"/>
    </row>
    <row r="40828">
      <c r="N40828" s="1"/>
      <c r="V40828" s="5"/>
    </row>
    <row r="40829">
      <c r="N40829" s="1"/>
      <c r="V40829" s="5"/>
    </row>
    <row r="40830">
      <c r="N40830" s="1"/>
      <c r="V40830" s="5"/>
    </row>
    <row r="40831">
      <c r="N40831" s="1"/>
      <c r="V40831" s="5"/>
    </row>
    <row r="40832">
      <c r="N40832" s="1"/>
      <c r="V40832" s="5"/>
    </row>
    <row r="40833">
      <c r="N40833" s="1"/>
      <c r="V40833" s="5"/>
    </row>
    <row r="40834">
      <c r="N40834" s="1"/>
      <c r="V40834" s="5"/>
    </row>
    <row r="40835">
      <c r="N40835" s="1"/>
      <c r="V40835" s="5"/>
    </row>
    <row r="40836">
      <c r="N40836" s="1"/>
      <c r="V40836" s="5"/>
    </row>
    <row r="40837">
      <c r="N40837" s="1"/>
      <c r="V40837" s="5"/>
    </row>
    <row r="40838">
      <c r="N40838" s="1"/>
      <c r="V40838" s="5"/>
    </row>
    <row r="40839">
      <c r="N40839" s="1"/>
      <c r="V40839" s="5"/>
    </row>
    <row r="40840">
      <c r="N40840" s="1"/>
      <c r="V40840" s="5"/>
    </row>
    <row r="40841">
      <c r="N40841" s="1"/>
      <c r="V40841" s="5"/>
    </row>
    <row r="40842">
      <c r="N40842" s="1"/>
      <c r="V40842" s="5"/>
    </row>
    <row r="40843">
      <c r="N40843" s="1"/>
      <c r="V40843" s="5"/>
    </row>
    <row r="40844">
      <c r="N40844" s="1"/>
      <c r="V40844" s="5"/>
    </row>
    <row r="40845">
      <c r="N40845" s="1"/>
      <c r="V40845" s="5"/>
    </row>
    <row r="40846">
      <c r="N40846" s="1"/>
      <c r="V40846" s="5"/>
    </row>
    <row r="40847">
      <c r="N40847" s="1"/>
      <c r="V40847" s="5"/>
    </row>
    <row r="40848">
      <c r="N40848" s="1"/>
      <c r="V40848" s="5"/>
    </row>
    <row r="40849">
      <c r="N40849" s="1"/>
      <c r="V40849" s="5"/>
    </row>
    <row r="40850">
      <c r="N40850" s="1"/>
      <c r="V40850" s="5"/>
    </row>
    <row r="40851">
      <c r="N40851" s="1"/>
      <c r="V40851" s="5"/>
    </row>
    <row r="40852">
      <c r="N40852" s="1"/>
      <c r="V40852" s="5"/>
    </row>
    <row r="40853">
      <c r="N40853" s="1"/>
      <c r="V40853" s="5"/>
    </row>
    <row r="40854">
      <c r="N40854" s="1"/>
      <c r="V40854" s="5"/>
    </row>
    <row r="40855">
      <c r="N40855" s="1"/>
      <c r="V40855" s="5"/>
    </row>
    <row r="40856">
      <c r="N40856" s="1"/>
      <c r="V40856" s="5"/>
    </row>
    <row r="40857">
      <c r="N40857" s="1"/>
      <c r="V40857" s="5"/>
    </row>
    <row r="40858">
      <c r="N40858" s="1"/>
      <c r="V40858" s="5"/>
    </row>
    <row r="40859">
      <c r="N40859" s="1"/>
      <c r="V40859" s="5"/>
    </row>
    <row r="40860">
      <c r="N40860" s="1"/>
      <c r="V40860" s="5"/>
    </row>
    <row r="40861">
      <c r="N40861" s="1"/>
      <c r="V40861" s="5"/>
    </row>
    <row r="40862">
      <c r="N40862" s="1"/>
      <c r="V40862" s="5"/>
    </row>
    <row r="40863">
      <c r="N40863" s="1"/>
      <c r="V40863" s="5"/>
    </row>
    <row r="40864">
      <c r="N40864" s="1"/>
      <c r="V40864" s="5"/>
    </row>
    <row r="40865">
      <c r="N40865" s="1"/>
      <c r="V40865" s="5"/>
    </row>
    <row r="40866">
      <c r="N40866" s="1"/>
      <c r="V40866" s="5"/>
    </row>
    <row r="40867">
      <c r="N40867" s="1"/>
      <c r="V40867" s="5"/>
    </row>
    <row r="40868">
      <c r="N40868" s="1"/>
      <c r="V40868" s="5"/>
    </row>
    <row r="40869">
      <c r="N40869" s="1"/>
      <c r="V40869" s="5"/>
    </row>
    <row r="40870">
      <c r="N40870" s="1"/>
      <c r="V40870" s="5"/>
    </row>
    <row r="40871">
      <c r="N40871" s="1"/>
      <c r="V40871" s="5"/>
    </row>
    <row r="40872">
      <c r="N40872" s="1"/>
      <c r="V40872" s="5"/>
    </row>
    <row r="40873">
      <c r="N40873" s="1"/>
      <c r="V40873" s="5"/>
    </row>
    <row r="40874">
      <c r="N40874" s="1"/>
      <c r="V40874" s="5"/>
    </row>
    <row r="40875">
      <c r="N40875" s="1"/>
      <c r="V40875" s="5"/>
    </row>
    <row r="40876">
      <c r="N40876" s="1"/>
      <c r="V40876" s="5"/>
    </row>
    <row r="40877">
      <c r="N40877" s="1"/>
      <c r="V40877" s="5"/>
    </row>
    <row r="40878">
      <c r="N40878" s="1"/>
      <c r="V40878" s="5"/>
    </row>
    <row r="40879">
      <c r="N40879" s="1"/>
      <c r="V40879" s="5"/>
    </row>
    <row r="40880">
      <c r="N40880" s="1"/>
      <c r="V40880" s="5"/>
    </row>
    <row r="40881">
      <c r="N40881" s="1"/>
      <c r="V40881" s="5"/>
    </row>
    <row r="40882">
      <c r="N40882" s="1"/>
      <c r="V40882" s="5"/>
    </row>
    <row r="40883">
      <c r="N40883" s="1"/>
      <c r="V40883" s="5"/>
    </row>
    <row r="40884">
      <c r="N40884" s="1"/>
      <c r="V40884" s="5"/>
    </row>
    <row r="40885">
      <c r="N40885" s="1"/>
      <c r="V40885" s="5"/>
    </row>
    <row r="40886">
      <c r="N40886" s="1"/>
      <c r="V40886" s="5"/>
    </row>
    <row r="40887">
      <c r="N40887" s="1"/>
      <c r="V40887" s="5"/>
    </row>
    <row r="40888">
      <c r="N40888" s="1"/>
      <c r="V40888" s="5"/>
    </row>
    <row r="40889">
      <c r="N40889" s="1"/>
      <c r="V40889" s="5"/>
    </row>
    <row r="40890">
      <c r="N40890" s="1"/>
      <c r="V40890" s="5"/>
    </row>
    <row r="40891">
      <c r="N40891" s="1"/>
      <c r="V40891" s="5"/>
    </row>
    <row r="40892">
      <c r="N40892" s="1"/>
      <c r="V40892" s="5"/>
    </row>
    <row r="40893">
      <c r="N40893" s="1"/>
      <c r="V40893" s="5"/>
    </row>
    <row r="40894">
      <c r="N40894" s="1"/>
      <c r="V40894" s="5"/>
    </row>
    <row r="40895">
      <c r="N40895" s="1"/>
      <c r="V40895" s="5"/>
    </row>
    <row r="40896">
      <c r="N40896" s="1"/>
      <c r="V40896" s="5"/>
    </row>
    <row r="40897">
      <c r="N40897" s="1"/>
      <c r="V40897" s="5"/>
    </row>
    <row r="40898">
      <c r="N40898" s="1"/>
      <c r="V40898" s="5"/>
    </row>
    <row r="40899">
      <c r="N40899" s="1"/>
      <c r="V40899" s="5"/>
    </row>
    <row r="40900">
      <c r="N40900" s="1"/>
      <c r="V40900" s="5"/>
    </row>
    <row r="40901">
      <c r="N40901" s="1"/>
      <c r="V40901" s="5"/>
    </row>
    <row r="40902">
      <c r="N40902" s="1"/>
      <c r="V40902" s="5"/>
    </row>
    <row r="40903">
      <c r="N40903" s="1"/>
      <c r="V40903" s="5"/>
    </row>
    <row r="40904">
      <c r="N40904" s="1"/>
      <c r="V40904" s="5"/>
    </row>
    <row r="40905">
      <c r="N40905" s="1"/>
      <c r="V40905" s="5"/>
    </row>
    <row r="40906">
      <c r="N40906" s="1"/>
      <c r="V40906" s="5"/>
    </row>
    <row r="40907">
      <c r="N40907" s="1"/>
      <c r="V40907" s="5"/>
    </row>
    <row r="40908">
      <c r="N40908" s="1"/>
      <c r="V40908" s="5"/>
    </row>
    <row r="40909">
      <c r="N40909" s="1"/>
      <c r="V40909" s="5"/>
    </row>
    <row r="40910">
      <c r="N40910" s="1"/>
      <c r="V40910" s="5"/>
    </row>
    <row r="40911">
      <c r="N40911" s="1"/>
      <c r="V40911" s="5"/>
    </row>
    <row r="40912">
      <c r="N40912" s="1"/>
      <c r="V40912" s="5"/>
    </row>
    <row r="40913">
      <c r="N40913" s="1"/>
      <c r="V40913" s="5"/>
    </row>
    <row r="40914">
      <c r="N40914" s="1"/>
      <c r="V40914" s="5"/>
    </row>
    <row r="40915">
      <c r="N40915" s="1"/>
      <c r="V40915" s="5"/>
    </row>
    <row r="40916">
      <c r="N40916" s="1"/>
      <c r="V40916" s="5"/>
    </row>
    <row r="40917">
      <c r="N40917" s="1"/>
      <c r="V40917" s="5"/>
    </row>
    <row r="40918">
      <c r="N40918" s="1"/>
      <c r="V40918" s="5"/>
    </row>
    <row r="40919">
      <c r="N40919" s="1"/>
      <c r="V40919" s="5"/>
    </row>
    <row r="40920">
      <c r="N40920" s="1"/>
      <c r="V40920" s="5"/>
    </row>
    <row r="40921">
      <c r="N40921" s="1"/>
      <c r="V40921" s="5"/>
    </row>
    <row r="40922">
      <c r="N40922" s="1"/>
      <c r="V40922" s="5"/>
    </row>
    <row r="40923">
      <c r="N40923" s="1"/>
      <c r="V40923" s="5"/>
    </row>
    <row r="40924">
      <c r="N40924" s="1"/>
      <c r="V40924" s="5"/>
    </row>
    <row r="40925">
      <c r="N40925" s="1"/>
      <c r="V40925" s="5"/>
    </row>
    <row r="40926">
      <c r="N40926" s="1"/>
      <c r="V40926" s="5"/>
    </row>
    <row r="40927">
      <c r="N40927" s="1"/>
      <c r="V40927" s="5"/>
    </row>
    <row r="40928">
      <c r="N40928" s="1"/>
      <c r="V40928" s="5"/>
    </row>
    <row r="40929">
      <c r="N40929" s="1"/>
      <c r="V40929" s="5"/>
    </row>
    <row r="40930">
      <c r="N40930" s="1"/>
      <c r="V40930" s="5"/>
    </row>
    <row r="40931">
      <c r="N40931" s="1"/>
      <c r="V40931" s="5"/>
    </row>
    <row r="40932">
      <c r="N40932" s="1"/>
      <c r="V40932" s="5"/>
    </row>
    <row r="40933">
      <c r="N40933" s="1"/>
      <c r="V40933" s="5"/>
    </row>
    <row r="40934">
      <c r="N40934" s="1"/>
      <c r="V40934" s="5"/>
    </row>
    <row r="40935">
      <c r="N40935" s="1"/>
      <c r="V40935" s="5"/>
    </row>
    <row r="40936">
      <c r="N40936" s="1"/>
      <c r="V40936" s="5"/>
    </row>
    <row r="40937">
      <c r="N40937" s="1"/>
      <c r="V40937" s="5"/>
    </row>
    <row r="40938">
      <c r="N40938" s="1"/>
      <c r="V40938" s="5"/>
    </row>
    <row r="40939">
      <c r="N40939" s="1"/>
      <c r="V40939" s="5"/>
    </row>
    <row r="40940">
      <c r="N40940" s="1"/>
      <c r="V40940" s="5"/>
    </row>
    <row r="40941">
      <c r="N40941" s="1"/>
      <c r="V40941" s="5"/>
    </row>
    <row r="40942">
      <c r="N40942" s="1"/>
      <c r="V40942" s="5"/>
    </row>
    <row r="40943">
      <c r="N40943" s="1"/>
      <c r="V40943" s="5"/>
    </row>
    <row r="40944">
      <c r="N40944" s="1"/>
      <c r="V40944" s="5"/>
    </row>
    <row r="40945">
      <c r="N40945" s="1"/>
      <c r="V40945" s="5"/>
    </row>
    <row r="40946">
      <c r="N40946" s="1"/>
      <c r="V40946" s="5"/>
    </row>
    <row r="40947">
      <c r="N40947" s="1"/>
      <c r="V40947" s="5"/>
    </row>
    <row r="40948">
      <c r="N40948" s="1"/>
      <c r="V40948" s="5"/>
    </row>
    <row r="40949">
      <c r="N40949" s="1"/>
      <c r="V40949" s="5"/>
    </row>
    <row r="40950">
      <c r="N40950" s="1"/>
      <c r="V40950" s="5"/>
    </row>
    <row r="40951">
      <c r="N40951" s="1"/>
      <c r="V40951" s="5"/>
    </row>
    <row r="40952">
      <c r="N40952" s="1"/>
      <c r="V40952" s="5"/>
    </row>
    <row r="40953">
      <c r="N40953" s="1"/>
      <c r="V40953" s="5"/>
    </row>
    <row r="40954">
      <c r="N40954" s="1"/>
      <c r="V40954" s="5"/>
    </row>
    <row r="40955">
      <c r="N40955" s="1"/>
      <c r="V40955" s="5"/>
    </row>
    <row r="40956">
      <c r="N40956" s="1"/>
      <c r="V40956" s="5"/>
    </row>
    <row r="40957">
      <c r="N40957" s="1"/>
      <c r="V40957" s="5"/>
    </row>
    <row r="40958">
      <c r="N40958" s="1"/>
      <c r="V40958" s="5"/>
    </row>
    <row r="40959">
      <c r="N40959" s="1"/>
      <c r="V40959" s="5"/>
    </row>
    <row r="40960">
      <c r="N40960" s="1"/>
      <c r="V40960" s="5"/>
    </row>
    <row r="40961">
      <c r="N40961" s="1"/>
      <c r="V40961" s="5"/>
    </row>
    <row r="40962">
      <c r="N40962" s="1"/>
      <c r="V40962" s="5"/>
    </row>
    <row r="40963">
      <c r="N40963" s="1"/>
      <c r="V40963" s="5"/>
    </row>
    <row r="40964">
      <c r="N40964" s="1"/>
      <c r="V40964" s="5"/>
    </row>
    <row r="40965">
      <c r="N40965" s="1"/>
      <c r="V40965" s="5"/>
    </row>
    <row r="40966">
      <c r="N40966" s="1"/>
      <c r="V40966" s="5"/>
    </row>
    <row r="40967">
      <c r="N40967" s="1"/>
      <c r="V40967" s="5"/>
    </row>
    <row r="40968">
      <c r="N40968" s="1"/>
      <c r="V40968" s="5"/>
    </row>
    <row r="40969">
      <c r="N40969" s="1"/>
      <c r="V40969" s="5"/>
    </row>
    <row r="40970">
      <c r="N40970" s="1"/>
      <c r="V40970" s="5"/>
    </row>
    <row r="40971">
      <c r="N40971" s="1"/>
      <c r="V40971" s="5"/>
    </row>
    <row r="40972">
      <c r="N40972" s="1"/>
      <c r="V40972" s="5"/>
    </row>
    <row r="40973">
      <c r="N40973" s="1"/>
      <c r="V40973" s="5"/>
    </row>
    <row r="40974">
      <c r="N40974" s="1"/>
      <c r="V40974" s="5"/>
    </row>
    <row r="40975">
      <c r="N40975" s="1"/>
      <c r="V40975" s="5"/>
    </row>
    <row r="40976">
      <c r="N40976" s="1"/>
      <c r="V40976" s="5"/>
    </row>
    <row r="40977">
      <c r="N40977" s="1"/>
      <c r="V40977" s="5"/>
    </row>
    <row r="40978">
      <c r="N40978" s="1"/>
      <c r="V40978" s="5"/>
    </row>
    <row r="40979">
      <c r="N40979" s="1"/>
      <c r="V40979" s="5"/>
    </row>
    <row r="40980">
      <c r="N40980" s="1"/>
      <c r="V40980" s="5"/>
    </row>
    <row r="40981">
      <c r="N40981" s="1"/>
      <c r="V40981" s="5"/>
    </row>
    <row r="40982">
      <c r="N40982" s="1"/>
      <c r="V40982" s="5"/>
    </row>
    <row r="40983">
      <c r="N40983" s="1"/>
      <c r="V40983" s="5"/>
    </row>
    <row r="40984">
      <c r="N40984" s="1"/>
      <c r="V40984" s="5"/>
    </row>
    <row r="40985">
      <c r="N40985" s="1"/>
      <c r="V40985" s="5"/>
    </row>
    <row r="40986">
      <c r="N40986" s="1"/>
      <c r="V40986" s="5"/>
    </row>
    <row r="40987">
      <c r="N40987" s="1"/>
      <c r="V40987" s="5"/>
    </row>
    <row r="40988">
      <c r="N40988" s="1"/>
      <c r="V40988" s="5"/>
    </row>
    <row r="40989">
      <c r="N40989" s="1"/>
      <c r="V40989" s="5"/>
    </row>
    <row r="40990">
      <c r="N40990" s="1"/>
      <c r="V40990" s="5"/>
    </row>
    <row r="40991">
      <c r="N40991" s="1"/>
      <c r="V40991" s="5"/>
    </row>
    <row r="40992">
      <c r="N40992" s="1"/>
      <c r="V40992" s="5"/>
    </row>
    <row r="40993">
      <c r="N40993" s="1"/>
      <c r="V40993" s="5"/>
    </row>
    <row r="40994">
      <c r="N40994" s="1"/>
      <c r="V40994" s="5"/>
    </row>
    <row r="40995">
      <c r="N40995" s="1"/>
      <c r="V40995" s="5"/>
    </row>
    <row r="40996">
      <c r="N40996" s="1"/>
      <c r="V40996" s="5"/>
    </row>
    <row r="40997">
      <c r="N40997" s="1"/>
      <c r="V40997" s="5"/>
    </row>
    <row r="40998">
      <c r="N40998" s="1"/>
      <c r="V40998" s="5"/>
    </row>
    <row r="40999">
      <c r="N40999" s="1"/>
      <c r="V40999" s="5"/>
    </row>
    <row r="41000">
      <c r="N41000" s="1"/>
      <c r="V41000" s="5"/>
    </row>
    <row r="41001">
      <c r="N41001" s="1"/>
      <c r="V41001" s="5"/>
    </row>
    <row r="41002">
      <c r="N41002" s="1"/>
      <c r="V41002" s="5"/>
    </row>
    <row r="41003">
      <c r="N41003" s="1"/>
      <c r="V41003" s="5"/>
    </row>
    <row r="41004">
      <c r="N41004" s="1"/>
      <c r="V41004" s="5"/>
    </row>
    <row r="41005">
      <c r="N41005" s="1"/>
      <c r="V41005" s="5"/>
    </row>
    <row r="41006">
      <c r="N41006" s="1"/>
      <c r="V41006" s="5"/>
    </row>
    <row r="41007">
      <c r="N41007" s="1"/>
      <c r="V41007" s="5"/>
    </row>
    <row r="41008">
      <c r="N41008" s="1"/>
      <c r="V41008" s="5"/>
    </row>
    <row r="41009">
      <c r="N41009" s="1"/>
      <c r="V41009" s="5"/>
    </row>
    <row r="41010">
      <c r="N41010" s="1"/>
      <c r="V41010" s="5"/>
    </row>
    <row r="41011">
      <c r="N41011" s="1"/>
      <c r="V41011" s="5"/>
    </row>
    <row r="41012">
      <c r="N41012" s="1"/>
      <c r="V41012" s="5"/>
    </row>
    <row r="41013">
      <c r="N41013" s="1"/>
      <c r="V41013" s="5"/>
    </row>
    <row r="41014">
      <c r="N41014" s="1"/>
      <c r="V41014" s="5"/>
    </row>
    <row r="41015">
      <c r="N41015" s="1"/>
      <c r="V41015" s="5"/>
    </row>
    <row r="41016">
      <c r="N41016" s="1"/>
      <c r="V41016" s="5"/>
    </row>
    <row r="41017">
      <c r="N41017" s="1"/>
      <c r="V41017" s="5"/>
    </row>
    <row r="41018">
      <c r="N41018" s="1"/>
      <c r="V41018" s="5"/>
    </row>
    <row r="41019">
      <c r="N41019" s="1"/>
      <c r="V41019" s="5"/>
    </row>
    <row r="41020">
      <c r="N41020" s="1"/>
      <c r="V41020" s="5"/>
    </row>
    <row r="41021">
      <c r="N41021" s="1"/>
      <c r="V41021" s="5"/>
    </row>
    <row r="41022">
      <c r="N41022" s="1"/>
      <c r="V41022" s="5"/>
    </row>
    <row r="41023">
      <c r="N41023" s="1"/>
      <c r="V41023" s="5"/>
    </row>
    <row r="41024">
      <c r="N41024" s="1"/>
      <c r="V41024" s="5"/>
    </row>
    <row r="41025">
      <c r="N41025" s="1"/>
      <c r="V41025" s="5"/>
    </row>
    <row r="41026">
      <c r="N41026" s="1"/>
      <c r="V41026" s="5"/>
    </row>
    <row r="41027">
      <c r="N41027" s="1"/>
      <c r="V41027" s="5"/>
    </row>
    <row r="41028">
      <c r="N41028" s="1"/>
      <c r="V41028" s="5"/>
    </row>
    <row r="41029">
      <c r="N41029" s="1"/>
      <c r="V41029" s="5"/>
    </row>
    <row r="41030">
      <c r="N41030" s="1"/>
      <c r="V41030" s="5"/>
    </row>
    <row r="41031">
      <c r="N41031" s="1"/>
      <c r="V41031" s="5"/>
    </row>
    <row r="41032">
      <c r="N41032" s="1"/>
      <c r="V41032" s="5"/>
    </row>
    <row r="41033">
      <c r="N41033" s="1"/>
      <c r="V41033" s="5"/>
    </row>
    <row r="41034">
      <c r="N41034" s="1"/>
      <c r="V41034" s="5"/>
    </row>
    <row r="41035">
      <c r="N41035" s="1"/>
      <c r="V41035" s="5"/>
    </row>
    <row r="41036">
      <c r="N41036" s="1"/>
      <c r="V41036" s="5"/>
    </row>
    <row r="41037">
      <c r="N41037" s="1"/>
      <c r="V41037" s="5"/>
    </row>
    <row r="41038">
      <c r="N41038" s="1"/>
      <c r="V41038" s="5"/>
    </row>
    <row r="41039">
      <c r="N41039" s="1"/>
      <c r="V41039" s="5"/>
    </row>
    <row r="41040">
      <c r="N41040" s="1"/>
      <c r="V41040" s="5"/>
    </row>
    <row r="41041">
      <c r="N41041" s="1"/>
      <c r="V41041" s="5"/>
    </row>
    <row r="41042">
      <c r="N41042" s="1"/>
      <c r="V41042" s="5"/>
    </row>
    <row r="41043">
      <c r="N41043" s="1"/>
      <c r="V41043" s="5"/>
    </row>
    <row r="41044">
      <c r="N41044" s="1"/>
      <c r="V41044" s="5"/>
    </row>
    <row r="41045">
      <c r="N41045" s="1"/>
      <c r="V41045" s="5"/>
    </row>
    <row r="41046">
      <c r="N41046" s="1"/>
      <c r="V41046" s="5"/>
    </row>
    <row r="41047">
      <c r="N41047" s="1"/>
      <c r="V41047" s="5"/>
    </row>
    <row r="41048">
      <c r="N41048" s="1"/>
      <c r="V41048" s="5"/>
    </row>
    <row r="41049">
      <c r="N41049" s="1"/>
      <c r="V41049" s="5"/>
    </row>
    <row r="41050">
      <c r="N41050" s="1"/>
      <c r="V41050" s="5"/>
    </row>
    <row r="41051">
      <c r="N41051" s="1"/>
      <c r="V41051" s="5"/>
    </row>
    <row r="41052">
      <c r="N41052" s="1"/>
      <c r="V41052" s="5"/>
    </row>
    <row r="41053">
      <c r="N41053" s="1"/>
      <c r="V41053" s="5"/>
    </row>
    <row r="41054">
      <c r="N41054" s="1"/>
      <c r="V41054" s="5"/>
    </row>
    <row r="41055">
      <c r="N41055" s="1"/>
      <c r="V41055" s="5"/>
    </row>
    <row r="41056">
      <c r="N41056" s="1"/>
      <c r="V41056" s="5"/>
    </row>
    <row r="41057">
      <c r="N41057" s="1"/>
      <c r="V41057" s="5"/>
    </row>
    <row r="41058">
      <c r="N41058" s="1"/>
      <c r="V41058" s="5"/>
    </row>
    <row r="41059">
      <c r="N41059" s="1"/>
      <c r="V41059" s="5"/>
    </row>
    <row r="41060">
      <c r="N41060" s="1"/>
      <c r="V41060" s="5"/>
    </row>
    <row r="41061">
      <c r="N41061" s="1"/>
      <c r="V41061" s="5"/>
    </row>
    <row r="41062">
      <c r="N41062" s="1"/>
      <c r="V41062" s="5"/>
    </row>
    <row r="41063">
      <c r="N41063" s="1"/>
      <c r="V41063" s="5"/>
    </row>
    <row r="41064">
      <c r="N41064" s="1"/>
      <c r="V41064" s="5"/>
    </row>
    <row r="41065">
      <c r="N41065" s="1"/>
      <c r="V41065" s="5"/>
    </row>
    <row r="41066">
      <c r="N41066" s="1"/>
      <c r="V41066" s="5"/>
    </row>
    <row r="41067">
      <c r="N41067" s="1"/>
      <c r="V41067" s="5"/>
    </row>
    <row r="41068">
      <c r="N41068" s="1"/>
      <c r="V41068" s="5"/>
    </row>
    <row r="41069">
      <c r="N41069" s="1"/>
      <c r="V41069" s="5"/>
    </row>
    <row r="41070">
      <c r="N41070" s="1"/>
      <c r="V41070" s="5"/>
    </row>
    <row r="41071">
      <c r="N41071" s="1"/>
      <c r="V41071" s="5"/>
    </row>
    <row r="41072">
      <c r="N41072" s="1"/>
      <c r="V41072" s="5"/>
    </row>
    <row r="41073">
      <c r="N41073" s="1"/>
      <c r="V41073" s="5"/>
    </row>
    <row r="41074">
      <c r="N41074" s="1"/>
      <c r="V41074" s="5"/>
    </row>
    <row r="41075">
      <c r="N41075" s="1"/>
      <c r="V41075" s="5"/>
    </row>
    <row r="41076">
      <c r="N41076" s="1"/>
      <c r="V41076" s="5"/>
    </row>
    <row r="41077">
      <c r="N41077" s="1"/>
      <c r="V41077" s="5"/>
    </row>
    <row r="41078">
      <c r="N41078" s="1"/>
      <c r="V41078" s="5"/>
    </row>
    <row r="41079">
      <c r="N41079" s="1"/>
      <c r="V41079" s="5"/>
    </row>
    <row r="41080">
      <c r="N41080" s="1"/>
      <c r="V41080" s="5"/>
    </row>
    <row r="41081">
      <c r="N41081" s="1"/>
      <c r="V41081" s="5"/>
    </row>
    <row r="41082">
      <c r="N41082" s="1"/>
      <c r="V41082" s="5"/>
    </row>
    <row r="41083">
      <c r="N41083" s="1"/>
      <c r="V41083" s="5"/>
    </row>
    <row r="41084">
      <c r="N41084" s="1"/>
      <c r="V41084" s="5"/>
    </row>
    <row r="41085">
      <c r="N41085" s="1"/>
      <c r="V41085" s="5"/>
    </row>
    <row r="41086">
      <c r="N41086" s="1"/>
      <c r="V41086" s="5"/>
    </row>
    <row r="41087">
      <c r="N41087" s="1"/>
      <c r="V41087" s="5"/>
    </row>
    <row r="41088">
      <c r="N41088" s="1"/>
      <c r="V41088" s="5"/>
    </row>
    <row r="41089">
      <c r="N41089" s="1"/>
      <c r="V41089" s="5"/>
    </row>
    <row r="41090">
      <c r="N41090" s="1"/>
      <c r="V41090" s="5"/>
    </row>
    <row r="41091">
      <c r="N41091" s="1"/>
      <c r="V41091" s="5"/>
    </row>
    <row r="41092">
      <c r="N41092" s="1"/>
      <c r="V41092" s="5"/>
    </row>
    <row r="41093">
      <c r="N41093" s="1"/>
      <c r="V41093" s="5"/>
    </row>
    <row r="41094">
      <c r="N41094" s="1"/>
      <c r="V41094" s="5"/>
    </row>
    <row r="41095">
      <c r="N41095" s="1"/>
      <c r="V41095" s="5"/>
    </row>
    <row r="41096">
      <c r="N41096" s="1"/>
      <c r="V41096" s="5"/>
    </row>
    <row r="41097">
      <c r="N41097" s="1"/>
      <c r="V41097" s="5"/>
    </row>
    <row r="41098">
      <c r="N41098" s="1"/>
      <c r="V41098" s="5"/>
    </row>
    <row r="41099">
      <c r="N41099" s="1"/>
      <c r="V41099" s="5"/>
    </row>
    <row r="41100">
      <c r="N41100" s="1"/>
      <c r="V41100" s="5"/>
    </row>
    <row r="41101">
      <c r="N41101" s="1"/>
      <c r="V41101" s="5"/>
    </row>
    <row r="41102">
      <c r="N41102" s="1"/>
      <c r="V41102" s="5"/>
    </row>
    <row r="41103">
      <c r="N41103" s="1"/>
      <c r="V41103" s="5"/>
    </row>
    <row r="41104">
      <c r="N41104" s="1"/>
      <c r="V41104" s="5"/>
    </row>
    <row r="41105">
      <c r="N41105" s="1"/>
      <c r="V41105" s="5"/>
    </row>
    <row r="41106">
      <c r="N41106" s="1"/>
      <c r="V41106" s="5"/>
    </row>
    <row r="41107">
      <c r="N41107" s="1"/>
      <c r="V41107" s="5"/>
    </row>
    <row r="41108">
      <c r="N41108" s="1"/>
      <c r="V41108" s="5"/>
    </row>
    <row r="41109">
      <c r="N41109" s="1"/>
      <c r="V41109" s="5"/>
    </row>
    <row r="41110">
      <c r="N41110" s="1"/>
      <c r="V41110" s="5"/>
    </row>
    <row r="41111">
      <c r="N41111" s="1"/>
      <c r="V41111" s="5"/>
    </row>
    <row r="41112">
      <c r="N41112" s="1"/>
      <c r="V41112" s="5"/>
    </row>
    <row r="41113">
      <c r="N41113" s="1"/>
      <c r="V41113" s="5"/>
    </row>
    <row r="41114">
      <c r="N41114" s="1"/>
      <c r="V41114" s="5"/>
    </row>
    <row r="41115">
      <c r="N41115" s="1"/>
      <c r="V41115" s="5"/>
    </row>
    <row r="41116">
      <c r="N41116" s="1"/>
      <c r="V41116" s="5"/>
    </row>
    <row r="41117">
      <c r="N41117" s="1"/>
      <c r="V41117" s="5"/>
    </row>
    <row r="41118">
      <c r="N41118" s="1"/>
      <c r="V41118" s="5"/>
    </row>
    <row r="41119">
      <c r="N41119" s="1"/>
      <c r="V41119" s="5"/>
    </row>
    <row r="41120">
      <c r="N41120" s="1"/>
      <c r="V41120" s="5"/>
    </row>
    <row r="41121">
      <c r="N41121" s="1"/>
      <c r="V41121" s="5"/>
    </row>
    <row r="41122">
      <c r="N41122" s="1"/>
      <c r="V41122" s="5"/>
    </row>
    <row r="41123">
      <c r="N41123" s="1"/>
      <c r="V41123" s="5"/>
    </row>
    <row r="41124">
      <c r="N41124" s="1"/>
      <c r="V41124" s="5"/>
    </row>
    <row r="41125">
      <c r="N41125" s="1"/>
      <c r="V41125" s="5"/>
    </row>
    <row r="41126">
      <c r="N41126" s="1"/>
      <c r="V41126" s="5"/>
    </row>
    <row r="41127">
      <c r="N41127" s="1"/>
      <c r="V41127" s="5"/>
    </row>
    <row r="41128">
      <c r="N41128" s="1"/>
      <c r="V41128" s="5"/>
    </row>
    <row r="41129">
      <c r="N41129" s="1"/>
      <c r="V41129" s="5"/>
    </row>
    <row r="41130">
      <c r="N41130" s="1"/>
      <c r="V41130" s="5"/>
    </row>
    <row r="41131">
      <c r="N41131" s="1"/>
      <c r="V41131" s="5"/>
    </row>
    <row r="41132">
      <c r="N41132" s="1"/>
      <c r="V41132" s="5"/>
    </row>
    <row r="41133">
      <c r="N41133" s="1"/>
      <c r="V41133" s="5"/>
    </row>
    <row r="41134">
      <c r="N41134" s="1"/>
      <c r="V41134" s="5"/>
    </row>
    <row r="41135">
      <c r="N41135" s="1"/>
      <c r="V41135" s="5"/>
    </row>
    <row r="41136">
      <c r="N41136" s="1"/>
      <c r="V41136" s="5"/>
    </row>
    <row r="41137">
      <c r="N41137" s="1"/>
      <c r="V41137" s="5"/>
    </row>
    <row r="41138">
      <c r="N41138" s="1"/>
      <c r="V41138" s="5"/>
    </row>
    <row r="41139">
      <c r="N41139" s="1"/>
      <c r="V41139" s="5"/>
    </row>
    <row r="41140">
      <c r="N41140" s="1"/>
      <c r="V41140" s="5"/>
    </row>
    <row r="41141">
      <c r="N41141" s="1"/>
      <c r="V41141" s="5"/>
    </row>
    <row r="41142">
      <c r="N41142" s="1"/>
      <c r="V41142" s="5"/>
    </row>
    <row r="41143">
      <c r="N41143" s="1"/>
      <c r="V41143" s="5"/>
    </row>
    <row r="41144">
      <c r="N41144" s="1"/>
      <c r="V41144" s="5"/>
    </row>
    <row r="41145">
      <c r="N41145" s="1"/>
      <c r="V41145" s="5"/>
    </row>
    <row r="41146">
      <c r="N41146" s="1"/>
      <c r="V41146" s="5"/>
    </row>
    <row r="41147">
      <c r="N41147" s="1"/>
      <c r="V41147" s="5"/>
    </row>
    <row r="41148">
      <c r="N41148" s="1"/>
      <c r="V41148" s="5"/>
    </row>
    <row r="41149">
      <c r="N41149" s="1"/>
      <c r="V41149" s="5"/>
    </row>
    <row r="41150">
      <c r="N41150" s="1"/>
      <c r="V41150" s="5"/>
    </row>
    <row r="41151">
      <c r="N41151" s="1"/>
      <c r="V41151" s="5"/>
    </row>
    <row r="41152">
      <c r="N41152" s="1"/>
      <c r="V41152" s="5"/>
    </row>
    <row r="41153">
      <c r="N41153" s="1"/>
      <c r="V41153" s="5"/>
    </row>
    <row r="41154">
      <c r="N41154" s="1"/>
      <c r="V41154" s="5"/>
    </row>
    <row r="41155">
      <c r="N41155" s="1"/>
      <c r="V41155" s="5"/>
    </row>
    <row r="41156">
      <c r="N41156" s="1"/>
      <c r="V41156" s="5"/>
    </row>
    <row r="41157">
      <c r="N41157" s="1"/>
      <c r="V41157" s="5"/>
    </row>
    <row r="41158">
      <c r="N41158" s="1"/>
      <c r="V41158" s="5"/>
    </row>
    <row r="41159">
      <c r="N41159" s="1"/>
      <c r="V41159" s="5"/>
    </row>
    <row r="41160">
      <c r="N41160" s="1"/>
      <c r="V41160" s="5"/>
    </row>
    <row r="41161">
      <c r="N41161" s="1"/>
      <c r="V41161" s="5"/>
    </row>
    <row r="41162">
      <c r="N41162" s="1"/>
      <c r="V41162" s="5"/>
    </row>
    <row r="41163">
      <c r="N41163" s="1"/>
      <c r="V41163" s="5"/>
    </row>
    <row r="41164">
      <c r="N41164" s="1"/>
      <c r="V41164" s="5"/>
    </row>
    <row r="41165">
      <c r="N41165" s="1"/>
      <c r="V41165" s="5"/>
    </row>
    <row r="41166">
      <c r="N41166" s="1"/>
      <c r="V41166" s="5"/>
    </row>
    <row r="41167">
      <c r="N41167" s="1"/>
      <c r="V41167" s="5"/>
    </row>
    <row r="41168">
      <c r="N41168" s="1"/>
      <c r="V41168" s="5"/>
    </row>
    <row r="41169">
      <c r="N41169" s="1"/>
      <c r="V41169" s="5"/>
    </row>
    <row r="41170">
      <c r="N41170" s="1"/>
      <c r="V41170" s="5"/>
    </row>
    <row r="41171">
      <c r="N41171" s="1"/>
      <c r="V41171" s="5"/>
    </row>
    <row r="41172">
      <c r="N41172" s="1"/>
      <c r="V41172" s="5"/>
    </row>
    <row r="41173">
      <c r="N41173" s="1"/>
      <c r="V41173" s="5"/>
    </row>
    <row r="41174">
      <c r="N41174" s="1"/>
      <c r="V41174" s="5"/>
    </row>
    <row r="41175">
      <c r="N41175" s="1"/>
      <c r="V41175" s="5"/>
    </row>
    <row r="41176">
      <c r="N41176" s="1"/>
      <c r="V41176" s="5"/>
    </row>
    <row r="41177">
      <c r="N41177" s="1"/>
      <c r="V41177" s="5"/>
    </row>
    <row r="41178">
      <c r="N41178" s="1"/>
      <c r="V41178" s="5"/>
    </row>
    <row r="41179">
      <c r="N41179" s="1"/>
      <c r="V41179" s="5"/>
    </row>
    <row r="41180">
      <c r="N41180" s="1"/>
      <c r="V41180" s="5"/>
    </row>
    <row r="41181">
      <c r="N41181" s="1"/>
      <c r="V41181" s="5"/>
    </row>
    <row r="41182">
      <c r="N41182" s="1"/>
      <c r="V41182" s="5"/>
    </row>
    <row r="41183">
      <c r="N41183" s="1"/>
      <c r="V41183" s="5"/>
    </row>
    <row r="41184">
      <c r="N41184" s="1"/>
      <c r="V41184" s="5"/>
    </row>
    <row r="41185">
      <c r="N41185" s="1"/>
      <c r="V41185" s="5"/>
    </row>
    <row r="41186">
      <c r="N41186" s="1"/>
      <c r="V41186" s="5"/>
    </row>
    <row r="41187">
      <c r="N41187" s="1"/>
      <c r="V41187" s="5"/>
    </row>
    <row r="41188">
      <c r="N41188" s="1"/>
      <c r="V41188" s="5"/>
    </row>
    <row r="41189">
      <c r="N41189" s="1"/>
      <c r="V41189" s="5"/>
    </row>
    <row r="41190">
      <c r="N41190" s="1"/>
      <c r="V41190" s="5"/>
    </row>
    <row r="41191">
      <c r="N41191" s="1"/>
      <c r="V41191" s="5"/>
    </row>
    <row r="41192">
      <c r="N41192" s="1"/>
      <c r="V41192" s="5"/>
    </row>
    <row r="41193">
      <c r="N41193" s="1"/>
      <c r="V41193" s="5"/>
    </row>
    <row r="41194">
      <c r="N41194" s="1"/>
      <c r="V41194" s="5"/>
    </row>
    <row r="41195">
      <c r="N41195" s="1"/>
      <c r="V41195" s="5"/>
    </row>
    <row r="41196">
      <c r="N41196" s="1"/>
      <c r="V41196" s="5"/>
    </row>
    <row r="41197">
      <c r="N41197" s="1"/>
      <c r="V41197" s="5"/>
    </row>
    <row r="41198">
      <c r="N41198" s="1"/>
      <c r="V41198" s="5"/>
    </row>
    <row r="41199">
      <c r="N41199" s="1"/>
      <c r="V41199" s="5"/>
    </row>
    <row r="41200">
      <c r="N41200" s="1"/>
      <c r="V41200" s="5"/>
    </row>
    <row r="41201">
      <c r="N41201" s="1"/>
      <c r="V41201" s="5"/>
    </row>
    <row r="41202">
      <c r="N41202" s="1"/>
      <c r="V41202" s="5"/>
    </row>
    <row r="41203">
      <c r="N41203" s="1"/>
      <c r="V41203" s="5"/>
    </row>
    <row r="41204">
      <c r="N41204" s="1"/>
      <c r="V41204" s="5"/>
    </row>
    <row r="41205">
      <c r="N41205" s="1"/>
      <c r="V41205" s="5"/>
    </row>
    <row r="41206">
      <c r="N41206" s="1"/>
      <c r="V41206" s="5"/>
    </row>
    <row r="41207">
      <c r="N41207" s="1"/>
      <c r="V41207" s="5"/>
    </row>
    <row r="41208">
      <c r="N41208" s="1"/>
      <c r="V41208" s="5"/>
    </row>
    <row r="41209">
      <c r="N41209" s="1"/>
      <c r="V41209" s="5"/>
    </row>
    <row r="41210">
      <c r="N41210" s="1"/>
      <c r="V41210" s="5"/>
    </row>
    <row r="41211">
      <c r="N41211" s="1"/>
      <c r="V41211" s="5"/>
    </row>
    <row r="41212">
      <c r="N41212" s="1"/>
      <c r="V41212" s="5"/>
    </row>
    <row r="41213">
      <c r="N41213" s="1"/>
      <c r="V41213" s="5"/>
    </row>
    <row r="41214">
      <c r="N41214" s="1"/>
      <c r="V41214" s="5"/>
    </row>
    <row r="41215">
      <c r="N41215" s="1"/>
      <c r="V41215" s="5"/>
    </row>
    <row r="41216">
      <c r="N41216" s="1"/>
      <c r="V41216" s="5"/>
    </row>
    <row r="41217">
      <c r="N41217" s="1"/>
      <c r="V41217" s="5"/>
    </row>
    <row r="41218">
      <c r="N41218" s="1"/>
      <c r="V41218" s="5"/>
    </row>
    <row r="41219">
      <c r="N41219" s="1"/>
      <c r="V41219" s="5"/>
    </row>
    <row r="41220">
      <c r="N41220" s="1"/>
      <c r="V41220" s="5"/>
    </row>
    <row r="41221">
      <c r="N41221" s="1"/>
      <c r="V41221" s="5"/>
    </row>
    <row r="41222">
      <c r="N41222" s="1"/>
      <c r="V41222" s="5"/>
    </row>
    <row r="41223">
      <c r="N41223" s="1"/>
      <c r="V41223" s="5"/>
    </row>
    <row r="41224">
      <c r="N41224" s="1"/>
      <c r="V41224" s="5"/>
    </row>
    <row r="41225">
      <c r="N41225" s="1"/>
      <c r="V41225" s="5"/>
    </row>
    <row r="41226">
      <c r="N41226" s="1"/>
      <c r="V41226" s="5"/>
    </row>
    <row r="41227">
      <c r="N41227" s="1"/>
      <c r="V41227" s="5"/>
    </row>
    <row r="41228">
      <c r="N41228" s="1"/>
      <c r="V41228" s="5"/>
    </row>
    <row r="41229">
      <c r="N41229" s="1"/>
      <c r="V41229" s="5"/>
    </row>
    <row r="41230">
      <c r="N41230" s="1"/>
      <c r="V41230" s="5"/>
    </row>
    <row r="41231">
      <c r="N41231" s="1"/>
      <c r="V41231" s="5"/>
    </row>
    <row r="41232">
      <c r="N41232" s="1"/>
      <c r="V41232" s="5"/>
    </row>
    <row r="41233">
      <c r="N41233" s="1"/>
      <c r="V41233" s="5"/>
    </row>
    <row r="41234">
      <c r="N41234" s="1"/>
      <c r="V41234" s="5"/>
    </row>
    <row r="41235">
      <c r="N41235" s="1"/>
      <c r="V41235" s="5"/>
    </row>
    <row r="41236">
      <c r="N41236" s="1"/>
      <c r="V41236" s="5"/>
    </row>
    <row r="41237">
      <c r="N41237" s="1"/>
      <c r="V41237" s="5"/>
    </row>
    <row r="41238">
      <c r="N41238" s="1"/>
      <c r="V41238" s="5"/>
    </row>
    <row r="41239">
      <c r="N41239" s="1"/>
      <c r="V41239" s="5"/>
    </row>
    <row r="41240">
      <c r="N41240" s="1"/>
      <c r="V41240" s="5"/>
    </row>
    <row r="41241">
      <c r="N41241" s="1"/>
      <c r="V41241" s="5"/>
    </row>
    <row r="41242">
      <c r="N41242" s="1"/>
      <c r="V41242" s="5"/>
    </row>
    <row r="41243">
      <c r="N41243" s="1"/>
      <c r="V41243" s="5"/>
    </row>
    <row r="41244">
      <c r="N41244" s="1"/>
      <c r="V41244" s="5"/>
    </row>
    <row r="41245">
      <c r="N41245" s="1"/>
      <c r="V41245" s="5"/>
    </row>
    <row r="41246">
      <c r="N41246" s="1"/>
      <c r="V41246" s="5"/>
    </row>
    <row r="41247">
      <c r="N41247" s="1"/>
      <c r="V41247" s="5"/>
    </row>
    <row r="41248">
      <c r="N41248" s="1"/>
      <c r="V41248" s="5"/>
    </row>
    <row r="41249">
      <c r="N41249" s="1"/>
      <c r="V41249" s="5"/>
    </row>
    <row r="41250">
      <c r="N41250" s="1"/>
      <c r="V41250" s="5"/>
    </row>
    <row r="41251">
      <c r="N41251" s="1"/>
      <c r="V41251" s="5"/>
    </row>
    <row r="41252">
      <c r="N41252" s="1"/>
      <c r="V41252" s="5"/>
    </row>
    <row r="41253">
      <c r="N41253" s="1"/>
      <c r="V41253" s="5"/>
    </row>
    <row r="41254">
      <c r="N41254" s="1"/>
      <c r="V41254" s="5"/>
    </row>
    <row r="41255">
      <c r="N41255" s="1"/>
      <c r="V41255" s="5"/>
    </row>
    <row r="41256">
      <c r="N41256" s="1"/>
      <c r="V41256" s="5"/>
    </row>
    <row r="41257">
      <c r="N41257" s="1"/>
      <c r="V41257" s="5"/>
    </row>
    <row r="41258">
      <c r="N41258" s="1"/>
      <c r="V41258" s="5"/>
    </row>
    <row r="41259">
      <c r="N41259" s="1"/>
      <c r="V41259" s="5"/>
    </row>
    <row r="41260">
      <c r="N41260" s="1"/>
      <c r="V41260" s="5"/>
    </row>
    <row r="41261">
      <c r="N41261" s="1"/>
      <c r="V41261" s="5"/>
    </row>
    <row r="41262">
      <c r="N41262" s="1"/>
      <c r="V41262" s="5"/>
    </row>
    <row r="41263">
      <c r="N41263" s="1"/>
      <c r="V41263" s="5"/>
    </row>
    <row r="41264">
      <c r="N41264" s="1"/>
      <c r="V41264" s="5"/>
    </row>
    <row r="41265">
      <c r="N41265" s="1"/>
      <c r="V41265" s="5"/>
    </row>
    <row r="41266">
      <c r="N41266" s="1"/>
      <c r="V41266" s="5"/>
    </row>
    <row r="41267">
      <c r="N41267" s="1"/>
      <c r="V41267" s="5"/>
    </row>
    <row r="41268">
      <c r="N41268" s="1"/>
      <c r="V41268" s="5"/>
    </row>
    <row r="41269">
      <c r="N41269" s="1"/>
      <c r="V41269" s="5"/>
    </row>
    <row r="41270">
      <c r="N41270" s="1"/>
      <c r="V41270" s="5"/>
    </row>
    <row r="41271">
      <c r="N41271" s="1"/>
      <c r="V41271" s="5"/>
    </row>
    <row r="41272">
      <c r="N41272" s="1"/>
      <c r="V41272" s="5"/>
    </row>
    <row r="41273">
      <c r="N41273" s="1"/>
      <c r="V41273" s="5"/>
    </row>
    <row r="41274">
      <c r="N41274" s="1"/>
      <c r="V41274" s="5"/>
    </row>
    <row r="41275">
      <c r="N41275" s="1"/>
      <c r="V41275" s="5"/>
    </row>
    <row r="41276">
      <c r="N41276" s="1"/>
      <c r="V41276" s="5"/>
    </row>
    <row r="41277">
      <c r="N41277" s="1"/>
      <c r="V41277" s="5"/>
    </row>
    <row r="41278">
      <c r="N41278" s="1"/>
      <c r="V41278" s="5"/>
    </row>
    <row r="41279">
      <c r="N41279" s="1"/>
      <c r="V41279" s="5"/>
    </row>
    <row r="41280">
      <c r="N41280" s="1"/>
      <c r="V41280" s="5"/>
    </row>
    <row r="41281">
      <c r="N41281" s="1"/>
      <c r="V41281" s="5"/>
    </row>
    <row r="41282">
      <c r="N41282" s="1"/>
      <c r="V41282" s="5"/>
    </row>
    <row r="41283">
      <c r="N41283" s="1"/>
      <c r="V41283" s="5"/>
    </row>
    <row r="41284">
      <c r="N41284" s="1"/>
      <c r="V41284" s="5"/>
    </row>
    <row r="41285">
      <c r="N41285" s="1"/>
      <c r="V41285" s="5"/>
    </row>
    <row r="41286">
      <c r="N41286" s="1"/>
      <c r="V41286" s="5"/>
    </row>
    <row r="41287">
      <c r="N41287" s="1"/>
      <c r="V41287" s="5"/>
    </row>
    <row r="41288">
      <c r="N41288" s="1"/>
      <c r="V41288" s="5"/>
    </row>
    <row r="41289">
      <c r="N41289" s="1"/>
      <c r="V41289" s="5"/>
    </row>
    <row r="41290">
      <c r="N41290" s="1"/>
      <c r="V41290" s="5"/>
    </row>
    <row r="41291">
      <c r="N41291" s="1"/>
      <c r="V41291" s="5"/>
    </row>
    <row r="41292">
      <c r="N41292" s="1"/>
      <c r="V41292" s="5"/>
    </row>
    <row r="41293">
      <c r="N41293" s="1"/>
      <c r="V41293" s="5"/>
    </row>
    <row r="41294">
      <c r="N41294" s="1"/>
      <c r="V41294" s="5"/>
    </row>
    <row r="41295">
      <c r="N41295" s="1"/>
      <c r="V41295" s="5"/>
    </row>
    <row r="41296">
      <c r="N41296" s="1"/>
      <c r="V41296" s="5"/>
    </row>
    <row r="41297">
      <c r="N41297" s="1"/>
      <c r="V41297" s="5"/>
    </row>
    <row r="41298">
      <c r="N41298" s="1"/>
      <c r="V41298" s="5"/>
    </row>
    <row r="41299">
      <c r="N41299" s="1"/>
      <c r="V41299" s="5"/>
    </row>
    <row r="41300">
      <c r="N41300" s="1"/>
      <c r="V41300" s="5"/>
    </row>
    <row r="41301">
      <c r="N41301" s="1"/>
      <c r="V41301" s="5"/>
    </row>
    <row r="41302">
      <c r="N41302" s="1"/>
      <c r="V41302" s="5"/>
    </row>
    <row r="41303">
      <c r="N41303" s="1"/>
      <c r="V41303" s="5"/>
    </row>
    <row r="41304">
      <c r="N41304" s="1"/>
      <c r="V41304" s="5"/>
    </row>
    <row r="41305">
      <c r="N41305" s="1"/>
      <c r="V41305" s="5"/>
    </row>
    <row r="41306">
      <c r="N41306" s="1"/>
      <c r="V41306" s="5"/>
    </row>
    <row r="41307">
      <c r="N41307" s="1"/>
      <c r="V41307" s="5"/>
    </row>
    <row r="41308">
      <c r="N41308" s="1"/>
      <c r="V41308" s="5"/>
    </row>
    <row r="41309">
      <c r="N41309" s="1"/>
      <c r="V41309" s="5"/>
    </row>
    <row r="41310">
      <c r="N41310" s="1"/>
      <c r="V41310" s="5"/>
    </row>
    <row r="41311">
      <c r="N41311" s="1"/>
      <c r="V41311" s="5"/>
    </row>
    <row r="41312">
      <c r="N41312" s="1"/>
      <c r="V41312" s="5"/>
    </row>
    <row r="41313">
      <c r="N41313" s="1"/>
      <c r="V41313" s="5"/>
    </row>
    <row r="41314">
      <c r="N41314" s="1"/>
      <c r="V41314" s="5"/>
    </row>
    <row r="41315">
      <c r="N41315" s="1"/>
      <c r="V41315" s="5"/>
    </row>
    <row r="41316">
      <c r="N41316" s="1"/>
      <c r="V41316" s="5"/>
    </row>
    <row r="41317">
      <c r="N41317" s="1"/>
      <c r="V41317" s="5"/>
    </row>
    <row r="41318">
      <c r="N41318" s="1"/>
      <c r="V41318" s="5"/>
    </row>
    <row r="41319">
      <c r="N41319" s="1"/>
      <c r="V41319" s="5"/>
    </row>
    <row r="41320">
      <c r="N41320" s="1"/>
      <c r="V41320" s="5"/>
    </row>
    <row r="41321">
      <c r="N41321" s="1"/>
      <c r="V41321" s="5"/>
    </row>
    <row r="41322">
      <c r="N41322" s="1"/>
      <c r="V41322" s="5"/>
    </row>
    <row r="41323">
      <c r="N41323" s="1"/>
      <c r="V41323" s="5"/>
    </row>
    <row r="41324">
      <c r="N41324" s="1"/>
      <c r="V41324" s="5"/>
    </row>
    <row r="41325">
      <c r="N41325" s="1"/>
      <c r="V41325" s="5"/>
    </row>
    <row r="41326">
      <c r="N41326" s="1"/>
      <c r="V41326" s="5"/>
    </row>
    <row r="41327">
      <c r="N41327" s="1"/>
      <c r="V41327" s="5"/>
    </row>
    <row r="41328">
      <c r="N41328" s="1"/>
      <c r="V41328" s="5"/>
    </row>
    <row r="41329">
      <c r="N41329" s="1"/>
      <c r="V41329" s="5"/>
    </row>
    <row r="41330">
      <c r="N41330" s="1"/>
      <c r="V41330" s="5"/>
    </row>
    <row r="41331">
      <c r="N41331" s="1"/>
      <c r="V41331" s="5"/>
    </row>
    <row r="41332">
      <c r="N41332" s="1"/>
      <c r="V41332" s="5"/>
    </row>
    <row r="41333">
      <c r="N41333" s="1"/>
      <c r="V41333" s="5"/>
    </row>
    <row r="41334">
      <c r="N41334" s="1"/>
      <c r="V41334" s="5"/>
    </row>
    <row r="41335">
      <c r="N41335" s="1"/>
      <c r="V41335" s="5"/>
    </row>
    <row r="41336">
      <c r="N41336" s="1"/>
      <c r="V41336" s="5"/>
    </row>
    <row r="41337">
      <c r="N41337" s="1"/>
      <c r="V41337" s="5"/>
    </row>
    <row r="41338">
      <c r="N41338" s="1"/>
      <c r="V41338" s="5"/>
    </row>
    <row r="41339">
      <c r="N41339" s="1"/>
      <c r="V41339" s="5"/>
    </row>
    <row r="41340">
      <c r="N41340" s="1"/>
      <c r="V41340" s="5"/>
    </row>
    <row r="41341">
      <c r="N41341" s="1"/>
      <c r="V41341" s="5"/>
    </row>
    <row r="41342">
      <c r="N41342" s="1"/>
      <c r="V41342" s="5"/>
    </row>
    <row r="41343">
      <c r="N41343" s="1"/>
      <c r="V41343" s="5"/>
    </row>
    <row r="41344">
      <c r="N41344" s="1"/>
      <c r="V41344" s="5"/>
    </row>
    <row r="41345">
      <c r="N41345" s="1"/>
      <c r="V41345" s="5"/>
    </row>
    <row r="41346">
      <c r="N41346" s="1"/>
      <c r="V41346" s="5"/>
    </row>
    <row r="41347">
      <c r="N41347" s="1"/>
      <c r="V41347" s="5"/>
    </row>
    <row r="41348">
      <c r="N41348" s="1"/>
      <c r="V41348" s="5"/>
    </row>
    <row r="41349">
      <c r="N41349" s="1"/>
      <c r="V41349" s="5"/>
    </row>
    <row r="41350">
      <c r="N41350" s="1"/>
      <c r="V41350" s="5"/>
    </row>
    <row r="41351">
      <c r="N41351" s="1"/>
      <c r="V41351" s="5"/>
    </row>
    <row r="41352">
      <c r="N41352" s="1"/>
      <c r="V41352" s="5"/>
    </row>
    <row r="41353">
      <c r="N41353" s="1"/>
      <c r="V41353" s="5"/>
    </row>
    <row r="41354">
      <c r="N41354" s="1"/>
      <c r="V41354" s="5"/>
    </row>
    <row r="41355">
      <c r="N41355" s="1"/>
      <c r="V41355" s="5"/>
    </row>
    <row r="41356">
      <c r="N41356" s="1"/>
      <c r="V41356" s="5"/>
    </row>
    <row r="41357">
      <c r="N41357" s="1"/>
      <c r="V41357" s="5"/>
    </row>
    <row r="41358">
      <c r="N41358" s="1"/>
      <c r="V41358" s="5"/>
    </row>
    <row r="41359">
      <c r="N41359" s="1"/>
      <c r="V41359" s="5"/>
    </row>
    <row r="41360">
      <c r="N41360" s="1"/>
      <c r="V41360" s="5"/>
    </row>
    <row r="41361">
      <c r="N41361" s="1"/>
      <c r="V41361" s="5"/>
    </row>
    <row r="41362">
      <c r="N41362" s="1"/>
      <c r="V41362" s="5"/>
    </row>
    <row r="41363">
      <c r="N41363" s="1"/>
      <c r="V41363" s="5"/>
    </row>
    <row r="41364">
      <c r="N41364" s="1"/>
      <c r="V41364" s="5"/>
    </row>
    <row r="41365">
      <c r="N41365" s="1"/>
      <c r="V41365" s="5"/>
    </row>
    <row r="41366">
      <c r="N41366" s="1"/>
      <c r="V41366" s="5"/>
    </row>
    <row r="41367">
      <c r="N41367" s="1"/>
      <c r="V41367" s="5"/>
    </row>
    <row r="41368">
      <c r="N41368" s="1"/>
      <c r="V41368" s="5"/>
    </row>
    <row r="41369">
      <c r="N41369" s="1"/>
      <c r="V41369" s="5"/>
    </row>
    <row r="41370">
      <c r="N41370" s="1"/>
      <c r="V41370" s="5"/>
    </row>
    <row r="41371">
      <c r="N41371" s="1"/>
      <c r="V41371" s="5"/>
    </row>
    <row r="41372">
      <c r="N41372" s="1"/>
      <c r="V41372" s="5"/>
    </row>
    <row r="41373">
      <c r="N41373" s="1"/>
      <c r="V41373" s="5"/>
    </row>
    <row r="41374">
      <c r="N41374" s="1"/>
      <c r="V41374" s="5"/>
    </row>
    <row r="41375">
      <c r="N41375" s="1"/>
      <c r="V41375" s="5"/>
    </row>
    <row r="41376">
      <c r="N41376" s="1"/>
      <c r="V41376" s="5"/>
    </row>
    <row r="41377">
      <c r="N41377" s="1"/>
      <c r="V41377" s="5"/>
    </row>
    <row r="41378">
      <c r="N41378" s="1"/>
      <c r="V41378" s="5"/>
    </row>
    <row r="41379">
      <c r="N41379" s="1"/>
      <c r="V41379" s="5"/>
    </row>
    <row r="41380">
      <c r="N41380" s="1"/>
      <c r="V41380" s="5"/>
    </row>
    <row r="41381">
      <c r="N41381" s="1"/>
      <c r="V41381" s="5"/>
    </row>
    <row r="41382">
      <c r="N41382" s="1"/>
      <c r="V41382" s="5"/>
    </row>
    <row r="41383">
      <c r="N41383" s="1"/>
      <c r="V41383" s="5"/>
    </row>
    <row r="41384">
      <c r="N41384" s="1"/>
      <c r="V41384" s="5"/>
    </row>
    <row r="41385">
      <c r="N41385" s="1"/>
      <c r="V41385" s="5"/>
    </row>
    <row r="41386">
      <c r="N41386" s="1"/>
      <c r="V41386" s="5"/>
    </row>
    <row r="41387">
      <c r="N41387" s="1"/>
      <c r="V41387" s="5"/>
    </row>
    <row r="41388">
      <c r="N41388" s="1"/>
      <c r="V41388" s="5"/>
    </row>
    <row r="41389">
      <c r="N41389" s="1"/>
      <c r="V41389" s="5"/>
    </row>
    <row r="41390">
      <c r="N41390" s="1"/>
      <c r="V41390" s="5"/>
    </row>
    <row r="41391">
      <c r="N41391" s="1"/>
      <c r="V41391" s="5"/>
    </row>
    <row r="41392">
      <c r="N41392" s="1"/>
      <c r="V41392" s="5"/>
    </row>
    <row r="41393">
      <c r="N41393" s="1"/>
      <c r="V41393" s="5"/>
    </row>
    <row r="41394">
      <c r="N41394" s="1"/>
      <c r="V41394" s="5"/>
    </row>
    <row r="41395">
      <c r="N41395" s="1"/>
      <c r="V41395" s="5"/>
    </row>
    <row r="41396">
      <c r="N41396" s="1"/>
      <c r="V41396" s="5"/>
    </row>
    <row r="41397">
      <c r="N41397" s="1"/>
      <c r="V41397" s="5"/>
    </row>
    <row r="41398">
      <c r="N41398" s="1"/>
      <c r="V41398" s="5"/>
    </row>
    <row r="41399">
      <c r="N41399" s="1"/>
      <c r="V41399" s="5"/>
    </row>
    <row r="41400">
      <c r="N41400" s="1"/>
      <c r="V41400" s="5"/>
    </row>
    <row r="41401">
      <c r="N41401" s="1"/>
      <c r="V41401" s="5"/>
    </row>
    <row r="41402">
      <c r="N41402" s="1"/>
      <c r="V41402" s="5"/>
    </row>
    <row r="41403">
      <c r="N41403" s="1"/>
      <c r="V41403" s="5"/>
    </row>
    <row r="41404">
      <c r="N41404" s="1"/>
      <c r="V41404" s="5"/>
    </row>
    <row r="41405">
      <c r="N41405" s="1"/>
      <c r="V41405" s="5"/>
    </row>
    <row r="41406">
      <c r="N41406" s="1"/>
      <c r="V41406" s="5"/>
    </row>
    <row r="41407">
      <c r="N41407" s="1"/>
      <c r="V41407" s="5"/>
    </row>
    <row r="41408">
      <c r="N41408" s="1"/>
      <c r="V41408" s="5"/>
    </row>
    <row r="41409">
      <c r="N41409" s="1"/>
      <c r="V41409" s="5"/>
    </row>
    <row r="41410">
      <c r="N41410" s="1"/>
      <c r="V41410" s="5"/>
    </row>
    <row r="41411">
      <c r="N41411" s="1"/>
      <c r="V41411" s="5"/>
    </row>
    <row r="41412">
      <c r="N41412" s="1"/>
      <c r="V41412" s="5"/>
    </row>
    <row r="41413">
      <c r="N41413" s="1"/>
      <c r="V41413" s="5"/>
    </row>
    <row r="41414">
      <c r="N41414" s="1"/>
      <c r="V41414" s="5"/>
    </row>
    <row r="41415">
      <c r="N41415" s="1"/>
      <c r="V41415" s="5"/>
    </row>
    <row r="41416">
      <c r="N41416" s="1"/>
      <c r="V41416" s="5"/>
    </row>
    <row r="41417">
      <c r="N41417" s="1"/>
      <c r="V41417" s="5"/>
    </row>
    <row r="41418">
      <c r="N41418" s="1"/>
      <c r="V41418" s="5"/>
    </row>
    <row r="41419">
      <c r="N41419" s="1"/>
      <c r="V41419" s="5"/>
    </row>
    <row r="41420">
      <c r="N41420" s="1"/>
      <c r="V41420" s="5"/>
    </row>
    <row r="41421">
      <c r="N41421" s="1"/>
      <c r="V41421" s="5"/>
    </row>
    <row r="41422">
      <c r="N41422" s="1"/>
      <c r="V41422" s="5"/>
    </row>
    <row r="41423">
      <c r="N41423" s="1"/>
      <c r="V41423" s="5"/>
    </row>
    <row r="41424">
      <c r="N41424" s="1"/>
      <c r="V41424" s="5"/>
    </row>
    <row r="41425">
      <c r="N41425" s="1"/>
      <c r="V41425" s="5"/>
    </row>
    <row r="41426">
      <c r="N41426" s="1"/>
      <c r="V41426" s="5"/>
    </row>
    <row r="41427">
      <c r="N41427" s="1"/>
      <c r="V41427" s="5"/>
    </row>
    <row r="41428">
      <c r="N41428" s="1"/>
      <c r="V41428" s="5"/>
    </row>
    <row r="41429">
      <c r="N41429" s="1"/>
      <c r="V41429" s="5"/>
    </row>
    <row r="41430">
      <c r="N41430" s="1"/>
      <c r="V41430" s="5"/>
    </row>
    <row r="41431">
      <c r="N41431" s="1"/>
      <c r="V41431" s="5"/>
    </row>
    <row r="41432">
      <c r="N41432" s="1"/>
      <c r="V41432" s="5"/>
    </row>
    <row r="41433">
      <c r="N41433" s="1"/>
      <c r="V41433" s="5"/>
    </row>
    <row r="41434">
      <c r="N41434" s="1"/>
      <c r="V41434" s="5"/>
    </row>
    <row r="41435">
      <c r="N41435" s="1"/>
      <c r="V41435" s="5"/>
    </row>
    <row r="41436">
      <c r="N41436" s="1"/>
      <c r="V41436" s="5"/>
    </row>
    <row r="41437">
      <c r="N41437" s="1"/>
      <c r="V41437" s="5"/>
    </row>
    <row r="41438">
      <c r="N41438" s="1"/>
      <c r="V41438" s="5"/>
    </row>
    <row r="41439">
      <c r="N41439" s="1"/>
      <c r="V41439" s="5"/>
    </row>
    <row r="41440">
      <c r="N41440" s="1"/>
      <c r="V41440" s="5"/>
    </row>
    <row r="41441">
      <c r="N41441" s="1"/>
      <c r="V41441" s="5"/>
    </row>
    <row r="41442">
      <c r="N41442" s="1"/>
      <c r="V41442" s="5"/>
    </row>
    <row r="41443">
      <c r="N41443" s="1"/>
      <c r="V41443" s="5"/>
    </row>
    <row r="41444">
      <c r="N41444" s="1"/>
      <c r="V41444" s="5"/>
    </row>
    <row r="41445">
      <c r="N41445" s="1"/>
      <c r="V41445" s="5"/>
    </row>
    <row r="41446">
      <c r="N41446" s="1"/>
      <c r="V41446" s="5"/>
    </row>
    <row r="41447">
      <c r="N41447" s="1"/>
      <c r="V41447" s="5"/>
    </row>
    <row r="41448">
      <c r="N41448" s="1"/>
      <c r="V41448" s="5"/>
    </row>
    <row r="41449">
      <c r="N41449" s="1"/>
      <c r="V41449" s="5"/>
    </row>
    <row r="41450">
      <c r="N41450" s="1"/>
      <c r="V41450" s="5"/>
    </row>
    <row r="41451">
      <c r="N41451" s="1"/>
      <c r="V41451" s="5"/>
    </row>
    <row r="41452">
      <c r="N41452" s="1"/>
      <c r="V41452" s="5"/>
    </row>
    <row r="41453">
      <c r="N41453" s="1"/>
      <c r="V41453" s="5"/>
    </row>
    <row r="41454">
      <c r="N41454" s="1"/>
      <c r="V41454" s="5"/>
    </row>
    <row r="41455">
      <c r="N41455" s="1"/>
      <c r="V41455" s="5"/>
    </row>
    <row r="41456">
      <c r="N41456" s="1"/>
      <c r="V41456" s="5"/>
    </row>
    <row r="41457">
      <c r="N41457" s="1"/>
      <c r="V41457" s="5"/>
    </row>
    <row r="41458">
      <c r="N41458" s="1"/>
      <c r="V41458" s="5"/>
    </row>
    <row r="41459">
      <c r="N41459" s="1"/>
      <c r="V41459" s="5"/>
    </row>
    <row r="41460">
      <c r="N41460" s="1"/>
      <c r="V41460" s="5"/>
    </row>
    <row r="41461">
      <c r="N41461" s="1"/>
      <c r="V41461" s="5"/>
    </row>
    <row r="41462">
      <c r="N41462" s="1"/>
      <c r="V41462" s="5"/>
    </row>
    <row r="41463">
      <c r="N41463" s="1"/>
      <c r="V41463" s="5"/>
    </row>
    <row r="41464">
      <c r="N41464" s="1"/>
      <c r="V41464" s="5"/>
    </row>
    <row r="41465">
      <c r="N41465" s="1"/>
      <c r="V41465" s="5"/>
    </row>
    <row r="41466">
      <c r="N41466" s="1"/>
      <c r="V41466" s="5"/>
    </row>
    <row r="41467">
      <c r="N41467" s="1"/>
      <c r="V41467" s="5"/>
    </row>
    <row r="41468">
      <c r="N41468" s="1"/>
      <c r="V41468" s="5"/>
    </row>
    <row r="41469">
      <c r="N41469" s="1"/>
      <c r="V41469" s="5"/>
    </row>
    <row r="41470">
      <c r="N41470" s="1"/>
      <c r="V41470" s="5"/>
    </row>
    <row r="41471">
      <c r="N41471" s="1"/>
      <c r="V41471" s="5"/>
    </row>
    <row r="41472">
      <c r="N41472" s="1"/>
      <c r="V41472" s="5"/>
    </row>
    <row r="41473">
      <c r="N41473" s="1"/>
      <c r="V41473" s="5"/>
    </row>
    <row r="41474">
      <c r="N41474" s="1"/>
      <c r="V41474" s="5"/>
    </row>
    <row r="41475">
      <c r="N41475" s="1"/>
      <c r="V41475" s="5"/>
    </row>
    <row r="41476">
      <c r="N41476" s="1"/>
      <c r="V41476" s="5"/>
    </row>
    <row r="41477">
      <c r="N41477" s="1"/>
      <c r="V41477" s="5"/>
    </row>
    <row r="41478">
      <c r="N41478" s="1"/>
      <c r="V41478" s="5"/>
    </row>
    <row r="41479">
      <c r="N41479" s="1"/>
      <c r="V41479" s="5"/>
    </row>
    <row r="41480">
      <c r="N41480" s="1"/>
      <c r="V41480" s="5"/>
    </row>
    <row r="41481">
      <c r="N41481" s="1"/>
      <c r="V41481" s="5"/>
    </row>
    <row r="41482">
      <c r="N41482" s="1"/>
      <c r="V41482" s="5"/>
    </row>
    <row r="41483">
      <c r="N41483" s="1"/>
      <c r="V41483" s="5"/>
    </row>
    <row r="41484">
      <c r="N41484" s="1"/>
      <c r="V41484" s="5"/>
    </row>
    <row r="41485">
      <c r="N41485" s="1"/>
      <c r="V41485" s="5"/>
    </row>
    <row r="41486">
      <c r="N41486" s="1"/>
      <c r="V41486" s="5"/>
    </row>
    <row r="41487">
      <c r="N41487" s="1"/>
      <c r="V41487" s="5"/>
    </row>
    <row r="41488">
      <c r="N41488" s="1"/>
      <c r="V41488" s="5"/>
    </row>
    <row r="41489">
      <c r="N41489" s="1"/>
      <c r="V41489" s="5"/>
    </row>
    <row r="41490">
      <c r="N41490" s="1"/>
      <c r="V41490" s="5"/>
    </row>
    <row r="41491">
      <c r="N41491" s="1"/>
      <c r="V41491" s="5"/>
    </row>
    <row r="41492">
      <c r="N41492" s="1"/>
      <c r="V41492" s="5"/>
    </row>
    <row r="41493">
      <c r="N41493" s="1"/>
      <c r="V41493" s="5"/>
    </row>
    <row r="41494">
      <c r="N41494" s="1"/>
      <c r="V41494" s="5"/>
    </row>
    <row r="41495">
      <c r="N41495" s="1"/>
      <c r="V41495" s="5"/>
    </row>
    <row r="41496">
      <c r="N41496" s="1"/>
      <c r="V41496" s="5"/>
    </row>
    <row r="41497">
      <c r="N41497" s="1"/>
      <c r="V41497" s="5"/>
    </row>
    <row r="41498">
      <c r="N41498" s="1"/>
      <c r="V41498" s="5"/>
    </row>
    <row r="41499">
      <c r="N41499" s="1"/>
      <c r="V41499" s="5"/>
    </row>
    <row r="41500">
      <c r="N41500" s="1"/>
      <c r="V41500" s="5"/>
    </row>
    <row r="41501">
      <c r="N41501" s="1"/>
      <c r="V41501" s="5"/>
    </row>
    <row r="41502">
      <c r="N41502" s="1"/>
      <c r="V41502" s="5"/>
    </row>
    <row r="41503">
      <c r="N41503" s="1"/>
      <c r="V41503" s="5"/>
    </row>
    <row r="41504">
      <c r="N41504" s="1"/>
      <c r="V41504" s="5"/>
    </row>
    <row r="41505">
      <c r="N41505" s="1"/>
      <c r="V41505" s="5"/>
    </row>
    <row r="41506">
      <c r="N41506" s="1"/>
      <c r="V41506" s="5"/>
    </row>
    <row r="41507">
      <c r="N41507" s="1"/>
      <c r="V41507" s="5"/>
    </row>
    <row r="41508">
      <c r="N41508" s="1"/>
      <c r="V41508" s="5"/>
    </row>
    <row r="41509">
      <c r="N41509" s="1"/>
      <c r="V41509" s="5"/>
    </row>
    <row r="41510">
      <c r="N41510" s="1"/>
      <c r="V41510" s="5"/>
    </row>
    <row r="41511">
      <c r="N41511" s="1"/>
      <c r="V41511" s="5"/>
    </row>
    <row r="41512">
      <c r="N41512" s="1"/>
      <c r="V41512" s="5"/>
    </row>
    <row r="41513">
      <c r="N41513" s="1"/>
      <c r="V41513" s="5"/>
    </row>
    <row r="41514">
      <c r="N41514" s="1"/>
      <c r="V41514" s="5"/>
    </row>
    <row r="41515">
      <c r="N41515" s="1"/>
      <c r="V41515" s="5"/>
    </row>
    <row r="41516">
      <c r="N41516" s="1"/>
      <c r="V41516" s="5"/>
    </row>
    <row r="41517">
      <c r="N41517" s="1"/>
      <c r="V41517" s="5"/>
    </row>
    <row r="41518">
      <c r="N41518" s="1"/>
      <c r="V41518" s="5"/>
    </row>
    <row r="41519">
      <c r="N41519" s="1"/>
      <c r="V41519" s="5"/>
    </row>
    <row r="41520">
      <c r="N41520" s="1"/>
      <c r="V41520" s="5"/>
    </row>
    <row r="41521">
      <c r="N41521" s="1"/>
      <c r="V41521" s="5"/>
    </row>
    <row r="41522">
      <c r="N41522" s="1"/>
      <c r="V41522" s="5"/>
    </row>
    <row r="41523">
      <c r="N41523" s="1"/>
      <c r="V41523" s="5"/>
    </row>
    <row r="41524">
      <c r="N41524" s="1"/>
      <c r="V41524" s="5"/>
    </row>
    <row r="41525">
      <c r="N41525" s="1"/>
      <c r="V41525" s="5"/>
    </row>
    <row r="41526">
      <c r="N41526" s="1"/>
      <c r="V41526" s="5"/>
    </row>
    <row r="41527">
      <c r="N41527" s="1"/>
      <c r="V41527" s="5"/>
    </row>
    <row r="41528">
      <c r="N41528" s="1"/>
      <c r="V41528" s="5"/>
    </row>
    <row r="41529">
      <c r="N41529" s="1"/>
      <c r="V41529" s="5"/>
    </row>
    <row r="41530">
      <c r="N41530" s="1"/>
      <c r="V41530" s="5"/>
    </row>
    <row r="41531">
      <c r="N41531" s="1"/>
      <c r="V41531" s="5"/>
    </row>
    <row r="41532">
      <c r="N41532" s="1"/>
      <c r="V41532" s="5"/>
    </row>
    <row r="41533">
      <c r="N41533" s="1"/>
      <c r="V41533" s="5"/>
    </row>
    <row r="41534">
      <c r="N41534" s="1"/>
      <c r="V41534" s="5"/>
    </row>
    <row r="41535">
      <c r="N41535" s="1"/>
      <c r="V41535" s="5"/>
    </row>
    <row r="41536">
      <c r="N41536" s="1"/>
      <c r="V41536" s="5"/>
    </row>
    <row r="41537">
      <c r="N41537" s="1"/>
      <c r="V41537" s="5"/>
    </row>
    <row r="41538">
      <c r="N41538" s="1"/>
      <c r="V41538" s="5"/>
    </row>
    <row r="41539">
      <c r="N41539" s="1"/>
      <c r="V41539" s="5"/>
    </row>
    <row r="41540">
      <c r="N41540" s="1"/>
      <c r="V41540" s="5"/>
    </row>
    <row r="41541">
      <c r="N41541" s="1"/>
      <c r="V41541" s="5"/>
    </row>
    <row r="41542">
      <c r="N41542" s="1"/>
      <c r="V41542" s="5"/>
    </row>
    <row r="41543">
      <c r="N41543" s="1"/>
      <c r="V41543" s="5"/>
    </row>
    <row r="41544">
      <c r="N41544" s="1"/>
      <c r="V41544" s="5"/>
    </row>
    <row r="41545">
      <c r="N41545" s="1"/>
      <c r="V41545" s="5"/>
    </row>
    <row r="41546">
      <c r="N41546" s="1"/>
      <c r="V41546" s="5"/>
    </row>
    <row r="41547">
      <c r="N41547" s="1"/>
      <c r="V41547" s="5"/>
    </row>
    <row r="41548">
      <c r="N41548" s="1"/>
      <c r="V41548" s="5"/>
    </row>
    <row r="41549">
      <c r="N41549" s="1"/>
      <c r="V41549" s="5"/>
    </row>
    <row r="41550">
      <c r="N41550" s="1"/>
      <c r="V41550" s="5"/>
    </row>
    <row r="41551">
      <c r="N41551" s="1"/>
      <c r="V41551" s="5"/>
    </row>
    <row r="41552">
      <c r="N41552" s="1"/>
      <c r="V41552" s="5"/>
    </row>
    <row r="41553">
      <c r="N41553" s="1"/>
      <c r="V41553" s="5"/>
    </row>
    <row r="41554">
      <c r="N41554" s="1"/>
      <c r="V41554" s="5"/>
    </row>
    <row r="41555">
      <c r="N41555" s="1"/>
      <c r="V41555" s="5"/>
    </row>
    <row r="41556">
      <c r="N41556" s="1"/>
      <c r="V41556" s="5"/>
    </row>
    <row r="41557">
      <c r="N41557" s="1"/>
      <c r="V41557" s="5"/>
    </row>
    <row r="41558">
      <c r="N41558" s="1"/>
      <c r="V41558" s="5"/>
    </row>
    <row r="41559">
      <c r="N41559" s="1"/>
      <c r="V41559" s="5"/>
    </row>
    <row r="41560">
      <c r="N41560" s="1"/>
      <c r="V41560" s="5"/>
    </row>
    <row r="41561">
      <c r="N41561" s="1"/>
      <c r="V41561" s="5"/>
    </row>
    <row r="41562">
      <c r="N41562" s="1"/>
      <c r="V41562" s="5"/>
    </row>
    <row r="41563">
      <c r="N41563" s="1"/>
      <c r="V41563" s="5"/>
    </row>
    <row r="41564">
      <c r="N41564" s="1"/>
      <c r="V41564" s="5"/>
    </row>
    <row r="41565">
      <c r="N41565" s="1"/>
      <c r="V41565" s="5"/>
    </row>
    <row r="41566">
      <c r="N41566" s="1"/>
      <c r="V41566" s="5"/>
    </row>
    <row r="41567">
      <c r="N41567" s="1"/>
      <c r="V41567" s="5"/>
    </row>
    <row r="41568">
      <c r="N41568" s="1"/>
      <c r="V41568" s="5"/>
    </row>
    <row r="41569">
      <c r="N41569" s="1"/>
      <c r="V41569" s="5"/>
    </row>
    <row r="41570">
      <c r="N41570" s="1"/>
      <c r="V41570" s="5"/>
    </row>
    <row r="41571">
      <c r="N41571" s="1"/>
      <c r="V41571" s="5"/>
    </row>
    <row r="41572">
      <c r="N41572" s="1"/>
      <c r="V41572" s="5"/>
    </row>
    <row r="41573">
      <c r="N41573" s="1"/>
      <c r="V41573" s="5"/>
    </row>
    <row r="41574">
      <c r="N41574" s="1"/>
      <c r="V41574" s="5"/>
    </row>
    <row r="41575">
      <c r="N41575" s="1"/>
      <c r="V41575" s="5"/>
    </row>
    <row r="41576">
      <c r="N41576" s="1"/>
      <c r="V41576" s="5"/>
    </row>
    <row r="41577">
      <c r="N41577" s="1"/>
      <c r="V41577" s="5"/>
    </row>
    <row r="41578">
      <c r="N41578" s="1"/>
      <c r="V41578" s="5"/>
    </row>
    <row r="41579">
      <c r="N41579" s="1"/>
      <c r="V41579" s="5"/>
    </row>
    <row r="41580">
      <c r="N41580" s="1"/>
      <c r="V41580" s="5"/>
    </row>
    <row r="41581">
      <c r="N41581" s="1"/>
      <c r="V41581" s="5"/>
    </row>
    <row r="41582">
      <c r="N41582" s="1"/>
      <c r="V41582" s="5"/>
    </row>
    <row r="41583">
      <c r="N41583" s="1"/>
      <c r="V41583" s="5"/>
    </row>
    <row r="41584">
      <c r="N41584" s="1"/>
      <c r="V41584" s="5"/>
    </row>
    <row r="41585">
      <c r="N41585" s="1"/>
      <c r="V41585" s="5"/>
    </row>
    <row r="41586">
      <c r="N41586" s="1"/>
      <c r="V41586" s="5"/>
    </row>
    <row r="41587">
      <c r="N41587" s="1"/>
      <c r="V41587" s="5"/>
    </row>
    <row r="41588">
      <c r="N41588" s="1"/>
      <c r="V41588" s="5"/>
    </row>
    <row r="41589">
      <c r="N41589" s="1"/>
      <c r="V41589" s="5"/>
    </row>
    <row r="41590">
      <c r="N41590" s="1"/>
      <c r="V41590" s="5"/>
    </row>
    <row r="41591">
      <c r="N41591" s="1"/>
      <c r="V41591" s="5"/>
    </row>
    <row r="41592">
      <c r="N41592" s="1"/>
      <c r="V41592" s="5"/>
    </row>
    <row r="41593">
      <c r="N41593" s="1"/>
      <c r="V41593" s="5"/>
    </row>
    <row r="41594">
      <c r="N41594" s="1"/>
      <c r="V41594" s="5"/>
    </row>
    <row r="41595">
      <c r="N41595" s="1"/>
      <c r="V41595" s="5"/>
    </row>
    <row r="41596">
      <c r="N41596" s="1"/>
      <c r="V41596" s="5"/>
    </row>
    <row r="41597">
      <c r="N41597" s="1"/>
      <c r="V41597" s="5"/>
    </row>
    <row r="41598">
      <c r="N41598" s="1"/>
      <c r="V41598" s="5"/>
    </row>
    <row r="41599">
      <c r="N41599" s="1"/>
      <c r="V41599" s="5"/>
    </row>
    <row r="41600">
      <c r="N41600" s="1"/>
      <c r="V41600" s="5"/>
    </row>
    <row r="41601">
      <c r="N41601" s="1"/>
      <c r="V41601" s="5"/>
    </row>
    <row r="41602">
      <c r="N41602" s="1"/>
      <c r="V41602" s="5"/>
    </row>
    <row r="41603">
      <c r="N41603" s="1"/>
      <c r="V41603" s="5"/>
    </row>
    <row r="41604">
      <c r="N41604" s="1"/>
      <c r="V41604" s="5"/>
    </row>
    <row r="41605">
      <c r="N41605" s="1"/>
      <c r="V41605" s="5"/>
    </row>
    <row r="41606">
      <c r="N41606" s="1"/>
      <c r="V41606" s="5"/>
    </row>
    <row r="41607">
      <c r="N41607" s="1"/>
      <c r="V41607" s="5"/>
    </row>
    <row r="41608">
      <c r="N41608" s="1"/>
      <c r="V41608" s="5"/>
    </row>
    <row r="41609">
      <c r="N41609" s="1"/>
      <c r="V41609" s="5"/>
    </row>
    <row r="41610">
      <c r="N41610" s="1"/>
      <c r="V41610" s="5"/>
    </row>
    <row r="41611">
      <c r="N41611" s="1"/>
      <c r="V41611" s="5"/>
    </row>
    <row r="41612">
      <c r="N41612" s="1"/>
      <c r="V41612" s="5"/>
    </row>
    <row r="41613">
      <c r="N41613" s="1"/>
      <c r="V41613" s="5"/>
    </row>
    <row r="41614">
      <c r="N41614" s="1"/>
      <c r="V41614" s="5"/>
    </row>
    <row r="41615">
      <c r="N41615" s="1"/>
      <c r="V41615" s="5"/>
    </row>
    <row r="41616">
      <c r="N41616" s="1"/>
      <c r="V41616" s="5"/>
    </row>
    <row r="41617">
      <c r="N41617" s="1"/>
      <c r="V41617" s="5"/>
    </row>
    <row r="41618">
      <c r="N41618" s="1"/>
      <c r="V41618" s="5"/>
    </row>
    <row r="41619">
      <c r="N41619" s="1"/>
      <c r="V41619" s="5"/>
    </row>
    <row r="41620">
      <c r="N41620" s="1"/>
      <c r="V41620" s="5"/>
    </row>
    <row r="41621">
      <c r="N41621" s="1"/>
      <c r="V41621" s="5"/>
    </row>
    <row r="41622">
      <c r="N41622" s="1"/>
      <c r="V41622" s="5"/>
    </row>
    <row r="41623">
      <c r="N41623" s="1"/>
      <c r="V41623" s="5"/>
    </row>
    <row r="41624">
      <c r="N41624" s="1"/>
      <c r="V41624" s="5"/>
    </row>
    <row r="41625">
      <c r="N41625" s="1"/>
      <c r="V41625" s="5"/>
    </row>
    <row r="41626">
      <c r="N41626" s="1"/>
      <c r="V41626" s="5"/>
    </row>
    <row r="41627">
      <c r="N41627" s="1"/>
      <c r="V41627" s="5"/>
    </row>
    <row r="41628">
      <c r="N41628" s="1"/>
      <c r="V41628" s="5"/>
    </row>
    <row r="41629">
      <c r="N41629" s="1"/>
      <c r="V41629" s="5"/>
    </row>
    <row r="41630">
      <c r="N41630" s="1"/>
      <c r="V41630" s="5"/>
    </row>
    <row r="41631">
      <c r="N41631" s="1"/>
      <c r="V41631" s="5"/>
    </row>
    <row r="41632">
      <c r="N41632" s="1"/>
      <c r="V41632" s="5"/>
    </row>
    <row r="41633">
      <c r="N41633" s="1"/>
      <c r="V41633" s="5"/>
    </row>
    <row r="41634">
      <c r="N41634" s="1"/>
      <c r="V41634" s="5"/>
    </row>
    <row r="41635">
      <c r="N41635" s="1"/>
      <c r="V41635" s="5"/>
    </row>
    <row r="41636">
      <c r="N41636" s="1"/>
      <c r="V41636" s="5"/>
    </row>
    <row r="41637">
      <c r="N41637" s="1"/>
      <c r="V41637" s="5"/>
    </row>
    <row r="41638">
      <c r="N41638" s="1"/>
      <c r="V41638" s="5"/>
    </row>
    <row r="41639">
      <c r="N41639" s="1"/>
      <c r="V41639" s="5"/>
    </row>
    <row r="41640">
      <c r="N41640" s="1"/>
      <c r="V41640" s="5"/>
    </row>
    <row r="41641">
      <c r="N41641" s="1"/>
      <c r="V41641" s="5"/>
    </row>
    <row r="41642">
      <c r="N41642" s="1"/>
      <c r="V41642" s="5"/>
    </row>
    <row r="41643">
      <c r="N41643" s="1"/>
      <c r="V41643" s="5"/>
    </row>
    <row r="41644">
      <c r="N41644" s="1"/>
      <c r="V41644" s="5"/>
    </row>
    <row r="41645">
      <c r="N41645" s="1"/>
      <c r="V41645" s="5"/>
    </row>
    <row r="41646">
      <c r="N41646" s="1"/>
      <c r="V41646" s="5"/>
    </row>
    <row r="41647">
      <c r="N41647" s="1"/>
      <c r="V41647" s="5"/>
    </row>
    <row r="41648">
      <c r="N41648" s="1"/>
      <c r="V41648" s="5"/>
    </row>
    <row r="41649">
      <c r="N41649" s="1"/>
      <c r="V41649" s="5"/>
    </row>
    <row r="41650">
      <c r="N41650" s="1"/>
      <c r="V41650" s="5"/>
    </row>
    <row r="41651">
      <c r="N41651" s="1"/>
      <c r="V41651" s="5"/>
    </row>
    <row r="41652">
      <c r="N41652" s="1"/>
      <c r="V41652" s="5"/>
    </row>
    <row r="41653">
      <c r="N41653" s="1"/>
      <c r="V41653" s="5"/>
    </row>
    <row r="41654">
      <c r="N41654" s="1"/>
      <c r="V41654" s="5"/>
    </row>
    <row r="41655">
      <c r="N41655" s="1"/>
      <c r="V41655" s="5"/>
    </row>
    <row r="41656">
      <c r="N41656" s="1"/>
      <c r="V41656" s="5"/>
    </row>
    <row r="41657">
      <c r="N41657" s="1"/>
      <c r="V41657" s="5"/>
    </row>
    <row r="41658">
      <c r="N41658" s="1"/>
      <c r="V41658" s="5"/>
    </row>
    <row r="41659">
      <c r="N41659" s="1"/>
      <c r="V41659" s="5"/>
    </row>
    <row r="41660">
      <c r="N41660" s="1"/>
      <c r="V41660" s="5"/>
    </row>
    <row r="41661">
      <c r="N41661" s="1"/>
      <c r="V41661" s="5"/>
    </row>
    <row r="41662">
      <c r="N41662" s="1"/>
      <c r="V41662" s="5"/>
    </row>
    <row r="41663">
      <c r="N41663" s="1"/>
      <c r="V41663" s="5"/>
    </row>
    <row r="41664">
      <c r="N41664" s="1"/>
      <c r="V41664" s="5"/>
    </row>
    <row r="41665">
      <c r="N41665" s="1"/>
      <c r="V41665" s="5"/>
    </row>
    <row r="41666">
      <c r="N41666" s="1"/>
      <c r="V41666" s="5"/>
    </row>
    <row r="41667">
      <c r="N41667" s="1"/>
      <c r="V41667" s="5"/>
    </row>
    <row r="41668">
      <c r="N41668" s="1"/>
      <c r="V41668" s="5"/>
    </row>
    <row r="41669">
      <c r="N41669" s="1"/>
      <c r="V41669" s="5"/>
    </row>
    <row r="41670">
      <c r="N41670" s="1"/>
      <c r="V41670" s="5"/>
    </row>
    <row r="41671">
      <c r="N41671" s="1"/>
      <c r="V41671" s="5"/>
    </row>
    <row r="41672">
      <c r="N41672" s="1"/>
      <c r="V41672" s="5"/>
    </row>
    <row r="41673">
      <c r="N41673" s="1"/>
      <c r="V41673" s="5"/>
    </row>
    <row r="41674">
      <c r="N41674" s="1"/>
      <c r="V41674" s="5"/>
    </row>
    <row r="41675">
      <c r="N41675" s="1"/>
      <c r="V41675" s="5"/>
    </row>
    <row r="41676">
      <c r="N41676" s="1"/>
      <c r="V41676" s="5"/>
    </row>
    <row r="41677">
      <c r="N41677" s="1"/>
      <c r="V41677" s="5"/>
    </row>
    <row r="41678">
      <c r="N41678" s="1"/>
      <c r="V41678" s="5"/>
    </row>
    <row r="41679">
      <c r="N41679" s="1"/>
      <c r="V41679" s="5"/>
    </row>
    <row r="41680">
      <c r="N41680" s="1"/>
      <c r="V41680" s="5"/>
    </row>
    <row r="41681">
      <c r="N41681" s="1"/>
      <c r="V41681" s="5"/>
    </row>
    <row r="41682">
      <c r="N41682" s="1"/>
      <c r="V41682" s="5"/>
    </row>
    <row r="41683">
      <c r="N41683" s="1"/>
      <c r="V41683" s="5"/>
    </row>
    <row r="41684">
      <c r="N41684" s="1"/>
      <c r="V41684" s="5"/>
    </row>
    <row r="41685">
      <c r="N41685" s="1"/>
      <c r="V41685" s="5"/>
    </row>
    <row r="41686">
      <c r="N41686" s="1"/>
      <c r="V41686" s="5"/>
    </row>
    <row r="41687">
      <c r="N41687" s="1"/>
      <c r="V41687" s="5"/>
    </row>
    <row r="41688">
      <c r="N41688" s="1"/>
      <c r="V41688" s="5"/>
    </row>
    <row r="41689">
      <c r="N41689" s="1"/>
      <c r="V41689" s="5"/>
    </row>
    <row r="41690">
      <c r="N41690" s="1"/>
      <c r="V41690" s="5"/>
    </row>
    <row r="41691">
      <c r="N41691" s="1"/>
      <c r="V41691" s="5"/>
    </row>
    <row r="41692">
      <c r="N41692" s="1"/>
      <c r="V41692" s="5"/>
    </row>
    <row r="41693">
      <c r="N41693" s="1"/>
      <c r="V41693" s="5"/>
    </row>
    <row r="41694">
      <c r="N41694" s="1"/>
      <c r="V41694" s="5"/>
    </row>
    <row r="41695">
      <c r="N41695" s="1"/>
      <c r="V41695" s="5"/>
    </row>
    <row r="41696">
      <c r="N41696" s="1"/>
      <c r="V41696" s="5"/>
    </row>
    <row r="41697">
      <c r="N41697" s="1"/>
      <c r="V41697" s="5"/>
    </row>
    <row r="41698">
      <c r="N41698" s="1"/>
      <c r="V41698" s="5"/>
    </row>
    <row r="41699">
      <c r="N41699" s="1"/>
      <c r="V41699" s="5"/>
    </row>
    <row r="41700">
      <c r="N41700" s="1"/>
      <c r="V41700" s="5"/>
    </row>
    <row r="41701">
      <c r="N41701" s="1"/>
      <c r="V41701" s="5"/>
    </row>
    <row r="41702">
      <c r="N41702" s="1"/>
      <c r="V41702" s="5"/>
    </row>
    <row r="41703">
      <c r="N41703" s="1"/>
      <c r="V41703" s="5"/>
    </row>
    <row r="41704">
      <c r="N41704" s="1"/>
      <c r="V41704" s="5"/>
    </row>
    <row r="41705">
      <c r="N41705" s="1"/>
      <c r="V41705" s="5"/>
    </row>
    <row r="41706">
      <c r="N41706" s="1"/>
      <c r="V41706" s="5"/>
    </row>
    <row r="41707">
      <c r="N41707" s="1"/>
      <c r="V41707" s="5"/>
    </row>
    <row r="41708">
      <c r="N41708" s="1"/>
      <c r="V41708" s="5"/>
    </row>
    <row r="41709">
      <c r="N41709" s="1"/>
      <c r="V41709" s="5"/>
    </row>
    <row r="41710">
      <c r="N41710" s="1"/>
      <c r="V41710" s="5"/>
    </row>
    <row r="41711">
      <c r="N41711" s="1"/>
      <c r="V41711" s="5"/>
    </row>
    <row r="41712">
      <c r="N41712" s="1"/>
      <c r="V41712" s="5"/>
    </row>
    <row r="41713">
      <c r="N41713" s="1"/>
      <c r="V41713" s="5"/>
    </row>
    <row r="41714">
      <c r="N41714" s="1"/>
      <c r="V41714" s="5"/>
    </row>
    <row r="41715">
      <c r="N41715" s="1"/>
      <c r="V41715" s="5"/>
    </row>
    <row r="41716">
      <c r="N41716" s="1"/>
      <c r="V41716" s="5"/>
    </row>
    <row r="41717">
      <c r="N41717" s="1"/>
      <c r="V41717" s="5"/>
    </row>
    <row r="41718">
      <c r="N41718" s="1"/>
      <c r="V41718" s="5"/>
    </row>
    <row r="41719">
      <c r="N41719" s="1"/>
      <c r="V41719" s="5"/>
    </row>
    <row r="41720">
      <c r="N41720" s="1"/>
      <c r="V41720" s="5"/>
    </row>
    <row r="41721">
      <c r="N41721" s="1"/>
      <c r="V41721" s="5"/>
    </row>
    <row r="41722">
      <c r="N41722" s="1"/>
      <c r="V41722" s="5"/>
    </row>
    <row r="41723">
      <c r="N41723" s="1"/>
      <c r="V41723" s="5"/>
    </row>
    <row r="41724">
      <c r="N41724" s="1"/>
      <c r="V41724" s="5"/>
    </row>
    <row r="41725">
      <c r="N41725" s="1"/>
      <c r="V41725" s="5"/>
    </row>
    <row r="41726">
      <c r="N41726" s="1"/>
      <c r="V41726" s="5"/>
    </row>
    <row r="41727">
      <c r="N41727" s="1"/>
      <c r="V41727" s="5"/>
    </row>
    <row r="41728">
      <c r="N41728" s="1"/>
      <c r="V41728" s="5"/>
    </row>
    <row r="41729">
      <c r="N41729" s="1"/>
      <c r="V41729" s="5"/>
    </row>
    <row r="41730">
      <c r="N41730" s="1"/>
      <c r="V41730" s="5"/>
    </row>
    <row r="41731">
      <c r="N41731" s="1"/>
      <c r="V41731" s="5"/>
    </row>
    <row r="41732">
      <c r="N41732" s="1"/>
      <c r="V41732" s="5"/>
    </row>
    <row r="41733">
      <c r="N41733" s="1"/>
      <c r="V41733" s="5"/>
    </row>
    <row r="41734">
      <c r="N41734" s="1"/>
      <c r="V41734" s="5"/>
    </row>
    <row r="41735">
      <c r="N41735" s="1"/>
      <c r="V41735" s="5"/>
    </row>
    <row r="41736">
      <c r="N41736" s="1"/>
      <c r="V41736" s="5"/>
    </row>
    <row r="41737">
      <c r="N41737" s="1"/>
      <c r="V41737" s="5"/>
    </row>
    <row r="41738">
      <c r="N41738" s="1"/>
      <c r="V41738" s="5"/>
    </row>
    <row r="41739">
      <c r="N41739" s="1"/>
      <c r="V41739" s="5"/>
    </row>
    <row r="41740">
      <c r="N41740" s="1"/>
      <c r="V41740" s="5"/>
    </row>
    <row r="41741">
      <c r="N41741" s="1"/>
      <c r="V41741" s="5"/>
    </row>
    <row r="41742">
      <c r="N41742" s="1"/>
      <c r="V41742" s="5"/>
    </row>
    <row r="41743">
      <c r="N41743" s="1"/>
      <c r="V41743" s="5"/>
    </row>
    <row r="41744">
      <c r="N41744" s="1"/>
      <c r="V41744" s="5"/>
    </row>
    <row r="41745">
      <c r="N41745" s="1"/>
      <c r="V41745" s="5"/>
    </row>
    <row r="41746">
      <c r="N41746" s="1"/>
      <c r="V41746" s="5"/>
    </row>
    <row r="41747">
      <c r="N41747" s="1"/>
      <c r="V41747" s="5"/>
    </row>
    <row r="41748">
      <c r="N41748" s="1"/>
      <c r="V41748" s="5"/>
    </row>
    <row r="41749">
      <c r="N41749" s="1"/>
      <c r="V41749" s="5"/>
    </row>
    <row r="41750">
      <c r="N41750" s="1"/>
      <c r="V41750" s="5"/>
    </row>
    <row r="41751">
      <c r="N41751" s="1"/>
      <c r="V41751" s="5"/>
    </row>
    <row r="41752">
      <c r="N41752" s="1"/>
      <c r="V41752" s="5"/>
    </row>
    <row r="41753">
      <c r="N41753" s="1"/>
      <c r="V41753" s="5"/>
    </row>
    <row r="41754">
      <c r="N41754" s="1"/>
      <c r="V41754" s="5"/>
    </row>
    <row r="41755">
      <c r="N41755" s="1"/>
      <c r="V41755" s="5"/>
    </row>
    <row r="41756">
      <c r="N41756" s="1"/>
      <c r="V41756" s="5"/>
    </row>
    <row r="41757">
      <c r="N41757" s="1"/>
      <c r="V41757" s="5"/>
    </row>
    <row r="41758">
      <c r="N41758" s="1"/>
      <c r="V41758" s="5"/>
    </row>
    <row r="41759">
      <c r="N41759" s="1"/>
      <c r="V41759" s="5"/>
    </row>
    <row r="41760">
      <c r="N41760" s="1"/>
      <c r="V41760" s="5"/>
    </row>
    <row r="41761">
      <c r="N41761" s="1"/>
      <c r="V41761" s="5"/>
    </row>
    <row r="41762">
      <c r="N41762" s="1"/>
      <c r="V41762" s="5"/>
    </row>
    <row r="41763">
      <c r="N41763" s="1"/>
      <c r="V41763" s="5"/>
    </row>
    <row r="41764">
      <c r="N41764" s="1"/>
      <c r="V41764" s="5"/>
    </row>
    <row r="41765">
      <c r="N41765" s="1"/>
      <c r="V41765" s="5"/>
    </row>
    <row r="41766">
      <c r="N41766" s="1"/>
      <c r="V41766" s="5"/>
    </row>
    <row r="41767">
      <c r="N41767" s="1"/>
      <c r="V41767" s="5"/>
    </row>
    <row r="41768">
      <c r="N41768" s="1"/>
      <c r="V41768" s="5"/>
    </row>
    <row r="41769">
      <c r="N41769" s="1"/>
      <c r="V41769" s="5"/>
    </row>
    <row r="41770">
      <c r="N41770" s="1"/>
      <c r="V41770" s="5"/>
    </row>
    <row r="41771">
      <c r="N41771" s="1"/>
      <c r="V41771" s="5"/>
    </row>
    <row r="41772">
      <c r="N41772" s="1"/>
      <c r="V41772" s="5"/>
    </row>
    <row r="41773">
      <c r="N41773" s="1"/>
      <c r="V41773" s="5"/>
    </row>
    <row r="41774">
      <c r="N41774" s="1"/>
      <c r="V41774" s="5"/>
    </row>
    <row r="41775">
      <c r="N41775" s="1"/>
      <c r="V41775" s="5"/>
    </row>
    <row r="41776">
      <c r="N41776" s="1"/>
      <c r="V41776" s="5"/>
    </row>
    <row r="41777">
      <c r="N41777" s="1"/>
      <c r="V41777" s="5"/>
    </row>
    <row r="41778">
      <c r="N41778" s="1"/>
      <c r="V41778" s="5"/>
    </row>
    <row r="41779">
      <c r="N41779" s="1"/>
      <c r="V41779" s="5"/>
    </row>
    <row r="41780">
      <c r="N41780" s="1"/>
      <c r="V41780" s="5"/>
    </row>
    <row r="41781">
      <c r="N41781" s="1"/>
      <c r="V41781" s="5"/>
    </row>
    <row r="41782">
      <c r="N41782" s="1"/>
      <c r="V41782" s="5"/>
    </row>
    <row r="41783">
      <c r="N41783" s="1"/>
      <c r="V41783" s="5"/>
    </row>
    <row r="41784">
      <c r="N41784" s="1"/>
      <c r="V41784" s="5"/>
    </row>
    <row r="41785">
      <c r="N41785" s="1"/>
      <c r="V41785" s="5"/>
    </row>
    <row r="41786">
      <c r="N41786" s="1"/>
      <c r="V41786" s="5"/>
    </row>
    <row r="41787">
      <c r="N41787" s="1"/>
      <c r="V41787" s="5"/>
    </row>
    <row r="41788">
      <c r="N41788" s="1"/>
      <c r="V41788" s="5"/>
    </row>
    <row r="41789">
      <c r="N41789" s="1"/>
      <c r="V41789" s="5"/>
    </row>
    <row r="41790">
      <c r="N41790" s="1"/>
      <c r="V41790" s="5"/>
    </row>
    <row r="41791">
      <c r="N41791" s="1"/>
      <c r="V41791" s="5"/>
    </row>
    <row r="41792">
      <c r="N41792" s="1"/>
      <c r="V41792" s="5"/>
    </row>
    <row r="41793">
      <c r="N41793" s="1"/>
      <c r="V41793" s="5"/>
    </row>
    <row r="41794">
      <c r="N41794" s="1"/>
      <c r="V41794" s="5"/>
    </row>
    <row r="41795">
      <c r="N41795" s="1"/>
      <c r="V41795" s="5"/>
    </row>
    <row r="41796">
      <c r="N41796" s="1"/>
      <c r="V41796" s="5"/>
    </row>
    <row r="41797">
      <c r="N41797" s="1"/>
      <c r="V41797" s="5"/>
    </row>
    <row r="41798">
      <c r="N41798" s="1"/>
      <c r="V41798" s="5"/>
    </row>
    <row r="41799">
      <c r="N41799" s="1"/>
      <c r="V41799" s="5"/>
    </row>
    <row r="41800">
      <c r="N41800" s="1"/>
      <c r="V41800" s="5"/>
    </row>
    <row r="41801">
      <c r="N41801" s="1"/>
      <c r="V41801" s="5"/>
    </row>
    <row r="41802">
      <c r="N41802" s="1"/>
      <c r="V41802" s="5"/>
    </row>
    <row r="41803">
      <c r="N41803" s="1"/>
      <c r="V41803" s="5"/>
    </row>
    <row r="41804">
      <c r="N41804" s="1"/>
      <c r="V41804" s="5"/>
    </row>
    <row r="41805">
      <c r="N41805" s="1"/>
      <c r="V41805" s="5"/>
    </row>
    <row r="41806">
      <c r="N41806" s="1"/>
      <c r="V41806" s="5"/>
    </row>
    <row r="41807">
      <c r="N41807" s="1"/>
      <c r="V41807" s="5"/>
    </row>
    <row r="41808">
      <c r="N41808" s="1"/>
      <c r="V41808" s="5"/>
    </row>
    <row r="41809">
      <c r="N41809" s="1"/>
      <c r="V41809" s="5"/>
    </row>
    <row r="41810">
      <c r="N41810" s="1"/>
      <c r="V41810" s="5"/>
    </row>
    <row r="41811">
      <c r="N41811" s="1"/>
      <c r="V41811" s="5"/>
    </row>
    <row r="41812">
      <c r="N41812" s="1"/>
      <c r="V41812" s="5"/>
    </row>
    <row r="41813">
      <c r="N41813" s="1"/>
      <c r="V41813" s="5"/>
    </row>
    <row r="41814">
      <c r="N41814" s="1"/>
      <c r="V41814" s="5"/>
    </row>
    <row r="41815">
      <c r="N41815" s="1"/>
      <c r="V41815" s="5"/>
    </row>
    <row r="41816">
      <c r="N41816" s="1"/>
      <c r="V41816" s="5"/>
    </row>
    <row r="41817">
      <c r="N41817" s="1"/>
      <c r="V41817" s="5"/>
    </row>
    <row r="41818">
      <c r="N41818" s="1"/>
      <c r="V41818" s="5"/>
    </row>
    <row r="41819">
      <c r="N41819" s="1"/>
      <c r="V41819" s="5"/>
    </row>
    <row r="41820">
      <c r="N41820" s="1"/>
      <c r="V41820" s="5"/>
    </row>
    <row r="41821">
      <c r="N41821" s="1"/>
      <c r="V41821" s="5"/>
    </row>
    <row r="41822">
      <c r="N41822" s="1"/>
      <c r="V41822" s="5"/>
    </row>
    <row r="41823">
      <c r="N41823" s="1"/>
      <c r="V41823" s="5"/>
    </row>
    <row r="41824">
      <c r="N41824" s="1"/>
      <c r="V41824" s="5"/>
    </row>
    <row r="41825">
      <c r="N41825" s="1"/>
      <c r="V41825" s="5"/>
    </row>
    <row r="41826">
      <c r="N41826" s="1"/>
      <c r="V41826" s="5"/>
    </row>
    <row r="41827">
      <c r="N41827" s="1"/>
      <c r="V41827" s="5"/>
    </row>
    <row r="41828">
      <c r="N41828" s="1"/>
      <c r="V41828" s="5"/>
    </row>
    <row r="41829">
      <c r="N41829" s="1"/>
      <c r="V41829" s="5"/>
    </row>
    <row r="41830">
      <c r="N41830" s="1"/>
      <c r="V41830" s="5"/>
    </row>
    <row r="41831">
      <c r="N41831" s="1"/>
      <c r="V41831" s="5"/>
    </row>
    <row r="41832">
      <c r="N41832" s="1"/>
      <c r="V41832" s="5"/>
    </row>
    <row r="41833">
      <c r="N41833" s="1"/>
      <c r="V41833" s="5"/>
    </row>
    <row r="41834">
      <c r="N41834" s="1"/>
      <c r="V41834" s="5"/>
    </row>
    <row r="41835">
      <c r="N41835" s="1"/>
      <c r="V41835" s="5"/>
    </row>
    <row r="41836">
      <c r="N41836" s="1"/>
      <c r="V41836" s="5"/>
    </row>
    <row r="41837">
      <c r="N41837" s="1"/>
      <c r="V41837" s="5"/>
    </row>
    <row r="41838">
      <c r="N41838" s="1"/>
      <c r="V41838" s="5"/>
    </row>
    <row r="41839">
      <c r="N41839" s="1"/>
      <c r="V41839" s="5"/>
    </row>
    <row r="41840">
      <c r="N41840" s="1"/>
      <c r="V41840" s="5"/>
    </row>
    <row r="41841">
      <c r="N41841" s="1"/>
      <c r="V41841" s="5"/>
    </row>
    <row r="41842">
      <c r="N41842" s="1"/>
      <c r="V41842" s="5"/>
    </row>
    <row r="41843">
      <c r="N41843" s="1"/>
      <c r="V41843" s="5"/>
    </row>
    <row r="41844">
      <c r="N41844" s="1"/>
      <c r="V41844" s="5"/>
    </row>
    <row r="41845">
      <c r="N41845" s="1"/>
      <c r="V41845" s="5"/>
    </row>
    <row r="41846">
      <c r="N41846" s="1"/>
      <c r="V41846" s="5"/>
    </row>
    <row r="41847">
      <c r="N41847" s="1"/>
      <c r="V41847" s="5"/>
    </row>
    <row r="41848">
      <c r="N41848" s="1"/>
      <c r="V41848" s="5"/>
    </row>
    <row r="41849">
      <c r="N41849" s="1"/>
      <c r="V41849" s="5"/>
    </row>
    <row r="41850">
      <c r="N41850" s="1"/>
      <c r="V41850" s="5"/>
    </row>
    <row r="41851">
      <c r="N41851" s="1"/>
      <c r="V41851" s="5"/>
    </row>
    <row r="41852">
      <c r="N41852" s="1"/>
      <c r="V41852" s="5"/>
    </row>
    <row r="41853">
      <c r="N41853" s="1"/>
      <c r="V41853" s="5"/>
    </row>
    <row r="41854">
      <c r="N41854" s="1"/>
      <c r="V41854" s="5"/>
    </row>
    <row r="41855">
      <c r="N41855" s="1"/>
      <c r="V41855" s="5"/>
    </row>
    <row r="41856">
      <c r="N41856" s="1"/>
      <c r="V41856" s="5"/>
    </row>
    <row r="41857">
      <c r="N41857" s="1"/>
      <c r="V41857" s="5"/>
    </row>
    <row r="41858">
      <c r="N41858" s="1"/>
      <c r="V41858" s="5"/>
    </row>
    <row r="41859">
      <c r="N41859" s="1"/>
      <c r="V41859" s="5"/>
    </row>
    <row r="41860">
      <c r="N41860" s="1"/>
      <c r="V41860" s="5"/>
    </row>
    <row r="41861">
      <c r="N41861" s="1"/>
      <c r="V41861" s="5"/>
    </row>
    <row r="41862">
      <c r="N41862" s="1"/>
      <c r="V41862" s="5"/>
    </row>
    <row r="41863">
      <c r="N41863" s="1"/>
      <c r="V41863" s="5"/>
    </row>
    <row r="41864">
      <c r="N41864" s="1"/>
      <c r="V41864" s="5"/>
    </row>
    <row r="41865">
      <c r="N41865" s="1"/>
      <c r="V41865" s="5"/>
    </row>
    <row r="41866">
      <c r="N41866" s="1"/>
      <c r="V41866" s="5"/>
    </row>
    <row r="41867">
      <c r="N41867" s="1"/>
      <c r="V41867" s="5"/>
    </row>
    <row r="41868">
      <c r="N41868" s="1"/>
      <c r="V41868" s="5"/>
    </row>
    <row r="41869">
      <c r="N41869" s="1"/>
      <c r="V41869" s="5"/>
    </row>
    <row r="41870">
      <c r="N41870" s="1"/>
      <c r="V41870" s="5"/>
    </row>
    <row r="41871">
      <c r="N41871" s="1"/>
      <c r="V41871" s="5"/>
    </row>
    <row r="41872">
      <c r="N41872" s="1"/>
      <c r="V41872" s="5"/>
    </row>
    <row r="41873">
      <c r="N41873" s="1"/>
      <c r="V41873" s="5"/>
    </row>
    <row r="41874">
      <c r="N41874" s="1"/>
      <c r="V41874" s="5"/>
    </row>
    <row r="41875">
      <c r="N41875" s="1"/>
      <c r="V41875" s="5"/>
    </row>
    <row r="41876">
      <c r="N41876" s="1"/>
      <c r="V41876" s="5"/>
    </row>
    <row r="41877">
      <c r="N41877" s="1"/>
      <c r="V41877" s="5"/>
    </row>
    <row r="41878">
      <c r="N41878" s="1"/>
      <c r="V41878" s="5"/>
    </row>
    <row r="41879">
      <c r="N41879" s="1"/>
      <c r="V41879" s="5"/>
    </row>
    <row r="41880">
      <c r="N41880" s="1"/>
      <c r="V41880" s="5"/>
    </row>
    <row r="41881">
      <c r="N41881" s="1"/>
      <c r="V41881" s="5"/>
    </row>
    <row r="41882">
      <c r="N41882" s="1"/>
      <c r="V41882" s="5"/>
    </row>
    <row r="41883">
      <c r="N41883" s="1"/>
      <c r="V41883" s="5"/>
    </row>
    <row r="41884">
      <c r="N41884" s="1"/>
      <c r="V41884" s="5"/>
    </row>
    <row r="41885">
      <c r="N41885" s="1"/>
      <c r="V41885" s="5"/>
    </row>
    <row r="41886">
      <c r="N41886" s="1"/>
      <c r="V41886" s="5"/>
    </row>
    <row r="41887">
      <c r="N41887" s="1"/>
      <c r="V41887" s="5"/>
    </row>
    <row r="41888">
      <c r="N41888" s="1"/>
      <c r="V41888" s="5"/>
    </row>
    <row r="41889">
      <c r="N41889" s="1"/>
      <c r="V41889" s="5"/>
    </row>
    <row r="41890">
      <c r="N41890" s="1"/>
      <c r="V41890" s="5"/>
    </row>
    <row r="41891">
      <c r="N41891" s="1"/>
      <c r="V41891" s="5"/>
    </row>
    <row r="41892">
      <c r="N41892" s="1"/>
      <c r="V41892" s="5"/>
    </row>
    <row r="41893">
      <c r="N41893" s="1"/>
      <c r="V41893" s="5"/>
    </row>
    <row r="41894">
      <c r="N41894" s="1"/>
      <c r="V41894" s="5"/>
    </row>
    <row r="41895">
      <c r="N41895" s="1"/>
      <c r="V41895" s="5"/>
    </row>
    <row r="41896">
      <c r="N41896" s="1"/>
      <c r="V41896" s="5"/>
    </row>
    <row r="41897">
      <c r="N41897" s="1"/>
      <c r="V41897" s="5"/>
    </row>
    <row r="41898">
      <c r="N41898" s="1"/>
      <c r="V41898" s="5"/>
    </row>
    <row r="41899">
      <c r="N41899" s="1"/>
      <c r="V41899" s="5"/>
    </row>
    <row r="41900">
      <c r="N41900" s="1"/>
      <c r="V41900" s="5"/>
    </row>
    <row r="41901">
      <c r="N41901" s="1"/>
      <c r="V41901" s="5"/>
    </row>
    <row r="41902">
      <c r="N41902" s="1"/>
      <c r="V41902" s="5"/>
    </row>
    <row r="41903">
      <c r="N41903" s="1"/>
      <c r="V41903" s="5"/>
    </row>
    <row r="41904">
      <c r="N41904" s="1"/>
      <c r="V41904" s="5"/>
    </row>
    <row r="41905">
      <c r="N41905" s="1"/>
      <c r="V41905" s="5"/>
    </row>
    <row r="41906">
      <c r="N41906" s="1"/>
      <c r="V41906" s="5"/>
    </row>
    <row r="41907">
      <c r="N41907" s="1"/>
      <c r="V41907" s="5"/>
    </row>
    <row r="41908">
      <c r="N41908" s="1"/>
      <c r="V41908" s="5"/>
    </row>
    <row r="41909">
      <c r="N41909" s="1"/>
      <c r="V41909" s="5"/>
    </row>
    <row r="41910">
      <c r="N41910" s="1"/>
      <c r="V41910" s="5"/>
    </row>
    <row r="41911">
      <c r="N41911" s="1"/>
      <c r="V41911" s="5"/>
    </row>
    <row r="41912">
      <c r="N41912" s="1"/>
      <c r="V41912" s="5"/>
    </row>
    <row r="41913">
      <c r="N41913" s="1"/>
      <c r="V41913" s="5"/>
    </row>
    <row r="41914">
      <c r="N41914" s="1"/>
      <c r="V41914" s="5"/>
    </row>
    <row r="41915">
      <c r="N41915" s="1"/>
      <c r="V41915" s="5"/>
    </row>
    <row r="41916">
      <c r="N41916" s="1"/>
      <c r="V41916" s="5"/>
    </row>
    <row r="41917">
      <c r="N41917" s="1"/>
      <c r="V41917" s="5"/>
    </row>
    <row r="41918">
      <c r="N41918" s="1"/>
      <c r="V41918" s="5"/>
    </row>
    <row r="41919">
      <c r="N41919" s="1"/>
      <c r="V41919" s="5"/>
    </row>
    <row r="41920">
      <c r="N41920" s="1"/>
      <c r="V41920" s="5"/>
    </row>
    <row r="41921">
      <c r="N41921" s="1"/>
      <c r="V41921" s="5"/>
    </row>
    <row r="41922">
      <c r="N41922" s="1"/>
      <c r="V41922" s="5"/>
    </row>
    <row r="41923">
      <c r="N41923" s="1"/>
      <c r="V41923" s="5"/>
    </row>
    <row r="41924">
      <c r="N41924" s="1"/>
      <c r="V41924" s="5"/>
    </row>
    <row r="41925">
      <c r="N41925" s="1"/>
      <c r="V41925" s="5"/>
    </row>
    <row r="41926">
      <c r="N41926" s="1"/>
      <c r="V41926" s="5"/>
    </row>
    <row r="41927">
      <c r="N41927" s="1"/>
      <c r="V41927" s="5"/>
    </row>
    <row r="41928">
      <c r="N41928" s="1"/>
      <c r="V41928" s="5"/>
    </row>
    <row r="41929">
      <c r="N41929" s="1"/>
      <c r="V41929" s="5"/>
    </row>
    <row r="41930">
      <c r="N41930" s="1"/>
      <c r="V41930" s="5"/>
    </row>
    <row r="41931">
      <c r="N41931" s="1"/>
      <c r="V41931" s="5"/>
    </row>
    <row r="41932">
      <c r="N41932" s="1"/>
      <c r="V41932" s="5"/>
    </row>
    <row r="41933">
      <c r="N41933" s="1"/>
      <c r="V41933" s="5"/>
    </row>
    <row r="41934">
      <c r="N41934" s="1"/>
      <c r="V41934" s="5"/>
    </row>
    <row r="41935">
      <c r="N41935" s="1"/>
      <c r="V41935" s="5"/>
    </row>
    <row r="41936">
      <c r="N41936" s="1"/>
      <c r="V41936" s="5"/>
    </row>
    <row r="41937">
      <c r="N41937" s="1"/>
      <c r="V41937" s="5"/>
    </row>
    <row r="41938">
      <c r="N41938" s="1"/>
      <c r="V41938" s="5"/>
    </row>
    <row r="41939">
      <c r="N41939" s="1"/>
      <c r="V41939" s="5"/>
    </row>
    <row r="41940">
      <c r="N41940" s="1"/>
      <c r="V41940" s="5"/>
    </row>
    <row r="41941">
      <c r="N41941" s="1"/>
      <c r="V41941" s="5"/>
    </row>
    <row r="41942">
      <c r="N41942" s="1"/>
      <c r="V41942" s="5"/>
    </row>
    <row r="41943">
      <c r="N41943" s="1"/>
      <c r="V41943" s="5"/>
    </row>
    <row r="41944">
      <c r="N41944" s="1"/>
      <c r="V41944" s="5"/>
    </row>
    <row r="41945">
      <c r="N41945" s="1"/>
      <c r="V41945" s="5"/>
    </row>
    <row r="41946">
      <c r="N41946" s="1"/>
      <c r="V41946" s="5"/>
    </row>
    <row r="41947">
      <c r="N41947" s="1"/>
      <c r="V41947" s="5"/>
    </row>
    <row r="41948">
      <c r="N41948" s="1"/>
      <c r="V41948" s="5"/>
    </row>
    <row r="41949">
      <c r="N41949" s="1"/>
      <c r="V41949" s="5"/>
    </row>
    <row r="41950">
      <c r="N41950" s="1"/>
      <c r="V41950" s="5"/>
    </row>
    <row r="41951">
      <c r="N41951" s="1"/>
      <c r="V41951" s="5"/>
    </row>
    <row r="41952">
      <c r="N41952" s="1"/>
      <c r="V41952" s="5"/>
    </row>
    <row r="41953">
      <c r="N41953" s="1"/>
      <c r="V41953" s="5"/>
    </row>
    <row r="41954">
      <c r="N41954" s="1"/>
      <c r="V41954" s="5"/>
    </row>
    <row r="41955">
      <c r="N41955" s="1"/>
      <c r="V41955" s="5"/>
    </row>
    <row r="41956">
      <c r="N41956" s="1"/>
      <c r="V41956" s="5"/>
    </row>
    <row r="41957">
      <c r="N41957" s="1"/>
      <c r="V41957" s="5"/>
    </row>
    <row r="41958">
      <c r="N41958" s="1"/>
      <c r="V41958" s="5"/>
    </row>
    <row r="41959">
      <c r="N41959" s="1"/>
      <c r="V41959" s="5"/>
    </row>
    <row r="41960">
      <c r="N41960" s="1"/>
      <c r="V41960" s="5"/>
    </row>
    <row r="41961">
      <c r="N41961" s="1"/>
      <c r="V41961" s="5"/>
    </row>
    <row r="41962">
      <c r="N41962" s="1"/>
      <c r="V41962" s="5"/>
    </row>
    <row r="41963">
      <c r="N41963" s="1"/>
      <c r="V41963" s="5"/>
    </row>
    <row r="41964">
      <c r="N41964" s="1"/>
      <c r="V41964" s="5"/>
    </row>
    <row r="41965">
      <c r="N41965" s="1"/>
      <c r="V41965" s="5"/>
    </row>
    <row r="41966">
      <c r="N41966" s="1"/>
      <c r="V41966" s="5"/>
    </row>
    <row r="41967">
      <c r="N41967" s="1"/>
      <c r="V41967" s="5"/>
    </row>
    <row r="41968">
      <c r="N41968" s="1"/>
      <c r="V41968" s="5"/>
    </row>
    <row r="41969">
      <c r="N41969" s="1"/>
      <c r="V41969" s="5"/>
    </row>
    <row r="41970">
      <c r="N41970" s="1"/>
      <c r="V41970" s="5"/>
    </row>
    <row r="41971">
      <c r="N41971" s="1"/>
      <c r="V41971" s="5"/>
    </row>
    <row r="41972">
      <c r="N41972" s="1"/>
      <c r="V41972" s="5"/>
    </row>
    <row r="41973">
      <c r="N41973" s="1"/>
      <c r="V41973" s="5"/>
    </row>
    <row r="41974">
      <c r="N41974" s="1"/>
      <c r="V41974" s="5"/>
    </row>
    <row r="41975">
      <c r="N41975" s="1"/>
      <c r="V41975" s="5"/>
    </row>
    <row r="41976">
      <c r="N41976" s="1"/>
      <c r="V41976" s="5"/>
    </row>
    <row r="41977">
      <c r="N41977" s="1"/>
      <c r="V41977" s="5"/>
    </row>
    <row r="41978">
      <c r="N41978" s="1"/>
      <c r="V41978" s="5"/>
    </row>
    <row r="41979">
      <c r="N41979" s="1"/>
      <c r="V41979" s="5"/>
    </row>
    <row r="41980">
      <c r="N41980" s="1"/>
      <c r="V41980" s="5"/>
    </row>
    <row r="41981">
      <c r="N41981" s="1"/>
      <c r="V41981" s="5"/>
    </row>
    <row r="41982">
      <c r="N41982" s="1"/>
      <c r="V41982" s="5"/>
    </row>
    <row r="41983">
      <c r="N41983" s="1"/>
      <c r="V41983" s="5"/>
    </row>
    <row r="41984">
      <c r="N41984" s="1"/>
      <c r="V41984" s="5"/>
    </row>
    <row r="41985">
      <c r="N41985" s="1"/>
      <c r="V41985" s="5"/>
    </row>
    <row r="41986">
      <c r="N41986" s="1"/>
      <c r="V41986" s="5"/>
    </row>
    <row r="41987">
      <c r="N41987" s="1"/>
      <c r="V41987" s="5"/>
    </row>
    <row r="41988">
      <c r="N41988" s="1"/>
      <c r="V41988" s="5"/>
    </row>
    <row r="41989">
      <c r="N41989" s="1"/>
      <c r="V41989" s="5"/>
    </row>
    <row r="41990">
      <c r="N41990" s="1"/>
      <c r="V41990" s="5"/>
    </row>
    <row r="41991">
      <c r="N41991" s="1"/>
      <c r="V41991" s="5"/>
    </row>
    <row r="41992">
      <c r="N41992" s="1"/>
      <c r="V41992" s="5"/>
    </row>
    <row r="41993">
      <c r="N41993" s="1"/>
      <c r="V41993" s="5"/>
    </row>
    <row r="41994">
      <c r="N41994" s="1"/>
      <c r="V41994" s="5"/>
    </row>
    <row r="41995">
      <c r="N41995" s="1"/>
      <c r="V41995" s="5"/>
    </row>
    <row r="41996">
      <c r="N41996" s="1"/>
      <c r="V41996" s="5"/>
    </row>
    <row r="41997">
      <c r="N41997" s="1"/>
      <c r="V41997" s="5"/>
    </row>
    <row r="41998">
      <c r="N41998" s="1"/>
      <c r="V41998" s="5"/>
    </row>
    <row r="41999">
      <c r="N41999" s="1"/>
      <c r="V41999" s="5"/>
    </row>
    <row r="42000">
      <c r="N42000" s="1"/>
      <c r="V42000" s="5"/>
    </row>
    <row r="42001">
      <c r="N42001" s="1"/>
      <c r="V42001" s="5"/>
    </row>
    <row r="42002">
      <c r="N42002" s="1"/>
      <c r="V42002" s="5"/>
    </row>
    <row r="42003">
      <c r="N42003" s="1"/>
      <c r="V42003" s="5"/>
    </row>
    <row r="42004">
      <c r="N42004" s="1"/>
      <c r="V42004" s="5"/>
    </row>
    <row r="42005">
      <c r="N42005" s="1"/>
      <c r="V42005" s="5"/>
    </row>
    <row r="42006">
      <c r="N42006" s="1"/>
      <c r="V42006" s="5"/>
    </row>
    <row r="42007">
      <c r="N42007" s="1"/>
      <c r="V42007" s="5"/>
    </row>
    <row r="42008">
      <c r="N42008" s="1"/>
      <c r="V42008" s="5"/>
    </row>
    <row r="42009">
      <c r="N42009" s="1"/>
      <c r="V42009" s="5"/>
    </row>
    <row r="42010">
      <c r="N42010" s="1"/>
      <c r="V42010" s="5"/>
    </row>
    <row r="42011">
      <c r="N42011" s="1"/>
      <c r="V42011" s="5"/>
    </row>
    <row r="42012">
      <c r="N42012" s="1"/>
      <c r="V42012" s="5"/>
    </row>
    <row r="42013">
      <c r="N42013" s="1"/>
      <c r="V42013" s="5"/>
    </row>
    <row r="42014">
      <c r="N42014" s="1"/>
      <c r="V42014" s="5"/>
    </row>
    <row r="42015">
      <c r="N42015" s="1"/>
      <c r="V42015" s="5"/>
    </row>
    <row r="42016">
      <c r="N42016" s="1"/>
      <c r="V42016" s="5"/>
    </row>
    <row r="42017">
      <c r="N42017" s="1"/>
      <c r="V42017" s="5"/>
    </row>
    <row r="42018">
      <c r="N42018" s="1"/>
      <c r="V42018" s="5"/>
    </row>
    <row r="42019">
      <c r="N42019" s="1"/>
      <c r="V42019" s="5"/>
    </row>
    <row r="42020">
      <c r="N42020" s="1"/>
      <c r="V42020" s="5"/>
    </row>
    <row r="42021">
      <c r="N42021" s="1"/>
      <c r="V42021" s="5"/>
    </row>
    <row r="42022">
      <c r="N42022" s="1"/>
      <c r="V42022" s="5"/>
    </row>
    <row r="42023">
      <c r="N42023" s="1"/>
      <c r="V42023" s="5"/>
    </row>
    <row r="42024">
      <c r="N42024" s="1"/>
      <c r="V42024" s="5"/>
    </row>
    <row r="42025">
      <c r="N42025" s="1"/>
      <c r="V42025" s="5"/>
    </row>
    <row r="42026">
      <c r="N42026" s="1"/>
      <c r="V42026" s="5"/>
    </row>
    <row r="42027">
      <c r="N42027" s="1"/>
      <c r="V42027" s="5"/>
    </row>
    <row r="42028">
      <c r="N42028" s="1"/>
      <c r="V42028" s="5"/>
    </row>
    <row r="42029">
      <c r="N42029" s="1"/>
      <c r="V42029" s="5"/>
    </row>
    <row r="42030">
      <c r="N42030" s="1"/>
      <c r="V42030" s="5"/>
    </row>
    <row r="42031">
      <c r="N42031" s="1"/>
      <c r="V42031" s="5"/>
    </row>
    <row r="42032">
      <c r="N42032" s="1"/>
      <c r="V42032" s="5"/>
    </row>
    <row r="42033">
      <c r="N42033" s="1"/>
      <c r="V42033" s="5"/>
    </row>
    <row r="42034">
      <c r="N42034" s="1"/>
      <c r="V42034" s="5"/>
    </row>
    <row r="42035">
      <c r="N42035" s="1"/>
      <c r="V42035" s="5"/>
    </row>
    <row r="42036">
      <c r="N42036" s="1"/>
      <c r="V42036" s="5"/>
    </row>
    <row r="42037">
      <c r="N42037" s="1"/>
      <c r="V42037" s="5"/>
    </row>
    <row r="42038">
      <c r="N42038" s="1"/>
      <c r="V42038" s="5"/>
    </row>
    <row r="42039">
      <c r="N42039" s="1"/>
      <c r="V42039" s="5"/>
    </row>
    <row r="42040">
      <c r="N42040" s="1"/>
      <c r="V42040" s="5"/>
    </row>
    <row r="42041">
      <c r="N42041" s="1"/>
      <c r="V42041" s="5"/>
    </row>
    <row r="42042">
      <c r="N42042" s="1"/>
      <c r="V42042" s="5"/>
    </row>
    <row r="42043">
      <c r="N42043" s="1"/>
      <c r="V42043" s="5"/>
    </row>
    <row r="42044">
      <c r="N42044" s="1"/>
      <c r="V42044" s="5"/>
    </row>
    <row r="42045">
      <c r="N42045" s="1"/>
      <c r="V42045" s="5"/>
    </row>
    <row r="42046">
      <c r="N42046" s="1"/>
      <c r="V42046" s="5"/>
    </row>
    <row r="42047">
      <c r="N42047" s="1"/>
      <c r="V42047" s="5"/>
    </row>
    <row r="42048">
      <c r="N42048" s="1"/>
      <c r="V42048" s="5"/>
    </row>
    <row r="42049">
      <c r="N42049" s="1"/>
      <c r="V42049" s="5"/>
    </row>
    <row r="42050">
      <c r="N42050" s="1"/>
      <c r="V42050" s="5"/>
    </row>
    <row r="42051">
      <c r="N42051" s="1"/>
      <c r="V42051" s="5"/>
    </row>
    <row r="42052">
      <c r="N42052" s="1"/>
      <c r="V42052" s="5"/>
    </row>
    <row r="42053">
      <c r="N42053" s="1"/>
      <c r="V42053" s="5"/>
    </row>
    <row r="42054">
      <c r="N42054" s="1"/>
      <c r="V42054" s="5"/>
    </row>
    <row r="42055">
      <c r="N42055" s="1"/>
      <c r="V42055" s="5"/>
    </row>
    <row r="42056">
      <c r="N42056" s="1"/>
      <c r="V42056" s="5"/>
    </row>
    <row r="42057">
      <c r="N42057" s="1"/>
      <c r="V42057" s="5"/>
    </row>
    <row r="42058">
      <c r="N42058" s="1"/>
      <c r="V42058" s="5"/>
    </row>
    <row r="42059">
      <c r="N42059" s="1"/>
      <c r="V42059" s="5"/>
    </row>
    <row r="42060">
      <c r="N42060" s="1"/>
      <c r="V42060" s="5"/>
    </row>
    <row r="42061">
      <c r="N42061" s="1"/>
      <c r="V42061" s="5"/>
    </row>
    <row r="42062">
      <c r="N42062" s="1"/>
      <c r="V42062" s="5"/>
    </row>
    <row r="42063">
      <c r="N42063" s="1"/>
      <c r="V42063" s="5"/>
    </row>
    <row r="42064">
      <c r="N42064" s="1"/>
      <c r="V42064" s="5"/>
    </row>
    <row r="42065">
      <c r="N42065" s="1"/>
      <c r="V42065" s="5"/>
    </row>
    <row r="42066">
      <c r="N42066" s="1"/>
      <c r="V42066" s="5"/>
    </row>
    <row r="42067">
      <c r="N42067" s="1"/>
      <c r="V42067" s="5"/>
    </row>
    <row r="42068">
      <c r="N42068" s="1"/>
      <c r="V42068" s="5"/>
    </row>
    <row r="42069">
      <c r="N42069" s="1"/>
      <c r="V42069" s="5"/>
    </row>
    <row r="42070">
      <c r="N42070" s="1"/>
      <c r="V42070" s="5"/>
    </row>
    <row r="42071">
      <c r="N42071" s="1"/>
      <c r="V42071" s="5"/>
    </row>
    <row r="42072">
      <c r="N42072" s="1"/>
      <c r="V42072" s="5"/>
    </row>
    <row r="42073">
      <c r="N42073" s="1"/>
      <c r="V42073" s="5"/>
    </row>
    <row r="42074">
      <c r="N42074" s="1"/>
      <c r="V42074" s="5"/>
    </row>
    <row r="42075">
      <c r="N42075" s="1"/>
      <c r="V42075" s="5"/>
    </row>
    <row r="42076">
      <c r="N42076" s="1"/>
      <c r="V42076" s="5"/>
    </row>
    <row r="42077">
      <c r="N42077" s="1"/>
      <c r="V42077" s="5"/>
    </row>
    <row r="42078">
      <c r="N42078" s="1"/>
      <c r="V42078" s="5"/>
    </row>
    <row r="42079">
      <c r="N42079" s="1"/>
      <c r="V42079" s="5"/>
    </row>
    <row r="42080">
      <c r="N42080" s="1"/>
      <c r="V42080" s="5"/>
    </row>
    <row r="42081">
      <c r="N42081" s="1"/>
      <c r="V42081" s="5"/>
    </row>
    <row r="42082">
      <c r="N42082" s="1"/>
      <c r="V42082" s="5"/>
    </row>
    <row r="42083">
      <c r="N42083" s="1"/>
      <c r="V42083" s="5"/>
    </row>
    <row r="42084">
      <c r="N42084" s="1"/>
      <c r="V42084" s="5"/>
    </row>
    <row r="42085">
      <c r="N42085" s="1"/>
      <c r="V42085" s="5"/>
    </row>
    <row r="42086">
      <c r="N42086" s="1"/>
      <c r="V42086" s="5"/>
    </row>
    <row r="42087">
      <c r="N42087" s="1"/>
      <c r="V42087" s="5"/>
    </row>
    <row r="42088">
      <c r="N42088" s="1"/>
      <c r="V42088" s="5"/>
    </row>
    <row r="42089">
      <c r="N42089" s="1"/>
      <c r="V42089" s="5"/>
    </row>
    <row r="42090">
      <c r="N42090" s="1"/>
      <c r="V42090" s="5"/>
    </row>
    <row r="42091">
      <c r="N42091" s="1"/>
      <c r="V42091" s="5"/>
    </row>
    <row r="42092">
      <c r="N42092" s="1"/>
      <c r="V42092" s="5"/>
    </row>
    <row r="42093">
      <c r="N42093" s="1"/>
      <c r="V42093" s="5"/>
    </row>
    <row r="42094">
      <c r="N42094" s="1"/>
      <c r="V42094" s="5"/>
    </row>
    <row r="42095">
      <c r="N42095" s="1"/>
      <c r="V42095" s="5"/>
    </row>
    <row r="42096">
      <c r="N42096" s="1"/>
      <c r="V42096" s="5"/>
    </row>
    <row r="42097">
      <c r="N42097" s="1"/>
      <c r="V42097" s="5"/>
    </row>
    <row r="42098">
      <c r="N42098" s="1"/>
      <c r="V42098" s="5"/>
    </row>
    <row r="42099">
      <c r="N42099" s="1"/>
      <c r="V42099" s="5"/>
    </row>
    <row r="42100">
      <c r="N42100" s="1"/>
      <c r="V42100" s="5"/>
    </row>
    <row r="42101">
      <c r="N42101" s="1"/>
      <c r="V42101" s="5"/>
    </row>
    <row r="42102">
      <c r="N42102" s="1"/>
      <c r="V42102" s="5"/>
    </row>
    <row r="42103">
      <c r="N42103" s="1"/>
      <c r="V42103" s="5"/>
    </row>
    <row r="42104">
      <c r="N42104" s="1"/>
      <c r="V42104" s="5"/>
    </row>
    <row r="42105">
      <c r="N42105" s="1"/>
      <c r="V42105" s="5"/>
    </row>
    <row r="42106">
      <c r="N42106" s="1"/>
      <c r="V42106" s="5"/>
    </row>
    <row r="42107">
      <c r="N42107" s="1"/>
      <c r="V42107" s="5"/>
    </row>
    <row r="42108">
      <c r="N42108" s="1"/>
      <c r="V42108" s="5"/>
    </row>
    <row r="42109">
      <c r="N42109" s="1"/>
      <c r="V42109" s="5"/>
    </row>
    <row r="42110">
      <c r="N42110" s="1"/>
      <c r="V42110" s="5"/>
    </row>
    <row r="42111">
      <c r="N42111" s="1"/>
      <c r="V42111" s="5"/>
    </row>
    <row r="42112">
      <c r="N42112" s="1"/>
      <c r="V42112" s="5"/>
    </row>
    <row r="42113">
      <c r="N42113" s="1"/>
      <c r="V42113" s="5"/>
    </row>
    <row r="42114">
      <c r="N42114" s="1"/>
      <c r="V42114" s="5"/>
    </row>
    <row r="42115">
      <c r="N42115" s="1"/>
      <c r="V42115" s="5"/>
    </row>
    <row r="42116">
      <c r="N42116" s="1"/>
      <c r="V42116" s="5"/>
    </row>
    <row r="42117">
      <c r="N42117" s="1"/>
      <c r="V42117" s="5"/>
    </row>
    <row r="42118">
      <c r="N42118" s="1"/>
      <c r="V42118" s="5"/>
    </row>
    <row r="42119">
      <c r="N42119" s="1"/>
      <c r="V42119" s="5"/>
    </row>
    <row r="42120">
      <c r="N42120" s="1"/>
      <c r="V42120" s="5"/>
    </row>
    <row r="42121">
      <c r="N42121" s="1"/>
      <c r="V42121" s="5"/>
    </row>
    <row r="42122">
      <c r="N42122" s="1"/>
      <c r="V42122" s="5"/>
    </row>
    <row r="42123">
      <c r="N42123" s="1"/>
      <c r="V42123" s="5"/>
    </row>
    <row r="42124">
      <c r="N42124" s="1"/>
      <c r="V42124" s="5"/>
    </row>
    <row r="42125">
      <c r="N42125" s="1"/>
      <c r="V42125" s="5"/>
    </row>
    <row r="42126">
      <c r="N42126" s="1"/>
      <c r="V42126" s="5"/>
    </row>
    <row r="42127">
      <c r="N42127" s="1"/>
      <c r="V42127" s="5"/>
    </row>
    <row r="42128">
      <c r="N42128" s="1"/>
      <c r="V42128" s="5"/>
    </row>
    <row r="42129">
      <c r="N42129" s="1"/>
      <c r="V42129" s="5"/>
    </row>
    <row r="42130">
      <c r="N42130" s="1"/>
      <c r="V42130" s="5"/>
    </row>
    <row r="42131">
      <c r="N42131" s="1"/>
      <c r="V42131" s="5"/>
    </row>
    <row r="42132">
      <c r="N42132" s="1"/>
      <c r="V42132" s="5"/>
    </row>
    <row r="42133">
      <c r="N42133" s="1"/>
      <c r="V42133" s="5"/>
    </row>
    <row r="42134">
      <c r="N42134" s="1"/>
      <c r="V42134" s="5"/>
    </row>
    <row r="42135">
      <c r="N42135" s="1"/>
      <c r="V42135" s="5"/>
    </row>
    <row r="42136">
      <c r="N42136" s="1"/>
      <c r="V42136" s="5"/>
    </row>
    <row r="42137">
      <c r="N42137" s="1"/>
      <c r="V42137" s="5"/>
    </row>
    <row r="42138">
      <c r="N42138" s="1"/>
      <c r="V42138" s="5"/>
    </row>
    <row r="42139">
      <c r="N42139" s="1"/>
      <c r="V42139" s="5"/>
    </row>
    <row r="42140">
      <c r="N42140" s="1"/>
      <c r="V42140" s="5"/>
    </row>
    <row r="42141">
      <c r="N42141" s="1"/>
      <c r="V42141" s="5"/>
    </row>
    <row r="42142">
      <c r="N42142" s="1"/>
      <c r="V42142" s="5"/>
    </row>
    <row r="42143">
      <c r="N42143" s="1"/>
      <c r="V42143" s="5"/>
    </row>
    <row r="42144">
      <c r="N42144" s="1"/>
      <c r="V42144" s="5"/>
    </row>
    <row r="42145">
      <c r="N42145" s="1"/>
      <c r="V42145" s="5"/>
    </row>
    <row r="42146">
      <c r="N42146" s="1"/>
      <c r="V42146" s="5"/>
    </row>
    <row r="42147">
      <c r="N42147" s="1"/>
      <c r="V42147" s="5"/>
    </row>
    <row r="42148">
      <c r="N42148" s="1"/>
      <c r="V42148" s="5"/>
    </row>
    <row r="42149">
      <c r="N42149" s="1"/>
      <c r="V42149" s="5"/>
    </row>
    <row r="42150">
      <c r="N42150" s="1"/>
      <c r="V42150" s="5"/>
    </row>
    <row r="42151">
      <c r="N42151" s="1"/>
      <c r="V42151" s="5"/>
    </row>
    <row r="42152">
      <c r="N42152" s="1"/>
      <c r="V42152" s="5"/>
    </row>
    <row r="42153">
      <c r="N42153" s="1"/>
      <c r="V42153" s="5"/>
    </row>
    <row r="42154">
      <c r="N42154" s="1"/>
      <c r="V42154" s="5"/>
    </row>
    <row r="42155">
      <c r="N42155" s="1"/>
      <c r="V42155" s="5"/>
    </row>
    <row r="42156">
      <c r="N42156" s="1"/>
      <c r="V42156" s="5"/>
    </row>
    <row r="42157">
      <c r="N42157" s="1"/>
      <c r="V42157" s="5"/>
    </row>
    <row r="42158">
      <c r="N42158" s="1"/>
      <c r="V42158" s="5"/>
    </row>
    <row r="42159">
      <c r="N42159" s="1"/>
      <c r="V42159" s="5"/>
    </row>
    <row r="42160">
      <c r="N42160" s="1"/>
      <c r="V42160" s="5"/>
    </row>
    <row r="42161">
      <c r="N42161" s="1"/>
      <c r="V42161" s="5"/>
    </row>
    <row r="42162">
      <c r="N42162" s="1"/>
      <c r="V42162" s="5"/>
    </row>
    <row r="42163">
      <c r="N42163" s="1"/>
      <c r="V42163" s="5"/>
    </row>
    <row r="42164">
      <c r="N42164" s="1"/>
      <c r="V42164" s="5"/>
    </row>
    <row r="42165">
      <c r="N42165" s="1"/>
      <c r="V42165" s="5"/>
    </row>
    <row r="42166">
      <c r="N42166" s="1"/>
      <c r="V42166" s="5"/>
    </row>
    <row r="42167">
      <c r="N42167" s="1"/>
      <c r="V42167" s="5"/>
    </row>
    <row r="42168">
      <c r="N42168" s="1"/>
      <c r="V42168" s="5"/>
    </row>
    <row r="42169">
      <c r="N42169" s="1"/>
      <c r="V42169" s="5"/>
    </row>
    <row r="42170">
      <c r="N42170" s="1"/>
      <c r="V42170" s="5"/>
    </row>
    <row r="42171">
      <c r="N42171" s="1"/>
      <c r="V42171" s="5"/>
    </row>
    <row r="42172">
      <c r="N42172" s="1"/>
      <c r="V42172" s="5"/>
    </row>
    <row r="42173">
      <c r="N42173" s="1"/>
      <c r="V42173" s="5"/>
    </row>
    <row r="42174">
      <c r="N42174" s="1"/>
      <c r="V42174" s="5"/>
    </row>
    <row r="42175">
      <c r="N42175" s="1"/>
      <c r="V42175" s="5"/>
    </row>
    <row r="42176">
      <c r="N42176" s="1"/>
      <c r="V42176" s="5"/>
    </row>
    <row r="42177">
      <c r="N42177" s="1"/>
      <c r="V42177" s="5"/>
    </row>
    <row r="42178">
      <c r="N42178" s="1"/>
      <c r="V42178" s="5"/>
    </row>
    <row r="42179">
      <c r="N42179" s="1"/>
      <c r="V42179" s="5"/>
    </row>
    <row r="42180">
      <c r="N42180" s="1"/>
      <c r="V42180" s="5"/>
    </row>
    <row r="42181">
      <c r="N42181" s="1"/>
      <c r="V42181" s="5"/>
    </row>
    <row r="42182">
      <c r="N42182" s="1"/>
      <c r="V42182" s="5"/>
    </row>
    <row r="42183">
      <c r="N42183" s="1"/>
      <c r="V42183" s="5"/>
    </row>
    <row r="42184">
      <c r="N42184" s="1"/>
      <c r="V42184" s="5"/>
    </row>
    <row r="42185">
      <c r="N42185" s="1"/>
      <c r="V42185" s="5"/>
    </row>
    <row r="42186">
      <c r="N42186" s="1"/>
      <c r="V42186" s="5"/>
    </row>
    <row r="42187">
      <c r="N42187" s="1"/>
      <c r="V42187" s="5"/>
    </row>
    <row r="42188">
      <c r="N42188" s="1"/>
      <c r="V42188" s="5"/>
    </row>
    <row r="42189">
      <c r="N42189" s="1"/>
      <c r="V42189" s="5"/>
    </row>
    <row r="42190">
      <c r="N42190" s="1"/>
      <c r="V42190" s="5"/>
    </row>
    <row r="42191">
      <c r="N42191" s="1"/>
      <c r="V42191" s="5"/>
    </row>
    <row r="42192">
      <c r="N42192" s="1"/>
      <c r="V42192" s="5"/>
    </row>
    <row r="42193">
      <c r="N42193" s="1"/>
      <c r="V42193" s="5"/>
    </row>
    <row r="42194">
      <c r="N42194" s="1"/>
      <c r="V42194" s="5"/>
    </row>
    <row r="42195">
      <c r="N42195" s="1"/>
      <c r="V42195" s="5"/>
    </row>
    <row r="42196">
      <c r="N42196" s="1"/>
      <c r="V42196" s="5"/>
    </row>
    <row r="42197">
      <c r="N42197" s="1"/>
      <c r="V42197" s="5"/>
    </row>
    <row r="42198">
      <c r="N42198" s="1"/>
      <c r="V42198" s="5"/>
    </row>
    <row r="42199">
      <c r="N42199" s="1"/>
      <c r="V42199" s="5"/>
    </row>
    <row r="42200">
      <c r="N42200" s="1"/>
      <c r="V42200" s="5"/>
    </row>
    <row r="42201">
      <c r="N42201" s="1"/>
      <c r="V42201" s="5"/>
    </row>
    <row r="42202">
      <c r="N42202" s="1"/>
      <c r="V42202" s="5"/>
    </row>
    <row r="42203">
      <c r="N42203" s="1"/>
      <c r="V42203" s="5"/>
    </row>
    <row r="42204">
      <c r="N42204" s="1"/>
      <c r="V42204" s="5"/>
    </row>
    <row r="42205">
      <c r="N42205" s="1"/>
      <c r="V42205" s="5"/>
    </row>
    <row r="42206">
      <c r="N42206" s="1"/>
      <c r="V42206" s="5"/>
    </row>
    <row r="42207">
      <c r="N42207" s="1"/>
      <c r="V42207" s="5"/>
    </row>
    <row r="42208">
      <c r="N42208" s="1"/>
      <c r="V42208" s="5"/>
    </row>
    <row r="42209">
      <c r="N42209" s="1"/>
      <c r="V42209" s="5"/>
    </row>
    <row r="42210">
      <c r="N42210" s="1"/>
      <c r="V42210" s="5"/>
    </row>
    <row r="42211">
      <c r="N42211" s="1"/>
      <c r="V42211" s="5"/>
    </row>
    <row r="42212">
      <c r="N42212" s="1"/>
      <c r="V42212" s="5"/>
    </row>
    <row r="42213">
      <c r="N42213" s="1"/>
      <c r="V42213" s="5"/>
    </row>
    <row r="42214">
      <c r="N42214" s="1"/>
      <c r="V42214" s="5"/>
    </row>
    <row r="42215">
      <c r="N42215" s="1"/>
      <c r="V42215" s="5"/>
    </row>
    <row r="42216">
      <c r="N42216" s="1"/>
      <c r="V42216" s="5"/>
    </row>
    <row r="42217">
      <c r="N42217" s="1"/>
      <c r="V42217" s="5"/>
    </row>
    <row r="42218">
      <c r="N42218" s="1"/>
      <c r="V42218" s="5"/>
    </row>
    <row r="42219">
      <c r="N42219" s="1"/>
      <c r="V42219" s="5"/>
    </row>
    <row r="42220">
      <c r="N42220" s="1"/>
      <c r="V42220" s="5"/>
    </row>
    <row r="42221">
      <c r="N42221" s="1"/>
      <c r="V42221" s="5"/>
    </row>
    <row r="42222">
      <c r="N42222" s="1"/>
      <c r="V42222" s="5"/>
    </row>
    <row r="42223">
      <c r="N42223" s="1"/>
      <c r="V42223" s="5"/>
    </row>
    <row r="42224">
      <c r="N42224" s="1"/>
      <c r="V42224" s="5"/>
    </row>
    <row r="42225">
      <c r="N42225" s="1"/>
      <c r="V42225" s="5"/>
    </row>
    <row r="42226">
      <c r="N42226" s="1"/>
      <c r="V42226" s="5"/>
    </row>
    <row r="42227">
      <c r="N42227" s="1"/>
      <c r="V42227" s="5"/>
    </row>
    <row r="42228">
      <c r="N42228" s="1"/>
      <c r="V42228" s="5"/>
    </row>
    <row r="42229">
      <c r="N42229" s="1"/>
      <c r="V42229" s="5"/>
    </row>
    <row r="42230">
      <c r="N42230" s="1"/>
      <c r="V42230" s="5"/>
    </row>
    <row r="42231">
      <c r="N42231" s="1"/>
      <c r="V42231" s="5"/>
    </row>
    <row r="42232">
      <c r="N42232" s="1"/>
      <c r="V42232" s="5"/>
    </row>
    <row r="42233">
      <c r="N42233" s="1"/>
      <c r="V42233" s="5"/>
    </row>
    <row r="42234">
      <c r="N42234" s="1"/>
      <c r="V42234" s="5"/>
    </row>
    <row r="42235">
      <c r="N42235" s="1"/>
      <c r="V42235" s="5"/>
    </row>
    <row r="42236">
      <c r="N42236" s="1"/>
      <c r="V42236" s="5"/>
    </row>
    <row r="42237">
      <c r="N42237" s="1"/>
      <c r="V42237" s="5"/>
    </row>
    <row r="42238">
      <c r="N42238" s="1"/>
      <c r="V42238" s="5"/>
    </row>
    <row r="42239">
      <c r="N42239" s="1"/>
      <c r="V42239" s="5"/>
    </row>
    <row r="42240">
      <c r="N42240" s="1"/>
      <c r="V42240" s="5"/>
    </row>
    <row r="42241">
      <c r="N42241" s="1"/>
      <c r="V42241" s="5"/>
    </row>
    <row r="42242">
      <c r="N42242" s="1"/>
      <c r="V42242" s="5"/>
    </row>
    <row r="42243">
      <c r="N42243" s="1"/>
      <c r="V42243" s="5"/>
    </row>
    <row r="42244">
      <c r="N42244" s="1"/>
      <c r="V42244" s="5"/>
    </row>
    <row r="42245">
      <c r="N42245" s="1"/>
      <c r="V42245" s="5"/>
    </row>
    <row r="42246">
      <c r="N42246" s="1"/>
      <c r="V42246" s="5"/>
    </row>
    <row r="42247">
      <c r="N42247" s="1"/>
      <c r="V42247" s="5"/>
    </row>
    <row r="42248">
      <c r="N42248" s="1"/>
      <c r="V42248" s="5"/>
    </row>
    <row r="42249">
      <c r="N42249" s="1"/>
      <c r="V42249" s="5"/>
    </row>
    <row r="42250">
      <c r="N42250" s="1"/>
      <c r="V42250" s="5"/>
    </row>
    <row r="42251">
      <c r="N42251" s="1"/>
      <c r="V42251" s="5"/>
    </row>
    <row r="42252">
      <c r="N42252" s="1"/>
      <c r="V42252" s="5"/>
    </row>
    <row r="42253">
      <c r="N42253" s="1"/>
      <c r="V42253" s="5"/>
    </row>
    <row r="42254">
      <c r="N42254" s="1"/>
      <c r="V42254" s="5"/>
    </row>
    <row r="42255">
      <c r="N42255" s="1"/>
      <c r="V42255" s="5"/>
    </row>
    <row r="42256">
      <c r="N42256" s="1"/>
      <c r="V42256" s="5"/>
    </row>
    <row r="42257">
      <c r="N42257" s="1"/>
      <c r="V42257" s="5"/>
    </row>
    <row r="42258">
      <c r="N42258" s="1"/>
      <c r="V42258" s="5"/>
    </row>
    <row r="42259">
      <c r="N42259" s="1"/>
      <c r="V42259" s="5"/>
    </row>
    <row r="42260">
      <c r="N42260" s="1"/>
      <c r="V42260" s="5"/>
    </row>
    <row r="42261">
      <c r="N42261" s="1"/>
      <c r="V42261" s="5"/>
    </row>
    <row r="42262">
      <c r="N42262" s="1"/>
      <c r="V42262" s="5"/>
    </row>
    <row r="42263">
      <c r="N42263" s="1"/>
      <c r="V42263" s="5"/>
    </row>
    <row r="42264">
      <c r="N42264" s="1"/>
      <c r="V42264" s="5"/>
    </row>
    <row r="42265">
      <c r="N42265" s="1"/>
      <c r="V42265" s="5"/>
    </row>
    <row r="42266">
      <c r="N42266" s="1"/>
      <c r="V42266" s="5"/>
    </row>
    <row r="42267">
      <c r="N42267" s="1"/>
      <c r="V42267" s="5"/>
    </row>
    <row r="42268">
      <c r="N42268" s="1"/>
      <c r="V42268" s="5"/>
    </row>
    <row r="42269">
      <c r="N42269" s="1"/>
      <c r="V42269" s="5"/>
    </row>
    <row r="42270">
      <c r="N42270" s="1"/>
      <c r="V42270" s="5"/>
    </row>
    <row r="42271">
      <c r="N42271" s="1"/>
      <c r="V42271" s="5"/>
    </row>
    <row r="42272">
      <c r="N42272" s="1"/>
      <c r="V42272" s="5"/>
    </row>
    <row r="42273">
      <c r="N42273" s="1"/>
      <c r="V42273" s="5"/>
    </row>
    <row r="42274">
      <c r="N42274" s="1"/>
      <c r="V42274" s="5"/>
    </row>
    <row r="42275">
      <c r="N42275" s="1"/>
      <c r="V42275" s="5"/>
    </row>
    <row r="42276">
      <c r="N42276" s="1"/>
      <c r="V42276" s="5"/>
    </row>
    <row r="42277">
      <c r="N42277" s="1"/>
      <c r="V42277" s="5"/>
    </row>
    <row r="42278">
      <c r="N42278" s="1"/>
      <c r="V42278" s="5"/>
    </row>
    <row r="42279">
      <c r="N42279" s="1"/>
      <c r="V42279" s="5"/>
    </row>
    <row r="42280">
      <c r="N42280" s="1"/>
      <c r="V42280" s="5"/>
    </row>
    <row r="42281">
      <c r="N42281" s="1"/>
      <c r="V42281" s="5"/>
    </row>
    <row r="42282">
      <c r="N42282" s="1"/>
      <c r="V42282" s="5"/>
    </row>
    <row r="42283">
      <c r="N42283" s="1"/>
      <c r="V42283" s="5"/>
    </row>
    <row r="42284">
      <c r="N42284" s="1"/>
      <c r="V42284" s="5"/>
    </row>
    <row r="42285">
      <c r="N42285" s="1"/>
      <c r="V42285" s="5"/>
    </row>
    <row r="42286">
      <c r="N42286" s="1"/>
      <c r="V42286" s="5"/>
    </row>
    <row r="42287">
      <c r="N42287" s="1"/>
      <c r="V42287" s="5"/>
    </row>
    <row r="42288">
      <c r="N42288" s="1"/>
      <c r="V42288" s="5"/>
    </row>
    <row r="42289">
      <c r="N42289" s="1"/>
      <c r="V42289" s="5"/>
    </row>
    <row r="42290">
      <c r="N42290" s="1"/>
      <c r="V42290" s="5"/>
    </row>
    <row r="42291">
      <c r="N42291" s="1"/>
      <c r="V42291" s="5"/>
    </row>
    <row r="42292">
      <c r="N42292" s="1"/>
      <c r="V42292" s="5"/>
    </row>
    <row r="42293">
      <c r="N42293" s="1"/>
      <c r="V42293" s="5"/>
    </row>
    <row r="42294">
      <c r="N42294" s="1"/>
      <c r="V42294" s="5"/>
    </row>
    <row r="42295">
      <c r="N42295" s="1"/>
      <c r="V42295" s="5"/>
    </row>
    <row r="42296">
      <c r="N42296" s="1"/>
      <c r="V42296" s="5"/>
    </row>
    <row r="42297">
      <c r="N42297" s="1"/>
      <c r="V42297" s="5"/>
    </row>
    <row r="42298">
      <c r="N42298" s="1"/>
      <c r="V42298" s="5"/>
    </row>
    <row r="42299">
      <c r="N42299" s="1"/>
      <c r="V42299" s="5"/>
    </row>
    <row r="42300">
      <c r="N42300" s="1"/>
      <c r="V42300" s="5"/>
    </row>
    <row r="42301">
      <c r="N42301" s="1"/>
      <c r="V42301" s="5"/>
    </row>
    <row r="42302">
      <c r="N42302" s="1"/>
      <c r="V42302" s="5"/>
    </row>
    <row r="42303">
      <c r="N42303" s="1"/>
      <c r="V42303" s="5"/>
    </row>
    <row r="42304">
      <c r="N42304" s="1"/>
      <c r="V42304" s="5"/>
    </row>
    <row r="42305">
      <c r="N42305" s="1"/>
      <c r="V42305" s="5"/>
    </row>
    <row r="42306">
      <c r="N42306" s="1"/>
      <c r="V42306" s="5"/>
    </row>
    <row r="42307">
      <c r="N42307" s="1"/>
      <c r="V42307" s="5"/>
    </row>
    <row r="42308">
      <c r="N42308" s="1"/>
      <c r="V42308" s="5"/>
    </row>
    <row r="42309">
      <c r="N42309" s="1"/>
      <c r="V42309" s="5"/>
    </row>
    <row r="42310">
      <c r="N42310" s="1"/>
      <c r="V42310" s="5"/>
    </row>
    <row r="42311">
      <c r="N42311" s="1"/>
      <c r="V42311" s="5"/>
    </row>
    <row r="42312">
      <c r="N42312" s="1"/>
      <c r="V42312" s="5"/>
    </row>
    <row r="42313">
      <c r="N42313" s="1"/>
      <c r="V42313" s="5"/>
    </row>
    <row r="42314">
      <c r="N42314" s="1"/>
      <c r="V42314" s="5"/>
    </row>
    <row r="42315">
      <c r="N42315" s="1"/>
      <c r="V42315" s="5"/>
    </row>
    <row r="42316">
      <c r="N42316" s="1"/>
      <c r="V42316" s="5"/>
    </row>
    <row r="42317">
      <c r="N42317" s="1"/>
      <c r="V42317" s="5"/>
    </row>
    <row r="42318">
      <c r="N42318" s="1"/>
      <c r="V42318" s="5"/>
    </row>
    <row r="42319">
      <c r="N42319" s="1"/>
      <c r="V42319" s="5"/>
    </row>
    <row r="42320">
      <c r="N42320" s="1"/>
      <c r="V42320" s="5"/>
    </row>
    <row r="42321">
      <c r="N42321" s="1"/>
      <c r="V42321" s="5"/>
    </row>
    <row r="42322">
      <c r="N42322" s="1"/>
      <c r="V42322" s="5"/>
    </row>
    <row r="42323">
      <c r="N42323" s="1"/>
      <c r="V42323" s="5"/>
    </row>
    <row r="42324">
      <c r="N42324" s="1"/>
      <c r="V42324" s="5"/>
    </row>
    <row r="42325">
      <c r="N42325" s="1"/>
      <c r="V42325" s="5"/>
    </row>
    <row r="42326">
      <c r="N42326" s="1"/>
      <c r="V42326" s="5"/>
    </row>
    <row r="42327">
      <c r="N42327" s="1"/>
      <c r="V42327" s="5"/>
    </row>
    <row r="42328">
      <c r="N42328" s="1"/>
      <c r="V42328" s="5"/>
    </row>
    <row r="42329">
      <c r="N42329" s="1"/>
      <c r="V42329" s="5"/>
    </row>
    <row r="42330">
      <c r="N42330" s="1"/>
      <c r="V42330" s="5"/>
    </row>
    <row r="42331">
      <c r="N42331" s="1"/>
      <c r="V42331" s="5"/>
    </row>
    <row r="42332">
      <c r="N42332" s="1"/>
      <c r="V42332" s="5"/>
    </row>
    <row r="42333">
      <c r="N42333" s="1"/>
      <c r="V42333" s="5"/>
    </row>
    <row r="42334">
      <c r="N42334" s="1"/>
      <c r="V42334" s="5"/>
    </row>
    <row r="42335">
      <c r="N42335" s="1"/>
      <c r="V42335" s="5"/>
    </row>
    <row r="42336">
      <c r="N42336" s="1"/>
      <c r="V42336" s="5"/>
    </row>
    <row r="42337">
      <c r="N42337" s="1"/>
      <c r="V42337" s="5"/>
    </row>
    <row r="42338">
      <c r="N42338" s="1"/>
      <c r="V42338" s="5"/>
    </row>
    <row r="42339">
      <c r="N42339" s="1"/>
      <c r="V42339" s="5"/>
    </row>
    <row r="42340">
      <c r="N42340" s="1"/>
      <c r="V42340" s="5"/>
    </row>
    <row r="42341">
      <c r="N42341" s="1"/>
      <c r="V42341" s="5"/>
    </row>
    <row r="42342">
      <c r="N42342" s="1"/>
      <c r="V42342" s="5"/>
    </row>
    <row r="42343">
      <c r="N42343" s="1"/>
      <c r="V42343" s="5"/>
    </row>
    <row r="42344">
      <c r="N42344" s="1"/>
      <c r="V42344" s="5"/>
    </row>
    <row r="42345">
      <c r="N42345" s="1"/>
      <c r="V42345" s="5"/>
    </row>
    <row r="42346">
      <c r="N42346" s="1"/>
      <c r="V42346" s="5"/>
    </row>
    <row r="42347">
      <c r="N42347" s="1"/>
      <c r="V42347" s="5"/>
    </row>
    <row r="42348">
      <c r="N42348" s="1"/>
      <c r="V42348" s="5"/>
    </row>
    <row r="42349">
      <c r="N42349" s="1"/>
      <c r="V42349" s="5"/>
    </row>
    <row r="42350">
      <c r="N42350" s="1"/>
      <c r="V42350" s="5"/>
    </row>
    <row r="42351">
      <c r="N42351" s="1"/>
      <c r="V42351" s="5"/>
    </row>
    <row r="42352">
      <c r="N42352" s="1"/>
      <c r="V42352" s="5"/>
    </row>
    <row r="42353">
      <c r="N42353" s="1"/>
      <c r="V42353" s="5"/>
    </row>
    <row r="42354">
      <c r="N42354" s="1"/>
      <c r="V42354" s="5"/>
    </row>
    <row r="42355">
      <c r="N42355" s="1"/>
      <c r="V42355" s="5"/>
    </row>
    <row r="42356">
      <c r="N42356" s="1"/>
      <c r="V42356" s="5"/>
    </row>
    <row r="42357">
      <c r="N42357" s="1"/>
      <c r="V42357" s="5"/>
    </row>
    <row r="42358">
      <c r="N42358" s="1"/>
      <c r="V42358" s="5"/>
    </row>
    <row r="42359">
      <c r="N42359" s="1"/>
      <c r="V42359" s="5"/>
    </row>
    <row r="42360">
      <c r="N42360" s="1"/>
      <c r="V42360" s="5"/>
    </row>
    <row r="42361">
      <c r="N42361" s="1"/>
      <c r="V42361" s="5"/>
    </row>
    <row r="42362">
      <c r="N42362" s="1"/>
      <c r="V42362" s="5"/>
    </row>
    <row r="42363">
      <c r="N42363" s="1"/>
      <c r="V42363" s="5"/>
    </row>
    <row r="42364">
      <c r="N42364" s="1"/>
      <c r="V42364" s="5"/>
    </row>
    <row r="42365">
      <c r="N42365" s="1"/>
      <c r="V42365" s="5"/>
    </row>
    <row r="42366">
      <c r="N42366" s="1"/>
      <c r="V42366" s="5"/>
    </row>
    <row r="42367">
      <c r="N42367" s="1"/>
      <c r="V42367" s="5"/>
    </row>
    <row r="42368">
      <c r="N42368" s="1"/>
      <c r="V42368" s="5"/>
    </row>
    <row r="42369">
      <c r="N42369" s="1"/>
      <c r="V42369" s="5"/>
    </row>
    <row r="42370">
      <c r="N42370" s="1"/>
      <c r="V42370" s="5"/>
    </row>
    <row r="42371">
      <c r="N42371" s="1"/>
      <c r="V42371" s="5"/>
    </row>
    <row r="42372">
      <c r="N42372" s="1"/>
      <c r="V42372" s="5"/>
    </row>
    <row r="42373">
      <c r="N42373" s="1"/>
      <c r="V42373" s="5"/>
    </row>
    <row r="42374">
      <c r="N42374" s="1"/>
      <c r="V42374" s="5"/>
    </row>
    <row r="42375">
      <c r="N42375" s="1"/>
      <c r="V42375" s="5"/>
    </row>
    <row r="42376">
      <c r="N42376" s="1"/>
      <c r="V42376" s="5"/>
    </row>
    <row r="42377">
      <c r="N42377" s="1"/>
      <c r="V42377" s="5"/>
    </row>
    <row r="42378">
      <c r="N42378" s="1"/>
      <c r="V42378" s="5"/>
    </row>
    <row r="42379">
      <c r="N42379" s="1"/>
      <c r="V42379" s="5"/>
    </row>
    <row r="42380">
      <c r="N42380" s="1"/>
      <c r="V42380" s="5"/>
    </row>
    <row r="42381">
      <c r="N42381" s="1"/>
      <c r="V42381" s="5"/>
    </row>
    <row r="42382">
      <c r="N42382" s="1"/>
      <c r="V42382" s="5"/>
    </row>
    <row r="42383">
      <c r="N42383" s="1"/>
      <c r="V42383" s="5"/>
    </row>
    <row r="42384">
      <c r="N42384" s="1"/>
      <c r="V42384" s="5"/>
    </row>
    <row r="42385">
      <c r="N42385" s="1"/>
      <c r="V42385" s="5"/>
    </row>
    <row r="42386">
      <c r="N42386" s="1"/>
      <c r="V42386" s="5"/>
    </row>
    <row r="42387">
      <c r="N42387" s="1"/>
      <c r="V42387" s="5"/>
    </row>
    <row r="42388">
      <c r="N42388" s="1"/>
      <c r="V42388" s="5"/>
    </row>
    <row r="42389">
      <c r="N42389" s="1"/>
      <c r="V42389" s="5"/>
    </row>
    <row r="42390">
      <c r="N42390" s="1"/>
      <c r="V42390" s="5"/>
    </row>
    <row r="42391">
      <c r="N42391" s="1"/>
      <c r="V42391" s="5"/>
    </row>
    <row r="42392">
      <c r="N42392" s="1"/>
      <c r="V42392" s="5"/>
    </row>
    <row r="42393">
      <c r="N42393" s="1"/>
      <c r="V42393" s="5"/>
    </row>
    <row r="42394">
      <c r="N42394" s="1"/>
      <c r="V42394" s="5"/>
    </row>
    <row r="42395">
      <c r="N42395" s="1"/>
      <c r="V42395" s="5"/>
    </row>
    <row r="42396">
      <c r="N42396" s="1"/>
      <c r="V42396" s="5"/>
    </row>
    <row r="42397">
      <c r="N42397" s="1"/>
      <c r="V42397" s="5"/>
    </row>
    <row r="42398">
      <c r="N42398" s="1"/>
      <c r="V42398" s="5"/>
    </row>
    <row r="42399">
      <c r="N42399" s="1"/>
      <c r="V42399" s="5"/>
    </row>
    <row r="42400">
      <c r="N42400" s="1"/>
      <c r="V42400" s="5"/>
    </row>
    <row r="42401">
      <c r="N42401" s="1"/>
      <c r="V42401" s="5"/>
    </row>
    <row r="42402">
      <c r="N42402" s="1"/>
      <c r="V42402" s="5"/>
    </row>
    <row r="42403">
      <c r="N42403" s="1"/>
      <c r="V42403" s="5"/>
    </row>
    <row r="42404">
      <c r="N42404" s="1"/>
      <c r="V42404" s="5"/>
    </row>
    <row r="42405">
      <c r="N42405" s="1"/>
      <c r="V42405" s="5"/>
    </row>
    <row r="42406">
      <c r="N42406" s="1"/>
      <c r="V42406" s="5"/>
    </row>
    <row r="42407">
      <c r="N42407" s="1"/>
      <c r="V42407" s="5"/>
    </row>
    <row r="42408">
      <c r="N42408" s="1"/>
      <c r="V42408" s="5"/>
    </row>
    <row r="42409">
      <c r="N42409" s="1"/>
      <c r="V42409" s="5"/>
    </row>
    <row r="42410">
      <c r="N42410" s="1"/>
      <c r="V42410" s="5"/>
    </row>
    <row r="42411">
      <c r="N42411" s="1"/>
      <c r="V42411" s="5"/>
    </row>
    <row r="42412">
      <c r="N42412" s="1"/>
      <c r="V42412" s="5"/>
    </row>
    <row r="42413">
      <c r="N42413" s="1"/>
      <c r="V42413" s="5"/>
    </row>
    <row r="42414">
      <c r="N42414" s="1"/>
      <c r="V42414" s="5"/>
    </row>
    <row r="42415">
      <c r="N42415" s="1"/>
      <c r="V42415" s="5"/>
    </row>
    <row r="42416">
      <c r="N42416" s="1"/>
      <c r="V42416" s="5"/>
    </row>
    <row r="42417">
      <c r="N42417" s="1"/>
      <c r="V42417" s="5"/>
    </row>
    <row r="42418">
      <c r="N42418" s="1"/>
      <c r="V42418" s="5"/>
    </row>
    <row r="42419">
      <c r="N42419" s="1"/>
      <c r="V42419" s="5"/>
    </row>
    <row r="42420">
      <c r="N42420" s="1"/>
      <c r="V42420" s="5"/>
    </row>
    <row r="42421">
      <c r="N42421" s="1"/>
      <c r="V42421" s="5"/>
    </row>
    <row r="42422">
      <c r="N42422" s="1"/>
      <c r="V42422" s="5"/>
    </row>
    <row r="42423">
      <c r="N42423" s="1"/>
      <c r="V42423" s="5"/>
    </row>
    <row r="42424">
      <c r="N42424" s="1"/>
      <c r="V42424" s="5"/>
    </row>
    <row r="42425">
      <c r="N42425" s="1"/>
      <c r="V42425" s="5"/>
    </row>
    <row r="42426">
      <c r="N42426" s="1"/>
      <c r="V42426" s="5"/>
    </row>
    <row r="42427">
      <c r="N42427" s="1"/>
      <c r="V42427" s="5"/>
    </row>
    <row r="42428">
      <c r="N42428" s="1"/>
      <c r="V42428" s="5"/>
    </row>
    <row r="42429">
      <c r="N42429" s="1"/>
      <c r="V42429" s="5"/>
    </row>
    <row r="42430">
      <c r="N42430" s="1"/>
      <c r="V42430" s="5"/>
    </row>
    <row r="42431">
      <c r="N42431" s="1"/>
      <c r="V42431" s="5"/>
    </row>
    <row r="42432">
      <c r="N42432" s="1"/>
      <c r="V42432" s="5"/>
    </row>
    <row r="42433">
      <c r="N42433" s="1"/>
      <c r="V42433" s="5"/>
    </row>
    <row r="42434">
      <c r="N42434" s="1"/>
      <c r="V42434" s="5"/>
    </row>
    <row r="42435">
      <c r="N42435" s="1"/>
      <c r="V42435" s="5"/>
    </row>
    <row r="42436">
      <c r="N42436" s="1"/>
      <c r="V42436" s="5"/>
    </row>
    <row r="42437">
      <c r="N42437" s="1"/>
      <c r="V42437" s="5"/>
    </row>
    <row r="42438">
      <c r="N42438" s="1"/>
      <c r="V42438" s="5"/>
    </row>
    <row r="42439">
      <c r="N42439" s="1"/>
      <c r="V42439" s="5"/>
    </row>
    <row r="42440">
      <c r="N42440" s="1"/>
      <c r="V42440" s="5"/>
    </row>
    <row r="42441">
      <c r="N42441" s="1"/>
      <c r="V42441" s="5"/>
    </row>
    <row r="42442">
      <c r="N42442" s="1"/>
      <c r="V42442" s="5"/>
    </row>
    <row r="42443">
      <c r="N42443" s="1"/>
      <c r="V42443" s="5"/>
    </row>
    <row r="42444">
      <c r="N42444" s="1"/>
      <c r="V42444" s="5"/>
    </row>
    <row r="42445">
      <c r="N42445" s="1"/>
      <c r="V42445" s="5"/>
    </row>
    <row r="42446">
      <c r="N42446" s="1"/>
      <c r="V42446" s="5"/>
    </row>
    <row r="42447">
      <c r="N42447" s="1"/>
      <c r="V42447" s="5"/>
    </row>
    <row r="42448">
      <c r="N42448" s="1"/>
      <c r="V42448" s="5"/>
    </row>
    <row r="42449">
      <c r="N42449" s="1"/>
      <c r="V42449" s="5"/>
    </row>
    <row r="42450">
      <c r="N42450" s="1"/>
      <c r="V42450" s="5"/>
    </row>
    <row r="42451">
      <c r="N42451" s="1"/>
      <c r="V42451" s="5"/>
    </row>
    <row r="42452">
      <c r="N42452" s="1"/>
      <c r="V42452" s="5"/>
    </row>
    <row r="42453">
      <c r="N42453" s="1"/>
      <c r="V42453" s="5"/>
    </row>
    <row r="42454">
      <c r="N42454" s="1"/>
      <c r="V42454" s="5"/>
    </row>
    <row r="42455">
      <c r="N42455" s="1"/>
      <c r="V42455" s="5"/>
    </row>
    <row r="42456">
      <c r="N42456" s="1"/>
      <c r="V42456" s="5"/>
    </row>
    <row r="42457">
      <c r="N42457" s="1"/>
      <c r="V42457" s="5"/>
    </row>
    <row r="42458">
      <c r="N42458" s="1"/>
      <c r="V42458" s="5"/>
    </row>
    <row r="42459">
      <c r="N42459" s="1"/>
      <c r="V42459" s="5"/>
    </row>
    <row r="42460">
      <c r="N42460" s="1"/>
      <c r="V42460" s="5"/>
    </row>
    <row r="42461">
      <c r="N42461" s="1"/>
      <c r="V42461" s="5"/>
    </row>
    <row r="42462">
      <c r="N42462" s="1"/>
      <c r="V42462" s="5"/>
    </row>
    <row r="42463">
      <c r="N42463" s="1"/>
      <c r="V42463" s="5"/>
    </row>
    <row r="42464">
      <c r="N42464" s="1"/>
      <c r="V42464" s="5"/>
    </row>
    <row r="42465">
      <c r="N42465" s="1"/>
      <c r="V42465" s="5"/>
    </row>
    <row r="42466">
      <c r="N42466" s="1"/>
      <c r="V42466" s="5"/>
    </row>
    <row r="42467">
      <c r="N42467" s="1"/>
      <c r="V42467" s="5"/>
    </row>
    <row r="42468">
      <c r="N42468" s="1"/>
      <c r="V42468" s="5"/>
    </row>
    <row r="42469">
      <c r="N42469" s="1"/>
      <c r="V42469" s="5"/>
    </row>
    <row r="42470">
      <c r="N42470" s="1"/>
      <c r="V42470" s="5"/>
    </row>
    <row r="42471">
      <c r="N42471" s="1"/>
      <c r="V42471" s="5"/>
    </row>
    <row r="42472">
      <c r="N42472" s="1"/>
      <c r="V42472" s="5"/>
    </row>
    <row r="42473">
      <c r="N42473" s="1"/>
      <c r="V42473" s="5"/>
    </row>
    <row r="42474">
      <c r="N42474" s="1"/>
      <c r="V42474" s="5"/>
    </row>
    <row r="42475">
      <c r="N42475" s="1"/>
      <c r="V42475" s="5"/>
    </row>
    <row r="42476">
      <c r="N42476" s="1"/>
      <c r="V42476" s="5"/>
    </row>
    <row r="42477">
      <c r="N42477" s="1"/>
      <c r="V42477" s="5"/>
    </row>
    <row r="42478">
      <c r="N42478" s="1"/>
      <c r="V42478" s="5"/>
    </row>
    <row r="42479">
      <c r="N42479" s="1"/>
      <c r="V42479" s="5"/>
    </row>
    <row r="42480">
      <c r="N42480" s="1"/>
      <c r="V42480" s="5"/>
    </row>
    <row r="42481">
      <c r="N42481" s="1"/>
      <c r="V42481" s="5"/>
    </row>
    <row r="42482">
      <c r="N42482" s="1"/>
      <c r="V42482" s="5"/>
    </row>
    <row r="42483">
      <c r="N42483" s="1"/>
      <c r="V42483" s="5"/>
    </row>
    <row r="42484">
      <c r="N42484" s="1"/>
      <c r="V42484" s="5"/>
    </row>
    <row r="42485">
      <c r="N42485" s="1"/>
      <c r="V42485" s="5"/>
    </row>
    <row r="42486">
      <c r="N42486" s="1"/>
      <c r="V42486" s="5"/>
    </row>
    <row r="42487">
      <c r="N42487" s="1"/>
      <c r="V42487" s="5"/>
    </row>
    <row r="42488">
      <c r="N42488" s="1"/>
      <c r="V42488" s="5"/>
    </row>
    <row r="42489">
      <c r="N42489" s="1"/>
      <c r="V42489" s="5"/>
    </row>
    <row r="42490">
      <c r="N42490" s="1"/>
      <c r="V42490" s="5"/>
    </row>
    <row r="42491">
      <c r="N42491" s="1"/>
      <c r="V42491" s="5"/>
    </row>
    <row r="42492">
      <c r="N42492" s="1"/>
      <c r="V42492" s="5"/>
    </row>
    <row r="42493">
      <c r="N42493" s="1"/>
      <c r="V42493" s="5"/>
    </row>
    <row r="42494">
      <c r="N42494" s="1"/>
      <c r="V42494" s="5"/>
    </row>
    <row r="42495">
      <c r="N42495" s="1"/>
      <c r="V42495" s="5"/>
    </row>
    <row r="42496">
      <c r="N42496" s="1"/>
      <c r="V42496" s="5"/>
    </row>
    <row r="42497">
      <c r="N42497" s="1"/>
      <c r="V42497" s="5"/>
    </row>
    <row r="42498">
      <c r="N42498" s="1"/>
      <c r="V42498" s="5"/>
    </row>
    <row r="42499">
      <c r="N42499" s="1"/>
      <c r="V42499" s="5"/>
    </row>
    <row r="42500">
      <c r="N42500" s="1"/>
      <c r="V42500" s="5"/>
    </row>
    <row r="42501">
      <c r="N42501" s="1"/>
      <c r="V42501" s="5"/>
    </row>
    <row r="42502">
      <c r="N42502" s="1"/>
      <c r="V42502" s="5"/>
    </row>
    <row r="42503">
      <c r="N42503" s="1"/>
      <c r="V42503" s="5"/>
    </row>
    <row r="42504">
      <c r="N42504" s="1"/>
      <c r="V42504" s="5"/>
    </row>
    <row r="42505">
      <c r="N42505" s="1"/>
      <c r="V42505" s="5"/>
    </row>
    <row r="42506">
      <c r="N42506" s="1"/>
      <c r="V42506" s="5"/>
    </row>
    <row r="42507">
      <c r="N42507" s="1"/>
      <c r="V42507" s="5"/>
    </row>
    <row r="42508">
      <c r="N42508" s="1"/>
      <c r="V42508" s="5"/>
    </row>
    <row r="42509">
      <c r="N42509" s="1"/>
      <c r="V42509" s="5"/>
    </row>
    <row r="42510">
      <c r="N42510" s="1"/>
      <c r="V42510" s="5"/>
    </row>
    <row r="42511">
      <c r="N42511" s="1"/>
      <c r="V42511" s="5"/>
    </row>
    <row r="42512">
      <c r="N42512" s="1"/>
      <c r="V42512" s="5"/>
    </row>
    <row r="42513">
      <c r="N42513" s="1"/>
      <c r="V42513" s="5"/>
    </row>
    <row r="42514">
      <c r="N42514" s="1"/>
      <c r="V42514" s="5"/>
    </row>
    <row r="42515">
      <c r="N42515" s="1"/>
      <c r="V42515" s="5"/>
    </row>
    <row r="42516">
      <c r="N42516" s="1"/>
      <c r="V42516" s="5"/>
    </row>
    <row r="42517">
      <c r="N42517" s="1"/>
      <c r="V42517" s="5"/>
    </row>
    <row r="42518">
      <c r="N42518" s="1"/>
      <c r="V42518" s="5"/>
    </row>
    <row r="42519">
      <c r="N42519" s="1"/>
      <c r="V42519" s="5"/>
    </row>
    <row r="42520">
      <c r="N42520" s="1"/>
      <c r="V42520" s="5"/>
    </row>
    <row r="42521">
      <c r="N42521" s="1"/>
      <c r="V42521" s="5"/>
    </row>
    <row r="42522">
      <c r="N42522" s="1"/>
      <c r="V42522" s="5"/>
    </row>
    <row r="42523">
      <c r="N42523" s="1"/>
      <c r="V42523" s="5"/>
    </row>
    <row r="42524">
      <c r="N42524" s="1"/>
      <c r="V42524" s="5"/>
    </row>
    <row r="42525">
      <c r="N42525" s="1"/>
      <c r="V42525" s="5"/>
    </row>
    <row r="42526">
      <c r="N42526" s="1"/>
      <c r="V42526" s="5"/>
    </row>
    <row r="42527">
      <c r="N42527" s="1"/>
      <c r="V42527" s="5"/>
    </row>
    <row r="42528">
      <c r="N42528" s="1"/>
      <c r="V42528" s="5"/>
    </row>
    <row r="42529">
      <c r="N42529" s="1"/>
      <c r="V42529" s="5"/>
    </row>
    <row r="42530">
      <c r="N42530" s="1"/>
      <c r="V42530" s="5"/>
    </row>
    <row r="42531">
      <c r="N42531" s="1"/>
      <c r="V42531" s="5"/>
    </row>
    <row r="42532">
      <c r="N42532" s="1"/>
      <c r="V42532" s="5"/>
    </row>
    <row r="42533">
      <c r="N42533" s="1"/>
      <c r="V42533" s="5"/>
    </row>
    <row r="42534">
      <c r="N42534" s="1"/>
      <c r="V42534" s="5"/>
    </row>
    <row r="42535">
      <c r="N42535" s="1"/>
      <c r="V42535" s="5"/>
    </row>
    <row r="42536">
      <c r="N42536" s="1"/>
      <c r="V42536" s="5"/>
    </row>
    <row r="42537">
      <c r="N42537" s="1"/>
      <c r="V42537" s="5"/>
    </row>
    <row r="42538">
      <c r="N42538" s="1"/>
      <c r="V42538" s="5"/>
    </row>
    <row r="42539">
      <c r="N42539" s="1"/>
      <c r="V42539" s="5"/>
    </row>
    <row r="42540">
      <c r="N42540" s="1"/>
      <c r="V42540" s="5"/>
    </row>
    <row r="42541">
      <c r="N42541" s="1"/>
      <c r="V42541" s="5"/>
    </row>
    <row r="42542">
      <c r="N42542" s="1"/>
      <c r="V42542" s="5"/>
    </row>
    <row r="42543">
      <c r="N42543" s="1"/>
      <c r="V42543" s="5"/>
    </row>
    <row r="42544">
      <c r="N42544" s="1"/>
      <c r="V42544" s="5"/>
    </row>
    <row r="42545">
      <c r="N42545" s="1"/>
      <c r="V42545" s="5"/>
    </row>
    <row r="42546">
      <c r="N42546" s="1"/>
      <c r="V42546" s="5"/>
    </row>
    <row r="42547">
      <c r="N42547" s="1"/>
      <c r="V42547" s="5"/>
    </row>
    <row r="42548">
      <c r="N42548" s="1"/>
      <c r="V42548" s="5"/>
    </row>
    <row r="42549">
      <c r="N42549" s="1"/>
      <c r="V42549" s="5"/>
    </row>
    <row r="42550">
      <c r="N42550" s="1"/>
      <c r="V42550" s="5"/>
    </row>
    <row r="42551">
      <c r="N42551" s="1"/>
      <c r="V42551" s="5"/>
    </row>
    <row r="42552">
      <c r="N42552" s="1"/>
      <c r="V42552" s="5"/>
    </row>
    <row r="42553">
      <c r="N42553" s="1"/>
      <c r="V42553" s="5"/>
    </row>
    <row r="42554">
      <c r="N42554" s="1"/>
      <c r="V42554" s="5"/>
    </row>
    <row r="42555">
      <c r="N42555" s="1"/>
      <c r="V42555" s="5"/>
    </row>
    <row r="42556">
      <c r="N42556" s="1"/>
      <c r="V42556" s="5"/>
    </row>
    <row r="42557">
      <c r="N42557" s="1"/>
      <c r="V42557" s="5"/>
    </row>
    <row r="42558">
      <c r="N42558" s="1"/>
      <c r="V42558" s="5"/>
    </row>
    <row r="42559">
      <c r="N42559" s="1"/>
      <c r="V42559" s="5"/>
    </row>
    <row r="42560">
      <c r="N42560" s="1"/>
      <c r="V42560" s="5"/>
    </row>
    <row r="42561">
      <c r="N42561" s="1"/>
      <c r="V42561" s="5"/>
    </row>
    <row r="42562">
      <c r="N42562" s="1"/>
      <c r="V42562" s="5"/>
    </row>
    <row r="42563">
      <c r="N42563" s="1"/>
      <c r="V42563" s="5"/>
    </row>
    <row r="42564">
      <c r="N42564" s="1"/>
      <c r="V42564" s="5"/>
    </row>
    <row r="42565">
      <c r="N42565" s="1"/>
      <c r="V42565" s="5"/>
    </row>
    <row r="42566">
      <c r="N42566" s="1"/>
      <c r="V42566" s="5"/>
    </row>
    <row r="42567">
      <c r="N42567" s="1"/>
      <c r="V42567" s="5"/>
    </row>
    <row r="42568">
      <c r="N42568" s="1"/>
      <c r="V42568" s="5"/>
    </row>
    <row r="42569">
      <c r="N42569" s="1"/>
      <c r="V42569" s="5"/>
    </row>
    <row r="42570">
      <c r="N42570" s="1"/>
      <c r="V42570" s="5"/>
    </row>
    <row r="42571">
      <c r="N42571" s="1"/>
      <c r="V42571" s="5"/>
    </row>
    <row r="42572">
      <c r="N42572" s="1"/>
      <c r="V42572" s="5"/>
    </row>
    <row r="42573">
      <c r="N42573" s="1"/>
      <c r="V42573" s="5"/>
    </row>
    <row r="42574">
      <c r="N42574" s="1"/>
      <c r="V42574" s="5"/>
    </row>
    <row r="42575">
      <c r="N42575" s="1"/>
      <c r="V42575" s="5"/>
    </row>
    <row r="42576">
      <c r="N42576" s="1"/>
      <c r="V42576" s="5"/>
    </row>
    <row r="42577">
      <c r="N42577" s="1"/>
      <c r="V42577" s="5"/>
    </row>
    <row r="42578">
      <c r="N42578" s="1"/>
      <c r="V42578" s="5"/>
    </row>
    <row r="42579">
      <c r="N42579" s="1"/>
      <c r="V42579" s="5"/>
    </row>
    <row r="42580">
      <c r="N42580" s="1"/>
      <c r="V42580" s="5"/>
    </row>
    <row r="42581">
      <c r="N42581" s="1"/>
      <c r="V42581" s="5"/>
    </row>
    <row r="42582">
      <c r="N42582" s="1"/>
      <c r="V42582" s="5"/>
    </row>
    <row r="42583">
      <c r="N42583" s="1"/>
      <c r="V42583" s="5"/>
    </row>
    <row r="42584">
      <c r="N42584" s="1"/>
      <c r="V42584" s="5"/>
    </row>
    <row r="42585">
      <c r="N42585" s="1"/>
      <c r="V42585" s="5"/>
    </row>
    <row r="42586">
      <c r="N42586" s="1"/>
      <c r="V42586" s="5"/>
    </row>
    <row r="42587">
      <c r="N42587" s="1"/>
      <c r="V42587" s="5"/>
    </row>
    <row r="42588">
      <c r="N42588" s="1"/>
      <c r="V42588" s="5"/>
    </row>
    <row r="42589">
      <c r="N42589" s="1"/>
      <c r="V42589" s="5"/>
    </row>
    <row r="42590">
      <c r="N42590" s="1"/>
      <c r="V42590" s="5"/>
    </row>
    <row r="42591">
      <c r="N42591" s="1"/>
      <c r="V42591" s="5"/>
    </row>
    <row r="42592">
      <c r="N42592" s="1"/>
      <c r="V42592" s="5"/>
    </row>
    <row r="42593">
      <c r="N42593" s="1"/>
      <c r="V42593" s="5"/>
    </row>
    <row r="42594">
      <c r="N42594" s="1"/>
      <c r="V42594" s="5"/>
    </row>
    <row r="42595">
      <c r="N42595" s="1"/>
      <c r="V42595" s="5"/>
    </row>
    <row r="42596">
      <c r="N42596" s="1"/>
      <c r="V42596" s="5"/>
    </row>
    <row r="42597">
      <c r="N42597" s="1"/>
      <c r="V42597" s="5"/>
    </row>
    <row r="42598">
      <c r="N42598" s="1"/>
      <c r="V42598" s="5"/>
    </row>
    <row r="42599">
      <c r="N42599" s="1"/>
      <c r="V42599" s="5"/>
    </row>
    <row r="42600">
      <c r="N42600" s="1"/>
      <c r="V42600" s="5"/>
    </row>
    <row r="42601">
      <c r="N42601" s="1"/>
      <c r="V42601" s="5"/>
    </row>
    <row r="42602">
      <c r="N42602" s="1"/>
      <c r="V42602" s="5"/>
    </row>
    <row r="42603">
      <c r="N42603" s="1"/>
      <c r="V42603" s="5"/>
    </row>
    <row r="42604">
      <c r="N42604" s="1"/>
      <c r="V42604" s="5"/>
    </row>
    <row r="42605">
      <c r="N42605" s="1"/>
      <c r="V42605" s="5"/>
    </row>
    <row r="42606">
      <c r="N42606" s="1"/>
      <c r="V42606" s="5"/>
    </row>
    <row r="42607">
      <c r="N42607" s="1"/>
      <c r="V42607" s="5"/>
    </row>
    <row r="42608">
      <c r="N42608" s="1"/>
      <c r="V42608" s="5"/>
    </row>
    <row r="42609">
      <c r="N42609" s="1"/>
      <c r="V42609" s="5"/>
    </row>
    <row r="42610">
      <c r="N42610" s="1"/>
      <c r="V42610" s="5"/>
    </row>
    <row r="42611">
      <c r="N42611" s="1"/>
      <c r="V42611" s="5"/>
    </row>
    <row r="42612">
      <c r="N42612" s="1"/>
      <c r="V42612" s="5"/>
    </row>
    <row r="42613">
      <c r="N42613" s="1"/>
      <c r="V42613" s="5"/>
    </row>
    <row r="42614">
      <c r="N42614" s="1"/>
      <c r="V42614" s="5"/>
    </row>
    <row r="42615">
      <c r="N42615" s="1"/>
      <c r="V42615" s="5"/>
    </row>
    <row r="42616">
      <c r="N42616" s="1"/>
      <c r="V42616" s="5"/>
    </row>
    <row r="42617">
      <c r="N42617" s="1"/>
      <c r="V42617" s="5"/>
    </row>
    <row r="42618">
      <c r="N42618" s="1"/>
      <c r="V42618" s="5"/>
    </row>
    <row r="42619">
      <c r="N42619" s="1"/>
      <c r="V42619" s="5"/>
    </row>
    <row r="42620">
      <c r="N42620" s="1"/>
      <c r="V42620" s="5"/>
    </row>
    <row r="42621">
      <c r="N42621" s="1"/>
      <c r="V42621" s="5"/>
    </row>
    <row r="42622">
      <c r="N42622" s="1"/>
      <c r="V42622" s="5"/>
    </row>
    <row r="42623">
      <c r="N42623" s="1"/>
      <c r="V42623" s="5"/>
    </row>
    <row r="42624">
      <c r="N42624" s="1"/>
      <c r="V42624" s="5"/>
    </row>
    <row r="42625">
      <c r="N42625" s="1"/>
      <c r="V42625" s="5"/>
    </row>
    <row r="42626">
      <c r="N42626" s="1"/>
      <c r="V42626" s="5"/>
    </row>
    <row r="42627">
      <c r="N42627" s="1"/>
      <c r="V42627" s="5"/>
    </row>
    <row r="42628">
      <c r="N42628" s="1"/>
      <c r="V42628" s="5"/>
    </row>
    <row r="42629">
      <c r="N42629" s="1"/>
      <c r="V42629" s="5"/>
    </row>
    <row r="42630">
      <c r="N42630" s="1"/>
      <c r="V42630" s="5"/>
    </row>
    <row r="42631">
      <c r="N42631" s="1"/>
      <c r="V42631" s="5"/>
    </row>
    <row r="42632">
      <c r="N42632" s="1"/>
      <c r="V42632" s="5"/>
    </row>
    <row r="42633">
      <c r="N42633" s="1"/>
      <c r="V42633" s="5"/>
    </row>
    <row r="42634">
      <c r="N42634" s="1"/>
      <c r="V42634" s="5"/>
    </row>
    <row r="42635">
      <c r="N42635" s="1"/>
      <c r="V42635" s="5"/>
    </row>
    <row r="42636">
      <c r="N42636" s="1"/>
      <c r="V42636" s="5"/>
    </row>
    <row r="42637">
      <c r="N42637" s="1"/>
      <c r="V42637" s="5"/>
    </row>
    <row r="42638">
      <c r="N42638" s="1"/>
      <c r="V42638" s="5"/>
    </row>
    <row r="42639">
      <c r="N42639" s="1"/>
      <c r="V42639" s="5"/>
    </row>
    <row r="42640">
      <c r="N42640" s="1"/>
      <c r="V42640" s="5"/>
    </row>
    <row r="42641">
      <c r="N42641" s="1"/>
      <c r="V42641" s="5"/>
    </row>
    <row r="42642">
      <c r="N42642" s="1"/>
      <c r="V42642" s="5"/>
    </row>
    <row r="42643">
      <c r="N42643" s="1"/>
      <c r="V42643" s="5"/>
    </row>
    <row r="42644">
      <c r="N42644" s="1"/>
      <c r="V42644" s="5"/>
    </row>
    <row r="42645">
      <c r="N42645" s="1"/>
      <c r="V42645" s="5"/>
    </row>
    <row r="42646">
      <c r="N42646" s="1"/>
      <c r="V42646" s="5"/>
    </row>
    <row r="42647">
      <c r="N42647" s="1"/>
      <c r="V42647" s="5"/>
    </row>
    <row r="42648">
      <c r="N42648" s="1"/>
      <c r="V42648" s="5"/>
    </row>
    <row r="42649">
      <c r="N42649" s="1"/>
      <c r="V42649" s="5"/>
    </row>
    <row r="42650">
      <c r="N42650" s="1"/>
      <c r="V42650" s="5"/>
    </row>
    <row r="42651">
      <c r="N42651" s="1"/>
      <c r="V42651" s="5"/>
    </row>
    <row r="42652">
      <c r="N42652" s="1"/>
      <c r="V42652" s="5"/>
    </row>
    <row r="42653">
      <c r="N42653" s="1"/>
      <c r="V42653" s="5"/>
    </row>
    <row r="42654">
      <c r="N42654" s="1"/>
      <c r="V42654" s="5"/>
    </row>
    <row r="42655">
      <c r="N42655" s="1"/>
      <c r="V42655" s="5"/>
    </row>
    <row r="42656">
      <c r="N42656" s="1"/>
      <c r="V42656" s="5"/>
    </row>
    <row r="42657">
      <c r="N42657" s="1"/>
      <c r="V42657" s="5"/>
    </row>
    <row r="42658">
      <c r="N42658" s="1"/>
      <c r="V42658" s="5"/>
    </row>
    <row r="42659">
      <c r="N42659" s="1"/>
      <c r="V42659" s="5"/>
    </row>
    <row r="42660">
      <c r="N42660" s="1"/>
      <c r="V42660" s="5"/>
    </row>
    <row r="42661">
      <c r="N42661" s="1"/>
      <c r="V42661" s="5"/>
    </row>
    <row r="42662">
      <c r="N42662" s="1"/>
      <c r="V42662" s="5"/>
    </row>
    <row r="42663">
      <c r="N42663" s="1"/>
      <c r="V42663" s="5"/>
    </row>
    <row r="42664">
      <c r="N42664" s="1"/>
      <c r="V42664" s="5"/>
    </row>
    <row r="42665">
      <c r="N42665" s="1"/>
      <c r="V42665" s="5"/>
    </row>
    <row r="42666">
      <c r="N42666" s="1"/>
      <c r="V42666" s="5"/>
    </row>
    <row r="42667">
      <c r="N42667" s="1"/>
      <c r="V42667" s="5"/>
    </row>
    <row r="42668">
      <c r="N42668" s="1"/>
      <c r="V42668" s="5"/>
    </row>
    <row r="42669">
      <c r="N42669" s="1"/>
      <c r="V42669" s="5"/>
    </row>
    <row r="42670">
      <c r="N42670" s="1"/>
      <c r="V42670" s="5"/>
    </row>
    <row r="42671">
      <c r="N42671" s="1"/>
      <c r="V42671" s="5"/>
    </row>
    <row r="42672">
      <c r="N42672" s="1"/>
      <c r="V42672" s="5"/>
    </row>
    <row r="42673">
      <c r="N42673" s="1"/>
      <c r="V42673" s="5"/>
    </row>
    <row r="42674">
      <c r="N42674" s="1"/>
      <c r="V42674" s="5"/>
    </row>
    <row r="42675">
      <c r="N42675" s="1"/>
      <c r="V42675" s="5"/>
    </row>
    <row r="42676">
      <c r="N42676" s="1"/>
      <c r="V42676" s="5"/>
    </row>
    <row r="42677">
      <c r="N42677" s="1"/>
      <c r="V42677" s="5"/>
    </row>
    <row r="42678">
      <c r="N42678" s="1"/>
      <c r="V42678" s="5"/>
    </row>
    <row r="42679">
      <c r="N42679" s="1"/>
      <c r="V42679" s="5"/>
    </row>
    <row r="42680">
      <c r="N42680" s="1"/>
      <c r="V42680" s="5"/>
    </row>
    <row r="42681">
      <c r="N42681" s="1"/>
      <c r="V42681" s="5"/>
    </row>
    <row r="42682">
      <c r="N42682" s="1"/>
      <c r="V42682" s="5"/>
    </row>
    <row r="42683">
      <c r="N42683" s="1"/>
      <c r="V42683" s="5"/>
    </row>
    <row r="42684">
      <c r="N42684" s="1"/>
      <c r="V42684" s="5"/>
    </row>
    <row r="42685">
      <c r="N42685" s="1"/>
      <c r="V42685" s="5"/>
    </row>
    <row r="42686">
      <c r="N42686" s="1"/>
      <c r="V42686" s="5"/>
    </row>
    <row r="42687">
      <c r="N42687" s="1"/>
      <c r="V42687" s="5"/>
    </row>
    <row r="42688">
      <c r="N42688" s="1"/>
      <c r="V42688" s="5"/>
    </row>
    <row r="42689">
      <c r="N42689" s="1"/>
      <c r="V42689" s="5"/>
    </row>
    <row r="42690">
      <c r="N42690" s="1"/>
      <c r="V42690" s="5"/>
    </row>
    <row r="42691">
      <c r="N42691" s="1"/>
      <c r="V42691" s="5"/>
    </row>
    <row r="42692">
      <c r="N42692" s="1"/>
      <c r="V42692" s="5"/>
    </row>
    <row r="42693">
      <c r="N42693" s="1"/>
      <c r="V42693" s="5"/>
    </row>
    <row r="42694">
      <c r="N42694" s="1"/>
      <c r="V42694" s="5"/>
    </row>
    <row r="42695">
      <c r="N42695" s="1"/>
      <c r="V42695" s="5"/>
    </row>
    <row r="42696">
      <c r="N42696" s="1"/>
      <c r="V42696" s="5"/>
    </row>
    <row r="42697">
      <c r="N42697" s="1"/>
      <c r="V42697" s="5"/>
    </row>
    <row r="42698">
      <c r="N42698" s="1"/>
      <c r="V42698" s="5"/>
    </row>
    <row r="42699">
      <c r="N42699" s="1"/>
      <c r="V42699" s="5"/>
    </row>
    <row r="42700">
      <c r="N42700" s="1"/>
      <c r="V42700" s="5"/>
    </row>
    <row r="42701">
      <c r="N42701" s="1"/>
      <c r="V42701" s="5"/>
    </row>
    <row r="42702">
      <c r="N42702" s="1"/>
      <c r="V42702" s="5"/>
    </row>
    <row r="42703">
      <c r="N42703" s="1"/>
      <c r="V42703" s="5"/>
    </row>
    <row r="42704">
      <c r="N42704" s="1"/>
      <c r="V42704" s="5"/>
    </row>
    <row r="42705">
      <c r="N42705" s="1"/>
      <c r="V42705" s="5"/>
    </row>
    <row r="42706">
      <c r="N42706" s="1"/>
      <c r="V42706" s="5"/>
    </row>
    <row r="42707">
      <c r="N42707" s="1"/>
      <c r="V42707" s="5"/>
    </row>
    <row r="42708">
      <c r="N42708" s="1"/>
      <c r="V42708" s="5"/>
    </row>
    <row r="42709">
      <c r="N42709" s="1"/>
      <c r="V42709" s="5"/>
    </row>
    <row r="42710">
      <c r="N42710" s="1"/>
      <c r="V42710" s="5"/>
    </row>
    <row r="42711">
      <c r="N42711" s="1"/>
      <c r="V42711" s="5"/>
    </row>
    <row r="42712">
      <c r="N42712" s="1"/>
      <c r="V42712" s="5"/>
    </row>
    <row r="42713">
      <c r="N42713" s="1"/>
      <c r="V42713" s="5"/>
    </row>
    <row r="42714">
      <c r="N42714" s="1"/>
      <c r="V42714" s="5"/>
    </row>
    <row r="42715">
      <c r="N42715" s="1"/>
      <c r="V42715" s="5"/>
    </row>
    <row r="42716">
      <c r="N42716" s="1"/>
      <c r="V42716" s="5"/>
    </row>
    <row r="42717">
      <c r="N42717" s="1"/>
      <c r="V42717" s="5"/>
    </row>
    <row r="42718">
      <c r="N42718" s="1"/>
      <c r="V42718" s="5"/>
    </row>
    <row r="42719">
      <c r="N42719" s="1"/>
      <c r="V42719" s="5"/>
    </row>
    <row r="42720">
      <c r="N42720" s="1"/>
      <c r="V42720" s="5"/>
    </row>
    <row r="42721">
      <c r="N42721" s="1"/>
      <c r="V42721" s="5"/>
    </row>
    <row r="42722">
      <c r="N42722" s="1"/>
      <c r="V42722" s="5"/>
    </row>
    <row r="42723">
      <c r="N42723" s="1"/>
      <c r="V42723" s="5"/>
    </row>
    <row r="42724">
      <c r="N42724" s="1"/>
      <c r="V42724" s="5"/>
    </row>
    <row r="42725">
      <c r="N42725" s="1"/>
      <c r="V42725" s="5"/>
    </row>
    <row r="42726">
      <c r="N42726" s="1"/>
      <c r="V42726" s="5"/>
    </row>
    <row r="42727">
      <c r="N42727" s="1"/>
      <c r="V42727" s="5"/>
    </row>
    <row r="42728">
      <c r="N42728" s="1"/>
      <c r="V42728" s="5"/>
    </row>
    <row r="42729">
      <c r="N42729" s="1"/>
      <c r="V42729" s="5"/>
    </row>
    <row r="42730">
      <c r="N42730" s="1"/>
      <c r="V42730" s="5"/>
    </row>
    <row r="42731">
      <c r="N42731" s="1"/>
      <c r="V42731" s="5"/>
    </row>
    <row r="42732">
      <c r="N42732" s="1"/>
      <c r="V42732" s="5"/>
    </row>
    <row r="42733">
      <c r="N42733" s="1"/>
      <c r="V42733" s="5"/>
    </row>
    <row r="42734">
      <c r="N42734" s="1"/>
      <c r="V42734" s="5"/>
    </row>
    <row r="42735">
      <c r="N42735" s="1"/>
      <c r="V42735" s="5"/>
    </row>
    <row r="42736">
      <c r="N42736" s="1"/>
      <c r="V42736" s="5"/>
    </row>
    <row r="42737">
      <c r="N42737" s="1"/>
      <c r="V42737" s="5"/>
    </row>
    <row r="42738">
      <c r="N42738" s="1"/>
      <c r="V42738" s="5"/>
    </row>
    <row r="42739">
      <c r="N42739" s="1"/>
      <c r="V42739" s="5"/>
    </row>
    <row r="42740">
      <c r="N42740" s="1"/>
      <c r="V42740" s="5"/>
    </row>
    <row r="42741">
      <c r="N42741" s="1"/>
      <c r="V42741" s="5"/>
    </row>
    <row r="42742">
      <c r="N42742" s="1"/>
      <c r="V42742" s="5"/>
    </row>
    <row r="42743">
      <c r="N42743" s="1"/>
      <c r="V42743" s="5"/>
    </row>
    <row r="42744">
      <c r="N42744" s="1"/>
      <c r="V42744" s="5"/>
    </row>
    <row r="42745">
      <c r="N42745" s="1"/>
      <c r="V42745" s="5"/>
    </row>
    <row r="42746">
      <c r="N42746" s="1"/>
      <c r="V42746" s="5"/>
    </row>
    <row r="42747">
      <c r="N42747" s="1"/>
      <c r="V42747" s="5"/>
    </row>
    <row r="42748">
      <c r="N42748" s="1"/>
      <c r="V42748" s="5"/>
    </row>
    <row r="42749">
      <c r="N42749" s="1"/>
      <c r="V42749" s="5"/>
    </row>
    <row r="42750">
      <c r="N42750" s="1"/>
      <c r="V42750" s="5"/>
    </row>
    <row r="42751">
      <c r="N42751" s="1"/>
      <c r="V42751" s="5"/>
    </row>
    <row r="42752">
      <c r="N42752" s="1"/>
      <c r="V42752" s="5"/>
    </row>
    <row r="42753">
      <c r="N42753" s="1"/>
      <c r="V42753" s="5"/>
    </row>
    <row r="42754">
      <c r="N42754" s="1"/>
      <c r="V42754" s="5"/>
    </row>
    <row r="42755">
      <c r="N42755" s="1"/>
      <c r="V42755" s="5"/>
    </row>
    <row r="42756">
      <c r="N42756" s="1"/>
      <c r="V42756" s="5"/>
    </row>
    <row r="42757">
      <c r="N42757" s="1"/>
      <c r="V42757" s="5"/>
    </row>
    <row r="42758">
      <c r="N42758" s="1"/>
      <c r="V42758" s="5"/>
    </row>
    <row r="42759">
      <c r="N42759" s="1"/>
      <c r="V42759" s="5"/>
    </row>
    <row r="42760">
      <c r="N42760" s="1"/>
      <c r="V42760" s="5"/>
    </row>
    <row r="42761">
      <c r="N42761" s="1"/>
      <c r="V42761" s="5"/>
    </row>
    <row r="42762">
      <c r="N42762" s="1"/>
      <c r="V42762" s="5"/>
    </row>
    <row r="42763">
      <c r="N42763" s="1"/>
      <c r="V42763" s="5"/>
    </row>
    <row r="42764">
      <c r="N42764" s="1"/>
      <c r="V42764" s="5"/>
    </row>
    <row r="42765">
      <c r="N42765" s="1"/>
      <c r="V42765" s="5"/>
    </row>
    <row r="42766">
      <c r="N42766" s="1"/>
      <c r="V42766" s="5"/>
    </row>
    <row r="42767">
      <c r="N42767" s="1"/>
      <c r="V42767" s="5"/>
    </row>
    <row r="42768">
      <c r="N42768" s="1"/>
      <c r="V42768" s="5"/>
    </row>
    <row r="42769">
      <c r="N42769" s="1"/>
      <c r="V42769" s="5"/>
    </row>
    <row r="42770">
      <c r="N42770" s="1"/>
      <c r="V42770" s="5"/>
    </row>
    <row r="42771">
      <c r="N42771" s="1"/>
      <c r="V42771" s="5"/>
    </row>
    <row r="42772">
      <c r="N42772" s="1"/>
      <c r="V42772" s="5"/>
    </row>
    <row r="42773">
      <c r="N42773" s="1"/>
      <c r="V42773" s="5"/>
    </row>
    <row r="42774">
      <c r="N42774" s="1"/>
      <c r="V42774" s="5"/>
    </row>
    <row r="42775">
      <c r="N42775" s="1"/>
      <c r="V42775" s="5"/>
    </row>
    <row r="42776">
      <c r="N42776" s="1"/>
      <c r="V42776" s="5"/>
    </row>
    <row r="42777">
      <c r="N42777" s="1"/>
      <c r="V42777" s="5"/>
    </row>
    <row r="42778">
      <c r="N42778" s="1"/>
      <c r="V42778" s="5"/>
    </row>
    <row r="42779">
      <c r="N42779" s="1"/>
      <c r="V42779" s="5"/>
    </row>
    <row r="42780">
      <c r="N42780" s="1"/>
      <c r="V42780" s="5"/>
    </row>
    <row r="42781">
      <c r="N42781" s="1"/>
      <c r="V42781" s="5"/>
    </row>
    <row r="42782">
      <c r="N42782" s="1"/>
      <c r="V42782" s="5"/>
    </row>
    <row r="42783">
      <c r="N42783" s="1"/>
      <c r="V42783" s="5"/>
    </row>
    <row r="42784">
      <c r="N42784" s="1"/>
      <c r="V42784" s="5"/>
    </row>
    <row r="42785">
      <c r="N42785" s="1"/>
      <c r="V42785" s="5"/>
    </row>
    <row r="42786">
      <c r="N42786" s="1"/>
      <c r="V42786" s="5"/>
    </row>
    <row r="42787">
      <c r="N42787" s="1"/>
      <c r="V42787" s="5"/>
    </row>
    <row r="42788">
      <c r="N42788" s="1"/>
      <c r="V42788" s="5"/>
    </row>
    <row r="42789">
      <c r="N42789" s="1"/>
      <c r="V42789" s="5"/>
    </row>
    <row r="42790">
      <c r="N42790" s="1"/>
      <c r="V42790" s="5"/>
    </row>
    <row r="42791">
      <c r="N42791" s="1"/>
      <c r="V42791" s="5"/>
    </row>
    <row r="42792">
      <c r="N42792" s="1"/>
      <c r="V42792" s="5"/>
    </row>
    <row r="42793">
      <c r="N42793" s="1"/>
      <c r="V42793" s="5"/>
    </row>
    <row r="42794">
      <c r="N42794" s="1"/>
      <c r="V42794" s="5"/>
    </row>
    <row r="42795">
      <c r="N42795" s="1"/>
      <c r="V42795" s="5"/>
    </row>
    <row r="42796">
      <c r="N42796" s="1"/>
      <c r="V42796" s="5"/>
    </row>
    <row r="42797">
      <c r="N42797" s="1"/>
      <c r="V42797" s="5"/>
    </row>
    <row r="42798">
      <c r="N42798" s="1"/>
      <c r="V42798" s="5"/>
    </row>
    <row r="42799">
      <c r="N42799" s="1"/>
      <c r="V42799" s="5"/>
    </row>
    <row r="42800">
      <c r="N42800" s="1"/>
      <c r="V42800" s="5"/>
    </row>
    <row r="42801">
      <c r="N42801" s="1"/>
      <c r="V42801" s="5"/>
    </row>
    <row r="42802">
      <c r="N42802" s="1"/>
      <c r="V42802" s="5"/>
    </row>
    <row r="42803">
      <c r="N42803" s="1"/>
      <c r="V42803" s="5"/>
    </row>
    <row r="42804">
      <c r="N42804" s="1"/>
      <c r="V42804" s="5"/>
    </row>
    <row r="42805">
      <c r="N42805" s="1"/>
      <c r="V42805" s="5"/>
    </row>
    <row r="42806">
      <c r="N42806" s="1"/>
      <c r="V42806" s="5"/>
    </row>
    <row r="42807">
      <c r="N42807" s="1"/>
      <c r="V42807" s="5"/>
    </row>
    <row r="42808">
      <c r="N42808" s="1"/>
      <c r="V42808" s="5"/>
    </row>
    <row r="42809">
      <c r="N42809" s="1"/>
      <c r="V42809" s="5"/>
    </row>
    <row r="42810">
      <c r="N42810" s="1"/>
      <c r="V42810" s="5"/>
    </row>
    <row r="42811">
      <c r="N42811" s="1"/>
      <c r="V42811" s="5"/>
    </row>
    <row r="42812">
      <c r="N42812" s="1"/>
      <c r="V42812" s="5"/>
    </row>
    <row r="42813">
      <c r="N42813" s="1"/>
      <c r="V42813" s="5"/>
    </row>
    <row r="42814">
      <c r="N42814" s="1"/>
      <c r="V42814" s="5"/>
    </row>
    <row r="42815">
      <c r="N42815" s="1"/>
      <c r="V42815" s="5"/>
    </row>
    <row r="42816">
      <c r="N42816" s="1"/>
      <c r="V42816" s="5"/>
    </row>
    <row r="42817">
      <c r="N42817" s="1"/>
      <c r="V42817" s="5"/>
    </row>
    <row r="42818">
      <c r="N42818" s="1"/>
      <c r="V42818" s="5"/>
    </row>
    <row r="42819">
      <c r="N42819" s="1"/>
      <c r="V42819" s="5"/>
    </row>
    <row r="42820">
      <c r="N42820" s="1"/>
      <c r="V42820" s="5"/>
    </row>
    <row r="42821">
      <c r="N42821" s="1"/>
      <c r="V42821" s="5"/>
    </row>
    <row r="42822">
      <c r="N42822" s="1"/>
      <c r="V42822" s="5"/>
    </row>
    <row r="42823">
      <c r="N42823" s="1"/>
      <c r="V42823" s="5"/>
    </row>
    <row r="42824">
      <c r="N42824" s="1"/>
      <c r="V42824" s="5"/>
    </row>
    <row r="42825">
      <c r="N42825" s="1"/>
      <c r="V42825" s="5"/>
    </row>
    <row r="42826">
      <c r="N42826" s="1"/>
      <c r="V42826" s="5"/>
    </row>
    <row r="42827">
      <c r="N42827" s="1"/>
      <c r="V42827" s="5"/>
    </row>
    <row r="42828">
      <c r="N42828" s="1"/>
      <c r="V42828" s="5"/>
    </row>
    <row r="42829">
      <c r="N42829" s="1"/>
      <c r="V42829" s="5"/>
    </row>
    <row r="42830">
      <c r="N42830" s="1"/>
      <c r="V42830" s="5"/>
    </row>
    <row r="42831">
      <c r="N42831" s="1"/>
      <c r="V42831" s="5"/>
    </row>
    <row r="42832">
      <c r="N42832" s="1"/>
      <c r="V42832" s="5"/>
    </row>
    <row r="42833">
      <c r="N42833" s="1"/>
      <c r="V42833" s="5"/>
    </row>
    <row r="42834">
      <c r="N42834" s="1"/>
      <c r="V42834" s="5"/>
    </row>
    <row r="42835">
      <c r="N42835" s="1"/>
      <c r="V42835" s="5"/>
    </row>
    <row r="42836">
      <c r="N42836" s="1"/>
      <c r="V42836" s="5"/>
    </row>
    <row r="42837">
      <c r="N42837" s="1"/>
      <c r="V42837" s="5"/>
    </row>
    <row r="42838">
      <c r="N42838" s="1"/>
      <c r="V42838" s="5"/>
    </row>
    <row r="42839">
      <c r="N42839" s="1"/>
      <c r="V42839" s="5"/>
    </row>
    <row r="42840">
      <c r="N42840" s="1"/>
      <c r="V42840" s="5"/>
    </row>
    <row r="42841">
      <c r="N42841" s="1"/>
      <c r="V42841" s="5"/>
    </row>
    <row r="42842">
      <c r="N42842" s="1"/>
      <c r="V42842" s="5"/>
    </row>
    <row r="42843">
      <c r="N42843" s="1"/>
      <c r="V42843" s="5"/>
    </row>
    <row r="42844">
      <c r="N42844" s="1"/>
      <c r="V42844" s="5"/>
    </row>
    <row r="42845">
      <c r="N42845" s="1"/>
      <c r="V42845" s="5"/>
    </row>
    <row r="42846">
      <c r="N42846" s="1"/>
      <c r="V42846" s="5"/>
    </row>
    <row r="42847">
      <c r="N42847" s="1"/>
      <c r="V42847" s="5"/>
    </row>
    <row r="42848">
      <c r="N42848" s="1"/>
      <c r="V42848" s="5"/>
    </row>
    <row r="42849">
      <c r="N42849" s="1"/>
      <c r="V42849" s="5"/>
    </row>
    <row r="42850">
      <c r="N42850" s="1"/>
      <c r="V42850" s="5"/>
    </row>
    <row r="42851">
      <c r="N42851" s="1"/>
      <c r="V42851" s="5"/>
    </row>
    <row r="42852">
      <c r="N42852" s="1"/>
      <c r="V42852" s="5"/>
    </row>
    <row r="42853">
      <c r="N42853" s="1"/>
      <c r="V42853" s="5"/>
    </row>
    <row r="42854">
      <c r="N42854" s="1"/>
      <c r="V42854" s="5"/>
    </row>
    <row r="42855">
      <c r="N42855" s="1"/>
      <c r="V42855" s="5"/>
    </row>
    <row r="42856">
      <c r="N42856" s="1"/>
      <c r="V42856" s="5"/>
    </row>
    <row r="42857">
      <c r="N42857" s="1"/>
      <c r="V42857" s="5"/>
    </row>
    <row r="42858">
      <c r="N42858" s="1"/>
      <c r="V42858" s="5"/>
    </row>
    <row r="42859">
      <c r="N42859" s="1"/>
      <c r="V42859" s="5"/>
    </row>
    <row r="42860">
      <c r="N42860" s="1"/>
      <c r="V42860" s="5"/>
    </row>
    <row r="42861">
      <c r="N42861" s="1"/>
      <c r="V42861" s="5"/>
    </row>
    <row r="42862">
      <c r="N42862" s="1"/>
      <c r="V42862" s="5"/>
    </row>
    <row r="42863">
      <c r="N42863" s="1"/>
      <c r="V42863" s="5"/>
    </row>
    <row r="42864">
      <c r="N42864" s="1"/>
      <c r="V42864" s="5"/>
    </row>
    <row r="42865">
      <c r="N42865" s="1"/>
      <c r="V42865" s="5"/>
    </row>
    <row r="42866">
      <c r="N42866" s="1"/>
      <c r="V42866" s="5"/>
    </row>
    <row r="42867">
      <c r="N42867" s="1"/>
      <c r="V42867" s="5"/>
    </row>
    <row r="42868">
      <c r="N42868" s="1"/>
      <c r="V42868" s="5"/>
    </row>
    <row r="42869">
      <c r="N42869" s="1"/>
      <c r="V42869" s="5"/>
    </row>
    <row r="42870">
      <c r="N42870" s="1"/>
      <c r="V42870" s="5"/>
    </row>
    <row r="42871">
      <c r="N42871" s="1"/>
      <c r="V42871" s="5"/>
    </row>
    <row r="42872">
      <c r="N42872" s="1"/>
      <c r="V42872" s="5"/>
    </row>
    <row r="42873">
      <c r="N42873" s="1"/>
      <c r="V42873" s="5"/>
    </row>
    <row r="42874">
      <c r="N42874" s="1"/>
      <c r="V42874" s="5"/>
    </row>
    <row r="42875">
      <c r="N42875" s="1"/>
      <c r="V42875" s="5"/>
    </row>
    <row r="42876">
      <c r="N42876" s="1"/>
      <c r="V42876" s="5"/>
    </row>
    <row r="42877">
      <c r="N42877" s="1"/>
      <c r="V42877" s="5"/>
    </row>
    <row r="42878">
      <c r="N42878" s="1"/>
      <c r="V42878" s="5"/>
    </row>
    <row r="42879">
      <c r="N42879" s="1"/>
      <c r="V42879" s="5"/>
    </row>
    <row r="42880">
      <c r="N42880" s="1"/>
      <c r="V42880" s="5"/>
    </row>
    <row r="42881">
      <c r="N42881" s="1"/>
      <c r="V42881" s="5"/>
    </row>
    <row r="42882">
      <c r="N42882" s="1"/>
      <c r="V42882" s="5"/>
    </row>
    <row r="42883">
      <c r="N42883" s="1"/>
      <c r="V42883" s="5"/>
    </row>
    <row r="42884">
      <c r="N42884" s="1"/>
      <c r="V42884" s="5"/>
    </row>
    <row r="42885">
      <c r="N42885" s="1"/>
      <c r="V42885" s="5"/>
    </row>
    <row r="42886">
      <c r="N42886" s="1"/>
      <c r="V42886" s="5"/>
    </row>
    <row r="42887">
      <c r="N42887" s="1"/>
      <c r="V42887" s="5"/>
    </row>
    <row r="42888">
      <c r="N42888" s="1"/>
      <c r="V42888" s="5"/>
    </row>
    <row r="42889">
      <c r="N42889" s="1"/>
      <c r="V42889" s="5"/>
    </row>
    <row r="42890">
      <c r="N42890" s="1"/>
      <c r="V42890" s="5"/>
    </row>
    <row r="42891">
      <c r="N42891" s="1"/>
      <c r="V42891" s="5"/>
    </row>
    <row r="42892">
      <c r="N42892" s="1"/>
      <c r="V42892" s="5"/>
    </row>
    <row r="42893">
      <c r="N42893" s="1"/>
      <c r="V42893" s="5"/>
    </row>
    <row r="42894">
      <c r="N42894" s="1"/>
      <c r="V42894" s="5"/>
    </row>
    <row r="42895">
      <c r="N42895" s="1"/>
      <c r="V42895" s="5"/>
    </row>
    <row r="42896">
      <c r="N42896" s="1"/>
      <c r="V42896" s="5"/>
    </row>
    <row r="42897">
      <c r="N42897" s="1"/>
      <c r="V42897" s="5"/>
    </row>
    <row r="42898">
      <c r="N42898" s="1"/>
      <c r="V42898" s="5"/>
    </row>
    <row r="42899">
      <c r="N42899" s="1"/>
      <c r="V42899" s="5"/>
    </row>
    <row r="42900">
      <c r="N42900" s="1"/>
      <c r="V42900" s="5"/>
    </row>
    <row r="42901">
      <c r="N42901" s="1"/>
      <c r="V42901" s="5"/>
    </row>
    <row r="42902">
      <c r="N42902" s="1"/>
      <c r="V42902" s="5"/>
    </row>
    <row r="42903">
      <c r="N42903" s="1"/>
      <c r="V42903" s="5"/>
    </row>
    <row r="42904">
      <c r="N42904" s="1"/>
      <c r="V42904" s="5"/>
    </row>
    <row r="42905">
      <c r="N42905" s="1"/>
      <c r="V42905" s="5"/>
    </row>
    <row r="42906">
      <c r="N42906" s="1"/>
      <c r="V42906" s="5"/>
    </row>
    <row r="42907">
      <c r="N42907" s="1"/>
      <c r="V42907" s="5"/>
    </row>
    <row r="42908">
      <c r="N42908" s="1"/>
      <c r="V42908" s="5"/>
    </row>
    <row r="42909">
      <c r="N42909" s="1"/>
      <c r="V42909" s="5"/>
    </row>
    <row r="42910">
      <c r="N42910" s="1"/>
      <c r="V42910" s="5"/>
    </row>
    <row r="42911">
      <c r="N42911" s="1"/>
      <c r="V42911" s="5"/>
    </row>
    <row r="42912">
      <c r="N42912" s="1"/>
      <c r="V42912" s="5"/>
    </row>
    <row r="42913">
      <c r="N42913" s="1"/>
      <c r="V42913" s="5"/>
    </row>
    <row r="42914">
      <c r="N42914" s="1"/>
      <c r="V42914" s="5"/>
    </row>
    <row r="42915">
      <c r="N42915" s="1"/>
      <c r="V42915" s="5"/>
    </row>
    <row r="42916">
      <c r="N42916" s="1"/>
      <c r="V42916" s="5"/>
    </row>
    <row r="42917">
      <c r="N42917" s="1"/>
      <c r="V42917" s="5"/>
    </row>
    <row r="42918">
      <c r="N42918" s="1"/>
      <c r="V42918" s="5"/>
    </row>
    <row r="42919">
      <c r="N42919" s="1"/>
      <c r="V42919" s="5"/>
    </row>
    <row r="42920">
      <c r="N42920" s="1"/>
      <c r="V42920" s="5"/>
    </row>
    <row r="42921">
      <c r="N42921" s="1"/>
      <c r="V42921" s="5"/>
    </row>
    <row r="42922">
      <c r="N42922" s="1"/>
      <c r="V42922" s="5"/>
    </row>
    <row r="42923">
      <c r="N42923" s="1"/>
      <c r="V42923" s="5"/>
    </row>
    <row r="42924">
      <c r="N42924" s="1"/>
      <c r="V42924" s="5"/>
    </row>
    <row r="42925">
      <c r="N42925" s="1"/>
      <c r="V42925" s="5"/>
    </row>
    <row r="42926">
      <c r="N42926" s="1"/>
      <c r="V42926" s="5"/>
    </row>
    <row r="42927">
      <c r="N42927" s="1"/>
      <c r="V42927" s="5"/>
    </row>
    <row r="42928">
      <c r="N42928" s="1"/>
      <c r="V42928" s="5"/>
    </row>
    <row r="42929">
      <c r="N42929" s="1"/>
      <c r="V42929" s="5"/>
    </row>
    <row r="42930">
      <c r="N42930" s="1"/>
      <c r="V42930" s="5"/>
    </row>
    <row r="42931">
      <c r="N42931" s="1"/>
      <c r="V42931" s="5"/>
    </row>
    <row r="42932">
      <c r="N42932" s="1"/>
      <c r="V42932" s="5"/>
    </row>
    <row r="42933">
      <c r="N42933" s="1"/>
      <c r="V42933" s="5"/>
    </row>
    <row r="42934">
      <c r="N42934" s="1"/>
      <c r="V42934" s="5"/>
    </row>
    <row r="42935">
      <c r="N42935" s="1"/>
      <c r="V42935" s="5"/>
    </row>
    <row r="42936">
      <c r="N42936" s="1"/>
      <c r="V42936" s="5"/>
    </row>
    <row r="42937">
      <c r="N42937" s="1"/>
      <c r="V42937" s="5"/>
    </row>
    <row r="42938">
      <c r="N42938" s="1"/>
      <c r="V42938" s="5"/>
    </row>
    <row r="42939">
      <c r="N42939" s="1"/>
      <c r="V42939" s="5"/>
    </row>
    <row r="42940">
      <c r="N42940" s="1"/>
      <c r="V42940" s="5"/>
    </row>
    <row r="42941">
      <c r="N42941" s="1"/>
      <c r="V42941" s="5"/>
    </row>
    <row r="42942">
      <c r="N42942" s="1"/>
      <c r="V42942" s="5"/>
    </row>
    <row r="42943">
      <c r="N42943" s="1"/>
      <c r="V42943" s="5"/>
    </row>
    <row r="42944">
      <c r="N42944" s="1"/>
      <c r="V42944" s="5"/>
    </row>
    <row r="42945">
      <c r="N42945" s="1"/>
      <c r="V42945" s="5"/>
    </row>
    <row r="42946">
      <c r="N42946" s="1"/>
      <c r="V42946" s="5"/>
    </row>
    <row r="42947">
      <c r="N42947" s="1"/>
      <c r="V42947" s="5"/>
    </row>
    <row r="42948">
      <c r="N42948" s="1"/>
      <c r="V42948" s="5"/>
    </row>
    <row r="42949">
      <c r="N42949" s="1"/>
      <c r="V42949" s="5"/>
    </row>
    <row r="42950">
      <c r="N42950" s="1"/>
      <c r="V42950" s="5"/>
    </row>
    <row r="42951">
      <c r="N42951" s="1"/>
      <c r="V42951" s="5"/>
    </row>
    <row r="42952">
      <c r="N42952" s="1"/>
      <c r="V42952" s="5"/>
    </row>
    <row r="42953">
      <c r="N42953" s="1"/>
      <c r="V42953" s="5"/>
    </row>
    <row r="42954">
      <c r="N42954" s="1"/>
      <c r="V42954" s="5"/>
    </row>
    <row r="42955">
      <c r="N42955" s="1"/>
      <c r="V42955" s="5"/>
    </row>
    <row r="42956">
      <c r="N42956" s="1"/>
      <c r="V42956" s="5"/>
    </row>
    <row r="42957">
      <c r="N42957" s="1"/>
      <c r="V42957" s="5"/>
    </row>
    <row r="42958">
      <c r="N42958" s="1"/>
      <c r="V42958" s="5"/>
    </row>
    <row r="42959">
      <c r="N42959" s="1"/>
      <c r="V42959" s="5"/>
    </row>
    <row r="42960">
      <c r="N42960" s="1"/>
      <c r="V42960" s="5"/>
    </row>
    <row r="42961">
      <c r="N42961" s="1"/>
      <c r="V42961" s="5"/>
    </row>
    <row r="42962">
      <c r="N42962" s="1"/>
      <c r="V42962" s="5"/>
    </row>
    <row r="42963">
      <c r="N42963" s="1"/>
      <c r="V42963" s="5"/>
    </row>
    <row r="42964">
      <c r="N42964" s="1"/>
      <c r="V42964" s="5"/>
    </row>
    <row r="42965">
      <c r="N42965" s="1"/>
      <c r="V42965" s="5"/>
    </row>
    <row r="42966">
      <c r="N42966" s="1"/>
      <c r="V42966" s="5"/>
    </row>
    <row r="42967">
      <c r="N42967" s="1"/>
      <c r="V42967" s="5"/>
    </row>
    <row r="42968">
      <c r="N42968" s="1"/>
      <c r="V42968" s="5"/>
    </row>
    <row r="42969">
      <c r="N42969" s="1"/>
      <c r="V42969" s="5"/>
    </row>
    <row r="42970">
      <c r="N42970" s="1"/>
      <c r="V42970" s="5"/>
    </row>
    <row r="42971">
      <c r="N42971" s="1"/>
      <c r="V42971" s="5"/>
    </row>
    <row r="42972">
      <c r="N42972" s="1"/>
      <c r="V42972" s="5"/>
    </row>
    <row r="42973">
      <c r="N42973" s="1"/>
      <c r="V42973" s="5"/>
    </row>
    <row r="42974">
      <c r="N42974" s="1"/>
      <c r="V42974" s="5"/>
    </row>
    <row r="42975">
      <c r="N42975" s="1"/>
      <c r="V42975" s="5"/>
    </row>
    <row r="42976">
      <c r="N42976" s="1"/>
      <c r="V42976" s="5"/>
    </row>
    <row r="42977">
      <c r="N42977" s="1"/>
      <c r="V42977" s="5"/>
    </row>
    <row r="42978">
      <c r="N42978" s="1"/>
      <c r="V42978" s="5"/>
    </row>
    <row r="42979">
      <c r="N42979" s="1"/>
      <c r="V42979" s="5"/>
    </row>
    <row r="42980">
      <c r="N42980" s="1"/>
      <c r="V42980" s="5"/>
    </row>
    <row r="42981">
      <c r="N42981" s="1"/>
      <c r="V42981" s="5"/>
    </row>
    <row r="42982">
      <c r="N42982" s="1"/>
      <c r="V42982" s="5"/>
    </row>
    <row r="42983">
      <c r="N42983" s="1"/>
      <c r="V42983" s="5"/>
    </row>
    <row r="42984">
      <c r="N42984" s="1"/>
      <c r="V42984" s="5"/>
    </row>
    <row r="42985">
      <c r="N42985" s="1"/>
      <c r="V42985" s="5"/>
    </row>
    <row r="42986">
      <c r="N42986" s="1"/>
      <c r="V42986" s="5"/>
    </row>
    <row r="42987">
      <c r="N42987" s="1"/>
      <c r="V42987" s="5"/>
    </row>
    <row r="42988">
      <c r="N42988" s="1"/>
      <c r="V42988" s="5"/>
    </row>
    <row r="42989">
      <c r="N42989" s="1"/>
      <c r="V42989" s="5"/>
    </row>
    <row r="42990">
      <c r="N42990" s="1"/>
      <c r="V42990" s="5"/>
    </row>
    <row r="42991">
      <c r="N42991" s="1"/>
      <c r="V42991" s="5"/>
    </row>
    <row r="42992">
      <c r="N42992" s="1"/>
      <c r="V42992" s="5"/>
    </row>
    <row r="42993">
      <c r="N42993" s="1"/>
      <c r="V42993" s="5"/>
    </row>
    <row r="42994">
      <c r="N42994" s="1"/>
      <c r="V42994" s="5"/>
    </row>
    <row r="42995">
      <c r="N42995" s="1"/>
      <c r="V42995" s="5"/>
    </row>
    <row r="42996">
      <c r="N42996" s="1"/>
      <c r="V42996" s="5"/>
    </row>
    <row r="42997">
      <c r="N42997" s="1"/>
      <c r="V42997" s="5"/>
    </row>
    <row r="42998">
      <c r="N42998" s="1"/>
      <c r="V42998" s="5"/>
    </row>
    <row r="42999">
      <c r="N42999" s="1"/>
      <c r="V42999" s="5"/>
    </row>
    <row r="43000">
      <c r="N43000" s="1"/>
      <c r="V43000" s="5"/>
    </row>
    <row r="43001">
      <c r="N43001" s="1"/>
      <c r="V43001" s="5"/>
    </row>
    <row r="43002">
      <c r="N43002" s="1"/>
      <c r="V43002" s="5"/>
    </row>
    <row r="43003">
      <c r="N43003" s="1"/>
      <c r="V43003" s="5"/>
    </row>
    <row r="43004">
      <c r="N43004" s="1"/>
      <c r="V43004" s="5"/>
    </row>
    <row r="43005">
      <c r="N43005" s="1"/>
      <c r="V43005" s="5"/>
    </row>
    <row r="43006">
      <c r="N43006" s="1"/>
      <c r="V43006" s="5"/>
    </row>
    <row r="43007">
      <c r="N43007" s="1"/>
      <c r="V43007" s="5"/>
    </row>
    <row r="43008">
      <c r="N43008" s="1"/>
      <c r="V43008" s="5"/>
    </row>
    <row r="43009">
      <c r="N43009" s="1"/>
      <c r="V43009" s="5"/>
    </row>
    <row r="43010">
      <c r="N43010" s="1"/>
      <c r="V43010" s="5"/>
    </row>
    <row r="43011">
      <c r="N43011" s="1"/>
      <c r="V43011" s="5"/>
    </row>
    <row r="43012">
      <c r="N43012" s="1"/>
      <c r="V43012" s="5"/>
    </row>
    <row r="43013">
      <c r="N43013" s="1"/>
      <c r="V43013" s="5"/>
    </row>
    <row r="43014">
      <c r="N43014" s="1"/>
      <c r="V43014" s="5"/>
    </row>
    <row r="43015">
      <c r="N43015" s="1"/>
      <c r="V43015" s="5"/>
    </row>
    <row r="43016">
      <c r="N43016" s="1"/>
      <c r="V43016" s="5"/>
    </row>
    <row r="43017">
      <c r="N43017" s="1"/>
      <c r="V43017" s="5"/>
    </row>
    <row r="43018">
      <c r="N43018" s="1"/>
      <c r="V43018" s="5"/>
    </row>
    <row r="43019">
      <c r="N43019" s="1"/>
      <c r="V43019" s="5"/>
    </row>
    <row r="43020">
      <c r="N43020" s="1"/>
      <c r="V43020" s="5"/>
    </row>
    <row r="43021">
      <c r="N43021" s="1"/>
      <c r="V43021" s="5"/>
    </row>
    <row r="43022">
      <c r="N43022" s="1"/>
      <c r="V43022" s="5"/>
    </row>
    <row r="43023">
      <c r="N43023" s="1"/>
      <c r="V43023" s="5"/>
    </row>
    <row r="43024">
      <c r="N43024" s="1"/>
      <c r="V43024" s="5"/>
    </row>
    <row r="43025">
      <c r="N43025" s="1"/>
      <c r="V43025" s="5"/>
    </row>
    <row r="43026">
      <c r="N43026" s="1"/>
      <c r="V43026" s="5"/>
    </row>
    <row r="43027">
      <c r="N43027" s="1"/>
      <c r="V43027" s="5"/>
    </row>
    <row r="43028">
      <c r="N43028" s="1"/>
      <c r="V43028" s="5"/>
    </row>
    <row r="43029">
      <c r="N43029" s="1"/>
      <c r="V43029" s="5"/>
    </row>
    <row r="43030">
      <c r="N43030" s="1"/>
      <c r="V43030" s="5"/>
    </row>
    <row r="43031">
      <c r="N43031" s="1"/>
      <c r="V43031" s="5"/>
    </row>
    <row r="43032">
      <c r="N43032" s="1"/>
      <c r="V43032" s="5"/>
    </row>
    <row r="43033">
      <c r="N43033" s="1"/>
      <c r="V43033" s="5"/>
    </row>
    <row r="43034">
      <c r="N43034" s="1"/>
      <c r="V43034" s="5"/>
    </row>
    <row r="43035">
      <c r="N43035" s="1"/>
      <c r="V43035" s="5"/>
    </row>
    <row r="43036">
      <c r="N43036" s="1"/>
      <c r="V43036" s="5"/>
    </row>
    <row r="43037">
      <c r="N43037" s="1"/>
      <c r="V43037" s="5"/>
    </row>
    <row r="43038">
      <c r="N43038" s="1"/>
      <c r="V43038" s="5"/>
    </row>
    <row r="43039">
      <c r="N43039" s="1"/>
      <c r="V43039" s="5"/>
    </row>
    <row r="43040">
      <c r="N43040" s="1"/>
      <c r="V43040" s="5"/>
    </row>
    <row r="43041">
      <c r="N43041" s="1"/>
      <c r="V43041" s="5"/>
    </row>
    <row r="43042">
      <c r="N43042" s="1"/>
      <c r="V43042" s="5"/>
    </row>
    <row r="43043">
      <c r="N43043" s="1"/>
      <c r="V43043" s="5"/>
    </row>
    <row r="43044">
      <c r="N43044" s="1"/>
      <c r="V43044" s="5"/>
    </row>
    <row r="43045">
      <c r="N43045" s="1"/>
      <c r="V43045" s="5"/>
    </row>
    <row r="43046">
      <c r="N43046" s="1"/>
      <c r="V43046" s="5"/>
    </row>
    <row r="43047">
      <c r="N43047" s="1"/>
      <c r="V43047" s="5"/>
    </row>
    <row r="43048">
      <c r="N43048" s="1"/>
      <c r="V43048" s="5"/>
    </row>
    <row r="43049">
      <c r="N43049" s="1"/>
      <c r="V43049" s="5"/>
    </row>
    <row r="43050">
      <c r="N43050" s="1"/>
      <c r="V43050" s="5"/>
    </row>
    <row r="43051">
      <c r="N43051" s="1"/>
      <c r="V43051" s="5"/>
    </row>
    <row r="43052">
      <c r="N43052" s="1"/>
      <c r="V43052" s="5"/>
    </row>
    <row r="43053">
      <c r="N43053" s="1"/>
      <c r="V43053" s="5"/>
    </row>
    <row r="43054">
      <c r="N43054" s="1"/>
      <c r="V43054" s="5"/>
    </row>
    <row r="43055">
      <c r="N43055" s="1"/>
      <c r="V43055" s="5"/>
    </row>
    <row r="43056">
      <c r="N43056" s="1"/>
      <c r="V43056" s="5"/>
    </row>
    <row r="43057">
      <c r="N43057" s="1"/>
      <c r="V43057" s="5"/>
    </row>
    <row r="43058">
      <c r="N43058" s="1"/>
      <c r="V43058" s="5"/>
    </row>
    <row r="43059">
      <c r="N43059" s="1"/>
      <c r="V43059" s="5"/>
    </row>
    <row r="43060">
      <c r="N43060" s="1"/>
      <c r="V43060" s="5"/>
    </row>
    <row r="43061">
      <c r="N43061" s="1"/>
      <c r="V43061" s="5"/>
    </row>
    <row r="43062">
      <c r="N43062" s="1"/>
      <c r="V43062" s="5"/>
    </row>
    <row r="43063">
      <c r="N43063" s="1"/>
      <c r="V43063" s="5"/>
    </row>
    <row r="43064">
      <c r="N43064" s="1"/>
      <c r="V43064" s="5"/>
    </row>
    <row r="43065">
      <c r="N43065" s="1"/>
      <c r="V43065" s="5"/>
    </row>
    <row r="43066">
      <c r="N43066" s="1"/>
      <c r="V43066" s="5"/>
    </row>
    <row r="43067">
      <c r="N43067" s="1"/>
      <c r="V43067" s="5"/>
    </row>
    <row r="43068">
      <c r="N43068" s="1"/>
      <c r="V43068" s="5"/>
    </row>
    <row r="43069">
      <c r="N43069" s="1"/>
      <c r="V43069" s="5"/>
    </row>
    <row r="43070">
      <c r="N43070" s="1"/>
      <c r="V43070" s="5"/>
    </row>
    <row r="43071">
      <c r="N43071" s="1"/>
      <c r="V43071" s="5"/>
    </row>
    <row r="43072">
      <c r="N43072" s="1"/>
      <c r="V43072" s="5"/>
    </row>
    <row r="43073">
      <c r="N43073" s="1"/>
      <c r="V43073" s="5"/>
    </row>
    <row r="43074">
      <c r="N43074" s="1"/>
      <c r="V43074" s="5"/>
    </row>
    <row r="43075">
      <c r="N43075" s="1"/>
      <c r="V43075" s="5"/>
    </row>
    <row r="43076">
      <c r="N43076" s="1"/>
      <c r="V43076" s="5"/>
    </row>
    <row r="43077">
      <c r="N43077" s="1"/>
      <c r="V43077" s="5"/>
    </row>
    <row r="43078">
      <c r="N43078" s="1"/>
      <c r="V43078" s="5"/>
    </row>
    <row r="43079">
      <c r="N43079" s="1"/>
      <c r="V43079" s="5"/>
    </row>
    <row r="43080">
      <c r="N43080" s="1"/>
      <c r="V43080" s="5"/>
    </row>
    <row r="43081">
      <c r="N43081" s="1"/>
      <c r="V43081" s="5"/>
    </row>
    <row r="43082">
      <c r="N43082" s="1"/>
      <c r="V43082" s="5"/>
    </row>
    <row r="43083">
      <c r="N43083" s="1"/>
      <c r="V43083" s="5"/>
    </row>
    <row r="43084">
      <c r="N43084" s="1"/>
      <c r="V43084" s="5"/>
    </row>
    <row r="43085">
      <c r="N43085" s="1"/>
      <c r="V43085" s="5"/>
    </row>
    <row r="43086">
      <c r="N43086" s="1"/>
      <c r="V43086" s="5"/>
    </row>
    <row r="43087">
      <c r="N43087" s="1"/>
      <c r="V43087" s="5"/>
    </row>
    <row r="43088">
      <c r="N43088" s="1"/>
      <c r="V43088" s="5"/>
    </row>
    <row r="43089">
      <c r="N43089" s="1"/>
      <c r="V43089" s="5"/>
    </row>
    <row r="43090">
      <c r="N43090" s="1"/>
      <c r="V43090" s="5"/>
    </row>
    <row r="43091">
      <c r="N43091" s="1"/>
      <c r="V43091" s="5"/>
    </row>
    <row r="43092">
      <c r="N43092" s="1"/>
      <c r="V43092" s="5"/>
    </row>
    <row r="43093">
      <c r="N43093" s="1"/>
      <c r="V43093" s="5"/>
    </row>
    <row r="43094">
      <c r="N43094" s="1"/>
      <c r="V43094" s="5"/>
    </row>
    <row r="43095">
      <c r="N43095" s="1"/>
      <c r="V43095" s="5"/>
    </row>
    <row r="43096">
      <c r="N43096" s="1"/>
      <c r="V43096" s="5"/>
    </row>
    <row r="43097">
      <c r="N43097" s="1"/>
      <c r="V43097" s="5"/>
    </row>
    <row r="43098">
      <c r="N43098" s="1"/>
      <c r="V43098" s="5"/>
    </row>
    <row r="43099">
      <c r="N43099" s="1"/>
      <c r="V43099" s="5"/>
    </row>
    <row r="43100">
      <c r="N43100" s="1"/>
      <c r="V43100" s="5"/>
    </row>
    <row r="43101">
      <c r="N43101" s="1"/>
      <c r="V43101" s="5"/>
    </row>
    <row r="43102">
      <c r="N43102" s="1"/>
      <c r="V43102" s="5"/>
    </row>
    <row r="43103">
      <c r="N43103" s="1"/>
      <c r="V43103" s="5"/>
    </row>
    <row r="43104">
      <c r="N43104" s="1"/>
      <c r="V43104" s="5"/>
    </row>
    <row r="43105">
      <c r="N43105" s="1"/>
      <c r="V43105" s="5"/>
    </row>
    <row r="43106">
      <c r="N43106" s="1"/>
      <c r="V43106" s="5"/>
    </row>
    <row r="43107">
      <c r="N43107" s="1"/>
      <c r="V43107" s="5"/>
    </row>
    <row r="43108">
      <c r="N43108" s="1"/>
      <c r="V43108" s="5"/>
    </row>
    <row r="43109">
      <c r="N43109" s="1"/>
      <c r="V43109" s="5"/>
    </row>
    <row r="43110">
      <c r="N43110" s="1"/>
      <c r="V43110" s="5"/>
    </row>
    <row r="43111">
      <c r="N43111" s="1"/>
      <c r="V43111" s="5"/>
    </row>
    <row r="43112">
      <c r="N43112" s="1"/>
      <c r="V43112" s="5"/>
    </row>
    <row r="43113">
      <c r="N43113" s="1"/>
      <c r="V43113" s="5"/>
    </row>
    <row r="43114">
      <c r="N43114" s="1"/>
      <c r="V43114" s="5"/>
    </row>
    <row r="43115">
      <c r="N43115" s="1"/>
      <c r="V43115" s="5"/>
    </row>
    <row r="43116">
      <c r="N43116" s="1"/>
      <c r="V43116" s="5"/>
    </row>
    <row r="43117">
      <c r="N43117" s="1"/>
      <c r="V43117" s="5"/>
    </row>
    <row r="43118">
      <c r="N43118" s="1"/>
      <c r="V43118" s="5"/>
    </row>
    <row r="43119">
      <c r="N43119" s="1"/>
      <c r="V43119" s="5"/>
    </row>
    <row r="43120">
      <c r="N43120" s="1"/>
      <c r="V43120" s="5"/>
    </row>
    <row r="43121">
      <c r="N43121" s="1"/>
      <c r="V43121" s="5"/>
    </row>
    <row r="43122">
      <c r="N43122" s="1"/>
      <c r="V43122" s="5"/>
    </row>
    <row r="43123">
      <c r="N43123" s="1"/>
      <c r="V43123" s="5"/>
    </row>
    <row r="43124">
      <c r="N43124" s="1"/>
      <c r="V43124" s="5"/>
    </row>
    <row r="43125">
      <c r="N43125" s="1"/>
      <c r="V43125" s="5"/>
    </row>
    <row r="43126">
      <c r="N43126" s="1"/>
      <c r="V43126" s="5"/>
    </row>
    <row r="43127">
      <c r="N43127" s="1"/>
      <c r="V43127" s="5"/>
    </row>
    <row r="43128">
      <c r="N43128" s="1"/>
      <c r="V43128" s="5"/>
    </row>
    <row r="43129">
      <c r="N43129" s="1"/>
      <c r="V43129" s="5"/>
    </row>
    <row r="43130">
      <c r="N43130" s="1"/>
      <c r="V43130" s="5"/>
    </row>
    <row r="43131">
      <c r="N43131" s="1"/>
      <c r="V43131" s="5"/>
    </row>
    <row r="43132">
      <c r="N43132" s="1"/>
      <c r="V43132" s="5"/>
    </row>
    <row r="43133">
      <c r="N43133" s="1"/>
      <c r="V43133" s="5"/>
    </row>
    <row r="43134">
      <c r="N43134" s="1"/>
      <c r="V43134" s="5"/>
    </row>
    <row r="43135">
      <c r="N43135" s="1"/>
      <c r="V43135" s="5"/>
    </row>
    <row r="43136">
      <c r="N43136" s="1"/>
      <c r="V43136" s="5"/>
    </row>
    <row r="43137">
      <c r="N43137" s="1"/>
      <c r="V43137" s="5"/>
    </row>
    <row r="43138">
      <c r="N43138" s="1"/>
      <c r="V43138" s="5"/>
    </row>
    <row r="43139">
      <c r="N43139" s="1"/>
      <c r="V43139" s="5"/>
    </row>
    <row r="43140">
      <c r="N43140" s="1"/>
      <c r="V43140" s="5"/>
    </row>
    <row r="43141">
      <c r="N43141" s="1"/>
      <c r="V43141" s="5"/>
    </row>
    <row r="43142">
      <c r="N43142" s="1"/>
      <c r="V43142" s="5"/>
    </row>
    <row r="43143">
      <c r="N43143" s="1"/>
      <c r="V43143" s="5"/>
    </row>
    <row r="43144">
      <c r="N43144" s="1"/>
      <c r="V43144" s="5"/>
    </row>
    <row r="43145">
      <c r="N43145" s="1"/>
      <c r="V43145" s="5"/>
    </row>
    <row r="43146">
      <c r="N43146" s="1"/>
      <c r="V43146" s="5"/>
    </row>
    <row r="43147">
      <c r="N43147" s="1"/>
      <c r="V43147" s="5"/>
    </row>
    <row r="43148">
      <c r="N43148" s="1"/>
      <c r="V43148" s="5"/>
    </row>
    <row r="43149">
      <c r="N43149" s="1"/>
      <c r="V43149" s="5"/>
    </row>
    <row r="43150">
      <c r="N43150" s="1"/>
      <c r="V43150" s="5"/>
    </row>
    <row r="43151">
      <c r="N43151" s="1"/>
      <c r="V43151" s="5"/>
    </row>
    <row r="43152">
      <c r="N43152" s="1"/>
      <c r="V43152" s="5"/>
    </row>
    <row r="43153">
      <c r="N43153" s="1"/>
      <c r="V43153" s="5"/>
    </row>
    <row r="43154">
      <c r="N43154" s="1"/>
      <c r="V43154" s="5"/>
    </row>
    <row r="43155">
      <c r="N43155" s="1"/>
      <c r="V43155" s="5"/>
    </row>
    <row r="43156">
      <c r="N43156" s="1"/>
      <c r="V43156" s="5"/>
    </row>
    <row r="43157">
      <c r="N43157" s="1"/>
      <c r="V43157" s="5"/>
    </row>
    <row r="43158">
      <c r="N43158" s="1"/>
      <c r="V43158" s="5"/>
    </row>
    <row r="43159">
      <c r="N43159" s="1"/>
      <c r="V43159" s="5"/>
    </row>
    <row r="43160">
      <c r="N43160" s="1"/>
      <c r="V43160" s="5"/>
    </row>
    <row r="43161">
      <c r="N43161" s="1"/>
      <c r="V43161" s="5"/>
    </row>
    <row r="43162">
      <c r="N43162" s="1"/>
      <c r="V43162" s="5"/>
    </row>
    <row r="43163">
      <c r="N43163" s="1"/>
      <c r="V43163" s="5"/>
    </row>
    <row r="43164">
      <c r="N43164" s="1"/>
      <c r="V43164" s="5"/>
    </row>
    <row r="43165">
      <c r="N43165" s="1"/>
      <c r="V43165" s="5"/>
    </row>
    <row r="43166">
      <c r="N43166" s="1"/>
      <c r="V43166" s="5"/>
    </row>
    <row r="43167">
      <c r="N43167" s="1"/>
      <c r="V43167" s="5"/>
    </row>
    <row r="43168">
      <c r="N43168" s="1"/>
      <c r="V43168" s="5"/>
    </row>
    <row r="43169">
      <c r="N43169" s="1"/>
      <c r="V43169" s="5"/>
    </row>
    <row r="43170">
      <c r="N43170" s="1"/>
      <c r="V43170" s="5"/>
    </row>
    <row r="43171">
      <c r="N43171" s="1"/>
      <c r="V43171" s="5"/>
    </row>
    <row r="43172">
      <c r="N43172" s="1"/>
      <c r="V43172" s="5"/>
    </row>
    <row r="43173">
      <c r="N43173" s="1"/>
      <c r="V43173" s="5"/>
    </row>
    <row r="43174">
      <c r="N43174" s="1"/>
      <c r="V43174" s="5"/>
    </row>
    <row r="43175">
      <c r="N43175" s="1"/>
      <c r="V43175" s="5"/>
    </row>
    <row r="43176">
      <c r="N43176" s="1"/>
      <c r="V43176" s="5"/>
    </row>
    <row r="43177">
      <c r="N43177" s="1"/>
      <c r="V43177" s="5"/>
    </row>
    <row r="43178">
      <c r="N43178" s="1"/>
      <c r="V43178" s="5"/>
    </row>
    <row r="43179">
      <c r="N43179" s="1"/>
      <c r="V43179" s="5"/>
    </row>
    <row r="43180">
      <c r="N43180" s="1"/>
      <c r="V43180" s="5"/>
    </row>
    <row r="43181">
      <c r="N43181" s="1"/>
      <c r="V43181" s="5"/>
    </row>
    <row r="43182">
      <c r="N43182" s="1"/>
      <c r="V43182" s="5"/>
    </row>
    <row r="43183">
      <c r="N43183" s="1"/>
      <c r="V43183" s="5"/>
    </row>
    <row r="43184">
      <c r="N43184" s="1"/>
      <c r="V43184" s="5"/>
    </row>
    <row r="43185">
      <c r="N43185" s="1"/>
      <c r="V43185" s="5"/>
    </row>
    <row r="43186">
      <c r="N43186" s="1"/>
      <c r="V43186" s="5"/>
    </row>
    <row r="43187">
      <c r="N43187" s="1"/>
      <c r="V43187" s="5"/>
    </row>
    <row r="43188">
      <c r="N43188" s="1"/>
      <c r="V43188" s="5"/>
    </row>
    <row r="43189">
      <c r="N43189" s="1"/>
      <c r="V43189" s="5"/>
    </row>
    <row r="43190">
      <c r="N43190" s="1"/>
      <c r="V43190" s="5"/>
    </row>
    <row r="43191">
      <c r="N43191" s="1"/>
      <c r="V43191" s="5"/>
    </row>
    <row r="43192">
      <c r="N43192" s="1"/>
      <c r="V43192" s="5"/>
    </row>
    <row r="43193">
      <c r="N43193" s="1"/>
      <c r="V43193" s="5"/>
    </row>
    <row r="43194">
      <c r="N43194" s="1"/>
      <c r="V43194" s="5"/>
    </row>
    <row r="43195">
      <c r="N43195" s="1"/>
      <c r="V43195" s="5"/>
    </row>
    <row r="43196">
      <c r="N43196" s="1"/>
      <c r="V43196" s="5"/>
    </row>
    <row r="43197">
      <c r="N43197" s="1"/>
      <c r="V43197" s="5"/>
    </row>
    <row r="43198">
      <c r="N43198" s="1"/>
      <c r="V43198" s="5"/>
    </row>
    <row r="43199">
      <c r="N43199" s="1"/>
      <c r="V43199" s="5"/>
    </row>
    <row r="43200">
      <c r="N43200" s="1"/>
      <c r="V43200" s="5"/>
    </row>
    <row r="43201">
      <c r="N43201" s="1"/>
      <c r="V43201" s="5"/>
    </row>
    <row r="43202">
      <c r="N43202" s="1"/>
      <c r="V43202" s="5"/>
    </row>
    <row r="43203">
      <c r="N43203" s="1"/>
      <c r="V43203" s="5"/>
    </row>
    <row r="43204">
      <c r="N43204" s="1"/>
      <c r="V43204" s="5"/>
    </row>
    <row r="43205">
      <c r="N43205" s="1"/>
      <c r="V43205" s="5"/>
    </row>
    <row r="43206">
      <c r="N43206" s="1"/>
      <c r="V43206" s="5"/>
    </row>
    <row r="43207">
      <c r="N43207" s="1"/>
      <c r="V43207" s="5"/>
    </row>
    <row r="43208">
      <c r="N43208" s="1"/>
      <c r="V43208" s="5"/>
    </row>
    <row r="43209">
      <c r="N43209" s="1"/>
      <c r="V43209" s="5"/>
    </row>
    <row r="43210">
      <c r="N43210" s="1"/>
      <c r="V43210" s="5"/>
    </row>
    <row r="43211">
      <c r="N43211" s="1"/>
      <c r="V43211" s="5"/>
    </row>
    <row r="43212">
      <c r="N43212" s="1"/>
      <c r="V43212" s="5"/>
    </row>
    <row r="43213">
      <c r="N43213" s="1"/>
      <c r="V43213" s="5"/>
    </row>
    <row r="43214">
      <c r="N43214" s="1"/>
      <c r="V43214" s="5"/>
    </row>
    <row r="43215">
      <c r="N43215" s="1"/>
      <c r="V43215" s="5"/>
    </row>
    <row r="43216">
      <c r="N43216" s="1"/>
      <c r="V43216" s="5"/>
    </row>
    <row r="43217">
      <c r="N43217" s="1"/>
      <c r="V43217" s="5"/>
    </row>
    <row r="43218">
      <c r="N43218" s="1"/>
      <c r="V43218" s="5"/>
    </row>
    <row r="43219">
      <c r="N43219" s="1"/>
      <c r="V43219" s="5"/>
    </row>
    <row r="43220">
      <c r="N43220" s="1"/>
      <c r="V43220" s="5"/>
    </row>
    <row r="43221">
      <c r="N43221" s="1"/>
      <c r="V43221" s="5"/>
    </row>
    <row r="43222">
      <c r="N43222" s="1"/>
      <c r="V43222" s="5"/>
    </row>
    <row r="43223">
      <c r="N43223" s="1"/>
      <c r="V43223" s="5"/>
    </row>
    <row r="43224">
      <c r="N43224" s="1"/>
      <c r="V43224" s="5"/>
    </row>
    <row r="43225">
      <c r="N43225" s="1"/>
      <c r="V43225" s="5"/>
    </row>
    <row r="43226">
      <c r="N43226" s="1"/>
      <c r="V43226" s="5"/>
    </row>
    <row r="43227">
      <c r="N43227" s="1"/>
      <c r="V43227" s="5"/>
    </row>
    <row r="43228">
      <c r="N43228" s="1"/>
      <c r="V43228" s="5"/>
    </row>
    <row r="43229">
      <c r="N43229" s="1"/>
      <c r="V43229" s="5"/>
    </row>
    <row r="43230">
      <c r="N43230" s="1"/>
      <c r="V43230" s="5"/>
    </row>
    <row r="43231">
      <c r="N43231" s="1"/>
      <c r="V43231" s="5"/>
    </row>
    <row r="43232">
      <c r="N43232" s="1"/>
      <c r="V43232" s="5"/>
    </row>
    <row r="43233">
      <c r="N43233" s="1"/>
      <c r="V43233" s="5"/>
    </row>
    <row r="43234">
      <c r="N43234" s="1"/>
      <c r="V43234" s="5"/>
    </row>
    <row r="43235">
      <c r="N43235" s="1"/>
      <c r="V43235" s="5"/>
    </row>
    <row r="43236">
      <c r="N43236" s="1"/>
      <c r="V43236" s="5"/>
    </row>
    <row r="43237">
      <c r="N43237" s="1"/>
      <c r="V43237" s="5"/>
    </row>
    <row r="43238">
      <c r="N43238" s="1"/>
      <c r="V43238" s="5"/>
    </row>
    <row r="43239">
      <c r="N43239" s="1"/>
      <c r="V43239" s="5"/>
    </row>
    <row r="43240">
      <c r="N43240" s="1"/>
      <c r="V43240" s="5"/>
    </row>
    <row r="43241">
      <c r="N43241" s="1"/>
      <c r="V43241" s="5"/>
    </row>
    <row r="43242">
      <c r="N43242" s="1"/>
      <c r="V43242" s="5"/>
    </row>
    <row r="43243">
      <c r="N43243" s="1"/>
      <c r="V43243" s="5"/>
    </row>
    <row r="43244">
      <c r="N43244" s="1"/>
      <c r="V43244" s="5"/>
    </row>
    <row r="43245">
      <c r="N43245" s="1"/>
      <c r="V43245" s="5"/>
    </row>
    <row r="43246">
      <c r="N43246" s="1"/>
      <c r="V43246" s="5"/>
    </row>
    <row r="43247">
      <c r="N43247" s="1"/>
      <c r="V43247" s="5"/>
    </row>
    <row r="43248">
      <c r="N43248" s="1"/>
      <c r="V43248" s="5"/>
    </row>
    <row r="43249">
      <c r="N43249" s="1"/>
      <c r="V43249" s="5"/>
    </row>
    <row r="43250">
      <c r="N43250" s="1"/>
      <c r="V43250" s="5"/>
    </row>
    <row r="43251">
      <c r="N43251" s="1"/>
      <c r="V43251" s="5"/>
    </row>
    <row r="43252">
      <c r="N43252" s="1"/>
      <c r="V43252" s="5"/>
    </row>
    <row r="43253">
      <c r="N43253" s="1"/>
      <c r="V43253" s="5"/>
    </row>
    <row r="43254">
      <c r="N43254" s="1"/>
      <c r="V43254" s="5"/>
    </row>
    <row r="43255">
      <c r="N43255" s="1"/>
      <c r="V43255" s="5"/>
    </row>
    <row r="43256">
      <c r="N43256" s="1"/>
      <c r="V43256" s="5"/>
    </row>
    <row r="43257">
      <c r="N43257" s="1"/>
      <c r="V43257" s="5"/>
    </row>
    <row r="43258">
      <c r="N43258" s="1"/>
      <c r="V43258" s="5"/>
    </row>
    <row r="43259">
      <c r="N43259" s="1"/>
      <c r="V43259" s="5"/>
    </row>
    <row r="43260">
      <c r="N43260" s="1"/>
      <c r="V43260" s="5"/>
    </row>
    <row r="43261">
      <c r="N43261" s="1"/>
      <c r="V43261" s="5"/>
    </row>
    <row r="43262">
      <c r="N43262" s="1"/>
      <c r="V43262" s="5"/>
    </row>
    <row r="43263">
      <c r="N43263" s="1"/>
      <c r="V43263" s="5"/>
    </row>
    <row r="43264">
      <c r="N43264" s="1"/>
      <c r="V43264" s="5"/>
    </row>
    <row r="43265">
      <c r="N43265" s="1"/>
      <c r="V43265" s="5"/>
    </row>
    <row r="43266">
      <c r="N43266" s="1"/>
      <c r="V43266" s="5"/>
    </row>
    <row r="43267">
      <c r="N43267" s="1"/>
      <c r="V43267" s="5"/>
    </row>
    <row r="43268">
      <c r="N43268" s="1"/>
      <c r="V43268" s="5"/>
    </row>
    <row r="43269">
      <c r="N43269" s="1"/>
      <c r="V43269" s="5"/>
    </row>
    <row r="43270">
      <c r="N43270" s="1"/>
      <c r="V43270" s="5"/>
    </row>
    <row r="43271">
      <c r="N43271" s="1"/>
      <c r="V43271" s="5"/>
    </row>
    <row r="43272">
      <c r="N43272" s="1"/>
      <c r="V43272" s="5"/>
    </row>
    <row r="43273">
      <c r="N43273" s="1"/>
      <c r="V43273" s="5"/>
    </row>
    <row r="43274">
      <c r="N43274" s="1"/>
      <c r="V43274" s="5"/>
    </row>
    <row r="43275">
      <c r="N43275" s="1"/>
      <c r="V43275" s="5"/>
    </row>
    <row r="43276">
      <c r="N43276" s="1"/>
      <c r="V43276" s="5"/>
    </row>
    <row r="43277">
      <c r="N43277" s="1"/>
      <c r="V43277" s="5"/>
    </row>
    <row r="43278">
      <c r="N43278" s="1"/>
      <c r="V43278" s="5"/>
    </row>
    <row r="43279">
      <c r="N43279" s="1"/>
      <c r="V43279" s="5"/>
    </row>
    <row r="43280">
      <c r="N43280" s="1"/>
      <c r="V43280" s="5"/>
    </row>
    <row r="43281">
      <c r="N43281" s="1"/>
      <c r="V43281" s="5"/>
    </row>
    <row r="43282">
      <c r="N43282" s="1"/>
      <c r="V43282" s="5"/>
    </row>
    <row r="43283">
      <c r="N43283" s="1"/>
      <c r="V43283" s="5"/>
    </row>
    <row r="43284">
      <c r="N43284" s="1"/>
      <c r="V43284" s="5"/>
    </row>
    <row r="43285">
      <c r="N43285" s="1"/>
      <c r="V43285" s="5"/>
    </row>
    <row r="43286">
      <c r="N43286" s="1"/>
      <c r="V43286" s="5"/>
    </row>
    <row r="43287">
      <c r="N43287" s="1"/>
      <c r="V43287" s="5"/>
    </row>
    <row r="43288">
      <c r="N43288" s="1"/>
      <c r="V43288" s="5"/>
    </row>
    <row r="43289">
      <c r="N43289" s="1"/>
      <c r="V43289" s="5"/>
    </row>
    <row r="43290">
      <c r="N43290" s="1"/>
      <c r="V43290" s="5"/>
    </row>
    <row r="43291">
      <c r="N43291" s="1"/>
      <c r="V43291" s="5"/>
    </row>
    <row r="43292">
      <c r="N43292" s="1"/>
      <c r="V43292" s="5"/>
    </row>
    <row r="43293">
      <c r="N43293" s="1"/>
      <c r="V43293" s="5"/>
    </row>
    <row r="43294">
      <c r="N43294" s="1"/>
      <c r="V43294" s="5"/>
    </row>
    <row r="43295">
      <c r="N43295" s="1"/>
      <c r="V43295" s="5"/>
    </row>
    <row r="43296">
      <c r="N43296" s="1"/>
      <c r="V43296" s="5"/>
    </row>
    <row r="43297">
      <c r="N43297" s="1"/>
      <c r="V43297" s="5"/>
    </row>
    <row r="43298">
      <c r="N43298" s="1"/>
      <c r="V43298" s="5"/>
    </row>
    <row r="43299">
      <c r="N43299" s="1"/>
      <c r="V43299" s="5"/>
    </row>
    <row r="43300">
      <c r="N43300" s="1"/>
      <c r="V43300" s="5"/>
    </row>
    <row r="43301">
      <c r="N43301" s="1"/>
      <c r="V43301" s="5"/>
    </row>
    <row r="43302">
      <c r="N43302" s="1"/>
      <c r="V43302" s="5"/>
    </row>
    <row r="43303">
      <c r="N43303" s="1"/>
      <c r="V43303" s="5"/>
    </row>
    <row r="43304">
      <c r="N43304" s="1"/>
      <c r="V43304" s="5"/>
    </row>
    <row r="43305">
      <c r="N43305" s="1"/>
      <c r="V43305" s="5"/>
    </row>
    <row r="43306">
      <c r="N43306" s="1"/>
      <c r="V43306" s="5"/>
    </row>
    <row r="43307">
      <c r="N43307" s="1"/>
      <c r="V43307" s="5"/>
    </row>
    <row r="43308">
      <c r="N43308" s="1"/>
      <c r="V43308" s="5"/>
    </row>
    <row r="43309">
      <c r="N43309" s="1"/>
      <c r="V43309" s="5"/>
    </row>
    <row r="43310">
      <c r="N43310" s="1"/>
      <c r="V43310" s="5"/>
    </row>
    <row r="43311">
      <c r="N43311" s="1"/>
      <c r="V43311" s="5"/>
    </row>
    <row r="43312">
      <c r="N43312" s="1"/>
      <c r="V43312" s="5"/>
    </row>
    <row r="43313">
      <c r="N43313" s="1"/>
      <c r="V43313" s="5"/>
    </row>
    <row r="43314">
      <c r="N43314" s="1"/>
      <c r="V43314" s="5"/>
    </row>
    <row r="43315">
      <c r="N43315" s="1"/>
      <c r="V43315" s="5"/>
    </row>
    <row r="43316">
      <c r="N43316" s="1"/>
      <c r="V43316" s="5"/>
    </row>
    <row r="43317">
      <c r="N43317" s="1"/>
      <c r="V43317" s="5"/>
    </row>
    <row r="43318">
      <c r="N43318" s="1"/>
      <c r="V43318" s="5"/>
    </row>
    <row r="43319">
      <c r="N43319" s="1"/>
      <c r="V43319" s="5"/>
    </row>
    <row r="43320">
      <c r="N43320" s="1"/>
      <c r="V43320" s="5"/>
    </row>
    <row r="43321">
      <c r="N43321" s="1"/>
      <c r="V43321" s="5"/>
    </row>
    <row r="43322">
      <c r="N43322" s="1"/>
      <c r="V43322" s="5"/>
    </row>
    <row r="43323">
      <c r="N43323" s="1"/>
      <c r="V43323" s="5"/>
    </row>
    <row r="43324">
      <c r="N43324" s="1"/>
      <c r="V43324" s="5"/>
    </row>
    <row r="43325">
      <c r="N43325" s="1"/>
      <c r="V43325" s="5"/>
    </row>
    <row r="43326">
      <c r="N43326" s="1"/>
      <c r="V43326" s="5"/>
    </row>
    <row r="43327">
      <c r="N43327" s="1"/>
      <c r="V43327" s="5"/>
    </row>
    <row r="43328">
      <c r="N43328" s="1"/>
      <c r="V43328" s="5"/>
    </row>
    <row r="43329">
      <c r="N43329" s="1"/>
      <c r="V43329" s="5"/>
    </row>
    <row r="43330">
      <c r="N43330" s="1"/>
      <c r="V43330" s="5"/>
    </row>
    <row r="43331">
      <c r="N43331" s="1"/>
      <c r="V43331" s="5"/>
    </row>
    <row r="43332">
      <c r="N43332" s="1"/>
      <c r="V43332" s="5"/>
    </row>
    <row r="43333">
      <c r="N43333" s="1"/>
      <c r="V43333" s="5"/>
    </row>
    <row r="43334">
      <c r="N43334" s="1"/>
      <c r="V43334" s="5"/>
    </row>
    <row r="43335">
      <c r="N43335" s="1"/>
      <c r="V43335" s="5"/>
    </row>
    <row r="43336">
      <c r="N43336" s="1"/>
      <c r="V43336" s="5"/>
    </row>
    <row r="43337">
      <c r="N43337" s="1"/>
      <c r="V43337" s="5"/>
    </row>
    <row r="43338">
      <c r="N43338" s="1"/>
      <c r="V43338" s="5"/>
    </row>
    <row r="43339">
      <c r="N43339" s="1"/>
      <c r="V43339" s="5"/>
    </row>
    <row r="43340">
      <c r="N43340" s="1"/>
      <c r="V43340" s="5"/>
    </row>
    <row r="43341">
      <c r="N43341" s="1"/>
      <c r="V43341" s="5"/>
    </row>
    <row r="43342">
      <c r="N43342" s="1"/>
      <c r="V43342" s="5"/>
    </row>
    <row r="43343">
      <c r="N43343" s="1"/>
      <c r="V43343" s="5"/>
    </row>
    <row r="43344">
      <c r="N43344" s="1"/>
      <c r="V43344" s="5"/>
    </row>
    <row r="43345">
      <c r="N43345" s="1"/>
      <c r="V43345" s="5"/>
    </row>
    <row r="43346">
      <c r="N43346" s="1"/>
      <c r="V43346" s="5"/>
    </row>
    <row r="43347">
      <c r="N43347" s="1"/>
      <c r="V43347" s="5"/>
    </row>
    <row r="43348">
      <c r="N43348" s="1"/>
      <c r="V43348" s="5"/>
    </row>
    <row r="43349">
      <c r="N43349" s="1"/>
      <c r="V43349" s="5"/>
    </row>
    <row r="43350">
      <c r="N43350" s="1"/>
      <c r="V43350" s="5"/>
    </row>
    <row r="43351">
      <c r="N43351" s="1"/>
      <c r="V43351" s="5"/>
    </row>
    <row r="43352">
      <c r="N43352" s="1"/>
      <c r="V43352" s="5"/>
    </row>
    <row r="43353">
      <c r="N43353" s="1"/>
      <c r="V43353" s="5"/>
    </row>
    <row r="43354">
      <c r="N43354" s="1"/>
      <c r="V43354" s="5"/>
    </row>
    <row r="43355">
      <c r="N43355" s="1"/>
      <c r="V43355" s="5"/>
    </row>
    <row r="43356">
      <c r="N43356" s="1"/>
      <c r="V43356" s="5"/>
    </row>
    <row r="43357">
      <c r="N43357" s="1"/>
      <c r="V43357" s="5"/>
    </row>
    <row r="43358">
      <c r="N43358" s="1"/>
      <c r="V43358" s="5"/>
    </row>
    <row r="43359">
      <c r="N43359" s="1"/>
      <c r="V43359" s="5"/>
    </row>
    <row r="43360">
      <c r="N43360" s="1"/>
      <c r="V43360" s="5"/>
    </row>
    <row r="43361">
      <c r="N43361" s="1"/>
      <c r="V43361" s="5"/>
    </row>
    <row r="43362">
      <c r="N43362" s="1"/>
      <c r="V43362" s="5"/>
    </row>
    <row r="43363">
      <c r="N43363" s="1"/>
      <c r="V43363" s="5"/>
    </row>
    <row r="43364">
      <c r="N43364" s="1"/>
      <c r="V43364" s="5"/>
    </row>
    <row r="43365">
      <c r="N43365" s="1"/>
      <c r="V43365" s="5"/>
    </row>
    <row r="43366">
      <c r="N43366" s="1"/>
      <c r="V43366" s="5"/>
    </row>
    <row r="43367">
      <c r="N43367" s="1"/>
      <c r="V43367" s="5"/>
    </row>
    <row r="43368">
      <c r="N43368" s="1"/>
      <c r="V43368" s="5"/>
    </row>
    <row r="43369">
      <c r="N43369" s="1"/>
      <c r="V43369" s="5"/>
    </row>
    <row r="43370">
      <c r="N43370" s="1"/>
      <c r="V43370" s="5"/>
    </row>
    <row r="43371">
      <c r="N43371" s="1"/>
      <c r="V43371" s="5"/>
    </row>
    <row r="43372">
      <c r="N43372" s="1"/>
      <c r="V43372" s="5"/>
    </row>
    <row r="43373">
      <c r="N43373" s="1"/>
      <c r="V43373" s="5"/>
    </row>
    <row r="43374">
      <c r="N43374" s="1"/>
      <c r="V43374" s="5"/>
    </row>
    <row r="43375">
      <c r="N43375" s="1"/>
      <c r="V43375" s="5"/>
    </row>
    <row r="43376">
      <c r="N43376" s="1"/>
      <c r="V43376" s="5"/>
    </row>
    <row r="43377">
      <c r="N43377" s="1"/>
      <c r="V43377" s="5"/>
    </row>
    <row r="43378">
      <c r="N43378" s="1"/>
      <c r="V43378" s="5"/>
    </row>
    <row r="43379">
      <c r="N43379" s="1"/>
      <c r="V43379" s="5"/>
    </row>
    <row r="43380">
      <c r="N43380" s="1"/>
      <c r="V43380" s="5"/>
    </row>
    <row r="43381">
      <c r="N43381" s="1"/>
      <c r="V43381" s="5"/>
    </row>
    <row r="43382">
      <c r="N43382" s="1"/>
      <c r="V43382" s="5"/>
    </row>
    <row r="43383">
      <c r="N43383" s="1"/>
      <c r="V43383" s="5"/>
    </row>
    <row r="43384">
      <c r="N43384" s="1"/>
      <c r="V43384" s="5"/>
    </row>
    <row r="43385">
      <c r="N43385" s="1"/>
      <c r="V43385" s="5"/>
    </row>
    <row r="43386">
      <c r="N43386" s="1"/>
      <c r="V43386" s="5"/>
    </row>
    <row r="43387">
      <c r="N43387" s="1"/>
      <c r="V43387" s="5"/>
    </row>
    <row r="43388">
      <c r="N43388" s="1"/>
      <c r="V43388" s="5"/>
    </row>
    <row r="43389">
      <c r="N43389" s="1"/>
      <c r="V43389" s="5"/>
    </row>
    <row r="43390">
      <c r="N43390" s="1"/>
      <c r="V43390" s="5"/>
    </row>
    <row r="43391">
      <c r="N43391" s="1"/>
      <c r="V43391" s="5"/>
    </row>
    <row r="43392">
      <c r="N43392" s="1"/>
      <c r="V43392" s="5"/>
    </row>
    <row r="43393">
      <c r="N43393" s="1"/>
      <c r="V43393" s="5"/>
    </row>
    <row r="43394">
      <c r="N43394" s="1"/>
      <c r="V43394" s="5"/>
    </row>
    <row r="43395">
      <c r="N43395" s="1"/>
      <c r="V43395" s="5"/>
    </row>
    <row r="43396">
      <c r="N43396" s="1"/>
      <c r="V43396" s="5"/>
    </row>
    <row r="43397">
      <c r="N43397" s="1"/>
      <c r="V43397" s="5"/>
    </row>
    <row r="43398">
      <c r="N43398" s="1"/>
      <c r="V43398" s="5"/>
    </row>
    <row r="43399">
      <c r="N43399" s="1"/>
      <c r="V43399" s="5"/>
    </row>
    <row r="43400">
      <c r="N43400" s="1"/>
      <c r="V43400" s="5"/>
    </row>
    <row r="43401">
      <c r="N43401" s="1"/>
      <c r="V43401" s="5"/>
    </row>
    <row r="43402">
      <c r="N43402" s="1"/>
      <c r="V43402" s="5"/>
    </row>
    <row r="43403">
      <c r="N43403" s="1"/>
      <c r="V43403" s="5"/>
    </row>
    <row r="43404">
      <c r="N43404" s="1"/>
      <c r="V43404" s="5"/>
    </row>
    <row r="43405">
      <c r="N43405" s="1"/>
      <c r="V43405" s="5"/>
    </row>
    <row r="43406">
      <c r="N43406" s="1"/>
      <c r="V43406" s="5"/>
    </row>
    <row r="43407">
      <c r="N43407" s="1"/>
      <c r="V43407" s="5"/>
    </row>
    <row r="43408">
      <c r="N43408" s="1"/>
      <c r="V43408" s="5"/>
    </row>
    <row r="43409">
      <c r="N43409" s="1"/>
      <c r="V43409" s="5"/>
    </row>
    <row r="43410">
      <c r="N43410" s="1"/>
      <c r="V43410" s="5"/>
    </row>
    <row r="43411">
      <c r="N43411" s="1"/>
      <c r="V43411" s="5"/>
    </row>
    <row r="43412">
      <c r="N43412" s="1"/>
      <c r="V43412" s="5"/>
    </row>
    <row r="43413">
      <c r="N43413" s="1"/>
      <c r="V43413" s="5"/>
    </row>
    <row r="43414">
      <c r="N43414" s="1"/>
      <c r="V43414" s="5"/>
    </row>
    <row r="43415">
      <c r="N43415" s="1"/>
      <c r="V43415" s="5"/>
    </row>
    <row r="43416">
      <c r="N43416" s="1"/>
      <c r="V43416" s="5"/>
    </row>
    <row r="43417">
      <c r="N43417" s="1"/>
      <c r="V43417" s="5"/>
    </row>
    <row r="43418">
      <c r="N43418" s="1"/>
      <c r="V43418" s="5"/>
    </row>
    <row r="43419">
      <c r="N43419" s="1"/>
      <c r="V43419" s="5"/>
    </row>
    <row r="43420">
      <c r="N43420" s="1"/>
      <c r="V43420" s="5"/>
    </row>
    <row r="43421">
      <c r="N43421" s="1"/>
      <c r="V43421" s="5"/>
    </row>
    <row r="43422">
      <c r="N43422" s="1"/>
      <c r="V43422" s="5"/>
    </row>
    <row r="43423">
      <c r="N43423" s="1"/>
      <c r="V43423" s="5"/>
    </row>
    <row r="43424">
      <c r="N43424" s="1"/>
      <c r="V43424" s="5"/>
    </row>
    <row r="43425">
      <c r="N43425" s="1"/>
      <c r="V43425" s="5"/>
    </row>
    <row r="43426">
      <c r="N43426" s="1"/>
      <c r="V43426" s="5"/>
    </row>
    <row r="43427">
      <c r="N43427" s="1"/>
      <c r="V43427" s="5"/>
    </row>
    <row r="43428">
      <c r="N43428" s="1"/>
      <c r="V43428" s="5"/>
    </row>
    <row r="43429">
      <c r="N43429" s="1"/>
      <c r="V43429" s="5"/>
    </row>
    <row r="43430">
      <c r="N43430" s="1"/>
      <c r="V43430" s="5"/>
    </row>
    <row r="43431">
      <c r="N43431" s="1"/>
      <c r="V43431" s="5"/>
    </row>
    <row r="43432">
      <c r="N43432" s="1"/>
      <c r="V43432" s="5"/>
    </row>
    <row r="43433">
      <c r="N43433" s="1"/>
      <c r="V43433" s="5"/>
    </row>
    <row r="43434">
      <c r="N43434" s="1"/>
      <c r="V43434" s="5"/>
    </row>
    <row r="43435">
      <c r="N43435" s="1"/>
      <c r="V43435" s="5"/>
    </row>
    <row r="43436">
      <c r="N43436" s="1"/>
      <c r="V43436" s="5"/>
    </row>
    <row r="43437">
      <c r="N43437" s="1"/>
      <c r="V43437" s="5"/>
    </row>
    <row r="43438">
      <c r="N43438" s="1"/>
      <c r="V43438" s="5"/>
    </row>
    <row r="43439">
      <c r="N43439" s="1"/>
      <c r="V43439" s="5"/>
    </row>
    <row r="43440">
      <c r="N43440" s="1"/>
      <c r="V43440" s="5"/>
    </row>
    <row r="43441">
      <c r="N43441" s="1"/>
      <c r="V43441" s="5"/>
    </row>
    <row r="43442">
      <c r="N43442" s="1"/>
      <c r="V43442" s="5"/>
    </row>
    <row r="43443">
      <c r="N43443" s="1"/>
      <c r="V43443" s="5"/>
    </row>
    <row r="43444">
      <c r="N43444" s="1"/>
      <c r="V43444" s="5"/>
    </row>
    <row r="43445">
      <c r="N43445" s="1"/>
      <c r="V43445" s="5"/>
    </row>
    <row r="43446">
      <c r="N43446" s="1"/>
      <c r="V43446" s="5"/>
    </row>
    <row r="43447">
      <c r="N43447" s="1"/>
      <c r="V43447" s="5"/>
    </row>
    <row r="43448">
      <c r="N43448" s="1"/>
      <c r="V43448" s="5"/>
    </row>
    <row r="43449">
      <c r="N43449" s="1"/>
      <c r="V43449" s="5"/>
    </row>
    <row r="43450">
      <c r="N43450" s="1"/>
      <c r="V43450" s="5"/>
    </row>
    <row r="43451">
      <c r="N43451" s="1"/>
      <c r="V43451" s="5"/>
    </row>
    <row r="43452">
      <c r="N43452" s="1"/>
      <c r="V43452" s="5"/>
    </row>
    <row r="43453">
      <c r="N43453" s="1"/>
      <c r="V43453" s="5"/>
    </row>
    <row r="43454">
      <c r="N43454" s="1"/>
      <c r="V43454" s="5"/>
    </row>
    <row r="43455">
      <c r="N43455" s="1"/>
      <c r="V43455" s="5"/>
    </row>
    <row r="43456">
      <c r="N43456" s="1"/>
      <c r="V43456" s="5"/>
    </row>
    <row r="43457">
      <c r="N43457" s="1"/>
      <c r="V43457" s="5"/>
    </row>
    <row r="43458">
      <c r="N43458" s="1"/>
      <c r="V43458" s="5"/>
    </row>
    <row r="43459">
      <c r="N43459" s="1"/>
      <c r="V43459" s="5"/>
    </row>
    <row r="43460">
      <c r="N43460" s="1"/>
      <c r="V43460" s="5"/>
    </row>
    <row r="43461">
      <c r="N43461" s="1"/>
      <c r="V43461" s="5"/>
    </row>
    <row r="43462">
      <c r="N43462" s="1"/>
      <c r="V43462" s="5"/>
    </row>
    <row r="43463">
      <c r="N43463" s="1"/>
      <c r="V43463" s="5"/>
    </row>
    <row r="43464">
      <c r="N43464" s="1"/>
      <c r="V43464" s="5"/>
    </row>
    <row r="43465">
      <c r="N43465" s="1"/>
      <c r="V43465" s="5"/>
    </row>
    <row r="43466">
      <c r="N43466" s="1"/>
      <c r="V43466" s="5"/>
    </row>
    <row r="43467">
      <c r="N43467" s="1"/>
      <c r="V43467" s="5"/>
    </row>
    <row r="43468">
      <c r="N43468" s="1"/>
      <c r="V43468" s="5"/>
    </row>
    <row r="43469">
      <c r="N43469" s="1"/>
      <c r="V43469" s="5"/>
    </row>
    <row r="43470">
      <c r="N43470" s="1"/>
      <c r="V43470" s="5"/>
    </row>
    <row r="43471">
      <c r="N43471" s="1"/>
      <c r="V43471" s="5"/>
    </row>
    <row r="43472">
      <c r="N43472" s="1"/>
      <c r="V43472" s="5"/>
    </row>
    <row r="43473">
      <c r="N43473" s="1"/>
      <c r="V43473" s="5"/>
    </row>
    <row r="43474">
      <c r="N43474" s="1"/>
      <c r="V43474" s="5"/>
    </row>
    <row r="43475">
      <c r="N43475" s="1"/>
      <c r="V43475" s="5"/>
    </row>
    <row r="43476">
      <c r="N43476" s="1"/>
      <c r="V43476" s="5"/>
    </row>
    <row r="43477">
      <c r="N43477" s="1"/>
      <c r="V43477" s="5"/>
    </row>
    <row r="43478">
      <c r="N43478" s="1"/>
      <c r="V43478" s="5"/>
    </row>
    <row r="43479">
      <c r="N43479" s="1"/>
      <c r="V43479" s="5"/>
    </row>
    <row r="43480">
      <c r="N43480" s="1"/>
      <c r="V43480" s="5"/>
    </row>
    <row r="43481">
      <c r="N43481" s="1"/>
      <c r="V43481" s="5"/>
    </row>
    <row r="43482">
      <c r="N43482" s="1"/>
      <c r="V43482" s="5"/>
    </row>
    <row r="43483">
      <c r="N43483" s="1"/>
      <c r="V43483" s="5"/>
    </row>
    <row r="43484">
      <c r="N43484" s="1"/>
      <c r="V43484" s="5"/>
    </row>
    <row r="43485">
      <c r="N43485" s="1"/>
      <c r="V43485" s="5"/>
    </row>
    <row r="43486">
      <c r="N43486" s="1"/>
      <c r="V43486" s="5"/>
    </row>
    <row r="43487">
      <c r="N43487" s="1"/>
      <c r="V43487" s="5"/>
    </row>
    <row r="43488">
      <c r="N43488" s="1"/>
      <c r="V43488" s="5"/>
    </row>
    <row r="43489">
      <c r="N43489" s="1"/>
      <c r="V43489" s="5"/>
    </row>
    <row r="43490">
      <c r="N43490" s="1"/>
      <c r="V43490" s="5"/>
    </row>
    <row r="43491">
      <c r="N43491" s="1"/>
      <c r="V43491" s="5"/>
    </row>
    <row r="43492">
      <c r="N43492" s="1"/>
      <c r="V43492" s="5"/>
    </row>
    <row r="43493">
      <c r="N43493" s="1"/>
      <c r="V43493" s="5"/>
    </row>
    <row r="43494">
      <c r="N43494" s="1"/>
      <c r="V43494" s="5"/>
    </row>
    <row r="43495">
      <c r="N43495" s="1"/>
      <c r="V43495" s="5"/>
    </row>
    <row r="43496">
      <c r="N43496" s="1"/>
      <c r="V43496" s="5"/>
    </row>
    <row r="43497">
      <c r="N43497" s="1"/>
      <c r="V43497" s="5"/>
    </row>
    <row r="43498">
      <c r="N43498" s="1"/>
      <c r="V43498" s="5"/>
    </row>
    <row r="43499">
      <c r="N43499" s="1"/>
      <c r="V43499" s="5"/>
    </row>
    <row r="43500">
      <c r="N43500" s="1"/>
      <c r="V43500" s="5"/>
    </row>
    <row r="43501">
      <c r="N43501" s="1"/>
      <c r="V43501" s="5"/>
    </row>
    <row r="43502">
      <c r="N43502" s="1"/>
      <c r="V43502" s="5"/>
    </row>
    <row r="43503">
      <c r="N43503" s="1"/>
      <c r="V43503" s="5"/>
    </row>
    <row r="43504">
      <c r="N43504" s="1"/>
      <c r="V43504" s="5"/>
    </row>
    <row r="43505">
      <c r="N43505" s="1"/>
      <c r="V43505" s="5"/>
    </row>
    <row r="43506">
      <c r="N43506" s="1"/>
      <c r="V43506" s="5"/>
    </row>
    <row r="43507">
      <c r="N43507" s="1"/>
      <c r="V43507" s="5"/>
    </row>
    <row r="43508">
      <c r="N43508" s="1"/>
      <c r="V43508" s="5"/>
    </row>
    <row r="43509">
      <c r="N43509" s="1"/>
      <c r="V43509" s="5"/>
    </row>
    <row r="43510">
      <c r="N43510" s="1"/>
      <c r="V43510" s="5"/>
    </row>
    <row r="43511">
      <c r="N43511" s="1"/>
      <c r="V43511" s="5"/>
    </row>
    <row r="43512">
      <c r="N43512" s="1"/>
      <c r="V43512" s="5"/>
    </row>
    <row r="43513">
      <c r="N43513" s="1"/>
      <c r="V43513" s="5"/>
    </row>
    <row r="43514">
      <c r="N43514" s="1"/>
      <c r="V43514" s="5"/>
    </row>
    <row r="43515">
      <c r="N43515" s="1"/>
      <c r="V43515" s="5"/>
    </row>
    <row r="43516">
      <c r="N43516" s="1"/>
      <c r="V43516" s="5"/>
    </row>
    <row r="43517">
      <c r="N43517" s="1"/>
      <c r="V43517" s="5"/>
    </row>
    <row r="43518">
      <c r="N43518" s="1"/>
      <c r="V43518" s="5"/>
    </row>
    <row r="43519">
      <c r="N43519" s="1"/>
      <c r="V43519" s="5"/>
    </row>
    <row r="43520">
      <c r="N43520" s="1"/>
      <c r="V43520" s="5"/>
    </row>
    <row r="43521">
      <c r="N43521" s="1"/>
      <c r="V43521" s="5"/>
    </row>
    <row r="43522">
      <c r="N43522" s="1"/>
      <c r="V43522" s="5"/>
    </row>
    <row r="43523">
      <c r="N43523" s="1"/>
      <c r="V43523" s="5"/>
    </row>
    <row r="43524">
      <c r="N43524" s="1"/>
      <c r="V43524" s="5"/>
    </row>
    <row r="43525">
      <c r="N43525" s="1"/>
      <c r="V43525" s="5"/>
    </row>
    <row r="43526">
      <c r="N43526" s="1"/>
      <c r="V43526" s="5"/>
    </row>
    <row r="43527">
      <c r="N43527" s="1"/>
      <c r="V43527" s="5"/>
    </row>
    <row r="43528">
      <c r="N43528" s="1"/>
      <c r="V43528" s="5"/>
    </row>
    <row r="43529">
      <c r="N43529" s="1"/>
      <c r="V43529" s="5"/>
    </row>
    <row r="43530">
      <c r="N43530" s="1"/>
      <c r="V43530" s="5"/>
    </row>
    <row r="43531">
      <c r="N43531" s="1"/>
      <c r="V43531" s="5"/>
    </row>
    <row r="43532">
      <c r="N43532" s="1"/>
      <c r="V43532" s="5"/>
    </row>
    <row r="43533">
      <c r="N43533" s="1"/>
      <c r="V43533" s="5"/>
    </row>
    <row r="43534">
      <c r="N43534" s="1"/>
      <c r="V43534" s="5"/>
    </row>
    <row r="43535">
      <c r="N43535" s="1"/>
      <c r="V43535" s="5"/>
    </row>
    <row r="43536">
      <c r="N43536" s="1"/>
      <c r="V43536" s="5"/>
    </row>
    <row r="43537">
      <c r="N43537" s="1"/>
      <c r="V43537" s="5"/>
    </row>
    <row r="43538">
      <c r="N43538" s="1"/>
      <c r="V43538" s="5"/>
    </row>
    <row r="43539">
      <c r="N43539" s="1"/>
      <c r="V43539" s="5"/>
    </row>
    <row r="43540">
      <c r="N43540" s="1"/>
      <c r="V43540" s="5"/>
    </row>
    <row r="43541">
      <c r="N43541" s="1"/>
      <c r="V43541" s="5"/>
    </row>
    <row r="43542">
      <c r="N43542" s="1"/>
      <c r="V43542" s="5"/>
    </row>
    <row r="43543">
      <c r="N43543" s="1"/>
      <c r="V43543" s="5"/>
    </row>
    <row r="43544">
      <c r="N43544" s="1"/>
      <c r="V43544" s="5"/>
    </row>
    <row r="43545">
      <c r="N43545" s="1"/>
      <c r="V43545" s="5"/>
    </row>
    <row r="43546">
      <c r="N43546" s="1"/>
      <c r="V43546" s="5"/>
    </row>
    <row r="43547">
      <c r="N43547" s="1"/>
      <c r="V43547" s="5"/>
    </row>
    <row r="43548">
      <c r="N43548" s="1"/>
      <c r="V43548" s="5"/>
    </row>
    <row r="43549">
      <c r="N43549" s="1"/>
      <c r="V43549" s="5"/>
    </row>
    <row r="43550">
      <c r="N43550" s="1"/>
      <c r="V43550" s="5"/>
    </row>
    <row r="43551">
      <c r="N43551" s="1"/>
      <c r="V43551" s="5"/>
    </row>
    <row r="43552">
      <c r="N43552" s="1"/>
      <c r="V43552" s="5"/>
    </row>
    <row r="43553">
      <c r="N43553" s="1"/>
      <c r="V43553" s="5"/>
    </row>
    <row r="43554">
      <c r="N43554" s="1"/>
      <c r="V43554" s="5"/>
    </row>
    <row r="43555">
      <c r="N43555" s="1"/>
      <c r="V43555" s="5"/>
    </row>
    <row r="43556">
      <c r="N43556" s="1"/>
      <c r="V43556" s="5"/>
    </row>
    <row r="43557">
      <c r="N43557" s="1"/>
      <c r="V43557" s="5"/>
    </row>
    <row r="43558">
      <c r="N43558" s="1"/>
      <c r="V43558" s="5"/>
    </row>
    <row r="43559">
      <c r="N43559" s="1"/>
      <c r="V43559" s="5"/>
    </row>
    <row r="43560">
      <c r="N43560" s="1"/>
      <c r="V43560" s="5"/>
    </row>
    <row r="43561">
      <c r="N43561" s="1"/>
      <c r="V43561" s="5"/>
    </row>
    <row r="43562">
      <c r="N43562" s="1"/>
      <c r="V43562" s="5"/>
    </row>
    <row r="43563">
      <c r="N43563" s="1"/>
      <c r="V43563" s="5"/>
    </row>
    <row r="43564">
      <c r="N43564" s="1"/>
      <c r="V43564" s="5"/>
    </row>
    <row r="43565">
      <c r="N43565" s="1"/>
      <c r="V43565" s="5"/>
    </row>
    <row r="43566">
      <c r="N43566" s="1"/>
      <c r="V43566" s="5"/>
    </row>
    <row r="43567">
      <c r="N43567" s="1"/>
      <c r="V43567" s="5"/>
    </row>
    <row r="43568">
      <c r="N43568" s="1"/>
      <c r="V43568" s="5"/>
    </row>
    <row r="43569">
      <c r="N43569" s="1"/>
      <c r="V43569" s="5"/>
    </row>
    <row r="43570">
      <c r="N43570" s="1"/>
      <c r="V43570" s="5"/>
    </row>
    <row r="43571">
      <c r="N43571" s="1"/>
      <c r="V43571" s="5"/>
    </row>
    <row r="43572">
      <c r="N43572" s="1"/>
      <c r="V43572" s="5"/>
    </row>
    <row r="43573">
      <c r="N43573" s="1"/>
      <c r="V43573" s="5"/>
    </row>
    <row r="43574">
      <c r="N43574" s="1"/>
      <c r="V43574" s="5"/>
    </row>
    <row r="43575">
      <c r="N43575" s="1"/>
      <c r="V43575" s="5"/>
    </row>
    <row r="43576">
      <c r="N43576" s="1"/>
      <c r="V43576" s="5"/>
    </row>
    <row r="43577">
      <c r="N43577" s="1"/>
      <c r="V43577" s="5"/>
    </row>
    <row r="43578">
      <c r="N43578" s="1"/>
      <c r="V43578" s="5"/>
    </row>
    <row r="43579">
      <c r="N43579" s="1"/>
      <c r="V43579" s="5"/>
    </row>
    <row r="43580">
      <c r="N43580" s="1"/>
      <c r="V43580" s="5"/>
    </row>
    <row r="43581">
      <c r="N43581" s="1"/>
      <c r="V43581" s="5"/>
    </row>
    <row r="43582">
      <c r="N43582" s="1"/>
      <c r="V43582" s="5"/>
    </row>
    <row r="43583">
      <c r="N43583" s="1"/>
      <c r="V43583" s="5"/>
    </row>
    <row r="43584">
      <c r="N43584" s="1"/>
      <c r="V43584" s="5"/>
    </row>
    <row r="43585">
      <c r="N43585" s="1"/>
      <c r="V43585" s="5"/>
    </row>
    <row r="43586">
      <c r="N43586" s="1"/>
      <c r="V43586" s="5"/>
    </row>
    <row r="43587">
      <c r="N43587" s="1"/>
      <c r="V43587" s="5"/>
    </row>
    <row r="43588">
      <c r="N43588" s="1"/>
      <c r="V43588" s="5"/>
    </row>
    <row r="43589">
      <c r="N43589" s="1"/>
      <c r="V43589" s="5"/>
    </row>
    <row r="43590">
      <c r="N43590" s="1"/>
      <c r="V43590" s="5"/>
    </row>
    <row r="43591">
      <c r="N43591" s="1"/>
      <c r="V43591" s="5"/>
    </row>
    <row r="43592">
      <c r="N43592" s="1"/>
      <c r="V43592" s="5"/>
    </row>
    <row r="43593">
      <c r="N43593" s="1"/>
      <c r="V43593" s="5"/>
    </row>
    <row r="43594">
      <c r="N43594" s="1"/>
      <c r="V43594" s="5"/>
    </row>
    <row r="43595">
      <c r="N43595" s="1"/>
      <c r="V43595" s="5"/>
    </row>
    <row r="43596">
      <c r="N43596" s="1"/>
      <c r="V43596" s="5"/>
    </row>
    <row r="43597">
      <c r="N43597" s="1"/>
      <c r="V43597" s="5"/>
    </row>
    <row r="43598">
      <c r="N43598" s="1"/>
      <c r="V43598" s="5"/>
    </row>
    <row r="43599">
      <c r="N43599" s="1"/>
      <c r="V43599" s="5"/>
    </row>
    <row r="43600">
      <c r="N43600" s="1"/>
      <c r="V43600" s="5"/>
    </row>
    <row r="43601">
      <c r="N43601" s="1"/>
      <c r="V43601" s="5"/>
    </row>
    <row r="43602">
      <c r="N43602" s="1"/>
      <c r="V43602" s="5"/>
    </row>
    <row r="43603">
      <c r="N43603" s="1"/>
      <c r="V43603" s="5"/>
    </row>
    <row r="43604">
      <c r="N43604" s="1"/>
      <c r="V43604" s="5"/>
    </row>
    <row r="43605">
      <c r="N43605" s="1"/>
      <c r="V43605" s="5"/>
    </row>
    <row r="43606">
      <c r="N43606" s="1"/>
      <c r="V43606" s="5"/>
    </row>
    <row r="43607">
      <c r="N43607" s="1"/>
      <c r="V43607" s="5"/>
    </row>
    <row r="43608">
      <c r="N43608" s="1"/>
      <c r="V43608" s="5"/>
    </row>
    <row r="43609">
      <c r="N43609" s="1"/>
      <c r="V43609" s="5"/>
    </row>
    <row r="43610">
      <c r="N43610" s="1"/>
      <c r="V43610" s="5"/>
    </row>
    <row r="43611">
      <c r="N43611" s="1"/>
      <c r="V43611" s="5"/>
    </row>
    <row r="43612">
      <c r="N43612" s="1"/>
      <c r="V43612" s="5"/>
    </row>
    <row r="43613">
      <c r="N43613" s="1"/>
      <c r="V43613" s="5"/>
    </row>
    <row r="43614">
      <c r="N43614" s="1"/>
      <c r="V43614" s="5"/>
    </row>
    <row r="43615">
      <c r="N43615" s="1"/>
      <c r="V43615" s="5"/>
    </row>
    <row r="43616">
      <c r="N43616" s="1"/>
      <c r="V43616" s="5"/>
    </row>
    <row r="43617">
      <c r="N43617" s="1"/>
      <c r="V43617" s="5"/>
    </row>
    <row r="43618">
      <c r="N43618" s="1"/>
      <c r="V43618" s="5"/>
    </row>
    <row r="43619">
      <c r="N43619" s="1"/>
      <c r="V43619" s="5"/>
    </row>
    <row r="43620">
      <c r="N43620" s="1"/>
      <c r="V43620" s="5"/>
    </row>
    <row r="43621">
      <c r="N43621" s="1"/>
      <c r="V43621" s="5"/>
    </row>
    <row r="43622">
      <c r="N43622" s="1"/>
      <c r="V43622" s="5"/>
    </row>
    <row r="43623">
      <c r="N43623" s="1"/>
      <c r="V43623" s="5"/>
    </row>
    <row r="43624">
      <c r="N43624" s="1"/>
      <c r="V43624" s="5"/>
    </row>
    <row r="43625">
      <c r="N43625" s="1"/>
      <c r="V43625" s="5"/>
    </row>
    <row r="43626">
      <c r="N43626" s="1"/>
      <c r="V43626" s="5"/>
    </row>
    <row r="43627">
      <c r="N43627" s="1"/>
      <c r="V43627" s="5"/>
    </row>
    <row r="43628">
      <c r="N43628" s="1"/>
      <c r="V43628" s="5"/>
    </row>
    <row r="43629">
      <c r="N43629" s="1"/>
      <c r="V43629" s="5"/>
    </row>
    <row r="43630">
      <c r="N43630" s="1"/>
      <c r="V43630" s="5"/>
    </row>
    <row r="43631">
      <c r="N43631" s="1"/>
      <c r="V43631" s="5"/>
    </row>
    <row r="43632">
      <c r="N43632" s="1"/>
      <c r="V43632" s="5"/>
    </row>
    <row r="43633">
      <c r="N43633" s="1"/>
      <c r="V43633" s="5"/>
    </row>
    <row r="43634">
      <c r="N43634" s="1"/>
      <c r="V43634" s="5"/>
    </row>
    <row r="43635">
      <c r="N43635" s="1"/>
      <c r="V43635" s="5"/>
    </row>
    <row r="43636">
      <c r="N43636" s="1"/>
      <c r="V43636" s="5"/>
    </row>
    <row r="43637">
      <c r="N43637" s="1"/>
      <c r="V43637" s="5"/>
    </row>
    <row r="43638">
      <c r="N43638" s="1"/>
      <c r="V43638" s="5"/>
    </row>
    <row r="43639">
      <c r="N43639" s="1"/>
      <c r="V43639" s="5"/>
    </row>
    <row r="43640">
      <c r="N43640" s="1"/>
      <c r="V43640" s="5"/>
    </row>
    <row r="43641">
      <c r="N43641" s="1"/>
      <c r="V43641" s="5"/>
    </row>
    <row r="43642">
      <c r="N43642" s="1"/>
      <c r="V43642" s="5"/>
    </row>
    <row r="43643">
      <c r="N43643" s="1"/>
      <c r="V43643" s="5"/>
    </row>
    <row r="43644">
      <c r="N43644" s="1"/>
      <c r="V43644" s="5"/>
    </row>
    <row r="43645">
      <c r="N43645" s="1"/>
      <c r="V43645" s="5"/>
    </row>
    <row r="43646">
      <c r="N43646" s="1"/>
      <c r="V43646" s="5"/>
    </row>
    <row r="43647">
      <c r="N43647" s="1"/>
      <c r="V43647" s="5"/>
    </row>
    <row r="43648">
      <c r="N43648" s="1"/>
      <c r="V43648" s="5"/>
    </row>
    <row r="43649">
      <c r="N43649" s="1"/>
      <c r="V43649" s="5"/>
    </row>
    <row r="43650">
      <c r="N43650" s="1"/>
      <c r="V43650" s="5"/>
    </row>
    <row r="43651">
      <c r="N43651" s="1"/>
      <c r="V43651" s="5"/>
    </row>
    <row r="43652">
      <c r="N43652" s="1"/>
      <c r="V43652" s="5"/>
    </row>
    <row r="43653">
      <c r="N43653" s="1"/>
      <c r="V43653" s="5"/>
    </row>
    <row r="43654">
      <c r="N43654" s="1"/>
      <c r="V43654" s="5"/>
    </row>
    <row r="43655">
      <c r="N43655" s="1"/>
      <c r="V43655" s="5"/>
    </row>
    <row r="43656">
      <c r="N43656" s="1"/>
      <c r="V43656" s="5"/>
    </row>
    <row r="43657">
      <c r="N43657" s="1"/>
      <c r="V43657" s="5"/>
    </row>
    <row r="43658">
      <c r="N43658" s="1"/>
      <c r="V43658" s="5"/>
    </row>
    <row r="43659">
      <c r="N43659" s="1"/>
      <c r="V43659" s="5"/>
    </row>
    <row r="43660">
      <c r="N43660" s="1"/>
      <c r="V43660" s="5"/>
    </row>
    <row r="43661">
      <c r="N43661" s="1"/>
      <c r="V43661" s="5"/>
    </row>
    <row r="43662">
      <c r="N43662" s="1"/>
      <c r="V43662" s="5"/>
    </row>
    <row r="43663">
      <c r="N43663" s="1"/>
      <c r="V43663" s="5"/>
    </row>
    <row r="43664">
      <c r="N43664" s="1"/>
      <c r="V43664" s="5"/>
    </row>
    <row r="43665">
      <c r="N43665" s="1"/>
      <c r="V43665" s="5"/>
    </row>
    <row r="43666">
      <c r="N43666" s="1"/>
      <c r="V43666" s="5"/>
    </row>
    <row r="43667">
      <c r="N43667" s="1"/>
      <c r="V43667" s="5"/>
    </row>
    <row r="43668">
      <c r="N43668" s="1"/>
      <c r="V43668" s="5"/>
    </row>
    <row r="43669">
      <c r="N43669" s="1"/>
      <c r="V43669" s="5"/>
    </row>
    <row r="43670">
      <c r="N43670" s="1"/>
      <c r="V43670" s="5"/>
    </row>
    <row r="43671">
      <c r="N43671" s="1"/>
      <c r="V43671" s="5"/>
    </row>
    <row r="43672">
      <c r="N43672" s="1"/>
      <c r="V43672" s="5"/>
    </row>
    <row r="43673">
      <c r="N43673" s="1"/>
      <c r="V43673" s="5"/>
    </row>
    <row r="43674">
      <c r="N43674" s="1"/>
      <c r="V43674" s="5"/>
    </row>
    <row r="43675">
      <c r="N43675" s="1"/>
      <c r="V43675" s="5"/>
    </row>
    <row r="43676">
      <c r="N43676" s="1"/>
      <c r="V43676" s="5"/>
    </row>
    <row r="43677">
      <c r="N43677" s="1"/>
      <c r="V43677" s="5"/>
    </row>
    <row r="43678">
      <c r="N43678" s="1"/>
      <c r="V43678" s="5"/>
    </row>
    <row r="43679">
      <c r="N43679" s="1"/>
      <c r="V43679" s="5"/>
    </row>
    <row r="43680">
      <c r="N43680" s="1"/>
      <c r="V43680" s="5"/>
    </row>
    <row r="43681">
      <c r="N43681" s="1"/>
      <c r="V43681" s="5"/>
    </row>
    <row r="43682">
      <c r="N43682" s="1"/>
      <c r="V43682" s="5"/>
    </row>
    <row r="43683">
      <c r="N43683" s="1"/>
      <c r="V43683" s="5"/>
    </row>
    <row r="43684">
      <c r="N43684" s="1"/>
      <c r="V43684" s="5"/>
    </row>
    <row r="43685">
      <c r="N43685" s="1"/>
      <c r="V43685" s="5"/>
    </row>
    <row r="43686">
      <c r="N43686" s="1"/>
      <c r="V43686" s="5"/>
    </row>
    <row r="43687">
      <c r="N43687" s="1"/>
      <c r="V43687" s="5"/>
    </row>
    <row r="43688">
      <c r="N43688" s="1"/>
      <c r="V43688" s="5"/>
    </row>
    <row r="43689">
      <c r="N43689" s="1"/>
      <c r="V43689" s="5"/>
    </row>
    <row r="43690">
      <c r="N43690" s="1"/>
      <c r="V43690" s="5"/>
    </row>
    <row r="43691">
      <c r="N43691" s="1"/>
      <c r="V43691" s="5"/>
    </row>
    <row r="43692">
      <c r="N43692" s="1"/>
      <c r="V43692" s="5"/>
    </row>
    <row r="43693">
      <c r="N43693" s="1"/>
      <c r="V43693" s="5"/>
    </row>
    <row r="43694">
      <c r="N43694" s="1"/>
      <c r="V43694" s="5"/>
    </row>
    <row r="43695">
      <c r="N43695" s="1"/>
      <c r="V43695" s="5"/>
    </row>
    <row r="43696">
      <c r="N43696" s="1"/>
      <c r="V43696" s="5"/>
    </row>
    <row r="43697">
      <c r="N43697" s="1"/>
      <c r="V43697" s="5"/>
    </row>
    <row r="43698">
      <c r="N43698" s="1"/>
      <c r="V43698" s="5"/>
    </row>
    <row r="43699">
      <c r="N43699" s="1"/>
      <c r="V43699" s="5"/>
    </row>
    <row r="43700">
      <c r="N43700" s="1"/>
      <c r="V43700" s="5"/>
    </row>
    <row r="43701">
      <c r="N43701" s="1"/>
      <c r="V43701" s="5"/>
    </row>
    <row r="43702">
      <c r="N43702" s="1"/>
      <c r="V43702" s="5"/>
    </row>
    <row r="43703">
      <c r="N43703" s="1"/>
      <c r="V43703" s="5"/>
    </row>
    <row r="43704">
      <c r="N43704" s="1"/>
      <c r="V43704" s="5"/>
    </row>
    <row r="43705">
      <c r="N43705" s="1"/>
      <c r="V43705" s="5"/>
    </row>
    <row r="43706">
      <c r="N43706" s="1"/>
      <c r="V43706" s="5"/>
    </row>
    <row r="43707">
      <c r="N43707" s="1"/>
      <c r="V43707" s="5"/>
    </row>
    <row r="43708">
      <c r="N43708" s="1"/>
      <c r="V43708" s="5"/>
    </row>
    <row r="43709">
      <c r="N43709" s="1"/>
      <c r="V43709" s="5"/>
    </row>
    <row r="43710">
      <c r="N43710" s="1"/>
      <c r="V43710" s="5"/>
    </row>
    <row r="43711">
      <c r="N43711" s="1"/>
      <c r="V43711" s="5"/>
    </row>
    <row r="43712">
      <c r="N43712" s="1"/>
      <c r="V43712" s="5"/>
    </row>
    <row r="43713">
      <c r="N43713" s="1"/>
      <c r="V43713" s="5"/>
    </row>
    <row r="43714">
      <c r="N43714" s="1"/>
      <c r="V43714" s="5"/>
    </row>
    <row r="43715">
      <c r="N43715" s="1"/>
      <c r="V43715" s="5"/>
    </row>
    <row r="43716">
      <c r="N43716" s="1"/>
      <c r="V43716" s="5"/>
    </row>
    <row r="43717">
      <c r="N43717" s="1"/>
      <c r="V43717" s="5"/>
    </row>
    <row r="43718">
      <c r="N43718" s="1"/>
      <c r="V43718" s="5"/>
    </row>
    <row r="43719">
      <c r="N43719" s="1"/>
      <c r="V43719" s="5"/>
    </row>
    <row r="43720">
      <c r="N43720" s="1"/>
      <c r="V43720" s="5"/>
    </row>
    <row r="43721">
      <c r="N43721" s="1"/>
      <c r="V43721" s="5"/>
    </row>
    <row r="43722">
      <c r="N43722" s="1"/>
      <c r="V43722" s="5"/>
    </row>
    <row r="43723">
      <c r="N43723" s="1"/>
      <c r="V43723" s="5"/>
    </row>
    <row r="43724">
      <c r="N43724" s="1"/>
      <c r="V43724" s="5"/>
    </row>
    <row r="43725">
      <c r="N43725" s="1"/>
      <c r="V43725" s="5"/>
    </row>
    <row r="43726">
      <c r="N43726" s="1"/>
      <c r="V43726" s="5"/>
    </row>
    <row r="43727">
      <c r="N43727" s="1"/>
      <c r="V43727" s="5"/>
    </row>
    <row r="43728">
      <c r="N43728" s="1"/>
      <c r="V43728" s="5"/>
    </row>
    <row r="43729">
      <c r="N43729" s="1"/>
      <c r="V43729" s="5"/>
    </row>
    <row r="43730">
      <c r="N43730" s="1"/>
      <c r="V43730" s="5"/>
    </row>
    <row r="43731">
      <c r="N43731" s="1"/>
      <c r="V43731" s="5"/>
    </row>
    <row r="43732">
      <c r="N43732" s="1"/>
      <c r="V43732" s="5"/>
    </row>
    <row r="43733">
      <c r="N43733" s="1"/>
      <c r="V43733" s="5"/>
    </row>
    <row r="43734">
      <c r="N43734" s="1"/>
      <c r="V43734" s="5"/>
    </row>
    <row r="43735">
      <c r="N43735" s="1"/>
      <c r="V43735" s="5"/>
    </row>
    <row r="43736">
      <c r="N43736" s="1"/>
      <c r="V43736" s="5"/>
    </row>
    <row r="43737">
      <c r="N43737" s="1"/>
      <c r="V43737" s="5"/>
    </row>
    <row r="43738">
      <c r="N43738" s="1"/>
      <c r="V43738" s="5"/>
    </row>
    <row r="43739">
      <c r="N43739" s="1"/>
      <c r="V43739" s="5"/>
    </row>
    <row r="43740">
      <c r="N43740" s="1"/>
      <c r="V43740" s="5"/>
    </row>
    <row r="43741">
      <c r="N43741" s="1"/>
      <c r="V43741" s="5"/>
    </row>
    <row r="43742">
      <c r="N43742" s="1"/>
      <c r="V43742" s="5"/>
    </row>
    <row r="43743">
      <c r="N43743" s="1"/>
      <c r="V43743" s="5"/>
    </row>
    <row r="43744">
      <c r="N43744" s="1"/>
      <c r="V43744" s="5"/>
    </row>
    <row r="43745">
      <c r="N43745" s="1"/>
      <c r="V43745" s="5"/>
    </row>
    <row r="43746">
      <c r="N43746" s="1"/>
      <c r="V43746" s="5"/>
    </row>
    <row r="43747">
      <c r="N43747" s="1"/>
      <c r="V43747" s="5"/>
    </row>
    <row r="43748">
      <c r="N43748" s="1"/>
      <c r="V43748" s="5"/>
    </row>
    <row r="43749">
      <c r="N43749" s="1"/>
      <c r="V43749" s="5"/>
    </row>
    <row r="43750">
      <c r="N43750" s="1"/>
      <c r="V43750" s="5"/>
    </row>
    <row r="43751">
      <c r="N43751" s="1"/>
      <c r="V43751" s="5"/>
    </row>
    <row r="43752">
      <c r="N43752" s="1"/>
      <c r="V43752" s="5"/>
    </row>
    <row r="43753">
      <c r="N43753" s="1"/>
      <c r="V43753" s="5"/>
    </row>
    <row r="43754">
      <c r="N43754" s="1"/>
      <c r="V43754" s="5"/>
    </row>
    <row r="43755">
      <c r="N43755" s="1"/>
      <c r="V43755" s="5"/>
    </row>
    <row r="43756">
      <c r="N43756" s="1"/>
      <c r="V43756" s="5"/>
    </row>
    <row r="43757">
      <c r="N43757" s="1"/>
      <c r="V43757" s="5"/>
    </row>
    <row r="43758">
      <c r="N43758" s="1"/>
      <c r="V43758" s="5"/>
    </row>
    <row r="43759">
      <c r="N43759" s="1"/>
      <c r="V43759" s="5"/>
    </row>
    <row r="43760">
      <c r="N43760" s="1"/>
      <c r="V43760" s="5"/>
    </row>
    <row r="43761">
      <c r="N43761" s="1"/>
      <c r="V43761" s="5"/>
    </row>
    <row r="43762">
      <c r="N43762" s="1"/>
      <c r="V43762" s="5"/>
    </row>
    <row r="43763">
      <c r="N43763" s="1"/>
      <c r="V43763" s="5"/>
    </row>
    <row r="43764">
      <c r="N43764" s="1"/>
      <c r="V43764" s="5"/>
    </row>
    <row r="43765">
      <c r="N43765" s="1"/>
      <c r="V43765" s="5"/>
    </row>
    <row r="43766">
      <c r="N43766" s="1"/>
      <c r="V43766" s="5"/>
    </row>
    <row r="43767">
      <c r="N43767" s="1"/>
      <c r="V43767" s="5"/>
    </row>
    <row r="43768">
      <c r="N43768" s="1"/>
      <c r="V43768" s="5"/>
    </row>
    <row r="43769">
      <c r="N43769" s="1"/>
      <c r="V43769" s="5"/>
    </row>
    <row r="43770">
      <c r="N43770" s="1"/>
      <c r="V43770" s="5"/>
    </row>
    <row r="43771">
      <c r="N43771" s="1"/>
      <c r="V43771" s="5"/>
    </row>
    <row r="43772">
      <c r="N43772" s="1"/>
      <c r="V43772" s="5"/>
    </row>
    <row r="43773">
      <c r="N43773" s="1"/>
      <c r="V43773" s="5"/>
    </row>
    <row r="43774">
      <c r="N43774" s="1"/>
      <c r="V43774" s="5"/>
    </row>
    <row r="43775">
      <c r="N43775" s="1"/>
      <c r="V43775" s="5"/>
    </row>
    <row r="43776">
      <c r="N43776" s="1"/>
      <c r="V43776" s="5"/>
    </row>
    <row r="43777">
      <c r="N43777" s="1"/>
      <c r="V43777" s="5"/>
    </row>
    <row r="43778">
      <c r="N43778" s="1"/>
      <c r="V43778" s="5"/>
    </row>
    <row r="43779">
      <c r="N43779" s="1"/>
      <c r="V43779" s="5"/>
    </row>
    <row r="43780">
      <c r="N43780" s="1"/>
      <c r="V43780" s="5"/>
    </row>
    <row r="43781">
      <c r="N43781" s="1"/>
      <c r="V43781" s="5"/>
    </row>
    <row r="43782">
      <c r="N43782" s="1"/>
      <c r="V43782" s="5"/>
    </row>
    <row r="43783">
      <c r="N43783" s="1"/>
      <c r="V43783" s="5"/>
    </row>
    <row r="43784">
      <c r="N43784" s="1"/>
      <c r="V43784" s="5"/>
    </row>
    <row r="43785">
      <c r="N43785" s="1"/>
      <c r="V43785" s="5"/>
    </row>
    <row r="43786">
      <c r="N43786" s="1"/>
      <c r="V43786" s="5"/>
    </row>
    <row r="43787">
      <c r="N43787" s="1"/>
      <c r="V43787" s="5"/>
    </row>
    <row r="43788">
      <c r="N43788" s="1"/>
      <c r="V43788" s="5"/>
    </row>
    <row r="43789">
      <c r="N43789" s="1"/>
      <c r="V43789" s="5"/>
    </row>
    <row r="43790">
      <c r="N43790" s="1"/>
      <c r="V43790" s="5"/>
    </row>
    <row r="43791">
      <c r="N43791" s="1"/>
      <c r="V43791" s="5"/>
    </row>
    <row r="43792">
      <c r="N43792" s="1"/>
      <c r="V43792" s="5"/>
    </row>
    <row r="43793">
      <c r="N43793" s="1"/>
      <c r="V43793" s="5"/>
    </row>
    <row r="43794">
      <c r="N43794" s="1"/>
      <c r="V43794" s="5"/>
    </row>
    <row r="43795">
      <c r="N43795" s="1"/>
      <c r="V43795" s="5"/>
    </row>
    <row r="43796">
      <c r="N43796" s="1"/>
      <c r="V43796" s="5"/>
    </row>
    <row r="43797">
      <c r="N43797" s="1"/>
      <c r="V43797" s="5"/>
    </row>
    <row r="43798">
      <c r="N43798" s="1"/>
      <c r="V43798" s="5"/>
    </row>
    <row r="43799">
      <c r="N43799" s="1"/>
      <c r="V43799" s="5"/>
    </row>
    <row r="43800">
      <c r="N43800" s="1"/>
      <c r="V43800" s="5"/>
    </row>
    <row r="43801">
      <c r="N43801" s="1"/>
      <c r="V43801" s="5"/>
    </row>
    <row r="43802">
      <c r="N43802" s="1"/>
      <c r="V43802" s="5"/>
    </row>
    <row r="43803">
      <c r="N43803" s="1"/>
      <c r="V43803" s="5"/>
    </row>
    <row r="43804">
      <c r="N43804" s="1"/>
      <c r="V43804" s="5"/>
    </row>
    <row r="43805">
      <c r="N43805" s="1"/>
      <c r="V43805" s="5"/>
    </row>
    <row r="43806">
      <c r="N43806" s="1"/>
      <c r="V43806" s="5"/>
    </row>
    <row r="43807">
      <c r="N43807" s="1"/>
      <c r="V43807" s="5"/>
    </row>
    <row r="43808">
      <c r="N43808" s="1"/>
      <c r="V43808" s="5"/>
    </row>
    <row r="43809">
      <c r="N43809" s="1"/>
      <c r="V43809" s="5"/>
    </row>
    <row r="43810">
      <c r="N43810" s="1"/>
      <c r="V43810" s="5"/>
    </row>
    <row r="43811">
      <c r="N43811" s="1"/>
      <c r="V43811" s="5"/>
    </row>
    <row r="43812">
      <c r="N43812" s="1"/>
      <c r="V43812" s="5"/>
    </row>
    <row r="43813">
      <c r="N43813" s="1"/>
      <c r="V43813" s="5"/>
    </row>
    <row r="43814">
      <c r="N43814" s="1"/>
      <c r="V43814" s="5"/>
    </row>
    <row r="43815">
      <c r="N43815" s="1"/>
      <c r="V43815" s="5"/>
    </row>
    <row r="43816">
      <c r="N43816" s="1"/>
      <c r="V43816" s="5"/>
    </row>
    <row r="43817">
      <c r="N43817" s="1"/>
      <c r="V43817" s="5"/>
    </row>
    <row r="43818">
      <c r="N43818" s="1"/>
      <c r="V43818" s="5"/>
    </row>
    <row r="43819">
      <c r="N43819" s="1"/>
      <c r="V43819" s="5"/>
    </row>
    <row r="43820">
      <c r="N43820" s="1"/>
      <c r="V43820" s="5"/>
    </row>
    <row r="43821">
      <c r="N43821" s="1"/>
      <c r="V43821" s="5"/>
    </row>
    <row r="43822">
      <c r="N43822" s="1"/>
      <c r="V43822" s="5"/>
    </row>
    <row r="43823">
      <c r="N43823" s="1"/>
      <c r="V43823" s="5"/>
    </row>
    <row r="43824">
      <c r="N43824" s="1"/>
      <c r="V43824" s="5"/>
    </row>
    <row r="43825">
      <c r="N43825" s="1"/>
      <c r="V43825" s="5"/>
    </row>
    <row r="43826">
      <c r="N43826" s="1"/>
      <c r="V43826" s="5"/>
    </row>
    <row r="43827">
      <c r="N43827" s="1"/>
      <c r="V43827" s="5"/>
    </row>
    <row r="43828">
      <c r="N43828" s="1"/>
      <c r="V43828" s="5"/>
    </row>
    <row r="43829">
      <c r="N43829" s="1"/>
      <c r="V43829" s="5"/>
    </row>
    <row r="43830">
      <c r="N43830" s="1"/>
      <c r="V43830" s="5"/>
    </row>
    <row r="43831">
      <c r="N43831" s="1"/>
      <c r="V43831" s="5"/>
    </row>
    <row r="43832">
      <c r="N43832" s="1"/>
      <c r="V43832" s="5"/>
    </row>
    <row r="43833">
      <c r="N43833" s="1"/>
      <c r="V43833" s="5"/>
    </row>
    <row r="43834">
      <c r="N43834" s="1"/>
      <c r="V43834" s="5"/>
    </row>
    <row r="43835">
      <c r="N43835" s="1"/>
      <c r="V43835" s="5"/>
    </row>
    <row r="43836">
      <c r="N43836" s="1"/>
      <c r="V43836" s="5"/>
    </row>
    <row r="43837">
      <c r="N43837" s="1"/>
      <c r="V43837" s="5"/>
    </row>
    <row r="43838">
      <c r="N43838" s="1"/>
      <c r="V43838" s="5"/>
    </row>
    <row r="43839">
      <c r="N43839" s="1"/>
      <c r="V43839" s="5"/>
    </row>
    <row r="43840">
      <c r="N43840" s="1"/>
      <c r="V43840" s="5"/>
    </row>
    <row r="43841">
      <c r="N43841" s="1"/>
      <c r="V43841" s="5"/>
    </row>
    <row r="43842">
      <c r="N43842" s="1"/>
      <c r="V43842" s="5"/>
    </row>
    <row r="43843">
      <c r="N43843" s="1"/>
      <c r="V43843" s="5"/>
    </row>
    <row r="43844">
      <c r="N43844" s="1"/>
      <c r="V43844" s="5"/>
    </row>
    <row r="43845">
      <c r="N43845" s="1"/>
      <c r="V43845" s="5"/>
    </row>
    <row r="43846">
      <c r="N43846" s="1"/>
      <c r="V43846" s="5"/>
    </row>
    <row r="43847">
      <c r="N43847" s="1"/>
      <c r="V43847" s="5"/>
    </row>
    <row r="43848">
      <c r="N43848" s="1"/>
      <c r="V43848" s="5"/>
    </row>
    <row r="43849">
      <c r="N43849" s="1"/>
      <c r="V43849" s="5"/>
    </row>
    <row r="43850">
      <c r="N43850" s="1"/>
      <c r="V43850" s="5"/>
    </row>
    <row r="43851">
      <c r="N43851" s="1"/>
      <c r="V43851" s="5"/>
    </row>
    <row r="43852">
      <c r="N43852" s="1"/>
      <c r="V43852" s="5"/>
    </row>
    <row r="43853">
      <c r="N43853" s="1"/>
      <c r="V43853" s="5"/>
    </row>
    <row r="43854">
      <c r="N43854" s="1"/>
      <c r="V43854" s="5"/>
    </row>
    <row r="43855">
      <c r="N43855" s="1"/>
      <c r="V43855" s="5"/>
    </row>
    <row r="43856">
      <c r="N43856" s="1"/>
      <c r="V43856" s="5"/>
    </row>
    <row r="43857">
      <c r="N43857" s="1"/>
      <c r="V43857" s="5"/>
    </row>
    <row r="43858">
      <c r="N43858" s="1"/>
      <c r="V43858" s="5"/>
    </row>
    <row r="43859">
      <c r="N43859" s="1"/>
      <c r="V43859" s="5"/>
    </row>
    <row r="43860">
      <c r="N43860" s="1"/>
      <c r="V43860" s="5"/>
    </row>
    <row r="43861">
      <c r="N43861" s="1"/>
      <c r="V43861" s="5"/>
    </row>
    <row r="43862">
      <c r="N43862" s="1"/>
      <c r="V43862" s="5"/>
    </row>
    <row r="43863">
      <c r="N43863" s="1"/>
      <c r="V43863" s="5"/>
    </row>
    <row r="43864">
      <c r="N43864" s="1"/>
      <c r="V43864" s="5"/>
    </row>
    <row r="43865">
      <c r="N43865" s="1"/>
      <c r="V43865" s="5"/>
    </row>
    <row r="43866">
      <c r="N43866" s="1"/>
      <c r="V43866" s="5"/>
    </row>
    <row r="43867">
      <c r="N43867" s="1"/>
      <c r="V43867" s="5"/>
    </row>
    <row r="43868">
      <c r="N43868" s="1"/>
      <c r="V43868" s="5"/>
    </row>
    <row r="43869">
      <c r="N43869" s="1"/>
      <c r="V43869" s="5"/>
    </row>
    <row r="43870">
      <c r="N43870" s="1"/>
      <c r="V43870" s="5"/>
    </row>
    <row r="43871">
      <c r="N43871" s="1"/>
      <c r="V43871" s="5"/>
    </row>
    <row r="43872">
      <c r="N43872" s="1"/>
      <c r="V43872" s="5"/>
    </row>
    <row r="43873">
      <c r="N43873" s="1"/>
      <c r="V43873" s="5"/>
    </row>
    <row r="43874">
      <c r="N43874" s="1"/>
      <c r="V43874" s="5"/>
    </row>
    <row r="43875">
      <c r="N43875" s="1"/>
      <c r="V43875" s="5"/>
    </row>
    <row r="43876">
      <c r="N43876" s="1"/>
      <c r="V43876" s="5"/>
    </row>
    <row r="43877">
      <c r="N43877" s="1"/>
      <c r="V43877" s="5"/>
    </row>
    <row r="43878">
      <c r="N43878" s="1"/>
      <c r="V43878" s="5"/>
    </row>
    <row r="43879">
      <c r="N43879" s="1"/>
      <c r="V43879" s="5"/>
    </row>
    <row r="43880">
      <c r="N43880" s="1"/>
      <c r="V43880" s="5"/>
    </row>
    <row r="43881">
      <c r="N43881" s="1"/>
      <c r="V43881" s="5"/>
    </row>
    <row r="43882">
      <c r="N43882" s="1"/>
      <c r="V43882" s="5"/>
    </row>
    <row r="43883">
      <c r="N43883" s="1"/>
      <c r="V43883" s="5"/>
    </row>
    <row r="43884">
      <c r="N43884" s="1"/>
      <c r="V43884" s="5"/>
    </row>
    <row r="43885">
      <c r="N43885" s="1"/>
      <c r="V43885" s="5"/>
    </row>
    <row r="43886">
      <c r="N43886" s="1"/>
      <c r="V43886" s="5"/>
    </row>
    <row r="43887">
      <c r="N43887" s="1"/>
      <c r="V43887" s="5"/>
    </row>
    <row r="43888">
      <c r="N43888" s="1"/>
      <c r="V43888" s="5"/>
    </row>
    <row r="43889">
      <c r="N43889" s="1"/>
      <c r="V43889" s="5"/>
    </row>
    <row r="43890">
      <c r="N43890" s="1"/>
      <c r="V43890" s="5"/>
    </row>
    <row r="43891">
      <c r="N43891" s="1"/>
      <c r="V43891" s="5"/>
    </row>
    <row r="43892">
      <c r="N43892" s="1"/>
      <c r="V43892" s="5"/>
    </row>
    <row r="43893">
      <c r="N43893" s="1"/>
      <c r="V43893" s="5"/>
    </row>
    <row r="43894">
      <c r="N43894" s="1"/>
      <c r="V43894" s="5"/>
    </row>
    <row r="43895">
      <c r="N43895" s="1"/>
      <c r="V43895" s="5"/>
    </row>
    <row r="43896">
      <c r="N43896" s="1"/>
      <c r="V43896" s="5"/>
    </row>
    <row r="43897">
      <c r="N43897" s="1"/>
      <c r="V43897" s="5"/>
    </row>
    <row r="43898">
      <c r="N43898" s="1"/>
      <c r="V43898" s="5"/>
    </row>
    <row r="43899">
      <c r="N43899" s="1"/>
      <c r="V43899" s="5"/>
    </row>
    <row r="43900">
      <c r="N43900" s="1"/>
      <c r="V43900" s="5"/>
    </row>
    <row r="43901">
      <c r="N43901" s="1"/>
      <c r="V43901" s="5"/>
    </row>
    <row r="43902">
      <c r="N43902" s="1"/>
      <c r="V43902" s="5"/>
    </row>
    <row r="43903">
      <c r="N43903" s="1"/>
      <c r="V43903" s="5"/>
    </row>
    <row r="43904">
      <c r="N43904" s="1"/>
      <c r="V43904" s="5"/>
    </row>
    <row r="43905">
      <c r="N43905" s="1"/>
      <c r="V43905" s="5"/>
    </row>
    <row r="43906">
      <c r="N43906" s="1"/>
      <c r="V43906" s="5"/>
    </row>
    <row r="43907">
      <c r="N43907" s="1"/>
      <c r="V43907" s="5"/>
    </row>
    <row r="43908">
      <c r="N43908" s="1"/>
      <c r="V43908" s="5"/>
    </row>
    <row r="43909">
      <c r="N43909" s="1"/>
      <c r="V43909" s="5"/>
    </row>
    <row r="43910">
      <c r="N43910" s="1"/>
      <c r="V43910" s="5"/>
    </row>
    <row r="43911">
      <c r="N43911" s="1"/>
      <c r="V43911" s="5"/>
    </row>
    <row r="43912">
      <c r="N43912" s="1"/>
      <c r="V43912" s="5"/>
    </row>
    <row r="43913">
      <c r="N43913" s="1"/>
      <c r="V43913" s="5"/>
    </row>
    <row r="43914">
      <c r="N43914" s="1"/>
      <c r="V43914" s="5"/>
    </row>
    <row r="43915">
      <c r="N43915" s="1"/>
      <c r="V43915" s="5"/>
    </row>
    <row r="43916">
      <c r="N43916" s="1"/>
      <c r="V43916" s="5"/>
    </row>
    <row r="43917">
      <c r="N43917" s="1"/>
      <c r="V43917" s="5"/>
    </row>
    <row r="43918">
      <c r="N43918" s="1"/>
      <c r="V43918" s="5"/>
    </row>
    <row r="43919">
      <c r="N43919" s="1"/>
      <c r="V43919" s="5"/>
    </row>
    <row r="43920">
      <c r="N43920" s="1"/>
      <c r="V43920" s="5"/>
    </row>
    <row r="43921">
      <c r="N43921" s="1"/>
      <c r="V43921" s="5"/>
    </row>
    <row r="43922">
      <c r="N43922" s="1"/>
      <c r="V43922" s="5"/>
    </row>
    <row r="43923">
      <c r="N43923" s="1"/>
      <c r="V43923" s="5"/>
    </row>
    <row r="43924">
      <c r="N43924" s="1"/>
      <c r="V43924" s="5"/>
    </row>
    <row r="43925">
      <c r="N43925" s="1"/>
      <c r="V43925" s="5"/>
    </row>
    <row r="43926">
      <c r="N43926" s="1"/>
      <c r="V43926" s="5"/>
    </row>
    <row r="43927">
      <c r="N43927" s="1"/>
      <c r="V43927" s="5"/>
    </row>
    <row r="43928">
      <c r="N43928" s="1"/>
      <c r="V43928" s="5"/>
    </row>
    <row r="43929">
      <c r="N43929" s="1"/>
      <c r="V43929" s="5"/>
    </row>
    <row r="43930">
      <c r="N43930" s="1"/>
      <c r="V43930" s="5"/>
    </row>
    <row r="43931">
      <c r="N43931" s="1"/>
      <c r="V43931" s="5"/>
    </row>
    <row r="43932">
      <c r="N43932" s="1"/>
      <c r="V43932" s="5"/>
    </row>
    <row r="43933">
      <c r="N43933" s="1"/>
      <c r="V43933" s="5"/>
    </row>
    <row r="43934">
      <c r="N43934" s="1"/>
      <c r="V43934" s="5"/>
    </row>
    <row r="43935">
      <c r="N43935" s="1"/>
      <c r="V43935" s="5"/>
    </row>
    <row r="43936">
      <c r="N43936" s="1"/>
      <c r="V43936" s="5"/>
    </row>
    <row r="43937">
      <c r="N43937" s="1"/>
      <c r="V43937" s="5"/>
    </row>
    <row r="43938">
      <c r="N43938" s="1"/>
      <c r="V43938" s="5"/>
    </row>
    <row r="43939">
      <c r="N43939" s="1"/>
      <c r="V43939" s="5"/>
    </row>
    <row r="43940">
      <c r="N43940" s="1"/>
      <c r="V43940" s="5"/>
    </row>
    <row r="43941">
      <c r="N43941" s="1"/>
      <c r="V43941" s="5"/>
    </row>
    <row r="43942">
      <c r="N43942" s="1"/>
      <c r="V43942" s="5"/>
    </row>
    <row r="43943">
      <c r="N43943" s="1"/>
      <c r="V43943" s="5"/>
    </row>
    <row r="43944">
      <c r="N43944" s="1"/>
      <c r="V43944" s="5"/>
    </row>
    <row r="43945">
      <c r="N43945" s="1"/>
      <c r="V43945" s="5"/>
    </row>
    <row r="43946">
      <c r="N43946" s="1"/>
      <c r="V43946" s="5"/>
    </row>
    <row r="43947">
      <c r="N43947" s="1"/>
      <c r="V43947" s="5"/>
    </row>
    <row r="43948">
      <c r="N43948" s="1"/>
      <c r="V43948" s="5"/>
    </row>
    <row r="43949">
      <c r="N43949" s="1"/>
      <c r="V43949" s="5"/>
    </row>
    <row r="43950">
      <c r="N43950" s="1"/>
      <c r="V43950" s="5"/>
    </row>
    <row r="43951">
      <c r="N43951" s="1"/>
      <c r="V43951" s="5"/>
    </row>
    <row r="43952">
      <c r="N43952" s="1"/>
      <c r="V43952" s="5"/>
    </row>
    <row r="43953">
      <c r="N43953" s="1"/>
      <c r="V43953" s="5"/>
    </row>
    <row r="43954">
      <c r="N43954" s="1"/>
      <c r="V43954" s="5"/>
    </row>
    <row r="43955">
      <c r="N43955" s="1"/>
      <c r="V43955" s="5"/>
    </row>
    <row r="43956">
      <c r="N43956" s="1"/>
      <c r="V43956" s="5"/>
    </row>
    <row r="43957">
      <c r="N43957" s="1"/>
      <c r="V43957" s="5"/>
    </row>
    <row r="43958">
      <c r="N43958" s="1"/>
      <c r="V43958" s="5"/>
    </row>
    <row r="43959">
      <c r="N43959" s="1"/>
      <c r="V43959" s="5"/>
    </row>
    <row r="43960">
      <c r="N43960" s="1"/>
      <c r="V43960" s="5"/>
    </row>
    <row r="43961">
      <c r="N43961" s="1"/>
      <c r="V43961" s="5"/>
    </row>
    <row r="43962">
      <c r="N43962" s="1"/>
      <c r="V43962" s="5"/>
    </row>
    <row r="43963">
      <c r="N43963" s="1"/>
      <c r="V43963" s="5"/>
    </row>
    <row r="43964">
      <c r="N43964" s="1"/>
      <c r="V43964" s="5"/>
    </row>
    <row r="43965">
      <c r="N43965" s="1"/>
      <c r="V43965" s="5"/>
    </row>
    <row r="43966">
      <c r="N43966" s="1"/>
      <c r="V43966" s="5"/>
    </row>
    <row r="43967">
      <c r="N43967" s="1"/>
      <c r="V43967" s="5"/>
    </row>
    <row r="43968">
      <c r="N43968" s="1"/>
      <c r="V43968" s="5"/>
    </row>
    <row r="43969">
      <c r="N43969" s="1"/>
      <c r="V43969" s="5"/>
    </row>
    <row r="43970">
      <c r="N43970" s="1"/>
      <c r="V43970" s="5"/>
    </row>
    <row r="43971">
      <c r="N43971" s="1"/>
      <c r="V43971" s="5"/>
    </row>
    <row r="43972">
      <c r="N43972" s="1"/>
      <c r="V43972" s="5"/>
    </row>
    <row r="43973">
      <c r="N43973" s="1"/>
      <c r="V43973" s="5"/>
    </row>
    <row r="43974">
      <c r="N43974" s="1"/>
      <c r="V43974" s="5"/>
    </row>
    <row r="43975">
      <c r="N43975" s="1"/>
      <c r="V43975" s="5"/>
    </row>
    <row r="43976">
      <c r="N43976" s="1"/>
      <c r="V43976" s="5"/>
    </row>
    <row r="43977">
      <c r="N43977" s="1"/>
      <c r="V43977" s="5"/>
    </row>
    <row r="43978">
      <c r="N43978" s="1"/>
      <c r="V43978" s="5"/>
    </row>
    <row r="43979">
      <c r="N43979" s="1"/>
      <c r="V43979" s="5"/>
    </row>
    <row r="43980">
      <c r="N43980" s="1"/>
      <c r="V43980" s="5"/>
    </row>
    <row r="43981">
      <c r="N43981" s="1"/>
      <c r="V43981" s="5"/>
    </row>
    <row r="43982">
      <c r="N43982" s="1"/>
      <c r="V43982" s="5"/>
    </row>
    <row r="43983">
      <c r="N43983" s="1"/>
      <c r="V43983" s="5"/>
    </row>
    <row r="43984">
      <c r="N43984" s="1"/>
      <c r="V43984" s="5"/>
    </row>
    <row r="43985">
      <c r="N43985" s="1"/>
      <c r="V43985" s="5"/>
    </row>
    <row r="43986">
      <c r="N43986" s="1"/>
      <c r="V43986" s="5"/>
    </row>
    <row r="43987">
      <c r="N43987" s="1"/>
      <c r="V43987" s="5"/>
    </row>
    <row r="43988">
      <c r="N43988" s="1"/>
      <c r="V43988" s="5"/>
    </row>
    <row r="43989">
      <c r="N43989" s="1"/>
      <c r="V43989" s="5"/>
    </row>
    <row r="43990">
      <c r="N43990" s="1"/>
      <c r="V43990" s="5"/>
    </row>
    <row r="43991">
      <c r="N43991" s="1"/>
      <c r="V43991" s="5"/>
    </row>
    <row r="43992">
      <c r="N43992" s="1"/>
      <c r="V43992" s="5"/>
    </row>
    <row r="43993">
      <c r="N43993" s="1"/>
      <c r="V43993" s="5"/>
    </row>
    <row r="43994">
      <c r="N43994" s="1"/>
      <c r="V43994" s="5"/>
    </row>
    <row r="43995">
      <c r="N43995" s="1"/>
      <c r="V43995" s="5"/>
    </row>
    <row r="43996">
      <c r="N43996" s="1"/>
      <c r="V43996" s="5"/>
    </row>
    <row r="43997">
      <c r="N43997" s="1"/>
      <c r="V43997" s="5"/>
    </row>
    <row r="43998">
      <c r="N43998" s="1"/>
      <c r="V43998" s="5"/>
    </row>
    <row r="43999">
      <c r="N43999" s="1"/>
      <c r="V43999" s="5"/>
    </row>
    <row r="44000">
      <c r="N44000" s="1"/>
      <c r="V44000" s="5"/>
    </row>
    <row r="44001">
      <c r="N44001" s="1"/>
      <c r="V44001" s="5"/>
    </row>
    <row r="44002">
      <c r="N44002" s="1"/>
      <c r="V44002" s="5"/>
    </row>
    <row r="44003">
      <c r="N44003" s="1"/>
      <c r="V44003" s="5"/>
    </row>
    <row r="44004">
      <c r="N44004" s="1"/>
      <c r="V44004" s="5"/>
    </row>
    <row r="44005">
      <c r="N44005" s="1"/>
      <c r="V44005" s="5"/>
    </row>
    <row r="44006">
      <c r="N44006" s="1"/>
      <c r="V44006" s="5"/>
    </row>
    <row r="44007">
      <c r="N44007" s="1"/>
      <c r="V44007" s="5"/>
    </row>
    <row r="44008">
      <c r="N44008" s="1"/>
      <c r="V44008" s="5"/>
    </row>
    <row r="44009">
      <c r="N44009" s="1"/>
      <c r="V44009" s="5"/>
    </row>
    <row r="44010">
      <c r="N44010" s="1"/>
      <c r="V44010" s="5"/>
    </row>
    <row r="44011">
      <c r="N44011" s="1"/>
      <c r="V44011" s="5"/>
    </row>
    <row r="44012">
      <c r="N44012" s="1"/>
      <c r="V44012" s="5"/>
    </row>
    <row r="44013">
      <c r="N44013" s="1"/>
      <c r="V44013" s="5"/>
    </row>
    <row r="44014">
      <c r="N44014" s="1"/>
      <c r="V44014" s="5"/>
    </row>
    <row r="44015">
      <c r="N44015" s="1"/>
      <c r="V44015" s="5"/>
    </row>
    <row r="44016">
      <c r="N44016" s="1"/>
      <c r="V44016" s="5"/>
    </row>
    <row r="44017">
      <c r="N44017" s="1"/>
      <c r="V44017" s="5"/>
    </row>
    <row r="44018">
      <c r="N44018" s="1"/>
      <c r="V44018" s="5"/>
    </row>
    <row r="44019">
      <c r="N44019" s="1"/>
      <c r="V44019" s="5"/>
    </row>
    <row r="44020">
      <c r="N44020" s="1"/>
      <c r="V44020" s="5"/>
    </row>
    <row r="44021">
      <c r="N44021" s="1"/>
      <c r="V44021" s="5"/>
    </row>
    <row r="44022">
      <c r="N44022" s="1"/>
      <c r="V44022" s="5"/>
    </row>
    <row r="44023">
      <c r="N44023" s="1"/>
      <c r="V44023" s="5"/>
    </row>
    <row r="44024">
      <c r="N44024" s="1"/>
      <c r="V44024" s="5"/>
    </row>
    <row r="44025">
      <c r="N44025" s="1"/>
      <c r="V44025" s="5"/>
    </row>
    <row r="44026">
      <c r="N44026" s="1"/>
      <c r="V44026" s="5"/>
    </row>
    <row r="44027">
      <c r="N44027" s="1"/>
      <c r="V44027" s="5"/>
    </row>
    <row r="44028">
      <c r="N44028" s="1"/>
      <c r="V44028" s="5"/>
    </row>
    <row r="44029">
      <c r="N44029" s="1"/>
      <c r="V44029" s="5"/>
    </row>
    <row r="44030">
      <c r="N44030" s="1"/>
      <c r="V44030" s="5"/>
    </row>
    <row r="44031">
      <c r="N44031" s="1"/>
      <c r="V44031" s="5"/>
    </row>
    <row r="44032">
      <c r="N44032" s="1"/>
      <c r="V44032" s="5"/>
    </row>
    <row r="44033">
      <c r="N44033" s="1"/>
      <c r="V44033" s="5"/>
    </row>
    <row r="44034">
      <c r="N44034" s="1"/>
      <c r="V44034" s="5"/>
    </row>
    <row r="44035">
      <c r="N44035" s="1"/>
      <c r="V44035" s="5"/>
    </row>
    <row r="44036">
      <c r="N44036" s="1"/>
      <c r="V44036" s="5"/>
    </row>
    <row r="44037">
      <c r="N44037" s="1"/>
      <c r="V44037" s="5"/>
    </row>
    <row r="44038">
      <c r="N44038" s="1"/>
      <c r="V44038" s="5"/>
    </row>
    <row r="44039">
      <c r="N44039" s="1"/>
      <c r="V44039" s="5"/>
    </row>
    <row r="44040">
      <c r="N44040" s="1"/>
      <c r="V44040" s="5"/>
    </row>
    <row r="44041">
      <c r="N44041" s="1"/>
      <c r="V44041" s="5"/>
    </row>
    <row r="44042">
      <c r="N44042" s="1"/>
      <c r="V44042" s="5"/>
    </row>
    <row r="44043">
      <c r="N44043" s="1"/>
      <c r="V44043" s="5"/>
    </row>
    <row r="44044">
      <c r="N44044" s="1"/>
      <c r="V44044" s="5"/>
    </row>
    <row r="44045">
      <c r="N44045" s="1"/>
      <c r="V44045" s="5"/>
    </row>
    <row r="44046">
      <c r="N44046" s="1"/>
      <c r="V44046" s="5"/>
    </row>
    <row r="44047">
      <c r="N44047" s="1"/>
      <c r="V44047" s="5"/>
    </row>
    <row r="44048">
      <c r="N44048" s="1"/>
      <c r="V44048" s="5"/>
    </row>
    <row r="44049">
      <c r="N44049" s="1"/>
      <c r="V44049" s="5"/>
    </row>
    <row r="44050">
      <c r="N44050" s="1"/>
      <c r="V44050" s="5"/>
    </row>
    <row r="44051">
      <c r="N44051" s="1"/>
      <c r="V44051" s="5"/>
    </row>
    <row r="44052">
      <c r="N44052" s="1"/>
      <c r="V44052" s="5"/>
    </row>
    <row r="44053">
      <c r="N44053" s="1"/>
      <c r="V44053" s="5"/>
    </row>
    <row r="44054">
      <c r="N44054" s="1"/>
      <c r="V44054" s="5"/>
    </row>
    <row r="44055">
      <c r="N44055" s="1"/>
      <c r="V44055" s="5"/>
    </row>
    <row r="44056">
      <c r="N44056" s="1"/>
      <c r="V44056" s="5"/>
    </row>
    <row r="44057">
      <c r="N44057" s="1"/>
      <c r="V44057" s="5"/>
    </row>
    <row r="44058">
      <c r="N44058" s="1"/>
      <c r="V44058" s="5"/>
    </row>
    <row r="44059">
      <c r="N44059" s="1"/>
      <c r="V44059" s="5"/>
    </row>
    <row r="44060">
      <c r="N44060" s="1"/>
      <c r="V44060" s="5"/>
    </row>
    <row r="44061">
      <c r="N44061" s="1"/>
      <c r="V44061" s="5"/>
    </row>
    <row r="44062">
      <c r="N44062" s="1"/>
      <c r="V44062" s="5"/>
    </row>
    <row r="44063">
      <c r="N44063" s="1"/>
      <c r="V44063" s="5"/>
    </row>
    <row r="44064">
      <c r="N44064" s="1"/>
      <c r="V44064" s="5"/>
    </row>
    <row r="44065">
      <c r="N44065" s="1"/>
      <c r="V44065" s="5"/>
    </row>
    <row r="44066">
      <c r="N44066" s="1"/>
      <c r="V44066" s="5"/>
    </row>
    <row r="44067">
      <c r="N44067" s="1"/>
      <c r="V44067" s="5"/>
    </row>
    <row r="44068">
      <c r="N44068" s="1"/>
      <c r="V44068" s="5"/>
    </row>
    <row r="44069">
      <c r="N44069" s="1"/>
      <c r="V44069" s="5"/>
    </row>
    <row r="44070">
      <c r="N44070" s="1"/>
      <c r="V44070" s="5"/>
    </row>
    <row r="44071">
      <c r="N44071" s="1"/>
      <c r="V44071" s="5"/>
    </row>
    <row r="44072">
      <c r="N44072" s="1"/>
      <c r="V44072" s="5"/>
    </row>
    <row r="44073">
      <c r="N44073" s="1"/>
      <c r="V44073" s="5"/>
    </row>
    <row r="44074">
      <c r="N44074" s="1"/>
      <c r="V44074" s="5"/>
    </row>
    <row r="44075">
      <c r="N44075" s="1"/>
      <c r="V44075" s="5"/>
    </row>
    <row r="44076">
      <c r="N44076" s="1"/>
      <c r="V44076" s="5"/>
    </row>
    <row r="44077">
      <c r="N44077" s="1"/>
      <c r="V44077" s="5"/>
    </row>
    <row r="44078">
      <c r="N44078" s="1"/>
      <c r="V44078" s="5"/>
    </row>
    <row r="44079">
      <c r="N44079" s="1"/>
      <c r="V44079" s="5"/>
    </row>
    <row r="44080">
      <c r="N44080" s="1"/>
      <c r="V44080" s="5"/>
    </row>
    <row r="44081">
      <c r="N44081" s="1"/>
      <c r="V44081" s="5"/>
    </row>
    <row r="44082">
      <c r="N44082" s="1"/>
      <c r="V44082" s="5"/>
    </row>
    <row r="44083">
      <c r="N44083" s="1"/>
      <c r="V44083" s="5"/>
    </row>
    <row r="44084">
      <c r="N44084" s="1"/>
      <c r="V44084" s="5"/>
    </row>
    <row r="44085">
      <c r="N44085" s="1"/>
      <c r="V44085" s="5"/>
    </row>
    <row r="44086">
      <c r="N44086" s="1"/>
      <c r="V44086" s="5"/>
    </row>
    <row r="44087">
      <c r="N44087" s="1"/>
      <c r="V44087" s="5"/>
    </row>
    <row r="44088">
      <c r="N44088" s="1"/>
      <c r="V44088" s="5"/>
    </row>
    <row r="44089">
      <c r="N44089" s="1"/>
      <c r="V44089" s="5"/>
    </row>
    <row r="44090">
      <c r="N44090" s="1"/>
      <c r="V44090" s="5"/>
    </row>
    <row r="44091">
      <c r="N44091" s="1"/>
      <c r="V44091" s="5"/>
    </row>
    <row r="44092">
      <c r="N44092" s="1"/>
      <c r="V44092" s="5"/>
    </row>
    <row r="44093">
      <c r="N44093" s="1"/>
      <c r="V44093" s="5"/>
    </row>
    <row r="44094">
      <c r="N44094" s="1"/>
      <c r="V44094" s="5"/>
    </row>
    <row r="44095">
      <c r="N44095" s="1"/>
      <c r="V44095" s="5"/>
    </row>
    <row r="44096">
      <c r="N44096" s="1"/>
      <c r="V44096" s="5"/>
    </row>
    <row r="44097">
      <c r="N44097" s="1"/>
      <c r="V44097" s="5"/>
    </row>
    <row r="44098">
      <c r="N44098" s="1"/>
      <c r="V44098" s="5"/>
    </row>
    <row r="44099">
      <c r="N44099" s="1"/>
      <c r="V44099" s="5"/>
    </row>
    <row r="44100">
      <c r="N44100" s="1"/>
      <c r="V44100" s="5"/>
    </row>
    <row r="44101">
      <c r="N44101" s="1"/>
      <c r="V44101" s="5"/>
    </row>
    <row r="44102">
      <c r="N44102" s="1"/>
      <c r="V44102" s="5"/>
    </row>
    <row r="44103">
      <c r="N44103" s="1"/>
      <c r="V44103" s="5"/>
    </row>
    <row r="44104">
      <c r="N44104" s="1"/>
      <c r="V44104" s="5"/>
    </row>
    <row r="44105">
      <c r="N44105" s="1"/>
      <c r="V44105" s="5"/>
    </row>
    <row r="44106">
      <c r="N44106" s="1"/>
      <c r="V44106" s="5"/>
    </row>
    <row r="44107">
      <c r="N44107" s="1"/>
      <c r="V44107" s="5"/>
    </row>
    <row r="44108">
      <c r="N44108" s="1"/>
      <c r="V44108" s="5"/>
    </row>
    <row r="44109">
      <c r="N44109" s="1"/>
      <c r="V44109" s="5"/>
    </row>
    <row r="44110">
      <c r="N44110" s="1"/>
      <c r="V44110" s="5"/>
    </row>
    <row r="44111">
      <c r="N44111" s="1"/>
      <c r="V44111" s="5"/>
    </row>
    <row r="44112">
      <c r="N44112" s="1"/>
      <c r="V44112" s="5"/>
    </row>
    <row r="44113">
      <c r="N44113" s="1"/>
      <c r="V44113" s="5"/>
    </row>
    <row r="44114">
      <c r="N44114" s="1"/>
      <c r="V44114" s="5"/>
    </row>
    <row r="44115">
      <c r="N44115" s="1"/>
      <c r="V44115" s="5"/>
    </row>
    <row r="44116">
      <c r="N44116" s="1"/>
      <c r="V44116" s="5"/>
    </row>
    <row r="44117">
      <c r="N44117" s="1"/>
      <c r="V44117" s="5"/>
    </row>
    <row r="44118">
      <c r="N44118" s="1"/>
      <c r="V44118" s="5"/>
    </row>
    <row r="44119">
      <c r="N44119" s="1"/>
      <c r="V44119" s="5"/>
    </row>
    <row r="44120">
      <c r="N44120" s="1"/>
      <c r="V44120" s="5"/>
    </row>
    <row r="44121">
      <c r="N44121" s="1"/>
      <c r="V44121" s="5"/>
    </row>
    <row r="44122">
      <c r="N44122" s="1"/>
      <c r="V44122" s="5"/>
    </row>
    <row r="44123">
      <c r="N44123" s="1"/>
      <c r="V44123" s="5"/>
    </row>
    <row r="44124">
      <c r="N44124" s="1"/>
      <c r="V44124" s="5"/>
    </row>
    <row r="44125">
      <c r="N44125" s="1"/>
      <c r="V44125" s="5"/>
    </row>
    <row r="44126">
      <c r="N44126" s="1"/>
      <c r="V44126" s="5"/>
    </row>
    <row r="44127">
      <c r="N44127" s="1"/>
      <c r="V44127" s="5"/>
    </row>
    <row r="44128">
      <c r="N44128" s="1"/>
      <c r="V44128" s="5"/>
    </row>
    <row r="44129">
      <c r="N44129" s="1"/>
      <c r="V44129" s="5"/>
    </row>
    <row r="44130">
      <c r="N44130" s="1"/>
      <c r="V44130" s="5"/>
    </row>
    <row r="44131">
      <c r="N44131" s="1"/>
      <c r="V44131" s="5"/>
    </row>
    <row r="44132">
      <c r="N44132" s="1"/>
      <c r="V44132" s="5"/>
    </row>
    <row r="44133">
      <c r="N44133" s="1"/>
      <c r="V44133" s="5"/>
    </row>
    <row r="44134">
      <c r="N44134" s="1"/>
      <c r="V44134" s="5"/>
    </row>
    <row r="44135">
      <c r="N44135" s="1"/>
      <c r="V44135" s="5"/>
    </row>
    <row r="44136">
      <c r="N44136" s="1"/>
      <c r="V44136" s="5"/>
    </row>
    <row r="44137">
      <c r="N44137" s="1"/>
      <c r="V44137" s="5"/>
    </row>
    <row r="44138">
      <c r="N44138" s="1"/>
      <c r="V44138" s="5"/>
    </row>
    <row r="44139">
      <c r="N44139" s="1"/>
      <c r="V44139" s="5"/>
    </row>
    <row r="44140">
      <c r="N44140" s="1"/>
      <c r="V44140" s="5"/>
    </row>
    <row r="44141">
      <c r="N44141" s="1"/>
      <c r="V44141" s="5"/>
    </row>
    <row r="44142">
      <c r="N44142" s="1"/>
      <c r="V44142" s="5"/>
    </row>
    <row r="44143">
      <c r="N44143" s="1"/>
      <c r="V44143" s="5"/>
    </row>
    <row r="44144">
      <c r="N44144" s="1"/>
      <c r="V44144" s="5"/>
    </row>
    <row r="44145">
      <c r="N44145" s="1"/>
      <c r="V44145" s="5"/>
    </row>
    <row r="44146">
      <c r="N44146" s="1"/>
      <c r="V44146" s="5"/>
    </row>
    <row r="44147">
      <c r="N44147" s="1"/>
      <c r="V44147" s="5"/>
    </row>
    <row r="44148">
      <c r="N44148" s="1"/>
      <c r="V44148" s="5"/>
    </row>
    <row r="44149">
      <c r="N44149" s="1"/>
      <c r="V44149" s="5"/>
    </row>
    <row r="44150">
      <c r="N44150" s="1"/>
      <c r="V44150" s="5"/>
    </row>
    <row r="44151">
      <c r="N44151" s="1"/>
      <c r="V44151" s="5"/>
    </row>
    <row r="44152">
      <c r="N44152" s="1"/>
      <c r="V44152" s="5"/>
    </row>
    <row r="44153">
      <c r="N44153" s="1"/>
      <c r="V44153" s="5"/>
    </row>
    <row r="44154">
      <c r="N44154" s="1"/>
      <c r="V44154" s="5"/>
    </row>
    <row r="44155">
      <c r="N44155" s="1"/>
      <c r="V44155" s="5"/>
    </row>
    <row r="44156">
      <c r="N44156" s="1"/>
      <c r="V44156" s="5"/>
    </row>
    <row r="44157">
      <c r="N44157" s="1"/>
      <c r="V44157" s="5"/>
    </row>
    <row r="44158">
      <c r="N44158" s="1"/>
      <c r="V44158" s="5"/>
    </row>
    <row r="44159">
      <c r="N44159" s="1"/>
      <c r="V44159" s="5"/>
    </row>
    <row r="44160">
      <c r="N44160" s="1"/>
      <c r="V44160" s="5"/>
    </row>
    <row r="44161">
      <c r="N44161" s="1"/>
      <c r="V44161" s="5"/>
    </row>
    <row r="44162">
      <c r="N44162" s="1"/>
      <c r="V44162" s="5"/>
    </row>
    <row r="44163">
      <c r="N44163" s="1"/>
      <c r="V44163" s="5"/>
    </row>
    <row r="44164">
      <c r="N44164" s="1"/>
      <c r="V44164" s="5"/>
    </row>
    <row r="44165">
      <c r="N44165" s="1"/>
      <c r="V44165" s="5"/>
    </row>
    <row r="44166">
      <c r="N44166" s="1"/>
      <c r="V44166" s="5"/>
    </row>
    <row r="44167">
      <c r="N44167" s="1"/>
      <c r="V44167" s="5"/>
    </row>
    <row r="44168">
      <c r="N44168" s="1"/>
      <c r="V44168" s="5"/>
    </row>
    <row r="44169">
      <c r="N44169" s="1"/>
      <c r="V44169" s="5"/>
    </row>
    <row r="44170">
      <c r="N44170" s="1"/>
      <c r="V44170" s="5"/>
    </row>
    <row r="44171">
      <c r="N44171" s="1"/>
      <c r="V44171" s="5"/>
    </row>
    <row r="44172">
      <c r="N44172" s="1"/>
      <c r="V44172" s="5"/>
    </row>
    <row r="44173">
      <c r="N44173" s="1"/>
      <c r="V44173" s="5"/>
    </row>
    <row r="44174">
      <c r="N44174" s="1"/>
      <c r="V44174" s="5"/>
    </row>
    <row r="44175">
      <c r="N44175" s="1"/>
      <c r="V44175" s="5"/>
    </row>
    <row r="44176">
      <c r="N44176" s="1"/>
      <c r="V44176" s="5"/>
    </row>
    <row r="44177">
      <c r="N44177" s="1"/>
      <c r="V44177" s="5"/>
    </row>
    <row r="44178">
      <c r="N44178" s="1"/>
      <c r="V44178" s="5"/>
    </row>
    <row r="44179">
      <c r="N44179" s="1"/>
      <c r="V44179" s="5"/>
    </row>
    <row r="44180">
      <c r="N44180" s="1"/>
      <c r="V44180" s="5"/>
    </row>
    <row r="44181">
      <c r="N44181" s="1"/>
      <c r="V44181" s="5"/>
    </row>
    <row r="44182">
      <c r="N44182" s="1"/>
      <c r="V44182" s="5"/>
    </row>
    <row r="44183">
      <c r="N44183" s="1"/>
      <c r="V44183" s="5"/>
    </row>
    <row r="44184">
      <c r="N44184" s="1"/>
      <c r="V44184" s="5"/>
    </row>
    <row r="44185">
      <c r="N44185" s="1"/>
      <c r="V44185" s="5"/>
    </row>
    <row r="44186">
      <c r="N44186" s="1"/>
      <c r="V44186" s="5"/>
    </row>
    <row r="44187">
      <c r="N44187" s="1"/>
      <c r="V44187" s="5"/>
    </row>
    <row r="44188">
      <c r="N44188" s="1"/>
      <c r="V44188" s="5"/>
    </row>
    <row r="44189">
      <c r="N44189" s="1"/>
      <c r="V44189" s="5"/>
    </row>
    <row r="44190">
      <c r="N44190" s="1"/>
      <c r="V44190" s="5"/>
    </row>
    <row r="44191">
      <c r="N44191" s="1"/>
      <c r="V44191" s="5"/>
    </row>
    <row r="44192">
      <c r="N44192" s="1"/>
      <c r="V44192" s="5"/>
    </row>
    <row r="44193">
      <c r="N44193" s="1"/>
      <c r="V44193" s="5"/>
    </row>
    <row r="44194">
      <c r="N44194" s="1"/>
      <c r="V44194" s="5"/>
    </row>
    <row r="44195">
      <c r="N44195" s="1"/>
      <c r="V44195" s="5"/>
    </row>
    <row r="44196">
      <c r="N44196" s="1"/>
      <c r="V44196" s="5"/>
    </row>
    <row r="44197">
      <c r="N44197" s="1"/>
      <c r="V44197" s="5"/>
    </row>
    <row r="44198">
      <c r="N44198" s="1"/>
      <c r="V44198" s="5"/>
    </row>
    <row r="44199">
      <c r="N44199" s="1"/>
      <c r="V44199" s="5"/>
    </row>
    <row r="44200">
      <c r="N44200" s="1"/>
      <c r="V44200" s="5"/>
    </row>
    <row r="44201">
      <c r="N44201" s="1"/>
      <c r="V44201" s="5"/>
    </row>
    <row r="44202">
      <c r="N44202" s="1"/>
      <c r="V44202" s="5"/>
    </row>
    <row r="44203">
      <c r="N44203" s="1"/>
      <c r="V44203" s="5"/>
    </row>
    <row r="44204">
      <c r="N44204" s="1"/>
      <c r="V44204" s="5"/>
    </row>
    <row r="44205">
      <c r="N44205" s="1"/>
      <c r="V44205" s="5"/>
    </row>
    <row r="44206">
      <c r="N44206" s="1"/>
      <c r="V44206" s="5"/>
    </row>
    <row r="44207">
      <c r="N44207" s="1"/>
      <c r="V44207" s="5"/>
    </row>
    <row r="44208">
      <c r="N44208" s="1"/>
      <c r="V44208" s="5"/>
    </row>
    <row r="44209">
      <c r="N44209" s="1"/>
      <c r="V44209" s="5"/>
    </row>
    <row r="44210">
      <c r="N44210" s="1"/>
      <c r="V44210" s="5"/>
    </row>
    <row r="44211">
      <c r="N44211" s="1"/>
      <c r="V44211" s="5"/>
    </row>
    <row r="44212">
      <c r="N44212" s="1"/>
      <c r="V44212" s="5"/>
    </row>
    <row r="44213">
      <c r="N44213" s="1"/>
      <c r="V44213" s="5"/>
    </row>
    <row r="44214">
      <c r="N44214" s="1"/>
      <c r="V44214" s="5"/>
    </row>
    <row r="44215">
      <c r="N44215" s="1"/>
      <c r="V44215" s="5"/>
    </row>
    <row r="44216">
      <c r="N44216" s="1"/>
      <c r="V44216" s="5"/>
    </row>
    <row r="44217">
      <c r="N44217" s="1"/>
      <c r="V44217" s="5"/>
    </row>
    <row r="44218">
      <c r="N44218" s="1"/>
      <c r="V44218" s="5"/>
    </row>
    <row r="44219">
      <c r="N44219" s="1"/>
      <c r="V44219" s="5"/>
    </row>
    <row r="44220">
      <c r="N44220" s="1"/>
      <c r="V44220" s="5"/>
    </row>
    <row r="44221">
      <c r="N44221" s="1"/>
      <c r="V44221" s="5"/>
    </row>
    <row r="44222">
      <c r="N44222" s="1"/>
      <c r="V44222" s="5"/>
    </row>
    <row r="44223">
      <c r="N44223" s="1"/>
      <c r="V44223" s="5"/>
    </row>
    <row r="44224">
      <c r="N44224" s="1"/>
      <c r="V44224" s="5"/>
    </row>
    <row r="44225">
      <c r="N44225" s="1"/>
      <c r="V44225" s="5"/>
    </row>
    <row r="44226">
      <c r="N44226" s="1"/>
      <c r="V44226" s="5"/>
    </row>
    <row r="44227">
      <c r="N44227" s="1"/>
      <c r="V44227" s="5"/>
    </row>
    <row r="44228">
      <c r="N44228" s="1"/>
      <c r="V44228" s="5"/>
    </row>
    <row r="44229">
      <c r="N44229" s="1"/>
      <c r="V44229" s="5"/>
    </row>
    <row r="44230">
      <c r="N44230" s="1"/>
      <c r="V44230" s="5"/>
    </row>
    <row r="44231">
      <c r="N44231" s="1"/>
      <c r="V44231" s="5"/>
    </row>
    <row r="44232">
      <c r="N44232" s="1"/>
      <c r="V44232" s="5"/>
    </row>
    <row r="44233">
      <c r="N44233" s="1"/>
      <c r="V44233" s="5"/>
    </row>
    <row r="44234">
      <c r="N44234" s="1"/>
      <c r="V44234" s="5"/>
    </row>
    <row r="44235">
      <c r="N44235" s="1"/>
      <c r="V44235" s="5"/>
    </row>
    <row r="44236">
      <c r="N44236" s="1"/>
      <c r="V44236" s="5"/>
    </row>
    <row r="44237">
      <c r="N44237" s="1"/>
      <c r="V44237" s="5"/>
    </row>
    <row r="44238">
      <c r="N44238" s="1"/>
      <c r="V44238" s="5"/>
    </row>
    <row r="44239">
      <c r="N44239" s="1"/>
      <c r="V44239" s="5"/>
    </row>
    <row r="44240">
      <c r="N44240" s="1"/>
      <c r="V44240" s="5"/>
    </row>
    <row r="44241">
      <c r="N44241" s="1"/>
      <c r="V44241" s="5"/>
    </row>
    <row r="44242">
      <c r="N44242" s="1"/>
      <c r="V44242" s="5"/>
    </row>
    <row r="44243">
      <c r="N44243" s="1"/>
      <c r="V44243" s="5"/>
    </row>
    <row r="44244">
      <c r="N44244" s="1"/>
      <c r="V44244" s="5"/>
    </row>
    <row r="44245">
      <c r="N44245" s="1"/>
      <c r="V44245" s="5"/>
    </row>
    <row r="44246">
      <c r="N44246" s="1"/>
      <c r="V44246" s="5"/>
    </row>
    <row r="44247">
      <c r="N44247" s="1"/>
      <c r="V44247" s="5"/>
    </row>
    <row r="44248">
      <c r="N44248" s="1"/>
      <c r="V44248" s="5"/>
    </row>
    <row r="44249">
      <c r="N44249" s="1"/>
      <c r="V44249" s="5"/>
    </row>
    <row r="44250">
      <c r="N44250" s="1"/>
      <c r="V44250" s="5"/>
    </row>
    <row r="44251">
      <c r="N44251" s="1"/>
      <c r="V44251" s="5"/>
    </row>
    <row r="44252">
      <c r="N44252" s="1"/>
      <c r="V44252" s="5"/>
    </row>
    <row r="44253">
      <c r="N44253" s="1"/>
      <c r="V44253" s="5"/>
    </row>
    <row r="44254">
      <c r="N44254" s="1"/>
      <c r="V44254" s="5"/>
    </row>
    <row r="44255">
      <c r="N44255" s="1"/>
      <c r="V44255" s="5"/>
    </row>
    <row r="44256">
      <c r="N44256" s="1"/>
      <c r="V44256" s="5"/>
    </row>
    <row r="44257">
      <c r="N44257" s="1"/>
      <c r="V44257" s="5"/>
    </row>
    <row r="44258">
      <c r="N44258" s="1"/>
      <c r="V44258" s="5"/>
    </row>
    <row r="44259">
      <c r="N44259" s="1"/>
      <c r="V44259" s="5"/>
    </row>
    <row r="44260">
      <c r="N44260" s="1"/>
      <c r="V44260" s="5"/>
    </row>
    <row r="44261">
      <c r="N44261" s="1"/>
      <c r="V44261" s="5"/>
    </row>
    <row r="44262">
      <c r="N44262" s="1"/>
      <c r="V44262" s="5"/>
    </row>
    <row r="44263">
      <c r="N44263" s="1"/>
      <c r="V44263" s="5"/>
    </row>
    <row r="44264">
      <c r="N44264" s="1"/>
      <c r="V44264" s="5"/>
    </row>
    <row r="44265">
      <c r="N44265" s="1"/>
      <c r="V44265" s="5"/>
    </row>
    <row r="44266">
      <c r="N44266" s="1"/>
      <c r="V44266" s="5"/>
    </row>
    <row r="44267">
      <c r="N44267" s="1"/>
      <c r="V44267" s="5"/>
    </row>
    <row r="44268">
      <c r="N44268" s="1"/>
      <c r="V44268" s="5"/>
    </row>
    <row r="44269">
      <c r="N44269" s="1"/>
      <c r="V44269" s="5"/>
    </row>
    <row r="44270">
      <c r="N44270" s="1"/>
      <c r="V44270" s="5"/>
    </row>
    <row r="44271">
      <c r="N44271" s="1"/>
      <c r="V44271" s="5"/>
    </row>
    <row r="44272">
      <c r="N44272" s="1"/>
      <c r="V44272" s="5"/>
    </row>
    <row r="44273">
      <c r="N44273" s="1"/>
      <c r="V44273" s="5"/>
    </row>
    <row r="44274">
      <c r="N44274" s="1"/>
      <c r="V44274" s="5"/>
    </row>
    <row r="44275">
      <c r="N44275" s="1"/>
      <c r="V44275" s="5"/>
    </row>
    <row r="44276">
      <c r="N44276" s="1"/>
      <c r="V44276" s="5"/>
    </row>
    <row r="44277">
      <c r="N44277" s="1"/>
      <c r="V44277" s="5"/>
    </row>
    <row r="44278">
      <c r="N44278" s="1"/>
      <c r="V44278" s="5"/>
    </row>
    <row r="44279">
      <c r="N44279" s="1"/>
      <c r="V44279" s="5"/>
    </row>
    <row r="44280">
      <c r="N44280" s="1"/>
      <c r="V44280" s="5"/>
    </row>
    <row r="44281">
      <c r="N44281" s="1"/>
      <c r="V44281" s="5"/>
    </row>
    <row r="44282">
      <c r="N44282" s="1"/>
      <c r="V44282" s="5"/>
    </row>
    <row r="44283">
      <c r="N44283" s="1"/>
      <c r="V44283" s="5"/>
    </row>
    <row r="44284">
      <c r="N44284" s="1"/>
      <c r="V44284" s="5"/>
    </row>
    <row r="44285">
      <c r="N44285" s="1"/>
      <c r="V44285" s="5"/>
    </row>
    <row r="44286">
      <c r="N44286" s="1"/>
      <c r="V44286" s="5"/>
    </row>
    <row r="44287">
      <c r="N44287" s="1"/>
      <c r="V44287" s="5"/>
    </row>
    <row r="44288">
      <c r="N44288" s="1"/>
      <c r="V44288" s="5"/>
    </row>
    <row r="44289">
      <c r="N44289" s="1"/>
      <c r="V44289" s="5"/>
    </row>
    <row r="44290">
      <c r="N44290" s="1"/>
      <c r="V44290" s="5"/>
    </row>
    <row r="44291">
      <c r="N44291" s="1"/>
      <c r="V44291" s="5"/>
    </row>
    <row r="44292">
      <c r="N44292" s="1"/>
      <c r="V44292" s="5"/>
    </row>
    <row r="44293">
      <c r="N44293" s="1"/>
      <c r="V44293" s="5"/>
    </row>
    <row r="44294">
      <c r="N44294" s="1"/>
      <c r="V44294" s="5"/>
    </row>
    <row r="44295">
      <c r="N44295" s="1"/>
      <c r="V44295" s="5"/>
    </row>
    <row r="44296">
      <c r="N44296" s="1"/>
      <c r="V44296" s="5"/>
    </row>
    <row r="44297">
      <c r="N44297" s="1"/>
      <c r="V44297" s="5"/>
    </row>
    <row r="44298">
      <c r="N44298" s="1"/>
      <c r="V44298" s="5"/>
    </row>
    <row r="44299">
      <c r="N44299" s="1"/>
      <c r="V44299" s="5"/>
    </row>
    <row r="44300">
      <c r="N44300" s="1"/>
      <c r="V44300" s="5"/>
    </row>
    <row r="44301">
      <c r="N44301" s="1"/>
      <c r="V44301" s="5"/>
    </row>
    <row r="44302">
      <c r="N44302" s="1"/>
      <c r="V44302" s="5"/>
    </row>
    <row r="44303">
      <c r="N44303" s="1"/>
      <c r="V44303" s="5"/>
    </row>
    <row r="44304">
      <c r="N44304" s="1"/>
      <c r="V44304" s="5"/>
    </row>
    <row r="44305">
      <c r="N44305" s="1"/>
      <c r="V44305" s="5"/>
    </row>
    <row r="44306">
      <c r="N44306" s="1"/>
      <c r="V44306" s="5"/>
    </row>
    <row r="44307">
      <c r="N44307" s="1"/>
      <c r="V44307" s="5"/>
    </row>
    <row r="44308">
      <c r="N44308" s="1"/>
      <c r="V44308" s="5"/>
    </row>
    <row r="44309">
      <c r="N44309" s="1"/>
      <c r="V44309" s="5"/>
    </row>
    <row r="44310">
      <c r="N44310" s="1"/>
      <c r="V44310" s="5"/>
    </row>
    <row r="44311">
      <c r="N44311" s="1"/>
      <c r="V44311" s="5"/>
    </row>
    <row r="44312">
      <c r="N44312" s="1"/>
      <c r="V44312" s="5"/>
    </row>
    <row r="44313">
      <c r="N44313" s="1"/>
      <c r="V44313" s="5"/>
    </row>
    <row r="44314">
      <c r="N44314" s="1"/>
      <c r="V44314" s="5"/>
    </row>
    <row r="44315">
      <c r="N44315" s="1"/>
      <c r="V44315" s="5"/>
    </row>
    <row r="44316">
      <c r="N44316" s="1"/>
      <c r="V44316" s="5"/>
    </row>
    <row r="44317">
      <c r="N44317" s="1"/>
      <c r="V44317" s="5"/>
    </row>
    <row r="44318">
      <c r="N44318" s="1"/>
      <c r="V44318" s="5"/>
    </row>
    <row r="44319">
      <c r="N44319" s="1"/>
      <c r="V44319" s="5"/>
    </row>
    <row r="44320">
      <c r="N44320" s="1"/>
      <c r="V44320" s="5"/>
    </row>
    <row r="44321">
      <c r="N44321" s="1"/>
      <c r="V44321" s="5"/>
    </row>
    <row r="44322">
      <c r="N44322" s="1"/>
      <c r="V44322" s="5"/>
    </row>
    <row r="44323">
      <c r="N44323" s="1"/>
      <c r="V44323" s="5"/>
    </row>
    <row r="44324">
      <c r="N44324" s="1"/>
      <c r="V44324" s="5"/>
    </row>
    <row r="44325">
      <c r="N44325" s="1"/>
      <c r="V44325" s="5"/>
    </row>
    <row r="44326">
      <c r="N44326" s="1"/>
      <c r="V44326" s="5"/>
    </row>
    <row r="44327">
      <c r="N44327" s="1"/>
      <c r="V44327" s="5"/>
    </row>
    <row r="44328">
      <c r="N44328" s="1"/>
      <c r="V44328" s="5"/>
    </row>
    <row r="44329">
      <c r="N44329" s="1"/>
      <c r="V44329" s="5"/>
    </row>
    <row r="44330">
      <c r="N44330" s="1"/>
      <c r="V44330" s="5"/>
    </row>
    <row r="44331">
      <c r="N44331" s="1"/>
      <c r="V44331" s="5"/>
    </row>
    <row r="44332">
      <c r="N44332" s="1"/>
      <c r="V44332" s="5"/>
    </row>
    <row r="44333">
      <c r="N44333" s="1"/>
      <c r="V44333" s="5"/>
    </row>
    <row r="44334">
      <c r="N44334" s="1"/>
      <c r="V44334" s="5"/>
    </row>
    <row r="44335">
      <c r="N44335" s="1"/>
      <c r="V44335" s="5"/>
    </row>
    <row r="44336">
      <c r="N44336" s="1"/>
      <c r="V44336" s="5"/>
    </row>
    <row r="44337">
      <c r="N44337" s="1"/>
      <c r="V44337" s="5"/>
    </row>
    <row r="44338">
      <c r="N44338" s="1"/>
      <c r="V44338" s="5"/>
    </row>
    <row r="44339">
      <c r="N44339" s="1"/>
      <c r="V44339" s="5"/>
    </row>
    <row r="44340">
      <c r="N44340" s="1"/>
      <c r="V44340" s="5"/>
    </row>
    <row r="44341">
      <c r="N44341" s="1"/>
      <c r="V44341" s="5"/>
    </row>
    <row r="44342">
      <c r="N44342" s="1"/>
      <c r="V44342" s="5"/>
    </row>
    <row r="44343">
      <c r="N44343" s="1"/>
      <c r="V44343" s="5"/>
    </row>
    <row r="44344">
      <c r="N44344" s="1"/>
      <c r="V44344" s="5"/>
    </row>
    <row r="44345">
      <c r="N44345" s="1"/>
      <c r="V44345" s="5"/>
    </row>
    <row r="44346">
      <c r="N44346" s="1"/>
      <c r="V44346" s="5"/>
    </row>
    <row r="44347">
      <c r="N44347" s="1"/>
      <c r="V44347" s="5"/>
    </row>
    <row r="44348">
      <c r="N44348" s="1"/>
      <c r="V44348" s="5"/>
    </row>
    <row r="44349">
      <c r="N44349" s="1"/>
      <c r="V44349" s="5"/>
    </row>
    <row r="44350">
      <c r="N44350" s="1"/>
      <c r="V44350" s="5"/>
    </row>
    <row r="44351">
      <c r="N44351" s="1"/>
      <c r="V44351" s="5"/>
    </row>
    <row r="44352">
      <c r="N44352" s="1"/>
      <c r="V44352" s="5"/>
    </row>
    <row r="44353">
      <c r="N44353" s="1"/>
      <c r="V44353" s="5"/>
    </row>
    <row r="44354">
      <c r="N44354" s="1"/>
      <c r="V44354" s="5"/>
    </row>
    <row r="44355">
      <c r="N44355" s="1"/>
      <c r="V44355" s="5"/>
    </row>
    <row r="44356">
      <c r="N44356" s="1"/>
      <c r="V44356" s="5"/>
    </row>
    <row r="44357">
      <c r="N44357" s="1"/>
      <c r="V44357" s="5"/>
    </row>
    <row r="44358">
      <c r="N44358" s="1"/>
      <c r="V44358" s="5"/>
    </row>
    <row r="44359">
      <c r="N44359" s="1"/>
      <c r="V44359" s="5"/>
    </row>
    <row r="44360">
      <c r="N44360" s="1"/>
      <c r="V44360" s="5"/>
    </row>
    <row r="44361">
      <c r="N44361" s="1"/>
      <c r="V44361" s="5"/>
    </row>
    <row r="44362">
      <c r="N44362" s="1"/>
      <c r="V44362" s="5"/>
    </row>
    <row r="44363">
      <c r="N44363" s="1"/>
      <c r="V44363" s="5"/>
    </row>
    <row r="44364">
      <c r="N44364" s="1"/>
      <c r="V44364" s="5"/>
    </row>
    <row r="44365">
      <c r="N44365" s="1"/>
      <c r="V44365" s="5"/>
    </row>
    <row r="44366">
      <c r="N44366" s="1"/>
      <c r="V44366" s="5"/>
    </row>
    <row r="44367">
      <c r="N44367" s="1"/>
      <c r="V44367" s="5"/>
    </row>
    <row r="44368">
      <c r="N44368" s="1"/>
      <c r="V44368" s="5"/>
    </row>
    <row r="44369">
      <c r="N44369" s="1"/>
      <c r="V44369" s="5"/>
    </row>
    <row r="44370">
      <c r="N44370" s="1"/>
      <c r="V44370" s="5"/>
    </row>
    <row r="44371">
      <c r="N44371" s="1"/>
      <c r="V44371" s="5"/>
    </row>
    <row r="44372">
      <c r="N44372" s="1"/>
      <c r="V44372" s="5"/>
    </row>
    <row r="44373">
      <c r="N44373" s="1"/>
      <c r="V44373" s="5"/>
    </row>
    <row r="44374">
      <c r="N44374" s="1"/>
      <c r="V44374" s="5"/>
    </row>
    <row r="44375">
      <c r="N44375" s="1"/>
      <c r="V44375" s="5"/>
    </row>
    <row r="44376">
      <c r="N44376" s="1"/>
      <c r="V44376" s="5"/>
    </row>
    <row r="44377">
      <c r="N44377" s="1"/>
      <c r="V44377" s="5"/>
    </row>
    <row r="44378">
      <c r="N44378" s="1"/>
      <c r="V44378" s="5"/>
    </row>
    <row r="44379">
      <c r="N44379" s="1"/>
      <c r="V44379" s="5"/>
    </row>
    <row r="44380">
      <c r="N44380" s="1"/>
      <c r="V44380" s="5"/>
    </row>
    <row r="44381">
      <c r="N44381" s="1"/>
      <c r="V44381" s="5"/>
    </row>
    <row r="44382">
      <c r="N44382" s="1"/>
      <c r="V44382" s="5"/>
    </row>
    <row r="44383">
      <c r="N44383" s="1"/>
      <c r="V44383" s="5"/>
    </row>
    <row r="44384">
      <c r="N44384" s="1"/>
      <c r="V44384" s="5"/>
    </row>
    <row r="44385">
      <c r="N44385" s="1"/>
      <c r="V44385" s="5"/>
    </row>
    <row r="44386">
      <c r="N44386" s="1"/>
      <c r="V44386" s="5"/>
    </row>
    <row r="44387">
      <c r="N44387" s="1"/>
      <c r="V44387" s="5"/>
    </row>
    <row r="44388">
      <c r="N44388" s="1"/>
      <c r="V44388" s="5"/>
    </row>
    <row r="44389">
      <c r="N44389" s="1"/>
      <c r="V44389" s="5"/>
    </row>
    <row r="44390">
      <c r="N44390" s="1"/>
      <c r="V44390" s="5"/>
    </row>
    <row r="44391">
      <c r="N44391" s="1"/>
      <c r="V44391" s="5"/>
    </row>
    <row r="44392">
      <c r="N44392" s="1"/>
      <c r="V44392" s="5"/>
    </row>
    <row r="44393">
      <c r="N44393" s="1"/>
      <c r="V44393" s="5"/>
    </row>
    <row r="44394">
      <c r="N44394" s="1"/>
      <c r="V44394" s="5"/>
    </row>
    <row r="44395">
      <c r="N44395" s="1"/>
      <c r="V44395" s="5"/>
    </row>
    <row r="44396">
      <c r="N44396" s="1"/>
      <c r="V44396" s="5"/>
    </row>
    <row r="44397">
      <c r="N44397" s="1"/>
      <c r="V44397" s="5"/>
    </row>
    <row r="44398">
      <c r="N44398" s="1"/>
      <c r="V44398" s="5"/>
    </row>
    <row r="44399">
      <c r="N44399" s="1"/>
      <c r="V44399" s="5"/>
    </row>
    <row r="44400">
      <c r="N44400" s="1"/>
      <c r="V44400" s="5"/>
    </row>
    <row r="44401">
      <c r="N44401" s="1"/>
      <c r="V44401" s="5"/>
    </row>
    <row r="44402">
      <c r="N44402" s="1"/>
      <c r="V44402" s="5"/>
    </row>
    <row r="44403">
      <c r="N44403" s="1"/>
      <c r="V44403" s="5"/>
    </row>
    <row r="44404">
      <c r="N44404" s="1"/>
      <c r="V44404" s="5"/>
    </row>
    <row r="44405">
      <c r="N44405" s="1"/>
      <c r="V44405" s="5"/>
    </row>
    <row r="44406">
      <c r="N44406" s="1"/>
      <c r="V44406" s="5"/>
    </row>
    <row r="44407">
      <c r="N44407" s="1"/>
      <c r="V44407" s="5"/>
    </row>
    <row r="44408">
      <c r="N44408" s="1"/>
      <c r="V44408" s="5"/>
    </row>
    <row r="44409">
      <c r="N44409" s="1"/>
      <c r="V44409" s="5"/>
    </row>
    <row r="44410">
      <c r="N44410" s="1"/>
      <c r="V44410" s="5"/>
    </row>
    <row r="44411">
      <c r="N44411" s="1"/>
      <c r="V44411" s="5"/>
    </row>
    <row r="44412">
      <c r="N44412" s="1"/>
      <c r="V44412" s="5"/>
    </row>
    <row r="44413">
      <c r="N44413" s="1"/>
      <c r="V44413" s="5"/>
    </row>
    <row r="44414">
      <c r="N44414" s="1"/>
      <c r="V44414" s="5"/>
    </row>
    <row r="44415">
      <c r="N44415" s="1"/>
      <c r="V44415" s="5"/>
    </row>
    <row r="44416">
      <c r="N44416" s="1"/>
      <c r="V44416" s="5"/>
    </row>
    <row r="44417">
      <c r="N44417" s="1"/>
      <c r="V44417" s="5"/>
    </row>
    <row r="44418">
      <c r="N44418" s="1"/>
      <c r="V44418" s="5"/>
    </row>
    <row r="44419">
      <c r="N44419" s="1"/>
      <c r="V44419" s="5"/>
    </row>
    <row r="44420">
      <c r="N44420" s="1"/>
      <c r="V44420" s="5"/>
    </row>
    <row r="44421">
      <c r="N44421" s="1"/>
      <c r="V44421" s="5"/>
    </row>
    <row r="44422">
      <c r="N44422" s="1"/>
      <c r="V44422" s="5"/>
    </row>
    <row r="44423">
      <c r="N44423" s="1"/>
      <c r="V44423" s="5"/>
    </row>
    <row r="44424">
      <c r="N44424" s="1"/>
      <c r="V44424" s="5"/>
    </row>
    <row r="44425">
      <c r="N44425" s="1"/>
      <c r="V44425" s="5"/>
    </row>
    <row r="44426">
      <c r="N44426" s="1"/>
      <c r="V44426" s="5"/>
    </row>
    <row r="44427">
      <c r="N44427" s="1"/>
      <c r="V44427" s="5"/>
    </row>
    <row r="44428">
      <c r="N44428" s="1"/>
      <c r="V44428" s="5"/>
    </row>
    <row r="44429">
      <c r="N44429" s="1"/>
      <c r="V44429" s="5"/>
    </row>
    <row r="44430">
      <c r="N44430" s="1"/>
      <c r="V44430" s="5"/>
    </row>
    <row r="44431">
      <c r="N44431" s="1"/>
      <c r="V44431" s="5"/>
    </row>
    <row r="44432">
      <c r="N44432" s="1"/>
      <c r="V44432" s="5"/>
    </row>
    <row r="44433">
      <c r="N44433" s="1"/>
      <c r="V44433" s="5"/>
    </row>
    <row r="44434">
      <c r="N44434" s="1"/>
      <c r="V44434" s="5"/>
    </row>
    <row r="44435">
      <c r="N44435" s="1"/>
      <c r="V44435" s="5"/>
    </row>
    <row r="44436">
      <c r="N44436" s="1"/>
      <c r="V44436" s="5"/>
    </row>
    <row r="44437">
      <c r="N44437" s="1"/>
      <c r="V44437" s="5"/>
    </row>
    <row r="44438">
      <c r="N44438" s="1"/>
      <c r="V44438" s="5"/>
    </row>
    <row r="44439">
      <c r="N44439" s="1"/>
      <c r="V44439" s="5"/>
    </row>
    <row r="44440">
      <c r="N44440" s="1"/>
      <c r="V44440" s="5"/>
    </row>
    <row r="44441">
      <c r="N44441" s="1"/>
      <c r="V44441" s="5"/>
    </row>
    <row r="44442">
      <c r="N44442" s="1"/>
      <c r="V44442" s="5"/>
    </row>
    <row r="44443">
      <c r="N44443" s="1"/>
      <c r="V44443" s="5"/>
    </row>
    <row r="44444">
      <c r="N44444" s="1"/>
      <c r="V44444" s="5"/>
    </row>
    <row r="44445">
      <c r="N44445" s="1"/>
      <c r="V44445" s="5"/>
    </row>
    <row r="44446">
      <c r="N44446" s="1"/>
      <c r="V44446" s="5"/>
    </row>
    <row r="44447">
      <c r="N44447" s="1"/>
      <c r="V44447" s="5"/>
    </row>
    <row r="44448">
      <c r="N44448" s="1"/>
      <c r="V44448" s="5"/>
    </row>
    <row r="44449">
      <c r="N44449" s="1"/>
      <c r="V44449" s="5"/>
    </row>
    <row r="44450">
      <c r="N44450" s="1"/>
      <c r="V44450" s="5"/>
    </row>
    <row r="44451">
      <c r="N44451" s="1"/>
      <c r="V44451" s="5"/>
    </row>
    <row r="44452">
      <c r="N44452" s="1"/>
      <c r="V44452" s="5"/>
    </row>
    <row r="44453">
      <c r="N44453" s="1"/>
      <c r="V44453" s="5"/>
    </row>
    <row r="44454">
      <c r="N44454" s="1"/>
      <c r="V44454" s="5"/>
    </row>
    <row r="44455">
      <c r="N44455" s="1"/>
      <c r="V44455" s="5"/>
    </row>
    <row r="44456">
      <c r="N44456" s="1"/>
      <c r="V44456" s="5"/>
    </row>
    <row r="44457">
      <c r="N44457" s="1"/>
      <c r="V44457" s="5"/>
    </row>
    <row r="44458">
      <c r="N44458" s="1"/>
      <c r="V44458" s="5"/>
    </row>
    <row r="44459">
      <c r="N44459" s="1"/>
      <c r="V44459" s="5"/>
    </row>
    <row r="44460">
      <c r="N44460" s="1"/>
      <c r="V44460" s="5"/>
    </row>
    <row r="44461">
      <c r="N44461" s="1"/>
      <c r="V44461" s="5"/>
    </row>
    <row r="44462">
      <c r="N44462" s="1"/>
      <c r="V44462" s="5"/>
    </row>
    <row r="44463">
      <c r="N44463" s="1"/>
      <c r="V44463" s="5"/>
    </row>
    <row r="44464">
      <c r="N44464" s="1"/>
      <c r="V44464" s="5"/>
    </row>
    <row r="44465">
      <c r="N44465" s="1"/>
      <c r="V44465" s="5"/>
    </row>
    <row r="44466">
      <c r="N44466" s="1"/>
      <c r="V44466" s="5"/>
    </row>
    <row r="44467">
      <c r="N44467" s="1"/>
      <c r="V44467" s="5"/>
    </row>
    <row r="44468">
      <c r="N44468" s="1"/>
      <c r="V44468" s="5"/>
    </row>
    <row r="44469">
      <c r="N44469" s="1"/>
      <c r="V44469" s="5"/>
    </row>
    <row r="44470">
      <c r="N44470" s="1"/>
      <c r="V44470" s="5"/>
    </row>
    <row r="44471">
      <c r="N44471" s="1"/>
      <c r="V44471" s="5"/>
    </row>
    <row r="44472">
      <c r="N44472" s="1"/>
      <c r="V44472" s="5"/>
    </row>
    <row r="44473">
      <c r="N44473" s="1"/>
      <c r="V44473" s="5"/>
    </row>
    <row r="44474">
      <c r="N44474" s="1"/>
      <c r="V44474" s="5"/>
    </row>
    <row r="44475">
      <c r="N44475" s="1"/>
      <c r="V44475" s="5"/>
    </row>
    <row r="44476">
      <c r="N44476" s="1"/>
      <c r="V44476" s="5"/>
    </row>
    <row r="44477">
      <c r="N44477" s="1"/>
      <c r="V44477" s="5"/>
    </row>
    <row r="44478">
      <c r="N44478" s="1"/>
      <c r="V44478" s="5"/>
    </row>
    <row r="44479">
      <c r="N44479" s="1"/>
      <c r="V44479" s="5"/>
    </row>
    <row r="44480">
      <c r="N44480" s="1"/>
      <c r="V44480" s="5"/>
    </row>
    <row r="44481">
      <c r="N44481" s="1"/>
      <c r="V44481" s="5"/>
    </row>
    <row r="44482">
      <c r="N44482" s="1"/>
      <c r="V44482" s="5"/>
    </row>
    <row r="44483">
      <c r="N44483" s="1"/>
      <c r="V44483" s="5"/>
    </row>
    <row r="44484">
      <c r="N44484" s="1"/>
      <c r="V44484" s="5"/>
    </row>
    <row r="44485">
      <c r="N44485" s="1"/>
      <c r="V44485" s="5"/>
    </row>
    <row r="44486">
      <c r="N44486" s="1"/>
      <c r="V44486" s="5"/>
    </row>
    <row r="44487">
      <c r="N44487" s="1"/>
      <c r="V44487" s="5"/>
    </row>
    <row r="44488">
      <c r="N44488" s="1"/>
      <c r="V44488" s="5"/>
    </row>
    <row r="44489">
      <c r="N44489" s="1"/>
      <c r="V44489" s="5"/>
    </row>
    <row r="44490">
      <c r="N44490" s="1"/>
      <c r="V44490" s="5"/>
    </row>
    <row r="44491">
      <c r="N44491" s="1"/>
      <c r="V44491" s="5"/>
    </row>
    <row r="44492">
      <c r="N44492" s="1"/>
      <c r="V44492" s="5"/>
    </row>
    <row r="44493">
      <c r="N44493" s="1"/>
      <c r="V44493" s="5"/>
    </row>
    <row r="44494">
      <c r="N44494" s="1"/>
      <c r="V44494" s="5"/>
    </row>
    <row r="44495">
      <c r="N44495" s="1"/>
      <c r="V44495" s="5"/>
    </row>
    <row r="44496">
      <c r="N44496" s="1"/>
      <c r="V44496" s="5"/>
    </row>
    <row r="44497">
      <c r="N44497" s="1"/>
      <c r="V44497" s="5"/>
    </row>
    <row r="44498">
      <c r="N44498" s="1"/>
      <c r="V44498" s="5"/>
    </row>
    <row r="44499">
      <c r="N44499" s="1"/>
      <c r="V44499" s="5"/>
    </row>
    <row r="44500">
      <c r="N44500" s="1"/>
      <c r="V44500" s="5"/>
    </row>
    <row r="44501">
      <c r="N44501" s="1"/>
      <c r="V44501" s="5"/>
    </row>
    <row r="44502">
      <c r="N44502" s="1"/>
      <c r="V44502" s="5"/>
    </row>
    <row r="44503">
      <c r="N44503" s="1"/>
      <c r="V44503" s="5"/>
    </row>
    <row r="44504">
      <c r="N44504" s="1"/>
      <c r="V44504" s="5"/>
    </row>
    <row r="44505">
      <c r="N44505" s="1"/>
      <c r="V44505" s="5"/>
    </row>
    <row r="44506">
      <c r="N44506" s="1"/>
      <c r="V44506" s="5"/>
    </row>
    <row r="44507">
      <c r="N44507" s="1"/>
      <c r="V44507" s="5"/>
    </row>
    <row r="44508">
      <c r="N44508" s="1"/>
      <c r="V44508" s="5"/>
    </row>
    <row r="44509">
      <c r="N44509" s="1"/>
      <c r="V44509" s="5"/>
    </row>
    <row r="44510">
      <c r="N44510" s="1"/>
      <c r="V44510" s="5"/>
    </row>
    <row r="44511">
      <c r="N44511" s="1"/>
      <c r="V44511" s="5"/>
    </row>
    <row r="44512">
      <c r="N44512" s="1"/>
      <c r="V44512" s="5"/>
    </row>
    <row r="44513">
      <c r="N44513" s="1"/>
      <c r="V44513" s="5"/>
    </row>
    <row r="44514">
      <c r="N44514" s="1"/>
      <c r="V44514" s="5"/>
    </row>
    <row r="44515">
      <c r="N44515" s="1"/>
      <c r="V44515" s="5"/>
    </row>
    <row r="44516">
      <c r="N44516" s="1"/>
      <c r="V44516" s="5"/>
    </row>
    <row r="44517">
      <c r="N44517" s="1"/>
      <c r="V44517" s="5"/>
    </row>
    <row r="44518">
      <c r="N44518" s="1"/>
      <c r="V44518" s="5"/>
    </row>
    <row r="44519">
      <c r="N44519" s="1"/>
      <c r="V44519" s="5"/>
    </row>
    <row r="44520">
      <c r="N44520" s="1"/>
      <c r="V44520" s="5"/>
    </row>
    <row r="44521">
      <c r="N44521" s="1"/>
      <c r="V44521" s="5"/>
    </row>
    <row r="44522">
      <c r="N44522" s="1"/>
      <c r="V44522" s="5"/>
    </row>
    <row r="44523">
      <c r="N44523" s="1"/>
      <c r="V44523" s="5"/>
    </row>
    <row r="44524">
      <c r="N44524" s="1"/>
      <c r="V44524" s="5"/>
    </row>
    <row r="44525">
      <c r="N44525" s="1"/>
      <c r="V44525" s="5"/>
    </row>
    <row r="44526">
      <c r="N44526" s="1"/>
      <c r="V44526" s="5"/>
    </row>
    <row r="44527">
      <c r="N44527" s="1"/>
      <c r="V44527" s="5"/>
    </row>
    <row r="44528">
      <c r="N44528" s="1"/>
      <c r="V44528" s="5"/>
    </row>
    <row r="44529">
      <c r="N44529" s="1"/>
      <c r="V44529" s="5"/>
    </row>
    <row r="44530">
      <c r="N44530" s="1"/>
      <c r="V44530" s="5"/>
    </row>
    <row r="44531">
      <c r="N44531" s="1"/>
      <c r="V44531" s="5"/>
    </row>
    <row r="44532">
      <c r="N44532" s="1"/>
      <c r="V44532" s="5"/>
    </row>
    <row r="44533">
      <c r="N44533" s="1"/>
      <c r="V44533" s="5"/>
    </row>
    <row r="44534">
      <c r="N44534" s="1"/>
      <c r="V44534" s="5"/>
    </row>
    <row r="44535">
      <c r="N44535" s="1"/>
      <c r="V44535" s="5"/>
    </row>
    <row r="44536">
      <c r="N44536" s="1"/>
      <c r="V44536" s="5"/>
    </row>
    <row r="44537">
      <c r="N44537" s="1"/>
      <c r="V44537" s="5"/>
    </row>
    <row r="44538">
      <c r="N44538" s="1"/>
      <c r="V44538" s="5"/>
    </row>
    <row r="44539">
      <c r="N44539" s="1"/>
      <c r="V44539" s="5"/>
    </row>
    <row r="44540">
      <c r="N44540" s="1"/>
      <c r="V44540" s="5"/>
    </row>
    <row r="44541">
      <c r="N44541" s="1"/>
      <c r="V44541" s="5"/>
    </row>
    <row r="44542">
      <c r="N44542" s="1"/>
      <c r="V44542" s="5"/>
    </row>
    <row r="44543">
      <c r="N44543" s="1"/>
      <c r="V44543" s="5"/>
    </row>
    <row r="44544">
      <c r="N44544" s="1"/>
      <c r="V44544" s="5"/>
    </row>
    <row r="44545">
      <c r="N44545" s="1"/>
      <c r="V44545" s="5"/>
    </row>
    <row r="44546">
      <c r="N44546" s="1"/>
      <c r="V44546" s="5"/>
    </row>
    <row r="44547">
      <c r="N44547" s="1"/>
      <c r="V44547" s="5"/>
    </row>
    <row r="44548">
      <c r="N44548" s="1"/>
      <c r="V44548" s="5"/>
    </row>
    <row r="44549">
      <c r="N44549" s="1"/>
      <c r="V44549" s="5"/>
    </row>
    <row r="44550">
      <c r="N44550" s="1"/>
      <c r="V44550" s="5"/>
    </row>
    <row r="44551">
      <c r="N44551" s="1"/>
      <c r="V44551" s="5"/>
    </row>
    <row r="44552">
      <c r="N44552" s="1"/>
      <c r="V44552" s="5"/>
    </row>
    <row r="44553">
      <c r="N44553" s="1"/>
      <c r="V44553" s="5"/>
    </row>
    <row r="44554">
      <c r="N44554" s="1"/>
      <c r="V44554" s="5"/>
    </row>
    <row r="44555">
      <c r="N44555" s="1"/>
      <c r="V44555" s="5"/>
    </row>
    <row r="44556">
      <c r="N44556" s="1"/>
      <c r="V44556" s="5"/>
    </row>
    <row r="44557">
      <c r="N44557" s="1"/>
      <c r="V44557" s="5"/>
    </row>
    <row r="44558">
      <c r="N44558" s="1"/>
      <c r="V44558" s="5"/>
    </row>
    <row r="44559">
      <c r="N44559" s="1"/>
      <c r="V44559" s="5"/>
    </row>
    <row r="44560">
      <c r="N44560" s="1"/>
      <c r="V44560" s="5"/>
    </row>
    <row r="44561">
      <c r="N44561" s="1"/>
      <c r="V44561" s="5"/>
    </row>
    <row r="44562">
      <c r="N44562" s="1"/>
      <c r="V44562" s="5"/>
    </row>
    <row r="44563">
      <c r="N44563" s="1"/>
      <c r="V44563" s="5"/>
    </row>
    <row r="44564">
      <c r="N44564" s="1"/>
      <c r="V44564" s="5"/>
    </row>
    <row r="44565">
      <c r="N44565" s="1"/>
      <c r="V44565" s="5"/>
    </row>
    <row r="44566">
      <c r="N44566" s="1"/>
      <c r="V44566" s="5"/>
    </row>
    <row r="44567">
      <c r="N44567" s="1"/>
      <c r="V44567" s="5"/>
    </row>
    <row r="44568">
      <c r="N44568" s="1"/>
      <c r="V44568" s="5"/>
    </row>
    <row r="44569">
      <c r="N44569" s="1"/>
      <c r="V44569" s="5"/>
    </row>
    <row r="44570">
      <c r="N44570" s="1"/>
      <c r="V44570" s="5"/>
    </row>
    <row r="44571">
      <c r="N44571" s="1"/>
      <c r="V44571" s="5"/>
    </row>
    <row r="44572">
      <c r="N44572" s="1"/>
      <c r="V44572" s="5"/>
    </row>
    <row r="44573">
      <c r="N44573" s="1"/>
      <c r="V44573" s="5"/>
    </row>
    <row r="44574">
      <c r="N44574" s="1"/>
      <c r="V44574" s="5"/>
    </row>
    <row r="44575">
      <c r="N44575" s="1"/>
      <c r="V44575" s="5"/>
    </row>
    <row r="44576">
      <c r="N44576" s="1"/>
      <c r="V44576" s="5"/>
    </row>
    <row r="44577">
      <c r="N44577" s="1"/>
      <c r="V44577" s="5"/>
    </row>
    <row r="44578">
      <c r="N44578" s="1"/>
      <c r="V44578" s="5"/>
    </row>
    <row r="44579">
      <c r="N44579" s="1"/>
      <c r="V44579" s="5"/>
    </row>
    <row r="44580">
      <c r="N44580" s="1"/>
      <c r="V44580" s="5"/>
    </row>
    <row r="44581">
      <c r="N44581" s="1"/>
      <c r="V44581" s="5"/>
    </row>
    <row r="44582">
      <c r="N44582" s="1"/>
      <c r="V44582" s="5"/>
    </row>
    <row r="44583">
      <c r="N44583" s="1"/>
      <c r="V44583" s="5"/>
    </row>
    <row r="44584">
      <c r="N44584" s="1"/>
      <c r="V44584" s="5"/>
    </row>
    <row r="44585">
      <c r="N44585" s="1"/>
      <c r="V44585" s="5"/>
    </row>
    <row r="44586">
      <c r="N44586" s="1"/>
      <c r="V44586" s="5"/>
    </row>
    <row r="44587">
      <c r="N44587" s="1"/>
      <c r="V44587" s="5"/>
    </row>
    <row r="44588">
      <c r="N44588" s="1"/>
      <c r="V44588" s="5"/>
    </row>
    <row r="44589">
      <c r="N44589" s="1"/>
      <c r="V44589" s="5"/>
    </row>
    <row r="44590">
      <c r="N44590" s="1"/>
      <c r="V44590" s="5"/>
    </row>
    <row r="44591">
      <c r="N44591" s="1"/>
      <c r="V44591" s="5"/>
    </row>
    <row r="44592">
      <c r="N44592" s="1"/>
      <c r="V44592" s="5"/>
    </row>
    <row r="44593">
      <c r="N44593" s="1"/>
      <c r="V44593" s="5"/>
    </row>
    <row r="44594">
      <c r="N44594" s="1"/>
      <c r="V44594" s="5"/>
    </row>
    <row r="44595">
      <c r="N44595" s="1"/>
      <c r="V44595" s="5"/>
    </row>
    <row r="44596">
      <c r="N44596" s="1"/>
      <c r="V44596" s="5"/>
    </row>
    <row r="44597">
      <c r="N44597" s="1"/>
      <c r="V44597" s="5"/>
    </row>
    <row r="44598">
      <c r="N44598" s="1"/>
      <c r="V44598" s="5"/>
    </row>
    <row r="44599">
      <c r="N44599" s="1"/>
      <c r="V44599" s="5"/>
    </row>
    <row r="44600">
      <c r="N44600" s="1"/>
      <c r="V44600" s="5"/>
    </row>
    <row r="44601">
      <c r="N44601" s="1"/>
      <c r="V44601" s="5"/>
    </row>
    <row r="44602">
      <c r="N44602" s="1"/>
      <c r="V44602" s="5"/>
    </row>
    <row r="44603">
      <c r="N44603" s="1"/>
      <c r="V44603" s="5"/>
    </row>
    <row r="44604">
      <c r="N44604" s="1"/>
      <c r="V44604" s="5"/>
    </row>
    <row r="44605">
      <c r="N44605" s="1"/>
      <c r="V44605" s="5"/>
    </row>
    <row r="44606">
      <c r="N44606" s="1"/>
      <c r="V44606" s="5"/>
    </row>
    <row r="44607">
      <c r="N44607" s="1"/>
      <c r="V44607" s="5"/>
    </row>
    <row r="44608">
      <c r="N44608" s="1"/>
      <c r="V44608" s="5"/>
    </row>
    <row r="44609">
      <c r="N44609" s="1"/>
      <c r="V44609" s="5"/>
    </row>
    <row r="44610">
      <c r="N44610" s="1"/>
      <c r="V44610" s="5"/>
    </row>
    <row r="44611">
      <c r="N44611" s="1"/>
      <c r="V44611" s="5"/>
    </row>
    <row r="44612">
      <c r="N44612" s="1"/>
      <c r="V44612" s="5"/>
    </row>
    <row r="44613">
      <c r="N44613" s="1"/>
      <c r="V44613" s="5"/>
    </row>
    <row r="44614">
      <c r="N44614" s="1"/>
      <c r="V44614" s="5"/>
    </row>
    <row r="44615">
      <c r="N44615" s="1"/>
      <c r="V44615" s="5"/>
    </row>
    <row r="44616">
      <c r="N44616" s="1"/>
      <c r="V44616" s="5"/>
    </row>
    <row r="44617">
      <c r="N44617" s="1"/>
      <c r="V44617" s="5"/>
    </row>
    <row r="44618">
      <c r="N44618" s="1"/>
      <c r="V44618" s="5"/>
    </row>
    <row r="44619">
      <c r="N44619" s="1"/>
      <c r="V44619" s="5"/>
    </row>
    <row r="44620">
      <c r="N44620" s="1"/>
      <c r="V44620" s="5"/>
    </row>
    <row r="44621">
      <c r="N44621" s="1"/>
      <c r="V44621" s="5"/>
    </row>
    <row r="44622">
      <c r="N44622" s="1"/>
      <c r="V44622" s="5"/>
    </row>
    <row r="44623">
      <c r="N44623" s="1"/>
      <c r="V44623" s="5"/>
    </row>
    <row r="44624">
      <c r="N44624" s="1"/>
      <c r="V44624" s="5"/>
    </row>
    <row r="44625">
      <c r="N44625" s="1"/>
      <c r="V44625" s="5"/>
    </row>
    <row r="44626">
      <c r="N44626" s="1"/>
      <c r="V44626" s="5"/>
    </row>
    <row r="44627">
      <c r="N44627" s="1"/>
      <c r="V44627" s="5"/>
    </row>
    <row r="44628">
      <c r="N44628" s="1"/>
      <c r="V44628" s="5"/>
    </row>
    <row r="44629">
      <c r="N44629" s="1"/>
      <c r="V44629" s="5"/>
    </row>
    <row r="44630">
      <c r="N44630" s="1"/>
      <c r="V44630" s="5"/>
    </row>
    <row r="44631">
      <c r="N44631" s="1"/>
      <c r="V44631" s="5"/>
    </row>
    <row r="44632">
      <c r="N44632" s="1"/>
      <c r="V44632" s="5"/>
    </row>
    <row r="44633">
      <c r="N44633" s="1"/>
      <c r="V44633" s="5"/>
    </row>
    <row r="44634">
      <c r="N44634" s="1"/>
      <c r="V44634" s="5"/>
    </row>
    <row r="44635">
      <c r="N44635" s="1"/>
      <c r="V44635" s="5"/>
    </row>
    <row r="44636">
      <c r="N44636" s="1"/>
      <c r="V44636" s="5"/>
    </row>
    <row r="44637">
      <c r="N44637" s="1"/>
      <c r="V44637" s="5"/>
    </row>
    <row r="44638">
      <c r="N44638" s="1"/>
      <c r="V44638" s="5"/>
    </row>
    <row r="44639">
      <c r="N44639" s="1"/>
      <c r="V44639" s="5"/>
    </row>
    <row r="44640">
      <c r="N44640" s="1"/>
      <c r="V44640" s="5"/>
    </row>
    <row r="44641">
      <c r="N44641" s="1"/>
      <c r="V44641" s="5"/>
    </row>
    <row r="44642">
      <c r="N44642" s="1"/>
      <c r="V44642" s="5"/>
    </row>
    <row r="44643">
      <c r="N44643" s="1"/>
      <c r="V44643" s="5"/>
    </row>
    <row r="44644">
      <c r="N44644" s="1"/>
      <c r="V44644" s="5"/>
    </row>
    <row r="44645">
      <c r="N44645" s="1"/>
      <c r="V44645" s="5"/>
    </row>
    <row r="44646">
      <c r="N44646" s="1"/>
      <c r="V44646" s="5"/>
    </row>
    <row r="44647">
      <c r="N44647" s="1"/>
      <c r="V44647" s="5"/>
    </row>
    <row r="44648">
      <c r="N44648" s="1"/>
      <c r="V44648" s="5"/>
    </row>
    <row r="44649">
      <c r="N44649" s="1"/>
      <c r="V44649" s="5"/>
    </row>
    <row r="44650">
      <c r="N44650" s="1"/>
      <c r="V44650" s="5"/>
    </row>
    <row r="44651">
      <c r="N44651" s="1"/>
      <c r="V44651" s="5"/>
    </row>
    <row r="44652">
      <c r="N44652" s="1"/>
      <c r="V44652" s="5"/>
    </row>
    <row r="44653">
      <c r="N44653" s="1"/>
      <c r="V44653" s="5"/>
    </row>
    <row r="44654">
      <c r="N44654" s="1"/>
      <c r="V44654" s="5"/>
    </row>
    <row r="44655">
      <c r="N44655" s="1"/>
      <c r="V44655" s="5"/>
    </row>
    <row r="44656">
      <c r="N44656" s="1"/>
      <c r="V44656" s="5"/>
    </row>
    <row r="44657">
      <c r="N44657" s="1"/>
      <c r="V44657" s="5"/>
    </row>
    <row r="44658">
      <c r="N44658" s="1"/>
      <c r="V44658" s="5"/>
    </row>
    <row r="44659">
      <c r="N44659" s="1"/>
      <c r="V44659" s="5"/>
    </row>
    <row r="44660">
      <c r="N44660" s="1"/>
      <c r="V44660" s="5"/>
    </row>
    <row r="44661">
      <c r="N44661" s="1"/>
      <c r="V44661" s="5"/>
    </row>
    <row r="44662">
      <c r="N44662" s="1"/>
      <c r="V44662" s="5"/>
    </row>
    <row r="44663">
      <c r="N44663" s="1"/>
      <c r="V44663" s="5"/>
    </row>
    <row r="44664">
      <c r="N44664" s="1"/>
      <c r="V44664" s="5"/>
    </row>
    <row r="44665">
      <c r="N44665" s="1"/>
      <c r="V44665" s="5"/>
    </row>
    <row r="44666">
      <c r="N44666" s="1"/>
      <c r="V44666" s="5"/>
    </row>
    <row r="44667">
      <c r="N44667" s="1"/>
      <c r="V44667" s="5"/>
    </row>
    <row r="44668">
      <c r="N44668" s="1"/>
      <c r="V44668" s="5"/>
    </row>
    <row r="44669">
      <c r="N44669" s="1"/>
      <c r="V44669" s="5"/>
    </row>
    <row r="44670">
      <c r="N44670" s="1"/>
      <c r="V44670" s="5"/>
    </row>
    <row r="44671">
      <c r="N44671" s="1"/>
      <c r="V44671" s="5"/>
    </row>
    <row r="44672">
      <c r="N44672" s="1"/>
      <c r="V44672" s="5"/>
    </row>
    <row r="44673">
      <c r="N44673" s="1"/>
      <c r="V44673" s="5"/>
    </row>
    <row r="44674">
      <c r="N44674" s="1"/>
      <c r="V44674" s="5"/>
    </row>
    <row r="44675">
      <c r="N44675" s="1"/>
      <c r="V44675" s="5"/>
    </row>
    <row r="44676">
      <c r="N44676" s="1"/>
      <c r="V44676" s="5"/>
    </row>
    <row r="44677">
      <c r="N44677" s="1"/>
      <c r="V44677" s="5"/>
    </row>
    <row r="44678">
      <c r="N44678" s="1"/>
      <c r="V44678" s="5"/>
    </row>
    <row r="44679">
      <c r="N44679" s="1"/>
      <c r="V44679" s="5"/>
    </row>
    <row r="44680">
      <c r="N44680" s="1"/>
      <c r="V44680" s="5"/>
    </row>
    <row r="44681">
      <c r="N44681" s="1"/>
      <c r="V44681" s="5"/>
    </row>
    <row r="44682">
      <c r="N44682" s="1"/>
      <c r="V44682" s="5"/>
    </row>
    <row r="44683">
      <c r="N44683" s="1"/>
      <c r="V44683" s="5"/>
    </row>
    <row r="44684">
      <c r="N44684" s="1"/>
      <c r="V44684" s="5"/>
    </row>
    <row r="44685">
      <c r="N44685" s="1"/>
      <c r="V44685" s="5"/>
    </row>
    <row r="44686">
      <c r="N44686" s="1"/>
      <c r="V44686" s="5"/>
    </row>
    <row r="44687">
      <c r="N44687" s="1"/>
      <c r="V44687" s="5"/>
    </row>
    <row r="44688">
      <c r="N44688" s="1"/>
      <c r="V44688" s="5"/>
    </row>
    <row r="44689">
      <c r="N44689" s="1"/>
      <c r="V44689" s="5"/>
    </row>
    <row r="44690">
      <c r="N44690" s="1"/>
      <c r="V44690" s="5"/>
    </row>
    <row r="44691">
      <c r="N44691" s="1"/>
      <c r="V44691" s="5"/>
    </row>
    <row r="44692">
      <c r="N44692" s="1"/>
      <c r="V44692" s="5"/>
    </row>
    <row r="44693">
      <c r="N44693" s="1"/>
      <c r="V44693" s="5"/>
    </row>
    <row r="44694">
      <c r="N44694" s="1"/>
      <c r="V44694" s="5"/>
    </row>
    <row r="44695">
      <c r="N44695" s="1"/>
      <c r="V44695" s="5"/>
    </row>
    <row r="44696">
      <c r="N44696" s="1"/>
      <c r="V44696" s="5"/>
    </row>
    <row r="44697">
      <c r="N44697" s="1"/>
      <c r="V44697" s="5"/>
    </row>
    <row r="44698">
      <c r="N44698" s="1"/>
      <c r="V44698" s="5"/>
    </row>
    <row r="44699">
      <c r="N44699" s="1"/>
      <c r="V44699" s="5"/>
    </row>
    <row r="44700">
      <c r="N44700" s="1"/>
      <c r="V44700" s="5"/>
    </row>
    <row r="44701">
      <c r="N44701" s="1"/>
      <c r="V44701" s="5"/>
    </row>
    <row r="44702">
      <c r="N44702" s="1"/>
      <c r="V44702" s="5"/>
    </row>
    <row r="44703">
      <c r="N44703" s="1"/>
      <c r="V44703" s="5"/>
    </row>
    <row r="44704">
      <c r="N44704" s="1"/>
      <c r="V44704" s="5"/>
    </row>
    <row r="44705">
      <c r="N44705" s="1"/>
      <c r="V44705" s="5"/>
    </row>
    <row r="44706">
      <c r="N44706" s="1"/>
      <c r="V44706" s="5"/>
    </row>
    <row r="44707">
      <c r="N44707" s="1"/>
      <c r="V44707" s="5"/>
    </row>
    <row r="44708">
      <c r="N44708" s="1"/>
      <c r="V44708" s="5"/>
    </row>
    <row r="44709">
      <c r="N44709" s="1"/>
      <c r="V44709" s="5"/>
    </row>
    <row r="44710">
      <c r="N44710" s="1"/>
      <c r="V44710" s="5"/>
    </row>
    <row r="44711">
      <c r="N44711" s="1"/>
      <c r="V44711" s="5"/>
    </row>
    <row r="44712">
      <c r="N44712" s="1"/>
      <c r="V44712" s="5"/>
    </row>
    <row r="44713">
      <c r="N44713" s="1"/>
      <c r="V44713" s="5"/>
    </row>
    <row r="44714">
      <c r="N44714" s="1"/>
      <c r="V44714" s="5"/>
    </row>
    <row r="44715">
      <c r="N44715" s="1"/>
      <c r="V44715" s="5"/>
    </row>
    <row r="44716">
      <c r="N44716" s="1"/>
      <c r="V44716" s="5"/>
    </row>
    <row r="44717">
      <c r="N44717" s="1"/>
      <c r="V44717" s="5"/>
    </row>
    <row r="44718">
      <c r="N44718" s="1"/>
      <c r="V44718" s="5"/>
    </row>
    <row r="44719">
      <c r="N44719" s="1"/>
      <c r="V44719" s="5"/>
    </row>
    <row r="44720">
      <c r="N44720" s="1"/>
      <c r="V44720" s="5"/>
    </row>
    <row r="44721">
      <c r="N44721" s="1"/>
      <c r="V44721" s="5"/>
    </row>
    <row r="44722">
      <c r="N44722" s="1"/>
      <c r="V44722" s="5"/>
    </row>
    <row r="44723">
      <c r="N44723" s="1"/>
      <c r="V44723" s="5"/>
    </row>
    <row r="44724">
      <c r="N44724" s="1"/>
      <c r="V44724" s="5"/>
    </row>
    <row r="44725">
      <c r="N44725" s="1"/>
      <c r="V44725" s="5"/>
    </row>
    <row r="44726">
      <c r="N44726" s="1"/>
      <c r="V44726" s="5"/>
    </row>
    <row r="44727">
      <c r="N44727" s="1"/>
      <c r="V44727" s="5"/>
    </row>
    <row r="44728">
      <c r="N44728" s="1"/>
      <c r="V44728" s="5"/>
    </row>
    <row r="44729">
      <c r="N44729" s="1"/>
      <c r="V44729" s="5"/>
    </row>
    <row r="44730">
      <c r="N44730" s="1"/>
      <c r="V44730" s="5"/>
    </row>
    <row r="44731">
      <c r="N44731" s="1"/>
      <c r="V44731" s="5"/>
    </row>
    <row r="44732">
      <c r="N44732" s="1"/>
      <c r="V44732" s="5"/>
    </row>
    <row r="44733">
      <c r="N44733" s="1"/>
      <c r="V44733" s="5"/>
    </row>
    <row r="44734">
      <c r="N44734" s="1"/>
      <c r="V44734" s="5"/>
    </row>
    <row r="44735">
      <c r="N44735" s="1"/>
      <c r="V44735" s="5"/>
    </row>
    <row r="44736">
      <c r="N44736" s="1"/>
      <c r="V44736" s="5"/>
    </row>
    <row r="44737">
      <c r="N44737" s="1"/>
      <c r="V44737" s="5"/>
    </row>
    <row r="44738">
      <c r="N44738" s="1"/>
      <c r="V44738" s="5"/>
    </row>
    <row r="44739">
      <c r="N44739" s="1"/>
      <c r="V44739" s="5"/>
    </row>
    <row r="44740">
      <c r="N44740" s="1"/>
      <c r="V44740" s="5"/>
    </row>
    <row r="44741">
      <c r="N44741" s="1"/>
      <c r="V44741" s="5"/>
    </row>
    <row r="44742">
      <c r="N44742" s="1"/>
      <c r="V44742" s="5"/>
    </row>
    <row r="44743">
      <c r="N44743" s="1"/>
      <c r="V44743" s="5"/>
    </row>
    <row r="44744">
      <c r="N44744" s="1"/>
      <c r="V44744" s="5"/>
    </row>
    <row r="44745">
      <c r="N44745" s="1"/>
      <c r="V44745" s="5"/>
    </row>
    <row r="44746">
      <c r="N44746" s="1"/>
      <c r="V44746" s="5"/>
    </row>
    <row r="44747">
      <c r="N44747" s="1"/>
      <c r="V44747" s="5"/>
    </row>
    <row r="44748">
      <c r="N44748" s="1"/>
      <c r="V44748" s="5"/>
    </row>
    <row r="44749">
      <c r="N44749" s="1"/>
      <c r="V44749" s="5"/>
    </row>
    <row r="44750">
      <c r="N44750" s="1"/>
      <c r="V44750" s="5"/>
    </row>
    <row r="44751">
      <c r="N44751" s="1"/>
      <c r="V44751" s="5"/>
    </row>
    <row r="44752">
      <c r="N44752" s="1"/>
      <c r="V44752" s="5"/>
    </row>
    <row r="44753">
      <c r="N44753" s="1"/>
      <c r="V44753" s="5"/>
    </row>
    <row r="44754">
      <c r="N44754" s="1"/>
      <c r="V44754" s="5"/>
    </row>
    <row r="44755">
      <c r="N44755" s="1"/>
      <c r="V44755" s="5"/>
    </row>
    <row r="44756">
      <c r="N44756" s="1"/>
      <c r="V44756" s="5"/>
    </row>
    <row r="44757">
      <c r="N44757" s="1"/>
      <c r="V44757" s="5"/>
    </row>
    <row r="44758">
      <c r="N44758" s="1"/>
      <c r="V44758" s="5"/>
    </row>
    <row r="44759">
      <c r="N44759" s="1"/>
      <c r="V44759" s="5"/>
    </row>
    <row r="44760">
      <c r="N44760" s="1"/>
      <c r="V44760" s="5"/>
    </row>
    <row r="44761">
      <c r="N44761" s="1"/>
      <c r="V44761" s="5"/>
    </row>
    <row r="44762">
      <c r="N44762" s="1"/>
      <c r="V44762" s="5"/>
    </row>
    <row r="44763">
      <c r="N44763" s="1"/>
      <c r="V44763" s="5"/>
    </row>
    <row r="44764">
      <c r="N44764" s="1"/>
      <c r="V44764" s="5"/>
    </row>
    <row r="44765">
      <c r="N44765" s="1"/>
      <c r="V44765" s="5"/>
    </row>
    <row r="44766">
      <c r="N44766" s="1"/>
      <c r="V44766" s="5"/>
    </row>
    <row r="44767">
      <c r="N44767" s="1"/>
      <c r="V44767" s="5"/>
    </row>
    <row r="44768">
      <c r="N44768" s="1"/>
      <c r="V44768" s="5"/>
    </row>
    <row r="44769">
      <c r="N44769" s="1"/>
      <c r="V44769" s="5"/>
    </row>
    <row r="44770">
      <c r="N44770" s="1"/>
      <c r="V44770" s="5"/>
    </row>
    <row r="44771">
      <c r="N44771" s="1"/>
      <c r="V44771" s="5"/>
    </row>
    <row r="44772">
      <c r="N44772" s="1"/>
      <c r="V44772" s="5"/>
    </row>
    <row r="44773">
      <c r="N44773" s="1"/>
      <c r="V44773" s="5"/>
    </row>
    <row r="44774">
      <c r="N44774" s="1"/>
      <c r="V44774" s="5"/>
    </row>
    <row r="44775">
      <c r="N44775" s="1"/>
      <c r="V44775" s="5"/>
    </row>
    <row r="44776">
      <c r="N44776" s="1"/>
      <c r="V44776" s="5"/>
    </row>
    <row r="44777">
      <c r="N44777" s="1"/>
      <c r="V44777" s="5"/>
    </row>
    <row r="44778">
      <c r="N44778" s="1"/>
      <c r="V44778" s="5"/>
    </row>
    <row r="44779">
      <c r="N44779" s="1"/>
      <c r="V44779" s="5"/>
    </row>
    <row r="44780">
      <c r="N44780" s="1"/>
      <c r="V44780" s="5"/>
    </row>
    <row r="44781">
      <c r="N44781" s="1"/>
      <c r="V44781" s="5"/>
    </row>
    <row r="44782">
      <c r="N44782" s="1"/>
      <c r="V44782" s="5"/>
    </row>
    <row r="44783">
      <c r="N44783" s="1"/>
      <c r="V44783" s="5"/>
    </row>
    <row r="44784">
      <c r="N44784" s="1"/>
      <c r="V44784" s="5"/>
    </row>
    <row r="44785">
      <c r="N44785" s="1"/>
      <c r="V44785" s="5"/>
    </row>
    <row r="44786">
      <c r="N44786" s="1"/>
      <c r="V44786" s="5"/>
    </row>
    <row r="44787">
      <c r="N44787" s="1"/>
      <c r="V44787" s="5"/>
    </row>
    <row r="44788">
      <c r="N44788" s="1"/>
      <c r="V44788" s="5"/>
    </row>
    <row r="44789">
      <c r="N44789" s="1"/>
      <c r="V44789" s="5"/>
    </row>
    <row r="44790">
      <c r="N44790" s="1"/>
      <c r="V44790" s="5"/>
    </row>
    <row r="44791">
      <c r="N44791" s="1"/>
      <c r="V44791" s="5"/>
    </row>
    <row r="44792">
      <c r="N44792" s="1"/>
      <c r="V44792" s="5"/>
    </row>
    <row r="44793">
      <c r="N44793" s="1"/>
      <c r="V44793" s="5"/>
    </row>
    <row r="44794">
      <c r="N44794" s="1"/>
      <c r="V44794" s="5"/>
    </row>
    <row r="44795">
      <c r="N44795" s="1"/>
      <c r="V44795" s="5"/>
    </row>
    <row r="44796">
      <c r="N44796" s="1"/>
      <c r="V44796" s="5"/>
    </row>
    <row r="44797">
      <c r="N44797" s="1"/>
      <c r="V44797" s="5"/>
    </row>
    <row r="44798">
      <c r="N44798" s="1"/>
      <c r="V44798" s="5"/>
    </row>
    <row r="44799">
      <c r="N44799" s="1"/>
      <c r="V44799" s="5"/>
    </row>
    <row r="44800">
      <c r="N44800" s="1"/>
      <c r="V44800" s="5"/>
    </row>
    <row r="44801">
      <c r="N44801" s="1"/>
      <c r="V44801" s="5"/>
    </row>
    <row r="44802">
      <c r="N44802" s="1"/>
      <c r="V44802" s="5"/>
    </row>
    <row r="44803">
      <c r="N44803" s="1"/>
      <c r="V44803" s="5"/>
    </row>
    <row r="44804">
      <c r="N44804" s="1"/>
      <c r="V44804" s="5"/>
    </row>
    <row r="44805">
      <c r="N44805" s="1"/>
      <c r="V44805" s="5"/>
    </row>
    <row r="44806">
      <c r="N44806" s="1"/>
      <c r="V44806" s="5"/>
    </row>
    <row r="44807">
      <c r="N44807" s="1"/>
      <c r="V44807" s="5"/>
    </row>
    <row r="44808">
      <c r="N44808" s="1"/>
      <c r="V44808" s="5"/>
    </row>
    <row r="44809">
      <c r="N44809" s="1"/>
      <c r="V44809" s="5"/>
    </row>
    <row r="44810">
      <c r="N44810" s="1"/>
      <c r="V44810" s="5"/>
    </row>
    <row r="44811">
      <c r="N44811" s="1"/>
      <c r="V44811" s="5"/>
    </row>
    <row r="44812">
      <c r="N44812" s="1"/>
      <c r="V44812" s="5"/>
    </row>
    <row r="44813">
      <c r="N44813" s="1"/>
      <c r="V44813" s="5"/>
    </row>
    <row r="44814">
      <c r="N44814" s="1"/>
      <c r="V44814" s="5"/>
    </row>
    <row r="44815">
      <c r="N44815" s="1"/>
      <c r="V44815" s="5"/>
    </row>
    <row r="44816">
      <c r="N44816" s="1"/>
      <c r="V44816" s="5"/>
    </row>
    <row r="44817">
      <c r="N44817" s="1"/>
      <c r="V44817" s="5"/>
    </row>
    <row r="44818">
      <c r="N44818" s="1"/>
      <c r="V44818" s="5"/>
    </row>
    <row r="44819">
      <c r="N44819" s="1"/>
      <c r="V44819" s="5"/>
    </row>
    <row r="44820">
      <c r="N44820" s="1"/>
      <c r="V44820" s="5"/>
    </row>
    <row r="44821">
      <c r="N44821" s="1"/>
      <c r="V44821" s="5"/>
    </row>
    <row r="44822">
      <c r="N44822" s="1"/>
      <c r="V44822" s="5"/>
    </row>
    <row r="44823">
      <c r="N44823" s="1"/>
      <c r="V44823" s="5"/>
    </row>
    <row r="44824">
      <c r="N44824" s="1"/>
      <c r="V44824" s="5"/>
    </row>
    <row r="44825">
      <c r="N44825" s="1"/>
      <c r="V44825" s="5"/>
    </row>
    <row r="44826">
      <c r="N44826" s="1"/>
      <c r="V44826" s="5"/>
    </row>
    <row r="44827">
      <c r="N44827" s="1"/>
      <c r="V44827" s="5"/>
    </row>
    <row r="44828">
      <c r="N44828" s="1"/>
      <c r="V44828" s="5"/>
    </row>
    <row r="44829">
      <c r="N44829" s="1"/>
      <c r="V44829" s="5"/>
    </row>
    <row r="44830">
      <c r="N44830" s="1"/>
      <c r="V44830" s="5"/>
    </row>
    <row r="44831">
      <c r="N44831" s="1"/>
      <c r="V44831" s="5"/>
    </row>
    <row r="44832">
      <c r="N44832" s="1"/>
      <c r="V44832" s="5"/>
    </row>
    <row r="44833">
      <c r="N44833" s="1"/>
      <c r="V44833" s="5"/>
    </row>
    <row r="44834">
      <c r="N44834" s="1"/>
      <c r="V44834" s="5"/>
    </row>
    <row r="44835">
      <c r="N44835" s="1"/>
      <c r="V44835" s="5"/>
    </row>
    <row r="44836">
      <c r="N44836" s="1"/>
      <c r="V44836" s="5"/>
    </row>
    <row r="44837">
      <c r="N44837" s="1"/>
      <c r="V44837" s="5"/>
    </row>
    <row r="44838">
      <c r="N44838" s="1"/>
      <c r="V44838" s="5"/>
    </row>
    <row r="44839">
      <c r="N44839" s="1"/>
      <c r="V44839" s="5"/>
    </row>
    <row r="44840">
      <c r="N44840" s="1"/>
      <c r="V44840" s="5"/>
    </row>
    <row r="44841">
      <c r="N44841" s="1"/>
      <c r="V44841" s="5"/>
    </row>
    <row r="44842">
      <c r="N44842" s="1"/>
      <c r="V44842" s="5"/>
    </row>
    <row r="44843">
      <c r="N44843" s="1"/>
      <c r="V44843" s="5"/>
    </row>
    <row r="44844">
      <c r="N44844" s="1"/>
      <c r="V44844" s="5"/>
    </row>
    <row r="44845">
      <c r="N44845" s="1"/>
      <c r="V44845" s="5"/>
    </row>
    <row r="44846">
      <c r="N44846" s="1"/>
      <c r="V44846" s="5"/>
    </row>
    <row r="44847">
      <c r="N44847" s="1"/>
      <c r="V44847" s="5"/>
    </row>
    <row r="44848">
      <c r="N44848" s="1"/>
      <c r="V44848" s="5"/>
    </row>
    <row r="44849">
      <c r="N44849" s="1"/>
      <c r="V44849" s="5"/>
    </row>
    <row r="44850">
      <c r="N44850" s="1"/>
      <c r="V44850" s="5"/>
    </row>
    <row r="44851">
      <c r="N44851" s="1"/>
      <c r="V44851" s="5"/>
    </row>
    <row r="44852">
      <c r="N44852" s="1"/>
      <c r="V44852" s="5"/>
    </row>
    <row r="44853">
      <c r="N44853" s="1"/>
      <c r="V44853" s="5"/>
    </row>
    <row r="44854">
      <c r="N44854" s="1"/>
      <c r="V44854" s="5"/>
    </row>
    <row r="44855">
      <c r="N44855" s="1"/>
      <c r="V44855" s="5"/>
    </row>
    <row r="44856">
      <c r="N44856" s="1"/>
      <c r="V44856" s="5"/>
    </row>
    <row r="44857">
      <c r="N44857" s="1"/>
      <c r="V44857" s="5"/>
    </row>
    <row r="44858">
      <c r="N44858" s="1"/>
      <c r="V44858" s="5"/>
    </row>
    <row r="44859">
      <c r="N44859" s="1"/>
      <c r="V44859" s="5"/>
    </row>
    <row r="44860">
      <c r="N44860" s="1"/>
      <c r="V44860" s="5"/>
    </row>
    <row r="44861">
      <c r="N44861" s="1"/>
      <c r="V44861" s="5"/>
    </row>
    <row r="44862">
      <c r="N44862" s="1"/>
      <c r="V44862" s="5"/>
    </row>
    <row r="44863">
      <c r="N44863" s="1"/>
      <c r="V44863" s="5"/>
    </row>
    <row r="44864">
      <c r="N44864" s="1"/>
      <c r="V44864" s="5"/>
    </row>
    <row r="44865">
      <c r="N44865" s="1"/>
      <c r="V44865" s="5"/>
    </row>
    <row r="44866">
      <c r="N44866" s="1"/>
      <c r="V44866" s="5"/>
    </row>
    <row r="44867">
      <c r="N44867" s="1"/>
      <c r="V44867" s="5"/>
    </row>
    <row r="44868">
      <c r="N44868" s="1"/>
      <c r="V44868" s="5"/>
    </row>
    <row r="44869">
      <c r="N44869" s="1"/>
      <c r="V44869" s="5"/>
    </row>
    <row r="44870">
      <c r="N44870" s="1"/>
      <c r="V44870" s="5"/>
    </row>
    <row r="44871">
      <c r="N44871" s="1"/>
      <c r="V44871" s="5"/>
    </row>
    <row r="44872">
      <c r="N44872" s="1"/>
      <c r="V44872" s="5"/>
    </row>
    <row r="44873">
      <c r="N44873" s="1"/>
      <c r="V44873" s="5"/>
    </row>
    <row r="44874">
      <c r="N44874" s="1"/>
      <c r="V44874" s="5"/>
    </row>
    <row r="44875">
      <c r="N44875" s="1"/>
      <c r="V44875" s="5"/>
    </row>
    <row r="44876">
      <c r="N44876" s="1"/>
      <c r="V44876" s="5"/>
    </row>
    <row r="44877">
      <c r="N44877" s="1"/>
      <c r="V44877" s="5"/>
    </row>
    <row r="44878">
      <c r="N44878" s="1"/>
      <c r="V44878" s="5"/>
    </row>
    <row r="44879">
      <c r="N44879" s="1"/>
      <c r="V44879" s="5"/>
    </row>
    <row r="44880">
      <c r="N44880" s="1"/>
      <c r="V44880" s="5"/>
    </row>
    <row r="44881">
      <c r="N44881" s="1"/>
      <c r="V44881" s="5"/>
    </row>
    <row r="44882">
      <c r="N44882" s="1"/>
      <c r="V44882" s="5"/>
    </row>
    <row r="44883">
      <c r="N44883" s="1"/>
      <c r="V44883" s="5"/>
    </row>
    <row r="44884">
      <c r="N44884" s="1"/>
      <c r="V44884" s="5"/>
    </row>
    <row r="44885">
      <c r="N44885" s="1"/>
      <c r="V44885" s="5"/>
    </row>
    <row r="44886">
      <c r="N44886" s="1"/>
      <c r="V44886" s="5"/>
    </row>
    <row r="44887">
      <c r="N44887" s="1"/>
      <c r="V44887" s="5"/>
    </row>
    <row r="44888">
      <c r="N44888" s="1"/>
      <c r="V44888" s="5"/>
    </row>
    <row r="44889">
      <c r="N44889" s="1"/>
      <c r="V44889" s="5"/>
    </row>
    <row r="44890">
      <c r="N44890" s="1"/>
      <c r="V44890" s="5"/>
    </row>
    <row r="44891">
      <c r="N44891" s="1"/>
      <c r="V44891" s="5"/>
    </row>
    <row r="44892">
      <c r="N44892" s="1"/>
      <c r="V44892" s="5"/>
    </row>
    <row r="44893">
      <c r="N44893" s="1"/>
      <c r="V44893" s="5"/>
    </row>
    <row r="44894">
      <c r="N44894" s="1"/>
      <c r="V44894" s="5"/>
    </row>
    <row r="44895">
      <c r="N44895" s="1"/>
      <c r="V44895" s="5"/>
    </row>
    <row r="44896">
      <c r="N44896" s="1"/>
      <c r="V44896" s="5"/>
    </row>
    <row r="44897">
      <c r="N44897" s="1"/>
      <c r="V44897" s="5"/>
    </row>
    <row r="44898">
      <c r="N44898" s="1"/>
      <c r="V44898" s="5"/>
    </row>
    <row r="44899">
      <c r="N44899" s="1"/>
      <c r="V44899" s="5"/>
    </row>
    <row r="44900">
      <c r="N44900" s="1"/>
      <c r="V44900" s="5"/>
    </row>
    <row r="44901">
      <c r="N44901" s="1"/>
      <c r="V44901" s="5"/>
    </row>
    <row r="44902">
      <c r="N44902" s="1"/>
      <c r="V44902" s="5"/>
    </row>
    <row r="44903">
      <c r="N44903" s="1"/>
      <c r="V44903" s="5"/>
    </row>
    <row r="44904">
      <c r="N44904" s="1"/>
      <c r="V44904" s="5"/>
    </row>
    <row r="44905">
      <c r="N44905" s="1"/>
      <c r="V44905" s="5"/>
    </row>
    <row r="44906">
      <c r="N44906" s="1"/>
      <c r="V44906" s="5"/>
    </row>
    <row r="44907">
      <c r="N44907" s="1"/>
      <c r="V44907" s="5"/>
    </row>
    <row r="44908">
      <c r="N44908" s="1"/>
      <c r="V44908" s="5"/>
    </row>
    <row r="44909">
      <c r="N44909" s="1"/>
      <c r="V44909" s="5"/>
    </row>
    <row r="44910">
      <c r="N44910" s="1"/>
      <c r="V44910" s="5"/>
    </row>
    <row r="44911">
      <c r="N44911" s="1"/>
      <c r="V44911" s="5"/>
    </row>
    <row r="44912">
      <c r="N44912" s="1"/>
      <c r="V44912" s="5"/>
    </row>
    <row r="44913">
      <c r="N44913" s="1"/>
      <c r="V44913" s="5"/>
    </row>
    <row r="44914">
      <c r="N44914" s="1"/>
      <c r="V44914" s="5"/>
    </row>
    <row r="44915">
      <c r="N44915" s="1"/>
      <c r="V44915" s="5"/>
    </row>
    <row r="44916">
      <c r="N44916" s="1"/>
      <c r="V44916" s="5"/>
    </row>
    <row r="44917">
      <c r="N44917" s="1"/>
      <c r="V44917" s="5"/>
    </row>
    <row r="44918">
      <c r="N44918" s="1"/>
      <c r="V44918" s="5"/>
    </row>
    <row r="44919">
      <c r="N44919" s="1"/>
      <c r="V44919" s="5"/>
    </row>
    <row r="44920">
      <c r="N44920" s="1"/>
      <c r="V44920" s="5"/>
    </row>
    <row r="44921">
      <c r="N44921" s="1"/>
      <c r="V44921" s="5"/>
    </row>
    <row r="44922">
      <c r="N44922" s="1"/>
      <c r="V44922" s="5"/>
    </row>
    <row r="44923">
      <c r="N44923" s="1"/>
      <c r="V44923" s="5"/>
    </row>
    <row r="44924">
      <c r="N44924" s="1"/>
      <c r="V44924" s="5"/>
    </row>
    <row r="44925">
      <c r="N44925" s="1"/>
      <c r="V44925" s="5"/>
    </row>
    <row r="44926">
      <c r="N44926" s="1"/>
      <c r="V44926" s="5"/>
    </row>
    <row r="44927">
      <c r="N44927" s="1"/>
      <c r="V44927" s="5"/>
    </row>
    <row r="44928">
      <c r="N44928" s="1"/>
      <c r="V44928" s="5"/>
    </row>
    <row r="44929">
      <c r="N44929" s="1"/>
      <c r="V44929" s="5"/>
    </row>
    <row r="44930">
      <c r="N44930" s="1"/>
      <c r="V44930" s="5"/>
    </row>
    <row r="44931">
      <c r="N44931" s="1"/>
      <c r="V44931" s="5"/>
    </row>
    <row r="44932">
      <c r="N44932" s="1"/>
      <c r="V44932" s="5"/>
    </row>
    <row r="44933">
      <c r="N44933" s="1"/>
      <c r="V44933" s="5"/>
    </row>
    <row r="44934">
      <c r="N44934" s="1"/>
      <c r="V44934" s="5"/>
    </row>
    <row r="44935">
      <c r="N44935" s="1"/>
      <c r="V44935" s="5"/>
    </row>
    <row r="44936">
      <c r="N44936" s="1"/>
      <c r="V44936" s="5"/>
    </row>
    <row r="44937">
      <c r="N44937" s="1"/>
      <c r="V44937" s="5"/>
    </row>
    <row r="44938">
      <c r="N44938" s="1"/>
      <c r="V44938" s="5"/>
    </row>
    <row r="44939">
      <c r="N44939" s="1"/>
      <c r="V44939" s="5"/>
    </row>
    <row r="44940">
      <c r="N44940" s="1"/>
      <c r="V44940" s="5"/>
    </row>
    <row r="44941">
      <c r="N44941" s="1"/>
      <c r="V44941" s="5"/>
    </row>
    <row r="44942">
      <c r="N44942" s="1"/>
      <c r="V44942" s="5"/>
    </row>
    <row r="44943">
      <c r="N44943" s="1"/>
      <c r="V44943" s="5"/>
    </row>
    <row r="44944">
      <c r="N44944" s="1"/>
      <c r="V44944" s="5"/>
    </row>
    <row r="44945">
      <c r="N44945" s="1"/>
      <c r="V44945" s="5"/>
    </row>
    <row r="44946">
      <c r="N44946" s="1"/>
      <c r="V44946" s="5"/>
    </row>
    <row r="44947">
      <c r="N44947" s="1"/>
      <c r="V44947" s="5"/>
    </row>
    <row r="44948">
      <c r="N44948" s="1"/>
      <c r="V44948" s="5"/>
    </row>
    <row r="44949">
      <c r="N44949" s="1"/>
      <c r="V44949" s="5"/>
    </row>
    <row r="44950">
      <c r="N44950" s="1"/>
      <c r="V44950" s="5"/>
    </row>
    <row r="44951">
      <c r="N44951" s="1"/>
      <c r="V44951" s="5"/>
    </row>
    <row r="44952">
      <c r="N44952" s="1"/>
      <c r="V44952" s="5"/>
    </row>
    <row r="44953">
      <c r="N44953" s="1"/>
      <c r="V44953" s="5"/>
    </row>
    <row r="44954">
      <c r="N44954" s="1"/>
      <c r="V44954" s="5"/>
    </row>
    <row r="44955">
      <c r="N44955" s="1"/>
      <c r="V44955" s="5"/>
    </row>
    <row r="44956">
      <c r="N44956" s="1"/>
      <c r="V44956" s="5"/>
    </row>
    <row r="44957">
      <c r="N44957" s="1"/>
      <c r="V44957" s="5"/>
    </row>
    <row r="44958">
      <c r="N44958" s="1"/>
      <c r="V44958" s="5"/>
    </row>
    <row r="44959">
      <c r="N44959" s="1"/>
      <c r="V44959" s="5"/>
    </row>
    <row r="44960">
      <c r="N44960" s="1"/>
      <c r="V44960" s="5"/>
    </row>
    <row r="44961">
      <c r="N44961" s="1"/>
      <c r="V44961" s="5"/>
    </row>
    <row r="44962">
      <c r="N44962" s="1"/>
      <c r="V44962" s="5"/>
    </row>
    <row r="44963">
      <c r="N44963" s="1"/>
      <c r="V44963" s="5"/>
    </row>
    <row r="44964">
      <c r="N44964" s="1"/>
      <c r="V44964" s="5"/>
    </row>
    <row r="44965">
      <c r="N44965" s="1"/>
      <c r="V44965" s="5"/>
    </row>
    <row r="44966">
      <c r="N44966" s="1"/>
      <c r="V44966" s="5"/>
    </row>
    <row r="44967">
      <c r="N44967" s="1"/>
      <c r="V44967" s="5"/>
    </row>
    <row r="44968">
      <c r="N44968" s="1"/>
      <c r="V44968" s="5"/>
    </row>
    <row r="44969">
      <c r="N44969" s="1"/>
      <c r="V44969" s="5"/>
    </row>
    <row r="44970">
      <c r="N44970" s="1"/>
      <c r="V44970" s="5"/>
    </row>
    <row r="44971">
      <c r="N44971" s="1"/>
      <c r="V44971" s="5"/>
    </row>
    <row r="44972">
      <c r="N44972" s="1"/>
      <c r="V44972" s="5"/>
    </row>
    <row r="44973">
      <c r="N44973" s="1"/>
      <c r="V44973" s="5"/>
    </row>
    <row r="44974">
      <c r="N44974" s="1"/>
      <c r="V44974" s="5"/>
    </row>
    <row r="44975">
      <c r="N44975" s="1"/>
      <c r="V44975" s="5"/>
    </row>
    <row r="44976">
      <c r="N44976" s="1"/>
      <c r="V44976" s="5"/>
    </row>
    <row r="44977">
      <c r="N44977" s="1"/>
      <c r="V44977" s="5"/>
    </row>
    <row r="44978">
      <c r="N44978" s="1"/>
      <c r="V44978" s="5"/>
    </row>
    <row r="44979">
      <c r="N44979" s="1"/>
      <c r="V44979" s="5"/>
    </row>
    <row r="44980">
      <c r="N44980" s="1"/>
      <c r="V44980" s="5"/>
    </row>
    <row r="44981">
      <c r="N44981" s="1"/>
      <c r="V44981" s="5"/>
    </row>
    <row r="44982">
      <c r="N44982" s="1"/>
      <c r="V44982" s="5"/>
    </row>
    <row r="44983">
      <c r="N44983" s="1"/>
      <c r="V44983" s="5"/>
    </row>
    <row r="44984">
      <c r="N44984" s="1"/>
      <c r="V44984" s="5"/>
    </row>
    <row r="44985">
      <c r="N44985" s="1"/>
      <c r="V44985" s="5"/>
    </row>
    <row r="44986">
      <c r="N44986" s="1"/>
      <c r="V44986" s="5"/>
    </row>
    <row r="44987">
      <c r="N44987" s="1"/>
      <c r="V44987" s="5"/>
    </row>
    <row r="44988">
      <c r="N44988" s="1"/>
      <c r="V44988" s="5"/>
    </row>
    <row r="44989">
      <c r="N44989" s="1"/>
      <c r="V44989" s="5"/>
    </row>
    <row r="44990">
      <c r="N44990" s="1"/>
      <c r="V44990" s="5"/>
    </row>
    <row r="44991">
      <c r="N44991" s="1"/>
      <c r="V44991" s="5"/>
    </row>
    <row r="44992">
      <c r="N44992" s="1"/>
      <c r="V44992" s="5"/>
    </row>
    <row r="44993">
      <c r="N44993" s="1"/>
      <c r="V44993" s="5"/>
    </row>
    <row r="44994">
      <c r="N44994" s="1"/>
      <c r="V44994" s="5"/>
    </row>
    <row r="44995">
      <c r="N44995" s="1"/>
      <c r="V44995" s="5"/>
    </row>
    <row r="44996">
      <c r="N44996" s="1"/>
      <c r="V44996" s="5"/>
    </row>
    <row r="44997">
      <c r="N44997" s="1"/>
      <c r="V44997" s="5"/>
    </row>
    <row r="44998">
      <c r="N44998" s="1"/>
      <c r="V44998" s="5"/>
    </row>
    <row r="44999">
      <c r="N44999" s="1"/>
      <c r="V44999" s="5"/>
    </row>
    <row r="45000">
      <c r="N45000" s="1"/>
      <c r="V45000" s="5"/>
    </row>
    <row r="45001">
      <c r="N45001" s="1"/>
      <c r="V45001" s="5"/>
    </row>
    <row r="45002">
      <c r="N45002" s="1"/>
      <c r="V45002" s="5"/>
    </row>
    <row r="45003">
      <c r="N45003" s="1"/>
      <c r="V45003" s="5"/>
    </row>
    <row r="45004">
      <c r="N45004" s="1"/>
      <c r="V45004" s="5"/>
    </row>
    <row r="45005">
      <c r="N45005" s="1"/>
      <c r="V45005" s="5"/>
    </row>
    <row r="45006">
      <c r="N45006" s="1"/>
      <c r="V45006" s="5"/>
    </row>
    <row r="45007">
      <c r="N45007" s="1"/>
      <c r="V45007" s="5"/>
    </row>
    <row r="45008">
      <c r="N45008" s="1"/>
      <c r="V45008" s="5"/>
    </row>
    <row r="45009">
      <c r="N45009" s="1"/>
      <c r="V45009" s="5"/>
    </row>
    <row r="45010">
      <c r="N45010" s="1"/>
      <c r="V45010" s="5"/>
    </row>
    <row r="45011">
      <c r="N45011" s="1"/>
      <c r="V45011" s="5"/>
    </row>
    <row r="45012">
      <c r="N45012" s="1"/>
      <c r="V45012" s="5"/>
    </row>
    <row r="45013">
      <c r="N45013" s="1"/>
      <c r="V45013" s="5"/>
    </row>
    <row r="45014">
      <c r="N45014" s="1"/>
      <c r="V45014" s="5"/>
    </row>
    <row r="45015">
      <c r="N45015" s="1"/>
      <c r="V45015" s="5"/>
    </row>
    <row r="45016">
      <c r="N45016" s="1"/>
      <c r="V45016" s="5"/>
    </row>
    <row r="45017">
      <c r="N45017" s="1"/>
      <c r="V45017" s="5"/>
    </row>
    <row r="45018">
      <c r="N45018" s="1"/>
      <c r="V45018" s="5"/>
    </row>
    <row r="45019">
      <c r="N45019" s="1"/>
      <c r="V45019" s="5"/>
    </row>
    <row r="45020">
      <c r="N45020" s="1"/>
      <c r="V45020" s="5"/>
    </row>
    <row r="45021">
      <c r="N45021" s="1"/>
      <c r="V45021" s="5"/>
    </row>
    <row r="45022">
      <c r="N45022" s="1"/>
      <c r="V45022" s="5"/>
    </row>
    <row r="45023">
      <c r="N45023" s="1"/>
      <c r="V45023" s="5"/>
    </row>
    <row r="45024">
      <c r="N45024" s="1"/>
      <c r="V45024" s="5"/>
    </row>
    <row r="45025">
      <c r="N45025" s="1"/>
      <c r="V45025" s="5"/>
    </row>
    <row r="45026">
      <c r="N45026" s="1"/>
      <c r="V45026" s="5"/>
    </row>
    <row r="45027">
      <c r="N45027" s="1"/>
      <c r="V45027" s="5"/>
    </row>
    <row r="45028">
      <c r="N45028" s="1"/>
      <c r="V45028" s="5"/>
    </row>
    <row r="45029">
      <c r="N45029" s="1"/>
      <c r="V45029" s="5"/>
    </row>
    <row r="45030">
      <c r="N45030" s="1"/>
      <c r="V45030" s="5"/>
    </row>
    <row r="45031">
      <c r="N45031" s="1"/>
      <c r="V45031" s="5"/>
    </row>
    <row r="45032">
      <c r="N45032" s="1"/>
      <c r="V45032" s="5"/>
    </row>
    <row r="45033">
      <c r="N45033" s="1"/>
      <c r="V45033" s="5"/>
    </row>
    <row r="45034">
      <c r="N45034" s="1"/>
      <c r="V45034" s="5"/>
    </row>
    <row r="45035">
      <c r="N45035" s="1"/>
      <c r="V45035" s="5"/>
    </row>
    <row r="45036">
      <c r="N45036" s="1"/>
      <c r="V45036" s="5"/>
    </row>
    <row r="45037">
      <c r="N45037" s="1"/>
      <c r="V45037" s="5"/>
    </row>
    <row r="45038">
      <c r="N45038" s="1"/>
      <c r="V45038" s="5"/>
    </row>
    <row r="45039">
      <c r="N45039" s="1"/>
      <c r="V45039" s="5"/>
    </row>
    <row r="45040">
      <c r="N45040" s="1"/>
      <c r="V45040" s="5"/>
    </row>
    <row r="45041">
      <c r="N45041" s="1"/>
      <c r="V45041" s="5"/>
    </row>
    <row r="45042">
      <c r="N45042" s="1"/>
      <c r="V45042" s="5"/>
    </row>
    <row r="45043">
      <c r="N45043" s="1"/>
      <c r="V45043" s="5"/>
    </row>
    <row r="45044">
      <c r="N45044" s="1"/>
      <c r="V45044" s="5"/>
    </row>
    <row r="45045">
      <c r="N45045" s="1"/>
      <c r="V45045" s="5"/>
    </row>
    <row r="45046">
      <c r="N45046" s="1"/>
      <c r="V45046" s="5"/>
    </row>
    <row r="45047">
      <c r="N45047" s="1"/>
      <c r="V45047" s="5"/>
    </row>
    <row r="45048">
      <c r="N45048" s="1"/>
      <c r="V45048" s="5"/>
    </row>
    <row r="45049">
      <c r="N45049" s="1"/>
      <c r="V45049" s="5"/>
    </row>
    <row r="45050">
      <c r="N45050" s="1"/>
      <c r="V45050" s="5"/>
    </row>
    <row r="45051">
      <c r="N45051" s="1"/>
      <c r="V45051" s="5"/>
    </row>
    <row r="45052">
      <c r="N45052" s="1"/>
      <c r="V45052" s="5"/>
    </row>
    <row r="45053">
      <c r="N45053" s="1"/>
      <c r="V45053" s="5"/>
    </row>
    <row r="45054">
      <c r="N45054" s="1"/>
      <c r="V45054" s="5"/>
    </row>
    <row r="45055">
      <c r="N45055" s="1"/>
      <c r="V45055" s="5"/>
    </row>
    <row r="45056">
      <c r="N45056" s="1"/>
      <c r="V45056" s="5"/>
    </row>
    <row r="45057">
      <c r="N45057" s="1"/>
      <c r="V45057" s="5"/>
    </row>
    <row r="45058">
      <c r="N45058" s="1"/>
      <c r="V45058" s="5"/>
    </row>
    <row r="45059">
      <c r="N45059" s="1"/>
      <c r="V45059" s="5"/>
    </row>
    <row r="45060">
      <c r="N45060" s="1"/>
      <c r="V45060" s="5"/>
    </row>
    <row r="45061">
      <c r="N45061" s="1"/>
      <c r="V45061" s="5"/>
    </row>
    <row r="45062">
      <c r="N45062" s="1"/>
      <c r="V45062" s="5"/>
    </row>
    <row r="45063">
      <c r="N45063" s="1"/>
      <c r="V45063" s="5"/>
    </row>
    <row r="45064">
      <c r="N45064" s="1"/>
      <c r="V45064" s="5"/>
    </row>
    <row r="45065">
      <c r="N45065" s="1"/>
      <c r="V45065" s="5"/>
    </row>
    <row r="45066">
      <c r="N45066" s="1"/>
      <c r="V45066" s="5"/>
    </row>
    <row r="45067">
      <c r="N45067" s="1"/>
      <c r="V45067" s="5"/>
    </row>
    <row r="45068">
      <c r="N45068" s="1"/>
      <c r="V45068" s="5"/>
    </row>
    <row r="45069">
      <c r="N45069" s="1"/>
      <c r="V45069" s="5"/>
    </row>
    <row r="45070">
      <c r="N45070" s="1"/>
      <c r="V45070" s="5"/>
    </row>
    <row r="45071">
      <c r="N45071" s="1"/>
      <c r="V45071" s="5"/>
    </row>
    <row r="45072">
      <c r="N45072" s="1"/>
      <c r="V45072" s="5"/>
    </row>
    <row r="45073">
      <c r="N45073" s="1"/>
      <c r="V45073" s="5"/>
    </row>
    <row r="45074">
      <c r="N45074" s="1"/>
      <c r="V45074" s="5"/>
    </row>
    <row r="45075">
      <c r="N45075" s="1"/>
      <c r="V45075" s="5"/>
    </row>
    <row r="45076">
      <c r="N45076" s="1"/>
      <c r="V45076" s="5"/>
    </row>
    <row r="45077">
      <c r="N45077" s="1"/>
      <c r="V45077" s="5"/>
    </row>
    <row r="45078">
      <c r="N45078" s="1"/>
      <c r="V45078" s="5"/>
    </row>
    <row r="45079">
      <c r="N45079" s="1"/>
      <c r="V45079" s="5"/>
    </row>
    <row r="45080">
      <c r="N45080" s="1"/>
      <c r="V45080" s="5"/>
    </row>
    <row r="45081">
      <c r="N45081" s="1"/>
      <c r="V45081" s="5"/>
    </row>
    <row r="45082">
      <c r="N45082" s="1"/>
      <c r="V45082" s="5"/>
    </row>
    <row r="45083">
      <c r="N45083" s="1"/>
      <c r="V45083" s="5"/>
    </row>
    <row r="45084">
      <c r="N45084" s="1"/>
      <c r="V45084" s="5"/>
    </row>
    <row r="45085">
      <c r="N45085" s="1"/>
      <c r="V45085" s="5"/>
    </row>
    <row r="45086">
      <c r="N45086" s="1"/>
      <c r="V45086" s="5"/>
    </row>
    <row r="45087">
      <c r="N45087" s="1"/>
      <c r="V45087" s="5"/>
    </row>
    <row r="45088">
      <c r="N45088" s="1"/>
      <c r="V45088" s="5"/>
    </row>
    <row r="45089">
      <c r="N45089" s="1"/>
      <c r="V45089" s="5"/>
    </row>
    <row r="45090">
      <c r="N45090" s="1"/>
      <c r="V45090" s="5"/>
    </row>
    <row r="45091">
      <c r="N45091" s="1"/>
      <c r="V45091" s="5"/>
    </row>
    <row r="45092">
      <c r="N45092" s="1"/>
      <c r="V45092" s="5"/>
    </row>
    <row r="45093">
      <c r="N45093" s="1"/>
      <c r="V45093" s="5"/>
    </row>
    <row r="45094">
      <c r="N45094" s="1"/>
      <c r="V45094" s="5"/>
    </row>
    <row r="45095">
      <c r="N45095" s="1"/>
      <c r="V45095" s="5"/>
    </row>
    <row r="45096">
      <c r="N45096" s="1"/>
      <c r="V45096" s="5"/>
    </row>
    <row r="45097">
      <c r="N45097" s="1"/>
      <c r="V45097" s="5"/>
    </row>
    <row r="45098">
      <c r="N45098" s="1"/>
      <c r="V45098" s="5"/>
    </row>
    <row r="45099">
      <c r="N45099" s="1"/>
      <c r="V45099" s="5"/>
    </row>
    <row r="45100">
      <c r="N45100" s="1"/>
      <c r="V45100" s="5"/>
    </row>
    <row r="45101">
      <c r="N45101" s="1"/>
      <c r="V45101" s="5"/>
    </row>
    <row r="45102">
      <c r="N45102" s="1"/>
      <c r="V45102" s="5"/>
    </row>
    <row r="45103">
      <c r="N45103" s="1"/>
      <c r="V45103" s="5"/>
    </row>
    <row r="45104">
      <c r="N45104" s="1"/>
      <c r="V45104" s="5"/>
    </row>
    <row r="45105">
      <c r="N45105" s="1"/>
      <c r="V45105" s="5"/>
    </row>
    <row r="45106">
      <c r="N45106" s="1"/>
      <c r="V45106" s="5"/>
    </row>
    <row r="45107">
      <c r="N45107" s="1"/>
      <c r="V45107" s="5"/>
    </row>
    <row r="45108">
      <c r="N45108" s="1"/>
      <c r="V45108" s="5"/>
    </row>
    <row r="45109">
      <c r="N45109" s="1"/>
      <c r="V45109" s="5"/>
    </row>
    <row r="45110">
      <c r="N45110" s="1"/>
      <c r="V45110" s="5"/>
    </row>
    <row r="45111">
      <c r="N45111" s="1"/>
      <c r="V45111" s="5"/>
    </row>
    <row r="45112">
      <c r="N45112" s="1"/>
      <c r="V45112" s="5"/>
    </row>
    <row r="45113">
      <c r="N45113" s="1"/>
      <c r="V45113" s="5"/>
    </row>
    <row r="45114">
      <c r="N45114" s="1"/>
      <c r="V45114" s="5"/>
    </row>
    <row r="45115">
      <c r="N45115" s="1"/>
      <c r="V45115" s="5"/>
    </row>
    <row r="45116">
      <c r="N45116" s="1"/>
      <c r="V45116" s="5"/>
    </row>
    <row r="45117">
      <c r="N45117" s="1"/>
      <c r="V45117" s="5"/>
    </row>
    <row r="45118">
      <c r="N45118" s="1"/>
      <c r="V45118" s="5"/>
    </row>
    <row r="45119">
      <c r="N45119" s="1"/>
      <c r="V45119" s="5"/>
    </row>
    <row r="45120">
      <c r="N45120" s="1"/>
      <c r="V45120" s="5"/>
    </row>
    <row r="45121">
      <c r="N45121" s="1"/>
      <c r="V45121" s="5"/>
    </row>
    <row r="45122">
      <c r="N45122" s="1"/>
      <c r="V45122" s="5"/>
    </row>
    <row r="45123">
      <c r="N45123" s="1"/>
      <c r="V45123" s="5"/>
    </row>
    <row r="45124">
      <c r="N45124" s="1"/>
      <c r="V45124" s="5"/>
    </row>
    <row r="45125">
      <c r="N45125" s="1"/>
      <c r="V45125" s="5"/>
    </row>
    <row r="45126">
      <c r="N45126" s="1"/>
      <c r="V45126" s="5"/>
    </row>
    <row r="45127">
      <c r="N45127" s="1"/>
      <c r="V45127" s="5"/>
    </row>
    <row r="45128">
      <c r="N45128" s="1"/>
      <c r="V45128" s="5"/>
    </row>
    <row r="45129">
      <c r="N45129" s="1"/>
      <c r="V45129" s="5"/>
    </row>
    <row r="45130">
      <c r="N45130" s="1"/>
      <c r="V45130" s="5"/>
    </row>
    <row r="45131">
      <c r="N45131" s="1"/>
      <c r="V45131" s="5"/>
    </row>
    <row r="45132">
      <c r="N45132" s="1"/>
      <c r="V45132" s="5"/>
    </row>
    <row r="45133">
      <c r="N45133" s="1"/>
      <c r="V45133" s="5"/>
    </row>
    <row r="45134">
      <c r="N45134" s="1"/>
      <c r="V45134" s="5"/>
    </row>
    <row r="45135">
      <c r="N45135" s="1"/>
      <c r="V45135" s="5"/>
    </row>
    <row r="45136">
      <c r="N45136" s="1"/>
      <c r="V45136" s="5"/>
    </row>
    <row r="45137">
      <c r="N45137" s="1"/>
      <c r="V45137" s="5"/>
    </row>
    <row r="45138">
      <c r="N45138" s="1"/>
      <c r="V45138" s="5"/>
    </row>
    <row r="45139">
      <c r="N45139" s="1"/>
      <c r="V45139" s="5"/>
    </row>
    <row r="45140">
      <c r="N45140" s="1"/>
      <c r="V45140" s="5"/>
    </row>
    <row r="45141">
      <c r="N45141" s="1"/>
      <c r="V45141" s="5"/>
    </row>
    <row r="45142">
      <c r="N45142" s="1"/>
      <c r="V45142" s="5"/>
    </row>
    <row r="45143">
      <c r="N45143" s="1"/>
      <c r="V45143" s="5"/>
    </row>
    <row r="45144">
      <c r="N45144" s="1"/>
      <c r="V45144" s="5"/>
    </row>
    <row r="45145">
      <c r="N45145" s="1"/>
      <c r="V45145" s="5"/>
    </row>
    <row r="45146">
      <c r="N45146" s="1"/>
      <c r="V45146" s="5"/>
    </row>
    <row r="45147">
      <c r="N45147" s="1"/>
      <c r="V45147" s="5"/>
    </row>
    <row r="45148">
      <c r="N45148" s="1"/>
      <c r="V45148" s="5"/>
    </row>
    <row r="45149">
      <c r="N45149" s="1"/>
      <c r="V45149" s="5"/>
    </row>
    <row r="45150">
      <c r="N45150" s="1"/>
      <c r="V45150" s="5"/>
    </row>
    <row r="45151">
      <c r="N45151" s="1"/>
      <c r="V45151" s="5"/>
    </row>
    <row r="45152">
      <c r="N45152" s="1"/>
      <c r="V45152" s="5"/>
    </row>
    <row r="45153">
      <c r="N45153" s="1"/>
      <c r="V45153" s="5"/>
    </row>
    <row r="45154">
      <c r="N45154" s="1"/>
      <c r="V45154" s="5"/>
    </row>
    <row r="45155">
      <c r="N45155" s="1"/>
      <c r="V45155" s="5"/>
    </row>
    <row r="45156">
      <c r="N45156" s="1"/>
      <c r="V45156" s="5"/>
    </row>
    <row r="45157">
      <c r="N45157" s="1"/>
      <c r="V45157" s="5"/>
    </row>
    <row r="45158">
      <c r="N45158" s="1"/>
      <c r="V45158" s="5"/>
    </row>
    <row r="45159">
      <c r="N45159" s="1"/>
      <c r="V45159" s="5"/>
    </row>
    <row r="45160">
      <c r="N45160" s="1"/>
      <c r="V45160" s="5"/>
    </row>
    <row r="45161">
      <c r="N45161" s="1"/>
      <c r="V45161" s="5"/>
    </row>
    <row r="45162">
      <c r="N45162" s="1"/>
      <c r="V45162" s="5"/>
    </row>
    <row r="45163">
      <c r="N45163" s="1"/>
      <c r="V45163" s="5"/>
    </row>
    <row r="45164">
      <c r="N45164" s="1"/>
      <c r="V45164" s="5"/>
    </row>
    <row r="45165">
      <c r="N45165" s="1"/>
      <c r="V45165" s="5"/>
    </row>
    <row r="45166">
      <c r="N45166" s="1"/>
      <c r="V45166" s="5"/>
    </row>
    <row r="45167">
      <c r="N45167" s="1"/>
      <c r="V45167" s="5"/>
    </row>
    <row r="45168">
      <c r="N45168" s="1"/>
      <c r="V45168" s="5"/>
    </row>
    <row r="45169">
      <c r="N45169" s="1"/>
      <c r="V45169" s="5"/>
    </row>
    <row r="45170">
      <c r="N45170" s="1"/>
      <c r="V45170" s="5"/>
    </row>
    <row r="45171">
      <c r="N45171" s="1"/>
      <c r="V45171" s="5"/>
    </row>
    <row r="45172">
      <c r="N45172" s="1"/>
      <c r="V45172" s="5"/>
    </row>
    <row r="45173">
      <c r="N45173" s="1"/>
      <c r="V45173" s="5"/>
    </row>
    <row r="45174">
      <c r="N45174" s="1"/>
      <c r="V45174" s="5"/>
    </row>
    <row r="45175">
      <c r="N45175" s="1"/>
      <c r="V45175" s="5"/>
    </row>
    <row r="45176">
      <c r="N45176" s="1"/>
      <c r="V45176" s="5"/>
    </row>
    <row r="45177">
      <c r="N45177" s="1"/>
      <c r="V45177" s="5"/>
    </row>
    <row r="45178">
      <c r="N45178" s="1"/>
      <c r="V45178" s="5"/>
    </row>
    <row r="45179">
      <c r="N45179" s="1"/>
      <c r="V45179" s="5"/>
    </row>
    <row r="45180">
      <c r="N45180" s="1"/>
      <c r="V45180" s="5"/>
    </row>
    <row r="45181">
      <c r="N45181" s="1"/>
      <c r="V45181" s="5"/>
    </row>
    <row r="45182">
      <c r="N45182" s="1"/>
      <c r="V45182" s="5"/>
    </row>
    <row r="45183">
      <c r="N45183" s="1"/>
      <c r="V45183" s="5"/>
    </row>
    <row r="45184">
      <c r="N45184" s="1"/>
      <c r="V45184" s="5"/>
    </row>
    <row r="45185">
      <c r="N45185" s="1"/>
      <c r="V45185" s="5"/>
    </row>
    <row r="45186">
      <c r="N45186" s="1"/>
      <c r="V45186" s="5"/>
    </row>
    <row r="45187">
      <c r="N45187" s="1"/>
      <c r="V45187" s="5"/>
    </row>
    <row r="45188">
      <c r="N45188" s="1"/>
      <c r="V45188" s="5"/>
    </row>
    <row r="45189">
      <c r="N45189" s="1"/>
      <c r="V45189" s="5"/>
    </row>
    <row r="45190">
      <c r="N45190" s="1"/>
      <c r="V45190" s="5"/>
    </row>
    <row r="45191">
      <c r="N45191" s="1"/>
      <c r="V45191" s="5"/>
    </row>
    <row r="45192">
      <c r="N45192" s="1"/>
      <c r="V45192" s="5"/>
    </row>
    <row r="45193">
      <c r="N45193" s="1"/>
      <c r="V45193" s="5"/>
    </row>
    <row r="45194">
      <c r="N45194" s="1"/>
      <c r="V45194" s="5"/>
    </row>
    <row r="45195">
      <c r="N45195" s="1"/>
      <c r="V45195" s="5"/>
    </row>
    <row r="45196">
      <c r="N45196" s="1"/>
      <c r="V45196" s="5"/>
    </row>
    <row r="45197">
      <c r="N45197" s="1"/>
      <c r="V45197" s="5"/>
    </row>
    <row r="45198">
      <c r="N45198" s="1"/>
      <c r="V45198" s="5"/>
    </row>
    <row r="45199">
      <c r="N45199" s="1"/>
      <c r="V45199" s="5"/>
    </row>
    <row r="45200">
      <c r="N45200" s="1"/>
      <c r="V45200" s="5"/>
    </row>
    <row r="45201">
      <c r="N45201" s="1"/>
      <c r="V45201" s="5"/>
    </row>
    <row r="45202">
      <c r="N45202" s="1"/>
      <c r="V45202" s="5"/>
    </row>
    <row r="45203">
      <c r="N45203" s="1"/>
      <c r="V45203" s="5"/>
    </row>
    <row r="45204">
      <c r="N45204" s="1"/>
      <c r="V45204" s="5"/>
    </row>
    <row r="45205">
      <c r="N45205" s="1"/>
      <c r="V45205" s="5"/>
    </row>
    <row r="45206">
      <c r="N45206" s="1"/>
      <c r="V45206" s="5"/>
    </row>
    <row r="45207">
      <c r="N45207" s="1"/>
      <c r="V45207" s="5"/>
    </row>
    <row r="45208">
      <c r="N45208" s="1"/>
      <c r="V45208" s="5"/>
    </row>
    <row r="45209">
      <c r="N45209" s="1"/>
      <c r="V45209" s="5"/>
    </row>
    <row r="45210">
      <c r="N45210" s="1"/>
      <c r="V45210" s="5"/>
    </row>
    <row r="45211">
      <c r="N45211" s="1"/>
      <c r="V45211" s="5"/>
    </row>
    <row r="45212">
      <c r="N45212" s="1"/>
      <c r="V45212" s="5"/>
    </row>
    <row r="45213">
      <c r="N45213" s="1"/>
      <c r="V45213" s="5"/>
    </row>
    <row r="45214">
      <c r="N45214" s="1"/>
      <c r="V45214" s="5"/>
    </row>
    <row r="45215">
      <c r="N45215" s="1"/>
      <c r="V45215" s="5"/>
    </row>
    <row r="45216">
      <c r="N45216" s="1"/>
      <c r="V45216" s="5"/>
    </row>
    <row r="45217">
      <c r="N45217" s="1"/>
      <c r="V45217" s="5"/>
    </row>
    <row r="45218">
      <c r="N45218" s="1"/>
      <c r="V45218" s="5"/>
    </row>
    <row r="45219">
      <c r="N45219" s="1"/>
      <c r="V45219" s="5"/>
    </row>
    <row r="45220">
      <c r="N45220" s="1"/>
      <c r="V45220" s="5"/>
    </row>
    <row r="45221">
      <c r="N45221" s="1"/>
      <c r="V45221" s="5"/>
    </row>
    <row r="45222">
      <c r="N45222" s="1"/>
      <c r="V45222" s="5"/>
    </row>
    <row r="45223">
      <c r="N45223" s="1"/>
      <c r="V45223" s="5"/>
    </row>
    <row r="45224">
      <c r="N45224" s="1"/>
      <c r="V45224" s="5"/>
    </row>
    <row r="45225">
      <c r="N45225" s="1"/>
      <c r="V45225" s="5"/>
    </row>
    <row r="45226">
      <c r="N45226" s="1"/>
      <c r="V45226" s="5"/>
    </row>
    <row r="45227">
      <c r="N45227" s="1"/>
      <c r="V45227" s="5"/>
    </row>
    <row r="45228">
      <c r="N45228" s="1"/>
      <c r="V45228" s="5"/>
    </row>
    <row r="45229">
      <c r="N45229" s="1"/>
      <c r="V45229" s="5"/>
    </row>
    <row r="45230">
      <c r="N45230" s="1"/>
      <c r="V45230" s="5"/>
    </row>
    <row r="45231">
      <c r="N45231" s="1"/>
      <c r="V45231" s="5"/>
    </row>
    <row r="45232">
      <c r="N45232" s="1"/>
      <c r="V45232" s="5"/>
    </row>
    <row r="45233">
      <c r="N45233" s="1"/>
      <c r="V45233" s="5"/>
    </row>
    <row r="45234">
      <c r="N45234" s="1"/>
      <c r="V45234" s="5"/>
    </row>
    <row r="45235">
      <c r="N45235" s="1"/>
      <c r="V45235" s="5"/>
    </row>
    <row r="45236">
      <c r="N45236" s="1"/>
      <c r="V45236" s="5"/>
    </row>
    <row r="45237">
      <c r="N45237" s="1"/>
      <c r="V45237" s="5"/>
    </row>
    <row r="45238">
      <c r="N45238" s="1"/>
      <c r="V45238" s="5"/>
    </row>
    <row r="45239">
      <c r="N45239" s="1"/>
      <c r="V45239" s="5"/>
    </row>
    <row r="45240">
      <c r="N45240" s="1"/>
      <c r="V45240" s="5"/>
    </row>
    <row r="45241">
      <c r="N45241" s="1"/>
      <c r="V45241" s="5"/>
    </row>
    <row r="45242">
      <c r="N45242" s="1"/>
      <c r="V45242" s="5"/>
    </row>
    <row r="45243">
      <c r="N45243" s="1"/>
      <c r="V45243" s="5"/>
    </row>
    <row r="45244">
      <c r="N45244" s="1"/>
      <c r="V45244" s="5"/>
    </row>
    <row r="45245">
      <c r="N45245" s="1"/>
      <c r="V45245" s="5"/>
    </row>
    <row r="45246">
      <c r="N45246" s="1"/>
      <c r="V45246" s="5"/>
    </row>
    <row r="45247">
      <c r="N45247" s="1"/>
      <c r="V45247" s="5"/>
    </row>
    <row r="45248">
      <c r="N45248" s="1"/>
      <c r="V45248" s="5"/>
    </row>
    <row r="45249">
      <c r="N45249" s="1"/>
      <c r="V45249" s="5"/>
    </row>
    <row r="45250">
      <c r="N45250" s="1"/>
      <c r="V45250" s="5"/>
    </row>
    <row r="45251">
      <c r="N45251" s="1"/>
      <c r="V45251" s="5"/>
    </row>
    <row r="45252">
      <c r="N45252" s="1"/>
      <c r="V45252" s="5"/>
    </row>
    <row r="45253">
      <c r="N45253" s="1"/>
      <c r="V45253" s="5"/>
    </row>
    <row r="45254">
      <c r="N45254" s="1"/>
      <c r="V45254" s="5"/>
    </row>
    <row r="45255">
      <c r="N45255" s="1"/>
      <c r="V45255" s="5"/>
    </row>
    <row r="45256">
      <c r="N45256" s="1"/>
      <c r="V45256" s="5"/>
    </row>
    <row r="45257">
      <c r="N45257" s="1"/>
      <c r="V45257" s="5"/>
    </row>
    <row r="45258">
      <c r="N45258" s="1"/>
      <c r="V45258" s="5"/>
    </row>
    <row r="45259">
      <c r="N45259" s="1"/>
      <c r="V45259" s="5"/>
    </row>
    <row r="45260">
      <c r="N45260" s="1"/>
      <c r="V45260" s="5"/>
    </row>
    <row r="45261">
      <c r="N45261" s="1"/>
      <c r="V45261" s="5"/>
    </row>
    <row r="45262">
      <c r="N45262" s="1"/>
      <c r="V45262" s="5"/>
    </row>
    <row r="45263">
      <c r="N45263" s="1"/>
      <c r="V45263" s="5"/>
    </row>
    <row r="45264">
      <c r="N45264" s="1"/>
      <c r="V45264" s="5"/>
    </row>
    <row r="45265">
      <c r="N45265" s="1"/>
      <c r="V45265" s="5"/>
    </row>
    <row r="45266">
      <c r="N45266" s="1"/>
      <c r="V45266" s="5"/>
    </row>
    <row r="45267">
      <c r="N45267" s="1"/>
      <c r="V45267" s="5"/>
    </row>
    <row r="45268">
      <c r="N45268" s="1"/>
      <c r="V45268" s="5"/>
    </row>
    <row r="45269">
      <c r="N45269" s="1"/>
      <c r="V45269" s="5"/>
    </row>
    <row r="45270">
      <c r="N45270" s="1"/>
      <c r="V45270" s="5"/>
    </row>
    <row r="45271">
      <c r="N45271" s="1"/>
      <c r="V45271" s="5"/>
    </row>
    <row r="45272">
      <c r="N45272" s="1"/>
      <c r="V45272" s="5"/>
    </row>
    <row r="45273">
      <c r="N45273" s="1"/>
      <c r="V45273" s="5"/>
    </row>
    <row r="45274">
      <c r="N45274" s="1"/>
      <c r="V45274" s="5"/>
    </row>
    <row r="45275">
      <c r="N45275" s="1"/>
      <c r="V45275" s="5"/>
    </row>
    <row r="45276">
      <c r="N45276" s="1"/>
      <c r="V45276" s="5"/>
    </row>
    <row r="45277">
      <c r="N45277" s="1"/>
      <c r="V45277" s="5"/>
    </row>
    <row r="45278">
      <c r="N45278" s="1"/>
      <c r="V45278" s="5"/>
    </row>
    <row r="45279">
      <c r="N45279" s="1"/>
      <c r="V45279" s="5"/>
    </row>
    <row r="45280">
      <c r="N45280" s="1"/>
      <c r="V45280" s="5"/>
    </row>
    <row r="45281">
      <c r="N45281" s="1"/>
      <c r="V45281" s="5"/>
    </row>
    <row r="45282">
      <c r="N45282" s="1"/>
      <c r="V45282" s="5"/>
    </row>
    <row r="45283">
      <c r="N45283" s="1"/>
      <c r="V45283" s="5"/>
    </row>
    <row r="45284">
      <c r="N45284" s="1"/>
      <c r="V45284" s="5"/>
    </row>
    <row r="45285">
      <c r="N45285" s="1"/>
      <c r="V45285" s="5"/>
    </row>
    <row r="45286">
      <c r="N45286" s="1"/>
      <c r="V45286" s="5"/>
    </row>
    <row r="45287">
      <c r="N45287" s="1"/>
      <c r="V45287" s="5"/>
    </row>
    <row r="45288">
      <c r="N45288" s="1"/>
      <c r="V45288" s="5"/>
    </row>
    <row r="45289">
      <c r="N45289" s="1"/>
      <c r="V45289" s="5"/>
    </row>
    <row r="45290">
      <c r="N45290" s="1"/>
      <c r="V45290" s="5"/>
    </row>
    <row r="45291">
      <c r="N45291" s="1"/>
      <c r="V45291" s="5"/>
    </row>
    <row r="45292">
      <c r="N45292" s="1"/>
      <c r="V45292" s="5"/>
    </row>
    <row r="45293">
      <c r="N45293" s="1"/>
      <c r="V45293" s="5"/>
    </row>
    <row r="45294">
      <c r="N45294" s="1"/>
      <c r="V45294" s="5"/>
    </row>
    <row r="45295">
      <c r="N45295" s="1"/>
      <c r="V45295" s="5"/>
    </row>
    <row r="45296">
      <c r="N45296" s="1"/>
      <c r="V45296" s="5"/>
    </row>
    <row r="45297">
      <c r="N45297" s="1"/>
      <c r="V45297" s="5"/>
    </row>
    <row r="45298">
      <c r="N45298" s="1"/>
      <c r="V45298" s="5"/>
    </row>
    <row r="45299">
      <c r="N45299" s="1"/>
      <c r="V45299" s="5"/>
    </row>
    <row r="45300">
      <c r="N45300" s="1"/>
      <c r="V45300" s="5"/>
    </row>
    <row r="45301">
      <c r="N45301" s="1"/>
      <c r="V45301" s="5"/>
    </row>
    <row r="45302">
      <c r="N45302" s="1"/>
      <c r="V45302" s="5"/>
    </row>
    <row r="45303">
      <c r="N45303" s="1"/>
      <c r="V45303" s="5"/>
    </row>
    <row r="45304">
      <c r="N45304" s="1"/>
      <c r="V45304" s="5"/>
    </row>
    <row r="45305">
      <c r="N45305" s="1"/>
      <c r="V45305" s="5"/>
    </row>
    <row r="45306">
      <c r="N45306" s="1"/>
      <c r="V45306" s="5"/>
    </row>
    <row r="45307">
      <c r="N45307" s="1"/>
      <c r="V45307" s="5"/>
    </row>
    <row r="45308">
      <c r="N45308" s="1"/>
      <c r="V45308" s="5"/>
    </row>
    <row r="45309">
      <c r="N45309" s="1"/>
      <c r="V45309" s="5"/>
    </row>
    <row r="45310">
      <c r="N45310" s="1"/>
      <c r="V45310" s="5"/>
    </row>
    <row r="45311">
      <c r="N45311" s="1"/>
      <c r="V45311" s="5"/>
    </row>
    <row r="45312">
      <c r="N45312" s="1"/>
      <c r="V45312" s="5"/>
    </row>
    <row r="45313">
      <c r="N45313" s="1"/>
      <c r="V45313" s="5"/>
    </row>
    <row r="45314">
      <c r="N45314" s="1"/>
      <c r="V45314" s="5"/>
    </row>
    <row r="45315">
      <c r="N45315" s="1"/>
      <c r="V45315" s="5"/>
    </row>
    <row r="45316">
      <c r="N45316" s="1"/>
      <c r="V45316" s="5"/>
    </row>
    <row r="45317">
      <c r="N45317" s="1"/>
      <c r="V45317" s="5"/>
    </row>
    <row r="45318">
      <c r="N45318" s="1"/>
      <c r="V45318" s="5"/>
    </row>
    <row r="45319">
      <c r="N45319" s="1"/>
      <c r="V45319" s="5"/>
    </row>
    <row r="45320">
      <c r="N45320" s="1"/>
      <c r="V45320" s="5"/>
    </row>
    <row r="45321">
      <c r="N45321" s="1"/>
      <c r="V45321" s="5"/>
    </row>
    <row r="45322">
      <c r="N45322" s="1"/>
      <c r="V45322" s="5"/>
    </row>
    <row r="45323">
      <c r="N45323" s="1"/>
      <c r="V45323" s="5"/>
    </row>
    <row r="45324">
      <c r="N45324" s="1"/>
      <c r="V45324" s="5"/>
    </row>
    <row r="45325">
      <c r="N45325" s="1"/>
      <c r="V45325" s="5"/>
    </row>
    <row r="45326">
      <c r="N45326" s="1"/>
      <c r="V45326" s="5"/>
    </row>
    <row r="45327">
      <c r="N45327" s="1"/>
      <c r="V45327" s="5"/>
    </row>
    <row r="45328">
      <c r="N45328" s="1"/>
      <c r="V45328" s="5"/>
    </row>
    <row r="45329">
      <c r="N45329" s="1"/>
      <c r="V45329" s="5"/>
    </row>
    <row r="45330">
      <c r="N45330" s="1"/>
      <c r="V45330" s="5"/>
    </row>
    <row r="45331">
      <c r="N45331" s="1"/>
      <c r="V45331" s="5"/>
    </row>
    <row r="45332">
      <c r="N45332" s="1"/>
      <c r="V45332" s="5"/>
    </row>
    <row r="45333">
      <c r="N45333" s="1"/>
      <c r="V45333" s="5"/>
    </row>
    <row r="45334">
      <c r="N45334" s="1"/>
      <c r="V45334" s="5"/>
    </row>
    <row r="45335">
      <c r="N45335" s="1"/>
      <c r="V45335" s="5"/>
    </row>
    <row r="45336">
      <c r="N45336" s="1"/>
      <c r="V45336" s="5"/>
    </row>
    <row r="45337">
      <c r="N45337" s="1"/>
      <c r="V45337" s="5"/>
    </row>
    <row r="45338">
      <c r="N45338" s="1"/>
      <c r="V45338" s="5"/>
    </row>
    <row r="45339">
      <c r="N45339" s="1"/>
      <c r="V45339" s="5"/>
    </row>
    <row r="45340">
      <c r="N45340" s="1"/>
      <c r="V45340" s="5"/>
    </row>
    <row r="45341">
      <c r="N45341" s="1"/>
      <c r="V45341" s="5"/>
    </row>
    <row r="45342">
      <c r="N45342" s="1"/>
      <c r="V45342" s="5"/>
    </row>
    <row r="45343">
      <c r="N45343" s="1"/>
      <c r="V45343" s="5"/>
    </row>
    <row r="45344">
      <c r="N45344" s="1"/>
      <c r="V45344" s="5"/>
    </row>
    <row r="45345">
      <c r="N45345" s="1"/>
      <c r="V45345" s="5"/>
    </row>
    <row r="45346">
      <c r="N45346" s="1"/>
      <c r="V45346" s="5"/>
    </row>
    <row r="45347">
      <c r="N45347" s="1"/>
      <c r="V45347" s="5"/>
    </row>
    <row r="45348">
      <c r="N45348" s="1"/>
      <c r="V45348" s="5"/>
    </row>
    <row r="45349">
      <c r="N45349" s="1"/>
      <c r="V45349" s="5"/>
    </row>
    <row r="45350">
      <c r="N45350" s="1"/>
      <c r="V45350" s="5"/>
    </row>
    <row r="45351">
      <c r="N45351" s="1"/>
      <c r="V45351" s="5"/>
    </row>
    <row r="45352">
      <c r="N45352" s="1"/>
      <c r="V45352" s="5"/>
    </row>
    <row r="45353">
      <c r="N45353" s="1"/>
      <c r="V45353" s="5"/>
    </row>
    <row r="45354">
      <c r="N45354" s="1"/>
      <c r="V45354" s="5"/>
    </row>
    <row r="45355">
      <c r="N45355" s="1"/>
      <c r="V45355" s="5"/>
    </row>
    <row r="45356">
      <c r="N45356" s="1"/>
      <c r="V45356" s="5"/>
    </row>
    <row r="45357">
      <c r="N45357" s="1"/>
      <c r="V45357" s="5"/>
    </row>
    <row r="45358">
      <c r="N45358" s="1"/>
      <c r="V45358" s="5"/>
    </row>
    <row r="45359">
      <c r="N45359" s="1"/>
      <c r="V45359" s="5"/>
    </row>
    <row r="45360">
      <c r="N45360" s="1"/>
      <c r="V45360" s="5"/>
    </row>
    <row r="45361">
      <c r="N45361" s="1"/>
      <c r="V45361" s="5"/>
    </row>
    <row r="45362">
      <c r="N45362" s="1"/>
      <c r="V45362" s="5"/>
    </row>
    <row r="45363">
      <c r="N45363" s="1"/>
      <c r="V45363" s="5"/>
    </row>
    <row r="45364">
      <c r="N45364" s="1"/>
      <c r="V45364" s="5"/>
    </row>
    <row r="45365">
      <c r="N45365" s="1"/>
      <c r="V45365" s="5"/>
    </row>
    <row r="45366">
      <c r="N45366" s="1"/>
      <c r="V45366" s="5"/>
    </row>
    <row r="45367">
      <c r="N45367" s="1"/>
      <c r="V45367" s="5"/>
    </row>
    <row r="45368">
      <c r="N45368" s="1"/>
      <c r="V45368" s="5"/>
    </row>
    <row r="45369">
      <c r="N45369" s="1"/>
      <c r="V45369" s="5"/>
    </row>
    <row r="45370">
      <c r="N45370" s="1"/>
      <c r="V45370" s="5"/>
    </row>
    <row r="45371">
      <c r="N45371" s="1"/>
      <c r="V45371" s="5"/>
    </row>
    <row r="45372">
      <c r="N45372" s="1"/>
      <c r="V45372" s="5"/>
    </row>
    <row r="45373">
      <c r="N45373" s="1"/>
      <c r="V45373" s="5"/>
    </row>
    <row r="45374">
      <c r="N45374" s="1"/>
      <c r="V45374" s="5"/>
    </row>
    <row r="45375">
      <c r="N45375" s="1"/>
      <c r="V45375" s="5"/>
    </row>
    <row r="45376">
      <c r="N45376" s="1"/>
      <c r="V45376" s="5"/>
    </row>
    <row r="45377">
      <c r="N45377" s="1"/>
      <c r="V45377" s="5"/>
    </row>
    <row r="45378">
      <c r="N45378" s="1"/>
      <c r="V45378" s="5"/>
    </row>
    <row r="45379">
      <c r="N45379" s="1"/>
      <c r="V45379" s="5"/>
    </row>
    <row r="45380">
      <c r="N45380" s="1"/>
      <c r="V45380" s="5"/>
    </row>
    <row r="45381">
      <c r="N45381" s="1"/>
      <c r="V45381" s="5"/>
    </row>
    <row r="45382">
      <c r="N45382" s="1"/>
      <c r="V45382" s="5"/>
    </row>
    <row r="45383">
      <c r="N45383" s="1"/>
      <c r="V45383" s="5"/>
    </row>
    <row r="45384">
      <c r="N45384" s="1"/>
      <c r="V45384" s="5"/>
    </row>
    <row r="45385">
      <c r="N45385" s="1"/>
      <c r="V45385" s="5"/>
    </row>
    <row r="45386">
      <c r="N45386" s="1"/>
      <c r="V45386" s="5"/>
    </row>
    <row r="45387">
      <c r="N45387" s="1"/>
      <c r="V45387" s="5"/>
    </row>
    <row r="45388">
      <c r="N45388" s="1"/>
      <c r="V45388" s="5"/>
    </row>
    <row r="45389">
      <c r="N45389" s="1"/>
      <c r="V45389" s="5"/>
    </row>
    <row r="45390">
      <c r="N45390" s="1"/>
      <c r="V45390" s="5"/>
    </row>
    <row r="45391">
      <c r="N45391" s="1"/>
      <c r="V45391" s="5"/>
    </row>
    <row r="45392">
      <c r="N45392" s="1"/>
      <c r="V45392" s="5"/>
    </row>
    <row r="45393">
      <c r="N45393" s="1"/>
      <c r="V45393" s="5"/>
    </row>
    <row r="45394">
      <c r="N45394" s="1"/>
      <c r="V45394" s="5"/>
    </row>
    <row r="45395">
      <c r="N45395" s="1"/>
      <c r="V45395" s="5"/>
    </row>
    <row r="45396">
      <c r="N45396" s="1"/>
      <c r="V45396" s="5"/>
    </row>
    <row r="45397">
      <c r="N45397" s="1"/>
      <c r="V45397" s="5"/>
    </row>
    <row r="45398">
      <c r="N45398" s="1"/>
      <c r="V45398" s="5"/>
    </row>
    <row r="45399">
      <c r="N45399" s="1"/>
      <c r="V45399" s="5"/>
    </row>
    <row r="45400">
      <c r="N45400" s="1"/>
      <c r="V45400" s="5"/>
    </row>
    <row r="45401">
      <c r="N45401" s="1"/>
      <c r="V45401" s="5"/>
    </row>
    <row r="45402">
      <c r="N45402" s="1"/>
      <c r="V45402" s="5"/>
    </row>
    <row r="45403">
      <c r="N45403" s="1"/>
      <c r="V45403" s="5"/>
    </row>
    <row r="45404">
      <c r="N45404" s="1"/>
      <c r="V45404" s="5"/>
    </row>
    <row r="45405">
      <c r="N45405" s="1"/>
      <c r="V45405" s="5"/>
    </row>
    <row r="45406">
      <c r="N45406" s="1"/>
      <c r="V45406" s="5"/>
    </row>
    <row r="45407">
      <c r="N45407" s="1"/>
      <c r="V45407" s="5"/>
    </row>
    <row r="45408">
      <c r="N45408" s="1"/>
      <c r="V45408" s="5"/>
    </row>
    <row r="45409">
      <c r="N45409" s="1"/>
      <c r="V45409" s="5"/>
    </row>
    <row r="45410">
      <c r="N45410" s="1"/>
      <c r="V45410" s="5"/>
    </row>
    <row r="45411">
      <c r="N45411" s="1"/>
      <c r="V45411" s="5"/>
    </row>
    <row r="45412">
      <c r="N45412" s="1"/>
      <c r="V45412" s="5"/>
    </row>
    <row r="45413">
      <c r="N45413" s="1"/>
      <c r="V45413" s="5"/>
    </row>
    <row r="45414">
      <c r="N45414" s="1"/>
      <c r="V45414" s="5"/>
    </row>
    <row r="45415">
      <c r="N45415" s="1"/>
      <c r="V45415" s="5"/>
    </row>
    <row r="45416">
      <c r="N45416" s="1"/>
      <c r="V45416" s="5"/>
    </row>
    <row r="45417">
      <c r="N45417" s="1"/>
      <c r="V45417" s="5"/>
    </row>
    <row r="45418">
      <c r="N45418" s="1"/>
      <c r="V45418" s="5"/>
    </row>
    <row r="45419">
      <c r="N45419" s="1"/>
      <c r="V45419" s="5"/>
    </row>
    <row r="45420">
      <c r="N45420" s="1"/>
      <c r="V45420" s="5"/>
    </row>
    <row r="45421">
      <c r="N45421" s="1"/>
      <c r="V45421" s="5"/>
    </row>
    <row r="45422">
      <c r="N45422" s="1"/>
      <c r="V45422" s="5"/>
    </row>
    <row r="45423">
      <c r="N45423" s="1"/>
      <c r="V45423" s="5"/>
    </row>
    <row r="45424">
      <c r="N45424" s="1"/>
      <c r="V45424" s="5"/>
    </row>
    <row r="45425">
      <c r="N45425" s="1"/>
      <c r="V45425" s="5"/>
    </row>
    <row r="45426">
      <c r="N45426" s="1"/>
      <c r="V45426" s="5"/>
    </row>
    <row r="45427">
      <c r="N45427" s="1"/>
      <c r="V45427" s="5"/>
    </row>
    <row r="45428">
      <c r="N45428" s="1"/>
      <c r="V45428" s="5"/>
    </row>
    <row r="45429">
      <c r="N45429" s="1"/>
      <c r="V45429" s="5"/>
    </row>
    <row r="45430">
      <c r="N45430" s="1"/>
      <c r="V45430" s="5"/>
    </row>
    <row r="45431">
      <c r="N45431" s="1"/>
      <c r="V45431" s="5"/>
    </row>
    <row r="45432">
      <c r="N45432" s="1"/>
      <c r="V45432" s="5"/>
    </row>
    <row r="45433">
      <c r="N45433" s="1"/>
      <c r="V45433" s="5"/>
    </row>
    <row r="45434">
      <c r="N45434" s="1"/>
      <c r="V45434" s="5"/>
    </row>
    <row r="45435">
      <c r="N45435" s="1"/>
      <c r="V45435" s="5"/>
    </row>
    <row r="45436">
      <c r="N45436" s="1"/>
      <c r="V45436" s="5"/>
    </row>
    <row r="45437">
      <c r="N45437" s="1"/>
      <c r="V45437" s="5"/>
    </row>
    <row r="45438">
      <c r="N45438" s="1"/>
      <c r="V45438" s="5"/>
    </row>
    <row r="45439">
      <c r="N45439" s="1"/>
      <c r="V45439" s="5"/>
    </row>
    <row r="45440">
      <c r="N45440" s="1"/>
      <c r="V45440" s="5"/>
    </row>
    <row r="45441">
      <c r="N45441" s="1"/>
      <c r="V45441" s="5"/>
    </row>
    <row r="45442">
      <c r="N45442" s="1"/>
      <c r="V45442" s="5"/>
    </row>
    <row r="45443">
      <c r="N45443" s="1"/>
      <c r="V45443" s="5"/>
    </row>
    <row r="45444">
      <c r="N45444" s="1"/>
      <c r="V45444" s="5"/>
    </row>
    <row r="45445">
      <c r="N45445" s="1"/>
      <c r="V45445" s="5"/>
    </row>
    <row r="45446">
      <c r="N45446" s="1"/>
      <c r="V45446" s="5"/>
    </row>
    <row r="45447">
      <c r="N45447" s="1"/>
      <c r="V45447" s="5"/>
    </row>
    <row r="45448">
      <c r="N45448" s="1"/>
      <c r="V45448" s="5"/>
    </row>
    <row r="45449">
      <c r="N45449" s="1"/>
      <c r="V45449" s="5"/>
    </row>
    <row r="45450">
      <c r="N45450" s="1"/>
      <c r="V45450" s="5"/>
    </row>
    <row r="45451">
      <c r="N45451" s="1"/>
      <c r="V45451" s="5"/>
    </row>
    <row r="45452">
      <c r="N45452" s="1"/>
      <c r="V45452" s="5"/>
    </row>
    <row r="45453">
      <c r="N45453" s="1"/>
      <c r="V45453" s="5"/>
    </row>
    <row r="45454">
      <c r="N45454" s="1"/>
      <c r="V45454" s="5"/>
    </row>
    <row r="45455">
      <c r="N45455" s="1"/>
      <c r="V45455" s="5"/>
    </row>
    <row r="45456">
      <c r="N45456" s="1"/>
      <c r="V45456" s="5"/>
    </row>
    <row r="45457">
      <c r="N45457" s="1"/>
      <c r="V45457" s="5"/>
    </row>
    <row r="45458">
      <c r="N45458" s="1"/>
      <c r="V45458" s="5"/>
    </row>
    <row r="45459">
      <c r="N45459" s="1"/>
      <c r="V45459" s="5"/>
    </row>
    <row r="45460">
      <c r="N45460" s="1"/>
      <c r="V45460" s="5"/>
    </row>
    <row r="45461">
      <c r="N45461" s="1"/>
      <c r="V45461" s="5"/>
    </row>
    <row r="45462">
      <c r="N45462" s="1"/>
      <c r="V45462" s="5"/>
    </row>
    <row r="45463">
      <c r="N45463" s="1"/>
      <c r="V45463" s="5"/>
    </row>
    <row r="45464">
      <c r="N45464" s="1"/>
      <c r="V45464" s="5"/>
    </row>
    <row r="45465">
      <c r="N45465" s="1"/>
      <c r="V45465" s="5"/>
    </row>
    <row r="45466">
      <c r="N45466" s="1"/>
      <c r="V45466" s="5"/>
    </row>
    <row r="45467">
      <c r="N45467" s="1"/>
      <c r="V45467" s="5"/>
    </row>
    <row r="45468">
      <c r="N45468" s="1"/>
      <c r="V45468" s="5"/>
    </row>
    <row r="45469">
      <c r="N45469" s="1"/>
      <c r="V45469" s="5"/>
    </row>
    <row r="45470">
      <c r="N45470" s="1"/>
      <c r="V45470" s="5"/>
    </row>
    <row r="45471">
      <c r="N45471" s="1"/>
      <c r="V45471" s="5"/>
    </row>
    <row r="45472">
      <c r="N45472" s="1"/>
      <c r="V45472" s="5"/>
    </row>
    <row r="45473">
      <c r="N45473" s="1"/>
      <c r="V45473" s="5"/>
    </row>
    <row r="45474">
      <c r="N45474" s="1"/>
      <c r="V45474" s="5"/>
    </row>
    <row r="45475">
      <c r="N45475" s="1"/>
      <c r="V45475" s="5"/>
    </row>
    <row r="45476">
      <c r="N45476" s="1"/>
      <c r="V45476" s="5"/>
    </row>
    <row r="45477">
      <c r="N45477" s="1"/>
      <c r="V45477" s="5"/>
    </row>
    <row r="45478">
      <c r="N45478" s="1"/>
      <c r="V45478" s="5"/>
    </row>
    <row r="45479">
      <c r="N45479" s="1"/>
      <c r="V45479" s="5"/>
    </row>
    <row r="45480">
      <c r="N45480" s="1"/>
      <c r="V45480" s="5"/>
    </row>
    <row r="45481">
      <c r="N45481" s="1"/>
      <c r="V45481" s="5"/>
    </row>
    <row r="45482">
      <c r="N45482" s="1"/>
      <c r="V45482" s="5"/>
    </row>
    <row r="45483">
      <c r="N45483" s="1"/>
      <c r="V45483" s="5"/>
    </row>
    <row r="45484">
      <c r="N45484" s="1"/>
      <c r="V45484" s="5"/>
    </row>
    <row r="45485">
      <c r="N45485" s="1"/>
      <c r="V45485" s="5"/>
    </row>
    <row r="45486">
      <c r="N45486" s="1"/>
      <c r="V45486" s="5"/>
    </row>
    <row r="45487">
      <c r="N45487" s="1"/>
      <c r="V45487" s="5"/>
    </row>
    <row r="45488">
      <c r="N45488" s="1"/>
      <c r="V45488" s="5"/>
    </row>
    <row r="45489">
      <c r="N45489" s="1"/>
      <c r="V45489" s="5"/>
    </row>
    <row r="45490">
      <c r="N45490" s="1"/>
      <c r="V45490" s="5"/>
    </row>
    <row r="45491">
      <c r="N45491" s="1"/>
      <c r="V45491" s="5"/>
    </row>
    <row r="45492">
      <c r="N45492" s="1"/>
      <c r="V45492" s="5"/>
    </row>
    <row r="45493">
      <c r="N45493" s="1"/>
      <c r="V45493" s="5"/>
    </row>
    <row r="45494">
      <c r="N45494" s="1"/>
      <c r="V45494" s="5"/>
    </row>
    <row r="45495">
      <c r="N45495" s="1"/>
      <c r="V45495" s="5"/>
    </row>
    <row r="45496">
      <c r="N45496" s="1"/>
      <c r="V45496" s="5"/>
    </row>
    <row r="45497">
      <c r="N45497" s="1"/>
      <c r="V45497" s="5"/>
    </row>
    <row r="45498">
      <c r="N45498" s="1"/>
      <c r="V45498" s="5"/>
    </row>
    <row r="45499">
      <c r="N45499" s="1"/>
      <c r="V45499" s="5"/>
    </row>
    <row r="45500">
      <c r="N45500" s="1"/>
      <c r="V45500" s="5"/>
    </row>
    <row r="45501">
      <c r="N45501" s="1"/>
      <c r="V45501" s="5"/>
    </row>
    <row r="45502">
      <c r="N45502" s="1"/>
      <c r="V45502" s="5"/>
    </row>
    <row r="45503">
      <c r="N45503" s="1"/>
      <c r="V45503" s="5"/>
    </row>
    <row r="45504">
      <c r="N45504" s="1"/>
      <c r="V45504" s="5"/>
    </row>
    <row r="45505">
      <c r="N45505" s="1"/>
      <c r="V45505" s="5"/>
    </row>
    <row r="45506">
      <c r="N45506" s="1"/>
      <c r="V45506" s="5"/>
    </row>
    <row r="45507">
      <c r="N45507" s="1"/>
      <c r="V45507" s="5"/>
    </row>
    <row r="45508">
      <c r="N45508" s="1"/>
      <c r="V45508" s="5"/>
    </row>
    <row r="45509">
      <c r="N45509" s="1"/>
      <c r="V45509" s="5"/>
    </row>
    <row r="45510">
      <c r="N45510" s="1"/>
      <c r="V45510" s="5"/>
    </row>
    <row r="45511">
      <c r="N45511" s="1"/>
      <c r="V45511" s="5"/>
    </row>
    <row r="45512">
      <c r="N45512" s="1"/>
      <c r="V45512" s="5"/>
    </row>
    <row r="45513">
      <c r="N45513" s="1"/>
      <c r="V45513" s="5"/>
    </row>
    <row r="45514">
      <c r="N45514" s="1"/>
      <c r="V45514" s="5"/>
    </row>
    <row r="45515">
      <c r="N45515" s="1"/>
      <c r="V45515" s="5"/>
    </row>
    <row r="45516">
      <c r="N45516" s="1"/>
      <c r="V45516" s="5"/>
    </row>
    <row r="45517">
      <c r="N45517" s="1"/>
      <c r="V45517" s="5"/>
    </row>
    <row r="45518">
      <c r="N45518" s="1"/>
      <c r="V45518" s="5"/>
    </row>
    <row r="45519">
      <c r="N45519" s="1"/>
      <c r="V45519" s="5"/>
    </row>
    <row r="45520">
      <c r="N45520" s="1"/>
      <c r="V45520" s="5"/>
    </row>
    <row r="45521">
      <c r="N45521" s="1"/>
      <c r="V45521" s="5"/>
    </row>
    <row r="45522">
      <c r="N45522" s="1"/>
      <c r="V45522" s="5"/>
    </row>
    <row r="45523">
      <c r="N45523" s="1"/>
      <c r="V45523" s="5"/>
    </row>
    <row r="45524">
      <c r="N45524" s="1"/>
      <c r="V45524" s="5"/>
    </row>
    <row r="45525">
      <c r="N45525" s="1"/>
      <c r="V45525" s="5"/>
    </row>
    <row r="45526">
      <c r="N45526" s="1"/>
      <c r="V45526" s="5"/>
    </row>
    <row r="45527">
      <c r="N45527" s="1"/>
      <c r="V45527" s="5"/>
    </row>
    <row r="45528">
      <c r="N45528" s="1"/>
      <c r="V45528" s="5"/>
    </row>
    <row r="45529">
      <c r="N45529" s="1"/>
      <c r="V45529" s="5"/>
    </row>
    <row r="45530">
      <c r="N45530" s="1"/>
      <c r="V45530" s="5"/>
    </row>
    <row r="45531">
      <c r="N45531" s="1"/>
      <c r="V45531" s="5"/>
    </row>
    <row r="45532">
      <c r="N45532" s="1"/>
      <c r="V45532" s="5"/>
    </row>
    <row r="45533">
      <c r="N45533" s="1"/>
      <c r="V45533" s="5"/>
    </row>
    <row r="45534">
      <c r="N45534" s="1"/>
      <c r="V45534" s="5"/>
    </row>
    <row r="45535">
      <c r="N45535" s="1"/>
      <c r="V45535" s="5"/>
    </row>
    <row r="45536">
      <c r="N45536" s="1"/>
      <c r="V45536" s="5"/>
    </row>
    <row r="45537">
      <c r="N45537" s="1"/>
      <c r="V45537" s="5"/>
    </row>
    <row r="45538">
      <c r="N45538" s="1"/>
      <c r="V45538" s="5"/>
    </row>
    <row r="45539">
      <c r="N45539" s="1"/>
      <c r="V45539" s="5"/>
    </row>
    <row r="45540">
      <c r="N45540" s="1"/>
      <c r="V45540" s="5"/>
    </row>
    <row r="45541">
      <c r="N45541" s="1"/>
      <c r="V45541" s="5"/>
    </row>
    <row r="45542">
      <c r="N45542" s="1"/>
      <c r="V45542" s="5"/>
    </row>
    <row r="45543">
      <c r="N45543" s="1"/>
      <c r="V45543" s="5"/>
    </row>
    <row r="45544">
      <c r="N45544" s="1"/>
      <c r="V45544" s="5"/>
    </row>
    <row r="45545">
      <c r="N45545" s="1"/>
      <c r="V45545" s="5"/>
    </row>
    <row r="45546">
      <c r="N45546" s="1"/>
      <c r="V45546" s="5"/>
    </row>
    <row r="45547">
      <c r="N45547" s="1"/>
      <c r="V45547" s="5"/>
    </row>
    <row r="45548">
      <c r="N45548" s="1"/>
      <c r="V45548" s="5"/>
    </row>
    <row r="45549">
      <c r="N45549" s="1"/>
      <c r="V45549" s="5"/>
    </row>
    <row r="45550">
      <c r="N45550" s="1"/>
      <c r="V45550" s="5"/>
    </row>
    <row r="45551">
      <c r="N45551" s="1"/>
      <c r="V45551" s="5"/>
    </row>
    <row r="45552">
      <c r="N45552" s="1"/>
      <c r="V45552" s="5"/>
    </row>
    <row r="45553">
      <c r="N45553" s="1"/>
      <c r="V45553" s="5"/>
    </row>
    <row r="45554">
      <c r="N45554" s="1"/>
      <c r="V45554" s="5"/>
    </row>
    <row r="45555">
      <c r="N45555" s="1"/>
      <c r="V45555" s="5"/>
    </row>
    <row r="45556">
      <c r="N45556" s="1"/>
      <c r="V45556" s="5"/>
    </row>
    <row r="45557">
      <c r="N45557" s="1"/>
      <c r="V45557" s="5"/>
    </row>
    <row r="45558">
      <c r="N45558" s="1"/>
      <c r="V45558" s="5"/>
    </row>
    <row r="45559">
      <c r="N45559" s="1"/>
      <c r="V45559" s="5"/>
    </row>
    <row r="45560">
      <c r="N45560" s="1"/>
      <c r="V45560" s="5"/>
    </row>
    <row r="45561">
      <c r="N45561" s="1"/>
      <c r="V45561" s="5"/>
    </row>
    <row r="45562">
      <c r="N45562" s="1"/>
      <c r="V45562" s="5"/>
    </row>
    <row r="45563">
      <c r="N45563" s="1"/>
      <c r="V45563" s="5"/>
    </row>
    <row r="45564">
      <c r="N45564" s="1"/>
      <c r="V45564" s="5"/>
    </row>
    <row r="45565">
      <c r="N45565" s="1"/>
      <c r="V45565" s="5"/>
    </row>
    <row r="45566">
      <c r="N45566" s="1"/>
      <c r="V45566" s="5"/>
    </row>
    <row r="45567">
      <c r="N45567" s="1"/>
      <c r="V45567" s="5"/>
    </row>
    <row r="45568">
      <c r="N45568" s="1"/>
      <c r="V45568" s="5"/>
    </row>
    <row r="45569">
      <c r="N45569" s="1"/>
      <c r="V45569" s="5"/>
    </row>
    <row r="45570">
      <c r="N45570" s="1"/>
      <c r="V45570" s="5"/>
    </row>
    <row r="45571">
      <c r="N45571" s="1"/>
      <c r="V45571" s="5"/>
    </row>
    <row r="45572">
      <c r="N45572" s="1"/>
      <c r="V45572" s="5"/>
    </row>
    <row r="45573">
      <c r="N45573" s="1"/>
      <c r="V45573" s="5"/>
    </row>
    <row r="45574">
      <c r="N45574" s="1"/>
      <c r="V45574" s="5"/>
    </row>
    <row r="45575">
      <c r="N45575" s="1"/>
      <c r="V45575" s="5"/>
    </row>
    <row r="45576">
      <c r="N45576" s="1"/>
      <c r="V45576" s="5"/>
    </row>
    <row r="45577">
      <c r="N45577" s="1"/>
      <c r="V45577" s="5"/>
    </row>
    <row r="45578">
      <c r="N45578" s="1"/>
      <c r="V45578" s="5"/>
    </row>
    <row r="45579">
      <c r="N45579" s="1"/>
      <c r="V45579" s="5"/>
    </row>
    <row r="45580">
      <c r="N45580" s="1"/>
      <c r="V45580" s="5"/>
    </row>
    <row r="45581">
      <c r="N45581" s="1"/>
      <c r="V45581" s="5"/>
    </row>
    <row r="45582">
      <c r="N45582" s="1"/>
      <c r="V45582" s="5"/>
    </row>
    <row r="45583">
      <c r="N45583" s="1"/>
      <c r="V45583" s="5"/>
    </row>
    <row r="45584">
      <c r="N45584" s="1"/>
      <c r="V45584" s="5"/>
    </row>
    <row r="45585">
      <c r="N45585" s="1"/>
      <c r="V45585" s="5"/>
    </row>
    <row r="45586">
      <c r="N45586" s="1"/>
      <c r="V45586" s="5"/>
    </row>
    <row r="45587">
      <c r="N45587" s="1"/>
      <c r="V45587" s="5"/>
    </row>
    <row r="45588">
      <c r="N45588" s="1"/>
      <c r="V45588" s="5"/>
    </row>
    <row r="45589">
      <c r="N45589" s="1"/>
      <c r="V45589" s="5"/>
    </row>
    <row r="45590">
      <c r="N45590" s="1"/>
      <c r="V45590" s="5"/>
    </row>
    <row r="45591">
      <c r="N45591" s="1"/>
      <c r="V45591" s="5"/>
    </row>
    <row r="45592">
      <c r="N45592" s="1"/>
      <c r="V45592" s="5"/>
    </row>
    <row r="45593">
      <c r="N45593" s="1"/>
      <c r="V45593" s="5"/>
    </row>
    <row r="45594">
      <c r="N45594" s="1"/>
      <c r="V45594" s="5"/>
    </row>
    <row r="45595">
      <c r="N45595" s="1"/>
      <c r="V45595" s="5"/>
    </row>
    <row r="45596">
      <c r="N45596" s="1"/>
      <c r="V45596" s="5"/>
    </row>
    <row r="45597">
      <c r="N45597" s="1"/>
      <c r="V45597" s="5"/>
    </row>
    <row r="45598">
      <c r="N45598" s="1"/>
      <c r="V45598" s="5"/>
    </row>
    <row r="45599">
      <c r="N45599" s="1"/>
      <c r="V45599" s="5"/>
    </row>
    <row r="45600">
      <c r="N45600" s="1"/>
      <c r="V45600" s="5"/>
    </row>
    <row r="45601">
      <c r="N45601" s="1"/>
      <c r="V45601" s="5"/>
    </row>
    <row r="45602">
      <c r="N45602" s="1"/>
      <c r="V45602" s="5"/>
    </row>
    <row r="45603">
      <c r="N45603" s="1"/>
      <c r="V45603" s="5"/>
    </row>
    <row r="45604">
      <c r="N45604" s="1"/>
      <c r="V45604" s="5"/>
    </row>
    <row r="45605">
      <c r="N45605" s="1"/>
      <c r="V45605" s="5"/>
    </row>
    <row r="45606">
      <c r="N45606" s="1"/>
      <c r="V45606" s="5"/>
    </row>
    <row r="45607">
      <c r="N45607" s="1"/>
      <c r="V45607" s="5"/>
    </row>
    <row r="45608">
      <c r="N45608" s="1"/>
      <c r="V45608" s="5"/>
    </row>
    <row r="45609">
      <c r="N45609" s="1"/>
      <c r="V45609" s="5"/>
    </row>
    <row r="45610">
      <c r="N45610" s="1"/>
      <c r="V45610" s="5"/>
    </row>
    <row r="45611">
      <c r="N45611" s="1"/>
      <c r="V45611" s="5"/>
    </row>
    <row r="45612">
      <c r="N45612" s="1"/>
      <c r="V45612" s="5"/>
    </row>
    <row r="45613">
      <c r="N45613" s="1"/>
      <c r="V45613" s="5"/>
    </row>
    <row r="45614">
      <c r="N45614" s="1"/>
      <c r="V45614" s="5"/>
    </row>
    <row r="45615">
      <c r="N45615" s="1"/>
      <c r="V45615" s="5"/>
    </row>
    <row r="45616">
      <c r="N45616" s="1"/>
      <c r="V45616" s="5"/>
    </row>
    <row r="45617">
      <c r="N45617" s="1"/>
      <c r="V45617" s="5"/>
    </row>
    <row r="45618">
      <c r="N45618" s="1"/>
      <c r="V45618" s="5"/>
    </row>
    <row r="45619">
      <c r="N45619" s="1"/>
      <c r="V45619" s="5"/>
    </row>
    <row r="45620">
      <c r="N45620" s="1"/>
      <c r="V45620" s="5"/>
    </row>
    <row r="45621">
      <c r="N45621" s="1"/>
      <c r="V45621" s="5"/>
    </row>
    <row r="45622">
      <c r="N45622" s="1"/>
      <c r="V45622" s="5"/>
    </row>
    <row r="45623">
      <c r="N45623" s="1"/>
      <c r="V45623" s="5"/>
    </row>
    <row r="45624">
      <c r="N45624" s="1"/>
      <c r="V45624" s="5"/>
    </row>
    <row r="45625">
      <c r="N45625" s="1"/>
      <c r="V45625" s="5"/>
    </row>
    <row r="45626">
      <c r="N45626" s="1"/>
      <c r="V45626" s="5"/>
    </row>
    <row r="45627">
      <c r="N45627" s="1"/>
      <c r="V45627" s="5"/>
    </row>
    <row r="45628">
      <c r="N45628" s="1"/>
      <c r="V45628" s="5"/>
    </row>
    <row r="45629">
      <c r="N45629" s="1"/>
      <c r="V45629" s="5"/>
    </row>
    <row r="45630">
      <c r="N45630" s="1"/>
      <c r="V45630" s="5"/>
    </row>
    <row r="45631">
      <c r="N45631" s="1"/>
      <c r="V45631" s="5"/>
    </row>
    <row r="45632">
      <c r="N45632" s="1"/>
      <c r="V45632" s="5"/>
    </row>
    <row r="45633">
      <c r="N45633" s="1"/>
      <c r="V45633" s="5"/>
    </row>
    <row r="45634">
      <c r="N45634" s="1"/>
      <c r="V45634" s="5"/>
    </row>
    <row r="45635">
      <c r="N45635" s="1"/>
      <c r="V45635" s="5"/>
    </row>
    <row r="45636">
      <c r="N45636" s="1"/>
      <c r="V45636" s="5"/>
    </row>
    <row r="45637">
      <c r="N45637" s="1"/>
      <c r="V45637" s="5"/>
    </row>
    <row r="45638">
      <c r="N45638" s="1"/>
      <c r="V45638" s="5"/>
    </row>
    <row r="45639">
      <c r="N45639" s="1"/>
      <c r="V45639" s="5"/>
    </row>
    <row r="45640">
      <c r="N45640" s="1"/>
      <c r="V45640" s="5"/>
    </row>
    <row r="45641">
      <c r="N45641" s="1"/>
      <c r="V45641" s="5"/>
    </row>
    <row r="45642">
      <c r="N45642" s="1"/>
      <c r="V45642" s="5"/>
    </row>
    <row r="45643">
      <c r="N45643" s="1"/>
      <c r="V45643" s="5"/>
    </row>
    <row r="45644">
      <c r="N45644" s="1"/>
      <c r="V45644" s="5"/>
    </row>
    <row r="45645">
      <c r="N45645" s="1"/>
      <c r="V45645" s="5"/>
    </row>
    <row r="45646">
      <c r="N45646" s="1"/>
      <c r="V45646" s="5"/>
    </row>
    <row r="45647">
      <c r="N45647" s="1"/>
      <c r="V45647" s="5"/>
    </row>
    <row r="45648">
      <c r="N45648" s="1"/>
      <c r="V45648" s="5"/>
    </row>
    <row r="45649">
      <c r="N45649" s="1"/>
      <c r="V45649" s="5"/>
    </row>
    <row r="45650">
      <c r="N45650" s="1"/>
      <c r="V45650" s="5"/>
    </row>
    <row r="45651">
      <c r="N45651" s="1"/>
      <c r="V45651" s="5"/>
    </row>
    <row r="45652">
      <c r="N45652" s="1"/>
      <c r="V45652" s="5"/>
    </row>
    <row r="45653">
      <c r="N45653" s="1"/>
      <c r="V45653" s="5"/>
    </row>
    <row r="45654">
      <c r="N45654" s="1"/>
      <c r="V45654" s="5"/>
    </row>
    <row r="45655">
      <c r="N45655" s="1"/>
      <c r="V45655" s="5"/>
    </row>
    <row r="45656">
      <c r="N45656" s="1"/>
      <c r="V45656" s="5"/>
    </row>
    <row r="45657">
      <c r="N45657" s="1"/>
      <c r="V45657" s="5"/>
    </row>
    <row r="45658">
      <c r="N45658" s="1"/>
      <c r="V45658" s="5"/>
    </row>
    <row r="45659">
      <c r="N45659" s="1"/>
      <c r="V45659" s="5"/>
    </row>
    <row r="45660">
      <c r="N45660" s="1"/>
      <c r="V45660" s="5"/>
    </row>
    <row r="45661">
      <c r="N45661" s="1"/>
      <c r="V45661" s="5"/>
    </row>
    <row r="45662">
      <c r="N45662" s="1"/>
      <c r="V45662" s="5"/>
    </row>
    <row r="45663">
      <c r="N45663" s="1"/>
      <c r="V45663" s="5"/>
    </row>
    <row r="45664">
      <c r="N45664" s="1"/>
      <c r="V45664" s="5"/>
    </row>
    <row r="45665">
      <c r="N45665" s="1"/>
      <c r="V45665" s="5"/>
    </row>
    <row r="45666">
      <c r="N45666" s="1"/>
      <c r="V45666" s="5"/>
    </row>
    <row r="45667">
      <c r="N45667" s="1"/>
      <c r="V45667" s="5"/>
    </row>
    <row r="45668">
      <c r="N45668" s="1"/>
      <c r="V45668" s="5"/>
    </row>
    <row r="45669">
      <c r="N45669" s="1"/>
      <c r="V45669" s="5"/>
    </row>
    <row r="45670">
      <c r="N45670" s="1"/>
      <c r="V45670" s="5"/>
    </row>
    <row r="45671">
      <c r="N45671" s="1"/>
      <c r="V45671" s="5"/>
    </row>
    <row r="45672">
      <c r="N45672" s="1"/>
      <c r="V45672" s="5"/>
    </row>
    <row r="45673">
      <c r="N45673" s="1"/>
      <c r="V45673" s="5"/>
    </row>
    <row r="45674">
      <c r="N45674" s="1"/>
      <c r="V45674" s="5"/>
    </row>
    <row r="45675">
      <c r="N45675" s="1"/>
      <c r="V45675" s="5"/>
    </row>
    <row r="45676">
      <c r="N45676" s="1"/>
      <c r="V45676" s="5"/>
    </row>
    <row r="45677">
      <c r="N45677" s="1"/>
      <c r="V45677" s="5"/>
    </row>
    <row r="45678">
      <c r="N45678" s="1"/>
      <c r="V45678" s="5"/>
    </row>
    <row r="45679">
      <c r="N45679" s="1"/>
      <c r="V45679" s="5"/>
    </row>
    <row r="45680">
      <c r="N45680" s="1"/>
      <c r="V45680" s="5"/>
    </row>
    <row r="45681">
      <c r="N45681" s="1"/>
      <c r="V45681" s="5"/>
    </row>
    <row r="45682">
      <c r="N45682" s="1"/>
      <c r="V45682" s="5"/>
    </row>
    <row r="45683">
      <c r="N45683" s="1"/>
      <c r="V45683" s="5"/>
    </row>
    <row r="45684">
      <c r="N45684" s="1"/>
      <c r="V45684" s="5"/>
    </row>
    <row r="45685">
      <c r="N45685" s="1"/>
      <c r="V45685" s="5"/>
    </row>
    <row r="45686">
      <c r="N45686" s="1"/>
      <c r="V45686" s="5"/>
    </row>
    <row r="45687">
      <c r="N45687" s="1"/>
      <c r="V45687" s="5"/>
    </row>
    <row r="45688">
      <c r="N45688" s="1"/>
      <c r="V45688" s="5"/>
    </row>
    <row r="45689">
      <c r="N45689" s="1"/>
      <c r="V45689" s="5"/>
    </row>
    <row r="45690">
      <c r="N45690" s="1"/>
      <c r="V45690" s="5"/>
    </row>
    <row r="45691">
      <c r="N45691" s="1"/>
      <c r="V45691" s="5"/>
    </row>
    <row r="45692">
      <c r="N45692" s="1"/>
      <c r="V45692" s="5"/>
    </row>
    <row r="45693">
      <c r="N45693" s="1"/>
      <c r="V45693" s="5"/>
    </row>
    <row r="45694">
      <c r="N45694" s="1"/>
      <c r="V45694" s="5"/>
    </row>
    <row r="45695">
      <c r="N45695" s="1"/>
      <c r="V45695" s="5"/>
    </row>
    <row r="45696">
      <c r="N45696" s="1"/>
      <c r="V45696" s="5"/>
    </row>
    <row r="45697">
      <c r="N45697" s="1"/>
      <c r="V45697" s="5"/>
    </row>
    <row r="45698">
      <c r="N45698" s="1"/>
      <c r="V45698" s="5"/>
    </row>
    <row r="45699">
      <c r="N45699" s="1"/>
      <c r="V45699" s="5"/>
    </row>
    <row r="45700">
      <c r="N45700" s="1"/>
      <c r="V45700" s="5"/>
    </row>
    <row r="45701">
      <c r="N45701" s="1"/>
      <c r="V45701" s="5"/>
    </row>
    <row r="45702">
      <c r="N45702" s="1"/>
      <c r="V45702" s="5"/>
    </row>
    <row r="45703">
      <c r="N45703" s="1"/>
      <c r="V45703" s="5"/>
    </row>
    <row r="45704">
      <c r="N45704" s="1"/>
      <c r="V45704" s="5"/>
    </row>
    <row r="45705">
      <c r="N45705" s="1"/>
      <c r="V45705" s="5"/>
    </row>
    <row r="45706">
      <c r="N45706" s="1"/>
      <c r="V45706" s="5"/>
    </row>
    <row r="45707">
      <c r="N45707" s="1"/>
      <c r="V45707" s="5"/>
    </row>
    <row r="45708">
      <c r="N45708" s="1"/>
      <c r="V45708" s="5"/>
    </row>
    <row r="45709">
      <c r="N45709" s="1"/>
      <c r="V45709" s="5"/>
    </row>
    <row r="45710">
      <c r="N45710" s="1"/>
      <c r="V45710" s="5"/>
    </row>
    <row r="45711">
      <c r="N45711" s="1"/>
      <c r="V45711" s="5"/>
    </row>
    <row r="45712">
      <c r="N45712" s="1"/>
      <c r="V45712" s="5"/>
    </row>
    <row r="45713">
      <c r="N45713" s="1"/>
      <c r="V45713" s="5"/>
    </row>
    <row r="45714">
      <c r="N45714" s="1"/>
      <c r="V45714" s="5"/>
    </row>
    <row r="45715">
      <c r="N45715" s="1"/>
      <c r="V45715" s="5"/>
    </row>
    <row r="45716">
      <c r="N45716" s="1"/>
      <c r="V45716" s="5"/>
    </row>
    <row r="45717">
      <c r="N45717" s="1"/>
      <c r="V45717" s="5"/>
    </row>
    <row r="45718">
      <c r="N45718" s="1"/>
      <c r="V45718" s="5"/>
    </row>
    <row r="45719">
      <c r="N45719" s="1"/>
      <c r="V45719" s="5"/>
    </row>
    <row r="45720">
      <c r="N45720" s="1"/>
      <c r="V45720" s="5"/>
    </row>
    <row r="45721">
      <c r="N45721" s="1"/>
      <c r="V45721" s="5"/>
    </row>
    <row r="45722">
      <c r="N45722" s="1"/>
      <c r="V45722" s="5"/>
    </row>
    <row r="45723">
      <c r="N45723" s="1"/>
      <c r="V45723" s="5"/>
    </row>
    <row r="45724">
      <c r="N45724" s="1"/>
      <c r="V45724" s="5"/>
    </row>
    <row r="45725">
      <c r="N45725" s="1"/>
      <c r="V45725" s="5"/>
    </row>
    <row r="45726">
      <c r="N45726" s="1"/>
      <c r="V45726" s="5"/>
    </row>
    <row r="45727">
      <c r="N45727" s="1"/>
      <c r="V45727" s="5"/>
    </row>
    <row r="45728">
      <c r="N45728" s="1"/>
      <c r="V45728" s="5"/>
    </row>
    <row r="45729">
      <c r="N45729" s="1"/>
      <c r="V45729" s="5"/>
    </row>
    <row r="45730">
      <c r="N45730" s="1"/>
      <c r="V45730" s="5"/>
    </row>
    <row r="45731">
      <c r="N45731" s="1"/>
      <c r="V45731" s="5"/>
    </row>
    <row r="45732">
      <c r="N45732" s="1"/>
      <c r="V45732" s="5"/>
    </row>
    <row r="45733">
      <c r="N45733" s="1"/>
      <c r="V45733" s="5"/>
    </row>
    <row r="45734">
      <c r="N45734" s="1"/>
      <c r="V45734" s="5"/>
    </row>
    <row r="45735">
      <c r="N45735" s="1"/>
      <c r="V45735" s="5"/>
    </row>
    <row r="45736">
      <c r="N45736" s="1"/>
      <c r="V45736" s="5"/>
    </row>
    <row r="45737">
      <c r="N45737" s="1"/>
      <c r="V45737" s="5"/>
    </row>
    <row r="45738">
      <c r="N45738" s="1"/>
      <c r="V45738" s="5"/>
    </row>
    <row r="45739">
      <c r="N45739" s="1"/>
      <c r="V45739" s="5"/>
    </row>
    <row r="45740">
      <c r="N45740" s="1"/>
      <c r="V45740" s="5"/>
    </row>
    <row r="45741">
      <c r="N45741" s="1"/>
      <c r="V45741" s="5"/>
    </row>
    <row r="45742">
      <c r="N45742" s="1"/>
      <c r="V45742" s="5"/>
    </row>
    <row r="45743">
      <c r="N45743" s="1"/>
      <c r="V45743" s="5"/>
    </row>
    <row r="45744">
      <c r="N45744" s="1"/>
      <c r="V45744" s="5"/>
    </row>
    <row r="45745">
      <c r="N45745" s="1"/>
      <c r="V45745" s="5"/>
    </row>
    <row r="45746">
      <c r="N45746" s="1"/>
      <c r="V45746" s="5"/>
    </row>
    <row r="45747">
      <c r="N45747" s="1"/>
      <c r="V45747" s="5"/>
    </row>
    <row r="45748">
      <c r="N45748" s="1"/>
      <c r="V45748" s="5"/>
    </row>
    <row r="45749">
      <c r="N45749" s="1"/>
      <c r="V45749" s="5"/>
    </row>
    <row r="45750">
      <c r="N45750" s="1"/>
      <c r="V45750" s="5"/>
    </row>
    <row r="45751">
      <c r="N45751" s="1"/>
      <c r="V45751" s="5"/>
    </row>
    <row r="45752">
      <c r="N45752" s="1"/>
      <c r="V45752" s="5"/>
    </row>
    <row r="45753">
      <c r="N45753" s="1"/>
      <c r="V45753" s="5"/>
    </row>
    <row r="45754">
      <c r="N45754" s="1"/>
      <c r="V45754" s="5"/>
    </row>
    <row r="45755">
      <c r="N45755" s="1"/>
      <c r="V45755" s="5"/>
    </row>
    <row r="45756">
      <c r="N45756" s="1"/>
      <c r="V45756" s="5"/>
    </row>
    <row r="45757">
      <c r="N45757" s="1"/>
      <c r="V45757" s="5"/>
    </row>
    <row r="45758">
      <c r="N45758" s="1"/>
      <c r="V45758" s="5"/>
    </row>
    <row r="45759">
      <c r="N45759" s="1"/>
      <c r="V45759" s="5"/>
    </row>
    <row r="45760">
      <c r="N45760" s="1"/>
      <c r="V45760" s="5"/>
    </row>
    <row r="45761">
      <c r="N45761" s="1"/>
      <c r="V45761" s="5"/>
    </row>
    <row r="45762">
      <c r="N45762" s="1"/>
      <c r="V45762" s="5"/>
    </row>
    <row r="45763">
      <c r="N45763" s="1"/>
      <c r="V45763" s="5"/>
    </row>
    <row r="45764">
      <c r="N45764" s="1"/>
      <c r="V45764" s="5"/>
    </row>
    <row r="45765">
      <c r="N45765" s="1"/>
      <c r="V45765" s="5"/>
    </row>
    <row r="45766">
      <c r="N45766" s="1"/>
      <c r="V45766" s="5"/>
    </row>
    <row r="45767">
      <c r="N45767" s="1"/>
      <c r="V45767" s="5"/>
    </row>
    <row r="45768">
      <c r="N45768" s="1"/>
      <c r="V45768" s="5"/>
    </row>
    <row r="45769">
      <c r="N45769" s="1"/>
      <c r="V45769" s="5"/>
    </row>
    <row r="45770">
      <c r="N45770" s="1"/>
      <c r="V45770" s="5"/>
    </row>
    <row r="45771">
      <c r="N45771" s="1"/>
      <c r="V45771" s="5"/>
    </row>
    <row r="45772">
      <c r="N45772" s="1"/>
      <c r="V45772" s="5"/>
    </row>
    <row r="45773">
      <c r="N45773" s="1"/>
      <c r="V45773" s="5"/>
    </row>
    <row r="45774">
      <c r="N45774" s="1"/>
      <c r="V45774" s="5"/>
    </row>
    <row r="45775">
      <c r="N45775" s="1"/>
      <c r="V45775" s="5"/>
    </row>
    <row r="45776">
      <c r="N45776" s="1"/>
      <c r="V45776" s="5"/>
    </row>
    <row r="45777">
      <c r="N45777" s="1"/>
      <c r="V45777" s="5"/>
    </row>
    <row r="45778">
      <c r="N45778" s="1"/>
      <c r="V45778" s="5"/>
    </row>
    <row r="45779">
      <c r="N45779" s="1"/>
      <c r="V45779" s="5"/>
    </row>
    <row r="45780">
      <c r="N45780" s="1"/>
      <c r="V45780" s="5"/>
    </row>
    <row r="45781">
      <c r="N45781" s="1"/>
      <c r="V45781" s="5"/>
    </row>
    <row r="45782">
      <c r="N45782" s="1"/>
      <c r="V45782" s="5"/>
    </row>
    <row r="45783">
      <c r="N45783" s="1"/>
      <c r="V45783" s="5"/>
    </row>
    <row r="45784">
      <c r="N45784" s="1"/>
      <c r="V45784" s="5"/>
    </row>
    <row r="45785">
      <c r="N45785" s="1"/>
      <c r="V45785" s="5"/>
    </row>
    <row r="45786">
      <c r="N45786" s="1"/>
      <c r="V45786" s="5"/>
    </row>
    <row r="45787">
      <c r="N45787" s="1"/>
      <c r="V45787" s="5"/>
    </row>
    <row r="45788">
      <c r="N45788" s="1"/>
      <c r="V45788" s="5"/>
    </row>
    <row r="45789">
      <c r="N45789" s="1"/>
      <c r="V45789" s="5"/>
    </row>
    <row r="45790">
      <c r="N45790" s="1"/>
      <c r="V45790" s="5"/>
    </row>
    <row r="45791">
      <c r="N45791" s="1"/>
      <c r="V45791" s="5"/>
    </row>
    <row r="45792">
      <c r="N45792" s="1"/>
      <c r="V45792" s="5"/>
    </row>
    <row r="45793">
      <c r="N45793" s="1"/>
      <c r="V45793" s="5"/>
    </row>
    <row r="45794">
      <c r="N45794" s="1"/>
      <c r="V45794" s="5"/>
    </row>
    <row r="45795">
      <c r="N45795" s="1"/>
      <c r="V45795" s="5"/>
    </row>
    <row r="45796">
      <c r="N45796" s="1"/>
      <c r="V45796" s="5"/>
    </row>
    <row r="45797">
      <c r="N45797" s="1"/>
      <c r="V45797" s="5"/>
    </row>
    <row r="45798">
      <c r="N45798" s="1"/>
      <c r="V45798" s="5"/>
    </row>
    <row r="45799">
      <c r="N45799" s="1"/>
      <c r="V45799" s="5"/>
    </row>
    <row r="45800">
      <c r="N45800" s="1"/>
      <c r="V45800" s="5"/>
    </row>
    <row r="45801">
      <c r="N45801" s="1"/>
      <c r="V45801" s="5"/>
    </row>
    <row r="45802">
      <c r="N45802" s="1"/>
      <c r="V45802" s="5"/>
    </row>
    <row r="45803">
      <c r="N45803" s="1"/>
      <c r="V45803" s="5"/>
    </row>
    <row r="45804">
      <c r="N45804" s="1"/>
      <c r="V45804" s="5"/>
    </row>
    <row r="45805">
      <c r="N45805" s="1"/>
      <c r="V45805" s="5"/>
    </row>
    <row r="45806">
      <c r="N45806" s="1"/>
      <c r="V45806" s="5"/>
    </row>
    <row r="45807">
      <c r="N45807" s="1"/>
      <c r="V45807" s="5"/>
    </row>
    <row r="45808">
      <c r="N45808" s="1"/>
      <c r="V45808" s="5"/>
    </row>
    <row r="45809">
      <c r="N45809" s="1"/>
      <c r="V45809" s="5"/>
    </row>
    <row r="45810">
      <c r="N45810" s="1"/>
      <c r="V45810" s="5"/>
    </row>
    <row r="45811">
      <c r="N45811" s="1"/>
      <c r="V45811" s="5"/>
    </row>
    <row r="45812">
      <c r="N45812" s="1"/>
      <c r="V45812" s="5"/>
    </row>
    <row r="45813">
      <c r="N45813" s="1"/>
      <c r="V45813" s="5"/>
    </row>
    <row r="45814">
      <c r="N45814" s="1"/>
      <c r="V45814" s="5"/>
    </row>
    <row r="45815">
      <c r="N45815" s="1"/>
      <c r="V45815" s="5"/>
    </row>
    <row r="45816">
      <c r="N45816" s="1"/>
      <c r="V45816" s="5"/>
    </row>
    <row r="45817">
      <c r="N45817" s="1"/>
      <c r="V45817" s="5"/>
    </row>
    <row r="45818">
      <c r="N45818" s="1"/>
      <c r="V45818" s="5"/>
    </row>
    <row r="45819">
      <c r="N45819" s="1"/>
      <c r="V45819" s="5"/>
    </row>
    <row r="45820">
      <c r="N45820" s="1"/>
      <c r="V45820" s="5"/>
    </row>
    <row r="45821">
      <c r="N45821" s="1"/>
      <c r="V45821" s="5"/>
    </row>
    <row r="45822">
      <c r="N45822" s="1"/>
      <c r="V45822" s="5"/>
    </row>
    <row r="45823">
      <c r="N45823" s="1"/>
      <c r="V45823" s="5"/>
    </row>
    <row r="45824">
      <c r="N45824" s="1"/>
      <c r="V45824" s="5"/>
    </row>
    <row r="45825">
      <c r="N45825" s="1"/>
      <c r="V45825" s="5"/>
    </row>
    <row r="45826">
      <c r="N45826" s="1"/>
      <c r="V45826" s="5"/>
    </row>
    <row r="45827">
      <c r="N45827" s="1"/>
      <c r="V45827" s="5"/>
    </row>
    <row r="45828">
      <c r="N45828" s="1"/>
      <c r="V45828" s="5"/>
    </row>
    <row r="45829">
      <c r="N45829" s="1"/>
      <c r="V45829" s="5"/>
    </row>
    <row r="45830">
      <c r="N45830" s="1"/>
      <c r="V45830" s="5"/>
    </row>
    <row r="45831">
      <c r="N45831" s="1"/>
      <c r="V45831" s="5"/>
    </row>
    <row r="45832">
      <c r="N45832" s="1"/>
      <c r="V45832" s="5"/>
    </row>
    <row r="45833">
      <c r="N45833" s="1"/>
      <c r="V45833" s="5"/>
    </row>
    <row r="45834">
      <c r="N45834" s="1"/>
      <c r="V45834" s="5"/>
    </row>
    <row r="45835">
      <c r="N45835" s="1"/>
      <c r="V45835" s="5"/>
    </row>
    <row r="45836">
      <c r="N45836" s="1"/>
      <c r="V45836" s="5"/>
    </row>
    <row r="45837">
      <c r="N45837" s="1"/>
      <c r="V45837" s="5"/>
    </row>
    <row r="45838">
      <c r="N45838" s="1"/>
      <c r="V45838" s="5"/>
    </row>
    <row r="45839">
      <c r="N45839" s="1"/>
      <c r="V45839" s="5"/>
    </row>
    <row r="45840">
      <c r="N45840" s="1"/>
      <c r="V45840" s="5"/>
    </row>
    <row r="45841">
      <c r="N45841" s="1"/>
      <c r="V45841" s="5"/>
    </row>
    <row r="45842">
      <c r="N45842" s="1"/>
      <c r="V45842" s="5"/>
    </row>
    <row r="45843">
      <c r="N45843" s="1"/>
      <c r="V45843" s="5"/>
    </row>
    <row r="45844">
      <c r="N45844" s="1"/>
      <c r="V45844" s="5"/>
    </row>
    <row r="45845">
      <c r="N45845" s="1"/>
      <c r="V45845" s="5"/>
    </row>
    <row r="45846">
      <c r="N45846" s="1"/>
      <c r="V45846" s="5"/>
    </row>
    <row r="45847">
      <c r="N45847" s="1"/>
      <c r="V45847" s="5"/>
    </row>
    <row r="45848">
      <c r="N45848" s="1"/>
      <c r="V45848" s="5"/>
    </row>
    <row r="45849">
      <c r="N45849" s="1"/>
      <c r="V45849" s="5"/>
    </row>
    <row r="45850">
      <c r="N45850" s="1"/>
      <c r="V45850" s="5"/>
    </row>
    <row r="45851">
      <c r="N45851" s="1"/>
      <c r="V45851" s="5"/>
    </row>
    <row r="45852">
      <c r="N45852" s="1"/>
      <c r="V45852" s="5"/>
    </row>
    <row r="45853">
      <c r="N45853" s="1"/>
      <c r="V45853" s="5"/>
    </row>
    <row r="45854">
      <c r="N45854" s="1"/>
      <c r="V45854" s="5"/>
    </row>
    <row r="45855">
      <c r="N45855" s="1"/>
      <c r="V45855" s="5"/>
    </row>
    <row r="45856">
      <c r="N45856" s="1"/>
      <c r="V45856" s="5"/>
    </row>
    <row r="45857">
      <c r="N45857" s="1"/>
      <c r="V45857" s="5"/>
    </row>
    <row r="45858">
      <c r="N45858" s="1"/>
      <c r="V45858" s="5"/>
    </row>
    <row r="45859">
      <c r="N45859" s="1"/>
      <c r="V45859" s="5"/>
    </row>
    <row r="45860">
      <c r="N45860" s="1"/>
      <c r="V45860" s="5"/>
    </row>
    <row r="45861">
      <c r="N45861" s="1"/>
      <c r="V45861" s="5"/>
    </row>
    <row r="45862">
      <c r="N45862" s="1"/>
      <c r="V45862" s="5"/>
    </row>
    <row r="45863">
      <c r="N45863" s="1"/>
      <c r="V45863" s="5"/>
    </row>
    <row r="45864">
      <c r="N45864" s="1"/>
      <c r="V45864" s="5"/>
    </row>
    <row r="45865">
      <c r="N45865" s="1"/>
      <c r="V45865" s="5"/>
    </row>
    <row r="45866">
      <c r="N45866" s="1"/>
      <c r="V45866" s="5"/>
    </row>
    <row r="45867">
      <c r="N45867" s="1"/>
      <c r="V45867" s="5"/>
    </row>
    <row r="45868">
      <c r="N45868" s="1"/>
      <c r="V45868" s="5"/>
    </row>
    <row r="45869">
      <c r="N45869" s="1"/>
      <c r="V45869" s="5"/>
    </row>
    <row r="45870">
      <c r="N45870" s="1"/>
      <c r="V45870" s="5"/>
    </row>
    <row r="45871">
      <c r="N45871" s="1"/>
      <c r="V45871" s="5"/>
    </row>
    <row r="45872">
      <c r="N45872" s="1"/>
      <c r="V45872" s="5"/>
    </row>
    <row r="45873">
      <c r="N45873" s="1"/>
      <c r="V45873" s="5"/>
    </row>
    <row r="45874">
      <c r="N45874" s="1"/>
      <c r="V45874" s="5"/>
    </row>
    <row r="45875">
      <c r="N45875" s="1"/>
      <c r="V45875" s="5"/>
    </row>
    <row r="45876">
      <c r="N45876" s="1"/>
      <c r="V45876" s="5"/>
    </row>
    <row r="45877">
      <c r="N45877" s="1"/>
      <c r="V45877" s="5"/>
    </row>
    <row r="45878">
      <c r="N45878" s="1"/>
      <c r="V45878" s="5"/>
    </row>
    <row r="45879">
      <c r="N45879" s="1"/>
      <c r="V45879" s="5"/>
    </row>
    <row r="45880">
      <c r="N45880" s="1"/>
      <c r="V45880" s="5"/>
    </row>
    <row r="45881">
      <c r="N45881" s="1"/>
      <c r="V45881" s="5"/>
    </row>
    <row r="45882">
      <c r="N45882" s="1"/>
      <c r="V45882" s="5"/>
    </row>
    <row r="45883">
      <c r="N45883" s="1"/>
      <c r="V45883" s="5"/>
    </row>
    <row r="45884">
      <c r="N45884" s="1"/>
      <c r="V45884" s="5"/>
    </row>
    <row r="45885">
      <c r="N45885" s="1"/>
      <c r="V45885" s="5"/>
    </row>
    <row r="45886">
      <c r="N45886" s="1"/>
      <c r="V45886" s="5"/>
    </row>
    <row r="45887">
      <c r="N45887" s="1"/>
      <c r="V45887" s="5"/>
    </row>
    <row r="45888">
      <c r="N45888" s="1"/>
      <c r="V45888" s="5"/>
    </row>
    <row r="45889">
      <c r="N45889" s="1"/>
      <c r="V45889" s="5"/>
    </row>
    <row r="45890">
      <c r="N45890" s="1"/>
      <c r="V45890" s="5"/>
    </row>
    <row r="45891">
      <c r="N45891" s="1"/>
      <c r="V45891" s="5"/>
    </row>
    <row r="45892">
      <c r="N45892" s="1"/>
      <c r="V45892" s="5"/>
    </row>
    <row r="45893">
      <c r="N45893" s="1"/>
      <c r="V45893" s="5"/>
    </row>
    <row r="45894">
      <c r="N45894" s="1"/>
      <c r="V45894" s="5"/>
    </row>
    <row r="45895">
      <c r="N45895" s="1"/>
      <c r="V45895" s="5"/>
    </row>
    <row r="45896">
      <c r="N45896" s="1"/>
      <c r="V45896" s="5"/>
    </row>
    <row r="45897">
      <c r="N45897" s="1"/>
      <c r="V45897" s="5"/>
    </row>
    <row r="45898">
      <c r="N45898" s="1"/>
      <c r="V45898" s="5"/>
    </row>
    <row r="45899">
      <c r="N45899" s="1"/>
      <c r="V45899" s="5"/>
    </row>
    <row r="45900">
      <c r="N45900" s="1"/>
      <c r="V45900" s="5"/>
    </row>
    <row r="45901">
      <c r="N45901" s="1"/>
      <c r="V45901" s="5"/>
    </row>
    <row r="45902">
      <c r="N45902" s="1"/>
      <c r="V45902" s="5"/>
    </row>
    <row r="45903">
      <c r="N45903" s="1"/>
      <c r="V45903" s="5"/>
    </row>
    <row r="45904">
      <c r="N45904" s="1"/>
      <c r="V45904" s="5"/>
    </row>
    <row r="45905">
      <c r="N45905" s="1"/>
      <c r="V45905" s="5"/>
    </row>
    <row r="45906">
      <c r="N45906" s="1"/>
      <c r="V45906" s="5"/>
    </row>
    <row r="45907">
      <c r="N45907" s="1"/>
      <c r="V45907" s="5"/>
    </row>
    <row r="45908">
      <c r="N45908" s="1"/>
      <c r="V45908" s="5"/>
    </row>
    <row r="45909">
      <c r="N45909" s="1"/>
      <c r="V45909" s="5"/>
    </row>
    <row r="45910">
      <c r="N45910" s="1"/>
      <c r="V45910" s="5"/>
    </row>
    <row r="45911">
      <c r="N45911" s="1"/>
      <c r="V45911" s="5"/>
    </row>
    <row r="45912">
      <c r="N45912" s="1"/>
      <c r="V45912" s="5"/>
    </row>
    <row r="45913">
      <c r="N45913" s="1"/>
      <c r="V45913" s="5"/>
    </row>
    <row r="45914">
      <c r="N45914" s="1"/>
      <c r="V45914" s="5"/>
    </row>
    <row r="45915">
      <c r="N45915" s="1"/>
      <c r="V45915" s="5"/>
    </row>
    <row r="45916">
      <c r="N45916" s="1"/>
      <c r="V45916" s="5"/>
    </row>
    <row r="45917">
      <c r="N45917" s="1"/>
      <c r="V45917" s="5"/>
    </row>
    <row r="45918">
      <c r="N45918" s="1"/>
      <c r="V45918" s="5"/>
    </row>
    <row r="45919">
      <c r="N45919" s="1"/>
      <c r="V45919" s="5"/>
    </row>
    <row r="45920">
      <c r="N45920" s="1"/>
      <c r="V45920" s="5"/>
    </row>
    <row r="45921">
      <c r="N45921" s="1"/>
      <c r="V45921" s="5"/>
    </row>
    <row r="45922">
      <c r="N45922" s="1"/>
      <c r="V45922" s="5"/>
    </row>
    <row r="45923">
      <c r="N45923" s="1"/>
      <c r="V45923" s="5"/>
    </row>
    <row r="45924">
      <c r="N45924" s="1"/>
      <c r="V45924" s="5"/>
    </row>
    <row r="45925">
      <c r="N45925" s="1"/>
      <c r="V45925" s="5"/>
    </row>
    <row r="45926">
      <c r="N45926" s="1"/>
      <c r="V45926" s="5"/>
    </row>
    <row r="45927">
      <c r="N45927" s="1"/>
      <c r="V45927" s="5"/>
    </row>
    <row r="45928">
      <c r="N45928" s="1"/>
      <c r="V45928" s="5"/>
    </row>
    <row r="45929">
      <c r="N45929" s="1"/>
      <c r="V45929" s="5"/>
    </row>
    <row r="45930">
      <c r="N45930" s="1"/>
      <c r="V45930" s="5"/>
    </row>
    <row r="45931">
      <c r="N45931" s="1"/>
      <c r="V45931" s="5"/>
    </row>
    <row r="45932">
      <c r="N45932" s="1"/>
      <c r="V45932" s="5"/>
    </row>
    <row r="45933">
      <c r="N45933" s="1"/>
      <c r="V45933" s="5"/>
    </row>
    <row r="45934">
      <c r="N45934" s="1"/>
      <c r="V45934" s="5"/>
    </row>
    <row r="45935">
      <c r="N45935" s="1"/>
      <c r="V45935" s="5"/>
    </row>
    <row r="45936">
      <c r="N45936" s="1"/>
      <c r="V45936" s="5"/>
    </row>
    <row r="45937">
      <c r="N45937" s="1"/>
      <c r="V45937" s="5"/>
    </row>
    <row r="45938">
      <c r="N45938" s="1"/>
      <c r="V45938" s="5"/>
    </row>
    <row r="45939">
      <c r="N45939" s="1"/>
      <c r="V45939" s="5"/>
    </row>
    <row r="45940">
      <c r="N45940" s="1"/>
      <c r="V45940" s="5"/>
    </row>
    <row r="45941">
      <c r="N45941" s="1"/>
      <c r="V45941" s="5"/>
    </row>
    <row r="45942">
      <c r="N45942" s="1"/>
      <c r="V45942" s="5"/>
    </row>
    <row r="45943">
      <c r="N45943" s="1"/>
      <c r="V45943" s="5"/>
    </row>
    <row r="45944">
      <c r="N45944" s="1"/>
      <c r="V45944" s="5"/>
    </row>
    <row r="45945">
      <c r="N45945" s="1"/>
      <c r="V45945" s="5"/>
    </row>
    <row r="45946">
      <c r="N45946" s="1"/>
      <c r="V45946" s="5"/>
    </row>
    <row r="45947">
      <c r="N45947" s="1"/>
      <c r="V45947" s="5"/>
    </row>
    <row r="45948">
      <c r="N45948" s="1"/>
      <c r="V45948" s="5"/>
    </row>
    <row r="45949">
      <c r="N45949" s="1"/>
      <c r="V45949" s="5"/>
    </row>
    <row r="45950">
      <c r="N45950" s="1"/>
      <c r="V45950" s="5"/>
    </row>
    <row r="45951">
      <c r="N45951" s="1"/>
      <c r="V45951" s="5"/>
    </row>
    <row r="45952">
      <c r="N45952" s="1"/>
      <c r="V45952" s="5"/>
    </row>
    <row r="45953">
      <c r="N45953" s="1"/>
      <c r="V45953" s="5"/>
    </row>
    <row r="45954">
      <c r="N45954" s="1"/>
      <c r="V45954" s="5"/>
    </row>
    <row r="45955">
      <c r="N45955" s="1"/>
      <c r="V45955" s="5"/>
    </row>
    <row r="45956">
      <c r="N45956" s="1"/>
      <c r="V45956" s="5"/>
    </row>
    <row r="45957">
      <c r="N45957" s="1"/>
      <c r="V45957" s="5"/>
    </row>
    <row r="45958">
      <c r="N45958" s="1"/>
      <c r="V45958" s="5"/>
    </row>
    <row r="45959">
      <c r="N45959" s="1"/>
      <c r="V45959" s="5"/>
    </row>
    <row r="45960">
      <c r="N45960" s="1"/>
      <c r="V45960" s="5"/>
    </row>
    <row r="45961">
      <c r="N45961" s="1"/>
      <c r="V45961" s="5"/>
    </row>
    <row r="45962">
      <c r="N45962" s="1"/>
      <c r="V45962" s="5"/>
    </row>
    <row r="45963">
      <c r="N45963" s="1"/>
      <c r="V45963" s="5"/>
    </row>
    <row r="45964">
      <c r="N45964" s="1"/>
      <c r="V45964" s="5"/>
    </row>
    <row r="45965">
      <c r="N45965" s="1"/>
      <c r="V45965" s="5"/>
    </row>
    <row r="45966">
      <c r="N45966" s="1"/>
      <c r="V45966" s="5"/>
    </row>
    <row r="45967">
      <c r="N45967" s="1"/>
      <c r="V45967" s="5"/>
    </row>
    <row r="45968">
      <c r="N45968" s="1"/>
      <c r="V45968" s="5"/>
    </row>
    <row r="45969">
      <c r="N45969" s="1"/>
      <c r="V45969" s="5"/>
    </row>
    <row r="45970">
      <c r="N45970" s="1"/>
      <c r="V45970" s="5"/>
    </row>
    <row r="45971">
      <c r="N45971" s="1"/>
      <c r="V45971" s="5"/>
    </row>
    <row r="45972">
      <c r="N45972" s="1"/>
      <c r="V45972" s="5"/>
    </row>
    <row r="45973">
      <c r="N45973" s="1"/>
      <c r="V45973" s="5"/>
    </row>
    <row r="45974">
      <c r="N45974" s="1"/>
      <c r="V45974" s="5"/>
    </row>
    <row r="45975">
      <c r="N45975" s="1"/>
      <c r="V45975" s="5"/>
    </row>
    <row r="45976">
      <c r="N45976" s="1"/>
      <c r="V45976" s="5"/>
    </row>
    <row r="45977">
      <c r="N45977" s="1"/>
      <c r="V45977" s="5"/>
    </row>
    <row r="45978">
      <c r="N45978" s="1"/>
      <c r="V45978" s="5"/>
    </row>
    <row r="45979">
      <c r="N45979" s="1"/>
      <c r="V45979" s="5"/>
    </row>
    <row r="45980">
      <c r="N45980" s="1"/>
      <c r="V45980" s="5"/>
    </row>
    <row r="45981">
      <c r="N45981" s="1"/>
      <c r="V45981" s="5"/>
    </row>
    <row r="45982">
      <c r="N45982" s="1"/>
      <c r="V45982" s="5"/>
    </row>
    <row r="45983">
      <c r="N45983" s="1"/>
      <c r="V45983" s="5"/>
    </row>
    <row r="45984">
      <c r="N45984" s="1"/>
      <c r="V45984" s="5"/>
    </row>
    <row r="45985">
      <c r="N45985" s="1"/>
      <c r="V45985" s="5"/>
    </row>
    <row r="45986">
      <c r="N45986" s="1"/>
      <c r="V45986" s="5"/>
    </row>
    <row r="45987">
      <c r="N45987" s="1"/>
      <c r="V45987" s="5"/>
    </row>
    <row r="45988">
      <c r="N45988" s="1"/>
      <c r="V45988" s="5"/>
    </row>
    <row r="45989">
      <c r="N45989" s="1"/>
      <c r="V45989" s="5"/>
    </row>
    <row r="45990">
      <c r="N45990" s="1"/>
      <c r="V45990" s="5"/>
    </row>
    <row r="45991">
      <c r="N45991" s="1"/>
      <c r="V45991" s="5"/>
    </row>
    <row r="45992">
      <c r="N45992" s="1"/>
      <c r="V45992" s="5"/>
    </row>
    <row r="45993">
      <c r="N45993" s="1"/>
      <c r="V45993" s="5"/>
    </row>
    <row r="45994">
      <c r="N45994" s="1"/>
      <c r="V45994" s="5"/>
    </row>
    <row r="45995">
      <c r="N45995" s="1"/>
      <c r="V45995" s="5"/>
    </row>
    <row r="45996">
      <c r="N45996" s="1"/>
      <c r="V45996" s="5"/>
    </row>
    <row r="45997">
      <c r="N45997" s="1"/>
      <c r="V45997" s="5"/>
    </row>
    <row r="45998">
      <c r="N45998" s="1"/>
      <c r="V45998" s="5"/>
    </row>
    <row r="45999">
      <c r="N45999" s="1"/>
      <c r="V45999" s="5"/>
    </row>
    <row r="46000">
      <c r="N46000" s="1"/>
      <c r="V46000" s="5"/>
    </row>
    <row r="46001">
      <c r="N46001" s="1"/>
      <c r="V46001" s="5"/>
    </row>
    <row r="46002">
      <c r="N46002" s="1"/>
      <c r="V46002" s="5"/>
    </row>
    <row r="46003">
      <c r="N46003" s="1"/>
      <c r="V46003" s="5"/>
    </row>
    <row r="46004">
      <c r="N46004" s="1"/>
      <c r="V46004" s="5"/>
    </row>
    <row r="46005">
      <c r="N46005" s="1"/>
      <c r="V46005" s="5"/>
    </row>
    <row r="46006">
      <c r="N46006" s="1"/>
      <c r="V46006" s="5"/>
    </row>
    <row r="46007">
      <c r="N46007" s="1"/>
      <c r="V46007" s="5"/>
    </row>
    <row r="46008">
      <c r="N46008" s="1"/>
      <c r="V46008" s="5"/>
    </row>
    <row r="46009">
      <c r="N46009" s="1"/>
      <c r="V46009" s="5"/>
    </row>
    <row r="46010">
      <c r="N46010" s="1"/>
      <c r="V46010" s="5"/>
    </row>
    <row r="46011">
      <c r="N46011" s="1"/>
      <c r="V46011" s="5"/>
    </row>
    <row r="46012">
      <c r="N46012" s="1"/>
      <c r="V46012" s="5"/>
    </row>
    <row r="46013">
      <c r="N46013" s="1"/>
      <c r="V46013" s="5"/>
    </row>
    <row r="46014">
      <c r="N46014" s="1"/>
      <c r="V46014" s="5"/>
    </row>
    <row r="46015">
      <c r="N46015" s="1"/>
      <c r="V46015" s="5"/>
    </row>
    <row r="46016">
      <c r="N46016" s="1"/>
      <c r="V46016" s="5"/>
    </row>
    <row r="46017">
      <c r="N46017" s="1"/>
      <c r="V46017" s="5"/>
    </row>
    <row r="46018">
      <c r="N46018" s="1"/>
      <c r="V46018" s="5"/>
    </row>
    <row r="46019">
      <c r="N46019" s="1"/>
      <c r="V46019" s="5"/>
    </row>
    <row r="46020">
      <c r="N46020" s="1"/>
      <c r="V46020" s="5"/>
    </row>
    <row r="46021">
      <c r="N46021" s="1"/>
      <c r="V46021" s="5"/>
    </row>
    <row r="46022">
      <c r="N46022" s="1"/>
      <c r="V46022" s="5"/>
    </row>
    <row r="46023">
      <c r="N46023" s="1"/>
      <c r="V46023" s="5"/>
    </row>
    <row r="46024">
      <c r="N46024" s="1"/>
      <c r="V46024" s="5"/>
    </row>
    <row r="46025">
      <c r="N46025" s="1"/>
      <c r="V46025" s="5"/>
    </row>
    <row r="46026">
      <c r="N46026" s="1"/>
      <c r="V46026" s="5"/>
    </row>
    <row r="46027">
      <c r="N46027" s="1"/>
      <c r="V46027" s="5"/>
    </row>
    <row r="46028">
      <c r="N46028" s="1"/>
      <c r="V46028" s="5"/>
    </row>
    <row r="46029">
      <c r="N46029" s="1"/>
      <c r="V46029" s="5"/>
    </row>
    <row r="46030">
      <c r="N46030" s="1"/>
      <c r="V46030" s="5"/>
    </row>
    <row r="46031">
      <c r="N46031" s="1"/>
      <c r="V46031" s="5"/>
    </row>
    <row r="46032">
      <c r="N46032" s="1"/>
      <c r="V46032" s="5"/>
    </row>
    <row r="46033">
      <c r="N46033" s="1"/>
      <c r="V46033" s="5"/>
    </row>
    <row r="46034">
      <c r="N46034" s="1"/>
      <c r="V46034" s="5"/>
    </row>
    <row r="46035">
      <c r="N46035" s="1"/>
      <c r="V46035" s="5"/>
    </row>
    <row r="46036">
      <c r="N46036" s="1"/>
      <c r="V46036" s="5"/>
    </row>
    <row r="46037">
      <c r="N46037" s="1"/>
      <c r="V46037" s="5"/>
    </row>
    <row r="46038">
      <c r="N46038" s="1"/>
      <c r="V46038" s="5"/>
    </row>
    <row r="46039">
      <c r="N46039" s="1"/>
      <c r="V46039" s="5"/>
    </row>
    <row r="46040">
      <c r="N46040" s="1"/>
      <c r="V46040" s="5"/>
    </row>
    <row r="46041">
      <c r="N46041" s="1"/>
      <c r="V46041" s="5"/>
    </row>
    <row r="46042">
      <c r="N46042" s="1"/>
      <c r="V46042" s="5"/>
    </row>
    <row r="46043">
      <c r="N46043" s="1"/>
      <c r="V46043" s="5"/>
    </row>
    <row r="46044">
      <c r="N46044" s="1"/>
      <c r="V46044" s="5"/>
    </row>
    <row r="46045">
      <c r="N46045" s="1"/>
      <c r="V46045" s="5"/>
    </row>
    <row r="46046">
      <c r="N46046" s="1"/>
      <c r="V46046" s="5"/>
    </row>
    <row r="46047">
      <c r="N46047" s="1"/>
      <c r="V46047" s="5"/>
    </row>
    <row r="46048">
      <c r="N46048" s="1"/>
      <c r="V46048" s="5"/>
    </row>
    <row r="46049">
      <c r="N46049" s="1"/>
      <c r="V46049" s="5"/>
    </row>
    <row r="46050">
      <c r="N46050" s="1"/>
      <c r="V46050" s="5"/>
    </row>
    <row r="46051">
      <c r="N46051" s="1"/>
      <c r="V46051" s="5"/>
    </row>
    <row r="46052">
      <c r="N46052" s="1"/>
      <c r="V46052" s="5"/>
    </row>
    <row r="46053">
      <c r="N46053" s="1"/>
      <c r="V46053" s="5"/>
    </row>
    <row r="46054">
      <c r="N46054" s="1"/>
      <c r="V46054" s="5"/>
    </row>
    <row r="46055">
      <c r="N46055" s="1"/>
      <c r="V46055" s="5"/>
    </row>
    <row r="46056">
      <c r="N46056" s="1"/>
      <c r="V46056" s="5"/>
    </row>
    <row r="46057">
      <c r="N46057" s="1"/>
      <c r="V46057" s="5"/>
    </row>
    <row r="46058">
      <c r="N46058" s="1"/>
      <c r="V46058" s="5"/>
    </row>
    <row r="46059">
      <c r="N46059" s="1"/>
      <c r="V46059" s="5"/>
    </row>
    <row r="46060">
      <c r="N46060" s="1"/>
      <c r="V46060" s="5"/>
    </row>
    <row r="46061">
      <c r="N46061" s="1"/>
      <c r="V46061" s="5"/>
    </row>
    <row r="46062">
      <c r="N46062" s="1"/>
      <c r="V46062" s="5"/>
    </row>
    <row r="46063">
      <c r="N46063" s="1"/>
      <c r="V46063" s="5"/>
    </row>
    <row r="46064">
      <c r="N46064" s="1"/>
      <c r="V46064" s="5"/>
    </row>
    <row r="46065">
      <c r="N46065" s="1"/>
      <c r="V46065" s="5"/>
    </row>
    <row r="46066">
      <c r="N46066" s="1"/>
      <c r="V46066" s="5"/>
    </row>
    <row r="46067">
      <c r="N46067" s="1"/>
      <c r="V46067" s="5"/>
    </row>
    <row r="46068">
      <c r="N46068" s="1"/>
      <c r="V46068" s="5"/>
    </row>
    <row r="46069">
      <c r="N46069" s="1"/>
      <c r="V46069" s="5"/>
    </row>
    <row r="46070">
      <c r="N46070" s="1"/>
      <c r="V46070" s="5"/>
    </row>
    <row r="46071">
      <c r="N46071" s="1"/>
      <c r="V46071" s="5"/>
    </row>
    <row r="46072">
      <c r="N46072" s="1"/>
      <c r="V46072" s="5"/>
    </row>
    <row r="46073">
      <c r="N46073" s="1"/>
      <c r="V46073" s="5"/>
    </row>
    <row r="46074">
      <c r="N46074" s="1"/>
      <c r="V46074" s="5"/>
    </row>
    <row r="46075">
      <c r="N46075" s="1"/>
      <c r="V46075" s="5"/>
    </row>
    <row r="46076">
      <c r="N46076" s="1"/>
      <c r="V46076" s="5"/>
    </row>
    <row r="46077">
      <c r="N46077" s="1"/>
      <c r="V46077" s="5"/>
    </row>
    <row r="46078">
      <c r="N46078" s="1"/>
      <c r="V46078" s="5"/>
    </row>
    <row r="46079">
      <c r="N46079" s="1"/>
      <c r="V46079" s="5"/>
    </row>
    <row r="46080">
      <c r="N46080" s="1"/>
      <c r="V46080" s="5"/>
    </row>
    <row r="46081">
      <c r="N46081" s="1"/>
      <c r="V46081" s="5"/>
    </row>
    <row r="46082">
      <c r="N46082" s="1"/>
      <c r="V46082" s="5"/>
    </row>
    <row r="46083">
      <c r="N46083" s="1"/>
      <c r="V46083" s="5"/>
    </row>
    <row r="46084">
      <c r="N46084" s="1"/>
      <c r="V46084" s="5"/>
    </row>
    <row r="46085">
      <c r="N46085" s="1"/>
      <c r="V46085" s="5"/>
    </row>
    <row r="46086">
      <c r="N46086" s="1"/>
      <c r="V46086" s="5"/>
    </row>
    <row r="46087">
      <c r="N46087" s="1"/>
      <c r="V46087" s="5"/>
    </row>
    <row r="46088">
      <c r="N46088" s="1"/>
      <c r="V46088" s="5"/>
    </row>
    <row r="46089">
      <c r="N46089" s="1"/>
      <c r="V46089" s="5"/>
    </row>
    <row r="46090">
      <c r="N46090" s="1"/>
      <c r="V46090" s="5"/>
    </row>
    <row r="46091">
      <c r="N46091" s="1"/>
      <c r="V46091" s="5"/>
    </row>
    <row r="46092">
      <c r="N46092" s="1"/>
      <c r="V46092" s="5"/>
    </row>
    <row r="46093">
      <c r="N46093" s="1"/>
      <c r="V46093" s="5"/>
    </row>
    <row r="46094">
      <c r="N46094" s="1"/>
      <c r="V46094" s="5"/>
    </row>
    <row r="46095">
      <c r="N46095" s="1"/>
      <c r="V46095" s="5"/>
    </row>
    <row r="46096">
      <c r="N46096" s="1"/>
      <c r="V46096" s="5"/>
    </row>
    <row r="46097">
      <c r="N46097" s="1"/>
      <c r="V46097" s="5"/>
    </row>
    <row r="46098">
      <c r="N46098" s="1"/>
      <c r="V46098" s="5"/>
    </row>
    <row r="46099">
      <c r="N46099" s="1"/>
      <c r="V46099" s="5"/>
    </row>
    <row r="46100">
      <c r="N46100" s="1"/>
      <c r="V46100" s="5"/>
    </row>
    <row r="46101">
      <c r="N46101" s="1"/>
      <c r="V46101" s="5"/>
    </row>
    <row r="46102">
      <c r="N46102" s="1"/>
      <c r="V46102" s="5"/>
    </row>
    <row r="46103">
      <c r="N46103" s="1"/>
      <c r="V46103" s="5"/>
    </row>
    <row r="46104">
      <c r="N46104" s="1"/>
      <c r="V46104" s="5"/>
    </row>
    <row r="46105">
      <c r="N46105" s="1"/>
      <c r="V46105" s="5"/>
    </row>
    <row r="46106">
      <c r="N46106" s="1"/>
      <c r="V46106" s="5"/>
    </row>
    <row r="46107">
      <c r="N46107" s="1"/>
      <c r="V46107" s="5"/>
    </row>
    <row r="46108">
      <c r="N46108" s="1"/>
      <c r="V46108" s="5"/>
    </row>
    <row r="46109">
      <c r="N46109" s="1"/>
      <c r="V46109" s="5"/>
    </row>
    <row r="46110">
      <c r="N46110" s="1"/>
      <c r="V46110" s="5"/>
    </row>
    <row r="46111">
      <c r="N46111" s="1"/>
      <c r="V46111" s="5"/>
    </row>
    <row r="46112">
      <c r="N46112" s="1"/>
      <c r="V46112" s="5"/>
    </row>
    <row r="46113">
      <c r="N46113" s="1"/>
      <c r="V46113" s="5"/>
    </row>
    <row r="46114">
      <c r="N46114" s="1"/>
      <c r="V46114" s="5"/>
    </row>
    <row r="46115">
      <c r="N46115" s="1"/>
      <c r="V46115" s="5"/>
    </row>
    <row r="46116">
      <c r="N46116" s="1"/>
      <c r="V46116" s="5"/>
    </row>
    <row r="46117">
      <c r="N46117" s="1"/>
      <c r="V46117" s="5"/>
    </row>
    <row r="46118">
      <c r="N46118" s="1"/>
      <c r="V46118" s="5"/>
    </row>
    <row r="46119">
      <c r="N46119" s="1"/>
      <c r="V46119" s="5"/>
    </row>
    <row r="46120">
      <c r="N46120" s="1"/>
      <c r="V46120" s="5"/>
    </row>
    <row r="46121">
      <c r="N46121" s="1"/>
      <c r="V46121" s="5"/>
    </row>
    <row r="46122">
      <c r="N46122" s="1"/>
      <c r="V46122" s="5"/>
    </row>
    <row r="46123">
      <c r="N46123" s="1"/>
      <c r="V46123" s="5"/>
    </row>
    <row r="46124">
      <c r="N46124" s="1"/>
      <c r="V46124" s="5"/>
    </row>
    <row r="46125">
      <c r="N46125" s="1"/>
      <c r="V46125" s="5"/>
    </row>
    <row r="46126">
      <c r="N46126" s="1"/>
      <c r="V46126" s="5"/>
    </row>
    <row r="46127">
      <c r="N46127" s="1"/>
      <c r="V46127" s="5"/>
    </row>
    <row r="46128">
      <c r="N46128" s="1"/>
      <c r="V46128" s="5"/>
    </row>
    <row r="46129">
      <c r="N46129" s="1"/>
      <c r="V46129" s="5"/>
    </row>
    <row r="46130">
      <c r="N46130" s="1"/>
      <c r="V46130" s="5"/>
    </row>
    <row r="46131">
      <c r="N46131" s="1"/>
      <c r="V46131" s="5"/>
    </row>
    <row r="46132">
      <c r="N46132" s="1"/>
      <c r="V46132" s="5"/>
    </row>
    <row r="46133">
      <c r="N46133" s="1"/>
      <c r="V46133" s="5"/>
    </row>
    <row r="46134">
      <c r="N46134" s="1"/>
      <c r="V46134" s="5"/>
    </row>
    <row r="46135">
      <c r="N46135" s="1"/>
      <c r="V46135" s="5"/>
    </row>
    <row r="46136">
      <c r="N46136" s="1"/>
      <c r="V46136" s="5"/>
    </row>
    <row r="46137">
      <c r="N46137" s="1"/>
      <c r="V46137" s="5"/>
    </row>
    <row r="46138">
      <c r="N46138" s="1"/>
      <c r="V46138" s="5"/>
    </row>
    <row r="46139">
      <c r="N46139" s="1"/>
      <c r="V46139" s="5"/>
    </row>
    <row r="46140">
      <c r="N46140" s="1"/>
      <c r="V46140" s="5"/>
    </row>
    <row r="46141">
      <c r="N46141" s="1"/>
      <c r="V46141" s="5"/>
    </row>
    <row r="46142">
      <c r="N46142" s="1"/>
      <c r="V46142" s="5"/>
    </row>
    <row r="46143">
      <c r="N46143" s="1"/>
      <c r="V46143" s="5"/>
    </row>
    <row r="46144">
      <c r="N46144" s="1"/>
      <c r="V46144" s="5"/>
    </row>
    <row r="46145">
      <c r="N46145" s="1"/>
      <c r="V46145" s="5"/>
    </row>
    <row r="46146">
      <c r="N46146" s="1"/>
      <c r="V46146" s="5"/>
    </row>
    <row r="46147">
      <c r="N46147" s="1"/>
      <c r="V46147" s="5"/>
    </row>
    <row r="46148">
      <c r="N46148" s="1"/>
      <c r="V46148" s="5"/>
    </row>
    <row r="46149">
      <c r="N46149" s="1"/>
      <c r="V46149" s="5"/>
    </row>
    <row r="46150">
      <c r="N46150" s="1"/>
      <c r="V46150" s="5"/>
    </row>
    <row r="46151">
      <c r="N46151" s="1"/>
      <c r="V46151" s="5"/>
    </row>
    <row r="46152">
      <c r="N46152" s="1"/>
      <c r="V46152" s="5"/>
    </row>
    <row r="46153">
      <c r="N46153" s="1"/>
      <c r="V46153" s="5"/>
    </row>
    <row r="46154">
      <c r="N46154" s="1"/>
      <c r="V46154" s="5"/>
    </row>
    <row r="46155">
      <c r="N46155" s="1"/>
      <c r="V46155" s="5"/>
    </row>
    <row r="46156">
      <c r="N46156" s="1"/>
      <c r="V46156" s="5"/>
    </row>
    <row r="46157">
      <c r="N46157" s="1"/>
      <c r="V46157" s="5"/>
    </row>
    <row r="46158">
      <c r="N46158" s="1"/>
      <c r="V46158" s="5"/>
    </row>
    <row r="46159">
      <c r="N46159" s="1"/>
      <c r="V46159" s="5"/>
    </row>
    <row r="46160">
      <c r="N46160" s="1"/>
      <c r="V46160" s="5"/>
    </row>
    <row r="46161">
      <c r="N46161" s="1"/>
      <c r="V46161" s="5"/>
    </row>
    <row r="46162">
      <c r="N46162" s="1"/>
      <c r="V46162" s="5"/>
    </row>
    <row r="46163">
      <c r="N46163" s="1"/>
      <c r="V46163" s="5"/>
    </row>
    <row r="46164">
      <c r="N46164" s="1"/>
      <c r="V46164" s="5"/>
    </row>
    <row r="46165">
      <c r="N46165" s="1"/>
      <c r="V46165" s="5"/>
    </row>
    <row r="46166">
      <c r="N46166" s="1"/>
      <c r="V46166" s="5"/>
    </row>
    <row r="46167">
      <c r="N46167" s="1"/>
      <c r="V46167" s="5"/>
    </row>
    <row r="46168">
      <c r="N46168" s="1"/>
      <c r="V46168" s="5"/>
    </row>
    <row r="46169">
      <c r="N46169" s="1"/>
      <c r="V46169" s="5"/>
    </row>
    <row r="46170">
      <c r="N46170" s="1"/>
      <c r="V46170" s="5"/>
    </row>
    <row r="46171">
      <c r="N46171" s="1"/>
      <c r="V46171" s="5"/>
    </row>
    <row r="46172">
      <c r="N46172" s="1"/>
      <c r="V46172" s="5"/>
    </row>
    <row r="46173">
      <c r="N46173" s="1"/>
      <c r="V46173" s="5"/>
    </row>
    <row r="46174">
      <c r="N46174" s="1"/>
      <c r="V46174" s="5"/>
    </row>
    <row r="46175">
      <c r="N46175" s="1"/>
      <c r="V46175" s="5"/>
    </row>
    <row r="46176">
      <c r="N46176" s="1"/>
      <c r="V46176" s="5"/>
    </row>
    <row r="46177">
      <c r="N46177" s="1"/>
      <c r="V46177" s="5"/>
    </row>
    <row r="46178">
      <c r="N46178" s="1"/>
      <c r="V46178" s="5"/>
    </row>
    <row r="46179">
      <c r="N46179" s="1"/>
      <c r="V46179" s="5"/>
    </row>
    <row r="46180">
      <c r="N46180" s="1"/>
      <c r="V46180" s="5"/>
    </row>
    <row r="46181">
      <c r="N46181" s="1"/>
      <c r="V46181" s="5"/>
    </row>
    <row r="46182">
      <c r="N46182" s="1"/>
      <c r="V46182" s="5"/>
    </row>
    <row r="46183">
      <c r="N46183" s="1"/>
      <c r="V46183" s="5"/>
    </row>
    <row r="46184">
      <c r="N46184" s="1"/>
      <c r="V46184" s="5"/>
    </row>
    <row r="46185">
      <c r="N46185" s="1"/>
      <c r="V46185" s="5"/>
    </row>
    <row r="46186">
      <c r="N46186" s="1"/>
      <c r="V46186" s="5"/>
    </row>
    <row r="46187">
      <c r="N46187" s="1"/>
      <c r="V46187" s="5"/>
    </row>
    <row r="46188">
      <c r="N46188" s="1"/>
      <c r="V46188" s="5"/>
    </row>
    <row r="46189">
      <c r="N46189" s="1"/>
      <c r="V46189" s="5"/>
    </row>
    <row r="46190">
      <c r="N46190" s="1"/>
      <c r="V46190" s="5"/>
    </row>
    <row r="46191">
      <c r="N46191" s="1"/>
      <c r="V46191" s="5"/>
    </row>
    <row r="46192">
      <c r="N46192" s="1"/>
      <c r="V46192" s="5"/>
    </row>
    <row r="46193">
      <c r="N46193" s="1"/>
      <c r="V46193" s="5"/>
    </row>
    <row r="46194">
      <c r="N46194" s="1"/>
      <c r="V46194" s="5"/>
    </row>
    <row r="46195">
      <c r="N46195" s="1"/>
      <c r="V46195" s="5"/>
    </row>
    <row r="46196">
      <c r="N46196" s="1"/>
      <c r="V46196" s="5"/>
    </row>
    <row r="46197">
      <c r="N46197" s="1"/>
      <c r="V46197" s="5"/>
    </row>
    <row r="46198">
      <c r="N46198" s="1"/>
      <c r="V46198" s="5"/>
    </row>
    <row r="46199">
      <c r="N46199" s="1"/>
      <c r="V46199" s="5"/>
    </row>
    <row r="46200">
      <c r="N46200" s="1"/>
      <c r="V46200" s="5"/>
    </row>
    <row r="46201">
      <c r="N46201" s="1"/>
      <c r="V46201" s="5"/>
    </row>
    <row r="46202">
      <c r="N46202" s="1"/>
      <c r="V46202" s="5"/>
    </row>
    <row r="46203">
      <c r="N46203" s="1"/>
      <c r="V46203" s="5"/>
    </row>
    <row r="46204">
      <c r="N46204" s="1"/>
      <c r="V46204" s="5"/>
    </row>
    <row r="46205">
      <c r="N46205" s="1"/>
      <c r="V46205" s="5"/>
    </row>
    <row r="46206">
      <c r="N46206" s="1"/>
      <c r="V46206" s="5"/>
    </row>
    <row r="46207">
      <c r="N46207" s="1"/>
      <c r="V46207" s="5"/>
    </row>
    <row r="46208">
      <c r="N46208" s="1"/>
      <c r="V46208" s="5"/>
    </row>
    <row r="46209">
      <c r="N46209" s="1"/>
      <c r="V46209" s="5"/>
    </row>
    <row r="46210">
      <c r="N46210" s="1"/>
      <c r="V46210" s="5"/>
    </row>
    <row r="46211">
      <c r="N46211" s="1"/>
      <c r="V46211" s="5"/>
    </row>
    <row r="46212">
      <c r="N46212" s="1"/>
      <c r="V46212" s="5"/>
    </row>
    <row r="46213">
      <c r="N46213" s="1"/>
      <c r="V46213" s="5"/>
    </row>
    <row r="46214">
      <c r="N46214" s="1"/>
      <c r="V46214" s="5"/>
    </row>
    <row r="46215">
      <c r="N46215" s="1"/>
      <c r="V46215" s="5"/>
    </row>
    <row r="46216">
      <c r="N46216" s="1"/>
      <c r="V46216" s="5"/>
    </row>
    <row r="46217">
      <c r="N46217" s="1"/>
      <c r="V46217" s="5"/>
    </row>
    <row r="46218">
      <c r="N46218" s="1"/>
      <c r="V46218" s="5"/>
    </row>
    <row r="46219">
      <c r="N46219" s="1"/>
      <c r="V46219" s="5"/>
    </row>
    <row r="46220">
      <c r="N46220" s="1"/>
      <c r="V46220" s="5"/>
    </row>
    <row r="46221">
      <c r="N46221" s="1"/>
      <c r="V46221" s="5"/>
    </row>
    <row r="46222">
      <c r="N46222" s="1"/>
      <c r="V46222" s="5"/>
    </row>
    <row r="46223">
      <c r="N46223" s="1"/>
      <c r="V46223" s="5"/>
    </row>
    <row r="46224">
      <c r="N46224" s="1"/>
      <c r="V46224" s="5"/>
    </row>
    <row r="46225">
      <c r="N46225" s="1"/>
      <c r="V46225" s="5"/>
    </row>
    <row r="46226">
      <c r="N46226" s="1"/>
      <c r="V46226" s="5"/>
    </row>
    <row r="46227">
      <c r="N46227" s="1"/>
      <c r="V46227" s="5"/>
    </row>
    <row r="46228">
      <c r="N46228" s="1"/>
      <c r="V46228" s="5"/>
    </row>
    <row r="46229">
      <c r="N46229" s="1"/>
      <c r="V46229" s="5"/>
    </row>
    <row r="46230">
      <c r="N46230" s="1"/>
      <c r="V46230" s="5"/>
    </row>
    <row r="46231">
      <c r="N46231" s="1"/>
      <c r="V46231" s="5"/>
    </row>
    <row r="46232">
      <c r="N46232" s="1"/>
      <c r="V46232" s="5"/>
    </row>
    <row r="46233">
      <c r="N46233" s="1"/>
      <c r="V46233" s="5"/>
    </row>
    <row r="46234">
      <c r="N46234" s="1"/>
      <c r="V46234" s="5"/>
    </row>
    <row r="46235">
      <c r="N46235" s="1"/>
      <c r="V46235" s="5"/>
    </row>
    <row r="46236">
      <c r="N46236" s="1"/>
      <c r="V46236" s="5"/>
    </row>
    <row r="46237">
      <c r="N46237" s="1"/>
      <c r="V46237" s="5"/>
    </row>
    <row r="46238">
      <c r="N46238" s="1"/>
      <c r="V46238" s="5"/>
    </row>
    <row r="46239">
      <c r="N46239" s="1"/>
      <c r="V46239" s="5"/>
    </row>
    <row r="46240">
      <c r="N46240" s="1"/>
      <c r="V46240" s="5"/>
    </row>
    <row r="46241">
      <c r="N46241" s="1"/>
      <c r="V46241" s="5"/>
    </row>
    <row r="46242">
      <c r="N46242" s="1"/>
      <c r="V46242" s="5"/>
    </row>
    <row r="46243">
      <c r="N46243" s="1"/>
      <c r="V46243" s="5"/>
    </row>
    <row r="46244">
      <c r="N46244" s="1"/>
      <c r="V46244" s="5"/>
    </row>
    <row r="46245">
      <c r="N46245" s="1"/>
      <c r="V46245" s="5"/>
    </row>
    <row r="46246">
      <c r="N46246" s="1"/>
      <c r="V46246" s="5"/>
    </row>
    <row r="46247">
      <c r="N46247" s="1"/>
      <c r="V46247" s="5"/>
    </row>
    <row r="46248">
      <c r="N46248" s="1"/>
      <c r="V46248" s="5"/>
    </row>
    <row r="46249">
      <c r="N46249" s="1"/>
      <c r="V46249" s="5"/>
    </row>
    <row r="46250">
      <c r="N46250" s="1"/>
      <c r="V46250" s="5"/>
    </row>
    <row r="46251">
      <c r="N46251" s="1"/>
      <c r="V46251" s="5"/>
    </row>
    <row r="46252">
      <c r="N46252" s="1"/>
      <c r="V46252" s="5"/>
    </row>
    <row r="46253">
      <c r="N46253" s="1"/>
      <c r="V46253" s="5"/>
    </row>
    <row r="46254">
      <c r="N46254" s="1"/>
      <c r="V46254" s="5"/>
    </row>
    <row r="46255">
      <c r="N46255" s="1"/>
      <c r="V46255" s="5"/>
    </row>
    <row r="46256">
      <c r="N46256" s="1"/>
      <c r="V46256" s="5"/>
    </row>
    <row r="46257">
      <c r="N46257" s="1"/>
      <c r="V46257" s="5"/>
    </row>
    <row r="46258">
      <c r="N46258" s="1"/>
      <c r="V46258" s="5"/>
    </row>
    <row r="46259">
      <c r="N46259" s="1"/>
      <c r="V46259" s="5"/>
    </row>
    <row r="46260">
      <c r="N46260" s="1"/>
      <c r="V46260" s="5"/>
    </row>
    <row r="46261">
      <c r="N46261" s="1"/>
      <c r="V46261" s="5"/>
    </row>
    <row r="46262">
      <c r="N46262" s="1"/>
      <c r="V46262" s="5"/>
    </row>
    <row r="46263">
      <c r="N46263" s="1"/>
      <c r="V46263" s="5"/>
    </row>
    <row r="46264">
      <c r="N46264" s="1"/>
      <c r="V46264" s="5"/>
    </row>
    <row r="46265">
      <c r="N46265" s="1"/>
      <c r="V46265" s="5"/>
    </row>
    <row r="46266">
      <c r="N46266" s="1"/>
      <c r="V46266" s="5"/>
    </row>
    <row r="46267">
      <c r="N46267" s="1"/>
      <c r="V46267" s="5"/>
    </row>
    <row r="46268">
      <c r="N46268" s="1"/>
      <c r="V46268" s="5"/>
    </row>
    <row r="46269">
      <c r="N46269" s="1"/>
      <c r="V46269" s="5"/>
    </row>
    <row r="46270">
      <c r="N46270" s="1"/>
      <c r="V46270" s="5"/>
    </row>
    <row r="46271">
      <c r="N46271" s="1"/>
      <c r="V46271" s="5"/>
    </row>
    <row r="46272">
      <c r="N46272" s="1"/>
      <c r="V46272" s="5"/>
    </row>
    <row r="46273">
      <c r="N46273" s="1"/>
      <c r="V46273" s="5"/>
    </row>
    <row r="46274">
      <c r="N46274" s="1"/>
      <c r="V46274" s="5"/>
    </row>
    <row r="46275">
      <c r="N46275" s="1"/>
      <c r="V46275" s="5"/>
    </row>
    <row r="46276">
      <c r="N46276" s="1"/>
      <c r="V46276" s="5"/>
    </row>
    <row r="46277">
      <c r="N46277" s="1"/>
      <c r="V46277" s="5"/>
    </row>
    <row r="46278">
      <c r="N46278" s="1"/>
      <c r="V46278" s="5"/>
    </row>
    <row r="46279">
      <c r="N46279" s="1"/>
      <c r="V46279" s="5"/>
    </row>
    <row r="46280">
      <c r="N46280" s="1"/>
      <c r="V46280" s="5"/>
    </row>
    <row r="46281">
      <c r="N46281" s="1"/>
      <c r="V46281" s="5"/>
    </row>
    <row r="46282">
      <c r="N46282" s="1"/>
      <c r="V46282" s="5"/>
    </row>
    <row r="46283">
      <c r="N46283" s="1"/>
      <c r="V46283" s="5"/>
    </row>
    <row r="46284">
      <c r="N46284" s="1"/>
      <c r="V46284" s="5"/>
    </row>
    <row r="46285">
      <c r="N46285" s="1"/>
      <c r="V46285" s="5"/>
    </row>
    <row r="46286">
      <c r="N46286" s="1"/>
      <c r="V46286" s="5"/>
    </row>
    <row r="46287">
      <c r="N46287" s="1"/>
      <c r="V46287" s="5"/>
    </row>
    <row r="46288">
      <c r="N46288" s="1"/>
      <c r="V46288" s="5"/>
    </row>
    <row r="46289">
      <c r="N46289" s="1"/>
      <c r="V46289" s="5"/>
    </row>
    <row r="46290">
      <c r="N46290" s="1"/>
      <c r="V46290" s="5"/>
    </row>
    <row r="46291">
      <c r="N46291" s="1"/>
      <c r="V46291" s="5"/>
    </row>
    <row r="46292">
      <c r="N46292" s="1"/>
      <c r="V46292" s="5"/>
    </row>
    <row r="46293">
      <c r="N46293" s="1"/>
      <c r="V46293" s="5"/>
    </row>
    <row r="46294">
      <c r="N46294" s="1"/>
      <c r="V46294" s="5"/>
    </row>
    <row r="46295">
      <c r="N46295" s="1"/>
      <c r="V46295" s="5"/>
    </row>
    <row r="46296">
      <c r="N46296" s="1"/>
      <c r="V46296" s="5"/>
    </row>
    <row r="46297">
      <c r="N46297" s="1"/>
      <c r="V46297" s="5"/>
    </row>
    <row r="46298">
      <c r="N46298" s="1"/>
      <c r="V46298" s="5"/>
    </row>
    <row r="46299">
      <c r="N46299" s="1"/>
      <c r="V46299" s="5"/>
    </row>
    <row r="46300">
      <c r="N46300" s="1"/>
      <c r="V46300" s="5"/>
    </row>
    <row r="46301">
      <c r="N46301" s="1"/>
      <c r="V46301" s="5"/>
    </row>
    <row r="46302">
      <c r="N46302" s="1"/>
      <c r="V46302" s="5"/>
    </row>
    <row r="46303">
      <c r="N46303" s="1"/>
      <c r="V46303" s="5"/>
    </row>
    <row r="46304">
      <c r="N46304" s="1"/>
      <c r="V46304" s="5"/>
    </row>
    <row r="46305">
      <c r="N46305" s="1"/>
      <c r="V46305" s="5"/>
    </row>
    <row r="46306">
      <c r="N46306" s="1"/>
      <c r="V46306" s="5"/>
    </row>
    <row r="46307">
      <c r="N46307" s="1"/>
      <c r="V46307" s="5"/>
    </row>
    <row r="46308">
      <c r="N46308" s="1"/>
      <c r="V46308" s="5"/>
    </row>
    <row r="46309">
      <c r="N46309" s="1"/>
      <c r="V46309" s="5"/>
    </row>
    <row r="46310">
      <c r="N46310" s="1"/>
      <c r="V46310" s="5"/>
    </row>
    <row r="46311">
      <c r="N46311" s="1"/>
      <c r="V46311" s="5"/>
    </row>
    <row r="46312">
      <c r="N46312" s="1"/>
      <c r="V46312" s="5"/>
    </row>
    <row r="46313">
      <c r="N46313" s="1"/>
      <c r="V46313" s="5"/>
    </row>
    <row r="46314">
      <c r="N46314" s="1"/>
      <c r="V46314" s="5"/>
    </row>
    <row r="46315">
      <c r="N46315" s="1"/>
      <c r="V46315" s="5"/>
    </row>
    <row r="46316">
      <c r="N46316" s="1"/>
      <c r="V46316" s="5"/>
    </row>
    <row r="46317">
      <c r="N46317" s="1"/>
      <c r="V46317" s="5"/>
    </row>
    <row r="46318">
      <c r="N46318" s="1"/>
      <c r="V46318" s="5"/>
    </row>
    <row r="46319">
      <c r="N46319" s="1"/>
      <c r="V46319" s="5"/>
    </row>
    <row r="46320">
      <c r="N46320" s="1"/>
      <c r="V46320" s="5"/>
    </row>
    <row r="46321">
      <c r="N46321" s="1"/>
      <c r="V46321" s="5"/>
    </row>
    <row r="46322">
      <c r="N46322" s="1"/>
      <c r="V46322" s="5"/>
    </row>
    <row r="46323">
      <c r="N46323" s="1"/>
      <c r="V46323" s="5"/>
    </row>
    <row r="46324">
      <c r="N46324" s="1"/>
      <c r="V46324" s="5"/>
    </row>
    <row r="46325">
      <c r="N46325" s="1"/>
      <c r="V46325" s="5"/>
    </row>
    <row r="46326">
      <c r="N46326" s="1"/>
      <c r="V46326" s="5"/>
    </row>
    <row r="46327">
      <c r="N46327" s="1"/>
      <c r="V46327" s="5"/>
    </row>
    <row r="46328">
      <c r="N46328" s="1"/>
      <c r="V46328" s="5"/>
    </row>
    <row r="46329">
      <c r="N46329" s="1"/>
      <c r="V46329" s="5"/>
    </row>
    <row r="46330">
      <c r="N46330" s="1"/>
      <c r="V46330" s="5"/>
    </row>
    <row r="46331">
      <c r="N46331" s="1"/>
      <c r="V46331" s="5"/>
    </row>
    <row r="46332">
      <c r="N46332" s="1"/>
      <c r="V46332" s="5"/>
    </row>
    <row r="46333">
      <c r="N46333" s="1"/>
      <c r="V46333" s="5"/>
    </row>
    <row r="46334">
      <c r="N46334" s="1"/>
      <c r="V46334" s="5"/>
    </row>
    <row r="46335">
      <c r="N46335" s="1"/>
      <c r="V46335" s="5"/>
    </row>
    <row r="46336">
      <c r="N46336" s="1"/>
      <c r="V46336" s="5"/>
    </row>
    <row r="46337">
      <c r="N46337" s="1"/>
      <c r="V46337" s="5"/>
    </row>
    <row r="46338">
      <c r="N46338" s="1"/>
      <c r="V46338" s="5"/>
    </row>
    <row r="46339">
      <c r="N46339" s="1"/>
      <c r="V46339" s="5"/>
    </row>
    <row r="46340">
      <c r="N46340" s="1"/>
      <c r="V46340" s="5"/>
    </row>
    <row r="46341">
      <c r="N46341" s="1"/>
      <c r="V46341" s="5"/>
    </row>
    <row r="46342">
      <c r="N46342" s="1"/>
      <c r="V46342" s="5"/>
    </row>
    <row r="46343">
      <c r="N46343" s="1"/>
      <c r="V46343" s="5"/>
    </row>
    <row r="46344">
      <c r="N46344" s="1"/>
      <c r="V46344" s="5"/>
    </row>
    <row r="46345">
      <c r="N46345" s="1"/>
      <c r="V46345" s="5"/>
    </row>
    <row r="46346">
      <c r="N46346" s="1"/>
      <c r="V46346" s="5"/>
    </row>
    <row r="46347">
      <c r="N46347" s="1"/>
      <c r="V46347" s="5"/>
    </row>
    <row r="46348">
      <c r="N46348" s="1"/>
      <c r="V46348" s="5"/>
    </row>
    <row r="46349">
      <c r="N46349" s="1"/>
      <c r="V46349" s="5"/>
    </row>
    <row r="46350">
      <c r="N46350" s="1"/>
      <c r="V46350" s="5"/>
    </row>
    <row r="46351">
      <c r="N46351" s="1"/>
      <c r="V46351" s="5"/>
    </row>
    <row r="46352">
      <c r="N46352" s="1"/>
      <c r="V46352" s="5"/>
    </row>
    <row r="46353">
      <c r="N46353" s="1"/>
      <c r="V46353" s="5"/>
    </row>
    <row r="46354">
      <c r="N46354" s="1"/>
      <c r="V46354" s="5"/>
    </row>
    <row r="46355">
      <c r="N46355" s="1"/>
      <c r="V46355" s="5"/>
    </row>
    <row r="46356">
      <c r="N46356" s="1"/>
      <c r="V46356" s="5"/>
    </row>
    <row r="46357">
      <c r="N46357" s="1"/>
      <c r="V46357" s="5"/>
    </row>
    <row r="46358">
      <c r="N46358" s="1"/>
      <c r="V46358" s="5"/>
    </row>
    <row r="46359">
      <c r="N46359" s="1"/>
      <c r="V46359" s="5"/>
    </row>
    <row r="46360">
      <c r="N46360" s="1"/>
      <c r="V46360" s="5"/>
    </row>
    <row r="46361">
      <c r="N46361" s="1"/>
      <c r="V46361" s="5"/>
    </row>
    <row r="46362">
      <c r="N46362" s="1"/>
      <c r="V46362" s="5"/>
    </row>
    <row r="46363">
      <c r="N46363" s="1"/>
      <c r="V46363" s="5"/>
    </row>
    <row r="46364">
      <c r="N46364" s="1"/>
      <c r="V46364" s="5"/>
    </row>
    <row r="46365">
      <c r="N46365" s="1"/>
      <c r="V46365" s="5"/>
    </row>
    <row r="46366">
      <c r="N46366" s="1"/>
      <c r="V46366" s="5"/>
    </row>
    <row r="46367">
      <c r="N46367" s="1"/>
      <c r="V46367" s="5"/>
    </row>
    <row r="46368">
      <c r="N46368" s="1"/>
      <c r="V46368" s="5"/>
    </row>
    <row r="46369">
      <c r="N46369" s="1"/>
      <c r="V46369" s="5"/>
    </row>
    <row r="46370">
      <c r="N46370" s="1"/>
      <c r="V46370" s="5"/>
    </row>
    <row r="46371">
      <c r="N46371" s="1"/>
      <c r="V46371" s="5"/>
    </row>
    <row r="46372">
      <c r="N46372" s="1"/>
      <c r="V46372" s="5"/>
    </row>
    <row r="46373">
      <c r="N46373" s="1"/>
      <c r="V46373" s="5"/>
    </row>
    <row r="46374">
      <c r="N46374" s="1"/>
      <c r="V46374" s="5"/>
    </row>
    <row r="46375">
      <c r="N46375" s="1"/>
      <c r="V46375" s="5"/>
    </row>
    <row r="46376">
      <c r="N46376" s="1"/>
      <c r="V46376" s="5"/>
    </row>
    <row r="46377">
      <c r="N46377" s="1"/>
      <c r="V46377" s="5"/>
    </row>
    <row r="46378">
      <c r="N46378" s="1"/>
      <c r="V46378" s="5"/>
    </row>
    <row r="46379">
      <c r="N46379" s="1"/>
      <c r="V46379" s="5"/>
    </row>
    <row r="46380">
      <c r="N46380" s="1"/>
      <c r="V46380" s="5"/>
    </row>
    <row r="46381">
      <c r="N46381" s="1"/>
      <c r="V46381" s="5"/>
    </row>
    <row r="46382">
      <c r="N46382" s="1"/>
      <c r="V46382" s="5"/>
    </row>
    <row r="46383">
      <c r="N46383" s="1"/>
      <c r="V46383" s="5"/>
    </row>
    <row r="46384">
      <c r="N46384" s="1"/>
      <c r="V46384" s="5"/>
    </row>
    <row r="46385">
      <c r="N46385" s="1"/>
      <c r="V46385" s="5"/>
    </row>
    <row r="46386">
      <c r="N46386" s="1"/>
      <c r="V46386" s="5"/>
    </row>
    <row r="46387">
      <c r="N46387" s="1"/>
      <c r="V46387" s="5"/>
    </row>
    <row r="46388">
      <c r="N46388" s="1"/>
      <c r="V46388" s="5"/>
    </row>
    <row r="46389">
      <c r="N46389" s="1"/>
      <c r="V46389" s="5"/>
    </row>
    <row r="46390">
      <c r="N46390" s="1"/>
      <c r="V46390" s="5"/>
    </row>
    <row r="46391">
      <c r="N46391" s="1"/>
      <c r="V46391" s="5"/>
    </row>
    <row r="46392">
      <c r="N46392" s="1"/>
      <c r="V46392" s="5"/>
    </row>
    <row r="46393">
      <c r="N46393" s="1"/>
      <c r="V46393" s="5"/>
    </row>
    <row r="46394">
      <c r="N46394" s="1"/>
      <c r="V46394" s="5"/>
    </row>
    <row r="46395">
      <c r="N46395" s="1"/>
      <c r="V46395" s="5"/>
    </row>
    <row r="46396">
      <c r="N46396" s="1"/>
      <c r="V46396" s="5"/>
    </row>
    <row r="46397">
      <c r="N46397" s="1"/>
      <c r="V46397" s="5"/>
    </row>
    <row r="46398">
      <c r="N46398" s="1"/>
      <c r="V46398" s="5"/>
    </row>
    <row r="46399">
      <c r="N46399" s="1"/>
      <c r="V46399" s="5"/>
    </row>
    <row r="46400">
      <c r="N46400" s="1"/>
      <c r="V46400" s="5"/>
    </row>
    <row r="46401">
      <c r="N46401" s="1"/>
      <c r="V46401" s="5"/>
    </row>
    <row r="46402">
      <c r="N46402" s="1"/>
      <c r="V46402" s="5"/>
    </row>
    <row r="46403">
      <c r="N46403" s="1"/>
      <c r="V46403" s="5"/>
    </row>
    <row r="46404">
      <c r="N46404" s="1"/>
      <c r="V46404" s="5"/>
    </row>
    <row r="46405">
      <c r="N46405" s="1"/>
      <c r="V46405" s="5"/>
    </row>
    <row r="46406">
      <c r="N46406" s="1"/>
      <c r="V46406" s="5"/>
    </row>
    <row r="46407">
      <c r="N46407" s="1"/>
      <c r="V46407" s="5"/>
    </row>
    <row r="46408">
      <c r="N46408" s="1"/>
      <c r="V46408" s="5"/>
    </row>
    <row r="46409">
      <c r="N46409" s="1"/>
      <c r="V46409" s="5"/>
    </row>
    <row r="46410">
      <c r="N46410" s="1"/>
      <c r="V46410" s="5"/>
    </row>
    <row r="46411">
      <c r="N46411" s="1"/>
      <c r="V46411" s="5"/>
    </row>
    <row r="46412">
      <c r="N46412" s="1"/>
      <c r="V46412" s="5"/>
    </row>
    <row r="46413">
      <c r="N46413" s="1"/>
      <c r="V46413" s="5"/>
    </row>
    <row r="46414">
      <c r="N46414" s="1"/>
      <c r="V46414" s="5"/>
    </row>
    <row r="46415">
      <c r="N46415" s="1"/>
      <c r="V46415" s="5"/>
    </row>
    <row r="46416">
      <c r="N46416" s="1"/>
      <c r="V46416" s="5"/>
    </row>
    <row r="46417">
      <c r="N46417" s="1"/>
      <c r="V46417" s="5"/>
    </row>
    <row r="46418">
      <c r="N46418" s="1"/>
      <c r="V46418" s="5"/>
    </row>
    <row r="46419">
      <c r="N46419" s="1"/>
      <c r="V46419" s="5"/>
    </row>
    <row r="46420">
      <c r="N46420" s="1"/>
      <c r="V46420" s="5"/>
    </row>
    <row r="46421">
      <c r="N46421" s="1"/>
      <c r="V46421" s="5"/>
    </row>
    <row r="46422">
      <c r="N46422" s="1"/>
      <c r="V46422" s="5"/>
    </row>
    <row r="46423">
      <c r="N46423" s="1"/>
      <c r="V46423" s="5"/>
    </row>
    <row r="46424">
      <c r="N46424" s="1"/>
      <c r="V46424" s="5"/>
    </row>
    <row r="46425">
      <c r="N46425" s="1"/>
      <c r="V46425" s="5"/>
    </row>
    <row r="46426">
      <c r="N46426" s="1"/>
      <c r="V46426" s="5"/>
    </row>
    <row r="46427">
      <c r="N46427" s="1"/>
      <c r="V46427" s="5"/>
    </row>
    <row r="46428">
      <c r="N46428" s="1"/>
      <c r="V46428" s="5"/>
    </row>
    <row r="46429">
      <c r="N46429" s="1"/>
      <c r="V46429" s="5"/>
    </row>
    <row r="46430">
      <c r="N46430" s="1"/>
      <c r="V46430" s="5"/>
    </row>
    <row r="46431">
      <c r="N46431" s="1"/>
      <c r="V46431" s="5"/>
    </row>
    <row r="46432">
      <c r="N46432" s="1"/>
      <c r="V46432" s="5"/>
    </row>
    <row r="46433">
      <c r="N46433" s="1"/>
      <c r="V46433" s="5"/>
    </row>
    <row r="46434">
      <c r="N46434" s="1"/>
      <c r="V46434" s="5"/>
    </row>
    <row r="46435">
      <c r="N46435" s="1"/>
      <c r="V46435" s="5"/>
    </row>
    <row r="46436">
      <c r="N46436" s="1"/>
      <c r="V46436" s="5"/>
    </row>
    <row r="46437">
      <c r="N46437" s="1"/>
      <c r="V46437" s="5"/>
    </row>
    <row r="46438">
      <c r="N46438" s="1"/>
      <c r="V46438" s="5"/>
    </row>
    <row r="46439">
      <c r="N46439" s="1"/>
      <c r="V46439" s="5"/>
    </row>
    <row r="46440">
      <c r="N46440" s="1"/>
      <c r="V46440" s="5"/>
    </row>
    <row r="46441">
      <c r="N46441" s="1"/>
      <c r="V46441" s="5"/>
    </row>
    <row r="46442">
      <c r="N46442" s="1"/>
      <c r="V46442" s="5"/>
    </row>
    <row r="46443">
      <c r="N46443" s="1"/>
      <c r="V46443" s="5"/>
    </row>
    <row r="46444">
      <c r="N46444" s="1"/>
      <c r="V46444" s="5"/>
    </row>
    <row r="46445">
      <c r="N46445" s="1"/>
      <c r="V46445" s="5"/>
    </row>
    <row r="46446">
      <c r="N46446" s="1"/>
      <c r="V46446" s="5"/>
    </row>
    <row r="46447">
      <c r="N46447" s="1"/>
      <c r="V46447" s="5"/>
    </row>
    <row r="46448">
      <c r="N46448" s="1"/>
      <c r="V46448" s="5"/>
    </row>
    <row r="46449">
      <c r="N46449" s="1"/>
      <c r="V46449" s="5"/>
    </row>
    <row r="46450">
      <c r="N46450" s="1"/>
      <c r="V46450" s="5"/>
    </row>
    <row r="46451">
      <c r="N46451" s="1"/>
      <c r="V46451" s="5"/>
    </row>
    <row r="46452">
      <c r="N46452" s="1"/>
      <c r="V46452" s="5"/>
    </row>
    <row r="46453">
      <c r="N46453" s="1"/>
      <c r="V46453" s="5"/>
    </row>
    <row r="46454">
      <c r="N46454" s="1"/>
      <c r="V46454" s="5"/>
    </row>
    <row r="46455">
      <c r="N46455" s="1"/>
      <c r="V46455" s="5"/>
    </row>
    <row r="46456">
      <c r="N46456" s="1"/>
      <c r="V46456" s="5"/>
    </row>
    <row r="46457">
      <c r="N46457" s="1"/>
      <c r="V46457" s="5"/>
    </row>
    <row r="46458">
      <c r="N46458" s="1"/>
      <c r="V46458" s="5"/>
    </row>
    <row r="46459">
      <c r="N46459" s="1"/>
      <c r="V46459" s="5"/>
    </row>
    <row r="46460">
      <c r="N46460" s="1"/>
      <c r="V46460" s="5"/>
    </row>
    <row r="46461">
      <c r="N46461" s="1"/>
      <c r="V46461" s="5"/>
    </row>
    <row r="46462">
      <c r="N46462" s="1"/>
      <c r="V46462" s="5"/>
    </row>
    <row r="46463">
      <c r="N46463" s="1"/>
      <c r="V46463" s="5"/>
    </row>
    <row r="46464">
      <c r="N46464" s="1"/>
      <c r="V46464" s="5"/>
    </row>
    <row r="46465">
      <c r="N46465" s="1"/>
      <c r="V46465" s="5"/>
    </row>
    <row r="46466">
      <c r="N46466" s="1"/>
      <c r="V46466" s="5"/>
    </row>
    <row r="46467">
      <c r="N46467" s="1"/>
      <c r="V46467" s="5"/>
    </row>
    <row r="46468">
      <c r="N46468" s="1"/>
      <c r="V46468" s="5"/>
    </row>
    <row r="46469">
      <c r="N46469" s="1"/>
      <c r="V46469" s="5"/>
    </row>
    <row r="46470">
      <c r="N46470" s="1"/>
      <c r="V46470" s="5"/>
    </row>
    <row r="46471">
      <c r="N46471" s="1"/>
      <c r="V46471" s="5"/>
    </row>
    <row r="46472">
      <c r="N46472" s="1"/>
      <c r="V46472" s="5"/>
    </row>
    <row r="46473">
      <c r="N46473" s="1"/>
      <c r="V46473" s="5"/>
    </row>
    <row r="46474">
      <c r="N46474" s="1"/>
      <c r="V46474" s="5"/>
    </row>
    <row r="46475">
      <c r="N46475" s="1"/>
      <c r="V46475" s="5"/>
    </row>
    <row r="46476">
      <c r="N46476" s="1"/>
      <c r="V46476" s="5"/>
    </row>
    <row r="46477">
      <c r="N46477" s="1"/>
      <c r="V46477" s="5"/>
    </row>
    <row r="46478">
      <c r="N46478" s="1"/>
      <c r="V46478" s="5"/>
    </row>
    <row r="46479">
      <c r="N46479" s="1"/>
      <c r="V46479" s="5"/>
    </row>
    <row r="46480">
      <c r="N46480" s="1"/>
      <c r="V46480" s="5"/>
    </row>
    <row r="46481">
      <c r="N46481" s="1"/>
      <c r="V46481" s="5"/>
    </row>
    <row r="46482">
      <c r="N46482" s="1"/>
      <c r="V46482" s="5"/>
    </row>
    <row r="46483">
      <c r="N46483" s="1"/>
      <c r="V46483" s="5"/>
    </row>
    <row r="46484">
      <c r="N46484" s="1"/>
      <c r="V46484" s="5"/>
    </row>
    <row r="46485">
      <c r="N46485" s="1"/>
      <c r="V46485" s="5"/>
    </row>
    <row r="46486">
      <c r="N46486" s="1"/>
      <c r="V46486" s="5"/>
    </row>
    <row r="46487">
      <c r="N46487" s="1"/>
      <c r="V46487" s="5"/>
    </row>
    <row r="46488">
      <c r="N46488" s="1"/>
      <c r="V46488" s="5"/>
    </row>
    <row r="46489">
      <c r="N46489" s="1"/>
      <c r="V46489" s="5"/>
    </row>
    <row r="46490">
      <c r="N46490" s="1"/>
      <c r="V46490" s="5"/>
    </row>
    <row r="46491">
      <c r="N46491" s="1"/>
      <c r="V46491" s="5"/>
    </row>
    <row r="46492">
      <c r="N46492" s="1"/>
      <c r="V46492" s="5"/>
    </row>
    <row r="46493">
      <c r="N46493" s="1"/>
      <c r="V46493" s="5"/>
    </row>
    <row r="46494">
      <c r="N46494" s="1"/>
      <c r="V46494" s="5"/>
    </row>
    <row r="46495">
      <c r="N46495" s="1"/>
      <c r="V46495" s="5"/>
    </row>
    <row r="46496">
      <c r="N46496" s="1"/>
      <c r="V46496" s="5"/>
    </row>
    <row r="46497">
      <c r="N46497" s="1"/>
      <c r="V46497" s="5"/>
    </row>
    <row r="46498">
      <c r="N46498" s="1"/>
      <c r="V46498" s="5"/>
    </row>
    <row r="46499">
      <c r="N46499" s="1"/>
      <c r="V46499" s="5"/>
    </row>
    <row r="46500">
      <c r="N46500" s="1"/>
      <c r="V46500" s="5"/>
    </row>
    <row r="46501">
      <c r="N46501" s="1"/>
      <c r="V46501" s="5"/>
    </row>
    <row r="46502">
      <c r="N46502" s="1"/>
      <c r="V46502" s="5"/>
    </row>
    <row r="46503">
      <c r="N46503" s="1"/>
      <c r="V46503" s="5"/>
    </row>
    <row r="46504">
      <c r="N46504" s="1"/>
      <c r="V46504" s="5"/>
    </row>
    <row r="46505">
      <c r="N46505" s="1"/>
      <c r="V46505" s="5"/>
    </row>
    <row r="46506">
      <c r="N46506" s="1"/>
      <c r="V46506" s="5"/>
    </row>
    <row r="46507">
      <c r="N46507" s="1"/>
      <c r="V46507" s="5"/>
    </row>
    <row r="46508">
      <c r="N46508" s="1"/>
      <c r="V46508" s="5"/>
    </row>
    <row r="46509">
      <c r="N46509" s="1"/>
      <c r="V46509" s="5"/>
    </row>
    <row r="46510">
      <c r="N46510" s="1"/>
      <c r="V46510" s="5"/>
    </row>
    <row r="46511">
      <c r="N46511" s="1"/>
      <c r="V46511" s="5"/>
    </row>
    <row r="46512">
      <c r="N46512" s="1"/>
      <c r="V46512" s="5"/>
    </row>
    <row r="46513">
      <c r="N46513" s="1"/>
      <c r="V46513" s="5"/>
    </row>
    <row r="46514">
      <c r="N46514" s="1"/>
      <c r="V46514" s="5"/>
    </row>
    <row r="46515">
      <c r="N46515" s="1"/>
      <c r="V46515" s="5"/>
    </row>
    <row r="46516">
      <c r="N46516" s="1"/>
      <c r="V46516" s="5"/>
    </row>
    <row r="46517">
      <c r="N46517" s="1"/>
      <c r="V46517" s="5"/>
    </row>
    <row r="46518">
      <c r="N46518" s="1"/>
      <c r="V46518" s="5"/>
    </row>
    <row r="46519">
      <c r="N46519" s="1"/>
      <c r="V46519" s="5"/>
    </row>
    <row r="46520">
      <c r="N46520" s="1"/>
      <c r="V46520" s="5"/>
    </row>
    <row r="46521">
      <c r="N46521" s="1"/>
      <c r="V46521" s="5"/>
    </row>
    <row r="46522">
      <c r="N46522" s="1"/>
      <c r="V46522" s="5"/>
    </row>
    <row r="46523">
      <c r="N46523" s="1"/>
      <c r="V46523" s="5"/>
    </row>
    <row r="46524">
      <c r="N46524" s="1"/>
      <c r="V46524" s="5"/>
    </row>
    <row r="46525">
      <c r="N46525" s="1"/>
      <c r="V46525" s="5"/>
    </row>
    <row r="46526">
      <c r="N46526" s="1"/>
      <c r="V46526" s="5"/>
    </row>
    <row r="46527">
      <c r="N46527" s="1"/>
      <c r="V46527" s="5"/>
    </row>
    <row r="46528">
      <c r="N46528" s="1"/>
      <c r="V46528" s="5"/>
    </row>
    <row r="46529">
      <c r="N46529" s="1"/>
      <c r="V46529" s="5"/>
    </row>
    <row r="46530">
      <c r="N46530" s="1"/>
      <c r="V46530" s="5"/>
    </row>
    <row r="46531">
      <c r="N46531" s="1"/>
      <c r="V46531" s="5"/>
    </row>
    <row r="46532">
      <c r="N46532" s="1"/>
      <c r="V46532" s="5"/>
    </row>
    <row r="46533">
      <c r="N46533" s="1"/>
      <c r="V46533" s="5"/>
    </row>
    <row r="46534">
      <c r="N46534" s="1"/>
      <c r="V46534" s="5"/>
    </row>
    <row r="46535">
      <c r="N46535" s="1"/>
      <c r="V46535" s="5"/>
    </row>
    <row r="46536">
      <c r="N46536" s="1"/>
      <c r="V46536" s="5"/>
    </row>
    <row r="46537">
      <c r="N46537" s="1"/>
      <c r="V46537" s="5"/>
    </row>
    <row r="46538">
      <c r="N46538" s="1"/>
      <c r="V46538" s="5"/>
    </row>
    <row r="46539">
      <c r="N46539" s="1"/>
      <c r="V46539" s="5"/>
    </row>
    <row r="46540">
      <c r="N46540" s="1"/>
      <c r="V46540" s="5"/>
    </row>
    <row r="46541">
      <c r="N46541" s="1"/>
      <c r="V46541" s="5"/>
    </row>
    <row r="46542">
      <c r="N46542" s="1"/>
      <c r="V46542" s="5"/>
    </row>
    <row r="46543">
      <c r="N46543" s="1"/>
      <c r="V46543" s="5"/>
    </row>
    <row r="46544">
      <c r="N46544" s="1"/>
      <c r="V46544" s="5"/>
    </row>
    <row r="46545">
      <c r="N46545" s="1"/>
      <c r="V46545" s="5"/>
    </row>
    <row r="46546">
      <c r="N46546" s="1"/>
      <c r="V46546" s="5"/>
    </row>
    <row r="46547">
      <c r="N46547" s="1"/>
      <c r="V46547" s="5"/>
    </row>
    <row r="46548">
      <c r="N46548" s="1"/>
      <c r="V46548" s="5"/>
    </row>
    <row r="46549">
      <c r="N46549" s="1"/>
      <c r="V46549" s="5"/>
    </row>
    <row r="46550">
      <c r="N46550" s="1"/>
      <c r="V46550" s="5"/>
    </row>
    <row r="46551">
      <c r="N46551" s="1"/>
      <c r="V46551" s="5"/>
    </row>
    <row r="46552">
      <c r="N46552" s="1"/>
      <c r="V46552" s="5"/>
    </row>
    <row r="46553">
      <c r="N46553" s="1"/>
      <c r="V46553" s="5"/>
    </row>
    <row r="46554">
      <c r="N46554" s="1"/>
      <c r="V46554" s="5"/>
    </row>
    <row r="46555">
      <c r="N46555" s="1"/>
      <c r="V46555" s="5"/>
    </row>
    <row r="46556">
      <c r="N46556" s="1"/>
      <c r="V46556" s="5"/>
    </row>
    <row r="46557">
      <c r="N46557" s="1"/>
      <c r="V46557" s="5"/>
    </row>
    <row r="46558">
      <c r="N46558" s="1"/>
      <c r="V46558" s="5"/>
    </row>
    <row r="46559">
      <c r="N46559" s="1"/>
      <c r="V46559" s="5"/>
    </row>
    <row r="46560">
      <c r="N46560" s="1"/>
      <c r="V46560" s="5"/>
    </row>
    <row r="46561">
      <c r="N46561" s="1"/>
      <c r="V46561" s="5"/>
    </row>
    <row r="46562">
      <c r="N46562" s="1"/>
      <c r="V46562" s="5"/>
    </row>
    <row r="46563">
      <c r="N46563" s="1"/>
      <c r="V46563" s="5"/>
    </row>
    <row r="46564">
      <c r="N46564" s="1"/>
      <c r="V46564" s="5"/>
    </row>
    <row r="46565">
      <c r="N46565" s="1"/>
      <c r="V46565" s="5"/>
    </row>
    <row r="46566">
      <c r="N46566" s="1"/>
      <c r="V46566" s="5"/>
    </row>
    <row r="46567">
      <c r="N46567" s="1"/>
      <c r="V46567" s="5"/>
    </row>
    <row r="46568">
      <c r="N46568" s="1"/>
      <c r="V46568" s="5"/>
    </row>
    <row r="46569">
      <c r="N46569" s="1"/>
      <c r="V46569" s="5"/>
    </row>
    <row r="46570">
      <c r="N46570" s="1"/>
      <c r="V46570" s="5"/>
    </row>
    <row r="46571">
      <c r="N46571" s="1"/>
      <c r="V46571" s="5"/>
    </row>
    <row r="46572">
      <c r="N46572" s="1"/>
      <c r="V46572" s="5"/>
    </row>
    <row r="46573">
      <c r="N46573" s="1"/>
      <c r="V46573" s="5"/>
    </row>
    <row r="46574">
      <c r="N46574" s="1"/>
      <c r="V46574" s="5"/>
    </row>
    <row r="46575">
      <c r="N46575" s="1"/>
      <c r="V46575" s="5"/>
    </row>
    <row r="46576">
      <c r="N46576" s="1"/>
      <c r="V46576" s="5"/>
    </row>
    <row r="46577">
      <c r="N46577" s="1"/>
      <c r="V46577" s="5"/>
    </row>
    <row r="46578">
      <c r="N46578" s="1"/>
      <c r="V46578" s="5"/>
    </row>
    <row r="46579">
      <c r="N46579" s="1"/>
      <c r="V46579" s="5"/>
    </row>
    <row r="46580">
      <c r="N46580" s="1"/>
      <c r="V46580" s="5"/>
    </row>
    <row r="46581">
      <c r="N46581" s="1"/>
      <c r="V46581" s="5"/>
    </row>
    <row r="46582">
      <c r="N46582" s="1"/>
      <c r="V46582" s="5"/>
    </row>
    <row r="46583">
      <c r="N46583" s="1"/>
      <c r="V46583" s="5"/>
    </row>
    <row r="46584">
      <c r="N46584" s="1"/>
      <c r="V46584" s="5"/>
    </row>
    <row r="46585">
      <c r="N46585" s="1"/>
      <c r="V46585" s="5"/>
    </row>
    <row r="46586">
      <c r="N46586" s="1"/>
      <c r="V46586" s="5"/>
    </row>
    <row r="46587">
      <c r="N46587" s="1"/>
      <c r="V46587" s="5"/>
    </row>
    <row r="46588">
      <c r="N46588" s="1"/>
      <c r="V46588" s="5"/>
    </row>
    <row r="46589">
      <c r="N46589" s="1"/>
      <c r="V46589" s="5"/>
    </row>
    <row r="46590">
      <c r="N46590" s="1"/>
      <c r="V46590" s="5"/>
    </row>
    <row r="46591">
      <c r="N46591" s="1"/>
      <c r="V46591" s="5"/>
    </row>
    <row r="46592">
      <c r="N46592" s="1"/>
      <c r="V46592" s="5"/>
    </row>
    <row r="46593">
      <c r="N46593" s="1"/>
      <c r="V46593" s="5"/>
    </row>
    <row r="46594">
      <c r="N46594" s="1"/>
      <c r="V46594" s="5"/>
    </row>
    <row r="46595">
      <c r="N46595" s="1"/>
      <c r="V46595" s="5"/>
    </row>
    <row r="46596">
      <c r="N46596" s="1"/>
      <c r="V46596" s="5"/>
    </row>
    <row r="46597">
      <c r="N46597" s="1"/>
      <c r="V46597" s="5"/>
    </row>
    <row r="46598">
      <c r="N46598" s="1"/>
      <c r="V46598" s="5"/>
    </row>
    <row r="46599">
      <c r="N46599" s="1"/>
      <c r="V46599" s="5"/>
    </row>
    <row r="46600">
      <c r="N46600" s="1"/>
      <c r="V46600" s="5"/>
    </row>
    <row r="46601">
      <c r="N46601" s="1"/>
      <c r="V46601" s="5"/>
    </row>
    <row r="46602">
      <c r="N46602" s="1"/>
      <c r="V46602" s="5"/>
    </row>
    <row r="46603">
      <c r="N46603" s="1"/>
      <c r="V46603" s="5"/>
    </row>
    <row r="46604">
      <c r="N46604" s="1"/>
      <c r="V46604" s="5"/>
    </row>
    <row r="46605">
      <c r="N46605" s="1"/>
      <c r="V46605" s="5"/>
    </row>
    <row r="46606">
      <c r="N46606" s="1"/>
      <c r="V46606" s="5"/>
    </row>
    <row r="46607">
      <c r="N46607" s="1"/>
      <c r="V46607" s="5"/>
    </row>
    <row r="46608">
      <c r="N46608" s="1"/>
      <c r="V46608" s="5"/>
    </row>
    <row r="46609">
      <c r="N46609" s="1"/>
      <c r="V46609" s="5"/>
    </row>
    <row r="46610">
      <c r="N46610" s="1"/>
      <c r="V46610" s="5"/>
    </row>
    <row r="46611">
      <c r="N46611" s="1"/>
      <c r="V46611" s="5"/>
    </row>
    <row r="46612">
      <c r="N46612" s="1"/>
      <c r="V46612" s="5"/>
    </row>
    <row r="46613">
      <c r="N46613" s="1"/>
      <c r="V46613" s="5"/>
    </row>
    <row r="46614">
      <c r="N46614" s="1"/>
      <c r="V46614" s="5"/>
    </row>
    <row r="46615">
      <c r="N46615" s="1"/>
      <c r="V46615" s="5"/>
    </row>
    <row r="46616">
      <c r="N46616" s="1"/>
      <c r="V46616" s="5"/>
    </row>
    <row r="46617">
      <c r="N46617" s="1"/>
      <c r="V46617" s="5"/>
    </row>
    <row r="46618">
      <c r="N46618" s="1"/>
      <c r="V46618" s="5"/>
    </row>
    <row r="46619">
      <c r="N46619" s="1"/>
      <c r="V46619" s="5"/>
    </row>
    <row r="46620">
      <c r="N46620" s="1"/>
      <c r="V46620" s="5"/>
    </row>
    <row r="46621">
      <c r="N46621" s="1"/>
      <c r="V46621" s="5"/>
    </row>
    <row r="46622">
      <c r="N46622" s="1"/>
      <c r="V46622" s="5"/>
    </row>
    <row r="46623">
      <c r="N46623" s="1"/>
      <c r="V46623" s="5"/>
    </row>
    <row r="46624">
      <c r="N46624" s="1"/>
      <c r="V46624" s="5"/>
    </row>
    <row r="46625">
      <c r="N46625" s="1"/>
      <c r="V46625" s="5"/>
    </row>
    <row r="46626">
      <c r="N46626" s="1"/>
      <c r="V46626" s="5"/>
    </row>
    <row r="46627">
      <c r="N46627" s="1"/>
      <c r="V46627" s="5"/>
    </row>
    <row r="46628">
      <c r="N46628" s="1"/>
      <c r="V46628" s="5"/>
    </row>
    <row r="46629">
      <c r="N46629" s="1"/>
      <c r="V46629" s="5"/>
    </row>
    <row r="46630">
      <c r="N46630" s="1"/>
      <c r="V46630" s="5"/>
    </row>
    <row r="46631">
      <c r="N46631" s="1"/>
      <c r="V46631" s="5"/>
    </row>
    <row r="46632">
      <c r="N46632" s="1"/>
      <c r="V46632" s="5"/>
    </row>
    <row r="46633">
      <c r="N46633" s="1"/>
      <c r="V46633" s="5"/>
    </row>
    <row r="46634">
      <c r="N46634" s="1"/>
      <c r="V46634" s="5"/>
    </row>
    <row r="46635">
      <c r="N46635" s="1"/>
      <c r="V46635" s="5"/>
    </row>
    <row r="46636">
      <c r="N46636" s="1"/>
      <c r="V46636" s="5"/>
    </row>
    <row r="46637">
      <c r="N46637" s="1"/>
      <c r="V46637" s="5"/>
    </row>
    <row r="46638">
      <c r="N46638" s="1"/>
      <c r="V46638" s="5"/>
    </row>
    <row r="46639">
      <c r="N46639" s="1"/>
      <c r="V46639" s="5"/>
    </row>
    <row r="46640">
      <c r="N46640" s="1"/>
      <c r="V46640" s="5"/>
    </row>
    <row r="46641">
      <c r="N46641" s="1"/>
      <c r="V46641" s="5"/>
    </row>
    <row r="46642">
      <c r="N46642" s="1"/>
      <c r="V46642" s="5"/>
    </row>
    <row r="46643">
      <c r="N46643" s="1"/>
      <c r="V46643" s="5"/>
    </row>
    <row r="46644">
      <c r="N46644" s="1"/>
      <c r="V46644" s="5"/>
    </row>
    <row r="46645">
      <c r="N46645" s="1"/>
      <c r="V46645" s="5"/>
    </row>
    <row r="46646">
      <c r="N46646" s="1"/>
      <c r="V46646" s="5"/>
    </row>
    <row r="46647">
      <c r="N46647" s="1"/>
      <c r="V46647" s="5"/>
    </row>
    <row r="46648">
      <c r="N46648" s="1"/>
      <c r="V46648" s="5"/>
    </row>
    <row r="46649">
      <c r="N46649" s="1"/>
      <c r="V46649" s="5"/>
    </row>
    <row r="46650">
      <c r="N46650" s="1"/>
      <c r="V46650" s="5"/>
    </row>
    <row r="46651">
      <c r="N46651" s="1"/>
      <c r="V46651" s="5"/>
    </row>
    <row r="46652">
      <c r="N46652" s="1"/>
      <c r="V46652" s="5"/>
    </row>
    <row r="46653">
      <c r="N46653" s="1"/>
      <c r="V46653" s="5"/>
    </row>
    <row r="46654">
      <c r="N46654" s="1"/>
      <c r="V46654" s="5"/>
    </row>
    <row r="46655">
      <c r="N46655" s="1"/>
      <c r="V46655" s="5"/>
    </row>
    <row r="46656">
      <c r="N46656" s="1"/>
      <c r="V46656" s="5"/>
    </row>
    <row r="46657">
      <c r="N46657" s="1"/>
      <c r="V46657" s="5"/>
    </row>
    <row r="46658">
      <c r="N46658" s="1"/>
      <c r="V46658" s="5"/>
    </row>
    <row r="46659">
      <c r="N46659" s="1"/>
      <c r="V46659" s="5"/>
    </row>
    <row r="46660">
      <c r="N46660" s="1"/>
      <c r="V46660" s="5"/>
    </row>
    <row r="46661">
      <c r="N46661" s="1"/>
      <c r="V46661" s="5"/>
    </row>
    <row r="46662">
      <c r="N46662" s="1"/>
      <c r="V46662" s="5"/>
    </row>
    <row r="46663">
      <c r="N46663" s="1"/>
      <c r="V46663" s="5"/>
    </row>
    <row r="46664">
      <c r="N46664" s="1"/>
      <c r="V46664" s="5"/>
    </row>
    <row r="46665">
      <c r="N46665" s="1"/>
      <c r="V46665" s="5"/>
    </row>
    <row r="46666">
      <c r="N46666" s="1"/>
      <c r="V46666" s="5"/>
    </row>
    <row r="46667">
      <c r="N46667" s="1"/>
      <c r="V46667" s="5"/>
    </row>
    <row r="46668">
      <c r="N46668" s="1"/>
      <c r="V46668" s="5"/>
    </row>
    <row r="46669">
      <c r="N46669" s="1"/>
      <c r="V46669" s="5"/>
    </row>
    <row r="46670">
      <c r="N46670" s="1"/>
      <c r="V46670" s="5"/>
    </row>
    <row r="46671">
      <c r="N46671" s="1"/>
      <c r="V46671" s="5"/>
    </row>
    <row r="46672">
      <c r="N46672" s="1"/>
      <c r="V46672" s="5"/>
    </row>
    <row r="46673">
      <c r="N46673" s="1"/>
      <c r="V46673" s="5"/>
    </row>
    <row r="46674">
      <c r="N46674" s="1"/>
      <c r="V46674" s="5"/>
    </row>
    <row r="46675">
      <c r="N46675" s="1"/>
      <c r="V46675" s="5"/>
    </row>
    <row r="46676">
      <c r="N46676" s="1"/>
      <c r="V46676" s="5"/>
    </row>
    <row r="46677">
      <c r="N46677" s="1"/>
      <c r="V46677" s="5"/>
    </row>
    <row r="46678">
      <c r="N46678" s="1"/>
      <c r="V46678" s="5"/>
    </row>
    <row r="46679">
      <c r="N46679" s="1"/>
      <c r="V46679" s="5"/>
    </row>
    <row r="46680">
      <c r="N46680" s="1"/>
      <c r="V46680" s="5"/>
    </row>
    <row r="46681">
      <c r="N46681" s="1"/>
      <c r="V46681" s="5"/>
    </row>
    <row r="46682">
      <c r="N46682" s="1"/>
      <c r="V46682" s="5"/>
    </row>
    <row r="46683">
      <c r="N46683" s="1"/>
      <c r="V46683" s="5"/>
    </row>
    <row r="46684">
      <c r="N46684" s="1"/>
      <c r="V46684" s="5"/>
    </row>
    <row r="46685">
      <c r="N46685" s="1"/>
      <c r="V46685" s="5"/>
    </row>
    <row r="46686">
      <c r="N46686" s="1"/>
      <c r="V46686" s="5"/>
    </row>
    <row r="46687">
      <c r="N46687" s="1"/>
      <c r="V46687" s="5"/>
    </row>
    <row r="46688">
      <c r="N46688" s="1"/>
      <c r="V46688" s="5"/>
    </row>
    <row r="46689">
      <c r="N46689" s="1"/>
      <c r="V46689" s="5"/>
    </row>
    <row r="46690">
      <c r="N46690" s="1"/>
      <c r="V46690" s="5"/>
    </row>
    <row r="46691">
      <c r="N46691" s="1"/>
      <c r="V46691" s="5"/>
    </row>
    <row r="46692">
      <c r="N46692" s="1"/>
      <c r="V46692" s="5"/>
    </row>
    <row r="46693">
      <c r="N46693" s="1"/>
      <c r="V46693" s="5"/>
    </row>
    <row r="46694">
      <c r="N46694" s="1"/>
      <c r="V46694" s="5"/>
    </row>
    <row r="46695">
      <c r="N46695" s="1"/>
      <c r="V46695" s="5"/>
    </row>
    <row r="46696">
      <c r="N46696" s="1"/>
      <c r="V46696" s="5"/>
    </row>
    <row r="46697">
      <c r="N46697" s="1"/>
      <c r="V46697" s="5"/>
    </row>
    <row r="46698">
      <c r="N46698" s="1"/>
      <c r="V46698" s="5"/>
    </row>
    <row r="46699">
      <c r="N46699" s="1"/>
      <c r="V46699" s="5"/>
    </row>
    <row r="46700">
      <c r="N46700" s="1"/>
      <c r="V46700" s="5"/>
    </row>
    <row r="46701">
      <c r="N46701" s="1"/>
      <c r="V46701" s="5"/>
    </row>
    <row r="46702">
      <c r="N46702" s="1"/>
      <c r="V46702" s="5"/>
    </row>
    <row r="46703">
      <c r="N46703" s="1"/>
      <c r="V46703" s="5"/>
    </row>
    <row r="46704">
      <c r="N46704" s="1"/>
      <c r="V46704" s="5"/>
    </row>
    <row r="46705">
      <c r="N46705" s="1"/>
      <c r="V46705" s="5"/>
    </row>
    <row r="46706">
      <c r="N46706" s="1"/>
      <c r="V46706" s="5"/>
    </row>
    <row r="46707">
      <c r="N46707" s="1"/>
      <c r="V46707" s="5"/>
    </row>
    <row r="46708">
      <c r="N46708" s="1"/>
      <c r="V46708" s="5"/>
    </row>
    <row r="46709">
      <c r="N46709" s="1"/>
      <c r="V46709" s="5"/>
    </row>
    <row r="46710">
      <c r="N46710" s="1"/>
      <c r="V46710" s="5"/>
    </row>
    <row r="46711">
      <c r="N46711" s="1"/>
      <c r="V46711" s="5"/>
    </row>
    <row r="46712">
      <c r="N46712" s="1"/>
      <c r="V46712" s="5"/>
    </row>
    <row r="46713">
      <c r="N46713" s="1"/>
      <c r="V46713" s="5"/>
    </row>
    <row r="46714">
      <c r="N46714" s="1"/>
      <c r="V46714" s="5"/>
    </row>
    <row r="46715">
      <c r="N46715" s="1"/>
      <c r="V46715" s="5"/>
    </row>
    <row r="46716">
      <c r="N46716" s="1"/>
      <c r="V46716" s="5"/>
    </row>
    <row r="46717">
      <c r="N46717" s="1"/>
      <c r="V46717" s="5"/>
    </row>
    <row r="46718">
      <c r="N46718" s="1"/>
      <c r="V46718" s="5"/>
    </row>
    <row r="46719">
      <c r="N46719" s="1"/>
      <c r="V46719" s="5"/>
    </row>
    <row r="46720">
      <c r="N46720" s="1"/>
      <c r="V46720" s="5"/>
    </row>
    <row r="46721">
      <c r="N46721" s="1"/>
      <c r="V46721" s="5"/>
    </row>
    <row r="46722">
      <c r="N46722" s="1"/>
      <c r="V46722" s="5"/>
    </row>
    <row r="46723">
      <c r="N46723" s="1"/>
      <c r="V46723" s="5"/>
    </row>
    <row r="46724">
      <c r="N46724" s="1"/>
      <c r="V46724" s="5"/>
    </row>
    <row r="46725">
      <c r="N46725" s="1"/>
      <c r="V46725" s="5"/>
    </row>
    <row r="46726">
      <c r="N46726" s="1"/>
      <c r="V46726" s="5"/>
    </row>
    <row r="46727">
      <c r="N46727" s="1"/>
      <c r="V46727" s="5"/>
    </row>
    <row r="46728">
      <c r="N46728" s="1"/>
      <c r="V46728" s="5"/>
    </row>
    <row r="46729">
      <c r="N46729" s="1"/>
      <c r="V46729" s="5"/>
    </row>
    <row r="46730">
      <c r="N46730" s="1"/>
      <c r="V46730" s="5"/>
    </row>
    <row r="46731">
      <c r="N46731" s="1"/>
      <c r="V46731" s="5"/>
    </row>
    <row r="46732">
      <c r="N46732" s="1"/>
      <c r="V46732" s="5"/>
    </row>
    <row r="46733">
      <c r="N46733" s="1"/>
      <c r="V46733" s="5"/>
    </row>
    <row r="46734">
      <c r="N46734" s="1"/>
      <c r="V46734" s="5"/>
    </row>
    <row r="46735">
      <c r="N46735" s="1"/>
      <c r="V46735" s="5"/>
    </row>
    <row r="46736">
      <c r="N46736" s="1"/>
      <c r="V46736" s="5"/>
    </row>
    <row r="46737">
      <c r="N46737" s="1"/>
      <c r="V46737" s="5"/>
    </row>
    <row r="46738">
      <c r="N46738" s="1"/>
      <c r="V46738" s="5"/>
    </row>
    <row r="46739">
      <c r="N46739" s="1"/>
      <c r="V46739" s="5"/>
    </row>
    <row r="46740">
      <c r="N46740" s="1"/>
      <c r="V46740" s="5"/>
    </row>
    <row r="46741">
      <c r="N46741" s="1"/>
      <c r="V46741" s="5"/>
    </row>
    <row r="46742">
      <c r="N46742" s="1"/>
      <c r="V46742" s="5"/>
    </row>
    <row r="46743">
      <c r="N46743" s="1"/>
      <c r="V46743" s="5"/>
    </row>
    <row r="46744">
      <c r="N46744" s="1"/>
      <c r="V46744" s="5"/>
    </row>
    <row r="46745">
      <c r="N46745" s="1"/>
      <c r="V46745" s="5"/>
    </row>
    <row r="46746">
      <c r="N46746" s="1"/>
      <c r="V46746" s="5"/>
    </row>
    <row r="46747">
      <c r="N46747" s="1"/>
      <c r="V46747" s="5"/>
    </row>
    <row r="46748">
      <c r="N46748" s="1"/>
      <c r="V46748" s="5"/>
    </row>
    <row r="46749">
      <c r="N46749" s="1"/>
      <c r="V46749" s="5"/>
    </row>
    <row r="46750">
      <c r="N46750" s="1"/>
      <c r="V46750" s="5"/>
    </row>
    <row r="46751">
      <c r="N46751" s="1"/>
      <c r="V46751" s="5"/>
    </row>
    <row r="46752">
      <c r="N46752" s="1"/>
      <c r="V46752" s="5"/>
    </row>
    <row r="46753">
      <c r="N46753" s="1"/>
      <c r="V46753" s="5"/>
    </row>
    <row r="46754">
      <c r="N46754" s="1"/>
      <c r="V46754" s="5"/>
    </row>
    <row r="46755">
      <c r="N46755" s="1"/>
      <c r="V46755" s="5"/>
    </row>
    <row r="46756">
      <c r="N46756" s="1"/>
      <c r="V46756" s="5"/>
    </row>
    <row r="46757">
      <c r="N46757" s="1"/>
      <c r="V46757" s="5"/>
    </row>
    <row r="46758">
      <c r="N46758" s="1"/>
      <c r="V46758" s="5"/>
    </row>
    <row r="46759">
      <c r="N46759" s="1"/>
      <c r="V46759" s="5"/>
    </row>
    <row r="46760">
      <c r="N46760" s="1"/>
      <c r="V46760" s="5"/>
    </row>
    <row r="46761">
      <c r="N46761" s="1"/>
      <c r="V46761" s="5"/>
    </row>
    <row r="46762">
      <c r="N46762" s="1"/>
      <c r="V46762" s="5"/>
    </row>
    <row r="46763">
      <c r="N46763" s="1"/>
      <c r="V46763" s="5"/>
    </row>
    <row r="46764">
      <c r="N46764" s="1"/>
      <c r="V46764" s="5"/>
    </row>
    <row r="46765">
      <c r="N46765" s="1"/>
      <c r="V46765" s="5"/>
    </row>
    <row r="46766">
      <c r="N46766" s="1"/>
      <c r="V46766" s="5"/>
    </row>
    <row r="46767">
      <c r="N46767" s="1"/>
      <c r="V46767" s="5"/>
    </row>
    <row r="46768">
      <c r="N46768" s="1"/>
      <c r="V46768" s="5"/>
    </row>
    <row r="46769">
      <c r="N46769" s="1"/>
      <c r="V46769" s="5"/>
    </row>
    <row r="46770">
      <c r="N46770" s="1"/>
      <c r="V46770" s="5"/>
    </row>
    <row r="46771">
      <c r="N46771" s="1"/>
      <c r="V46771" s="5"/>
    </row>
    <row r="46772">
      <c r="N46772" s="1"/>
      <c r="V46772" s="5"/>
    </row>
    <row r="46773">
      <c r="N46773" s="1"/>
      <c r="V46773" s="5"/>
    </row>
    <row r="46774">
      <c r="N46774" s="1"/>
      <c r="V46774" s="5"/>
    </row>
    <row r="46775">
      <c r="N46775" s="1"/>
      <c r="V46775" s="5"/>
    </row>
    <row r="46776">
      <c r="N46776" s="1"/>
      <c r="V46776" s="5"/>
    </row>
    <row r="46777">
      <c r="N46777" s="1"/>
      <c r="V46777" s="5"/>
    </row>
    <row r="46778">
      <c r="N46778" s="1"/>
      <c r="V46778" s="5"/>
    </row>
    <row r="46779">
      <c r="N46779" s="1"/>
      <c r="V46779" s="5"/>
    </row>
    <row r="46780">
      <c r="N46780" s="1"/>
      <c r="V46780" s="5"/>
    </row>
    <row r="46781">
      <c r="N46781" s="1"/>
      <c r="V46781" s="5"/>
    </row>
    <row r="46782">
      <c r="N46782" s="1"/>
      <c r="V46782" s="5"/>
    </row>
    <row r="46783">
      <c r="N46783" s="1"/>
      <c r="V46783" s="5"/>
    </row>
    <row r="46784">
      <c r="N46784" s="1"/>
      <c r="V46784" s="5"/>
    </row>
    <row r="46785">
      <c r="N46785" s="1"/>
      <c r="V46785" s="5"/>
    </row>
    <row r="46786">
      <c r="N46786" s="1"/>
      <c r="V46786" s="5"/>
    </row>
    <row r="46787">
      <c r="N46787" s="1"/>
      <c r="V46787" s="5"/>
    </row>
    <row r="46788">
      <c r="N46788" s="1"/>
      <c r="V46788" s="5"/>
    </row>
    <row r="46789">
      <c r="N46789" s="1"/>
      <c r="V46789" s="5"/>
    </row>
    <row r="46790">
      <c r="N46790" s="1"/>
      <c r="V46790" s="5"/>
    </row>
    <row r="46791">
      <c r="N46791" s="1"/>
      <c r="V46791" s="5"/>
    </row>
    <row r="46792">
      <c r="N46792" s="1"/>
      <c r="V46792" s="5"/>
    </row>
    <row r="46793">
      <c r="N46793" s="1"/>
      <c r="V46793" s="5"/>
    </row>
    <row r="46794">
      <c r="N46794" s="1"/>
      <c r="V46794" s="5"/>
    </row>
    <row r="46795">
      <c r="N46795" s="1"/>
      <c r="V46795" s="5"/>
    </row>
    <row r="46796">
      <c r="N46796" s="1"/>
      <c r="V46796" s="5"/>
    </row>
    <row r="46797">
      <c r="N46797" s="1"/>
      <c r="V46797" s="5"/>
    </row>
    <row r="46798">
      <c r="N46798" s="1"/>
      <c r="V46798" s="5"/>
    </row>
    <row r="46799">
      <c r="N46799" s="1"/>
      <c r="V46799" s="5"/>
    </row>
    <row r="46800">
      <c r="N46800" s="1"/>
      <c r="V46800" s="5"/>
    </row>
    <row r="46801">
      <c r="N46801" s="1"/>
      <c r="V46801" s="5"/>
    </row>
    <row r="46802">
      <c r="N46802" s="1"/>
      <c r="V46802" s="5"/>
    </row>
    <row r="46803">
      <c r="N46803" s="1"/>
      <c r="V46803" s="5"/>
    </row>
    <row r="46804">
      <c r="N46804" s="1"/>
      <c r="V46804" s="5"/>
    </row>
    <row r="46805">
      <c r="N46805" s="1"/>
      <c r="V46805" s="5"/>
    </row>
    <row r="46806">
      <c r="N46806" s="1"/>
      <c r="V46806" s="5"/>
    </row>
    <row r="46807">
      <c r="N46807" s="1"/>
      <c r="V46807" s="5"/>
    </row>
    <row r="46808">
      <c r="N46808" s="1"/>
      <c r="V46808" s="5"/>
    </row>
    <row r="46809">
      <c r="N46809" s="1"/>
      <c r="V46809" s="5"/>
    </row>
    <row r="46810">
      <c r="N46810" s="1"/>
      <c r="V46810" s="5"/>
    </row>
    <row r="46811">
      <c r="N46811" s="1"/>
      <c r="V46811" s="5"/>
    </row>
    <row r="46812">
      <c r="N46812" s="1"/>
      <c r="V46812" s="5"/>
    </row>
    <row r="46813">
      <c r="N46813" s="1"/>
      <c r="V46813" s="5"/>
    </row>
    <row r="46814">
      <c r="N46814" s="1"/>
      <c r="V46814" s="5"/>
    </row>
    <row r="46815">
      <c r="N46815" s="1"/>
      <c r="V46815" s="5"/>
    </row>
    <row r="46816">
      <c r="N46816" s="1"/>
      <c r="V46816" s="5"/>
    </row>
    <row r="46817">
      <c r="N46817" s="1"/>
      <c r="V46817" s="5"/>
    </row>
    <row r="46818">
      <c r="N46818" s="1"/>
      <c r="V46818" s="5"/>
    </row>
    <row r="46819">
      <c r="N46819" s="1"/>
      <c r="V46819" s="5"/>
    </row>
    <row r="46820">
      <c r="N46820" s="1"/>
      <c r="V46820" s="5"/>
    </row>
    <row r="46821">
      <c r="N46821" s="1"/>
      <c r="V46821" s="5"/>
    </row>
    <row r="46822">
      <c r="N46822" s="1"/>
      <c r="V46822" s="5"/>
    </row>
    <row r="46823">
      <c r="N46823" s="1"/>
      <c r="V46823" s="5"/>
    </row>
    <row r="46824">
      <c r="N46824" s="1"/>
      <c r="V46824" s="5"/>
    </row>
    <row r="46825">
      <c r="N46825" s="1"/>
      <c r="V46825" s="5"/>
    </row>
    <row r="46826">
      <c r="N46826" s="1"/>
      <c r="V46826" s="5"/>
    </row>
    <row r="46827">
      <c r="N46827" s="1"/>
      <c r="V46827" s="5"/>
    </row>
    <row r="46828">
      <c r="N46828" s="1"/>
      <c r="V46828" s="5"/>
    </row>
    <row r="46829">
      <c r="N46829" s="1"/>
      <c r="V46829" s="5"/>
    </row>
    <row r="46830">
      <c r="N46830" s="1"/>
      <c r="V46830" s="5"/>
    </row>
    <row r="46831">
      <c r="N46831" s="1"/>
      <c r="V46831" s="5"/>
    </row>
    <row r="46832">
      <c r="N46832" s="1"/>
      <c r="V46832" s="5"/>
    </row>
    <row r="46833">
      <c r="N46833" s="1"/>
      <c r="V46833" s="5"/>
    </row>
    <row r="46834">
      <c r="N46834" s="1"/>
      <c r="V46834" s="5"/>
    </row>
    <row r="46835">
      <c r="N46835" s="1"/>
      <c r="V46835" s="5"/>
    </row>
    <row r="46836">
      <c r="N46836" s="1"/>
      <c r="V46836" s="5"/>
    </row>
    <row r="46837">
      <c r="N46837" s="1"/>
      <c r="V46837" s="5"/>
    </row>
    <row r="46838">
      <c r="N46838" s="1"/>
      <c r="V46838" s="5"/>
    </row>
    <row r="46839">
      <c r="N46839" s="1"/>
      <c r="V46839" s="5"/>
    </row>
    <row r="46840">
      <c r="N46840" s="1"/>
      <c r="V46840" s="5"/>
    </row>
    <row r="46841">
      <c r="N46841" s="1"/>
      <c r="V46841" s="5"/>
    </row>
    <row r="46842">
      <c r="N46842" s="1"/>
      <c r="V46842" s="5"/>
    </row>
    <row r="46843">
      <c r="N46843" s="1"/>
      <c r="V46843" s="5"/>
    </row>
    <row r="46844">
      <c r="N46844" s="1"/>
      <c r="V46844" s="5"/>
    </row>
    <row r="46845">
      <c r="N46845" s="1"/>
      <c r="V46845" s="5"/>
    </row>
    <row r="46846">
      <c r="N46846" s="1"/>
      <c r="V46846" s="5"/>
    </row>
    <row r="46847">
      <c r="N46847" s="1"/>
      <c r="V46847" s="5"/>
    </row>
    <row r="46848">
      <c r="N46848" s="1"/>
      <c r="V46848" s="5"/>
    </row>
    <row r="46849">
      <c r="N46849" s="1"/>
      <c r="V46849" s="5"/>
    </row>
    <row r="46850">
      <c r="N46850" s="1"/>
      <c r="V46850" s="5"/>
    </row>
    <row r="46851">
      <c r="N46851" s="1"/>
      <c r="V46851" s="5"/>
    </row>
    <row r="46852">
      <c r="N46852" s="1"/>
      <c r="V46852" s="5"/>
    </row>
    <row r="46853">
      <c r="N46853" s="1"/>
      <c r="V46853" s="5"/>
    </row>
    <row r="46854">
      <c r="N46854" s="1"/>
      <c r="V46854" s="5"/>
    </row>
    <row r="46855">
      <c r="N46855" s="1"/>
      <c r="V46855" s="5"/>
    </row>
    <row r="46856">
      <c r="N46856" s="1"/>
      <c r="V46856" s="5"/>
    </row>
    <row r="46857">
      <c r="N46857" s="1"/>
      <c r="V46857" s="5"/>
    </row>
    <row r="46858">
      <c r="N46858" s="1"/>
      <c r="V46858" s="5"/>
    </row>
    <row r="46859">
      <c r="N46859" s="1"/>
      <c r="V46859" s="5"/>
    </row>
    <row r="46860">
      <c r="N46860" s="1"/>
      <c r="V46860" s="5"/>
    </row>
    <row r="46861">
      <c r="N46861" s="1"/>
      <c r="V46861" s="5"/>
    </row>
    <row r="46862">
      <c r="N46862" s="1"/>
      <c r="V46862" s="5"/>
    </row>
    <row r="46863">
      <c r="N46863" s="1"/>
      <c r="V46863" s="5"/>
    </row>
    <row r="46864">
      <c r="N46864" s="1"/>
      <c r="V46864" s="5"/>
    </row>
    <row r="46865">
      <c r="N46865" s="1"/>
      <c r="V46865" s="5"/>
    </row>
    <row r="46866">
      <c r="N46866" s="1"/>
      <c r="V46866" s="5"/>
    </row>
    <row r="46867">
      <c r="N46867" s="1"/>
      <c r="V46867" s="5"/>
    </row>
    <row r="46868">
      <c r="N46868" s="1"/>
      <c r="V46868" s="5"/>
    </row>
    <row r="46869">
      <c r="N46869" s="1"/>
      <c r="V46869" s="5"/>
    </row>
    <row r="46870">
      <c r="N46870" s="1"/>
      <c r="V46870" s="5"/>
    </row>
    <row r="46871">
      <c r="N46871" s="1"/>
      <c r="V46871" s="5"/>
    </row>
    <row r="46872">
      <c r="N46872" s="1"/>
      <c r="V46872" s="5"/>
    </row>
    <row r="46873">
      <c r="N46873" s="1"/>
      <c r="V46873" s="5"/>
    </row>
    <row r="46874">
      <c r="N46874" s="1"/>
      <c r="V46874" s="5"/>
    </row>
    <row r="46875">
      <c r="N46875" s="1"/>
      <c r="V46875" s="5"/>
    </row>
    <row r="46876">
      <c r="N46876" s="1"/>
      <c r="V46876" s="5"/>
    </row>
    <row r="46877">
      <c r="N46877" s="1"/>
      <c r="V46877" s="5"/>
    </row>
    <row r="46878">
      <c r="N46878" s="1"/>
      <c r="V46878" s="5"/>
    </row>
    <row r="46879">
      <c r="N46879" s="1"/>
      <c r="V46879" s="5"/>
    </row>
    <row r="46880">
      <c r="N46880" s="1"/>
      <c r="V46880" s="5"/>
    </row>
    <row r="46881">
      <c r="N46881" s="1"/>
      <c r="V46881" s="5"/>
    </row>
    <row r="46882">
      <c r="N46882" s="1"/>
      <c r="V46882" s="5"/>
    </row>
    <row r="46883">
      <c r="N46883" s="1"/>
      <c r="V46883" s="5"/>
    </row>
    <row r="46884">
      <c r="N46884" s="1"/>
      <c r="V46884" s="5"/>
    </row>
    <row r="46885">
      <c r="N46885" s="1"/>
      <c r="V46885" s="5"/>
    </row>
    <row r="46886">
      <c r="N46886" s="1"/>
      <c r="V46886" s="5"/>
    </row>
    <row r="46887">
      <c r="N46887" s="1"/>
      <c r="V46887" s="5"/>
    </row>
    <row r="46888">
      <c r="N46888" s="1"/>
      <c r="V46888" s="5"/>
    </row>
    <row r="46889">
      <c r="N46889" s="1"/>
      <c r="V46889" s="5"/>
    </row>
    <row r="46890">
      <c r="N46890" s="1"/>
      <c r="V46890" s="5"/>
    </row>
    <row r="46891">
      <c r="N46891" s="1"/>
      <c r="V46891" s="5"/>
    </row>
    <row r="46892">
      <c r="N46892" s="1"/>
      <c r="V46892" s="5"/>
    </row>
    <row r="46893">
      <c r="N46893" s="1"/>
      <c r="V46893" s="5"/>
    </row>
    <row r="46894">
      <c r="N46894" s="1"/>
      <c r="V46894" s="5"/>
    </row>
    <row r="46895">
      <c r="N46895" s="1"/>
      <c r="V46895" s="5"/>
    </row>
    <row r="46896">
      <c r="N46896" s="1"/>
      <c r="V46896" s="5"/>
    </row>
    <row r="46897">
      <c r="N46897" s="1"/>
      <c r="V46897" s="5"/>
    </row>
    <row r="46898">
      <c r="N46898" s="1"/>
      <c r="V46898" s="5"/>
    </row>
    <row r="46899">
      <c r="N46899" s="1"/>
      <c r="V46899" s="5"/>
    </row>
    <row r="46900">
      <c r="N46900" s="1"/>
      <c r="V46900" s="5"/>
    </row>
    <row r="46901">
      <c r="N46901" s="1"/>
      <c r="V46901" s="5"/>
    </row>
    <row r="46902">
      <c r="N46902" s="1"/>
      <c r="V46902" s="5"/>
    </row>
    <row r="46903">
      <c r="N46903" s="1"/>
      <c r="V46903" s="5"/>
    </row>
    <row r="46904">
      <c r="N46904" s="1"/>
      <c r="V46904" s="5"/>
    </row>
    <row r="46905">
      <c r="N46905" s="1"/>
      <c r="V46905" s="5"/>
    </row>
    <row r="46906">
      <c r="N46906" s="1"/>
      <c r="V46906" s="5"/>
    </row>
    <row r="46907">
      <c r="N46907" s="1"/>
      <c r="V46907" s="5"/>
    </row>
    <row r="46908">
      <c r="N46908" s="1"/>
      <c r="V46908" s="5"/>
    </row>
    <row r="46909">
      <c r="N46909" s="1"/>
      <c r="V46909" s="5"/>
    </row>
    <row r="46910">
      <c r="N46910" s="1"/>
      <c r="V46910" s="5"/>
    </row>
    <row r="46911">
      <c r="N46911" s="1"/>
      <c r="V46911" s="5"/>
    </row>
    <row r="46912">
      <c r="N46912" s="1"/>
      <c r="V46912" s="5"/>
    </row>
    <row r="46913">
      <c r="N46913" s="1"/>
      <c r="V46913" s="5"/>
    </row>
    <row r="46914">
      <c r="N46914" s="1"/>
      <c r="V46914" s="5"/>
    </row>
    <row r="46915">
      <c r="N46915" s="1"/>
      <c r="V46915" s="5"/>
    </row>
    <row r="46916">
      <c r="N46916" s="1"/>
      <c r="V46916" s="5"/>
    </row>
    <row r="46917">
      <c r="N46917" s="1"/>
      <c r="V46917" s="5"/>
    </row>
    <row r="46918">
      <c r="N46918" s="1"/>
      <c r="V46918" s="5"/>
    </row>
    <row r="46919">
      <c r="N46919" s="1"/>
      <c r="V46919" s="5"/>
    </row>
    <row r="46920">
      <c r="N46920" s="1"/>
      <c r="V46920" s="5"/>
    </row>
    <row r="46921">
      <c r="N46921" s="1"/>
      <c r="V46921" s="5"/>
    </row>
    <row r="46922">
      <c r="N46922" s="1"/>
      <c r="V46922" s="5"/>
    </row>
    <row r="46923">
      <c r="N46923" s="1"/>
      <c r="V46923" s="5"/>
    </row>
    <row r="46924">
      <c r="N46924" s="1"/>
      <c r="V46924" s="5"/>
    </row>
    <row r="46925">
      <c r="N46925" s="1"/>
      <c r="V46925" s="5"/>
    </row>
    <row r="46926">
      <c r="N46926" s="1"/>
      <c r="V46926" s="5"/>
    </row>
    <row r="46927">
      <c r="N46927" s="1"/>
      <c r="V46927" s="5"/>
    </row>
    <row r="46928">
      <c r="N46928" s="1"/>
      <c r="V46928" s="5"/>
    </row>
    <row r="46929">
      <c r="N46929" s="1"/>
      <c r="V46929" s="5"/>
    </row>
    <row r="46930">
      <c r="N46930" s="1"/>
      <c r="V46930" s="5"/>
    </row>
    <row r="46931">
      <c r="N46931" s="1"/>
      <c r="V46931" s="5"/>
    </row>
    <row r="46932">
      <c r="N46932" s="1"/>
      <c r="V46932" s="5"/>
    </row>
    <row r="46933">
      <c r="N46933" s="1"/>
      <c r="V46933" s="5"/>
    </row>
    <row r="46934">
      <c r="N46934" s="1"/>
      <c r="V46934" s="5"/>
    </row>
    <row r="46935">
      <c r="N46935" s="1"/>
      <c r="V46935" s="5"/>
    </row>
    <row r="46936">
      <c r="N46936" s="1"/>
      <c r="V46936" s="5"/>
    </row>
    <row r="46937">
      <c r="N46937" s="1"/>
      <c r="V46937" s="5"/>
    </row>
    <row r="46938">
      <c r="N46938" s="1"/>
      <c r="V46938" s="5"/>
    </row>
    <row r="46939">
      <c r="N46939" s="1"/>
      <c r="V46939" s="5"/>
    </row>
    <row r="46940">
      <c r="N46940" s="1"/>
      <c r="V46940" s="5"/>
    </row>
    <row r="46941">
      <c r="N46941" s="1"/>
      <c r="V46941" s="5"/>
    </row>
    <row r="46942">
      <c r="N46942" s="1"/>
      <c r="V46942" s="5"/>
    </row>
    <row r="46943">
      <c r="N46943" s="1"/>
      <c r="V46943" s="5"/>
    </row>
    <row r="46944">
      <c r="N46944" s="1"/>
      <c r="V46944" s="5"/>
    </row>
    <row r="46945">
      <c r="N46945" s="1"/>
      <c r="V46945" s="5"/>
    </row>
    <row r="46946">
      <c r="N46946" s="1"/>
      <c r="V46946" s="5"/>
    </row>
    <row r="46947">
      <c r="N46947" s="1"/>
      <c r="V46947" s="5"/>
    </row>
    <row r="46948">
      <c r="N46948" s="1"/>
      <c r="V46948" s="5"/>
    </row>
    <row r="46949">
      <c r="N46949" s="1"/>
      <c r="V46949" s="5"/>
    </row>
    <row r="46950">
      <c r="N46950" s="1"/>
      <c r="V46950" s="5"/>
    </row>
    <row r="46951">
      <c r="N46951" s="1"/>
      <c r="V46951" s="5"/>
    </row>
    <row r="46952">
      <c r="N46952" s="1"/>
      <c r="V46952" s="5"/>
    </row>
    <row r="46953">
      <c r="N46953" s="1"/>
      <c r="V46953" s="5"/>
    </row>
    <row r="46954">
      <c r="N46954" s="1"/>
      <c r="V46954" s="5"/>
    </row>
    <row r="46955">
      <c r="N46955" s="1"/>
      <c r="V46955" s="5"/>
    </row>
    <row r="46956">
      <c r="N46956" s="1"/>
      <c r="V46956" s="5"/>
    </row>
    <row r="46957">
      <c r="N46957" s="1"/>
      <c r="V46957" s="5"/>
    </row>
    <row r="46958">
      <c r="N46958" s="1"/>
      <c r="V46958" s="5"/>
    </row>
    <row r="46959">
      <c r="N46959" s="1"/>
      <c r="V46959" s="5"/>
    </row>
    <row r="46960">
      <c r="N46960" s="1"/>
      <c r="V46960" s="5"/>
    </row>
    <row r="46961">
      <c r="N46961" s="1"/>
      <c r="V46961" s="5"/>
    </row>
    <row r="46962">
      <c r="N46962" s="1"/>
      <c r="V46962" s="5"/>
    </row>
    <row r="46963">
      <c r="N46963" s="1"/>
      <c r="V46963" s="5"/>
    </row>
    <row r="46964">
      <c r="N46964" s="1"/>
      <c r="V46964" s="5"/>
    </row>
    <row r="46965">
      <c r="N46965" s="1"/>
      <c r="V46965" s="5"/>
    </row>
    <row r="46966">
      <c r="N46966" s="1"/>
      <c r="V46966" s="5"/>
    </row>
    <row r="46967">
      <c r="N46967" s="1"/>
      <c r="V46967" s="5"/>
    </row>
    <row r="46968">
      <c r="N46968" s="1"/>
      <c r="V46968" s="5"/>
    </row>
    <row r="46969">
      <c r="N46969" s="1"/>
      <c r="V46969" s="5"/>
    </row>
    <row r="46970">
      <c r="N46970" s="1"/>
      <c r="V46970" s="5"/>
    </row>
    <row r="46971">
      <c r="N46971" s="1"/>
      <c r="V46971" s="5"/>
    </row>
    <row r="46972">
      <c r="N46972" s="1"/>
      <c r="V46972" s="5"/>
    </row>
    <row r="46973">
      <c r="N46973" s="1"/>
      <c r="V46973" s="5"/>
    </row>
    <row r="46974">
      <c r="N46974" s="1"/>
      <c r="V46974" s="5"/>
    </row>
    <row r="46975">
      <c r="N46975" s="1"/>
      <c r="V46975" s="5"/>
    </row>
    <row r="46976">
      <c r="N46976" s="1"/>
      <c r="V46976" s="5"/>
    </row>
    <row r="46977">
      <c r="N46977" s="1"/>
      <c r="V46977" s="5"/>
    </row>
    <row r="46978">
      <c r="N46978" s="1"/>
      <c r="V46978" s="5"/>
    </row>
    <row r="46979">
      <c r="N46979" s="1"/>
      <c r="V46979" s="5"/>
    </row>
    <row r="46980">
      <c r="N46980" s="1"/>
      <c r="V46980" s="5"/>
    </row>
    <row r="46981">
      <c r="N46981" s="1"/>
      <c r="V46981" s="5"/>
    </row>
    <row r="46982">
      <c r="N46982" s="1"/>
      <c r="V46982" s="5"/>
    </row>
    <row r="46983">
      <c r="N46983" s="1"/>
      <c r="V46983" s="5"/>
    </row>
    <row r="46984">
      <c r="N46984" s="1"/>
      <c r="V46984" s="5"/>
    </row>
    <row r="46985">
      <c r="N46985" s="1"/>
      <c r="V46985" s="5"/>
    </row>
    <row r="46986">
      <c r="N46986" s="1"/>
      <c r="V46986" s="5"/>
    </row>
    <row r="46987">
      <c r="N46987" s="1"/>
      <c r="V46987" s="5"/>
    </row>
    <row r="46988">
      <c r="N46988" s="1"/>
      <c r="V46988" s="5"/>
    </row>
    <row r="46989">
      <c r="N46989" s="1"/>
      <c r="V46989" s="5"/>
    </row>
    <row r="46990">
      <c r="N46990" s="1"/>
      <c r="V46990" s="5"/>
    </row>
    <row r="46991">
      <c r="N46991" s="1"/>
      <c r="V46991" s="5"/>
    </row>
    <row r="46992">
      <c r="N46992" s="1"/>
      <c r="V46992" s="5"/>
    </row>
    <row r="46993">
      <c r="N46993" s="1"/>
      <c r="V46993" s="5"/>
    </row>
    <row r="46994">
      <c r="N46994" s="1"/>
      <c r="V46994" s="5"/>
    </row>
    <row r="46995">
      <c r="N46995" s="1"/>
      <c r="V46995" s="5"/>
    </row>
    <row r="46996">
      <c r="N46996" s="1"/>
      <c r="V46996" s="5"/>
    </row>
    <row r="46997">
      <c r="N46997" s="1"/>
      <c r="V46997" s="5"/>
    </row>
    <row r="46998">
      <c r="N46998" s="1"/>
      <c r="V46998" s="5"/>
    </row>
    <row r="46999">
      <c r="N46999" s="1"/>
      <c r="V46999" s="5"/>
    </row>
    <row r="47000">
      <c r="N47000" s="1"/>
      <c r="V47000" s="5"/>
    </row>
    <row r="47001">
      <c r="N47001" s="1"/>
      <c r="V47001" s="5"/>
    </row>
    <row r="47002">
      <c r="N47002" s="1"/>
      <c r="V47002" s="5"/>
    </row>
    <row r="47003">
      <c r="N47003" s="1"/>
      <c r="V47003" s="5"/>
    </row>
    <row r="47004">
      <c r="N47004" s="1"/>
      <c r="V47004" s="5"/>
    </row>
    <row r="47005">
      <c r="N47005" s="1"/>
      <c r="V47005" s="5"/>
    </row>
    <row r="47006">
      <c r="N47006" s="1"/>
      <c r="V47006" s="5"/>
    </row>
    <row r="47007">
      <c r="N47007" s="1"/>
      <c r="V47007" s="5"/>
    </row>
    <row r="47008">
      <c r="N47008" s="1"/>
      <c r="V47008" s="5"/>
    </row>
    <row r="47009">
      <c r="N47009" s="1"/>
      <c r="V47009" s="5"/>
    </row>
    <row r="47010">
      <c r="N47010" s="1"/>
      <c r="V47010" s="5"/>
    </row>
    <row r="47011">
      <c r="N47011" s="1"/>
      <c r="V47011" s="5"/>
    </row>
    <row r="47012">
      <c r="N47012" s="1"/>
      <c r="V47012" s="5"/>
    </row>
    <row r="47013">
      <c r="N47013" s="1"/>
      <c r="V47013" s="5"/>
    </row>
    <row r="47014">
      <c r="N47014" s="1"/>
      <c r="V47014" s="5"/>
    </row>
    <row r="47015">
      <c r="N47015" s="1"/>
      <c r="V47015" s="5"/>
    </row>
    <row r="47016">
      <c r="N47016" s="1"/>
      <c r="V47016" s="5"/>
    </row>
    <row r="47017">
      <c r="N47017" s="1"/>
      <c r="V47017" s="5"/>
    </row>
    <row r="47018">
      <c r="N47018" s="1"/>
      <c r="V47018" s="5"/>
    </row>
    <row r="47019">
      <c r="N47019" s="1"/>
      <c r="V47019" s="5"/>
    </row>
    <row r="47020">
      <c r="N47020" s="1"/>
      <c r="V47020" s="5"/>
    </row>
    <row r="47021">
      <c r="N47021" s="1"/>
      <c r="V47021" s="5"/>
    </row>
    <row r="47022">
      <c r="N47022" s="1"/>
      <c r="V47022" s="5"/>
    </row>
    <row r="47023">
      <c r="N47023" s="1"/>
      <c r="V47023" s="5"/>
    </row>
    <row r="47024">
      <c r="N47024" s="1"/>
      <c r="V47024" s="5"/>
    </row>
    <row r="47025">
      <c r="N47025" s="1"/>
      <c r="V47025" s="5"/>
    </row>
    <row r="47026">
      <c r="N47026" s="1"/>
      <c r="V47026" s="5"/>
    </row>
    <row r="47027">
      <c r="N47027" s="1"/>
      <c r="V47027" s="5"/>
    </row>
    <row r="47028">
      <c r="N47028" s="1"/>
      <c r="V47028" s="5"/>
    </row>
    <row r="47029">
      <c r="N47029" s="1"/>
      <c r="V47029" s="5"/>
    </row>
    <row r="47030">
      <c r="N47030" s="1"/>
      <c r="V47030" s="5"/>
    </row>
    <row r="47031">
      <c r="N47031" s="1"/>
      <c r="V47031" s="5"/>
    </row>
    <row r="47032">
      <c r="N47032" s="1"/>
      <c r="V47032" s="5"/>
    </row>
    <row r="47033">
      <c r="N47033" s="1"/>
      <c r="V47033" s="5"/>
    </row>
    <row r="47034">
      <c r="N47034" s="1"/>
      <c r="V47034" s="5"/>
    </row>
    <row r="47035">
      <c r="N47035" s="1"/>
      <c r="V47035" s="5"/>
    </row>
    <row r="47036">
      <c r="N47036" s="1"/>
      <c r="V47036" s="5"/>
    </row>
    <row r="47037">
      <c r="N47037" s="1"/>
      <c r="V47037" s="5"/>
    </row>
    <row r="47038">
      <c r="N47038" s="1"/>
      <c r="V47038" s="5"/>
    </row>
    <row r="47039">
      <c r="N47039" s="1"/>
      <c r="V47039" s="5"/>
    </row>
    <row r="47040">
      <c r="N47040" s="1"/>
      <c r="V47040" s="5"/>
    </row>
    <row r="47041">
      <c r="N47041" s="1"/>
      <c r="V47041" s="5"/>
    </row>
    <row r="47042">
      <c r="N47042" s="1"/>
      <c r="V47042" s="5"/>
    </row>
    <row r="47043">
      <c r="N47043" s="1"/>
      <c r="V47043" s="5"/>
    </row>
    <row r="47044">
      <c r="N47044" s="1"/>
      <c r="V47044" s="5"/>
    </row>
    <row r="47045">
      <c r="N47045" s="1"/>
      <c r="V47045" s="5"/>
    </row>
    <row r="47046">
      <c r="N47046" s="1"/>
      <c r="V47046" s="5"/>
    </row>
    <row r="47047">
      <c r="N47047" s="1"/>
      <c r="V47047" s="5"/>
    </row>
    <row r="47048">
      <c r="N47048" s="1"/>
      <c r="V47048" s="5"/>
    </row>
    <row r="47049">
      <c r="N47049" s="1"/>
      <c r="V47049" s="5"/>
    </row>
    <row r="47050">
      <c r="N47050" s="1"/>
      <c r="V47050" s="5"/>
    </row>
    <row r="47051">
      <c r="N47051" s="1"/>
      <c r="V47051" s="5"/>
    </row>
    <row r="47052">
      <c r="N47052" s="1"/>
      <c r="V47052" s="5"/>
    </row>
    <row r="47053">
      <c r="N47053" s="1"/>
      <c r="V47053" s="5"/>
    </row>
    <row r="47054">
      <c r="N47054" s="1"/>
      <c r="V47054" s="5"/>
    </row>
    <row r="47055">
      <c r="N47055" s="1"/>
      <c r="V47055" s="5"/>
    </row>
    <row r="47056">
      <c r="N47056" s="1"/>
      <c r="V47056" s="5"/>
    </row>
    <row r="47057">
      <c r="N47057" s="1"/>
      <c r="V47057" s="5"/>
    </row>
    <row r="47058">
      <c r="N47058" s="1"/>
      <c r="V47058" s="5"/>
    </row>
    <row r="47059">
      <c r="N47059" s="1"/>
      <c r="V47059" s="5"/>
    </row>
    <row r="47060">
      <c r="N47060" s="1"/>
      <c r="V47060" s="5"/>
    </row>
    <row r="47061">
      <c r="N47061" s="1"/>
      <c r="V47061" s="5"/>
    </row>
    <row r="47062">
      <c r="N47062" s="1"/>
      <c r="V47062" s="5"/>
    </row>
    <row r="47063">
      <c r="N47063" s="1"/>
      <c r="V47063" s="5"/>
    </row>
    <row r="47064">
      <c r="N47064" s="1"/>
      <c r="V47064" s="5"/>
    </row>
    <row r="47065">
      <c r="N47065" s="1"/>
      <c r="V47065" s="5"/>
    </row>
    <row r="47066">
      <c r="N47066" s="1"/>
      <c r="V47066" s="5"/>
    </row>
    <row r="47067">
      <c r="N47067" s="1"/>
      <c r="V47067" s="5"/>
    </row>
    <row r="47068">
      <c r="N47068" s="1"/>
      <c r="V47068" s="5"/>
    </row>
    <row r="47069">
      <c r="N47069" s="1"/>
      <c r="V47069" s="5"/>
    </row>
    <row r="47070">
      <c r="N47070" s="1"/>
      <c r="V47070" s="5"/>
    </row>
    <row r="47071">
      <c r="N47071" s="1"/>
      <c r="V47071" s="5"/>
    </row>
    <row r="47072">
      <c r="N47072" s="1"/>
      <c r="V47072" s="5"/>
    </row>
    <row r="47073">
      <c r="N47073" s="1"/>
      <c r="V47073" s="5"/>
    </row>
    <row r="47074">
      <c r="N47074" s="1"/>
      <c r="V47074" s="5"/>
    </row>
    <row r="47075">
      <c r="N47075" s="1"/>
      <c r="V47075" s="5"/>
    </row>
    <row r="47076">
      <c r="N47076" s="1"/>
      <c r="V47076" s="5"/>
    </row>
    <row r="47077">
      <c r="N47077" s="1"/>
      <c r="V47077" s="5"/>
    </row>
    <row r="47078">
      <c r="N47078" s="1"/>
      <c r="V47078" s="5"/>
    </row>
    <row r="47079">
      <c r="N47079" s="1"/>
      <c r="V47079" s="5"/>
    </row>
    <row r="47080">
      <c r="N47080" s="1"/>
      <c r="V47080" s="5"/>
    </row>
    <row r="47081">
      <c r="N47081" s="1"/>
      <c r="V47081" s="5"/>
    </row>
    <row r="47082">
      <c r="N47082" s="1"/>
      <c r="V47082" s="5"/>
    </row>
    <row r="47083">
      <c r="N47083" s="1"/>
      <c r="V47083" s="5"/>
    </row>
    <row r="47084">
      <c r="N47084" s="1"/>
      <c r="V47084" s="5"/>
    </row>
    <row r="47085">
      <c r="N47085" s="1"/>
      <c r="V47085" s="5"/>
    </row>
    <row r="47086">
      <c r="N47086" s="1"/>
      <c r="V47086" s="5"/>
    </row>
    <row r="47087">
      <c r="N47087" s="1"/>
      <c r="V47087" s="5"/>
    </row>
    <row r="47088">
      <c r="N47088" s="1"/>
      <c r="V47088" s="5"/>
    </row>
    <row r="47089">
      <c r="N47089" s="1"/>
      <c r="V47089" s="5"/>
    </row>
    <row r="47090">
      <c r="N47090" s="1"/>
      <c r="V47090" s="5"/>
    </row>
    <row r="47091">
      <c r="N47091" s="1"/>
      <c r="V47091" s="5"/>
    </row>
    <row r="47092">
      <c r="N47092" s="1"/>
      <c r="V47092" s="5"/>
    </row>
    <row r="47093">
      <c r="N47093" s="1"/>
      <c r="V47093" s="5"/>
    </row>
    <row r="47094">
      <c r="N47094" s="1"/>
      <c r="V47094" s="5"/>
    </row>
    <row r="47095">
      <c r="N47095" s="1"/>
      <c r="V47095" s="5"/>
    </row>
    <row r="47096">
      <c r="N47096" s="1"/>
      <c r="V47096" s="5"/>
    </row>
    <row r="47097">
      <c r="N47097" s="1"/>
      <c r="V47097" s="5"/>
    </row>
    <row r="47098">
      <c r="N47098" s="1"/>
      <c r="V47098" s="5"/>
    </row>
    <row r="47099">
      <c r="N47099" s="1"/>
      <c r="V47099" s="5"/>
    </row>
    <row r="47100">
      <c r="N47100" s="1"/>
      <c r="V47100" s="5"/>
    </row>
    <row r="47101">
      <c r="N47101" s="1"/>
      <c r="V47101" s="5"/>
    </row>
    <row r="47102">
      <c r="N47102" s="1"/>
      <c r="V47102" s="5"/>
    </row>
    <row r="47103">
      <c r="N47103" s="1"/>
      <c r="V47103" s="5"/>
    </row>
    <row r="47104">
      <c r="N47104" s="1"/>
      <c r="V47104" s="5"/>
    </row>
    <row r="47105">
      <c r="N47105" s="1"/>
      <c r="V47105" s="5"/>
    </row>
    <row r="47106">
      <c r="N47106" s="1"/>
      <c r="V47106" s="5"/>
    </row>
    <row r="47107">
      <c r="N47107" s="1"/>
      <c r="V47107" s="5"/>
    </row>
    <row r="47108">
      <c r="N47108" s="1"/>
      <c r="V47108" s="5"/>
    </row>
    <row r="47109">
      <c r="N47109" s="1"/>
      <c r="V47109" s="5"/>
    </row>
    <row r="47110">
      <c r="N47110" s="1"/>
      <c r="V47110" s="5"/>
    </row>
    <row r="47111">
      <c r="N47111" s="1"/>
      <c r="V47111" s="5"/>
    </row>
    <row r="47112">
      <c r="N47112" s="1"/>
      <c r="V47112" s="5"/>
    </row>
    <row r="47113">
      <c r="N47113" s="1"/>
      <c r="V47113" s="5"/>
    </row>
    <row r="47114">
      <c r="N47114" s="1"/>
      <c r="V47114" s="5"/>
    </row>
    <row r="47115">
      <c r="N47115" s="1"/>
      <c r="V47115" s="5"/>
    </row>
    <row r="47116">
      <c r="N47116" s="1"/>
      <c r="V47116" s="5"/>
    </row>
    <row r="47117">
      <c r="N47117" s="1"/>
      <c r="V47117" s="5"/>
    </row>
    <row r="47118">
      <c r="N47118" s="1"/>
      <c r="V47118" s="5"/>
    </row>
    <row r="47119">
      <c r="N47119" s="1"/>
      <c r="V47119" s="5"/>
    </row>
    <row r="47120">
      <c r="N47120" s="1"/>
      <c r="V47120" s="5"/>
    </row>
    <row r="47121">
      <c r="N47121" s="1"/>
      <c r="V47121" s="5"/>
    </row>
    <row r="47122">
      <c r="N47122" s="1"/>
      <c r="V47122" s="5"/>
    </row>
    <row r="47123">
      <c r="N47123" s="1"/>
      <c r="V47123" s="5"/>
    </row>
    <row r="47124">
      <c r="N47124" s="1"/>
      <c r="V47124" s="5"/>
    </row>
    <row r="47125">
      <c r="N47125" s="1"/>
      <c r="V47125" s="5"/>
    </row>
    <row r="47126">
      <c r="N47126" s="1"/>
      <c r="V47126" s="5"/>
    </row>
    <row r="47127">
      <c r="N47127" s="1"/>
      <c r="V47127" s="5"/>
    </row>
    <row r="47128">
      <c r="N47128" s="1"/>
      <c r="V47128" s="5"/>
    </row>
    <row r="47129">
      <c r="N47129" s="1"/>
      <c r="V47129" s="5"/>
    </row>
    <row r="47130">
      <c r="N47130" s="1"/>
      <c r="V47130" s="5"/>
    </row>
    <row r="47131">
      <c r="N47131" s="1"/>
      <c r="V47131" s="5"/>
    </row>
    <row r="47132">
      <c r="N47132" s="1"/>
      <c r="V47132" s="5"/>
    </row>
    <row r="47133">
      <c r="N47133" s="1"/>
      <c r="V47133" s="5"/>
    </row>
    <row r="47134">
      <c r="N47134" s="1"/>
      <c r="V47134" s="5"/>
    </row>
    <row r="47135">
      <c r="N47135" s="1"/>
      <c r="V47135" s="5"/>
    </row>
    <row r="47136">
      <c r="N47136" s="1"/>
      <c r="V47136" s="5"/>
    </row>
    <row r="47137">
      <c r="N47137" s="1"/>
      <c r="V47137" s="5"/>
    </row>
    <row r="47138">
      <c r="N47138" s="1"/>
      <c r="V47138" s="5"/>
    </row>
    <row r="47139">
      <c r="N47139" s="1"/>
      <c r="V47139" s="5"/>
    </row>
    <row r="47140">
      <c r="N47140" s="1"/>
      <c r="V47140" s="5"/>
    </row>
    <row r="47141">
      <c r="N47141" s="1"/>
      <c r="V47141" s="5"/>
    </row>
    <row r="47142">
      <c r="N47142" s="1"/>
      <c r="V47142" s="5"/>
    </row>
    <row r="47143">
      <c r="N47143" s="1"/>
      <c r="V47143" s="5"/>
    </row>
    <row r="47144">
      <c r="N47144" s="1"/>
      <c r="V47144" s="5"/>
    </row>
    <row r="47145">
      <c r="N47145" s="1"/>
      <c r="V47145" s="5"/>
    </row>
    <row r="47146">
      <c r="N47146" s="1"/>
      <c r="V47146" s="5"/>
    </row>
    <row r="47147">
      <c r="N47147" s="1"/>
      <c r="V47147" s="5"/>
    </row>
    <row r="47148">
      <c r="N47148" s="1"/>
      <c r="V47148" s="5"/>
    </row>
    <row r="47149">
      <c r="N47149" s="1"/>
      <c r="V47149" s="5"/>
    </row>
    <row r="47150">
      <c r="N47150" s="1"/>
      <c r="V47150" s="5"/>
    </row>
    <row r="47151">
      <c r="N47151" s="1"/>
      <c r="V47151" s="5"/>
    </row>
    <row r="47152">
      <c r="N47152" s="1"/>
      <c r="V47152" s="5"/>
    </row>
    <row r="47153">
      <c r="N47153" s="1"/>
      <c r="V47153" s="5"/>
    </row>
    <row r="47154">
      <c r="N47154" s="1"/>
      <c r="V47154" s="5"/>
    </row>
    <row r="47155">
      <c r="N47155" s="1"/>
      <c r="V47155" s="5"/>
    </row>
    <row r="47156">
      <c r="N47156" s="1"/>
      <c r="V47156" s="5"/>
    </row>
    <row r="47157">
      <c r="N47157" s="1"/>
      <c r="V47157" s="5"/>
    </row>
    <row r="47158">
      <c r="N47158" s="1"/>
      <c r="V47158" s="5"/>
    </row>
    <row r="47159">
      <c r="N47159" s="1"/>
      <c r="V47159" s="5"/>
    </row>
    <row r="47160">
      <c r="N47160" s="1"/>
      <c r="V47160" s="5"/>
    </row>
    <row r="47161">
      <c r="N47161" s="1"/>
      <c r="V47161" s="5"/>
    </row>
    <row r="47162">
      <c r="N47162" s="1"/>
      <c r="V47162" s="5"/>
    </row>
    <row r="47163">
      <c r="N47163" s="1"/>
      <c r="V47163" s="5"/>
    </row>
    <row r="47164">
      <c r="N47164" s="1"/>
      <c r="V47164" s="5"/>
    </row>
    <row r="47165">
      <c r="N47165" s="1"/>
      <c r="V47165" s="5"/>
    </row>
    <row r="47166">
      <c r="N47166" s="1"/>
      <c r="V47166" s="5"/>
    </row>
    <row r="47167">
      <c r="N47167" s="1"/>
      <c r="V47167" s="5"/>
    </row>
    <row r="47168">
      <c r="N47168" s="1"/>
      <c r="V47168" s="5"/>
    </row>
    <row r="47169">
      <c r="N47169" s="1"/>
      <c r="V47169" s="5"/>
    </row>
    <row r="47170">
      <c r="N47170" s="1"/>
      <c r="V47170" s="5"/>
    </row>
    <row r="47171">
      <c r="N47171" s="1"/>
      <c r="V47171" s="5"/>
    </row>
    <row r="47172">
      <c r="N47172" s="1"/>
      <c r="V47172" s="5"/>
    </row>
    <row r="47173">
      <c r="N47173" s="1"/>
      <c r="V47173" s="5"/>
    </row>
    <row r="47174">
      <c r="N47174" s="1"/>
      <c r="V47174" s="5"/>
    </row>
    <row r="47175">
      <c r="N47175" s="1"/>
      <c r="V47175" s="5"/>
    </row>
    <row r="47176">
      <c r="N47176" s="1"/>
      <c r="V47176" s="5"/>
    </row>
    <row r="47177">
      <c r="N47177" s="1"/>
      <c r="V47177" s="5"/>
    </row>
    <row r="47178">
      <c r="N47178" s="1"/>
      <c r="V47178" s="5"/>
    </row>
    <row r="47179">
      <c r="N47179" s="1"/>
      <c r="V47179" s="5"/>
    </row>
    <row r="47180">
      <c r="N47180" s="1"/>
      <c r="V47180" s="5"/>
    </row>
    <row r="47181">
      <c r="N47181" s="1"/>
      <c r="V47181" s="5"/>
    </row>
    <row r="47182">
      <c r="N47182" s="1"/>
      <c r="V47182" s="5"/>
    </row>
    <row r="47183">
      <c r="N47183" s="1"/>
      <c r="V47183" s="5"/>
    </row>
    <row r="47184">
      <c r="N47184" s="1"/>
      <c r="V47184" s="5"/>
    </row>
    <row r="47185">
      <c r="N47185" s="1"/>
      <c r="V47185" s="5"/>
    </row>
    <row r="47186">
      <c r="N47186" s="1"/>
      <c r="V47186" s="5"/>
    </row>
    <row r="47187">
      <c r="N47187" s="1"/>
      <c r="V47187" s="5"/>
    </row>
    <row r="47188">
      <c r="N47188" s="1"/>
      <c r="V47188" s="5"/>
    </row>
    <row r="47189">
      <c r="N47189" s="1"/>
      <c r="V47189" s="5"/>
    </row>
    <row r="47190">
      <c r="N47190" s="1"/>
      <c r="V47190" s="5"/>
    </row>
    <row r="47191">
      <c r="N47191" s="1"/>
      <c r="V47191" s="5"/>
    </row>
    <row r="47192">
      <c r="N47192" s="1"/>
      <c r="V47192" s="5"/>
    </row>
    <row r="47193">
      <c r="N47193" s="1"/>
      <c r="V47193" s="5"/>
    </row>
    <row r="47194">
      <c r="N47194" s="1"/>
      <c r="V47194" s="5"/>
    </row>
    <row r="47195">
      <c r="N47195" s="1"/>
      <c r="V47195" s="5"/>
    </row>
    <row r="47196">
      <c r="N47196" s="1"/>
      <c r="V47196" s="5"/>
    </row>
    <row r="47197">
      <c r="N47197" s="1"/>
      <c r="V47197" s="5"/>
    </row>
    <row r="47198">
      <c r="N47198" s="1"/>
      <c r="V47198" s="5"/>
    </row>
    <row r="47199">
      <c r="N47199" s="1"/>
      <c r="V47199" s="5"/>
    </row>
    <row r="47200">
      <c r="N47200" s="1"/>
      <c r="V47200" s="5"/>
    </row>
    <row r="47201">
      <c r="N47201" s="1"/>
      <c r="V47201" s="5"/>
    </row>
    <row r="47202">
      <c r="N47202" s="1"/>
      <c r="V47202" s="5"/>
    </row>
    <row r="47203">
      <c r="N47203" s="1"/>
      <c r="V47203" s="5"/>
    </row>
    <row r="47204">
      <c r="N47204" s="1"/>
      <c r="V47204" s="5"/>
    </row>
    <row r="47205">
      <c r="N47205" s="1"/>
      <c r="V47205" s="5"/>
    </row>
    <row r="47206">
      <c r="N47206" s="1"/>
      <c r="V47206" s="5"/>
    </row>
    <row r="47207">
      <c r="N47207" s="1"/>
      <c r="V47207" s="5"/>
    </row>
    <row r="47208">
      <c r="N47208" s="1"/>
      <c r="V47208" s="5"/>
    </row>
    <row r="47209">
      <c r="N47209" s="1"/>
      <c r="V47209" s="5"/>
    </row>
    <row r="47210">
      <c r="N47210" s="1"/>
      <c r="V47210" s="5"/>
    </row>
    <row r="47211">
      <c r="N47211" s="1"/>
      <c r="V47211" s="5"/>
    </row>
    <row r="47212">
      <c r="N47212" s="1"/>
      <c r="V47212" s="5"/>
    </row>
    <row r="47213">
      <c r="N47213" s="1"/>
      <c r="V47213" s="5"/>
    </row>
    <row r="47214">
      <c r="N47214" s="1"/>
      <c r="V47214" s="5"/>
    </row>
    <row r="47215">
      <c r="N47215" s="1"/>
      <c r="V47215" s="5"/>
    </row>
    <row r="47216">
      <c r="N47216" s="1"/>
      <c r="V47216" s="5"/>
    </row>
    <row r="47217">
      <c r="N47217" s="1"/>
      <c r="V47217" s="5"/>
    </row>
    <row r="47218">
      <c r="N47218" s="1"/>
      <c r="V47218" s="5"/>
    </row>
    <row r="47219">
      <c r="N47219" s="1"/>
      <c r="V47219" s="5"/>
    </row>
    <row r="47220">
      <c r="N47220" s="1"/>
      <c r="V47220" s="5"/>
    </row>
    <row r="47221">
      <c r="N47221" s="1"/>
      <c r="V47221" s="5"/>
    </row>
    <row r="47222">
      <c r="N47222" s="1"/>
      <c r="V47222" s="5"/>
    </row>
    <row r="47223">
      <c r="N47223" s="1"/>
      <c r="V47223" s="5"/>
    </row>
    <row r="47224">
      <c r="N47224" s="1"/>
      <c r="V47224" s="5"/>
    </row>
    <row r="47225">
      <c r="N47225" s="1"/>
      <c r="V47225" s="5"/>
    </row>
    <row r="47226">
      <c r="N47226" s="1"/>
      <c r="V47226" s="5"/>
    </row>
    <row r="47227">
      <c r="N47227" s="1"/>
      <c r="V47227" s="5"/>
    </row>
    <row r="47228">
      <c r="N47228" s="1"/>
      <c r="V47228" s="5"/>
    </row>
    <row r="47229">
      <c r="N47229" s="1"/>
      <c r="V47229" s="5"/>
    </row>
    <row r="47230">
      <c r="N47230" s="1"/>
      <c r="V47230" s="5"/>
    </row>
    <row r="47231">
      <c r="N47231" s="1"/>
      <c r="V47231" s="5"/>
    </row>
    <row r="47232">
      <c r="N47232" s="1"/>
      <c r="V47232" s="5"/>
    </row>
    <row r="47233">
      <c r="N47233" s="1"/>
      <c r="V47233" s="5"/>
    </row>
    <row r="47234">
      <c r="N47234" s="1"/>
      <c r="V47234" s="5"/>
    </row>
    <row r="47235">
      <c r="N47235" s="1"/>
      <c r="V47235" s="5"/>
    </row>
    <row r="47236">
      <c r="N47236" s="1"/>
      <c r="V47236" s="5"/>
    </row>
    <row r="47237">
      <c r="N47237" s="1"/>
      <c r="V47237" s="5"/>
    </row>
    <row r="47238">
      <c r="N47238" s="1"/>
      <c r="V47238" s="5"/>
    </row>
    <row r="47239">
      <c r="N47239" s="1"/>
      <c r="V47239" s="5"/>
    </row>
    <row r="47240">
      <c r="N47240" s="1"/>
      <c r="V47240" s="5"/>
    </row>
    <row r="47241">
      <c r="N47241" s="1"/>
      <c r="V47241" s="5"/>
    </row>
    <row r="47242">
      <c r="N47242" s="1"/>
      <c r="V47242" s="5"/>
    </row>
    <row r="47243">
      <c r="N47243" s="1"/>
      <c r="V47243" s="5"/>
    </row>
    <row r="47244">
      <c r="N47244" s="1"/>
      <c r="V47244" s="5"/>
    </row>
    <row r="47245">
      <c r="N47245" s="1"/>
      <c r="V47245" s="5"/>
    </row>
    <row r="47246">
      <c r="N47246" s="1"/>
      <c r="V47246" s="5"/>
    </row>
    <row r="47247">
      <c r="N47247" s="1"/>
      <c r="V47247" s="5"/>
    </row>
    <row r="47248">
      <c r="N47248" s="1"/>
      <c r="V47248" s="5"/>
    </row>
    <row r="47249">
      <c r="N47249" s="1"/>
      <c r="V47249" s="5"/>
    </row>
    <row r="47250">
      <c r="N47250" s="1"/>
      <c r="V47250" s="5"/>
    </row>
    <row r="47251">
      <c r="N47251" s="1"/>
      <c r="V47251" s="5"/>
    </row>
    <row r="47252">
      <c r="N47252" s="1"/>
      <c r="V47252" s="5"/>
    </row>
    <row r="47253">
      <c r="N47253" s="1"/>
      <c r="V47253" s="5"/>
    </row>
    <row r="47254">
      <c r="N47254" s="1"/>
      <c r="V47254" s="5"/>
    </row>
    <row r="47255">
      <c r="N47255" s="1"/>
      <c r="V47255" s="5"/>
    </row>
    <row r="47256">
      <c r="N47256" s="1"/>
      <c r="V47256" s="5"/>
    </row>
    <row r="47257">
      <c r="N47257" s="1"/>
      <c r="V47257" s="5"/>
    </row>
    <row r="47258">
      <c r="N47258" s="1"/>
      <c r="V47258" s="5"/>
    </row>
    <row r="47259">
      <c r="N47259" s="1"/>
      <c r="V47259" s="5"/>
    </row>
    <row r="47260">
      <c r="N47260" s="1"/>
      <c r="V47260" s="5"/>
    </row>
    <row r="47261">
      <c r="N47261" s="1"/>
      <c r="V47261" s="5"/>
    </row>
    <row r="47262">
      <c r="N47262" s="1"/>
      <c r="V47262" s="5"/>
    </row>
    <row r="47263">
      <c r="N47263" s="1"/>
      <c r="V47263" s="5"/>
    </row>
    <row r="47264">
      <c r="N47264" s="1"/>
      <c r="V47264" s="5"/>
    </row>
    <row r="47265">
      <c r="N47265" s="1"/>
      <c r="V47265" s="5"/>
    </row>
    <row r="47266">
      <c r="N47266" s="1"/>
      <c r="V47266" s="5"/>
    </row>
    <row r="47267">
      <c r="N47267" s="1"/>
      <c r="V47267" s="5"/>
    </row>
    <row r="47268">
      <c r="N47268" s="1"/>
      <c r="V47268" s="5"/>
    </row>
    <row r="47269">
      <c r="N47269" s="1"/>
      <c r="V47269" s="5"/>
    </row>
    <row r="47270">
      <c r="N47270" s="1"/>
      <c r="V47270" s="5"/>
    </row>
    <row r="47271">
      <c r="N47271" s="1"/>
      <c r="V47271" s="5"/>
    </row>
    <row r="47272">
      <c r="N47272" s="1"/>
      <c r="V47272" s="5"/>
    </row>
    <row r="47273">
      <c r="N47273" s="1"/>
      <c r="V47273" s="5"/>
    </row>
    <row r="47274">
      <c r="N47274" s="1"/>
      <c r="V47274" s="5"/>
    </row>
    <row r="47275">
      <c r="N47275" s="1"/>
      <c r="V47275" s="5"/>
    </row>
    <row r="47276">
      <c r="N47276" s="1"/>
      <c r="V47276" s="5"/>
    </row>
    <row r="47277">
      <c r="N47277" s="1"/>
      <c r="V47277" s="5"/>
    </row>
    <row r="47278">
      <c r="N47278" s="1"/>
      <c r="V47278" s="5"/>
    </row>
    <row r="47279">
      <c r="N47279" s="1"/>
      <c r="V47279" s="5"/>
    </row>
    <row r="47280">
      <c r="N47280" s="1"/>
      <c r="V47280" s="5"/>
    </row>
    <row r="47281">
      <c r="N47281" s="1"/>
      <c r="V47281" s="5"/>
    </row>
    <row r="47282">
      <c r="N47282" s="1"/>
      <c r="V47282" s="5"/>
    </row>
    <row r="47283">
      <c r="N47283" s="1"/>
      <c r="V47283" s="5"/>
    </row>
    <row r="47284">
      <c r="N47284" s="1"/>
      <c r="V47284" s="5"/>
    </row>
    <row r="47285">
      <c r="N47285" s="1"/>
      <c r="V47285" s="5"/>
    </row>
    <row r="47286">
      <c r="N47286" s="1"/>
      <c r="V47286" s="5"/>
    </row>
    <row r="47287">
      <c r="N47287" s="1"/>
      <c r="V47287" s="5"/>
    </row>
    <row r="47288">
      <c r="N47288" s="1"/>
      <c r="V47288" s="5"/>
    </row>
    <row r="47289">
      <c r="N47289" s="1"/>
      <c r="V47289" s="5"/>
    </row>
    <row r="47290">
      <c r="N47290" s="1"/>
      <c r="V47290" s="5"/>
    </row>
    <row r="47291">
      <c r="N47291" s="1"/>
      <c r="V47291" s="5"/>
    </row>
    <row r="47292">
      <c r="N47292" s="1"/>
      <c r="V47292" s="5"/>
    </row>
    <row r="47293">
      <c r="N47293" s="1"/>
      <c r="V47293" s="5"/>
    </row>
    <row r="47294">
      <c r="N47294" s="1"/>
      <c r="V47294" s="5"/>
    </row>
    <row r="47295">
      <c r="N47295" s="1"/>
      <c r="V47295" s="5"/>
    </row>
    <row r="47296">
      <c r="N47296" s="1"/>
      <c r="V47296" s="5"/>
    </row>
    <row r="47297">
      <c r="N47297" s="1"/>
      <c r="V47297" s="5"/>
    </row>
    <row r="47298">
      <c r="N47298" s="1"/>
      <c r="V47298" s="5"/>
    </row>
    <row r="47299">
      <c r="N47299" s="1"/>
      <c r="V47299" s="5"/>
    </row>
    <row r="47300">
      <c r="N47300" s="1"/>
      <c r="V47300" s="5"/>
    </row>
    <row r="47301">
      <c r="N47301" s="1"/>
      <c r="V47301" s="5"/>
    </row>
    <row r="47302">
      <c r="N47302" s="1"/>
      <c r="V47302" s="5"/>
    </row>
    <row r="47303">
      <c r="N47303" s="1"/>
      <c r="V47303" s="5"/>
    </row>
    <row r="47304">
      <c r="N47304" s="1"/>
      <c r="V47304" s="5"/>
    </row>
    <row r="47305">
      <c r="N47305" s="1"/>
      <c r="V47305" s="5"/>
    </row>
    <row r="47306">
      <c r="N47306" s="1"/>
      <c r="V47306" s="5"/>
    </row>
    <row r="47307">
      <c r="N47307" s="1"/>
      <c r="V47307" s="5"/>
    </row>
    <row r="47308">
      <c r="N47308" s="1"/>
      <c r="V47308" s="5"/>
    </row>
    <row r="47309">
      <c r="N47309" s="1"/>
      <c r="V47309" s="5"/>
    </row>
    <row r="47310">
      <c r="N47310" s="1"/>
      <c r="V47310" s="5"/>
    </row>
    <row r="47311">
      <c r="N47311" s="1"/>
      <c r="V47311" s="5"/>
    </row>
    <row r="47312">
      <c r="N47312" s="1"/>
      <c r="V47312" s="5"/>
    </row>
    <row r="47313">
      <c r="N47313" s="1"/>
      <c r="V47313" s="5"/>
    </row>
    <row r="47314">
      <c r="N47314" s="1"/>
      <c r="V47314" s="5"/>
    </row>
    <row r="47315">
      <c r="N47315" s="1"/>
      <c r="V47315" s="5"/>
    </row>
    <row r="47316">
      <c r="N47316" s="1"/>
      <c r="V47316" s="5"/>
    </row>
    <row r="47317">
      <c r="N47317" s="1"/>
      <c r="V47317" s="5"/>
    </row>
    <row r="47318">
      <c r="N47318" s="1"/>
      <c r="V47318" s="5"/>
    </row>
    <row r="47319">
      <c r="N47319" s="1"/>
      <c r="V47319" s="5"/>
    </row>
    <row r="47320">
      <c r="N47320" s="1"/>
      <c r="V47320" s="5"/>
    </row>
    <row r="47321">
      <c r="N47321" s="1"/>
      <c r="V47321" s="5"/>
    </row>
    <row r="47322">
      <c r="N47322" s="1"/>
      <c r="V47322" s="5"/>
    </row>
    <row r="47323">
      <c r="N47323" s="1"/>
      <c r="V47323" s="5"/>
    </row>
    <row r="47324">
      <c r="N47324" s="1"/>
      <c r="V47324" s="5"/>
    </row>
    <row r="47325">
      <c r="N47325" s="1"/>
      <c r="V47325" s="5"/>
    </row>
    <row r="47326">
      <c r="N47326" s="1"/>
      <c r="V47326" s="5"/>
    </row>
    <row r="47327">
      <c r="N47327" s="1"/>
      <c r="V47327" s="5"/>
    </row>
    <row r="47328">
      <c r="N47328" s="1"/>
      <c r="V47328" s="5"/>
    </row>
    <row r="47329">
      <c r="N47329" s="1"/>
      <c r="V47329" s="5"/>
    </row>
    <row r="47330">
      <c r="N47330" s="1"/>
      <c r="V47330" s="5"/>
    </row>
    <row r="47331">
      <c r="N47331" s="1"/>
      <c r="V47331" s="5"/>
    </row>
    <row r="47332">
      <c r="N47332" s="1"/>
      <c r="V47332" s="5"/>
    </row>
    <row r="47333">
      <c r="N47333" s="1"/>
      <c r="V47333" s="5"/>
    </row>
    <row r="47334">
      <c r="N47334" s="1"/>
      <c r="V47334" s="5"/>
    </row>
    <row r="47335">
      <c r="N47335" s="1"/>
      <c r="V47335" s="5"/>
    </row>
    <row r="47336">
      <c r="N47336" s="1"/>
      <c r="V47336" s="5"/>
    </row>
    <row r="47337">
      <c r="N47337" s="1"/>
      <c r="V47337" s="5"/>
    </row>
    <row r="47338">
      <c r="N47338" s="1"/>
      <c r="V47338" s="5"/>
    </row>
    <row r="47339">
      <c r="N47339" s="1"/>
      <c r="V47339" s="5"/>
    </row>
    <row r="47340">
      <c r="N47340" s="1"/>
      <c r="V47340" s="5"/>
    </row>
    <row r="47341">
      <c r="N47341" s="1"/>
      <c r="V47341" s="5"/>
    </row>
    <row r="47342">
      <c r="N47342" s="1"/>
      <c r="V47342" s="5"/>
    </row>
    <row r="47343">
      <c r="N47343" s="1"/>
      <c r="V47343" s="5"/>
    </row>
    <row r="47344">
      <c r="N47344" s="1"/>
      <c r="V47344" s="5"/>
    </row>
    <row r="47345">
      <c r="N47345" s="1"/>
      <c r="V47345" s="5"/>
    </row>
    <row r="47346">
      <c r="N47346" s="1"/>
      <c r="V47346" s="5"/>
    </row>
    <row r="47347">
      <c r="N47347" s="1"/>
      <c r="V47347" s="5"/>
    </row>
    <row r="47348">
      <c r="N47348" s="1"/>
      <c r="V47348" s="5"/>
    </row>
    <row r="47349">
      <c r="N47349" s="1"/>
      <c r="V47349" s="5"/>
    </row>
    <row r="47350">
      <c r="N47350" s="1"/>
      <c r="V47350" s="5"/>
    </row>
    <row r="47351">
      <c r="N47351" s="1"/>
      <c r="V47351" s="5"/>
    </row>
    <row r="47352">
      <c r="N47352" s="1"/>
      <c r="V47352" s="5"/>
    </row>
    <row r="47353">
      <c r="N47353" s="1"/>
      <c r="V47353" s="5"/>
    </row>
    <row r="47354">
      <c r="N47354" s="1"/>
      <c r="V47354" s="5"/>
    </row>
    <row r="47355">
      <c r="N47355" s="1"/>
      <c r="V47355" s="5"/>
    </row>
    <row r="47356">
      <c r="N47356" s="1"/>
      <c r="V47356" s="5"/>
    </row>
    <row r="47357">
      <c r="N47357" s="1"/>
      <c r="V47357" s="5"/>
    </row>
    <row r="47358">
      <c r="N47358" s="1"/>
      <c r="V47358" s="5"/>
    </row>
    <row r="47359">
      <c r="N47359" s="1"/>
      <c r="V47359" s="5"/>
    </row>
    <row r="47360">
      <c r="N47360" s="1"/>
      <c r="V47360" s="5"/>
    </row>
    <row r="47361">
      <c r="N47361" s="1"/>
      <c r="V47361" s="5"/>
    </row>
    <row r="47362">
      <c r="N47362" s="1"/>
      <c r="V47362" s="5"/>
    </row>
    <row r="47363">
      <c r="N47363" s="1"/>
      <c r="V47363" s="5"/>
    </row>
    <row r="47364">
      <c r="N47364" s="1"/>
      <c r="V47364" s="5"/>
    </row>
    <row r="47365">
      <c r="N47365" s="1"/>
      <c r="V47365" s="5"/>
    </row>
    <row r="47366">
      <c r="N47366" s="1"/>
      <c r="V47366" s="5"/>
    </row>
    <row r="47367">
      <c r="N47367" s="1"/>
      <c r="V47367" s="5"/>
    </row>
    <row r="47368">
      <c r="N47368" s="1"/>
      <c r="V47368" s="5"/>
    </row>
    <row r="47369">
      <c r="N47369" s="1"/>
      <c r="V47369" s="5"/>
    </row>
    <row r="47370">
      <c r="N47370" s="1"/>
      <c r="V47370" s="5"/>
    </row>
    <row r="47371">
      <c r="N47371" s="1"/>
      <c r="V47371" s="5"/>
    </row>
    <row r="47372">
      <c r="N47372" s="1"/>
      <c r="V47372" s="5"/>
    </row>
    <row r="47373">
      <c r="N47373" s="1"/>
      <c r="V47373" s="5"/>
    </row>
    <row r="47374">
      <c r="N47374" s="1"/>
      <c r="V47374" s="5"/>
    </row>
    <row r="47375">
      <c r="N47375" s="1"/>
      <c r="V47375" s="5"/>
    </row>
    <row r="47376">
      <c r="N47376" s="1"/>
      <c r="V47376" s="5"/>
    </row>
    <row r="47377">
      <c r="N47377" s="1"/>
      <c r="V47377" s="5"/>
    </row>
    <row r="47378">
      <c r="N47378" s="1"/>
      <c r="V47378" s="5"/>
    </row>
    <row r="47379">
      <c r="N47379" s="1"/>
      <c r="V47379" s="5"/>
    </row>
    <row r="47380">
      <c r="N47380" s="1"/>
      <c r="V47380" s="5"/>
    </row>
    <row r="47381">
      <c r="N47381" s="1"/>
      <c r="V47381" s="5"/>
    </row>
    <row r="47382">
      <c r="N47382" s="1"/>
      <c r="V47382" s="5"/>
    </row>
    <row r="47383">
      <c r="N47383" s="1"/>
      <c r="V47383" s="5"/>
    </row>
    <row r="47384">
      <c r="N47384" s="1"/>
      <c r="V47384" s="5"/>
    </row>
    <row r="47385">
      <c r="N47385" s="1"/>
      <c r="V47385" s="5"/>
    </row>
    <row r="47386">
      <c r="N47386" s="1"/>
      <c r="V47386" s="5"/>
    </row>
    <row r="47387">
      <c r="N47387" s="1"/>
      <c r="V47387" s="5"/>
    </row>
    <row r="47388">
      <c r="N47388" s="1"/>
      <c r="V47388" s="5"/>
    </row>
    <row r="47389">
      <c r="N47389" s="1"/>
      <c r="V47389" s="5"/>
    </row>
    <row r="47390">
      <c r="N47390" s="1"/>
      <c r="V47390" s="5"/>
    </row>
    <row r="47391">
      <c r="N47391" s="1"/>
      <c r="V47391" s="5"/>
    </row>
    <row r="47392">
      <c r="N47392" s="1"/>
      <c r="V47392" s="5"/>
    </row>
    <row r="47393">
      <c r="N47393" s="1"/>
      <c r="V47393" s="5"/>
    </row>
    <row r="47394">
      <c r="N47394" s="1"/>
      <c r="V47394" s="5"/>
    </row>
    <row r="47395">
      <c r="N47395" s="1"/>
      <c r="V47395" s="5"/>
    </row>
    <row r="47396">
      <c r="N47396" s="1"/>
      <c r="V47396" s="5"/>
    </row>
    <row r="47397">
      <c r="N47397" s="1"/>
      <c r="V47397" s="5"/>
    </row>
    <row r="47398">
      <c r="N47398" s="1"/>
      <c r="V47398" s="5"/>
    </row>
    <row r="47399">
      <c r="N47399" s="1"/>
      <c r="V47399" s="5"/>
    </row>
    <row r="47400">
      <c r="N47400" s="1"/>
      <c r="V47400" s="5"/>
    </row>
    <row r="47401">
      <c r="N47401" s="1"/>
      <c r="V47401" s="5"/>
    </row>
    <row r="47402">
      <c r="N47402" s="1"/>
      <c r="V47402" s="5"/>
    </row>
    <row r="47403">
      <c r="N47403" s="1"/>
      <c r="V47403" s="5"/>
    </row>
    <row r="47404">
      <c r="N47404" s="1"/>
      <c r="V47404" s="5"/>
    </row>
    <row r="47405">
      <c r="N47405" s="1"/>
      <c r="V47405" s="5"/>
    </row>
    <row r="47406">
      <c r="N47406" s="1"/>
      <c r="V47406" s="5"/>
    </row>
    <row r="47407">
      <c r="N47407" s="1"/>
      <c r="V47407" s="5"/>
    </row>
    <row r="47408">
      <c r="N47408" s="1"/>
      <c r="V47408" s="5"/>
    </row>
    <row r="47409">
      <c r="N47409" s="1"/>
      <c r="V47409" s="5"/>
    </row>
    <row r="47410">
      <c r="N47410" s="1"/>
      <c r="V47410" s="5"/>
    </row>
    <row r="47411">
      <c r="N47411" s="1"/>
      <c r="V47411" s="5"/>
    </row>
    <row r="47412">
      <c r="N47412" s="1"/>
      <c r="V47412" s="5"/>
    </row>
    <row r="47413">
      <c r="N47413" s="1"/>
      <c r="V47413" s="5"/>
    </row>
    <row r="47414">
      <c r="N47414" s="1"/>
      <c r="V47414" s="5"/>
    </row>
    <row r="47415">
      <c r="N47415" s="1"/>
      <c r="V47415" s="5"/>
    </row>
    <row r="47416">
      <c r="N47416" s="1"/>
      <c r="V47416" s="5"/>
    </row>
    <row r="47417">
      <c r="N47417" s="1"/>
      <c r="V47417" s="5"/>
    </row>
    <row r="47418">
      <c r="N47418" s="1"/>
      <c r="V47418" s="5"/>
    </row>
    <row r="47419">
      <c r="N47419" s="1"/>
      <c r="V47419" s="5"/>
    </row>
    <row r="47420">
      <c r="N47420" s="1"/>
      <c r="V47420" s="5"/>
    </row>
    <row r="47421">
      <c r="N47421" s="1"/>
      <c r="V47421" s="5"/>
    </row>
    <row r="47422">
      <c r="N47422" s="1"/>
      <c r="V47422" s="5"/>
    </row>
    <row r="47423">
      <c r="N47423" s="1"/>
      <c r="V47423" s="5"/>
    </row>
    <row r="47424">
      <c r="N47424" s="1"/>
      <c r="V47424" s="5"/>
    </row>
    <row r="47425">
      <c r="N47425" s="1"/>
      <c r="V47425" s="5"/>
    </row>
    <row r="47426">
      <c r="N47426" s="1"/>
      <c r="V47426" s="5"/>
    </row>
    <row r="47427">
      <c r="N47427" s="1"/>
      <c r="V47427" s="5"/>
    </row>
    <row r="47428">
      <c r="N47428" s="1"/>
      <c r="V47428" s="5"/>
    </row>
    <row r="47429">
      <c r="N47429" s="1"/>
      <c r="V47429" s="5"/>
    </row>
    <row r="47430">
      <c r="N47430" s="1"/>
      <c r="V47430" s="5"/>
    </row>
    <row r="47431">
      <c r="N47431" s="1"/>
      <c r="V47431" s="5"/>
    </row>
    <row r="47432">
      <c r="N47432" s="1"/>
      <c r="V47432" s="5"/>
    </row>
    <row r="47433">
      <c r="N47433" s="1"/>
      <c r="V47433" s="5"/>
    </row>
    <row r="47434">
      <c r="N47434" s="1"/>
      <c r="V47434" s="5"/>
    </row>
    <row r="47435">
      <c r="N47435" s="1"/>
      <c r="V47435" s="5"/>
    </row>
    <row r="47436">
      <c r="N47436" s="1"/>
      <c r="V47436" s="5"/>
    </row>
    <row r="47437">
      <c r="N47437" s="1"/>
      <c r="V47437" s="5"/>
    </row>
    <row r="47438">
      <c r="N47438" s="1"/>
      <c r="V47438" s="5"/>
    </row>
    <row r="47439">
      <c r="N47439" s="1"/>
      <c r="V47439" s="5"/>
    </row>
    <row r="47440">
      <c r="N47440" s="1"/>
      <c r="V47440" s="5"/>
    </row>
    <row r="47441">
      <c r="N47441" s="1"/>
      <c r="V47441" s="5"/>
    </row>
    <row r="47442">
      <c r="N47442" s="1"/>
      <c r="V47442" s="5"/>
    </row>
    <row r="47443">
      <c r="N47443" s="1"/>
      <c r="V47443" s="5"/>
    </row>
    <row r="47444">
      <c r="N47444" s="1"/>
      <c r="V47444" s="5"/>
    </row>
    <row r="47445">
      <c r="N47445" s="1"/>
      <c r="V47445" s="5"/>
    </row>
    <row r="47446">
      <c r="N47446" s="1"/>
      <c r="V47446" s="5"/>
    </row>
    <row r="47447">
      <c r="N47447" s="1"/>
      <c r="V47447" s="5"/>
    </row>
    <row r="47448">
      <c r="N47448" s="1"/>
      <c r="V47448" s="5"/>
    </row>
    <row r="47449">
      <c r="N47449" s="1"/>
      <c r="V47449" s="5"/>
    </row>
    <row r="47450">
      <c r="N47450" s="1"/>
      <c r="V47450" s="5"/>
    </row>
    <row r="47451">
      <c r="N47451" s="1"/>
      <c r="V47451" s="5"/>
    </row>
    <row r="47452">
      <c r="N47452" s="1"/>
      <c r="V47452" s="5"/>
    </row>
    <row r="47453">
      <c r="N47453" s="1"/>
      <c r="V47453" s="5"/>
    </row>
    <row r="47454">
      <c r="N47454" s="1"/>
      <c r="V47454" s="5"/>
    </row>
    <row r="47455">
      <c r="N47455" s="1"/>
      <c r="V47455" s="5"/>
    </row>
    <row r="47456">
      <c r="N47456" s="1"/>
      <c r="V47456" s="5"/>
    </row>
    <row r="47457">
      <c r="N47457" s="1"/>
      <c r="V47457" s="5"/>
    </row>
    <row r="47458">
      <c r="N47458" s="1"/>
      <c r="V47458" s="5"/>
    </row>
    <row r="47459">
      <c r="N47459" s="1"/>
      <c r="V47459" s="5"/>
    </row>
    <row r="47460">
      <c r="N47460" s="1"/>
      <c r="V47460" s="5"/>
    </row>
    <row r="47461">
      <c r="N47461" s="1"/>
      <c r="V47461" s="5"/>
    </row>
    <row r="47462">
      <c r="N47462" s="1"/>
      <c r="V47462" s="5"/>
    </row>
    <row r="47463">
      <c r="N47463" s="1"/>
      <c r="V47463" s="5"/>
    </row>
    <row r="47464">
      <c r="N47464" s="1"/>
      <c r="V47464" s="5"/>
    </row>
    <row r="47465">
      <c r="N47465" s="1"/>
      <c r="V47465" s="5"/>
    </row>
    <row r="47466">
      <c r="N47466" s="1"/>
      <c r="V47466" s="5"/>
    </row>
    <row r="47467">
      <c r="N47467" s="1"/>
      <c r="V47467" s="5"/>
    </row>
    <row r="47468">
      <c r="N47468" s="1"/>
      <c r="V47468" s="5"/>
    </row>
    <row r="47469">
      <c r="N47469" s="1"/>
      <c r="V47469" s="5"/>
    </row>
    <row r="47470">
      <c r="N47470" s="1"/>
      <c r="V47470" s="5"/>
    </row>
    <row r="47471">
      <c r="N47471" s="1"/>
      <c r="V47471" s="5"/>
    </row>
    <row r="47472">
      <c r="N47472" s="1"/>
      <c r="V47472" s="5"/>
    </row>
    <row r="47473">
      <c r="N47473" s="1"/>
      <c r="V47473" s="5"/>
    </row>
    <row r="47474">
      <c r="N47474" s="1"/>
      <c r="V47474" s="5"/>
    </row>
    <row r="47475">
      <c r="N47475" s="1"/>
      <c r="V47475" s="5"/>
    </row>
    <row r="47476">
      <c r="N47476" s="1"/>
      <c r="V47476" s="5"/>
    </row>
    <row r="47477">
      <c r="N47477" s="1"/>
      <c r="V47477" s="5"/>
    </row>
    <row r="47478">
      <c r="N47478" s="1"/>
      <c r="V47478" s="5"/>
    </row>
    <row r="47479">
      <c r="N47479" s="1"/>
      <c r="V47479" s="5"/>
    </row>
    <row r="47480">
      <c r="N47480" s="1"/>
      <c r="V47480" s="5"/>
    </row>
    <row r="47481">
      <c r="N47481" s="1"/>
      <c r="V47481" s="5"/>
    </row>
    <row r="47482">
      <c r="N47482" s="1"/>
      <c r="V47482" s="5"/>
    </row>
    <row r="47483">
      <c r="N47483" s="1"/>
      <c r="V47483" s="5"/>
    </row>
    <row r="47484">
      <c r="N47484" s="1"/>
      <c r="V47484" s="5"/>
    </row>
    <row r="47485">
      <c r="N47485" s="1"/>
      <c r="V47485" s="5"/>
    </row>
    <row r="47486">
      <c r="N47486" s="1"/>
      <c r="V47486" s="5"/>
    </row>
    <row r="47487">
      <c r="N47487" s="1"/>
      <c r="V47487" s="5"/>
    </row>
    <row r="47488">
      <c r="N47488" s="1"/>
      <c r="V47488" s="5"/>
    </row>
    <row r="47489">
      <c r="N47489" s="1"/>
      <c r="V47489" s="5"/>
    </row>
    <row r="47490">
      <c r="N47490" s="1"/>
      <c r="V47490" s="5"/>
    </row>
    <row r="47491">
      <c r="N47491" s="1"/>
      <c r="V47491" s="5"/>
    </row>
    <row r="47492">
      <c r="N47492" s="1"/>
      <c r="V47492" s="5"/>
    </row>
    <row r="47493">
      <c r="N47493" s="1"/>
      <c r="V47493" s="5"/>
    </row>
    <row r="47494">
      <c r="N47494" s="1"/>
      <c r="V47494" s="5"/>
    </row>
    <row r="47495">
      <c r="N47495" s="1"/>
      <c r="V47495" s="5"/>
    </row>
    <row r="47496">
      <c r="N47496" s="1"/>
      <c r="V47496" s="5"/>
    </row>
    <row r="47497">
      <c r="N47497" s="1"/>
      <c r="V47497" s="5"/>
    </row>
    <row r="47498">
      <c r="N47498" s="1"/>
      <c r="V47498" s="5"/>
    </row>
    <row r="47499">
      <c r="N47499" s="1"/>
      <c r="V47499" s="5"/>
    </row>
    <row r="47500">
      <c r="N47500" s="1"/>
      <c r="V47500" s="5"/>
    </row>
    <row r="47501">
      <c r="N47501" s="1"/>
      <c r="V47501" s="5"/>
    </row>
    <row r="47502">
      <c r="N47502" s="1"/>
      <c r="V47502" s="5"/>
    </row>
    <row r="47503">
      <c r="N47503" s="1"/>
      <c r="V47503" s="5"/>
    </row>
    <row r="47504">
      <c r="N47504" s="1"/>
      <c r="V47504" s="5"/>
    </row>
    <row r="47505">
      <c r="N47505" s="1"/>
      <c r="V47505" s="5"/>
    </row>
    <row r="47506">
      <c r="N47506" s="1"/>
      <c r="V47506" s="5"/>
    </row>
    <row r="47507">
      <c r="N47507" s="1"/>
      <c r="V47507" s="5"/>
    </row>
    <row r="47508">
      <c r="N47508" s="1"/>
      <c r="V47508" s="5"/>
    </row>
    <row r="47509">
      <c r="N47509" s="1"/>
      <c r="V47509" s="5"/>
    </row>
    <row r="47510">
      <c r="N47510" s="1"/>
      <c r="V47510" s="5"/>
    </row>
    <row r="47511">
      <c r="N47511" s="1"/>
      <c r="V47511" s="5"/>
    </row>
    <row r="47512">
      <c r="N47512" s="1"/>
      <c r="V47512" s="5"/>
    </row>
    <row r="47513">
      <c r="N47513" s="1"/>
      <c r="V47513" s="5"/>
    </row>
    <row r="47514">
      <c r="N47514" s="1"/>
      <c r="V47514" s="5"/>
    </row>
    <row r="47515">
      <c r="N47515" s="1"/>
      <c r="V47515" s="5"/>
    </row>
    <row r="47516">
      <c r="N47516" s="1"/>
      <c r="V47516" s="5"/>
    </row>
    <row r="47517">
      <c r="N47517" s="1"/>
      <c r="V47517" s="5"/>
    </row>
    <row r="47518">
      <c r="N47518" s="1"/>
      <c r="V47518" s="5"/>
    </row>
    <row r="47519">
      <c r="N47519" s="1"/>
      <c r="V47519" s="5"/>
    </row>
    <row r="47520">
      <c r="N47520" s="1"/>
      <c r="V47520" s="5"/>
    </row>
    <row r="47521">
      <c r="N47521" s="1"/>
      <c r="V47521" s="5"/>
    </row>
    <row r="47522">
      <c r="N47522" s="1"/>
      <c r="V47522" s="5"/>
    </row>
    <row r="47523">
      <c r="N47523" s="1"/>
      <c r="V47523" s="5"/>
    </row>
    <row r="47524">
      <c r="N47524" s="1"/>
      <c r="V47524" s="5"/>
    </row>
    <row r="47525">
      <c r="N47525" s="1"/>
      <c r="V47525" s="5"/>
    </row>
    <row r="47526">
      <c r="N47526" s="1"/>
      <c r="V47526" s="5"/>
    </row>
    <row r="47527">
      <c r="N47527" s="1"/>
      <c r="V47527" s="5"/>
    </row>
    <row r="47528">
      <c r="N47528" s="1"/>
      <c r="V47528" s="5"/>
    </row>
    <row r="47529">
      <c r="N47529" s="1"/>
      <c r="V47529" s="5"/>
    </row>
    <row r="47530">
      <c r="N47530" s="1"/>
      <c r="V47530" s="5"/>
    </row>
    <row r="47531">
      <c r="N47531" s="1"/>
      <c r="V47531" s="5"/>
    </row>
    <row r="47532">
      <c r="N47532" s="1"/>
      <c r="V47532" s="5"/>
    </row>
    <row r="47533">
      <c r="N47533" s="1"/>
      <c r="V47533" s="5"/>
    </row>
    <row r="47534">
      <c r="N47534" s="1"/>
      <c r="V47534" s="5"/>
    </row>
    <row r="47535">
      <c r="N47535" s="1"/>
      <c r="V47535" s="5"/>
    </row>
    <row r="47536">
      <c r="N47536" s="1"/>
      <c r="V47536" s="5"/>
    </row>
    <row r="47537">
      <c r="N47537" s="1"/>
      <c r="V47537" s="5"/>
    </row>
    <row r="47538">
      <c r="N47538" s="1"/>
      <c r="V47538" s="5"/>
    </row>
    <row r="47539">
      <c r="N47539" s="1"/>
      <c r="V47539" s="5"/>
    </row>
    <row r="47540">
      <c r="N47540" s="1"/>
      <c r="V47540" s="5"/>
    </row>
    <row r="47541">
      <c r="N47541" s="1"/>
      <c r="V47541" s="5"/>
    </row>
    <row r="47542">
      <c r="N47542" s="1"/>
      <c r="V47542" s="5"/>
    </row>
    <row r="47543">
      <c r="N47543" s="1"/>
      <c r="V47543" s="5"/>
    </row>
    <row r="47544">
      <c r="N47544" s="1"/>
      <c r="V47544" s="5"/>
    </row>
    <row r="47545">
      <c r="N47545" s="1"/>
      <c r="V47545" s="5"/>
    </row>
    <row r="47546">
      <c r="N47546" s="1"/>
      <c r="V47546" s="5"/>
    </row>
    <row r="47547">
      <c r="N47547" s="1"/>
      <c r="V47547" s="5"/>
    </row>
    <row r="47548">
      <c r="N47548" s="1"/>
      <c r="V47548" s="5"/>
    </row>
    <row r="47549">
      <c r="N47549" s="1"/>
      <c r="V47549" s="5"/>
    </row>
    <row r="47550">
      <c r="N47550" s="1"/>
      <c r="V47550" s="5"/>
    </row>
    <row r="47551">
      <c r="N47551" s="1"/>
      <c r="V47551" s="5"/>
    </row>
    <row r="47552">
      <c r="N47552" s="1"/>
      <c r="V47552" s="5"/>
    </row>
    <row r="47553">
      <c r="N47553" s="1"/>
      <c r="V47553" s="5"/>
    </row>
    <row r="47554">
      <c r="N47554" s="1"/>
      <c r="V47554" s="5"/>
    </row>
    <row r="47555">
      <c r="N47555" s="1"/>
      <c r="V47555" s="5"/>
    </row>
    <row r="47556">
      <c r="N47556" s="1"/>
      <c r="V47556" s="5"/>
    </row>
    <row r="47557">
      <c r="N47557" s="1"/>
      <c r="V47557" s="5"/>
    </row>
    <row r="47558">
      <c r="N47558" s="1"/>
      <c r="V47558" s="5"/>
    </row>
    <row r="47559">
      <c r="N47559" s="1"/>
      <c r="V47559" s="5"/>
    </row>
    <row r="47560">
      <c r="N47560" s="1"/>
      <c r="V47560" s="5"/>
    </row>
    <row r="47561">
      <c r="N47561" s="1"/>
      <c r="V47561" s="5"/>
    </row>
    <row r="47562">
      <c r="N47562" s="1"/>
      <c r="V47562" s="5"/>
    </row>
    <row r="47563">
      <c r="N47563" s="1"/>
      <c r="V47563" s="5"/>
    </row>
    <row r="47564">
      <c r="N47564" s="1"/>
      <c r="V47564" s="5"/>
    </row>
    <row r="47565">
      <c r="N47565" s="1"/>
      <c r="V47565" s="5"/>
    </row>
    <row r="47566">
      <c r="N47566" s="1"/>
      <c r="V47566" s="5"/>
    </row>
    <row r="47567">
      <c r="N47567" s="1"/>
      <c r="V47567" s="5"/>
    </row>
    <row r="47568">
      <c r="N47568" s="1"/>
      <c r="V47568" s="5"/>
    </row>
    <row r="47569">
      <c r="N47569" s="1"/>
      <c r="V47569" s="5"/>
    </row>
    <row r="47570">
      <c r="N47570" s="1"/>
      <c r="V47570" s="5"/>
    </row>
    <row r="47571">
      <c r="N47571" s="1"/>
      <c r="V47571" s="5"/>
    </row>
    <row r="47572">
      <c r="N47572" s="1"/>
      <c r="V47572" s="5"/>
    </row>
    <row r="47573">
      <c r="N47573" s="1"/>
      <c r="V47573" s="5"/>
    </row>
    <row r="47574">
      <c r="N47574" s="1"/>
      <c r="V47574" s="5"/>
    </row>
    <row r="47575">
      <c r="N47575" s="1"/>
      <c r="V47575" s="5"/>
    </row>
    <row r="47576">
      <c r="N47576" s="1"/>
      <c r="V47576" s="5"/>
    </row>
    <row r="47577">
      <c r="N47577" s="1"/>
      <c r="V47577" s="5"/>
    </row>
    <row r="47578">
      <c r="N47578" s="1"/>
      <c r="V47578" s="5"/>
    </row>
    <row r="47579">
      <c r="N47579" s="1"/>
      <c r="V47579" s="5"/>
    </row>
    <row r="47580">
      <c r="N47580" s="1"/>
      <c r="V47580" s="5"/>
    </row>
    <row r="47581">
      <c r="N47581" s="1"/>
      <c r="V47581" s="5"/>
    </row>
    <row r="47582">
      <c r="N47582" s="1"/>
      <c r="V47582" s="5"/>
    </row>
    <row r="47583">
      <c r="N47583" s="1"/>
      <c r="V47583" s="5"/>
    </row>
    <row r="47584">
      <c r="N47584" s="1"/>
      <c r="V47584" s="5"/>
    </row>
    <row r="47585">
      <c r="N47585" s="1"/>
      <c r="V47585" s="5"/>
    </row>
    <row r="47586">
      <c r="N47586" s="1"/>
      <c r="V47586" s="5"/>
    </row>
    <row r="47587">
      <c r="N47587" s="1"/>
      <c r="V47587" s="5"/>
    </row>
    <row r="47588">
      <c r="N47588" s="1"/>
      <c r="V47588" s="5"/>
    </row>
    <row r="47589">
      <c r="N47589" s="1"/>
      <c r="V47589" s="5"/>
    </row>
    <row r="47590">
      <c r="N47590" s="1"/>
      <c r="V47590" s="5"/>
    </row>
    <row r="47591">
      <c r="N47591" s="1"/>
      <c r="V47591" s="5"/>
    </row>
    <row r="47592">
      <c r="N47592" s="1"/>
      <c r="V47592" s="5"/>
    </row>
    <row r="47593">
      <c r="N47593" s="1"/>
      <c r="V47593" s="5"/>
    </row>
    <row r="47594">
      <c r="N47594" s="1"/>
      <c r="V47594" s="5"/>
    </row>
    <row r="47595">
      <c r="N47595" s="1"/>
      <c r="V47595" s="5"/>
    </row>
    <row r="47596">
      <c r="N47596" s="1"/>
      <c r="V47596" s="5"/>
    </row>
    <row r="47597">
      <c r="N47597" s="1"/>
      <c r="V47597" s="5"/>
    </row>
    <row r="47598">
      <c r="N47598" s="1"/>
      <c r="V47598" s="5"/>
    </row>
    <row r="47599">
      <c r="N47599" s="1"/>
      <c r="V47599" s="5"/>
    </row>
    <row r="47600">
      <c r="N47600" s="1"/>
      <c r="V47600" s="5"/>
    </row>
    <row r="47601">
      <c r="N47601" s="1"/>
      <c r="V47601" s="5"/>
    </row>
    <row r="47602">
      <c r="N47602" s="1"/>
      <c r="V47602" s="5"/>
    </row>
    <row r="47603">
      <c r="N47603" s="1"/>
      <c r="V47603" s="5"/>
    </row>
    <row r="47604">
      <c r="N47604" s="1"/>
      <c r="V47604" s="5"/>
    </row>
    <row r="47605">
      <c r="N47605" s="1"/>
      <c r="V47605" s="5"/>
    </row>
    <row r="47606">
      <c r="N47606" s="1"/>
      <c r="V47606" s="5"/>
    </row>
    <row r="47607">
      <c r="N47607" s="1"/>
      <c r="V47607" s="5"/>
    </row>
    <row r="47608">
      <c r="N47608" s="1"/>
      <c r="V47608" s="5"/>
    </row>
    <row r="47609">
      <c r="N47609" s="1"/>
      <c r="V47609" s="5"/>
    </row>
    <row r="47610">
      <c r="N47610" s="1"/>
      <c r="V47610" s="5"/>
    </row>
    <row r="47611">
      <c r="N47611" s="1"/>
      <c r="V47611" s="5"/>
    </row>
    <row r="47612">
      <c r="N47612" s="1"/>
      <c r="V47612" s="5"/>
    </row>
    <row r="47613">
      <c r="N47613" s="1"/>
      <c r="V47613" s="5"/>
    </row>
    <row r="47614">
      <c r="N47614" s="1"/>
      <c r="V47614" s="5"/>
    </row>
    <row r="47615">
      <c r="N47615" s="1"/>
      <c r="V47615" s="5"/>
    </row>
    <row r="47616">
      <c r="N47616" s="1"/>
      <c r="V47616" s="5"/>
    </row>
    <row r="47617">
      <c r="N47617" s="1"/>
      <c r="V47617" s="5"/>
    </row>
    <row r="47618">
      <c r="N47618" s="1"/>
      <c r="V47618" s="5"/>
    </row>
    <row r="47619">
      <c r="N47619" s="1"/>
      <c r="V47619" s="5"/>
    </row>
    <row r="47620">
      <c r="N47620" s="1"/>
      <c r="V47620" s="5"/>
    </row>
    <row r="47621">
      <c r="N47621" s="1"/>
      <c r="V47621" s="5"/>
    </row>
    <row r="47622">
      <c r="N47622" s="1"/>
      <c r="V47622" s="5"/>
    </row>
    <row r="47623">
      <c r="N47623" s="1"/>
      <c r="V47623" s="5"/>
    </row>
    <row r="47624">
      <c r="N47624" s="1"/>
      <c r="V47624" s="5"/>
    </row>
    <row r="47625">
      <c r="N47625" s="1"/>
      <c r="V47625" s="5"/>
    </row>
    <row r="47626">
      <c r="N47626" s="1"/>
      <c r="V47626" s="5"/>
    </row>
    <row r="47627">
      <c r="N47627" s="1"/>
      <c r="V47627" s="5"/>
    </row>
    <row r="47628">
      <c r="N47628" s="1"/>
      <c r="V47628" s="5"/>
    </row>
    <row r="47629">
      <c r="N47629" s="1"/>
      <c r="V47629" s="5"/>
    </row>
    <row r="47630">
      <c r="N47630" s="1"/>
      <c r="V47630" s="5"/>
    </row>
    <row r="47631">
      <c r="N47631" s="1"/>
      <c r="V47631" s="5"/>
    </row>
    <row r="47632">
      <c r="N47632" s="1"/>
      <c r="V47632" s="5"/>
    </row>
    <row r="47633">
      <c r="N47633" s="1"/>
      <c r="V47633" s="5"/>
    </row>
    <row r="47634">
      <c r="N47634" s="1"/>
      <c r="V47634" s="5"/>
    </row>
    <row r="47635">
      <c r="N47635" s="1"/>
      <c r="V47635" s="5"/>
    </row>
    <row r="47636">
      <c r="N47636" s="1"/>
      <c r="V47636" s="5"/>
    </row>
    <row r="47637">
      <c r="N47637" s="1"/>
      <c r="V47637" s="5"/>
    </row>
    <row r="47638">
      <c r="N47638" s="1"/>
      <c r="V47638" s="5"/>
    </row>
    <row r="47639">
      <c r="N47639" s="1"/>
      <c r="V47639" s="5"/>
    </row>
    <row r="47640">
      <c r="N47640" s="1"/>
      <c r="V47640" s="5"/>
    </row>
    <row r="47641">
      <c r="N47641" s="1"/>
      <c r="V47641" s="5"/>
    </row>
    <row r="47642">
      <c r="N47642" s="1"/>
      <c r="V47642" s="5"/>
    </row>
    <row r="47643">
      <c r="N47643" s="1"/>
      <c r="V47643" s="5"/>
    </row>
    <row r="47644">
      <c r="N47644" s="1"/>
      <c r="V47644" s="5"/>
    </row>
    <row r="47645">
      <c r="N47645" s="1"/>
      <c r="V47645" s="5"/>
    </row>
    <row r="47646">
      <c r="N47646" s="1"/>
      <c r="V47646" s="5"/>
    </row>
    <row r="47647">
      <c r="N47647" s="1"/>
      <c r="V47647" s="5"/>
    </row>
    <row r="47648">
      <c r="N47648" s="1"/>
      <c r="V47648" s="5"/>
    </row>
    <row r="47649">
      <c r="N47649" s="1"/>
      <c r="V47649" s="5"/>
    </row>
    <row r="47650">
      <c r="N47650" s="1"/>
      <c r="V47650" s="5"/>
    </row>
    <row r="47651">
      <c r="N47651" s="1"/>
      <c r="V47651" s="5"/>
    </row>
    <row r="47652">
      <c r="N47652" s="1"/>
      <c r="V47652" s="5"/>
    </row>
    <row r="47653">
      <c r="N47653" s="1"/>
      <c r="V47653" s="5"/>
    </row>
    <row r="47654">
      <c r="N47654" s="1"/>
      <c r="V47654" s="5"/>
    </row>
    <row r="47655">
      <c r="N47655" s="1"/>
      <c r="V47655" s="5"/>
    </row>
    <row r="47656">
      <c r="N47656" s="1"/>
      <c r="V47656" s="5"/>
    </row>
    <row r="47657">
      <c r="N47657" s="1"/>
      <c r="V47657" s="5"/>
    </row>
    <row r="47658">
      <c r="N47658" s="1"/>
      <c r="V47658" s="5"/>
    </row>
    <row r="47659">
      <c r="N47659" s="1"/>
      <c r="V47659" s="5"/>
    </row>
    <row r="47660">
      <c r="N47660" s="1"/>
      <c r="V47660" s="5"/>
    </row>
    <row r="47661">
      <c r="N47661" s="1"/>
      <c r="V47661" s="5"/>
    </row>
    <row r="47662">
      <c r="N47662" s="1"/>
      <c r="V47662" s="5"/>
    </row>
    <row r="47663">
      <c r="N47663" s="1"/>
      <c r="V47663" s="5"/>
    </row>
    <row r="47664">
      <c r="N47664" s="1"/>
      <c r="V47664" s="5"/>
    </row>
    <row r="47665">
      <c r="N47665" s="1"/>
      <c r="V47665" s="5"/>
    </row>
    <row r="47666">
      <c r="N47666" s="1"/>
      <c r="V47666" s="5"/>
    </row>
    <row r="47667">
      <c r="N47667" s="1"/>
      <c r="V47667" s="5"/>
    </row>
    <row r="47668">
      <c r="N47668" s="1"/>
      <c r="V47668" s="5"/>
    </row>
    <row r="47669">
      <c r="N47669" s="1"/>
      <c r="V47669" s="5"/>
    </row>
    <row r="47670">
      <c r="N47670" s="1"/>
      <c r="V47670" s="5"/>
    </row>
    <row r="47671">
      <c r="N47671" s="1"/>
      <c r="V47671" s="5"/>
    </row>
    <row r="47672">
      <c r="N47672" s="1"/>
      <c r="V47672" s="5"/>
    </row>
    <row r="47673">
      <c r="N47673" s="1"/>
      <c r="V47673" s="5"/>
    </row>
    <row r="47674">
      <c r="N47674" s="1"/>
      <c r="V47674" s="5"/>
    </row>
    <row r="47675">
      <c r="N47675" s="1"/>
      <c r="V47675" s="5"/>
    </row>
    <row r="47676">
      <c r="N47676" s="1"/>
      <c r="V47676" s="5"/>
    </row>
    <row r="47677">
      <c r="N47677" s="1"/>
      <c r="V47677" s="5"/>
    </row>
    <row r="47678">
      <c r="N47678" s="1"/>
      <c r="V47678" s="5"/>
    </row>
    <row r="47679">
      <c r="N47679" s="1"/>
      <c r="V47679" s="5"/>
    </row>
    <row r="47680">
      <c r="N47680" s="1"/>
      <c r="V47680" s="5"/>
    </row>
    <row r="47681">
      <c r="N47681" s="1"/>
      <c r="V47681" s="5"/>
    </row>
    <row r="47682">
      <c r="N47682" s="1"/>
      <c r="V47682" s="5"/>
    </row>
    <row r="47683">
      <c r="N47683" s="1"/>
      <c r="V47683" s="5"/>
    </row>
    <row r="47684">
      <c r="N47684" s="1"/>
      <c r="V47684" s="5"/>
    </row>
    <row r="47685">
      <c r="N47685" s="1"/>
      <c r="V47685" s="5"/>
    </row>
    <row r="47686">
      <c r="N47686" s="1"/>
      <c r="V47686" s="5"/>
    </row>
    <row r="47687">
      <c r="N47687" s="1"/>
      <c r="V47687" s="5"/>
    </row>
    <row r="47688">
      <c r="N47688" s="1"/>
      <c r="V47688" s="5"/>
    </row>
    <row r="47689">
      <c r="N47689" s="1"/>
      <c r="V47689" s="5"/>
    </row>
    <row r="47690">
      <c r="N47690" s="1"/>
      <c r="V47690" s="5"/>
    </row>
    <row r="47691">
      <c r="N47691" s="1"/>
      <c r="V47691" s="5"/>
    </row>
    <row r="47692">
      <c r="N47692" s="1"/>
      <c r="V47692" s="5"/>
    </row>
    <row r="47693">
      <c r="N47693" s="1"/>
      <c r="V47693" s="5"/>
    </row>
    <row r="47694">
      <c r="N47694" s="1"/>
      <c r="V47694" s="5"/>
    </row>
    <row r="47695">
      <c r="N47695" s="1"/>
      <c r="V47695" s="5"/>
    </row>
    <row r="47696">
      <c r="N47696" s="1"/>
      <c r="V47696" s="5"/>
    </row>
    <row r="47697">
      <c r="N47697" s="1"/>
      <c r="V47697" s="5"/>
    </row>
    <row r="47698">
      <c r="N47698" s="1"/>
      <c r="V47698" s="5"/>
    </row>
    <row r="47699">
      <c r="N47699" s="1"/>
      <c r="V47699" s="5"/>
    </row>
    <row r="47700">
      <c r="N47700" s="1"/>
      <c r="V47700" s="5"/>
    </row>
    <row r="47701">
      <c r="N47701" s="1"/>
      <c r="V47701" s="5"/>
    </row>
    <row r="47702">
      <c r="N47702" s="1"/>
      <c r="V47702" s="5"/>
    </row>
    <row r="47703">
      <c r="N47703" s="1"/>
      <c r="V47703" s="5"/>
    </row>
    <row r="47704">
      <c r="N47704" s="1"/>
      <c r="V47704" s="5"/>
    </row>
    <row r="47705">
      <c r="N47705" s="1"/>
      <c r="V47705" s="5"/>
    </row>
    <row r="47706">
      <c r="N47706" s="1"/>
      <c r="V47706" s="5"/>
    </row>
    <row r="47707">
      <c r="N47707" s="1"/>
      <c r="V47707" s="5"/>
    </row>
    <row r="47708">
      <c r="N47708" s="1"/>
      <c r="V47708" s="5"/>
    </row>
    <row r="47709">
      <c r="N47709" s="1"/>
      <c r="V47709" s="5"/>
    </row>
    <row r="47710">
      <c r="N47710" s="1"/>
      <c r="V47710" s="5"/>
    </row>
    <row r="47711">
      <c r="N47711" s="1"/>
      <c r="V47711" s="5"/>
    </row>
    <row r="47712">
      <c r="N47712" s="1"/>
      <c r="V47712" s="5"/>
    </row>
    <row r="47713">
      <c r="N47713" s="1"/>
      <c r="V47713" s="5"/>
    </row>
    <row r="47714">
      <c r="N47714" s="1"/>
      <c r="V47714" s="5"/>
    </row>
    <row r="47715">
      <c r="N47715" s="1"/>
      <c r="V47715" s="5"/>
    </row>
    <row r="47716">
      <c r="N47716" s="1"/>
      <c r="V47716" s="5"/>
    </row>
    <row r="47717">
      <c r="N47717" s="1"/>
      <c r="V47717" s="5"/>
    </row>
    <row r="47718">
      <c r="N47718" s="1"/>
      <c r="V47718" s="5"/>
    </row>
    <row r="47719">
      <c r="N47719" s="1"/>
      <c r="V47719" s="5"/>
    </row>
    <row r="47720">
      <c r="N47720" s="1"/>
      <c r="V47720" s="5"/>
    </row>
    <row r="47721">
      <c r="N47721" s="1"/>
      <c r="V47721" s="5"/>
    </row>
    <row r="47722">
      <c r="N47722" s="1"/>
      <c r="V47722" s="5"/>
    </row>
    <row r="47723">
      <c r="N47723" s="1"/>
      <c r="V47723" s="5"/>
    </row>
    <row r="47724">
      <c r="N47724" s="1"/>
      <c r="V47724" s="5"/>
    </row>
    <row r="47725">
      <c r="N47725" s="1"/>
      <c r="V47725" s="5"/>
    </row>
    <row r="47726">
      <c r="N47726" s="1"/>
      <c r="V47726" s="5"/>
    </row>
    <row r="47727">
      <c r="N47727" s="1"/>
      <c r="V47727" s="5"/>
    </row>
    <row r="47728">
      <c r="N47728" s="1"/>
      <c r="V47728" s="5"/>
    </row>
    <row r="47729">
      <c r="N47729" s="1"/>
      <c r="V47729" s="5"/>
    </row>
    <row r="47730">
      <c r="N47730" s="1"/>
      <c r="V47730" s="5"/>
    </row>
    <row r="47731">
      <c r="N47731" s="1"/>
      <c r="V47731" s="5"/>
    </row>
    <row r="47732">
      <c r="N47732" s="1"/>
      <c r="V47732" s="5"/>
    </row>
    <row r="47733">
      <c r="N47733" s="1"/>
      <c r="V47733" s="5"/>
    </row>
    <row r="47734">
      <c r="N47734" s="1"/>
      <c r="V47734" s="5"/>
    </row>
    <row r="47735">
      <c r="N47735" s="1"/>
      <c r="V47735" s="5"/>
    </row>
    <row r="47736">
      <c r="N47736" s="1"/>
      <c r="V47736" s="5"/>
    </row>
    <row r="47737">
      <c r="N47737" s="1"/>
      <c r="V47737" s="5"/>
    </row>
    <row r="47738">
      <c r="N47738" s="1"/>
      <c r="V47738" s="5"/>
    </row>
    <row r="47739">
      <c r="N47739" s="1"/>
      <c r="V47739" s="5"/>
    </row>
    <row r="47740">
      <c r="N47740" s="1"/>
      <c r="V47740" s="5"/>
    </row>
    <row r="47741">
      <c r="N47741" s="1"/>
      <c r="V47741" s="5"/>
    </row>
    <row r="47742">
      <c r="N47742" s="1"/>
      <c r="V47742" s="5"/>
    </row>
    <row r="47743">
      <c r="N47743" s="1"/>
      <c r="V47743" s="5"/>
    </row>
    <row r="47744">
      <c r="N47744" s="1"/>
      <c r="V47744" s="5"/>
    </row>
    <row r="47745">
      <c r="N47745" s="1"/>
      <c r="V47745" s="5"/>
    </row>
    <row r="47746">
      <c r="N47746" s="1"/>
      <c r="V47746" s="5"/>
    </row>
    <row r="47747">
      <c r="N47747" s="1"/>
      <c r="V47747" s="5"/>
    </row>
    <row r="47748">
      <c r="N47748" s="1"/>
      <c r="V47748" s="5"/>
    </row>
    <row r="47749">
      <c r="N47749" s="1"/>
      <c r="V47749" s="5"/>
    </row>
    <row r="47750">
      <c r="N47750" s="1"/>
      <c r="V47750" s="5"/>
    </row>
    <row r="47751">
      <c r="N47751" s="1"/>
      <c r="V47751" s="5"/>
    </row>
    <row r="47752">
      <c r="N47752" s="1"/>
      <c r="V47752" s="5"/>
    </row>
    <row r="47753">
      <c r="N47753" s="1"/>
      <c r="V47753" s="5"/>
    </row>
    <row r="47754">
      <c r="N47754" s="1"/>
      <c r="V47754" s="5"/>
    </row>
    <row r="47755">
      <c r="N47755" s="1"/>
      <c r="V47755" s="5"/>
    </row>
    <row r="47756">
      <c r="N47756" s="1"/>
      <c r="V47756" s="5"/>
    </row>
    <row r="47757">
      <c r="N47757" s="1"/>
      <c r="V47757" s="5"/>
    </row>
    <row r="47758">
      <c r="N47758" s="1"/>
      <c r="V47758" s="5"/>
    </row>
    <row r="47759">
      <c r="N47759" s="1"/>
      <c r="V47759" s="5"/>
    </row>
    <row r="47760">
      <c r="N47760" s="1"/>
      <c r="V47760" s="5"/>
    </row>
    <row r="47761">
      <c r="N47761" s="1"/>
      <c r="V47761" s="5"/>
    </row>
    <row r="47762">
      <c r="N47762" s="1"/>
      <c r="V47762" s="5"/>
    </row>
    <row r="47763">
      <c r="N47763" s="1"/>
      <c r="V47763" s="5"/>
    </row>
    <row r="47764">
      <c r="N47764" s="1"/>
      <c r="V47764" s="5"/>
    </row>
    <row r="47765">
      <c r="N47765" s="1"/>
      <c r="V47765" s="5"/>
    </row>
    <row r="47766">
      <c r="N47766" s="1"/>
      <c r="V47766" s="5"/>
    </row>
    <row r="47767">
      <c r="N47767" s="1"/>
      <c r="V47767" s="5"/>
    </row>
    <row r="47768">
      <c r="N47768" s="1"/>
      <c r="V47768" s="5"/>
    </row>
    <row r="47769">
      <c r="N47769" s="1"/>
      <c r="V47769" s="5"/>
    </row>
    <row r="47770">
      <c r="N47770" s="1"/>
      <c r="V47770" s="5"/>
    </row>
    <row r="47771">
      <c r="N47771" s="1"/>
      <c r="V47771" s="5"/>
    </row>
    <row r="47772">
      <c r="N47772" s="1"/>
      <c r="V47772" s="5"/>
    </row>
    <row r="47773">
      <c r="N47773" s="1"/>
      <c r="V47773" s="5"/>
    </row>
    <row r="47774">
      <c r="N47774" s="1"/>
      <c r="V47774" s="5"/>
    </row>
    <row r="47775">
      <c r="N47775" s="1"/>
      <c r="V47775" s="5"/>
    </row>
    <row r="47776">
      <c r="N47776" s="1"/>
      <c r="V47776" s="5"/>
    </row>
    <row r="47777">
      <c r="N47777" s="1"/>
      <c r="V47777" s="5"/>
    </row>
    <row r="47778">
      <c r="N47778" s="1"/>
      <c r="V47778" s="5"/>
    </row>
    <row r="47779">
      <c r="N47779" s="1"/>
      <c r="V47779" s="5"/>
    </row>
    <row r="47780">
      <c r="N47780" s="1"/>
      <c r="V47780" s="5"/>
    </row>
    <row r="47781">
      <c r="N47781" s="1"/>
      <c r="V47781" s="5"/>
    </row>
    <row r="47782">
      <c r="N47782" s="1"/>
      <c r="V47782" s="5"/>
    </row>
    <row r="47783">
      <c r="N47783" s="1"/>
      <c r="V47783" s="5"/>
    </row>
    <row r="47784">
      <c r="N47784" s="1"/>
      <c r="V47784" s="5"/>
    </row>
    <row r="47785">
      <c r="N47785" s="1"/>
      <c r="V47785" s="5"/>
    </row>
    <row r="47786">
      <c r="N47786" s="1"/>
      <c r="V47786" s="5"/>
    </row>
    <row r="47787">
      <c r="N47787" s="1"/>
      <c r="V47787" s="5"/>
    </row>
    <row r="47788">
      <c r="N47788" s="1"/>
      <c r="V47788" s="5"/>
    </row>
    <row r="47789">
      <c r="N47789" s="1"/>
      <c r="V47789" s="5"/>
    </row>
    <row r="47790">
      <c r="N47790" s="1"/>
      <c r="V47790" s="5"/>
    </row>
    <row r="47791">
      <c r="N47791" s="1"/>
      <c r="V47791" s="5"/>
    </row>
    <row r="47792">
      <c r="N47792" s="1"/>
      <c r="V47792" s="5"/>
    </row>
    <row r="47793">
      <c r="N47793" s="1"/>
      <c r="V47793" s="5"/>
    </row>
    <row r="47794">
      <c r="N47794" s="1"/>
      <c r="V47794" s="5"/>
    </row>
    <row r="47795">
      <c r="N47795" s="1"/>
      <c r="V47795" s="5"/>
    </row>
    <row r="47796">
      <c r="N47796" s="1"/>
      <c r="V47796" s="5"/>
    </row>
    <row r="47797">
      <c r="N47797" s="1"/>
      <c r="V47797" s="5"/>
    </row>
    <row r="47798">
      <c r="N47798" s="1"/>
      <c r="V47798" s="5"/>
    </row>
    <row r="47799">
      <c r="N47799" s="1"/>
      <c r="V47799" s="5"/>
    </row>
    <row r="47800">
      <c r="N47800" s="1"/>
      <c r="V47800" s="5"/>
    </row>
    <row r="47801">
      <c r="N47801" s="1"/>
      <c r="V47801" s="5"/>
    </row>
    <row r="47802">
      <c r="N47802" s="1"/>
      <c r="V47802" s="5"/>
    </row>
    <row r="47803">
      <c r="N47803" s="1"/>
      <c r="V47803" s="5"/>
    </row>
    <row r="47804">
      <c r="N47804" s="1"/>
      <c r="V47804" s="5"/>
    </row>
    <row r="47805">
      <c r="N47805" s="1"/>
      <c r="V47805" s="5"/>
    </row>
    <row r="47806">
      <c r="N47806" s="1"/>
      <c r="V47806" s="5"/>
    </row>
    <row r="47807">
      <c r="N47807" s="1"/>
      <c r="V47807" s="5"/>
    </row>
    <row r="47808">
      <c r="N47808" s="1"/>
      <c r="V47808" s="5"/>
    </row>
    <row r="47809">
      <c r="N47809" s="1"/>
      <c r="V47809" s="5"/>
    </row>
    <row r="47810">
      <c r="N47810" s="1"/>
      <c r="V47810" s="5"/>
    </row>
    <row r="47811">
      <c r="N47811" s="1"/>
      <c r="V47811" s="5"/>
    </row>
    <row r="47812">
      <c r="N47812" s="1"/>
      <c r="V47812" s="5"/>
    </row>
    <row r="47813">
      <c r="N47813" s="1"/>
      <c r="V47813" s="5"/>
    </row>
    <row r="47814">
      <c r="N47814" s="1"/>
      <c r="V47814" s="5"/>
    </row>
    <row r="47815">
      <c r="N47815" s="1"/>
      <c r="V47815" s="5"/>
    </row>
    <row r="47816">
      <c r="N47816" s="1"/>
      <c r="V47816" s="5"/>
    </row>
    <row r="47817">
      <c r="N47817" s="1"/>
      <c r="V47817" s="5"/>
    </row>
    <row r="47818">
      <c r="N47818" s="1"/>
      <c r="V47818" s="5"/>
    </row>
    <row r="47819">
      <c r="N47819" s="1"/>
      <c r="V47819" s="5"/>
    </row>
    <row r="47820">
      <c r="N47820" s="1"/>
      <c r="V47820" s="5"/>
    </row>
    <row r="47821">
      <c r="N47821" s="1"/>
      <c r="V47821" s="5"/>
    </row>
    <row r="47822">
      <c r="N47822" s="1"/>
      <c r="V47822" s="5"/>
    </row>
    <row r="47823">
      <c r="N47823" s="1"/>
      <c r="V47823" s="5"/>
    </row>
    <row r="47824">
      <c r="N47824" s="1"/>
      <c r="V47824" s="5"/>
    </row>
    <row r="47825">
      <c r="N47825" s="1"/>
      <c r="V47825" s="5"/>
    </row>
    <row r="47826">
      <c r="N47826" s="1"/>
      <c r="V47826" s="5"/>
    </row>
    <row r="47827">
      <c r="N47827" s="1"/>
      <c r="V47827" s="5"/>
    </row>
    <row r="47828">
      <c r="N47828" s="1"/>
      <c r="V47828" s="5"/>
    </row>
    <row r="47829">
      <c r="N47829" s="1"/>
      <c r="V47829" s="5"/>
    </row>
    <row r="47830">
      <c r="N47830" s="1"/>
      <c r="V47830" s="5"/>
    </row>
    <row r="47831">
      <c r="N47831" s="1"/>
      <c r="V47831" s="5"/>
    </row>
    <row r="47832">
      <c r="N47832" s="1"/>
      <c r="V47832" s="5"/>
    </row>
    <row r="47833">
      <c r="N47833" s="1"/>
      <c r="V47833" s="5"/>
    </row>
    <row r="47834">
      <c r="N47834" s="1"/>
      <c r="V47834" s="5"/>
    </row>
    <row r="47835">
      <c r="N47835" s="1"/>
      <c r="V47835" s="5"/>
    </row>
    <row r="47836">
      <c r="N47836" s="1"/>
      <c r="V47836" s="5"/>
    </row>
    <row r="47837">
      <c r="N47837" s="1"/>
      <c r="V47837" s="5"/>
    </row>
    <row r="47838">
      <c r="N47838" s="1"/>
      <c r="V47838" s="5"/>
    </row>
    <row r="47839">
      <c r="N47839" s="1"/>
      <c r="V47839" s="5"/>
    </row>
    <row r="47840">
      <c r="N47840" s="1"/>
      <c r="V47840" s="5"/>
    </row>
    <row r="47841">
      <c r="N47841" s="1"/>
      <c r="V47841" s="5"/>
    </row>
    <row r="47842">
      <c r="N47842" s="1"/>
      <c r="V47842" s="5"/>
    </row>
    <row r="47843">
      <c r="N47843" s="1"/>
      <c r="V47843" s="5"/>
    </row>
    <row r="47844">
      <c r="N47844" s="1"/>
      <c r="V47844" s="5"/>
    </row>
    <row r="47845">
      <c r="N47845" s="1"/>
      <c r="V47845" s="5"/>
    </row>
    <row r="47846">
      <c r="N47846" s="1"/>
      <c r="V47846" s="5"/>
    </row>
    <row r="47847">
      <c r="N47847" s="1"/>
      <c r="V47847" s="5"/>
    </row>
    <row r="47848">
      <c r="N47848" s="1"/>
      <c r="V47848" s="5"/>
    </row>
    <row r="47849">
      <c r="N47849" s="1"/>
      <c r="V47849" s="5"/>
    </row>
    <row r="47850">
      <c r="N47850" s="1"/>
      <c r="V47850" s="5"/>
    </row>
    <row r="47851">
      <c r="N47851" s="1"/>
      <c r="V47851" s="5"/>
    </row>
    <row r="47852">
      <c r="N47852" s="1"/>
      <c r="V47852" s="5"/>
    </row>
    <row r="47853">
      <c r="N47853" s="1"/>
      <c r="V47853" s="5"/>
    </row>
    <row r="47854">
      <c r="N47854" s="1"/>
      <c r="V47854" s="5"/>
    </row>
    <row r="47855">
      <c r="N47855" s="1"/>
      <c r="V47855" s="5"/>
    </row>
    <row r="47856">
      <c r="N47856" s="1"/>
      <c r="V47856" s="5"/>
    </row>
    <row r="47857">
      <c r="N47857" s="1"/>
      <c r="V47857" s="5"/>
    </row>
    <row r="47858">
      <c r="N47858" s="1"/>
      <c r="V47858" s="5"/>
    </row>
    <row r="47859">
      <c r="N47859" s="1"/>
      <c r="V47859" s="5"/>
    </row>
    <row r="47860">
      <c r="N47860" s="1"/>
      <c r="V47860" s="5"/>
    </row>
    <row r="47861">
      <c r="N47861" s="1"/>
      <c r="V47861" s="5"/>
    </row>
    <row r="47862">
      <c r="N47862" s="1"/>
      <c r="V47862" s="5"/>
    </row>
    <row r="47863">
      <c r="N47863" s="1"/>
      <c r="V47863" s="5"/>
    </row>
    <row r="47864">
      <c r="N47864" s="1"/>
      <c r="V47864" s="5"/>
    </row>
    <row r="47865">
      <c r="N47865" s="1"/>
      <c r="V47865" s="5"/>
    </row>
    <row r="47866">
      <c r="N47866" s="1"/>
      <c r="V47866" s="5"/>
    </row>
    <row r="47867">
      <c r="N47867" s="1"/>
      <c r="V47867" s="5"/>
    </row>
    <row r="47868">
      <c r="N47868" s="1"/>
      <c r="V47868" s="5"/>
    </row>
    <row r="47869">
      <c r="N47869" s="1"/>
      <c r="V47869" s="5"/>
    </row>
    <row r="47870">
      <c r="N47870" s="1"/>
      <c r="V47870" s="5"/>
    </row>
    <row r="47871">
      <c r="N47871" s="1"/>
      <c r="V47871" s="5"/>
    </row>
    <row r="47872">
      <c r="N47872" s="1"/>
      <c r="V47872" s="5"/>
    </row>
    <row r="47873">
      <c r="N47873" s="1"/>
      <c r="V47873" s="5"/>
    </row>
    <row r="47874">
      <c r="N47874" s="1"/>
      <c r="V47874" s="5"/>
    </row>
    <row r="47875">
      <c r="N47875" s="1"/>
      <c r="V47875" s="5"/>
    </row>
    <row r="47876">
      <c r="N47876" s="1"/>
      <c r="V47876" s="5"/>
    </row>
    <row r="47877">
      <c r="N47877" s="1"/>
      <c r="V47877" s="5"/>
    </row>
    <row r="47878">
      <c r="N47878" s="1"/>
      <c r="V47878" s="5"/>
    </row>
    <row r="47879">
      <c r="N47879" s="1"/>
      <c r="V47879" s="5"/>
    </row>
    <row r="47880">
      <c r="N47880" s="1"/>
      <c r="V47880" s="5"/>
    </row>
    <row r="47881">
      <c r="N47881" s="1"/>
      <c r="V47881" s="5"/>
    </row>
    <row r="47882">
      <c r="N47882" s="1"/>
      <c r="V47882" s="5"/>
    </row>
    <row r="47883">
      <c r="N47883" s="1"/>
      <c r="V47883" s="5"/>
    </row>
    <row r="47884">
      <c r="N47884" s="1"/>
      <c r="V47884" s="5"/>
    </row>
    <row r="47885">
      <c r="N47885" s="1"/>
      <c r="V47885" s="5"/>
    </row>
    <row r="47886">
      <c r="N47886" s="1"/>
      <c r="V47886" s="5"/>
    </row>
    <row r="47887">
      <c r="N47887" s="1"/>
      <c r="V47887" s="5"/>
    </row>
    <row r="47888">
      <c r="N47888" s="1"/>
      <c r="V47888" s="5"/>
    </row>
    <row r="47889">
      <c r="N47889" s="1"/>
      <c r="V47889" s="5"/>
    </row>
    <row r="47890">
      <c r="N47890" s="1"/>
      <c r="V47890" s="5"/>
    </row>
    <row r="47891">
      <c r="N47891" s="1"/>
      <c r="V47891" s="5"/>
    </row>
    <row r="47892">
      <c r="N47892" s="1"/>
      <c r="V47892" s="5"/>
    </row>
    <row r="47893">
      <c r="N47893" s="1"/>
      <c r="V47893" s="5"/>
    </row>
    <row r="47894">
      <c r="N47894" s="1"/>
      <c r="V47894" s="5"/>
    </row>
    <row r="47895">
      <c r="N47895" s="1"/>
      <c r="V47895" s="5"/>
    </row>
    <row r="47896">
      <c r="N47896" s="1"/>
      <c r="V47896" s="5"/>
    </row>
    <row r="47897">
      <c r="N47897" s="1"/>
      <c r="V47897" s="5"/>
    </row>
    <row r="47898">
      <c r="N47898" s="1"/>
      <c r="V47898" s="5"/>
    </row>
    <row r="47899">
      <c r="N47899" s="1"/>
      <c r="V47899" s="5"/>
    </row>
    <row r="47900">
      <c r="N47900" s="1"/>
      <c r="V47900" s="5"/>
    </row>
    <row r="47901">
      <c r="N47901" s="1"/>
      <c r="V47901" s="5"/>
    </row>
    <row r="47902">
      <c r="N47902" s="1"/>
      <c r="V47902" s="5"/>
    </row>
    <row r="47903">
      <c r="N47903" s="1"/>
      <c r="V47903" s="5"/>
    </row>
    <row r="47904">
      <c r="N47904" s="1"/>
      <c r="V47904" s="5"/>
    </row>
    <row r="47905">
      <c r="N47905" s="1"/>
      <c r="V47905" s="5"/>
    </row>
    <row r="47906">
      <c r="N47906" s="1"/>
      <c r="V47906" s="5"/>
    </row>
    <row r="47907">
      <c r="N47907" s="1"/>
      <c r="V47907" s="5"/>
    </row>
    <row r="47908">
      <c r="N47908" s="1"/>
      <c r="V47908" s="5"/>
    </row>
    <row r="47909">
      <c r="N47909" s="1"/>
      <c r="V47909" s="5"/>
    </row>
    <row r="47910">
      <c r="N47910" s="1"/>
      <c r="V47910" s="5"/>
    </row>
    <row r="47911">
      <c r="N47911" s="1"/>
      <c r="V47911" s="5"/>
    </row>
    <row r="47912">
      <c r="N47912" s="1"/>
      <c r="V47912" s="5"/>
    </row>
    <row r="47913">
      <c r="N47913" s="1"/>
      <c r="V47913" s="5"/>
    </row>
    <row r="47914">
      <c r="N47914" s="1"/>
      <c r="V47914" s="5"/>
    </row>
    <row r="47915">
      <c r="N47915" s="1"/>
      <c r="V47915" s="5"/>
    </row>
    <row r="47916">
      <c r="N47916" s="1"/>
      <c r="V47916" s="5"/>
    </row>
    <row r="47917">
      <c r="N47917" s="1"/>
      <c r="V47917" s="5"/>
    </row>
    <row r="47918">
      <c r="N47918" s="1"/>
      <c r="V47918" s="5"/>
    </row>
    <row r="47919">
      <c r="N47919" s="1"/>
      <c r="V47919" s="5"/>
    </row>
    <row r="47920">
      <c r="N47920" s="1"/>
      <c r="V47920" s="5"/>
    </row>
    <row r="47921">
      <c r="N47921" s="1"/>
      <c r="V47921" s="5"/>
    </row>
    <row r="47922">
      <c r="N47922" s="1"/>
      <c r="V47922" s="5"/>
    </row>
    <row r="47923">
      <c r="N47923" s="1"/>
      <c r="V47923" s="5"/>
    </row>
    <row r="47924">
      <c r="N47924" s="1"/>
      <c r="V47924" s="5"/>
    </row>
    <row r="47925">
      <c r="N47925" s="1"/>
      <c r="V47925" s="5"/>
    </row>
    <row r="47926">
      <c r="N47926" s="1"/>
      <c r="V47926" s="5"/>
    </row>
    <row r="47927">
      <c r="N47927" s="1"/>
      <c r="V47927" s="5"/>
    </row>
    <row r="47928">
      <c r="N47928" s="1"/>
      <c r="V47928" s="5"/>
    </row>
    <row r="47929">
      <c r="N47929" s="1"/>
      <c r="V47929" s="5"/>
    </row>
    <row r="47930">
      <c r="N47930" s="1"/>
      <c r="V47930" s="5"/>
    </row>
    <row r="47931">
      <c r="N47931" s="1"/>
      <c r="V47931" s="5"/>
    </row>
    <row r="47932">
      <c r="N47932" s="1"/>
      <c r="V47932" s="5"/>
    </row>
    <row r="47933">
      <c r="N47933" s="1"/>
      <c r="V47933" s="5"/>
    </row>
    <row r="47934">
      <c r="N47934" s="1"/>
      <c r="V47934" s="5"/>
    </row>
    <row r="47935">
      <c r="N47935" s="1"/>
      <c r="V47935" s="5"/>
    </row>
    <row r="47936">
      <c r="N47936" s="1"/>
      <c r="V47936" s="5"/>
    </row>
    <row r="47937">
      <c r="N47937" s="1"/>
      <c r="V47937" s="5"/>
    </row>
    <row r="47938">
      <c r="N47938" s="1"/>
      <c r="V47938" s="5"/>
    </row>
    <row r="47939">
      <c r="N47939" s="1"/>
      <c r="V47939" s="5"/>
    </row>
    <row r="47940">
      <c r="N47940" s="1"/>
      <c r="V47940" s="5"/>
    </row>
    <row r="47941">
      <c r="N47941" s="1"/>
      <c r="V47941" s="5"/>
    </row>
    <row r="47942">
      <c r="N47942" s="1"/>
      <c r="V47942" s="5"/>
    </row>
    <row r="47943">
      <c r="N47943" s="1"/>
      <c r="V47943" s="5"/>
    </row>
    <row r="47944">
      <c r="N47944" s="1"/>
      <c r="V47944" s="5"/>
    </row>
    <row r="47945">
      <c r="N47945" s="1"/>
      <c r="V47945" s="5"/>
    </row>
    <row r="47946">
      <c r="N47946" s="1"/>
      <c r="V47946" s="5"/>
    </row>
    <row r="47947">
      <c r="N47947" s="1"/>
      <c r="V47947" s="5"/>
    </row>
    <row r="47948">
      <c r="N47948" s="1"/>
      <c r="V47948" s="5"/>
    </row>
    <row r="47949">
      <c r="N47949" s="1"/>
      <c r="V47949" s="5"/>
    </row>
    <row r="47950">
      <c r="N47950" s="1"/>
      <c r="V47950" s="5"/>
    </row>
    <row r="47951">
      <c r="N47951" s="1"/>
      <c r="V47951" s="5"/>
    </row>
    <row r="47952">
      <c r="N47952" s="1"/>
      <c r="V47952" s="5"/>
    </row>
    <row r="47953">
      <c r="N47953" s="1"/>
      <c r="V47953" s="5"/>
    </row>
    <row r="47954">
      <c r="N47954" s="1"/>
      <c r="V47954" s="5"/>
    </row>
    <row r="47955">
      <c r="N47955" s="1"/>
      <c r="V47955" s="5"/>
    </row>
    <row r="47956">
      <c r="N47956" s="1"/>
      <c r="V47956" s="5"/>
    </row>
    <row r="47957">
      <c r="N47957" s="1"/>
      <c r="V47957" s="5"/>
    </row>
    <row r="47958">
      <c r="N47958" s="1"/>
      <c r="V47958" s="5"/>
    </row>
    <row r="47959">
      <c r="N47959" s="1"/>
      <c r="V47959" s="5"/>
    </row>
    <row r="47960">
      <c r="N47960" s="1"/>
      <c r="V47960" s="5"/>
    </row>
    <row r="47961">
      <c r="N47961" s="1"/>
      <c r="V47961" s="5"/>
    </row>
    <row r="47962">
      <c r="N47962" s="1"/>
      <c r="V47962" s="5"/>
    </row>
    <row r="47963">
      <c r="N47963" s="1"/>
      <c r="V47963" s="5"/>
    </row>
    <row r="47964">
      <c r="N47964" s="1"/>
      <c r="V47964" s="5"/>
    </row>
    <row r="47965">
      <c r="N47965" s="1"/>
      <c r="V47965" s="5"/>
    </row>
    <row r="47966">
      <c r="N47966" s="1"/>
      <c r="V47966" s="5"/>
    </row>
    <row r="47967">
      <c r="N47967" s="1"/>
      <c r="V47967" s="5"/>
    </row>
    <row r="47968">
      <c r="N47968" s="1"/>
      <c r="V47968" s="5"/>
    </row>
    <row r="47969">
      <c r="N47969" s="1"/>
      <c r="V47969" s="5"/>
    </row>
    <row r="47970">
      <c r="N47970" s="1"/>
      <c r="V47970" s="5"/>
    </row>
    <row r="47971">
      <c r="N47971" s="1"/>
      <c r="V47971" s="5"/>
    </row>
    <row r="47972">
      <c r="N47972" s="1"/>
      <c r="V47972" s="5"/>
    </row>
    <row r="47973">
      <c r="N47973" s="1"/>
      <c r="V47973" s="5"/>
    </row>
    <row r="47974">
      <c r="N47974" s="1"/>
      <c r="V47974" s="5"/>
    </row>
    <row r="47975">
      <c r="N47975" s="1"/>
      <c r="V47975" s="5"/>
    </row>
    <row r="47976">
      <c r="N47976" s="1"/>
      <c r="V47976" s="5"/>
    </row>
    <row r="47977">
      <c r="N47977" s="1"/>
      <c r="V47977" s="5"/>
    </row>
    <row r="47978">
      <c r="N47978" s="1"/>
      <c r="V47978" s="5"/>
    </row>
    <row r="47979">
      <c r="N47979" s="1"/>
      <c r="V47979" s="5"/>
    </row>
    <row r="47980">
      <c r="N47980" s="1"/>
      <c r="V47980" s="5"/>
    </row>
    <row r="47981">
      <c r="N47981" s="1"/>
      <c r="V47981" s="5"/>
    </row>
    <row r="47982">
      <c r="N47982" s="1"/>
      <c r="V47982" s="5"/>
    </row>
    <row r="47983">
      <c r="N47983" s="1"/>
      <c r="V47983" s="5"/>
    </row>
    <row r="47984">
      <c r="N47984" s="1"/>
      <c r="V47984" s="5"/>
    </row>
    <row r="47985">
      <c r="N47985" s="1"/>
      <c r="V47985" s="5"/>
    </row>
    <row r="47986">
      <c r="N47986" s="1"/>
      <c r="V47986" s="5"/>
    </row>
    <row r="47987">
      <c r="N47987" s="1"/>
      <c r="V47987" s="5"/>
    </row>
    <row r="47988">
      <c r="N47988" s="1"/>
      <c r="V47988" s="5"/>
    </row>
    <row r="47989">
      <c r="N47989" s="1"/>
      <c r="V47989" s="5"/>
    </row>
    <row r="47990">
      <c r="N47990" s="1"/>
      <c r="V47990" s="5"/>
    </row>
    <row r="47991">
      <c r="N47991" s="1"/>
      <c r="V47991" s="5"/>
    </row>
    <row r="47992">
      <c r="N47992" s="1"/>
      <c r="V47992" s="5"/>
    </row>
    <row r="47993">
      <c r="N47993" s="1"/>
      <c r="V47993" s="5"/>
    </row>
    <row r="47994">
      <c r="N47994" s="1"/>
      <c r="V47994" s="5"/>
    </row>
    <row r="47995">
      <c r="N47995" s="1"/>
      <c r="V47995" s="5"/>
    </row>
    <row r="47996">
      <c r="N47996" s="1"/>
      <c r="V47996" s="5"/>
    </row>
    <row r="47997">
      <c r="N47997" s="1"/>
      <c r="V47997" s="5"/>
    </row>
    <row r="47998">
      <c r="N47998" s="1"/>
      <c r="V47998" s="5"/>
    </row>
    <row r="47999">
      <c r="N47999" s="1"/>
      <c r="V47999" s="5"/>
    </row>
    <row r="48000">
      <c r="N48000" s="1"/>
      <c r="V48000" s="5"/>
    </row>
    <row r="48001">
      <c r="N48001" s="1"/>
      <c r="V48001" s="5"/>
    </row>
    <row r="48002">
      <c r="N48002" s="1"/>
      <c r="V48002" s="5"/>
    </row>
    <row r="48003">
      <c r="N48003" s="1"/>
      <c r="V48003" s="5"/>
    </row>
    <row r="48004">
      <c r="N48004" s="1"/>
      <c r="V48004" s="5"/>
    </row>
    <row r="48005">
      <c r="N48005" s="1"/>
      <c r="V48005" s="5"/>
    </row>
    <row r="48006">
      <c r="N48006" s="1"/>
      <c r="V48006" s="5"/>
    </row>
    <row r="48007">
      <c r="N48007" s="1"/>
      <c r="V48007" s="5"/>
    </row>
    <row r="48008">
      <c r="N48008" s="1"/>
      <c r="V48008" s="5"/>
    </row>
    <row r="48009">
      <c r="N48009" s="1"/>
      <c r="V48009" s="5"/>
    </row>
    <row r="48010">
      <c r="N48010" s="1"/>
      <c r="V48010" s="5"/>
    </row>
    <row r="48011">
      <c r="N48011" s="1"/>
      <c r="V48011" s="5"/>
    </row>
    <row r="48012">
      <c r="N48012" s="1"/>
      <c r="V48012" s="5"/>
    </row>
    <row r="48013">
      <c r="N48013" s="1"/>
      <c r="V48013" s="5"/>
    </row>
    <row r="48014">
      <c r="N48014" s="1"/>
      <c r="V48014" s="5"/>
    </row>
    <row r="48015">
      <c r="N48015" s="1"/>
      <c r="V48015" s="5"/>
    </row>
    <row r="48016">
      <c r="N48016" s="1"/>
      <c r="V48016" s="5"/>
    </row>
    <row r="48017">
      <c r="N48017" s="1"/>
      <c r="V48017" s="5"/>
    </row>
    <row r="48018">
      <c r="N48018" s="1"/>
      <c r="V48018" s="5"/>
    </row>
    <row r="48019">
      <c r="N48019" s="1"/>
      <c r="V48019" s="5"/>
    </row>
    <row r="48020">
      <c r="N48020" s="1"/>
      <c r="V48020" s="5"/>
    </row>
    <row r="48021">
      <c r="N48021" s="1"/>
      <c r="V48021" s="5"/>
    </row>
    <row r="48022">
      <c r="N48022" s="1"/>
      <c r="V48022" s="5"/>
    </row>
    <row r="48023">
      <c r="N48023" s="1"/>
      <c r="V48023" s="5"/>
    </row>
    <row r="48024">
      <c r="N48024" s="1"/>
      <c r="V48024" s="5"/>
    </row>
    <row r="48025">
      <c r="N48025" s="1"/>
      <c r="V48025" s="5"/>
    </row>
    <row r="48026">
      <c r="N48026" s="1"/>
      <c r="V48026" s="5"/>
    </row>
    <row r="48027">
      <c r="N48027" s="1"/>
      <c r="V48027" s="5"/>
    </row>
    <row r="48028">
      <c r="N48028" s="1"/>
      <c r="V48028" s="5"/>
    </row>
    <row r="48029">
      <c r="N48029" s="1"/>
      <c r="V48029" s="5"/>
    </row>
    <row r="48030">
      <c r="N48030" s="1"/>
      <c r="V48030" s="5"/>
    </row>
    <row r="48031">
      <c r="N48031" s="1"/>
      <c r="V48031" s="5"/>
    </row>
    <row r="48032">
      <c r="N48032" s="1"/>
      <c r="V48032" s="5"/>
    </row>
    <row r="48033">
      <c r="N48033" s="1"/>
      <c r="V48033" s="5"/>
    </row>
    <row r="48034">
      <c r="N48034" s="1"/>
      <c r="V48034" s="5"/>
    </row>
    <row r="48035">
      <c r="N48035" s="1"/>
      <c r="V48035" s="5"/>
    </row>
    <row r="48036">
      <c r="N48036" s="1"/>
      <c r="V48036" s="5"/>
    </row>
    <row r="48037">
      <c r="N48037" s="1"/>
      <c r="V48037" s="5"/>
    </row>
    <row r="48038">
      <c r="N48038" s="1"/>
      <c r="V48038" s="5"/>
    </row>
    <row r="48039">
      <c r="N48039" s="1"/>
      <c r="V48039" s="5"/>
    </row>
    <row r="48040">
      <c r="N48040" s="1"/>
      <c r="V48040" s="5"/>
    </row>
    <row r="48041">
      <c r="N48041" s="1"/>
      <c r="V48041" s="5"/>
    </row>
    <row r="48042">
      <c r="N48042" s="1"/>
      <c r="V48042" s="5"/>
    </row>
    <row r="48043">
      <c r="N48043" s="1"/>
      <c r="V48043" s="5"/>
    </row>
    <row r="48044">
      <c r="N48044" s="1"/>
      <c r="V48044" s="5"/>
    </row>
    <row r="48045">
      <c r="N48045" s="1"/>
      <c r="V48045" s="5"/>
    </row>
    <row r="48046">
      <c r="N48046" s="1"/>
      <c r="V48046" s="5"/>
    </row>
    <row r="48047">
      <c r="N48047" s="1"/>
      <c r="V48047" s="5"/>
    </row>
    <row r="48048">
      <c r="N48048" s="1"/>
      <c r="V48048" s="5"/>
    </row>
    <row r="48049">
      <c r="N48049" s="1"/>
      <c r="V48049" s="5"/>
    </row>
    <row r="48050">
      <c r="N48050" s="1"/>
      <c r="V48050" s="5"/>
    </row>
    <row r="48051">
      <c r="N48051" s="1"/>
      <c r="V48051" s="5"/>
    </row>
    <row r="48052">
      <c r="N48052" s="1"/>
      <c r="V48052" s="5"/>
    </row>
    <row r="48053">
      <c r="N48053" s="1"/>
      <c r="V48053" s="5"/>
    </row>
    <row r="48054">
      <c r="N48054" s="1"/>
      <c r="V48054" s="5"/>
    </row>
    <row r="48055">
      <c r="N48055" s="1"/>
      <c r="V48055" s="5"/>
    </row>
    <row r="48056">
      <c r="N48056" s="1"/>
      <c r="V48056" s="5"/>
    </row>
    <row r="48057">
      <c r="N48057" s="1"/>
      <c r="V48057" s="5"/>
    </row>
    <row r="48058">
      <c r="N48058" s="1"/>
      <c r="V48058" s="5"/>
    </row>
    <row r="48059">
      <c r="N48059" s="1"/>
      <c r="V48059" s="5"/>
    </row>
    <row r="48060">
      <c r="N48060" s="1"/>
      <c r="V48060" s="5"/>
    </row>
    <row r="48061">
      <c r="N48061" s="1"/>
      <c r="V48061" s="5"/>
    </row>
    <row r="48062">
      <c r="N48062" s="1"/>
      <c r="V48062" s="5"/>
    </row>
    <row r="48063">
      <c r="N48063" s="1"/>
      <c r="V48063" s="5"/>
    </row>
    <row r="48064">
      <c r="N48064" s="1"/>
      <c r="V48064" s="5"/>
    </row>
    <row r="48065">
      <c r="N48065" s="1"/>
      <c r="V48065" s="5"/>
    </row>
    <row r="48066">
      <c r="N48066" s="1"/>
      <c r="V48066" s="5"/>
    </row>
    <row r="48067">
      <c r="N48067" s="1"/>
      <c r="V48067" s="5"/>
    </row>
    <row r="48068">
      <c r="N48068" s="1"/>
      <c r="V48068" s="5"/>
    </row>
    <row r="48069">
      <c r="N48069" s="1"/>
      <c r="V48069" s="5"/>
    </row>
    <row r="48070">
      <c r="N48070" s="1"/>
      <c r="V48070" s="5"/>
    </row>
    <row r="48071">
      <c r="N48071" s="1"/>
      <c r="V48071" s="5"/>
    </row>
    <row r="48072">
      <c r="N48072" s="1"/>
      <c r="V48072" s="5"/>
    </row>
    <row r="48073">
      <c r="N48073" s="1"/>
      <c r="V48073" s="5"/>
    </row>
    <row r="48074">
      <c r="N48074" s="1"/>
      <c r="V48074" s="5"/>
    </row>
    <row r="48075">
      <c r="N48075" s="1"/>
      <c r="V48075" s="5"/>
    </row>
    <row r="48076">
      <c r="N48076" s="1"/>
      <c r="V48076" s="5"/>
    </row>
    <row r="48077">
      <c r="N48077" s="1"/>
      <c r="V48077" s="5"/>
    </row>
    <row r="48078">
      <c r="N48078" s="1"/>
      <c r="V48078" s="5"/>
    </row>
    <row r="48079">
      <c r="N48079" s="1"/>
      <c r="V48079" s="5"/>
    </row>
    <row r="48080">
      <c r="N48080" s="1"/>
      <c r="V48080" s="5"/>
    </row>
    <row r="48081">
      <c r="N48081" s="1"/>
      <c r="V48081" s="5"/>
    </row>
    <row r="48082">
      <c r="N48082" s="1"/>
      <c r="V48082" s="5"/>
    </row>
    <row r="48083">
      <c r="N48083" s="1"/>
      <c r="V48083" s="5"/>
    </row>
    <row r="48084">
      <c r="N48084" s="1"/>
      <c r="V48084" s="5"/>
    </row>
    <row r="48085">
      <c r="N48085" s="1"/>
      <c r="V48085" s="5"/>
    </row>
    <row r="48086">
      <c r="N48086" s="1"/>
      <c r="V48086" s="5"/>
    </row>
    <row r="48087">
      <c r="N48087" s="1"/>
      <c r="V48087" s="5"/>
    </row>
    <row r="48088">
      <c r="N48088" s="1"/>
      <c r="V48088" s="5"/>
    </row>
    <row r="48089">
      <c r="N48089" s="1"/>
      <c r="V48089" s="5"/>
    </row>
    <row r="48090">
      <c r="N48090" s="1"/>
      <c r="V48090" s="5"/>
    </row>
    <row r="48091">
      <c r="N48091" s="1"/>
      <c r="V48091" s="5"/>
    </row>
    <row r="48092">
      <c r="N48092" s="1"/>
      <c r="V48092" s="5"/>
    </row>
    <row r="48093">
      <c r="N48093" s="1"/>
      <c r="V48093" s="5"/>
    </row>
    <row r="48094">
      <c r="N48094" s="1"/>
      <c r="V48094" s="5"/>
    </row>
    <row r="48095">
      <c r="N48095" s="1"/>
      <c r="V48095" s="5"/>
    </row>
    <row r="48096">
      <c r="N48096" s="1"/>
      <c r="V48096" s="5"/>
    </row>
    <row r="48097">
      <c r="N48097" s="1"/>
      <c r="V48097" s="5"/>
    </row>
    <row r="48098">
      <c r="N48098" s="1"/>
      <c r="V48098" s="5"/>
    </row>
    <row r="48099">
      <c r="N48099" s="1"/>
      <c r="V48099" s="5"/>
    </row>
    <row r="48100">
      <c r="N48100" s="1"/>
      <c r="V48100" s="5"/>
    </row>
    <row r="48101">
      <c r="N48101" s="1"/>
      <c r="V48101" s="5"/>
    </row>
    <row r="48102">
      <c r="N48102" s="1"/>
      <c r="V48102" s="5"/>
    </row>
    <row r="48103">
      <c r="N48103" s="1"/>
      <c r="V48103" s="5"/>
    </row>
    <row r="48104">
      <c r="N48104" s="1"/>
      <c r="V48104" s="5"/>
    </row>
    <row r="48105">
      <c r="N48105" s="1"/>
      <c r="V48105" s="5"/>
    </row>
    <row r="48106">
      <c r="N48106" s="1"/>
      <c r="V48106" s="5"/>
    </row>
    <row r="48107">
      <c r="N48107" s="1"/>
      <c r="V48107" s="5"/>
    </row>
    <row r="48108">
      <c r="N48108" s="1"/>
      <c r="V48108" s="5"/>
    </row>
    <row r="48109">
      <c r="N48109" s="1"/>
      <c r="V48109" s="5"/>
    </row>
    <row r="48110">
      <c r="N48110" s="1"/>
      <c r="V48110" s="5"/>
    </row>
    <row r="48111">
      <c r="N48111" s="1"/>
      <c r="V48111" s="5"/>
    </row>
    <row r="48112">
      <c r="N48112" s="1"/>
      <c r="V48112" s="5"/>
    </row>
    <row r="48113">
      <c r="N48113" s="1"/>
      <c r="V48113" s="5"/>
    </row>
    <row r="48114">
      <c r="N48114" s="1"/>
      <c r="V48114" s="5"/>
    </row>
    <row r="48115">
      <c r="N48115" s="1"/>
      <c r="V48115" s="5"/>
    </row>
    <row r="48116">
      <c r="N48116" s="1"/>
      <c r="V48116" s="5"/>
    </row>
    <row r="48117">
      <c r="N48117" s="1"/>
      <c r="V48117" s="5"/>
    </row>
    <row r="48118">
      <c r="N48118" s="1"/>
      <c r="V48118" s="5"/>
    </row>
    <row r="48119">
      <c r="N48119" s="1"/>
      <c r="V48119" s="5"/>
    </row>
    <row r="48120">
      <c r="N48120" s="1"/>
      <c r="V48120" s="5"/>
    </row>
    <row r="48121">
      <c r="N48121" s="1"/>
      <c r="V48121" s="5"/>
    </row>
    <row r="48122">
      <c r="N48122" s="1"/>
      <c r="V48122" s="5"/>
    </row>
    <row r="48123">
      <c r="N48123" s="1"/>
      <c r="V48123" s="5"/>
    </row>
    <row r="48124">
      <c r="N48124" s="1"/>
      <c r="V48124" s="5"/>
    </row>
    <row r="48125">
      <c r="N48125" s="1"/>
      <c r="V48125" s="5"/>
    </row>
    <row r="48126">
      <c r="N48126" s="1"/>
      <c r="V48126" s="5"/>
    </row>
    <row r="48127">
      <c r="N48127" s="1"/>
      <c r="V48127" s="5"/>
    </row>
    <row r="48128">
      <c r="N48128" s="1"/>
      <c r="V48128" s="5"/>
    </row>
    <row r="48129">
      <c r="N48129" s="1"/>
      <c r="V48129" s="5"/>
    </row>
    <row r="48130">
      <c r="N48130" s="1"/>
      <c r="V48130" s="5"/>
    </row>
    <row r="48131">
      <c r="N48131" s="1"/>
      <c r="V48131" s="5"/>
    </row>
    <row r="48132">
      <c r="N48132" s="1"/>
      <c r="V48132" s="5"/>
    </row>
    <row r="48133">
      <c r="N48133" s="1"/>
      <c r="V48133" s="5"/>
    </row>
    <row r="48134">
      <c r="N48134" s="1"/>
      <c r="V48134" s="5"/>
    </row>
    <row r="48135">
      <c r="N48135" s="1"/>
      <c r="V48135" s="5"/>
    </row>
    <row r="48136">
      <c r="N48136" s="1"/>
      <c r="V48136" s="5"/>
    </row>
    <row r="48137">
      <c r="N48137" s="1"/>
      <c r="V48137" s="5"/>
    </row>
    <row r="48138">
      <c r="N48138" s="1"/>
      <c r="V48138" s="5"/>
    </row>
    <row r="48139">
      <c r="N48139" s="1"/>
      <c r="V48139" s="5"/>
    </row>
    <row r="48140">
      <c r="N48140" s="1"/>
      <c r="V48140" s="5"/>
    </row>
    <row r="48141">
      <c r="N48141" s="1"/>
      <c r="V48141" s="5"/>
    </row>
    <row r="48142">
      <c r="N48142" s="1"/>
      <c r="V48142" s="5"/>
    </row>
    <row r="48143">
      <c r="N48143" s="1"/>
      <c r="V48143" s="5"/>
    </row>
    <row r="48144">
      <c r="N48144" s="1"/>
      <c r="V48144" s="5"/>
    </row>
    <row r="48145">
      <c r="N48145" s="1"/>
      <c r="V48145" s="5"/>
    </row>
    <row r="48146">
      <c r="N48146" s="1"/>
      <c r="V48146" s="5"/>
    </row>
    <row r="48147">
      <c r="N48147" s="1"/>
      <c r="V48147" s="5"/>
    </row>
    <row r="48148">
      <c r="N48148" s="1"/>
      <c r="V48148" s="5"/>
    </row>
    <row r="48149">
      <c r="N48149" s="1"/>
      <c r="V48149" s="5"/>
    </row>
    <row r="48150">
      <c r="N48150" s="1"/>
      <c r="V48150" s="5"/>
    </row>
    <row r="48151">
      <c r="N48151" s="1"/>
      <c r="V48151" s="5"/>
    </row>
    <row r="48152">
      <c r="N48152" s="1"/>
      <c r="V48152" s="5"/>
    </row>
    <row r="48153">
      <c r="N48153" s="1"/>
      <c r="V48153" s="5"/>
    </row>
    <row r="48154">
      <c r="N48154" s="1"/>
      <c r="V48154" s="5"/>
    </row>
    <row r="48155">
      <c r="N48155" s="1"/>
      <c r="V48155" s="5"/>
    </row>
    <row r="48156">
      <c r="N48156" s="1"/>
      <c r="V48156" s="5"/>
    </row>
    <row r="48157">
      <c r="N48157" s="1"/>
      <c r="V48157" s="5"/>
    </row>
    <row r="48158">
      <c r="N48158" s="1"/>
      <c r="V48158" s="5"/>
    </row>
    <row r="48159">
      <c r="N48159" s="1"/>
      <c r="V48159" s="5"/>
    </row>
    <row r="48160">
      <c r="N48160" s="1"/>
      <c r="V48160" s="5"/>
    </row>
    <row r="48161">
      <c r="N48161" s="1"/>
      <c r="V48161" s="5"/>
    </row>
    <row r="48162">
      <c r="N48162" s="1"/>
      <c r="V48162" s="5"/>
    </row>
    <row r="48163">
      <c r="N48163" s="1"/>
      <c r="V48163" s="5"/>
    </row>
    <row r="48164">
      <c r="N48164" s="1"/>
      <c r="V48164" s="5"/>
    </row>
    <row r="48165">
      <c r="N48165" s="1"/>
      <c r="V48165" s="5"/>
    </row>
    <row r="48166">
      <c r="N48166" s="1"/>
      <c r="V48166" s="5"/>
    </row>
    <row r="48167">
      <c r="N48167" s="1"/>
      <c r="V48167" s="5"/>
    </row>
    <row r="48168">
      <c r="N48168" s="1"/>
      <c r="V48168" s="5"/>
    </row>
    <row r="48169">
      <c r="N48169" s="1"/>
      <c r="V48169" s="5"/>
    </row>
    <row r="48170">
      <c r="N48170" s="1"/>
      <c r="V48170" s="5"/>
    </row>
    <row r="48171">
      <c r="N48171" s="1"/>
      <c r="V48171" s="5"/>
    </row>
    <row r="48172">
      <c r="N48172" s="1"/>
      <c r="V48172" s="5"/>
    </row>
    <row r="48173">
      <c r="N48173" s="1"/>
      <c r="V48173" s="5"/>
    </row>
    <row r="48174">
      <c r="N48174" s="1"/>
      <c r="V48174" s="5"/>
    </row>
    <row r="48175">
      <c r="N48175" s="1"/>
      <c r="V48175" s="5"/>
    </row>
    <row r="48176">
      <c r="N48176" s="1"/>
      <c r="V48176" s="5"/>
    </row>
    <row r="48177">
      <c r="N48177" s="1"/>
      <c r="V48177" s="5"/>
    </row>
    <row r="48178">
      <c r="N48178" s="1"/>
      <c r="V48178" s="5"/>
    </row>
    <row r="48179">
      <c r="N48179" s="1"/>
      <c r="V48179" s="5"/>
    </row>
    <row r="48180">
      <c r="N48180" s="1"/>
      <c r="V48180" s="5"/>
    </row>
    <row r="48181">
      <c r="N48181" s="1"/>
      <c r="V48181" s="5"/>
    </row>
    <row r="48182">
      <c r="N48182" s="1"/>
      <c r="V48182" s="5"/>
    </row>
    <row r="48183">
      <c r="N48183" s="1"/>
      <c r="V48183" s="5"/>
    </row>
    <row r="48184">
      <c r="N48184" s="1"/>
      <c r="V48184" s="5"/>
    </row>
    <row r="48185">
      <c r="N48185" s="1"/>
      <c r="V48185" s="5"/>
    </row>
    <row r="48186">
      <c r="N48186" s="1"/>
      <c r="V48186" s="5"/>
    </row>
    <row r="48187">
      <c r="N48187" s="1"/>
      <c r="V48187" s="5"/>
    </row>
    <row r="48188">
      <c r="N48188" s="1"/>
      <c r="V48188" s="5"/>
    </row>
    <row r="48189">
      <c r="N48189" s="1"/>
      <c r="V48189" s="5"/>
    </row>
    <row r="48190">
      <c r="N48190" s="1"/>
      <c r="V48190" s="5"/>
    </row>
    <row r="48191">
      <c r="N48191" s="1"/>
      <c r="V48191" s="5"/>
    </row>
    <row r="48192">
      <c r="N48192" s="1"/>
      <c r="V48192" s="5"/>
    </row>
    <row r="48193">
      <c r="N48193" s="1"/>
      <c r="V48193" s="5"/>
    </row>
    <row r="48194">
      <c r="N48194" s="1"/>
      <c r="V48194" s="5"/>
    </row>
    <row r="48195">
      <c r="N48195" s="1"/>
      <c r="V48195" s="5"/>
    </row>
    <row r="48196">
      <c r="N48196" s="1"/>
      <c r="V48196" s="5"/>
    </row>
    <row r="48197">
      <c r="N48197" s="1"/>
      <c r="V48197" s="5"/>
    </row>
    <row r="48198">
      <c r="N48198" s="1"/>
      <c r="V48198" s="5"/>
    </row>
    <row r="48199">
      <c r="N48199" s="1"/>
      <c r="V48199" s="5"/>
    </row>
    <row r="48200">
      <c r="N48200" s="1"/>
      <c r="V48200" s="5"/>
    </row>
    <row r="48201">
      <c r="N48201" s="1"/>
      <c r="V48201" s="5"/>
    </row>
    <row r="48202">
      <c r="N48202" s="1"/>
      <c r="V48202" s="5"/>
    </row>
    <row r="48203">
      <c r="N48203" s="1"/>
      <c r="V48203" s="5"/>
    </row>
    <row r="48204">
      <c r="N48204" s="1"/>
      <c r="V48204" s="5"/>
    </row>
    <row r="48205">
      <c r="N48205" s="1"/>
      <c r="V48205" s="5"/>
    </row>
    <row r="48206">
      <c r="N48206" s="1"/>
      <c r="V48206" s="5"/>
    </row>
    <row r="48207">
      <c r="N48207" s="1"/>
      <c r="V48207" s="5"/>
    </row>
    <row r="48208">
      <c r="N48208" s="1"/>
      <c r="V48208" s="5"/>
    </row>
    <row r="48209">
      <c r="N48209" s="1"/>
      <c r="V48209" s="5"/>
    </row>
    <row r="48210">
      <c r="N48210" s="1"/>
      <c r="V48210" s="5"/>
    </row>
    <row r="48211">
      <c r="N48211" s="1"/>
      <c r="V48211" s="5"/>
    </row>
    <row r="48212">
      <c r="N48212" s="1"/>
      <c r="V48212" s="5"/>
    </row>
    <row r="48213">
      <c r="N48213" s="1"/>
      <c r="V48213" s="5"/>
    </row>
    <row r="48214">
      <c r="N48214" s="1"/>
      <c r="V48214" s="5"/>
    </row>
    <row r="48215">
      <c r="N48215" s="1"/>
      <c r="V48215" s="5"/>
    </row>
    <row r="48216">
      <c r="N48216" s="1"/>
      <c r="V48216" s="5"/>
    </row>
    <row r="48217">
      <c r="N48217" s="1"/>
      <c r="V48217" s="5"/>
    </row>
    <row r="48218">
      <c r="N48218" s="1"/>
      <c r="V48218" s="5"/>
    </row>
    <row r="48219">
      <c r="N48219" s="1"/>
      <c r="V48219" s="5"/>
    </row>
    <row r="48220">
      <c r="N48220" s="1"/>
      <c r="V48220" s="5"/>
    </row>
    <row r="48221">
      <c r="N48221" s="1"/>
      <c r="V48221" s="5"/>
    </row>
    <row r="48222">
      <c r="N48222" s="1"/>
      <c r="V48222" s="5"/>
    </row>
    <row r="48223">
      <c r="N48223" s="1"/>
      <c r="V48223" s="5"/>
    </row>
    <row r="48224">
      <c r="N48224" s="1"/>
      <c r="V48224" s="5"/>
    </row>
    <row r="48225">
      <c r="N48225" s="1"/>
      <c r="V48225" s="5"/>
    </row>
    <row r="48226">
      <c r="N48226" s="1"/>
      <c r="V48226" s="5"/>
    </row>
    <row r="48227">
      <c r="N48227" s="1"/>
      <c r="V48227" s="5"/>
    </row>
    <row r="48228">
      <c r="N48228" s="1"/>
      <c r="V48228" s="5"/>
    </row>
    <row r="48229">
      <c r="N48229" s="1"/>
      <c r="V48229" s="5"/>
    </row>
    <row r="48230">
      <c r="N48230" s="1"/>
      <c r="V48230" s="5"/>
    </row>
    <row r="48231">
      <c r="N48231" s="1"/>
      <c r="V48231" s="5"/>
    </row>
    <row r="48232">
      <c r="N48232" s="1"/>
      <c r="V48232" s="5"/>
    </row>
    <row r="48233">
      <c r="N48233" s="1"/>
      <c r="V48233" s="5"/>
    </row>
    <row r="48234">
      <c r="N48234" s="1"/>
      <c r="V48234" s="5"/>
    </row>
    <row r="48235">
      <c r="N48235" s="1"/>
      <c r="V48235" s="5"/>
    </row>
    <row r="48236">
      <c r="N48236" s="1"/>
      <c r="V48236" s="5"/>
    </row>
    <row r="48237">
      <c r="N48237" s="1"/>
      <c r="V48237" s="5"/>
    </row>
    <row r="48238">
      <c r="N48238" s="1"/>
      <c r="V48238" s="5"/>
    </row>
    <row r="48239">
      <c r="N48239" s="1"/>
      <c r="V48239" s="5"/>
    </row>
    <row r="48240">
      <c r="N48240" s="1"/>
      <c r="V48240" s="5"/>
    </row>
    <row r="48241">
      <c r="N48241" s="1"/>
      <c r="V48241" s="5"/>
    </row>
    <row r="48242">
      <c r="N48242" s="1"/>
      <c r="V48242" s="5"/>
    </row>
    <row r="48243">
      <c r="N48243" s="1"/>
      <c r="V48243" s="5"/>
    </row>
    <row r="48244">
      <c r="N48244" s="1"/>
      <c r="V48244" s="5"/>
    </row>
    <row r="48245">
      <c r="N48245" s="1"/>
      <c r="V48245" s="5"/>
    </row>
    <row r="48246">
      <c r="N48246" s="1"/>
      <c r="V48246" s="5"/>
    </row>
    <row r="48247">
      <c r="N48247" s="1"/>
      <c r="V48247" s="5"/>
    </row>
    <row r="48248">
      <c r="N48248" s="1"/>
      <c r="V48248" s="5"/>
    </row>
    <row r="48249">
      <c r="N48249" s="1"/>
      <c r="V48249" s="5"/>
    </row>
    <row r="48250">
      <c r="N48250" s="1"/>
      <c r="V48250" s="5"/>
    </row>
    <row r="48251">
      <c r="N48251" s="1"/>
      <c r="V48251" s="5"/>
    </row>
    <row r="48252">
      <c r="N48252" s="1"/>
      <c r="V48252" s="5"/>
    </row>
    <row r="48253">
      <c r="N48253" s="1"/>
      <c r="V48253" s="5"/>
    </row>
    <row r="48254">
      <c r="N48254" s="1"/>
      <c r="V48254" s="5"/>
    </row>
    <row r="48255">
      <c r="N48255" s="1"/>
      <c r="V48255" s="5"/>
    </row>
    <row r="48256">
      <c r="N48256" s="1"/>
      <c r="V48256" s="5"/>
    </row>
    <row r="48257">
      <c r="N48257" s="1"/>
      <c r="V48257" s="5"/>
    </row>
    <row r="48258">
      <c r="N48258" s="1"/>
      <c r="V48258" s="5"/>
    </row>
    <row r="48259">
      <c r="N48259" s="1"/>
      <c r="V48259" s="5"/>
    </row>
    <row r="48260">
      <c r="N48260" s="1"/>
      <c r="V48260" s="5"/>
    </row>
    <row r="48261">
      <c r="N48261" s="1"/>
      <c r="V48261" s="5"/>
    </row>
    <row r="48262">
      <c r="N48262" s="1"/>
      <c r="V48262" s="5"/>
    </row>
    <row r="48263">
      <c r="N48263" s="1"/>
      <c r="V48263" s="5"/>
    </row>
    <row r="48264">
      <c r="N48264" s="1"/>
      <c r="V48264" s="5"/>
    </row>
    <row r="48265">
      <c r="N48265" s="1"/>
      <c r="V48265" s="5"/>
    </row>
    <row r="48266">
      <c r="N48266" s="1"/>
      <c r="V48266" s="5"/>
    </row>
    <row r="48267">
      <c r="N48267" s="1"/>
      <c r="V48267" s="5"/>
    </row>
    <row r="48268">
      <c r="N48268" s="1"/>
      <c r="V48268" s="5"/>
    </row>
    <row r="48269">
      <c r="N48269" s="1"/>
      <c r="V48269" s="5"/>
    </row>
    <row r="48270">
      <c r="N48270" s="1"/>
      <c r="V48270" s="5"/>
    </row>
    <row r="48271">
      <c r="N48271" s="1"/>
      <c r="V48271" s="5"/>
    </row>
    <row r="48272">
      <c r="N48272" s="1"/>
      <c r="V48272" s="5"/>
    </row>
    <row r="48273">
      <c r="N48273" s="1"/>
      <c r="V48273" s="5"/>
    </row>
    <row r="48274">
      <c r="N48274" s="1"/>
      <c r="V48274" s="5"/>
    </row>
    <row r="48275">
      <c r="N48275" s="1"/>
      <c r="V48275" s="5"/>
    </row>
    <row r="48276">
      <c r="N48276" s="1"/>
      <c r="V48276" s="5"/>
    </row>
    <row r="48277">
      <c r="N48277" s="1"/>
      <c r="V48277" s="5"/>
    </row>
    <row r="48278">
      <c r="N48278" s="1"/>
      <c r="V48278" s="5"/>
    </row>
    <row r="48279">
      <c r="N48279" s="1"/>
      <c r="V48279" s="5"/>
    </row>
    <row r="48280">
      <c r="N48280" s="1"/>
      <c r="V48280" s="5"/>
    </row>
    <row r="48281">
      <c r="N48281" s="1"/>
      <c r="V48281" s="5"/>
    </row>
    <row r="48282">
      <c r="N48282" s="1"/>
      <c r="V48282" s="5"/>
    </row>
    <row r="48283">
      <c r="N48283" s="1"/>
      <c r="V48283" s="5"/>
    </row>
    <row r="48284">
      <c r="N48284" s="1"/>
      <c r="V48284" s="5"/>
    </row>
    <row r="48285">
      <c r="N48285" s="1"/>
      <c r="V48285" s="5"/>
    </row>
    <row r="48286">
      <c r="N48286" s="1"/>
      <c r="V48286" s="5"/>
    </row>
    <row r="48287">
      <c r="N48287" s="1"/>
      <c r="V48287" s="5"/>
    </row>
    <row r="48288">
      <c r="N48288" s="1"/>
      <c r="V48288" s="5"/>
    </row>
    <row r="48289">
      <c r="N48289" s="1"/>
      <c r="V48289" s="5"/>
    </row>
    <row r="48290">
      <c r="N48290" s="1"/>
      <c r="V48290" s="5"/>
    </row>
    <row r="48291">
      <c r="N48291" s="1"/>
      <c r="V48291" s="5"/>
    </row>
    <row r="48292">
      <c r="N48292" s="1"/>
      <c r="V48292" s="5"/>
    </row>
    <row r="48293">
      <c r="N48293" s="1"/>
      <c r="V48293" s="5"/>
    </row>
    <row r="48294">
      <c r="N48294" s="1"/>
      <c r="V48294" s="5"/>
    </row>
    <row r="48295">
      <c r="N48295" s="1"/>
      <c r="V48295" s="5"/>
    </row>
    <row r="48296">
      <c r="N48296" s="1"/>
      <c r="V48296" s="5"/>
    </row>
    <row r="48297">
      <c r="N48297" s="1"/>
      <c r="V48297" s="5"/>
    </row>
    <row r="48298">
      <c r="N48298" s="1"/>
      <c r="V48298" s="5"/>
    </row>
    <row r="48299">
      <c r="N48299" s="1"/>
      <c r="V48299" s="5"/>
    </row>
    <row r="48300">
      <c r="N48300" s="1"/>
      <c r="V48300" s="5"/>
    </row>
    <row r="48301">
      <c r="N48301" s="1"/>
      <c r="V48301" s="5"/>
    </row>
    <row r="48302">
      <c r="N48302" s="1"/>
      <c r="V48302" s="5"/>
    </row>
    <row r="48303">
      <c r="N48303" s="1"/>
      <c r="V48303" s="5"/>
    </row>
    <row r="48304">
      <c r="N48304" s="1"/>
      <c r="V48304" s="5"/>
    </row>
    <row r="48305">
      <c r="N48305" s="1"/>
      <c r="V48305" s="5"/>
    </row>
    <row r="48306">
      <c r="N48306" s="1"/>
      <c r="V48306" s="5"/>
    </row>
    <row r="48307">
      <c r="N48307" s="1"/>
      <c r="V48307" s="5"/>
    </row>
    <row r="48308">
      <c r="N48308" s="1"/>
      <c r="V48308" s="5"/>
    </row>
    <row r="48309">
      <c r="N48309" s="1"/>
      <c r="V48309" s="5"/>
    </row>
    <row r="48310">
      <c r="N48310" s="1"/>
      <c r="V48310" s="5"/>
    </row>
    <row r="48311">
      <c r="N48311" s="1"/>
      <c r="V48311" s="5"/>
    </row>
    <row r="48312">
      <c r="N48312" s="1"/>
      <c r="V48312" s="5"/>
    </row>
    <row r="48313">
      <c r="N48313" s="1"/>
      <c r="V48313" s="5"/>
    </row>
    <row r="48314">
      <c r="N48314" s="1"/>
      <c r="V48314" s="5"/>
    </row>
    <row r="48315">
      <c r="N48315" s="1"/>
      <c r="V48315" s="5"/>
    </row>
    <row r="48316">
      <c r="N48316" s="1"/>
      <c r="V48316" s="5"/>
    </row>
    <row r="48317">
      <c r="N48317" s="1"/>
      <c r="V48317" s="5"/>
    </row>
    <row r="48318">
      <c r="N48318" s="1"/>
      <c r="V48318" s="5"/>
    </row>
    <row r="48319">
      <c r="N48319" s="1"/>
      <c r="V48319" s="5"/>
    </row>
    <row r="48320">
      <c r="N48320" s="1"/>
      <c r="V48320" s="5"/>
    </row>
    <row r="48321">
      <c r="N48321" s="1"/>
      <c r="V48321" s="5"/>
    </row>
    <row r="48322">
      <c r="N48322" s="1"/>
      <c r="V48322" s="5"/>
    </row>
    <row r="48323">
      <c r="N48323" s="1"/>
      <c r="V48323" s="5"/>
    </row>
    <row r="48324">
      <c r="N48324" s="1"/>
      <c r="V48324" s="5"/>
    </row>
    <row r="48325">
      <c r="N48325" s="1"/>
      <c r="V48325" s="5"/>
    </row>
    <row r="48326">
      <c r="N48326" s="1"/>
      <c r="V48326" s="5"/>
    </row>
    <row r="48327">
      <c r="N48327" s="1"/>
      <c r="V48327" s="5"/>
    </row>
    <row r="48328">
      <c r="N48328" s="1"/>
      <c r="V48328" s="5"/>
    </row>
    <row r="48329">
      <c r="N48329" s="1"/>
      <c r="V48329" s="5"/>
    </row>
    <row r="48330">
      <c r="N48330" s="1"/>
      <c r="V48330" s="5"/>
    </row>
    <row r="48331">
      <c r="N48331" s="1"/>
      <c r="V48331" s="5"/>
    </row>
    <row r="48332">
      <c r="N48332" s="1"/>
      <c r="V48332" s="5"/>
    </row>
    <row r="48333">
      <c r="N48333" s="1"/>
      <c r="V48333" s="5"/>
    </row>
    <row r="48334">
      <c r="N48334" s="1"/>
      <c r="V48334" s="5"/>
    </row>
    <row r="48335">
      <c r="N48335" s="1"/>
      <c r="V48335" s="5"/>
    </row>
    <row r="48336">
      <c r="N48336" s="1"/>
      <c r="V48336" s="5"/>
    </row>
    <row r="48337">
      <c r="N48337" s="1"/>
      <c r="V48337" s="5"/>
    </row>
    <row r="48338">
      <c r="N48338" s="1"/>
      <c r="V48338" s="5"/>
    </row>
    <row r="48339">
      <c r="N48339" s="1"/>
      <c r="V48339" s="5"/>
    </row>
    <row r="48340">
      <c r="N48340" s="1"/>
      <c r="V48340" s="5"/>
    </row>
    <row r="48341">
      <c r="N48341" s="1"/>
      <c r="V48341" s="5"/>
    </row>
    <row r="48342">
      <c r="N48342" s="1"/>
      <c r="V48342" s="5"/>
    </row>
    <row r="48343">
      <c r="N48343" s="1"/>
      <c r="V48343" s="5"/>
    </row>
    <row r="48344">
      <c r="N48344" s="1"/>
      <c r="V48344" s="5"/>
    </row>
    <row r="48345">
      <c r="N48345" s="1"/>
      <c r="V48345" s="5"/>
    </row>
    <row r="48346">
      <c r="N48346" s="1"/>
      <c r="V48346" s="5"/>
    </row>
    <row r="48347">
      <c r="N48347" s="1"/>
      <c r="V48347" s="5"/>
    </row>
    <row r="48348">
      <c r="N48348" s="1"/>
      <c r="V48348" s="5"/>
    </row>
    <row r="48349">
      <c r="N48349" s="1"/>
      <c r="V48349" s="5"/>
    </row>
    <row r="48350">
      <c r="N48350" s="1"/>
      <c r="V48350" s="5"/>
    </row>
    <row r="48351">
      <c r="N48351" s="1"/>
      <c r="V48351" s="5"/>
    </row>
    <row r="48352">
      <c r="N48352" s="1"/>
      <c r="V48352" s="5"/>
    </row>
    <row r="48353">
      <c r="N48353" s="1"/>
      <c r="V48353" s="5"/>
    </row>
    <row r="48354">
      <c r="N48354" s="1"/>
      <c r="V48354" s="5"/>
    </row>
    <row r="48355">
      <c r="N48355" s="1"/>
      <c r="V48355" s="5"/>
    </row>
    <row r="48356">
      <c r="N48356" s="1"/>
      <c r="V48356" s="5"/>
    </row>
    <row r="48357">
      <c r="N48357" s="1"/>
      <c r="V48357" s="5"/>
    </row>
    <row r="48358">
      <c r="N48358" s="1"/>
      <c r="V48358" s="5"/>
    </row>
    <row r="48359">
      <c r="N48359" s="1"/>
      <c r="V48359" s="5"/>
    </row>
    <row r="48360">
      <c r="N48360" s="1"/>
      <c r="V48360" s="5"/>
    </row>
    <row r="48361">
      <c r="N48361" s="1"/>
      <c r="V48361" s="5"/>
    </row>
    <row r="48362">
      <c r="N48362" s="1"/>
      <c r="V48362" s="5"/>
    </row>
    <row r="48363">
      <c r="N48363" s="1"/>
      <c r="V48363" s="5"/>
    </row>
    <row r="48364">
      <c r="N48364" s="1"/>
      <c r="V48364" s="5"/>
    </row>
    <row r="48365">
      <c r="N48365" s="1"/>
      <c r="V48365" s="5"/>
    </row>
    <row r="48366">
      <c r="N48366" s="1"/>
      <c r="V48366" s="5"/>
    </row>
    <row r="48367">
      <c r="N48367" s="1"/>
      <c r="V48367" s="5"/>
    </row>
    <row r="48368">
      <c r="N48368" s="1"/>
      <c r="V48368" s="5"/>
    </row>
    <row r="48369">
      <c r="N48369" s="1"/>
      <c r="V48369" s="5"/>
    </row>
    <row r="48370">
      <c r="N48370" s="1"/>
      <c r="V48370" s="5"/>
    </row>
    <row r="48371">
      <c r="N48371" s="1"/>
      <c r="V48371" s="5"/>
    </row>
    <row r="48372">
      <c r="N48372" s="1"/>
      <c r="V48372" s="5"/>
    </row>
    <row r="48373">
      <c r="N48373" s="1"/>
      <c r="V48373" s="5"/>
    </row>
    <row r="48374">
      <c r="N48374" s="1"/>
      <c r="V48374" s="5"/>
    </row>
    <row r="48375">
      <c r="N48375" s="1"/>
      <c r="V48375" s="5"/>
    </row>
    <row r="48376">
      <c r="N48376" s="1"/>
      <c r="V48376" s="5"/>
    </row>
    <row r="48377">
      <c r="N48377" s="1"/>
      <c r="V48377" s="5"/>
    </row>
    <row r="48378">
      <c r="N48378" s="1"/>
      <c r="V48378" s="5"/>
    </row>
    <row r="48379">
      <c r="N48379" s="1"/>
      <c r="V48379" s="5"/>
    </row>
    <row r="48380">
      <c r="N48380" s="1"/>
      <c r="V48380" s="5"/>
    </row>
    <row r="48381">
      <c r="N48381" s="1"/>
      <c r="V48381" s="5"/>
    </row>
    <row r="48382">
      <c r="N48382" s="1"/>
      <c r="V48382" s="5"/>
    </row>
    <row r="48383">
      <c r="N48383" s="1"/>
      <c r="V48383" s="5"/>
    </row>
    <row r="48384">
      <c r="N48384" s="1"/>
      <c r="V48384" s="5"/>
    </row>
    <row r="48385">
      <c r="N48385" s="1"/>
      <c r="V48385" s="5"/>
    </row>
    <row r="48386">
      <c r="N48386" s="1"/>
      <c r="V48386" s="5"/>
    </row>
    <row r="48387">
      <c r="N48387" s="1"/>
      <c r="V48387" s="5"/>
    </row>
    <row r="48388">
      <c r="N48388" s="1"/>
      <c r="V48388" s="5"/>
    </row>
    <row r="48389">
      <c r="N48389" s="1"/>
      <c r="V48389" s="5"/>
    </row>
    <row r="48390">
      <c r="N48390" s="1"/>
      <c r="V48390" s="5"/>
    </row>
    <row r="48391">
      <c r="N48391" s="1"/>
      <c r="V48391" s="5"/>
    </row>
    <row r="48392">
      <c r="N48392" s="1"/>
      <c r="V48392" s="5"/>
    </row>
    <row r="48393">
      <c r="N48393" s="1"/>
      <c r="V48393" s="5"/>
    </row>
    <row r="48394">
      <c r="N48394" s="1"/>
      <c r="V48394" s="5"/>
    </row>
    <row r="48395">
      <c r="N48395" s="1"/>
      <c r="V48395" s="5"/>
    </row>
    <row r="48396">
      <c r="N48396" s="1"/>
      <c r="V48396" s="5"/>
    </row>
    <row r="48397">
      <c r="N48397" s="1"/>
      <c r="V48397" s="5"/>
    </row>
    <row r="48398">
      <c r="N48398" s="1"/>
      <c r="V48398" s="5"/>
    </row>
    <row r="48399">
      <c r="N48399" s="1"/>
      <c r="V48399" s="5"/>
    </row>
    <row r="48400">
      <c r="N48400" s="1"/>
      <c r="V48400" s="5"/>
    </row>
    <row r="48401">
      <c r="N48401" s="1"/>
      <c r="V48401" s="5"/>
    </row>
    <row r="48402">
      <c r="N48402" s="1"/>
      <c r="V48402" s="5"/>
    </row>
    <row r="48403">
      <c r="N48403" s="1"/>
      <c r="V48403" s="5"/>
    </row>
    <row r="48404">
      <c r="N48404" s="1"/>
      <c r="V48404" s="5"/>
    </row>
    <row r="48405">
      <c r="N48405" s="1"/>
      <c r="V48405" s="5"/>
    </row>
    <row r="48406">
      <c r="N48406" s="1"/>
      <c r="V48406" s="5"/>
    </row>
    <row r="48407">
      <c r="N48407" s="1"/>
      <c r="V48407" s="5"/>
    </row>
    <row r="48408">
      <c r="N48408" s="1"/>
      <c r="V48408" s="5"/>
    </row>
    <row r="48409">
      <c r="N48409" s="1"/>
      <c r="V48409" s="5"/>
    </row>
    <row r="48410">
      <c r="N48410" s="1"/>
      <c r="V48410" s="5"/>
    </row>
    <row r="48411">
      <c r="N48411" s="1"/>
      <c r="V48411" s="5"/>
    </row>
    <row r="48412">
      <c r="N48412" s="1"/>
      <c r="V48412" s="5"/>
    </row>
    <row r="48413">
      <c r="N48413" s="1"/>
      <c r="V48413" s="5"/>
    </row>
    <row r="48414">
      <c r="N48414" s="1"/>
      <c r="V48414" s="5"/>
    </row>
    <row r="48415">
      <c r="N48415" s="1"/>
      <c r="V48415" s="5"/>
    </row>
    <row r="48416">
      <c r="N48416" s="1"/>
      <c r="V48416" s="5"/>
    </row>
    <row r="48417">
      <c r="N48417" s="1"/>
      <c r="V48417" s="5"/>
    </row>
    <row r="48418">
      <c r="N48418" s="1"/>
      <c r="V48418" s="5"/>
    </row>
    <row r="48419">
      <c r="N48419" s="1"/>
      <c r="V48419" s="5"/>
    </row>
    <row r="48420">
      <c r="N48420" s="1"/>
      <c r="V48420" s="5"/>
    </row>
    <row r="48421">
      <c r="N48421" s="1"/>
      <c r="V48421" s="5"/>
    </row>
    <row r="48422">
      <c r="N48422" s="1"/>
      <c r="V48422" s="5"/>
    </row>
    <row r="48423">
      <c r="N48423" s="1"/>
      <c r="V48423" s="5"/>
    </row>
    <row r="48424">
      <c r="N48424" s="1"/>
      <c r="V48424" s="5"/>
    </row>
    <row r="48425">
      <c r="N48425" s="1"/>
      <c r="V48425" s="5"/>
    </row>
    <row r="48426">
      <c r="N48426" s="1"/>
      <c r="V48426" s="5"/>
    </row>
    <row r="48427">
      <c r="N48427" s="1"/>
      <c r="V48427" s="5"/>
    </row>
    <row r="48428">
      <c r="N48428" s="1"/>
      <c r="V48428" s="5"/>
    </row>
    <row r="48429">
      <c r="N48429" s="1"/>
      <c r="V48429" s="5"/>
    </row>
    <row r="48430">
      <c r="N48430" s="1"/>
      <c r="V48430" s="5"/>
    </row>
    <row r="48431">
      <c r="N48431" s="1"/>
      <c r="V48431" s="5"/>
    </row>
    <row r="48432">
      <c r="N48432" s="1"/>
      <c r="V48432" s="5"/>
    </row>
    <row r="48433">
      <c r="N48433" s="1"/>
      <c r="V48433" s="5"/>
    </row>
    <row r="48434">
      <c r="N48434" s="1"/>
      <c r="V48434" s="5"/>
    </row>
    <row r="48435">
      <c r="N48435" s="1"/>
      <c r="V48435" s="5"/>
    </row>
    <row r="48436">
      <c r="N48436" s="1"/>
      <c r="V48436" s="5"/>
    </row>
    <row r="48437">
      <c r="N48437" s="1"/>
      <c r="V48437" s="5"/>
    </row>
    <row r="48438">
      <c r="N48438" s="1"/>
      <c r="V48438" s="5"/>
    </row>
    <row r="48439">
      <c r="N48439" s="1"/>
      <c r="V48439" s="5"/>
    </row>
    <row r="48440">
      <c r="N48440" s="1"/>
      <c r="V48440" s="5"/>
    </row>
    <row r="48441">
      <c r="N48441" s="1"/>
      <c r="V48441" s="5"/>
    </row>
    <row r="48442">
      <c r="N48442" s="1"/>
      <c r="V48442" s="5"/>
    </row>
    <row r="48443">
      <c r="N48443" s="1"/>
      <c r="V48443" s="5"/>
    </row>
    <row r="48444">
      <c r="N48444" s="1"/>
      <c r="V48444" s="5"/>
    </row>
    <row r="48445">
      <c r="N48445" s="1"/>
      <c r="V48445" s="5"/>
    </row>
    <row r="48446">
      <c r="N48446" s="1"/>
      <c r="V48446" s="5"/>
    </row>
    <row r="48447">
      <c r="N48447" s="1"/>
      <c r="V48447" s="5"/>
    </row>
    <row r="48448">
      <c r="N48448" s="1"/>
      <c r="V48448" s="5"/>
    </row>
    <row r="48449">
      <c r="N48449" s="1"/>
      <c r="V48449" s="5"/>
    </row>
    <row r="48450">
      <c r="N48450" s="1"/>
      <c r="V48450" s="5"/>
    </row>
    <row r="48451">
      <c r="N48451" s="1"/>
      <c r="V48451" s="5"/>
    </row>
    <row r="48452">
      <c r="N48452" s="1"/>
      <c r="V48452" s="5"/>
    </row>
    <row r="48453">
      <c r="N48453" s="1"/>
      <c r="V48453" s="5"/>
    </row>
    <row r="48454">
      <c r="N48454" s="1"/>
      <c r="V48454" s="5"/>
    </row>
    <row r="48455">
      <c r="N48455" s="1"/>
      <c r="V48455" s="5"/>
    </row>
    <row r="48456">
      <c r="N48456" s="1"/>
      <c r="V48456" s="5"/>
    </row>
    <row r="48457">
      <c r="N48457" s="1"/>
      <c r="V48457" s="5"/>
    </row>
    <row r="48458">
      <c r="N48458" s="1"/>
      <c r="V48458" s="5"/>
    </row>
    <row r="48459">
      <c r="N48459" s="1"/>
      <c r="V48459" s="5"/>
    </row>
    <row r="48460">
      <c r="N48460" s="1"/>
      <c r="V48460" s="5"/>
    </row>
    <row r="48461">
      <c r="N48461" s="1"/>
      <c r="V48461" s="5"/>
    </row>
    <row r="48462">
      <c r="N48462" s="1"/>
      <c r="V48462" s="5"/>
    </row>
    <row r="48463">
      <c r="N48463" s="1"/>
      <c r="V48463" s="5"/>
    </row>
    <row r="48464">
      <c r="N48464" s="1"/>
      <c r="V48464" s="5"/>
    </row>
    <row r="48465">
      <c r="N48465" s="1"/>
      <c r="V48465" s="5"/>
    </row>
    <row r="48466">
      <c r="N48466" s="1"/>
      <c r="V48466" s="5"/>
    </row>
    <row r="48467">
      <c r="N48467" s="1"/>
      <c r="V48467" s="5"/>
    </row>
    <row r="48468">
      <c r="N48468" s="1"/>
      <c r="V48468" s="5"/>
    </row>
    <row r="48469">
      <c r="N48469" s="1"/>
      <c r="V48469" s="5"/>
    </row>
    <row r="48470">
      <c r="N48470" s="1"/>
      <c r="V48470" s="5"/>
    </row>
    <row r="48471">
      <c r="N48471" s="1"/>
      <c r="V48471" s="5"/>
    </row>
    <row r="48472">
      <c r="N48472" s="1"/>
      <c r="V48472" s="5"/>
    </row>
    <row r="48473">
      <c r="N48473" s="1"/>
      <c r="V48473" s="5"/>
    </row>
    <row r="48474">
      <c r="N48474" s="1"/>
      <c r="V48474" s="5"/>
    </row>
    <row r="48475">
      <c r="N48475" s="1"/>
      <c r="V48475" s="5"/>
    </row>
    <row r="48476">
      <c r="N48476" s="1"/>
      <c r="V48476" s="5"/>
    </row>
    <row r="48477">
      <c r="N48477" s="1"/>
      <c r="V48477" s="5"/>
    </row>
    <row r="48478">
      <c r="N48478" s="1"/>
      <c r="V48478" s="5"/>
    </row>
    <row r="48479">
      <c r="N48479" s="1"/>
      <c r="V48479" s="5"/>
    </row>
    <row r="48480">
      <c r="N48480" s="1"/>
      <c r="V48480" s="5"/>
    </row>
    <row r="48481">
      <c r="N48481" s="1"/>
      <c r="V48481" s="5"/>
    </row>
    <row r="48482">
      <c r="N48482" s="1"/>
      <c r="V48482" s="5"/>
    </row>
    <row r="48483">
      <c r="N48483" s="1"/>
      <c r="V48483" s="5"/>
    </row>
    <row r="48484">
      <c r="N48484" s="1"/>
      <c r="V48484" s="5"/>
    </row>
    <row r="48485">
      <c r="N48485" s="1"/>
      <c r="V48485" s="5"/>
    </row>
    <row r="48486">
      <c r="N48486" s="1"/>
      <c r="V48486" s="5"/>
    </row>
    <row r="48487">
      <c r="N48487" s="1"/>
      <c r="V48487" s="5"/>
    </row>
    <row r="48488">
      <c r="N48488" s="1"/>
      <c r="V48488" s="5"/>
    </row>
    <row r="48489">
      <c r="N48489" s="1"/>
      <c r="V48489" s="5"/>
    </row>
    <row r="48490">
      <c r="N48490" s="1"/>
      <c r="V48490" s="5"/>
    </row>
    <row r="48491">
      <c r="N48491" s="1"/>
      <c r="V48491" s="5"/>
    </row>
    <row r="48492">
      <c r="N48492" s="1"/>
      <c r="V48492" s="5"/>
    </row>
    <row r="48493">
      <c r="N48493" s="1"/>
      <c r="V48493" s="5"/>
    </row>
    <row r="48494">
      <c r="N48494" s="1"/>
      <c r="V48494" s="5"/>
    </row>
    <row r="48495">
      <c r="N48495" s="1"/>
      <c r="V48495" s="5"/>
    </row>
    <row r="48496">
      <c r="N48496" s="1"/>
      <c r="V48496" s="5"/>
    </row>
    <row r="48497">
      <c r="N48497" s="1"/>
      <c r="V48497" s="5"/>
    </row>
    <row r="48498">
      <c r="N48498" s="1"/>
      <c r="V48498" s="5"/>
    </row>
    <row r="48499">
      <c r="N48499" s="1"/>
      <c r="V48499" s="5"/>
    </row>
    <row r="48500">
      <c r="N48500" s="1"/>
      <c r="V48500" s="5"/>
    </row>
    <row r="48501">
      <c r="N48501" s="1"/>
      <c r="V48501" s="5"/>
    </row>
    <row r="48502">
      <c r="N48502" s="1"/>
      <c r="V48502" s="5"/>
    </row>
    <row r="48503">
      <c r="N48503" s="1"/>
      <c r="V48503" s="5"/>
    </row>
    <row r="48504">
      <c r="N48504" s="1"/>
      <c r="V48504" s="5"/>
    </row>
    <row r="48505">
      <c r="N48505" s="1"/>
      <c r="V48505" s="5"/>
    </row>
    <row r="48506">
      <c r="N48506" s="1"/>
      <c r="V48506" s="5"/>
    </row>
    <row r="48507">
      <c r="N48507" s="1"/>
      <c r="V48507" s="5"/>
    </row>
    <row r="48508">
      <c r="N48508" s="1"/>
      <c r="V48508" s="5"/>
    </row>
    <row r="48509">
      <c r="N48509" s="1"/>
      <c r="V48509" s="5"/>
    </row>
    <row r="48510">
      <c r="N48510" s="1"/>
      <c r="V48510" s="5"/>
    </row>
    <row r="48511">
      <c r="N48511" s="1"/>
      <c r="V48511" s="5"/>
    </row>
    <row r="48512">
      <c r="N48512" s="1"/>
      <c r="V48512" s="5"/>
    </row>
    <row r="48513">
      <c r="N48513" s="1"/>
      <c r="V48513" s="5"/>
    </row>
    <row r="48514">
      <c r="N48514" s="1"/>
      <c r="V48514" s="5"/>
    </row>
    <row r="48515">
      <c r="N48515" s="1"/>
      <c r="V48515" s="5"/>
    </row>
    <row r="48516">
      <c r="N48516" s="1"/>
      <c r="V48516" s="5"/>
    </row>
    <row r="48517">
      <c r="N48517" s="1"/>
      <c r="V48517" s="5"/>
    </row>
    <row r="48518">
      <c r="N48518" s="1"/>
      <c r="V48518" s="5"/>
    </row>
    <row r="48519">
      <c r="N48519" s="1"/>
      <c r="V48519" s="5"/>
    </row>
    <row r="48520">
      <c r="N48520" s="1"/>
      <c r="V48520" s="5"/>
    </row>
    <row r="48521">
      <c r="N48521" s="1"/>
      <c r="V48521" s="5"/>
    </row>
    <row r="48522">
      <c r="N48522" s="1"/>
      <c r="V48522" s="5"/>
    </row>
    <row r="48523">
      <c r="N48523" s="1"/>
      <c r="V48523" s="5"/>
    </row>
    <row r="48524">
      <c r="N48524" s="1"/>
      <c r="V48524" s="5"/>
    </row>
    <row r="48525">
      <c r="N48525" s="1"/>
      <c r="V48525" s="5"/>
    </row>
    <row r="48526">
      <c r="N48526" s="1"/>
      <c r="V48526" s="5"/>
    </row>
    <row r="48527">
      <c r="N48527" s="1"/>
      <c r="V48527" s="5"/>
    </row>
    <row r="48528">
      <c r="N48528" s="1"/>
      <c r="V48528" s="5"/>
    </row>
    <row r="48529">
      <c r="N48529" s="1"/>
      <c r="V48529" s="5"/>
    </row>
    <row r="48530">
      <c r="N48530" s="1"/>
      <c r="V48530" s="5"/>
    </row>
    <row r="48531">
      <c r="N48531" s="1"/>
      <c r="V48531" s="5"/>
    </row>
    <row r="48532">
      <c r="N48532" s="1"/>
      <c r="V48532" s="5"/>
    </row>
    <row r="48533">
      <c r="N48533" s="1"/>
      <c r="V48533" s="5"/>
    </row>
    <row r="48534">
      <c r="N48534" s="1"/>
      <c r="V48534" s="5"/>
    </row>
    <row r="48535">
      <c r="N48535" s="1"/>
      <c r="V48535" s="5"/>
    </row>
    <row r="48536">
      <c r="N48536" s="1"/>
      <c r="V48536" s="5"/>
    </row>
    <row r="48537">
      <c r="N48537" s="1"/>
      <c r="V48537" s="5"/>
    </row>
    <row r="48538">
      <c r="N48538" s="1"/>
      <c r="V48538" s="5"/>
    </row>
    <row r="48539">
      <c r="N48539" s="1"/>
      <c r="V48539" s="5"/>
    </row>
    <row r="48540">
      <c r="N48540" s="1"/>
      <c r="V48540" s="5"/>
    </row>
    <row r="48541">
      <c r="N48541" s="1"/>
      <c r="V48541" s="5"/>
    </row>
    <row r="48542">
      <c r="N48542" s="1"/>
      <c r="V48542" s="5"/>
    </row>
    <row r="48543">
      <c r="N48543" s="1"/>
      <c r="V48543" s="5"/>
    </row>
    <row r="48544">
      <c r="N48544" s="1"/>
      <c r="V48544" s="5"/>
    </row>
    <row r="48545">
      <c r="N48545" s="1"/>
      <c r="V48545" s="5"/>
    </row>
    <row r="48546">
      <c r="N48546" s="1"/>
      <c r="V48546" s="5"/>
    </row>
    <row r="48547">
      <c r="N48547" s="1"/>
      <c r="V48547" s="5"/>
    </row>
    <row r="48548">
      <c r="N48548" s="1"/>
      <c r="V48548" s="5"/>
    </row>
    <row r="48549">
      <c r="N48549" s="1"/>
      <c r="V48549" s="5"/>
    </row>
    <row r="48550">
      <c r="N48550" s="1"/>
      <c r="V48550" s="5"/>
    </row>
    <row r="48551">
      <c r="N48551" s="1"/>
      <c r="V48551" s="5"/>
    </row>
    <row r="48552">
      <c r="N48552" s="1"/>
      <c r="V48552" s="5"/>
    </row>
    <row r="48553">
      <c r="N48553" s="1"/>
      <c r="V48553" s="5"/>
    </row>
    <row r="48554">
      <c r="N48554" s="1"/>
      <c r="V48554" s="5"/>
    </row>
    <row r="48555">
      <c r="N48555" s="1"/>
      <c r="V48555" s="5"/>
    </row>
    <row r="48556">
      <c r="N48556" s="1"/>
      <c r="V48556" s="5"/>
    </row>
    <row r="48557">
      <c r="N48557" s="1"/>
      <c r="V48557" s="5"/>
    </row>
    <row r="48558">
      <c r="N48558" s="1"/>
      <c r="V48558" s="5"/>
    </row>
    <row r="48559">
      <c r="N48559" s="1"/>
      <c r="V48559" s="5"/>
    </row>
    <row r="48560">
      <c r="N48560" s="1"/>
      <c r="V48560" s="5"/>
    </row>
    <row r="48561">
      <c r="N48561" s="1"/>
      <c r="V48561" s="5"/>
    </row>
    <row r="48562">
      <c r="N48562" s="1"/>
      <c r="V48562" s="5"/>
    </row>
    <row r="48563">
      <c r="N48563" s="1"/>
      <c r="V48563" s="5"/>
    </row>
    <row r="48564">
      <c r="N48564" s="1"/>
      <c r="V48564" s="5"/>
    </row>
    <row r="48565">
      <c r="N48565" s="1"/>
      <c r="V48565" s="5"/>
    </row>
    <row r="48566">
      <c r="N48566" s="1"/>
      <c r="V48566" s="5"/>
    </row>
    <row r="48567">
      <c r="N48567" s="1"/>
      <c r="V48567" s="5"/>
    </row>
    <row r="48568">
      <c r="N48568" s="1"/>
      <c r="V48568" s="5"/>
    </row>
    <row r="48569">
      <c r="N48569" s="1"/>
      <c r="V48569" s="5"/>
    </row>
    <row r="48570">
      <c r="N48570" s="1"/>
      <c r="V48570" s="5"/>
    </row>
    <row r="48571">
      <c r="N48571" s="1"/>
      <c r="V48571" s="5"/>
    </row>
    <row r="48572">
      <c r="N48572" s="1"/>
      <c r="V48572" s="5"/>
    </row>
    <row r="48573">
      <c r="N48573" s="1"/>
      <c r="V48573" s="5"/>
    </row>
    <row r="48574">
      <c r="N48574" s="1"/>
      <c r="V48574" s="5"/>
    </row>
    <row r="48575">
      <c r="N48575" s="1"/>
      <c r="V48575" s="5"/>
    </row>
    <row r="48576">
      <c r="N48576" s="1"/>
      <c r="V48576" s="5"/>
    </row>
    <row r="48577">
      <c r="N48577" s="1"/>
      <c r="V48577" s="5"/>
    </row>
    <row r="48578">
      <c r="N48578" s="1"/>
      <c r="V48578" s="5"/>
    </row>
    <row r="48579">
      <c r="N48579" s="1"/>
      <c r="V48579" s="5"/>
    </row>
    <row r="48580">
      <c r="N48580" s="1"/>
      <c r="V48580" s="5"/>
    </row>
    <row r="48581">
      <c r="N48581" s="1"/>
      <c r="V48581" s="5"/>
    </row>
    <row r="48582">
      <c r="N48582" s="1"/>
      <c r="V48582" s="5"/>
    </row>
    <row r="48583">
      <c r="N48583" s="1"/>
      <c r="V48583" s="5"/>
    </row>
    <row r="48584">
      <c r="N48584" s="1"/>
      <c r="V48584" s="5"/>
    </row>
    <row r="48585">
      <c r="N48585" s="1"/>
      <c r="V48585" s="5"/>
    </row>
    <row r="48586">
      <c r="N48586" s="1"/>
      <c r="V48586" s="5"/>
    </row>
    <row r="48587">
      <c r="N48587" s="1"/>
      <c r="V48587" s="5"/>
    </row>
    <row r="48588">
      <c r="N48588" s="1"/>
      <c r="V48588" s="5"/>
    </row>
    <row r="48589">
      <c r="N48589" s="1"/>
      <c r="V48589" s="5"/>
    </row>
    <row r="48590">
      <c r="N48590" s="1"/>
      <c r="V48590" s="5"/>
    </row>
    <row r="48591">
      <c r="N48591" s="1"/>
      <c r="V48591" s="5"/>
    </row>
    <row r="48592">
      <c r="N48592" s="1"/>
      <c r="V48592" s="5"/>
    </row>
    <row r="48593">
      <c r="N48593" s="1"/>
      <c r="V48593" s="5"/>
    </row>
    <row r="48594">
      <c r="N48594" s="1"/>
      <c r="V48594" s="5"/>
    </row>
    <row r="48595">
      <c r="N48595" s="1"/>
      <c r="V48595" s="5"/>
    </row>
    <row r="48596">
      <c r="N48596" s="1"/>
      <c r="V48596" s="5"/>
    </row>
    <row r="48597">
      <c r="N48597" s="1"/>
      <c r="V48597" s="5"/>
    </row>
    <row r="48598">
      <c r="N48598" s="1"/>
      <c r="V48598" s="5"/>
    </row>
    <row r="48599">
      <c r="N48599" s="1"/>
      <c r="V48599" s="5"/>
    </row>
    <row r="48600">
      <c r="N48600" s="1"/>
      <c r="V48600" s="5"/>
    </row>
    <row r="48601">
      <c r="N48601" s="1"/>
      <c r="V48601" s="5"/>
    </row>
    <row r="48602">
      <c r="N48602" s="1"/>
      <c r="V48602" s="5"/>
    </row>
    <row r="48603">
      <c r="N48603" s="1"/>
      <c r="V48603" s="5"/>
    </row>
    <row r="48604">
      <c r="N48604" s="1"/>
      <c r="V48604" s="5"/>
    </row>
    <row r="48605">
      <c r="N48605" s="1"/>
      <c r="V48605" s="5"/>
    </row>
    <row r="48606">
      <c r="N48606" s="1"/>
      <c r="V48606" s="5"/>
    </row>
    <row r="48607">
      <c r="N48607" s="1"/>
      <c r="V48607" s="5"/>
    </row>
    <row r="48608">
      <c r="N48608" s="1"/>
      <c r="V48608" s="5"/>
    </row>
    <row r="48609">
      <c r="N48609" s="1"/>
      <c r="V48609" s="5"/>
    </row>
    <row r="48610">
      <c r="N48610" s="1"/>
      <c r="V48610" s="5"/>
    </row>
    <row r="48611">
      <c r="N48611" s="1"/>
      <c r="V48611" s="5"/>
    </row>
    <row r="48612">
      <c r="N48612" s="1"/>
      <c r="V48612" s="5"/>
    </row>
    <row r="48613">
      <c r="N48613" s="1"/>
      <c r="V48613" s="5"/>
    </row>
    <row r="48614">
      <c r="N48614" s="1"/>
      <c r="V48614" s="5"/>
    </row>
    <row r="48615">
      <c r="N48615" s="1"/>
      <c r="V48615" s="5"/>
    </row>
    <row r="48616">
      <c r="N48616" s="1"/>
      <c r="V48616" s="5"/>
    </row>
    <row r="48617">
      <c r="N48617" s="1"/>
      <c r="V48617" s="5"/>
    </row>
    <row r="48618">
      <c r="N48618" s="1"/>
      <c r="V48618" s="5"/>
    </row>
    <row r="48619">
      <c r="N48619" s="1"/>
      <c r="V48619" s="5"/>
    </row>
    <row r="48620">
      <c r="N48620" s="1"/>
      <c r="V48620" s="5"/>
    </row>
    <row r="48621">
      <c r="N48621" s="1"/>
      <c r="V48621" s="5"/>
    </row>
    <row r="48622">
      <c r="N48622" s="1"/>
      <c r="V48622" s="5"/>
    </row>
    <row r="48623">
      <c r="N48623" s="1"/>
      <c r="V48623" s="5"/>
    </row>
    <row r="48624">
      <c r="N48624" s="1"/>
      <c r="V48624" s="5"/>
    </row>
    <row r="48625">
      <c r="N48625" s="1"/>
      <c r="V48625" s="5"/>
    </row>
    <row r="48626">
      <c r="N48626" s="1"/>
      <c r="V48626" s="5"/>
    </row>
    <row r="48627">
      <c r="N48627" s="1"/>
      <c r="V48627" s="5"/>
    </row>
    <row r="48628">
      <c r="N48628" s="1"/>
      <c r="V48628" s="5"/>
    </row>
    <row r="48629">
      <c r="N48629" s="1"/>
      <c r="V48629" s="5"/>
    </row>
    <row r="48630">
      <c r="N48630" s="1"/>
      <c r="V48630" s="5"/>
    </row>
    <row r="48631">
      <c r="N48631" s="1"/>
      <c r="V48631" s="5"/>
    </row>
    <row r="48632">
      <c r="N48632" s="1"/>
      <c r="V48632" s="5"/>
    </row>
    <row r="48633">
      <c r="N48633" s="1"/>
      <c r="V48633" s="5"/>
    </row>
    <row r="48634">
      <c r="N48634" s="1"/>
      <c r="V48634" s="5"/>
    </row>
    <row r="48635">
      <c r="N48635" s="1"/>
      <c r="V48635" s="5"/>
    </row>
    <row r="48636">
      <c r="N48636" s="1"/>
      <c r="V48636" s="5"/>
    </row>
    <row r="48637">
      <c r="N48637" s="1"/>
      <c r="V48637" s="5"/>
    </row>
    <row r="48638">
      <c r="N48638" s="1"/>
      <c r="V48638" s="5"/>
    </row>
    <row r="48639">
      <c r="N48639" s="1"/>
      <c r="V48639" s="5"/>
    </row>
    <row r="48640">
      <c r="N48640" s="1"/>
      <c r="V48640" s="5"/>
    </row>
    <row r="48641">
      <c r="N48641" s="1"/>
      <c r="V48641" s="5"/>
    </row>
    <row r="48642">
      <c r="N48642" s="1"/>
      <c r="V48642" s="5"/>
    </row>
    <row r="48643">
      <c r="N48643" s="1"/>
      <c r="V48643" s="5"/>
    </row>
    <row r="48644">
      <c r="N48644" s="1"/>
      <c r="V48644" s="5"/>
    </row>
    <row r="48645">
      <c r="N48645" s="1"/>
      <c r="V48645" s="5"/>
    </row>
    <row r="48646">
      <c r="N48646" s="1"/>
      <c r="V48646" s="5"/>
    </row>
    <row r="48647">
      <c r="N48647" s="1"/>
      <c r="V48647" s="5"/>
    </row>
    <row r="48648">
      <c r="N48648" s="1"/>
      <c r="V48648" s="5"/>
    </row>
    <row r="48649">
      <c r="N48649" s="1"/>
      <c r="V48649" s="5"/>
    </row>
    <row r="48650">
      <c r="N48650" s="1"/>
      <c r="V48650" s="5"/>
    </row>
    <row r="48651">
      <c r="N48651" s="1"/>
      <c r="V48651" s="5"/>
    </row>
    <row r="48652">
      <c r="N48652" s="1"/>
      <c r="V48652" s="5"/>
    </row>
    <row r="48653">
      <c r="N48653" s="1"/>
      <c r="V48653" s="5"/>
    </row>
    <row r="48654">
      <c r="N48654" s="1"/>
      <c r="V48654" s="5"/>
    </row>
    <row r="48655">
      <c r="N48655" s="1"/>
      <c r="V48655" s="5"/>
    </row>
    <row r="48656">
      <c r="N48656" s="1"/>
      <c r="V48656" s="5"/>
    </row>
    <row r="48657">
      <c r="N48657" s="1"/>
      <c r="V48657" s="5"/>
    </row>
    <row r="48658">
      <c r="N48658" s="1"/>
      <c r="V48658" s="5"/>
    </row>
    <row r="48659">
      <c r="N48659" s="1"/>
      <c r="V48659" s="5"/>
    </row>
    <row r="48660">
      <c r="N48660" s="1"/>
      <c r="V48660" s="5"/>
    </row>
    <row r="48661">
      <c r="N48661" s="1"/>
      <c r="V48661" s="5"/>
    </row>
    <row r="48662">
      <c r="N48662" s="1"/>
      <c r="V48662" s="5"/>
    </row>
    <row r="48663">
      <c r="N48663" s="1"/>
      <c r="V48663" s="5"/>
    </row>
    <row r="48664">
      <c r="N48664" s="1"/>
      <c r="V48664" s="5"/>
    </row>
    <row r="48665">
      <c r="N48665" s="1"/>
      <c r="V48665" s="5"/>
    </row>
    <row r="48666">
      <c r="N48666" s="1"/>
      <c r="V48666" s="5"/>
    </row>
    <row r="48667">
      <c r="N48667" s="1"/>
      <c r="V48667" s="5"/>
    </row>
    <row r="48668">
      <c r="N48668" s="1"/>
      <c r="V48668" s="5"/>
    </row>
    <row r="48669">
      <c r="N48669" s="1"/>
      <c r="V48669" s="5"/>
    </row>
    <row r="48670">
      <c r="N48670" s="1"/>
      <c r="V48670" s="5"/>
    </row>
    <row r="48671">
      <c r="N48671" s="1"/>
      <c r="V48671" s="5"/>
    </row>
    <row r="48672">
      <c r="N48672" s="1"/>
      <c r="V48672" s="5"/>
    </row>
    <row r="48673">
      <c r="N48673" s="1"/>
      <c r="V48673" s="5"/>
    </row>
    <row r="48674">
      <c r="N48674" s="1"/>
      <c r="V48674" s="5"/>
    </row>
    <row r="48675">
      <c r="N48675" s="1"/>
      <c r="V48675" s="5"/>
    </row>
    <row r="48676">
      <c r="N48676" s="1"/>
      <c r="V48676" s="5"/>
    </row>
    <row r="48677">
      <c r="N48677" s="1"/>
      <c r="V48677" s="5"/>
    </row>
    <row r="48678">
      <c r="N48678" s="1"/>
      <c r="V48678" s="5"/>
    </row>
    <row r="48679">
      <c r="N48679" s="1"/>
      <c r="V48679" s="5"/>
    </row>
    <row r="48680">
      <c r="N48680" s="1"/>
      <c r="V48680" s="5"/>
    </row>
    <row r="48681">
      <c r="N48681" s="1"/>
      <c r="V48681" s="5"/>
    </row>
    <row r="48682">
      <c r="N48682" s="1"/>
      <c r="V48682" s="5"/>
    </row>
    <row r="48683">
      <c r="N48683" s="1"/>
      <c r="V48683" s="5"/>
    </row>
    <row r="48684">
      <c r="N48684" s="1"/>
      <c r="V48684" s="5"/>
    </row>
    <row r="48685">
      <c r="N48685" s="1"/>
      <c r="V48685" s="5"/>
    </row>
    <row r="48686">
      <c r="N48686" s="1"/>
      <c r="V48686" s="5"/>
    </row>
    <row r="48687">
      <c r="N48687" s="1"/>
      <c r="V48687" s="5"/>
    </row>
    <row r="48688">
      <c r="N48688" s="1"/>
      <c r="V48688" s="5"/>
    </row>
    <row r="48689">
      <c r="N48689" s="1"/>
      <c r="V48689" s="5"/>
    </row>
    <row r="48690">
      <c r="N48690" s="1"/>
      <c r="V48690" s="5"/>
    </row>
    <row r="48691">
      <c r="N48691" s="1"/>
      <c r="V48691" s="5"/>
    </row>
    <row r="48692">
      <c r="N48692" s="1"/>
      <c r="V48692" s="5"/>
    </row>
    <row r="48693">
      <c r="N48693" s="1"/>
      <c r="V48693" s="5"/>
    </row>
    <row r="48694">
      <c r="N48694" s="1"/>
      <c r="V48694" s="5"/>
    </row>
    <row r="48695">
      <c r="N48695" s="1"/>
      <c r="V48695" s="5"/>
    </row>
    <row r="48696">
      <c r="N48696" s="1"/>
      <c r="V48696" s="5"/>
    </row>
    <row r="48697">
      <c r="N48697" s="1"/>
      <c r="V48697" s="5"/>
    </row>
    <row r="48698">
      <c r="N48698" s="1"/>
      <c r="V48698" s="5"/>
    </row>
    <row r="48699">
      <c r="N48699" s="1"/>
      <c r="V48699" s="5"/>
    </row>
    <row r="48700">
      <c r="N48700" s="1"/>
      <c r="V48700" s="5"/>
    </row>
    <row r="48701">
      <c r="N48701" s="1"/>
      <c r="V48701" s="5"/>
    </row>
    <row r="48702">
      <c r="N48702" s="1"/>
      <c r="V48702" s="5"/>
    </row>
    <row r="48703">
      <c r="N48703" s="1"/>
      <c r="V48703" s="5"/>
    </row>
    <row r="48704">
      <c r="N48704" s="1"/>
      <c r="V48704" s="5"/>
    </row>
    <row r="48705">
      <c r="N48705" s="1"/>
      <c r="V48705" s="5"/>
    </row>
    <row r="48706">
      <c r="N48706" s="1"/>
      <c r="V48706" s="5"/>
    </row>
    <row r="48707">
      <c r="N48707" s="1"/>
      <c r="V48707" s="5"/>
    </row>
    <row r="48708">
      <c r="N48708" s="1"/>
      <c r="V48708" s="5"/>
    </row>
    <row r="48709">
      <c r="N48709" s="1"/>
      <c r="V48709" s="5"/>
    </row>
    <row r="48710">
      <c r="N48710" s="1"/>
      <c r="V48710" s="5"/>
    </row>
    <row r="48711">
      <c r="N48711" s="1"/>
      <c r="V48711" s="5"/>
    </row>
    <row r="48712">
      <c r="N48712" s="1"/>
      <c r="V48712" s="5"/>
    </row>
    <row r="48713">
      <c r="N48713" s="1"/>
      <c r="V48713" s="5"/>
    </row>
    <row r="48714">
      <c r="N48714" s="1"/>
      <c r="V48714" s="5"/>
    </row>
    <row r="48715">
      <c r="N48715" s="1"/>
      <c r="V48715" s="5"/>
    </row>
    <row r="48716">
      <c r="N48716" s="1"/>
      <c r="V48716" s="5"/>
    </row>
    <row r="48717">
      <c r="N48717" s="1"/>
      <c r="V48717" s="5"/>
    </row>
    <row r="48718">
      <c r="N48718" s="1"/>
      <c r="V48718" s="5"/>
    </row>
    <row r="48719">
      <c r="N48719" s="1"/>
      <c r="V48719" s="5"/>
    </row>
    <row r="48720">
      <c r="N48720" s="1"/>
      <c r="V48720" s="5"/>
    </row>
    <row r="48721">
      <c r="N48721" s="1"/>
      <c r="V48721" s="5"/>
    </row>
    <row r="48722">
      <c r="N48722" s="1"/>
      <c r="V48722" s="5"/>
    </row>
    <row r="48723">
      <c r="N48723" s="1"/>
      <c r="V48723" s="5"/>
    </row>
    <row r="48724">
      <c r="N48724" s="1"/>
      <c r="V48724" s="5"/>
    </row>
    <row r="48725">
      <c r="N48725" s="1"/>
      <c r="V48725" s="5"/>
    </row>
    <row r="48726">
      <c r="N48726" s="1"/>
      <c r="V48726" s="5"/>
    </row>
    <row r="48727">
      <c r="N48727" s="1"/>
      <c r="V48727" s="5"/>
    </row>
    <row r="48728">
      <c r="N48728" s="1"/>
      <c r="V48728" s="5"/>
    </row>
    <row r="48729">
      <c r="N48729" s="1"/>
      <c r="V48729" s="5"/>
    </row>
    <row r="48730">
      <c r="N48730" s="1"/>
      <c r="V48730" s="5"/>
    </row>
    <row r="48731">
      <c r="N48731" s="1"/>
      <c r="V48731" s="5"/>
    </row>
    <row r="48732">
      <c r="N48732" s="1"/>
      <c r="V48732" s="5"/>
    </row>
    <row r="48733">
      <c r="N48733" s="1"/>
      <c r="V48733" s="5"/>
    </row>
    <row r="48734">
      <c r="N48734" s="1"/>
      <c r="V48734" s="5"/>
    </row>
    <row r="48735">
      <c r="N48735" s="1"/>
      <c r="V48735" s="5"/>
    </row>
    <row r="48736">
      <c r="N48736" s="1"/>
      <c r="V48736" s="5"/>
    </row>
    <row r="48737">
      <c r="N48737" s="1"/>
      <c r="V48737" s="5"/>
    </row>
    <row r="48738">
      <c r="N48738" s="1"/>
      <c r="V48738" s="5"/>
    </row>
    <row r="48739">
      <c r="N48739" s="1"/>
      <c r="V48739" s="5"/>
    </row>
    <row r="48740">
      <c r="N48740" s="1"/>
      <c r="V48740" s="5"/>
    </row>
    <row r="48741">
      <c r="N48741" s="1"/>
      <c r="V48741" s="5"/>
    </row>
    <row r="48742">
      <c r="N48742" s="1"/>
      <c r="V48742" s="5"/>
    </row>
    <row r="48743">
      <c r="N48743" s="1"/>
      <c r="V48743" s="5"/>
    </row>
    <row r="48744">
      <c r="N48744" s="1"/>
      <c r="V48744" s="5"/>
    </row>
    <row r="48745">
      <c r="N48745" s="1"/>
      <c r="V48745" s="5"/>
    </row>
    <row r="48746">
      <c r="N48746" s="1"/>
      <c r="V48746" s="5"/>
    </row>
    <row r="48747">
      <c r="N48747" s="1"/>
      <c r="V48747" s="5"/>
    </row>
    <row r="48748">
      <c r="N48748" s="1"/>
      <c r="V48748" s="5"/>
    </row>
    <row r="48749">
      <c r="N48749" s="1"/>
      <c r="V48749" s="5"/>
    </row>
    <row r="48750">
      <c r="N48750" s="1"/>
      <c r="V48750" s="5"/>
    </row>
    <row r="48751">
      <c r="N48751" s="1"/>
      <c r="V48751" s="5"/>
    </row>
    <row r="48752">
      <c r="N48752" s="1"/>
      <c r="V48752" s="5"/>
    </row>
    <row r="48753">
      <c r="N48753" s="1"/>
      <c r="V48753" s="5"/>
    </row>
    <row r="48754">
      <c r="N48754" s="1"/>
      <c r="V48754" s="5"/>
    </row>
    <row r="48755">
      <c r="N48755" s="1"/>
      <c r="V48755" s="5"/>
    </row>
    <row r="48756">
      <c r="N48756" s="1"/>
      <c r="V48756" s="5"/>
    </row>
    <row r="48757">
      <c r="N48757" s="1"/>
      <c r="V48757" s="5"/>
    </row>
    <row r="48758">
      <c r="N48758" s="1"/>
      <c r="V48758" s="5"/>
    </row>
    <row r="48759">
      <c r="N48759" s="1"/>
      <c r="V48759" s="5"/>
    </row>
    <row r="48760">
      <c r="N48760" s="1"/>
      <c r="V48760" s="5"/>
    </row>
    <row r="48761">
      <c r="N48761" s="1"/>
      <c r="V48761" s="5"/>
    </row>
    <row r="48762">
      <c r="N48762" s="1"/>
      <c r="V48762" s="5"/>
    </row>
    <row r="48763">
      <c r="N48763" s="1"/>
      <c r="V48763" s="5"/>
    </row>
    <row r="48764">
      <c r="N48764" s="1"/>
      <c r="V48764" s="5"/>
    </row>
    <row r="48765">
      <c r="N48765" s="1"/>
      <c r="V48765" s="5"/>
    </row>
    <row r="48766">
      <c r="N48766" s="1"/>
      <c r="V48766" s="5"/>
    </row>
    <row r="48767">
      <c r="N48767" s="1"/>
      <c r="V48767" s="5"/>
    </row>
    <row r="48768">
      <c r="N48768" s="1"/>
      <c r="V48768" s="5"/>
    </row>
    <row r="48769">
      <c r="N48769" s="1"/>
      <c r="V48769" s="5"/>
    </row>
    <row r="48770">
      <c r="N48770" s="1"/>
      <c r="V48770" s="5"/>
    </row>
    <row r="48771">
      <c r="N48771" s="1"/>
      <c r="V48771" s="5"/>
    </row>
    <row r="48772">
      <c r="N48772" s="1"/>
      <c r="V48772" s="5"/>
    </row>
    <row r="48773">
      <c r="N48773" s="1"/>
      <c r="V48773" s="5"/>
    </row>
    <row r="48774">
      <c r="N48774" s="1"/>
      <c r="V48774" s="5"/>
    </row>
    <row r="48775">
      <c r="N48775" s="1"/>
      <c r="V48775" s="5"/>
    </row>
    <row r="48776">
      <c r="N48776" s="1"/>
      <c r="V48776" s="5"/>
    </row>
    <row r="48777">
      <c r="N48777" s="1"/>
      <c r="V48777" s="5"/>
    </row>
    <row r="48778">
      <c r="N48778" s="1"/>
      <c r="V48778" s="5"/>
    </row>
    <row r="48779">
      <c r="N48779" s="1"/>
      <c r="V48779" s="5"/>
    </row>
    <row r="48780">
      <c r="N48780" s="1"/>
      <c r="V48780" s="5"/>
    </row>
    <row r="48781">
      <c r="N48781" s="1"/>
      <c r="V48781" s="5"/>
    </row>
    <row r="48782">
      <c r="N48782" s="1"/>
      <c r="V48782" s="5"/>
    </row>
    <row r="48783">
      <c r="N48783" s="1"/>
      <c r="V48783" s="5"/>
    </row>
    <row r="48784">
      <c r="N48784" s="1"/>
      <c r="V48784" s="5"/>
    </row>
    <row r="48785">
      <c r="N48785" s="1"/>
      <c r="V48785" s="5"/>
    </row>
    <row r="48786">
      <c r="N48786" s="1"/>
      <c r="V48786" s="5"/>
    </row>
    <row r="48787">
      <c r="N48787" s="1"/>
      <c r="V48787" s="5"/>
    </row>
    <row r="48788">
      <c r="N48788" s="1"/>
      <c r="V48788" s="5"/>
    </row>
    <row r="48789">
      <c r="N48789" s="1"/>
      <c r="V48789" s="5"/>
    </row>
    <row r="48790">
      <c r="N48790" s="1"/>
      <c r="V48790" s="5"/>
    </row>
    <row r="48791">
      <c r="N48791" s="1"/>
      <c r="V48791" s="5"/>
    </row>
    <row r="48792">
      <c r="N48792" s="1"/>
      <c r="V48792" s="5"/>
    </row>
    <row r="48793">
      <c r="N48793" s="1"/>
      <c r="V48793" s="5"/>
    </row>
    <row r="48794">
      <c r="N48794" s="1"/>
      <c r="V48794" s="5"/>
    </row>
    <row r="48795">
      <c r="N48795" s="1"/>
      <c r="V48795" s="5"/>
    </row>
    <row r="48796">
      <c r="N48796" s="1"/>
      <c r="V48796" s="5"/>
    </row>
    <row r="48797">
      <c r="N48797" s="1"/>
      <c r="V48797" s="5"/>
    </row>
    <row r="48798">
      <c r="N48798" s="1"/>
      <c r="V48798" s="5"/>
    </row>
    <row r="48799">
      <c r="N48799" s="1"/>
      <c r="V48799" s="5"/>
    </row>
    <row r="48800">
      <c r="N48800" s="1"/>
      <c r="V48800" s="5"/>
    </row>
    <row r="48801">
      <c r="N48801" s="1"/>
      <c r="V48801" s="5"/>
    </row>
    <row r="48802">
      <c r="N48802" s="1"/>
      <c r="V48802" s="5"/>
    </row>
    <row r="48803">
      <c r="N48803" s="1"/>
      <c r="V48803" s="5"/>
    </row>
    <row r="48804">
      <c r="N48804" s="1"/>
      <c r="V48804" s="5"/>
    </row>
    <row r="48805">
      <c r="N48805" s="1"/>
      <c r="V48805" s="5"/>
    </row>
    <row r="48806">
      <c r="N48806" s="1"/>
      <c r="V48806" s="5"/>
    </row>
    <row r="48807">
      <c r="N48807" s="1"/>
      <c r="V48807" s="5"/>
    </row>
    <row r="48808">
      <c r="N48808" s="1"/>
      <c r="V48808" s="5"/>
    </row>
    <row r="48809">
      <c r="N48809" s="1"/>
      <c r="V48809" s="5"/>
    </row>
    <row r="48810">
      <c r="N48810" s="1"/>
      <c r="V48810" s="5"/>
    </row>
    <row r="48811">
      <c r="N48811" s="1"/>
      <c r="V48811" s="5"/>
    </row>
    <row r="48812">
      <c r="N48812" s="1"/>
      <c r="V48812" s="5"/>
    </row>
    <row r="48813">
      <c r="N48813" s="1"/>
      <c r="V48813" s="5"/>
    </row>
    <row r="48814">
      <c r="N48814" s="1"/>
      <c r="V48814" s="5"/>
    </row>
    <row r="48815">
      <c r="N48815" s="1"/>
      <c r="V48815" s="5"/>
    </row>
    <row r="48816">
      <c r="N48816" s="1"/>
      <c r="V48816" s="5"/>
    </row>
    <row r="48817">
      <c r="N48817" s="1"/>
      <c r="V48817" s="5"/>
    </row>
    <row r="48818">
      <c r="N48818" s="1"/>
      <c r="V48818" s="5"/>
    </row>
    <row r="48819">
      <c r="N48819" s="1"/>
      <c r="V48819" s="5"/>
    </row>
    <row r="48820">
      <c r="N48820" s="1"/>
      <c r="V48820" s="5"/>
    </row>
    <row r="48821">
      <c r="N48821" s="1"/>
      <c r="V48821" s="5"/>
    </row>
    <row r="48822">
      <c r="N48822" s="1"/>
      <c r="V48822" s="5"/>
    </row>
    <row r="48823">
      <c r="N48823" s="1"/>
      <c r="V48823" s="5"/>
    </row>
    <row r="48824">
      <c r="N48824" s="1"/>
      <c r="V48824" s="5"/>
    </row>
    <row r="48825">
      <c r="N48825" s="1"/>
      <c r="V48825" s="5"/>
    </row>
    <row r="48826">
      <c r="N48826" s="1"/>
      <c r="V48826" s="5"/>
    </row>
    <row r="48827">
      <c r="N48827" s="1"/>
      <c r="V48827" s="5"/>
    </row>
    <row r="48828">
      <c r="N48828" s="1"/>
      <c r="V48828" s="5"/>
    </row>
    <row r="48829">
      <c r="N48829" s="1"/>
      <c r="V48829" s="5"/>
    </row>
    <row r="48830">
      <c r="N48830" s="1"/>
      <c r="V48830" s="5"/>
    </row>
    <row r="48831">
      <c r="N48831" s="1"/>
      <c r="V48831" s="5"/>
    </row>
    <row r="48832">
      <c r="N48832" s="1"/>
      <c r="V48832" s="5"/>
    </row>
    <row r="48833">
      <c r="N48833" s="1"/>
      <c r="V48833" s="5"/>
    </row>
    <row r="48834">
      <c r="N48834" s="1"/>
      <c r="V48834" s="5"/>
    </row>
    <row r="48835">
      <c r="N48835" s="1"/>
      <c r="V48835" s="5"/>
    </row>
    <row r="48836">
      <c r="N48836" s="1"/>
      <c r="V48836" s="5"/>
    </row>
    <row r="48837">
      <c r="N48837" s="1"/>
      <c r="V48837" s="5"/>
    </row>
    <row r="48838">
      <c r="N48838" s="1"/>
      <c r="V48838" s="5"/>
    </row>
    <row r="48839">
      <c r="N48839" s="1"/>
      <c r="V48839" s="5"/>
    </row>
    <row r="48840">
      <c r="N48840" s="1"/>
      <c r="V48840" s="5"/>
    </row>
    <row r="48841">
      <c r="N48841" s="1"/>
      <c r="V48841" s="5"/>
    </row>
    <row r="48842">
      <c r="N48842" s="1"/>
      <c r="V48842" s="5"/>
    </row>
    <row r="48843">
      <c r="N48843" s="1"/>
      <c r="V48843" s="5"/>
    </row>
    <row r="48844">
      <c r="N48844" s="1"/>
      <c r="V48844" s="5"/>
    </row>
    <row r="48845">
      <c r="N48845" s="1"/>
      <c r="V48845" s="5"/>
    </row>
    <row r="48846">
      <c r="N48846" s="1"/>
      <c r="V48846" s="5"/>
    </row>
    <row r="48847">
      <c r="N48847" s="1"/>
      <c r="V48847" s="5"/>
    </row>
    <row r="48848">
      <c r="N48848" s="1"/>
      <c r="V48848" s="5"/>
    </row>
    <row r="48849">
      <c r="N48849" s="1"/>
      <c r="V48849" s="5"/>
    </row>
    <row r="48850">
      <c r="N48850" s="1"/>
      <c r="V48850" s="5"/>
    </row>
    <row r="48851">
      <c r="N48851" s="1"/>
      <c r="V48851" s="5"/>
    </row>
    <row r="48852">
      <c r="N48852" s="1"/>
      <c r="V48852" s="5"/>
    </row>
    <row r="48853">
      <c r="N48853" s="1"/>
      <c r="V48853" s="5"/>
    </row>
    <row r="48854">
      <c r="N48854" s="1"/>
      <c r="V48854" s="5"/>
    </row>
    <row r="48855">
      <c r="N48855" s="1"/>
      <c r="V48855" s="5"/>
    </row>
    <row r="48856">
      <c r="N48856" s="1"/>
      <c r="V48856" s="5"/>
    </row>
    <row r="48857">
      <c r="N48857" s="1"/>
      <c r="V48857" s="5"/>
    </row>
    <row r="48858">
      <c r="N48858" s="1"/>
      <c r="V48858" s="5"/>
    </row>
    <row r="48859">
      <c r="N48859" s="1"/>
      <c r="V48859" s="5"/>
    </row>
    <row r="48860">
      <c r="N48860" s="1"/>
      <c r="V48860" s="5"/>
    </row>
    <row r="48861">
      <c r="N48861" s="1"/>
      <c r="V48861" s="5"/>
    </row>
    <row r="48862">
      <c r="N48862" s="1"/>
      <c r="V48862" s="5"/>
    </row>
    <row r="48863">
      <c r="N48863" s="1"/>
      <c r="V48863" s="5"/>
    </row>
    <row r="48864">
      <c r="N48864" s="1"/>
      <c r="V48864" s="5"/>
    </row>
    <row r="48865">
      <c r="N48865" s="1"/>
      <c r="V48865" s="5"/>
    </row>
    <row r="48866">
      <c r="N48866" s="1"/>
      <c r="V48866" s="5"/>
    </row>
    <row r="48867">
      <c r="N48867" s="1"/>
      <c r="V48867" s="5"/>
    </row>
    <row r="48868">
      <c r="N48868" s="1"/>
      <c r="V48868" s="5"/>
    </row>
    <row r="48869">
      <c r="N48869" s="1"/>
      <c r="V48869" s="5"/>
    </row>
    <row r="48870">
      <c r="N48870" s="1"/>
      <c r="V48870" s="5"/>
    </row>
    <row r="48871">
      <c r="N48871" s="1"/>
      <c r="V48871" s="5"/>
    </row>
    <row r="48872">
      <c r="N48872" s="1"/>
      <c r="V48872" s="5"/>
    </row>
    <row r="48873">
      <c r="N48873" s="1"/>
      <c r="V48873" s="5"/>
    </row>
    <row r="48874">
      <c r="N48874" s="1"/>
      <c r="V48874" s="5"/>
    </row>
    <row r="48875">
      <c r="N48875" s="1"/>
      <c r="V48875" s="5"/>
    </row>
    <row r="48876">
      <c r="N48876" s="1"/>
      <c r="V48876" s="5"/>
    </row>
    <row r="48877">
      <c r="N48877" s="1"/>
      <c r="V48877" s="5"/>
    </row>
    <row r="48878">
      <c r="N48878" s="1"/>
      <c r="V48878" s="5"/>
    </row>
    <row r="48879">
      <c r="N48879" s="1"/>
      <c r="V48879" s="5"/>
    </row>
    <row r="48880">
      <c r="N48880" s="1"/>
      <c r="V48880" s="5"/>
    </row>
    <row r="48881">
      <c r="N48881" s="1"/>
      <c r="V48881" s="5"/>
    </row>
    <row r="48882">
      <c r="N48882" s="1"/>
      <c r="V48882" s="5"/>
    </row>
    <row r="48883">
      <c r="N48883" s="1"/>
      <c r="V48883" s="5"/>
    </row>
    <row r="48884">
      <c r="N48884" s="1"/>
      <c r="V48884" s="5"/>
    </row>
    <row r="48885">
      <c r="N48885" s="1"/>
      <c r="V48885" s="5"/>
    </row>
    <row r="48886">
      <c r="N48886" s="1"/>
      <c r="V48886" s="5"/>
    </row>
    <row r="48887">
      <c r="N48887" s="1"/>
      <c r="V48887" s="5"/>
    </row>
    <row r="48888">
      <c r="N48888" s="1"/>
      <c r="V48888" s="5"/>
    </row>
    <row r="48889">
      <c r="N48889" s="1"/>
      <c r="V48889" s="5"/>
    </row>
    <row r="48890">
      <c r="N48890" s="1"/>
      <c r="V48890" s="5"/>
    </row>
    <row r="48891">
      <c r="N48891" s="1"/>
      <c r="V48891" s="5"/>
    </row>
    <row r="48892">
      <c r="N48892" s="1"/>
      <c r="V48892" s="5"/>
    </row>
    <row r="48893">
      <c r="N48893" s="1"/>
      <c r="V48893" s="5"/>
    </row>
    <row r="48894">
      <c r="N48894" s="1"/>
      <c r="V48894" s="5"/>
    </row>
    <row r="48895">
      <c r="N48895" s="1"/>
      <c r="V48895" s="5"/>
    </row>
    <row r="48896">
      <c r="N48896" s="1"/>
      <c r="V48896" s="5"/>
    </row>
    <row r="48897">
      <c r="N48897" s="1"/>
      <c r="V48897" s="5"/>
    </row>
    <row r="48898">
      <c r="N48898" s="1"/>
      <c r="V48898" s="5"/>
    </row>
    <row r="48899">
      <c r="N48899" s="1"/>
      <c r="V48899" s="5"/>
    </row>
    <row r="48900">
      <c r="N48900" s="1"/>
      <c r="V48900" s="5"/>
    </row>
    <row r="48901">
      <c r="N48901" s="1"/>
      <c r="V48901" s="5"/>
    </row>
    <row r="48902">
      <c r="N48902" s="1"/>
      <c r="V48902" s="5"/>
    </row>
    <row r="48903">
      <c r="N48903" s="1"/>
      <c r="V48903" s="5"/>
    </row>
    <row r="48904">
      <c r="N48904" s="1"/>
      <c r="V48904" s="5"/>
    </row>
    <row r="48905">
      <c r="N48905" s="1"/>
      <c r="V48905" s="5"/>
    </row>
    <row r="48906">
      <c r="N48906" s="1"/>
      <c r="V48906" s="5"/>
    </row>
    <row r="48907">
      <c r="N48907" s="1"/>
      <c r="V48907" s="5"/>
    </row>
    <row r="48908">
      <c r="N48908" s="1"/>
      <c r="V48908" s="5"/>
    </row>
    <row r="48909">
      <c r="N48909" s="1"/>
      <c r="V48909" s="5"/>
    </row>
    <row r="48910">
      <c r="N48910" s="1"/>
      <c r="V48910" s="5"/>
    </row>
    <row r="48911">
      <c r="N48911" s="1"/>
      <c r="V48911" s="5"/>
    </row>
    <row r="48912">
      <c r="N48912" s="1"/>
      <c r="V48912" s="5"/>
    </row>
    <row r="48913">
      <c r="N48913" s="1"/>
      <c r="V48913" s="5"/>
    </row>
    <row r="48914">
      <c r="N48914" s="1"/>
      <c r="V48914" s="5"/>
    </row>
    <row r="48915">
      <c r="N48915" s="1"/>
      <c r="V48915" s="5"/>
    </row>
    <row r="48916">
      <c r="N48916" s="1"/>
      <c r="V48916" s="5"/>
    </row>
    <row r="48917">
      <c r="N48917" s="1"/>
      <c r="V48917" s="5"/>
    </row>
    <row r="48918">
      <c r="N48918" s="1"/>
      <c r="V48918" s="5"/>
    </row>
    <row r="48919">
      <c r="N48919" s="1"/>
      <c r="V48919" s="5"/>
    </row>
    <row r="48920">
      <c r="N48920" s="1"/>
      <c r="V48920" s="5"/>
    </row>
    <row r="48921">
      <c r="N48921" s="1"/>
      <c r="V48921" s="5"/>
    </row>
    <row r="48922">
      <c r="N48922" s="1"/>
      <c r="V48922" s="5"/>
    </row>
    <row r="48923">
      <c r="N48923" s="1"/>
      <c r="V48923" s="5"/>
    </row>
    <row r="48924">
      <c r="N48924" s="1"/>
      <c r="V48924" s="5"/>
    </row>
    <row r="48925">
      <c r="N48925" s="1"/>
      <c r="V48925" s="5"/>
    </row>
    <row r="48926">
      <c r="N48926" s="1"/>
      <c r="V48926" s="5"/>
    </row>
    <row r="48927">
      <c r="N48927" s="1"/>
      <c r="V48927" s="5"/>
    </row>
    <row r="48928">
      <c r="N48928" s="1"/>
      <c r="V48928" s="5"/>
    </row>
    <row r="48929">
      <c r="N48929" s="1"/>
      <c r="V48929" s="5"/>
    </row>
    <row r="48930">
      <c r="N48930" s="1"/>
      <c r="V48930" s="5"/>
    </row>
    <row r="48931">
      <c r="N48931" s="1"/>
      <c r="V48931" s="5"/>
    </row>
    <row r="48932">
      <c r="N48932" s="1"/>
      <c r="V48932" s="5"/>
    </row>
    <row r="48933">
      <c r="N48933" s="1"/>
      <c r="V48933" s="5"/>
    </row>
    <row r="48934">
      <c r="N48934" s="1"/>
      <c r="V48934" s="5"/>
    </row>
    <row r="48935">
      <c r="N48935" s="1"/>
      <c r="V48935" s="5"/>
    </row>
    <row r="48936">
      <c r="N48936" s="1"/>
      <c r="V48936" s="5"/>
    </row>
    <row r="48937">
      <c r="N48937" s="1"/>
      <c r="V48937" s="5"/>
    </row>
    <row r="48938">
      <c r="N48938" s="1"/>
      <c r="V48938" s="5"/>
    </row>
    <row r="48939">
      <c r="N48939" s="1"/>
      <c r="V48939" s="5"/>
    </row>
    <row r="48940">
      <c r="N48940" s="1"/>
      <c r="V48940" s="5"/>
    </row>
    <row r="48941">
      <c r="N48941" s="1"/>
      <c r="V48941" s="5"/>
    </row>
    <row r="48942">
      <c r="N48942" s="1"/>
      <c r="V48942" s="5"/>
    </row>
    <row r="48943">
      <c r="N48943" s="1"/>
      <c r="V48943" s="5"/>
    </row>
    <row r="48944">
      <c r="N48944" s="1"/>
      <c r="V48944" s="5"/>
    </row>
    <row r="48945">
      <c r="N48945" s="1"/>
      <c r="V48945" s="5"/>
    </row>
    <row r="48946">
      <c r="N48946" s="1"/>
      <c r="V48946" s="5"/>
    </row>
    <row r="48947">
      <c r="N48947" s="1"/>
      <c r="V48947" s="5"/>
    </row>
    <row r="48948">
      <c r="N48948" s="1"/>
      <c r="V48948" s="5"/>
    </row>
    <row r="48949">
      <c r="N48949" s="1"/>
      <c r="V48949" s="5"/>
    </row>
    <row r="48950">
      <c r="N48950" s="1"/>
      <c r="V48950" s="5"/>
    </row>
    <row r="48951">
      <c r="N48951" s="1"/>
      <c r="V48951" s="5"/>
    </row>
    <row r="48952">
      <c r="N48952" s="1"/>
      <c r="V48952" s="5"/>
    </row>
    <row r="48953">
      <c r="N48953" s="1"/>
      <c r="V48953" s="5"/>
    </row>
    <row r="48954">
      <c r="N48954" s="1"/>
      <c r="V48954" s="5"/>
    </row>
    <row r="48955">
      <c r="N48955" s="1"/>
      <c r="V48955" s="5"/>
    </row>
    <row r="48956">
      <c r="N48956" s="1"/>
      <c r="V48956" s="5"/>
    </row>
    <row r="48957">
      <c r="N48957" s="1"/>
      <c r="V48957" s="5"/>
    </row>
    <row r="48958">
      <c r="N48958" s="1"/>
      <c r="V48958" s="5"/>
    </row>
    <row r="48959">
      <c r="N48959" s="1"/>
      <c r="V48959" s="5"/>
    </row>
    <row r="48960">
      <c r="N48960" s="1"/>
      <c r="V48960" s="5"/>
    </row>
    <row r="48961">
      <c r="N48961" s="1"/>
      <c r="V48961" s="5"/>
    </row>
    <row r="48962">
      <c r="N48962" s="1"/>
      <c r="V48962" s="5"/>
    </row>
    <row r="48963">
      <c r="N48963" s="1"/>
      <c r="V48963" s="5"/>
    </row>
    <row r="48964">
      <c r="N48964" s="1"/>
      <c r="V48964" s="5"/>
    </row>
    <row r="48965">
      <c r="N48965" s="1"/>
      <c r="V48965" s="5"/>
    </row>
    <row r="48966">
      <c r="N48966" s="1"/>
      <c r="V48966" s="5"/>
    </row>
    <row r="48967">
      <c r="N48967" s="1"/>
      <c r="V48967" s="5"/>
    </row>
    <row r="48968">
      <c r="N48968" s="1"/>
      <c r="V48968" s="5"/>
    </row>
    <row r="48969">
      <c r="N48969" s="1"/>
      <c r="V48969" s="5"/>
    </row>
    <row r="48970">
      <c r="N48970" s="1"/>
      <c r="V48970" s="5"/>
    </row>
    <row r="48971">
      <c r="N48971" s="1"/>
      <c r="V48971" s="5"/>
    </row>
    <row r="48972">
      <c r="N48972" s="1"/>
      <c r="V48972" s="5"/>
    </row>
    <row r="48973">
      <c r="N48973" s="1"/>
      <c r="V48973" s="5"/>
    </row>
    <row r="48974">
      <c r="N48974" s="1"/>
      <c r="V48974" s="5"/>
    </row>
    <row r="48975">
      <c r="N48975" s="1"/>
      <c r="V48975" s="5"/>
    </row>
    <row r="48976">
      <c r="N48976" s="1"/>
      <c r="V48976" s="5"/>
    </row>
    <row r="48977">
      <c r="N48977" s="1"/>
      <c r="V48977" s="5"/>
    </row>
    <row r="48978">
      <c r="N48978" s="1"/>
      <c r="V48978" s="5"/>
    </row>
    <row r="48979">
      <c r="N48979" s="1"/>
      <c r="V48979" s="5"/>
    </row>
    <row r="48980">
      <c r="N48980" s="1"/>
      <c r="V48980" s="5"/>
    </row>
    <row r="48981">
      <c r="N48981" s="1"/>
      <c r="V48981" s="5"/>
    </row>
    <row r="48982">
      <c r="N48982" s="1"/>
      <c r="V48982" s="5"/>
    </row>
    <row r="48983">
      <c r="N48983" s="1"/>
      <c r="V48983" s="5"/>
    </row>
    <row r="48984">
      <c r="N48984" s="1"/>
      <c r="V48984" s="5"/>
    </row>
    <row r="48985">
      <c r="N48985" s="1"/>
      <c r="V48985" s="5"/>
    </row>
    <row r="48986">
      <c r="N48986" s="1"/>
      <c r="V48986" s="5"/>
    </row>
    <row r="48987">
      <c r="N48987" s="1"/>
      <c r="V48987" s="5"/>
    </row>
    <row r="48988">
      <c r="N48988" s="1"/>
      <c r="V48988" s="5"/>
    </row>
    <row r="48989">
      <c r="N48989" s="1"/>
      <c r="V48989" s="5"/>
    </row>
    <row r="48990">
      <c r="N48990" s="1"/>
      <c r="V48990" s="5"/>
    </row>
    <row r="48991">
      <c r="N48991" s="1"/>
      <c r="V48991" s="5"/>
    </row>
    <row r="48992">
      <c r="N48992" s="1"/>
      <c r="V48992" s="5"/>
    </row>
    <row r="48993">
      <c r="N48993" s="1"/>
      <c r="V48993" s="5"/>
    </row>
    <row r="48994">
      <c r="N48994" s="1"/>
      <c r="V48994" s="5"/>
    </row>
    <row r="48995">
      <c r="N48995" s="1"/>
      <c r="V48995" s="5"/>
    </row>
    <row r="48996">
      <c r="N48996" s="1"/>
      <c r="V48996" s="5"/>
    </row>
    <row r="48997">
      <c r="N48997" s="1"/>
      <c r="V48997" s="5"/>
    </row>
    <row r="48998">
      <c r="N48998" s="1"/>
      <c r="V48998" s="5"/>
    </row>
    <row r="48999">
      <c r="N48999" s="1"/>
      <c r="V48999" s="5"/>
    </row>
    <row r="49000">
      <c r="N49000" s="1"/>
      <c r="V49000" s="5"/>
    </row>
    <row r="49001">
      <c r="N49001" s="1"/>
      <c r="V49001" s="5"/>
    </row>
    <row r="49002">
      <c r="N49002" s="1"/>
      <c r="V49002" s="5"/>
    </row>
    <row r="49003">
      <c r="N49003" s="1"/>
      <c r="V49003" s="5"/>
    </row>
    <row r="49004">
      <c r="N49004" s="1"/>
      <c r="V49004" s="5"/>
    </row>
    <row r="49005">
      <c r="N49005" s="1"/>
      <c r="V49005" s="5"/>
    </row>
    <row r="49006">
      <c r="N49006" s="1"/>
      <c r="V49006" s="5"/>
    </row>
    <row r="49007">
      <c r="N49007" s="1"/>
      <c r="V49007" s="5"/>
    </row>
    <row r="49008">
      <c r="N49008" s="1"/>
      <c r="V49008" s="5"/>
    </row>
    <row r="49009">
      <c r="N49009" s="1"/>
      <c r="V49009" s="5"/>
    </row>
    <row r="49010">
      <c r="N49010" s="1"/>
      <c r="V49010" s="5"/>
    </row>
    <row r="49011">
      <c r="N49011" s="1"/>
      <c r="V49011" s="5"/>
    </row>
    <row r="49012">
      <c r="N49012" s="1"/>
      <c r="V49012" s="5"/>
    </row>
    <row r="49013">
      <c r="N49013" s="1"/>
      <c r="V49013" s="5"/>
    </row>
    <row r="49014">
      <c r="N49014" s="1"/>
      <c r="V49014" s="5"/>
    </row>
    <row r="49015">
      <c r="N49015" s="1"/>
      <c r="V49015" s="5"/>
    </row>
    <row r="49016">
      <c r="N49016" s="1"/>
      <c r="V49016" s="5"/>
    </row>
    <row r="49017">
      <c r="N49017" s="1"/>
      <c r="V49017" s="5"/>
    </row>
    <row r="49018">
      <c r="N49018" s="1"/>
      <c r="V49018" s="5"/>
    </row>
    <row r="49019">
      <c r="N49019" s="1"/>
      <c r="V49019" s="5"/>
    </row>
    <row r="49020">
      <c r="N49020" s="1"/>
      <c r="V49020" s="5"/>
    </row>
    <row r="49021">
      <c r="N49021" s="1"/>
      <c r="V49021" s="5"/>
    </row>
    <row r="49022">
      <c r="N49022" s="1"/>
      <c r="V49022" s="5"/>
    </row>
    <row r="49023">
      <c r="N49023" s="1"/>
      <c r="V49023" s="5"/>
    </row>
    <row r="49024">
      <c r="N49024" s="1"/>
      <c r="V49024" s="5"/>
    </row>
    <row r="49025">
      <c r="N49025" s="1"/>
      <c r="V49025" s="5"/>
    </row>
    <row r="49026">
      <c r="N49026" s="1"/>
      <c r="V49026" s="5"/>
    </row>
    <row r="49027">
      <c r="N49027" s="1"/>
      <c r="V49027" s="5"/>
    </row>
    <row r="49028">
      <c r="N49028" s="1"/>
      <c r="V49028" s="5"/>
    </row>
    <row r="49029">
      <c r="N49029" s="1"/>
      <c r="V49029" s="5"/>
    </row>
    <row r="49030">
      <c r="N49030" s="1"/>
      <c r="V49030" s="5"/>
    </row>
    <row r="49031">
      <c r="N49031" s="1"/>
      <c r="V49031" s="5"/>
    </row>
    <row r="49032">
      <c r="N49032" s="1"/>
      <c r="V49032" s="5"/>
    </row>
    <row r="49033">
      <c r="N49033" s="1"/>
      <c r="V49033" s="5"/>
    </row>
    <row r="49034">
      <c r="N49034" s="1"/>
      <c r="V49034" s="5"/>
    </row>
    <row r="49035">
      <c r="N49035" s="1"/>
      <c r="V49035" s="5"/>
    </row>
    <row r="49036">
      <c r="N49036" s="1"/>
      <c r="V49036" s="5"/>
    </row>
    <row r="49037">
      <c r="N49037" s="1"/>
      <c r="V49037" s="5"/>
    </row>
    <row r="49038">
      <c r="N49038" s="1"/>
      <c r="V49038" s="5"/>
    </row>
    <row r="49039">
      <c r="N49039" s="1"/>
      <c r="V49039" s="5"/>
    </row>
    <row r="49040">
      <c r="N49040" s="1"/>
      <c r="V49040" s="5"/>
    </row>
    <row r="49041">
      <c r="N49041" s="1"/>
      <c r="V49041" s="5"/>
    </row>
    <row r="49042">
      <c r="N49042" s="1"/>
      <c r="V49042" s="5"/>
    </row>
    <row r="49043">
      <c r="N49043" s="1"/>
      <c r="V49043" s="5"/>
    </row>
    <row r="49044">
      <c r="N49044" s="1"/>
      <c r="V49044" s="5"/>
    </row>
    <row r="49045">
      <c r="N49045" s="1"/>
      <c r="V49045" s="5"/>
    </row>
    <row r="49046">
      <c r="N49046" s="1"/>
      <c r="V49046" s="5"/>
    </row>
    <row r="49047">
      <c r="N49047" s="1"/>
      <c r="V49047" s="5"/>
    </row>
    <row r="49048">
      <c r="N49048" s="1"/>
      <c r="V49048" s="5"/>
    </row>
    <row r="49049">
      <c r="N49049" s="1"/>
      <c r="V49049" s="5"/>
    </row>
    <row r="49050">
      <c r="N49050" s="1"/>
      <c r="V49050" s="5"/>
    </row>
    <row r="49051">
      <c r="N49051" s="1"/>
      <c r="V49051" s="5"/>
    </row>
    <row r="49052">
      <c r="N49052" s="1"/>
      <c r="V49052" s="5"/>
    </row>
    <row r="49053">
      <c r="N49053" s="1"/>
      <c r="V49053" s="5"/>
    </row>
    <row r="49054">
      <c r="N49054" s="1"/>
      <c r="V49054" s="5"/>
    </row>
    <row r="49055">
      <c r="N49055" s="1"/>
      <c r="V49055" s="5"/>
    </row>
    <row r="49056">
      <c r="N49056" s="1"/>
      <c r="V49056" s="5"/>
    </row>
    <row r="49057">
      <c r="N49057" s="1"/>
      <c r="V49057" s="5"/>
    </row>
    <row r="49058">
      <c r="N49058" s="1"/>
      <c r="V49058" s="5"/>
    </row>
    <row r="49059">
      <c r="N49059" s="1"/>
      <c r="V49059" s="5"/>
    </row>
    <row r="49060">
      <c r="N49060" s="1"/>
      <c r="V49060" s="5"/>
    </row>
    <row r="49061">
      <c r="N49061" s="1"/>
      <c r="V49061" s="5"/>
    </row>
    <row r="49062">
      <c r="N49062" s="1"/>
      <c r="V49062" s="5"/>
    </row>
    <row r="49063">
      <c r="N49063" s="1"/>
      <c r="V49063" s="5"/>
    </row>
    <row r="49064">
      <c r="N49064" s="1"/>
      <c r="V49064" s="5"/>
    </row>
    <row r="49065">
      <c r="N49065" s="1"/>
      <c r="V49065" s="5"/>
    </row>
    <row r="49066">
      <c r="N49066" s="1"/>
      <c r="V49066" s="5"/>
    </row>
    <row r="49067">
      <c r="N49067" s="1"/>
      <c r="V49067" s="5"/>
    </row>
    <row r="49068">
      <c r="N49068" s="1"/>
      <c r="V49068" s="5"/>
    </row>
    <row r="49069">
      <c r="N49069" s="1"/>
      <c r="V49069" s="5"/>
    </row>
    <row r="49070">
      <c r="N49070" s="1"/>
      <c r="V49070" s="5"/>
    </row>
    <row r="49071">
      <c r="N49071" s="1"/>
      <c r="V49071" s="5"/>
    </row>
    <row r="49072">
      <c r="N49072" s="1"/>
      <c r="V49072" s="5"/>
    </row>
    <row r="49073">
      <c r="N49073" s="1"/>
      <c r="V49073" s="5"/>
    </row>
    <row r="49074">
      <c r="N49074" s="1"/>
      <c r="V49074" s="5"/>
    </row>
    <row r="49075">
      <c r="N49075" s="1"/>
      <c r="V49075" s="5"/>
    </row>
    <row r="49076">
      <c r="N49076" s="1"/>
      <c r="V49076" s="5"/>
    </row>
    <row r="49077">
      <c r="N49077" s="1"/>
      <c r="V49077" s="5"/>
    </row>
    <row r="49078">
      <c r="N49078" s="1"/>
      <c r="V49078" s="5"/>
    </row>
    <row r="49079">
      <c r="N49079" s="1"/>
      <c r="V49079" s="5"/>
    </row>
    <row r="49080">
      <c r="N49080" s="1"/>
      <c r="V49080" s="5"/>
    </row>
    <row r="49081">
      <c r="N49081" s="1"/>
      <c r="V49081" s="5"/>
    </row>
    <row r="49082">
      <c r="N49082" s="1"/>
      <c r="V49082" s="5"/>
    </row>
    <row r="49083">
      <c r="N49083" s="1"/>
      <c r="V49083" s="5"/>
    </row>
    <row r="49084">
      <c r="N49084" s="1"/>
      <c r="V49084" s="5"/>
    </row>
    <row r="49085">
      <c r="N49085" s="1"/>
      <c r="V49085" s="5"/>
    </row>
    <row r="49086">
      <c r="N49086" s="1"/>
      <c r="V49086" s="5"/>
    </row>
    <row r="49087">
      <c r="N49087" s="1"/>
      <c r="V49087" s="5"/>
    </row>
    <row r="49088">
      <c r="N49088" s="1"/>
      <c r="V49088" s="5"/>
    </row>
    <row r="49089">
      <c r="N49089" s="1"/>
      <c r="V49089" s="5"/>
    </row>
    <row r="49090">
      <c r="N49090" s="1"/>
      <c r="V49090" s="5"/>
    </row>
    <row r="49091">
      <c r="N49091" s="1"/>
      <c r="V49091" s="5"/>
    </row>
    <row r="49092">
      <c r="N49092" s="1"/>
      <c r="V49092" s="5"/>
    </row>
    <row r="49093">
      <c r="N49093" s="1"/>
      <c r="V49093" s="5"/>
    </row>
    <row r="49094">
      <c r="N49094" s="1"/>
      <c r="V49094" s="5"/>
    </row>
    <row r="49095">
      <c r="N49095" s="1"/>
      <c r="V49095" s="5"/>
    </row>
    <row r="49096">
      <c r="N49096" s="1"/>
      <c r="V49096" s="5"/>
    </row>
    <row r="49097">
      <c r="N49097" s="1"/>
      <c r="V49097" s="5"/>
    </row>
    <row r="49098">
      <c r="N49098" s="1"/>
      <c r="V49098" s="5"/>
    </row>
    <row r="49099">
      <c r="N49099" s="1"/>
      <c r="V49099" s="5"/>
    </row>
    <row r="49100">
      <c r="N49100" s="1"/>
      <c r="V49100" s="5"/>
    </row>
    <row r="49101">
      <c r="N49101" s="1"/>
      <c r="V49101" s="5"/>
    </row>
    <row r="49102">
      <c r="N49102" s="1"/>
      <c r="V49102" s="5"/>
    </row>
    <row r="49103">
      <c r="N49103" s="1"/>
      <c r="V49103" s="5"/>
    </row>
    <row r="49104">
      <c r="N49104" s="1"/>
      <c r="V49104" s="5"/>
    </row>
    <row r="49105">
      <c r="N49105" s="1"/>
      <c r="V49105" s="5"/>
    </row>
    <row r="49106">
      <c r="N49106" s="1"/>
      <c r="V49106" s="5"/>
    </row>
    <row r="49107">
      <c r="N49107" s="1"/>
      <c r="V49107" s="5"/>
    </row>
    <row r="49108">
      <c r="N49108" s="1"/>
      <c r="V49108" s="5"/>
    </row>
    <row r="49109">
      <c r="N49109" s="1"/>
      <c r="V49109" s="5"/>
    </row>
    <row r="49110">
      <c r="N49110" s="1"/>
      <c r="V49110" s="5"/>
    </row>
    <row r="49111">
      <c r="N49111" s="1"/>
      <c r="V49111" s="5"/>
    </row>
    <row r="49112">
      <c r="N49112" s="1"/>
      <c r="V49112" s="5"/>
    </row>
    <row r="49113">
      <c r="N49113" s="1"/>
      <c r="V49113" s="5"/>
    </row>
    <row r="49114">
      <c r="N49114" s="1"/>
      <c r="V49114" s="5"/>
    </row>
    <row r="49115">
      <c r="N49115" s="1"/>
      <c r="V49115" s="5"/>
    </row>
    <row r="49116">
      <c r="N49116" s="1"/>
      <c r="V49116" s="5"/>
    </row>
    <row r="49117">
      <c r="N49117" s="1"/>
      <c r="V49117" s="5"/>
    </row>
    <row r="49118">
      <c r="N49118" s="1"/>
      <c r="V49118" s="5"/>
    </row>
    <row r="49119">
      <c r="N49119" s="1"/>
      <c r="V49119" s="5"/>
    </row>
    <row r="49120">
      <c r="N49120" s="1"/>
      <c r="V49120" s="5"/>
    </row>
    <row r="49121">
      <c r="N49121" s="1"/>
      <c r="V49121" s="5"/>
    </row>
    <row r="49122">
      <c r="N49122" s="1"/>
      <c r="V49122" s="5"/>
    </row>
    <row r="49123">
      <c r="N49123" s="1"/>
      <c r="V49123" s="5"/>
    </row>
    <row r="49124">
      <c r="N49124" s="1"/>
      <c r="V49124" s="5"/>
    </row>
    <row r="49125">
      <c r="N49125" s="1"/>
      <c r="V49125" s="5"/>
    </row>
    <row r="49126">
      <c r="N49126" s="1"/>
      <c r="V49126" s="5"/>
    </row>
    <row r="49127">
      <c r="N49127" s="1"/>
      <c r="V49127" s="5"/>
    </row>
    <row r="49128">
      <c r="N49128" s="1"/>
      <c r="V49128" s="5"/>
    </row>
    <row r="49129">
      <c r="N49129" s="1"/>
      <c r="V49129" s="5"/>
    </row>
    <row r="49130">
      <c r="N49130" s="1"/>
      <c r="V49130" s="5"/>
    </row>
    <row r="49131">
      <c r="N49131" s="1"/>
      <c r="V49131" s="5"/>
    </row>
    <row r="49132">
      <c r="N49132" s="1"/>
      <c r="V49132" s="5"/>
    </row>
    <row r="49133">
      <c r="N49133" s="1"/>
      <c r="V49133" s="5"/>
    </row>
    <row r="49134">
      <c r="N49134" s="1"/>
      <c r="V49134" s="5"/>
    </row>
    <row r="49135">
      <c r="N49135" s="1"/>
      <c r="V49135" s="5"/>
    </row>
    <row r="49136">
      <c r="N49136" s="1"/>
      <c r="V49136" s="5"/>
    </row>
    <row r="49137">
      <c r="N49137" s="1"/>
      <c r="V49137" s="5"/>
    </row>
    <row r="49138">
      <c r="N49138" s="1"/>
      <c r="V49138" s="5"/>
    </row>
    <row r="49139">
      <c r="N49139" s="1"/>
      <c r="V49139" s="5"/>
    </row>
    <row r="49140">
      <c r="N49140" s="1"/>
      <c r="V49140" s="5"/>
    </row>
    <row r="49141">
      <c r="N49141" s="1"/>
      <c r="V49141" s="5"/>
    </row>
    <row r="49142">
      <c r="N49142" s="1"/>
      <c r="V49142" s="5"/>
    </row>
    <row r="49143">
      <c r="N49143" s="1"/>
      <c r="V49143" s="5"/>
    </row>
    <row r="49144">
      <c r="N49144" s="1"/>
      <c r="V49144" s="5"/>
    </row>
    <row r="49145">
      <c r="N49145" s="1"/>
      <c r="V49145" s="5"/>
    </row>
    <row r="49146">
      <c r="N49146" s="1"/>
      <c r="V49146" s="5"/>
    </row>
    <row r="49147">
      <c r="N49147" s="1"/>
      <c r="V49147" s="5"/>
    </row>
    <row r="49148">
      <c r="N49148" s="1"/>
      <c r="V49148" s="5"/>
    </row>
    <row r="49149">
      <c r="N49149" s="1"/>
      <c r="V49149" s="5"/>
    </row>
    <row r="49150">
      <c r="N49150" s="1"/>
      <c r="V49150" s="5"/>
    </row>
    <row r="49151">
      <c r="N49151" s="1"/>
      <c r="V49151" s="5"/>
    </row>
    <row r="49152">
      <c r="N49152" s="1"/>
      <c r="V49152" s="5"/>
    </row>
    <row r="49153">
      <c r="N49153" s="1"/>
      <c r="V49153" s="5"/>
    </row>
    <row r="49154">
      <c r="N49154" s="1"/>
      <c r="V49154" s="5"/>
    </row>
    <row r="49155">
      <c r="N49155" s="1"/>
      <c r="V49155" s="5"/>
    </row>
    <row r="49156">
      <c r="N49156" s="1"/>
      <c r="V49156" s="5"/>
    </row>
    <row r="49157">
      <c r="N49157" s="1"/>
      <c r="V49157" s="5"/>
    </row>
    <row r="49158">
      <c r="N49158" s="1"/>
      <c r="V49158" s="5"/>
    </row>
    <row r="49159">
      <c r="N49159" s="1"/>
      <c r="V49159" s="5"/>
    </row>
    <row r="49160">
      <c r="N49160" s="1"/>
      <c r="V49160" s="5"/>
    </row>
    <row r="49161">
      <c r="N49161" s="1"/>
      <c r="V49161" s="5"/>
    </row>
    <row r="49162">
      <c r="N49162" s="1"/>
      <c r="V49162" s="5"/>
    </row>
    <row r="49163">
      <c r="N49163" s="1"/>
      <c r="V49163" s="5"/>
    </row>
    <row r="49164">
      <c r="N49164" s="1"/>
      <c r="V49164" s="5"/>
    </row>
    <row r="49165">
      <c r="N49165" s="1"/>
      <c r="V49165" s="5"/>
    </row>
    <row r="49166">
      <c r="N49166" s="1"/>
      <c r="V49166" s="5"/>
    </row>
    <row r="49167">
      <c r="N49167" s="1"/>
      <c r="V49167" s="5"/>
    </row>
    <row r="49168">
      <c r="N49168" s="1"/>
      <c r="V49168" s="5"/>
    </row>
    <row r="49169">
      <c r="N49169" s="1"/>
      <c r="V49169" s="5"/>
    </row>
    <row r="49170">
      <c r="N49170" s="1"/>
      <c r="V49170" s="5"/>
    </row>
    <row r="49171">
      <c r="N49171" s="1"/>
      <c r="V49171" s="5"/>
    </row>
    <row r="49172">
      <c r="N49172" s="1"/>
      <c r="V49172" s="5"/>
    </row>
    <row r="49173">
      <c r="N49173" s="1"/>
      <c r="V49173" s="5"/>
    </row>
    <row r="49174">
      <c r="N49174" s="1"/>
      <c r="V49174" s="5"/>
    </row>
    <row r="49175">
      <c r="N49175" s="1"/>
      <c r="V49175" s="5"/>
    </row>
    <row r="49176">
      <c r="N49176" s="1"/>
      <c r="V49176" s="5"/>
    </row>
    <row r="49177">
      <c r="N49177" s="1"/>
      <c r="V49177" s="5"/>
    </row>
    <row r="49178">
      <c r="N49178" s="1"/>
      <c r="V49178" s="5"/>
    </row>
    <row r="49179">
      <c r="N49179" s="1"/>
      <c r="V49179" s="5"/>
    </row>
    <row r="49180">
      <c r="N49180" s="1"/>
      <c r="V49180" s="5"/>
    </row>
    <row r="49181">
      <c r="N49181" s="1"/>
      <c r="V49181" s="5"/>
    </row>
    <row r="49182">
      <c r="N49182" s="1"/>
      <c r="V49182" s="5"/>
    </row>
    <row r="49183">
      <c r="N49183" s="1"/>
      <c r="V49183" s="5"/>
    </row>
    <row r="49184">
      <c r="N49184" s="1"/>
      <c r="V49184" s="5"/>
    </row>
    <row r="49185">
      <c r="N49185" s="1"/>
      <c r="V49185" s="5"/>
    </row>
    <row r="49186">
      <c r="N49186" s="1"/>
      <c r="V49186" s="5"/>
    </row>
    <row r="49187">
      <c r="N49187" s="1"/>
      <c r="V49187" s="5"/>
    </row>
    <row r="49188">
      <c r="N49188" s="1"/>
      <c r="V49188" s="5"/>
    </row>
    <row r="49189">
      <c r="N49189" s="1"/>
      <c r="V49189" s="5"/>
    </row>
    <row r="49190">
      <c r="N49190" s="1"/>
      <c r="V49190" s="5"/>
    </row>
    <row r="49191">
      <c r="N49191" s="1"/>
      <c r="V49191" s="5"/>
    </row>
    <row r="49192">
      <c r="N49192" s="1"/>
      <c r="V49192" s="5"/>
    </row>
    <row r="49193">
      <c r="N49193" s="1"/>
      <c r="V49193" s="5"/>
    </row>
    <row r="49194">
      <c r="N49194" s="1"/>
      <c r="V49194" s="5"/>
    </row>
    <row r="49195">
      <c r="N49195" s="1"/>
      <c r="V49195" s="5"/>
    </row>
    <row r="49196">
      <c r="N49196" s="1"/>
      <c r="V49196" s="5"/>
    </row>
    <row r="49197">
      <c r="N49197" s="1"/>
      <c r="V49197" s="5"/>
    </row>
    <row r="49198">
      <c r="N49198" s="1"/>
      <c r="V49198" s="5"/>
    </row>
    <row r="49199">
      <c r="N49199" s="1"/>
      <c r="V49199" s="5"/>
    </row>
    <row r="49200">
      <c r="N49200" s="1"/>
      <c r="V49200" s="5"/>
    </row>
    <row r="49201">
      <c r="N49201" s="1"/>
      <c r="V49201" s="5"/>
    </row>
    <row r="49202">
      <c r="N49202" s="1"/>
      <c r="V49202" s="5"/>
    </row>
    <row r="49203">
      <c r="N49203" s="1"/>
      <c r="V49203" s="5"/>
    </row>
    <row r="49204">
      <c r="N49204" s="1"/>
      <c r="V49204" s="5"/>
    </row>
    <row r="49205">
      <c r="N49205" s="1"/>
      <c r="V49205" s="5"/>
    </row>
    <row r="49206">
      <c r="N49206" s="1"/>
      <c r="V49206" s="5"/>
    </row>
    <row r="49207">
      <c r="N49207" s="1"/>
      <c r="V49207" s="5"/>
    </row>
    <row r="49208">
      <c r="N49208" s="1"/>
      <c r="V49208" s="5"/>
    </row>
    <row r="49209">
      <c r="N49209" s="1"/>
      <c r="V49209" s="5"/>
    </row>
    <row r="49210">
      <c r="N49210" s="1"/>
      <c r="V49210" s="5"/>
    </row>
    <row r="49211">
      <c r="N49211" s="1"/>
      <c r="V49211" s="5"/>
    </row>
    <row r="49212">
      <c r="N49212" s="1"/>
      <c r="V49212" s="5"/>
    </row>
    <row r="49213">
      <c r="N49213" s="1"/>
      <c r="V49213" s="5"/>
    </row>
    <row r="49214">
      <c r="N49214" s="1"/>
      <c r="V49214" s="5"/>
    </row>
    <row r="49215">
      <c r="N49215" s="1"/>
      <c r="V49215" s="5"/>
    </row>
    <row r="49216">
      <c r="N49216" s="1"/>
      <c r="V49216" s="5"/>
    </row>
    <row r="49217">
      <c r="N49217" s="1"/>
      <c r="V49217" s="5"/>
    </row>
    <row r="49218">
      <c r="N49218" s="1"/>
      <c r="V49218" s="5"/>
    </row>
    <row r="49219">
      <c r="N49219" s="1"/>
      <c r="V49219" s="5"/>
    </row>
    <row r="49220">
      <c r="N49220" s="1"/>
      <c r="V49220" s="5"/>
    </row>
    <row r="49221">
      <c r="N49221" s="1"/>
      <c r="V49221" s="5"/>
    </row>
    <row r="49222">
      <c r="N49222" s="1"/>
      <c r="V49222" s="5"/>
    </row>
    <row r="49223">
      <c r="N49223" s="1"/>
      <c r="V49223" s="5"/>
    </row>
    <row r="49224">
      <c r="N49224" s="1"/>
      <c r="V49224" s="5"/>
    </row>
    <row r="49225">
      <c r="N49225" s="1"/>
      <c r="V49225" s="5"/>
    </row>
    <row r="49226">
      <c r="N49226" s="1"/>
      <c r="V49226" s="5"/>
    </row>
    <row r="49227">
      <c r="N49227" s="1"/>
      <c r="V49227" s="5"/>
    </row>
    <row r="49228">
      <c r="N49228" s="1"/>
      <c r="V49228" s="5"/>
    </row>
    <row r="49229">
      <c r="N49229" s="1"/>
      <c r="V49229" s="5"/>
    </row>
    <row r="49230">
      <c r="N49230" s="1"/>
      <c r="V49230" s="5"/>
    </row>
    <row r="49231">
      <c r="N49231" s="1"/>
      <c r="V49231" s="5"/>
    </row>
    <row r="49232">
      <c r="N49232" s="1"/>
      <c r="V49232" s="5"/>
    </row>
    <row r="49233">
      <c r="N49233" s="1"/>
      <c r="V49233" s="5"/>
    </row>
    <row r="49234">
      <c r="N49234" s="1"/>
      <c r="V49234" s="5"/>
    </row>
    <row r="49235">
      <c r="N49235" s="1"/>
      <c r="V49235" s="5"/>
    </row>
    <row r="49236">
      <c r="N49236" s="1"/>
      <c r="V49236" s="5"/>
    </row>
    <row r="49237">
      <c r="N49237" s="1"/>
      <c r="V49237" s="5"/>
    </row>
    <row r="49238">
      <c r="N49238" s="1"/>
      <c r="V49238" s="5"/>
    </row>
    <row r="49239">
      <c r="N49239" s="1"/>
      <c r="V49239" s="5"/>
    </row>
    <row r="49240">
      <c r="N49240" s="1"/>
      <c r="V49240" s="5"/>
    </row>
    <row r="49241">
      <c r="N49241" s="1"/>
      <c r="V49241" s="5"/>
    </row>
    <row r="49242">
      <c r="N49242" s="1"/>
      <c r="V49242" s="5"/>
    </row>
    <row r="49243">
      <c r="N49243" s="1"/>
      <c r="V49243" s="5"/>
    </row>
    <row r="49244">
      <c r="N49244" s="1"/>
      <c r="V49244" s="5"/>
    </row>
    <row r="49245">
      <c r="N49245" s="1"/>
      <c r="V49245" s="5"/>
    </row>
    <row r="49246">
      <c r="N49246" s="1"/>
      <c r="V49246" s="5"/>
    </row>
    <row r="49247">
      <c r="N49247" s="1"/>
      <c r="V49247" s="5"/>
    </row>
    <row r="49248">
      <c r="N49248" s="1"/>
      <c r="V49248" s="5"/>
    </row>
    <row r="49249">
      <c r="N49249" s="1"/>
      <c r="V49249" s="5"/>
    </row>
    <row r="49250">
      <c r="N49250" s="1"/>
      <c r="V49250" s="5"/>
    </row>
    <row r="49251">
      <c r="N49251" s="1"/>
      <c r="V49251" s="5"/>
    </row>
    <row r="49252">
      <c r="N49252" s="1"/>
      <c r="V49252" s="5"/>
    </row>
    <row r="49253">
      <c r="N49253" s="1"/>
      <c r="V49253" s="5"/>
    </row>
    <row r="49254">
      <c r="N49254" s="1"/>
      <c r="V49254" s="5"/>
    </row>
    <row r="49255">
      <c r="N49255" s="1"/>
      <c r="V49255" s="5"/>
    </row>
    <row r="49256">
      <c r="N49256" s="1"/>
      <c r="V49256" s="5"/>
    </row>
    <row r="49257">
      <c r="N49257" s="1"/>
      <c r="V49257" s="5"/>
    </row>
    <row r="49258">
      <c r="N49258" s="1"/>
      <c r="V49258" s="5"/>
    </row>
    <row r="49259">
      <c r="N49259" s="1"/>
      <c r="V49259" s="5"/>
    </row>
    <row r="49260">
      <c r="N49260" s="1"/>
      <c r="V49260" s="5"/>
    </row>
    <row r="49261">
      <c r="N49261" s="1"/>
      <c r="V49261" s="5"/>
    </row>
    <row r="49262">
      <c r="N49262" s="1"/>
      <c r="V49262" s="5"/>
    </row>
    <row r="49263">
      <c r="N49263" s="1"/>
      <c r="V49263" s="5"/>
    </row>
    <row r="49264">
      <c r="N49264" s="1"/>
      <c r="V49264" s="5"/>
    </row>
    <row r="49265">
      <c r="N49265" s="1"/>
      <c r="V49265" s="5"/>
    </row>
    <row r="49266">
      <c r="N49266" s="1"/>
      <c r="V49266" s="5"/>
    </row>
    <row r="49267">
      <c r="N49267" s="1"/>
      <c r="V49267" s="5"/>
    </row>
    <row r="49268">
      <c r="N49268" s="1"/>
      <c r="V49268" s="5"/>
    </row>
    <row r="49269">
      <c r="N49269" s="1"/>
      <c r="V49269" s="5"/>
    </row>
    <row r="49270">
      <c r="N49270" s="1"/>
      <c r="V49270" s="5"/>
    </row>
    <row r="49271">
      <c r="N49271" s="1"/>
      <c r="V49271" s="5"/>
    </row>
    <row r="49272">
      <c r="N49272" s="1"/>
      <c r="V49272" s="5"/>
    </row>
    <row r="49273">
      <c r="N49273" s="1"/>
      <c r="V49273" s="5"/>
    </row>
    <row r="49274">
      <c r="N49274" s="1"/>
      <c r="V49274" s="5"/>
    </row>
    <row r="49275">
      <c r="N49275" s="1"/>
      <c r="V49275" s="5"/>
    </row>
    <row r="49276">
      <c r="N49276" s="1"/>
      <c r="V49276" s="5"/>
    </row>
    <row r="49277">
      <c r="N49277" s="1"/>
      <c r="V49277" s="5"/>
    </row>
    <row r="49278">
      <c r="N49278" s="1"/>
      <c r="V49278" s="5"/>
    </row>
    <row r="49279">
      <c r="N49279" s="1"/>
      <c r="V49279" s="5"/>
    </row>
    <row r="49280">
      <c r="N49280" s="1"/>
      <c r="V49280" s="5"/>
    </row>
    <row r="49281">
      <c r="N49281" s="1"/>
      <c r="V49281" s="5"/>
    </row>
    <row r="49282">
      <c r="N49282" s="1"/>
      <c r="V49282" s="5"/>
    </row>
    <row r="49283">
      <c r="N49283" s="1"/>
      <c r="V49283" s="5"/>
    </row>
    <row r="49284">
      <c r="N49284" s="1"/>
      <c r="V49284" s="5"/>
    </row>
    <row r="49285">
      <c r="N49285" s="1"/>
      <c r="V49285" s="5"/>
    </row>
    <row r="49286">
      <c r="N49286" s="1"/>
      <c r="V49286" s="5"/>
    </row>
    <row r="49287">
      <c r="N49287" s="1"/>
      <c r="V49287" s="5"/>
    </row>
    <row r="49288">
      <c r="N49288" s="1"/>
      <c r="V49288" s="5"/>
    </row>
    <row r="49289">
      <c r="N49289" s="1"/>
      <c r="V49289" s="5"/>
    </row>
    <row r="49290">
      <c r="N49290" s="1"/>
      <c r="V49290" s="5"/>
    </row>
    <row r="49291">
      <c r="N49291" s="1"/>
      <c r="V49291" s="5"/>
    </row>
    <row r="49292">
      <c r="N49292" s="1"/>
      <c r="V49292" s="5"/>
    </row>
    <row r="49293">
      <c r="N49293" s="1"/>
      <c r="V49293" s="5"/>
    </row>
    <row r="49294">
      <c r="N49294" s="1"/>
      <c r="V49294" s="5"/>
    </row>
    <row r="49295">
      <c r="N49295" s="1"/>
      <c r="V49295" s="5"/>
    </row>
    <row r="49296">
      <c r="N49296" s="1"/>
      <c r="V49296" s="5"/>
    </row>
    <row r="49297">
      <c r="N49297" s="1"/>
      <c r="V49297" s="5"/>
    </row>
    <row r="49298">
      <c r="N49298" s="1"/>
      <c r="V49298" s="5"/>
    </row>
    <row r="49299">
      <c r="N49299" s="1"/>
      <c r="V49299" s="5"/>
    </row>
    <row r="49300">
      <c r="N49300" s="1"/>
      <c r="V49300" s="5"/>
    </row>
    <row r="49301">
      <c r="N49301" s="1"/>
      <c r="V49301" s="5"/>
    </row>
    <row r="49302">
      <c r="N49302" s="1"/>
      <c r="V49302" s="5"/>
    </row>
    <row r="49303">
      <c r="N49303" s="1"/>
      <c r="V49303" s="5"/>
    </row>
    <row r="49304">
      <c r="N49304" s="1"/>
      <c r="V49304" s="5"/>
    </row>
    <row r="49305">
      <c r="N49305" s="1"/>
      <c r="V49305" s="5"/>
    </row>
    <row r="49306">
      <c r="N49306" s="1"/>
      <c r="V49306" s="5"/>
    </row>
    <row r="49307">
      <c r="N49307" s="1"/>
      <c r="V49307" s="5"/>
    </row>
    <row r="49308">
      <c r="N49308" s="1"/>
      <c r="V49308" s="5"/>
    </row>
    <row r="49309">
      <c r="N49309" s="1"/>
      <c r="V49309" s="5"/>
    </row>
    <row r="49310">
      <c r="N49310" s="1"/>
      <c r="V49310" s="5"/>
    </row>
    <row r="49311">
      <c r="N49311" s="1"/>
      <c r="V49311" s="5"/>
    </row>
    <row r="49312">
      <c r="N49312" s="1"/>
      <c r="V49312" s="5"/>
    </row>
    <row r="49313">
      <c r="N49313" s="1"/>
      <c r="V49313" s="5"/>
    </row>
    <row r="49314">
      <c r="N49314" s="1"/>
      <c r="V49314" s="5"/>
    </row>
    <row r="49315">
      <c r="N49315" s="1"/>
      <c r="V49315" s="5"/>
    </row>
    <row r="49316">
      <c r="N49316" s="1"/>
      <c r="V49316" s="5"/>
    </row>
    <row r="49317">
      <c r="N49317" s="1"/>
      <c r="V49317" s="5"/>
    </row>
    <row r="49318">
      <c r="N49318" s="1"/>
      <c r="V49318" s="5"/>
    </row>
    <row r="49319">
      <c r="N49319" s="1"/>
      <c r="V49319" s="5"/>
    </row>
    <row r="49320">
      <c r="N49320" s="1"/>
      <c r="V49320" s="5"/>
    </row>
    <row r="49321">
      <c r="N49321" s="1"/>
      <c r="V49321" s="5"/>
    </row>
    <row r="49322">
      <c r="N49322" s="1"/>
      <c r="V49322" s="5"/>
    </row>
    <row r="49323">
      <c r="N49323" s="1"/>
      <c r="V49323" s="5"/>
    </row>
    <row r="49324">
      <c r="N49324" s="1"/>
      <c r="V49324" s="5"/>
    </row>
    <row r="49325">
      <c r="N49325" s="1"/>
      <c r="V49325" s="5"/>
    </row>
    <row r="49326">
      <c r="N49326" s="1"/>
      <c r="V49326" s="5"/>
    </row>
    <row r="49327">
      <c r="N49327" s="1"/>
      <c r="V49327" s="5"/>
    </row>
    <row r="49328">
      <c r="N49328" s="1"/>
      <c r="V49328" s="5"/>
    </row>
    <row r="49329">
      <c r="N49329" s="1"/>
      <c r="V49329" s="5"/>
    </row>
    <row r="49330">
      <c r="N49330" s="1"/>
      <c r="V49330" s="5"/>
    </row>
    <row r="49331">
      <c r="N49331" s="1"/>
      <c r="V49331" s="5"/>
    </row>
    <row r="49332">
      <c r="N49332" s="1"/>
      <c r="V49332" s="5"/>
    </row>
    <row r="49333">
      <c r="N49333" s="1"/>
      <c r="V49333" s="5"/>
    </row>
    <row r="49334">
      <c r="N49334" s="1"/>
      <c r="V49334" s="5"/>
    </row>
    <row r="49335">
      <c r="N49335" s="1"/>
      <c r="V49335" s="5"/>
    </row>
    <row r="49336">
      <c r="N49336" s="1"/>
      <c r="V49336" s="5"/>
    </row>
    <row r="49337">
      <c r="N49337" s="1"/>
      <c r="V49337" s="5"/>
    </row>
    <row r="49338">
      <c r="N49338" s="1"/>
      <c r="V49338" s="5"/>
    </row>
    <row r="49339">
      <c r="N49339" s="1"/>
      <c r="V49339" s="5"/>
    </row>
    <row r="49340">
      <c r="N49340" s="1"/>
      <c r="V49340" s="5"/>
    </row>
    <row r="49341">
      <c r="N49341" s="1"/>
      <c r="V49341" s="5"/>
    </row>
    <row r="49342">
      <c r="N49342" s="1"/>
      <c r="V49342" s="5"/>
    </row>
    <row r="49343">
      <c r="N49343" s="1"/>
      <c r="V49343" s="5"/>
    </row>
    <row r="49344">
      <c r="N49344" s="1"/>
      <c r="V49344" s="5"/>
    </row>
    <row r="49345">
      <c r="N49345" s="1"/>
      <c r="V49345" s="5"/>
    </row>
    <row r="49346">
      <c r="N49346" s="1"/>
      <c r="V49346" s="5"/>
    </row>
    <row r="49347">
      <c r="N49347" s="1"/>
      <c r="V49347" s="5"/>
    </row>
    <row r="49348">
      <c r="N49348" s="1"/>
      <c r="V49348" s="5"/>
    </row>
    <row r="49349">
      <c r="N49349" s="1"/>
      <c r="V49349" s="5"/>
    </row>
    <row r="49350">
      <c r="N49350" s="1"/>
      <c r="V49350" s="5"/>
    </row>
    <row r="49351">
      <c r="N49351" s="1"/>
      <c r="V49351" s="5"/>
    </row>
    <row r="49352">
      <c r="N49352" s="1"/>
      <c r="V49352" s="5"/>
    </row>
    <row r="49353">
      <c r="N49353" s="1"/>
      <c r="V49353" s="5"/>
    </row>
    <row r="49354">
      <c r="N49354" s="1"/>
      <c r="V49354" s="5"/>
    </row>
    <row r="49355">
      <c r="N49355" s="1"/>
      <c r="V49355" s="5"/>
    </row>
    <row r="49356">
      <c r="N49356" s="1"/>
      <c r="V49356" s="5"/>
    </row>
    <row r="49357">
      <c r="N49357" s="1"/>
      <c r="V49357" s="5"/>
    </row>
    <row r="49358">
      <c r="N49358" s="1"/>
      <c r="V49358" s="5"/>
    </row>
    <row r="49359">
      <c r="N49359" s="1"/>
      <c r="V49359" s="5"/>
    </row>
    <row r="49360">
      <c r="N49360" s="1"/>
      <c r="V49360" s="5"/>
    </row>
    <row r="49361">
      <c r="N49361" s="1"/>
      <c r="V49361" s="5"/>
    </row>
    <row r="49362">
      <c r="N49362" s="1"/>
      <c r="V49362" s="5"/>
    </row>
    <row r="49363">
      <c r="N49363" s="1"/>
      <c r="V49363" s="5"/>
    </row>
    <row r="49364">
      <c r="N49364" s="1"/>
      <c r="V49364" s="5"/>
    </row>
    <row r="49365">
      <c r="N49365" s="1"/>
      <c r="V49365" s="5"/>
    </row>
    <row r="49366">
      <c r="N49366" s="1"/>
      <c r="V49366" s="5"/>
    </row>
    <row r="49367">
      <c r="N49367" s="1"/>
      <c r="V49367" s="5"/>
    </row>
    <row r="49368">
      <c r="N49368" s="1"/>
      <c r="V49368" s="5"/>
    </row>
    <row r="49369">
      <c r="N49369" s="1"/>
      <c r="V49369" s="5"/>
    </row>
    <row r="49370">
      <c r="N49370" s="1"/>
      <c r="V49370" s="5"/>
    </row>
    <row r="49371">
      <c r="N49371" s="1"/>
      <c r="V49371" s="5"/>
    </row>
    <row r="49372">
      <c r="N49372" s="1"/>
      <c r="V49372" s="5"/>
    </row>
    <row r="49373">
      <c r="N49373" s="1"/>
      <c r="V49373" s="5"/>
    </row>
    <row r="49374">
      <c r="N49374" s="1"/>
      <c r="V49374" s="5"/>
    </row>
    <row r="49375">
      <c r="N49375" s="1"/>
      <c r="V49375" s="5"/>
    </row>
    <row r="49376">
      <c r="N49376" s="1"/>
      <c r="V49376" s="5"/>
    </row>
    <row r="49377">
      <c r="N49377" s="1"/>
      <c r="V49377" s="5"/>
    </row>
    <row r="49378">
      <c r="N49378" s="1"/>
      <c r="V49378" s="5"/>
    </row>
    <row r="49379">
      <c r="N49379" s="1"/>
      <c r="V49379" s="5"/>
    </row>
    <row r="49380">
      <c r="N49380" s="1"/>
      <c r="V49380" s="5"/>
    </row>
    <row r="49381">
      <c r="N49381" s="1"/>
      <c r="V49381" s="5"/>
    </row>
    <row r="49382">
      <c r="N49382" s="1"/>
      <c r="V49382" s="5"/>
    </row>
    <row r="49383">
      <c r="N49383" s="1"/>
      <c r="V49383" s="5"/>
    </row>
    <row r="49384">
      <c r="N49384" s="1"/>
      <c r="V49384" s="5"/>
    </row>
    <row r="49385">
      <c r="N49385" s="1"/>
      <c r="V49385" s="5"/>
    </row>
    <row r="49386">
      <c r="N49386" s="1"/>
      <c r="V49386" s="5"/>
    </row>
    <row r="49387">
      <c r="N49387" s="1"/>
      <c r="V49387" s="5"/>
    </row>
    <row r="49388">
      <c r="N49388" s="1"/>
      <c r="V49388" s="5"/>
    </row>
    <row r="49389">
      <c r="N49389" s="1"/>
      <c r="V49389" s="5"/>
    </row>
    <row r="49390">
      <c r="N49390" s="1"/>
      <c r="V49390" s="5"/>
    </row>
    <row r="49391">
      <c r="N49391" s="1"/>
      <c r="V49391" s="5"/>
    </row>
    <row r="49392">
      <c r="N49392" s="1"/>
      <c r="V49392" s="5"/>
    </row>
    <row r="49393">
      <c r="N49393" s="1"/>
      <c r="V49393" s="5"/>
    </row>
    <row r="49394">
      <c r="N49394" s="1"/>
      <c r="V49394" s="5"/>
    </row>
    <row r="49395">
      <c r="N49395" s="1"/>
      <c r="V49395" s="5"/>
    </row>
    <row r="49396">
      <c r="N49396" s="1"/>
      <c r="V49396" s="5"/>
    </row>
    <row r="49397">
      <c r="N49397" s="1"/>
      <c r="V49397" s="5"/>
    </row>
    <row r="49398">
      <c r="N49398" s="1"/>
      <c r="V49398" s="5"/>
    </row>
    <row r="49399">
      <c r="N49399" s="1"/>
      <c r="V49399" s="5"/>
    </row>
    <row r="49400">
      <c r="N49400" s="1"/>
      <c r="V49400" s="5"/>
    </row>
    <row r="49401">
      <c r="N49401" s="1"/>
      <c r="V49401" s="5"/>
    </row>
    <row r="49402">
      <c r="N49402" s="1"/>
      <c r="V49402" s="5"/>
    </row>
    <row r="49403">
      <c r="N49403" s="1"/>
      <c r="V49403" s="5"/>
    </row>
    <row r="49404">
      <c r="N49404" s="1"/>
      <c r="V49404" s="5"/>
    </row>
    <row r="49405">
      <c r="N49405" s="1"/>
      <c r="V49405" s="5"/>
    </row>
    <row r="49406">
      <c r="N49406" s="1"/>
      <c r="V49406" s="5"/>
    </row>
    <row r="49407">
      <c r="N49407" s="1"/>
      <c r="V49407" s="5"/>
    </row>
    <row r="49408">
      <c r="N49408" s="1"/>
      <c r="V49408" s="5"/>
    </row>
    <row r="49409">
      <c r="N49409" s="1"/>
      <c r="V49409" s="5"/>
    </row>
    <row r="49410">
      <c r="N49410" s="1"/>
      <c r="V49410" s="5"/>
    </row>
    <row r="49411">
      <c r="N49411" s="1"/>
      <c r="V49411" s="5"/>
    </row>
    <row r="49412">
      <c r="N49412" s="1"/>
      <c r="V49412" s="5"/>
    </row>
    <row r="49413">
      <c r="N49413" s="1"/>
      <c r="V49413" s="5"/>
    </row>
    <row r="49414">
      <c r="N49414" s="1"/>
      <c r="V49414" s="5"/>
    </row>
    <row r="49415">
      <c r="N49415" s="1"/>
      <c r="V49415" s="5"/>
    </row>
    <row r="49416">
      <c r="N49416" s="1"/>
      <c r="V49416" s="5"/>
    </row>
    <row r="49417">
      <c r="N49417" s="1"/>
      <c r="V49417" s="5"/>
    </row>
    <row r="49418">
      <c r="N49418" s="1"/>
      <c r="V49418" s="5"/>
    </row>
    <row r="49419">
      <c r="N49419" s="1"/>
      <c r="V49419" s="5"/>
    </row>
    <row r="49420">
      <c r="N49420" s="1"/>
      <c r="V49420" s="5"/>
    </row>
    <row r="49421">
      <c r="N49421" s="1"/>
      <c r="V49421" s="5"/>
    </row>
    <row r="49422">
      <c r="N49422" s="1"/>
      <c r="V49422" s="5"/>
    </row>
    <row r="49423">
      <c r="N49423" s="1"/>
      <c r="V49423" s="5"/>
    </row>
    <row r="49424">
      <c r="N49424" s="1"/>
      <c r="V49424" s="5"/>
    </row>
    <row r="49425">
      <c r="N49425" s="1"/>
      <c r="V49425" s="5"/>
    </row>
    <row r="49426">
      <c r="N49426" s="1"/>
      <c r="V49426" s="5"/>
    </row>
    <row r="49427">
      <c r="N49427" s="1"/>
      <c r="V49427" s="5"/>
    </row>
    <row r="49428">
      <c r="N49428" s="1"/>
      <c r="V49428" s="5"/>
    </row>
    <row r="49429">
      <c r="N49429" s="1"/>
      <c r="V49429" s="5"/>
    </row>
    <row r="49430">
      <c r="N49430" s="1"/>
      <c r="V49430" s="5"/>
    </row>
    <row r="49431">
      <c r="N49431" s="1"/>
      <c r="V49431" s="5"/>
    </row>
    <row r="49432">
      <c r="N49432" s="1"/>
      <c r="V49432" s="5"/>
    </row>
    <row r="49433">
      <c r="N49433" s="1"/>
      <c r="V49433" s="5"/>
    </row>
    <row r="49434">
      <c r="N49434" s="1"/>
      <c r="V49434" s="5"/>
    </row>
    <row r="49435">
      <c r="N49435" s="1"/>
      <c r="V49435" s="5"/>
    </row>
    <row r="49436">
      <c r="N49436" s="1"/>
      <c r="V49436" s="5"/>
    </row>
    <row r="49437">
      <c r="N49437" s="1"/>
      <c r="V49437" s="5"/>
    </row>
    <row r="49438">
      <c r="N49438" s="1"/>
      <c r="V49438" s="5"/>
    </row>
    <row r="49439">
      <c r="N49439" s="1"/>
      <c r="V49439" s="5"/>
    </row>
    <row r="49440">
      <c r="N49440" s="1"/>
      <c r="V49440" s="5"/>
    </row>
    <row r="49441">
      <c r="N49441" s="1"/>
      <c r="V49441" s="5"/>
    </row>
    <row r="49442">
      <c r="N49442" s="1"/>
      <c r="V49442" s="5"/>
    </row>
    <row r="49443">
      <c r="N49443" s="1"/>
      <c r="V49443" s="5"/>
    </row>
    <row r="49444">
      <c r="N49444" s="1"/>
      <c r="V49444" s="5"/>
    </row>
    <row r="49445">
      <c r="N49445" s="1"/>
      <c r="V49445" s="5"/>
    </row>
    <row r="49446">
      <c r="N49446" s="1"/>
      <c r="V49446" s="5"/>
    </row>
    <row r="49447">
      <c r="N49447" s="1"/>
      <c r="V49447" s="5"/>
    </row>
    <row r="49448">
      <c r="N49448" s="1"/>
      <c r="V49448" s="5"/>
    </row>
    <row r="49449">
      <c r="N49449" s="1"/>
      <c r="V49449" s="5"/>
    </row>
    <row r="49450">
      <c r="N49450" s="1"/>
      <c r="V49450" s="5"/>
    </row>
    <row r="49451">
      <c r="N49451" s="1"/>
      <c r="V49451" s="5"/>
    </row>
    <row r="49452">
      <c r="N49452" s="1"/>
      <c r="V49452" s="5"/>
    </row>
    <row r="49453">
      <c r="N49453" s="1"/>
      <c r="V49453" s="5"/>
    </row>
    <row r="49454">
      <c r="N49454" s="1"/>
      <c r="V49454" s="5"/>
    </row>
    <row r="49455">
      <c r="N49455" s="1"/>
      <c r="V49455" s="5"/>
    </row>
    <row r="49456">
      <c r="N49456" s="1"/>
      <c r="V49456" s="5"/>
    </row>
    <row r="49457">
      <c r="N49457" s="1"/>
      <c r="V49457" s="5"/>
    </row>
    <row r="49458">
      <c r="N49458" s="1"/>
      <c r="V49458" s="5"/>
    </row>
    <row r="49459">
      <c r="N49459" s="1"/>
      <c r="V49459" s="5"/>
    </row>
    <row r="49460">
      <c r="N49460" s="1"/>
      <c r="V49460" s="5"/>
    </row>
    <row r="49461">
      <c r="N49461" s="1"/>
      <c r="V49461" s="5"/>
    </row>
    <row r="49462">
      <c r="N49462" s="1"/>
      <c r="V49462" s="5"/>
    </row>
    <row r="49463">
      <c r="N49463" s="1"/>
      <c r="V49463" s="5"/>
    </row>
    <row r="49464">
      <c r="N49464" s="1"/>
      <c r="V49464" s="5"/>
    </row>
    <row r="49465">
      <c r="N49465" s="1"/>
      <c r="V49465" s="5"/>
    </row>
    <row r="49466">
      <c r="N49466" s="1"/>
      <c r="V49466" s="5"/>
    </row>
    <row r="49467">
      <c r="N49467" s="1"/>
      <c r="V49467" s="5"/>
    </row>
    <row r="49468">
      <c r="N49468" s="1"/>
      <c r="V49468" s="5"/>
    </row>
    <row r="49469">
      <c r="N49469" s="1"/>
      <c r="V49469" s="5"/>
    </row>
    <row r="49470">
      <c r="N49470" s="1"/>
      <c r="V49470" s="5"/>
    </row>
    <row r="49471">
      <c r="N49471" s="1"/>
      <c r="V49471" s="5"/>
    </row>
    <row r="49472">
      <c r="N49472" s="1"/>
      <c r="V49472" s="5"/>
    </row>
    <row r="49473">
      <c r="N49473" s="1"/>
      <c r="V49473" s="5"/>
    </row>
    <row r="49474">
      <c r="N49474" s="1"/>
      <c r="V49474" s="5"/>
    </row>
    <row r="49475">
      <c r="N49475" s="1"/>
      <c r="V49475" s="5"/>
    </row>
    <row r="49476">
      <c r="N49476" s="1"/>
      <c r="V49476" s="5"/>
    </row>
    <row r="49477">
      <c r="N49477" s="1"/>
      <c r="V49477" s="5"/>
    </row>
    <row r="49478">
      <c r="N49478" s="1"/>
      <c r="V49478" s="5"/>
    </row>
    <row r="49479">
      <c r="N49479" s="1"/>
      <c r="V49479" s="5"/>
    </row>
    <row r="49480">
      <c r="N49480" s="1"/>
      <c r="V49480" s="5"/>
    </row>
    <row r="49481">
      <c r="N49481" s="1"/>
      <c r="V49481" s="5"/>
    </row>
    <row r="49482">
      <c r="N49482" s="1"/>
      <c r="V49482" s="5"/>
    </row>
    <row r="49483">
      <c r="N49483" s="1"/>
      <c r="V49483" s="5"/>
    </row>
    <row r="49484">
      <c r="N49484" s="1"/>
      <c r="V49484" s="5"/>
    </row>
    <row r="49485">
      <c r="N49485" s="1"/>
      <c r="V49485" s="5"/>
    </row>
    <row r="49486">
      <c r="N49486" s="1"/>
      <c r="V49486" s="5"/>
    </row>
    <row r="49487">
      <c r="N49487" s="1"/>
      <c r="V49487" s="5"/>
    </row>
    <row r="49488">
      <c r="N49488" s="1"/>
      <c r="V49488" s="5"/>
    </row>
    <row r="49489">
      <c r="N49489" s="1"/>
      <c r="V49489" s="5"/>
    </row>
    <row r="49490">
      <c r="N49490" s="1"/>
      <c r="V49490" s="5"/>
    </row>
    <row r="49491">
      <c r="N49491" s="1"/>
      <c r="V49491" s="5"/>
    </row>
    <row r="49492">
      <c r="N49492" s="1"/>
      <c r="V49492" s="5"/>
    </row>
    <row r="49493">
      <c r="N49493" s="1"/>
      <c r="V49493" s="5"/>
    </row>
    <row r="49494">
      <c r="N49494" s="1"/>
      <c r="V49494" s="5"/>
    </row>
    <row r="49495">
      <c r="N49495" s="1"/>
      <c r="V49495" s="5"/>
    </row>
    <row r="49496">
      <c r="N49496" s="1"/>
      <c r="V49496" s="5"/>
    </row>
    <row r="49497">
      <c r="N49497" s="1"/>
      <c r="V49497" s="5"/>
    </row>
    <row r="49498">
      <c r="N49498" s="1"/>
      <c r="V49498" s="5"/>
    </row>
    <row r="49499">
      <c r="N49499" s="1"/>
      <c r="V49499" s="5"/>
    </row>
    <row r="49500">
      <c r="N49500" s="1"/>
      <c r="V49500" s="5"/>
    </row>
    <row r="49501">
      <c r="N49501" s="1"/>
      <c r="V49501" s="5"/>
    </row>
    <row r="49502">
      <c r="N49502" s="1"/>
      <c r="V49502" s="5"/>
    </row>
    <row r="49503">
      <c r="N49503" s="1"/>
      <c r="V49503" s="5"/>
    </row>
    <row r="49504">
      <c r="N49504" s="1"/>
      <c r="V49504" s="5"/>
    </row>
    <row r="49505">
      <c r="N49505" s="1"/>
      <c r="V49505" s="5"/>
    </row>
    <row r="49506">
      <c r="N49506" s="1"/>
      <c r="V49506" s="5"/>
    </row>
    <row r="49507">
      <c r="N49507" s="1"/>
      <c r="V49507" s="5"/>
    </row>
    <row r="49508">
      <c r="N49508" s="1"/>
      <c r="V49508" s="5"/>
    </row>
    <row r="49509">
      <c r="N49509" s="1"/>
      <c r="V49509" s="5"/>
    </row>
    <row r="49510">
      <c r="N49510" s="1"/>
      <c r="V49510" s="5"/>
    </row>
    <row r="49511">
      <c r="N49511" s="1"/>
      <c r="V49511" s="5"/>
    </row>
    <row r="49512">
      <c r="N49512" s="1"/>
      <c r="V49512" s="5"/>
    </row>
    <row r="49513">
      <c r="N49513" s="1"/>
      <c r="V49513" s="5"/>
    </row>
    <row r="49514">
      <c r="N49514" s="1"/>
      <c r="V49514" s="5"/>
    </row>
    <row r="49515">
      <c r="N49515" s="1"/>
      <c r="V49515" s="5"/>
    </row>
    <row r="49516">
      <c r="N49516" s="1"/>
      <c r="V49516" s="5"/>
    </row>
    <row r="49517">
      <c r="N49517" s="1"/>
      <c r="V49517" s="5"/>
    </row>
    <row r="49518">
      <c r="N49518" s="1"/>
      <c r="V49518" s="5"/>
    </row>
    <row r="49519">
      <c r="N49519" s="1"/>
      <c r="V49519" s="5"/>
    </row>
    <row r="49520">
      <c r="N49520" s="1"/>
      <c r="V49520" s="5"/>
    </row>
    <row r="49521">
      <c r="N49521" s="1"/>
      <c r="V49521" s="5"/>
    </row>
    <row r="49522">
      <c r="N49522" s="1"/>
      <c r="V49522" s="5"/>
    </row>
    <row r="49523">
      <c r="N49523" s="1"/>
      <c r="V49523" s="5"/>
    </row>
    <row r="49524">
      <c r="N49524" s="1"/>
      <c r="V49524" s="5"/>
    </row>
    <row r="49525">
      <c r="N49525" s="1"/>
      <c r="V49525" s="5"/>
    </row>
    <row r="49526">
      <c r="N49526" s="1"/>
      <c r="V49526" s="5"/>
    </row>
    <row r="49527">
      <c r="N49527" s="1"/>
      <c r="V49527" s="5"/>
    </row>
    <row r="49528">
      <c r="N49528" s="1"/>
      <c r="V49528" s="5"/>
    </row>
    <row r="49529">
      <c r="N49529" s="1"/>
      <c r="V49529" s="5"/>
    </row>
    <row r="49530">
      <c r="N49530" s="1"/>
      <c r="V49530" s="5"/>
    </row>
    <row r="49531">
      <c r="N49531" s="1"/>
      <c r="V49531" s="5"/>
    </row>
    <row r="49532">
      <c r="N49532" s="1"/>
      <c r="V49532" s="5"/>
    </row>
    <row r="49533">
      <c r="N49533" s="1"/>
      <c r="V49533" s="5"/>
    </row>
    <row r="49534">
      <c r="N49534" s="1"/>
      <c r="V49534" s="5"/>
    </row>
    <row r="49535">
      <c r="N49535" s="1"/>
      <c r="V49535" s="5"/>
    </row>
    <row r="49536">
      <c r="N49536" s="1"/>
      <c r="V49536" s="5"/>
    </row>
    <row r="49537">
      <c r="N49537" s="1"/>
      <c r="V49537" s="5"/>
    </row>
    <row r="49538">
      <c r="N49538" s="1"/>
      <c r="V49538" s="5"/>
    </row>
    <row r="49539">
      <c r="N49539" s="1"/>
      <c r="V49539" s="5"/>
    </row>
    <row r="49540">
      <c r="N49540" s="1"/>
      <c r="V49540" s="5"/>
    </row>
    <row r="49541">
      <c r="N49541" s="1"/>
      <c r="V49541" s="5"/>
    </row>
    <row r="49542">
      <c r="N49542" s="1"/>
      <c r="V49542" s="5"/>
    </row>
    <row r="49543">
      <c r="N49543" s="1"/>
      <c r="V49543" s="5"/>
    </row>
    <row r="49544">
      <c r="N49544" s="1"/>
      <c r="V49544" s="5"/>
    </row>
    <row r="49545">
      <c r="N49545" s="1"/>
      <c r="V49545" s="5"/>
    </row>
    <row r="49546">
      <c r="N49546" s="1"/>
      <c r="V49546" s="5"/>
    </row>
    <row r="49547">
      <c r="N49547" s="1"/>
      <c r="V49547" s="5"/>
    </row>
    <row r="49548">
      <c r="N49548" s="1"/>
      <c r="V49548" s="5"/>
    </row>
    <row r="49549">
      <c r="N49549" s="1"/>
      <c r="V49549" s="5"/>
    </row>
    <row r="49550">
      <c r="N49550" s="1"/>
      <c r="V49550" s="5"/>
    </row>
    <row r="49551">
      <c r="N49551" s="1"/>
      <c r="V49551" s="5"/>
    </row>
    <row r="49552">
      <c r="N49552" s="1"/>
      <c r="V49552" s="5"/>
    </row>
    <row r="49553">
      <c r="N49553" s="1"/>
      <c r="V49553" s="5"/>
    </row>
    <row r="49554">
      <c r="N49554" s="1"/>
      <c r="V49554" s="5"/>
    </row>
    <row r="49555">
      <c r="N49555" s="1"/>
      <c r="V49555" s="5"/>
    </row>
    <row r="49556">
      <c r="N49556" s="1"/>
      <c r="V49556" s="5"/>
    </row>
    <row r="49557">
      <c r="N49557" s="1"/>
      <c r="V49557" s="5"/>
    </row>
    <row r="49558">
      <c r="N49558" s="1"/>
      <c r="V49558" s="5"/>
    </row>
    <row r="49559">
      <c r="N49559" s="1"/>
      <c r="V49559" s="5"/>
    </row>
    <row r="49560">
      <c r="N49560" s="1"/>
      <c r="V49560" s="5"/>
    </row>
    <row r="49561">
      <c r="N49561" s="1"/>
      <c r="V49561" s="5"/>
    </row>
    <row r="49562">
      <c r="N49562" s="1"/>
      <c r="V49562" s="5"/>
    </row>
    <row r="49563">
      <c r="N49563" s="1"/>
      <c r="V49563" s="5"/>
    </row>
    <row r="49564">
      <c r="N49564" s="1"/>
      <c r="V49564" s="5"/>
    </row>
    <row r="49565">
      <c r="N49565" s="1"/>
      <c r="V49565" s="5"/>
    </row>
    <row r="49566">
      <c r="N49566" s="1"/>
      <c r="V49566" s="5"/>
    </row>
    <row r="49567">
      <c r="N49567" s="1"/>
      <c r="V49567" s="5"/>
    </row>
    <row r="49568">
      <c r="N49568" s="1"/>
      <c r="V49568" s="5"/>
    </row>
    <row r="49569">
      <c r="N49569" s="1"/>
      <c r="V49569" s="5"/>
    </row>
    <row r="49570">
      <c r="N49570" s="1"/>
      <c r="V49570" s="5"/>
    </row>
    <row r="49571">
      <c r="N49571" s="1"/>
      <c r="V49571" s="5"/>
    </row>
    <row r="49572">
      <c r="N49572" s="1"/>
      <c r="V49572" s="5"/>
    </row>
    <row r="49573">
      <c r="N49573" s="1"/>
      <c r="V49573" s="5"/>
    </row>
    <row r="49574">
      <c r="N49574" s="1"/>
      <c r="V49574" s="5"/>
    </row>
    <row r="49575">
      <c r="N49575" s="1"/>
      <c r="V49575" s="5"/>
    </row>
    <row r="49576">
      <c r="N49576" s="1"/>
      <c r="V49576" s="5"/>
    </row>
    <row r="49577">
      <c r="N49577" s="1"/>
      <c r="V49577" s="5"/>
    </row>
    <row r="49578">
      <c r="N49578" s="1"/>
      <c r="V49578" s="5"/>
    </row>
    <row r="49579">
      <c r="N49579" s="1"/>
      <c r="V49579" s="5"/>
    </row>
    <row r="49580">
      <c r="N49580" s="1"/>
      <c r="V49580" s="5"/>
    </row>
    <row r="49581">
      <c r="N49581" s="1"/>
      <c r="V49581" s="5"/>
    </row>
    <row r="49582">
      <c r="N49582" s="1"/>
      <c r="V49582" s="5"/>
    </row>
    <row r="49583">
      <c r="N49583" s="1"/>
      <c r="V49583" s="5"/>
    </row>
    <row r="49584">
      <c r="N49584" s="1"/>
      <c r="V49584" s="5"/>
    </row>
    <row r="49585">
      <c r="N49585" s="1"/>
      <c r="V49585" s="5"/>
    </row>
    <row r="49586">
      <c r="N49586" s="1"/>
      <c r="V49586" s="5"/>
    </row>
    <row r="49587">
      <c r="N49587" s="1"/>
      <c r="V49587" s="5"/>
    </row>
    <row r="49588">
      <c r="N49588" s="1"/>
      <c r="V49588" s="5"/>
    </row>
    <row r="49589">
      <c r="N49589" s="1"/>
      <c r="V49589" s="5"/>
    </row>
    <row r="49590">
      <c r="N49590" s="1"/>
      <c r="V49590" s="5"/>
    </row>
    <row r="49591">
      <c r="N49591" s="1"/>
      <c r="V49591" s="5"/>
    </row>
    <row r="49592">
      <c r="N49592" s="1"/>
      <c r="V49592" s="5"/>
    </row>
    <row r="49593">
      <c r="N49593" s="1"/>
      <c r="V49593" s="5"/>
    </row>
    <row r="49594">
      <c r="N49594" s="1"/>
      <c r="V49594" s="5"/>
    </row>
    <row r="49595">
      <c r="N49595" s="1"/>
      <c r="V49595" s="5"/>
    </row>
    <row r="49596">
      <c r="N49596" s="1"/>
      <c r="V49596" s="5"/>
    </row>
    <row r="49597">
      <c r="N49597" s="1"/>
      <c r="V49597" s="5"/>
    </row>
    <row r="49598">
      <c r="N49598" s="1"/>
      <c r="V49598" s="5"/>
    </row>
    <row r="49599">
      <c r="N49599" s="1"/>
      <c r="V49599" s="5"/>
    </row>
    <row r="49600">
      <c r="N49600" s="1"/>
      <c r="V49600" s="5"/>
    </row>
    <row r="49601">
      <c r="N49601" s="1"/>
      <c r="V49601" s="5"/>
    </row>
    <row r="49602">
      <c r="N49602" s="1"/>
      <c r="V49602" s="5"/>
    </row>
    <row r="49603">
      <c r="N49603" s="1"/>
      <c r="V49603" s="5"/>
    </row>
    <row r="49604">
      <c r="N49604" s="1"/>
      <c r="V49604" s="5"/>
    </row>
    <row r="49605">
      <c r="N49605" s="1"/>
      <c r="V49605" s="5"/>
    </row>
    <row r="49606">
      <c r="N49606" s="1"/>
      <c r="V49606" s="5"/>
    </row>
    <row r="49607">
      <c r="N49607" s="1"/>
      <c r="V49607" s="5"/>
    </row>
    <row r="49608">
      <c r="N49608" s="1"/>
      <c r="V49608" s="5"/>
    </row>
    <row r="49609">
      <c r="N49609" s="1"/>
      <c r="V49609" s="5"/>
    </row>
    <row r="49610">
      <c r="N49610" s="1"/>
      <c r="V49610" s="5"/>
    </row>
    <row r="49611">
      <c r="N49611" s="1"/>
      <c r="V49611" s="5"/>
    </row>
    <row r="49612">
      <c r="N49612" s="1"/>
      <c r="V49612" s="5"/>
    </row>
    <row r="49613">
      <c r="N49613" s="1"/>
      <c r="V49613" s="5"/>
    </row>
    <row r="49614">
      <c r="N49614" s="1"/>
      <c r="V49614" s="5"/>
    </row>
    <row r="49615">
      <c r="N49615" s="1"/>
      <c r="V49615" s="5"/>
    </row>
    <row r="49616">
      <c r="N49616" s="1"/>
      <c r="V49616" s="5"/>
    </row>
    <row r="49617">
      <c r="N49617" s="1"/>
      <c r="V49617" s="5"/>
    </row>
    <row r="49618">
      <c r="N49618" s="1"/>
      <c r="V49618" s="5"/>
    </row>
    <row r="49619">
      <c r="N49619" s="1"/>
      <c r="V49619" s="5"/>
    </row>
    <row r="49620">
      <c r="N49620" s="1"/>
      <c r="V49620" s="5"/>
    </row>
    <row r="49621">
      <c r="N49621" s="1"/>
      <c r="V49621" s="5"/>
    </row>
    <row r="49622">
      <c r="N49622" s="1"/>
      <c r="V49622" s="5"/>
    </row>
    <row r="49623">
      <c r="N49623" s="1"/>
      <c r="V49623" s="5"/>
    </row>
    <row r="49624">
      <c r="N49624" s="1"/>
      <c r="V49624" s="5"/>
    </row>
    <row r="49625">
      <c r="N49625" s="1"/>
      <c r="V49625" s="5"/>
    </row>
    <row r="49626">
      <c r="N49626" s="1"/>
      <c r="V49626" s="5"/>
    </row>
    <row r="49627">
      <c r="N49627" s="1"/>
      <c r="V49627" s="5"/>
    </row>
    <row r="49628">
      <c r="N49628" s="1"/>
      <c r="V49628" s="5"/>
    </row>
    <row r="49629">
      <c r="N49629" s="1"/>
      <c r="V49629" s="5"/>
    </row>
    <row r="49630">
      <c r="N49630" s="1"/>
      <c r="V49630" s="5"/>
    </row>
    <row r="49631">
      <c r="N49631" s="1"/>
      <c r="V49631" s="5"/>
    </row>
    <row r="49632">
      <c r="N49632" s="1"/>
      <c r="V49632" s="5"/>
    </row>
    <row r="49633">
      <c r="N49633" s="1"/>
      <c r="V49633" s="5"/>
    </row>
    <row r="49634">
      <c r="N49634" s="1"/>
      <c r="V49634" s="5"/>
    </row>
    <row r="49635">
      <c r="N49635" s="1"/>
      <c r="V49635" s="5"/>
    </row>
    <row r="49636">
      <c r="N49636" s="1"/>
      <c r="V49636" s="5"/>
    </row>
    <row r="49637">
      <c r="N49637" s="1"/>
      <c r="V49637" s="5"/>
    </row>
    <row r="49638">
      <c r="N49638" s="1"/>
      <c r="V49638" s="5"/>
    </row>
    <row r="49639">
      <c r="N49639" s="1"/>
      <c r="V49639" s="5"/>
    </row>
    <row r="49640">
      <c r="N49640" s="1"/>
      <c r="V49640" s="5"/>
    </row>
    <row r="49641">
      <c r="N49641" s="1"/>
      <c r="V49641" s="5"/>
    </row>
    <row r="49642">
      <c r="N49642" s="1"/>
      <c r="V49642" s="5"/>
    </row>
    <row r="49643">
      <c r="N49643" s="1"/>
      <c r="V49643" s="5"/>
    </row>
    <row r="49644">
      <c r="N49644" s="1"/>
      <c r="V49644" s="5"/>
    </row>
    <row r="49645">
      <c r="N49645" s="1"/>
      <c r="V49645" s="5"/>
    </row>
    <row r="49646">
      <c r="N49646" s="1"/>
      <c r="V49646" s="5"/>
    </row>
    <row r="49647">
      <c r="N49647" s="1"/>
      <c r="V49647" s="5"/>
    </row>
    <row r="49648">
      <c r="N49648" s="1"/>
      <c r="V49648" s="5"/>
    </row>
    <row r="49649">
      <c r="N49649" s="1"/>
      <c r="V49649" s="5"/>
    </row>
    <row r="49650">
      <c r="N49650" s="1"/>
      <c r="V49650" s="5"/>
    </row>
    <row r="49651">
      <c r="N49651" s="1"/>
      <c r="V49651" s="5"/>
    </row>
    <row r="49652">
      <c r="N49652" s="1"/>
      <c r="V49652" s="5"/>
    </row>
    <row r="49653">
      <c r="N49653" s="1"/>
      <c r="V49653" s="5"/>
    </row>
    <row r="49654">
      <c r="N49654" s="1"/>
      <c r="V49654" s="5"/>
    </row>
    <row r="49655">
      <c r="N49655" s="1"/>
      <c r="V49655" s="5"/>
    </row>
    <row r="49656">
      <c r="N49656" s="1"/>
      <c r="V49656" s="5"/>
    </row>
    <row r="49657">
      <c r="N49657" s="1"/>
      <c r="V49657" s="5"/>
    </row>
    <row r="49658">
      <c r="N49658" s="1"/>
      <c r="V49658" s="5"/>
    </row>
    <row r="49659">
      <c r="N49659" s="1"/>
      <c r="V49659" s="5"/>
    </row>
    <row r="49660">
      <c r="N49660" s="1"/>
      <c r="V49660" s="5"/>
    </row>
    <row r="49661">
      <c r="N49661" s="1"/>
      <c r="V49661" s="5"/>
    </row>
    <row r="49662">
      <c r="N49662" s="1"/>
      <c r="V49662" s="5"/>
    </row>
    <row r="49663">
      <c r="N49663" s="1"/>
      <c r="V49663" s="5"/>
    </row>
    <row r="49664">
      <c r="N49664" s="1"/>
      <c r="V49664" s="5"/>
    </row>
    <row r="49665">
      <c r="N49665" s="1"/>
      <c r="V49665" s="5"/>
    </row>
    <row r="49666">
      <c r="N49666" s="1"/>
      <c r="V49666" s="5"/>
    </row>
    <row r="49667">
      <c r="N49667" s="1"/>
      <c r="V49667" s="5"/>
    </row>
    <row r="49668">
      <c r="N49668" s="1"/>
      <c r="V49668" s="5"/>
    </row>
    <row r="49669">
      <c r="N49669" s="1"/>
      <c r="V49669" s="5"/>
    </row>
    <row r="49670">
      <c r="N49670" s="1"/>
      <c r="V49670" s="5"/>
    </row>
    <row r="49671">
      <c r="N49671" s="1"/>
      <c r="V49671" s="5"/>
    </row>
    <row r="49672">
      <c r="N49672" s="1"/>
      <c r="V49672" s="5"/>
    </row>
    <row r="49673">
      <c r="N49673" s="1"/>
      <c r="V49673" s="5"/>
    </row>
    <row r="49674">
      <c r="N49674" s="1"/>
      <c r="V49674" s="5"/>
    </row>
    <row r="49675">
      <c r="N49675" s="1"/>
      <c r="V49675" s="5"/>
    </row>
    <row r="49676">
      <c r="N49676" s="1"/>
      <c r="V49676" s="5"/>
    </row>
    <row r="49677">
      <c r="N49677" s="1"/>
      <c r="V49677" s="5"/>
    </row>
    <row r="49678">
      <c r="N49678" s="1"/>
      <c r="V49678" s="5"/>
    </row>
    <row r="49679">
      <c r="N49679" s="1"/>
      <c r="V49679" s="5"/>
    </row>
    <row r="49680">
      <c r="N49680" s="1"/>
      <c r="V49680" s="5"/>
    </row>
    <row r="49681">
      <c r="N49681" s="1"/>
      <c r="V49681" s="5"/>
    </row>
    <row r="49682">
      <c r="N49682" s="1"/>
      <c r="V49682" s="5"/>
    </row>
    <row r="49683">
      <c r="N49683" s="1"/>
      <c r="V49683" s="5"/>
    </row>
    <row r="49684">
      <c r="N49684" s="1"/>
      <c r="V49684" s="5"/>
    </row>
    <row r="49685">
      <c r="N49685" s="1"/>
      <c r="V49685" s="5"/>
    </row>
    <row r="49686">
      <c r="N49686" s="1"/>
      <c r="V49686" s="5"/>
    </row>
    <row r="49687">
      <c r="N49687" s="1"/>
      <c r="V49687" s="5"/>
    </row>
    <row r="49688">
      <c r="N49688" s="1"/>
      <c r="V49688" s="5"/>
    </row>
    <row r="49689">
      <c r="N49689" s="1"/>
      <c r="V49689" s="5"/>
    </row>
    <row r="49690">
      <c r="N49690" s="1"/>
      <c r="V49690" s="5"/>
    </row>
    <row r="49691">
      <c r="N49691" s="1"/>
      <c r="V49691" s="5"/>
    </row>
    <row r="49692">
      <c r="N49692" s="1"/>
      <c r="V49692" s="5"/>
    </row>
    <row r="49693">
      <c r="N49693" s="1"/>
      <c r="V49693" s="5"/>
    </row>
    <row r="49694">
      <c r="N49694" s="1"/>
      <c r="V49694" s="5"/>
    </row>
    <row r="49695">
      <c r="N49695" s="1"/>
      <c r="V49695" s="5"/>
    </row>
    <row r="49696">
      <c r="N49696" s="1"/>
      <c r="V49696" s="5"/>
    </row>
    <row r="49697">
      <c r="N49697" s="1"/>
      <c r="V49697" s="5"/>
    </row>
    <row r="49698">
      <c r="N49698" s="1"/>
      <c r="V49698" s="5"/>
    </row>
    <row r="49699">
      <c r="N49699" s="1"/>
      <c r="V49699" s="5"/>
    </row>
    <row r="49700">
      <c r="N49700" s="1"/>
      <c r="V49700" s="5"/>
    </row>
    <row r="49701">
      <c r="N49701" s="1"/>
      <c r="V49701" s="5"/>
    </row>
    <row r="49702">
      <c r="N49702" s="1"/>
      <c r="V49702" s="5"/>
    </row>
    <row r="49703">
      <c r="N49703" s="1"/>
      <c r="V49703" s="5"/>
    </row>
    <row r="49704">
      <c r="N49704" s="1"/>
      <c r="V49704" s="5"/>
    </row>
    <row r="49705">
      <c r="N49705" s="1"/>
      <c r="V49705" s="5"/>
    </row>
    <row r="49706">
      <c r="N49706" s="1"/>
      <c r="V49706" s="5"/>
    </row>
    <row r="49707">
      <c r="N49707" s="1"/>
      <c r="V49707" s="5"/>
    </row>
    <row r="49708">
      <c r="N49708" s="1"/>
      <c r="V49708" s="5"/>
    </row>
    <row r="49709">
      <c r="N49709" s="1"/>
      <c r="V49709" s="5"/>
    </row>
    <row r="49710">
      <c r="N49710" s="1"/>
      <c r="V49710" s="5"/>
    </row>
    <row r="49711">
      <c r="N49711" s="1"/>
      <c r="V49711" s="5"/>
    </row>
    <row r="49712">
      <c r="N49712" s="1"/>
      <c r="V49712" s="5"/>
    </row>
    <row r="49713">
      <c r="N49713" s="1"/>
      <c r="V49713" s="5"/>
    </row>
    <row r="49714">
      <c r="N49714" s="1"/>
      <c r="V49714" s="5"/>
    </row>
    <row r="49715">
      <c r="N49715" s="1"/>
      <c r="V49715" s="5"/>
    </row>
    <row r="49716">
      <c r="N49716" s="1"/>
      <c r="V49716" s="5"/>
    </row>
    <row r="49717">
      <c r="N49717" s="1"/>
      <c r="V49717" s="5"/>
    </row>
    <row r="49718">
      <c r="N49718" s="1"/>
      <c r="V49718" s="5"/>
    </row>
    <row r="49719">
      <c r="N49719" s="1"/>
      <c r="V49719" s="5"/>
    </row>
    <row r="49720">
      <c r="N49720" s="1"/>
      <c r="V49720" s="5"/>
    </row>
    <row r="49721">
      <c r="N49721" s="1"/>
      <c r="V49721" s="5"/>
    </row>
    <row r="49722">
      <c r="N49722" s="1"/>
      <c r="V49722" s="5"/>
    </row>
    <row r="49723">
      <c r="N49723" s="1"/>
      <c r="V49723" s="5"/>
    </row>
    <row r="49724">
      <c r="N49724" s="1"/>
      <c r="V49724" s="5"/>
    </row>
    <row r="49725">
      <c r="N49725" s="1"/>
      <c r="V49725" s="5"/>
    </row>
    <row r="49726">
      <c r="N49726" s="1"/>
      <c r="V49726" s="5"/>
    </row>
    <row r="49727">
      <c r="N49727" s="1"/>
      <c r="V49727" s="5"/>
    </row>
    <row r="49728">
      <c r="N49728" s="1"/>
      <c r="V49728" s="5"/>
    </row>
    <row r="49729">
      <c r="N49729" s="1"/>
      <c r="V49729" s="5"/>
    </row>
    <row r="49730">
      <c r="N49730" s="1"/>
      <c r="V49730" s="5"/>
    </row>
    <row r="49731">
      <c r="N49731" s="1"/>
      <c r="V49731" s="5"/>
    </row>
    <row r="49732">
      <c r="N49732" s="1"/>
      <c r="V49732" s="5"/>
    </row>
    <row r="49733">
      <c r="N49733" s="1"/>
      <c r="V49733" s="5"/>
    </row>
    <row r="49734">
      <c r="N49734" s="1"/>
      <c r="V49734" s="5"/>
    </row>
    <row r="49735">
      <c r="N49735" s="1"/>
      <c r="V49735" s="5"/>
    </row>
    <row r="49736">
      <c r="N49736" s="1"/>
      <c r="V49736" s="5"/>
    </row>
    <row r="49737">
      <c r="N49737" s="1"/>
      <c r="V49737" s="5"/>
    </row>
    <row r="49738">
      <c r="N49738" s="1"/>
      <c r="V49738" s="5"/>
    </row>
    <row r="49739">
      <c r="N49739" s="1"/>
      <c r="V49739" s="5"/>
    </row>
    <row r="49740">
      <c r="N49740" s="1"/>
      <c r="V49740" s="5"/>
    </row>
    <row r="49741">
      <c r="N49741" s="1"/>
      <c r="V49741" s="5"/>
    </row>
    <row r="49742">
      <c r="N49742" s="1"/>
      <c r="V49742" s="5"/>
    </row>
    <row r="49743">
      <c r="N49743" s="1"/>
      <c r="V49743" s="5"/>
    </row>
    <row r="49744">
      <c r="N49744" s="1"/>
      <c r="V49744" s="5"/>
    </row>
    <row r="49745">
      <c r="N49745" s="1"/>
      <c r="V49745" s="5"/>
    </row>
    <row r="49746">
      <c r="N49746" s="1"/>
      <c r="V49746" s="5"/>
    </row>
    <row r="49747">
      <c r="N49747" s="1"/>
      <c r="V49747" s="5"/>
    </row>
    <row r="49748">
      <c r="N49748" s="1"/>
      <c r="V49748" s="5"/>
    </row>
    <row r="49749">
      <c r="N49749" s="1"/>
      <c r="V49749" s="5"/>
    </row>
    <row r="49750">
      <c r="N49750" s="1"/>
      <c r="V49750" s="5"/>
    </row>
    <row r="49751">
      <c r="N49751" s="1"/>
      <c r="V49751" s="5"/>
    </row>
    <row r="49752">
      <c r="N49752" s="1"/>
      <c r="V49752" s="5"/>
    </row>
    <row r="49753">
      <c r="N49753" s="1"/>
      <c r="V49753" s="5"/>
    </row>
    <row r="49754">
      <c r="N49754" s="1"/>
      <c r="V49754" s="5"/>
    </row>
    <row r="49755">
      <c r="N49755" s="1"/>
      <c r="V49755" s="5"/>
    </row>
    <row r="49756">
      <c r="N49756" s="1"/>
      <c r="V49756" s="5"/>
    </row>
    <row r="49757">
      <c r="N49757" s="1"/>
      <c r="V49757" s="5"/>
    </row>
    <row r="49758">
      <c r="N49758" s="1"/>
      <c r="V49758" s="5"/>
    </row>
    <row r="49759">
      <c r="N49759" s="1"/>
      <c r="V49759" s="5"/>
    </row>
    <row r="49760">
      <c r="N49760" s="1"/>
      <c r="V49760" s="5"/>
    </row>
    <row r="49761">
      <c r="N49761" s="1"/>
      <c r="V49761" s="5"/>
    </row>
    <row r="49762">
      <c r="N49762" s="1"/>
      <c r="V49762" s="5"/>
    </row>
    <row r="49763">
      <c r="N49763" s="1"/>
      <c r="V49763" s="5"/>
    </row>
    <row r="49764">
      <c r="N49764" s="1"/>
      <c r="V49764" s="5"/>
    </row>
    <row r="49765">
      <c r="N49765" s="1"/>
      <c r="V49765" s="5"/>
    </row>
    <row r="49766">
      <c r="N49766" s="1"/>
      <c r="V49766" s="5"/>
    </row>
    <row r="49767">
      <c r="N49767" s="1"/>
      <c r="V49767" s="5"/>
    </row>
    <row r="49768">
      <c r="N49768" s="1"/>
      <c r="V49768" s="5"/>
    </row>
    <row r="49769">
      <c r="N49769" s="1"/>
      <c r="V49769" s="5"/>
    </row>
    <row r="49770">
      <c r="N49770" s="1"/>
      <c r="V49770" s="5"/>
    </row>
    <row r="49771">
      <c r="N49771" s="1"/>
      <c r="V49771" s="5"/>
    </row>
    <row r="49772">
      <c r="N49772" s="1"/>
      <c r="V49772" s="5"/>
    </row>
    <row r="49773">
      <c r="N49773" s="1"/>
      <c r="V49773" s="5"/>
    </row>
    <row r="49774">
      <c r="N49774" s="1"/>
      <c r="V49774" s="5"/>
    </row>
    <row r="49775">
      <c r="N49775" s="1"/>
      <c r="V49775" s="5"/>
    </row>
    <row r="49776">
      <c r="N49776" s="1"/>
      <c r="V49776" s="5"/>
    </row>
    <row r="49777">
      <c r="N49777" s="1"/>
      <c r="V49777" s="5"/>
    </row>
    <row r="49778">
      <c r="N49778" s="1"/>
      <c r="V49778" s="5"/>
    </row>
    <row r="49779">
      <c r="N49779" s="1"/>
      <c r="V49779" s="5"/>
    </row>
    <row r="49780">
      <c r="N49780" s="1"/>
      <c r="V49780" s="5"/>
    </row>
    <row r="49781">
      <c r="N49781" s="1"/>
      <c r="V49781" s="5"/>
    </row>
    <row r="49782">
      <c r="N49782" s="1"/>
      <c r="V49782" s="5"/>
    </row>
    <row r="49783">
      <c r="N49783" s="1"/>
      <c r="V49783" s="5"/>
    </row>
    <row r="49784">
      <c r="N49784" s="1"/>
      <c r="V49784" s="5"/>
    </row>
    <row r="49785">
      <c r="N49785" s="1"/>
      <c r="V49785" s="5"/>
    </row>
    <row r="49786">
      <c r="N49786" s="1"/>
      <c r="V49786" s="5"/>
    </row>
    <row r="49787">
      <c r="N49787" s="1"/>
      <c r="V49787" s="5"/>
    </row>
    <row r="49788">
      <c r="N49788" s="1"/>
      <c r="V49788" s="5"/>
    </row>
    <row r="49789">
      <c r="N49789" s="1"/>
      <c r="V49789" s="5"/>
    </row>
    <row r="49790">
      <c r="N49790" s="1"/>
      <c r="V49790" s="5"/>
    </row>
    <row r="49791">
      <c r="N49791" s="1"/>
      <c r="V49791" s="5"/>
    </row>
    <row r="49792">
      <c r="N49792" s="1"/>
      <c r="V49792" s="5"/>
    </row>
    <row r="49793">
      <c r="N49793" s="1"/>
      <c r="V49793" s="5"/>
    </row>
    <row r="49794">
      <c r="N49794" s="1"/>
      <c r="V49794" s="5"/>
    </row>
    <row r="49795">
      <c r="N49795" s="1"/>
      <c r="V49795" s="5"/>
    </row>
    <row r="49796">
      <c r="N49796" s="1"/>
      <c r="V49796" s="5"/>
    </row>
    <row r="49797">
      <c r="N49797" s="1"/>
      <c r="V49797" s="5"/>
    </row>
    <row r="49798">
      <c r="N49798" s="1"/>
      <c r="V49798" s="5"/>
    </row>
    <row r="49799">
      <c r="N49799" s="1"/>
      <c r="V49799" s="5"/>
    </row>
    <row r="49800">
      <c r="N49800" s="1"/>
      <c r="V49800" s="5"/>
    </row>
    <row r="49801">
      <c r="N49801" s="1"/>
      <c r="V49801" s="5"/>
    </row>
    <row r="49802">
      <c r="N49802" s="1"/>
      <c r="V49802" s="5"/>
    </row>
    <row r="49803">
      <c r="N49803" s="1"/>
      <c r="V49803" s="5"/>
    </row>
    <row r="49804">
      <c r="N49804" s="1"/>
      <c r="V49804" s="5"/>
    </row>
    <row r="49805">
      <c r="N49805" s="1"/>
      <c r="V49805" s="5"/>
    </row>
    <row r="49806">
      <c r="N49806" s="1"/>
      <c r="V49806" s="5"/>
    </row>
    <row r="49807">
      <c r="N49807" s="1"/>
      <c r="V49807" s="5"/>
    </row>
    <row r="49808">
      <c r="N49808" s="1"/>
      <c r="V49808" s="5"/>
    </row>
    <row r="49809">
      <c r="N49809" s="1"/>
      <c r="V49809" s="5"/>
    </row>
    <row r="49810">
      <c r="N49810" s="1"/>
      <c r="V49810" s="5"/>
    </row>
    <row r="49811">
      <c r="N49811" s="1"/>
      <c r="V49811" s="5"/>
    </row>
    <row r="49812">
      <c r="N49812" s="1"/>
      <c r="V49812" s="5"/>
    </row>
    <row r="49813">
      <c r="N49813" s="1"/>
      <c r="V49813" s="5"/>
    </row>
    <row r="49814">
      <c r="N49814" s="1"/>
      <c r="V49814" s="5"/>
    </row>
    <row r="49815">
      <c r="N49815" s="1"/>
      <c r="V49815" s="5"/>
    </row>
    <row r="49816">
      <c r="N49816" s="1"/>
      <c r="V49816" s="5"/>
    </row>
    <row r="49817">
      <c r="N49817" s="1"/>
      <c r="V49817" s="5"/>
    </row>
    <row r="49818">
      <c r="N49818" s="1"/>
      <c r="V49818" s="5"/>
    </row>
    <row r="49819">
      <c r="N49819" s="1"/>
      <c r="V49819" s="5"/>
    </row>
    <row r="49820">
      <c r="N49820" s="1"/>
      <c r="V49820" s="5"/>
    </row>
    <row r="49821">
      <c r="N49821" s="1"/>
      <c r="V49821" s="5"/>
    </row>
    <row r="49822">
      <c r="N49822" s="1"/>
      <c r="V49822" s="5"/>
    </row>
    <row r="49823">
      <c r="N49823" s="1"/>
      <c r="V49823" s="5"/>
    </row>
    <row r="49824">
      <c r="N49824" s="1"/>
      <c r="V49824" s="5"/>
    </row>
    <row r="49825">
      <c r="N49825" s="1"/>
      <c r="V49825" s="5"/>
    </row>
    <row r="49826">
      <c r="N49826" s="1"/>
      <c r="V49826" s="5"/>
    </row>
    <row r="49827">
      <c r="N49827" s="1"/>
      <c r="V49827" s="5"/>
    </row>
    <row r="49828">
      <c r="N49828" s="1"/>
      <c r="V49828" s="5"/>
    </row>
    <row r="49829">
      <c r="N49829" s="1"/>
      <c r="V49829" s="5"/>
    </row>
    <row r="49830">
      <c r="N49830" s="1"/>
      <c r="V49830" s="5"/>
    </row>
    <row r="49831">
      <c r="N49831" s="1"/>
      <c r="V49831" s="5"/>
    </row>
    <row r="49832">
      <c r="N49832" s="1"/>
      <c r="V49832" s="5"/>
    </row>
    <row r="49833">
      <c r="N49833" s="1"/>
      <c r="V49833" s="5"/>
    </row>
    <row r="49834">
      <c r="N49834" s="1"/>
      <c r="V49834" s="5"/>
    </row>
    <row r="49835">
      <c r="N49835" s="1"/>
      <c r="V49835" s="5"/>
    </row>
    <row r="49836">
      <c r="N49836" s="1"/>
      <c r="V49836" s="5"/>
    </row>
    <row r="49837">
      <c r="N49837" s="1"/>
      <c r="V49837" s="5"/>
    </row>
    <row r="49838">
      <c r="N49838" s="1"/>
      <c r="V49838" s="5"/>
    </row>
    <row r="49839">
      <c r="N49839" s="1"/>
      <c r="V49839" s="5"/>
    </row>
    <row r="49840">
      <c r="N49840" s="1"/>
      <c r="V49840" s="5"/>
    </row>
    <row r="49841">
      <c r="N49841" s="1"/>
      <c r="V49841" s="5"/>
    </row>
    <row r="49842">
      <c r="N49842" s="1"/>
      <c r="V49842" s="5"/>
    </row>
    <row r="49843">
      <c r="N49843" s="1"/>
      <c r="V49843" s="5"/>
    </row>
    <row r="49844">
      <c r="N49844" s="1"/>
      <c r="V49844" s="5"/>
    </row>
    <row r="49845">
      <c r="N49845" s="1"/>
      <c r="V49845" s="5"/>
    </row>
    <row r="49846">
      <c r="N49846" s="1"/>
      <c r="V49846" s="5"/>
    </row>
    <row r="49847">
      <c r="N49847" s="1"/>
      <c r="V49847" s="5"/>
    </row>
    <row r="49848">
      <c r="N49848" s="1"/>
      <c r="V49848" s="5"/>
    </row>
    <row r="49849">
      <c r="N49849" s="1"/>
      <c r="V49849" s="5"/>
    </row>
    <row r="49850">
      <c r="N49850" s="1"/>
      <c r="V49850" s="5"/>
    </row>
    <row r="49851">
      <c r="N49851" s="1"/>
      <c r="V49851" s="5"/>
    </row>
    <row r="49852">
      <c r="N49852" s="1"/>
      <c r="V49852" s="5"/>
    </row>
    <row r="49853">
      <c r="N49853" s="1"/>
      <c r="V49853" s="5"/>
    </row>
    <row r="49854">
      <c r="N49854" s="1"/>
      <c r="V49854" s="5"/>
    </row>
    <row r="49855">
      <c r="N49855" s="1"/>
      <c r="V49855" s="5"/>
    </row>
    <row r="49856">
      <c r="N49856" s="1"/>
      <c r="V49856" s="5"/>
    </row>
    <row r="49857">
      <c r="N49857" s="1"/>
      <c r="V49857" s="5"/>
    </row>
    <row r="49858">
      <c r="N49858" s="1"/>
      <c r="V49858" s="5"/>
    </row>
    <row r="49859">
      <c r="N49859" s="1"/>
      <c r="V49859" s="5"/>
    </row>
    <row r="49860">
      <c r="N49860" s="1"/>
      <c r="V49860" s="5"/>
    </row>
    <row r="49861">
      <c r="N49861" s="1"/>
      <c r="V49861" s="5"/>
    </row>
    <row r="49862">
      <c r="N49862" s="1"/>
      <c r="V49862" s="5"/>
    </row>
    <row r="49863">
      <c r="N49863" s="1"/>
      <c r="V49863" s="5"/>
    </row>
    <row r="49864">
      <c r="N49864" s="1"/>
      <c r="V49864" s="5"/>
    </row>
    <row r="49865">
      <c r="N49865" s="1"/>
      <c r="V49865" s="5"/>
    </row>
    <row r="49866">
      <c r="N49866" s="1"/>
      <c r="V49866" s="5"/>
    </row>
    <row r="49867">
      <c r="N49867" s="1"/>
      <c r="V49867" s="5"/>
    </row>
    <row r="49868">
      <c r="N49868" s="1"/>
      <c r="V49868" s="5"/>
    </row>
    <row r="49869">
      <c r="N49869" s="1"/>
      <c r="V49869" s="5"/>
    </row>
    <row r="49870">
      <c r="N49870" s="1"/>
      <c r="V49870" s="5"/>
    </row>
    <row r="49871">
      <c r="N49871" s="1"/>
      <c r="V49871" s="5"/>
    </row>
    <row r="49872">
      <c r="N49872" s="1"/>
      <c r="V49872" s="5"/>
    </row>
    <row r="49873">
      <c r="N49873" s="1"/>
      <c r="V49873" s="5"/>
    </row>
    <row r="49874">
      <c r="N49874" s="1"/>
      <c r="V49874" s="5"/>
    </row>
    <row r="49875">
      <c r="N49875" s="1"/>
      <c r="V49875" s="5"/>
    </row>
    <row r="49876">
      <c r="N49876" s="1"/>
      <c r="V49876" s="5"/>
    </row>
    <row r="49877">
      <c r="N49877" s="1"/>
      <c r="V49877" s="5"/>
    </row>
    <row r="49878">
      <c r="N49878" s="1"/>
      <c r="V49878" s="5"/>
    </row>
    <row r="49879">
      <c r="N49879" s="1"/>
      <c r="V49879" s="5"/>
    </row>
    <row r="49880">
      <c r="N49880" s="1"/>
      <c r="V49880" s="5"/>
    </row>
    <row r="49881">
      <c r="N49881" s="1"/>
      <c r="V49881" s="5"/>
    </row>
    <row r="49882">
      <c r="N49882" s="1"/>
      <c r="V49882" s="5"/>
    </row>
    <row r="49883">
      <c r="N49883" s="1"/>
      <c r="V49883" s="5"/>
    </row>
    <row r="49884">
      <c r="N49884" s="1"/>
      <c r="V49884" s="5"/>
    </row>
    <row r="49885">
      <c r="N49885" s="1"/>
      <c r="V49885" s="5"/>
    </row>
    <row r="49886">
      <c r="N49886" s="1"/>
      <c r="V49886" s="5"/>
    </row>
    <row r="49887">
      <c r="N49887" s="1"/>
      <c r="V49887" s="5"/>
    </row>
    <row r="49888">
      <c r="N49888" s="1"/>
      <c r="V49888" s="5"/>
    </row>
    <row r="49889">
      <c r="N49889" s="1"/>
      <c r="V49889" s="5"/>
    </row>
    <row r="49890">
      <c r="N49890" s="1"/>
      <c r="V49890" s="5"/>
    </row>
    <row r="49891">
      <c r="N49891" s="1"/>
      <c r="V49891" s="5"/>
    </row>
    <row r="49892">
      <c r="N49892" s="1"/>
      <c r="V49892" s="5"/>
    </row>
    <row r="49893">
      <c r="N49893" s="1"/>
      <c r="V49893" s="5"/>
    </row>
    <row r="49894">
      <c r="N49894" s="1"/>
      <c r="V49894" s="5"/>
    </row>
    <row r="49895">
      <c r="N49895" s="1"/>
      <c r="V49895" s="5"/>
    </row>
    <row r="49896">
      <c r="N49896" s="1"/>
      <c r="V49896" s="5"/>
    </row>
    <row r="49897">
      <c r="N49897" s="1"/>
      <c r="V49897" s="5"/>
    </row>
    <row r="49898">
      <c r="N49898" s="1"/>
      <c r="V49898" s="5"/>
    </row>
    <row r="49899">
      <c r="N49899" s="1"/>
      <c r="V49899" s="5"/>
    </row>
    <row r="49900">
      <c r="N49900" s="1"/>
      <c r="V49900" s="5"/>
    </row>
    <row r="49901">
      <c r="N49901" s="1"/>
      <c r="V49901" s="5"/>
    </row>
    <row r="49902">
      <c r="N49902" s="1"/>
      <c r="V49902" s="5"/>
    </row>
    <row r="49903">
      <c r="N49903" s="1"/>
      <c r="V49903" s="5"/>
    </row>
    <row r="49904">
      <c r="N49904" s="1"/>
      <c r="V49904" s="5"/>
    </row>
    <row r="49905">
      <c r="N49905" s="1"/>
      <c r="V49905" s="5"/>
    </row>
    <row r="49906">
      <c r="N49906" s="1"/>
      <c r="V49906" s="5"/>
    </row>
    <row r="49907">
      <c r="N49907" s="1"/>
      <c r="V49907" s="5"/>
    </row>
    <row r="49908">
      <c r="N49908" s="1"/>
      <c r="V49908" s="5"/>
    </row>
    <row r="49909">
      <c r="N49909" s="1"/>
      <c r="V49909" s="5"/>
    </row>
    <row r="49910">
      <c r="N49910" s="1"/>
      <c r="V49910" s="5"/>
    </row>
    <row r="49911">
      <c r="N49911" s="1"/>
      <c r="V49911" s="5"/>
    </row>
    <row r="49912">
      <c r="N49912" s="1"/>
      <c r="V49912" s="5"/>
    </row>
    <row r="49913">
      <c r="N49913" s="1"/>
      <c r="V49913" s="5"/>
    </row>
    <row r="49914">
      <c r="N49914" s="1"/>
      <c r="V49914" s="5"/>
    </row>
    <row r="49915">
      <c r="N49915" s="1"/>
      <c r="V49915" s="5"/>
    </row>
    <row r="49916">
      <c r="N49916" s="1"/>
      <c r="V49916" s="5"/>
    </row>
    <row r="49917">
      <c r="N49917" s="1"/>
      <c r="V49917" s="5"/>
    </row>
    <row r="49918">
      <c r="N49918" s="1"/>
      <c r="V49918" s="5"/>
    </row>
    <row r="49919">
      <c r="N49919" s="1"/>
      <c r="V49919" s="5"/>
    </row>
    <row r="49920">
      <c r="N49920" s="1"/>
      <c r="V49920" s="5"/>
    </row>
    <row r="49921">
      <c r="N49921" s="1"/>
      <c r="V49921" s="5"/>
    </row>
    <row r="49922">
      <c r="N49922" s="1"/>
      <c r="V49922" s="5"/>
    </row>
    <row r="49923">
      <c r="N49923" s="1"/>
      <c r="V49923" s="5"/>
    </row>
    <row r="49924">
      <c r="N49924" s="1"/>
      <c r="V49924" s="5"/>
    </row>
    <row r="49925">
      <c r="N49925" s="1"/>
      <c r="V49925" s="5"/>
    </row>
    <row r="49926">
      <c r="N49926" s="1"/>
      <c r="V49926" s="5"/>
    </row>
    <row r="49927">
      <c r="N49927" s="1"/>
      <c r="V49927" s="5"/>
    </row>
    <row r="49928">
      <c r="N49928" s="1"/>
      <c r="V49928" s="5"/>
    </row>
    <row r="49929">
      <c r="N49929" s="1"/>
      <c r="V49929" s="5"/>
    </row>
    <row r="49930">
      <c r="N49930" s="1"/>
      <c r="V49930" s="5"/>
    </row>
    <row r="49931">
      <c r="N49931" s="1"/>
      <c r="V49931" s="5"/>
    </row>
    <row r="49932">
      <c r="N49932" s="1"/>
      <c r="V49932" s="5"/>
    </row>
    <row r="49933">
      <c r="N49933" s="1"/>
      <c r="V49933" s="5"/>
    </row>
    <row r="49934">
      <c r="N49934" s="1"/>
      <c r="V49934" s="5"/>
    </row>
    <row r="49935">
      <c r="N49935" s="1"/>
      <c r="V49935" s="5"/>
    </row>
    <row r="49936">
      <c r="N49936" s="1"/>
      <c r="V49936" s="5"/>
    </row>
    <row r="49937">
      <c r="N49937" s="1"/>
      <c r="V49937" s="5"/>
    </row>
    <row r="49938">
      <c r="N49938" s="1"/>
      <c r="V49938" s="5"/>
    </row>
    <row r="49939">
      <c r="N49939" s="1"/>
      <c r="V49939" s="5"/>
    </row>
    <row r="49940">
      <c r="N49940" s="1"/>
      <c r="V49940" s="5"/>
    </row>
    <row r="49941">
      <c r="N49941" s="1"/>
      <c r="V49941" s="5"/>
    </row>
    <row r="49942">
      <c r="N49942" s="1"/>
      <c r="V49942" s="5"/>
    </row>
    <row r="49943">
      <c r="N49943" s="1"/>
      <c r="V49943" s="5"/>
    </row>
    <row r="49944">
      <c r="N49944" s="1"/>
      <c r="V49944" s="5"/>
    </row>
    <row r="49945">
      <c r="N49945" s="1"/>
      <c r="V49945" s="5"/>
    </row>
    <row r="49946">
      <c r="N49946" s="1"/>
      <c r="V49946" s="5"/>
    </row>
    <row r="49947">
      <c r="N49947" s="1"/>
      <c r="V49947" s="5"/>
    </row>
    <row r="49948">
      <c r="N49948" s="1"/>
      <c r="V49948" s="5"/>
    </row>
    <row r="49949">
      <c r="N49949" s="1"/>
      <c r="V49949" s="5"/>
    </row>
    <row r="49950">
      <c r="N49950" s="1"/>
      <c r="V49950" s="5"/>
    </row>
    <row r="49951">
      <c r="N49951" s="1"/>
      <c r="V49951" s="5"/>
    </row>
    <row r="49952">
      <c r="N49952" s="1"/>
      <c r="V49952" s="5"/>
    </row>
    <row r="49953">
      <c r="N49953" s="1"/>
      <c r="V49953" s="5"/>
    </row>
    <row r="49954">
      <c r="N49954" s="1"/>
      <c r="V49954" s="5"/>
    </row>
    <row r="49955">
      <c r="N49955" s="1"/>
      <c r="V49955" s="5"/>
    </row>
    <row r="49956">
      <c r="N49956" s="1"/>
      <c r="V49956" s="5"/>
    </row>
    <row r="49957">
      <c r="N49957" s="1"/>
      <c r="V49957" s="5"/>
    </row>
    <row r="49958">
      <c r="N49958" s="1"/>
      <c r="V49958" s="5"/>
    </row>
    <row r="49959">
      <c r="N49959" s="1"/>
      <c r="V49959" s="5"/>
    </row>
    <row r="49960">
      <c r="N49960" s="1"/>
      <c r="V49960" s="5"/>
    </row>
    <row r="49961">
      <c r="N49961" s="1"/>
      <c r="V49961" s="5"/>
    </row>
    <row r="49962">
      <c r="N49962" s="1"/>
      <c r="V49962" s="5"/>
    </row>
    <row r="49963">
      <c r="N49963" s="1"/>
      <c r="V49963" s="5"/>
    </row>
    <row r="49964">
      <c r="N49964" s="1"/>
      <c r="V49964" s="5"/>
    </row>
    <row r="49965">
      <c r="N49965" s="1"/>
      <c r="V49965" s="5"/>
    </row>
    <row r="49966">
      <c r="N49966" s="1"/>
      <c r="V49966" s="5"/>
    </row>
    <row r="49967">
      <c r="N49967" s="1"/>
      <c r="V49967" s="5"/>
    </row>
    <row r="49968">
      <c r="N49968" s="1"/>
      <c r="V49968" s="5"/>
    </row>
    <row r="49969">
      <c r="N49969" s="1"/>
      <c r="V49969" s="5"/>
    </row>
    <row r="49970">
      <c r="N49970" s="1"/>
      <c r="V49970" s="5"/>
    </row>
    <row r="49971">
      <c r="N49971" s="1"/>
      <c r="V49971" s="5"/>
    </row>
    <row r="49972">
      <c r="N49972" s="1"/>
      <c r="V49972" s="5"/>
    </row>
    <row r="49973">
      <c r="N49973" s="1"/>
      <c r="V49973" s="5"/>
    </row>
    <row r="49974">
      <c r="N49974" s="1"/>
      <c r="V49974" s="5"/>
    </row>
    <row r="49975">
      <c r="N49975" s="1"/>
      <c r="V49975" s="5"/>
    </row>
    <row r="49976">
      <c r="N49976" s="1"/>
      <c r="V49976" s="5"/>
    </row>
    <row r="49977">
      <c r="N49977" s="1"/>
      <c r="V49977" s="5"/>
    </row>
    <row r="49978">
      <c r="N49978" s="1"/>
      <c r="V49978" s="5"/>
    </row>
    <row r="49979">
      <c r="N49979" s="1"/>
      <c r="V49979" s="5"/>
    </row>
    <row r="49980">
      <c r="N49980" s="1"/>
      <c r="V49980" s="5"/>
    </row>
    <row r="49981">
      <c r="N49981" s="1"/>
      <c r="V49981" s="5"/>
    </row>
    <row r="49982">
      <c r="N49982" s="1"/>
      <c r="V49982" s="5"/>
    </row>
    <row r="49983">
      <c r="N49983" s="1"/>
      <c r="V49983" s="5"/>
    </row>
    <row r="49984">
      <c r="N49984" s="1"/>
      <c r="V49984" s="5"/>
    </row>
    <row r="49985">
      <c r="N49985" s="1"/>
      <c r="V49985" s="5"/>
    </row>
    <row r="49986">
      <c r="N49986" s="1"/>
      <c r="V49986" s="5"/>
    </row>
    <row r="49987">
      <c r="N49987" s="1"/>
      <c r="V49987" s="5"/>
    </row>
    <row r="49988">
      <c r="N49988" s="1"/>
      <c r="V49988" s="5"/>
    </row>
    <row r="49989">
      <c r="N49989" s="1"/>
      <c r="V49989" s="5"/>
    </row>
    <row r="49990">
      <c r="N49990" s="1"/>
      <c r="V49990" s="5"/>
    </row>
    <row r="49991">
      <c r="N49991" s="1"/>
      <c r="V49991" s="5"/>
    </row>
    <row r="49992">
      <c r="N49992" s="1"/>
      <c r="V49992" s="5"/>
    </row>
    <row r="49993">
      <c r="N49993" s="1"/>
      <c r="V49993" s="5"/>
    </row>
    <row r="49994">
      <c r="N49994" s="1"/>
      <c r="V49994" s="5"/>
    </row>
    <row r="49995">
      <c r="N49995" s="1"/>
      <c r="V49995" s="5"/>
    </row>
    <row r="49996">
      <c r="N49996" s="1"/>
      <c r="V49996" s="5"/>
    </row>
    <row r="49997">
      <c r="N49997" s="1"/>
      <c r="V49997" s="5"/>
    </row>
    <row r="49998">
      <c r="N49998" s="1"/>
      <c r="V49998" s="5"/>
    </row>
    <row r="49999">
      <c r="N49999" s="1"/>
      <c r="V49999" s="5"/>
    </row>
    <row r="50000">
      <c r="N50000" s="1"/>
      <c r="V50000" s="5"/>
    </row>
    <row r="50001">
      <c r="N50001" s="1"/>
      <c r="V50001" s="5"/>
    </row>
    <row r="50002">
      <c r="N50002" s="1"/>
      <c r="V50002" s="5"/>
    </row>
    <row r="50003">
      <c r="N50003" s="1"/>
      <c r="V50003" s="5"/>
    </row>
    <row r="50004">
      <c r="N50004" s="1"/>
      <c r="V50004" s="5"/>
    </row>
    <row r="50005">
      <c r="N50005" s="1"/>
      <c r="V50005" s="5"/>
    </row>
    <row r="50006">
      <c r="N50006" s="1"/>
      <c r="V50006" s="5"/>
    </row>
    <row r="50007">
      <c r="N50007" s="1"/>
      <c r="V50007" s="5"/>
    </row>
    <row r="50008">
      <c r="N50008" s="1"/>
      <c r="V50008" s="5"/>
    </row>
    <row r="50009">
      <c r="N50009" s="1"/>
      <c r="V50009" s="5"/>
    </row>
    <row r="50010">
      <c r="N50010" s="1"/>
      <c r="V50010" s="5"/>
    </row>
    <row r="50011">
      <c r="N50011" s="1"/>
      <c r="V50011" s="5"/>
    </row>
    <row r="50012">
      <c r="N50012" s="1"/>
      <c r="V50012" s="5"/>
    </row>
    <row r="50013">
      <c r="N50013" s="1"/>
      <c r="V50013" s="5"/>
    </row>
    <row r="50014">
      <c r="N50014" s="1"/>
      <c r="V50014" s="5"/>
    </row>
    <row r="50015">
      <c r="N50015" s="1"/>
      <c r="V50015" s="5"/>
    </row>
    <row r="50016">
      <c r="N50016" s="1"/>
      <c r="V50016" s="5"/>
    </row>
    <row r="50017">
      <c r="N50017" s="1"/>
      <c r="V50017" s="5"/>
    </row>
    <row r="50018">
      <c r="N50018" s="1"/>
      <c r="V50018" s="5"/>
    </row>
    <row r="50019">
      <c r="N50019" s="1"/>
      <c r="V50019" s="5"/>
    </row>
    <row r="50020">
      <c r="N50020" s="1"/>
      <c r="V50020" s="5"/>
    </row>
    <row r="50021">
      <c r="N50021" s="1"/>
      <c r="V50021" s="5"/>
    </row>
    <row r="50022">
      <c r="N50022" s="1"/>
      <c r="V50022" s="5"/>
    </row>
    <row r="50023">
      <c r="N50023" s="1"/>
      <c r="V50023" s="5"/>
    </row>
    <row r="50024">
      <c r="N50024" s="1"/>
      <c r="V50024" s="5"/>
    </row>
    <row r="50025">
      <c r="N50025" s="1"/>
      <c r="V50025" s="5"/>
    </row>
    <row r="50026">
      <c r="N50026" s="1"/>
      <c r="V50026" s="5"/>
    </row>
    <row r="50027">
      <c r="N50027" s="1"/>
      <c r="V50027" s="5"/>
    </row>
    <row r="50028">
      <c r="N50028" s="1"/>
      <c r="V50028" s="5"/>
    </row>
    <row r="50029">
      <c r="N50029" s="1"/>
      <c r="V50029" s="5"/>
    </row>
    <row r="50030">
      <c r="N50030" s="1"/>
      <c r="V50030" s="5"/>
    </row>
    <row r="50031">
      <c r="N50031" s="1"/>
      <c r="V50031" s="5"/>
    </row>
    <row r="50032">
      <c r="N50032" s="1"/>
      <c r="V50032" s="5"/>
    </row>
    <row r="50033">
      <c r="N50033" s="1"/>
      <c r="V50033" s="5"/>
    </row>
    <row r="50034">
      <c r="N50034" s="1"/>
      <c r="V50034" s="5"/>
    </row>
    <row r="50035">
      <c r="N50035" s="1"/>
      <c r="V50035" s="5"/>
    </row>
    <row r="50036">
      <c r="N50036" s="1"/>
      <c r="V50036" s="5"/>
    </row>
    <row r="50037">
      <c r="N50037" s="1"/>
      <c r="V50037" s="5"/>
    </row>
    <row r="50038">
      <c r="N50038" s="1"/>
      <c r="V50038" s="5"/>
    </row>
    <row r="50039">
      <c r="N50039" s="1"/>
      <c r="V50039" s="5"/>
    </row>
    <row r="50040">
      <c r="N50040" s="1"/>
      <c r="V50040" s="5"/>
    </row>
    <row r="50041">
      <c r="N50041" s="1"/>
      <c r="V50041" s="5"/>
    </row>
    <row r="50042">
      <c r="N50042" s="1"/>
      <c r="V50042" s="5"/>
    </row>
    <row r="50043">
      <c r="N50043" s="1"/>
      <c r="V50043" s="5"/>
    </row>
    <row r="50044">
      <c r="N50044" s="1"/>
      <c r="V50044" s="5"/>
    </row>
    <row r="50045">
      <c r="N50045" s="1"/>
      <c r="V50045" s="5"/>
    </row>
    <row r="50046">
      <c r="N50046" s="1"/>
      <c r="V50046" s="5"/>
    </row>
    <row r="50047">
      <c r="N50047" s="1"/>
      <c r="V50047" s="5"/>
    </row>
    <row r="50048">
      <c r="N50048" s="1"/>
      <c r="V50048" s="5"/>
    </row>
    <row r="50049">
      <c r="N50049" s="1"/>
      <c r="V50049" s="5"/>
    </row>
    <row r="50050">
      <c r="N50050" s="1"/>
      <c r="V50050" s="5"/>
    </row>
    <row r="50051">
      <c r="N50051" s="1"/>
      <c r="V50051" s="5"/>
    </row>
    <row r="50052">
      <c r="N50052" s="1"/>
      <c r="V50052" s="5"/>
    </row>
    <row r="50053">
      <c r="N50053" s="1"/>
      <c r="V50053" s="5"/>
    </row>
    <row r="50054">
      <c r="N50054" s="1"/>
      <c r="V50054" s="5"/>
    </row>
    <row r="50055">
      <c r="N50055" s="1"/>
      <c r="V50055" s="5"/>
    </row>
    <row r="50056">
      <c r="N50056" s="1"/>
      <c r="V50056" s="5"/>
    </row>
    <row r="50057">
      <c r="N50057" s="1"/>
      <c r="V50057" s="5"/>
    </row>
    <row r="50058">
      <c r="N50058" s="1"/>
      <c r="V50058" s="5"/>
    </row>
    <row r="50059">
      <c r="N50059" s="1"/>
      <c r="V50059" s="5"/>
    </row>
    <row r="50060">
      <c r="N50060" s="1"/>
      <c r="V50060" s="5"/>
    </row>
    <row r="50061">
      <c r="N50061" s="1"/>
      <c r="V50061" s="5"/>
    </row>
    <row r="50062">
      <c r="N50062" s="1"/>
      <c r="V50062" s="5"/>
    </row>
    <row r="50063">
      <c r="N50063" s="1"/>
      <c r="V50063" s="5"/>
    </row>
    <row r="50064">
      <c r="N50064" s="1"/>
      <c r="V50064" s="5"/>
    </row>
    <row r="50065">
      <c r="N50065" s="1"/>
      <c r="V50065" s="5"/>
    </row>
    <row r="50066">
      <c r="N50066" s="1"/>
      <c r="V50066" s="5"/>
    </row>
    <row r="50067">
      <c r="N50067" s="1"/>
      <c r="V50067" s="5"/>
    </row>
    <row r="50068">
      <c r="N50068" s="1"/>
      <c r="V50068" s="5"/>
    </row>
    <row r="50069">
      <c r="N50069" s="1"/>
      <c r="V50069" s="5"/>
    </row>
    <row r="50070">
      <c r="N50070" s="1"/>
      <c r="V50070" s="5"/>
    </row>
    <row r="50071">
      <c r="N50071" s="1"/>
      <c r="V50071" s="5"/>
    </row>
    <row r="50072">
      <c r="N50072" s="1"/>
      <c r="V50072" s="5"/>
    </row>
    <row r="50073">
      <c r="N50073" s="1"/>
      <c r="V50073" s="5"/>
    </row>
    <row r="50074">
      <c r="N50074" s="1"/>
      <c r="V50074" s="5"/>
    </row>
    <row r="50075">
      <c r="N50075" s="1"/>
      <c r="V50075" s="5"/>
    </row>
    <row r="50076">
      <c r="N50076" s="1"/>
      <c r="V50076" s="5"/>
    </row>
    <row r="50077">
      <c r="N50077" s="1"/>
      <c r="V50077" s="5"/>
    </row>
    <row r="50078">
      <c r="N50078" s="1"/>
      <c r="V50078" s="5"/>
    </row>
    <row r="50079">
      <c r="N50079" s="1"/>
      <c r="V50079" s="5"/>
    </row>
    <row r="50080">
      <c r="N50080" s="1"/>
      <c r="V50080" s="5"/>
    </row>
    <row r="50081">
      <c r="N50081" s="1"/>
      <c r="V50081" s="5"/>
    </row>
    <row r="50082">
      <c r="N50082" s="1"/>
      <c r="V50082" s="5"/>
    </row>
    <row r="50083">
      <c r="N50083" s="1"/>
      <c r="V50083" s="5"/>
    </row>
    <row r="50084">
      <c r="N50084" s="1"/>
      <c r="V50084" s="5"/>
    </row>
    <row r="50085">
      <c r="N50085" s="1"/>
      <c r="V50085" s="5"/>
    </row>
    <row r="50086">
      <c r="N50086" s="1"/>
      <c r="V50086" s="5"/>
    </row>
    <row r="50087">
      <c r="N50087" s="1"/>
      <c r="V50087" s="5"/>
    </row>
    <row r="50088">
      <c r="N50088" s="1"/>
      <c r="V50088" s="5"/>
    </row>
    <row r="50089">
      <c r="N50089" s="1"/>
      <c r="V50089" s="5"/>
    </row>
    <row r="50090">
      <c r="N50090" s="1"/>
      <c r="V50090" s="5"/>
    </row>
    <row r="50091">
      <c r="N50091" s="1"/>
      <c r="V50091" s="5"/>
    </row>
    <row r="50092">
      <c r="N50092" s="1"/>
      <c r="V50092" s="5"/>
    </row>
    <row r="50093">
      <c r="N50093" s="1"/>
      <c r="V50093" s="5"/>
    </row>
    <row r="50094">
      <c r="N50094" s="1"/>
      <c r="V50094" s="5"/>
    </row>
    <row r="50095">
      <c r="N50095" s="1"/>
      <c r="V50095" s="5"/>
    </row>
    <row r="50096">
      <c r="N50096" s="1"/>
      <c r="V50096" s="5"/>
    </row>
    <row r="50097">
      <c r="N50097" s="1"/>
      <c r="V50097" s="5"/>
    </row>
    <row r="50098">
      <c r="N50098" s="1"/>
      <c r="V50098" s="5"/>
    </row>
    <row r="50099">
      <c r="N50099" s="1"/>
      <c r="V50099" s="5"/>
    </row>
    <row r="50100">
      <c r="N50100" s="1"/>
      <c r="V50100" s="5"/>
    </row>
    <row r="50101">
      <c r="N50101" s="1"/>
      <c r="V50101" s="5"/>
    </row>
    <row r="50102">
      <c r="N50102" s="1"/>
      <c r="V50102" s="5"/>
    </row>
    <row r="50103">
      <c r="N50103" s="1"/>
      <c r="V50103" s="5"/>
    </row>
    <row r="50104">
      <c r="N50104" s="1"/>
      <c r="V50104" s="5"/>
    </row>
    <row r="50105">
      <c r="N50105" s="1"/>
      <c r="V50105" s="5"/>
    </row>
    <row r="50106">
      <c r="N50106" s="1"/>
      <c r="V50106" s="5"/>
    </row>
    <row r="50107">
      <c r="N50107" s="1"/>
      <c r="V50107" s="5"/>
    </row>
    <row r="50108">
      <c r="N50108" s="1"/>
      <c r="V50108" s="5"/>
    </row>
    <row r="50109">
      <c r="N50109" s="1"/>
      <c r="V50109" s="5"/>
    </row>
    <row r="50110">
      <c r="N50110" s="1"/>
      <c r="V50110" s="5"/>
    </row>
    <row r="50111">
      <c r="N50111" s="1"/>
      <c r="V50111" s="5"/>
    </row>
    <row r="50112">
      <c r="N50112" s="1"/>
      <c r="V50112" s="5"/>
    </row>
    <row r="50113">
      <c r="N50113" s="1"/>
      <c r="V50113" s="5"/>
    </row>
    <row r="50114">
      <c r="N50114" s="1"/>
      <c r="V50114" s="5"/>
    </row>
    <row r="50115">
      <c r="N50115" s="1"/>
      <c r="V50115" s="5"/>
    </row>
    <row r="50116">
      <c r="N50116" s="1"/>
      <c r="V50116" s="5"/>
    </row>
    <row r="50117">
      <c r="N50117" s="1"/>
      <c r="V50117" s="5"/>
    </row>
    <row r="50118">
      <c r="N50118" s="1"/>
      <c r="V50118" s="5"/>
    </row>
    <row r="50119">
      <c r="N50119" s="1"/>
      <c r="V50119" s="5"/>
    </row>
    <row r="50120">
      <c r="N50120" s="1"/>
      <c r="V50120" s="5"/>
    </row>
    <row r="50121">
      <c r="N50121" s="1"/>
      <c r="V50121" s="5"/>
    </row>
    <row r="50122">
      <c r="N50122" s="1"/>
      <c r="V50122" s="5"/>
    </row>
    <row r="50123">
      <c r="N50123" s="1"/>
      <c r="V50123" s="5"/>
    </row>
    <row r="50124">
      <c r="N50124" s="1"/>
      <c r="V50124" s="5"/>
    </row>
    <row r="50125">
      <c r="N50125" s="1"/>
      <c r="V50125" s="5"/>
    </row>
    <row r="50126">
      <c r="N50126" s="1"/>
      <c r="V50126" s="5"/>
    </row>
    <row r="50127">
      <c r="N50127" s="1"/>
      <c r="V50127" s="5"/>
    </row>
    <row r="50128">
      <c r="N50128" s="1"/>
      <c r="V50128" s="5"/>
    </row>
    <row r="50129">
      <c r="N50129" s="1"/>
      <c r="V50129" s="5"/>
    </row>
    <row r="50130">
      <c r="N50130" s="1"/>
      <c r="V50130" s="5"/>
    </row>
    <row r="50131">
      <c r="N50131" s="1"/>
      <c r="V50131" s="5"/>
    </row>
    <row r="50132">
      <c r="N50132" s="1"/>
      <c r="V50132" s="5"/>
    </row>
    <row r="50133">
      <c r="N50133" s="1"/>
      <c r="V50133" s="5"/>
    </row>
    <row r="50134">
      <c r="N50134" s="1"/>
      <c r="V50134" s="5"/>
    </row>
    <row r="50135">
      <c r="N50135" s="1"/>
      <c r="V50135" s="5"/>
    </row>
    <row r="50136">
      <c r="N50136" s="1"/>
      <c r="V50136" s="5"/>
    </row>
    <row r="50137">
      <c r="N50137" s="1"/>
      <c r="V50137" s="5"/>
    </row>
    <row r="50138">
      <c r="N50138" s="1"/>
      <c r="V50138" s="5"/>
    </row>
    <row r="50139">
      <c r="N50139" s="1"/>
      <c r="V50139" s="5"/>
    </row>
    <row r="50140">
      <c r="N50140" s="1"/>
      <c r="V50140" s="5"/>
    </row>
    <row r="50141">
      <c r="N50141" s="1"/>
      <c r="V50141" s="5"/>
    </row>
    <row r="50142">
      <c r="N50142" s="1"/>
      <c r="V50142" s="5"/>
    </row>
    <row r="50143">
      <c r="N50143" s="1"/>
      <c r="V50143" s="5"/>
    </row>
    <row r="50144">
      <c r="N50144" s="1"/>
      <c r="V50144" s="5"/>
    </row>
    <row r="50145">
      <c r="N50145" s="1"/>
      <c r="V50145" s="5"/>
    </row>
    <row r="50146">
      <c r="N50146" s="1"/>
      <c r="V50146" s="5"/>
    </row>
    <row r="50147">
      <c r="N50147" s="1"/>
      <c r="V50147" s="5"/>
    </row>
    <row r="50148">
      <c r="N50148" s="1"/>
      <c r="V50148" s="5"/>
    </row>
    <row r="50149">
      <c r="N50149" s="1"/>
      <c r="V50149" s="5"/>
    </row>
    <row r="50150">
      <c r="N50150" s="1"/>
      <c r="V50150" s="5"/>
    </row>
    <row r="50151">
      <c r="N50151" s="1"/>
      <c r="V50151" s="5"/>
    </row>
    <row r="50152">
      <c r="N50152" s="1"/>
      <c r="V50152" s="5"/>
    </row>
    <row r="50153">
      <c r="N50153" s="1"/>
      <c r="V50153" s="5"/>
    </row>
    <row r="50154">
      <c r="N50154" s="1"/>
      <c r="V50154" s="5"/>
    </row>
    <row r="50155">
      <c r="N50155" s="1"/>
      <c r="V50155" s="5"/>
    </row>
    <row r="50156">
      <c r="N50156" s="1"/>
      <c r="V50156" s="5"/>
    </row>
    <row r="50157">
      <c r="N50157" s="1"/>
      <c r="V50157" s="5"/>
    </row>
    <row r="50158">
      <c r="N50158" s="1"/>
      <c r="V50158" s="5"/>
    </row>
    <row r="50159">
      <c r="N50159" s="1"/>
      <c r="V50159" s="5"/>
    </row>
    <row r="50160">
      <c r="N50160" s="1"/>
      <c r="V50160" s="5"/>
    </row>
    <row r="50161">
      <c r="N50161" s="1"/>
      <c r="V50161" s="5"/>
    </row>
    <row r="50162">
      <c r="N50162" s="1"/>
      <c r="V50162" s="5"/>
    </row>
    <row r="50163">
      <c r="N50163" s="1"/>
      <c r="V50163" s="5"/>
    </row>
    <row r="50164">
      <c r="N50164" s="1"/>
      <c r="V50164" s="5"/>
    </row>
    <row r="50165">
      <c r="N50165" s="1"/>
      <c r="V50165" s="5"/>
    </row>
    <row r="50166">
      <c r="N50166" s="1"/>
      <c r="V50166" s="5"/>
    </row>
    <row r="50167">
      <c r="N50167" s="1"/>
      <c r="V50167" s="5"/>
    </row>
    <row r="50168">
      <c r="N50168" s="1"/>
      <c r="V50168" s="5"/>
    </row>
    <row r="50169">
      <c r="N50169" s="1"/>
      <c r="V50169" s="5"/>
    </row>
    <row r="50170">
      <c r="N50170" s="1"/>
      <c r="V50170" s="5"/>
    </row>
    <row r="50171">
      <c r="N50171" s="1"/>
      <c r="V50171" s="5"/>
    </row>
    <row r="50172">
      <c r="N50172" s="1"/>
      <c r="V50172" s="5"/>
    </row>
    <row r="50173">
      <c r="N50173" s="1"/>
      <c r="V50173" s="5"/>
    </row>
    <row r="50174">
      <c r="N50174" s="1"/>
      <c r="V50174" s="5"/>
    </row>
    <row r="50175">
      <c r="N50175" s="1"/>
      <c r="V50175" s="5"/>
    </row>
    <row r="50176">
      <c r="N50176" s="1"/>
      <c r="V50176" s="5"/>
    </row>
    <row r="50177">
      <c r="N50177" s="1"/>
      <c r="V50177" s="5"/>
    </row>
    <row r="50178">
      <c r="N50178" s="1"/>
      <c r="V50178" s="5"/>
    </row>
    <row r="50179">
      <c r="N50179" s="1"/>
      <c r="V50179" s="5"/>
    </row>
    <row r="50180">
      <c r="N50180" s="1"/>
      <c r="V50180" s="5"/>
    </row>
    <row r="50181">
      <c r="N50181" s="1"/>
      <c r="V50181" s="5"/>
    </row>
    <row r="50182">
      <c r="N50182" s="1"/>
      <c r="V50182" s="5"/>
    </row>
    <row r="50183">
      <c r="N50183" s="1"/>
      <c r="V50183" s="5"/>
    </row>
    <row r="50184">
      <c r="N50184" s="1"/>
      <c r="V50184" s="5"/>
    </row>
    <row r="50185">
      <c r="N50185" s="1"/>
      <c r="V50185" s="5"/>
    </row>
    <row r="50186">
      <c r="N50186" s="1"/>
      <c r="V50186" s="5"/>
    </row>
    <row r="50187">
      <c r="N50187" s="1"/>
      <c r="V50187" s="5"/>
    </row>
    <row r="50188">
      <c r="N50188" s="1"/>
      <c r="V50188" s="5"/>
    </row>
    <row r="50189">
      <c r="N50189" s="1"/>
      <c r="V50189" s="5"/>
    </row>
    <row r="50190">
      <c r="N50190" s="1"/>
      <c r="V50190" s="5"/>
    </row>
    <row r="50191">
      <c r="N50191" s="1"/>
      <c r="V50191" s="5"/>
    </row>
    <row r="50192">
      <c r="N50192" s="1"/>
      <c r="V50192" s="5"/>
    </row>
    <row r="50193">
      <c r="N50193" s="1"/>
      <c r="V50193" s="5"/>
    </row>
    <row r="50194">
      <c r="N50194" s="1"/>
      <c r="V50194" s="5"/>
    </row>
    <row r="50195">
      <c r="N50195" s="1"/>
      <c r="V50195" s="5"/>
    </row>
    <row r="50196">
      <c r="N50196" s="1"/>
      <c r="V50196" s="5"/>
    </row>
    <row r="50197">
      <c r="N50197" s="1"/>
      <c r="V50197" s="5"/>
    </row>
    <row r="50198">
      <c r="N50198" s="1"/>
      <c r="V50198" s="5"/>
    </row>
    <row r="50199">
      <c r="N50199" s="1"/>
      <c r="V50199" s="5"/>
    </row>
    <row r="50200">
      <c r="N50200" s="1"/>
      <c r="V50200" s="5"/>
    </row>
    <row r="50201">
      <c r="N50201" s="1"/>
      <c r="V50201" s="5"/>
    </row>
    <row r="50202">
      <c r="N50202" s="1"/>
      <c r="V50202" s="5"/>
    </row>
    <row r="50203">
      <c r="N50203" s="1"/>
      <c r="V50203" s="5"/>
    </row>
    <row r="50204">
      <c r="N50204" s="1"/>
      <c r="V50204" s="5"/>
    </row>
    <row r="50205">
      <c r="N50205" s="1"/>
      <c r="V50205" s="5"/>
    </row>
    <row r="50206">
      <c r="N50206" s="1"/>
      <c r="V50206" s="5"/>
    </row>
    <row r="50207">
      <c r="N50207" s="1"/>
      <c r="V50207" s="5"/>
    </row>
    <row r="50208">
      <c r="N50208" s="1"/>
      <c r="V50208" s="5"/>
    </row>
    <row r="50209">
      <c r="N50209" s="1"/>
      <c r="V50209" s="5"/>
    </row>
    <row r="50210">
      <c r="N50210" s="1"/>
      <c r="V50210" s="5"/>
    </row>
    <row r="50211">
      <c r="N50211" s="1"/>
      <c r="V50211" s="5"/>
    </row>
    <row r="50212">
      <c r="N50212" s="1"/>
      <c r="V50212" s="5"/>
    </row>
    <row r="50213">
      <c r="N50213" s="1"/>
      <c r="V50213" s="5"/>
    </row>
    <row r="50214">
      <c r="N50214" s="1"/>
      <c r="V50214" s="5"/>
    </row>
    <row r="50215">
      <c r="N50215" s="1"/>
      <c r="V50215" s="5"/>
    </row>
    <row r="50216">
      <c r="N50216" s="1"/>
      <c r="V50216" s="5"/>
    </row>
    <row r="50217">
      <c r="N50217" s="1"/>
      <c r="V50217" s="5"/>
    </row>
    <row r="50218">
      <c r="N50218" s="1"/>
      <c r="V50218" s="5"/>
    </row>
    <row r="50219">
      <c r="N50219" s="1"/>
      <c r="V50219" s="5"/>
    </row>
    <row r="50220">
      <c r="N50220" s="1"/>
      <c r="V50220" s="5"/>
    </row>
    <row r="50221">
      <c r="N50221" s="1"/>
      <c r="V50221" s="5"/>
    </row>
    <row r="50222">
      <c r="N50222" s="1"/>
      <c r="V50222" s="5"/>
    </row>
    <row r="50223">
      <c r="N50223" s="1"/>
      <c r="V50223" s="5"/>
    </row>
    <row r="50224">
      <c r="N50224" s="1"/>
      <c r="V50224" s="5"/>
    </row>
    <row r="50225">
      <c r="N50225" s="1"/>
      <c r="V50225" s="5"/>
    </row>
    <row r="50226">
      <c r="N50226" s="1"/>
      <c r="V50226" s="5"/>
    </row>
    <row r="50227">
      <c r="N50227" s="1"/>
      <c r="V50227" s="5"/>
    </row>
    <row r="50228">
      <c r="N50228" s="1"/>
      <c r="V50228" s="5"/>
    </row>
    <row r="50229">
      <c r="N50229" s="1"/>
      <c r="V50229" s="5"/>
    </row>
    <row r="50230">
      <c r="N50230" s="1"/>
      <c r="V50230" s="5"/>
    </row>
    <row r="50231">
      <c r="N50231" s="1"/>
      <c r="V50231" s="5"/>
    </row>
    <row r="50232">
      <c r="N50232" s="1"/>
      <c r="V50232" s="5"/>
    </row>
    <row r="50233">
      <c r="N50233" s="1"/>
      <c r="V50233" s="5"/>
    </row>
    <row r="50234">
      <c r="N50234" s="1"/>
      <c r="V50234" s="5"/>
    </row>
    <row r="50235">
      <c r="N50235" s="1"/>
      <c r="V50235" s="5"/>
    </row>
    <row r="50236">
      <c r="N50236" s="1"/>
      <c r="V50236" s="5"/>
    </row>
    <row r="50237">
      <c r="N50237" s="1"/>
      <c r="V50237" s="5"/>
    </row>
    <row r="50238">
      <c r="N50238" s="1"/>
      <c r="V50238" s="5"/>
    </row>
    <row r="50239">
      <c r="N50239" s="1"/>
      <c r="V50239" s="5"/>
    </row>
    <row r="50240">
      <c r="N50240" s="1"/>
      <c r="V50240" s="5"/>
    </row>
    <row r="50241">
      <c r="N50241" s="1"/>
      <c r="V50241" s="5"/>
    </row>
    <row r="50242">
      <c r="N50242" s="1"/>
      <c r="V50242" s="5"/>
    </row>
    <row r="50243">
      <c r="N50243" s="1"/>
      <c r="V50243" s="5"/>
    </row>
    <row r="50244">
      <c r="N50244" s="1"/>
      <c r="V50244" s="5"/>
    </row>
    <row r="50245">
      <c r="N50245" s="1"/>
      <c r="V50245" s="5"/>
    </row>
    <row r="50246">
      <c r="N50246" s="1"/>
      <c r="V50246" s="5"/>
    </row>
    <row r="50247">
      <c r="N50247" s="1"/>
      <c r="V50247" s="5"/>
    </row>
    <row r="50248">
      <c r="N50248" s="1"/>
      <c r="V50248" s="5"/>
    </row>
    <row r="50249">
      <c r="N50249" s="1"/>
      <c r="V50249" s="5"/>
    </row>
    <row r="50250">
      <c r="N50250" s="1"/>
      <c r="V50250" s="5"/>
    </row>
    <row r="50251">
      <c r="N50251" s="1"/>
      <c r="V50251" s="5"/>
    </row>
    <row r="50252">
      <c r="N50252" s="1"/>
      <c r="V50252" s="5"/>
    </row>
    <row r="50253">
      <c r="N50253" s="1"/>
      <c r="V50253" s="5"/>
    </row>
    <row r="50254">
      <c r="N50254" s="1"/>
      <c r="V50254" s="5"/>
    </row>
    <row r="50255">
      <c r="N50255" s="1"/>
      <c r="V50255" s="5"/>
    </row>
    <row r="50256">
      <c r="N50256" s="1"/>
      <c r="V50256" s="5"/>
    </row>
    <row r="50257">
      <c r="N50257" s="1"/>
      <c r="V50257" s="5"/>
    </row>
    <row r="50258">
      <c r="N50258" s="1"/>
      <c r="V50258" s="5"/>
    </row>
    <row r="50259">
      <c r="N50259" s="1"/>
      <c r="V50259" s="5"/>
    </row>
    <row r="50260">
      <c r="N50260" s="1"/>
      <c r="V50260" s="5"/>
    </row>
    <row r="50261">
      <c r="N50261" s="1"/>
      <c r="V50261" s="5"/>
    </row>
    <row r="50262">
      <c r="N50262" s="1"/>
      <c r="V50262" s="5"/>
    </row>
    <row r="50263">
      <c r="N50263" s="1"/>
      <c r="V50263" s="5"/>
    </row>
    <row r="50264">
      <c r="N50264" s="1"/>
      <c r="V50264" s="5"/>
    </row>
    <row r="50265">
      <c r="N50265" s="1"/>
      <c r="V50265" s="5"/>
    </row>
    <row r="50266">
      <c r="N50266" s="1"/>
      <c r="V50266" s="5"/>
    </row>
    <row r="50267">
      <c r="N50267" s="1"/>
      <c r="V50267" s="5"/>
    </row>
    <row r="50268">
      <c r="N50268" s="1"/>
      <c r="V50268" s="5"/>
    </row>
    <row r="50269">
      <c r="N50269" s="1"/>
      <c r="V50269" s="5"/>
    </row>
    <row r="50270">
      <c r="N50270" s="1"/>
      <c r="V50270" s="5"/>
    </row>
    <row r="50271">
      <c r="N50271" s="1"/>
      <c r="V50271" s="5"/>
    </row>
    <row r="50272">
      <c r="N50272" s="1"/>
      <c r="V50272" s="5"/>
    </row>
    <row r="50273">
      <c r="N50273" s="1"/>
      <c r="V50273" s="5"/>
    </row>
    <row r="50274">
      <c r="N50274" s="1"/>
      <c r="V50274" s="5"/>
    </row>
    <row r="50275">
      <c r="N50275" s="1"/>
      <c r="V50275" s="5"/>
    </row>
    <row r="50276">
      <c r="N50276" s="1"/>
      <c r="V50276" s="5"/>
    </row>
    <row r="50277">
      <c r="N50277" s="1"/>
      <c r="V50277" s="5"/>
    </row>
    <row r="50278">
      <c r="N50278" s="1"/>
      <c r="V50278" s="5"/>
    </row>
    <row r="50279">
      <c r="N50279" s="1"/>
      <c r="V50279" s="5"/>
    </row>
    <row r="50280">
      <c r="N50280" s="1"/>
      <c r="V50280" s="5"/>
    </row>
    <row r="50281">
      <c r="N50281" s="1"/>
      <c r="V50281" s="5"/>
    </row>
    <row r="50282">
      <c r="N50282" s="1"/>
      <c r="V50282" s="5"/>
    </row>
    <row r="50283">
      <c r="N50283" s="1"/>
      <c r="V50283" s="5"/>
    </row>
    <row r="50284">
      <c r="N50284" s="1"/>
      <c r="V50284" s="5"/>
    </row>
    <row r="50285">
      <c r="N50285" s="1"/>
      <c r="V50285" s="5"/>
    </row>
    <row r="50286">
      <c r="N50286" s="1"/>
      <c r="V50286" s="5"/>
    </row>
    <row r="50287">
      <c r="N50287" s="1"/>
      <c r="V50287" s="5"/>
    </row>
    <row r="50288">
      <c r="N50288" s="1"/>
      <c r="V50288" s="5"/>
    </row>
    <row r="50289">
      <c r="N50289" s="1"/>
      <c r="V50289" s="5"/>
    </row>
    <row r="50290">
      <c r="N50290" s="1"/>
      <c r="V50290" s="5"/>
    </row>
    <row r="50291">
      <c r="N50291" s="1"/>
      <c r="V50291" s="5"/>
    </row>
    <row r="50292">
      <c r="N50292" s="1"/>
      <c r="V50292" s="5"/>
    </row>
    <row r="50293">
      <c r="N50293" s="1"/>
      <c r="V50293" s="5"/>
    </row>
    <row r="50294">
      <c r="N50294" s="1"/>
      <c r="V50294" s="5"/>
    </row>
    <row r="50295">
      <c r="N50295" s="1"/>
      <c r="V50295" s="5"/>
    </row>
    <row r="50296">
      <c r="N50296" s="1"/>
      <c r="V50296" s="5"/>
    </row>
    <row r="50297">
      <c r="N50297" s="1"/>
      <c r="V50297" s="5"/>
    </row>
    <row r="50298">
      <c r="N50298" s="1"/>
      <c r="V50298" s="5"/>
    </row>
    <row r="50299">
      <c r="N50299" s="1"/>
      <c r="V50299" s="5"/>
    </row>
    <row r="50300">
      <c r="N50300" s="1"/>
      <c r="V50300" s="5"/>
    </row>
    <row r="50301">
      <c r="N50301" s="1"/>
      <c r="V50301" s="5"/>
    </row>
    <row r="50302">
      <c r="N50302" s="1"/>
      <c r="V50302" s="5"/>
    </row>
    <row r="50303">
      <c r="N50303" s="1"/>
      <c r="V50303" s="5"/>
    </row>
    <row r="50304">
      <c r="N50304" s="1"/>
      <c r="V50304" s="5"/>
    </row>
    <row r="50305">
      <c r="N50305" s="1"/>
      <c r="V50305" s="5"/>
    </row>
    <row r="50306">
      <c r="N50306" s="1"/>
      <c r="V50306" s="5"/>
    </row>
    <row r="50307">
      <c r="N50307" s="1"/>
      <c r="V50307" s="5"/>
    </row>
    <row r="50308">
      <c r="N50308" s="1"/>
      <c r="V50308" s="5"/>
    </row>
    <row r="50309">
      <c r="N50309" s="1"/>
      <c r="V50309" s="5"/>
    </row>
    <row r="50310">
      <c r="N50310" s="1"/>
      <c r="V50310" s="5"/>
    </row>
    <row r="50311">
      <c r="N50311" s="1"/>
      <c r="V50311" s="5"/>
    </row>
    <row r="50312">
      <c r="N50312" s="1"/>
      <c r="V50312" s="5"/>
    </row>
    <row r="50313">
      <c r="N50313" s="1"/>
      <c r="V50313" s="5"/>
    </row>
    <row r="50314">
      <c r="N50314" s="1"/>
      <c r="V50314" s="5"/>
    </row>
    <row r="50315">
      <c r="N50315" s="1"/>
      <c r="V50315" s="5"/>
    </row>
    <row r="50316">
      <c r="N50316" s="1"/>
      <c r="V50316" s="5"/>
    </row>
    <row r="50317">
      <c r="N50317" s="1"/>
      <c r="V50317" s="5"/>
    </row>
    <row r="50318">
      <c r="N50318" s="1"/>
      <c r="V50318" s="5"/>
    </row>
    <row r="50319">
      <c r="N50319" s="1"/>
      <c r="V50319" s="5"/>
    </row>
    <row r="50320">
      <c r="N50320" s="1"/>
      <c r="V50320" s="5"/>
    </row>
    <row r="50321">
      <c r="N50321" s="1"/>
      <c r="V50321" s="5"/>
    </row>
    <row r="50322">
      <c r="N50322" s="1"/>
      <c r="V50322" s="5"/>
    </row>
    <row r="50323">
      <c r="N50323" s="1"/>
      <c r="V50323" s="5"/>
    </row>
    <row r="50324">
      <c r="N50324" s="1"/>
      <c r="V50324" s="5"/>
    </row>
    <row r="50325">
      <c r="N50325" s="1"/>
      <c r="V50325" s="5"/>
    </row>
    <row r="50326">
      <c r="N50326" s="1"/>
      <c r="V50326" s="5"/>
    </row>
    <row r="50327">
      <c r="N50327" s="1"/>
      <c r="V50327" s="5"/>
    </row>
    <row r="50328">
      <c r="N50328" s="1"/>
      <c r="V50328" s="5"/>
    </row>
    <row r="50329">
      <c r="N50329" s="1"/>
      <c r="V50329" s="5"/>
    </row>
    <row r="50330">
      <c r="N50330" s="1"/>
      <c r="V50330" s="5"/>
    </row>
    <row r="50331">
      <c r="N50331" s="1"/>
      <c r="V50331" s="5"/>
    </row>
    <row r="50332">
      <c r="N50332" s="1"/>
      <c r="V50332" s="5"/>
    </row>
    <row r="50333">
      <c r="N50333" s="1"/>
      <c r="V50333" s="5"/>
    </row>
    <row r="50334">
      <c r="N50334" s="1"/>
      <c r="V50334" s="5"/>
    </row>
    <row r="50335">
      <c r="N50335" s="1"/>
      <c r="V50335" s="5"/>
    </row>
    <row r="50336">
      <c r="N50336" s="1"/>
      <c r="V50336" s="5"/>
    </row>
    <row r="50337">
      <c r="N50337" s="1"/>
      <c r="V50337" s="5"/>
    </row>
    <row r="50338">
      <c r="N50338" s="1"/>
      <c r="V50338" s="5"/>
    </row>
    <row r="50339">
      <c r="N50339" s="1"/>
      <c r="V50339" s="5"/>
    </row>
    <row r="50340">
      <c r="N50340" s="1"/>
      <c r="V50340" s="5"/>
    </row>
    <row r="50341">
      <c r="N50341" s="1"/>
      <c r="V50341" s="5"/>
    </row>
    <row r="50342">
      <c r="N50342" s="1"/>
      <c r="V50342" s="5"/>
    </row>
    <row r="50343">
      <c r="N50343" s="1"/>
      <c r="V50343" s="5"/>
    </row>
    <row r="50344">
      <c r="N50344" s="1"/>
      <c r="V50344" s="5"/>
    </row>
    <row r="50345">
      <c r="N50345" s="1"/>
      <c r="V50345" s="5"/>
    </row>
    <row r="50346">
      <c r="N50346" s="1"/>
      <c r="V50346" s="5"/>
    </row>
    <row r="50347">
      <c r="N50347" s="1"/>
      <c r="V50347" s="5"/>
    </row>
    <row r="50348">
      <c r="N50348" s="1"/>
      <c r="V50348" s="5"/>
    </row>
    <row r="50349">
      <c r="N50349" s="1"/>
      <c r="V50349" s="5"/>
    </row>
    <row r="50350">
      <c r="N50350" s="1"/>
      <c r="V50350" s="5"/>
    </row>
    <row r="50351">
      <c r="N50351" s="1"/>
      <c r="V50351" s="5"/>
    </row>
    <row r="50352">
      <c r="N50352" s="1"/>
      <c r="V50352" s="5"/>
    </row>
    <row r="50353">
      <c r="N50353" s="1"/>
      <c r="V50353" s="5"/>
    </row>
    <row r="50354">
      <c r="N50354" s="1"/>
      <c r="V50354" s="5"/>
    </row>
    <row r="50355">
      <c r="N50355" s="1"/>
      <c r="V50355" s="5"/>
    </row>
    <row r="50356">
      <c r="N50356" s="1"/>
      <c r="V50356" s="5"/>
    </row>
    <row r="50357">
      <c r="N50357" s="1"/>
      <c r="V50357" s="5"/>
    </row>
    <row r="50358">
      <c r="N50358" s="1"/>
      <c r="V50358" s="5"/>
    </row>
    <row r="50359">
      <c r="N50359" s="1"/>
      <c r="V50359" s="5"/>
    </row>
    <row r="50360">
      <c r="N50360" s="1"/>
      <c r="V50360" s="5"/>
    </row>
    <row r="50361">
      <c r="N50361" s="1"/>
      <c r="V50361" s="5"/>
    </row>
    <row r="50362">
      <c r="N50362" s="1"/>
      <c r="V50362" s="5"/>
    </row>
    <row r="50363">
      <c r="N50363" s="1"/>
      <c r="V50363" s="5"/>
    </row>
    <row r="50364">
      <c r="N50364" s="1"/>
      <c r="V50364" s="5"/>
    </row>
    <row r="50365">
      <c r="N50365" s="1"/>
      <c r="V50365" s="5"/>
    </row>
    <row r="50366">
      <c r="N50366" s="1"/>
      <c r="V50366" s="5"/>
    </row>
    <row r="50367">
      <c r="N50367" s="1"/>
      <c r="V50367" s="5"/>
    </row>
    <row r="50368">
      <c r="N50368" s="1"/>
      <c r="V50368" s="5"/>
    </row>
    <row r="50369">
      <c r="N50369" s="1"/>
      <c r="V50369" s="5"/>
    </row>
    <row r="50370">
      <c r="N50370" s="1"/>
      <c r="V50370" s="5"/>
    </row>
    <row r="50371">
      <c r="N50371" s="1"/>
      <c r="V50371" s="5"/>
    </row>
    <row r="50372">
      <c r="N50372" s="1"/>
      <c r="V50372" s="5"/>
    </row>
    <row r="50373">
      <c r="N50373" s="1"/>
      <c r="V50373" s="5"/>
    </row>
    <row r="50374">
      <c r="N50374" s="1"/>
      <c r="V50374" s="5"/>
    </row>
    <row r="50375">
      <c r="N50375" s="1"/>
      <c r="V50375" s="5"/>
    </row>
    <row r="50376">
      <c r="N50376" s="1"/>
      <c r="V50376" s="5"/>
    </row>
    <row r="50377">
      <c r="N50377" s="1"/>
      <c r="V50377" s="5"/>
    </row>
    <row r="50378">
      <c r="N50378" s="1"/>
      <c r="V50378" s="5"/>
    </row>
    <row r="50379">
      <c r="N50379" s="1"/>
      <c r="V50379" s="5"/>
    </row>
    <row r="50380">
      <c r="N50380" s="1"/>
      <c r="V50380" s="5"/>
    </row>
    <row r="50381">
      <c r="N50381" s="1"/>
      <c r="V50381" s="5"/>
    </row>
    <row r="50382">
      <c r="N50382" s="1"/>
      <c r="V50382" s="5"/>
    </row>
    <row r="50383">
      <c r="N50383" s="1"/>
      <c r="V50383" s="5"/>
    </row>
    <row r="50384">
      <c r="N50384" s="1"/>
      <c r="V50384" s="5"/>
    </row>
    <row r="50385">
      <c r="N50385" s="1"/>
      <c r="V50385" s="5"/>
    </row>
    <row r="50386">
      <c r="N50386" s="1"/>
      <c r="V50386" s="5"/>
    </row>
    <row r="50387">
      <c r="N50387" s="1"/>
      <c r="V50387" s="5"/>
    </row>
    <row r="50388">
      <c r="N50388" s="1"/>
      <c r="V50388" s="5"/>
    </row>
    <row r="50389">
      <c r="N50389" s="1"/>
      <c r="V50389" s="5"/>
    </row>
    <row r="50390">
      <c r="N50390" s="1"/>
      <c r="V50390" s="5"/>
    </row>
    <row r="50391">
      <c r="N50391" s="1"/>
      <c r="V50391" s="5"/>
    </row>
    <row r="50392">
      <c r="N50392" s="1"/>
      <c r="V50392" s="5"/>
    </row>
    <row r="50393">
      <c r="N50393" s="1"/>
      <c r="V50393" s="5"/>
    </row>
    <row r="50394">
      <c r="N50394" s="1"/>
      <c r="V50394" s="5"/>
    </row>
    <row r="50395">
      <c r="N50395" s="1"/>
      <c r="V50395" s="5"/>
    </row>
    <row r="50396">
      <c r="N50396" s="1"/>
      <c r="V50396" s="5"/>
    </row>
    <row r="50397">
      <c r="N50397" s="1"/>
      <c r="V50397" s="5"/>
    </row>
    <row r="50398">
      <c r="N50398" s="1"/>
      <c r="V50398" s="5"/>
    </row>
    <row r="50399">
      <c r="N50399" s="1"/>
      <c r="V50399" s="5"/>
    </row>
    <row r="50400">
      <c r="N50400" s="1"/>
      <c r="V50400" s="5"/>
    </row>
    <row r="50401">
      <c r="N50401" s="1"/>
      <c r="V50401" s="5"/>
    </row>
    <row r="50402">
      <c r="N50402" s="1"/>
      <c r="V50402" s="5"/>
    </row>
    <row r="50403">
      <c r="N50403" s="1"/>
      <c r="V50403" s="5"/>
    </row>
    <row r="50404">
      <c r="N50404" s="1"/>
      <c r="V50404" s="5"/>
    </row>
    <row r="50405">
      <c r="N50405" s="1"/>
      <c r="V50405" s="5"/>
    </row>
    <row r="50406">
      <c r="N50406" s="1"/>
      <c r="V50406" s="5"/>
    </row>
    <row r="50407">
      <c r="N50407" s="1"/>
      <c r="V50407" s="5"/>
    </row>
    <row r="50408">
      <c r="N50408" s="1"/>
      <c r="V50408" s="5"/>
    </row>
    <row r="50409">
      <c r="N50409" s="1"/>
      <c r="V50409" s="5"/>
    </row>
    <row r="50410">
      <c r="N50410" s="1"/>
      <c r="V50410" s="5"/>
    </row>
    <row r="50411">
      <c r="N50411" s="1"/>
      <c r="V50411" s="5"/>
    </row>
    <row r="50412">
      <c r="N50412" s="1"/>
      <c r="V50412" s="5"/>
    </row>
    <row r="50413">
      <c r="N50413" s="1"/>
      <c r="V50413" s="5"/>
    </row>
    <row r="50414">
      <c r="N50414" s="1"/>
      <c r="V50414" s="5"/>
    </row>
    <row r="50415">
      <c r="N50415" s="1"/>
      <c r="V50415" s="5"/>
    </row>
    <row r="50416">
      <c r="N50416" s="1"/>
      <c r="V50416" s="5"/>
    </row>
    <row r="50417">
      <c r="N50417" s="1"/>
      <c r="V50417" s="5"/>
    </row>
    <row r="50418">
      <c r="N50418" s="1"/>
      <c r="V50418" s="5"/>
    </row>
    <row r="50419">
      <c r="N50419" s="1"/>
      <c r="V50419" s="5"/>
    </row>
    <row r="50420">
      <c r="N50420" s="1"/>
      <c r="V50420" s="5"/>
    </row>
    <row r="50421">
      <c r="N50421" s="1"/>
      <c r="V50421" s="5"/>
    </row>
    <row r="50422">
      <c r="N50422" s="1"/>
      <c r="V50422" s="5"/>
    </row>
    <row r="50423">
      <c r="N50423" s="1"/>
      <c r="V50423" s="5"/>
    </row>
    <row r="50424">
      <c r="N50424" s="1"/>
      <c r="V50424" s="5"/>
    </row>
    <row r="50425">
      <c r="N50425" s="1"/>
      <c r="V50425" s="5"/>
    </row>
    <row r="50426">
      <c r="N50426" s="1"/>
      <c r="V50426" s="5"/>
    </row>
    <row r="50427">
      <c r="N50427" s="1"/>
      <c r="V50427" s="5"/>
    </row>
    <row r="50428">
      <c r="N50428" s="1"/>
      <c r="V50428" s="5"/>
    </row>
    <row r="50429">
      <c r="N50429" s="1"/>
      <c r="V50429" s="5"/>
    </row>
    <row r="50430">
      <c r="N50430" s="1"/>
      <c r="V50430" s="5"/>
    </row>
    <row r="50431">
      <c r="N50431" s="1"/>
      <c r="V50431" s="5"/>
    </row>
    <row r="50432">
      <c r="N50432" s="1"/>
      <c r="V50432" s="5"/>
    </row>
    <row r="50433">
      <c r="N50433" s="1"/>
      <c r="V50433" s="5"/>
    </row>
    <row r="50434">
      <c r="N50434" s="1"/>
      <c r="V50434" s="5"/>
    </row>
    <row r="50435">
      <c r="N50435" s="1"/>
      <c r="V50435" s="5"/>
    </row>
    <row r="50436">
      <c r="N50436" s="1"/>
      <c r="V50436" s="5"/>
    </row>
    <row r="50437">
      <c r="N50437" s="1"/>
      <c r="V50437" s="5"/>
    </row>
    <row r="50438">
      <c r="N50438" s="1"/>
      <c r="V50438" s="5"/>
    </row>
    <row r="50439">
      <c r="N50439" s="1"/>
      <c r="V50439" s="5"/>
    </row>
    <row r="50440">
      <c r="N50440" s="1"/>
      <c r="V50440" s="5"/>
    </row>
    <row r="50441">
      <c r="N50441" s="1"/>
      <c r="V50441" s="5"/>
    </row>
    <row r="50442">
      <c r="N50442" s="1"/>
      <c r="V50442" s="5"/>
    </row>
    <row r="50443">
      <c r="N50443" s="1"/>
      <c r="V50443" s="5"/>
    </row>
    <row r="50444">
      <c r="N50444" s="1"/>
      <c r="V50444" s="5"/>
    </row>
    <row r="50445">
      <c r="N50445" s="1"/>
      <c r="V50445" s="5"/>
    </row>
    <row r="50446">
      <c r="N50446" s="1"/>
      <c r="V50446" s="5"/>
    </row>
    <row r="50447">
      <c r="N50447" s="1"/>
      <c r="V50447" s="5"/>
    </row>
    <row r="50448">
      <c r="N50448" s="1"/>
      <c r="V50448" s="5"/>
    </row>
    <row r="50449">
      <c r="N50449" s="1"/>
      <c r="V50449" s="5"/>
    </row>
    <row r="50450">
      <c r="N50450" s="1"/>
      <c r="V50450" s="5"/>
    </row>
    <row r="50451">
      <c r="N50451" s="1"/>
      <c r="V50451" s="5"/>
    </row>
    <row r="50452">
      <c r="N50452" s="1"/>
      <c r="V50452" s="5"/>
    </row>
    <row r="50453">
      <c r="N50453" s="1"/>
      <c r="V50453" s="5"/>
    </row>
    <row r="50454">
      <c r="N50454" s="1"/>
      <c r="V50454" s="5"/>
    </row>
    <row r="50455">
      <c r="N50455" s="1"/>
      <c r="V50455" s="5"/>
    </row>
    <row r="50456">
      <c r="N50456" s="1"/>
      <c r="V50456" s="5"/>
    </row>
    <row r="50457">
      <c r="N50457" s="1"/>
      <c r="V50457" s="5"/>
    </row>
    <row r="50458">
      <c r="N50458" s="1"/>
      <c r="V50458" s="5"/>
    </row>
    <row r="50459">
      <c r="N50459" s="1"/>
      <c r="V50459" s="5"/>
    </row>
    <row r="50460">
      <c r="N50460" s="1"/>
      <c r="V50460" s="5"/>
    </row>
    <row r="50461">
      <c r="N50461" s="1"/>
      <c r="V50461" s="5"/>
    </row>
    <row r="50462">
      <c r="N50462" s="1"/>
      <c r="V50462" s="5"/>
    </row>
    <row r="50463">
      <c r="N50463" s="1"/>
      <c r="V50463" s="5"/>
    </row>
    <row r="50464">
      <c r="N50464" s="1"/>
      <c r="V50464" s="5"/>
    </row>
    <row r="50465">
      <c r="N50465" s="1"/>
      <c r="V50465" s="5"/>
    </row>
    <row r="50466">
      <c r="N50466" s="1"/>
      <c r="V50466" s="5"/>
    </row>
    <row r="50467">
      <c r="N50467" s="1"/>
      <c r="V50467" s="5"/>
    </row>
    <row r="50468">
      <c r="N50468" s="1"/>
      <c r="V50468" s="5"/>
    </row>
    <row r="50469">
      <c r="N50469" s="1"/>
      <c r="V50469" s="5"/>
    </row>
    <row r="50470">
      <c r="N50470" s="1"/>
      <c r="V50470" s="5"/>
    </row>
    <row r="50471">
      <c r="N50471" s="1"/>
      <c r="V50471" s="5"/>
    </row>
    <row r="50472">
      <c r="N50472" s="1"/>
      <c r="V50472" s="5"/>
    </row>
    <row r="50473">
      <c r="N50473" s="1"/>
      <c r="V50473" s="5"/>
    </row>
    <row r="50474">
      <c r="N50474" s="1"/>
      <c r="V50474" s="5"/>
    </row>
    <row r="50475">
      <c r="N50475" s="1"/>
      <c r="V50475" s="5"/>
    </row>
    <row r="50476">
      <c r="N50476" s="1"/>
      <c r="V50476" s="5"/>
    </row>
    <row r="50477">
      <c r="N50477" s="1"/>
      <c r="V50477" s="5"/>
    </row>
    <row r="50478">
      <c r="N50478" s="1"/>
      <c r="V50478" s="5"/>
    </row>
    <row r="50479">
      <c r="N50479" s="1"/>
      <c r="V50479" s="5"/>
    </row>
    <row r="50480">
      <c r="N50480" s="1"/>
      <c r="V50480" s="5"/>
    </row>
    <row r="50481">
      <c r="N50481" s="1"/>
      <c r="V50481" s="5"/>
    </row>
    <row r="50482">
      <c r="N50482" s="1"/>
      <c r="V50482" s="5"/>
    </row>
    <row r="50483">
      <c r="N50483" s="1"/>
      <c r="V50483" s="5"/>
    </row>
    <row r="50484">
      <c r="N50484" s="1"/>
      <c r="V50484" s="5"/>
    </row>
    <row r="50485">
      <c r="N50485" s="1"/>
      <c r="V50485" s="5"/>
    </row>
    <row r="50486">
      <c r="N50486" s="1"/>
      <c r="V50486" s="5"/>
    </row>
    <row r="50487">
      <c r="N50487" s="1"/>
      <c r="V50487" s="5"/>
    </row>
    <row r="50488">
      <c r="N50488" s="1"/>
      <c r="V50488" s="5"/>
    </row>
    <row r="50489">
      <c r="N50489" s="1"/>
      <c r="V50489" s="5"/>
    </row>
    <row r="50490">
      <c r="N50490" s="1"/>
      <c r="V50490" s="5"/>
    </row>
    <row r="50491">
      <c r="N50491" s="1"/>
      <c r="V50491" s="5"/>
    </row>
    <row r="50492">
      <c r="N50492" s="1"/>
      <c r="V50492" s="5"/>
    </row>
    <row r="50493">
      <c r="N50493" s="1"/>
      <c r="V50493" s="5"/>
    </row>
    <row r="50494">
      <c r="N50494" s="1"/>
      <c r="V50494" s="5"/>
    </row>
    <row r="50495">
      <c r="N50495" s="1"/>
      <c r="V50495" s="5"/>
    </row>
    <row r="50496">
      <c r="N50496" s="1"/>
      <c r="V50496" s="5"/>
    </row>
    <row r="50497">
      <c r="N50497" s="1"/>
      <c r="V50497" s="5"/>
    </row>
    <row r="50498">
      <c r="N50498" s="1"/>
      <c r="V50498" s="5"/>
    </row>
    <row r="50499">
      <c r="N50499" s="1"/>
      <c r="V50499" s="5"/>
    </row>
    <row r="50500">
      <c r="N50500" s="1"/>
      <c r="V50500" s="5"/>
    </row>
  </sheetData>
  <autoFilter ref="$D$1:$D$50500"/>
  <hyperlinks>
    <hyperlink r:id="rId1" ref="C1196"/>
    <hyperlink r:id="rId2" ref="S1382"/>
    <hyperlink r:id="rId3" ref="C1566"/>
    <hyperlink r:id="rId4" ref="S2617"/>
    <hyperlink r:id="rId5" ref="S4252"/>
    <hyperlink r:id="rId6" ref="C5456"/>
    <hyperlink r:id="rId7" ref="S5885"/>
    <hyperlink r:id="rId8" ref="C7874"/>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5</v>
      </c>
      <c r="B1" s="2" t="s">
        <v>41873</v>
      </c>
      <c r="C1" s="2" t="s">
        <v>41874</v>
      </c>
      <c r="D1" s="2" t="s">
        <v>41873</v>
      </c>
      <c r="E1" s="2" t="s">
        <v>1</v>
      </c>
    </row>
    <row r="2">
      <c r="A2" s="5" t="str">
        <f>IFERROR(__xludf.DUMMYFUNCTION("UNIQUE(FILTER(data!T2:T747, data!T2:T747 &lt;&gt; """"))"),"Argentina")</f>
        <v>Argentina</v>
      </c>
      <c r="B2" s="5">
        <f>COUNTIF(data!F:F, A2)</f>
        <v>56</v>
      </c>
      <c r="C2" s="5" t="str">
        <f>IFERROR(__xludf.DUMMYFUNCTION("UNIQUE(FILTER(data!O2:O5029, data!O2:O5029 &lt;&gt; """"))"),"PG-13")</f>
        <v>PG-13</v>
      </c>
      <c r="D2" s="5">
        <f>COUNTIF(data!O:O, C2)</f>
        <v>490</v>
      </c>
      <c r="E2" s="2" t="s">
        <v>27</v>
      </c>
      <c r="F2" s="5">
        <f>COUNTIF(data!B:B, E2)</f>
        <v>6131</v>
      </c>
    </row>
    <row r="3">
      <c r="A3" s="5" t="str">
        <f>IFERROR(__xludf.DUMMYFUNCTION("""COMPUTED_VALUE"""),"Argentina, Brazil, France, Poland, Germany, Denmark")</f>
        <v>Argentina, Brazil, France, Poland, Germany, Denmark</v>
      </c>
      <c r="B3" s="5">
        <f>COUNTIF(data!F:F, A3)</f>
        <v>1</v>
      </c>
      <c r="C3" s="5" t="str">
        <f>IFERROR(__xludf.DUMMYFUNCTION("""COMPUTED_VALUE"""),"TV-MA")</f>
        <v>TV-MA</v>
      </c>
      <c r="D3" s="5">
        <f>COUNTIF(data!O:O, C3)</f>
        <v>3207</v>
      </c>
      <c r="E3" s="2" t="s">
        <v>41876</v>
      </c>
      <c r="F3" s="5">
        <f>COUNTIF(data!B:B, E3)</f>
        <v>2676</v>
      </c>
    </row>
    <row r="4">
      <c r="A4" s="5" t="str">
        <f>IFERROR(__xludf.DUMMYFUNCTION("""COMPUTED_VALUE"""),"Argentina, Chile")</f>
        <v>Argentina, Chile</v>
      </c>
      <c r="B4" s="5">
        <f>COUNTIF(data!F:F, A4)</f>
        <v>2</v>
      </c>
      <c r="C4" s="5" t="str">
        <f>IFERROR(__xludf.DUMMYFUNCTION("""COMPUTED_VALUE"""),"PG")</f>
        <v>PG</v>
      </c>
      <c r="D4" s="5">
        <f>COUNTIF(data!O:O, C4)</f>
        <v>287</v>
      </c>
    </row>
    <row r="5">
      <c r="A5" s="5" t="str">
        <f>IFERROR(__xludf.DUMMYFUNCTION("""COMPUTED_VALUE"""),"Argentina, Chile, Peru")</f>
        <v>Argentina, Chile, Peru</v>
      </c>
      <c r="B5" s="5">
        <f>COUNTIF(data!F:F, A5)</f>
        <v>1</v>
      </c>
      <c r="C5" s="5" t="str">
        <f>IFERROR(__xludf.DUMMYFUNCTION("""COMPUTED_VALUE"""),"TV-14")</f>
        <v>TV-14</v>
      </c>
      <c r="D5" s="5">
        <f>COUNTIF(data!O:O, C5)</f>
        <v>2160</v>
      </c>
    </row>
    <row r="6">
      <c r="A6" s="5" t="str">
        <f>IFERROR(__xludf.DUMMYFUNCTION("""COMPUTED_VALUE"""),"Argentina, France")</f>
        <v>Argentina, France</v>
      </c>
      <c r="B6" s="5">
        <f>COUNTIF(data!F:F, A6)</f>
        <v>1</v>
      </c>
      <c r="C6" s="5" t="str">
        <f>IFERROR(__xludf.DUMMYFUNCTION("""COMPUTED_VALUE"""),"TV-PG")</f>
        <v>TV-PG</v>
      </c>
      <c r="D6" s="5">
        <f>COUNTIF(data!O:O, C6)</f>
        <v>863</v>
      </c>
    </row>
    <row r="7">
      <c r="A7" s="5" t="str">
        <f>IFERROR(__xludf.DUMMYFUNCTION("""COMPUTED_VALUE"""),"Argentina, France, United States, Germany, Qatar")</f>
        <v>Argentina, France, United States, Germany, Qatar</v>
      </c>
      <c r="B7" s="5">
        <f>COUNTIF(data!F:F, A7)</f>
        <v>1</v>
      </c>
      <c r="C7" s="5" t="str">
        <f>IFERROR(__xludf.DUMMYFUNCTION("""COMPUTED_VALUE"""),"TV-Y")</f>
        <v>TV-Y</v>
      </c>
      <c r="D7" s="5">
        <f>COUNTIF(data!O:O, C7)</f>
        <v>307</v>
      </c>
    </row>
    <row r="8">
      <c r="A8" s="5" t="str">
        <f>IFERROR(__xludf.DUMMYFUNCTION("""COMPUTED_VALUE"""),"Argentina, Italy")</f>
        <v>Argentina, Italy</v>
      </c>
      <c r="B8" s="5">
        <f>COUNTIF(data!F:F, A8)</f>
        <v>1</v>
      </c>
      <c r="C8" s="5" t="str">
        <f>IFERROR(__xludf.DUMMYFUNCTION("""COMPUTED_VALUE"""),"TV-Y7")</f>
        <v>TV-Y7</v>
      </c>
      <c r="D8" s="5">
        <f>COUNTIF(data!O:O, C8)</f>
        <v>334</v>
      </c>
    </row>
    <row r="9">
      <c r="A9" s="5" t="str">
        <f>IFERROR(__xludf.DUMMYFUNCTION("""COMPUTED_VALUE"""),"Argentina, Spain")</f>
        <v>Argentina, Spain</v>
      </c>
      <c r="B9" s="5">
        <f>COUNTIF(data!F:F, A9)</f>
        <v>8</v>
      </c>
      <c r="C9" s="5" t="str">
        <f>IFERROR(__xludf.DUMMYFUNCTION("""COMPUTED_VALUE"""),"R")</f>
        <v>R</v>
      </c>
      <c r="D9" s="5">
        <f>COUNTIF(data!O:O, C9)</f>
        <v>799</v>
      </c>
    </row>
    <row r="10">
      <c r="A10" s="5" t="str">
        <f>IFERROR(__xludf.DUMMYFUNCTION("""COMPUTED_VALUE"""),"Argentina, United States")</f>
        <v>Argentina, United States</v>
      </c>
      <c r="B10" s="5">
        <f>COUNTIF(data!F:F, A10)</f>
        <v>1</v>
      </c>
      <c r="C10" s="5" t="str">
        <f>IFERROR(__xludf.DUMMYFUNCTION("""COMPUTED_VALUE"""),"TV-G")</f>
        <v>TV-G</v>
      </c>
      <c r="D10" s="5">
        <f>COUNTIF(data!O:O, C10)</f>
        <v>220</v>
      </c>
    </row>
    <row r="11">
      <c r="A11" s="5" t="str">
        <f>IFERROR(__xludf.DUMMYFUNCTION("""COMPUTED_VALUE"""),"Argentina, United States, Mexico")</f>
        <v>Argentina, United States, Mexico</v>
      </c>
      <c r="B11" s="5">
        <f>COUNTIF(data!F:F, A11)</f>
        <v>1</v>
      </c>
      <c r="C11" s="5" t="str">
        <f>IFERROR(__xludf.DUMMYFUNCTION("""COMPUTED_VALUE"""),"G")</f>
        <v>G</v>
      </c>
      <c r="D11" s="5">
        <f>COUNTIF(data!O:O, C11)</f>
        <v>41</v>
      </c>
    </row>
    <row r="12">
      <c r="A12" s="5" t="str">
        <f>IFERROR(__xludf.DUMMYFUNCTION("""COMPUTED_VALUE"""),"Argentina, Uruguay, Serbia")</f>
        <v>Argentina, Uruguay, Serbia</v>
      </c>
      <c r="B12" s="5">
        <f>COUNTIF(data!F:F, A12)</f>
        <v>1</v>
      </c>
      <c r="C12" s="5" t="str">
        <f>IFERROR(__xludf.DUMMYFUNCTION("""COMPUTED_VALUE"""),"NC-17")</f>
        <v>NC-17</v>
      </c>
      <c r="D12" s="5">
        <f>COUNTIF(data!O:O, C12)</f>
        <v>3</v>
      </c>
    </row>
    <row r="13">
      <c r="A13" s="5" t="str">
        <f>IFERROR(__xludf.DUMMYFUNCTION("""COMPUTED_VALUE"""),"Argentina, Uruguay, Spain, France")</f>
        <v>Argentina, Uruguay, Spain, France</v>
      </c>
      <c r="B13" s="5">
        <f>COUNTIF(data!F:F, A13)</f>
        <v>1</v>
      </c>
      <c r="C13" s="5" t="str">
        <f>IFERROR(__xludf.DUMMYFUNCTION("""COMPUTED_VALUE"""),"Unclassified")</f>
        <v>Unclassified</v>
      </c>
      <c r="D13" s="5">
        <f>COUNTIF(data!O:O, C13)</f>
        <v>3</v>
      </c>
    </row>
    <row r="14">
      <c r="A14" s="5" t="str">
        <f>IFERROR(__xludf.DUMMYFUNCTION("""COMPUTED_VALUE"""),"Argentina, Venezuela")</f>
        <v>Argentina, Venezuela</v>
      </c>
      <c r="B14" s="5">
        <f>COUNTIF(data!F:F, A14)</f>
        <v>1</v>
      </c>
      <c r="C14" s="5" t="str">
        <f>IFERROR(__xludf.DUMMYFUNCTION("""COMPUTED_VALUE"""),"NR")</f>
        <v>NR</v>
      </c>
      <c r="D14" s="5">
        <f>COUNTIF(data!O:O, C14)</f>
        <v>84</v>
      </c>
    </row>
    <row r="15">
      <c r="A15" s="5" t="str">
        <f>IFERROR(__xludf.DUMMYFUNCTION("""COMPUTED_VALUE"""),"Australia")</f>
        <v>Australia</v>
      </c>
      <c r="B15" s="5">
        <f>COUNTIF(data!F:F, A15)</f>
        <v>87</v>
      </c>
      <c r="C15" s="5" t="str">
        <f>IFERROR(__xludf.DUMMYFUNCTION("""COMPUTED_VALUE"""),"TV-Y7-FV")</f>
        <v>TV-Y7-FV</v>
      </c>
      <c r="D15" s="5">
        <f>COUNTIF(data!O:O, C15)</f>
        <v>6</v>
      </c>
    </row>
    <row r="16">
      <c r="A16" s="5" t="str">
        <f>IFERROR(__xludf.DUMMYFUNCTION("""COMPUTED_VALUE"""),"Australia, Armenia, Japan, Jordan, Mexico, Mongolia, New Zealand, Philippines, South Africa, Sweden, United States, Uruguay")</f>
        <v>Australia, Armenia, Japan, Jordan, Mexico, Mongolia, New Zealand, Philippines, South Africa, Sweden, United States, Uruguay</v>
      </c>
      <c r="B16" s="5">
        <f>COUNTIF(data!F:F, A16)</f>
        <v>1</v>
      </c>
      <c r="C16" s="5" t="str">
        <f>IFERROR(__xludf.DUMMYFUNCTION("""COMPUTED_VALUE"""),"UR")</f>
        <v>UR</v>
      </c>
      <c r="D16" s="5">
        <f>COUNTIF(data!O:O, C16)</f>
        <v>3</v>
      </c>
    </row>
    <row r="17">
      <c r="A17" s="5" t="str">
        <f>IFERROR(__xludf.DUMMYFUNCTION("""COMPUTED_VALUE"""),"Australia, Canada")</f>
        <v>Australia, Canada</v>
      </c>
      <c r="B17" s="5">
        <f>COUNTIF(data!F:F, A17)</f>
        <v>2</v>
      </c>
    </row>
    <row r="18">
      <c r="A18" s="5" t="str">
        <f>IFERROR(__xludf.DUMMYFUNCTION("""COMPUTED_VALUE"""),"Australia, France")</f>
        <v>Australia, France</v>
      </c>
      <c r="B18" s="5">
        <f>COUNTIF(data!F:F, A18)</f>
        <v>1</v>
      </c>
    </row>
    <row r="19">
      <c r="A19" s="5" t="str">
        <f>IFERROR(__xludf.DUMMYFUNCTION("""COMPUTED_VALUE"""),"Australia, France, Ireland")</f>
        <v>Australia, France, Ireland</v>
      </c>
      <c r="B19" s="5">
        <f>COUNTIF(data!F:F, A19)</f>
        <v>1</v>
      </c>
    </row>
    <row r="20">
      <c r="A20" s="5" t="str">
        <f>IFERROR(__xludf.DUMMYFUNCTION("""COMPUTED_VALUE"""),"Australia, Germany")</f>
        <v>Australia, Germany</v>
      </c>
      <c r="B20" s="5">
        <f>COUNTIF(data!F:F, A20)</f>
        <v>1</v>
      </c>
    </row>
    <row r="21">
      <c r="A21" s="5" t="str">
        <f>IFERROR(__xludf.DUMMYFUNCTION("""COMPUTED_VALUE"""),"Australia, India")</f>
        <v>Australia, India</v>
      </c>
      <c r="B21" s="5">
        <f>COUNTIF(data!F:F, A21)</f>
        <v>1</v>
      </c>
    </row>
    <row r="22">
      <c r="A22" s="5" t="str">
        <f>IFERROR(__xludf.DUMMYFUNCTION("""COMPUTED_VALUE"""),"Australia, Iraq")</f>
        <v>Australia, Iraq</v>
      </c>
      <c r="B22" s="5">
        <f>COUNTIF(data!F:F, A22)</f>
        <v>1</v>
      </c>
    </row>
    <row r="23">
      <c r="A23" s="5" t="str">
        <f>IFERROR(__xludf.DUMMYFUNCTION("""COMPUTED_VALUE"""),"Australia, New Zealand")</f>
        <v>Australia, New Zealand</v>
      </c>
      <c r="B23" s="5">
        <f>COUNTIF(data!F:F, A23)</f>
        <v>1</v>
      </c>
    </row>
    <row r="24">
      <c r="A24" s="5" t="str">
        <f>IFERROR(__xludf.DUMMYFUNCTION("""COMPUTED_VALUE"""),"Australia, New Zealand, United States")</f>
        <v>Australia, New Zealand, United States</v>
      </c>
      <c r="B24" s="5">
        <f>COUNTIF(data!F:F, A24)</f>
        <v>1</v>
      </c>
    </row>
    <row r="25">
      <c r="A25" s="5" t="str">
        <f>IFERROR(__xludf.DUMMYFUNCTION("""COMPUTED_VALUE"""),"Australia, United Arab Emirates")</f>
        <v>Australia, United Arab Emirates</v>
      </c>
      <c r="B25" s="5">
        <f>COUNTIF(data!F:F, A25)</f>
        <v>2</v>
      </c>
    </row>
    <row r="26">
      <c r="A26" s="5" t="str">
        <f>IFERROR(__xludf.DUMMYFUNCTION("""COMPUTED_VALUE"""),"Australia, United Kingdom")</f>
        <v>Australia, United Kingdom</v>
      </c>
      <c r="B26" s="5">
        <f>COUNTIF(data!F:F, A26)</f>
        <v>2</v>
      </c>
    </row>
    <row r="27">
      <c r="A27" s="5" t="str">
        <f>IFERROR(__xludf.DUMMYFUNCTION("""COMPUTED_VALUE"""),"Australia, United Kingdom, Canada")</f>
        <v>Australia, United Kingdom, Canada</v>
      </c>
      <c r="B27" s="5">
        <f>COUNTIF(data!F:F, A27)</f>
        <v>1</v>
      </c>
    </row>
    <row r="28">
      <c r="A28" s="5" t="str">
        <f>IFERROR(__xludf.DUMMYFUNCTION("""COMPUTED_VALUE"""),"Australia, United Kingdom, United Arab Emirates, Canada")</f>
        <v>Australia, United Kingdom, United Arab Emirates, Canada</v>
      </c>
      <c r="B28" s="5">
        <f>COUNTIF(data!F:F, A28)</f>
        <v>1</v>
      </c>
    </row>
    <row r="29">
      <c r="A29" s="5" t="str">
        <f>IFERROR(__xludf.DUMMYFUNCTION("""COMPUTED_VALUE"""),"Australia, United Kingdom, United States, New Zealand, Italy, France")</f>
        <v>Australia, United Kingdom, United States, New Zealand, Italy, France</v>
      </c>
      <c r="B29" s="5">
        <f>COUNTIF(data!F:F, A29)</f>
        <v>1</v>
      </c>
    </row>
    <row r="30">
      <c r="A30" s="5" t="str">
        <f>IFERROR(__xludf.DUMMYFUNCTION("""COMPUTED_VALUE"""),"Australia, United States")</f>
        <v>Australia, United States</v>
      </c>
      <c r="B30" s="5">
        <f>COUNTIF(data!F:F, A30)</f>
        <v>13</v>
      </c>
    </row>
    <row r="31">
      <c r="A31" s="5" t="str">
        <f>IFERROR(__xludf.DUMMYFUNCTION("""COMPUTED_VALUE"""),"Austria")</f>
        <v>Austria</v>
      </c>
      <c r="B31" s="5">
        <f>COUNTIF(data!F:F, A31)</f>
        <v>5</v>
      </c>
    </row>
    <row r="32">
      <c r="A32" s="5" t="str">
        <f>IFERROR(__xludf.DUMMYFUNCTION("""COMPUTED_VALUE"""),"Austria, Czech Republic")</f>
        <v>Austria, Czech Republic</v>
      </c>
      <c r="B32" s="5">
        <f>COUNTIF(data!F:F, A32)</f>
        <v>1</v>
      </c>
    </row>
    <row r="33">
      <c r="A33" s="5" t="str">
        <f>IFERROR(__xludf.DUMMYFUNCTION("""COMPUTED_VALUE"""),"Austria, Germany")</f>
        <v>Austria, Germany</v>
      </c>
      <c r="B33" s="5">
        <f>COUNTIF(data!F:F, A33)</f>
        <v>1</v>
      </c>
    </row>
    <row r="34">
      <c r="A34" s="5" t="str">
        <f>IFERROR(__xludf.DUMMYFUNCTION("""COMPUTED_VALUE"""),"Austria, Iraq, United States")</f>
        <v>Austria, Iraq, United States</v>
      </c>
      <c r="B34" s="5">
        <f>COUNTIF(data!F:F, A34)</f>
        <v>1</v>
      </c>
    </row>
    <row r="35">
      <c r="A35" s="5" t="str">
        <f>IFERROR(__xludf.DUMMYFUNCTION("""COMPUTED_VALUE"""),"Austria, United States")</f>
        <v>Austria, United States</v>
      </c>
      <c r="B35" s="5">
        <f>COUNTIF(data!F:F, A35)</f>
        <v>1</v>
      </c>
    </row>
    <row r="36">
      <c r="A36" s="5" t="str">
        <f>IFERROR(__xludf.DUMMYFUNCTION("""COMPUTED_VALUE"""),"Bangladesh")</f>
        <v>Bangladesh</v>
      </c>
      <c r="B36" s="5">
        <f>COUNTIF(data!F:F, A36)</f>
        <v>3</v>
      </c>
    </row>
    <row r="37">
      <c r="A37" s="5" t="str">
        <f>IFERROR(__xludf.DUMMYFUNCTION("""COMPUTED_VALUE"""),"Belarus")</f>
        <v>Belarus</v>
      </c>
      <c r="B37" s="5">
        <f>COUNTIF(data!F:F, A37)</f>
        <v>1</v>
      </c>
    </row>
    <row r="38">
      <c r="A38" s="5" t="str">
        <f>IFERROR(__xludf.DUMMYFUNCTION("""COMPUTED_VALUE"""),"Belgium")</f>
        <v>Belgium</v>
      </c>
      <c r="B38" s="5">
        <f>COUNTIF(data!F:F, A38)</f>
        <v>9</v>
      </c>
    </row>
    <row r="39">
      <c r="A39" s="5" t="str">
        <f>IFERROR(__xludf.DUMMYFUNCTION("""COMPUTED_VALUE"""),"Belgium, France")</f>
        <v>Belgium, France</v>
      </c>
      <c r="B39" s="5">
        <f>COUNTIF(data!F:F, A39)</f>
        <v>3</v>
      </c>
    </row>
    <row r="40">
      <c r="A40" s="5" t="str">
        <f>IFERROR(__xludf.DUMMYFUNCTION("""COMPUTED_VALUE"""),"Belgium, France, Netherlands")</f>
        <v>Belgium, France, Netherlands</v>
      </c>
      <c r="B40" s="5">
        <f>COUNTIF(data!F:F, A40)</f>
        <v>1</v>
      </c>
    </row>
    <row r="41">
      <c r="A41" s="5" t="str">
        <f>IFERROR(__xludf.DUMMYFUNCTION("""COMPUTED_VALUE"""),"Belgium, Ireland, Netherlands, Germany, Afghanistan")</f>
        <v>Belgium, Ireland, Netherlands, Germany, Afghanistan</v>
      </c>
      <c r="B41" s="5">
        <f>COUNTIF(data!F:F, A41)</f>
        <v>1</v>
      </c>
    </row>
    <row r="42">
      <c r="A42" s="5" t="str">
        <f>IFERROR(__xludf.DUMMYFUNCTION("""COMPUTED_VALUE"""),"Belgium, Netherlands")</f>
        <v>Belgium, Netherlands</v>
      </c>
      <c r="B42" s="5">
        <f>COUNTIF(data!F:F, A42)</f>
        <v>2</v>
      </c>
    </row>
    <row r="43">
      <c r="A43" s="5" t="str">
        <f>IFERROR(__xludf.DUMMYFUNCTION("""COMPUTED_VALUE"""),"Belgium, United Kingdom")</f>
        <v>Belgium, United Kingdom</v>
      </c>
      <c r="B43" s="5">
        <f>COUNTIF(data!F:F, A43)</f>
        <v>1</v>
      </c>
    </row>
    <row r="44">
      <c r="A44" s="5" t="str">
        <f>IFERROR(__xludf.DUMMYFUNCTION("""COMPUTED_VALUE"""),"Belgium, United Kingdom, United States")</f>
        <v>Belgium, United Kingdom, United States</v>
      </c>
      <c r="B44" s="5">
        <f>COUNTIF(data!F:F, A44)</f>
        <v>1</v>
      </c>
    </row>
    <row r="45">
      <c r="A45" s="5" t="str">
        <f>IFERROR(__xludf.DUMMYFUNCTION("""COMPUTED_VALUE"""),"Brazil")</f>
        <v>Brazil</v>
      </c>
      <c r="B45" s="5">
        <f>COUNTIF(data!F:F, A45)</f>
        <v>77</v>
      </c>
    </row>
    <row r="46">
      <c r="A46" s="5" t="str">
        <f>IFERROR(__xludf.DUMMYFUNCTION("""COMPUTED_VALUE"""),"Brazil, France")</f>
        <v>Brazil, France</v>
      </c>
      <c r="B46" s="5">
        <f>COUNTIF(data!F:F, A46)</f>
        <v>2</v>
      </c>
    </row>
    <row r="47">
      <c r="A47" s="5" t="str">
        <f>IFERROR(__xludf.DUMMYFUNCTION("""COMPUTED_VALUE"""),"Brazil, France, Germany")</f>
        <v>Brazil, France, Germany</v>
      </c>
      <c r="B47" s="5">
        <f>COUNTIF(data!F:F, A47)</f>
        <v>1</v>
      </c>
    </row>
    <row r="48">
      <c r="A48" s="5" t="str">
        <f>IFERROR(__xludf.DUMMYFUNCTION("""COMPUTED_VALUE"""),"Brazil, India, China, United States")</f>
        <v>Brazil, India, China, United States</v>
      </c>
      <c r="B48" s="5">
        <f>COUNTIF(data!F:F, A48)</f>
        <v>1</v>
      </c>
    </row>
    <row r="49">
      <c r="A49" s="5" t="str">
        <f>IFERROR(__xludf.DUMMYFUNCTION("""COMPUTED_VALUE"""),"Brazil, Netherlands, United States, Colombia, Austria, Germany")</f>
        <v>Brazil, Netherlands, United States, Colombia, Austria, Germany</v>
      </c>
      <c r="B49" s="5">
        <f>COUNTIF(data!F:F, A49)</f>
        <v>1</v>
      </c>
    </row>
    <row r="50">
      <c r="A50" s="5" t="str">
        <f>IFERROR(__xludf.DUMMYFUNCTION("""COMPUTED_VALUE"""),"Brazil, United Kingdom")</f>
        <v>Brazil, United Kingdom</v>
      </c>
      <c r="B50" s="5">
        <f>COUNTIF(data!F:F, A50)</f>
        <v>1</v>
      </c>
    </row>
    <row r="51">
      <c r="A51" s="5" t="str">
        <f>IFERROR(__xludf.DUMMYFUNCTION("""COMPUTED_VALUE"""),"Brazil, United States")</f>
        <v>Brazil, United States</v>
      </c>
      <c r="B51" s="5">
        <f>COUNTIF(data!F:F, A51)</f>
        <v>1</v>
      </c>
    </row>
    <row r="52">
      <c r="A52" s="5" t="str">
        <f>IFERROR(__xludf.DUMMYFUNCTION("""COMPUTED_VALUE"""),"Bulgaria")</f>
        <v>Bulgaria</v>
      </c>
      <c r="B52" s="5">
        <f>COUNTIF(data!F:F, A52)</f>
        <v>1</v>
      </c>
    </row>
    <row r="53">
      <c r="A53" s="5" t="str">
        <f>IFERROR(__xludf.DUMMYFUNCTION("""COMPUTED_VALUE"""),"Bulgaria, United States")</f>
        <v>Bulgaria, United States</v>
      </c>
      <c r="B53" s="5">
        <f>COUNTIF(data!F:F, A53)</f>
        <v>3</v>
      </c>
    </row>
    <row r="54">
      <c r="A54" s="5" t="str">
        <f>IFERROR(__xludf.DUMMYFUNCTION("""COMPUTED_VALUE"""),"Bulgaria, United States, Spain, Canada")</f>
        <v>Bulgaria, United States, Spain, Canada</v>
      </c>
      <c r="B54" s="5">
        <f>COUNTIF(data!F:F, A54)</f>
        <v>1</v>
      </c>
    </row>
    <row r="55">
      <c r="A55" s="5" t="str">
        <f>IFERROR(__xludf.DUMMYFUNCTION("""COMPUTED_VALUE"""),"Cambodia")</f>
        <v>Cambodia</v>
      </c>
      <c r="B55" s="5">
        <f>COUNTIF(data!F:F, A55)</f>
        <v>1</v>
      </c>
    </row>
    <row r="56">
      <c r="A56" s="5" t="str">
        <f>IFERROR(__xludf.DUMMYFUNCTION("""COMPUTED_VALUE"""),"Cambodia, United States")</f>
        <v>Cambodia, United States</v>
      </c>
      <c r="B56" s="5">
        <f>COUNTIF(data!F:F, A56)</f>
        <v>1</v>
      </c>
    </row>
    <row r="57">
      <c r="A57" s="5" t="str">
        <f>IFERROR(__xludf.DUMMYFUNCTION("""COMPUTED_VALUE"""),"Cameroon")</f>
        <v>Cameroon</v>
      </c>
      <c r="B57" s="5">
        <f>COUNTIF(data!F:F, A57)</f>
        <v>1</v>
      </c>
    </row>
    <row r="58">
      <c r="A58" s="5" t="str">
        <f>IFERROR(__xludf.DUMMYFUNCTION("""COMPUTED_VALUE"""),"Canada")</f>
        <v>Canada</v>
      </c>
      <c r="B58" s="5">
        <f>COUNTIF(data!F:F, A58)</f>
        <v>181</v>
      </c>
    </row>
    <row r="59">
      <c r="A59" s="5" t="str">
        <f>IFERROR(__xludf.DUMMYFUNCTION("""COMPUTED_VALUE"""),"Canada, Australia")</f>
        <v>Canada, Australia</v>
      </c>
      <c r="B59" s="5">
        <f>COUNTIF(data!F:F, A59)</f>
        <v>2</v>
      </c>
    </row>
    <row r="60">
      <c r="A60" s="5" t="str">
        <f>IFERROR(__xludf.DUMMYFUNCTION("""COMPUTED_VALUE"""),"Canada, Belgium")</f>
        <v>Canada, Belgium</v>
      </c>
      <c r="B60" s="5">
        <f>COUNTIF(data!F:F, A60)</f>
        <v>1</v>
      </c>
    </row>
    <row r="61">
      <c r="A61" s="5" t="str">
        <f>IFERROR(__xludf.DUMMYFUNCTION("""COMPUTED_VALUE"""),"Canada, Brazil")</f>
        <v>Canada, Brazil</v>
      </c>
      <c r="B61" s="5">
        <f>COUNTIF(data!F:F, A61)</f>
        <v>1</v>
      </c>
    </row>
    <row r="62">
      <c r="A62" s="5" t="str">
        <f>IFERROR(__xludf.DUMMYFUNCTION("""COMPUTED_VALUE"""),"Canada, France")</f>
        <v>Canada, France</v>
      </c>
      <c r="B62" s="5">
        <f>COUNTIF(data!F:F, A62)</f>
        <v>1</v>
      </c>
    </row>
    <row r="63">
      <c r="A63" s="5" t="str">
        <f>IFERROR(__xludf.DUMMYFUNCTION("""COMPUTED_VALUE"""),"Canada, France, Italy, Morocco, United States")</f>
        <v>Canada, France, Italy, Morocco, United States</v>
      </c>
      <c r="B63" s="5">
        <f>COUNTIF(data!F:F, A63)</f>
        <v>1</v>
      </c>
    </row>
    <row r="64">
      <c r="A64" s="5" t="str">
        <f>IFERROR(__xludf.DUMMYFUNCTION("""COMPUTED_VALUE"""),"Canada, France, United States")</f>
        <v>Canada, France, United States</v>
      </c>
      <c r="B64" s="5">
        <f>COUNTIF(data!F:F, A64)</f>
        <v>1</v>
      </c>
    </row>
    <row r="65">
      <c r="A65" s="5" t="str">
        <f>IFERROR(__xludf.DUMMYFUNCTION("""COMPUTED_VALUE"""),"Canada, Germany")</f>
        <v>Canada, Germany</v>
      </c>
      <c r="B65" s="5">
        <f>COUNTIF(data!F:F, A65)</f>
        <v>1</v>
      </c>
    </row>
    <row r="66">
      <c r="A66" s="5" t="str">
        <f>IFERROR(__xludf.DUMMYFUNCTION("""COMPUTED_VALUE"""),"Canada, Germany, France, United States")</f>
        <v>Canada, Germany, France, United States</v>
      </c>
      <c r="B66" s="5">
        <f>COUNTIF(data!F:F, A66)</f>
        <v>1</v>
      </c>
    </row>
    <row r="67">
      <c r="A67" s="5" t="str">
        <f>IFERROR(__xludf.DUMMYFUNCTION("""COMPUTED_VALUE"""),"Canada, Germany, South Africa")</f>
        <v>Canada, Germany, South Africa</v>
      </c>
      <c r="B67" s="5">
        <f>COUNTIF(data!F:F, A67)</f>
        <v>1</v>
      </c>
    </row>
    <row r="68">
      <c r="A68" s="5" t="str">
        <f>IFERROR(__xludf.DUMMYFUNCTION("""COMPUTED_VALUE"""),"Canada, Hungary, United States")</f>
        <v>Canada, Hungary, United States</v>
      </c>
      <c r="B68" s="5">
        <f>COUNTIF(data!F:F, A68)</f>
        <v>1</v>
      </c>
    </row>
    <row r="69">
      <c r="A69" s="5" t="str">
        <f>IFERROR(__xludf.DUMMYFUNCTION("""COMPUTED_VALUE"""),"Canada, India")</f>
        <v>Canada, India</v>
      </c>
      <c r="B69" s="5">
        <f>COUNTIF(data!F:F, A69)</f>
        <v>2</v>
      </c>
    </row>
    <row r="70">
      <c r="A70" s="5" t="str">
        <f>IFERROR(__xludf.DUMMYFUNCTION("""COMPUTED_VALUE"""),"Canada, India, Thailand, United States, United Arab Emirates")</f>
        <v>Canada, India, Thailand, United States, United Arab Emirates</v>
      </c>
      <c r="B70" s="5">
        <f>COUNTIF(data!F:F, A70)</f>
        <v>1</v>
      </c>
    </row>
    <row r="71">
      <c r="A71" s="5" t="str">
        <f>IFERROR(__xludf.DUMMYFUNCTION("""COMPUTED_VALUE"""),"Canada, Ireland, United States")</f>
        <v>Canada, Ireland, United States</v>
      </c>
      <c r="B71" s="5">
        <f>COUNTIF(data!F:F, A71)</f>
        <v>1</v>
      </c>
    </row>
    <row r="72">
      <c r="A72" s="5" t="str">
        <f>IFERROR(__xludf.DUMMYFUNCTION("""COMPUTED_VALUE"""),"Canada, Japan, Netherlands")</f>
        <v>Canada, Japan, Netherlands</v>
      </c>
      <c r="B72" s="5">
        <f>COUNTIF(data!F:F, A72)</f>
        <v>1</v>
      </c>
    </row>
    <row r="73">
      <c r="A73" s="5" t="str">
        <f>IFERROR(__xludf.DUMMYFUNCTION("""COMPUTED_VALUE"""),"Canada, Japan, United States")</f>
        <v>Canada, Japan, United States</v>
      </c>
      <c r="B73" s="5">
        <f>COUNTIF(data!F:F, A73)</f>
        <v>1</v>
      </c>
    </row>
    <row r="74">
      <c r="A74" s="5" t="str">
        <f>IFERROR(__xludf.DUMMYFUNCTION("""COMPUTED_VALUE"""),"Canada, Luxembourg")</f>
        <v>Canada, Luxembourg</v>
      </c>
      <c r="B74" s="5">
        <f>COUNTIF(data!F:F, A74)</f>
        <v>1</v>
      </c>
    </row>
    <row r="75">
      <c r="A75" s="5" t="str">
        <f>IFERROR(__xludf.DUMMYFUNCTION("""COMPUTED_VALUE"""),"Canada, Mexico, Germany, South Africa")</f>
        <v>Canada, Mexico, Germany, South Africa</v>
      </c>
      <c r="B75" s="5">
        <f>COUNTIF(data!F:F, A75)</f>
        <v>1</v>
      </c>
    </row>
    <row r="76">
      <c r="A76" s="5" t="str">
        <f>IFERROR(__xludf.DUMMYFUNCTION("""COMPUTED_VALUE"""),"Canada, Nigeria")</f>
        <v>Canada, Nigeria</v>
      </c>
      <c r="B76" s="5">
        <f>COUNTIF(data!F:F, A76)</f>
        <v>1</v>
      </c>
    </row>
    <row r="77">
      <c r="A77" s="5" t="str">
        <f>IFERROR(__xludf.DUMMYFUNCTION("""COMPUTED_VALUE"""),"Canada, Nigeria, United States")</f>
        <v>Canada, Nigeria, United States</v>
      </c>
      <c r="B77" s="5">
        <f>COUNTIF(data!F:F, A77)</f>
        <v>1</v>
      </c>
    </row>
    <row r="78">
      <c r="A78" s="5" t="str">
        <f>IFERROR(__xludf.DUMMYFUNCTION("""COMPUTED_VALUE"""),"Canada, Norway")</f>
        <v>Canada, Norway</v>
      </c>
      <c r="B78" s="5">
        <f>COUNTIF(data!F:F, A78)</f>
        <v>1</v>
      </c>
    </row>
    <row r="79">
      <c r="A79" s="5" t="str">
        <f>IFERROR(__xludf.DUMMYFUNCTION("""COMPUTED_VALUE"""),"Canada, South Africa")</f>
        <v>Canada, South Africa</v>
      </c>
      <c r="B79" s="5">
        <f>COUNTIF(data!F:F, A79)</f>
        <v>2</v>
      </c>
    </row>
    <row r="80">
      <c r="A80" s="5" t="str">
        <f>IFERROR(__xludf.DUMMYFUNCTION("""COMPUTED_VALUE"""),"Canada, South Korea, United States")</f>
        <v>Canada, South Korea, United States</v>
      </c>
      <c r="B80" s="5">
        <f>COUNTIF(data!F:F, A80)</f>
        <v>1</v>
      </c>
    </row>
    <row r="81">
      <c r="A81" s="5" t="str">
        <f>IFERROR(__xludf.DUMMYFUNCTION("""COMPUTED_VALUE"""),"Canada, Spain")</f>
        <v>Canada, Spain</v>
      </c>
      <c r="B81" s="5">
        <f>COUNTIF(data!F:F, A81)</f>
        <v>1</v>
      </c>
    </row>
    <row r="82">
      <c r="A82" s="5" t="str">
        <f>IFERROR(__xludf.DUMMYFUNCTION("""COMPUTED_VALUE"""),"Canada, Spain, France")</f>
        <v>Canada, Spain, France</v>
      </c>
      <c r="B82" s="5">
        <f>COUNTIF(data!F:F, A82)</f>
        <v>1</v>
      </c>
    </row>
    <row r="83">
      <c r="A83" s="5" t="str">
        <f>IFERROR(__xludf.DUMMYFUNCTION("""COMPUTED_VALUE"""),"Canada, United Kingdom")</f>
        <v>Canada, United Kingdom</v>
      </c>
      <c r="B83" s="5">
        <f>COUNTIF(data!F:F, A83)</f>
        <v>2</v>
      </c>
    </row>
    <row r="84">
      <c r="A84" s="5" t="str">
        <f>IFERROR(__xludf.DUMMYFUNCTION("""COMPUTED_VALUE"""),"Canada, United Kingdom, Netherlands")</f>
        <v>Canada, United Kingdom, Netherlands</v>
      </c>
      <c r="B84" s="5">
        <f>COUNTIF(data!F:F, A84)</f>
        <v>1</v>
      </c>
    </row>
    <row r="85">
      <c r="A85" s="5" t="str">
        <f>IFERROR(__xludf.DUMMYFUNCTION("""COMPUTED_VALUE"""),"Canada, United Kingdom, United States")</f>
        <v>Canada, United Kingdom, United States</v>
      </c>
      <c r="B85" s="5">
        <f>COUNTIF(data!F:F, A85)</f>
        <v>2</v>
      </c>
    </row>
    <row r="86">
      <c r="A86" s="5" t="str">
        <f>IFERROR(__xludf.DUMMYFUNCTION("""COMPUTED_VALUE"""),"Canada, United States")</f>
        <v>Canada, United States</v>
      </c>
      <c r="B86" s="5">
        <f>COUNTIF(data!F:F, A86)</f>
        <v>45</v>
      </c>
    </row>
    <row r="87">
      <c r="A87" s="5" t="str">
        <f>IFERROR(__xludf.DUMMYFUNCTION("""COMPUTED_VALUE"""),"Canada, United States, Cayman Islands")</f>
        <v>Canada, United States, Cayman Islands</v>
      </c>
      <c r="B87" s="5">
        <f>COUNTIF(data!F:F, A87)</f>
        <v>1</v>
      </c>
    </row>
    <row r="88">
      <c r="A88" s="5" t="str">
        <f>IFERROR(__xludf.DUMMYFUNCTION("""COMPUTED_VALUE"""),"Canada, United States, Denmark")</f>
        <v>Canada, United States, Denmark</v>
      </c>
      <c r="B88" s="5">
        <f>COUNTIF(data!F:F, A88)</f>
        <v>1</v>
      </c>
    </row>
    <row r="89">
      <c r="A89" s="5" t="str">
        <f>IFERROR(__xludf.DUMMYFUNCTION("""COMPUTED_VALUE"""),"Canada, United States, France")</f>
        <v>Canada, United States, France</v>
      </c>
      <c r="B89" s="5">
        <f>COUNTIF(data!F:F, A89)</f>
        <v>2</v>
      </c>
    </row>
    <row r="90">
      <c r="A90" s="5" t="str">
        <f>IFERROR(__xludf.DUMMYFUNCTION("""COMPUTED_VALUE"""),"Canada, United States, Germany")</f>
        <v>Canada, United States, Germany</v>
      </c>
      <c r="B90" s="5">
        <f>COUNTIF(data!F:F, A90)</f>
        <v>1</v>
      </c>
    </row>
    <row r="91">
      <c r="A91" s="5" t="str">
        <f>IFERROR(__xludf.DUMMYFUNCTION("""COMPUTED_VALUE"""),"Canada, United States, India, United Kingdom")</f>
        <v>Canada, United States, India, United Kingdom</v>
      </c>
      <c r="B91" s="5">
        <f>COUNTIF(data!F:F, A91)</f>
        <v>1</v>
      </c>
    </row>
    <row r="92">
      <c r="A92" s="5" t="str">
        <f>IFERROR(__xludf.DUMMYFUNCTION("""COMPUTED_VALUE"""),"Canada, United States, Ireland")</f>
        <v>Canada, United States, Ireland</v>
      </c>
      <c r="B92" s="5">
        <f>COUNTIF(data!F:F, A92)</f>
        <v>1</v>
      </c>
    </row>
    <row r="93">
      <c r="A93" s="5" t="str">
        <f>IFERROR(__xludf.DUMMYFUNCTION("""COMPUTED_VALUE"""),"Canada, United States, Mexico")</f>
        <v>Canada, United States, Mexico</v>
      </c>
      <c r="B93" s="5">
        <f>COUNTIF(data!F:F, A93)</f>
        <v>1</v>
      </c>
    </row>
    <row r="94">
      <c r="A94" s="5" t="str">
        <f>IFERROR(__xludf.DUMMYFUNCTION("""COMPUTED_VALUE"""),"Canada, United States, United Kingdom")</f>
        <v>Canada, United States, United Kingdom</v>
      </c>
      <c r="B94" s="5">
        <f>COUNTIF(data!F:F, A94)</f>
        <v>4</v>
      </c>
    </row>
    <row r="95">
      <c r="A95" s="5" t="str">
        <f>IFERROR(__xludf.DUMMYFUNCTION("""COMPUTED_VALUE"""),"Canada, United States, United Kingdom, France, Luxembourg")</f>
        <v>Canada, United States, United Kingdom, France, Luxembourg</v>
      </c>
      <c r="B95" s="5">
        <f>COUNTIF(data!F:F, A95)</f>
        <v>1</v>
      </c>
    </row>
    <row r="96">
      <c r="A96" s="5" t="str">
        <f>IFERROR(__xludf.DUMMYFUNCTION("""COMPUTED_VALUE"""),"Chile")</f>
        <v>Chile</v>
      </c>
      <c r="B96" s="5">
        <f>COUNTIF(data!F:F, A96)</f>
        <v>14</v>
      </c>
    </row>
    <row r="97">
      <c r="A97" s="5" t="str">
        <f>IFERROR(__xludf.DUMMYFUNCTION("""COMPUTED_VALUE"""),"Chile, Argentina")</f>
        <v>Chile, Argentina</v>
      </c>
      <c r="B97" s="5">
        <f>COUNTIF(data!F:F, A97)</f>
        <v>1</v>
      </c>
    </row>
    <row r="98">
      <c r="A98" s="5" t="str">
        <f>IFERROR(__xludf.DUMMYFUNCTION("""COMPUTED_VALUE"""),"Chile, Argentina, France, Spain, United States")</f>
        <v>Chile, Argentina, France, Spain, United States</v>
      </c>
      <c r="B98" s="5">
        <f>COUNTIF(data!F:F, A98)</f>
        <v>1</v>
      </c>
    </row>
    <row r="99">
      <c r="A99" s="5" t="str">
        <f>IFERROR(__xludf.DUMMYFUNCTION("""COMPUTED_VALUE"""),"Chile, Brazil")</f>
        <v>Chile, Brazil</v>
      </c>
      <c r="B99" s="5">
        <f>COUNTIF(data!F:F, A99)</f>
        <v>1</v>
      </c>
    </row>
    <row r="100">
      <c r="A100" s="5" t="str">
        <f>IFERROR(__xludf.DUMMYFUNCTION("""COMPUTED_VALUE"""),"Chile, France")</f>
        <v>Chile, France</v>
      </c>
      <c r="B100" s="5">
        <f>COUNTIF(data!F:F, A100)</f>
        <v>1</v>
      </c>
    </row>
    <row r="101">
      <c r="A101" s="5" t="str">
        <f>IFERROR(__xludf.DUMMYFUNCTION("""COMPUTED_VALUE"""),"Chile, Italy")</f>
        <v>Chile, Italy</v>
      </c>
      <c r="B101" s="5">
        <f>COUNTIF(data!F:F, A101)</f>
        <v>1</v>
      </c>
    </row>
    <row r="102">
      <c r="A102" s="5" t="str">
        <f>IFERROR(__xludf.DUMMYFUNCTION("""COMPUTED_VALUE"""),"Chile, Peru")</f>
        <v>Chile, Peru</v>
      </c>
      <c r="B102" s="5">
        <f>COUNTIF(data!F:F, A102)</f>
        <v>1</v>
      </c>
    </row>
    <row r="103">
      <c r="A103" s="5" t="str">
        <f>IFERROR(__xludf.DUMMYFUNCTION("""COMPUTED_VALUE"""),"Chile, Spain, Argentina, Germany")</f>
        <v>Chile, Spain, Argentina, Germany</v>
      </c>
      <c r="B103" s="5">
        <f>COUNTIF(data!F:F, A103)</f>
        <v>1</v>
      </c>
    </row>
    <row r="104">
      <c r="A104" s="5" t="str">
        <f>IFERROR(__xludf.DUMMYFUNCTION("""COMPUTED_VALUE"""),"Chile, United States, France")</f>
        <v>Chile, United States, France</v>
      </c>
      <c r="B104" s="5">
        <f>COUNTIF(data!F:F, A104)</f>
        <v>1</v>
      </c>
    </row>
    <row r="105">
      <c r="A105" s="5" t="str">
        <f>IFERROR(__xludf.DUMMYFUNCTION("""COMPUTED_VALUE"""),"China")</f>
        <v>China</v>
      </c>
      <c r="B105" s="5">
        <f>COUNTIF(data!F:F, A105)</f>
        <v>66</v>
      </c>
    </row>
    <row r="106">
      <c r="A106" s="5" t="str">
        <f>IFERROR(__xludf.DUMMYFUNCTION("""COMPUTED_VALUE"""),"China, Canada, United States")</f>
        <v>China, Canada, United States</v>
      </c>
      <c r="B106" s="5">
        <f>COUNTIF(data!F:F, A106)</f>
        <v>3</v>
      </c>
    </row>
    <row r="107">
      <c r="A107" s="5" t="str">
        <f>IFERROR(__xludf.DUMMYFUNCTION("""COMPUTED_VALUE"""),"China, Germany, India, United States")</f>
        <v>China, Germany, India, United States</v>
      </c>
      <c r="B107" s="5">
        <f>COUNTIF(data!F:F, A107)</f>
        <v>1</v>
      </c>
    </row>
    <row r="108">
      <c r="A108" s="5" t="str">
        <f>IFERROR(__xludf.DUMMYFUNCTION("""COMPUTED_VALUE"""),"China, Hong Kong")</f>
        <v>China, Hong Kong</v>
      </c>
      <c r="B108" s="5">
        <f>COUNTIF(data!F:F, A108)</f>
        <v>14</v>
      </c>
    </row>
    <row r="109">
      <c r="A109" s="5" t="str">
        <f>IFERROR(__xludf.DUMMYFUNCTION("""COMPUTED_VALUE"""),"China, Hong Kong, United States")</f>
        <v>China, Hong Kong, United States</v>
      </c>
      <c r="B109" s="5">
        <f>COUNTIF(data!F:F, A109)</f>
        <v>1</v>
      </c>
    </row>
    <row r="110">
      <c r="A110" s="5" t="str">
        <f>IFERROR(__xludf.DUMMYFUNCTION("""COMPUTED_VALUE"""),"China, India, Nepal")</f>
        <v>China, India, Nepal</v>
      </c>
      <c r="B110" s="5">
        <f>COUNTIF(data!F:F, A110)</f>
        <v>1</v>
      </c>
    </row>
    <row r="111">
      <c r="A111" s="5" t="str">
        <f>IFERROR(__xludf.DUMMYFUNCTION("""COMPUTED_VALUE"""),"China, Japan")</f>
        <v>China, Japan</v>
      </c>
      <c r="B111" s="5">
        <f>COUNTIF(data!F:F, A111)</f>
        <v>1</v>
      </c>
    </row>
    <row r="112">
      <c r="A112" s="5" t="str">
        <f>IFERROR(__xludf.DUMMYFUNCTION("""COMPUTED_VALUE"""),"China, Morocco, Hong Kong")</f>
        <v>China, Morocco, Hong Kong</v>
      </c>
      <c r="B112" s="5">
        <f>COUNTIF(data!F:F, A112)</f>
        <v>1</v>
      </c>
    </row>
    <row r="113">
      <c r="A113" s="5" t="str">
        <f>IFERROR(__xludf.DUMMYFUNCTION("""COMPUTED_VALUE"""),"China, South Korea, United States")</f>
        <v>China, South Korea, United States</v>
      </c>
      <c r="B113" s="5">
        <f>COUNTIF(data!F:F, A113)</f>
        <v>1</v>
      </c>
    </row>
    <row r="114">
      <c r="A114" s="5" t="str">
        <f>IFERROR(__xludf.DUMMYFUNCTION("""COMPUTED_VALUE"""),"China, Spain, South Korea, United States")</f>
        <v>China, Spain, South Korea, United States</v>
      </c>
      <c r="B114" s="5">
        <f>COUNTIF(data!F:F, A114)</f>
        <v>1</v>
      </c>
    </row>
    <row r="115">
      <c r="A115" s="5" t="str">
        <f>IFERROR(__xludf.DUMMYFUNCTION("""COMPUTED_VALUE"""),"China, Taiwan")</f>
        <v>China, Taiwan</v>
      </c>
      <c r="B115" s="5">
        <f>COUNTIF(data!F:F, A115)</f>
        <v>2</v>
      </c>
    </row>
    <row r="116">
      <c r="A116" s="5" t="str">
        <f>IFERROR(__xludf.DUMMYFUNCTION("""COMPUTED_VALUE"""),"China, United Kingdom")</f>
        <v>China, United Kingdom</v>
      </c>
      <c r="B116" s="5">
        <f>COUNTIF(data!F:F, A116)</f>
        <v>3</v>
      </c>
    </row>
    <row r="117">
      <c r="A117" s="5" t="str">
        <f>IFERROR(__xludf.DUMMYFUNCTION("""COMPUTED_VALUE"""),"China, United States")</f>
        <v>China, United States</v>
      </c>
      <c r="B117" s="5">
        <f>COUNTIF(data!F:F, A117)</f>
        <v>2</v>
      </c>
    </row>
    <row r="118">
      <c r="A118" s="5" t="str">
        <f>IFERROR(__xludf.DUMMYFUNCTION("""COMPUTED_VALUE"""),"China, United States, Australia")</f>
        <v>China, United States, Australia</v>
      </c>
      <c r="B118" s="5">
        <f>COUNTIF(data!F:F, A118)</f>
        <v>1</v>
      </c>
    </row>
    <row r="119">
      <c r="A119" s="5" t="str">
        <f>IFERROR(__xludf.DUMMYFUNCTION("""COMPUTED_VALUE"""),"China, United States, Canada")</f>
        <v>China, United States, Canada</v>
      </c>
      <c r="B119" s="5">
        <f>COUNTIF(data!F:F, A119)</f>
        <v>1</v>
      </c>
    </row>
    <row r="120">
      <c r="A120" s="5" t="str">
        <f>IFERROR(__xludf.DUMMYFUNCTION("""COMPUTED_VALUE"""),"China, United States, United Kingdom")</f>
        <v>China, United States, United Kingdom</v>
      </c>
      <c r="B120" s="5">
        <f>COUNTIF(data!F:F, A120)</f>
        <v>1</v>
      </c>
    </row>
    <row r="121">
      <c r="A121" s="5" t="str">
        <f>IFERROR(__xludf.DUMMYFUNCTION("""COMPUTED_VALUE"""),"Colombia")</f>
        <v>Colombia</v>
      </c>
      <c r="B121" s="5">
        <f>COUNTIF(data!F:F, A121)</f>
        <v>35</v>
      </c>
    </row>
    <row r="122">
      <c r="A122" s="5" t="str">
        <f>IFERROR(__xludf.DUMMYFUNCTION("""COMPUTED_VALUE"""),"Colombia, Mexico")</f>
        <v>Colombia, Mexico</v>
      </c>
      <c r="B122" s="5">
        <f>COUNTIF(data!F:F, A122)</f>
        <v>1</v>
      </c>
    </row>
    <row r="123">
      <c r="A123" s="5" t="str">
        <f>IFERROR(__xludf.DUMMYFUNCTION("""COMPUTED_VALUE"""),"Colombia, Mexico, United States")</f>
        <v>Colombia, Mexico, United States</v>
      </c>
      <c r="B123" s="5">
        <f>COUNTIF(data!F:F, A123)</f>
        <v>2</v>
      </c>
    </row>
    <row r="124">
      <c r="A124" s="5" t="str">
        <f>IFERROR(__xludf.DUMMYFUNCTION("""COMPUTED_VALUE"""),"Colombia, Peru, United Kingdom")</f>
        <v>Colombia, Peru, United Kingdom</v>
      </c>
      <c r="B124" s="5">
        <f>COUNTIF(data!F:F, A124)</f>
        <v>1</v>
      </c>
    </row>
    <row r="125">
      <c r="A125" s="5" t="str">
        <f>IFERROR(__xludf.DUMMYFUNCTION("""COMPUTED_VALUE"""),"Colombia, United States")</f>
        <v>Colombia, United States</v>
      </c>
      <c r="B125" s="5">
        <f>COUNTIF(data!F:F, A125)</f>
        <v>1</v>
      </c>
    </row>
    <row r="126">
      <c r="A126" s="5" t="str">
        <f>IFERROR(__xludf.DUMMYFUNCTION("""COMPUTED_VALUE"""),"Croatia")</f>
        <v>Croatia</v>
      </c>
      <c r="B126" s="5">
        <f>COUNTIF(data!F:F, A126)</f>
        <v>1</v>
      </c>
    </row>
    <row r="127">
      <c r="A127" s="5" t="str">
        <f>IFERROR(__xludf.DUMMYFUNCTION("""COMPUTED_VALUE"""),"Croatia, Slovenia, Serbia, Montenegro")</f>
        <v>Croatia, Slovenia, Serbia, Montenegro</v>
      </c>
      <c r="B127" s="5">
        <f>COUNTIF(data!F:F, A127)</f>
        <v>1</v>
      </c>
    </row>
    <row r="128">
      <c r="A128" s="5" t="str">
        <f>IFERROR(__xludf.DUMMYFUNCTION("""COMPUTED_VALUE"""),"Cyprus")</f>
        <v>Cyprus</v>
      </c>
      <c r="B128" s="5">
        <f>COUNTIF(data!F:F, A128)</f>
        <v>1</v>
      </c>
    </row>
    <row r="129">
      <c r="A129" s="5" t="str">
        <f>IFERROR(__xludf.DUMMYFUNCTION("""COMPUTED_VALUE"""),"Czech Republic, France")</f>
        <v>Czech Republic, France</v>
      </c>
      <c r="B129" s="5">
        <f>COUNTIF(data!F:F, A129)</f>
        <v>1</v>
      </c>
    </row>
    <row r="130">
      <c r="A130" s="5" t="str">
        <f>IFERROR(__xludf.DUMMYFUNCTION("""COMPUTED_VALUE"""),"Czech Republic, Slovakia")</f>
        <v>Czech Republic, Slovakia</v>
      </c>
      <c r="B130" s="5">
        <f>COUNTIF(data!F:F, A130)</f>
        <v>1</v>
      </c>
    </row>
    <row r="131">
      <c r="A131" s="5" t="str">
        <f>IFERROR(__xludf.DUMMYFUNCTION("""COMPUTED_VALUE"""),"Czech Republic, United Kingdom, France")</f>
        <v>Czech Republic, United Kingdom, France</v>
      </c>
      <c r="B131" s="5">
        <f>COUNTIF(data!F:F, A131)</f>
        <v>1</v>
      </c>
    </row>
    <row r="132">
      <c r="A132" s="5" t="str">
        <f>IFERROR(__xludf.DUMMYFUNCTION("""COMPUTED_VALUE"""),"Czech Republic, United Kingdom, United States")</f>
        <v>Czech Republic, United Kingdom, United States</v>
      </c>
      <c r="B132" s="5">
        <f>COUNTIF(data!F:F, A132)</f>
        <v>1</v>
      </c>
    </row>
    <row r="133">
      <c r="A133" s="5" t="str">
        <f>IFERROR(__xludf.DUMMYFUNCTION("""COMPUTED_VALUE"""),"Czech Republic, United States")</f>
        <v>Czech Republic, United States</v>
      </c>
      <c r="B133" s="5">
        <f>COUNTIF(data!F:F, A133)</f>
        <v>2</v>
      </c>
    </row>
    <row r="134">
      <c r="A134" s="5" t="str">
        <f>IFERROR(__xludf.DUMMYFUNCTION("""COMPUTED_VALUE"""),"Denmark")</f>
        <v>Denmark</v>
      </c>
      <c r="B134" s="5">
        <f>COUNTIF(data!F:F, A134)</f>
        <v>13</v>
      </c>
    </row>
    <row r="135">
      <c r="A135" s="5" t="str">
        <f>IFERROR(__xludf.DUMMYFUNCTION("""COMPUTED_VALUE"""),"Denmark, Brazil, France, Portugal, Sweden")</f>
        <v>Denmark, Brazil, France, Portugal, Sweden</v>
      </c>
      <c r="B135" s="5">
        <f>COUNTIF(data!F:F, A135)</f>
        <v>1</v>
      </c>
    </row>
    <row r="136">
      <c r="A136" s="5" t="str">
        <f>IFERROR(__xludf.DUMMYFUNCTION("""COMPUTED_VALUE"""),"Denmark, China")</f>
        <v>Denmark, China</v>
      </c>
      <c r="B136" s="5">
        <f>COUNTIF(data!F:F, A136)</f>
        <v>1</v>
      </c>
    </row>
    <row r="137">
      <c r="A137" s="5" t="str">
        <f>IFERROR(__xludf.DUMMYFUNCTION("""COMPUTED_VALUE"""),"Denmark, France, Belgium, Italy, Netherlands, United States, United Kingdom")</f>
        <v>Denmark, France, Belgium, Italy, Netherlands, United States, United Kingdom</v>
      </c>
      <c r="B137" s="5">
        <f>COUNTIF(data!F:F, A137)</f>
        <v>1</v>
      </c>
    </row>
    <row r="138">
      <c r="A138" s="5" t="str">
        <f>IFERROR(__xludf.DUMMYFUNCTION("""COMPUTED_VALUE"""),"Denmark, France, Poland")</f>
        <v>Denmark, France, Poland</v>
      </c>
      <c r="B138" s="5">
        <f>COUNTIF(data!F:F, A138)</f>
        <v>1</v>
      </c>
    </row>
    <row r="139">
      <c r="A139" s="5" t="str">
        <f>IFERROR(__xludf.DUMMYFUNCTION("""COMPUTED_VALUE"""),"Denmark, France, United States, Sweden")</f>
        <v>Denmark, France, United States, Sweden</v>
      </c>
      <c r="B139" s="5">
        <f>COUNTIF(data!F:F, A139)</f>
        <v>1</v>
      </c>
    </row>
    <row r="140">
      <c r="A140" s="5" t="str">
        <f>IFERROR(__xludf.DUMMYFUNCTION("""COMPUTED_VALUE"""),"Denmark, Germany, Belgium, United Kingdom, France")</f>
        <v>Denmark, Germany, Belgium, United Kingdom, France</v>
      </c>
      <c r="B140" s="5">
        <f>COUNTIF(data!F:F, A140)</f>
        <v>1</v>
      </c>
    </row>
    <row r="141">
      <c r="A141" s="5" t="str">
        <f>IFERROR(__xludf.DUMMYFUNCTION("""COMPUTED_VALUE"""),"Denmark, Germany, Belgium, United Kingdom, France, Sweden")</f>
        <v>Denmark, Germany, Belgium, United Kingdom, France, Sweden</v>
      </c>
      <c r="B141" s="5">
        <f>COUNTIF(data!F:F, A141)</f>
        <v>1</v>
      </c>
    </row>
    <row r="142">
      <c r="A142" s="5" t="str">
        <f>IFERROR(__xludf.DUMMYFUNCTION("""COMPUTED_VALUE"""),"Denmark, Indonesia, Finland, Norway, United Kingdom, Israel, France, United States, Germany, Netherlands")</f>
        <v>Denmark, Indonesia, Finland, Norway, United Kingdom, Israel, France, United States, Germany, Netherlands</v>
      </c>
      <c r="B142" s="5">
        <f>COUNTIF(data!F:F, A142)</f>
        <v>1</v>
      </c>
    </row>
    <row r="143">
      <c r="A143" s="5" t="str">
        <f>IFERROR(__xludf.DUMMYFUNCTION("""COMPUTED_VALUE"""),"Denmark, Singapore, Canada, United States")</f>
        <v>Denmark, Singapore, Canada, United States</v>
      </c>
      <c r="B143" s="5">
        <f>COUNTIF(data!F:F, A143)</f>
        <v>1</v>
      </c>
    </row>
    <row r="144">
      <c r="A144" s="5" t="str">
        <f>IFERROR(__xludf.DUMMYFUNCTION("""COMPUTED_VALUE"""),"Denmark, Spain")</f>
        <v>Denmark, Spain</v>
      </c>
      <c r="B144" s="5">
        <f>COUNTIF(data!F:F, A144)</f>
        <v>1</v>
      </c>
    </row>
    <row r="145">
      <c r="A145" s="5" t="str">
        <f>IFERROR(__xludf.DUMMYFUNCTION("""COMPUTED_VALUE"""),"Denmark, Sweden, Israel, United States")</f>
        <v>Denmark, Sweden, Israel, United States</v>
      </c>
      <c r="B145" s="5">
        <f>COUNTIF(data!F:F, A145)</f>
        <v>1</v>
      </c>
    </row>
    <row r="146">
      <c r="A146" s="5" t="str">
        <f>IFERROR(__xludf.DUMMYFUNCTION("""COMPUTED_VALUE"""),"Denmark, United Kingdom, South Africa, Sweden, Belgium")</f>
        <v>Denmark, United Kingdom, South Africa, Sweden, Belgium</v>
      </c>
      <c r="B146" s="5">
        <f>COUNTIF(data!F:F, A146)</f>
        <v>1</v>
      </c>
    </row>
    <row r="147">
      <c r="A147" s="5" t="str">
        <f>IFERROR(__xludf.DUMMYFUNCTION("""COMPUTED_VALUE"""),"Denmark, United Kingdom, Sweden")</f>
        <v>Denmark, United Kingdom, Sweden</v>
      </c>
      <c r="B147" s="5">
        <f>COUNTIF(data!F:F, A147)</f>
        <v>1</v>
      </c>
    </row>
    <row r="148">
      <c r="A148" s="5" t="str">
        <f>IFERROR(__xludf.DUMMYFUNCTION("""COMPUTED_VALUE"""),"Denmark, United States")</f>
        <v>Denmark, United States</v>
      </c>
      <c r="B148" s="5">
        <f>COUNTIF(data!F:F, A148)</f>
        <v>3</v>
      </c>
    </row>
    <row r="149">
      <c r="A149" s="5" t="str">
        <f>IFERROR(__xludf.DUMMYFUNCTION("""COMPUTED_VALUE"""),"Denmark, Zimbabwe")</f>
        <v>Denmark, Zimbabwe</v>
      </c>
      <c r="B149" s="5">
        <f>COUNTIF(data!F:F, A149)</f>
        <v>1</v>
      </c>
    </row>
    <row r="150">
      <c r="A150" s="5" t="str">
        <f>IFERROR(__xludf.DUMMYFUNCTION("""COMPUTED_VALUE"""),"Egypt")</f>
        <v>Egypt</v>
      </c>
      <c r="B150" s="5">
        <f>COUNTIF(data!F:F, A150)</f>
        <v>106</v>
      </c>
    </row>
    <row r="151">
      <c r="A151" s="5" t="str">
        <f>IFERROR(__xludf.DUMMYFUNCTION("""COMPUTED_VALUE"""),"Egypt, Algeria")</f>
        <v>Egypt, Algeria</v>
      </c>
      <c r="B151" s="5">
        <f>COUNTIF(data!F:F, A151)</f>
        <v>1</v>
      </c>
    </row>
    <row r="152">
      <c r="A152" s="5" t="str">
        <f>IFERROR(__xludf.DUMMYFUNCTION("""COMPUTED_VALUE"""),"Egypt, Austria, United States")</f>
        <v>Egypt, Austria, United States</v>
      </c>
      <c r="B152" s="5">
        <f>COUNTIF(data!F:F, A152)</f>
        <v>1</v>
      </c>
    </row>
    <row r="153">
      <c r="A153" s="5" t="str">
        <f>IFERROR(__xludf.DUMMYFUNCTION("""COMPUTED_VALUE"""),"Egypt, Denmark, Germany")</f>
        <v>Egypt, Denmark, Germany</v>
      </c>
      <c r="B153" s="5">
        <f>COUNTIF(data!F:F, A153)</f>
        <v>1</v>
      </c>
    </row>
    <row r="154">
      <c r="A154" s="5" t="str">
        <f>IFERROR(__xludf.DUMMYFUNCTION("""COMPUTED_VALUE"""),"Egypt, France")</f>
        <v>Egypt, France</v>
      </c>
      <c r="B154" s="5">
        <f>COUNTIF(data!F:F, A154)</f>
        <v>2</v>
      </c>
    </row>
    <row r="155">
      <c r="A155" s="5" t="str">
        <f>IFERROR(__xludf.DUMMYFUNCTION("""COMPUTED_VALUE"""),"Egypt, Saudi Arabia")</f>
        <v>Egypt, Saudi Arabia</v>
      </c>
      <c r="B155" s="5">
        <f>COUNTIF(data!F:F, A155)</f>
        <v>1</v>
      </c>
    </row>
    <row r="156">
      <c r="A156" s="5" t="str">
        <f>IFERROR(__xludf.DUMMYFUNCTION("""COMPUTED_VALUE"""),"Finland")</f>
        <v>Finland</v>
      </c>
      <c r="B156" s="5">
        <f>COUNTIF(data!F:F, A156)</f>
        <v>1</v>
      </c>
    </row>
    <row r="157">
      <c r="A157" s="5" t="str">
        <f>IFERROR(__xludf.DUMMYFUNCTION("""COMPUTED_VALUE"""),"Finland, France")</f>
        <v>Finland, France</v>
      </c>
      <c r="B157" s="5">
        <f>COUNTIF(data!F:F, A157)</f>
        <v>1</v>
      </c>
    </row>
    <row r="158">
      <c r="A158" s="5" t="str">
        <f>IFERROR(__xludf.DUMMYFUNCTION("""COMPUTED_VALUE"""),"Finland, Germany")</f>
        <v>Finland, Germany</v>
      </c>
      <c r="B158" s="5">
        <f>COUNTIF(data!F:F, A158)</f>
        <v>1</v>
      </c>
    </row>
    <row r="159">
      <c r="A159" s="5" t="str">
        <f>IFERROR(__xludf.DUMMYFUNCTION("""COMPUTED_VALUE"""),"Finland, Germany, Belgium")</f>
        <v>Finland, Germany, Belgium</v>
      </c>
      <c r="B159" s="5">
        <f>COUNTIF(data!F:F, A159)</f>
        <v>1</v>
      </c>
    </row>
    <row r="160">
      <c r="A160" s="5" t="str">
        <f>IFERROR(__xludf.DUMMYFUNCTION("""COMPUTED_VALUE"""),"Finland, Sweden, Norway, Latvia, Germany")</f>
        <v>Finland, Sweden, Norway, Latvia, Germany</v>
      </c>
      <c r="B160" s="5">
        <f>COUNTIF(data!F:F, A160)</f>
        <v>1</v>
      </c>
    </row>
    <row r="161">
      <c r="A161" s="5" t="str">
        <f>IFERROR(__xludf.DUMMYFUNCTION("""COMPUTED_VALUE"""),"Finland, United States")</f>
        <v>Finland, United States</v>
      </c>
      <c r="B161" s="5">
        <f>COUNTIF(data!F:F, A161)</f>
        <v>1</v>
      </c>
    </row>
    <row r="162">
      <c r="A162" s="5" t="str">
        <f>IFERROR(__xludf.DUMMYFUNCTION("""COMPUTED_VALUE"""),"France")</f>
        <v>France</v>
      </c>
      <c r="B162" s="5">
        <f>COUNTIF(data!F:F, A162)</f>
        <v>124</v>
      </c>
    </row>
    <row r="163">
      <c r="A163" s="5" t="str">
        <f>IFERROR(__xludf.DUMMYFUNCTION("""COMPUTED_VALUE"""),"France, Algeria")</f>
        <v>France, Algeria</v>
      </c>
      <c r="B163" s="5">
        <f>COUNTIF(data!F:F, A163)</f>
        <v>2</v>
      </c>
    </row>
    <row r="164">
      <c r="A164" s="5" t="str">
        <f>IFERROR(__xludf.DUMMYFUNCTION("""COMPUTED_VALUE"""),"France, Australia, Germany")</f>
        <v>France, Australia, Germany</v>
      </c>
      <c r="B164" s="5">
        <f>COUNTIF(data!F:F, A164)</f>
        <v>1</v>
      </c>
    </row>
    <row r="165">
      <c r="A165" s="5" t="str">
        <f>IFERROR(__xludf.DUMMYFUNCTION("""COMPUTED_VALUE"""),"France, Belgium")</f>
        <v>France, Belgium</v>
      </c>
      <c r="B165" s="5">
        <f>COUNTIF(data!F:F, A165)</f>
        <v>27</v>
      </c>
    </row>
    <row r="166">
      <c r="A166" s="5" t="str">
        <f>IFERROR(__xludf.DUMMYFUNCTION("""COMPUTED_VALUE"""),"France, Belgium, China, United States")</f>
        <v>France, Belgium, China, United States</v>
      </c>
      <c r="B166" s="5">
        <f>COUNTIF(data!F:F, A166)</f>
        <v>1</v>
      </c>
    </row>
    <row r="167">
      <c r="A167" s="5" t="str">
        <f>IFERROR(__xludf.DUMMYFUNCTION("""COMPUTED_VALUE"""),"France, Belgium, Italy")</f>
        <v>France, Belgium, Italy</v>
      </c>
      <c r="B167" s="5">
        <f>COUNTIF(data!F:F, A167)</f>
        <v>1</v>
      </c>
    </row>
    <row r="168">
      <c r="A168" s="5" t="str">
        <f>IFERROR(__xludf.DUMMYFUNCTION("""COMPUTED_VALUE"""),"France, Belgium, Luxembourg, Cambodia,")</f>
        <v>France, Belgium, Luxembourg, Cambodia,</v>
      </c>
      <c r="B168" s="5">
        <f>COUNTIF(data!F:F, A168)</f>
        <v>1</v>
      </c>
    </row>
    <row r="169">
      <c r="A169" s="5" t="str">
        <f>IFERROR(__xludf.DUMMYFUNCTION("""COMPUTED_VALUE"""),"France, Belgium, Luxembourg, Romania, Canada, United States")</f>
        <v>France, Belgium, Luxembourg, Romania, Canada, United States</v>
      </c>
      <c r="B169" s="5">
        <f>COUNTIF(data!F:F, A169)</f>
        <v>1</v>
      </c>
    </row>
    <row r="170">
      <c r="A170" s="5" t="str">
        <f>IFERROR(__xludf.DUMMYFUNCTION("""COMPUTED_VALUE"""),"France, Belgium, Spain")</f>
        <v>France, Belgium, Spain</v>
      </c>
      <c r="B170" s="5">
        <f>COUNTIF(data!F:F, A170)</f>
        <v>1</v>
      </c>
    </row>
    <row r="171">
      <c r="A171" s="5" t="str">
        <f>IFERROR(__xludf.DUMMYFUNCTION("""COMPUTED_VALUE"""),"France, Belgium, United States")</f>
        <v>France, Belgium, United States</v>
      </c>
      <c r="B171" s="5">
        <f>COUNTIF(data!F:F, A171)</f>
        <v>1</v>
      </c>
    </row>
    <row r="172">
      <c r="A172" s="5" t="str">
        <f>IFERROR(__xludf.DUMMYFUNCTION("""COMPUTED_VALUE"""),"France, Brazil, Spain, Belgium")</f>
        <v>France, Brazil, Spain, Belgium</v>
      </c>
      <c r="B172" s="5">
        <f>COUNTIF(data!F:F, A172)</f>
        <v>1</v>
      </c>
    </row>
    <row r="173">
      <c r="A173" s="5" t="str">
        <f>IFERROR(__xludf.DUMMYFUNCTION("""COMPUTED_VALUE"""),"France, Canada")</f>
        <v>France, Canada</v>
      </c>
      <c r="B173" s="5">
        <f>COUNTIF(data!F:F, A173)</f>
        <v>3</v>
      </c>
    </row>
    <row r="174">
      <c r="A174" s="5" t="str">
        <f>IFERROR(__xludf.DUMMYFUNCTION("""COMPUTED_VALUE"""),"France, Canada, Belgium")</f>
        <v>France, Canada, Belgium</v>
      </c>
      <c r="B174" s="5">
        <f>COUNTIF(data!F:F, A174)</f>
        <v>1</v>
      </c>
    </row>
    <row r="175">
      <c r="A175" s="5" t="str">
        <f>IFERROR(__xludf.DUMMYFUNCTION("""COMPUTED_VALUE"""),"France, Canada, China, Cambodia")</f>
        <v>France, Canada, China, Cambodia</v>
      </c>
      <c r="B175" s="5">
        <f>COUNTIF(data!F:F, A175)</f>
        <v>1</v>
      </c>
    </row>
    <row r="176">
      <c r="A176" s="5" t="str">
        <f>IFERROR(__xludf.DUMMYFUNCTION("""COMPUTED_VALUE"""),"France, Canada, Italy, United States, China")</f>
        <v>France, Canada, Italy, United States, China</v>
      </c>
      <c r="B176" s="5">
        <f>COUNTIF(data!F:F, A176)</f>
        <v>1</v>
      </c>
    </row>
    <row r="177">
      <c r="A177" s="5" t="str">
        <f>IFERROR(__xludf.DUMMYFUNCTION("""COMPUTED_VALUE"""),"France, Canada, United States")</f>
        <v>France, Canada, United States</v>
      </c>
      <c r="B177" s="5">
        <f>COUNTIF(data!F:F, A177)</f>
        <v>1</v>
      </c>
    </row>
    <row r="178">
      <c r="A178" s="5" t="str">
        <f>IFERROR(__xludf.DUMMYFUNCTION("""COMPUTED_VALUE"""),"France, Canada, United States, Spain")</f>
        <v>France, Canada, United States, Spain</v>
      </c>
      <c r="B178" s="5">
        <f>COUNTIF(data!F:F, A178)</f>
        <v>1</v>
      </c>
    </row>
    <row r="179">
      <c r="A179" s="5" t="str">
        <f>IFERROR(__xludf.DUMMYFUNCTION("""COMPUTED_VALUE"""),"France, China, Japan, United States")</f>
        <v>France, China, Japan, United States</v>
      </c>
      <c r="B179" s="5">
        <f>COUNTIF(data!F:F, A179)</f>
        <v>1</v>
      </c>
    </row>
    <row r="180">
      <c r="A180" s="5" t="str">
        <f>IFERROR(__xludf.DUMMYFUNCTION("""COMPUTED_VALUE"""),"France, Egypt")</f>
        <v>France, Egypt</v>
      </c>
      <c r="B180" s="5">
        <f>COUNTIF(data!F:F, A180)</f>
        <v>3</v>
      </c>
    </row>
    <row r="181">
      <c r="A181" s="5" t="str">
        <f>IFERROR(__xludf.DUMMYFUNCTION("""COMPUTED_VALUE"""),"France, Germany")</f>
        <v>France, Germany</v>
      </c>
      <c r="B181" s="5">
        <f>COUNTIF(data!F:F, A181)</f>
        <v>1</v>
      </c>
    </row>
    <row r="182">
      <c r="A182" s="5" t="str">
        <f>IFERROR(__xludf.DUMMYFUNCTION("""COMPUTED_VALUE"""),"France, Germany, Czech Republic, Belgium")</f>
        <v>France, Germany, Czech Republic, Belgium</v>
      </c>
      <c r="B182" s="5">
        <f>COUNTIF(data!F:F, A182)</f>
        <v>1</v>
      </c>
    </row>
    <row r="183">
      <c r="A183" s="5" t="str">
        <f>IFERROR(__xludf.DUMMYFUNCTION("""COMPUTED_VALUE"""),"France, Germany, Switzerland")</f>
        <v>France, Germany, Switzerland</v>
      </c>
      <c r="B183" s="5">
        <f>COUNTIF(data!F:F, A183)</f>
        <v>1</v>
      </c>
    </row>
    <row r="184">
      <c r="A184" s="5" t="str">
        <f>IFERROR(__xludf.DUMMYFUNCTION("""COMPUTED_VALUE"""),"France, Iran, United States")</f>
        <v>France, Iran, United States</v>
      </c>
      <c r="B184" s="5">
        <f>COUNTIF(data!F:F, A184)</f>
        <v>1</v>
      </c>
    </row>
    <row r="185">
      <c r="A185" s="5" t="str">
        <f>IFERROR(__xludf.DUMMYFUNCTION("""COMPUTED_VALUE"""),"France, Israel, Germany, United States, United Kingdom")</f>
        <v>France, Israel, Germany, United States, United Kingdom</v>
      </c>
      <c r="B185" s="5">
        <f>COUNTIF(data!F:F, A185)</f>
        <v>1</v>
      </c>
    </row>
    <row r="186">
      <c r="A186" s="5" t="str">
        <f>IFERROR(__xludf.DUMMYFUNCTION("""COMPUTED_VALUE"""),"France, Japan")</f>
        <v>France, Japan</v>
      </c>
      <c r="B186" s="5">
        <f>COUNTIF(data!F:F, A186)</f>
        <v>1</v>
      </c>
    </row>
    <row r="187">
      <c r="A187" s="5" t="str">
        <f>IFERROR(__xludf.DUMMYFUNCTION("""COMPUTED_VALUE"""),"France, Japan, United States")</f>
        <v>France, Japan, United States</v>
      </c>
      <c r="B187" s="5">
        <f>COUNTIF(data!F:F, A187)</f>
        <v>2</v>
      </c>
    </row>
    <row r="188">
      <c r="A188" s="5" t="str">
        <f>IFERROR(__xludf.DUMMYFUNCTION("""COMPUTED_VALUE"""),"France, Lebanon")</f>
        <v>France, Lebanon</v>
      </c>
      <c r="B188" s="5">
        <f>COUNTIF(data!F:F, A188)</f>
        <v>1</v>
      </c>
    </row>
    <row r="189">
      <c r="A189" s="5" t="str">
        <f>IFERROR(__xludf.DUMMYFUNCTION("""COMPUTED_VALUE"""),"France, Lebanon, United Kingdom")</f>
        <v>France, Lebanon, United Kingdom</v>
      </c>
      <c r="B189" s="5">
        <f>COUNTIF(data!F:F, A189)</f>
        <v>1</v>
      </c>
    </row>
    <row r="190">
      <c r="A190" s="5" t="str">
        <f>IFERROR(__xludf.DUMMYFUNCTION("""COMPUTED_VALUE"""),"France, Luxembourg, Canada")</f>
        <v>France, Luxembourg, Canada</v>
      </c>
      <c r="B190" s="5">
        <f>COUNTIF(data!F:F, A190)</f>
        <v>1</v>
      </c>
    </row>
    <row r="191">
      <c r="A191" s="5" t="str">
        <f>IFERROR(__xludf.DUMMYFUNCTION("""COMPUTED_VALUE"""),"France, Luxembourg, United States")</f>
        <v>France, Luxembourg, United States</v>
      </c>
      <c r="B191" s="5">
        <f>COUNTIF(data!F:F, A191)</f>
        <v>1</v>
      </c>
    </row>
    <row r="192">
      <c r="A192" s="5" t="str">
        <f>IFERROR(__xludf.DUMMYFUNCTION("""COMPUTED_VALUE"""),"France, Malta, United States")</f>
        <v>France, Malta, United States</v>
      </c>
      <c r="B192" s="5">
        <f>COUNTIF(data!F:F, A192)</f>
        <v>1</v>
      </c>
    </row>
    <row r="193">
      <c r="A193" s="5" t="str">
        <f>IFERROR(__xludf.DUMMYFUNCTION("""COMPUTED_VALUE"""),"France, Morocco")</f>
        <v>France, Morocco</v>
      </c>
      <c r="B193" s="5">
        <f>COUNTIF(data!F:F, A193)</f>
        <v>1</v>
      </c>
    </row>
    <row r="194">
      <c r="A194" s="5" t="str">
        <f>IFERROR(__xludf.DUMMYFUNCTION("""COMPUTED_VALUE"""),"France, Netherlands, Singapore")</f>
        <v>France, Netherlands, Singapore</v>
      </c>
      <c r="B194" s="5">
        <f>COUNTIF(data!F:F, A194)</f>
        <v>1</v>
      </c>
    </row>
    <row r="195">
      <c r="A195" s="5" t="str">
        <f>IFERROR(__xludf.DUMMYFUNCTION("""COMPUTED_VALUE"""),"France, Netherlands, South Africa, Finland")</f>
        <v>France, Netherlands, South Africa, Finland</v>
      </c>
      <c r="B195" s="5">
        <f>COUNTIF(data!F:F, A195)</f>
        <v>1</v>
      </c>
    </row>
    <row r="196">
      <c r="A196" s="5" t="str">
        <f>IFERROR(__xludf.DUMMYFUNCTION("""COMPUTED_VALUE"""),"France, New Zealand")</f>
        <v>France, New Zealand</v>
      </c>
      <c r="B196" s="5">
        <f>COUNTIF(data!F:F, A196)</f>
        <v>1</v>
      </c>
    </row>
    <row r="197">
      <c r="A197" s="5" t="str">
        <f>IFERROR(__xludf.DUMMYFUNCTION("""COMPUTED_VALUE"""),"France, Norway, Lebanon, Belgium")</f>
        <v>France, Norway, Lebanon, Belgium</v>
      </c>
      <c r="B197" s="5">
        <f>COUNTIF(data!F:F, A197)</f>
        <v>1</v>
      </c>
    </row>
    <row r="198">
      <c r="A198" s="5" t="str">
        <f>IFERROR(__xludf.DUMMYFUNCTION("""COMPUTED_VALUE"""),"France, Qatar")</f>
        <v>France, Qatar</v>
      </c>
      <c r="B198" s="5">
        <f>COUNTIF(data!F:F, A198)</f>
        <v>1</v>
      </c>
    </row>
    <row r="199">
      <c r="A199" s="5" t="str">
        <f>IFERROR(__xludf.DUMMYFUNCTION("""COMPUTED_VALUE"""),"France, Senegal, Belgium")</f>
        <v>France, Senegal, Belgium</v>
      </c>
      <c r="B199" s="5">
        <f>COUNTIF(data!F:F, A199)</f>
        <v>1</v>
      </c>
    </row>
    <row r="200">
      <c r="A200" s="5" t="str">
        <f>IFERROR(__xludf.DUMMYFUNCTION("""COMPUTED_VALUE"""),"France, South Korea, Japan")</f>
        <v>France, South Korea, Japan</v>
      </c>
      <c r="B200" s="5">
        <f>COUNTIF(data!F:F, A200)</f>
        <v>1</v>
      </c>
    </row>
    <row r="201">
      <c r="A201" s="5" t="str">
        <f>IFERROR(__xludf.DUMMYFUNCTION("""COMPUTED_VALUE"""),"France, South Korea, Japan, United States")</f>
        <v>France, South Korea, Japan, United States</v>
      </c>
      <c r="B201" s="5">
        <f>COUNTIF(data!F:F, A201)</f>
        <v>1</v>
      </c>
    </row>
    <row r="202">
      <c r="A202" s="5" t="str">
        <f>IFERROR(__xludf.DUMMYFUNCTION("""COMPUTED_VALUE"""),"France, Switzerland, Spain, United States, United Arab Emirates")</f>
        <v>France, Switzerland, Spain, United States, United Arab Emirates</v>
      </c>
      <c r="B202" s="5">
        <f>COUNTIF(data!F:F, A202)</f>
        <v>1</v>
      </c>
    </row>
    <row r="203">
      <c r="A203" s="5" t="str">
        <f>IFERROR(__xludf.DUMMYFUNCTION("""COMPUTED_VALUE"""),"France, United Kingdom")</f>
        <v>France, United Kingdom</v>
      </c>
      <c r="B203" s="5">
        <f>COUNTIF(data!F:F, A203)</f>
        <v>1</v>
      </c>
    </row>
    <row r="204">
      <c r="A204" s="5" t="str">
        <f>IFERROR(__xludf.DUMMYFUNCTION("""COMPUTED_VALUE"""),"France, United Kingdom, India")</f>
        <v>France, United Kingdom, India</v>
      </c>
      <c r="B204" s="5">
        <f>COUNTIF(data!F:F, A204)</f>
        <v>1</v>
      </c>
    </row>
    <row r="205">
      <c r="A205" s="5" t="str">
        <f>IFERROR(__xludf.DUMMYFUNCTION("""COMPUTED_VALUE"""),"France, United Kingdom, United States")</f>
        <v>France, United Kingdom, United States</v>
      </c>
      <c r="B205" s="5">
        <f>COUNTIF(data!F:F, A205)</f>
        <v>2</v>
      </c>
    </row>
    <row r="206">
      <c r="A206" s="5" t="str">
        <f>IFERROR(__xludf.DUMMYFUNCTION("""COMPUTED_VALUE"""),"France, United States")</f>
        <v>France, United States</v>
      </c>
      <c r="B206" s="5">
        <f>COUNTIF(data!F:F, A206)</f>
        <v>10</v>
      </c>
    </row>
    <row r="207">
      <c r="A207" s="5" t="str">
        <f>IFERROR(__xludf.DUMMYFUNCTION("""COMPUTED_VALUE"""),"France, United States, Canada")</f>
        <v>France, United States, Canada</v>
      </c>
      <c r="B207" s="5">
        <f>COUNTIF(data!F:F, A207)</f>
        <v>1</v>
      </c>
    </row>
    <row r="208">
      <c r="A208" s="5" t="str">
        <f>IFERROR(__xludf.DUMMYFUNCTION("""COMPUTED_VALUE"""),"France, United States, Mexico")</f>
        <v>France, United States, Mexico</v>
      </c>
      <c r="B208" s="5">
        <f>COUNTIF(data!F:F, A208)</f>
        <v>1</v>
      </c>
    </row>
    <row r="209">
      <c r="A209" s="5" t="str">
        <f>IFERROR(__xludf.DUMMYFUNCTION("""COMPUTED_VALUE"""),"France, United States, United Kingdom, Canada")</f>
        <v>France, United States, United Kingdom, Canada</v>
      </c>
      <c r="B209" s="5">
        <f>COUNTIF(data!F:F, A209)</f>
        <v>1</v>
      </c>
    </row>
    <row r="210">
      <c r="A210" s="5" t="str">
        <f>IFERROR(__xludf.DUMMYFUNCTION("""COMPUTED_VALUE"""),"Georgia")</f>
        <v>Georgia</v>
      </c>
      <c r="B210" s="5">
        <f>COUNTIF(data!F:F, A210)</f>
        <v>1</v>
      </c>
    </row>
    <row r="211">
      <c r="A211" s="5" t="str">
        <f>IFERROR(__xludf.DUMMYFUNCTION("""COMPUTED_VALUE"""),"Georgia, Germany, France")</f>
        <v>Georgia, Germany, France</v>
      </c>
      <c r="B211" s="5">
        <f>COUNTIF(data!F:F, A211)</f>
        <v>1</v>
      </c>
    </row>
    <row r="212">
      <c r="A212" s="5" t="str">
        <f>IFERROR(__xludf.DUMMYFUNCTION("""COMPUTED_VALUE"""),"Germany")</f>
        <v>Germany</v>
      </c>
      <c r="B212" s="5">
        <f>COUNTIF(data!F:F, A212)</f>
        <v>67</v>
      </c>
    </row>
    <row r="213">
      <c r="A213" s="5" t="str">
        <f>IFERROR(__xludf.DUMMYFUNCTION("""COMPUTED_VALUE"""),"Germany, Australia")</f>
        <v>Germany, Australia</v>
      </c>
      <c r="B213" s="5">
        <f>COUNTIF(data!F:F, A213)</f>
        <v>1</v>
      </c>
    </row>
    <row r="214">
      <c r="A214" s="5" t="str">
        <f>IFERROR(__xludf.DUMMYFUNCTION("""COMPUTED_VALUE"""),"Germany, Australia, France, China")</f>
        <v>Germany, Australia, France, China</v>
      </c>
      <c r="B214" s="5">
        <f>COUNTIF(data!F:F, A214)</f>
        <v>1</v>
      </c>
    </row>
    <row r="215">
      <c r="A215" s="5" t="str">
        <f>IFERROR(__xludf.DUMMYFUNCTION("""COMPUTED_VALUE"""),"Germany, Belgium")</f>
        <v>Germany, Belgium</v>
      </c>
      <c r="B215" s="5">
        <f>COUNTIF(data!F:F, A215)</f>
        <v>1</v>
      </c>
    </row>
    <row r="216">
      <c r="A216" s="5" t="str">
        <f>IFERROR(__xludf.DUMMYFUNCTION("""COMPUTED_VALUE"""),"Germany, Canada, United States")</f>
        <v>Germany, Canada, United States</v>
      </c>
      <c r="B216" s="5">
        <f>COUNTIF(data!F:F, A216)</f>
        <v>1</v>
      </c>
    </row>
    <row r="217">
      <c r="A217" s="5" t="str">
        <f>IFERROR(__xludf.DUMMYFUNCTION("""COMPUTED_VALUE"""),"Germany, China, United Kingdom")</f>
        <v>Germany, China, United Kingdom</v>
      </c>
      <c r="B217" s="5">
        <f>COUNTIF(data!F:F, A217)</f>
        <v>1</v>
      </c>
    </row>
    <row r="218">
      <c r="A218" s="5" t="str">
        <f>IFERROR(__xludf.DUMMYFUNCTION("""COMPUTED_VALUE"""),"Germany, Czech Republic")</f>
        <v>Germany, Czech Republic</v>
      </c>
      <c r="B218" s="5">
        <f>COUNTIF(data!F:F, A218)</f>
        <v>2</v>
      </c>
    </row>
    <row r="219">
      <c r="A219" s="5" t="str">
        <f>IFERROR(__xludf.DUMMYFUNCTION("""COMPUTED_VALUE"""),"Germany, France")</f>
        <v>Germany, France</v>
      </c>
      <c r="B219" s="5">
        <f>COUNTIF(data!F:F, A219)</f>
        <v>1</v>
      </c>
    </row>
    <row r="220">
      <c r="A220" s="5" t="str">
        <f>IFERROR(__xludf.DUMMYFUNCTION("""COMPUTED_VALUE"""),"Germany, France, Luxembourg, United Kingdom, United States")</f>
        <v>Germany, France, Luxembourg, United Kingdom, United States</v>
      </c>
      <c r="B220" s="5">
        <f>COUNTIF(data!F:F, A220)</f>
        <v>1</v>
      </c>
    </row>
    <row r="221">
      <c r="A221" s="5" t="str">
        <f>IFERROR(__xludf.DUMMYFUNCTION("""COMPUTED_VALUE"""),"Germany, France, Russia")</f>
        <v>Germany, France, Russia</v>
      </c>
      <c r="B221" s="5">
        <f>COUNTIF(data!F:F, A221)</f>
        <v>1</v>
      </c>
    </row>
    <row r="222">
      <c r="A222" s="5" t="str">
        <f>IFERROR(__xludf.DUMMYFUNCTION("""COMPUTED_VALUE"""),"Germany, France, United States, Canada, United Kingdom")</f>
        <v>Germany, France, United States, Canada, United Kingdom</v>
      </c>
      <c r="B222" s="5">
        <f>COUNTIF(data!F:F, A222)</f>
        <v>1</v>
      </c>
    </row>
    <row r="223">
      <c r="A223" s="5" t="str">
        <f>IFERROR(__xludf.DUMMYFUNCTION("""COMPUTED_VALUE"""),"Germany, Italy")</f>
        <v>Germany, Italy</v>
      </c>
      <c r="B223" s="5">
        <f>COUNTIF(data!F:F, A223)</f>
        <v>1</v>
      </c>
    </row>
    <row r="224">
      <c r="A224" s="5" t="str">
        <f>IFERROR(__xludf.DUMMYFUNCTION("""COMPUTED_VALUE"""),"Germany, Jordan, Netherlands")</f>
        <v>Germany, Jordan, Netherlands</v>
      </c>
      <c r="B224" s="5">
        <f>COUNTIF(data!F:F, A224)</f>
        <v>1</v>
      </c>
    </row>
    <row r="225">
      <c r="A225" s="5" t="str">
        <f>IFERROR(__xludf.DUMMYFUNCTION("""COMPUTED_VALUE"""),"Germany, Sri Lanka")</f>
        <v>Germany, Sri Lanka</v>
      </c>
      <c r="B225" s="5">
        <f>COUNTIF(data!F:F, A225)</f>
        <v>1</v>
      </c>
    </row>
    <row r="226">
      <c r="A226" s="5" t="str">
        <f>IFERROR(__xludf.DUMMYFUNCTION("""COMPUTED_VALUE"""),"Germany, United Kingdom")</f>
        <v>Germany, United Kingdom</v>
      </c>
      <c r="B226" s="5">
        <f>COUNTIF(data!F:F, A226)</f>
        <v>2</v>
      </c>
    </row>
    <row r="227">
      <c r="A227" s="5" t="str">
        <f>IFERROR(__xludf.DUMMYFUNCTION("""COMPUTED_VALUE"""),"Germany, United Kingdom, United States")</f>
        <v>Germany, United Kingdom, United States</v>
      </c>
      <c r="B227" s="5">
        <f>COUNTIF(data!F:F, A227)</f>
        <v>1</v>
      </c>
    </row>
    <row r="228">
      <c r="A228" s="5" t="str">
        <f>IFERROR(__xludf.DUMMYFUNCTION("""COMPUTED_VALUE"""),"Germany, United States")</f>
        <v>Germany, United States</v>
      </c>
      <c r="B228" s="5">
        <f>COUNTIF(data!F:F, A228)</f>
        <v>13</v>
      </c>
    </row>
    <row r="229">
      <c r="A229" s="5" t="str">
        <f>IFERROR(__xludf.DUMMYFUNCTION("""COMPUTED_VALUE"""),"Germany, United States, Canada")</f>
        <v>Germany, United States, Canada</v>
      </c>
      <c r="B229" s="5">
        <f>COUNTIF(data!F:F, A229)</f>
        <v>1</v>
      </c>
    </row>
    <row r="230">
      <c r="A230" s="5" t="str">
        <f>IFERROR(__xludf.DUMMYFUNCTION("""COMPUTED_VALUE"""),"Germany, United States, France")</f>
        <v>Germany, United States, France</v>
      </c>
      <c r="B230" s="5">
        <f>COUNTIF(data!F:F, A230)</f>
        <v>1</v>
      </c>
    </row>
    <row r="231">
      <c r="A231" s="5" t="str">
        <f>IFERROR(__xludf.DUMMYFUNCTION("""COMPUTED_VALUE"""),"Germany, United States, Hong Kong, Singapore")</f>
        <v>Germany, United States, Hong Kong, Singapore</v>
      </c>
      <c r="B231" s="5">
        <f>COUNTIF(data!F:F, A231)</f>
        <v>1</v>
      </c>
    </row>
    <row r="232">
      <c r="A232" s="5" t="str">
        <f>IFERROR(__xludf.DUMMYFUNCTION("""COMPUTED_VALUE"""),"Germany, United States, Italy")</f>
        <v>Germany, United States, Italy</v>
      </c>
      <c r="B232" s="5">
        <f>COUNTIF(data!F:F, A232)</f>
        <v>1</v>
      </c>
    </row>
    <row r="233">
      <c r="A233" s="5" t="str">
        <f>IFERROR(__xludf.DUMMYFUNCTION("""COMPUTED_VALUE"""),"Germany, United States, Sweden")</f>
        <v>Germany, United States, Sweden</v>
      </c>
      <c r="B233" s="5">
        <f>COUNTIF(data!F:F, A233)</f>
        <v>1</v>
      </c>
    </row>
    <row r="234">
      <c r="A234" s="5" t="str">
        <f>IFERROR(__xludf.DUMMYFUNCTION("""COMPUTED_VALUE"""),"Germany, United States, United Kingdom, Canada")</f>
        <v>Germany, United States, United Kingdom, Canada</v>
      </c>
      <c r="B234" s="5">
        <f>COUNTIF(data!F:F, A234)</f>
        <v>1</v>
      </c>
    </row>
    <row r="235">
      <c r="A235" s="5" t="str">
        <f>IFERROR(__xludf.DUMMYFUNCTION("""COMPUTED_VALUE"""),"Ghana")</f>
        <v>Ghana</v>
      </c>
      <c r="B235" s="5">
        <f>COUNTIF(data!F:F, A235)</f>
        <v>3</v>
      </c>
    </row>
    <row r="236">
      <c r="A236" s="5" t="str">
        <f>IFERROR(__xludf.DUMMYFUNCTION("""COMPUTED_VALUE"""),"Ghana, United States")</f>
        <v>Ghana, United States</v>
      </c>
      <c r="B236" s="5">
        <f>COUNTIF(data!F:F, A236)</f>
        <v>1</v>
      </c>
    </row>
    <row r="237">
      <c r="A237" s="5" t="str">
        <f>IFERROR(__xludf.DUMMYFUNCTION("""COMPUTED_VALUE"""),"Greece, United States")</f>
        <v>Greece, United States</v>
      </c>
      <c r="B237" s="5">
        <f>COUNTIF(data!F:F, A237)</f>
        <v>1</v>
      </c>
    </row>
    <row r="238">
      <c r="A238" s="5" t="str">
        <f>IFERROR(__xludf.DUMMYFUNCTION("""COMPUTED_VALUE"""),"Guatemala")</f>
        <v>Guatemala</v>
      </c>
      <c r="B238" s="5">
        <f>COUNTIF(data!F:F, A238)</f>
        <v>1</v>
      </c>
    </row>
    <row r="239">
      <c r="A239" s="5" t="str">
        <f>IFERROR(__xludf.DUMMYFUNCTION("""COMPUTED_VALUE"""),"Hong Kong")</f>
        <v>Hong Kong</v>
      </c>
      <c r="B239" s="5">
        <f>COUNTIF(data!F:F, A239)</f>
        <v>53</v>
      </c>
    </row>
    <row r="240">
      <c r="A240" s="5" t="str">
        <f>IFERROR(__xludf.DUMMYFUNCTION("""COMPUTED_VALUE"""),"Hong Kong, Canada, United States")</f>
        <v>Hong Kong, Canada, United States</v>
      </c>
      <c r="B240" s="5">
        <f>COUNTIF(data!F:F, A240)</f>
        <v>1</v>
      </c>
    </row>
    <row r="241">
      <c r="A241" s="5" t="str">
        <f>IFERROR(__xludf.DUMMYFUNCTION("""COMPUTED_VALUE"""),"Hong Kong, China")</f>
        <v>Hong Kong, China</v>
      </c>
      <c r="B241" s="5">
        <f>COUNTIF(data!F:F, A241)</f>
        <v>16</v>
      </c>
    </row>
    <row r="242">
      <c r="A242" s="5" t="str">
        <f>IFERROR(__xludf.DUMMYFUNCTION("""COMPUTED_VALUE"""),"Hong Kong, China, Singapore")</f>
        <v>Hong Kong, China, Singapore</v>
      </c>
      <c r="B242" s="5">
        <f>COUNTIF(data!F:F, A242)</f>
        <v>1</v>
      </c>
    </row>
    <row r="243">
      <c r="A243" s="5" t="str">
        <f>IFERROR(__xludf.DUMMYFUNCTION("""COMPUTED_VALUE"""),"Hong Kong, China, United States")</f>
        <v>Hong Kong, China, United States</v>
      </c>
      <c r="B243" s="5">
        <f>COUNTIF(data!F:F, A243)</f>
        <v>2</v>
      </c>
    </row>
    <row r="244">
      <c r="A244" s="5" t="str">
        <f>IFERROR(__xludf.DUMMYFUNCTION("""COMPUTED_VALUE"""),"Hong Kong, Iceland, United States")</f>
        <v>Hong Kong, Iceland, United States</v>
      </c>
      <c r="B244" s="5">
        <f>COUNTIF(data!F:F, A244)</f>
        <v>1</v>
      </c>
    </row>
    <row r="245">
      <c r="A245" s="5" t="str">
        <f>IFERROR(__xludf.DUMMYFUNCTION("""COMPUTED_VALUE"""),"Hong Kong, Taiwan")</f>
        <v>Hong Kong, Taiwan</v>
      </c>
      <c r="B245" s="5">
        <f>COUNTIF(data!F:F, A245)</f>
        <v>1</v>
      </c>
    </row>
    <row r="246">
      <c r="A246" s="5" t="str">
        <f>IFERROR(__xludf.DUMMYFUNCTION("""COMPUTED_VALUE"""),"Hong Kong, United States")</f>
        <v>Hong Kong, United States</v>
      </c>
      <c r="B246" s="5">
        <f>COUNTIF(data!F:F, A246)</f>
        <v>4</v>
      </c>
    </row>
    <row r="247">
      <c r="A247" s="5" t="str">
        <f>IFERROR(__xludf.DUMMYFUNCTION("""COMPUTED_VALUE"""),"Hungary")</f>
        <v>Hungary</v>
      </c>
      <c r="B247" s="5">
        <f>COUNTIF(data!F:F, A247)</f>
        <v>4</v>
      </c>
    </row>
    <row r="248">
      <c r="A248" s="5" t="str">
        <f>IFERROR(__xludf.DUMMYFUNCTION("""COMPUTED_VALUE"""),"Hungary, United States")</f>
        <v>Hungary, United States</v>
      </c>
      <c r="B248" s="5">
        <f>COUNTIF(data!F:F, A248)</f>
        <v>1</v>
      </c>
    </row>
    <row r="249">
      <c r="A249" s="5" t="str">
        <f>IFERROR(__xludf.DUMMYFUNCTION("""COMPUTED_VALUE"""),"Iceland")</f>
        <v>Iceland</v>
      </c>
      <c r="B249" s="5">
        <f>COUNTIF(data!F:F, A249)</f>
        <v>5</v>
      </c>
    </row>
    <row r="250">
      <c r="A250" s="5" t="str">
        <f>IFERROR(__xludf.DUMMYFUNCTION("""COMPUTED_VALUE"""),"Iceland, Sweden, Belgium")</f>
        <v>Iceland, Sweden, Belgium</v>
      </c>
      <c r="B250" s="5">
        <f>COUNTIF(data!F:F, A250)</f>
        <v>1</v>
      </c>
    </row>
    <row r="251">
      <c r="A251" s="5" t="str">
        <f>IFERROR(__xludf.DUMMYFUNCTION("""COMPUTED_VALUE"""),"India")</f>
        <v>India</v>
      </c>
      <c r="B251" s="5">
        <f>COUNTIF(data!F:F, A251)</f>
        <v>972</v>
      </c>
    </row>
    <row r="252">
      <c r="A252" s="5" t="str">
        <f>IFERROR(__xludf.DUMMYFUNCTION("""COMPUTED_VALUE"""),"India, Australia")</f>
        <v>India, Australia</v>
      </c>
      <c r="B252" s="5">
        <f>COUNTIF(data!F:F, A252)</f>
        <v>1</v>
      </c>
    </row>
    <row r="253">
      <c r="A253" s="5" t="str">
        <f>IFERROR(__xludf.DUMMYFUNCTION("""COMPUTED_VALUE"""),"India, Canada")</f>
        <v>India, Canada</v>
      </c>
      <c r="B253" s="5">
        <f>COUNTIF(data!F:F, A253)</f>
        <v>1</v>
      </c>
    </row>
    <row r="254">
      <c r="A254" s="5" t="str">
        <f>IFERROR(__xludf.DUMMYFUNCTION("""COMPUTED_VALUE"""),"India, France")</f>
        <v>India, France</v>
      </c>
      <c r="B254" s="5">
        <f>COUNTIF(data!F:F, A254)</f>
        <v>5</v>
      </c>
    </row>
    <row r="255">
      <c r="A255" s="5" t="str">
        <f>IFERROR(__xludf.DUMMYFUNCTION("""COMPUTED_VALUE"""),"India, Germany")</f>
        <v>India, Germany</v>
      </c>
      <c r="B255" s="5">
        <f>COUNTIF(data!F:F, A255)</f>
        <v>2</v>
      </c>
    </row>
    <row r="256">
      <c r="A256" s="5" t="str">
        <f>IFERROR(__xludf.DUMMYFUNCTION("""COMPUTED_VALUE"""),"India, Germany, Austria")</f>
        <v>India, Germany, Austria</v>
      </c>
      <c r="B256" s="5">
        <f>COUNTIF(data!F:F, A256)</f>
        <v>1</v>
      </c>
    </row>
    <row r="257">
      <c r="A257" s="5" t="str">
        <f>IFERROR(__xludf.DUMMYFUNCTION("""COMPUTED_VALUE"""),"India, Germany, France")</f>
        <v>India, Germany, France</v>
      </c>
      <c r="B257" s="5">
        <f>COUNTIF(data!F:F, A257)</f>
        <v>1</v>
      </c>
    </row>
    <row r="258">
      <c r="A258" s="5" t="str">
        <f>IFERROR(__xludf.DUMMYFUNCTION("""COMPUTED_VALUE"""),"India, Iran")</f>
        <v>India, Iran</v>
      </c>
      <c r="B258" s="5">
        <f>COUNTIF(data!F:F, A258)</f>
        <v>1</v>
      </c>
    </row>
    <row r="259">
      <c r="A259" s="5" t="str">
        <f>IFERROR(__xludf.DUMMYFUNCTION("""COMPUTED_VALUE"""),"India, Japan")</f>
        <v>India, Japan</v>
      </c>
      <c r="B259" s="5">
        <f>COUNTIF(data!F:F, A259)</f>
        <v>1</v>
      </c>
    </row>
    <row r="260">
      <c r="A260" s="5" t="str">
        <f>IFERROR(__xludf.DUMMYFUNCTION("""COMPUTED_VALUE"""),"India, Malaysia")</f>
        <v>India, Malaysia</v>
      </c>
      <c r="B260" s="5">
        <f>COUNTIF(data!F:F, A260)</f>
        <v>1</v>
      </c>
    </row>
    <row r="261">
      <c r="A261" s="5" t="str">
        <f>IFERROR(__xludf.DUMMYFUNCTION("""COMPUTED_VALUE"""),"India, Mexico")</f>
        <v>India, Mexico</v>
      </c>
      <c r="B261" s="5">
        <f>COUNTIF(data!F:F, A261)</f>
        <v>1</v>
      </c>
    </row>
    <row r="262">
      <c r="A262" s="5" t="str">
        <f>IFERROR(__xludf.DUMMYFUNCTION("""COMPUTED_VALUE"""),"India, Nepal")</f>
        <v>India, Nepal</v>
      </c>
      <c r="B262" s="5">
        <f>COUNTIF(data!F:F, A262)</f>
        <v>1</v>
      </c>
    </row>
    <row r="263">
      <c r="A263" s="5" t="str">
        <f>IFERROR(__xludf.DUMMYFUNCTION("""COMPUTED_VALUE"""),"India, Pakistan")</f>
        <v>India, Pakistan</v>
      </c>
      <c r="B263" s="5">
        <f>COUNTIF(data!F:F, A263)</f>
        <v>1</v>
      </c>
    </row>
    <row r="264">
      <c r="A264" s="5" t="str">
        <f>IFERROR(__xludf.DUMMYFUNCTION("""COMPUTED_VALUE"""),"India, Soviet Union")</f>
        <v>India, Soviet Union</v>
      </c>
      <c r="B264" s="5">
        <f>COUNTIF(data!F:F, A264)</f>
        <v>2</v>
      </c>
    </row>
    <row r="265">
      <c r="A265" s="5" t="str">
        <f>IFERROR(__xludf.DUMMYFUNCTION("""COMPUTED_VALUE"""),"India, Switzerland")</f>
        <v>India, Switzerland</v>
      </c>
      <c r="B265" s="5">
        <f>COUNTIF(data!F:F, A265)</f>
        <v>1</v>
      </c>
    </row>
    <row r="266">
      <c r="A266" s="5" t="str">
        <f>IFERROR(__xludf.DUMMYFUNCTION("""COMPUTED_VALUE"""),"India, Turkey")</f>
        <v>India, Turkey</v>
      </c>
      <c r="B266" s="5">
        <f>COUNTIF(data!F:F, A266)</f>
        <v>1</v>
      </c>
    </row>
    <row r="267">
      <c r="A267" s="5" t="str">
        <f>IFERROR(__xludf.DUMMYFUNCTION("""COMPUTED_VALUE"""),"India, United Kingdom")</f>
        <v>India, United Kingdom</v>
      </c>
      <c r="B267" s="5">
        <f>COUNTIF(data!F:F, A267)</f>
        <v>2</v>
      </c>
    </row>
    <row r="268">
      <c r="A268" s="5" t="str">
        <f>IFERROR(__xludf.DUMMYFUNCTION("""COMPUTED_VALUE"""),"India, United Kingdom, Canada, United States")</f>
        <v>India, United Kingdom, Canada, United States</v>
      </c>
      <c r="B268" s="5">
        <f>COUNTIF(data!F:F, A268)</f>
        <v>1</v>
      </c>
    </row>
    <row r="269">
      <c r="A269" s="5" t="str">
        <f>IFERROR(__xludf.DUMMYFUNCTION("""COMPUTED_VALUE"""),"India, United Kingdom, China, Canada, Japan, South Korea, United States")</f>
        <v>India, United Kingdom, China, Canada, Japan, South Korea, United States</v>
      </c>
      <c r="B269" s="5">
        <f>COUNTIF(data!F:F, A269)</f>
        <v>1</v>
      </c>
    </row>
    <row r="270">
      <c r="A270" s="5" t="str">
        <f>IFERROR(__xludf.DUMMYFUNCTION("""COMPUTED_VALUE"""),"India, United Kingdom, France, Qatar")</f>
        <v>India, United Kingdom, France, Qatar</v>
      </c>
      <c r="B270" s="5">
        <f>COUNTIF(data!F:F, A270)</f>
        <v>1</v>
      </c>
    </row>
    <row r="271">
      <c r="A271" s="5" t="str">
        <f>IFERROR(__xludf.DUMMYFUNCTION("""COMPUTED_VALUE"""),"India, United States")</f>
        <v>India, United States</v>
      </c>
      <c r="B271" s="5">
        <f>COUNTIF(data!F:F, A271)</f>
        <v>10</v>
      </c>
    </row>
    <row r="272">
      <c r="A272" s="5" t="str">
        <f>IFERROR(__xludf.DUMMYFUNCTION("""COMPUTED_VALUE"""),"Indonesia")</f>
        <v>Indonesia</v>
      </c>
      <c r="B272" s="5">
        <f>COUNTIF(data!F:F, A272)</f>
        <v>79</v>
      </c>
    </row>
    <row r="273">
      <c r="A273" s="5" t="str">
        <f>IFERROR(__xludf.DUMMYFUNCTION("""COMPUTED_VALUE"""),"Indonesia, Netherlands")</f>
        <v>Indonesia, Netherlands</v>
      </c>
      <c r="B273" s="5">
        <f>COUNTIF(data!F:F, A273)</f>
        <v>1</v>
      </c>
    </row>
    <row r="274">
      <c r="A274" s="5" t="str">
        <f>IFERROR(__xludf.DUMMYFUNCTION("""COMPUTED_VALUE"""),"Indonesia, Singapore")</f>
        <v>Indonesia, Singapore</v>
      </c>
      <c r="B274" s="5">
        <f>COUNTIF(data!F:F, A274)</f>
        <v>2</v>
      </c>
    </row>
    <row r="275">
      <c r="A275" s="5" t="str">
        <f>IFERROR(__xludf.DUMMYFUNCTION("""COMPUTED_VALUE"""),"Indonesia, South Korea, Singapore")</f>
        <v>Indonesia, South Korea, Singapore</v>
      </c>
      <c r="B275" s="5">
        <f>COUNTIF(data!F:F, A275)</f>
        <v>1</v>
      </c>
    </row>
    <row r="276">
      <c r="A276" s="5" t="str">
        <f>IFERROR(__xludf.DUMMYFUNCTION("""COMPUTED_VALUE"""),"Indonesia, United Kingdom")</f>
        <v>Indonesia, United Kingdom</v>
      </c>
      <c r="B276" s="5">
        <f>COUNTIF(data!F:F, A276)</f>
        <v>1</v>
      </c>
    </row>
    <row r="277">
      <c r="A277" s="5" t="str">
        <f>IFERROR(__xludf.DUMMYFUNCTION("""COMPUTED_VALUE"""),"Indonesia, United States")</f>
        <v>Indonesia, United States</v>
      </c>
      <c r="B277" s="5">
        <f>COUNTIF(data!F:F, A277)</f>
        <v>1</v>
      </c>
    </row>
    <row r="278">
      <c r="A278" s="5" t="str">
        <f>IFERROR(__xludf.DUMMYFUNCTION("""COMPUTED_VALUE"""),"Iran, France")</f>
        <v>Iran, France</v>
      </c>
      <c r="B278" s="5">
        <f>COUNTIF(data!F:F, A278)</f>
        <v>1</v>
      </c>
    </row>
    <row r="279">
      <c r="A279" s="5" t="str">
        <f>IFERROR(__xludf.DUMMYFUNCTION("""COMPUTED_VALUE"""),"Ireland")</f>
        <v>Ireland</v>
      </c>
      <c r="B279" s="5">
        <f>COUNTIF(data!F:F, A279)</f>
        <v>10</v>
      </c>
    </row>
    <row r="280">
      <c r="A280" s="5" t="str">
        <f>IFERROR(__xludf.DUMMYFUNCTION("""COMPUTED_VALUE"""),"Ireland, Canada")</f>
        <v>Ireland, Canada</v>
      </c>
      <c r="B280" s="5">
        <f>COUNTIF(data!F:F, A280)</f>
        <v>1</v>
      </c>
    </row>
    <row r="281">
      <c r="A281" s="5" t="str">
        <f>IFERROR(__xludf.DUMMYFUNCTION("""COMPUTED_VALUE"""),"Ireland, Canada, Luxembourg, United States, United Kingdom, Philippines, India")</f>
        <v>Ireland, Canada, Luxembourg, United States, United Kingdom, Philippines, India</v>
      </c>
      <c r="B281" s="5">
        <f>COUNTIF(data!F:F, A281)</f>
        <v>1</v>
      </c>
    </row>
    <row r="282">
      <c r="A282" s="5" t="str">
        <f>IFERROR(__xludf.DUMMYFUNCTION("""COMPUTED_VALUE"""),"Ireland, Canada, United Kingdom, United States")</f>
        <v>Ireland, Canada, United Kingdom, United States</v>
      </c>
      <c r="B282" s="5">
        <f>COUNTIF(data!F:F, A282)</f>
        <v>1</v>
      </c>
    </row>
    <row r="283">
      <c r="A283" s="5" t="str">
        <f>IFERROR(__xludf.DUMMYFUNCTION("""COMPUTED_VALUE"""),"Ireland, Canada, United States, United Kingdom")</f>
        <v>Ireland, Canada, United States, United Kingdom</v>
      </c>
      <c r="B283" s="5">
        <f>COUNTIF(data!F:F, A283)</f>
        <v>1</v>
      </c>
    </row>
    <row r="284">
      <c r="A284" s="5" t="str">
        <f>IFERROR(__xludf.DUMMYFUNCTION("""COMPUTED_VALUE"""),"Ireland, France, Iceland, United States, Mexico, Belgium, United Kingdom, Hong Kong")</f>
        <v>Ireland, France, Iceland, United States, Mexico, Belgium, United Kingdom, Hong Kong</v>
      </c>
      <c r="B284" s="5">
        <f>COUNTIF(data!F:F, A284)</f>
        <v>1</v>
      </c>
    </row>
    <row r="285">
      <c r="A285" s="5" t="str">
        <f>IFERROR(__xludf.DUMMYFUNCTION("""COMPUTED_VALUE"""),"Ireland, Luxembourg, Belgium")</f>
        <v>Ireland, Luxembourg, Belgium</v>
      </c>
      <c r="B285" s="5">
        <f>COUNTIF(data!F:F, A285)</f>
        <v>1</v>
      </c>
    </row>
    <row r="286">
      <c r="A286" s="5" t="str">
        <f>IFERROR(__xludf.DUMMYFUNCTION("""COMPUTED_VALUE"""),"Ireland, South Africa")</f>
        <v>Ireland, South Africa</v>
      </c>
      <c r="B286" s="5">
        <f>COUNTIF(data!F:F, A286)</f>
        <v>1</v>
      </c>
    </row>
    <row r="287">
      <c r="A287" s="5" t="str">
        <f>IFERROR(__xludf.DUMMYFUNCTION("""COMPUTED_VALUE"""),"Ireland, Switzerland, United Kingdom, France, United States")</f>
        <v>Ireland, Switzerland, United Kingdom, France, United States</v>
      </c>
      <c r="B287" s="5">
        <f>COUNTIF(data!F:F, A287)</f>
        <v>1</v>
      </c>
    </row>
    <row r="288">
      <c r="A288" s="5" t="str">
        <f>IFERROR(__xludf.DUMMYFUNCTION("""COMPUTED_VALUE"""),"Ireland, United Kingdom")</f>
        <v>Ireland, United Kingdom</v>
      </c>
      <c r="B288" s="5">
        <f>COUNTIF(data!F:F, A288)</f>
        <v>2</v>
      </c>
    </row>
    <row r="289">
      <c r="A289" s="5" t="str">
        <f>IFERROR(__xludf.DUMMYFUNCTION("""COMPUTED_VALUE"""),"Ireland, United Kingdom, France, Germany")</f>
        <v>Ireland, United Kingdom, France, Germany</v>
      </c>
      <c r="B289" s="5">
        <f>COUNTIF(data!F:F, A289)</f>
        <v>1</v>
      </c>
    </row>
    <row r="290">
      <c r="A290" s="5" t="str">
        <f>IFERROR(__xludf.DUMMYFUNCTION("""COMPUTED_VALUE"""),"Ireland, United Kingdom, Greece, France, Netherlands")</f>
        <v>Ireland, United Kingdom, Greece, France, Netherlands</v>
      </c>
      <c r="B290" s="5">
        <f>COUNTIF(data!F:F, A290)</f>
        <v>1</v>
      </c>
    </row>
    <row r="291">
      <c r="A291" s="5" t="str">
        <f>IFERROR(__xludf.DUMMYFUNCTION("""COMPUTED_VALUE"""),"Ireland, United Kingdom, Italy, United States")</f>
        <v>Ireland, United Kingdom, Italy, United States</v>
      </c>
      <c r="B291" s="5">
        <f>COUNTIF(data!F:F, A291)</f>
        <v>1</v>
      </c>
    </row>
    <row r="292">
      <c r="A292" s="5" t="str">
        <f>IFERROR(__xludf.DUMMYFUNCTION("""COMPUTED_VALUE"""),"Ireland, United Kingdom, United States")</f>
        <v>Ireland, United Kingdom, United States</v>
      </c>
      <c r="B292" s="5">
        <f>COUNTIF(data!F:F, A292)</f>
        <v>2</v>
      </c>
    </row>
    <row r="293">
      <c r="A293" s="5" t="str">
        <f>IFERROR(__xludf.DUMMYFUNCTION("""COMPUTED_VALUE"""),"Ireland, United States")</f>
        <v>Ireland, United States</v>
      </c>
      <c r="B293" s="5">
        <f>COUNTIF(data!F:F, A293)</f>
        <v>1</v>
      </c>
    </row>
    <row r="294">
      <c r="A294" s="5" t="str">
        <f>IFERROR(__xludf.DUMMYFUNCTION("""COMPUTED_VALUE"""),"Ireland, United States, France")</f>
        <v>Ireland, United States, France</v>
      </c>
      <c r="B294" s="5">
        <f>COUNTIF(data!F:F, A294)</f>
        <v>1</v>
      </c>
    </row>
    <row r="295">
      <c r="A295" s="5" t="str">
        <f>IFERROR(__xludf.DUMMYFUNCTION("""COMPUTED_VALUE"""),"Ireland, United States, United Kingdom")</f>
        <v>Ireland, United States, United Kingdom</v>
      </c>
      <c r="B295" s="5">
        <f>COUNTIF(data!F:F, A295)</f>
        <v>1</v>
      </c>
    </row>
    <row r="296">
      <c r="A296" s="5" t="str">
        <f>IFERROR(__xludf.DUMMYFUNCTION("""COMPUTED_VALUE"""),"Israel")</f>
        <v>Israel</v>
      </c>
      <c r="B296" s="5">
        <f>COUNTIF(data!F:F, A296)</f>
        <v>13</v>
      </c>
    </row>
    <row r="297">
      <c r="A297" s="5" t="str">
        <f>IFERROR(__xludf.DUMMYFUNCTION("""COMPUTED_VALUE"""),"Israel, Germany")</f>
        <v>Israel, Germany</v>
      </c>
      <c r="B297" s="5">
        <f>COUNTIF(data!F:F, A297)</f>
        <v>1</v>
      </c>
    </row>
    <row r="298">
      <c r="A298" s="5" t="str">
        <f>IFERROR(__xludf.DUMMYFUNCTION("""COMPUTED_VALUE"""),"Israel, Germany, France")</f>
        <v>Israel, Germany, France</v>
      </c>
      <c r="B298" s="5">
        <f>COUNTIF(data!F:F, A298)</f>
        <v>1</v>
      </c>
    </row>
    <row r="299">
      <c r="A299" s="5" t="str">
        <f>IFERROR(__xludf.DUMMYFUNCTION("""COMPUTED_VALUE"""),"Israel, Germany, Poland, Luxembourg, Belgium, France, United States")</f>
        <v>Israel, Germany, Poland, Luxembourg, Belgium, France, United States</v>
      </c>
      <c r="B299" s="5">
        <f>COUNTIF(data!F:F, A299)</f>
        <v>1</v>
      </c>
    </row>
    <row r="300">
      <c r="A300" s="5" t="str">
        <f>IFERROR(__xludf.DUMMYFUNCTION("""COMPUTED_VALUE"""),"Israel, Sweden, Germany, Netherlands")</f>
        <v>Israel, Sweden, Germany, Netherlands</v>
      </c>
      <c r="B300" s="5">
        <f>COUNTIF(data!F:F, A300)</f>
        <v>1</v>
      </c>
    </row>
    <row r="301">
      <c r="A301" s="5" t="str">
        <f>IFERROR(__xludf.DUMMYFUNCTION("""COMPUTED_VALUE"""),"Israel, United States")</f>
        <v>Israel, United States</v>
      </c>
      <c r="B301" s="5">
        <f>COUNTIF(data!F:F, A301)</f>
        <v>5</v>
      </c>
    </row>
    <row r="302">
      <c r="A302" s="5" t="str">
        <f>IFERROR(__xludf.DUMMYFUNCTION("""COMPUTED_VALUE"""),"Italy")</f>
        <v>Italy</v>
      </c>
      <c r="B302" s="5">
        <f>COUNTIF(data!F:F, A302)</f>
        <v>45</v>
      </c>
    </row>
    <row r="303">
      <c r="A303" s="5" t="str">
        <f>IFERROR(__xludf.DUMMYFUNCTION("""COMPUTED_VALUE"""),"Italy, Belgium")</f>
        <v>Italy, Belgium</v>
      </c>
      <c r="B303" s="5">
        <f>COUNTIF(data!F:F, A303)</f>
        <v>1</v>
      </c>
    </row>
    <row r="304">
      <c r="A304" s="5" t="str">
        <f>IFERROR(__xludf.DUMMYFUNCTION("""COMPUTED_VALUE"""),"Italy, Brazil, Greece")</f>
        <v>Italy, Brazil, Greece</v>
      </c>
      <c r="B304" s="5">
        <f>COUNTIF(data!F:F, A304)</f>
        <v>1</v>
      </c>
    </row>
    <row r="305">
      <c r="A305" s="5" t="str">
        <f>IFERROR(__xludf.DUMMYFUNCTION("""COMPUTED_VALUE"""),"Italy, Canada, France")</f>
        <v>Italy, Canada, France</v>
      </c>
      <c r="B305" s="5">
        <f>COUNTIF(data!F:F, A305)</f>
        <v>1</v>
      </c>
    </row>
    <row r="306">
      <c r="A306" s="5" t="str">
        <f>IFERROR(__xludf.DUMMYFUNCTION("""COMPUTED_VALUE"""),"Italy, France")</f>
        <v>Italy, France</v>
      </c>
      <c r="B306" s="5">
        <f>COUNTIF(data!F:F, A306)</f>
        <v>5</v>
      </c>
    </row>
    <row r="307">
      <c r="A307" s="5" t="str">
        <f>IFERROR(__xludf.DUMMYFUNCTION("""COMPUTED_VALUE"""),"Italy, France, Switzerland")</f>
        <v>Italy, France, Switzerland</v>
      </c>
      <c r="B307" s="5">
        <f>COUNTIF(data!F:F, A307)</f>
        <v>1</v>
      </c>
    </row>
    <row r="308">
      <c r="A308" s="5" t="str">
        <f>IFERROR(__xludf.DUMMYFUNCTION("""COMPUTED_VALUE"""),"Italy, Germany")</f>
        <v>Italy, Germany</v>
      </c>
      <c r="B308" s="5">
        <f>COUNTIF(data!F:F, A308)</f>
        <v>1</v>
      </c>
    </row>
    <row r="309">
      <c r="A309" s="5" t="str">
        <f>IFERROR(__xludf.DUMMYFUNCTION("""COMPUTED_VALUE"""),"Italy, India")</f>
        <v>Italy, India</v>
      </c>
      <c r="B309" s="5">
        <f>COUNTIF(data!F:F, A309)</f>
        <v>1</v>
      </c>
    </row>
    <row r="310">
      <c r="A310" s="5" t="str">
        <f>IFERROR(__xludf.DUMMYFUNCTION("""COMPUTED_VALUE"""),"Italy, South Africa, West Germany, Australia, United States")</f>
        <v>Italy, South Africa, West Germany, Australia, United States</v>
      </c>
      <c r="B310" s="5">
        <f>COUNTIF(data!F:F, A310)</f>
        <v>1</v>
      </c>
    </row>
    <row r="311">
      <c r="A311" s="5" t="str">
        <f>IFERROR(__xludf.DUMMYFUNCTION("""COMPUTED_VALUE"""),"Italy, Switzerland, Albania, Poland")</f>
        <v>Italy, Switzerland, Albania, Poland</v>
      </c>
      <c r="B311" s="5">
        <f>COUNTIF(data!F:F, A311)</f>
        <v>1</v>
      </c>
    </row>
    <row r="312">
      <c r="A312" s="5" t="str">
        <f>IFERROR(__xludf.DUMMYFUNCTION("""COMPUTED_VALUE"""),"Italy, Switzerland, France, Germany")</f>
        <v>Italy, Switzerland, France, Germany</v>
      </c>
      <c r="B312" s="5">
        <f>COUNTIF(data!F:F, A312)</f>
        <v>1</v>
      </c>
    </row>
    <row r="313">
      <c r="A313" s="5" t="str">
        <f>IFERROR(__xludf.DUMMYFUNCTION("""COMPUTED_VALUE"""),"Italy, Turkey")</f>
        <v>Italy, Turkey</v>
      </c>
      <c r="B313" s="5">
        <f>COUNTIF(data!F:F, A313)</f>
        <v>1</v>
      </c>
    </row>
    <row r="314">
      <c r="A314" s="5" t="str">
        <f>IFERROR(__xludf.DUMMYFUNCTION("""COMPUTED_VALUE"""),"Italy, United Kingdom")</f>
        <v>Italy, United Kingdom</v>
      </c>
      <c r="B314" s="5">
        <f>COUNTIF(data!F:F, A314)</f>
        <v>1</v>
      </c>
    </row>
    <row r="315">
      <c r="A315" s="5" t="str">
        <f>IFERROR(__xludf.DUMMYFUNCTION("""COMPUTED_VALUE"""),"Italy, United Kingdom, France")</f>
        <v>Italy, United Kingdom, France</v>
      </c>
      <c r="B315" s="5">
        <f>COUNTIF(data!F:F, A315)</f>
        <v>1</v>
      </c>
    </row>
    <row r="316">
      <c r="A316" s="5" t="str">
        <f>IFERROR(__xludf.DUMMYFUNCTION("""COMPUTED_VALUE"""),"Italy, United States")</f>
        <v>Italy, United States</v>
      </c>
      <c r="B316" s="5">
        <f>COUNTIF(data!F:F, A316)</f>
        <v>4</v>
      </c>
    </row>
    <row r="317">
      <c r="A317" s="5" t="str">
        <f>IFERROR(__xludf.DUMMYFUNCTION("""COMPUTED_VALUE"""),"Italy, United States, Argentina")</f>
        <v>Italy, United States, Argentina</v>
      </c>
      <c r="B317" s="5">
        <f>COUNTIF(data!F:F, A317)</f>
        <v>1</v>
      </c>
    </row>
    <row r="318">
      <c r="A318" s="5" t="str">
        <f>IFERROR(__xludf.DUMMYFUNCTION("""COMPUTED_VALUE"""),"Jamaica, United States")</f>
        <v>Jamaica, United States</v>
      </c>
      <c r="B318" s="5">
        <f>COUNTIF(data!F:F, A318)</f>
        <v>1</v>
      </c>
    </row>
    <row r="319">
      <c r="A319" s="5" t="str">
        <f>IFERROR(__xludf.DUMMYFUNCTION("""COMPUTED_VALUE"""),"Japan")</f>
        <v>Japan</v>
      </c>
      <c r="B319" s="5">
        <f>COUNTIF(data!F:F, A319)</f>
        <v>245</v>
      </c>
    </row>
    <row r="320">
      <c r="A320" s="5" t="str">
        <f>IFERROR(__xludf.DUMMYFUNCTION("""COMPUTED_VALUE"""),"Japan, Canada")</f>
        <v>Japan, Canada</v>
      </c>
      <c r="B320" s="5">
        <f>COUNTIF(data!F:F, A320)</f>
        <v>1</v>
      </c>
    </row>
    <row r="321">
      <c r="A321" s="5" t="str">
        <f>IFERROR(__xludf.DUMMYFUNCTION("""COMPUTED_VALUE"""),"Japan, Canada, United States")</f>
        <v>Japan, Canada, United States</v>
      </c>
      <c r="B321" s="5">
        <f>COUNTIF(data!F:F, A321)</f>
        <v>1</v>
      </c>
    </row>
    <row r="322">
      <c r="A322" s="5" t="str">
        <f>IFERROR(__xludf.DUMMYFUNCTION("""COMPUTED_VALUE"""),"Japan, United States")</f>
        <v>Japan, United States</v>
      </c>
      <c r="B322" s="5">
        <f>COUNTIF(data!F:F, A322)</f>
        <v>12</v>
      </c>
    </row>
    <row r="323">
      <c r="A323" s="5" t="str">
        <f>IFERROR(__xludf.DUMMYFUNCTION("""COMPUTED_VALUE"""),"Jordan")</f>
        <v>Jordan</v>
      </c>
      <c r="B323" s="5">
        <f>COUNTIF(data!F:F, A323)</f>
        <v>2</v>
      </c>
    </row>
    <row r="324">
      <c r="A324" s="5" t="str">
        <f>IFERROR(__xludf.DUMMYFUNCTION("""COMPUTED_VALUE"""),"Kenya")</f>
        <v>Kenya</v>
      </c>
      <c r="B324" s="5">
        <f>COUNTIF(data!F:F, A324)</f>
        <v>3</v>
      </c>
    </row>
    <row r="325">
      <c r="A325" s="5" t="str">
        <f>IFERROR(__xludf.DUMMYFUNCTION("""COMPUTED_VALUE"""),"Kenya, United States")</f>
        <v>Kenya, United States</v>
      </c>
      <c r="B325" s="5">
        <f>COUNTIF(data!F:F, A325)</f>
        <v>1</v>
      </c>
    </row>
    <row r="326">
      <c r="A326" s="5" t="str">
        <f>IFERROR(__xludf.DUMMYFUNCTION("""COMPUTED_VALUE"""),"Kuwait")</f>
        <v>Kuwait</v>
      </c>
      <c r="B326" s="5">
        <f>COUNTIF(data!F:F, A326)</f>
        <v>6</v>
      </c>
    </row>
    <row r="327">
      <c r="A327" s="5" t="str">
        <f>IFERROR(__xludf.DUMMYFUNCTION("""COMPUTED_VALUE"""),"Kuwait, United States")</f>
        <v>Kuwait, United States</v>
      </c>
      <c r="B327" s="5">
        <f>COUNTIF(data!F:F, A327)</f>
        <v>1</v>
      </c>
    </row>
    <row r="328">
      <c r="A328" s="5" t="str">
        <f>IFERROR(__xludf.DUMMYFUNCTION("""COMPUTED_VALUE"""),"Lebanon")</f>
        <v>Lebanon</v>
      </c>
      <c r="B328" s="5">
        <f>COUNTIF(data!F:F, A328)</f>
        <v>15</v>
      </c>
    </row>
    <row r="329">
      <c r="A329" s="5" t="str">
        <f>IFERROR(__xludf.DUMMYFUNCTION("""COMPUTED_VALUE"""),"Lebanon, Canada, France")</f>
        <v>Lebanon, Canada, France</v>
      </c>
      <c r="B329" s="5">
        <f>COUNTIF(data!F:F, A329)</f>
        <v>2</v>
      </c>
    </row>
    <row r="330">
      <c r="A330" s="5" t="str">
        <f>IFERROR(__xludf.DUMMYFUNCTION("""COMPUTED_VALUE"""),"Lebanon, France")</f>
        <v>Lebanon, France</v>
      </c>
      <c r="B330" s="5">
        <f>COUNTIF(data!F:F, A330)</f>
        <v>1</v>
      </c>
    </row>
    <row r="331">
      <c r="A331" s="5" t="str">
        <f>IFERROR(__xludf.DUMMYFUNCTION("""COMPUTED_VALUE"""),"Lebanon, Palestine, Denmark, Qatar")</f>
        <v>Lebanon, Palestine, Denmark, Qatar</v>
      </c>
      <c r="B331" s="5">
        <f>COUNTIF(data!F:F, A331)</f>
        <v>1</v>
      </c>
    </row>
    <row r="332">
      <c r="A332" s="5" t="str">
        <f>IFERROR(__xludf.DUMMYFUNCTION("""COMPUTED_VALUE"""),"Lebanon, Qatar")</f>
        <v>Lebanon, Qatar</v>
      </c>
      <c r="B332" s="5">
        <f>COUNTIF(data!F:F, A332)</f>
        <v>1</v>
      </c>
    </row>
    <row r="333">
      <c r="A333" s="5" t="str">
        <f>IFERROR(__xludf.DUMMYFUNCTION("""COMPUTED_VALUE"""),"Lebanon, Syria")</f>
        <v>Lebanon, Syria</v>
      </c>
      <c r="B333" s="5">
        <f>COUNTIF(data!F:F, A333)</f>
        <v>1</v>
      </c>
    </row>
    <row r="334">
      <c r="A334" s="5" t="str">
        <f>IFERROR(__xludf.DUMMYFUNCTION("""COMPUTED_VALUE"""),"Lebanon, United Arab Emirates")</f>
        <v>Lebanon, United Arab Emirates</v>
      </c>
      <c r="B334" s="5">
        <f>COUNTIF(data!F:F, A334)</f>
        <v>1</v>
      </c>
    </row>
    <row r="335">
      <c r="A335" s="5" t="str">
        <f>IFERROR(__xludf.DUMMYFUNCTION("""COMPUTED_VALUE"""),"Lebanon, United Arab Emirates, France, Switzerland, Germany")</f>
        <v>Lebanon, United Arab Emirates, France, Switzerland, Germany</v>
      </c>
      <c r="B335" s="5">
        <f>COUNTIF(data!F:F, A335)</f>
        <v>1</v>
      </c>
    </row>
    <row r="336">
      <c r="A336" s="5" t="str">
        <f>IFERROR(__xludf.DUMMYFUNCTION("""COMPUTED_VALUE"""),"Lebanon, United States, United Arab Emirates")</f>
        <v>Lebanon, United States, United Arab Emirates</v>
      </c>
      <c r="B336" s="5">
        <f>COUNTIF(data!F:F, A336)</f>
        <v>1</v>
      </c>
    </row>
    <row r="337">
      <c r="A337" s="5" t="str">
        <f>IFERROR(__xludf.DUMMYFUNCTION("""COMPUTED_VALUE"""),"Luxembourg")</f>
        <v>Luxembourg</v>
      </c>
      <c r="B337" s="5">
        <f>COUNTIF(data!F:F, A337)</f>
        <v>1</v>
      </c>
    </row>
    <row r="338">
      <c r="A338" s="5" t="str">
        <f>IFERROR(__xludf.DUMMYFUNCTION("""COMPUTED_VALUE"""),"Malaysia")</f>
        <v>Malaysia</v>
      </c>
      <c r="B338" s="5">
        <f>COUNTIF(data!F:F, A338)</f>
        <v>22</v>
      </c>
    </row>
    <row r="339">
      <c r="A339" s="5" t="str">
        <f>IFERROR(__xludf.DUMMYFUNCTION("""COMPUTED_VALUE"""),"Malaysia, Singapore, Hong Kong")</f>
        <v>Malaysia, Singapore, Hong Kong</v>
      </c>
      <c r="B339" s="5">
        <f>COUNTIF(data!F:F, A339)</f>
        <v>1</v>
      </c>
    </row>
    <row r="340">
      <c r="A340" s="5" t="str">
        <f>IFERROR(__xludf.DUMMYFUNCTION("""COMPUTED_VALUE"""),"Mauritius")</f>
        <v>Mauritius</v>
      </c>
      <c r="B340" s="5">
        <f>COUNTIF(data!F:F, A340)</f>
        <v>1</v>
      </c>
    </row>
    <row r="341">
      <c r="A341" s="5" t="str">
        <f>IFERROR(__xludf.DUMMYFUNCTION("""COMPUTED_VALUE"""),"Mauritius, South Africa")</f>
        <v>Mauritius, South Africa</v>
      </c>
      <c r="B341" s="5">
        <f>COUNTIF(data!F:F, A341)</f>
        <v>1</v>
      </c>
    </row>
    <row r="342">
      <c r="A342" s="5" t="str">
        <f>IFERROR(__xludf.DUMMYFUNCTION("""COMPUTED_VALUE"""),"Mexico")</f>
        <v>Mexico</v>
      </c>
      <c r="B342" s="5">
        <f>COUNTIF(data!F:F, A342)</f>
        <v>110</v>
      </c>
    </row>
    <row r="343">
      <c r="A343" s="5" t="str">
        <f>IFERROR(__xludf.DUMMYFUNCTION("""COMPUTED_VALUE"""),"Mexico, Argentina")</f>
        <v>Mexico, Argentina</v>
      </c>
      <c r="B343" s="5">
        <f>COUNTIF(data!F:F, A343)</f>
        <v>1</v>
      </c>
    </row>
    <row r="344">
      <c r="A344" s="5" t="str">
        <f>IFERROR(__xludf.DUMMYFUNCTION("""COMPUTED_VALUE"""),"Mexico, Brazil")</f>
        <v>Mexico, Brazil</v>
      </c>
      <c r="B344" s="5">
        <f>COUNTIF(data!F:F, A344)</f>
        <v>1</v>
      </c>
    </row>
    <row r="345">
      <c r="A345" s="5" t="str">
        <f>IFERROR(__xludf.DUMMYFUNCTION("""COMPUTED_VALUE"""),"Mexico, Finland")</f>
        <v>Mexico, Finland</v>
      </c>
      <c r="B345" s="5">
        <f>COUNTIF(data!F:F, A345)</f>
        <v>1</v>
      </c>
    </row>
    <row r="346">
      <c r="A346" s="5" t="str">
        <f>IFERROR(__xludf.DUMMYFUNCTION("""COMPUTED_VALUE"""),"Mexico, France")</f>
        <v>Mexico, France</v>
      </c>
      <c r="B346" s="5">
        <f>COUNTIF(data!F:F, A346)</f>
        <v>1</v>
      </c>
    </row>
    <row r="347">
      <c r="A347" s="5" t="str">
        <f>IFERROR(__xludf.DUMMYFUNCTION("""COMPUTED_VALUE"""),"Mexico, France, Colombia")</f>
        <v>Mexico, France, Colombia</v>
      </c>
      <c r="B347" s="5">
        <f>COUNTIF(data!F:F, A347)</f>
        <v>1</v>
      </c>
    </row>
    <row r="348">
      <c r="A348" s="5" t="str">
        <f>IFERROR(__xludf.DUMMYFUNCTION("""COMPUTED_VALUE"""),"Mexico, Netherlands")</f>
        <v>Mexico, Netherlands</v>
      </c>
      <c r="B348" s="5">
        <f>COUNTIF(data!F:F, A348)</f>
        <v>1</v>
      </c>
    </row>
    <row r="349">
      <c r="A349" s="5" t="str">
        <f>IFERROR(__xludf.DUMMYFUNCTION("""COMPUTED_VALUE"""),"Mexico, Spain")</f>
        <v>Mexico, Spain</v>
      </c>
      <c r="B349" s="5">
        <f>COUNTIF(data!F:F, A349)</f>
        <v>4</v>
      </c>
    </row>
    <row r="350">
      <c r="A350" s="5" t="str">
        <f>IFERROR(__xludf.DUMMYFUNCTION("""COMPUTED_VALUE"""),"Mexico, United States")</f>
        <v>Mexico, United States</v>
      </c>
      <c r="B350" s="5">
        <f>COUNTIF(data!F:F, A350)</f>
        <v>13</v>
      </c>
    </row>
    <row r="351">
      <c r="A351" s="5" t="str">
        <f>IFERROR(__xludf.DUMMYFUNCTION("""COMPUTED_VALUE"""),"Mexico, United States, Spain, Colombia")</f>
        <v>Mexico, United States, Spain, Colombia</v>
      </c>
      <c r="B351" s="5">
        <f>COUNTIF(data!F:F, A351)</f>
        <v>1</v>
      </c>
    </row>
    <row r="352">
      <c r="A352" s="5" t="str">
        <f>IFERROR(__xludf.DUMMYFUNCTION("""COMPUTED_VALUE"""),"Mozambique")</f>
        <v>Mozambique</v>
      </c>
      <c r="B352" s="5">
        <f>COUNTIF(data!F:F, A352)</f>
        <v>1</v>
      </c>
    </row>
    <row r="353">
      <c r="A353" s="5" t="str">
        <f>IFERROR(__xludf.DUMMYFUNCTION("""COMPUTED_VALUE"""),"Namibia")</f>
        <v>Namibia</v>
      </c>
      <c r="B353" s="5">
        <f>COUNTIF(data!F:F, A353)</f>
        <v>1</v>
      </c>
    </row>
    <row r="354">
      <c r="A354" s="5" t="str">
        <f>IFERROR(__xludf.DUMMYFUNCTION("""COMPUTED_VALUE"""),"Netherlands")</f>
        <v>Netherlands</v>
      </c>
      <c r="B354" s="5">
        <f>COUNTIF(data!F:F, A354)</f>
        <v>19</v>
      </c>
    </row>
    <row r="355">
      <c r="A355" s="5" t="str">
        <f>IFERROR(__xludf.DUMMYFUNCTION("""COMPUTED_VALUE"""),"Netherlands, Belgium")</f>
        <v>Netherlands, Belgium</v>
      </c>
      <c r="B355" s="5">
        <f>COUNTIF(data!F:F, A355)</f>
        <v>2</v>
      </c>
    </row>
    <row r="356">
      <c r="A356" s="5" t="str">
        <f>IFERROR(__xludf.DUMMYFUNCTION("""COMPUTED_VALUE"""),"Netherlands, Belgium, Germany, Jordan")</f>
        <v>Netherlands, Belgium, Germany, Jordan</v>
      </c>
      <c r="B356" s="5">
        <f>COUNTIF(data!F:F, A356)</f>
        <v>1</v>
      </c>
    </row>
    <row r="357">
      <c r="A357" s="5" t="str">
        <f>IFERROR(__xludf.DUMMYFUNCTION("""COMPUTED_VALUE"""),"Netherlands, Belgium, United Kingdom, United States")</f>
        <v>Netherlands, Belgium, United Kingdom, United States</v>
      </c>
      <c r="B357" s="5">
        <f>COUNTIF(data!F:F, A357)</f>
        <v>1</v>
      </c>
    </row>
    <row r="358">
      <c r="A358" s="5" t="str">
        <f>IFERROR(__xludf.DUMMYFUNCTION("""COMPUTED_VALUE"""),"Netherlands, Denmark, France, Germany")</f>
        <v>Netherlands, Denmark, France, Germany</v>
      </c>
      <c r="B358" s="5">
        <f>COUNTIF(data!F:F, A358)</f>
        <v>1</v>
      </c>
    </row>
    <row r="359">
      <c r="A359" s="5" t="str">
        <f>IFERROR(__xludf.DUMMYFUNCTION("""COMPUTED_VALUE"""),"Netherlands, Denmark, South Africa")</f>
        <v>Netherlands, Denmark, South Africa</v>
      </c>
      <c r="B359" s="5">
        <f>COUNTIF(data!F:F, A359)</f>
        <v>1</v>
      </c>
    </row>
    <row r="360">
      <c r="A360" s="5" t="str">
        <f>IFERROR(__xludf.DUMMYFUNCTION("""COMPUTED_VALUE"""),"Netherlands, Germany, Denmark, United Kingdom")</f>
        <v>Netherlands, Germany, Denmark, United Kingdom</v>
      </c>
      <c r="B360" s="5">
        <f>COUNTIF(data!F:F, A360)</f>
        <v>1</v>
      </c>
    </row>
    <row r="361">
      <c r="A361" s="5" t="str">
        <f>IFERROR(__xludf.DUMMYFUNCTION("""COMPUTED_VALUE"""),"Netherlands, Germany, Italy, Canada")</f>
        <v>Netherlands, Germany, Italy, Canada</v>
      </c>
      <c r="B361" s="5">
        <f>COUNTIF(data!F:F, A361)</f>
        <v>1</v>
      </c>
    </row>
    <row r="362">
      <c r="A362" s="5" t="str">
        <f>IFERROR(__xludf.DUMMYFUNCTION("""COMPUTED_VALUE"""),"Netherlands, United States")</f>
        <v>Netherlands, United States</v>
      </c>
      <c r="B362" s="5">
        <f>COUNTIF(data!F:F, A362)</f>
        <v>1</v>
      </c>
    </row>
    <row r="363">
      <c r="A363" s="5" t="str">
        <f>IFERROR(__xludf.DUMMYFUNCTION("""COMPUTED_VALUE"""),"New Zealand")</f>
        <v>New Zealand</v>
      </c>
      <c r="B363" s="5">
        <f>COUNTIF(data!F:F, A363)</f>
        <v>12</v>
      </c>
    </row>
    <row r="364">
      <c r="A364" s="5" t="str">
        <f>IFERROR(__xludf.DUMMYFUNCTION("""COMPUTED_VALUE"""),"New Zealand, Australia, France, United States")</f>
        <v>New Zealand, Australia, France, United States</v>
      </c>
      <c r="B364" s="5">
        <f>COUNTIF(data!F:F, A364)</f>
        <v>1</v>
      </c>
    </row>
    <row r="365">
      <c r="A365" s="5" t="str">
        <f>IFERROR(__xludf.DUMMYFUNCTION("""COMPUTED_VALUE"""),"New Zealand, United Kingdom")</f>
        <v>New Zealand, United Kingdom</v>
      </c>
      <c r="B365" s="5">
        <f>COUNTIF(data!F:F, A365)</f>
        <v>1</v>
      </c>
    </row>
    <row r="366">
      <c r="A366" s="5" t="str">
        <f>IFERROR(__xludf.DUMMYFUNCTION("""COMPUTED_VALUE"""),"New Zealand, United Kingdom, Australia")</f>
        <v>New Zealand, United Kingdom, Australia</v>
      </c>
      <c r="B366" s="5">
        <f>COUNTIF(data!F:F, A366)</f>
        <v>1</v>
      </c>
    </row>
    <row r="367">
      <c r="A367" s="5" t="str">
        <f>IFERROR(__xludf.DUMMYFUNCTION("""COMPUTED_VALUE"""),"New Zealand, United States")</f>
        <v>New Zealand, United States</v>
      </c>
      <c r="B367" s="5">
        <f>COUNTIF(data!F:F, A367)</f>
        <v>2</v>
      </c>
    </row>
    <row r="368">
      <c r="A368" s="5" t="str">
        <f>IFERROR(__xludf.DUMMYFUNCTION("""COMPUTED_VALUE"""),"Nigeria")</f>
        <v>Nigeria</v>
      </c>
      <c r="B368" s="5">
        <f>COUNTIF(data!F:F, A368)</f>
        <v>95</v>
      </c>
    </row>
    <row r="369">
      <c r="A369" s="5" t="str">
        <f>IFERROR(__xludf.DUMMYFUNCTION("""COMPUTED_VALUE"""),"Nigeria, United Kingdom")</f>
        <v>Nigeria, United Kingdom</v>
      </c>
      <c r="B369" s="5">
        <f>COUNTIF(data!F:F, A369)</f>
        <v>1</v>
      </c>
    </row>
    <row r="370">
      <c r="A370" s="5" t="str">
        <f>IFERROR(__xludf.DUMMYFUNCTION("""COMPUTED_VALUE"""),"Norway")</f>
        <v>Norway</v>
      </c>
      <c r="B370" s="5">
        <f>COUNTIF(data!F:F, A370)</f>
        <v>11</v>
      </c>
    </row>
    <row r="371">
      <c r="A371" s="5" t="str">
        <f>IFERROR(__xludf.DUMMYFUNCTION("""COMPUTED_VALUE"""),"Norway, Denmark")</f>
        <v>Norway, Denmark</v>
      </c>
      <c r="B371" s="5">
        <f>COUNTIF(data!F:F, A371)</f>
        <v>1</v>
      </c>
    </row>
    <row r="372">
      <c r="A372" s="5" t="str">
        <f>IFERROR(__xludf.DUMMYFUNCTION("""COMPUTED_VALUE"""),"Norway, Denmark, Netherlands, Sweden")</f>
        <v>Norway, Denmark, Netherlands, Sweden</v>
      </c>
      <c r="B372" s="5">
        <f>COUNTIF(data!F:F, A372)</f>
        <v>1</v>
      </c>
    </row>
    <row r="373">
      <c r="A373" s="5" t="str">
        <f>IFERROR(__xludf.DUMMYFUNCTION("""COMPUTED_VALUE"""),"Norway, Denmark, Sweden")</f>
        <v>Norway, Denmark, Sweden</v>
      </c>
      <c r="B373" s="5">
        <f>COUNTIF(data!F:F, A373)</f>
        <v>1</v>
      </c>
    </row>
    <row r="374">
      <c r="A374" s="5" t="str">
        <f>IFERROR(__xludf.DUMMYFUNCTION("""COMPUTED_VALUE"""),"Norway, Germany")</f>
        <v>Norway, Germany</v>
      </c>
      <c r="B374" s="5">
        <f>COUNTIF(data!F:F, A374)</f>
        <v>1</v>
      </c>
    </row>
    <row r="375">
      <c r="A375" s="5" t="str">
        <f>IFERROR(__xludf.DUMMYFUNCTION("""COMPUTED_VALUE"""),"Norway, Germany, Sweden")</f>
        <v>Norway, Germany, Sweden</v>
      </c>
      <c r="B375" s="5">
        <f>COUNTIF(data!F:F, A375)</f>
        <v>1</v>
      </c>
    </row>
    <row r="376">
      <c r="A376" s="5" t="str">
        <f>IFERROR(__xludf.DUMMYFUNCTION("""COMPUTED_VALUE"""),"Norway, Iceland, United States")</f>
        <v>Norway, Iceland, United States</v>
      </c>
      <c r="B376" s="5">
        <f>COUNTIF(data!F:F, A376)</f>
        <v>2</v>
      </c>
    </row>
    <row r="377">
      <c r="A377" s="5" t="str">
        <f>IFERROR(__xludf.DUMMYFUNCTION("""COMPUTED_VALUE"""),"Norway, Sweden")</f>
        <v>Norway, Sweden</v>
      </c>
      <c r="B377" s="5">
        <f>COUNTIF(data!F:F, A377)</f>
        <v>1</v>
      </c>
    </row>
    <row r="378">
      <c r="A378" s="5" t="str">
        <f>IFERROR(__xludf.DUMMYFUNCTION("""COMPUTED_VALUE"""),"Norway, United Kingdom, France, Ireland")</f>
        <v>Norway, United Kingdom, France, Ireland</v>
      </c>
      <c r="B378" s="5">
        <f>COUNTIF(data!F:F, A378)</f>
        <v>1</v>
      </c>
    </row>
    <row r="379">
      <c r="A379" s="5" t="str">
        <f>IFERROR(__xludf.DUMMYFUNCTION("""COMPUTED_VALUE"""),"Norway, United States")</f>
        <v>Norway, United States</v>
      </c>
      <c r="B379" s="5">
        <f>COUNTIF(data!F:F, A379)</f>
        <v>1</v>
      </c>
    </row>
    <row r="380">
      <c r="A380" s="5" t="str">
        <f>IFERROR(__xludf.DUMMYFUNCTION("""COMPUTED_VALUE"""),"Pakistan")</f>
        <v>Pakistan</v>
      </c>
      <c r="B380" s="5">
        <f>COUNTIF(data!F:F, A380)</f>
        <v>18</v>
      </c>
    </row>
    <row r="381">
      <c r="A381" s="5" t="str">
        <f>IFERROR(__xludf.DUMMYFUNCTION("""COMPUTED_VALUE"""),"Pakistan, Norway, United States")</f>
        <v>Pakistan, Norway, United States</v>
      </c>
      <c r="B381" s="5">
        <f>COUNTIF(data!F:F, A381)</f>
        <v>1</v>
      </c>
    </row>
    <row r="382">
      <c r="A382" s="5" t="str">
        <f>IFERROR(__xludf.DUMMYFUNCTION("""COMPUTED_VALUE"""),"Pakistan, United Arab Emirates")</f>
        <v>Pakistan, United Arab Emirates</v>
      </c>
      <c r="B382" s="5">
        <f>COUNTIF(data!F:F, A382)</f>
        <v>1</v>
      </c>
    </row>
    <row r="383">
      <c r="A383" s="5" t="str">
        <f>IFERROR(__xludf.DUMMYFUNCTION("""COMPUTED_VALUE"""),"Pakistan, United States")</f>
        <v>Pakistan, United States</v>
      </c>
      <c r="B383" s="5">
        <f>COUNTIF(data!F:F, A383)</f>
        <v>2</v>
      </c>
    </row>
    <row r="384">
      <c r="A384" s="5" t="str">
        <f>IFERROR(__xludf.DUMMYFUNCTION("""COMPUTED_VALUE"""),"Paraguay, Argentina")</f>
        <v>Paraguay, Argentina</v>
      </c>
      <c r="B384" s="5">
        <f>COUNTIF(data!F:F, A384)</f>
        <v>1</v>
      </c>
    </row>
    <row r="385">
      <c r="A385" s="5" t="str">
        <f>IFERROR(__xludf.DUMMYFUNCTION("""COMPUTED_VALUE"""),"Peru")</f>
        <v>Peru</v>
      </c>
      <c r="B385" s="5">
        <f>COUNTIF(data!F:F, A385)</f>
        <v>4</v>
      </c>
    </row>
    <row r="386">
      <c r="A386" s="5" t="str">
        <f>IFERROR(__xludf.DUMMYFUNCTION("""COMPUTED_VALUE"""),"Peru, Germany, Norway")</f>
        <v>Peru, Germany, Norway</v>
      </c>
      <c r="B386" s="5">
        <f>COUNTIF(data!F:F, A386)</f>
        <v>1</v>
      </c>
    </row>
    <row r="387">
      <c r="A387" s="5" t="str">
        <f>IFERROR(__xludf.DUMMYFUNCTION("""COMPUTED_VALUE"""),"Peru, United States, United Kingdom")</f>
        <v>Peru, United States, United Kingdom</v>
      </c>
      <c r="B387" s="5">
        <f>COUNTIF(data!F:F, A387)</f>
        <v>1</v>
      </c>
    </row>
    <row r="388">
      <c r="A388" s="5" t="str">
        <f>IFERROR(__xludf.DUMMYFUNCTION("""COMPUTED_VALUE"""),"Philippines")</f>
        <v>Philippines</v>
      </c>
      <c r="B388" s="5">
        <f>COUNTIF(data!F:F, A388)</f>
        <v>75</v>
      </c>
    </row>
    <row r="389">
      <c r="A389" s="5" t="str">
        <f>IFERROR(__xludf.DUMMYFUNCTION("""COMPUTED_VALUE"""),"Philippines, Canada, United Kingdom, United States")</f>
        <v>Philippines, Canada, United Kingdom, United States</v>
      </c>
      <c r="B389" s="5">
        <f>COUNTIF(data!F:F, A389)</f>
        <v>1</v>
      </c>
    </row>
    <row r="390">
      <c r="A390" s="5" t="str">
        <f>IFERROR(__xludf.DUMMYFUNCTION("""COMPUTED_VALUE"""),"Philippines, Qatar")</f>
        <v>Philippines, Qatar</v>
      </c>
      <c r="B390" s="5">
        <f>COUNTIF(data!F:F, A390)</f>
        <v>1</v>
      </c>
    </row>
    <row r="391">
      <c r="A391" s="5" t="str">
        <f>IFERROR(__xludf.DUMMYFUNCTION("""COMPUTED_VALUE"""),"Philippines, Singapore")</f>
        <v>Philippines, Singapore</v>
      </c>
      <c r="B391" s="5">
        <f>COUNTIF(data!F:F, A391)</f>
        <v>1</v>
      </c>
    </row>
    <row r="392">
      <c r="A392" s="5" t="str">
        <f>IFERROR(__xludf.DUMMYFUNCTION("""COMPUTED_VALUE"""),"Philippines, Singapore, Indonesia")</f>
        <v>Philippines, Singapore, Indonesia</v>
      </c>
      <c r="B392" s="5">
        <f>COUNTIF(data!F:F, A392)</f>
        <v>1</v>
      </c>
    </row>
    <row r="393">
      <c r="A393" s="5" t="str">
        <f>IFERROR(__xludf.DUMMYFUNCTION("""COMPUTED_VALUE"""),"Philippines, United States")</f>
        <v>Philippines, United States</v>
      </c>
      <c r="B393" s="5">
        <f>COUNTIF(data!F:F, A393)</f>
        <v>1</v>
      </c>
    </row>
    <row r="394">
      <c r="A394" s="5" t="str">
        <f>IFERROR(__xludf.DUMMYFUNCTION("""COMPUTED_VALUE"""),"Poland")</f>
        <v>Poland</v>
      </c>
      <c r="B394" s="5">
        <f>COUNTIF(data!F:F, A394)</f>
        <v>24</v>
      </c>
    </row>
    <row r="395">
      <c r="A395" s="5" t="str">
        <f>IFERROR(__xludf.DUMMYFUNCTION("""COMPUTED_VALUE"""),"Poland,")</f>
        <v>Poland,</v>
      </c>
      <c r="B395" s="5">
        <f>COUNTIF(data!F:F, A395)</f>
        <v>1</v>
      </c>
    </row>
    <row r="396">
      <c r="A396" s="5" t="str">
        <f>IFERROR(__xludf.DUMMYFUNCTION("""COMPUTED_VALUE"""),"Poland, United States")</f>
        <v>Poland, United States</v>
      </c>
      <c r="B396" s="5">
        <f>COUNTIF(data!F:F, A396)</f>
        <v>4</v>
      </c>
    </row>
    <row r="397">
      <c r="A397" s="5" t="str">
        <f>IFERROR(__xludf.DUMMYFUNCTION("""COMPUTED_VALUE"""),"Poland, West Germany")</f>
        <v>Poland, West Germany</v>
      </c>
      <c r="B397" s="5">
        <f>COUNTIF(data!F:F, A397)</f>
        <v>1</v>
      </c>
    </row>
    <row r="398">
      <c r="A398" s="5" t="str">
        <f>IFERROR(__xludf.DUMMYFUNCTION("""COMPUTED_VALUE"""),"Portugal, France, Poland, United States")</f>
        <v>Portugal, France, Poland, United States</v>
      </c>
      <c r="B398" s="5">
        <f>COUNTIF(data!F:F, A398)</f>
        <v>1</v>
      </c>
    </row>
    <row r="399">
      <c r="A399" s="5" t="str">
        <f>IFERROR(__xludf.DUMMYFUNCTION("""COMPUTED_VALUE"""),"Portugal, Spain")</f>
        <v>Portugal, Spain</v>
      </c>
      <c r="B399" s="5">
        <f>COUNTIF(data!F:F, A399)</f>
        <v>2</v>
      </c>
    </row>
    <row r="400">
      <c r="A400" s="5" t="str">
        <f>IFERROR(__xludf.DUMMYFUNCTION("""COMPUTED_VALUE"""),"Portugal, United States")</f>
        <v>Portugal, United States</v>
      </c>
      <c r="B400" s="5">
        <f>COUNTIF(data!F:F, A400)</f>
        <v>1</v>
      </c>
    </row>
    <row r="401">
      <c r="A401" s="5" t="str">
        <f>IFERROR(__xludf.DUMMYFUNCTION("""COMPUTED_VALUE"""),"Puerto Rico, United States, Colombia")</f>
        <v>Puerto Rico, United States, Colombia</v>
      </c>
      <c r="B401" s="5">
        <f>COUNTIF(data!F:F, A401)</f>
        <v>1</v>
      </c>
    </row>
    <row r="402">
      <c r="A402" s="5" t="str">
        <f>IFERROR(__xludf.DUMMYFUNCTION("""COMPUTED_VALUE"""),"Romania")</f>
        <v>Romania</v>
      </c>
      <c r="B402" s="5">
        <f>COUNTIF(data!F:F, A402)</f>
        <v>6</v>
      </c>
    </row>
    <row r="403">
      <c r="A403" s="5" t="str">
        <f>IFERROR(__xludf.DUMMYFUNCTION("""COMPUTED_VALUE"""),"Romania, Bulgaria, Hungary")</f>
        <v>Romania, Bulgaria, Hungary</v>
      </c>
      <c r="B403" s="5">
        <f>COUNTIF(data!F:F, A403)</f>
        <v>1</v>
      </c>
    </row>
    <row r="404">
      <c r="A404" s="5" t="str">
        <f>IFERROR(__xludf.DUMMYFUNCTION("""COMPUTED_VALUE"""),"Romania, France, Switzerland, Germany")</f>
        <v>Romania, France, Switzerland, Germany</v>
      </c>
      <c r="B404" s="5">
        <f>COUNTIF(data!F:F, A404)</f>
        <v>1</v>
      </c>
    </row>
    <row r="405">
      <c r="A405" s="5" t="str">
        <f>IFERROR(__xludf.DUMMYFUNCTION("""COMPUTED_VALUE"""),"Romania, United Kingdom")</f>
        <v>Romania, United Kingdom</v>
      </c>
      <c r="B405" s="5">
        <f>COUNTIF(data!F:F, A405)</f>
        <v>1</v>
      </c>
    </row>
    <row r="406">
      <c r="A406" s="5" t="str">
        <f>IFERROR(__xludf.DUMMYFUNCTION("""COMPUTED_VALUE"""),"Romania, United States")</f>
        <v>Romania, United States</v>
      </c>
      <c r="B406" s="5">
        <f>COUNTIF(data!F:F, A406)</f>
        <v>1</v>
      </c>
    </row>
    <row r="407">
      <c r="A407" s="5" t="str">
        <f>IFERROR(__xludf.DUMMYFUNCTION("""COMPUTED_VALUE"""),"Russia")</f>
        <v>Russia</v>
      </c>
      <c r="B407" s="5">
        <f>COUNTIF(data!F:F, A407)</f>
        <v>15</v>
      </c>
    </row>
    <row r="408">
      <c r="A408" s="5" t="str">
        <f>IFERROR(__xludf.DUMMYFUNCTION("""COMPUTED_VALUE"""),"Russia, Poland, Serbia")</f>
        <v>Russia, Poland, Serbia</v>
      </c>
      <c r="B408" s="5">
        <f>COUNTIF(data!F:F, A408)</f>
        <v>1</v>
      </c>
    </row>
    <row r="409">
      <c r="A409" s="5" t="str">
        <f>IFERROR(__xludf.DUMMYFUNCTION("""COMPUTED_VALUE"""),"Russia, Spain")</f>
        <v>Russia, Spain</v>
      </c>
      <c r="B409" s="5">
        <f>COUNTIF(data!F:F, A409)</f>
        <v>1</v>
      </c>
    </row>
    <row r="410">
      <c r="A410" s="5" t="str">
        <f>IFERROR(__xludf.DUMMYFUNCTION("""COMPUTED_VALUE"""),"Russia, United States")</f>
        <v>Russia, United States</v>
      </c>
      <c r="B410" s="5">
        <f>COUNTIF(data!F:F, A410)</f>
        <v>1</v>
      </c>
    </row>
    <row r="411">
      <c r="A411" s="5" t="str">
        <f>IFERROR(__xludf.DUMMYFUNCTION("""COMPUTED_VALUE"""),"Russia, United States, China")</f>
        <v>Russia, United States, China</v>
      </c>
      <c r="B411" s="5">
        <f>COUNTIF(data!F:F, A411)</f>
        <v>1</v>
      </c>
    </row>
    <row r="412">
      <c r="A412" s="5" t="str">
        <f>IFERROR(__xludf.DUMMYFUNCTION("""COMPUTED_VALUE"""),"Saudi Arabia")</f>
        <v>Saudi Arabia</v>
      </c>
      <c r="B412" s="5">
        <f>COUNTIF(data!F:F, A412)</f>
        <v>8</v>
      </c>
    </row>
    <row r="413">
      <c r="A413" s="5" t="str">
        <f>IFERROR(__xludf.DUMMYFUNCTION("""COMPUTED_VALUE"""),"Saudi Arabia, Netherlands, Germany, Jordan, United Arab Emirates, United States")</f>
        <v>Saudi Arabia, Netherlands, Germany, Jordan, United Arab Emirates, United States</v>
      </c>
      <c r="B413" s="5">
        <f>COUNTIF(data!F:F, A413)</f>
        <v>1</v>
      </c>
    </row>
    <row r="414">
      <c r="A414" s="5" t="str">
        <f>IFERROR(__xludf.DUMMYFUNCTION("""COMPUTED_VALUE"""),"Saudi Arabia, Syria, Egypt, Lebanon, Kuwait")</f>
        <v>Saudi Arabia, Syria, Egypt, Lebanon, Kuwait</v>
      </c>
      <c r="B414" s="5">
        <f>COUNTIF(data!F:F, A414)</f>
        <v>1</v>
      </c>
    </row>
    <row r="415">
      <c r="A415" s="5" t="str">
        <f>IFERROR(__xludf.DUMMYFUNCTION("""COMPUTED_VALUE"""),"Saudi Arabia, United Arab Emirates")</f>
        <v>Saudi Arabia, United Arab Emirates</v>
      </c>
      <c r="B415" s="5">
        <f>COUNTIF(data!F:F, A415)</f>
        <v>1</v>
      </c>
    </row>
    <row r="416">
      <c r="A416" s="5" t="str">
        <f>IFERROR(__xludf.DUMMYFUNCTION("""COMPUTED_VALUE"""),"Senegal")</f>
        <v>Senegal</v>
      </c>
      <c r="B416" s="5">
        <f>COUNTIF(data!F:F, A416)</f>
        <v>1</v>
      </c>
    </row>
    <row r="417">
      <c r="A417" s="5" t="str">
        <f>IFERROR(__xludf.DUMMYFUNCTION("""COMPUTED_VALUE"""),"Serbia, South Korea, Slovenia")</f>
        <v>Serbia, South Korea, Slovenia</v>
      </c>
      <c r="B417" s="5">
        <f>COUNTIF(data!F:F, A417)</f>
        <v>1</v>
      </c>
    </row>
    <row r="418">
      <c r="A418" s="5" t="str">
        <f>IFERROR(__xludf.DUMMYFUNCTION("""COMPUTED_VALUE"""),"Serbia, United States")</f>
        <v>Serbia, United States</v>
      </c>
      <c r="B418" s="5">
        <f>COUNTIF(data!F:F, A418)</f>
        <v>2</v>
      </c>
    </row>
    <row r="419">
      <c r="A419" s="5" t="str">
        <f>IFERROR(__xludf.DUMMYFUNCTION("""COMPUTED_VALUE"""),"Singapore")</f>
        <v>Singapore</v>
      </c>
      <c r="B419" s="5">
        <f>COUNTIF(data!F:F, A419)</f>
        <v>23</v>
      </c>
    </row>
    <row r="420">
      <c r="A420" s="5" t="str">
        <f>IFERROR(__xludf.DUMMYFUNCTION("""COMPUTED_VALUE"""),"Singapore, France")</f>
        <v>Singapore, France</v>
      </c>
      <c r="B420" s="5">
        <f>COUNTIF(data!F:F, A420)</f>
        <v>1</v>
      </c>
    </row>
    <row r="421">
      <c r="A421" s="5" t="str">
        <f>IFERROR(__xludf.DUMMYFUNCTION("""COMPUTED_VALUE"""),"Singapore, Japan, France")</f>
        <v>Singapore, Japan, France</v>
      </c>
      <c r="B421" s="5">
        <f>COUNTIF(data!F:F, A421)</f>
        <v>1</v>
      </c>
    </row>
    <row r="422">
      <c r="A422" s="5" t="str">
        <f>IFERROR(__xludf.DUMMYFUNCTION("""COMPUTED_VALUE"""),"Singapore, Malaysia")</f>
        <v>Singapore, Malaysia</v>
      </c>
      <c r="B422" s="5">
        <f>COUNTIF(data!F:F, A422)</f>
        <v>1</v>
      </c>
    </row>
    <row r="423">
      <c r="A423" s="5" t="str">
        <f>IFERROR(__xludf.DUMMYFUNCTION("""COMPUTED_VALUE"""),"Singapore, United States")</f>
        <v>Singapore, United States</v>
      </c>
      <c r="B423" s="5">
        <f>COUNTIF(data!F:F, A423)</f>
        <v>2</v>
      </c>
    </row>
    <row r="424">
      <c r="A424" s="5" t="str">
        <f>IFERROR(__xludf.DUMMYFUNCTION("""COMPUTED_VALUE"""),"Slovenia, Croatia, Germany, Czech Republic, Qatar")</f>
        <v>Slovenia, Croatia, Germany, Czech Republic, Qatar</v>
      </c>
      <c r="B424" s="5">
        <f>COUNTIF(data!F:F, A424)</f>
        <v>1</v>
      </c>
    </row>
    <row r="425">
      <c r="A425" s="5" t="str">
        <f>IFERROR(__xludf.DUMMYFUNCTION("""COMPUTED_VALUE"""),"Somalia, Kenya, Sudan, South Africa, United States")</f>
        <v>Somalia, Kenya, Sudan, South Africa, United States</v>
      </c>
      <c r="B425" s="5">
        <f>COUNTIF(data!F:F, A425)</f>
        <v>1</v>
      </c>
    </row>
    <row r="426">
      <c r="A426" s="5" t="str">
        <f>IFERROR(__xludf.DUMMYFUNCTION("""COMPUTED_VALUE"""),"South Africa")</f>
        <v>South Africa</v>
      </c>
      <c r="B426" s="5">
        <f>COUNTIF(data!F:F, A426)</f>
        <v>30</v>
      </c>
    </row>
    <row r="427">
      <c r="A427" s="5" t="str">
        <f>IFERROR(__xludf.DUMMYFUNCTION("""COMPUTED_VALUE"""),"South Africa, Angola")</f>
        <v>South Africa, Angola</v>
      </c>
      <c r="B427" s="5">
        <f>COUNTIF(data!F:F, A427)</f>
        <v>1</v>
      </c>
    </row>
    <row r="428">
      <c r="A428" s="5" t="str">
        <f>IFERROR(__xludf.DUMMYFUNCTION("""COMPUTED_VALUE"""),"South Africa, China, United States")</f>
        <v>South Africa, China, United States</v>
      </c>
      <c r="B428" s="5">
        <f>COUNTIF(data!F:F, A428)</f>
        <v>1</v>
      </c>
    </row>
    <row r="429">
      <c r="A429" s="5" t="str">
        <f>IFERROR(__xludf.DUMMYFUNCTION("""COMPUTED_VALUE"""),"South Africa, Germany, Netherlands, France")</f>
        <v>South Africa, Germany, Netherlands, France</v>
      </c>
      <c r="B429" s="5">
        <f>COUNTIF(data!F:F, A429)</f>
        <v>1</v>
      </c>
    </row>
    <row r="430">
      <c r="A430" s="5" t="str">
        <f>IFERROR(__xludf.DUMMYFUNCTION("""COMPUTED_VALUE"""),"South Africa, Nigeria")</f>
        <v>South Africa, Nigeria</v>
      </c>
      <c r="B430" s="5">
        <f>COUNTIF(data!F:F, A430)</f>
        <v>1</v>
      </c>
    </row>
    <row r="431">
      <c r="A431" s="5" t="str">
        <f>IFERROR(__xludf.DUMMYFUNCTION("""COMPUTED_VALUE"""),"South Africa, United States")</f>
        <v>South Africa, United States</v>
      </c>
      <c r="B431" s="5">
        <f>COUNTIF(data!F:F, A431)</f>
        <v>4</v>
      </c>
    </row>
    <row r="432">
      <c r="A432" s="5" t="str">
        <f>IFERROR(__xludf.DUMMYFUNCTION("""COMPUTED_VALUE"""),"South Africa, United States, Germany")</f>
        <v>South Africa, United States, Germany</v>
      </c>
      <c r="B432" s="5">
        <f>COUNTIF(data!F:F, A432)</f>
        <v>1</v>
      </c>
    </row>
    <row r="433">
      <c r="A433" s="5" t="str">
        <f>IFERROR(__xludf.DUMMYFUNCTION("""COMPUTED_VALUE"""),"South Africa, United States, Japan")</f>
        <v>South Africa, United States, Japan</v>
      </c>
      <c r="B433" s="5">
        <f>COUNTIF(data!F:F, A433)</f>
        <v>1</v>
      </c>
    </row>
    <row r="434">
      <c r="A434" s="5" t="str">
        <f>IFERROR(__xludf.DUMMYFUNCTION("""COMPUTED_VALUE"""),"South Africa, United States, New Zealand, Canada")</f>
        <v>South Africa, United States, New Zealand, Canada</v>
      </c>
      <c r="B434" s="5">
        <f>COUNTIF(data!F:F, A434)</f>
        <v>1</v>
      </c>
    </row>
    <row r="435">
      <c r="A435" s="5" t="str">
        <f>IFERROR(__xludf.DUMMYFUNCTION("""COMPUTED_VALUE"""),"South Korea")</f>
        <v>South Korea</v>
      </c>
      <c r="B435" s="5">
        <f>COUNTIF(data!F:F, A435)</f>
        <v>200</v>
      </c>
    </row>
    <row r="436">
      <c r="A436" s="5" t="str">
        <f>IFERROR(__xludf.DUMMYFUNCTION("""COMPUTED_VALUE"""),"South Korea, Canada, United States, China")</f>
        <v>South Korea, Canada, United States, China</v>
      </c>
      <c r="B436" s="5">
        <f>COUNTIF(data!F:F, A436)</f>
        <v>1</v>
      </c>
    </row>
    <row r="437">
      <c r="A437" s="5" t="str">
        <f>IFERROR(__xludf.DUMMYFUNCTION("""COMPUTED_VALUE"""),"South Korea, China")</f>
        <v>South Korea, China</v>
      </c>
      <c r="B437" s="5">
        <f>COUNTIF(data!F:F, A437)</f>
        <v>1</v>
      </c>
    </row>
    <row r="438">
      <c r="A438" s="5" t="str">
        <f>IFERROR(__xludf.DUMMYFUNCTION("""COMPUTED_VALUE"""),"South Korea, China, United States")</f>
        <v>South Korea, China, United States</v>
      </c>
      <c r="B438" s="5">
        <f>COUNTIF(data!F:F, A438)</f>
        <v>1</v>
      </c>
    </row>
    <row r="439">
      <c r="A439" s="5" t="str">
        <f>IFERROR(__xludf.DUMMYFUNCTION("""COMPUTED_VALUE"""),"South Korea, Czech Republic")</f>
        <v>South Korea, Czech Republic</v>
      </c>
      <c r="B439" s="5">
        <f>COUNTIF(data!F:F, A439)</f>
        <v>1</v>
      </c>
    </row>
    <row r="440">
      <c r="A440" s="5" t="str">
        <f>IFERROR(__xludf.DUMMYFUNCTION("""COMPUTED_VALUE"""),"South Korea, France")</f>
        <v>South Korea, France</v>
      </c>
      <c r="B440" s="5">
        <f>COUNTIF(data!F:F, A440)</f>
        <v>1</v>
      </c>
    </row>
    <row r="441">
      <c r="A441" s="5" t="str">
        <f>IFERROR(__xludf.DUMMYFUNCTION("""COMPUTED_VALUE"""),"South Korea, Japan")</f>
        <v>South Korea, Japan</v>
      </c>
      <c r="B441" s="5">
        <f>COUNTIF(data!F:F, A441)</f>
        <v>1</v>
      </c>
    </row>
    <row r="442">
      <c r="A442" s="5" t="str">
        <f>IFERROR(__xludf.DUMMYFUNCTION("""COMPUTED_VALUE"""),"South Korea, United States")</f>
        <v>South Korea, United States</v>
      </c>
      <c r="B442" s="5">
        <f>COUNTIF(data!F:F, A442)</f>
        <v>6</v>
      </c>
    </row>
    <row r="443">
      <c r="A443" s="5" t="str">
        <f>IFERROR(__xludf.DUMMYFUNCTION("""COMPUTED_VALUE"""),"Soviet Union, India")</f>
        <v>Soviet Union, India</v>
      </c>
      <c r="B443" s="5">
        <f>COUNTIF(data!F:F, A443)</f>
        <v>1</v>
      </c>
    </row>
    <row r="444">
      <c r="A444" s="5" t="str">
        <f>IFERROR(__xludf.DUMMYFUNCTION("""COMPUTED_VALUE"""),"Spain")</f>
        <v>Spain</v>
      </c>
      <c r="B444" s="5">
        <f>COUNTIF(data!F:F, A444)</f>
        <v>145</v>
      </c>
    </row>
    <row r="445">
      <c r="A445" s="5" t="str">
        <f>IFERROR(__xludf.DUMMYFUNCTION("""COMPUTED_VALUE"""),"Spain, Argentina")</f>
        <v>Spain, Argentina</v>
      </c>
      <c r="B445" s="5">
        <f>COUNTIF(data!F:F, A445)</f>
        <v>3</v>
      </c>
    </row>
    <row r="446">
      <c r="A446" s="5" t="str">
        <f>IFERROR(__xludf.DUMMYFUNCTION("""COMPUTED_VALUE"""),"Spain, Belgium")</f>
        <v>Spain, Belgium</v>
      </c>
      <c r="B446" s="5">
        <f>COUNTIF(data!F:F, A446)</f>
        <v>1</v>
      </c>
    </row>
    <row r="447">
      <c r="A447" s="5" t="str">
        <f>IFERROR(__xludf.DUMMYFUNCTION("""COMPUTED_VALUE"""),"Spain, Belgium, United States")</f>
        <v>Spain, Belgium, United States</v>
      </c>
      <c r="B447" s="5">
        <f>COUNTIF(data!F:F, A447)</f>
        <v>1</v>
      </c>
    </row>
    <row r="448">
      <c r="A448" s="5" t="str">
        <f>IFERROR(__xludf.DUMMYFUNCTION("""COMPUTED_VALUE"""),"Spain, Canada, United States")</f>
        <v>Spain, Canada, United States</v>
      </c>
      <c r="B448" s="5">
        <f>COUNTIF(data!F:F, A448)</f>
        <v>1</v>
      </c>
    </row>
    <row r="449">
      <c r="A449" s="5" t="str">
        <f>IFERROR(__xludf.DUMMYFUNCTION("""COMPUTED_VALUE"""),"Spain, Colombia")</f>
        <v>Spain, Colombia</v>
      </c>
      <c r="B449" s="5">
        <f>COUNTIF(data!F:F, A449)</f>
        <v>1</v>
      </c>
    </row>
    <row r="450">
      <c r="A450" s="5" t="str">
        <f>IFERROR(__xludf.DUMMYFUNCTION("""COMPUTED_VALUE"""),"Spain, Cuba")</f>
        <v>Spain, Cuba</v>
      </c>
      <c r="B450" s="5">
        <f>COUNTIF(data!F:F, A450)</f>
        <v>1</v>
      </c>
    </row>
    <row r="451">
      <c r="A451" s="5" t="str">
        <f>IFERROR(__xludf.DUMMYFUNCTION("""COMPUTED_VALUE"""),"Spain, France")</f>
        <v>Spain, France</v>
      </c>
      <c r="B451" s="5">
        <f>COUNTIF(data!F:F, A451)</f>
        <v>5</v>
      </c>
    </row>
    <row r="452">
      <c r="A452" s="5" t="str">
        <f>IFERROR(__xludf.DUMMYFUNCTION("""COMPUTED_VALUE"""),"Spain, France, Canada")</f>
        <v>Spain, France, Canada</v>
      </c>
      <c r="B452" s="5">
        <f>COUNTIF(data!F:F, A452)</f>
        <v>1</v>
      </c>
    </row>
    <row r="453">
      <c r="A453" s="5" t="str">
        <f>IFERROR(__xludf.DUMMYFUNCTION("""COMPUTED_VALUE"""),"Spain, France, Canada, United States")</f>
        <v>Spain, France, Canada, United States</v>
      </c>
      <c r="B453" s="5">
        <f>COUNTIF(data!F:F, A453)</f>
        <v>1</v>
      </c>
    </row>
    <row r="454">
      <c r="A454" s="5" t="str">
        <f>IFERROR(__xludf.DUMMYFUNCTION("""COMPUTED_VALUE"""),"Spain, France, Italy")</f>
        <v>Spain, France, Italy</v>
      </c>
      <c r="B454" s="5">
        <f>COUNTIF(data!F:F, A454)</f>
        <v>1</v>
      </c>
    </row>
    <row r="455">
      <c r="A455" s="5" t="str">
        <f>IFERROR(__xludf.DUMMYFUNCTION("""COMPUTED_VALUE"""),"Spain, France, United Kingdom, United States")</f>
        <v>Spain, France, United Kingdom, United States</v>
      </c>
      <c r="B455" s="5">
        <f>COUNTIF(data!F:F, A455)</f>
        <v>1</v>
      </c>
    </row>
    <row r="456">
      <c r="A456" s="5" t="str">
        <f>IFERROR(__xludf.DUMMYFUNCTION("""COMPUTED_VALUE"""),"Spain, France, United States")</f>
        <v>Spain, France, United States</v>
      </c>
      <c r="B456" s="5">
        <f>COUNTIF(data!F:F, A456)</f>
        <v>1</v>
      </c>
    </row>
    <row r="457">
      <c r="A457" s="5" t="str">
        <f>IFERROR(__xludf.DUMMYFUNCTION("""COMPUTED_VALUE"""),"Spain, France, Uruguay")</f>
        <v>Spain, France, Uruguay</v>
      </c>
      <c r="B457" s="5">
        <f>COUNTIF(data!F:F, A457)</f>
        <v>1</v>
      </c>
    </row>
    <row r="458">
      <c r="A458" s="5" t="str">
        <f>IFERROR(__xludf.DUMMYFUNCTION("""COMPUTED_VALUE"""),"Spain, Germany")</f>
        <v>Spain, Germany</v>
      </c>
      <c r="B458" s="5">
        <f>COUNTIF(data!F:F, A458)</f>
        <v>3</v>
      </c>
    </row>
    <row r="459">
      <c r="A459" s="5" t="str">
        <f>IFERROR(__xludf.DUMMYFUNCTION("""COMPUTED_VALUE"""),"Spain, Germany, Denmark, United States")</f>
        <v>Spain, Germany, Denmark, United States</v>
      </c>
      <c r="B459" s="5">
        <f>COUNTIF(data!F:F, A459)</f>
        <v>1</v>
      </c>
    </row>
    <row r="460">
      <c r="A460" s="5" t="str">
        <f>IFERROR(__xludf.DUMMYFUNCTION("""COMPUTED_VALUE"""),"Spain, Italy")</f>
        <v>Spain, Italy</v>
      </c>
      <c r="B460" s="5">
        <f>COUNTIF(data!F:F, A460)</f>
        <v>2</v>
      </c>
    </row>
    <row r="461">
      <c r="A461" s="5" t="str">
        <f>IFERROR(__xludf.DUMMYFUNCTION("""COMPUTED_VALUE"""),"Spain, Italy, Argentina")</f>
        <v>Spain, Italy, Argentina</v>
      </c>
      <c r="B461" s="5">
        <f>COUNTIF(data!F:F, A461)</f>
        <v>1</v>
      </c>
    </row>
    <row r="462">
      <c r="A462" s="5" t="str">
        <f>IFERROR(__xludf.DUMMYFUNCTION("""COMPUTED_VALUE"""),"Spain, Mexico")</f>
        <v>Spain, Mexico</v>
      </c>
      <c r="B462" s="5">
        <f>COUNTIF(data!F:F, A462)</f>
        <v>2</v>
      </c>
    </row>
    <row r="463">
      <c r="A463" s="5" t="str">
        <f>IFERROR(__xludf.DUMMYFUNCTION("""COMPUTED_VALUE"""),"Spain, Mexico, France")</f>
        <v>Spain, Mexico, France</v>
      </c>
      <c r="B463" s="5">
        <f>COUNTIF(data!F:F, A463)</f>
        <v>1</v>
      </c>
    </row>
    <row r="464">
      <c r="A464" s="5" t="str">
        <f>IFERROR(__xludf.DUMMYFUNCTION("""COMPUTED_VALUE"""),"Spain, Portugal")</f>
        <v>Spain, Portugal</v>
      </c>
      <c r="B464" s="5">
        <f>COUNTIF(data!F:F, A464)</f>
        <v>1</v>
      </c>
    </row>
    <row r="465">
      <c r="A465" s="5" t="str">
        <f>IFERROR(__xludf.DUMMYFUNCTION("""COMPUTED_VALUE"""),"Spain, Switzerland")</f>
        <v>Spain, Switzerland</v>
      </c>
      <c r="B465" s="5">
        <f>COUNTIF(data!F:F, A465)</f>
        <v>1</v>
      </c>
    </row>
    <row r="466">
      <c r="A466" s="5" t="str">
        <f>IFERROR(__xludf.DUMMYFUNCTION("""COMPUTED_VALUE"""),"Spain, Thailand, United States")</f>
        <v>Spain, Thailand, United States</v>
      </c>
      <c r="B466" s="5">
        <f>COUNTIF(data!F:F, A466)</f>
        <v>1</v>
      </c>
    </row>
    <row r="467">
      <c r="A467" s="5" t="str">
        <f>IFERROR(__xludf.DUMMYFUNCTION("""COMPUTED_VALUE"""),"Spain, United Kingdom")</f>
        <v>Spain, United Kingdom</v>
      </c>
      <c r="B467" s="5">
        <f>COUNTIF(data!F:F, A467)</f>
        <v>2</v>
      </c>
    </row>
    <row r="468">
      <c r="A468" s="5" t="str">
        <f>IFERROR(__xludf.DUMMYFUNCTION("""COMPUTED_VALUE"""),"Spain, United Kingdom, United States")</f>
        <v>Spain, United Kingdom, United States</v>
      </c>
      <c r="B468" s="5">
        <f>COUNTIF(data!F:F, A468)</f>
        <v>1</v>
      </c>
    </row>
    <row r="469">
      <c r="A469" s="5" t="str">
        <f>IFERROR(__xludf.DUMMYFUNCTION("""COMPUTED_VALUE"""),"Spain, United States")</f>
        <v>Spain, United States</v>
      </c>
      <c r="B469" s="5">
        <f>COUNTIF(data!F:F, A469)</f>
        <v>1</v>
      </c>
    </row>
    <row r="470">
      <c r="A470" s="5" t="str">
        <f>IFERROR(__xludf.DUMMYFUNCTION("""COMPUTED_VALUE"""),"Sweden")</f>
        <v>Sweden</v>
      </c>
      <c r="B470" s="5">
        <f>COUNTIF(data!F:F, A470)</f>
        <v>13</v>
      </c>
    </row>
    <row r="471">
      <c r="A471" s="5" t="str">
        <f>IFERROR(__xludf.DUMMYFUNCTION("""COMPUTED_VALUE"""),"Sweden, Czech Republic, United Kingdom, Denmark, Netherlands")</f>
        <v>Sweden, Czech Republic, United Kingdom, Denmark, Netherlands</v>
      </c>
      <c r="B471" s="5">
        <f>COUNTIF(data!F:F, A471)</f>
        <v>1</v>
      </c>
    </row>
    <row r="472">
      <c r="A472" s="5" t="str">
        <f>IFERROR(__xludf.DUMMYFUNCTION("""COMPUTED_VALUE"""),"Sweden, Netherlands")</f>
        <v>Sweden, Netherlands</v>
      </c>
      <c r="B472" s="5">
        <f>COUNTIF(data!F:F, A472)</f>
        <v>1</v>
      </c>
    </row>
    <row r="473">
      <c r="A473" s="5" t="str">
        <f>IFERROR(__xludf.DUMMYFUNCTION("""COMPUTED_VALUE"""),"Sweden, United Kingdom, Finland")</f>
        <v>Sweden, United Kingdom, Finland</v>
      </c>
      <c r="B473" s="5">
        <f>COUNTIF(data!F:F, A473)</f>
        <v>1</v>
      </c>
    </row>
    <row r="474">
      <c r="A474" s="5" t="str">
        <f>IFERROR(__xludf.DUMMYFUNCTION("""COMPUTED_VALUE"""),"Sweden, United States")</f>
        <v>Sweden, United States</v>
      </c>
      <c r="B474" s="5">
        <f>COUNTIF(data!F:F, A474)</f>
        <v>3</v>
      </c>
    </row>
    <row r="475">
      <c r="A475" s="5" t="str">
        <f>IFERROR(__xludf.DUMMYFUNCTION("""COMPUTED_VALUE"""),"Switzerland")</f>
        <v>Switzerland</v>
      </c>
      <c r="B475" s="5">
        <f>COUNTIF(data!F:F, A475)</f>
        <v>2</v>
      </c>
    </row>
    <row r="476">
      <c r="A476" s="5" t="str">
        <f>IFERROR(__xludf.DUMMYFUNCTION("""COMPUTED_VALUE"""),"Switzerland, France")</f>
        <v>Switzerland, France</v>
      </c>
      <c r="B476" s="5">
        <f>COUNTIF(data!F:F, A476)</f>
        <v>1</v>
      </c>
    </row>
    <row r="477">
      <c r="A477" s="5" t="str">
        <f>IFERROR(__xludf.DUMMYFUNCTION("""COMPUTED_VALUE"""),"Switzerland, France, Belgium, United States")</f>
        <v>Switzerland, France, Belgium, United States</v>
      </c>
      <c r="B477" s="5">
        <f>COUNTIF(data!F:F, A477)</f>
        <v>1</v>
      </c>
    </row>
    <row r="478">
      <c r="A478" s="5" t="str">
        <f>IFERROR(__xludf.DUMMYFUNCTION("""COMPUTED_VALUE"""),"Switzerland, United Kingdom, Australia")</f>
        <v>Switzerland, United Kingdom, Australia</v>
      </c>
      <c r="B478" s="5">
        <f>COUNTIF(data!F:F, A478)</f>
        <v>1</v>
      </c>
    </row>
    <row r="479">
      <c r="A479" s="5" t="str">
        <f>IFERROR(__xludf.DUMMYFUNCTION("""COMPUTED_VALUE"""),"Switzerland, United Kingdom, United States")</f>
        <v>Switzerland, United Kingdom, United States</v>
      </c>
      <c r="B479" s="5">
        <f>COUNTIF(data!F:F, A479)</f>
        <v>1</v>
      </c>
    </row>
    <row r="480">
      <c r="A480" s="5" t="str">
        <f>IFERROR(__xludf.DUMMYFUNCTION("""COMPUTED_VALUE"""),"Switzerland, United States")</f>
        <v>Switzerland, United States</v>
      </c>
      <c r="B480" s="5">
        <f>COUNTIF(data!F:F, A480)</f>
        <v>1</v>
      </c>
    </row>
    <row r="481">
      <c r="A481" s="5" t="str">
        <f>IFERROR(__xludf.DUMMYFUNCTION("""COMPUTED_VALUE"""),"Switzerland, Vatican City, Italy, Germany, France")</f>
        <v>Switzerland, Vatican City, Italy, Germany, France</v>
      </c>
      <c r="B481" s="5">
        <f>COUNTIF(data!F:F, A481)</f>
        <v>1</v>
      </c>
    </row>
    <row r="482">
      <c r="A482" s="5" t="str">
        <f>IFERROR(__xludf.DUMMYFUNCTION("""COMPUTED_VALUE"""),"Syria, France, Lebanon, Qatar")</f>
        <v>Syria, France, Lebanon, Qatar</v>
      </c>
      <c r="B482" s="5">
        <f>COUNTIF(data!F:F, A482)</f>
        <v>1</v>
      </c>
    </row>
    <row r="483">
      <c r="A483" s="5" t="str">
        <f>IFERROR(__xludf.DUMMYFUNCTION("""COMPUTED_VALUE"""),"Taiwan")</f>
        <v>Taiwan</v>
      </c>
      <c r="B483" s="5">
        <f>COUNTIF(data!F:F, A483)</f>
        <v>81</v>
      </c>
    </row>
    <row r="484">
      <c r="A484" s="5" t="str">
        <f>IFERROR(__xludf.DUMMYFUNCTION("""COMPUTED_VALUE"""),"Taiwan, China")</f>
        <v>Taiwan, China</v>
      </c>
      <c r="B484" s="5">
        <f>COUNTIF(data!F:F, A484)</f>
        <v>1</v>
      </c>
    </row>
    <row r="485">
      <c r="A485" s="5" t="str">
        <f>IFERROR(__xludf.DUMMYFUNCTION("""COMPUTED_VALUE"""),"Taiwan, China, France, United States")</f>
        <v>Taiwan, China, France, United States</v>
      </c>
      <c r="B485" s="5">
        <f>COUNTIF(data!F:F, A485)</f>
        <v>1</v>
      </c>
    </row>
    <row r="486">
      <c r="A486" s="5" t="str">
        <f>IFERROR(__xludf.DUMMYFUNCTION("""COMPUTED_VALUE"""),"Taiwan, Hong Kong, United States, China")</f>
        <v>Taiwan, Hong Kong, United States, China</v>
      </c>
      <c r="B486" s="5">
        <f>COUNTIF(data!F:F, A486)</f>
        <v>1</v>
      </c>
    </row>
    <row r="487">
      <c r="A487" s="5" t="str">
        <f>IFERROR(__xludf.DUMMYFUNCTION("""COMPUTED_VALUE"""),"Taiwan, Malaysia")</f>
        <v>Taiwan, Malaysia</v>
      </c>
      <c r="B487" s="5">
        <f>COUNTIF(data!F:F, A487)</f>
        <v>1</v>
      </c>
    </row>
    <row r="488">
      <c r="A488" s="5" t="str">
        <f>IFERROR(__xludf.DUMMYFUNCTION("""COMPUTED_VALUE"""),"Thailand")</f>
        <v>Thailand</v>
      </c>
      <c r="B488" s="5">
        <f>COUNTIF(data!F:F, A488)</f>
        <v>61</v>
      </c>
    </row>
    <row r="489">
      <c r="A489" s="5" t="str">
        <f>IFERROR(__xludf.DUMMYFUNCTION("""COMPUTED_VALUE"""),"Thailand, Canada, United States")</f>
        <v>Thailand, Canada, United States</v>
      </c>
      <c r="B489" s="5">
        <f>COUNTIF(data!F:F, A489)</f>
        <v>1</v>
      </c>
    </row>
    <row r="490">
      <c r="A490" s="5" t="str">
        <f>IFERROR(__xludf.DUMMYFUNCTION("""COMPUTED_VALUE"""),"Thailand, China, United States")</f>
        <v>Thailand, China, United States</v>
      </c>
      <c r="B490" s="5">
        <f>COUNTIF(data!F:F, A490)</f>
        <v>1</v>
      </c>
    </row>
    <row r="491">
      <c r="A491" s="5" t="str">
        <f>IFERROR(__xludf.DUMMYFUNCTION("""COMPUTED_VALUE"""),"Thailand, United States")</f>
        <v>Thailand, United States</v>
      </c>
      <c r="B491" s="5">
        <f>COUNTIF(data!F:F, A491)</f>
        <v>2</v>
      </c>
    </row>
    <row r="492">
      <c r="A492" s="5" t="str">
        <f>IFERROR(__xludf.DUMMYFUNCTION("""COMPUTED_VALUE"""),"Turkey")</f>
        <v>Turkey</v>
      </c>
      <c r="B492" s="5">
        <f>COUNTIF(data!F:F, A492)</f>
        <v>105</v>
      </c>
    </row>
    <row r="493">
      <c r="A493" s="5" t="str">
        <f>IFERROR(__xludf.DUMMYFUNCTION("""COMPUTED_VALUE"""),"Turkey, Azerbaijan")</f>
        <v>Turkey, Azerbaijan</v>
      </c>
      <c r="B493" s="5">
        <f>COUNTIF(data!F:F, A493)</f>
        <v>1</v>
      </c>
    </row>
    <row r="494">
      <c r="A494" s="5" t="str">
        <f>IFERROR(__xludf.DUMMYFUNCTION("""COMPUTED_VALUE"""),"Turkey, France, Germany, Poland")</f>
        <v>Turkey, France, Germany, Poland</v>
      </c>
      <c r="B494" s="5">
        <f>COUNTIF(data!F:F, A494)</f>
        <v>1</v>
      </c>
    </row>
    <row r="495">
      <c r="A495" s="5" t="str">
        <f>IFERROR(__xludf.DUMMYFUNCTION("""COMPUTED_VALUE"""),"Turkey, India")</f>
        <v>Turkey, India</v>
      </c>
      <c r="B495" s="5">
        <f>COUNTIF(data!F:F, A495)</f>
        <v>1</v>
      </c>
    </row>
    <row r="496">
      <c r="A496" s="5" t="str">
        <f>IFERROR(__xludf.DUMMYFUNCTION("""COMPUTED_VALUE"""),"Turkey, South Korea")</f>
        <v>Turkey, South Korea</v>
      </c>
      <c r="B496" s="5">
        <f>COUNTIF(data!F:F, A496)</f>
        <v>1</v>
      </c>
    </row>
    <row r="497">
      <c r="A497" s="5" t="str">
        <f>IFERROR(__xludf.DUMMYFUNCTION("""COMPUTED_VALUE"""),"Turkey, United States")</f>
        <v>Turkey, United States</v>
      </c>
      <c r="B497" s="5">
        <f>COUNTIF(data!F:F, A497)</f>
        <v>2</v>
      </c>
    </row>
    <row r="498">
      <c r="A498" s="5" t="str">
        <f>IFERROR(__xludf.DUMMYFUNCTION("""COMPUTED_VALUE"""),"Ukraine")</f>
        <v>Ukraine</v>
      </c>
      <c r="B498" s="5">
        <f>COUNTIF(data!F:F, A498)</f>
        <v>2</v>
      </c>
    </row>
    <row r="499">
      <c r="A499" s="5" t="str">
        <f>IFERROR(__xludf.DUMMYFUNCTION("""COMPUTED_VALUE"""),"United Arab Emirates")</f>
        <v>United Arab Emirates</v>
      </c>
      <c r="B499" s="5">
        <f>COUNTIF(data!F:F, A499)</f>
        <v>14</v>
      </c>
    </row>
    <row r="500">
      <c r="A500" s="5" t="str">
        <f>IFERROR(__xludf.DUMMYFUNCTION("""COMPUTED_VALUE"""),"United Arab Emirates, Jordan")</f>
        <v>United Arab Emirates, Jordan</v>
      </c>
      <c r="B500" s="5">
        <f>COUNTIF(data!F:F, A500)</f>
        <v>1</v>
      </c>
    </row>
    <row r="501">
      <c r="A501" s="5" t="str">
        <f>IFERROR(__xludf.DUMMYFUNCTION("""COMPUTED_VALUE"""),"United Arab Emirates, Jordan, Lebanon, Saudi Arabia")</f>
        <v>United Arab Emirates, Jordan, Lebanon, Saudi Arabia</v>
      </c>
      <c r="B501" s="5">
        <f>COUNTIF(data!F:F, A501)</f>
        <v>1</v>
      </c>
    </row>
    <row r="502">
      <c r="A502" s="5" t="str">
        <f>IFERROR(__xludf.DUMMYFUNCTION("""COMPUTED_VALUE"""),"United Arab Emirates, Romania")</f>
        <v>United Arab Emirates, Romania</v>
      </c>
      <c r="B502" s="5">
        <f>COUNTIF(data!F:F, A502)</f>
        <v>1</v>
      </c>
    </row>
    <row r="503">
      <c r="A503" s="5" t="str">
        <f>IFERROR(__xludf.DUMMYFUNCTION("""COMPUTED_VALUE"""),"United Arab Emirates, United Kingdom, India")</f>
        <v>United Arab Emirates, United Kingdom, India</v>
      </c>
      <c r="B503" s="5">
        <f>COUNTIF(data!F:F, A503)</f>
        <v>1</v>
      </c>
    </row>
    <row r="504">
      <c r="A504" s="5" t="str">
        <f>IFERROR(__xludf.DUMMYFUNCTION("""COMPUTED_VALUE"""),"United Arab Emirates, United States")</f>
        <v>United Arab Emirates, United States</v>
      </c>
      <c r="B504" s="5">
        <f>COUNTIF(data!F:F, A504)</f>
        <v>2</v>
      </c>
    </row>
    <row r="505">
      <c r="A505" s="5" t="str">
        <f>IFERROR(__xludf.DUMMYFUNCTION("""COMPUTED_VALUE"""),"United Arab Emirates, United States, United Kingdom")</f>
        <v>United Arab Emirates, United States, United Kingdom</v>
      </c>
      <c r="B505" s="5">
        <f>COUNTIF(data!F:F, A505)</f>
        <v>1</v>
      </c>
    </row>
    <row r="506">
      <c r="A506" s="5" t="str">
        <f>IFERROR(__xludf.DUMMYFUNCTION("""COMPUTED_VALUE"""),"United Kingdom")</f>
        <v>United Kingdom</v>
      </c>
      <c r="B506" s="5">
        <f>COUNTIF(data!F:F, A506)</f>
        <v>419</v>
      </c>
    </row>
    <row r="507">
      <c r="A507" s="5" t="str">
        <f>IFERROR(__xludf.DUMMYFUNCTION("""COMPUTED_VALUE"""),"United Kingdom,")</f>
        <v>United Kingdom,</v>
      </c>
      <c r="B507" s="5">
        <f>COUNTIF(data!F:F, A507)</f>
        <v>2</v>
      </c>
    </row>
    <row r="508">
      <c r="A508" s="5" t="str">
        <f>IFERROR(__xludf.DUMMYFUNCTION("""COMPUTED_VALUE"""),"United Kingdom, Australia")</f>
        <v>United Kingdom, Australia</v>
      </c>
      <c r="B508" s="5">
        <f>COUNTIF(data!F:F, A508)</f>
        <v>1</v>
      </c>
    </row>
    <row r="509">
      <c r="A509" s="5" t="str">
        <f>IFERROR(__xludf.DUMMYFUNCTION("""COMPUTED_VALUE"""),"United Kingdom, Australia, Canada, United States")</f>
        <v>United Kingdom, Australia, Canada, United States</v>
      </c>
      <c r="B509" s="5">
        <f>COUNTIF(data!F:F, A509)</f>
        <v>1</v>
      </c>
    </row>
    <row r="510">
      <c r="A510" s="5" t="str">
        <f>IFERROR(__xludf.DUMMYFUNCTION("""COMPUTED_VALUE"""),"United Kingdom, Australia, France")</f>
        <v>United Kingdom, Australia, France</v>
      </c>
      <c r="B510" s="5">
        <f>COUNTIF(data!F:F, A510)</f>
        <v>1</v>
      </c>
    </row>
    <row r="511">
      <c r="A511" s="5" t="str">
        <f>IFERROR(__xludf.DUMMYFUNCTION("""COMPUTED_VALUE"""),"United Kingdom, Australia, France, United States")</f>
        <v>United Kingdom, Australia, France, United States</v>
      </c>
      <c r="B511" s="5">
        <f>COUNTIF(data!F:F, A511)</f>
        <v>1</v>
      </c>
    </row>
    <row r="512">
      <c r="A512" s="5" t="str">
        <f>IFERROR(__xludf.DUMMYFUNCTION("""COMPUTED_VALUE"""),"United Kingdom, Australia, United States")</f>
        <v>United Kingdom, Australia, United States</v>
      </c>
      <c r="B512" s="5">
        <f>COUNTIF(data!F:F, A512)</f>
        <v>1</v>
      </c>
    </row>
    <row r="513">
      <c r="A513" s="5" t="str">
        <f>IFERROR(__xludf.DUMMYFUNCTION("""COMPUTED_VALUE"""),"United Kingdom, Belgium")</f>
        <v>United Kingdom, Belgium</v>
      </c>
      <c r="B513" s="5">
        <f>COUNTIF(data!F:F, A513)</f>
        <v>2</v>
      </c>
    </row>
    <row r="514">
      <c r="A514" s="5" t="str">
        <f>IFERROR(__xludf.DUMMYFUNCTION("""COMPUTED_VALUE"""),"United Kingdom, Belgium, Sweden")</f>
        <v>United Kingdom, Belgium, Sweden</v>
      </c>
      <c r="B514" s="5">
        <f>COUNTIF(data!F:F, A514)</f>
        <v>1</v>
      </c>
    </row>
    <row r="515">
      <c r="A515" s="5" t="str">
        <f>IFERROR(__xludf.DUMMYFUNCTION("""COMPUTED_VALUE"""),"United Kingdom, Brazil, Germany")</f>
        <v>United Kingdom, Brazil, Germany</v>
      </c>
      <c r="B515" s="5">
        <f>COUNTIF(data!F:F, A515)</f>
        <v>1</v>
      </c>
    </row>
    <row r="516">
      <c r="A516" s="5" t="str">
        <f>IFERROR(__xludf.DUMMYFUNCTION("""COMPUTED_VALUE"""),"United Kingdom, Canada")</f>
        <v>United Kingdom, Canada</v>
      </c>
      <c r="B516" s="5">
        <f>COUNTIF(data!F:F, A516)</f>
        <v>4</v>
      </c>
    </row>
    <row r="517">
      <c r="A517" s="5" t="str">
        <f>IFERROR(__xludf.DUMMYFUNCTION("""COMPUTED_VALUE"""),"United Kingdom, Canada, France, United States")</f>
        <v>United Kingdom, Canada, France, United States</v>
      </c>
      <c r="B517" s="5">
        <f>COUNTIF(data!F:F, A517)</f>
        <v>1</v>
      </c>
    </row>
    <row r="518">
      <c r="A518" s="5" t="str">
        <f>IFERROR(__xludf.DUMMYFUNCTION("""COMPUTED_VALUE"""),"United Kingdom, Canada, Italy")</f>
        <v>United Kingdom, Canada, Italy</v>
      </c>
      <c r="B518" s="5">
        <f>COUNTIF(data!F:F, A518)</f>
        <v>1</v>
      </c>
    </row>
    <row r="519">
      <c r="A519" s="5" t="str">
        <f>IFERROR(__xludf.DUMMYFUNCTION("""COMPUTED_VALUE"""),"United Kingdom, Canada, Japan")</f>
        <v>United Kingdom, Canada, Japan</v>
      </c>
      <c r="B519" s="5">
        <f>COUNTIF(data!F:F, A519)</f>
        <v>1</v>
      </c>
    </row>
    <row r="520">
      <c r="A520" s="5" t="str">
        <f>IFERROR(__xludf.DUMMYFUNCTION("""COMPUTED_VALUE"""),"United Kingdom, Canada, United States")</f>
        <v>United Kingdom, Canada, United States</v>
      </c>
      <c r="B520" s="5">
        <f>COUNTIF(data!F:F, A520)</f>
        <v>8</v>
      </c>
    </row>
    <row r="521">
      <c r="A521" s="5" t="str">
        <f>IFERROR(__xludf.DUMMYFUNCTION("""COMPUTED_VALUE"""),"United Kingdom, Canada, United States, Cayman Islands")</f>
        <v>United Kingdom, Canada, United States, Cayman Islands</v>
      </c>
      <c r="B521" s="5">
        <f>COUNTIF(data!F:F, A521)</f>
        <v>1</v>
      </c>
    </row>
    <row r="522">
      <c r="A522" s="5" t="str">
        <f>IFERROR(__xludf.DUMMYFUNCTION("""COMPUTED_VALUE"""),"United Kingdom, Canada, United States, Germany")</f>
        <v>United Kingdom, Canada, United States, Germany</v>
      </c>
      <c r="B522" s="5">
        <f>COUNTIF(data!F:F, A522)</f>
        <v>1</v>
      </c>
    </row>
    <row r="523">
      <c r="A523" s="5" t="str">
        <f>IFERROR(__xludf.DUMMYFUNCTION("""COMPUTED_VALUE"""),"United Kingdom, China")</f>
        <v>United Kingdom, China</v>
      </c>
      <c r="B523" s="5">
        <f>COUNTIF(data!F:F, A523)</f>
        <v>1</v>
      </c>
    </row>
    <row r="524">
      <c r="A524" s="5" t="str">
        <f>IFERROR(__xludf.DUMMYFUNCTION("""COMPUTED_VALUE"""),"United Kingdom, China, United States")</f>
        <v>United Kingdom, China, United States</v>
      </c>
      <c r="B524" s="5">
        <f>COUNTIF(data!F:F, A524)</f>
        <v>1</v>
      </c>
    </row>
    <row r="525">
      <c r="A525" s="5" t="str">
        <f>IFERROR(__xludf.DUMMYFUNCTION("""COMPUTED_VALUE"""),"United Kingdom, China, United States, India")</f>
        <v>United Kingdom, China, United States, India</v>
      </c>
      <c r="B525" s="5">
        <f>COUNTIF(data!F:F, A525)</f>
        <v>1</v>
      </c>
    </row>
    <row r="526">
      <c r="A526" s="5" t="str">
        <f>IFERROR(__xludf.DUMMYFUNCTION("""COMPUTED_VALUE"""),"United Kingdom, Czech Republic, Germany, United States")</f>
        <v>United Kingdom, Czech Republic, Germany, United States</v>
      </c>
      <c r="B526" s="5">
        <f>COUNTIF(data!F:F, A526)</f>
        <v>1</v>
      </c>
    </row>
    <row r="527">
      <c r="A527" s="5" t="str">
        <f>IFERROR(__xludf.DUMMYFUNCTION("""COMPUTED_VALUE"""),"United Kingdom, Czech Republic, United States, Germany, Bahamas")</f>
        <v>United Kingdom, Czech Republic, United States, Germany, Bahamas</v>
      </c>
      <c r="B527" s="5">
        <f>COUNTIF(data!F:F, A527)</f>
        <v>1</v>
      </c>
    </row>
    <row r="528">
      <c r="A528" s="5" t="str">
        <f>IFERROR(__xludf.DUMMYFUNCTION("""COMPUTED_VALUE"""),"United Kingdom, Denmark, Canada, Croatia")</f>
        <v>United Kingdom, Denmark, Canada, Croatia</v>
      </c>
      <c r="B528" s="5">
        <f>COUNTIF(data!F:F, A528)</f>
        <v>1</v>
      </c>
    </row>
    <row r="529">
      <c r="A529" s="5" t="str">
        <f>IFERROR(__xludf.DUMMYFUNCTION("""COMPUTED_VALUE"""),"United Kingdom, Egypt, United States")</f>
        <v>United Kingdom, Egypt, United States</v>
      </c>
      <c r="B529" s="5">
        <f>COUNTIF(data!F:F, A529)</f>
        <v>1</v>
      </c>
    </row>
    <row r="530">
      <c r="A530" s="5" t="str">
        <f>IFERROR(__xludf.DUMMYFUNCTION("""COMPUTED_VALUE"""),"United Kingdom, Finland, Germany, United States, Australia, Japan, France, Ireland")</f>
        <v>United Kingdom, Finland, Germany, United States, Australia, Japan, France, Ireland</v>
      </c>
      <c r="B530" s="5">
        <f>COUNTIF(data!F:F, A530)</f>
        <v>1</v>
      </c>
    </row>
    <row r="531">
      <c r="A531" s="5" t="str">
        <f>IFERROR(__xludf.DUMMYFUNCTION("""COMPUTED_VALUE"""),"United Kingdom, France")</f>
        <v>United Kingdom, France</v>
      </c>
      <c r="B531" s="5">
        <f>COUNTIF(data!F:F, A531)</f>
        <v>6</v>
      </c>
    </row>
    <row r="532">
      <c r="A532" s="5" t="str">
        <f>IFERROR(__xludf.DUMMYFUNCTION("""COMPUTED_VALUE"""),"United Kingdom, France, Belgium")</f>
        <v>United Kingdom, France, Belgium</v>
      </c>
      <c r="B532" s="5">
        <f>COUNTIF(data!F:F, A532)</f>
        <v>1</v>
      </c>
    </row>
    <row r="533">
      <c r="A533" s="5" t="str">
        <f>IFERROR(__xludf.DUMMYFUNCTION("""COMPUTED_VALUE"""),"United Kingdom, France, Belgium, Canada, United States")</f>
        <v>United Kingdom, France, Belgium, Canada, United States</v>
      </c>
      <c r="B533" s="5">
        <f>COUNTIF(data!F:F, A533)</f>
        <v>1</v>
      </c>
    </row>
    <row r="534">
      <c r="A534" s="5" t="str">
        <f>IFERROR(__xludf.DUMMYFUNCTION("""COMPUTED_VALUE"""),"United Kingdom, France, Belgium, Ireland, United States")</f>
        <v>United Kingdom, France, Belgium, Ireland, United States</v>
      </c>
      <c r="B534" s="5">
        <f>COUNTIF(data!F:F, A534)</f>
        <v>1</v>
      </c>
    </row>
    <row r="535">
      <c r="A535" s="5" t="str">
        <f>IFERROR(__xludf.DUMMYFUNCTION("""COMPUTED_VALUE"""),"United Kingdom, France, Belgium, United States")</f>
        <v>United Kingdom, France, Belgium, United States</v>
      </c>
      <c r="B535" s="5">
        <f>COUNTIF(data!F:F, A535)</f>
        <v>1</v>
      </c>
    </row>
    <row r="536">
      <c r="A536" s="5" t="str">
        <f>IFERROR(__xludf.DUMMYFUNCTION("""COMPUTED_VALUE"""),"United Kingdom, France, Canada, Belgium, United States")</f>
        <v>United Kingdom, France, Canada, Belgium, United States</v>
      </c>
      <c r="B536" s="5">
        <f>COUNTIF(data!F:F, A536)</f>
        <v>1</v>
      </c>
    </row>
    <row r="537">
      <c r="A537" s="5" t="str">
        <f>IFERROR(__xludf.DUMMYFUNCTION("""COMPUTED_VALUE"""),"United Kingdom, France, Germany")</f>
        <v>United Kingdom, France, Germany</v>
      </c>
      <c r="B537" s="5">
        <f>COUNTIF(data!F:F, A537)</f>
        <v>1</v>
      </c>
    </row>
    <row r="538">
      <c r="A538" s="5" t="str">
        <f>IFERROR(__xludf.DUMMYFUNCTION("""COMPUTED_VALUE"""),"United Kingdom, France, Germany, Spain")</f>
        <v>United Kingdom, France, Germany, Spain</v>
      </c>
      <c r="B538" s="5">
        <f>COUNTIF(data!F:F, A538)</f>
        <v>1</v>
      </c>
    </row>
    <row r="539">
      <c r="A539" s="5" t="str">
        <f>IFERROR(__xludf.DUMMYFUNCTION("""COMPUTED_VALUE"""),"United Kingdom, France, Germany, United States")</f>
        <v>United Kingdom, France, Germany, United States</v>
      </c>
      <c r="B539" s="5">
        <f>COUNTIF(data!F:F, A539)</f>
        <v>2</v>
      </c>
    </row>
    <row r="540">
      <c r="A540" s="5" t="str">
        <f>IFERROR(__xludf.DUMMYFUNCTION("""COMPUTED_VALUE"""),"United Kingdom, France, Poland, Germany, United States")</f>
        <v>United Kingdom, France, Poland, Germany, United States</v>
      </c>
      <c r="B540" s="5">
        <f>COUNTIF(data!F:F, A540)</f>
        <v>1</v>
      </c>
    </row>
    <row r="541">
      <c r="A541" s="5" t="str">
        <f>IFERROR(__xludf.DUMMYFUNCTION("""COMPUTED_VALUE"""),"United Kingdom, France, Spain, United States")</f>
        <v>United Kingdom, France, Spain, United States</v>
      </c>
      <c r="B541" s="5">
        <f>COUNTIF(data!F:F, A541)</f>
        <v>1</v>
      </c>
    </row>
    <row r="542">
      <c r="A542" s="5" t="str">
        <f>IFERROR(__xludf.DUMMYFUNCTION("""COMPUTED_VALUE"""),"United Kingdom, France, United States")</f>
        <v>United Kingdom, France, United States</v>
      </c>
      <c r="B542" s="5">
        <f>COUNTIF(data!F:F, A542)</f>
        <v>4</v>
      </c>
    </row>
    <row r="543">
      <c r="A543" s="5" t="str">
        <f>IFERROR(__xludf.DUMMYFUNCTION("""COMPUTED_VALUE"""),"United Kingdom, France, United States, Belgium")</f>
        <v>United Kingdom, France, United States, Belgium</v>
      </c>
      <c r="B543" s="5">
        <f>COUNTIF(data!F:F, A543)</f>
        <v>1</v>
      </c>
    </row>
    <row r="544">
      <c r="A544" s="5" t="str">
        <f>IFERROR(__xludf.DUMMYFUNCTION("""COMPUTED_VALUE"""),"United Kingdom, France, United States, Belgium, Luxembourg, China, Germany")</f>
        <v>United Kingdom, France, United States, Belgium, Luxembourg, China, Germany</v>
      </c>
      <c r="B544" s="5">
        <f>COUNTIF(data!F:F, A544)</f>
        <v>1</v>
      </c>
    </row>
    <row r="545">
      <c r="A545" s="5" t="str">
        <f>IFERROR(__xludf.DUMMYFUNCTION("""COMPUTED_VALUE"""),"United Kingdom, Germany")</f>
        <v>United Kingdom, Germany</v>
      </c>
      <c r="B545" s="5">
        <f>COUNTIF(data!F:F, A545)</f>
        <v>4</v>
      </c>
    </row>
    <row r="546">
      <c r="A546" s="5" t="str">
        <f>IFERROR(__xludf.DUMMYFUNCTION("""COMPUTED_VALUE"""),"United Kingdom, Germany, Canada")</f>
        <v>United Kingdom, Germany, Canada</v>
      </c>
      <c r="B546" s="5">
        <f>COUNTIF(data!F:F, A546)</f>
        <v>1</v>
      </c>
    </row>
    <row r="547">
      <c r="A547" s="5" t="str">
        <f>IFERROR(__xludf.DUMMYFUNCTION("""COMPUTED_VALUE"""),"United Kingdom, Germany, Canada, United States")</f>
        <v>United Kingdom, Germany, Canada, United States</v>
      </c>
      <c r="B547" s="5">
        <f>COUNTIF(data!F:F, A547)</f>
        <v>1</v>
      </c>
    </row>
    <row r="548">
      <c r="A548" s="5" t="str">
        <f>IFERROR(__xludf.DUMMYFUNCTION("""COMPUTED_VALUE"""),"United Kingdom, Germany, France, United States")</f>
        <v>United Kingdom, Germany, France, United States</v>
      </c>
      <c r="B548" s="5">
        <f>COUNTIF(data!F:F, A548)</f>
        <v>1</v>
      </c>
    </row>
    <row r="549">
      <c r="A549" s="5" t="str">
        <f>IFERROR(__xludf.DUMMYFUNCTION("""COMPUTED_VALUE"""),"United Kingdom, Germany, Spain, United States")</f>
        <v>United Kingdom, Germany, Spain, United States</v>
      </c>
      <c r="B549" s="5">
        <f>COUNTIF(data!F:F, A549)</f>
        <v>1</v>
      </c>
    </row>
    <row r="550">
      <c r="A550" s="5" t="str">
        <f>IFERROR(__xludf.DUMMYFUNCTION("""COMPUTED_VALUE"""),"United Kingdom, Germany, United Arab Emirates, New Zealand")</f>
        <v>United Kingdom, Germany, United Arab Emirates, New Zealand</v>
      </c>
      <c r="B550" s="5">
        <f>COUNTIF(data!F:F, A550)</f>
        <v>1</v>
      </c>
    </row>
    <row r="551">
      <c r="A551" s="5" t="str">
        <f>IFERROR(__xludf.DUMMYFUNCTION("""COMPUTED_VALUE"""),"United Kingdom, Germany, United States")</f>
        <v>United Kingdom, Germany, United States</v>
      </c>
      <c r="B551" s="5">
        <f>COUNTIF(data!F:F, A551)</f>
        <v>2</v>
      </c>
    </row>
    <row r="552">
      <c r="A552" s="5" t="str">
        <f>IFERROR(__xludf.DUMMYFUNCTION("""COMPUTED_VALUE"""),"United Kingdom, Germany, United States, France")</f>
        <v>United Kingdom, Germany, United States, France</v>
      </c>
      <c r="B552" s="5">
        <f>COUNTIF(data!F:F, A552)</f>
        <v>1</v>
      </c>
    </row>
    <row r="553">
      <c r="A553" s="5" t="str">
        <f>IFERROR(__xludf.DUMMYFUNCTION("""COMPUTED_VALUE"""),"United Kingdom, Hong Kong")</f>
        <v>United Kingdom, Hong Kong</v>
      </c>
      <c r="B553" s="5">
        <f>COUNTIF(data!F:F, A553)</f>
        <v>1</v>
      </c>
    </row>
    <row r="554">
      <c r="A554" s="5" t="str">
        <f>IFERROR(__xludf.DUMMYFUNCTION("""COMPUTED_VALUE"""),"United Kingdom, Hungary, Australia")</f>
        <v>United Kingdom, Hungary, Australia</v>
      </c>
      <c r="B554" s="5">
        <f>COUNTIF(data!F:F, A554)</f>
        <v>1</v>
      </c>
    </row>
    <row r="555">
      <c r="A555" s="5" t="str">
        <f>IFERROR(__xludf.DUMMYFUNCTION("""COMPUTED_VALUE"""),"United Kingdom, India")</f>
        <v>United Kingdom, India</v>
      </c>
      <c r="B555" s="5">
        <f>COUNTIF(data!F:F, A555)</f>
        <v>2</v>
      </c>
    </row>
    <row r="556">
      <c r="A556" s="5" t="str">
        <f>IFERROR(__xludf.DUMMYFUNCTION("""COMPUTED_VALUE"""),"United Kingdom, India, Sweden")</f>
        <v>United Kingdom, India, Sweden</v>
      </c>
      <c r="B556" s="5">
        <f>COUNTIF(data!F:F, A556)</f>
        <v>1</v>
      </c>
    </row>
    <row r="557">
      <c r="A557" s="5" t="str">
        <f>IFERROR(__xludf.DUMMYFUNCTION("""COMPUTED_VALUE"""),"United Kingdom, India, United States")</f>
        <v>United Kingdom, India, United States</v>
      </c>
      <c r="B557" s="5">
        <f>COUNTIF(data!F:F, A557)</f>
        <v>2</v>
      </c>
    </row>
    <row r="558">
      <c r="A558" s="5" t="str">
        <f>IFERROR(__xludf.DUMMYFUNCTION("""COMPUTED_VALUE"""),"United Kingdom, Ireland")</f>
        <v>United Kingdom, Ireland</v>
      </c>
      <c r="B558" s="5">
        <f>COUNTIF(data!F:F, A558)</f>
        <v>3</v>
      </c>
    </row>
    <row r="559">
      <c r="A559" s="5" t="str">
        <f>IFERROR(__xludf.DUMMYFUNCTION("""COMPUTED_VALUE"""),"United Kingdom, Ireland, United States")</f>
        <v>United Kingdom, Ireland, United States</v>
      </c>
      <c r="B559" s="5">
        <f>COUNTIF(data!F:F, A559)</f>
        <v>1</v>
      </c>
    </row>
    <row r="560">
      <c r="A560" s="5" t="str">
        <f>IFERROR(__xludf.DUMMYFUNCTION("""COMPUTED_VALUE"""),"United Kingdom, Israel, Russia")</f>
        <v>United Kingdom, Israel, Russia</v>
      </c>
      <c r="B560" s="5">
        <f>COUNTIF(data!F:F, A560)</f>
        <v>1</v>
      </c>
    </row>
    <row r="561">
      <c r="A561" s="5" t="str">
        <f>IFERROR(__xludf.DUMMYFUNCTION("""COMPUTED_VALUE"""),"United Kingdom, Italy")</f>
        <v>United Kingdom, Italy</v>
      </c>
      <c r="B561" s="5">
        <f>COUNTIF(data!F:F, A561)</f>
        <v>2</v>
      </c>
    </row>
    <row r="562">
      <c r="A562" s="5" t="str">
        <f>IFERROR(__xludf.DUMMYFUNCTION("""COMPUTED_VALUE"""),"United Kingdom, Italy, Israel, Peru, United States")</f>
        <v>United Kingdom, Italy, Israel, Peru, United States</v>
      </c>
      <c r="B562" s="5">
        <f>COUNTIF(data!F:F, A562)</f>
        <v>1</v>
      </c>
    </row>
    <row r="563">
      <c r="A563" s="5" t="str">
        <f>IFERROR(__xludf.DUMMYFUNCTION("""COMPUTED_VALUE"""),"United Kingdom, Japan")</f>
        <v>United Kingdom, Japan</v>
      </c>
      <c r="B563" s="5">
        <f>COUNTIF(data!F:F, A563)</f>
        <v>1</v>
      </c>
    </row>
    <row r="564">
      <c r="A564" s="5" t="str">
        <f>IFERROR(__xludf.DUMMYFUNCTION("""COMPUTED_VALUE"""),"United Kingdom, Japan, United States")</f>
        <v>United Kingdom, Japan, United States</v>
      </c>
      <c r="B564" s="5">
        <f>COUNTIF(data!F:F, A564)</f>
        <v>3</v>
      </c>
    </row>
    <row r="565">
      <c r="A565" s="5" t="str">
        <f>IFERROR(__xludf.DUMMYFUNCTION("""COMPUTED_VALUE"""),"United Kingdom, Jordan, Qatar, Iran")</f>
        <v>United Kingdom, Jordan, Qatar, Iran</v>
      </c>
      <c r="B565" s="5">
        <f>COUNTIF(data!F:F, A565)</f>
        <v>1</v>
      </c>
    </row>
    <row r="566">
      <c r="A566" s="5" t="str">
        <f>IFERROR(__xludf.DUMMYFUNCTION("""COMPUTED_VALUE"""),"United Kingdom, Kenya")</f>
        <v>United Kingdom, Kenya</v>
      </c>
      <c r="B566" s="5">
        <f>COUNTIF(data!F:F, A566)</f>
        <v>1</v>
      </c>
    </row>
    <row r="567">
      <c r="A567" s="5" t="str">
        <f>IFERROR(__xludf.DUMMYFUNCTION("""COMPUTED_VALUE"""),"United Kingdom, Lithuania")</f>
        <v>United Kingdom, Lithuania</v>
      </c>
      <c r="B567" s="5">
        <f>COUNTIF(data!F:F, A567)</f>
        <v>1</v>
      </c>
    </row>
    <row r="568">
      <c r="A568" s="5" t="str">
        <f>IFERROR(__xludf.DUMMYFUNCTION("""COMPUTED_VALUE"""),"United Kingdom, Malawi")</f>
        <v>United Kingdom, Malawi</v>
      </c>
      <c r="B568" s="5">
        <f>COUNTIF(data!F:F, A568)</f>
        <v>1</v>
      </c>
    </row>
    <row r="569">
      <c r="A569" s="5" t="str">
        <f>IFERROR(__xludf.DUMMYFUNCTION("""COMPUTED_VALUE"""),"United Kingdom, Namibia, South Africa, Zimbabwe, United States")</f>
        <v>United Kingdom, Namibia, South Africa, Zimbabwe, United States</v>
      </c>
      <c r="B569" s="5">
        <f>COUNTIF(data!F:F, A569)</f>
        <v>1</v>
      </c>
    </row>
    <row r="570">
      <c r="A570" s="5" t="str">
        <f>IFERROR(__xludf.DUMMYFUNCTION("""COMPUTED_VALUE"""),"United Kingdom, New Zealand")</f>
        <v>United Kingdom, New Zealand</v>
      </c>
      <c r="B570" s="5">
        <f>COUNTIF(data!F:F, A570)</f>
        <v>1</v>
      </c>
    </row>
    <row r="571">
      <c r="A571" s="5" t="str">
        <f>IFERROR(__xludf.DUMMYFUNCTION("""COMPUTED_VALUE"""),"United Kingdom, Nigeria")</f>
        <v>United Kingdom, Nigeria</v>
      </c>
      <c r="B571" s="5">
        <f>COUNTIF(data!F:F, A571)</f>
        <v>2</v>
      </c>
    </row>
    <row r="572">
      <c r="A572" s="5" t="str">
        <f>IFERROR(__xludf.DUMMYFUNCTION("""COMPUTED_VALUE"""),"United Kingdom, Norway, Denmark, Germany, Sweden")</f>
        <v>United Kingdom, Norway, Denmark, Germany, Sweden</v>
      </c>
      <c r="B572" s="5">
        <f>COUNTIF(data!F:F, A572)</f>
        <v>1</v>
      </c>
    </row>
    <row r="573">
      <c r="A573" s="5" t="str">
        <f>IFERROR(__xludf.DUMMYFUNCTION("""COMPUTED_VALUE"""),"United Kingdom, Pakistan")</f>
        <v>United Kingdom, Pakistan</v>
      </c>
      <c r="B573" s="5">
        <f>COUNTIF(data!F:F, A573)</f>
        <v>1</v>
      </c>
    </row>
    <row r="574">
      <c r="A574" s="5" t="str">
        <f>IFERROR(__xludf.DUMMYFUNCTION("""COMPUTED_VALUE"""),"United Kingdom, Poland")</f>
        <v>United Kingdom, Poland</v>
      </c>
      <c r="B574" s="5">
        <f>COUNTIF(data!F:F, A574)</f>
        <v>1</v>
      </c>
    </row>
    <row r="575">
      <c r="A575" s="5" t="str">
        <f>IFERROR(__xludf.DUMMYFUNCTION("""COMPUTED_VALUE"""),"United Kingdom, Poland, United States")</f>
        <v>United Kingdom, Poland, United States</v>
      </c>
      <c r="B575" s="5">
        <f>COUNTIF(data!F:F, A575)</f>
        <v>1</v>
      </c>
    </row>
    <row r="576">
      <c r="A576" s="5" t="str">
        <f>IFERROR(__xludf.DUMMYFUNCTION("""COMPUTED_VALUE"""),"United Kingdom, Russia")</f>
        <v>United Kingdom, Russia</v>
      </c>
      <c r="B576" s="5">
        <f>COUNTIF(data!F:F, A576)</f>
        <v>1</v>
      </c>
    </row>
    <row r="577">
      <c r="A577" s="5" t="str">
        <f>IFERROR(__xludf.DUMMYFUNCTION("""COMPUTED_VALUE"""),"United Kingdom, Russia, United States")</f>
        <v>United Kingdom, Russia, United States</v>
      </c>
      <c r="B577" s="5">
        <f>COUNTIF(data!F:F, A577)</f>
        <v>1</v>
      </c>
    </row>
    <row r="578">
      <c r="A578" s="5" t="str">
        <f>IFERROR(__xludf.DUMMYFUNCTION("""COMPUTED_VALUE"""),"United Kingdom, Singapore")</f>
        <v>United Kingdom, Singapore</v>
      </c>
      <c r="B578" s="5">
        <f>COUNTIF(data!F:F, A578)</f>
        <v>1</v>
      </c>
    </row>
    <row r="579">
      <c r="A579" s="5" t="str">
        <f>IFERROR(__xludf.DUMMYFUNCTION("""COMPUTED_VALUE"""),"United Kingdom, South Africa")</f>
        <v>United Kingdom, South Africa</v>
      </c>
      <c r="B579" s="5">
        <f>COUNTIF(data!F:F, A579)</f>
        <v>1</v>
      </c>
    </row>
    <row r="580">
      <c r="A580" s="5" t="str">
        <f>IFERROR(__xludf.DUMMYFUNCTION("""COMPUTED_VALUE"""),"United Kingdom, South Africa, Australia, United States")</f>
        <v>United Kingdom, South Africa, Australia, United States</v>
      </c>
      <c r="B580" s="5">
        <f>COUNTIF(data!F:F, A580)</f>
        <v>1</v>
      </c>
    </row>
    <row r="581">
      <c r="A581" s="5" t="str">
        <f>IFERROR(__xludf.DUMMYFUNCTION("""COMPUTED_VALUE"""),"United Kingdom, South Africa, France")</f>
        <v>United Kingdom, South Africa, France</v>
      </c>
      <c r="B581" s="5">
        <f>COUNTIF(data!F:F, A581)</f>
        <v>1</v>
      </c>
    </row>
    <row r="582">
      <c r="A582" s="5" t="str">
        <f>IFERROR(__xludf.DUMMYFUNCTION("""COMPUTED_VALUE"""),"United Kingdom, South Korea")</f>
        <v>United Kingdom, South Korea</v>
      </c>
      <c r="B582" s="5">
        <f>COUNTIF(data!F:F, A582)</f>
        <v>1</v>
      </c>
    </row>
    <row r="583">
      <c r="A583" s="5" t="str">
        <f>IFERROR(__xludf.DUMMYFUNCTION("""COMPUTED_VALUE"""),"United Kingdom, Spain")</f>
        <v>United Kingdom, Spain</v>
      </c>
      <c r="B583" s="5">
        <f>COUNTIF(data!F:F, A583)</f>
        <v>1</v>
      </c>
    </row>
    <row r="584">
      <c r="A584" s="5" t="str">
        <f>IFERROR(__xludf.DUMMYFUNCTION("""COMPUTED_VALUE"""),"United Kingdom, Spain, Belgium")</f>
        <v>United Kingdom, Spain, Belgium</v>
      </c>
      <c r="B584" s="5">
        <f>COUNTIF(data!F:F, A584)</f>
        <v>1</v>
      </c>
    </row>
    <row r="585">
      <c r="A585" s="5" t="str">
        <f>IFERROR(__xludf.DUMMYFUNCTION("""COMPUTED_VALUE"""),"United Kingdom, Spain, United States")</f>
        <v>United Kingdom, Spain, United States</v>
      </c>
      <c r="B585" s="5">
        <f>COUNTIF(data!F:F, A585)</f>
        <v>1</v>
      </c>
    </row>
    <row r="586">
      <c r="A586" s="5" t="str">
        <f>IFERROR(__xludf.DUMMYFUNCTION("""COMPUTED_VALUE"""),"United Kingdom, Spain, United States, Germany")</f>
        <v>United Kingdom, Spain, United States, Germany</v>
      </c>
      <c r="B586" s="5">
        <f>COUNTIF(data!F:F, A586)</f>
        <v>1</v>
      </c>
    </row>
    <row r="587">
      <c r="A587" s="5" t="str">
        <f>IFERROR(__xludf.DUMMYFUNCTION("""COMPUTED_VALUE"""),"United Kingdom, Thailand")</f>
        <v>United Kingdom, Thailand</v>
      </c>
      <c r="B587" s="5">
        <f>COUNTIF(data!F:F, A587)</f>
        <v>1</v>
      </c>
    </row>
    <row r="588">
      <c r="A588" s="5" t="str">
        <f>IFERROR(__xludf.DUMMYFUNCTION("""COMPUTED_VALUE"""),"United Kingdom, Ukraine, United States")</f>
        <v>United Kingdom, Ukraine, United States</v>
      </c>
      <c r="B588" s="5">
        <f>COUNTIF(data!F:F, A588)</f>
        <v>1</v>
      </c>
    </row>
    <row r="589">
      <c r="A589" s="5" t="str">
        <f>IFERROR(__xludf.DUMMYFUNCTION("""COMPUTED_VALUE"""),"United Kingdom, United States")</f>
        <v>United Kingdom, United States</v>
      </c>
      <c r="B589" s="5">
        <f>COUNTIF(data!F:F, A589)</f>
        <v>75</v>
      </c>
    </row>
    <row r="590">
      <c r="A590" s="5" t="str">
        <f>IFERROR(__xludf.DUMMYFUNCTION("""COMPUTED_VALUE"""),"United Kingdom, United States, Australia")</f>
        <v>United Kingdom, United States, Australia</v>
      </c>
      <c r="B590" s="5">
        <f>COUNTIF(data!F:F, A590)</f>
        <v>3</v>
      </c>
    </row>
    <row r="591">
      <c r="A591" s="5" t="str">
        <f>IFERROR(__xludf.DUMMYFUNCTION("""COMPUTED_VALUE"""),"United Kingdom, United States, Canada")</f>
        <v>United Kingdom, United States, Canada</v>
      </c>
      <c r="B591" s="5">
        <f>COUNTIF(data!F:F, A591)</f>
        <v>1</v>
      </c>
    </row>
    <row r="592">
      <c r="A592" s="5" t="str">
        <f>IFERROR(__xludf.DUMMYFUNCTION("""COMPUTED_VALUE"""),"United Kingdom, United States, Czech Republic")</f>
        <v>United Kingdom, United States, Czech Republic</v>
      </c>
      <c r="B592" s="5">
        <f>COUNTIF(data!F:F, A592)</f>
        <v>1</v>
      </c>
    </row>
    <row r="593">
      <c r="A593" s="5" t="str">
        <f>IFERROR(__xludf.DUMMYFUNCTION("""COMPUTED_VALUE"""),"United Kingdom, United States, Dominican Republic")</f>
        <v>United Kingdom, United States, Dominican Republic</v>
      </c>
      <c r="B593" s="5">
        <f>COUNTIF(data!F:F, A593)</f>
        <v>1</v>
      </c>
    </row>
    <row r="594">
      <c r="A594" s="5" t="str">
        <f>IFERROR(__xludf.DUMMYFUNCTION("""COMPUTED_VALUE"""),"United Kingdom, United States, France")</f>
        <v>United Kingdom, United States, France</v>
      </c>
      <c r="B594" s="5">
        <f>COUNTIF(data!F:F, A594)</f>
        <v>2</v>
      </c>
    </row>
    <row r="595">
      <c r="A595" s="5" t="str">
        <f>IFERROR(__xludf.DUMMYFUNCTION("""COMPUTED_VALUE"""),"United Kingdom, United States, France, Germany")</f>
        <v>United Kingdom, United States, France, Germany</v>
      </c>
      <c r="B595" s="5">
        <f>COUNTIF(data!F:F, A595)</f>
        <v>1</v>
      </c>
    </row>
    <row r="596">
      <c r="A596" s="5" t="str">
        <f>IFERROR(__xludf.DUMMYFUNCTION("""COMPUTED_VALUE"""),"United Kingdom, United States, France, Italy")</f>
        <v>United Kingdom, United States, France, Italy</v>
      </c>
      <c r="B596" s="5">
        <f>COUNTIF(data!F:F, A596)</f>
        <v>1</v>
      </c>
    </row>
    <row r="597">
      <c r="A597" s="5" t="str">
        <f>IFERROR(__xludf.DUMMYFUNCTION("""COMPUTED_VALUE"""),"United Kingdom, United States, Germany, Denmark, Belgium, Japan")</f>
        <v>United Kingdom, United States, Germany, Denmark, Belgium, Japan</v>
      </c>
      <c r="B597" s="5">
        <f>COUNTIF(data!F:F, A597)</f>
        <v>1</v>
      </c>
    </row>
    <row r="598">
      <c r="A598" s="5" t="str">
        <f>IFERROR(__xludf.DUMMYFUNCTION("""COMPUTED_VALUE"""),"United Kingdom, United States, Ireland")</f>
        <v>United Kingdom, United States, Ireland</v>
      </c>
      <c r="B598" s="5">
        <f>COUNTIF(data!F:F, A598)</f>
        <v>1</v>
      </c>
    </row>
    <row r="599">
      <c r="A599" s="5" t="str">
        <f>IFERROR(__xludf.DUMMYFUNCTION("""COMPUTED_VALUE"""),"United Kingdom, United States, Japan")</f>
        <v>United Kingdom, United States, Japan</v>
      </c>
      <c r="B599" s="5">
        <f>COUNTIF(data!F:F, A599)</f>
        <v>1</v>
      </c>
    </row>
    <row r="600">
      <c r="A600" s="5" t="str">
        <f>IFERROR(__xludf.DUMMYFUNCTION("""COMPUTED_VALUE"""),"United Kingdom, United States, Morocco")</f>
        <v>United Kingdom, United States, Morocco</v>
      </c>
      <c r="B600" s="5">
        <f>COUNTIF(data!F:F, A600)</f>
        <v>1</v>
      </c>
    </row>
    <row r="601">
      <c r="A601" s="5" t="str">
        <f>IFERROR(__xludf.DUMMYFUNCTION("""COMPUTED_VALUE"""),"United Kingdom, United States, Spain, Germany, Greece, Canada")</f>
        <v>United Kingdom, United States, Spain, Germany, Greece, Canada</v>
      </c>
      <c r="B601" s="5">
        <f>COUNTIF(data!F:F, A601)</f>
        <v>4</v>
      </c>
    </row>
    <row r="602">
      <c r="A602" s="5" t="str">
        <f>IFERROR(__xludf.DUMMYFUNCTION("""COMPUTED_VALUE"""),"United Kingdom, West Germany")</f>
        <v>United Kingdom, West Germany</v>
      </c>
      <c r="B602" s="5">
        <f>COUNTIF(data!F:F, A602)</f>
        <v>1</v>
      </c>
    </row>
    <row r="603">
      <c r="A603" s="5" t="str">
        <f>IFERROR(__xludf.DUMMYFUNCTION("""COMPUTED_VALUE"""),"United States")</f>
        <v>United States</v>
      </c>
      <c r="B603" s="5">
        <f>COUNTIF(data!F:F, A603)</f>
        <v>2818</v>
      </c>
    </row>
    <row r="604">
      <c r="A604" s="5" t="str">
        <f>IFERROR(__xludf.DUMMYFUNCTION("""COMPUTED_VALUE"""),"United States,")</f>
        <v>United States,</v>
      </c>
      <c r="B604" s="5">
        <f>COUNTIF(data!F:F, A604)</f>
        <v>1</v>
      </c>
    </row>
    <row r="605">
      <c r="A605" s="5" t="str">
        <f>IFERROR(__xludf.DUMMYFUNCTION("""COMPUTED_VALUE"""),"United States, Argentina")</f>
        <v>United States, Argentina</v>
      </c>
      <c r="B605" s="5">
        <f>COUNTIF(data!F:F, A605)</f>
        <v>2</v>
      </c>
    </row>
    <row r="606">
      <c r="A606" s="5" t="str">
        <f>IFERROR(__xludf.DUMMYFUNCTION("""COMPUTED_VALUE"""),"United States, Australia")</f>
        <v>United States, Australia</v>
      </c>
      <c r="B606" s="5">
        <f>COUNTIF(data!F:F, A606)</f>
        <v>11</v>
      </c>
    </row>
    <row r="607">
      <c r="A607" s="5" t="str">
        <f>IFERROR(__xludf.DUMMYFUNCTION("""COMPUTED_VALUE"""),"United States, Australia, China")</f>
        <v>United States, Australia, China</v>
      </c>
      <c r="B607" s="5">
        <f>COUNTIF(data!F:F, A607)</f>
        <v>1</v>
      </c>
    </row>
    <row r="608">
      <c r="A608" s="5" t="str">
        <f>IFERROR(__xludf.DUMMYFUNCTION("""COMPUTED_VALUE"""),"United States, Australia, Mexico")</f>
        <v>United States, Australia, Mexico</v>
      </c>
      <c r="B608" s="5">
        <f>COUNTIF(data!F:F, A608)</f>
        <v>1</v>
      </c>
    </row>
    <row r="609">
      <c r="A609" s="5" t="str">
        <f>IFERROR(__xludf.DUMMYFUNCTION("""COMPUTED_VALUE"""),"United States, Australia, Samoa, United Kingdom")</f>
        <v>United States, Australia, Samoa, United Kingdom</v>
      </c>
      <c r="B609" s="5">
        <f>COUNTIF(data!F:F, A609)</f>
        <v>1</v>
      </c>
    </row>
    <row r="610">
      <c r="A610" s="5" t="str">
        <f>IFERROR(__xludf.DUMMYFUNCTION("""COMPUTED_VALUE"""),"United States, Australia, South Africa, United Kingdom")</f>
        <v>United States, Australia, South Africa, United Kingdom</v>
      </c>
      <c r="B610" s="5">
        <f>COUNTIF(data!F:F, A610)</f>
        <v>1</v>
      </c>
    </row>
    <row r="611">
      <c r="A611" s="5" t="str">
        <f>IFERROR(__xludf.DUMMYFUNCTION("""COMPUTED_VALUE"""),"United States, Belgium, Canada, France")</f>
        <v>United States, Belgium, Canada, France</v>
      </c>
      <c r="B611" s="5">
        <f>COUNTIF(data!F:F, A611)</f>
        <v>1</v>
      </c>
    </row>
    <row r="612">
      <c r="A612" s="5" t="str">
        <f>IFERROR(__xludf.DUMMYFUNCTION("""COMPUTED_VALUE"""),"United States, Bermuda, Ecuador")</f>
        <v>United States, Bermuda, Ecuador</v>
      </c>
      <c r="B612" s="5">
        <f>COUNTIF(data!F:F, A612)</f>
        <v>1</v>
      </c>
    </row>
    <row r="613">
      <c r="A613" s="5" t="str">
        <f>IFERROR(__xludf.DUMMYFUNCTION("""COMPUTED_VALUE"""),"United States, Botswana")</f>
        <v>United States, Botswana</v>
      </c>
      <c r="B613" s="5">
        <f>COUNTIF(data!F:F, A613)</f>
        <v>1</v>
      </c>
    </row>
    <row r="614">
      <c r="A614" s="5" t="str">
        <f>IFERROR(__xludf.DUMMYFUNCTION("""COMPUTED_VALUE"""),"United States, Brazil")</f>
        <v>United States, Brazil</v>
      </c>
      <c r="B614" s="5">
        <f>COUNTIF(data!F:F, A614)</f>
        <v>1</v>
      </c>
    </row>
    <row r="615">
      <c r="A615" s="5" t="str">
        <f>IFERROR(__xludf.DUMMYFUNCTION("""COMPUTED_VALUE"""),"United States, Brazil, India, Uganda, China")</f>
        <v>United States, Brazil, India, Uganda, China</v>
      </c>
      <c r="B615" s="5">
        <f>COUNTIF(data!F:F, A615)</f>
        <v>1</v>
      </c>
    </row>
    <row r="616">
      <c r="A616" s="5" t="str">
        <f>IFERROR(__xludf.DUMMYFUNCTION("""COMPUTED_VALUE"""),"United States, Brazil, Japan, Spain, India")</f>
        <v>United States, Brazil, Japan, Spain, India</v>
      </c>
      <c r="B616" s="5">
        <f>COUNTIF(data!F:F, A616)</f>
        <v>1</v>
      </c>
    </row>
    <row r="617">
      <c r="A617" s="5" t="str">
        <f>IFERROR(__xludf.DUMMYFUNCTION("""COMPUTED_VALUE"""),"United States, Brazil, South Korea, Mexico, Japan, Germany")</f>
        <v>United States, Brazil, South Korea, Mexico, Japan, Germany</v>
      </c>
      <c r="B617" s="5">
        <f>COUNTIF(data!F:F, A617)</f>
        <v>1</v>
      </c>
    </row>
    <row r="618">
      <c r="A618" s="5" t="str">
        <f>IFERROR(__xludf.DUMMYFUNCTION("""COMPUTED_VALUE"""),"United States, Bulgaria")</f>
        <v>United States, Bulgaria</v>
      </c>
      <c r="B618" s="5">
        <f>COUNTIF(data!F:F, A618)</f>
        <v>4</v>
      </c>
    </row>
    <row r="619">
      <c r="A619" s="5" t="str">
        <f>IFERROR(__xludf.DUMMYFUNCTION("""COMPUTED_VALUE"""),"United States, Cambodia")</f>
        <v>United States, Cambodia</v>
      </c>
      <c r="B619" s="5">
        <f>COUNTIF(data!F:F, A619)</f>
        <v>1</v>
      </c>
    </row>
    <row r="620">
      <c r="A620" s="5" t="str">
        <f>IFERROR(__xludf.DUMMYFUNCTION("""COMPUTED_VALUE"""),"United States, Cambodia, Romania")</f>
        <v>United States, Cambodia, Romania</v>
      </c>
      <c r="B620" s="5">
        <f>COUNTIF(data!F:F, A620)</f>
        <v>1</v>
      </c>
    </row>
    <row r="621">
      <c r="A621" s="5" t="str">
        <f>IFERROR(__xludf.DUMMYFUNCTION("""COMPUTED_VALUE"""),"United States, Canada")</f>
        <v>United States, Canada</v>
      </c>
      <c r="B621" s="5">
        <f>COUNTIF(data!F:F, A621)</f>
        <v>73</v>
      </c>
    </row>
    <row r="622">
      <c r="A622" s="5" t="str">
        <f>IFERROR(__xludf.DUMMYFUNCTION("""COMPUTED_VALUE"""),"United States, Canada, Belgium, United Kingdom")</f>
        <v>United States, Canada, Belgium, United Kingdom</v>
      </c>
      <c r="B622" s="5">
        <f>COUNTIF(data!F:F, A622)</f>
        <v>1</v>
      </c>
    </row>
    <row r="623">
      <c r="A623" s="5" t="str">
        <f>IFERROR(__xludf.DUMMYFUNCTION("""COMPUTED_VALUE"""),"United States, Canada, China")</f>
        <v>United States, Canada, China</v>
      </c>
      <c r="B623" s="5">
        <f>COUNTIF(data!F:F, A623)</f>
        <v>1</v>
      </c>
    </row>
    <row r="624">
      <c r="A624" s="5" t="str">
        <f>IFERROR(__xludf.DUMMYFUNCTION("""COMPUTED_VALUE"""),"United States, Canada, France")</f>
        <v>United States, Canada, France</v>
      </c>
      <c r="B624" s="5">
        <f>COUNTIF(data!F:F, A624)</f>
        <v>1</v>
      </c>
    </row>
    <row r="625">
      <c r="A625" s="5" t="str">
        <f>IFERROR(__xludf.DUMMYFUNCTION("""COMPUTED_VALUE"""),"United States, Canada, Germany")</f>
        <v>United States, Canada, Germany</v>
      </c>
      <c r="B625" s="5">
        <f>COUNTIF(data!F:F, A625)</f>
        <v>1</v>
      </c>
    </row>
    <row r="626">
      <c r="A626" s="5" t="str">
        <f>IFERROR(__xludf.DUMMYFUNCTION("""COMPUTED_VALUE"""),"United States, Canada, Indonesia, United Kingdom, China, Singapore")</f>
        <v>United States, Canada, Indonesia, United Kingdom, China, Singapore</v>
      </c>
      <c r="B626" s="5">
        <f>COUNTIF(data!F:F, A626)</f>
        <v>1</v>
      </c>
    </row>
    <row r="627">
      <c r="A627" s="5" t="str">
        <f>IFERROR(__xludf.DUMMYFUNCTION("""COMPUTED_VALUE"""),"United States, Canada, Ireland")</f>
        <v>United States, Canada, Ireland</v>
      </c>
      <c r="B627" s="5">
        <f>COUNTIF(data!F:F, A627)</f>
        <v>1</v>
      </c>
    </row>
    <row r="628">
      <c r="A628" s="5" t="str">
        <f>IFERROR(__xludf.DUMMYFUNCTION("""COMPUTED_VALUE"""),"United States, Canada, Japan, Panama")</f>
        <v>United States, Canada, Japan, Panama</v>
      </c>
      <c r="B628" s="5">
        <f>COUNTIF(data!F:F, A628)</f>
        <v>1</v>
      </c>
    </row>
    <row r="629">
      <c r="A629" s="5" t="str">
        <f>IFERROR(__xludf.DUMMYFUNCTION("""COMPUTED_VALUE"""),"United States, Canada, United Kingdom")</f>
        <v>United States, Canada, United Kingdom</v>
      </c>
      <c r="B629" s="5">
        <f>COUNTIF(data!F:F, A629)</f>
        <v>1</v>
      </c>
    </row>
    <row r="630">
      <c r="A630" s="5" t="str">
        <f>IFERROR(__xludf.DUMMYFUNCTION("""COMPUTED_VALUE"""),"United States, Chile")</f>
        <v>United States, Chile</v>
      </c>
      <c r="B630" s="5">
        <f>COUNTIF(data!F:F, A630)</f>
        <v>3</v>
      </c>
    </row>
    <row r="631">
      <c r="A631" s="5" t="str">
        <f>IFERROR(__xludf.DUMMYFUNCTION("""COMPUTED_VALUE"""),"United States, Chile, Israel")</f>
        <v>United States, Chile, Israel</v>
      </c>
      <c r="B631" s="5">
        <f>COUNTIF(data!F:F, A631)</f>
        <v>1</v>
      </c>
    </row>
    <row r="632">
      <c r="A632" s="5" t="str">
        <f>IFERROR(__xludf.DUMMYFUNCTION("""COMPUTED_VALUE"""),"United States, China")</f>
        <v>United States, China</v>
      </c>
      <c r="B632" s="5">
        <f>COUNTIF(data!F:F, A632)</f>
        <v>8</v>
      </c>
    </row>
    <row r="633">
      <c r="A633" s="5" t="str">
        <f>IFERROR(__xludf.DUMMYFUNCTION("""COMPUTED_VALUE"""),"United States, China, Canada")</f>
        <v>United States, China, Canada</v>
      </c>
      <c r="B633" s="5">
        <f>COUNTIF(data!F:F, A633)</f>
        <v>1</v>
      </c>
    </row>
    <row r="634">
      <c r="A634" s="5" t="str">
        <f>IFERROR(__xludf.DUMMYFUNCTION("""COMPUTED_VALUE"""),"United States, China, Colombia")</f>
        <v>United States, China, Colombia</v>
      </c>
      <c r="B634" s="5">
        <f>COUNTIF(data!F:F, A634)</f>
        <v>1</v>
      </c>
    </row>
    <row r="635">
      <c r="A635" s="5" t="str">
        <f>IFERROR(__xludf.DUMMYFUNCTION("""COMPUTED_VALUE"""),"United States, China, Hong Kong")</f>
        <v>United States, China, Hong Kong</v>
      </c>
      <c r="B635" s="5">
        <f>COUNTIF(data!F:F, A635)</f>
        <v>2</v>
      </c>
    </row>
    <row r="636">
      <c r="A636" s="5" t="str">
        <f>IFERROR(__xludf.DUMMYFUNCTION("""COMPUTED_VALUE"""),"United States, China, United Kingdom")</f>
        <v>United States, China, United Kingdom</v>
      </c>
      <c r="B636" s="5">
        <f>COUNTIF(data!F:F, A636)</f>
        <v>1</v>
      </c>
    </row>
    <row r="637">
      <c r="A637" s="5" t="str">
        <f>IFERROR(__xludf.DUMMYFUNCTION("""COMPUTED_VALUE"""),"United States, Colombia")</f>
        <v>United States, Colombia</v>
      </c>
      <c r="B637" s="5">
        <f>COUNTIF(data!F:F, A637)</f>
        <v>3</v>
      </c>
    </row>
    <row r="638">
      <c r="A638" s="5" t="str">
        <f>IFERROR(__xludf.DUMMYFUNCTION("""COMPUTED_VALUE"""),"United States, Colombia, Mexico")</f>
        <v>United States, Colombia, Mexico</v>
      </c>
      <c r="B638" s="5">
        <f>COUNTIF(data!F:F, A638)</f>
        <v>1</v>
      </c>
    </row>
    <row r="639">
      <c r="A639" s="5" t="str">
        <f>IFERROR(__xludf.DUMMYFUNCTION("""COMPUTED_VALUE"""),"United States, Czech Republic")</f>
        <v>United States, Czech Republic</v>
      </c>
      <c r="B639" s="5">
        <f>COUNTIF(data!F:F, A639)</f>
        <v>5</v>
      </c>
    </row>
    <row r="640">
      <c r="A640" s="5" t="str">
        <f>IFERROR(__xludf.DUMMYFUNCTION("""COMPUTED_VALUE"""),"United States, Czech Republic, United Kingdom")</f>
        <v>United States, Czech Republic, United Kingdom</v>
      </c>
      <c r="B640" s="5">
        <f>COUNTIF(data!F:F, A640)</f>
        <v>1</v>
      </c>
    </row>
    <row r="641">
      <c r="A641" s="5" t="str">
        <f>IFERROR(__xludf.DUMMYFUNCTION("""COMPUTED_VALUE"""),"United States, Denmark")</f>
        <v>United States, Denmark</v>
      </c>
      <c r="B641" s="5">
        <f>COUNTIF(data!F:F, A641)</f>
        <v>1</v>
      </c>
    </row>
    <row r="642">
      <c r="A642" s="5" t="str">
        <f>IFERROR(__xludf.DUMMYFUNCTION("""COMPUTED_VALUE"""),"United States, East Germany, West Germany")</f>
        <v>United States, East Germany, West Germany</v>
      </c>
      <c r="B642" s="5">
        <f>COUNTIF(data!F:F, A642)</f>
        <v>1</v>
      </c>
    </row>
    <row r="643">
      <c r="A643" s="5" t="str">
        <f>IFERROR(__xludf.DUMMYFUNCTION("""COMPUTED_VALUE"""),"United States, France")</f>
        <v>United States, France</v>
      </c>
      <c r="B643" s="5">
        <f>COUNTIF(data!F:F, A643)</f>
        <v>16</v>
      </c>
    </row>
    <row r="644">
      <c r="A644" s="5" t="str">
        <f>IFERROR(__xludf.DUMMYFUNCTION("""COMPUTED_VALUE"""),"United States, France, Canada")</f>
        <v>United States, France, Canada</v>
      </c>
      <c r="B644" s="5">
        <f>COUNTIF(data!F:F, A644)</f>
        <v>1</v>
      </c>
    </row>
    <row r="645">
      <c r="A645" s="5" t="str">
        <f>IFERROR(__xludf.DUMMYFUNCTION("""COMPUTED_VALUE"""),"United States, France, Canada, Belgium")</f>
        <v>United States, France, Canada, Belgium</v>
      </c>
      <c r="B645" s="5">
        <f>COUNTIF(data!F:F, A645)</f>
        <v>1</v>
      </c>
    </row>
    <row r="646">
      <c r="A646" s="5" t="str">
        <f>IFERROR(__xludf.DUMMYFUNCTION("""COMPUTED_VALUE"""),"United States, France, Canada, Lebanon, Qatar")</f>
        <v>United States, France, Canada, Lebanon, Qatar</v>
      </c>
      <c r="B646" s="5">
        <f>COUNTIF(data!F:F, A646)</f>
        <v>1</v>
      </c>
    </row>
    <row r="647">
      <c r="A647" s="5" t="str">
        <f>IFERROR(__xludf.DUMMYFUNCTION("""COMPUTED_VALUE"""),"United States, France, Canada, Spain")</f>
        <v>United States, France, Canada, Spain</v>
      </c>
      <c r="B647" s="5">
        <f>COUNTIF(data!F:F, A647)</f>
        <v>1</v>
      </c>
    </row>
    <row r="648">
      <c r="A648" s="5" t="str">
        <f>IFERROR(__xludf.DUMMYFUNCTION("""COMPUTED_VALUE"""),"United States, France, Denmark")</f>
        <v>United States, France, Denmark</v>
      </c>
      <c r="B648" s="5">
        <f>COUNTIF(data!F:F, A648)</f>
        <v>1</v>
      </c>
    </row>
    <row r="649">
      <c r="A649" s="5" t="str">
        <f>IFERROR(__xludf.DUMMYFUNCTION("""COMPUTED_VALUE"""),"United States, France, Italy, United Kingdom")</f>
        <v>United States, France, Italy, United Kingdom</v>
      </c>
      <c r="B649" s="5">
        <f>COUNTIF(data!F:F, A649)</f>
        <v>1</v>
      </c>
    </row>
    <row r="650">
      <c r="A650" s="5" t="str">
        <f>IFERROR(__xludf.DUMMYFUNCTION("""COMPUTED_VALUE"""),"United States, France, Japan")</f>
        <v>United States, France, Japan</v>
      </c>
      <c r="B650" s="5">
        <f>COUNTIF(data!F:F, A650)</f>
        <v>7</v>
      </c>
    </row>
    <row r="651">
      <c r="A651" s="5" t="str">
        <f>IFERROR(__xludf.DUMMYFUNCTION("""COMPUTED_VALUE"""),"United States, France, Mexico")</f>
        <v>United States, France, Mexico</v>
      </c>
      <c r="B651" s="5">
        <f>COUNTIF(data!F:F, A651)</f>
        <v>1</v>
      </c>
    </row>
    <row r="652">
      <c r="A652" s="5" t="str">
        <f>IFERROR(__xludf.DUMMYFUNCTION("""COMPUTED_VALUE"""),"United States, France, Serbia")</f>
        <v>United States, France, Serbia</v>
      </c>
      <c r="B652" s="5">
        <f>COUNTIF(data!F:F, A652)</f>
        <v>1</v>
      </c>
    </row>
    <row r="653">
      <c r="A653" s="5" t="str">
        <f>IFERROR(__xludf.DUMMYFUNCTION("""COMPUTED_VALUE"""),"United States, France, South Korea, Indonesia")</f>
        <v>United States, France, South Korea, Indonesia</v>
      </c>
      <c r="B653" s="5">
        <f>COUNTIF(data!F:F, A653)</f>
        <v>1</v>
      </c>
    </row>
    <row r="654">
      <c r="A654" s="5" t="str">
        <f>IFERROR(__xludf.DUMMYFUNCTION("""COMPUTED_VALUE"""),"United States, France, United Kingdom")</f>
        <v>United States, France, United Kingdom</v>
      </c>
      <c r="B654" s="5">
        <f>COUNTIF(data!F:F, A654)</f>
        <v>1</v>
      </c>
    </row>
    <row r="655">
      <c r="A655" s="5" t="str">
        <f>IFERROR(__xludf.DUMMYFUNCTION("""COMPUTED_VALUE"""),"United States, France, United Kingdom, Japan")</f>
        <v>United States, France, United Kingdom, Japan</v>
      </c>
      <c r="B655" s="5">
        <f>COUNTIF(data!F:F, A655)</f>
        <v>1</v>
      </c>
    </row>
    <row r="656">
      <c r="A656" s="5" t="str">
        <f>IFERROR(__xludf.DUMMYFUNCTION("""COMPUTED_VALUE"""),"United States, Germany")</f>
        <v>United States, Germany</v>
      </c>
      <c r="B656" s="5">
        <f>COUNTIF(data!F:F, A656)</f>
        <v>17</v>
      </c>
    </row>
    <row r="657">
      <c r="A657" s="5" t="str">
        <f>IFERROR(__xludf.DUMMYFUNCTION("""COMPUTED_VALUE"""),"United States, Germany, Australia")</f>
        <v>United States, Germany, Australia</v>
      </c>
      <c r="B657" s="5">
        <f>COUNTIF(data!F:F, A657)</f>
        <v>1</v>
      </c>
    </row>
    <row r="658">
      <c r="A658" s="5" t="str">
        <f>IFERROR(__xludf.DUMMYFUNCTION("""COMPUTED_VALUE"""),"United States, Germany, Canada")</f>
        <v>United States, Germany, Canada</v>
      </c>
      <c r="B658" s="5">
        <f>COUNTIF(data!F:F, A658)</f>
        <v>3</v>
      </c>
    </row>
    <row r="659">
      <c r="A659" s="5" t="str">
        <f>IFERROR(__xludf.DUMMYFUNCTION("""COMPUTED_VALUE"""),"United States, Germany, Mexico")</f>
        <v>United States, Germany, Mexico</v>
      </c>
      <c r="B659" s="5">
        <f>COUNTIF(data!F:F, A659)</f>
        <v>1</v>
      </c>
    </row>
    <row r="660">
      <c r="A660" s="5" t="str">
        <f>IFERROR(__xludf.DUMMYFUNCTION("""COMPUTED_VALUE"""),"United States, Germany, United Kingdom")</f>
        <v>United States, Germany, United Kingdom</v>
      </c>
      <c r="B660" s="5">
        <f>COUNTIF(data!F:F, A660)</f>
        <v>1</v>
      </c>
    </row>
    <row r="661">
      <c r="A661" s="5" t="str">
        <f>IFERROR(__xludf.DUMMYFUNCTION("""COMPUTED_VALUE"""),"United States, Germany, United Kingdom, Australia")</f>
        <v>United States, Germany, United Kingdom, Australia</v>
      </c>
      <c r="B661" s="5">
        <f>COUNTIF(data!F:F, A661)</f>
        <v>1</v>
      </c>
    </row>
    <row r="662">
      <c r="A662" s="5" t="str">
        <f>IFERROR(__xludf.DUMMYFUNCTION("""COMPUTED_VALUE"""),"United States, Germany, United Kingdom, Italy")</f>
        <v>United States, Germany, United Kingdom, Italy</v>
      </c>
      <c r="B662" s="5">
        <f>COUNTIF(data!F:F, A662)</f>
        <v>1</v>
      </c>
    </row>
    <row r="663">
      <c r="A663" s="5" t="str">
        <f>IFERROR(__xludf.DUMMYFUNCTION("""COMPUTED_VALUE"""),"United States, Ghana, Burkina Faso, United Kingdom, Germany, Ethiopia")</f>
        <v>United States, Ghana, Burkina Faso, United Kingdom, Germany, Ethiopia</v>
      </c>
      <c r="B663" s="5">
        <f>COUNTIF(data!F:F, A663)</f>
        <v>1</v>
      </c>
    </row>
    <row r="664">
      <c r="A664" s="5" t="str">
        <f>IFERROR(__xludf.DUMMYFUNCTION("""COMPUTED_VALUE"""),"United States, Greece")</f>
        <v>United States, Greece</v>
      </c>
      <c r="B664" s="5">
        <f>COUNTIF(data!F:F, A664)</f>
        <v>2</v>
      </c>
    </row>
    <row r="665">
      <c r="A665" s="5" t="str">
        <f>IFERROR(__xludf.DUMMYFUNCTION("""COMPUTED_VALUE"""),"United States, Greece, Brazil")</f>
        <v>United States, Greece, Brazil</v>
      </c>
      <c r="B665" s="5">
        <f>COUNTIF(data!F:F, A665)</f>
        <v>1</v>
      </c>
    </row>
    <row r="666">
      <c r="A666" s="5" t="str">
        <f>IFERROR(__xludf.DUMMYFUNCTION("""COMPUTED_VALUE"""),"United States, Greece, United Kingdom")</f>
        <v>United States, Greece, United Kingdom</v>
      </c>
      <c r="B666" s="5">
        <f>COUNTIF(data!F:F, A666)</f>
        <v>1</v>
      </c>
    </row>
    <row r="667">
      <c r="A667" s="5" t="str">
        <f>IFERROR(__xludf.DUMMYFUNCTION("""COMPUTED_VALUE"""),"United States, Hong Kong")</f>
        <v>United States, Hong Kong</v>
      </c>
      <c r="B667" s="5">
        <f>COUNTIF(data!F:F, A667)</f>
        <v>3</v>
      </c>
    </row>
    <row r="668">
      <c r="A668" s="5" t="str">
        <f>IFERROR(__xludf.DUMMYFUNCTION("""COMPUTED_VALUE"""),"United States, Hungary")</f>
        <v>United States, Hungary</v>
      </c>
      <c r="B668" s="5">
        <f>COUNTIF(data!F:F, A668)</f>
        <v>1</v>
      </c>
    </row>
    <row r="669">
      <c r="A669" s="5" t="str">
        <f>IFERROR(__xludf.DUMMYFUNCTION("""COMPUTED_VALUE"""),"United States, Hungary, Ireland, Canada")</f>
        <v>United States, Hungary, Ireland, Canada</v>
      </c>
      <c r="B669" s="5">
        <f>COUNTIF(data!F:F, A669)</f>
        <v>1</v>
      </c>
    </row>
    <row r="670">
      <c r="A670" s="5" t="str">
        <f>IFERROR(__xludf.DUMMYFUNCTION("""COMPUTED_VALUE"""),"United States, Iceland")</f>
        <v>United States, Iceland</v>
      </c>
      <c r="B670" s="5">
        <f>COUNTIF(data!F:F, A670)</f>
        <v>1</v>
      </c>
    </row>
    <row r="671">
      <c r="A671" s="5" t="str">
        <f>IFERROR(__xludf.DUMMYFUNCTION("""COMPUTED_VALUE"""),"United States, India")</f>
        <v>United States, India</v>
      </c>
      <c r="B671" s="5">
        <f>COUNTIF(data!F:F, A671)</f>
        <v>9</v>
      </c>
    </row>
    <row r="672">
      <c r="A672" s="5" t="str">
        <f>IFERROR(__xludf.DUMMYFUNCTION("""COMPUTED_VALUE"""),"United States, India, Bangladesh")</f>
        <v>United States, India, Bangladesh</v>
      </c>
      <c r="B672" s="5">
        <f>COUNTIF(data!F:F, A672)</f>
        <v>1</v>
      </c>
    </row>
    <row r="673">
      <c r="A673" s="5" t="str">
        <f>IFERROR(__xludf.DUMMYFUNCTION("""COMPUTED_VALUE"""),"United States, India, France")</f>
        <v>United States, India, France</v>
      </c>
      <c r="B673" s="5">
        <f>COUNTIF(data!F:F, A673)</f>
        <v>1</v>
      </c>
    </row>
    <row r="674">
      <c r="A674" s="5" t="str">
        <f>IFERROR(__xludf.DUMMYFUNCTION("""COMPUTED_VALUE"""),"United States, India, South Korea, China")</f>
        <v>United States, India, South Korea, China</v>
      </c>
      <c r="B674" s="5">
        <f>COUNTIF(data!F:F, A674)</f>
        <v>1</v>
      </c>
    </row>
    <row r="675">
      <c r="A675" s="5" t="str">
        <f>IFERROR(__xludf.DUMMYFUNCTION("""COMPUTED_VALUE"""),"United States, India, United Arab Emirates")</f>
        <v>United States, India, United Arab Emirates</v>
      </c>
      <c r="B675" s="5">
        <f>COUNTIF(data!F:F, A675)</f>
        <v>1</v>
      </c>
    </row>
    <row r="676">
      <c r="A676" s="5" t="str">
        <f>IFERROR(__xludf.DUMMYFUNCTION("""COMPUTED_VALUE"""),"United States, India, United Kingdom")</f>
        <v>United States, India, United Kingdom</v>
      </c>
      <c r="B676" s="5">
        <f>COUNTIF(data!F:F, A676)</f>
        <v>1</v>
      </c>
    </row>
    <row r="677">
      <c r="A677" s="5" t="str">
        <f>IFERROR(__xludf.DUMMYFUNCTION("""COMPUTED_VALUE"""),"United States, Indonesia")</f>
        <v>United States, Indonesia</v>
      </c>
      <c r="B677" s="5">
        <f>COUNTIF(data!F:F, A677)</f>
        <v>1</v>
      </c>
    </row>
    <row r="678">
      <c r="A678" s="5" t="str">
        <f>IFERROR(__xludf.DUMMYFUNCTION("""COMPUTED_VALUE"""),"United States, Ireland")</f>
        <v>United States, Ireland</v>
      </c>
      <c r="B678" s="5">
        <f>COUNTIF(data!F:F, A678)</f>
        <v>3</v>
      </c>
    </row>
    <row r="679">
      <c r="A679" s="5" t="str">
        <f>IFERROR(__xludf.DUMMYFUNCTION("""COMPUTED_VALUE"""),"United States, Ireland, United Kingdom, India")</f>
        <v>United States, Ireland, United Kingdom, India</v>
      </c>
      <c r="B679" s="5">
        <f>COUNTIF(data!F:F, A679)</f>
        <v>1</v>
      </c>
    </row>
    <row r="680">
      <c r="A680" s="5" t="str">
        <f>IFERROR(__xludf.DUMMYFUNCTION("""COMPUTED_VALUE"""),"United States, Israel, Italy, South Africa")</f>
        <v>United States, Israel, Italy, South Africa</v>
      </c>
      <c r="B680" s="5">
        <f>COUNTIF(data!F:F, A680)</f>
        <v>1</v>
      </c>
    </row>
    <row r="681">
      <c r="A681" s="5" t="str">
        <f>IFERROR(__xludf.DUMMYFUNCTION("""COMPUTED_VALUE"""),"United States, Israel, United Kingdom, Canada")</f>
        <v>United States, Israel, United Kingdom, Canada</v>
      </c>
      <c r="B681" s="5">
        <f>COUNTIF(data!F:F, A681)</f>
        <v>1</v>
      </c>
    </row>
    <row r="682">
      <c r="A682" s="5" t="str">
        <f>IFERROR(__xludf.DUMMYFUNCTION("""COMPUTED_VALUE"""),"United States, Italy")</f>
        <v>United States, Italy</v>
      </c>
      <c r="B682" s="5">
        <f>COUNTIF(data!F:F, A682)</f>
        <v>5</v>
      </c>
    </row>
    <row r="683">
      <c r="A683" s="5" t="str">
        <f>IFERROR(__xludf.DUMMYFUNCTION("""COMPUTED_VALUE"""),"United States, Italy, France, Japan")</f>
        <v>United States, Italy, France, Japan</v>
      </c>
      <c r="B683" s="5">
        <f>COUNTIF(data!F:F, A683)</f>
        <v>1</v>
      </c>
    </row>
    <row r="684">
      <c r="A684" s="5" t="str">
        <f>IFERROR(__xludf.DUMMYFUNCTION("""COMPUTED_VALUE"""),"United States, Italy, Romania, United Kingdom")</f>
        <v>United States, Italy, Romania, United Kingdom</v>
      </c>
      <c r="B684" s="5">
        <f>COUNTIF(data!F:F, A684)</f>
        <v>1</v>
      </c>
    </row>
    <row r="685">
      <c r="A685" s="5" t="str">
        <f>IFERROR(__xludf.DUMMYFUNCTION("""COMPUTED_VALUE"""),"United States, Italy, United Kingdom, Liechtenstein")</f>
        <v>United States, Italy, United Kingdom, Liechtenstein</v>
      </c>
      <c r="B685" s="5">
        <f>COUNTIF(data!F:F, A685)</f>
        <v>1</v>
      </c>
    </row>
    <row r="686">
      <c r="A686" s="5" t="str">
        <f>IFERROR(__xludf.DUMMYFUNCTION("""COMPUTED_VALUE"""),"United States, Japan")</f>
        <v>United States, Japan</v>
      </c>
      <c r="B686" s="5">
        <f>COUNTIF(data!F:F, A686)</f>
        <v>16</v>
      </c>
    </row>
    <row r="687">
      <c r="A687" s="5" t="str">
        <f>IFERROR(__xludf.DUMMYFUNCTION("""COMPUTED_VALUE"""),"United States, Japan, Canada")</f>
        <v>United States, Japan, Canada</v>
      </c>
      <c r="B687" s="5">
        <f>COUNTIF(data!F:F, A687)</f>
        <v>2</v>
      </c>
    </row>
    <row r="688">
      <c r="A688" s="5" t="str">
        <f>IFERROR(__xludf.DUMMYFUNCTION("""COMPUTED_VALUE"""),"United States, Kazakhstan")</f>
        <v>United States, Kazakhstan</v>
      </c>
      <c r="B688" s="5">
        <f>COUNTIF(data!F:F, A688)</f>
        <v>1</v>
      </c>
    </row>
    <row r="689">
      <c r="A689" s="5" t="str">
        <f>IFERROR(__xludf.DUMMYFUNCTION("""COMPUTED_VALUE"""),"United States, Malta, France, United Kingdom")</f>
        <v>United States, Malta, France, United Kingdom</v>
      </c>
      <c r="B689" s="5">
        <f>COUNTIF(data!F:F, A689)</f>
        <v>1</v>
      </c>
    </row>
    <row r="690">
      <c r="A690" s="5" t="str">
        <f>IFERROR(__xludf.DUMMYFUNCTION("""COMPUTED_VALUE"""),"United States, Mexico")</f>
        <v>United States, Mexico</v>
      </c>
      <c r="B690" s="5">
        <f>COUNTIF(data!F:F, A690)</f>
        <v>14</v>
      </c>
    </row>
    <row r="691">
      <c r="A691" s="5" t="str">
        <f>IFERROR(__xludf.DUMMYFUNCTION("""COMPUTED_VALUE"""),"United States, Mexico, Colombia")</f>
        <v>United States, Mexico, Colombia</v>
      </c>
      <c r="B691" s="5">
        <f>COUNTIF(data!F:F, A691)</f>
        <v>1</v>
      </c>
    </row>
    <row r="692">
      <c r="A692" s="5" t="str">
        <f>IFERROR(__xludf.DUMMYFUNCTION("""COMPUTED_VALUE"""),"United States, Mexico, Spain, Malta")</f>
        <v>United States, Mexico, Spain, Malta</v>
      </c>
      <c r="B692" s="5">
        <f>COUNTIF(data!F:F, A692)</f>
        <v>1</v>
      </c>
    </row>
    <row r="693">
      <c r="A693" s="5" t="str">
        <f>IFERROR(__xludf.DUMMYFUNCTION("""COMPUTED_VALUE"""),"United States, Morocco")</f>
        <v>United States, Morocco</v>
      </c>
      <c r="B693" s="5">
        <f>COUNTIF(data!F:F, A693)</f>
        <v>1</v>
      </c>
    </row>
    <row r="694">
      <c r="A694" s="5" t="str">
        <f>IFERROR(__xludf.DUMMYFUNCTION("""COMPUTED_VALUE"""),"United States, Netherlands, Japan, France")</f>
        <v>United States, Netherlands, Japan, France</v>
      </c>
      <c r="B694" s="5">
        <f>COUNTIF(data!F:F, A694)</f>
        <v>1</v>
      </c>
    </row>
    <row r="695">
      <c r="A695" s="5" t="str">
        <f>IFERROR(__xludf.DUMMYFUNCTION("""COMPUTED_VALUE"""),"United States, New Zealand")</f>
        <v>United States, New Zealand</v>
      </c>
      <c r="B695" s="5">
        <f>COUNTIF(data!F:F, A695)</f>
        <v>5</v>
      </c>
    </row>
    <row r="696">
      <c r="A696" s="5" t="str">
        <f>IFERROR(__xludf.DUMMYFUNCTION("""COMPUTED_VALUE"""),"United States, New Zealand, Japan")</f>
        <v>United States, New Zealand, Japan</v>
      </c>
      <c r="B696" s="5">
        <f>COUNTIF(data!F:F, A696)</f>
        <v>1</v>
      </c>
    </row>
    <row r="697">
      <c r="A697" s="5" t="str">
        <f>IFERROR(__xludf.DUMMYFUNCTION("""COMPUTED_VALUE"""),"United States, New Zealand, United Kingdom")</f>
        <v>United States, New Zealand, United Kingdom</v>
      </c>
      <c r="B697" s="5">
        <f>COUNTIF(data!F:F, A697)</f>
        <v>1</v>
      </c>
    </row>
    <row r="698">
      <c r="A698" s="5" t="str">
        <f>IFERROR(__xludf.DUMMYFUNCTION("""COMPUTED_VALUE"""),"United States, Nicaragua")</f>
        <v>United States, Nicaragua</v>
      </c>
      <c r="B698" s="5">
        <f>COUNTIF(data!F:F, A698)</f>
        <v>1</v>
      </c>
    </row>
    <row r="699">
      <c r="A699" s="5" t="str">
        <f>IFERROR(__xludf.DUMMYFUNCTION("""COMPUTED_VALUE"""),"United States, Nigeria")</f>
        <v>United States, Nigeria</v>
      </c>
      <c r="B699" s="5">
        <f>COUNTIF(data!F:F, A699)</f>
        <v>2</v>
      </c>
    </row>
    <row r="700">
      <c r="A700" s="5" t="str">
        <f>IFERROR(__xludf.DUMMYFUNCTION("""COMPUTED_VALUE"""),"United States, Norway, Canada")</f>
        <v>United States, Norway, Canada</v>
      </c>
      <c r="B700" s="5">
        <f>COUNTIF(data!F:F, A700)</f>
        <v>1</v>
      </c>
    </row>
    <row r="701">
      <c r="A701" s="5" t="str">
        <f>IFERROR(__xludf.DUMMYFUNCTION("""COMPUTED_VALUE"""),"United States, Philippines")</f>
        <v>United States, Philippines</v>
      </c>
      <c r="B701" s="5">
        <f>COUNTIF(data!F:F, A701)</f>
        <v>1</v>
      </c>
    </row>
    <row r="702">
      <c r="A702" s="5" t="str">
        <f>IFERROR(__xludf.DUMMYFUNCTION("""COMPUTED_VALUE"""),"United States, Poland")</f>
        <v>United States, Poland</v>
      </c>
      <c r="B702" s="5">
        <f>COUNTIF(data!F:F, A702)</f>
        <v>1</v>
      </c>
    </row>
    <row r="703">
      <c r="A703" s="5" t="str">
        <f>IFERROR(__xludf.DUMMYFUNCTION("""COMPUTED_VALUE"""),"United States, Russia")</f>
        <v>United States, Russia</v>
      </c>
      <c r="B703" s="5">
        <f>COUNTIF(data!F:F, A703)</f>
        <v>4</v>
      </c>
    </row>
    <row r="704">
      <c r="A704" s="5" t="str">
        <f>IFERROR(__xludf.DUMMYFUNCTION("""COMPUTED_VALUE"""),"United States, Senegal")</f>
        <v>United States, Senegal</v>
      </c>
      <c r="B704" s="5">
        <f>COUNTIF(data!F:F, A704)</f>
        <v>1</v>
      </c>
    </row>
    <row r="705">
      <c r="A705" s="5" t="str">
        <f>IFERROR(__xludf.DUMMYFUNCTION("""COMPUTED_VALUE"""),"United States, Singapore")</f>
        <v>United States, Singapore</v>
      </c>
      <c r="B705" s="5">
        <f>COUNTIF(data!F:F, A705)</f>
        <v>1</v>
      </c>
    </row>
    <row r="706">
      <c r="A706" s="5" t="str">
        <f>IFERROR(__xludf.DUMMYFUNCTION("""COMPUTED_VALUE"""),"United States, South Africa")</f>
        <v>United States, South Africa</v>
      </c>
      <c r="B706" s="5">
        <f>COUNTIF(data!F:F, A706)</f>
        <v>3</v>
      </c>
    </row>
    <row r="707">
      <c r="A707" s="5" t="str">
        <f>IFERROR(__xludf.DUMMYFUNCTION("""COMPUTED_VALUE"""),"United States, South Korea")</f>
        <v>United States, South Korea</v>
      </c>
      <c r="B707" s="5">
        <f>COUNTIF(data!F:F, A707)</f>
        <v>2</v>
      </c>
    </row>
    <row r="708">
      <c r="A708" s="5" t="str">
        <f>IFERROR(__xludf.DUMMYFUNCTION("""COMPUTED_VALUE"""),"United States, South Korea, China")</f>
        <v>United States, South Korea, China</v>
      </c>
      <c r="B708" s="5">
        <f>COUNTIF(data!F:F, A708)</f>
        <v>2</v>
      </c>
    </row>
    <row r="709">
      <c r="A709" s="5" t="str">
        <f>IFERROR(__xludf.DUMMYFUNCTION("""COMPUTED_VALUE"""),"United States, South Korea, Japan")</f>
        <v>United States, South Korea, Japan</v>
      </c>
      <c r="B709" s="5">
        <f>COUNTIF(data!F:F, A709)</f>
        <v>1</v>
      </c>
    </row>
    <row r="710">
      <c r="A710" s="5" t="str">
        <f>IFERROR(__xludf.DUMMYFUNCTION("""COMPUTED_VALUE"""),"United States, Spain")</f>
        <v>United States, Spain</v>
      </c>
      <c r="B710" s="5">
        <f>COUNTIF(data!F:F, A710)</f>
        <v>4</v>
      </c>
    </row>
    <row r="711">
      <c r="A711" s="5" t="str">
        <f>IFERROR(__xludf.DUMMYFUNCTION("""COMPUTED_VALUE"""),"United States, Spain, Germany")</f>
        <v>United States, Spain, Germany</v>
      </c>
      <c r="B711" s="5">
        <f>COUNTIF(data!F:F, A711)</f>
        <v>1</v>
      </c>
    </row>
    <row r="712">
      <c r="A712" s="5" t="str">
        <f>IFERROR(__xludf.DUMMYFUNCTION("""COMPUTED_VALUE"""),"United States, Sweden")</f>
        <v>United States, Sweden</v>
      </c>
      <c r="B712" s="5">
        <f>COUNTIF(data!F:F, A712)</f>
        <v>3</v>
      </c>
    </row>
    <row r="713">
      <c r="A713" s="5" t="str">
        <f>IFERROR(__xludf.DUMMYFUNCTION("""COMPUTED_VALUE"""),"United States, Sweden, Norway")</f>
        <v>United States, Sweden, Norway</v>
      </c>
      <c r="B713" s="5">
        <f>COUNTIF(data!F:F, A713)</f>
        <v>1</v>
      </c>
    </row>
    <row r="714">
      <c r="A714" s="5" t="str">
        <f>IFERROR(__xludf.DUMMYFUNCTION("""COMPUTED_VALUE"""),"United States, Switzerland")</f>
        <v>United States, Switzerland</v>
      </c>
      <c r="B714" s="5">
        <f>COUNTIF(data!F:F, A714)</f>
        <v>1</v>
      </c>
    </row>
    <row r="715">
      <c r="A715" s="5" t="str">
        <f>IFERROR(__xludf.DUMMYFUNCTION("""COMPUTED_VALUE"""),"United States, Taiwan")</f>
        <v>United States, Taiwan</v>
      </c>
      <c r="B715" s="5">
        <f>COUNTIF(data!F:F, A715)</f>
        <v>1</v>
      </c>
    </row>
    <row r="716">
      <c r="A716" s="5" t="str">
        <f>IFERROR(__xludf.DUMMYFUNCTION("""COMPUTED_VALUE"""),"United States, Thailand")</f>
        <v>United States, Thailand</v>
      </c>
      <c r="B716" s="5">
        <f>COUNTIF(data!F:F, A716)</f>
        <v>2</v>
      </c>
    </row>
    <row r="717">
      <c r="A717" s="5" t="str">
        <f>IFERROR(__xludf.DUMMYFUNCTION("""COMPUTED_VALUE"""),"United States, United Arab Emirates")</f>
        <v>United States, United Arab Emirates</v>
      </c>
      <c r="B717" s="5">
        <f>COUNTIF(data!F:F, A717)</f>
        <v>3</v>
      </c>
    </row>
    <row r="718">
      <c r="A718" s="5" t="str">
        <f>IFERROR(__xludf.DUMMYFUNCTION("""COMPUTED_VALUE"""),"United States, United Kingdom")</f>
        <v>United States, United Kingdom</v>
      </c>
      <c r="B718" s="5">
        <f>COUNTIF(data!F:F, A718)</f>
        <v>47</v>
      </c>
    </row>
    <row r="719">
      <c r="A719" s="5" t="str">
        <f>IFERROR(__xludf.DUMMYFUNCTION("""COMPUTED_VALUE"""),"United States, United Kingdom, Australia")</f>
        <v>United States, United Kingdom, Australia</v>
      </c>
      <c r="B719" s="5">
        <f>COUNTIF(data!F:F, A719)</f>
        <v>4</v>
      </c>
    </row>
    <row r="720">
      <c r="A720" s="5" t="str">
        <f>IFERROR(__xludf.DUMMYFUNCTION("""COMPUTED_VALUE"""),"United States, United Kingdom, Canada")</f>
        <v>United States, United Kingdom, Canada</v>
      </c>
      <c r="B720" s="5">
        <f>COUNTIF(data!F:F, A720)</f>
        <v>2</v>
      </c>
    </row>
    <row r="721">
      <c r="A721" s="5" t="str">
        <f>IFERROR(__xludf.DUMMYFUNCTION("""COMPUTED_VALUE"""),"United States, United Kingdom, Canada, China")</f>
        <v>United States, United Kingdom, Canada, China</v>
      </c>
      <c r="B721" s="5">
        <f>COUNTIF(data!F:F, A721)</f>
        <v>1</v>
      </c>
    </row>
    <row r="722">
      <c r="A722" s="5" t="str">
        <f>IFERROR(__xludf.DUMMYFUNCTION("""COMPUTED_VALUE"""),"United States, United Kingdom, Canada, Japan")</f>
        <v>United States, United Kingdom, Canada, Japan</v>
      </c>
      <c r="B722" s="5">
        <f>COUNTIF(data!F:F, A722)</f>
        <v>1</v>
      </c>
    </row>
    <row r="723">
      <c r="A723" s="5" t="str">
        <f>IFERROR(__xludf.DUMMYFUNCTION("""COMPUTED_VALUE"""),"United States, United Kingdom, Denmark, Sweden")</f>
        <v>United States, United Kingdom, Denmark, Sweden</v>
      </c>
      <c r="B723" s="5">
        <f>COUNTIF(data!F:F, A723)</f>
        <v>1</v>
      </c>
    </row>
    <row r="724">
      <c r="A724" s="5" t="str">
        <f>IFERROR(__xludf.DUMMYFUNCTION("""COMPUTED_VALUE"""),"United States, United Kingdom, France")</f>
        <v>United States, United Kingdom, France</v>
      </c>
      <c r="B724" s="5">
        <f>COUNTIF(data!F:F, A724)</f>
        <v>4</v>
      </c>
    </row>
    <row r="725">
      <c r="A725" s="5" t="str">
        <f>IFERROR(__xludf.DUMMYFUNCTION("""COMPUTED_VALUE"""),"United States, United Kingdom, France, Germany, Japan")</f>
        <v>United States, United Kingdom, France, Germany, Japan</v>
      </c>
      <c r="B725" s="5">
        <f>COUNTIF(data!F:F, A725)</f>
        <v>1</v>
      </c>
    </row>
    <row r="726">
      <c r="A726" s="5" t="str">
        <f>IFERROR(__xludf.DUMMYFUNCTION("""COMPUTED_VALUE"""),"United States, United Kingdom, Germany")</f>
        <v>United States, United Kingdom, Germany</v>
      </c>
      <c r="B726" s="5">
        <f>COUNTIF(data!F:F, A726)</f>
        <v>2</v>
      </c>
    </row>
    <row r="727">
      <c r="A727" s="5" t="str">
        <f>IFERROR(__xludf.DUMMYFUNCTION("""COMPUTED_VALUE"""),"United States, United Kingdom, Germany, Hungary")</f>
        <v>United States, United Kingdom, Germany, Hungary</v>
      </c>
      <c r="B727" s="5">
        <f>COUNTIF(data!F:F, A727)</f>
        <v>1</v>
      </c>
    </row>
    <row r="728">
      <c r="A728" s="5" t="str">
        <f>IFERROR(__xludf.DUMMYFUNCTION("""COMPUTED_VALUE"""),"United States, United Kingdom, India")</f>
        <v>United States, United Kingdom, India</v>
      </c>
      <c r="B728" s="5">
        <f>COUNTIF(data!F:F, A728)</f>
        <v>1</v>
      </c>
    </row>
    <row r="729">
      <c r="A729" s="5" t="str">
        <f>IFERROR(__xludf.DUMMYFUNCTION("""COMPUTED_VALUE"""),"United States, United Kingdom, Italy")</f>
        <v>United States, United Kingdom, Italy</v>
      </c>
      <c r="B729" s="5">
        <f>COUNTIF(data!F:F, A729)</f>
        <v>1</v>
      </c>
    </row>
    <row r="730">
      <c r="A730" s="5" t="str">
        <f>IFERROR(__xludf.DUMMYFUNCTION("""COMPUTED_VALUE"""),"United States, United Kingdom, Japan")</f>
        <v>United States, United Kingdom, Japan</v>
      </c>
      <c r="B730" s="5">
        <f>COUNTIF(data!F:F, A730)</f>
        <v>1</v>
      </c>
    </row>
    <row r="731">
      <c r="A731" s="5" t="str">
        <f>IFERROR(__xludf.DUMMYFUNCTION("""COMPUTED_VALUE"""),"United States, United Kingdom, Morocco")</f>
        <v>United States, United Kingdom, Morocco</v>
      </c>
      <c r="B731" s="5">
        <f>COUNTIF(data!F:F, A731)</f>
        <v>1</v>
      </c>
    </row>
    <row r="732">
      <c r="A732" s="5" t="str">
        <f>IFERROR(__xludf.DUMMYFUNCTION("""COMPUTED_VALUE"""),"United States, United Kingdom, New Zealand")</f>
        <v>United States, United Kingdom, New Zealand</v>
      </c>
      <c r="B732" s="5">
        <f>COUNTIF(data!F:F, A732)</f>
        <v>1</v>
      </c>
    </row>
    <row r="733">
      <c r="A733" s="5" t="str">
        <f>IFERROR(__xludf.DUMMYFUNCTION("""COMPUTED_VALUE"""),"United States, United Kingdom, Spain, South Korea")</f>
        <v>United States, United Kingdom, Spain, South Korea</v>
      </c>
      <c r="B733" s="5">
        <f>COUNTIF(data!F:F, A733)</f>
        <v>1</v>
      </c>
    </row>
    <row r="734">
      <c r="A734" s="5" t="str">
        <f>IFERROR(__xludf.DUMMYFUNCTION("""COMPUTED_VALUE"""),"United States, Uruguay")</f>
        <v>United States, Uruguay</v>
      </c>
      <c r="B734" s="5">
        <f>COUNTIF(data!F:F, A734)</f>
        <v>1</v>
      </c>
    </row>
    <row r="735">
      <c r="A735" s="5" t="str">
        <f>IFERROR(__xludf.DUMMYFUNCTION("""COMPUTED_VALUE"""),"United States, Venezuela")</f>
        <v>United States, Venezuela</v>
      </c>
      <c r="B735" s="5">
        <f>COUNTIF(data!F:F, A735)</f>
        <v>1</v>
      </c>
    </row>
    <row r="736">
      <c r="A736" s="5" t="str">
        <f>IFERROR(__xludf.DUMMYFUNCTION("""COMPUTED_VALUE"""),"Uruguay")</f>
        <v>Uruguay</v>
      </c>
      <c r="B736" s="5">
        <f>COUNTIF(data!F:F, A736)</f>
        <v>3</v>
      </c>
    </row>
    <row r="737">
      <c r="A737" s="5" t="str">
        <f>IFERROR(__xludf.DUMMYFUNCTION("""COMPUTED_VALUE"""),"Uruguay, Argentina")</f>
        <v>Uruguay, Argentina</v>
      </c>
      <c r="B737" s="5">
        <f>COUNTIF(data!F:F, A737)</f>
        <v>1</v>
      </c>
    </row>
    <row r="738">
      <c r="A738" s="5" t="str">
        <f>IFERROR(__xludf.DUMMYFUNCTION("""COMPUTED_VALUE"""),"Uruguay, Argentina, Germany, Spain")</f>
        <v>Uruguay, Argentina, Germany, Spain</v>
      </c>
      <c r="B738" s="5">
        <f>COUNTIF(data!F:F, A738)</f>
        <v>1</v>
      </c>
    </row>
    <row r="739">
      <c r="A739" s="5" t="str">
        <f>IFERROR(__xludf.DUMMYFUNCTION("""COMPUTED_VALUE"""),"Uruguay, Argentina, Spain")</f>
        <v>Uruguay, Argentina, Spain</v>
      </c>
      <c r="B739" s="5">
        <f>COUNTIF(data!F:F, A739)</f>
        <v>1</v>
      </c>
    </row>
    <row r="740">
      <c r="A740" s="5" t="str">
        <f>IFERROR(__xludf.DUMMYFUNCTION("""COMPUTED_VALUE"""),"Uruguay, Germany")</f>
        <v>Uruguay, Germany</v>
      </c>
      <c r="B740" s="5">
        <f>COUNTIF(data!F:F, A740)</f>
        <v>1</v>
      </c>
    </row>
    <row r="741">
      <c r="A741" s="5" t="str">
        <f>IFERROR(__xludf.DUMMYFUNCTION("""COMPUTED_VALUE"""),"Uruguay, Guatemala")</f>
        <v>Uruguay, Guatemala</v>
      </c>
      <c r="B741" s="5">
        <f>COUNTIF(data!F:F, A741)</f>
        <v>1</v>
      </c>
    </row>
    <row r="742">
      <c r="A742" s="5" t="str">
        <f>IFERROR(__xludf.DUMMYFUNCTION("""COMPUTED_VALUE"""),"Uruguay, Spain, Mexico")</f>
        <v>Uruguay, Spain, Mexico</v>
      </c>
      <c r="B742" s="5">
        <f>COUNTIF(data!F:F, A742)</f>
        <v>1</v>
      </c>
    </row>
    <row r="743">
      <c r="A743" s="5" t="str">
        <f>IFERROR(__xludf.DUMMYFUNCTION("""COMPUTED_VALUE"""),"Venezuela")</f>
        <v>Venezuela</v>
      </c>
      <c r="B743" s="5">
        <f>COUNTIF(data!F:F, A743)</f>
        <v>1</v>
      </c>
    </row>
    <row r="744">
      <c r="A744" s="5" t="str">
        <f>IFERROR(__xludf.DUMMYFUNCTION("""COMPUTED_VALUE"""),"Venezuela, Colombia")</f>
        <v>Venezuela, Colombia</v>
      </c>
      <c r="B744" s="5">
        <f>COUNTIF(data!F:F, A744)</f>
        <v>1</v>
      </c>
    </row>
    <row r="745">
      <c r="A745" s="5" t="str">
        <f>IFERROR(__xludf.DUMMYFUNCTION("""COMPUTED_VALUE"""),"Vietnam")</f>
        <v>Vietnam</v>
      </c>
      <c r="B745" s="5">
        <f>COUNTIF(data!F:F, A745)</f>
        <v>7</v>
      </c>
    </row>
    <row r="746">
      <c r="A746" s="5" t="str">
        <f>IFERROR(__xludf.DUMMYFUNCTION("""COMPUTED_VALUE"""),"West Germany")</f>
        <v>West Germany</v>
      </c>
      <c r="B746" s="5">
        <f>COUNTIF(data!F:F, A746)</f>
        <v>1</v>
      </c>
    </row>
    <row r="747">
      <c r="A747" s="5" t="str">
        <f>IFERROR(__xludf.DUMMYFUNCTION("""COMPUTED_VALUE"""),"Zimbabwe")</f>
        <v>Zimbabwe</v>
      </c>
      <c r="B747" s="5">
        <f>COUNTIF(data!F:F, A747)</f>
        <v>1</v>
      </c>
    </row>
    <row r="748"/>
    <row r="749"/>
  </sheetData>
  <drawing r:id="rId2"/>
</worksheet>
</file>